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theme/themeOverride1.xml" ContentType="application/vnd.openxmlformats-officedocument.themeOverride+xml"/>
  <Override PartName="/xl/charts/chart8.xml" ContentType="application/vnd.openxmlformats-officedocument.drawingml.chart+xml"/>
  <Override PartName="/xl/charts/chart9.xml" ContentType="application/vnd.openxmlformats-officedocument.drawingml.chart+xml"/>
  <Override PartName="/xl/theme/themeOverride2.xml" ContentType="application/vnd.openxmlformats-officedocument.themeOverride+xml"/>
  <Override PartName="/xl/charts/chart10.xml" ContentType="application/vnd.openxmlformats-officedocument.drawingml.chart+xml"/>
  <Override PartName="/xl/charts/chart11.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hreadedComments/threadedComment1.xml" ContentType="application/vnd.ms-excel.threaded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harts/chart12.xml" ContentType="application/vnd.openxmlformats-officedocument.drawingml.chart+xml"/>
  <Override PartName="/xl/charts/style1.xml" ContentType="application/vnd.ms-office.chartstyle+xml"/>
  <Override PartName="/xl/charts/colors1.xml" ContentType="application/vnd.ms-office.chartcolorstyle+xml"/>
  <Override PartName="/xl/comments12.xml" ContentType="application/vnd.openxmlformats-officedocument.spreadsheetml.comments+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showInkAnnotation="0" codeName="ThisWorkbook" hidePivotFieldList="1"/>
  <mc:AlternateContent xmlns:mc="http://schemas.openxmlformats.org/markup-compatibility/2006">
    <mc:Choice Requires="x15">
      <x15ac:absPath xmlns:x15ac="http://schemas.microsoft.com/office/spreadsheetml/2010/11/ac" url="https://d.docs.live.net/d3dc1868dd3660a7/Documents/Environmental Analytics/"/>
    </mc:Choice>
  </mc:AlternateContent>
  <xr:revisionPtr revIDLastSave="123" documentId="8_{0448F1E0-1486-4E8D-B747-644E4C7AF2C1}" xr6:coauthVersionLast="47" xr6:coauthVersionMax="47" xr10:uidLastSave="{B744C62B-13B1-446B-BE2B-696EA12A71FE}"/>
  <bookViews>
    <workbookView xWindow="-120" yWindow="-120" windowWidth="29040" windowHeight="15720" tabRatio="889" xr2:uid="{00000000-000D-0000-FFFF-FFFF00000000}"/>
  </bookViews>
  <sheets>
    <sheet name="Index" sheetId="100" r:id="rId1"/>
    <sheet name="Scenario Set Up" sheetId="108" state="veryHidden" r:id="rId2"/>
    <sheet name="Scenario names" sheetId="137" state="veryHidden" r:id="rId3"/>
    <sheet name="Dashboard" sheetId="92" r:id="rId4"/>
    <sheet name="Sheet2" sheetId="142" r:id="rId5"/>
    <sheet name="Sheet1" sheetId="141" r:id="rId6"/>
    <sheet name="Main graph Results" sheetId="119" r:id="rId7"/>
    <sheet name="Retrofit and HP Results" sheetId="120" r:id="rId8"/>
    <sheet name="Cost Results" sheetId="122" r:id="rId9"/>
    <sheet name="Carbon Budgets Results" sheetId="123" state="veryHidden" r:id="rId10"/>
    <sheet name="Jobs Results" sheetId="140" r:id="rId11"/>
    <sheet name="2._INPUTS &gt;&gt;&gt;" sheetId="50" state="veryHidden" r:id="rId12"/>
    <sheet name="2.1 Building inputs" sheetId="52" state="veryHidden" r:id="rId13"/>
    <sheet name="2.1a Cooking" sheetId="116" state="veryHidden" r:id="rId14"/>
    <sheet name="2.2 Energy Systems inputs" sheetId="117" state="veryHidden" r:id="rId15"/>
    <sheet name="2.3_Other Emissions&gt;&gt;" sheetId="127" state="veryHidden" r:id="rId16"/>
    <sheet name="LAEI" sheetId="99" state="veryHidden" r:id="rId17"/>
    <sheet name="Industrial and Other Transport" sheetId="110" state="veryHidden" r:id="rId18"/>
    <sheet name="2.4 PV (by Borough)" sheetId="68" state="veryHidden" r:id="rId19"/>
    <sheet name="2.5 Emission factors" sheetId="24" state="veryHidden" r:id="rId20"/>
    <sheet name="2.6 Fuel Efficiencies" sheetId="57" state="veryHidden" r:id="rId21"/>
    <sheet name="2.7. Peak Demand" sheetId="125" state="veryHidden" r:id="rId22"/>
    <sheet name="2.8 Costs" sheetId="121" state="veryHidden" r:id="rId23"/>
    <sheet name="3&gt;&gt;&gt;&gt;REGIONAL ALLOCATIONS" sheetId="129" state="veryHidden" r:id="rId24"/>
    <sheet name="Carbon" sheetId="118" state="veryHidden" r:id="rId25"/>
    <sheet name="3.1 Building Energy" sheetId="101" state="veryHidden" r:id="rId26"/>
    <sheet name="3.2 District Heat" sheetId="113" state="veryHidden" r:id="rId27"/>
    <sheet name="Industrial - to hide" sheetId="97" state="veryHidden" r:id="rId28"/>
    <sheet name="3.3 Retrofits and Heat Pumps" sheetId="131" state="veryHidden" r:id="rId29"/>
    <sheet name="3.4 Popn &amp; baseline emissions" sheetId="66" state="veryHidden" r:id="rId30"/>
    <sheet name="3.5 Costs and Peak Demand" sheetId="132" state="veryHidden" r:id="rId31"/>
    <sheet name="4._CALCULATIONS &gt;&gt;&gt;" sheetId="51" state="veryHidden" r:id="rId32"/>
    <sheet name="Transport" sheetId="20" state="veryHidden" r:id="rId33"/>
    <sheet name="DH calcs - old" sheetId="82" state="veryHidden" r:id="rId34"/>
    <sheet name="Allocation of heat" sheetId="106" state="veryHidden" r:id="rId35"/>
    <sheet name="Heat Networks" sheetId="94" state="veryHidden" r:id="rId36"/>
    <sheet name="Energy demand" sheetId="59" state="veryHidden" r:id="rId37"/>
    <sheet name="Energy supply" sheetId="60" state="veryHidden" r:id="rId38"/>
    <sheet name="Fuel Consumption" sheetId="61" state="veryHidden" r:id="rId39"/>
    <sheet name="Carbon Emissions" sheetId="62" state="veryHidden" r:id="rId40"/>
    <sheet name="Carbon costs" sheetId="138" state="veryHidden" r:id="rId41"/>
  </sheets>
  <definedNames>
    <definedName name="_xlnm._FilterDatabase" localSheetId="39" hidden="1">'Carbon Emissions'!$D$2:$AZ$87</definedName>
    <definedName name="_xlnm._FilterDatabase" localSheetId="38" hidden="1">'Fuel Consumption'!$E$2:$AZ$85</definedName>
    <definedName name="_xlnm._FilterDatabase" localSheetId="1" hidden="1">'Scenario Set Up'!$A$3:$AR$8</definedName>
    <definedName name="chart1" localSheetId="15">#REF!</definedName>
    <definedName name="chart1" localSheetId="28">#REF!</definedName>
    <definedName name="chart1">#REF!</definedName>
    <definedName name="default_domestic_energy_efficiency_total_costs">'2.8 Costs'!$E$307</definedName>
    <definedName name="default_non_domestic_energy_efficiency_costs">'2.8 Costs'!$E$308</definedName>
    <definedName name="_xlnm.Print_Area" localSheetId="3">Dashboard!$A$5:$AG$130</definedName>
    <definedName name="SheetNames">REPLACE(GET.WORKBOOK(1),1,FIND("]",GET.WORKBOOK(1)),"")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75" i="106" l="1"/>
  <c r="AN18" i="52"/>
  <c r="AN22" i="106" s="1"/>
  <c r="B38" i="120" l="1"/>
  <c r="B39" i="120"/>
  <c r="B40" i="120"/>
  <c r="B41" i="120"/>
  <c r="B37" i="120"/>
  <c r="C38" i="120"/>
  <c r="C39" i="120"/>
  <c r="C40" i="120"/>
  <c r="C41" i="120"/>
  <c r="C37" i="120"/>
  <c r="C56" i="92"/>
  <c r="C30" i="120" l="1"/>
  <c r="B30" i="120" s="1"/>
  <c r="C31" i="120"/>
  <c r="C29" i="120"/>
  <c r="B29" i="120" s="1"/>
  <c r="C19" i="120"/>
  <c r="C20" i="120"/>
  <c r="C21" i="120"/>
  <c r="C22" i="120"/>
  <c r="C23" i="120"/>
  <c r="C24" i="120"/>
  <c r="C25" i="120"/>
  <c r="C18" i="120"/>
  <c r="C8" i="120"/>
  <c r="C9" i="120"/>
  <c r="C10" i="120"/>
  <c r="C11" i="120"/>
  <c r="C12" i="120"/>
  <c r="C13" i="120"/>
  <c r="C14" i="120"/>
  <c r="C7" i="120"/>
  <c r="B31" i="120"/>
  <c r="B72" i="52" l="1"/>
  <c r="B216" i="117" l="1"/>
  <c r="B217" i="117"/>
  <c r="B218" i="117"/>
  <c r="B219" i="117"/>
  <c r="B208" i="117"/>
  <c r="B209" i="117"/>
  <c r="B210" i="117"/>
  <c r="B211" i="117"/>
  <c r="B200" i="117"/>
  <c r="B201" i="117"/>
  <c r="B202" i="117"/>
  <c r="B203" i="117"/>
  <c r="B192" i="117"/>
  <c r="B193" i="117"/>
  <c r="B194" i="117"/>
  <c r="B195" i="117"/>
  <c r="O270" i="20"/>
  <c r="M343" i="119" s="1"/>
  <c r="B343" i="119"/>
  <c r="C343" i="119"/>
  <c r="AQ343" i="119" l="1"/>
  <c r="AA343" i="119"/>
  <c r="AP343" i="119"/>
  <c r="AO343" i="119"/>
  <c r="Y343" i="119"/>
  <c r="AG343" i="119"/>
  <c r="Z343" i="119"/>
  <c r="AJ343" i="119"/>
  <c r="T343" i="119"/>
  <c r="L343" i="119"/>
  <c r="AR343" i="119"/>
  <c r="AI343" i="119"/>
  <c r="S343" i="119"/>
  <c r="AB343" i="119"/>
  <c r="AH343" i="119"/>
  <c r="Q343" i="119"/>
  <c r="R343" i="119"/>
  <c r="K343" i="119"/>
  <c r="AN343" i="119"/>
  <c r="AF343" i="119"/>
  <c r="X343" i="119"/>
  <c r="P343" i="119"/>
  <c r="AM343" i="119"/>
  <c r="AE343" i="119"/>
  <c r="W343" i="119"/>
  <c r="O343" i="119"/>
  <c r="J343" i="119"/>
  <c r="AL343" i="119"/>
  <c r="AD343" i="119"/>
  <c r="V343" i="119"/>
  <c r="N343" i="119"/>
  <c r="AS343" i="119"/>
  <c r="AK343" i="119"/>
  <c r="AC343" i="119"/>
  <c r="U343" i="119"/>
  <c r="D28" i="140" l="1" a="1"/>
  <c r="D28" i="140"/>
  <c r="I32" i="140" a="1"/>
  <c r="I32" i="140" s="1"/>
  <c r="I28" i="140" a="1"/>
  <c r="I28" i="140" s="1"/>
  <c r="E28" i="140" a="1"/>
  <c r="E28" i="140" s="1"/>
  <c r="F28" i="140" a="1"/>
  <c r="F28" i="140" s="1"/>
  <c r="G28" i="140" a="1"/>
  <c r="G28" i="140" s="1"/>
  <c r="H28" i="140" a="1"/>
  <c r="H28" i="140" s="1"/>
  <c r="J28" i="140" a="1"/>
  <c r="J28" i="140" s="1"/>
  <c r="K28" i="140" a="1"/>
  <c r="K28" i="140" s="1"/>
  <c r="L28" i="140" a="1"/>
  <c r="L28" i="140" s="1"/>
  <c r="M28" i="140" a="1"/>
  <c r="M28" i="140" s="1"/>
  <c r="N28" i="140" a="1"/>
  <c r="N28" i="140" s="1"/>
  <c r="O28" i="140" a="1"/>
  <c r="O28" i="140"/>
  <c r="P28" i="140" a="1"/>
  <c r="P28" i="140" s="1"/>
  <c r="Q28" i="140" a="1"/>
  <c r="Q28" i="140" s="1"/>
  <c r="R28" i="140" a="1"/>
  <c r="R28" i="140" s="1"/>
  <c r="S28" i="140" a="1"/>
  <c r="S28" i="140" s="1"/>
  <c r="T28" i="140" a="1"/>
  <c r="T28" i="140" s="1"/>
  <c r="U28" i="140" a="1"/>
  <c r="U28" i="140" s="1"/>
  <c r="V28" i="140" a="1"/>
  <c r="V28" i="140" s="1"/>
  <c r="W28" i="140" a="1"/>
  <c r="W28" i="140" s="1"/>
  <c r="X28" i="140" a="1"/>
  <c r="X28" i="140" s="1"/>
  <c r="Y28" i="140" a="1"/>
  <c r="Y28" i="140" s="1"/>
  <c r="Z28" i="140" a="1"/>
  <c r="Z28" i="140" s="1"/>
  <c r="AA28" i="140" a="1"/>
  <c r="AA28" i="140" s="1"/>
  <c r="AB28" i="140" a="1"/>
  <c r="AB28" i="140" s="1"/>
  <c r="AC28" i="140" a="1"/>
  <c r="AC28" i="140" s="1"/>
  <c r="AD28" i="140" a="1"/>
  <c r="AD28" i="140" s="1"/>
  <c r="AE28" i="140" a="1"/>
  <c r="AE28" i="140" s="1"/>
  <c r="AF28" i="140" a="1"/>
  <c r="AF28" i="140" s="1"/>
  <c r="AG28" i="140" a="1"/>
  <c r="AG28" i="140" s="1"/>
  <c r="AH28" i="140" a="1"/>
  <c r="AH28" i="140" s="1"/>
  <c r="E32" i="140" a="1"/>
  <c r="E32" i="140" s="1"/>
  <c r="F32" i="140" a="1"/>
  <c r="F32" i="140" s="1"/>
  <c r="G32" i="140" a="1"/>
  <c r="G32" i="140" s="1"/>
  <c r="H32" i="140" a="1"/>
  <c r="H32" i="140" s="1"/>
  <c r="J32" i="140" a="1"/>
  <c r="J32" i="140" s="1"/>
  <c r="K32" i="140" a="1"/>
  <c r="K32" i="140" s="1"/>
  <c r="L32" i="140" a="1"/>
  <c r="L32" i="140" s="1"/>
  <c r="M32" i="140" a="1"/>
  <c r="M32" i="140" s="1"/>
  <c r="N32" i="140" a="1"/>
  <c r="N32" i="140" s="1"/>
  <c r="O32" i="140" a="1"/>
  <c r="O32" i="140" s="1"/>
  <c r="P32" i="140" a="1"/>
  <c r="P32" i="140" s="1"/>
  <c r="Q32" i="140" a="1"/>
  <c r="Q32" i="140" s="1"/>
  <c r="R32" i="140" a="1"/>
  <c r="R32" i="140" s="1"/>
  <c r="S32" i="140" a="1"/>
  <c r="S32" i="140" s="1"/>
  <c r="T32" i="140" a="1"/>
  <c r="T32" i="140" s="1"/>
  <c r="U32" i="140" a="1"/>
  <c r="U32" i="140" s="1"/>
  <c r="V32" i="140" a="1"/>
  <c r="V32" i="140" s="1"/>
  <c r="W32" i="140" a="1"/>
  <c r="W32" i="140" s="1"/>
  <c r="X32" i="140" a="1"/>
  <c r="X32" i="140" s="1"/>
  <c r="Y32" i="140" a="1"/>
  <c r="Y32" i="140" s="1"/>
  <c r="Z32" i="140" a="1"/>
  <c r="Z32" i="140" s="1"/>
  <c r="AA32" i="140" a="1"/>
  <c r="AA32" i="140" s="1"/>
  <c r="AB32" i="140" a="1"/>
  <c r="AB32" i="140" s="1"/>
  <c r="AC32" i="140" a="1"/>
  <c r="AC32" i="140" s="1"/>
  <c r="AD32" i="140" a="1"/>
  <c r="AD32" i="140" s="1"/>
  <c r="AE32" i="140" a="1"/>
  <c r="AE32" i="140" s="1"/>
  <c r="AF32" i="140" a="1"/>
  <c r="AF32" i="140" s="1"/>
  <c r="AG32" i="140" a="1"/>
  <c r="AG32" i="140" s="1"/>
  <c r="AH32" i="140" a="1"/>
  <c r="AH32" i="140" s="1"/>
  <c r="D32" i="140" a="1"/>
  <c r="D32" i="140" s="1"/>
  <c r="B29" i="140"/>
  <c r="H29" i="140" s="1" a="1"/>
  <c r="H29" i="140" s="1"/>
  <c r="B30" i="140"/>
  <c r="K30" i="140" s="1" a="1"/>
  <c r="K30" i="140" s="1"/>
  <c r="B31" i="140"/>
  <c r="M31" i="140" s="1" a="1"/>
  <c r="M31" i="140" s="1"/>
  <c r="D30" i="140" l="1" a="1"/>
  <c r="D30" i="140" s="1"/>
  <c r="AH31" i="140" a="1"/>
  <c r="AH31" i="140" s="1"/>
  <c r="S31" i="140" a="1"/>
  <c r="S31" i="140" s="1"/>
  <c r="L31" i="140" a="1"/>
  <c r="L31" i="140" s="1"/>
  <c r="AG30" i="140" a="1"/>
  <c r="AG30" i="140" s="1"/>
  <c r="Y30" i="140" a="1"/>
  <c r="Y30" i="140" s="1"/>
  <c r="R30" i="140" a="1"/>
  <c r="R30" i="140" s="1"/>
  <c r="J30" i="140" a="1"/>
  <c r="J30" i="140" s="1"/>
  <c r="AF29" i="140" a="1"/>
  <c r="AF29" i="140" s="1"/>
  <c r="X29" i="140" a="1"/>
  <c r="X29" i="140" s="1"/>
  <c r="P29" i="140" a="1"/>
  <c r="P29" i="140" s="1"/>
  <c r="G29" i="140" a="1"/>
  <c r="G29" i="140" s="1"/>
  <c r="D29" i="140" a="1"/>
  <c r="D29" i="140" s="1"/>
  <c r="AG31" i="140" a="1"/>
  <c r="AG31" i="140" s="1"/>
  <c r="Z31" i="140" a="1"/>
  <c r="Z31" i="140" s="1"/>
  <c r="R31" i="140" a="1"/>
  <c r="R31" i="140" s="1"/>
  <c r="K31" i="140" a="1"/>
  <c r="K31" i="140" s="1"/>
  <c r="AF30" i="140" a="1"/>
  <c r="AF30" i="140" s="1"/>
  <c r="X30" i="140" a="1"/>
  <c r="X30" i="140" s="1"/>
  <c r="Q30" i="140" a="1"/>
  <c r="Q30" i="140" s="1"/>
  <c r="AE29" i="140" a="1"/>
  <c r="AE29" i="140" s="1"/>
  <c r="W29" i="140" a="1"/>
  <c r="W29" i="140" s="1"/>
  <c r="O29" i="140" a="1"/>
  <c r="O29" i="140" s="1"/>
  <c r="F29" i="140" a="1"/>
  <c r="F29" i="140" s="1"/>
  <c r="AF31" i="140" a="1"/>
  <c r="AF31" i="140" s="1"/>
  <c r="Y31" i="140" a="1"/>
  <c r="Y31" i="140" s="1"/>
  <c r="Q31" i="140" a="1"/>
  <c r="Q31" i="140" s="1"/>
  <c r="J31" i="140" a="1"/>
  <c r="J31" i="140" s="1"/>
  <c r="AE30" i="140" a="1"/>
  <c r="AE30" i="140" s="1"/>
  <c r="W30" i="140" a="1"/>
  <c r="W30" i="140" s="1"/>
  <c r="P30" i="140" a="1"/>
  <c r="P30" i="140" s="1"/>
  <c r="H30" i="140" a="1"/>
  <c r="H30" i="140" s="1"/>
  <c r="AD29" i="140" a="1"/>
  <c r="AD29" i="140" s="1"/>
  <c r="V29" i="140" a="1"/>
  <c r="V29" i="140" s="1"/>
  <c r="N29" i="140" a="1"/>
  <c r="N29" i="140" s="1"/>
  <c r="E29" i="140" a="1"/>
  <c r="E29" i="140" s="1"/>
  <c r="I29" i="140" a="1"/>
  <c r="I29" i="140" s="1"/>
  <c r="D31" i="140" a="1"/>
  <c r="D31" i="140" s="1"/>
  <c r="AE31" i="140" a="1"/>
  <c r="AE31" i="140" s="1"/>
  <c r="X31" i="140" a="1"/>
  <c r="X31" i="140" s="1"/>
  <c r="P31" i="140" a="1"/>
  <c r="P31" i="140" s="1"/>
  <c r="H31" i="140" a="1"/>
  <c r="H31" i="140" s="1"/>
  <c r="AD30" i="140" a="1"/>
  <c r="AD30" i="140" s="1"/>
  <c r="V30" i="140" a="1"/>
  <c r="V30" i="140" s="1"/>
  <c r="O30" i="140" a="1"/>
  <c r="O30" i="140" s="1"/>
  <c r="G30" i="140" a="1"/>
  <c r="G30" i="140" s="1"/>
  <c r="AC29" i="140" a="1"/>
  <c r="AC29" i="140" s="1"/>
  <c r="U29" i="140" a="1"/>
  <c r="U29" i="140" s="1"/>
  <c r="M29" i="140" a="1"/>
  <c r="M29" i="140" s="1"/>
  <c r="I30" i="140" a="1"/>
  <c r="I30" i="140" s="1"/>
  <c r="AD31" i="140" a="1"/>
  <c r="AD31" i="140" s="1"/>
  <c r="W31" i="140" a="1"/>
  <c r="W31" i="140" s="1"/>
  <c r="O31" i="140" a="1"/>
  <c r="O31" i="140" s="1"/>
  <c r="G31" i="140" a="1"/>
  <c r="G31" i="140" s="1"/>
  <c r="AC30" i="140" a="1"/>
  <c r="AC30" i="140" s="1"/>
  <c r="U30" i="140" a="1"/>
  <c r="U30" i="140" s="1"/>
  <c r="N30" i="140" a="1"/>
  <c r="N30" i="140" s="1"/>
  <c r="F30" i="140" a="1"/>
  <c r="F30" i="140" s="1"/>
  <c r="AB29" i="140" a="1"/>
  <c r="AB29" i="140" s="1"/>
  <c r="T29" i="140" a="1"/>
  <c r="T29" i="140" s="1"/>
  <c r="L29" i="140" a="1"/>
  <c r="L29" i="140" s="1"/>
  <c r="I31" i="140" a="1"/>
  <c r="I31" i="140" s="1"/>
  <c r="V31" i="140" a="1"/>
  <c r="V31" i="140" s="1"/>
  <c r="F31" i="140" a="1"/>
  <c r="F31" i="140" s="1"/>
  <c r="AB30" i="140" a="1"/>
  <c r="AB30" i="140" s="1"/>
  <c r="M30" i="140" a="1"/>
  <c r="M30" i="140" s="1"/>
  <c r="E30" i="140" a="1"/>
  <c r="E30" i="140" s="1"/>
  <c r="AA29" i="140" a="1"/>
  <c r="AA29" i="140" s="1"/>
  <c r="S29" i="140" a="1"/>
  <c r="S29" i="140" s="1"/>
  <c r="K29" i="140" a="1"/>
  <c r="K29" i="140" s="1"/>
  <c r="AB31" i="140" a="1"/>
  <c r="AB31" i="140" s="1"/>
  <c r="U31" i="140" a="1"/>
  <c r="U31" i="140" s="1"/>
  <c r="N31" i="140" a="1"/>
  <c r="N31" i="140" s="1"/>
  <c r="E31" i="140" a="1"/>
  <c r="E31" i="140" s="1"/>
  <c r="AA30" i="140" a="1"/>
  <c r="AA30" i="140" s="1"/>
  <c r="T30" i="140" a="1"/>
  <c r="T30" i="140" s="1"/>
  <c r="L30" i="140" a="1"/>
  <c r="L30" i="140" s="1"/>
  <c r="AH29" i="140" a="1"/>
  <c r="AH29" i="140" s="1"/>
  <c r="Z29" i="140" a="1"/>
  <c r="Z29" i="140" s="1"/>
  <c r="R29" i="140" a="1"/>
  <c r="R29" i="140" s="1"/>
  <c r="J29" i="140" a="1"/>
  <c r="J29" i="140" s="1"/>
  <c r="AC31" i="140" a="1"/>
  <c r="AC31" i="140" s="1"/>
  <c r="AA31" i="140" a="1"/>
  <c r="AA31" i="140" s="1"/>
  <c r="T31" i="140" a="1"/>
  <c r="T31" i="140" s="1"/>
  <c r="AH30" i="140" a="1"/>
  <c r="AH30" i="140" s="1"/>
  <c r="Z30" i="140" a="1"/>
  <c r="Z30" i="140" s="1"/>
  <c r="S30" i="140" a="1"/>
  <c r="S30" i="140" s="1"/>
  <c r="AG29" i="140" a="1"/>
  <c r="AG29" i="140" s="1"/>
  <c r="Y29" i="140" a="1"/>
  <c r="Y29" i="140" s="1"/>
  <c r="Q29" i="140" a="1"/>
  <c r="Q29" i="140" s="1"/>
  <c r="E301" i="121"/>
  <c r="E302" i="121" l="1"/>
  <c r="E303" i="121" s="1"/>
  <c r="E309" i="121"/>
  <c r="B14" i="138" l="1"/>
  <c r="O82" i="24" l="1"/>
  <c r="O81" i="24"/>
  <c r="O85" i="24" s="1"/>
  <c r="O87" i="24" s="1"/>
  <c r="E16" i="110"/>
  <c r="P125" i="110"/>
  <c r="Q125" i="110"/>
  <c r="R125" i="110"/>
  <c r="S125" i="110"/>
  <c r="T125" i="110"/>
  <c r="U125" i="110"/>
  <c r="V125" i="110"/>
  <c r="W125" i="110"/>
  <c r="X125" i="110"/>
  <c r="Y125" i="110"/>
  <c r="Z125" i="110"/>
  <c r="AA125" i="110"/>
  <c r="AB125" i="110"/>
  <c r="AC125" i="110"/>
  <c r="AD125" i="110"/>
  <c r="AE125" i="110"/>
  <c r="AF125" i="110"/>
  <c r="AG125" i="110"/>
  <c r="AH125" i="110"/>
  <c r="AI125" i="110"/>
  <c r="AJ125" i="110"/>
  <c r="AK125" i="110"/>
  <c r="AL125" i="110"/>
  <c r="AM125" i="110"/>
  <c r="AN125" i="110"/>
  <c r="AO125" i="110"/>
  <c r="AP125" i="110"/>
  <c r="AQ125" i="110"/>
  <c r="AR125" i="110"/>
  <c r="AS125" i="110"/>
  <c r="AT125" i="110"/>
  <c r="AU125" i="110"/>
  <c r="AV125" i="110"/>
  <c r="AW125" i="110"/>
  <c r="AX125" i="110"/>
  <c r="O125" i="110"/>
  <c r="P63" i="110" l="1"/>
  <c r="Q63" i="110"/>
  <c r="R63" i="110"/>
  <c r="S63" i="110"/>
  <c r="T63" i="110"/>
  <c r="U63" i="110"/>
  <c r="V63" i="110"/>
  <c r="W63" i="110"/>
  <c r="X63" i="110"/>
  <c r="Y63" i="110"/>
  <c r="Z63" i="110"/>
  <c r="AA63" i="110"/>
  <c r="AB63" i="110"/>
  <c r="AC63" i="110"/>
  <c r="AD63" i="110"/>
  <c r="AE63" i="110"/>
  <c r="AF63" i="110"/>
  <c r="AG63" i="110"/>
  <c r="AH63" i="110"/>
  <c r="AI63" i="110"/>
  <c r="AJ63" i="110"/>
  <c r="AK63" i="110"/>
  <c r="AL63" i="110"/>
  <c r="AM63" i="110"/>
  <c r="AN63" i="110"/>
  <c r="AO63" i="110"/>
  <c r="AP63" i="110"/>
  <c r="AQ63" i="110"/>
  <c r="AR63" i="110"/>
  <c r="AS63" i="110"/>
  <c r="AT63" i="110"/>
  <c r="AU63" i="110"/>
  <c r="AV63" i="110"/>
  <c r="AW63" i="110"/>
  <c r="AX63" i="110"/>
  <c r="O63" i="110"/>
  <c r="C95" i="110" l="1"/>
  <c r="C94" i="110"/>
  <c r="C93" i="110"/>
  <c r="C92" i="110"/>
  <c r="C89" i="110"/>
  <c r="C88" i="110"/>
  <c r="C87" i="110"/>
  <c r="C86" i="110"/>
  <c r="C83" i="110"/>
  <c r="C82" i="110"/>
  <c r="C81" i="110"/>
  <c r="C80" i="110"/>
  <c r="C77" i="110"/>
  <c r="C76" i="110"/>
  <c r="C75" i="110"/>
  <c r="C74" i="110"/>
  <c r="C71" i="110"/>
  <c r="C70" i="110"/>
  <c r="C69" i="110"/>
  <c r="C68" i="110"/>
  <c r="P81" i="24"/>
  <c r="Q81" i="24"/>
  <c r="Q85" i="24" s="1"/>
  <c r="Q87" i="24" s="1"/>
  <c r="R81" i="24"/>
  <c r="S81" i="24"/>
  <c r="T81" i="24"/>
  <c r="U81" i="24"/>
  <c r="V81" i="24"/>
  <c r="W81" i="24"/>
  <c r="X81" i="24"/>
  <c r="Y81" i="24"/>
  <c r="Y85" i="24" s="1"/>
  <c r="Y87" i="24" s="1"/>
  <c r="Z81" i="24"/>
  <c r="AA81" i="24"/>
  <c r="AB81" i="24"/>
  <c r="AC81" i="24"/>
  <c r="AD81" i="24"/>
  <c r="AE81" i="24"/>
  <c r="AF81" i="24"/>
  <c r="AG81" i="24"/>
  <c r="AG85" i="24" s="1"/>
  <c r="AG87" i="24" s="1"/>
  <c r="AH81" i="24"/>
  <c r="AI81" i="24"/>
  <c r="AJ81" i="24"/>
  <c r="AK81" i="24"/>
  <c r="AL81" i="24"/>
  <c r="AM81" i="24"/>
  <c r="AN81" i="24"/>
  <c r="AO81" i="24"/>
  <c r="AO85" i="24" s="1"/>
  <c r="AO87" i="24" s="1"/>
  <c r="AP81" i="24"/>
  <c r="AP85" i="24" s="1"/>
  <c r="AP87" i="24" s="1"/>
  <c r="AQ81" i="24"/>
  <c r="AR81" i="24"/>
  <c r="AS81" i="24"/>
  <c r="AT81" i="24"/>
  <c r="AU81" i="24"/>
  <c r="AV81" i="24"/>
  <c r="AW81" i="24"/>
  <c r="AW85" i="24" s="1"/>
  <c r="AW87" i="24" s="1"/>
  <c r="AX81" i="24"/>
  <c r="AX85" i="24" s="1"/>
  <c r="AX87" i="24" s="1"/>
  <c r="P82" i="24"/>
  <c r="Q82" i="24"/>
  <c r="R82" i="24"/>
  <c r="S82" i="24"/>
  <c r="T82" i="24"/>
  <c r="U82" i="24"/>
  <c r="V82" i="24"/>
  <c r="W82" i="24"/>
  <c r="X82" i="24"/>
  <c r="Y82" i="24"/>
  <c r="Z82" i="24"/>
  <c r="AA82" i="24"/>
  <c r="AB82" i="24"/>
  <c r="AC82" i="24"/>
  <c r="AD82" i="24"/>
  <c r="AE82" i="24"/>
  <c r="AF82" i="24"/>
  <c r="AG82" i="24"/>
  <c r="AH82" i="24"/>
  <c r="AI82" i="24"/>
  <c r="AJ82" i="24"/>
  <c r="AK82" i="24"/>
  <c r="AL82" i="24"/>
  <c r="AM82" i="24"/>
  <c r="AN82" i="24"/>
  <c r="AO82" i="24"/>
  <c r="AP82" i="24"/>
  <c r="AQ82" i="24"/>
  <c r="AR82" i="24"/>
  <c r="AS82" i="24"/>
  <c r="AT82" i="24"/>
  <c r="AU82" i="24"/>
  <c r="AV82" i="24"/>
  <c r="AW82" i="24"/>
  <c r="AX82" i="24"/>
  <c r="AH85" i="24" l="1"/>
  <c r="AH87" i="24" s="1"/>
  <c r="AU85" i="24"/>
  <c r="AU87" i="24" s="1"/>
  <c r="AE85" i="24"/>
  <c r="AE87" i="24" s="1"/>
  <c r="W85" i="24"/>
  <c r="W87" i="24" s="1"/>
  <c r="AM85" i="24"/>
  <c r="AM87" i="24" s="1"/>
  <c r="AS85" i="24"/>
  <c r="AS87" i="24" s="1"/>
  <c r="Z85" i="24"/>
  <c r="Z87" i="24" s="1"/>
  <c r="R85" i="24"/>
  <c r="R87" i="24" s="1"/>
  <c r="AT85" i="24"/>
  <c r="AT87" i="24" s="1"/>
  <c r="AL85" i="24"/>
  <c r="AL87" i="24" s="1"/>
  <c r="AD85" i="24"/>
  <c r="AD87" i="24" s="1"/>
  <c r="V85" i="24"/>
  <c r="V87" i="24" s="1"/>
  <c r="AK85" i="24"/>
  <c r="AK87" i="24" s="1"/>
  <c r="AC85" i="24"/>
  <c r="AC87" i="24" s="1"/>
  <c r="U85" i="24"/>
  <c r="U87" i="24" s="1"/>
  <c r="AR85" i="24"/>
  <c r="AR87" i="24" s="1"/>
  <c r="AJ85" i="24"/>
  <c r="AJ87" i="24" s="1"/>
  <c r="AB85" i="24"/>
  <c r="AB87" i="24" s="1"/>
  <c r="T85" i="24"/>
  <c r="T87" i="24" s="1"/>
  <c r="AQ85" i="24"/>
  <c r="AQ87" i="24" s="1"/>
  <c r="AA85" i="24"/>
  <c r="AA87" i="24" s="1"/>
  <c r="S85" i="24"/>
  <c r="S87" i="24" s="1"/>
  <c r="AI85" i="24"/>
  <c r="AI87" i="24" s="1"/>
  <c r="AV85" i="24"/>
  <c r="AV87" i="24" s="1"/>
  <c r="AN85" i="24"/>
  <c r="AN87" i="24" s="1"/>
  <c r="AF85" i="24"/>
  <c r="AF87" i="24" s="1"/>
  <c r="X85" i="24"/>
  <c r="X87" i="24" s="1"/>
  <c r="P85" i="24"/>
  <c r="P87" i="24" s="1"/>
  <c r="B220" i="20"/>
  <c r="M220" i="20" s="1"/>
  <c r="B221" i="20"/>
  <c r="M221" i="20" s="1"/>
  <c r="B222" i="20"/>
  <c r="M222" i="20" s="1"/>
  <c r="B223" i="20"/>
  <c r="M223" i="20" s="1"/>
  <c r="B224" i="20"/>
  <c r="M224" i="20" s="1"/>
  <c r="B225" i="20"/>
  <c r="M225" i="20" s="1"/>
  <c r="B226" i="20"/>
  <c r="M226" i="20" s="1"/>
  <c r="B227" i="20"/>
  <c r="M227" i="20" s="1"/>
  <c r="B228" i="20"/>
  <c r="M228" i="20" s="1"/>
  <c r="B229" i="20"/>
  <c r="M229" i="20" s="1"/>
  <c r="B230" i="20"/>
  <c r="M230" i="20" s="1"/>
  <c r="B231" i="20"/>
  <c r="M231" i="20" s="1"/>
  <c r="B232" i="20"/>
  <c r="M232" i="20" s="1"/>
  <c r="B233" i="20"/>
  <c r="M233" i="20" s="1"/>
  <c r="B234" i="20"/>
  <c r="M234" i="20" s="1"/>
  <c r="B235" i="20"/>
  <c r="M235" i="20" s="1"/>
  <c r="B236" i="20"/>
  <c r="M236" i="20" s="1"/>
  <c r="B237" i="20"/>
  <c r="M237" i="20" s="1"/>
  <c r="B239" i="20"/>
  <c r="M239" i="20" s="1"/>
  <c r="B240" i="20"/>
  <c r="M240" i="20" s="1"/>
  <c r="B241" i="20"/>
  <c r="M241" i="20" s="1"/>
  <c r="B242" i="20"/>
  <c r="M242" i="20" s="1"/>
  <c r="B243" i="20"/>
  <c r="M243" i="20" s="1"/>
  <c r="B244" i="20"/>
  <c r="M244" i="20" s="1"/>
  <c r="B245" i="20"/>
  <c r="M245" i="20" s="1"/>
  <c r="B246" i="20"/>
  <c r="M246" i="20" s="1"/>
  <c r="B247" i="20"/>
  <c r="M247" i="20" s="1"/>
  <c r="B248" i="20"/>
  <c r="M248" i="20" s="1"/>
  <c r="B249" i="20"/>
  <c r="M249" i="20" s="1"/>
  <c r="B250" i="20"/>
  <c r="M250" i="20" s="1"/>
  <c r="B251" i="20"/>
  <c r="M251" i="20" s="1"/>
  <c r="B252" i="20"/>
  <c r="M252" i="20" s="1"/>
  <c r="B253" i="20"/>
  <c r="M253" i="20" s="1"/>
  <c r="B254" i="20"/>
  <c r="M254" i="20" s="1"/>
  <c r="B255" i="20"/>
  <c r="M255" i="20" s="1"/>
  <c r="B256" i="20"/>
  <c r="M256" i="20" s="1"/>
  <c r="B257" i="20"/>
  <c r="M257" i="20" s="1"/>
  <c r="B219" i="20"/>
  <c r="M219" i="20" s="1"/>
  <c r="B218" i="20"/>
  <c r="B179" i="20"/>
  <c r="M179" i="20" s="1"/>
  <c r="B180" i="20"/>
  <c r="M180" i="20" s="1"/>
  <c r="B181" i="20"/>
  <c r="M181" i="20" s="1"/>
  <c r="B182" i="20"/>
  <c r="M182" i="20" s="1"/>
  <c r="B183" i="20"/>
  <c r="M183" i="20" s="1"/>
  <c r="B184" i="20"/>
  <c r="M184" i="20" s="1"/>
  <c r="B185" i="20"/>
  <c r="M185" i="20" s="1"/>
  <c r="B186" i="20"/>
  <c r="M186" i="20" s="1"/>
  <c r="B187" i="20"/>
  <c r="M187" i="20" s="1"/>
  <c r="B188" i="20"/>
  <c r="M188" i="20" s="1"/>
  <c r="B189" i="20"/>
  <c r="M189" i="20" s="1"/>
  <c r="B190" i="20"/>
  <c r="M190" i="20" s="1"/>
  <c r="B191" i="20"/>
  <c r="M191" i="20" s="1"/>
  <c r="B192" i="20"/>
  <c r="M192" i="20" s="1"/>
  <c r="B193" i="20"/>
  <c r="M193" i="20" s="1"/>
  <c r="B194" i="20"/>
  <c r="M194" i="20" s="1"/>
  <c r="B195" i="20"/>
  <c r="M195" i="20" s="1"/>
  <c r="B196" i="20"/>
  <c r="M196" i="20" s="1"/>
  <c r="B198" i="20"/>
  <c r="M198" i="20" s="1"/>
  <c r="B199" i="20"/>
  <c r="M199" i="20" s="1"/>
  <c r="B200" i="20"/>
  <c r="M200" i="20" s="1"/>
  <c r="B201" i="20"/>
  <c r="M201" i="20" s="1"/>
  <c r="B202" i="20"/>
  <c r="M202" i="20" s="1"/>
  <c r="B203" i="20"/>
  <c r="M203" i="20" s="1"/>
  <c r="B204" i="20"/>
  <c r="M204" i="20" s="1"/>
  <c r="B205" i="20"/>
  <c r="M205" i="20" s="1"/>
  <c r="B206" i="20"/>
  <c r="M206" i="20" s="1"/>
  <c r="B207" i="20"/>
  <c r="M207" i="20" s="1"/>
  <c r="B208" i="20"/>
  <c r="M208" i="20" s="1"/>
  <c r="B209" i="20"/>
  <c r="M209" i="20" s="1"/>
  <c r="B210" i="20"/>
  <c r="M210" i="20" s="1"/>
  <c r="B211" i="20"/>
  <c r="M211" i="20" s="1"/>
  <c r="B212" i="20"/>
  <c r="M212" i="20" s="1"/>
  <c r="B213" i="20"/>
  <c r="M213" i="20" s="1"/>
  <c r="B214" i="20"/>
  <c r="M214" i="20" s="1"/>
  <c r="B215" i="20"/>
  <c r="M215" i="20" s="1"/>
  <c r="B216" i="20"/>
  <c r="M216" i="20" s="1"/>
  <c r="B178" i="20"/>
  <c r="M178" i="20" s="1"/>
  <c r="B177" i="20"/>
  <c r="B138" i="20"/>
  <c r="M138" i="20" s="1"/>
  <c r="B139" i="20"/>
  <c r="M139" i="20" s="1"/>
  <c r="B140" i="20"/>
  <c r="M140" i="20" s="1"/>
  <c r="B141" i="20"/>
  <c r="M141" i="20" s="1"/>
  <c r="B142" i="20"/>
  <c r="M142" i="20" s="1"/>
  <c r="B143" i="20"/>
  <c r="M143" i="20" s="1"/>
  <c r="B144" i="20"/>
  <c r="M144" i="20" s="1"/>
  <c r="B145" i="20"/>
  <c r="M145" i="20" s="1"/>
  <c r="B146" i="20"/>
  <c r="M146" i="20" s="1"/>
  <c r="B147" i="20"/>
  <c r="M147" i="20" s="1"/>
  <c r="B148" i="20"/>
  <c r="M148" i="20" s="1"/>
  <c r="B149" i="20"/>
  <c r="M149" i="20" s="1"/>
  <c r="B150" i="20"/>
  <c r="M150" i="20" s="1"/>
  <c r="B151" i="20"/>
  <c r="M151" i="20" s="1"/>
  <c r="B152" i="20"/>
  <c r="M152" i="20" s="1"/>
  <c r="B153" i="20"/>
  <c r="M153" i="20" s="1"/>
  <c r="B154" i="20"/>
  <c r="M154" i="20" s="1"/>
  <c r="B155" i="20"/>
  <c r="M155" i="20" s="1"/>
  <c r="B157" i="20"/>
  <c r="M157" i="20" s="1"/>
  <c r="B158" i="20"/>
  <c r="M158" i="20" s="1"/>
  <c r="B159" i="20"/>
  <c r="M159" i="20" s="1"/>
  <c r="B160" i="20"/>
  <c r="M160" i="20" s="1"/>
  <c r="B161" i="20"/>
  <c r="M161" i="20" s="1"/>
  <c r="B162" i="20"/>
  <c r="M162" i="20" s="1"/>
  <c r="B163" i="20"/>
  <c r="M163" i="20" s="1"/>
  <c r="B164" i="20"/>
  <c r="M164" i="20" s="1"/>
  <c r="B165" i="20"/>
  <c r="M165" i="20" s="1"/>
  <c r="B166" i="20"/>
  <c r="M166" i="20" s="1"/>
  <c r="B167" i="20"/>
  <c r="M167" i="20" s="1"/>
  <c r="B168" i="20"/>
  <c r="M168" i="20" s="1"/>
  <c r="B169" i="20"/>
  <c r="M169" i="20" s="1"/>
  <c r="B170" i="20"/>
  <c r="M170" i="20" s="1"/>
  <c r="B171" i="20"/>
  <c r="M171" i="20" s="1"/>
  <c r="B172" i="20"/>
  <c r="M172" i="20" s="1"/>
  <c r="B173" i="20"/>
  <c r="M173" i="20" s="1"/>
  <c r="B174" i="20"/>
  <c r="M174" i="20" s="1"/>
  <c r="B175" i="20"/>
  <c r="M175" i="20" s="1"/>
  <c r="B137" i="20"/>
  <c r="M137" i="20" s="1"/>
  <c r="B136" i="20"/>
  <c r="B134" i="20"/>
  <c r="M134" i="20" s="1"/>
  <c r="B133" i="20"/>
  <c r="M133" i="20" s="1"/>
  <c r="B132" i="20"/>
  <c r="M132" i="20" s="1"/>
  <c r="B131" i="20"/>
  <c r="M131" i="20" s="1"/>
  <c r="B130" i="20"/>
  <c r="M130" i="20" s="1"/>
  <c r="B129" i="20"/>
  <c r="M129" i="20" s="1"/>
  <c r="B128" i="20"/>
  <c r="M128" i="20" s="1"/>
  <c r="B127" i="20"/>
  <c r="M127" i="20" s="1"/>
  <c r="B126" i="20"/>
  <c r="M126" i="20" s="1"/>
  <c r="B125" i="20"/>
  <c r="M125" i="20" s="1"/>
  <c r="B124" i="20"/>
  <c r="M124" i="20" s="1"/>
  <c r="B123" i="20"/>
  <c r="M123" i="20" s="1"/>
  <c r="B122" i="20"/>
  <c r="M122" i="20" s="1"/>
  <c r="B121" i="20"/>
  <c r="M121" i="20" s="1"/>
  <c r="B120" i="20"/>
  <c r="M120" i="20" s="1"/>
  <c r="B119" i="20"/>
  <c r="M119" i="20" s="1"/>
  <c r="B118" i="20"/>
  <c r="M118" i="20" s="1"/>
  <c r="B117" i="20"/>
  <c r="M117" i="20" s="1"/>
  <c r="B116" i="20"/>
  <c r="M116" i="20" s="1"/>
  <c r="B97" i="20"/>
  <c r="M97" i="20" s="1"/>
  <c r="B98" i="20"/>
  <c r="M98" i="20" s="1"/>
  <c r="B99" i="20"/>
  <c r="M99" i="20" s="1"/>
  <c r="B100" i="20"/>
  <c r="B101" i="20"/>
  <c r="M101" i="20" s="1"/>
  <c r="B102" i="20"/>
  <c r="M102" i="20" s="1"/>
  <c r="B103" i="20"/>
  <c r="M103" i="20" s="1"/>
  <c r="B104" i="20"/>
  <c r="B105" i="20"/>
  <c r="M105" i="20" s="1"/>
  <c r="B106" i="20"/>
  <c r="M106" i="20" s="1"/>
  <c r="B107" i="20"/>
  <c r="B108" i="20"/>
  <c r="M108" i="20" s="1"/>
  <c r="B109" i="20"/>
  <c r="M109" i="20" s="1"/>
  <c r="B110" i="20"/>
  <c r="B111" i="20"/>
  <c r="M111" i="20" s="1"/>
  <c r="B112" i="20"/>
  <c r="M112" i="20" s="1"/>
  <c r="B113" i="20"/>
  <c r="B114" i="20"/>
  <c r="M114" i="20" s="1"/>
  <c r="B96" i="20"/>
  <c r="B95" i="20"/>
  <c r="M100" i="20" l="1"/>
  <c r="M107" i="20"/>
  <c r="M113" i="20"/>
  <c r="M104" i="20"/>
  <c r="M110" i="20"/>
  <c r="M96" i="20"/>
  <c r="E28" i="122"/>
  <c r="B28" i="122"/>
  <c r="E40" i="122"/>
  <c r="C57" i="122" s="1"/>
  <c r="C45" i="122" l="1"/>
  <c r="C43" i="122"/>
  <c r="C50" i="122"/>
  <c r="C42" i="122"/>
  <c r="C51" i="122"/>
  <c r="C49" i="122"/>
  <c r="C52" i="122"/>
  <c r="C48" i="122"/>
  <c r="C53" i="122"/>
  <c r="C47" i="122"/>
  <c r="C56" i="122"/>
  <c r="C46" i="122"/>
  <c r="C55" i="122"/>
  <c r="C54" i="122"/>
  <c r="C41" i="122"/>
  <c r="C44" i="122"/>
  <c r="C42" i="110" l="1"/>
  <c r="V41" i="106" l="1"/>
  <c r="K72" i="24"/>
  <c r="K71" i="24"/>
  <c r="K70" i="24"/>
  <c r="K69" i="24"/>
  <c r="Q80" i="62"/>
  <c r="Q78" i="62"/>
  <c r="E23" i="116"/>
  <c r="P414" i="68"/>
  <c r="Q414" i="68"/>
  <c r="R414" i="68"/>
  <c r="S414" i="68"/>
  <c r="T414" i="68"/>
  <c r="U414" i="68"/>
  <c r="V414" i="68"/>
  <c r="W414" i="68"/>
  <c r="X414" i="68"/>
  <c r="Y414" i="68"/>
  <c r="Z414" i="68"/>
  <c r="AA414" i="68"/>
  <c r="AB414" i="68"/>
  <c r="AC414" i="68"/>
  <c r="AD414" i="68"/>
  <c r="AE414" i="68"/>
  <c r="AF414" i="68"/>
  <c r="AG414" i="68"/>
  <c r="AH414" i="68"/>
  <c r="AI414" i="68"/>
  <c r="AJ414" i="68"/>
  <c r="AK414" i="68"/>
  <c r="AL414" i="68"/>
  <c r="AM414" i="68"/>
  <c r="AN414" i="68"/>
  <c r="AO414" i="68"/>
  <c r="AP414" i="68"/>
  <c r="AQ414" i="68"/>
  <c r="AR414" i="68"/>
  <c r="AS414" i="68"/>
  <c r="AT414" i="68"/>
  <c r="AU414" i="68"/>
  <c r="AV414" i="68"/>
  <c r="AW414" i="68"/>
  <c r="AX414" i="68"/>
  <c r="O414" i="68"/>
  <c r="O411" i="68"/>
  <c r="O250" i="68"/>
  <c r="P207" i="68"/>
  <c r="Q207" i="68"/>
  <c r="R207" i="68"/>
  <c r="S207" i="68"/>
  <c r="T207" i="68"/>
  <c r="U207" i="68"/>
  <c r="V207" i="68"/>
  <c r="W207" i="68"/>
  <c r="X207" i="68"/>
  <c r="Y207" i="68"/>
  <c r="Z207" i="68"/>
  <c r="AA207" i="68"/>
  <c r="AB207" i="68"/>
  <c r="AC207" i="68"/>
  <c r="AD207" i="68"/>
  <c r="AE207" i="68"/>
  <c r="AF207" i="68"/>
  <c r="AG207" i="68"/>
  <c r="AH207" i="68"/>
  <c r="AI207" i="68"/>
  <c r="AJ207" i="68"/>
  <c r="AK207" i="68"/>
  <c r="AL207" i="68"/>
  <c r="AM207" i="68"/>
  <c r="AN207" i="68"/>
  <c r="AO207" i="68"/>
  <c r="AP207" i="68"/>
  <c r="AQ207" i="68"/>
  <c r="AR207" i="68"/>
  <c r="AS207" i="68"/>
  <c r="AT207" i="68"/>
  <c r="AU207" i="68"/>
  <c r="AV207" i="68"/>
  <c r="AW207" i="68"/>
  <c r="AX207" i="68"/>
  <c r="O207" i="68"/>
  <c r="O204" i="68"/>
  <c r="O172" i="68"/>
  <c r="P172" i="68"/>
  <c r="O173" i="68"/>
  <c r="Q66" i="61"/>
  <c r="Q68" i="61" l="1"/>
  <c r="Q67" i="61"/>
  <c r="Q26" i="57" l="1"/>
  <c r="R26" i="57"/>
  <c r="S26" i="57"/>
  <c r="T26" i="57"/>
  <c r="U26" i="57"/>
  <c r="V26" i="57"/>
  <c r="W26" i="57"/>
  <c r="X26" i="57"/>
  <c r="Y26" i="57"/>
  <c r="Z26" i="57"/>
  <c r="AA26" i="57"/>
  <c r="AB26" i="57"/>
  <c r="AC26" i="57"/>
  <c r="AD26" i="57"/>
  <c r="AE26" i="57"/>
  <c r="AF26" i="57"/>
  <c r="AG26" i="57"/>
  <c r="AH26" i="57"/>
  <c r="AI26" i="57"/>
  <c r="AJ26" i="57"/>
  <c r="AK26" i="57"/>
  <c r="AL26" i="57"/>
  <c r="AM26" i="57"/>
  <c r="AN26" i="57"/>
  <c r="AO26" i="57"/>
  <c r="AP26" i="57"/>
  <c r="AQ26" i="57"/>
  <c r="AR26" i="57"/>
  <c r="AS26" i="57"/>
  <c r="AT26" i="57"/>
  <c r="AU26" i="57"/>
  <c r="AV26" i="57"/>
  <c r="AW26" i="57"/>
  <c r="AX26" i="57"/>
  <c r="AY26" i="57"/>
  <c r="P26" i="57"/>
  <c r="Q14" i="57"/>
  <c r="R14" i="57"/>
  <c r="S14" i="57"/>
  <c r="T14" i="57"/>
  <c r="U14" i="57"/>
  <c r="V14" i="57"/>
  <c r="W14" i="57"/>
  <c r="X14" i="57"/>
  <c r="Y14" i="57"/>
  <c r="Z14" i="57"/>
  <c r="AA14" i="57"/>
  <c r="AB14" i="57"/>
  <c r="AC14" i="57"/>
  <c r="AD14" i="57"/>
  <c r="AE14" i="57"/>
  <c r="AF14" i="57"/>
  <c r="AG14" i="57"/>
  <c r="AH14" i="57"/>
  <c r="AI14" i="57"/>
  <c r="AJ14" i="57"/>
  <c r="AK14" i="57"/>
  <c r="AL14" i="57"/>
  <c r="AM14" i="57"/>
  <c r="AN14" i="57"/>
  <c r="AO14" i="57"/>
  <c r="AP14" i="57"/>
  <c r="AQ14" i="57"/>
  <c r="AR14" i="57"/>
  <c r="AS14" i="57"/>
  <c r="AT14" i="57"/>
  <c r="AU14" i="57"/>
  <c r="AV14" i="57"/>
  <c r="AW14" i="57"/>
  <c r="AX14" i="57"/>
  <c r="AY14" i="57"/>
  <c r="P14" i="57"/>
  <c r="F21" i="116" l="1"/>
  <c r="E12" i="52"/>
  <c r="F95" i="106"/>
  <c r="G95" i="106"/>
  <c r="H95" i="106"/>
  <c r="I95" i="106"/>
  <c r="J95" i="106"/>
  <c r="K95" i="106"/>
  <c r="L95" i="106"/>
  <c r="M95" i="106"/>
  <c r="N95" i="106"/>
  <c r="O95" i="106"/>
  <c r="P95" i="106"/>
  <c r="Q95" i="106"/>
  <c r="R95" i="106"/>
  <c r="S95" i="106"/>
  <c r="T95" i="106"/>
  <c r="U95" i="106"/>
  <c r="V95" i="106"/>
  <c r="W95" i="106"/>
  <c r="X95" i="106"/>
  <c r="Y95" i="106"/>
  <c r="Z95" i="106"/>
  <c r="AA95" i="106"/>
  <c r="AB95" i="106"/>
  <c r="AC95" i="106"/>
  <c r="AD95" i="106"/>
  <c r="AE95" i="106"/>
  <c r="AF95" i="106"/>
  <c r="AG95" i="106"/>
  <c r="AH95" i="106"/>
  <c r="AI95" i="106"/>
  <c r="AJ95" i="106"/>
  <c r="AK95" i="106"/>
  <c r="AL95" i="106"/>
  <c r="AM95" i="106"/>
  <c r="AN95" i="106"/>
  <c r="E95" i="106"/>
  <c r="F41" i="106"/>
  <c r="G41" i="106"/>
  <c r="H41" i="106"/>
  <c r="I41" i="106"/>
  <c r="J41" i="106"/>
  <c r="K41" i="106"/>
  <c r="L41" i="106"/>
  <c r="M41" i="106"/>
  <c r="N41" i="106"/>
  <c r="O41" i="106"/>
  <c r="P41" i="106"/>
  <c r="Q41" i="106"/>
  <c r="R41" i="106"/>
  <c r="S41" i="106"/>
  <c r="T41" i="106"/>
  <c r="U41" i="106"/>
  <c r="W41" i="106"/>
  <c r="X41" i="106"/>
  <c r="Y41" i="106"/>
  <c r="Z41" i="106"/>
  <c r="AA41" i="106"/>
  <c r="AB41" i="106"/>
  <c r="AC41" i="106"/>
  <c r="AD41" i="106"/>
  <c r="AE41" i="106"/>
  <c r="AF41" i="106"/>
  <c r="AG41" i="106"/>
  <c r="AH41" i="106"/>
  <c r="AI41" i="106"/>
  <c r="AJ41" i="106"/>
  <c r="AK41" i="106"/>
  <c r="AL41" i="106"/>
  <c r="AM41" i="106"/>
  <c r="AN41" i="106"/>
  <c r="E41" i="106"/>
  <c r="O380" i="68" l="1"/>
  <c r="P380" i="68"/>
  <c r="Q380" i="68"/>
  <c r="R380" i="68"/>
  <c r="S380" i="68"/>
  <c r="T380" i="68"/>
  <c r="U380" i="68"/>
  <c r="V380" i="68"/>
  <c r="W380" i="68"/>
  <c r="X380" i="68"/>
  <c r="Y380" i="68"/>
  <c r="Z380" i="68"/>
  <c r="AA380" i="68"/>
  <c r="AB380" i="68"/>
  <c r="AC380" i="68"/>
  <c r="AD380" i="68"/>
  <c r="AE380" i="68"/>
  <c r="AF380" i="68"/>
  <c r="AG380" i="68"/>
  <c r="AH380" i="68"/>
  <c r="AI380" i="68"/>
  <c r="AJ380" i="68"/>
  <c r="AK380" i="68"/>
  <c r="AL380" i="68"/>
  <c r="AM380" i="68"/>
  <c r="AN380" i="68"/>
  <c r="AO380" i="68"/>
  <c r="AP380" i="68"/>
  <c r="AQ380" i="68"/>
  <c r="AR380" i="68"/>
  <c r="AS380" i="68"/>
  <c r="AT380" i="68"/>
  <c r="AU380" i="68"/>
  <c r="AV380" i="68"/>
  <c r="AW380" i="68"/>
  <c r="AX380" i="68"/>
  <c r="O381" i="68"/>
  <c r="P381" i="68"/>
  <c r="Q381" i="68"/>
  <c r="R381" i="68"/>
  <c r="S381" i="68"/>
  <c r="T381" i="68"/>
  <c r="U381" i="68"/>
  <c r="V381" i="68"/>
  <c r="W381" i="68"/>
  <c r="X381" i="68"/>
  <c r="Y381" i="68"/>
  <c r="Z381" i="68"/>
  <c r="AA381" i="68"/>
  <c r="AB381" i="68"/>
  <c r="AC381" i="68"/>
  <c r="AD381" i="68"/>
  <c r="AE381" i="68"/>
  <c r="AF381" i="68"/>
  <c r="AG381" i="68"/>
  <c r="AH381" i="68"/>
  <c r="AI381" i="68"/>
  <c r="AJ381" i="68"/>
  <c r="AK381" i="68"/>
  <c r="AL381" i="68"/>
  <c r="AM381" i="68"/>
  <c r="AN381" i="68"/>
  <c r="AO381" i="68"/>
  <c r="AP381" i="68"/>
  <c r="AQ381" i="68"/>
  <c r="AR381" i="68"/>
  <c r="AS381" i="68"/>
  <c r="AT381" i="68"/>
  <c r="AU381" i="68"/>
  <c r="AV381" i="68"/>
  <c r="AW381" i="68"/>
  <c r="AX381" i="68"/>
  <c r="O382" i="68"/>
  <c r="P382" i="68"/>
  <c r="Q382" i="68"/>
  <c r="R382" i="68"/>
  <c r="S382" i="68"/>
  <c r="T382" i="68"/>
  <c r="U382" i="68"/>
  <c r="V382" i="68"/>
  <c r="W382" i="68"/>
  <c r="X382" i="68"/>
  <c r="Y382" i="68"/>
  <c r="Z382" i="68"/>
  <c r="AA382" i="68"/>
  <c r="AB382" i="68"/>
  <c r="AC382" i="68"/>
  <c r="AD382" i="68"/>
  <c r="AE382" i="68"/>
  <c r="AF382" i="68"/>
  <c r="AG382" i="68"/>
  <c r="AH382" i="68"/>
  <c r="AI382" i="68"/>
  <c r="AJ382" i="68"/>
  <c r="AK382" i="68"/>
  <c r="AL382" i="68"/>
  <c r="AM382" i="68"/>
  <c r="AN382" i="68"/>
  <c r="AO382" i="68"/>
  <c r="AP382" i="68"/>
  <c r="AQ382" i="68"/>
  <c r="AR382" i="68"/>
  <c r="AS382" i="68"/>
  <c r="AT382" i="68"/>
  <c r="AU382" i="68"/>
  <c r="AV382" i="68"/>
  <c r="AW382" i="68"/>
  <c r="AX382" i="68"/>
  <c r="O383" i="68"/>
  <c r="P383" i="68"/>
  <c r="Q383" i="68"/>
  <c r="R383" i="68"/>
  <c r="S383" i="68"/>
  <c r="T383" i="68"/>
  <c r="U383" i="68"/>
  <c r="V383" i="68"/>
  <c r="W383" i="68"/>
  <c r="X383" i="68"/>
  <c r="Y383" i="68"/>
  <c r="Z383" i="68"/>
  <c r="AA383" i="68"/>
  <c r="AB383" i="68"/>
  <c r="AC383" i="68"/>
  <c r="AD383" i="68"/>
  <c r="AE383" i="68"/>
  <c r="AF383" i="68"/>
  <c r="AG383" i="68"/>
  <c r="AH383" i="68"/>
  <c r="AI383" i="68"/>
  <c r="AJ383" i="68"/>
  <c r="AK383" i="68"/>
  <c r="AL383" i="68"/>
  <c r="AM383" i="68"/>
  <c r="AN383" i="68"/>
  <c r="AO383" i="68"/>
  <c r="AP383" i="68"/>
  <c r="AQ383" i="68"/>
  <c r="AR383" i="68"/>
  <c r="AS383" i="68"/>
  <c r="AT383" i="68"/>
  <c r="AU383" i="68"/>
  <c r="AV383" i="68"/>
  <c r="AW383" i="68"/>
  <c r="AX383" i="68"/>
  <c r="O384" i="68"/>
  <c r="P384" i="68"/>
  <c r="Q384" i="68"/>
  <c r="R384" i="68"/>
  <c r="S384" i="68"/>
  <c r="T384" i="68"/>
  <c r="U384" i="68"/>
  <c r="V384" i="68"/>
  <c r="W384" i="68"/>
  <c r="X384" i="68"/>
  <c r="Y384" i="68"/>
  <c r="Z384" i="68"/>
  <c r="AA384" i="68"/>
  <c r="AB384" i="68"/>
  <c r="AC384" i="68"/>
  <c r="AD384" i="68"/>
  <c r="AE384" i="68"/>
  <c r="AF384" i="68"/>
  <c r="AG384" i="68"/>
  <c r="AH384" i="68"/>
  <c r="AI384" i="68"/>
  <c r="AJ384" i="68"/>
  <c r="AK384" i="68"/>
  <c r="AL384" i="68"/>
  <c r="AM384" i="68"/>
  <c r="AN384" i="68"/>
  <c r="AO384" i="68"/>
  <c r="AP384" i="68"/>
  <c r="AQ384" i="68"/>
  <c r="AR384" i="68"/>
  <c r="AS384" i="68"/>
  <c r="AT384" i="68"/>
  <c r="AU384" i="68"/>
  <c r="AV384" i="68"/>
  <c r="AW384" i="68"/>
  <c r="AX384" i="68"/>
  <c r="O385" i="68"/>
  <c r="P385" i="68"/>
  <c r="Q385" i="68"/>
  <c r="R385" i="68"/>
  <c r="S385" i="68"/>
  <c r="T385" i="68"/>
  <c r="U385" i="68"/>
  <c r="V385" i="68"/>
  <c r="W385" i="68"/>
  <c r="X385" i="68"/>
  <c r="Y385" i="68"/>
  <c r="Z385" i="68"/>
  <c r="AA385" i="68"/>
  <c r="AB385" i="68"/>
  <c r="AC385" i="68"/>
  <c r="AD385" i="68"/>
  <c r="AE385" i="68"/>
  <c r="AF385" i="68"/>
  <c r="AG385" i="68"/>
  <c r="AH385" i="68"/>
  <c r="AI385" i="68"/>
  <c r="AJ385" i="68"/>
  <c r="AK385" i="68"/>
  <c r="AL385" i="68"/>
  <c r="AM385" i="68"/>
  <c r="AN385" i="68"/>
  <c r="AO385" i="68"/>
  <c r="AP385" i="68"/>
  <c r="AQ385" i="68"/>
  <c r="AR385" i="68"/>
  <c r="AS385" i="68"/>
  <c r="AT385" i="68"/>
  <c r="AU385" i="68"/>
  <c r="AV385" i="68"/>
  <c r="AW385" i="68"/>
  <c r="AX385" i="68"/>
  <c r="O386" i="68"/>
  <c r="P386" i="68"/>
  <c r="Q386" i="68"/>
  <c r="R386" i="68"/>
  <c r="S386" i="68"/>
  <c r="T386" i="68"/>
  <c r="U386" i="68"/>
  <c r="V386" i="68"/>
  <c r="W386" i="68"/>
  <c r="X386" i="68"/>
  <c r="Y386" i="68"/>
  <c r="Z386" i="68"/>
  <c r="AA386" i="68"/>
  <c r="AB386" i="68"/>
  <c r="AC386" i="68"/>
  <c r="AD386" i="68"/>
  <c r="AE386" i="68"/>
  <c r="AF386" i="68"/>
  <c r="AG386" i="68"/>
  <c r="AH386" i="68"/>
  <c r="AI386" i="68"/>
  <c r="AJ386" i="68"/>
  <c r="AK386" i="68"/>
  <c r="AL386" i="68"/>
  <c r="AM386" i="68"/>
  <c r="AN386" i="68"/>
  <c r="AO386" i="68"/>
  <c r="AP386" i="68"/>
  <c r="AQ386" i="68"/>
  <c r="AR386" i="68"/>
  <c r="AS386" i="68"/>
  <c r="AT386" i="68"/>
  <c r="AU386" i="68"/>
  <c r="AV386" i="68"/>
  <c r="AW386" i="68"/>
  <c r="AX386" i="68"/>
  <c r="O387" i="68"/>
  <c r="P387" i="68"/>
  <c r="Q387" i="68"/>
  <c r="R387" i="68"/>
  <c r="S387" i="68"/>
  <c r="T387" i="68"/>
  <c r="U387" i="68"/>
  <c r="V387" i="68"/>
  <c r="W387" i="68"/>
  <c r="X387" i="68"/>
  <c r="Y387" i="68"/>
  <c r="Z387" i="68"/>
  <c r="AA387" i="68"/>
  <c r="AB387" i="68"/>
  <c r="AC387" i="68"/>
  <c r="AD387" i="68"/>
  <c r="AE387" i="68"/>
  <c r="AF387" i="68"/>
  <c r="AG387" i="68"/>
  <c r="AH387" i="68"/>
  <c r="AI387" i="68"/>
  <c r="AJ387" i="68"/>
  <c r="AK387" i="68"/>
  <c r="AL387" i="68"/>
  <c r="AM387" i="68"/>
  <c r="AN387" i="68"/>
  <c r="AO387" i="68"/>
  <c r="AP387" i="68"/>
  <c r="AQ387" i="68"/>
  <c r="AR387" i="68"/>
  <c r="AS387" i="68"/>
  <c r="AT387" i="68"/>
  <c r="AU387" i="68"/>
  <c r="AV387" i="68"/>
  <c r="AW387" i="68"/>
  <c r="AX387" i="68"/>
  <c r="O388" i="68"/>
  <c r="P388" i="68"/>
  <c r="Q388" i="68"/>
  <c r="R388" i="68"/>
  <c r="S388" i="68"/>
  <c r="T388" i="68"/>
  <c r="U388" i="68"/>
  <c r="V388" i="68"/>
  <c r="W388" i="68"/>
  <c r="X388" i="68"/>
  <c r="Y388" i="68"/>
  <c r="Z388" i="68"/>
  <c r="AA388" i="68"/>
  <c r="AB388" i="68"/>
  <c r="AC388" i="68"/>
  <c r="AD388" i="68"/>
  <c r="AE388" i="68"/>
  <c r="AF388" i="68"/>
  <c r="AG388" i="68"/>
  <c r="AH388" i="68"/>
  <c r="AI388" i="68"/>
  <c r="AJ388" i="68"/>
  <c r="AK388" i="68"/>
  <c r="AL388" i="68"/>
  <c r="AM388" i="68"/>
  <c r="AN388" i="68"/>
  <c r="AO388" i="68"/>
  <c r="AP388" i="68"/>
  <c r="AQ388" i="68"/>
  <c r="AR388" i="68"/>
  <c r="AS388" i="68"/>
  <c r="AT388" i="68"/>
  <c r="AU388" i="68"/>
  <c r="AV388" i="68"/>
  <c r="AW388" i="68"/>
  <c r="AX388" i="68"/>
  <c r="O389" i="68"/>
  <c r="P389" i="68"/>
  <c r="Q389" i="68"/>
  <c r="R389" i="68"/>
  <c r="S389" i="68"/>
  <c r="T389" i="68"/>
  <c r="U389" i="68"/>
  <c r="V389" i="68"/>
  <c r="W389" i="68"/>
  <c r="X389" i="68"/>
  <c r="Y389" i="68"/>
  <c r="Z389" i="68"/>
  <c r="AA389" i="68"/>
  <c r="AB389" i="68"/>
  <c r="AC389" i="68"/>
  <c r="AD389" i="68"/>
  <c r="AE389" i="68"/>
  <c r="AF389" i="68"/>
  <c r="AG389" i="68"/>
  <c r="AH389" i="68"/>
  <c r="AI389" i="68"/>
  <c r="AJ389" i="68"/>
  <c r="AK389" i="68"/>
  <c r="AL389" i="68"/>
  <c r="AM389" i="68"/>
  <c r="AN389" i="68"/>
  <c r="AO389" i="68"/>
  <c r="AP389" i="68"/>
  <c r="AQ389" i="68"/>
  <c r="AR389" i="68"/>
  <c r="AS389" i="68"/>
  <c r="AT389" i="68"/>
  <c r="AU389" i="68"/>
  <c r="AV389" i="68"/>
  <c r="AW389" i="68"/>
  <c r="AX389" i="68"/>
  <c r="O390" i="68"/>
  <c r="P390" i="68"/>
  <c r="Q390" i="68"/>
  <c r="R390" i="68"/>
  <c r="S390" i="68"/>
  <c r="T390" i="68"/>
  <c r="U390" i="68"/>
  <c r="V390" i="68"/>
  <c r="W390" i="68"/>
  <c r="X390" i="68"/>
  <c r="Y390" i="68"/>
  <c r="Z390" i="68"/>
  <c r="AA390" i="68"/>
  <c r="AB390" i="68"/>
  <c r="AC390" i="68"/>
  <c r="AD390" i="68"/>
  <c r="AE390" i="68"/>
  <c r="AF390" i="68"/>
  <c r="AG390" i="68"/>
  <c r="AH390" i="68"/>
  <c r="AI390" i="68"/>
  <c r="AJ390" i="68"/>
  <c r="AK390" i="68"/>
  <c r="AL390" i="68"/>
  <c r="AM390" i="68"/>
  <c r="AN390" i="68"/>
  <c r="AO390" i="68"/>
  <c r="AP390" i="68"/>
  <c r="AQ390" i="68"/>
  <c r="AR390" i="68"/>
  <c r="AS390" i="68"/>
  <c r="AT390" i="68"/>
  <c r="AU390" i="68"/>
  <c r="AV390" i="68"/>
  <c r="AW390" i="68"/>
  <c r="AX390" i="68"/>
  <c r="O391" i="68"/>
  <c r="P391" i="68"/>
  <c r="Q391" i="68"/>
  <c r="R391" i="68"/>
  <c r="S391" i="68"/>
  <c r="T391" i="68"/>
  <c r="U391" i="68"/>
  <c r="V391" i="68"/>
  <c r="W391" i="68"/>
  <c r="X391" i="68"/>
  <c r="Y391" i="68"/>
  <c r="Z391" i="68"/>
  <c r="AA391" i="68"/>
  <c r="AB391" i="68"/>
  <c r="AC391" i="68"/>
  <c r="AD391" i="68"/>
  <c r="AE391" i="68"/>
  <c r="AF391" i="68"/>
  <c r="AG391" i="68"/>
  <c r="AH391" i="68"/>
  <c r="AI391" i="68"/>
  <c r="AJ391" i="68"/>
  <c r="AK391" i="68"/>
  <c r="AL391" i="68"/>
  <c r="AM391" i="68"/>
  <c r="AN391" i="68"/>
  <c r="AO391" i="68"/>
  <c r="AP391" i="68"/>
  <c r="AQ391" i="68"/>
  <c r="AR391" i="68"/>
  <c r="AS391" i="68"/>
  <c r="AT391" i="68"/>
  <c r="AU391" i="68"/>
  <c r="AV391" i="68"/>
  <c r="AW391" i="68"/>
  <c r="AX391" i="68"/>
  <c r="O392" i="68"/>
  <c r="P392" i="68"/>
  <c r="Q392" i="68"/>
  <c r="R392" i="68"/>
  <c r="S392" i="68"/>
  <c r="T392" i="68"/>
  <c r="U392" i="68"/>
  <c r="V392" i="68"/>
  <c r="W392" i="68"/>
  <c r="X392" i="68"/>
  <c r="Y392" i="68"/>
  <c r="Z392" i="68"/>
  <c r="AA392" i="68"/>
  <c r="AB392" i="68"/>
  <c r="AC392" i="68"/>
  <c r="AD392" i="68"/>
  <c r="AE392" i="68"/>
  <c r="AF392" i="68"/>
  <c r="AG392" i="68"/>
  <c r="AH392" i="68"/>
  <c r="AI392" i="68"/>
  <c r="AJ392" i="68"/>
  <c r="AK392" i="68"/>
  <c r="AL392" i="68"/>
  <c r="AM392" i="68"/>
  <c r="AN392" i="68"/>
  <c r="AO392" i="68"/>
  <c r="AP392" i="68"/>
  <c r="AQ392" i="68"/>
  <c r="AR392" i="68"/>
  <c r="AS392" i="68"/>
  <c r="AT392" i="68"/>
  <c r="AU392" i="68"/>
  <c r="AV392" i="68"/>
  <c r="AW392" i="68"/>
  <c r="AX392" i="68"/>
  <c r="O393" i="68"/>
  <c r="P393" i="68"/>
  <c r="Q393" i="68"/>
  <c r="R393" i="68"/>
  <c r="S393" i="68"/>
  <c r="T393" i="68"/>
  <c r="U393" i="68"/>
  <c r="V393" i="68"/>
  <c r="W393" i="68"/>
  <c r="X393" i="68"/>
  <c r="Y393" i="68"/>
  <c r="Z393" i="68"/>
  <c r="AA393" i="68"/>
  <c r="AB393" i="68"/>
  <c r="AC393" i="68"/>
  <c r="AD393" i="68"/>
  <c r="AE393" i="68"/>
  <c r="AF393" i="68"/>
  <c r="AG393" i="68"/>
  <c r="AH393" i="68"/>
  <c r="AI393" i="68"/>
  <c r="AJ393" i="68"/>
  <c r="AK393" i="68"/>
  <c r="AL393" i="68"/>
  <c r="AM393" i="68"/>
  <c r="AN393" i="68"/>
  <c r="AO393" i="68"/>
  <c r="AP393" i="68"/>
  <c r="AQ393" i="68"/>
  <c r="AR393" i="68"/>
  <c r="AS393" i="68"/>
  <c r="AT393" i="68"/>
  <c r="AU393" i="68"/>
  <c r="AV393" i="68"/>
  <c r="AW393" i="68"/>
  <c r="AX393" i="68"/>
  <c r="O394" i="68"/>
  <c r="P394" i="68"/>
  <c r="Q394" i="68"/>
  <c r="R394" i="68"/>
  <c r="S394" i="68"/>
  <c r="T394" i="68"/>
  <c r="U394" i="68"/>
  <c r="V394" i="68"/>
  <c r="W394" i="68"/>
  <c r="X394" i="68"/>
  <c r="Y394" i="68"/>
  <c r="Z394" i="68"/>
  <c r="AA394" i="68"/>
  <c r="AB394" i="68"/>
  <c r="AC394" i="68"/>
  <c r="AD394" i="68"/>
  <c r="AE394" i="68"/>
  <c r="AF394" i="68"/>
  <c r="AG394" i="68"/>
  <c r="AH394" i="68"/>
  <c r="AI394" i="68"/>
  <c r="AJ394" i="68"/>
  <c r="AK394" i="68"/>
  <c r="AL394" i="68"/>
  <c r="AM394" i="68"/>
  <c r="AN394" i="68"/>
  <c r="AO394" i="68"/>
  <c r="AP394" i="68"/>
  <c r="AQ394" i="68"/>
  <c r="AR394" i="68"/>
  <c r="AS394" i="68"/>
  <c r="AT394" i="68"/>
  <c r="AU394" i="68"/>
  <c r="AV394" i="68"/>
  <c r="AW394" i="68"/>
  <c r="AX394" i="68"/>
  <c r="O395" i="68"/>
  <c r="P395" i="68"/>
  <c r="Q395" i="68"/>
  <c r="R395" i="68"/>
  <c r="S395" i="68"/>
  <c r="T395" i="68"/>
  <c r="U395" i="68"/>
  <c r="V395" i="68"/>
  <c r="W395" i="68"/>
  <c r="X395" i="68"/>
  <c r="Y395" i="68"/>
  <c r="Z395" i="68"/>
  <c r="AA395" i="68"/>
  <c r="AB395" i="68"/>
  <c r="AC395" i="68"/>
  <c r="AD395" i="68"/>
  <c r="AE395" i="68"/>
  <c r="AF395" i="68"/>
  <c r="AG395" i="68"/>
  <c r="AH395" i="68"/>
  <c r="AI395" i="68"/>
  <c r="AJ395" i="68"/>
  <c r="AK395" i="68"/>
  <c r="AL395" i="68"/>
  <c r="AM395" i="68"/>
  <c r="AN395" i="68"/>
  <c r="AO395" i="68"/>
  <c r="AP395" i="68"/>
  <c r="AQ395" i="68"/>
  <c r="AR395" i="68"/>
  <c r="AS395" i="68"/>
  <c r="AT395" i="68"/>
  <c r="AU395" i="68"/>
  <c r="AV395" i="68"/>
  <c r="AW395" i="68"/>
  <c r="AX395" i="68"/>
  <c r="O396" i="68"/>
  <c r="P396" i="68"/>
  <c r="Q396" i="68"/>
  <c r="R396" i="68"/>
  <c r="S396" i="68"/>
  <c r="T396" i="68"/>
  <c r="U396" i="68"/>
  <c r="V396" i="68"/>
  <c r="W396" i="68"/>
  <c r="X396" i="68"/>
  <c r="Y396" i="68"/>
  <c r="Z396" i="68"/>
  <c r="AA396" i="68"/>
  <c r="AB396" i="68"/>
  <c r="AC396" i="68"/>
  <c r="AD396" i="68"/>
  <c r="AE396" i="68"/>
  <c r="AF396" i="68"/>
  <c r="AG396" i="68"/>
  <c r="AH396" i="68"/>
  <c r="AI396" i="68"/>
  <c r="AJ396" i="68"/>
  <c r="AK396" i="68"/>
  <c r="AL396" i="68"/>
  <c r="AM396" i="68"/>
  <c r="AN396" i="68"/>
  <c r="AO396" i="68"/>
  <c r="AP396" i="68"/>
  <c r="AQ396" i="68"/>
  <c r="AR396" i="68"/>
  <c r="AS396" i="68"/>
  <c r="AT396" i="68"/>
  <c r="AU396" i="68"/>
  <c r="AV396" i="68"/>
  <c r="AW396" i="68"/>
  <c r="AX396" i="68"/>
  <c r="O397" i="68"/>
  <c r="P397" i="68"/>
  <c r="Q397" i="68"/>
  <c r="R397" i="68"/>
  <c r="S397" i="68"/>
  <c r="T397" i="68"/>
  <c r="U397" i="68"/>
  <c r="V397" i="68"/>
  <c r="W397" i="68"/>
  <c r="X397" i="68"/>
  <c r="Y397" i="68"/>
  <c r="Z397" i="68"/>
  <c r="AA397" i="68"/>
  <c r="AB397" i="68"/>
  <c r="AC397" i="68"/>
  <c r="AD397" i="68"/>
  <c r="AE397" i="68"/>
  <c r="AF397" i="68"/>
  <c r="AG397" i="68"/>
  <c r="AH397" i="68"/>
  <c r="AI397" i="68"/>
  <c r="AJ397" i="68"/>
  <c r="AK397" i="68"/>
  <c r="AL397" i="68"/>
  <c r="AM397" i="68"/>
  <c r="AN397" i="68"/>
  <c r="AO397" i="68"/>
  <c r="AP397" i="68"/>
  <c r="AQ397" i="68"/>
  <c r="AR397" i="68"/>
  <c r="AS397" i="68"/>
  <c r="AT397" i="68"/>
  <c r="AU397" i="68"/>
  <c r="AV397" i="68"/>
  <c r="AW397" i="68"/>
  <c r="AX397" i="68"/>
  <c r="O398" i="68"/>
  <c r="P398" i="68"/>
  <c r="Q398" i="68"/>
  <c r="R398" i="68"/>
  <c r="S398" i="68"/>
  <c r="T398" i="68"/>
  <c r="U398" i="68"/>
  <c r="V398" i="68"/>
  <c r="W398" i="68"/>
  <c r="X398" i="68"/>
  <c r="Y398" i="68"/>
  <c r="Z398" i="68"/>
  <c r="AA398" i="68"/>
  <c r="AB398" i="68"/>
  <c r="AC398" i="68"/>
  <c r="AD398" i="68"/>
  <c r="AE398" i="68"/>
  <c r="AF398" i="68"/>
  <c r="AG398" i="68"/>
  <c r="AH398" i="68"/>
  <c r="AI398" i="68"/>
  <c r="AJ398" i="68"/>
  <c r="AK398" i="68"/>
  <c r="AL398" i="68"/>
  <c r="AM398" i="68"/>
  <c r="AN398" i="68"/>
  <c r="AO398" i="68"/>
  <c r="AP398" i="68"/>
  <c r="AQ398" i="68"/>
  <c r="AR398" i="68"/>
  <c r="AS398" i="68"/>
  <c r="AT398" i="68"/>
  <c r="AU398" i="68"/>
  <c r="AV398" i="68"/>
  <c r="AW398" i="68"/>
  <c r="AX398" i="68"/>
  <c r="O399" i="68"/>
  <c r="P399" i="68"/>
  <c r="Q399" i="68"/>
  <c r="R399" i="68"/>
  <c r="S399" i="68"/>
  <c r="T399" i="68"/>
  <c r="U399" i="68"/>
  <c r="V399" i="68"/>
  <c r="W399" i="68"/>
  <c r="X399" i="68"/>
  <c r="Y399" i="68"/>
  <c r="Z399" i="68"/>
  <c r="AA399" i="68"/>
  <c r="AB399" i="68"/>
  <c r="AC399" i="68"/>
  <c r="AD399" i="68"/>
  <c r="AE399" i="68"/>
  <c r="AF399" i="68"/>
  <c r="AG399" i="68"/>
  <c r="AH399" i="68"/>
  <c r="AI399" i="68"/>
  <c r="AJ399" i="68"/>
  <c r="AK399" i="68"/>
  <c r="AL399" i="68"/>
  <c r="AM399" i="68"/>
  <c r="AN399" i="68"/>
  <c r="AO399" i="68"/>
  <c r="AP399" i="68"/>
  <c r="AQ399" i="68"/>
  <c r="AR399" i="68"/>
  <c r="AS399" i="68"/>
  <c r="AT399" i="68"/>
  <c r="AU399" i="68"/>
  <c r="AV399" i="68"/>
  <c r="AW399" i="68"/>
  <c r="AX399" i="68"/>
  <c r="O400" i="68"/>
  <c r="P400" i="68"/>
  <c r="Q400" i="68"/>
  <c r="R400" i="68"/>
  <c r="S400" i="68"/>
  <c r="T400" i="68"/>
  <c r="U400" i="68"/>
  <c r="V400" i="68"/>
  <c r="W400" i="68"/>
  <c r="X400" i="68"/>
  <c r="Y400" i="68"/>
  <c r="Z400" i="68"/>
  <c r="AA400" i="68"/>
  <c r="AB400" i="68"/>
  <c r="AC400" i="68"/>
  <c r="AD400" i="68"/>
  <c r="AE400" i="68"/>
  <c r="AF400" i="68"/>
  <c r="AG400" i="68"/>
  <c r="AH400" i="68"/>
  <c r="AI400" i="68"/>
  <c r="AJ400" i="68"/>
  <c r="AK400" i="68"/>
  <c r="AL400" i="68"/>
  <c r="AM400" i="68"/>
  <c r="AN400" i="68"/>
  <c r="AO400" i="68"/>
  <c r="AP400" i="68"/>
  <c r="AQ400" i="68"/>
  <c r="AR400" i="68"/>
  <c r="AS400" i="68"/>
  <c r="AT400" i="68"/>
  <c r="AU400" i="68"/>
  <c r="AV400" i="68"/>
  <c r="AW400" i="68"/>
  <c r="AX400" i="68"/>
  <c r="O401" i="68"/>
  <c r="P401" i="68"/>
  <c r="Q401" i="68"/>
  <c r="R401" i="68"/>
  <c r="S401" i="68"/>
  <c r="T401" i="68"/>
  <c r="U401" i="68"/>
  <c r="V401" i="68"/>
  <c r="W401" i="68"/>
  <c r="X401" i="68"/>
  <c r="Y401" i="68"/>
  <c r="Z401" i="68"/>
  <c r="AA401" i="68"/>
  <c r="AB401" i="68"/>
  <c r="AC401" i="68"/>
  <c r="AD401" i="68"/>
  <c r="AE401" i="68"/>
  <c r="AF401" i="68"/>
  <c r="AG401" i="68"/>
  <c r="AH401" i="68"/>
  <c r="AI401" i="68"/>
  <c r="AJ401" i="68"/>
  <c r="AK401" i="68"/>
  <c r="AL401" i="68"/>
  <c r="AM401" i="68"/>
  <c r="AN401" i="68"/>
  <c r="AO401" i="68"/>
  <c r="AP401" i="68"/>
  <c r="AQ401" i="68"/>
  <c r="AR401" i="68"/>
  <c r="AS401" i="68"/>
  <c r="AT401" i="68"/>
  <c r="AU401" i="68"/>
  <c r="AV401" i="68"/>
  <c r="AW401" i="68"/>
  <c r="AX401" i="68"/>
  <c r="O402" i="68"/>
  <c r="P402" i="68"/>
  <c r="Q402" i="68"/>
  <c r="R402" i="68"/>
  <c r="S402" i="68"/>
  <c r="T402" i="68"/>
  <c r="U402" i="68"/>
  <c r="V402" i="68"/>
  <c r="W402" i="68"/>
  <c r="X402" i="68"/>
  <c r="Y402" i="68"/>
  <c r="Z402" i="68"/>
  <c r="AA402" i="68"/>
  <c r="AB402" i="68"/>
  <c r="AC402" i="68"/>
  <c r="AD402" i="68"/>
  <c r="AE402" i="68"/>
  <c r="AF402" i="68"/>
  <c r="AG402" i="68"/>
  <c r="AH402" i="68"/>
  <c r="AI402" i="68"/>
  <c r="AJ402" i="68"/>
  <c r="AK402" i="68"/>
  <c r="AL402" i="68"/>
  <c r="AM402" i="68"/>
  <c r="AN402" i="68"/>
  <c r="AO402" i="68"/>
  <c r="AP402" i="68"/>
  <c r="AQ402" i="68"/>
  <c r="AR402" i="68"/>
  <c r="AS402" i="68"/>
  <c r="AT402" i="68"/>
  <c r="AU402" i="68"/>
  <c r="AV402" i="68"/>
  <c r="AW402" i="68"/>
  <c r="AX402" i="68"/>
  <c r="O403" i="68"/>
  <c r="P403" i="68"/>
  <c r="Q403" i="68"/>
  <c r="R403" i="68"/>
  <c r="S403" i="68"/>
  <c r="T403" i="68"/>
  <c r="U403" i="68"/>
  <c r="V403" i="68"/>
  <c r="W403" i="68"/>
  <c r="X403" i="68"/>
  <c r="Y403" i="68"/>
  <c r="Z403" i="68"/>
  <c r="AA403" i="68"/>
  <c r="AB403" i="68"/>
  <c r="AC403" i="68"/>
  <c r="AD403" i="68"/>
  <c r="AE403" i="68"/>
  <c r="AF403" i="68"/>
  <c r="AG403" i="68"/>
  <c r="AH403" i="68"/>
  <c r="AI403" i="68"/>
  <c r="AJ403" i="68"/>
  <c r="AK403" i="68"/>
  <c r="AL403" i="68"/>
  <c r="AM403" i="68"/>
  <c r="AN403" i="68"/>
  <c r="AO403" i="68"/>
  <c r="AP403" i="68"/>
  <c r="AQ403" i="68"/>
  <c r="AR403" i="68"/>
  <c r="AS403" i="68"/>
  <c r="AT403" i="68"/>
  <c r="AU403" i="68"/>
  <c r="AV403" i="68"/>
  <c r="AW403" i="68"/>
  <c r="AX403" i="68"/>
  <c r="O404" i="68"/>
  <c r="P404" i="68"/>
  <c r="Q404" i="68"/>
  <c r="R404" i="68"/>
  <c r="S404" i="68"/>
  <c r="T404" i="68"/>
  <c r="U404" i="68"/>
  <c r="V404" i="68"/>
  <c r="W404" i="68"/>
  <c r="X404" i="68"/>
  <c r="Y404" i="68"/>
  <c r="Z404" i="68"/>
  <c r="AA404" i="68"/>
  <c r="AB404" i="68"/>
  <c r="AC404" i="68"/>
  <c r="AD404" i="68"/>
  <c r="AE404" i="68"/>
  <c r="AF404" i="68"/>
  <c r="AG404" i="68"/>
  <c r="AH404" i="68"/>
  <c r="AI404" i="68"/>
  <c r="AJ404" i="68"/>
  <c r="AK404" i="68"/>
  <c r="AL404" i="68"/>
  <c r="AM404" i="68"/>
  <c r="AN404" i="68"/>
  <c r="AO404" i="68"/>
  <c r="AP404" i="68"/>
  <c r="AQ404" i="68"/>
  <c r="AR404" i="68"/>
  <c r="AS404" i="68"/>
  <c r="AT404" i="68"/>
  <c r="AU404" i="68"/>
  <c r="AV404" i="68"/>
  <c r="AW404" i="68"/>
  <c r="AX404" i="68"/>
  <c r="O405" i="68"/>
  <c r="P405" i="68"/>
  <c r="Q405" i="68"/>
  <c r="R405" i="68"/>
  <c r="S405" i="68"/>
  <c r="T405" i="68"/>
  <c r="U405" i="68"/>
  <c r="V405" i="68"/>
  <c r="W405" i="68"/>
  <c r="X405" i="68"/>
  <c r="Y405" i="68"/>
  <c r="Z405" i="68"/>
  <c r="AA405" i="68"/>
  <c r="AB405" i="68"/>
  <c r="AC405" i="68"/>
  <c r="AD405" i="68"/>
  <c r="AE405" i="68"/>
  <c r="AF405" i="68"/>
  <c r="AG405" i="68"/>
  <c r="AH405" i="68"/>
  <c r="AI405" i="68"/>
  <c r="AJ405" i="68"/>
  <c r="AK405" i="68"/>
  <c r="AL405" i="68"/>
  <c r="AM405" i="68"/>
  <c r="AN405" i="68"/>
  <c r="AO405" i="68"/>
  <c r="AP405" i="68"/>
  <c r="AQ405" i="68"/>
  <c r="AR405" i="68"/>
  <c r="AS405" i="68"/>
  <c r="AT405" i="68"/>
  <c r="AU405" i="68"/>
  <c r="AV405" i="68"/>
  <c r="AW405" i="68"/>
  <c r="AX405" i="68"/>
  <c r="O406" i="68"/>
  <c r="P406" i="68"/>
  <c r="Q406" i="68"/>
  <c r="R406" i="68"/>
  <c r="S406" i="68"/>
  <c r="T406" i="68"/>
  <c r="U406" i="68"/>
  <c r="V406" i="68"/>
  <c r="W406" i="68"/>
  <c r="X406" i="68"/>
  <c r="Y406" i="68"/>
  <c r="Z406" i="68"/>
  <c r="AA406" i="68"/>
  <c r="AB406" i="68"/>
  <c r="AC406" i="68"/>
  <c r="AD406" i="68"/>
  <c r="AE406" i="68"/>
  <c r="AF406" i="68"/>
  <c r="AG406" i="68"/>
  <c r="AH406" i="68"/>
  <c r="AI406" i="68"/>
  <c r="AJ406" i="68"/>
  <c r="AK406" i="68"/>
  <c r="AL406" i="68"/>
  <c r="AM406" i="68"/>
  <c r="AN406" i="68"/>
  <c r="AO406" i="68"/>
  <c r="AP406" i="68"/>
  <c r="AQ406" i="68"/>
  <c r="AR406" i="68"/>
  <c r="AS406" i="68"/>
  <c r="AT406" i="68"/>
  <c r="AU406" i="68"/>
  <c r="AV406" i="68"/>
  <c r="AW406" i="68"/>
  <c r="AX406" i="68"/>
  <c r="O407" i="68"/>
  <c r="P407" i="68"/>
  <c r="Q407" i="68"/>
  <c r="R407" i="68"/>
  <c r="S407" i="68"/>
  <c r="T407" i="68"/>
  <c r="U407" i="68"/>
  <c r="V407" i="68"/>
  <c r="W407" i="68"/>
  <c r="X407" i="68"/>
  <c r="Y407" i="68"/>
  <c r="Z407" i="68"/>
  <c r="AA407" i="68"/>
  <c r="AB407" i="68"/>
  <c r="AC407" i="68"/>
  <c r="AD407" i="68"/>
  <c r="AE407" i="68"/>
  <c r="AF407" i="68"/>
  <c r="AG407" i="68"/>
  <c r="AH407" i="68"/>
  <c r="AI407" i="68"/>
  <c r="AJ407" i="68"/>
  <c r="AK407" i="68"/>
  <c r="AL407" i="68"/>
  <c r="AM407" i="68"/>
  <c r="AN407" i="68"/>
  <c r="AO407" i="68"/>
  <c r="AP407" i="68"/>
  <c r="AQ407" i="68"/>
  <c r="AR407" i="68"/>
  <c r="AS407" i="68"/>
  <c r="AT407" i="68"/>
  <c r="AU407" i="68"/>
  <c r="AV407" i="68"/>
  <c r="AW407" i="68"/>
  <c r="AX407" i="68"/>
  <c r="O408" i="68"/>
  <c r="P408" i="68"/>
  <c r="Q408" i="68"/>
  <c r="R408" i="68"/>
  <c r="S408" i="68"/>
  <c r="T408" i="68"/>
  <c r="U408" i="68"/>
  <c r="V408" i="68"/>
  <c r="W408" i="68"/>
  <c r="X408" i="68"/>
  <c r="Y408" i="68"/>
  <c r="Z408" i="68"/>
  <c r="AA408" i="68"/>
  <c r="AB408" i="68"/>
  <c r="AC408" i="68"/>
  <c r="AD408" i="68"/>
  <c r="AE408" i="68"/>
  <c r="AF408" i="68"/>
  <c r="AG408" i="68"/>
  <c r="AH408" i="68"/>
  <c r="AI408" i="68"/>
  <c r="AJ408" i="68"/>
  <c r="AK408" i="68"/>
  <c r="AL408" i="68"/>
  <c r="AM408" i="68"/>
  <c r="AN408" i="68"/>
  <c r="AO408" i="68"/>
  <c r="AP408" i="68"/>
  <c r="AQ408" i="68"/>
  <c r="AR408" i="68"/>
  <c r="AS408" i="68"/>
  <c r="AT408" i="68"/>
  <c r="AU408" i="68"/>
  <c r="AV408" i="68"/>
  <c r="AW408" i="68"/>
  <c r="AX408" i="68"/>
  <c r="O409" i="68"/>
  <c r="P409" i="68"/>
  <c r="Q409" i="68"/>
  <c r="R409" i="68"/>
  <c r="S409" i="68"/>
  <c r="T409" i="68"/>
  <c r="U409" i="68"/>
  <c r="V409" i="68"/>
  <c r="W409" i="68"/>
  <c r="X409" i="68"/>
  <c r="Y409" i="68"/>
  <c r="Z409" i="68"/>
  <c r="AA409" i="68"/>
  <c r="AB409" i="68"/>
  <c r="AC409" i="68"/>
  <c r="AD409" i="68"/>
  <c r="AE409" i="68"/>
  <c r="AF409" i="68"/>
  <c r="AG409" i="68"/>
  <c r="AH409" i="68"/>
  <c r="AI409" i="68"/>
  <c r="AJ409" i="68"/>
  <c r="AK409" i="68"/>
  <c r="AL409" i="68"/>
  <c r="AM409" i="68"/>
  <c r="AN409" i="68"/>
  <c r="AO409" i="68"/>
  <c r="AP409" i="68"/>
  <c r="AQ409" i="68"/>
  <c r="AR409" i="68"/>
  <c r="AS409" i="68"/>
  <c r="AT409" i="68"/>
  <c r="AU409" i="68"/>
  <c r="AV409" i="68"/>
  <c r="AW409" i="68"/>
  <c r="AX409" i="68"/>
  <c r="O410" i="68"/>
  <c r="P410" i="68"/>
  <c r="Q410" i="68"/>
  <c r="R410" i="68"/>
  <c r="S410" i="68"/>
  <c r="T410" i="68"/>
  <c r="U410" i="68"/>
  <c r="V410" i="68"/>
  <c r="W410" i="68"/>
  <c r="X410" i="68"/>
  <c r="Y410" i="68"/>
  <c r="Z410" i="68"/>
  <c r="AA410" i="68"/>
  <c r="AB410" i="68"/>
  <c r="AC410" i="68"/>
  <c r="AD410" i="68"/>
  <c r="AE410" i="68"/>
  <c r="AF410" i="68"/>
  <c r="AG410" i="68"/>
  <c r="AH410" i="68"/>
  <c r="AI410" i="68"/>
  <c r="AJ410" i="68"/>
  <c r="AK410" i="68"/>
  <c r="AL410" i="68"/>
  <c r="AM410" i="68"/>
  <c r="AN410" i="68"/>
  <c r="AO410" i="68"/>
  <c r="AP410" i="68"/>
  <c r="AQ410" i="68"/>
  <c r="AR410" i="68"/>
  <c r="AS410" i="68"/>
  <c r="AT410" i="68"/>
  <c r="AU410" i="68"/>
  <c r="AV410" i="68"/>
  <c r="AW410" i="68"/>
  <c r="AX410" i="68"/>
  <c r="P411" i="68"/>
  <c r="Q411" i="68"/>
  <c r="R411" i="68"/>
  <c r="S411" i="68"/>
  <c r="T411" i="68"/>
  <c r="U411" i="68"/>
  <c r="V411" i="68"/>
  <c r="W411" i="68"/>
  <c r="X411" i="68"/>
  <c r="Y411" i="68"/>
  <c r="Z411" i="68"/>
  <c r="AA411" i="68"/>
  <c r="AB411" i="68"/>
  <c r="AC411" i="68"/>
  <c r="AD411" i="68"/>
  <c r="AE411" i="68"/>
  <c r="AF411" i="68"/>
  <c r="AG411" i="68"/>
  <c r="AH411" i="68"/>
  <c r="AI411" i="68"/>
  <c r="AJ411" i="68"/>
  <c r="AK411" i="68"/>
  <c r="AL411" i="68"/>
  <c r="AM411" i="68"/>
  <c r="AN411" i="68"/>
  <c r="AO411" i="68"/>
  <c r="AP411" i="68"/>
  <c r="AQ411" i="68"/>
  <c r="AR411" i="68"/>
  <c r="AS411" i="68"/>
  <c r="AT411" i="68"/>
  <c r="AU411" i="68"/>
  <c r="AV411" i="68"/>
  <c r="AW411" i="68"/>
  <c r="AX411" i="68"/>
  <c r="P379" i="68"/>
  <c r="Q379" i="68"/>
  <c r="R379" i="68"/>
  <c r="S379" i="68"/>
  <c r="T379" i="68"/>
  <c r="U379" i="68"/>
  <c r="V379" i="68"/>
  <c r="W379" i="68"/>
  <c r="X379" i="68"/>
  <c r="Y379" i="68"/>
  <c r="Z379" i="68"/>
  <c r="AA379" i="68"/>
  <c r="AB379" i="68"/>
  <c r="AC379" i="68"/>
  <c r="AD379" i="68"/>
  <c r="AE379" i="68"/>
  <c r="AF379" i="68"/>
  <c r="AG379" i="68"/>
  <c r="AH379" i="68"/>
  <c r="AI379" i="68"/>
  <c r="AJ379" i="68"/>
  <c r="AK379" i="68"/>
  <c r="AL379" i="68"/>
  <c r="AM379" i="68"/>
  <c r="AN379" i="68"/>
  <c r="AO379" i="68"/>
  <c r="AP379" i="68"/>
  <c r="AQ379" i="68"/>
  <c r="AR379" i="68"/>
  <c r="AS379" i="68"/>
  <c r="AT379" i="68"/>
  <c r="AU379" i="68"/>
  <c r="AV379" i="68"/>
  <c r="AW379" i="68"/>
  <c r="AX379" i="68"/>
  <c r="O379" i="68"/>
  <c r="P173" i="68"/>
  <c r="Q173" i="68"/>
  <c r="R173" i="68"/>
  <c r="S173" i="68"/>
  <c r="T173" i="68"/>
  <c r="U173" i="68"/>
  <c r="V173" i="68"/>
  <c r="W173" i="68"/>
  <c r="X173" i="68"/>
  <c r="Y173" i="68"/>
  <c r="Z173" i="68"/>
  <c r="AA173" i="68"/>
  <c r="AB173" i="68"/>
  <c r="AC173" i="68"/>
  <c r="AD173" i="68"/>
  <c r="AE173" i="68"/>
  <c r="AF173" i="68"/>
  <c r="AG173" i="68"/>
  <c r="AH173" i="68"/>
  <c r="AI173" i="68"/>
  <c r="AJ173" i="68"/>
  <c r="AK173" i="68"/>
  <c r="AL173" i="68"/>
  <c r="AM173" i="68"/>
  <c r="AN173" i="68"/>
  <c r="AO173" i="68"/>
  <c r="AP173" i="68"/>
  <c r="AQ173" i="68"/>
  <c r="AR173" i="68"/>
  <c r="AS173" i="68"/>
  <c r="AT173" i="68"/>
  <c r="AU173" i="68"/>
  <c r="AV173" i="68"/>
  <c r="AW173" i="68"/>
  <c r="AX173" i="68"/>
  <c r="O174" i="68"/>
  <c r="P174" i="68"/>
  <c r="Q174" i="68"/>
  <c r="R174" i="68"/>
  <c r="S174" i="68"/>
  <c r="T174" i="68"/>
  <c r="U174" i="68"/>
  <c r="V174" i="68"/>
  <c r="W174" i="68"/>
  <c r="X174" i="68"/>
  <c r="Y174" i="68"/>
  <c r="Z174" i="68"/>
  <c r="AA174" i="68"/>
  <c r="AB174" i="68"/>
  <c r="AC174" i="68"/>
  <c r="AD174" i="68"/>
  <c r="AE174" i="68"/>
  <c r="AF174" i="68"/>
  <c r="AG174" i="68"/>
  <c r="AH174" i="68"/>
  <c r="AI174" i="68"/>
  <c r="AJ174" i="68"/>
  <c r="AK174" i="68"/>
  <c r="AL174" i="68"/>
  <c r="AM174" i="68"/>
  <c r="AN174" i="68"/>
  <c r="AO174" i="68"/>
  <c r="AP174" i="68"/>
  <c r="AQ174" i="68"/>
  <c r="AR174" i="68"/>
  <c r="AS174" i="68"/>
  <c r="AT174" i="68"/>
  <c r="AU174" i="68"/>
  <c r="AV174" i="68"/>
  <c r="AW174" i="68"/>
  <c r="AX174" i="68"/>
  <c r="O175" i="68"/>
  <c r="P175" i="68"/>
  <c r="Q175" i="68"/>
  <c r="R175" i="68"/>
  <c r="S175" i="68"/>
  <c r="T175" i="68"/>
  <c r="U175" i="68"/>
  <c r="V175" i="68"/>
  <c r="W175" i="68"/>
  <c r="X175" i="68"/>
  <c r="Y175" i="68"/>
  <c r="Z175" i="68"/>
  <c r="AA175" i="68"/>
  <c r="AB175" i="68"/>
  <c r="AC175" i="68"/>
  <c r="AD175" i="68"/>
  <c r="AE175" i="68"/>
  <c r="AF175" i="68"/>
  <c r="AG175" i="68"/>
  <c r="AH175" i="68"/>
  <c r="AI175" i="68"/>
  <c r="AJ175" i="68"/>
  <c r="AK175" i="68"/>
  <c r="AL175" i="68"/>
  <c r="AM175" i="68"/>
  <c r="AN175" i="68"/>
  <c r="AO175" i="68"/>
  <c r="AP175" i="68"/>
  <c r="AQ175" i="68"/>
  <c r="AR175" i="68"/>
  <c r="AS175" i="68"/>
  <c r="AT175" i="68"/>
  <c r="AU175" i="68"/>
  <c r="AV175" i="68"/>
  <c r="AW175" i="68"/>
  <c r="AX175" i="68"/>
  <c r="O176" i="68"/>
  <c r="P176" i="68"/>
  <c r="Q176" i="68"/>
  <c r="R176" i="68"/>
  <c r="S176" i="68"/>
  <c r="T176" i="68"/>
  <c r="U176" i="68"/>
  <c r="V176" i="68"/>
  <c r="W176" i="68"/>
  <c r="X176" i="68"/>
  <c r="Y176" i="68"/>
  <c r="Z176" i="68"/>
  <c r="AA176" i="68"/>
  <c r="AB176" i="68"/>
  <c r="AC176" i="68"/>
  <c r="AD176" i="68"/>
  <c r="AE176" i="68"/>
  <c r="AF176" i="68"/>
  <c r="AG176" i="68"/>
  <c r="AH176" i="68"/>
  <c r="AI176" i="68"/>
  <c r="AJ176" i="68"/>
  <c r="AK176" i="68"/>
  <c r="AL176" i="68"/>
  <c r="AM176" i="68"/>
  <c r="AN176" i="68"/>
  <c r="AO176" i="68"/>
  <c r="AP176" i="68"/>
  <c r="AQ176" i="68"/>
  <c r="AR176" i="68"/>
  <c r="AS176" i="68"/>
  <c r="AT176" i="68"/>
  <c r="AU176" i="68"/>
  <c r="AV176" i="68"/>
  <c r="AW176" i="68"/>
  <c r="AX176" i="68"/>
  <c r="O177" i="68"/>
  <c r="P177" i="68"/>
  <c r="Q177" i="68"/>
  <c r="R177" i="68"/>
  <c r="S177" i="68"/>
  <c r="T177" i="68"/>
  <c r="U177" i="68"/>
  <c r="V177" i="68"/>
  <c r="W177" i="68"/>
  <c r="X177" i="68"/>
  <c r="Y177" i="68"/>
  <c r="Z177" i="68"/>
  <c r="AA177" i="68"/>
  <c r="AB177" i="68"/>
  <c r="AC177" i="68"/>
  <c r="AD177" i="68"/>
  <c r="AE177" i="68"/>
  <c r="AF177" i="68"/>
  <c r="AG177" i="68"/>
  <c r="AH177" i="68"/>
  <c r="AI177" i="68"/>
  <c r="AJ177" i="68"/>
  <c r="AK177" i="68"/>
  <c r="AL177" i="68"/>
  <c r="AM177" i="68"/>
  <c r="AN177" i="68"/>
  <c r="AO177" i="68"/>
  <c r="AP177" i="68"/>
  <c r="AQ177" i="68"/>
  <c r="AR177" i="68"/>
  <c r="AS177" i="68"/>
  <c r="AT177" i="68"/>
  <c r="AU177" i="68"/>
  <c r="AV177" i="68"/>
  <c r="AW177" i="68"/>
  <c r="AX177" i="68"/>
  <c r="O178" i="68"/>
  <c r="P178" i="68"/>
  <c r="Q178" i="68"/>
  <c r="R178" i="68"/>
  <c r="S178" i="68"/>
  <c r="T178" i="68"/>
  <c r="U178" i="68"/>
  <c r="V178" i="68"/>
  <c r="W178" i="68"/>
  <c r="X178" i="68"/>
  <c r="Y178" i="68"/>
  <c r="Z178" i="68"/>
  <c r="AA178" i="68"/>
  <c r="AB178" i="68"/>
  <c r="AC178" i="68"/>
  <c r="AD178" i="68"/>
  <c r="AE178" i="68"/>
  <c r="AF178" i="68"/>
  <c r="AG178" i="68"/>
  <c r="AH178" i="68"/>
  <c r="AI178" i="68"/>
  <c r="AJ178" i="68"/>
  <c r="AK178" i="68"/>
  <c r="AL178" i="68"/>
  <c r="AM178" i="68"/>
  <c r="AN178" i="68"/>
  <c r="AO178" i="68"/>
  <c r="AP178" i="68"/>
  <c r="AQ178" i="68"/>
  <c r="AR178" i="68"/>
  <c r="AS178" i="68"/>
  <c r="AT178" i="68"/>
  <c r="AU178" i="68"/>
  <c r="AV178" i="68"/>
  <c r="AW178" i="68"/>
  <c r="AX178" i="68"/>
  <c r="O179" i="68"/>
  <c r="P179" i="68"/>
  <c r="Q179" i="68"/>
  <c r="R179" i="68"/>
  <c r="S179" i="68"/>
  <c r="T179" i="68"/>
  <c r="U179" i="68"/>
  <c r="V179" i="68"/>
  <c r="W179" i="68"/>
  <c r="X179" i="68"/>
  <c r="Y179" i="68"/>
  <c r="Z179" i="68"/>
  <c r="AA179" i="68"/>
  <c r="AB179" i="68"/>
  <c r="AC179" i="68"/>
  <c r="AD179" i="68"/>
  <c r="AE179" i="68"/>
  <c r="AF179" i="68"/>
  <c r="AG179" i="68"/>
  <c r="AH179" i="68"/>
  <c r="AI179" i="68"/>
  <c r="AJ179" i="68"/>
  <c r="AK179" i="68"/>
  <c r="AL179" i="68"/>
  <c r="AM179" i="68"/>
  <c r="AN179" i="68"/>
  <c r="AO179" i="68"/>
  <c r="AP179" i="68"/>
  <c r="AQ179" i="68"/>
  <c r="AR179" i="68"/>
  <c r="AS179" i="68"/>
  <c r="AT179" i="68"/>
  <c r="AU179" i="68"/>
  <c r="AV179" i="68"/>
  <c r="AW179" i="68"/>
  <c r="AX179" i="68"/>
  <c r="O180" i="68"/>
  <c r="P180" i="68"/>
  <c r="Q180" i="68"/>
  <c r="R180" i="68"/>
  <c r="S180" i="68"/>
  <c r="T180" i="68"/>
  <c r="U180" i="68"/>
  <c r="V180" i="68"/>
  <c r="W180" i="68"/>
  <c r="X180" i="68"/>
  <c r="Y180" i="68"/>
  <c r="Z180" i="68"/>
  <c r="AA180" i="68"/>
  <c r="AB180" i="68"/>
  <c r="AC180" i="68"/>
  <c r="AD180" i="68"/>
  <c r="AE180" i="68"/>
  <c r="AF180" i="68"/>
  <c r="AG180" i="68"/>
  <c r="AH180" i="68"/>
  <c r="AI180" i="68"/>
  <c r="AJ180" i="68"/>
  <c r="AK180" i="68"/>
  <c r="AL180" i="68"/>
  <c r="AM180" i="68"/>
  <c r="AN180" i="68"/>
  <c r="AO180" i="68"/>
  <c r="AP180" i="68"/>
  <c r="AQ180" i="68"/>
  <c r="AR180" i="68"/>
  <c r="AS180" i="68"/>
  <c r="AT180" i="68"/>
  <c r="AU180" i="68"/>
  <c r="AV180" i="68"/>
  <c r="AW180" i="68"/>
  <c r="AX180" i="68"/>
  <c r="O181" i="68"/>
  <c r="P181" i="68"/>
  <c r="Q181" i="68"/>
  <c r="R181" i="68"/>
  <c r="S181" i="68"/>
  <c r="T181" i="68"/>
  <c r="U181" i="68"/>
  <c r="V181" i="68"/>
  <c r="W181" i="68"/>
  <c r="X181" i="68"/>
  <c r="Y181" i="68"/>
  <c r="Z181" i="68"/>
  <c r="AA181" i="68"/>
  <c r="AB181" i="68"/>
  <c r="AC181" i="68"/>
  <c r="AD181" i="68"/>
  <c r="AE181" i="68"/>
  <c r="AF181" i="68"/>
  <c r="AG181" i="68"/>
  <c r="AH181" i="68"/>
  <c r="AI181" i="68"/>
  <c r="AJ181" i="68"/>
  <c r="AK181" i="68"/>
  <c r="AL181" i="68"/>
  <c r="AM181" i="68"/>
  <c r="AN181" i="68"/>
  <c r="AO181" i="68"/>
  <c r="AP181" i="68"/>
  <c r="AQ181" i="68"/>
  <c r="AR181" i="68"/>
  <c r="AS181" i="68"/>
  <c r="AT181" i="68"/>
  <c r="AU181" i="68"/>
  <c r="AV181" i="68"/>
  <c r="AW181" i="68"/>
  <c r="AX181" i="68"/>
  <c r="O182" i="68"/>
  <c r="P182" i="68"/>
  <c r="Q182" i="68"/>
  <c r="R182" i="68"/>
  <c r="S182" i="68"/>
  <c r="T182" i="68"/>
  <c r="U182" i="68"/>
  <c r="V182" i="68"/>
  <c r="W182" i="68"/>
  <c r="X182" i="68"/>
  <c r="Y182" i="68"/>
  <c r="Z182" i="68"/>
  <c r="AA182" i="68"/>
  <c r="AB182" i="68"/>
  <c r="AC182" i="68"/>
  <c r="AD182" i="68"/>
  <c r="AE182" i="68"/>
  <c r="AF182" i="68"/>
  <c r="AG182" i="68"/>
  <c r="AH182" i="68"/>
  <c r="AI182" i="68"/>
  <c r="AJ182" i="68"/>
  <c r="AK182" i="68"/>
  <c r="AL182" i="68"/>
  <c r="AM182" i="68"/>
  <c r="AN182" i="68"/>
  <c r="AO182" i="68"/>
  <c r="AP182" i="68"/>
  <c r="AQ182" i="68"/>
  <c r="AR182" i="68"/>
  <c r="AS182" i="68"/>
  <c r="AT182" i="68"/>
  <c r="AU182" i="68"/>
  <c r="AV182" i="68"/>
  <c r="AW182" i="68"/>
  <c r="AX182" i="68"/>
  <c r="O183" i="68"/>
  <c r="P183" i="68"/>
  <c r="Q183" i="68"/>
  <c r="R183" i="68"/>
  <c r="S183" i="68"/>
  <c r="T183" i="68"/>
  <c r="U183" i="68"/>
  <c r="V183" i="68"/>
  <c r="W183" i="68"/>
  <c r="X183" i="68"/>
  <c r="Y183" i="68"/>
  <c r="Z183" i="68"/>
  <c r="AA183" i="68"/>
  <c r="AB183" i="68"/>
  <c r="AC183" i="68"/>
  <c r="AD183" i="68"/>
  <c r="AE183" i="68"/>
  <c r="AF183" i="68"/>
  <c r="AG183" i="68"/>
  <c r="AH183" i="68"/>
  <c r="AI183" i="68"/>
  <c r="AJ183" i="68"/>
  <c r="AK183" i="68"/>
  <c r="AL183" i="68"/>
  <c r="AM183" i="68"/>
  <c r="AN183" i="68"/>
  <c r="AO183" i="68"/>
  <c r="AP183" i="68"/>
  <c r="AQ183" i="68"/>
  <c r="AR183" i="68"/>
  <c r="AS183" i="68"/>
  <c r="AT183" i="68"/>
  <c r="AU183" i="68"/>
  <c r="AV183" i="68"/>
  <c r="AW183" i="68"/>
  <c r="AX183" i="68"/>
  <c r="O184" i="68"/>
  <c r="P184" i="68"/>
  <c r="Q184" i="68"/>
  <c r="R184" i="68"/>
  <c r="S184" i="68"/>
  <c r="T184" i="68"/>
  <c r="U184" i="68"/>
  <c r="V184" i="68"/>
  <c r="W184" i="68"/>
  <c r="X184" i="68"/>
  <c r="Y184" i="68"/>
  <c r="Z184" i="68"/>
  <c r="AA184" i="68"/>
  <c r="AB184" i="68"/>
  <c r="AC184" i="68"/>
  <c r="AD184" i="68"/>
  <c r="AE184" i="68"/>
  <c r="AF184" i="68"/>
  <c r="AG184" i="68"/>
  <c r="AH184" i="68"/>
  <c r="AI184" i="68"/>
  <c r="AJ184" i="68"/>
  <c r="AK184" i="68"/>
  <c r="AL184" i="68"/>
  <c r="AM184" i="68"/>
  <c r="AN184" i="68"/>
  <c r="AO184" i="68"/>
  <c r="AP184" i="68"/>
  <c r="AQ184" i="68"/>
  <c r="AR184" i="68"/>
  <c r="AS184" i="68"/>
  <c r="AT184" i="68"/>
  <c r="AU184" i="68"/>
  <c r="AV184" i="68"/>
  <c r="AW184" i="68"/>
  <c r="AX184" i="68"/>
  <c r="O185" i="68"/>
  <c r="P185" i="68"/>
  <c r="Q185" i="68"/>
  <c r="R185" i="68"/>
  <c r="S185" i="68"/>
  <c r="T185" i="68"/>
  <c r="U185" i="68"/>
  <c r="V185" i="68"/>
  <c r="W185" i="68"/>
  <c r="X185" i="68"/>
  <c r="Y185" i="68"/>
  <c r="Z185" i="68"/>
  <c r="AA185" i="68"/>
  <c r="AB185" i="68"/>
  <c r="AC185" i="68"/>
  <c r="AD185" i="68"/>
  <c r="AE185" i="68"/>
  <c r="AF185" i="68"/>
  <c r="AG185" i="68"/>
  <c r="AH185" i="68"/>
  <c r="AI185" i="68"/>
  <c r="AJ185" i="68"/>
  <c r="AK185" i="68"/>
  <c r="AL185" i="68"/>
  <c r="AM185" i="68"/>
  <c r="AN185" i="68"/>
  <c r="AO185" i="68"/>
  <c r="AP185" i="68"/>
  <c r="AQ185" i="68"/>
  <c r="AR185" i="68"/>
  <c r="AS185" i="68"/>
  <c r="AT185" i="68"/>
  <c r="AU185" i="68"/>
  <c r="AV185" i="68"/>
  <c r="AW185" i="68"/>
  <c r="AX185" i="68"/>
  <c r="O186" i="68"/>
  <c r="P186" i="68"/>
  <c r="Q186" i="68"/>
  <c r="R186" i="68"/>
  <c r="S186" i="68"/>
  <c r="T186" i="68"/>
  <c r="U186" i="68"/>
  <c r="V186" i="68"/>
  <c r="W186" i="68"/>
  <c r="X186" i="68"/>
  <c r="Y186" i="68"/>
  <c r="Z186" i="68"/>
  <c r="AA186" i="68"/>
  <c r="AB186" i="68"/>
  <c r="AC186" i="68"/>
  <c r="AD186" i="68"/>
  <c r="AE186" i="68"/>
  <c r="AF186" i="68"/>
  <c r="AG186" i="68"/>
  <c r="AH186" i="68"/>
  <c r="AI186" i="68"/>
  <c r="AJ186" i="68"/>
  <c r="AK186" i="68"/>
  <c r="AL186" i="68"/>
  <c r="AM186" i="68"/>
  <c r="AN186" i="68"/>
  <c r="AO186" i="68"/>
  <c r="AP186" i="68"/>
  <c r="AQ186" i="68"/>
  <c r="AR186" i="68"/>
  <c r="AS186" i="68"/>
  <c r="AT186" i="68"/>
  <c r="AU186" i="68"/>
  <c r="AV186" i="68"/>
  <c r="AW186" i="68"/>
  <c r="AX186" i="68"/>
  <c r="O187" i="68"/>
  <c r="P187" i="68"/>
  <c r="Q187" i="68"/>
  <c r="R187" i="68"/>
  <c r="S187" i="68"/>
  <c r="T187" i="68"/>
  <c r="U187" i="68"/>
  <c r="V187" i="68"/>
  <c r="W187" i="68"/>
  <c r="X187" i="68"/>
  <c r="Y187" i="68"/>
  <c r="Z187" i="68"/>
  <c r="AA187" i="68"/>
  <c r="AB187" i="68"/>
  <c r="AC187" i="68"/>
  <c r="AD187" i="68"/>
  <c r="AE187" i="68"/>
  <c r="AF187" i="68"/>
  <c r="AG187" i="68"/>
  <c r="AH187" i="68"/>
  <c r="AI187" i="68"/>
  <c r="AJ187" i="68"/>
  <c r="AK187" i="68"/>
  <c r="AL187" i="68"/>
  <c r="AM187" i="68"/>
  <c r="AN187" i="68"/>
  <c r="AO187" i="68"/>
  <c r="AP187" i="68"/>
  <c r="AQ187" i="68"/>
  <c r="AR187" i="68"/>
  <c r="AS187" i="68"/>
  <c r="AT187" i="68"/>
  <c r="AU187" i="68"/>
  <c r="AV187" i="68"/>
  <c r="AW187" i="68"/>
  <c r="AX187" i="68"/>
  <c r="O188" i="68"/>
  <c r="P188" i="68"/>
  <c r="Q188" i="68"/>
  <c r="R188" i="68"/>
  <c r="S188" i="68"/>
  <c r="T188" i="68"/>
  <c r="U188" i="68"/>
  <c r="V188" i="68"/>
  <c r="W188" i="68"/>
  <c r="X188" i="68"/>
  <c r="Y188" i="68"/>
  <c r="Z188" i="68"/>
  <c r="AA188" i="68"/>
  <c r="AB188" i="68"/>
  <c r="AC188" i="68"/>
  <c r="AD188" i="68"/>
  <c r="AE188" i="68"/>
  <c r="AF188" i="68"/>
  <c r="AG188" i="68"/>
  <c r="AH188" i="68"/>
  <c r="AI188" i="68"/>
  <c r="AJ188" i="68"/>
  <c r="AK188" i="68"/>
  <c r="AL188" i="68"/>
  <c r="AM188" i="68"/>
  <c r="AN188" i="68"/>
  <c r="AO188" i="68"/>
  <c r="AP188" i="68"/>
  <c r="AQ188" i="68"/>
  <c r="AR188" i="68"/>
  <c r="AS188" i="68"/>
  <c r="AT188" i="68"/>
  <c r="AU188" i="68"/>
  <c r="AV188" i="68"/>
  <c r="AW188" i="68"/>
  <c r="AX188" i="68"/>
  <c r="O189" i="68"/>
  <c r="P189" i="68"/>
  <c r="Q189" i="68"/>
  <c r="R189" i="68"/>
  <c r="S189" i="68"/>
  <c r="T189" i="68"/>
  <c r="U189" i="68"/>
  <c r="V189" i="68"/>
  <c r="W189" i="68"/>
  <c r="X189" i="68"/>
  <c r="Y189" i="68"/>
  <c r="Z189" i="68"/>
  <c r="AA189" i="68"/>
  <c r="AB189" i="68"/>
  <c r="AC189" i="68"/>
  <c r="AD189" i="68"/>
  <c r="AE189" i="68"/>
  <c r="AF189" i="68"/>
  <c r="AG189" i="68"/>
  <c r="AH189" i="68"/>
  <c r="AI189" i="68"/>
  <c r="AJ189" i="68"/>
  <c r="AK189" i="68"/>
  <c r="AL189" i="68"/>
  <c r="AM189" i="68"/>
  <c r="AN189" i="68"/>
  <c r="AO189" i="68"/>
  <c r="AP189" i="68"/>
  <c r="AQ189" i="68"/>
  <c r="AR189" i="68"/>
  <c r="AS189" i="68"/>
  <c r="AT189" i="68"/>
  <c r="AU189" i="68"/>
  <c r="AV189" i="68"/>
  <c r="AW189" i="68"/>
  <c r="AX189" i="68"/>
  <c r="O190" i="68"/>
  <c r="P190" i="68"/>
  <c r="Q190" i="68"/>
  <c r="R190" i="68"/>
  <c r="S190" i="68"/>
  <c r="T190" i="68"/>
  <c r="U190" i="68"/>
  <c r="V190" i="68"/>
  <c r="W190" i="68"/>
  <c r="X190" i="68"/>
  <c r="Y190" i="68"/>
  <c r="Z190" i="68"/>
  <c r="AA190" i="68"/>
  <c r="AB190" i="68"/>
  <c r="AC190" i="68"/>
  <c r="AD190" i="68"/>
  <c r="AE190" i="68"/>
  <c r="AF190" i="68"/>
  <c r="AG190" i="68"/>
  <c r="AH190" i="68"/>
  <c r="AI190" i="68"/>
  <c r="AJ190" i="68"/>
  <c r="AK190" i="68"/>
  <c r="AL190" i="68"/>
  <c r="AM190" i="68"/>
  <c r="AN190" i="68"/>
  <c r="AO190" i="68"/>
  <c r="AP190" i="68"/>
  <c r="AQ190" i="68"/>
  <c r="AR190" i="68"/>
  <c r="AS190" i="68"/>
  <c r="AT190" i="68"/>
  <c r="AU190" i="68"/>
  <c r="AV190" i="68"/>
  <c r="AW190" i="68"/>
  <c r="AX190" i="68"/>
  <c r="O191" i="68"/>
  <c r="P191" i="68"/>
  <c r="Q191" i="68"/>
  <c r="R191" i="68"/>
  <c r="S191" i="68"/>
  <c r="T191" i="68"/>
  <c r="U191" i="68"/>
  <c r="V191" i="68"/>
  <c r="W191" i="68"/>
  <c r="X191" i="68"/>
  <c r="Y191" i="68"/>
  <c r="Z191" i="68"/>
  <c r="AA191" i="68"/>
  <c r="AB191" i="68"/>
  <c r="AC191" i="68"/>
  <c r="AD191" i="68"/>
  <c r="AE191" i="68"/>
  <c r="AF191" i="68"/>
  <c r="AG191" i="68"/>
  <c r="AH191" i="68"/>
  <c r="AI191" i="68"/>
  <c r="AJ191" i="68"/>
  <c r="AK191" i="68"/>
  <c r="AL191" i="68"/>
  <c r="AM191" i="68"/>
  <c r="AN191" i="68"/>
  <c r="AO191" i="68"/>
  <c r="AP191" i="68"/>
  <c r="AQ191" i="68"/>
  <c r="AR191" i="68"/>
  <c r="AS191" i="68"/>
  <c r="AT191" i="68"/>
  <c r="AU191" i="68"/>
  <c r="AV191" i="68"/>
  <c r="AW191" i="68"/>
  <c r="AX191" i="68"/>
  <c r="O192" i="68"/>
  <c r="P192" i="68"/>
  <c r="Q192" i="68"/>
  <c r="R192" i="68"/>
  <c r="S192" i="68"/>
  <c r="T192" i="68"/>
  <c r="U192" i="68"/>
  <c r="V192" i="68"/>
  <c r="W192" i="68"/>
  <c r="X192" i="68"/>
  <c r="Y192" i="68"/>
  <c r="Z192" i="68"/>
  <c r="AA192" i="68"/>
  <c r="AB192" i="68"/>
  <c r="AC192" i="68"/>
  <c r="AD192" i="68"/>
  <c r="AE192" i="68"/>
  <c r="AF192" i="68"/>
  <c r="AG192" i="68"/>
  <c r="AH192" i="68"/>
  <c r="AI192" i="68"/>
  <c r="AJ192" i="68"/>
  <c r="AK192" i="68"/>
  <c r="AL192" i="68"/>
  <c r="AM192" i="68"/>
  <c r="AN192" i="68"/>
  <c r="AO192" i="68"/>
  <c r="AP192" i="68"/>
  <c r="AQ192" i="68"/>
  <c r="AR192" i="68"/>
  <c r="AS192" i="68"/>
  <c r="AT192" i="68"/>
  <c r="AU192" i="68"/>
  <c r="AV192" i="68"/>
  <c r="AW192" i="68"/>
  <c r="AX192" i="68"/>
  <c r="O193" i="68"/>
  <c r="P193" i="68"/>
  <c r="Q193" i="68"/>
  <c r="R193" i="68"/>
  <c r="S193" i="68"/>
  <c r="T193" i="68"/>
  <c r="U193" i="68"/>
  <c r="V193" i="68"/>
  <c r="W193" i="68"/>
  <c r="X193" i="68"/>
  <c r="Y193" i="68"/>
  <c r="Z193" i="68"/>
  <c r="AA193" i="68"/>
  <c r="AB193" i="68"/>
  <c r="AC193" i="68"/>
  <c r="AD193" i="68"/>
  <c r="AE193" i="68"/>
  <c r="AF193" i="68"/>
  <c r="AG193" i="68"/>
  <c r="AH193" i="68"/>
  <c r="AI193" i="68"/>
  <c r="AJ193" i="68"/>
  <c r="AK193" i="68"/>
  <c r="AL193" i="68"/>
  <c r="AM193" i="68"/>
  <c r="AN193" i="68"/>
  <c r="AO193" i="68"/>
  <c r="AP193" i="68"/>
  <c r="AQ193" i="68"/>
  <c r="AR193" i="68"/>
  <c r="AS193" i="68"/>
  <c r="AT193" i="68"/>
  <c r="AU193" i="68"/>
  <c r="AV193" i="68"/>
  <c r="AW193" i="68"/>
  <c r="AX193" i="68"/>
  <c r="O194" i="68"/>
  <c r="P194" i="68"/>
  <c r="Q194" i="68"/>
  <c r="R194" i="68"/>
  <c r="S194" i="68"/>
  <c r="T194" i="68"/>
  <c r="U194" i="68"/>
  <c r="V194" i="68"/>
  <c r="W194" i="68"/>
  <c r="X194" i="68"/>
  <c r="Y194" i="68"/>
  <c r="Z194" i="68"/>
  <c r="AA194" i="68"/>
  <c r="AB194" i="68"/>
  <c r="AC194" i="68"/>
  <c r="AD194" i="68"/>
  <c r="AE194" i="68"/>
  <c r="AF194" i="68"/>
  <c r="AG194" i="68"/>
  <c r="AH194" i="68"/>
  <c r="AI194" i="68"/>
  <c r="AJ194" i="68"/>
  <c r="AK194" i="68"/>
  <c r="AL194" i="68"/>
  <c r="AM194" i="68"/>
  <c r="AN194" i="68"/>
  <c r="AO194" i="68"/>
  <c r="AP194" i="68"/>
  <c r="AQ194" i="68"/>
  <c r="AR194" i="68"/>
  <c r="AS194" i="68"/>
  <c r="AT194" i="68"/>
  <c r="AU194" i="68"/>
  <c r="AV194" i="68"/>
  <c r="AW194" i="68"/>
  <c r="AX194" i="68"/>
  <c r="O195" i="68"/>
  <c r="P195" i="68"/>
  <c r="Q195" i="68"/>
  <c r="R195" i="68"/>
  <c r="S195" i="68"/>
  <c r="T195" i="68"/>
  <c r="U195" i="68"/>
  <c r="V195" i="68"/>
  <c r="W195" i="68"/>
  <c r="X195" i="68"/>
  <c r="Y195" i="68"/>
  <c r="Z195" i="68"/>
  <c r="AA195" i="68"/>
  <c r="AB195" i="68"/>
  <c r="AC195" i="68"/>
  <c r="AD195" i="68"/>
  <c r="AE195" i="68"/>
  <c r="AF195" i="68"/>
  <c r="AG195" i="68"/>
  <c r="AH195" i="68"/>
  <c r="AI195" i="68"/>
  <c r="AJ195" i="68"/>
  <c r="AK195" i="68"/>
  <c r="AL195" i="68"/>
  <c r="AM195" i="68"/>
  <c r="AN195" i="68"/>
  <c r="AO195" i="68"/>
  <c r="AP195" i="68"/>
  <c r="AQ195" i="68"/>
  <c r="AR195" i="68"/>
  <c r="AS195" i="68"/>
  <c r="AT195" i="68"/>
  <c r="AU195" i="68"/>
  <c r="AV195" i="68"/>
  <c r="AW195" i="68"/>
  <c r="AX195" i="68"/>
  <c r="O196" i="68"/>
  <c r="P196" i="68"/>
  <c r="Q196" i="68"/>
  <c r="R196" i="68"/>
  <c r="S196" i="68"/>
  <c r="T196" i="68"/>
  <c r="U196" i="68"/>
  <c r="V196" i="68"/>
  <c r="W196" i="68"/>
  <c r="X196" i="68"/>
  <c r="Y196" i="68"/>
  <c r="Z196" i="68"/>
  <c r="AA196" i="68"/>
  <c r="AB196" i="68"/>
  <c r="AC196" i="68"/>
  <c r="AD196" i="68"/>
  <c r="AE196" i="68"/>
  <c r="AF196" i="68"/>
  <c r="AG196" i="68"/>
  <c r="AH196" i="68"/>
  <c r="AI196" i="68"/>
  <c r="AJ196" i="68"/>
  <c r="AK196" i="68"/>
  <c r="AL196" i="68"/>
  <c r="AM196" i="68"/>
  <c r="AN196" i="68"/>
  <c r="AO196" i="68"/>
  <c r="AP196" i="68"/>
  <c r="AQ196" i="68"/>
  <c r="AR196" i="68"/>
  <c r="AS196" i="68"/>
  <c r="AT196" i="68"/>
  <c r="AU196" i="68"/>
  <c r="AV196" i="68"/>
  <c r="AW196" i="68"/>
  <c r="AX196" i="68"/>
  <c r="O197" i="68"/>
  <c r="P197" i="68"/>
  <c r="Q197" i="68"/>
  <c r="R197" i="68"/>
  <c r="S197" i="68"/>
  <c r="T197" i="68"/>
  <c r="U197" i="68"/>
  <c r="V197" i="68"/>
  <c r="W197" i="68"/>
  <c r="X197" i="68"/>
  <c r="Y197" i="68"/>
  <c r="Z197" i="68"/>
  <c r="AA197" i="68"/>
  <c r="AB197" i="68"/>
  <c r="AC197" i="68"/>
  <c r="AD197" i="68"/>
  <c r="AE197" i="68"/>
  <c r="AF197" i="68"/>
  <c r="AG197" i="68"/>
  <c r="AH197" i="68"/>
  <c r="AI197" i="68"/>
  <c r="AJ197" i="68"/>
  <c r="AK197" i="68"/>
  <c r="AL197" i="68"/>
  <c r="AM197" i="68"/>
  <c r="AN197" i="68"/>
  <c r="AO197" i="68"/>
  <c r="AP197" i="68"/>
  <c r="AQ197" i="68"/>
  <c r="AR197" i="68"/>
  <c r="AS197" i="68"/>
  <c r="AT197" i="68"/>
  <c r="AU197" i="68"/>
  <c r="AV197" i="68"/>
  <c r="AW197" i="68"/>
  <c r="AX197" i="68"/>
  <c r="O198" i="68"/>
  <c r="P198" i="68"/>
  <c r="Q198" i="68"/>
  <c r="R198" i="68"/>
  <c r="S198" i="68"/>
  <c r="T198" i="68"/>
  <c r="U198" i="68"/>
  <c r="V198" i="68"/>
  <c r="W198" i="68"/>
  <c r="X198" i="68"/>
  <c r="Y198" i="68"/>
  <c r="Z198" i="68"/>
  <c r="AA198" i="68"/>
  <c r="AB198" i="68"/>
  <c r="AC198" i="68"/>
  <c r="AD198" i="68"/>
  <c r="AE198" i="68"/>
  <c r="AF198" i="68"/>
  <c r="AG198" i="68"/>
  <c r="AH198" i="68"/>
  <c r="AI198" i="68"/>
  <c r="AJ198" i="68"/>
  <c r="AK198" i="68"/>
  <c r="AL198" i="68"/>
  <c r="AM198" i="68"/>
  <c r="AN198" i="68"/>
  <c r="AO198" i="68"/>
  <c r="AP198" i="68"/>
  <c r="AQ198" i="68"/>
  <c r="AR198" i="68"/>
  <c r="AS198" i="68"/>
  <c r="AT198" i="68"/>
  <c r="AU198" i="68"/>
  <c r="AV198" i="68"/>
  <c r="AW198" i="68"/>
  <c r="AX198" i="68"/>
  <c r="O199" i="68"/>
  <c r="P199" i="68"/>
  <c r="Q199" i="68"/>
  <c r="R199" i="68"/>
  <c r="S199" i="68"/>
  <c r="T199" i="68"/>
  <c r="U199" i="68"/>
  <c r="V199" i="68"/>
  <c r="W199" i="68"/>
  <c r="X199" i="68"/>
  <c r="Y199" i="68"/>
  <c r="Z199" i="68"/>
  <c r="AA199" i="68"/>
  <c r="AB199" i="68"/>
  <c r="AC199" i="68"/>
  <c r="AD199" i="68"/>
  <c r="AE199" i="68"/>
  <c r="AF199" i="68"/>
  <c r="AG199" i="68"/>
  <c r="AH199" i="68"/>
  <c r="AI199" i="68"/>
  <c r="AJ199" i="68"/>
  <c r="AK199" i="68"/>
  <c r="AL199" i="68"/>
  <c r="AM199" i="68"/>
  <c r="AN199" i="68"/>
  <c r="AO199" i="68"/>
  <c r="AP199" i="68"/>
  <c r="AQ199" i="68"/>
  <c r="AR199" i="68"/>
  <c r="AS199" i="68"/>
  <c r="AT199" i="68"/>
  <c r="AU199" i="68"/>
  <c r="AV199" i="68"/>
  <c r="AW199" i="68"/>
  <c r="AX199" i="68"/>
  <c r="O200" i="68"/>
  <c r="P200" i="68"/>
  <c r="Q200" i="68"/>
  <c r="R200" i="68"/>
  <c r="S200" i="68"/>
  <c r="T200" i="68"/>
  <c r="U200" i="68"/>
  <c r="V200" i="68"/>
  <c r="W200" i="68"/>
  <c r="X200" i="68"/>
  <c r="Y200" i="68"/>
  <c r="Z200" i="68"/>
  <c r="AA200" i="68"/>
  <c r="AB200" i="68"/>
  <c r="AC200" i="68"/>
  <c r="AD200" i="68"/>
  <c r="AE200" i="68"/>
  <c r="AF200" i="68"/>
  <c r="AG200" i="68"/>
  <c r="AH200" i="68"/>
  <c r="AI200" i="68"/>
  <c r="AJ200" i="68"/>
  <c r="AK200" i="68"/>
  <c r="AL200" i="68"/>
  <c r="AM200" i="68"/>
  <c r="AN200" i="68"/>
  <c r="AO200" i="68"/>
  <c r="AP200" i="68"/>
  <c r="AQ200" i="68"/>
  <c r="AR200" i="68"/>
  <c r="AS200" i="68"/>
  <c r="AT200" i="68"/>
  <c r="AU200" i="68"/>
  <c r="AV200" i="68"/>
  <c r="AW200" i="68"/>
  <c r="AX200" i="68"/>
  <c r="O201" i="68"/>
  <c r="P201" i="68"/>
  <c r="Q201" i="68"/>
  <c r="R201" i="68"/>
  <c r="S201" i="68"/>
  <c r="T201" i="68"/>
  <c r="U201" i="68"/>
  <c r="V201" i="68"/>
  <c r="W201" i="68"/>
  <c r="X201" i="68"/>
  <c r="Y201" i="68"/>
  <c r="Z201" i="68"/>
  <c r="AA201" i="68"/>
  <c r="AB201" i="68"/>
  <c r="AC201" i="68"/>
  <c r="AD201" i="68"/>
  <c r="AE201" i="68"/>
  <c r="AF201" i="68"/>
  <c r="AG201" i="68"/>
  <c r="AH201" i="68"/>
  <c r="AI201" i="68"/>
  <c r="AJ201" i="68"/>
  <c r="AK201" i="68"/>
  <c r="AL201" i="68"/>
  <c r="AM201" i="68"/>
  <c r="AN201" i="68"/>
  <c r="AO201" i="68"/>
  <c r="AP201" i="68"/>
  <c r="AQ201" i="68"/>
  <c r="AR201" i="68"/>
  <c r="AS201" i="68"/>
  <c r="AT201" i="68"/>
  <c r="AU201" i="68"/>
  <c r="AV201" i="68"/>
  <c r="AW201" i="68"/>
  <c r="AX201" i="68"/>
  <c r="O202" i="68"/>
  <c r="P202" i="68"/>
  <c r="Q202" i="68"/>
  <c r="R202" i="68"/>
  <c r="S202" i="68"/>
  <c r="T202" i="68"/>
  <c r="U202" i="68"/>
  <c r="V202" i="68"/>
  <c r="W202" i="68"/>
  <c r="X202" i="68"/>
  <c r="Y202" i="68"/>
  <c r="Z202" i="68"/>
  <c r="AA202" i="68"/>
  <c r="AB202" i="68"/>
  <c r="AC202" i="68"/>
  <c r="AD202" i="68"/>
  <c r="AE202" i="68"/>
  <c r="AF202" i="68"/>
  <c r="AG202" i="68"/>
  <c r="AH202" i="68"/>
  <c r="AI202" i="68"/>
  <c r="AJ202" i="68"/>
  <c r="AK202" i="68"/>
  <c r="AL202" i="68"/>
  <c r="AM202" i="68"/>
  <c r="AN202" i="68"/>
  <c r="AO202" i="68"/>
  <c r="AP202" i="68"/>
  <c r="AQ202" i="68"/>
  <c r="AR202" i="68"/>
  <c r="AS202" i="68"/>
  <c r="AT202" i="68"/>
  <c r="AU202" i="68"/>
  <c r="AV202" i="68"/>
  <c r="AW202" i="68"/>
  <c r="AX202" i="68"/>
  <c r="O203" i="68"/>
  <c r="P203" i="68"/>
  <c r="Q203" i="68"/>
  <c r="R203" i="68"/>
  <c r="S203" i="68"/>
  <c r="T203" i="68"/>
  <c r="U203" i="68"/>
  <c r="V203" i="68"/>
  <c r="W203" i="68"/>
  <c r="X203" i="68"/>
  <c r="Y203" i="68"/>
  <c r="Z203" i="68"/>
  <c r="AA203" i="68"/>
  <c r="AB203" i="68"/>
  <c r="AC203" i="68"/>
  <c r="AD203" i="68"/>
  <c r="AE203" i="68"/>
  <c r="AF203" i="68"/>
  <c r="AG203" i="68"/>
  <c r="AH203" i="68"/>
  <c r="AI203" i="68"/>
  <c r="AJ203" i="68"/>
  <c r="AK203" i="68"/>
  <c r="AL203" i="68"/>
  <c r="AM203" i="68"/>
  <c r="AN203" i="68"/>
  <c r="AO203" i="68"/>
  <c r="AP203" i="68"/>
  <c r="AQ203" i="68"/>
  <c r="AR203" i="68"/>
  <c r="AS203" i="68"/>
  <c r="AT203" i="68"/>
  <c r="AU203" i="68"/>
  <c r="AV203" i="68"/>
  <c r="AW203" i="68"/>
  <c r="AX203" i="68"/>
  <c r="P204" i="68"/>
  <c r="Q204" i="68"/>
  <c r="R204" i="68"/>
  <c r="S204" i="68"/>
  <c r="T204" i="68"/>
  <c r="U204" i="68"/>
  <c r="V204" i="68"/>
  <c r="W204" i="68"/>
  <c r="X204" i="68"/>
  <c r="Y204" i="68"/>
  <c r="Z204" i="68"/>
  <c r="AA204" i="68"/>
  <c r="AB204" i="68"/>
  <c r="AC204" i="68"/>
  <c r="AD204" i="68"/>
  <c r="AE204" i="68"/>
  <c r="AF204" i="68"/>
  <c r="AG204" i="68"/>
  <c r="AH204" i="68"/>
  <c r="AI204" i="68"/>
  <c r="AJ204" i="68"/>
  <c r="AK204" i="68"/>
  <c r="AL204" i="68"/>
  <c r="AM204" i="68"/>
  <c r="AN204" i="68"/>
  <c r="AO204" i="68"/>
  <c r="AP204" i="68"/>
  <c r="AQ204" i="68"/>
  <c r="AR204" i="68"/>
  <c r="AS204" i="68"/>
  <c r="AT204" i="68"/>
  <c r="AU204" i="68"/>
  <c r="AV204" i="68"/>
  <c r="AW204" i="68"/>
  <c r="AX204" i="68"/>
  <c r="Q172" i="68"/>
  <c r="R172" i="68"/>
  <c r="S172" i="68"/>
  <c r="T172" i="68"/>
  <c r="U172" i="68"/>
  <c r="V172" i="68"/>
  <c r="W172" i="68"/>
  <c r="X172" i="68"/>
  <c r="Y172" i="68"/>
  <c r="Z172" i="68"/>
  <c r="AA172" i="68"/>
  <c r="AB172" i="68"/>
  <c r="AC172" i="68"/>
  <c r="AD172" i="68"/>
  <c r="AE172" i="68"/>
  <c r="AF172" i="68"/>
  <c r="AG172" i="68"/>
  <c r="AH172" i="68"/>
  <c r="AI172" i="68"/>
  <c r="AJ172" i="68"/>
  <c r="AK172" i="68"/>
  <c r="AL172" i="68"/>
  <c r="AM172" i="68"/>
  <c r="AN172" i="68"/>
  <c r="AO172" i="68"/>
  <c r="AP172" i="68"/>
  <c r="AQ172" i="68"/>
  <c r="AR172" i="68"/>
  <c r="AS172" i="68"/>
  <c r="AT172" i="68"/>
  <c r="AU172" i="68"/>
  <c r="AV172" i="68"/>
  <c r="AW172" i="68"/>
  <c r="AX172" i="68"/>
  <c r="G241" i="117" l="1"/>
  <c r="G242" i="117" s="1"/>
  <c r="H241" i="117"/>
  <c r="H242" i="117" s="1"/>
  <c r="I241" i="117"/>
  <c r="I242" i="117" s="1"/>
  <c r="J241" i="117"/>
  <c r="J242" i="117" s="1"/>
  <c r="K241" i="117"/>
  <c r="K242" i="117" s="1"/>
  <c r="L241" i="117"/>
  <c r="L242" i="117" s="1"/>
  <c r="M241" i="117"/>
  <c r="M242" i="117" s="1"/>
  <c r="N241" i="117"/>
  <c r="N242" i="117" s="1"/>
  <c r="O241" i="117"/>
  <c r="O242" i="117" s="1"/>
  <c r="P241" i="117"/>
  <c r="P242" i="117" s="1"/>
  <c r="Q241" i="117"/>
  <c r="Q242" i="117" s="1"/>
  <c r="R241" i="117"/>
  <c r="R242" i="117" s="1"/>
  <c r="S241" i="117"/>
  <c r="S242" i="117" s="1"/>
  <c r="T241" i="117"/>
  <c r="T242" i="117" s="1"/>
  <c r="U241" i="117"/>
  <c r="U242" i="117" s="1"/>
  <c r="V241" i="117"/>
  <c r="V242" i="117" s="1"/>
  <c r="W241" i="117"/>
  <c r="W242" i="117" s="1"/>
  <c r="X241" i="117"/>
  <c r="X242" i="117" s="1"/>
  <c r="Y241" i="117"/>
  <c r="Y242" i="117" s="1"/>
  <c r="Z241" i="117"/>
  <c r="Z242" i="117" s="1"/>
  <c r="AA241" i="117"/>
  <c r="AA242" i="117" s="1"/>
  <c r="AB241" i="117"/>
  <c r="AB242" i="117" s="1"/>
  <c r="AC241" i="117"/>
  <c r="AC242" i="117" s="1"/>
  <c r="AD241" i="117"/>
  <c r="AD242" i="117" s="1"/>
  <c r="AE241" i="117"/>
  <c r="AE242" i="117" s="1"/>
  <c r="AF241" i="117"/>
  <c r="AF242" i="117" s="1"/>
  <c r="AG241" i="117"/>
  <c r="AG242" i="117" s="1"/>
  <c r="AH241" i="117"/>
  <c r="AH242" i="117" s="1"/>
  <c r="AI241" i="117"/>
  <c r="AI242" i="117" s="1"/>
  <c r="AJ241" i="117"/>
  <c r="AJ242" i="117" s="1"/>
  <c r="AK241" i="117"/>
  <c r="AK242" i="117" s="1"/>
  <c r="AL241" i="117"/>
  <c r="AL242" i="117" s="1"/>
  <c r="AM241" i="117"/>
  <c r="AM242" i="117" s="1"/>
  <c r="AN241" i="117"/>
  <c r="AN242" i="117" s="1"/>
  <c r="AO241" i="117"/>
  <c r="AO242" i="117" s="1"/>
  <c r="G237" i="117"/>
  <c r="G238" i="117" s="1"/>
  <c r="H237" i="117"/>
  <c r="H238" i="117" s="1"/>
  <c r="I237" i="117"/>
  <c r="I238" i="117" s="1"/>
  <c r="J237" i="117"/>
  <c r="J238" i="117" s="1"/>
  <c r="K237" i="117"/>
  <c r="K238" i="117" s="1"/>
  <c r="L237" i="117"/>
  <c r="L238" i="117" s="1"/>
  <c r="M237" i="117"/>
  <c r="M238" i="117" s="1"/>
  <c r="N237" i="117"/>
  <c r="N238" i="117" s="1"/>
  <c r="O237" i="117"/>
  <c r="O238" i="117" s="1"/>
  <c r="P237" i="117"/>
  <c r="P238" i="117" s="1"/>
  <c r="Q237" i="117"/>
  <c r="Q238" i="117" s="1"/>
  <c r="R237" i="117"/>
  <c r="R238" i="117" s="1"/>
  <c r="S237" i="117"/>
  <c r="S238" i="117" s="1"/>
  <c r="T237" i="117"/>
  <c r="T238" i="117" s="1"/>
  <c r="U237" i="117"/>
  <c r="U238" i="117" s="1"/>
  <c r="V237" i="117"/>
  <c r="V238" i="117" s="1"/>
  <c r="W237" i="117"/>
  <c r="W238" i="117" s="1"/>
  <c r="X237" i="117"/>
  <c r="X238" i="117" s="1"/>
  <c r="Y237" i="117"/>
  <c r="Y238" i="117" s="1"/>
  <c r="Z237" i="117"/>
  <c r="Z238" i="117" s="1"/>
  <c r="AA237" i="117"/>
  <c r="AA238" i="117" s="1"/>
  <c r="AB237" i="117"/>
  <c r="AB238" i="117" s="1"/>
  <c r="AC237" i="117"/>
  <c r="AC238" i="117" s="1"/>
  <c r="AD237" i="117"/>
  <c r="AD238" i="117" s="1"/>
  <c r="AE237" i="117"/>
  <c r="AE238" i="117" s="1"/>
  <c r="AF237" i="117"/>
  <c r="AF238" i="117" s="1"/>
  <c r="AG237" i="117"/>
  <c r="AG238" i="117" s="1"/>
  <c r="AH237" i="117"/>
  <c r="AH238" i="117" s="1"/>
  <c r="AI237" i="117"/>
  <c r="AI238" i="117" s="1"/>
  <c r="AJ237" i="117"/>
  <c r="AJ238" i="117" s="1"/>
  <c r="AK237" i="117"/>
  <c r="AK238" i="117" s="1"/>
  <c r="AL237" i="117"/>
  <c r="AL238" i="117" s="1"/>
  <c r="AM237" i="117"/>
  <c r="AM238" i="117" s="1"/>
  <c r="AN237" i="117"/>
  <c r="AN238" i="117" s="1"/>
  <c r="AO237" i="117"/>
  <c r="AO238" i="117" s="1"/>
  <c r="G233" i="117"/>
  <c r="G234" i="117" s="1"/>
  <c r="H233" i="117"/>
  <c r="H234" i="117" s="1"/>
  <c r="I233" i="117"/>
  <c r="J233" i="117"/>
  <c r="J234" i="117" s="1"/>
  <c r="K233" i="117"/>
  <c r="L233" i="117"/>
  <c r="M233" i="117"/>
  <c r="N233" i="117"/>
  <c r="N234" i="117" s="1"/>
  <c r="O233" i="117"/>
  <c r="O234" i="117" s="1"/>
  <c r="P233" i="117"/>
  <c r="P234" i="117" s="1"/>
  <c r="Q233" i="117"/>
  <c r="Q234" i="117" s="1"/>
  <c r="R233" i="117"/>
  <c r="R234" i="117" s="1"/>
  <c r="S233" i="117"/>
  <c r="S234" i="117" s="1"/>
  <c r="T233" i="117"/>
  <c r="T234" i="117" s="1"/>
  <c r="U233" i="117"/>
  <c r="U234" i="117" s="1"/>
  <c r="V233" i="117"/>
  <c r="V234" i="117" s="1"/>
  <c r="W233" i="117"/>
  <c r="W234" i="117" s="1"/>
  <c r="X233" i="117"/>
  <c r="X234" i="117" s="1"/>
  <c r="Y233" i="117"/>
  <c r="Y234" i="117" s="1"/>
  <c r="Z233" i="117"/>
  <c r="Z234" i="117" s="1"/>
  <c r="AA233" i="117"/>
  <c r="AA234" i="117" s="1"/>
  <c r="AB233" i="117"/>
  <c r="AB234" i="117" s="1"/>
  <c r="AC233" i="117"/>
  <c r="AC234" i="117" s="1"/>
  <c r="AD233" i="117"/>
  <c r="AD234" i="117" s="1"/>
  <c r="AE233" i="117"/>
  <c r="AE234" i="117" s="1"/>
  <c r="AF233" i="117"/>
  <c r="AF234" i="117" s="1"/>
  <c r="AG233" i="117"/>
  <c r="AG234" i="117" s="1"/>
  <c r="AH233" i="117"/>
  <c r="AH234" i="117" s="1"/>
  <c r="AI233" i="117"/>
  <c r="AI234" i="117" s="1"/>
  <c r="AJ233" i="117"/>
  <c r="AJ234" i="117" s="1"/>
  <c r="AK233" i="117"/>
  <c r="AK234" i="117" s="1"/>
  <c r="AL233" i="117"/>
  <c r="AL234" i="117" s="1"/>
  <c r="AM233" i="117"/>
  <c r="AM234" i="117" s="1"/>
  <c r="AN233" i="117"/>
  <c r="AN234" i="117" s="1"/>
  <c r="AO233" i="117"/>
  <c r="AO234" i="117" s="1"/>
  <c r="I234" i="117"/>
  <c r="K234" i="117"/>
  <c r="L234" i="117"/>
  <c r="M234" i="117"/>
  <c r="G229" i="117"/>
  <c r="G230" i="117" s="1"/>
  <c r="H229" i="117"/>
  <c r="H230" i="117" s="1"/>
  <c r="I229" i="117"/>
  <c r="I230" i="117" s="1"/>
  <c r="J229" i="117"/>
  <c r="J230" i="117" s="1"/>
  <c r="K229" i="117"/>
  <c r="K230" i="117" s="1"/>
  <c r="L229" i="117"/>
  <c r="M229" i="117"/>
  <c r="N229" i="117"/>
  <c r="N230" i="117" s="1"/>
  <c r="O229" i="117"/>
  <c r="O230" i="117" s="1"/>
  <c r="P229" i="117"/>
  <c r="P230" i="117" s="1"/>
  <c r="Q229" i="117"/>
  <c r="Q230" i="117" s="1"/>
  <c r="R229" i="117"/>
  <c r="R230" i="117" s="1"/>
  <c r="S229" i="117"/>
  <c r="S230" i="117" s="1"/>
  <c r="T229" i="117"/>
  <c r="U229" i="117"/>
  <c r="U230" i="117" s="1"/>
  <c r="V229" i="117"/>
  <c r="V230" i="117" s="1"/>
  <c r="W229" i="117"/>
  <c r="W230" i="117" s="1"/>
  <c r="X229" i="117"/>
  <c r="X230" i="117" s="1"/>
  <c r="Y229" i="117"/>
  <c r="Y230" i="117" s="1"/>
  <c r="Z229" i="117"/>
  <c r="Z230" i="117" s="1"/>
  <c r="AA229" i="117"/>
  <c r="AA230" i="117" s="1"/>
  <c r="AB229" i="117"/>
  <c r="AB230" i="117" s="1"/>
  <c r="AC229" i="117"/>
  <c r="AC230" i="117" s="1"/>
  <c r="AD229" i="117"/>
  <c r="AD230" i="117" s="1"/>
  <c r="AE229" i="117"/>
  <c r="AE230" i="117" s="1"/>
  <c r="AF229" i="117"/>
  <c r="AF230" i="117" s="1"/>
  <c r="AG229" i="117"/>
  <c r="AG230" i="117" s="1"/>
  <c r="AH229" i="117"/>
  <c r="AH230" i="117" s="1"/>
  <c r="AI229" i="117"/>
  <c r="AI230" i="117" s="1"/>
  <c r="AJ229" i="117"/>
  <c r="AJ230" i="117" s="1"/>
  <c r="AK229" i="117"/>
  <c r="AK230" i="117" s="1"/>
  <c r="AL229" i="117"/>
  <c r="AL230" i="117" s="1"/>
  <c r="AM229" i="117"/>
  <c r="AM230" i="117" s="1"/>
  <c r="AN229" i="117"/>
  <c r="AN230" i="117" s="1"/>
  <c r="AO229" i="117"/>
  <c r="AO230" i="117" s="1"/>
  <c r="L230" i="117"/>
  <c r="M230" i="117"/>
  <c r="T230" i="117"/>
  <c r="F241" i="117"/>
  <c r="F242" i="117" s="1"/>
  <c r="F237" i="117"/>
  <c r="F238" i="117" s="1"/>
  <c r="F233" i="117"/>
  <c r="F234" i="117" s="1"/>
  <c r="F229" i="117"/>
  <c r="F230" i="117" s="1"/>
  <c r="E81" i="117"/>
  <c r="E114" i="117"/>
  <c r="E115" i="117"/>
  <c r="E116" i="117"/>
  <c r="E117" i="117"/>
  <c r="E118" i="117"/>
  <c r="E119" i="117"/>
  <c r="E120" i="117"/>
  <c r="E121" i="117"/>
  <c r="E122" i="117"/>
  <c r="E113" i="117"/>
  <c r="E103" i="117"/>
  <c r="E104" i="117"/>
  <c r="E105" i="117"/>
  <c r="E106" i="117"/>
  <c r="E107" i="117"/>
  <c r="E108" i="117"/>
  <c r="E109" i="117"/>
  <c r="E110" i="117"/>
  <c r="E111" i="117"/>
  <c r="E102" i="117"/>
  <c r="E82" i="117"/>
  <c r="E83" i="117"/>
  <c r="E84" i="117"/>
  <c r="E85" i="117"/>
  <c r="E86" i="117"/>
  <c r="E87" i="117"/>
  <c r="E88" i="117"/>
  <c r="E89" i="117"/>
  <c r="E80" i="117"/>
  <c r="E99" i="117"/>
  <c r="E100" i="117"/>
  <c r="E97" i="117"/>
  <c r="E98" i="117"/>
  <c r="E92" i="117"/>
  <c r="E93" i="117"/>
  <c r="E94" i="117"/>
  <c r="E95" i="117"/>
  <c r="E96" i="117"/>
  <c r="E91" i="117"/>
  <c r="C9" i="110" l="1"/>
  <c r="E5" i="110"/>
  <c r="D16" i="110" s="1"/>
  <c r="AI121" i="66"/>
  <c r="G91" i="66"/>
  <c r="P62" i="110" l="1"/>
  <c r="P64" i="110" s="1"/>
  <c r="K29" i="119" s="1"/>
  <c r="X62" i="110"/>
  <c r="X64" i="110" s="1"/>
  <c r="S29" i="119" s="1"/>
  <c r="AF62" i="110"/>
  <c r="AF64" i="110" s="1"/>
  <c r="AA29" i="119" s="1"/>
  <c r="AN62" i="110"/>
  <c r="AN64" i="110" s="1"/>
  <c r="AI29" i="119" s="1"/>
  <c r="AV62" i="110"/>
  <c r="AV64" i="110" s="1"/>
  <c r="AQ29" i="119" s="1"/>
  <c r="AS62" i="110"/>
  <c r="AS64" i="110" s="1"/>
  <c r="AN29" i="119" s="1"/>
  <c r="AM62" i="110"/>
  <c r="AM64" i="110" s="1"/>
  <c r="AH29" i="119" s="1"/>
  <c r="Q62" i="110"/>
  <c r="Q64" i="110" s="1"/>
  <c r="L29" i="119" s="1"/>
  <c r="Y62" i="110"/>
  <c r="Y64" i="110" s="1"/>
  <c r="T29" i="119" s="1"/>
  <c r="AG62" i="110"/>
  <c r="AG64" i="110" s="1"/>
  <c r="AB29" i="119" s="1"/>
  <c r="AO62" i="110"/>
  <c r="AO64" i="110" s="1"/>
  <c r="AJ29" i="119" s="1"/>
  <c r="AW62" i="110"/>
  <c r="AW64" i="110" s="1"/>
  <c r="AR29" i="119" s="1"/>
  <c r="AK62" i="110"/>
  <c r="AK64" i="110" s="1"/>
  <c r="AF29" i="119" s="1"/>
  <c r="AL62" i="110"/>
  <c r="AL64" i="110" s="1"/>
  <c r="AG29" i="119" s="1"/>
  <c r="R62" i="110"/>
  <c r="R64" i="110" s="1"/>
  <c r="M29" i="119" s="1"/>
  <c r="Z62" i="110"/>
  <c r="Z64" i="110" s="1"/>
  <c r="U29" i="119" s="1"/>
  <c r="AH62" i="110"/>
  <c r="AH64" i="110" s="1"/>
  <c r="AC29" i="119" s="1"/>
  <c r="AP62" i="110"/>
  <c r="AP64" i="110" s="1"/>
  <c r="AK29" i="119" s="1"/>
  <c r="O62" i="110"/>
  <c r="O64" i="110" s="1"/>
  <c r="J29" i="119" s="1"/>
  <c r="U62" i="110"/>
  <c r="U64" i="110" s="1"/>
  <c r="P29" i="119" s="1"/>
  <c r="AX62" i="110"/>
  <c r="AX64" i="110" s="1"/>
  <c r="AS29" i="119" s="1"/>
  <c r="S62" i="110"/>
  <c r="S64" i="110" s="1"/>
  <c r="N29" i="119" s="1"/>
  <c r="AA62" i="110"/>
  <c r="AA64" i="110" s="1"/>
  <c r="V29" i="119" s="1"/>
  <c r="AI62" i="110"/>
  <c r="AI64" i="110" s="1"/>
  <c r="AD29" i="119" s="1"/>
  <c r="AQ62" i="110"/>
  <c r="AQ64" i="110" s="1"/>
  <c r="AL29" i="119" s="1"/>
  <c r="AC62" i="110"/>
  <c r="AC64" i="110" s="1"/>
  <c r="X29" i="119" s="1"/>
  <c r="V62" i="110"/>
  <c r="V64" i="110" s="1"/>
  <c r="Q29" i="119" s="1"/>
  <c r="AT62" i="110"/>
  <c r="AT64" i="110" s="1"/>
  <c r="AO29" i="119" s="1"/>
  <c r="W62" i="110"/>
  <c r="W64" i="110" s="1"/>
  <c r="R29" i="119" s="1"/>
  <c r="AU62" i="110"/>
  <c r="AU64" i="110" s="1"/>
  <c r="AP29" i="119" s="1"/>
  <c r="T62" i="110"/>
  <c r="T64" i="110" s="1"/>
  <c r="O29" i="119" s="1"/>
  <c r="AB62" i="110"/>
  <c r="AB64" i="110" s="1"/>
  <c r="W29" i="119" s="1"/>
  <c r="AJ62" i="110"/>
  <c r="AJ64" i="110" s="1"/>
  <c r="AE29" i="119" s="1"/>
  <c r="AR62" i="110"/>
  <c r="AR64" i="110" s="1"/>
  <c r="AM29" i="119" s="1"/>
  <c r="AD62" i="110"/>
  <c r="AD64" i="110" s="1"/>
  <c r="Y29" i="119" s="1"/>
  <c r="AE62" i="110"/>
  <c r="AE64" i="110" s="1"/>
  <c r="Z29" i="119" s="1"/>
  <c r="P58" i="110"/>
  <c r="X58" i="110"/>
  <c r="AF58" i="110"/>
  <c r="AN58" i="110"/>
  <c r="AV58" i="110"/>
  <c r="T54" i="110"/>
  <c r="AB54" i="110"/>
  <c r="AJ54" i="110"/>
  <c r="AR54" i="110"/>
  <c r="P50" i="110"/>
  <c r="X50" i="110"/>
  <c r="AF50" i="110"/>
  <c r="AN50" i="110"/>
  <c r="AV50" i="110"/>
  <c r="S46" i="110"/>
  <c r="AA46" i="110"/>
  <c r="AI46" i="110"/>
  <c r="AQ46" i="110"/>
  <c r="AU58" i="110"/>
  <c r="AQ54" i="110"/>
  <c r="W50" i="110"/>
  <c r="AM50" i="110"/>
  <c r="R46" i="110"/>
  <c r="O46" i="110"/>
  <c r="Q58" i="110"/>
  <c r="Y58" i="110"/>
  <c r="AG58" i="110"/>
  <c r="AO58" i="110"/>
  <c r="AW58" i="110"/>
  <c r="U54" i="110"/>
  <c r="AC54" i="110"/>
  <c r="AK54" i="110"/>
  <c r="AS54" i="110"/>
  <c r="Q50" i="110"/>
  <c r="Y50" i="110"/>
  <c r="AG50" i="110"/>
  <c r="AO50" i="110"/>
  <c r="AW50" i="110"/>
  <c r="T46" i="110"/>
  <c r="AB46" i="110"/>
  <c r="AJ46" i="110"/>
  <c r="AR46" i="110"/>
  <c r="AA54" i="110"/>
  <c r="Z46" i="110"/>
  <c r="R58" i="110"/>
  <c r="Z58" i="110"/>
  <c r="AH58" i="110"/>
  <c r="AP58" i="110"/>
  <c r="AX58" i="110"/>
  <c r="V54" i="110"/>
  <c r="AD54" i="110"/>
  <c r="AL54" i="110"/>
  <c r="AT54" i="110"/>
  <c r="R50" i="110"/>
  <c r="Z50" i="110"/>
  <c r="AH50" i="110"/>
  <c r="AP50" i="110"/>
  <c r="AX50" i="110"/>
  <c r="U46" i="110"/>
  <c r="AC46" i="110"/>
  <c r="AK46" i="110"/>
  <c r="AS46" i="110"/>
  <c r="AI54" i="110"/>
  <c r="AH46" i="110"/>
  <c r="S58" i="110"/>
  <c r="AA58" i="110"/>
  <c r="AI58" i="110"/>
  <c r="AQ58" i="110"/>
  <c r="O58" i="110"/>
  <c r="W54" i="110"/>
  <c r="AE54" i="110"/>
  <c r="AM54" i="110"/>
  <c r="AU54" i="110"/>
  <c r="S50" i="110"/>
  <c r="AA50" i="110"/>
  <c r="AI50" i="110"/>
  <c r="AQ50" i="110"/>
  <c r="O50" i="110"/>
  <c r="V46" i="110"/>
  <c r="AD46" i="110"/>
  <c r="AL46" i="110"/>
  <c r="AT46" i="110"/>
  <c r="AM58" i="110"/>
  <c r="T58" i="110"/>
  <c r="AB58" i="110"/>
  <c r="AJ58" i="110"/>
  <c r="AR58" i="110"/>
  <c r="P54" i="110"/>
  <c r="X54" i="110"/>
  <c r="AF54" i="110"/>
  <c r="AN54" i="110"/>
  <c r="AV54" i="110"/>
  <c r="T50" i="110"/>
  <c r="AB50" i="110"/>
  <c r="AJ50" i="110"/>
  <c r="AR50" i="110"/>
  <c r="AX46" i="110"/>
  <c r="W46" i="110"/>
  <c r="AE46" i="110"/>
  <c r="AM46" i="110"/>
  <c r="AU46" i="110"/>
  <c r="S54" i="110"/>
  <c r="AP46" i="110"/>
  <c r="U58" i="110"/>
  <c r="AC58" i="110"/>
  <c r="AK58" i="110"/>
  <c r="AS58" i="110"/>
  <c r="Q54" i="110"/>
  <c r="Y54" i="110"/>
  <c r="AG54" i="110"/>
  <c r="AO54" i="110"/>
  <c r="AW54" i="110"/>
  <c r="U50" i="110"/>
  <c r="AC50" i="110"/>
  <c r="AK50" i="110"/>
  <c r="AS50" i="110"/>
  <c r="P46" i="110"/>
  <c r="X46" i="110"/>
  <c r="AF46" i="110"/>
  <c r="AN46" i="110"/>
  <c r="AV46" i="110"/>
  <c r="AE58" i="110"/>
  <c r="O54" i="110"/>
  <c r="AE50" i="110"/>
  <c r="AU50" i="110"/>
  <c r="V58" i="110"/>
  <c r="AD58" i="110"/>
  <c r="AL58" i="110"/>
  <c r="AT58" i="110"/>
  <c r="R54" i="110"/>
  <c r="Z54" i="110"/>
  <c r="AH54" i="110"/>
  <c r="AP54" i="110"/>
  <c r="AX54" i="110"/>
  <c r="V50" i="110"/>
  <c r="AD50" i="110"/>
  <c r="AL50" i="110"/>
  <c r="AT50" i="110"/>
  <c r="Q46" i="110"/>
  <c r="Y46" i="110"/>
  <c r="AG46" i="110"/>
  <c r="AO46" i="110"/>
  <c r="AW46" i="110"/>
  <c r="W58" i="110"/>
  <c r="F119" i="94"/>
  <c r="F131" i="94"/>
  <c r="F143" i="94"/>
  <c r="C145" i="94"/>
  <c r="F145" i="94" s="1"/>
  <c r="C146" i="94"/>
  <c r="F146" i="94" s="1"/>
  <c r="C147" i="94"/>
  <c r="F147" i="94" s="1"/>
  <c r="C148" i="94"/>
  <c r="F148" i="94" s="1"/>
  <c r="C149" i="94"/>
  <c r="F149" i="94" s="1"/>
  <c r="C150" i="94"/>
  <c r="F150" i="94" s="1"/>
  <c r="C151" i="94"/>
  <c r="F151" i="94" s="1"/>
  <c r="C152" i="94"/>
  <c r="F152" i="94" s="1"/>
  <c r="C153" i="94"/>
  <c r="F153" i="94" s="1"/>
  <c r="C154" i="94"/>
  <c r="F154" i="94" s="1"/>
  <c r="C144" i="94"/>
  <c r="F144" i="94" s="1"/>
  <c r="C133" i="94"/>
  <c r="F133" i="94" s="1"/>
  <c r="C134" i="94"/>
  <c r="F134" i="94" s="1"/>
  <c r="C135" i="94"/>
  <c r="F135" i="94" s="1"/>
  <c r="C136" i="94"/>
  <c r="F136" i="94" s="1"/>
  <c r="C137" i="94"/>
  <c r="F137" i="94" s="1"/>
  <c r="C138" i="94"/>
  <c r="F138" i="94" s="1"/>
  <c r="C139" i="94"/>
  <c r="F139" i="94" s="1"/>
  <c r="C140" i="94"/>
  <c r="F140" i="94" s="1"/>
  <c r="C141" i="94"/>
  <c r="F141" i="94" s="1"/>
  <c r="C142" i="94"/>
  <c r="F142" i="94" s="1"/>
  <c r="C132" i="94"/>
  <c r="F132" i="94" s="1"/>
  <c r="C121" i="94"/>
  <c r="F121" i="94" s="1"/>
  <c r="C122" i="94"/>
  <c r="F122" i="94" s="1"/>
  <c r="C123" i="94"/>
  <c r="F123" i="94" s="1"/>
  <c r="C124" i="94"/>
  <c r="F124" i="94" s="1"/>
  <c r="C125" i="94"/>
  <c r="F125" i="94" s="1"/>
  <c r="C126" i="94"/>
  <c r="F126" i="94" s="1"/>
  <c r="C127" i="94"/>
  <c r="F127" i="94" s="1"/>
  <c r="C128" i="94"/>
  <c r="F128" i="94" s="1"/>
  <c r="C129" i="94"/>
  <c r="F129" i="94" s="1"/>
  <c r="C130" i="94"/>
  <c r="F130" i="94" s="1"/>
  <c r="C120" i="94"/>
  <c r="F120" i="94" s="1"/>
  <c r="C109" i="94"/>
  <c r="F109" i="94" s="1"/>
  <c r="C110" i="94"/>
  <c r="F110" i="94" s="1"/>
  <c r="C111" i="94"/>
  <c r="F111" i="94" s="1"/>
  <c r="C112" i="94"/>
  <c r="F112" i="94" s="1"/>
  <c r="C113" i="94"/>
  <c r="F113" i="94" s="1"/>
  <c r="C114" i="94"/>
  <c r="F114" i="94" s="1"/>
  <c r="C115" i="94"/>
  <c r="F115" i="94" s="1"/>
  <c r="C116" i="94"/>
  <c r="F116" i="94" s="1"/>
  <c r="C117" i="94"/>
  <c r="F117" i="94" s="1"/>
  <c r="C118" i="94"/>
  <c r="F118" i="94" s="1"/>
  <c r="C108" i="94"/>
  <c r="F108" i="94" s="1"/>
  <c r="C48" i="82"/>
  <c r="G14" i="138" l="1"/>
  <c r="F14" i="138"/>
  <c r="AL14" i="138"/>
  <c r="AD14" i="138"/>
  <c r="V14" i="138"/>
  <c r="N14" i="138"/>
  <c r="AK14" i="138"/>
  <c r="AC14" i="138"/>
  <c r="U14" i="138"/>
  <c r="M14" i="138"/>
  <c r="S14" i="138"/>
  <c r="AH14" i="138"/>
  <c r="Z14" i="138"/>
  <c r="R14" i="138"/>
  <c r="J14" i="138"/>
  <c r="AJ14" i="138"/>
  <c r="T14" i="138"/>
  <c r="K14" i="138"/>
  <c r="AO14" i="138"/>
  <c r="AG14" i="138"/>
  <c r="Y14" i="138"/>
  <c r="Q14" i="138"/>
  <c r="I14" i="138"/>
  <c r="AB14" i="138"/>
  <c r="AI14" i="138"/>
  <c r="AA14" i="138"/>
  <c r="AN14" i="138"/>
  <c r="AF14" i="138"/>
  <c r="X14" i="138"/>
  <c r="P14" i="138"/>
  <c r="H14" i="138"/>
  <c r="L14" i="138"/>
  <c r="AM14" i="138"/>
  <c r="AE14" i="138"/>
  <c r="W14" i="138"/>
  <c r="O14" i="138"/>
  <c r="E136" i="59" l="1"/>
  <c r="F30" i="116"/>
  <c r="AO177" i="117"/>
  <c r="AN177" i="117"/>
  <c r="AM177" i="117"/>
  <c r="AL177" i="117"/>
  <c r="AK177" i="117"/>
  <c r="AJ177" i="117"/>
  <c r="AI177" i="117"/>
  <c r="AH177" i="117"/>
  <c r="AG177" i="117"/>
  <c r="AF177" i="117"/>
  <c r="AE177" i="117"/>
  <c r="AD177" i="117"/>
  <c r="AC177" i="117"/>
  <c r="AB177" i="117"/>
  <c r="AA177" i="117"/>
  <c r="Z177" i="117"/>
  <c r="Y177" i="117"/>
  <c r="X177" i="117"/>
  <c r="W177" i="117"/>
  <c r="V177" i="117"/>
  <c r="U177" i="117"/>
  <c r="T177" i="117"/>
  <c r="S177" i="117"/>
  <c r="R177" i="117"/>
  <c r="Q177" i="117"/>
  <c r="P177" i="117"/>
  <c r="O177" i="117"/>
  <c r="N177" i="117"/>
  <c r="M177" i="117"/>
  <c r="L177" i="117"/>
  <c r="K177" i="117"/>
  <c r="J177" i="117"/>
  <c r="I177" i="117"/>
  <c r="H177" i="117"/>
  <c r="G177" i="117"/>
  <c r="F177" i="117"/>
  <c r="AO172" i="117"/>
  <c r="AN172" i="117"/>
  <c r="AM172" i="117"/>
  <c r="AL172" i="117"/>
  <c r="AK172" i="117"/>
  <c r="AJ172" i="117"/>
  <c r="AI172" i="117"/>
  <c r="AH172" i="117"/>
  <c r="AG172" i="117"/>
  <c r="AF172" i="117"/>
  <c r="AE172" i="117"/>
  <c r="AD172" i="117"/>
  <c r="AC172" i="117"/>
  <c r="AB172" i="117"/>
  <c r="AA172" i="117"/>
  <c r="Z172" i="117"/>
  <c r="Y172" i="117"/>
  <c r="X172" i="117"/>
  <c r="W172" i="117"/>
  <c r="V172" i="117"/>
  <c r="U172" i="117"/>
  <c r="T172" i="117"/>
  <c r="S172" i="117"/>
  <c r="R172" i="117"/>
  <c r="Q172" i="117"/>
  <c r="P172" i="117"/>
  <c r="O172" i="117"/>
  <c r="N172" i="117"/>
  <c r="M172" i="117"/>
  <c r="L172" i="117"/>
  <c r="K172" i="117"/>
  <c r="J172" i="117"/>
  <c r="I172" i="117"/>
  <c r="H172" i="117"/>
  <c r="G172" i="117"/>
  <c r="F172" i="117"/>
  <c r="AO167" i="117"/>
  <c r="AN167" i="117"/>
  <c r="AM167" i="117"/>
  <c r="AL167" i="117"/>
  <c r="AK167" i="117"/>
  <c r="AJ167" i="117"/>
  <c r="AI167" i="117"/>
  <c r="AH167" i="117"/>
  <c r="AG167" i="117"/>
  <c r="AF167" i="117"/>
  <c r="AE167" i="117"/>
  <c r="AD167" i="117"/>
  <c r="AC167" i="117"/>
  <c r="AB167" i="117"/>
  <c r="AA167" i="117"/>
  <c r="Z167" i="117"/>
  <c r="Y167" i="117"/>
  <c r="X167" i="117"/>
  <c r="W167" i="117"/>
  <c r="V167" i="117"/>
  <c r="U167" i="117"/>
  <c r="T167" i="117"/>
  <c r="S167" i="117"/>
  <c r="R167" i="117"/>
  <c r="Q167" i="117"/>
  <c r="P167" i="117"/>
  <c r="O167" i="117"/>
  <c r="N167" i="117"/>
  <c r="M167" i="117"/>
  <c r="L167" i="117"/>
  <c r="K167" i="117"/>
  <c r="J167" i="117"/>
  <c r="I167" i="117"/>
  <c r="H167" i="117"/>
  <c r="G167" i="117"/>
  <c r="F167" i="117"/>
  <c r="AO162" i="117"/>
  <c r="AN162" i="117"/>
  <c r="AM162" i="117"/>
  <c r="AL162" i="117"/>
  <c r="AK162" i="117"/>
  <c r="AJ162" i="117"/>
  <c r="AI162" i="117"/>
  <c r="AH162" i="117"/>
  <c r="AG162" i="117"/>
  <c r="AF162" i="117"/>
  <c r="AE162" i="117"/>
  <c r="AD162" i="117"/>
  <c r="AC162" i="117"/>
  <c r="AB162" i="117"/>
  <c r="AA162" i="117"/>
  <c r="Z162" i="117"/>
  <c r="Y162" i="117"/>
  <c r="X162" i="117"/>
  <c r="W162" i="117"/>
  <c r="V162" i="117"/>
  <c r="U162" i="117"/>
  <c r="T162" i="117"/>
  <c r="S162" i="117"/>
  <c r="R162" i="117"/>
  <c r="Q162" i="117"/>
  <c r="P162" i="117"/>
  <c r="O162" i="117"/>
  <c r="N162" i="117"/>
  <c r="M162" i="117"/>
  <c r="L162" i="117"/>
  <c r="K162" i="117"/>
  <c r="J162" i="117"/>
  <c r="I162" i="117"/>
  <c r="H162" i="117"/>
  <c r="G162" i="117"/>
  <c r="F162" i="117"/>
  <c r="AO157" i="117"/>
  <c r="AN157" i="117"/>
  <c r="AM157" i="117"/>
  <c r="AL157" i="117"/>
  <c r="AK157" i="117"/>
  <c r="AJ157" i="117"/>
  <c r="AI157" i="117"/>
  <c r="AH157" i="117"/>
  <c r="AG157" i="117"/>
  <c r="AF157" i="117"/>
  <c r="AE157" i="117"/>
  <c r="AD157" i="117"/>
  <c r="AC157" i="117"/>
  <c r="AB157" i="117"/>
  <c r="AA157" i="117"/>
  <c r="Z157" i="117"/>
  <c r="Y157" i="117"/>
  <c r="X157" i="117"/>
  <c r="W157" i="117"/>
  <c r="V157" i="117"/>
  <c r="U157" i="117"/>
  <c r="T157" i="117"/>
  <c r="S157" i="117"/>
  <c r="R157" i="117"/>
  <c r="Q157" i="117"/>
  <c r="P157" i="117"/>
  <c r="O157" i="117"/>
  <c r="N157" i="117"/>
  <c r="M157" i="117"/>
  <c r="L157" i="117"/>
  <c r="K157" i="117"/>
  <c r="J157" i="117"/>
  <c r="I157" i="117"/>
  <c r="H157" i="117"/>
  <c r="G157" i="117"/>
  <c r="F157" i="117"/>
  <c r="AO150" i="117"/>
  <c r="AN150" i="117"/>
  <c r="AM150" i="117"/>
  <c r="AL150" i="117"/>
  <c r="AK150" i="117"/>
  <c r="AJ150" i="117"/>
  <c r="AI150" i="117"/>
  <c r="AH150" i="117"/>
  <c r="AG150" i="117"/>
  <c r="AF150" i="117"/>
  <c r="AE150" i="117"/>
  <c r="AD150" i="117"/>
  <c r="AC150" i="117"/>
  <c r="AB150" i="117"/>
  <c r="AA150" i="117"/>
  <c r="Z150" i="117"/>
  <c r="Y150" i="117"/>
  <c r="X150" i="117"/>
  <c r="W150" i="117"/>
  <c r="V150" i="117"/>
  <c r="U150" i="117"/>
  <c r="T150" i="117"/>
  <c r="S150" i="117"/>
  <c r="R150" i="117"/>
  <c r="Q150" i="117"/>
  <c r="P150" i="117"/>
  <c r="O150" i="117"/>
  <c r="N150" i="117"/>
  <c r="M150" i="117"/>
  <c r="L150" i="117"/>
  <c r="K150" i="117"/>
  <c r="J150" i="117"/>
  <c r="I150" i="117"/>
  <c r="H150" i="117"/>
  <c r="G150" i="117"/>
  <c r="F150" i="117"/>
  <c r="AO145" i="117"/>
  <c r="AN145" i="117"/>
  <c r="AM145" i="117"/>
  <c r="AL145" i="117"/>
  <c r="AK145" i="117"/>
  <c r="AJ145" i="117"/>
  <c r="AI145" i="117"/>
  <c r="AH145" i="117"/>
  <c r="AG145" i="117"/>
  <c r="AF145" i="117"/>
  <c r="AE145" i="117"/>
  <c r="AD145" i="117"/>
  <c r="AC145" i="117"/>
  <c r="AB145" i="117"/>
  <c r="AA145" i="117"/>
  <c r="Z145" i="117"/>
  <c r="Y145" i="117"/>
  <c r="X145" i="117"/>
  <c r="W145" i="117"/>
  <c r="V145" i="117"/>
  <c r="U145" i="117"/>
  <c r="T145" i="117"/>
  <c r="S145" i="117"/>
  <c r="R145" i="117"/>
  <c r="Q145" i="117"/>
  <c r="P145" i="117"/>
  <c r="O145" i="117"/>
  <c r="N145" i="117"/>
  <c r="M145" i="117"/>
  <c r="L145" i="117"/>
  <c r="K145" i="117"/>
  <c r="J145" i="117"/>
  <c r="I145" i="117"/>
  <c r="H145" i="117"/>
  <c r="G145" i="117"/>
  <c r="F145" i="117"/>
  <c r="AO140" i="117"/>
  <c r="AN140" i="117"/>
  <c r="AM140" i="117"/>
  <c r="AL140" i="117"/>
  <c r="AK140" i="117"/>
  <c r="AJ140" i="117"/>
  <c r="AI140" i="117"/>
  <c r="AH140" i="117"/>
  <c r="AG140" i="117"/>
  <c r="AF140" i="117"/>
  <c r="AE140" i="117"/>
  <c r="AD140" i="117"/>
  <c r="AC140" i="117"/>
  <c r="AB140" i="117"/>
  <c r="AA140" i="117"/>
  <c r="Z140" i="117"/>
  <c r="Y140" i="117"/>
  <c r="X140" i="117"/>
  <c r="W140" i="117"/>
  <c r="V140" i="117"/>
  <c r="U140" i="117"/>
  <c r="T140" i="117"/>
  <c r="S140" i="117"/>
  <c r="R140" i="117"/>
  <c r="Q140" i="117"/>
  <c r="P140" i="117"/>
  <c r="O140" i="117"/>
  <c r="N140" i="117"/>
  <c r="M140" i="117"/>
  <c r="L140" i="117"/>
  <c r="K140" i="117"/>
  <c r="J140" i="117"/>
  <c r="I140" i="117"/>
  <c r="H140" i="117"/>
  <c r="G140" i="117"/>
  <c r="F140" i="117"/>
  <c r="AO135" i="117"/>
  <c r="AN135" i="117"/>
  <c r="AM135" i="117"/>
  <c r="AL135" i="117"/>
  <c r="AK135" i="117"/>
  <c r="AJ135" i="117"/>
  <c r="AI135" i="117"/>
  <c r="AH135" i="117"/>
  <c r="AG135" i="117"/>
  <c r="AF135" i="117"/>
  <c r="AE135" i="117"/>
  <c r="AD135" i="117"/>
  <c r="AC135" i="117"/>
  <c r="AB135" i="117"/>
  <c r="AA135" i="117"/>
  <c r="Z135" i="117"/>
  <c r="Y135" i="117"/>
  <c r="X135" i="117"/>
  <c r="W135" i="117"/>
  <c r="V135" i="117"/>
  <c r="U135" i="117"/>
  <c r="T135" i="117"/>
  <c r="S135" i="117"/>
  <c r="R135" i="117"/>
  <c r="Q135" i="117"/>
  <c r="P135" i="117"/>
  <c r="O135" i="117"/>
  <c r="N135" i="117"/>
  <c r="M135" i="117"/>
  <c r="L135" i="117"/>
  <c r="K135" i="117"/>
  <c r="J135" i="117"/>
  <c r="I135" i="117"/>
  <c r="H135" i="117"/>
  <c r="G135" i="117"/>
  <c r="F135" i="117"/>
  <c r="G130" i="117"/>
  <c r="H130" i="117"/>
  <c r="I130" i="117"/>
  <c r="J130" i="117"/>
  <c r="K130" i="117"/>
  <c r="L130" i="117"/>
  <c r="M130" i="117"/>
  <c r="N130" i="117"/>
  <c r="O130" i="117"/>
  <c r="P130" i="117"/>
  <c r="Q130" i="117"/>
  <c r="R130" i="117"/>
  <c r="S130" i="117"/>
  <c r="T130" i="117"/>
  <c r="U130" i="117"/>
  <c r="V130" i="117"/>
  <c r="W130" i="117"/>
  <c r="X130" i="117"/>
  <c r="Y130" i="117"/>
  <c r="Z130" i="117"/>
  <c r="AA130" i="117"/>
  <c r="AB130" i="117"/>
  <c r="AC130" i="117"/>
  <c r="AD130" i="117"/>
  <c r="AE130" i="117"/>
  <c r="AF130" i="117"/>
  <c r="AG130" i="117"/>
  <c r="AH130" i="117"/>
  <c r="AI130" i="117"/>
  <c r="AJ130" i="117"/>
  <c r="AK130" i="117"/>
  <c r="AL130" i="117"/>
  <c r="AM130" i="117"/>
  <c r="AN130" i="117"/>
  <c r="AO130" i="117"/>
  <c r="F130" i="117"/>
  <c r="F90" i="52" l="1"/>
  <c r="G90" i="52"/>
  <c r="H90" i="52"/>
  <c r="I90" i="52"/>
  <c r="J90" i="52"/>
  <c r="K90" i="52"/>
  <c r="L90" i="52"/>
  <c r="M90" i="52"/>
  <c r="N90" i="52"/>
  <c r="O90" i="52"/>
  <c r="P90" i="52"/>
  <c r="Q90" i="52"/>
  <c r="R90" i="52"/>
  <c r="S90" i="52"/>
  <c r="T90" i="52"/>
  <c r="U90" i="52"/>
  <c r="V90" i="52"/>
  <c r="W90" i="52"/>
  <c r="X90" i="52"/>
  <c r="Y90" i="52"/>
  <c r="Z90" i="52"/>
  <c r="AA90" i="52"/>
  <c r="AB90" i="52"/>
  <c r="AC90" i="52"/>
  <c r="AD90" i="52"/>
  <c r="AE90" i="52"/>
  <c r="AF90" i="52"/>
  <c r="AG90" i="52"/>
  <c r="AH90" i="52"/>
  <c r="AI90" i="52"/>
  <c r="AJ90" i="52"/>
  <c r="AK90" i="52"/>
  <c r="AL90" i="52"/>
  <c r="AM90" i="52"/>
  <c r="AN90" i="52"/>
  <c r="F91" i="52"/>
  <c r="G91" i="52"/>
  <c r="H91" i="52"/>
  <c r="I91" i="52"/>
  <c r="J91" i="52"/>
  <c r="K91" i="52"/>
  <c r="L91" i="52"/>
  <c r="M91" i="52"/>
  <c r="N91" i="52"/>
  <c r="O91" i="52"/>
  <c r="P91" i="52"/>
  <c r="Q91" i="52"/>
  <c r="R91" i="52"/>
  <c r="S91" i="52"/>
  <c r="T91" i="52"/>
  <c r="U91" i="52"/>
  <c r="V91" i="52"/>
  <c r="W91" i="52"/>
  <c r="X91" i="52"/>
  <c r="Y91" i="52"/>
  <c r="Z91" i="52"/>
  <c r="AA91" i="52"/>
  <c r="AB91" i="52"/>
  <c r="AC91" i="52"/>
  <c r="AD91" i="52"/>
  <c r="AE91" i="52"/>
  <c r="AF91" i="52"/>
  <c r="AG91" i="52"/>
  <c r="AH91" i="52"/>
  <c r="AI91" i="52"/>
  <c r="AJ91" i="52"/>
  <c r="AK91" i="52"/>
  <c r="AL91" i="52"/>
  <c r="AM91" i="52"/>
  <c r="AN91" i="52"/>
  <c r="A87" i="52"/>
  <c r="A86" i="52"/>
  <c r="A85" i="52"/>
  <c r="A84" i="52"/>
  <c r="A83" i="52"/>
  <c r="A82" i="52"/>
  <c r="A81" i="52"/>
  <c r="A80" i="52"/>
  <c r="D78" i="52"/>
  <c r="C15" i="52"/>
  <c r="C14" i="52"/>
  <c r="D70" i="52" l="1"/>
  <c r="AA35" i="57"/>
  <c r="O373" i="68" l="1"/>
  <c r="O372" i="68"/>
  <c r="O371" i="68"/>
  <c r="E375" i="68"/>
  <c r="AX373" i="68"/>
  <c r="AW373" i="68"/>
  <c r="AV373" i="68"/>
  <c r="AU373" i="68"/>
  <c r="AT373" i="68"/>
  <c r="AS373" i="68"/>
  <c r="AR373" i="68"/>
  <c r="AQ373" i="68"/>
  <c r="AP373" i="68"/>
  <c r="AO373" i="68"/>
  <c r="AN373" i="68"/>
  <c r="AM373" i="68"/>
  <c r="AL373" i="68"/>
  <c r="AK373" i="68"/>
  <c r="AJ373" i="68"/>
  <c r="AI373" i="68"/>
  <c r="AH373" i="68"/>
  <c r="AG373" i="68"/>
  <c r="AF373" i="68"/>
  <c r="AE373" i="68"/>
  <c r="AD373" i="68"/>
  <c r="AC373" i="68"/>
  <c r="AB373" i="68"/>
  <c r="AA373" i="68"/>
  <c r="Z373" i="68"/>
  <c r="Y373" i="68"/>
  <c r="X373" i="68"/>
  <c r="W373" i="68"/>
  <c r="V373" i="68"/>
  <c r="U373" i="68"/>
  <c r="T373" i="68"/>
  <c r="S373" i="68"/>
  <c r="R373" i="68"/>
  <c r="Q373" i="68"/>
  <c r="P373" i="68"/>
  <c r="AX372" i="68"/>
  <c r="AW372" i="68"/>
  <c r="AV372" i="68"/>
  <c r="AU372" i="68"/>
  <c r="AT372" i="68"/>
  <c r="AS372" i="68"/>
  <c r="AR372" i="68"/>
  <c r="AQ372" i="68"/>
  <c r="AP372" i="68"/>
  <c r="AO372" i="68"/>
  <c r="AN372" i="68"/>
  <c r="AM372" i="68"/>
  <c r="AL372" i="68"/>
  <c r="AK372" i="68"/>
  <c r="AJ372" i="68"/>
  <c r="AI372" i="68"/>
  <c r="AH372" i="68"/>
  <c r="AG372" i="68"/>
  <c r="AF372" i="68"/>
  <c r="AE372" i="68"/>
  <c r="AD372" i="68"/>
  <c r="AC372" i="68"/>
  <c r="AB372" i="68"/>
  <c r="AA372" i="68"/>
  <c r="Z372" i="68"/>
  <c r="Y372" i="68"/>
  <c r="X372" i="68"/>
  <c r="W372" i="68"/>
  <c r="V372" i="68"/>
  <c r="U372" i="68"/>
  <c r="T372" i="68"/>
  <c r="S372" i="68"/>
  <c r="R372" i="68"/>
  <c r="Q372" i="68"/>
  <c r="P372" i="68"/>
  <c r="AX371" i="68"/>
  <c r="AW371" i="68"/>
  <c r="AV371" i="68"/>
  <c r="AU371" i="68"/>
  <c r="AT371" i="68"/>
  <c r="AS371" i="68"/>
  <c r="AR371" i="68"/>
  <c r="AQ371" i="68"/>
  <c r="AP371" i="68"/>
  <c r="AO371" i="68"/>
  <c r="AN371" i="68"/>
  <c r="AM371" i="68"/>
  <c r="AL371" i="68"/>
  <c r="AK371" i="68"/>
  <c r="AJ371" i="68"/>
  <c r="AI371" i="68"/>
  <c r="AH371" i="68"/>
  <c r="AG371" i="68"/>
  <c r="AF371" i="68"/>
  <c r="AE371" i="68"/>
  <c r="AD371" i="68"/>
  <c r="AC371" i="68"/>
  <c r="AB371" i="68"/>
  <c r="AA371" i="68"/>
  <c r="Z371" i="68"/>
  <c r="Y371" i="68"/>
  <c r="X371" i="68"/>
  <c r="W371" i="68"/>
  <c r="V371" i="68"/>
  <c r="U371" i="68"/>
  <c r="T371" i="68"/>
  <c r="S371" i="68"/>
  <c r="R371" i="68"/>
  <c r="Q371" i="68"/>
  <c r="P371" i="68"/>
  <c r="E168" i="68"/>
  <c r="O166" i="68"/>
  <c r="O165" i="68"/>
  <c r="O164" i="68"/>
  <c r="AX166" i="68"/>
  <c r="AW166" i="68"/>
  <c r="AV166" i="68"/>
  <c r="AU166" i="68"/>
  <c r="AT166" i="68"/>
  <c r="AS166" i="68"/>
  <c r="AR166" i="68"/>
  <c r="AQ166" i="68"/>
  <c r="AP166" i="68"/>
  <c r="AO166" i="68"/>
  <c r="AN166" i="68"/>
  <c r="AM166" i="68"/>
  <c r="AL166" i="68"/>
  <c r="AK166" i="68"/>
  <c r="AJ166" i="68"/>
  <c r="AI166" i="68"/>
  <c r="AH166" i="68"/>
  <c r="AG166" i="68"/>
  <c r="AF166" i="68"/>
  <c r="AE166" i="68"/>
  <c r="AD166" i="68"/>
  <c r="AC166" i="68"/>
  <c r="AB166" i="68"/>
  <c r="AA166" i="68"/>
  <c r="Z166" i="68"/>
  <c r="Y166" i="68"/>
  <c r="X166" i="68"/>
  <c r="W166" i="68"/>
  <c r="V166" i="68"/>
  <c r="U166" i="68"/>
  <c r="T166" i="68"/>
  <c r="S166" i="68"/>
  <c r="R166" i="68"/>
  <c r="Q166" i="68"/>
  <c r="P166" i="68"/>
  <c r="AX165" i="68"/>
  <c r="AW165" i="68"/>
  <c r="AV165" i="68"/>
  <c r="AU165" i="68"/>
  <c r="AT165" i="68"/>
  <c r="AS165" i="68"/>
  <c r="AR165" i="68"/>
  <c r="AQ165" i="68"/>
  <c r="AP165" i="68"/>
  <c r="AO165" i="68"/>
  <c r="AN165" i="68"/>
  <c r="AM165" i="68"/>
  <c r="AL165" i="68"/>
  <c r="AK165" i="68"/>
  <c r="AJ165" i="68"/>
  <c r="AI165" i="68"/>
  <c r="AH165" i="68"/>
  <c r="AG165" i="68"/>
  <c r="AF165" i="68"/>
  <c r="AE165" i="68"/>
  <c r="AD165" i="68"/>
  <c r="AC165" i="68"/>
  <c r="AB165" i="68"/>
  <c r="AA165" i="68"/>
  <c r="Z165" i="68"/>
  <c r="Y165" i="68"/>
  <c r="X165" i="68"/>
  <c r="W165" i="68"/>
  <c r="V165" i="68"/>
  <c r="U165" i="68"/>
  <c r="T165" i="68"/>
  <c r="S165" i="68"/>
  <c r="R165" i="68"/>
  <c r="Q165" i="68"/>
  <c r="P165" i="68"/>
  <c r="AX164" i="68"/>
  <c r="AW164" i="68"/>
  <c r="AV164" i="68"/>
  <c r="AU164" i="68"/>
  <c r="AT164" i="68"/>
  <c r="AS164" i="68"/>
  <c r="AR164" i="68"/>
  <c r="AQ164" i="68"/>
  <c r="AP164" i="68"/>
  <c r="AO164" i="68"/>
  <c r="AN164" i="68"/>
  <c r="AM164" i="68"/>
  <c r="AL164" i="68"/>
  <c r="AK164" i="68"/>
  <c r="AJ164" i="68"/>
  <c r="AI164" i="68"/>
  <c r="AH164" i="68"/>
  <c r="AG164" i="68"/>
  <c r="AF164" i="68"/>
  <c r="AE164" i="68"/>
  <c r="AD164" i="68"/>
  <c r="AC164" i="68"/>
  <c r="AB164" i="68"/>
  <c r="AA164" i="68"/>
  <c r="Z164" i="68"/>
  <c r="Y164" i="68"/>
  <c r="X164" i="68"/>
  <c r="W164" i="68"/>
  <c r="V164" i="68"/>
  <c r="U164" i="68"/>
  <c r="T164" i="68"/>
  <c r="S164" i="68"/>
  <c r="R164" i="68"/>
  <c r="Q164" i="68"/>
  <c r="P164" i="68"/>
  <c r="E86" i="68"/>
  <c r="C377" i="68" l="1"/>
  <c r="C170" i="68"/>
  <c r="E357" i="117"/>
  <c r="E358" i="117"/>
  <c r="E359" i="117"/>
  <c r="E360" i="117"/>
  <c r="E361" i="117"/>
  <c r="E362" i="117"/>
  <c r="E363" i="117"/>
  <c r="E356" i="117"/>
  <c r="C36" i="110"/>
  <c r="C37" i="110"/>
  <c r="C35" i="110"/>
  <c r="C34" i="110"/>
  <c r="C33" i="110"/>
  <c r="C32" i="110"/>
  <c r="G13" i="82" l="1"/>
  <c r="B9" i="82"/>
  <c r="B224" i="121"/>
  <c r="C63" i="125"/>
  <c r="E12" i="24"/>
  <c r="C41" i="110"/>
  <c r="D41" i="110" s="1"/>
  <c r="B335" i="117"/>
  <c r="B254" i="117"/>
  <c r="B241" i="117"/>
  <c r="B215" i="117"/>
  <c r="B174" i="117"/>
  <c r="B147" i="117"/>
  <c r="B8" i="117"/>
  <c r="G42" i="108"/>
  <c r="C38" i="108"/>
  <c r="G16" i="108"/>
  <c r="B8" i="108"/>
  <c r="G91" i="94"/>
  <c r="G12" i="82"/>
  <c r="B8" i="82"/>
  <c r="B157" i="121"/>
  <c r="C50" i="125"/>
  <c r="E11" i="24"/>
  <c r="C40" i="110"/>
  <c r="D40" i="110" s="1"/>
  <c r="C31" i="110"/>
  <c r="D31" i="110" s="1"/>
  <c r="C30" i="110"/>
  <c r="C29" i="110"/>
  <c r="B315" i="117"/>
  <c r="B252" i="117"/>
  <c r="B237" i="117"/>
  <c r="B207" i="117"/>
  <c r="B169" i="117"/>
  <c r="B142" i="117"/>
  <c r="B7" i="117"/>
  <c r="F42" i="108"/>
  <c r="C37" i="108"/>
  <c r="F16" i="108"/>
  <c r="B7" i="108"/>
  <c r="B7" i="82"/>
  <c r="B90" i="121"/>
  <c r="C38" i="125"/>
  <c r="E10" i="24"/>
  <c r="C39" i="110"/>
  <c r="D39" i="110" s="1"/>
  <c r="C28" i="110"/>
  <c r="C27" i="110"/>
  <c r="D27" i="110" s="1"/>
  <c r="C26" i="110"/>
  <c r="D26" i="110" s="1"/>
  <c r="B325" i="117"/>
  <c r="B250" i="117"/>
  <c r="B233" i="117"/>
  <c r="B199" i="117"/>
  <c r="B164" i="117"/>
  <c r="B137" i="117"/>
  <c r="B6" i="117"/>
  <c r="E42" i="108"/>
  <c r="C36" i="108"/>
  <c r="E16" i="108"/>
  <c r="B6" i="108"/>
  <c r="B5" i="108"/>
  <c r="D42" i="110"/>
  <c r="D37" i="110"/>
  <c r="D36" i="110"/>
  <c r="D35" i="110"/>
  <c r="D34" i="110"/>
  <c r="D33" i="110"/>
  <c r="D32" i="110"/>
  <c r="D30" i="110"/>
  <c r="D29" i="110"/>
  <c r="D28" i="110"/>
  <c r="D12" i="110"/>
  <c r="E342" i="117" l="1"/>
  <c r="E343" i="117"/>
  <c r="E336" i="117"/>
  <c r="E337" i="117"/>
  <c r="E338" i="117"/>
  <c r="E339" i="117"/>
  <c r="E340" i="117"/>
  <c r="E341" i="117"/>
  <c r="E322" i="117"/>
  <c r="E323" i="117"/>
  <c r="E316" i="117"/>
  <c r="E320" i="117"/>
  <c r="E317" i="117"/>
  <c r="E318" i="117"/>
  <c r="E319" i="117"/>
  <c r="E321" i="117"/>
  <c r="E332" i="117"/>
  <c r="E333" i="117"/>
  <c r="E326" i="117"/>
  <c r="E327" i="117"/>
  <c r="E328" i="117"/>
  <c r="E329" i="117"/>
  <c r="E330" i="117"/>
  <c r="E331" i="117"/>
  <c r="D22" i="110"/>
  <c r="D11" i="110"/>
  <c r="D14" i="110"/>
  <c r="D17" i="110"/>
  <c r="D15" i="110"/>
  <c r="D19" i="110"/>
  <c r="D10" i="110"/>
  <c r="D20" i="110"/>
  <c r="B6" i="82"/>
  <c r="B23" i="121"/>
  <c r="E9" i="24"/>
  <c r="B345" i="117"/>
  <c r="B248" i="117"/>
  <c r="B229" i="117"/>
  <c r="B191" i="117"/>
  <c r="B159" i="117"/>
  <c r="B132" i="117"/>
  <c r="B5" i="117"/>
  <c r="D42" i="108"/>
  <c r="C35" i="108"/>
  <c r="D16" i="108"/>
  <c r="C25" i="125"/>
  <c r="A17" i="125"/>
  <c r="AY27" i="57"/>
  <c r="AX27" i="57"/>
  <c r="AW27" i="57"/>
  <c r="AV27" i="57"/>
  <c r="AU27" i="57"/>
  <c r="AT27" i="57"/>
  <c r="AS27" i="57"/>
  <c r="AR27" i="57"/>
  <c r="AQ27" i="57"/>
  <c r="AP27" i="57"/>
  <c r="AO27" i="57"/>
  <c r="AN27" i="57"/>
  <c r="AM27" i="57"/>
  <c r="AL27" i="57"/>
  <c r="AK27" i="57"/>
  <c r="AJ27" i="57"/>
  <c r="AI27" i="57"/>
  <c r="AH27" i="57"/>
  <c r="AG27" i="57"/>
  <c r="AF27" i="57"/>
  <c r="AE27" i="57"/>
  <c r="AD27" i="57"/>
  <c r="AC27" i="57"/>
  <c r="AB27" i="57"/>
  <c r="AA27" i="57"/>
  <c r="Z27" i="57"/>
  <c r="Y27" i="57"/>
  <c r="X27" i="57"/>
  <c r="W27" i="57"/>
  <c r="V27" i="57"/>
  <c r="U27" i="57"/>
  <c r="T27" i="57"/>
  <c r="S27" i="57"/>
  <c r="R27" i="57"/>
  <c r="Q27" i="57"/>
  <c r="P27" i="57"/>
  <c r="E282" i="117"/>
  <c r="E283" i="117"/>
  <c r="E284" i="117"/>
  <c r="E285" i="117"/>
  <c r="E286" i="117"/>
  <c r="E287" i="117"/>
  <c r="E288" i="117"/>
  <c r="E289" i="117"/>
  <c r="E290" i="117"/>
  <c r="E291" i="117"/>
  <c r="C12" i="117"/>
  <c r="E21" i="117" l="1"/>
  <c r="F21" i="117" s="1"/>
  <c r="E20" i="117"/>
  <c r="E19" i="117"/>
  <c r="E18" i="117"/>
  <c r="F18" i="117" s="1"/>
  <c r="E352" i="117"/>
  <c r="E353" i="117"/>
  <c r="E346" i="117"/>
  <c r="E347" i="117"/>
  <c r="E348" i="117"/>
  <c r="E349" i="117"/>
  <c r="E350" i="117"/>
  <c r="E351" i="117"/>
  <c r="P52" i="57"/>
  <c r="C10" i="52"/>
  <c r="N21" i="117" l="1"/>
  <c r="R97" i="131" s="1"/>
  <c r="J97" i="131"/>
  <c r="J19" i="120" s="1"/>
  <c r="J96" i="131"/>
  <c r="M19" i="117"/>
  <c r="U19" i="117"/>
  <c r="AC19" i="117"/>
  <c r="AK19" i="117"/>
  <c r="F19" i="117"/>
  <c r="I19" i="117"/>
  <c r="Q19" i="117"/>
  <c r="Y19" i="117"/>
  <c r="AG19" i="117"/>
  <c r="AO19" i="117"/>
  <c r="J19" i="117"/>
  <c r="R19" i="117"/>
  <c r="Z19" i="117"/>
  <c r="H19" i="117"/>
  <c r="V19" i="117"/>
  <c r="AH19" i="117"/>
  <c r="K19" i="117"/>
  <c r="W19" i="117"/>
  <c r="AI19" i="117"/>
  <c r="L19" i="117"/>
  <c r="X19" i="117"/>
  <c r="AJ19" i="117"/>
  <c r="P19" i="117"/>
  <c r="AN19" i="117"/>
  <c r="S19" i="117"/>
  <c r="G19" i="117"/>
  <c r="T19" i="117"/>
  <c r="AF19" i="117"/>
  <c r="N19" i="117"/>
  <c r="AA19" i="117"/>
  <c r="AL19" i="117"/>
  <c r="O19" i="117"/>
  <c r="AB19" i="117"/>
  <c r="AM19" i="117"/>
  <c r="AD19" i="117"/>
  <c r="AE19" i="117"/>
  <c r="J20" i="117"/>
  <c r="R20" i="117"/>
  <c r="Z20" i="117"/>
  <c r="AH20" i="117"/>
  <c r="N20" i="117"/>
  <c r="V20" i="117"/>
  <c r="AD20" i="117"/>
  <c r="AL20" i="117"/>
  <c r="I20" i="117"/>
  <c r="T20" i="117"/>
  <c r="AE20" i="117"/>
  <c r="AO20" i="117"/>
  <c r="AK20" i="117"/>
  <c r="AB20" i="117"/>
  <c r="K20" i="117"/>
  <c r="U20" i="117"/>
  <c r="AF20" i="117"/>
  <c r="F20" i="117"/>
  <c r="L20" i="117"/>
  <c r="W20" i="117"/>
  <c r="AG20" i="117"/>
  <c r="AA20" i="117"/>
  <c r="G20" i="117"/>
  <c r="AM20" i="117"/>
  <c r="H20" i="117"/>
  <c r="M20" i="117"/>
  <c r="X20" i="117"/>
  <c r="AI20" i="117"/>
  <c r="O20" i="117"/>
  <c r="Y20" i="117"/>
  <c r="AJ20" i="117"/>
  <c r="P20" i="117"/>
  <c r="Q20" i="117"/>
  <c r="AC20" i="117"/>
  <c r="AN20" i="117"/>
  <c r="S20" i="117"/>
  <c r="T100" i="131" l="1"/>
  <c r="AQ100" i="131"/>
  <c r="Y100" i="131"/>
  <c r="AP100" i="131"/>
  <c r="AI99" i="131"/>
  <c r="AJ99" i="131"/>
  <c r="P99" i="131"/>
  <c r="V99" i="131"/>
  <c r="AO99" i="131"/>
  <c r="AN100" i="131"/>
  <c r="K100" i="131"/>
  <c r="O100" i="131"/>
  <c r="AH100" i="131"/>
  <c r="AH99" i="131"/>
  <c r="X99" i="131"/>
  <c r="AM99" i="131"/>
  <c r="N99" i="131"/>
  <c r="AG99" i="131"/>
  <c r="AC100" i="131"/>
  <c r="AE100" i="131"/>
  <c r="AF100" i="131"/>
  <c r="Z100" i="131"/>
  <c r="AQ99" i="131"/>
  <c r="K99" i="131"/>
  <c r="AA99" i="131"/>
  <c r="AS99" i="131"/>
  <c r="Y99" i="131"/>
  <c r="S100" i="131"/>
  <c r="AK100" i="131"/>
  <c r="AO100" i="131"/>
  <c r="R100" i="131"/>
  <c r="AF99" i="131"/>
  <c r="W99" i="131"/>
  <c r="O99" i="131"/>
  <c r="AK99" i="131"/>
  <c r="Q99" i="131"/>
  <c r="W100" i="131"/>
  <c r="AM100" i="131"/>
  <c r="AA100" i="131"/>
  <c r="AS100" i="131"/>
  <c r="AL100" i="131"/>
  <c r="S99" i="131"/>
  <c r="AR99" i="131"/>
  <c r="AL99" i="131"/>
  <c r="AC99" i="131"/>
  <c r="AR100" i="131"/>
  <c r="AB100" i="131"/>
  <c r="P100" i="131"/>
  <c r="AI100" i="131"/>
  <c r="AD100" i="131"/>
  <c r="AP99" i="131"/>
  <c r="T99" i="131"/>
  <c r="Z99" i="131"/>
  <c r="U99" i="131"/>
  <c r="AG100" i="131"/>
  <c r="Q100" i="131"/>
  <c r="J100" i="131"/>
  <c r="X100" i="131"/>
  <c r="V100" i="131"/>
  <c r="AE99" i="131"/>
  <c r="AN99" i="131"/>
  <c r="L99" i="131"/>
  <c r="M99" i="131"/>
  <c r="U100" i="131"/>
  <c r="L100" i="131"/>
  <c r="AJ100" i="131"/>
  <c r="M100" i="131"/>
  <c r="N100" i="131"/>
  <c r="R99" i="131"/>
  <c r="AB99" i="131"/>
  <c r="AD99" i="131"/>
  <c r="J99" i="131"/>
  <c r="AM30" i="116"/>
  <c r="Q39" i="57" l="1"/>
  <c r="H30" i="116"/>
  <c r="G30" i="116"/>
  <c r="C22" i="82" l="1"/>
  <c r="B22" i="82"/>
  <c r="C25" i="82"/>
  <c r="B25" i="82"/>
  <c r="B24" i="82"/>
  <c r="B23" i="82"/>
  <c r="D83" i="113"/>
  <c r="D52" i="113" s="1"/>
  <c r="B50" i="82"/>
  <c r="C50" i="82"/>
  <c r="B21" i="82"/>
  <c r="D72" i="113" l="1"/>
  <c r="C21" i="82"/>
  <c r="D96" i="52"/>
  <c r="J23" i="120" l="1"/>
  <c r="AH30" i="116" l="1"/>
  <c r="S30" i="116"/>
  <c r="I30" i="116"/>
  <c r="AQ81" i="101"/>
  <c r="AQ80" i="101"/>
  <c r="E13" i="52" l="1"/>
  <c r="C53" i="52" l="1"/>
  <c r="C4" i="52"/>
  <c r="C54" i="52"/>
  <c r="D5" i="123"/>
  <c r="D8" i="123"/>
  <c r="D7" i="123"/>
  <c r="D6" i="123"/>
  <c r="M94" i="94" l="1"/>
  <c r="N94" i="94" s="1"/>
  <c r="O94" i="94" s="1"/>
  <c r="P94" i="94" s="1"/>
  <c r="Q94" i="94" s="1"/>
  <c r="R94" i="94" s="1"/>
  <c r="S94" i="94" s="1"/>
  <c r="T94" i="94" s="1"/>
  <c r="U94" i="94" s="1"/>
  <c r="V94" i="94" s="1"/>
  <c r="W94" i="94" s="1"/>
  <c r="X94" i="94" s="1"/>
  <c r="Y94" i="94" s="1"/>
  <c r="Z94" i="94" s="1"/>
  <c r="AA94" i="94" s="1"/>
  <c r="AB94" i="94" s="1"/>
  <c r="AC94" i="94" s="1"/>
  <c r="AD94" i="94" s="1"/>
  <c r="AE94" i="94" s="1"/>
  <c r="AF94" i="94" s="1"/>
  <c r="AG94" i="94" s="1"/>
  <c r="AH94" i="94" s="1"/>
  <c r="AI94" i="94" s="1"/>
  <c r="AJ94" i="94" s="1"/>
  <c r="AK94" i="94" s="1"/>
  <c r="AL94" i="94" s="1"/>
  <c r="AM94" i="94" s="1"/>
  <c r="AN94" i="94" s="1"/>
  <c r="AO94" i="94" s="1"/>
  <c r="AP94" i="94" s="1"/>
  <c r="AQ94" i="94" s="1"/>
  <c r="AR94" i="94" s="1"/>
  <c r="AS94" i="94" s="1"/>
  <c r="AT94" i="94" s="1"/>
  <c r="B25" i="120" l="1"/>
  <c r="J24" i="120"/>
  <c r="B24" i="120"/>
  <c r="B23" i="120"/>
  <c r="B22" i="120"/>
  <c r="B21" i="120"/>
  <c r="B20" i="120"/>
  <c r="B19" i="120"/>
  <c r="B18" i="120"/>
  <c r="AX13" i="24" l="1"/>
  <c r="J197" i="99" l="1"/>
  <c r="T235" i="99"/>
  <c r="AL112" i="101"/>
  <c r="AL111" i="101"/>
  <c r="AL110" i="101"/>
  <c r="AL109" i="101"/>
  <c r="AL108" i="101"/>
  <c r="AL107" i="101"/>
  <c r="AL106" i="101"/>
  <c r="AL105" i="101"/>
  <c r="AL104" i="101"/>
  <c r="AL103" i="101"/>
  <c r="AL102" i="101"/>
  <c r="AL101" i="101"/>
  <c r="AL100" i="101"/>
  <c r="AL99" i="101"/>
  <c r="AL98" i="101"/>
  <c r="AL97" i="101"/>
  <c r="AL96" i="101"/>
  <c r="AL95" i="101"/>
  <c r="AL94" i="101"/>
  <c r="AL93" i="101"/>
  <c r="AL92" i="101"/>
  <c r="AL91" i="101"/>
  <c r="AL90" i="101"/>
  <c r="AL89" i="101"/>
  <c r="AL88" i="101"/>
  <c r="AL87" i="101"/>
  <c r="AL86" i="101"/>
  <c r="AL85" i="101"/>
  <c r="AL84" i="101"/>
  <c r="AL83" i="101"/>
  <c r="AL82" i="101"/>
  <c r="AL81" i="101"/>
  <c r="AL80" i="101"/>
  <c r="AL79" i="101"/>
  <c r="AL78" i="101"/>
  <c r="AL77" i="101"/>
  <c r="AL76" i="101"/>
  <c r="AL75" i="101"/>
  <c r="AL74" i="101"/>
  <c r="AL73" i="101"/>
  <c r="AL72" i="101"/>
  <c r="AL71" i="101"/>
  <c r="AL70" i="101"/>
  <c r="AL69" i="101"/>
  <c r="AL68" i="101"/>
  <c r="AL67" i="101"/>
  <c r="AL66" i="101"/>
  <c r="AL65" i="101"/>
  <c r="AK112" i="101"/>
  <c r="AK111" i="101"/>
  <c r="AK110" i="101"/>
  <c r="AK109" i="101"/>
  <c r="AK108" i="101"/>
  <c r="AK107" i="101"/>
  <c r="AK106" i="101"/>
  <c r="AK105" i="101"/>
  <c r="AK104" i="101"/>
  <c r="AK103" i="101"/>
  <c r="AK102" i="101"/>
  <c r="AK101" i="101"/>
  <c r="AK100" i="101"/>
  <c r="AK99" i="101"/>
  <c r="AK98" i="101"/>
  <c r="AK97" i="101"/>
  <c r="AK96" i="101"/>
  <c r="AK95" i="101"/>
  <c r="AK94" i="101"/>
  <c r="AK93" i="101"/>
  <c r="AK92" i="101"/>
  <c r="AK91" i="101"/>
  <c r="AK90" i="101"/>
  <c r="AK89" i="101"/>
  <c r="AK88" i="101"/>
  <c r="AK87" i="101"/>
  <c r="AK86" i="101"/>
  <c r="AK85" i="101"/>
  <c r="AK84" i="101"/>
  <c r="AK83" i="101"/>
  <c r="AK82" i="101"/>
  <c r="AK81" i="101"/>
  <c r="AK80" i="101"/>
  <c r="AK79" i="101"/>
  <c r="AK78" i="101"/>
  <c r="AK77" i="101"/>
  <c r="AK76" i="101"/>
  <c r="AK75" i="101"/>
  <c r="AK74" i="101"/>
  <c r="AK73" i="101"/>
  <c r="AK72" i="101"/>
  <c r="AK71" i="101"/>
  <c r="AK70" i="101"/>
  <c r="AK69" i="101"/>
  <c r="AK68" i="101"/>
  <c r="AK67" i="101"/>
  <c r="AK66" i="101"/>
  <c r="AK65" i="101"/>
  <c r="AN65" i="101"/>
  <c r="N92" i="66"/>
  <c r="N91" i="66"/>
  <c r="AC482" i="66"/>
  <c r="AC481" i="66"/>
  <c r="AC480" i="66"/>
  <c r="AC479" i="66"/>
  <c r="AC478" i="66"/>
  <c r="AC477" i="66"/>
  <c r="AC476" i="66"/>
  <c r="AC475" i="66"/>
  <c r="AC474" i="66"/>
  <c r="AC473" i="66"/>
  <c r="AC472" i="66"/>
  <c r="AC471" i="66"/>
  <c r="AC470" i="66"/>
  <c r="AC469" i="66"/>
  <c r="AC468" i="66"/>
  <c r="AC467" i="66"/>
  <c r="AC466" i="66"/>
  <c r="AC465" i="66"/>
  <c r="AC464" i="66"/>
  <c r="AC463" i="66"/>
  <c r="AC462" i="66"/>
  <c r="AC461" i="66"/>
  <c r="AB482" i="66"/>
  <c r="AB481" i="66"/>
  <c r="AB480" i="66"/>
  <c r="AB479" i="66"/>
  <c r="AB478" i="66"/>
  <c r="AB477" i="66"/>
  <c r="AB476" i="66"/>
  <c r="AB475" i="66"/>
  <c r="AB474" i="66"/>
  <c r="AB473" i="66"/>
  <c r="AB472" i="66"/>
  <c r="AB471" i="66"/>
  <c r="AB470" i="66"/>
  <c r="AB469" i="66"/>
  <c r="AB468" i="66"/>
  <c r="AB467" i="66"/>
  <c r="AB466" i="66"/>
  <c r="AB465" i="66"/>
  <c r="AB464" i="66"/>
  <c r="AB463" i="66"/>
  <c r="AB462" i="66"/>
  <c r="AB461" i="66"/>
  <c r="AA482" i="66"/>
  <c r="AA481" i="66"/>
  <c r="AA480" i="66"/>
  <c r="AA479" i="66"/>
  <c r="AA478" i="66"/>
  <c r="AA477" i="66"/>
  <c r="AA476" i="66"/>
  <c r="AA475" i="66"/>
  <c r="AA474" i="66"/>
  <c r="AA473" i="66"/>
  <c r="AA472" i="66"/>
  <c r="AA471" i="66"/>
  <c r="AA470" i="66"/>
  <c r="AA469" i="66"/>
  <c r="AA468" i="66"/>
  <c r="AA467" i="66"/>
  <c r="AA466" i="66"/>
  <c r="AA465" i="66"/>
  <c r="AA464" i="66"/>
  <c r="AA463" i="66"/>
  <c r="AA462" i="66"/>
  <c r="AA461" i="66"/>
  <c r="Z482" i="66"/>
  <c r="Z481" i="66"/>
  <c r="Z480" i="66"/>
  <c r="Z479" i="66"/>
  <c r="Z478" i="66"/>
  <c r="Z477" i="66"/>
  <c r="Z476" i="66"/>
  <c r="Z475" i="66"/>
  <c r="Z474" i="66"/>
  <c r="Z473" i="66"/>
  <c r="Z472" i="66"/>
  <c r="Z471" i="66"/>
  <c r="Z470" i="66"/>
  <c r="Z469" i="66"/>
  <c r="Z468" i="66"/>
  <c r="Z467" i="66"/>
  <c r="Z466" i="66"/>
  <c r="Z465" i="66"/>
  <c r="Z464" i="66"/>
  <c r="Z463" i="66"/>
  <c r="Z462" i="66"/>
  <c r="Z461" i="66"/>
  <c r="Y482" i="66"/>
  <c r="Y481" i="66"/>
  <c r="Y480" i="66"/>
  <c r="Y479" i="66"/>
  <c r="Y478" i="66"/>
  <c r="Y477" i="66"/>
  <c r="Y476" i="66"/>
  <c r="Y475" i="66"/>
  <c r="Y474" i="66"/>
  <c r="Y473" i="66"/>
  <c r="Y472" i="66"/>
  <c r="Y471" i="66"/>
  <c r="Y470" i="66"/>
  <c r="Y469" i="66"/>
  <c r="Y468" i="66"/>
  <c r="Y467" i="66"/>
  <c r="Y466" i="66"/>
  <c r="Y465" i="66"/>
  <c r="Y464" i="66"/>
  <c r="Y463" i="66"/>
  <c r="Y462" i="66"/>
  <c r="Y461" i="66"/>
  <c r="X482" i="66"/>
  <c r="X481" i="66"/>
  <c r="X480" i="66"/>
  <c r="X479" i="66"/>
  <c r="X478" i="66"/>
  <c r="X477" i="66"/>
  <c r="X476" i="66"/>
  <c r="X475" i="66"/>
  <c r="X474" i="66"/>
  <c r="X473" i="66"/>
  <c r="X472" i="66"/>
  <c r="X471" i="66"/>
  <c r="X470" i="66"/>
  <c r="X469" i="66"/>
  <c r="X468" i="66"/>
  <c r="X467" i="66"/>
  <c r="X466" i="66"/>
  <c r="X465" i="66"/>
  <c r="X464" i="66"/>
  <c r="X463" i="66"/>
  <c r="X462" i="66"/>
  <c r="X461" i="66"/>
  <c r="W482" i="66"/>
  <c r="W481" i="66"/>
  <c r="W480" i="66"/>
  <c r="W479" i="66"/>
  <c r="W478" i="66"/>
  <c r="W477" i="66"/>
  <c r="W476" i="66"/>
  <c r="W475" i="66"/>
  <c r="W474" i="66"/>
  <c r="W473" i="66"/>
  <c r="W472" i="66"/>
  <c r="W471" i="66"/>
  <c r="W470" i="66"/>
  <c r="W469" i="66"/>
  <c r="W468" i="66"/>
  <c r="W467" i="66"/>
  <c r="W466" i="66"/>
  <c r="W465" i="66"/>
  <c r="W464" i="66"/>
  <c r="W463" i="66"/>
  <c r="W462" i="66"/>
  <c r="W461" i="66"/>
  <c r="V482" i="66"/>
  <c r="V481" i="66"/>
  <c r="V480" i="66"/>
  <c r="V479" i="66"/>
  <c r="V478" i="66"/>
  <c r="V477" i="66"/>
  <c r="V476" i="66"/>
  <c r="V475" i="66"/>
  <c r="V474" i="66"/>
  <c r="V473" i="66"/>
  <c r="V472" i="66"/>
  <c r="V471" i="66"/>
  <c r="V470" i="66"/>
  <c r="V469" i="66"/>
  <c r="V468" i="66"/>
  <c r="V467" i="66"/>
  <c r="V466" i="66"/>
  <c r="V465" i="66"/>
  <c r="V464" i="66"/>
  <c r="V463" i="66"/>
  <c r="V462" i="66"/>
  <c r="V461" i="66"/>
  <c r="U482" i="66"/>
  <c r="U481" i="66"/>
  <c r="U480" i="66"/>
  <c r="U479" i="66"/>
  <c r="U478" i="66"/>
  <c r="U477" i="66"/>
  <c r="U476" i="66"/>
  <c r="U475" i="66"/>
  <c r="U474" i="66"/>
  <c r="U473" i="66"/>
  <c r="U472" i="66"/>
  <c r="U471" i="66"/>
  <c r="U470" i="66"/>
  <c r="U469" i="66"/>
  <c r="U468" i="66"/>
  <c r="U467" i="66"/>
  <c r="U466" i="66"/>
  <c r="U465" i="66"/>
  <c r="U464" i="66"/>
  <c r="U463" i="66"/>
  <c r="U462" i="66"/>
  <c r="U461" i="66"/>
  <c r="T482" i="66"/>
  <c r="T481" i="66"/>
  <c r="T480" i="66"/>
  <c r="T479" i="66"/>
  <c r="T478" i="66"/>
  <c r="T477" i="66"/>
  <c r="T476" i="66"/>
  <c r="T475" i="66"/>
  <c r="T474" i="66"/>
  <c r="T473" i="66"/>
  <c r="T472" i="66"/>
  <c r="T471" i="66"/>
  <c r="T470" i="66"/>
  <c r="T469" i="66"/>
  <c r="T468" i="66"/>
  <c r="T467" i="66"/>
  <c r="T466" i="66"/>
  <c r="T465" i="66"/>
  <c r="T464" i="66"/>
  <c r="T463" i="66"/>
  <c r="T462" i="66"/>
  <c r="T461" i="66"/>
  <c r="S482" i="66"/>
  <c r="S481" i="66"/>
  <c r="S480" i="66"/>
  <c r="S479" i="66"/>
  <c r="S478" i="66"/>
  <c r="S477" i="66"/>
  <c r="S476" i="66"/>
  <c r="S475" i="66"/>
  <c r="S474" i="66"/>
  <c r="S473" i="66"/>
  <c r="S472" i="66"/>
  <c r="S471" i="66"/>
  <c r="S470" i="66"/>
  <c r="S469" i="66"/>
  <c r="S468" i="66"/>
  <c r="S467" i="66"/>
  <c r="S466" i="66"/>
  <c r="S465" i="66"/>
  <c r="S464" i="66"/>
  <c r="S463" i="66"/>
  <c r="S462" i="66"/>
  <c r="S461" i="66"/>
  <c r="R482" i="66"/>
  <c r="R481" i="66"/>
  <c r="R480" i="66"/>
  <c r="R479" i="66"/>
  <c r="R478" i="66"/>
  <c r="R477" i="66"/>
  <c r="R476" i="66"/>
  <c r="R475" i="66"/>
  <c r="R474" i="66"/>
  <c r="R473" i="66"/>
  <c r="R472" i="66"/>
  <c r="R471" i="66"/>
  <c r="R470" i="66"/>
  <c r="R469" i="66"/>
  <c r="R468" i="66"/>
  <c r="R467" i="66"/>
  <c r="R466" i="66"/>
  <c r="R465" i="66"/>
  <c r="R464" i="66"/>
  <c r="R463" i="66"/>
  <c r="R462" i="66"/>
  <c r="R461" i="66"/>
  <c r="Q482" i="66"/>
  <c r="Q481" i="66"/>
  <c r="Q480" i="66"/>
  <c r="Q479" i="66"/>
  <c r="Q478" i="66"/>
  <c r="Q477" i="66"/>
  <c r="Q476" i="66"/>
  <c r="Q475" i="66"/>
  <c r="Q474" i="66"/>
  <c r="Q473" i="66"/>
  <c r="Q472" i="66"/>
  <c r="Q471" i="66"/>
  <c r="Q470" i="66"/>
  <c r="Q469" i="66"/>
  <c r="Q468" i="66"/>
  <c r="Q467" i="66"/>
  <c r="Q466" i="66"/>
  <c r="Q465" i="66"/>
  <c r="Q464" i="66"/>
  <c r="Q463" i="66"/>
  <c r="Q462" i="66"/>
  <c r="Q461" i="66"/>
  <c r="P482" i="66"/>
  <c r="P481" i="66"/>
  <c r="P480" i="66"/>
  <c r="P479" i="66"/>
  <c r="P478" i="66"/>
  <c r="P477" i="66"/>
  <c r="P476" i="66"/>
  <c r="P475" i="66"/>
  <c r="P474" i="66"/>
  <c r="P473" i="66"/>
  <c r="P472" i="66"/>
  <c r="P471" i="66"/>
  <c r="P470" i="66"/>
  <c r="P469" i="66"/>
  <c r="P468" i="66"/>
  <c r="P467" i="66"/>
  <c r="P466" i="66"/>
  <c r="P465" i="66"/>
  <c r="P464" i="66"/>
  <c r="P463" i="66"/>
  <c r="P462" i="66"/>
  <c r="P461" i="66"/>
  <c r="O482" i="66"/>
  <c r="O481" i="66"/>
  <c r="O480" i="66"/>
  <c r="O479" i="66"/>
  <c r="O478" i="66"/>
  <c r="O477" i="66"/>
  <c r="O476" i="66"/>
  <c r="O475" i="66"/>
  <c r="O474" i="66"/>
  <c r="O473" i="66"/>
  <c r="O472" i="66"/>
  <c r="O471" i="66"/>
  <c r="O470" i="66"/>
  <c r="O469" i="66"/>
  <c r="O468" i="66"/>
  <c r="O467" i="66"/>
  <c r="O466" i="66"/>
  <c r="O465" i="66"/>
  <c r="O464" i="66"/>
  <c r="O463" i="66"/>
  <c r="O462" i="66"/>
  <c r="O461" i="66"/>
  <c r="M482" i="66"/>
  <c r="M481" i="66"/>
  <c r="M480" i="66"/>
  <c r="M479" i="66"/>
  <c r="M478" i="66"/>
  <c r="M477" i="66"/>
  <c r="M476" i="66"/>
  <c r="M475" i="66"/>
  <c r="M474" i="66"/>
  <c r="M473" i="66"/>
  <c r="M472" i="66"/>
  <c r="M471" i="66"/>
  <c r="M470" i="66"/>
  <c r="M469" i="66"/>
  <c r="M468" i="66"/>
  <c r="M467" i="66"/>
  <c r="M466" i="66"/>
  <c r="M465" i="66"/>
  <c r="M464" i="66"/>
  <c r="M463" i="66"/>
  <c r="M462" i="66"/>
  <c r="M461" i="66"/>
  <c r="L482" i="66"/>
  <c r="L481" i="66"/>
  <c r="L480" i="66"/>
  <c r="L479" i="66"/>
  <c r="L478" i="66"/>
  <c r="L477" i="66"/>
  <c r="L476" i="66"/>
  <c r="L475" i="66"/>
  <c r="L474" i="66"/>
  <c r="L473" i="66"/>
  <c r="L472" i="66"/>
  <c r="L471" i="66"/>
  <c r="L470" i="66"/>
  <c r="L469" i="66"/>
  <c r="L468" i="66"/>
  <c r="L467" i="66"/>
  <c r="L466" i="66"/>
  <c r="L465" i="66"/>
  <c r="L464" i="66"/>
  <c r="L463" i="66"/>
  <c r="L462" i="66"/>
  <c r="L461" i="66"/>
  <c r="K482" i="66"/>
  <c r="K481" i="66"/>
  <c r="K480" i="66"/>
  <c r="K479" i="66"/>
  <c r="K478" i="66"/>
  <c r="K477" i="66"/>
  <c r="K476" i="66"/>
  <c r="K475" i="66"/>
  <c r="K474" i="66"/>
  <c r="K473" i="66"/>
  <c r="K472" i="66"/>
  <c r="K471" i="66"/>
  <c r="K470" i="66"/>
  <c r="K469" i="66"/>
  <c r="K468" i="66"/>
  <c r="K467" i="66"/>
  <c r="K466" i="66"/>
  <c r="K465" i="66"/>
  <c r="K464" i="66"/>
  <c r="K463" i="66"/>
  <c r="K462" i="66"/>
  <c r="K461" i="66"/>
  <c r="AK190" i="101"/>
  <c r="AJ190" i="101"/>
  <c r="AI190" i="101"/>
  <c r="AH190" i="101"/>
  <c r="AG190" i="101"/>
  <c r="AF190" i="101"/>
  <c r="AE190" i="101"/>
  <c r="AD190" i="101"/>
  <c r="AC190" i="101"/>
  <c r="AB190" i="101"/>
  <c r="AA190" i="101"/>
  <c r="Z190" i="101"/>
  <c r="Y190" i="101"/>
  <c r="X190" i="101"/>
  <c r="W190" i="101"/>
  <c r="V190" i="101"/>
  <c r="U190" i="101"/>
  <c r="T190" i="101"/>
  <c r="S190" i="101"/>
  <c r="R190" i="101"/>
  <c r="Q190" i="101"/>
  <c r="P190" i="101"/>
  <c r="O190" i="101"/>
  <c r="N190" i="101"/>
  <c r="M190" i="101"/>
  <c r="L190" i="101"/>
  <c r="K190" i="101"/>
  <c r="J190" i="101"/>
  <c r="I190" i="101"/>
  <c r="H190" i="101"/>
  <c r="G190" i="101"/>
  <c r="F190" i="101"/>
  <c r="E190" i="101"/>
  <c r="D190" i="101"/>
  <c r="C190" i="101"/>
  <c r="B190" i="101"/>
  <c r="AK189" i="101"/>
  <c r="AJ189" i="101"/>
  <c r="AI189" i="101"/>
  <c r="AH189" i="101"/>
  <c r="AG189" i="101"/>
  <c r="AF189" i="101"/>
  <c r="AE189" i="101"/>
  <c r="AD189" i="101"/>
  <c r="AC189" i="101"/>
  <c r="AB189" i="101"/>
  <c r="AA189" i="101"/>
  <c r="Z189" i="101"/>
  <c r="Y189" i="101"/>
  <c r="X189" i="101"/>
  <c r="W189" i="101"/>
  <c r="V189" i="101"/>
  <c r="U189" i="101"/>
  <c r="T189" i="101"/>
  <c r="S189" i="101"/>
  <c r="R189" i="101"/>
  <c r="Q189" i="101"/>
  <c r="P189" i="101"/>
  <c r="O189" i="101"/>
  <c r="N189" i="101"/>
  <c r="M189" i="101"/>
  <c r="L189" i="101"/>
  <c r="K189" i="101"/>
  <c r="J189" i="101"/>
  <c r="I189" i="101"/>
  <c r="H189" i="101"/>
  <c r="G189" i="101"/>
  <c r="F189" i="101"/>
  <c r="E189" i="101"/>
  <c r="D189" i="101"/>
  <c r="C189" i="101"/>
  <c r="B189" i="101"/>
  <c r="AK152" i="101"/>
  <c r="AJ152" i="101"/>
  <c r="AI152" i="101"/>
  <c r="AH152" i="101"/>
  <c r="AG152" i="101"/>
  <c r="AF152" i="101"/>
  <c r="AE152" i="101"/>
  <c r="AD152" i="101"/>
  <c r="AC152" i="101"/>
  <c r="AB152" i="101"/>
  <c r="AA152" i="101"/>
  <c r="Z152" i="101"/>
  <c r="Y152" i="101"/>
  <c r="X152" i="101"/>
  <c r="W152" i="101"/>
  <c r="V152" i="101"/>
  <c r="U152" i="101"/>
  <c r="T152" i="101"/>
  <c r="S152" i="101"/>
  <c r="R152" i="101"/>
  <c r="Q152" i="101"/>
  <c r="P152" i="101"/>
  <c r="O152" i="101"/>
  <c r="N152" i="101"/>
  <c r="M152" i="101"/>
  <c r="L152" i="101"/>
  <c r="K152" i="101"/>
  <c r="J152" i="101"/>
  <c r="I152" i="101"/>
  <c r="H152" i="101"/>
  <c r="G152" i="101"/>
  <c r="F152" i="101"/>
  <c r="E152" i="101"/>
  <c r="D152" i="101"/>
  <c r="AK151" i="101"/>
  <c r="AJ151" i="101"/>
  <c r="AI151" i="101"/>
  <c r="AH151" i="101"/>
  <c r="AG151" i="101"/>
  <c r="AF151" i="101"/>
  <c r="AE151" i="101"/>
  <c r="AD151" i="101"/>
  <c r="AC151" i="101"/>
  <c r="AB151" i="101"/>
  <c r="AA151" i="101"/>
  <c r="Z151" i="101"/>
  <c r="Y151" i="101"/>
  <c r="X151" i="101"/>
  <c r="W151" i="101"/>
  <c r="V151" i="101"/>
  <c r="U151" i="101"/>
  <c r="T151" i="101"/>
  <c r="S151" i="101"/>
  <c r="R151" i="101"/>
  <c r="Q151" i="101"/>
  <c r="P151" i="101"/>
  <c r="O151" i="101"/>
  <c r="N151" i="101"/>
  <c r="M151" i="101"/>
  <c r="L151" i="101"/>
  <c r="K151" i="101"/>
  <c r="J151" i="101"/>
  <c r="I151" i="101"/>
  <c r="H151" i="101"/>
  <c r="G151" i="101"/>
  <c r="F151" i="101"/>
  <c r="E151" i="101"/>
  <c r="D151" i="101"/>
  <c r="C152" i="101"/>
  <c r="C151" i="101"/>
  <c r="B152" i="101"/>
  <c r="B151" i="101"/>
  <c r="R55" i="82"/>
  <c r="R54" i="82"/>
  <c r="V92" i="66"/>
  <c r="V91" i="66"/>
  <c r="U92" i="66"/>
  <c r="U91" i="66"/>
  <c r="T92" i="66"/>
  <c r="T91" i="66"/>
  <c r="S92" i="66"/>
  <c r="S91" i="66"/>
  <c r="R92" i="66"/>
  <c r="R91" i="66"/>
  <c r="Q92" i="66"/>
  <c r="Q91" i="66"/>
  <c r="P92" i="66"/>
  <c r="P91" i="66"/>
  <c r="O92" i="66"/>
  <c r="O91" i="66"/>
  <c r="M92" i="66"/>
  <c r="M91" i="66"/>
  <c r="L92" i="66"/>
  <c r="L91" i="66"/>
  <c r="K92" i="66"/>
  <c r="K91" i="66"/>
  <c r="I92" i="66"/>
  <c r="I91" i="66"/>
  <c r="G92" i="66"/>
  <c r="AX43" i="66"/>
  <c r="AW43" i="66"/>
  <c r="AV43" i="66"/>
  <c r="AU43" i="66"/>
  <c r="AT43" i="66"/>
  <c r="AS43" i="66"/>
  <c r="AR43" i="66"/>
  <c r="AQ43" i="66"/>
  <c r="AP43" i="66"/>
  <c r="AO43" i="66"/>
  <c r="AN43" i="66"/>
  <c r="AM43" i="66"/>
  <c r="AL43" i="66"/>
  <c r="AK43" i="66"/>
  <c r="AJ43" i="66"/>
  <c r="AI43" i="66"/>
  <c r="AH43" i="66"/>
  <c r="AG43" i="66"/>
  <c r="AF43" i="66"/>
  <c r="AE43" i="66"/>
  <c r="AD43" i="66"/>
  <c r="AC43" i="66"/>
  <c r="AB43" i="66"/>
  <c r="AA43" i="66"/>
  <c r="Z43" i="66"/>
  <c r="Y43" i="66"/>
  <c r="X43" i="66"/>
  <c r="W43" i="66"/>
  <c r="V43" i="66"/>
  <c r="U43" i="66"/>
  <c r="T43" i="66"/>
  <c r="S43" i="66"/>
  <c r="R43" i="66"/>
  <c r="Q43" i="66"/>
  <c r="P43" i="66"/>
  <c r="AX42" i="66"/>
  <c r="AW42" i="66"/>
  <c r="AV42" i="66"/>
  <c r="AU42" i="66"/>
  <c r="AT42" i="66"/>
  <c r="AS42" i="66"/>
  <c r="AR42" i="66"/>
  <c r="AQ42" i="66"/>
  <c r="AP42" i="66"/>
  <c r="AO42" i="66"/>
  <c r="AN42" i="66"/>
  <c r="AM42" i="66"/>
  <c r="AL42" i="66"/>
  <c r="AK42" i="66"/>
  <c r="AJ42" i="66"/>
  <c r="AI42" i="66"/>
  <c r="AH42" i="66"/>
  <c r="AG42" i="66"/>
  <c r="AF42" i="66"/>
  <c r="AE42" i="66"/>
  <c r="AD42" i="66"/>
  <c r="AC42" i="66"/>
  <c r="AB42" i="66"/>
  <c r="AA42" i="66"/>
  <c r="Z42" i="66"/>
  <c r="Y42" i="66"/>
  <c r="X42" i="66"/>
  <c r="W42" i="66"/>
  <c r="V42" i="66"/>
  <c r="U42" i="66"/>
  <c r="T42" i="66"/>
  <c r="S42" i="66"/>
  <c r="R42" i="66"/>
  <c r="Q42" i="66"/>
  <c r="P42" i="66"/>
  <c r="O43" i="66"/>
  <c r="O42" i="66"/>
  <c r="M43" i="131"/>
  <c r="M42" i="131"/>
  <c r="K43" i="131"/>
  <c r="K42" i="131"/>
  <c r="I43" i="131"/>
  <c r="I42" i="131"/>
  <c r="G43" i="131"/>
  <c r="G42" i="131"/>
  <c r="CD175" i="113"/>
  <c r="CC175" i="113"/>
  <c r="CB175" i="113"/>
  <c r="CA175" i="113"/>
  <c r="BZ175" i="113"/>
  <c r="BY175" i="113"/>
  <c r="BX175" i="113"/>
  <c r="BW175" i="113"/>
  <c r="BV175" i="113"/>
  <c r="BU175" i="113"/>
  <c r="BT175" i="113"/>
  <c r="BS175" i="113"/>
  <c r="BQ175" i="113"/>
  <c r="BP175" i="113"/>
  <c r="BO175" i="113"/>
  <c r="BN175" i="113"/>
  <c r="BM175" i="113"/>
  <c r="BL175" i="113"/>
  <c r="BK175" i="113"/>
  <c r="BJ175" i="113"/>
  <c r="BI175" i="113"/>
  <c r="BH175" i="113"/>
  <c r="BG175" i="113"/>
  <c r="BF175" i="113"/>
  <c r="BC175" i="113"/>
  <c r="BB175" i="113"/>
  <c r="BA175" i="113"/>
  <c r="AZ175" i="113"/>
  <c r="AY175" i="113"/>
  <c r="AX175" i="113"/>
  <c r="AW175" i="113"/>
  <c r="AV175" i="113"/>
  <c r="AU175" i="113"/>
  <c r="AT175" i="113"/>
  <c r="AS175" i="113"/>
  <c r="AR175" i="113"/>
  <c r="AP175" i="113"/>
  <c r="AO175" i="113"/>
  <c r="AN175" i="113"/>
  <c r="AM175" i="113"/>
  <c r="AL175" i="113"/>
  <c r="AK175" i="113"/>
  <c r="AJ175" i="113"/>
  <c r="AI175" i="113"/>
  <c r="AH175" i="113"/>
  <c r="AG175" i="113"/>
  <c r="AF175" i="113"/>
  <c r="AE175" i="113"/>
  <c r="AB175" i="113"/>
  <c r="AA175" i="113"/>
  <c r="Z175" i="113"/>
  <c r="Y175" i="113"/>
  <c r="X175" i="113"/>
  <c r="W175" i="113"/>
  <c r="V175" i="113"/>
  <c r="U175" i="113"/>
  <c r="T175" i="113"/>
  <c r="S175" i="113"/>
  <c r="R175" i="113"/>
  <c r="Q175" i="113"/>
  <c r="O175" i="113"/>
  <c r="N175" i="113"/>
  <c r="M175" i="113"/>
  <c r="L175" i="113"/>
  <c r="K175" i="113"/>
  <c r="J175" i="113"/>
  <c r="I175" i="113"/>
  <c r="H175" i="113"/>
  <c r="G175" i="113"/>
  <c r="F175" i="113"/>
  <c r="E175" i="113"/>
  <c r="D175" i="113"/>
  <c r="B175" i="113"/>
  <c r="CD174" i="113"/>
  <c r="CC174" i="113"/>
  <c r="CB174" i="113"/>
  <c r="CA174" i="113"/>
  <c r="BZ174" i="113"/>
  <c r="BY174" i="113"/>
  <c r="BX174" i="113"/>
  <c r="BW174" i="113"/>
  <c r="BV174" i="113"/>
  <c r="BU174" i="113"/>
  <c r="BT174" i="113"/>
  <c r="BS174" i="113"/>
  <c r="BQ174" i="113"/>
  <c r="BP174" i="113"/>
  <c r="BO174" i="113"/>
  <c r="BN174" i="113"/>
  <c r="BM174" i="113"/>
  <c r="BL174" i="113"/>
  <c r="BK174" i="113"/>
  <c r="BJ174" i="113"/>
  <c r="BI174" i="113"/>
  <c r="BH174" i="113"/>
  <c r="BG174" i="113"/>
  <c r="BF174" i="113"/>
  <c r="BC174" i="113"/>
  <c r="BB174" i="113"/>
  <c r="BA174" i="113"/>
  <c r="AZ174" i="113"/>
  <c r="AY174" i="113"/>
  <c r="AX174" i="113"/>
  <c r="AW174" i="113"/>
  <c r="AV174" i="113"/>
  <c r="AU174" i="113"/>
  <c r="AT174" i="113"/>
  <c r="AS174" i="113"/>
  <c r="AR174" i="113"/>
  <c r="AP174" i="113"/>
  <c r="AO174" i="113"/>
  <c r="AN174" i="113"/>
  <c r="AM174" i="113"/>
  <c r="AL174" i="113"/>
  <c r="AK174" i="113"/>
  <c r="AJ174" i="113"/>
  <c r="AI174" i="113"/>
  <c r="AH174" i="113"/>
  <c r="AG174" i="113"/>
  <c r="AF174" i="113"/>
  <c r="AE174" i="113"/>
  <c r="AB174" i="113"/>
  <c r="AA174" i="113"/>
  <c r="Z174" i="113"/>
  <c r="Y174" i="113"/>
  <c r="X174" i="113"/>
  <c r="W174" i="113"/>
  <c r="V174" i="113"/>
  <c r="U174" i="113"/>
  <c r="T174" i="113"/>
  <c r="S174" i="113"/>
  <c r="R174" i="113"/>
  <c r="Q174" i="113"/>
  <c r="O174" i="113"/>
  <c r="N174" i="113"/>
  <c r="M174" i="113"/>
  <c r="L174" i="113"/>
  <c r="K174" i="113"/>
  <c r="J174" i="113"/>
  <c r="I174" i="113"/>
  <c r="H174" i="113"/>
  <c r="G174" i="113"/>
  <c r="F174" i="113"/>
  <c r="E174" i="113"/>
  <c r="D174" i="113"/>
  <c r="B174" i="113"/>
  <c r="CD130" i="113"/>
  <c r="CC130" i="113"/>
  <c r="CB130" i="113"/>
  <c r="CA130" i="113"/>
  <c r="BZ130" i="113"/>
  <c r="BY130" i="113"/>
  <c r="BX130" i="113"/>
  <c r="BW130" i="113"/>
  <c r="BV130" i="113"/>
  <c r="BU130" i="113"/>
  <c r="BT130" i="113"/>
  <c r="BS130" i="113"/>
  <c r="CD129" i="113"/>
  <c r="CC129" i="113"/>
  <c r="CB129" i="113"/>
  <c r="CA129" i="113"/>
  <c r="BZ129" i="113"/>
  <c r="BY129" i="113"/>
  <c r="BX129" i="113"/>
  <c r="BW129" i="113"/>
  <c r="BV129" i="113"/>
  <c r="BU129" i="113"/>
  <c r="BT129" i="113"/>
  <c r="BS129" i="113"/>
  <c r="BQ130" i="113"/>
  <c r="BP130" i="113"/>
  <c r="BO130" i="113"/>
  <c r="BN130" i="113"/>
  <c r="BM130" i="113"/>
  <c r="BL130" i="113"/>
  <c r="BK130" i="113"/>
  <c r="BJ130" i="113"/>
  <c r="BI130" i="113"/>
  <c r="BH130" i="113"/>
  <c r="BG130" i="113"/>
  <c r="BF130" i="113"/>
  <c r="BQ129" i="113"/>
  <c r="BP129" i="113"/>
  <c r="BO129" i="113"/>
  <c r="BN129" i="113"/>
  <c r="BM129" i="113"/>
  <c r="BL129" i="113"/>
  <c r="BK129" i="113"/>
  <c r="BJ129" i="113"/>
  <c r="BI129" i="113"/>
  <c r="BH129" i="113"/>
  <c r="BG129" i="113"/>
  <c r="BF129" i="113"/>
  <c r="BC130" i="113"/>
  <c r="BB130" i="113"/>
  <c r="BA130" i="113"/>
  <c r="AZ130" i="113"/>
  <c r="AY130" i="113"/>
  <c r="AX130" i="113"/>
  <c r="AW130" i="113"/>
  <c r="AV130" i="113"/>
  <c r="AU130" i="113"/>
  <c r="AT130" i="113"/>
  <c r="AS130" i="113"/>
  <c r="AR130" i="113"/>
  <c r="BC129" i="113"/>
  <c r="BB129" i="113"/>
  <c r="BA129" i="113"/>
  <c r="AZ129" i="113"/>
  <c r="AY129" i="113"/>
  <c r="AX129" i="113"/>
  <c r="AW129" i="113"/>
  <c r="AV129" i="113"/>
  <c r="AU129" i="113"/>
  <c r="AT129" i="113"/>
  <c r="AS129" i="113"/>
  <c r="AR129" i="113"/>
  <c r="AP130" i="113"/>
  <c r="AO130" i="113"/>
  <c r="AN130" i="113"/>
  <c r="AM130" i="113"/>
  <c r="AL130" i="113"/>
  <c r="AK130" i="113"/>
  <c r="AJ130" i="113"/>
  <c r="AI130" i="113"/>
  <c r="AH130" i="113"/>
  <c r="AG130" i="113"/>
  <c r="AF130" i="113"/>
  <c r="AE130" i="113"/>
  <c r="AP129" i="113"/>
  <c r="AO129" i="113"/>
  <c r="AN129" i="113"/>
  <c r="AM129" i="113"/>
  <c r="AL129" i="113"/>
  <c r="AK129" i="113"/>
  <c r="AJ129" i="113"/>
  <c r="AI129" i="113"/>
  <c r="AH129" i="113"/>
  <c r="AG129" i="113"/>
  <c r="AF129" i="113"/>
  <c r="AE129" i="113"/>
  <c r="AB130" i="113"/>
  <c r="AA130" i="113"/>
  <c r="Z130" i="113"/>
  <c r="Y130" i="113"/>
  <c r="X130" i="113"/>
  <c r="W130" i="113"/>
  <c r="V130" i="113"/>
  <c r="U130" i="113"/>
  <c r="T130" i="113"/>
  <c r="S130" i="113"/>
  <c r="R130" i="113"/>
  <c r="Q130" i="113"/>
  <c r="AB129" i="113"/>
  <c r="AA129" i="113"/>
  <c r="Z129" i="113"/>
  <c r="Y129" i="113"/>
  <c r="X129" i="113"/>
  <c r="W129" i="113"/>
  <c r="V129" i="113"/>
  <c r="U129" i="113"/>
  <c r="T129" i="113"/>
  <c r="S129" i="113"/>
  <c r="R129" i="113"/>
  <c r="Q129" i="113"/>
  <c r="O130" i="113"/>
  <c r="N130" i="113"/>
  <c r="M130" i="113"/>
  <c r="L130" i="113"/>
  <c r="K130" i="113"/>
  <c r="J130" i="113"/>
  <c r="I130" i="113"/>
  <c r="H130" i="113"/>
  <c r="G130" i="113"/>
  <c r="F130" i="113"/>
  <c r="E130" i="113"/>
  <c r="O129" i="113"/>
  <c r="N129" i="113"/>
  <c r="M129" i="113"/>
  <c r="L129" i="113"/>
  <c r="K129" i="113"/>
  <c r="J129" i="113"/>
  <c r="I129" i="113"/>
  <c r="H129" i="113"/>
  <c r="G129" i="113"/>
  <c r="F129" i="113"/>
  <c r="E129" i="113"/>
  <c r="D130" i="113"/>
  <c r="D129" i="113"/>
  <c r="B130" i="113"/>
  <c r="B129" i="113"/>
  <c r="C82" i="113"/>
  <c r="C81" i="113"/>
  <c r="B82" i="113"/>
  <c r="B81" i="113"/>
  <c r="AR80" i="101"/>
  <c r="AR81" i="101" s="1"/>
  <c r="AX331" i="68"/>
  <c r="AW331" i="68"/>
  <c r="AV331" i="68"/>
  <c r="AU331" i="68"/>
  <c r="AT331" i="68"/>
  <c r="AS331" i="68"/>
  <c r="AR331" i="68"/>
  <c r="AQ331" i="68"/>
  <c r="AP331" i="68"/>
  <c r="AO331" i="68"/>
  <c r="AN331" i="68"/>
  <c r="AM331" i="68"/>
  <c r="AL331" i="68"/>
  <c r="AK331" i="68"/>
  <c r="AJ331" i="68"/>
  <c r="AI331" i="68"/>
  <c r="AH331" i="68"/>
  <c r="AG331" i="68"/>
  <c r="AF331" i="68"/>
  <c r="AE331" i="68"/>
  <c r="AD331" i="68"/>
  <c r="AC331" i="68"/>
  <c r="AB331" i="68"/>
  <c r="AA331" i="68"/>
  <c r="Z331" i="68"/>
  <c r="Y331" i="68"/>
  <c r="X331" i="68"/>
  <c r="W331" i="68"/>
  <c r="V331" i="68"/>
  <c r="U331" i="68"/>
  <c r="T331" i="68"/>
  <c r="S331" i="68"/>
  <c r="R331" i="68"/>
  <c r="Q331" i="68"/>
  <c r="P331" i="68"/>
  <c r="O331" i="68"/>
  <c r="AX330" i="68"/>
  <c r="AW330" i="68"/>
  <c r="AV330" i="68"/>
  <c r="AU330" i="68"/>
  <c r="AT330" i="68"/>
  <c r="AS330" i="68"/>
  <c r="AR330" i="68"/>
  <c r="AQ330" i="68"/>
  <c r="AP330" i="68"/>
  <c r="AO330" i="68"/>
  <c r="AN330" i="68"/>
  <c r="AM330" i="68"/>
  <c r="AL330" i="68"/>
  <c r="AK330" i="68"/>
  <c r="AJ330" i="68"/>
  <c r="AI330" i="68"/>
  <c r="AH330" i="68"/>
  <c r="AG330" i="68"/>
  <c r="AF330" i="68"/>
  <c r="AE330" i="68"/>
  <c r="AD330" i="68"/>
  <c r="AC330" i="68"/>
  <c r="AB330" i="68"/>
  <c r="AA330" i="68"/>
  <c r="Z330" i="68"/>
  <c r="Y330" i="68"/>
  <c r="X330" i="68"/>
  <c r="W330" i="68"/>
  <c r="V330" i="68"/>
  <c r="U330" i="68"/>
  <c r="T330" i="68"/>
  <c r="S330" i="68"/>
  <c r="R330" i="68"/>
  <c r="Q330" i="68"/>
  <c r="P330" i="68"/>
  <c r="O330" i="68"/>
  <c r="AX290" i="68"/>
  <c r="AW290" i="68"/>
  <c r="AV290" i="68"/>
  <c r="AU290" i="68"/>
  <c r="AT290" i="68"/>
  <c r="AS290" i="68"/>
  <c r="AR290" i="68"/>
  <c r="AQ290" i="68"/>
  <c r="AP290" i="68"/>
  <c r="AO290" i="68"/>
  <c r="AN290" i="68"/>
  <c r="AM290" i="68"/>
  <c r="AL290" i="68"/>
  <c r="AK290" i="68"/>
  <c r="AJ290" i="68"/>
  <c r="AI290" i="68"/>
  <c r="AH290" i="68"/>
  <c r="AG290" i="68"/>
  <c r="AF290" i="68"/>
  <c r="AE290" i="68"/>
  <c r="AD290" i="68"/>
  <c r="AC290" i="68"/>
  <c r="AB290" i="68"/>
  <c r="AA290" i="68"/>
  <c r="Z290" i="68"/>
  <c r="Y290" i="68"/>
  <c r="X290" i="68"/>
  <c r="W290" i="68"/>
  <c r="V290" i="68"/>
  <c r="U290" i="68"/>
  <c r="T290" i="68"/>
  <c r="S290" i="68"/>
  <c r="R290" i="68"/>
  <c r="Q290" i="68"/>
  <c r="P290" i="68"/>
  <c r="O290" i="68"/>
  <c r="AX289" i="68"/>
  <c r="AW289" i="68"/>
  <c r="AV289" i="68"/>
  <c r="AU289" i="68"/>
  <c r="AT289" i="68"/>
  <c r="AS289" i="68"/>
  <c r="AR289" i="68"/>
  <c r="AQ289" i="68"/>
  <c r="AP289" i="68"/>
  <c r="AO289" i="68"/>
  <c r="AN289" i="68"/>
  <c r="AM289" i="68"/>
  <c r="AL289" i="68"/>
  <c r="AK289" i="68"/>
  <c r="AJ289" i="68"/>
  <c r="AI289" i="68"/>
  <c r="AH289" i="68"/>
  <c r="AG289" i="68"/>
  <c r="AF289" i="68"/>
  <c r="AE289" i="68"/>
  <c r="AD289" i="68"/>
  <c r="AC289" i="68"/>
  <c r="AB289" i="68"/>
  <c r="AA289" i="68"/>
  <c r="Z289" i="68"/>
  <c r="Y289" i="68"/>
  <c r="X289" i="68"/>
  <c r="W289" i="68"/>
  <c r="V289" i="68"/>
  <c r="U289" i="68"/>
  <c r="T289" i="68"/>
  <c r="S289" i="68"/>
  <c r="R289" i="68"/>
  <c r="Q289" i="68"/>
  <c r="P289" i="68"/>
  <c r="O289" i="68"/>
  <c r="AX249" i="68"/>
  <c r="AW249" i="68"/>
  <c r="AV249" i="68"/>
  <c r="AU249" i="68"/>
  <c r="AT249" i="68"/>
  <c r="AS249" i="68"/>
  <c r="AR249" i="68"/>
  <c r="AQ249" i="68"/>
  <c r="AP249" i="68"/>
  <c r="AO249" i="68"/>
  <c r="AN249" i="68"/>
  <c r="AM249" i="68"/>
  <c r="AL249" i="68"/>
  <c r="AK249" i="68"/>
  <c r="AJ249" i="68"/>
  <c r="AI249" i="68"/>
  <c r="AH249" i="68"/>
  <c r="AG249" i="68"/>
  <c r="AF249" i="68"/>
  <c r="AE249" i="68"/>
  <c r="AD249" i="68"/>
  <c r="AC249" i="68"/>
  <c r="AB249" i="68"/>
  <c r="AA249" i="68"/>
  <c r="Z249" i="68"/>
  <c r="Y249" i="68"/>
  <c r="X249" i="68"/>
  <c r="W249" i="68"/>
  <c r="V249" i="68"/>
  <c r="U249" i="68"/>
  <c r="T249" i="68"/>
  <c r="S249" i="68"/>
  <c r="R249" i="68"/>
  <c r="Q249" i="68"/>
  <c r="P249" i="68"/>
  <c r="O249" i="68"/>
  <c r="AX248" i="68"/>
  <c r="AW248" i="68"/>
  <c r="AV248" i="68"/>
  <c r="AU248" i="68"/>
  <c r="AT248" i="68"/>
  <c r="AS248" i="68"/>
  <c r="AR248" i="68"/>
  <c r="AQ248" i="68"/>
  <c r="AP248" i="68"/>
  <c r="AO248" i="68"/>
  <c r="AN248" i="68"/>
  <c r="AM248" i="68"/>
  <c r="AL248" i="68"/>
  <c r="AK248" i="68"/>
  <c r="AJ248" i="68"/>
  <c r="AI248" i="68"/>
  <c r="AH248" i="68"/>
  <c r="AG248" i="68"/>
  <c r="AF248" i="68"/>
  <c r="AE248" i="68"/>
  <c r="AD248" i="68"/>
  <c r="AC248" i="68"/>
  <c r="AB248" i="68"/>
  <c r="AA248" i="68"/>
  <c r="Z248" i="68"/>
  <c r="Y248" i="68"/>
  <c r="X248" i="68"/>
  <c r="W248" i="68"/>
  <c r="V248" i="68"/>
  <c r="U248" i="68"/>
  <c r="T248" i="68"/>
  <c r="S248" i="68"/>
  <c r="R248" i="68"/>
  <c r="Q248" i="68"/>
  <c r="P248" i="68"/>
  <c r="O248" i="68"/>
  <c r="AX124" i="68"/>
  <c r="AW124" i="68"/>
  <c r="AV124" i="68"/>
  <c r="AU124" i="68"/>
  <c r="AT124" i="68"/>
  <c r="AS124" i="68"/>
  <c r="AR124" i="68"/>
  <c r="AQ124" i="68"/>
  <c r="AP124" i="68"/>
  <c r="AO124" i="68"/>
  <c r="AN124" i="68"/>
  <c r="AM124" i="68"/>
  <c r="AL124" i="68"/>
  <c r="AK124" i="68"/>
  <c r="AJ124" i="68"/>
  <c r="AI124" i="68"/>
  <c r="AH124" i="68"/>
  <c r="AG124" i="68"/>
  <c r="AF124" i="68"/>
  <c r="AE124" i="68"/>
  <c r="AD124" i="68"/>
  <c r="AC124" i="68"/>
  <c r="AB124" i="68"/>
  <c r="AA124" i="68"/>
  <c r="Z124" i="68"/>
  <c r="Y124" i="68"/>
  <c r="X124" i="68"/>
  <c r="W124" i="68"/>
  <c r="V124" i="68"/>
  <c r="U124" i="68"/>
  <c r="T124" i="68"/>
  <c r="S124" i="68"/>
  <c r="R124" i="68"/>
  <c r="Q124" i="68"/>
  <c r="P124" i="68"/>
  <c r="O124" i="68"/>
  <c r="AX123" i="68"/>
  <c r="AW123" i="68"/>
  <c r="AV123" i="68"/>
  <c r="AU123" i="68"/>
  <c r="AT123" i="68"/>
  <c r="AS123" i="68"/>
  <c r="AR123" i="68"/>
  <c r="AQ123" i="68"/>
  <c r="AP123" i="68"/>
  <c r="AO123" i="68"/>
  <c r="AN123" i="68"/>
  <c r="AM123" i="68"/>
  <c r="AL123" i="68"/>
  <c r="AK123" i="68"/>
  <c r="AJ123" i="68"/>
  <c r="AI123" i="68"/>
  <c r="AH123" i="68"/>
  <c r="AG123" i="68"/>
  <c r="AF123" i="68"/>
  <c r="AE123" i="68"/>
  <c r="AD123" i="68"/>
  <c r="AC123" i="68"/>
  <c r="AB123" i="68"/>
  <c r="AA123" i="68"/>
  <c r="Z123" i="68"/>
  <c r="Y123" i="68"/>
  <c r="X123" i="68"/>
  <c r="W123" i="68"/>
  <c r="V123" i="68"/>
  <c r="U123" i="68"/>
  <c r="T123" i="68"/>
  <c r="S123" i="68"/>
  <c r="R123" i="68"/>
  <c r="Q123" i="68"/>
  <c r="P123" i="68"/>
  <c r="O123" i="68"/>
  <c r="AX83" i="68"/>
  <c r="AW83" i="68"/>
  <c r="AV83" i="68"/>
  <c r="AU83" i="68"/>
  <c r="AT83" i="68"/>
  <c r="AS83" i="68"/>
  <c r="AR83" i="68"/>
  <c r="AQ83" i="68"/>
  <c r="AP83" i="68"/>
  <c r="AO83" i="68"/>
  <c r="AN83" i="68"/>
  <c r="AM83" i="68"/>
  <c r="AL83" i="68"/>
  <c r="AK83" i="68"/>
  <c r="AJ83" i="68"/>
  <c r="AI83" i="68"/>
  <c r="AH83" i="68"/>
  <c r="AG83" i="68"/>
  <c r="AF83" i="68"/>
  <c r="AE83" i="68"/>
  <c r="AD83" i="68"/>
  <c r="AC83" i="68"/>
  <c r="AB83" i="68"/>
  <c r="AA83" i="68"/>
  <c r="Z83" i="68"/>
  <c r="Y83" i="68"/>
  <c r="X83" i="68"/>
  <c r="W83" i="68"/>
  <c r="V83" i="68"/>
  <c r="U83" i="68"/>
  <c r="T83" i="68"/>
  <c r="S83" i="68"/>
  <c r="R83" i="68"/>
  <c r="Q83" i="68"/>
  <c r="P83" i="68"/>
  <c r="O83" i="68"/>
  <c r="AX82" i="68"/>
  <c r="AW82" i="68"/>
  <c r="AV82" i="68"/>
  <c r="AU82" i="68"/>
  <c r="AT82" i="68"/>
  <c r="AS82" i="68"/>
  <c r="AR82" i="68"/>
  <c r="AQ82" i="68"/>
  <c r="AP82" i="68"/>
  <c r="AO82" i="68"/>
  <c r="AN82" i="68"/>
  <c r="AM82" i="68"/>
  <c r="AL82" i="68"/>
  <c r="AK82" i="68"/>
  <c r="AJ82" i="68"/>
  <c r="AI82" i="68"/>
  <c r="AH82" i="68"/>
  <c r="AG82" i="68"/>
  <c r="AF82" i="68"/>
  <c r="AE82" i="68"/>
  <c r="AD82" i="68"/>
  <c r="AC82" i="68"/>
  <c r="AB82" i="68"/>
  <c r="AA82" i="68"/>
  <c r="Z82" i="68"/>
  <c r="Y82" i="68"/>
  <c r="X82" i="68"/>
  <c r="W82" i="68"/>
  <c r="V82" i="68"/>
  <c r="U82" i="68"/>
  <c r="T82" i="68"/>
  <c r="S82" i="68"/>
  <c r="R82" i="68"/>
  <c r="Q82" i="68"/>
  <c r="P82" i="68"/>
  <c r="O82" i="68"/>
  <c r="O84" i="68"/>
  <c r="P84" i="68"/>
  <c r="Q84" i="68"/>
  <c r="R84" i="68"/>
  <c r="S84" i="68"/>
  <c r="T84" i="68"/>
  <c r="U84" i="68"/>
  <c r="V84" i="68"/>
  <c r="W84" i="68"/>
  <c r="X84" i="68"/>
  <c r="Y84" i="68"/>
  <c r="Z84" i="68"/>
  <c r="AA84" i="68"/>
  <c r="AB84" i="68"/>
  <c r="AC84" i="68"/>
  <c r="AD84" i="68"/>
  <c r="AE84" i="68"/>
  <c r="AF84" i="68"/>
  <c r="AG84" i="68"/>
  <c r="AH84" i="68"/>
  <c r="AI84" i="68"/>
  <c r="AJ84" i="68"/>
  <c r="AK84" i="68"/>
  <c r="AL84" i="68"/>
  <c r="AM84" i="68"/>
  <c r="AN84" i="68"/>
  <c r="AO84" i="68"/>
  <c r="AP84" i="68"/>
  <c r="AQ84" i="68"/>
  <c r="AR84" i="68"/>
  <c r="AS84" i="68"/>
  <c r="AT84" i="68"/>
  <c r="AU84" i="68"/>
  <c r="AV84" i="68"/>
  <c r="AW84" i="68"/>
  <c r="AX84" i="68"/>
  <c r="AX42" i="68"/>
  <c r="AW42" i="68"/>
  <c r="AV42" i="68"/>
  <c r="AU42" i="68"/>
  <c r="AT42" i="68"/>
  <c r="AS42" i="68"/>
  <c r="AR42" i="68"/>
  <c r="AQ42" i="68"/>
  <c r="AP42" i="68"/>
  <c r="AO42" i="68"/>
  <c r="AN42" i="68"/>
  <c r="AM42" i="68"/>
  <c r="AL42" i="68"/>
  <c r="AK42" i="68"/>
  <c r="AJ42" i="68"/>
  <c r="AI42" i="68"/>
  <c r="AH42" i="68"/>
  <c r="AG42" i="68"/>
  <c r="AF42" i="68"/>
  <c r="AE42" i="68"/>
  <c r="AD42" i="68"/>
  <c r="AC42" i="68"/>
  <c r="AB42" i="68"/>
  <c r="AA42" i="68"/>
  <c r="Z42" i="68"/>
  <c r="Y42" i="68"/>
  <c r="X42" i="68"/>
  <c r="W42" i="68"/>
  <c r="V42" i="68"/>
  <c r="U42" i="68"/>
  <c r="T42" i="68"/>
  <c r="S42" i="68"/>
  <c r="R42" i="68"/>
  <c r="Q42" i="68"/>
  <c r="P42" i="68"/>
  <c r="AX41" i="68"/>
  <c r="AW41" i="68"/>
  <c r="AV41" i="68"/>
  <c r="AU41" i="68"/>
  <c r="AT41" i="68"/>
  <c r="AS41" i="68"/>
  <c r="AR41" i="68"/>
  <c r="AQ41" i="68"/>
  <c r="AP41" i="68"/>
  <c r="AO41" i="68"/>
  <c r="AN41" i="68"/>
  <c r="AM41" i="68"/>
  <c r="AL41" i="68"/>
  <c r="AK41" i="68"/>
  <c r="AJ41" i="68"/>
  <c r="AI41" i="68"/>
  <c r="AH41" i="68"/>
  <c r="AG41" i="68"/>
  <c r="AF41" i="68"/>
  <c r="AE41" i="68"/>
  <c r="AD41" i="68"/>
  <c r="AC41" i="68"/>
  <c r="AB41" i="68"/>
  <c r="AA41" i="68"/>
  <c r="Z41" i="68"/>
  <c r="Y41" i="68"/>
  <c r="X41" i="68"/>
  <c r="W41" i="68"/>
  <c r="V41" i="68"/>
  <c r="U41" i="68"/>
  <c r="T41" i="68"/>
  <c r="S41" i="68"/>
  <c r="R41" i="68"/>
  <c r="Q41" i="68"/>
  <c r="P41" i="68"/>
  <c r="O42" i="68"/>
  <c r="O41" i="68"/>
  <c r="B39" i="97"/>
  <c r="B38" i="97"/>
  <c r="C39" i="97"/>
  <c r="C38" i="97"/>
  <c r="E39" i="97"/>
  <c r="E38" i="97"/>
  <c r="D38" i="97"/>
  <c r="D39" i="97"/>
  <c r="AL64" i="101"/>
  <c r="AK64" i="101"/>
  <c r="AL63" i="101"/>
  <c r="AK63" i="101"/>
  <c r="AL62" i="101"/>
  <c r="AK62" i="101"/>
  <c r="AL61" i="101"/>
  <c r="AK61" i="101"/>
  <c r="AL60" i="101"/>
  <c r="AK60" i="101"/>
  <c r="AL59" i="101"/>
  <c r="AK59" i="101"/>
  <c r="AL58" i="101"/>
  <c r="AK58" i="101"/>
  <c r="AL57" i="101"/>
  <c r="AK57" i="101"/>
  <c r="AL56" i="101"/>
  <c r="AK56" i="101"/>
  <c r="AL55" i="101"/>
  <c r="AK55" i="101"/>
  <c r="AL54" i="101"/>
  <c r="AK54" i="101"/>
  <c r="AL53" i="101"/>
  <c r="AK53" i="101"/>
  <c r="AL52" i="101"/>
  <c r="AK52" i="101"/>
  <c r="AL51" i="101"/>
  <c r="AK51" i="101"/>
  <c r="AL50" i="101"/>
  <c r="AK50" i="101"/>
  <c r="AL49" i="101"/>
  <c r="AK49" i="101"/>
  <c r="AL48" i="101"/>
  <c r="AK48" i="101"/>
  <c r="AL47" i="101"/>
  <c r="AK47" i="101"/>
  <c r="T276" i="99"/>
  <c r="AL276" i="99" s="1"/>
  <c r="O276" i="99"/>
  <c r="AG276" i="99" s="1"/>
  <c r="J276" i="99"/>
  <c r="AB276" i="99" s="1"/>
  <c r="C276" i="99"/>
  <c r="T275" i="99"/>
  <c r="AL275" i="99" s="1"/>
  <c r="O275" i="99"/>
  <c r="AG275" i="99" s="1"/>
  <c r="J275" i="99"/>
  <c r="AB275" i="99" s="1"/>
  <c r="C275" i="99"/>
  <c r="C237" i="99"/>
  <c r="C236" i="99"/>
  <c r="AB197" i="99"/>
  <c r="T198" i="99"/>
  <c r="O198" i="99"/>
  <c r="AG198" i="99" s="1"/>
  <c r="J198" i="99"/>
  <c r="AB198" i="99" s="1"/>
  <c r="C198" i="99"/>
  <c r="T197" i="99"/>
  <c r="O197" i="99"/>
  <c r="AG197" i="99" s="1"/>
  <c r="C197" i="99"/>
  <c r="T159" i="99"/>
  <c r="O159" i="99"/>
  <c r="AG159" i="99" s="1"/>
  <c r="J159" i="99"/>
  <c r="AB159" i="99" s="1"/>
  <c r="C159" i="99"/>
  <c r="T158" i="99"/>
  <c r="AL158" i="99" s="1"/>
  <c r="O158" i="99"/>
  <c r="AG158" i="99" s="1"/>
  <c r="J158" i="99"/>
  <c r="AB158" i="99" s="1"/>
  <c r="C158" i="99"/>
  <c r="AG119" i="99"/>
  <c r="C119" i="99"/>
  <c r="T120" i="99"/>
  <c r="AL120" i="99" s="1"/>
  <c r="O120" i="99"/>
  <c r="AG120" i="99" s="1"/>
  <c r="J120" i="99"/>
  <c r="AB120" i="99" s="1"/>
  <c r="C120" i="99"/>
  <c r="T119" i="99"/>
  <c r="AL119" i="99" s="1"/>
  <c r="O119" i="99"/>
  <c r="J119" i="99"/>
  <c r="AB119" i="99" s="1"/>
  <c r="C80" i="99"/>
  <c r="T81" i="99"/>
  <c r="AL81" i="99" s="1"/>
  <c r="AM81" i="99" s="1"/>
  <c r="AN81" i="99" s="1"/>
  <c r="AO81" i="99" s="1"/>
  <c r="AP81" i="99" s="1"/>
  <c r="AQ81" i="99" s="1"/>
  <c r="AR81" i="99" s="1"/>
  <c r="AS81" i="99" s="1"/>
  <c r="AT81" i="99" s="1"/>
  <c r="AU81" i="99" s="1"/>
  <c r="AV81" i="99" s="1"/>
  <c r="AW81" i="99" s="1"/>
  <c r="AX81" i="99" s="1"/>
  <c r="AY81" i="99" s="1"/>
  <c r="AZ81" i="99" s="1"/>
  <c r="BA81" i="99" s="1"/>
  <c r="BB81" i="99" s="1"/>
  <c r="BC81" i="99" s="1"/>
  <c r="BD81" i="99" s="1"/>
  <c r="BE81" i="99" s="1"/>
  <c r="BF81" i="99" s="1"/>
  <c r="O81" i="99"/>
  <c r="AG81" i="99" s="1"/>
  <c r="J81" i="99"/>
  <c r="AB81" i="99" s="1"/>
  <c r="C81" i="99"/>
  <c r="T80" i="99"/>
  <c r="AL80" i="99" s="1"/>
  <c r="AM80" i="99" s="1"/>
  <c r="AN80" i="99" s="1"/>
  <c r="AO80" i="99" s="1"/>
  <c r="AP80" i="99" s="1"/>
  <c r="AQ80" i="99" s="1"/>
  <c r="AR80" i="99" s="1"/>
  <c r="AS80" i="99" s="1"/>
  <c r="AT80" i="99" s="1"/>
  <c r="AU80" i="99" s="1"/>
  <c r="AV80" i="99" s="1"/>
  <c r="AW80" i="99" s="1"/>
  <c r="AX80" i="99" s="1"/>
  <c r="AY80" i="99" s="1"/>
  <c r="AZ80" i="99" s="1"/>
  <c r="BA80" i="99" s="1"/>
  <c r="BB80" i="99" s="1"/>
  <c r="BC80" i="99" s="1"/>
  <c r="BD80" i="99" s="1"/>
  <c r="BE80" i="99" s="1"/>
  <c r="BF80" i="99" s="1"/>
  <c r="O80" i="99"/>
  <c r="AG80" i="99" s="1"/>
  <c r="J80" i="99"/>
  <c r="AB80" i="99" s="1"/>
  <c r="T42" i="99"/>
  <c r="AL42" i="99" s="1"/>
  <c r="AM42" i="99" s="1"/>
  <c r="AN42" i="99" s="1"/>
  <c r="AO42" i="99" s="1"/>
  <c r="AP42" i="99" s="1"/>
  <c r="AQ42" i="99" s="1"/>
  <c r="AR42" i="99" s="1"/>
  <c r="AS42" i="99" s="1"/>
  <c r="AT42" i="99" s="1"/>
  <c r="AU42" i="99" s="1"/>
  <c r="AV42" i="99" s="1"/>
  <c r="AW42" i="99" s="1"/>
  <c r="AX42" i="99" s="1"/>
  <c r="AY42" i="99" s="1"/>
  <c r="AZ42" i="99" s="1"/>
  <c r="BA42" i="99" s="1"/>
  <c r="BB42" i="99" s="1"/>
  <c r="BC42" i="99" s="1"/>
  <c r="BD42" i="99" s="1"/>
  <c r="BE42" i="99" s="1"/>
  <c r="BF42" i="99" s="1"/>
  <c r="O42" i="99"/>
  <c r="AG42" i="99" s="1"/>
  <c r="J42" i="99"/>
  <c r="AB42" i="99" s="1"/>
  <c r="T41" i="99"/>
  <c r="AL41" i="99" s="1"/>
  <c r="AM41" i="99" s="1"/>
  <c r="AN41" i="99" s="1"/>
  <c r="AO41" i="99" s="1"/>
  <c r="AP41" i="99" s="1"/>
  <c r="AQ41" i="99" s="1"/>
  <c r="AR41" i="99" s="1"/>
  <c r="AS41" i="99" s="1"/>
  <c r="AT41" i="99" s="1"/>
  <c r="AU41" i="99" s="1"/>
  <c r="AV41" i="99" s="1"/>
  <c r="AW41" i="99" s="1"/>
  <c r="AX41" i="99" s="1"/>
  <c r="AY41" i="99" s="1"/>
  <c r="AZ41" i="99" s="1"/>
  <c r="BA41" i="99" s="1"/>
  <c r="BB41" i="99" s="1"/>
  <c r="BC41" i="99" s="1"/>
  <c r="BD41" i="99" s="1"/>
  <c r="BE41" i="99" s="1"/>
  <c r="BF41" i="99" s="1"/>
  <c r="O41" i="99"/>
  <c r="AG41" i="99" s="1"/>
  <c r="J41" i="99"/>
  <c r="AB41" i="99" s="1"/>
  <c r="C42" i="99"/>
  <c r="C41" i="99"/>
  <c r="O86" i="68" l="1"/>
  <c r="AL197" i="99"/>
  <c r="AM197" i="99" s="1"/>
  <c r="AN197" i="99" s="1"/>
  <c r="AO197" i="99" s="1"/>
  <c r="AP197" i="99" s="1"/>
  <c r="AQ197" i="99" s="1"/>
  <c r="AR197" i="99" s="1"/>
  <c r="AS197" i="99" s="1"/>
  <c r="AT197" i="99" s="1"/>
  <c r="AU197" i="99" s="1"/>
  <c r="AV197" i="99" s="1"/>
  <c r="AW197" i="99" s="1"/>
  <c r="AX197" i="99" s="1"/>
  <c r="AY197" i="99" s="1"/>
  <c r="AZ197" i="99" s="1"/>
  <c r="BA197" i="99" s="1"/>
  <c r="BB197" i="99" s="1"/>
  <c r="BC197" i="99" s="1"/>
  <c r="BD197" i="99" s="1"/>
  <c r="BE197" i="99" s="1"/>
  <c r="BF197" i="99" s="1"/>
  <c r="AM120" i="99"/>
  <c r="AN120" i="99" s="1"/>
  <c r="AO120" i="99" s="1"/>
  <c r="AP120" i="99" s="1"/>
  <c r="AQ120" i="99" s="1"/>
  <c r="AR120" i="99" s="1"/>
  <c r="AS120" i="99" s="1"/>
  <c r="AT120" i="99" s="1"/>
  <c r="AU120" i="99" s="1"/>
  <c r="AV120" i="99" s="1"/>
  <c r="AW120" i="99" s="1"/>
  <c r="AX120" i="99" s="1"/>
  <c r="AY120" i="99" s="1"/>
  <c r="AZ120" i="99" s="1"/>
  <c r="BA120" i="99" s="1"/>
  <c r="BB120" i="99" s="1"/>
  <c r="BC120" i="99" s="1"/>
  <c r="BD120" i="99" s="1"/>
  <c r="BE120" i="99" s="1"/>
  <c r="BF120" i="99" s="1"/>
  <c r="AL198" i="99"/>
  <c r="AM198" i="99" s="1"/>
  <c r="AN198" i="99" s="1"/>
  <c r="AO198" i="99" s="1"/>
  <c r="AP198" i="99" s="1"/>
  <c r="AQ198" i="99" s="1"/>
  <c r="AR198" i="99" s="1"/>
  <c r="AS198" i="99" s="1"/>
  <c r="AT198" i="99" s="1"/>
  <c r="AU198" i="99" s="1"/>
  <c r="AV198" i="99" s="1"/>
  <c r="AW198" i="99" s="1"/>
  <c r="AX198" i="99" s="1"/>
  <c r="AY198" i="99" s="1"/>
  <c r="AZ198" i="99" s="1"/>
  <c r="BA198" i="99" s="1"/>
  <c r="BB198" i="99" s="1"/>
  <c r="BC198" i="99" s="1"/>
  <c r="BD198" i="99" s="1"/>
  <c r="BE198" i="99" s="1"/>
  <c r="BF198" i="99" s="1"/>
  <c r="AL159" i="99"/>
  <c r="AM159" i="99" s="1"/>
  <c r="AN159" i="99" s="1"/>
  <c r="AO159" i="99" s="1"/>
  <c r="AP159" i="99" s="1"/>
  <c r="AQ159" i="99" s="1"/>
  <c r="AR159" i="99" s="1"/>
  <c r="AS159" i="99" s="1"/>
  <c r="AT159" i="99" s="1"/>
  <c r="AU159" i="99" s="1"/>
  <c r="AV159" i="99" s="1"/>
  <c r="AW159" i="99" s="1"/>
  <c r="AX159" i="99" s="1"/>
  <c r="AY159" i="99" s="1"/>
  <c r="AZ159" i="99" s="1"/>
  <c r="BA159" i="99" s="1"/>
  <c r="BB159" i="99" s="1"/>
  <c r="BC159" i="99" s="1"/>
  <c r="BD159" i="99" s="1"/>
  <c r="BE159" i="99" s="1"/>
  <c r="BF159" i="99" s="1"/>
  <c r="AM158" i="99"/>
  <c r="AN158" i="99" s="1"/>
  <c r="AO158" i="99" s="1"/>
  <c r="AP158" i="99" s="1"/>
  <c r="AQ158" i="99" s="1"/>
  <c r="AR158" i="99" s="1"/>
  <c r="AS158" i="99" s="1"/>
  <c r="AT158" i="99" s="1"/>
  <c r="AU158" i="99" s="1"/>
  <c r="AV158" i="99" s="1"/>
  <c r="AW158" i="99" s="1"/>
  <c r="AX158" i="99" s="1"/>
  <c r="AY158" i="99" s="1"/>
  <c r="AZ158" i="99" s="1"/>
  <c r="BA158" i="99" s="1"/>
  <c r="BB158" i="99" s="1"/>
  <c r="BC158" i="99" s="1"/>
  <c r="BD158" i="99" s="1"/>
  <c r="BE158" i="99" s="1"/>
  <c r="BF158" i="99" s="1"/>
  <c r="AM119" i="99"/>
  <c r="AN119" i="99" s="1"/>
  <c r="AO119" i="99" s="1"/>
  <c r="AP119" i="99" s="1"/>
  <c r="AQ119" i="99" s="1"/>
  <c r="AR119" i="99" s="1"/>
  <c r="AS119" i="99" s="1"/>
  <c r="AT119" i="99" s="1"/>
  <c r="AU119" i="99" s="1"/>
  <c r="AV119" i="99" s="1"/>
  <c r="AW119" i="99" s="1"/>
  <c r="AX119" i="99" s="1"/>
  <c r="AY119" i="99" s="1"/>
  <c r="AZ119" i="99" s="1"/>
  <c r="BA119" i="99" s="1"/>
  <c r="BB119" i="99" s="1"/>
  <c r="BC119" i="99" s="1"/>
  <c r="BD119" i="99" s="1"/>
  <c r="BE119" i="99" s="1"/>
  <c r="BF119" i="99" s="1"/>
  <c r="C304" i="119"/>
  <c r="C303" i="119"/>
  <c r="C302" i="119" l="1"/>
  <c r="B302" i="119" s="1"/>
  <c r="C301" i="119"/>
  <c r="B301" i="119" s="1"/>
  <c r="C313" i="119"/>
  <c r="B313" i="119" s="1"/>
  <c r="B312" i="119"/>
  <c r="B311" i="119"/>
  <c r="B310" i="119"/>
  <c r="B309" i="119"/>
  <c r="B308" i="119"/>
  <c r="B307" i="119"/>
  <c r="B306" i="119"/>
  <c r="B305" i="119"/>
  <c r="B304" i="119"/>
  <c r="B303" i="119"/>
  <c r="C342" i="119"/>
  <c r="C341" i="119"/>
  <c r="C60" i="119" l="1"/>
  <c r="C59" i="119"/>
  <c r="C115" i="119"/>
  <c r="B115" i="119" s="1"/>
  <c r="C118" i="119"/>
  <c r="B118" i="119" s="1"/>
  <c r="C114" i="119"/>
  <c r="B114" i="119" s="1"/>
  <c r="C113" i="119"/>
  <c r="B113" i="119" s="1"/>
  <c r="C112" i="119"/>
  <c r="B112" i="119" s="1"/>
  <c r="C111" i="119"/>
  <c r="B111" i="119" s="1"/>
  <c r="C110" i="119"/>
  <c r="B110" i="119" s="1"/>
  <c r="C109" i="119"/>
  <c r="B109" i="119" s="1"/>
  <c r="C108" i="119"/>
  <c r="B108" i="119" s="1"/>
  <c r="C107" i="119"/>
  <c r="B107" i="119" s="1"/>
  <c r="C106" i="119"/>
  <c r="B106" i="119" s="1"/>
  <c r="C136" i="119"/>
  <c r="B136" i="119" s="1"/>
  <c r="B117" i="119"/>
  <c r="B116" i="119"/>
  <c r="C129" i="119"/>
  <c r="B129" i="119" s="1"/>
  <c r="C128" i="119"/>
  <c r="B128" i="119" s="1"/>
  <c r="C127" i="119"/>
  <c r="B127" i="119" s="1"/>
  <c r="C126" i="119"/>
  <c r="B126" i="119" s="1"/>
  <c r="C125" i="119"/>
  <c r="B125" i="119" s="1"/>
  <c r="C124" i="119"/>
  <c r="B124" i="119" s="1"/>
  <c r="C101" i="119"/>
  <c r="B101" i="119" s="1"/>
  <c r="B100" i="119"/>
  <c r="C99" i="119"/>
  <c r="C98" i="119"/>
  <c r="B98" i="119" s="1"/>
  <c r="C97" i="119"/>
  <c r="B97" i="119" s="1"/>
  <c r="C96" i="119"/>
  <c r="B96" i="119" s="1"/>
  <c r="C95" i="119"/>
  <c r="B95" i="119" s="1"/>
  <c r="C94" i="119"/>
  <c r="B94" i="119" s="1"/>
  <c r="C93" i="119"/>
  <c r="B93" i="119" s="1"/>
  <c r="C92" i="119"/>
  <c r="B92" i="119" s="1"/>
  <c r="C91" i="119"/>
  <c r="B91" i="119" s="1"/>
  <c r="C90" i="119"/>
  <c r="B90" i="119" s="1"/>
  <c r="C89" i="119"/>
  <c r="B89" i="119" s="1"/>
  <c r="B71" i="119"/>
  <c r="E136" i="119"/>
  <c r="B135" i="119"/>
  <c r="B134" i="119"/>
  <c r="B133" i="119"/>
  <c r="B132" i="119"/>
  <c r="B131" i="119"/>
  <c r="B130" i="119"/>
  <c r="E101" i="119"/>
  <c r="B99" i="119"/>
  <c r="E83" i="119"/>
  <c r="B83" i="119"/>
  <c r="B82" i="119"/>
  <c r="B81" i="119"/>
  <c r="B80" i="119"/>
  <c r="B79" i="119"/>
  <c r="B78" i="119"/>
  <c r="B77" i="119"/>
  <c r="B76" i="119"/>
  <c r="B75" i="119"/>
  <c r="B74" i="119"/>
  <c r="B73" i="119"/>
  <c r="B72" i="119"/>
  <c r="AA41" i="57" l="1"/>
  <c r="AB41" i="57" s="1"/>
  <c r="AC41" i="57" s="1"/>
  <c r="AD41" i="57" s="1"/>
  <c r="AE41" i="57" s="1"/>
  <c r="AF41" i="57" s="1"/>
  <c r="AG41" i="57" s="1"/>
  <c r="AH41" i="57" s="1"/>
  <c r="AI41" i="57" s="1"/>
  <c r="AJ41" i="57" s="1"/>
  <c r="AK41" i="57" s="1"/>
  <c r="AL41" i="57" s="1"/>
  <c r="AM41" i="57" s="1"/>
  <c r="AN41" i="57" s="1"/>
  <c r="AO41" i="57" s="1"/>
  <c r="AP41" i="57" s="1"/>
  <c r="AQ41" i="57" s="1"/>
  <c r="AR41" i="57" s="1"/>
  <c r="AS41" i="57" s="1"/>
  <c r="AT41" i="57" s="1"/>
  <c r="AU41" i="57" s="1"/>
  <c r="AV41" i="57" s="1"/>
  <c r="AW41" i="57" s="1"/>
  <c r="AX41" i="57" s="1"/>
  <c r="Q41" i="57"/>
  <c r="R41" i="57" s="1"/>
  <c r="S41" i="57" s="1"/>
  <c r="T41" i="57" s="1"/>
  <c r="U41" i="57" s="1"/>
  <c r="V41" i="57" s="1"/>
  <c r="W41" i="57" s="1"/>
  <c r="X41" i="57" s="1"/>
  <c r="Y41" i="57" s="1"/>
  <c r="AA40" i="57"/>
  <c r="AB40" i="57" s="1"/>
  <c r="AC40" i="57" s="1"/>
  <c r="AD40" i="57" s="1"/>
  <c r="AE40" i="57" s="1"/>
  <c r="AF40" i="57" s="1"/>
  <c r="AG40" i="57" s="1"/>
  <c r="AH40" i="57" s="1"/>
  <c r="AI40" i="57" s="1"/>
  <c r="AJ40" i="57" s="1"/>
  <c r="AK40" i="57" s="1"/>
  <c r="AL40" i="57" s="1"/>
  <c r="AM40" i="57" s="1"/>
  <c r="AN40" i="57" s="1"/>
  <c r="AO40" i="57" s="1"/>
  <c r="AP40" i="57" s="1"/>
  <c r="AQ40" i="57" s="1"/>
  <c r="AR40" i="57" s="1"/>
  <c r="AS40" i="57" s="1"/>
  <c r="AT40" i="57" s="1"/>
  <c r="AU40" i="57" s="1"/>
  <c r="AV40" i="57" s="1"/>
  <c r="AW40" i="57" s="1"/>
  <c r="AX40" i="57" s="1"/>
  <c r="Q40" i="57"/>
  <c r="R40" i="57" s="1"/>
  <c r="S40" i="57" s="1"/>
  <c r="T40" i="57" s="1"/>
  <c r="U40" i="57" s="1"/>
  <c r="V40" i="57" s="1"/>
  <c r="W40" i="57" s="1"/>
  <c r="X40" i="57" s="1"/>
  <c r="Y40" i="57" s="1"/>
  <c r="AA39" i="57"/>
  <c r="AB39" i="57" s="1"/>
  <c r="AC39" i="57" s="1"/>
  <c r="AD39" i="57" s="1"/>
  <c r="AE39" i="57" s="1"/>
  <c r="AF39" i="57" s="1"/>
  <c r="AG39" i="57" s="1"/>
  <c r="AH39" i="57" s="1"/>
  <c r="AI39" i="57" s="1"/>
  <c r="AJ39" i="57" s="1"/>
  <c r="AK39" i="57" s="1"/>
  <c r="AL39" i="57" s="1"/>
  <c r="AM39" i="57" s="1"/>
  <c r="AN39" i="57" s="1"/>
  <c r="AO39" i="57" s="1"/>
  <c r="AP39" i="57" s="1"/>
  <c r="AQ39" i="57" s="1"/>
  <c r="AR39" i="57" s="1"/>
  <c r="AS39" i="57" s="1"/>
  <c r="AT39" i="57" s="1"/>
  <c r="AU39" i="57" s="1"/>
  <c r="AV39" i="57" s="1"/>
  <c r="AW39" i="57" s="1"/>
  <c r="AX39" i="57" s="1"/>
  <c r="R39" i="57"/>
  <c r="S39" i="57" s="1"/>
  <c r="T39" i="57" s="1"/>
  <c r="U39" i="57" s="1"/>
  <c r="V39" i="57" s="1"/>
  <c r="W39" i="57" s="1"/>
  <c r="X39" i="57" s="1"/>
  <c r="Y39" i="57" s="1"/>
  <c r="AA50" i="57"/>
  <c r="AB50" i="57" s="1"/>
  <c r="AC50" i="57" s="1"/>
  <c r="AD50" i="57" s="1"/>
  <c r="AE50" i="57" s="1"/>
  <c r="AF50" i="57" s="1"/>
  <c r="AG50" i="57" s="1"/>
  <c r="AH50" i="57" s="1"/>
  <c r="AI50" i="57" s="1"/>
  <c r="AJ50" i="57" s="1"/>
  <c r="AK50" i="57" s="1"/>
  <c r="AL50" i="57" s="1"/>
  <c r="AM50" i="57" s="1"/>
  <c r="AN50" i="57" s="1"/>
  <c r="AO50" i="57" s="1"/>
  <c r="AP50" i="57" s="1"/>
  <c r="AQ50" i="57" s="1"/>
  <c r="AR50" i="57" s="1"/>
  <c r="AS50" i="57" s="1"/>
  <c r="AT50" i="57" s="1"/>
  <c r="AU50" i="57" s="1"/>
  <c r="AV50" i="57" s="1"/>
  <c r="AW50" i="57" s="1"/>
  <c r="AX50" i="57" s="1"/>
  <c r="Q50" i="57"/>
  <c r="R50" i="57" s="1"/>
  <c r="S50" i="57" s="1"/>
  <c r="T50" i="57" s="1"/>
  <c r="U50" i="57" s="1"/>
  <c r="V50" i="57" s="1"/>
  <c r="W50" i="57" s="1"/>
  <c r="X50" i="57" s="1"/>
  <c r="Y50" i="57" s="1"/>
  <c r="AA49" i="57"/>
  <c r="AB49" i="57" s="1"/>
  <c r="AC49" i="57" s="1"/>
  <c r="AD49" i="57" s="1"/>
  <c r="AE49" i="57" s="1"/>
  <c r="AF49" i="57" s="1"/>
  <c r="AG49" i="57" s="1"/>
  <c r="AH49" i="57" s="1"/>
  <c r="AI49" i="57" s="1"/>
  <c r="AJ49" i="57" s="1"/>
  <c r="AK49" i="57" s="1"/>
  <c r="AL49" i="57" s="1"/>
  <c r="AM49" i="57" s="1"/>
  <c r="AN49" i="57" s="1"/>
  <c r="AO49" i="57" s="1"/>
  <c r="AP49" i="57" s="1"/>
  <c r="AQ49" i="57" s="1"/>
  <c r="AR49" i="57" s="1"/>
  <c r="AS49" i="57" s="1"/>
  <c r="AT49" i="57" s="1"/>
  <c r="AU49" i="57" s="1"/>
  <c r="AV49" i="57" s="1"/>
  <c r="AW49" i="57" s="1"/>
  <c r="AX49" i="57" s="1"/>
  <c r="Q49" i="57"/>
  <c r="R49" i="57" s="1"/>
  <c r="S49" i="57" s="1"/>
  <c r="T49" i="57" s="1"/>
  <c r="U49" i="57" s="1"/>
  <c r="V49" i="57" s="1"/>
  <c r="W49" i="57" s="1"/>
  <c r="X49" i="57" s="1"/>
  <c r="Y49" i="57" s="1"/>
  <c r="AA48" i="57"/>
  <c r="AB48" i="57" s="1"/>
  <c r="AC48" i="57" s="1"/>
  <c r="AD48" i="57" s="1"/>
  <c r="AE48" i="57" s="1"/>
  <c r="AF48" i="57" s="1"/>
  <c r="AG48" i="57" s="1"/>
  <c r="AH48" i="57" s="1"/>
  <c r="AI48" i="57" s="1"/>
  <c r="AJ48" i="57" s="1"/>
  <c r="AK48" i="57" s="1"/>
  <c r="AL48" i="57" s="1"/>
  <c r="AM48" i="57" s="1"/>
  <c r="AN48" i="57" s="1"/>
  <c r="AO48" i="57" s="1"/>
  <c r="AP48" i="57" s="1"/>
  <c r="AQ48" i="57" s="1"/>
  <c r="AR48" i="57" s="1"/>
  <c r="AS48" i="57" s="1"/>
  <c r="AT48" i="57" s="1"/>
  <c r="AU48" i="57" s="1"/>
  <c r="AV48" i="57" s="1"/>
  <c r="AW48" i="57" s="1"/>
  <c r="AX48" i="57" s="1"/>
  <c r="Q48" i="57"/>
  <c r="R48" i="57" s="1"/>
  <c r="S48" i="57" s="1"/>
  <c r="T48" i="57" s="1"/>
  <c r="U48" i="57" s="1"/>
  <c r="V48" i="57" s="1"/>
  <c r="W48" i="57" s="1"/>
  <c r="X48" i="57" s="1"/>
  <c r="Y48" i="57" s="1"/>
  <c r="Q35" i="57"/>
  <c r="AB35" i="57"/>
  <c r="AC35" i="57" s="1"/>
  <c r="AD35" i="57" s="1"/>
  <c r="AE35" i="57" s="1"/>
  <c r="AF35" i="57" s="1"/>
  <c r="AG35" i="57" s="1"/>
  <c r="AH35" i="57" s="1"/>
  <c r="AI35" i="57" s="1"/>
  <c r="AJ35" i="57" s="1"/>
  <c r="AK35" i="57" s="1"/>
  <c r="AL35" i="57" s="1"/>
  <c r="AM35" i="57" s="1"/>
  <c r="AN35" i="57" s="1"/>
  <c r="AO35" i="57" s="1"/>
  <c r="AP35" i="57" s="1"/>
  <c r="AQ35" i="57" s="1"/>
  <c r="AR35" i="57" s="1"/>
  <c r="AS35" i="57" s="1"/>
  <c r="AT35" i="57" s="1"/>
  <c r="AU35" i="57" s="1"/>
  <c r="AV35" i="57" s="1"/>
  <c r="AW35" i="57" s="1"/>
  <c r="AX35" i="57" s="1"/>
  <c r="AA33" i="57"/>
  <c r="AB33" i="57" s="1"/>
  <c r="AC33" i="57" s="1"/>
  <c r="AD33" i="57" s="1"/>
  <c r="AE33" i="57" s="1"/>
  <c r="AF33" i="57" s="1"/>
  <c r="AG33" i="57" s="1"/>
  <c r="AH33" i="57" s="1"/>
  <c r="AI33" i="57" s="1"/>
  <c r="AJ33" i="57" s="1"/>
  <c r="AK33" i="57" s="1"/>
  <c r="AL33" i="57" s="1"/>
  <c r="AM33" i="57" s="1"/>
  <c r="AN33" i="57" s="1"/>
  <c r="AO33" i="57" s="1"/>
  <c r="AP33" i="57" s="1"/>
  <c r="AQ33" i="57" s="1"/>
  <c r="AR33" i="57" s="1"/>
  <c r="AS33" i="57" s="1"/>
  <c r="AT33" i="57" s="1"/>
  <c r="AU33" i="57" s="1"/>
  <c r="AV33" i="57" s="1"/>
  <c r="AW33" i="57" s="1"/>
  <c r="AX33" i="57" s="1"/>
  <c r="Q52" i="57" l="1"/>
  <c r="R35" i="57"/>
  <c r="S35" i="57" s="1"/>
  <c r="T35" i="57" s="1"/>
  <c r="U35" i="57" s="1"/>
  <c r="V35" i="57" s="1"/>
  <c r="W35" i="57" s="1"/>
  <c r="X35" i="57" s="1"/>
  <c r="Y35" i="57" s="1"/>
  <c r="AT13" i="120"/>
  <c r="AT12" i="120"/>
  <c r="J109" i="131"/>
  <c r="J108" i="131"/>
  <c r="J107" i="131"/>
  <c r="J106" i="131"/>
  <c r="J105" i="131"/>
  <c r="C21" i="132" l="1"/>
  <c r="B2" i="132"/>
  <c r="B30" i="132" s="1"/>
  <c r="L94" i="66"/>
  <c r="B67" i="117"/>
  <c r="AI75" i="117" l="1"/>
  <c r="E70" i="117"/>
  <c r="E72" i="117"/>
  <c r="F69" i="117"/>
  <c r="E71" i="117"/>
  <c r="E73" i="117"/>
  <c r="E69" i="117"/>
  <c r="E74" i="117"/>
  <c r="E75" i="117"/>
  <c r="E68" i="117"/>
  <c r="F68" i="117"/>
  <c r="B25" i="132"/>
  <c r="B27" i="132"/>
  <c r="B23" i="132"/>
  <c r="B28" i="132"/>
  <c r="B24" i="132"/>
  <c r="B29" i="132"/>
  <c r="B22" i="132"/>
  <c r="B26" i="132"/>
  <c r="AO70" i="117"/>
  <c r="G68" i="117"/>
  <c r="H69" i="117"/>
  <c r="G72" i="117"/>
  <c r="AC69" i="117"/>
  <c r="L72" i="117"/>
  <c r="O70" i="117"/>
  <c r="AB68" i="117"/>
  <c r="AJ70" i="117"/>
  <c r="AG72" i="117"/>
  <c r="W68" i="117"/>
  <c r="AI69" i="117"/>
  <c r="U71" i="117"/>
  <c r="Q68" i="117"/>
  <c r="M69" i="117"/>
  <c r="T70" i="117"/>
  <c r="AA71" i="117"/>
  <c r="L68" i="117"/>
  <c r="AG68" i="117"/>
  <c r="S69" i="117"/>
  <c r="AN69" i="117"/>
  <c r="Y70" i="117"/>
  <c r="K71" i="117"/>
  <c r="AF71" i="117"/>
  <c r="Q72" i="117"/>
  <c r="AM68" i="117"/>
  <c r="X69" i="117"/>
  <c r="I70" i="117"/>
  <c r="AE70" i="117"/>
  <c r="P71" i="117"/>
  <c r="AK71" i="117"/>
  <c r="W72" i="117"/>
  <c r="AB72" i="117"/>
  <c r="AM72" i="117"/>
  <c r="H73" i="117"/>
  <c r="M73" i="117"/>
  <c r="S73" i="117"/>
  <c r="X73" i="117"/>
  <c r="AC73" i="117"/>
  <c r="AI73" i="117"/>
  <c r="AN73" i="117"/>
  <c r="I74" i="117"/>
  <c r="O74" i="117"/>
  <c r="T74" i="117"/>
  <c r="Y74" i="117"/>
  <c r="AF74" i="117"/>
  <c r="AN74" i="117"/>
  <c r="L75" i="117"/>
  <c r="T75" i="117"/>
  <c r="AB75" i="117"/>
  <c r="AJ75" i="117"/>
  <c r="H68" i="117"/>
  <c r="M68" i="117"/>
  <c r="X68" i="117"/>
  <c r="AC68" i="117"/>
  <c r="AI68" i="117"/>
  <c r="I69" i="117"/>
  <c r="O69" i="117"/>
  <c r="Y69" i="117"/>
  <c r="AE69" i="117"/>
  <c r="AJ69" i="117"/>
  <c r="K70" i="117"/>
  <c r="P70" i="117"/>
  <c r="AA70" i="117"/>
  <c r="AF70" i="117"/>
  <c r="G71" i="117"/>
  <c r="L71" i="117"/>
  <c r="Q71" i="117"/>
  <c r="AB71" i="117"/>
  <c r="AG71" i="117"/>
  <c r="H72" i="117"/>
  <c r="M72" i="117"/>
  <c r="X72" i="117"/>
  <c r="AI72" i="117"/>
  <c r="AN72" i="117"/>
  <c r="O73" i="117"/>
  <c r="T73" i="117"/>
  <c r="AE73" i="117"/>
  <c r="AO73" i="117"/>
  <c r="K74" i="117"/>
  <c r="P74" i="117"/>
  <c r="U74" i="117"/>
  <c r="AA74" i="117"/>
  <c r="G75" i="117"/>
  <c r="O75" i="117"/>
  <c r="W75" i="117"/>
  <c r="AE75" i="117"/>
  <c r="I68" i="117"/>
  <c r="O68" i="117"/>
  <c r="T68" i="117"/>
  <c r="Y68" i="117"/>
  <c r="AE68" i="117"/>
  <c r="AJ68" i="117"/>
  <c r="AO68" i="117"/>
  <c r="K69" i="117"/>
  <c r="P69" i="117"/>
  <c r="U69" i="117"/>
  <c r="AA69" i="117"/>
  <c r="AF69" i="117"/>
  <c r="AK69" i="117"/>
  <c r="G70" i="117"/>
  <c r="L70" i="117"/>
  <c r="Q70" i="117"/>
  <c r="W70" i="117"/>
  <c r="AB70" i="117"/>
  <c r="AG70" i="117"/>
  <c r="AM70" i="117"/>
  <c r="H71" i="117"/>
  <c r="M71" i="117"/>
  <c r="S71" i="117"/>
  <c r="X71" i="117"/>
  <c r="AC71" i="117"/>
  <c r="AI71" i="117"/>
  <c r="AN71" i="117"/>
  <c r="I72" i="117"/>
  <c r="O72" i="117"/>
  <c r="T72" i="117"/>
  <c r="Y72" i="117"/>
  <c r="AE72" i="117"/>
  <c r="AJ72" i="117"/>
  <c r="AO72" i="117"/>
  <c r="K73" i="117"/>
  <c r="P73" i="117"/>
  <c r="U73" i="117"/>
  <c r="AA73" i="117"/>
  <c r="AF73" i="117"/>
  <c r="AK73" i="117"/>
  <c r="G74" i="117"/>
  <c r="L74" i="117"/>
  <c r="Q74" i="117"/>
  <c r="W74" i="117"/>
  <c r="AB74" i="117"/>
  <c r="AJ74" i="117"/>
  <c r="H75" i="117"/>
  <c r="P75" i="117"/>
  <c r="X75" i="117"/>
  <c r="AF75" i="117"/>
  <c r="AN75" i="117"/>
  <c r="K68" i="117"/>
  <c r="P68" i="117"/>
  <c r="U68" i="117"/>
  <c r="AA68" i="117"/>
  <c r="AF68" i="117"/>
  <c r="AK68" i="117"/>
  <c r="G69" i="117"/>
  <c r="L69" i="117"/>
  <c r="Q69" i="117"/>
  <c r="W69" i="117"/>
  <c r="AB69" i="117"/>
  <c r="AG69" i="117"/>
  <c r="AM69" i="117"/>
  <c r="H70" i="117"/>
  <c r="M70" i="117"/>
  <c r="S70" i="117"/>
  <c r="X70" i="117"/>
  <c r="AC70" i="117"/>
  <c r="AI70" i="117"/>
  <c r="AN70" i="117"/>
  <c r="I71" i="117"/>
  <c r="O71" i="117"/>
  <c r="T71" i="117"/>
  <c r="Y71" i="117"/>
  <c r="AE71" i="117"/>
  <c r="AJ71" i="117"/>
  <c r="AO71" i="117"/>
  <c r="K72" i="117"/>
  <c r="P72" i="117"/>
  <c r="U72" i="117"/>
  <c r="AA72" i="117"/>
  <c r="AF72" i="117"/>
  <c r="AK72" i="117"/>
  <c r="G73" i="117"/>
  <c r="L73" i="117"/>
  <c r="Q73" i="117"/>
  <c r="W73" i="117"/>
  <c r="AB73" i="117"/>
  <c r="AG73" i="117"/>
  <c r="AM73" i="117"/>
  <c r="H74" i="117"/>
  <c r="M74" i="117"/>
  <c r="S74" i="117"/>
  <c r="X74" i="117"/>
  <c r="AE74" i="117"/>
  <c r="AM74" i="117"/>
  <c r="K75" i="117"/>
  <c r="S75" i="117"/>
  <c r="AA75" i="117"/>
  <c r="AL75" i="117"/>
  <c r="AH75" i="117"/>
  <c r="AD75" i="117"/>
  <c r="Z75" i="117"/>
  <c r="V75" i="117"/>
  <c r="R75" i="117"/>
  <c r="N75" i="117"/>
  <c r="J75" i="117"/>
  <c r="F75" i="117"/>
  <c r="AL74" i="117"/>
  <c r="AH74" i="117"/>
  <c r="AD74" i="117"/>
  <c r="Z74" i="117"/>
  <c r="V74" i="117"/>
  <c r="R74" i="117"/>
  <c r="N74" i="117"/>
  <c r="J74" i="117"/>
  <c r="F74" i="117"/>
  <c r="AL73" i="117"/>
  <c r="AH73" i="117"/>
  <c r="AD73" i="117"/>
  <c r="Z73" i="117"/>
  <c r="V73" i="117"/>
  <c r="R73" i="117"/>
  <c r="N73" i="117"/>
  <c r="J73" i="117"/>
  <c r="F73" i="117"/>
  <c r="AL72" i="117"/>
  <c r="AH72" i="117"/>
  <c r="AD72" i="117"/>
  <c r="Z72" i="117"/>
  <c r="V72" i="117"/>
  <c r="R72" i="117"/>
  <c r="N72" i="117"/>
  <c r="J72" i="117"/>
  <c r="F72" i="117"/>
  <c r="AL71" i="117"/>
  <c r="AH71" i="117"/>
  <c r="AD71" i="117"/>
  <c r="Z71" i="117"/>
  <c r="V71" i="117"/>
  <c r="R71" i="117"/>
  <c r="N71" i="117"/>
  <c r="J71" i="117"/>
  <c r="F71" i="117"/>
  <c r="AL70" i="117"/>
  <c r="AH70" i="117"/>
  <c r="AD70" i="117"/>
  <c r="Z70" i="117"/>
  <c r="V70" i="117"/>
  <c r="R70" i="117"/>
  <c r="N70" i="117"/>
  <c r="J70" i="117"/>
  <c r="F70" i="117"/>
  <c r="AL69" i="117"/>
  <c r="AH69" i="117"/>
  <c r="AD69" i="117"/>
  <c r="Z69" i="117"/>
  <c r="V69" i="117"/>
  <c r="R69" i="117"/>
  <c r="N69" i="117"/>
  <c r="J69" i="117"/>
  <c r="AL68" i="117"/>
  <c r="AH68" i="117"/>
  <c r="AD68" i="117"/>
  <c r="Z68" i="117"/>
  <c r="V68" i="117"/>
  <c r="R68" i="117"/>
  <c r="N68" i="117"/>
  <c r="J68" i="117"/>
  <c r="AO75" i="117"/>
  <c r="AK75" i="117"/>
  <c r="AG75" i="117"/>
  <c r="AC75" i="117"/>
  <c r="Y75" i="117"/>
  <c r="U75" i="117"/>
  <c r="Q75" i="117"/>
  <c r="M75" i="117"/>
  <c r="I75" i="117"/>
  <c r="AO74" i="117"/>
  <c r="AK74" i="117"/>
  <c r="AG74" i="117"/>
  <c r="AC74" i="117"/>
  <c r="S68" i="117"/>
  <c r="AN68" i="117"/>
  <c r="T69" i="117"/>
  <c r="AO69" i="117"/>
  <c r="U70" i="117"/>
  <c r="AK70" i="117"/>
  <c r="W71" i="117"/>
  <c r="AM71" i="117"/>
  <c r="S72" i="117"/>
  <c r="AC72" i="117"/>
  <c r="I73" i="117"/>
  <c r="Y73" i="117"/>
  <c r="AJ73" i="117"/>
  <c r="AI74" i="117"/>
  <c r="AM75" i="117"/>
  <c r="AC493" i="66"/>
  <c r="AB493" i="66"/>
  <c r="AA493" i="66"/>
  <c r="Z493" i="66"/>
  <c r="Y493" i="66"/>
  <c r="X493" i="66"/>
  <c r="W493" i="66"/>
  <c r="V493" i="66"/>
  <c r="U493" i="66"/>
  <c r="T493" i="66"/>
  <c r="S493" i="66"/>
  <c r="R493" i="66"/>
  <c r="Q493" i="66"/>
  <c r="P493" i="66"/>
  <c r="O493" i="66"/>
  <c r="N493" i="66"/>
  <c r="M493" i="66"/>
  <c r="L493" i="66"/>
  <c r="K493" i="66"/>
  <c r="J493" i="66"/>
  <c r="AC492" i="66"/>
  <c r="AB492" i="66"/>
  <c r="AA492" i="66"/>
  <c r="Z492" i="66"/>
  <c r="Y492" i="66"/>
  <c r="X492" i="66"/>
  <c r="W492" i="66"/>
  <c r="V492" i="66"/>
  <c r="U492" i="66"/>
  <c r="T492" i="66"/>
  <c r="S492" i="66"/>
  <c r="R492" i="66"/>
  <c r="Q492" i="66"/>
  <c r="P492" i="66"/>
  <c r="O492" i="66"/>
  <c r="N492" i="66"/>
  <c r="M492" i="66"/>
  <c r="L492" i="66"/>
  <c r="K492" i="66"/>
  <c r="J492" i="66"/>
  <c r="AC491" i="66"/>
  <c r="AB491" i="66"/>
  <c r="AA491" i="66"/>
  <c r="Z491" i="66"/>
  <c r="Y491" i="66"/>
  <c r="X491" i="66"/>
  <c r="W491" i="66"/>
  <c r="V491" i="66"/>
  <c r="U491" i="66"/>
  <c r="T491" i="66"/>
  <c r="S491" i="66"/>
  <c r="R491" i="66"/>
  <c r="Q491" i="66"/>
  <c r="P491" i="66"/>
  <c r="O491" i="66"/>
  <c r="N491" i="66"/>
  <c r="M491" i="66"/>
  <c r="L491" i="66"/>
  <c r="K491" i="66"/>
  <c r="J491" i="66"/>
  <c r="AC490" i="66"/>
  <c r="AB490" i="66"/>
  <c r="AA490" i="66"/>
  <c r="Z490" i="66"/>
  <c r="Y490" i="66"/>
  <c r="X490" i="66"/>
  <c r="W490" i="66"/>
  <c r="V490" i="66"/>
  <c r="U490" i="66"/>
  <c r="T490" i="66"/>
  <c r="S490" i="66"/>
  <c r="R490" i="66"/>
  <c r="Q490" i="66"/>
  <c r="P490" i="66"/>
  <c r="O490" i="66"/>
  <c r="N490" i="66"/>
  <c r="M490" i="66"/>
  <c r="L490" i="66"/>
  <c r="K490" i="66"/>
  <c r="J490" i="66"/>
  <c r="AC489" i="66"/>
  <c r="AB489" i="66"/>
  <c r="AA489" i="66"/>
  <c r="Z489" i="66"/>
  <c r="Y489" i="66"/>
  <c r="X489" i="66"/>
  <c r="W489" i="66"/>
  <c r="V489" i="66"/>
  <c r="U489" i="66"/>
  <c r="T489" i="66"/>
  <c r="S489" i="66"/>
  <c r="R489" i="66"/>
  <c r="Q489" i="66"/>
  <c r="P489" i="66"/>
  <c r="O489" i="66"/>
  <c r="N489" i="66"/>
  <c r="M489" i="66"/>
  <c r="L489" i="66"/>
  <c r="K489" i="66"/>
  <c r="J489" i="66"/>
  <c r="AC488" i="66"/>
  <c r="AB488" i="66"/>
  <c r="AA488" i="66"/>
  <c r="Z488" i="66"/>
  <c r="Y488" i="66"/>
  <c r="X488" i="66"/>
  <c r="W488" i="66"/>
  <c r="V488" i="66"/>
  <c r="U488" i="66"/>
  <c r="T488" i="66"/>
  <c r="S488" i="66"/>
  <c r="R488" i="66"/>
  <c r="Q488" i="66"/>
  <c r="P488" i="66"/>
  <c r="O488" i="66"/>
  <c r="N488" i="66"/>
  <c r="M488" i="66"/>
  <c r="L488" i="66"/>
  <c r="K488" i="66"/>
  <c r="J488" i="66"/>
  <c r="AC487" i="66"/>
  <c r="AB487" i="66"/>
  <c r="AA487" i="66"/>
  <c r="Z487" i="66"/>
  <c r="Y487" i="66"/>
  <c r="X487" i="66"/>
  <c r="W487" i="66"/>
  <c r="V487" i="66"/>
  <c r="U487" i="66"/>
  <c r="T487" i="66"/>
  <c r="S487" i="66"/>
  <c r="R487" i="66"/>
  <c r="Q487" i="66"/>
  <c r="P487" i="66"/>
  <c r="O487" i="66"/>
  <c r="N487" i="66"/>
  <c r="M487" i="66"/>
  <c r="L487" i="66"/>
  <c r="K487" i="66"/>
  <c r="J487" i="66"/>
  <c r="AC486" i="66"/>
  <c r="AB486" i="66"/>
  <c r="AA486" i="66"/>
  <c r="Z486" i="66"/>
  <c r="Y486" i="66"/>
  <c r="X486" i="66"/>
  <c r="W486" i="66"/>
  <c r="V486" i="66"/>
  <c r="U486" i="66"/>
  <c r="T486" i="66"/>
  <c r="S486" i="66"/>
  <c r="R486" i="66"/>
  <c r="Q486" i="66"/>
  <c r="P486" i="66"/>
  <c r="O486" i="66"/>
  <c r="N486" i="66"/>
  <c r="M486" i="66"/>
  <c r="L486" i="66"/>
  <c r="K486" i="66"/>
  <c r="J486" i="66"/>
  <c r="AC485" i="66"/>
  <c r="AB485" i="66"/>
  <c r="AA485" i="66"/>
  <c r="Z485" i="66"/>
  <c r="Y485" i="66"/>
  <c r="X485" i="66"/>
  <c r="W485" i="66"/>
  <c r="V485" i="66"/>
  <c r="U485" i="66"/>
  <c r="T485" i="66"/>
  <c r="S485" i="66"/>
  <c r="R485" i="66"/>
  <c r="Q485" i="66"/>
  <c r="P485" i="66"/>
  <c r="O485" i="66"/>
  <c r="N485" i="66"/>
  <c r="M485" i="66"/>
  <c r="L485" i="66"/>
  <c r="K485" i="66"/>
  <c r="J485" i="66"/>
  <c r="AC484" i="66"/>
  <c r="AB484" i="66"/>
  <c r="AA484" i="66"/>
  <c r="Z484" i="66"/>
  <c r="Y484" i="66"/>
  <c r="X484" i="66"/>
  <c r="W484" i="66"/>
  <c r="V484" i="66"/>
  <c r="U484" i="66"/>
  <c r="T484" i="66"/>
  <c r="S484" i="66"/>
  <c r="R484" i="66"/>
  <c r="Q484" i="66"/>
  <c r="P484" i="66"/>
  <c r="O484" i="66"/>
  <c r="N484" i="66"/>
  <c r="M484" i="66"/>
  <c r="L484" i="66"/>
  <c r="K484" i="66"/>
  <c r="J484" i="66"/>
  <c r="AC483" i="66"/>
  <c r="AB483" i="66"/>
  <c r="AA483" i="66"/>
  <c r="Z483" i="66"/>
  <c r="Y483" i="66"/>
  <c r="X483" i="66"/>
  <c r="W483" i="66"/>
  <c r="V483" i="66"/>
  <c r="U483" i="66"/>
  <c r="T483" i="66"/>
  <c r="S483" i="66"/>
  <c r="R483" i="66"/>
  <c r="Q483" i="66"/>
  <c r="P483" i="66"/>
  <c r="O483" i="66"/>
  <c r="N483" i="66"/>
  <c r="M483" i="66"/>
  <c r="L483" i="66"/>
  <c r="K483" i="66"/>
  <c r="J483" i="66"/>
  <c r="D42" i="113"/>
  <c r="E42" i="113"/>
  <c r="E47" i="120"/>
  <c r="C49" i="120" l="1"/>
  <c r="C50" i="120"/>
  <c r="E6" i="131"/>
  <c r="R48" i="66"/>
  <c r="S50" i="66" s="1"/>
  <c r="C48" i="120"/>
  <c r="K6" i="131" l="1"/>
  <c r="G6" i="131"/>
  <c r="S51" i="66"/>
  <c r="U51" i="66" s="1"/>
  <c r="U50" i="66"/>
  <c r="S53" i="66"/>
  <c r="U53" i="66" s="1"/>
  <c r="S52" i="66"/>
  <c r="U52" i="66" s="1"/>
  <c r="AF6" i="131"/>
  <c r="AM6" i="131"/>
  <c r="V6" i="131"/>
  <c r="I6" i="131"/>
  <c r="J87" i="131" s="1"/>
  <c r="AI6" i="131"/>
  <c r="AP6" i="131"/>
  <c r="AH6" i="131"/>
  <c r="AS6" i="131"/>
  <c r="W6" i="131"/>
  <c r="Y6" i="131"/>
  <c r="AV6" i="131"/>
  <c r="AX6" i="131"/>
  <c r="AO6" i="131"/>
  <c r="AB6" i="131"/>
  <c r="AQ6" i="131"/>
  <c r="S6" i="131"/>
  <c r="Z6" i="131"/>
  <c r="U6" i="131"/>
  <c r="P6" i="131"/>
  <c r="AK6" i="131"/>
  <c r="AN6" i="131"/>
  <c r="AD6" i="131"/>
  <c r="AA6" i="131"/>
  <c r="AT6" i="131"/>
  <c r="R6" i="131"/>
  <c r="AC6" i="131"/>
  <c r="AR6" i="131"/>
  <c r="X6" i="131"/>
  <c r="AU6" i="131"/>
  <c r="AE6" i="131"/>
  <c r="O6" i="131"/>
  <c r="AL6" i="131"/>
  <c r="AW6" i="131"/>
  <c r="AG6" i="131"/>
  <c r="Q6" i="131"/>
  <c r="AJ6" i="131"/>
  <c r="T6" i="131"/>
  <c r="M6" i="131"/>
  <c r="AG90" i="131" l="1"/>
  <c r="AA90" i="131"/>
  <c r="W90" i="131"/>
  <c r="AS90" i="131"/>
  <c r="O90" i="131"/>
  <c r="S90" i="131"/>
  <c r="J90" i="131"/>
  <c r="Y90" i="131"/>
  <c r="AK90" i="131"/>
  <c r="AR90" i="131"/>
  <c r="AP90" i="131"/>
  <c r="AE90" i="131"/>
  <c r="AI90" i="131"/>
  <c r="Q90" i="131"/>
  <c r="AL90" i="131"/>
  <c r="T90" i="131"/>
  <c r="AN90" i="131"/>
  <c r="AJ90" i="131"/>
  <c r="AH90" i="131"/>
  <c r="AC90" i="131"/>
  <c r="Z90" i="131"/>
  <c r="L90" i="131"/>
  <c r="R90" i="131"/>
  <c r="P90" i="131"/>
  <c r="X90" i="131"/>
  <c r="U90" i="131"/>
  <c r="M90" i="131"/>
  <c r="AB90" i="131"/>
  <c r="V90" i="131"/>
  <c r="AM90" i="131"/>
  <c r="AQ90" i="131"/>
  <c r="AD90" i="131"/>
  <c r="AO90" i="131"/>
  <c r="N90" i="131"/>
  <c r="K90" i="131"/>
  <c r="AF90" i="131"/>
  <c r="J88" i="131"/>
  <c r="U91" i="131"/>
  <c r="AQ91" i="131"/>
  <c r="AN91" i="131"/>
  <c r="AL91" i="131"/>
  <c r="AI91" i="131"/>
  <c r="X91" i="131"/>
  <c r="R88" i="131"/>
  <c r="L91" i="131"/>
  <c r="Y91" i="131"/>
  <c r="K91" i="131"/>
  <c r="T91" i="131"/>
  <c r="AD91" i="131"/>
  <c r="V91" i="131"/>
  <c r="AJ91" i="131"/>
  <c r="AP91" i="131"/>
  <c r="O91" i="131"/>
  <c r="AC91" i="131"/>
  <c r="J91" i="131"/>
  <c r="M91" i="131"/>
  <c r="AH91" i="131"/>
  <c r="AE91" i="131"/>
  <c r="S91" i="131"/>
  <c r="N91" i="131"/>
  <c r="AF91" i="131"/>
  <c r="AK91" i="131"/>
  <c r="W91" i="131"/>
  <c r="Z91" i="131"/>
  <c r="AO91" i="131"/>
  <c r="AM91" i="131"/>
  <c r="AR91" i="131"/>
  <c r="R91" i="131"/>
  <c r="AA91" i="131"/>
  <c r="AB91" i="131"/>
  <c r="AG91" i="131"/>
  <c r="AS91" i="131"/>
  <c r="P91" i="131"/>
  <c r="Q91" i="131"/>
  <c r="T52" i="66"/>
  <c r="T50" i="66"/>
  <c r="T51" i="66"/>
  <c r="T53" i="66"/>
  <c r="AH128" i="66"/>
  <c r="AH125" i="66"/>
  <c r="AI125" i="66" s="1"/>
  <c r="AH123" i="66"/>
  <c r="AH122" i="66"/>
  <c r="AH121" i="66"/>
  <c r="AH120" i="66"/>
  <c r="AI123" i="66" l="1"/>
  <c r="C65" i="82" l="1"/>
  <c r="D65" i="82" s="1"/>
  <c r="E65" i="82" s="1"/>
  <c r="F65" i="82" s="1"/>
  <c r="G65" i="82" s="1"/>
  <c r="H65" i="82" s="1"/>
  <c r="I65" i="82" s="1"/>
  <c r="J65" i="82" s="1"/>
  <c r="K65" i="82" s="1"/>
  <c r="L65" i="82" s="1"/>
  <c r="M65" i="82" s="1"/>
  <c r="N65" i="82" s="1"/>
  <c r="O65" i="82" s="1"/>
  <c r="P65" i="82" s="1"/>
  <c r="Q65" i="82" s="1"/>
  <c r="R65" i="82" s="1"/>
  <c r="S65" i="82" s="1"/>
  <c r="T65" i="82" s="1"/>
  <c r="U65" i="82" s="1"/>
  <c r="V65" i="82" s="1"/>
  <c r="W65" i="82" s="1"/>
  <c r="X65" i="82" s="1"/>
  <c r="Y65" i="82" s="1"/>
  <c r="Z65" i="82" s="1"/>
  <c r="AA65" i="82" s="1"/>
  <c r="AB65" i="82" s="1"/>
  <c r="AC65" i="82" s="1"/>
  <c r="AD65" i="82" s="1"/>
  <c r="AE65" i="82" s="1"/>
  <c r="AF65" i="82" s="1"/>
  <c r="AG65" i="82" s="1"/>
  <c r="AH65" i="82" s="1"/>
  <c r="AI65" i="82" s="1"/>
  <c r="AJ65" i="82" s="1"/>
  <c r="AK65" i="82" s="1"/>
  <c r="D2" i="113"/>
  <c r="E2" i="113" s="1"/>
  <c r="F2" i="113" s="1"/>
  <c r="G2" i="113" s="1"/>
  <c r="H2" i="113" s="1"/>
  <c r="I2" i="113" s="1"/>
  <c r="J2" i="113" s="1"/>
  <c r="K2" i="113" s="1"/>
  <c r="L2" i="113" s="1"/>
  <c r="M2" i="113" s="1"/>
  <c r="N2" i="113" s="1"/>
  <c r="O2" i="113" s="1"/>
  <c r="P2" i="113" s="1"/>
  <c r="Q2" i="113" s="1"/>
  <c r="R2" i="113" s="1"/>
  <c r="S2" i="113" s="1"/>
  <c r="T2" i="113" s="1"/>
  <c r="U2" i="113" s="1"/>
  <c r="V2" i="113" s="1"/>
  <c r="W2" i="113" s="1"/>
  <c r="X2" i="113" s="1"/>
  <c r="Y2" i="113" s="1"/>
  <c r="Z2" i="113" s="1"/>
  <c r="AA2" i="113" s="1"/>
  <c r="AB2" i="113" s="1"/>
  <c r="AC2" i="113" s="1"/>
  <c r="AD2" i="113" s="1"/>
  <c r="AE2" i="113" s="1"/>
  <c r="AF2" i="113" s="1"/>
  <c r="AG2" i="113" s="1"/>
  <c r="AH2" i="113" s="1"/>
  <c r="AI2" i="113" s="1"/>
  <c r="AJ2" i="113" s="1"/>
  <c r="AK2" i="113" s="1"/>
  <c r="AL2" i="113" s="1"/>
  <c r="CD38" i="113"/>
  <c r="CC38" i="113"/>
  <c r="CB38" i="113"/>
  <c r="CA38" i="113"/>
  <c r="BZ38" i="113"/>
  <c r="BY38" i="113"/>
  <c r="BX38" i="113"/>
  <c r="BW38" i="113"/>
  <c r="BV38" i="113"/>
  <c r="BU38" i="113"/>
  <c r="BT38" i="113"/>
  <c r="BS38" i="113"/>
  <c r="BQ38" i="113"/>
  <c r="BP38" i="113"/>
  <c r="BO38" i="113"/>
  <c r="BN38" i="113"/>
  <c r="BM38" i="113"/>
  <c r="BL38" i="113"/>
  <c r="BK38" i="113"/>
  <c r="BJ38" i="113"/>
  <c r="BI38" i="113"/>
  <c r="BH38" i="113"/>
  <c r="BG38" i="113"/>
  <c r="BF38" i="113"/>
  <c r="CE38" i="113" l="1"/>
  <c r="CD83" i="113"/>
  <c r="CC83" i="113"/>
  <c r="CB83" i="113"/>
  <c r="CA83" i="113"/>
  <c r="BZ83" i="113"/>
  <c r="BY83" i="113"/>
  <c r="BX83" i="113"/>
  <c r="BW83" i="113"/>
  <c r="BV83" i="113"/>
  <c r="BU83" i="113"/>
  <c r="BT83" i="113"/>
  <c r="BS83" i="113"/>
  <c r="BQ83" i="113"/>
  <c r="BP83" i="113"/>
  <c r="BO83" i="113"/>
  <c r="BN83" i="113"/>
  <c r="BM83" i="113"/>
  <c r="BL83" i="113"/>
  <c r="BK83" i="113"/>
  <c r="BJ83" i="113"/>
  <c r="BI83" i="113"/>
  <c r="BH83" i="113"/>
  <c r="BG83" i="113"/>
  <c r="BF83" i="113"/>
  <c r="BC83" i="113"/>
  <c r="BB83" i="113"/>
  <c r="BA83" i="113"/>
  <c r="AZ83" i="113"/>
  <c r="AY83" i="113"/>
  <c r="AX83" i="113"/>
  <c r="AW83" i="113"/>
  <c r="AV83" i="113"/>
  <c r="AU83" i="113"/>
  <c r="AT83" i="113"/>
  <c r="AS83" i="113"/>
  <c r="AR83" i="113"/>
  <c r="AP83" i="113"/>
  <c r="AO83" i="113"/>
  <c r="AN83" i="113"/>
  <c r="AM83" i="113"/>
  <c r="AL83" i="113"/>
  <c r="AK83" i="113"/>
  <c r="AJ83" i="113"/>
  <c r="AI83" i="113"/>
  <c r="AH83" i="113"/>
  <c r="AG83" i="113"/>
  <c r="AF83" i="113"/>
  <c r="AE83" i="113"/>
  <c r="AB83" i="113"/>
  <c r="AA83" i="113"/>
  <c r="Z83" i="113"/>
  <c r="Y83" i="113"/>
  <c r="X83" i="113"/>
  <c r="W83" i="113"/>
  <c r="V83" i="113"/>
  <c r="U83" i="113"/>
  <c r="T83" i="113"/>
  <c r="S83" i="113"/>
  <c r="R83" i="113"/>
  <c r="Q83" i="113"/>
  <c r="O83" i="113"/>
  <c r="N83" i="113"/>
  <c r="M83" i="113"/>
  <c r="L83" i="113"/>
  <c r="K83" i="113"/>
  <c r="J83" i="113"/>
  <c r="I83" i="113"/>
  <c r="H83" i="113"/>
  <c r="G83" i="113"/>
  <c r="F83" i="113"/>
  <c r="E83" i="113"/>
  <c r="N48" i="113" l="1"/>
  <c r="N68" i="113"/>
  <c r="BF33" i="113"/>
  <c r="BF34" i="113"/>
  <c r="BJ33" i="113"/>
  <c r="BJ34" i="113"/>
  <c r="BN33" i="113"/>
  <c r="BN34" i="113"/>
  <c r="BS33" i="113"/>
  <c r="BS34" i="113"/>
  <c r="BW33" i="113"/>
  <c r="BW34" i="113"/>
  <c r="CA33" i="113"/>
  <c r="CA34" i="113"/>
  <c r="BG34" i="113"/>
  <c r="BG33" i="113"/>
  <c r="BK34" i="113"/>
  <c r="BK33" i="113"/>
  <c r="BO34" i="113"/>
  <c r="BO33" i="113"/>
  <c r="BT34" i="113"/>
  <c r="BT33" i="113"/>
  <c r="BX34" i="113"/>
  <c r="BX33" i="113"/>
  <c r="CB34" i="113"/>
  <c r="CB33" i="113"/>
  <c r="BH34" i="113"/>
  <c r="BH33" i="113"/>
  <c r="BL34" i="113"/>
  <c r="BL33" i="113"/>
  <c r="BP34" i="113"/>
  <c r="BP33" i="113"/>
  <c r="BU34" i="113"/>
  <c r="BU33" i="113"/>
  <c r="BY33" i="113"/>
  <c r="BY34" i="113"/>
  <c r="CC34" i="113"/>
  <c r="CC33" i="113"/>
  <c r="D51" i="113"/>
  <c r="AC83" i="113"/>
  <c r="BD83" i="113"/>
  <c r="BI34" i="113"/>
  <c r="BI33" i="113"/>
  <c r="BM34" i="113"/>
  <c r="BM33" i="113"/>
  <c r="BQ34" i="113"/>
  <c r="BQ33" i="113"/>
  <c r="CE83" i="113"/>
  <c r="BV34" i="113"/>
  <c r="BV33" i="113"/>
  <c r="BZ33" i="113"/>
  <c r="BZ34" i="113"/>
  <c r="CD34" i="113"/>
  <c r="CD33" i="113"/>
  <c r="CE33" i="113" l="1"/>
  <c r="CE34" i="113"/>
  <c r="A85" i="113" l="1"/>
  <c r="B61" i="117" l="1"/>
  <c r="AN63" i="117" s="1"/>
  <c r="B55" i="117"/>
  <c r="F55" i="117" l="1"/>
  <c r="G57" i="117"/>
  <c r="AJ57" i="117"/>
  <c r="AG57" i="117"/>
  <c r="V55" i="117"/>
  <c r="K57" i="117"/>
  <c r="F56" i="117"/>
  <c r="AB55" i="117"/>
  <c r="Y56" i="117"/>
  <c r="P57" i="117"/>
  <c r="N56" i="117"/>
  <c r="AL57" i="117"/>
  <c r="I55" i="117"/>
  <c r="AL55" i="117"/>
  <c r="AD56" i="117"/>
  <c r="V57" i="117"/>
  <c r="Q55" i="117"/>
  <c r="I56" i="117"/>
  <c r="AI56" i="117"/>
  <c r="AF57" i="117"/>
  <c r="F62" i="117"/>
  <c r="P61" i="117"/>
  <c r="Z61" i="117"/>
  <c r="M62" i="117"/>
  <c r="W62" i="117"/>
  <c r="AH62" i="117"/>
  <c r="J63" i="117"/>
  <c r="T63" i="117"/>
  <c r="M55" i="117"/>
  <c r="AG55" i="117"/>
  <c r="S56" i="117"/>
  <c r="AO56" i="117"/>
  <c r="AA57" i="117"/>
  <c r="F63" i="117"/>
  <c r="Q61" i="117"/>
  <c r="AB61" i="117"/>
  <c r="AL61" i="117"/>
  <c r="N62" i="117"/>
  <c r="Y62" i="117"/>
  <c r="AI62" i="117"/>
  <c r="K63" i="117"/>
  <c r="V63" i="117"/>
  <c r="AF63" i="117"/>
  <c r="J61" i="117"/>
  <c r="U61" i="117"/>
  <c r="AF61" i="117"/>
  <c r="G62" i="117"/>
  <c r="R62" i="117"/>
  <c r="AC62" i="117"/>
  <c r="AM62" i="117"/>
  <c r="O63" i="117"/>
  <c r="Z63" i="117"/>
  <c r="AJ63" i="117"/>
  <c r="L61" i="117"/>
  <c r="V61" i="117"/>
  <c r="AG61" i="117"/>
  <c r="I62" i="117"/>
  <c r="S62" i="117"/>
  <c r="AD62" i="117"/>
  <c r="AO62" i="117"/>
  <c r="P63" i="117"/>
  <c r="AA63" i="117"/>
  <c r="AL63" i="117"/>
  <c r="AK61" i="117"/>
  <c r="AE63" i="117"/>
  <c r="F57" i="117"/>
  <c r="J55" i="117"/>
  <c r="R55" i="117"/>
  <c r="X55" i="117"/>
  <c r="AH55" i="117"/>
  <c r="J56" i="117"/>
  <c r="U56" i="117"/>
  <c r="AE56" i="117"/>
  <c r="H55" i="117"/>
  <c r="L55" i="117"/>
  <c r="P55" i="117"/>
  <c r="U55" i="117"/>
  <c r="Z55" i="117"/>
  <c r="AF55" i="117"/>
  <c r="AK55" i="117"/>
  <c r="G56" i="117"/>
  <c r="M56" i="117"/>
  <c r="R56" i="117"/>
  <c r="W56" i="117"/>
  <c r="AC56" i="117"/>
  <c r="AH56" i="117"/>
  <c r="AM56" i="117"/>
  <c r="J57" i="117"/>
  <c r="O57" i="117"/>
  <c r="T57" i="117"/>
  <c r="Z57" i="117"/>
  <c r="AE57" i="117"/>
  <c r="F61" i="117"/>
  <c r="I61" i="117"/>
  <c r="N61" i="117"/>
  <c r="T61" i="117"/>
  <c r="Y61" i="117"/>
  <c r="AD61" i="117"/>
  <c r="AJ61" i="117"/>
  <c r="AO61" i="117"/>
  <c r="K62" i="117"/>
  <c r="Q62" i="117"/>
  <c r="V62" i="117"/>
  <c r="AA62" i="117"/>
  <c r="AG62" i="117"/>
  <c r="AL62" i="117"/>
  <c r="H63" i="117"/>
  <c r="N63" i="117"/>
  <c r="S63" i="117"/>
  <c r="X63" i="117"/>
  <c r="AD63" i="117"/>
  <c r="AI63" i="117"/>
  <c r="AO57" i="117"/>
  <c r="AK57" i="117"/>
  <c r="AC57" i="117"/>
  <c r="Y57" i="117"/>
  <c r="U57" i="117"/>
  <c r="Q57" i="117"/>
  <c r="M57" i="117"/>
  <c r="I57" i="117"/>
  <c r="AN56" i="117"/>
  <c r="AJ56" i="117"/>
  <c r="AF56" i="117"/>
  <c r="AB56" i="117"/>
  <c r="X56" i="117"/>
  <c r="T56" i="117"/>
  <c r="P56" i="117"/>
  <c r="L56" i="117"/>
  <c r="H56" i="117"/>
  <c r="AM55" i="117"/>
  <c r="AI55" i="117"/>
  <c r="AE55" i="117"/>
  <c r="AA55" i="117"/>
  <c r="W55" i="117"/>
  <c r="S55" i="117"/>
  <c r="N55" i="117"/>
  <c r="AC55" i="117"/>
  <c r="AN55" i="117"/>
  <c r="O56" i="117"/>
  <c r="Z56" i="117"/>
  <c r="AK56" i="117"/>
  <c r="L57" i="117"/>
  <c r="R57" i="117"/>
  <c r="W57" i="117"/>
  <c r="AB57" i="117"/>
  <c r="AH57" i="117"/>
  <c r="AM57" i="117"/>
  <c r="AO63" i="117"/>
  <c r="AK63" i="117"/>
  <c r="AG63" i="117"/>
  <c r="AC63" i="117"/>
  <c r="Y63" i="117"/>
  <c r="U63" i="117"/>
  <c r="Q63" i="117"/>
  <c r="M63" i="117"/>
  <c r="I63" i="117"/>
  <c r="AN62" i="117"/>
  <c r="AJ62" i="117"/>
  <c r="AF62" i="117"/>
  <c r="AB62" i="117"/>
  <c r="X62" i="117"/>
  <c r="T62" i="117"/>
  <c r="P62" i="117"/>
  <c r="L62" i="117"/>
  <c r="H62" i="117"/>
  <c r="AM61" i="117"/>
  <c r="AI61" i="117"/>
  <c r="AE61" i="117"/>
  <c r="AA61" i="117"/>
  <c r="W61" i="117"/>
  <c r="S61" i="117"/>
  <c r="O61" i="117"/>
  <c r="K61" i="117"/>
  <c r="G61" i="117"/>
  <c r="G55" i="117"/>
  <c r="K55" i="117"/>
  <c r="O55" i="117"/>
  <c r="T55" i="117"/>
  <c r="Y55" i="117"/>
  <c r="AD55" i="117"/>
  <c r="AJ55" i="117"/>
  <c r="AO55" i="117"/>
  <c r="K56" i="117"/>
  <c r="Q56" i="117"/>
  <c r="V56" i="117"/>
  <c r="AA56" i="117"/>
  <c r="AG56" i="117"/>
  <c r="AL56" i="117"/>
  <c r="H57" i="117"/>
  <c r="N57" i="117"/>
  <c r="S57" i="117"/>
  <c r="X57" i="117"/>
  <c r="AD57" i="117"/>
  <c r="AI57" i="117"/>
  <c r="AN57" i="117"/>
  <c r="H61" i="117"/>
  <c r="M61" i="117"/>
  <c r="R61" i="117"/>
  <c r="X61" i="117"/>
  <c r="AC61" i="117"/>
  <c r="AH61" i="117"/>
  <c r="AN61" i="117"/>
  <c r="J62" i="117"/>
  <c r="O62" i="117"/>
  <c r="U62" i="117"/>
  <c r="Z62" i="117"/>
  <c r="AE62" i="117"/>
  <c r="AK62" i="117"/>
  <c r="G63" i="117"/>
  <c r="L63" i="117"/>
  <c r="R63" i="117"/>
  <c r="W63" i="117"/>
  <c r="AB63" i="117"/>
  <c r="AH63" i="117"/>
  <c r="AM63" i="117"/>
  <c r="AF6" i="101" l="1"/>
  <c r="T6" i="101"/>
  <c r="S6" i="101"/>
  <c r="E6" i="101"/>
  <c r="J6" i="101"/>
  <c r="H6" i="101"/>
  <c r="Z6" i="101"/>
  <c r="D6" i="101"/>
  <c r="X6" i="101"/>
  <c r="Q6" i="101"/>
  <c r="AG6" i="101"/>
  <c r="P6" i="101"/>
  <c r="AB6" i="101"/>
  <c r="R6" i="101"/>
  <c r="AH6" i="101"/>
  <c r="U6" i="101"/>
  <c r="AJ6" i="101"/>
  <c r="O6" i="101"/>
  <c r="AI6" i="101"/>
  <c r="N6" i="101"/>
  <c r="I6" i="101"/>
  <c r="Y6" i="101"/>
  <c r="AA6" i="101"/>
  <c r="F6" i="101"/>
  <c r="C6" i="101"/>
  <c r="B6" i="101"/>
  <c r="L6" i="101"/>
  <c r="G6" i="101"/>
  <c r="AK6" i="101"/>
  <c r="K6" i="101"/>
  <c r="AE6" i="101"/>
  <c r="AD6" i="101"/>
  <c r="M6" i="101"/>
  <c r="AC6" i="101"/>
  <c r="V6" i="101"/>
  <c r="W6" i="101"/>
  <c r="C38" i="117" l="1"/>
  <c r="J39" i="117" l="1"/>
  <c r="R39" i="117"/>
  <c r="Z39" i="117"/>
  <c r="AH39" i="117"/>
  <c r="F40" i="117"/>
  <c r="N40" i="117"/>
  <c r="V40" i="117"/>
  <c r="AD40" i="117"/>
  <c r="AL40" i="117"/>
  <c r="J41" i="117"/>
  <c r="R41" i="117"/>
  <c r="Z41" i="117"/>
  <c r="AH41" i="117"/>
  <c r="F42" i="117"/>
  <c r="N42" i="117"/>
  <c r="V42" i="117"/>
  <c r="AD42" i="117"/>
  <c r="AL42" i="117"/>
  <c r="J43" i="117"/>
  <c r="R43" i="117"/>
  <c r="Z43" i="117"/>
  <c r="AH43" i="117"/>
  <c r="W39" i="117"/>
  <c r="G41" i="117"/>
  <c r="S42" i="117"/>
  <c r="AE43" i="117"/>
  <c r="X39" i="117"/>
  <c r="H41" i="117"/>
  <c r="L42" i="117"/>
  <c r="X43" i="117"/>
  <c r="M40" i="117"/>
  <c r="Q41" i="117"/>
  <c r="AO41" i="117"/>
  <c r="I43" i="117"/>
  <c r="AO43" i="117"/>
  <c r="K39" i="117"/>
  <c r="S39" i="117"/>
  <c r="AA39" i="117"/>
  <c r="AI39" i="117"/>
  <c r="G40" i="117"/>
  <c r="O40" i="117"/>
  <c r="W40" i="117"/>
  <c r="AE40" i="117"/>
  <c r="AM40" i="117"/>
  <c r="K41" i="117"/>
  <c r="S41" i="117"/>
  <c r="AA41" i="117"/>
  <c r="AI41" i="117"/>
  <c r="G42" i="117"/>
  <c r="O42" i="117"/>
  <c r="W42" i="117"/>
  <c r="AE42" i="117"/>
  <c r="AM42" i="117"/>
  <c r="K43" i="117"/>
  <c r="S43" i="117"/>
  <c r="AA43" i="117"/>
  <c r="AI43" i="117"/>
  <c r="S40" i="117"/>
  <c r="K42" i="117"/>
  <c r="O43" i="117"/>
  <c r="AN39" i="117"/>
  <c r="P41" i="117"/>
  <c r="T42" i="117"/>
  <c r="P43" i="117"/>
  <c r="I41" i="117"/>
  <c r="U42" i="117"/>
  <c r="AK42" i="117"/>
  <c r="AG43" i="117"/>
  <c r="L39" i="117"/>
  <c r="T39" i="117"/>
  <c r="AB39" i="117"/>
  <c r="AJ39" i="117"/>
  <c r="H40" i="117"/>
  <c r="P40" i="117"/>
  <c r="X40" i="117"/>
  <c r="AF40" i="117"/>
  <c r="AN40" i="117"/>
  <c r="L41" i="117"/>
  <c r="T41" i="117"/>
  <c r="AB41" i="117"/>
  <c r="AJ41" i="117"/>
  <c r="H42" i="117"/>
  <c r="P42" i="117"/>
  <c r="X42" i="117"/>
  <c r="AF42" i="117"/>
  <c r="AN42" i="117"/>
  <c r="L43" i="117"/>
  <c r="T43" i="117"/>
  <c r="AB43" i="117"/>
  <c r="AJ43" i="117"/>
  <c r="AE39" i="117"/>
  <c r="AI40" i="117"/>
  <c r="AE41" i="117"/>
  <c r="T40" i="117"/>
  <c r="AJ42" i="117"/>
  <c r="AC40" i="117"/>
  <c r="AG41" i="117"/>
  <c r="AC42" i="117"/>
  <c r="Y43" i="117"/>
  <c r="M39" i="117"/>
  <c r="U39" i="117"/>
  <c r="AC39" i="117"/>
  <c r="AK39" i="117"/>
  <c r="I40" i="117"/>
  <c r="Q40" i="117"/>
  <c r="Y40" i="117"/>
  <c r="AG40" i="117"/>
  <c r="AO40" i="117"/>
  <c r="M41" i="117"/>
  <c r="U41" i="117"/>
  <c r="AC41" i="117"/>
  <c r="AK41" i="117"/>
  <c r="I42" i="117"/>
  <c r="Q42" i="117"/>
  <c r="Y42" i="117"/>
  <c r="AG42" i="117"/>
  <c r="AO42" i="117"/>
  <c r="M43" i="117"/>
  <c r="U43" i="117"/>
  <c r="AC43" i="117"/>
  <c r="AK43" i="117"/>
  <c r="O39" i="117"/>
  <c r="K40" i="117"/>
  <c r="O41" i="117"/>
  <c r="AM41" i="117"/>
  <c r="AI42" i="117"/>
  <c r="W43" i="117"/>
  <c r="P39" i="117"/>
  <c r="L40" i="117"/>
  <c r="AJ40" i="117"/>
  <c r="AF41" i="117"/>
  <c r="AB42" i="117"/>
  <c r="AN43" i="117"/>
  <c r="Q39" i="117"/>
  <c r="Y39" i="117"/>
  <c r="AO39" i="117"/>
  <c r="AK40" i="117"/>
  <c r="Y41" i="117"/>
  <c r="M42" i="117"/>
  <c r="Q43" i="117"/>
  <c r="F39" i="117"/>
  <c r="N39" i="117"/>
  <c r="V39" i="117"/>
  <c r="AD39" i="117"/>
  <c r="AL39" i="117"/>
  <c r="J40" i="117"/>
  <c r="R40" i="117"/>
  <c r="Z40" i="117"/>
  <c r="AH40" i="117"/>
  <c r="F41" i="117"/>
  <c r="N41" i="117"/>
  <c r="V41" i="117"/>
  <c r="AD41" i="117"/>
  <c r="AL41" i="117"/>
  <c r="J42" i="117"/>
  <c r="R42" i="117"/>
  <c r="Z42" i="117"/>
  <c r="AH42" i="117"/>
  <c r="F43" i="117"/>
  <c r="N43" i="117"/>
  <c r="V43" i="117"/>
  <c r="AD43" i="117"/>
  <c r="AL43" i="117"/>
  <c r="G39" i="117"/>
  <c r="AM39" i="117"/>
  <c r="AA40" i="117"/>
  <c r="W41" i="117"/>
  <c r="AA42" i="117"/>
  <c r="G43" i="117"/>
  <c r="AM43" i="117"/>
  <c r="H39" i="117"/>
  <c r="AF39" i="117"/>
  <c r="AB40" i="117"/>
  <c r="X41" i="117"/>
  <c r="AN41" i="117"/>
  <c r="H43" i="117"/>
  <c r="AF43" i="117"/>
  <c r="I39" i="117"/>
  <c r="AG39" i="117"/>
  <c r="U40" i="117"/>
  <c r="H45" i="117"/>
  <c r="F50" i="117"/>
  <c r="AM50" i="117"/>
  <c r="G45" i="117"/>
  <c r="O45" i="117"/>
  <c r="W45" i="117"/>
  <c r="AE45" i="117"/>
  <c r="P45" i="117"/>
  <c r="X45" i="117"/>
  <c r="AF45" i="117"/>
  <c r="AN45" i="117"/>
  <c r="AA45" i="117"/>
  <c r="AB45" i="117"/>
  <c r="AC45" i="117"/>
  <c r="V45" i="117"/>
  <c r="I45" i="117"/>
  <c r="Q45" i="117"/>
  <c r="Y45" i="117"/>
  <c r="AG45" i="117"/>
  <c r="AO45" i="117"/>
  <c r="S45" i="117"/>
  <c r="T45" i="117"/>
  <c r="M45" i="117"/>
  <c r="N45" i="117"/>
  <c r="AM45" i="117"/>
  <c r="J45" i="117"/>
  <c r="R45" i="117"/>
  <c r="Z45" i="117"/>
  <c r="AH45" i="117"/>
  <c r="F45" i="117"/>
  <c r="K45" i="117"/>
  <c r="AI45" i="117"/>
  <c r="L45" i="117"/>
  <c r="AJ45" i="117"/>
  <c r="U45" i="117"/>
  <c r="AK45" i="117"/>
  <c r="AD45" i="117"/>
  <c r="AL45" i="117"/>
  <c r="G47" i="117"/>
  <c r="L47" i="117"/>
  <c r="R47" i="117"/>
  <c r="W47" i="117"/>
  <c r="AC47" i="117"/>
  <c r="AN47" i="117"/>
  <c r="O48" i="117"/>
  <c r="AE48" i="117"/>
  <c r="K50" i="117"/>
  <c r="AA50" i="117"/>
  <c r="S47" i="117"/>
  <c r="O50" i="117"/>
  <c r="J47" i="117"/>
  <c r="O47" i="117"/>
  <c r="T47" i="117"/>
  <c r="Z47" i="117"/>
  <c r="AH47" i="117"/>
  <c r="J48" i="117"/>
  <c r="W48" i="117"/>
  <c r="AM48" i="117"/>
  <c r="S50" i="117"/>
  <c r="AI50" i="117"/>
  <c r="H47" i="117"/>
  <c r="N47" i="117"/>
  <c r="X47" i="117"/>
  <c r="AF47" i="117"/>
  <c r="G48" i="117"/>
  <c r="S48" i="117"/>
  <c r="AI48" i="117"/>
  <c r="AE50" i="117"/>
  <c r="F48" i="117"/>
  <c r="K47" i="117"/>
  <c r="P47" i="117"/>
  <c r="V47" i="117"/>
  <c r="AB47" i="117"/>
  <c r="AK47" i="117"/>
  <c r="M48" i="117"/>
  <c r="AA48" i="117"/>
  <c r="G50" i="117"/>
  <c r="W50" i="117"/>
  <c r="F47" i="117"/>
  <c r="AL50" i="117"/>
  <c r="AH50" i="117"/>
  <c r="AD50" i="117"/>
  <c r="Z50" i="117"/>
  <c r="V50" i="117"/>
  <c r="R50" i="117"/>
  <c r="N50" i="117"/>
  <c r="J50" i="117"/>
  <c r="AL48" i="117"/>
  <c r="AH48" i="117"/>
  <c r="AD48" i="117"/>
  <c r="Z48" i="117"/>
  <c r="V48" i="117"/>
  <c r="R48" i="117"/>
  <c r="AN50" i="117"/>
  <c r="AJ50" i="117"/>
  <c r="AF50" i="117"/>
  <c r="AB50" i="117"/>
  <c r="X50" i="117"/>
  <c r="T50" i="117"/>
  <c r="P50" i="117"/>
  <c r="L50" i="117"/>
  <c r="H50" i="117"/>
  <c r="AN48" i="117"/>
  <c r="AJ48" i="117"/>
  <c r="AF48" i="117"/>
  <c r="AB48" i="117"/>
  <c r="X48" i="117"/>
  <c r="T48" i="117"/>
  <c r="P48" i="117"/>
  <c r="L48" i="117"/>
  <c r="H48" i="117"/>
  <c r="AM47" i="117"/>
  <c r="AI47" i="117"/>
  <c r="AE47" i="117"/>
  <c r="AA47" i="117"/>
  <c r="I47" i="117"/>
  <c r="M47" i="117"/>
  <c r="Q47" i="117"/>
  <c r="U47" i="117"/>
  <c r="Y47" i="117"/>
  <c r="AD47" i="117"/>
  <c r="AJ47" i="117"/>
  <c r="AO47" i="117"/>
  <c r="K48" i="117"/>
  <c r="Q48" i="117"/>
  <c r="Y48" i="117"/>
  <c r="AG48" i="117"/>
  <c r="AO48" i="117"/>
  <c r="M50" i="117"/>
  <c r="U50" i="117"/>
  <c r="AC50" i="117"/>
  <c r="AK50" i="117"/>
  <c r="AG47" i="117"/>
  <c r="AL47" i="117"/>
  <c r="I48" i="117"/>
  <c r="N48" i="117"/>
  <c r="U48" i="117"/>
  <c r="AC48" i="117"/>
  <c r="AK48" i="117"/>
  <c r="I50" i="117"/>
  <c r="Q50" i="117"/>
  <c r="Y50" i="117"/>
  <c r="AG50" i="117"/>
  <c r="AO50" i="117"/>
  <c r="B85" i="113"/>
  <c r="C25" i="117"/>
  <c r="E35" i="117" s="1"/>
  <c r="E22" i="117"/>
  <c r="Z22" i="117" s="1"/>
  <c r="G224" i="117"/>
  <c r="H224" i="117" s="1"/>
  <c r="I224" i="117" s="1"/>
  <c r="J224" i="117" s="1"/>
  <c r="K224" i="117" s="1"/>
  <c r="L224" i="117" s="1"/>
  <c r="M224" i="117" s="1"/>
  <c r="N224" i="117" s="1"/>
  <c r="O224" i="117" s="1"/>
  <c r="P224" i="117" s="1"/>
  <c r="Q224" i="117" s="1"/>
  <c r="R224" i="117" s="1"/>
  <c r="S224" i="117" s="1"/>
  <c r="T224" i="117" s="1"/>
  <c r="U224" i="117" s="1"/>
  <c r="V224" i="117" s="1"/>
  <c r="W224" i="117" s="1"/>
  <c r="X224" i="117" s="1"/>
  <c r="Y224" i="117" s="1"/>
  <c r="Z224" i="117" s="1"/>
  <c r="AA224" i="117" s="1"/>
  <c r="AB224" i="117" s="1"/>
  <c r="AC224" i="117" s="1"/>
  <c r="AD224" i="117" s="1"/>
  <c r="AE224" i="117" s="1"/>
  <c r="AF224" i="117" s="1"/>
  <c r="AG224" i="117" s="1"/>
  <c r="AH224" i="117" s="1"/>
  <c r="AI224" i="117" s="1"/>
  <c r="AJ224" i="117" s="1"/>
  <c r="AK224" i="117" s="1"/>
  <c r="AL224" i="117" s="1"/>
  <c r="AM224" i="117" s="1"/>
  <c r="AN224" i="117" s="1"/>
  <c r="AO224" i="117" s="1"/>
  <c r="G79" i="117"/>
  <c r="H79" i="117" s="1"/>
  <c r="I79" i="117" s="1"/>
  <c r="J79" i="117" s="1"/>
  <c r="K79" i="117" s="1"/>
  <c r="L79" i="117" s="1"/>
  <c r="M79" i="117" s="1"/>
  <c r="N79" i="117" s="1"/>
  <c r="O79" i="117" s="1"/>
  <c r="P79" i="117" s="1"/>
  <c r="Q79" i="117" s="1"/>
  <c r="R79" i="117" s="1"/>
  <c r="S79" i="117" s="1"/>
  <c r="T79" i="117" s="1"/>
  <c r="U79" i="117" s="1"/>
  <c r="V79" i="117" s="1"/>
  <c r="W79" i="117" s="1"/>
  <c r="X79" i="117" s="1"/>
  <c r="Y79" i="117" s="1"/>
  <c r="Z79" i="117" s="1"/>
  <c r="AA79" i="117" s="1"/>
  <c r="AB79" i="117" s="1"/>
  <c r="AC79" i="117" s="1"/>
  <c r="AD79" i="117" s="1"/>
  <c r="AE79" i="117" s="1"/>
  <c r="AF79" i="117" s="1"/>
  <c r="AG79" i="117" s="1"/>
  <c r="AH79" i="117" s="1"/>
  <c r="AI79" i="117" s="1"/>
  <c r="AJ79" i="117" s="1"/>
  <c r="AK79" i="117" s="1"/>
  <c r="AL79" i="117" s="1"/>
  <c r="AM79" i="117" s="1"/>
  <c r="AN79" i="117" s="1"/>
  <c r="AO79" i="117" s="1"/>
  <c r="G182" i="117"/>
  <c r="H182" i="117" s="1"/>
  <c r="I182" i="117" s="1"/>
  <c r="J182" i="117" s="1"/>
  <c r="K182" i="117" s="1"/>
  <c r="L182" i="117" s="1"/>
  <c r="M182" i="117" s="1"/>
  <c r="N182" i="117" s="1"/>
  <c r="O182" i="117" s="1"/>
  <c r="P182" i="117" s="1"/>
  <c r="Q182" i="117" s="1"/>
  <c r="R182" i="117" s="1"/>
  <c r="S182" i="117" s="1"/>
  <c r="T182" i="117" s="1"/>
  <c r="U182" i="117" s="1"/>
  <c r="V182" i="117" s="1"/>
  <c r="W182" i="117" s="1"/>
  <c r="X182" i="117" s="1"/>
  <c r="Y182" i="117" s="1"/>
  <c r="Z182" i="117" s="1"/>
  <c r="AA182" i="117" s="1"/>
  <c r="AB182" i="117" s="1"/>
  <c r="AC182" i="117" s="1"/>
  <c r="AD182" i="117" s="1"/>
  <c r="AE182" i="117" s="1"/>
  <c r="AF182" i="117" s="1"/>
  <c r="AG182" i="117" s="1"/>
  <c r="AH182" i="117" s="1"/>
  <c r="AI182" i="117" s="1"/>
  <c r="AJ182" i="117" s="1"/>
  <c r="AK182" i="117" s="1"/>
  <c r="AL182" i="117" s="1"/>
  <c r="AM182" i="117" s="1"/>
  <c r="AN182" i="117" s="1"/>
  <c r="AO182" i="117" s="1"/>
  <c r="G153" i="117"/>
  <c r="H153" i="117" s="1"/>
  <c r="I153" i="117" s="1"/>
  <c r="J153" i="117" s="1"/>
  <c r="K153" i="117" s="1"/>
  <c r="L153" i="117" s="1"/>
  <c r="M153" i="117" s="1"/>
  <c r="N153" i="117" s="1"/>
  <c r="O153" i="117" s="1"/>
  <c r="P153" i="117" s="1"/>
  <c r="Q153" i="117" s="1"/>
  <c r="R153" i="117" s="1"/>
  <c r="S153" i="117" s="1"/>
  <c r="T153" i="117" s="1"/>
  <c r="U153" i="117" s="1"/>
  <c r="V153" i="117" s="1"/>
  <c r="W153" i="117" s="1"/>
  <c r="X153" i="117" s="1"/>
  <c r="Y153" i="117" s="1"/>
  <c r="Z153" i="117" s="1"/>
  <c r="AA153" i="117" s="1"/>
  <c r="AB153" i="117" s="1"/>
  <c r="AC153" i="117" s="1"/>
  <c r="AD153" i="117" s="1"/>
  <c r="AE153" i="117" s="1"/>
  <c r="AF153" i="117" s="1"/>
  <c r="AG153" i="117" s="1"/>
  <c r="AH153" i="117" s="1"/>
  <c r="AI153" i="117" s="1"/>
  <c r="AJ153" i="117" s="1"/>
  <c r="AK153" i="117" s="1"/>
  <c r="AL153" i="117" s="1"/>
  <c r="AM153" i="117" s="1"/>
  <c r="AN153" i="117" s="1"/>
  <c r="AO153" i="117" s="1"/>
  <c r="AD98" i="131" l="1"/>
  <c r="AD89" i="131"/>
  <c r="E29" i="117"/>
  <c r="AD29" i="117" s="1"/>
  <c r="E33" i="117"/>
  <c r="AG33" i="117" s="1"/>
  <c r="AK39" i="120" s="1"/>
  <c r="E26" i="117"/>
  <c r="E27" i="117"/>
  <c r="AK27" i="117" s="1"/>
  <c r="E28" i="117"/>
  <c r="F28" i="117" s="1"/>
  <c r="E32" i="117"/>
  <c r="AO35" i="117"/>
  <c r="AS41" i="120" s="1"/>
  <c r="AK35" i="117"/>
  <c r="AO41" i="120" s="1"/>
  <c r="AG35" i="117"/>
  <c r="AK41" i="120" s="1"/>
  <c r="AC35" i="117"/>
  <c r="AG41" i="120" s="1"/>
  <c r="Y35" i="117"/>
  <c r="AC41" i="120" s="1"/>
  <c r="U35" i="117"/>
  <c r="Y41" i="120" s="1"/>
  <c r="Q35" i="117"/>
  <c r="U41" i="120" s="1"/>
  <c r="M35" i="117"/>
  <c r="Q41" i="120" s="1"/>
  <c r="I35" i="117"/>
  <c r="M41" i="120" s="1"/>
  <c r="AN35" i="117"/>
  <c r="AR41" i="120" s="1"/>
  <c r="AJ35" i="117"/>
  <c r="AN41" i="120" s="1"/>
  <c r="AF35" i="117"/>
  <c r="AJ41" i="120" s="1"/>
  <c r="AB35" i="117"/>
  <c r="AF41" i="120" s="1"/>
  <c r="X35" i="117"/>
  <c r="AB41" i="120" s="1"/>
  <c r="T35" i="117"/>
  <c r="X41" i="120" s="1"/>
  <c r="P35" i="117"/>
  <c r="T41" i="120" s="1"/>
  <c r="L35" i="117"/>
  <c r="P41" i="120" s="1"/>
  <c r="H35" i="117"/>
  <c r="L41" i="120" s="1"/>
  <c r="AL35" i="117"/>
  <c r="AP41" i="120" s="1"/>
  <c r="AD35" i="117"/>
  <c r="AH41" i="120" s="1"/>
  <c r="V35" i="117"/>
  <c r="Z41" i="120" s="1"/>
  <c r="N35" i="117"/>
  <c r="R41" i="120" s="1"/>
  <c r="F35" i="117"/>
  <c r="J41" i="120" s="1"/>
  <c r="AI35" i="117"/>
  <c r="AM41" i="120" s="1"/>
  <c r="AH35" i="117"/>
  <c r="AL41" i="120" s="1"/>
  <c r="Z35" i="117"/>
  <c r="AD41" i="120" s="1"/>
  <c r="R35" i="117"/>
  <c r="V41" i="120" s="1"/>
  <c r="J35" i="117"/>
  <c r="N41" i="120" s="1"/>
  <c r="AE35" i="117"/>
  <c r="AI41" i="120" s="1"/>
  <c r="O35" i="117"/>
  <c r="S41" i="120" s="1"/>
  <c r="W35" i="117"/>
  <c r="AA41" i="120" s="1"/>
  <c r="G35" i="117"/>
  <c r="K41" i="120" s="1"/>
  <c r="K35" i="117"/>
  <c r="O41" i="120" s="1"/>
  <c r="AA35" i="117"/>
  <c r="AE41" i="120" s="1"/>
  <c r="S35" i="117"/>
  <c r="W41" i="120" s="1"/>
  <c r="AM35" i="117"/>
  <c r="AQ41" i="120" s="1"/>
  <c r="E30" i="117"/>
  <c r="E34" i="117"/>
  <c r="E31" i="117"/>
  <c r="F31" i="117" s="1"/>
  <c r="J22" i="117"/>
  <c r="AL22" i="117"/>
  <c r="V22" i="117"/>
  <c r="F22" i="117"/>
  <c r="AH22" i="117"/>
  <c r="R22" i="117"/>
  <c r="AO22" i="117"/>
  <c r="AD22" i="117"/>
  <c r="N22" i="117"/>
  <c r="E13" i="117"/>
  <c r="L13" i="117" s="1"/>
  <c r="E17" i="117"/>
  <c r="V17" i="117" s="1"/>
  <c r="E14" i="117"/>
  <c r="Q14" i="117" s="1"/>
  <c r="E15" i="117"/>
  <c r="L21" i="117"/>
  <c r="E16" i="117"/>
  <c r="G22" i="117"/>
  <c r="K22" i="117"/>
  <c r="O22" i="117"/>
  <c r="S22" i="117"/>
  <c r="W22" i="117"/>
  <c r="AA22" i="117"/>
  <c r="AE22" i="117"/>
  <c r="AI22" i="117"/>
  <c r="AM22" i="117"/>
  <c r="H22" i="117"/>
  <c r="L22" i="117"/>
  <c r="P22" i="117"/>
  <c r="T22" i="117"/>
  <c r="X22" i="117"/>
  <c r="AB22" i="117"/>
  <c r="AF22" i="117"/>
  <c r="AJ22" i="117"/>
  <c r="AN22" i="117"/>
  <c r="I22" i="117"/>
  <c r="M22" i="117"/>
  <c r="Q22" i="117"/>
  <c r="U22" i="117"/>
  <c r="Y22" i="117"/>
  <c r="AC22" i="117"/>
  <c r="AG22" i="117"/>
  <c r="AK22" i="117"/>
  <c r="C240" i="119"/>
  <c r="C168" i="119"/>
  <c r="AM32" i="117" l="1"/>
  <c r="AQ38" i="120" s="1"/>
  <c r="F32" i="117"/>
  <c r="J38" i="120" s="1"/>
  <c r="AH98" i="131"/>
  <c r="AH89" i="131"/>
  <c r="AC98" i="131"/>
  <c r="AC89" i="131"/>
  <c r="V98" i="131"/>
  <c r="V89" i="131"/>
  <c r="Y98" i="131"/>
  <c r="Y89" i="131"/>
  <c r="AB98" i="131"/>
  <c r="AB89" i="131"/>
  <c r="AE98" i="131"/>
  <c r="AE89" i="131"/>
  <c r="AL98" i="131"/>
  <c r="AL89" i="131"/>
  <c r="K98" i="131"/>
  <c r="K89" i="131"/>
  <c r="AS98" i="131"/>
  <c r="AS89" i="131"/>
  <c r="P97" i="131"/>
  <c r="P88" i="131"/>
  <c r="U98" i="131"/>
  <c r="U89" i="131"/>
  <c r="X98" i="131"/>
  <c r="X89" i="131"/>
  <c r="AA98" i="131"/>
  <c r="AA89" i="131"/>
  <c r="AN98" i="131"/>
  <c r="AN89" i="131"/>
  <c r="AJ98" i="131"/>
  <c r="AJ89" i="131"/>
  <c r="AI98" i="131"/>
  <c r="AI89" i="131"/>
  <c r="Q98" i="131"/>
  <c r="Q89" i="131"/>
  <c r="T98" i="131"/>
  <c r="T89" i="131"/>
  <c r="W98" i="131"/>
  <c r="W89" i="131"/>
  <c r="Z95" i="131"/>
  <c r="Z86" i="131"/>
  <c r="Z98" i="131"/>
  <c r="Z89" i="131"/>
  <c r="AQ98" i="131"/>
  <c r="AQ89" i="131"/>
  <c r="AM98" i="131"/>
  <c r="AM89" i="131"/>
  <c r="AF98" i="131"/>
  <c r="AF89" i="131"/>
  <c r="M98" i="131"/>
  <c r="M89" i="131"/>
  <c r="P98" i="131"/>
  <c r="P89" i="131"/>
  <c r="S98" i="131"/>
  <c r="S89" i="131"/>
  <c r="AP98" i="131"/>
  <c r="AP89" i="131"/>
  <c r="AK98" i="131"/>
  <c r="AK89" i="131"/>
  <c r="AG98" i="131"/>
  <c r="AG89" i="131"/>
  <c r="AO98" i="131"/>
  <c r="AO89" i="131"/>
  <c r="AR98" i="131"/>
  <c r="AR89" i="131"/>
  <c r="L98" i="131"/>
  <c r="L89" i="131"/>
  <c r="O98" i="131"/>
  <c r="O89" i="131"/>
  <c r="R98" i="131"/>
  <c r="R89" i="131"/>
  <c r="N98" i="131"/>
  <c r="N89" i="131"/>
  <c r="J98" i="131"/>
  <c r="J89" i="131"/>
  <c r="M18" i="117"/>
  <c r="S18" i="117"/>
  <c r="G15" i="117"/>
  <c r="F15" i="117"/>
  <c r="AO13" i="117"/>
  <c r="F13" i="117"/>
  <c r="AJ28" i="117"/>
  <c r="U26" i="117"/>
  <c r="F26" i="117"/>
  <c r="M16" i="117"/>
  <c r="H16" i="117"/>
  <c r="AM13" i="117"/>
  <c r="G13" i="117"/>
  <c r="Q17" i="117"/>
  <c r="G17" i="117"/>
  <c r="AL28" i="117"/>
  <c r="AC33" i="117"/>
  <c r="AG39" i="120" s="1"/>
  <c r="K33" i="117"/>
  <c r="O39" i="120" s="1"/>
  <c r="AI33" i="117"/>
  <c r="AM39" i="120" s="1"/>
  <c r="G29" i="117"/>
  <c r="AA29" i="117"/>
  <c r="P29" i="117"/>
  <c r="S28" i="117"/>
  <c r="AB28" i="117"/>
  <c r="AM29" i="117"/>
  <c r="AE29" i="117"/>
  <c r="Y29" i="117"/>
  <c r="S33" i="117"/>
  <c r="W39" i="120" s="1"/>
  <c r="J33" i="117"/>
  <c r="N39" i="120" s="1"/>
  <c r="T33" i="117"/>
  <c r="X39" i="120" s="1"/>
  <c r="AD26" i="117"/>
  <c r="AK26" i="117"/>
  <c r="P26" i="117"/>
  <c r="AN26" i="117"/>
  <c r="AI29" i="117"/>
  <c r="AL29" i="117"/>
  <c r="J29" i="117"/>
  <c r="Q26" i="117"/>
  <c r="N28" i="117"/>
  <c r="R29" i="117"/>
  <c r="I29" i="117"/>
  <c r="AC29" i="117"/>
  <c r="W26" i="117"/>
  <c r="U28" i="117"/>
  <c r="V29" i="117"/>
  <c r="AE28" i="117"/>
  <c r="W29" i="117"/>
  <c r="M29" i="117"/>
  <c r="AK29" i="117"/>
  <c r="AK28" i="117"/>
  <c r="O29" i="117"/>
  <c r="T29" i="117"/>
  <c r="X29" i="117"/>
  <c r="R28" i="117"/>
  <c r="F29" i="117"/>
  <c r="K26" i="117"/>
  <c r="AB29" i="117"/>
  <c r="U29" i="117"/>
  <c r="AO29" i="117"/>
  <c r="P28" i="117"/>
  <c r="O28" i="117"/>
  <c r="AL33" i="117"/>
  <c r="AP39" i="120" s="1"/>
  <c r="I32" i="117"/>
  <c r="M38" i="120" s="1"/>
  <c r="M33" i="117"/>
  <c r="Q39" i="120" s="1"/>
  <c r="AJ33" i="117"/>
  <c r="AN39" i="120" s="1"/>
  <c r="AM26" i="117"/>
  <c r="AM28" i="117"/>
  <c r="J28" i="117"/>
  <c r="T28" i="117"/>
  <c r="X26" i="117"/>
  <c r="L28" i="117"/>
  <c r="AF28" i="117"/>
  <c r="AG28" i="117"/>
  <c r="AG26" i="117"/>
  <c r="W28" i="117"/>
  <c r="X28" i="117"/>
  <c r="V26" i="117"/>
  <c r="AI28" i="117"/>
  <c r="G28" i="117"/>
  <c r="G26" i="117"/>
  <c r="AN28" i="117"/>
  <c r="R26" i="117"/>
  <c r="K28" i="117"/>
  <c r="Q28" i="117"/>
  <c r="AL26" i="117"/>
  <c r="Z26" i="117"/>
  <c r="L29" i="117"/>
  <c r="AH29" i="117"/>
  <c r="Q29" i="117"/>
  <c r="AG29" i="117"/>
  <c r="AH28" i="117"/>
  <c r="V28" i="117"/>
  <c r="I28" i="117"/>
  <c r="Y28" i="117"/>
  <c r="AO28" i="117"/>
  <c r="H29" i="117"/>
  <c r="H28" i="117"/>
  <c r="Z28" i="117"/>
  <c r="AA28" i="117"/>
  <c r="M28" i="117"/>
  <c r="AC28" i="117"/>
  <c r="AD28" i="117"/>
  <c r="AH26" i="117"/>
  <c r="M26" i="117"/>
  <c r="S26" i="117"/>
  <c r="AI26" i="117"/>
  <c r="N26" i="117"/>
  <c r="Y26" i="117"/>
  <c r="AO26" i="117"/>
  <c r="L26" i="117"/>
  <c r="AA26" i="117"/>
  <c r="I26" i="117"/>
  <c r="AJ26" i="117"/>
  <c r="O26" i="117"/>
  <c r="AB26" i="117"/>
  <c r="J26" i="117"/>
  <c r="AF26" i="117"/>
  <c r="AC26" i="117"/>
  <c r="AE26" i="117"/>
  <c r="H26" i="117"/>
  <c r="AO27" i="117"/>
  <c r="Q33" i="117"/>
  <c r="U39" i="120" s="1"/>
  <c r="AM33" i="117"/>
  <c r="AQ39" i="120" s="1"/>
  <c r="Z33" i="117"/>
  <c r="AD39" i="120" s="1"/>
  <c r="V33" i="117"/>
  <c r="Z39" i="120" s="1"/>
  <c r="L33" i="117"/>
  <c r="P39" i="120" s="1"/>
  <c r="AB33" i="117"/>
  <c r="AF39" i="120" s="1"/>
  <c r="U33" i="117"/>
  <c r="Y39" i="120" s="1"/>
  <c r="AK33" i="117"/>
  <c r="AO39" i="120" s="1"/>
  <c r="G32" i="117"/>
  <c r="K38" i="120" s="1"/>
  <c r="AB32" i="117"/>
  <c r="AF38" i="120" s="1"/>
  <c r="AE33" i="117"/>
  <c r="AI39" i="120" s="1"/>
  <c r="G33" i="117"/>
  <c r="K39" i="120" s="1"/>
  <c r="AH33" i="117"/>
  <c r="AL39" i="120" s="1"/>
  <c r="AD33" i="117"/>
  <c r="AH39" i="120" s="1"/>
  <c r="P33" i="117"/>
  <c r="T39" i="120" s="1"/>
  <c r="AF33" i="117"/>
  <c r="AJ39" i="120" s="1"/>
  <c r="Y33" i="117"/>
  <c r="AC39" i="120" s="1"/>
  <c r="AO33" i="117"/>
  <c r="AS39" i="120" s="1"/>
  <c r="W32" i="117"/>
  <c r="AA38" i="120" s="1"/>
  <c r="AC32" i="117"/>
  <c r="AG38" i="120" s="1"/>
  <c r="I33" i="117"/>
  <c r="M39" i="120" s="1"/>
  <c r="F33" i="117"/>
  <c r="J39" i="120" s="1"/>
  <c r="W33" i="117"/>
  <c r="AA39" i="120" s="1"/>
  <c r="R33" i="117"/>
  <c r="V39" i="120" s="1"/>
  <c r="O33" i="117"/>
  <c r="S39" i="120" s="1"/>
  <c r="H33" i="117"/>
  <c r="L39" i="120" s="1"/>
  <c r="X33" i="117"/>
  <c r="AB39" i="120" s="1"/>
  <c r="AN33" i="117"/>
  <c r="AR39" i="120" s="1"/>
  <c r="J32" i="117"/>
  <c r="N38" i="120" s="1"/>
  <c r="Y32" i="117"/>
  <c r="AC38" i="120" s="1"/>
  <c r="T26" i="117"/>
  <c r="J27" i="117"/>
  <c r="V27" i="117"/>
  <c r="W27" i="117"/>
  <c r="AF27" i="117"/>
  <c r="I27" i="117"/>
  <c r="AL27" i="117"/>
  <c r="Y27" i="117"/>
  <c r="Z27" i="117"/>
  <c r="O27" i="117"/>
  <c r="AE27" i="117"/>
  <c r="G27" i="117"/>
  <c r="AB27" i="117"/>
  <c r="M27" i="117"/>
  <c r="AC27" i="117"/>
  <c r="S27" i="117"/>
  <c r="AJ27" i="117"/>
  <c r="H27" i="117"/>
  <c r="X27" i="117"/>
  <c r="L27" i="117"/>
  <c r="AH27" i="117"/>
  <c r="Q27" i="117"/>
  <c r="AG27" i="117"/>
  <c r="AN27" i="117"/>
  <c r="K27" i="117"/>
  <c r="AD27" i="117"/>
  <c r="P27" i="117"/>
  <c r="R27" i="117"/>
  <c r="AM27" i="117"/>
  <c r="U27" i="117"/>
  <c r="X32" i="117"/>
  <c r="AB38" i="120" s="1"/>
  <c r="N32" i="117"/>
  <c r="R38" i="120" s="1"/>
  <c r="R32" i="117"/>
  <c r="V38" i="120" s="1"/>
  <c r="K32" i="117"/>
  <c r="O38" i="120" s="1"/>
  <c r="AA32" i="117"/>
  <c r="AE38" i="120" s="1"/>
  <c r="M32" i="117"/>
  <c r="Q38" i="120" s="1"/>
  <c r="AD32" i="117"/>
  <c r="AH38" i="120" s="1"/>
  <c r="AF32" i="117"/>
  <c r="AJ38" i="120" s="1"/>
  <c r="L32" i="117"/>
  <c r="P38" i="120" s="1"/>
  <c r="AH32" i="117"/>
  <c r="AL38" i="120" s="1"/>
  <c r="H32" i="117"/>
  <c r="L38" i="120" s="1"/>
  <c r="V32" i="117"/>
  <c r="Z38" i="120" s="1"/>
  <c r="Z32" i="117"/>
  <c r="AD38" i="120" s="1"/>
  <c r="O32" i="117"/>
  <c r="S38" i="120" s="1"/>
  <c r="AG32" i="117"/>
  <c r="AK38" i="120" s="1"/>
  <c r="Q32" i="117"/>
  <c r="U38" i="120" s="1"/>
  <c r="AI32" i="117"/>
  <c r="AM38" i="120" s="1"/>
  <c r="AJ32" i="117"/>
  <c r="AN38" i="120" s="1"/>
  <c r="T32" i="117"/>
  <c r="X38" i="120" s="1"/>
  <c r="AA33" i="117"/>
  <c r="AE39" i="120" s="1"/>
  <c r="N33" i="117"/>
  <c r="R39" i="120" s="1"/>
  <c r="P32" i="117"/>
  <c r="T38" i="120" s="1"/>
  <c r="AE32" i="117"/>
  <c r="AI38" i="120" s="1"/>
  <c r="AK32" i="117"/>
  <c r="AO38" i="120" s="1"/>
  <c r="S32" i="117"/>
  <c r="W38" i="120" s="1"/>
  <c r="AL32" i="117"/>
  <c r="AP38" i="120" s="1"/>
  <c r="U32" i="117"/>
  <c r="Y38" i="120" s="1"/>
  <c r="AO32" i="117"/>
  <c r="AS38" i="120" s="1"/>
  <c r="AN32" i="117"/>
  <c r="AR38" i="120" s="1"/>
  <c r="T27" i="117"/>
  <c r="N27" i="117"/>
  <c r="AI27" i="117"/>
  <c r="F27" i="117"/>
  <c r="AA27" i="117"/>
  <c r="AJ29" i="117"/>
  <c r="AN29" i="117"/>
  <c r="N29" i="117"/>
  <c r="AF29" i="117"/>
  <c r="K29" i="117"/>
  <c r="Z29" i="117"/>
  <c r="S29" i="117"/>
  <c r="AO34" i="117"/>
  <c r="AS40" i="120" s="1"/>
  <c r="AK34" i="117"/>
  <c r="AO40" i="120" s="1"/>
  <c r="AG34" i="117"/>
  <c r="AK40" i="120" s="1"/>
  <c r="AC34" i="117"/>
  <c r="AG40" i="120" s="1"/>
  <c r="Y34" i="117"/>
  <c r="AC40" i="120" s="1"/>
  <c r="U34" i="117"/>
  <c r="Y40" i="120" s="1"/>
  <c r="Q34" i="117"/>
  <c r="U40" i="120" s="1"/>
  <c r="M34" i="117"/>
  <c r="Q40" i="120" s="1"/>
  <c r="I34" i="117"/>
  <c r="M40" i="120" s="1"/>
  <c r="AN34" i="117"/>
  <c r="AR40" i="120" s="1"/>
  <c r="AJ34" i="117"/>
  <c r="AN40" i="120" s="1"/>
  <c r="AF34" i="117"/>
  <c r="AJ40" i="120" s="1"/>
  <c r="AB34" i="117"/>
  <c r="AF40" i="120" s="1"/>
  <c r="X34" i="117"/>
  <c r="AB40" i="120" s="1"/>
  <c r="T34" i="117"/>
  <c r="X40" i="120" s="1"/>
  <c r="P34" i="117"/>
  <c r="T40" i="120" s="1"/>
  <c r="L34" i="117"/>
  <c r="P40" i="120" s="1"/>
  <c r="H34" i="117"/>
  <c r="L40" i="120" s="1"/>
  <c r="AH34" i="117"/>
  <c r="AL40" i="120" s="1"/>
  <c r="Z34" i="117"/>
  <c r="AD40" i="120" s="1"/>
  <c r="R34" i="117"/>
  <c r="V40" i="120" s="1"/>
  <c r="J34" i="117"/>
  <c r="N40" i="120" s="1"/>
  <c r="AL34" i="117"/>
  <c r="AP40" i="120" s="1"/>
  <c r="AD34" i="117"/>
  <c r="AH40" i="120" s="1"/>
  <c r="V34" i="117"/>
  <c r="Z40" i="120" s="1"/>
  <c r="N34" i="117"/>
  <c r="R40" i="120" s="1"/>
  <c r="F34" i="117"/>
  <c r="J40" i="120" s="1"/>
  <c r="AI34" i="117"/>
  <c r="AM40" i="120" s="1"/>
  <c r="S34" i="117"/>
  <c r="W40" i="120" s="1"/>
  <c r="AA34" i="117"/>
  <c r="AE40" i="120" s="1"/>
  <c r="K34" i="117"/>
  <c r="O40" i="120" s="1"/>
  <c r="O34" i="117"/>
  <c r="S40" i="120" s="1"/>
  <c r="AE34" i="117"/>
  <c r="AI40" i="120" s="1"/>
  <c r="W34" i="117"/>
  <c r="AA40" i="120" s="1"/>
  <c r="AM34" i="117"/>
  <c r="AQ40" i="120" s="1"/>
  <c r="G34" i="117"/>
  <c r="K40" i="120" s="1"/>
  <c r="AO31" i="117"/>
  <c r="AK31" i="117"/>
  <c r="AG31" i="117"/>
  <c r="AC31" i="117"/>
  <c r="Y31" i="117"/>
  <c r="U31" i="117"/>
  <c r="Q31" i="117"/>
  <c r="M31" i="117"/>
  <c r="I31" i="117"/>
  <c r="AJ31" i="117"/>
  <c r="AE31" i="117"/>
  <c r="Z31" i="117"/>
  <c r="T31" i="117"/>
  <c r="O31" i="117"/>
  <c r="J31" i="117"/>
  <c r="AN31" i="117"/>
  <c r="AH31" i="117"/>
  <c r="AA31" i="117"/>
  <c r="S31" i="117"/>
  <c r="L31" i="117"/>
  <c r="AL31" i="117"/>
  <c r="AD31" i="117"/>
  <c r="W31" i="117"/>
  <c r="P31" i="117"/>
  <c r="H31" i="117"/>
  <c r="AI31" i="117"/>
  <c r="AB31" i="117"/>
  <c r="V31" i="117"/>
  <c r="N31" i="117"/>
  <c r="G31" i="117"/>
  <c r="AM31" i="117"/>
  <c r="AF31" i="117"/>
  <c r="X31" i="117"/>
  <c r="R31" i="117"/>
  <c r="K31" i="117"/>
  <c r="AO30" i="117"/>
  <c r="AK30" i="117"/>
  <c r="AG30" i="117"/>
  <c r="AC30" i="117"/>
  <c r="Y30" i="117"/>
  <c r="U30" i="117"/>
  <c r="Q30" i="117"/>
  <c r="M30" i="117"/>
  <c r="I30" i="117"/>
  <c r="AN30" i="117"/>
  <c r="AI30" i="117"/>
  <c r="AD30" i="117"/>
  <c r="X30" i="117"/>
  <c r="S30" i="117"/>
  <c r="N30" i="117"/>
  <c r="H30" i="117"/>
  <c r="AH30" i="117"/>
  <c r="AA30" i="117"/>
  <c r="T30" i="117"/>
  <c r="L30" i="117"/>
  <c r="F30" i="117"/>
  <c r="AL30" i="117"/>
  <c r="AE30" i="117"/>
  <c r="W30" i="117"/>
  <c r="P30" i="117"/>
  <c r="J30" i="117"/>
  <c r="AJ30" i="117"/>
  <c r="AB30" i="117"/>
  <c r="V30" i="117"/>
  <c r="O30" i="117"/>
  <c r="G30" i="117"/>
  <c r="AM30" i="117"/>
  <c r="AF30" i="117"/>
  <c r="Z30" i="117"/>
  <c r="R30" i="117"/>
  <c r="K30" i="117"/>
  <c r="J13" i="117"/>
  <c r="AB21" i="117"/>
  <c r="T15" i="117"/>
  <c r="AG18" i="117"/>
  <c r="I18" i="117"/>
  <c r="AF15" i="117"/>
  <c r="V13" i="117"/>
  <c r="Y18" i="117"/>
  <c r="Q18" i="117"/>
  <c r="H15" i="117"/>
  <c r="K13" i="117"/>
  <c r="U17" i="117"/>
  <c r="U21" i="117"/>
  <c r="Z17" i="117"/>
  <c r="AA13" i="117"/>
  <c r="AI15" i="117"/>
  <c r="AC21" i="117"/>
  <c r="AJ21" i="117"/>
  <c r="AA17" i="117"/>
  <c r="Y17" i="117"/>
  <c r="M21" i="117"/>
  <c r="T21" i="117"/>
  <c r="F17" i="117"/>
  <c r="AL17" i="117"/>
  <c r="AN17" i="117"/>
  <c r="AK21" i="117"/>
  <c r="J17" i="117"/>
  <c r="AE15" i="117"/>
  <c r="AH13" i="117"/>
  <c r="S17" i="117"/>
  <c r="O16" i="117"/>
  <c r="AM17" i="117"/>
  <c r="AI16" i="117"/>
  <c r="U14" i="117"/>
  <c r="U16" i="117"/>
  <c r="O15" i="117"/>
  <c r="AN15" i="117"/>
  <c r="N15" i="117"/>
  <c r="Q13" i="117"/>
  <c r="AC16" i="117"/>
  <c r="AK14" i="117"/>
  <c r="M14" i="117"/>
  <c r="P16" i="117"/>
  <c r="S16" i="117"/>
  <c r="AD16" i="117"/>
  <c r="AC14" i="117"/>
  <c r="I14" i="117"/>
  <c r="AK16" i="117"/>
  <c r="J16" i="117"/>
  <c r="AA16" i="117"/>
  <c r="Y16" i="117"/>
  <c r="Y14" i="117"/>
  <c r="AF16" i="117"/>
  <c r="K16" i="117"/>
  <c r="AE16" i="117"/>
  <c r="I16" i="117"/>
  <c r="Y13" i="117"/>
  <c r="AN13" i="117"/>
  <c r="AG13" i="117"/>
  <c r="AK18" i="117"/>
  <c r="U18" i="117"/>
  <c r="AK15" i="117"/>
  <c r="J15" i="117"/>
  <c r="X15" i="117"/>
  <c r="AF13" i="117"/>
  <c r="Z13" i="117"/>
  <c r="S15" i="117"/>
  <c r="I13" i="117"/>
  <c r="S13" i="117"/>
  <c r="AC18" i="117"/>
  <c r="Z15" i="117"/>
  <c r="P15" i="117"/>
  <c r="AJ15" i="117"/>
  <c r="U13" i="117"/>
  <c r="R13" i="117"/>
  <c r="AL13" i="117"/>
  <c r="AE13" i="117"/>
  <c r="AK17" i="117"/>
  <c r="P17" i="117"/>
  <c r="N17" i="117"/>
  <c r="AD17" i="117"/>
  <c r="T17" i="117"/>
  <c r="AI17" i="117"/>
  <c r="M17" i="117"/>
  <c r="W15" i="117"/>
  <c r="AF17" i="117"/>
  <c r="K17" i="117"/>
  <c r="R17" i="117"/>
  <c r="AH17" i="117"/>
  <c r="AJ17" i="117"/>
  <c r="O17" i="117"/>
  <c r="AC17" i="117"/>
  <c r="H17" i="117"/>
  <c r="AO17" i="117"/>
  <c r="AE17" i="117"/>
  <c r="I17" i="117"/>
  <c r="X17" i="117"/>
  <c r="L17" i="117"/>
  <c r="AG14" i="117"/>
  <c r="Z16" i="117"/>
  <c r="G16" i="117"/>
  <c r="W16" i="117"/>
  <c r="AM16" i="117"/>
  <c r="U15" i="117"/>
  <c r="L15" i="117"/>
  <c r="AB15" i="117"/>
  <c r="AK13" i="117"/>
  <c r="P13" i="117"/>
  <c r="N13" i="117"/>
  <c r="AD13" i="117"/>
  <c r="T16" i="117"/>
  <c r="AD15" i="117"/>
  <c r="I15" i="117"/>
  <c r="T13" i="117"/>
  <c r="X16" i="117"/>
  <c r="AM15" i="117"/>
  <c r="R15" i="117"/>
  <c r="AI13" i="117"/>
  <c r="M13" i="117"/>
  <c r="AJ16" i="117"/>
  <c r="N16" i="117"/>
  <c r="Y15" i="117"/>
  <c r="AJ13" i="117"/>
  <c r="O13" i="117"/>
  <c r="AN16" i="117"/>
  <c r="R16" i="117"/>
  <c r="AH15" i="117"/>
  <c r="M15" i="117"/>
  <c r="AC13" i="117"/>
  <c r="H13" i="117"/>
  <c r="AH16" i="117"/>
  <c r="AC15" i="117"/>
  <c r="X13" i="117"/>
  <c r="AI21" i="117"/>
  <c r="AA21" i="117"/>
  <c r="S21" i="117"/>
  <c r="K21" i="117"/>
  <c r="AO21" i="117"/>
  <c r="AH21" i="117"/>
  <c r="Z21" i="117"/>
  <c r="R21" i="117"/>
  <c r="J21" i="117"/>
  <c r="AM21" i="117"/>
  <c r="AE21" i="117"/>
  <c r="W21" i="117"/>
  <c r="O21" i="117"/>
  <c r="G21" i="117"/>
  <c r="AL21" i="117"/>
  <c r="AD21" i="117"/>
  <c r="V21" i="117"/>
  <c r="AG21" i="117"/>
  <c r="Q21" i="117"/>
  <c r="AN21" i="117"/>
  <c r="X21" i="117"/>
  <c r="H21" i="117"/>
  <c r="AG15" i="117"/>
  <c r="K15" i="117"/>
  <c r="AA15" i="117"/>
  <c r="V15" i="117"/>
  <c r="AO15" i="117"/>
  <c r="AL15" i="117"/>
  <c r="Q15" i="117"/>
  <c r="AJ18" i="117"/>
  <c r="AE18" i="117"/>
  <c r="Z18" i="117"/>
  <c r="T18" i="117"/>
  <c r="O18" i="117"/>
  <c r="J18" i="117"/>
  <c r="AO18" i="117"/>
  <c r="AN18" i="117"/>
  <c r="AI18" i="117"/>
  <c r="AD18" i="117"/>
  <c r="X18" i="117"/>
  <c r="N18" i="117"/>
  <c r="H18" i="117"/>
  <c r="AM18" i="117"/>
  <c r="AH18" i="117"/>
  <c r="AB18" i="117"/>
  <c r="W18" i="117"/>
  <c r="R18" i="117"/>
  <c r="L18" i="117"/>
  <c r="G18" i="117"/>
  <c r="V18" i="117"/>
  <c r="AL18" i="117"/>
  <c r="AF18" i="117"/>
  <c r="K18" i="117"/>
  <c r="AA18" i="117"/>
  <c r="P18" i="117"/>
  <c r="AM14" i="117"/>
  <c r="AH14" i="117"/>
  <c r="AB14" i="117"/>
  <c r="W14" i="117"/>
  <c r="R14" i="117"/>
  <c r="L14" i="117"/>
  <c r="G14" i="117"/>
  <c r="K14" i="117"/>
  <c r="AL14" i="117"/>
  <c r="AF14" i="117"/>
  <c r="AA14" i="117"/>
  <c r="V14" i="117"/>
  <c r="P14" i="117"/>
  <c r="F14" i="117"/>
  <c r="AJ14" i="117"/>
  <c r="AE14" i="117"/>
  <c r="Z14" i="117"/>
  <c r="T14" i="117"/>
  <c r="O14" i="117"/>
  <c r="J14" i="117"/>
  <c r="AO14" i="117"/>
  <c r="AN14" i="117"/>
  <c r="S14" i="117"/>
  <c r="AI14" i="117"/>
  <c r="N14" i="117"/>
  <c r="AD14" i="117"/>
  <c r="H14" i="117"/>
  <c r="X14" i="117"/>
  <c r="W17" i="117"/>
  <c r="AB17" i="117"/>
  <c r="Y21" i="117"/>
  <c r="I21" i="117"/>
  <c r="AF21" i="117"/>
  <c r="P21" i="117"/>
  <c r="AG17" i="117"/>
  <c r="AG16" i="117"/>
  <c r="L16" i="117"/>
  <c r="F16" i="117"/>
  <c r="AB16" i="117"/>
  <c r="V16" i="117"/>
  <c r="AO16" i="117"/>
  <c r="AL16" i="117"/>
  <c r="Q16" i="117"/>
  <c r="W13" i="117"/>
  <c r="AB13" i="117"/>
  <c r="D56" i="82"/>
  <c r="CQ42" i="113"/>
  <c r="CP42" i="113"/>
  <c r="CO42" i="113"/>
  <c r="CN42" i="113"/>
  <c r="CM42" i="113"/>
  <c r="CL42" i="113"/>
  <c r="CK42" i="113"/>
  <c r="CJ42" i="113"/>
  <c r="CI42" i="113"/>
  <c r="CH42" i="113"/>
  <c r="CG42" i="113"/>
  <c r="AC42" i="113"/>
  <c r="AB42" i="113"/>
  <c r="AA42" i="113"/>
  <c r="Z42" i="113"/>
  <c r="Y42" i="113"/>
  <c r="X42" i="113"/>
  <c r="W42" i="113"/>
  <c r="V42" i="113"/>
  <c r="U42" i="113"/>
  <c r="T42" i="113"/>
  <c r="S42" i="113"/>
  <c r="R42" i="113"/>
  <c r="Q42" i="113"/>
  <c r="O42" i="113"/>
  <c r="N42" i="113"/>
  <c r="M42" i="113"/>
  <c r="L42" i="113"/>
  <c r="K42" i="113"/>
  <c r="J42" i="113"/>
  <c r="I42" i="113"/>
  <c r="H42" i="113"/>
  <c r="G42" i="113"/>
  <c r="F42" i="113"/>
  <c r="CD42" i="113"/>
  <c r="CC42" i="113"/>
  <c r="CB42" i="113"/>
  <c r="CA42" i="113"/>
  <c r="BZ42" i="113"/>
  <c r="BY42" i="113"/>
  <c r="BX42" i="113"/>
  <c r="BW42" i="113"/>
  <c r="BV42" i="113"/>
  <c r="BU42" i="113"/>
  <c r="BT42" i="113"/>
  <c r="BS42" i="113"/>
  <c r="BQ42" i="113"/>
  <c r="BP42" i="113"/>
  <c r="BO42" i="113"/>
  <c r="BN42" i="113"/>
  <c r="BM42" i="113"/>
  <c r="BL42" i="113"/>
  <c r="BK42" i="113"/>
  <c r="BJ42" i="113"/>
  <c r="BI42" i="113"/>
  <c r="BH42" i="113"/>
  <c r="BG42" i="113"/>
  <c r="BF42" i="113"/>
  <c r="BC42" i="113"/>
  <c r="BB42" i="113"/>
  <c r="BA42" i="113"/>
  <c r="AZ42" i="113"/>
  <c r="AY42" i="113"/>
  <c r="AX42" i="113"/>
  <c r="AW42" i="113"/>
  <c r="AV42" i="113"/>
  <c r="AU42" i="113"/>
  <c r="AT42" i="113"/>
  <c r="AS42" i="113"/>
  <c r="AR42" i="113"/>
  <c r="AP42" i="113"/>
  <c r="AO42" i="113"/>
  <c r="AN42" i="113"/>
  <c r="AM42" i="113"/>
  <c r="AL42" i="113"/>
  <c r="AK42" i="113"/>
  <c r="AJ42" i="113"/>
  <c r="AI42" i="113"/>
  <c r="AH42" i="113"/>
  <c r="AG42" i="113"/>
  <c r="AF42" i="113"/>
  <c r="AE42" i="113"/>
  <c r="O46" i="94" l="1"/>
  <c r="O71" i="94" s="1"/>
  <c r="O54" i="94"/>
  <c r="O49" i="94"/>
  <c r="O72" i="94" s="1"/>
  <c r="O52" i="94"/>
  <c r="O70" i="94" s="1"/>
  <c r="O51" i="94"/>
  <c r="O69" i="94" s="1"/>
  <c r="O47" i="94"/>
  <c r="O63" i="94" s="1"/>
  <c r="O55" i="94"/>
  <c r="O66" i="94" s="1"/>
  <c r="O50" i="94"/>
  <c r="O65" i="94" s="1"/>
  <c r="O45" i="94"/>
  <c r="O62" i="94" s="1"/>
  <c r="O53" i="94"/>
  <c r="O67" i="94" s="1"/>
  <c r="O48" i="94"/>
  <c r="O64" i="94" s="1"/>
  <c r="AD49" i="94"/>
  <c r="AD72" i="94" s="1"/>
  <c r="AD52" i="94"/>
  <c r="AD70" i="94" s="1"/>
  <c r="AD55" i="94"/>
  <c r="AD66" i="94" s="1"/>
  <c r="AD54" i="94"/>
  <c r="AD68" i="94" s="1"/>
  <c r="AD47" i="94"/>
  <c r="AD63" i="94" s="1"/>
  <c r="AD46" i="94"/>
  <c r="AD71" i="94" s="1"/>
  <c r="AD50" i="94"/>
  <c r="AD65" i="94" s="1"/>
  <c r="AD53" i="94"/>
  <c r="AD67" i="94" s="1"/>
  <c r="AD45" i="94"/>
  <c r="AD62" i="94" s="1"/>
  <c r="AD48" i="94"/>
  <c r="AD64" i="94" s="1"/>
  <c r="AD51" i="94"/>
  <c r="AD69" i="94" s="1"/>
  <c r="AG48" i="94"/>
  <c r="AG64" i="94" s="1"/>
  <c r="AG51" i="94"/>
  <c r="AG69" i="94" s="1"/>
  <c r="AG46" i="94"/>
  <c r="AG71" i="94" s="1"/>
  <c r="AG54" i="94"/>
  <c r="AG68" i="94" s="1"/>
  <c r="AG49" i="94"/>
  <c r="AG72" i="94" s="1"/>
  <c r="AG52" i="94"/>
  <c r="AG70" i="94" s="1"/>
  <c r="AG47" i="94"/>
  <c r="AG63" i="94" s="1"/>
  <c r="AG55" i="94"/>
  <c r="AG66" i="94" s="1"/>
  <c r="AG45" i="94"/>
  <c r="AG62" i="94" s="1"/>
  <c r="AG53" i="94"/>
  <c r="AG67" i="94" s="1"/>
  <c r="AG50" i="94"/>
  <c r="AG65" i="94" s="1"/>
  <c r="S50" i="94"/>
  <c r="S65" i="94" s="1"/>
  <c r="S55" i="94"/>
  <c r="S66" i="94" s="1"/>
  <c r="S45" i="94"/>
  <c r="S62" i="94" s="1"/>
  <c r="S53" i="94"/>
  <c r="S67" i="94" s="1"/>
  <c r="S48" i="94"/>
  <c r="S64" i="94" s="1"/>
  <c r="S51" i="94"/>
  <c r="S69" i="94" s="1"/>
  <c r="S54" i="94"/>
  <c r="S68" i="94" s="1"/>
  <c r="S47" i="94"/>
  <c r="S63" i="94" s="1"/>
  <c r="S46" i="94"/>
  <c r="S71" i="94" s="1"/>
  <c r="S49" i="94"/>
  <c r="S72" i="94" s="1"/>
  <c r="S52" i="94"/>
  <c r="S70" i="94" s="1"/>
  <c r="AB47" i="94"/>
  <c r="AB63" i="94" s="1"/>
  <c r="AB55" i="94"/>
  <c r="AB66" i="94" s="1"/>
  <c r="AB50" i="94"/>
  <c r="AB65" i="94" s="1"/>
  <c r="AB53" i="94"/>
  <c r="AB67" i="94" s="1"/>
  <c r="AB45" i="94"/>
  <c r="AB62" i="94" s="1"/>
  <c r="AB48" i="94"/>
  <c r="AB64" i="94" s="1"/>
  <c r="AB51" i="94"/>
  <c r="AB69" i="94" s="1"/>
  <c r="AB52" i="94"/>
  <c r="AB70" i="94" s="1"/>
  <c r="AB46" i="94"/>
  <c r="AB71" i="94" s="1"/>
  <c r="AB54" i="94"/>
  <c r="AB68" i="94" s="1"/>
  <c r="AB49" i="94"/>
  <c r="AB72" i="94" s="1"/>
  <c r="T47" i="94"/>
  <c r="T63" i="94" s="1"/>
  <c r="T55" i="94"/>
  <c r="T66" i="94" s="1"/>
  <c r="T53" i="94"/>
  <c r="T67" i="94" s="1"/>
  <c r="T50" i="94"/>
  <c r="T45" i="94"/>
  <c r="T62" i="94" s="1"/>
  <c r="T48" i="94"/>
  <c r="T64" i="94" s="1"/>
  <c r="T51" i="94"/>
  <c r="T69" i="94" s="1"/>
  <c r="T46" i="94"/>
  <c r="T71" i="94" s="1"/>
  <c r="T54" i="94"/>
  <c r="T68" i="94" s="1"/>
  <c r="T52" i="94"/>
  <c r="T70" i="94" s="1"/>
  <c r="T49" i="94"/>
  <c r="T72" i="94" s="1"/>
  <c r="AN51" i="94"/>
  <c r="AN69" i="94" s="1"/>
  <c r="AN55" i="94"/>
  <c r="AN66" i="94" s="1"/>
  <c r="AN46" i="94"/>
  <c r="AN71" i="94" s="1"/>
  <c r="AN54" i="94"/>
  <c r="AN68" i="94" s="1"/>
  <c r="AN49" i="94"/>
  <c r="AN72" i="94" s="1"/>
  <c r="AN52" i="94"/>
  <c r="AN70" i="94" s="1"/>
  <c r="AN48" i="94"/>
  <c r="AN64" i="94" s="1"/>
  <c r="AN47" i="94"/>
  <c r="AN63" i="94" s="1"/>
  <c r="AN50" i="94"/>
  <c r="AN65" i="94" s="1"/>
  <c r="AN45" i="94"/>
  <c r="AN62" i="94" s="1"/>
  <c r="AN53" i="94"/>
  <c r="AN67" i="94" s="1"/>
  <c r="W46" i="94"/>
  <c r="W71" i="94" s="1"/>
  <c r="W54" i="94"/>
  <c r="W68" i="94" s="1"/>
  <c r="W49" i="94"/>
  <c r="W72" i="94" s="1"/>
  <c r="W52" i="94"/>
  <c r="W70" i="94" s="1"/>
  <c r="W51" i="94"/>
  <c r="W69" i="94" s="1"/>
  <c r="W47" i="94"/>
  <c r="W55" i="94"/>
  <c r="W66" i="94" s="1"/>
  <c r="W50" i="94"/>
  <c r="W65" i="94" s="1"/>
  <c r="W45" i="94"/>
  <c r="W62" i="94" s="1"/>
  <c r="W53" i="94"/>
  <c r="W67" i="94" s="1"/>
  <c r="W48" i="94"/>
  <c r="W64" i="94" s="1"/>
  <c r="AL49" i="94"/>
  <c r="AL72" i="94" s="1"/>
  <c r="AL55" i="94"/>
  <c r="AL66" i="94" s="1"/>
  <c r="AL46" i="94"/>
  <c r="AL71" i="94" s="1"/>
  <c r="AL52" i="94"/>
  <c r="AL70" i="94" s="1"/>
  <c r="AL47" i="94"/>
  <c r="AL63" i="94" s="1"/>
  <c r="AL50" i="94"/>
  <c r="AL65" i="94" s="1"/>
  <c r="AL53" i="94"/>
  <c r="AL67" i="94" s="1"/>
  <c r="AL45" i="94"/>
  <c r="AL62" i="94" s="1"/>
  <c r="AL48" i="94"/>
  <c r="AL64" i="94" s="1"/>
  <c r="AL54" i="94"/>
  <c r="AL68" i="94" s="1"/>
  <c r="AL51" i="94"/>
  <c r="AL69" i="94" s="1"/>
  <c r="AR47" i="94"/>
  <c r="AR63" i="94" s="1"/>
  <c r="AR55" i="94"/>
  <c r="AR66" i="94" s="1"/>
  <c r="AR53" i="94"/>
  <c r="AR67" i="94" s="1"/>
  <c r="AR50" i="94"/>
  <c r="AR65" i="94" s="1"/>
  <c r="AR52" i="94"/>
  <c r="AR70" i="94" s="1"/>
  <c r="AR45" i="94"/>
  <c r="AR62" i="94" s="1"/>
  <c r="AR48" i="94"/>
  <c r="AR64" i="94" s="1"/>
  <c r="AR51" i="94"/>
  <c r="AR69" i="94" s="1"/>
  <c r="AR46" i="94"/>
  <c r="AR71" i="94" s="1"/>
  <c r="AR54" i="94"/>
  <c r="AR68" i="94" s="1"/>
  <c r="AR49" i="94"/>
  <c r="AR72" i="94" s="1"/>
  <c r="AS52" i="94"/>
  <c r="AS70" i="94" s="1"/>
  <c r="AS47" i="94"/>
  <c r="AS63" i="94" s="1"/>
  <c r="AS55" i="94"/>
  <c r="AS66" i="94" s="1"/>
  <c r="AS50" i="94"/>
  <c r="AS65" i="94" s="1"/>
  <c r="AS45" i="94"/>
  <c r="AS62" i="94" s="1"/>
  <c r="AS53" i="94"/>
  <c r="AS67" i="94" s="1"/>
  <c r="AS48" i="94"/>
  <c r="AS64" i="94" s="1"/>
  <c r="AS51" i="94"/>
  <c r="AS69" i="94" s="1"/>
  <c r="AS46" i="94"/>
  <c r="AS71" i="94" s="1"/>
  <c r="AS54" i="94"/>
  <c r="AS68" i="94" s="1"/>
  <c r="AS49" i="94"/>
  <c r="AS72" i="94" s="1"/>
  <c r="AO48" i="94"/>
  <c r="AO51" i="94"/>
  <c r="AO69" i="94" s="1"/>
  <c r="AO54" i="94"/>
  <c r="AO68" i="94" s="1"/>
  <c r="AO46" i="94"/>
  <c r="AO71" i="94" s="1"/>
  <c r="AO49" i="94"/>
  <c r="AO72" i="94" s="1"/>
  <c r="AO53" i="94"/>
  <c r="AO67" i="94" s="1"/>
  <c r="AO52" i="94"/>
  <c r="AO70" i="94" s="1"/>
  <c r="AO47" i="94"/>
  <c r="AO63" i="94" s="1"/>
  <c r="AO55" i="94"/>
  <c r="AO66" i="94" s="1"/>
  <c r="AO50" i="94"/>
  <c r="AO65" i="94" s="1"/>
  <c r="AO45" i="94"/>
  <c r="AO62" i="94" s="1"/>
  <c r="X51" i="94"/>
  <c r="X69" i="94" s="1"/>
  <c r="X46" i="94"/>
  <c r="X71" i="94" s="1"/>
  <c r="X54" i="94"/>
  <c r="X68" i="94" s="1"/>
  <c r="X49" i="94"/>
  <c r="X72" i="94" s="1"/>
  <c r="X52" i="94"/>
  <c r="X70" i="94" s="1"/>
  <c r="X47" i="94"/>
  <c r="X63" i="94" s="1"/>
  <c r="X55" i="94"/>
  <c r="X66" i="94" s="1"/>
  <c r="X50" i="94"/>
  <c r="X65" i="94" s="1"/>
  <c r="X45" i="94"/>
  <c r="X62" i="94" s="1"/>
  <c r="X53" i="94"/>
  <c r="X67" i="94" s="1"/>
  <c r="X48" i="94"/>
  <c r="X64" i="94" s="1"/>
  <c r="U52" i="94"/>
  <c r="U70" i="94" s="1"/>
  <c r="U47" i="94"/>
  <c r="U63" i="94" s="1"/>
  <c r="U55" i="94"/>
  <c r="U66" i="94" s="1"/>
  <c r="U50" i="94"/>
  <c r="U45" i="94"/>
  <c r="U62" i="94" s="1"/>
  <c r="U53" i="94"/>
  <c r="U67" i="94" s="1"/>
  <c r="U48" i="94"/>
  <c r="U64" i="94" s="1"/>
  <c r="U49" i="94"/>
  <c r="U72" i="94" s="1"/>
  <c r="U51" i="94"/>
  <c r="U69" i="94" s="1"/>
  <c r="U46" i="94"/>
  <c r="U71" i="94" s="1"/>
  <c r="U54" i="94"/>
  <c r="U68" i="94" s="1"/>
  <c r="K51" i="94"/>
  <c r="K69" i="94" s="1"/>
  <c r="K52" i="94"/>
  <c r="K70" i="94" s="1"/>
  <c r="K53" i="94"/>
  <c r="K67" i="94" s="1"/>
  <c r="K50" i="94"/>
  <c r="K65" i="94" s="1"/>
  <c r="K46" i="94"/>
  <c r="K71" i="94" s="1"/>
  <c r="K54" i="94"/>
  <c r="K68" i="94" s="1"/>
  <c r="K55" i="94"/>
  <c r="K66" i="94" s="1"/>
  <c r="K47" i="94"/>
  <c r="K63" i="94" s="1"/>
  <c r="K48" i="94"/>
  <c r="K64" i="94" s="1"/>
  <c r="K45" i="94"/>
  <c r="K62" i="94" s="1"/>
  <c r="K49" i="94"/>
  <c r="K72" i="94" s="1"/>
  <c r="Y48" i="94"/>
  <c r="Y64" i="94" s="1"/>
  <c r="Y54" i="94"/>
  <c r="Y68" i="94" s="1"/>
  <c r="Y53" i="94"/>
  <c r="Y67" i="94" s="1"/>
  <c r="Y51" i="94"/>
  <c r="Y69" i="94" s="1"/>
  <c r="Y46" i="94"/>
  <c r="Y71" i="94" s="1"/>
  <c r="Y49" i="94"/>
  <c r="Y72" i="94" s="1"/>
  <c r="Y52" i="94"/>
  <c r="Y70" i="94" s="1"/>
  <c r="Y47" i="94"/>
  <c r="Y63" i="94" s="1"/>
  <c r="Y55" i="94"/>
  <c r="Y66" i="94" s="1"/>
  <c r="Y45" i="94"/>
  <c r="Y62" i="94" s="1"/>
  <c r="Y50" i="94"/>
  <c r="Y65" i="94" s="1"/>
  <c r="M52" i="94"/>
  <c r="M70" i="94" s="1"/>
  <c r="M47" i="94"/>
  <c r="M63" i="94" s="1"/>
  <c r="M55" i="94"/>
  <c r="M66" i="94" s="1"/>
  <c r="M50" i="94"/>
  <c r="M65" i="94" s="1"/>
  <c r="M45" i="94"/>
  <c r="M62" i="94" s="1"/>
  <c r="M53" i="94"/>
  <c r="M67" i="94" s="1"/>
  <c r="M48" i="94"/>
  <c r="M64" i="94" s="1"/>
  <c r="M51" i="94"/>
  <c r="M69" i="94" s="1"/>
  <c r="M46" i="94"/>
  <c r="M71" i="94" s="1"/>
  <c r="M54" i="94"/>
  <c r="M68" i="94" s="1"/>
  <c r="M49" i="94"/>
  <c r="M72" i="94" s="1"/>
  <c r="N49" i="94"/>
  <c r="N72" i="94" s="1"/>
  <c r="N55" i="94"/>
  <c r="N66" i="94" s="1"/>
  <c r="N52" i="94"/>
  <c r="N70" i="94" s="1"/>
  <c r="N47" i="94"/>
  <c r="N63" i="94" s="1"/>
  <c r="N54" i="94"/>
  <c r="N68" i="94" s="1"/>
  <c r="N50" i="94"/>
  <c r="N65" i="94" s="1"/>
  <c r="N53" i="94"/>
  <c r="N67" i="94" s="1"/>
  <c r="N45" i="94"/>
  <c r="N62" i="94" s="1"/>
  <c r="N48" i="94"/>
  <c r="N64" i="94" s="1"/>
  <c r="N46" i="94"/>
  <c r="N71" i="94" s="1"/>
  <c r="N51" i="94"/>
  <c r="N69" i="94" s="1"/>
  <c r="R45" i="94"/>
  <c r="R62" i="94" s="1"/>
  <c r="R53" i="94"/>
  <c r="R67" i="94" s="1"/>
  <c r="R51" i="94"/>
  <c r="R69" i="94" s="1"/>
  <c r="R50" i="94"/>
  <c r="R65" i="94" s="1"/>
  <c r="R48" i="94"/>
  <c r="R64" i="94" s="1"/>
  <c r="R46" i="94"/>
  <c r="R71" i="94" s="1"/>
  <c r="R54" i="94"/>
  <c r="R68" i="94" s="1"/>
  <c r="R49" i="94"/>
  <c r="R72" i="94" s="1"/>
  <c r="R52" i="94"/>
  <c r="R70" i="94" s="1"/>
  <c r="R47" i="94"/>
  <c r="R63" i="94" s="1"/>
  <c r="R55" i="94"/>
  <c r="R66" i="94" s="1"/>
  <c r="L47" i="94"/>
  <c r="L63" i="94" s="1"/>
  <c r="L55" i="94"/>
  <c r="L66" i="94" s="1"/>
  <c r="L52" i="94"/>
  <c r="L70" i="94" s="1"/>
  <c r="L50" i="94"/>
  <c r="L65" i="94" s="1"/>
  <c r="L53" i="94"/>
  <c r="L67" i="94" s="1"/>
  <c r="L45" i="94"/>
  <c r="L62" i="94" s="1"/>
  <c r="L48" i="94"/>
  <c r="L64" i="94" s="1"/>
  <c r="L51" i="94"/>
  <c r="L69" i="94" s="1"/>
  <c r="L46" i="94"/>
  <c r="L71" i="94" s="1"/>
  <c r="L54" i="94"/>
  <c r="L68" i="94" s="1"/>
  <c r="L49" i="94"/>
  <c r="L72" i="94" s="1"/>
  <c r="P51" i="94"/>
  <c r="P69" i="94" s="1"/>
  <c r="P46" i="94"/>
  <c r="P71" i="94" s="1"/>
  <c r="P54" i="94"/>
  <c r="P68" i="94" s="1"/>
  <c r="P49" i="94"/>
  <c r="P72" i="94" s="1"/>
  <c r="P52" i="94"/>
  <c r="P70" i="94" s="1"/>
  <c r="P55" i="94"/>
  <c r="P66" i="94" s="1"/>
  <c r="P47" i="94"/>
  <c r="P63" i="94" s="1"/>
  <c r="P50" i="94"/>
  <c r="P65" i="94" s="1"/>
  <c r="P48" i="94"/>
  <c r="P64" i="94" s="1"/>
  <c r="P45" i="94"/>
  <c r="P62" i="94" s="1"/>
  <c r="P53" i="94"/>
  <c r="P67" i="94" s="1"/>
  <c r="AP45" i="94"/>
  <c r="AP62" i="94" s="1"/>
  <c r="AP53" i="94"/>
  <c r="AP67" i="94" s="1"/>
  <c r="AP51" i="94"/>
  <c r="AP69" i="94" s="1"/>
  <c r="AP48" i="94"/>
  <c r="AP64" i="94" s="1"/>
  <c r="AP46" i="94"/>
  <c r="AP71" i="94" s="1"/>
  <c r="AP54" i="94"/>
  <c r="AP68" i="94" s="1"/>
  <c r="AP49" i="94"/>
  <c r="AP72" i="94" s="1"/>
  <c r="AP50" i="94"/>
  <c r="AP65" i="94" s="1"/>
  <c r="AP52" i="94"/>
  <c r="AP70" i="94" s="1"/>
  <c r="AP47" i="94"/>
  <c r="AP63" i="94" s="1"/>
  <c r="AP55" i="94"/>
  <c r="AP66" i="94" s="1"/>
  <c r="Z45" i="94"/>
  <c r="Z62" i="94" s="1"/>
  <c r="Z53" i="94"/>
  <c r="Z67" i="94" s="1"/>
  <c r="Z48" i="94"/>
  <c r="Z64" i="94" s="1"/>
  <c r="Z51" i="94"/>
  <c r="Z69" i="94" s="1"/>
  <c r="Z46" i="94"/>
  <c r="Z71" i="94" s="1"/>
  <c r="Z54" i="94"/>
  <c r="Z68" i="94" s="1"/>
  <c r="Z50" i="94"/>
  <c r="Z65" i="94" s="1"/>
  <c r="Z49" i="94"/>
  <c r="Z72" i="94" s="1"/>
  <c r="Z52" i="94"/>
  <c r="Z70" i="94" s="1"/>
  <c r="Z47" i="94"/>
  <c r="Z63" i="94" s="1"/>
  <c r="Z55" i="94"/>
  <c r="Z66" i="94" s="1"/>
  <c r="AJ47" i="94"/>
  <c r="AJ63" i="94" s="1"/>
  <c r="AJ55" i="94"/>
  <c r="AJ66" i="94" s="1"/>
  <c r="AJ50" i="94"/>
  <c r="AJ65" i="94" s="1"/>
  <c r="AJ45" i="94"/>
  <c r="AJ62" i="94" s="1"/>
  <c r="AJ53" i="94"/>
  <c r="AJ67" i="94" s="1"/>
  <c r="AJ52" i="94"/>
  <c r="AJ70" i="94" s="1"/>
  <c r="AJ48" i="94"/>
  <c r="AJ64" i="94" s="1"/>
  <c r="AJ51" i="94"/>
  <c r="AJ69" i="94" s="1"/>
  <c r="AJ46" i="94"/>
  <c r="AJ71" i="94" s="1"/>
  <c r="AJ54" i="94"/>
  <c r="AJ68" i="94" s="1"/>
  <c r="AJ49" i="94"/>
  <c r="AJ72" i="94" s="1"/>
  <c r="AF51" i="94"/>
  <c r="AF69" i="94" s="1"/>
  <c r="AF48" i="94"/>
  <c r="AF64" i="94" s="1"/>
  <c r="AF46" i="94"/>
  <c r="AF71" i="94" s="1"/>
  <c r="AF54" i="94"/>
  <c r="AF68" i="94" s="1"/>
  <c r="AF49" i="94"/>
  <c r="AF72" i="94" s="1"/>
  <c r="AF52" i="94"/>
  <c r="AF70" i="94" s="1"/>
  <c r="AF55" i="94"/>
  <c r="AF66" i="94" s="1"/>
  <c r="AF47" i="94"/>
  <c r="AF63" i="94" s="1"/>
  <c r="AF50" i="94"/>
  <c r="AF65" i="94" s="1"/>
  <c r="AF45" i="94"/>
  <c r="AF62" i="94" s="1"/>
  <c r="AF53" i="94"/>
  <c r="AF67" i="94" s="1"/>
  <c r="AM46" i="94"/>
  <c r="AM71" i="94" s="1"/>
  <c r="AM54" i="94"/>
  <c r="AM68" i="94" s="1"/>
  <c r="AM49" i="94"/>
  <c r="AM72" i="94" s="1"/>
  <c r="AM52" i="94"/>
  <c r="AM70" i="94" s="1"/>
  <c r="AM47" i="94"/>
  <c r="AM63" i="94" s="1"/>
  <c r="AM55" i="94"/>
  <c r="AM66" i="94" s="1"/>
  <c r="AM50" i="94"/>
  <c r="AM65" i="94" s="1"/>
  <c r="AM51" i="94"/>
  <c r="AM69" i="94" s="1"/>
  <c r="AM45" i="94"/>
  <c r="AM62" i="94" s="1"/>
  <c r="AM53" i="94"/>
  <c r="AM67" i="94" s="1"/>
  <c r="AM48" i="94"/>
  <c r="AM64" i="94" s="1"/>
  <c r="AI50" i="94"/>
  <c r="AI65" i="94" s="1"/>
  <c r="AI45" i="94"/>
  <c r="AI62" i="94" s="1"/>
  <c r="AI53" i="94"/>
  <c r="AI67" i="94" s="1"/>
  <c r="AI48" i="94"/>
  <c r="AI64" i="94" s="1"/>
  <c r="AI51" i="94"/>
  <c r="AI69" i="94" s="1"/>
  <c r="AI54" i="94"/>
  <c r="AI68" i="94" s="1"/>
  <c r="AI46" i="94"/>
  <c r="AI71" i="94" s="1"/>
  <c r="AI55" i="94"/>
  <c r="AI66" i="94" s="1"/>
  <c r="AI49" i="94"/>
  <c r="AI72" i="94" s="1"/>
  <c r="AI47" i="94"/>
  <c r="AI63" i="94" s="1"/>
  <c r="AI52" i="94"/>
  <c r="AI70" i="94" s="1"/>
  <c r="AH45" i="94"/>
  <c r="AH62" i="94" s="1"/>
  <c r="AH53" i="94"/>
  <c r="AH67" i="94" s="1"/>
  <c r="AH48" i="94"/>
  <c r="AH64" i="94" s="1"/>
  <c r="AH51" i="94"/>
  <c r="AH69" i="94" s="1"/>
  <c r="AH46" i="94"/>
  <c r="AH71" i="94" s="1"/>
  <c r="AH54" i="94"/>
  <c r="AH68" i="94" s="1"/>
  <c r="AH49" i="94"/>
  <c r="AH72" i="94" s="1"/>
  <c r="AH52" i="94"/>
  <c r="AH70" i="94" s="1"/>
  <c r="AH50" i="94"/>
  <c r="AH65" i="94" s="1"/>
  <c r="AH47" i="94"/>
  <c r="AH63" i="94" s="1"/>
  <c r="AH55" i="94"/>
  <c r="AH66" i="94" s="1"/>
  <c r="Q48" i="94"/>
  <c r="Q64" i="94" s="1"/>
  <c r="Q51" i="94"/>
  <c r="Q69" i="94" s="1"/>
  <c r="Q54" i="94"/>
  <c r="Q68" i="94" s="1"/>
  <c r="Q46" i="94"/>
  <c r="Q71" i="94" s="1"/>
  <c r="Q49" i="94"/>
  <c r="Q72" i="94" s="1"/>
  <c r="Q52" i="94"/>
  <c r="Q70" i="94" s="1"/>
  <c r="Q47" i="94"/>
  <c r="Q63" i="94" s="1"/>
  <c r="Q55" i="94"/>
  <c r="Q66" i="94" s="1"/>
  <c r="Q50" i="94"/>
  <c r="Q65" i="94" s="1"/>
  <c r="Q45" i="94"/>
  <c r="Q62" i="94" s="1"/>
  <c r="Q53" i="94"/>
  <c r="Q67" i="94" s="1"/>
  <c r="AE46" i="94"/>
  <c r="AE71" i="94" s="1"/>
  <c r="AE54" i="94"/>
  <c r="AE68" i="94" s="1"/>
  <c r="AE52" i="94"/>
  <c r="AE70" i="94" s="1"/>
  <c r="AE49" i="94"/>
  <c r="AE72" i="94" s="1"/>
  <c r="AE47" i="94"/>
  <c r="AE63" i="94" s="1"/>
  <c r="AE55" i="94"/>
  <c r="AE66" i="94" s="1"/>
  <c r="AE50" i="94"/>
  <c r="AE65" i="94" s="1"/>
  <c r="AE45" i="94"/>
  <c r="AE62" i="94" s="1"/>
  <c r="AE53" i="94"/>
  <c r="AE67" i="94" s="1"/>
  <c r="AE48" i="94"/>
  <c r="AE64" i="94" s="1"/>
  <c r="AE51" i="94"/>
  <c r="AE69" i="94" s="1"/>
  <c r="AC52" i="94"/>
  <c r="AC70" i="94" s="1"/>
  <c r="AC47" i="94"/>
  <c r="AC63" i="94" s="1"/>
  <c r="AC55" i="94"/>
  <c r="AC66" i="94" s="1"/>
  <c r="AC50" i="94"/>
  <c r="AC65" i="94" s="1"/>
  <c r="AC45" i="94"/>
  <c r="AC62" i="94" s="1"/>
  <c r="AC53" i="94"/>
  <c r="AC67" i="94" s="1"/>
  <c r="AC48" i="94"/>
  <c r="AC64" i="94" s="1"/>
  <c r="AC51" i="94"/>
  <c r="AC69" i="94" s="1"/>
  <c r="AC49" i="94"/>
  <c r="AC72" i="94" s="1"/>
  <c r="AC46" i="94"/>
  <c r="AC71" i="94" s="1"/>
  <c r="AC54" i="94"/>
  <c r="AC68" i="94" s="1"/>
  <c r="V49" i="94"/>
  <c r="V72" i="94" s="1"/>
  <c r="V52" i="94"/>
  <c r="V70" i="94" s="1"/>
  <c r="V46" i="94"/>
  <c r="V71" i="94" s="1"/>
  <c r="V47" i="94"/>
  <c r="V63" i="94" s="1"/>
  <c r="V55" i="94"/>
  <c r="V66" i="94" s="1"/>
  <c r="V50" i="94"/>
  <c r="V65" i="94" s="1"/>
  <c r="V45" i="94"/>
  <c r="V62" i="94" s="1"/>
  <c r="V53" i="94"/>
  <c r="V67" i="94" s="1"/>
  <c r="V54" i="94"/>
  <c r="V68" i="94" s="1"/>
  <c r="V48" i="94"/>
  <c r="V64" i="94" s="1"/>
  <c r="V51" i="94"/>
  <c r="V69" i="94" s="1"/>
  <c r="AK52" i="94"/>
  <c r="AK70" i="94" s="1"/>
  <c r="AK47" i="94"/>
  <c r="AK63" i="94" s="1"/>
  <c r="AK55" i="94"/>
  <c r="AK66" i="94" s="1"/>
  <c r="AK50" i="94"/>
  <c r="AK65" i="94" s="1"/>
  <c r="AK49" i="94"/>
  <c r="AK72" i="94" s="1"/>
  <c r="AK45" i="94"/>
  <c r="AK62" i="94" s="1"/>
  <c r="AK53" i="94"/>
  <c r="AK67" i="94" s="1"/>
  <c r="AK48" i="94"/>
  <c r="AK64" i="94" s="1"/>
  <c r="AK51" i="94"/>
  <c r="AK69" i="94" s="1"/>
  <c r="AK46" i="94"/>
  <c r="AK71" i="94" s="1"/>
  <c r="AK54" i="94"/>
  <c r="AK68" i="94" s="1"/>
  <c r="AT49" i="94"/>
  <c r="AT72" i="94" s="1"/>
  <c r="AT52" i="94"/>
  <c r="AT70" i="94" s="1"/>
  <c r="AT47" i="94"/>
  <c r="AT63" i="94" s="1"/>
  <c r="AT55" i="94"/>
  <c r="AT66" i="94" s="1"/>
  <c r="AT50" i="94"/>
  <c r="AT65" i="94" s="1"/>
  <c r="AT45" i="94"/>
  <c r="AT62" i="94" s="1"/>
  <c r="AT53" i="94"/>
  <c r="AT67" i="94" s="1"/>
  <c r="AT48" i="94"/>
  <c r="AT64" i="94" s="1"/>
  <c r="AT51" i="94"/>
  <c r="AT69" i="94" s="1"/>
  <c r="AT46" i="94"/>
  <c r="AT71" i="94" s="1"/>
  <c r="AT54" i="94"/>
  <c r="AT68" i="94" s="1"/>
  <c r="AQ50" i="94"/>
  <c r="AQ65" i="94" s="1"/>
  <c r="AQ45" i="94"/>
  <c r="AQ62" i="94" s="1"/>
  <c r="AQ53" i="94"/>
  <c r="AQ67" i="94" s="1"/>
  <c r="AQ48" i="94"/>
  <c r="AQ64" i="94" s="1"/>
  <c r="AQ51" i="94"/>
  <c r="AQ69" i="94" s="1"/>
  <c r="AQ46" i="94"/>
  <c r="AQ71" i="94" s="1"/>
  <c r="AQ54" i="94"/>
  <c r="AQ68" i="94" s="1"/>
  <c r="AQ49" i="94"/>
  <c r="AQ72" i="94" s="1"/>
  <c r="AQ55" i="94"/>
  <c r="AQ66" i="94" s="1"/>
  <c r="AQ52" i="94"/>
  <c r="AQ70" i="94" s="1"/>
  <c r="AQ47" i="94"/>
  <c r="AQ63" i="94" s="1"/>
  <c r="AA50" i="94"/>
  <c r="AA65" i="94" s="1"/>
  <c r="AA45" i="94"/>
  <c r="AA62" i="94" s="1"/>
  <c r="AA53" i="94"/>
  <c r="AA67" i="94" s="1"/>
  <c r="AA48" i="94"/>
  <c r="AA64" i="94" s="1"/>
  <c r="AA51" i="94"/>
  <c r="AA69" i="94" s="1"/>
  <c r="AA55" i="94"/>
  <c r="AA66" i="94" s="1"/>
  <c r="AA46" i="94"/>
  <c r="AA71" i="94" s="1"/>
  <c r="AA54" i="94"/>
  <c r="AA68" i="94" s="1"/>
  <c r="AA47" i="94"/>
  <c r="AA63" i="94" s="1"/>
  <c r="AA49" i="94"/>
  <c r="AA72" i="94" s="1"/>
  <c r="AA52" i="94"/>
  <c r="AA70" i="94" s="1"/>
  <c r="AJ96" i="131"/>
  <c r="AJ87" i="131"/>
  <c r="O97" i="131"/>
  <c r="O88" i="131"/>
  <c r="AL95" i="131"/>
  <c r="AL86" i="131"/>
  <c r="U97" i="131"/>
  <c r="U88" i="131"/>
  <c r="W97" i="131"/>
  <c r="W88" i="131"/>
  <c r="M95" i="131"/>
  <c r="M86" i="131"/>
  <c r="V95" i="131"/>
  <c r="V86" i="131"/>
  <c r="R95" i="131"/>
  <c r="R86" i="131"/>
  <c r="AQ95" i="131"/>
  <c r="AQ86" i="131"/>
  <c r="AP95" i="131"/>
  <c r="AP86" i="131"/>
  <c r="AC96" i="131"/>
  <c r="AC87" i="131"/>
  <c r="AI97" i="131"/>
  <c r="AI88" i="131"/>
  <c r="AK97" i="131"/>
  <c r="AK88" i="131"/>
  <c r="T97" i="131"/>
  <c r="T88" i="131"/>
  <c r="K96" i="131"/>
  <c r="K87" i="131"/>
  <c r="K9" i="120" s="1"/>
  <c r="R96" i="131"/>
  <c r="R87" i="131"/>
  <c r="X96" i="131"/>
  <c r="X87" i="131"/>
  <c r="Z97" i="131"/>
  <c r="Z88" i="131"/>
  <c r="N97" i="131"/>
  <c r="N88" i="131"/>
  <c r="AM97" i="131"/>
  <c r="AM88" i="131"/>
  <c r="AS95" i="131"/>
  <c r="AS86" i="131"/>
  <c r="AJ95" i="131"/>
  <c r="AJ86" i="131"/>
  <c r="AO95" i="131"/>
  <c r="AO86" i="131"/>
  <c r="AG96" i="131"/>
  <c r="AG87" i="131"/>
  <c r="W95" i="131"/>
  <c r="W86" i="131"/>
  <c r="X97" i="131"/>
  <c r="X88" i="131"/>
  <c r="AD95" i="131"/>
  <c r="AD86" i="131"/>
  <c r="AR97" i="131"/>
  <c r="AR88" i="131"/>
  <c r="AB95" i="131"/>
  <c r="AB86" i="131"/>
  <c r="U96" i="131"/>
  <c r="U87" i="131"/>
  <c r="AQ96" i="131"/>
  <c r="AQ87" i="131"/>
  <c r="L96" i="131"/>
  <c r="L87" i="131"/>
  <c r="AE97" i="131"/>
  <c r="AE88" i="131"/>
  <c r="AI95" i="131"/>
  <c r="AI86" i="131"/>
  <c r="AJ97" i="131"/>
  <c r="AJ88" i="131"/>
  <c r="P96" i="131"/>
  <c r="P87" i="131"/>
  <c r="AB96" i="131"/>
  <c r="AB87" i="131"/>
  <c r="AD96" i="131"/>
  <c r="AD87" i="131"/>
  <c r="AH97" i="131"/>
  <c r="AH88" i="131"/>
  <c r="V97" i="131"/>
  <c r="V88" i="131"/>
  <c r="L95" i="131"/>
  <c r="L86" i="131"/>
  <c r="Y96" i="131"/>
  <c r="Y87" i="131"/>
  <c r="Q97" i="131"/>
  <c r="Q88" i="131"/>
  <c r="Y97" i="131"/>
  <c r="Y88" i="131"/>
  <c r="M96" i="131"/>
  <c r="M87" i="131"/>
  <c r="W96" i="131"/>
  <c r="W87" i="131"/>
  <c r="AA97" i="131"/>
  <c r="AA88" i="131"/>
  <c r="AP96" i="131"/>
  <c r="AP87" i="131"/>
  <c r="AK95" i="131"/>
  <c r="AK86" i="131"/>
  <c r="Z96" i="131"/>
  <c r="Z87" i="131"/>
  <c r="AQ97" i="131"/>
  <c r="AQ88" i="131"/>
  <c r="T95" i="131"/>
  <c r="T86" i="131"/>
  <c r="M97" i="131"/>
  <c r="M88" i="131"/>
  <c r="T96" i="131"/>
  <c r="T87" i="131"/>
  <c r="V96" i="131"/>
  <c r="V87" i="131"/>
  <c r="AH96" i="131"/>
  <c r="AH87" i="131"/>
  <c r="AI96" i="131"/>
  <c r="AI87" i="131"/>
  <c r="AP97" i="131"/>
  <c r="AP88" i="131"/>
  <c r="AD97" i="131"/>
  <c r="AD88" i="131"/>
  <c r="AG95" i="131"/>
  <c r="AG86" i="131"/>
  <c r="Q95" i="131"/>
  <c r="Q86" i="131"/>
  <c r="AO96" i="131"/>
  <c r="AO87" i="131"/>
  <c r="AC95" i="131"/>
  <c r="AC86" i="131"/>
  <c r="Y95" i="131"/>
  <c r="Y86" i="131"/>
  <c r="Y8" i="120" s="1"/>
  <c r="AK96" i="131"/>
  <c r="AK87" i="131"/>
  <c r="K95" i="131"/>
  <c r="K86" i="131"/>
  <c r="Q96" i="131"/>
  <c r="Q87" i="131"/>
  <c r="AL96" i="131"/>
  <c r="AL87" i="131"/>
  <c r="AG97" i="131"/>
  <c r="AG88" i="131"/>
  <c r="N96" i="131"/>
  <c r="N87" i="131"/>
  <c r="S96" i="131"/>
  <c r="S87" i="131"/>
  <c r="O95" i="131"/>
  <c r="O86" i="131"/>
  <c r="AC97" i="131"/>
  <c r="AC88" i="131"/>
  <c r="AE96" i="131"/>
  <c r="AE87" i="131"/>
  <c r="AA96" i="131"/>
  <c r="AA87" i="131"/>
  <c r="AM96" i="131"/>
  <c r="AM87" i="131"/>
  <c r="AN96" i="131"/>
  <c r="AN87" i="131"/>
  <c r="L97" i="131"/>
  <c r="L88" i="131"/>
  <c r="K97" i="131"/>
  <c r="K88" i="131"/>
  <c r="AL97" i="131"/>
  <c r="AL88" i="131"/>
  <c r="S95" i="131"/>
  <c r="S86" i="131"/>
  <c r="AM95" i="131"/>
  <c r="AM86" i="131"/>
  <c r="N95" i="131"/>
  <c r="N86" i="131"/>
  <c r="AE95" i="131"/>
  <c r="AE86" i="131"/>
  <c r="U95" i="131"/>
  <c r="U86" i="131"/>
  <c r="AA95" i="131"/>
  <c r="AA86" i="131"/>
  <c r="AS96" i="131"/>
  <c r="AS87" i="131"/>
  <c r="AH95" i="131"/>
  <c r="AH86" i="131"/>
  <c r="AR95" i="131"/>
  <c r="AR86" i="131"/>
  <c r="AF95" i="131"/>
  <c r="AF86" i="131"/>
  <c r="O96" i="131"/>
  <c r="O87" i="131"/>
  <c r="AF96" i="131"/>
  <c r="AF87" i="131"/>
  <c r="AR96" i="131"/>
  <c r="AR87" i="131"/>
  <c r="AB97" i="131"/>
  <c r="AB88" i="131"/>
  <c r="S97" i="131"/>
  <c r="S88" i="131"/>
  <c r="AS97" i="131"/>
  <c r="AS88" i="131"/>
  <c r="P95" i="131"/>
  <c r="P86" i="131"/>
  <c r="AN95" i="131"/>
  <c r="AN86" i="131"/>
  <c r="X95" i="131"/>
  <c r="X86" i="131"/>
  <c r="AO97" i="131"/>
  <c r="AO88" i="131"/>
  <c r="AN97" i="131"/>
  <c r="AN88" i="131"/>
  <c r="AF97" i="131"/>
  <c r="AF88" i="131"/>
  <c r="J95" i="131"/>
  <c r="J86" i="131"/>
  <c r="U65" i="94"/>
  <c r="O68" i="94"/>
  <c r="T65" i="94"/>
  <c r="W63" i="94"/>
  <c r="AO64" i="94"/>
  <c r="D138" i="52"/>
  <c r="D137" i="52"/>
  <c r="K77" i="94" l="1"/>
  <c r="K56" i="94"/>
  <c r="K76" i="94"/>
  <c r="K75" i="94"/>
  <c r="E365" i="119"/>
  <c r="E406" i="119"/>
  <c r="C200" i="119"/>
  <c r="B200" i="119" s="1"/>
  <c r="C199" i="119"/>
  <c r="B199" i="119" s="1"/>
  <c r="C198" i="119"/>
  <c r="B198" i="119" s="1"/>
  <c r="C197" i="119"/>
  <c r="B197" i="119" s="1"/>
  <c r="C196" i="119"/>
  <c r="B196" i="119" s="1"/>
  <c r="C195" i="119"/>
  <c r="B195" i="119" s="1"/>
  <c r="E207" i="119"/>
  <c r="C207" i="119"/>
  <c r="B207" i="119" s="1"/>
  <c r="B206" i="119"/>
  <c r="B205" i="119"/>
  <c r="B204" i="119"/>
  <c r="B203" i="119"/>
  <c r="B202" i="119"/>
  <c r="B201" i="119"/>
  <c r="K57" i="94" l="1"/>
  <c r="K58" i="94"/>
  <c r="A73" i="125" l="1"/>
  <c r="A72" i="125"/>
  <c r="A71" i="125"/>
  <c r="A70" i="125"/>
  <c r="A69" i="125"/>
  <c r="A68" i="125"/>
  <c r="A67" i="125"/>
  <c r="A66" i="125"/>
  <c r="A65" i="125"/>
  <c r="A60" i="125"/>
  <c r="A59" i="125"/>
  <c r="A58" i="125"/>
  <c r="A57" i="125"/>
  <c r="A56" i="125"/>
  <c r="A55" i="125"/>
  <c r="A54" i="125"/>
  <c r="A53" i="125"/>
  <c r="A52" i="125"/>
  <c r="A48" i="125"/>
  <c r="A47" i="125"/>
  <c r="A46" i="125"/>
  <c r="A45" i="125"/>
  <c r="A44" i="125"/>
  <c r="A43" i="125"/>
  <c r="A42" i="125"/>
  <c r="A41" i="125"/>
  <c r="A40" i="125"/>
  <c r="A35" i="125" l="1"/>
  <c r="A34" i="125"/>
  <c r="A33" i="125"/>
  <c r="A32" i="125"/>
  <c r="A31" i="125"/>
  <c r="A30" i="125"/>
  <c r="A29" i="125"/>
  <c r="A28" i="125"/>
  <c r="A27" i="125"/>
  <c r="A23" i="125"/>
  <c r="A22" i="125"/>
  <c r="A21" i="125"/>
  <c r="A20" i="125"/>
  <c r="A19" i="125"/>
  <c r="A18" i="125"/>
  <c r="A16" i="125"/>
  <c r="A15" i="125"/>
  <c r="B1" i="125"/>
  <c r="A9" i="125" l="1"/>
  <c r="A2" i="125"/>
  <c r="A6" i="125"/>
  <c r="A10" i="125"/>
  <c r="A3" i="125"/>
  <c r="D3" i="125" s="1"/>
  <c r="A7" i="125"/>
  <c r="A4" i="125"/>
  <c r="A8" i="125"/>
  <c r="A5" i="125"/>
  <c r="N5" i="125" s="1"/>
  <c r="I3" i="125" l="1"/>
  <c r="X7" i="125"/>
  <c r="D7" i="125"/>
  <c r="I7" i="125"/>
  <c r="AM7" i="125"/>
  <c r="S7" i="125"/>
  <c r="AH7" i="125"/>
  <c r="N7" i="125"/>
  <c r="AC7" i="125"/>
  <c r="X10" i="125"/>
  <c r="D10" i="125"/>
  <c r="AC10" i="125"/>
  <c r="AM10" i="125"/>
  <c r="S10" i="125"/>
  <c r="AH10" i="125"/>
  <c r="N10" i="125"/>
  <c r="I10" i="125"/>
  <c r="X8" i="125"/>
  <c r="D8" i="125"/>
  <c r="I8" i="125"/>
  <c r="AM8" i="125"/>
  <c r="S8" i="125"/>
  <c r="AH8" i="125"/>
  <c r="N8" i="125"/>
  <c r="AC8" i="125"/>
  <c r="X3" i="125"/>
  <c r="AM3" i="125"/>
  <c r="S3" i="125"/>
  <c r="AH3" i="125"/>
  <c r="N3" i="125"/>
  <c r="AC3" i="125"/>
  <c r="X6" i="125"/>
  <c r="D6" i="125"/>
  <c r="I6" i="125"/>
  <c r="AM6" i="125"/>
  <c r="S6" i="125"/>
  <c r="AH6" i="125"/>
  <c r="N6" i="125"/>
  <c r="AC6" i="125"/>
  <c r="X5" i="125"/>
  <c r="D5" i="125"/>
  <c r="I5" i="125"/>
  <c r="AM5" i="125"/>
  <c r="S5" i="125"/>
  <c r="AH5" i="125"/>
  <c r="AC5" i="125"/>
  <c r="AC4" i="125"/>
  <c r="X4" i="125"/>
  <c r="D4" i="125"/>
  <c r="I4" i="125"/>
  <c r="AM4" i="125"/>
  <c r="S4" i="125"/>
  <c r="AH4" i="125"/>
  <c r="N4" i="125"/>
  <c r="D2" i="125"/>
  <c r="X2" i="125"/>
  <c r="AM2" i="125"/>
  <c r="S2" i="125"/>
  <c r="AH2" i="125"/>
  <c r="N2" i="125"/>
  <c r="I2" i="125"/>
  <c r="AC2" i="125"/>
  <c r="AC9" i="125"/>
  <c r="X9" i="125"/>
  <c r="D9" i="125"/>
  <c r="I9" i="125"/>
  <c r="AM9" i="125"/>
  <c r="S9" i="125"/>
  <c r="AH9" i="125"/>
  <c r="N9" i="125"/>
  <c r="J9" i="125" l="1"/>
  <c r="E9" i="125"/>
  <c r="J2" i="125"/>
  <c r="AI4" i="125"/>
  <c r="E4" i="125"/>
  <c r="O5" i="125"/>
  <c r="J5" i="125"/>
  <c r="O6" i="125"/>
  <c r="J6" i="125"/>
  <c r="AD3" i="125"/>
  <c r="O8" i="125"/>
  <c r="J8" i="125"/>
  <c r="O10" i="125"/>
  <c r="AD10" i="125"/>
  <c r="O7" i="125"/>
  <c r="J7" i="125"/>
  <c r="O9" i="125"/>
  <c r="AI9" i="125"/>
  <c r="T9" i="125"/>
  <c r="Y9" i="125"/>
  <c r="O2" i="125"/>
  <c r="Y2" i="125"/>
  <c r="T4" i="125"/>
  <c r="Y4" i="125"/>
  <c r="AI5" i="125"/>
  <c r="E5" i="125"/>
  <c r="AI6" i="125"/>
  <c r="E6" i="125"/>
  <c r="O3" i="125"/>
  <c r="E3" i="125"/>
  <c r="AI8" i="125"/>
  <c r="E8" i="125"/>
  <c r="AI10" i="125"/>
  <c r="E10" i="125"/>
  <c r="AI7" i="125"/>
  <c r="E7" i="125"/>
  <c r="AD9" i="125"/>
  <c r="AI2" i="125"/>
  <c r="E2" i="125"/>
  <c r="AD4" i="125"/>
  <c r="T5" i="125"/>
  <c r="Y5" i="125"/>
  <c r="T6" i="125"/>
  <c r="Y6" i="125"/>
  <c r="AI3" i="125"/>
  <c r="Y3" i="125"/>
  <c r="T8" i="125"/>
  <c r="Y8" i="125"/>
  <c r="T10" i="125"/>
  <c r="Y10" i="125"/>
  <c r="T7" i="125"/>
  <c r="Y7" i="125"/>
  <c r="AD2" i="125"/>
  <c r="T2" i="125"/>
  <c r="O4" i="125"/>
  <c r="J4" i="125"/>
  <c r="AD5" i="125"/>
  <c r="AD6" i="125"/>
  <c r="J3" i="125"/>
  <c r="T3" i="125"/>
  <c r="AD8" i="125"/>
  <c r="J10" i="125"/>
  <c r="AD7" i="125"/>
  <c r="E14" i="24"/>
  <c r="O14" i="24" s="1"/>
  <c r="AX14" i="24" l="1"/>
  <c r="P206" i="68"/>
  <c r="X206" i="68"/>
  <c r="AF206" i="68"/>
  <c r="AN206" i="68"/>
  <c r="AV206" i="68"/>
  <c r="T205" i="68"/>
  <c r="AB205" i="68"/>
  <c r="AJ205" i="68"/>
  <c r="AR205" i="68"/>
  <c r="T413" i="68"/>
  <c r="AR413" i="68"/>
  <c r="P412" i="68"/>
  <c r="X412" i="68"/>
  <c r="AF412" i="68"/>
  <c r="AN412" i="68"/>
  <c r="AV412" i="68"/>
  <c r="AD206" i="68"/>
  <c r="AT206" i="68"/>
  <c r="Z205" i="68"/>
  <c r="AP205" i="68"/>
  <c r="R413" i="68"/>
  <c r="Z413" i="68"/>
  <c r="AP413" i="68"/>
  <c r="V412" i="68"/>
  <c r="AT412" i="68"/>
  <c r="V206" i="68"/>
  <c r="AL206" i="68"/>
  <c r="R205" i="68"/>
  <c r="AH205" i="68"/>
  <c r="AX205" i="68"/>
  <c r="AH413" i="68"/>
  <c r="AX413" i="68"/>
  <c r="AD412" i="68"/>
  <c r="AL412" i="68"/>
  <c r="Q206" i="68"/>
  <c r="Y206" i="68"/>
  <c r="AG206" i="68"/>
  <c r="AO206" i="68"/>
  <c r="AW206" i="68"/>
  <c r="U205" i="68"/>
  <c r="AC205" i="68"/>
  <c r="AK205" i="68"/>
  <c r="AS205" i="68"/>
  <c r="U413" i="68"/>
  <c r="AC413" i="68"/>
  <c r="AK413" i="68"/>
  <c r="AS413" i="68"/>
  <c r="Q412" i="68"/>
  <c r="Y412" i="68"/>
  <c r="AG412" i="68"/>
  <c r="AO412" i="68"/>
  <c r="AW412" i="68"/>
  <c r="AB413" i="68"/>
  <c r="O206" i="68"/>
  <c r="W206" i="68"/>
  <c r="AE206" i="68"/>
  <c r="AM206" i="68"/>
  <c r="AU206" i="68"/>
  <c r="S205" i="68"/>
  <c r="AA205" i="68"/>
  <c r="AI205" i="68"/>
  <c r="AQ205" i="68"/>
  <c r="S413" i="68"/>
  <c r="AA413" i="68"/>
  <c r="AI413" i="68"/>
  <c r="AQ413" i="68"/>
  <c r="O412" i="68"/>
  <c r="W412" i="68"/>
  <c r="AE412" i="68"/>
  <c r="AM412" i="68"/>
  <c r="AU412" i="68"/>
  <c r="Q205" i="68"/>
  <c r="Y205" i="68"/>
  <c r="Q413" i="68"/>
  <c r="Y413" i="68"/>
  <c r="AG413" i="68"/>
  <c r="AO413" i="68"/>
  <c r="AW413" i="68"/>
  <c r="U412" i="68"/>
  <c r="AC412" i="68"/>
  <c r="AK412" i="68"/>
  <c r="AS412" i="68"/>
  <c r="R206" i="68"/>
  <c r="AH206" i="68"/>
  <c r="AX206" i="68"/>
  <c r="AD205" i="68"/>
  <c r="AT205" i="68"/>
  <c r="AD413" i="68"/>
  <c r="AT413" i="68"/>
  <c r="R412" i="68"/>
  <c r="AH412" i="68"/>
  <c r="AX412" i="68"/>
  <c r="S206" i="68"/>
  <c r="AI206" i="68"/>
  <c r="O205" i="68"/>
  <c r="AE205" i="68"/>
  <c r="AM205" i="68"/>
  <c r="W413" i="68"/>
  <c r="AM413" i="68"/>
  <c r="S412" i="68"/>
  <c r="AI412" i="68"/>
  <c r="T206" i="68"/>
  <c r="AB206" i="68"/>
  <c r="AJ206" i="68"/>
  <c r="AR206" i="68"/>
  <c r="P205" i="68"/>
  <c r="X205" i="68"/>
  <c r="AF205" i="68"/>
  <c r="AN205" i="68"/>
  <c r="AV205" i="68"/>
  <c r="P413" i="68"/>
  <c r="X413" i="68"/>
  <c r="AF413" i="68"/>
  <c r="AN413" i="68"/>
  <c r="AV413" i="68"/>
  <c r="T412" i="68"/>
  <c r="AB412" i="68"/>
  <c r="AJ412" i="68"/>
  <c r="AR412" i="68"/>
  <c r="Z206" i="68"/>
  <c r="AP206" i="68"/>
  <c r="V205" i="68"/>
  <c r="AL205" i="68"/>
  <c r="V413" i="68"/>
  <c r="AL413" i="68"/>
  <c r="Z412" i="68"/>
  <c r="AP412" i="68"/>
  <c r="AA206" i="68"/>
  <c r="W205" i="68"/>
  <c r="AU205" i="68"/>
  <c r="O413" i="68"/>
  <c r="AE413" i="68"/>
  <c r="AU413" i="68"/>
  <c r="AA412" i="68"/>
  <c r="AQ412" i="68"/>
  <c r="U206" i="68"/>
  <c r="AC206" i="68"/>
  <c r="AK206" i="68"/>
  <c r="AS206" i="68"/>
  <c r="AG205" i="68"/>
  <c r="AO205" i="68"/>
  <c r="AW205" i="68"/>
  <c r="AQ206" i="68"/>
  <c r="AJ413" i="68"/>
  <c r="AE7" i="125"/>
  <c r="Z7" i="125"/>
  <c r="Z3" i="125"/>
  <c r="F10" i="125"/>
  <c r="F6" i="125"/>
  <c r="Z4" i="125"/>
  <c r="Z2" i="125"/>
  <c r="Z9" i="125"/>
  <c r="K7" i="125"/>
  <c r="AE10" i="125"/>
  <c r="AE3" i="125"/>
  <c r="P6" i="125"/>
  <c r="AJ4" i="125"/>
  <c r="AE5" i="125"/>
  <c r="P4" i="125"/>
  <c r="U7" i="125"/>
  <c r="U8" i="125"/>
  <c r="AJ3" i="125"/>
  <c r="U5" i="125"/>
  <c r="F2" i="125"/>
  <c r="AE9" i="125"/>
  <c r="F7" i="125"/>
  <c r="F8" i="125"/>
  <c r="F3" i="125"/>
  <c r="F5" i="125"/>
  <c r="AJ9" i="125"/>
  <c r="K8" i="125"/>
  <c r="P5" i="125"/>
  <c r="F9" i="125"/>
  <c r="AE8" i="125"/>
  <c r="K3" i="125"/>
  <c r="AE2" i="125"/>
  <c r="U10" i="125"/>
  <c r="U6" i="125"/>
  <c r="AJ7" i="125"/>
  <c r="AJ10" i="125"/>
  <c r="AJ8" i="125"/>
  <c r="P3" i="125"/>
  <c r="AJ6" i="125"/>
  <c r="U4" i="125"/>
  <c r="P2" i="125"/>
  <c r="U9" i="125"/>
  <c r="P9" i="125"/>
  <c r="P7" i="125"/>
  <c r="P10" i="125"/>
  <c r="P8" i="125"/>
  <c r="K6" i="125"/>
  <c r="K5" i="125"/>
  <c r="K2" i="125"/>
  <c r="K9" i="125"/>
  <c r="K10" i="125"/>
  <c r="U3" i="125"/>
  <c r="AE6" i="125"/>
  <c r="K4" i="125"/>
  <c r="U2" i="125"/>
  <c r="Z10" i="125"/>
  <c r="Z8" i="125"/>
  <c r="Z6" i="125"/>
  <c r="Z5" i="125"/>
  <c r="AE4" i="125"/>
  <c r="AJ2" i="125"/>
  <c r="AJ5" i="125"/>
  <c r="F4" i="125"/>
  <c r="U14" i="24"/>
  <c r="AQ14" i="24"/>
  <c r="P14" i="24"/>
  <c r="AK14" i="24"/>
  <c r="AA14" i="24"/>
  <c r="AV14" i="24"/>
  <c r="AF14" i="24"/>
  <c r="T14" i="24"/>
  <c r="Y14" i="24"/>
  <c r="AE14" i="24"/>
  <c r="AJ14" i="24"/>
  <c r="AO14" i="24"/>
  <c r="AU14" i="24"/>
  <c r="Q14" i="24"/>
  <c r="W14" i="24"/>
  <c r="AB14" i="24"/>
  <c r="AG14" i="24"/>
  <c r="AM14" i="24"/>
  <c r="AR14" i="24"/>
  <c r="AW14" i="24"/>
  <c r="S14" i="24"/>
  <c r="X14" i="24"/>
  <c r="AC14" i="24"/>
  <c r="AI14" i="24"/>
  <c r="AN14" i="24"/>
  <c r="AS14" i="24"/>
  <c r="R14" i="24"/>
  <c r="V14" i="24"/>
  <c r="Z14" i="24"/>
  <c r="AD14" i="24"/>
  <c r="AH14" i="24"/>
  <c r="AL14" i="24"/>
  <c r="AP14" i="24"/>
  <c r="AT14" i="24"/>
  <c r="AE48" i="113"/>
  <c r="K32" i="94" l="1"/>
  <c r="AK5" i="125"/>
  <c r="AA6" i="125"/>
  <c r="L4" i="125"/>
  <c r="L9" i="125"/>
  <c r="L5" i="125"/>
  <c r="Q8" i="125"/>
  <c r="V9" i="125"/>
  <c r="Q3" i="125"/>
  <c r="AK10" i="125"/>
  <c r="V6" i="125"/>
  <c r="AF8" i="125"/>
  <c r="Q5" i="125"/>
  <c r="AK9" i="125"/>
  <c r="G3" i="125"/>
  <c r="G7" i="125"/>
  <c r="G2" i="125"/>
  <c r="AK3" i="125"/>
  <c r="V7" i="125"/>
  <c r="AF5" i="125"/>
  <c r="Q6" i="125"/>
  <c r="AF10" i="125"/>
  <c r="AA9" i="125"/>
  <c r="AA4" i="125"/>
  <c r="G10" i="125"/>
  <c r="AA7" i="125"/>
  <c r="AF2" i="125"/>
  <c r="AF4" i="125"/>
  <c r="AA10" i="125"/>
  <c r="V3" i="125"/>
  <c r="V4" i="125"/>
  <c r="AK2" i="125"/>
  <c r="L2" i="125"/>
  <c r="Q2" i="125"/>
  <c r="AA2" i="125"/>
  <c r="Q7" i="125"/>
  <c r="G4" i="125"/>
  <c r="AA5" i="125"/>
  <c r="AA8" i="125"/>
  <c r="V2" i="125"/>
  <c r="AF6" i="125"/>
  <c r="L10" i="125"/>
  <c r="L6" i="125"/>
  <c r="Q10" i="125"/>
  <c r="Q9" i="125"/>
  <c r="AK6" i="125"/>
  <c r="AK8" i="125"/>
  <c r="AK7" i="125"/>
  <c r="V10" i="125"/>
  <c r="L3" i="125"/>
  <c r="G9" i="125"/>
  <c r="L8" i="125"/>
  <c r="G5" i="125"/>
  <c r="G8" i="125"/>
  <c r="AF9" i="125"/>
  <c r="V5" i="125"/>
  <c r="V8" i="125"/>
  <c r="Q4" i="125"/>
  <c r="AK4" i="125"/>
  <c r="AF3" i="125"/>
  <c r="L7" i="125"/>
  <c r="G6" i="125"/>
  <c r="AA3" i="125"/>
  <c r="AF7" i="125"/>
  <c r="C271" i="119"/>
  <c r="C270" i="119"/>
  <c r="B270" i="119" s="1"/>
  <c r="C269" i="119"/>
  <c r="B269" i="119" s="1"/>
  <c r="C268" i="119"/>
  <c r="B268" i="119" s="1"/>
  <c r="C267" i="119"/>
  <c r="B267" i="119" s="1"/>
  <c r="E279" i="119"/>
  <c r="C279" i="119"/>
  <c r="B279" i="119" s="1"/>
  <c r="B278" i="119"/>
  <c r="B277" i="119"/>
  <c r="B276" i="119"/>
  <c r="B275" i="119"/>
  <c r="B274" i="119"/>
  <c r="B273" i="119"/>
  <c r="B272" i="119"/>
  <c r="B271" i="119"/>
  <c r="A11" i="119"/>
  <c r="C178" i="119"/>
  <c r="AB2" i="125" l="1"/>
  <c r="M2" i="125"/>
  <c r="AG2" i="125"/>
  <c r="AB3" i="125"/>
  <c r="M7" i="125"/>
  <c r="AL4" i="125"/>
  <c r="W8" i="125"/>
  <c r="AG9" i="125"/>
  <c r="H5" i="125"/>
  <c r="H9" i="125"/>
  <c r="W10" i="125"/>
  <c r="AL8" i="125"/>
  <c r="R9" i="125"/>
  <c r="M6" i="125"/>
  <c r="AG6" i="125"/>
  <c r="AB8" i="125"/>
  <c r="H4" i="125"/>
  <c r="W4" i="125"/>
  <c r="AB10" i="125"/>
  <c r="H10" i="125"/>
  <c r="AB9" i="125"/>
  <c r="R6" i="125"/>
  <c r="W7" i="125"/>
  <c r="H2" i="125"/>
  <c r="H3" i="125"/>
  <c r="R5" i="125"/>
  <c r="W6" i="125"/>
  <c r="R3" i="125"/>
  <c r="R8" i="125"/>
  <c r="M9" i="125"/>
  <c r="AB6" i="125"/>
  <c r="AL2" i="125"/>
  <c r="AG7" i="125"/>
  <c r="H6" i="125"/>
  <c r="AG3" i="125"/>
  <c r="R4" i="125"/>
  <c r="W5" i="125"/>
  <c r="H8" i="125"/>
  <c r="M8" i="125"/>
  <c r="M3" i="125"/>
  <c r="AL7" i="125"/>
  <c r="AL6" i="125"/>
  <c r="R10" i="125"/>
  <c r="M10" i="125"/>
  <c r="W2" i="125"/>
  <c r="AB5" i="125"/>
  <c r="R7" i="125"/>
  <c r="R2" i="125"/>
  <c r="W3" i="125"/>
  <c r="AG4" i="125"/>
  <c r="AB7" i="125"/>
  <c r="AB4" i="125"/>
  <c r="AG10" i="125"/>
  <c r="AG5" i="125"/>
  <c r="AL3" i="125"/>
  <c r="H7" i="125"/>
  <c r="AL9" i="125"/>
  <c r="AG8" i="125"/>
  <c r="AL10" i="125"/>
  <c r="W9" i="125"/>
  <c r="M5" i="125"/>
  <c r="M4" i="125"/>
  <c r="AL5" i="125"/>
  <c r="I46" i="123"/>
  <c r="J46" i="123" s="1"/>
  <c r="K46" i="123" s="1"/>
  <c r="L46" i="123" s="1"/>
  <c r="M46" i="123" s="1"/>
  <c r="N46" i="123" s="1"/>
  <c r="O46" i="123" s="1"/>
  <c r="P46" i="123" s="1"/>
  <c r="Q46" i="123" s="1"/>
  <c r="R46" i="123" s="1"/>
  <c r="S46" i="123" s="1"/>
  <c r="T46" i="123" s="1"/>
  <c r="U46" i="123" s="1"/>
  <c r="V46" i="123" s="1"/>
  <c r="W46" i="123" s="1"/>
  <c r="X46" i="123" s="1"/>
  <c r="Y46" i="123" s="1"/>
  <c r="Z46" i="123" s="1"/>
  <c r="AA46" i="123" s="1"/>
  <c r="AB46" i="123" s="1"/>
  <c r="AC46" i="123" s="1"/>
  <c r="AD46" i="123" s="1"/>
  <c r="AE46" i="123" s="1"/>
  <c r="AF46" i="123" s="1"/>
  <c r="AG46" i="123" s="1"/>
  <c r="AH46" i="123" s="1"/>
  <c r="AI46" i="123" s="1"/>
  <c r="AJ46" i="123" s="1"/>
  <c r="AK46" i="123" s="1"/>
  <c r="AL46" i="123" s="1"/>
  <c r="AM46" i="123" s="1"/>
  <c r="AN46" i="123" s="1"/>
  <c r="AO46" i="123" s="1"/>
  <c r="AP46" i="123" s="1"/>
  <c r="AQ46" i="123" s="1"/>
  <c r="I41" i="123"/>
  <c r="J41" i="123" s="1"/>
  <c r="K41" i="123" s="1"/>
  <c r="L41" i="123" s="1"/>
  <c r="M41" i="123" s="1"/>
  <c r="N41" i="123" s="1"/>
  <c r="O41" i="123" s="1"/>
  <c r="P41" i="123" s="1"/>
  <c r="Q41" i="123" s="1"/>
  <c r="R41" i="123" s="1"/>
  <c r="S41" i="123" s="1"/>
  <c r="T41" i="123" s="1"/>
  <c r="U41" i="123" s="1"/>
  <c r="V41" i="123" s="1"/>
  <c r="W41" i="123" s="1"/>
  <c r="X41" i="123" s="1"/>
  <c r="Y41" i="123" s="1"/>
  <c r="Z41" i="123" s="1"/>
  <c r="AA41" i="123" s="1"/>
  <c r="AB41" i="123" s="1"/>
  <c r="AC41" i="123" s="1"/>
  <c r="AD41" i="123" s="1"/>
  <c r="AE41" i="123" s="1"/>
  <c r="AF41" i="123" s="1"/>
  <c r="AG41" i="123" s="1"/>
  <c r="AH41" i="123" s="1"/>
  <c r="AI41" i="123" s="1"/>
  <c r="AJ41" i="123" s="1"/>
  <c r="AK41" i="123" s="1"/>
  <c r="AL41" i="123" s="1"/>
  <c r="AM41" i="123" s="1"/>
  <c r="AN41" i="123" s="1"/>
  <c r="AO41" i="123" s="1"/>
  <c r="AP41" i="123" s="1"/>
  <c r="AQ41" i="123" s="1"/>
  <c r="I36" i="123"/>
  <c r="J36" i="123" s="1"/>
  <c r="K36" i="123" s="1"/>
  <c r="L36" i="123" s="1"/>
  <c r="M36" i="123" s="1"/>
  <c r="N36" i="123" s="1"/>
  <c r="O36" i="123" s="1"/>
  <c r="P36" i="123" s="1"/>
  <c r="Q36" i="123" s="1"/>
  <c r="R36" i="123" s="1"/>
  <c r="S36" i="123" s="1"/>
  <c r="T36" i="123" s="1"/>
  <c r="U36" i="123" s="1"/>
  <c r="V36" i="123" s="1"/>
  <c r="W36" i="123" s="1"/>
  <c r="X36" i="123" s="1"/>
  <c r="Y36" i="123" s="1"/>
  <c r="Z36" i="123" s="1"/>
  <c r="AA36" i="123" s="1"/>
  <c r="AB36" i="123" s="1"/>
  <c r="AC36" i="123" s="1"/>
  <c r="AD36" i="123" s="1"/>
  <c r="AE36" i="123" s="1"/>
  <c r="AF36" i="123" s="1"/>
  <c r="AG36" i="123" s="1"/>
  <c r="AH36" i="123" s="1"/>
  <c r="AI36" i="123" s="1"/>
  <c r="AJ36" i="123" s="1"/>
  <c r="AK36" i="123" s="1"/>
  <c r="AL36" i="123" s="1"/>
  <c r="AM36" i="123" s="1"/>
  <c r="AN36" i="123" s="1"/>
  <c r="AO36" i="123" s="1"/>
  <c r="AP36" i="123" s="1"/>
  <c r="AQ36" i="123" s="1"/>
  <c r="B18" i="123" l="1"/>
  <c r="R21" i="123" s="1"/>
  <c r="J20" i="123"/>
  <c r="K20" i="123" s="1"/>
  <c r="L20" i="123" s="1"/>
  <c r="M20" i="123" s="1"/>
  <c r="N20" i="123" s="1"/>
  <c r="O20" i="123" s="1"/>
  <c r="P20" i="123" s="1"/>
  <c r="Q20" i="123" s="1"/>
  <c r="R20" i="123" s="1"/>
  <c r="S20" i="123" s="1"/>
  <c r="T20" i="123" s="1"/>
  <c r="U20" i="123" s="1"/>
  <c r="V20" i="123" s="1"/>
  <c r="W20" i="123" s="1"/>
  <c r="X20" i="123" s="1"/>
  <c r="Y20" i="123" s="1"/>
  <c r="Z20" i="123" s="1"/>
  <c r="AA20" i="123" s="1"/>
  <c r="AB20" i="123" s="1"/>
  <c r="AC20" i="123" s="1"/>
  <c r="AD20" i="123" s="1"/>
  <c r="AE20" i="123" s="1"/>
  <c r="AF20" i="123" s="1"/>
  <c r="AG20" i="123" s="1"/>
  <c r="AH20" i="123" s="1"/>
  <c r="AI20" i="123" s="1"/>
  <c r="AJ20" i="123" s="1"/>
  <c r="AK20" i="123" s="1"/>
  <c r="AL20" i="123" s="1"/>
  <c r="AM20" i="123" s="1"/>
  <c r="AN20" i="123" s="1"/>
  <c r="AO20" i="123" s="1"/>
  <c r="AP20" i="123" s="1"/>
  <c r="AQ20" i="123" s="1"/>
  <c r="AR20" i="123" s="1"/>
  <c r="AS20" i="123" s="1"/>
  <c r="AT20" i="123" s="1"/>
  <c r="AU20" i="123" s="1"/>
  <c r="AV20" i="123" s="1"/>
  <c r="AW20" i="123" s="1"/>
  <c r="AX20" i="123" s="1"/>
  <c r="AY20" i="123" s="1"/>
  <c r="AZ20" i="123" s="1"/>
  <c r="BA20" i="123" s="1"/>
  <c r="BB20" i="123" s="1"/>
  <c r="I31" i="123"/>
  <c r="J31" i="123" s="1"/>
  <c r="K31" i="123" s="1"/>
  <c r="L31" i="123" s="1"/>
  <c r="M31" i="123" s="1"/>
  <c r="N31" i="123" s="1"/>
  <c r="O31" i="123" s="1"/>
  <c r="P31" i="123" s="1"/>
  <c r="Q31" i="123" s="1"/>
  <c r="R31" i="123" s="1"/>
  <c r="S31" i="123" s="1"/>
  <c r="T31" i="123" s="1"/>
  <c r="U31" i="123" s="1"/>
  <c r="V31" i="123" s="1"/>
  <c r="W31" i="123" s="1"/>
  <c r="X31" i="123" s="1"/>
  <c r="Y31" i="123" s="1"/>
  <c r="Z31" i="123" s="1"/>
  <c r="AA31" i="123" s="1"/>
  <c r="AB31" i="123" s="1"/>
  <c r="AC31" i="123" s="1"/>
  <c r="AD31" i="123" s="1"/>
  <c r="AE31" i="123" s="1"/>
  <c r="AF31" i="123" s="1"/>
  <c r="AG31" i="123" s="1"/>
  <c r="AH31" i="123" s="1"/>
  <c r="AI31" i="123" s="1"/>
  <c r="AJ31" i="123" s="1"/>
  <c r="AK31" i="123" s="1"/>
  <c r="AL31" i="123" s="1"/>
  <c r="AM31" i="123" s="1"/>
  <c r="AN31" i="123" s="1"/>
  <c r="AO31" i="123" s="1"/>
  <c r="AP31" i="123" s="1"/>
  <c r="AQ31" i="123" s="1"/>
  <c r="K21" i="123" l="1"/>
  <c r="J21" i="123"/>
  <c r="P21" i="123"/>
  <c r="L21" i="123"/>
  <c r="H21" i="123"/>
  <c r="N21" i="123"/>
  <c r="I21" i="123"/>
  <c r="M21" i="123"/>
  <c r="Q21" i="123"/>
  <c r="O21" i="123"/>
  <c r="E47" i="119"/>
  <c r="E154" i="119"/>
  <c r="E172" i="119"/>
  <c r="E190" i="119"/>
  <c r="E331" i="119"/>
  <c r="C401" i="119"/>
  <c r="C190" i="119"/>
  <c r="C154" i="119"/>
  <c r="C65" i="119"/>
  <c r="C383" i="119"/>
  <c r="C365" i="119"/>
  <c r="C348" i="119"/>
  <c r="C331" i="119"/>
  <c r="C296" i="119"/>
  <c r="K41" i="122"/>
  <c r="L41" i="122" s="1"/>
  <c r="M41" i="122" s="1"/>
  <c r="N41" i="122" s="1"/>
  <c r="O41" i="122" s="1"/>
  <c r="P41" i="122" s="1"/>
  <c r="Q41" i="122" s="1"/>
  <c r="R41" i="122" s="1"/>
  <c r="S41" i="122" s="1"/>
  <c r="T41" i="122" s="1"/>
  <c r="U41" i="122" s="1"/>
  <c r="V41" i="122" s="1"/>
  <c r="W41" i="122" s="1"/>
  <c r="X41" i="122" s="1"/>
  <c r="Y41" i="122" s="1"/>
  <c r="Z41" i="122" s="1"/>
  <c r="AA41" i="122" s="1"/>
  <c r="AB41" i="122" s="1"/>
  <c r="AC41" i="122" s="1"/>
  <c r="AD41" i="122" s="1"/>
  <c r="AE41" i="122" s="1"/>
  <c r="AF41" i="122" s="1"/>
  <c r="AG41" i="122" s="1"/>
  <c r="AH41" i="122" s="1"/>
  <c r="AI41" i="122" s="1"/>
  <c r="AJ41" i="122" s="1"/>
  <c r="AK41" i="122" s="1"/>
  <c r="AL41" i="122" s="1"/>
  <c r="AM41" i="122" s="1"/>
  <c r="AN41" i="122" s="1"/>
  <c r="AO41" i="122" s="1"/>
  <c r="AP41" i="122" s="1"/>
  <c r="AQ41" i="122" s="1"/>
  <c r="AR41" i="122" s="1"/>
  <c r="AS41" i="122" s="1"/>
  <c r="B33" i="122"/>
  <c r="B32" i="122"/>
  <c r="B31" i="122"/>
  <c r="B30" i="122"/>
  <c r="B29" i="122"/>
  <c r="B27" i="122"/>
  <c r="B26" i="122"/>
  <c r="B25" i="122"/>
  <c r="B24" i="122"/>
  <c r="B23" i="122"/>
  <c r="B21" i="122"/>
  <c r="B20" i="122"/>
  <c r="B19" i="122"/>
  <c r="B17" i="122"/>
  <c r="B16" i="122"/>
  <c r="B15" i="122"/>
  <c r="B14" i="122"/>
  <c r="B13" i="122"/>
  <c r="B12" i="122"/>
  <c r="B11" i="122"/>
  <c r="B10" i="122"/>
  <c r="B9" i="122"/>
  <c r="B8" i="122"/>
  <c r="K7" i="122"/>
  <c r="L7" i="122" s="1"/>
  <c r="M7" i="122" s="1"/>
  <c r="N7" i="122" s="1"/>
  <c r="O7" i="122" s="1"/>
  <c r="P7" i="122" s="1"/>
  <c r="Q7" i="122" s="1"/>
  <c r="R7" i="122" s="1"/>
  <c r="S7" i="122" s="1"/>
  <c r="T7" i="122" s="1"/>
  <c r="U7" i="122" s="1"/>
  <c r="V7" i="122" s="1"/>
  <c r="W7" i="122" s="1"/>
  <c r="X7" i="122" s="1"/>
  <c r="Y7" i="122" s="1"/>
  <c r="Z7" i="122" s="1"/>
  <c r="AA7" i="122" s="1"/>
  <c r="AB7" i="122" s="1"/>
  <c r="AC7" i="122" s="1"/>
  <c r="AD7" i="122" s="1"/>
  <c r="AE7" i="122" s="1"/>
  <c r="AF7" i="122" s="1"/>
  <c r="AG7" i="122" s="1"/>
  <c r="AH7" i="122" s="1"/>
  <c r="AI7" i="122" s="1"/>
  <c r="AJ7" i="122" s="1"/>
  <c r="AK7" i="122" s="1"/>
  <c r="AL7" i="122" s="1"/>
  <c r="AM7" i="122" s="1"/>
  <c r="AN7" i="122" s="1"/>
  <c r="AO7" i="122" s="1"/>
  <c r="AP7" i="122" s="1"/>
  <c r="AQ7" i="122" s="1"/>
  <c r="AR7" i="122" s="1"/>
  <c r="AS7" i="122" s="1"/>
  <c r="AX58" i="122"/>
  <c r="AW58" i="122"/>
  <c r="AV58" i="122"/>
  <c r="AU58" i="122"/>
  <c r="AT58" i="122"/>
  <c r="E2" i="121"/>
  <c r="J5" i="121" s="1"/>
  <c r="J11" i="121" l="1"/>
  <c r="J4" i="121"/>
  <c r="G4" i="132" s="1"/>
  <c r="J8" i="121"/>
  <c r="J7" i="121"/>
  <c r="J6" i="121"/>
  <c r="J10" i="121"/>
  <c r="J9" i="121"/>
  <c r="J16" i="121"/>
  <c r="M18" i="121"/>
  <c r="J18" i="121"/>
  <c r="J17" i="121"/>
  <c r="J14" i="121"/>
  <c r="J13" i="121"/>
  <c r="J12" i="121"/>
  <c r="J15" i="121"/>
  <c r="U16" i="121"/>
  <c r="N4" i="121"/>
  <c r="K4" i="132" s="1"/>
  <c r="V4" i="121"/>
  <c r="S4" i="132" s="1"/>
  <c r="AD4" i="121"/>
  <c r="AA4" i="132" s="1"/>
  <c r="AL4" i="121"/>
  <c r="AI4" i="132" s="1"/>
  <c r="K5" i="121"/>
  <c r="S5" i="121"/>
  <c r="AA5" i="121"/>
  <c r="AI5" i="121"/>
  <c r="AQ5" i="121"/>
  <c r="P6" i="121"/>
  <c r="X6" i="121"/>
  <c r="AF6" i="121"/>
  <c r="AN6" i="121"/>
  <c r="M7" i="121"/>
  <c r="AA7" i="121"/>
  <c r="AQ7" i="121"/>
  <c r="X8" i="121"/>
  <c r="AN8" i="121"/>
  <c r="V9" i="121"/>
  <c r="K10" i="121"/>
  <c r="AQ10" i="121"/>
  <c r="Q12" i="121"/>
  <c r="K14" i="121"/>
  <c r="AN15" i="121"/>
  <c r="P4" i="121"/>
  <c r="M4" i="132" s="1"/>
  <c r="X4" i="121"/>
  <c r="U4" i="132" s="1"/>
  <c r="AF4" i="121"/>
  <c r="AC4" i="132" s="1"/>
  <c r="AN4" i="121"/>
  <c r="AK4" i="132" s="1"/>
  <c r="M5" i="121"/>
  <c r="U5" i="121"/>
  <c r="AC5" i="121"/>
  <c r="AK5" i="121"/>
  <c r="AS5" i="121"/>
  <c r="R6" i="121"/>
  <c r="Z6" i="121"/>
  <c r="AH6" i="121"/>
  <c r="AP6" i="121"/>
  <c r="O7" i="121"/>
  <c r="AE7" i="121"/>
  <c r="L8" i="121"/>
  <c r="AB8" i="121"/>
  <c r="AR8" i="121"/>
  <c r="AA9" i="121"/>
  <c r="S10" i="121"/>
  <c r="P11" i="121"/>
  <c r="AG12" i="121"/>
  <c r="AA14" i="121"/>
  <c r="AS18" i="121"/>
  <c r="AO18" i="121"/>
  <c r="AK18" i="121"/>
  <c r="AG18" i="121"/>
  <c r="AC18" i="121"/>
  <c r="Y18" i="121"/>
  <c r="U18" i="121"/>
  <c r="Q18" i="121"/>
  <c r="AR17" i="121"/>
  <c r="AN17" i="121"/>
  <c r="AJ17" i="121"/>
  <c r="AF17" i="121"/>
  <c r="AB17" i="121"/>
  <c r="X17" i="121"/>
  <c r="T17" i="121"/>
  <c r="P17" i="121"/>
  <c r="L17" i="121"/>
  <c r="AQ16" i="121"/>
  <c r="AM16" i="121"/>
  <c r="AI16" i="121"/>
  <c r="AE16" i="121"/>
  <c r="AA16" i="121"/>
  <c r="W16" i="121"/>
  <c r="S16" i="121"/>
  <c r="O16" i="121"/>
  <c r="K16" i="121"/>
  <c r="AP15" i="121"/>
  <c r="AL15" i="121"/>
  <c r="AH15" i="121"/>
  <c r="AD15" i="121"/>
  <c r="Z15" i="121"/>
  <c r="V15" i="121"/>
  <c r="R15" i="121"/>
  <c r="N15" i="121"/>
  <c r="AS14" i="121"/>
  <c r="AO14" i="121"/>
  <c r="AK14" i="121"/>
  <c r="AG14" i="121"/>
  <c r="AC14" i="121"/>
  <c r="Y14" i="121"/>
  <c r="U14" i="121"/>
  <c r="Q14" i="121"/>
  <c r="M14" i="121"/>
  <c r="AR13" i="121"/>
  <c r="AN13" i="121"/>
  <c r="AJ13" i="121"/>
  <c r="AF13" i="121"/>
  <c r="AB13" i="121"/>
  <c r="X13" i="121"/>
  <c r="T13" i="121"/>
  <c r="P13" i="121"/>
  <c r="L13" i="121"/>
  <c r="AQ12" i="121"/>
  <c r="AM12" i="121"/>
  <c r="AI12" i="121"/>
  <c r="AE12" i="121"/>
  <c r="AA12" i="121"/>
  <c r="W12" i="121"/>
  <c r="S12" i="121"/>
  <c r="O12" i="121"/>
  <c r="K12" i="121"/>
  <c r="AP11" i="121"/>
  <c r="AL11" i="121"/>
  <c r="AH11" i="121"/>
  <c r="AD11" i="121"/>
  <c r="Z11" i="121"/>
  <c r="V11" i="121"/>
  <c r="R11" i="121"/>
  <c r="N11" i="121"/>
  <c r="AS10" i="121"/>
  <c r="AO10" i="121"/>
  <c r="AK10" i="121"/>
  <c r="AG10" i="121"/>
  <c r="AC10" i="121"/>
  <c r="Y10" i="121"/>
  <c r="U10" i="121"/>
  <c r="Q10" i="121"/>
  <c r="M10" i="121"/>
  <c r="AR9" i="121"/>
  <c r="AN9" i="121"/>
  <c r="AR18" i="121"/>
  <c r="AN18" i="121"/>
  <c r="AJ18" i="121"/>
  <c r="AF18" i="121"/>
  <c r="AB18" i="121"/>
  <c r="X18" i="121"/>
  <c r="T18" i="121"/>
  <c r="P18" i="121"/>
  <c r="L18" i="121"/>
  <c r="AQ17" i="121"/>
  <c r="AM17" i="121"/>
  <c r="AI17" i="121"/>
  <c r="AE17" i="121"/>
  <c r="AA17" i="121"/>
  <c r="W17" i="121"/>
  <c r="S17" i="121"/>
  <c r="O17" i="121"/>
  <c r="K17" i="121"/>
  <c r="AP16" i="121"/>
  <c r="AL16" i="121"/>
  <c r="AH16" i="121"/>
  <c r="AD16" i="121"/>
  <c r="Z16" i="121"/>
  <c r="V16" i="121"/>
  <c r="R16" i="121"/>
  <c r="N16" i="121"/>
  <c r="AS15" i="121"/>
  <c r="AO15" i="121"/>
  <c r="AK15" i="121"/>
  <c r="AG15" i="121"/>
  <c r="AC15" i="121"/>
  <c r="Y15" i="121"/>
  <c r="U15" i="121"/>
  <c r="Q15" i="121"/>
  <c r="M15" i="121"/>
  <c r="AR14" i="121"/>
  <c r="AN14" i="121"/>
  <c r="AJ14" i="121"/>
  <c r="AF14" i="121"/>
  <c r="AB14" i="121"/>
  <c r="X14" i="121"/>
  <c r="T14" i="121"/>
  <c r="P14" i="121"/>
  <c r="L14" i="121"/>
  <c r="AQ13" i="121"/>
  <c r="AM13" i="121"/>
  <c r="AI13" i="121"/>
  <c r="AE13" i="121"/>
  <c r="AA13" i="121"/>
  <c r="W13" i="121"/>
  <c r="S13" i="121"/>
  <c r="O13" i="121"/>
  <c r="K13" i="121"/>
  <c r="AP12" i="121"/>
  <c r="AL12" i="121"/>
  <c r="AH12" i="121"/>
  <c r="AD12" i="121"/>
  <c r="Z12" i="121"/>
  <c r="V12" i="121"/>
  <c r="R12" i="121"/>
  <c r="N12" i="121"/>
  <c r="AS11" i="121"/>
  <c r="AO11" i="121"/>
  <c r="AK11" i="121"/>
  <c r="AG11" i="121"/>
  <c r="AC11" i="121"/>
  <c r="AP18" i="121"/>
  <c r="AL18" i="121"/>
  <c r="AH18" i="121"/>
  <c r="AD18" i="121"/>
  <c r="Z18" i="121"/>
  <c r="V18" i="121"/>
  <c r="R18" i="121"/>
  <c r="N18" i="121"/>
  <c r="AS17" i="121"/>
  <c r="AO17" i="121"/>
  <c r="AK17" i="121"/>
  <c r="AG17" i="121"/>
  <c r="AC17" i="121"/>
  <c r="Y17" i="121"/>
  <c r="U17" i="121"/>
  <c r="Q17" i="121"/>
  <c r="M17" i="121"/>
  <c r="AR16" i="121"/>
  <c r="AN16" i="121"/>
  <c r="AJ16" i="121"/>
  <c r="AF16" i="121"/>
  <c r="AB16" i="121"/>
  <c r="X16" i="121"/>
  <c r="T16" i="121"/>
  <c r="P16" i="121"/>
  <c r="L16" i="121"/>
  <c r="AQ15" i="121"/>
  <c r="AM15" i="121"/>
  <c r="AI15" i="121"/>
  <c r="AE15" i="121"/>
  <c r="AA15" i="121"/>
  <c r="W15" i="121"/>
  <c r="S15" i="121"/>
  <c r="O15" i="121"/>
  <c r="K15" i="121"/>
  <c r="AP14" i="121"/>
  <c r="AL14" i="121"/>
  <c r="AH14" i="121"/>
  <c r="AD14" i="121"/>
  <c r="Z14" i="121"/>
  <c r="V14" i="121"/>
  <c r="R14" i="121"/>
  <c r="N14" i="121"/>
  <c r="AS13" i="121"/>
  <c r="AO13" i="121"/>
  <c r="AK13" i="121"/>
  <c r="AG13" i="121"/>
  <c r="AC13" i="121"/>
  <c r="Y13" i="121"/>
  <c r="U13" i="121"/>
  <c r="Q13" i="121"/>
  <c r="M13" i="121"/>
  <c r="AR12" i="121"/>
  <c r="AN12" i="121"/>
  <c r="AJ12" i="121"/>
  <c r="AF12" i="121"/>
  <c r="AB12" i="121"/>
  <c r="X12" i="121"/>
  <c r="T12" i="121"/>
  <c r="P12" i="121"/>
  <c r="L12" i="121"/>
  <c r="AQ11" i="121"/>
  <c r="AM11" i="121"/>
  <c r="AI11" i="121"/>
  <c r="AE11" i="121"/>
  <c r="AA11" i="121"/>
  <c r="W11" i="121"/>
  <c r="S11" i="121"/>
  <c r="O11" i="121"/>
  <c r="K11" i="121"/>
  <c r="AP10" i="121"/>
  <c r="AL10" i="121"/>
  <c r="AH10" i="121"/>
  <c r="AD10" i="121"/>
  <c r="Z10" i="121"/>
  <c r="V10" i="121"/>
  <c r="R10" i="121"/>
  <c r="N10" i="121"/>
  <c r="AS9" i="121"/>
  <c r="AO9" i="121"/>
  <c r="AK9" i="121"/>
  <c r="AG9" i="121"/>
  <c r="AC9" i="121"/>
  <c r="Y9" i="121"/>
  <c r="U9" i="121"/>
  <c r="AQ18" i="121"/>
  <c r="AA18" i="121"/>
  <c r="K18" i="121"/>
  <c r="AD17" i="121"/>
  <c r="N17" i="121"/>
  <c r="AG16" i="121"/>
  <c r="Q16" i="121"/>
  <c r="AJ15" i="121"/>
  <c r="T15" i="121"/>
  <c r="AM14" i="121"/>
  <c r="W14" i="121"/>
  <c r="AP13" i="121"/>
  <c r="Z13" i="121"/>
  <c r="AS12" i="121"/>
  <c r="AC12" i="121"/>
  <c r="M12" i="121"/>
  <c r="AF11" i="121"/>
  <c r="U11" i="121"/>
  <c r="M11" i="121"/>
  <c r="AN10" i="121"/>
  <c r="AF10" i="121"/>
  <c r="X10" i="121"/>
  <c r="P10" i="121"/>
  <c r="AQ9" i="121"/>
  <c r="AJ9" i="121"/>
  <c r="AE9" i="121"/>
  <c r="Z9" i="121"/>
  <c r="T9" i="121"/>
  <c r="P9" i="121"/>
  <c r="L9" i="121"/>
  <c r="AQ8" i="121"/>
  <c r="AM8" i="121"/>
  <c r="AI8" i="121"/>
  <c r="AE8" i="121"/>
  <c r="AA8" i="121"/>
  <c r="W8" i="121"/>
  <c r="S8" i="121"/>
  <c r="O8" i="121"/>
  <c r="K8" i="121"/>
  <c r="AP7" i="121"/>
  <c r="AL7" i="121"/>
  <c r="AH7" i="121"/>
  <c r="AD7" i="121"/>
  <c r="Z7" i="121"/>
  <c r="V7" i="121"/>
  <c r="R7" i="121"/>
  <c r="N7" i="121"/>
  <c r="AS6" i="121"/>
  <c r="AO6" i="121"/>
  <c r="AK6" i="121"/>
  <c r="AG6" i="121"/>
  <c r="AC6" i="121"/>
  <c r="Y6" i="121"/>
  <c r="U6" i="121"/>
  <c r="Q6" i="121"/>
  <c r="M6" i="121"/>
  <c r="AR5" i="121"/>
  <c r="AN5" i="121"/>
  <c r="AJ5" i="121"/>
  <c r="AF5" i="121"/>
  <c r="AB5" i="121"/>
  <c r="X5" i="121"/>
  <c r="T5" i="121"/>
  <c r="P5" i="121"/>
  <c r="L5" i="121"/>
  <c r="AQ4" i="121"/>
  <c r="AN4" i="132" s="1"/>
  <c r="AM4" i="121"/>
  <c r="AJ4" i="132" s="1"/>
  <c r="AI4" i="121"/>
  <c r="AF4" i="132" s="1"/>
  <c r="AE4" i="121"/>
  <c r="AB4" i="132" s="1"/>
  <c r="AA4" i="121"/>
  <c r="X4" i="132" s="1"/>
  <c r="W4" i="121"/>
  <c r="T4" i="132" s="1"/>
  <c r="S4" i="121"/>
  <c r="P4" i="132" s="1"/>
  <c r="O4" i="121"/>
  <c r="L4" i="132" s="1"/>
  <c r="K4" i="121"/>
  <c r="H4" i="132" s="1"/>
  <c r="X9" i="121"/>
  <c r="AH8" i="121"/>
  <c r="V8" i="121"/>
  <c r="R8" i="121"/>
  <c r="AS7" i="121"/>
  <c r="AK7" i="121"/>
  <c r="AC7" i="121"/>
  <c r="Y7" i="121"/>
  <c r="Q7" i="121"/>
  <c r="AM18" i="121"/>
  <c r="W18" i="121"/>
  <c r="AP17" i="121"/>
  <c r="Z17" i="121"/>
  <c r="AS16" i="121"/>
  <c r="AC16" i="121"/>
  <c r="M16" i="121"/>
  <c r="AF15" i="121"/>
  <c r="P15" i="121"/>
  <c r="AI14" i="121"/>
  <c r="S14" i="121"/>
  <c r="AL13" i="121"/>
  <c r="V13" i="121"/>
  <c r="AO12" i="121"/>
  <c r="Y12" i="121"/>
  <c r="AR11" i="121"/>
  <c r="AB11" i="121"/>
  <c r="T11" i="121"/>
  <c r="L11" i="121"/>
  <c r="AM10" i="121"/>
  <c r="AE10" i="121"/>
  <c r="W10" i="121"/>
  <c r="O10" i="121"/>
  <c r="AP9" i="121"/>
  <c r="AI9" i="121"/>
  <c r="AD9" i="121"/>
  <c r="S9" i="121"/>
  <c r="O9" i="121"/>
  <c r="K9" i="121"/>
  <c r="AP8" i="121"/>
  <c r="AL8" i="121"/>
  <c r="AD8" i="121"/>
  <c r="Z8" i="121"/>
  <c r="N8" i="121"/>
  <c r="AO7" i="121"/>
  <c r="AG7" i="121"/>
  <c r="U7" i="121"/>
  <c r="AI18" i="121"/>
  <c r="S18" i="121"/>
  <c r="AL17" i="121"/>
  <c r="V17" i="121"/>
  <c r="AO16" i="121"/>
  <c r="Y16" i="121"/>
  <c r="AR15" i="121"/>
  <c r="AB15" i="121"/>
  <c r="L15" i="121"/>
  <c r="AE14" i="121"/>
  <c r="O14" i="121"/>
  <c r="AH13" i="121"/>
  <c r="R13" i="121"/>
  <c r="AK12" i="121"/>
  <c r="U12" i="121"/>
  <c r="AN11" i="121"/>
  <c r="Y11" i="121"/>
  <c r="Q11" i="121"/>
  <c r="AR10" i="121"/>
  <c r="AJ10" i="121"/>
  <c r="AB10" i="121"/>
  <c r="T10" i="121"/>
  <c r="L10" i="121"/>
  <c r="AM9" i="121"/>
  <c r="AH9" i="121"/>
  <c r="AB9" i="121"/>
  <c r="W9" i="121"/>
  <c r="R9" i="121"/>
  <c r="N9" i="121"/>
  <c r="AS8" i="121"/>
  <c r="AO8" i="121"/>
  <c r="AK8" i="121"/>
  <c r="AG8" i="121"/>
  <c r="AC8" i="121"/>
  <c r="Y8" i="121"/>
  <c r="U8" i="121"/>
  <c r="Q8" i="121"/>
  <c r="M8" i="121"/>
  <c r="AR7" i="121"/>
  <c r="AN7" i="121"/>
  <c r="AJ7" i="121"/>
  <c r="AF7" i="121"/>
  <c r="AB7" i="121"/>
  <c r="X7" i="121"/>
  <c r="T7" i="121"/>
  <c r="P7" i="121"/>
  <c r="L7" i="121"/>
  <c r="AQ6" i="121"/>
  <c r="AM6" i="121"/>
  <c r="AI6" i="121"/>
  <c r="AE6" i="121"/>
  <c r="AA6" i="121"/>
  <c r="W6" i="121"/>
  <c r="S6" i="121"/>
  <c r="O6" i="121"/>
  <c r="K6" i="121"/>
  <c r="AP5" i="121"/>
  <c r="AL5" i="121"/>
  <c r="AH5" i="121"/>
  <c r="AD5" i="121"/>
  <c r="Z5" i="121"/>
  <c r="V5" i="121"/>
  <c r="R5" i="121"/>
  <c r="N5" i="121"/>
  <c r="AS4" i="121"/>
  <c r="AP4" i="132" s="1"/>
  <c r="AO4" i="121"/>
  <c r="AL4" i="132" s="1"/>
  <c r="AK4" i="121"/>
  <c r="AH4" i="132" s="1"/>
  <c r="AG4" i="121"/>
  <c r="AD4" i="132" s="1"/>
  <c r="AC4" i="121"/>
  <c r="Z4" i="132" s="1"/>
  <c r="Y4" i="121"/>
  <c r="V4" i="132" s="1"/>
  <c r="U4" i="121"/>
  <c r="R4" i="132" s="1"/>
  <c r="Q4" i="121"/>
  <c r="N4" i="132" s="1"/>
  <c r="M4" i="121"/>
  <c r="J4" i="132" s="1"/>
  <c r="AE18" i="121"/>
  <c r="O18" i="121"/>
  <c r="AH17" i="121"/>
  <c r="R4" i="121"/>
  <c r="O4" i="132" s="1"/>
  <c r="Z4" i="121"/>
  <c r="W4" i="132" s="1"/>
  <c r="AH4" i="121"/>
  <c r="AE4" i="132" s="1"/>
  <c r="AP4" i="121"/>
  <c r="AM4" i="132" s="1"/>
  <c r="O5" i="121"/>
  <c r="W5" i="121"/>
  <c r="AE5" i="121"/>
  <c r="AM5" i="121"/>
  <c r="L6" i="121"/>
  <c r="T6" i="121"/>
  <c r="AB6" i="121"/>
  <c r="AJ6" i="121"/>
  <c r="AR6" i="121"/>
  <c r="S7" i="121"/>
  <c r="AI7" i="121"/>
  <c r="P8" i="121"/>
  <c r="AF8" i="121"/>
  <c r="M9" i="121"/>
  <c r="AF9" i="121"/>
  <c r="AA10" i="121"/>
  <c r="X11" i="121"/>
  <c r="N13" i="121"/>
  <c r="AQ14" i="121"/>
  <c r="AK16" i="121"/>
  <c r="L4" i="121"/>
  <c r="I4" i="132" s="1"/>
  <c r="T4" i="121"/>
  <c r="Q4" i="132" s="1"/>
  <c r="AB4" i="121"/>
  <c r="Y4" i="132" s="1"/>
  <c r="AJ4" i="121"/>
  <c r="AG4" i="132" s="1"/>
  <c r="AR4" i="121"/>
  <c r="AO4" i="132" s="1"/>
  <c r="Q5" i="121"/>
  <c r="Y5" i="121"/>
  <c r="AG5" i="121"/>
  <c r="AO5" i="121"/>
  <c r="N6" i="121"/>
  <c r="V6" i="121"/>
  <c r="AD6" i="121"/>
  <c r="AL6" i="121"/>
  <c r="K7" i="121"/>
  <c r="W7" i="121"/>
  <c r="AM7" i="121"/>
  <c r="T8" i="121"/>
  <c r="AJ8" i="121"/>
  <c r="Q9" i="121"/>
  <c r="AL9" i="121"/>
  <c r="AI10" i="121"/>
  <c r="AJ11" i="121"/>
  <c r="AD13" i="121"/>
  <c r="X15" i="121"/>
  <c r="R17" i="121"/>
  <c r="C58" i="122"/>
  <c r="AR8" i="122" l="1"/>
  <c r="AS8" i="122"/>
  <c r="AJ8" i="122"/>
  <c r="AP8" i="122"/>
  <c r="AH8" i="122"/>
  <c r="U8" i="122"/>
  <c r="W8" i="122"/>
  <c r="AB8" i="122"/>
  <c r="T8" i="122"/>
  <c r="Z8" i="122"/>
  <c r="Y8" i="122"/>
  <c r="AA8" i="122"/>
  <c r="AN8" i="122"/>
  <c r="AL8" i="122"/>
  <c r="AC8" i="122"/>
  <c r="AE8" i="122"/>
  <c r="AF8" i="122"/>
  <c r="AD8" i="122"/>
  <c r="AG8" i="122"/>
  <c r="AI8" i="122"/>
  <c r="X8" i="122"/>
  <c r="V8" i="122"/>
  <c r="AK8" i="122"/>
  <c r="AM8" i="122"/>
  <c r="AO8" i="122"/>
  <c r="K8" i="122"/>
  <c r="AQ8" i="122"/>
  <c r="M8" i="122"/>
  <c r="O8" i="122"/>
  <c r="Q8" i="122"/>
  <c r="S8" i="122"/>
  <c r="L8" i="122"/>
  <c r="R8" i="122"/>
  <c r="P8" i="122"/>
  <c r="N8" i="122"/>
  <c r="J8" i="122"/>
  <c r="G6" i="132"/>
  <c r="J10" i="122" s="1"/>
  <c r="P102" i="110"/>
  <c r="Q102" i="110" s="1"/>
  <c r="R102" i="110" s="1"/>
  <c r="S102" i="110" s="1"/>
  <c r="U102" i="110"/>
  <c r="V102" i="110" s="1"/>
  <c r="W102" i="110" s="1"/>
  <c r="X102" i="110" s="1"/>
  <c r="Z102" i="110"/>
  <c r="AA102" i="110" s="1"/>
  <c r="AB102" i="110" s="1"/>
  <c r="AC102" i="110" s="1"/>
  <c r="AE102" i="110"/>
  <c r="AF102" i="110" s="1"/>
  <c r="AG102" i="110" s="1"/>
  <c r="AH102" i="110" s="1"/>
  <c r="AI102" i="110" s="1"/>
  <c r="AJ102" i="110" s="1"/>
  <c r="AK102" i="110" s="1"/>
  <c r="AL102" i="110" s="1"/>
  <c r="AM102" i="110" s="1"/>
  <c r="AO102" i="110"/>
  <c r="AP102" i="110" s="1"/>
  <c r="AQ102" i="110" s="1"/>
  <c r="AR102" i="110" s="1"/>
  <c r="AS102" i="110" s="1"/>
  <c r="AT102" i="110" s="1"/>
  <c r="AU102" i="110" s="1"/>
  <c r="AV102" i="110" s="1"/>
  <c r="AW102" i="110" s="1"/>
  <c r="P103" i="110"/>
  <c r="Q103" i="110" s="1"/>
  <c r="R103" i="110" s="1"/>
  <c r="S103" i="110" s="1"/>
  <c r="U103" i="110"/>
  <c r="V103" i="110" s="1"/>
  <c r="W103" i="110" s="1"/>
  <c r="X103" i="110" s="1"/>
  <c r="Z103" i="110"/>
  <c r="AA103" i="110" s="1"/>
  <c r="AB103" i="110" s="1"/>
  <c r="AC103" i="110" s="1"/>
  <c r="AE103" i="110"/>
  <c r="AF103" i="110" s="1"/>
  <c r="AG103" i="110" s="1"/>
  <c r="AH103" i="110" s="1"/>
  <c r="AI103" i="110" s="1"/>
  <c r="AJ103" i="110" s="1"/>
  <c r="AK103" i="110" s="1"/>
  <c r="AL103" i="110" s="1"/>
  <c r="AM103" i="110" s="1"/>
  <c r="AO103" i="110"/>
  <c r="AP103" i="110" s="1"/>
  <c r="AQ103" i="110" s="1"/>
  <c r="AR103" i="110" s="1"/>
  <c r="AS103" i="110" s="1"/>
  <c r="AT103" i="110" s="1"/>
  <c r="AU103" i="110" s="1"/>
  <c r="AV103" i="110" s="1"/>
  <c r="AW103" i="110" s="1"/>
  <c r="E8" i="122" l="1"/>
  <c r="AX63" i="120"/>
  <c r="AW63" i="120"/>
  <c r="AV63" i="120"/>
  <c r="AU63" i="120"/>
  <c r="AT63" i="120"/>
  <c r="B14" i="120"/>
  <c r="B13" i="120"/>
  <c r="B12" i="120"/>
  <c r="B11" i="120"/>
  <c r="B10" i="120"/>
  <c r="B9" i="120"/>
  <c r="B8" i="120"/>
  <c r="B7" i="120"/>
  <c r="Y49" i="120" l="1"/>
  <c r="E48" i="120"/>
  <c r="C54" i="120"/>
  <c r="C58" i="120"/>
  <c r="E58" i="120" s="1"/>
  <c r="C62" i="120"/>
  <c r="C52" i="120"/>
  <c r="C56" i="120"/>
  <c r="C60" i="120"/>
  <c r="E60" i="120" s="1"/>
  <c r="C51" i="120"/>
  <c r="C53" i="120"/>
  <c r="C55" i="120"/>
  <c r="C57" i="120"/>
  <c r="E57" i="120" s="1"/>
  <c r="C59" i="120"/>
  <c r="E59" i="120" s="1"/>
  <c r="C61" i="120"/>
  <c r="E61" i="120" s="1"/>
  <c r="C63" i="120"/>
  <c r="E63" i="120" s="1"/>
  <c r="AZ80" i="62"/>
  <c r="AY80" i="62"/>
  <c r="AX80" i="62"/>
  <c r="AW80" i="62"/>
  <c r="AV80" i="62"/>
  <c r="AU80" i="62"/>
  <c r="AT80" i="62"/>
  <c r="AS80" i="62"/>
  <c r="AR80" i="62"/>
  <c r="AQ80" i="62"/>
  <c r="AP80" i="62"/>
  <c r="AO80" i="62"/>
  <c r="AN80" i="62"/>
  <c r="AM80" i="62"/>
  <c r="AL80" i="62"/>
  <c r="AK80" i="62"/>
  <c r="AJ80" i="62"/>
  <c r="AI80" i="62"/>
  <c r="AH80" i="62"/>
  <c r="AG80" i="62"/>
  <c r="AF80" i="62"/>
  <c r="AE80" i="62"/>
  <c r="AD80" i="62"/>
  <c r="AC80" i="62"/>
  <c r="AB80" i="62"/>
  <c r="AA80" i="62"/>
  <c r="Z80" i="62"/>
  <c r="Y80" i="62"/>
  <c r="X80" i="62"/>
  <c r="W80" i="62"/>
  <c r="V80" i="62"/>
  <c r="U80" i="62"/>
  <c r="T80" i="62"/>
  <c r="S80" i="62"/>
  <c r="R80" i="62"/>
  <c r="AZ78" i="62"/>
  <c r="AY78" i="62"/>
  <c r="AX78" i="62"/>
  <c r="AW78" i="62"/>
  <c r="AV78" i="62"/>
  <c r="AU78" i="62"/>
  <c r="AT78" i="62"/>
  <c r="AS78" i="62"/>
  <c r="AR78" i="62"/>
  <c r="AQ78" i="62"/>
  <c r="AP78" i="62"/>
  <c r="AO78" i="62"/>
  <c r="AN78" i="62"/>
  <c r="AM78" i="62"/>
  <c r="AL78" i="62"/>
  <c r="AK78" i="62"/>
  <c r="AJ78" i="62"/>
  <c r="AI78" i="62"/>
  <c r="AH78" i="62"/>
  <c r="AG78" i="62"/>
  <c r="AF78" i="62"/>
  <c r="AE78" i="62"/>
  <c r="AD78" i="62"/>
  <c r="AC78" i="62"/>
  <c r="AB78" i="62"/>
  <c r="AA78" i="62"/>
  <c r="Z78" i="62"/>
  <c r="Y78" i="62"/>
  <c r="X78" i="62"/>
  <c r="W78" i="62"/>
  <c r="V78" i="62"/>
  <c r="U78" i="62"/>
  <c r="T78" i="62"/>
  <c r="S78" i="62"/>
  <c r="R78" i="62"/>
  <c r="AZ65" i="62"/>
  <c r="AY65" i="62"/>
  <c r="AX65" i="62"/>
  <c r="AW65" i="62"/>
  <c r="AV65" i="62"/>
  <c r="AU65" i="62"/>
  <c r="AT65" i="62"/>
  <c r="AS65" i="62"/>
  <c r="AR65" i="62"/>
  <c r="AQ65" i="62"/>
  <c r="AP65" i="62"/>
  <c r="AO65" i="62"/>
  <c r="AN65" i="62"/>
  <c r="AM65" i="62"/>
  <c r="AL65" i="62"/>
  <c r="AK65" i="62"/>
  <c r="AJ65" i="62"/>
  <c r="AI65" i="62"/>
  <c r="AH65" i="62"/>
  <c r="AG65" i="62"/>
  <c r="AF65" i="62"/>
  <c r="AE65" i="62"/>
  <c r="AD65" i="62"/>
  <c r="AC65" i="62"/>
  <c r="AB65" i="62"/>
  <c r="AA65" i="62"/>
  <c r="Z65" i="62"/>
  <c r="Y65" i="62"/>
  <c r="X65" i="62"/>
  <c r="W65" i="62"/>
  <c r="V65" i="62"/>
  <c r="U65" i="62"/>
  <c r="T65" i="62"/>
  <c r="S65" i="62"/>
  <c r="R65" i="62"/>
  <c r="Q65" i="62"/>
  <c r="AZ63" i="62"/>
  <c r="AY63" i="62"/>
  <c r="AX63" i="62"/>
  <c r="AW63" i="62"/>
  <c r="AV63" i="62"/>
  <c r="AU63" i="62"/>
  <c r="AT63" i="62"/>
  <c r="AS63" i="62"/>
  <c r="AR63" i="62"/>
  <c r="AQ63" i="62"/>
  <c r="AP63" i="62"/>
  <c r="AO63" i="62"/>
  <c r="AN63" i="62"/>
  <c r="AM63" i="62"/>
  <c r="AL63" i="62"/>
  <c r="AK63" i="62"/>
  <c r="AJ63" i="62"/>
  <c r="AI63" i="62"/>
  <c r="AH63" i="62"/>
  <c r="AG63" i="62"/>
  <c r="AF63" i="62"/>
  <c r="AE63" i="62"/>
  <c r="AD63" i="62"/>
  <c r="AC63" i="62"/>
  <c r="AB63" i="62"/>
  <c r="AA63" i="62"/>
  <c r="Z63" i="62"/>
  <c r="Y63" i="62"/>
  <c r="X63" i="62"/>
  <c r="W63" i="62"/>
  <c r="V63" i="62"/>
  <c r="U63" i="62"/>
  <c r="T63" i="62"/>
  <c r="S63" i="62"/>
  <c r="R63" i="62"/>
  <c r="Q63" i="62"/>
  <c r="AZ68" i="61"/>
  <c r="AY68" i="61"/>
  <c r="AX68" i="61"/>
  <c r="AW68" i="61"/>
  <c r="AV68" i="61"/>
  <c r="AU68" i="61"/>
  <c r="AT68" i="61"/>
  <c r="AS68" i="61"/>
  <c r="AR68" i="61"/>
  <c r="AQ68" i="61"/>
  <c r="AP68" i="61"/>
  <c r="AO68" i="61"/>
  <c r="AN68" i="61"/>
  <c r="AM68" i="61"/>
  <c r="AL68" i="61"/>
  <c r="AK68" i="61"/>
  <c r="AJ68" i="61"/>
  <c r="AI68" i="61"/>
  <c r="AH68" i="61"/>
  <c r="AG68" i="61"/>
  <c r="AF68" i="61"/>
  <c r="AE68" i="61"/>
  <c r="AD68" i="61"/>
  <c r="AC68" i="61"/>
  <c r="AB68" i="61"/>
  <c r="AA68" i="61"/>
  <c r="Z68" i="61"/>
  <c r="Y68" i="61"/>
  <c r="X68" i="61"/>
  <c r="W68" i="61"/>
  <c r="V68" i="61"/>
  <c r="U68" i="61"/>
  <c r="T68" i="61"/>
  <c r="S68" i="61"/>
  <c r="R68" i="61"/>
  <c r="AZ67" i="61"/>
  <c r="AY67" i="61"/>
  <c r="AX67" i="61"/>
  <c r="AW67" i="61"/>
  <c r="AV67" i="61"/>
  <c r="AU67" i="61"/>
  <c r="AT67" i="61"/>
  <c r="AS67" i="61"/>
  <c r="AR67" i="61"/>
  <c r="AQ67" i="61"/>
  <c r="AP67" i="61"/>
  <c r="AO67" i="61"/>
  <c r="AN67" i="61"/>
  <c r="AM67" i="61"/>
  <c r="AL67" i="61"/>
  <c r="AK67" i="61"/>
  <c r="AJ67" i="61"/>
  <c r="AI67" i="61"/>
  <c r="AH67" i="61"/>
  <c r="AG67" i="61"/>
  <c r="AF67" i="61"/>
  <c r="AE67" i="61"/>
  <c r="AD67" i="61"/>
  <c r="AC67" i="61"/>
  <c r="AB67" i="61"/>
  <c r="AA67" i="61"/>
  <c r="Z67" i="61"/>
  <c r="Y67" i="61"/>
  <c r="X67" i="61"/>
  <c r="W67" i="61"/>
  <c r="V67" i="61"/>
  <c r="U67" i="61"/>
  <c r="T67" i="61"/>
  <c r="S67" i="61"/>
  <c r="R67" i="61"/>
  <c r="AZ66" i="61"/>
  <c r="AY66" i="61"/>
  <c r="AX66" i="61"/>
  <c r="AW66" i="61"/>
  <c r="AV66" i="61"/>
  <c r="AU66" i="61"/>
  <c r="AT66" i="61"/>
  <c r="AS66" i="61"/>
  <c r="AR66" i="61"/>
  <c r="AQ66" i="61"/>
  <c r="AP66" i="61"/>
  <c r="AO66" i="61"/>
  <c r="AN66" i="61"/>
  <c r="AM66" i="61"/>
  <c r="AL66" i="61"/>
  <c r="AK66" i="61"/>
  <c r="AJ66" i="61"/>
  <c r="AI66" i="61"/>
  <c r="AH66" i="61"/>
  <c r="AG66" i="61"/>
  <c r="AF66" i="61"/>
  <c r="AE66" i="61"/>
  <c r="AD66" i="61"/>
  <c r="AC66" i="61"/>
  <c r="AB66" i="61"/>
  <c r="AA66" i="61"/>
  <c r="Z66" i="61"/>
  <c r="Y66" i="61"/>
  <c r="X66" i="61"/>
  <c r="W66" i="61"/>
  <c r="V66" i="61"/>
  <c r="U66" i="61"/>
  <c r="T66" i="61"/>
  <c r="S66" i="61"/>
  <c r="R66" i="61"/>
  <c r="E132" i="59"/>
  <c r="E123" i="59"/>
  <c r="E120" i="59"/>
  <c r="E83" i="59"/>
  <c r="E76" i="59"/>
  <c r="E16" i="59"/>
  <c r="E9" i="59"/>
  <c r="AN86" i="106"/>
  <c r="AM86" i="106"/>
  <c r="AL86" i="106"/>
  <c r="AK86" i="106"/>
  <c r="AJ86" i="106"/>
  <c r="AI86" i="106"/>
  <c r="AH86" i="106"/>
  <c r="AG86" i="106"/>
  <c r="AF86" i="106"/>
  <c r="AE86" i="106"/>
  <c r="AD86" i="106"/>
  <c r="AC86" i="106"/>
  <c r="AB86" i="106"/>
  <c r="AA86" i="106"/>
  <c r="Z86" i="106"/>
  <c r="Y86" i="106"/>
  <c r="X86" i="106"/>
  <c r="W86" i="106"/>
  <c r="V86" i="106"/>
  <c r="U86" i="106"/>
  <c r="T86" i="106"/>
  <c r="S86" i="106"/>
  <c r="R86" i="106"/>
  <c r="Q86" i="106"/>
  <c r="P86" i="106"/>
  <c r="O86" i="106"/>
  <c r="N86" i="106"/>
  <c r="M86" i="106"/>
  <c r="L86" i="106"/>
  <c r="K86" i="106"/>
  <c r="J86" i="106"/>
  <c r="I86" i="106"/>
  <c r="H86" i="106"/>
  <c r="G86" i="106"/>
  <c r="F86" i="106"/>
  <c r="AN32" i="106"/>
  <c r="AM32" i="106"/>
  <c r="AL32" i="106"/>
  <c r="AK32" i="106"/>
  <c r="AJ32" i="106"/>
  <c r="AI32" i="106"/>
  <c r="AH32" i="106"/>
  <c r="AG32" i="106"/>
  <c r="AF32" i="106"/>
  <c r="AE32" i="106"/>
  <c r="AD32" i="106"/>
  <c r="AC32" i="106"/>
  <c r="AB32" i="106"/>
  <c r="AA32" i="106"/>
  <c r="Z32" i="106"/>
  <c r="Y32" i="106"/>
  <c r="X32" i="106"/>
  <c r="W32" i="106"/>
  <c r="V32" i="106"/>
  <c r="U32" i="106"/>
  <c r="T32" i="106"/>
  <c r="S32" i="106"/>
  <c r="R32" i="106"/>
  <c r="Q32" i="106"/>
  <c r="P32" i="106"/>
  <c r="O32" i="106"/>
  <c r="N32" i="106"/>
  <c r="M32" i="106"/>
  <c r="L32" i="106"/>
  <c r="K32" i="106"/>
  <c r="J32" i="106"/>
  <c r="I32" i="106"/>
  <c r="H32" i="106"/>
  <c r="G32" i="106"/>
  <c r="F32" i="106"/>
  <c r="B1" i="106"/>
  <c r="A59" i="82"/>
  <c r="R56" i="82"/>
  <c r="C53" i="82"/>
  <c r="B53" i="82"/>
  <c r="C52" i="82"/>
  <c r="B52" i="82"/>
  <c r="C51" i="82"/>
  <c r="B51" i="82"/>
  <c r="C49" i="82"/>
  <c r="B49" i="82"/>
  <c r="B48" i="82"/>
  <c r="C47" i="82"/>
  <c r="B47" i="82"/>
  <c r="C46" i="82"/>
  <c r="B46" i="82"/>
  <c r="C45" i="82"/>
  <c r="B45" i="82"/>
  <c r="C44" i="82"/>
  <c r="B44" i="82"/>
  <c r="C43" i="82"/>
  <c r="B43" i="82"/>
  <c r="C42" i="82"/>
  <c r="B42" i="82"/>
  <c r="C41" i="82"/>
  <c r="B41" i="82"/>
  <c r="C40" i="82"/>
  <c r="B40" i="82"/>
  <c r="C39" i="82"/>
  <c r="B39" i="82"/>
  <c r="C38" i="82"/>
  <c r="B38" i="82"/>
  <c r="C37" i="82"/>
  <c r="B37" i="82"/>
  <c r="C36" i="82"/>
  <c r="B36" i="82"/>
  <c r="C35" i="82"/>
  <c r="B35" i="82"/>
  <c r="C34" i="82"/>
  <c r="B34" i="82"/>
  <c r="C33" i="82"/>
  <c r="B33" i="82"/>
  <c r="C32" i="82"/>
  <c r="B32" i="82"/>
  <c r="C31" i="82"/>
  <c r="B31" i="82"/>
  <c r="C30" i="82"/>
  <c r="B30" i="82"/>
  <c r="C29" i="82"/>
  <c r="B29" i="82"/>
  <c r="C28" i="82"/>
  <c r="B28" i="82"/>
  <c r="C27" i="82"/>
  <c r="B27" i="82"/>
  <c r="C26" i="82"/>
  <c r="B26" i="82"/>
  <c r="C24" i="82"/>
  <c r="C23" i="82"/>
  <c r="E23" i="82" s="1"/>
  <c r="AN258" i="20"/>
  <c r="AN135" i="20"/>
  <c r="E13" i="20"/>
  <c r="E6" i="66"/>
  <c r="O6" i="66" s="1"/>
  <c r="E416" i="68"/>
  <c r="E334" i="68"/>
  <c r="O375" i="68" s="1"/>
  <c r="AX332" i="68"/>
  <c r="AW332" i="68"/>
  <c r="AV332" i="68"/>
  <c r="AU332" i="68"/>
  <c r="AT332" i="68"/>
  <c r="AS332" i="68"/>
  <c r="AR332" i="68"/>
  <c r="AQ332" i="68"/>
  <c r="AP332" i="68"/>
  <c r="AO332" i="68"/>
  <c r="AN332" i="68"/>
  <c r="AM332" i="68"/>
  <c r="AL332" i="68"/>
  <c r="AK332" i="68"/>
  <c r="AJ332" i="68"/>
  <c r="AI332" i="68"/>
  <c r="AH332" i="68"/>
  <c r="AG332" i="68"/>
  <c r="AF332" i="68"/>
  <c r="AE332" i="68"/>
  <c r="AD332" i="68"/>
  <c r="AC332" i="68"/>
  <c r="AB332" i="68"/>
  <c r="AA332" i="68"/>
  <c r="Z332" i="68"/>
  <c r="Y332" i="68"/>
  <c r="X332" i="68"/>
  <c r="W332" i="68"/>
  <c r="V332" i="68"/>
  <c r="U332" i="68"/>
  <c r="T332" i="68"/>
  <c r="S332" i="68"/>
  <c r="R332" i="68"/>
  <c r="Q332" i="68"/>
  <c r="P332" i="68"/>
  <c r="O332" i="68"/>
  <c r="E293" i="68"/>
  <c r="AX291" i="68"/>
  <c r="AW291" i="68"/>
  <c r="AV291" i="68"/>
  <c r="AU291" i="68"/>
  <c r="AT291" i="68"/>
  <c r="AS291" i="68"/>
  <c r="AR291" i="68"/>
  <c r="AQ291" i="68"/>
  <c r="AP291" i="68"/>
  <c r="AO291" i="68"/>
  <c r="AN291" i="68"/>
  <c r="AM291" i="68"/>
  <c r="AL291" i="68"/>
  <c r="AK291" i="68"/>
  <c r="AJ291" i="68"/>
  <c r="AI291" i="68"/>
  <c r="AH291" i="68"/>
  <c r="AG291" i="68"/>
  <c r="AF291" i="68"/>
  <c r="AE291" i="68"/>
  <c r="AD291" i="68"/>
  <c r="AC291" i="68"/>
  <c r="AB291" i="68"/>
  <c r="AA291" i="68"/>
  <c r="Z291" i="68"/>
  <c r="Y291" i="68"/>
  <c r="X291" i="68"/>
  <c r="W291" i="68"/>
  <c r="V291" i="68"/>
  <c r="U291" i="68"/>
  <c r="T291" i="68"/>
  <c r="S291" i="68"/>
  <c r="R291" i="68"/>
  <c r="Q291" i="68"/>
  <c r="P291" i="68"/>
  <c r="O291" i="68"/>
  <c r="E252" i="68"/>
  <c r="O252" i="68" s="1"/>
  <c r="AX250" i="68"/>
  <c r="AW250" i="68"/>
  <c r="AV250" i="68"/>
  <c r="AU250" i="68"/>
  <c r="AT250" i="68"/>
  <c r="AS250" i="68"/>
  <c r="AR250" i="68"/>
  <c r="AQ250" i="68"/>
  <c r="AP250" i="68"/>
  <c r="AO250" i="68"/>
  <c r="AN250" i="68"/>
  <c r="AM250" i="68"/>
  <c r="AL250" i="68"/>
  <c r="AK250" i="68"/>
  <c r="AJ250" i="68"/>
  <c r="AI250" i="68"/>
  <c r="AH250" i="68"/>
  <c r="AG250" i="68"/>
  <c r="AF250" i="68"/>
  <c r="AE250" i="68"/>
  <c r="AD250" i="68"/>
  <c r="AC250" i="68"/>
  <c r="AB250" i="68"/>
  <c r="AA250" i="68"/>
  <c r="Z250" i="68"/>
  <c r="Y250" i="68"/>
  <c r="X250" i="68"/>
  <c r="W250" i="68"/>
  <c r="V250" i="68"/>
  <c r="U250" i="68"/>
  <c r="T250" i="68"/>
  <c r="S250" i="68"/>
  <c r="R250" i="68"/>
  <c r="Q250" i="68"/>
  <c r="P250" i="68"/>
  <c r="E209" i="68"/>
  <c r="O209" i="68" s="1"/>
  <c r="E127" i="68"/>
  <c r="O168" i="68" s="1"/>
  <c r="AX125" i="68"/>
  <c r="AW125" i="68"/>
  <c r="AV125" i="68"/>
  <c r="AU125" i="68"/>
  <c r="AT125" i="68"/>
  <c r="AS125" i="68"/>
  <c r="AR125" i="68"/>
  <c r="AQ125" i="68"/>
  <c r="AP125" i="68"/>
  <c r="AO125" i="68"/>
  <c r="AN125" i="68"/>
  <c r="AM125" i="68"/>
  <c r="AL125" i="68"/>
  <c r="AK125" i="68"/>
  <c r="AJ125" i="68"/>
  <c r="AI125" i="68"/>
  <c r="AH125" i="68"/>
  <c r="AG125" i="68"/>
  <c r="AF125" i="68"/>
  <c r="AE125" i="68"/>
  <c r="AD125" i="68"/>
  <c r="AC125" i="68"/>
  <c r="AB125" i="68"/>
  <c r="AA125" i="68"/>
  <c r="Z125" i="68"/>
  <c r="Y125" i="68"/>
  <c r="X125" i="68"/>
  <c r="W125" i="68"/>
  <c r="V125" i="68"/>
  <c r="U125" i="68"/>
  <c r="T125" i="68"/>
  <c r="S125" i="68"/>
  <c r="R125" i="68"/>
  <c r="Q125" i="68"/>
  <c r="P125" i="68"/>
  <c r="O125" i="68"/>
  <c r="E45" i="68"/>
  <c r="AX43" i="68"/>
  <c r="AW43" i="68"/>
  <c r="AV43" i="68"/>
  <c r="AU43" i="68"/>
  <c r="AT43" i="68"/>
  <c r="AS43" i="68"/>
  <c r="AR43" i="68"/>
  <c r="AQ43" i="68"/>
  <c r="AP43" i="68"/>
  <c r="AO43" i="68"/>
  <c r="AN43" i="68"/>
  <c r="AM43" i="68"/>
  <c r="AL43" i="68"/>
  <c r="AK43" i="68"/>
  <c r="AJ43" i="68"/>
  <c r="AI43" i="68"/>
  <c r="AH43" i="68"/>
  <c r="AG43" i="68"/>
  <c r="AF43" i="68"/>
  <c r="AE43" i="68"/>
  <c r="AD43" i="68"/>
  <c r="AC43" i="68"/>
  <c r="AB43" i="68"/>
  <c r="AA43" i="68"/>
  <c r="Z43" i="68"/>
  <c r="Y43" i="68"/>
  <c r="X43" i="68"/>
  <c r="W43" i="68"/>
  <c r="V43" i="68"/>
  <c r="U43" i="68"/>
  <c r="T43" i="68"/>
  <c r="S43" i="68"/>
  <c r="R43" i="68"/>
  <c r="Q43" i="68"/>
  <c r="P43" i="68"/>
  <c r="O43" i="68"/>
  <c r="A42" i="97"/>
  <c r="B42" i="97" s="1"/>
  <c r="E40" i="97"/>
  <c r="D40" i="97"/>
  <c r="C40" i="97"/>
  <c r="B40" i="97"/>
  <c r="AA82" i="57"/>
  <c r="AB82" i="57" s="1"/>
  <c r="AC82" i="57" s="1"/>
  <c r="AD82" i="57" s="1"/>
  <c r="AE82" i="57" s="1"/>
  <c r="AF82" i="57" s="1"/>
  <c r="AG82" i="57" s="1"/>
  <c r="AH82" i="57" s="1"/>
  <c r="AI82" i="57" s="1"/>
  <c r="AJ82" i="57" s="1"/>
  <c r="AK82" i="57" s="1"/>
  <c r="AL82" i="57" s="1"/>
  <c r="AM82" i="57" s="1"/>
  <c r="AN82" i="57" s="1"/>
  <c r="AO82" i="57" s="1"/>
  <c r="AP82" i="57" s="1"/>
  <c r="AQ82" i="57" s="1"/>
  <c r="AR82" i="57" s="1"/>
  <c r="AS82" i="57" s="1"/>
  <c r="AT82" i="57" s="1"/>
  <c r="AU82" i="57" s="1"/>
  <c r="AV82" i="57" s="1"/>
  <c r="AW82" i="57" s="1"/>
  <c r="AX82" i="57" s="1"/>
  <c r="Q82" i="57"/>
  <c r="R82" i="57" s="1"/>
  <c r="S82" i="57" s="1"/>
  <c r="T82" i="57" s="1"/>
  <c r="U82" i="57" s="1"/>
  <c r="V82" i="57" s="1"/>
  <c r="W82" i="57" s="1"/>
  <c r="X82" i="57" s="1"/>
  <c r="Y82" i="57" s="1"/>
  <c r="AA80" i="57"/>
  <c r="AB80" i="57" s="1"/>
  <c r="AC80" i="57" s="1"/>
  <c r="AD80" i="57" s="1"/>
  <c r="AE80" i="57" s="1"/>
  <c r="AF80" i="57" s="1"/>
  <c r="AG80" i="57" s="1"/>
  <c r="AH80" i="57" s="1"/>
  <c r="AI80" i="57" s="1"/>
  <c r="AJ80" i="57" s="1"/>
  <c r="AK80" i="57" s="1"/>
  <c r="AL80" i="57" s="1"/>
  <c r="AM80" i="57" s="1"/>
  <c r="AN80" i="57" s="1"/>
  <c r="AO80" i="57" s="1"/>
  <c r="AP80" i="57" s="1"/>
  <c r="AQ80" i="57" s="1"/>
  <c r="AR80" i="57" s="1"/>
  <c r="AS80" i="57" s="1"/>
  <c r="AT80" i="57" s="1"/>
  <c r="AU80" i="57" s="1"/>
  <c r="AV80" i="57" s="1"/>
  <c r="AW80" i="57" s="1"/>
  <c r="AX80" i="57" s="1"/>
  <c r="Q80" i="57"/>
  <c r="R80" i="57" s="1"/>
  <c r="S80" i="57" s="1"/>
  <c r="T80" i="57" s="1"/>
  <c r="U80" i="57" s="1"/>
  <c r="V80" i="57" s="1"/>
  <c r="W80" i="57" s="1"/>
  <c r="X80" i="57" s="1"/>
  <c r="Y80" i="57" s="1"/>
  <c r="AA79" i="57"/>
  <c r="AB79" i="57" s="1"/>
  <c r="AC79" i="57" s="1"/>
  <c r="AD79" i="57" s="1"/>
  <c r="AE79" i="57" s="1"/>
  <c r="AF79" i="57" s="1"/>
  <c r="AG79" i="57" s="1"/>
  <c r="AH79" i="57" s="1"/>
  <c r="AI79" i="57" s="1"/>
  <c r="AJ79" i="57" s="1"/>
  <c r="AK79" i="57" s="1"/>
  <c r="AL79" i="57" s="1"/>
  <c r="AM79" i="57" s="1"/>
  <c r="AN79" i="57" s="1"/>
  <c r="AO79" i="57" s="1"/>
  <c r="AP79" i="57" s="1"/>
  <c r="AQ79" i="57" s="1"/>
  <c r="AR79" i="57" s="1"/>
  <c r="AS79" i="57" s="1"/>
  <c r="AT79" i="57" s="1"/>
  <c r="AU79" i="57" s="1"/>
  <c r="AV79" i="57" s="1"/>
  <c r="AW79" i="57" s="1"/>
  <c r="AX79" i="57" s="1"/>
  <c r="Q79" i="57"/>
  <c r="R79" i="57" s="1"/>
  <c r="S79" i="57" s="1"/>
  <c r="T79" i="57" s="1"/>
  <c r="U79" i="57" s="1"/>
  <c r="V79" i="57" s="1"/>
  <c r="W79" i="57" s="1"/>
  <c r="X79" i="57" s="1"/>
  <c r="Y79" i="57" s="1"/>
  <c r="AA78" i="57"/>
  <c r="AB78" i="57" s="1"/>
  <c r="AC78" i="57" s="1"/>
  <c r="AD78" i="57" s="1"/>
  <c r="AE78" i="57" s="1"/>
  <c r="AF78" i="57" s="1"/>
  <c r="AG78" i="57" s="1"/>
  <c r="AH78" i="57" s="1"/>
  <c r="AI78" i="57" s="1"/>
  <c r="AJ78" i="57" s="1"/>
  <c r="AK78" i="57" s="1"/>
  <c r="AL78" i="57" s="1"/>
  <c r="AM78" i="57" s="1"/>
  <c r="AN78" i="57" s="1"/>
  <c r="AO78" i="57" s="1"/>
  <c r="AP78" i="57" s="1"/>
  <c r="AQ78" i="57" s="1"/>
  <c r="AR78" i="57" s="1"/>
  <c r="AS78" i="57" s="1"/>
  <c r="AT78" i="57" s="1"/>
  <c r="AU78" i="57" s="1"/>
  <c r="AV78" i="57" s="1"/>
  <c r="AW78" i="57" s="1"/>
  <c r="AX78" i="57" s="1"/>
  <c r="Q78" i="57"/>
  <c r="R78" i="57" s="1"/>
  <c r="S78" i="57" s="1"/>
  <c r="T78" i="57" s="1"/>
  <c r="U78" i="57" s="1"/>
  <c r="V78" i="57" s="1"/>
  <c r="W78" i="57" s="1"/>
  <c r="X78" i="57" s="1"/>
  <c r="Y78" i="57" s="1"/>
  <c r="AA77" i="57"/>
  <c r="AB77" i="57" s="1"/>
  <c r="AC77" i="57" s="1"/>
  <c r="AD77" i="57" s="1"/>
  <c r="AE77" i="57" s="1"/>
  <c r="AF77" i="57" s="1"/>
  <c r="AG77" i="57" s="1"/>
  <c r="AH77" i="57" s="1"/>
  <c r="AI77" i="57" s="1"/>
  <c r="AJ77" i="57" s="1"/>
  <c r="AK77" i="57" s="1"/>
  <c r="AL77" i="57" s="1"/>
  <c r="AM77" i="57" s="1"/>
  <c r="AN77" i="57" s="1"/>
  <c r="AO77" i="57" s="1"/>
  <c r="AP77" i="57" s="1"/>
  <c r="AQ77" i="57" s="1"/>
  <c r="AR77" i="57" s="1"/>
  <c r="AS77" i="57" s="1"/>
  <c r="AT77" i="57" s="1"/>
  <c r="AU77" i="57" s="1"/>
  <c r="AV77" i="57" s="1"/>
  <c r="AW77" i="57" s="1"/>
  <c r="AX77" i="57" s="1"/>
  <c r="Q77" i="57"/>
  <c r="R77" i="57" s="1"/>
  <c r="S77" i="57" s="1"/>
  <c r="T77" i="57" s="1"/>
  <c r="U77" i="57" s="1"/>
  <c r="V77" i="57" s="1"/>
  <c r="W77" i="57" s="1"/>
  <c r="X77" i="57" s="1"/>
  <c r="Y77" i="57" s="1"/>
  <c r="AA76" i="57"/>
  <c r="AB76" i="57" s="1"/>
  <c r="AC76" i="57" s="1"/>
  <c r="AD76" i="57" s="1"/>
  <c r="AE76" i="57" s="1"/>
  <c r="AF76" i="57" s="1"/>
  <c r="AG76" i="57" s="1"/>
  <c r="AH76" i="57" s="1"/>
  <c r="AI76" i="57" s="1"/>
  <c r="AJ76" i="57" s="1"/>
  <c r="AK76" i="57" s="1"/>
  <c r="AL76" i="57" s="1"/>
  <c r="AM76" i="57" s="1"/>
  <c r="AN76" i="57" s="1"/>
  <c r="AO76" i="57" s="1"/>
  <c r="AP76" i="57" s="1"/>
  <c r="AQ76" i="57" s="1"/>
  <c r="AR76" i="57" s="1"/>
  <c r="AS76" i="57" s="1"/>
  <c r="AT76" i="57" s="1"/>
  <c r="AU76" i="57" s="1"/>
  <c r="AV76" i="57" s="1"/>
  <c r="AW76" i="57" s="1"/>
  <c r="AX76" i="57" s="1"/>
  <c r="Q76" i="57"/>
  <c r="R76" i="57" s="1"/>
  <c r="S76" i="57" s="1"/>
  <c r="T76" i="57" s="1"/>
  <c r="U76" i="57" s="1"/>
  <c r="V76" i="57" s="1"/>
  <c r="W76" i="57" s="1"/>
  <c r="X76" i="57" s="1"/>
  <c r="Y76" i="57" s="1"/>
  <c r="AA72" i="57"/>
  <c r="AB72" i="57" s="1"/>
  <c r="AC72" i="57" s="1"/>
  <c r="AD72" i="57" s="1"/>
  <c r="AE72" i="57" s="1"/>
  <c r="AF72" i="57" s="1"/>
  <c r="AG72" i="57" s="1"/>
  <c r="AH72" i="57" s="1"/>
  <c r="AI72" i="57" s="1"/>
  <c r="AJ72" i="57" s="1"/>
  <c r="AK72" i="57" s="1"/>
  <c r="AL72" i="57" s="1"/>
  <c r="AM72" i="57" s="1"/>
  <c r="AN72" i="57" s="1"/>
  <c r="AO72" i="57" s="1"/>
  <c r="AP72" i="57" s="1"/>
  <c r="AQ72" i="57" s="1"/>
  <c r="AR72" i="57" s="1"/>
  <c r="AS72" i="57" s="1"/>
  <c r="AT72" i="57" s="1"/>
  <c r="AU72" i="57" s="1"/>
  <c r="AV72" i="57" s="1"/>
  <c r="AW72" i="57" s="1"/>
  <c r="AX72" i="57" s="1"/>
  <c r="Q72" i="57"/>
  <c r="R72" i="57" s="1"/>
  <c r="S72" i="57" s="1"/>
  <c r="T72" i="57" s="1"/>
  <c r="U72" i="57" s="1"/>
  <c r="V72" i="57" s="1"/>
  <c r="W72" i="57" s="1"/>
  <c r="X72" i="57" s="1"/>
  <c r="Y72" i="57" s="1"/>
  <c r="AX71" i="57"/>
  <c r="AA70" i="57"/>
  <c r="AB70" i="57" s="1"/>
  <c r="AC70" i="57" s="1"/>
  <c r="AD70" i="57" s="1"/>
  <c r="AE70" i="57" s="1"/>
  <c r="AF70" i="57" s="1"/>
  <c r="AG70" i="57" s="1"/>
  <c r="AH70" i="57" s="1"/>
  <c r="AI70" i="57" s="1"/>
  <c r="AJ70" i="57" s="1"/>
  <c r="AK70" i="57" s="1"/>
  <c r="AL70" i="57" s="1"/>
  <c r="AM70" i="57" s="1"/>
  <c r="AN70" i="57" s="1"/>
  <c r="AO70" i="57" s="1"/>
  <c r="AP70" i="57" s="1"/>
  <c r="AQ70" i="57" s="1"/>
  <c r="AR70" i="57" s="1"/>
  <c r="AS70" i="57" s="1"/>
  <c r="AT70" i="57" s="1"/>
  <c r="AU70" i="57" s="1"/>
  <c r="AV70" i="57" s="1"/>
  <c r="AW70" i="57" s="1"/>
  <c r="AX70" i="57" s="1"/>
  <c r="Q70" i="57"/>
  <c r="R70" i="57" s="1"/>
  <c r="S70" i="57" s="1"/>
  <c r="T70" i="57" s="1"/>
  <c r="U70" i="57" s="1"/>
  <c r="V70" i="57" s="1"/>
  <c r="W70" i="57" s="1"/>
  <c r="X70" i="57" s="1"/>
  <c r="Y70" i="57" s="1"/>
  <c r="AA69" i="57"/>
  <c r="AB69" i="57" s="1"/>
  <c r="AC69" i="57" s="1"/>
  <c r="AD69" i="57" s="1"/>
  <c r="AE69" i="57" s="1"/>
  <c r="AF69" i="57" s="1"/>
  <c r="AG69" i="57" s="1"/>
  <c r="AH69" i="57" s="1"/>
  <c r="AI69" i="57" s="1"/>
  <c r="AJ69" i="57" s="1"/>
  <c r="AK69" i="57" s="1"/>
  <c r="AL69" i="57" s="1"/>
  <c r="AM69" i="57" s="1"/>
  <c r="AN69" i="57" s="1"/>
  <c r="AO69" i="57" s="1"/>
  <c r="AP69" i="57" s="1"/>
  <c r="AQ69" i="57" s="1"/>
  <c r="AR69" i="57" s="1"/>
  <c r="AS69" i="57" s="1"/>
  <c r="AT69" i="57" s="1"/>
  <c r="AU69" i="57" s="1"/>
  <c r="AV69" i="57" s="1"/>
  <c r="AW69" i="57" s="1"/>
  <c r="AX69" i="57" s="1"/>
  <c r="Q69" i="57"/>
  <c r="R69" i="57" s="1"/>
  <c r="S69" i="57" s="1"/>
  <c r="T69" i="57" s="1"/>
  <c r="U69" i="57" s="1"/>
  <c r="V69" i="57" s="1"/>
  <c r="W69" i="57" s="1"/>
  <c r="X69" i="57" s="1"/>
  <c r="Y69" i="57" s="1"/>
  <c r="AA68" i="57"/>
  <c r="AB68" i="57" s="1"/>
  <c r="AC68" i="57" s="1"/>
  <c r="AD68" i="57" s="1"/>
  <c r="AE68" i="57" s="1"/>
  <c r="AF68" i="57" s="1"/>
  <c r="AG68" i="57" s="1"/>
  <c r="AH68" i="57" s="1"/>
  <c r="AI68" i="57" s="1"/>
  <c r="AJ68" i="57" s="1"/>
  <c r="AK68" i="57" s="1"/>
  <c r="AL68" i="57" s="1"/>
  <c r="AM68" i="57" s="1"/>
  <c r="AN68" i="57" s="1"/>
  <c r="AO68" i="57" s="1"/>
  <c r="AP68" i="57" s="1"/>
  <c r="AQ68" i="57" s="1"/>
  <c r="AR68" i="57" s="1"/>
  <c r="AS68" i="57" s="1"/>
  <c r="AT68" i="57" s="1"/>
  <c r="AU68" i="57" s="1"/>
  <c r="AV68" i="57" s="1"/>
  <c r="AW68" i="57" s="1"/>
  <c r="AX68" i="57" s="1"/>
  <c r="Q68" i="57"/>
  <c r="R68" i="57" s="1"/>
  <c r="S68" i="57" s="1"/>
  <c r="T68" i="57" s="1"/>
  <c r="U68" i="57" s="1"/>
  <c r="V68" i="57" s="1"/>
  <c r="W68" i="57" s="1"/>
  <c r="X68" i="57" s="1"/>
  <c r="Y68" i="57" s="1"/>
  <c r="AA67" i="57"/>
  <c r="AB67" i="57" s="1"/>
  <c r="AC67" i="57" s="1"/>
  <c r="AD67" i="57" s="1"/>
  <c r="AE67" i="57" s="1"/>
  <c r="AF67" i="57" s="1"/>
  <c r="AG67" i="57" s="1"/>
  <c r="AH67" i="57" s="1"/>
  <c r="AI67" i="57" s="1"/>
  <c r="AJ67" i="57" s="1"/>
  <c r="AK67" i="57" s="1"/>
  <c r="AL67" i="57" s="1"/>
  <c r="AM67" i="57" s="1"/>
  <c r="AN67" i="57" s="1"/>
  <c r="AO67" i="57" s="1"/>
  <c r="AP67" i="57" s="1"/>
  <c r="AQ67" i="57" s="1"/>
  <c r="AR67" i="57" s="1"/>
  <c r="AS67" i="57" s="1"/>
  <c r="AT67" i="57" s="1"/>
  <c r="AU67" i="57" s="1"/>
  <c r="AV67" i="57" s="1"/>
  <c r="AW67" i="57" s="1"/>
  <c r="AX67" i="57" s="1"/>
  <c r="Q67" i="57"/>
  <c r="R67" i="57" s="1"/>
  <c r="S67" i="57" s="1"/>
  <c r="T67" i="57" s="1"/>
  <c r="U67" i="57" s="1"/>
  <c r="V67" i="57" s="1"/>
  <c r="W67" i="57" s="1"/>
  <c r="X67" i="57" s="1"/>
  <c r="Y67" i="57" s="1"/>
  <c r="AA66" i="57"/>
  <c r="AB66" i="57" s="1"/>
  <c r="AC66" i="57" s="1"/>
  <c r="AD66" i="57" s="1"/>
  <c r="AE66" i="57" s="1"/>
  <c r="AF66" i="57" s="1"/>
  <c r="AG66" i="57" s="1"/>
  <c r="AH66" i="57" s="1"/>
  <c r="AI66" i="57" s="1"/>
  <c r="AJ66" i="57" s="1"/>
  <c r="AK66" i="57" s="1"/>
  <c r="AL66" i="57" s="1"/>
  <c r="AM66" i="57" s="1"/>
  <c r="AN66" i="57" s="1"/>
  <c r="AO66" i="57" s="1"/>
  <c r="AP66" i="57" s="1"/>
  <c r="AQ66" i="57" s="1"/>
  <c r="AR66" i="57" s="1"/>
  <c r="AS66" i="57" s="1"/>
  <c r="AT66" i="57" s="1"/>
  <c r="AU66" i="57" s="1"/>
  <c r="AV66" i="57" s="1"/>
  <c r="AW66" i="57" s="1"/>
  <c r="AX66" i="57" s="1"/>
  <c r="Q66" i="57"/>
  <c r="R66" i="57" s="1"/>
  <c r="S66" i="57" s="1"/>
  <c r="T66" i="57" s="1"/>
  <c r="U66" i="57" s="1"/>
  <c r="V66" i="57" s="1"/>
  <c r="W66" i="57" s="1"/>
  <c r="X66" i="57" s="1"/>
  <c r="Y66" i="57" s="1"/>
  <c r="AY53" i="57"/>
  <c r="AX53" i="57"/>
  <c r="AW53" i="57"/>
  <c r="AV53" i="57"/>
  <c r="AU53" i="57"/>
  <c r="AT53" i="57"/>
  <c r="AS53" i="57"/>
  <c r="AR53" i="57"/>
  <c r="AQ53" i="57"/>
  <c r="AP53" i="57"/>
  <c r="AO53" i="57"/>
  <c r="AN53" i="57"/>
  <c r="AM53" i="57"/>
  <c r="AL53" i="57"/>
  <c r="AK53" i="57"/>
  <c r="AJ53" i="57"/>
  <c r="AI53" i="57"/>
  <c r="AH53" i="57"/>
  <c r="AG53" i="57"/>
  <c r="AF53" i="57"/>
  <c r="AE53" i="57"/>
  <c r="AD53" i="57"/>
  <c r="AC53" i="57"/>
  <c r="AB53" i="57"/>
  <c r="AA53" i="57"/>
  <c r="Z53" i="57"/>
  <c r="Y53" i="57"/>
  <c r="X53" i="57"/>
  <c r="W53" i="57"/>
  <c r="V53" i="57"/>
  <c r="U53" i="57"/>
  <c r="T53" i="57"/>
  <c r="S53" i="57"/>
  <c r="R53" i="57"/>
  <c r="Q53" i="57"/>
  <c r="P53" i="57"/>
  <c r="AY52" i="57"/>
  <c r="AX52" i="57"/>
  <c r="AW52" i="57"/>
  <c r="AV52" i="57"/>
  <c r="AU52" i="57"/>
  <c r="AT52" i="57"/>
  <c r="AS52" i="57"/>
  <c r="AR52" i="57"/>
  <c r="AQ52" i="57"/>
  <c r="AP52" i="57"/>
  <c r="AO52" i="57"/>
  <c r="AN52" i="57"/>
  <c r="AM52" i="57"/>
  <c r="AL52" i="57"/>
  <c r="AK52" i="57"/>
  <c r="AJ52" i="57"/>
  <c r="AI52" i="57"/>
  <c r="AH52" i="57"/>
  <c r="AG52" i="57"/>
  <c r="AF52" i="57"/>
  <c r="AE52" i="57"/>
  <c r="AD52" i="57"/>
  <c r="AC52" i="57"/>
  <c r="AB52" i="57"/>
  <c r="AA52" i="57"/>
  <c r="Z52" i="57"/>
  <c r="Y52" i="57"/>
  <c r="X52" i="57"/>
  <c r="W52" i="57"/>
  <c r="V52" i="57"/>
  <c r="U52" i="57"/>
  <c r="T52" i="57"/>
  <c r="S52" i="57"/>
  <c r="R52" i="57"/>
  <c r="AY15" i="57"/>
  <c r="AX15" i="57"/>
  <c r="AW15" i="57"/>
  <c r="AV15" i="57"/>
  <c r="AU15" i="57"/>
  <c r="AT15" i="57"/>
  <c r="AS15" i="57"/>
  <c r="AR15" i="57"/>
  <c r="AQ15" i="57"/>
  <c r="AP15" i="57"/>
  <c r="AO15" i="57"/>
  <c r="AN15" i="57"/>
  <c r="AM15" i="57"/>
  <c r="AL15" i="57"/>
  <c r="AK15" i="57"/>
  <c r="AJ15" i="57"/>
  <c r="AI15" i="57"/>
  <c r="AH15" i="57"/>
  <c r="AG15" i="57"/>
  <c r="AF15" i="57"/>
  <c r="AE15" i="57"/>
  <c r="AD15" i="57"/>
  <c r="AC15" i="57"/>
  <c r="AB15" i="57"/>
  <c r="AA15" i="57"/>
  <c r="Z15" i="57"/>
  <c r="Y15" i="57"/>
  <c r="X15" i="57"/>
  <c r="W15" i="57"/>
  <c r="V15" i="57"/>
  <c r="U15" i="57"/>
  <c r="T15" i="57"/>
  <c r="S15" i="57"/>
  <c r="R15" i="57"/>
  <c r="Q15" i="57"/>
  <c r="P15" i="57"/>
  <c r="E62" i="24"/>
  <c r="E29" i="24"/>
  <c r="A178" i="113"/>
  <c r="CG176" i="113"/>
  <c r="AB176" i="113"/>
  <c r="AB178" i="113" s="1"/>
  <c r="AA176" i="113"/>
  <c r="AA178" i="113" s="1"/>
  <c r="Z176" i="113"/>
  <c r="Z178" i="113" s="1"/>
  <c r="Y176" i="113"/>
  <c r="Y178" i="113" s="1"/>
  <c r="X176" i="113"/>
  <c r="X178" i="113" s="1"/>
  <c r="W176" i="113"/>
  <c r="W178" i="113" s="1"/>
  <c r="V176" i="113"/>
  <c r="V178" i="113" s="1"/>
  <c r="U176" i="113"/>
  <c r="U178" i="113" s="1"/>
  <c r="T176" i="113"/>
  <c r="T178" i="113" s="1"/>
  <c r="S176" i="113"/>
  <c r="S178" i="113" s="1"/>
  <c r="R176" i="113"/>
  <c r="R178" i="113" s="1"/>
  <c r="Q176" i="113"/>
  <c r="Q178" i="113" s="1"/>
  <c r="P176" i="113"/>
  <c r="O176" i="113"/>
  <c r="O178" i="113" s="1"/>
  <c r="N176" i="113"/>
  <c r="N178" i="113" s="1"/>
  <c r="M176" i="113"/>
  <c r="M178" i="113" s="1"/>
  <c r="L176" i="113"/>
  <c r="L178" i="113" s="1"/>
  <c r="K176" i="113"/>
  <c r="K178" i="113" s="1"/>
  <c r="J176" i="113"/>
  <c r="J178" i="113" s="1"/>
  <c r="I176" i="113"/>
  <c r="I178" i="113" s="1"/>
  <c r="H176" i="113"/>
  <c r="H178" i="113" s="1"/>
  <c r="G176" i="113"/>
  <c r="G178" i="113" s="1"/>
  <c r="F176" i="113"/>
  <c r="F178" i="113" s="1"/>
  <c r="E176" i="113"/>
  <c r="E178" i="113" s="1"/>
  <c r="D176" i="113"/>
  <c r="D178" i="113" s="1"/>
  <c r="CF176" i="113"/>
  <c r="CD176" i="113"/>
  <c r="CD178" i="113" s="1"/>
  <c r="CC176" i="113"/>
  <c r="CC178" i="113" s="1"/>
  <c r="CB176" i="113"/>
  <c r="CB178" i="113" s="1"/>
  <c r="CA176" i="113"/>
  <c r="CA178" i="113" s="1"/>
  <c r="BZ176" i="113"/>
  <c r="BZ178" i="113" s="1"/>
  <c r="BY176" i="113"/>
  <c r="BY178" i="113" s="1"/>
  <c r="BX176" i="113"/>
  <c r="BX178" i="113" s="1"/>
  <c r="BW176" i="113"/>
  <c r="BW178" i="113" s="1"/>
  <c r="BV176" i="113"/>
  <c r="BV178" i="113" s="1"/>
  <c r="BU176" i="113"/>
  <c r="BU178" i="113" s="1"/>
  <c r="BT176" i="113"/>
  <c r="BT178" i="113" s="1"/>
  <c r="BS176" i="113"/>
  <c r="BS178" i="113" s="1"/>
  <c r="BR176" i="113"/>
  <c r="BQ176" i="113"/>
  <c r="BQ178" i="113" s="1"/>
  <c r="BP176" i="113"/>
  <c r="BP178" i="113" s="1"/>
  <c r="BO176" i="113"/>
  <c r="BO178" i="113" s="1"/>
  <c r="BN176" i="113"/>
  <c r="BN178" i="113" s="1"/>
  <c r="BM176" i="113"/>
  <c r="BM178" i="113" s="1"/>
  <c r="BL176" i="113"/>
  <c r="BL178" i="113" s="1"/>
  <c r="BK176" i="113"/>
  <c r="BK178" i="113" s="1"/>
  <c r="BJ176" i="113"/>
  <c r="BJ178" i="113" s="1"/>
  <c r="BI176" i="113"/>
  <c r="BI178" i="113" s="1"/>
  <c r="BH176" i="113"/>
  <c r="BH178" i="113" s="1"/>
  <c r="BG176" i="113"/>
  <c r="BG178" i="113" s="1"/>
  <c r="BF176" i="113"/>
  <c r="BF178" i="113" s="1"/>
  <c r="BE176" i="113"/>
  <c r="BE178" i="113" s="1"/>
  <c r="BC176" i="113"/>
  <c r="BC178" i="113" s="1"/>
  <c r="BB176" i="113"/>
  <c r="BB178" i="113" s="1"/>
  <c r="BA176" i="113"/>
  <c r="BA178" i="113" s="1"/>
  <c r="AZ176" i="113"/>
  <c r="AZ178" i="113" s="1"/>
  <c r="AY176" i="113"/>
  <c r="AY178" i="113" s="1"/>
  <c r="AX176" i="113"/>
  <c r="AX178" i="113" s="1"/>
  <c r="AW176" i="113"/>
  <c r="AW178" i="113" s="1"/>
  <c r="AV176" i="113"/>
  <c r="AV178" i="113" s="1"/>
  <c r="AU176" i="113"/>
  <c r="AU178" i="113" s="1"/>
  <c r="AT176" i="113"/>
  <c r="AT178" i="113" s="1"/>
  <c r="AS176" i="113"/>
  <c r="AS178" i="113" s="1"/>
  <c r="AR176" i="113"/>
  <c r="AR178" i="113" s="1"/>
  <c r="AQ176" i="113"/>
  <c r="AP176" i="113"/>
  <c r="AP178" i="113" s="1"/>
  <c r="AO176" i="113"/>
  <c r="AO178" i="113" s="1"/>
  <c r="AN176" i="113"/>
  <c r="AN178" i="113" s="1"/>
  <c r="AM176" i="113"/>
  <c r="AM178" i="113" s="1"/>
  <c r="AL176" i="113"/>
  <c r="AL178" i="113" s="1"/>
  <c r="AK176" i="113"/>
  <c r="AK178" i="113" s="1"/>
  <c r="AJ176" i="113"/>
  <c r="AJ178" i="113" s="1"/>
  <c r="AI176" i="113"/>
  <c r="AI178" i="113" s="1"/>
  <c r="AH176" i="113"/>
  <c r="AH178" i="113" s="1"/>
  <c r="AG176" i="113"/>
  <c r="AG178" i="113" s="1"/>
  <c r="AF176" i="113"/>
  <c r="AF178" i="113" s="1"/>
  <c r="AE176" i="113"/>
  <c r="AE178" i="113" s="1"/>
  <c r="AD176" i="113"/>
  <c r="B176" i="113"/>
  <c r="B178" i="113" s="1"/>
  <c r="AB133" i="113"/>
  <c r="AA133" i="113"/>
  <c r="Z133" i="113"/>
  <c r="Y133" i="113"/>
  <c r="X133" i="113"/>
  <c r="W133" i="113"/>
  <c r="V133" i="113"/>
  <c r="U133" i="113"/>
  <c r="T133" i="113"/>
  <c r="S133" i="113"/>
  <c r="R133" i="113"/>
  <c r="Q133" i="113"/>
  <c r="O133" i="113"/>
  <c r="N133" i="113"/>
  <c r="M133" i="113"/>
  <c r="L133" i="113"/>
  <c r="K133" i="113"/>
  <c r="J133" i="113"/>
  <c r="I133" i="113"/>
  <c r="H133" i="113"/>
  <c r="G133" i="113"/>
  <c r="F133" i="113"/>
  <c r="E133" i="113"/>
  <c r="D133" i="113"/>
  <c r="CD133" i="113"/>
  <c r="CC133" i="113"/>
  <c r="CB133" i="113"/>
  <c r="CA133" i="113"/>
  <c r="BZ133" i="113"/>
  <c r="BY133" i="113"/>
  <c r="BX133" i="113"/>
  <c r="BW133" i="113"/>
  <c r="BV133" i="113"/>
  <c r="BU133" i="113"/>
  <c r="BT133" i="113"/>
  <c r="BS133" i="113"/>
  <c r="BQ133" i="113"/>
  <c r="BP133" i="113"/>
  <c r="BO133" i="113"/>
  <c r="BN133" i="113"/>
  <c r="BM133" i="113"/>
  <c r="BL133" i="113"/>
  <c r="BK133" i="113"/>
  <c r="BJ133" i="113"/>
  <c r="BI133" i="113"/>
  <c r="BH133" i="113"/>
  <c r="BG133" i="113"/>
  <c r="BF133" i="113"/>
  <c r="BE133" i="113"/>
  <c r="BC133" i="113"/>
  <c r="BB133" i="113"/>
  <c r="BA133" i="113"/>
  <c r="AZ133" i="113"/>
  <c r="AY133" i="113"/>
  <c r="AX133" i="113"/>
  <c r="AW133" i="113"/>
  <c r="AV133" i="113"/>
  <c r="AU133" i="113"/>
  <c r="AT133" i="113"/>
  <c r="AS133" i="113"/>
  <c r="AR133" i="113"/>
  <c r="AP133" i="113"/>
  <c r="AO133" i="113"/>
  <c r="AN133" i="113"/>
  <c r="AM133" i="113"/>
  <c r="AL133" i="113"/>
  <c r="AK133" i="113"/>
  <c r="AJ133" i="113"/>
  <c r="AI133" i="113"/>
  <c r="AH133" i="113"/>
  <c r="AG133" i="113"/>
  <c r="AF133" i="113"/>
  <c r="AE133" i="113"/>
  <c r="A133" i="113"/>
  <c r="AD131" i="113"/>
  <c r="B131" i="113"/>
  <c r="P85" i="113"/>
  <c r="CF85" i="113"/>
  <c r="BE85" i="113"/>
  <c r="AQ85" i="113"/>
  <c r="AD85" i="113"/>
  <c r="AB80" i="113"/>
  <c r="AA80" i="113"/>
  <c r="Z80" i="113"/>
  <c r="Y80" i="113"/>
  <c r="X80" i="113"/>
  <c r="W80" i="113"/>
  <c r="V80" i="113"/>
  <c r="U80" i="113"/>
  <c r="T80" i="113"/>
  <c r="S80" i="113"/>
  <c r="R80" i="113"/>
  <c r="Q80" i="113"/>
  <c r="O80" i="113"/>
  <c r="N80" i="113"/>
  <c r="M80" i="113"/>
  <c r="L80" i="113"/>
  <c r="K80" i="113"/>
  <c r="J80" i="113"/>
  <c r="I80" i="113"/>
  <c r="H80" i="113"/>
  <c r="G80" i="113"/>
  <c r="F80" i="113"/>
  <c r="E80" i="113"/>
  <c r="D80" i="113"/>
  <c r="CD80" i="113"/>
  <c r="CD32" i="113" s="1"/>
  <c r="CC80" i="113"/>
  <c r="CB80" i="113"/>
  <c r="CA80" i="113"/>
  <c r="BZ80" i="113"/>
  <c r="BY80" i="113"/>
  <c r="BX80" i="113"/>
  <c r="BW80" i="113"/>
  <c r="BW32" i="113" s="1"/>
  <c r="BV80" i="113"/>
  <c r="BU80" i="113"/>
  <c r="BT80" i="113"/>
  <c r="BS80" i="113"/>
  <c r="BQ80" i="113"/>
  <c r="BQ32" i="113" s="1"/>
  <c r="BP80" i="113"/>
  <c r="BP32" i="113" s="1"/>
  <c r="BO80" i="113"/>
  <c r="BN80" i="113"/>
  <c r="BM80" i="113"/>
  <c r="BL80" i="113"/>
  <c r="BK80" i="113"/>
  <c r="BJ80" i="113"/>
  <c r="BJ32" i="113" s="1"/>
  <c r="BI80" i="113"/>
  <c r="BH80" i="113"/>
  <c r="BG80" i="113"/>
  <c r="BG32" i="113" s="1"/>
  <c r="BF80" i="113"/>
  <c r="BC80" i="113"/>
  <c r="BB80" i="113"/>
  <c r="AB53" i="82" s="1"/>
  <c r="BA80" i="113"/>
  <c r="AZ80" i="113"/>
  <c r="AY80" i="113"/>
  <c r="AX80" i="113"/>
  <c r="AW80" i="113"/>
  <c r="AV80" i="113"/>
  <c r="AU80" i="113"/>
  <c r="AT80" i="113"/>
  <c r="AS80" i="113"/>
  <c r="AR80" i="113"/>
  <c r="AP80" i="113"/>
  <c r="AO80" i="113"/>
  <c r="AN80" i="113"/>
  <c r="AM80" i="113"/>
  <c r="AL80" i="113"/>
  <c r="AK80" i="113"/>
  <c r="AJ80" i="113"/>
  <c r="AI80" i="113"/>
  <c r="AH80" i="113"/>
  <c r="AG80" i="113"/>
  <c r="AF80" i="113"/>
  <c r="AE80" i="113"/>
  <c r="AB79" i="113"/>
  <c r="AA79" i="113"/>
  <c r="Z79" i="113"/>
  <c r="Y79" i="113"/>
  <c r="X79" i="113"/>
  <c r="W79" i="113"/>
  <c r="V79" i="113"/>
  <c r="U79" i="113"/>
  <c r="T79" i="113"/>
  <c r="S79" i="113"/>
  <c r="R79" i="113"/>
  <c r="Q79" i="113"/>
  <c r="O79" i="113"/>
  <c r="N79" i="113"/>
  <c r="M79" i="113"/>
  <c r="L79" i="113"/>
  <c r="K79" i="113"/>
  <c r="J79" i="113"/>
  <c r="I79" i="113"/>
  <c r="H79" i="113"/>
  <c r="G79" i="113"/>
  <c r="F79" i="113"/>
  <c r="E79" i="113"/>
  <c r="D79" i="113"/>
  <c r="CD79" i="113"/>
  <c r="CD31" i="113" s="1"/>
  <c r="CC79" i="113"/>
  <c r="CB79" i="113"/>
  <c r="CA79" i="113"/>
  <c r="BZ79" i="113"/>
  <c r="BY79" i="113"/>
  <c r="BX79" i="113"/>
  <c r="BW79" i="113"/>
  <c r="BW31" i="113" s="1"/>
  <c r="BV79" i="113"/>
  <c r="BU79" i="113"/>
  <c r="BT79" i="113"/>
  <c r="BT31" i="113" s="1"/>
  <c r="BS79" i="113"/>
  <c r="BQ79" i="113"/>
  <c r="BQ31" i="113" s="1"/>
  <c r="BP79" i="113"/>
  <c r="BP31" i="113" s="1"/>
  <c r="BO79" i="113"/>
  <c r="BN79" i="113"/>
  <c r="BM79" i="113"/>
  <c r="BL79" i="113"/>
  <c r="BK79" i="113"/>
  <c r="BJ79" i="113"/>
  <c r="BJ31" i="113" s="1"/>
  <c r="BI79" i="113"/>
  <c r="BH79" i="113"/>
  <c r="BG79" i="113"/>
  <c r="BF79" i="113"/>
  <c r="BC79" i="113"/>
  <c r="BB79" i="113"/>
  <c r="AB52" i="82" s="1"/>
  <c r="BA79" i="113"/>
  <c r="AZ79" i="113"/>
  <c r="AY79" i="113"/>
  <c r="AX79" i="113"/>
  <c r="AW79" i="113"/>
  <c r="AV79" i="113"/>
  <c r="AU79" i="113"/>
  <c r="AT79" i="113"/>
  <c r="AS79" i="113"/>
  <c r="AR79" i="113"/>
  <c r="AP79" i="113"/>
  <c r="AO79" i="113"/>
  <c r="AN79" i="113"/>
  <c r="AM79" i="113"/>
  <c r="AL79" i="113"/>
  <c r="AK79" i="113"/>
  <c r="AJ79" i="113"/>
  <c r="AI79" i="113"/>
  <c r="AH79" i="113"/>
  <c r="AG79" i="113"/>
  <c r="AF79" i="113"/>
  <c r="AE79" i="113"/>
  <c r="AB78" i="113"/>
  <c r="AA78" i="113"/>
  <c r="Z78" i="113"/>
  <c r="Y78" i="113"/>
  <c r="X78" i="113"/>
  <c r="W78" i="113"/>
  <c r="V78" i="113"/>
  <c r="U78" i="113"/>
  <c r="T78" i="113"/>
  <c r="S78" i="113"/>
  <c r="R78" i="113"/>
  <c r="Q78" i="113"/>
  <c r="O78" i="113"/>
  <c r="N78" i="113"/>
  <c r="M78" i="113"/>
  <c r="L78" i="113"/>
  <c r="K78" i="113"/>
  <c r="J78" i="113"/>
  <c r="I78" i="113"/>
  <c r="H78" i="113"/>
  <c r="G78" i="113"/>
  <c r="F78" i="113"/>
  <c r="E78" i="113"/>
  <c r="D78" i="113"/>
  <c r="CD78" i="113"/>
  <c r="CD30" i="113" s="1"/>
  <c r="CC78" i="113"/>
  <c r="CB78" i="113"/>
  <c r="CA78" i="113"/>
  <c r="BZ78" i="113"/>
  <c r="BY78" i="113"/>
  <c r="BX78" i="113"/>
  <c r="BX30" i="113" s="1"/>
  <c r="BW78" i="113"/>
  <c r="BW30" i="113" s="1"/>
  <c r="BV78" i="113"/>
  <c r="BU78" i="113"/>
  <c r="BT78" i="113"/>
  <c r="BS78" i="113"/>
  <c r="BQ78" i="113"/>
  <c r="BQ30" i="113" s="1"/>
  <c r="BP78" i="113"/>
  <c r="BP30" i="113" s="1"/>
  <c r="BO78" i="113"/>
  <c r="BN78" i="113"/>
  <c r="BM78" i="113"/>
  <c r="BL78" i="113"/>
  <c r="BK78" i="113"/>
  <c r="BJ78" i="113"/>
  <c r="BJ30" i="113" s="1"/>
  <c r="BI78" i="113"/>
  <c r="BH78" i="113"/>
  <c r="BG78" i="113"/>
  <c r="BG30" i="113" s="1"/>
  <c r="BF78" i="113"/>
  <c r="BC78" i="113"/>
  <c r="BB78" i="113"/>
  <c r="AB51" i="82" s="1"/>
  <c r="BA78" i="113"/>
  <c r="AZ78" i="113"/>
  <c r="AY78" i="113"/>
  <c r="AX78" i="113"/>
  <c r="AW78" i="113"/>
  <c r="AV78" i="113"/>
  <c r="AU78" i="113"/>
  <c r="AT78" i="113"/>
  <c r="AS78" i="113"/>
  <c r="AR78" i="113"/>
  <c r="AP78" i="113"/>
  <c r="AO78" i="113"/>
  <c r="AN78" i="113"/>
  <c r="AM78" i="113"/>
  <c r="AL78" i="113"/>
  <c r="AK78" i="113"/>
  <c r="AJ78" i="113"/>
  <c r="AI78" i="113"/>
  <c r="AH78" i="113"/>
  <c r="AG78" i="113"/>
  <c r="AF78" i="113"/>
  <c r="AE78" i="113"/>
  <c r="AB77" i="113"/>
  <c r="AA77" i="113"/>
  <c r="Z77" i="113"/>
  <c r="Y77" i="113"/>
  <c r="X77" i="113"/>
  <c r="W77" i="113"/>
  <c r="V77" i="113"/>
  <c r="U77" i="113"/>
  <c r="T77" i="113"/>
  <c r="S77" i="113"/>
  <c r="R77" i="113"/>
  <c r="Q77" i="113"/>
  <c r="O77" i="113"/>
  <c r="N77" i="113"/>
  <c r="M77" i="113"/>
  <c r="L77" i="113"/>
  <c r="K77" i="113"/>
  <c r="J77" i="113"/>
  <c r="I77" i="113"/>
  <c r="H77" i="113"/>
  <c r="G77" i="113"/>
  <c r="F77" i="113"/>
  <c r="E77" i="113"/>
  <c r="D77" i="113"/>
  <c r="CD77" i="113"/>
  <c r="CD29" i="113" s="1"/>
  <c r="CC77" i="113"/>
  <c r="CB77" i="113"/>
  <c r="CA77" i="113"/>
  <c r="BZ77" i="113"/>
  <c r="BY77" i="113"/>
  <c r="BX77" i="113"/>
  <c r="BX29" i="113" s="1"/>
  <c r="BW77" i="113"/>
  <c r="BW29" i="113" s="1"/>
  <c r="BV77" i="113"/>
  <c r="BU77" i="113"/>
  <c r="BT77" i="113"/>
  <c r="BS77" i="113"/>
  <c r="BQ77" i="113"/>
  <c r="BQ29" i="113" s="1"/>
  <c r="BP77" i="113"/>
  <c r="BP29" i="113" s="1"/>
  <c r="BO77" i="113"/>
  <c r="BN77" i="113"/>
  <c r="BM77" i="113"/>
  <c r="BL77" i="113"/>
  <c r="BK77" i="113"/>
  <c r="BJ77" i="113"/>
  <c r="BJ29" i="113" s="1"/>
  <c r="BI77" i="113"/>
  <c r="BH77" i="113"/>
  <c r="BG77" i="113"/>
  <c r="BG29" i="113" s="1"/>
  <c r="BF77" i="113"/>
  <c r="BC77" i="113"/>
  <c r="BB77" i="113"/>
  <c r="AB50" i="82" s="1"/>
  <c r="BA77" i="113"/>
  <c r="AZ77" i="113"/>
  <c r="AY77" i="113"/>
  <c r="AX77" i="113"/>
  <c r="AW77" i="113"/>
  <c r="AV77" i="113"/>
  <c r="AU77" i="113"/>
  <c r="AT77" i="113"/>
  <c r="AS77" i="113"/>
  <c r="AR77" i="113"/>
  <c r="AP77" i="113"/>
  <c r="AO77" i="113"/>
  <c r="AN77" i="113"/>
  <c r="AM77" i="113"/>
  <c r="AL77" i="113"/>
  <c r="AK77" i="113"/>
  <c r="AJ77" i="113"/>
  <c r="AI77" i="113"/>
  <c r="AH77" i="113"/>
  <c r="AG77" i="113"/>
  <c r="AF77" i="113"/>
  <c r="AE77" i="113"/>
  <c r="AB76" i="113"/>
  <c r="AA76" i="113"/>
  <c r="Z76" i="113"/>
  <c r="Y76" i="113"/>
  <c r="X76" i="113"/>
  <c r="W76" i="113"/>
  <c r="V76" i="113"/>
  <c r="U76" i="113"/>
  <c r="T76" i="113"/>
  <c r="S76" i="113"/>
  <c r="R76" i="113"/>
  <c r="Q76" i="113"/>
  <c r="O76" i="113"/>
  <c r="N76" i="113"/>
  <c r="M76" i="113"/>
  <c r="L76" i="113"/>
  <c r="K76" i="113"/>
  <c r="J76" i="113"/>
  <c r="I76" i="113"/>
  <c r="H76" i="113"/>
  <c r="G76" i="113"/>
  <c r="F76" i="113"/>
  <c r="E76" i="113"/>
  <c r="D76" i="113"/>
  <c r="CD76" i="113"/>
  <c r="CD28" i="113" s="1"/>
  <c r="CC76" i="113"/>
  <c r="CB76" i="113"/>
  <c r="CA76" i="113"/>
  <c r="BZ76" i="113"/>
  <c r="BY76" i="113"/>
  <c r="BX76" i="113"/>
  <c r="BX28" i="113" s="1"/>
  <c r="BW76" i="113"/>
  <c r="BW28" i="113" s="1"/>
  <c r="BV76" i="113"/>
  <c r="BU76" i="113"/>
  <c r="BT76" i="113"/>
  <c r="BS76" i="113"/>
  <c r="BQ76" i="113"/>
  <c r="BQ28" i="113" s="1"/>
  <c r="BP76" i="113"/>
  <c r="BP28" i="113" s="1"/>
  <c r="BO76" i="113"/>
  <c r="BN76" i="113"/>
  <c r="BM76" i="113"/>
  <c r="BL76" i="113"/>
  <c r="BK76" i="113"/>
  <c r="BJ76" i="113"/>
  <c r="BJ28" i="113" s="1"/>
  <c r="BI76" i="113"/>
  <c r="BH76" i="113"/>
  <c r="BG76" i="113"/>
  <c r="BG28" i="113" s="1"/>
  <c r="BF76" i="113"/>
  <c r="BC76" i="113"/>
  <c r="BB76" i="113"/>
  <c r="AB49" i="82" s="1"/>
  <c r="BA76" i="113"/>
  <c r="AZ76" i="113"/>
  <c r="AY76" i="113"/>
  <c r="AX76" i="113"/>
  <c r="AW76" i="113"/>
  <c r="AV76" i="113"/>
  <c r="AU76" i="113"/>
  <c r="AT76" i="113"/>
  <c r="AS76" i="113"/>
  <c r="AR76" i="113"/>
  <c r="AP76" i="113"/>
  <c r="AO76" i="113"/>
  <c r="AN76" i="113"/>
  <c r="AM76" i="113"/>
  <c r="AL76" i="113"/>
  <c r="AK76" i="113"/>
  <c r="AJ76" i="113"/>
  <c r="AI76" i="113"/>
  <c r="AH76" i="113"/>
  <c r="AG76" i="113"/>
  <c r="AF76" i="113"/>
  <c r="AE76" i="113"/>
  <c r="AB75" i="113"/>
  <c r="AA75" i="113"/>
  <c r="Z75" i="113"/>
  <c r="Y75" i="113"/>
  <c r="X75" i="113"/>
  <c r="W75" i="113"/>
  <c r="V75" i="113"/>
  <c r="U75" i="113"/>
  <c r="T75" i="113"/>
  <c r="S75" i="113"/>
  <c r="R75" i="113"/>
  <c r="Q75" i="113"/>
  <c r="O75" i="113"/>
  <c r="N75" i="113"/>
  <c r="M75" i="113"/>
  <c r="L75" i="113"/>
  <c r="K75" i="113"/>
  <c r="J75" i="113"/>
  <c r="I75" i="113"/>
  <c r="H75" i="113"/>
  <c r="G75" i="113"/>
  <c r="F75" i="113"/>
  <c r="E75" i="113"/>
  <c r="D75" i="113"/>
  <c r="CD75" i="113"/>
  <c r="CD27" i="113" s="1"/>
  <c r="CC75" i="113"/>
  <c r="CB75" i="113"/>
  <c r="CA75" i="113"/>
  <c r="BZ75" i="113"/>
  <c r="BY75" i="113"/>
  <c r="BX75" i="113"/>
  <c r="BX27" i="113" s="1"/>
  <c r="BW75" i="113"/>
  <c r="BW27" i="113" s="1"/>
  <c r="BV75" i="113"/>
  <c r="BU75" i="113"/>
  <c r="BT75" i="113"/>
  <c r="BT27" i="113" s="1"/>
  <c r="BS75" i="113"/>
  <c r="BQ75" i="113"/>
  <c r="BQ27" i="113" s="1"/>
  <c r="BP75" i="113"/>
  <c r="BP27" i="113" s="1"/>
  <c r="BO75" i="113"/>
  <c r="BN75" i="113"/>
  <c r="BM75" i="113"/>
  <c r="BL75" i="113"/>
  <c r="BK75" i="113"/>
  <c r="BJ75" i="113"/>
  <c r="BJ27" i="113" s="1"/>
  <c r="BI75" i="113"/>
  <c r="BH75" i="113"/>
  <c r="BG75" i="113"/>
  <c r="BG27" i="113" s="1"/>
  <c r="BF75" i="113"/>
  <c r="BC75" i="113"/>
  <c r="BB75" i="113"/>
  <c r="AB48" i="82" s="1"/>
  <c r="BA75" i="113"/>
  <c r="AZ75" i="113"/>
  <c r="AY75" i="113"/>
  <c r="AX75" i="113"/>
  <c r="AW75" i="113"/>
  <c r="AV75" i="113"/>
  <c r="AU75" i="113"/>
  <c r="AT75" i="113"/>
  <c r="AS75" i="113"/>
  <c r="AR75" i="113"/>
  <c r="AP75" i="113"/>
  <c r="AO75" i="113"/>
  <c r="AN75" i="113"/>
  <c r="AM75" i="113"/>
  <c r="AL75" i="113"/>
  <c r="AK75" i="113"/>
  <c r="AJ75" i="113"/>
  <c r="AI75" i="113"/>
  <c r="AH75" i="113"/>
  <c r="AG75" i="113"/>
  <c r="AF75" i="113"/>
  <c r="AE75" i="113"/>
  <c r="AB74" i="113"/>
  <c r="AA74" i="113"/>
  <c r="Z74" i="113"/>
  <c r="Y74" i="113"/>
  <c r="X74" i="113"/>
  <c r="W74" i="113"/>
  <c r="V74" i="113"/>
  <c r="U74" i="113"/>
  <c r="T74" i="113"/>
  <c r="S74" i="113"/>
  <c r="R74" i="113"/>
  <c r="Q74" i="113"/>
  <c r="O74" i="113"/>
  <c r="N74" i="113"/>
  <c r="M74" i="113"/>
  <c r="L74" i="113"/>
  <c r="K74" i="113"/>
  <c r="J74" i="113"/>
  <c r="I74" i="113"/>
  <c r="H74" i="113"/>
  <c r="G74" i="113"/>
  <c r="F74" i="113"/>
  <c r="E74" i="113"/>
  <c r="D74" i="113"/>
  <c r="CD74" i="113"/>
  <c r="CD26" i="113" s="1"/>
  <c r="CC74" i="113"/>
  <c r="CB74" i="113"/>
  <c r="CA74" i="113"/>
  <c r="BZ74" i="113"/>
  <c r="BY74" i="113"/>
  <c r="BX74" i="113"/>
  <c r="BX26" i="113" s="1"/>
  <c r="BW74" i="113"/>
  <c r="BW26" i="113" s="1"/>
  <c r="BV74" i="113"/>
  <c r="BU74" i="113"/>
  <c r="BT74" i="113"/>
  <c r="BS74" i="113"/>
  <c r="BQ74" i="113"/>
  <c r="BQ26" i="113" s="1"/>
  <c r="BP74" i="113"/>
  <c r="BP26" i="113" s="1"/>
  <c r="BO74" i="113"/>
  <c r="BN74" i="113"/>
  <c r="BM74" i="113"/>
  <c r="BL74" i="113"/>
  <c r="BK74" i="113"/>
  <c r="BJ74" i="113"/>
  <c r="BJ26" i="113" s="1"/>
  <c r="BI74" i="113"/>
  <c r="BH74" i="113"/>
  <c r="BG74" i="113"/>
  <c r="BF74" i="113"/>
  <c r="BC74" i="113"/>
  <c r="BB74" i="113"/>
  <c r="AB47" i="82" s="1"/>
  <c r="BA74" i="113"/>
  <c r="AZ74" i="113"/>
  <c r="AY74" i="113"/>
  <c r="AX74" i="113"/>
  <c r="AW74" i="113"/>
  <c r="AV74" i="113"/>
  <c r="AU74" i="113"/>
  <c r="AT74" i="113"/>
  <c r="AS74" i="113"/>
  <c r="AR74" i="113"/>
  <c r="AP74" i="113"/>
  <c r="AO74" i="113"/>
  <c r="AN74" i="113"/>
  <c r="AM74" i="113"/>
  <c r="AL74" i="113"/>
  <c r="AK74" i="113"/>
  <c r="AJ74" i="113"/>
  <c r="AI74" i="113"/>
  <c r="AH74" i="113"/>
  <c r="AG74" i="113"/>
  <c r="AF74" i="113"/>
  <c r="AE74" i="113"/>
  <c r="AB73" i="113"/>
  <c r="AA73" i="113"/>
  <c r="Z73" i="113"/>
  <c r="Y73" i="113"/>
  <c r="X73" i="113"/>
  <c r="W73" i="113"/>
  <c r="V73" i="113"/>
  <c r="U73" i="113"/>
  <c r="T73" i="113"/>
  <c r="S73" i="113"/>
  <c r="R73" i="113"/>
  <c r="Q73" i="113"/>
  <c r="O73" i="113"/>
  <c r="N73" i="113"/>
  <c r="M73" i="113"/>
  <c r="L73" i="113"/>
  <c r="K73" i="113"/>
  <c r="J73" i="113"/>
  <c r="I73" i="113"/>
  <c r="H73" i="113"/>
  <c r="G73" i="113"/>
  <c r="F73" i="113"/>
  <c r="E73" i="113"/>
  <c r="D73" i="113"/>
  <c r="CD73" i="113"/>
  <c r="CD25" i="113" s="1"/>
  <c r="CC73" i="113"/>
  <c r="CB73" i="113"/>
  <c r="CA73" i="113"/>
  <c r="BZ73" i="113"/>
  <c r="BY73" i="113"/>
  <c r="BX73" i="113"/>
  <c r="BX25" i="113" s="1"/>
  <c r="BW73" i="113"/>
  <c r="BW25" i="113" s="1"/>
  <c r="BV73" i="113"/>
  <c r="BU73" i="113"/>
  <c r="BT73" i="113"/>
  <c r="BS73" i="113"/>
  <c r="BQ73" i="113"/>
  <c r="BQ25" i="113" s="1"/>
  <c r="BP73" i="113"/>
  <c r="BP25" i="113" s="1"/>
  <c r="BO73" i="113"/>
  <c r="BN73" i="113"/>
  <c r="BM73" i="113"/>
  <c r="BL73" i="113"/>
  <c r="BK73" i="113"/>
  <c r="BJ73" i="113"/>
  <c r="BJ25" i="113" s="1"/>
  <c r="BI73" i="113"/>
  <c r="BH73" i="113"/>
  <c r="BG73" i="113"/>
  <c r="BG25" i="113" s="1"/>
  <c r="BF73" i="113"/>
  <c r="BC73" i="113"/>
  <c r="BB73" i="113"/>
  <c r="AB46" i="82" s="1"/>
  <c r="BA73" i="113"/>
  <c r="AZ73" i="113"/>
  <c r="AY73" i="113"/>
  <c r="AX73" i="113"/>
  <c r="AW73" i="113"/>
  <c r="AV73" i="113"/>
  <c r="AU73" i="113"/>
  <c r="AT73" i="113"/>
  <c r="AS73" i="113"/>
  <c r="AR73" i="113"/>
  <c r="AP73" i="113"/>
  <c r="AO73" i="113"/>
  <c r="AN73" i="113"/>
  <c r="AM73" i="113"/>
  <c r="AL73" i="113"/>
  <c r="AK73" i="113"/>
  <c r="AJ73" i="113"/>
  <c r="AI73" i="113"/>
  <c r="AH73" i="113"/>
  <c r="AG73" i="113"/>
  <c r="AF73" i="113"/>
  <c r="AE73" i="113"/>
  <c r="AB72" i="113"/>
  <c r="AA72" i="113"/>
  <c r="Z72" i="113"/>
  <c r="Y72" i="113"/>
  <c r="X72" i="113"/>
  <c r="W72" i="113"/>
  <c r="V72" i="113"/>
  <c r="U72" i="113"/>
  <c r="T72" i="113"/>
  <c r="S72" i="113"/>
  <c r="R72" i="113"/>
  <c r="Q72" i="113"/>
  <c r="O72" i="113"/>
  <c r="N72" i="113"/>
  <c r="M72" i="113"/>
  <c r="L72" i="113"/>
  <c r="K72" i="113"/>
  <c r="J72" i="113"/>
  <c r="I72" i="113"/>
  <c r="H72" i="113"/>
  <c r="G72" i="113"/>
  <c r="F72" i="113"/>
  <c r="E72" i="113"/>
  <c r="CD72" i="113"/>
  <c r="CD24" i="113" s="1"/>
  <c r="CC72" i="113"/>
  <c r="CB72" i="113"/>
  <c r="CA72" i="113"/>
  <c r="BZ72" i="113"/>
  <c r="BY72" i="113"/>
  <c r="BX72" i="113"/>
  <c r="BX24" i="113" s="1"/>
  <c r="BW72" i="113"/>
  <c r="BW24" i="113" s="1"/>
  <c r="BV72" i="113"/>
  <c r="BU72" i="113"/>
  <c r="BT72" i="113"/>
  <c r="BS72" i="113"/>
  <c r="BQ72" i="113"/>
  <c r="BQ24" i="113" s="1"/>
  <c r="BP72" i="113"/>
  <c r="BP24" i="113" s="1"/>
  <c r="BO72" i="113"/>
  <c r="BN72" i="113"/>
  <c r="BM72" i="113"/>
  <c r="BL72" i="113"/>
  <c r="BK72" i="113"/>
  <c r="BJ72" i="113"/>
  <c r="BJ24" i="113" s="1"/>
  <c r="BI72" i="113"/>
  <c r="BH72" i="113"/>
  <c r="BG72" i="113"/>
  <c r="BG24" i="113" s="1"/>
  <c r="BF72" i="113"/>
  <c r="BC72" i="113"/>
  <c r="BB72" i="113"/>
  <c r="BA72" i="113"/>
  <c r="AZ72" i="113"/>
  <c r="AY72" i="113"/>
  <c r="AX72" i="113"/>
  <c r="AW72" i="113"/>
  <c r="AV72" i="113"/>
  <c r="AU72" i="113"/>
  <c r="AT72" i="113"/>
  <c r="AS72" i="113"/>
  <c r="AR72" i="113"/>
  <c r="AP72" i="113"/>
  <c r="AO72" i="113"/>
  <c r="AN72" i="113"/>
  <c r="AM72" i="113"/>
  <c r="AL72" i="113"/>
  <c r="AK72" i="113"/>
  <c r="AJ72" i="113"/>
  <c r="AI72" i="113"/>
  <c r="AH72" i="113"/>
  <c r="AG72" i="113"/>
  <c r="AF72" i="113"/>
  <c r="AE72" i="113"/>
  <c r="AB71" i="113"/>
  <c r="AA71" i="113"/>
  <c r="Z71" i="113"/>
  <c r="Y71" i="113"/>
  <c r="X71" i="113"/>
  <c r="W71" i="113"/>
  <c r="V71" i="113"/>
  <c r="U71" i="113"/>
  <c r="T71" i="113"/>
  <c r="S71" i="113"/>
  <c r="R71" i="113"/>
  <c r="Q71" i="113"/>
  <c r="O71" i="113"/>
  <c r="N71" i="113"/>
  <c r="M71" i="113"/>
  <c r="L71" i="113"/>
  <c r="K71" i="113"/>
  <c r="J71" i="113"/>
  <c r="I71" i="113"/>
  <c r="H71" i="113"/>
  <c r="G71" i="113"/>
  <c r="F71" i="113"/>
  <c r="E71" i="113"/>
  <c r="D71" i="113"/>
  <c r="CD71" i="113"/>
  <c r="CD23" i="113" s="1"/>
  <c r="CC71" i="113"/>
  <c r="CB71" i="113"/>
  <c r="CA71" i="113"/>
  <c r="BZ71" i="113"/>
  <c r="BY71" i="113"/>
  <c r="BX71" i="113"/>
  <c r="BX23" i="113" s="1"/>
  <c r="BW71" i="113"/>
  <c r="BW23" i="113" s="1"/>
  <c r="BV71" i="113"/>
  <c r="BU71" i="113"/>
  <c r="BT71" i="113"/>
  <c r="BT23" i="113" s="1"/>
  <c r="BS71" i="113"/>
  <c r="BQ71" i="113"/>
  <c r="BQ23" i="113" s="1"/>
  <c r="BP71" i="113"/>
  <c r="BP23" i="113" s="1"/>
  <c r="BO71" i="113"/>
  <c r="BN71" i="113"/>
  <c r="BM71" i="113"/>
  <c r="BL71" i="113"/>
  <c r="BK71" i="113"/>
  <c r="BJ71" i="113"/>
  <c r="BJ23" i="113" s="1"/>
  <c r="BI71" i="113"/>
  <c r="BH71" i="113"/>
  <c r="BG71" i="113"/>
  <c r="BF71" i="113"/>
  <c r="BC71" i="113"/>
  <c r="BB71" i="113"/>
  <c r="AB44" i="82" s="1"/>
  <c r="BA71" i="113"/>
  <c r="AZ71" i="113"/>
  <c r="AY71" i="113"/>
  <c r="AX71" i="113"/>
  <c r="AW71" i="113"/>
  <c r="AV71" i="113"/>
  <c r="AU71" i="113"/>
  <c r="AT71" i="113"/>
  <c r="AS71" i="113"/>
  <c r="AR71" i="113"/>
  <c r="AP71" i="113"/>
  <c r="AO71" i="113"/>
  <c r="AN71" i="113"/>
  <c r="AM71" i="113"/>
  <c r="AL71" i="113"/>
  <c r="AK71" i="113"/>
  <c r="AJ71" i="113"/>
  <c r="AI71" i="113"/>
  <c r="AH71" i="113"/>
  <c r="AG71" i="113"/>
  <c r="AF71" i="113"/>
  <c r="AE71" i="113"/>
  <c r="AB70" i="113"/>
  <c r="AA70" i="113"/>
  <c r="Z70" i="113"/>
  <c r="Y70" i="113"/>
  <c r="X70" i="113"/>
  <c r="W70" i="113"/>
  <c r="V70" i="113"/>
  <c r="U70" i="113"/>
  <c r="T70" i="113"/>
  <c r="S70" i="113"/>
  <c r="R70" i="113"/>
  <c r="Q70" i="113"/>
  <c r="O70" i="113"/>
  <c r="N70" i="113"/>
  <c r="M70" i="113"/>
  <c r="L70" i="113"/>
  <c r="K70" i="113"/>
  <c r="J70" i="113"/>
  <c r="I70" i="113"/>
  <c r="H70" i="113"/>
  <c r="G70" i="113"/>
  <c r="F70" i="113"/>
  <c r="E70" i="113"/>
  <c r="D70" i="113"/>
  <c r="CD70" i="113"/>
  <c r="CD22" i="113" s="1"/>
  <c r="CC70" i="113"/>
  <c r="CB70" i="113"/>
  <c r="CA70" i="113"/>
  <c r="BZ70" i="113"/>
  <c r="BY70" i="113"/>
  <c r="BX70" i="113"/>
  <c r="BX22" i="113" s="1"/>
  <c r="BW70" i="113"/>
  <c r="BW22" i="113" s="1"/>
  <c r="BV70" i="113"/>
  <c r="BU70" i="113"/>
  <c r="BT70" i="113"/>
  <c r="BS70" i="113"/>
  <c r="BQ70" i="113"/>
  <c r="BQ22" i="113" s="1"/>
  <c r="BP70" i="113"/>
  <c r="BP22" i="113" s="1"/>
  <c r="BO70" i="113"/>
  <c r="BN70" i="113"/>
  <c r="BM70" i="113"/>
  <c r="BL70" i="113"/>
  <c r="BK70" i="113"/>
  <c r="BJ70" i="113"/>
  <c r="BJ22" i="113" s="1"/>
  <c r="BI70" i="113"/>
  <c r="BH70" i="113"/>
  <c r="BG70" i="113"/>
  <c r="BG22" i="113" s="1"/>
  <c r="BF70" i="113"/>
  <c r="BC70" i="113"/>
  <c r="BB70" i="113"/>
  <c r="AB43" i="82" s="1"/>
  <c r="BA70" i="113"/>
  <c r="AZ70" i="113"/>
  <c r="AY70" i="113"/>
  <c r="AX70" i="113"/>
  <c r="AW70" i="113"/>
  <c r="AV70" i="113"/>
  <c r="AU70" i="113"/>
  <c r="AT70" i="113"/>
  <c r="AS70" i="113"/>
  <c r="AR70" i="113"/>
  <c r="AP70" i="113"/>
  <c r="AO70" i="113"/>
  <c r="AN70" i="113"/>
  <c r="AM70" i="113"/>
  <c r="AL70" i="113"/>
  <c r="AK70" i="113"/>
  <c r="AJ70" i="113"/>
  <c r="AI70" i="113"/>
  <c r="AH70" i="113"/>
  <c r="AG70" i="113"/>
  <c r="AF70" i="113"/>
  <c r="AE70" i="113"/>
  <c r="AB69" i="113"/>
  <c r="AA69" i="113"/>
  <c r="Z69" i="113"/>
  <c r="Y69" i="113"/>
  <c r="X69" i="113"/>
  <c r="W69" i="113"/>
  <c r="V69" i="113"/>
  <c r="U69" i="113"/>
  <c r="T69" i="113"/>
  <c r="S69" i="113"/>
  <c r="R69" i="113"/>
  <c r="Q69" i="113"/>
  <c r="O69" i="113"/>
  <c r="N69" i="113"/>
  <c r="M69" i="113"/>
  <c r="L69" i="113"/>
  <c r="K69" i="113"/>
  <c r="J69" i="113"/>
  <c r="I69" i="113"/>
  <c r="H69" i="113"/>
  <c r="G69" i="113"/>
  <c r="F69" i="113"/>
  <c r="E69" i="113"/>
  <c r="D69" i="113"/>
  <c r="CD69" i="113"/>
  <c r="CD21" i="113" s="1"/>
  <c r="CC69" i="113"/>
  <c r="CB69" i="113"/>
  <c r="CA69" i="113"/>
  <c r="BZ69" i="113"/>
  <c r="BY69" i="113"/>
  <c r="BX69" i="113"/>
  <c r="BX21" i="113" s="1"/>
  <c r="BW69" i="113"/>
  <c r="BW21" i="113" s="1"/>
  <c r="BV69" i="113"/>
  <c r="BU69" i="113"/>
  <c r="BT69" i="113"/>
  <c r="BS69" i="113"/>
  <c r="BQ69" i="113"/>
  <c r="BQ21" i="113" s="1"/>
  <c r="BP69" i="113"/>
  <c r="BP21" i="113" s="1"/>
  <c r="BO69" i="113"/>
  <c r="BN69" i="113"/>
  <c r="BM69" i="113"/>
  <c r="BL69" i="113"/>
  <c r="BK69" i="113"/>
  <c r="BJ69" i="113"/>
  <c r="BJ21" i="113" s="1"/>
  <c r="BI69" i="113"/>
  <c r="BH69" i="113"/>
  <c r="BG69" i="113"/>
  <c r="BG21" i="113" s="1"/>
  <c r="BF69" i="113"/>
  <c r="BC69" i="113"/>
  <c r="BB69" i="113"/>
  <c r="AB42" i="82" s="1"/>
  <c r="BA69" i="113"/>
  <c r="AZ69" i="113"/>
  <c r="AY69" i="113"/>
  <c r="AX69" i="113"/>
  <c r="AW69" i="113"/>
  <c r="AV69" i="113"/>
  <c r="AU69" i="113"/>
  <c r="AT69" i="113"/>
  <c r="AS69" i="113"/>
  <c r="AR69" i="113"/>
  <c r="AP69" i="113"/>
  <c r="AO69" i="113"/>
  <c r="AN69" i="113"/>
  <c r="AM69" i="113"/>
  <c r="AL69" i="113"/>
  <c r="AK69" i="113"/>
  <c r="AJ69" i="113"/>
  <c r="AI69" i="113"/>
  <c r="AH69" i="113"/>
  <c r="AG69" i="113"/>
  <c r="AF69" i="113"/>
  <c r="AE69" i="113"/>
  <c r="AB68" i="113"/>
  <c r="AA68" i="113"/>
  <c r="Z68" i="113"/>
  <c r="Y68" i="113"/>
  <c r="X68" i="113"/>
  <c r="W68" i="113"/>
  <c r="V68" i="113"/>
  <c r="U68" i="113"/>
  <c r="T68" i="113"/>
  <c r="S68" i="113"/>
  <c r="R68" i="113"/>
  <c r="Q68" i="113"/>
  <c r="O68" i="113"/>
  <c r="M68" i="113"/>
  <c r="L68" i="113"/>
  <c r="K68" i="113"/>
  <c r="J68" i="113"/>
  <c r="I68" i="113"/>
  <c r="H68" i="113"/>
  <c r="G68" i="113"/>
  <c r="F68" i="113"/>
  <c r="E68" i="113"/>
  <c r="D68" i="113"/>
  <c r="CD68" i="113"/>
  <c r="CD20" i="113" s="1"/>
  <c r="CC68" i="113"/>
  <c r="CB68" i="113"/>
  <c r="CA68" i="113"/>
  <c r="BZ68" i="113"/>
  <c r="BY68" i="113"/>
  <c r="BX68" i="113"/>
  <c r="BX20" i="113" s="1"/>
  <c r="BW68" i="113"/>
  <c r="BW20" i="113" s="1"/>
  <c r="BV68" i="113"/>
  <c r="BU68" i="113"/>
  <c r="BT68" i="113"/>
  <c r="BS68" i="113"/>
  <c r="BQ68" i="113"/>
  <c r="BQ20" i="113" s="1"/>
  <c r="BP68" i="113"/>
  <c r="BP20" i="113" s="1"/>
  <c r="BO68" i="113"/>
  <c r="BN68" i="113"/>
  <c r="BM68" i="113"/>
  <c r="BL68" i="113"/>
  <c r="BK68" i="113"/>
  <c r="BJ68" i="113"/>
  <c r="BJ20" i="113" s="1"/>
  <c r="BI68" i="113"/>
  <c r="BH68" i="113"/>
  <c r="BG68" i="113"/>
  <c r="BG20" i="113" s="1"/>
  <c r="BF68" i="113"/>
  <c r="BC68" i="113"/>
  <c r="BB68" i="113"/>
  <c r="BA68" i="113"/>
  <c r="AZ68" i="113"/>
  <c r="AY68" i="113"/>
  <c r="AX68" i="113"/>
  <c r="AW68" i="113"/>
  <c r="AV68" i="113"/>
  <c r="AU68" i="113"/>
  <c r="AT68" i="113"/>
  <c r="AS68" i="113"/>
  <c r="AR68" i="113"/>
  <c r="AP68" i="113"/>
  <c r="AO68" i="113"/>
  <c r="AN68" i="113"/>
  <c r="AM68" i="113"/>
  <c r="AL68" i="113"/>
  <c r="AK68" i="113"/>
  <c r="AJ68" i="113"/>
  <c r="AI68" i="113"/>
  <c r="AH68" i="113"/>
  <c r="AG68" i="113"/>
  <c r="AF68" i="113"/>
  <c r="AE68" i="113"/>
  <c r="AB67" i="113"/>
  <c r="AA67" i="113"/>
  <c r="Z67" i="113"/>
  <c r="Y67" i="113"/>
  <c r="X67" i="113"/>
  <c r="W67" i="113"/>
  <c r="V67" i="113"/>
  <c r="U67" i="113"/>
  <c r="T67" i="113"/>
  <c r="S67" i="113"/>
  <c r="R67" i="113"/>
  <c r="Q67" i="113"/>
  <c r="O67" i="113"/>
  <c r="N67" i="113"/>
  <c r="M67" i="113"/>
  <c r="L67" i="113"/>
  <c r="K67" i="113"/>
  <c r="J67" i="113"/>
  <c r="I67" i="113"/>
  <c r="H67" i="113"/>
  <c r="G67" i="113"/>
  <c r="F67" i="113"/>
  <c r="E67" i="113"/>
  <c r="D67" i="113"/>
  <c r="CD67" i="113"/>
  <c r="CD19" i="113" s="1"/>
  <c r="CC67" i="113"/>
  <c r="CB67" i="113"/>
  <c r="CA67" i="113"/>
  <c r="BZ67" i="113"/>
  <c r="BY67" i="113"/>
  <c r="BX67" i="113"/>
  <c r="BX19" i="113" s="1"/>
  <c r="BW67" i="113"/>
  <c r="BW19" i="113" s="1"/>
  <c r="BV67" i="113"/>
  <c r="BU67" i="113"/>
  <c r="BT67" i="113"/>
  <c r="BT19" i="113" s="1"/>
  <c r="BS67" i="113"/>
  <c r="BQ67" i="113"/>
  <c r="BQ19" i="113" s="1"/>
  <c r="BP67" i="113"/>
  <c r="BP19" i="113" s="1"/>
  <c r="BO67" i="113"/>
  <c r="BN67" i="113"/>
  <c r="BM67" i="113"/>
  <c r="BL67" i="113"/>
  <c r="BK67" i="113"/>
  <c r="BJ67" i="113"/>
  <c r="BJ19" i="113" s="1"/>
  <c r="BI67" i="113"/>
  <c r="BH67" i="113"/>
  <c r="BG67" i="113"/>
  <c r="BG19" i="113" s="1"/>
  <c r="BF67" i="113"/>
  <c r="BC67" i="113"/>
  <c r="BB67" i="113"/>
  <c r="AB40" i="82" s="1"/>
  <c r="BA67" i="113"/>
  <c r="AZ67" i="113"/>
  <c r="AY67" i="113"/>
  <c r="AX67" i="113"/>
  <c r="AW67" i="113"/>
  <c r="AV67" i="113"/>
  <c r="AU67" i="113"/>
  <c r="AT67" i="113"/>
  <c r="AS67" i="113"/>
  <c r="AR67" i="113"/>
  <c r="AP67" i="113"/>
  <c r="AO67" i="113"/>
  <c r="AN67" i="113"/>
  <c r="AM67" i="113"/>
  <c r="AL67" i="113"/>
  <c r="AK67" i="113"/>
  <c r="AJ67" i="113"/>
  <c r="AI67" i="113"/>
  <c r="AH67" i="113"/>
  <c r="AG67" i="113"/>
  <c r="AF67" i="113"/>
  <c r="AE67" i="113"/>
  <c r="AB66" i="113"/>
  <c r="AA66" i="113"/>
  <c r="Z66" i="113"/>
  <c r="Y66" i="113"/>
  <c r="X66" i="113"/>
  <c r="W66" i="113"/>
  <c r="V66" i="113"/>
  <c r="U66" i="113"/>
  <c r="T66" i="113"/>
  <c r="S66" i="113"/>
  <c r="R66" i="113"/>
  <c r="Q66" i="113"/>
  <c r="O66" i="113"/>
  <c r="N66" i="113"/>
  <c r="M66" i="113"/>
  <c r="L66" i="113"/>
  <c r="K66" i="113"/>
  <c r="J66" i="113"/>
  <c r="I66" i="113"/>
  <c r="H66" i="113"/>
  <c r="G66" i="113"/>
  <c r="F66" i="113"/>
  <c r="E66" i="113"/>
  <c r="D66" i="113"/>
  <c r="CD66" i="113"/>
  <c r="CD18" i="113" s="1"/>
  <c r="CC66" i="113"/>
  <c r="CB66" i="113"/>
  <c r="CA66" i="113"/>
  <c r="BZ66" i="113"/>
  <c r="BY66" i="113"/>
  <c r="BX66" i="113"/>
  <c r="BX18" i="113" s="1"/>
  <c r="BW66" i="113"/>
  <c r="BW18" i="113" s="1"/>
  <c r="BV66" i="113"/>
  <c r="BU66" i="113"/>
  <c r="BT66" i="113"/>
  <c r="BS66" i="113"/>
  <c r="BQ66" i="113"/>
  <c r="BQ18" i="113" s="1"/>
  <c r="BP66" i="113"/>
  <c r="BP18" i="113" s="1"/>
  <c r="BO66" i="113"/>
  <c r="BN66" i="113"/>
  <c r="BM66" i="113"/>
  <c r="BL66" i="113"/>
  <c r="BK66" i="113"/>
  <c r="BJ66" i="113"/>
  <c r="BJ18" i="113" s="1"/>
  <c r="BI66" i="113"/>
  <c r="BH66" i="113"/>
  <c r="BG66" i="113"/>
  <c r="BG18" i="113" s="1"/>
  <c r="BF66" i="113"/>
  <c r="BC66" i="113"/>
  <c r="BB66" i="113"/>
  <c r="AB39" i="82" s="1"/>
  <c r="BA66" i="113"/>
  <c r="AZ66" i="113"/>
  <c r="AY66" i="113"/>
  <c r="AX66" i="113"/>
  <c r="AW66" i="113"/>
  <c r="AV66" i="113"/>
  <c r="AU66" i="113"/>
  <c r="AT66" i="113"/>
  <c r="AS66" i="113"/>
  <c r="AR66" i="113"/>
  <c r="AP66" i="113"/>
  <c r="AO66" i="113"/>
  <c r="AN66" i="113"/>
  <c r="AM66" i="113"/>
  <c r="AL66" i="113"/>
  <c r="AK66" i="113"/>
  <c r="AJ66" i="113"/>
  <c r="AI66" i="113"/>
  <c r="AH66" i="113"/>
  <c r="AG66" i="113"/>
  <c r="AF66" i="113"/>
  <c r="AE66" i="113"/>
  <c r="AB65" i="113"/>
  <c r="AA65" i="113"/>
  <c r="Z65" i="113"/>
  <c r="Y65" i="113"/>
  <c r="X65" i="113"/>
  <c r="W65" i="113"/>
  <c r="V65" i="113"/>
  <c r="U65" i="113"/>
  <c r="T65" i="113"/>
  <c r="S65" i="113"/>
  <c r="R65" i="113"/>
  <c r="Q65" i="113"/>
  <c r="O65" i="113"/>
  <c r="N65" i="113"/>
  <c r="M65" i="113"/>
  <c r="L65" i="113"/>
  <c r="K65" i="113"/>
  <c r="J65" i="113"/>
  <c r="I65" i="113"/>
  <c r="H65" i="113"/>
  <c r="G65" i="113"/>
  <c r="F65" i="113"/>
  <c r="E65" i="113"/>
  <c r="D65" i="113"/>
  <c r="CD65" i="113"/>
  <c r="CD17" i="113" s="1"/>
  <c r="CC65" i="113"/>
  <c r="CB65" i="113"/>
  <c r="CA65" i="113"/>
  <c r="BZ65" i="113"/>
  <c r="BY65" i="113"/>
  <c r="BX65" i="113"/>
  <c r="BX17" i="113" s="1"/>
  <c r="BW65" i="113"/>
  <c r="BW17" i="113" s="1"/>
  <c r="BV65" i="113"/>
  <c r="BU65" i="113"/>
  <c r="BT65" i="113"/>
  <c r="BS65" i="113"/>
  <c r="BQ65" i="113"/>
  <c r="BQ17" i="113" s="1"/>
  <c r="BP65" i="113"/>
  <c r="BP17" i="113" s="1"/>
  <c r="BO65" i="113"/>
  <c r="BN65" i="113"/>
  <c r="BM65" i="113"/>
  <c r="BL65" i="113"/>
  <c r="BK65" i="113"/>
  <c r="BJ65" i="113"/>
  <c r="BJ17" i="113" s="1"/>
  <c r="BI65" i="113"/>
  <c r="BH65" i="113"/>
  <c r="BG65" i="113"/>
  <c r="BG17" i="113" s="1"/>
  <c r="BF65" i="113"/>
  <c r="BC65" i="113"/>
  <c r="BB65" i="113"/>
  <c r="AB38" i="82" s="1"/>
  <c r="BA65" i="113"/>
  <c r="AZ65" i="113"/>
  <c r="AY65" i="113"/>
  <c r="AX65" i="113"/>
  <c r="AW65" i="113"/>
  <c r="AV65" i="113"/>
  <c r="AU65" i="113"/>
  <c r="AT65" i="113"/>
  <c r="AS65" i="113"/>
  <c r="AR65" i="113"/>
  <c r="AP65" i="113"/>
  <c r="AO65" i="113"/>
  <c r="AN65" i="113"/>
  <c r="AM65" i="113"/>
  <c r="AL65" i="113"/>
  <c r="AK65" i="113"/>
  <c r="AJ65" i="113"/>
  <c r="AI65" i="113"/>
  <c r="AH65" i="113"/>
  <c r="AG65" i="113"/>
  <c r="AF65" i="113"/>
  <c r="AE65" i="113"/>
  <c r="AB64" i="113"/>
  <c r="AA64" i="113"/>
  <c r="Z64" i="113"/>
  <c r="Y64" i="113"/>
  <c r="X64" i="113"/>
  <c r="W64" i="113"/>
  <c r="V64" i="113"/>
  <c r="U64" i="113"/>
  <c r="T64" i="113"/>
  <c r="S64" i="113"/>
  <c r="R64" i="113"/>
  <c r="Q64" i="113"/>
  <c r="O64" i="113"/>
  <c r="N64" i="113"/>
  <c r="M64" i="113"/>
  <c r="L64" i="113"/>
  <c r="K64" i="113"/>
  <c r="J64" i="113"/>
  <c r="I64" i="113"/>
  <c r="H64" i="113"/>
  <c r="G64" i="113"/>
  <c r="F64" i="113"/>
  <c r="E64" i="113"/>
  <c r="D64" i="113"/>
  <c r="CD64" i="113"/>
  <c r="CD16" i="113" s="1"/>
  <c r="CC64" i="113"/>
  <c r="CB64" i="113"/>
  <c r="CA64" i="113"/>
  <c r="BZ64" i="113"/>
  <c r="BY64" i="113"/>
  <c r="BX64" i="113"/>
  <c r="BX16" i="113" s="1"/>
  <c r="BW64" i="113"/>
  <c r="BW16" i="113" s="1"/>
  <c r="BV64" i="113"/>
  <c r="BU64" i="113"/>
  <c r="BT64" i="113"/>
  <c r="BS64" i="113"/>
  <c r="BQ64" i="113"/>
  <c r="BQ16" i="113" s="1"/>
  <c r="BP64" i="113"/>
  <c r="BP16" i="113" s="1"/>
  <c r="BO64" i="113"/>
  <c r="BN64" i="113"/>
  <c r="BM64" i="113"/>
  <c r="BL64" i="113"/>
  <c r="BK64" i="113"/>
  <c r="BJ64" i="113"/>
  <c r="BJ16" i="113" s="1"/>
  <c r="BI64" i="113"/>
  <c r="BH64" i="113"/>
  <c r="BG64" i="113"/>
  <c r="BG16" i="113" s="1"/>
  <c r="BF64" i="113"/>
  <c r="BC64" i="113"/>
  <c r="BB64" i="113"/>
  <c r="AB37" i="82" s="1"/>
  <c r="BA64" i="113"/>
  <c r="AZ64" i="113"/>
  <c r="AY64" i="113"/>
  <c r="AX64" i="113"/>
  <c r="AW64" i="113"/>
  <c r="AV64" i="113"/>
  <c r="AU64" i="113"/>
  <c r="AT64" i="113"/>
  <c r="AS64" i="113"/>
  <c r="AR64" i="113"/>
  <c r="AP64" i="113"/>
  <c r="AO64" i="113"/>
  <c r="AN64" i="113"/>
  <c r="AM64" i="113"/>
  <c r="AL64" i="113"/>
  <c r="AK64" i="113"/>
  <c r="AJ64" i="113"/>
  <c r="AI64" i="113"/>
  <c r="AH64" i="113"/>
  <c r="AG64" i="113"/>
  <c r="AF64" i="113"/>
  <c r="AE64" i="113"/>
  <c r="AB63" i="113"/>
  <c r="AA63" i="113"/>
  <c r="Z63" i="113"/>
  <c r="Y63" i="113"/>
  <c r="X63" i="113"/>
  <c r="W63" i="113"/>
  <c r="V63" i="113"/>
  <c r="U63" i="113"/>
  <c r="T63" i="113"/>
  <c r="S63" i="113"/>
  <c r="R63" i="113"/>
  <c r="Q63" i="113"/>
  <c r="O63" i="113"/>
  <c r="N63" i="113"/>
  <c r="M63" i="113"/>
  <c r="L63" i="113"/>
  <c r="K63" i="113"/>
  <c r="J63" i="113"/>
  <c r="I63" i="113"/>
  <c r="H63" i="113"/>
  <c r="G63" i="113"/>
  <c r="F63" i="113"/>
  <c r="E63" i="113"/>
  <c r="D63" i="113"/>
  <c r="CD63" i="113"/>
  <c r="CD15" i="113" s="1"/>
  <c r="CC63" i="113"/>
  <c r="CB63" i="113"/>
  <c r="CA63" i="113"/>
  <c r="BZ63" i="113"/>
  <c r="BY63" i="113"/>
  <c r="BX63" i="113"/>
  <c r="BX15" i="113" s="1"/>
  <c r="BW63" i="113"/>
  <c r="BW15" i="113" s="1"/>
  <c r="BV63" i="113"/>
  <c r="BU63" i="113"/>
  <c r="BT63" i="113"/>
  <c r="BS63" i="113"/>
  <c r="BQ63" i="113"/>
  <c r="BQ15" i="113" s="1"/>
  <c r="BP63" i="113"/>
  <c r="BP15" i="113" s="1"/>
  <c r="BO63" i="113"/>
  <c r="BN63" i="113"/>
  <c r="BM63" i="113"/>
  <c r="BL63" i="113"/>
  <c r="BK63" i="113"/>
  <c r="BJ63" i="113"/>
  <c r="BJ15" i="113" s="1"/>
  <c r="BI63" i="113"/>
  <c r="BH63" i="113"/>
  <c r="BG63" i="113"/>
  <c r="BG15" i="113" s="1"/>
  <c r="BF63" i="113"/>
  <c r="BC63" i="113"/>
  <c r="BB63" i="113"/>
  <c r="AB36" i="82" s="1"/>
  <c r="BA63" i="113"/>
  <c r="AZ63" i="113"/>
  <c r="AY63" i="113"/>
  <c r="AX63" i="113"/>
  <c r="AW63" i="113"/>
  <c r="AV63" i="113"/>
  <c r="AU63" i="113"/>
  <c r="AT63" i="113"/>
  <c r="AS63" i="113"/>
  <c r="AR63" i="113"/>
  <c r="AP63" i="113"/>
  <c r="AO63" i="113"/>
  <c r="AN63" i="113"/>
  <c r="AM63" i="113"/>
  <c r="AL63" i="113"/>
  <c r="AK63" i="113"/>
  <c r="AJ63" i="113"/>
  <c r="AI63" i="113"/>
  <c r="AH63" i="113"/>
  <c r="AG63" i="113"/>
  <c r="AF63" i="113"/>
  <c r="AE63" i="113"/>
  <c r="AB62" i="113"/>
  <c r="AA62" i="113"/>
  <c r="Z62" i="113"/>
  <c r="Y62" i="113"/>
  <c r="X62" i="113"/>
  <c r="W62" i="113"/>
  <c r="V62" i="113"/>
  <c r="U62" i="113"/>
  <c r="T62" i="113"/>
  <c r="S62" i="113"/>
  <c r="R62" i="113"/>
  <c r="Q62" i="113"/>
  <c r="O62" i="113"/>
  <c r="N62" i="113"/>
  <c r="M62" i="113"/>
  <c r="L62" i="113"/>
  <c r="K62" i="113"/>
  <c r="J62" i="113"/>
  <c r="I62" i="113"/>
  <c r="H62" i="113"/>
  <c r="G62" i="113"/>
  <c r="F62" i="113"/>
  <c r="E62" i="113"/>
  <c r="D62" i="113"/>
  <c r="CD62" i="113"/>
  <c r="CD14" i="113" s="1"/>
  <c r="CC62" i="113"/>
  <c r="CB62" i="113"/>
  <c r="CA62" i="113"/>
  <c r="BZ62" i="113"/>
  <c r="BY62" i="113"/>
  <c r="BX62" i="113"/>
  <c r="BX14" i="113" s="1"/>
  <c r="BW62" i="113"/>
  <c r="BW14" i="113" s="1"/>
  <c r="BV62" i="113"/>
  <c r="BU62" i="113"/>
  <c r="BT62" i="113"/>
  <c r="BS62" i="113"/>
  <c r="BQ62" i="113"/>
  <c r="BQ14" i="113" s="1"/>
  <c r="BP62" i="113"/>
  <c r="BP14" i="113" s="1"/>
  <c r="BO62" i="113"/>
  <c r="BN62" i="113"/>
  <c r="BM62" i="113"/>
  <c r="BL62" i="113"/>
  <c r="BK62" i="113"/>
  <c r="BJ62" i="113"/>
  <c r="BJ14" i="113" s="1"/>
  <c r="BI62" i="113"/>
  <c r="BH62" i="113"/>
  <c r="BG62" i="113"/>
  <c r="BG14" i="113" s="1"/>
  <c r="BF62" i="113"/>
  <c r="BC62" i="113"/>
  <c r="BB62" i="113"/>
  <c r="AB35" i="82" s="1"/>
  <c r="BA62" i="113"/>
  <c r="AZ62" i="113"/>
  <c r="AY62" i="113"/>
  <c r="AX62" i="113"/>
  <c r="AW62" i="113"/>
  <c r="AV62" i="113"/>
  <c r="AU62" i="113"/>
  <c r="AT62" i="113"/>
  <c r="AS62" i="113"/>
  <c r="AR62" i="113"/>
  <c r="AP62" i="113"/>
  <c r="AO62" i="113"/>
  <c r="AN62" i="113"/>
  <c r="AM62" i="113"/>
  <c r="AL62" i="113"/>
  <c r="AK62" i="113"/>
  <c r="AJ62" i="113"/>
  <c r="AI62" i="113"/>
  <c r="AH62" i="113"/>
  <c r="AG62" i="113"/>
  <c r="AF62" i="113"/>
  <c r="AE62" i="113"/>
  <c r="AB61" i="113"/>
  <c r="AA61" i="113"/>
  <c r="Z61" i="113"/>
  <c r="Y61" i="113"/>
  <c r="X61" i="113"/>
  <c r="W61" i="113"/>
  <c r="V61" i="113"/>
  <c r="U61" i="113"/>
  <c r="T61" i="113"/>
  <c r="S61" i="113"/>
  <c r="R61" i="113"/>
  <c r="Q61" i="113"/>
  <c r="O61" i="113"/>
  <c r="N61" i="113"/>
  <c r="M61" i="113"/>
  <c r="L61" i="113"/>
  <c r="K61" i="113"/>
  <c r="J61" i="113"/>
  <c r="I61" i="113"/>
  <c r="H61" i="113"/>
  <c r="G61" i="113"/>
  <c r="F61" i="113"/>
  <c r="E61" i="113"/>
  <c r="D61" i="113"/>
  <c r="CD61" i="113"/>
  <c r="CD13" i="113" s="1"/>
  <c r="CC61" i="113"/>
  <c r="CB61" i="113"/>
  <c r="CA61" i="113"/>
  <c r="BZ61" i="113"/>
  <c r="BY61" i="113"/>
  <c r="BX61" i="113"/>
  <c r="BW61" i="113"/>
  <c r="BW13" i="113" s="1"/>
  <c r="BV61" i="113"/>
  <c r="BU61" i="113"/>
  <c r="BT61" i="113"/>
  <c r="BS61" i="113"/>
  <c r="BQ61" i="113"/>
  <c r="BQ13" i="113" s="1"/>
  <c r="BP61" i="113"/>
  <c r="BP13" i="113" s="1"/>
  <c r="BO61" i="113"/>
  <c r="BN61" i="113"/>
  <c r="BM61" i="113"/>
  <c r="BL61" i="113"/>
  <c r="BK61" i="113"/>
  <c r="BJ61" i="113"/>
  <c r="BJ13" i="113" s="1"/>
  <c r="BI61" i="113"/>
  <c r="BH61" i="113"/>
  <c r="BG61" i="113"/>
  <c r="BG13" i="113" s="1"/>
  <c r="BF61" i="113"/>
  <c r="BC61" i="113"/>
  <c r="BB61" i="113"/>
  <c r="AB34" i="82" s="1"/>
  <c r="BA61" i="113"/>
  <c r="AZ61" i="113"/>
  <c r="AY61" i="113"/>
  <c r="AX61" i="113"/>
  <c r="AW61" i="113"/>
  <c r="AV61" i="113"/>
  <c r="AU61" i="113"/>
  <c r="AT61" i="113"/>
  <c r="AS61" i="113"/>
  <c r="AR61" i="113"/>
  <c r="AP61" i="113"/>
  <c r="AO61" i="113"/>
  <c r="AN61" i="113"/>
  <c r="AM61" i="113"/>
  <c r="AL61" i="113"/>
  <c r="AK61" i="113"/>
  <c r="AJ61" i="113"/>
  <c r="AI61" i="113"/>
  <c r="AH61" i="113"/>
  <c r="AG61" i="113"/>
  <c r="AF61" i="113"/>
  <c r="AE61" i="113"/>
  <c r="AB60" i="113"/>
  <c r="AA60" i="113"/>
  <c r="Z60" i="113"/>
  <c r="Y60" i="113"/>
  <c r="X60" i="113"/>
  <c r="W60" i="113"/>
  <c r="V60" i="113"/>
  <c r="U60" i="113"/>
  <c r="T60" i="113"/>
  <c r="S60" i="113"/>
  <c r="R60" i="113"/>
  <c r="Q60" i="113"/>
  <c r="O60" i="113"/>
  <c r="N60" i="113"/>
  <c r="M60" i="113"/>
  <c r="L60" i="113"/>
  <c r="K60" i="113"/>
  <c r="J60" i="113"/>
  <c r="I60" i="113"/>
  <c r="H60" i="113"/>
  <c r="G60" i="113"/>
  <c r="F60" i="113"/>
  <c r="E60" i="113"/>
  <c r="D60" i="113"/>
  <c r="CD60" i="113"/>
  <c r="CD12" i="113" s="1"/>
  <c r="CC60" i="113"/>
  <c r="CB60" i="113"/>
  <c r="CA60" i="113"/>
  <c r="BZ60" i="113"/>
  <c r="BY60" i="113"/>
  <c r="BX60" i="113"/>
  <c r="BW60" i="113"/>
  <c r="BW12" i="113" s="1"/>
  <c r="BV60" i="113"/>
  <c r="BU60" i="113"/>
  <c r="BT60" i="113"/>
  <c r="BT12" i="113" s="1"/>
  <c r="BS60" i="113"/>
  <c r="BQ60" i="113"/>
  <c r="BQ12" i="113" s="1"/>
  <c r="BP60" i="113"/>
  <c r="BP12" i="113" s="1"/>
  <c r="BO60" i="113"/>
  <c r="BN60" i="113"/>
  <c r="BM60" i="113"/>
  <c r="BL60" i="113"/>
  <c r="BK60" i="113"/>
  <c r="BJ60" i="113"/>
  <c r="BJ12" i="113" s="1"/>
  <c r="BI60" i="113"/>
  <c r="BH60" i="113"/>
  <c r="BG60" i="113"/>
  <c r="BG12" i="113" s="1"/>
  <c r="BF60" i="113"/>
  <c r="BC60" i="113"/>
  <c r="BB60" i="113"/>
  <c r="AB33" i="82" s="1"/>
  <c r="BA60" i="113"/>
  <c r="AZ60" i="113"/>
  <c r="AY60" i="113"/>
  <c r="AX60" i="113"/>
  <c r="AW60" i="113"/>
  <c r="AV60" i="113"/>
  <c r="AU60" i="113"/>
  <c r="AT60" i="113"/>
  <c r="AS60" i="113"/>
  <c r="AR60" i="113"/>
  <c r="AP60" i="113"/>
  <c r="AO60" i="113"/>
  <c r="AN60" i="113"/>
  <c r="AM60" i="113"/>
  <c r="AL60" i="113"/>
  <c r="AK60" i="113"/>
  <c r="AJ60" i="113"/>
  <c r="AI60" i="113"/>
  <c r="AH60" i="113"/>
  <c r="AG60" i="113"/>
  <c r="AF60" i="113"/>
  <c r="AE60" i="113"/>
  <c r="AB59" i="113"/>
  <c r="AA59" i="113"/>
  <c r="Z59" i="113"/>
  <c r="Y59" i="113"/>
  <c r="X59" i="113"/>
  <c r="W59" i="113"/>
  <c r="V59" i="113"/>
  <c r="U59" i="113"/>
  <c r="T59" i="113"/>
  <c r="S59" i="113"/>
  <c r="R59" i="113"/>
  <c r="Q59" i="113"/>
  <c r="O59" i="113"/>
  <c r="N59" i="113"/>
  <c r="M59" i="113"/>
  <c r="L59" i="113"/>
  <c r="K59" i="113"/>
  <c r="J59" i="113"/>
  <c r="I59" i="113"/>
  <c r="H59" i="113"/>
  <c r="G59" i="113"/>
  <c r="F59" i="113"/>
  <c r="E59" i="113"/>
  <c r="D59" i="113"/>
  <c r="CD59" i="113"/>
  <c r="CD11" i="113" s="1"/>
  <c r="CC59" i="113"/>
  <c r="CB59" i="113"/>
  <c r="CA59" i="113"/>
  <c r="BZ59" i="113"/>
  <c r="BY59" i="113"/>
  <c r="BX59" i="113"/>
  <c r="BW59" i="113"/>
  <c r="BW11" i="113" s="1"/>
  <c r="BV59" i="113"/>
  <c r="BU59" i="113"/>
  <c r="BT59" i="113"/>
  <c r="BS59" i="113"/>
  <c r="BQ59" i="113"/>
  <c r="BQ11" i="113" s="1"/>
  <c r="BP59" i="113"/>
  <c r="BP11" i="113" s="1"/>
  <c r="BO59" i="113"/>
  <c r="BN59" i="113"/>
  <c r="BM59" i="113"/>
  <c r="BL59" i="113"/>
  <c r="BK59" i="113"/>
  <c r="BJ59" i="113"/>
  <c r="BJ11" i="113" s="1"/>
  <c r="BI59" i="113"/>
  <c r="BH59" i="113"/>
  <c r="BG59" i="113"/>
  <c r="BG11" i="113" s="1"/>
  <c r="BF59" i="113"/>
  <c r="BC59" i="113"/>
  <c r="BB59" i="113"/>
  <c r="AB32" i="82" s="1"/>
  <c r="BA59" i="113"/>
  <c r="AZ59" i="113"/>
  <c r="AY59" i="113"/>
  <c r="AX59" i="113"/>
  <c r="AW59" i="113"/>
  <c r="AV59" i="113"/>
  <c r="AU59" i="113"/>
  <c r="AT59" i="113"/>
  <c r="AS59" i="113"/>
  <c r="AR59" i="113"/>
  <c r="AP59" i="113"/>
  <c r="AO59" i="113"/>
  <c r="AN59" i="113"/>
  <c r="AM59" i="113"/>
  <c r="AL59" i="113"/>
  <c r="AK59" i="113"/>
  <c r="AJ59" i="113"/>
  <c r="AI59" i="113"/>
  <c r="AH59" i="113"/>
  <c r="AG59" i="113"/>
  <c r="AF59" i="113"/>
  <c r="AE59" i="113"/>
  <c r="AB58" i="113"/>
  <c r="AA58" i="113"/>
  <c r="Z58" i="113"/>
  <c r="Y58" i="113"/>
  <c r="X58" i="113"/>
  <c r="W58" i="113"/>
  <c r="V58" i="113"/>
  <c r="U58" i="113"/>
  <c r="T58" i="113"/>
  <c r="S58" i="113"/>
  <c r="R58" i="113"/>
  <c r="Q58" i="113"/>
  <c r="O58" i="113"/>
  <c r="N58" i="113"/>
  <c r="M58" i="113"/>
  <c r="L58" i="113"/>
  <c r="K58" i="113"/>
  <c r="J58" i="113"/>
  <c r="I58" i="113"/>
  <c r="H58" i="113"/>
  <c r="G58" i="113"/>
  <c r="F58" i="113"/>
  <c r="E58" i="113"/>
  <c r="D58" i="113"/>
  <c r="CD58" i="113"/>
  <c r="CD10" i="113" s="1"/>
  <c r="CC58" i="113"/>
  <c r="CB58" i="113"/>
  <c r="CA58" i="113"/>
  <c r="BZ58" i="113"/>
  <c r="BY58" i="113"/>
  <c r="BX58" i="113"/>
  <c r="BX10" i="113" s="1"/>
  <c r="BW58" i="113"/>
  <c r="BW10" i="113" s="1"/>
  <c r="BV58" i="113"/>
  <c r="BU58" i="113"/>
  <c r="BT58" i="113"/>
  <c r="BS58" i="113"/>
  <c r="BQ58" i="113"/>
  <c r="BQ10" i="113" s="1"/>
  <c r="BP58" i="113"/>
  <c r="BP10" i="113" s="1"/>
  <c r="BO58" i="113"/>
  <c r="BN58" i="113"/>
  <c r="BM58" i="113"/>
  <c r="BL58" i="113"/>
  <c r="BK58" i="113"/>
  <c r="BJ58" i="113"/>
  <c r="BJ10" i="113" s="1"/>
  <c r="BI58" i="113"/>
  <c r="BH58" i="113"/>
  <c r="BG58" i="113"/>
  <c r="BG10" i="113" s="1"/>
  <c r="BF58" i="113"/>
  <c r="BC58" i="113"/>
  <c r="BB58" i="113"/>
  <c r="AB31" i="82" s="1"/>
  <c r="BA58" i="113"/>
  <c r="AZ58" i="113"/>
  <c r="AY58" i="113"/>
  <c r="AX58" i="113"/>
  <c r="AW58" i="113"/>
  <c r="AV58" i="113"/>
  <c r="AU58" i="113"/>
  <c r="AT58" i="113"/>
  <c r="AS58" i="113"/>
  <c r="AR58" i="113"/>
  <c r="AP58" i="113"/>
  <c r="AO58" i="113"/>
  <c r="AN58" i="113"/>
  <c r="AM58" i="113"/>
  <c r="AL58" i="113"/>
  <c r="AK58" i="113"/>
  <c r="AJ58" i="113"/>
  <c r="AI58" i="113"/>
  <c r="AH58" i="113"/>
  <c r="AG58" i="113"/>
  <c r="AF58" i="113"/>
  <c r="AE58" i="113"/>
  <c r="AB57" i="113"/>
  <c r="AA57" i="113"/>
  <c r="Z57" i="113"/>
  <c r="Y57" i="113"/>
  <c r="X57" i="113"/>
  <c r="W57" i="113"/>
  <c r="V57" i="113"/>
  <c r="U57" i="113"/>
  <c r="T57" i="113"/>
  <c r="S57" i="113"/>
  <c r="R57" i="113"/>
  <c r="Q57" i="113"/>
  <c r="O57" i="113"/>
  <c r="N57" i="113"/>
  <c r="M57" i="113"/>
  <c r="L57" i="113"/>
  <c r="K57" i="113"/>
  <c r="J57" i="113"/>
  <c r="I57" i="113"/>
  <c r="H57" i="113"/>
  <c r="G57" i="113"/>
  <c r="F57" i="113"/>
  <c r="E57" i="113"/>
  <c r="D57" i="113"/>
  <c r="CD57" i="113"/>
  <c r="CD9" i="113" s="1"/>
  <c r="CC57" i="113"/>
  <c r="CB57" i="113"/>
  <c r="CA57" i="113"/>
  <c r="BZ57" i="113"/>
  <c r="BY57" i="113"/>
  <c r="BX57" i="113"/>
  <c r="BW57" i="113"/>
  <c r="BW9" i="113" s="1"/>
  <c r="BV57" i="113"/>
  <c r="BU57" i="113"/>
  <c r="BT57" i="113"/>
  <c r="BS57" i="113"/>
  <c r="BQ57" i="113"/>
  <c r="BQ9" i="113" s="1"/>
  <c r="BP57" i="113"/>
  <c r="BP9" i="113" s="1"/>
  <c r="BO57" i="113"/>
  <c r="BN57" i="113"/>
  <c r="BM57" i="113"/>
  <c r="BL57" i="113"/>
  <c r="BK57" i="113"/>
  <c r="BJ57" i="113"/>
  <c r="BJ9" i="113" s="1"/>
  <c r="BI57" i="113"/>
  <c r="BH57" i="113"/>
  <c r="BG57" i="113"/>
  <c r="BG9" i="113" s="1"/>
  <c r="BF57" i="113"/>
  <c r="BC57" i="113"/>
  <c r="BB57" i="113"/>
  <c r="AB30" i="82" s="1"/>
  <c r="BA57" i="113"/>
  <c r="AZ57" i="113"/>
  <c r="AY57" i="113"/>
  <c r="AX57" i="113"/>
  <c r="AW57" i="113"/>
  <c r="AV57" i="113"/>
  <c r="AU57" i="113"/>
  <c r="AT57" i="113"/>
  <c r="AS57" i="113"/>
  <c r="AR57" i="113"/>
  <c r="AP57" i="113"/>
  <c r="AO57" i="113"/>
  <c r="AN57" i="113"/>
  <c r="AM57" i="113"/>
  <c r="AL57" i="113"/>
  <c r="AK57" i="113"/>
  <c r="AJ57" i="113"/>
  <c r="AI57" i="113"/>
  <c r="AH57" i="113"/>
  <c r="AG57" i="113"/>
  <c r="AF57" i="113"/>
  <c r="AE57" i="113"/>
  <c r="AB56" i="113"/>
  <c r="AA56" i="113"/>
  <c r="Z56" i="113"/>
  <c r="Y56" i="113"/>
  <c r="X56" i="113"/>
  <c r="W56" i="113"/>
  <c r="V56" i="113"/>
  <c r="U56" i="113"/>
  <c r="T56" i="113"/>
  <c r="S56" i="113"/>
  <c r="R56" i="113"/>
  <c r="Q56" i="113"/>
  <c r="O56" i="113"/>
  <c r="N56" i="113"/>
  <c r="M56" i="113"/>
  <c r="L56" i="113"/>
  <c r="K56" i="113"/>
  <c r="J56" i="113"/>
  <c r="I56" i="113"/>
  <c r="H56" i="113"/>
  <c r="G56" i="113"/>
  <c r="F56" i="113"/>
  <c r="E56" i="113"/>
  <c r="D56" i="113"/>
  <c r="CD56" i="113"/>
  <c r="CD8" i="113" s="1"/>
  <c r="CC56" i="113"/>
  <c r="CB56" i="113"/>
  <c r="CA56" i="113"/>
  <c r="BZ56" i="113"/>
  <c r="BY56" i="113"/>
  <c r="BX56" i="113"/>
  <c r="BW56" i="113"/>
  <c r="BW8" i="113" s="1"/>
  <c r="BV56" i="113"/>
  <c r="BU56" i="113"/>
  <c r="BT56" i="113"/>
  <c r="BT8" i="113" s="1"/>
  <c r="BS56" i="113"/>
  <c r="BQ56" i="113"/>
  <c r="BQ8" i="113" s="1"/>
  <c r="BP56" i="113"/>
  <c r="BP8" i="113" s="1"/>
  <c r="BO56" i="113"/>
  <c r="BN56" i="113"/>
  <c r="BM56" i="113"/>
  <c r="BL56" i="113"/>
  <c r="BK56" i="113"/>
  <c r="BJ56" i="113"/>
  <c r="BJ8" i="113" s="1"/>
  <c r="BI56" i="113"/>
  <c r="BH56" i="113"/>
  <c r="BG56" i="113"/>
  <c r="BG8" i="113" s="1"/>
  <c r="BF56" i="113"/>
  <c r="BC56" i="113"/>
  <c r="BB56" i="113"/>
  <c r="AB29" i="82" s="1"/>
  <c r="BA56" i="113"/>
  <c r="AZ56" i="113"/>
  <c r="AY56" i="113"/>
  <c r="AX56" i="113"/>
  <c r="AW56" i="113"/>
  <c r="AV56" i="113"/>
  <c r="AU56" i="113"/>
  <c r="AT56" i="113"/>
  <c r="AS56" i="113"/>
  <c r="AR56" i="113"/>
  <c r="AP56" i="113"/>
  <c r="AO56" i="113"/>
  <c r="AN56" i="113"/>
  <c r="AM56" i="113"/>
  <c r="AL56" i="113"/>
  <c r="AK56" i="113"/>
  <c r="AJ56" i="113"/>
  <c r="AI56" i="113"/>
  <c r="AH56" i="113"/>
  <c r="AG56" i="113"/>
  <c r="AF56" i="113"/>
  <c r="AE56" i="113"/>
  <c r="AB55" i="113"/>
  <c r="AA55" i="113"/>
  <c r="Z55" i="113"/>
  <c r="Y55" i="113"/>
  <c r="X55" i="113"/>
  <c r="W55" i="113"/>
  <c r="V55" i="113"/>
  <c r="U55" i="113"/>
  <c r="T55" i="113"/>
  <c r="S55" i="113"/>
  <c r="R55" i="113"/>
  <c r="Q55" i="113"/>
  <c r="O55" i="113"/>
  <c r="N55" i="113"/>
  <c r="M55" i="113"/>
  <c r="L55" i="113"/>
  <c r="K55" i="113"/>
  <c r="J55" i="113"/>
  <c r="I55" i="113"/>
  <c r="H55" i="113"/>
  <c r="G55" i="113"/>
  <c r="F55" i="113"/>
  <c r="E55" i="113"/>
  <c r="D55" i="113"/>
  <c r="CD55" i="113"/>
  <c r="CD7" i="113" s="1"/>
  <c r="CC55" i="113"/>
  <c r="CB55" i="113"/>
  <c r="CA55" i="113"/>
  <c r="BZ55" i="113"/>
  <c r="BY55" i="113"/>
  <c r="BX55" i="113"/>
  <c r="BX7" i="113" s="1"/>
  <c r="BW55" i="113"/>
  <c r="BW7" i="113" s="1"/>
  <c r="BV55" i="113"/>
  <c r="BU55" i="113"/>
  <c r="BT55" i="113"/>
  <c r="BS55" i="113"/>
  <c r="BQ55" i="113"/>
  <c r="BQ7" i="113" s="1"/>
  <c r="BP55" i="113"/>
  <c r="BP7" i="113" s="1"/>
  <c r="BO55" i="113"/>
  <c r="BN55" i="113"/>
  <c r="BM55" i="113"/>
  <c r="BL55" i="113"/>
  <c r="BK55" i="113"/>
  <c r="BJ55" i="113"/>
  <c r="BJ7" i="113" s="1"/>
  <c r="BI55" i="113"/>
  <c r="BH55" i="113"/>
  <c r="BG55" i="113"/>
  <c r="BG7" i="113" s="1"/>
  <c r="BF55" i="113"/>
  <c r="BC55" i="113"/>
  <c r="BB55" i="113"/>
  <c r="AB28" i="82" s="1"/>
  <c r="BA55" i="113"/>
  <c r="AZ55" i="113"/>
  <c r="AY55" i="113"/>
  <c r="AX55" i="113"/>
  <c r="AW55" i="113"/>
  <c r="AV55" i="113"/>
  <c r="AU55" i="113"/>
  <c r="AT55" i="113"/>
  <c r="AS55" i="113"/>
  <c r="AR55" i="113"/>
  <c r="AP55" i="113"/>
  <c r="AO55" i="113"/>
  <c r="AN55" i="113"/>
  <c r="AM55" i="113"/>
  <c r="AL55" i="113"/>
  <c r="AK55" i="113"/>
  <c r="AJ55" i="113"/>
  <c r="AI55" i="113"/>
  <c r="AH55" i="113"/>
  <c r="AG55" i="113"/>
  <c r="AF55" i="113"/>
  <c r="AE55" i="113"/>
  <c r="AB54" i="113"/>
  <c r="AA54" i="113"/>
  <c r="Z54" i="113"/>
  <c r="Y54" i="113"/>
  <c r="X54" i="113"/>
  <c r="W54" i="113"/>
  <c r="V54" i="113"/>
  <c r="U54" i="113"/>
  <c r="T54" i="113"/>
  <c r="S54" i="113"/>
  <c r="R54" i="113"/>
  <c r="Q54" i="113"/>
  <c r="O54" i="113"/>
  <c r="N54" i="113"/>
  <c r="M54" i="113"/>
  <c r="L54" i="113"/>
  <c r="K54" i="113"/>
  <c r="J54" i="113"/>
  <c r="I54" i="113"/>
  <c r="H54" i="113"/>
  <c r="G54" i="113"/>
  <c r="F54" i="113"/>
  <c r="E54" i="113"/>
  <c r="D54" i="113"/>
  <c r="CD54" i="113"/>
  <c r="CD6" i="113" s="1"/>
  <c r="CC54" i="113"/>
  <c r="CB54" i="113"/>
  <c r="CA54" i="113"/>
  <c r="BZ54" i="113"/>
  <c r="BY54" i="113"/>
  <c r="BX54" i="113"/>
  <c r="BX6" i="113" s="1"/>
  <c r="BW54" i="113"/>
  <c r="BW6" i="113" s="1"/>
  <c r="BV54" i="113"/>
  <c r="BU54" i="113"/>
  <c r="BT54" i="113"/>
  <c r="BS54" i="113"/>
  <c r="BQ54" i="113"/>
  <c r="BQ6" i="113" s="1"/>
  <c r="BP54" i="113"/>
  <c r="BP6" i="113" s="1"/>
  <c r="BO54" i="113"/>
  <c r="BN54" i="113"/>
  <c r="BM54" i="113"/>
  <c r="BL54" i="113"/>
  <c r="BK54" i="113"/>
  <c r="BJ54" i="113"/>
  <c r="BJ6" i="113" s="1"/>
  <c r="BI54" i="113"/>
  <c r="BH54" i="113"/>
  <c r="BG54" i="113"/>
  <c r="BG6" i="113" s="1"/>
  <c r="BF54" i="113"/>
  <c r="BC54" i="113"/>
  <c r="BB54" i="113"/>
  <c r="AB27" i="82" s="1"/>
  <c r="BA54" i="113"/>
  <c r="AZ54" i="113"/>
  <c r="AY54" i="113"/>
  <c r="AX54" i="113"/>
  <c r="AW54" i="113"/>
  <c r="AV54" i="113"/>
  <c r="AU54" i="113"/>
  <c r="AT54" i="113"/>
  <c r="AS54" i="113"/>
  <c r="AR54" i="113"/>
  <c r="AP54" i="113"/>
  <c r="AO54" i="113"/>
  <c r="AN54" i="113"/>
  <c r="AM54" i="113"/>
  <c r="AL54" i="113"/>
  <c r="AK54" i="113"/>
  <c r="AJ54" i="113"/>
  <c r="AI54" i="113"/>
  <c r="AH54" i="113"/>
  <c r="AG54" i="113"/>
  <c r="AF54" i="113"/>
  <c r="AE54" i="113"/>
  <c r="AB53" i="113"/>
  <c r="AB81" i="113" s="1"/>
  <c r="AA53" i="113"/>
  <c r="Z53" i="113"/>
  <c r="Y53" i="113"/>
  <c r="X53" i="113"/>
  <c r="W53" i="113"/>
  <c r="W81" i="113" s="1"/>
  <c r="V53" i="113"/>
  <c r="V81" i="113" s="1"/>
  <c r="U53" i="113"/>
  <c r="U81" i="113" s="1"/>
  <c r="T53" i="113"/>
  <c r="T81" i="113" s="1"/>
  <c r="S53" i="113"/>
  <c r="R53" i="113"/>
  <c r="Q53" i="113"/>
  <c r="O53" i="113"/>
  <c r="N53" i="113"/>
  <c r="N81" i="113" s="1"/>
  <c r="M53" i="113"/>
  <c r="M81" i="113" s="1"/>
  <c r="L53" i="113"/>
  <c r="L81" i="113" s="1"/>
  <c r="K53" i="113"/>
  <c r="K81" i="113" s="1"/>
  <c r="J53" i="113"/>
  <c r="I53" i="113"/>
  <c r="H53" i="113"/>
  <c r="G53" i="113"/>
  <c r="F53" i="113"/>
  <c r="F81" i="113" s="1"/>
  <c r="E53" i="113"/>
  <c r="E81" i="113" s="1"/>
  <c r="D53" i="113"/>
  <c r="D81" i="113" s="1"/>
  <c r="CD53" i="113"/>
  <c r="CC53" i="113"/>
  <c r="CB53" i="113"/>
  <c r="CA53" i="113"/>
  <c r="BZ53" i="113"/>
  <c r="BY53" i="113"/>
  <c r="BY81" i="113" s="1"/>
  <c r="BX53" i="113"/>
  <c r="BW53" i="113"/>
  <c r="BV53" i="113"/>
  <c r="BU53" i="113"/>
  <c r="BT53" i="113"/>
  <c r="BS53" i="113"/>
  <c r="BQ53" i="113"/>
  <c r="BP53" i="113"/>
  <c r="BO53" i="113"/>
  <c r="BO81" i="113" s="1"/>
  <c r="BN53" i="113"/>
  <c r="BN81" i="113" s="1"/>
  <c r="BM53" i="113"/>
  <c r="BM81" i="113" s="1"/>
  <c r="BL53" i="113"/>
  <c r="BK53" i="113"/>
  <c r="BJ53" i="113"/>
  <c r="BI53" i="113"/>
  <c r="BH53" i="113"/>
  <c r="BH81" i="113" s="1"/>
  <c r="BG53" i="113"/>
  <c r="BF53" i="113"/>
  <c r="BF81" i="113" s="1"/>
  <c r="BC53" i="113"/>
  <c r="BC81" i="113" s="1"/>
  <c r="BB53" i="113"/>
  <c r="BA53" i="113"/>
  <c r="AZ53" i="113"/>
  <c r="AY53" i="113"/>
  <c r="AX53" i="113"/>
  <c r="AX81" i="113" s="1"/>
  <c r="AW53" i="113"/>
  <c r="AW81" i="113" s="1"/>
  <c r="AV53" i="113"/>
  <c r="AV81" i="113" s="1"/>
  <c r="AU53" i="113"/>
  <c r="AU81" i="113" s="1"/>
  <c r="AT53" i="113"/>
  <c r="AS53" i="113"/>
  <c r="AR53" i="113"/>
  <c r="AP53" i="113"/>
  <c r="AO53" i="113"/>
  <c r="AN53" i="113"/>
  <c r="AN81" i="113" s="1"/>
  <c r="AM53" i="113"/>
  <c r="AM81" i="113" s="1"/>
  <c r="AL53" i="113"/>
  <c r="AL81" i="113" s="1"/>
  <c r="AK53" i="113"/>
  <c r="AJ53" i="113"/>
  <c r="AI53" i="113"/>
  <c r="AH53" i="113"/>
  <c r="AG53" i="113"/>
  <c r="AG81" i="113" s="1"/>
  <c r="AF53" i="113"/>
  <c r="AF81" i="113" s="1"/>
  <c r="AE53" i="113"/>
  <c r="AE81" i="113" s="1"/>
  <c r="AB52" i="113"/>
  <c r="AA52" i="113"/>
  <c r="Z52" i="113"/>
  <c r="Y52" i="113"/>
  <c r="X52" i="113"/>
  <c r="W52" i="113"/>
  <c r="V52" i="113"/>
  <c r="U52" i="113"/>
  <c r="T52" i="113"/>
  <c r="S52" i="113"/>
  <c r="R52" i="113"/>
  <c r="Q52" i="113"/>
  <c r="O52" i="113"/>
  <c r="N52" i="113"/>
  <c r="M52" i="113"/>
  <c r="L52" i="113"/>
  <c r="K52" i="113"/>
  <c r="J52" i="113"/>
  <c r="I52" i="113"/>
  <c r="H52" i="113"/>
  <c r="G52" i="113"/>
  <c r="F52" i="113"/>
  <c r="E52" i="113"/>
  <c r="CD52" i="113"/>
  <c r="CD4" i="113" s="1"/>
  <c r="CC52" i="113"/>
  <c r="CB52" i="113"/>
  <c r="CA52" i="113"/>
  <c r="BZ52" i="113"/>
  <c r="BY52" i="113"/>
  <c r="BX52" i="113"/>
  <c r="BX4" i="113" s="1"/>
  <c r="BW52" i="113"/>
  <c r="BW4" i="113" s="1"/>
  <c r="BV52" i="113"/>
  <c r="BU52" i="113"/>
  <c r="BT52" i="113"/>
  <c r="BT4" i="113" s="1"/>
  <c r="BS52" i="113"/>
  <c r="BQ52" i="113"/>
  <c r="BQ4" i="113" s="1"/>
  <c r="BP52" i="113"/>
  <c r="BP4" i="113" s="1"/>
  <c r="BO52" i="113"/>
  <c r="BN52" i="113"/>
  <c r="BM52" i="113"/>
  <c r="BL52" i="113"/>
  <c r="BK52" i="113"/>
  <c r="BJ52" i="113"/>
  <c r="BJ4" i="113" s="1"/>
  <c r="BI52" i="113"/>
  <c r="BH52" i="113"/>
  <c r="BG52" i="113"/>
  <c r="BG4" i="113" s="1"/>
  <c r="BF52" i="113"/>
  <c r="BC52" i="113"/>
  <c r="BB52" i="113"/>
  <c r="BA52" i="113"/>
  <c r="AZ52" i="113"/>
  <c r="AY52" i="113"/>
  <c r="AX52" i="113"/>
  <c r="AW52" i="113"/>
  <c r="AV52" i="113"/>
  <c r="AU52" i="113"/>
  <c r="AT52" i="113"/>
  <c r="AS52" i="113"/>
  <c r="AR52" i="113"/>
  <c r="AP52" i="113"/>
  <c r="AO52" i="113"/>
  <c r="AN52" i="113"/>
  <c r="AM52" i="113"/>
  <c r="AL52" i="113"/>
  <c r="AK52" i="113"/>
  <c r="AJ52" i="113"/>
  <c r="AI52" i="113"/>
  <c r="AH52" i="113"/>
  <c r="AG52" i="113"/>
  <c r="AF52" i="113"/>
  <c r="AE52" i="113"/>
  <c r="AB51" i="113"/>
  <c r="AA51" i="113"/>
  <c r="Z51" i="113"/>
  <c r="Y51" i="113"/>
  <c r="X51" i="113"/>
  <c r="W51" i="113"/>
  <c r="V51" i="113"/>
  <c r="U51" i="113"/>
  <c r="T51" i="113"/>
  <c r="S51" i="113"/>
  <c r="R51" i="113"/>
  <c r="Q51" i="113"/>
  <c r="O51" i="113"/>
  <c r="N51" i="113"/>
  <c r="M51" i="113"/>
  <c r="L51" i="113"/>
  <c r="K51" i="113"/>
  <c r="J51" i="113"/>
  <c r="I51" i="113"/>
  <c r="H51" i="113"/>
  <c r="G51" i="113"/>
  <c r="F51" i="113"/>
  <c r="E51" i="113"/>
  <c r="CD51" i="113"/>
  <c r="CD3" i="113" s="1"/>
  <c r="CC51" i="113"/>
  <c r="CB51" i="113"/>
  <c r="CA51" i="113"/>
  <c r="BZ51" i="113"/>
  <c r="BY51" i="113"/>
  <c r="BX51" i="113"/>
  <c r="BX3" i="113" s="1"/>
  <c r="BW51" i="113"/>
  <c r="BW3" i="113" s="1"/>
  <c r="BV51" i="113"/>
  <c r="BU51" i="113"/>
  <c r="BT51" i="113"/>
  <c r="BS51" i="113"/>
  <c r="BQ51" i="113"/>
  <c r="BQ3" i="113" s="1"/>
  <c r="BP51" i="113"/>
  <c r="BP3" i="113" s="1"/>
  <c r="BO51" i="113"/>
  <c r="BN51" i="113"/>
  <c r="BM51" i="113"/>
  <c r="BL51" i="113"/>
  <c r="BK51" i="113"/>
  <c r="BJ51" i="113"/>
  <c r="BJ3" i="113" s="1"/>
  <c r="BI51" i="113"/>
  <c r="BH51" i="113"/>
  <c r="BG51" i="113"/>
  <c r="BG3" i="113" s="1"/>
  <c r="BF51" i="113"/>
  <c r="BC51" i="113"/>
  <c r="BB51" i="113"/>
  <c r="BA51" i="113"/>
  <c r="AZ51" i="113"/>
  <c r="AY51" i="113"/>
  <c r="AX51" i="113"/>
  <c r="AW51" i="113"/>
  <c r="AV51" i="113"/>
  <c r="AU51" i="113"/>
  <c r="AT51" i="113"/>
  <c r="AS51" i="113"/>
  <c r="AR51" i="113"/>
  <c r="AP51" i="113"/>
  <c r="AO51" i="113"/>
  <c r="AN51" i="113"/>
  <c r="AM51" i="113"/>
  <c r="AL51" i="113"/>
  <c r="AK51" i="113"/>
  <c r="AJ51" i="113"/>
  <c r="AI51" i="113"/>
  <c r="AH51" i="113"/>
  <c r="AG51" i="113"/>
  <c r="AF51" i="113"/>
  <c r="AE51" i="113"/>
  <c r="AB50" i="113"/>
  <c r="AA50" i="113"/>
  <c r="Z50" i="113"/>
  <c r="Y50" i="113"/>
  <c r="X50" i="113"/>
  <c r="W50" i="113"/>
  <c r="V50" i="113"/>
  <c r="U50" i="113"/>
  <c r="T50" i="113"/>
  <c r="S50" i="113"/>
  <c r="R50" i="113"/>
  <c r="Q50" i="113"/>
  <c r="O50" i="113"/>
  <c r="N50" i="113"/>
  <c r="M50" i="113"/>
  <c r="L50" i="113"/>
  <c r="K50" i="113"/>
  <c r="J50" i="113"/>
  <c r="I50" i="113"/>
  <c r="H50" i="113"/>
  <c r="G50" i="113"/>
  <c r="F50" i="113"/>
  <c r="E50" i="113"/>
  <c r="D50" i="113"/>
  <c r="CD50" i="113"/>
  <c r="CC50" i="113"/>
  <c r="CB50" i="113"/>
  <c r="CA50" i="113"/>
  <c r="BZ50" i="113"/>
  <c r="BY50" i="113"/>
  <c r="BX50" i="113"/>
  <c r="BW50" i="113"/>
  <c r="BV50" i="113"/>
  <c r="BU50" i="113"/>
  <c r="BT50" i="113"/>
  <c r="BS50" i="113"/>
  <c r="BQ50" i="113"/>
  <c r="BP50" i="113"/>
  <c r="BO50" i="113"/>
  <c r="BN50" i="113"/>
  <c r="BM50" i="113"/>
  <c r="BL50" i="113"/>
  <c r="BK50" i="113"/>
  <c r="BJ50" i="113"/>
  <c r="BI50" i="113"/>
  <c r="BH50" i="113"/>
  <c r="BG50" i="113"/>
  <c r="BF50" i="113"/>
  <c r="BC50" i="113"/>
  <c r="BB50" i="113"/>
  <c r="AB23" i="82" s="1"/>
  <c r="BA50" i="113"/>
  <c r="AZ50" i="113"/>
  <c r="AY50" i="113"/>
  <c r="AX50" i="113"/>
  <c r="AW50" i="113"/>
  <c r="AV50" i="113"/>
  <c r="AU50" i="113"/>
  <c r="AT50" i="113"/>
  <c r="AS50" i="113"/>
  <c r="AR50" i="113"/>
  <c r="AP50" i="113"/>
  <c r="AO50" i="113"/>
  <c r="AN50" i="113"/>
  <c r="AM50" i="113"/>
  <c r="AL50" i="113"/>
  <c r="AK50" i="113"/>
  <c r="AJ50" i="113"/>
  <c r="AI50" i="113"/>
  <c r="AH50" i="113"/>
  <c r="AG50" i="113"/>
  <c r="AF50" i="113"/>
  <c r="AE50" i="113"/>
  <c r="AB49" i="113"/>
  <c r="AA49" i="113"/>
  <c r="Z49" i="113"/>
  <c r="Y49" i="113"/>
  <c r="X49" i="113"/>
  <c r="W49" i="113"/>
  <c r="V49" i="113"/>
  <c r="U49" i="113"/>
  <c r="T49" i="113"/>
  <c r="S49" i="113"/>
  <c r="R49" i="113"/>
  <c r="Q49" i="113"/>
  <c r="O49" i="113"/>
  <c r="N49" i="113"/>
  <c r="M49" i="113"/>
  <c r="L49" i="113"/>
  <c r="K49" i="113"/>
  <c r="J49" i="113"/>
  <c r="I49" i="113"/>
  <c r="H49" i="113"/>
  <c r="G49" i="113"/>
  <c r="F49" i="113"/>
  <c r="E49" i="113"/>
  <c r="D49" i="113"/>
  <c r="CD49" i="113"/>
  <c r="CC49" i="113"/>
  <c r="CB49" i="113"/>
  <c r="CA49" i="113"/>
  <c r="BZ49" i="113"/>
  <c r="BY49" i="113"/>
  <c r="BX49" i="113"/>
  <c r="BW49" i="113"/>
  <c r="BV49" i="113"/>
  <c r="BU49" i="113"/>
  <c r="BT49" i="113"/>
  <c r="BS49" i="113"/>
  <c r="BQ49" i="113"/>
  <c r="BP49" i="113"/>
  <c r="BO49" i="113"/>
  <c r="BN49" i="113"/>
  <c r="BM49" i="113"/>
  <c r="BL49" i="113"/>
  <c r="BK49" i="113"/>
  <c r="BJ49" i="113"/>
  <c r="BI49" i="113"/>
  <c r="BH49" i="113"/>
  <c r="BG49" i="113"/>
  <c r="BF49" i="113"/>
  <c r="BC49" i="113"/>
  <c r="BB49" i="113"/>
  <c r="AB22" i="82" s="1"/>
  <c r="BA49" i="113"/>
  <c r="AZ49" i="113"/>
  <c r="AY49" i="113"/>
  <c r="AX49" i="113"/>
  <c r="AW49" i="113"/>
  <c r="AV49" i="113"/>
  <c r="AU49" i="113"/>
  <c r="AT49" i="113"/>
  <c r="AS49" i="113"/>
  <c r="AR49" i="113"/>
  <c r="AP49" i="113"/>
  <c r="AO49" i="113"/>
  <c r="AN49" i="113"/>
  <c r="AM49" i="113"/>
  <c r="AL49" i="113"/>
  <c r="AK49" i="113"/>
  <c r="AJ49" i="113"/>
  <c r="AI49" i="113"/>
  <c r="AH49" i="113"/>
  <c r="AG49" i="113"/>
  <c r="AF49" i="113"/>
  <c r="AE49" i="113"/>
  <c r="AB48" i="113"/>
  <c r="AA48" i="113"/>
  <c r="Z48" i="113"/>
  <c r="Y48" i="113"/>
  <c r="X48" i="113"/>
  <c r="W48" i="113"/>
  <c r="V48" i="113"/>
  <c r="U48" i="113"/>
  <c r="T48" i="113"/>
  <c r="S48" i="113"/>
  <c r="R48" i="113"/>
  <c r="Q48" i="113"/>
  <c r="O48" i="113"/>
  <c r="M48" i="113"/>
  <c r="L48" i="113"/>
  <c r="K48" i="113"/>
  <c r="J48" i="113"/>
  <c r="I48" i="113"/>
  <c r="H48" i="113"/>
  <c r="G48" i="113"/>
  <c r="F48" i="113"/>
  <c r="E48" i="113"/>
  <c r="D48" i="113"/>
  <c r="CD48" i="113"/>
  <c r="CC48" i="113"/>
  <c r="CB48" i="113"/>
  <c r="CA48" i="113"/>
  <c r="BZ48" i="113"/>
  <c r="BY48" i="113"/>
  <c r="BX48" i="113"/>
  <c r="BW48" i="113"/>
  <c r="BV48" i="113"/>
  <c r="BU48" i="113"/>
  <c r="BT48" i="113"/>
  <c r="BS48" i="113"/>
  <c r="BQ48" i="113"/>
  <c r="BP48" i="113"/>
  <c r="BO48" i="113"/>
  <c r="BN48" i="113"/>
  <c r="BM48" i="113"/>
  <c r="BL48" i="113"/>
  <c r="BK48" i="113"/>
  <c r="BJ48" i="113"/>
  <c r="BI48" i="113"/>
  <c r="BH48" i="113"/>
  <c r="BG48" i="113"/>
  <c r="BF48" i="113"/>
  <c r="BC48" i="113"/>
  <c r="BB48" i="113"/>
  <c r="BA48" i="113"/>
  <c r="AZ48" i="113"/>
  <c r="AY48" i="113"/>
  <c r="AX48" i="113"/>
  <c r="AW48" i="113"/>
  <c r="AV48" i="113"/>
  <c r="AU48" i="113"/>
  <c r="AT48" i="113"/>
  <c r="AS48" i="113"/>
  <c r="AR48" i="113"/>
  <c r="AP48" i="113"/>
  <c r="AO48" i="113"/>
  <c r="AN48" i="113"/>
  <c r="AM48" i="113"/>
  <c r="AL48" i="113"/>
  <c r="AK48" i="113"/>
  <c r="AJ48" i="113"/>
  <c r="AI48" i="113"/>
  <c r="AH48" i="113"/>
  <c r="AG48" i="113"/>
  <c r="AF48" i="113"/>
  <c r="AL30" i="116"/>
  <c r="AK30" i="116"/>
  <c r="AJ30" i="116"/>
  <c r="AI30" i="116"/>
  <c r="AG30" i="116"/>
  <c r="AF30" i="116"/>
  <c r="AE30" i="116"/>
  <c r="AD30" i="116"/>
  <c r="AC30" i="116"/>
  <c r="AB30" i="116"/>
  <c r="AA30" i="116"/>
  <c r="Z30" i="116"/>
  <c r="Y30" i="116"/>
  <c r="X30" i="116"/>
  <c r="W30" i="116"/>
  <c r="V30" i="116"/>
  <c r="U30" i="116"/>
  <c r="T30" i="116"/>
  <c r="R30" i="116"/>
  <c r="Q30" i="116"/>
  <c r="P30" i="116"/>
  <c r="N30" i="116"/>
  <c r="M30" i="116"/>
  <c r="L30" i="116"/>
  <c r="K30" i="116"/>
  <c r="J30" i="116"/>
  <c r="A18" i="101"/>
  <c r="B46" i="101"/>
  <c r="D702" i="52"/>
  <c r="D701" i="52"/>
  <c r="D700" i="52"/>
  <c r="D699" i="52"/>
  <c r="D698" i="52"/>
  <c r="D697" i="52"/>
  <c r="D696" i="52"/>
  <c r="D695" i="52"/>
  <c r="D694" i="52"/>
  <c r="D693" i="52"/>
  <c r="D692" i="52"/>
  <c r="D691" i="52"/>
  <c r="D690" i="52"/>
  <c r="D689" i="52"/>
  <c r="D688" i="52"/>
  <c r="D687" i="52"/>
  <c r="D686" i="52"/>
  <c r="D685" i="52"/>
  <c r="D684" i="52"/>
  <c r="D683" i="52"/>
  <c r="D682" i="52"/>
  <c r="D681" i="52"/>
  <c r="D680" i="52"/>
  <c r="D679" i="52"/>
  <c r="D678" i="52"/>
  <c r="D677" i="52"/>
  <c r="D676" i="52"/>
  <c r="D675" i="52"/>
  <c r="D674" i="52"/>
  <c r="D673" i="52"/>
  <c r="D672" i="52"/>
  <c r="D671" i="52"/>
  <c r="D670" i="52"/>
  <c r="D669" i="52"/>
  <c r="D668" i="52"/>
  <c r="D667" i="52"/>
  <c r="D666" i="52"/>
  <c r="D665" i="52"/>
  <c r="D664" i="52"/>
  <c r="D663" i="52"/>
  <c r="D662" i="52"/>
  <c r="D661" i="52"/>
  <c r="D660" i="52"/>
  <c r="D659" i="52"/>
  <c r="D658" i="52"/>
  <c r="D657" i="52"/>
  <c r="D656" i="52"/>
  <c r="D655" i="52"/>
  <c r="D654" i="52"/>
  <c r="D653" i="52"/>
  <c r="D652" i="52"/>
  <c r="D651" i="52"/>
  <c r="D650" i="52"/>
  <c r="D649" i="52"/>
  <c r="D648" i="52"/>
  <c r="D647" i="52"/>
  <c r="D646" i="52"/>
  <c r="D645" i="52"/>
  <c r="D641" i="52"/>
  <c r="D640" i="52"/>
  <c r="D639" i="52"/>
  <c r="D638" i="52"/>
  <c r="D637" i="52"/>
  <c r="D636" i="52"/>
  <c r="D635" i="52"/>
  <c r="D634" i="52"/>
  <c r="D633" i="52"/>
  <c r="D632" i="52"/>
  <c r="D631" i="52"/>
  <c r="D630" i="52"/>
  <c r="D629" i="52"/>
  <c r="D628" i="52"/>
  <c r="D627" i="52"/>
  <c r="D626" i="52"/>
  <c r="D625" i="52"/>
  <c r="D624" i="52"/>
  <c r="D623" i="52"/>
  <c r="D622" i="52"/>
  <c r="D621" i="52"/>
  <c r="D620" i="52"/>
  <c r="D619" i="52"/>
  <c r="D618" i="52"/>
  <c r="D617" i="52"/>
  <c r="D616" i="52"/>
  <c r="D615" i="52"/>
  <c r="D614" i="52"/>
  <c r="D613" i="52"/>
  <c r="D612" i="52"/>
  <c r="D611" i="52"/>
  <c r="D610" i="52"/>
  <c r="D609" i="52"/>
  <c r="D608" i="52"/>
  <c r="D607" i="52"/>
  <c r="D606" i="52"/>
  <c r="D605" i="52"/>
  <c r="D604" i="52"/>
  <c r="D603" i="52"/>
  <c r="D602" i="52"/>
  <c r="D601" i="52"/>
  <c r="D600" i="52"/>
  <c r="D599" i="52"/>
  <c r="D598" i="52"/>
  <c r="D597" i="52"/>
  <c r="D596" i="52"/>
  <c r="D595" i="52"/>
  <c r="D594" i="52"/>
  <c r="D593" i="52"/>
  <c r="D592" i="52"/>
  <c r="D591" i="52"/>
  <c r="D590" i="52"/>
  <c r="D589" i="52"/>
  <c r="D588" i="52"/>
  <c r="D587" i="52"/>
  <c r="D586" i="52"/>
  <c r="D585" i="52"/>
  <c r="D584" i="52"/>
  <c r="D580" i="52"/>
  <c r="D579" i="52"/>
  <c r="D578" i="52"/>
  <c r="D577" i="52"/>
  <c r="D576" i="52"/>
  <c r="D575" i="52"/>
  <c r="D574" i="52"/>
  <c r="D573" i="52"/>
  <c r="D572" i="52"/>
  <c r="D571" i="52"/>
  <c r="D570" i="52"/>
  <c r="D569" i="52"/>
  <c r="D568" i="52"/>
  <c r="D567" i="52"/>
  <c r="D566" i="52"/>
  <c r="D565" i="52"/>
  <c r="D564" i="52"/>
  <c r="D563" i="52"/>
  <c r="D562" i="52"/>
  <c r="D561" i="52"/>
  <c r="D560" i="52"/>
  <c r="D559" i="52"/>
  <c r="D558" i="52"/>
  <c r="D557" i="52"/>
  <c r="D556" i="52"/>
  <c r="D555" i="52"/>
  <c r="D554" i="52"/>
  <c r="D553" i="52"/>
  <c r="D552" i="52"/>
  <c r="D551" i="52"/>
  <c r="D550" i="52"/>
  <c r="D549" i="52"/>
  <c r="D548" i="52"/>
  <c r="D547" i="52"/>
  <c r="D546" i="52"/>
  <c r="D545" i="52"/>
  <c r="D544" i="52"/>
  <c r="D543" i="52"/>
  <c r="D542" i="52"/>
  <c r="D541" i="52"/>
  <c r="D540" i="52"/>
  <c r="D539" i="52"/>
  <c r="D538" i="52"/>
  <c r="D537" i="52"/>
  <c r="D536" i="52"/>
  <c r="D535" i="52"/>
  <c r="D534" i="52"/>
  <c r="D533" i="52"/>
  <c r="D532" i="52"/>
  <c r="D531" i="52"/>
  <c r="D530" i="52"/>
  <c r="D529" i="52"/>
  <c r="D528" i="52"/>
  <c r="D527" i="52"/>
  <c r="D526" i="52"/>
  <c r="D525" i="52"/>
  <c r="D524" i="52"/>
  <c r="D523" i="52"/>
  <c r="D519" i="52"/>
  <c r="D518" i="52"/>
  <c r="D517" i="52"/>
  <c r="D516" i="52"/>
  <c r="D515" i="52"/>
  <c r="D514" i="52"/>
  <c r="D513" i="52"/>
  <c r="D512" i="52"/>
  <c r="D511" i="52"/>
  <c r="D510" i="52"/>
  <c r="D509" i="52"/>
  <c r="D508" i="52"/>
  <c r="D507" i="52"/>
  <c r="D506" i="52"/>
  <c r="D505" i="52"/>
  <c r="D504" i="52"/>
  <c r="D503" i="52"/>
  <c r="D502" i="52"/>
  <c r="D501" i="52"/>
  <c r="D500" i="52"/>
  <c r="D499" i="52"/>
  <c r="D498" i="52"/>
  <c r="D497" i="52"/>
  <c r="D496" i="52"/>
  <c r="D495" i="52"/>
  <c r="D494" i="52"/>
  <c r="D493" i="52"/>
  <c r="D492" i="52"/>
  <c r="D491" i="52"/>
  <c r="D490" i="52"/>
  <c r="D489" i="52"/>
  <c r="D488" i="52"/>
  <c r="D487" i="52"/>
  <c r="D486" i="52"/>
  <c r="D485" i="52"/>
  <c r="D484" i="52"/>
  <c r="D483" i="52"/>
  <c r="D482" i="52"/>
  <c r="D481" i="52"/>
  <c r="D480" i="52"/>
  <c r="D479" i="52"/>
  <c r="D478" i="52"/>
  <c r="D477" i="52"/>
  <c r="D476" i="52"/>
  <c r="D475" i="52"/>
  <c r="D474" i="52"/>
  <c r="D473" i="52"/>
  <c r="D472" i="52"/>
  <c r="D471" i="52"/>
  <c r="D470" i="52"/>
  <c r="D469" i="52"/>
  <c r="D468" i="52"/>
  <c r="D467" i="52"/>
  <c r="D466" i="52"/>
  <c r="D465" i="52"/>
  <c r="D464" i="52"/>
  <c r="D463" i="52"/>
  <c r="D462" i="52"/>
  <c r="D458" i="52"/>
  <c r="D457" i="52"/>
  <c r="D456" i="52"/>
  <c r="D455" i="52"/>
  <c r="D454" i="52"/>
  <c r="D453" i="52"/>
  <c r="D452" i="52"/>
  <c r="D451" i="52"/>
  <c r="D450" i="52"/>
  <c r="D449" i="52"/>
  <c r="D448" i="52"/>
  <c r="D447" i="52"/>
  <c r="D446" i="52"/>
  <c r="D445" i="52"/>
  <c r="D444" i="52"/>
  <c r="D443" i="52"/>
  <c r="D442" i="52"/>
  <c r="D441" i="52"/>
  <c r="D440" i="52"/>
  <c r="D439" i="52"/>
  <c r="D438" i="52"/>
  <c r="D437" i="52"/>
  <c r="D436" i="52"/>
  <c r="D435" i="52"/>
  <c r="D434" i="52"/>
  <c r="D433" i="52"/>
  <c r="D432" i="52"/>
  <c r="D431" i="52"/>
  <c r="D430" i="52"/>
  <c r="D429" i="52"/>
  <c r="D428" i="52"/>
  <c r="D427" i="52"/>
  <c r="D426" i="52"/>
  <c r="D425" i="52"/>
  <c r="D424" i="52"/>
  <c r="D423" i="52"/>
  <c r="D422" i="52"/>
  <c r="D421" i="52"/>
  <c r="D420" i="52"/>
  <c r="D419" i="52"/>
  <c r="D418" i="52"/>
  <c r="D417" i="52"/>
  <c r="D416" i="52"/>
  <c r="D415" i="52"/>
  <c r="D414" i="52"/>
  <c r="D413" i="52"/>
  <c r="D412" i="52"/>
  <c r="D411" i="52"/>
  <c r="D410" i="52"/>
  <c r="D409" i="52"/>
  <c r="D408" i="52"/>
  <c r="D407" i="52"/>
  <c r="D406" i="52"/>
  <c r="D405" i="52"/>
  <c r="D404" i="52"/>
  <c r="D403" i="52"/>
  <c r="D402" i="52"/>
  <c r="D401" i="52"/>
  <c r="D397" i="52"/>
  <c r="D396" i="52"/>
  <c r="D395" i="52"/>
  <c r="D394" i="52"/>
  <c r="D393" i="52"/>
  <c r="D392" i="52"/>
  <c r="D391" i="52"/>
  <c r="D390" i="52"/>
  <c r="D389" i="52"/>
  <c r="D388" i="52"/>
  <c r="D387" i="52"/>
  <c r="D386" i="52"/>
  <c r="D385" i="52"/>
  <c r="D384" i="52"/>
  <c r="D383" i="52"/>
  <c r="D382" i="52"/>
  <c r="D381" i="52"/>
  <c r="D380" i="52"/>
  <c r="D379" i="52"/>
  <c r="D378" i="52"/>
  <c r="D377" i="52"/>
  <c r="D376" i="52"/>
  <c r="D375" i="52"/>
  <c r="D374" i="52"/>
  <c r="D373" i="52"/>
  <c r="D372" i="52"/>
  <c r="D371" i="52"/>
  <c r="D370" i="52"/>
  <c r="D369" i="52"/>
  <c r="D368" i="52"/>
  <c r="D367" i="52"/>
  <c r="D366" i="52"/>
  <c r="D365" i="52"/>
  <c r="D364" i="52"/>
  <c r="D363" i="52"/>
  <c r="D362" i="52"/>
  <c r="D361" i="52"/>
  <c r="D360" i="52"/>
  <c r="D359" i="52"/>
  <c r="D358" i="52"/>
  <c r="D357" i="52"/>
  <c r="D356" i="52"/>
  <c r="D355" i="52"/>
  <c r="D354" i="52"/>
  <c r="D353" i="52"/>
  <c r="D352" i="52"/>
  <c r="D351" i="52"/>
  <c r="D350" i="52"/>
  <c r="D349" i="52"/>
  <c r="D348" i="52"/>
  <c r="D347" i="52"/>
  <c r="D346" i="52"/>
  <c r="D345" i="52"/>
  <c r="D344" i="52"/>
  <c r="D343" i="52"/>
  <c r="D342" i="52"/>
  <c r="D341" i="52"/>
  <c r="D340" i="52"/>
  <c r="D336" i="52"/>
  <c r="D335" i="52"/>
  <c r="D334" i="52"/>
  <c r="D333" i="52"/>
  <c r="D332" i="52"/>
  <c r="D331" i="52"/>
  <c r="D330" i="52"/>
  <c r="D329" i="52"/>
  <c r="D328" i="52"/>
  <c r="D327" i="52"/>
  <c r="D326" i="52"/>
  <c r="D325" i="52"/>
  <c r="D324" i="52"/>
  <c r="D323" i="52"/>
  <c r="D322" i="52"/>
  <c r="D321" i="52"/>
  <c r="D320" i="52"/>
  <c r="D319" i="52"/>
  <c r="D318" i="52"/>
  <c r="D317" i="52"/>
  <c r="D316" i="52"/>
  <c r="D315" i="52"/>
  <c r="D314" i="52"/>
  <c r="D313" i="52"/>
  <c r="D312" i="52"/>
  <c r="D311" i="52"/>
  <c r="D310" i="52"/>
  <c r="D309" i="52"/>
  <c r="D308" i="52"/>
  <c r="D307" i="52"/>
  <c r="D306" i="52"/>
  <c r="D305" i="52"/>
  <c r="D304" i="52"/>
  <c r="D303" i="52"/>
  <c r="D302" i="52"/>
  <c r="D301" i="52"/>
  <c r="D300" i="52"/>
  <c r="D299" i="52"/>
  <c r="D298" i="52"/>
  <c r="D297" i="52"/>
  <c r="D296" i="52"/>
  <c r="D295" i="52"/>
  <c r="D294" i="52"/>
  <c r="D293" i="52"/>
  <c r="D292" i="52"/>
  <c r="D291" i="52"/>
  <c r="D290" i="52"/>
  <c r="D289" i="52"/>
  <c r="D288" i="52"/>
  <c r="D287" i="52"/>
  <c r="D286" i="52"/>
  <c r="D285" i="52"/>
  <c r="D284" i="52"/>
  <c r="D283" i="52"/>
  <c r="D282" i="52"/>
  <c r="D281" i="52"/>
  <c r="D280" i="52"/>
  <c r="D279" i="52"/>
  <c r="D275" i="52"/>
  <c r="D274" i="52"/>
  <c r="D273" i="52"/>
  <c r="D272" i="52"/>
  <c r="D271" i="52"/>
  <c r="D270" i="52"/>
  <c r="D269" i="52"/>
  <c r="D268" i="52"/>
  <c r="D267" i="52"/>
  <c r="D266" i="52"/>
  <c r="D265" i="52"/>
  <c r="D264" i="52"/>
  <c r="D263" i="52"/>
  <c r="D262" i="52"/>
  <c r="D261" i="52"/>
  <c r="D260" i="52"/>
  <c r="D259" i="52"/>
  <c r="D258" i="52"/>
  <c r="D257" i="52"/>
  <c r="D256" i="52"/>
  <c r="D255" i="52"/>
  <c r="D254" i="52"/>
  <c r="D253" i="52"/>
  <c r="D252" i="52"/>
  <c r="D251" i="52"/>
  <c r="D250" i="52"/>
  <c r="D249" i="52"/>
  <c r="D248" i="52"/>
  <c r="D247" i="52"/>
  <c r="D246" i="52"/>
  <c r="D245" i="52"/>
  <c r="D244" i="52"/>
  <c r="D243" i="52"/>
  <c r="D242" i="52"/>
  <c r="D241" i="52"/>
  <c r="D240" i="52"/>
  <c r="D239" i="52"/>
  <c r="D238" i="52"/>
  <c r="D237" i="52"/>
  <c r="D236" i="52"/>
  <c r="D235" i="52"/>
  <c r="D234" i="52"/>
  <c r="D233" i="52"/>
  <c r="D232" i="52"/>
  <c r="D231" i="52"/>
  <c r="D230" i="52"/>
  <c r="D229" i="52"/>
  <c r="D228" i="52"/>
  <c r="D227" i="52"/>
  <c r="D226" i="52"/>
  <c r="D225" i="52"/>
  <c r="D224" i="52"/>
  <c r="D223" i="52"/>
  <c r="D222" i="52"/>
  <c r="D221" i="52"/>
  <c r="D220" i="52"/>
  <c r="D219" i="52"/>
  <c r="D218" i="52"/>
  <c r="D214" i="52"/>
  <c r="D213" i="52"/>
  <c r="D212" i="52"/>
  <c r="D211" i="52"/>
  <c r="D210" i="52"/>
  <c r="D209" i="52"/>
  <c r="D208" i="52"/>
  <c r="D207" i="52"/>
  <c r="D206" i="52"/>
  <c r="D205" i="52"/>
  <c r="D204" i="52"/>
  <c r="D203" i="52"/>
  <c r="D202" i="52"/>
  <c r="D201" i="52"/>
  <c r="D200" i="52"/>
  <c r="D199" i="52"/>
  <c r="D198" i="52"/>
  <c r="D197" i="52"/>
  <c r="D196" i="52"/>
  <c r="D195" i="52"/>
  <c r="D194" i="52"/>
  <c r="D193" i="52"/>
  <c r="D192" i="52"/>
  <c r="D191" i="52"/>
  <c r="D190" i="52"/>
  <c r="D189" i="52"/>
  <c r="D188" i="52"/>
  <c r="D187" i="52"/>
  <c r="D186" i="52"/>
  <c r="D185" i="52"/>
  <c r="D184" i="52"/>
  <c r="D183" i="52"/>
  <c r="D182" i="52"/>
  <c r="D181" i="52"/>
  <c r="D180" i="52"/>
  <c r="D179" i="52"/>
  <c r="D178" i="52"/>
  <c r="D177" i="52"/>
  <c r="D176" i="52"/>
  <c r="D175" i="52"/>
  <c r="D174" i="52"/>
  <c r="D173" i="52"/>
  <c r="D172" i="52"/>
  <c r="D171" i="52"/>
  <c r="D170" i="52"/>
  <c r="D169" i="52"/>
  <c r="D168" i="52"/>
  <c r="D167" i="52"/>
  <c r="D166" i="52"/>
  <c r="D165" i="52"/>
  <c r="D164" i="52"/>
  <c r="D163" i="52"/>
  <c r="D162" i="52"/>
  <c r="D161" i="52"/>
  <c r="D160" i="52"/>
  <c r="D159" i="52"/>
  <c r="D158" i="52"/>
  <c r="D157" i="52"/>
  <c r="D153" i="52"/>
  <c r="D152" i="52"/>
  <c r="D151" i="52"/>
  <c r="D150" i="52"/>
  <c r="D149" i="52"/>
  <c r="D148" i="52"/>
  <c r="D147" i="52"/>
  <c r="D146" i="52"/>
  <c r="D145" i="52"/>
  <c r="D144" i="52"/>
  <c r="D143" i="52"/>
  <c r="D142" i="52"/>
  <c r="D141" i="52"/>
  <c r="D140" i="52"/>
  <c r="D139" i="52"/>
  <c r="D136" i="52"/>
  <c r="D135" i="52"/>
  <c r="D134" i="52"/>
  <c r="D133" i="52"/>
  <c r="D132" i="52"/>
  <c r="D131" i="52"/>
  <c r="D130" i="52"/>
  <c r="D129" i="52"/>
  <c r="D128" i="52"/>
  <c r="D127" i="52"/>
  <c r="D126" i="52"/>
  <c r="D125" i="52"/>
  <c r="D124" i="52"/>
  <c r="D123" i="52"/>
  <c r="D122" i="52"/>
  <c r="D121" i="52"/>
  <c r="D120" i="52"/>
  <c r="D119" i="52"/>
  <c r="D118" i="52"/>
  <c r="D117" i="52"/>
  <c r="D116" i="52"/>
  <c r="D115" i="52"/>
  <c r="D114" i="52"/>
  <c r="D113" i="52"/>
  <c r="D112" i="52"/>
  <c r="D111" i="52"/>
  <c r="D110" i="52"/>
  <c r="D109" i="52"/>
  <c r="D108" i="52"/>
  <c r="D107" i="52"/>
  <c r="D106" i="52"/>
  <c r="D105" i="52"/>
  <c r="D104" i="52"/>
  <c r="D103" i="52"/>
  <c r="D102" i="52"/>
  <c r="D101" i="52"/>
  <c r="D100" i="52"/>
  <c r="D99" i="52"/>
  <c r="D98" i="52"/>
  <c r="D97" i="52"/>
  <c r="A95" i="52"/>
  <c r="E91" i="52"/>
  <c r="D91" i="52"/>
  <c r="E90" i="52"/>
  <c r="D90" i="52"/>
  <c r="D89" i="52"/>
  <c r="D88" i="52"/>
  <c r="D87" i="52"/>
  <c r="D86" i="52"/>
  <c r="D85" i="52"/>
  <c r="D84" i="52"/>
  <c r="D83" i="52"/>
  <c r="D82" i="52"/>
  <c r="D81" i="52"/>
  <c r="D80" i="52"/>
  <c r="E15" i="52" s="1"/>
  <c r="E64" i="106" s="1"/>
  <c r="D79" i="52"/>
  <c r="D75" i="52"/>
  <c r="D74" i="52"/>
  <c r="C57" i="52"/>
  <c r="AN13" i="52"/>
  <c r="AM13" i="52"/>
  <c r="AL13" i="52"/>
  <c r="AK13" i="52"/>
  <c r="AJ13" i="52"/>
  <c r="AI13" i="52"/>
  <c r="AH13" i="52"/>
  <c r="AG13" i="52"/>
  <c r="AF13" i="52"/>
  <c r="AE13" i="52"/>
  <c r="AD13" i="52"/>
  <c r="AC13" i="52"/>
  <c r="AB13" i="52"/>
  <c r="AA13" i="52"/>
  <c r="Z13" i="52"/>
  <c r="Y13" i="52"/>
  <c r="X13" i="52"/>
  <c r="W13" i="52"/>
  <c r="V13" i="52"/>
  <c r="U13" i="52"/>
  <c r="T13" i="52"/>
  <c r="S13" i="52"/>
  <c r="R13" i="52"/>
  <c r="Q13" i="52"/>
  <c r="P13" i="52"/>
  <c r="O13" i="52"/>
  <c r="N13" i="52"/>
  <c r="M13" i="52"/>
  <c r="L13" i="52"/>
  <c r="K13" i="52"/>
  <c r="J13" i="52"/>
  <c r="I13" i="52"/>
  <c r="H13" i="52"/>
  <c r="G13" i="52"/>
  <c r="F13" i="52"/>
  <c r="AN12" i="52"/>
  <c r="AM12" i="52"/>
  <c r="AL12" i="52"/>
  <c r="AK12" i="52"/>
  <c r="AJ12" i="52"/>
  <c r="AI12" i="52"/>
  <c r="AH12" i="52"/>
  <c r="AG12" i="52"/>
  <c r="AF12" i="52"/>
  <c r="AE12" i="52"/>
  <c r="AD12" i="52"/>
  <c r="AC12" i="52"/>
  <c r="AB12" i="52"/>
  <c r="AA12" i="52"/>
  <c r="Z12" i="52"/>
  <c r="Y12" i="52"/>
  <c r="X12" i="52"/>
  <c r="W12" i="52"/>
  <c r="V12" i="52"/>
  <c r="U12" i="52"/>
  <c r="T12" i="52"/>
  <c r="S12" i="52"/>
  <c r="R12" i="52"/>
  <c r="Q12" i="52"/>
  <c r="P12" i="52"/>
  <c r="O12" i="52"/>
  <c r="N12" i="52"/>
  <c r="M12" i="52"/>
  <c r="L12" i="52"/>
  <c r="K12" i="52"/>
  <c r="J12" i="52"/>
  <c r="I12" i="52"/>
  <c r="H12" i="52"/>
  <c r="G12" i="52"/>
  <c r="F12" i="52"/>
  <c r="E43" i="118"/>
  <c r="CG40" i="118"/>
  <c r="CF40" i="118"/>
  <c r="CE40" i="118"/>
  <c r="CD40" i="118"/>
  <c r="CC40" i="118"/>
  <c r="CB40" i="118"/>
  <c r="CA40" i="118"/>
  <c r="BZ40" i="118"/>
  <c r="BY40" i="118"/>
  <c r="BX40" i="118"/>
  <c r="BW40" i="118"/>
  <c r="BV40" i="118"/>
  <c r="BU40" i="118"/>
  <c r="BT40" i="118"/>
  <c r="BS40" i="118"/>
  <c r="BR40" i="118"/>
  <c r="BQ40" i="118"/>
  <c r="BP40" i="118"/>
  <c r="BO40" i="118"/>
  <c r="BN40" i="118"/>
  <c r="BM40" i="118"/>
  <c r="BL40" i="118"/>
  <c r="BK40" i="118"/>
  <c r="BJ40" i="118"/>
  <c r="BI40" i="118"/>
  <c r="BH40" i="118"/>
  <c r="BG40" i="118"/>
  <c r="BF40" i="118"/>
  <c r="BE40" i="118"/>
  <c r="BD40" i="118"/>
  <c r="BC40" i="118"/>
  <c r="BB40" i="118"/>
  <c r="BA40" i="118"/>
  <c r="AZ40" i="118"/>
  <c r="AY40" i="118"/>
  <c r="AX40" i="118"/>
  <c r="AW40" i="118"/>
  <c r="AV40" i="118"/>
  <c r="AU40" i="118"/>
  <c r="AT40" i="118"/>
  <c r="AS40" i="118"/>
  <c r="AR40" i="118"/>
  <c r="AQ40" i="118"/>
  <c r="AP40" i="118"/>
  <c r="AO40" i="118"/>
  <c r="AN40" i="118"/>
  <c r="AM40" i="118"/>
  <c r="AL40" i="118"/>
  <c r="AK40" i="118"/>
  <c r="AJ40" i="118"/>
  <c r="AI40" i="118"/>
  <c r="AH40" i="118"/>
  <c r="AF40" i="118"/>
  <c r="AE40" i="118"/>
  <c r="AD40" i="118"/>
  <c r="AC40" i="118"/>
  <c r="AB40" i="118"/>
  <c r="AA40" i="118"/>
  <c r="Z40" i="118"/>
  <c r="Y40" i="118"/>
  <c r="W40" i="118"/>
  <c r="V40" i="118"/>
  <c r="U40" i="118"/>
  <c r="S40" i="118"/>
  <c r="R40" i="118"/>
  <c r="P40" i="118"/>
  <c r="O40" i="118"/>
  <c r="N40" i="118"/>
  <c r="M40" i="118"/>
  <c r="L40" i="118"/>
  <c r="K40" i="118"/>
  <c r="I40" i="118"/>
  <c r="G40" i="118"/>
  <c r="T277" i="99"/>
  <c r="O277" i="99"/>
  <c r="AG274" i="99" s="1"/>
  <c r="J277" i="99"/>
  <c r="AB274" i="99" s="1"/>
  <c r="C277" i="99"/>
  <c r="AL274" i="99"/>
  <c r="AM274" i="99" s="1"/>
  <c r="AN274" i="99" s="1"/>
  <c r="AO274" i="99" s="1"/>
  <c r="AP274" i="99" s="1"/>
  <c r="AQ274" i="99" s="1"/>
  <c r="AR274" i="99" s="1"/>
  <c r="AS274" i="99" s="1"/>
  <c r="AT274" i="99" s="1"/>
  <c r="AU274" i="99" s="1"/>
  <c r="AV274" i="99" s="1"/>
  <c r="AW274" i="99" s="1"/>
  <c r="AX274" i="99" s="1"/>
  <c r="AY274" i="99" s="1"/>
  <c r="AZ274" i="99" s="1"/>
  <c r="BA274" i="99" s="1"/>
  <c r="BB274" i="99" s="1"/>
  <c r="BC274" i="99" s="1"/>
  <c r="BD274" i="99" s="1"/>
  <c r="BE274" i="99" s="1"/>
  <c r="BF274" i="99" s="1"/>
  <c r="P274" i="99"/>
  <c r="K274" i="99"/>
  <c r="D274" i="99"/>
  <c r="E274" i="99" s="1"/>
  <c r="F274" i="99" s="1"/>
  <c r="AL273" i="99"/>
  <c r="AM273" i="99" s="1"/>
  <c r="AN273" i="99" s="1"/>
  <c r="AO273" i="99" s="1"/>
  <c r="AP273" i="99" s="1"/>
  <c r="AQ273" i="99" s="1"/>
  <c r="AR273" i="99" s="1"/>
  <c r="AS273" i="99" s="1"/>
  <c r="AT273" i="99" s="1"/>
  <c r="AU273" i="99" s="1"/>
  <c r="AV273" i="99" s="1"/>
  <c r="AW273" i="99" s="1"/>
  <c r="AX273" i="99" s="1"/>
  <c r="AY273" i="99" s="1"/>
  <c r="AZ273" i="99" s="1"/>
  <c r="BA273" i="99" s="1"/>
  <c r="BB273" i="99" s="1"/>
  <c r="BC273" i="99" s="1"/>
  <c r="BD273" i="99" s="1"/>
  <c r="BE273" i="99" s="1"/>
  <c r="BF273" i="99" s="1"/>
  <c r="AG273" i="99"/>
  <c r="AB273" i="99"/>
  <c r="P273" i="99"/>
  <c r="Q273" i="99" s="1"/>
  <c r="K273" i="99"/>
  <c r="L273" i="99" s="1"/>
  <c r="M273" i="99" s="1"/>
  <c r="D273" i="99"/>
  <c r="E273" i="99" s="1"/>
  <c r="AL272" i="99"/>
  <c r="AM272" i="99" s="1"/>
  <c r="AN272" i="99" s="1"/>
  <c r="AO272" i="99" s="1"/>
  <c r="AP272" i="99" s="1"/>
  <c r="AQ272" i="99" s="1"/>
  <c r="AR272" i="99" s="1"/>
  <c r="AS272" i="99" s="1"/>
  <c r="AT272" i="99" s="1"/>
  <c r="AU272" i="99" s="1"/>
  <c r="AV272" i="99" s="1"/>
  <c r="AW272" i="99" s="1"/>
  <c r="AX272" i="99" s="1"/>
  <c r="AY272" i="99" s="1"/>
  <c r="AZ272" i="99" s="1"/>
  <c r="BA272" i="99" s="1"/>
  <c r="BB272" i="99" s="1"/>
  <c r="BC272" i="99" s="1"/>
  <c r="BD272" i="99" s="1"/>
  <c r="BE272" i="99" s="1"/>
  <c r="BF272" i="99" s="1"/>
  <c r="AG272" i="99"/>
  <c r="AB272" i="99"/>
  <c r="P272" i="99"/>
  <c r="K272" i="99"/>
  <c r="D272" i="99"/>
  <c r="E272" i="99" s="1"/>
  <c r="F272" i="99" s="1"/>
  <c r="AL271" i="99"/>
  <c r="AM271" i="99" s="1"/>
  <c r="AN271" i="99" s="1"/>
  <c r="AO271" i="99" s="1"/>
  <c r="AP271" i="99" s="1"/>
  <c r="AQ271" i="99" s="1"/>
  <c r="AR271" i="99" s="1"/>
  <c r="AS271" i="99" s="1"/>
  <c r="AT271" i="99" s="1"/>
  <c r="AU271" i="99" s="1"/>
  <c r="AV271" i="99" s="1"/>
  <c r="AW271" i="99" s="1"/>
  <c r="AX271" i="99" s="1"/>
  <c r="AY271" i="99" s="1"/>
  <c r="AZ271" i="99" s="1"/>
  <c r="BA271" i="99" s="1"/>
  <c r="BB271" i="99" s="1"/>
  <c r="BC271" i="99" s="1"/>
  <c r="BD271" i="99" s="1"/>
  <c r="BE271" i="99" s="1"/>
  <c r="BF271" i="99" s="1"/>
  <c r="AG271" i="99"/>
  <c r="AB271" i="99"/>
  <c r="P271" i="99"/>
  <c r="Q271" i="99" s="1"/>
  <c r="R271" i="99" s="1"/>
  <c r="K271" i="99"/>
  <c r="L271" i="99" s="1"/>
  <c r="D271" i="99"/>
  <c r="E271" i="99" s="1"/>
  <c r="AL270" i="99"/>
  <c r="AM270" i="99" s="1"/>
  <c r="AN270" i="99" s="1"/>
  <c r="AO270" i="99" s="1"/>
  <c r="AP270" i="99" s="1"/>
  <c r="AQ270" i="99" s="1"/>
  <c r="AR270" i="99" s="1"/>
  <c r="AS270" i="99" s="1"/>
  <c r="AT270" i="99" s="1"/>
  <c r="AU270" i="99" s="1"/>
  <c r="AV270" i="99" s="1"/>
  <c r="AW270" i="99" s="1"/>
  <c r="AX270" i="99" s="1"/>
  <c r="AY270" i="99" s="1"/>
  <c r="AZ270" i="99" s="1"/>
  <c r="BA270" i="99" s="1"/>
  <c r="BB270" i="99" s="1"/>
  <c r="BC270" i="99" s="1"/>
  <c r="BD270" i="99" s="1"/>
  <c r="BE270" i="99" s="1"/>
  <c r="BF270" i="99" s="1"/>
  <c r="AG270" i="99"/>
  <c r="AB270" i="99"/>
  <c r="P270" i="99"/>
  <c r="K270" i="99"/>
  <c r="D270" i="99"/>
  <c r="E270" i="99" s="1"/>
  <c r="F270" i="99" s="1"/>
  <c r="AL269" i="99"/>
  <c r="AM269" i="99" s="1"/>
  <c r="AN269" i="99" s="1"/>
  <c r="AO269" i="99" s="1"/>
  <c r="AP269" i="99" s="1"/>
  <c r="AQ269" i="99" s="1"/>
  <c r="AR269" i="99" s="1"/>
  <c r="AS269" i="99" s="1"/>
  <c r="AT269" i="99" s="1"/>
  <c r="AU269" i="99" s="1"/>
  <c r="AV269" i="99" s="1"/>
  <c r="AW269" i="99" s="1"/>
  <c r="AX269" i="99" s="1"/>
  <c r="AY269" i="99" s="1"/>
  <c r="AZ269" i="99" s="1"/>
  <c r="BA269" i="99" s="1"/>
  <c r="BB269" i="99" s="1"/>
  <c r="BC269" i="99" s="1"/>
  <c r="BD269" i="99" s="1"/>
  <c r="BE269" i="99" s="1"/>
  <c r="BF269" i="99" s="1"/>
  <c r="AG269" i="99"/>
  <c r="AB269" i="99"/>
  <c r="P269" i="99"/>
  <c r="Q269" i="99" s="1"/>
  <c r="R269" i="99" s="1"/>
  <c r="K269" i="99"/>
  <c r="L269" i="99" s="1"/>
  <c r="D269" i="99"/>
  <c r="E269" i="99" s="1"/>
  <c r="AL268" i="99"/>
  <c r="AM268" i="99" s="1"/>
  <c r="AN268" i="99" s="1"/>
  <c r="AO268" i="99" s="1"/>
  <c r="AP268" i="99" s="1"/>
  <c r="AQ268" i="99" s="1"/>
  <c r="AR268" i="99" s="1"/>
  <c r="AS268" i="99" s="1"/>
  <c r="AT268" i="99" s="1"/>
  <c r="AU268" i="99" s="1"/>
  <c r="AV268" i="99" s="1"/>
  <c r="AW268" i="99" s="1"/>
  <c r="AX268" i="99" s="1"/>
  <c r="AY268" i="99" s="1"/>
  <c r="AZ268" i="99" s="1"/>
  <c r="BA268" i="99" s="1"/>
  <c r="BB268" i="99" s="1"/>
  <c r="BC268" i="99" s="1"/>
  <c r="BD268" i="99" s="1"/>
  <c r="BE268" i="99" s="1"/>
  <c r="BF268" i="99" s="1"/>
  <c r="AG268" i="99"/>
  <c r="AB268" i="99"/>
  <c r="P268" i="99"/>
  <c r="K268" i="99"/>
  <c r="D268" i="99"/>
  <c r="E268" i="99" s="1"/>
  <c r="F268" i="99" s="1"/>
  <c r="AL267" i="99"/>
  <c r="AM267" i="99" s="1"/>
  <c r="AN267" i="99" s="1"/>
  <c r="AO267" i="99" s="1"/>
  <c r="AP267" i="99" s="1"/>
  <c r="AQ267" i="99" s="1"/>
  <c r="AR267" i="99" s="1"/>
  <c r="AS267" i="99" s="1"/>
  <c r="AT267" i="99" s="1"/>
  <c r="AU267" i="99" s="1"/>
  <c r="AV267" i="99" s="1"/>
  <c r="AW267" i="99" s="1"/>
  <c r="AX267" i="99" s="1"/>
  <c r="AY267" i="99" s="1"/>
  <c r="AZ267" i="99" s="1"/>
  <c r="BA267" i="99" s="1"/>
  <c r="BB267" i="99" s="1"/>
  <c r="BC267" i="99" s="1"/>
  <c r="BD267" i="99" s="1"/>
  <c r="BE267" i="99" s="1"/>
  <c r="BF267" i="99" s="1"/>
  <c r="AG267" i="99"/>
  <c r="AB267" i="99"/>
  <c r="P267" i="99"/>
  <c r="Q267" i="99" s="1"/>
  <c r="R267" i="99" s="1"/>
  <c r="K267" i="99"/>
  <c r="L267" i="99" s="1"/>
  <c r="D267" i="99"/>
  <c r="E267" i="99" s="1"/>
  <c r="AL266" i="99"/>
  <c r="AM266" i="99" s="1"/>
  <c r="AN266" i="99" s="1"/>
  <c r="AO266" i="99" s="1"/>
  <c r="AP266" i="99" s="1"/>
  <c r="AQ266" i="99" s="1"/>
  <c r="AR266" i="99" s="1"/>
  <c r="AS266" i="99" s="1"/>
  <c r="AT266" i="99" s="1"/>
  <c r="AU266" i="99" s="1"/>
  <c r="AV266" i="99" s="1"/>
  <c r="AW266" i="99" s="1"/>
  <c r="AX266" i="99" s="1"/>
  <c r="AY266" i="99" s="1"/>
  <c r="AZ266" i="99" s="1"/>
  <c r="BA266" i="99" s="1"/>
  <c r="BB266" i="99" s="1"/>
  <c r="BC266" i="99" s="1"/>
  <c r="BD266" i="99" s="1"/>
  <c r="BE266" i="99" s="1"/>
  <c r="BF266" i="99" s="1"/>
  <c r="AG266" i="99"/>
  <c r="AB266" i="99"/>
  <c r="P266" i="99"/>
  <c r="K266" i="99"/>
  <c r="D266" i="99"/>
  <c r="E266" i="99" s="1"/>
  <c r="F266" i="99" s="1"/>
  <c r="AL265" i="99"/>
  <c r="AM265" i="99" s="1"/>
  <c r="AN265" i="99" s="1"/>
  <c r="AO265" i="99" s="1"/>
  <c r="AP265" i="99" s="1"/>
  <c r="AQ265" i="99" s="1"/>
  <c r="AR265" i="99" s="1"/>
  <c r="AS265" i="99" s="1"/>
  <c r="AT265" i="99" s="1"/>
  <c r="AU265" i="99" s="1"/>
  <c r="AV265" i="99" s="1"/>
  <c r="AW265" i="99" s="1"/>
  <c r="AX265" i="99" s="1"/>
  <c r="AY265" i="99" s="1"/>
  <c r="AZ265" i="99" s="1"/>
  <c r="BA265" i="99" s="1"/>
  <c r="BB265" i="99" s="1"/>
  <c r="BC265" i="99" s="1"/>
  <c r="BD265" i="99" s="1"/>
  <c r="BE265" i="99" s="1"/>
  <c r="BF265" i="99" s="1"/>
  <c r="AG265" i="99"/>
  <c r="AB265" i="99"/>
  <c r="P265" i="99"/>
  <c r="Q265" i="99" s="1"/>
  <c r="R265" i="99" s="1"/>
  <c r="K265" i="99"/>
  <c r="L265" i="99" s="1"/>
  <c r="D265" i="99"/>
  <c r="E265" i="99" s="1"/>
  <c r="AL264" i="99"/>
  <c r="AM264" i="99" s="1"/>
  <c r="AN264" i="99" s="1"/>
  <c r="AO264" i="99" s="1"/>
  <c r="AP264" i="99" s="1"/>
  <c r="AQ264" i="99" s="1"/>
  <c r="AR264" i="99" s="1"/>
  <c r="AS264" i="99" s="1"/>
  <c r="AT264" i="99" s="1"/>
  <c r="AU264" i="99" s="1"/>
  <c r="AV264" i="99" s="1"/>
  <c r="AW264" i="99" s="1"/>
  <c r="AX264" i="99" s="1"/>
  <c r="AY264" i="99" s="1"/>
  <c r="AZ264" i="99" s="1"/>
  <c r="BA264" i="99" s="1"/>
  <c r="BB264" i="99" s="1"/>
  <c r="BC264" i="99" s="1"/>
  <c r="BD264" i="99" s="1"/>
  <c r="BE264" i="99" s="1"/>
  <c r="BF264" i="99" s="1"/>
  <c r="AG264" i="99"/>
  <c r="AB264" i="99"/>
  <c r="P264" i="99"/>
  <c r="K264" i="99"/>
  <c r="D264" i="99"/>
  <c r="E264" i="99" s="1"/>
  <c r="AL263" i="99"/>
  <c r="AM263" i="99" s="1"/>
  <c r="AN263" i="99" s="1"/>
  <c r="AO263" i="99" s="1"/>
  <c r="AP263" i="99" s="1"/>
  <c r="AQ263" i="99" s="1"/>
  <c r="AR263" i="99" s="1"/>
  <c r="AS263" i="99" s="1"/>
  <c r="AT263" i="99" s="1"/>
  <c r="AU263" i="99" s="1"/>
  <c r="AV263" i="99" s="1"/>
  <c r="AW263" i="99" s="1"/>
  <c r="AX263" i="99" s="1"/>
  <c r="AY263" i="99" s="1"/>
  <c r="AZ263" i="99" s="1"/>
  <c r="BA263" i="99" s="1"/>
  <c r="BB263" i="99" s="1"/>
  <c r="BC263" i="99" s="1"/>
  <c r="BD263" i="99" s="1"/>
  <c r="BE263" i="99" s="1"/>
  <c r="BF263" i="99" s="1"/>
  <c r="AG263" i="99"/>
  <c r="AB263" i="99"/>
  <c r="P263" i="99"/>
  <c r="Q263" i="99" s="1"/>
  <c r="R263" i="99" s="1"/>
  <c r="K263" i="99"/>
  <c r="L263" i="99" s="1"/>
  <c r="D263" i="99"/>
  <c r="E263" i="99" s="1"/>
  <c r="AL262" i="99"/>
  <c r="AM262" i="99" s="1"/>
  <c r="AN262" i="99" s="1"/>
  <c r="AO262" i="99" s="1"/>
  <c r="AP262" i="99" s="1"/>
  <c r="AQ262" i="99" s="1"/>
  <c r="AR262" i="99" s="1"/>
  <c r="AS262" i="99" s="1"/>
  <c r="AT262" i="99" s="1"/>
  <c r="AU262" i="99" s="1"/>
  <c r="AV262" i="99" s="1"/>
  <c r="AW262" i="99" s="1"/>
  <c r="AX262" i="99" s="1"/>
  <c r="AY262" i="99" s="1"/>
  <c r="AZ262" i="99" s="1"/>
  <c r="BA262" i="99" s="1"/>
  <c r="BB262" i="99" s="1"/>
  <c r="BC262" i="99" s="1"/>
  <c r="BD262" i="99" s="1"/>
  <c r="BE262" i="99" s="1"/>
  <c r="BF262" i="99" s="1"/>
  <c r="AG262" i="99"/>
  <c r="AB262" i="99"/>
  <c r="P262" i="99"/>
  <c r="K262" i="99"/>
  <c r="D262" i="99"/>
  <c r="E262" i="99" s="1"/>
  <c r="F262" i="99" s="1"/>
  <c r="AL261" i="99"/>
  <c r="AM261" i="99" s="1"/>
  <c r="AN261" i="99" s="1"/>
  <c r="AO261" i="99" s="1"/>
  <c r="AP261" i="99" s="1"/>
  <c r="AQ261" i="99" s="1"/>
  <c r="AR261" i="99" s="1"/>
  <c r="AS261" i="99" s="1"/>
  <c r="AT261" i="99" s="1"/>
  <c r="AU261" i="99" s="1"/>
  <c r="AV261" i="99" s="1"/>
  <c r="AW261" i="99" s="1"/>
  <c r="AX261" i="99" s="1"/>
  <c r="AY261" i="99" s="1"/>
  <c r="AZ261" i="99" s="1"/>
  <c r="BA261" i="99" s="1"/>
  <c r="BB261" i="99" s="1"/>
  <c r="BC261" i="99" s="1"/>
  <c r="BD261" i="99" s="1"/>
  <c r="BE261" i="99" s="1"/>
  <c r="BF261" i="99" s="1"/>
  <c r="AG261" i="99"/>
  <c r="AB261" i="99"/>
  <c r="P261" i="99"/>
  <c r="Q261" i="99" s="1"/>
  <c r="R261" i="99" s="1"/>
  <c r="K261" i="99"/>
  <c r="L261" i="99" s="1"/>
  <c r="D261" i="99"/>
  <c r="E261" i="99" s="1"/>
  <c r="AL260" i="99"/>
  <c r="AM260" i="99" s="1"/>
  <c r="AN260" i="99" s="1"/>
  <c r="AO260" i="99" s="1"/>
  <c r="AP260" i="99" s="1"/>
  <c r="AQ260" i="99" s="1"/>
  <c r="AR260" i="99" s="1"/>
  <c r="AS260" i="99" s="1"/>
  <c r="AT260" i="99" s="1"/>
  <c r="AU260" i="99" s="1"/>
  <c r="AV260" i="99" s="1"/>
  <c r="AW260" i="99" s="1"/>
  <c r="AX260" i="99" s="1"/>
  <c r="AY260" i="99" s="1"/>
  <c r="AZ260" i="99" s="1"/>
  <c r="BA260" i="99" s="1"/>
  <c r="BB260" i="99" s="1"/>
  <c r="BC260" i="99" s="1"/>
  <c r="BD260" i="99" s="1"/>
  <c r="BE260" i="99" s="1"/>
  <c r="BF260" i="99" s="1"/>
  <c r="AG260" i="99"/>
  <c r="AB260" i="99"/>
  <c r="P260" i="99"/>
  <c r="K260" i="99"/>
  <c r="D260" i="99"/>
  <c r="E260" i="99" s="1"/>
  <c r="F260" i="99" s="1"/>
  <c r="AL259" i="99"/>
  <c r="AM259" i="99" s="1"/>
  <c r="AN259" i="99" s="1"/>
  <c r="AO259" i="99" s="1"/>
  <c r="AP259" i="99" s="1"/>
  <c r="AQ259" i="99" s="1"/>
  <c r="AR259" i="99" s="1"/>
  <c r="AS259" i="99" s="1"/>
  <c r="AT259" i="99" s="1"/>
  <c r="AU259" i="99" s="1"/>
  <c r="AV259" i="99" s="1"/>
  <c r="AW259" i="99" s="1"/>
  <c r="AX259" i="99" s="1"/>
  <c r="AY259" i="99" s="1"/>
  <c r="AZ259" i="99" s="1"/>
  <c r="BA259" i="99" s="1"/>
  <c r="BB259" i="99" s="1"/>
  <c r="BC259" i="99" s="1"/>
  <c r="BD259" i="99" s="1"/>
  <c r="BE259" i="99" s="1"/>
  <c r="BF259" i="99" s="1"/>
  <c r="AG259" i="99"/>
  <c r="AB259" i="99"/>
  <c r="P259" i="99"/>
  <c r="Q259" i="99" s="1"/>
  <c r="R259" i="99" s="1"/>
  <c r="K259" i="99"/>
  <c r="L259" i="99" s="1"/>
  <c r="D259" i="99"/>
  <c r="E259" i="99" s="1"/>
  <c r="AL258" i="99"/>
  <c r="AM258" i="99" s="1"/>
  <c r="AN258" i="99" s="1"/>
  <c r="AO258" i="99" s="1"/>
  <c r="AP258" i="99" s="1"/>
  <c r="AQ258" i="99" s="1"/>
  <c r="AR258" i="99" s="1"/>
  <c r="AS258" i="99" s="1"/>
  <c r="AT258" i="99" s="1"/>
  <c r="AU258" i="99" s="1"/>
  <c r="AV258" i="99" s="1"/>
  <c r="AW258" i="99" s="1"/>
  <c r="AX258" i="99" s="1"/>
  <c r="AY258" i="99" s="1"/>
  <c r="AZ258" i="99" s="1"/>
  <c r="BA258" i="99" s="1"/>
  <c r="BB258" i="99" s="1"/>
  <c r="BC258" i="99" s="1"/>
  <c r="BD258" i="99" s="1"/>
  <c r="BE258" i="99" s="1"/>
  <c r="BF258" i="99" s="1"/>
  <c r="AG258" i="99"/>
  <c r="AB258" i="99"/>
  <c r="P258" i="99"/>
  <c r="K258" i="99"/>
  <c r="D258" i="99"/>
  <c r="E258" i="99" s="1"/>
  <c r="F258" i="99" s="1"/>
  <c r="AL257" i="99"/>
  <c r="AM257" i="99" s="1"/>
  <c r="AN257" i="99" s="1"/>
  <c r="AO257" i="99" s="1"/>
  <c r="AP257" i="99" s="1"/>
  <c r="AQ257" i="99" s="1"/>
  <c r="AR257" i="99" s="1"/>
  <c r="AS257" i="99" s="1"/>
  <c r="AT257" i="99" s="1"/>
  <c r="AU257" i="99" s="1"/>
  <c r="AV257" i="99" s="1"/>
  <c r="AW257" i="99" s="1"/>
  <c r="AX257" i="99" s="1"/>
  <c r="AY257" i="99" s="1"/>
  <c r="AZ257" i="99" s="1"/>
  <c r="BA257" i="99" s="1"/>
  <c r="BB257" i="99" s="1"/>
  <c r="BC257" i="99" s="1"/>
  <c r="BD257" i="99" s="1"/>
  <c r="BE257" i="99" s="1"/>
  <c r="BF257" i="99" s="1"/>
  <c r="AG257" i="99"/>
  <c r="AB257" i="99"/>
  <c r="P257" i="99"/>
  <c r="Q257" i="99" s="1"/>
  <c r="K257" i="99"/>
  <c r="L257" i="99" s="1"/>
  <c r="D257" i="99"/>
  <c r="E257" i="99" s="1"/>
  <c r="AL256" i="99"/>
  <c r="AM256" i="99" s="1"/>
  <c r="AN256" i="99" s="1"/>
  <c r="AO256" i="99" s="1"/>
  <c r="AP256" i="99" s="1"/>
  <c r="AQ256" i="99" s="1"/>
  <c r="AR256" i="99" s="1"/>
  <c r="AS256" i="99" s="1"/>
  <c r="AT256" i="99" s="1"/>
  <c r="AU256" i="99" s="1"/>
  <c r="AV256" i="99" s="1"/>
  <c r="AW256" i="99" s="1"/>
  <c r="AX256" i="99" s="1"/>
  <c r="AY256" i="99" s="1"/>
  <c r="AZ256" i="99" s="1"/>
  <c r="BA256" i="99" s="1"/>
  <c r="BB256" i="99" s="1"/>
  <c r="BC256" i="99" s="1"/>
  <c r="BD256" i="99" s="1"/>
  <c r="BE256" i="99" s="1"/>
  <c r="BF256" i="99" s="1"/>
  <c r="AG256" i="99"/>
  <c r="AB256" i="99"/>
  <c r="P256" i="99"/>
  <c r="K256" i="99"/>
  <c r="D256" i="99"/>
  <c r="E256" i="99" s="1"/>
  <c r="AL255" i="99"/>
  <c r="AM255" i="99" s="1"/>
  <c r="AN255" i="99" s="1"/>
  <c r="AO255" i="99" s="1"/>
  <c r="AP255" i="99" s="1"/>
  <c r="AQ255" i="99" s="1"/>
  <c r="AR255" i="99" s="1"/>
  <c r="AS255" i="99" s="1"/>
  <c r="AT255" i="99" s="1"/>
  <c r="AU255" i="99" s="1"/>
  <c r="AV255" i="99" s="1"/>
  <c r="AW255" i="99" s="1"/>
  <c r="AX255" i="99" s="1"/>
  <c r="AY255" i="99" s="1"/>
  <c r="AZ255" i="99" s="1"/>
  <c r="BA255" i="99" s="1"/>
  <c r="BB255" i="99" s="1"/>
  <c r="BC255" i="99" s="1"/>
  <c r="BD255" i="99" s="1"/>
  <c r="BE255" i="99" s="1"/>
  <c r="BF255" i="99" s="1"/>
  <c r="AG255" i="99"/>
  <c r="AB255" i="99"/>
  <c r="P255" i="99"/>
  <c r="Q255" i="99" s="1"/>
  <c r="R255" i="99" s="1"/>
  <c r="K255" i="99"/>
  <c r="L255" i="99" s="1"/>
  <c r="M255" i="99" s="1"/>
  <c r="D255" i="99"/>
  <c r="E255" i="99" s="1"/>
  <c r="AL254" i="99"/>
  <c r="AM254" i="99" s="1"/>
  <c r="AN254" i="99" s="1"/>
  <c r="AO254" i="99" s="1"/>
  <c r="AP254" i="99" s="1"/>
  <c r="AQ254" i="99" s="1"/>
  <c r="AR254" i="99" s="1"/>
  <c r="AS254" i="99" s="1"/>
  <c r="AT254" i="99" s="1"/>
  <c r="AU254" i="99" s="1"/>
  <c r="AV254" i="99" s="1"/>
  <c r="AW254" i="99" s="1"/>
  <c r="AX254" i="99" s="1"/>
  <c r="AY254" i="99" s="1"/>
  <c r="AZ254" i="99" s="1"/>
  <c r="BA254" i="99" s="1"/>
  <c r="BB254" i="99" s="1"/>
  <c r="BC254" i="99" s="1"/>
  <c r="BD254" i="99" s="1"/>
  <c r="BE254" i="99" s="1"/>
  <c r="BF254" i="99" s="1"/>
  <c r="AG254" i="99"/>
  <c r="AB254" i="99"/>
  <c r="P254" i="99"/>
  <c r="Q254" i="99" s="1"/>
  <c r="K254" i="99"/>
  <c r="L254" i="99" s="1"/>
  <c r="M254" i="99" s="1"/>
  <c r="D254" i="99"/>
  <c r="E254" i="99" s="1"/>
  <c r="F254" i="99" s="1"/>
  <c r="G254" i="99" s="1"/>
  <c r="AL253" i="99"/>
  <c r="AM253" i="99" s="1"/>
  <c r="AN253" i="99" s="1"/>
  <c r="AO253" i="99" s="1"/>
  <c r="AP253" i="99" s="1"/>
  <c r="AQ253" i="99" s="1"/>
  <c r="AR253" i="99" s="1"/>
  <c r="AS253" i="99" s="1"/>
  <c r="AT253" i="99" s="1"/>
  <c r="AU253" i="99" s="1"/>
  <c r="AV253" i="99" s="1"/>
  <c r="AW253" i="99" s="1"/>
  <c r="AX253" i="99" s="1"/>
  <c r="AY253" i="99" s="1"/>
  <c r="AZ253" i="99" s="1"/>
  <c r="BA253" i="99" s="1"/>
  <c r="BB253" i="99" s="1"/>
  <c r="BC253" i="99" s="1"/>
  <c r="BD253" i="99" s="1"/>
  <c r="BE253" i="99" s="1"/>
  <c r="BF253" i="99" s="1"/>
  <c r="AG253" i="99"/>
  <c r="AB253" i="99"/>
  <c r="P253" i="99"/>
  <c r="Q253" i="99" s="1"/>
  <c r="K253" i="99"/>
  <c r="L253" i="99" s="1"/>
  <c r="M253" i="99" s="1"/>
  <c r="D253" i="99"/>
  <c r="E253" i="99" s="1"/>
  <c r="AL252" i="99"/>
  <c r="AM252" i="99" s="1"/>
  <c r="AN252" i="99" s="1"/>
  <c r="AO252" i="99" s="1"/>
  <c r="AP252" i="99" s="1"/>
  <c r="AQ252" i="99" s="1"/>
  <c r="AR252" i="99" s="1"/>
  <c r="AS252" i="99" s="1"/>
  <c r="AT252" i="99" s="1"/>
  <c r="AU252" i="99" s="1"/>
  <c r="AV252" i="99" s="1"/>
  <c r="AW252" i="99" s="1"/>
  <c r="AX252" i="99" s="1"/>
  <c r="AY252" i="99" s="1"/>
  <c r="AZ252" i="99" s="1"/>
  <c r="BA252" i="99" s="1"/>
  <c r="BB252" i="99" s="1"/>
  <c r="BC252" i="99" s="1"/>
  <c r="BD252" i="99" s="1"/>
  <c r="BE252" i="99" s="1"/>
  <c r="BF252" i="99" s="1"/>
  <c r="AG252" i="99"/>
  <c r="AB252" i="99"/>
  <c r="P252" i="99"/>
  <c r="Q252" i="99" s="1"/>
  <c r="R252" i="99" s="1"/>
  <c r="K252" i="99"/>
  <c r="D252" i="99"/>
  <c r="E252" i="99" s="1"/>
  <c r="F252" i="99" s="1"/>
  <c r="AL251" i="99"/>
  <c r="AM251" i="99" s="1"/>
  <c r="AN251" i="99" s="1"/>
  <c r="AO251" i="99" s="1"/>
  <c r="AP251" i="99" s="1"/>
  <c r="AQ251" i="99" s="1"/>
  <c r="AR251" i="99" s="1"/>
  <c r="AS251" i="99" s="1"/>
  <c r="AT251" i="99" s="1"/>
  <c r="AU251" i="99" s="1"/>
  <c r="AV251" i="99" s="1"/>
  <c r="AW251" i="99" s="1"/>
  <c r="AX251" i="99" s="1"/>
  <c r="AY251" i="99" s="1"/>
  <c r="AZ251" i="99" s="1"/>
  <c r="BA251" i="99" s="1"/>
  <c r="BB251" i="99" s="1"/>
  <c r="BC251" i="99" s="1"/>
  <c r="BD251" i="99" s="1"/>
  <c r="BE251" i="99" s="1"/>
  <c r="BF251" i="99" s="1"/>
  <c r="AG251" i="99"/>
  <c r="AB251" i="99"/>
  <c r="P251" i="99"/>
  <c r="Q251" i="99" s="1"/>
  <c r="R251" i="99" s="1"/>
  <c r="K251" i="99"/>
  <c r="L251" i="99" s="1"/>
  <c r="M251" i="99" s="1"/>
  <c r="D251" i="99"/>
  <c r="E251" i="99" s="1"/>
  <c r="AL250" i="99"/>
  <c r="AM250" i="99" s="1"/>
  <c r="AN250" i="99" s="1"/>
  <c r="AO250" i="99" s="1"/>
  <c r="AP250" i="99" s="1"/>
  <c r="AQ250" i="99" s="1"/>
  <c r="AR250" i="99" s="1"/>
  <c r="AS250" i="99" s="1"/>
  <c r="AT250" i="99" s="1"/>
  <c r="AU250" i="99" s="1"/>
  <c r="AV250" i="99" s="1"/>
  <c r="AW250" i="99" s="1"/>
  <c r="AX250" i="99" s="1"/>
  <c r="AY250" i="99" s="1"/>
  <c r="AZ250" i="99" s="1"/>
  <c r="BA250" i="99" s="1"/>
  <c r="BB250" i="99" s="1"/>
  <c r="BC250" i="99" s="1"/>
  <c r="BD250" i="99" s="1"/>
  <c r="BE250" i="99" s="1"/>
  <c r="BF250" i="99" s="1"/>
  <c r="AG250" i="99"/>
  <c r="AB250" i="99"/>
  <c r="P250" i="99"/>
  <c r="K250" i="99"/>
  <c r="L250" i="99" s="1"/>
  <c r="M250" i="99" s="1"/>
  <c r="D250" i="99"/>
  <c r="E250" i="99" s="1"/>
  <c r="F250" i="99" s="1"/>
  <c r="AL249" i="99"/>
  <c r="AM249" i="99" s="1"/>
  <c r="AN249" i="99" s="1"/>
  <c r="AO249" i="99" s="1"/>
  <c r="AP249" i="99" s="1"/>
  <c r="AQ249" i="99" s="1"/>
  <c r="AR249" i="99" s="1"/>
  <c r="AS249" i="99" s="1"/>
  <c r="AT249" i="99" s="1"/>
  <c r="AU249" i="99" s="1"/>
  <c r="AV249" i="99" s="1"/>
  <c r="AW249" i="99" s="1"/>
  <c r="AX249" i="99" s="1"/>
  <c r="AY249" i="99" s="1"/>
  <c r="AZ249" i="99" s="1"/>
  <c r="BA249" i="99" s="1"/>
  <c r="BB249" i="99" s="1"/>
  <c r="BC249" i="99" s="1"/>
  <c r="BD249" i="99" s="1"/>
  <c r="BE249" i="99" s="1"/>
  <c r="BF249" i="99" s="1"/>
  <c r="AG249" i="99"/>
  <c r="AB249" i="99"/>
  <c r="P249" i="99"/>
  <c r="Q249" i="99" s="1"/>
  <c r="K249" i="99"/>
  <c r="L249" i="99" s="1"/>
  <c r="D249" i="99"/>
  <c r="E249" i="99" s="1"/>
  <c r="AL248" i="99"/>
  <c r="AM248" i="99" s="1"/>
  <c r="AN248" i="99" s="1"/>
  <c r="AO248" i="99" s="1"/>
  <c r="AP248" i="99" s="1"/>
  <c r="AQ248" i="99" s="1"/>
  <c r="AR248" i="99" s="1"/>
  <c r="AS248" i="99" s="1"/>
  <c r="AT248" i="99" s="1"/>
  <c r="AU248" i="99" s="1"/>
  <c r="AV248" i="99" s="1"/>
  <c r="AW248" i="99" s="1"/>
  <c r="AX248" i="99" s="1"/>
  <c r="AY248" i="99" s="1"/>
  <c r="AZ248" i="99" s="1"/>
  <c r="BA248" i="99" s="1"/>
  <c r="BB248" i="99" s="1"/>
  <c r="BC248" i="99" s="1"/>
  <c r="BD248" i="99" s="1"/>
  <c r="BE248" i="99" s="1"/>
  <c r="BF248" i="99" s="1"/>
  <c r="AG248" i="99"/>
  <c r="AB248" i="99"/>
  <c r="P248" i="99"/>
  <c r="Q248" i="99" s="1"/>
  <c r="R248" i="99" s="1"/>
  <c r="K248" i="99"/>
  <c r="D248" i="99"/>
  <c r="E248" i="99" s="1"/>
  <c r="AL247" i="99"/>
  <c r="AM247" i="99" s="1"/>
  <c r="AN247" i="99" s="1"/>
  <c r="AO247" i="99" s="1"/>
  <c r="AP247" i="99" s="1"/>
  <c r="AQ247" i="99" s="1"/>
  <c r="AR247" i="99" s="1"/>
  <c r="AS247" i="99" s="1"/>
  <c r="AT247" i="99" s="1"/>
  <c r="AU247" i="99" s="1"/>
  <c r="AV247" i="99" s="1"/>
  <c r="AW247" i="99" s="1"/>
  <c r="AX247" i="99" s="1"/>
  <c r="AY247" i="99" s="1"/>
  <c r="AZ247" i="99" s="1"/>
  <c r="BA247" i="99" s="1"/>
  <c r="BB247" i="99" s="1"/>
  <c r="BC247" i="99" s="1"/>
  <c r="BD247" i="99" s="1"/>
  <c r="BE247" i="99" s="1"/>
  <c r="BF247" i="99" s="1"/>
  <c r="AG247" i="99"/>
  <c r="AB247" i="99"/>
  <c r="P247" i="99"/>
  <c r="K247" i="99"/>
  <c r="D247" i="99"/>
  <c r="AL246" i="99"/>
  <c r="AM246" i="99" s="1"/>
  <c r="AN246" i="99" s="1"/>
  <c r="AO246" i="99" s="1"/>
  <c r="AP246" i="99" s="1"/>
  <c r="AQ246" i="99" s="1"/>
  <c r="AR246" i="99" s="1"/>
  <c r="AS246" i="99" s="1"/>
  <c r="AT246" i="99" s="1"/>
  <c r="AU246" i="99" s="1"/>
  <c r="AV246" i="99" s="1"/>
  <c r="AW246" i="99" s="1"/>
  <c r="AX246" i="99" s="1"/>
  <c r="AY246" i="99" s="1"/>
  <c r="AZ246" i="99" s="1"/>
  <c r="BA246" i="99" s="1"/>
  <c r="BB246" i="99" s="1"/>
  <c r="BC246" i="99" s="1"/>
  <c r="BD246" i="99" s="1"/>
  <c r="BE246" i="99" s="1"/>
  <c r="BF246" i="99" s="1"/>
  <c r="AG246" i="99"/>
  <c r="AB246" i="99"/>
  <c r="P246" i="99"/>
  <c r="Q246" i="99" s="1"/>
  <c r="K246" i="99"/>
  <c r="L246" i="99" s="1"/>
  <c r="M246" i="99" s="1"/>
  <c r="D246" i="99"/>
  <c r="E246" i="99" s="1"/>
  <c r="F246" i="99" s="1"/>
  <c r="G246" i="99" s="1"/>
  <c r="AL245" i="99"/>
  <c r="AM245" i="99" s="1"/>
  <c r="AN245" i="99" s="1"/>
  <c r="AO245" i="99" s="1"/>
  <c r="AP245" i="99" s="1"/>
  <c r="AQ245" i="99" s="1"/>
  <c r="AR245" i="99" s="1"/>
  <c r="AS245" i="99" s="1"/>
  <c r="AT245" i="99" s="1"/>
  <c r="AU245" i="99" s="1"/>
  <c r="AV245" i="99" s="1"/>
  <c r="AW245" i="99" s="1"/>
  <c r="AX245" i="99" s="1"/>
  <c r="AY245" i="99" s="1"/>
  <c r="AZ245" i="99" s="1"/>
  <c r="BA245" i="99" s="1"/>
  <c r="BB245" i="99" s="1"/>
  <c r="BC245" i="99" s="1"/>
  <c r="BD245" i="99" s="1"/>
  <c r="BE245" i="99" s="1"/>
  <c r="BF245" i="99" s="1"/>
  <c r="AG245" i="99"/>
  <c r="AB245" i="99"/>
  <c r="P245" i="99"/>
  <c r="Q245" i="99" s="1"/>
  <c r="K245" i="99"/>
  <c r="L245" i="99" s="1"/>
  <c r="M245" i="99" s="1"/>
  <c r="D245" i="99"/>
  <c r="E245" i="99" s="1"/>
  <c r="AL244" i="99"/>
  <c r="AM244" i="99" s="1"/>
  <c r="AN244" i="99" s="1"/>
  <c r="AO244" i="99" s="1"/>
  <c r="AP244" i="99" s="1"/>
  <c r="AQ244" i="99" s="1"/>
  <c r="AR244" i="99" s="1"/>
  <c r="AS244" i="99" s="1"/>
  <c r="AT244" i="99" s="1"/>
  <c r="AU244" i="99" s="1"/>
  <c r="AV244" i="99" s="1"/>
  <c r="AW244" i="99" s="1"/>
  <c r="AX244" i="99" s="1"/>
  <c r="AY244" i="99" s="1"/>
  <c r="AZ244" i="99" s="1"/>
  <c r="BA244" i="99" s="1"/>
  <c r="BB244" i="99" s="1"/>
  <c r="BC244" i="99" s="1"/>
  <c r="BD244" i="99" s="1"/>
  <c r="BE244" i="99" s="1"/>
  <c r="BF244" i="99" s="1"/>
  <c r="AG244" i="99"/>
  <c r="AB244" i="99"/>
  <c r="P244" i="99"/>
  <c r="K244" i="99"/>
  <c r="L244" i="99" s="1"/>
  <c r="D244" i="99"/>
  <c r="E244" i="99" s="1"/>
  <c r="AL243" i="99"/>
  <c r="AM243" i="99" s="1"/>
  <c r="AN243" i="99" s="1"/>
  <c r="AO243" i="99" s="1"/>
  <c r="AP243" i="99" s="1"/>
  <c r="AQ243" i="99" s="1"/>
  <c r="AR243" i="99" s="1"/>
  <c r="AS243" i="99" s="1"/>
  <c r="AT243" i="99" s="1"/>
  <c r="AU243" i="99" s="1"/>
  <c r="AV243" i="99" s="1"/>
  <c r="AW243" i="99" s="1"/>
  <c r="AX243" i="99" s="1"/>
  <c r="AY243" i="99" s="1"/>
  <c r="AZ243" i="99" s="1"/>
  <c r="BA243" i="99" s="1"/>
  <c r="BB243" i="99" s="1"/>
  <c r="BC243" i="99" s="1"/>
  <c r="BD243" i="99" s="1"/>
  <c r="BE243" i="99" s="1"/>
  <c r="BF243" i="99" s="1"/>
  <c r="AG243" i="99"/>
  <c r="AB243" i="99"/>
  <c r="P243" i="99"/>
  <c r="Q243" i="99" s="1"/>
  <c r="K243" i="99"/>
  <c r="L243" i="99" s="1"/>
  <c r="M243" i="99" s="1"/>
  <c r="N243" i="99" s="1"/>
  <c r="D243" i="99"/>
  <c r="E243" i="99" s="1"/>
  <c r="AL242" i="99"/>
  <c r="AG242" i="99"/>
  <c r="AB242" i="99"/>
  <c r="P242" i="99"/>
  <c r="K242" i="99"/>
  <c r="D242" i="99"/>
  <c r="C238" i="99"/>
  <c r="D235" i="99"/>
  <c r="E235" i="99" s="1"/>
  <c r="T234" i="99"/>
  <c r="D234" i="99" s="1"/>
  <c r="E234" i="99" s="1"/>
  <c r="F234" i="99" s="1"/>
  <c r="G234" i="99" s="1"/>
  <c r="T233" i="99"/>
  <c r="D233" i="99" s="1"/>
  <c r="E233" i="99" s="1"/>
  <c r="F233" i="99" s="1"/>
  <c r="T232" i="99"/>
  <c r="D232" i="99" s="1"/>
  <c r="E232" i="99" s="1"/>
  <c r="T231" i="99"/>
  <c r="D231" i="99" s="1"/>
  <c r="E231" i="99" s="1"/>
  <c r="T230" i="99"/>
  <c r="D230" i="99" s="1"/>
  <c r="E230" i="99" s="1"/>
  <c r="F230" i="99" s="1"/>
  <c r="G230" i="99" s="1"/>
  <c r="H230" i="99" s="1"/>
  <c r="T229" i="99"/>
  <c r="D229" i="99" s="1"/>
  <c r="E229" i="99" s="1"/>
  <c r="T228" i="99"/>
  <c r="D228" i="99" s="1"/>
  <c r="E228" i="99" s="1"/>
  <c r="T227" i="99"/>
  <c r="D227" i="99" s="1"/>
  <c r="E227" i="99" s="1"/>
  <c r="T226" i="99"/>
  <c r="D226" i="99" s="1"/>
  <c r="E226" i="99" s="1"/>
  <c r="T225" i="99"/>
  <c r="D225" i="99" s="1"/>
  <c r="E225" i="99" s="1"/>
  <c r="F225" i="99" s="1"/>
  <c r="G225" i="99" s="1"/>
  <c r="T224" i="99"/>
  <c r="D224" i="99" s="1"/>
  <c r="E224" i="99" s="1"/>
  <c r="F224" i="99" s="1"/>
  <c r="T223" i="99"/>
  <c r="D223" i="99" s="1"/>
  <c r="E223" i="99" s="1"/>
  <c r="F223" i="99" s="1"/>
  <c r="T222" i="99"/>
  <c r="D222" i="99" s="1"/>
  <c r="E222" i="99" s="1"/>
  <c r="F222" i="99" s="1"/>
  <c r="T221" i="99"/>
  <c r="D221" i="99" s="1"/>
  <c r="E221" i="99" s="1"/>
  <c r="T220" i="99"/>
  <c r="D220" i="99" s="1"/>
  <c r="E220" i="99" s="1"/>
  <c r="T219" i="99"/>
  <c r="D219" i="99" s="1"/>
  <c r="E219" i="99" s="1"/>
  <c r="T218" i="99"/>
  <c r="D218" i="99" s="1"/>
  <c r="E218" i="99" s="1"/>
  <c r="T217" i="99"/>
  <c r="D217" i="99" s="1"/>
  <c r="E217" i="99" s="1"/>
  <c r="F217" i="99" s="1"/>
  <c r="G217" i="99" s="1"/>
  <c r="H217" i="99" s="1"/>
  <c r="I217" i="99" s="1"/>
  <c r="T216" i="99"/>
  <c r="D216" i="99" s="1"/>
  <c r="E216" i="99" s="1"/>
  <c r="T215" i="99"/>
  <c r="D215" i="99" s="1"/>
  <c r="E215" i="99" s="1"/>
  <c r="F215" i="99" s="1"/>
  <c r="T214" i="99"/>
  <c r="D214" i="99" s="1"/>
  <c r="E214" i="99" s="1"/>
  <c r="F214" i="99" s="1"/>
  <c r="T213" i="99"/>
  <c r="T212" i="99"/>
  <c r="T211" i="99"/>
  <c r="D211" i="99" s="1"/>
  <c r="E211" i="99" s="1"/>
  <c r="F211" i="99" s="1"/>
  <c r="T210" i="99"/>
  <c r="D210" i="99" s="1"/>
  <c r="E210" i="99" s="1"/>
  <c r="F210" i="99" s="1"/>
  <c r="G210" i="99" s="1"/>
  <c r="T209" i="99"/>
  <c r="D209" i="99" s="1"/>
  <c r="E209" i="99" s="1"/>
  <c r="T208" i="99"/>
  <c r="T207" i="99"/>
  <c r="D207" i="99" s="1"/>
  <c r="E207" i="99" s="1"/>
  <c r="F207" i="99" s="1"/>
  <c r="G207" i="99" s="1"/>
  <c r="H207" i="99" s="1"/>
  <c r="I207" i="99" s="1"/>
  <c r="J207" i="99" s="1"/>
  <c r="K207" i="99" s="1"/>
  <c r="T206" i="99"/>
  <c r="D206" i="99" s="1"/>
  <c r="E206" i="99" s="1"/>
  <c r="F206" i="99" s="1"/>
  <c r="G206" i="99" s="1"/>
  <c r="H206" i="99" s="1"/>
  <c r="I206" i="99" s="1"/>
  <c r="J206" i="99" s="1"/>
  <c r="K206" i="99" s="1"/>
  <c r="T205" i="99"/>
  <c r="D205" i="99" s="1"/>
  <c r="E205" i="99" s="1"/>
  <c r="F205" i="99" s="1"/>
  <c r="G205" i="99" s="1"/>
  <c r="T204" i="99"/>
  <c r="T203" i="99"/>
  <c r="D203" i="99" s="1"/>
  <c r="T199" i="99"/>
  <c r="O199" i="99"/>
  <c r="J199" i="99"/>
  <c r="C199" i="99"/>
  <c r="AL196" i="99"/>
  <c r="AM196" i="99" s="1"/>
  <c r="AN196" i="99" s="1"/>
  <c r="AO196" i="99" s="1"/>
  <c r="AP196" i="99" s="1"/>
  <c r="AQ196" i="99" s="1"/>
  <c r="AR196" i="99" s="1"/>
  <c r="AS196" i="99" s="1"/>
  <c r="AT196" i="99" s="1"/>
  <c r="AU196" i="99" s="1"/>
  <c r="AV196" i="99" s="1"/>
  <c r="AW196" i="99" s="1"/>
  <c r="AX196" i="99" s="1"/>
  <c r="AY196" i="99" s="1"/>
  <c r="AZ196" i="99" s="1"/>
  <c r="BA196" i="99" s="1"/>
  <c r="BB196" i="99" s="1"/>
  <c r="BC196" i="99" s="1"/>
  <c r="BD196" i="99" s="1"/>
  <c r="BE196" i="99" s="1"/>
  <c r="BF196" i="99" s="1"/>
  <c r="AG196" i="99"/>
  <c r="AB196" i="99"/>
  <c r="P196" i="99"/>
  <c r="Q196" i="99" s="1"/>
  <c r="K196" i="99"/>
  <c r="L196" i="99" s="1"/>
  <c r="M196" i="99" s="1"/>
  <c r="N196" i="99" s="1"/>
  <c r="D196" i="99"/>
  <c r="E196" i="99" s="1"/>
  <c r="AL195" i="99"/>
  <c r="AM195" i="99" s="1"/>
  <c r="AN195" i="99" s="1"/>
  <c r="AO195" i="99" s="1"/>
  <c r="AP195" i="99" s="1"/>
  <c r="AQ195" i="99" s="1"/>
  <c r="AR195" i="99" s="1"/>
  <c r="AS195" i="99" s="1"/>
  <c r="AT195" i="99" s="1"/>
  <c r="AU195" i="99" s="1"/>
  <c r="AV195" i="99" s="1"/>
  <c r="AW195" i="99" s="1"/>
  <c r="AX195" i="99" s="1"/>
  <c r="AY195" i="99" s="1"/>
  <c r="AZ195" i="99" s="1"/>
  <c r="BA195" i="99" s="1"/>
  <c r="BB195" i="99" s="1"/>
  <c r="BC195" i="99" s="1"/>
  <c r="BD195" i="99" s="1"/>
  <c r="BE195" i="99" s="1"/>
  <c r="BF195" i="99" s="1"/>
  <c r="AG195" i="99"/>
  <c r="AB195" i="99"/>
  <c r="P195" i="99"/>
  <c r="Q195" i="99" s="1"/>
  <c r="K195" i="99"/>
  <c r="L195" i="99" s="1"/>
  <c r="D195" i="99"/>
  <c r="E195" i="99" s="1"/>
  <c r="AL194" i="99"/>
  <c r="AM194" i="99" s="1"/>
  <c r="AN194" i="99" s="1"/>
  <c r="AO194" i="99" s="1"/>
  <c r="AP194" i="99" s="1"/>
  <c r="AQ194" i="99" s="1"/>
  <c r="AR194" i="99" s="1"/>
  <c r="AS194" i="99" s="1"/>
  <c r="AT194" i="99" s="1"/>
  <c r="AU194" i="99" s="1"/>
  <c r="AV194" i="99" s="1"/>
  <c r="AW194" i="99" s="1"/>
  <c r="AX194" i="99" s="1"/>
  <c r="AY194" i="99" s="1"/>
  <c r="AZ194" i="99" s="1"/>
  <c r="BA194" i="99" s="1"/>
  <c r="BB194" i="99" s="1"/>
  <c r="BC194" i="99" s="1"/>
  <c r="BD194" i="99" s="1"/>
  <c r="BE194" i="99" s="1"/>
  <c r="BF194" i="99" s="1"/>
  <c r="AG194" i="99"/>
  <c r="AB194" i="99"/>
  <c r="P194" i="99"/>
  <c r="Q194" i="99" s="1"/>
  <c r="K194" i="99"/>
  <c r="L194" i="99" s="1"/>
  <c r="M194" i="99" s="1"/>
  <c r="D194" i="99"/>
  <c r="E194" i="99" s="1"/>
  <c r="AL193" i="99"/>
  <c r="AM193" i="99" s="1"/>
  <c r="AN193" i="99" s="1"/>
  <c r="AO193" i="99" s="1"/>
  <c r="AP193" i="99" s="1"/>
  <c r="AQ193" i="99" s="1"/>
  <c r="AR193" i="99" s="1"/>
  <c r="AS193" i="99" s="1"/>
  <c r="AT193" i="99" s="1"/>
  <c r="AU193" i="99" s="1"/>
  <c r="AV193" i="99" s="1"/>
  <c r="AW193" i="99" s="1"/>
  <c r="AX193" i="99" s="1"/>
  <c r="AY193" i="99" s="1"/>
  <c r="AZ193" i="99" s="1"/>
  <c r="BA193" i="99" s="1"/>
  <c r="BB193" i="99" s="1"/>
  <c r="BC193" i="99" s="1"/>
  <c r="BD193" i="99" s="1"/>
  <c r="BE193" i="99" s="1"/>
  <c r="BF193" i="99" s="1"/>
  <c r="AG193" i="99"/>
  <c r="AB193" i="99"/>
  <c r="P193" i="99"/>
  <c r="Q193" i="99" s="1"/>
  <c r="K193" i="99"/>
  <c r="L193" i="99" s="1"/>
  <c r="M193" i="99" s="1"/>
  <c r="N193" i="99" s="1"/>
  <c r="D193" i="99"/>
  <c r="E193" i="99" s="1"/>
  <c r="AL192" i="99"/>
  <c r="AM192" i="99" s="1"/>
  <c r="AN192" i="99" s="1"/>
  <c r="AO192" i="99" s="1"/>
  <c r="AP192" i="99" s="1"/>
  <c r="AQ192" i="99" s="1"/>
  <c r="AR192" i="99" s="1"/>
  <c r="AS192" i="99" s="1"/>
  <c r="AT192" i="99" s="1"/>
  <c r="AU192" i="99" s="1"/>
  <c r="AV192" i="99" s="1"/>
  <c r="AW192" i="99" s="1"/>
  <c r="AX192" i="99" s="1"/>
  <c r="AY192" i="99" s="1"/>
  <c r="AZ192" i="99" s="1"/>
  <c r="BA192" i="99" s="1"/>
  <c r="BB192" i="99" s="1"/>
  <c r="BC192" i="99" s="1"/>
  <c r="BD192" i="99" s="1"/>
  <c r="BE192" i="99" s="1"/>
  <c r="BF192" i="99" s="1"/>
  <c r="AG192" i="99"/>
  <c r="AB192" i="99"/>
  <c r="P192" i="99"/>
  <c r="Q192" i="99" s="1"/>
  <c r="K192" i="99"/>
  <c r="L192" i="99" s="1"/>
  <c r="M192" i="99" s="1"/>
  <c r="N192" i="99" s="1"/>
  <c r="D192" i="99"/>
  <c r="E192" i="99" s="1"/>
  <c r="AL191" i="99"/>
  <c r="AM191" i="99" s="1"/>
  <c r="AN191" i="99" s="1"/>
  <c r="AO191" i="99" s="1"/>
  <c r="AP191" i="99" s="1"/>
  <c r="AQ191" i="99" s="1"/>
  <c r="AR191" i="99" s="1"/>
  <c r="AS191" i="99" s="1"/>
  <c r="AT191" i="99" s="1"/>
  <c r="AU191" i="99" s="1"/>
  <c r="AV191" i="99" s="1"/>
  <c r="AW191" i="99" s="1"/>
  <c r="AX191" i="99" s="1"/>
  <c r="AY191" i="99" s="1"/>
  <c r="AZ191" i="99" s="1"/>
  <c r="BA191" i="99" s="1"/>
  <c r="BB191" i="99" s="1"/>
  <c r="BC191" i="99" s="1"/>
  <c r="BD191" i="99" s="1"/>
  <c r="BE191" i="99" s="1"/>
  <c r="BF191" i="99" s="1"/>
  <c r="AG191" i="99"/>
  <c r="AB191" i="99"/>
  <c r="P191" i="99"/>
  <c r="Q191" i="99" s="1"/>
  <c r="K191" i="99"/>
  <c r="L191" i="99" s="1"/>
  <c r="M191" i="99" s="1"/>
  <c r="D191" i="99"/>
  <c r="E191" i="99" s="1"/>
  <c r="AL190" i="99"/>
  <c r="AM190" i="99" s="1"/>
  <c r="AN190" i="99" s="1"/>
  <c r="AO190" i="99" s="1"/>
  <c r="AP190" i="99" s="1"/>
  <c r="AQ190" i="99" s="1"/>
  <c r="AR190" i="99" s="1"/>
  <c r="AS190" i="99" s="1"/>
  <c r="AT190" i="99" s="1"/>
  <c r="AU190" i="99" s="1"/>
  <c r="AV190" i="99" s="1"/>
  <c r="AW190" i="99" s="1"/>
  <c r="AX190" i="99" s="1"/>
  <c r="AY190" i="99" s="1"/>
  <c r="AZ190" i="99" s="1"/>
  <c r="BA190" i="99" s="1"/>
  <c r="BB190" i="99" s="1"/>
  <c r="BC190" i="99" s="1"/>
  <c r="BD190" i="99" s="1"/>
  <c r="BE190" i="99" s="1"/>
  <c r="BF190" i="99" s="1"/>
  <c r="AG190" i="99"/>
  <c r="AB190" i="99"/>
  <c r="P190" i="99"/>
  <c r="Q190" i="99" s="1"/>
  <c r="K190" i="99"/>
  <c r="L190" i="99" s="1"/>
  <c r="M190" i="99" s="1"/>
  <c r="N190" i="99" s="1"/>
  <c r="D190" i="99"/>
  <c r="E190" i="99" s="1"/>
  <c r="AL189" i="99"/>
  <c r="AM189" i="99" s="1"/>
  <c r="AN189" i="99" s="1"/>
  <c r="AO189" i="99" s="1"/>
  <c r="AP189" i="99" s="1"/>
  <c r="AQ189" i="99" s="1"/>
  <c r="AR189" i="99" s="1"/>
  <c r="AS189" i="99" s="1"/>
  <c r="AT189" i="99" s="1"/>
  <c r="AU189" i="99" s="1"/>
  <c r="AV189" i="99" s="1"/>
  <c r="AW189" i="99" s="1"/>
  <c r="AX189" i="99" s="1"/>
  <c r="AY189" i="99" s="1"/>
  <c r="AZ189" i="99" s="1"/>
  <c r="BA189" i="99" s="1"/>
  <c r="BB189" i="99" s="1"/>
  <c r="BC189" i="99" s="1"/>
  <c r="BD189" i="99" s="1"/>
  <c r="BE189" i="99" s="1"/>
  <c r="BF189" i="99" s="1"/>
  <c r="AG189" i="99"/>
  <c r="AB189" i="99"/>
  <c r="P189" i="99"/>
  <c r="Q189" i="99" s="1"/>
  <c r="K189" i="99"/>
  <c r="L189" i="99" s="1"/>
  <c r="M189" i="99" s="1"/>
  <c r="N189" i="99" s="1"/>
  <c r="D189" i="99"/>
  <c r="E189" i="99" s="1"/>
  <c r="AL188" i="99"/>
  <c r="AM188" i="99" s="1"/>
  <c r="AN188" i="99" s="1"/>
  <c r="AO188" i="99" s="1"/>
  <c r="AP188" i="99" s="1"/>
  <c r="AQ188" i="99" s="1"/>
  <c r="AR188" i="99" s="1"/>
  <c r="AS188" i="99" s="1"/>
  <c r="AT188" i="99" s="1"/>
  <c r="AU188" i="99" s="1"/>
  <c r="AV188" i="99" s="1"/>
  <c r="AW188" i="99" s="1"/>
  <c r="AX188" i="99" s="1"/>
  <c r="AY188" i="99" s="1"/>
  <c r="AZ188" i="99" s="1"/>
  <c r="BA188" i="99" s="1"/>
  <c r="BB188" i="99" s="1"/>
  <c r="BC188" i="99" s="1"/>
  <c r="BD188" i="99" s="1"/>
  <c r="BE188" i="99" s="1"/>
  <c r="BF188" i="99" s="1"/>
  <c r="AG188" i="99"/>
  <c r="AB188" i="99"/>
  <c r="P188" i="99"/>
  <c r="Q188" i="99" s="1"/>
  <c r="K188" i="99"/>
  <c r="L188" i="99" s="1"/>
  <c r="M188" i="99" s="1"/>
  <c r="N188" i="99" s="1"/>
  <c r="D188" i="99"/>
  <c r="E188" i="99" s="1"/>
  <c r="AL187" i="99"/>
  <c r="AM187" i="99" s="1"/>
  <c r="AN187" i="99" s="1"/>
  <c r="AO187" i="99" s="1"/>
  <c r="AP187" i="99" s="1"/>
  <c r="AQ187" i="99" s="1"/>
  <c r="AR187" i="99" s="1"/>
  <c r="AS187" i="99" s="1"/>
  <c r="AT187" i="99" s="1"/>
  <c r="AU187" i="99" s="1"/>
  <c r="AV187" i="99" s="1"/>
  <c r="AW187" i="99" s="1"/>
  <c r="AX187" i="99" s="1"/>
  <c r="AY187" i="99" s="1"/>
  <c r="AZ187" i="99" s="1"/>
  <c r="BA187" i="99" s="1"/>
  <c r="BB187" i="99" s="1"/>
  <c r="BC187" i="99" s="1"/>
  <c r="BD187" i="99" s="1"/>
  <c r="BE187" i="99" s="1"/>
  <c r="BF187" i="99" s="1"/>
  <c r="AG187" i="99"/>
  <c r="AB187" i="99"/>
  <c r="P187" i="99"/>
  <c r="Q187" i="99" s="1"/>
  <c r="K187" i="99"/>
  <c r="L187" i="99" s="1"/>
  <c r="D187" i="99"/>
  <c r="E187" i="99" s="1"/>
  <c r="AL186" i="99"/>
  <c r="AM186" i="99" s="1"/>
  <c r="AN186" i="99" s="1"/>
  <c r="AO186" i="99" s="1"/>
  <c r="AP186" i="99" s="1"/>
  <c r="AQ186" i="99" s="1"/>
  <c r="AR186" i="99" s="1"/>
  <c r="AS186" i="99" s="1"/>
  <c r="AT186" i="99" s="1"/>
  <c r="AU186" i="99" s="1"/>
  <c r="AV186" i="99" s="1"/>
  <c r="AW186" i="99" s="1"/>
  <c r="AX186" i="99" s="1"/>
  <c r="AY186" i="99" s="1"/>
  <c r="AZ186" i="99" s="1"/>
  <c r="BA186" i="99" s="1"/>
  <c r="BB186" i="99" s="1"/>
  <c r="BC186" i="99" s="1"/>
  <c r="BD186" i="99" s="1"/>
  <c r="BE186" i="99" s="1"/>
  <c r="BF186" i="99" s="1"/>
  <c r="AG186" i="99"/>
  <c r="AB186" i="99"/>
  <c r="P186" i="99"/>
  <c r="Q186" i="99" s="1"/>
  <c r="K186" i="99"/>
  <c r="L186" i="99" s="1"/>
  <c r="M186" i="99" s="1"/>
  <c r="D186" i="99"/>
  <c r="E186" i="99" s="1"/>
  <c r="AL185" i="99"/>
  <c r="AM185" i="99" s="1"/>
  <c r="AN185" i="99" s="1"/>
  <c r="AO185" i="99" s="1"/>
  <c r="AP185" i="99" s="1"/>
  <c r="AQ185" i="99" s="1"/>
  <c r="AR185" i="99" s="1"/>
  <c r="AS185" i="99" s="1"/>
  <c r="AT185" i="99" s="1"/>
  <c r="AU185" i="99" s="1"/>
  <c r="AV185" i="99" s="1"/>
  <c r="AW185" i="99" s="1"/>
  <c r="AX185" i="99" s="1"/>
  <c r="AY185" i="99" s="1"/>
  <c r="AZ185" i="99" s="1"/>
  <c r="BA185" i="99" s="1"/>
  <c r="BB185" i="99" s="1"/>
  <c r="BC185" i="99" s="1"/>
  <c r="BD185" i="99" s="1"/>
  <c r="BE185" i="99" s="1"/>
  <c r="BF185" i="99" s="1"/>
  <c r="AG185" i="99"/>
  <c r="AB185" i="99"/>
  <c r="P185" i="99"/>
  <c r="Q185" i="99" s="1"/>
  <c r="K185" i="99"/>
  <c r="L185" i="99" s="1"/>
  <c r="M185" i="99" s="1"/>
  <c r="N185" i="99" s="1"/>
  <c r="D185" i="99"/>
  <c r="E185" i="99" s="1"/>
  <c r="AL184" i="99"/>
  <c r="AM184" i="99" s="1"/>
  <c r="AN184" i="99" s="1"/>
  <c r="AO184" i="99" s="1"/>
  <c r="AP184" i="99" s="1"/>
  <c r="AQ184" i="99" s="1"/>
  <c r="AR184" i="99" s="1"/>
  <c r="AS184" i="99" s="1"/>
  <c r="AT184" i="99" s="1"/>
  <c r="AU184" i="99" s="1"/>
  <c r="AV184" i="99" s="1"/>
  <c r="AW184" i="99" s="1"/>
  <c r="AX184" i="99" s="1"/>
  <c r="AY184" i="99" s="1"/>
  <c r="AZ184" i="99" s="1"/>
  <c r="BA184" i="99" s="1"/>
  <c r="BB184" i="99" s="1"/>
  <c r="BC184" i="99" s="1"/>
  <c r="BD184" i="99" s="1"/>
  <c r="BE184" i="99" s="1"/>
  <c r="BF184" i="99" s="1"/>
  <c r="AG184" i="99"/>
  <c r="AB184" i="99"/>
  <c r="P184" i="99"/>
  <c r="Q184" i="99" s="1"/>
  <c r="K184" i="99"/>
  <c r="L184" i="99" s="1"/>
  <c r="M184" i="99" s="1"/>
  <c r="N184" i="99" s="1"/>
  <c r="D184" i="99"/>
  <c r="E184" i="99" s="1"/>
  <c r="AL183" i="99"/>
  <c r="AM183" i="99" s="1"/>
  <c r="AN183" i="99" s="1"/>
  <c r="AO183" i="99" s="1"/>
  <c r="AP183" i="99" s="1"/>
  <c r="AQ183" i="99" s="1"/>
  <c r="AR183" i="99" s="1"/>
  <c r="AS183" i="99" s="1"/>
  <c r="AT183" i="99" s="1"/>
  <c r="AU183" i="99" s="1"/>
  <c r="AV183" i="99" s="1"/>
  <c r="AW183" i="99" s="1"/>
  <c r="AX183" i="99" s="1"/>
  <c r="AY183" i="99" s="1"/>
  <c r="AZ183" i="99" s="1"/>
  <c r="BA183" i="99" s="1"/>
  <c r="BB183" i="99" s="1"/>
  <c r="BC183" i="99" s="1"/>
  <c r="BD183" i="99" s="1"/>
  <c r="BE183" i="99" s="1"/>
  <c r="BF183" i="99" s="1"/>
  <c r="AG183" i="99"/>
  <c r="AB183" i="99"/>
  <c r="P183" i="99"/>
  <c r="Q183" i="99" s="1"/>
  <c r="K183" i="99"/>
  <c r="L183" i="99" s="1"/>
  <c r="M183" i="99" s="1"/>
  <c r="D183" i="99"/>
  <c r="E183" i="99" s="1"/>
  <c r="AL182" i="99"/>
  <c r="AM182" i="99" s="1"/>
  <c r="AN182" i="99" s="1"/>
  <c r="AO182" i="99" s="1"/>
  <c r="AP182" i="99" s="1"/>
  <c r="AQ182" i="99" s="1"/>
  <c r="AR182" i="99" s="1"/>
  <c r="AS182" i="99" s="1"/>
  <c r="AT182" i="99" s="1"/>
  <c r="AU182" i="99" s="1"/>
  <c r="AV182" i="99" s="1"/>
  <c r="AW182" i="99" s="1"/>
  <c r="AX182" i="99" s="1"/>
  <c r="AY182" i="99" s="1"/>
  <c r="AZ182" i="99" s="1"/>
  <c r="BA182" i="99" s="1"/>
  <c r="BB182" i="99" s="1"/>
  <c r="BC182" i="99" s="1"/>
  <c r="BD182" i="99" s="1"/>
  <c r="BE182" i="99" s="1"/>
  <c r="BF182" i="99" s="1"/>
  <c r="AG182" i="99"/>
  <c r="AB182" i="99"/>
  <c r="P182" i="99"/>
  <c r="Q182" i="99" s="1"/>
  <c r="K182" i="99"/>
  <c r="L182" i="99" s="1"/>
  <c r="M182" i="99" s="1"/>
  <c r="N182" i="99" s="1"/>
  <c r="D182" i="99"/>
  <c r="E182" i="99" s="1"/>
  <c r="AL181" i="99"/>
  <c r="AM181" i="99" s="1"/>
  <c r="AN181" i="99" s="1"/>
  <c r="AO181" i="99" s="1"/>
  <c r="AP181" i="99" s="1"/>
  <c r="AQ181" i="99" s="1"/>
  <c r="AR181" i="99" s="1"/>
  <c r="AS181" i="99" s="1"/>
  <c r="AT181" i="99" s="1"/>
  <c r="AU181" i="99" s="1"/>
  <c r="AV181" i="99" s="1"/>
  <c r="AW181" i="99" s="1"/>
  <c r="AX181" i="99" s="1"/>
  <c r="AY181" i="99" s="1"/>
  <c r="AZ181" i="99" s="1"/>
  <c r="BA181" i="99" s="1"/>
  <c r="BB181" i="99" s="1"/>
  <c r="BC181" i="99" s="1"/>
  <c r="BD181" i="99" s="1"/>
  <c r="BE181" i="99" s="1"/>
  <c r="BF181" i="99" s="1"/>
  <c r="AG181" i="99"/>
  <c r="AB181" i="99"/>
  <c r="P181" i="99"/>
  <c r="Q181" i="99" s="1"/>
  <c r="K181" i="99"/>
  <c r="L181" i="99" s="1"/>
  <c r="M181" i="99" s="1"/>
  <c r="N181" i="99" s="1"/>
  <c r="D181" i="99"/>
  <c r="E181" i="99" s="1"/>
  <c r="AL180" i="99"/>
  <c r="AM180" i="99" s="1"/>
  <c r="AN180" i="99" s="1"/>
  <c r="AO180" i="99" s="1"/>
  <c r="AP180" i="99" s="1"/>
  <c r="AQ180" i="99" s="1"/>
  <c r="AR180" i="99" s="1"/>
  <c r="AS180" i="99" s="1"/>
  <c r="AT180" i="99" s="1"/>
  <c r="AU180" i="99" s="1"/>
  <c r="AV180" i="99" s="1"/>
  <c r="AW180" i="99" s="1"/>
  <c r="AX180" i="99" s="1"/>
  <c r="AY180" i="99" s="1"/>
  <c r="AZ180" i="99" s="1"/>
  <c r="BA180" i="99" s="1"/>
  <c r="BB180" i="99" s="1"/>
  <c r="BC180" i="99" s="1"/>
  <c r="BD180" i="99" s="1"/>
  <c r="BE180" i="99" s="1"/>
  <c r="BF180" i="99" s="1"/>
  <c r="AG180" i="99"/>
  <c r="AB180" i="99"/>
  <c r="P180" i="99"/>
  <c r="Q180" i="99" s="1"/>
  <c r="K180" i="99"/>
  <c r="L180" i="99" s="1"/>
  <c r="M180" i="99" s="1"/>
  <c r="N180" i="99" s="1"/>
  <c r="D180" i="99"/>
  <c r="E180" i="99" s="1"/>
  <c r="AL179" i="99"/>
  <c r="AM179" i="99" s="1"/>
  <c r="AN179" i="99" s="1"/>
  <c r="AO179" i="99" s="1"/>
  <c r="AP179" i="99" s="1"/>
  <c r="AQ179" i="99" s="1"/>
  <c r="AR179" i="99" s="1"/>
  <c r="AS179" i="99" s="1"/>
  <c r="AT179" i="99" s="1"/>
  <c r="AU179" i="99" s="1"/>
  <c r="AV179" i="99" s="1"/>
  <c r="AW179" i="99" s="1"/>
  <c r="AX179" i="99" s="1"/>
  <c r="AY179" i="99" s="1"/>
  <c r="AZ179" i="99" s="1"/>
  <c r="BA179" i="99" s="1"/>
  <c r="BB179" i="99" s="1"/>
  <c r="BC179" i="99" s="1"/>
  <c r="BD179" i="99" s="1"/>
  <c r="BE179" i="99" s="1"/>
  <c r="BF179" i="99" s="1"/>
  <c r="AG179" i="99"/>
  <c r="AB179" i="99"/>
  <c r="P179" i="99"/>
  <c r="Q179" i="99" s="1"/>
  <c r="K179" i="99"/>
  <c r="L179" i="99" s="1"/>
  <c r="D179" i="99"/>
  <c r="E179" i="99" s="1"/>
  <c r="AL178" i="99"/>
  <c r="AM178" i="99" s="1"/>
  <c r="AN178" i="99" s="1"/>
  <c r="AO178" i="99" s="1"/>
  <c r="AP178" i="99" s="1"/>
  <c r="AQ178" i="99" s="1"/>
  <c r="AR178" i="99" s="1"/>
  <c r="AS178" i="99" s="1"/>
  <c r="AT178" i="99" s="1"/>
  <c r="AU178" i="99" s="1"/>
  <c r="AV178" i="99" s="1"/>
  <c r="AW178" i="99" s="1"/>
  <c r="AX178" i="99" s="1"/>
  <c r="AY178" i="99" s="1"/>
  <c r="AZ178" i="99" s="1"/>
  <c r="BA178" i="99" s="1"/>
  <c r="BB178" i="99" s="1"/>
  <c r="BC178" i="99" s="1"/>
  <c r="BD178" i="99" s="1"/>
  <c r="BE178" i="99" s="1"/>
  <c r="BF178" i="99" s="1"/>
  <c r="AG178" i="99"/>
  <c r="AB178" i="99"/>
  <c r="P178" i="99"/>
  <c r="Q178" i="99" s="1"/>
  <c r="K178" i="99"/>
  <c r="L178" i="99" s="1"/>
  <c r="M178" i="99" s="1"/>
  <c r="D178" i="99"/>
  <c r="E178" i="99" s="1"/>
  <c r="AL177" i="99"/>
  <c r="AM177" i="99" s="1"/>
  <c r="AN177" i="99" s="1"/>
  <c r="AO177" i="99" s="1"/>
  <c r="AP177" i="99" s="1"/>
  <c r="AQ177" i="99" s="1"/>
  <c r="AR177" i="99" s="1"/>
  <c r="AS177" i="99" s="1"/>
  <c r="AT177" i="99" s="1"/>
  <c r="AU177" i="99" s="1"/>
  <c r="AV177" i="99" s="1"/>
  <c r="AW177" i="99" s="1"/>
  <c r="AX177" i="99" s="1"/>
  <c r="AY177" i="99" s="1"/>
  <c r="AZ177" i="99" s="1"/>
  <c r="BA177" i="99" s="1"/>
  <c r="BB177" i="99" s="1"/>
  <c r="BC177" i="99" s="1"/>
  <c r="BD177" i="99" s="1"/>
  <c r="BE177" i="99" s="1"/>
  <c r="BF177" i="99" s="1"/>
  <c r="AG177" i="99"/>
  <c r="AB177" i="99"/>
  <c r="P177" i="99"/>
  <c r="Q177" i="99" s="1"/>
  <c r="K177" i="99"/>
  <c r="L177" i="99" s="1"/>
  <c r="M177" i="99" s="1"/>
  <c r="N177" i="99" s="1"/>
  <c r="D177" i="99"/>
  <c r="E177" i="99" s="1"/>
  <c r="AL176" i="99"/>
  <c r="AM176" i="99" s="1"/>
  <c r="AN176" i="99" s="1"/>
  <c r="AO176" i="99" s="1"/>
  <c r="AP176" i="99" s="1"/>
  <c r="AQ176" i="99" s="1"/>
  <c r="AR176" i="99" s="1"/>
  <c r="AS176" i="99" s="1"/>
  <c r="AT176" i="99" s="1"/>
  <c r="AU176" i="99" s="1"/>
  <c r="AV176" i="99" s="1"/>
  <c r="AW176" i="99" s="1"/>
  <c r="AX176" i="99" s="1"/>
  <c r="AY176" i="99" s="1"/>
  <c r="AZ176" i="99" s="1"/>
  <c r="BA176" i="99" s="1"/>
  <c r="BB176" i="99" s="1"/>
  <c r="BC176" i="99" s="1"/>
  <c r="BD176" i="99" s="1"/>
  <c r="BE176" i="99" s="1"/>
  <c r="BF176" i="99" s="1"/>
  <c r="AG176" i="99"/>
  <c r="AB176" i="99"/>
  <c r="P176" i="99"/>
  <c r="Q176" i="99" s="1"/>
  <c r="K176" i="99"/>
  <c r="L176" i="99" s="1"/>
  <c r="M176" i="99" s="1"/>
  <c r="N176" i="99" s="1"/>
  <c r="D176" i="99"/>
  <c r="E176" i="99" s="1"/>
  <c r="AL175" i="99"/>
  <c r="AM175" i="99" s="1"/>
  <c r="AN175" i="99" s="1"/>
  <c r="AO175" i="99" s="1"/>
  <c r="AP175" i="99" s="1"/>
  <c r="AQ175" i="99" s="1"/>
  <c r="AR175" i="99" s="1"/>
  <c r="AS175" i="99" s="1"/>
  <c r="AT175" i="99" s="1"/>
  <c r="AU175" i="99" s="1"/>
  <c r="AV175" i="99" s="1"/>
  <c r="AW175" i="99" s="1"/>
  <c r="AX175" i="99" s="1"/>
  <c r="AY175" i="99" s="1"/>
  <c r="AZ175" i="99" s="1"/>
  <c r="BA175" i="99" s="1"/>
  <c r="BB175" i="99" s="1"/>
  <c r="BC175" i="99" s="1"/>
  <c r="BD175" i="99" s="1"/>
  <c r="BE175" i="99" s="1"/>
  <c r="BF175" i="99" s="1"/>
  <c r="AG175" i="99"/>
  <c r="AB175" i="99"/>
  <c r="P175" i="99"/>
  <c r="Q175" i="99" s="1"/>
  <c r="K175" i="99"/>
  <c r="D175" i="99"/>
  <c r="E175" i="99" s="1"/>
  <c r="F175" i="99" s="1"/>
  <c r="AL174" i="99"/>
  <c r="AM174" i="99" s="1"/>
  <c r="AN174" i="99" s="1"/>
  <c r="AO174" i="99" s="1"/>
  <c r="AP174" i="99" s="1"/>
  <c r="AQ174" i="99" s="1"/>
  <c r="AR174" i="99" s="1"/>
  <c r="AS174" i="99" s="1"/>
  <c r="AT174" i="99" s="1"/>
  <c r="AU174" i="99" s="1"/>
  <c r="AV174" i="99" s="1"/>
  <c r="AW174" i="99" s="1"/>
  <c r="AX174" i="99" s="1"/>
  <c r="AY174" i="99" s="1"/>
  <c r="AZ174" i="99" s="1"/>
  <c r="BA174" i="99" s="1"/>
  <c r="BB174" i="99" s="1"/>
  <c r="BC174" i="99" s="1"/>
  <c r="BD174" i="99" s="1"/>
  <c r="BE174" i="99" s="1"/>
  <c r="BF174" i="99" s="1"/>
  <c r="AG174" i="99"/>
  <c r="AB174" i="99"/>
  <c r="P174" i="99"/>
  <c r="Q174" i="99" s="1"/>
  <c r="R174" i="99" s="1"/>
  <c r="K174" i="99"/>
  <c r="L174" i="99" s="1"/>
  <c r="D174" i="99"/>
  <c r="E174" i="99" s="1"/>
  <c r="AL173" i="99"/>
  <c r="AM173" i="99" s="1"/>
  <c r="AN173" i="99" s="1"/>
  <c r="AO173" i="99" s="1"/>
  <c r="AP173" i="99" s="1"/>
  <c r="AQ173" i="99" s="1"/>
  <c r="AR173" i="99" s="1"/>
  <c r="AS173" i="99" s="1"/>
  <c r="AT173" i="99" s="1"/>
  <c r="AU173" i="99" s="1"/>
  <c r="AV173" i="99" s="1"/>
  <c r="AW173" i="99" s="1"/>
  <c r="AX173" i="99" s="1"/>
  <c r="AY173" i="99" s="1"/>
  <c r="AZ173" i="99" s="1"/>
  <c r="BA173" i="99" s="1"/>
  <c r="BB173" i="99" s="1"/>
  <c r="BC173" i="99" s="1"/>
  <c r="BD173" i="99" s="1"/>
  <c r="BE173" i="99" s="1"/>
  <c r="BF173" i="99" s="1"/>
  <c r="AG173" i="99"/>
  <c r="AB173" i="99"/>
  <c r="P173" i="99"/>
  <c r="Q173" i="99" s="1"/>
  <c r="R173" i="99" s="1"/>
  <c r="S173" i="99" s="1"/>
  <c r="K173" i="99"/>
  <c r="D173" i="99"/>
  <c r="E173" i="99" s="1"/>
  <c r="F173" i="99" s="1"/>
  <c r="AL172" i="99"/>
  <c r="AM172" i="99" s="1"/>
  <c r="AN172" i="99" s="1"/>
  <c r="AO172" i="99" s="1"/>
  <c r="AP172" i="99" s="1"/>
  <c r="AQ172" i="99" s="1"/>
  <c r="AR172" i="99" s="1"/>
  <c r="AS172" i="99" s="1"/>
  <c r="AT172" i="99" s="1"/>
  <c r="AU172" i="99" s="1"/>
  <c r="AV172" i="99" s="1"/>
  <c r="AW172" i="99" s="1"/>
  <c r="AX172" i="99" s="1"/>
  <c r="AY172" i="99" s="1"/>
  <c r="AZ172" i="99" s="1"/>
  <c r="BA172" i="99" s="1"/>
  <c r="BB172" i="99" s="1"/>
  <c r="BC172" i="99" s="1"/>
  <c r="BD172" i="99" s="1"/>
  <c r="BE172" i="99" s="1"/>
  <c r="BF172" i="99" s="1"/>
  <c r="AG172" i="99"/>
  <c r="AB172" i="99"/>
  <c r="P172" i="99"/>
  <c r="Q172" i="99" s="1"/>
  <c r="R172" i="99" s="1"/>
  <c r="S172" i="99" s="1"/>
  <c r="K172" i="99"/>
  <c r="L172" i="99" s="1"/>
  <c r="M172" i="99" s="1"/>
  <c r="D172" i="99"/>
  <c r="E172" i="99" s="1"/>
  <c r="AL171" i="99"/>
  <c r="AM171" i="99" s="1"/>
  <c r="AN171" i="99" s="1"/>
  <c r="AO171" i="99" s="1"/>
  <c r="AP171" i="99" s="1"/>
  <c r="AQ171" i="99" s="1"/>
  <c r="AR171" i="99" s="1"/>
  <c r="AS171" i="99" s="1"/>
  <c r="AT171" i="99" s="1"/>
  <c r="AU171" i="99" s="1"/>
  <c r="AV171" i="99" s="1"/>
  <c r="AW171" i="99" s="1"/>
  <c r="AX171" i="99" s="1"/>
  <c r="AY171" i="99" s="1"/>
  <c r="AZ171" i="99" s="1"/>
  <c r="BA171" i="99" s="1"/>
  <c r="BB171" i="99" s="1"/>
  <c r="BC171" i="99" s="1"/>
  <c r="BD171" i="99" s="1"/>
  <c r="BE171" i="99" s="1"/>
  <c r="BF171" i="99" s="1"/>
  <c r="AG171" i="99"/>
  <c r="AB171" i="99"/>
  <c r="P171" i="99"/>
  <c r="Q171" i="99" s="1"/>
  <c r="R171" i="99" s="1"/>
  <c r="K171" i="99"/>
  <c r="D171" i="99"/>
  <c r="E171" i="99" s="1"/>
  <c r="AL170" i="99"/>
  <c r="AM170" i="99" s="1"/>
  <c r="AN170" i="99" s="1"/>
  <c r="AO170" i="99" s="1"/>
  <c r="AP170" i="99" s="1"/>
  <c r="AQ170" i="99" s="1"/>
  <c r="AR170" i="99" s="1"/>
  <c r="AS170" i="99" s="1"/>
  <c r="AT170" i="99" s="1"/>
  <c r="AU170" i="99" s="1"/>
  <c r="AV170" i="99" s="1"/>
  <c r="AW170" i="99" s="1"/>
  <c r="AX170" i="99" s="1"/>
  <c r="AY170" i="99" s="1"/>
  <c r="AZ170" i="99" s="1"/>
  <c r="BA170" i="99" s="1"/>
  <c r="BB170" i="99" s="1"/>
  <c r="BC170" i="99" s="1"/>
  <c r="BD170" i="99" s="1"/>
  <c r="BE170" i="99" s="1"/>
  <c r="BF170" i="99" s="1"/>
  <c r="AG170" i="99"/>
  <c r="AB170" i="99"/>
  <c r="P170" i="99"/>
  <c r="Q170" i="99" s="1"/>
  <c r="K170" i="99"/>
  <c r="L170" i="99" s="1"/>
  <c r="M170" i="99" s="1"/>
  <c r="D170" i="99"/>
  <c r="E170" i="99" s="1"/>
  <c r="AL169" i="99"/>
  <c r="AM169" i="99" s="1"/>
  <c r="AN169" i="99" s="1"/>
  <c r="AO169" i="99" s="1"/>
  <c r="AP169" i="99" s="1"/>
  <c r="AQ169" i="99" s="1"/>
  <c r="AR169" i="99" s="1"/>
  <c r="AS169" i="99" s="1"/>
  <c r="AT169" i="99" s="1"/>
  <c r="AU169" i="99" s="1"/>
  <c r="AV169" i="99" s="1"/>
  <c r="AW169" i="99" s="1"/>
  <c r="AX169" i="99" s="1"/>
  <c r="AY169" i="99" s="1"/>
  <c r="AZ169" i="99" s="1"/>
  <c r="BA169" i="99" s="1"/>
  <c r="BB169" i="99" s="1"/>
  <c r="BC169" i="99" s="1"/>
  <c r="BD169" i="99" s="1"/>
  <c r="BE169" i="99" s="1"/>
  <c r="BF169" i="99" s="1"/>
  <c r="AG169" i="99"/>
  <c r="AB169" i="99"/>
  <c r="P169" i="99"/>
  <c r="K169" i="99"/>
  <c r="D169" i="99"/>
  <c r="AL168" i="99"/>
  <c r="AM168" i="99" s="1"/>
  <c r="AN168" i="99" s="1"/>
  <c r="AO168" i="99" s="1"/>
  <c r="AP168" i="99" s="1"/>
  <c r="AQ168" i="99" s="1"/>
  <c r="AR168" i="99" s="1"/>
  <c r="AS168" i="99" s="1"/>
  <c r="AT168" i="99" s="1"/>
  <c r="AU168" i="99" s="1"/>
  <c r="AV168" i="99" s="1"/>
  <c r="AW168" i="99" s="1"/>
  <c r="AX168" i="99" s="1"/>
  <c r="AY168" i="99" s="1"/>
  <c r="AZ168" i="99" s="1"/>
  <c r="BA168" i="99" s="1"/>
  <c r="BB168" i="99" s="1"/>
  <c r="BC168" i="99" s="1"/>
  <c r="BD168" i="99" s="1"/>
  <c r="BE168" i="99" s="1"/>
  <c r="BF168" i="99" s="1"/>
  <c r="AG168" i="99"/>
  <c r="AB168" i="99"/>
  <c r="P168" i="99"/>
  <c r="K168" i="99"/>
  <c r="L168" i="99" s="1"/>
  <c r="M168" i="99" s="1"/>
  <c r="D168" i="99"/>
  <c r="E168" i="99" s="1"/>
  <c r="F168" i="99" s="1"/>
  <c r="G168" i="99" s="1"/>
  <c r="AL167" i="99"/>
  <c r="AM167" i="99" s="1"/>
  <c r="AN167" i="99" s="1"/>
  <c r="AO167" i="99" s="1"/>
  <c r="AP167" i="99" s="1"/>
  <c r="AQ167" i="99" s="1"/>
  <c r="AR167" i="99" s="1"/>
  <c r="AS167" i="99" s="1"/>
  <c r="AT167" i="99" s="1"/>
  <c r="AU167" i="99" s="1"/>
  <c r="AV167" i="99" s="1"/>
  <c r="AW167" i="99" s="1"/>
  <c r="AX167" i="99" s="1"/>
  <c r="AY167" i="99" s="1"/>
  <c r="AZ167" i="99" s="1"/>
  <c r="BA167" i="99" s="1"/>
  <c r="BB167" i="99" s="1"/>
  <c r="BC167" i="99" s="1"/>
  <c r="BD167" i="99" s="1"/>
  <c r="BE167" i="99" s="1"/>
  <c r="BF167" i="99" s="1"/>
  <c r="AG167" i="99"/>
  <c r="AB167" i="99"/>
  <c r="P167" i="99"/>
  <c r="Q167" i="99" s="1"/>
  <c r="R167" i="99" s="1"/>
  <c r="K167" i="99"/>
  <c r="D167" i="99"/>
  <c r="E167" i="99" s="1"/>
  <c r="AL166" i="99"/>
  <c r="AM166" i="99" s="1"/>
  <c r="AN166" i="99" s="1"/>
  <c r="AO166" i="99" s="1"/>
  <c r="AP166" i="99" s="1"/>
  <c r="AQ166" i="99" s="1"/>
  <c r="AR166" i="99" s="1"/>
  <c r="AS166" i="99" s="1"/>
  <c r="AT166" i="99" s="1"/>
  <c r="AU166" i="99" s="1"/>
  <c r="AV166" i="99" s="1"/>
  <c r="AW166" i="99" s="1"/>
  <c r="AX166" i="99" s="1"/>
  <c r="AY166" i="99" s="1"/>
  <c r="AZ166" i="99" s="1"/>
  <c r="BA166" i="99" s="1"/>
  <c r="BB166" i="99" s="1"/>
  <c r="BC166" i="99" s="1"/>
  <c r="BD166" i="99" s="1"/>
  <c r="BE166" i="99" s="1"/>
  <c r="BF166" i="99" s="1"/>
  <c r="AG166" i="99"/>
  <c r="AB166" i="99"/>
  <c r="P166" i="99"/>
  <c r="K166" i="99"/>
  <c r="L166" i="99" s="1"/>
  <c r="D166" i="99"/>
  <c r="E166" i="99" s="1"/>
  <c r="AL165" i="99"/>
  <c r="AM165" i="99" s="1"/>
  <c r="AN165" i="99" s="1"/>
  <c r="AO165" i="99" s="1"/>
  <c r="AP165" i="99" s="1"/>
  <c r="AQ165" i="99" s="1"/>
  <c r="AR165" i="99" s="1"/>
  <c r="AS165" i="99" s="1"/>
  <c r="AT165" i="99" s="1"/>
  <c r="AU165" i="99" s="1"/>
  <c r="AV165" i="99" s="1"/>
  <c r="AW165" i="99" s="1"/>
  <c r="AX165" i="99" s="1"/>
  <c r="AY165" i="99" s="1"/>
  <c r="AZ165" i="99" s="1"/>
  <c r="BA165" i="99" s="1"/>
  <c r="BB165" i="99" s="1"/>
  <c r="BC165" i="99" s="1"/>
  <c r="BD165" i="99" s="1"/>
  <c r="BE165" i="99" s="1"/>
  <c r="BF165" i="99" s="1"/>
  <c r="AG165" i="99"/>
  <c r="AB165" i="99"/>
  <c r="P165" i="99"/>
  <c r="Q165" i="99" s="1"/>
  <c r="R165" i="99" s="1"/>
  <c r="S165" i="99" s="1"/>
  <c r="K165" i="99"/>
  <c r="L165" i="99" s="1"/>
  <c r="M165" i="99" s="1"/>
  <c r="N165" i="99" s="1"/>
  <c r="D165" i="99"/>
  <c r="E165" i="99" s="1"/>
  <c r="F165" i="99" s="1"/>
  <c r="AL164" i="99"/>
  <c r="AM164" i="99" s="1"/>
  <c r="AN164" i="99" s="1"/>
  <c r="AG164" i="99"/>
  <c r="AB164" i="99"/>
  <c r="P164" i="99"/>
  <c r="K164" i="99"/>
  <c r="D164" i="99"/>
  <c r="T160" i="99"/>
  <c r="O160" i="99"/>
  <c r="J160" i="99"/>
  <c r="C160" i="99"/>
  <c r="AL157" i="99"/>
  <c r="AM157" i="99" s="1"/>
  <c r="AN157" i="99" s="1"/>
  <c r="AO157" i="99" s="1"/>
  <c r="AP157" i="99" s="1"/>
  <c r="AQ157" i="99" s="1"/>
  <c r="AR157" i="99" s="1"/>
  <c r="AS157" i="99" s="1"/>
  <c r="AT157" i="99" s="1"/>
  <c r="AU157" i="99" s="1"/>
  <c r="AV157" i="99" s="1"/>
  <c r="AW157" i="99" s="1"/>
  <c r="AX157" i="99" s="1"/>
  <c r="AY157" i="99" s="1"/>
  <c r="AZ157" i="99" s="1"/>
  <c r="BA157" i="99" s="1"/>
  <c r="BB157" i="99" s="1"/>
  <c r="BC157" i="99" s="1"/>
  <c r="BD157" i="99" s="1"/>
  <c r="BE157" i="99" s="1"/>
  <c r="BF157" i="99" s="1"/>
  <c r="AG157" i="99"/>
  <c r="AB157" i="99"/>
  <c r="P157" i="99"/>
  <c r="Q157" i="99" s="1"/>
  <c r="K157" i="99"/>
  <c r="D157" i="99"/>
  <c r="E157" i="99" s="1"/>
  <c r="AL156" i="99"/>
  <c r="AM156" i="99" s="1"/>
  <c r="AN156" i="99" s="1"/>
  <c r="AO156" i="99" s="1"/>
  <c r="AP156" i="99" s="1"/>
  <c r="AQ156" i="99" s="1"/>
  <c r="AR156" i="99" s="1"/>
  <c r="AS156" i="99" s="1"/>
  <c r="AT156" i="99" s="1"/>
  <c r="AU156" i="99" s="1"/>
  <c r="AV156" i="99" s="1"/>
  <c r="AW156" i="99" s="1"/>
  <c r="AX156" i="99" s="1"/>
  <c r="AY156" i="99" s="1"/>
  <c r="AZ156" i="99" s="1"/>
  <c r="BA156" i="99" s="1"/>
  <c r="BB156" i="99" s="1"/>
  <c r="BC156" i="99" s="1"/>
  <c r="BD156" i="99" s="1"/>
  <c r="BE156" i="99" s="1"/>
  <c r="BF156" i="99" s="1"/>
  <c r="AG156" i="99"/>
  <c r="AB156" i="99"/>
  <c r="P156" i="99"/>
  <c r="Q156" i="99" s="1"/>
  <c r="K156" i="99"/>
  <c r="D156" i="99"/>
  <c r="E156" i="99" s="1"/>
  <c r="AL155" i="99"/>
  <c r="AM155" i="99" s="1"/>
  <c r="AN155" i="99" s="1"/>
  <c r="AO155" i="99" s="1"/>
  <c r="AP155" i="99" s="1"/>
  <c r="AQ155" i="99" s="1"/>
  <c r="AR155" i="99" s="1"/>
  <c r="AS155" i="99" s="1"/>
  <c r="AT155" i="99" s="1"/>
  <c r="AU155" i="99" s="1"/>
  <c r="AV155" i="99" s="1"/>
  <c r="AW155" i="99" s="1"/>
  <c r="AX155" i="99" s="1"/>
  <c r="AY155" i="99" s="1"/>
  <c r="AZ155" i="99" s="1"/>
  <c r="BA155" i="99" s="1"/>
  <c r="BB155" i="99" s="1"/>
  <c r="BC155" i="99" s="1"/>
  <c r="BD155" i="99" s="1"/>
  <c r="BE155" i="99" s="1"/>
  <c r="BF155" i="99" s="1"/>
  <c r="AG155" i="99"/>
  <c r="AB155" i="99"/>
  <c r="P155" i="99"/>
  <c r="K155" i="99"/>
  <c r="L155" i="99" s="1"/>
  <c r="D155" i="99"/>
  <c r="E155" i="99" s="1"/>
  <c r="AL154" i="99"/>
  <c r="AM154" i="99" s="1"/>
  <c r="AN154" i="99" s="1"/>
  <c r="AO154" i="99" s="1"/>
  <c r="AP154" i="99" s="1"/>
  <c r="AQ154" i="99" s="1"/>
  <c r="AR154" i="99" s="1"/>
  <c r="AS154" i="99" s="1"/>
  <c r="AT154" i="99" s="1"/>
  <c r="AU154" i="99" s="1"/>
  <c r="AV154" i="99" s="1"/>
  <c r="AW154" i="99" s="1"/>
  <c r="AX154" i="99" s="1"/>
  <c r="AY154" i="99" s="1"/>
  <c r="AZ154" i="99" s="1"/>
  <c r="BA154" i="99" s="1"/>
  <c r="BB154" i="99" s="1"/>
  <c r="BC154" i="99" s="1"/>
  <c r="BD154" i="99" s="1"/>
  <c r="BE154" i="99" s="1"/>
  <c r="BF154" i="99" s="1"/>
  <c r="AG154" i="99"/>
  <c r="AB154" i="99"/>
  <c r="P154" i="99"/>
  <c r="Q154" i="99" s="1"/>
  <c r="K154" i="99"/>
  <c r="D154" i="99"/>
  <c r="E154" i="99" s="1"/>
  <c r="AL153" i="99"/>
  <c r="AM153" i="99" s="1"/>
  <c r="AN153" i="99" s="1"/>
  <c r="AO153" i="99" s="1"/>
  <c r="AP153" i="99" s="1"/>
  <c r="AQ153" i="99" s="1"/>
  <c r="AR153" i="99" s="1"/>
  <c r="AS153" i="99" s="1"/>
  <c r="AT153" i="99" s="1"/>
  <c r="AU153" i="99" s="1"/>
  <c r="AV153" i="99" s="1"/>
  <c r="AW153" i="99" s="1"/>
  <c r="AX153" i="99" s="1"/>
  <c r="AY153" i="99" s="1"/>
  <c r="AZ153" i="99" s="1"/>
  <c r="BA153" i="99" s="1"/>
  <c r="BB153" i="99" s="1"/>
  <c r="BC153" i="99" s="1"/>
  <c r="BD153" i="99" s="1"/>
  <c r="BE153" i="99" s="1"/>
  <c r="BF153" i="99" s="1"/>
  <c r="AG153" i="99"/>
  <c r="AB153" i="99"/>
  <c r="P153" i="99"/>
  <c r="Q153" i="99" s="1"/>
  <c r="K153" i="99"/>
  <c r="D153" i="99"/>
  <c r="E153" i="99" s="1"/>
  <c r="AL152" i="99"/>
  <c r="AM152" i="99" s="1"/>
  <c r="AN152" i="99" s="1"/>
  <c r="AO152" i="99" s="1"/>
  <c r="AP152" i="99" s="1"/>
  <c r="AQ152" i="99" s="1"/>
  <c r="AR152" i="99" s="1"/>
  <c r="AS152" i="99" s="1"/>
  <c r="AT152" i="99" s="1"/>
  <c r="AU152" i="99" s="1"/>
  <c r="AV152" i="99" s="1"/>
  <c r="AW152" i="99" s="1"/>
  <c r="AX152" i="99" s="1"/>
  <c r="AY152" i="99" s="1"/>
  <c r="AZ152" i="99" s="1"/>
  <c r="BA152" i="99" s="1"/>
  <c r="BB152" i="99" s="1"/>
  <c r="BC152" i="99" s="1"/>
  <c r="BD152" i="99" s="1"/>
  <c r="BE152" i="99" s="1"/>
  <c r="BF152" i="99" s="1"/>
  <c r="AG152" i="99"/>
  <c r="AB152" i="99"/>
  <c r="P152" i="99"/>
  <c r="Q152" i="99" s="1"/>
  <c r="K152" i="99"/>
  <c r="D152" i="99"/>
  <c r="E152" i="99" s="1"/>
  <c r="AL151" i="99"/>
  <c r="AM151" i="99" s="1"/>
  <c r="AN151" i="99" s="1"/>
  <c r="AO151" i="99" s="1"/>
  <c r="AP151" i="99" s="1"/>
  <c r="AQ151" i="99" s="1"/>
  <c r="AR151" i="99" s="1"/>
  <c r="AS151" i="99" s="1"/>
  <c r="AT151" i="99" s="1"/>
  <c r="AU151" i="99" s="1"/>
  <c r="AV151" i="99" s="1"/>
  <c r="AW151" i="99" s="1"/>
  <c r="AX151" i="99" s="1"/>
  <c r="AY151" i="99" s="1"/>
  <c r="AZ151" i="99" s="1"/>
  <c r="BA151" i="99" s="1"/>
  <c r="BB151" i="99" s="1"/>
  <c r="BC151" i="99" s="1"/>
  <c r="BD151" i="99" s="1"/>
  <c r="BE151" i="99" s="1"/>
  <c r="BF151" i="99" s="1"/>
  <c r="AG151" i="99"/>
  <c r="AB151" i="99"/>
  <c r="P151" i="99"/>
  <c r="Q151" i="99" s="1"/>
  <c r="K151" i="99"/>
  <c r="D151" i="99"/>
  <c r="E151" i="99" s="1"/>
  <c r="AL150" i="99"/>
  <c r="AM150" i="99" s="1"/>
  <c r="AN150" i="99" s="1"/>
  <c r="AO150" i="99" s="1"/>
  <c r="AP150" i="99" s="1"/>
  <c r="AQ150" i="99" s="1"/>
  <c r="AR150" i="99" s="1"/>
  <c r="AS150" i="99" s="1"/>
  <c r="AT150" i="99" s="1"/>
  <c r="AU150" i="99" s="1"/>
  <c r="AV150" i="99" s="1"/>
  <c r="AW150" i="99" s="1"/>
  <c r="AX150" i="99" s="1"/>
  <c r="AY150" i="99" s="1"/>
  <c r="AZ150" i="99" s="1"/>
  <c r="BA150" i="99" s="1"/>
  <c r="BB150" i="99" s="1"/>
  <c r="BC150" i="99" s="1"/>
  <c r="BD150" i="99" s="1"/>
  <c r="BE150" i="99" s="1"/>
  <c r="BF150" i="99" s="1"/>
  <c r="AG150" i="99"/>
  <c r="AB150" i="99"/>
  <c r="P150" i="99"/>
  <c r="Q150" i="99" s="1"/>
  <c r="K150" i="99"/>
  <c r="D150" i="99"/>
  <c r="E150" i="99" s="1"/>
  <c r="AL149" i="99"/>
  <c r="AM149" i="99" s="1"/>
  <c r="AN149" i="99" s="1"/>
  <c r="AO149" i="99" s="1"/>
  <c r="AP149" i="99" s="1"/>
  <c r="AQ149" i="99" s="1"/>
  <c r="AR149" i="99" s="1"/>
  <c r="AS149" i="99" s="1"/>
  <c r="AT149" i="99" s="1"/>
  <c r="AU149" i="99" s="1"/>
  <c r="AV149" i="99" s="1"/>
  <c r="AW149" i="99" s="1"/>
  <c r="AX149" i="99" s="1"/>
  <c r="AY149" i="99" s="1"/>
  <c r="AZ149" i="99" s="1"/>
  <c r="BA149" i="99" s="1"/>
  <c r="BB149" i="99" s="1"/>
  <c r="BC149" i="99" s="1"/>
  <c r="BD149" i="99" s="1"/>
  <c r="BE149" i="99" s="1"/>
  <c r="BF149" i="99" s="1"/>
  <c r="AG149" i="99"/>
  <c r="AB149" i="99"/>
  <c r="P149" i="99"/>
  <c r="Q149" i="99" s="1"/>
  <c r="K149" i="99"/>
  <c r="D149" i="99"/>
  <c r="E149" i="99" s="1"/>
  <c r="AL148" i="99"/>
  <c r="AM148" i="99" s="1"/>
  <c r="AN148" i="99" s="1"/>
  <c r="AO148" i="99" s="1"/>
  <c r="AP148" i="99" s="1"/>
  <c r="AQ148" i="99" s="1"/>
  <c r="AR148" i="99" s="1"/>
  <c r="AS148" i="99" s="1"/>
  <c r="AT148" i="99" s="1"/>
  <c r="AU148" i="99" s="1"/>
  <c r="AV148" i="99" s="1"/>
  <c r="AW148" i="99" s="1"/>
  <c r="AX148" i="99" s="1"/>
  <c r="AY148" i="99" s="1"/>
  <c r="AZ148" i="99" s="1"/>
  <c r="BA148" i="99" s="1"/>
  <c r="BB148" i="99" s="1"/>
  <c r="BC148" i="99" s="1"/>
  <c r="BD148" i="99" s="1"/>
  <c r="BE148" i="99" s="1"/>
  <c r="BF148" i="99" s="1"/>
  <c r="AG148" i="99"/>
  <c r="AB148" i="99"/>
  <c r="P148" i="99"/>
  <c r="Q148" i="99" s="1"/>
  <c r="K148" i="99"/>
  <c r="D148" i="99"/>
  <c r="E148" i="99" s="1"/>
  <c r="AL147" i="99"/>
  <c r="AM147" i="99" s="1"/>
  <c r="AN147" i="99" s="1"/>
  <c r="AO147" i="99" s="1"/>
  <c r="AP147" i="99" s="1"/>
  <c r="AQ147" i="99" s="1"/>
  <c r="AR147" i="99" s="1"/>
  <c r="AS147" i="99" s="1"/>
  <c r="AT147" i="99" s="1"/>
  <c r="AU147" i="99" s="1"/>
  <c r="AV147" i="99" s="1"/>
  <c r="AW147" i="99" s="1"/>
  <c r="AX147" i="99" s="1"/>
  <c r="AY147" i="99" s="1"/>
  <c r="AZ147" i="99" s="1"/>
  <c r="BA147" i="99" s="1"/>
  <c r="BB147" i="99" s="1"/>
  <c r="BC147" i="99" s="1"/>
  <c r="BD147" i="99" s="1"/>
  <c r="BE147" i="99" s="1"/>
  <c r="BF147" i="99" s="1"/>
  <c r="AG147" i="99"/>
  <c r="AB147" i="99"/>
  <c r="P147" i="99"/>
  <c r="Q147" i="99" s="1"/>
  <c r="K147" i="99"/>
  <c r="D147" i="99"/>
  <c r="E147" i="99" s="1"/>
  <c r="AL146" i="99"/>
  <c r="AM146" i="99" s="1"/>
  <c r="AN146" i="99" s="1"/>
  <c r="AO146" i="99" s="1"/>
  <c r="AP146" i="99" s="1"/>
  <c r="AQ146" i="99" s="1"/>
  <c r="AR146" i="99" s="1"/>
  <c r="AS146" i="99" s="1"/>
  <c r="AT146" i="99" s="1"/>
  <c r="AU146" i="99" s="1"/>
  <c r="AV146" i="99" s="1"/>
  <c r="AW146" i="99" s="1"/>
  <c r="AX146" i="99" s="1"/>
  <c r="AY146" i="99" s="1"/>
  <c r="AZ146" i="99" s="1"/>
  <c r="BA146" i="99" s="1"/>
  <c r="BB146" i="99" s="1"/>
  <c r="BC146" i="99" s="1"/>
  <c r="BD146" i="99" s="1"/>
  <c r="BE146" i="99" s="1"/>
  <c r="BF146" i="99" s="1"/>
  <c r="AG146" i="99"/>
  <c r="AB146" i="99"/>
  <c r="P146" i="99"/>
  <c r="Q146" i="99" s="1"/>
  <c r="R146" i="99" s="1"/>
  <c r="K146" i="99"/>
  <c r="L146" i="99" s="1"/>
  <c r="M146" i="99" s="1"/>
  <c r="N146" i="99" s="1"/>
  <c r="D146" i="99"/>
  <c r="E146" i="99" s="1"/>
  <c r="AL145" i="99"/>
  <c r="AM145" i="99" s="1"/>
  <c r="AN145" i="99" s="1"/>
  <c r="AO145" i="99" s="1"/>
  <c r="AP145" i="99" s="1"/>
  <c r="AQ145" i="99" s="1"/>
  <c r="AR145" i="99" s="1"/>
  <c r="AS145" i="99" s="1"/>
  <c r="AT145" i="99" s="1"/>
  <c r="AU145" i="99" s="1"/>
  <c r="AV145" i="99" s="1"/>
  <c r="AW145" i="99" s="1"/>
  <c r="AX145" i="99" s="1"/>
  <c r="AY145" i="99" s="1"/>
  <c r="AZ145" i="99" s="1"/>
  <c r="BA145" i="99" s="1"/>
  <c r="BB145" i="99" s="1"/>
  <c r="BC145" i="99" s="1"/>
  <c r="BD145" i="99" s="1"/>
  <c r="BE145" i="99" s="1"/>
  <c r="BF145" i="99" s="1"/>
  <c r="AG145" i="99"/>
  <c r="AB145" i="99"/>
  <c r="P145" i="99"/>
  <c r="Q145" i="99" s="1"/>
  <c r="K145" i="99"/>
  <c r="D145" i="99"/>
  <c r="E145" i="99" s="1"/>
  <c r="AL144" i="99"/>
  <c r="AM144" i="99" s="1"/>
  <c r="AN144" i="99" s="1"/>
  <c r="AO144" i="99" s="1"/>
  <c r="AP144" i="99" s="1"/>
  <c r="AQ144" i="99" s="1"/>
  <c r="AR144" i="99" s="1"/>
  <c r="AS144" i="99" s="1"/>
  <c r="AT144" i="99" s="1"/>
  <c r="AU144" i="99" s="1"/>
  <c r="AV144" i="99" s="1"/>
  <c r="AW144" i="99" s="1"/>
  <c r="AX144" i="99" s="1"/>
  <c r="AY144" i="99" s="1"/>
  <c r="AZ144" i="99" s="1"/>
  <c r="BA144" i="99" s="1"/>
  <c r="BB144" i="99" s="1"/>
  <c r="BC144" i="99" s="1"/>
  <c r="BD144" i="99" s="1"/>
  <c r="BE144" i="99" s="1"/>
  <c r="BF144" i="99" s="1"/>
  <c r="AG144" i="99"/>
  <c r="AB144" i="99"/>
  <c r="P144" i="99"/>
  <c r="Q144" i="99" s="1"/>
  <c r="R144" i="99" s="1"/>
  <c r="K144" i="99"/>
  <c r="D144" i="99"/>
  <c r="E144" i="99" s="1"/>
  <c r="AL143" i="99"/>
  <c r="AM143" i="99" s="1"/>
  <c r="AN143" i="99" s="1"/>
  <c r="AO143" i="99" s="1"/>
  <c r="AP143" i="99" s="1"/>
  <c r="AQ143" i="99" s="1"/>
  <c r="AR143" i="99" s="1"/>
  <c r="AS143" i="99" s="1"/>
  <c r="AT143" i="99" s="1"/>
  <c r="AU143" i="99" s="1"/>
  <c r="AV143" i="99" s="1"/>
  <c r="AW143" i="99" s="1"/>
  <c r="AX143" i="99" s="1"/>
  <c r="AY143" i="99" s="1"/>
  <c r="AZ143" i="99" s="1"/>
  <c r="BA143" i="99" s="1"/>
  <c r="BB143" i="99" s="1"/>
  <c r="BC143" i="99" s="1"/>
  <c r="BD143" i="99" s="1"/>
  <c r="BE143" i="99" s="1"/>
  <c r="BF143" i="99" s="1"/>
  <c r="AG143" i="99"/>
  <c r="AB143" i="99"/>
  <c r="P143" i="99"/>
  <c r="Q143" i="99" s="1"/>
  <c r="K143" i="99"/>
  <c r="D143" i="99"/>
  <c r="E143" i="99" s="1"/>
  <c r="AL142" i="99"/>
  <c r="AM142" i="99" s="1"/>
  <c r="AN142" i="99" s="1"/>
  <c r="AO142" i="99" s="1"/>
  <c r="AP142" i="99" s="1"/>
  <c r="AQ142" i="99" s="1"/>
  <c r="AR142" i="99" s="1"/>
  <c r="AS142" i="99" s="1"/>
  <c r="AT142" i="99" s="1"/>
  <c r="AU142" i="99" s="1"/>
  <c r="AV142" i="99" s="1"/>
  <c r="AW142" i="99" s="1"/>
  <c r="AX142" i="99" s="1"/>
  <c r="AY142" i="99" s="1"/>
  <c r="AZ142" i="99" s="1"/>
  <c r="BA142" i="99" s="1"/>
  <c r="BB142" i="99" s="1"/>
  <c r="BC142" i="99" s="1"/>
  <c r="BD142" i="99" s="1"/>
  <c r="BE142" i="99" s="1"/>
  <c r="BF142" i="99" s="1"/>
  <c r="AG142" i="99"/>
  <c r="AB142" i="99"/>
  <c r="P142" i="99"/>
  <c r="Q142" i="99" s="1"/>
  <c r="R142" i="99" s="1"/>
  <c r="K142" i="99"/>
  <c r="D142" i="99"/>
  <c r="E142" i="99" s="1"/>
  <c r="AL141" i="99"/>
  <c r="AM141" i="99" s="1"/>
  <c r="AN141" i="99" s="1"/>
  <c r="AO141" i="99" s="1"/>
  <c r="AP141" i="99" s="1"/>
  <c r="AQ141" i="99" s="1"/>
  <c r="AR141" i="99" s="1"/>
  <c r="AS141" i="99" s="1"/>
  <c r="AT141" i="99" s="1"/>
  <c r="AU141" i="99" s="1"/>
  <c r="AV141" i="99" s="1"/>
  <c r="AW141" i="99" s="1"/>
  <c r="AX141" i="99" s="1"/>
  <c r="AY141" i="99" s="1"/>
  <c r="AZ141" i="99" s="1"/>
  <c r="BA141" i="99" s="1"/>
  <c r="BB141" i="99" s="1"/>
  <c r="BC141" i="99" s="1"/>
  <c r="BD141" i="99" s="1"/>
  <c r="BE141" i="99" s="1"/>
  <c r="BF141" i="99" s="1"/>
  <c r="AG141" i="99"/>
  <c r="AB141" i="99"/>
  <c r="P141" i="99"/>
  <c r="Q141" i="99" s="1"/>
  <c r="K141" i="99"/>
  <c r="L141" i="99" s="1"/>
  <c r="D141" i="99"/>
  <c r="E141" i="99" s="1"/>
  <c r="AL140" i="99"/>
  <c r="AM140" i="99" s="1"/>
  <c r="AN140" i="99" s="1"/>
  <c r="AO140" i="99" s="1"/>
  <c r="AP140" i="99" s="1"/>
  <c r="AQ140" i="99" s="1"/>
  <c r="AR140" i="99" s="1"/>
  <c r="AS140" i="99" s="1"/>
  <c r="AT140" i="99" s="1"/>
  <c r="AU140" i="99" s="1"/>
  <c r="AV140" i="99" s="1"/>
  <c r="AW140" i="99" s="1"/>
  <c r="AX140" i="99" s="1"/>
  <c r="AY140" i="99" s="1"/>
  <c r="AZ140" i="99" s="1"/>
  <c r="BA140" i="99" s="1"/>
  <c r="BB140" i="99" s="1"/>
  <c r="BC140" i="99" s="1"/>
  <c r="BD140" i="99" s="1"/>
  <c r="BE140" i="99" s="1"/>
  <c r="BF140" i="99" s="1"/>
  <c r="AG140" i="99"/>
  <c r="AB140" i="99"/>
  <c r="P140" i="99"/>
  <c r="Q140" i="99" s="1"/>
  <c r="R140" i="99" s="1"/>
  <c r="K140" i="99"/>
  <c r="L140" i="99" s="1"/>
  <c r="M140" i="99" s="1"/>
  <c r="N140" i="99" s="1"/>
  <c r="D140" i="99"/>
  <c r="E140" i="99" s="1"/>
  <c r="AL139" i="99"/>
  <c r="AM139" i="99" s="1"/>
  <c r="AN139" i="99" s="1"/>
  <c r="AO139" i="99" s="1"/>
  <c r="AP139" i="99" s="1"/>
  <c r="AQ139" i="99" s="1"/>
  <c r="AR139" i="99" s="1"/>
  <c r="AS139" i="99" s="1"/>
  <c r="AT139" i="99" s="1"/>
  <c r="AU139" i="99" s="1"/>
  <c r="AV139" i="99" s="1"/>
  <c r="AW139" i="99" s="1"/>
  <c r="AX139" i="99" s="1"/>
  <c r="AY139" i="99" s="1"/>
  <c r="AZ139" i="99" s="1"/>
  <c r="BA139" i="99" s="1"/>
  <c r="BB139" i="99" s="1"/>
  <c r="BC139" i="99" s="1"/>
  <c r="BD139" i="99" s="1"/>
  <c r="BE139" i="99" s="1"/>
  <c r="BF139" i="99" s="1"/>
  <c r="AG139" i="99"/>
  <c r="AB139" i="99"/>
  <c r="P139" i="99"/>
  <c r="Q139" i="99" s="1"/>
  <c r="K139" i="99"/>
  <c r="D139" i="99"/>
  <c r="E139" i="99" s="1"/>
  <c r="AL138" i="99"/>
  <c r="AM138" i="99" s="1"/>
  <c r="AN138" i="99" s="1"/>
  <c r="AO138" i="99" s="1"/>
  <c r="AP138" i="99" s="1"/>
  <c r="AQ138" i="99" s="1"/>
  <c r="AR138" i="99" s="1"/>
  <c r="AS138" i="99" s="1"/>
  <c r="AT138" i="99" s="1"/>
  <c r="AU138" i="99" s="1"/>
  <c r="AV138" i="99" s="1"/>
  <c r="AW138" i="99" s="1"/>
  <c r="AX138" i="99" s="1"/>
  <c r="AY138" i="99" s="1"/>
  <c r="AZ138" i="99" s="1"/>
  <c r="BA138" i="99" s="1"/>
  <c r="BB138" i="99" s="1"/>
  <c r="BC138" i="99" s="1"/>
  <c r="BD138" i="99" s="1"/>
  <c r="BE138" i="99" s="1"/>
  <c r="BF138" i="99" s="1"/>
  <c r="AG138" i="99"/>
  <c r="AB138" i="99"/>
  <c r="P138" i="99"/>
  <c r="K138" i="99"/>
  <c r="L138" i="99" s="1"/>
  <c r="M138" i="99" s="1"/>
  <c r="D138" i="99"/>
  <c r="E138" i="99" s="1"/>
  <c r="AL137" i="99"/>
  <c r="AM137" i="99" s="1"/>
  <c r="AN137" i="99" s="1"/>
  <c r="AO137" i="99" s="1"/>
  <c r="AP137" i="99" s="1"/>
  <c r="AQ137" i="99" s="1"/>
  <c r="AR137" i="99" s="1"/>
  <c r="AS137" i="99" s="1"/>
  <c r="AT137" i="99" s="1"/>
  <c r="AU137" i="99" s="1"/>
  <c r="AV137" i="99" s="1"/>
  <c r="AW137" i="99" s="1"/>
  <c r="AX137" i="99" s="1"/>
  <c r="AY137" i="99" s="1"/>
  <c r="AZ137" i="99" s="1"/>
  <c r="BA137" i="99" s="1"/>
  <c r="BB137" i="99" s="1"/>
  <c r="BC137" i="99" s="1"/>
  <c r="BD137" i="99" s="1"/>
  <c r="BE137" i="99" s="1"/>
  <c r="BF137" i="99" s="1"/>
  <c r="AG137" i="99"/>
  <c r="AB137" i="99"/>
  <c r="P137" i="99"/>
  <c r="Q137" i="99" s="1"/>
  <c r="K137" i="99"/>
  <c r="D137" i="99"/>
  <c r="E137" i="99" s="1"/>
  <c r="AL136" i="99"/>
  <c r="AM136" i="99" s="1"/>
  <c r="AN136" i="99" s="1"/>
  <c r="AO136" i="99" s="1"/>
  <c r="AP136" i="99" s="1"/>
  <c r="AQ136" i="99" s="1"/>
  <c r="AR136" i="99" s="1"/>
  <c r="AS136" i="99" s="1"/>
  <c r="AT136" i="99" s="1"/>
  <c r="AU136" i="99" s="1"/>
  <c r="AV136" i="99" s="1"/>
  <c r="AW136" i="99" s="1"/>
  <c r="AX136" i="99" s="1"/>
  <c r="AY136" i="99" s="1"/>
  <c r="AZ136" i="99" s="1"/>
  <c r="BA136" i="99" s="1"/>
  <c r="BB136" i="99" s="1"/>
  <c r="BC136" i="99" s="1"/>
  <c r="BD136" i="99" s="1"/>
  <c r="BE136" i="99" s="1"/>
  <c r="BF136" i="99" s="1"/>
  <c r="AG136" i="99"/>
  <c r="AB136" i="99"/>
  <c r="P136" i="99"/>
  <c r="Q136" i="99" s="1"/>
  <c r="K136" i="99"/>
  <c r="D136" i="99"/>
  <c r="E136" i="99" s="1"/>
  <c r="AL135" i="99"/>
  <c r="AM135" i="99" s="1"/>
  <c r="AN135" i="99" s="1"/>
  <c r="AO135" i="99" s="1"/>
  <c r="AP135" i="99" s="1"/>
  <c r="AQ135" i="99" s="1"/>
  <c r="AR135" i="99" s="1"/>
  <c r="AS135" i="99" s="1"/>
  <c r="AT135" i="99" s="1"/>
  <c r="AU135" i="99" s="1"/>
  <c r="AV135" i="99" s="1"/>
  <c r="AW135" i="99" s="1"/>
  <c r="AX135" i="99" s="1"/>
  <c r="AY135" i="99" s="1"/>
  <c r="AZ135" i="99" s="1"/>
  <c r="BA135" i="99" s="1"/>
  <c r="BB135" i="99" s="1"/>
  <c r="BC135" i="99" s="1"/>
  <c r="BD135" i="99" s="1"/>
  <c r="BE135" i="99" s="1"/>
  <c r="BF135" i="99" s="1"/>
  <c r="AG135" i="99"/>
  <c r="AB135" i="99"/>
  <c r="P135" i="99"/>
  <c r="Q135" i="99" s="1"/>
  <c r="K135" i="99"/>
  <c r="D135" i="99"/>
  <c r="E135" i="99" s="1"/>
  <c r="AL134" i="99"/>
  <c r="AM134" i="99" s="1"/>
  <c r="AN134" i="99" s="1"/>
  <c r="AO134" i="99" s="1"/>
  <c r="AP134" i="99" s="1"/>
  <c r="AQ134" i="99" s="1"/>
  <c r="AR134" i="99" s="1"/>
  <c r="AS134" i="99" s="1"/>
  <c r="AT134" i="99" s="1"/>
  <c r="AU134" i="99" s="1"/>
  <c r="AV134" i="99" s="1"/>
  <c r="AW134" i="99" s="1"/>
  <c r="AX134" i="99" s="1"/>
  <c r="AY134" i="99" s="1"/>
  <c r="AZ134" i="99" s="1"/>
  <c r="BA134" i="99" s="1"/>
  <c r="BB134" i="99" s="1"/>
  <c r="BC134" i="99" s="1"/>
  <c r="BD134" i="99" s="1"/>
  <c r="BE134" i="99" s="1"/>
  <c r="BF134" i="99" s="1"/>
  <c r="AG134" i="99"/>
  <c r="AB134" i="99"/>
  <c r="P134" i="99"/>
  <c r="Q134" i="99" s="1"/>
  <c r="K134" i="99"/>
  <c r="D134" i="99"/>
  <c r="E134" i="99" s="1"/>
  <c r="AL133" i="99"/>
  <c r="AM133" i="99" s="1"/>
  <c r="AN133" i="99" s="1"/>
  <c r="AO133" i="99" s="1"/>
  <c r="AP133" i="99" s="1"/>
  <c r="AQ133" i="99" s="1"/>
  <c r="AR133" i="99" s="1"/>
  <c r="AS133" i="99" s="1"/>
  <c r="AT133" i="99" s="1"/>
  <c r="AU133" i="99" s="1"/>
  <c r="AV133" i="99" s="1"/>
  <c r="AW133" i="99" s="1"/>
  <c r="AX133" i="99" s="1"/>
  <c r="AY133" i="99" s="1"/>
  <c r="AZ133" i="99" s="1"/>
  <c r="BA133" i="99" s="1"/>
  <c r="BB133" i="99" s="1"/>
  <c r="BC133" i="99" s="1"/>
  <c r="BD133" i="99" s="1"/>
  <c r="BE133" i="99" s="1"/>
  <c r="BF133" i="99" s="1"/>
  <c r="AG133" i="99"/>
  <c r="AB133" i="99"/>
  <c r="P133" i="99"/>
  <c r="K133" i="99"/>
  <c r="L133" i="99" s="1"/>
  <c r="D133" i="99"/>
  <c r="E133" i="99" s="1"/>
  <c r="AL132" i="99"/>
  <c r="AM132" i="99" s="1"/>
  <c r="AN132" i="99" s="1"/>
  <c r="AO132" i="99" s="1"/>
  <c r="AP132" i="99" s="1"/>
  <c r="AQ132" i="99" s="1"/>
  <c r="AR132" i="99" s="1"/>
  <c r="AS132" i="99" s="1"/>
  <c r="AT132" i="99" s="1"/>
  <c r="AU132" i="99" s="1"/>
  <c r="AV132" i="99" s="1"/>
  <c r="AW132" i="99" s="1"/>
  <c r="AX132" i="99" s="1"/>
  <c r="AY132" i="99" s="1"/>
  <c r="AZ132" i="99" s="1"/>
  <c r="BA132" i="99" s="1"/>
  <c r="BB132" i="99" s="1"/>
  <c r="BC132" i="99" s="1"/>
  <c r="BD132" i="99" s="1"/>
  <c r="BE132" i="99" s="1"/>
  <c r="BF132" i="99" s="1"/>
  <c r="AG132" i="99"/>
  <c r="AB132" i="99"/>
  <c r="P132" i="99"/>
  <c r="Q132" i="99" s="1"/>
  <c r="R132" i="99" s="1"/>
  <c r="S132" i="99" s="1"/>
  <c r="K132" i="99"/>
  <c r="D132" i="99"/>
  <c r="E132" i="99" s="1"/>
  <c r="AL131" i="99"/>
  <c r="AM131" i="99" s="1"/>
  <c r="AN131" i="99" s="1"/>
  <c r="AO131" i="99" s="1"/>
  <c r="AP131" i="99" s="1"/>
  <c r="AQ131" i="99" s="1"/>
  <c r="AR131" i="99" s="1"/>
  <c r="AS131" i="99" s="1"/>
  <c r="AT131" i="99" s="1"/>
  <c r="AU131" i="99" s="1"/>
  <c r="AV131" i="99" s="1"/>
  <c r="AW131" i="99" s="1"/>
  <c r="AX131" i="99" s="1"/>
  <c r="AY131" i="99" s="1"/>
  <c r="AZ131" i="99" s="1"/>
  <c r="BA131" i="99" s="1"/>
  <c r="BB131" i="99" s="1"/>
  <c r="BC131" i="99" s="1"/>
  <c r="BD131" i="99" s="1"/>
  <c r="BE131" i="99" s="1"/>
  <c r="BF131" i="99" s="1"/>
  <c r="AG131" i="99"/>
  <c r="AB131" i="99"/>
  <c r="P131" i="99"/>
  <c r="K131" i="99"/>
  <c r="L131" i="99" s="1"/>
  <c r="D131" i="99"/>
  <c r="E131" i="99" s="1"/>
  <c r="AL130" i="99"/>
  <c r="AM130" i="99" s="1"/>
  <c r="AN130" i="99" s="1"/>
  <c r="AO130" i="99" s="1"/>
  <c r="AP130" i="99" s="1"/>
  <c r="AQ130" i="99" s="1"/>
  <c r="AR130" i="99" s="1"/>
  <c r="AS130" i="99" s="1"/>
  <c r="AT130" i="99" s="1"/>
  <c r="AU130" i="99" s="1"/>
  <c r="AV130" i="99" s="1"/>
  <c r="AW130" i="99" s="1"/>
  <c r="AX130" i="99" s="1"/>
  <c r="AY130" i="99" s="1"/>
  <c r="AZ130" i="99" s="1"/>
  <c r="BA130" i="99" s="1"/>
  <c r="BB130" i="99" s="1"/>
  <c r="BC130" i="99" s="1"/>
  <c r="BD130" i="99" s="1"/>
  <c r="BE130" i="99" s="1"/>
  <c r="BF130" i="99" s="1"/>
  <c r="AG130" i="99"/>
  <c r="AB130" i="99"/>
  <c r="P130" i="99"/>
  <c r="K130" i="99"/>
  <c r="D130" i="99"/>
  <c r="AL129" i="99"/>
  <c r="AM129" i="99" s="1"/>
  <c r="AN129" i="99" s="1"/>
  <c r="AO129" i="99" s="1"/>
  <c r="AP129" i="99" s="1"/>
  <c r="AQ129" i="99" s="1"/>
  <c r="AR129" i="99" s="1"/>
  <c r="AS129" i="99" s="1"/>
  <c r="AT129" i="99" s="1"/>
  <c r="AU129" i="99" s="1"/>
  <c r="AV129" i="99" s="1"/>
  <c r="AW129" i="99" s="1"/>
  <c r="AX129" i="99" s="1"/>
  <c r="AY129" i="99" s="1"/>
  <c r="AZ129" i="99" s="1"/>
  <c r="BA129" i="99" s="1"/>
  <c r="BB129" i="99" s="1"/>
  <c r="BC129" i="99" s="1"/>
  <c r="BD129" i="99" s="1"/>
  <c r="BE129" i="99" s="1"/>
  <c r="BF129" i="99" s="1"/>
  <c r="AG129" i="99"/>
  <c r="AB129" i="99"/>
  <c r="P129" i="99"/>
  <c r="Q129" i="99" s="1"/>
  <c r="K129" i="99"/>
  <c r="D129" i="99"/>
  <c r="E129" i="99" s="1"/>
  <c r="AL128" i="99"/>
  <c r="AM128" i="99" s="1"/>
  <c r="AN128" i="99" s="1"/>
  <c r="AO128" i="99" s="1"/>
  <c r="AP128" i="99" s="1"/>
  <c r="AQ128" i="99" s="1"/>
  <c r="AR128" i="99" s="1"/>
  <c r="AS128" i="99" s="1"/>
  <c r="AT128" i="99" s="1"/>
  <c r="AU128" i="99" s="1"/>
  <c r="AV128" i="99" s="1"/>
  <c r="AW128" i="99" s="1"/>
  <c r="AX128" i="99" s="1"/>
  <c r="AY128" i="99" s="1"/>
  <c r="AZ128" i="99" s="1"/>
  <c r="BA128" i="99" s="1"/>
  <c r="BB128" i="99" s="1"/>
  <c r="BC128" i="99" s="1"/>
  <c r="BD128" i="99" s="1"/>
  <c r="BE128" i="99" s="1"/>
  <c r="BF128" i="99" s="1"/>
  <c r="AG128" i="99"/>
  <c r="AB128" i="99"/>
  <c r="P128" i="99"/>
  <c r="Q128" i="99" s="1"/>
  <c r="K128" i="99"/>
  <c r="D128" i="99"/>
  <c r="E128" i="99" s="1"/>
  <c r="AL127" i="99"/>
  <c r="AM127" i="99" s="1"/>
  <c r="AN127" i="99" s="1"/>
  <c r="AO127" i="99" s="1"/>
  <c r="AP127" i="99" s="1"/>
  <c r="AQ127" i="99" s="1"/>
  <c r="AR127" i="99" s="1"/>
  <c r="AS127" i="99" s="1"/>
  <c r="AT127" i="99" s="1"/>
  <c r="AU127" i="99" s="1"/>
  <c r="AV127" i="99" s="1"/>
  <c r="AW127" i="99" s="1"/>
  <c r="AX127" i="99" s="1"/>
  <c r="AY127" i="99" s="1"/>
  <c r="AZ127" i="99" s="1"/>
  <c r="BA127" i="99" s="1"/>
  <c r="BB127" i="99" s="1"/>
  <c r="BC127" i="99" s="1"/>
  <c r="BD127" i="99" s="1"/>
  <c r="BE127" i="99" s="1"/>
  <c r="BF127" i="99" s="1"/>
  <c r="AG127" i="99"/>
  <c r="AB127" i="99"/>
  <c r="P127" i="99"/>
  <c r="Q127" i="99" s="1"/>
  <c r="K127" i="99"/>
  <c r="D127" i="99"/>
  <c r="E127" i="99" s="1"/>
  <c r="AL126" i="99"/>
  <c r="AM126" i="99" s="1"/>
  <c r="AN126" i="99" s="1"/>
  <c r="AO126" i="99" s="1"/>
  <c r="AP126" i="99" s="1"/>
  <c r="AQ126" i="99" s="1"/>
  <c r="AR126" i="99" s="1"/>
  <c r="AS126" i="99" s="1"/>
  <c r="AT126" i="99" s="1"/>
  <c r="AU126" i="99" s="1"/>
  <c r="AV126" i="99" s="1"/>
  <c r="AW126" i="99" s="1"/>
  <c r="AX126" i="99" s="1"/>
  <c r="AY126" i="99" s="1"/>
  <c r="AZ126" i="99" s="1"/>
  <c r="BA126" i="99" s="1"/>
  <c r="BB126" i="99" s="1"/>
  <c r="BC126" i="99" s="1"/>
  <c r="BD126" i="99" s="1"/>
  <c r="BE126" i="99" s="1"/>
  <c r="BF126" i="99" s="1"/>
  <c r="AG126" i="99"/>
  <c r="AB126" i="99"/>
  <c r="P126" i="99"/>
  <c r="Q126" i="99" s="1"/>
  <c r="K126" i="99"/>
  <c r="D126" i="99"/>
  <c r="E126" i="99" s="1"/>
  <c r="AL125" i="99"/>
  <c r="AM125" i="99" s="1"/>
  <c r="AN125" i="99" s="1"/>
  <c r="AG125" i="99"/>
  <c r="AB125" i="99"/>
  <c r="P125" i="99"/>
  <c r="K125" i="99"/>
  <c r="D125" i="99"/>
  <c r="T121" i="99"/>
  <c r="O121" i="99"/>
  <c r="J121" i="99"/>
  <c r="C121" i="99"/>
  <c r="AL118" i="99"/>
  <c r="AM118" i="99" s="1"/>
  <c r="AN118" i="99" s="1"/>
  <c r="AO118" i="99" s="1"/>
  <c r="AP118" i="99" s="1"/>
  <c r="AQ118" i="99" s="1"/>
  <c r="AR118" i="99" s="1"/>
  <c r="AS118" i="99" s="1"/>
  <c r="AT118" i="99" s="1"/>
  <c r="AU118" i="99" s="1"/>
  <c r="AV118" i="99" s="1"/>
  <c r="AW118" i="99" s="1"/>
  <c r="AX118" i="99" s="1"/>
  <c r="AY118" i="99" s="1"/>
  <c r="AZ118" i="99" s="1"/>
  <c r="BA118" i="99" s="1"/>
  <c r="BB118" i="99" s="1"/>
  <c r="BC118" i="99" s="1"/>
  <c r="BD118" i="99" s="1"/>
  <c r="BE118" i="99" s="1"/>
  <c r="BF118" i="99" s="1"/>
  <c r="AG118" i="99"/>
  <c r="AB118" i="99"/>
  <c r="P118" i="99"/>
  <c r="Q118" i="99" s="1"/>
  <c r="K118" i="99"/>
  <c r="L118" i="99" s="1"/>
  <c r="D118" i="99"/>
  <c r="E118" i="99" s="1"/>
  <c r="F118" i="99" s="1"/>
  <c r="G118" i="99" s="1"/>
  <c r="AL117" i="99"/>
  <c r="AM117" i="99" s="1"/>
  <c r="AN117" i="99" s="1"/>
  <c r="AO117" i="99" s="1"/>
  <c r="AP117" i="99" s="1"/>
  <c r="AQ117" i="99" s="1"/>
  <c r="AR117" i="99" s="1"/>
  <c r="AS117" i="99" s="1"/>
  <c r="AT117" i="99" s="1"/>
  <c r="AU117" i="99" s="1"/>
  <c r="AV117" i="99" s="1"/>
  <c r="AW117" i="99" s="1"/>
  <c r="AX117" i="99" s="1"/>
  <c r="AY117" i="99" s="1"/>
  <c r="AZ117" i="99" s="1"/>
  <c r="BA117" i="99" s="1"/>
  <c r="BB117" i="99" s="1"/>
  <c r="BC117" i="99" s="1"/>
  <c r="BD117" i="99" s="1"/>
  <c r="BE117" i="99" s="1"/>
  <c r="BF117" i="99" s="1"/>
  <c r="AG117" i="99"/>
  <c r="AB117" i="99"/>
  <c r="P117" i="99"/>
  <c r="Q117" i="99" s="1"/>
  <c r="R117" i="99" s="1"/>
  <c r="S117" i="99" s="1"/>
  <c r="K117" i="99"/>
  <c r="L117" i="99" s="1"/>
  <c r="M117" i="99" s="1"/>
  <c r="N117" i="99" s="1"/>
  <c r="D117" i="99"/>
  <c r="E117" i="99" s="1"/>
  <c r="AL116" i="99"/>
  <c r="AM116" i="99" s="1"/>
  <c r="AN116" i="99" s="1"/>
  <c r="AO116" i="99" s="1"/>
  <c r="AP116" i="99" s="1"/>
  <c r="AQ116" i="99" s="1"/>
  <c r="AR116" i="99" s="1"/>
  <c r="AS116" i="99" s="1"/>
  <c r="AT116" i="99" s="1"/>
  <c r="AU116" i="99" s="1"/>
  <c r="AV116" i="99" s="1"/>
  <c r="AW116" i="99" s="1"/>
  <c r="AX116" i="99" s="1"/>
  <c r="AY116" i="99" s="1"/>
  <c r="AZ116" i="99" s="1"/>
  <c r="BA116" i="99" s="1"/>
  <c r="BB116" i="99" s="1"/>
  <c r="BC116" i="99" s="1"/>
  <c r="BD116" i="99" s="1"/>
  <c r="BE116" i="99" s="1"/>
  <c r="BF116" i="99" s="1"/>
  <c r="AG116" i="99"/>
  <c r="AB116" i="99"/>
  <c r="P116" i="99"/>
  <c r="Q116" i="99" s="1"/>
  <c r="K116" i="99"/>
  <c r="L116" i="99" s="1"/>
  <c r="D116" i="99"/>
  <c r="E116" i="99" s="1"/>
  <c r="F116" i="99" s="1"/>
  <c r="G116" i="99" s="1"/>
  <c r="AL115" i="99"/>
  <c r="AM115" i="99" s="1"/>
  <c r="AN115" i="99" s="1"/>
  <c r="AO115" i="99" s="1"/>
  <c r="AP115" i="99" s="1"/>
  <c r="AQ115" i="99" s="1"/>
  <c r="AR115" i="99" s="1"/>
  <c r="AS115" i="99" s="1"/>
  <c r="AT115" i="99" s="1"/>
  <c r="AU115" i="99" s="1"/>
  <c r="AV115" i="99" s="1"/>
  <c r="AW115" i="99" s="1"/>
  <c r="AX115" i="99" s="1"/>
  <c r="AY115" i="99" s="1"/>
  <c r="AZ115" i="99" s="1"/>
  <c r="BA115" i="99" s="1"/>
  <c r="BB115" i="99" s="1"/>
  <c r="BC115" i="99" s="1"/>
  <c r="BD115" i="99" s="1"/>
  <c r="BE115" i="99" s="1"/>
  <c r="BF115" i="99" s="1"/>
  <c r="AG115" i="99"/>
  <c r="AB115" i="99"/>
  <c r="P115" i="99"/>
  <c r="Q115" i="99" s="1"/>
  <c r="K115" i="99"/>
  <c r="L115" i="99" s="1"/>
  <c r="D115" i="99"/>
  <c r="E115" i="99" s="1"/>
  <c r="AL114" i="99"/>
  <c r="AM114" i="99" s="1"/>
  <c r="AN114" i="99" s="1"/>
  <c r="AO114" i="99" s="1"/>
  <c r="AP114" i="99" s="1"/>
  <c r="AQ114" i="99" s="1"/>
  <c r="AR114" i="99" s="1"/>
  <c r="AS114" i="99" s="1"/>
  <c r="AT114" i="99" s="1"/>
  <c r="AU114" i="99" s="1"/>
  <c r="AV114" i="99" s="1"/>
  <c r="AW114" i="99" s="1"/>
  <c r="AX114" i="99" s="1"/>
  <c r="AY114" i="99" s="1"/>
  <c r="AZ114" i="99" s="1"/>
  <c r="BA114" i="99" s="1"/>
  <c r="BB114" i="99" s="1"/>
  <c r="BC114" i="99" s="1"/>
  <c r="BD114" i="99" s="1"/>
  <c r="BE114" i="99" s="1"/>
  <c r="BF114" i="99" s="1"/>
  <c r="AG114" i="99"/>
  <c r="AB114" i="99"/>
  <c r="P114" i="99"/>
  <c r="Q114" i="99" s="1"/>
  <c r="K114" i="99"/>
  <c r="L114" i="99" s="1"/>
  <c r="D114" i="99"/>
  <c r="E114" i="99" s="1"/>
  <c r="AL113" i="99"/>
  <c r="AM113" i="99" s="1"/>
  <c r="AN113" i="99" s="1"/>
  <c r="AO113" i="99" s="1"/>
  <c r="AP113" i="99" s="1"/>
  <c r="AQ113" i="99" s="1"/>
  <c r="AR113" i="99" s="1"/>
  <c r="AS113" i="99" s="1"/>
  <c r="AT113" i="99" s="1"/>
  <c r="AU113" i="99" s="1"/>
  <c r="AV113" i="99" s="1"/>
  <c r="AW113" i="99" s="1"/>
  <c r="AX113" i="99" s="1"/>
  <c r="AY113" i="99" s="1"/>
  <c r="AZ113" i="99" s="1"/>
  <c r="BA113" i="99" s="1"/>
  <c r="BB113" i="99" s="1"/>
  <c r="BC113" i="99" s="1"/>
  <c r="BD113" i="99" s="1"/>
  <c r="BE113" i="99" s="1"/>
  <c r="BF113" i="99" s="1"/>
  <c r="AG113" i="99"/>
  <c r="AB113" i="99"/>
  <c r="P113" i="99"/>
  <c r="Q113" i="99" s="1"/>
  <c r="K113" i="99"/>
  <c r="D113" i="99"/>
  <c r="E113" i="99" s="1"/>
  <c r="AL112" i="99"/>
  <c r="AM112" i="99" s="1"/>
  <c r="AN112" i="99" s="1"/>
  <c r="AO112" i="99" s="1"/>
  <c r="AP112" i="99" s="1"/>
  <c r="AQ112" i="99" s="1"/>
  <c r="AR112" i="99" s="1"/>
  <c r="AS112" i="99" s="1"/>
  <c r="AT112" i="99" s="1"/>
  <c r="AU112" i="99" s="1"/>
  <c r="AV112" i="99" s="1"/>
  <c r="AW112" i="99" s="1"/>
  <c r="AX112" i="99" s="1"/>
  <c r="AY112" i="99" s="1"/>
  <c r="AZ112" i="99" s="1"/>
  <c r="BA112" i="99" s="1"/>
  <c r="BB112" i="99" s="1"/>
  <c r="BC112" i="99" s="1"/>
  <c r="BD112" i="99" s="1"/>
  <c r="BE112" i="99" s="1"/>
  <c r="BF112" i="99" s="1"/>
  <c r="AG112" i="99"/>
  <c r="AB112" i="99"/>
  <c r="P112" i="99"/>
  <c r="Q112" i="99" s="1"/>
  <c r="K112" i="99"/>
  <c r="L112" i="99" s="1"/>
  <c r="D112" i="99"/>
  <c r="E112" i="99" s="1"/>
  <c r="AL111" i="99"/>
  <c r="AM111" i="99" s="1"/>
  <c r="AN111" i="99" s="1"/>
  <c r="AO111" i="99" s="1"/>
  <c r="AP111" i="99" s="1"/>
  <c r="AQ111" i="99" s="1"/>
  <c r="AR111" i="99" s="1"/>
  <c r="AS111" i="99" s="1"/>
  <c r="AT111" i="99" s="1"/>
  <c r="AU111" i="99" s="1"/>
  <c r="AV111" i="99" s="1"/>
  <c r="AW111" i="99" s="1"/>
  <c r="AX111" i="99" s="1"/>
  <c r="AY111" i="99" s="1"/>
  <c r="AZ111" i="99" s="1"/>
  <c r="BA111" i="99" s="1"/>
  <c r="BB111" i="99" s="1"/>
  <c r="BC111" i="99" s="1"/>
  <c r="BD111" i="99" s="1"/>
  <c r="BE111" i="99" s="1"/>
  <c r="BF111" i="99" s="1"/>
  <c r="AG111" i="99"/>
  <c r="AB111" i="99"/>
  <c r="P111" i="99"/>
  <c r="Q111" i="99" s="1"/>
  <c r="R111" i="99" s="1"/>
  <c r="K111" i="99"/>
  <c r="L111" i="99" s="1"/>
  <c r="M111" i="99" s="1"/>
  <c r="N111" i="99" s="1"/>
  <c r="D111" i="99"/>
  <c r="E111" i="99" s="1"/>
  <c r="AL110" i="99"/>
  <c r="AM110" i="99" s="1"/>
  <c r="AN110" i="99" s="1"/>
  <c r="AO110" i="99" s="1"/>
  <c r="AP110" i="99" s="1"/>
  <c r="AQ110" i="99" s="1"/>
  <c r="AR110" i="99" s="1"/>
  <c r="AS110" i="99" s="1"/>
  <c r="AT110" i="99" s="1"/>
  <c r="AU110" i="99" s="1"/>
  <c r="AV110" i="99" s="1"/>
  <c r="AW110" i="99" s="1"/>
  <c r="AX110" i="99" s="1"/>
  <c r="AY110" i="99" s="1"/>
  <c r="AZ110" i="99" s="1"/>
  <c r="BA110" i="99" s="1"/>
  <c r="BB110" i="99" s="1"/>
  <c r="BC110" i="99" s="1"/>
  <c r="BD110" i="99" s="1"/>
  <c r="BE110" i="99" s="1"/>
  <c r="BF110" i="99" s="1"/>
  <c r="AG110" i="99"/>
  <c r="AB110" i="99"/>
  <c r="P110" i="99"/>
  <c r="Q110" i="99" s="1"/>
  <c r="K110" i="99"/>
  <c r="L110" i="99" s="1"/>
  <c r="D110" i="99"/>
  <c r="E110" i="99" s="1"/>
  <c r="AL109" i="99"/>
  <c r="AM109" i="99" s="1"/>
  <c r="AN109" i="99" s="1"/>
  <c r="AO109" i="99" s="1"/>
  <c r="AP109" i="99" s="1"/>
  <c r="AQ109" i="99" s="1"/>
  <c r="AR109" i="99" s="1"/>
  <c r="AS109" i="99" s="1"/>
  <c r="AT109" i="99" s="1"/>
  <c r="AU109" i="99" s="1"/>
  <c r="AV109" i="99" s="1"/>
  <c r="AW109" i="99" s="1"/>
  <c r="AX109" i="99" s="1"/>
  <c r="AY109" i="99" s="1"/>
  <c r="AZ109" i="99" s="1"/>
  <c r="BA109" i="99" s="1"/>
  <c r="BB109" i="99" s="1"/>
  <c r="BC109" i="99" s="1"/>
  <c r="BD109" i="99" s="1"/>
  <c r="BE109" i="99" s="1"/>
  <c r="BF109" i="99" s="1"/>
  <c r="AG109" i="99"/>
  <c r="AB109" i="99"/>
  <c r="P109" i="99"/>
  <c r="K109" i="99"/>
  <c r="D109" i="99"/>
  <c r="E109" i="99" s="1"/>
  <c r="F109" i="99" s="1"/>
  <c r="AL108" i="99"/>
  <c r="AM108" i="99" s="1"/>
  <c r="AN108" i="99" s="1"/>
  <c r="AO108" i="99" s="1"/>
  <c r="AP108" i="99" s="1"/>
  <c r="AQ108" i="99" s="1"/>
  <c r="AR108" i="99" s="1"/>
  <c r="AS108" i="99" s="1"/>
  <c r="AT108" i="99" s="1"/>
  <c r="AU108" i="99" s="1"/>
  <c r="AV108" i="99" s="1"/>
  <c r="AW108" i="99" s="1"/>
  <c r="AX108" i="99" s="1"/>
  <c r="AY108" i="99" s="1"/>
  <c r="AZ108" i="99" s="1"/>
  <c r="BA108" i="99" s="1"/>
  <c r="BB108" i="99" s="1"/>
  <c r="BC108" i="99" s="1"/>
  <c r="BD108" i="99" s="1"/>
  <c r="BE108" i="99" s="1"/>
  <c r="BF108" i="99" s="1"/>
  <c r="AG108" i="99"/>
  <c r="AB108" i="99"/>
  <c r="P108" i="99"/>
  <c r="Q108" i="99" s="1"/>
  <c r="K108" i="99"/>
  <c r="L108" i="99" s="1"/>
  <c r="D108" i="99"/>
  <c r="E108" i="99" s="1"/>
  <c r="AL107" i="99"/>
  <c r="AM107" i="99" s="1"/>
  <c r="AN107" i="99" s="1"/>
  <c r="AO107" i="99" s="1"/>
  <c r="AP107" i="99" s="1"/>
  <c r="AQ107" i="99" s="1"/>
  <c r="AR107" i="99" s="1"/>
  <c r="AS107" i="99" s="1"/>
  <c r="AT107" i="99" s="1"/>
  <c r="AU107" i="99" s="1"/>
  <c r="AV107" i="99" s="1"/>
  <c r="AW107" i="99" s="1"/>
  <c r="AX107" i="99" s="1"/>
  <c r="AY107" i="99" s="1"/>
  <c r="AZ107" i="99" s="1"/>
  <c r="BA107" i="99" s="1"/>
  <c r="BB107" i="99" s="1"/>
  <c r="BC107" i="99" s="1"/>
  <c r="BD107" i="99" s="1"/>
  <c r="BE107" i="99" s="1"/>
  <c r="BF107" i="99" s="1"/>
  <c r="AG107" i="99"/>
  <c r="AB107" i="99"/>
  <c r="P107" i="99"/>
  <c r="K107" i="99"/>
  <c r="D107" i="99"/>
  <c r="E107" i="99" s="1"/>
  <c r="F107" i="99" s="1"/>
  <c r="AL106" i="99"/>
  <c r="AM106" i="99" s="1"/>
  <c r="AN106" i="99" s="1"/>
  <c r="AO106" i="99" s="1"/>
  <c r="AP106" i="99" s="1"/>
  <c r="AQ106" i="99" s="1"/>
  <c r="AR106" i="99" s="1"/>
  <c r="AS106" i="99" s="1"/>
  <c r="AT106" i="99" s="1"/>
  <c r="AU106" i="99" s="1"/>
  <c r="AV106" i="99" s="1"/>
  <c r="AW106" i="99" s="1"/>
  <c r="AX106" i="99" s="1"/>
  <c r="AY106" i="99" s="1"/>
  <c r="AZ106" i="99" s="1"/>
  <c r="BA106" i="99" s="1"/>
  <c r="BB106" i="99" s="1"/>
  <c r="BC106" i="99" s="1"/>
  <c r="BD106" i="99" s="1"/>
  <c r="BE106" i="99" s="1"/>
  <c r="BF106" i="99" s="1"/>
  <c r="AG106" i="99"/>
  <c r="AB106" i="99"/>
  <c r="P106" i="99"/>
  <c r="Q106" i="99" s="1"/>
  <c r="K106" i="99"/>
  <c r="L106" i="99" s="1"/>
  <c r="D106" i="99"/>
  <c r="E106" i="99" s="1"/>
  <c r="AL105" i="99"/>
  <c r="AM105" i="99" s="1"/>
  <c r="AN105" i="99" s="1"/>
  <c r="AO105" i="99" s="1"/>
  <c r="AP105" i="99" s="1"/>
  <c r="AQ105" i="99" s="1"/>
  <c r="AR105" i="99" s="1"/>
  <c r="AS105" i="99" s="1"/>
  <c r="AT105" i="99" s="1"/>
  <c r="AU105" i="99" s="1"/>
  <c r="AV105" i="99" s="1"/>
  <c r="AW105" i="99" s="1"/>
  <c r="AX105" i="99" s="1"/>
  <c r="AY105" i="99" s="1"/>
  <c r="AZ105" i="99" s="1"/>
  <c r="BA105" i="99" s="1"/>
  <c r="BB105" i="99" s="1"/>
  <c r="BC105" i="99" s="1"/>
  <c r="BD105" i="99" s="1"/>
  <c r="BE105" i="99" s="1"/>
  <c r="BF105" i="99" s="1"/>
  <c r="AG105" i="99"/>
  <c r="AB105" i="99"/>
  <c r="P105" i="99"/>
  <c r="K105" i="99"/>
  <c r="D105" i="99"/>
  <c r="E105" i="99" s="1"/>
  <c r="F105" i="99" s="1"/>
  <c r="AL104" i="99"/>
  <c r="AM104" i="99" s="1"/>
  <c r="AN104" i="99" s="1"/>
  <c r="AO104" i="99" s="1"/>
  <c r="AP104" i="99" s="1"/>
  <c r="AQ104" i="99" s="1"/>
  <c r="AR104" i="99" s="1"/>
  <c r="AS104" i="99" s="1"/>
  <c r="AT104" i="99" s="1"/>
  <c r="AU104" i="99" s="1"/>
  <c r="AV104" i="99" s="1"/>
  <c r="AW104" i="99" s="1"/>
  <c r="AX104" i="99" s="1"/>
  <c r="AY104" i="99" s="1"/>
  <c r="AZ104" i="99" s="1"/>
  <c r="BA104" i="99" s="1"/>
  <c r="BB104" i="99" s="1"/>
  <c r="BC104" i="99" s="1"/>
  <c r="BD104" i="99" s="1"/>
  <c r="BE104" i="99" s="1"/>
  <c r="BF104" i="99" s="1"/>
  <c r="AG104" i="99"/>
  <c r="AB104" i="99"/>
  <c r="P104" i="99"/>
  <c r="Q104" i="99" s="1"/>
  <c r="K104" i="99"/>
  <c r="L104" i="99" s="1"/>
  <c r="D104" i="99"/>
  <c r="E104" i="99" s="1"/>
  <c r="AL103" i="99"/>
  <c r="AM103" i="99" s="1"/>
  <c r="AN103" i="99" s="1"/>
  <c r="AO103" i="99" s="1"/>
  <c r="AP103" i="99" s="1"/>
  <c r="AQ103" i="99" s="1"/>
  <c r="AR103" i="99" s="1"/>
  <c r="AS103" i="99" s="1"/>
  <c r="AT103" i="99" s="1"/>
  <c r="AU103" i="99" s="1"/>
  <c r="AV103" i="99" s="1"/>
  <c r="AW103" i="99" s="1"/>
  <c r="AX103" i="99" s="1"/>
  <c r="AY103" i="99" s="1"/>
  <c r="AZ103" i="99" s="1"/>
  <c r="BA103" i="99" s="1"/>
  <c r="BB103" i="99" s="1"/>
  <c r="BC103" i="99" s="1"/>
  <c r="BD103" i="99" s="1"/>
  <c r="BE103" i="99" s="1"/>
  <c r="BF103" i="99" s="1"/>
  <c r="AG103" i="99"/>
  <c r="AB103" i="99"/>
  <c r="P103" i="99"/>
  <c r="K103" i="99"/>
  <c r="D103" i="99"/>
  <c r="E103" i="99" s="1"/>
  <c r="F103" i="99" s="1"/>
  <c r="AL102" i="99"/>
  <c r="AM102" i="99" s="1"/>
  <c r="AN102" i="99" s="1"/>
  <c r="AO102" i="99" s="1"/>
  <c r="AP102" i="99" s="1"/>
  <c r="AQ102" i="99" s="1"/>
  <c r="AR102" i="99" s="1"/>
  <c r="AS102" i="99" s="1"/>
  <c r="AT102" i="99" s="1"/>
  <c r="AU102" i="99" s="1"/>
  <c r="AV102" i="99" s="1"/>
  <c r="AW102" i="99" s="1"/>
  <c r="AX102" i="99" s="1"/>
  <c r="AY102" i="99" s="1"/>
  <c r="AZ102" i="99" s="1"/>
  <c r="BA102" i="99" s="1"/>
  <c r="BB102" i="99" s="1"/>
  <c r="BC102" i="99" s="1"/>
  <c r="BD102" i="99" s="1"/>
  <c r="BE102" i="99" s="1"/>
  <c r="BF102" i="99" s="1"/>
  <c r="AG102" i="99"/>
  <c r="AB102" i="99"/>
  <c r="P102" i="99"/>
  <c r="Q102" i="99" s="1"/>
  <c r="K102" i="99"/>
  <c r="L102" i="99" s="1"/>
  <c r="D102" i="99"/>
  <c r="E102" i="99" s="1"/>
  <c r="AL101" i="99"/>
  <c r="AM101" i="99" s="1"/>
  <c r="AN101" i="99" s="1"/>
  <c r="AO101" i="99" s="1"/>
  <c r="AP101" i="99" s="1"/>
  <c r="AQ101" i="99" s="1"/>
  <c r="AR101" i="99" s="1"/>
  <c r="AS101" i="99" s="1"/>
  <c r="AT101" i="99" s="1"/>
  <c r="AU101" i="99" s="1"/>
  <c r="AV101" i="99" s="1"/>
  <c r="AW101" i="99" s="1"/>
  <c r="AX101" i="99" s="1"/>
  <c r="AY101" i="99" s="1"/>
  <c r="AZ101" i="99" s="1"/>
  <c r="BA101" i="99" s="1"/>
  <c r="BB101" i="99" s="1"/>
  <c r="BC101" i="99" s="1"/>
  <c r="BD101" i="99" s="1"/>
  <c r="BE101" i="99" s="1"/>
  <c r="BF101" i="99" s="1"/>
  <c r="AG101" i="99"/>
  <c r="AB101" i="99"/>
  <c r="P101" i="99"/>
  <c r="K101" i="99"/>
  <c r="D101" i="99"/>
  <c r="E101" i="99" s="1"/>
  <c r="F101" i="99" s="1"/>
  <c r="AL100" i="99"/>
  <c r="AM100" i="99" s="1"/>
  <c r="AN100" i="99" s="1"/>
  <c r="AO100" i="99" s="1"/>
  <c r="AP100" i="99" s="1"/>
  <c r="AQ100" i="99" s="1"/>
  <c r="AR100" i="99" s="1"/>
  <c r="AS100" i="99" s="1"/>
  <c r="AT100" i="99" s="1"/>
  <c r="AU100" i="99" s="1"/>
  <c r="AV100" i="99" s="1"/>
  <c r="AW100" i="99" s="1"/>
  <c r="AX100" i="99" s="1"/>
  <c r="AY100" i="99" s="1"/>
  <c r="AZ100" i="99" s="1"/>
  <c r="BA100" i="99" s="1"/>
  <c r="BB100" i="99" s="1"/>
  <c r="BC100" i="99" s="1"/>
  <c r="BD100" i="99" s="1"/>
  <c r="BE100" i="99" s="1"/>
  <c r="BF100" i="99" s="1"/>
  <c r="AG100" i="99"/>
  <c r="AB100" i="99"/>
  <c r="P100" i="99"/>
  <c r="Q100" i="99" s="1"/>
  <c r="K100" i="99"/>
  <c r="L100" i="99" s="1"/>
  <c r="D100" i="99"/>
  <c r="E100" i="99" s="1"/>
  <c r="AL99" i="99"/>
  <c r="AM99" i="99" s="1"/>
  <c r="AN99" i="99" s="1"/>
  <c r="AO99" i="99" s="1"/>
  <c r="AP99" i="99" s="1"/>
  <c r="AQ99" i="99" s="1"/>
  <c r="AR99" i="99" s="1"/>
  <c r="AS99" i="99" s="1"/>
  <c r="AT99" i="99" s="1"/>
  <c r="AU99" i="99" s="1"/>
  <c r="AV99" i="99" s="1"/>
  <c r="AW99" i="99" s="1"/>
  <c r="AX99" i="99" s="1"/>
  <c r="AY99" i="99" s="1"/>
  <c r="AZ99" i="99" s="1"/>
  <c r="BA99" i="99" s="1"/>
  <c r="BB99" i="99" s="1"/>
  <c r="BC99" i="99" s="1"/>
  <c r="BD99" i="99" s="1"/>
  <c r="BE99" i="99" s="1"/>
  <c r="BF99" i="99" s="1"/>
  <c r="AG99" i="99"/>
  <c r="AB99" i="99"/>
  <c r="P99" i="99"/>
  <c r="K99" i="99"/>
  <c r="D99" i="99"/>
  <c r="E99" i="99" s="1"/>
  <c r="F99" i="99" s="1"/>
  <c r="AL98" i="99"/>
  <c r="AM98" i="99" s="1"/>
  <c r="AN98" i="99" s="1"/>
  <c r="AO98" i="99" s="1"/>
  <c r="AP98" i="99" s="1"/>
  <c r="AQ98" i="99" s="1"/>
  <c r="AR98" i="99" s="1"/>
  <c r="AS98" i="99" s="1"/>
  <c r="AT98" i="99" s="1"/>
  <c r="AU98" i="99" s="1"/>
  <c r="AV98" i="99" s="1"/>
  <c r="AW98" i="99" s="1"/>
  <c r="AX98" i="99" s="1"/>
  <c r="AY98" i="99" s="1"/>
  <c r="AZ98" i="99" s="1"/>
  <c r="BA98" i="99" s="1"/>
  <c r="BB98" i="99" s="1"/>
  <c r="BC98" i="99" s="1"/>
  <c r="BD98" i="99" s="1"/>
  <c r="BE98" i="99" s="1"/>
  <c r="BF98" i="99" s="1"/>
  <c r="AG98" i="99"/>
  <c r="AB98" i="99"/>
  <c r="P98" i="99"/>
  <c r="Q98" i="99" s="1"/>
  <c r="K98" i="99"/>
  <c r="L98" i="99" s="1"/>
  <c r="D98" i="99"/>
  <c r="E98" i="99" s="1"/>
  <c r="AL97" i="99"/>
  <c r="AM97" i="99" s="1"/>
  <c r="AN97" i="99" s="1"/>
  <c r="AO97" i="99" s="1"/>
  <c r="AP97" i="99" s="1"/>
  <c r="AQ97" i="99" s="1"/>
  <c r="AR97" i="99" s="1"/>
  <c r="AS97" i="99" s="1"/>
  <c r="AT97" i="99" s="1"/>
  <c r="AU97" i="99" s="1"/>
  <c r="AV97" i="99" s="1"/>
  <c r="AW97" i="99" s="1"/>
  <c r="AX97" i="99" s="1"/>
  <c r="AY97" i="99" s="1"/>
  <c r="AZ97" i="99" s="1"/>
  <c r="BA97" i="99" s="1"/>
  <c r="BB97" i="99" s="1"/>
  <c r="BC97" i="99" s="1"/>
  <c r="BD97" i="99" s="1"/>
  <c r="BE97" i="99" s="1"/>
  <c r="BF97" i="99" s="1"/>
  <c r="AG97" i="99"/>
  <c r="AB97" i="99"/>
  <c r="P97" i="99"/>
  <c r="K97" i="99"/>
  <c r="D97" i="99"/>
  <c r="E97" i="99" s="1"/>
  <c r="F97" i="99" s="1"/>
  <c r="AL96" i="99"/>
  <c r="AM96" i="99" s="1"/>
  <c r="AN96" i="99" s="1"/>
  <c r="AO96" i="99" s="1"/>
  <c r="AP96" i="99" s="1"/>
  <c r="AQ96" i="99" s="1"/>
  <c r="AR96" i="99" s="1"/>
  <c r="AS96" i="99" s="1"/>
  <c r="AT96" i="99" s="1"/>
  <c r="AU96" i="99" s="1"/>
  <c r="AV96" i="99" s="1"/>
  <c r="AW96" i="99" s="1"/>
  <c r="AX96" i="99" s="1"/>
  <c r="AY96" i="99" s="1"/>
  <c r="AZ96" i="99" s="1"/>
  <c r="BA96" i="99" s="1"/>
  <c r="BB96" i="99" s="1"/>
  <c r="BC96" i="99" s="1"/>
  <c r="BD96" i="99" s="1"/>
  <c r="BE96" i="99" s="1"/>
  <c r="BF96" i="99" s="1"/>
  <c r="AG96" i="99"/>
  <c r="AB96" i="99"/>
  <c r="P96" i="99"/>
  <c r="Q96" i="99" s="1"/>
  <c r="K96" i="99"/>
  <c r="L96" i="99" s="1"/>
  <c r="D96" i="99"/>
  <c r="E96" i="99" s="1"/>
  <c r="AL95" i="99"/>
  <c r="AM95" i="99" s="1"/>
  <c r="AN95" i="99" s="1"/>
  <c r="AO95" i="99" s="1"/>
  <c r="AP95" i="99" s="1"/>
  <c r="AQ95" i="99" s="1"/>
  <c r="AR95" i="99" s="1"/>
  <c r="AS95" i="99" s="1"/>
  <c r="AT95" i="99" s="1"/>
  <c r="AU95" i="99" s="1"/>
  <c r="AV95" i="99" s="1"/>
  <c r="AW95" i="99" s="1"/>
  <c r="AX95" i="99" s="1"/>
  <c r="AY95" i="99" s="1"/>
  <c r="AZ95" i="99" s="1"/>
  <c r="BA95" i="99" s="1"/>
  <c r="BB95" i="99" s="1"/>
  <c r="BC95" i="99" s="1"/>
  <c r="BD95" i="99" s="1"/>
  <c r="BE95" i="99" s="1"/>
  <c r="BF95" i="99" s="1"/>
  <c r="AG95" i="99"/>
  <c r="AB95" i="99"/>
  <c r="P95" i="99"/>
  <c r="K95" i="99"/>
  <c r="D95" i="99"/>
  <c r="E95" i="99" s="1"/>
  <c r="F95" i="99" s="1"/>
  <c r="AL94" i="99"/>
  <c r="AM94" i="99" s="1"/>
  <c r="AN94" i="99" s="1"/>
  <c r="AO94" i="99" s="1"/>
  <c r="AP94" i="99" s="1"/>
  <c r="AQ94" i="99" s="1"/>
  <c r="AR94" i="99" s="1"/>
  <c r="AS94" i="99" s="1"/>
  <c r="AT94" i="99" s="1"/>
  <c r="AU94" i="99" s="1"/>
  <c r="AV94" i="99" s="1"/>
  <c r="AW94" i="99" s="1"/>
  <c r="AX94" i="99" s="1"/>
  <c r="AY94" i="99" s="1"/>
  <c r="AZ94" i="99" s="1"/>
  <c r="BA94" i="99" s="1"/>
  <c r="BB94" i="99" s="1"/>
  <c r="BC94" i="99" s="1"/>
  <c r="BD94" i="99" s="1"/>
  <c r="BE94" i="99" s="1"/>
  <c r="BF94" i="99" s="1"/>
  <c r="AG94" i="99"/>
  <c r="AB94" i="99"/>
  <c r="P94" i="99"/>
  <c r="Q94" i="99" s="1"/>
  <c r="K94" i="99"/>
  <c r="L94" i="99" s="1"/>
  <c r="D94" i="99"/>
  <c r="E94" i="99" s="1"/>
  <c r="AL93" i="99"/>
  <c r="AM93" i="99" s="1"/>
  <c r="AN93" i="99" s="1"/>
  <c r="AO93" i="99" s="1"/>
  <c r="AP93" i="99" s="1"/>
  <c r="AQ93" i="99" s="1"/>
  <c r="AR93" i="99" s="1"/>
  <c r="AS93" i="99" s="1"/>
  <c r="AT93" i="99" s="1"/>
  <c r="AU93" i="99" s="1"/>
  <c r="AV93" i="99" s="1"/>
  <c r="AW93" i="99" s="1"/>
  <c r="AX93" i="99" s="1"/>
  <c r="AY93" i="99" s="1"/>
  <c r="AZ93" i="99" s="1"/>
  <c r="BA93" i="99" s="1"/>
  <c r="BB93" i="99" s="1"/>
  <c r="BC93" i="99" s="1"/>
  <c r="BD93" i="99" s="1"/>
  <c r="BE93" i="99" s="1"/>
  <c r="BF93" i="99" s="1"/>
  <c r="AG93" i="99"/>
  <c r="AB93" i="99"/>
  <c r="P93" i="99"/>
  <c r="K93" i="99"/>
  <c r="D93" i="99"/>
  <c r="E93" i="99" s="1"/>
  <c r="F93" i="99" s="1"/>
  <c r="AL92" i="99"/>
  <c r="AM92" i="99" s="1"/>
  <c r="AN92" i="99" s="1"/>
  <c r="AO92" i="99" s="1"/>
  <c r="AP92" i="99" s="1"/>
  <c r="AQ92" i="99" s="1"/>
  <c r="AR92" i="99" s="1"/>
  <c r="AS92" i="99" s="1"/>
  <c r="AT92" i="99" s="1"/>
  <c r="AU92" i="99" s="1"/>
  <c r="AV92" i="99" s="1"/>
  <c r="AW92" i="99" s="1"/>
  <c r="AX92" i="99" s="1"/>
  <c r="AY92" i="99" s="1"/>
  <c r="AZ92" i="99" s="1"/>
  <c r="BA92" i="99" s="1"/>
  <c r="BB92" i="99" s="1"/>
  <c r="BC92" i="99" s="1"/>
  <c r="BD92" i="99" s="1"/>
  <c r="BE92" i="99" s="1"/>
  <c r="BF92" i="99" s="1"/>
  <c r="AG92" i="99"/>
  <c r="AB92" i="99"/>
  <c r="P92" i="99"/>
  <c r="Q92" i="99" s="1"/>
  <c r="K92" i="99"/>
  <c r="L92" i="99" s="1"/>
  <c r="D92" i="99"/>
  <c r="E92" i="99" s="1"/>
  <c r="AL91" i="99"/>
  <c r="AM91" i="99" s="1"/>
  <c r="AN91" i="99" s="1"/>
  <c r="AO91" i="99" s="1"/>
  <c r="AP91" i="99" s="1"/>
  <c r="AQ91" i="99" s="1"/>
  <c r="AR91" i="99" s="1"/>
  <c r="AS91" i="99" s="1"/>
  <c r="AT91" i="99" s="1"/>
  <c r="AU91" i="99" s="1"/>
  <c r="AV91" i="99" s="1"/>
  <c r="AW91" i="99" s="1"/>
  <c r="AX91" i="99" s="1"/>
  <c r="AY91" i="99" s="1"/>
  <c r="AZ91" i="99" s="1"/>
  <c r="BA91" i="99" s="1"/>
  <c r="BB91" i="99" s="1"/>
  <c r="BC91" i="99" s="1"/>
  <c r="BD91" i="99" s="1"/>
  <c r="BE91" i="99" s="1"/>
  <c r="BF91" i="99" s="1"/>
  <c r="AG91" i="99"/>
  <c r="AB91" i="99"/>
  <c r="P91" i="99"/>
  <c r="K91" i="99"/>
  <c r="D91" i="99"/>
  <c r="AL90" i="99"/>
  <c r="AM90" i="99" s="1"/>
  <c r="AN90" i="99" s="1"/>
  <c r="AO90" i="99" s="1"/>
  <c r="AP90" i="99" s="1"/>
  <c r="AQ90" i="99" s="1"/>
  <c r="AR90" i="99" s="1"/>
  <c r="AS90" i="99" s="1"/>
  <c r="AT90" i="99" s="1"/>
  <c r="AU90" i="99" s="1"/>
  <c r="AV90" i="99" s="1"/>
  <c r="AW90" i="99" s="1"/>
  <c r="AX90" i="99" s="1"/>
  <c r="AY90" i="99" s="1"/>
  <c r="AZ90" i="99" s="1"/>
  <c r="BA90" i="99" s="1"/>
  <c r="BB90" i="99" s="1"/>
  <c r="BC90" i="99" s="1"/>
  <c r="BD90" i="99" s="1"/>
  <c r="BE90" i="99" s="1"/>
  <c r="BF90" i="99" s="1"/>
  <c r="AG90" i="99"/>
  <c r="AB90" i="99"/>
  <c r="P90" i="99"/>
  <c r="Q90" i="99" s="1"/>
  <c r="K90" i="99"/>
  <c r="L90" i="99" s="1"/>
  <c r="D90" i="99"/>
  <c r="E90" i="99" s="1"/>
  <c r="AL89" i="99"/>
  <c r="AM89" i="99" s="1"/>
  <c r="AN89" i="99" s="1"/>
  <c r="AO89" i="99" s="1"/>
  <c r="AP89" i="99" s="1"/>
  <c r="AQ89" i="99" s="1"/>
  <c r="AR89" i="99" s="1"/>
  <c r="AS89" i="99" s="1"/>
  <c r="AT89" i="99" s="1"/>
  <c r="AU89" i="99" s="1"/>
  <c r="AV89" i="99" s="1"/>
  <c r="AW89" i="99" s="1"/>
  <c r="AX89" i="99" s="1"/>
  <c r="AY89" i="99" s="1"/>
  <c r="AZ89" i="99" s="1"/>
  <c r="BA89" i="99" s="1"/>
  <c r="BB89" i="99" s="1"/>
  <c r="BC89" i="99" s="1"/>
  <c r="BD89" i="99" s="1"/>
  <c r="BE89" i="99" s="1"/>
  <c r="BF89" i="99" s="1"/>
  <c r="AG89" i="99"/>
  <c r="AB89" i="99"/>
  <c r="P89" i="99"/>
  <c r="K89" i="99"/>
  <c r="D89" i="99"/>
  <c r="E89" i="99" s="1"/>
  <c r="F89" i="99" s="1"/>
  <c r="AL88" i="99"/>
  <c r="AM88" i="99" s="1"/>
  <c r="AN88" i="99" s="1"/>
  <c r="AO88" i="99" s="1"/>
  <c r="AP88" i="99" s="1"/>
  <c r="AQ88" i="99" s="1"/>
  <c r="AR88" i="99" s="1"/>
  <c r="AS88" i="99" s="1"/>
  <c r="AT88" i="99" s="1"/>
  <c r="AU88" i="99" s="1"/>
  <c r="AV88" i="99" s="1"/>
  <c r="AW88" i="99" s="1"/>
  <c r="AX88" i="99" s="1"/>
  <c r="AY88" i="99" s="1"/>
  <c r="AZ88" i="99" s="1"/>
  <c r="BA88" i="99" s="1"/>
  <c r="BB88" i="99" s="1"/>
  <c r="BC88" i="99" s="1"/>
  <c r="BD88" i="99" s="1"/>
  <c r="BE88" i="99" s="1"/>
  <c r="BF88" i="99" s="1"/>
  <c r="AG88" i="99"/>
  <c r="AB88" i="99"/>
  <c r="P88" i="99"/>
  <c r="Q88" i="99" s="1"/>
  <c r="K88" i="99"/>
  <c r="L88" i="99" s="1"/>
  <c r="D88" i="99"/>
  <c r="E88" i="99" s="1"/>
  <c r="AL87" i="99"/>
  <c r="AM87" i="99" s="1"/>
  <c r="AN87" i="99" s="1"/>
  <c r="AO87" i="99" s="1"/>
  <c r="AP87" i="99" s="1"/>
  <c r="AQ87" i="99" s="1"/>
  <c r="AR87" i="99" s="1"/>
  <c r="AS87" i="99" s="1"/>
  <c r="AT87" i="99" s="1"/>
  <c r="AU87" i="99" s="1"/>
  <c r="AV87" i="99" s="1"/>
  <c r="AW87" i="99" s="1"/>
  <c r="AX87" i="99" s="1"/>
  <c r="AY87" i="99" s="1"/>
  <c r="AZ87" i="99" s="1"/>
  <c r="BA87" i="99" s="1"/>
  <c r="BB87" i="99" s="1"/>
  <c r="BC87" i="99" s="1"/>
  <c r="BD87" i="99" s="1"/>
  <c r="BE87" i="99" s="1"/>
  <c r="BF87" i="99" s="1"/>
  <c r="AG87" i="99"/>
  <c r="AB87" i="99"/>
  <c r="P87" i="99"/>
  <c r="K87" i="99"/>
  <c r="D87" i="99"/>
  <c r="E87" i="99" s="1"/>
  <c r="F87" i="99" s="1"/>
  <c r="AL86" i="99"/>
  <c r="AM86" i="99" s="1"/>
  <c r="AG86" i="99"/>
  <c r="AB86" i="99"/>
  <c r="P86" i="99"/>
  <c r="K86" i="99"/>
  <c r="D86" i="99"/>
  <c r="T82" i="99"/>
  <c r="O82" i="99"/>
  <c r="J82" i="99"/>
  <c r="C82" i="99"/>
  <c r="AL79" i="99"/>
  <c r="AM79" i="99" s="1"/>
  <c r="AN79" i="99" s="1"/>
  <c r="AO79" i="99" s="1"/>
  <c r="AP79" i="99" s="1"/>
  <c r="AQ79" i="99" s="1"/>
  <c r="AR79" i="99" s="1"/>
  <c r="AS79" i="99" s="1"/>
  <c r="AT79" i="99" s="1"/>
  <c r="AU79" i="99" s="1"/>
  <c r="AV79" i="99" s="1"/>
  <c r="AW79" i="99" s="1"/>
  <c r="AX79" i="99" s="1"/>
  <c r="AY79" i="99" s="1"/>
  <c r="AZ79" i="99" s="1"/>
  <c r="BA79" i="99" s="1"/>
  <c r="BB79" i="99" s="1"/>
  <c r="BC79" i="99" s="1"/>
  <c r="BD79" i="99" s="1"/>
  <c r="BE79" i="99" s="1"/>
  <c r="BF79" i="99" s="1"/>
  <c r="AG79" i="99"/>
  <c r="AB79" i="99"/>
  <c r="P79" i="99"/>
  <c r="Q79" i="99" s="1"/>
  <c r="R79" i="99" s="1"/>
  <c r="K79" i="99"/>
  <c r="L79" i="99" s="1"/>
  <c r="D79" i="99"/>
  <c r="E79" i="99" s="1"/>
  <c r="AL78" i="99"/>
  <c r="AM78" i="99" s="1"/>
  <c r="AN78" i="99" s="1"/>
  <c r="AO78" i="99" s="1"/>
  <c r="AP78" i="99" s="1"/>
  <c r="AQ78" i="99" s="1"/>
  <c r="AR78" i="99" s="1"/>
  <c r="AS78" i="99" s="1"/>
  <c r="AT78" i="99" s="1"/>
  <c r="AU78" i="99" s="1"/>
  <c r="AV78" i="99" s="1"/>
  <c r="AW78" i="99" s="1"/>
  <c r="AX78" i="99" s="1"/>
  <c r="AY78" i="99" s="1"/>
  <c r="AZ78" i="99" s="1"/>
  <c r="BA78" i="99" s="1"/>
  <c r="BB78" i="99" s="1"/>
  <c r="BC78" i="99" s="1"/>
  <c r="BD78" i="99" s="1"/>
  <c r="BE78" i="99" s="1"/>
  <c r="BF78" i="99" s="1"/>
  <c r="AG78" i="99"/>
  <c r="AB78" i="99"/>
  <c r="P78" i="99"/>
  <c r="K78" i="99"/>
  <c r="D78" i="99"/>
  <c r="E78" i="99" s="1"/>
  <c r="F78" i="99" s="1"/>
  <c r="AL77" i="99"/>
  <c r="AM77" i="99" s="1"/>
  <c r="AN77" i="99" s="1"/>
  <c r="AO77" i="99" s="1"/>
  <c r="AP77" i="99" s="1"/>
  <c r="AQ77" i="99" s="1"/>
  <c r="AR77" i="99" s="1"/>
  <c r="AS77" i="99" s="1"/>
  <c r="AT77" i="99" s="1"/>
  <c r="AU77" i="99" s="1"/>
  <c r="AV77" i="99" s="1"/>
  <c r="AW77" i="99" s="1"/>
  <c r="AX77" i="99" s="1"/>
  <c r="AY77" i="99" s="1"/>
  <c r="AZ77" i="99" s="1"/>
  <c r="BA77" i="99" s="1"/>
  <c r="BB77" i="99" s="1"/>
  <c r="BC77" i="99" s="1"/>
  <c r="BD77" i="99" s="1"/>
  <c r="BE77" i="99" s="1"/>
  <c r="BF77" i="99" s="1"/>
  <c r="AG77" i="99"/>
  <c r="AB77" i="99"/>
  <c r="P77" i="99"/>
  <c r="Q77" i="99" s="1"/>
  <c r="K77" i="99"/>
  <c r="L77" i="99" s="1"/>
  <c r="M77" i="99" s="1"/>
  <c r="D77" i="99"/>
  <c r="E77" i="99" s="1"/>
  <c r="AL76" i="99"/>
  <c r="AM76" i="99" s="1"/>
  <c r="AN76" i="99" s="1"/>
  <c r="AO76" i="99" s="1"/>
  <c r="AP76" i="99" s="1"/>
  <c r="AQ76" i="99" s="1"/>
  <c r="AR76" i="99" s="1"/>
  <c r="AS76" i="99" s="1"/>
  <c r="AT76" i="99" s="1"/>
  <c r="AU76" i="99" s="1"/>
  <c r="AV76" i="99" s="1"/>
  <c r="AW76" i="99" s="1"/>
  <c r="AX76" i="99" s="1"/>
  <c r="AY76" i="99" s="1"/>
  <c r="AZ76" i="99" s="1"/>
  <c r="BA76" i="99" s="1"/>
  <c r="BB76" i="99" s="1"/>
  <c r="BC76" i="99" s="1"/>
  <c r="BD76" i="99" s="1"/>
  <c r="BE76" i="99" s="1"/>
  <c r="BF76" i="99" s="1"/>
  <c r="AG76" i="99"/>
  <c r="AB76" i="99"/>
  <c r="P76" i="99"/>
  <c r="K76" i="99"/>
  <c r="D76" i="99"/>
  <c r="E76" i="99" s="1"/>
  <c r="F76" i="99" s="1"/>
  <c r="AL75" i="99"/>
  <c r="AM75" i="99" s="1"/>
  <c r="AN75" i="99" s="1"/>
  <c r="AO75" i="99" s="1"/>
  <c r="AP75" i="99" s="1"/>
  <c r="AQ75" i="99" s="1"/>
  <c r="AR75" i="99" s="1"/>
  <c r="AS75" i="99" s="1"/>
  <c r="AT75" i="99" s="1"/>
  <c r="AU75" i="99" s="1"/>
  <c r="AV75" i="99" s="1"/>
  <c r="AW75" i="99" s="1"/>
  <c r="AX75" i="99" s="1"/>
  <c r="AY75" i="99" s="1"/>
  <c r="AZ75" i="99" s="1"/>
  <c r="BA75" i="99" s="1"/>
  <c r="BB75" i="99" s="1"/>
  <c r="BC75" i="99" s="1"/>
  <c r="BD75" i="99" s="1"/>
  <c r="BE75" i="99" s="1"/>
  <c r="BF75" i="99" s="1"/>
  <c r="AG75" i="99"/>
  <c r="AB75" i="99"/>
  <c r="P75" i="99"/>
  <c r="Q75" i="99" s="1"/>
  <c r="R75" i="99" s="1"/>
  <c r="K75" i="99"/>
  <c r="L75" i="99" s="1"/>
  <c r="D75" i="99"/>
  <c r="E75" i="99" s="1"/>
  <c r="AL74" i="99"/>
  <c r="AM74" i="99" s="1"/>
  <c r="AN74" i="99" s="1"/>
  <c r="AO74" i="99" s="1"/>
  <c r="AP74" i="99" s="1"/>
  <c r="AQ74" i="99" s="1"/>
  <c r="AR74" i="99" s="1"/>
  <c r="AS74" i="99" s="1"/>
  <c r="AT74" i="99" s="1"/>
  <c r="AU74" i="99" s="1"/>
  <c r="AV74" i="99" s="1"/>
  <c r="AW74" i="99" s="1"/>
  <c r="AX74" i="99" s="1"/>
  <c r="AY74" i="99" s="1"/>
  <c r="AZ74" i="99" s="1"/>
  <c r="BA74" i="99" s="1"/>
  <c r="BB74" i="99" s="1"/>
  <c r="BC74" i="99" s="1"/>
  <c r="BD74" i="99" s="1"/>
  <c r="BE74" i="99" s="1"/>
  <c r="BF74" i="99" s="1"/>
  <c r="AG74" i="99"/>
  <c r="AB74" i="99"/>
  <c r="P74" i="99"/>
  <c r="K74" i="99"/>
  <c r="D74" i="99"/>
  <c r="E74" i="99" s="1"/>
  <c r="F74" i="99" s="1"/>
  <c r="AL73" i="99"/>
  <c r="AM73" i="99" s="1"/>
  <c r="AN73" i="99" s="1"/>
  <c r="AO73" i="99" s="1"/>
  <c r="AP73" i="99" s="1"/>
  <c r="AQ73" i="99" s="1"/>
  <c r="AR73" i="99" s="1"/>
  <c r="AS73" i="99" s="1"/>
  <c r="AT73" i="99" s="1"/>
  <c r="AU73" i="99" s="1"/>
  <c r="AV73" i="99" s="1"/>
  <c r="AW73" i="99" s="1"/>
  <c r="AX73" i="99" s="1"/>
  <c r="AY73" i="99" s="1"/>
  <c r="AZ73" i="99" s="1"/>
  <c r="BA73" i="99" s="1"/>
  <c r="BB73" i="99" s="1"/>
  <c r="BC73" i="99" s="1"/>
  <c r="BD73" i="99" s="1"/>
  <c r="BE73" i="99" s="1"/>
  <c r="BF73" i="99" s="1"/>
  <c r="AG73" i="99"/>
  <c r="AB73" i="99"/>
  <c r="P73" i="99"/>
  <c r="Q73" i="99" s="1"/>
  <c r="K73" i="99"/>
  <c r="L73" i="99" s="1"/>
  <c r="D73" i="99"/>
  <c r="E73" i="99" s="1"/>
  <c r="AL72" i="99"/>
  <c r="AM72" i="99" s="1"/>
  <c r="AN72" i="99" s="1"/>
  <c r="AO72" i="99" s="1"/>
  <c r="AP72" i="99" s="1"/>
  <c r="AQ72" i="99" s="1"/>
  <c r="AR72" i="99" s="1"/>
  <c r="AS72" i="99" s="1"/>
  <c r="AT72" i="99" s="1"/>
  <c r="AU72" i="99" s="1"/>
  <c r="AV72" i="99" s="1"/>
  <c r="AW72" i="99" s="1"/>
  <c r="AX72" i="99" s="1"/>
  <c r="AY72" i="99" s="1"/>
  <c r="AZ72" i="99" s="1"/>
  <c r="BA72" i="99" s="1"/>
  <c r="BB72" i="99" s="1"/>
  <c r="BC72" i="99" s="1"/>
  <c r="BD72" i="99" s="1"/>
  <c r="BE72" i="99" s="1"/>
  <c r="BF72" i="99" s="1"/>
  <c r="AG72" i="99"/>
  <c r="AB72" i="99"/>
  <c r="P72" i="99"/>
  <c r="K72" i="99"/>
  <c r="D72" i="99"/>
  <c r="E72" i="99" s="1"/>
  <c r="AL71" i="99"/>
  <c r="AM71" i="99" s="1"/>
  <c r="AN71" i="99" s="1"/>
  <c r="AO71" i="99" s="1"/>
  <c r="AP71" i="99" s="1"/>
  <c r="AQ71" i="99" s="1"/>
  <c r="AR71" i="99" s="1"/>
  <c r="AS71" i="99" s="1"/>
  <c r="AT71" i="99" s="1"/>
  <c r="AU71" i="99" s="1"/>
  <c r="AV71" i="99" s="1"/>
  <c r="AW71" i="99" s="1"/>
  <c r="AX71" i="99" s="1"/>
  <c r="AY71" i="99" s="1"/>
  <c r="AZ71" i="99" s="1"/>
  <c r="BA71" i="99" s="1"/>
  <c r="BB71" i="99" s="1"/>
  <c r="BC71" i="99" s="1"/>
  <c r="BD71" i="99" s="1"/>
  <c r="BE71" i="99" s="1"/>
  <c r="BF71" i="99" s="1"/>
  <c r="AG71" i="99"/>
  <c r="AB71" i="99"/>
  <c r="P71" i="99"/>
  <c r="Q71" i="99" s="1"/>
  <c r="K71" i="99"/>
  <c r="L71" i="99" s="1"/>
  <c r="D71" i="99"/>
  <c r="E71" i="99" s="1"/>
  <c r="AL70" i="99"/>
  <c r="AM70" i="99" s="1"/>
  <c r="AN70" i="99" s="1"/>
  <c r="AO70" i="99" s="1"/>
  <c r="AP70" i="99" s="1"/>
  <c r="AQ70" i="99" s="1"/>
  <c r="AR70" i="99" s="1"/>
  <c r="AS70" i="99" s="1"/>
  <c r="AT70" i="99" s="1"/>
  <c r="AU70" i="99" s="1"/>
  <c r="AV70" i="99" s="1"/>
  <c r="AW70" i="99" s="1"/>
  <c r="AX70" i="99" s="1"/>
  <c r="AY70" i="99" s="1"/>
  <c r="AZ70" i="99" s="1"/>
  <c r="BA70" i="99" s="1"/>
  <c r="BB70" i="99" s="1"/>
  <c r="BC70" i="99" s="1"/>
  <c r="BD70" i="99" s="1"/>
  <c r="BE70" i="99" s="1"/>
  <c r="BF70" i="99" s="1"/>
  <c r="AG70" i="99"/>
  <c r="AB70" i="99"/>
  <c r="P70" i="99"/>
  <c r="K70" i="99"/>
  <c r="D70" i="99"/>
  <c r="E70" i="99" s="1"/>
  <c r="F70" i="99" s="1"/>
  <c r="AL69" i="99"/>
  <c r="AM69" i="99" s="1"/>
  <c r="AN69" i="99" s="1"/>
  <c r="AO69" i="99" s="1"/>
  <c r="AP69" i="99" s="1"/>
  <c r="AQ69" i="99" s="1"/>
  <c r="AR69" i="99" s="1"/>
  <c r="AS69" i="99" s="1"/>
  <c r="AT69" i="99" s="1"/>
  <c r="AU69" i="99" s="1"/>
  <c r="AV69" i="99" s="1"/>
  <c r="AW69" i="99" s="1"/>
  <c r="AX69" i="99" s="1"/>
  <c r="AY69" i="99" s="1"/>
  <c r="AZ69" i="99" s="1"/>
  <c r="BA69" i="99" s="1"/>
  <c r="BB69" i="99" s="1"/>
  <c r="BC69" i="99" s="1"/>
  <c r="BD69" i="99" s="1"/>
  <c r="BE69" i="99" s="1"/>
  <c r="BF69" i="99" s="1"/>
  <c r="AG69" i="99"/>
  <c r="AB69" i="99"/>
  <c r="P69" i="99"/>
  <c r="Q69" i="99" s="1"/>
  <c r="R69" i="99" s="1"/>
  <c r="K69" i="99"/>
  <c r="L69" i="99" s="1"/>
  <c r="M69" i="99" s="1"/>
  <c r="D69" i="99"/>
  <c r="E69" i="99" s="1"/>
  <c r="AL68" i="99"/>
  <c r="AM68" i="99" s="1"/>
  <c r="AN68" i="99" s="1"/>
  <c r="AO68" i="99" s="1"/>
  <c r="AP68" i="99" s="1"/>
  <c r="AQ68" i="99" s="1"/>
  <c r="AR68" i="99" s="1"/>
  <c r="AS68" i="99" s="1"/>
  <c r="AT68" i="99" s="1"/>
  <c r="AU68" i="99" s="1"/>
  <c r="AV68" i="99" s="1"/>
  <c r="AW68" i="99" s="1"/>
  <c r="AX68" i="99" s="1"/>
  <c r="AY68" i="99" s="1"/>
  <c r="AZ68" i="99" s="1"/>
  <c r="BA68" i="99" s="1"/>
  <c r="BB68" i="99" s="1"/>
  <c r="BC68" i="99" s="1"/>
  <c r="BD68" i="99" s="1"/>
  <c r="BE68" i="99" s="1"/>
  <c r="BF68" i="99" s="1"/>
  <c r="AG68" i="99"/>
  <c r="AB68" i="99"/>
  <c r="P68" i="99"/>
  <c r="K68" i="99"/>
  <c r="D68" i="99"/>
  <c r="E68" i="99" s="1"/>
  <c r="F68" i="99" s="1"/>
  <c r="AL67" i="99"/>
  <c r="AM67" i="99" s="1"/>
  <c r="AN67" i="99" s="1"/>
  <c r="AO67" i="99" s="1"/>
  <c r="AP67" i="99" s="1"/>
  <c r="AQ67" i="99" s="1"/>
  <c r="AR67" i="99" s="1"/>
  <c r="AS67" i="99" s="1"/>
  <c r="AT67" i="99" s="1"/>
  <c r="AU67" i="99" s="1"/>
  <c r="AV67" i="99" s="1"/>
  <c r="AW67" i="99" s="1"/>
  <c r="AX67" i="99" s="1"/>
  <c r="AY67" i="99" s="1"/>
  <c r="AZ67" i="99" s="1"/>
  <c r="BA67" i="99" s="1"/>
  <c r="BB67" i="99" s="1"/>
  <c r="BC67" i="99" s="1"/>
  <c r="BD67" i="99" s="1"/>
  <c r="BE67" i="99" s="1"/>
  <c r="BF67" i="99" s="1"/>
  <c r="AG67" i="99"/>
  <c r="AB67" i="99"/>
  <c r="P67" i="99"/>
  <c r="Q67" i="99" s="1"/>
  <c r="R67" i="99" s="1"/>
  <c r="K67" i="99"/>
  <c r="L67" i="99" s="1"/>
  <c r="D67" i="99"/>
  <c r="E67" i="99" s="1"/>
  <c r="AL66" i="99"/>
  <c r="AM66" i="99" s="1"/>
  <c r="AN66" i="99" s="1"/>
  <c r="AO66" i="99" s="1"/>
  <c r="AP66" i="99" s="1"/>
  <c r="AQ66" i="99" s="1"/>
  <c r="AR66" i="99" s="1"/>
  <c r="AS66" i="99" s="1"/>
  <c r="AT66" i="99" s="1"/>
  <c r="AU66" i="99" s="1"/>
  <c r="AV66" i="99" s="1"/>
  <c r="AW66" i="99" s="1"/>
  <c r="AX66" i="99" s="1"/>
  <c r="AY66" i="99" s="1"/>
  <c r="AZ66" i="99" s="1"/>
  <c r="BA66" i="99" s="1"/>
  <c r="BB66" i="99" s="1"/>
  <c r="BC66" i="99" s="1"/>
  <c r="BD66" i="99" s="1"/>
  <c r="BE66" i="99" s="1"/>
  <c r="BF66" i="99" s="1"/>
  <c r="AG66" i="99"/>
  <c r="AB66" i="99"/>
  <c r="P66" i="99"/>
  <c r="K66" i="99"/>
  <c r="D66" i="99"/>
  <c r="E66" i="99" s="1"/>
  <c r="F66" i="99" s="1"/>
  <c r="AL65" i="99"/>
  <c r="AM65" i="99" s="1"/>
  <c r="AN65" i="99" s="1"/>
  <c r="AO65" i="99" s="1"/>
  <c r="AP65" i="99" s="1"/>
  <c r="AQ65" i="99" s="1"/>
  <c r="AR65" i="99" s="1"/>
  <c r="AS65" i="99" s="1"/>
  <c r="AT65" i="99" s="1"/>
  <c r="AU65" i="99" s="1"/>
  <c r="AV65" i="99" s="1"/>
  <c r="AW65" i="99" s="1"/>
  <c r="AX65" i="99" s="1"/>
  <c r="AY65" i="99" s="1"/>
  <c r="AZ65" i="99" s="1"/>
  <c r="BA65" i="99" s="1"/>
  <c r="BB65" i="99" s="1"/>
  <c r="BC65" i="99" s="1"/>
  <c r="BD65" i="99" s="1"/>
  <c r="BE65" i="99" s="1"/>
  <c r="BF65" i="99" s="1"/>
  <c r="AG65" i="99"/>
  <c r="AB65" i="99"/>
  <c r="P65" i="99"/>
  <c r="Q65" i="99" s="1"/>
  <c r="K65" i="99"/>
  <c r="L65" i="99" s="1"/>
  <c r="D65" i="99"/>
  <c r="E65" i="99" s="1"/>
  <c r="AL64" i="99"/>
  <c r="AM64" i="99" s="1"/>
  <c r="AN64" i="99" s="1"/>
  <c r="AO64" i="99" s="1"/>
  <c r="AP64" i="99" s="1"/>
  <c r="AQ64" i="99" s="1"/>
  <c r="AR64" i="99" s="1"/>
  <c r="AS64" i="99" s="1"/>
  <c r="AT64" i="99" s="1"/>
  <c r="AU64" i="99" s="1"/>
  <c r="AV64" i="99" s="1"/>
  <c r="AW64" i="99" s="1"/>
  <c r="AX64" i="99" s="1"/>
  <c r="AY64" i="99" s="1"/>
  <c r="AZ64" i="99" s="1"/>
  <c r="BA64" i="99" s="1"/>
  <c r="BB64" i="99" s="1"/>
  <c r="BC64" i="99" s="1"/>
  <c r="BD64" i="99" s="1"/>
  <c r="BE64" i="99" s="1"/>
  <c r="BF64" i="99" s="1"/>
  <c r="AG64" i="99"/>
  <c r="AB64" i="99"/>
  <c r="P64" i="99"/>
  <c r="K64" i="99"/>
  <c r="D64" i="99"/>
  <c r="E64" i="99" s="1"/>
  <c r="AL63" i="99"/>
  <c r="AM63" i="99" s="1"/>
  <c r="AN63" i="99" s="1"/>
  <c r="AO63" i="99" s="1"/>
  <c r="AP63" i="99" s="1"/>
  <c r="AQ63" i="99" s="1"/>
  <c r="AR63" i="99" s="1"/>
  <c r="AS63" i="99" s="1"/>
  <c r="AT63" i="99" s="1"/>
  <c r="AU63" i="99" s="1"/>
  <c r="AV63" i="99" s="1"/>
  <c r="AW63" i="99" s="1"/>
  <c r="AX63" i="99" s="1"/>
  <c r="AY63" i="99" s="1"/>
  <c r="AZ63" i="99" s="1"/>
  <c r="BA63" i="99" s="1"/>
  <c r="BB63" i="99" s="1"/>
  <c r="BC63" i="99" s="1"/>
  <c r="BD63" i="99" s="1"/>
  <c r="BE63" i="99" s="1"/>
  <c r="BF63" i="99" s="1"/>
  <c r="AG63" i="99"/>
  <c r="AB63" i="99"/>
  <c r="P63" i="99"/>
  <c r="Q63" i="99" s="1"/>
  <c r="K63" i="99"/>
  <c r="L63" i="99" s="1"/>
  <c r="M63" i="99" s="1"/>
  <c r="D63" i="99"/>
  <c r="E63" i="99" s="1"/>
  <c r="AL62" i="99"/>
  <c r="AM62" i="99" s="1"/>
  <c r="AN62" i="99" s="1"/>
  <c r="AO62" i="99" s="1"/>
  <c r="AP62" i="99" s="1"/>
  <c r="AQ62" i="99" s="1"/>
  <c r="AR62" i="99" s="1"/>
  <c r="AS62" i="99" s="1"/>
  <c r="AT62" i="99" s="1"/>
  <c r="AU62" i="99" s="1"/>
  <c r="AV62" i="99" s="1"/>
  <c r="AW62" i="99" s="1"/>
  <c r="AX62" i="99" s="1"/>
  <c r="AY62" i="99" s="1"/>
  <c r="AZ62" i="99" s="1"/>
  <c r="BA62" i="99" s="1"/>
  <c r="BB62" i="99" s="1"/>
  <c r="BC62" i="99" s="1"/>
  <c r="BD62" i="99" s="1"/>
  <c r="BE62" i="99" s="1"/>
  <c r="BF62" i="99" s="1"/>
  <c r="AG62" i="99"/>
  <c r="AB62" i="99"/>
  <c r="P62" i="99"/>
  <c r="K62" i="99"/>
  <c r="D62" i="99"/>
  <c r="E62" i="99" s="1"/>
  <c r="F62" i="99" s="1"/>
  <c r="AL61" i="99"/>
  <c r="AM61" i="99" s="1"/>
  <c r="AN61" i="99" s="1"/>
  <c r="AO61" i="99" s="1"/>
  <c r="AP61" i="99" s="1"/>
  <c r="AQ61" i="99" s="1"/>
  <c r="AR61" i="99" s="1"/>
  <c r="AS61" i="99" s="1"/>
  <c r="AT61" i="99" s="1"/>
  <c r="AU61" i="99" s="1"/>
  <c r="AV61" i="99" s="1"/>
  <c r="AW61" i="99" s="1"/>
  <c r="AX61" i="99" s="1"/>
  <c r="AY61" i="99" s="1"/>
  <c r="AZ61" i="99" s="1"/>
  <c r="BA61" i="99" s="1"/>
  <c r="BB61" i="99" s="1"/>
  <c r="BC61" i="99" s="1"/>
  <c r="BD61" i="99" s="1"/>
  <c r="BE61" i="99" s="1"/>
  <c r="BF61" i="99" s="1"/>
  <c r="AG61" i="99"/>
  <c r="AB61" i="99"/>
  <c r="P61" i="99"/>
  <c r="Q61" i="99" s="1"/>
  <c r="R61" i="99" s="1"/>
  <c r="K61" i="99"/>
  <c r="L61" i="99" s="1"/>
  <c r="M61" i="99" s="1"/>
  <c r="D61" i="99"/>
  <c r="E61" i="99" s="1"/>
  <c r="AL60" i="99"/>
  <c r="AM60" i="99" s="1"/>
  <c r="AN60" i="99" s="1"/>
  <c r="AO60" i="99" s="1"/>
  <c r="AP60" i="99" s="1"/>
  <c r="AQ60" i="99" s="1"/>
  <c r="AR60" i="99" s="1"/>
  <c r="AS60" i="99" s="1"/>
  <c r="AT60" i="99" s="1"/>
  <c r="AU60" i="99" s="1"/>
  <c r="AV60" i="99" s="1"/>
  <c r="AW60" i="99" s="1"/>
  <c r="AX60" i="99" s="1"/>
  <c r="AY60" i="99" s="1"/>
  <c r="AZ60" i="99" s="1"/>
  <c r="BA60" i="99" s="1"/>
  <c r="BB60" i="99" s="1"/>
  <c r="BC60" i="99" s="1"/>
  <c r="BD60" i="99" s="1"/>
  <c r="BE60" i="99" s="1"/>
  <c r="BF60" i="99" s="1"/>
  <c r="AG60" i="99"/>
  <c r="AB60" i="99"/>
  <c r="P60" i="99"/>
  <c r="Q60" i="99" s="1"/>
  <c r="K60" i="99"/>
  <c r="D60" i="99"/>
  <c r="E60" i="99" s="1"/>
  <c r="AL59" i="99"/>
  <c r="AM59" i="99" s="1"/>
  <c r="AN59" i="99" s="1"/>
  <c r="AO59" i="99" s="1"/>
  <c r="AP59" i="99" s="1"/>
  <c r="AQ59" i="99" s="1"/>
  <c r="AR59" i="99" s="1"/>
  <c r="AS59" i="99" s="1"/>
  <c r="AT59" i="99" s="1"/>
  <c r="AU59" i="99" s="1"/>
  <c r="AV59" i="99" s="1"/>
  <c r="AW59" i="99" s="1"/>
  <c r="AX59" i="99" s="1"/>
  <c r="AY59" i="99" s="1"/>
  <c r="AZ59" i="99" s="1"/>
  <c r="BA59" i="99" s="1"/>
  <c r="BB59" i="99" s="1"/>
  <c r="BC59" i="99" s="1"/>
  <c r="BD59" i="99" s="1"/>
  <c r="BE59" i="99" s="1"/>
  <c r="BF59" i="99" s="1"/>
  <c r="AG59" i="99"/>
  <c r="AB59" i="99"/>
  <c r="P59" i="99"/>
  <c r="Q59" i="99" s="1"/>
  <c r="K59" i="99"/>
  <c r="L59" i="99" s="1"/>
  <c r="D59" i="99"/>
  <c r="E59" i="99" s="1"/>
  <c r="AL58" i="99"/>
  <c r="AM58" i="99" s="1"/>
  <c r="AN58" i="99" s="1"/>
  <c r="AO58" i="99" s="1"/>
  <c r="AP58" i="99" s="1"/>
  <c r="AQ58" i="99" s="1"/>
  <c r="AR58" i="99" s="1"/>
  <c r="AS58" i="99" s="1"/>
  <c r="AT58" i="99" s="1"/>
  <c r="AU58" i="99" s="1"/>
  <c r="AV58" i="99" s="1"/>
  <c r="AW58" i="99" s="1"/>
  <c r="AX58" i="99" s="1"/>
  <c r="AY58" i="99" s="1"/>
  <c r="AZ58" i="99" s="1"/>
  <c r="BA58" i="99" s="1"/>
  <c r="BB58" i="99" s="1"/>
  <c r="BC58" i="99" s="1"/>
  <c r="BD58" i="99" s="1"/>
  <c r="BE58" i="99" s="1"/>
  <c r="BF58" i="99" s="1"/>
  <c r="AG58" i="99"/>
  <c r="AB58" i="99"/>
  <c r="P58" i="99"/>
  <c r="Q58" i="99" s="1"/>
  <c r="K58" i="99"/>
  <c r="D58" i="99"/>
  <c r="E58" i="99" s="1"/>
  <c r="F58" i="99" s="1"/>
  <c r="AL57" i="99"/>
  <c r="AM57" i="99" s="1"/>
  <c r="AN57" i="99" s="1"/>
  <c r="AO57" i="99" s="1"/>
  <c r="AP57" i="99" s="1"/>
  <c r="AQ57" i="99" s="1"/>
  <c r="AR57" i="99" s="1"/>
  <c r="AS57" i="99" s="1"/>
  <c r="AT57" i="99" s="1"/>
  <c r="AU57" i="99" s="1"/>
  <c r="AV57" i="99" s="1"/>
  <c r="AW57" i="99" s="1"/>
  <c r="AX57" i="99" s="1"/>
  <c r="AY57" i="99" s="1"/>
  <c r="AZ57" i="99" s="1"/>
  <c r="BA57" i="99" s="1"/>
  <c r="BB57" i="99" s="1"/>
  <c r="BC57" i="99" s="1"/>
  <c r="BD57" i="99" s="1"/>
  <c r="BE57" i="99" s="1"/>
  <c r="BF57" i="99" s="1"/>
  <c r="AG57" i="99"/>
  <c r="AB57" i="99"/>
  <c r="P57" i="99"/>
  <c r="Q57" i="99" s="1"/>
  <c r="K57" i="99"/>
  <c r="L57" i="99" s="1"/>
  <c r="D57" i="99"/>
  <c r="E57" i="99" s="1"/>
  <c r="AL56" i="99"/>
  <c r="AM56" i="99" s="1"/>
  <c r="AN56" i="99" s="1"/>
  <c r="AO56" i="99" s="1"/>
  <c r="AP56" i="99" s="1"/>
  <c r="AQ56" i="99" s="1"/>
  <c r="AR56" i="99" s="1"/>
  <c r="AS56" i="99" s="1"/>
  <c r="AT56" i="99" s="1"/>
  <c r="AU56" i="99" s="1"/>
  <c r="AV56" i="99" s="1"/>
  <c r="AW56" i="99" s="1"/>
  <c r="AX56" i="99" s="1"/>
  <c r="AY56" i="99" s="1"/>
  <c r="AZ56" i="99" s="1"/>
  <c r="BA56" i="99" s="1"/>
  <c r="BB56" i="99" s="1"/>
  <c r="BC56" i="99" s="1"/>
  <c r="BD56" i="99" s="1"/>
  <c r="BE56" i="99" s="1"/>
  <c r="BF56" i="99" s="1"/>
  <c r="AG56" i="99"/>
  <c r="AB56" i="99"/>
  <c r="P56" i="99"/>
  <c r="Q56" i="99" s="1"/>
  <c r="K56" i="99"/>
  <c r="D56" i="99"/>
  <c r="E56" i="99" s="1"/>
  <c r="AL55" i="99"/>
  <c r="AM55" i="99" s="1"/>
  <c r="AN55" i="99" s="1"/>
  <c r="AO55" i="99" s="1"/>
  <c r="AP55" i="99" s="1"/>
  <c r="AQ55" i="99" s="1"/>
  <c r="AR55" i="99" s="1"/>
  <c r="AS55" i="99" s="1"/>
  <c r="AT55" i="99" s="1"/>
  <c r="AU55" i="99" s="1"/>
  <c r="AV55" i="99" s="1"/>
  <c r="AW55" i="99" s="1"/>
  <c r="AX55" i="99" s="1"/>
  <c r="AY55" i="99" s="1"/>
  <c r="AZ55" i="99" s="1"/>
  <c r="BA55" i="99" s="1"/>
  <c r="BB55" i="99" s="1"/>
  <c r="BC55" i="99" s="1"/>
  <c r="BD55" i="99" s="1"/>
  <c r="BE55" i="99" s="1"/>
  <c r="BF55" i="99" s="1"/>
  <c r="AG55" i="99"/>
  <c r="AB55" i="99"/>
  <c r="P55" i="99"/>
  <c r="Q55" i="99" s="1"/>
  <c r="K55" i="99"/>
  <c r="L55" i="99" s="1"/>
  <c r="D55" i="99"/>
  <c r="E55" i="99" s="1"/>
  <c r="AL54" i="99"/>
  <c r="AM54" i="99" s="1"/>
  <c r="AN54" i="99" s="1"/>
  <c r="AO54" i="99" s="1"/>
  <c r="AP54" i="99" s="1"/>
  <c r="AQ54" i="99" s="1"/>
  <c r="AR54" i="99" s="1"/>
  <c r="AS54" i="99" s="1"/>
  <c r="AT54" i="99" s="1"/>
  <c r="AU54" i="99" s="1"/>
  <c r="AV54" i="99" s="1"/>
  <c r="AW54" i="99" s="1"/>
  <c r="AX54" i="99" s="1"/>
  <c r="AY54" i="99" s="1"/>
  <c r="AZ54" i="99" s="1"/>
  <c r="BA54" i="99" s="1"/>
  <c r="BB54" i="99" s="1"/>
  <c r="BC54" i="99" s="1"/>
  <c r="BD54" i="99" s="1"/>
  <c r="BE54" i="99" s="1"/>
  <c r="BF54" i="99" s="1"/>
  <c r="AG54" i="99"/>
  <c r="AB54" i="99"/>
  <c r="P54" i="99"/>
  <c r="Q54" i="99" s="1"/>
  <c r="K54" i="99"/>
  <c r="D54" i="99"/>
  <c r="E54" i="99" s="1"/>
  <c r="AL53" i="99"/>
  <c r="AM53" i="99" s="1"/>
  <c r="AN53" i="99" s="1"/>
  <c r="AO53" i="99" s="1"/>
  <c r="AP53" i="99" s="1"/>
  <c r="AQ53" i="99" s="1"/>
  <c r="AR53" i="99" s="1"/>
  <c r="AS53" i="99" s="1"/>
  <c r="AT53" i="99" s="1"/>
  <c r="AU53" i="99" s="1"/>
  <c r="AV53" i="99" s="1"/>
  <c r="AW53" i="99" s="1"/>
  <c r="AX53" i="99" s="1"/>
  <c r="AY53" i="99" s="1"/>
  <c r="AZ53" i="99" s="1"/>
  <c r="BA53" i="99" s="1"/>
  <c r="BB53" i="99" s="1"/>
  <c r="BC53" i="99" s="1"/>
  <c r="BD53" i="99" s="1"/>
  <c r="BE53" i="99" s="1"/>
  <c r="BF53" i="99" s="1"/>
  <c r="AG53" i="99"/>
  <c r="AB53" i="99"/>
  <c r="P53" i="99"/>
  <c r="Q53" i="99" s="1"/>
  <c r="K53" i="99"/>
  <c r="L53" i="99" s="1"/>
  <c r="D53" i="99"/>
  <c r="E53" i="99" s="1"/>
  <c r="AL52" i="99"/>
  <c r="AM52" i="99" s="1"/>
  <c r="AN52" i="99" s="1"/>
  <c r="AO52" i="99" s="1"/>
  <c r="AP52" i="99" s="1"/>
  <c r="AQ52" i="99" s="1"/>
  <c r="AR52" i="99" s="1"/>
  <c r="AS52" i="99" s="1"/>
  <c r="AT52" i="99" s="1"/>
  <c r="AU52" i="99" s="1"/>
  <c r="AV52" i="99" s="1"/>
  <c r="AW52" i="99" s="1"/>
  <c r="AX52" i="99" s="1"/>
  <c r="AY52" i="99" s="1"/>
  <c r="AZ52" i="99" s="1"/>
  <c r="BA52" i="99" s="1"/>
  <c r="BB52" i="99" s="1"/>
  <c r="BC52" i="99" s="1"/>
  <c r="BD52" i="99" s="1"/>
  <c r="BE52" i="99" s="1"/>
  <c r="BF52" i="99" s="1"/>
  <c r="AG52" i="99"/>
  <c r="AB52" i="99"/>
  <c r="P52" i="99"/>
  <c r="K52" i="99"/>
  <c r="D52" i="99"/>
  <c r="AL51" i="99"/>
  <c r="AM51" i="99" s="1"/>
  <c r="AN51" i="99" s="1"/>
  <c r="AO51" i="99" s="1"/>
  <c r="AP51" i="99" s="1"/>
  <c r="AQ51" i="99" s="1"/>
  <c r="AR51" i="99" s="1"/>
  <c r="AS51" i="99" s="1"/>
  <c r="AT51" i="99" s="1"/>
  <c r="AU51" i="99" s="1"/>
  <c r="AV51" i="99" s="1"/>
  <c r="AW51" i="99" s="1"/>
  <c r="AX51" i="99" s="1"/>
  <c r="AY51" i="99" s="1"/>
  <c r="AZ51" i="99" s="1"/>
  <c r="BA51" i="99" s="1"/>
  <c r="BB51" i="99" s="1"/>
  <c r="BC51" i="99" s="1"/>
  <c r="BD51" i="99" s="1"/>
  <c r="BE51" i="99" s="1"/>
  <c r="BF51" i="99" s="1"/>
  <c r="AG51" i="99"/>
  <c r="AB51" i="99"/>
  <c r="P51" i="99"/>
  <c r="Q51" i="99" s="1"/>
  <c r="K51" i="99"/>
  <c r="L51" i="99" s="1"/>
  <c r="D51" i="99"/>
  <c r="E51" i="99" s="1"/>
  <c r="AL50" i="99"/>
  <c r="AM50" i="99" s="1"/>
  <c r="AN50" i="99" s="1"/>
  <c r="AO50" i="99" s="1"/>
  <c r="AP50" i="99" s="1"/>
  <c r="AQ50" i="99" s="1"/>
  <c r="AR50" i="99" s="1"/>
  <c r="AS50" i="99" s="1"/>
  <c r="AT50" i="99" s="1"/>
  <c r="AU50" i="99" s="1"/>
  <c r="AV50" i="99" s="1"/>
  <c r="AW50" i="99" s="1"/>
  <c r="AX50" i="99" s="1"/>
  <c r="AY50" i="99" s="1"/>
  <c r="AZ50" i="99" s="1"/>
  <c r="BA50" i="99" s="1"/>
  <c r="BB50" i="99" s="1"/>
  <c r="BC50" i="99" s="1"/>
  <c r="BD50" i="99" s="1"/>
  <c r="BE50" i="99" s="1"/>
  <c r="BF50" i="99" s="1"/>
  <c r="AG50" i="99"/>
  <c r="AB50" i="99"/>
  <c r="P50" i="99"/>
  <c r="Q50" i="99" s="1"/>
  <c r="K50" i="99"/>
  <c r="D50" i="99"/>
  <c r="E50" i="99" s="1"/>
  <c r="AL49" i="99"/>
  <c r="AM49" i="99" s="1"/>
  <c r="AN49" i="99" s="1"/>
  <c r="AO49" i="99" s="1"/>
  <c r="AP49" i="99" s="1"/>
  <c r="AQ49" i="99" s="1"/>
  <c r="AR49" i="99" s="1"/>
  <c r="AS49" i="99" s="1"/>
  <c r="AT49" i="99" s="1"/>
  <c r="AU49" i="99" s="1"/>
  <c r="AV49" i="99" s="1"/>
  <c r="AW49" i="99" s="1"/>
  <c r="AX49" i="99" s="1"/>
  <c r="AY49" i="99" s="1"/>
  <c r="AZ49" i="99" s="1"/>
  <c r="BA49" i="99" s="1"/>
  <c r="BB49" i="99" s="1"/>
  <c r="BC49" i="99" s="1"/>
  <c r="BD49" i="99" s="1"/>
  <c r="BE49" i="99" s="1"/>
  <c r="BF49" i="99" s="1"/>
  <c r="AG49" i="99"/>
  <c r="AB49" i="99"/>
  <c r="P49" i="99"/>
  <c r="Q49" i="99" s="1"/>
  <c r="K49" i="99"/>
  <c r="L49" i="99" s="1"/>
  <c r="D49" i="99"/>
  <c r="E49" i="99" s="1"/>
  <c r="AL48" i="99"/>
  <c r="AM48" i="99" s="1"/>
  <c r="AN48" i="99" s="1"/>
  <c r="AO48" i="99" s="1"/>
  <c r="AP48" i="99" s="1"/>
  <c r="AQ48" i="99" s="1"/>
  <c r="AR48" i="99" s="1"/>
  <c r="AS48" i="99" s="1"/>
  <c r="AT48" i="99" s="1"/>
  <c r="AU48" i="99" s="1"/>
  <c r="AV48" i="99" s="1"/>
  <c r="AW48" i="99" s="1"/>
  <c r="AX48" i="99" s="1"/>
  <c r="AY48" i="99" s="1"/>
  <c r="AZ48" i="99" s="1"/>
  <c r="BA48" i="99" s="1"/>
  <c r="BB48" i="99" s="1"/>
  <c r="BC48" i="99" s="1"/>
  <c r="BD48" i="99" s="1"/>
  <c r="BE48" i="99" s="1"/>
  <c r="BF48" i="99" s="1"/>
  <c r="AG48" i="99"/>
  <c r="AB48" i="99"/>
  <c r="P48" i="99"/>
  <c r="K48" i="99"/>
  <c r="D48" i="99"/>
  <c r="E48" i="99" s="1"/>
  <c r="AL47" i="99"/>
  <c r="AG47" i="99"/>
  <c r="AB47" i="99"/>
  <c r="P47" i="99"/>
  <c r="K47" i="99"/>
  <c r="D47" i="99"/>
  <c r="AL40" i="99"/>
  <c r="AM40" i="99" s="1"/>
  <c r="AN40" i="99" s="1"/>
  <c r="AO40" i="99" s="1"/>
  <c r="AP40" i="99" s="1"/>
  <c r="AQ40" i="99" s="1"/>
  <c r="AR40" i="99" s="1"/>
  <c r="AS40" i="99" s="1"/>
  <c r="AT40" i="99" s="1"/>
  <c r="AU40" i="99" s="1"/>
  <c r="AV40" i="99" s="1"/>
  <c r="AW40" i="99" s="1"/>
  <c r="AX40" i="99" s="1"/>
  <c r="AY40" i="99" s="1"/>
  <c r="AZ40" i="99" s="1"/>
  <c r="BA40" i="99" s="1"/>
  <c r="BB40" i="99" s="1"/>
  <c r="BC40" i="99" s="1"/>
  <c r="BD40" i="99" s="1"/>
  <c r="BE40" i="99" s="1"/>
  <c r="BF40" i="99" s="1"/>
  <c r="AG40" i="99"/>
  <c r="AB40" i="99"/>
  <c r="P40" i="99"/>
  <c r="Q40" i="99" s="1"/>
  <c r="K40" i="99"/>
  <c r="D40" i="99"/>
  <c r="E40" i="99" s="1"/>
  <c r="AL39" i="99"/>
  <c r="AM39" i="99" s="1"/>
  <c r="AN39" i="99" s="1"/>
  <c r="AO39" i="99" s="1"/>
  <c r="AP39" i="99" s="1"/>
  <c r="AQ39" i="99" s="1"/>
  <c r="AR39" i="99" s="1"/>
  <c r="AS39" i="99" s="1"/>
  <c r="AT39" i="99" s="1"/>
  <c r="AU39" i="99" s="1"/>
  <c r="AV39" i="99" s="1"/>
  <c r="AW39" i="99" s="1"/>
  <c r="AX39" i="99" s="1"/>
  <c r="AY39" i="99" s="1"/>
  <c r="AZ39" i="99" s="1"/>
  <c r="BA39" i="99" s="1"/>
  <c r="BB39" i="99" s="1"/>
  <c r="BC39" i="99" s="1"/>
  <c r="BD39" i="99" s="1"/>
  <c r="BE39" i="99" s="1"/>
  <c r="BF39" i="99" s="1"/>
  <c r="AG39" i="99"/>
  <c r="AB39" i="99"/>
  <c r="P39" i="99"/>
  <c r="Q39" i="99" s="1"/>
  <c r="K39" i="99"/>
  <c r="L39" i="99" s="1"/>
  <c r="D39" i="99"/>
  <c r="E39" i="99" s="1"/>
  <c r="AL38" i="99"/>
  <c r="AM38" i="99" s="1"/>
  <c r="AN38" i="99" s="1"/>
  <c r="AO38" i="99" s="1"/>
  <c r="AP38" i="99" s="1"/>
  <c r="AQ38" i="99" s="1"/>
  <c r="AR38" i="99" s="1"/>
  <c r="AS38" i="99" s="1"/>
  <c r="AT38" i="99" s="1"/>
  <c r="AU38" i="99" s="1"/>
  <c r="AV38" i="99" s="1"/>
  <c r="AW38" i="99" s="1"/>
  <c r="AX38" i="99" s="1"/>
  <c r="AY38" i="99" s="1"/>
  <c r="AZ38" i="99" s="1"/>
  <c r="BA38" i="99" s="1"/>
  <c r="BB38" i="99" s="1"/>
  <c r="BC38" i="99" s="1"/>
  <c r="BD38" i="99" s="1"/>
  <c r="BE38" i="99" s="1"/>
  <c r="BF38" i="99" s="1"/>
  <c r="AG38" i="99"/>
  <c r="AB38" i="99"/>
  <c r="P38" i="99"/>
  <c r="Q38" i="99" s="1"/>
  <c r="K38" i="99"/>
  <c r="D38" i="99"/>
  <c r="E38" i="99" s="1"/>
  <c r="AL37" i="99"/>
  <c r="AM37" i="99" s="1"/>
  <c r="AN37" i="99" s="1"/>
  <c r="AO37" i="99" s="1"/>
  <c r="AP37" i="99" s="1"/>
  <c r="AQ37" i="99" s="1"/>
  <c r="AR37" i="99" s="1"/>
  <c r="AS37" i="99" s="1"/>
  <c r="AT37" i="99" s="1"/>
  <c r="AU37" i="99" s="1"/>
  <c r="AV37" i="99" s="1"/>
  <c r="AW37" i="99" s="1"/>
  <c r="AX37" i="99" s="1"/>
  <c r="AY37" i="99" s="1"/>
  <c r="AZ37" i="99" s="1"/>
  <c r="BA37" i="99" s="1"/>
  <c r="BB37" i="99" s="1"/>
  <c r="BC37" i="99" s="1"/>
  <c r="BD37" i="99" s="1"/>
  <c r="BE37" i="99" s="1"/>
  <c r="BF37" i="99" s="1"/>
  <c r="AG37" i="99"/>
  <c r="AB37" i="99"/>
  <c r="P37" i="99"/>
  <c r="Q37" i="99" s="1"/>
  <c r="K37" i="99"/>
  <c r="L37" i="99" s="1"/>
  <c r="D37" i="99"/>
  <c r="E37" i="99" s="1"/>
  <c r="AL36" i="99"/>
  <c r="AM36" i="99" s="1"/>
  <c r="AN36" i="99" s="1"/>
  <c r="AO36" i="99" s="1"/>
  <c r="AP36" i="99" s="1"/>
  <c r="AQ36" i="99" s="1"/>
  <c r="AR36" i="99" s="1"/>
  <c r="AS36" i="99" s="1"/>
  <c r="AT36" i="99" s="1"/>
  <c r="AU36" i="99" s="1"/>
  <c r="AV36" i="99" s="1"/>
  <c r="AW36" i="99" s="1"/>
  <c r="AX36" i="99" s="1"/>
  <c r="AY36" i="99" s="1"/>
  <c r="AZ36" i="99" s="1"/>
  <c r="BA36" i="99" s="1"/>
  <c r="BB36" i="99" s="1"/>
  <c r="BC36" i="99" s="1"/>
  <c r="BD36" i="99" s="1"/>
  <c r="BE36" i="99" s="1"/>
  <c r="BF36" i="99" s="1"/>
  <c r="AG36" i="99"/>
  <c r="AB36" i="99"/>
  <c r="P36" i="99"/>
  <c r="K36" i="99"/>
  <c r="D36" i="99"/>
  <c r="E36" i="99" s="1"/>
  <c r="AL35" i="99"/>
  <c r="AM35" i="99" s="1"/>
  <c r="AN35" i="99" s="1"/>
  <c r="AO35" i="99" s="1"/>
  <c r="AP35" i="99" s="1"/>
  <c r="AQ35" i="99" s="1"/>
  <c r="AR35" i="99" s="1"/>
  <c r="AS35" i="99" s="1"/>
  <c r="AT35" i="99" s="1"/>
  <c r="AU35" i="99" s="1"/>
  <c r="AV35" i="99" s="1"/>
  <c r="AW35" i="99" s="1"/>
  <c r="AX35" i="99" s="1"/>
  <c r="AY35" i="99" s="1"/>
  <c r="AZ35" i="99" s="1"/>
  <c r="BA35" i="99" s="1"/>
  <c r="BB35" i="99" s="1"/>
  <c r="BC35" i="99" s="1"/>
  <c r="BD35" i="99" s="1"/>
  <c r="BE35" i="99" s="1"/>
  <c r="BF35" i="99" s="1"/>
  <c r="AG35" i="99"/>
  <c r="AB35" i="99"/>
  <c r="P35" i="99"/>
  <c r="Q35" i="99" s="1"/>
  <c r="K35" i="99"/>
  <c r="L35" i="99" s="1"/>
  <c r="D35" i="99"/>
  <c r="E35" i="99" s="1"/>
  <c r="AL34" i="99"/>
  <c r="AM34" i="99" s="1"/>
  <c r="AN34" i="99" s="1"/>
  <c r="AO34" i="99" s="1"/>
  <c r="AP34" i="99" s="1"/>
  <c r="AQ34" i="99" s="1"/>
  <c r="AR34" i="99" s="1"/>
  <c r="AS34" i="99" s="1"/>
  <c r="AT34" i="99" s="1"/>
  <c r="AU34" i="99" s="1"/>
  <c r="AV34" i="99" s="1"/>
  <c r="AW34" i="99" s="1"/>
  <c r="AX34" i="99" s="1"/>
  <c r="AY34" i="99" s="1"/>
  <c r="AZ34" i="99" s="1"/>
  <c r="BA34" i="99" s="1"/>
  <c r="BB34" i="99" s="1"/>
  <c r="BC34" i="99" s="1"/>
  <c r="BD34" i="99" s="1"/>
  <c r="BE34" i="99" s="1"/>
  <c r="BF34" i="99" s="1"/>
  <c r="AG34" i="99"/>
  <c r="AB34" i="99"/>
  <c r="P34" i="99"/>
  <c r="Q34" i="99" s="1"/>
  <c r="K34" i="99"/>
  <c r="D34" i="99"/>
  <c r="E34" i="99" s="1"/>
  <c r="AL33" i="99"/>
  <c r="AM33" i="99" s="1"/>
  <c r="AN33" i="99" s="1"/>
  <c r="AO33" i="99" s="1"/>
  <c r="AP33" i="99" s="1"/>
  <c r="AQ33" i="99" s="1"/>
  <c r="AR33" i="99" s="1"/>
  <c r="AS33" i="99" s="1"/>
  <c r="AT33" i="99" s="1"/>
  <c r="AU33" i="99" s="1"/>
  <c r="AV33" i="99" s="1"/>
  <c r="AW33" i="99" s="1"/>
  <c r="AX33" i="99" s="1"/>
  <c r="AY33" i="99" s="1"/>
  <c r="AZ33" i="99" s="1"/>
  <c r="BA33" i="99" s="1"/>
  <c r="BB33" i="99" s="1"/>
  <c r="BC33" i="99" s="1"/>
  <c r="BD33" i="99" s="1"/>
  <c r="BE33" i="99" s="1"/>
  <c r="BF33" i="99" s="1"/>
  <c r="AG33" i="99"/>
  <c r="AB33" i="99"/>
  <c r="P33" i="99"/>
  <c r="Q33" i="99" s="1"/>
  <c r="K33" i="99"/>
  <c r="L33" i="99" s="1"/>
  <c r="D33" i="99"/>
  <c r="E33" i="99" s="1"/>
  <c r="AL32" i="99"/>
  <c r="AM32" i="99" s="1"/>
  <c r="AN32" i="99" s="1"/>
  <c r="AO32" i="99" s="1"/>
  <c r="AP32" i="99" s="1"/>
  <c r="AQ32" i="99" s="1"/>
  <c r="AR32" i="99" s="1"/>
  <c r="AS32" i="99" s="1"/>
  <c r="AT32" i="99" s="1"/>
  <c r="AU32" i="99" s="1"/>
  <c r="AV32" i="99" s="1"/>
  <c r="AW32" i="99" s="1"/>
  <c r="AX32" i="99" s="1"/>
  <c r="AY32" i="99" s="1"/>
  <c r="AZ32" i="99" s="1"/>
  <c r="BA32" i="99" s="1"/>
  <c r="BB32" i="99" s="1"/>
  <c r="BC32" i="99" s="1"/>
  <c r="BD32" i="99" s="1"/>
  <c r="BE32" i="99" s="1"/>
  <c r="BF32" i="99" s="1"/>
  <c r="AG32" i="99"/>
  <c r="AB32" i="99"/>
  <c r="P32" i="99"/>
  <c r="Q32" i="99" s="1"/>
  <c r="K32" i="99"/>
  <c r="D32" i="99"/>
  <c r="E32" i="99" s="1"/>
  <c r="AL31" i="99"/>
  <c r="AM31" i="99" s="1"/>
  <c r="AN31" i="99" s="1"/>
  <c r="AO31" i="99" s="1"/>
  <c r="AP31" i="99" s="1"/>
  <c r="AQ31" i="99" s="1"/>
  <c r="AR31" i="99" s="1"/>
  <c r="AS31" i="99" s="1"/>
  <c r="AT31" i="99" s="1"/>
  <c r="AU31" i="99" s="1"/>
  <c r="AV31" i="99" s="1"/>
  <c r="AW31" i="99" s="1"/>
  <c r="AX31" i="99" s="1"/>
  <c r="AY31" i="99" s="1"/>
  <c r="AZ31" i="99" s="1"/>
  <c r="BA31" i="99" s="1"/>
  <c r="BB31" i="99" s="1"/>
  <c r="BC31" i="99" s="1"/>
  <c r="BD31" i="99" s="1"/>
  <c r="BE31" i="99" s="1"/>
  <c r="BF31" i="99" s="1"/>
  <c r="AG31" i="99"/>
  <c r="AB31" i="99"/>
  <c r="P31" i="99"/>
  <c r="Q31" i="99" s="1"/>
  <c r="K31" i="99"/>
  <c r="L31" i="99" s="1"/>
  <c r="D31" i="99"/>
  <c r="E31" i="99" s="1"/>
  <c r="AL30" i="99"/>
  <c r="AM30" i="99" s="1"/>
  <c r="AN30" i="99" s="1"/>
  <c r="AO30" i="99" s="1"/>
  <c r="AP30" i="99" s="1"/>
  <c r="AQ30" i="99" s="1"/>
  <c r="AR30" i="99" s="1"/>
  <c r="AS30" i="99" s="1"/>
  <c r="AT30" i="99" s="1"/>
  <c r="AU30" i="99" s="1"/>
  <c r="AV30" i="99" s="1"/>
  <c r="AW30" i="99" s="1"/>
  <c r="AX30" i="99" s="1"/>
  <c r="AY30" i="99" s="1"/>
  <c r="AZ30" i="99" s="1"/>
  <c r="BA30" i="99" s="1"/>
  <c r="BB30" i="99" s="1"/>
  <c r="BC30" i="99" s="1"/>
  <c r="BD30" i="99" s="1"/>
  <c r="BE30" i="99" s="1"/>
  <c r="BF30" i="99" s="1"/>
  <c r="AG30" i="99"/>
  <c r="AB30" i="99"/>
  <c r="P30" i="99"/>
  <c r="Q30" i="99" s="1"/>
  <c r="K30" i="99"/>
  <c r="D30" i="99"/>
  <c r="E30" i="99" s="1"/>
  <c r="AL29" i="99"/>
  <c r="AM29" i="99" s="1"/>
  <c r="AN29" i="99" s="1"/>
  <c r="AO29" i="99" s="1"/>
  <c r="AP29" i="99" s="1"/>
  <c r="AQ29" i="99" s="1"/>
  <c r="AR29" i="99" s="1"/>
  <c r="AS29" i="99" s="1"/>
  <c r="AT29" i="99" s="1"/>
  <c r="AU29" i="99" s="1"/>
  <c r="AV29" i="99" s="1"/>
  <c r="AW29" i="99" s="1"/>
  <c r="AX29" i="99" s="1"/>
  <c r="AY29" i="99" s="1"/>
  <c r="AZ29" i="99" s="1"/>
  <c r="BA29" i="99" s="1"/>
  <c r="BB29" i="99" s="1"/>
  <c r="BC29" i="99" s="1"/>
  <c r="BD29" i="99" s="1"/>
  <c r="BE29" i="99" s="1"/>
  <c r="BF29" i="99" s="1"/>
  <c r="AG29" i="99"/>
  <c r="AB29" i="99"/>
  <c r="P29" i="99"/>
  <c r="K29" i="99"/>
  <c r="L29" i="99" s="1"/>
  <c r="D29" i="99"/>
  <c r="E29" i="99" s="1"/>
  <c r="AL28" i="99"/>
  <c r="AM28" i="99" s="1"/>
  <c r="AN28" i="99" s="1"/>
  <c r="AO28" i="99" s="1"/>
  <c r="AP28" i="99" s="1"/>
  <c r="AQ28" i="99" s="1"/>
  <c r="AR28" i="99" s="1"/>
  <c r="AS28" i="99" s="1"/>
  <c r="AT28" i="99" s="1"/>
  <c r="AU28" i="99" s="1"/>
  <c r="AV28" i="99" s="1"/>
  <c r="AW28" i="99" s="1"/>
  <c r="AX28" i="99" s="1"/>
  <c r="AY28" i="99" s="1"/>
  <c r="AZ28" i="99" s="1"/>
  <c r="BA28" i="99" s="1"/>
  <c r="BB28" i="99" s="1"/>
  <c r="BC28" i="99" s="1"/>
  <c r="BD28" i="99" s="1"/>
  <c r="BE28" i="99" s="1"/>
  <c r="BF28" i="99" s="1"/>
  <c r="AG28" i="99"/>
  <c r="AB28" i="99"/>
  <c r="P28" i="99"/>
  <c r="Q28" i="99" s="1"/>
  <c r="K28" i="99"/>
  <c r="D28" i="99"/>
  <c r="E28" i="99" s="1"/>
  <c r="AL27" i="99"/>
  <c r="AM27" i="99" s="1"/>
  <c r="AN27" i="99" s="1"/>
  <c r="AO27" i="99" s="1"/>
  <c r="AP27" i="99" s="1"/>
  <c r="AQ27" i="99" s="1"/>
  <c r="AR27" i="99" s="1"/>
  <c r="AS27" i="99" s="1"/>
  <c r="AT27" i="99" s="1"/>
  <c r="AU27" i="99" s="1"/>
  <c r="AV27" i="99" s="1"/>
  <c r="AW27" i="99" s="1"/>
  <c r="AX27" i="99" s="1"/>
  <c r="AY27" i="99" s="1"/>
  <c r="AZ27" i="99" s="1"/>
  <c r="BA27" i="99" s="1"/>
  <c r="BB27" i="99" s="1"/>
  <c r="BC27" i="99" s="1"/>
  <c r="BD27" i="99" s="1"/>
  <c r="BE27" i="99" s="1"/>
  <c r="BF27" i="99" s="1"/>
  <c r="AG27" i="99"/>
  <c r="AB27" i="99"/>
  <c r="P27" i="99"/>
  <c r="Q27" i="99" s="1"/>
  <c r="K27" i="99"/>
  <c r="L27" i="99" s="1"/>
  <c r="D27" i="99"/>
  <c r="E27" i="99" s="1"/>
  <c r="AL26" i="99"/>
  <c r="AM26" i="99" s="1"/>
  <c r="AN26" i="99" s="1"/>
  <c r="AO26" i="99" s="1"/>
  <c r="AP26" i="99" s="1"/>
  <c r="AQ26" i="99" s="1"/>
  <c r="AR26" i="99" s="1"/>
  <c r="AS26" i="99" s="1"/>
  <c r="AT26" i="99" s="1"/>
  <c r="AU26" i="99" s="1"/>
  <c r="AV26" i="99" s="1"/>
  <c r="AW26" i="99" s="1"/>
  <c r="AX26" i="99" s="1"/>
  <c r="AY26" i="99" s="1"/>
  <c r="AZ26" i="99" s="1"/>
  <c r="BA26" i="99" s="1"/>
  <c r="BB26" i="99" s="1"/>
  <c r="BC26" i="99" s="1"/>
  <c r="BD26" i="99" s="1"/>
  <c r="BE26" i="99" s="1"/>
  <c r="BF26" i="99" s="1"/>
  <c r="AG26" i="99"/>
  <c r="AB26" i="99"/>
  <c r="P26" i="99"/>
  <c r="Q26" i="99" s="1"/>
  <c r="K26" i="99"/>
  <c r="D26" i="99"/>
  <c r="E26" i="99" s="1"/>
  <c r="AL25" i="99"/>
  <c r="AM25" i="99" s="1"/>
  <c r="AN25" i="99" s="1"/>
  <c r="AO25" i="99" s="1"/>
  <c r="AP25" i="99" s="1"/>
  <c r="AQ25" i="99" s="1"/>
  <c r="AR25" i="99" s="1"/>
  <c r="AS25" i="99" s="1"/>
  <c r="AT25" i="99" s="1"/>
  <c r="AU25" i="99" s="1"/>
  <c r="AV25" i="99" s="1"/>
  <c r="AW25" i="99" s="1"/>
  <c r="AX25" i="99" s="1"/>
  <c r="AY25" i="99" s="1"/>
  <c r="AZ25" i="99" s="1"/>
  <c r="BA25" i="99" s="1"/>
  <c r="BB25" i="99" s="1"/>
  <c r="BC25" i="99" s="1"/>
  <c r="BD25" i="99" s="1"/>
  <c r="BE25" i="99" s="1"/>
  <c r="BF25" i="99" s="1"/>
  <c r="AG25" i="99"/>
  <c r="AB25" i="99"/>
  <c r="P25" i="99"/>
  <c r="Q25" i="99" s="1"/>
  <c r="K25" i="99"/>
  <c r="L25" i="99" s="1"/>
  <c r="D25" i="99"/>
  <c r="E25" i="99" s="1"/>
  <c r="AL24" i="99"/>
  <c r="AM24" i="99" s="1"/>
  <c r="AN24" i="99" s="1"/>
  <c r="AO24" i="99" s="1"/>
  <c r="AP24" i="99" s="1"/>
  <c r="AQ24" i="99" s="1"/>
  <c r="AR24" i="99" s="1"/>
  <c r="AS24" i="99" s="1"/>
  <c r="AT24" i="99" s="1"/>
  <c r="AU24" i="99" s="1"/>
  <c r="AV24" i="99" s="1"/>
  <c r="AW24" i="99" s="1"/>
  <c r="AX24" i="99" s="1"/>
  <c r="AY24" i="99" s="1"/>
  <c r="AZ24" i="99" s="1"/>
  <c r="BA24" i="99" s="1"/>
  <c r="BB24" i="99" s="1"/>
  <c r="BC24" i="99" s="1"/>
  <c r="BD24" i="99" s="1"/>
  <c r="BE24" i="99" s="1"/>
  <c r="BF24" i="99" s="1"/>
  <c r="AG24" i="99"/>
  <c r="AB24" i="99"/>
  <c r="P24" i="99"/>
  <c r="Q24" i="99" s="1"/>
  <c r="K24" i="99"/>
  <c r="D24" i="99"/>
  <c r="E24" i="99" s="1"/>
  <c r="AL23" i="99"/>
  <c r="AM23" i="99" s="1"/>
  <c r="AN23" i="99" s="1"/>
  <c r="AO23" i="99" s="1"/>
  <c r="AP23" i="99" s="1"/>
  <c r="AQ23" i="99" s="1"/>
  <c r="AR23" i="99" s="1"/>
  <c r="AS23" i="99" s="1"/>
  <c r="AT23" i="99" s="1"/>
  <c r="AU23" i="99" s="1"/>
  <c r="AV23" i="99" s="1"/>
  <c r="AW23" i="99" s="1"/>
  <c r="AX23" i="99" s="1"/>
  <c r="AY23" i="99" s="1"/>
  <c r="AZ23" i="99" s="1"/>
  <c r="BA23" i="99" s="1"/>
  <c r="BB23" i="99" s="1"/>
  <c r="BC23" i="99" s="1"/>
  <c r="BD23" i="99" s="1"/>
  <c r="BE23" i="99" s="1"/>
  <c r="BF23" i="99" s="1"/>
  <c r="AG23" i="99"/>
  <c r="AB23" i="99"/>
  <c r="P23" i="99"/>
  <c r="K23" i="99"/>
  <c r="L23" i="99" s="1"/>
  <c r="D23" i="99"/>
  <c r="E23" i="99" s="1"/>
  <c r="AL22" i="99"/>
  <c r="AM22" i="99" s="1"/>
  <c r="AN22" i="99" s="1"/>
  <c r="AO22" i="99" s="1"/>
  <c r="AP22" i="99" s="1"/>
  <c r="AQ22" i="99" s="1"/>
  <c r="AR22" i="99" s="1"/>
  <c r="AS22" i="99" s="1"/>
  <c r="AT22" i="99" s="1"/>
  <c r="AU22" i="99" s="1"/>
  <c r="AV22" i="99" s="1"/>
  <c r="AW22" i="99" s="1"/>
  <c r="AX22" i="99" s="1"/>
  <c r="AY22" i="99" s="1"/>
  <c r="AZ22" i="99" s="1"/>
  <c r="BA22" i="99" s="1"/>
  <c r="BB22" i="99" s="1"/>
  <c r="BC22" i="99" s="1"/>
  <c r="BD22" i="99" s="1"/>
  <c r="BE22" i="99" s="1"/>
  <c r="BF22" i="99" s="1"/>
  <c r="AG22" i="99"/>
  <c r="AB22" i="99"/>
  <c r="P22" i="99"/>
  <c r="Q22" i="99" s="1"/>
  <c r="K22" i="99"/>
  <c r="D22" i="99"/>
  <c r="E22" i="99" s="1"/>
  <c r="AL21" i="99"/>
  <c r="AM21" i="99" s="1"/>
  <c r="AN21" i="99" s="1"/>
  <c r="AO21" i="99" s="1"/>
  <c r="AP21" i="99" s="1"/>
  <c r="AQ21" i="99" s="1"/>
  <c r="AR21" i="99" s="1"/>
  <c r="AS21" i="99" s="1"/>
  <c r="AT21" i="99" s="1"/>
  <c r="AU21" i="99" s="1"/>
  <c r="AV21" i="99" s="1"/>
  <c r="AW21" i="99" s="1"/>
  <c r="AX21" i="99" s="1"/>
  <c r="AY21" i="99" s="1"/>
  <c r="AZ21" i="99" s="1"/>
  <c r="BA21" i="99" s="1"/>
  <c r="BB21" i="99" s="1"/>
  <c r="BC21" i="99" s="1"/>
  <c r="BD21" i="99" s="1"/>
  <c r="BE21" i="99" s="1"/>
  <c r="BF21" i="99" s="1"/>
  <c r="AG21" i="99"/>
  <c r="AB21" i="99"/>
  <c r="P21" i="99"/>
  <c r="Q21" i="99" s="1"/>
  <c r="K21" i="99"/>
  <c r="L21" i="99" s="1"/>
  <c r="D21" i="99"/>
  <c r="E21" i="99" s="1"/>
  <c r="AL20" i="99"/>
  <c r="AM20" i="99" s="1"/>
  <c r="AN20" i="99" s="1"/>
  <c r="AO20" i="99" s="1"/>
  <c r="AP20" i="99" s="1"/>
  <c r="AQ20" i="99" s="1"/>
  <c r="AR20" i="99" s="1"/>
  <c r="AS20" i="99" s="1"/>
  <c r="AT20" i="99" s="1"/>
  <c r="AU20" i="99" s="1"/>
  <c r="AV20" i="99" s="1"/>
  <c r="AW20" i="99" s="1"/>
  <c r="AX20" i="99" s="1"/>
  <c r="AY20" i="99" s="1"/>
  <c r="AZ20" i="99" s="1"/>
  <c r="BA20" i="99" s="1"/>
  <c r="BB20" i="99" s="1"/>
  <c r="BC20" i="99" s="1"/>
  <c r="BD20" i="99" s="1"/>
  <c r="BE20" i="99" s="1"/>
  <c r="BF20" i="99" s="1"/>
  <c r="AG20" i="99"/>
  <c r="AB20" i="99"/>
  <c r="P20" i="99"/>
  <c r="Q20" i="99" s="1"/>
  <c r="K20" i="99"/>
  <c r="D20" i="99"/>
  <c r="E20" i="99" s="1"/>
  <c r="AL19" i="99"/>
  <c r="AM19" i="99" s="1"/>
  <c r="AN19" i="99" s="1"/>
  <c r="AO19" i="99" s="1"/>
  <c r="AP19" i="99" s="1"/>
  <c r="AQ19" i="99" s="1"/>
  <c r="AR19" i="99" s="1"/>
  <c r="AS19" i="99" s="1"/>
  <c r="AT19" i="99" s="1"/>
  <c r="AU19" i="99" s="1"/>
  <c r="AV19" i="99" s="1"/>
  <c r="AW19" i="99" s="1"/>
  <c r="AX19" i="99" s="1"/>
  <c r="AY19" i="99" s="1"/>
  <c r="AZ19" i="99" s="1"/>
  <c r="BA19" i="99" s="1"/>
  <c r="BB19" i="99" s="1"/>
  <c r="BC19" i="99" s="1"/>
  <c r="BD19" i="99" s="1"/>
  <c r="BE19" i="99" s="1"/>
  <c r="BF19" i="99" s="1"/>
  <c r="AG19" i="99"/>
  <c r="AB19" i="99"/>
  <c r="P19" i="99"/>
  <c r="K19" i="99"/>
  <c r="L19" i="99" s="1"/>
  <c r="D19" i="99"/>
  <c r="E19" i="99" s="1"/>
  <c r="AL18" i="99"/>
  <c r="AM18" i="99" s="1"/>
  <c r="AN18" i="99" s="1"/>
  <c r="AO18" i="99" s="1"/>
  <c r="AP18" i="99" s="1"/>
  <c r="AQ18" i="99" s="1"/>
  <c r="AR18" i="99" s="1"/>
  <c r="AS18" i="99" s="1"/>
  <c r="AT18" i="99" s="1"/>
  <c r="AU18" i="99" s="1"/>
  <c r="AV18" i="99" s="1"/>
  <c r="AW18" i="99" s="1"/>
  <c r="AX18" i="99" s="1"/>
  <c r="AY18" i="99" s="1"/>
  <c r="AZ18" i="99" s="1"/>
  <c r="BA18" i="99" s="1"/>
  <c r="BB18" i="99" s="1"/>
  <c r="BC18" i="99" s="1"/>
  <c r="BD18" i="99" s="1"/>
  <c r="BE18" i="99" s="1"/>
  <c r="BF18" i="99" s="1"/>
  <c r="AG18" i="99"/>
  <c r="AB18" i="99"/>
  <c r="P18" i="99"/>
  <c r="K18" i="99"/>
  <c r="D18" i="99"/>
  <c r="E18" i="99" s="1"/>
  <c r="AL17" i="99"/>
  <c r="AM17" i="99" s="1"/>
  <c r="AN17" i="99" s="1"/>
  <c r="AO17" i="99" s="1"/>
  <c r="AP17" i="99" s="1"/>
  <c r="AQ17" i="99" s="1"/>
  <c r="AR17" i="99" s="1"/>
  <c r="AS17" i="99" s="1"/>
  <c r="AT17" i="99" s="1"/>
  <c r="AU17" i="99" s="1"/>
  <c r="AV17" i="99" s="1"/>
  <c r="AW17" i="99" s="1"/>
  <c r="AX17" i="99" s="1"/>
  <c r="AY17" i="99" s="1"/>
  <c r="AZ17" i="99" s="1"/>
  <c r="BA17" i="99" s="1"/>
  <c r="BB17" i="99" s="1"/>
  <c r="BC17" i="99" s="1"/>
  <c r="BD17" i="99" s="1"/>
  <c r="BE17" i="99" s="1"/>
  <c r="BF17" i="99" s="1"/>
  <c r="AG17" i="99"/>
  <c r="AB17" i="99"/>
  <c r="P17" i="99"/>
  <c r="K17" i="99"/>
  <c r="L17" i="99" s="1"/>
  <c r="D17" i="99"/>
  <c r="E17" i="99" s="1"/>
  <c r="AL16" i="99"/>
  <c r="AM16" i="99" s="1"/>
  <c r="AN16" i="99" s="1"/>
  <c r="AO16" i="99" s="1"/>
  <c r="AP16" i="99" s="1"/>
  <c r="AQ16" i="99" s="1"/>
  <c r="AR16" i="99" s="1"/>
  <c r="AS16" i="99" s="1"/>
  <c r="AT16" i="99" s="1"/>
  <c r="AU16" i="99" s="1"/>
  <c r="AV16" i="99" s="1"/>
  <c r="AW16" i="99" s="1"/>
  <c r="AX16" i="99" s="1"/>
  <c r="AY16" i="99" s="1"/>
  <c r="AZ16" i="99" s="1"/>
  <c r="BA16" i="99" s="1"/>
  <c r="BB16" i="99" s="1"/>
  <c r="BC16" i="99" s="1"/>
  <c r="BD16" i="99" s="1"/>
  <c r="BE16" i="99" s="1"/>
  <c r="BF16" i="99" s="1"/>
  <c r="AG16" i="99"/>
  <c r="AB16" i="99"/>
  <c r="P16" i="99"/>
  <c r="Q16" i="99" s="1"/>
  <c r="K16" i="99"/>
  <c r="D16" i="99"/>
  <c r="E16" i="99" s="1"/>
  <c r="AL15" i="99"/>
  <c r="AM15" i="99" s="1"/>
  <c r="AN15" i="99" s="1"/>
  <c r="AO15" i="99" s="1"/>
  <c r="AP15" i="99" s="1"/>
  <c r="AQ15" i="99" s="1"/>
  <c r="AR15" i="99" s="1"/>
  <c r="AS15" i="99" s="1"/>
  <c r="AT15" i="99" s="1"/>
  <c r="AU15" i="99" s="1"/>
  <c r="AV15" i="99" s="1"/>
  <c r="AW15" i="99" s="1"/>
  <c r="AX15" i="99" s="1"/>
  <c r="AY15" i="99" s="1"/>
  <c r="AZ15" i="99" s="1"/>
  <c r="BA15" i="99" s="1"/>
  <c r="BB15" i="99" s="1"/>
  <c r="BC15" i="99" s="1"/>
  <c r="BD15" i="99" s="1"/>
  <c r="BE15" i="99" s="1"/>
  <c r="BF15" i="99" s="1"/>
  <c r="AG15" i="99"/>
  <c r="AB15" i="99"/>
  <c r="P15" i="99"/>
  <c r="Q15" i="99" s="1"/>
  <c r="K15" i="99"/>
  <c r="L15" i="99" s="1"/>
  <c r="D15" i="99"/>
  <c r="E15" i="99" s="1"/>
  <c r="AL14" i="99"/>
  <c r="AM14" i="99" s="1"/>
  <c r="AN14" i="99" s="1"/>
  <c r="AO14" i="99" s="1"/>
  <c r="AP14" i="99" s="1"/>
  <c r="AQ14" i="99" s="1"/>
  <c r="AR14" i="99" s="1"/>
  <c r="AS14" i="99" s="1"/>
  <c r="AT14" i="99" s="1"/>
  <c r="AU14" i="99" s="1"/>
  <c r="AV14" i="99" s="1"/>
  <c r="AW14" i="99" s="1"/>
  <c r="AX14" i="99" s="1"/>
  <c r="AY14" i="99" s="1"/>
  <c r="AZ14" i="99" s="1"/>
  <c r="BA14" i="99" s="1"/>
  <c r="BB14" i="99" s="1"/>
  <c r="BC14" i="99" s="1"/>
  <c r="BD14" i="99" s="1"/>
  <c r="BE14" i="99" s="1"/>
  <c r="BF14" i="99" s="1"/>
  <c r="AG14" i="99"/>
  <c r="AB14" i="99"/>
  <c r="P14" i="99"/>
  <c r="Q14" i="99" s="1"/>
  <c r="K14" i="99"/>
  <c r="D14" i="99"/>
  <c r="E14" i="99" s="1"/>
  <c r="AL13" i="99"/>
  <c r="AM13" i="99" s="1"/>
  <c r="AN13" i="99" s="1"/>
  <c r="AO13" i="99" s="1"/>
  <c r="AP13" i="99" s="1"/>
  <c r="AQ13" i="99" s="1"/>
  <c r="AR13" i="99" s="1"/>
  <c r="AS13" i="99" s="1"/>
  <c r="AT13" i="99" s="1"/>
  <c r="AU13" i="99" s="1"/>
  <c r="AV13" i="99" s="1"/>
  <c r="AW13" i="99" s="1"/>
  <c r="AX13" i="99" s="1"/>
  <c r="AY13" i="99" s="1"/>
  <c r="AZ13" i="99" s="1"/>
  <c r="BA13" i="99" s="1"/>
  <c r="BB13" i="99" s="1"/>
  <c r="BC13" i="99" s="1"/>
  <c r="BD13" i="99" s="1"/>
  <c r="BE13" i="99" s="1"/>
  <c r="BF13" i="99" s="1"/>
  <c r="AG13" i="99"/>
  <c r="AB13" i="99"/>
  <c r="P13" i="99"/>
  <c r="K13" i="99"/>
  <c r="D13" i="99"/>
  <c r="AL12" i="99"/>
  <c r="AM12" i="99" s="1"/>
  <c r="AN12" i="99" s="1"/>
  <c r="AO12" i="99" s="1"/>
  <c r="AP12" i="99" s="1"/>
  <c r="AQ12" i="99" s="1"/>
  <c r="AR12" i="99" s="1"/>
  <c r="AS12" i="99" s="1"/>
  <c r="AT12" i="99" s="1"/>
  <c r="AU12" i="99" s="1"/>
  <c r="AV12" i="99" s="1"/>
  <c r="AW12" i="99" s="1"/>
  <c r="AX12" i="99" s="1"/>
  <c r="AY12" i="99" s="1"/>
  <c r="AZ12" i="99" s="1"/>
  <c r="BA12" i="99" s="1"/>
  <c r="BB12" i="99" s="1"/>
  <c r="BC12" i="99" s="1"/>
  <c r="BD12" i="99" s="1"/>
  <c r="BE12" i="99" s="1"/>
  <c r="BF12" i="99" s="1"/>
  <c r="AG12" i="99"/>
  <c r="AB12" i="99"/>
  <c r="P12" i="99"/>
  <c r="Q12" i="99" s="1"/>
  <c r="K12" i="99"/>
  <c r="D12" i="99"/>
  <c r="E12" i="99" s="1"/>
  <c r="AL11" i="99"/>
  <c r="AM11" i="99" s="1"/>
  <c r="AN11" i="99" s="1"/>
  <c r="AO11" i="99" s="1"/>
  <c r="AP11" i="99" s="1"/>
  <c r="AQ11" i="99" s="1"/>
  <c r="AR11" i="99" s="1"/>
  <c r="AS11" i="99" s="1"/>
  <c r="AT11" i="99" s="1"/>
  <c r="AU11" i="99" s="1"/>
  <c r="AV11" i="99" s="1"/>
  <c r="AW11" i="99" s="1"/>
  <c r="AX11" i="99" s="1"/>
  <c r="AY11" i="99" s="1"/>
  <c r="AZ11" i="99" s="1"/>
  <c r="BA11" i="99" s="1"/>
  <c r="BB11" i="99" s="1"/>
  <c r="BC11" i="99" s="1"/>
  <c r="BD11" i="99" s="1"/>
  <c r="BE11" i="99" s="1"/>
  <c r="BF11" i="99" s="1"/>
  <c r="AG11" i="99"/>
  <c r="AB11" i="99"/>
  <c r="P11" i="99"/>
  <c r="K11" i="99"/>
  <c r="L11" i="99" s="1"/>
  <c r="D11" i="99"/>
  <c r="E11" i="99" s="1"/>
  <c r="AL10" i="99"/>
  <c r="AM10" i="99" s="1"/>
  <c r="AN10" i="99" s="1"/>
  <c r="AO10" i="99" s="1"/>
  <c r="AP10" i="99" s="1"/>
  <c r="AQ10" i="99" s="1"/>
  <c r="AR10" i="99" s="1"/>
  <c r="AS10" i="99" s="1"/>
  <c r="AT10" i="99" s="1"/>
  <c r="AU10" i="99" s="1"/>
  <c r="AV10" i="99" s="1"/>
  <c r="AW10" i="99" s="1"/>
  <c r="AX10" i="99" s="1"/>
  <c r="AY10" i="99" s="1"/>
  <c r="AZ10" i="99" s="1"/>
  <c r="BA10" i="99" s="1"/>
  <c r="BB10" i="99" s="1"/>
  <c r="BC10" i="99" s="1"/>
  <c r="BD10" i="99" s="1"/>
  <c r="BE10" i="99" s="1"/>
  <c r="BF10" i="99" s="1"/>
  <c r="AG10" i="99"/>
  <c r="AB10" i="99"/>
  <c r="P10" i="99"/>
  <c r="Q10" i="99" s="1"/>
  <c r="K10" i="99"/>
  <c r="D10" i="99"/>
  <c r="E10" i="99" s="1"/>
  <c r="AL9" i="99"/>
  <c r="AM9" i="99" s="1"/>
  <c r="AN9" i="99" s="1"/>
  <c r="AO9" i="99" s="1"/>
  <c r="AP9" i="99" s="1"/>
  <c r="AQ9" i="99" s="1"/>
  <c r="AR9" i="99" s="1"/>
  <c r="AS9" i="99" s="1"/>
  <c r="AT9" i="99" s="1"/>
  <c r="AU9" i="99" s="1"/>
  <c r="AV9" i="99" s="1"/>
  <c r="AW9" i="99" s="1"/>
  <c r="AX9" i="99" s="1"/>
  <c r="AY9" i="99" s="1"/>
  <c r="AZ9" i="99" s="1"/>
  <c r="BA9" i="99" s="1"/>
  <c r="BB9" i="99" s="1"/>
  <c r="BC9" i="99" s="1"/>
  <c r="BD9" i="99" s="1"/>
  <c r="BE9" i="99" s="1"/>
  <c r="BF9" i="99" s="1"/>
  <c r="AG9" i="99"/>
  <c r="AB9" i="99"/>
  <c r="P9" i="99"/>
  <c r="K9" i="99"/>
  <c r="L9" i="99" s="1"/>
  <c r="D9" i="99"/>
  <c r="E9" i="99" s="1"/>
  <c r="AL8" i="99"/>
  <c r="AM8" i="99" s="1"/>
  <c r="AG8" i="99"/>
  <c r="AB8" i="99"/>
  <c r="P8" i="99"/>
  <c r="K8" i="99"/>
  <c r="D8" i="99"/>
  <c r="V5" i="99"/>
  <c r="AX422" i="119"/>
  <c r="AW422" i="119"/>
  <c r="AV422" i="119"/>
  <c r="AU422" i="119"/>
  <c r="AT422" i="119"/>
  <c r="AS407" i="119"/>
  <c r="M32" i="92" s="1"/>
  <c r="AR407" i="119"/>
  <c r="AQ407" i="119"/>
  <c r="AP407" i="119"/>
  <c r="AO407" i="119"/>
  <c r="AN407" i="119"/>
  <c r="L32" i="92" s="1"/>
  <c r="AM407" i="119"/>
  <c r="AL407" i="119"/>
  <c r="AK407" i="119"/>
  <c r="AJ407" i="119"/>
  <c r="AI407" i="119"/>
  <c r="K32" i="92" s="1"/>
  <c r="AH407" i="119"/>
  <c r="AG407" i="119"/>
  <c r="AF407" i="119"/>
  <c r="AE407" i="119"/>
  <c r="AD407" i="119"/>
  <c r="J32" i="92" s="1"/>
  <c r="AC407" i="119"/>
  <c r="AB407" i="119"/>
  <c r="AA407" i="119"/>
  <c r="Z407" i="119"/>
  <c r="Y407" i="119"/>
  <c r="I32" i="92" s="1"/>
  <c r="X407" i="119"/>
  <c r="W407" i="119"/>
  <c r="V407" i="119"/>
  <c r="U407" i="119"/>
  <c r="T407" i="119"/>
  <c r="H32" i="92" s="1"/>
  <c r="S407" i="119"/>
  <c r="R407" i="119"/>
  <c r="Q407" i="119"/>
  <c r="P407" i="119"/>
  <c r="O407" i="119"/>
  <c r="F32" i="92" s="1"/>
  <c r="N407" i="119"/>
  <c r="M407" i="119"/>
  <c r="L407" i="119"/>
  <c r="K407" i="119"/>
  <c r="J407" i="119"/>
  <c r="E32" i="92" s="1"/>
  <c r="B401" i="119"/>
  <c r="B400" i="119"/>
  <c r="B399" i="119"/>
  <c r="B398" i="119"/>
  <c r="B397" i="119"/>
  <c r="B396" i="119"/>
  <c r="B395" i="119"/>
  <c r="B394" i="119"/>
  <c r="B393" i="119"/>
  <c r="B392" i="119"/>
  <c r="B391" i="119"/>
  <c r="E390" i="119"/>
  <c r="C390" i="119"/>
  <c r="B390" i="119" s="1"/>
  <c r="C389" i="119"/>
  <c r="B389" i="119" s="1"/>
  <c r="B383" i="119"/>
  <c r="C382" i="119"/>
  <c r="B382" i="119" s="1"/>
  <c r="C381" i="119"/>
  <c r="B381" i="119" s="1"/>
  <c r="C380" i="119"/>
  <c r="B380" i="119" s="1"/>
  <c r="C379" i="119"/>
  <c r="B379" i="119" s="1"/>
  <c r="C378" i="119"/>
  <c r="B378" i="119" s="1"/>
  <c r="C377" i="119"/>
  <c r="B377" i="119" s="1"/>
  <c r="C376" i="119"/>
  <c r="B376" i="119" s="1"/>
  <c r="C375" i="119"/>
  <c r="B375" i="119" s="1"/>
  <c r="C374" i="119"/>
  <c r="B374" i="119" s="1"/>
  <c r="C373" i="119"/>
  <c r="B373" i="119" s="1"/>
  <c r="C372" i="119"/>
  <c r="B372" i="119" s="1"/>
  <c r="C371" i="119"/>
  <c r="B371" i="119" s="1"/>
  <c r="B365" i="119"/>
  <c r="B364" i="119"/>
  <c r="C363" i="119"/>
  <c r="B363" i="119" s="1"/>
  <c r="C362" i="119"/>
  <c r="B362" i="119" s="1"/>
  <c r="C361" i="119"/>
  <c r="B361" i="119" s="1"/>
  <c r="C360" i="119"/>
  <c r="B360" i="119" s="1"/>
  <c r="C359" i="119"/>
  <c r="B359" i="119" s="1"/>
  <c r="C358" i="119"/>
  <c r="B358" i="119" s="1"/>
  <c r="C357" i="119"/>
  <c r="B357" i="119" s="1"/>
  <c r="C356" i="119"/>
  <c r="B356" i="119" s="1"/>
  <c r="C355" i="119"/>
  <c r="B355" i="119" s="1"/>
  <c r="C354" i="119"/>
  <c r="B354" i="119" s="1"/>
  <c r="C353" i="119"/>
  <c r="B353" i="119" s="1"/>
  <c r="B348" i="119"/>
  <c r="B347" i="119"/>
  <c r="B346" i="119"/>
  <c r="B345" i="119"/>
  <c r="B344" i="119"/>
  <c r="B342" i="119"/>
  <c r="B341" i="119"/>
  <c r="C340" i="119"/>
  <c r="B340" i="119" s="1"/>
  <c r="C339" i="119"/>
  <c r="B339" i="119" s="1"/>
  <c r="C338" i="119"/>
  <c r="B338" i="119" s="1"/>
  <c r="C337" i="119"/>
  <c r="B337" i="119" s="1"/>
  <c r="C336" i="119"/>
  <c r="B336" i="119" s="1"/>
  <c r="B331" i="119"/>
  <c r="B330" i="119"/>
  <c r="C329" i="119"/>
  <c r="B329" i="119" s="1"/>
  <c r="C328" i="119"/>
  <c r="B328" i="119" s="1"/>
  <c r="C327" i="119"/>
  <c r="B327" i="119" s="1"/>
  <c r="C326" i="119"/>
  <c r="B326" i="119" s="1"/>
  <c r="C325" i="119"/>
  <c r="B325" i="119" s="1"/>
  <c r="C324" i="119"/>
  <c r="B324" i="119" s="1"/>
  <c r="C323" i="119"/>
  <c r="B323" i="119" s="1"/>
  <c r="C322" i="119"/>
  <c r="B322" i="119" s="1"/>
  <c r="C321" i="119"/>
  <c r="B321" i="119" s="1"/>
  <c r="C320" i="119"/>
  <c r="B320" i="119" s="1"/>
  <c r="C319" i="119"/>
  <c r="B319" i="119" s="1"/>
  <c r="B296" i="119"/>
  <c r="B295" i="119"/>
  <c r="B294" i="119"/>
  <c r="B293" i="119"/>
  <c r="B292" i="119"/>
  <c r="B291" i="119"/>
  <c r="B290" i="119"/>
  <c r="B289" i="119"/>
  <c r="B288" i="119"/>
  <c r="C287" i="119"/>
  <c r="B287" i="119" s="1"/>
  <c r="C286" i="119"/>
  <c r="B286" i="119" s="1"/>
  <c r="C285" i="119"/>
  <c r="B285" i="119" s="1"/>
  <c r="C284" i="119"/>
  <c r="B284" i="119" s="1"/>
  <c r="B262" i="119"/>
  <c r="B261" i="119"/>
  <c r="B260" i="119"/>
  <c r="B259" i="119"/>
  <c r="B258" i="119"/>
  <c r="B257" i="119"/>
  <c r="B256" i="119"/>
  <c r="C255" i="119"/>
  <c r="B255" i="119" s="1"/>
  <c r="C254" i="119"/>
  <c r="B254" i="119" s="1"/>
  <c r="C253" i="119"/>
  <c r="B253" i="119" s="1"/>
  <c r="C252" i="119"/>
  <c r="B252" i="119" s="1"/>
  <c r="C251" i="119"/>
  <c r="B251" i="119" s="1"/>
  <c r="C250" i="119"/>
  <c r="B250" i="119" s="1"/>
  <c r="C244" i="119"/>
  <c r="B244" i="119" s="1"/>
  <c r="B243" i="119"/>
  <c r="B242" i="119"/>
  <c r="B241" i="119"/>
  <c r="B240" i="119"/>
  <c r="C239" i="119"/>
  <c r="B239" i="119" s="1"/>
  <c r="C238" i="119"/>
  <c r="B238" i="119" s="1"/>
  <c r="C237" i="119"/>
  <c r="B237" i="119" s="1"/>
  <c r="C236" i="119"/>
  <c r="B236" i="119" s="1"/>
  <c r="C235" i="119"/>
  <c r="B235" i="119" s="1"/>
  <c r="C234" i="119"/>
  <c r="B234" i="119" s="1"/>
  <c r="C233" i="119"/>
  <c r="B233" i="119" s="1"/>
  <c r="C232" i="119"/>
  <c r="B232" i="119" s="1"/>
  <c r="B226" i="119"/>
  <c r="B225" i="119"/>
  <c r="B224" i="119"/>
  <c r="B223" i="119"/>
  <c r="B222" i="119"/>
  <c r="C221" i="119"/>
  <c r="B221" i="119" s="1"/>
  <c r="C220" i="119"/>
  <c r="B220" i="119" s="1"/>
  <c r="C219" i="119"/>
  <c r="B219" i="119" s="1"/>
  <c r="C218" i="119"/>
  <c r="B218" i="119" s="1"/>
  <c r="C217" i="119"/>
  <c r="B217" i="119" s="1"/>
  <c r="C216" i="119"/>
  <c r="B216" i="119" s="1"/>
  <c r="C215" i="119"/>
  <c r="B215" i="119" s="1"/>
  <c r="C214" i="119"/>
  <c r="B214" i="119" s="1"/>
  <c r="B190" i="119"/>
  <c r="B189" i="119"/>
  <c r="B188" i="119"/>
  <c r="B187" i="119"/>
  <c r="B186" i="119"/>
  <c r="B185" i="119"/>
  <c r="B184" i="119"/>
  <c r="B183" i="119"/>
  <c r="C182" i="119"/>
  <c r="B182" i="119" s="1"/>
  <c r="C181" i="119"/>
  <c r="B181" i="119" s="1"/>
  <c r="C180" i="119"/>
  <c r="B180" i="119" s="1"/>
  <c r="C179" i="119"/>
  <c r="B179" i="119" s="1"/>
  <c r="B178" i="119"/>
  <c r="C172" i="119"/>
  <c r="B172" i="119" s="1"/>
  <c r="B171" i="119"/>
  <c r="B170" i="119"/>
  <c r="B169" i="119"/>
  <c r="B168" i="119"/>
  <c r="C167" i="119"/>
  <c r="B167" i="119" s="1"/>
  <c r="C166" i="119"/>
  <c r="B166" i="119" s="1"/>
  <c r="C165" i="119"/>
  <c r="B165" i="119" s="1"/>
  <c r="C164" i="119"/>
  <c r="B164" i="119" s="1"/>
  <c r="C163" i="119"/>
  <c r="B163" i="119" s="1"/>
  <c r="C162" i="119"/>
  <c r="B162" i="119" s="1"/>
  <c r="C161" i="119"/>
  <c r="B161" i="119" s="1"/>
  <c r="C160" i="119"/>
  <c r="B160" i="119" s="1"/>
  <c r="B154" i="119"/>
  <c r="B153" i="119"/>
  <c r="B152" i="119"/>
  <c r="B151" i="119"/>
  <c r="B150" i="119"/>
  <c r="C149" i="119"/>
  <c r="B149" i="119" s="1"/>
  <c r="C148" i="119"/>
  <c r="B148" i="119" s="1"/>
  <c r="C147" i="119"/>
  <c r="B147" i="119" s="1"/>
  <c r="C146" i="119"/>
  <c r="B146" i="119" s="1"/>
  <c r="C145" i="119"/>
  <c r="B145" i="119" s="1"/>
  <c r="C144" i="119"/>
  <c r="B144" i="119" s="1"/>
  <c r="C143" i="119"/>
  <c r="B143" i="119" s="1"/>
  <c r="C142" i="119"/>
  <c r="B142" i="119" s="1"/>
  <c r="B65" i="119"/>
  <c r="B64" i="119"/>
  <c r="B63" i="119"/>
  <c r="B62" i="119"/>
  <c r="B61" i="119"/>
  <c r="B60" i="119"/>
  <c r="B59" i="119"/>
  <c r="C58" i="119"/>
  <c r="B58" i="119" s="1"/>
  <c r="C57" i="119"/>
  <c r="B57" i="119" s="1"/>
  <c r="C56" i="119"/>
  <c r="B56" i="119" s="1"/>
  <c r="C55" i="119"/>
  <c r="B55" i="119" s="1"/>
  <c r="C54" i="119"/>
  <c r="B54" i="119" s="1"/>
  <c r="C53" i="119"/>
  <c r="B53" i="119" s="1"/>
  <c r="C47" i="119"/>
  <c r="B47" i="119" s="1"/>
  <c r="C46" i="119"/>
  <c r="B46" i="119" s="1"/>
  <c r="C45" i="119"/>
  <c r="B45" i="119" s="1"/>
  <c r="C44" i="119"/>
  <c r="B44" i="119" s="1"/>
  <c r="C43" i="119"/>
  <c r="B43" i="119" s="1"/>
  <c r="C42" i="119"/>
  <c r="B42" i="119" s="1"/>
  <c r="C41" i="119"/>
  <c r="B41" i="119" s="1"/>
  <c r="C40" i="119"/>
  <c r="B40" i="119" s="1"/>
  <c r="C39" i="119"/>
  <c r="B39" i="119" s="1"/>
  <c r="C38" i="119"/>
  <c r="B38" i="119" s="1"/>
  <c r="C37" i="119"/>
  <c r="B37" i="119" s="1"/>
  <c r="C36" i="119"/>
  <c r="B36" i="119" s="1"/>
  <c r="C35" i="119"/>
  <c r="B35" i="119" s="1"/>
  <c r="B29" i="119"/>
  <c r="B28" i="119"/>
  <c r="B27" i="119"/>
  <c r="B26" i="119"/>
  <c r="B25" i="119"/>
  <c r="B24" i="119"/>
  <c r="B23" i="119"/>
  <c r="B22" i="119"/>
  <c r="B21" i="119"/>
  <c r="B20" i="119"/>
  <c r="B19" i="119"/>
  <c r="B18" i="119"/>
  <c r="B17" i="119"/>
  <c r="C12" i="119"/>
  <c r="A10" i="119"/>
  <c r="A9" i="119"/>
  <c r="A8" i="119"/>
  <c r="A111" i="92"/>
  <c r="B41" i="108"/>
  <c r="B15" i="108"/>
  <c r="I8" i="108"/>
  <c r="I7" i="108"/>
  <c r="I6" i="108"/>
  <c r="I5" i="108"/>
  <c r="I4" i="108"/>
  <c r="V49" i="24" l="1"/>
  <c r="AD49" i="24"/>
  <c r="AL49" i="24"/>
  <c r="AT49" i="24"/>
  <c r="S50" i="24"/>
  <c r="AA50" i="24"/>
  <c r="AI50" i="24"/>
  <c r="AQ50" i="24"/>
  <c r="P51" i="24"/>
  <c r="X51" i="24"/>
  <c r="AF51" i="24"/>
  <c r="AN51" i="24"/>
  <c r="AV51" i="24"/>
  <c r="U52" i="24"/>
  <c r="AC52" i="24"/>
  <c r="AK52" i="24"/>
  <c r="AS52" i="24"/>
  <c r="R53" i="24"/>
  <c r="Z53" i="24"/>
  <c r="AH53" i="24"/>
  <c r="AP53" i="24"/>
  <c r="AX53" i="24"/>
  <c r="W49" i="24"/>
  <c r="AE49" i="24"/>
  <c r="AM49" i="24"/>
  <c r="AU49" i="24"/>
  <c r="T50" i="24"/>
  <c r="AB50" i="24"/>
  <c r="AJ50" i="24"/>
  <c r="AR50" i="24"/>
  <c r="Q51" i="24"/>
  <c r="Y51" i="24"/>
  <c r="AG51" i="24"/>
  <c r="AO51" i="24"/>
  <c r="AW51" i="24"/>
  <c r="V52" i="24"/>
  <c r="AD52" i="24"/>
  <c r="AL52" i="24"/>
  <c r="AT52" i="24"/>
  <c r="S53" i="24"/>
  <c r="AA53" i="24"/>
  <c r="AI53" i="24"/>
  <c r="AQ53" i="24"/>
  <c r="O50" i="24"/>
  <c r="P49" i="24"/>
  <c r="X49" i="24"/>
  <c r="AF49" i="24"/>
  <c r="AN49" i="24"/>
  <c r="AV49" i="24"/>
  <c r="U50" i="24"/>
  <c r="AC50" i="24"/>
  <c r="AK50" i="24"/>
  <c r="AS50" i="24"/>
  <c r="R51" i="24"/>
  <c r="Z51" i="24"/>
  <c r="AH51" i="24"/>
  <c r="AP51" i="24"/>
  <c r="AX51" i="24"/>
  <c r="W52" i="24"/>
  <c r="AE52" i="24"/>
  <c r="AM52" i="24"/>
  <c r="AU52" i="24"/>
  <c r="T53" i="24"/>
  <c r="AB53" i="24"/>
  <c r="AJ53" i="24"/>
  <c r="AR53" i="24"/>
  <c r="O51" i="24"/>
  <c r="Q49" i="24"/>
  <c r="Y49" i="24"/>
  <c r="AG49" i="24"/>
  <c r="AO49" i="24"/>
  <c r="AW49" i="24"/>
  <c r="V50" i="24"/>
  <c r="AD50" i="24"/>
  <c r="AL50" i="24"/>
  <c r="AT50" i="24"/>
  <c r="S51" i="24"/>
  <c r="AA51" i="24"/>
  <c r="AI51" i="24"/>
  <c r="AQ51" i="24"/>
  <c r="P52" i="24"/>
  <c r="X52" i="24"/>
  <c r="AF52" i="24"/>
  <c r="AN52" i="24"/>
  <c r="AV52" i="24"/>
  <c r="U53" i="24"/>
  <c r="AC53" i="24"/>
  <c r="AK53" i="24"/>
  <c r="AS53" i="24"/>
  <c r="O52" i="24"/>
  <c r="R49" i="24"/>
  <c r="Z49" i="24"/>
  <c r="AH49" i="24"/>
  <c r="AP49" i="24"/>
  <c r="AX49" i="24"/>
  <c r="W50" i="24"/>
  <c r="AE50" i="24"/>
  <c r="AM50" i="24"/>
  <c r="AU50" i="24"/>
  <c r="T51" i="24"/>
  <c r="AB51" i="24"/>
  <c r="AJ51" i="24"/>
  <c r="AR51" i="24"/>
  <c r="Q52" i="24"/>
  <c r="Y52" i="24"/>
  <c r="AG52" i="24"/>
  <c r="AO52" i="24"/>
  <c r="AW52" i="24"/>
  <c r="V53" i="24"/>
  <c r="AD53" i="24"/>
  <c r="AL53" i="24"/>
  <c r="AT53" i="24"/>
  <c r="O53" i="24"/>
  <c r="S49" i="24"/>
  <c r="AA49" i="24"/>
  <c r="AI49" i="24"/>
  <c r="AQ49" i="24"/>
  <c r="P50" i="24"/>
  <c r="X50" i="24"/>
  <c r="AF50" i="24"/>
  <c r="AN50" i="24"/>
  <c r="AV50" i="24"/>
  <c r="U51" i="24"/>
  <c r="AC51" i="24"/>
  <c r="AK51" i="24"/>
  <c r="AS51" i="24"/>
  <c r="R52" i="24"/>
  <c r="Z52" i="24"/>
  <c r="AH52" i="24"/>
  <c r="AP52" i="24"/>
  <c r="AX52" i="24"/>
  <c r="W53" i="24"/>
  <c r="AE53" i="24"/>
  <c r="AM53" i="24"/>
  <c r="AU53" i="24"/>
  <c r="O49" i="24"/>
  <c r="T49" i="24"/>
  <c r="AB49" i="24"/>
  <c r="AJ49" i="24"/>
  <c r="AR49" i="24"/>
  <c r="Q50" i="24"/>
  <c r="Y50" i="24"/>
  <c r="AG50" i="24"/>
  <c r="AO50" i="24"/>
  <c r="AW50" i="24"/>
  <c r="V51" i="24"/>
  <c r="AD51" i="24"/>
  <c r="AL51" i="24"/>
  <c r="AT51" i="24"/>
  <c r="S52" i="24"/>
  <c r="AA52" i="24"/>
  <c r="AI52" i="24"/>
  <c r="AQ52" i="24"/>
  <c r="P53" i="24"/>
  <c r="X53" i="24"/>
  <c r="AF53" i="24"/>
  <c r="AN53" i="24"/>
  <c r="AV53" i="24"/>
  <c r="U49" i="24"/>
  <c r="AC49" i="24"/>
  <c r="AK49" i="24"/>
  <c r="AS49" i="24"/>
  <c r="R50" i="24"/>
  <c r="Z50" i="24"/>
  <c r="AH50" i="24"/>
  <c r="AP50" i="24"/>
  <c r="AX50" i="24"/>
  <c r="W51" i="24"/>
  <c r="AE51" i="24"/>
  <c r="AM51" i="24"/>
  <c r="AU51" i="24"/>
  <c r="T52" i="24"/>
  <c r="AB52" i="24"/>
  <c r="AJ52" i="24"/>
  <c r="AR52" i="24"/>
  <c r="Q53" i="24"/>
  <c r="Y53" i="24"/>
  <c r="AG53" i="24"/>
  <c r="AO53" i="24"/>
  <c r="AW53" i="24"/>
  <c r="B63" i="82"/>
  <c r="E15" i="106" s="1"/>
  <c r="D63" i="82"/>
  <c r="M42" i="20"/>
  <c r="M50" i="20"/>
  <c r="M19" i="20"/>
  <c r="M27" i="20"/>
  <c r="M35" i="20"/>
  <c r="M43" i="20"/>
  <c r="M51" i="20"/>
  <c r="M20" i="20"/>
  <c r="M28" i="20"/>
  <c r="M17" i="20"/>
  <c r="M44" i="20"/>
  <c r="M52" i="20"/>
  <c r="M21" i="20"/>
  <c r="M29" i="20"/>
  <c r="M45" i="20"/>
  <c r="M53" i="20"/>
  <c r="M22" i="20"/>
  <c r="M30" i="20"/>
  <c r="M38" i="20"/>
  <c r="M46" i="20"/>
  <c r="M54" i="20"/>
  <c r="M23" i="20"/>
  <c r="M31" i="20"/>
  <c r="M39" i="20"/>
  <c r="M47" i="20"/>
  <c r="M55" i="20"/>
  <c r="M24" i="20"/>
  <c r="M32" i="20"/>
  <c r="M40" i="20"/>
  <c r="M48" i="20"/>
  <c r="M37" i="20"/>
  <c r="M25" i="20"/>
  <c r="M33" i="20"/>
  <c r="M41" i="20"/>
  <c r="M49" i="20"/>
  <c r="M18" i="20"/>
  <c r="M26" i="20"/>
  <c r="M34" i="20"/>
  <c r="Q209" i="68"/>
  <c r="P209" i="68"/>
  <c r="AW29" i="24"/>
  <c r="AS38" i="94" s="1"/>
  <c r="O29" i="24"/>
  <c r="P29" i="24"/>
  <c r="X21" i="82"/>
  <c r="Z23" i="82"/>
  <c r="AK81" i="113"/>
  <c r="AT81" i="113"/>
  <c r="BL81" i="113"/>
  <c r="BU81" i="113"/>
  <c r="CC81" i="113"/>
  <c r="J81" i="113"/>
  <c r="S81" i="113"/>
  <c r="AA81" i="113"/>
  <c r="F33" i="82"/>
  <c r="V23" i="82"/>
  <c r="F24" i="82"/>
  <c r="H30" i="82"/>
  <c r="G23" i="82"/>
  <c r="O23" i="82"/>
  <c r="S24" i="82"/>
  <c r="AJ81" i="113"/>
  <c r="AS81" i="113"/>
  <c r="BA81" i="113"/>
  <c r="BK81" i="113"/>
  <c r="BT81" i="113"/>
  <c r="CB81" i="113"/>
  <c r="I81" i="113"/>
  <c r="R81" i="113"/>
  <c r="Z81" i="113"/>
  <c r="BV29" i="113"/>
  <c r="T22" i="82"/>
  <c r="BV81" i="113"/>
  <c r="BG26" i="113"/>
  <c r="BG31" i="113"/>
  <c r="BG23" i="113"/>
  <c r="F23" i="82"/>
  <c r="M23" i="82"/>
  <c r="E14" i="52"/>
  <c r="F10" i="52"/>
  <c r="AX375" i="68"/>
  <c r="AP375" i="68"/>
  <c r="AH375" i="68"/>
  <c r="Z375" i="68"/>
  <c r="R375" i="68"/>
  <c r="AW375" i="68"/>
  <c r="AO375" i="68"/>
  <c r="AG375" i="68"/>
  <c r="Y375" i="68"/>
  <c r="Q375" i="68"/>
  <c r="AS375" i="68"/>
  <c r="AV375" i="68"/>
  <c r="AN375" i="68"/>
  <c r="AF375" i="68"/>
  <c r="X375" i="68"/>
  <c r="P375" i="68"/>
  <c r="AC375" i="68"/>
  <c r="AU375" i="68"/>
  <c r="AM375" i="68"/>
  <c r="AE375" i="68"/>
  <c r="W375" i="68"/>
  <c r="U375" i="68"/>
  <c r="AT375" i="68"/>
  <c r="AL375" i="68"/>
  <c r="AD375" i="68"/>
  <c r="V375" i="68"/>
  <c r="AK375" i="68"/>
  <c r="AR375" i="68"/>
  <c r="AJ375" i="68"/>
  <c r="AB375" i="68"/>
  <c r="T375" i="68"/>
  <c r="AQ375" i="68"/>
  <c r="AI375" i="68"/>
  <c r="AA375" i="68"/>
  <c r="S375" i="68"/>
  <c r="AX168" i="68"/>
  <c r="AP168" i="68"/>
  <c r="AH168" i="68"/>
  <c r="Z168" i="68"/>
  <c r="R168" i="68"/>
  <c r="AW168" i="68"/>
  <c r="AO168" i="68"/>
  <c r="AG168" i="68"/>
  <c r="Y168" i="68"/>
  <c r="Q168" i="68"/>
  <c r="AV168" i="68"/>
  <c r="AN168" i="68"/>
  <c r="AF168" i="68"/>
  <c r="X168" i="68"/>
  <c r="P168" i="68"/>
  <c r="AU168" i="68"/>
  <c r="AM168" i="68"/>
  <c r="AE168" i="68"/>
  <c r="W168" i="68"/>
  <c r="AA168" i="68"/>
  <c r="AT168" i="68"/>
  <c r="AL168" i="68"/>
  <c r="AD168" i="68"/>
  <c r="V168" i="68"/>
  <c r="S168" i="68"/>
  <c r="AS168" i="68"/>
  <c r="AK168" i="68"/>
  <c r="AC168" i="68"/>
  <c r="U168" i="68"/>
  <c r="AI168" i="68"/>
  <c r="AR168" i="68"/>
  <c r="AJ168" i="68"/>
  <c r="AB168" i="68"/>
  <c r="T168" i="68"/>
  <c r="AQ168" i="68"/>
  <c r="Q127" i="68"/>
  <c r="AO81" i="113"/>
  <c r="W21" i="82"/>
  <c r="AH81" i="113"/>
  <c r="AY81" i="113"/>
  <c r="BI81" i="113"/>
  <c r="BZ81" i="113"/>
  <c r="G81" i="113"/>
  <c r="O81" i="113"/>
  <c r="X81" i="113"/>
  <c r="AI81" i="113"/>
  <c r="AR81" i="113"/>
  <c r="AZ81" i="113"/>
  <c r="BS81" i="113"/>
  <c r="CA81" i="113"/>
  <c r="H81" i="113"/>
  <c r="Q81" i="113"/>
  <c r="Y81" i="113"/>
  <c r="AB45" i="82"/>
  <c r="AB41" i="82"/>
  <c r="AB25" i="82"/>
  <c r="AB24" i="82"/>
  <c r="AP81" i="113"/>
  <c r="AG82" i="113"/>
  <c r="AK82" i="113"/>
  <c r="AO82" i="113"/>
  <c r="AT82" i="113"/>
  <c r="AX82" i="113"/>
  <c r="BH82" i="113"/>
  <c r="BL82" i="113"/>
  <c r="BP82" i="113"/>
  <c r="BU82" i="113"/>
  <c r="BY82" i="113"/>
  <c r="CC82" i="113"/>
  <c r="O82" i="113"/>
  <c r="T82" i="113"/>
  <c r="X82" i="113"/>
  <c r="AB82" i="113"/>
  <c r="H24" i="82"/>
  <c r="K24" i="82"/>
  <c r="M24" i="82"/>
  <c r="U24" i="82"/>
  <c r="X24" i="82"/>
  <c r="BB82" i="113"/>
  <c r="AB21" i="82"/>
  <c r="E13" i="99"/>
  <c r="E41" i="99" s="1"/>
  <c r="D41" i="99"/>
  <c r="E169" i="99"/>
  <c r="D197" i="99"/>
  <c r="AL82" i="113"/>
  <c r="AL85" i="113" s="1"/>
  <c r="AU82" i="113"/>
  <c r="AU85" i="113" s="1"/>
  <c r="BC82" i="113"/>
  <c r="BM82" i="113"/>
  <c r="CD82" i="113"/>
  <c r="K82" i="113"/>
  <c r="K85" i="113" s="1"/>
  <c r="Q416" i="68"/>
  <c r="AG416" i="68"/>
  <c r="AW416" i="68"/>
  <c r="E91" i="99"/>
  <c r="D119" i="99"/>
  <c r="K197" i="99"/>
  <c r="AC197" i="99" s="1"/>
  <c r="AM82" i="113"/>
  <c r="AM85" i="113" s="1"/>
  <c r="AV82" i="113"/>
  <c r="BF82" i="113"/>
  <c r="BF85" i="113" s="1"/>
  <c r="BF35" i="113" s="1"/>
  <c r="V82" i="113"/>
  <c r="V85" i="113" s="1"/>
  <c r="R416" i="68"/>
  <c r="Z416" i="68"/>
  <c r="AH416" i="68"/>
  <c r="AP416" i="68"/>
  <c r="AX416" i="68"/>
  <c r="E47" i="99"/>
  <c r="E81" i="99" s="1"/>
  <c r="D81" i="99"/>
  <c r="BV82" i="113"/>
  <c r="BV85" i="113" s="1"/>
  <c r="BV35" i="113" s="1"/>
  <c r="Y416" i="68"/>
  <c r="AO416" i="68"/>
  <c r="E8" i="99"/>
  <c r="E42" i="99" s="1"/>
  <c r="W42" i="99" s="1"/>
  <c r="D42" i="99"/>
  <c r="D198" i="99"/>
  <c r="P197" i="99"/>
  <c r="AH197" i="99" s="1"/>
  <c r="K276" i="99"/>
  <c r="AC276" i="99" s="1"/>
  <c r="AF82" i="113"/>
  <c r="AN82" i="113"/>
  <c r="AW82" i="113"/>
  <c r="BG82" i="113"/>
  <c r="BG85" i="113" s="1"/>
  <c r="BG35" i="113" s="1"/>
  <c r="BO82" i="113"/>
  <c r="BX82" i="113"/>
  <c r="E82" i="113"/>
  <c r="E85" i="113" s="1"/>
  <c r="M82" i="113"/>
  <c r="M85" i="113" s="1"/>
  <c r="W82" i="113"/>
  <c r="S416" i="68"/>
  <c r="AA416" i="68"/>
  <c r="AQ416" i="68"/>
  <c r="D120" i="99"/>
  <c r="AH82" i="113"/>
  <c r="AH85" i="113" s="1"/>
  <c r="I21" i="82"/>
  <c r="AY82" i="113"/>
  <c r="BI82" i="113"/>
  <c r="BZ82" i="113"/>
  <c r="AC416" i="68"/>
  <c r="AS416" i="68"/>
  <c r="B55" i="82"/>
  <c r="AI82" i="113"/>
  <c r="AI85" i="113" s="1"/>
  <c r="AR82" i="113"/>
  <c r="AR85" i="113" s="1"/>
  <c r="S21" i="82"/>
  <c r="AZ82" i="113"/>
  <c r="R82" i="113"/>
  <c r="Z82" i="113"/>
  <c r="Z85" i="113" s="1"/>
  <c r="BB81" i="113"/>
  <c r="AB26" i="82"/>
  <c r="V416" i="68"/>
  <c r="AD416" i="68"/>
  <c r="AL416" i="68"/>
  <c r="AT416" i="68"/>
  <c r="C55" i="82"/>
  <c r="E130" i="99"/>
  <c r="E158" i="99" s="1"/>
  <c r="D158" i="99"/>
  <c r="AP82" i="113"/>
  <c r="AP85" i="113" s="1"/>
  <c r="BQ82" i="113"/>
  <c r="BQ85" i="113" s="1"/>
  <c r="BQ35" i="113" s="1"/>
  <c r="G82" i="113"/>
  <c r="G85" i="113" s="1"/>
  <c r="U416" i="68"/>
  <c r="AK416" i="68"/>
  <c r="E52" i="99"/>
  <c r="E80" i="99" s="1"/>
  <c r="D80" i="99"/>
  <c r="E125" i="99"/>
  <c r="E159" i="99" s="1"/>
  <c r="D159" i="99"/>
  <c r="AJ82" i="113"/>
  <c r="AJ85" i="113" s="1"/>
  <c r="AS82" i="113"/>
  <c r="BA82" i="113"/>
  <c r="BK82" i="113"/>
  <c r="BT82" i="113"/>
  <c r="CB82" i="113"/>
  <c r="I82" i="113"/>
  <c r="AA82" i="113"/>
  <c r="AA85" i="113" s="1"/>
  <c r="O416" i="68"/>
  <c r="W416" i="68"/>
  <c r="AE416" i="68"/>
  <c r="AM416" i="68"/>
  <c r="AU416" i="68"/>
  <c r="B62" i="101"/>
  <c r="B25" i="101" s="1"/>
  <c r="B58" i="101"/>
  <c r="B54" i="101"/>
  <c r="B50" i="101"/>
  <c r="B61" i="101"/>
  <c r="AK24" i="101" s="1"/>
  <c r="AX120" i="59" s="1"/>
  <c r="AX121" i="59" s="1"/>
  <c r="B57" i="101"/>
  <c r="B53" i="101"/>
  <c r="B49" i="101"/>
  <c r="B63" i="101"/>
  <c r="L25" i="101" s="1"/>
  <c r="B59" i="101"/>
  <c r="B24" i="101" s="1"/>
  <c r="O120" i="59" s="1"/>
  <c r="O121" i="59" s="1"/>
  <c r="O75" i="60" s="1"/>
  <c r="Q84" i="61" s="1"/>
  <c r="Q86" i="62" s="1"/>
  <c r="B55" i="101"/>
  <c r="B51" i="101"/>
  <c r="B47" i="101"/>
  <c r="B64" i="101"/>
  <c r="AK25" i="101" s="1"/>
  <c r="AX123" i="59" s="1"/>
  <c r="B60" i="101"/>
  <c r="L24" i="101" s="1"/>
  <c r="Y120" i="59" s="1"/>
  <c r="Y121" i="59" s="1"/>
  <c r="B56" i="101"/>
  <c r="B52" i="101"/>
  <c r="B48" i="101"/>
  <c r="C54" i="82"/>
  <c r="B54" i="82"/>
  <c r="BJ5" i="113"/>
  <c r="BJ81" i="113"/>
  <c r="BW5" i="113"/>
  <c r="BW81" i="113"/>
  <c r="BJ82" i="113"/>
  <c r="BJ85" i="113" s="1"/>
  <c r="BJ35" i="113" s="1"/>
  <c r="BN82" i="113"/>
  <c r="BS82" i="113"/>
  <c r="BW82" i="113"/>
  <c r="CA82" i="113"/>
  <c r="D82" i="113"/>
  <c r="H82" i="113"/>
  <c r="L82" i="113"/>
  <c r="L85" i="113" s="1"/>
  <c r="Q82" i="113"/>
  <c r="Q85" i="113" s="1"/>
  <c r="U82" i="113"/>
  <c r="Y82" i="113"/>
  <c r="AE82" i="113"/>
  <c r="AE85" i="113" s="1"/>
  <c r="BG5" i="113"/>
  <c r="BG81" i="113"/>
  <c r="BX5" i="113"/>
  <c r="BX81" i="113"/>
  <c r="BP5" i="113"/>
  <c r="BP81" i="113"/>
  <c r="F82" i="113"/>
  <c r="J82" i="113"/>
  <c r="N82" i="113"/>
  <c r="S82" i="113"/>
  <c r="S85" i="113" s="1"/>
  <c r="BQ5" i="113"/>
  <c r="BQ81" i="113"/>
  <c r="CD5" i="113"/>
  <c r="CD81" i="113"/>
  <c r="AM275" i="99"/>
  <c r="AN275" i="99" s="1"/>
  <c r="AO275" i="99" s="1"/>
  <c r="AP275" i="99" s="1"/>
  <c r="AQ275" i="99" s="1"/>
  <c r="AR275" i="99" s="1"/>
  <c r="AS275" i="99" s="1"/>
  <c r="AT275" i="99" s="1"/>
  <c r="AU275" i="99" s="1"/>
  <c r="AV275" i="99" s="1"/>
  <c r="AW275" i="99" s="1"/>
  <c r="AX275" i="99" s="1"/>
  <c r="AY275" i="99" s="1"/>
  <c r="AZ275" i="99" s="1"/>
  <c r="BA275" i="99" s="1"/>
  <c r="BB275" i="99" s="1"/>
  <c r="BC275" i="99" s="1"/>
  <c r="BD275" i="99" s="1"/>
  <c r="BE275" i="99" s="1"/>
  <c r="BF275" i="99" s="1"/>
  <c r="AM276" i="99"/>
  <c r="AN276" i="99" s="1"/>
  <c r="AO276" i="99" s="1"/>
  <c r="AP276" i="99" s="1"/>
  <c r="AQ276" i="99" s="1"/>
  <c r="AR276" i="99" s="1"/>
  <c r="AS276" i="99" s="1"/>
  <c r="AT276" i="99" s="1"/>
  <c r="AU276" i="99" s="1"/>
  <c r="AV276" i="99" s="1"/>
  <c r="AW276" i="99" s="1"/>
  <c r="AX276" i="99" s="1"/>
  <c r="AY276" i="99" s="1"/>
  <c r="AZ276" i="99" s="1"/>
  <c r="BA276" i="99" s="1"/>
  <c r="BB276" i="99" s="1"/>
  <c r="BC276" i="99" s="1"/>
  <c r="BD276" i="99" s="1"/>
  <c r="BE276" i="99" s="1"/>
  <c r="BF276" i="99" s="1"/>
  <c r="Q242" i="99"/>
  <c r="R242" i="99" s="1"/>
  <c r="P276" i="99"/>
  <c r="AH276" i="99" s="1"/>
  <c r="E247" i="99"/>
  <c r="E275" i="99" s="1"/>
  <c r="D275" i="99"/>
  <c r="L247" i="99"/>
  <c r="K275" i="99"/>
  <c r="AC275" i="99" s="1"/>
  <c r="E242" i="99"/>
  <c r="E276" i="99" s="1"/>
  <c r="D276" i="99"/>
  <c r="Q247" i="99"/>
  <c r="P275" i="99"/>
  <c r="AH275" i="99" s="1"/>
  <c r="D204" i="99"/>
  <c r="E204" i="99" s="1"/>
  <c r="T237" i="99"/>
  <c r="T236" i="99"/>
  <c r="E203" i="99"/>
  <c r="F203" i="99" s="1"/>
  <c r="K198" i="99"/>
  <c r="AC198" i="99" s="1"/>
  <c r="Q164" i="99"/>
  <c r="R164" i="99" s="1"/>
  <c r="P198" i="99"/>
  <c r="AH198" i="99" s="1"/>
  <c r="P158" i="99"/>
  <c r="AH158" i="99" s="1"/>
  <c r="P159" i="99"/>
  <c r="AH159" i="99" s="1"/>
  <c r="K158" i="99"/>
  <c r="AC158" i="99" s="1"/>
  <c r="K119" i="99"/>
  <c r="AC119" i="99" s="1"/>
  <c r="L125" i="99"/>
  <c r="M125" i="99" s="1"/>
  <c r="K159" i="99"/>
  <c r="AC159" i="99" s="1"/>
  <c r="P120" i="99"/>
  <c r="AH120" i="99" s="1"/>
  <c r="P119" i="99"/>
  <c r="AH119" i="99" s="1"/>
  <c r="K120" i="99"/>
  <c r="AC120" i="99" s="1"/>
  <c r="L13" i="99"/>
  <c r="K41" i="99"/>
  <c r="AC41" i="99" s="1"/>
  <c r="K42" i="99"/>
  <c r="AC42" i="99" s="1"/>
  <c r="L47" i="99"/>
  <c r="M47" i="99" s="1"/>
  <c r="K81" i="99"/>
  <c r="AC81" i="99" s="1"/>
  <c r="Q52" i="99"/>
  <c r="R52" i="99" s="1"/>
  <c r="P80" i="99"/>
  <c r="AH80" i="99" s="1"/>
  <c r="P42" i="99"/>
  <c r="AH42" i="99" s="1"/>
  <c r="P81" i="99"/>
  <c r="AH81" i="99" s="1"/>
  <c r="P41" i="99"/>
  <c r="AH41" i="99" s="1"/>
  <c r="K80" i="99"/>
  <c r="AC80" i="99" s="1"/>
  <c r="N24" i="82"/>
  <c r="T24" i="82"/>
  <c r="AA24" i="82"/>
  <c r="C42" i="97"/>
  <c r="AJ334" i="68"/>
  <c r="AH54" i="99"/>
  <c r="L21" i="82"/>
  <c r="Y21" i="82"/>
  <c r="I23" i="82"/>
  <c r="L23" i="82"/>
  <c r="Y23" i="82"/>
  <c r="F25" i="82"/>
  <c r="M25" i="82"/>
  <c r="S25" i="82"/>
  <c r="F26" i="82"/>
  <c r="M26" i="82"/>
  <c r="S26" i="82"/>
  <c r="F27" i="82"/>
  <c r="M27" i="82"/>
  <c r="S27" i="82"/>
  <c r="F28" i="82"/>
  <c r="M28" i="82"/>
  <c r="S28" i="82"/>
  <c r="F29" i="82"/>
  <c r="M29" i="82"/>
  <c r="S29" i="82"/>
  <c r="F30" i="82"/>
  <c r="M30" i="82"/>
  <c r="S30" i="82"/>
  <c r="F31" i="82"/>
  <c r="M31" i="82"/>
  <c r="S31" i="82"/>
  <c r="F32" i="82"/>
  <c r="M32" i="82"/>
  <c r="S32" i="82"/>
  <c r="M33" i="82"/>
  <c r="S33" i="82"/>
  <c r="F34" i="82"/>
  <c r="AB47" i="118"/>
  <c r="F21" i="82"/>
  <c r="M21" i="82"/>
  <c r="S23" i="82"/>
  <c r="J24" i="82"/>
  <c r="W24" i="82"/>
  <c r="J25" i="82"/>
  <c r="N25" i="82"/>
  <c r="T25" i="82"/>
  <c r="W25" i="82"/>
  <c r="AA25" i="82"/>
  <c r="J26" i="82"/>
  <c r="N26" i="82"/>
  <c r="T26" i="82"/>
  <c r="W26" i="82"/>
  <c r="AA26" i="82"/>
  <c r="J27" i="82"/>
  <c r="N27" i="82"/>
  <c r="T27" i="82"/>
  <c r="W27" i="82"/>
  <c r="AA27" i="82"/>
  <c r="J28" i="82"/>
  <c r="N28" i="82"/>
  <c r="T28" i="82"/>
  <c r="W28" i="82"/>
  <c r="AA28" i="82"/>
  <c r="J29" i="82"/>
  <c r="N29" i="82"/>
  <c r="T29" i="82"/>
  <c r="W29" i="82"/>
  <c r="AA29" i="82"/>
  <c r="J30" i="82"/>
  <c r="N30" i="82"/>
  <c r="T30" i="82"/>
  <c r="W30" i="82"/>
  <c r="AA30" i="82"/>
  <c r="J31" i="82"/>
  <c r="N31" i="82"/>
  <c r="T31" i="82"/>
  <c r="W31" i="82"/>
  <c r="AA31" i="82"/>
  <c r="J32" i="82"/>
  <c r="N32" i="82"/>
  <c r="T32" i="82"/>
  <c r="W32" i="82"/>
  <c r="AA32" i="82"/>
  <c r="J33" i="82"/>
  <c r="N33" i="82"/>
  <c r="T33" i="82"/>
  <c r="N21" i="82"/>
  <c r="T21" i="82"/>
  <c r="AA21" i="82"/>
  <c r="N23" i="82"/>
  <c r="T23" i="82"/>
  <c r="AA23" i="82"/>
  <c r="H25" i="82"/>
  <c r="K25" i="82"/>
  <c r="U25" i="82"/>
  <c r="X25" i="82"/>
  <c r="AH9" i="99"/>
  <c r="AH40" i="99"/>
  <c r="AC10" i="99"/>
  <c r="K277" i="99"/>
  <c r="K278" i="99" s="1"/>
  <c r="L242" i="99"/>
  <c r="M242" i="99" s="1"/>
  <c r="W33" i="82"/>
  <c r="AA33" i="82"/>
  <c r="J34" i="82"/>
  <c r="N34" i="82"/>
  <c r="T34" i="82"/>
  <c r="W34" i="82"/>
  <c r="AA34" i="82"/>
  <c r="J35" i="82"/>
  <c r="N35" i="82"/>
  <c r="T35" i="82"/>
  <c r="W35" i="82"/>
  <c r="AA35" i="82"/>
  <c r="J36" i="82"/>
  <c r="N36" i="82"/>
  <c r="T36" i="82"/>
  <c r="W36" i="82"/>
  <c r="AA36" i="82"/>
  <c r="J37" i="82"/>
  <c r="N37" i="82"/>
  <c r="T37" i="82"/>
  <c r="W37" i="82"/>
  <c r="AA37" i="82"/>
  <c r="J38" i="82"/>
  <c r="N38" i="82"/>
  <c r="T38" i="82"/>
  <c r="W38" i="82"/>
  <c r="AA38" i="82"/>
  <c r="J39" i="82"/>
  <c r="N39" i="82"/>
  <c r="T39" i="82"/>
  <c r="W39" i="82"/>
  <c r="AA39" i="82"/>
  <c r="J40" i="82"/>
  <c r="N40" i="82"/>
  <c r="T40" i="82"/>
  <c r="W40" i="82"/>
  <c r="AA40" i="82"/>
  <c r="J41" i="82"/>
  <c r="N41" i="82"/>
  <c r="T41" i="82"/>
  <c r="W41" i="82"/>
  <c r="AA41" i="82"/>
  <c r="J42" i="82"/>
  <c r="N42" i="82"/>
  <c r="T42" i="82"/>
  <c r="W42" i="82"/>
  <c r="AA42" i="82"/>
  <c r="J43" i="82"/>
  <c r="N43" i="82"/>
  <c r="T43" i="82"/>
  <c r="W43" i="82"/>
  <c r="AA43" i="82"/>
  <c r="J44" i="82"/>
  <c r="N44" i="82"/>
  <c r="T44" i="82"/>
  <c r="W44" i="82"/>
  <c r="AA44" i="82"/>
  <c r="J45" i="82"/>
  <c r="N45" i="82"/>
  <c r="T45" i="82"/>
  <c r="W45" i="82"/>
  <c r="AA45" i="82"/>
  <c r="J46" i="82"/>
  <c r="N46" i="82"/>
  <c r="T46" i="82"/>
  <c r="W46" i="82"/>
  <c r="AA46" i="82"/>
  <c r="H26" i="82"/>
  <c r="K26" i="82"/>
  <c r="U26" i="82"/>
  <c r="X26" i="82"/>
  <c r="H27" i="82"/>
  <c r="K27" i="82"/>
  <c r="U27" i="82"/>
  <c r="X27" i="82"/>
  <c r="H28" i="82"/>
  <c r="K28" i="82"/>
  <c r="U28" i="82"/>
  <c r="X28" i="82"/>
  <c r="H29" i="82"/>
  <c r="K29" i="82"/>
  <c r="U29" i="82"/>
  <c r="X29" i="82"/>
  <c r="K30" i="82"/>
  <c r="U30" i="82"/>
  <c r="X30" i="82"/>
  <c r="H31" i="82"/>
  <c r="K31" i="82"/>
  <c r="U31" i="82"/>
  <c r="X31" i="82"/>
  <c r="H32" i="82"/>
  <c r="K32" i="82"/>
  <c r="U32" i="82"/>
  <c r="X32" i="82"/>
  <c r="H33" i="82"/>
  <c r="K33" i="82"/>
  <c r="U33" i="82"/>
  <c r="X33" i="82"/>
  <c r="H34" i="82"/>
  <c r="K34" i="82"/>
  <c r="U34" i="82"/>
  <c r="X34" i="82"/>
  <c r="H35" i="82"/>
  <c r="K35" i="82"/>
  <c r="U35" i="82"/>
  <c r="X35" i="82"/>
  <c r="H36" i="82"/>
  <c r="K36" i="82"/>
  <c r="U36" i="82"/>
  <c r="X36" i="82"/>
  <c r="H37" i="82"/>
  <c r="K37" i="82"/>
  <c r="U37" i="82"/>
  <c r="X37" i="82"/>
  <c r="H38" i="82"/>
  <c r="K38" i="82"/>
  <c r="U38" i="82"/>
  <c r="X38" i="82"/>
  <c r="H39" i="82"/>
  <c r="K39" i="82"/>
  <c r="U39" i="82"/>
  <c r="X39" i="82"/>
  <c r="H40" i="82"/>
  <c r="F64" i="99"/>
  <c r="F72" i="99"/>
  <c r="G72" i="99" s="1"/>
  <c r="K40" i="82"/>
  <c r="U40" i="82"/>
  <c r="X40" i="82"/>
  <c r="H41" i="82"/>
  <c r="K41" i="82"/>
  <c r="U41" i="82"/>
  <c r="X41" i="82"/>
  <c r="H42" i="82"/>
  <c r="K42" i="82"/>
  <c r="U42" i="82"/>
  <c r="X42" i="82"/>
  <c r="H43" i="82"/>
  <c r="K43" i="82"/>
  <c r="U43" i="82"/>
  <c r="X43" i="82"/>
  <c r="H44" i="82"/>
  <c r="K44" i="82"/>
  <c r="U44" i="82"/>
  <c r="X44" i="82"/>
  <c r="H45" i="82"/>
  <c r="K45" i="82"/>
  <c r="U45" i="82"/>
  <c r="X45" i="82"/>
  <c r="H46" i="82"/>
  <c r="K46" i="82"/>
  <c r="U46" i="82"/>
  <c r="X46" i="82"/>
  <c r="H47" i="82"/>
  <c r="K47" i="82"/>
  <c r="U47" i="82"/>
  <c r="X47" i="82"/>
  <c r="H48" i="82"/>
  <c r="K48" i="82"/>
  <c r="U48" i="82"/>
  <c r="X48" i="82"/>
  <c r="H49" i="82"/>
  <c r="K49" i="82"/>
  <c r="U49" i="82"/>
  <c r="X49" i="82"/>
  <c r="H50" i="82"/>
  <c r="K50" i="82"/>
  <c r="U50" i="82"/>
  <c r="X50" i="82"/>
  <c r="H51" i="82"/>
  <c r="K51" i="82"/>
  <c r="U51" i="82"/>
  <c r="X51" i="82"/>
  <c r="H52" i="82"/>
  <c r="K52" i="82"/>
  <c r="U52" i="82"/>
  <c r="X52" i="82"/>
  <c r="H53" i="82"/>
  <c r="K53" i="82"/>
  <c r="U53" i="82"/>
  <c r="X53" i="82"/>
  <c r="H21" i="82"/>
  <c r="K21" i="82"/>
  <c r="U21" i="82"/>
  <c r="H23" i="82"/>
  <c r="K23" i="82"/>
  <c r="U23" i="82"/>
  <c r="X23" i="82"/>
  <c r="I24" i="82"/>
  <c r="L24" i="82"/>
  <c r="Y24" i="82"/>
  <c r="I25" i="82"/>
  <c r="L25" i="82"/>
  <c r="Y25" i="82"/>
  <c r="I26" i="82"/>
  <c r="L26" i="82"/>
  <c r="Y26" i="82"/>
  <c r="I27" i="82"/>
  <c r="L27" i="82"/>
  <c r="Y27" i="82"/>
  <c r="I28" i="82"/>
  <c r="L28" i="82"/>
  <c r="Y28" i="82"/>
  <c r="I29" i="82"/>
  <c r="L29" i="82"/>
  <c r="Y29" i="82"/>
  <c r="I30" i="82"/>
  <c r="L30" i="82"/>
  <c r="Y30" i="82"/>
  <c r="I31" i="82"/>
  <c r="L31" i="82"/>
  <c r="Y31" i="82"/>
  <c r="I32" i="82"/>
  <c r="L32" i="82"/>
  <c r="Y32" i="82"/>
  <c r="I33" i="82"/>
  <c r="L33" i="82"/>
  <c r="Y33" i="82"/>
  <c r="I34" i="82"/>
  <c r="L34" i="82"/>
  <c r="Y34" i="82"/>
  <c r="I35" i="82"/>
  <c r="L35" i="82"/>
  <c r="Y35" i="82"/>
  <c r="I36" i="82"/>
  <c r="L36" i="82"/>
  <c r="Y36" i="82"/>
  <c r="I37" i="82"/>
  <c r="L37" i="82"/>
  <c r="Y37" i="82"/>
  <c r="I38" i="82"/>
  <c r="L38" i="82"/>
  <c r="Y38" i="82"/>
  <c r="I39" i="82"/>
  <c r="L39" i="82"/>
  <c r="Y39" i="82"/>
  <c r="I40" i="82"/>
  <c r="L40" i="82"/>
  <c r="Y40" i="82"/>
  <c r="I41" i="82"/>
  <c r="M34" i="82"/>
  <c r="S34" i="82"/>
  <c r="F35" i="82"/>
  <c r="M35" i="82"/>
  <c r="S35" i="82"/>
  <c r="F36" i="82"/>
  <c r="M36" i="82"/>
  <c r="S36" i="82"/>
  <c r="F37" i="82"/>
  <c r="M37" i="82"/>
  <c r="S37" i="82"/>
  <c r="F38" i="82"/>
  <c r="M38" i="82"/>
  <c r="S38" i="82"/>
  <c r="F39" i="82"/>
  <c r="M39" i="82"/>
  <c r="S39" i="82"/>
  <c r="F40" i="82"/>
  <c r="M40" i="82"/>
  <c r="S40" i="82"/>
  <c r="F41" i="82"/>
  <c r="M41" i="82"/>
  <c r="S41" i="82"/>
  <c r="F42" i="82"/>
  <c r="M42" i="82"/>
  <c r="S42" i="82"/>
  <c r="F43" i="82"/>
  <c r="M43" i="82"/>
  <c r="S43" i="82"/>
  <c r="F44" i="82"/>
  <c r="M44" i="82"/>
  <c r="S44" i="82"/>
  <c r="F45" i="82"/>
  <c r="M45" i="82"/>
  <c r="S45" i="82"/>
  <c r="F46" i="82"/>
  <c r="M46" i="82"/>
  <c r="S46" i="82"/>
  <c r="F47" i="82"/>
  <c r="M47" i="82"/>
  <c r="S47" i="82"/>
  <c r="F48" i="82"/>
  <c r="M48" i="82"/>
  <c r="S48" i="82"/>
  <c r="F49" i="82"/>
  <c r="M49" i="82"/>
  <c r="S49" i="82"/>
  <c r="F50" i="82"/>
  <c r="M50" i="82"/>
  <c r="S50" i="82"/>
  <c r="F51" i="82"/>
  <c r="M51" i="82"/>
  <c r="S51" i="82"/>
  <c r="F52" i="82"/>
  <c r="M52" i="82"/>
  <c r="S52" i="82"/>
  <c r="F53" i="82"/>
  <c r="M53" i="82"/>
  <c r="S53" i="82"/>
  <c r="L41" i="82"/>
  <c r="Y41" i="82"/>
  <c r="I42" i="82"/>
  <c r="L42" i="82"/>
  <c r="Y42" i="82"/>
  <c r="I43" i="82"/>
  <c r="L43" i="82"/>
  <c r="Y43" i="82"/>
  <c r="I44" i="82"/>
  <c r="L44" i="82"/>
  <c r="Y44" i="82"/>
  <c r="I45" i="82"/>
  <c r="L45" i="82"/>
  <c r="Y45" i="82"/>
  <c r="I46" i="82"/>
  <c r="L46" i="82"/>
  <c r="Y46" i="82"/>
  <c r="I47" i="82"/>
  <c r="L47" i="82"/>
  <c r="Y47" i="82"/>
  <c r="I48" i="82"/>
  <c r="L48" i="82"/>
  <c r="Y48" i="82"/>
  <c r="I49" i="82"/>
  <c r="L49" i="82"/>
  <c r="Y49" i="82"/>
  <c r="I50" i="82"/>
  <c r="L50" i="82"/>
  <c r="Y50" i="82"/>
  <c r="I51" i="82"/>
  <c r="L51" i="82"/>
  <c r="Y51" i="82"/>
  <c r="I52" i="82"/>
  <c r="L52" i="82"/>
  <c r="Y52" i="82"/>
  <c r="I53" i="82"/>
  <c r="L53" i="82"/>
  <c r="Y53" i="82"/>
  <c r="AV86" i="68"/>
  <c r="AJ252" i="68"/>
  <c r="J47" i="82"/>
  <c r="N47" i="82"/>
  <c r="T47" i="82"/>
  <c r="W47" i="82"/>
  <c r="AA47" i="82"/>
  <c r="J48" i="82"/>
  <c r="N48" i="82"/>
  <c r="T48" i="82"/>
  <c r="W48" i="82"/>
  <c r="AA48" i="82"/>
  <c r="J49" i="82"/>
  <c r="N49" i="82"/>
  <c r="T49" i="82"/>
  <c r="W49" i="82"/>
  <c r="AA49" i="82"/>
  <c r="J50" i="82"/>
  <c r="N50" i="82"/>
  <c r="T50" i="82"/>
  <c r="W50" i="82"/>
  <c r="AA50" i="82"/>
  <c r="J51" i="82"/>
  <c r="N51" i="82"/>
  <c r="T51" i="82"/>
  <c r="W51" i="82"/>
  <c r="AA51" i="82"/>
  <c r="J52" i="82"/>
  <c r="N52" i="82"/>
  <c r="T52" i="82"/>
  <c r="W52" i="82"/>
  <c r="AA52" i="82"/>
  <c r="J53" i="82"/>
  <c r="N53" i="82"/>
  <c r="T53" i="82"/>
  <c r="W53" i="82"/>
  <c r="AA53" i="82"/>
  <c r="B133" i="113"/>
  <c r="C34" i="113"/>
  <c r="C30" i="113"/>
  <c r="C26" i="113"/>
  <c r="C22" i="113"/>
  <c r="C18" i="113"/>
  <c r="C14" i="113"/>
  <c r="C10" i="113"/>
  <c r="C6" i="113"/>
  <c r="C29" i="113"/>
  <c r="C21" i="113"/>
  <c r="C17" i="113"/>
  <c r="C9" i="113"/>
  <c r="C28" i="113"/>
  <c r="C16" i="113"/>
  <c r="C4" i="113"/>
  <c r="C32" i="113"/>
  <c r="C12" i="113"/>
  <c r="C35" i="113"/>
  <c r="C31" i="113"/>
  <c r="C27" i="113"/>
  <c r="C23" i="113"/>
  <c r="C19" i="113"/>
  <c r="C15" i="113"/>
  <c r="C11" i="113"/>
  <c r="C7" i="113"/>
  <c r="C3" i="113"/>
  <c r="C33" i="113"/>
  <c r="C25" i="113"/>
  <c r="C13" i="113"/>
  <c r="C5" i="113"/>
  <c r="C38" i="113"/>
  <c r="C24" i="113"/>
  <c r="C20" i="113"/>
  <c r="C8" i="113"/>
  <c r="U85" i="113"/>
  <c r="J21" i="82"/>
  <c r="AF85" i="113"/>
  <c r="AN85" i="113"/>
  <c r="AW85" i="113"/>
  <c r="BA85" i="113"/>
  <c r="I85" i="113"/>
  <c r="J22" i="82"/>
  <c r="W22" i="82"/>
  <c r="AA22" i="82"/>
  <c r="J23" i="82"/>
  <c r="W23" i="82"/>
  <c r="AV85" i="113"/>
  <c r="D85" i="113"/>
  <c r="F22" i="82"/>
  <c r="M22" i="82"/>
  <c r="Y85" i="113"/>
  <c r="AS85" i="113"/>
  <c r="AG85" i="113"/>
  <c r="AK85" i="113"/>
  <c r="AO85" i="113"/>
  <c r="AT85" i="113"/>
  <c r="AX85" i="113"/>
  <c r="BB85" i="113"/>
  <c r="BP85" i="113"/>
  <c r="BP35" i="113" s="1"/>
  <c r="F85" i="113"/>
  <c r="H22" i="82"/>
  <c r="J85" i="113"/>
  <c r="K22" i="82"/>
  <c r="N85" i="113"/>
  <c r="U22" i="82"/>
  <c r="W85" i="113"/>
  <c r="X22" i="82"/>
  <c r="H85" i="113"/>
  <c r="N22" i="82"/>
  <c r="AY85" i="113"/>
  <c r="BC85" i="113"/>
  <c r="CD85" i="113"/>
  <c r="CD35" i="113" s="1"/>
  <c r="I22" i="82"/>
  <c r="L22" i="82"/>
  <c r="O85" i="113"/>
  <c r="T85" i="113"/>
  <c r="X85" i="113"/>
  <c r="Y22" i="82"/>
  <c r="AB85" i="113"/>
  <c r="BW85" i="113"/>
  <c r="BW35" i="113" s="1"/>
  <c r="S22" i="82"/>
  <c r="I53" i="66"/>
  <c r="BH3" i="113"/>
  <c r="BL3" i="113"/>
  <c r="BU3" i="113"/>
  <c r="BY3" i="113"/>
  <c r="CC3" i="113"/>
  <c r="BI4" i="113"/>
  <c r="BM4" i="113"/>
  <c r="BV4" i="113"/>
  <c r="BZ4" i="113"/>
  <c r="BI5" i="113"/>
  <c r="BM5" i="113"/>
  <c r="BV5" i="113"/>
  <c r="BZ5" i="113"/>
  <c r="BI6" i="113"/>
  <c r="BM6" i="113"/>
  <c r="BV6" i="113"/>
  <c r="BZ6" i="113"/>
  <c r="BI7" i="113"/>
  <c r="BM7" i="113"/>
  <c r="BV7" i="113"/>
  <c r="BZ7" i="113"/>
  <c r="BI8" i="113"/>
  <c r="BM8" i="113"/>
  <c r="BV8" i="113"/>
  <c r="BZ8" i="113"/>
  <c r="BI9" i="113"/>
  <c r="BM9" i="113"/>
  <c r="BV9" i="113"/>
  <c r="BZ9" i="113"/>
  <c r="BI10" i="113"/>
  <c r="BM10" i="113"/>
  <c r="BV10" i="113"/>
  <c r="BZ10" i="113"/>
  <c r="BI11" i="113"/>
  <c r="BM11" i="113"/>
  <c r="BV11" i="113"/>
  <c r="BZ11" i="113"/>
  <c r="BI12" i="113"/>
  <c r="BM12" i="113"/>
  <c r="BV12" i="113"/>
  <c r="BZ12" i="113"/>
  <c r="BI13" i="113"/>
  <c r="BM13" i="113"/>
  <c r="BV13" i="113"/>
  <c r="BZ13" i="113"/>
  <c r="BI14" i="113"/>
  <c r="BM14" i="113"/>
  <c r="BV14" i="113"/>
  <c r="BZ14" i="113"/>
  <c r="BI15" i="113"/>
  <c r="BM15" i="113"/>
  <c r="BV15" i="113"/>
  <c r="BZ15" i="113"/>
  <c r="BI16" i="113"/>
  <c r="BM16" i="113"/>
  <c r="BV16" i="113"/>
  <c r="BZ16" i="113"/>
  <c r="BI17" i="113"/>
  <c r="BM17" i="113"/>
  <c r="BV17" i="113"/>
  <c r="BZ17" i="113"/>
  <c r="BI18" i="113"/>
  <c r="BM18" i="113"/>
  <c r="BV18" i="113"/>
  <c r="BZ18" i="113"/>
  <c r="BI19" i="113"/>
  <c r="BM19" i="113"/>
  <c r="BV19" i="113"/>
  <c r="BZ19" i="113"/>
  <c r="BI20" i="113"/>
  <c r="BM20" i="113"/>
  <c r="BV20" i="113"/>
  <c r="BZ20" i="113"/>
  <c r="BI21" i="113"/>
  <c r="BM21" i="113"/>
  <c r="BV21" i="113"/>
  <c r="BZ21" i="113"/>
  <c r="BI22" i="113"/>
  <c r="BM22" i="113"/>
  <c r="BV22" i="113"/>
  <c r="BZ22" i="113"/>
  <c r="BI23" i="113"/>
  <c r="BM23" i="113"/>
  <c r="BV23" i="113"/>
  <c r="BZ23" i="113"/>
  <c r="BI24" i="113"/>
  <c r="BM24" i="113"/>
  <c r="BV24" i="113"/>
  <c r="BZ24" i="113"/>
  <c r="BI25" i="113"/>
  <c r="BM25" i="113"/>
  <c r="BV25" i="113"/>
  <c r="BZ25" i="113"/>
  <c r="BI26" i="113"/>
  <c r="BM26" i="113"/>
  <c r="BV26" i="113"/>
  <c r="BZ26" i="113"/>
  <c r="BI27" i="113"/>
  <c r="BM27" i="113"/>
  <c r="BV27" i="113"/>
  <c r="BZ27" i="113"/>
  <c r="BI28" i="113"/>
  <c r="BM28" i="113"/>
  <c r="BV28" i="113"/>
  <c r="BZ28" i="113"/>
  <c r="BI29" i="113"/>
  <c r="BM29" i="113"/>
  <c r="BZ29" i="113"/>
  <c r="BI30" i="113"/>
  <c r="BM30" i="113"/>
  <c r="BV30" i="113"/>
  <c r="BZ30" i="113"/>
  <c r="BI31" i="113"/>
  <c r="BM31" i="113"/>
  <c r="BV31" i="113"/>
  <c r="BZ31" i="113"/>
  <c r="BI32" i="113"/>
  <c r="BM32" i="113"/>
  <c r="BV32" i="113"/>
  <c r="BZ32" i="113"/>
  <c r="BI3" i="113"/>
  <c r="BM3" i="113"/>
  <c r="BV3" i="113"/>
  <c r="BZ3" i="113"/>
  <c r="BF4" i="113"/>
  <c r="BN4" i="113"/>
  <c r="BS4" i="113"/>
  <c r="CA4" i="113"/>
  <c r="BF5" i="113"/>
  <c r="BN5" i="113"/>
  <c r="BS5" i="113"/>
  <c r="CA5" i="113"/>
  <c r="BF6" i="113"/>
  <c r="BN6" i="113"/>
  <c r="BS6" i="113"/>
  <c r="CA6" i="113"/>
  <c r="BF7" i="113"/>
  <c r="BN7" i="113"/>
  <c r="BS7" i="113"/>
  <c r="CA7" i="113"/>
  <c r="BF8" i="113"/>
  <c r="BN8" i="113"/>
  <c r="BS8" i="113"/>
  <c r="CA8" i="113"/>
  <c r="CE8" i="113" s="1"/>
  <c r="BF9" i="113"/>
  <c r="BN9" i="113"/>
  <c r="BS9" i="113"/>
  <c r="CA9" i="113"/>
  <c r="BF10" i="113"/>
  <c r="BN10" i="113"/>
  <c r="BS10" i="113"/>
  <c r="CA10" i="113"/>
  <c r="BF11" i="113"/>
  <c r="BN11" i="113"/>
  <c r="BS11" i="113"/>
  <c r="CA11" i="113"/>
  <c r="BF12" i="113"/>
  <c r="BN12" i="113"/>
  <c r="BS12" i="113"/>
  <c r="CA12" i="113"/>
  <c r="BF13" i="113"/>
  <c r="BN13" i="113"/>
  <c r="BS13" i="113"/>
  <c r="CA13" i="113"/>
  <c r="BF14" i="113"/>
  <c r="BN14" i="113"/>
  <c r="BS14" i="113"/>
  <c r="CA14" i="113"/>
  <c r="BF15" i="113"/>
  <c r="BN15" i="113"/>
  <c r="BS15" i="113"/>
  <c r="CA15" i="113"/>
  <c r="BF16" i="113"/>
  <c r="BN16" i="113"/>
  <c r="BS16" i="113"/>
  <c r="CA16" i="113"/>
  <c r="BF17" i="113"/>
  <c r="BN17" i="113"/>
  <c r="BS17" i="113"/>
  <c r="CA17" i="113"/>
  <c r="BF18" i="113"/>
  <c r="BN18" i="113"/>
  <c r="BS18" i="113"/>
  <c r="CA18" i="113"/>
  <c r="BF19" i="113"/>
  <c r="BN19" i="113"/>
  <c r="BS19" i="113"/>
  <c r="CA19" i="113"/>
  <c r="BF20" i="113"/>
  <c r="BN20" i="113"/>
  <c r="BS20" i="113"/>
  <c r="CA20" i="113"/>
  <c r="BF21" i="113"/>
  <c r="BN21" i="113"/>
  <c r="BS21" i="113"/>
  <c r="CA21" i="113"/>
  <c r="BF22" i="113"/>
  <c r="BN22" i="113"/>
  <c r="BS22" i="113"/>
  <c r="CA22" i="113"/>
  <c r="BF23" i="113"/>
  <c r="BN23" i="113"/>
  <c r="BS23" i="113"/>
  <c r="CA23" i="113"/>
  <c r="BF24" i="113"/>
  <c r="BN24" i="113"/>
  <c r="BS24" i="113"/>
  <c r="CA24" i="113"/>
  <c r="BF25" i="113"/>
  <c r="BN25" i="113"/>
  <c r="BS25" i="113"/>
  <c r="CA25" i="113"/>
  <c r="BF26" i="113"/>
  <c r="BN26" i="113"/>
  <c r="BS26" i="113"/>
  <c r="CA26" i="113"/>
  <c r="BF27" i="113"/>
  <c r="BN27" i="113"/>
  <c r="BS27" i="113"/>
  <c r="CA27" i="113"/>
  <c r="BF28" i="113"/>
  <c r="BN28" i="113"/>
  <c r="BS28" i="113"/>
  <c r="CA28" i="113"/>
  <c r="BF29" i="113"/>
  <c r="BN29" i="113"/>
  <c r="BS29" i="113"/>
  <c r="CA29" i="113"/>
  <c r="BF30" i="113"/>
  <c r="BN30" i="113"/>
  <c r="BS30" i="113"/>
  <c r="CA30" i="113"/>
  <c r="BF31" i="113"/>
  <c r="BN31" i="113"/>
  <c r="BS31" i="113"/>
  <c r="CA31" i="113"/>
  <c r="BF32" i="113"/>
  <c r="BN32" i="113"/>
  <c r="BS32" i="113"/>
  <c r="CA32" i="113"/>
  <c r="BF3" i="113"/>
  <c r="BN3" i="113"/>
  <c r="BS3" i="113"/>
  <c r="CA3" i="113"/>
  <c r="BK4" i="113"/>
  <c r="BO4" i="113"/>
  <c r="CB4" i="113"/>
  <c r="BK5" i="113"/>
  <c r="BO5" i="113"/>
  <c r="BT5" i="113"/>
  <c r="CB5" i="113"/>
  <c r="BK6" i="113"/>
  <c r="BO6" i="113"/>
  <c r="BT6" i="113"/>
  <c r="CB6" i="113"/>
  <c r="BK7" i="113"/>
  <c r="BO7" i="113"/>
  <c r="BT7" i="113"/>
  <c r="CB7" i="113"/>
  <c r="BK8" i="113"/>
  <c r="BO8" i="113"/>
  <c r="BX8" i="113"/>
  <c r="CB8" i="113"/>
  <c r="BK9" i="113"/>
  <c r="BO9" i="113"/>
  <c r="BT9" i="113"/>
  <c r="BX9" i="113"/>
  <c r="CB9" i="113"/>
  <c r="BK10" i="113"/>
  <c r="BO10" i="113"/>
  <c r="BT10" i="113"/>
  <c r="CB10" i="113"/>
  <c r="BK11" i="113"/>
  <c r="BO11" i="113"/>
  <c r="BT11" i="113"/>
  <c r="BX11" i="113"/>
  <c r="CB11" i="113"/>
  <c r="BK12" i="113"/>
  <c r="BO12" i="113"/>
  <c r="BX12" i="113"/>
  <c r="CB12" i="113"/>
  <c r="BK13" i="113"/>
  <c r="BO13" i="113"/>
  <c r="BT13" i="113"/>
  <c r="BX13" i="113"/>
  <c r="CB13" i="113"/>
  <c r="BK14" i="113"/>
  <c r="BO14" i="113"/>
  <c r="BT14" i="113"/>
  <c r="CB14" i="113"/>
  <c r="BK15" i="113"/>
  <c r="BO15" i="113"/>
  <c r="BT15" i="113"/>
  <c r="CB15" i="113"/>
  <c r="BK16" i="113"/>
  <c r="BO16" i="113"/>
  <c r="BT16" i="113"/>
  <c r="CB16" i="113"/>
  <c r="BK17" i="113"/>
  <c r="BO17" i="113"/>
  <c r="BT17" i="113"/>
  <c r="CB17" i="113"/>
  <c r="BK18" i="113"/>
  <c r="BO18" i="113"/>
  <c r="BT18" i="113"/>
  <c r="CB18" i="113"/>
  <c r="BK19" i="113"/>
  <c r="BO19" i="113"/>
  <c r="CB19" i="113"/>
  <c r="BK20" i="113"/>
  <c r="BO20" i="113"/>
  <c r="BT20" i="113"/>
  <c r="CB20" i="113"/>
  <c r="BK21" i="113"/>
  <c r="BO21" i="113"/>
  <c r="BT21" i="113"/>
  <c r="CB21" i="113"/>
  <c r="BK22" i="113"/>
  <c r="BO22" i="113"/>
  <c r="BT22" i="113"/>
  <c r="CB22" i="113"/>
  <c r="BK23" i="113"/>
  <c r="BO23" i="113"/>
  <c r="CB23" i="113"/>
  <c r="BK24" i="113"/>
  <c r="BO24" i="113"/>
  <c r="BT24" i="113"/>
  <c r="CB24" i="113"/>
  <c r="BK25" i="113"/>
  <c r="BO25" i="113"/>
  <c r="BT25" i="113"/>
  <c r="CB25" i="113"/>
  <c r="BK26" i="113"/>
  <c r="BO26" i="113"/>
  <c r="BT26" i="113"/>
  <c r="CB26" i="113"/>
  <c r="BK27" i="113"/>
  <c r="BO27" i="113"/>
  <c r="CB27" i="113"/>
  <c r="BK28" i="113"/>
  <c r="BO28" i="113"/>
  <c r="BT28" i="113"/>
  <c r="CB28" i="113"/>
  <c r="BK29" i="113"/>
  <c r="BO29" i="113"/>
  <c r="BT29" i="113"/>
  <c r="CB29" i="113"/>
  <c r="BK30" i="113"/>
  <c r="BO30" i="113"/>
  <c r="BT30" i="113"/>
  <c r="CB30" i="113"/>
  <c r="BK31" i="113"/>
  <c r="BO31" i="113"/>
  <c r="BX31" i="113"/>
  <c r="CB31" i="113"/>
  <c r="BK32" i="113"/>
  <c r="BO32" i="113"/>
  <c r="BT32" i="113"/>
  <c r="BX32" i="113"/>
  <c r="CB32" i="113"/>
  <c r="BK3" i="113"/>
  <c r="BO3" i="113"/>
  <c r="BT3" i="113"/>
  <c r="CB3" i="113"/>
  <c r="BH4" i="113"/>
  <c r="BL4" i="113"/>
  <c r="BU4" i="113"/>
  <c r="BY4" i="113"/>
  <c r="CC4" i="113"/>
  <c r="BH5" i="113"/>
  <c r="BL5" i="113"/>
  <c r="BU5" i="113"/>
  <c r="BY5" i="113"/>
  <c r="CC5" i="113"/>
  <c r="BH6" i="113"/>
  <c r="BL6" i="113"/>
  <c r="BU6" i="113"/>
  <c r="BY6" i="113"/>
  <c r="CC6" i="113"/>
  <c r="BH7" i="113"/>
  <c r="BL7" i="113"/>
  <c r="BU7" i="113"/>
  <c r="BY7" i="113"/>
  <c r="CC7" i="113"/>
  <c r="BH8" i="113"/>
  <c r="BL8" i="113"/>
  <c r="BU8" i="113"/>
  <c r="BY8" i="113"/>
  <c r="CC8" i="113"/>
  <c r="BH9" i="113"/>
  <c r="BL9" i="113"/>
  <c r="BU9" i="113"/>
  <c r="BY9" i="113"/>
  <c r="CC9" i="113"/>
  <c r="BH10" i="113"/>
  <c r="BL10" i="113"/>
  <c r="BU10" i="113"/>
  <c r="BY10" i="113"/>
  <c r="CC10" i="113"/>
  <c r="BH11" i="113"/>
  <c r="BL11" i="113"/>
  <c r="BU11" i="113"/>
  <c r="BY11" i="113"/>
  <c r="CC11" i="113"/>
  <c r="BH12" i="113"/>
  <c r="BL12" i="113"/>
  <c r="BU12" i="113"/>
  <c r="BY12" i="113"/>
  <c r="CC12" i="113"/>
  <c r="BH13" i="113"/>
  <c r="BL13" i="113"/>
  <c r="BU13" i="113"/>
  <c r="BY13" i="113"/>
  <c r="CC13" i="113"/>
  <c r="BH14" i="113"/>
  <c r="BL14" i="113"/>
  <c r="BU14" i="113"/>
  <c r="BY14" i="113"/>
  <c r="CC14" i="113"/>
  <c r="BH15" i="113"/>
  <c r="BL15" i="113"/>
  <c r="BU15" i="113"/>
  <c r="BY15" i="113"/>
  <c r="CC15" i="113"/>
  <c r="BH16" i="113"/>
  <c r="BL16" i="113"/>
  <c r="BU16" i="113"/>
  <c r="BY16" i="113"/>
  <c r="CC16" i="113"/>
  <c r="BH17" i="113"/>
  <c r="BL17" i="113"/>
  <c r="BU17" i="113"/>
  <c r="BY17" i="113"/>
  <c r="CC17" i="113"/>
  <c r="BH18" i="113"/>
  <c r="BL18" i="113"/>
  <c r="BU18" i="113"/>
  <c r="BY18" i="113"/>
  <c r="CC18" i="113"/>
  <c r="BH19" i="113"/>
  <c r="BL19" i="113"/>
  <c r="BU19" i="113"/>
  <c r="BY19" i="113"/>
  <c r="CC19" i="113"/>
  <c r="BH20" i="113"/>
  <c r="BL20" i="113"/>
  <c r="BU20" i="113"/>
  <c r="BY20" i="113"/>
  <c r="CC20" i="113"/>
  <c r="BH21" i="113"/>
  <c r="BL21" i="113"/>
  <c r="BU21" i="113"/>
  <c r="BY21" i="113"/>
  <c r="CC21" i="113"/>
  <c r="BH22" i="113"/>
  <c r="BL22" i="113"/>
  <c r="BU22" i="113"/>
  <c r="BY22" i="113"/>
  <c r="CC22" i="113"/>
  <c r="BH23" i="113"/>
  <c r="BL23" i="113"/>
  <c r="BU23" i="113"/>
  <c r="BY23" i="113"/>
  <c r="CC23" i="113"/>
  <c r="BH24" i="113"/>
  <c r="BL24" i="113"/>
  <c r="BU24" i="113"/>
  <c r="BY24" i="113"/>
  <c r="CC24" i="113"/>
  <c r="BH25" i="113"/>
  <c r="BL25" i="113"/>
  <c r="BU25" i="113"/>
  <c r="BY25" i="113"/>
  <c r="CC25" i="113"/>
  <c r="BH26" i="113"/>
  <c r="BL26" i="113"/>
  <c r="BU26" i="113"/>
  <c r="BY26" i="113"/>
  <c r="CC26" i="113"/>
  <c r="BH27" i="113"/>
  <c r="BL27" i="113"/>
  <c r="BU27" i="113"/>
  <c r="BY27" i="113"/>
  <c r="CC27" i="113"/>
  <c r="BH28" i="113"/>
  <c r="BL28" i="113"/>
  <c r="BU28" i="113"/>
  <c r="BY28" i="113"/>
  <c r="CC28" i="113"/>
  <c r="BH29" i="113"/>
  <c r="BL29" i="113"/>
  <c r="BU29" i="113"/>
  <c r="BY29" i="113"/>
  <c r="CC29" i="113"/>
  <c r="BH30" i="113"/>
  <c r="BL30" i="113"/>
  <c r="BU30" i="113"/>
  <c r="BY30" i="113"/>
  <c r="CC30" i="113"/>
  <c r="BH31" i="113"/>
  <c r="BL31" i="113"/>
  <c r="BU31" i="113"/>
  <c r="BY31" i="113"/>
  <c r="CC31" i="113"/>
  <c r="BH32" i="113"/>
  <c r="BL32" i="113"/>
  <c r="BU32" i="113"/>
  <c r="BY32" i="113"/>
  <c r="CC32" i="113"/>
  <c r="AC48" i="113"/>
  <c r="AC49" i="113"/>
  <c r="BD50" i="113"/>
  <c r="AF23" i="82" s="1"/>
  <c r="BD51" i="113"/>
  <c r="AF24" i="82" s="1"/>
  <c r="BD52" i="113"/>
  <c r="AF25" i="82" s="1"/>
  <c r="AC52" i="113"/>
  <c r="AC53" i="113"/>
  <c r="BD54" i="113"/>
  <c r="AF27" i="82" s="1"/>
  <c r="AC54" i="113"/>
  <c r="BD55" i="113"/>
  <c r="AF28" i="82" s="1"/>
  <c r="AC56" i="113"/>
  <c r="AC57" i="113"/>
  <c r="BD58" i="113"/>
  <c r="AF31" i="82" s="1"/>
  <c r="BD59" i="113"/>
  <c r="AF32" i="82" s="1"/>
  <c r="BD60" i="113"/>
  <c r="AF33" i="82" s="1"/>
  <c r="AC60" i="113"/>
  <c r="AC61" i="113"/>
  <c r="BD62" i="113"/>
  <c r="AF35" i="82" s="1"/>
  <c r="AC62" i="113"/>
  <c r="BD63" i="113"/>
  <c r="AF36" i="82" s="1"/>
  <c r="AC64" i="113"/>
  <c r="AC65" i="113"/>
  <c r="BD66" i="113"/>
  <c r="AF39" i="82" s="1"/>
  <c r="AC66" i="113"/>
  <c r="BD67" i="113"/>
  <c r="AF40" i="82" s="1"/>
  <c r="AC68" i="113"/>
  <c r="AC69" i="113"/>
  <c r="BD70" i="113"/>
  <c r="AF43" i="82" s="1"/>
  <c r="AC72" i="113"/>
  <c r="BD73" i="113"/>
  <c r="AF46" i="82" s="1"/>
  <c r="BD74" i="113"/>
  <c r="AF47" i="82" s="1"/>
  <c r="BD75" i="113"/>
  <c r="AF48" i="82" s="1"/>
  <c r="AC75" i="113"/>
  <c r="BD80" i="113"/>
  <c r="AF53" i="82" s="1"/>
  <c r="BD49" i="113"/>
  <c r="AF22" i="82" s="1"/>
  <c r="AC51" i="113"/>
  <c r="BD53" i="113"/>
  <c r="AF26" i="82" s="1"/>
  <c r="AC55" i="113"/>
  <c r="BD57" i="113"/>
  <c r="AF30" i="82" s="1"/>
  <c r="AC59" i="113"/>
  <c r="BD61" i="113"/>
  <c r="AF34" i="82" s="1"/>
  <c r="AC63" i="113"/>
  <c r="BD65" i="113"/>
  <c r="AF38" i="82" s="1"/>
  <c r="AC67" i="113"/>
  <c r="BD69" i="113"/>
  <c r="AF42" i="82" s="1"/>
  <c r="AC70" i="113"/>
  <c r="AC71" i="113"/>
  <c r="BD76" i="113"/>
  <c r="AF49" i="82" s="1"/>
  <c r="BD77" i="113"/>
  <c r="AF50" i="82" s="1"/>
  <c r="AC78" i="113"/>
  <c r="AC79" i="113"/>
  <c r="AZ85" i="113"/>
  <c r="BK85" i="113"/>
  <c r="BK35" i="113" s="1"/>
  <c r="BO85" i="113"/>
  <c r="BO35" i="113" s="1"/>
  <c r="BS85" i="113"/>
  <c r="BS35" i="113" s="1"/>
  <c r="CA85" i="113"/>
  <c r="CA35" i="113" s="1"/>
  <c r="AC76" i="113"/>
  <c r="AC77" i="113"/>
  <c r="BD78" i="113"/>
  <c r="AF51" i="82" s="1"/>
  <c r="AC80" i="113"/>
  <c r="BH85" i="113"/>
  <c r="BH35" i="113" s="1"/>
  <c r="BL85" i="113"/>
  <c r="BL35" i="113" s="1"/>
  <c r="BT85" i="113"/>
  <c r="BT35" i="113" s="1"/>
  <c r="BX85" i="113"/>
  <c r="BX35" i="113" s="1"/>
  <c r="CB85" i="113"/>
  <c r="CB35" i="113" s="1"/>
  <c r="R85" i="113"/>
  <c r="BI85" i="113"/>
  <c r="BI35" i="113" s="1"/>
  <c r="BM85" i="113"/>
  <c r="BM35" i="113" s="1"/>
  <c r="BU85" i="113"/>
  <c r="BU35" i="113" s="1"/>
  <c r="BY85" i="113"/>
  <c r="BY35" i="113" s="1"/>
  <c r="CC85" i="113"/>
  <c r="CC35" i="113" s="1"/>
  <c r="BD72" i="113"/>
  <c r="AF45" i="82" s="1"/>
  <c r="AC74" i="113"/>
  <c r="BN85" i="113"/>
  <c r="BN35" i="113" s="1"/>
  <c r="BZ85" i="113"/>
  <c r="BZ35" i="113" s="1"/>
  <c r="AR416" i="68"/>
  <c r="AA47" i="118"/>
  <c r="AC12" i="99"/>
  <c r="AH12" i="99"/>
  <c r="Q18" i="99"/>
  <c r="AH18" i="99"/>
  <c r="AH29" i="99"/>
  <c r="AC54" i="99"/>
  <c r="AC24" i="99"/>
  <c r="AH24" i="99"/>
  <c r="AH27" i="99"/>
  <c r="AC28" i="99"/>
  <c r="AH28" i="99"/>
  <c r="AC30" i="99"/>
  <c r="AH30" i="99"/>
  <c r="AC48" i="99"/>
  <c r="AH48" i="99"/>
  <c r="AH10" i="99"/>
  <c r="Q36" i="99"/>
  <c r="R36" i="99" s="1"/>
  <c r="AH36" i="99"/>
  <c r="AH13" i="99"/>
  <c r="Q13" i="99"/>
  <c r="AH17" i="99"/>
  <c r="AC22" i="99"/>
  <c r="AH22" i="99"/>
  <c r="Q29" i="99"/>
  <c r="R29" i="99" s="1"/>
  <c r="AC40" i="99"/>
  <c r="AC50" i="99"/>
  <c r="AH50" i="99"/>
  <c r="AC88" i="99"/>
  <c r="AL121" i="99"/>
  <c r="Q9" i="99"/>
  <c r="R9" i="99" s="1"/>
  <c r="AH11" i="99"/>
  <c r="AH39" i="99"/>
  <c r="AH32" i="99"/>
  <c r="AH8" i="99"/>
  <c r="AH38" i="99"/>
  <c r="AH34" i="99"/>
  <c r="AH20" i="99"/>
  <c r="AH16" i="99"/>
  <c r="AH14" i="99"/>
  <c r="Q11" i="99"/>
  <c r="R11" i="99" s="1"/>
  <c r="Q17" i="99"/>
  <c r="R17" i="99" s="1"/>
  <c r="AH23" i="99"/>
  <c r="Q23" i="99"/>
  <c r="R23" i="99" s="1"/>
  <c r="AC26" i="99"/>
  <c r="AH26" i="99"/>
  <c r="AH58" i="99"/>
  <c r="AC61" i="99"/>
  <c r="AC16" i="99"/>
  <c r="AH19" i="99"/>
  <c r="AC32" i="99"/>
  <c r="AC34" i="99"/>
  <c r="AC38" i="99"/>
  <c r="AC56" i="99"/>
  <c r="AC58" i="99"/>
  <c r="AC60" i="99"/>
  <c r="AC8" i="99"/>
  <c r="AH15" i="99"/>
  <c r="AC18" i="99"/>
  <c r="Q19" i="99"/>
  <c r="R19" i="99" s="1"/>
  <c r="AH21" i="99"/>
  <c r="AC36" i="99"/>
  <c r="AC73" i="99"/>
  <c r="AH145" i="99"/>
  <c r="P160" i="99"/>
  <c r="AH156" i="99"/>
  <c r="AH152" i="99"/>
  <c r="AH134" i="99"/>
  <c r="Q125" i="99"/>
  <c r="AH132" i="99"/>
  <c r="AC129" i="99"/>
  <c r="L129" i="99"/>
  <c r="M129" i="99" s="1"/>
  <c r="AH138" i="99"/>
  <c r="Q138" i="99"/>
  <c r="R138" i="99" s="1"/>
  <c r="S138" i="99" s="1"/>
  <c r="AH140" i="99"/>
  <c r="AC150" i="99"/>
  <c r="AH150" i="99"/>
  <c r="AH133" i="99"/>
  <c r="Q133" i="99"/>
  <c r="AC145" i="99"/>
  <c r="L145" i="99"/>
  <c r="M145" i="99" s="1"/>
  <c r="AC153" i="99"/>
  <c r="L153" i="99"/>
  <c r="M153" i="99" s="1"/>
  <c r="AH256" i="99"/>
  <c r="Q256" i="99"/>
  <c r="R256" i="99" s="1"/>
  <c r="S256" i="99" s="1"/>
  <c r="AH59" i="99"/>
  <c r="AH55" i="99"/>
  <c r="AC52" i="99"/>
  <c r="AH52" i="99"/>
  <c r="AC126" i="99"/>
  <c r="AH126" i="99"/>
  <c r="AC127" i="99"/>
  <c r="L127" i="99"/>
  <c r="M127" i="99" s="1"/>
  <c r="Q130" i="99"/>
  <c r="AH130" i="99"/>
  <c r="AC137" i="99"/>
  <c r="L137" i="99"/>
  <c r="M137" i="99" s="1"/>
  <c r="AH144" i="99"/>
  <c r="Q244" i="99"/>
  <c r="R244" i="99" s="1"/>
  <c r="S244" i="99" s="1"/>
  <c r="AH255" i="99"/>
  <c r="AG43" i="99"/>
  <c r="AG44" i="99" s="1"/>
  <c r="Y15" i="20" s="1"/>
  <c r="AC14" i="99"/>
  <c r="AC20" i="99"/>
  <c r="AH25" i="99"/>
  <c r="Q47" i="99"/>
  <c r="AH56" i="99"/>
  <c r="AC132" i="99"/>
  <c r="L132" i="99"/>
  <c r="M132" i="99" s="1"/>
  <c r="N132" i="99" s="1"/>
  <c r="AC136" i="99"/>
  <c r="AH136" i="99"/>
  <c r="AH142" i="99"/>
  <c r="AC151" i="99"/>
  <c r="L151" i="99"/>
  <c r="M151" i="99" s="1"/>
  <c r="AG160" i="99"/>
  <c r="AC130" i="99"/>
  <c r="AC131" i="99"/>
  <c r="AH135" i="99"/>
  <c r="AH139" i="99"/>
  <c r="AC140" i="99"/>
  <c r="AC141" i="99"/>
  <c r="AH143" i="99"/>
  <c r="AH147" i="99"/>
  <c r="AH149" i="99"/>
  <c r="AC155" i="99"/>
  <c r="AH157" i="99"/>
  <c r="D160" i="99"/>
  <c r="AC128" i="99"/>
  <c r="AH128" i="99"/>
  <c r="AH131" i="99"/>
  <c r="AC134" i="99"/>
  <c r="AC135" i="99"/>
  <c r="AC139" i="99"/>
  <c r="AC142" i="99"/>
  <c r="AC143" i="99"/>
  <c r="AH146" i="99"/>
  <c r="AC147" i="99"/>
  <c r="AC149" i="99"/>
  <c r="AC152" i="99"/>
  <c r="AH155" i="99"/>
  <c r="AC156" i="99"/>
  <c r="AC157" i="99"/>
  <c r="AC174" i="99"/>
  <c r="F264" i="99"/>
  <c r="K160" i="99"/>
  <c r="AH127" i="99"/>
  <c r="AH129" i="99"/>
  <c r="Q131" i="99"/>
  <c r="AC133" i="99"/>
  <c r="L135" i="99"/>
  <c r="M135" i="99" s="1"/>
  <c r="AH137" i="99"/>
  <c r="AC138" i="99"/>
  <c r="L139" i="99"/>
  <c r="M139" i="99" s="1"/>
  <c r="L142" i="99"/>
  <c r="M142" i="99" s="1"/>
  <c r="N142" i="99" s="1"/>
  <c r="L143" i="99"/>
  <c r="M143" i="99" s="1"/>
  <c r="AC144" i="99"/>
  <c r="AC146" i="99"/>
  <c r="L147" i="99"/>
  <c r="M147" i="99" s="1"/>
  <c r="AC148" i="99"/>
  <c r="AH148" i="99"/>
  <c r="L149" i="99"/>
  <c r="M149" i="99" s="1"/>
  <c r="AH151" i="99"/>
  <c r="AH153" i="99"/>
  <c r="AC154" i="99"/>
  <c r="AH154" i="99"/>
  <c r="Q155" i="99"/>
  <c r="R155" i="99" s="1"/>
  <c r="L157" i="99"/>
  <c r="M157" i="99" s="1"/>
  <c r="AH192" i="99"/>
  <c r="AH250" i="99"/>
  <c r="AB277" i="99"/>
  <c r="AB278" i="99" s="1"/>
  <c r="AL231" i="99"/>
  <c r="AM231" i="99" s="1"/>
  <c r="AN231" i="99" s="1"/>
  <c r="AO231" i="99" s="1"/>
  <c r="AP231" i="99" s="1"/>
  <c r="AQ231" i="99" s="1"/>
  <c r="AR231" i="99" s="1"/>
  <c r="AS231" i="99" s="1"/>
  <c r="AT231" i="99" s="1"/>
  <c r="AU231" i="99" s="1"/>
  <c r="AV231" i="99" s="1"/>
  <c r="AW231" i="99" s="1"/>
  <c r="AX231" i="99" s="1"/>
  <c r="AY231" i="99" s="1"/>
  <c r="AZ231" i="99" s="1"/>
  <c r="BA231" i="99" s="1"/>
  <c r="BB231" i="99" s="1"/>
  <c r="BC231" i="99" s="1"/>
  <c r="BD231" i="99" s="1"/>
  <c r="BE231" i="99" s="1"/>
  <c r="BF231" i="99" s="1"/>
  <c r="R24" i="99"/>
  <c r="M25" i="99"/>
  <c r="R31" i="99"/>
  <c r="W37" i="99"/>
  <c r="F37" i="99"/>
  <c r="R39" i="99"/>
  <c r="R50" i="99"/>
  <c r="M51" i="99"/>
  <c r="F53" i="99"/>
  <c r="W59" i="99"/>
  <c r="F59" i="99"/>
  <c r="G62" i="99"/>
  <c r="G68" i="99"/>
  <c r="G95" i="99"/>
  <c r="R14" i="99"/>
  <c r="M15" i="99"/>
  <c r="W17" i="99"/>
  <c r="F17" i="99"/>
  <c r="W22" i="99"/>
  <c r="F22" i="99"/>
  <c r="W25" i="99"/>
  <c r="F25" i="99"/>
  <c r="R27" i="99"/>
  <c r="W32" i="99"/>
  <c r="F32" i="99"/>
  <c r="M33" i="99"/>
  <c r="W35" i="99"/>
  <c r="F35" i="99"/>
  <c r="R40" i="99"/>
  <c r="AL43" i="99"/>
  <c r="AL44" i="99" s="1"/>
  <c r="AD15" i="20" s="1"/>
  <c r="M49" i="99"/>
  <c r="F56" i="99"/>
  <c r="M57" i="99"/>
  <c r="G58" i="99"/>
  <c r="G70" i="99"/>
  <c r="G89" i="99"/>
  <c r="G99" i="99"/>
  <c r="AB43" i="99"/>
  <c r="AB44" i="99" s="1"/>
  <c r="T15" i="20" s="1"/>
  <c r="AM43" i="99"/>
  <c r="AM44" i="99" s="1"/>
  <c r="AE15" i="20" s="1"/>
  <c r="AN8" i="99"/>
  <c r="F12" i="99"/>
  <c r="W12" i="99"/>
  <c r="R12" i="99"/>
  <c r="M13" i="99"/>
  <c r="W15" i="99"/>
  <c r="F15" i="99"/>
  <c r="W20" i="99"/>
  <c r="F20" i="99"/>
  <c r="R20" i="99"/>
  <c r="M21" i="99"/>
  <c r="W23" i="99"/>
  <c r="F23" i="99"/>
  <c r="R25" i="99"/>
  <c r="F30" i="99"/>
  <c r="W30" i="99"/>
  <c r="R30" i="99"/>
  <c r="M31" i="99"/>
  <c r="W33" i="99"/>
  <c r="F33" i="99"/>
  <c r="R35" i="99"/>
  <c r="F38" i="99"/>
  <c r="W38" i="99"/>
  <c r="R38" i="99"/>
  <c r="M39" i="99"/>
  <c r="AB82" i="99"/>
  <c r="F49" i="99"/>
  <c r="R51" i="99"/>
  <c r="F54" i="99"/>
  <c r="R54" i="99"/>
  <c r="M55" i="99"/>
  <c r="F57" i="99"/>
  <c r="G64" i="99"/>
  <c r="G76" i="99"/>
  <c r="G93" i="99"/>
  <c r="G103" i="99"/>
  <c r="G109" i="99"/>
  <c r="W9" i="99"/>
  <c r="F9" i="99"/>
  <c r="W11" i="99"/>
  <c r="F11" i="99"/>
  <c r="W16" i="99"/>
  <c r="F16" i="99"/>
  <c r="W34" i="99"/>
  <c r="F34" i="99"/>
  <c r="M35" i="99"/>
  <c r="F50" i="99"/>
  <c r="F14" i="99"/>
  <c r="W14" i="99"/>
  <c r="R22" i="99"/>
  <c r="M23" i="99"/>
  <c r="R32" i="99"/>
  <c r="R37" i="99"/>
  <c r="F40" i="99"/>
  <c r="F48" i="99"/>
  <c r="F51" i="99"/>
  <c r="R53" i="99"/>
  <c r="R56" i="99"/>
  <c r="W60" i="99"/>
  <c r="G87" i="99"/>
  <c r="G105" i="99"/>
  <c r="F8" i="99"/>
  <c r="W8" i="99"/>
  <c r="M9" i="99"/>
  <c r="W10" i="99"/>
  <c r="F10" i="99"/>
  <c r="R10" i="99"/>
  <c r="M11" i="99"/>
  <c r="W13" i="99"/>
  <c r="F13" i="99"/>
  <c r="R15" i="99"/>
  <c r="F18" i="99"/>
  <c r="W18" i="99"/>
  <c r="M19" i="99"/>
  <c r="W21" i="99"/>
  <c r="F21" i="99"/>
  <c r="W26" i="99"/>
  <c r="F26" i="99"/>
  <c r="R26" i="99"/>
  <c r="M27" i="99"/>
  <c r="F28" i="99"/>
  <c r="W28" i="99"/>
  <c r="R28" i="99"/>
  <c r="M29" i="99"/>
  <c r="W31" i="99"/>
  <c r="F31" i="99"/>
  <c r="R33" i="99"/>
  <c r="W36" i="99"/>
  <c r="F36" i="99"/>
  <c r="M37" i="99"/>
  <c r="W39" i="99"/>
  <c r="F39" i="99"/>
  <c r="R49" i="99"/>
  <c r="F52" i="99"/>
  <c r="W52" i="99"/>
  <c r="M53" i="99"/>
  <c r="F55" i="99"/>
  <c r="R57" i="99"/>
  <c r="R58" i="99"/>
  <c r="R60" i="99"/>
  <c r="G97" i="99"/>
  <c r="G107" i="99"/>
  <c r="R16" i="99"/>
  <c r="M17" i="99"/>
  <c r="W19" i="99"/>
  <c r="F19" i="99"/>
  <c r="R21" i="99"/>
  <c r="F24" i="99"/>
  <c r="W24" i="99"/>
  <c r="W27" i="99"/>
  <c r="F27" i="99"/>
  <c r="W29" i="99"/>
  <c r="F29" i="99"/>
  <c r="R34" i="99"/>
  <c r="R55" i="99"/>
  <c r="G101" i="99"/>
  <c r="AH62" i="99"/>
  <c r="Q62" i="99"/>
  <c r="N63" i="99"/>
  <c r="AC64" i="99"/>
  <c r="L64" i="99"/>
  <c r="G66" i="99"/>
  <c r="S67" i="99"/>
  <c r="AH68" i="99"/>
  <c r="Q68" i="99"/>
  <c r="S69" i="99"/>
  <c r="F71" i="99"/>
  <c r="AC71" i="99"/>
  <c r="AC72" i="99"/>
  <c r="L72" i="99"/>
  <c r="G74" i="99"/>
  <c r="S75" i="99"/>
  <c r="AH76" i="99"/>
  <c r="Q76" i="99"/>
  <c r="N77" i="99"/>
  <c r="G78" i="99"/>
  <c r="S79" i="99"/>
  <c r="F88" i="99"/>
  <c r="AC89" i="99"/>
  <c r="L89" i="99"/>
  <c r="F92" i="99"/>
  <c r="AC92" i="99"/>
  <c r="AC93" i="99"/>
  <c r="L93" i="99"/>
  <c r="F96" i="99"/>
  <c r="AC96" i="99"/>
  <c r="AC97" i="99"/>
  <c r="L97" i="99"/>
  <c r="F100" i="99"/>
  <c r="AC100" i="99"/>
  <c r="AC101" i="99"/>
  <c r="L101" i="99"/>
  <c r="F104" i="99"/>
  <c r="AC104" i="99"/>
  <c r="AC105" i="99"/>
  <c r="L105" i="99"/>
  <c r="F108" i="99"/>
  <c r="AC108" i="99"/>
  <c r="AC109" i="99"/>
  <c r="L109" i="99"/>
  <c r="R112" i="99"/>
  <c r="M115" i="99"/>
  <c r="F117" i="99"/>
  <c r="F126" i="99"/>
  <c r="R137" i="99"/>
  <c r="N138" i="99"/>
  <c r="W142" i="99"/>
  <c r="F142" i="99"/>
  <c r="Q169" i="99"/>
  <c r="Q197" i="99" s="1"/>
  <c r="AH169" i="99"/>
  <c r="G272" i="99"/>
  <c r="AC21" i="99"/>
  <c r="AC27" i="99"/>
  <c r="AC29" i="99"/>
  <c r="AC33" i="99"/>
  <c r="AC37" i="99"/>
  <c r="AC39" i="99"/>
  <c r="AG82" i="99"/>
  <c r="AC49" i="99"/>
  <c r="AC51" i="99"/>
  <c r="M59" i="99"/>
  <c r="AC59" i="99"/>
  <c r="F60" i="99"/>
  <c r="M65" i="99"/>
  <c r="W69" i="99"/>
  <c r="F69" i="99"/>
  <c r="R71" i="99"/>
  <c r="AH72" i="99"/>
  <c r="Q72" i="99"/>
  <c r="M73" i="99"/>
  <c r="AC74" i="99"/>
  <c r="L74" i="99"/>
  <c r="W76" i="99"/>
  <c r="F77" i="99"/>
  <c r="AC77" i="99"/>
  <c r="AC78" i="99"/>
  <c r="L78" i="99"/>
  <c r="R88" i="99"/>
  <c r="AH89" i="99"/>
  <c r="Q89" i="99"/>
  <c r="M90" i="99"/>
  <c r="R92" i="99"/>
  <c r="AH93" i="99"/>
  <c r="Q93" i="99"/>
  <c r="M94" i="99"/>
  <c r="R96" i="99"/>
  <c r="AH97" i="99"/>
  <c r="Q97" i="99"/>
  <c r="M98" i="99"/>
  <c r="R100" i="99"/>
  <c r="AH101" i="99"/>
  <c r="Q101" i="99"/>
  <c r="M102" i="99"/>
  <c r="R104" i="99"/>
  <c r="AH105" i="99"/>
  <c r="Q105" i="99"/>
  <c r="M106" i="99"/>
  <c r="R108" i="99"/>
  <c r="AH109" i="99"/>
  <c r="Q109" i="99"/>
  <c r="M110" i="99"/>
  <c r="AC113" i="99"/>
  <c r="AH115" i="99"/>
  <c r="R135" i="99"/>
  <c r="F139" i="99"/>
  <c r="R151" i="99"/>
  <c r="F154" i="99"/>
  <c r="F156" i="99"/>
  <c r="M263" i="99"/>
  <c r="L8" i="99"/>
  <c r="Q8" i="99"/>
  <c r="L10" i="99"/>
  <c r="L12" i="99"/>
  <c r="L14" i="99"/>
  <c r="L16" i="99"/>
  <c r="L18" i="99"/>
  <c r="L20" i="99"/>
  <c r="L22" i="99"/>
  <c r="L24" i="99"/>
  <c r="L26" i="99"/>
  <c r="L28" i="99"/>
  <c r="L30" i="99"/>
  <c r="AH31" i="99"/>
  <c r="L32" i="99"/>
  <c r="AH33" i="99"/>
  <c r="L34" i="99"/>
  <c r="AH35" i="99"/>
  <c r="L36" i="99"/>
  <c r="AH37" i="99"/>
  <c r="L38" i="99"/>
  <c r="L40" i="99"/>
  <c r="AH47" i="99"/>
  <c r="AL82" i="99"/>
  <c r="AL83" i="99" s="1"/>
  <c r="AD47" i="110" s="1"/>
  <c r="AD48" i="110" s="1"/>
  <c r="L48" i="99"/>
  <c r="Q48" i="99"/>
  <c r="AH49" i="99"/>
  <c r="L50" i="99"/>
  <c r="AH51" i="99"/>
  <c r="L52" i="99"/>
  <c r="AH53" i="99"/>
  <c r="L54" i="99"/>
  <c r="L56" i="99"/>
  <c r="AH57" i="99"/>
  <c r="L58" i="99"/>
  <c r="L60" i="99"/>
  <c r="F61" i="99"/>
  <c r="N61" i="99"/>
  <c r="R63" i="99"/>
  <c r="W65" i="99"/>
  <c r="F65" i="99"/>
  <c r="AC65" i="99"/>
  <c r="AH66" i="99"/>
  <c r="Q66" i="99"/>
  <c r="M67" i="99"/>
  <c r="AH69" i="99"/>
  <c r="AC70" i="99"/>
  <c r="L70" i="99"/>
  <c r="W72" i="99"/>
  <c r="F73" i="99"/>
  <c r="AH74" i="99"/>
  <c r="Q74" i="99"/>
  <c r="M75" i="99"/>
  <c r="R77" i="99"/>
  <c r="AH78" i="99"/>
  <c r="Q78" i="99"/>
  <c r="M79" i="99"/>
  <c r="D121" i="99"/>
  <c r="E86" i="99"/>
  <c r="P121" i="99"/>
  <c r="AC86" i="99"/>
  <c r="AC87" i="99"/>
  <c r="L87" i="99"/>
  <c r="F90" i="99"/>
  <c r="AC90" i="99"/>
  <c r="AC91" i="99"/>
  <c r="L91" i="99"/>
  <c r="F94" i="99"/>
  <c r="AC94" i="99"/>
  <c r="AC95" i="99"/>
  <c r="L95" i="99"/>
  <c r="F98" i="99"/>
  <c r="AC98" i="99"/>
  <c r="AC99" i="99"/>
  <c r="L99" i="99"/>
  <c r="F102" i="99"/>
  <c r="AC102" i="99"/>
  <c r="AC103" i="99"/>
  <c r="L103" i="99"/>
  <c r="F106" i="99"/>
  <c r="AC106" i="99"/>
  <c r="AC107" i="99"/>
  <c r="L107" i="99"/>
  <c r="F110" i="99"/>
  <c r="AC110" i="99"/>
  <c r="F111" i="99"/>
  <c r="AH113" i="99"/>
  <c r="M116" i="99"/>
  <c r="H118" i="99"/>
  <c r="R118" i="99"/>
  <c r="R126" i="99"/>
  <c r="F129" i="99"/>
  <c r="F133" i="99"/>
  <c r="S140" i="99"/>
  <c r="R143" i="99"/>
  <c r="S146" i="99"/>
  <c r="F149" i="99"/>
  <c r="M174" i="99"/>
  <c r="M179" i="99"/>
  <c r="AL213" i="99"/>
  <c r="AM213" i="99" s="1"/>
  <c r="AN213" i="99" s="1"/>
  <c r="AO213" i="99" s="1"/>
  <c r="AP213" i="99" s="1"/>
  <c r="AQ213" i="99" s="1"/>
  <c r="AR213" i="99" s="1"/>
  <c r="AS213" i="99" s="1"/>
  <c r="AT213" i="99" s="1"/>
  <c r="AU213" i="99" s="1"/>
  <c r="AV213" i="99" s="1"/>
  <c r="AW213" i="99" s="1"/>
  <c r="AX213" i="99" s="1"/>
  <c r="AY213" i="99" s="1"/>
  <c r="AZ213" i="99" s="1"/>
  <c r="BA213" i="99" s="1"/>
  <c r="BB213" i="99" s="1"/>
  <c r="BC213" i="99" s="1"/>
  <c r="BD213" i="99" s="1"/>
  <c r="BE213" i="99" s="1"/>
  <c r="BF213" i="99" s="1"/>
  <c r="D213" i="99"/>
  <c r="E213" i="99" s="1"/>
  <c r="AL217" i="99"/>
  <c r="AM217" i="99" s="1"/>
  <c r="AN217" i="99" s="1"/>
  <c r="AO217" i="99" s="1"/>
  <c r="AP217" i="99" s="1"/>
  <c r="AQ217" i="99" s="1"/>
  <c r="AR217" i="99" s="1"/>
  <c r="AS217" i="99" s="1"/>
  <c r="AT217" i="99" s="1"/>
  <c r="AU217" i="99" s="1"/>
  <c r="AV217" i="99" s="1"/>
  <c r="AW217" i="99" s="1"/>
  <c r="AX217" i="99" s="1"/>
  <c r="AY217" i="99" s="1"/>
  <c r="AZ217" i="99" s="1"/>
  <c r="BA217" i="99" s="1"/>
  <c r="BB217" i="99" s="1"/>
  <c r="BC217" i="99" s="1"/>
  <c r="BD217" i="99" s="1"/>
  <c r="BE217" i="99" s="1"/>
  <c r="BF217" i="99" s="1"/>
  <c r="AC9" i="99"/>
  <c r="AC11" i="99"/>
  <c r="AC13" i="99"/>
  <c r="AC15" i="99"/>
  <c r="AC17" i="99"/>
  <c r="AC19" i="99"/>
  <c r="AC23" i="99"/>
  <c r="AC25" i="99"/>
  <c r="AC31" i="99"/>
  <c r="AC35" i="99"/>
  <c r="D82" i="99"/>
  <c r="AC47" i="99"/>
  <c r="AC53" i="99"/>
  <c r="AC55" i="99"/>
  <c r="AC57" i="99"/>
  <c r="R59" i="99"/>
  <c r="AH60" i="99"/>
  <c r="S61" i="99"/>
  <c r="W63" i="99"/>
  <c r="F63" i="99"/>
  <c r="AC63" i="99"/>
  <c r="AH64" i="99"/>
  <c r="Q64" i="99"/>
  <c r="AC66" i="99"/>
  <c r="L66" i="99"/>
  <c r="N69" i="99"/>
  <c r="K82" i="99"/>
  <c r="P82" i="99"/>
  <c r="AM47" i="99"/>
  <c r="AH61" i="99"/>
  <c r="AC62" i="99"/>
  <c r="L62" i="99"/>
  <c r="R65" i="99"/>
  <c r="F67" i="99"/>
  <c r="AC67" i="99"/>
  <c r="AC68" i="99"/>
  <c r="L68" i="99"/>
  <c r="AC69" i="99"/>
  <c r="AH70" i="99"/>
  <c r="Q70" i="99"/>
  <c r="M71" i="99"/>
  <c r="R73" i="99"/>
  <c r="F75" i="99"/>
  <c r="AC75" i="99"/>
  <c r="AC76" i="99"/>
  <c r="L76" i="99"/>
  <c r="W79" i="99"/>
  <c r="F79" i="99"/>
  <c r="AC79" i="99"/>
  <c r="AG121" i="99"/>
  <c r="AG122" i="99" s="1"/>
  <c r="Y51" i="110" s="1"/>
  <c r="Y52" i="110" s="1"/>
  <c r="T328" i="119" s="1"/>
  <c r="AH87" i="99"/>
  <c r="Q87" i="99"/>
  <c r="M88" i="99"/>
  <c r="R90" i="99"/>
  <c r="AH91" i="99"/>
  <c r="Q91" i="99"/>
  <c r="M92" i="99"/>
  <c r="R94" i="99"/>
  <c r="AH95" i="99"/>
  <c r="Q95" i="99"/>
  <c r="M96" i="99"/>
  <c r="R98" i="99"/>
  <c r="AH99" i="99"/>
  <c r="Q99" i="99"/>
  <c r="M100" i="99"/>
  <c r="R102" i="99"/>
  <c r="AH103" i="99"/>
  <c r="Q103" i="99"/>
  <c r="M104" i="99"/>
  <c r="R106" i="99"/>
  <c r="AH107" i="99"/>
  <c r="Q107" i="99"/>
  <c r="M108" i="99"/>
  <c r="R110" i="99"/>
  <c r="AH111" i="99"/>
  <c r="R114" i="99"/>
  <c r="R154" i="99"/>
  <c r="R156" i="99"/>
  <c r="F171" i="99"/>
  <c r="F182" i="99"/>
  <c r="AL208" i="99"/>
  <c r="AM208" i="99" s="1"/>
  <c r="AN208" i="99" s="1"/>
  <c r="AO208" i="99" s="1"/>
  <c r="AP208" i="99" s="1"/>
  <c r="AQ208" i="99" s="1"/>
  <c r="AR208" i="99" s="1"/>
  <c r="AS208" i="99" s="1"/>
  <c r="AT208" i="99" s="1"/>
  <c r="AU208" i="99" s="1"/>
  <c r="AV208" i="99" s="1"/>
  <c r="AW208" i="99" s="1"/>
  <c r="AX208" i="99" s="1"/>
  <c r="AY208" i="99" s="1"/>
  <c r="AZ208" i="99" s="1"/>
  <c r="BA208" i="99" s="1"/>
  <c r="BB208" i="99" s="1"/>
  <c r="BC208" i="99" s="1"/>
  <c r="BD208" i="99" s="1"/>
  <c r="BE208" i="99" s="1"/>
  <c r="BF208" i="99" s="1"/>
  <c r="AH63" i="99"/>
  <c r="AH65" i="99"/>
  <c r="AH67" i="99"/>
  <c r="AH71" i="99"/>
  <c r="AH73" i="99"/>
  <c r="AH75" i="99"/>
  <c r="AH77" i="99"/>
  <c r="AH79" i="99"/>
  <c r="AH86" i="99"/>
  <c r="AH88" i="99"/>
  <c r="AH90" i="99"/>
  <c r="AH92" i="99"/>
  <c r="AH94" i="99"/>
  <c r="AH96" i="99"/>
  <c r="AH98" i="99"/>
  <c r="AH100" i="99"/>
  <c r="AH102" i="99"/>
  <c r="AH104" i="99"/>
  <c r="AH106" i="99"/>
  <c r="AH108" i="99"/>
  <c r="AH110" i="99"/>
  <c r="AC112" i="99"/>
  <c r="AC114" i="99"/>
  <c r="AH116" i="99"/>
  <c r="AC118" i="99"/>
  <c r="AB160" i="99"/>
  <c r="AB161" i="99" s="1"/>
  <c r="T110" i="110" s="1"/>
  <c r="AM160" i="99"/>
  <c r="AM161" i="99" s="1"/>
  <c r="AE110" i="110" s="1"/>
  <c r="F127" i="99"/>
  <c r="R129" i="99"/>
  <c r="W132" i="99"/>
  <c r="F132" i="99"/>
  <c r="R133" i="99"/>
  <c r="F138" i="99"/>
  <c r="R139" i="99"/>
  <c r="M141" i="99"/>
  <c r="F144" i="99"/>
  <c r="R145" i="99"/>
  <c r="W147" i="99"/>
  <c r="F147" i="99"/>
  <c r="R149" i="99"/>
  <c r="F152" i="99"/>
  <c r="R152" i="99"/>
  <c r="M155" i="99"/>
  <c r="W157" i="99"/>
  <c r="F157" i="99"/>
  <c r="AN199" i="99"/>
  <c r="AN200" i="99" s="1"/>
  <c r="AF55" i="110" s="1"/>
  <c r="AF56" i="110" s="1"/>
  <c r="AO164" i="99"/>
  <c r="M166" i="99"/>
  <c r="AC166" i="99"/>
  <c r="S167" i="99"/>
  <c r="AH170" i="99"/>
  <c r="F183" i="99"/>
  <c r="R183" i="99"/>
  <c r="M187" i="99"/>
  <c r="F190" i="99"/>
  <c r="H205" i="99"/>
  <c r="H210" i="99"/>
  <c r="H225" i="99"/>
  <c r="K121" i="99"/>
  <c r="AC117" i="99"/>
  <c r="AC115" i="99"/>
  <c r="AM121" i="99"/>
  <c r="AM122" i="99" s="1"/>
  <c r="AE51" i="110" s="1"/>
  <c r="AE52" i="110" s="1"/>
  <c r="AC111" i="99"/>
  <c r="M112" i="99"/>
  <c r="F113" i="99"/>
  <c r="R113" i="99"/>
  <c r="M114" i="99"/>
  <c r="F115" i="99"/>
  <c r="R115" i="99"/>
  <c r="H116" i="99"/>
  <c r="R116" i="99"/>
  <c r="AH117" i="99"/>
  <c r="M118" i="99"/>
  <c r="AN160" i="99"/>
  <c r="AN161" i="99" s="1"/>
  <c r="AF110" i="110" s="1"/>
  <c r="AO125" i="99"/>
  <c r="R127" i="99"/>
  <c r="F130" i="99"/>
  <c r="M131" i="99"/>
  <c r="F134" i="99"/>
  <c r="R134" i="99"/>
  <c r="F136" i="99"/>
  <c r="R136" i="99"/>
  <c r="W140" i="99"/>
  <c r="F140" i="99"/>
  <c r="F146" i="99"/>
  <c r="R147" i="99"/>
  <c r="F150" i="99"/>
  <c r="R150" i="99"/>
  <c r="W153" i="99"/>
  <c r="F153" i="99"/>
  <c r="R157" i="99"/>
  <c r="AL160" i="99"/>
  <c r="AL161" i="99" s="1"/>
  <c r="AD110" i="110" s="1"/>
  <c r="D199" i="99"/>
  <c r="E164" i="99"/>
  <c r="W188" i="99" s="1"/>
  <c r="AH166" i="99"/>
  <c r="Q166" i="99"/>
  <c r="F167" i="99"/>
  <c r="N168" i="99"/>
  <c r="G173" i="99"/>
  <c r="F174" i="99"/>
  <c r="F191" i="99"/>
  <c r="R191" i="99"/>
  <c r="M195" i="99"/>
  <c r="AL203" i="99"/>
  <c r="D208" i="99"/>
  <c r="AL210" i="99"/>
  <c r="AM210" i="99" s="1"/>
  <c r="AN210" i="99" s="1"/>
  <c r="AO210" i="99" s="1"/>
  <c r="AP210" i="99" s="1"/>
  <c r="AQ210" i="99" s="1"/>
  <c r="AR210" i="99" s="1"/>
  <c r="AS210" i="99" s="1"/>
  <c r="AT210" i="99" s="1"/>
  <c r="AU210" i="99" s="1"/>
  <c r="AV210" i="99" s="1"/>
  <c r="AW210" i="99" s="1"/>
  <c r="AX210" i="99" s="1"/>
  <c r="AY210" i="99" s="1"/>
  <c r="AZ210" i="99" s="1"/>
  <c r="BA210" i="99" s="1"/>
  <c r="BB210" i="99" s="1"/>
  <c r="BC210" i="99" s="1"/>
  <c r="BD210" i="99" s="1"/>
  <c r="BE210" i="99" s="1"/>
  <c r="BF210" i="99" s="1"/>
  <c r="AC252" i="99"/>
  <c r="L252" i="99"/>
  <c r="AC267" i="99"/>
  <c r="AC259" i="99"/>
  <c r="L86" i="99"/>
  <c r="Q86" i="99"/>
  <c r="AB121" i="99"/>
  <c r="AB122" i="99" s="1"/>
  <c r="T51" i="110" s="1"/>
  <c r="T52" i="110" s="1"/>
  <c r="AN86" i="99"/>
  <c r="S111" i="99"/>
  <c r="F112" i="99"/>
  <c r="AH112" i="99"/>
  <c r="F114" i="99"/>
  <c r="AH114" i="99"/>
  <c r="AC116" i="99"/>
  <c r="AH118" i="99"/>
  <c r="F128" i="99"/>
  <c r="R128" i="99"/>
  <c r="F131" i="99"/>
  <c r="M133" i="99"/>
  <c r="F135" i="99"/>
  <c r="F137" i="99"/>
  <c r="R141" i="99"/>
  <c r="S142" i="99"/>
  <c r="W143" i="99"/>
  <c r="F143" i="99"/>
  <c r="S144" i="99"/>
  <c r="F148" i="99"/>
  <c r="R148" i="99"/>
  <c r="F151" i="99"/>
  <c r="R153" i="99"/>
  <c r="K199" i="99"/>
  <c r="AC195" i="99"/>
  <c r="AC193" i="99"/>
  <c r="AC191" i="99"/>
  <c r="AC189" i="99"/>
  <c r="AC187" i="99"/>
  <c r="AC172" i="99"/>
  <c r="AC164" i="99"/>
  <c r="AC170" i="99"/>
  <c r="AC168" i="99"/>
  <c r="L164" i="99"/>
  <c r="G165" i="99"/>
  <c r="L167" i="99"/>
  <c r="AC167" i="99"/>
  <c r="H168" i="99"/>
  <c r="N172" i="99"/>
  <c r="AC173" i="99"/>
  <c r="L173" i="99"/>
  <c r="S174" i="99"/>
  <c r="AL219" i="99"/>
  <c r="AM219" i="99" s="1"/>
  <c r="AN219" i="99" s="1"/>
  <c r="AO219" i="99" s="1"/>
  <c r="AP219" i="99" s="1"/>
  <c r="AQ219" i="99" s="1"/>
  <c r="AR219" i="99" s="1"/>
  <c r="AS219" i="99" s="1"/>
  <c r="AT219" i="99" s="1"/>
  <c r="AU219" i="99" s="1"/>
  <c r="AV219" i="99" s="1"/>
  <c r="AW219" i="99" s="1"/>
  <c r="AX219" i="99" s="1"/>
  <c r="AY219" i="99" s="1"/>
  <c r="AZ219" i="99" s="1"/>
  <c r="BA219" i="99" s="1"/>
  <c r="BB219" i="99" s="1"/>
  <c r="BC219" i="99" s="1"/>
  <c r="BD219" i="99" s="1"/>
  <c r="BE219" i="99" s="1"/>
  <c r="BF219" i="99" s="1"/>
  <c r="AL220" i="99"/>
  <c r="AM220" i="99" s="1"/>
  <c r="AN220" i="99" s="1"/>
  <c r="AO220" i="99" s="1"/>
  <c r="AP220" i="99" s="1"/>
  <c r="AQ220" i="99" s="1"/>
  <c r="AR220" i="99" s="1"/>
  <c r="AS220" i="99" s="1"/>
  <c r="AT220" i="99" s="1"/>
  <c r="AU220" i="99" s="1"/>
  <c r="AV220" i="99" s="1"/>
  <c r="AW220" i="99" s="1"/>
  <c r="AX220" i="99" s="1"/>
  <c r="AY220" i="99" s="1"/>
  <c r="AZ220" i="99" s="1"/>
  <c r="BA220" i="99" s="1"/>
  <c r="BB220" i="99" s="1"/>
  <c r="BC220" i="99" s="1"/>
  <c r="BD220" i="99" s="1"/>
  <c r="BE220" i="99" s="1"/>
  <c r="BF220" i="99" s="1"/>
  <c r="AL221" i="99"/>
  <c r="AM221" i="99" s="1"/>
  <c r="AN221" i="99" s="1"/>
  <c r="AO221" i="99" s="1"/>
  <c r="AP221" i="99" s="1"/>
  <c r="AQ221" i="99" s="1"/>
  <c r="AR221" i="99" s="1"/>
  <c r="AS221" i="99" s="1"/>
  <c r="AT221" i="99" s="1"/>
  <c r="AU221" i="99" s="1"/>
  <c r="AV221" i="99" s="1"/>
  <c r="AW221" i="99" s="1"/>
  <c r="AX221" i="99" s="1"/>
  <c r="AY221" i="99" s="1"/>
  <c r="AZ221" i="99" s="1"/>
  <c r="BA221" i="99" s="1"/>
  <c r="BB221" i="99" s="1"/>
  <c r="BC221" i="99" s="1"/>
  <c r="BD221" i="99" s="1"/>
  <c r="BE221" i="99" s="1"/>
  <c r="BF221" i="99" s="1"/>
  <c r="F219" i="99"/>
  <c r="M257" i="99"/>
  <c r="AC125" i="99"/>
  <c r="AH168" i="99"/>
  <c r="AH172" i="99"/>
  <c r="AC175" i="99"/>
  <c r="L175" i="99"/>
  <c r="AH175" i="99"/>
  <c r="AC176" i="99"/>
  <c r="R176" i="99"/>
  <c r="AH176" i="99"/>
  <c r="AC183" i="99"/>
  <c r="AH183" i="99"/>
  <c r="AC184" i="99"/>
  <c r="R184" i="99"/>
  <c r="AH184" i="99"/>
  <c r="AH191" i="99"/>
  <c r="AC192" i="99"/>
  <c r="R192" i="99"/>
  <c r="AL199" i="99"/>
  <c r="AL206" i="99"/>
  <c r="AM206" i="99" s="1"/>
  <c r="AN206" i="99" s="1"/>
  <c r="AO206" i="99" s="1"/>
  <c r="AP206" i="99" s="1"/>
  <c r="AQ206" i="99" s="1"/>
  <c r="AR206" i="99" s="1"/>
  <c r="AS206" i="99" s="1"/>
  <c r="AT206" i="99" s="1"/>
  <c r="AU206" i="99" s="1"/>
  <c r="AV206" i="99" s="1"/>
  <c r="AW206" i="99" s="1"/>
  <c r="AX206" i="99" s="1"/>
  <c r="AY206" i="99" s="1"/>
  <c r="AZ206" i="99" s="1"/>
  <c r="BA206" i="99" s="1"/>
  <c r="BB206" i="99" s="1"/>
  <c r="BC206" i="99" s="1"/>
  <c r="BD206" i="99" s="1"/>
  <c r="BE206" i="99" s="1"/>
  <c r="BF206" i="99" s="1"/>
  <c r="F218" i="99"/>
  <c r="F227" i="99"/>
  <c r="AL228" i="99"/>
  <c r="AM228" i="99" s="1"/>
  <c r="AN228" i="99" s="1"/>
  <c r="AO228" i="99" s="1"/>
  <c r="AP228" i="99" s="1"/>
  <c r="AQ228" i="99" s="1"/>
  <c r="AR228" i="99" s="1"/>
  <c r="AS228" i="99" s="1"/>
  <c r="AT228" i="99" s="1"/>
  <c r="AU228" i="99" s="1"/>
  <c r="AV228" i="99" s="1"/>
  <c r="AW228" i="99" s="1"/>
  <c r="AX228" i="99" s="1"/>
  <c r="AY228" i="99" s="1"/>
  <c r="AZ228" i="99" s="1"/>
  <c r="BA228" i="99" s="1"/>
  <c r="BB228" i="99" s="1"/>
  <c r="BC228" i="99" s="1"/>
  <c r="BD228" i="99" s="1"/>
  <c r="BE228" i="99" s="1"/>
  <c r="BF228" i="99" s="1"/>
  <c r="F231" i="99"/>
  <c r="G233" i="99"/>
  <c r="F248" i="99"/>
  <c r="F249" i="99"/>
  <c r="Q262" i="99"/>
  <c r="AH262" i="99"/>
  <c r="L113" i="99"/>
  <c r="AH125" i="99"/>
  <c r="L126" i="99"/>
  <c r="L128" i="99"/>
  <c r="L130" i="99"/>
  <c r="L134" i="99"/>
  <c r="L136" i="99"/>
  <c r="AH141" i="99"/>
  <c r="L144" i="99"/>
  <c r="L148" i="99"/>
  <c r="L150" i="99"/>
  <c r="L152" i="99"/>
  <c r="L154" i="99"/>
  <c r="L156" i="99"/>
  <c r="AB199" i="99"/>
  <c r="AB200" i="99" s="1"/>
  <c r="T55" i="110" s="1"/>
  <c r="T56" i="110" s="1"/>
  <c r="AG199" i="99"/>
  <c r="AG200" i="99" s="1"/>
  <c r="Y55" i="110" s="1"/>
  <c r="Y56" i="110" s="1"/>
  <c r="T28" i="119" s="1"/>
  <c r="AC165" i="99"/>
  <c r="AH165" i="99"/>
  <c r="F166" i="99"/>
  <c r="Q168" i="99"/>
  <c r="AC169" i="99"/>
  <c r="L169" i="99"/>
  <c r="F170" i="99"/>
  <c r="R170" i="99"/>
  <c r="S171" i="99"/>
  <c r="AH171" i="99"/>
  <c r="AH174" i="99"/>
  <c r="F178" i="99"/>
  <c r="N178" i="99"/>
  <c r="F179" i="99"/>
  <c r="R179" i="99"/>
  <c r="N183" i="99"/>
  <c r="F186" i="99"/>
  <c r="N186" i="99"/>
  <c r="F187" i="99"/>
  <c r="R187" i="99"/>
  <c r="N191" i="99"/>
  <c r="F194" i="99"/>
  <c r="N194" i="99"/>
  <c r="F195" i="99"/>
  <c r="R195" i="99"/>
  <c r="L206" i="99"/>
  <c r="F209" i="99"/>
  <c r="AL209" i="99"/>
  <c r="AM209" i="99" s="1"/>
  <c r="AN209" i="99" s="1"/>
  <c r="AO209" i="99" s="1"/>
  <c r="AP209" i="99" s="1"/>
  <c r="AQ209" i="99" s="1"/>
  <c r="AR209" i="99" s="1"/>
  <c r="AS209" i="99" s="1"/>
  <c r="AT209" i="99" s="1"/>
  <c r="AU209" i="99" s="1"/>
  <c r="AV209" i="99" s="1"/>
  <c r="AW209" i="99" s="1"/>
  <c r="AX209" i="99" s="1"/>
  <c r="AY209" i="99" s="1"/>
  <c r="AZ209" i="99" s="1"/>
  <c r="BA209" i="99" s="1"/>
  <c r="BB209" i="99" s="1"/>
  <c r="BC209" i="99" s="1"/>
  <c r="BD209" i="99" s="1"/>
  <c r="BE209" i="99" s="1"/>
  <c r="BF209" i="99" s="1"/>
  <c r="AL211" i="99"/>
  <c r="AM211" i="99" s="1"/>
  <c r="AN211" i="99" s="1"/>
  <c r="AO211" i="99" s="1"/>
  <c r="AP211" i="99" s="1"/>
  <c r="AQ211" i="99" s="1"/>
  <c r="AR211" i="99" s="1"/>
  <c r="AS211" i="99" s="1"/>
  <c r="AT211" i="99" s="1"/>
  <c r="AU211" i="99" s="1"/>
  <c r="AV211" i="99" s="1"/>
  <c r="AW211" i="99" s="1"/>
  <c r="AX211" i="99" s="1"/>
  <c r="AY211" i="99" s="1"/>
  <c r="AZ211" i="99" s="1"/>
  <c r="BA211" i="99" s="1"/>
  <c r="BB211" i="99" s="1"/>
  <c r="BC211" i="99" s="1"/>
  <c r="BD211" i="99" s="1"/>
  <c r="BE211" i="99" s="1"/>
  <c r="BF211" i="99" s="1"/>
  <c r="AL212" i="99"/>
  <c r="AM212" i="99" s="1"/>
  <c r="AN212" i="99" s="1"/>
  <c r="AO212" i="99" s="1"/>
  <c r="AP212" i="99" s="1"/>
  <c r="AQ212" i="99" s="1"/>
  <c r="AR212" i="99" s="1"/>
  <c r="AS212" i="99" s="1"/>
  <c r="AT212" i="99" s="1"/>
  <c r="AU212" i="99" s="1"/>
  <c r="AV212" i="99" s="1"/>
  <c r="AW212" i="99" s="1"/>
  <c r="AX212" i="99" s="1"/>
  <c r="AY212" i="99" s="1"/>
  <c r="AZ212" i="99" s="1"/>
  <c r="BA212" i="99" s="1"/>
  <c r="BB212" i="99" s="1"/>
  <c r="BC212" i="99" s="1"/>
  <c r="BD212" i="99" s="1"/>
  <c r="BE212" i="99" s="1"/>
  <c r="BF212" i="99" s="1"/>
  <c r="D212" i="99"/>
  <c r="E212" i="99" s="1"/>
  <c r="G214" i="99"/>
  <c r="AL215" i="99"/>
  <c r="AM215" i="99" s="1"/>
  <c r="AN215" i="99" s="1"/>
  <c r="AO215" i="99" s="1"/>
  <c r="AP215" i="99" s="1"/>
  <c r="AQ215" i="99" s="1"/>
  <c r="AR215" i="99" s="1"/>
  <c r="AS215" i="99" s="1"/>
  <c r="AT215" i="99" s="1"/>
  <c r="AU215" i="99" s="1"/>
  <c r="AV215" i="99" s="1"/>
  <c r="AW215" i="99" s="1"/>
  <c r="AX215" i="99" s="1"/>
  <c r="AY215" i="99" s="1"/>
  <c r="AZ215" i="99" s="1"/>
  <c r="BA215" i="99" s="1"/>
  <c r="BB215" i="99" s="1"/>
  <c r="BC215" i="99" s="1"/>
  <c r="BD215" i="99" s="1"/>
  <c r="BE215" i="99" s="1"/>
  <c r="BF215" i="99" s="1"/>
  <c r="F221" i="99"/>
  <c r="AL225" i="99"/>
  <c r="AM225" i="99" s="1"/>
  <c r="AN225" i="99" s="1"/>
  <c r="AO225" i="99" s="1"/>
  <c r="AP225" i="99" s="1"/>
  <c r="AQ225" i="99" s="1"/>
  <c r="AR225" i="99" s="1"/>
  <c r="AS225" i="99" s="1"/>
  <c r="AT225" i="99" s="1"/>
  <c r="AU225" i="99" s="1"/>
  <c r="AV225" i="99" s="1"/>
  <c r="AW225" i="99" s="1"/>
  <c r="AX225" i="99" s="1"/>
  <c r="AY225" i="99" s="1"/>
  <c r="AZ225" i="99" s="1"/>
  <c r="BA225" i="99" s="1"/>
  <c r="BB225" i="99" s="1"/>
  <c r="BC225" i="99" s="1"/>
  <c r="BD225" i="99" s="1"/>
  <c r="BE225" i="99" s="1"/>
  <c r="BF225" i="99" s="1"/>
  <c r="F244" i="99"/>
  <c r="Q250" i="99"/>
  <c r="AH243" i="99"/>
  <c r="AH247" i="99"/>
  <c r="N251" i="99"/>
  <c r="AC260" i="99"/>
  <c r="L260" i="99"/>
  <c r="S269" i="99"/>
  <c r="F141" i="99"/>
  <c r="F145" i="99"/>
  <c r="F155" i="99"/>
  <c r="AH194" i="99"/>
  <c r="AH190" i="99"/>
  <c r="AH186" i="99"/>
  <c r="AH182" i="99"/>
  <c r="AH178" i="99"/>
  <c r="P199" i="99"/>
  <c r="AH193" i="99"/>
  <c r="AH189" i="99"/>
  <c r="AH185" i="99"/>
  <c r="AH181" i="99"/>
  <c r="AH177" i="99"/>
  <c r="AH164" i="99"/>
  <c r="AM199" i="99"/>
  <c r="AH167" i="99"/>
  <c r="N170" i="99"/>
  <c r="AC171" i="99"/>
  <c r="L171" i="99"/>
  <c r="F172" i="99"/>
  <c r="AH173" i="99"/>
  <c r="G175" i="99"/>
  <c r="R175" i="99"/>
  <c r="AC179" i="99"/>
  <c r="AH179" i="99"/>
  <c r="AC180" i="99"/>
  <c r="R180" i="99"/>
  <c r="AH180" i="99"/>
  <c r="AH187" i="99"/>
  <c r="AC188" i="99"/>
  <c r="R188" i="99"/>
  <c r="AH188" i="99"/>
  <c r="AH195" i="99"/>
  <c r="AC196" i="99"/>
  <c r="R196" i="99"/>
  <c r="AH196" i="99"/>
  <c r="L207" i="99"/>
  <c r="G211" i="99"/>
  <c r="F216" i="99"/>
  <c r="F220" i="99"/>
  <c r="AL227" i="99"/>
  <c r="AM227" i="99" s="1"/>
  <c r="AN227" i="99" s="1"/>
  <c r="AO227" i="99" s="1"/>
  <c r="AP227" i="99" s="1"/>
  <c r="AQ227" i="99" s="1"/>
  <c r="AR227" i="99" s="1"/>
  <c r="AS227" i="99" s="1"/>
  <c r="AT227" i="99" s="1"/>
  <c r="AU227" i="99" s="1"/>
  <c r="AV227" i="99" s="1"/>
  <c r="AW227" i="99" s="1"/>
  <c r="AX227" i="99" s="1"/>
  <c r="AY227" i="99" s="1"/>
  <c r="AZ227" i="99" s="1"/>
  <c r="BA227" i="99" s="1"/>
  <c r="BB227" i="99" s="1"/>
  <c r="BC227" i="99" s="1"/>
  <c r="BD227" i="99" s="1"/>
  <c r="BE227" i="99" s="1"/>
  <c r="BF227" i="99" s="1"/>
  <c r="F228" i="99"/>
  <c r="AL229" i="99"/>
  <c r="AM229" i="99" s="1"/>
  <c r="AN229" i="99" s="1"/>
  <c r="AO229" i="99" s="1"/>
  <c r="AP229" i="99" s="1"/>
  <c r="AQ229" i="99" s="1"/>
  <c r="AR229" i="99" s="1"/>
  <c r="AS229" i="99" s="1"/>
  <c r="AT229" i="99" s="1"/>
  <c r="AU229" i="99" s="1"/>
  <c r="AV229" i="99" s="1"/>
  <c r="AW229" i="99" s="1"/>
  <c r="AX229" i="99" s="1"/>
  <c r="AY229" i="99" s="1"/>
  <c r="AZ229" i="99" s="1"/>
  <c r="BA229" i="99" s="1"/>
  <c r="BB229" i="99" s="1"/>
  <c r="BC229" i="99" s="1"/>
  <c r="BD229" i="99" s="1"/>
  <c r="BE229" i="99" s="1"/>
  <c r="BF229" i="99" s="1"/>
  <c r="F232" i="99"/>
  <c r="AG277" i="99"/>
  <c r="AG278" i="99" s="1"/>
  <c r="G266" i="99"/>
  <c r="F176" i="99"/>
  <c r="AC177" i="99"/>
  <c r="R177" i="99"/>
  <c r="F180" i="99"/>
  <c r="AC181" i="99"/>
  <c r="R181" i="99"/>
  <c r="F184" i="99"/>
  <c r="AC185" i="99"/>
  <c r="R185" i="99"/>
  <c r="F188" i="99"/>
  <c r="R189" i="99"/>
  <c r="F192" i="99"/>
  <c r="R193" i="99"/>
  <c r="F196" i="99"/>
  <c r="AL207" i="99"/>
  <c r="AM207" i="99" s="1"/>
  <c r="AN207" i="99" s="1"/>
  <c r="AO207" i="99" s="1"/>
  <c r="AP207" i="99" s="1"/>
  <c r="AQ207" i="99" s="1"/>
  <c r="AR207" i="99" s="1"/>
  <c r="AS207" i="99" s="1"/>
  <c r="AT207" i="99" s="1"/>
  <c r="AU207" i="99" s="1"/>
  <c r="AV207" i="99" s="1"/>
  <c r="AW207" i="99" s="1"/>
  <c r="AX207" i="99" s="1"/>
  <c r="AY207" i="99" s="1"/>
  <c r="AZ207" i="99" s="1"/>
  <c r="BA207" i="99" s="1"/>
  <c r="BB207" i="99" s="1"/>
  <c r="BC207" i="99" s="1"/>
  <c r="BD207" i="99" s="1"/>
  <c r="BE207" i="99" s="1"/>
  <c r="BF207" i="99" s="1"/>
  <c r="G215" i="99"/>
  <c r="AL216" i="99"/>
  <c r="AM216" i="99" s="1"/>
  <c r="AN216" i="99" s="1"/>
  <c r="AO216" i="99" s="1"/>
  <c r="AP216" i="99" s="1"/>
  <c r="AQ216" i="99" s="1"/>
  <c r="AR216" i="99" s="1"/>
  <c r="AS216" i="99" s="1"/>
  <c r="AT216" i="99" s="1"/>
  <c r="AU216" i="99" s="1"/>
  <c r="AV216" i="99" s="1"/>
  <c r="AW216" i="99" s="1"/>
  <c r="AX216" i="99" s="1"/>
  <c r="AY216" i="99" s="1"/>
  <c r="AZ216" i="99" s="1"/>
  <c r="BA216" i="99" s="1"/>
  <c r="BB216" i="99" s="1"/>
  <c r="BC216" i="99" s="1"/>
  <c r="BD216" i="99" s="1"/>
  <c r="BE216" i="99" s="1"/>
  <c r="BF216" i="99" s="1"/>
  <c r="AL218" i="99"/>
  <c r="AM218" i="99" s="1"/>
  <c r="AN218" i="99" s="1"/>
  <c r="AO218" i="99" s="1"/>
  <c r="AP218" i="99" s="1"/>
  <c r="AQ218" i="99" s="1"/>
  <c r="AR218" i="99" s="1"/>
  <c r="AS218" i="99" s="1"/>
  <c r="AT218" i="99" s="1"/>
  <c r="AU218" i="99" s="1"/>
  <c r="AV218" i="99" s="1"/>
  <c r="AW218" i="99" s="1"/>
  <c r="AX218" i="99" s="1"/>
  <c r="AY218" i="99" s="1"/>
  <c r="AZ218" i="99" s="1"/>
  <c r="BA218" i="99" s="1"/>
  <c r="BB218" i="99" s="1"/>
  <c r="BC218" i="99" s="1"/>
  <c r="BD218" i="99" s="1"/>
  <c r="BE218" i="99" s="1"/>
  <c r="BF218" i="99" s="1"/>
  <c r="G223" i="99"/>
  <c r="AL223" i="99"/>
  <c r="AM223" i="99" s="1"/>
  <c r="AN223" i="99" s="1"/>
  <c r="AO223" i="99" s="1"/>
  <c r="AP223" i="99" s="1"/>
  <c r="AQ223" i="99" s="1"/>
  <c r="AR223" i="99" s="1"/>
  <c r="AS223" i="99" s="1"/>
  <c r="AT223" i="99" s="1"/>
  <c r="AU223" i="99" s="1"/>
  <c r="AV223" i="99" s="1"/>
  <c r="AW223" i="99" s="1"/>
  <c r="AX223" i="99" s="1"/>
  <c r="AY223" i="99" s="1"/>
  <c r="AZ223" i="99" s="1"/>
  <c r="BA223" i="99" s="1"/>
  <c r="BB223" i="99" s="1"/>
  <c r="BC223" i="99" s="1"/>
  <c r="BD223" i="99" s="1"/>
  <c r="BE223" i="99" s="1"/>
  <c r="BF223" i="99" s="1"/>
  <c r="AL232" i="99"/>
  <c r="AM232" i="99" s="1"/>
  <c r="AN232" i="99" s="1"/>
  <c r="AO232" i="99" s="1"/>
  <c r="AP232" i="99" s="1"/>
  <c r="AQ232" i="99" s="1"/>
  <c r="AR232" i="99" s="1"/>
  <c r="AS232" i="99" s="1"/>
  <c r="AT232" i="99" s="1"/>
  <c r="AU232" i="99" s="1"/>
  <c r="AV232" i="99" s="1"/>
  <c r="AW232" i="99" s="1"/>
  <c r="AX232" i="99" s="1"/>
  <c r="AY232" i="99" s="1"/>
  <c r="AZ232" i="99" s="1"/>
  <c r="BA232" i="99" s="1"/>
  <c r="BB232" i="99" s="1"/>
  <c r="BC232" i="99" s="1"/>
  <c r="BD232" i="99" s="1"/>
  <c r="BE232" i="99" s="1"/>
  <c r="BF232" i="99" s="1"/>
  <c r="AL233" i="99"/>
  <c r="AM233" i="99" s="1"/>
  <c r="AN233" i="99" s="1"/>
  <c r="AO233" i="99" s="1"/>
  <c r="AP233" i="99" s="1"/>
  <c r="AQ233" i="99" s="1"/>
  <c r="AR233" i="99" s="1"/>
  <c r="AS233" i="99" s="1"/>
  <c r="AT233" i="99" s="1"/>
  <c r="AU233" i="99" s="1"/>
  <c r="AV233" i="99" s="1"/>
  <c r="AW233" i="99" s="1"/>
  <c r="AX233" i="99" s="1"/>
  <c r="AY233" i="99" s="1"/>
  <c r="AZ233" i="99" s="1"/>
  <c r="BA233" i="99" s="1"/>
  <c r="BB233" i="99" s="1"/>
  <c r="BC233" i="99" s="1"/>
  <c r="BD233" i="99" s="1"/>
  <c r="BE233" i="99" s="1"/>
  <c r="BF233" i="99" s="1"/>
  <c r="H234" i="99"/>
  <c r="AC265" i="99"/>
  <c r="G250" i="99"/>
  <c r="F251" i="99"/>
  <c r="F256" i="99"/>
  <c r="F257" i="99"/>
  <c r="S261" i="99"/>
  <c r="Q270" i="99"/>
  <c r="AH270" i="99"/>
  <c r="F177" i="99"/>
  <c r="AC178" i="99"/>
  <c r="R178" i="99"/>
  <c r="F181" i="99"/>
  <c r="AC182" i="99"/>
  <c r="R182" i="99"/>
  <c r="F185" i="99"/>
  <c r="AC186" i="99"/>
  <c r="R186" i="99"/>
  <c r="F189" i="99"/>
  <c r="AC190" i="99"/>
  <c r="R190" i="99"/>
  <c r="F193" i="99"/>
  <c r="AC194" i="99"/>
  <c r="R194" i="99"/>
  <c r="T238" i="99"/>
  <c r="AL204" i="99"/>
  <c r="AM204" i="99" s="1"/>
  <c r="AN204" i="99" s="1"/>
  <c r="AO204" i="99" s="1"/>
  <c r="AP204" i="99" s="1"/>
  <c r="AQ204" i="99" s="1"/>
  <c r="AR204" i="99" s="1"/>
  <c r="AS204" i="99" s="1"/>
  <c r="AT204" i="99" s="1"/>
  <c r="AU204" i="99" s="1"/>
  <c r="AV204" i="99" s="1"/>
  <c r="AW204" i="99" s="1"/>
  <c r="AX204" i="99" s="1"/>
  <c r="AY204" i="99" s="1"/>
  <c r="AZ204" i="99" s="1"/>
  <c r="BA204" i="99" s="1"/>
  <c r="BB204" i="99" s="1"/>
  <c r="BC204" i="99" s="1"/>
  <c r="BD204" i="99" s="1"/>
  <c r="BE204" i="99" s="1"/>
  <c r="BF204" i="99" s="1"/>
  <c r="AL205" i="99"/>
  <c r="AM205" i="99" s="1"/>
  <c r="AN205" i="99" s="1"/>
  <c r="AO205" i="99" s="1"/>
  <c r="AP205" i="99" s="1"/>
  <c r="AQ205" i="99" s="1"/>
  <c r="AR205" i="99" s="1"/>
  <c r="AS205" i="99" s="1"/>
  <c r="AT205" i="99" s="1"/>
  <c r="AU205" i="99" s="1"/>
  <c r="AV205" i="99" s="1"/>
  <c r="AW205" i="99" s="1"/>
  <c r="AX205" i="99" s="1"/>
  <c r="AY205" i="99" s="1"/>
  <c r="AZ205" i="99" s="1"/>
  <c r="BA205" i="99" s="1"/>
  <c r="BB205" i="99" s="1"/>
  <c r="BC205" i="99" s="1"/>
  <c r="BD205" i="99" s="1"/>
  <c r="BE205" i="99" s="1"/>
  <c r="BF205" i="99" s="1"/>
  <c r="J217" i="99"/>
  <c r="AL224" i="99"/>
  <c r="AM224" i="99" s="1"/>
  <c r="AN224" i="99" s="1"/>
  <c r="AO224" i="99" s="1"/>
  <c r="AP224" i="99" s="1"/>
  <c r="AQ224" i="99" s="1"/>
  <c r="AR224" i="99" s="1"/>
  <c r="AS224" i="99" s="1"/>
  <c r="AT224" i="99" s="1"/>
  <c r="AU224" i="99" s="1"/>
  <c r="AV224" i="99" s="1"/>
  <c r="AW224" i="99" s="1"/>
  <c r="AX224" i="99" s="1"/>
  <c r="AY224" i="99" s="1"/>
  <c r="AZ224" i="99" s="1"/>
  <c r="BA224" i="99" s="1"/>
  <c r="BB224" i="99" s="1"/>
  <c r="BC224" i="99" s="1"/>
  <c r="BD224" i="99" s="1"/>
  <c r="BE224" i="99" s="1"/>
  <c r="BF224" i="99" s="1"/>
  <c r="M244" i="99"/>
  <c r="AH248" i="99"/>
  <c r="M249" i="99"/>
  <c r="G258" i="99"/>
  <c r="W265" i="99"/>
  <c r="F265" i="99"/>
  <c r="AC268" i="99"/>
  <c r="L268" i="99"/>
  <c r="M271" i="99"/>
  <c r="Q274" i="99"/>
  <c r="AL222" i="99"/>
  <c r="AM222" i="99" s="1"/>
  <c r="AN222" i="99" s="1"/>
  <c r="AO222" i="99" s="1"/>
  <c r="AP222" i="99" s="1"/>
  <c r="AQ222" i="99" s="1"/>
  <c r="AR222" i="99" s="1"/>
  <c r="AS222" i="99" s="1"/>
  <c r="AT222" i="99" s="1"/>
  <c r="AU222" i="99" s="1"/>
  <c r="AV222" i="99" s="1"/>
  <c r="AW222" i="99" s="1"/>
  <c r="AX222" i="99" s="1"/>
  <c r="AY222" i="99" s="1"/>
  <c r="AZ222" i="99" s="1"/>
  <c r="BA222" i="99" s="1"/>
  <c r="BB222" i="99" s="1"/>
  <c r="BC222" i="99" s="1"/>
  <c r="BD222" i="99" s="1"/>
  <c r="BE222" i="99" s="1"/>
  <c r="BF222" i="99" s="1"/>
  <c r="AL230" i="99"/>
  <c r="AM230" i="99" s="1"/>
  <c r="AN230" i="99" s="1"/>
  <c r="AO230" i="99" s="1"/>
  <c r="AP230" i="99" s="1"/>
  <c r="AQ230" i="99" s="1"/>
  <c r="AR230" i="99" s="1"/>
  <c r="AS230" i="99" s="1"/>
  <c r="AT230" i="99" s="1"/>
  <c r="AU230" i="99" s="1"/>
  <c r="AV230" i="99" s="1"/>
  <c r="AW230" i="99" s="1"/>
  <c r="AX230" i="99" s="1"/>
  <c r="AY230" i="99" s="1"/>
  <c r="AZ230" i="99" s="1"/>
  <c r="BA230" i="99" s="1"/>
  <c r="BB230" i="99" s="1"/>
  <c r="BC230" i="99" s="1"/>
  <c r="BD230" i="99" s="1"/>
  <c r="BE230" i="99" s="1"/>
  <c r="BF230" i="99" s="1"/>
  <c r="AC257" i="99"/>
  <c r="AH242" i="99"/>
  <c r="R245" i="99"/>
  <c r="N246" i="99"/>
  <c r="AC247" i="99"/>
  <c r="S248" i="99"/>
  <c r="R253" i="99"/>
  <c r="N254" i="99"/>
  <c r="S255" i="99"/>
  <c r="AC255" i="99"/>
  <c r="AC258" i="99"/>
  <c r="L258" i="99"/>
  <c r="S259" i="99"/>
  <c r="Q260" i="99"/>
  <c r="AH260" i="99"/>
  <c r="M261" i="99"/>
  <c r="F263" i="99"/>
  <c r="G264" i="99"/>
  <c r="AC266" i="99"/>
  <c r="L266" i="99"/>
  <c r="S267" i="99"/>
  <c r="Q268" i="99"/>
  <c r="AH268" i="99"/>
  <c r="M269" i="99"/>
  <c r="F271" i="99"/>
  <c r="AL226" i="99"/>
  <c r="AM226" i="99" s="1"/>
  <c r="AN226" i="99" s="1"/>
  <c r="AO226" i="99" s="1"/>
  <c r="AP226" i="99" s="1"/>
  <c r="AQ226" i="99" s="1"/>
  <c r="AR226" i="99" s="1"/>
  <c r="AS226" i="99" s="1"/>
  <c r="AT226" i="99" s="1"/>
  <c r="AU226" i="99" s="1"/>
  <c r="AV226" i="99" s="1"/>
  <c r="AW226" i="99" s="1"/>
  <c r="AX226" i="99" s="1"/>
  <c r="AY226" i="99" s="1"/>
  <c r="AZ226" i="99" s="1"/>
  <c r="BA226" i="99" s="1"/>
  <c r="BB226" i="99" s="1"/>
  <c r="BC226" i="99" s="1"/>
  <c r="BD226" i="99" s="1"/>
  <c r="BE226" i="99" s="1"/>
  <c r="BF226" i="99" s="1"/>
  <c r="E277" i="99"/>
  <c r="W274" i="99" s="1"/>
  <c r="F242" i="99"/>
  <c r="R243" i="99"/>
  <c r="AH244" i="99"/>
  <c r="W245" i="99"/>
  <c r="F245" i="99"/>
  <c r="H246" i="99"/>
  <c r="R246" i="99"/>
  <c r="AH246" i="99"/>
  <c r="AC248" i="99"/>
  <c r="L248" i="99"/>
  <c r="AH251" i="99"/>
  <c r="AH252" i="99"/>
  <c r="F253" i="99"/>
  <c r="H254" i="99"/>
  <c r="R254" i="99"/>
  <c r="AH254" i="99"/>
  <c r="W255" i="99"/>
  <c r="F255" i="99"/>
  <c r="N255" i="99"/>
  <c r="AC256" i="99"/>
  <c r="L256" i="99"/>
  <c r="Q258" i="99"/>
  <c r="AH258" i="99"/>
  <c r="M259" i="99"/>
  <c r="W260" i="99"/>
  <c r="W261" i="99"/>
  <c r="F261" i="99"/>
  <c r="G262" i="99"/>
  <c r="AC263" i="99"/>
  <c r="AC264" i="99"/>
  <c r="L264" i="99"/>
  <c r="S265" i="99"/>
  <c r="Q266" i="99"/>
  <c r="AH266" i="99"/>
  <c r="M267" i="99"/>
  <c r="F269" i="99"/>
  <c r="G270" i="99"/>
  <c r="AC271" i="99"/>
  <c r="Q272" i="99"/>
  <c r="AH272" i="99"/>
  <c r="G274" i="99"/>
  <c r="AL214" i="99"/>
  <c r="AM214" i="99" s="1"/>
  <c r="AN214" i="99" s="1"/>
  <c r="AO214" i="99" s="1"/>
  <c r="AP214" i="99" s="1"/>
  <c r="AQ214" i="99" s="1"/>
  <c r="AR214" i="99" s="1"/>
  <c r="AS214" i="99" s="1"/>
  <c r="AT214" i="99" s="1"/>
  <c r="AU214" i="99" s="1"/>
  <c r="AV214" i="99" s="1"/>
  <c r="AW214" i="99" s="1"/>
  <c r="AX214" i="99" s="1"/>
  <c r="AY214" i="99" s="1"/>
  <c r="AZ214" i="99" s="1"/>
  <c r="BA214" i="99" s="1"/>
  <c r="BB214" i="99" s="1"/>
  <c r="BC214" i="99" s="1"/>
  <c r="BD214" i="99" s="1"/>
  <c r="BE214" i="99" s="1"/>
  <c r="BF214" i="99" s="1"/>
  <c r="G222" i="99"/>
  <c r="G224" i="99"/>
  <c r="F226" i="99"/>
  <c r="F229" i="99"/>
  <c r="I230" i="99"/>
  <c r="AL234" i="99"/>
  <c r="AM234" i="99" s="1"/>
  <c r="AN234" i="99" s="1"/>
  <c r="AO234" i="99" s="1"/>
  <c r="AP234" i="99" s="1"/>
  <c r="AQ234" i="99" s="1"/>
  <c r="AR234" i="99" s="1"/>
  <c r="AS234" i="99" s="1"/>
  <c r="AT234" i="99" s="1"/>
  <c r="AU234" i="99" s="1"/>
  <c r="AV234" i="99" s="1"/>
  <c r="AW234" i="99" s="1"/>
  <c r="AX234" i="99" s="1"/>
  <c r="AY234" i="99" s="1"/>
  <c r="AZ234" i="99" s="1"/>
  <c r="BA234" i="99" s="1"/>
  <c r="BB234" i="99" s="1"/>
  <c r="BC234" i="99" s="1"/>
  <c r="BD234" i="99" s="1"/>
  <c r="BE234" i="99" s="1"/>
  <c r="BF234" i="99" s="1"/>
  <c r="F235" i="99"/>
  <c r="AL277" i="99"/>
  <c r="AL278" i="99" s="1"/>
  <c r="AM242" i="99"/>
  <c r="F243" i="99"/>
  <c r="N245" i="99"/>
  <c r="R249" i="99"/>
  <c r="N250" i="99"/>
  <c r="S251" i="99"/>
  <c r="AC251" i="99"/>
  <c r="G252" i="99"/>
  <c r="S252" i="99"/>
  <c r="N253" i="99"/>
  <c r="R257" i="99"/>
  <c r="W258" i="99"/>
  <c r="F259" i="99"/>
  <c r="G260" i="99"/>
  <c r="AC261" i="99"/>
  <c r="AC262" i="99"/>
  <c r="L262" i="99"/>
  <c r="S263" i="99"/>
  <c r="Q264" i="99"/>
  <c r="AH264" i="99"/>
  <c r="M265" i="99"/>
  <c r="F267" i="99"/>
  <c r="G268" i="99"/>
  <c r="AC269" i="99"/>
  <c r="AC270" i="99"/>
  <c r="L270" i="99"/>
  <c r="S271" i="99"/>
  <c r="AV47" i="118"/>
  <c r="AR47" i="118"/>
  <c r="P277" i="99"/>
  <c r="AH273" i="99"/>
  <c r="AH271" i="99"/>
  <c r="AH269" i="99"/>
  <c r="AH267" i="99"/>
  <c r="AH265" i="99"/>
  <c r="AH263" i="99"/>
  <c r="AH261" i="99"/>
  <c r="AH259" i="99"/>
  <c r="AC243" i="99"/>
  <c r="AC244" i="99"/>
  <c r="AC245" i="99"/>
  <c r="AH245" i="99"/>
  <c r="AC246" i="99"/>
  <c r="AC253" i="99"/>
  <c r="AH253" i="99"/>
  <c r="AC254" i="99"/>
  <c r="AC272" i="99"/>
  <c r="L272" i="99"/>
  <c r="F273" i="99"/>
  <c r="R273" i="99"/>
  <c r="AC273" i="99"/>
  <c r="L274" i="99"/>
  <c r="D277" i="99"/>
  <c r="D278" i="99" s="1"/>
  <c r="AC242" i="99"/>
  <c r="AC249" i="99"/>
  <c r="AH249" i="99"/>
  <c r="AC250" i="99"/>
  <c r="AH257" i="99"/>
  <c r="N273" i="99"/>
  <c r="AD47" i="118"/>
  <c r="AC47" i="118"/>
  <c r="Y47" i="118"/>
  <c r="AF47" i="118"/>
  <c r="AN47" i="118"/>
  <c r="AJ47" i="118"/>
  <c r="AM47" i="118"/>
  <c r="AI47" i="118"/>
  <c r="AL47" i="118"/>
  <c r="AY47" i="118"/>
  <c r="AU47" i="118"/>
  <c r="BB47" i="118"/>
  <c r="AX47" i="118"/>
  <c r="AT47" i="118"/>
  <c r="BA47" i="118"/>
  <c r="AW47" i="118"/>
  <c r="AS47" i="118"/>
  <c r="AE47" i="118"/>
  <c r="AZ47" i="118"/>
  <c r="Z47" i="118"/>
  <c r="AK47" i="118"/>
  <c r="CE50" i="113"/>
  <c r="CE52" i="113"/>
  <c r="CE58" i="113"/>
  <c r="CE60" i="113"/>
  <c r="CE67" i="113"/>
  <c r="CE51" i="113"/>
  <c r="CE59" i="113"/>
  <c r="BD68" i="113"/>
  <c r="AF41" i="82" s="1"/>
  <c r="BD48" i="113"/>
  <c r="AF21" i="82" s="1"/>
  <c r="CE48" i="113"/>
  <c r="AC50" i="113"/>
  <c r="CE54" i="113"/>
  <c r="BD56" i="113"/>
  <c r="AF29" i="82" s="1"/>
  <c r="CE56" i="113"/>
  <c r="AC58" i="113"/>
  <c r="CE62" i="113"/>
  <c r="BD64" i="113"/>
  <c r="AF37" i="82" s="1"/>
  <c r="CE66" i="113"/>
  <c r="CE74" i="113"/>
  <c r="CE55" i="113"/>
  <c r="CE63" i="113"/>
  <c r="CE77" i="113"/>
  <c r="CE49" i="113"/>
  <c r="CE53" i="113"/>
  <c r="CE57" i="113"/>
  <c r="CE61" i="113"/>
  <c r="CE65" i="113"/>
  <c r="CE69" i="113"/>
  <c r="BD71" i="113"/>
  <c r="AF44" i="82" s="1"/>
  <c r="CE71" i="113"/>
  <c r="AC73" i="113"/>
  <c r="BD79" i="113"/>
  <c r="AF52" i="82" s="1"/>
  <c r="CE79" i="113"/>
  <c r="CE64" i="113"/>
  <c r="CE68" i="113"/>
  <c r="CE70" i="113"/>
  <c r="CE78" i="113"/>
  <c r="CE73" i="113"/>
  <c r="CE75" i="113"/>
  <c r="AQ45" i="68"/>
  <c r="AQ209" i="68"/>
  <c r="AX127" i="68"/>
  <c r="AX293" i="68"/>
  <c r="CE72" i="113"/>
  <c r="CE76" i="113"/>
  <c r="CE80" i="113"/>
  <c r="E26" i="82"/>
  <c r="Z26" i="82" s="1"/>
  <c r="E28" i="82"/>
  <c r="V28" i="82" s="1"/>
  <c r="E32" i="82"/>
  <c r="Z32" i="82" s="1"/>
  <c r="E36" i="82"/>
  <c r="V36" i="82" s="1"/>
  <c r="E40" i="82"/>
  <c r="Z40" i="82" s="1"/>
  <c r="E48" i="82"/>
  <c r="E52" i="82"/>
  <c r="G52" i="82" s="1"/>
  <c r="B56" i="82"/>
  <c r="C56" i="82"/>
  <c r="E27" i="82"/>
  <c r="V27" i="82" s="1"/>
  <c r="E31" i="82"/>
  <c r="Z31" i="82" s="1"/>
  <c r="E35" i="82"/>
  <c r="V35" i="82" s="1"/>
  <c r="E39" i="82"/>
  <c r="Z39" i="82" s="1"/>
  <c r="E43" i="82"/>
  <c r="Z43" i="82" s="1"/>
  <c r="E47" i="82"/>
  <c r="Z47" i="82" s="1"/>
  <c r="E51" i="82"/>
  <c r="Z51" i="82" s="1"/>
  <c r="G55" i="120"/>
  <c r="E55" i="120"/>
  <c r="H56" i="120"/>
  <c r="E56" i="120"/>
  <c r="AK62" i="120"/>
  <c r="E62" i="120"/>
  <c r="X416" i="68"/>
  <c r="T416" i="68"/>
  <c r="AF416" i="68"/>
  <c r="P416" i="68"/>
  <c r="AJ416" i="68"/>
  <c r="AN416" i="68"/>
  <c r="AV416" i="68"/>
  <c r="AB416" i="68"/>
  <c r="W209" i="68"/>
  <c r="AD62" i="120"/>
  <c r="S209" i="68"/>
  <c r="AI209" i="68"/>
  <c r="X62" i="120"/>
  <c r="M62" i="120"/>
  <c r="AM209" i="68"/>
  <c r="H62" i="120"/>
  <c r="AC62" i="120"/>
  <c r="AE209" i="68"/>
  <c r="AU209" i="68"/>
  <c r="AA209" i="68"/>
  <c r="AN62" i="120"/>
  <c r="T62" i="120"/>
  <c r="AS62" i="120"/>
  <c r="E22" i="82"/>
  <c r="Z22" i="82" s="1"/>
  <c r="E25" i="82"/>
  <c r="O25" i="82" s="1"/>
  <c r="E29" i="82"/>
  <c r="V29" i="82" s="1"/>
  <c r="E30" i="82"/>
  <c r="Z30" i="82" s="1"/>
  <c r="E33" i="82"/>
  <c r="Z33" i="82" s="1"/>
  <c r="E34" i="82"/>
  <c r="Z34" i="82" s="1"/>
  <c r="E37" i="82"/>
  <c r="V37" i="82" s="1"/>
  <c r="E38" i="82"/>
  <c r="Z38" i="82" s="1"/>
  <c r="E41" i="82"/>
  <c r="Z41" i="82" s="1"/>
  <c r="E42" i="82"/>
  <c r="Z42" i="82" s="1"/>
  <c r="E45" i="82"/>
  <c r="Z45" i="82" s="1"/>
  <c r="E46" i="82"/>
  <c r="V46" i="82" s="1"/>
  <c r="E49" i="82"/>
  <c r="Z49" i="82" s="1"/>
  <c r="E50" i="82"/>
  <c r="Z50" i="82" s="1"/>
  <c r="E53" i="82"/>
  <c r="Z53" i="82" s="1"/>
  <c r="E24" i="82"/>
  <c r="Z24" i="82" s="1"/>
  <c r="E44" i="82"/>
  <c r="Z44" i="82" s="1"/>
  <c r="E21" i="82"/>
  <c r="V21" i="82" s="1"/>
  <c r="U209" i="68"/>
  <c r="Y209" i="68"/>
  <c r="AC209" i="68"/>
  <c r="AG209" i="68"/>
  <c r="AK209" i="68"/>
  <c r="AO209" i="68"/>
  <c r="AS209" i="68"/>
  <c r="AW209" i="68"/>
  <c r="F57" i="120"/>
  <c r="AA293" i="68"/>
  <c r="H55" i="120"/>
  <c r="BF179" i="113"/>
  <c r="AA45" i="68"/>
  <c r="AG161" i="99"/>
  <c r="Y110" i="110" s="1"/>
  <c r="AJ86" i="68"/>
  <c r="SOM43" i="118"/>
  <c r="TIE43" i="118"/>
  <c r="PAM43" i="118"/>
  <c r="NSE43" i="118"/>
  <c r="MYM43" i="118"/>
  <c r="MFK43" i="118"/>
  <c r="LUY43" i="118"/>
  <c r="LLC43" i="118"/>
  <c r="LBG43" i="118"/>
  <c r="KTG43" i="118"/>
  <c r="KOI43" i="118"/>
  <c r="KJK43" i="118"/>
  <c r="KEM43" i="118"/>
  <c r="JZO43" i="118"/>
  <c r="JUQ43" i="118"/>
  <c r="JPS43" i="118"/>
  <c r="JKU43" i="118"/>
  <c r="JFW43" i="118"/>
  <c r="JAY43" i="118"/>
  <c r="IWA43" i="118"/>
  <c r="IRC43" i="118"/>
  <c r="IME43" i="118"/>
  <c r="IHG43" i="118"/>
  <c r="ICI43" i="118"/>
  <c r="HZW43" i="118"/>
  <c r="HXK43" i="118"/>
  <c r="HUY43" i="118"/>
  <c r="HSM43" i="118"/>
  <c r="HQA43" i="118"/>
  <c r="HNO43" i="118"/>
  <c r="HLC43" i="118"/>
  <c r="HIQ43" i="118"/>
  <c r="HGE43" i="118"/>
  <c r="HDS43" i="118"/>
  <c r="HBG43" i="118"/>
  <c r="GZG43" i="118"/>
  <c r="GXO43" i="118"/>
  <c r="GVY43" i="118"/>
  <c r="GUI43" i="118"/>
  <c r="GTA43" i="118"/>
  <c r="GRU43" i="118"/>
  <c r="GQO43" i="118"/>
  <c r="GPI43" i="118"/>
  <c r="GOC43" i="118"/>
  <c r="GMW43" i="118"/>
  <c r="GLQ43" i="118"/>
  <c r="GKK43" i="118"/>
  <c r="GJE43" i="118"/>
  <c r="GHY43" i="118"/>
  <c r="GGS43" i="118"/>
  <c r="GFM43" i="118"/>
  <c r="GEG43" i="118"/>
  <c r="GDA43" i="118"/>
  <c r="GBU43" i="118"/>
  <c r="GAO43" i="118"/>
  <c r="FZI43" i="118"/>
  <c r="FYC43" i="118"/>
  <c r="FWW43" i="118"/>
  <c r="FVQ43" i="118"/>
  <c r="FUK43" i="118"/>
  <c r="FTE43" i="118"/>
  <c r="FRY43" i="118"/>
  <c r="FQS43" i="118"/>
  <c r="FPM43" i="118"/>
  <c r="FOG43" i="118"/>
  <c r="FNA43" i="118"/>
  <c r="FLU43" i="118"/>
  <c r="FKO43" i="118"/>
  <c r="FJI43" i="118"/>
  <c r="FIC43" i="118"/>
  <c r="FGW43" i="118"/>
  <c r="FFQ43" i="118"/>
  <c r="FEK43" i="118"/>
  <c r="FDE43" i="118"/>
  <c r="FBY43" i="118"/>
  <c r="FAS43" i="118"/>
  <c r="EZM43" i="118"/>
  <c r="EYG43" i="118"/>
  <c r="EXA43" i="118"/>
  <c r="EVU43" i="118"/>
  <c r="RIK43" i="118"/>
  <c r="OGY43" i="118"/>
  <c r="NNG43" i="118"/>
  <c r="MTO43" i="118"/>
  <c r="MCI43" i="118"/>
  <c r="LSM43" i="118"/>
  <c r="LIQ43" i="118"/>
  <c r="KYU43" i="118"/>
  <c r="KSA43" i="118"/>
  <c r="KNC43" i="118"/>
  <c r="KIE43" i="118"/>
  <c r="KDG43" i="118"/>
  <c r="JYI43" i="118"/>
  <c r="JTK43" i="118"/>
  <c r="JOM43" i="118"/>
  <c r="JJO43" i="118"/>
  <c r="JEQ43" i="118"/>
  <c r="IZS43" i="118"/>
  <c r="IUU43" i="118"/>
  <c r="IPW43" i="118"/>
  <c r="IKY43" i="118"/>
  <c r="IGA43" i="118"/>
  <c r="IBS43" i="118"/>
  <c r="HZG43" i="118"/>
  <c r="HWU43" i="118"/>
  <c r="HUI43" i="118"/>
  <c r="HRW43" i="118"/>
  <c r="HPK43" i="118"/>
  <c r="HMY43" i="118"/>
  <c r="HKM43" i="118"/>
  <c r="HIA43" i="118"/>
  <c r="HFO43" i="118"/>
  <c r="HDC43" i="118"/>
  <c r="HAQ43" i="118"/>
  <c r="GYU43" i="118"/>
  <c r="GXE43" i="118"/>
  <c r="GVO43" i="118"/>
  <c r="GTY43" i="118"/>
  <c r="GSS43" i="118"/>
  <c r="GRM43" i="118"/>
  <c r="GQG43" i="118"/>
  <c r="GPA43" i="118"/>
  <c r="GNU43" i="118"/>
  <c r="GMO43" i="118"/>
  <c r="GLI43" i="118"/>
  <c r="GKC43" i="118"/>
  <c r="GIW43" i="118"/>
  <c r="GHQ43" i="118"/>
  <c r="GGK43" i="118"/>
  <c r="GFE43" i="118"/>
  <c r="GDY43" i="118"/>
  <c r="GCS43" i="118"/>
  <c r="GBM43" i="118"/>
  <c r="GAG43" i="118"/>
  <c r="FZA43" i="118"/>
  <c r="FXU43" i="118"/>
  <c r="FWO43" i="118"/>
  <c r="FVI43" i="118"/>
  <c r="FUC43" i="118"/>
  <c r="FSW43" i="118"/>
  <c r="FRQ43" i="118"/>
  <c r="FQK43" i="118"/>
  <c r="FPE43" i="118"/>
  <c r="FNY43" i="118"/>
  <c r="FMS43" i="118"/>
  <c r="FLM43" i="118"/>
  <c r="FKG43" i="118"/>
  <c r="FJA43" i="118"/>
  <c r="FHU43" i="118"/>
  <c r="FGO43" i="118"/>
  <c r="FFI43" i="118"/>
  <c r="FEC43" i="118"/>
  <c r="FCW43" i="118"/>
  <c r="FBQ43" i="118"/>
  <c r="FAK43" i="118"/>
  <c r="EZE43" i="118"/>
  <c r="EXY43" i="118"/>
  <c r="EWS43" i="118"/>
  <c r="EVM43" i="118"/>
  <c r="QNW43" i="118"/>
  <c r="OCA43" i="118"/>
  <c r="NII43" i="118"/>
  <c r="MOQ43" i="118"/>
  <c r="LZW43" i="118"/>
  <c r="LQA43" i="118"/>
  <c r="LGE43" i="118"/>
  <c r="KWI43" i="118"/>
  <c r="KQU43" i="118"/>
  <c r="KLW43" i="118"/>
  <c r="KGY43" i="118"/>
  <c r="KCA43" i="118"/>
  <c r="JXC43" i="118"/>
  <c r="JSE43" i="118"/>
  <c r="JNG43" i="118"/>
  <c r="JII43" i="118"/>
  <c r="JDK43" i="118"/>
  <c r="IYM43" i="118"/>
  <c r="ITO43" i="118"/>
  <c r="IOQ43" i="118"/>
  <c r="IJS43" i="118"/>
  <c r="IEU43" i="118"/>
  <c r="IBC43" i="118"/>
  <c r="HYQ43" i="118"/>
  <c r="HWE43" i="118"/>
  <c r="HTS43" i="118"/>
  <c r="HRG43" i="118"/>
  <c r="HOU43" i="118"/>
  <c r="HMI43" i="118"/>
  <c r="HJW43" i="118"/>
  <c r="HHK43" i="118"/>
  <c r="HEY43" i="118"/>
  <c r="HCM43" i="118"/>
  <c r="HAA43" i="118"/>
  <c r="GYK43" i="118"/>
  <c r="GWU43" i="118"/>
  <c r="GVC43" i="118"/>
  <c r="GTQ43" i="118"/>
  <c r="GSK43" i="118"/>
  <c r="GRE43" i="118"/>
  <c r="GPY43" i="118"/>
  <c r="GOS43" i="118"/>
  <c r="GNM43" i="118"/>
  <c r="GMG43" i="118"/>
  <c r="GLA43" i="118"/>
  <c r="GJU43" i="118"/>
  <c r="GIO43" i="118"/>
  <c r="GHI43" i="118"/>
  <c r="GGC43" i="118"/>
  <c r="GEW43" i="118"/>
  <c r="GDQ43" i="118"/>
  <c r="GCK43" i="118"/>
  <c r="GBE43" i="118"/>
  <c r="FZY43" i="118"/>
  <c r="FYS43" i="118"/>
  <c r="FXM43" i="118"/>
  <c r="FWG43" i="118"/>
  <c r="FVA43" i="118"/>
  <c r="FTU43" i="118"/>
  <c r="FSO43" i="118"/>
  <c r="FRI43" i="118"/>
  <c r="FQC43" i="118"/>
  <c r="FOW43" i="118"/>
  <c r="FNQ43" i="118"/>
  <c r="FMK43" i="118"/>
  <c r="FLE43" i="118"/>
  <c r="FJY43" i="118"/>
  <c r="FIS43" i="118"/>
  <c r="FHM43" i="118"/>
  <c r="FGG43" i="118"/>
  <c r="FFA43" i="118"/>
  <c r="FDU43" i="118"/>
  <c r="FCO43" i="118"/>
  <c r="FBI43" i="118"/>
  <c r="FAC43" i="118"/>
  <c r="EYW43" i="118"/>
  <c r="EXQ43" i="118"/>
  <c r="EWK43" i="118"/>
  <c r="PUE43" i="118"/>
  <c r="LXK43" i="118"/>
  <c r="KPO43" i="118"/>
  <c r="JVW43" i="118"/>
  <c r="JCE43" i="118"/>
  <c r="IIM43" i="118"/>
  <c r="HVO43" i="118"/>
  <c r="HLS43" i="118"/>
  <c r="HBW43" i="118"/>
  <c r="GUS43" i="118"/>
  <c r="GPQ43" i="118"/>
  <c r="GKS43" i="118"/>
  <c r="GFU43" i="118"/>
  <c r="GAW43" i="118"/>
  <c r="FVY43" i="118"/>
  <c r="FRA43" i="118"/>
  <c r="FMC43" i="118"/>
  <c r="FHE43" i="118"/>
  <c r="FCG43" i="118"/>
  <c r="EXI43" i="118"/>
  <c r="EUO43" i="118"/>
  <c r="ETI43" i="118"/>
  <c r="ESC43" i="118"/>
  <c r="EQW43" i="118"/>
  <c r="EPQ43" i="118"/>
  <c r="EOK43" i="118"/>
  <c r="ENE43" i="118"/>
  <c r="ELY43" i="118"/>
  <c r="EKS43" i="118"/>
  <c r="EJM43" i="118"/>
  <c r="EIG43" i="118"/>
  <c r="EHA43" i="118"/>
  <c r="EFU43" i="118"/>
  <c r="EEO43" i="118"/>
  <c r="EDI43" i="118"/>
  <c r="ECC43" i="118"/>
  <c r="EAW43" i="118"/>
  <c r="DZQ43" i="118"/>
  <c r="DYK43" i="118"/>
  <c r="DXE43" i="118"/>
  <c r="DVY43" i="118"/>
  <c r="DUS43" i="118"/>
  <c r="DTM43" i="118"/>
  <c r="DSG43" i="118"/>
  <c r="DRA43" i="118"/>
  <c r="DPU43" i="118"/>
  <c r="DOO43" i="118"/>
  <c r="DNI43" i="118"/>
  <c r="DMC43" i="118"/>
  <c r="DKW43" i="118"/>
  <c r="DJQ43" i="118"/>
  <c r="DIK43" i="118"/>
  <c r="DHE43" i="118"/>
  <c r="DFY43" i="118"/>
  <c r="DES43" i="118"/>
  <c r="DDM43" i="118"/>
  <c r="DCG43" i="118"/>
  <c r="DBA43" i="118"/>
  <c r="CZU43" i="118"/>
  <c r="CYO43" i="118"/>
  <c r="CXI43" i="118"/>
  <c r="CWC43" i="118"/>
  <c r="CUW43" i="118"/>
  <c r="CTQ43" i="118"/>
  <c r="CSQ43" i="118"/>
  <c r="CRU43" i="118"/>
  <c r="CRA43" i="118"/>
  <c r="CQE43" i="118"/>
  <c r="CPI43" i="118"/>
  <c r="COO43" i="118"/>
  <c r="CNS43" i="118"/>
  <c r="CMW43" i="118"/>
  <c r="CMC43" i="118"/>
  <c r="CLG43" i="118"/>
  <c r="CKK43" i="118"/>
  <c r="CJQ43" i="118"/>
  <c r="CIU43" i="118"/>
  <c r="CHY43" i="118"/>
  <c r="CHE43" i="118"/>
  <c r="CGI43" i="118"/>
  <c r="CFS43" i="118"/>
  <c r="CFC43" i="118"/>
  <c r="CEM43" i="118"/>
  <c r="CDW43" i="118"/>
  <c r="NXC43" i="118"/>
  <c r="LNO43" i="118"/>
  <c r="KKQ43" i="118"/>
  <c r="JQY43" i="118"/>
  <c r="IXG43" i="118"/>
  <c r="IDO43" i="118"/>
  <c r="HTC43" i="118"/>
  <c r="HJG43" i="118"/>
  <c r="GZQ43" i="118"/>
  <c r="GTI43" i="118"/>
  <c r="GOK43" i="118"/>
  <c r="GJM43" i="118"/>
  <c r="GEO43" i="118"/>
  <c r="FZQ43" i="118"/>
  <c r="FUS43" i="118"/>
  <c r="FPU43" i="118"/>
  <c r="FKW43" i="118"/>
  <c r="FFY43" i="118"/>
  <c r="FBA43" i="118"/>
  <c r="EWC43" i="118"/>
  <c r="EUG43" i="118"/>
  <c r="ETA43" i="118"/>
  <c r="ERU43" i="118"/>
  <c r="EQO43" i="118"/>
  <c r="EPI43" i="118"/>
  <c r="EOC43" i="118"/>
  <c r="EMW43" i="118"/>
  <c r="ELQ43" i="118"/>
  <c r="EKK43" i="118"/>
  <c r="EJE43" i="118"/>
  <c r="EHY43" i="118"/>
  <c r="EGS43" i="118"/>
  <c r="EFM43" i="118"/>
  <c r="EEG43" i="118"/>
  <c r="EDA43" i="118"/>
  <c r="EBU43" i="118"/>
  <c r="EAO43" i="118"/>
  <c r="DZI43" i="118"/>
  <c r="DYC43" i="118"/>
  <c r="DWW43" i="118"/>
  <c r="DVQ43" i="118"/>
  <c r="DUK43" i="118"/>
  <c r="DTE43" i="118"/>
  <c r="DRY43" i="118"/>
  <c r="DQS43" i="118"/>
  <c r="DPM43" i="118"/>
  <c r="DOG43" i="118"/>
  <c r="DNA43" i="118"/>
  <c r="DLU43" i="118"/>
  <c r="DKO43" i="118"/>
  <c r="DJI43" i="118"/>
  <c r="DIC43" i="118"/>
  <c r="DGW43" i="118"/>
  <c r="DFQ43" i="118"/>
  <c r="DEK43" i="118"/>
  <c r="DDE43" i="118"/>
  <c r="DBY43" i="118"/>
  <c r="DAS43" i="118"/>
  <c r="CZM43" i="118"/>
  <c r="CYG43" i="118"/>
  <c r="CXA43" i="118"/>
  <c r="CVU43" i="118"/>
  <c r="CUO43" i="118"/>
  <c r="CTI43" i="118"/>
  <c r="CSK43" i="118"/>
  <c r="CRQ43" i="118"/>
  <c r="CQU43" i="118"/>
  <c r="CPY43" i="118"/>
  <c r="CPE43" i="118"/>
  <c r="COI43" i="118"/>
  <c r="CNM43" i="118"/>
  <c r="CMS43" i="118"/>
  <c r="CLW43" i="118"/>
  <c r="CLA43" i="118"/>
  <c r="CKG43" i="118"/>
  <c r="CJK43" i="118"/>
  <c r="CIO43" i="118"/>
  <c r="CHU43" i="118"/>
  <c r="CGY43" i="118"/>
  <c r="CGE43" i="118"/>
  <c r="CFO43" i="118"/>
  <c r="CEY43" i="118"/>
  <c r="CEI43" i="118"/>
  <c r="CDS43" i="118"/>
  <c r="NDK43" i="118"/>
  <c r="LDS43" i="118"/>
  <c r="KFS43" i="118"/>
  <c r="JMA43" i="118"/>
  <c r="ISI43" i="118"/>
  <c r="IAM43" i="118"/>
  <c r="HQQ43" i="118"/>
  <c r="HGU43" i="118"/>
  <c r="GYA43" i="118"/>
  <c r="GSC43" i="118"/>
  <c r="GNE43" i="118"/>
  <c r="GIG43" i="118"/>
  <c r="GDI43" i="118"/>
  <c r="FYK43" i="118"/>
  <c r="FTM43" i="118"/>
  <c r="FOO43" i="118"/>
  <c r="FJQ43" i="118"/>
  <c r="FES43" i="118"/>
  <c r="EZU43" i="118"/>
  <c r="EVE43" i="118"/>
  <c r="ETY43" i="118"/>
  <c r="ESS43" i="118"/>
  <c r="ERM43" i="118"/>
  <c r="EQG43" i="118"/>
  <c r="EPA43" i="118"/>
  <c r="ENU43" i="118"/>
  <c r="EMO43" i="118"/>
  <c r="ELI43" i="118"/>
  <c r="EKC43" i="118"/>
  <c r="EIW43" i="118"/>
  <c r="EHQ43" i="118"/>
  <c r="EGK43" i="118"/>
  <c r="EFE43" i="118"/>
  <c r="EDY43" i="118"/>
  <c r="ECS43" i="118"/>
  <c r="EBM43" i="118"/>
  <c r="EAG43" i="118"/>
  <c r="DZA43" i="118"/>
  <c r="DXU43" i="118"/>
  <c r="DWO43" i="118"/>
  <c r="DVI43" i="118"/>
  <c r="DUC43" i="118"/>
  <c r="DSW43" i="118"/>
  <c r="DRQ43" i="118"/>
  <c r="DQK43" i="118"/>
  <c r="DPE43" i="118"/>
  <c r="DNY43" i="118"/>
  <c r="DMS43" i="118"/>
  <c r="DLM43" i="118"/>
  <c r="DKG43" i="118"/>
  <c r="DJA43" i="118"/>
  <c r="DHU43" i="118"/>
  <c r="DGO43" i="118"/>
  <c r="DFI43" i="118"/>
  <c r="DEC43" i="118"/>
  <c r="DCW43" i="118"/>
  <c r="DBQ43" i="118"/>
  <c r="DAK43" i="118"/>
  <c r="CZE43" i="118"/>
  <c r="CXY43" i="118"/>
  <c r="CWS43" i="118"/>
  <c r="CVM43" i="118"/>
  <c r="CUG43" i="118"/>
  <c r="CTA43" i="118"/>
  <c r="CSG43" i="118"/>
  <c r="CRK43" i="118"/>
  <c r="CQO43" i="118"/>
  <c r="CPU43" i="118"/>
  <c r="COY43" i="118"/>
  <c r="COC43" i="118"/>
  <c r="CNI43" i="118"/>
  <c r="CMM43" i="118"/>
  <c r="CLQ43" i="118"/>
  <c r="CKW43" i="118"/>
  <c r="CKA43" i="118"/>
  <c r="CJE43" i="118"/>
  <c r="CIK43" i="118"/>
  <c r="CHO43" i="118"/>
  <c r="CGS43" i="118"/>
  <c r="CGA43" i="118"/>
  <c r="CFK43" i="118"/>
  <c r="CEU43" i="118"/>
  <c r="CEE43" i="118"/>
  <c r="CDO43" i="118"/>
  <c r="KUM43" i="118"/>
  <c r="HYA43" i="118"/>
  <c r="GQW43" i="118"/>
  <c r="FXE43" i="118"/>
  <c r="FDM43" i="118"/>
  <c r="ESK43" i="118"/>
  <c r="ENM43" i="118"/>
  <c r="EIO43" i="118"/>
  <c r="EDQ43" i="118"/>
  <c r="DYS43" i="118"/>
  <c r="DTU43" i="118"/>
  <c r="DOW43" i="118"/>
  <c r="DJY43" i="118"/>
  <c r="DFA43" i="118"/>
  <c r="DAC43" i="118"/>
  <c r="CVE43" i="118"/>
  <c r="CRE43" i="118"/>
  <c r="CNY43" i="118"/>
  <c r="CKQ43" i="118"/>
  <c r="CHI43" i="118"/>
  <c r="CEQ43" i="118"/>
  <c r="CDC43" i="118"/>
  <c r="CCM43" i="118"/>
  <c r="CBW43" i="118"/>
  <c r="CBG43" i="118"/>
  <c r="CAQ43" i="118"/>
  <c r="CAA43" i="118"/>
  <c r="BZK43" i="118"/>
  <c r="BYU43" i="118"/>
  <c r="BYE43" i="118"/>
  <c r="BXO43" i="118"/>
  <c r="BWY43" i="118"/>
  <c r="BWI43" i="118"/>
  <c r="BVS43" i="118"/>
  <c r="BVC43" i="118"/>
  <c r="BUM43" i="118"/>
  <c r="BTW43" i="118"/>
  <c r="BTG43" i="118"/>
  <c r="BSQ43" i="118"/>
  <c r="BSA43" i="118"/>
  <c r="BRK43" i="118"/>
  <c r="BQU43" i="118"/>
  <c r="BQE43" i="118"/>
  <c r="BPO43" i="118"/>
  <c r="BOY43" i="118"/>
  <c r="BOI43" i="118"/>
  <c r="BNS43" i="118"/>
  <c r="BNC43" i="118"/>
  <c r="BMM43" i="118"/>
  <c r="BLW43" i="118"/>
  <c r="BLG43" i="118"/>
  <c r="BKQ43" i="118"/>
  <c r="BKA43" i="118"/>
  <c r="BJK43" i="118"/>
  <c r="BIU43" i="118"/>
  <c r="BIE43" i="118"/>
  <c r="BHO43" i="118"/>
  <c r="BGY43" i="118"/>
  <c r="BGI43" i="118"/>
  <c r="BFS43" i="118"/>
  <c r="BFC43" i="118"/>
  <c r="BEM43" i="118"/>
  <c r="BDW43" i="118"/>
  <c r="BDG43" i="118"/>
  <c r="BCQ43" i="118"/>
  <c r="BCA43" i="118"/>
  <c r="BBK43" i="118"/>
  <c r="BAU43" i="118"/>
  <c r="BAE43" i="118"/>
  <c r="AZO43" i="118"/>
  <c r="AYY43" i="118"/>
  <c r="AYI43" i="118"/>
  <c r="AXS43" i="118"/>
  <c r="AXC43" i="118"/>
  <c r="AWM43" i="118"/>
  <c r="AVW43" i="118"/>
  <c r="AVG43" i="118"/>
  <c r="AUQ43" i="118"/>
  <c r="AUA43" i="118"/>
  <c r="ATK43" i="118"/>
  <c r="ASU43" i="118"/>
  <c r="ASE43" i="118"/>
  <c r="ARO43" i="118"/>
  <c r="AQY43" i="118"/>
  <c r="AQI43" i="118"/>
  <c r="APS43" i="118"/>
  <c r="APC43" i="118"/>
  <c r="AOM43" i="118"/>
  <c r="KAU43" i="118"/>
  <c r="HOE43" i="118"/>
  <c r="GLY43" i="118"/>
  <c r="FSG43" i="118"/>
  <c r="EYO43" i="118"/>
  <c r="ERE43" i="118"/>
  <c r="EMG43" i="118"/>
  <c r="EHI43" i="118"/>
  <c r="ECK43" i="118"/>
  <c r="DXM43" i="118"/>
  <c r="DSO43" i="118"/>
  <c r="DNQ43" i="118"/>
  <c r="DIS43" i="118"/>
  <c r="DDU43" i="118"/>
  <c r="CYW43" i="118"/>
  <c r="CTY43" i="118"/>
  <c r="MJS43" i="118"/>
  <c r="INK43" i="118"/>
  <c r="GWI43" i="118"/>
  <c r="GCC43" i="118"/>
  <c r="FIK43" i="118"/>
  <c r="ETQ43" i="118"/>
  <c r="EOS43" i="118"/>
  <c r="EJU43" i="118"/>
  <c r="EEW43" i="118"/>
  <c r="DZY43" i="118"/>
  <c r="DVA43" i="118"/>
  <c r="DQC43" i="118"/>
  <c r="DLE43" i="118"/>
  <c r="DGG43" i="118"/>
  <c r="DBI43" i="118"/>
  <c r="CWK43" i="118"/>
  <c r="CSA43" i="118"/>
  <c r="COS43" i="118"/>
  <c r="CLM43" i="118"/>
  <c r="CIE43" i="118"/>
  <c r="CFG43" i="118"/>
  <c r="CDG43" i="118"/>
  <c r="CCQ43" i="118"/>
  <c r="CCA43" i="118"/>
  <c r="CBK43" i="118"/>
  <c r="CAU43" i="118"/>
  <c r="CAE43" i="118"/>
  <c r="BZO43" i="118"/>
  <c r="BYY43" i="118"/>
  <c r="BYI43" i="118"/>
  <c r="BXS43" i="118"/>
  <c r="BXC43" i="118"/>
  <c r="BWM43" i="118"/>
  <c r="BVW43" i="118"/>
  <c r="BVG43" i="118"/>
  <c r="BUQ43" i="118"/>
  <c r="BUA43" i="118"/>
  <c r="BTK43" i="118"/>
  <c r="BSU43" i="118"/>
  <c r="BSE43" i="118"/>
  <c r="BRO43" i="118"/>
  <c r="BQY43" i="118"/>
  <c r="BQI43" i="118"/>
  <c r="BPS43" i="118"/>
  <c r="BPC43" i="118"/>
  <c r="BOM43" i="118"/>
  <c r="BNW43" i="118"/>
  <c r="BNG43" i="118"/>
  <c r="BMQ43" i="118"/>
  <c r="BMA43" i="118"/>
  <c r="BLK43" i="118"/>
  <c r="BKU43" i="118"/>
  <c r="BKE43" i="118"/>
  <c r="BJO43" i="118"/>
  <c r="BIY43" i="118"/>
  <c r="BII43" i="118"/>
  <c r="BHS43" i="118"/>
  <c r="BHC43" i="118"/>
  <c r="BGM43" i="118"/>
  <c r="BFW43" i="118"/>
  <c r="BFG43" i="118"/>
  <c r="BEQ43" i="118"/>
  <c r="BEA43" i="118"/>
  <c r="BDK43" i="118"/>
  <c r="BCU43" i="118"/>
  <c r="BCE43" i="118"/>
  <c r="BBO43" i="118"/>
  <c r="BAY43" i="118"/>
  <c r="BAI43" i="118"/>
  <c r="AZS43" i="118"/>
  <c r="AZC43" i="118"/>
  <c r="AYM43" i="118"/>
  <c r="AXW43" i="118"/>
  <c r="AXG43" i="118"/>
  <c r="AWQ43" i="118"/>
  <c r="AWA43" i="118"/>
  <c r="AVK43" i="118"/>
  <c r="AUU43" i="118"/>
  <c r="AUE43" i="118"/>
  <c r="ATO43" i="118"/>
  <c r="ASY43" i="118"/>
  <c r="ASI43" i="118"/>
  <c r="ARS43" i="118"/>
  <c r="ARC43" i="118"/>
  <c r="AQM43" i="118"/>
  <c r="HEI43" i="118"/>
  <c r="EPY43" i="118"/>
  <c r="DWG43" i="118"/>
  <c r="DCO43" i="118"/>
  <c r="CPO43" i="118"/>
  <c r="CJA43" i="118"/>
  <c r="CDK43" i="118"/>
  <c r="CCE43" i="118"/>
  <c r="CAY43" i="118"/>
  <c r="BZS43" i="118"/>
  <c r="BYM43" i="118"/>
  <c r="BXG43" i="118"/>
  <c r="BWA43" i="118"/>
  <c r="BUU43" i="118"/>
  <c r="BTO43" i="118"/>
  <c r="BSI43" i="118"/>
  <c r="BRC43" i="118"/>
  <c r="BPW43" i="118"/>
  <c r="BOQ43" i="118"/>
  <c r="BNK43" i="118"/>
  <c r="BME43" i="118"/>
  <c r="BKY43" i="118"/>
  <c r="BJS43" i="118"/>
  <c r="BIM43" i="118"/>
  <c r="BHG43" i="118"/>
  <c r="BGA43" i="118"/>
  <c r="BEU43" i="118"/>
  <c r="BDO43" i="118"/>
  <c r="BCI43" i="118"/>
  <c r="BBC43" i="118"/>
  <c r="AZW43" i="118"/>
  <c r="AYQ43" i="118"/>
  <c r="AXK43" i="118"/>
  <c r="AWE43" i="118"/>
  <c r="AUY43" i="118"/>
  <c r="ATS43" i="118"/>
  <c r="ASM43" i="118"/>
  <c r="ARG43" i="118"/>
  <c r="AQA43" i="118"/>
  <c r="APG43" i="118"/>
  <c r="AOI43" i="118"/>
  <c r="ANS43" i="118"/>
  <c r="ANC43" i="118"/>
  <c r="AMM43" i="118"/>
  <c r="ALW43" i="118"/>
  <c r="ALG43" i="118"/>
  <c r="AKQ43" i="118"/>
  <c r="AKA43" i="118"/>
  <c r="AJK43" i="118"/>
  <c r="AIU43" i="118"/>
  <c r="AIE43" i="118"/>
  <c r="AHO43" i="118"/>
  <c r="AGY43" i="118"/>
  <c r="AGI43" i="118"/>
  <c r="AFS43" i="118"/>
  <c r="AFC43" i="118"/>
  <c r="AEM43" i="118"/>
  <c r="ADW43" i="118"/>
  <c r="ADG43" i="118"/>
  <c r="ACQ43" i="118"/>
  <c r="ACA43" i="118"/>
  <c r="ABK43" i="118"/>
  <c r="AAU43" i="118"/>
  <c r="AAE43" i="118"/>
  <c r="ZO43" i="118"/>
  <c r="YY43" i="118"/>
  <c r="YI43" i="118"/>
  <c r="XS43" i="118"/>
  <c r="XC43" i="118"/>
  <c r="WM43" i="118"/>
  <c r="VW43" i="118"/>
  <c r="VG43" i="118"/>
  <c r="UQ43" i="118"/>
  <c r="UA43" i="118"/>
  <c r="TK43" i="118"/>
  <c r="SU43" i="118"/>
  <c r="SE43" i="118"/>
  <c r="RO43" i="118"/>
  <c r="QY43" i="118"/>
  <c r="QI43" i="118"/>
  <c r="PS43" i="118"/>
  <c r="PC43" i="118"/>
  <c r="OM43" i="118"/>
  <c r="NW43" i="118"/>
  <c r="NG43" i="118"/>
  <c r="MQ43" i="118"/>
  <c r="MA43" i="118"/>
  <c r="LK43" i="118"/>
  <c r="KU43" i="118"/>
  <c r="KE43" i="118"/>
  <c r="JO43" i="118"/>
  <c r="IY43" i="118"/>
  <c r="II43" i="118"/>
  <c r="HS43" i="118"/>
  <c r="HC43" i="118"/>
  <c r="GM43" i="118"/>
  <c r="FW43" i="118"/>
  <c r="FG43" i="118"/>
  <c r="EQ43" i="118"/>
  <c r="EA43" i="118"/>
  <c r="DK43" i="118"/>
  <c r="CU43" i="118"/>
  <c r="CE43" i="118"/>
  <c r="BO43" i="118"/>
  <c r="AY43" i="118"/>
  <c r="AM43" i="118"/>
  <c r="AA43" i="118"/>
  <c r="Q43" i="118"/>
  <c r="G43" i="118"/>
  <c r="GHA43" i="118"/>
  <c r="ELA43" i="118"/>
  <c r="DRI43" i="118"/>
  <c r="CXQ43" i="118"/>
  <c r="CNC43" i="118"/>
  <c r="CGO43" i="118"/>
  <c r="CCY43" i="118"/>
  <c r="CBS43" i="118"/>
  <c r="CAM43" i="118"/>
  <c r="BZG43" i="118"/>
  <c r="BYA43" i="118"/>
  <c r="BWU43" i="118"/>
  <c r="BVO43" i="118"/>
  <c r="BUI43" i="118"/>
  <c r="BTC43" i="118"/>
  <c r="BRW43" i="118"/>
  <c r="BQQ43" i="118"/>
  <c r="BPK43" i="118"/>
  <c r="BOE43" i="118"/>
  <c r="BMY43" i="118"/>
  <c r="BLS43" i="118"/>
  <c r="BKM43" i="118"/>
  <c r="BJG43" i="118"/>
  <c r="BIA43" i="118"/>
  <c r="BGU43" i="118"/>
  <c r="BFO43" i="118"/>
  <c r="BEI43" i="118"/>
  <c r="BDC43" i="118"/>
  <c r="BBW43" i="118"/>
  <c r="BAQ43" i="118"/>
  <c r="AZK43" i="118"/>
  <c r="AYE43" i="118"/>
  <c r="AWY43" i="118"/>
  <c r="AVS43" i="118"/>
  <c r="AUM43" i="118"/>
  <c r="ATG43" i="118"/>
  <c r="ASA43" i="118"/>
  <c r="AQU43" i="118"/>
  <c r="APW43" i="118"/>
  <c r="AOY43" i="118"/>
  <c r="AOE43" i="118"/>
  <c r="ANO43" i="118"/>
  <c r="AMY43" i="118"/>
  <c r="AMI43" i="118"/>
  <c r="ALS43" i="118"/>
  <c r="ALC43" i="118"/>
  <c r="AKM43" i="118"/>
  <c r="AJW43" i="118"/>
  <c r="AJG43" i="118"/>
  <c r="AIQ43" i="118"/>
  <c r="AIA43" i="118"/>
  <c r="AHK43" i="118"/>
  <c r="AGU43" i="118"/>
  <c r="AGE43" i="118"/>
  <c r="AFO43" i="118"/>
  <c r="AEY43" i="118"/>
  <c r="AEI43" i="118"/>
  <c r="ADS43" i="118"/>
  <c r="ADC43" i="118"/>
  <c r="ACM43" i="118"/>
  <c r="ABW43" i="118"/>
  <c r="ABG43" i="118"/>
  <c r="AAQ43" i="118"/>
  <c r="AAA43" i="118"/>
  <c r="ZK43" i="118"/>
  <c r="YU43" i="118"/>
  <c r="YE43" i="118"/>
  <c r="XO43" i="118"/>
  <c r="WY43" i="118"/>
  <c r="WI43" i="118"/>
  <c r="VS43" i="118"/>
  <c r="VC43" i="118"/>
  <c r="UM43" i="118"/>
  <c r="TW43" i="118"/>
  <c r="TG43" i="118"/>
  <c r="SQ43" i="118"/>
  <c r="SA43" i="118"/>
  <c r="RK43" i="118"/>
  <c r="QU43" i="118"/>
  <c r="QE43" i="118"/>
  <c r="PO43" i="118"/>
  <c r="OY43" i="118"/>
  <c r="OI43" i="118"/>
  <c r="NS43" i="118"/>
  <c r="NC43" i="118"/>
  <c r="JHC43" i="118"/>
  <c r="EUW43" i="118"/>
  <c r="EBE43" i="118"/>
  <c r="DHM43" i="118"/>
  <c r="CQK43" i="118"/>
  <c r="CJU43" i="118"/>
  <c r="CEA43" i="118"/>
  <c r="CCI43" i="118"/>
  <c r="CBC43" i="118"/>
  <c r="BZW43" i="118"/>
  <c r="BYQ43" i="118"/>
  <c r="BXK43" i="118"/>
  <c r="BWE43" i="118"/>
  <c r="BUY43" i="118"/>
  <c r="BTS43" i="118"/>
  <c r="BSM43" i="118"/>
  <c r="BRG43" i="118"/>
  <c r="BQA43" i="118"/>
  <c r="BOU43" i="118"/>
  <c r="BNO43" i="118"/>
  <c r="BMI43" i="118"/>
  <c r="BLC43" i="118"/>
  <c r="BJW43" i="118"/>
  <c r="BIQ43" i="118"/>
  <c r="BHK43" i="118"/>
  <c r="BGE43" i="118"/>
  <c r="BEY43" i="118"/>
  <c r="BDS43" i="118"/>
  <c r="BCM43" i="118"/>
  <c r="BBG43" i="118"/>
  <c r="BAA43" i="118"/>
  <c r="AYU43" i="118"/>
  <c r="AXO43" i="118"/>
  <c r="AWI43" i="118"/>
  <c r="AVC43" i="118"/>
  <c r="ATW43" i="118"/>
  <c r="ASQ43" i="118"/>
  <c r="ARK43" i="118"/>
  <c r="AQE43" i="118"/>
  <c r="APK43" i="118"/>
  <c r="AOQ43" i="118"/>
  <c r="ANW43" i="118"/>
  <c r="ANG43" i="118"/>
  <c r="AMQ43" i="118"/>
  <c r="AMA43" i="118"/>
  <c r="ALK43" i="118"/>
  <c r="AKU43" i="118"/>
  <c r="AKE43" i="118"/>
  <c r="AJO43" i="118"/>
  <c r="AIY43" i="118"/>
  <c r="AII43" i="118"/>
  <c r="AHS43" i="118"/>
  <c r="AHC43" i="118"/>
  <c r="AGM43" i="118"/>
  <c r="AFW43" i="118"/>
  <c r="AFG43" i="118"/>
  <c r="AEQ43" i="118"/>
  <c r="AEA43" i="118"/>
  <c r="ADK43" i="118"/>
  <c r="ACU43" i="118"/>
  <c r="ACE43" i="118"/>
  <c r="ABO43" i="118"/>
  <c r="AAY43" i="118"/>
  <c r="AAI43" i="118"/>
  <c r="ZS43" i="118"/>
  <c r="ZC43" i="118"/>
  <c r="YM43" i="118"/>
  <c r="XW43" i="118"/>
  <c r="XG43" i="118"/>
  <c r="WQ43" i="118"/>
  <c r="WA43" i="118"/>
  <c r="VK43" i="118"/>
  <c r="UU43" i="118"/>
  <c r="UE43" i="118"/>
  <c r="TO43" i="118"/>
  <c r="SY43" i="118"/>
  <c r="SI43" i="118"/>
  <c r="RS43" i="118"/>
  <c r="RC43" i="118"/>
  <c r="QM43" i="118"/>
  <c r="PW43" i="118"/>
  <c r="PG43" i="118"/>
  <c r="OQ43" i="118"/>
  <c r="OA43" i="118"/>
  <c r="NK43" i="118"/>
  <c r="MU43" i="118"/>
  <c r="ME43" i="118"/>
  <c r="LO43" i="118"/>
  <c r="KY43" i="118"/>
  <c r="KI43" i="118"/>
  <c r="JS43" i="118"/>
  <c r="JC43" i="118"/>
  <c r="IM43" i="118"/>
  <c r="HW43" i="118"/>
  <c r="HG43" i="118"/>
  <c r="GQ43" i="118"/>
  <c r="GA43" i="118"/>
  <c r="FK43" i="118"/>
  <c r="EU43" i="118"/>
  <c r="EE43" i="118"/>
  <c r="DO43" i="118"/>
  <c r="CY43" i="118"/>
  <c r="CI43" i="118"/>
  <c r="BS43" i="118"/>
  <c r="BC43" i="118"/>
  <c r="AO43" i="118"/>
  <c r="AE43" i="118"/>
  <c r="S43" i="118"/>
  <c r="I43" i="118"/>
  <c r="AU43" i="118"/>
  <c r="DG43" i="118"/>
  <c r="FS43" i="118"/>
  <c r="IE43" i="118"/>
  <c r="KQ43" i="118"/>
  <c r="NO43" i="118"/>
  <c r="SM43" i="118"/>
  <c r="XK43" i="118"/>
  <c r="ACI43" i="118"/>
  <c r="AEU43" i="118"/>
  <c r="AJS43" i="118"/>
  <c r="AME43" i="118"/>
  <c r="ATC43" i="118"/>
  <c r="BCY43" i="118"/>
  <c r="BMU43" i="118"/>
  <c r="BWQ43" i="118"/>
  <c r="CBO43" i="118"/>
  <c r="T278" i="99"/>
  <c r="AG83" i="99"/>
  <c r="Y47" i="110" s="1"/>
  <c r="Y48" i="110" s="1"/>
  <c r="W43" i="118"/>
  <c r="AQ43" i="118"/>
  <c r="BW43" i="118"/>
  <c r="DC43" i="118"/>
  <c r="EI43" i="118"/>
  <c r="FO43" i="118"/>
  <c r="GU43" i="118"/>
  <c r="IA43" i="118"/>
  <c r="JG43" i="118"/>
  <c r="KM43" i="118"/>
  <c r="LS43" i="118"/>
  <c r="MY43" i="118"/>
  <c r="PK43" i="118"/>
  <c r="RW43" i="118"/>
  <c r="UI43" i="118"/>
  <c r="WU43" i="118"/>
  <c r="ZG43" i="118"/>
  <c r="ABS43" i="118"/>
  <c r="AEE43" i="118"/>
  <c r="AGQ43" i="118"/>
  <c r="AJC43" i="118"/>
  <c r="ALO43" i="118"/>
  <c r="AOA43" i="118"/>
  <c r="ARW43" i="118"/>
  <c r="AWU43" i="118"/>
  <c r="BBS43" i="118"/>
  <c r="BGQ43" i="118"/>
  <c r="BLO43" i="118"/>
  <c r="BQM43" i="118"/>
  <c r="BVK43" i="118"/>
  <c r="CAI43" i="118"/>
  <c r="CMG43" i="118"/>
  <c r="FNI43" i="118"/>
  <c r="Y43" i="118"/>
  <c r="CA43" i="118"/>
  <c r="EM43" i="118"/>
  <c r="GY43" i="118"/>
  <c r="JK43" i="118"/>
  <c r="LW43" i="118"/>
  <c r="QA43" i="118"/>
  <c r="UY43" i="118"/>
  <c r="ZW43" i="118"/>
  <c r="AHG43" i="118"/>
  <c r="AOU43" i="118"/>
  <c r="BHW43" i="118"/>
  <c r="BRS43" i="118"/>
  <c r="CSW43" i="118"/>
  <c r="K43" i="118"/>
  <c r="AG43" i="118"/>
  <c r="BG43" i="118"/>
  <c r="CM43" i="118"/>
  <c r="DS43" i="118"/>
  <c r="EY43" i="118"/>
  <c r="GE43" i="118"/>
  <c r="HK43" i="118"/>
  <c r="IQ43" i="118"/>
  <c r="JW43" i="118"/>
  <c r="LC43" i="118"/>
  <c r="MI43" i="118"/>
  <c r="OE43" i="118"/>
  <c r="QQ43" i="118"/>
  <c r="TC43" i="118"/>
  <c r="VO43" i="118"/>
  <c r="YA43" i="118"/>
  <c r="AAM43" i="118"/>
  <c r="ACY43" i="118"/>
  <c r="AFK43" i="118"/>
  <c r="AHW43" i="118"/>
  <c r="AKI43" i="118"/>
  <c r="AMU43" i="118"/>
  <c r="APO43" i="118"/>
  <c r="AUI43" i="118"/>
  <c r="AZG43" i="118"/>
  <c r="BEE43" i="118"/>
  <c r="BJC43" i="118"/>
  <c r="BOA43" i="118"/>
  <c r="BSY43" i="118"/>
  <c r="BXW43" i="118"/>
  <c r="CCU43" i="118"/>
  <c r="DMK43" i="118"/>
  <c r="AYA43" i="118"/>
  <c r="O43" i="118"/>
  <c r="AI43" i="118"/>
  <c r="BK43" i="118"/>
  <c r="CQ43" i="118"/>
  <c r="DW43" i="118"/>
  <c r="FC43" i="118"/>
  <c r="GI43" i="118"/>
  <c r="HO43" i="118"/>
  <c r="IU43" i="118"/>
  <c r="KA43" i="118"/>
  <c r="LG43" i="118"/>
  <c r="MM43" i="118"/>
  <c r="OU43" i="118"/>
  <c r="RG43" i="118"/>
  <c r="TS43" i="118"/>
  <c r="WE43" i="118"/>
  <c r="YQ43" i="118"/>
  <c r="ABC43" i="118"/>
  <c r="ADO43" i="118"/>
  <c r="AGA43" i="118"/>
  <c r="AIM43" i="118"/>
  <c r="AKY43" i="118"/>
  <c r="ANK43" i="118"/>
  <c r="AQQ43" i="118"/>
  <c r="AVO43" i="118"/>
  <c r="BAM43" i="118"/>
  <c r="BFK43" i="118"/>
  <c r="BKI43" i="118"/>
  <c r="BPG43" i="118"/>
  <c r="BUE43" i="118"/>
  <c r="BZC43" i="118"/>
  <c r="CFW43" i="118"/>
  <c r="EGC43" i="118"/>
  <c r="AX45" i="68"/>
  <c r="AM45" i="68"/>
  <c r="W45" i="68"/>
  <c r="AI45" i="68"/>
  <c r="S45" i="68"/>
  <c r="AU45" i="68"/>
  <c r="AE45" i="68"/>
  <c r="O45" i="68"/>
  <c r="AN252" i="68"/>
  <c r="AF252" i="68"/>
  <c r="T252" i="68"/>
  <c r="AV252" i="68"/>
  <c r="P252" i="68"/>
  <c r="BS134" i="113"/>
  <c r="AI293" i="68"/>
  <c r="Q134" i="113"/>
  <c r="AQ293" i="68"/>
  <c r="T86" i="68"/>
  <c r="S293" i="68"/>
  <c r="ICY43" i="118"/>
  <c r="IEE43" i="118"/>
  <c r="IFK43" i="118"/>
  <c r="IGQ43" i="118"/>
  <c r="IHW43" i="118"/>
  <c r="IJC43" i="118"/>
  <c r="IKI43" i="118"/>
  <c r="ILO43" i="118"/>
  <c r="IMU43" i="118"/>
  <c r="IOA43" i="118"/>
  <c r="IPG43" i="118"/>
  <c r="IQM43" i="118"/>
  <c r="IRS43" i="118"/>
  <c r="ISY43" i="118"/>
  <c r="IUE43" i="118"/>
  <c r="IVK43" i="118"/>
  <c r="IWQ43" i="118"/>
  <c r="IXW43" i="118"/>
  <c r="IZC43" i="118"/>
  <c r="JAI43" i="118"/>
  <c r="JBO43" i="118"/>
  <c r="JCU43" i="118"/>
  <c r="JEA43" i="118"/>
  <c r="JFG43" i="118"/>
  <c r="JGM43" i="118"/>
  <c r="JHS43" i="118"/>
  <c r="JIY43" i="118"/>
  <c r="JKE43" i="118"/>
  <c r="JLK43" i="118"/>
  <c r="JMQ43" i="118"/>
  <c r="JNW43" i="118"/>
  <c r="JPC43" i="118"/>
  <c r="JQI43" i="118"/>
  <c r="JRO43" i="118"/>
  <c r="JSU43" i="118"/>
  <c r="JUA43" i="118"/>
  <c r="JVG43" i="118"/>
  <c r="JWM43" i="118"/>
  <c r="JXS43" i="118"/>
  <c r="JYY43" i="118"/>
  <c r="KAE43" i="118"/>
  <c r="KBK43" i="118"/>
  <c r="KCQ43" i="118"/>
  <c r="KDW43" i="118"/>
  <c r="KFC43" i="118"/>
  <c r="KGI43" i="118"/>
  <c r="KHO43" i="118"/>
  <c r="KIU43" i="118"/>
  <c r="KKA43" i="118"/>
  <c r="KLG43" i="118"/>
  <c r="KMM43" i="118"/>
  <c r="KNS43" i="118"/>
  <c r="KOY43" i="118"/>
  <c r="KQE43" i="118"/>
  <c r="KRK43" i="118"/>
  <c r="KSQ43" i="118"/>
  <c r="KTW43" i="118"/>
  <c r="KVC43" i="118"/>
  <c r="KXO43" i="118"/>
  <c r="LAA43" i="118"/>
  <c r="LCM43" i="118"/>
  <c r="LEY43" i="118"/>
  <c r="LHK43" i="118"/>
  <c r="LJW43" i="118"/>
  <c r="LMI43" i="118"/>
  <c r="LOU43" i="118"/>
  <c r="LRG43" i="118"/>
  <c r="LTS43" i="118"/>
  <c r="LWE43" i="118"/>
  <c r="LYQ43" i="118"/>
  <c r="MBC43" i="118"/>
  <c r="MDS43" i="118"/>
  <c r="MHG43" i="118"/>
  <c r="MME43" i="118"/>
  <c r="MRC43" i="118"/>
  <c r="MWA43" i="118"/>
  <c r="NAY43" i="118"/>
  <c r="NFW43" i="118"/>
  <c r="NKU43" i="118"/>
  <c r="NPS43" i="118"/>
  <c r="NUQ43" i="118"/>
  <c r="NZO43" i="118"/>
  <c r="OEM43" i="118"/>
  <c r="OQQ43" i="118"/>
  <c r="PKI43" i="118"/>
  <c r="QEA43" i="118"/>
  <c r="QXS43" i="118"/>
  <c r="SBY43" i="118"/>
  <c r="J278" i="99"/>
  <c r="AW43" i="118"/>
  <c r="BE43" i="118"/>
  <c r="BM43" i="118"/>
  <c r="BU43" i="118"/>
  <c r="CC43" i="118"/>
  <c r="CK43" i="118"/>
  <c r="CS43" i="118"/>
  <c r="DA43" i="118"/>
  <c r="DI43" i="118"/>
  <c r="DQ43" i="118"/>
  <c r="DY43" i="118"/>
  <c r="EG43" i="118"/>
  <c r="EO43" i="118"/>
  <c r="EW43" i="118"/>
  <c r="FE43" i="118"/>
  <c r="FM43" i="118"/>
  <c r="FU43" i="118"/>
  <c r="GC43" i="118"/>
  <c r="GK43" i="118"/>
  <c r="GS43" i="118"/>
  <c r="HA43" i="118"/>
  <c r="HI43" i="118"/>
  <c r="HQ43" i="118"/>
  <c r="HY43" i="118"/>
  <c r="IG43" i="118"/>
  <c r="IO43" i="118"/>
  <c r="IW43" i="118"/>
  <c r="JE43" i="118"/>
  <c r="JM43" i="118"/>
  <c r="JU43" i="118"/>
  <c r="KC43" i="118"/>
  <c r="KK43" i="118"/>
  <c r="KS43" i="118"/>
  <c r="LA43" i="118"/>
  <c r="LI43" i="118"/>
  <c r="LQ43" i="118"/>
  <c r="LY43" i="118"/>
  <c r="MG43" i="118"/>
  <c r="MO43" i="118"/>
  <c r="MW43" i="118"/>
  <c r="NE43" i="118"/>
  <c r="NM43" i="118"/>
  <c r="NU43" i="118"/>
  <c r="OC43" i="118"/>
  <c r="OK43" i="118"/>
  <c r="OS43" i="118"/>
  <c r="PA43" i="118"/>
  <c r="PI43" i="118"/>
  <c r="PQ43" i="118"/>
  <c r="PY43" i="118"/>
  <c r="QG43" i="118"/>
  <c r="QO43" i="118"/>
  <c r="QW43" i="118"/>
  <c r="RE43" i="118"/>
  <c r="RM43" i="118"/>
  <c r="RU43" i="118"/>
  <c r="SC43" i="118"/>
  <c r="SK43" i="118"/>
  <c r="SS43" i="118"/>
  <c r="TA43" i="118"/>
  <c r="TI43" i="118"/>
  <c r="TQ43" i="118"/>
  <c r="TY43" i="118"/>
  <c r="UG43" i="118"/>
  <c r="UO43" i="118"/>
  <c r="UW43" i="118"/>
  <c r="VE43" i="118"/>
  <c r="VM43" i="118"/>
  <c r="VU43" i="118"/>
  <c r="WC43" i="118"/>
  <c r="WK43" i="118"/>
  <c r="WS43" i="118"/>
  <c r="XA43" i="118"/>
  <c r="XI43" i="118"/>
  <c r="XQ43" i="118"/>
  <c r="XY43" i="118"/>
  <c r="YG43" i="118"/>
  <c r="YO43" i="118"/>
  <c r="YW43" i="118"/>
  <c r="ZE43" i="118"/>
  <c r="ZM43" i="118"/>
  <c r="ZU43" i="118"/>
  <c r="AAC43" i="118"/>
  <c r="AAK43" i="118"/>
  <c r="AAS43" i="118"/>
  <c r="ABA43" i="118"/>
  <c r="ABI43" i="118"/>
  <c r="ABQ43" i="118"/>
  <c r="ABY43" i="118"/>
  <c r="ACG43" i="118"/>
  <c r="ACO43" i="118"/>
  <c r="ACW43" i="118"/>
  <c r="ADE43" i="118"/>
  <c r="ADM43" i="118"/>
  <c r="ADU43" i="118"/>
  <c r="AEC43" i="118"/>
  <c r="AEK43" i="118"/>
  <c r="AES43" i="118"/>
  <c r="AFA43" i="118"/>
  <c r="AFI43" i="118"/>
  <c r="AFQ43" i="118"/>
  <c r="AFY43" i="118"/>
  <c r="AGG43" i="118"/>
  <c r="AGO43" i="118"/>
  <c r="AGW43" i="118"/>
  <c r="AHE43" i="118"/>
  <c r="AHM43" i="118"/>
  <c r="AHU43" i="118"/>
  <c r="AIC43" i="118"/>
  <c r="AIK43" i="118"/>
  <c r="AIS43" i="118"/>
  <c r="AJA43" i="118"/>
  <c r="AJI43" i="118"/>
  <c r="AJQ43" i="118"/>
  <c r="AJY43" i="118"/>
  <c r="AKG43" i="118"/>
  <c r="AKO43" i="118"/>
  <c r="AKW43" i="118"/>
  <c r="ALE43" i="118"/>
  <c r="ALM43" i="118"/>
  <c r="ALU43" i="118"/>
  <c r="AMC43" i="118"/>
  <c r="AMK43" i="118"/>
  <c r="AMS43" i="118"/>
  <c r="ANA43" i="118"/>
  <c r="ANI43" i="118"/>
  <c r="ANQ43" i="118"/>
  <c r="ANY43" i="118"/>
  <c r="AOG43" i="118"/>
  <c r="AOO43" i="118"/>
  <c r="AOW43" i="118"/>
  <c r="APE43" i="118"/>
  <c r="APM43" i="118"/>
  <c r="APU43" i="118"/>
  <c r="AQC43" i="118"/>
  <c r="AQK43" i="118"/>
  <c r="AQS43" i="118"/>
  <c r="ARA43" i="118"/>
  <c r="ARI43" i="118"/>
  <c r="ARQ43" i="118"/>
  <c r="ARY43" i="118"/>
  <c r="ASG43" i="118"/>
  <c r="ASO43" i="118"/>
  <c r="ASW43" i="118"/>
  <c r="ATE43" i="118"/>
  <c r="ATM43" i="118"/>
  <c r="ATU43" i="118"/>
  <c r="AUC43" i="118"/>
  <c r="AUK43" i="118"/>
  <c r="AUS43" i="118"/>
  <c r="AVA43" i="118"/>
  <c r="AVI43" i="118"/>
  <c r="AVQ43" i="118"/>
  <c r="AVY43" i="118"/>
  <c r="AWG43" i="118"/>
  <c r="AWO43" i="118"/>
  <c r="AWW43" i="118"/>
  <c r="AXE43" i="118"/>
  <c r="AXM43" i="118"/>
  <c r="AXU43" i="118"/>
  <c r="AYC43" i="118"/>
  <c r="AYK43" i="118"/>
  <c r="AYS43" i="118"/>
  <c r="AZA43" i="118"/>
  <c r="AZI43" i="118"/>
  <c r="AZQ43" i="118"/>
  <c r="AZY43" i="118"/>
  <c r="BAG43" i="118"/>
  <c r="BAO43" i="118"/>
  <c r="BAW43" i="118"/>
  <c r="BBE43" i="118"/>
  <c r="BBM43" i="118"/>
  <c r="BBU43" i="118"/>
  <c r="BCC43" i="118"/>
  <c r="BCK43" i="118"/>
  <c r="BCS43" i="118"/>
  <c r="BDA43" i="118"/>
  <c r="BDI43" i="118"/>
  <c r="BDQ43" i="118"/>
  <c r="BDY43" i="118"/>
  <c r="BEG43" i="118"/>
  <c r="BEO43" i="118"/>
  <c r="BEW43" i="118"/>
  <c r="BFE43" i="118"/>
  <c r="BFM43" i="118"/>
  <c r="BFU43" i="118"/>
  <c r="BGC43" i="118"/>
  <c r="BGK43" i="118"/>
  <c r="BGS43" i="118"/>
  <c r="BHA43" i="118"/>
  <c r="BHI43" i="118"/>
  <c r="BHQ43" i="118"/>
  <c r="BHY43" i="118"/>
  <c r="BIG43" i="118"/>
  <c r="BIO43" i="118"/>
  <c r="BIW43" i="118"/>
  <c r="BJE43" i="118"/>
  <c r="BJM43" i="118"/>
  <c r="BJU43" i="118"/>
  <c r="BKC43" i="118"/>
  <c r="BKK43" i="118"/>
  <c r="BKS43" i="118"/>
  <c r="BLA43" i="118"/>
  <c r="BLI43" i="118"/>
  <c r="BLQ43" i="118"/>
  <c r="BLY43" i="118"/>
  <c r="BMG43" i="118"/>
  <c r="BMO43" i="118"/>
  <c r="BMW43" i="118"/>
  <c r="BNE43" i="118"/>
  <c r="BNM43" i="118"/>
  <c r="BNU43" i="118"/>
  <c r="BOC43" i="118"/>
  <c r="BOK43" i="118"/>
  <c r="BOS43" i="118"/>
  <c r="BPA43" i="118"/>
  <c r="BPI43" i="118"/>
  <c r="BPQ43" i="118"/>
  <c r="BPY43" i="118"/>
  <c r="BQG43" i="118"/>
  <c r="BQO43" i="118"/>
  <c r="BQW43" i="118"/>
  <c r="BRE43" i="118"/>
  <c r="BRM43" i="118"/>
  <c r="BRU43" i="118"/>
  <c r="BSC43" i="118"/>
  <c r="BSK43" i="118"/>
  <c r="BSS43" i="118"/>
  <c r="BTA43" i="118"/>
  <c r="BTI43" i="118"/>
  <c r="BTQ43" i="118"/>
  <c r="BTY43" i="118"/>
  <c r="BUG43" i="118"/>
  <c r="BUO43" i="118"/>
  <c r="BUW43" i="118"/>
  <c r="BVE43" i="118"/>
  <c r="BVM43" i="118"/>
  <c r="BVU43" i="118"/>
  <c r="BWC43" i="118"/>
  <c r="BWK43" i="118"/>
  <c r="BWS43" i="118"/>
  <c r="BXA43" i="118"/>
  <c r="BXI43" i="118"/>
  <c r="BXQ43" i="118"/>
  <c r="BXY43" i="118"/>
  <c r="BYG43" i="118"/>
  <c r="BYO43" i="118"/>
  <c r="BYW43" i="118"/>
  <c r="BZE43" i="118"/>
  <c r="BZM43" i="118"/>
  <c r="BZU43" i="118"/>
  <c r="CAC43" i="118"/>
  <c r="CAK43" i="118"/>
  <c r="CAS43" i="118"/>
  <c r="CBA43" i="118"/>
  <c r="CBI43" i="118"/>
  <c r="CBQ43" i="118"/>
  <c r="CBY43" i="118"/>
  <c r="CCG43" i="118"/>
  <c r="CCO43" i="118"/>
  <c r="CCW43" i="118"/>
  <c r="CDE43" i="118"/>
  <c r="CDM43" i="118"/>
  <c r="CDU43" i="118"/>
  <c r="CEC43" i="118"/>
  <c r="CEK43" i="118"/>
  <c r="CES43" i="118"/>
  <c r="CFA43" i="118"/>
  <c r="CFI43" i="118"/>
  <c r="CFQ43" i="118"/>
  <c r="CFY43" i="118"/>
  <c r="CGG43" i="118"/>
  <c r="CGQ43" i="118"/>
  <c r="CHA43" i="118"/>
  <c r="CHM43" i="118"/>
  <c r="CHW43" i="118"/>
  <c r="CIG43" i="118"/>
  <c r="CIS43" i="118"/>
  <c r="CJC43" i="118"/>
  <c r="CJM43" i="118"/>
  <c r="CJY43" i="118"/>
  <c r="CKI43" i="118"/>
  <c r="CKS43" i="118"/>
  <c r="CLE43" i="118"/>
  <c r="CLO43" i="118"/>
  <c r="CLY43" i="118"/>
  <c r="CMK43" i="118"/>
  <c r="CMU43" i="118"/>
  <c r="CNE43" i="118"/>
  <c r="CNQ43" i="118"/>
  <c r="COA43" i="118"/>
  <c r="COK43" i="118"/>
  <c r="COW43" i="118"/>
  <c r="CPG43" i="118"/>
  <c r="CPQ43" i="118"/>
  <c r="CQC43" i="118"/>
  <c r="CQM43" i="118"/>
  <c r="CQW43" i="118"/>
  <c r="CRI43" i="118"/>
  <c r="CRS43" i="118"/>
  <c r="CSC43" i="118"/>
  <c r="CSO43" i="118"/>
  <c r="CSY43" i="118"/>
  <c r="CTM43" i="118"/>
  <c r="CUC43" i="118"/>
  <c r="CUS43" i="118"/>
  <c r="CVI43" i="118"/>
  <c r="CVY43" i="118"/>
  <c r="CWO43" i="118"/>
  <c r="CXE43" i="118"/>
  <c r="CXU43" i="118"/>
  <c r="CYK43" i="118"/>
  <c r="CZA43" i="118"/>
  <c r="CZQ43" i="118"/>
  <c r="DAG43" i="118"/>
  <c r="DAW43" i="118"/>
  <c r="DBM43" i="118"/>
  <c r="DCC43" i="118"/>
  <c r="DCS43" i="118"/>
  <c r="DDI43" i="118"/>
  <c r="DDY43" i="118"/>
  <c r="DEO43" i="118"/>
  <c r="DFE43" i="118"/>
  <c r="DFU43" i="118"/>
  <c r="DGK43" i="118"/>
  <c r="DHA43" i="118"/>
  <c r="DHQ43" i="118"/>
  <c r="DIG43" i="118"/>
  <c r="DIW43" i="118"/>
  <c r="DJM43" i="118"/>
  <c r="DKC43" i="118"/>
  <c r="DKS43" i="118"/>
  <c r="DLI43" i="118"/>
  <c r="DLY43" i="118"/>
  <c r="DMO43" i="118"/>
  <c r="DNE43" i="118"/>
  <c r="DNU43" i="118"/>
  <c r="DOK43" i="118"/>
  <c r="DPA43" i="118"/>
  <c r="DPQ43" i="118"/>
  <c r="DQG43" i="118"/>
  <c r="DQW43" i="118"/>
  <c r="DRM43" i="118"/>
  <c r="DSC43" i="118"/>
  <c r="DSS43" i="118"/>
  <c r="DTI43" i="118"/>
  <c r="DTY43" i="118"/>
  <c r="DUO43" i="118"/>
  <c r="DVE43" i="118"/>
  <c r="DVU43" i="118"/>
  <c r="DWK43" i="118"/>
  <c r="DXA43" i="118"/>
  <c r="DXQ43" i="118"/>
  <c r="DYG43" i="118"/>
  <c r="DYW43" i="118"/>
  <c r="DZM43" i="118"/>
  <c r="EAC43" i="118"/>
  <c r="EAS43" i="118"/>
  <c r="EBI43" i="118"/>
  <c r="EBY43" i="118"/>
  <c r="ECO43" i="118"/>
  <c r="EDE43" i="118"/>
  <c r="EDU43" i="118"/>
  <c r="EEK43" i="118"/>
  <c r="EFA43" i="118"/>
  <c r="EFQ43" i="118"/>
  <c r="EGG43" i="118"/>
  <c r="EGW43" i="118"/>
  <c r="EHM43" i="118"/>
  <c r="EIC43" i="118"/>
  <c r="EIS43" i="118"/>
  <c r="EJI43" i="118"/>
  <c r="EJY43" i="118"/>
  <c r="EKO43" i="118"/>
  <c r="ELE43" i="118"/>
  <c r="ELU43" i="118"/>
  <c r="EMK43" i="118"/>
  <c r="ENA43" i="118"/>
  <c r="ENQ43" i="118"/>
  <c r="EOG43" i="118"/>
  <c r="EOW43" i="118"/>
  <c r="EPM43" i="118"/>
  <c r="EQC43" i="118"/>
  <c r="EQS43" i="118"/>
  <c r="ERI43" i="118"/>
  <c r="ERY43" i="118"/>
  <c r="ESO43" i="118"/>
  <c r="ETE43" i="118"/>
  <c r="ETU43" i="118"/>
  <c r="EUK43" i="118"/>
  <c r="EVA43" i="118"/>
  <c r="EVQ43" i="118"/>
  <c r="EWG43" i="118"/>
  <c r="EWW43" i="118"/>
  <c r="EXM43" i="118"/>
  <c r="EYC43" i="118"/>
  <c r="EYS43" i="118"/>
  <c r="EZI43" i="118"/>
  <c r="EZY43" i="118"/>
  <c r="FAO43" i="118"/>
  <c r="FBE43" i="118"/>
  <c r="FBU43" i="118"/>
  <c r="FCK43" i="118"/>
  <c r="FDA43" i="118"/>
  <c r="FDQ43" i="118"/>
  <c r="FEG43" i="118"/>
  <c r="FEW43" i="118"/>
  <c r="FFM43" i="118"/>
  <c r="FGC43" i="118"/>
  <c r="FGS43" i="118"/>
  <c r="FHI43" i="118"/>
  <c r="FHY43" i="118"/>
  <c r="FIO43" i="118"/>
  <c r="FJE43" i="118"/>
  <c r="FJU43" i="118"/>
  <c r="FKK43" i="118"/>
  <c r="FLA43" i="118"/>
  <c r="FLQ43" i="118"/>
  <c r="FMG43" i="118"/>
  <c r="FMW43" i="118"/>
  <c r="FNM43" i="118"/>
  <c r="FOC43" i="118"/>
  <c r="FOS43" i="118"/>
  <c r="FPI43" i="118"/>
  <c r="FPY43" i="118"/>
  <c r="FQO43" i="118"/>
  <c r="FRE43" i="118"/>
  <c r="FRU43" i="118"/>
  <c r="FSK43" i="118"/>
  <c r="FTA43" i="118"/>
  <c r="FTQ43" i="118"/>
  <c r="FUG43" i="118"/>
  <c r="FUW43" i="118"/>
  <c r="FVM43" i="118"/>
  <c r="FWC43" i="118"/>
  <c r="FWS43" i="118"/>
  <c r="FXI43" i="118"/>
  <c r="FXY43" i="118"/>
  <c r="FYO43" i="118"/>
  <c r="FZE43" i="118"/>
  <c r="FZU43" i="118"/>
  <c r="GAK43" i="118"/>
  <c r="GBA43" i="118"/>
  <c r="GBQ43" i="118"/>
  <c r="GCG43" i="118"/>
  <c r="GCW43" i="118"/>
  <c r="GDM43" i="118"/>
  <c r="GEC43" i="118"/>
  <c r="GES43" i="118"/>
  <c r="GFI43" i="118"/>
  <c r="GFY43" i="118"/>
  <c r="GGO43" i="118"/>
  <c r="GHE43" i="118"/>
  <c r="GHU43" i="118"/>
  <c r="GIK43" i="118"/>
  <c r="GJA43" i="118"/>
  <c r="GJQ43" i="118"/>
  <c r="GKG43" i="118"/>
  <c r="GKW43" i="118"/>
  <c r="GLM43" i="118"/>
  <c r="GMC43" i="118"/>
  <c r="GMS43" i="118"/>
  <c r="GNI43" i="118"/>
  <c r="GNY43" i="118"/>
  <c r="GOO43" i="118"/>
  <c r="GPE43" i="118"/>
  <c r="GPU43" i="118"/>
  <c r="GQK43" i="118"/>
  <c r="GRA43" i="118"/>
  <c r="GRQ43" i="118"/>
  <c r="GSG43" i="118"/>
  <c r="GSW43" i="118"/>
  <c r="GTM43" i="118"/>
  <c r="GUC43" i="118"/>
  <c r="GUY43" i="118"/>
  <c r="GVS43" i="118"/>
  <c r="GWO43" i="118"/>
  <c r="GXK43" i="118"/>
  <c r="GYE43" i="118"/>
  <c r="GZA43" i="118"/>
  <c r="GZW43" i="118"/>
  <c r="HAY43" i="118"/>
  <c r="HCE43" i="118"/>
  <c r="HDK43" i="118"/>
  <c r="HEQ43" i="118"/>
  <c r="HFW43" i="118"/>
  <c r="HHC43" i="118"/>
  <c r="HII43" i="118"/>
  <c r="HJO43" i="118"/>
  <c r="HKU43" i="118"/>
  <c r="HMA43" i="118"/>
  <c r="HNG43" i="118"/>
  <c r="HOM43" i="118"/>
  <c r="HPS43" i="118"/>
  <c r="HQY43" i="118"/>
  <c r="HSE43" i="118"/>
  <c r="HTK43" i="118"/>
  <c r="HUQ43" i="118"/>
  <c r="HVW43" i="118"/>
  <c r="HXC43" i="118"/>
  <c r="HYI43" i="118"/>
  <c r="HZO43" i="118"/>
  <c r="IAU43" i="118"/>
  <c r="ICA43" i="118"/>
  <c r="IDG43" i="118"/>
  <c r="IEM43" i="118"/>
  <c r="IFS43" i="118"/>
  <c r="IGY43" i="118"/>
  <c r="IIE43" i="118"/>
  <c r="IJK43" i="118"/>
  <c r="IKQ43" i="118"/>
  <c r="ILW43" i="118"/>
  <c r="INC43" i="118"/>
  <c r="IOI43" i="118"/>
  <c r="IPO43" i="118"/>
  <c r="IQU43" i="118"/>
  <c r="ISA43" i="118"/>
  <c r="ITG43" i="118"/>
  <c r="IUM43" i="118"/>
  <c r="IVS43" i="118"/>
  <c r="IWY43" i="118"/>
  <c r="IYE43" i="118"/>
  <c r="IZK43" i="118"/>
  <c r="JAQ43" i="118"/>
  <c r="JBW43" i="118"/>
  <c r="JDC43" i="118"/>
  <c r="JEI43" i="118"/>
  <c r="JFO43" i="118"/>
  <c r="JGU43" i="118"/>
  <c r="JIA43" i="118"/>
  <c r="JJG43" i="118"/>
  <c r="JKM43" i="118"/>
  <c r="JLS43" i="118"/>
  <c r="JMY43" i="118"/>
  <c r="JOE43" i="118"/>
  <c r="JPK43" i="118"/>
  <c r="JQQ43" i="118"/>
  <c r="JRW43" i="118"/>
  <c r="JTC43" i="118"/>
  <c r="JUI43" i="118"/>
  <c r="JVO43" i="118"/>
  <c r="JWU43" i="118"/>
  <c r="JYA43" i="118"/>
  <c r="JZG43" i="118"/>
  <c r="KAM43" i="118"/>
  <c r="KBS43" i="118"/>
  <c r="KCY43" i="118"/>
  <c r="KEE43" i="118"/>
  <c r="KFK43" i="118"/>
  <c r="KGQ43" i="118"/>
  <c r="KHW43" i="118"/>
  <c r="KJC43" i="118"/>
  <c r="KKI43" i="118"/>
  <c r="KLO43" i="118"/>
  <c r="KMU43" i="118"/>
  <c r="KOA43" i="118"/>
  <c r="KPG43" i="118"/>
  <c r="KQM43" i="118"/>
  <c r="KRS43" i="118"/>
  <c r="KSY43" i="118"/>
  <c r="KUE43" i="118"/>
  <c r="KVS43" i="118"/>
  <c r="KYE43" i="118"/>
  <c r="LAQ43" i="118"/>
  <c r="LDC43" i="118"/>
  <c r="LFO43" i="118"/>
  <c r="LIA43" i="118"/>
  <c r="LKM43" i="118"/>
  <c r="LMY43" i="118"/>
  <c r="LPK43" i="118"/>
  <c r="LRW43" i="118"/>
  <c r="LUI43" i="118"/>
  <c r="LWU43" i="118"/>
  <c r="LZG43" i="118"/>
  <c r="MBS43" i="118"/>
  <c r="MEO43" i="118"/>
  <c r="MIM43" i="118"/>
  <c r="MNK43" i="118"/>
  <c r="MSI43" i="118"/>
  <c r="MXG43" i="118"/>
  <c r="NCE43" i="118"/>
  <c r="NHC43" i="118"/>
  <c r="NMA43" i="118"/>
  <c r="NQY43" i="118"/>
  <c r="NVW43" i="118"/>
  <c r="OAU43" i="118"/>
  <c r="OFS43" i="118"/>
  <c r="OVO43" i="118"/>
  <c r="PPG43" i="118"/>
  <c r="QIY43" i="118"/>
  <c r="RCQ43" i="118"/>
  <c r="AM200" i="99"/>
  <c r="AE55" i="110" s="1"/>
  <c r="AE56" i="110" s="1"/>
  <c r="XEZ43" i="118"/>
  <c r="XEJ43" i="118"/>
  <c r="XDT43" i="118"/>
  <c r="XDD43" i="118"/>
  <c r="XCN43" i="118"/>
  <c r="XBX43" i="118"/>
  <c r="XBH43" i="118"/>
  <c r="XAR43" i="118"/>
  <c r="XAB43" i="118"/>
  <c r="WZL43" i="118"/>
  <c r="WYV43" i="118"/>
  <c r="WYF43" i="118"/>
  <c r="WXP43" i="118"/>
  <c r="WWZ43" i="118"/>
  <c r="WWJ43" i="118"/>
  <c r="WVT43" i="118"/>
  <c r="WVD43" i="118"/>
  <c r="WUN43" i="118"/>
  <c r="WTX43" i="118"/>
  <c r="WTH43" i="118"/>
  <c r="WSR43" i="118"/>
  <c r="WSB43" i="118"/>
  <c r="WRL43" i="118"/>
  <c r="WQV43" i="118"/>
  <c r="WQF43" i="118"/>
  <c r="WPP43" i="118"/>
  <c r="WOZ43" i="118"/>
  <c r="WOJ43" i="118"/>
  <c r="WNT43" i="118"/>
  <c r="WND43" i="118"/>
  <c r="WMN43" i="118"/>
  <c r="WLX43" i="118"/>
  <c r="WLH43" i="118"/>
  <c r="WKR43" i="118"/>
  <c r="WKB43" i="118"/>
  <c r="WJL43" i="118"/>
  <c r="WIV43" i="118"/>
  <c r="WIF43" i="118"/>
  <c r="WHP43" i="118"/>
  <c r="WGZ43" i="118"/>
  <c r="WGJ43" i="118"/>
  <c r="WFT43" i="118"/>
  <c r="WFD43" i="118"/>
  <c r="WEN43" i="118"/>
  <c r="WDX43" i="118"/>
  <c r="WDH43" i="118"/>
  <c r="WCR43" i="118"/>
  <c r="WCB43" i="118"/>
  <c r="WBL43" i="118"/>
  <c r="WAV43" i="118"/>
  <c r="WAF43" i="118"/>
  <c r="XEV43" i="118"/>
  <c r="XEF43" i="118"/>
  <c r="XDP43" i="118"/>
  <c r="XCZ43" i="118"/>
  <c r="XCJ43" i="118"/>
  <c r="XBT43" i="118"/>
  <c r="XBD43" i="118"/>
  <c r="XAN43" i="118"/>
  <c r="WZX43" i="118"/>
  <c r="WZH43" i="118"/>
  <c r="WYR43" i="118"/>
  <c r="WYB43" i="118"/>
  <c r="WXL43" i="118"/>
  <c r="WWV43" i="118"/>
  <c r="WWF43" i="118"/>
  <c r="WVP43" i="118"/>
  <c r="WUZ43" i="118"/>
  <c r="WUJ43" i="118"/>
  <c r="WTT43" i="118"/>
  <c r="WTD43" i="118"/>
  <c r="WSN43" i="118"/>
  <c r="WRX43" i="118"/>
  <c r="WRH43" i="118"/>
  <c r="WQR43" i="118"/>
  <c r="WQB43" i="118"/>
  <c r="WPL43" i="118"/>
  <c r="WOV43" i="118"/>
  <c r="WOF43" i="118"/>
  <c r="WNP43" i="118"/>
  <c r="WMZ43" i="118"/>
  <c r="WMJ43" i="118"/>
  <c r="WLT43" i="118"/>
  <c r="WLD43" i="118"/>
  <c r="WKN43" i="118"/>
  <c r="WJX43" i="118"/>
  <c r="WJH43" i="118"/>
  <c r="WIR43" i="118"/>
  <c r="WIB43" i="118"/>
  <c r="WHL43" i="118"/>
  <c r="WGV43" i="118"/>
  <c r="WGF43" i="118"/>
  <c r="WFP43" i="118"/>
  <c r="WEZ43" i="118"/>
  <c r="WEJ43" i="118"/>
  <c r="WDT43" i="118"/>
  <c r="WDD43" i="118"/>
  <c r="WCN43" i="118"/>
  <c r="WBX43" i="118"/>
  <c r="WBH43" i="118"/>
  <c r="WAR43" i="118"/>
  <c r="WAB43" i="118"/>
  <c r="XER43" i="118"/>
  <c r="XEB43" i="118"/>
  <c r="XDL43" i="118"/>
  <c r="XCV43" i="118"/>
  <c r="XCF43" i="118"/>
  <c r="XBP43" i="118"/>
  <c r="XAZ43" i="118"/>
  <c r="XAJ43" i="118"/>
  <c r="WZT43" i="118"/>
  <c r="WZD43" i="118"/>
  <c r="WYN43" i="118"/>
  <c r="WXX43" i="118"/>
  <c r="WXH43" i="118"/>
  <c r="WWR43" i="118"/>
  <c r="WWB43" i="118"/>
  <c r="WVL43" i="118"/>
  <c r="WUV43" i="118"/>
  <c r="WUF43" i="118"/>
  <c r="WTP43" i="118"/>
  <c r="WSZ43" i="118"/>
  <c r="WSJ43" i="118"/>
  <c r="WRT43" i="118"/>
  <c r="WRD43" i="118"/>
  <c r="WQN43" i="118"/>
  <c r="WPX43" i="118"/>
  <c r="WPH43" i="118"/>
  <c r="WOR43" i="118"/>
  <c r="WOB43" i="118"/>
  <c r="WNL43" i="118"/>
  <c r="WMV43" i="118"/>
  <c r="WMF43" i="118"/>
  <c r="WLP43" i="118"/>
  <c r="WKZ43" i="118"/>
  <c r="WKJ43" i="118"/>
  <c r="WJT43" i="118"/>
  <c r="WJD43" i="118"/>
  <c r="WIN43" i="118"/>
  <c r="WHX43" i="118"/>
  <c r="WHH43" i="118"/>
  <c r="WGR43" i="118"/>
  <c r="WGB43" i="118"/>
  <c r="WFL43" i="118"/>
  <c r="WEV43" i="118"/>
  <c r="WEF43" i="118"/>
  <c r="WDP43" i="118"/>
  <c r="WCZ43" i="118"/>
  <c r="WCJ43" i="118"/>
  <c r="WBT43" i="118"/>
  <c r="WBD43" i="118"/>
  <c r="WAN43" i="118"/>
  <c r="XFD43" i="118"/>
  <c r="XEN43" i="118"/>
  <c r="XDX43" i="118"/>
  <c r="XDH43" i="118"/>
  <c r="XCR43" i="118"/>
  <c r="XCB43" i="118"/>
  <c r="XBL43" i="118"/>
  <c r="XAV43" i="118"/>
  <c r="XAF43" i="118"/>
  <c r="WZP43" i="118"/>
  <c r="WYZ43" i="118"/>
  <c r="WYJ43" i="118"/>
  <c r="WXT43" i="118"/>
  <c r="WXD43" i="118"/>
  <c r="WWN43" i="118"/>
  <c r="WVX43" i="118"/>
  <c r="WVH43" i="118"/>
  <c r="WUR43" i="118"/>
  <c r="WUB43" i="118"/>
  <c r="WTL43" i="118"/>
  <c r="WSV43" i="118"/>
  <c r="WSF43" i="118"/>
  <c r="WRP43" i="118"/>
  <c r="WQZ43" i="118"/>
  <c r="WQJ43" i="118"/>
  <c r="WPT43" i="118"/>
  <c r="WPD43" i="118"/>
  <c r="WON43" i="118"/>
  <c r="WNX43" i="118"/>
  <c r="WNH43" i="118"/>
  <c r="WMR43" i="118"/>
  <c r="WMB43" i="118"/>
  <c r="WLL43" i="118"/>
  <c r="WKV43" i="118"/>
  <c r="WKF43" i="118"/>
  <c r="WJP43" i="118"/>
  <c r="WIZ43" i="118"/>
  <c r="WIJ43" i="118"/>
  <c r="WHT43" i="118"/>
  <c r="WHD43" i="118"/>
  <c r="WGN43" i="118"/>
  <c r="WFX43" i="118"/>
  <c r="WFH43" i="118"/>
  <c r="WER43" i="118"/>
  <c r="WEB43" i="118"/>
  <c r="WDL43" i="118"/>
  <c r="WCV43" i="118"/>
  <c r="WCF43" i="118"/>
  <c r="WBP43" i="118"/>
  <c r="WAZ43" i="118"/>
  <c r="WAJ43" i="118"/>
  <c r="VZT43" i="118"/>
  <c r="VZX43" i="118"/>
  <c r="VZD43" i="118"/>
  <c r="VYN43" i="118"/>
  <c r="VXX43" i="118"/>
  <c r="VXH43" i="118"/>
  <c r="VWR43" i="118"/>
  <c r="VWB43" i="118"/>
  <c r="VVL43" i="118"/>
  <c r="VUV43" i="118"/>
  <c r="VUF43" i="118"/>
  <c r="VTP43" i="118"/>
  <c r="VSZ43" i="118"/>
  <c r="VSJ43" i="118"/>
  <c r="VRT43" i="118"/>
  <c r="VRD43" i="118"/>
  <c r="VQN43" i="118"/>
  <c r="VPX43" i="118"/>
  <c r="VPH43" i="118"/>
  <c r="VOR43" i="118"/>
  <c r="VOB43" i="118"/>
  <c r="VNL43" i="118"/>
  <c r="VMV43" i="118"/>
  <c r="VMF43" i="118"/>
  <c r="VLP43" i="118"/>
  <c r="VKZ43" i="118"/>
  <c r="VKJ43" i="118"/>
  <c r="VJT43" i="118"/>
  <c r="VJD43" i="118"/>
  <c r="VIN43" i="118"/>
  <c r="VHX43" i="118"/>
  <c r="VHH43" i="118"/>
  <c r="VGR43" i="118"/>
  <c r="VGB43" i="118"/>
  <c r="VFL43" i="118"/>
  <c r="VEV43" i="118"/>
  <c r="VEF43" i="118"/>
  <c r="VDP43" i="118"/>
  <c r="VCZ43" i="118"/>
  <c r="VCJ43" i="118"/>
  <c r="VBT43" i="118"/>
  <c r="VBD43" i="118"/>
  <c r="VAN43" i="118"/>
  <c r="UZX43" i="118"/>
  <c r="UZH43" i="118"/>
  <c r="UYR43" i="118"/>
  <c r="UYB43" i="118"/>
  <c r="UXL43" i="118"/>
  <c r="UWV43" i="118"/>
  <c r="UWF43" i="118"/>
  <c r="UVP43" i="118"/>
  <c r="UUZ43" i="118"/>
  <c r="UUO43" i="118"/>
  <c r="UUG43" i="118"/>
  <c r="UTY43" i="118"/>
  <c r="UTQ43" i="118"/>
  <c r="UTI43" i="118"/>
  <c r="UTA43" i="118"/>
  <c r="USS43" i="118"/>
  <c r="USK43" i="118"/>
  <c r="USC43" i="118"/>
  <c r="URU43" i="118"/>
  <c r="URM43" i="118"/>
  <c r="URE43" i="118"/>
  <c r="UQW43" i="118"/>
  <c r="UQO43" i="118"/>
  <c r="UQG43" i="118"/>
  <c r="UPY43" i="118"/>
  <c r="UPQ43" i="118"/>
  <c r="UPI43" i="118"/>
  <c r="UPA43" i="118"/>
  <c r="UOS43" i="118"/>
  <c r="UOK43" i="118"/>
  <c r="UOC43" i="118"/>
  <c r="UNU43" i="118"/>
  <c r="UNM43" i="118"/>
  <c r="UNE43" i="118"/>
  <c r="UMW43" i="118"/>
  <c r="UMO43" i="118"/>
  <c r="UMG43" i="118"/>
  <c r="ULY43" i="118"/>
  <c r="ULQ43" i="118"/>
  <c r="ULI43" i="118"/>
  <c r="ULA43" i="118"/>
  <c r="UKS43" i="118"/>
  <c r="UKK43" i="118"/>
  <c r="VZL43" i="118"/>
  <c r="VYV43" i="118"/>
  <c r="VYF43" i="118"/>
  <c r="VXP43" i="118"/>
  <c r="VWZ43" i="118"/>
  <c r="VWJ43" i="118"/>
  <c r="VVT43" i="118"/>
  <c r="VVD43" i="118"/>
  <c r="VUN43" i="118"/>
  <c r="VTX43" i="118"/>
  <c r="VTH43" i="118"/>
  <c r="VSR43" i="118"/>
  <c r="VSB43" i="118"/>
  <c r="VRL43" i="118"/>
  <c r="VQV43" i="118"/>
  <c r="VQF43" i="118"/>
  <c r="VPP43" i="118"/>
  <c r="VOZ43" i="118"/>
  <c r="VOJ43" i="118"/>
  <c r="VNT43" i="118"/>
  <c r="VND43" i="118"/>
  <c r="VMN43" i="118"/>
  <c r="VLX43" i="118"/>
  <c r="VLH43" i="118"/>
  <c r="VKR43" i="118"/>
  <c r="VKB43" i="118"/>
  <c r="VJL43" i="118"/>
  <c r="VIV43" i="118"/>
  <c r="VIF43" i="118"/>
  <c r="VHP43" i="118"/>
  <c r="VGZ43" i="118"/>
  <c r="VGJ43" i="118"/>
  <c r="VFT43" i="118"/>
  <c r="VFD43" i="118"/>
  <c r="VEN43" i="118"/>
  <c r="VDX43" i="118"/>
  <c r="VDH43" i="118"/>
  <c r="VCR43" i="118"/>
  <c r="VCB43" i="118"/>
  <c r="VBL43" i="118"/>
  <c r="VAV43" i="118"/>
  <c r="VAF43" i="118"/>
  <c r="UZP43" i="118"/>
  <c r="UYZ43" i="118"/>
  <c r="UYJ43" i="118"/>
  <c r="UXT43" i="118"/>
  <c r="UXD43" i="118"/>
  <c r="UWN43" i="118"/>
  <c r="UVX43" i="118"/>
  <c r="UVH43" i="118"/>
  <c r="UUS43" i="118"/>
  <c r="UUK43" i="118"/>
  <c r="UUC43" i="118"/>
  <c r="UTU43" i="118"/>
  <c r="UTM43" i="118"/>
  <c r="UTE43" i="118"/>
  <c r="USW43" i="118"/>
  <c r="USO43" i="118"/>
  <c r="USG43" i="118"/>
  <c r="URY43" i="118"/>
  <c r="URQ43" i="118"/>
  <c r="URI43" i="118"/>
  <c r="URA43" i="118"/>
  <c r="UQS43" i="118"/>
  <c r="UQK43" i="118"/>
  <c r="UQC43" i="118"/>
  <c r="UPU43" i="118"/>
  <c r="UPM43" i="118"/>
  <c r="UPE43" i="118"/>
  <c r="UOW43" i="118"/>
  <c r="UOO43" i="118"/>
  <c r="UOG43" i="118"/>
  <c r="UNY43" i="118"/>
  <c r="UNQ43" i="118"/>
  <c r="UNI43" i="118"/>
  <c r="UNA43" i="118"/>
  <c r="UMS43" i="118"/>
  <c r="UMK43" i="118"/>
  <c r="UMC43" i="118"/>
  <c r="ULU43" i="118"/>
  <c r="ULM43" i="118"/>
  <c r="ULE43" i="118"/>
  <c r="UKW43" i="118"/>
  <c r="UKO43" i="118"/>
  <c r="UKG43" i="118"/>
  <c r="VZP43" i="118"/>
  <c r="VYJ43" i="118"/>
  <c r="VXD43" i="118"/>
  <c r="VVX43" i="118"/>
  <c r="VUR43" i="118"/>
  <c r="VTL43" i="118"/>
  <c r="VSF43" i="118"/>
  <c r="VQZ43" i="118"/>
  <c r="VPT43" i="118"/>
  <c r="VON43" i="118"/>
  <c r="VNH43" i="118"/>
  <c r="VMB43" i="118"/>
  <c r="VKV43" i="118"/>
  <c r="VJP43" i="118"/>
  <c r="VIJ43" i="118"/>
  <c r="VHD43" i="118"/>
  <c r="VFX43" i="118"/>
  <c r="VER43" i="118"/>
  <c r="VDL43" i="118"/>
  <c r="VCF43" i="118"/>
  <c r="VAZ43" i="118"/>
  <c r="UZT43" i="118"/>
  <c r="UYN43" i="118"/>
  <c r="UXH43" i="118"/>
  <c r="UWB43" i="118"/>
  <c r="UUV43" i="118"/>
  <c r="UUE43" i="118"/>
  <c r="UTO43" i="118"/>
  <c r="USY43" i="118"/>
  <c r="USI43" i="118"/>
  <c r="URS43" i="118"/>
  <c r="URC43" i="118"/>
  <c r="UQM43" i="118"/>
  <c r="UPW43" i="118"/>
  <c r="UPG43" i="118"/>
  <c r="UOQ43" i="118"/>
  <c r="UOA43" i="118"/>
  <c r="UNK43" i="118"/>
  <c r="UMU43" i="118"/>
  <c r="UME43" i="118"/>
  <c r="ULO43" i="118"/>
  <c r="UKY43" i="118"/>
  <c r="UKI43" i="118"/>
  <c r="UJY43" i="118"/>
  <c r="UJQ43" i="118"/>
  <c r="UJI43" i="118"/>
  <c r="UJA43" i="118"/>
  <c r="UIS43" i="118"/>
  <c r="UIK43" i="118"/>
  <c r="UIC43" i="118"/>
  <c r="UHU43" i="118"/>
  <c r="UHM43" i="118"/>
  <c r="UHE43" i="118"/>
  <c r="UGW43" i="118"/>
  <c r="UGO43" i="118"/>
  <c r="UGG43" i="118"/>
  <c r="UFY43" i="118"/>
  <c r="UFQ43" i="118"/>
  <c r="UFI43" i="118"/>
  <c r="UFA43" i="118"/>
  <c r="UES43" i="118"/>
  <c r="UEK43" i="118"/>
  <c r="UEC43" i="118"/>
  <c r="UDU43" i="118"/>
  <c r="UDM43" i="118"/>
  <c r="UDE43" i="118"/>
  <c r="UCW43" i="118"/>
  <c r="UCO43" i="118"/>
  <c r="UCG43" i="118"/>
  <c r="UBY43" i="118"/>
  <c r="UBQ43" i="118"/>
  <c r="UBI43" i="118"/>
  <c r="UBA43" i="118"/>
  <c r="UAS43" i="118"/>
  <c r="UAK43" i="118"/>
  <c r="UAC43" i="118"/>
  <c r="TZU43" i="118"/>
  <c r="TZM43" i="118"/>
  <c r="TZE43" i="118"/>
  <c r="TYW43" i="118"/>
  <c r="TYO43" i="118"/>
  <c r="TYG43" i="118"/>
  <c r="TXY43" i="118"/>
  <c r="TXQ43" i="118"/>
  <c r="TXI43" i="118"/>
  <c r="TXA43" i="118"/>
  <c r="TWS43" i="118"/>
  <c r="TWK43" i="118"/>
  <c r="TWC43" i="118"/>
  <c r="TVU43" i="118"/>
  <c r="TVM43" i="118"/>
  <c r="TVE43" i="118"/>
  <c r="TUW43" i="118"/>
  <c r="TUO43" i="118"/>
  <c r="TUG43" i="118"/>
  <c r="TTY43" i="118"/>
  <c r="TTQ43" i="118"/>
  <c r="VYZ43" i="118"/>
  <c r="VXT43" i="118"/>
  <c r="VWN43" i="118"/>
  <c r="VVH43" i="118"/>
  <c r="VUB43" i="118"/>
  <c r="VSV43" i="118"/>
  <c r="VRP43" i="118"/>
  <c r="VQJ43" i="118"/>
  <c r="VPD43" i="118"/>
  <c r="VNX43" i="118"/>
  <c r="VMR43" i="118"/>
  <c r="VLL43" i="118"/>
  <c r="VKF43" i="118"/>
  <c r="VIZ43" i="118"/>
  <c r="VHT43" i="118"/>
  <c r="VGN43" i="118"/>
  <c r="VFH43" i="118"/>
  <c r="VEB43" i="118"/>
  <c r="VCV43" i="118"/>
  <c r="VBP43" i="118"/>
  <c r="VAJ43" i="118"/>
  <c r="UZD43" i="118"/>
  <c r="UXX43" i="118"/>
  <c r="UWR43" i="118"/>
  <c r="UVL43" i="118"/>
  <c r="UUM43" i="118"/>
  <c r="UTW43" i="118"/>
  <c r="UTG43" i="118"/>
  <c r="USQ43" i="118"/>
  <c r="USA43" i="118"/>
  <c r="URK43" i="118"/>
  <c r="UQU43" i="118"/>
  <c r="UQE43" i="118"/>
  <c r="UPO43" i="118"/>
  <c r="UOY43" i="118"/>
  <c r="UOI43" i="118"/>
  <c r="UNS43" i="118"/>
  <c r="UNC43" i="118"/>
  <c r="UMM43" i="118"/>
  <c r="ULW43" i="118"/>
  <c r="ULG43" i="118"/>
  <c r="UKQ43" i="118"/>
  <c r="UKC43" i="118"/>
  <c r="UJU43" i="118"/>
  <c r="UJM43" i="118"/>
  <c r="UJE43" i="118"/>
  <c r="UIW43" i="118"/>
  <c r="UIO43" i="118"/>
  <c r="UIG43" i="118"/>
  <c r="UHY43" i="118"/>
  <c r="UHQ43" i="118"/>
  <c r="UHI43" i="118"/>
  <c r="UHA43" i="118"/>
  <c r="UGS43" i="118"/>
  <c r="UGK43" i="118"/>
  <c r="UGC43" i="118"/>
  <c r="UFU43" i="118"/>
  <c r="UFM43" i="118"/>
  <c r="UFE43" i="118"/>
  <c r="UEW43" i="118"/>
  <c r="UEO43" i="118"/>
  <c r="UEG43" i="118"/>
  <c r="UDY43" i="118"/>
  <c r="UDQ43" i="118"/>
  <c r="UDI43" i="118"/>
  <c r="UDA43" i="118"/>
  <c r="UCS43" i="118"/>
  <c r="UCK43" i="118"/>
  <c r="UCC43" i="118"/>
  <c r="UBU43" i="118"/>
  <c r="UBM43" i="118"/>
  <c r="UBE43" i="118"/>
  <c r="UAW43" i="118"/>
  <c r="UAO43" i="118"/>
  <c r="UAG43" i="118"/>
  <c r="TZY43" i="118"/>
  <c r="TZQ43" i="118"/>
  <c r="TZI43" i="118"/>
  <c r="TZA43" i="118"/>
  <c r="TYS43" i="118"/>
  <c r="TYK43" i="118"/>
  <c r="TYC43" i="118"/>
  <c r="TXU43" i="118"/>
  <c r="TXM43" i="118"/>
  <c r="TXE43" i="118"/>
  <c r="VZH43" i="118"/>
  <c r="VWV43" i="118"/>
  <c r="VUJ43" i="118"/>
  <c r="VRX43" i="118"/>
  <c r="VPL43" i="118"/>
  <c r="VMZ43" i="118"/>
  <c r="VKN43" i="118"/>
  <c r="VIB43" i="118"/>
  <c r="VFP43" i="118"/>
  <c r="VDD43" i="118"/>
  <c r="VAR43" i="118"/>
  <c r="UYF43" i="118"/>
  <c r="UVT43" i="118"/>
  <c r="UUA43" i="118"/>
  <c r="USU43" i="118"/>
  <c r="URO43" i="118"/>
  <c r="UQI43" i="118"/>
  <c r="UPC43" i="118"/>
  <c r="UNW43" i="118"/>
  <c r="UMQ43" i="118"/>
  <c r="ULK43" i="118"/>
  <c r="UKE43" i="118"/>
  <c r="UJO43" i="118"/>
  <c r="UIY43" i="118"/>
  <c r="UII43" i="118"/>
  <c r="UHS43" i="118"/>
  <c r="UHC43" i="118"/>
  <c r="UGM43" i="118"/>
  <c r="UFW43" i="118"/>
  <c r="UFG43" i="118"/>
  <c r="UEQ43" i="118"/>
  <c r="UEA43" i="118"/>
  <c r="UDK43" i="118"/>
  <c r="UCU43" i="118"/>
  <c r="UCE43" i="118"/>
  <c r="UBO43" i="118"/>
  <c r="UAY43" i="118"/>
  <c r="UAI43" i="118"/>
  <c r="TZS43" i="118"/>
  <c r="TZC43" i="118"/>
  <c r="TYM43" i="118"/>
  <c r="TXW43" i="118"/>
  <c r="TXG43" i="118"/>
  <c r="TWU43" i="118"/>
  <c r="TWI43" i="118"/>
  <c r="TVY43" i="118"/>
  <c r="TVO43" i="118"/>
  <c r="TVC43" i="118"/>
  <c r="TUS43" i="118"/>
  <c r="TUI43" i="118"/>
  <c r="TTW43" i="118"/>
  <c r="TTM43" i="118"/>
  <c r="TTE43" i="118"/>
  <c r="TSW43" i="118"/>
  <c r="TSO43" i="118"/>
  <c r="TSG43" i="118"/>
  <c r="TRY43" i="118"/>
  <c r="TRQ43" i="118"/>
  <c r="TRI43" i="118"/>
  <c r="TRA43" i="118"/>
  <c r="TQS43" i="118"/>
  <c r="TQK43" i="118"/>
  <c r="TQC43" i="118"/>
  <c r="TPU43" i="118"/>
  <c r="TPM43" i="118"/>
  <c r="TPE43" i="118"/>
  <c r="TOW43" i="118"/>
  <c r="TOO43" i="118"/>
  <c r="TOG43" i="118"/>
  <c r="TNY43" i="118"/>
  <c r="TNQ43" i="118"/>
  <c r="TNI43" i="118"/>
  <c r="TNA43" i="118"/>
  <c r="TMS43" i="118"/>
  <c r="TMK43" i="118"/>
  <c r="TMC43" i="118"/>
  <c r="TLU43" i="118"/>
  <c r="TLM43" i="118"/>
  <c r="TLE43" i="118"/>
  <c r="TKW43" i="118"/>
  <c r="TKO43" i="118"/>
  <c r="TKG43" i="118"/>
  <c r="TJY43" i="118"/>
  <c r="TJQ43" i="118"/>
  <c r="TJI43" i="118"/>
  <c r="TJA43" i="118"/>
  <c r="TIS43" i="118"/>
  <c r="TIK43" i="118"/>
  <c r="TIC43" i="118"/>
  <c r="THU43" i="118"/>
  <c r="THM43" i="118"/>
  <c r="THE43" i="118"/>
  <c r="TGW43" i="118"/>
  <c r="TGO43" i="118"/>
  <c r="TGG43" i="118"/>
  <c r="TFY43" i="118"/>
  <c r="TFQ43" i="118"/>
  <c r="TFI43" i="118"/>
  <c r="TFA43" i="118"/>
  <c r="TES43" i="118"/>
  <c r="TEK43" i="118"/>
  <c r="TEC43" i="118"/>
  <c r="TDU43" i="118"/>
  <c r="TDM43" i="118"/>
  <c r="TDE43" i="118"/>
  <c r="TCW43" i="118"/>
  <c r="TCO43" i="118"/>
  <c r="TCG43" i="118"/>
  <c r="TBY43" i="118"/>
  <c r="TBQ43" i="118"/>
  <c r="TBI43" i="118"/>
  <c r="TBA43" i="118"/>
  <c r="TAS43" i="118"/>
  <c r="TAK43" i="118"/>
  <c r="TAC43" i="118"/>
  <c r="SZU43" i="118"/>
  <c r="SZM43" i="118"/>
  <c r="SZE43" i="118"/>
  <c r="SYW43" i="118"/>
  <c r="SYO43" i="118"/>
  <c r="SYG43" i="118"/>
  <c r="SXY43" i="118"/>
  <c r="SXQ43" i="118"/>
  <c r="SXI43" i="118"/>
  <c r="SXA43" i="118"/>
  <c r="SWS43" i="118"/>
  <c r="SWK43" i="118"/>
  <c r="SWC43" i="118"/>
  <c r="SVU43" i="118"/>
  <c r="SVM43" i="118"/>
  <c r="SVE43" i="118"/>
  <c r="SUW43" i="118"/>
  <c r="SUO43" i="118"/>
  <c r="SUG43" i="118"/>
  <c r="STY43" i="118"/>
  <c r="STQ43" i="118"/>
  <c r="STI43" i="118"/>
  <c r="STA43" i="118"/>
  <c r="SSS43" i="118"/>
  <c r="SSK43" i="118"/>
  <c r="SSC43" i="118"/>
  <c r="SRU43" i="118"/>
  <c r="SRM43" i="118"/>
  <c r="SRE43" i="118"/>
  <c r="SQW43" i="118"/>
  <c r="SQO43" i="118"/>
  <c r="SQG43" i="118"/>
  <c r="SPY43" i="118"/>
  <c r="SPQ43" i="118"/>
  <c r="SPI43" i="118"/>
  <c r="SPA43" i="118"/>
  <c r="SOS43" i="118"/>
  <c r="SOK43" i="118"/>
  <c r="SOC43" i="118"/>
  <c r="SNU43" i="118"/>
  <c r="SNM43" i="118"/>
  <c r="SNE43" i="118"/>
  <c r="SMW43" i="118"/>
  <c r="SMO43" i="118"/>
  <c r="SMG43" i="118"/>
  <c r="SLY43" i="118"/>
  <c r="SLQ43" i="118"/>
  <c r="SLI43" i="118"/>
  <c r="SLA43" i="118"/>
  <c r="SKS43" i="118"/>
  <c r="SKK43" i="118"/>
  <c r="SKC43" i="118"/>
  <c r="SJU43" i="118"/>
  <c r="SJM43" i="118"/>
  <c r="SJE43" i="118"/>
  <c r="VYB43" i="118"/>
  <c r="VVP43" i="118"/>
  <c r="VTD43" i="118"/>
  <c r="VQR43" i="118"/>
  <c r="VOF43" i="118"/>
  <c r="VLT43" i="118"/>
  <c r="VJH43" i="118"/>
  <c r="VGV43" i="118"/>
  <c r="VEJ43" i="118"/>
  <c r="VBX43" i="118"/>
  <c r="UZL43" i="118"/>
  <c r="UWZ43" i="118"/>
  <c r="UUQ43" i="118"/>
  <c r="UTK43" i="118"/>
  <c r="USE43" i="118"/>
  <c r="UQY43" i="118"/>
  <c r="UPS43" i="118"/>
  <c r="UOM43" i="118"/>
  <c r="UNG43" i="118"/>
  <c r="UMA43" i="118"/>
  <c r="UKU43" i="118"/>
  <c r="UJW43" i="118"/>
  <c r="UJG43" i="118"/>
  <c r="UIQ43" i="118"/>
  <c r="UIA43" i="118"/>
  <c r="UHK43" i="118"/>
  <c r="UGU43" i="118"/>
  <c r="UGE43" i="118"/>
  <c r="UFO43" i="118"/>
  <c r="UEY43" i="118"/>
  <c r="UEI43" i="118"/>
  <c r="UDS43" i="118"/>
  <c r="UDC43" i="118"/>
  <c r="UCM43" i="118"/>
  <c r="UBW43" i="118"/>
  <c r="UBG43" i="118"/>
  <c r="UAQ43" i="118"/>
  <c r="UAA43" i="118"/>
  <c r="TZK43" i="118"/>
  <c r="TYU43" i="118"/>
  <c r="TYE43" i="118"/>
  <c r="TXO43" i="118"/>
  <c r="TWY43" i="118"/>
  <c r="TWO43" i="118"/>
  <c r="TWE43" i="118"/>
  <c r="TVS43" i="118"/>
  <c r="TVI43" i="118"/>
  <c r="TUY43" i="118"/>
  <c r="TUM43" i="118"/>
  <c r="TUC43" i="118"/>
  <c r="TTS43" i="118"/>
  <c r="TTI43" i="118"/>
  <c r="TTA43" i="118"/>
  <c r="TSS43" i="118"/>
  <c r="TSK43" i="118"/>
  <c r="TSC43" i="118"/>
  <c r="TRU43" i="118"/>
  <c r="TRM43" i="118"/>
  <c r="TRE43" i="118"/>
  <c r="TQW43" i="118"/>
  <c r="TQO43" i="118"/>
  <c r="TQG43" i="118"/>
  <c r="TPY43" i="118"/>
  <c r="TPQ43" i="118"/>
  <c r="TPI43" i="118"/>
  <c r="TPA43" i="118"/>
  <c r="TOS43" i="118"/>
  <c r="TOK43" i="118"/>
  <c r="TOC43" i="118"/>
  <c r="TNU43" i="118"/>
  <c r="TNM43" i="118"/>
  <c r="TNE43" i="118"/>
  <c r="TMW43" i="118"/>
  <c r="TMO43" i="118"/>
  <c r="TMG43" i="118"/>
  <c r="TLY43" i="118"/>
  <c r="TLQ43" i="118"/>
  <c r="TLI43" i="118"/>
  <c r="TLA43" i="118"/>
  <c r="TKS43" i="118"/>
  <c r="TKK43" i="118"/>
  <c r="TKC43" i="118"/>
  <c r="TJU43" i="118"/>
  <c r="TJM43" i="118"/>
  <c r="TJE43" i="118"/>
  <c r="TIW43" i="118"/>
  <c r="TIO43" i="118"/>
  <c r="TIG43" i="118"/>
  <c r="THY43" i="118"/>
  <c r="THQ43" i="118"/>
  <c r="THI43" i="118"/>
  <c r="THA43" i="118"/>
  <c r="TGS43" i="118"/>
  <c r="TGK43" i="118"/>
  <c r="TGC43" i="118"/>
  <c r="TFU43" i="118"/>
  <c r="TFM43" i="118"/>
  <c r="TFE43" i="118"/>
  <c r="TEW43" i="118"/>
  <c r="TEO43" i="118"/>
  <c r="TEG43" i="118"/>
  <c r="TDY43" i="118"/>
  <c r="TDQ43" i="118"/>
  <c r="TDI43" i="118"/>
  <c r="TDA43" i="118"/>
  <c r="TCS43" i="118"/>
  <c r="TCK43" i="118"/>
  <c r="TCC43" i="118"/>
  <c r="TBU43" i="118"/>
  <c r="TBM43" i="118"/>
  <c r="TBE43" i="118"/>
  <c r="TAW43" i="118"/>
  <c r="TAO43" i="118"/>
  <c r="TAG43" i="118"/>
  <c r="SZY43" i="118"/>
  <c r="SZQ43" i="118"/>
  <c r="SZI43" i="118"/>
  <c r="SZA43" i="118"/>
  <c r="SYS43" i="118"/>
  <c r="SYK43" i="118"/>
  <c r="SYC43" i="118"/>
  <c r="SXU43" i="118"/>
  <c r="SXM43" i="118"/>
  <c r="SXE43" i="118"/>
  <c r="SWW43" i="118"/>
  <c r="SWO43" i="118"/>
  <c r="SWG43" i="118"/>
  <c r="SVY43" i="118"/>
  <c r="SVQ43" i="118"/>
  <c r="SVI43" i="118"/>
  <c r="SVA43" i="118"/>
  <c r="SUS43" i="118"/>
  <c r="SUK43" i="118"/>
  <c r="SUC43" i="118"/>
  <c r="STU43" i="118"/>
  <c r="STM43" i="118"/>
  <c r="STE43" i="118"/>
  <c r="SSW43" i="118"/>
  <c r="SSO43" i="118"/>
  <c r="SSG43" i="118"/>
  <c r="SRY43" i="118"/>
  <c r="SRQ43" i="118"/>
  <c r="SRI43" i="118"/>
  <c r="SRA43" i="118"/>
  <c r="SQS43" i="118"/>
  <c r="SQK43" i="118"/>
  <c r="SQC43" i="118"/>
  <c r="SPU43" i="118"/>
  <c r="SPM43" i="118"/>
  <c r="SPE43" i="118"/>
  <c r="SOW43" i="118"/>
  <c r="SOO43" i="118"/>
  <c r="SOG43" i="118"/>
  <c r="SNY43" i="118"/>
  <c r="SNQ43" i="118"/>
  <c r="SNI43" i="118"/>
  <c r="SNA43" i="118"/>
  <c r="SMS43" i="118"/>
  <c r="SMK43" i="118"/>
  <c r="SMC43" i="118"/>
  <c r="SLU43" i="118"/>
  <c r="SLM43" i="118"/>
  <c r="SLE43" i="118"/>
  <c r="SKW43" i="118"/>
  <c r="SKO43" i="118"/>
  <c r="SKG43" i="118"/>
  <c r="SJY43" i="118"/>
  <c r="SJQ43" i="118"/>
  <c r="SJI43" i="118"/>
  <c r="VYR43" i="118"/>
  <c r="VTT43" i="118"/>
  <c r="VOV43" i="118"/>
  <c r="VJX43" i="118"/>
  <c r="VEZ43" i="118"/>
  <c r="VAB43" i="118"/>
  <c r="UVD43" i="118"/>
  <c r="USM43" i="118"/>
  <c r="UQA43" i="118"/>
  <c r="UNO43" i="118"/>
  <c r="ULC43" i="118"/>
  <c r="UJK43" i="118"/>
  <c r="UIE43" i="118"/>
  <c r="UGY43" i="118"/>
  <c r="UFS43" i="118"/>
  <c r="UEM43" i="118"/>
  <c r="UDG43" i="118"/>
  <c r="UCA43" i="118"/>
  <c r="UAU43" i="118"/>
  <c r="TZO43" i="118"/>
  <c r="TYI43" i="118"/>
  <c r="TXC43" i="118"/>
  <c r="TWG43" i="118"/>
  <c r="TVK43" i="118"/>
  <c r="TUQ43" i="118"/>
  <c r="TTU43" i="118"/>
  <c r="TTC43" i="118"/>
  <c r="TSM43" i="118"/>
  <c r="TRW43" i="118"/>
  <c r="TRG43" i="118"/>
  <c r="TQQ43" i="118"/>
  <c r="TQA43" i="118"/>
  <c r="TPK43" i="118"/>
  <c r="TOU43" i="118"/>
  <c r="TOE43" i="118"/>
  <c r="TNO43" i="118"/>
  <c r="TMY43" i="118"/>
  <c r="TMI43" i="118"/>
  <c r="TLS43" i="118"/>
  <c r="TLC43" i="118"/>
  <c r="TKM43" i="118"/>
  <c r="TJW43" i="118"/>
  <c r="TJG43" i="118"/>
  <c r="TIQ43" i="118"/>
  <c r="TIA43" i="118"/>
  <c r="THK43" i="118"/>
  <c r="TGU43" i="118"/>
  <c r="TGE43" i="118"/>
  <c r="TFO43" i="118"/>
  <c r="TEY43" i="118"/>
  <c r="TEI43" i="118"/>
  <c r="TDS43" i="118"/>
  <c r="TDC43" i="118"/>
  <c r="TCM43" i="118"/>
  <c r="TBW43" i="118"/>
  <c r="TBG43" i="118"/>
  <c r="TAQ43" i="118"/>
  <c r="TAA43" i="118"/>
  <c r="SZK43" i="118"/>
  <c r="SYU43" i="118"/>
  <c r="SYE43" i="118"/>
  <c r="SXO43" i="118"/>
  <c r="SWY43" i="118"/>
  <c r="SWI43" i="118"/>
  <c r="SVS43" i="118"/>
  <c r="SVC43" i="118"/>
  <c r="SUM43" i="118"/>
  <c r="STW43" i="118"/>
  <c r="STG43" i="118"/>
  <c r="SSQ43" i="118"/>
  <c r="SSA43" i="118"/>
  <c r="SRK43" i="118"/>
  <c r="SQU43" i="118"/>
  <c r="SQE43" i="118"/>
  <c r="SPO43" i="118"/>
  <c r="SOY43" i="118"/>
  <c r="SOI43" i="118"/>
  <c r="SNS43" i="118"/>
  <c r="SNC43" i="118"/>
  <c r="SMM43" i="118"/>
  <c r="SLW43" i="118"/>
  <c r="SLG43" i="118"/>
  <c r="SKQ43" i="118"/>
  <c r="SKA43" i="118"/>
  <c r="SJK43" i="118"/>
  <c r="SIY43" i="118"/>
  <c r="SIQ43" i="118"/>
  <c r="SII43" i="118"/>
  <c r="SIA43" i="118"/>
  <c r="SHS43" i="118"/>
  <c r="SHK43" i="118"/>
  <c r="SHC43" i="118"/>
  <c r="SGU43" i="118"/>
  <c r="SGM43" i="118"/>
  <c r="SGE43" i="118"/>
  <c r="SFW43" i="118"/>
  <c r="SFO43" i="118"/>
  <c r="SFG43" i="118"/>
  <c r="SEY43" i="118"/>
  <c r="SEQ43" i="118"/>
  <c r="SEI43" i="118"/>
  <c r="SEA43" i="118"/>
  <c r="SDS43" i="118"/>
  <c r="SDK43" i="118"/>
  <c r="SDC43" i="118"/>
  <c r="SCU43" i="118"/>
  <c r="SCM43" i="118"/>
  <c r="SCE43" i="118"/>
  <c r="SBW43" i="118"/>
  <c r="SBO43" i="118"/>
  <c r="SBG43" i="118"/>
  <c r="SAY43" i="118"/>
  <c r="SAQ43" i="118"/>
  <c r="SAI43" i="118"/>
  <c r="SAA43" i="118"/>
  <c r="RZS43" i="118"/>
  <c r="RZK43" i="118"/>
  <c r="RZC43" i="118"/>
  <c r="RYU43" i="118"/>
  <c r="RYM43" i="118"/>
  <c r="RYE43" i="118"/>
  <c r="RXW43" i="118"/>
  <c r="RXO43" i="118"/>
  <c r="RXG43" i="118"/>
  <c r="RWY43" i="118"/>
  <c r="RWQ43" i="118"/>
  <c r="RWI43" i="118"/>
  <c r="RWA43" i="118"/>
  <c r="RVS43" i="118"/>
  <c r="RVK43" i="118"/>
  <c r="RVC43" i="118"/>
  <c r="RUU43" i="118"/>
  <c r="RUM43" i="118"/>
  <c r="RUE43" i="118"/>
  <c r="RTW43" i="118"/>
  <c r="RTO43" i="118"/>
  <c r="RTG43" i="118"/>
  <c r="RSY43" i="118"/>
  <c r="RSQ43" i="118"/>
  <c r="RSI43" i="118"/>
  <c r="RSA43" i="118"/>
  <c r="RRS43" i="118"/>
  <c r="RRK43" i="118"/>
  <c r="RRC43" i="118"/>
  <c r="RQU43" i="118"/>
  <c r="RQM43" i="118"/>
  <c r="RQE43" i="118"/>
  <c r="RPW43" i="118"/>
  <c r="RPO43" i="118"/>
  <c r="RPG43" i="118"/>
  <c r="ROY43" i="118"/>
  <c r="ROQ43" i="118"/>
  <c r="ROI43" i="118"/>
  <c r="ROA43" i="118"/>
  <c r="RNS43" i="118"/>
  <c r="RNK43" i="118"/>
  <c r="RNC43" i="118"/>
  <c r="RMU43" i="118"/>
  <c r="RMM43" i="118"/>
  <c r="RME43" i="118"/>
  <c r="RLW43" i="118"/>
  <c r="RLO43" i="118"/>
  <c r="RLG43" i="118"/>
  <c r="RKY43" i="118"/>
  <c r="RKQ43" i="118"/>
  <c r="RKI43" i="118"/>
  <c r="RKA43" i="118"/>
  <c r="RJS43" i="118"/>
  <c r="RJK43" i="118"/>
  <c r="RJC43" i="118"/>
  <c r="RIU43" i="118"/>
  <c r="RIM43" i="118"/>
  <c r="RIE43" i="118"/>
  <c r="RHW43" i="118"/>
  <c r="RHO43" i="118"/>
  <c r="RHG43" i="118"/>
  <c r="RGY43" i="118"/>
  <c r="RGQ43" i="118"/>
  <c r="RGI43" i="118"/>
  <c r="RGA43" i="118"/>
  <c r="RFS43" i="118"/>
  <c r="RFK43" i="118"/>
  <c r="RFC43" i="118"/>
  <c r="VWF43" i="118"/>
  <c r="VRH43" i="118"/>
  <c r="VMJ43" i="118"/>
  <c r="VHL43" i="118"/>
  <c r="VCN43" i="118"/>
  <c r="UXP43" i="118"/>
  <c r="UTS43" i="118"/>
  <c r="URG43" i="118"/>
  <c r="UOU43" i="118"/>
  <c r="UMI43" i="118"/>
  <c r="UKA43" i="118"/>
  <c r="UIU43" i="118"/>
  <c r="UHO43" i="118"/>
  <c r="UGI43" i="118"/>
  <c r="UFC43" i="118"/>
  <c r="UDW43" i="118"/>
  <c r="UCQ43" i="118"/>
  <c r="UBK43" i="118"/>
  <c r="UAE43" i="118"/>
  <c r="TYY43" i="118"/>
  <c r="TXS43" i="118"/>
  <c r="TWQ43" i="118"/>
  <c r="TVW43" i="118"/>
  <c r="TVA43" i="118"/>
  <c r="TUE43" i="118"/>
  <c r="TTK43" i="118"/>
  <c r="TSU43" i="118"/>
  <c r="TSE43" i="118"/>
  <c r="TRO43" i="118"/>
  <c r="TQY43" i="118"/>
  <c r="TQI43" i="118"/>
  <c r="TPS43" i="118"/>
  <c r="TPC43" i="118"/>
  <c r="TOM43" i="118"/>
  <c r="TNW43" i="118"/>
  <c r="TNG43" i="118"/>
  <c r="TMQ43" i="118"/>
  <c r="TMA43" i="118"/>
  <c r="TLK43" i="118"/>
  <c r="TKU43" i="118"/>
  <c r="TKE43" i="118"/>
  <c r="TJO43" i="118"/>
  <c r="TIY43" i="118"/>
  <c r="TII43" i="118"/>
  <c r="THS43" i="118"/>
  <c r="THC43" i="118"/>
  <c r="TGM43" i="118"/>
  <c r="TFW43" i="118"/>
  <c r="TFG43" i="118"/>
  <c r="TEQ43" i="118"/>
  <c r="TEA43" i="118"/>
  <c r="TDK43" i="118"/>
  <c r="TCU43" i="118"/>
  <c r="TCE43" i="118"/>
  <c r="TBO43" i="118"/>
  <c r="TAY43" i="118"/>
  <c r="TAI43" i="118"/>
  <c r="SZS43" i="118"/>
  <c r="SZC43" i="118"/>
  <c r="SYM43" i="118"/>
  <c r="SXW43" i="118"/>
  <c r="SXG43" i="118"/>
  <c r="SWQ43" i="118"/>
  <c r="SWA43" i="118"/>
  <c r="SVK43" i="118"/>
  <c r="SUU43" i="118"/>
  <c r="SUE43" i="118"/>
  <c r="STO43" i="118"/>
  <c r="SSY43" i="118"/>
  <c r="SSI43" i="118"/>
  <c r="SRS43" i="118"/>
  <c r="SRC43" i="118"/>
  <c r="SQM43" i="118"/>
  <c r="SPW43" i="118"/>
  <c r="SPG43" i="118"/>
  <c r="SOQ43" i="118"/>
  <c r="SOA43" i="118"/>
  <c r="SNK43" i="118"/>
  <c r="SMU43" i="118"/>
  <c r="SME43" i="118"/>
  <c r="SLO43" i="118"/>
  <c r="SKY43" i="118"/>
  <c r="SKI43" i="118"/>
  <c r="SJS43" i="118"/>
  <c r="SJC43" i="118"/>
  <c r="SIU43" i="118"/>
  <c r="SIM43" i="118"/>
  <c r="SIE43" i="118"/>
  <c r="SHW43" i="118"/>
  <c r="SHO43" i="118"/>
  <c r="SHG43" i="118"/>
  <c r="SGY43" i="118"/>
  <c r="SGQ43" i="118"/>
  <c r="SGI43" i="118"/>
  <c r="SGA43" i="118"/>
  <c r="SFS43" i="118"/>
  <c r="SFK43" i="118"/>
  <c r="SFC43" i="118"/>
  <c r="SEU43" i="118"/>
  <c r="SEM43" i="118"/>
  <c r="SEE43" i="118"/>
  <c r="SDW43" i="118"/>
  <c r="SDO43" i="118"/>
  <c r="SDG43" i="118"/>
  <c r="SCY43" i="118"/>
  <c r="SCQ43" i="118"/>
  <c r="SCI43" i="118"/>
  <c r="SCA43" i="118"/>
  <c r="SBS43" i="118"/>
  <c r="SBK43" i="118"/>
  <c r="SBC43" i="118"/>
  <c r="SAU43" i="118"/>
  <c r="SAM43" i="118"/>
  <c r="SAE43" i="118"/>
  <c r="RZW43" i="118"/>
  <c r="RZO43" i="118"/>
  <c r="RZG43" i="118"/>
  <c r="RYY43" i="118"/>
  <c r="RYQ43" i="118"/>
  <c r="RYI43" i="118"/>
  <c r="RYA43" i="118"/>
  <c r="RXS43" i="118"/>
  <c r="RXK43" i="118"/>
  <c r="RXC43" i="118"/>
  <c r="RWU43" i="118"/>
  <c r="RWM43" i="118"/>
  <c r="RWE43" i="118"/>
  <c r="RVW43" i="118"/>
  <c r="RVO43" i="118"/>
  <c r="RVG43" i="118"/>
  <c r="RUY43" i="118"/>
  <c r="RUQ43" i="118"/>
  <c r="RUI43" i="118"/>
  <c r="RUA43" i="118"/>
  <c r="RTS43" i="118"/>
  <c r="RTK43" i="118"/>
  <c r="RTC43" i="118"/>
  <c r="RSU43" i="118"/>
  <c r="RSM43" i="118"/>
  <c r="RSE43" i="118"/>
  <c r="RRW43" i="118"/>
  <c r="RRO43" i="118"/>
  <c r="RRG43" i="118"/>
  <c r="RQY43" i="118"/>
  <c r="RQQ43" i="118"/>
  <c r="RQI43" i="118"/>
  <c r="RQA43" i="118"/>
  <c r="RPS43" i="118"/>
  <c r="RPK43" i="118"/>
  <c r="RPC43" i="118"/>
  <c r="ROU43" i="118"/>
  <c r="ROM43" i="118"/>
  <c r="ROE43" i="118"/>
  <c r="RNW43" i="118"/>
  <c r="RNO43" i="118"/>
  <c r="RNG43" i="118"/>
  <c r="RMY43" i="118"/>
  <c r="RMQ43" i="118"/>
  <c r="RMI43" i="118"/>
  <c r="RMA43" i="118"/>
  <c r="RLS43" i="118"/>
  <c r="RLK43" i="118"/>
  <c r="RLC43" i="118"/>
  <c r="RKU43" i="118"/>
  <c r="RKM43" i="118"/>
  <c r="RKE43" i="118"/>
  <c r="RJW43" i="118"/>
  <c r="RJO43" i="118"/>
  <c r="RJG43" i="118"/>
  <c r="RIY43" i="118"/>
  <c r="VXL43" i="118"/>
  <c r="VNP43" i="118"/>
  <c r="VDT43" i="118"/>
  <c r="UUI43" i="118"/>
  <c r="UPK43" i="118"/>
  <c r="UKM43" i="118"/>
  <c r="UHW43" i="118"/>
  <c r="UFK43" i="118"/>
  <c r="UCY43" i="118"/>
  <c r="UAM43" i="118"/>
  <c r="TYA43" i="118"/>
  <c r="TWA43" i="118"/>
  <c r="TUK43" i="118"/>
  <c r="TSY43" i="118"/>
  <c r="TRS43" i="118"/>
  <c r="TQM43" i="118"/>
  <c r="TPG43" i="118"/>
  <c r="TOA43" i="118"/>
  <c r="TMU43" i="118"/>
  <c r="TLO43" i="118"/>
  <c r="TKI43" i="118"/>
  <c r="TJC43" i="118"/>
  <c r="THW43" i="118"/>
  <c r="TGQ43" i="118"/>
  <c r="TFK43" i="118"/>
  <c r="TEE43" i="118"/>
  <c r="TCY43" i="118"/>
  <c r="TBS43" i="118"/>
  <c r="TAM43" i="118"/>
  <c r="SZG43" i="118"/>
  <c r="SYA43" i="118"/>
  <c r="SWU43" i="118"/>
  <c r="SVO43" i="118"/>
  <c r="SUI43" i="118"/>
  <c r="STC43" i="118"/>
  <c r="SRW43" i="118"/>
  <c r="SQQ43" i="118"/>
  <c r="SPK43" i="118"/>
  <c r="SOE43" i="118"/>
  <c r="SMY43" i="118"/>
  <c r="SLS43" i="118"/>
  <c r="SKM43" i="118"/>
  <c r="SJG43" i="118"/>
  <c r="SIO43" i="118"/>
  <c r="SHY43" i="118"/>
  <c r="SHI43" i="118"/>
  <c r="SGS43" i="118"/>
  <c r="SGC43" i="118"/>
  <c r="SFM43" i="118"/>
  <c r="SEW43" i="118"/>
  <c r="SEG43" i="118"/>
  <c r="SDQ43" i="118"/>
  <c r="SDA43" i="118"/>
  <c r="SCK43" i="118"/>
  <c r="SBU43" i="118"/>
  <c r="SBE43" i="118"/>
  <c r="SAO43" i="118"/>
  <c r="RZY43" i="118"/>
  <c r="RZI43" i="118"/>
  <c r="RYS43" i="118"/>
  <c r="RYC43" i="118"/>
  <c r="RXM43" i="118"/>
  <c r="RWW43" i="118"/>
  <c r="RWG43" i="118"/>
  <c r="RVQ43" i="118"/>
  <c r="RVA43" i="118"/>
  <c r="RUK43" i="118"/>
  <c r="RTU43" i="118"/>
  <c r="RTE43" i="118"/>
  <c r="RSO43" i="118"/>
  <c r="RRY43" i="118"/>
  <c r="RRI43" i="118"/>
  <c r="RQS43" i="118"/>
  <c r="RQC43" i="118"/>
  <c r="RPM43" i="118"/>
  <c r="ROW43" i="118"/>
  <c r="ROG43" i="118"/>
  <c r="RNQ43" i="118"/>
  <c r="RNA43" i="118"/>
  <c r="RMK43" i="118"/>
  <c r="RLU43" i="118"/>
  <c r="RLE43" i="118"/>
  <c r="RKO43" i="118"/>
  <c r="RJY43" i="118"/>
  <c r="RJI43" i="118"/>
  <c r="RIS43" i="118"/>
  <c r="RII43" i="118"/>
  <c r="RHY43" i="118"/>
  <c r="RHM43" i="118"/>
  <c r="RHC43" i="118"/>
  <c r="RGS43" i="118"/>
  <c r="RGG43" i="118"/>
  <c r="RFW43" i="118"/>
  <c r="RFM43" i="118"/>
  <c r="RFA43" i="118"/>
  <c r="RES43" i="118"/>
  <c r="REK43" i="118"/>
  <c r="REC43" i="118"/>
  <c r="RDU43" i="118"/>
  <c r="RDM43" i="118"/>
  <c r="RDE43" i="118"/>
  <c r="RCW43" i="118"/>
  <c r="RCO43" i="118"/>
  <c r="RCG43" i="118"/>
  <c r="RBY43" i="118"/>
  <c r="RBQ43" i="118"/>
  <c r="RBI43" i="118"/>
  <c r="RBA43" i="118"/>
  <c r="RAS43" i="118"/>
  <c r="RAK43" i="118"/>
  <c r="RAC43" i="118"/>
  <c r="QZU43" i="118"/>
  <c r="QZM43" i="118"/>
  <c r="QZE43" i="118"/>
  <c r="QYW43" i="118"/>
  <c r="QYO43" i="118"/>
  <c r="QYG43" i="118"/>
  <c r="QXY43" i="118"/>
  <c r="QXQ43" i="118"/>
  <c r="QXI43" i="118"/>
  <c r="QXA43" i="118"/>
  <c r="QWS43" i="118"/>
  <c r="QWK43" i="118"/>
  <c r="QWC43" i="118"/>
  <c r="QVU43" i="118"/>
  <c r="QVM43" i="118"/>
  <c r="QVE43" i="118"/>
  <c r="QUW43" i="118"/>
  <c r="QUO43" i="118"/>
  <c r="QUG43" i="118"/>
  <c r="QTY43" i="118"/>
  <c r="QTQ43" i="118"/>
  <c r="QTI43" i="118"/>
  <c r="QTA43" i="118"/>
  <c r="QSS43" i="118"/>
  <c r="QSK43" i="118"/>
  <c r="QSC43" i="118"/>
  <c r="QRU43" i="118"/>
  <c r="QRM43" i="118"/>
  <c r="QRE43" i="118"/>
  <c r="QQW43" i="118"/>
  <c r="QQO43" i="118"/>
  <c r="QQG43" i="118"/>
  <c r="QPY43" i="118"/>
  <c r="QPQ43" i="118"/>
  <c r="QPI43" i="118"/>
  <c r="QPA43" i="118"/>
  <c r="QOS43" i="118"/>
  <c r="QOK43" i="118"/>
  <c r="QOC43" i="118"/>
  <c r="QNU43" i="118"/>
  <c r="QNM43" i="118"/>
  <c r="QNE43" i="118"/>
  <c r="QMW43" i="118"/>
  <c r="QMO43" i="118"/>
  <c r="QMG43" i="118"/>
  <c r="QLY43" i="118"/>
  <c r="QLQ43" i="118"/>
  <c r="QLI43" i="118"/>
  <c r="QLA43" i="118"/>
  <c r="QKS43" i="118"/>
  <c r="QKK43" i="118"/>
  <c r="QKC43" i="118"/>
  <c r="QJU43" i="118"/>
  <c r="QJM43" i="118"/>
  <c r="QJE43" i="118"/>
  <c r="QIW43" i="118"/>
  <c r="QIO43" i="118"/>
  <c r="QIG43" i="118"/>
  <c r="QHY43" i="118"/>
  <c r="QHQ43" i="118"/>
  <c r="QHI43" i="118"/>
  <c r="QHA43" i="118"/>
  <c r="QGS43" i="118"/>
  <c r="QGK43" i="118"/>
  <c r="QGC43" i="118"/>
  <c r="QFU43" i="118"/>
  <c r="QFM43" i="118"/>
  <c r="QFE43" i="118"/>
  <c r="QEW43" i="118"/>
  <c r="QEO43" i="118"/>
  <c r="QEG43" i="118"/>
  <c r="QDY43" i="118"/>
  <c r="QDQ43" i="118"/>
  <c r="QDI43" i="118"/>
  <c r="QDA43" i="118"/>
  <c r="QCS43" i="118"/>
  <c r="QCK43" i="118"/>
  <c r="QCC43" i="118"/>
  <c r="QBU43" i="118"/>
  <c r="QBM43" i="118"/>
  <c r="QBE43" i="118"/>
  <c r="QAW43" i="118"/>
  <c r="QAO43" i="118"/>
  <c r="QAG43" i="118"/>
  <c r="PZY43" i="118"/>
  <c r="PZQ43" i="118"/>
  <c r="PZI43" i="118"/>
  <c r="PZA43" i="118"/>
  <c r="PYS43" i="118"/>
  <c r="PYK43" i="118"/>
  <c r="PYC43" i="118"/>
  <c r="PXU43" i="118"/>
  <c r="PXM43" i="118"/>
  <c r="PXE43" i="118"/>
  <c r="PWW43" i="118"/>
  <c r="PWO43" i="118"/>
  <c r="PWG43" i="118"/>
  <c r="PVY43" i="118"/>
  <c r="PVQ43" i="118"/>
  <c r="PVI43" i="118"/>
  <c r="PVA43" i="118"/>
  <c r="PUS43" i="118"/>
  <c r="PUK43" i="118"/>
  <c r="PUC43" i="118"/>
  <c r="PTU43" i="118"/>
  <c r="PTM43" i="118"/>
  <c r="PTE43" i="118"/>
  <c r="PSW43" i="118"/>
  <c r="PSO43" i="118"/>
  <c r="PSG43" i="118"/>
  <c r="PRY43" i="118"/>
  <c r="PRQ43" i="118"/>
  <c r="PRI43" i="118"/>
  <c r="PRA43" i="118"/>
  <c r="PQS43" i="118"/>
  <c r="PQK43" i="118"/>
  <c r="PQC43" i="118"/>
  <c r="PPU43" i="118"/>
  <c r="PPM43" i="118"/>
  <c r="PPE43" i="118"/>
  <c r="POW43" i="118"/>
  <c r="POO43" i="118"/>
  <c r="POG43" i="118"/>
  <c r="PNY43" i="118"/>
  <c r="PNQ43" i="118"/>
  <c r="PNI43" i="118"/>
  <c r="PNA43" i="118"/>
  <c r="PMS43" i="118"/>
  <c r="PMK43" i="118"/>
  <c r="PMC43" i="118"/>
  <c r="PLU43" i="118"/>
  <c r="PLM43" i="118"/>
  <c r="PLE43" i="118"/>
  <c r="PKW43" i="118"/>
  <c r="PKO43" i="118"/>
  <c r="PKG43" i="118"/>
  <c r="PJY43" i="118"/>
  <c r="PJQ43" i="118"/>
  <c r="PJI43" i="118"/>
  <c r="PJA43" i="118"/>
  <c r="PIS43" i="118"/>
  <c r="PIK43" i="118"/>
  <c r="PIC43" i="118"/>
  <c r="PHU43" i="118"/>
  <c r="PHM43" i="118"/>
  <c r="PHE43" i="118"/>
  <c r="PGW43" i="118"/>
  <c r="PGO43" i="118"/>
  <c r="PGG43" i="118"/>
  <c r="PFY43" i="118"/>
  <c r="PFQ43" i="118"/>
  <c r="PFI43" i="118"/>
  <c r="PFA43" i="118"/>
  <c r="PES43" i="118"/>
  <c r="PEK43" i="118"/>
  <c r="PEC43" i="118"/>
  <c r="PDU43" i="118"/>
  <c r="PDM43" i="118"/>
  <c r="PDE43" i="118"/>
  <c r="PCW43" i="118"/>
  <c r="PCO43" i="118"/>
  <c r="PCG43" i="118"/>
  <c r="PBY43" i="118"/>
  <c r="PBQ43" i="118"/>
  <c r="PBI43" i="118"/>
  <c r="PBA43" i="118"/>
  <c r="PAS43" i="118"/>
  <c r="PAK43" i="118"/>
  <c r="PAC43" i="118"/>
  <c r="OZU43" i="118"/>
  <c r="OZM43" i="118"/>
  <c r="OZE43" i="118"/>
  <c r="OYW43" i="118"/>
  <c r="OYO43" i="118"/>
  <c r="OYG43" i="118"/>
  <c r="OXY43" i="118"/>
  <c r="OXQ43" i="118"/>
  <c r="OXI43" i="118"/>
  <c r="OXA43" i="118"/>
  <c r="OWS43" i="118"/>
  <c r="OWK43" i="118"/>
  <c r="OWC43" i="118"/>
  <c r="OVU43" i="118"/>
  <c r="OVM43" i="118"/>
  <c r="OVE43" i="118"/>
  <c r="OUW43" i="118"/>
  <c r="OUO43" i="118"/>
  <c r="OUG43" i="118"/>
  <c r="OTY43" i="118"/>
  <c r="OTQ43" i="118"/>
  <c r="OTI43" i="118"/>
  <c r="OTA43" i="118"/>
  <c r="OSS43" i="118"/>
  <c r="OSK43" i="118"/>
  <c r="OSC43" i="118"/>
  <c r="ORU43" i="118"/>
  <c r="ORM43" i="118"/>
  <c r="ORE43" i="118"/>
  <c r="OQW43" i="118"/>
  <c r="OQO43" i="118"/>
  <c r="OQG43" i="118"/>
  <c r="OPY43" i="118"/>
  <c r="OPQ43" i="118"/>
  <c r="OPI43" i="118"/>
  <c r="OPA43" i="118"/>
  <c r="OOS43" i="118"/>
  <c r="OOK43" i="118"/>
  <c r="OOC43" i="118"/>
  <c r="ONU43" i="118"/>
  <c r="ONM43" i="118"/>
  <c r="ONE43" i="118"/>
  <c r="OMW43" i="118"/>
  <c r="OMO43" i="118"/>
  <c r="OMG43" i="118"/>
  <c r="OLY43" i="118"/>
  <c r="OLQ43" i="118"/>
  <c r="OLI43" i="118"/>
  <c r="OLA43" i="118"/>
  <c r="OKS43" i="118"/>
  <c r="OKK43" i="118"/>
  <c r="OKC43" i="118"/>
  <c r="OJU43" i="118"/>
  <c r="OJM43" i="118"/>
  <c r="OJE43" i="118"/>
  <c r="OIW43" i="118"/>
  <c r="OIO43" i="118"/>
  <c r="OIG43" i="118"/>
  <c r="OHY43" i="118"/>
  <c r="OHQ43" i="118"/>
  <c r="OHI43" i="118"/>
  <c r="VSN43" i="118"/>
  <c r="VIR43" i="118"/>
  <c r="UYV43" i="118"/>
  <c r="URW43" i="118"/>
  <c r="UMY43" i="118"/>
  <c r="UJC43" i="118"/>
  <c r="UGQ43" i="118"/>
  <c r="UEE43" i="118"/>
  <c r="UBS43" i="118"/>
  <c r="TZG43" i="118"/>
  <c r="TWW43" i="118"/>
  <c r="TVG43" i="118"/>
  <c r="TTO43" i="118"/>
  <c r="TSI43" i="118"/>
  <c r="TRC43" i="118"/>
  <c r="TPW43" i="118"/>
  <c r="TOQ43" i="118"/>
  <c r="TNK43" i="118"/>
  <c r="TME43" i="118"/>
  <c r="TKY43" i="118"/>
  <c r="TJS43" i="118"/>
  <c r="TIM43" i="118"/>
  <c r="THG43" i="118"/>
  <c r="TGA43" i="118"/>
  <c r="TEU43" i="118"/>
  <c r="TDO43" i="118"/>
  <c r="TCI43" i="118"/>
  <c r="TBC43" i="118"/>
  <c r="SZW43" i="118"/>
  <c r="SYQ43" i="118"/>
  <c r="SXK43" i="118"/>
  <c r="SWE43" i="118"/>
  <c r="SUY43" i="118"/>
  <c r="STS43" i="118"/>
  <c r="SSM43" i="118"/>
  <c r="SRG43" i="118"/>
  <c r="SQA43" i="118"/>
  <c r="SOU43" i="118"/>
  <c r="SNO43" i="118"/>
  <c r="SMI43" i="118"/>
  <c r="SLC43" i="118"/>
  <c r="SJW43" i="118"/>
  <c r="SIW43" i="118"/>
  <c r="SIG43" i="118"/>
  <c r="SHQ43" i="118"/>
  <c r="SHA43" i="118"/>
  <c r="SGK43" i="118"/>
  <c r="SFU43" i="118"/>
  <c r="SFE43" i="118"/>
  <c r="SEO43" i="118"/>
  <c r="SDY43" i="118"/>
  <c r="SDI43" i="118"/>
  <c r="SCS43" i="118"/>
  <c r="SCC43" i="118"/>
  <c r="SBM43" i="118"/>
  <c r="SAW43" i="118"/>
  <c r="SAG43" i="118"/>
  <c r="RZQ43" i="118"/>
  <c r="RZA43" i="118"/>
  <c r="RYK43" i="118"/>
  <c r="RXU43" i="118"/>
  <c r="RXE43" i="118"/>
  <c r="RWO43" i="118"/>
  <c r="RVY43" i="118"/>
  <c r="RVI43" i="118"/>
  <c r="RUS43" i="118"/>
  <c r="RUC43" i="118"/>
  <c r="RTM43" i="118"/>
  <c r="RSW43" i="118"/>
  <c r="RSG43" i="118"/>
  <c r="RRQ43" i="118"/>
  <c r="RRA43" i="118"/>
  <c r="RQK43" i="118"/>
  <c r="RPU43" i="118"/>
  <c r="RPE43" i="118"/>
  <c r="ROO43" i="118"/>
  <c r="RNY43" i="118"/>
  <c r="RNI43" i="118"/>
  <c r="RMS43" i="118"/>
  <c r="RMC43" i="118"/>
  <c r="RLM43" i="118"/>
  <c r="RKW43" i="118"/>
  <c r="RKG43" i="118"/>
  <c r="RJQ43" i="118"/>
  <c r="RJA43" i="118"/>
  <c r="RIO43" i="118"/>
  <c r="RIC43" i="118"/>
  <c r="RHS43" i="118"/>
  <c r="RHI43" i="118"/>
  <c r="RGW43" i="118"/>
  <c r="RGM43" i="118"/>
  <c r="RGC43" i="118"/>
  <c r="RFQ43" i="118"/>
  <c r="RFG43" i="118"/>
  <c r="REW43" i="118"/>
  <c r="REO43" i="118"/>
  <c r="REG43" i="118"/>
  <c r="RDY43" i="118"/>
  <c r="RDQ43" i="118"/>
  <c r="RDI43" i="118"/>
  <c r="RDA43" i="118"/>
  <c r="RCS43" i="118"/>
  <c r="RCK43" i="118"/>
  <c r="RCC43" i="118"/>
  <c r="RBU43" i="118"/>
  <c r="RBM43" i="118"/>
  <c r="RBE43" i="118"/>
  <c r="RAW43" i="118"/>
  <c r="RAO43" i="118"/>
  <c r="RAG43" i="118"/>
  <c r="QZY43" i="118"/>
  <c r="QZQ43" i="118"/>
  <c r="QZI43" i="118"/>
  <c r="QZA43" i="118"/>
  <c r="QYS43" i="118"/>
  <c r="QYK43" i="118"/>
  <c r="QYC43" i="118"/>
  <c r="QXU43" i="118"/>
  <c r="QXM43" i="118"/>
  <c r="QXE43" i="118"/>
  <c r="QWW43" i="118"/>
  <c r="QWO43" i="118"/>
  <c r="QWG43" i="118"/>
  <c r="QVY43" i="118"/>
  <c r="QVQ43" i="118"/>
  <c r="QVI43" i="118"/>
  <c r="QVA43" i="118"/>
  <c r="QUS43" i="118"/>
  <c r="QUK43" i="118"/>
  <c r="QUC43" i="118"/>
  <c r="QTU43" i="118"/>
  <c r="QTM43" i="118"/>
  <c r="QTE43" i="118"/>
  <c r="QSW43" i="118"/>
  <c r="QSO43" i="118"/>
  <c r="QSG43" i="118"/>
  <c r="QRY43" i="118"/>
  <c r="QRQ43" i="118"/>
  <c r="QRI43" i="118"/>
  <c r="QRA43" i="118"/>
  <c r="QQS43" i="118"/>
  <c r="QQK43" i="118"/>
  <c r="QQC43" i="118"/>
  <c r="QPU43" i="118"/>
  <c r="QPM43" i="118"/>
  <c r="QPE43" i="118"/>
  <c r="QOW43" i="118"/>
  <c r="QOO43" i="118"/>
  <c r="QOG43" i="118"/>
  <c r="QNY43" i="118"/>
  <c r="QNQ43" i="118"/>
  <c r="QNI43" i="118"/>
  <c r="QNA43" i="118"/>
  <c r="QMS43" i="118"/>
  <c r="QMK43" i="118"/>
  <c r="QMC43" i="118"/>
  <c r="QLU43" i="118"/>
  <c r="QLM43" i="118"/>
  <c r="QLE43" i="118"/>
  <c r="QKW43" i="118"/>
  <c r="QKO43" i="118"/>
  <c r="QKG43" i="118"/>
  <c r="QJY43" i="118"/>
  <c r="QJQ43" i="118"/>
  <c r="QJI43" i="118"/>
  <c r="QJA43" i="118"/>
  <c r="QIS43" i="118"/>
  <c r="QIK43" i="118"/>
  <c r="QIC43" i="118"/>
  <c r="QHU43" i="118"/>
  <c r="QHM43" i="118"/>
  <c r="QHE43" i="118"/>
  <c r="QGW43" i="118"/>
  <c r="QGO43" i="118"/>
  <c r="QGG43" i="118"/>
  <c r="QFY43" i="118"/>
  <c r="QFQ43" i="118"/>
  <c r="QFI43" i="118"/>
  <c r="QFA43" i="118"/>
  <c r="QES43" i="118"/>
  <c r="QEK43" i="118"/>
  <c r="QEC43" i="118"/>
  <c r="QDU43" i="118"/>
  <c r="QDM43" i="118"/>
  <c r="QDE43" i="118"/>
  <c r="QCW43" i="118"/>
  <c r="QCO43" i="118"/>
  <c r="QCG43" i="118"/>
  <c r="QBY43" i="118"/>
  <c r="QBQ43" i="118"/>
  <c r="QBI43" i="118"/>
  <c r="QBA43" i="118"/>
  <c r="QAS43" i="118"/>
  <c r="QAK43" i="118"/>
  <c r="QAC43" i="118"/>
  <c r="PZU43" i="118"/>
  <c r="PZM43" i="118"/>
  <c r="PZE43" i="118"/>
  <c r="PYW43" i="118"/>
  <c r="PYO43" i="118"/>
  <c r="PYG43" i="118"/>
  <c r="PXY43" i="118"/>
  <c r="PXQ43" i="118"/>
  <c r="PXI43" i="118"/>
  <c r="PXA43" i="118"/>
  <c r="PWS43" i="118"/>
  <c r="PWK43" i="118"/>
  <c r="PWC43" i="118"/>
  <c r="PVU43" i="118"/>
  <c r="PVM43" i="118"/>
  <c r="PVE43" i="118"/>
  <c r="PUW43" i="118"/>
  <c r="PUO43" i="118"/>
  <c r="PUG43" i="118"/>
  <c r="PTY43" i="118"/>
  <c r="PTQ43" i="118"/>
  <c r="PTI43" i="118"/>
  <c r="PTA43" i="118"/>
  <c r="PSS43" i="118"/>
  <c r="PSK43" i="118"/>
  <c r="PSC43" i="118"/>
  <c r="PRU43" i="118"/>
  <c r="PRM43" i="118"/>
  <c r="PRE43" i="118"/>
  <c r="PQW43" i="118"/>
  <c r="PQO43" i="118"/>
  <c r="PQG43" i="118"/>
  <c r="PPY43" i="118"/>
  <c r="PPQ43" i="118"/>
  <c r="PPI43" i="118"/>
  <c r="PPA43" i="118"/>
  <c r="POS43" i="118"/>
  <c r="POK43" i="118"/>
  <c r="POC43" i="118"/>
  <c r="PNU43" i="118"/>
  <c r="PNM43" i="118"/>
  <c r="PNE43" i="118"/>
  <c r="PMW43" i="118"/>
  <c r="PMO43" i="118"/>
  <c r="PMG43" i="118"/>
  <c r="PLY43" i="118"/>
  <c r="PLQ43" i="118"/>
  <c r="PLI43" i="118"/>
  <c r="PLA43" i="118"/>
  <c r="PKS43" i="118"/>
  <c r="PKK43" i="118"/>
  <c r="PKC43" i="118"/>
  <c r="PJU43" i="118"/>
  <c r="PJM43" i="118"/>
  <c r="PJE43" i="118"/>
  <c r="PIW43" i="118"/>
  <c r="PIO43" i="118"/>
  <c r="PIG43" i="118"/>
  <c r="PHY43" i="118"/>
  <c r="PHQ43" i="118"/>
  <c r="PHI43" i="118"/>
  <c r="PHA43" i="118"/>
  <c r="PGS43" i="118"/>
  <c r="PGK43" i="118"/>
  <c r="PGC43" i="118"/>
  <c r="PFU43" i="118"/>
  <c r="PFM43" i="118"/>
  <c r="PFE43" i="118"/>
  <c r="PEW43" i="118"/>
  <c r="PEO43" i="118"/>
  <c r="PEG43" i="118"/>
  <c r="PDY43" i="118"/>
  <c r="PDQ43" i="118"/>
  <c r="PDI43" i="118"/>
  <c r="PDA43" i="118"/>
  <c r="PCS43" i="118"/>
  <c r="PCK43" i="118"/>
  <c r="PCC43" i="118"/>
  <c r="PBU43" i="118"/>
  <c r="PBM43" i="118"/>
  <c r="PBE43" i="118"/>
  <c r="PAW43" i="118"/>
  <c r="PAO43" i="118"/>
  <c r="PAG43" i="118"/>
  <c r="OZY43" i="118"/>
  <c r="OZQ43" i="118"/>
  <c r="OZI43" i="118"/>
  <c r="OZA43" i="118"/>
  <c r="OYS43" i="118"/>
  <c r="OYK43" i="118"/>
  <c r="OYC43" i="118"/>
  <c r="OXU43" i="118"/>
  <c r="OXM43" i="118"/>
  <c r="OXE43" i="118"/>
  <c r="OWW43" i="118"/>
  <c r="OWO43" i="118"/>
  <c r="OWG43" i="118"/>
  <c r="OVY43" i="118"/>
  <c r="OVQ43" i="118"/>
  <c r="OVI43" i="118"/>
  <c r="OVA43" i="118"/>
  <c r="OUS43" i="118"/>
  <c r="OUK43" i="118"/>
  <c r="OUC43" i="118"/>
  <c r="OTU43" i="118"/>
  <c r="OTM43" i="118"/>
  <c r="OTE43" i="118"/>
  <c r="OSW43" i="118"/>
  <c r="OSO43" i="118"/>
  <c r="OSG43" i="118"/>
  <c r="ORY43" i="118"/>
  <c r="ORQ43" i="118"/>
  <c r="ORI43" i="118"/>
  <c r="ORA43" i="118"/>
  <c r="OQS43" i="118"/>
  <c r="OQK43" i="118"/>
  <c r="OQC43" i="118"/>
  <c r="OPU43" i="118"/>
  <c r="OPM43" i="118"/>
  <c r="OPE43" i="118"/>
  <c r="OOW43" i="118"/>
  <c r="OOO43" i="118"/>
  <c r="OOG43" i="118"/>
  <c r="ONY43" i="118"/>
  <c r="ONQ43" i="118"/>
  <c r="ONI43" i="118"/>
  <c r="ONA43" i="118"/>
  <c r="OMS43" i="118"/>
  <c r="OMK43" i="118"/>
  <c r="OMC43" i="118"/>
  <c r="OLU43" i="118"/>
  <c r="OLM43" i="118"/>
  <c r="OLE43" i="118"/>
  <c r="OKW43" i="118"/>
  <c r="OKO43" i="118"/>
  <c r="OKG43" i="118"/>
  <c r="OJY43" i="118"/>
  <c r="OJQ43" i="118"/>
  <c r="OJI43" i="118"/>
  <c r="OJA43" i="118"/>
  <c r="OIS43" i="118"/>
  <c r="OIK43" i="118"/>
  <c r="OIC43" i="118"/>
  <c r="OHU43" i="118"/>
  <c r="OHM43" i="118"/>
  <c r="OHE43" i="118"/>
  <c r="VUZ43" i="118"/>
  <c r="VBH43" i="118"/>
  <c r="UOE43" i="118"/>
  <c r="UHG43" i="118"/>
  <c r="UCI43" i="118"/>
  <c r="TXK43" i="118"/>
  <c r="TUA43" i="118"/>
  <c r="TRK43" i="118"/>
  <c r="TOY43" i="118"/>
  <c r="TMM43" i="118"/>
  <c r="TKA43" i="118"/>
  <c r="THO43" i="118"/>
  <c r="TFC43" i="118"/>
  <c r="TCQ43" i="118"/>
  <c r="TAE43" i="118"/>
  <c r="SXS43" i="118"/>
  <c r="SVG43" i="118"/>
  <c r="SSU43" i="118"/>
  <c r="SQI43" i="118"/>
  <c r="SNW43" i="118"/>
  <c r="SLK43" i="118"/>
  <c r="SJA43" i="118"/>
  <c r="SHU43" i="118"/>
  <c r="SGO43" i="118"/>
  <c r="SFI43" i="118"/>
  <c r="SEC43" i="118"/>
  <c r="SCW43" i="118"/>
  <c r="SBQ43" i="118"/>
  <c r="SAK43" i="118"/>
  <c r="RZE43" i="118"/>
  <c r="RXY43" i="118"/>
  <c r="RWS43" i="118"/>
  <c r="RVM43" i="118"/>
  <c r="RUG43" i="118"/>
  <c r="RTA43" i="118"/>
  <c r="RRU43" i="118"/>
  <c r="RQO43" i="118"/>
  <c r="RPI43" i="118"/>
  <c r="ROC43" i="118"/>
  <c r="RMW43" i="118"/>
  <c r="RLQ43" i="118"/>
  <c r="RKK43" i="118"/>
  <c r="RJE43" i="118"/>
  <c r="RIG43" i="118"/>
  <c r="RHK43" i="118"/>
  <c r="RGO43" i="118"/>
  <c r="RFU43" i="118"/>
  <c r="REY43" i="118"/>
  <c r="REI43" i="118"/>
  <c r="RDS43" i="118"/>
  <c r="RDC43" i="118"/>
  <c r="RCM43" i="118"/>
  <c r="RBW43" i="118"/>
  <c r="RBG43" i="118"/>
  <c r="RAQ43" i="118"/>
  <c r="RAA43" i="118"/>
  <c r="QZK43" i="118"/>
  <c r="QYU43" i="118"/>
  <c r="QYE43" i="118"/>
  <c r="QXO43" i="118"/>
  <c r="QWY43" i="118"/>
  <c r="QWI43" i="118"/>
  <c r="QVS43" i="118"/>
  <c r="QVC43" i="118"/>
  <c r="QUM43" i="118"/>
  <c r="QTW43" i="118"/>
  <c r="QTG43" i="118"/>
  <c r="QSQ43" i="118"/>
  <c r="QSA43" i="118"/>
  <c r="QRK43" i="118"/>
  <c r="QQU43" i="118"/>
  <c r="QQE43" i="118"/>
  <c r="QPO43" i="118"/>
  <c r="QOY43" i="118"/>
  <c r="QOI43" i="118"/>
  <c r="QNS43" i="118"/>
  <c r="QNC43" i="118"/>
  <c r="QMM43" i="118"/>
  <c r="QLW43" i="118"/>
  <c r="QLG43" i="118"/>
  <c r="QKQ43" i="118"/>
  <c r="QKA43" i="118"/>
  <c r="QJK43" i="118"/>
  <c r="QIU43" i="118"/>
  <c r="QIE43" i="118"/>
  <c r="QHO43" i="118"/>
  <c r="QGY43" i="118"/>
  <c r="QGI43" i="118"/>
  <c r="QFS43" i="118"/>
  <c r="QFC43" i="118"/>
  <c r="QEM43" i="118"/>
  <c r="QDW43" i="118"/>
  <c r="QDG43" i="118"/>
  <c r="QCQ43" i="118"/>
  <c r="QCA43" i="118"/>
  <c r="QBK43" i="118"/>
  <c r="QAU43" i="118"/>
  <c r="QAE43" i="118"/>
  <c r="PZO43" i="118"/>
  <c r="PYY43" i="118"/>
  <c r="PYI43" i="118"/>
  <c r="PXS43" i="118"/>
  <c r="PXC43" i="118"/>
  <c r="PWM43" i="118"/>
  <c r="PVW43" i="118"/>
  <c r="PVG43" i="118"/>
  <c r="PUQ43" i="118"/>
  <c r="PUA43" i="118"/>
  <c r="PTK43" i="118"/>
  <c r="PSU43" i="118"/>
  <c r="PSE43" i="118"/>
  <c r="PRO43" i="118"/>
  <c r="PQY43" i="118"/>
  <c r="PQI43" i="118"/>
  <c r="PPS43" i="118"/>
  <c r="PPC43" i="118"/>
  <c r="POM43" i="118"/>
  <c r="PNW43" i="118"/>
  <c r="PNG43" i="118"/>
  <c r="PMQ43" i="118"/>
  <c r="PMA43" i="118"/>
  <c r="PLK43" i="118"/>
  <c r="PKU43" i="118"/>
  <c r="PKE43" i="118"/>
  <c r="PJO43" i="118"/>
  <c r="PIY43" i="118"/>
  <c r="PII43" i="118"/>
  <c r="PHS43" i="118"/>
  <c r="PHC43" i="118"/>
  <c r="PGM43" i="118"/>
  <c r="PFW43" i="118"/>
  <c r="PFG43" i="118"/>
  <c r="PEQ43" i="118"/>
  <c r="PEA43" i="118"/>
  <c r="PDK43" i="118"/>
  <c r="PCU43" i="118"/>
  <c r="PCE43" i="118"/>
  <c r="PBO43" i="118"/>
  <c r="PAY43" i="118"/>
  <c r="PAI43" i="118"/>
  <c r="OZS43" i="118"/>
  <c r="OZC43" i="118"/>
  <c r="OYM43" i="118"/>
  <c r="OXW43" i="118"/>
  <c r="OXG43" i="118"/>
  <c r="OWQ43" i="118"/>
  <c r="OWA43" i="118"/>
  <c r="OVK43" i="118"/>
  <c r="OUU43" i="118"/>
  <c r="OUE43" i="118"/>
  <c r="OTO43" i="118"/>
  <c r="OSY43" i="118"/>
  <c r="OSI43" i="118"/>
  <c r="ORS43" i="118"/>
  <c r="ORC43" i="118"/>
  <c r="OQM43" i="118"/>
  <c r="OPW43" i="118"/>
  <c r="OPG43" i="118"/>
  <c r="OOQ43" i="118"/>
  <c r="OOA43" i="118"/>
  <c r="ONK43" i="118"/>
  <c r="OMU43" i="118"/>
  <c r="OME43" i="118"/>
  <c r="OLO43" i="118"/>
  <c r="OKY43" i="118"/>
  <c r="OKI43" i="118"/>
  <c r="OJS43" i="118"/>
  <c r="OJC43" i="118"/>
  <c r="OIM43" i="118"/>
  <c r="OHW43" i="118"/>
  <c r="OHG43" i="118"/>
  <c r="OGW43" i="118"/>
  <c r="OGO43" i="118"/>
  <c r="OGG43" i="118"/>
  <c r="OFY43" i="118"/>
  <c r="OFQ43" i="118"/>
  <c r="OFI43" i="118"/>
  <c r="OFA43" i="118"/>
  <c r="OES43" i="118"/>
  <c r="OEK43" i="118"/>
  <c r="OEC43" i="118"/>
  <c r="ODU43" i="118"/>
  <c r="ODM43" i="118"/>
  <c r="ODE43" i="118"/>
  <c r="OCW43" i="118"/>
  <c r="OCO43" i="118"/>
  <c r="OCG43" i="118"/>
  <c r="OBY43" i="118"/>
  <c r="OBQ43" i="118"/>
  <c r="OBI43" i="118"/>
  <c r="OBA43" i="118"/>
  <c r="OAS43" i="118"/>
  <c r="OAK43" i="118"/>
  <c r="OAC43" i="118"/>
  <c r="NZU43" i="118"/>
  <c r="NZM43" i="118"/>
  <c r="NZE43" i="118"/>
  <c r="NYW43" i="118"/>
  <c r="NYO43" i="118"/>
  <c r="NYG43" i="118"/>
  <c r="NXY43" i="118"/>
  <c r="NXQ43" i="118"/>
  <c r="NXI43" i="118"/>
  <c r="NXA43" i="118"/>
  <c r="NWS43" i="118"/>
  <c r="NWK43" i="118"/>
  <c r="NWC43" i="118"/>
  <c r="NVU43" i="118"/>
  <c r="NVM43" i="118"/>
  <c r="NVE43" i="118"/>
  <c r="NUW43" i="118"/>
  <c r="NUO43" i="118"/>
  <c r="NUG43" i="118"/>
  <c r="NTY43" i="118"/>
  <c r="NTQ43" i="118"/>
  <c r="NTI43" i="118"/>
  <c r="NTA43" i="118"/>
  <c r="NSS43" i="118"/>
  <c r="NSK43" i="118"/>
  <c r="NSC43" i="118"/>
  <c r="NRU43" i="118"/>
  <c r="NRM43" i="118"/>
  <c r="NRE43" i="118"/>
  <c r="NQW43" i="118"/>
  <c r="NQO43" i="118"/>
  <c r="NQG43" i="118"/>
  <c r="NPY43" i="118"/>
  <c r="NPQ43" i="118"/>
  <c r="NPI43" i="118"/>
  <c r="NPA43" i="118"/>
  <c r="NOS43" i="118"/>
  <c r="NOK43" i="118"/>
  <c r="NOC43" i="118"/>
  <c r="NNU43" i="118"/>
  <c r="NNM43" i="118"/>
  <c r="NNE43" i="118"/>
  <c r="NMW43" i="118"/>
  <c r="NMO43" i="118"/>
  <c r="NMG43" i="118"/>
  <c r="NLY43" i="118"/>
  <c r="NLQ43" i="118"/>
  <c r="NLI43" i="118"/>
  <c r="NLA43" i="118"/>
  <c r="NKS43" i="118"/>
  <c r="NKK43" i="118"/>
  <c r="NKC43" i="118"/>
  <c r="NJU43" i="118"/>
  <c r="NJM43" i="118"/>
  <c r="NJE43" i="118"/>
  <c r="NIW43" i="118"/>
  <c r="NIO43" i="118"/>
  <c r="NIG43" i="118"/>
  <c r="NHY43" i="118"/>
  <c r="NHQ43" i="118"/>
  <c r="NHI43" i="118"/>
  <c r="NHA43" i="118"/>
  <c r="NGS43" i="118"/>
  <c r="NGK43" i="118"/>
  <c r="NGC43" i="118"/>
  <c r="NFU43" i="118"/>
  <c r="NFM43" i="118"/>
  <c r="NFE43" i="118"/>
  <c r="NEW43" i="118"/>
  <c r="NEO43" i="118"/>
  <c r="NEG43" i="118"/>
  <c r="NDY43" i="118"/>
  <c r="NDQ43" i="118"/>
  <c r="NDI43" i="118"/>
  <c r="NDA43" i="118"/>
  <c r="NCS43" i="118"/>
  <c r="NCK43" i="118"/>
  <c r="NCC43" i="118"/>
  <c r="NBU43" i="118"/>
  <c r="NBM43" i="118"/>
  <c r="NBE43" i="118"/>
  <c r="NAW43" i="118"/>
  <c r="NAO43" i="118"/>
  <c r="NAG43" i="118"/>
  <c r="MZY43" i="118"/>
  <c r="MZQ43" i="118"/>
  <c r="MZI43" i="118"/>
  <c r="MZA43" i="118"/>
  <c r="MYS43" i="118"/>
  <c r="MYK43" i="118"/>
  <c r="MYC43" i="118"/>
  <c r="MXU43" i="118"/>
  <c r="MXM43" i="118"/>
  <c r="MXE43" i="118"/>
  <c r="MWW43" i="118"/>
  <c r="MWO43" i="118"/>
  <c r="MWG43" i="118"/>
  <c r="MVY43" i="118"/>
  <c r="MVQ43" i="118"/>
  <c r="MVI43" i="118"/>
  <c r="MVA43" i="118"/>
  <c r="MUS43" i="118"/>
  <c r="MUK43" i="118"/>
  <c r="MUC43" i="118"/>
  <c r="MTU43" i="118"/>
  <c r="MTM43" i="118"/>
  <c r="MTE43" i="118"/>
  <c r="MSW43" i="118"/>
  <c r="MSO43" i="118"/>
  <c r="MSG43" i="118"/>
  <c r="MRY43" i="118"/>
  <c r="MRQ43" i="118"/>
  <c r="MRI43" i="118"/>
  <c r="MRA43" i="118"/>
  <c r="MQS43" i="118"/>
  <c r="MQK43" i="118"/>
  <c r="MQC43" i="118"/>
  <c r="MPU43" i="118"/>
  <c r="MPM43" i="118"/>
  <c r="MPE43" i="118"/>
  <c r="MOW43" i="118"/>
  <c r="MOO43" i="118"/>
  <c r="MOG43" i="118"/>
  <c r="MNY43" i="118"/>
  <c r="MNQ43" i="118"/>
  <c r="MNI43" i="118"/>
  <c r="MNA43" i="118"/>
  <c r="MMS43" i="118"/>
  <c r="MMK43" i="118"/>
  <c r="MMC43" i="118"/>
  <c r="MLU43" i="118"/>
  <c r="MLM43" i="118"/>
  <c r="MLE43" i="118"/>
  <c r="MKW43" i="118"/>
  <c r="MKO43" i="118"/>
  <c r="MKG43" i="118"/>
  <c r="MJY43" i="118"/>
  <c r="MJQ43" i="118"/>
  <c r="MJI43" i="118"/>
  <c r="MJA43" i="118"/>
  <c r="MIS43" i="118"/>
  <c r="MIK43" i="118"/>
  <c r="MIC43" i="118"/>
  <c r="MHU43" i="118"/>
  <c r="MHM43" i="118"/>
  <c r="MHE43" i="118"/>
  <c r="MGW43" i="118"/>
  <c r="MGO43" i="118"/>
  <c r="MGG43" i="118"/>
  <c r="MFY43" i="118"/>
  <c r="MFQ43" i="118"/>
  <c r="MFI43" i="118"/>
  <c r="MFA43" i="118"/>
  <c r="MES43" i="118"/>
  <c r="MEK43" i="118"/>
  <c r="MEC43" i="118"/>
  <c r="MDU43" i="118"/>
  <c r="MDM43" i="118"/>
  <c r="MDE43" i="118"/>
  <c r="VLD43" i="118"/>
  <c r="UTC43" i="118"/>
  <c r="UJS43" i="118"/>
  <c r="UEU43" i="118"/>
  <c r="TZW43" i="118"/>
  <c r="TVQ43" i="118"/>
  <c r="TSQ43" i="118"/>
  <c r="TQE43" i="118"/>
  <c r="TNS43" i="118"/>
  <c r="TLG43" i="118"/>
  <c r="TIU43" i="118"/>
  <c r="TGI43" i="118"/>
  <c r="TDW43" i="118"/>
  <c r="TBK43" i="118"/>
  <c r="SYY43" i="118"/>
  <c r="SWM43" i="118"/>
  <c r="SUA43" i="118"/>
  <c r="SRO43" i="118"/>
  <c r="SPC43" i="118"/>
  <c r="SMQ43" i="118"/>
  <c r="SKE43" i="118"/>
  <c r="SIK43" i="118"/>
  <c r="SHE43" i="118"/>
  <c r="SFY43" i="118"/>
  <c r="SES43" i="118"/>
  <c r="SDM43" i="118"/>
  <c r="SCG43" i="118"/>
  <c r="SBA43" i="118"/>
  <c r="RZU43" i="118"/>
  <c r="RYO43" i="118"/>
  <c r="RXI43" i="118"/>
  <c r="RWC43" i="118"/>
  <c r="RUW43" i="118"/>
  <c r="RTQ43" i="118"/>
  <c r="RSK43" i="118"/>
  <c r="RRE43" i="118"/>
  <c r="RPY43" i="118"/>
  <c r="ROS43" i="118"/>
  <c r="RNM43" i="118"/>
  <c r="RMG43" i="118"/>
  <c r="RLA43" i="118"/>
  <c r="RJU43" i="118"/>
  <c r="RIQ43" i="118"/>
  <c r="RHU43" i="118"/>
  <c r="RHA43" i="118"/>
  <c r="RGE43" i="118"/>
  <c r="RFI43" i="118"/>
  <c r="REQ43" i="118"/>
  <c r="REA43" i="118"/>
  <c r="RDK43" i="118"/>
  <c r="RCU43" i="118"/>
  <c r="RCE43" i="118"/>
  <c r="RBO43" i="118"/>
  <c r="RAY43" i="118"/>
  <c r="RAI43" i="118"/>
  <c r="QZS43" i="118"/>
  <c r="QZC43" i="118"/>
  <c r="QYM43" i="118"/>
  <c r="QXW43" i="118"/>
  <c r="QXG43" i="118"/>
  <c r="QWQ43" i="118"/>
  <c r="QWA43" i="118"/>
  <c r="QVK43" i="118"/>
  <c r="QUU43" i="118"/>
  <c r="QUE43" i="118"/>
  <c r="QTO43" i="118"/>
  <c r="QSY43" i="118"/>
  <c r="QSI43" i="118"/>
  <c r="QRS43" i="118"/>
  <c r="QRC43" i="118"/>
  <c r="QQM43" i="118"/>
  <c r="QPW43" i="118"/>
  <c r="QPG43" i="118"/>
  <c r="QOQ43" i="118"/>
  <c r="QOA43" i="118"/>
  <c r="QNK43" i="118"/>
  <c r="QMU43" i="118"/>
  <c r="QME43" i="118"/>
  <c r="QLO43" i="118"/>
  <c r="QKY43" i="118"/>
  <c r="QKI43" i="118"/>
  <c r="QJS43" i="118"/>
  <c r="QJC43" i="118"/>
  <c r="QIM43" i="118"/>
  <c r="QHW43" i="118"/>
  <c r="QHG43" i="118"/>
  <c r="QGQ43" i="118"/>
  <c r="QGA43" i="118"/>
  <c r="QFK43" i="118"/>
  <c r="QEU43" i="118"/>
  <c r="QEE43" i="118"/>
  <c r="QDO43" i="118"/>
  <c r="QCY43" i="118"/>
  <c r="QCI43" i="118"/>
  <c r="QBS43" i="118"/>
  <c r="QBC43" i="118"/>
  <c r="QAM43" i="118"/>
  <c r="PZW43" i="118"/>
  <c r="PZG43" i="118"/>
  <c r="PYQ43" i="118"/>
  <c r="PYA43" i="118"/>
  <c r="PXK43" i="118"/>
  <c r="PWU43" i="118"/>
  <c r="PWE43" i="118"/>
  <c r="PVO43" i="118"/>
  <c r="PUY43" i="118"/>
  <c r="PUI43" i="118"/>
  <c r="PTS43" i="118"/>
  <c r="PTC43" i="118"/>
  <c r="PSM43" i="118"/>
  <c r="PRW43" i="118"/>
  <c r="PRG43" i="118"/>
  <c r="PQQ43" i="118"/>
  <c r="PQA43" i="118"/>
  <c r="PPK43" i="118"/>
  <c r="POU43" i="118"/>
  <c r="POE43" i="118"/>
  <c r="PNO43" i="118"/>
  <c r="PMY43" i="118"/>
  <c r="PMI43" i="118"/>
  <c r="PLS43" i="118"/>
  <c r="PLC43" i="118"/>
  <c r="PKM43" i="118"/>
  <c r="PJW43" i="118"/>
  <c r="PJG43" i="118"/>
  <c r="PIQ43" i="118"/>
  <c r="PIA43" i="118"/>
  <c r="PHK43" i="118"/>
  <c r="PGU43" i="118"/>
  <c r="PGE43" i="118"/>
  <c r="PFO43" i="118"/>
  <c r="PEY43" i="118"/>
  <c r="PEI43" i="118"/>
  <c r="PDS43" i="118"/>
  <c r="PDC43" i="118"/>
  <c r="PCM43" i="118"/>
  <c r="PBW43" i="118"/>
  <c r="PBG43" i="118"/>
  <c r="PAQ43" i="118"/>
  <c r="PAA43" i="118"/>
  <c r="OZK43" i="118"/>
  <c r="OYU43" i="118"/>
  <c r="OYE43" i="118"/>
  <c r="OXO43" i="118"/>
  <c r="OWY43" i="118"/>
  <c r="OWI43" i="118"/>
  <c r="OVS43" i="118"/>
  <c r="OVC43" i="118"/>
  <c r="OUM43" i="118"/>
  <c r="OTW43" i="118"/>
  <c r="OTG43" i="118"/>
  <c r="OSQ43" i="118"/>
  <c r="OSA43" i="118"/>
  <c r="ORK43" i="118"/>
  <c r="OQU43" i="118"/>
  <c r="OQE43" i="118"/>
  <c r="OPO43" i="118"/>
  <c r="OOY43" i="118"/>
  <c r="OOI43" i="118"/>
  <c r="ONS43" i="118"/>
  <c r="ONC43" i="118"/>
  <c r="OMM43" i="118"/>
  <c r="OLW43" i="118"/>
  <c r="OLG43" i="118"/>
  <c r="OKQ43" i="118"/>
  <c r="OKA43" i="118"/>
  <c r="OJK43" i="118"/>
  <c r="OIU43" i="118"/>
  <c r="OIE43" i="118"/>
  <c r="OHO43" i="118"/>
  <c r="OHA43" i="118"/>
  <c r="OGS43" i="118"/>
  <c r="OGK43" i="118"/>
  <c r="OGC43" i="118"/>
  <c r="OFU43" i="118"/>
  <c r="OFM43" i="118"/>
  <c r="OFE43" i="118"/>
  <c r="OEW43" i="118"/>
  <c r="OEO43" i="118"/>
  <c r="OEG43" i="118"/>
  <c r="ODY43" i="118"/>
  <c r="ODQ43" i="118"/>
  <c r="ODI43" i="118"/>
  <c r="ODA43" i="118"/>
  <c r="OCS43" i="118"/>
  <c r="OCK43" i="118"/>
  <c r="OCC43" i="118"/>
  <c r="OBU43" i="118"/>
  <c r="OBM43" i="118"/>
  <c r="OBE43" i="118"/>
  <c r="OAW43" i="118"/>
  <c r="OAO43" i="118"/>
  <c r="OAG43" i="118"/>
  <c r="NZY43" i="118"/>
  <c r="NZQ43" i="118"/>
  <c r="NZI43" i="118"/>
  <c r="NZA43" i="118"/>
  <c r="NYS43" i="118"/>
  <c r="NYK43" i="118"/>
  <c r="NYC43" i="118"/>
  <c r="NXU43" i="118"/>
  <c r="NXM43" i="118"/>
  <c r="NXE43" i="118"/>
  <c r="NWW43" i="118"/>
  <c r="NWO43" i="118"/>
  <c r="NWG43" i="118"/>
  <c r="NVY43" i="118"/>
  <c r="NVQ43" i="118"/>
  <c r="NVI43" i="118"/>
  <c r="NVA43" i="118"/>
  <c r="NUS43" i="118"/>
  <c r="NUK43" i="118"/>
  <c r="NUC43" i="118"/>
  <c r="NTU43" i="118"/>
  <c r="NTM43" i="118"/>
  <c r="NTE43" i="118"/>
  <c r="NSW43" i="118"/>
  <c r="NSO43" i="118"/>
  <c r="NSG43" i="118"/>
  <c r="NRY43" i="118"/>
  <c r="NRQ43" i="118"/>
  <c r="NRI43" i="118"/>
  <c r="NRA43" i="118"/>
  <c r="NQS43" i="118"/>
  <c r="NQK43" i="118"/>
  <c r="NQC43" i="118"/>
  <c r="NPU43" i="118"/>
  <c r="NPM43" i="118"/>
  <c r="NPE43" i="118"/>
  <c r="NOW43" i="118"/>
  <c r="NOO43" i="118"/>
  <c r="NOG43" i="118"/>
  <c r="NNY43" i="118"/>
  <c r="NNQ43" i="118"/>
  <c r="NNI43" i="118"/>
  <c r="NNA43" i="118"/>
  <c r="NMS43" i="118"/>
  <c r="NMK43" i="118"/>
  <c r="NMC43" i="118"/>
  <c r="NLU43" i="118"/>
  <c r="NLM43" i="118"/>
  <c r="NLE43" i="118"/>
  <c r="NKW43" i="118"/>
  <c r="NKO43" i="118"/>
  <c r="NKG43" i="118"/>
  <c r="NJY43" i="118"/>
  <c r="NJQ43" i="118"/>
  <c r="NJI43" i="118"/>
  <c r="NJA43" i="118"/>
  <c r="NIS43" i="118"/>
  <c r="NIK43" i="118"/>
  <c r="NIC43" i="118"/>
  <c r="NHU43" i="118"/>
  <c r="NHM43" i="118"/>
  <c r="NHE43" i="118"/>
  <c r="NGW43" i="118"/>
  <c r="NGO43" i="118"/>
  <c r="NGG43" i="118"/>
  <c r="NFY43" i="118"/>
  <c r="NFQ43" i="118"/>
  <c r="NFI43" i="118"/>
  <c r="NFA43" i="118"/>
  <c r="NES43" i="118"/>
  <c r="NEK43" i="118"/>
  <c r="NEC43" i="118"/>
  <c r="NDU43" i="118"/>
  <c r="NDM43" i="118"/>
  <c r="NDE43" i="118"/>
  <c r="NCW43" i="118"/>
  <c r="NCO43" i="118"/>
  <c r="NCG43" i="118"/>
  <c r="NBY43" i="118"/>
  <c r="NBQ43" i="118"/>
  <c r="NBI43" i="118"/>
  <c r="NBA43" i="118"/>
  <c r="NAS43" i="118"/>
  <c r="NAK43" i="118"/>
  <c r="NAC43" i="118"/>
  <c r="MZU43" i="118"/>
  <c r="MZM43" i="118"/>
  <c r="MZE43" i="118"/>
  <c r="MYW43" i="118"/>
  <c r="MYO43" i="118"/>
  <c r="MYG43" i="118"/>
  <c r="MXY43" i="118"/>
  <c r="MXQ43" i="118"/>
  <c r="MXI43" i="118"/>
  <c r="MXA43" i="118"/>
  <c r="MWS43" i="118"/>
  <c r="MWK43" i="118"/>
  <c r="MWC43" i="118"/>
  <c r="MVU43" i="118"/>
  <c r="MVM43" i="118"/>
  <c r="MVE43" i="118"/>
  <c r="MUW43" i="118"/>
  <c r="MUO43" i="118"/>
  <c r="MUG43" i="118"/>
  <c r="MTY43" i="118"/>
  <c r="MTQ43" i="118"/>
  <c r="MTI43" i="118"/>
  <c r="MTA43" i="118"/>
  <c r="MSS43" i="118"/>
  <c r="MSK43" i="118"/>
  <c r="MSC43" i="118"/>
  <c r="MRU43" i="118"/>
  <c r="MRM43" i="118"/>
  <c r="MRE43" i="118"/>
  <c r="MQW43" i="118"/>
  <c r="MQO43" i="118"/>
  <c r="MQG43" i="118"/>
  <c r="MPY43" i="118"/>
  <c r="MPQ43" i="118"/>
  <c r="MPI43" i="118"/>
  <c r="MPA43" i="118"/>
  <c r="MOS43" i="118"/>
  <c r="MOK43" i="118"/>
  <c r="MOC43" i="118"/>
  <c r="MNU43" i="118"/>
  <c r="MNM43" i="118"/>
  <c r="MNE43" i="118"/>
  <c r="MMW43" i="118"/>
  <c r="MMO43" i="118"/>
  <c r="MMG43" i="118"/>
  <c r="MLY43" i="118"/>
  <c r="MLQ43" i="118"/>
  <c r="MLI43" i="118"/>
  <c r="MLA43" i="118"/>
  <c r="MKS43" i="118"/>
  <c r="MKK43" i="118"/>
  <c r="MKC43" i="118"/>
  <c r="MJU43" i="118"/>
  <c r="MJM43" i="118"/>
  <c r="MJE43" i="118"/>
  <c r="MIW43" i="118"/>
  <c r="MIO43" i="118"/>
  <c r="MIG43" i="118"/>
  <c r="MHY43" i="118"/>
  <c r="MHQ43" i="118"/>
  <c r="MHI43" i="118"/>
  <c r="MHA43" i="118"/>
  <c r="MGS43" i="118"/>
  <c r="VQB43" i="118"/>
  <c r="ULS43" i="118"/>
  <c r="UBC43" i="118"/>
  <c r="TTG43" i="118"/>
  <c r="TOI43" i="118"/>
  <c r="TJK43" i="118"/>
  <c r="TEM43" i="118"/>
  <c r="SZO43" i="118"/>
  <c r="SUQ43" i="118"/>
  <c r="SPS43" i="118"/>
  <c r="SKU43" i="118"/>
  <c r="SHM43" i="118"/>
  <c r="SFA43" i="118"/>
  <c r="SCO43" i="118"/>
  <c r="SAC43" i="118"/>
  <c r="RXQ43" i="118"/>
  <c r="RVE43" i="118"/>
  <c r="RSS43" i="118"/>
  <c r="RQG43" i="118"/>
  <c r="RNU43" i="118"/>
  <c r="RLI43" i="118"/>
  <c r="RIW43" i="118"/>
  <c r="RHE43" i="118"/>
  <c r="RFO43" i="118"/>
  <c r="REE43" i="118"/>
  <c r="RCY43" i="118"/>
  <c r="RBS43" i="118"/>
  <c r="RAM43" i="118"/>
  <c r="QZG43" i="118"/>
  <c r="QYA43" i="118"/>
  <c r="QWU43" i="118"/>
  <c r="QVO43" i="118"/>
  <c r="QUI43" i="118"/>
  <c r="QTC43" i="118"/>
  <c r="QRW43" i="118"/>
  <c r="QQQ43" i="118"/>
  <c r="QPK43" i="118"/>
  <c r="QOE43" i="118"/>
  <c r="QMY43" i="118"/>
  <c r="QLS43" i="118"/>
  <c r="QKM43" i="118"/>
  <c r="QJG43" i="118"/>
  <c r="QIA43" i="118"/>
  <c r="QGU43" i="118"/>
  <c r="QFO43" i="118"/>
  <c r="QEI43" i="118"/>
  <c r="QDC43" i="118"/>
  <c r="QBW43" i="118"/>
  <c r="QAQ43" i="118"/>
  <c r="PZK43" i="118"/>
  <c r="PYE43" i="118"/>
  <c r="PWY43" i="118"/>
  <c r="PVS43" i="118"/>
  <c r="PUM43" i="118"/>
  <c r="PTG43" i="118"/>
  <c r="PSA43" i="118"/>
  <c r="PQU43" i="118"/>
  <c r="PPO43" i="118"/>
  <c r="POI43" i="118"/>
  <c r="PNC43" i="118"/>
  <c r="PLW43" i="118"/>
  <c r="PKQ43" i="118"/>
  <c r="PJK43" i="118"/>
  <c r="PIE43" i="118"/>
  <c r="PGY43" i="118"/>
  <c r="PFS43" i="118"/>
  <c r="PEM43" i="118"/>
  <c r="PDG43" i="118"/>
  <c r="PCA43" i="118"/>
  <c r="PAU43" i="118"/>
  <c r="OZO43" i="118"/>
  <c r="OYI43" i="118"/>
  <c r="OXC43" i="118"/>
  <c r="OVW43" i="118"/>
  <c r="OUQ43" i="118"/>
  <c r="OTK43" i="118"/>
  <c r="OSE43" i="118"/>
  <c r="OQY43" i="118"/>
  <c r="OPS43" i="118"/>
  <c r="OOM43" i="118"/>
  <c r="ONG43" i="118"/>
  <c r="OMA43" i="118"/>
  <c r="OKU43" i="118"/>
  <c r="OJO43" i="118"/>
  <c r="OII43" i="118"/>
  <c r="OHC43" i="118"/>
  <c r="OGM43" i="118"/>
  <c r="OFW43" i="118"/>
  <c r="OFG43" i="118"/>
  <c r="OEQ43" i="118"/>
  <c r="OEA43" i="118"/>
  <c r="ODK43" i="118"/>
  <c r="OCU43" i="118"/>
  <c r="OCE43" i="118"/>
  <c r="OBO43" i="118"/>
  <c r="OAY43" i="118"/>
  <c r="OAI43" i="118"/>
  <c r="NZS43" i="118"/>
  <c r="NZC43" i="118"/>
  <c r="NYM43" i="118"/>
  <c r="NXW43" i="118"/>
  <c r="NXG43" i="118"/>
  <c r="NWQ43" i="118"/>
  <c r="NWA43" i="118"/>
  <c r="NVK43" i="118"/>
  <c r="NUU43" i="118"/>
  <c r="NUE43" i="118"/>
  <c r="NTO43" i="118"/>
  <c r="NSY43" i="118"/>
  <c r="NSI43" i="118"/>
  <c r="NRS43" i="118"/>
  <c r="NRC43" i="118"/>
  <c r="NQM43" i="118"/>
  <c r="NPW43" i="118"/>
  <c r="NPG43" i="118"/>
  <c r="NOQ43" i="118"/>
  <c r="NOA43" i="118"/>
  <c r="NNK43" i="118"/>
  <c r="NMU43" i="118"/>
  <c r="NME43" i="118"/>
  <c r="NLO43" i="118"/>
  <c r="NKY43" i="118"/>
  <c r="NKI43" i="118"/>
  <c r="NJS43" i="118"/>
  <c r="NJC43" i="118"/>
  <c r="NIM43" i="118"/>
  <c r="NHW43" i="118"/>
  <c r="NHG43" i="118"/>
  <c r="NGQ43" i="118"/>
  <c r="NGA43" i="118"/>
  <c r="NFK43" i="118"/>
  <c r="NEU43" i="118"/>
  <c r="NEE43" i="118"/>
  <c r="NDO43" i="118"/>
  <c r="NCY43" i="118"/>
  <c r="NCI43" i="118"/>
  <c r="NBS43" i="118"/>
  <c r="NBC43" i="118"/>
  <c r="NAM43" i="118"/>
  <c r="MZW43" i="118"/>
  <c r="MZG43" i="118"/>
  <c r="MYQ43" i="118"/>
  <c r="MYA43" i="118"/>
  <c r="MXK43" i="118"/>
  <c r="MWU43" i="118"/>
  <c r="MWE43" i="118"/>
  <c r="MVO43" i="118"/>
  <c r="MUY43" i="118"/>
  <c r="MUI43" i="118"/>
  <c r="MTS43" i="118"/>
  <c r="MTC43" i="118"/>
  <c r="MSM43" i="118"/>
  <c r="MRW43" i="118"/>
  <c r="MRG43" i="118"/>
  <c r="MQQ43" i="118"/>
  <c r="MQA43" i="118"/>
  <c r="MPK43" i="118"/>
  <c r="MOU43" i="118"/>
  <c r="MOE43" i="118"/>
  <c r="MNO43" i="118"/>
  <c r="MMY43" i="118"/>
  <c r="MMI43" i="118"/>
  <c r="MLS43" i="118"/>
  <c r="MLC43" i="118"/>
  <c r="MKM43" i="118"/>
  <c r="MJW43" i="118"/>
  <c r="MJG43" i="118"/>
  <c r="MIQ43" i="118"/>
  <c r="MIA43" i="118"/>
  <c r="MHK43" i="118"/>
  <c r="MGU43" i="118"/>
  <c r="MGI43" i="118"/>
  <c r="MFW43" i="118"/>
  <c r="MFM43" i="118"/>
  <c r="MFC43" i="118"/>
  <c r="MEQ43" i="118"/>
  <c r="MEG43" i="118"/>
  <c r="MDW43" i="118"/>
  <c r="MDK43" i="118"/>
  <c r="MDA43" i="118"/>
  <c r="MCS43" i="118"/>
  <c r="MCK43" i="118"/>
  <c r="MCC43" i="118"/>
  <c r="MBU43" i="118"/>
  <c r="MBM43" i="118"/>
  <c r="MBE43" i="118"/>
  <c r="MAW43" i="118"/>
  <c r="MAO43" i="118"/>
  <c r="MAG43" i="118"/>
  <c r="LZY43" i="118"/>
  <c r="LZQ43" i="118"/>
  <c r="LZI43" i="118"/>
  <c r="LZA43" i="118"/>
  <c r="LYS43" i="118"/>
  <c r="LYK43" i="118"/>
  <c r="LYC43" i="118"/>
  <c r="LXU43" i="118"/>
  <c r="LXM43" i="118"/>
  <c r="LXE43" i="118"/>
  <c r="LWW43" i="118"/>
  <c r="LWO43" i="118"/>
  <c r="LWG43" i="118"/>
  <c r="LVY43" i="118"/>
  <c r="LVQ43" i="118"/>
  <c r="LVI43" i="118"/>
  <c r="LVA43" i="118"/>
  <c r="LUS43" i="118"/>
  <c r="LUK43" i="118"/>
  <c r="LUC43" i="118"/>
  <c r="LTU43" i="118"/>
  <c r="LTM43" i="118"/>
  <c r="LTE43" i="118"/>
  <c r="LSW43" i="118"/>
  <c r="LSO43" i="118"/>
  <c r="LSG43" i="118"/>
  <c r="LRY43" i="118"/>
  <c r="LRQ43" i="118"/>
  <c r="LRI43" i="118"/>
  <c r="LRA43" i="118"/>
  <c r="LQS43" i="118"/>
  <c r="LQK43" i="118"/>
  <c r="LQC43" i="118"/>
  <c r="LPU43" i="118"/>
  <c r="LPM43" i="118"/>
  <c r="LPE43" i="118"/>
  <c r="LOW43" i="118"/>
  <c r="LOO43" i="118"/>
  <c r="LOG43" i="118"/>
  <c r="LNY43" i="118"/>
  <c r="LNQ43" i="118"/>
  <c r="LNI43" i="118"/>
  <c r="LNA43" i="118"/>
  <c r="LMS43" i="118"/>
  <c r="LMK43" i="118"/>
  <c r="LMC43" i="118"/>
  <c r="LLU43" i="118"/>
  <c r="LLM43" i="118"/>
  <c r="LLE43" i="118"/>
  <c r="LKW43" i="118"/>
  <c r="LKO43" i="118"/>
  <c r="LKG43" i="118"/>
  <c r="LJY43" i="118"/>
  <c r="LJQ43" i="118"/>
  <c r="LJI43" i="118"/>
  <c r="LJA43" i="118"/>
  <c r="LIS43" i="118"/>
  <c r="LIK43" i="118"/>
  <c r="LIC43" i="118"/>
  <c r="LHU43" i="118"/>
  <c r="LHM43" i="118"/>
  <c r="LHE43" i="118"/>
  <c r="LGW43" i="118"/>
  <c r="LGO43" i="118"/>
  <c r="LGG43" i="118"/>
  <c r="LFY43" i="118"/>
  <c r="LFQ43" i="118"/>
  <c r="LFI43" i="118"/>
  <c r="LFA43" i="118"/>
  <c r="LES43" i="118"/>
  <c r="LEK43" i="118"/>
  <c r="LEC43" i="118"/>
  <c r="LDU43" i="118"/>
  <c r="LDM43" i="118"/>
  <c r="LDE43" i="118"/>
  <c r="LCW43" i="118"/>
  <c r="LCO43" i="118"/>
  <c r="LCG43" i="118"/>
  <c r="LBY43" i="118"/>
  <c r="LBQ43" i="118"/>
  <c r="LBI43" i="118"/>
  <c r="LBA43" i="118"/>
  <c r="LAS43" i="118"/>
  <c r="LAK43" i="118"/>
  <c r="LAC43" i="118"/>
  <c r="KZU43" i="118"/>
  <c r="KZM43" i="118"/>
  <c r="KZE43" i="118"/>
  <c r="KYW43" i="118"/>
  <c r="KYO43" i="118"/>
  <c r="KYG43" i="118"/>
  <c r="KXY43" i="118"/>
  <c r="KXQ43" i="118"/>
  <c r="KXI43" i="118"/>
  <c r="KXA43" i="118"/>
  <c r="KWS43" i="118"/>
  <c r="KWK43" i="118"/>
  <c r="KWC43" i="118"/>
  <c r="KVU43" i="118"/>
  <c r="KVM43" i="118"/>
  <c r="KVE43" i="118"/>
  <c r="KUW43" i="118"/>
  <c r="KUO43" i="118"/>
  <c r="KUG43" i="118"/>
  <c r="KTY43" i="118"/>
  <c r="KTQ43" i="118"/>
  <c r="KTI43" i="118"/>
  <c r="KTA43" i="118"/>
  <c r="KSS43" i="118"/>
  <c r="KSK43" i="118"/>
  <c r="KSC43" i="118"/>
  <c r="KRU43" i="118"/>
  <c r="KRM43" i="118"/>
  <c r="KRE43" i="118"/>
  <c r="KQW43" i="118"/>
  <c r="KQO43" i="118"/>
  <c r="KQG43" i="118"/>
  <c r="KPY43" i="118"/>
  <c r="KPQ43" i="118"/>
  <c r="KPI43" i="118"/>
  <c r="KPA43" i="118"/>
  <c r="KOS43" i="118"/>
  <c r="KOK43" i="118"/>
  <c r="KOC43" i="118"/>
  <c r="KNU43" i="118"/>
  <c r="KNM43" i="118"/>
  <c r="KNE43" i="118"/>
  <c r="KMW43" i="118"/>
  <c r="KMO43" i="118"/>
  <c r="KMG43" i="118"/>
  <c r="KLY43" i="118"/>
  <c r="KLQ43" i="118"/>
  <c r="KLI43" i="118"/>
  <c r="KLA43" i="118"/>
  <c r="KKS43" i="118"/>
  <c r="KKK43" i="118"/>
  <c r="KKC43" i="118"/>
  <c r="KJU43" i="118"/>
  <c r="KJM43" i="118"/>
  <c r="KJE43" i="118"/>
  <c r="KIW43" i="118"/>
  <c r="KIO43" i="118"/>
  <c r="KIG43" i="118"/>
  <c r="KHY43" i="118"/>
  <c r="KHQ43" i="118"/>
  <c r="KHI43" i="118"/>
  <c r="KHA43" i="118"/>
  <c r="KGS43" i="118"/>
  <c r="KGK43" i="118"/>
  <c r="KGC43" i="118"/>
  <c r="KFU43" i="118"/>
  <c r="KFM43" i="118"/>
  <c r="KFE43" i="118"/>
  <c r="KEW43" i="118"/>
  <c r="KEO43" i="118"/>
  <c r="KEG43" i="118"/>
  <c r="KDY43" i="118"/>
  <c r="KDQ43" i="118"/>
  <c r="KDI43" i="118"/>
  <c r="KDA43" i="118"/>
  <c r="KCS43" i="118"/>
  <c r="KCK43" i="118"/>
  <c r="KCC43" i="118"/>
  <c r="KBU43" i="118"/>
  <c r="KBM43" i="118"/>
  <c r="KBE43" i="118"/>
  <c r="KAW43" i="118"/>
  <c r="KAO43" i="118"/>
  <c r="KAG43" i="118"/>
  <c r="JZY43" i="118"/>
  <c r="JZQ43" i="118"/>
  <c r="JZI43" i="118"/>
  <c r="JZA43" i="118"/>
  <c r="JYS43" i="118"/>
  <c r="JYK43" i="118"/>
  <c r="JYC43" i="118"/>
  <c r="JXU43" i="118"/>
  <c r="JXM43" i="118"/>
  <c r="JXE43" i="118"/>
  <c r="JWW43" i="118"/>
  <c r="JWO43" i="118"/>
  <c r="JWG43" i="118"/>
  <c r="JVY43" i="118"/>
  <c r="JVQ43" i="118"/>
  <c r="JVI43" i="118"/>
  <c r="JVA43" i="118"/>
  <c r="JUS43" i="118"/>
  <c r="JUK43" i="118"/>
  <c r="JUC43" i="118"/>
  <c r="JTU43" i="118"/>
  <c r="JTM43" i="118"/>
  <c r="JTE43" i="118"/>
  <c r="JSW43" i="118"/>
  <c r="JSO43" i="118"/>
  <c r="JSG43" i="118"/>
  <c r="JRY43" i="118"/>
  <c r="JRQ43" i="118"/>
  <c r="JRI43" i="118"/>
  <c r="JRA43" i="118"/>
  <c r="JQS43" i="118"/>
  <c r="JQK43" i="118"/>
  <c r="JQC43" i="118"/>
  <c r="JPU43" i="118"/>
  <c r="JPM43" i="118"/>
  <c r="JPE43" i="118"/>
  <c r="JOW43" i="118"/>
  <c r="JOO43" i="118"/>
  <c r="JOG43" i="118"/>
  <c r="JNY43" i="118"/>
  <c r="JNQ43" i="118"/>
  <c r="JNI43" i="118"/>
  <c r="JNA43" i="118"/>
  <c r="JMS43" i="118"/>
  <c r="JMK43" i="118"/>
  <c r="JMC43" i="118"/>
  <c r="JLU43" i="118"/>
  <c r="JLM43" i="118"/>
  <c r="JLE43" i="118"/>
  <c r="JKW43" i="118"/>
  <c r="JKO43" i="118"/>
  <c r="JKG43" i="118"/>
  <c r="JJY43" i="118"/>
  <c r="JJQ43" i="118"/>
  <c r="JJI43" i="118"/>
  <c r="JJA43" i="118"/>
  <c r="JIS43" i="118"/>
  <c r="JIK43" i="118"/>
  <c r="JIC43" i="118"/>
  <c r="JHU43" i="118"/>
  <c r="JHM43" i="118"/>
  <c r="JHE43" i="118"/>
  <c r="JGW43" i="118"/>
  <c r="JGO43" i="118"/>
  <c r="JGG43" i="118"/>
  <c r="JFY43" i="118"/>
  <c r="JFQ43" i="118"/>
  <c r="JFI43" i="118"/>
  <c r="JFA43" i="118"/>
  <c r="JES43" i="118"/>
  <c r="JEK43" i="118"/>
  <c r="JEC43" i="118"/>
  <c r="JDU43" i="118"/>
  <c r="JDM43" i="118"/>
  <c r="JDE43" i="118"/>
  <c r="JCW43" i="118"/>
  <c r="JCO43" i="118"/>
  <c r="JCG43" i="118"/>
  <c r="JBY43" i="118"/>
  <c r="JBQ43" i="118"/>
  <c r="JBI43" i="118"/>
  <c r="JBA43" i="118"/>
  <c r="JAS43" i="118"/>
  <c r="JAK43" i="118"/>
  <c r="JAC43" i="118"/>
  <c r="IZU43" i="118"/>
  <c r="IZM43" i="118"/>
  <c r="IZE43" i="118"/>
  <c r="IYW43" i="118"/>
  <c r="IYO43" i="118"/>
  <c r="IYG43" i="118"/>
  <c r="IXY43" i="118"/>
  <c r="IXQ43" i="118"/>
  <c r="IXI43" i="118"/>
  <c r="IXA43" i="118"/>
  <c r="IWS43" i="118"/>
  <c r="IWK43" i="118"/>
  <c r="IWC43" i="118"/>
  <c r="IVU43" i="118"/>
  <c r="IVM43" i="118"/>
  <c r="IVE43" i="118"/>
  <c r="IUW43" i="118"/>
  <c r="IUO43" i="118"/>
  <c r="IUG43" i="118"/>
  <c r="ITY43" i="118"/>
  <c r="ITQ43" i="118"/>
  <c r="ITI43" i="118"/>
  <c r="ITA43" i="118"/>
  <c r="ISS43" i="118"/>
  <c r="ISK43" i="118"/>
  <c r="ISC43" i="118"/>
  <c r="IRU43" i="118"/>
  <c r="IRM43" i="118"/>
  <c r="IRE43" i="118"/>
  <c r="IQW43" i="118"/>
  <c r="IQO43" i="118"/>
  <c r="IQG43" i="118"/>
  <c r="IPY43" i="118"/>
  <c r="IPQ43" i="118"/>
  <c r="IPI43" i="118"/>
  <c r="IPA43" i="118"/>
  <c r="IOS43" i="118"/>
  <c r="IOK43" i="118"/>
  <c r="IOC43" i="118"/>
  <c r="INU43" i="118"/>
  <c r="INM43" i="118"/>
  <c r="INE43" i="118"/>
  <c r="IMW43" i="118"/>
  <c r="IMO43" i="118"/>
  <c r="IMG43" i="118"/>
  <c r="ILY43" i="118"/>
  <c r="ILQ43" i="118"/>
  <c r="ILI43" i="118"/>
  <c r="ILA43" i="118"/>
  <c r="IKS43" i="118"/>
  <c r="IKK43" i="118"/>
  <c r="IKC43" i="118"/>
  <c r="IJU43" i="118"/>
  <c r="IJM43" i="118"/>
  <c r="IJE43" i="118"/>
  <c r="IIW43" i="118"/>
  <c r="IIO43" i="118"/>
  <c r="IIG43" i="118"/>
  <c r="IHY43" i="118"/>
  <c r="IHQ43" i="118"/>
  <c r="IHI43" i="118"/>
  <c r="IHA43" i="118"/>
  <c r="IGS43" i="118"/>
  <c r="IGK43" i="118"/>
  <c r="IGC43" i="118"/>
  <c r="IFU43" i="118"/>
  <c r="IFM43" i="118"/>
  <c r="IFE43" i="118"/>
  <c r="IEW43" i="118"/>
  <c r="IEO43" i="118"/>
  <c r="IEG43" i="118"/>
  <c r="IDY43" i="118"/>
  <c r="IDQ43" i="118"/>
  <c r="IDI43" i="118"/>
  <c r="IDA43" i="118"/>
  <c r="ICS43" i="118"/>
  <c r="ICK43" i="118"/>
  <c r="ICC43" i="118"/>
  <c r="IBU43" i="118"/>
  <c r="IBM43" i="118"/>
  <c r="IBE43" i="118"/>
  <c r="IAW43" i="118"/>
  <c r="IAO43" i="118"/>
  <c r="IAG43" i="118"/>
  <c r="HZY43" i="118"/>
  <c r="HZQ43" i="118"/>
  <c r="HZI43" i="118"/>
  <c r="HZA43" i="118"/>
  <c r="HYS43" i="118"/>
  <c r="HYK43" i="118"/>
  <c r="HYC43" i="118"/>
  <c r="HXU43" i="118"/>
  <c r="HXM43" i="118"/>
  <c r="HXE43" i="118"/>
  <c r="HWW43" i="118"/>
  <c r="HWO43" i="118"/>
  <c r="HWG43" i="118"/>
  <c r="HVY43" i="118"/>
  <c r="HVQ43" i="118"/>
  <c r="HVI43" i="118"/>
  <c r="HVA43" i="118"/>
  <c r="HUS43" i="118"/>
  <c r="HUK43" i="118"/>
  <c r="HUC43" i="118"/>
  <c r="HTU43" i="118"/>
  <c r="HTM43" i="118"/>
  <c r="HTE43" i="118"/>
  <c r="HSW43" i="118"/>
  <c r="HSO43" i="118"/>
  <c r="HSG43" i="118"/>
  <c r="HRY43" i="118"/>
  <c r="HRQ43" i="118"/>
  <c r="HRI43" i="118"/>
  <c r="HRA43" i="118"/>
  <c r="HQS43" i="118"/>
  <c r="HQK43" i="118"/>
  <c r="HQC43" i="118"/>
  <c r="HPU43" i="118"/>
  <c r="HPM43" i="118"/>
  <c r="HPE43" i="118"/>
  <c r="HOW43" i="118"/>
  <c r="HOO43" i="118"/>
  <c r="HOG43" i="118"/>
  <c r="HNY43" i="118"/>
  <c r="HNQ43" i="118"/>
  <c r="HNI43" i="118"/>
  <c r="HNA43" i="118"/>
  <c r="HMS43" i="118"/>
  <c r="HMK43" i="118"/>
  <c r="HMC43" i="118"/>
  <c r="HLU43" i="118"/>
  <c r="HLM43" i="118"/>
  <c r="HLE43" i="118"/>
  <c r="HKW43" i="118"/>
  <c r="HKO43" i="118"/>
  <c r="HKG43" i="118"/>
  <c r="HJY43" i="118"/>
  <c r="HJQ43" i="118"/>
  <c r="HJI43" i="118"/>
  <c r="HJA43" i="118"/>
  <c r="HIS43" i="118"/>
  <c r="HIK43" i="118"/>
  <c r="HIC43" i="118"/>
  <c r="HHU43" i="118"/>
  <c r="HHM43" i="118"/>
  <c r="HHE43" i="118"/>
  <c r="HGW43" i="118"/>
  <c r="HGO43" i="118"/>
  <c r="HGG43" i="118"/>
  <c r="HFY43" i="118"/>
  <c r="HFQ43" i="118"/>
  <c r="HFI43" i="118"/>
  <c r="HFA43" i="118"/>
  <c r="HES43" i="118"/>
  <c r="HEK43" i="118"/>
  <c r="HEC43" i="118"/>
  <c r="HDU43" i="118"/>
  <c r="HDM43" i="118"/>
  <c r="HDE43" i="118"/>
  <c r="HCW43" i="118"/>
  <c r="HCO43" i="118"/>
  <c r="HCG43" i="118"/>
  <c r="HBY43" i="118"/>
  <c r="HBQ43" i="118"/>
  <c r="HBI43" i="118"/>
  <c r="HBA43" i="118"/>
  <c r="HAS43" i="118"/>
  <c r="HAK43" i="118"/>
  <c r="HAC43" i="118"/>
  <c r="GZU43" i="118"/>
  <c r="GZM43" i="118"/>
  <c r="GZE43" i="118"/>
  <c r="GYW43" i="118"/>
  <c r="GYO43" i="118"/>
  <c r="GYG43" i="118"/>
  <c r="GXY43" i="118"/>
  <c r="GXQ43" i="118"/>
  <c r="GXI43" i="118"/>
  <c r="GXA43" i="118"/>
  <c r="GWS43" i="118"/>
  <c r="GWK43" i="118"/>
  <c r="GWC43" i="118"/>
  <c r="GVU43" i="118"/>
  <c r="GVM43" i="118"/>
  <c r="GVE43" i="118"/>
  <c r="GUW43" i="118"/>
  <c r="GUO43" i="118"/>
  <c r="GUG43" i="118"/>
  <c r="UWJ43" i="118"/>
  <c r="UGA43" i="118"/>
  <c r="TWM43" i="118"/>
  <c r="TQU43" i="118"/>
  <c r="TLW43" i="118"/>
  <c r="TGY43" i="118"/>
  <c r="TCA43" i="118"/>
  <c r="SXC43" i="118"/>
  <c r="SSE43" i="118"/>
  <c r="SNG43" i="118"/>
  <c r="SIS43" i="118"/>
  <c r="SGG43" i="118"/>
  <c r="SDU43" i="118"/>
  <c r="SBI43" i="118"/>
  <c r="RYW43" i="118"/>
  <c r="RWK43" i="118"/>
  <c r="RTY43" i="118"/>
  <c r="RRM43" i="118"/>
  <c r="RPA43" i="118"/>
  <c r="RMO43" i="118"/>
  <c r="RKC43" i="118"/>
  <c r="RIA43" i="118"/>
  <c r="RGK43" i="118"/>
  <c r="REU43" i="118"/>
  <c r="RDO43" i="118"/>
  <c r="RCI43" i="118"/>
  <c r="RBC43" i="118"/>
  <c r="QZW43" i="118"/>
  <c r="QYQ43" i="118"/>
  <c r="QXK43" i="118"/>
  <c r="QWE43" i="118"/>
  <c r="QUY43" i="118"/>
  <c r="QTS43" i="118"/>
  <c r="QSM43" i="118"/>
  <c r="QRG43" i="118"/>
  <c r="QQA43" i="118"/>
  <c r="QOU43" i="118"/>
  <c r="QNO43" i="118"/>
  <c r="QMI43" i="118"/>
  <c r="QLC43" i="118"/>
  <c r="QJW43" i="118"/>
  <c r="QIQ43" i="118"/>
  <c r="QHK43" i="118"/>
  <c r="QGE43" i="118"/>
  <c r="QEY43" i="118"/>
  <c r="QDS43" i="118"/>
  <c r="QCM43" i="118"/>
  <c r="QBG43" i="118"/>
  <c r="QAA43" i="118"/>
  <c r="PYU43" i="118"/>
  <c r="PXO43" i="118"/>
  <c r="PWI43" i="118"/>
  <c r="PVC43" i="118"/>
  <c r="PTW43" i="118"/>
  <c r="PSQ43" i="118"/>
  <c r="PRK43" i="118"/>
  <c r="PQE43" i="118"/>
  <c r="POY43" i="118"/>
  <c r="PNS43" i="118"/>
  <c r="PMM43" i="118"/>
  <c r="PLG43" i="118"/>
  <c r="PKA43" i="118"/>
  <c r="PIU43" i="118"/>
  <c r="PHO43" i="118"/>
  <c r="PGI43" i="118"/>
  <c r="PFC43" i="118"/>
  <c r="PDW43" i="118"/>
  <c r="PCQ43" i="118"/>
  <c r="PBK43" i="118"/>
  <c r="PAE43" i="118"/>
  <c r="OYY43" i="118"/>
  <c r="OXS43" i="118"/>
  <c r="OWM43" i="118"/>
  <c r="OVG43" i="118"/>
  <c r="OUA43" i="118"/>
  <c r="OSU43" i="118"/>
  <c r="ORO43" i="118"/>
  <c r="OQI43" i="118"/>
  <c r="OPC43" i="118"/>
  <c r="ONW43" i="118"/>
  <c r="OMQ43" i="118"/>
  <c r="OLK43" i="118"/>
  <c r="OKE43" i="118"/>
  <c r="OIY43" i="118"/>
  <c r="OHS43" i="118"/>
  <c r="OGU43" i="118"/>
  <c r="OGE43" i="118"/>
  <c r="OFO43" i="118"/>
  <c r="OEY43" i="118"/>
  <c r="OEI43" i="118"/>
  <c r="ODS43" i="118"/>
  <c r="ODC43" i="118"/>
  <c r="OCM43" i="118"/>
  <c r="OBW43" i="118"/>
  <c r="OBG43" i="118"/>
  <c r="OAQ43" i="118"/>
  <c r="OAA43" i="118"/>
  <c r="NZK43" i="118"/>
  <c r="NYU43" i="118"/>
  <c r="NYE43" i="118"/>
  <c r="NXO43" i="118"/>
  <c r="NWY43" i="118"/>
  <c r="NWI43" i="118"/>
  <c r="NVS43" i="118"/>
  <c r="NVC43" i="118"/>
  <c r="NUM43" i="118"/>
  <c r="NTW43" i="118"/>
  <c r="NTG43" i="118"/>
  <c r="NSQ43" i="118"/>
  <c r="NSA43" i="118"/>
  <c r="NRK43" i="118"/>
  <c r="NQU43" i="118"/>
  <c r="NQE43" i="118"/>
  <c r="NPO43" i="118"/>
  <c r="NOY43" i="118"/>
  <c r="NOI43" i="118"/>
  <c r="NNS43" i="118"/>
  <c r="NNC43" i="118"/>
  <c r="NMM43" i="118"/>
  <c r="NLW43" i="118"/>
  <c r="NLG43" i="118"/>
  <c r="NKQ43" i="118"/>
  <c r="NKA43" i="118"/>
  <c r="NJK43" i="118"/>
  <c r="NIU43" i="118"/>
  <c r="NIE43" i="118"/>
  <c r="NHO43" i="118"/>
  <c r="NGY43" i="118"/>
  <c r="NGI43" i="118"/>
  <c r="NFS43" i="118"/>
  <c r="NFC43" i="118"/>
  <c r="NEM43" i="118"/>
  <c r="NDW43" i="118"/>
  <c r="NDG43" i="118"/>
  <c r="NCQ43" i="118"/>
  <c r="NCA43" i="118"/>
  <c r="NBK43" i="118"/>
  <c r="NAU43" i="118"/>
  <c r="NAE43" i="118"/>
  <c r="MZO43" i="118"/>
  <c r="MYY43" i="118"/>
  <c r="MYI43" i="118"/>
  <c r="MXS43" i="118"/>
  <c r="MXC43" i="118"/>
  <c r="MWM43" i="118"/>
  <c r="MVW43" i="118"/>
  <c r="MVG43" i="118"/>
  <c r="MUQ43" i="118"/>
  <c r="MUA43" i="118"/>
  <c r="MTK43" i="118"/>
  <c r="MSU43" i="118"/>
  <c r="MSE43" i="118"/>
  <c r="MRO43" i="118"/>
  <c r="MQY43" i="118"/>
  <c r="MQI43" i="118"/>
  <c r="MPS43" i="118"/>
  <c r="MPC43" i="118"/>
  <c r="MOM43" i="118"/>
  <c r="MNW43" i="118"/>
  <c r="MNG43" i="118"/>
  <c r="MMQ43" i="118"/>
  <c r="MMA43" i="118"/>
  <c r="MLK43" i="118"/>
  <c r="MKU43" i="118"/>
  <c r="MKE43" i="118"/>
  <c r="MJO43" i="118"/>
  <c r="MIY43" i="118"/>
  <c r="MII43" i="118"/>
  <c r="MHS43" i="118"/>
  <c r="MHC43" i="118"/>
  <c r="MGM43" i="118"/>
  <c r="MGC43" i="118"/>
  <c r="MFS43" i="118"/>
  <c r="MFG43" i="118"/>
  <c r="MEW43" i="118"/>
  <c r="MEM43" i="118"/>
  <c r="MEA43" i="118"/>
  <c r="MDQ43" i="118"/>
  <c r="MDG43" i="118"/>
  <c r="MCW43" i="118"/>
  <c r="MCO43" i="118"/>
  <c r="MCG43" i="118"/>
  <c r="MBY43" i="118"/>
  <c r="MBQ43" i="118"/>
  <c r="MBI43" i="118"/>
  <c r="MBA43" i="118"/>
  <c r="MAS43" i="118"/>
  <c r="MAK43" i="118"/>
  <c r="MAC43" i="118"/>
  <c r="LZU43" i="118"/>
  <c r="LZM43" i="118"/>
  <c r="LZE43" i="118"/>
  <c r="LYW43" i="118"/>
  <c r="LYO43" i="118"/>
  <c r="LYG43" i="118"/>
  <c r="LXY43" i="118"/>
  <c r="LXQ43" i="118"/>
  <c r="LXI43" i="118"/>
  <c r="LXA43" i="118"/>
  <c r="LWS43" i="118"/>
  <c r="LWK43" i="118"/>
  <c r="LWC43" i="118"/>
  <c r="LVU43" i="118"/>
  <c r="LVM43" i="118"/>
  <c r="LVE43" i="118"/>
  <c r="LUW43" i="118"/>
  <c r="LUO43" i="118"/>
  <c r="LUG43" i="118"/>
  <c r="LTY43" i="118"/>
  <c r="LTQ43" i="118"/>
  <c r="LTI43" i="118"/>
  <c r="LTA43" i="118"/>
  <c r="LSS43" i="118"/>
  <c r="LSK43" i="118"/>
  <c r="LSC43" i="118"/>
  <c r="LRU43" i="118"/>
  <c r="LRM43" i="118"/>
  <c r="LRE43" i="118"/>
  <c r="LQW43" i="118"/>
  <c r="LQO43" i="118"/>
  <c r="LQG43" i="118"/>
  <c r="LPY43" i="118"/>
  <c r="LPQ43" i="118"/>
  <c r="LPI43" i="118"/>
  <c r="LPA43" i="118"/>
  <c r="LOS43" i="118"/>
  <c r="LOK43" i="118"/>
  <c r="LOC43" i="118"/>
  <c r="LNU43" i="118"/>
  <c r="LNM43" i="118"/>
  <c r="LNE43" i="118"/>
  <c r="LMW43" i="118"/>
  <c r="LMO43" i="118"/>
  <c r="LMG43" i="118"/>
  <c r="LLY43" i="118"/>
  <c r="LLQ43" i="118"/>
  <c r="LLI43" i="118"/>
  <c r="LLA43" i="118"/>
  <c r="LKS43" i="118"/>
  <c r="LKK43" i="118"/>
  <c r="LKC43" i="118"/>
  <c r="LJU43" i="118"/>
  <c r="LJM43" i="118"/>
  <c r="LJE43" i="118"/>
  <c r="LIW43" i="118"/>
  <c r="LIO43" i="118"/>
  <c r="LIG43" i="118"/>
  <c r="LHY43" i="118"/>
  <c r="LHQ43" i="118"/>
  <c r="LHI43" i="118"/>
  <c r="LHA43" i="118"/>
  <c r="LGS43" i="118"/>
  <c r="LGK43" i="118"/>
  <c r="LGC43" i="118"/>
  <c r="LFU43" i="118"/>
  <c r="LFM43" i="118"/>
  <c r="LFE43" i="118"/>
  <c r="LEW43" i="118"/>
  <c r="LEO43" i="118"/>
  <c r="LEG43" i="118"/>
  <c r="LDY43" i="118"/>
  <c r="LDQ43" i="118"/>
  <c r="LDI43" i="118"/>
  <c r="LDA43" i="118"/>
  <c r="LCS43" i="118"/>
  <c r="LCK43" i="118"/>
  <c r="LCC43" i="118"/>
  <c r="LBU43" i="118"/>
  <c r="LBM43" i="118"/>
  <c r="LBE43" i="118"/>
  <c r="LAW43" i="118"/>
  <c r="LAO43" i="118"/>
  <c r="LAG43" i="118"/>
  <c r="KZY43" i="118"/>
  <c r="KZQ43" i="118"/>
  <c r="KZI43" i="118"/>
  <c r="KZA43" i="118"/>
  <c r="KYS43" i="118"/>
  <c r="KYK43" i="118"/>
  <c r="KYC43" i="118"/>
  <c r="KXU43" i="118"/>
  <c r="KXM43" i="118"/>
  <c r="KXE43" i="118"/>
  <c r="KWW43" i="118"/>
  <c r="KWO43" i="118"/>
  <c r="KWG43" i="118"/>
  <c r="KVY43" i="118"/>
  <c r="KVQ43" i="118"/>
  <c r="KVI43" i="118"/>
  <c r="KVA43" i="118"/>
  <c r="KUS43" i="118"/>
  <c r="KUK43" i="118"/>
  <c r="KUC43" i="118"/>
  <c r="KTU43" i="118"/>
  <c r="KTM43" i="118"/>
  <c r="KTE43" i="118"/>
  <c r="KSW43" i="118"/>
  <c r="KSO43" i="118"/>
  <c r="KSG43" i="118"/>
  <c r="KRY43" i="118"/>
  <c r="KRQ43" i="118"/>
  <c r="KRI43" i="118"/>
  <c r="KRA43" i="118"/>
  <c r="KQS43" i="118"/>
  <c r="KQK43" i="118"/>
  <c r="KQC43" i="118"/>
  <c r="KPU43" i="118"/>
  <c r="KPM43" i="118"/>
  <c r="KPE43" i="118"/>
  <c r="KOW43" i="118"/>
  <c r="KOO43" i="118"/>
  <c r="KOG43" i="118"/>
  <c r="KNY43" i="118"/>
  <c r="KNQ43" i="118"/>
  <c r="KNI43" i="118"/>
  <c r="KNA43" i="118"/>
  <c r="KMS43" i="118"/>
  <c r="KMK43" i="118"/>
  <c r="KMC43" i="118"/>
  <c r="KLU43" i="118"/>
  <c r="KLM43" i="118"/>
  <c r="KLE43" i="118"/>
  <c r="KKW43" i="118"/>
  <c r="KKO43" i="118"/>
  <c r="KKG43" i="118"/>
  <c r="KJY43" i="118"/>
  <c r="KJQ43" i="118"/>
  <c r="KJI43" i="118"/>
  <c r="KJA43" i="118"/>
  <c r="KIS43" i="118"/>
  <c r="KIK43" i="118"/>
  <c r="KIC43" i="118"/>
  <c r="KHU43" i="118"/>
  <c r="KHM43" i="118"/>
  <c r="KHE43" i="118"/>
  <c r="KGW43" i="118"/>
  <c r="KGO43" i="118"/>
  <c r="KGG43" i="118"/>
  <c r="KFY43" i="118"/>
  <c r="KFQ43" i="118"/>
  <c r="KFI43" i="118"/>
  <c r="KFA43" i="118"/>
  <c r="KES43" i="118"/>
  <c r="KEK43" i="118"/>
  <c r="KEC43" i="118"/>
  <c r="KDU43" i="118"/>
  <c r="KDM43" i="118"/>
  <c r="KDE43" i="118"/>
  <c r="KCW43" i="118"/>
  <c r="KCO43" i="118"/>
  <c r="KCG43" i="118"/>
  <c r="KBY43" i="118"/>
  <c r="KBQ43" i="118"/>
  <c r="KBI43" i="118"/>
  <c r="KBA43" i="118"/>
  <c r="KAS43" i="118"/>
  <c r="KAK43" i="118"/>
  <c r="KAC43" i="118"/>
  <c r="JZU43" i="118"/>
  <c r="JZM43" i="118"/>
  <c r="JZE43" i="118"/>
  <c r="JYW43" i="118"/>
  <c r="JYO43" i="118"/>
  <c r="JYG43" i="118"/>
  <c r="JXY43" i="118"/>
  <c r="JXQ43" i="118"/>
  <c r="JXI43" i="118"/>
  <c r="JXA43" i="118"/>
  <c r="JWS43" i="118"/>
  <c r="JWK43" i="118"/>
  <c r="JWC43" i="118"/>
  <c r="JVU43" i="118"/>
  <c r="JVM43" i="118"/>
  <c r="JVE43" i="118"/>
  <c r="JUW43" i="118"/>
  <c r="JUO43" i="118"/>
  <c r="JUG43" i="118"/>
  <c r="JTY43" i="118"/>
  <c r="JTQ43" i="118"/>
  <c r="JTI43" i="118"/>
  <c r="JTA43" i="118"/>
  <c r="JSS43" i="118"/>
  <c r="JSK43" i="118"/>
  <c r="JSC43" i="118"/>
  <c r="JRU43" i="118"/>
  <c r="JRM43" i="118"/>
  <c r="JRE43" i="118"/>
  <c r="JQW43" i="118"/>
  <c r="JQO43" i="118"/>
  <c r="JQG43" i="118"/>
  <c r="JPY43" i="118"/>
  <c r="JPQ43" i="118"/>
  <c r="JPI43" i="118"/>
  <c r="JPA43" i="118"/>
  <c r="JOS43" i="118"/>
  <c r="JOK43" i="118"/>
  <c r="JOC43" i="118"/>
  <c r="JNU43" i="118"/>
  <c r="JNM43" i="118"/>
  <c r="JNE43" i="118"/>
  <c r="JMW43" i="118"/>
  <c r="JMO43" i="118"/>
  <c r="JMG43" i="118"/>
  <c r="JLY43" i="118"/>
  <c r="JLQ43" i="118"/>
  <c r="JLI43" i="118"/>
  <c r="JLA43" i="118"/>
  <c r="JKS43" i="118"/>
  <c r="JKK43" i="118"/>
  <c r="JKC43" i="118"/>
  <c r="JJU43" i="118"/>
  <c r="JJM43" i="118"/>
  <c r="JJE43" i="118"/>
  <c r="JIW43" i="118"/>
  <c r="JIO43" i="118"/>
  <c r="JIG43" i="118"/>
  <c r="JHY43" i="118"/>
  <c r="JHQ43" i="118"/>
  <c r="JHI43" i="118"/>
  <c r="JHA43" i="118"/>
  <c r="JGS43" i="118"/>
  <c r="JGK43" i="118"/>
  <c r="JGC43" i="118"/>
  <c r="JFU43" i="118"/>
  <c r="JFM43" i="118"/>
  <c r="JFE43" i="118"/>
  <c r="JEW43" i="118"/>
  <c r="JEO43" i="118"/>
  <c r="JEG43" i="118"/>
  <c r="JDY43" i="118"/>
  <c r="JDQ43" i="118"/>
  <c r="JDI43" i="118"/>
  <c r="JDA43" i="118"/>
  <c r="JCS43" i="118"/>
  <c r="JCK43" i="118"/>
  <c r="JCC43" i="118"/>
  <c r="JBU43" i="118"/>
  <c r="JBM43" i="118"/>
  <c r="JBE43" i="118"/>
  <c r="JAW43" i="118"/>
  <c r="JAO43" i="118"/>
  <c r="JAG43" i="118"/>
  <c r="IZY43" i="118"/>
  <c r="IZQ43" i="118"/>
  <c r="IZI43" i="118"/>
  <c r="IZA43" i="118"/>
  <c r="IYS43" i="118"/>
  <c r="IYK43" i="118"/>
  <c r="IYC43" i="118"/>
  <c r="IXU43" i="118"/>
  <c r="IXM43" i="118"/>
  <c r="IXE43" i="118"/>
  <c r="IWW43" i="118"/>
  <c r="IWO43" i="118"/>
  <c r="IWG43" i="118"/>
  <c r="IVY43" i="118"/>
  <c r="IVQ43" i="118"/>
  <c r="IVI43" i="118"/>
  <c r="IVA43" i="118"/>
  <c r="IUS43" i="118"/>
  <c r="IUK43" i="118"/>
  <c r="IUC43" i="118"/>
  <c r="ITU43" i="118"/>
  <c r="ITM43" i="118"/>
  <c r="ITE43" i="118"/>
  <c r="ISW43" i="118"/>
  <c r="ISO43" i="118"/>
  <c r="ISG43" i="118"/>
  <c r="IRY43" i="118"/>
  <c r="IRQ43" i="118"/>
  <c r="IRI43" i="118"/>
  <c r="IRA43" i="118"/>
  <c r="IQS43" i="118"/>
  <c r="IQK43" i="118"/>
  <c r="IQC43" i="118"/>
  <c r="IPU43" i="118"/>
  <c r="IPM43" i="118"/>
  <c r="IPE43" i="118"/>
  <c r="IOW43" i="118"/>
  <c r="IOO43" i="118"/>
  <c r="IOG43" i="118"/>
  <c r="INY43" i="118"/>
  <c r="INQ43" i="118"/>
  <c r="INI43" i="118"/>
  <c r="INA43" i="118"/>
  <c r="IMS43" i="118"/>
  <c r="IMK43" i="118"/>
  <c r="IMC43" i="118"/>
  <c r="ILU43" i="118"/>
  <c r="ILM43" i="118"/>
  <c r="ILE43" i="118"/>
  <c r="IKW43" i="118"/>
  <c r="IKO43" i="118"/>
  <c r="IKG43" i="118"/>
  <c r="IJY43" i="118"/>
  <c r="IJQ43" i="118"/>
  <c r="IJI43" i="118"/>
  <c r="IJA43" i="118"/>
  <c r="IIS43" i="118"/>
  <c r="IIK43" i="118"/>
  <c r="IIC43" i="118"/>
  <c r="IHU43" i="118"/>
  <c r="IHM43" i="118"/>
  <c r="IHE43" i="118"/>
  <c r="IGW43" i="118"/>
  <c r="IGO43" i="118"/>
  <c r="IGG43" i="118"/>
  <c r="IFY43" i="118"/>
  <c r="IFQ43" i="118"/>
  <c r="IFI43" i="118"/>
  <c r="IFA43" i="118"/>
  <c r="IES43" i="118"/>
  <c r="IEK43" i="118"/>
  <c r="IEC43" i="118"/>
  <c r="IDU43" i="118"/>
  <c r="IDM43" i="118"/>
  <c r="IDE43" i="118"/>
  <c r="ICW43" i="118"/>
  <c r="ICO43" i="118"/>
  <c r="ICG43" i="118"/>
  <c r="IBY43" i="118"/>
  <c r="IBQ43" i="118"/>
  <c r="IBI43" i="118"/>
  <c r="IBA43" i="118"/>
  <c r="IAS43" i="118"/>
  <c r="IAK43" i="118"/>
  <c r="IAC43" i="118"/>
  <c r="HZU43" i="118"/>
  <c r="HZM43" i="118"/>
  <c r="HZE43" i="118"/>
  <c r="HYW43" i="118"/>
  <c r="HYO43" i="118"/>
  <c r="HYG43" i="118"/>
  <c r="HXY43" i="118"/>
  <c r="HXQ43" i="118"/>
  <c r="HXI43" i="118"/>
  <c r="HXA43" i="118"/>
  <c r="HWS43" i="118"/>
  <c r="HWK43" i="118"/>
  <c r="HWC43" i="118"/>
  <c r="HVU43" i="118"/>
  <c r="HVM43" i="118"/>
  <c r="HVE43" i="118"/>
  <c r="HUW43" i="118"/>
  <c r="HUO43" i="118"/>
  <c r="HUG43" i="118"/>
  <c r="HTY43" i="118"/>
  <c r="HTQ43" i="118"/>
  <c r="HTI43" i="118"/>
  <c r="HTA43" i="118"/>
  <c r="HSS43" i="118"/>
  <c r="HSK43" i="118"/>
  <c r="HSC43" i="118"/>
  <c r="HRU43" i="118"/>
  <c r="HRM43" i="118"/>
  <c r="HRE43" i="118"/>
  <c r="HQW43" i="118"/>
  <c r="HQO43" i="118"/>
  <c r="HQG43" i="118"/>
  <c r="HPY43" i="118"/>
  <c r="HPQ43" i="118"/>
  <c r="HPI43" i="118"/>
  <c r="HPA43" i="118"/>
  <c r="HOS43" i="118"/>
  <c r="HOK43" i="118"/>
  <c r="HOC43" i="118"/>
  <c r="HNU43" i="118"/>
  <c r="HNM43" i="118"/>
  <c r="HNE43" i="118"/>
  <c r="HMW43" i="118"/>
  <c r="HMO43" i="118"/>
  <c r="HMG43" i="118"/>
  <c r="HLY43" i="118"/>
  <c r="HLQ43" i="118"/>
  <c r="HLI43" i="118"/>
  <c r="HLA43" i="118"/>
  <c r="HKS43" i="118"/>
  <c r="HKK43" i="118"/>
  <c r="HKC43" i="118"/>
  <c r="HJU43" i="118"/>
  <c r="HJM43" i="118"/>
  <c r="HJE43" i="118"/>
  <c r="HIW43" i="118"/>
  <c r="HIO43" i="118"/>
  <c r="HIG43" i="118"/>
  <c r="HHY43" i="118"/>
  <c r="HHQ43" i="118"/>
  <c r="HHI43" i="118"/>
  <c r="HHA43" i="118"/>
  <c r="HGS43" i="118"/>
  <c r="HGK43" i="118"/>
  <c r="HGC43" i="118"/>
  <c r="HFU43" i="118"/>
  <c r="HFM43" i="118"/>
  <c r="HFE43" i="118"/>
  <c r="HEW43" i="118"/>
  <c r="HEO43" i="118"/>
  <c r="HEG43" i="118"/>
  <c r="HDY43" i="118"/>
  <c r="HDQ43" i="118"/>
  <c r="HDI43" i="118"/>
  <c r="HDA43" i="118"/>
  <c r="HCS43" i="118"/>
  <c r="HCK43" i="118"/>
  <c r="HCC43" i="118"/>
  <c r="HBU43" i="118"/>
  <c r="HBM43" i="118"/>
  <c r="HBE43" i="118"/>
  <c r="HAW43" i="118"/>
  <c r="HAO43" i="118"/>
  <c r="HAG43" i="118"/>
  <c r="UQQ43" i="118"/>
  <c r="UDO43" i="118"/>
  <c r="TUU43" i="118"/>
  <c r="TPO43" i="118"/>
  <c r="TKQ43" i="118"/>
  <c r="TFS43" i="118"/>
  <c r="TAU43" i="118"/>
  <c r="SVW43" i="118"/>
  <c r="SQY43" i="118"/>
  <c r="SMA43" i="118"/>
  <c r="SIC43" i="118"/>
  <c r="SFQ43" i="118"/>
  <c r="SDE43" i="118"/>
  <c r="SAS43" i="118"/>
  <c r="RYG43" i="118"/>
  <c r="RVU43" i="118"/>
  <c r="RTI43" i="118"/>
  <c r="RQW43" i="118"/>
  <c r="ROK43" i="118"/>
  <c r="RLY43" i="118"/>
  <c r="RJM43" i="118"/>
  <c r="RHQ43" i="118"/>
  <c r="RFY43" i="118"/>
  <c r="REM43" i="118"/>
  <c r="RDG43" i="118"/>
  <c r="RCA43" i="118"/>
  <c r="RAU43" i="118"/>
  <c r="QZO43" i="118"/>
  <c r="QYI43" i="118"/>
  <c r="QXC43" i="118"/>
  <c r="QVW43" i="118"/>
  <c r="QUQ43" i="118"/>
  <c r="QTK43" i="118"/>
  <c r="QSE43" i="118"/>
  <c r="QQY43" i="118"/>
  <c r="QPS43" i="118"/>
  <c r="QOM43" i="118"/>
  <c r="QNG43" i="118"/>
  <c r="QMA43" i="118"/>
  <c r="QKU43" i="118"/>
  <c r="QJO43" i="118"/>
  <c r="QII43" i="118"/>
  <c r="QHC43" i="118"/>
  <c r="QFW43" i="118"/>
  <c r="QEQ43" i="118"/>
  <c r="QDK43" i="118"/>
  <c r="QCE43" i="118"/>
  <c r="QAY43" i="118"/>
  <c r="PZS43" i="118"/>
  <c r="PYM43" i="118"/>
  <c r="PXG43" i="118"/>
  <c r="PWA43" i="118"/>
  <c r="PUU43" i="118"/>
  <c r="PTO43" i="118"/>
  <c r="PSI43" i="118"/>
  <c r="PRC43" i="118"/>
  <c r="PPW43" i="118"/>
  <c r="POQ43" i="118"/>
  <c r="PNK43" i="118"/>
  <c r="PME43" i="118"/>
  <c r="PKY43" i="118"/>
  <c r="PJS43" i="118"/>
  <c r="PIM43" i="118"/>
  <c r="PHG43" i="118"/>
  <c r="PGA43" i="118"/>
  <c r="PEU43" i="118"/>
  <c r="PDO43" i="118"/>
  <c r="PCI43" i="118"/>
  <c r="PBC43" i="118"/>
  <c r="OZW43" i="118"/>
  <c r="OYQ43" i="118"/>
  <c r="OXK43" i="118"/>
  <c r="OWE43" i="118"/>
  <c r="OUY43" i="118"/>
  <c r="OTS43" i="118"/>
  <c r="OSM43" i="118"/>
  <c r="ORG43" i="118"/>
  <c r="OQA43" i="118"/>
  <c r="OOU43" i="118"/>
  <c r="ONO43" i="118"/>
  <c r="OMI43" i="118"/>
  <c r="OLC43" i="118"/>
  <c r="OJW43" i="118"/>
  <c r="OIQ43" i="118"/>
  <c r="OHK43" i="118"/>
  <c r="VGF43" i="118"/>
  <c r="TNC43" i="118"/>
  <c r="STK43" i="118"/>
  <c r="SEK43" i="118"/>
  <c r="RUO43" i="118"/>
  <c r="RKS43" i="118"/>
  <c r="RDW43" i="118"/>
  <c r="QYY43" i="118"/>
  <c r="QUA43" i="118"/>
  <c r="QPC43" i="118"/>
  <c r="QKE43" i="118"/>
  <c r="QFG43" i="118"/>
  <c r="QAI43" i="118"/>
  <c r="PVK43" i="118"/>
  <c r="PQM43" i="118"/>
  <c r="PLO43" i="118"/>
  <c r="PGQ43" i="118"/>
  <c r="PBS43" i="118"/>
  <c r="OWU43" i="118"/>
  <c r="ORW43" i="118"/>
  <c r="OMY43" i="118"/>
  <c r="OIA43" i="118"/>
  <c r="OGA43" i="118"/>
  <c r="OEU43" i="118"/>
  <c r="ODO43" i="118"/>
  <c r="OCI43" i="118"/>
  <c r="OBC43" i="118"/>
  <c r="NZW43" i="118"/>
  <c r="NYQ43" i="118"/>
  <c r="NXK43" i="118"/>
  <c r="NWE43" i="118"/>
  <c r="NUY43" i="118"/>
  <c r="NTS43" i="118"/>
  <c r="NSM43" i="118"/>
  <c r="NRG43" i="118"/>
  <c r="NQA43" i="118"/>
  <c r="NOU43" i="118"/>
  <c r="NNO43" i="118"/>
  <c r="NMI43" i="118"/>
  <c r="NLC43" i="118"/>
  <c r="NJW43" i="118"/>
  <c r="NIQ43" i="118"/>
  <c r="NHK43" i="118"/>
  <c r="NGE43" i="118"/>
  <c r="NEY43" i="118"/>
  <c r="NDS43" i="118"/>
  <c r="NCM43" i="118"/>
  <c r="NBG43" i="118"/>
  <c r="NAA43" i="118"/>
  <c r="MYU43" i="118"/>
  <c r="MXO43" i="118"/>
  <c r="MWI43" i="118"/>
  <c r="MVC43" i="118"/>
  <c r="MTW43" i="118"/>
  <c r="MSQ43" i="118"/>
  <c r="MRK43" i="118"/>
  <c r="MQE43" i="118"/>
  <c r="MOY43" i="118"/>
  <c r="MNS43" i="118"/>
  <c r="MMM43" i="118"/>
  <c r="MLG43" i="118"/>
  <c r="MKA43" i="118"/>
  <c r="MIU43" i="118"/>
  <c r="MHO43" i="118"/>
  <c r="MGK43" i="118"/>
  <c r="MFO43" i="118"/>
  <c r="MEU43" i="118"/>
  <c r="MDY43" i="118"/>
  <c r="MDC43" i="118"/>
  <c r="MCM43" i="118"/>
  <c r="MBW43" i="118"/>
  <c r="MBG43" i="118"/>
  <c r="MAQ43" i="118"/>
  <c r="MAA43" i="118"/>
  <c r="LZK43" i="118"/>
  <c r="LYU43" i="118"/>
  <c r="LYE43" i="118"/>
  <c r="LXO43" i="118"/>
  <c r="LWY43" i="118"/>
  <c r="LWI43" i="118"/>
  <c r="LVS43" i="118"/>
  <c r="LVC43" i="118"/>
  <c r="LUM43" i="118"/>
  <c r="LTW43" i="118"/>
  <c r="LTG43" i="118"/>
  <c r="LSQ43" i="118"/>
  <c r="LSA43" i="118"/>
  <c r="LRK43" i="118"/>
  <c r="LQU43" i="118"/>
  <c r="LQE43" i="118"/>
  <c r="LPO43" i="118"/>
  <c r="LOY43" i="118"/>
  <c r="LOI43" i="118"/>
  <c r="LNS43" i="118"/>
  <c r="LNC43" i="118"/>
  <c r="LMM43" i="118"/>
  <c r="LLW43" i="118"/>
  <c r="LLG43" i="118"/>
  <c r="LKQ43" i="118"/>
  <c r="LKA43" i="118"/>
  <c r="LJK43" i="118"/>
  <c r="LIU43" i="118"/>
  <c r="LIE43" i="118"/>
  <c r="LHO43" i="118"/>
  <c r="LGY43" i="118"/>
  <c r="LGI43" i="118"/>
  <c r="LFS43" i="118"/>
  <c r="LFC43" i="118"/>
  <c r="LEM43" i="118"/>
  <c r="LDW43" i="118"/>
  <c r="LDG43" i="118"/>
  <c r="LCQ43" i="118"/>
  <c r="LCA43" i="118"/>
  <c r="LBK43" i="118"/>
  <c r="LAU43" i="118"/>
  <c r="LAE43" i="118"/>
  <c r="KZO43" i="118"/>
  <c r="KYY43" i="118"/>
  <c r="KYI43" i="118"/>
  <c r="KXS43" i="118"/>
  <c r="KXC43" i="118"/>
  <c r="KWM43" i="118"/>
  <c r="KVW43" i="118"/>
  <c r="KVG43" i="118"/>
  <c r="KUQ43" i="118"/>
  <c r="KUA43" i="118"/>
  <c r="KTK43" i="118"/>
  <c r="KSU43" i="118"/>
  <c r="KSE43" i="118"/>
  <c r="KRO43" i="118"/>
  <c r="KQY43" i="118"/>
  <c r="KQI43" i="118"/>
  <c r="KPS43" i="118"/>
  <c r="KPC43" i="118"/>
  <c r="KOM43" i="118"/>
  <c r="KNW43" i="118"/>
  <c r="KNG43" i="118"/>
  <c r="KMQ43" i="118"/>
  <c r="KMA43" i="118"/>
  <c r="KLK43" i="118"/>
  <c r="KKU43" i="118"/>
  <c r="KKE43" i="118"/>
  <c r="KJO43" i="118"/>
  <c r="KIY43" i="118"/>
  <c r="KII43" i="118"/>
  <c r="KHS43" i="118"/>
  <c r="KHC43" i="118"/>
  <c r="KGM43" i="118"/>
  <c r="KFW43" i="118"/>
  <c r="KFG43" i="118"/>
  <c r="KEQ43" i="118"/>
  <c r="KEA43" i="118"/>
  <c r="KDK43" i="118"/>
  <c r="KCU43" i="118"/>
  <c r="KCE43" i="118"/>
  <c r="KBO43" i="118"/>
  <c r="KAY43" i="118"/>
  <c r="KAI43" i="118"/>
  <c r="JZS43" i="118"/>
  <c r="JZC43" i="118"/>
  <c r="JYM43" i="118"/>
  <c r="JXW43" i="118"/>
  <c r="JXG43" i="118"/>
  <c r="JWQ43" i="118"/>
  <c r="JWA43" i="118"/>
  <c r="JVK43" i="118"/>
  <c r="JUU43" i="118"/>
  <c r="JUE43" i="118"/>
  <c r="JTO43" i="118"/>
  <c r="JSY43" i="118"/>
  <c r="JSI43" i="118"/>
  <c r="JRS43" i="118"/>
  <c r="JRC43" i="118"/>
  <c r="JQM43" i="118"/>
  <c r="JPW43" i="118"/>
  <c r="JPG43" i="118"/>
  <c r="JOQ43" i="118"/>
  <c r="JOA43" i="118"/>
  <c r="JNK43" i="118"/>
  <c r="JMU43" i="118"/>
  <c r="JME43" i="118"/>
  <c r="JLO43" i="118"/>
  <c r="JKY43" i="118"/>
  <c r="JKI43" i="118"/>
  <c r="JJS43" i="118"/>
  <c r="JJC43" i="118"/>
  <c r="JIM43" i="118"/>
  <c r="JHW43" i="118"/>
  <c r="JHG43" i="118"/>
  <c r="JGQ43" i="118"/>
  <c r="JGA43" i="118"/>
  <c r="JFK43" i="118"/>
  <c r="JEU43" i="118"/>
  <c r="JEE43" i="118"/>
  <c r="JDO43" i="118"/>
  <c r="JCY43" i="118"/>
  <c r="JCI43" i="118"/>
  <c r="JBS43" i="118"/>
  <c r="JBC43" i="118"/>
  <c r="JAM43" i="118"/>
  <c r="IZW43" i="118"/>
  <c r="IZG43" i="118"/>
  <c r="IYQ43" i="118"/>
  <c r="IYA43" i="118"/>
  <c r="IXK43" i="118"/>
  <c r="IWU43" i="118"/>
  <c r="IWE43" i="118"/>
  <c r="IVO43" i="118"/>
  <c r="IUY43" i="118"/>
  <c r="IUI43" i="118"/>
  <c r="ITS43" i="118"/>
  <c r="ITC43" i="118"/>
  <c r="ISM43" i="118"/>
  <c r="IRW43" i="118"/>
  <c r="IRG43" i="118"/>
  <c r="IQQ43" i="118"/>
  <c r="IQA43" i="118"/>
  <c r="IPK43" i="118"/>
  <c r="IOU43" i="118"/>
  <c r="IOE43" i="118"/>
  <c r="INO43" i="118"/>
  <c r="IMY43" i="118"/>
  <c r="IMI43" i="118"/>
  <c r="ILS43" i="118"/>
  <c r="ILC43" i="118"/>
  <c r="IKM43" i="118"/>
  <c r="IJW43" i="118"/>
  <c r="IJG43" i="118"/>
  <c r="IIQ43" i="118"/>
  <c r="IIA43" i="118"/>
  <c r="IHK43" i="118"/>
  <c r="IGU43" i="118"/>
  <c r="IGE43" i="118"/>
  <c r="IFO43" i="118"/>
  <c r="IEY43" i="118"/>
  <c r="IEI43" i="118"/>
  <c r="IDS43" i="118"/>
  <c r="IDC43" i="118"/>
  <c r="ICM43" i="118"/>
  <c r="IBW43" i="118"/>
  <c r="IBG43" i="118"/>
  <c r="IAQ43" i="118"/>
  <c r="IAA43" i="118"/>
  <c r="HZK43" i="118"/>
  <c r="HYU43" i="118"/>
  <c r="HYE43" i="118"/>
  <c r="HXO43" i="118"/>
  <c r="HWY43" i="118"/>
  <c r="HWI43" i="118"/>
  <c r="HVS43" i="118"/>
  <c r="HVC43" i="118"/>
  <c r="HUM43" i="118"/>
  <c r="HTW43" i="118"/>
  <c r="HTG43" i="118"/>
  <c r="HSQ43" i="118"/>
  <c r="HSA43" i="118"/>
  <c r="HRK43" i="118"/>
  <c r="HQU43" i="118"/>
  <c r="HQE43" i="118"/>
  <c r="HPO43" i="118"/>
  <c r="HOY43" i="118"/>
  <c r="HOI43" i="118"/>
  <c r="HNS43" i="118"/>
  <c r="HNC43" i="118"/>
  <c r="HMM43" i="118"/>
  <c r="HLW43" i="118"/>
  <c r="HLG43" i="118"/>
  <c r="HKQ43" i="118"/>
  <c r="HKA43" i="118"/>
  <c r="HJK43" i="118"/>
  <c r="HIU43" i="118"/>
  <c r="HIE43" i="118"/>
  <c r="HHO43" i="118"/>
  <c r="HGY43" i="118"/>
  <c r="HGI43" i="118"/>
  <c r="HFS43" i="118"/>
  <c r="HFC43" i="118"/>
  <c r="HEM43" i="118"/>
  <c r="HDW43" i="118"/>
  <c r="HDG43" i="118"/>
  <c r="HCQ43" i="118"/>
  <c r="HCA43" i="118"/>
  <c r="HBK43" i="118"/>
  <c r="HAU43" i="118"/>
  <c r="HAE43" i="118"/>
  <c r="GZS43" i="118"/>
  <c r="GZI43" i="118"/>
  <c r="GYY43" i="118"/>
  <c r="GYM43" i="118"/>
  <c r="GYC43" i="118"/>
  <c r="GXS43" i="118"/>
  <c r="GXG43" i="118"/>
  <c r="GWW43" i="118"/>
  <c r="GWM43" i="118"/>
  <c r="GWA43" i="118"/>
  <c r="GVQ43" i="118"/>
  <c r="GVG43" i="118"/>
  <c r="GUU43" i="118"/>
  <c r="GUK43" i="118"/>
  <c r="GUA43" i="118"/>
  <c r="GTS43" i="118"/>
  <c r="GTK43" i="118"/>
  <c r="GTC43" i="118"/>
  <c r="GSU43" i="118"/>
  <c r="GSM43" i="118"/>
  <c r="GSE43" i="118"/>
  <c r="GRW43" i="118"/>
  <c r="GRO43" i="118"/>
  <c r="GRG43" i="118"/>
  <c r="GQY43" i="118"/>
  <c r="GQQ43" i="118"/>
  <c r="GQI43" i="118"/>
  <c r="GQA43" i="118"/>
  <c r="GPS43" i="118"/>
  <c r="GPK43" i="118"/>
  <c r="GPC43" i="118"/>
  <c r="GOU43" i="118"/>
  <c r="GOM43" i="118"/>
  <c r="GOE43" i="118"/>
  <c r="GNW43" i="118"/>
  <c r="GNO43" i="118"/>
  <c r="GNG43" i="118"/>
  <c r="GMY43" i="118"/>
  <c r="GMQ43" i="118"/>
  <c r="GMI43" i="118"/>
  <c r="GMA43" i="118"/>
  <c r="GLS43" i="118"/>
  <c r="GLK43" i="118"/>
  <c r="GLC43" i="118"/>
  <c r="GKU43" i="118"/>
  <c r="GKM43" i="118"/>
  <c r="GKE43" i="118"/>
  <c r="GJW43" i="118"/>
  <c r="GJO43" i="118"/>
  <c r="GJG43" i="118"/>
  <c r="GIY43" i="118"/>
  <c r="GIQ43" i="118"/>
  <c r="GII43" i="118"/>
  <c r="GIA43" i="118"/>
  <c r="GHS43" i="118"/>
  <c r="GHK43" i="118"/>
  <c r="GHC43" i="118"/>
  <c r="GGU43" i="118"/>
  <c r="GGM43" i="118"/>
  <c r="GGE43" i="118"/>
  <c r="GFW43" i="118"/>
  <c r="GFO43" i="118"/>
  <c r="GFG43" i="118"/>
  <c r="GEY43" i="118"/>
  <c r="GEQ43" i="118"/>
  <c r="GEI43" i="118"/>
  <c r="GEA43" i="118"/>
  <c r="GDS43" i="118"/>
  <c r="GDK43" i="118"/>
  <c r="GDC43" i="118"/>
  <c r="GCU43" i="118"/>
  <c r="GCM43" i="118"/>
  <c r="GCE43" i="118"/>
  <c r="GBW43" i="118"/>
  <c r="GBO43" i="118"/>
  <c r="GBG43" i="118"/>
  <c r="GAY43" i="118"/>
  <c r="GAQ43" i="118"/>
  <c r="GAI43" i="118"/>
  <c r="GAA43" i="118"/>
  <c r="FZS43" i="118"/>
  <c r="FZK43" i="118"/>
  <c r="FZC43" i="118"/>
  <c r="FYU43" i="118"/>
  <c r="FYM43" i="118"/>
  <c r="FYE43" i="118"/>
  <c r="FXW43" i="118"/>
  <c r="FXO43" i="118"/>
  <c r="FXG43" i="118"/>
  <c r="FWY43" i="118"/>
  <c r="FWQ43" i="118"/>
  <c r="FWI43" i="118"/>
  <c r="FWA43" i="118"/>
  <c r="FVS43" i="118"/>
  <c r="FVK43" i="118"/>
  <c r="FVC43" i="118"/>
  <c r="FUU43" i="118"/>
  <c r="FUM43" i="118"/>
  <c r="FUE43" i="118"/>
  <c r="FTW43" i="118"/>
  <c r="FTO43" i="118"/>
  <c r="FTG43" i="118"/>
  <c r="FSY43" i="118"/>
  <c r="FSQ43" i="118"/>
  <c r="FSI43" i="118"/>
  <c r="FSA43" i="118"/>
  <c r="FRS43" i="118"/>
  <c r="FRK43" i="118"/>
  <c r="FRC43" i="118"/>
  <c r="FQU43" i="118"/>
  <c r="FQM43" i="118"/>
  <c r="FQE43" i="118"/>
  <c r="FPW43" i="118"/>
  <c r="FPO43" i="118"/>
  <c r="FPG43" i="118"/>
  <c r="FOY43" i="118"/>
  <c r="FOQ43" i="118"/>
  <c r="FOI43" i="118"/>
  <c r="FOA43" i="118"/>
  <c r="FNS43" i="118"/>
  <c r="FNK43" i="118"/>
  <c r="FNC43" i="118"/>
  <c r="FMU43" i="118"/>
  <c r="FMM43" i="118"/>
  <c r="FME43" i="118"/>
  <c r="FLW43" i="118"/>
  <c r="FLO43" i="118"/>
  <c r="FLG43" i="118"/>
  <c r="FKY43" i="118"/>
  <c r="FKQ43" i="118"/>
  <c r="FKI43" i="118"/>
  <c r="FKA43" i="118"/>
  <c r="FJS43" i="118"/>
  <c r="FJK43" i="118"/>
  <c r="FJC43" i="118"/>
  <c r="FIU43" i="118"/>
  <c r="FIM43" i="118"/>
  <c r="FIE43" i="118"/>
  <c r="FHW43" i="118"/>
  <c r="FHO43" i="118"/>
  <c r="FHG43" i="118"/>
  <c r="FGY43" i="118"/>
  <c r="FGQ43" i="118"/>
  <c r="FGI43" i="118"/>
  <c r="FGA43" i="118"/>
  <c r="FFS43" i="118"/>
  <c r="FFK43" i="118"/>
  <c r="FFC43" i="118"/>
  <c r="FEU43" i="118"/>
  <c r="FEM43" i="118"/>
  <c r="FEE43" i="118"/>
  <c r="FDW43" i="118"/>
  <c r="FDO43" i="118"/>
  <c r="FDG43" i="118"/>
  <c r="FCY43" i="118"/>
  <c r="FCQ43" i="118"/>
  <c r="FCI43" i="118"/>
  <c r="FCA43" i="118"/>
  <c r="FBS43" i="118"/>
  <c r="FBK43" i="118"/>
  <c r="FBC43" i="118"/>
  <c r="FAU43" i="118"/>
  <c r="FAM43" i="118"/>
  <c r="FAE43" i="118"/>
  <c r="EZW43" i="118"/>
  <c r="EZO43" i="118"/>
  <c r="EZG43" i="118"/>
  <c r="EYY43" i="118"/>
  <c r="EYQ43" i="118"/>
  <c r="EYI43" i="118"/>
  <c r="EYA43" i="118"/>
  <c r="EXS43" i="118"/>
  <c r="EXK43" i="118"/>
  <c r="EXC43" i="118"/>
  <c r="EWU43" i="118"/>
  <c r="EWM43" i="118"/>
  <c r="EWE43" i="118"/>
  <c r="EVW43" i="118"/>
  <c r="EVO43" i="118"/>
  <c r="EVG43" i="118"/>
  <c r="EUY43" i="118"/>
  <c r="EUQ43" i="118"/>
  <c r="EUI43" i="118"/>
  <c r="EUA43" i="118"/>
  <c r="ETS43" i="118"/>
  <c r="ETK43" i="118"/>
  <c r="ETC43" i="118"/>
  <c r="ESU43" i="118"/>
  <c r="ESM43" i="118"/>
  <c r="ESE43" i="118"/>
  <c r="ERW43" i="118"/>
  <c r="ERO43" i="118"/>
  <c r="ERG43" i="118"/>
  <c r="EQY43" i="118"/>
  <c r="EQQ43" i="118"/>
  <c r="EQI43" i="118"/>
  <c r="EQA43" i="118"/>
  <c r="EPS43" i="118"/>
  <c r="EPK43" i="118"/>
  <c r="EPC43" i="118"/>
  <c r="EOU43" i="118"/>
  <c r="EOM43" i="118"/>
  <c r="EOE43" i="118"/>
  <c r="ENW43" i="118"/>
  <c r="ENO43" i="118"/>
  <c r="ENG43" i="118"/>
  <c r="EMY43" i="118"/>
  <c r="EMQ43" i="118"/>
  <c r="EMI43" i="118"/>
  <c r="EMA43" i="118"/>
  <c r="ELS43" i="118"/>
  <c r="ELK43" i="118"/>
  <c r="ELC43" i="118"/>
  <c r="EKU43" i="118"/>
  <c r="EKM43" i="118"/>
  <c r="EKE43" i="118"/>
  <c r="EJW43" i="118"/>
  <c r="EJO43" i="118"/>
  <c r="EJG43" i="118"/>
  <c r="EIY43" i="118"/>
  <c r="EIQ43" i="118"/>
  <c r="EII43" i="118"/>
  <c r="EIA43" i="118"/>
  <c r="EHS43" i="118"/>
  <c r="EHK43" i="118"/>
  <c r="EHC43" i="118"/>
  <c r="EGU43" i="118"/>
  <c r="EGM43" i="118"/>
  <c r="EGE43" i="118"/>
  <c r="EFW43" i="118"/>
  <c r="EFO43" i="118"/>
  <c r="EFG43" i="118"/>
  <c r="EEY43" i="118"/>
  <c r="EEQ43" i="118"/>
  <c r="EEI43" i="118"/>
  <c r="EEA43" i="118"/>
  <c r="EDS43" i="118"/>
  <c r="EDK43" i="118"/>
  <c r="EDC43" i="118"/>
  <c r="ECU43" i="118"/>
  <c r="ECM43" i="118"/>
  <c r="ECE43" i="118"/>
  <c r="EBW43" i="118"/>
  <c r="EBO43" i="118"/>
  <c r="EBG43" i="118"/>
  <c r="EAY43" i="118"/>
  <c r="EAQ43" i="118"/>
  <c r="EAI43" i="118"/>
  <c r="EAA43" i="118"/>
  <c r="DZS43" i="118"/>
  <c r="DZK43" i="118"/>
  <c r="DZC43" i="118"/>
  <c r="DYU43" i="118"/>
  <c r="DYM43" i="118"/>
  <c r="DYE43" i="118"/>
  <c r="DXW43" i="118"/>
  <c r="DXO43" i="118"/>
  <c r="DXG43" i="118"/>
  <c r="DWY43" i="118"/>
  <c r="DWQ43" i="118"/>
  <c r="DWI43" i="118"/>
  <c r="DWA43" i="118"/>
  <c r="DVS43" i="118"/>
  <c r="DVK43" i="118"/>
  <c r="DVC43" i="118"/>
  <c r="DUU43" i="118"/>
  <c r="DUM43" i="118"/>
  <c r="DUE43" i="118"/>
  <c r="DTW43" i="118"/>
  <c r="DTO43" i="118"/>
  <c r="DTG43" i="118"/>
  <c r="DSY43" i="118"/>
  <c r="DSQ43" i="118"/>
  <c r="DSI43" i="118"/>
  <c r="DSA43" i="118"/>
  <c r="DRS43" i="118"/>
  <c r="DRK43" i="118"/>
  <c r="DRC43" i="118"/>
  <c r="DQU43" i="118"/>
  <c r="DQM43" i="118"/>
  <c r="DQE43" i="118"/>
  <c r="DPW43" i="118"/>
  <c r="DPO43" i="118"/>
  <c r="DPG43" i="118"/>
  <c r="DOY43" i="118"/>
  <c r="DOQ43" i="118"/>
  <c r="DOI43" i="118"/>
  <c r="DOA43" i="118"/>
  <c r="DNS43" i="118"/>
  <c r="DNK43" i="118"/>
  <c r="DNC43" i="118"/>
  <c r="DMU43" i="118"/>
  <c r="DMM43" i="118"/>
  <c r="DME43" i="118"/>
  <c r="DLW43" i="118"/>
  <c r="DLO43" i="118"/>
  <c r="DLG43" i="118"/>
  <c r="DKY43" i="118"/>
  <c r="DKQ43" i="118"/>
  <c r="DKI43" i="118"/>
  <c r="DKA43" i="118"/>
  <c r="DJS43" i="118"/>
  <c r="DJK43" i="118"/>
  <c r="DJC43" i="118"/>
  <c r="DIU43" i="118"/>
  <c r="DIM43" i="118"/>
  <c r="DIE43" i="118"/>
  <c r="DHW43" i="118"/>
  <c r="DHO43" i="118"/>
  <c r="DHG43" i="118"/>
  <c r="DGY43" i="118"/>
  <c r="DGQ43" i="118"/>
  <c r="DGI43" i="118"/>
  <c r="DGA43" i="118"/>
  <c r="DFS43" i="118"/>
  <c r="DFK43" i="118"/>
  <c r="DFC43" i="118"/>
  <c r="DEU43" i="118"/>
  <c r="DEM43" i="118"/>
  <c r="DEE43" i="118"/>
  <c r="DDW43" i="118"/>
  <c r="DDO43" i="118"/>
  <c r="DDG43" i="118"/>
  <c r="DCY43" i="118"/>
  <c r="DCQ43" i="118"/>
  <c r="DCI43" i="118"/>
  <c r="DCA43" i="118"/>
  <c r="DBS43" i="118"/>
  <c r="DBK43" i="118"/>
  <c r="DBC43" i="118"/>
  <c r="DAU43" i="118"/>
  <c r="DAM43" i="118"/>
  <c r="DAE43" i="118"/>
  <c r="CZW43" i="118"/>
  <c r="CZO43" i="118"/>
  <c r="CZG43" i="118"/>
  <c r="CYY43" i="118"/>
  <c r="CYQ43" i="118"/>
  <c r="CYI43" i="118"/>
  <c r="CYA43" i="118"/>
  <c r="CXS43" i="118"/>
  <c r="CXK43" i="118"/>
  <c r="CXC43" i="118"/>
  <c r="CWU43" i="118"/>
  <c r="CWM43" i="118"/>
  <c r="CWE43" i="118"/>
  <c r="CVW43" i="118"/>
  <c r="CVO43" i="118"/>
  <c r="CVG43" i="118"/>
  <c r="CUY43" i="118"/>
  <c r="CUQ43" i="118"/>
  <c r="CUI43" i="118"/>
  <c r="CUA43" i="118"/>
  <c r="CTS43" i="118"/>
  <c r="CTK43" i="118"/>
  <c r="CTC43" i="118"/>
  <c r="CSU43" i="118"/>
  <c r="CSM43" i="118"/>
  <c r="CSE43" i="118"/>
  <c r="CRW43" i="118"/>
  <c r="CRO43" i="118"/>
  <c r="CRG43" i="118"/>
  <c r="CQY43" i="118"/>
  <c r="CQQ43" i="118"/>
  <c r="CQI43" i="118"/>
  <c r="CQA43" i="118"/>
  <c r="CPS43" i="118"/>
  <c r="CPK43" i="118"/>
  <c r="CPC43" i="118"/>
  <c r="COU43" i="118"/>
  <c r="COM43" i="118"/>
  <c r="COE43" i="118"/>
  <c r="CNW43" i="118"/>
  <c r="CNO43" i="118"/>
  <c r="CNG43" i="118"/>
  <c r="CMY43" i="118"/>
  <c r="CMQ43" i="118"/>
  <c r="CMI43" i="118"/>
  <c r="CMA43" i="118"/>
  <c r="CLS43" i="118"/>
  <c r="CLK43" i="118"/>
  <c r="CLC43" i="118"/>
  <c r="CKU43" i="118"/>
  <c r="CKM43" i="118"/>
  <c r="CKE43" i="118"/>
  <c r="CJW43" i="118"/>
  <c r="CJO43" i="118"/>
  <c r="CJG43" i="118"/>
  <c r="CIY43" i="118"/>
  <c r="CIQ43" i="118"/>
  <c r="CII43" i="118"/>
  <c r="CIA43" i="118"/>
  <c r="CHS43" i="118"/>
  <c r="CHK43" i="118"/>
  <c r="CHC43" i="118"/>
  <c r="CGU43" i="118"/>
  <c r="CGM43" i="118"/>
  <c r="TYQ43" i="118"/>
  <c r="TDG43" i="118"/>
  <c r="SJO43" i="118"/>
  <c r="RZM43" i="118"/>
  <c r="RPQ43" i="118"/>
  <c r="RGU43" i="118"/>
  <c r="RBK43" i="118"/>
  <c r="QWM43" i="118"/>
  <c r="QRO43" i="118"/>
  <c r="QMQ43" i="118"/>
  <c r="QHS43" i="118"/>
  <c r="QCU43" i="118"/>
  <c r="PXW43" i="118"/>
  <c r="PSY43" i="118"/>
  <c r="POA43" i="118"/>
  <c r="PJC43" i="118"/>
  <c r="PEE43" i="118"/>
  <c r="OZG43" i="118"/>
  <c r="OUI43" i="118"/>
  <c r="OPK43" i="118"/>
  <c r="OKM43" i="118"/>
  <c r="OGQ43" i="118"/>
  <c r="OFK43" i="118"/>
  <c r="OEE43" i="118"/>
  <c r="OCY43" i="118"/>
  <c r="OBS43" i="118"/>
  <c r="OAM43" i="118"/>
  <c r="NZG43" i="118"/>
  <c r="NYA43" i="118"/>
  <c r="NWU43" i="118"/>
  <c r="NVO43" i="118"/>
  <c r="NUI43" i="118"/>
  <c r="NTC43" i="118"/>
  <c r="NRW43" i="118"/>
  <c r="NQQ43" i="118"/>
  <c r="NPK43" i="118"/>
  <c r="NOE43" i="118"/>
  <c r="NMY43" i="118"/>
  <c r="NLS43" i="118"/>
  <c r="NKM43" i="118"/>
  <c r="NJG43" i="118"/>
  <c r="NIA43" i="118"/>
  <c r="NGU43" i="118"/>
  <c r="NFO43" i="118"/>
  <c r="NEI43" i="118"/>
  <c r="NDC43" i="118"/>
  <c r="NBW43" i="118"/>
  <c r="NAQ43" i="118"/>
  <c r="MZK43" i="118"/>
  <c r="MYE43" i="118"/>
  <c r="MWY43" i="118"/>
  <c r="MVS43" i="118"/>
  <c r="MUM43" i="118"/>
  <c r="MTG43" i="118"/>
  <c r="MSA43" i="118"/>
  <c r="MQU43" i="118"/>
  <c r="MPO43" i="118"/>
  <c r="MOI43" i="118"/>
  <c r="MNC43" i="118"/>
  <c r="MLW43" i="118"/>
  <c r="MKQ43" i="118"/>
  <c r="MJK43" i="118"/>
  <c r="MIE43" i="118"/>
  <c r="MGY43" i="118"/>
  <c r="MGA43" i="118"/>
  <c r="MFE43" i="118"/>
  <c r="MEI43" i="118"/>
  <c r="MDO43" i="118"/>
  <c r="MCU43" i="118"/>
  <c r="MCE43" i="118"/>
  <c r="MBO43" i="118"/>
  <c r="MAY43" i="118"/>
  <c r="MAI43" i="118"/>
  <c r="LZS43" i="118"/>
  <c r="LZC43" i="118"/>
  <c r="LYM43" i="118"/>
  <c r="LXW43" i="118"/>
  <c r="LXG43" i="118"/>
  <c r="LWQ43" i="118"/>
  <c r="LWA43" i="118"/>
  <c r="LVK43" i="118"/>
  <c r="LUU43" i="118"/>
  <c r="LUE43" i="118"/>
  <c r="LTO43" i="118"/>
  <c r="LSY43" i="118"/>
  <c r="LSI43" i="118"/>
  <c r="LRS43" i="118"/>
  <c r="LRC43" i="118"/>
  <c r="LQM43" i="118"/>
  <c r="LPW43" i="118"/>
  <c r="LPG43" i="118"/>
  <c r="LOQ43" i="118"/>
  <c r="LOA43" i="118"/>
  <c r="LNK43" i="118"/>
  <c r="LMU43" i="118"/>
  <c r="LME43" i="118"/>
  <c r="LLO43" i="118"/>
  <c r="LKY43" i="118"/>
  <c r="LKI43" i="118"/>
  <c r="LJS43" i="118"/>
  <c r="LJC43" i="118"/>
  <c r="LIM43" i="118"/>
  <c r="LHW43" i="118"/>
  <c r="LHG43" i="118"/>
  <c r="LGQ43" i="118"/>
  <c r="LGA43" i="118"/>
  <c r="LFK43" i="118"/>
  <c r="LEU43" i="118"/>
  <c r="LEE43" i="118"/>
  <c r="LDO43" i="118"/>
  <c r="LCY43" i="118"/>
  <c r="LCI43" i="118"/>
  <c r="LBS43" i="118"/>
  <c r="LBC43" i="118"/>
  <c r="LAM43" i="118"/>
  <c r="KZW43" i="118"/>
  <c r="KZG43" i="118"/>
  <c r="KYQ43" i="118"/>
  <c r="KYA43" i="118"/>
  <c r="KXK43" i="118"/>
  <c r="KWU43" i="118"/>
  <c r="KWE43" i="118"/>
  <c r="KVO43" i="118"/>
  <c r="KUY43" i="118"/>
  <c r="KUI43" i="118"/>
  <c r="KTS43" i="118"/>
  <c r="KTC43" i="118"/>
  <c r="KSM43" i="118"/>
  <c r="KRW43" i="118"/>
  <c r="KRG43" i="118"/>
  <c r="KQQ43" i="118"/>
  <c r="KQA43" i="118"/>
  <c r="KPK43" i="118"/>
  <c r="KOU43" i="118"/>
  <c r="KOE43" i="118"/>
  <c r="KNO43" i="118"/>
  <c r="KMY43" i="118"/>
  <c r="KMI43" i="118"/>
  <c r="KLS43" i="118"/>
  <c r="KLC43" i="118"/>
  <c r="KKM43" i="118"/>
  <c r="KJW43" i="118"/>
  <c r="KJG43" i="118"/>
  <c r="KIQ43" i="118"/>
  <c r="KIA43" i="118"/>
  <c r="KHK43" i="118"/>
  <c r="KGU43" i="118"/>
  <c r="KGE43" i="118"/>
  <c r="KFO43" i="118"/>
  <c r="KEY43" i="118"/>
  <c r="KEI43" i="118"/>
  <c r="KDS43" i="118"/>
  <c r="KDC43" i="118"/>
  <c r="KCM43" i="118"/>
  <c r="KBW43" i="118"/>
  <c r="KBG43" i="118"/>
  <c r="KAQ43" i="118"/>
  <c r="KAA43" i="118"/>
  <c r="JZK43" i="118"/>
  <c r="JYU43" i="118"/>
  <c r="JYE43" i="118"/>
  <c r="JXO43" i="118"/>
  <c r="JWY43" i="118"/>
  <c r="JWI43" i="118"/>
  <c r="JVS43" i="118"/>
  <c r="JVC43" i="118"/>
  <c r="JUM43" i="118"/>
  <c r="JTW43" i="118"/>
  <c r="JTG43" i="118"/>
  <c r="JSQ43" i="118"/>
  <c r="JSA43" i="118"/>
  <c r="JRK43" i="118"/>
  <c r="JQU43" i="118"/>
  <c r="JQE43" i="118"/>
  <c r="JPO43" i="118"/>
  <c r="JOY43" i="118"/>
  <c r="JOI43" i="118"/>
  <c r="JNS43" i="118"/>
  <c r="JNC43" i="118"/>
  <c r="JMM43" i="118"/>
  <c r="JLW43" i="118"/>
  <c r="JLG43" i="118"/>
  <c r="JKQ43" i="118"/>
  <c r="JKA43" i="118"/>
  <c r="JJK43" i="118"/>
  <c r="JIU43" i="118"/>
  <c r="JIE43" i="118"/>
  <c r="JHO43" i="118"/>
  <c r="JGY43" i="118"/>
  <c r="JGI43" i="118"/>
  <c r="JFS43" i="118"/>
  <c r="JFC43" i="118"/>
  <c r="JEM43" i="118"/>
  <c r="JDW43" i="118"/>
  <c r="JDG43" i="118"/>
  <c r="JCQ43" i="118"/>
  <c r="JCA43" i="118"/>
  <c r="JBK43" i="118"/>
  <c r="JAU43" i="118"/>
  <c r="JAE43" i="118"/>
  <c r="IZO43" i="118"/>
  <c r="IYY43" i="118"/>
  <c r="IYI43" i="118"/>
  <c r="IXS43" i="118"/>
  <c r="IXC43" i="118"/>
  <c r="IWM43" i="118"/>
  <c r="IVW43" i="118"/>
  <c r="IVG43" i="118"/>
  <c r="IUQ43" i="118"/>
  <c r="IUA43" i="118"/>
  <c r="ITK43" i="118"/>
  <c r="ISU43" i="118"/>
  <c r="ISE43" i="118"/>
  <c r="IRO43" i="118"/>
  <c r="IQY43" i="118"/>
  <c r="IQI43" i="118"/>
  <c r="IPS43" i="118"/>
  <c r="IPC43" i="118"/>
  <c r="IOM43" i="118"/>
  <c r="INW43" i="118"/>
  <c r="ING43" i="118"/>
  <c r="IMQ43" i="118"/>
  <c r="IMA43" i="118"/>
  <c r="ILK43" i="118"/>
  <c r="IKU43" i="118"/>
  <c r="IKE43" i="118"/>
  <c r="IJO43" i="118"/>
  <c r="IIY43" i="118"/>
  <c r="III43" i="118"/>
  <c r="IHS43" i="118"/>
  <c r="IHC43" i="118"/>
  <c r="IGM43" i="118"/>
  <c r="IFW43" i="118"/>
  <c r="IFG43" i="118"/>
  <c r="IEQ43" i="118"/>
  <c r="IEA43" i="118"/>
  <c r="IDK43" i="118"/>
  <c r="ICU43" i="118"/>
  <c r="ICE43" i="118"/>
  <c r="IBO43" i="118"/>
  <c r="IAY43" i="118"/>
  <c r="IAI43" i="118"/>
  <c r="HZS43" i="118"/>
  <c r="HZC43" i="118"/>
  <c r="HYM43" i="118"/>
  <c r="HXW43" i="118"/>
  <c r="HXG43" i="118"/>
  <c r="HWQ43" i="118"/>
  <c r="HWA43" i="118"/>
  <c r="HVK43" i="118"/>
  <c r="HUU43" i="118"/>
  <c r="HUE43" i="118"/>
  <c r="HTO43" i="118"/>
  <c r="HSY43" i="118"/>
  <c r="HSI43" i="118"/>
  <c r="HRS43" i="118"/>
  <c r="HRC43" i="118"/>
  <c r="HQM43" i="118"/>
  <c r="HPW43" i="118"/>
  <c r="HPG43" i="118"/>
  <c r="HOQ43" i="118"/>
  <c r="HOA43" i="118"/>
  <c r="HNK43" i="118"/>
  <c r="HMU43" i="118"/>
  <c r="HME43" i="118"/>
  <c r="HLO43" i="118"/>
  <c r="HKY43" i="118"/>
  <c r="HKI43" i="118"/>
  <c r="HJS43" i="118"/>
  <c r="HJC43" i="118"/>
  <c r="HIM43" i="118"/>
  <c r="HHW43" i="118"/>
  <c r="HHG43" i="118"/>
  <c r="HGQ43" i="118"/>
  <c r="HGA43" i="118"/>
  <c r="HFK43" i="118"/>
  <c r="HEU43" i="118"/>
  <c r="HEE43" i="118"/>
  <c r="HDO43" i="118"/>
  <c r="HCY43" i="118"/>
  <c r="HCI43" i="118"/>
  <c r="HBS43" i="118"/>
  <c r="HBC43" i="118"/>
  <c r="HAM43" i="118"/>
  <c r="GZY43" i="118"/>
  <c r="GZO43" i="118"/>
  <c r="GZC43" i="118"/>
  <c r="GYS43" i="118"/>
  <c r="GYI43" i="118"/>
  <c r="GXW43" i="118"/>
  <c r="GXM43" i="118"/>
  <c r="GXC43" i="118"/>
  <c r="GWQ43" i="118"/>
  <c r="GWG43" i="118"/>
  <c r="GVW43" i="118"/>
  <c r="GVK43" i="118"/>
  <c r="GVA43" i="118"/>
  <c r="GUQ43" i="118"/>
  <c r="GUE43" i="118"/>
  <c r="GTW43" i="118"/>
  <c r="GTO43" i="118"/>
  <c r="GTG43" i="118"/>
  <c r="GSY43" i="118"/>
  <c r="GSQ43" i="118"/>
  <c r="GSI43" i="118"/>
  <c r="GSA43" i="118"/>
  <c r="GRS43" i="118"/>
  <c r="GRK43" i="118"/>
  <c r="GRC43" i="118"/>
  <c r="GQU43" i="118"/>
  <c r="GQM43" i="118"/>
  <c r="GQE43" i="118"/>
  <c r="GPW43" i="118"/>
  <c r="GPO43" i="118"/>
  <c r="GPG43" i="118"/>
  <c r="GOY43" i="118"/>
  <c r="GOQ43" i="118"/>
  <c r="GOI43" i="118"/>
  <c r="GOA43" i="118"/>
  <c r="GNS43" i="118"/>
  <c r="GNK43" i="118"/>
  <c r="GNC43" i="118"/>
  <c r="GMU43" i="118"/>
  <c r="GMM43" i="118"/>
  <c r="GME43" i="118"/>
  <c r="GLW43" i="118"/>
  <c r="GLO43" i="118"/>
  <c r="GLG43" i="118"/>
  <c r="GKY43" i="118"/>
  <c r="GKQ43" i="118"/>
  <c r="GKI43" i="118"/>
  <c r="GKA43" i="118"/>
  <c r="GJS43" i="118"/>
  <c r="GJK43" i="118"/>
  <c r="GJC43" i="118"/>
  <c r="GIU43" i="118"/>
  <c r="GIM43" i="118"/>
  <c r="GIE43" i="118"/>
  <c r="GHW43" i="118"/>
  <c r="GHO43" i="118"/>
  <c r="GHG43" i="118"/>
  <c r="GGY43" i="118"/>
  <c r="GGQ43" i="118"/>
  <c r="GGI43" i="118"/>
  <c r="GGA43" i="118"/>
  <c r="GFS43" i="118"/>
  <c r="GFK43" i="118"/>
  <c r="GFC43" i="118"/>
  <c r="GEU43" i="118"/>
  <c r="GEM43" i="118"/>
  <c r="GEE43" i="118"/>
  <c r="GDW43" i="118"/>
  <c r="GDO43" i="118"/>
  <c r="GDG43" i="118"/>
  <c r="GCY43" i="118"/>
  <c r="GCQ43" i="118"/>
  <c r="GCI43" i="118"/>
  <c r="GCA43" i="118"/>
  <c r="GBS43" i="118"/>
  <c r="GBK43" i="118"/>
  <c r="GBC43" i="118"/>
  <c r="GAU43" i="118"/>
  <c r="GAM43" i="118"/>
  <c r="GAE43" i="118"/>
  <c r="FZW43" i="118"/>
  <c r="FZO43" i="118"/>
  <c r="FZG43" i="118"/>
  <c r="FYY43" i="118"/>
  <c r="FYQ43" i="118"/>
  <c r="FYI43" i="118"/>
  <c r="FYA43" i="118"/>
  <c r="FXS43" i="118"/>
  <c r="FXK43" i="118"/>
  <c r="FXC43" i="118"/>
  <c r="FWU43" i="118"/>
  <c r="FWM43" i="118"/>
  <c r="FWE43" i="118"/>
  <c r="FVW43" i="118"/>
  <c r="FVO43" i="118"/>
  <c r="FVG43" i="118"/>
  <c r="FUY43" i="118"/>
  <c r="FUQ43" i="118"/>
  <c r="FUI43" i="118"/>
  <c r="FUA43" i="118"/>
  <c r="FTS43" i="118"/>
  <c r="FTK43" i="118"/>
  <c r="FTC43" i="118"/>
  <c r="FSU43" i="118"/>
  <c r="FSM43" i="118"/>
  <c r="FSE43" i="118"/>
  <c r="FRW43" i="118"/>
  <c r="FRO43" i="118"/>
  <c r="FRG43" i="118"/>
  <c r="FQY43" i="118"/>
  <c r="FQQ43" i="118"/>
  <c r="FQI43" i="118"/>
  <c r="FQA43" i="118"/>
  <c r="FPS43" i="118"/>
  <c r="FPK43" i="118"/>
  <c r="FPC43" i="118"/>
  <c r="FOU43" i="118"/>
  <c r="FOM43" i="118"/>
  <c r="FOE43" i="118"/>
  <c r="FNW43" i="118"/>
  <c r="FNO43" i="118"/>
  <c r="FNG43" i="118"/>
  <c r="FMY43" i="118"/>
  <c r="FMQ43" i="118"/>
  <c r="FMI43" i="118"/>
  <c r="FMA43" i="118"/>
  <c r="FLS43" i="118"/>
  <c r="FLK43" i="118"/>
  <c r="FLC43" i="118"/>
  <c r="FKU43" i="118"/>
  <c r="FKM43" i="118"/>
  <c r="FKE43" i="118"/>
  <c r="FJW43" i="118"/>
  <c r="FJO43" i="118"/>
  <c r="FJG43" i="118"/>
  <c r="FIY43" i="118"/>
  <c r="FIQ43" i="118"/>
  <c r="FII43" i="118"/>
  <c r="FIA43" i="118"/>
  <c r="FHS43" i="118"/>
  <c r="FHK43" i="118"/>
  <c r="FHC43" i="118"/>
  <c r="FGU43" i="118"/>
  <c r="FGM43" i="118"/>
  <c r="FGE43" i="118"/>
  <c r="FFW43" i="118"/>
  <c r="FFO43" i="118"/>
  <c r="FFG43" i="118"/>
  <c r="FEY43" i="118"/>
  <c r="FEQ43" i="118"/>
  <c r="FEI43" i="118"/>
  <c r="FEA43" i="118"/>
  <c r="FDS43" i="118"/>
  <c r="FDK43" i="118"/>
  <c r="FDC43" i="118"/>
  <c r="FCU43" i="118"/>
  <c r="FCM43" i="118"/>
  <c r="FCE43" i="118"/>
  <c r="FBW43" i="118"/>
  <c r="FBO43" i="118"/>
  <c r="FBG43" i="118"/>
  <c r="FAY43" i="118"/>
  <c r="FAQ43" i="118"/>
  <c r="FAI43" i="118"/>
  <c r="FAA43" i="118"/>
  <c r="EZS43" i="118"/>
  <c r="EZK43" i="118"/>
  <c r="EZC43" i="118"/>
  <c r="EYU43" i="118"/>
  <c r="EYM43" i="118"/>
  <c r="EYE43" i="118"/>
  <c r="EXW43" i="118"/>
  <c r="EXO43" i="118"/>
  <c r="EXG43" i="118"/>
  <c r="EWY43" i="118"/>
  <c r="EWQ43" i="118"/>
  <c r="EWI43" i="118"/>
  <c r="EWA43" i="118"/>
  <c r="EVS43" i="118"/>
  <c r="EVK43" i="118"/>
  <c r="EVC43" i="118"/>
  <c r="EUU43" i="118"/>
  <c r="EUM43" i="118"/>
  <c r="EUE43" i="118"/>
  <c r="ETW43" i="118"/>
  <c r="ETO43" i="118"/>
  <c r="ETG43" i="118"/>
  <c r="ESY43" i="118"/>
  <c r="ESQ43" i="118"/>
  <c r="ESI43" i="118"/>
  <c r="ESA43" i="118"/>
  <c r="ERS43" i="118"/>
  <c r="ERK43" i="118"/>
  <c r="ERC43" i="118"/>
  <c r="EQU43" i="118"/>
  <c r="EQM43" i="118"/>
  <c r="EQE43" i="118"/>
  <c r="EPW43" i="118"/>
  <c r="EPO43" i="118"/>
  <c r="EPG43" i="118"/>
  <c r="EOY43" i="118"/>
  <c r="EOQ43" i="118"/>
  <c r="EOI43" i="118"/>
  <c r="EOA43" i="118"/>
  <c r="ENS43" i="118"/>
  <c r="ENK43" i="118"/>
  <c r="ENC43" i="118"/>
  <c r="EMU43" i="118"/>
  <c r="EMM43" i="118"/>
  <c r="EME43" i="118"/>
  <c r="ELW43" i="118"/>
  <c r="ELO43" i="118"/>
  <c r="ELG43" i="118"/>
  <c r="EKY43" i="118"/>
  <c r="EKQ43" i="118"/>
  <c r="EKI43" i="118"/>
  <c r="EKA43" i="118"/>
  <c r="EJS43" i="118"/>
  <c r="EJK43" i="118"/>
  <c r="EJC43" i="118"/>
  <c r="EIU43" i="118"/>
  <c r="EIM43" i="118"/>
  <c r="EIE43" i="118"/>
  <c r="EHW43" i="118"/>
  <c r="EHO43" i="118"/>
  <c r="EHG43" i="118"/>
  <c r="EGY43" i="118"/>
  <c r="EGQ43" i="118"/>
  <c r="EGI43" i="118"/>
  <c r="EGA43" i="118"/>
  <c r="EFS43" i="118"/>
  <c r="EFK43" i="118"/>
  <c r="EFC43" i="118"/>
  <c r="EEU43" i="118"/>
  <c r="EEM43" i="118"/>
  <c r="EEE43" i="118"/>
  <c r="EDW43" i="118"/>
  <c r="EDO43" i="118"/>
  <c r="EDG43" i="118"/>
  <c r="ECY43" i="118"/>
  <c r="ECQ43" i="118"/>
  <c r="ECI43" i="118"/>
  <c r="ECA43" i="118"/>
  <c r="EBS43" i="118"/>
  <c r="EBK43" i="118"/>
  <c r="EBC43" i="118"/>
  <c r="EAU43" i="118"/>
  <c r="EAM43" i="118"/>
  <c r="EAE43" i="118"/>
  <c r="DZW43" i="118"/>
  <c r="DZO43" i="118"/>
  <c r="DZG43" i="118"/>
  <c r="DYY43" i="118"/>
  <c r="DYQ43" i="118"/>
  <c r="DYI43" i="118"/>
  <c r="DYA43" i="118"/>
  <c r="DXS43" i="118"/>
  <c r="DXK43" i="118"/>
  <c r="DXC43" i="118"/>
  <c r="DWU43" i="118"/>
  <c r="DWM43" i="118"/>
  <c r="DWE43" i="118"/>
  <c r="DVW43" i="118"/>
  <c r="DVO43" i="118"/>
  <c r="DVG43" i="118"/>
  <c r="DUY43" i="118"/>
  <c r="DUQ43" i="118"/>
  <c r="DUI43" i="118"/>
  <c r="DUA43" i="118"/>
  <c r="DTS43" i="118"/>
  <c r="DTK43" i="118"/>
  <c r="DTC43" i="118"/>
  <c r="DSU43" i="118"/>
  <c r="DSM43" i="118"/>
  <c r="DSE43" i="118"/>
  <c r="DRW43" i="118"/>
  <c r="DRO43" i="118"/>
  <c r="DRG43" i="118"/>
  <c r="DQY43" i="118"/>
  <c r="DQQ43" i="118"/>
  <c r="DQI43" i="118"/>
  <c r="DQA43" i="118"/>
  <c r="DPS43" i="118"/>
  <c r="DPK43" i="118"/>
  <c r="DPC43" i="118"/>
  <c r="DOU43" i="118"/>
  <c r="DOM43" i="118"/>
  <c r="DOE43" i="118"/>
  <c r="DNW43" i="118"/>
  <c r="DNO43" i="118"/>
  <c r="DNG43" i="118"/>
  <c r="DMY43" i="118"/>
  <c r="DMQ43" i="118"/>
  <c r="DMI43" i="118"/>
  <c r="DMA43" i="118"/>
  <c r="DLS43" i="118"/>
  <c r="DLK43" i="118"/>
  <c r="DLC43" i="118"/>
  <c r="DKU43" i="118"/>
  <c r="DKM43" i="118"/>
  <c r="DKE43" i="118"/>
  <c r="DJW43" i="118"/>
  <c r="DJO43" i="118"/>
  <c r="DJG43" i="118"/>
  <c r="DIY43" i="118"/>
  <c r="DIQ43" i="118"/>
  <c r="DII43" i="118"/>
  <c r="DIA43" i="118"/>
  <c r="DHS43" i="118"/>
  <c r="DHK43" i="118"/>
  <c r="DHC43" i="118"/>
  <c r="DGU43" i="118"/>
  <c r="DGM43" i="118"/>
  <c r="DGE43" i="118"/>
  <c r="DFW43" i="118"/>
  <c r="DFO43" i="118"/>
  <c r="DFG43" i="118"/>
  <c r="DEY43" i="118"/>
  <c r="DEQ43" i="118"/>
  <c r="DEI43" i="118"/>
  <c r="DEA43" i="118"/>
  <c r="DDS43" i="118"/>
  <c r="DDK43" i="118"/>
  <c r="DDC43" i="118"/>
  <c r="DCU43" i="118"/>
  <c r="DCM43" i="118"/>
  <c r="DCE43" i="118"/>
  <c r="DBW43" i="118"/>
  <c r="DBO43" i="118"/>
  <c r="DBG43" i="118"/>
  <c r="DAY43" i="118"/>
  <c r="DAQ43" i="118"/>
  <c r="DAI43" i="118"/>
  <c r="DAA43" i="118"/>
  <c r="CZS43" i="118"/>
  <c r="CZK43" i="118"/>
  <c r="CZC43" i="118"/>
  <c r="CYU43" i="118"/>
  <c r="CYM43" i="118"/>
  <c r="CYE43" i="118"/>
  <c r="CXW43" i="118"/>
  <c r="CXO43" i="118"/>
  <c r="CXG43" i="118"/>
  <c r="CWY43" i="118"/>
  <c r="CWQ43" i="118"/>
  <c r="CWI43" i="118"/>
  <c r="CWA43" i="118"/>
  <c r="CVS43" i="118"/>
  <c r="CVK43" i="118"/>
  <c r="CVC43" i="118"/>
  <c r="CUU43" i="118"/>
  <c r="CUM43" i="118"/>
  <c r="CUE43" i="118"/>
  <c r="CTW43" i="118"/>
  <c r="CTO43" i="118"/>
  <c r="CTG43" i="118"/>
  <c r="TSA43" i="118"/>
  <c r="SYI43" i="118"/>
  <c r="SGW43" i="118"/>
  <c r="RXA43" i="118"/>
  <c r="RNE43" i="118"/>
  <c r="RFE43" i="118"/>
  <c r="RAE43" i="118"/>
  <c r="QVG43" i="118"/>
  <c r="QQI43" i="118"/>
  <c r="QLK43" i="118"/>
  <c r="QGM43" i="118"/>
  <c r="QBO43" i="118"/>
  <c r="PWQ43" i="118"/>
  <c r="PRS43" i="118"/>
  <c r="PMU43" i="118"/>
  <c r="PHW43" i="118"/>
  <c r="PCY43" i="118"/>
  <c r="OYA43" i="118"/>
  <c r="OTC43" i="118"/>
  <c r="OOE43" i="118"/>
  <c r="OJG43" i="118"/>
  <c r="OGI43" i="118"/>
  <c r="OFC43" i="118"/>
  <c r="ODW43" i="118"/>
  <c r="OCQ43" i="118"/>
  <c r="OBK43" i="118"/>
  <c r="OAE43" i="118"/>
  <c r="NYY43" i="118"/>
  <c r="NXS43" i="118"/>
  <c r="NWM43" i="118"/>
  <c r="NVG43" i="118"/>
  <c r="NUA43" i="118"/>
  <c r="NSU43" i="118"/>
  <c r="NRO43" i="118"/>
  <c r="NQI43" i="118"/>
  <c r="NPC43" i="118"/>
  <c r="NNW43" i="118"/>
  <c r="NMQ43" i="118"/>
  <c r="NLK43" i="118"/>
  <c r="NKE43" i="118"/>
  <c r="NIY43" i="118"/>
  <c r="NHS43" i="118"/>
  <c r="NGM43" i="118"/>
  <c r="NFG43" i="118"/>
  <c r="NEA43" i="118"/>
  <c r="NCU43" i="118"/>
  <c r="NBO43" i="118"/>
  <c r="NAI43" i="118"/>
  <c r="MZC43" i="118"/>
  <c r="MXW43" i="118"/>
  <c r="MWQ43" i="118"/>
  <c r="MVK43" i="118"/>
  <c r="MUE43" i="118"/>
  <c r="MSY43" i="118"/>
  <c r="MRS43" i="118"/>
  <c r="MQM43" i="118"/>
  <c r="MPG43" i="118"/>
  <c r="MOA43" i="118"/>
  <c r="MMU43" i="118"/>
  <c r="MLO43" i="118"/>
  <c r="MKI43" i="118"/>
  <c r="MJC43" i="118"/>
  <c r="MHW43" i="118"/>
  <c r="MGQ43" i="118"/>
  <c r="MFU43" i="118"/>
  <c r="MEY43" i="118"/>
  <c r="MEE43" i="118"/>
  <c r="MDI43" i="118"/>
  <c r="MCQ43" i="118"/>
  <c r="MCA43" i="118"/>
  <c r="MBK43" i="118"/>
  <c r="MAU43" i="118"/>
  <c r="MAE43" i="118"/>
  <c r="LZO43" i="118"/>
  <c r="LYY43" i="118"/>
  <c r="LYI43" i="118"/>
  <c r="LXS43" i="118"/>
  <c r="LXC43" i="118"/>
  <c r="LWM43" i="118"/>
  <c r="LVW43" i="118"/>
  <c r="LVG43" i="118"/>
  <c r="LUQ43" i="118"/>
  <c r="LUA43" i="118"/>
  <c r="LTK43" i="118"/>
  <c r="LSU43" i="118"/>
  <c r="LSE43" i="118"/>
  <c r="LRO43" i="118"/>
  <c r="LQY43" i="118"/>
  <c r="LQI43" i="118"/>
  <c r="LPS43" i="118"/>
  <c r="LPC43" i="118"/>
  <c r="LOM43" i="118"/>
  <c r="LNW43" i="118"/>
  <c r="LNG43" i="118"/>
  <c r="LMQ43" i="118"/>
  <c r="LMA43" i="118"/>
  <c r="LLK43" i="118"/>
  <c r="LKU43" i="118"/>
  <c r="LKE43" i="118"/>
  <c r="LJO43" i="118"/>
  <c r="LIY43" i="118"/>
  <c r="LII43" i="118"/>
  <c r="LHS43" i="118"/>
  <c r="LHC43" i="118"/>
  <c r="LGM43" i="118"/>
  <c r="LFW43" i="118"/>
  <c r="LFG43" i="118"/>
  <c r="LEQ43" i="118"/>
  <c r="LEA43" i="118"/>
  <c r="LDK43" i="118"/>
  <c r="LCU43" i="118"/>
  <c r="LCE43" i="118"/>
  <c r="LBO43" i="118"/>
  <c r="LAY43" i="118"/>
  <c r="LAI43" i="118"/>
  <c r="KZS43" i="118"/>
  <c r="KZC43" i="118"/>
  <c r="KYM43" i="118"/>
  <c r="KXW43" i="118"/>
  <c r="KXG43" i="118"/>
  <c r="KWQ43" i="118"/>
  <c r="KWA43" i="118"/>
  <c r="KVK43" i="118"/>
  <c r="M43" i="118"/>
  <c r="U43" i="118"/>
  <c r="AC43" i="118"/>
  <c r="AK43" i="118"/>
  <c r="AS43" i="118"/>
  <c r="BA43" i="118"/>
  <c r="BI43" i="118"/>
  <c r="BQ43" i="118"/>
  <c r="BY43" i="118"/>
  <c r="CG43" i="118"/>
  <c r="CO43" i="118"/>
  <c r="CW43" i="118"/>
  <c r="DE43" i="118"/>
  <c r="DM43" i="118"/>
  <c r="DU43" i="118"/>
  <c r="EC43" i="118"/>
  <c r="EK43" i="118"/>
  <c r="ES43" i="118"/>
  <c r="FA43" i="118"/>
  <c r="FI43" i="118"/>
  <c r="FQ43" i="118"/>
  <c r="FY43" i="118"/>
  <c r="GG43" i="118"/>
  <c r="GO43" i="118"/>
  <c r="GW43" i="118"/>
  <c r="HE43" i="118"/>
  <c r="HM43" i="118"/>
  <c r="HU43" i="118"/>
  <c r="IC43" i="118"/>
  <c r="IK43" i="118"/>
  <c r="IS43" i="118"/>
  <c r="JA43" i="118"/>
  <c r="JI43" i="118"/>
  <c r="JQ43" i="118"/>
  <c r="JY43" i="118"/>
  <c r="KG43" i="118"/>
  <c r="KO43" i="118"/>
  <c r="KW43" i="118"/>
  <c r="LE43" i="118"/>
  <c r="LM43" i="118"/>
  <c r="LU43" i="118"/>
  <c r="MC43" i="118"/>
  <c r="MK43" i="118"/>
  <c r="MS43" i="118"/>
  <c r="NA43" i="118"/>
  <c r="NI43" i="118"/>
  <c r="NQ43" i="118"/>
  <c r="NY43" i="118"/>
  <c r="OG43" i="118"/>
  <c r="OO43" i="118"/>
  <c r="OW43" i="118"/>
  <c r="PE43" i="118"/>
  <c r="PM43" i="118"/>
  <c r="PU43" i="118"/>
  <c r="QC43" i="118"/>
  <c r="QK43" i="118"/>
  <c r="QS43" i="118"/>
  <c r="RA43" i="118"/>
  <c r="RI43" i="118"/>
  <c r="RQ43" i="118"/>
  <c r="RY43" i="118"/>
  <c r="SG43" i="118"/>
  <c r="SO43" i="118"/>
  <c r="SW43" i="118"/>
  <c r="TE43" i="118"/>
  <c r="TM43" i="118"/>
  <c r="TU43" i="118"/>
  <c r="UC43" i="118"/>
  <c r="UK43" i="118"/>
  <c r="US43" i="118"/>
  <c r="VA43" i="118"/>
  <c r="VI43" i="118"/>
  <c r="VQ43" i="118"/>
  <c r="VY43" i="118"/>
  <c r="WG43" i="118"/>
  <c r="WO43" i="118"/>
  <c r="WW43" i="118"/>
  <c r="XE43" i="118"/>
  <c r="XM43" i="118"/>
  <c r="XU43" i="118"/>
  <c r="YC43" i="118"/>
  <c r="YK43" i="118"/>
  <c r="YS43" i="118"/>
  <c r="ZA43" i="118"/>
  <c r="ZI43" i="118"/>
  <c r="ZQ43" i="118"/>
  <c r="ZY43" i="118"/>
  <c r="AAG43" i="118"/>
  <c r="AAO43" i="118"/>
  <c r="AAW43" i="118"/>
  <c r="ABE43" i="118"/>
  <c r="ABM43" i="118"/>
  <c r="ABU43" i="118"/>
  <c r="ACC43" i="118"/>
  <c r="ACK43" i="118"/>
  <c r="ACS43" i="118"/>
  <c r="ADA43" i="118"/>
  <c r="ADI43" i="118"/>
  <c r="ADQ43" i="118"/>
  <c r="ADY43" i="118"/>
  <c r="AEG43" i="118"/>
  <c r="AEO43" i="118"/>
  <c r="AEW43" i="118"/>
  <c r="AFE43" i="118"/>
  <c r="AFM43" i="118"/>
  <c r="AFU43" i="118"/>
  <c r="AGC43" i="118"/>
  <c r="AGK43" i="118"/>
  <c r="AGS43" i="118"/>
  <c r="AHA43" i="118"/>
  <c r="AHI43" i="118"/>
  <c r="AHQ43" i="118"/>
  <c r="AHY43" i="118"/>
  <c r="AIG43" i="118"/>
  <c r="AIO43" i="118"/>
  <c r="AIW43" i="118"/>
  <c r="AJE43" i="118"/>
  <c r="AJM43" i="118"/>
  <c r="AJU43" i="118"/>
  <c r="AKC43" i="118"/>
  <c r="AKK43" i="118"/>
  <c r="AKS43" i="118"/>
  <c r="ALA43" i="118"/>
  <c r="ALI43" i="118"/>
  <c r="ALQ43" i="118"/>
  <c r="ALY43" i="118"/>
  <c r="AMG43" i="118"/>
  <c r="AMO43" i="118"/>
  <c r="AMW43" i="118"/>
  <c r="ANE43" i="118"/>
  <c r="ANM43" i="118"/>
  <c r="ANU43" i="118"/>
  <c r="AOC43" i="118"/>
  <c r="AOK43" i="118"/>
  <c r="AOS43" i="118"/>
  <c r="APA43" i="118"/>
  <c r="API43" i="118"/>
  <c r="APQ43" i="118"/>
  <c r="APY43" i="118"/>
  <c r="AQG43" i="118"/>
  <c r="AQO43" i="118"/>
  <c r="AQW43" i="118"/>
  <c r="ARE43" i="118"/>
  <c r="ARM43" i="118"/>
  <c r="ARU43" i="118"/>
  <c r="ASC43" i="118"/>
  <c r="ASK43" i="118"/>
  <c r="ASS43" i="118"/>
  <c r="ATA43" i="118"/>
  <c r="ATI43" i="118"/>
  <c r="ATQ43" i="118"/>
  <c r="ATY43" i="118"/>
  <c r="AUG43" i="118"/>
  <c r="AUO43" i="118"/>
  <c r="AUW43" i="118"/>
  <c r="AVE43" i="118"/>
  <c r="AVM43" i="118"/>
  <c r="AVU43" i="118"/>
  <c r="AWC43" i="118"/>
  <c r="AWK43" i="118"/>
  <c r="AWS43" i="118"/>
  <c r="AXA43" i="118"/>
  <c r="AXI43" i="118"/>
  <c r="AXQ43" i="118"/>
  <c r="AXY43" i="118"/>
  <c r="AYG43" i="118"/>
  <c r="AYO43" i="118"/>
  <c r="AYW43" i="118"/>
  <c r="AZE43" i="118"/>
  <c r="AZM43" i="118"/>
  <c r="AZU43" i="118"/>
  <c r="BAC43" i="118"/>
  <c r="BAK43" i="118"/>
  <c r="BAS43" i="118"/>
  <c r="BBA43" i="118"/>
  <c r="BBI43" i="118"/>
  <c r="BBQ43" i="118"/>
  <c r="BBY43" i="118"/>
  <c r="BCG43" i="118"/>
  <c r="BCO43" i="118"/>
  <c r="BCW43" i="118"/>
  <c r="BDE43" i="118"/>
  <c r="BDM43" i="118"/>
  <c r="BDU43" i="118"/>
  <c r="BEC43" i="118"/>
  <c r="BEK43" i="118"/>
  <c r="BES43" i="118"/>
  <c r="BFA43" i="118"/>
  <c r="BFI43" i="118"/>
  <c r="BFQ43" i="118"/>
  <c r="BFY43" i="118"/>
  <c r="BGG43" i="118"/>
  <c r="BGO43" i="118"/>
  <c r="BGW43" i="118"/>
  <c r="BHE43" i="118"/>
  <c r="BHM43" i="118"/>
  <c r="BHU43" i="118"/>
  <c r="BIC43" i="118"/>
  <c r="BIK43" i="118"/>
  <c r="BIS43" i="118"/>
  <c r="BJA43" i="118"/>
  <c r="BJI43" i="118"/>
  <c r="BJQ43" i="118"/>
  <c r="BJY43" i="118"/>
  <c r="BKG43" i="118"/>
  <c r="BKO43" i="118"/>
  <c r="BKW43" i="118"/>
  <c r="BLE43" i="118"/>
  <c r="BLM43" i="118"/>
  <c r="BLU43" i="118"/>
  <c r="BMC43" i="118"/>
  <c r="BMK43" i="118"/>
  <c r="BMS43" i="118"/>
  <c r="BNA43" i="118"/>
  <c r="BNI43" i="118"/>
  <c r="BNQ43" i="118"/>
  <c r="BNY43" i="118"/>
  <c r="BOG43" i="118"/>
  <c r="BOO43" i="118"/>
  <c r="BOW43" i="118"/>
  <c r="BPE43" i="118"/>
  <c r="BPM43" i="118"/>
  <c r="BPU43" i="118"/>
  <c r="BQC43" i="118"/>
  <c r="BQK43" i="118"/>
  <c r="BQS43" i="118"/>
  <c r="BRA43" i="118"/>
  <c r="BRI43" i="118"/>
  <c r="BRQ43" i="118"/>
  <c r="BRY43" i="118"/>
  <c r="BSG43" i="118"/>
  <c r="BSO43" i="118"/>
  <c r="BSW43" i="118"/>
  <c r="BTE43" i="118"/>
  <c r="BTM43" i="118"/>
  <c r="BTU43" i="118"/>
  <c r="BUC43" i="118"/>
  <c r="BUK43" i="118"/>
  <c r="BUS43" i="118"/>
  <c r="BVA43" i="118"/>
  <c r="BVI43" i="118"/>
  <c r="BVQ43" i="118"/>
  <c r="BVY43" i="118"/>
  <c r="BWG43" i="118"/>
  <c r="BWO43" i="118"/>
  <c r="BWW43" i="118"/>
  <c r="BXE43" i="118"/>
  <c r="BXM43" i="118"/>
  <c r="BXU43" i="118"/>
  <c r="BYC43" i="118"/>
  <c r="BYK43" i="118"/>
  <c r="BYS43" i="118"/>
  <c r="BZA43" i="118"/>
  <c r="BZI43" i="118"/>
  <c r="BZQ43" i="118"/>
  <c r="BZY43" i="118"/>
  <c r="CAG43" i="118"/>
  <c r="CAO43" i="118"/>
  <c r="CAW43" i="118"/>
  <c r="CBE43" i="118"/>
  <c r="CBM43" i="118"/>
  <c r="CBU43" i="118"/>
  <c r="CCC43" i="118"/>
  <c r="CCK43" i="118"/>
  <c r="CCS43" i="118"/>
  <c r="CDA43" i="118"/>
  <c r="CDI43" i="118"/>
  <c r="CDQ43" i="118"/>
  <c r="CDY43" i="118"/>
  <c r="CEG43" i="118"/>
  <c r="CEO43" i="118"/>
  <c r="CEW43" i="118"/>
  <c r="CFE43" i="118"/>
  <c r="CFM43" i="118"/>
  <c r="CFU43" i="118"/>
  <c r="CGC43" i="118"/>
  <c r="CGK43" i="118"/>
  <c r="CGW43" i="118"/>
  <c r="CHG43" i="118"/>
  <c r="CHQ43" i="118"/>
  <c r="CIC43" i="118"/>
  <c r="CIM43" i="118"/>
  <c r="CIW43" i="118"/>
  <c r="CJI43" i="118"/>
  <c r="CJS43" i="118"/>
  <c r="CKC43" i="118"/>
  <c r="CKO43" i="118"/>
  <c r="CKY43" i="118"/>
  <c r="CLI43" i="118"/>
  <c r="CLU43" i="118"/>
  <c r="CME43" i="118"/>
  <c r="CMO43" i="118"/>
  <c r="CNA43" i="118"/>
  <c r="CNK43" i="118"/>
  <c r="CNU43" i="118"/>
  <c r="COG43" i="118"/>
  <c r="COQ43" i="118"/>
  <c r="CPA43" i="118"/>
  <c r="CPM43" i="118"/>
  <c r="CPW43" i="118"/>
  <c r="CQG43" i="118"/>
  <c r="CQS43" i="118"/>
  <c r="CRC43" i="118"/>
  <c r="CRM43" i="118"/>
  <c r="CRY43" i="118"/>
  <c r="CSI43" i="118"/>
  <c r="CSS43" i="118"/>
  <c r="CTE43" i="118"/>
  <c r="CTU43" i="118"/>
  <c r="CUK43" i="118"/>
  <c r="CVA43" i="118"/>
  <c r="CVQ43" i="118"/>
  <c r="CWG43" i="118"/>
  <c r="CWW43" i="118"/>
  <c r="CXM43" i="118"/>
  <c r="CYC43" i="118"/>
  <c r="CYS43" i="118"/>
  <c r="CZI43" i="118"/>
  <c r="CZY43" i="118"/>
  <c r="DAO43" i="118"/>
  <c r="DBE43" i="118"/>
  <c r="DBU43" i="118"/>
  <c r="DCK43" i="118"/>
  <c r="DDA43" i="118"/>
  <c r="DDQ43" i="118"/>
  <c r="DEG43" i="118"/>
  <c r="DEW43" i="118"/>
  <c r="DFM43" i="118"/>
  <c r="DGC43" i="118"/>
  <c r="DGS43" i="118"/>
  <c r="DHI43" i="118"/>
  <c r="DHY43" i="118"/>
  <c r="DIO43" i="118"/>
  <c r="DJE43" i="118"/>
  <c r="DJU43" i="118"/>
  <c r="DKK43" i="118"/>
  <c r="DLA43" i="118"/>
  <c r="DLQ43" i="118"/>
  <c r="DMG43" i="118"/>
  <c r="DMW43" i="118"/>
  <c r="DNM43" i="118"/>
  <c r="DOC43" i="118"/>
  <c r="DOS43" i="118"/>
  <c r="DPI43" i="118"/>
  <c r="DPY43" i="118"/>
  <c r="DQO43" i="118"/>
  <c r="DRE43" i="118"/>
  <c r="DRU43" i="118"/>
  <c r="DSK43" i="118"/>
  <c r="DTA43" i="118"/>
  <c r="DTQ43" i="118"/>
  <c r="DUG43" i="118"/>
  <c r="DUW43" i="118"/>
  <c r="DVM43" i="118"/>
  <c r="DWC43" i="118"/>
  <c r="DWS43" i="118"/>
  <c r="DXI43" i="118"/>
  <c r="DXY43" i="118"/>
  <c r="DYO43" i="118"/>
  <c r="DZE43" i="118"/>
  <c r="DZU43" i="118"/>
  <c r="EAK43" i="118"/>
  <c r="EBA43" i="118"/>
  <c r="EBQ43" i="118"/>
  <c r="ECG43" i="118"/>
  <c r="ECW43" i="118"/>
  <c r="EDM43" i="118"/>
  <c r="EEC43" i="118"/>
  <c r="EES43" i="118"/>
  <c r="EFI43" i="118"/>
  <c r="EFY43" i="118"/>
  <c r="EGO43" i="118"/>
  <c r="EHE43" i="118"/>
  <c r="EHU43" i="118"/>
  <c r="EIK43" i="118"/>
  <c r="EJA43" i="118"/>
  <c r="EJQ43" i="118"/>
  <c r="EKG43" i="118"/>
  <c r="EKW43" i="118"/>
  <c r="ELM43" i="118"/>
  <c r="EMC43" i="118"/>
  <c r="EMS43" i="118"/>
  <c r="ENI43" i="118"/>
  <c r="ENY43" i="118"/>
  <c r="EOO43" i="118"/>
  <c r="EPE43" i="118"/>
  <c r="EPU43" i="118"/>
  <c r="EQK43" i="118"/>
  <c r="ERA43" i="118"/>
  <c r="ERQ43" i="118"/>
  <c r="ESG43" i="118"/>
  <c r="ESW43" i="118"/>
  <c r="ETM43" i="118"/>
  <c r="EUC43" i="118"/>
  <c r="EUS43" i="118"/>
  <c r="EVI43" i="118"/>
  <c r="EVY43" i="118"/>
  <c r="EWO43" i="118"/>
  <c r="EXE43" i="118"/>
  <c r="EXU43" i="118"/>
  <c r="EYK43" i="118"/>
  <c r="EZA43" i="118"/>
  <c r="EZQ43" i="118"/>
  <c r="FAG43" i="118"/>
  <c r="FAW43" i="118"/>
  <c r="FBM43" i="118"/>
  <c r="FCC43" i="118"/>
  <c r="FCS43" i="118"/>
  <c r="FDI43" i="118"/>
  <c r="FDY43" i="118"/>
  <c r="FEO43" i="118"/>
  <c r="FFE43" i="118"/>
  <c r="FFU43" i="118"/>
  <c r="FGK43" i="118"/>
  <c r="FHA43" i="118"/>
  <c r="FHQ43" i="118"/>
  <c r="FIG43" i="118"/>
  <c r="FIW43" i="118"/>
  <c r="FJM43" i="118"/>
  <c r="FKC43" i="118"/>
  <c r="FKS43" i="118"/>
  <c r="FLI43" i="118"/>
  <c r="FLY43" i="118"/>
  <c r="FMO43" i="118"/>
  <c r="FNE43" i="118"/>
  <c r="FNU43" i="118"/>
  <c r="FOK43" i="118"/>
  <c r="FPA43" i="118"/>
  <c r="FPQ43" i="118"/>
  <c r="FQG43" i="118"/>
  <c r="FQW43" i="118"/>
  <c r="FRM43" i="118"/>
  <c r="FSC43" i="118"/>
  <c r="FSS43" i="118"/>
  <c r="FTI43" i="118"/>
  <c r="FTY43" i="118"/>
  <c r="FUO43" i="118"/>
  <c r="FVE43" i="118"/>
  <c r="FVU43" i="118"/>
  <c r="FWK43" i="118"/>
  <c r="FXA43" i="118"/>
  <c r="FXQ43" i="118"/>
  <c r="FYG43" i="118"/>
  <c r="FYW43" i="118"/>
  <c r="FZM43" i="118"/>
  <c r="GAC43" i="118"/>
  <c r="GAS43" i="118"/>
  <c r="GBI43" i="118"/>
  <c r="GBY43" i="118"/>
  <c r="GCO43" i="118"/>
  <c r="GDE43" i="118"/>
  <c r="GDU43" i="118"/>
  <c r="GEK43" i="118"/>
  <c r="GFA43" i="118"/>
  <c r="GFQ43" i="118"/>
  <c r="GGG43" i="118"/>
  <c r="GGW43" i="118"/>
  <c r="GHM43" i="118"/>
  <c r="GIC43" i="118"/>
  <c r="GIS43" i="118"/>
  <c r="GJI43" i="118"/>
  <c r="GJY43" i="118"/>
  <c r="GKO43" i="118"/>
  <c r="GLE43" i="118"/>
  <c r="GLU43" i="118"/>
  <c r="GMK43" i="118"/>
  <c r="GNA43" i="118"/>
  <c r="GNQ43" i="118"/>
  <c r="GOG43" i="118"/>
  <c r="GOW43" i="118"/>
  <c r="GPM43" i="118"/>
  <c r="GQC43" i="118"/>
  <c r="GQS43" i="118"/>
  <c r="GRI43" i="118"/>
  <c r="GRY43" i="118"/>
  <c r="GSO43" i="118"/>
  <c r="GTE43" i="118"/>
  <c r="GTU43" i="118"/>
  <c r="GUM43" i="118"/>
  <c r="GVI43" i="118"/>
  <c r="GWE43" i="118"/>
  <c r="GWY43" i="118"/>
  <c r="GXU43" i="118"/>
  <c r="GYQ43" i="118"/>
  <c r="GZK43" i="118"/>
  <c r="HAI43" i="118"/>
  <c r="HBO43" i="118"/>
  <c r="HCU43" i="118"/>
  <c r="HEA43" i="118"/>
  <c r="HFG43" i="118"/>
  <c r="HGM43" i="118"/>
  <c r="HHS43" i="118"/>
  <c r="HIY43" i="118"/>
  <c r="HKE43" i="118"/>
  <c r="HLK43" i="118"/>
  <c r="HMQ43" i="118"/>
  <c r="HNW43" i="118"/>
  <c r="HPC43" i="118"/>
  <c r="HQI43" i="118"/>
  <c r="HRO43" i="118"/>
  <c r="HSU43" i="118"/>
  <c r="HUA43" i="118"/>
  <c r="HVG43" i="118"/>
  <c r="HWM43" i="118"/>
  <c r="HXS43" i="118"/>
  <c r="HYY43" i="118"/>
  <c r="IAE43" i="118"/>
  <c r="IBK43" i="118"/>
  <c r="ICQ43" i="118"/>
  <c r="IDW43" i="118"/>
  <c r="IFC43" i="118"/>
  <c r="IGI43" i="118"/>
  <c r="IHO43" i="118"/>
  <c r="IIU43" i="118"/>
  <c r="IKA43" i="118"/>
  <c r="ILG43" i="118"/>
  <c r="IMM43" i="118"/>
  <c r="INS43" i="118"/>
  <c r="IOY43" i="118"/>
  <c r="IQE43" i="118"/>
  <c r="IRK43" i="118"/>
  <c r="ISQ43" i="118"/>
  <c r="ITW43" i="118"/>
  <c r="IVC43" i="118"/>
  <c r="IWI43" i="118"/>
  <c r="IXO43" i="118"/>
  <c r="IYU43" i="118"/>
  <c r="JAA43" i="118"/>
  <c r="JBG43" i="118"/>
  <c r="JCM43" i="118"/>
  <c r="JDS43" i="118"/>
  <c r="JEY43" i="118"/>
  <c r="JGE43" i="118"/>
  <c r="JHK43" i="118"/>
  <c r="JIQ43" i="118"/>
  <c r="JJW43" i="118"/>
  <c r="JLC43" i="118"/>
  <c r="JMI43" i="118"/>
  <c r="JNO43" i="118"/>
  <c r="JOU43" i="118"/>
  <c r="JQA43" i="118"/>
  <c r="JRG43" i="118"/>
  <c r="JSM43" i="118"/>
  <c r="JTS43" i="118"/>
  <c r="JUY43" i="118"/>
  <c r="JWE43" i="118"/>
  <c r="JXK43" i="118"/>
  <c r="JYQ43" i="118"/>
  <c r="JZW43" i="118"/>
  <c r="KBC43" i="118"/>
  <c r="KCI43" i="118"/>
  <c r="KDO43" i="118"/>
  <c r="KEU43" i="118"/>
  <c r="KGA43" i="118"/>
  <c r="KHG43" i="118"/>
  <c r="KIM43" i="118"/>
  <c r="KJS43" i="118"/>
  <c r="KKY43" i="118"/>
  <c r="KME43" i="118"/>
  <c r="KNK43" i="118"/>
  <c r="KOQ43" i="118"/>
  <c r="KPW43" i="118"/>
  <c r="KRC43" i="118"/>
  <c r="KSI43" i="118"/>
  <c r="KTO43" i="118"/>
  <c r="KUU43" i="118"/>
  <c r="KWY43" i="118"/>
  <c r="KZK43" i="118"/>
  <c r="LBW43" i="118"/>
  <c r="LEI43" i="118"/>
  <c r="LGU43" i="118"/>
  <c r="LJG43" i="118"/>
  <c r="LLS43" i="118"/>
  <c r="LOE43" i="118"/>
  <c r="LQQ43" i="118"/>
  <c r="LTC43" i="118"/>
  <c r="LVO43" i="118"/>
  <c r="LYA43" i="118"/>
  <c r="MAM43" i="118"/>
  <c r="MCY43" i="118"/>
  <c r="MGE43" i="118"/>
  <c r="MKY43" i="118"/>
  <c r="MPW43" i="118"/>
  <c r="MUU43" i="118"/>
  <c r="MZS43" i="118"/>
  <c r="NEQ43" i="118"/>
  <c r="NJO43" i="118"/>
  <c r="NOM43" i="118"/>
  <c r="NTK43" i="118"/>
  <c r="NYI43" i="118"/>
  <c r="ODG43" i="118"/>
  <c r="OLS43" i="118"/>
  <c r="PFK43" i="118"/>
  <c r="PZC43" i="118"/>
  <c r="QSU43" i="118"/>
  <c r="RSC43" i="118"/>
  <c r="UIM43" i="118"/>
  <c r="Q45" i="68"/>
  <c r="Y45" i="68"/>
  <c r="AG45" i="68"/>
  <c r="AO45" i="68"/>
  <c r="AW45" i="68"/>
  <c r="X86" i="68"/>
  <c r="AN86" i="68"/>
  <c r="O127" i="68"/>
  <c r="W127" i="68"/>
  <c r="AE127" i="68"/>
  <c r="AM127" i="68"/>
  <c r="AU127" i="68"/>
  <c r="AB252" i="68"/>
  <c r="AR252" i="68"/>
  <c r="Q293" i="68"/>
  <c r="Y293" i="68"/>
  <c r="AG293" i="68"/>
  <c r="AO293" i="68"/>
  <c r="AW293" i="68"/>
  <c r="X334" i="68"/>
  <c r="AN334" i="68"/>
  <c r="S6" i="66"/>
  <c r="AA6" i="66"/>
  <c r="AI6" i="66"/>
  <c r="AQ6" i="66"/>
  <c r="I50" i="66"/>
  <c r="AE134" i="113"/>
  <c r="AR134" i="113"/>
  <c r="AR179" i="113"/>
  <c r="AB86" i="68"/>
  <c r="AR86" i="68"/>
  <c r="Y127" i="68"/>
  <c r="AG127" i="68"/>
  <c r="AO127" i="68"/>
  <c r="AW127" i="68"/>
  <c r="AB334" i="68"/>
  <c r="AR334" i="68"/>
  <c r="U6" i="66"/>
  <c r="AC6" i="66"/>
  <c r="AK6" i="66"/>
  <c r="AS6" i="66"/>
  <c r="I52" i="66"/>
  <c r="AE179" i="113"/>
  <c r="BS179" i="113"/>
  <c r="D179" i="113"/>
  <c r="Q179" i="113"/>
  <c r="U45" i="68"/>
  <c r="AC45" i="68"/>
  <c r="AK45" i="68"/>
  <c r="AS45" i="68"/>
  <c r="P86" i="68"/>
  <c r="AF86" i="68"/>
  <c r="S127" i="68"/>
  <c r="AA127" i="68"/>
  <c r="AI127" i="68"/>
  <c r="AQ127" i="68"/>
  <c r="U293" i="68"/>
  <c r="AC293" i="68"/>
  <c r="AK293" i="68"/>
  <c r="AS293" i="68"/>
  <c r="P334" i="68"/>
  <c r="AF334" i="68"/>
  <c r="AV334" i="68"/>
  <c r="W6" i="66"/>
  <c r="AE6" i="66"/>
  <c r="AM6" i="66"/>
  <c r="AU6" i="66"/>
  <c r="U127" i="68"/>
  <c r="AC127" i="68"/>
  <c r="AK127" i="68"/>
  <c r="AS127" i="68"/>
  <c r="X252" i="68"/>
  <c r="O293" i="68"/>
  <c r="W293" i="68"/>
  <c r="AE293" i="68"/>
  <c r="AM293" i="68"/>
  <c r="AU293" i="68"/>
  <c r="T334" i="68"/>
  <c r="Q6" i="66"/>
  <c r="Y6" i="66"/>
  <c r="AG6" i="66"/>
  <c r="AO6" i="66"/>
  <c r="AW6" i="66"/>
  <c r="C418" i="119"/>
  <c r="F418" i="119" s="1"/>
  <c r="C422" i="119"/>
  <c r="O422" i="119" s="1"/>
  <c r="C13" i="52"/>
  <c r="C65" i="52"/>
  <c r="AM65" i="52" s="1"/>
  <c r="H57" i="120"/>
  <c r="G57" i="120"/>
  <c r="I58" i="120"/>
  <c r="H58" i="120"/>
  <c r="G58" i="120"/>
  <c r="H59" i="120"/>
  <c r="G60" i="120"/>
  <c r="H61" i="120"/>
  <c r="G61" i="120"/>
  <c r="F58" i="120"/>
  <c r="H60" i="120"/>
  <c r="F60" i="120"/>
  <c r="I60" i="120"/>
  <c r="I61" i="120"/>
  <c r="C407" i="119"/>
  <c r="E407" i="119" s="1"/>
  <c r="C411" i="119"/>
  <c r="F411" i="119" s="1"/>
  <c r="C415" i="119"/>
  <c r="E415" i="119" s="1"/>
  <c r="C40" i="92" s="1"/>
  <c r="C419" i="119"/>
  <c r="AS419" i="119" s="1"/>
  <c r="M44" i="92" s="1"/>
  <c r="C408" i="119"/>
  <c r="C412" i="119"/>
  <c r="H412" i="119" s="1"/>
  <c r="C416" i="119"/>
  <c r="F416" i="119" s="1"/>
  <c r="C420" i="119"/>
  <c r="AS420" i="119" s="1"/>
  <c r="M45" i="92" s="1"/>
  <c r="C409" i="119"/>
  <c r="F409" i="119" s="1"/>
  <c r="C413" i="119"/>
  <c r="E413" i="119" s="1"/>
  <c r="C38" i="92" s="1"/>
  <c r="C417" i="119"/>
  <c r="H417" i="119" s="1"/>
  <c r="C421" i="119"/>
  <c r="AS421" i="119" s="1"/>
  <c r="C410" i="119"/>
  <c r="H410" i="119" s="1"/>
  <c r="C414" i="119"/>
  <c r="H414" i="119" s="1"/>
  <c r="C33" i="52"/>
  <c r="AV29" i="24"/>
  <c r="AF29" i="24"/>
  <c r="X29" i="24"/>
  <c r="AN29" i="24"/>
  <c r="T29" i="24"/>
  <c r="AB29" i="24"/>
  <c r="AJ29" i="24"/>
  <c r="AR29" i="24"/>
  <c r="R29" i="24"/>
  <c r="V29" i="24"/>
  <c r="Z29" i="24"/>
  <c r="AD29" i="24"/>
  <c r="AH29" i="24"/>
  <c r="AL29" i="24"/>
  <c r="AH38" i="94" s="1"/>
  <c r="AP29" i="24"/>
  <c r="AT29" i="24"/>
  <c r="AX29" i="24"/>
  <c r="C9" i="52"/>
  <c r="AM9" i="52" s="1"/>
  <c r="C17" i="52"/>
  <c r="AG17" i="52" s="1"/>
  <c r="C49" i="52"/>
  <c r="AI49" i="52" s="1"/>
  <c r="C25" i="52"/>
  <c r="AG25" i="52" s="1"/>
  <c r="C41" i="52"/>
  <c r="N62" i="120"/>
  <c r="U62" i="120"/>
  <c r="I56" i="120"/>
  <c r="F56" i="120"/>
  <c r="AQ62" i="120"/>
  <c r="AM62" i="120"/>
  <c r="AI62" i="120"/>
  <c r="AE62" i="120"/>
  <c r="AA62" i="120"/>
  <c r="W62" i="120"/>
  <c r="S62" i="120"/>
  <c r="O62" i="120"/>
  <c r="K62" i="120"/>
  <c r="G62" i="120"/>
  <c r="AP62" i="120"/>
  <c r="AH62" i="120"/>
  <c r="Z62" i="120"/>
  <c r="R62" i="120"/>
  <c r="J62" i="120"/>
  <c r="L62" i="120"/>
  <c r="AB62" i="120"/>
  <c r="AR62" i="120"/>
  <c r="P62" i="120"/>
  <c r="AF62" i="120"/>
  <c r="AJ62" i="120"/>
  <c r="F62" i="120"/>
  <c r="V62" i="120"/>
  <c r="AL62" i="120"/>
  <c r="I62" i="120"/>
  <c r="Q62" i="120"/>
  <c r="Y62" i="120"/>
  <c r="AG62" i="120"/>
  <c r="AO62" i="120"/>
  <c r="G59" i="120"/>
  <c r="G56" i="120"/>
  <c r="I59" i="120"/>
  <c r="I55" i="120"/>
  <c r="F59" i="120"/>
  <c r="F55" i="120"/>
  <c r="F61" i="120"/>
  <c r="I57" i="120"/>
  <c r="C68" i="52"/>
  <c r="C66" i="52"/>
  <c r="C64" i="52"/>
  <c r="C62" i="52"/>
  <c r="C60" i="52"/>
  <c r="C58" i="52"/>
  <c r="C56" i="52"/>
  <c r="E56" i="52" s="1"/>
  <c r="C52" i="52"/>
  <c r="C50" i="52"/>
  <c r="C48" i="52"/>
  <c r="C46" i="52"/>
  <c r="C44" i="52"/>
  <c r="C42" i="52"/>
  <c r="C40" i="52"/>
  <c r="C38" i="52"/>
  <c r="C36" i="52"/>
  <c r="C34" i="52"/>
  <c r="C32" i="52"/>
  <c r="C30" i="52"/>
  <c r="C28" i="52"/>
  <c r="C26" i="52"/>
  <c r="C24" i="52"/>
  <c r="C22" i="52"/>
  <c r="C20" i="52"/>
  <c r="C18" i="52"/>
  <c r="C16" i="52"/>
  <c r="R16" i="52" s="1"/>
  <c r="C12" i="52"/>
  <c r="C8" i="52"/>
  <c r="C6" i="52"/>
  <c r="E6" i="52" s="1"/>
  <c r="E4" i="52"/>
  <c r="C67" i="52"/>
  <c r="C63" i="52"/>
  <c r="F63" i="52" s="1"/>
  <c r="C59" i="52"/>
  <c r="C55" i="52"/>
  <c r="C51" i="52"/>
  <c r="C47" i="52"/>
  <c r="C43" i="52"/>
  <c r="C39" i="52"/>
  <c r="C35" i="52"/>
  <c r="C31" i="52"/>
  <c r="C27" i="52"/>
  <c r="C23" i="52"/>
  <c r="C19" i="52"/>
  <c r="C11" i="52"/>
  <c r="C7" i="52"/>
  <c r="B18" i="101"/>
  <c r="C5" i="52"/>
  <c r="C21" i="52"/>
  <c r="C29" i="52"/>
  <c r="C37" i="52"/>
  <c r="C45" i="52"/>
  <c r="C61" i="52"/>
  <c r="C69" i="52"/>
  <c r="AB83" i="99"/>
  <c r="T47" i="110" s="1"/>
  <c r="T48" i="110" s="1"/>
  <c r="AL122" i="99"/>
  <c r="AD51" i="110" s="1"/>
  <c r="AD52" i="110" s="1"/>
  <c r="AL200" i="99"/>
  <c r="AD55" i="110" s="1"/>
  <c r="AD56" i="110" s="1"/>
  <c r="C278" i="99"/>
  <c r="O278" i="99"/>
  <c r="XFC43" i="118"/>
  <c r="XFA43" i="118"/>
  <c r="XEY43" i="118"/>
  <c r="XEW43" i="118"/>
  <c r="XEU43" i="118"/>
  <c r="XES43" i="118"/>
  <c r="XEQ43" i="118"/>
  <c r="XEO43" i="118"/>
  <c r="XEM43" i="118"/>
  <c r="XEK43" i="118"/>
  <c r="XEI43" i="118"/>
  <c r="XEG43" i="118"/>
  <c r="XEE43" i="118"/>
  <c r="XEC43" i="118"/>
  <c r="XEA43" i="118"/>
  <c r="XDY43" i="118"/>
  <c r="XDW43" i="118"/>
  <c r="XDU43" i="118"/>
  <c r="XDS43" i="118"/>
  <c r="XDQ43" i="118"/>
  <c r="XDO43" i="118"/>
  <c r="XDM43" i="118"/>
  <c r="XDK43" i="118"/>
  <c r="XDI43" i="118"/>
  <c r="XDG43" i="118"/>
  <c r="XDE43" i="118"/>
  <c r="XDC43" i="118"/>
  <c r="XDA43" i="118"/>
  <c r="XCY43" i="118"/>
  <c r="XCW43" i="118"/>
  <c r="XCU43" i="118"/>
  <c r="XCS43" i="118"/>
  <c r="XCQ43" i="118"/>
  <c r="XCO43" i="118"/>
  <c r="XCM43" i="118"/>
  <c r="XCK43" i="118"/>
  <c r="XCI43" i="118"/>
  <c r="XCG43" i="118"/>
  <c r="XCE43" i="118"/>
  <c r="XCC43" i="118"/>
  <c r="XCA43" i="118"/>
  <c r="XBY43" i="118"/>
  <c r="XBW43" i="118"/>
  <c r="XBU43" i="118"/>
  <c r="XBS43" i="118"/>
  <c r="XBQ43" i="118"/>
  <c r="XBO43" i="118"/>
  <c r="XBM43" i="118"/>
  <c r="XBK43" i="118"/>
  <c r="XBI43" i="118"/>
  <c r="XBG43" i="118"/>
  <c r="XBE43" i="118"/>
  <c r="XBC43" i="118"/>
  <c r="XBA43" i="118"/>
  <c r="XAY43" i="118"/>
  <c r="XAW43" i="118"/>
  <c r="XAU43" i="118"/>
  <c r="XAS43" i="118"/>
  <c r="XAQ43" i="118"/>
  <c r="XAO43" i="118"/>
  <c r="XAM43" i="118"/>
  <c r="XAK43" i="118"/>
  <c r="XAI43" i="118"/>
  <c r="XAG43" i="118"/>
  <c r="XAE43" i="118"/>
  <c r="XAC43" i="118"/>
  <c r="XAA43" i="118"/>
  <c r="WZY43" i="118"/>
  <c r="WZW43" i="118"/>
  <c r="WZU43" i="118"/>
  <c r="WZS43" i="118"/>
  <c r="WZQ43" i="118"/>
  <c r="WZO43" i="118"/>
  <c r="WZM43" i="118"/>
  <c r="WZK43" i="118"/>
  <c r="WZI43" i="118"/>
  <c r="WZG43" i="118"/>
  <c r="WZE43" i="118"/>
  <c r="WZC43" i="118"/>
  <c r="WZA43" i="118"/>
  <c r="WYY43" i="118"/>
  <c r="WYW43" i="118"/>
  <c r="WYU43" i="118"/>
  <c r="WYS43" i="118"/>
  <c r="WYQ43" i="118"/>
  <c r="WYO43" i="118"/>
  <c r="WYM43" i="118"/>
  <c r="WYK43" i="118"/>
  <c r="WYI43" i="118"/>
  <c r="WYG43" i="118"/>
  <c r="WYE43" i="118"/>
  <c r="WYC43" i="118"/>
  <c r="WYA43" i="118"/>
  <c r="WXY43" i="118"/>
  <c r="WXW43" i="118"/>
  <c r="WXU43" i="118"/>
  <c r="WXS43" i="118"/>
  <c r="WXQ43" i="118"/>
  <c r="WXO43" i="118"/>
  <c r="WXM43" i="118"/>
  <c r="WXK43" i="118"/>
  <c r="WXI43" i="118"/>
  <c r="WXG43" i="118"/>
  <c r="WXE43" i="118"/>
  <c r="WXC43" i="118"/>
  <c r="WXA43" i="118"/>
  <c r="WWY43" i="118"/>
  <c r="WWW43" i="118"/>
  <c r="WWU43" i="118"/>
  <c r="WWS43" i="118"/>
  <c r="WWQ43" i="118"/>
  <c r="WWO43" i="118"/>
  <c r="WWM43" i="118"/>
  <c r="WWK43" i="118"/>
  <c r="WWI43" i="118"/>
  <c r="WWG43" i="118"/>
  <c r="WWE43" i="118"/>
  <c r="WWC43" i="118"/>
  <c r="WWA43" i="118"/>
  <c r="WVY43" i="118"/>
  <c r="WVW43" i="118"/>
  <c r="WVU43" i="118"/>
  <c r="WVS43" i="118"/>
  <c r="WVQ43" i="118"/>
  <c r="WVO43" i="118"/>
  <c r="WVM43" i="118"/>
  <c r="WVK43" i="118"/>
  <c r="WVI43" i="118"/>
  <c r="WVG43" i="118"/>
  <c r="WVE43" i="118"/>
  <c r="WVC43" i="118"/>
  <c r="WVA43" i="118"/>
  <c r="WUY43" i="118"/>
  <c r="WUW43" i="118"/>
  <c r="WUU43" i="118"/>
  <c r="WUS43" i="118"/>
  <c r="WUQ43" i="118"/>
  <c r="WUO43" i="118"/>
  <c r="WUM43" i="118"/>
  <c r="WUK43" i="118"/>
  <c r="WUI43" i="118"/>
  <c r="WUG43" i="118"/>
  <c r="WUE43" i="118"/>
  <c r="WUC43" i="118"/>
  <c r="WUA43" i="118"/>
  <c r="WTY43" i="118"/>
  <c r="WTW43" i="118"/>
  <c r="WTU43" i="118"/>
  <c r="WTS43" i="118"/>
  <c r="WTQ43" i="118"/>
  <c r="WTO43" i="118"/>
  <c r="WTM43" i="118"/>
  <c r="WTK43" i="118"/>
  <c r="WTI43" i="118"/>
  <c r="WTG43" i="118"/>
  <c r="WTE43" i="118"/>
  <c r="WTC43" i="118"/>
  <c r="WTA43" i="118"/>
  <c r="WSY43" i="118"/>
  <c r="WSW43" i="118"/>
  <c r="WSU43" i="118"/>
  <c r="WSS43" i="118"/>
  <c r="WSQ43" i="118"/>
  <c r="WSO43" i="118"/>
  <c r="WSM43" i="118"/>
  <c r="WSK43" i="118"/>
  <c r="WSI43" i="118"/>
  <c r="WSG43" i="118"/>
  <c r="WSE43" i="118"/>
  <c r="WSC43" i="118"/>
  <c r="WSA43" i="118"/>
  <c r="WRY43" i="118"/>
  <c r="WRW43" i="118"/>
  <c r="WRU43" i="118"/>
  <c r="WRS43" i="118"/>
  <c r="WRQ43" i="118"/>
  <c r="WRO43" i="118"/>
  <c r="WRM43" i="118"/>
  <c r="WRK43" i="118"/>
  <c r="WRI43" i="118"/>
  <c r="WRG43" i="118"/>
  <c r="WRE43" i="118"/>
  <c r="WRC43" i="118"/>
  <c r="WRA43" i="118"/>
  <c r="WQY43" i="118"/>
  <c r="WQW43" i="118"/>
  <c r="WQU43" i="118"/>
  <c r="WQS43" i="118"/>
  <c r="WQQ43" i="118"/>
  <c r="WQO43" i="118"/>
  <c r="WQM43" i="118"/>
  <c r="WQK43" i="118"/>
  <c r="WQI43" i="118"/>
  <c r="WQG43" i="118"/>
  <c r="WQE43" i="118"/>
  <c r="WQC43" i="118"/>
  <c r="WQA43" i="118"/>
  <c r="WPY43" i="118"/>
  <c r="WPW43" i="118"/>
  <c r="WPU43" i="118"/>
  <c r="WPS43" i="118"/>
  <c r="WPQ43" i="118"/>
  <c r="WPO43" i="118"/>
  <c r="WPM43" i="118"/>
  <c r="WPK43" i="118"/>
  <c r="WPI43" i="118"/>
  <c r="WPG43" i="118"/>
  <c r="WPE43" i="118"/>
  <c r="WPC43" i="118"/>
  <c r="WPA43" i="118"/>
  <c r="WOY43" i="118"/>
  <c r="WOW43" i="118"/>
  <c r="WOU43" i="118"/>
  <c r="WOS43" i="118"/>
  <c r="WOQ43" i="118"/>
  <c r="WOO43" i="118"/>
  <c r="WOM43" i="118"/>
  <c r="WOK43" i="118"/>
  <c r="WOI43" i="118"/>
  <c r="WOG43" i="118"/>
  <c r="WOE43" i="118"/>
  <c r="WOC43" i="118"/>
  <c r="WOA43" i="118"/>
  <c r="WNY43" i="118"/>
  <c r="WNW43" i="118"/>
  <c r="WNU43" i="118"/>
  <c r="WNS43" i="118"/>
  <c r="WNQ43" i="118"/>
  <c r="WNO43" i="118"/>
  <c r="WNM43" i="118"/>
  <c r="WNK43" i="118"/>
  <c r="WNI43" i="118"/>
  <c r="WNG43" i="118"/>
  <c r="WNE43" i="118"/>
  <c r="WNC43" i="118"/>
  <c r="WNA43" i="118"/>
  <c r="WMY43" i="118"/>
  <c r="WMW43" i="118"/>
  <c r="WMU43" i="118"/>
  <c r="WMS43" i="118"/>
  <c r="WMQ43" i="118"/>
  <c r="WMO43" i="118"/>
  <c r="WMM43" i="118"/>
  <c r="WMK43" i="118"/>
  <c r="WMI43" i="118"/>
  <c r="WMG43" i="118"/>
  <c r="WME43" i="118"/>
  <c r="WMC43" i="118"/>
  <c r="WMA43" i="118"/>
  <c r="WLY43" i="118"/>
  <c r="WLW43" i="118"/>
  <c r="WLU43" i="118"/>
  <c r="WLS43" i="118"/>
  <c r="WLQ43" i="118"/>
  <c r="WLO43" i="118"/>
  <c r="WLM43" i="118"/>
  <c r="WLK43" i="118"/>
  <c r="WLI43" i="118"/>
  <c r="WLG43" i="118"/>
  <c r="WLE43" i="118"/>
  <c r="WLC43" i="118"/>
  <c r="WLA43" i="118"/>
  <c r="WKY43" i="118"/>
  <c r="WKW43" i="118"/>
  <c r="WKU43" i="118"/>
  <c r="WKS43" i="118"/>
  <c r="WKQ43" i="118"/>
  <c r="WKO43" i="118"/>
  <c r="WKM43" i="118"/>
  <c r="WKK43" i="118"/>
  <c r="WKI43" i="118"/>
  <c r="WKG43" i="118"/>
  <c r="WKE43" i="118"/>
  <c r="WKC43" i="118"/>
  <c r="WKA43" i="118"/>
  <c r="WJY43" i="118"/>
  <c r="WJW43" i="118"/>
  <c r="WJU43" i="118"/>
  <c r="WJS43" i="118"/>
  <c r="WJQ43" i="118"/>
  <c r="WJO43" i="118"/>
  <c r="WJM43" i="118"/>
  <c r="WJK43" i="118"/>
  <c r="WJI43" i="118"/>
  <c r="WJG43" i="118"/>
  <c r="WJE43" i="118"/>
  <c r="WJC43" i="118"/>
  <c r="WJA43" i="118"/>
  <c r="WIY43" i="118"/>
  <c r="WIW43" i="118"/>
  <c r="WIU43" i="118"/>
  <c r="WIS43" i="118"/>
  <c r="WIQ43" i="118"/>
  <c r="WIO43" i="118"/>
  <c r="WIM43" i="118"/>
  <c r="WIK43" i="118"/>
  <c r="WII43" i="118"/>
  <c r="WIG43" i="118"/>
  <c r="WIE43" i="118"/>
  <c r="WIC43" i="118"/>
  <c r="WIA43" i="118"/>
  <c r="WHY43" i="118"/>
  <c r="WHW43" i="118"/>
  <c r="WHU43" i="118"/>
  <c r="WHS43" i="118"/>
  <c r="WHQ43" i="118"/>
  <c r="WHO43" i="118"/>
  <c r="WHM43" i="118"/>
  <c r="WHK43" i="118"/>
  <c r="WHI43" i="118"/>
  <c r="WHG43" i="118"/>
  <c r="WHE43" i="118"/>
  <c r="WHC43" i="118"/>
  <c r="WHA43" i="118"/>
  <c r="WGY43" i="118"/>
  <c r="WGW43" i="118"/>
  <c r="WGU43" i="118"/>
  <c r="WGS43" i="118"/>
  <c r="WGQ43" i="118"/>
  <c r="WGO43" i="118"/>
  <c r="WGM43" i="118"/>
  <c r="WGK43" i="118"/>
  <c r="WGI43" i="118"/>
  <c r="WGG43" i="118"/>
  <c r="WGE43" i="118"/>
  <c r="WGC43" i="118"/>
  <c r="WGA43" i="118"/>
  <c r="WFY43" i="118"/>
  <c r="WFW43" i="118"/>
  <c r="WFU43" i="118"/>
  <c r="WFS43" i="118"/>
  <c r="WFQ43" i="118"/>
  <c r="WFO43" i="118"/>
  <c r="WFM43" i="118"/>
  <c r="WFK43" i="118"/>
  <c r="WFI43" i="118"/>
  <c r="WFG43" i="118"/>
  <c r="WFE43" i="118"/>
  <c r="WFC43" i="118"/>
  <c r="WFA43" i="118"/>
  <c r="WEY43" i="118"/>
  <c r="WEW43" i="118"/>
  <c r="WEU43" i="118"/>
  <c r="WES43" i="118"/>
  <c r="WEQ43" i="118"/>
  <c r="WEO43" i="118"/>
  <c r="WEM43" i="118"/>
  <c r="WEK43" i="118"/>
  <c r="WEI43" i="118"/>
  <c r="WEG43" i="118"/>
  <c r="WEE43" i="118"/>
  <c r="WEC43" i="118"/>
  <c r="WEA43" i="118"/>
  <c r="WDY43" i="118"/>
  <c r="WDW43" i="118"/>
  <c r="WDU43" i="118"/>
  <c r="WDS43" i="118"/>
  <c r="WDQ43" i="118"/>
  <c r="WDO43" i="118"/>
  <c r="WDM43" i="118"/>
  <c r="WDK43" i="118"/>
  <c r="WDI43" i="118"/>
  <c r="WDG43" i="118"/>
  <c r="WDE43" i="118"/>
  <c r="WDC43" i="118"/>
  <c r="WDA43" i="118"/>
  <c r="WCY43" i="118"/>
  <c r="WCW43" i="118"/>
  <c r="WCU43" i="118"/>
  <c r="WCS43" i="118"/>
  <c r="WCQ43" i="118"/>
  <c r="WCO43" i="118"/>
  <c r="WCM43" i="118"/>
  <c r="WCK43" i="118"/>
  <c r="WCI43" i="118"/>
  <c r="WCG43" i="118"/>
  <c r="WCE43" i="118"/>
  <c r="WCC43" i="118"/>
  <c r="WCA43" i="118"/>
  <c r="WBY43" i="118"/>
  <c r="WBW43" i="118"/>
  <c r="WBU43" i="118"/>
  <c r="WBS43" i="118"/>
  <c r="WBQ43" i="118"/>
  <c r="WBO43" i="118"/>
  <c r="WBM43" i="118"/>
  <c r="WBK43" i="118"/>
  <c r="WBI43" i="118"/>
  <c r="WBG43" i="118"/>
  <c r="WBE43" i="118"/>
  <c r="WBC43" i="118"/>
  <c r="WBA43" i="118"/>
  <c r="WAY43" i="118"/>
  <c r="WAW43" i="118"/>
  <c r="WAU43" i="118"/>
  <c r="WAS43" i="118"/>
  <c r="WAQ43" i="118"/>
  <c r="WAO43" i="118"/>
  <c r="WAM43" i="118"/>
  <c r="WAK43" i="118"/>
  <c r="WAI43" i="118"/>
  <c r="WAG43" i="118"/>
  <c r="WAE43" i="118"/>
  <c r="WAC43" i="118"/>
  <c r="WAA43" i="118"/>
  <c r="VZY43" i="118"/>
  <c r="VZW43" i="118"/>
  <c r="VZU43" i="118"/>
  <c r="VZS43" i="118"/>
  <c r="VZQ43" i="118"/>
  <c r="VZO43" i="118"/>
  <c r="VZM43" i="118"/>
  <c r="VZK43" i="118"/>
  <c r="VZI43" i="118"/>
  <c r="VZG43" i="118"/>
  <c r="VZE43" i="118"/>
  <c r="VZC43" i="118"/>
  <c r="VZA43" i="118"/>
  <c r="VYY43" i="118"/>
  <c r="VYW43" i="118"/>
  <c r="VYU43" i="118"/>
  <c r="VYS43" i="118"/>
  <c r="VYQ43" i="118"/>
  <c r="VYO43" i="118"/>
  <c r="VYM43" i="118"/>
  <c r="VYK43" i="118"/>
  <c r="VYI43" i="118"/>
  <c r="VYG43" i="118"/>
  <c r="VYE43" i="118"/>
  <c r="VYC43" i="118"/>
  <c r="VYA43" i="118"/>
  <c r="VXY43" i="118"/>
  <c r="VXW43" i="118"/>
  <c r="VXU43" i="118"/>
  <c r="VXS43" i="118"/>
  <c r="VXQ43" i="118"/>
  <c r="VXO43" i="118"/>
  <c r="VXM43" i="118"/>
  <c r="VXK43" i="118"/>
  <c r="VXI43" i="118"/>
  <c r="VXG43" i="118"/>
  <c r="VXE43" i="118"/>
  <c r="VXC43" i="118"/>
  <c r="VXA43" i="118"/>
  <c r="VWY43" i="118"/>
  <c r="VWW43" i="118"/>
  <c r="VWU43" i="118"/>
  <c r="VWS43" i="118"/>
  <c r="VWQ43" i="118"/>
  <c r="VWO43" i="118"/>
  <c r="VWM43" i="118"/>
  <c r="VWK43" i="118"/>
  <c r="VWI43" i="118"/>
  <c r="VWG43" i="118"/>
  <c r="VWE43" i="118"/>
  <c r="VWC43" i="118"/>
  <c r="VWA43" i="118"/>
  <c r="VVY43" i="118"/>
  <c r="VVW43" i="118"/>
  <c r="VVU43" i="118"/>
  <c r="VVS43" i="118"/>
  <c r="VVQ43" i="118"/>
  <c r="VVO43" i="118"/>
  <c r="VVM43" i="118"/>
  <c r="VVK43" i="118"/>
  <c r="VVI43" i="118"/>
  <c r="VVG43" i="118"/>
  <c r="VVE43" i="118"/>
  <c r="VVC43" i="118"/>
  <c r="VVA43" i="118"/>
  <c r="VUY43" i="118"/>
  <c r="VUW43" i="118"/>
  <c r="VUU43" i="118"/>
  <c r="VUS43" i="118"/>
  <c r="VUQ43" i="118"/>
  <c r="VUO43" i="118"/>
  <c r="VUM43" i="118"/>
  <c r="VUK43" i="118"/>
  <c r="VUI43" i="118"/>
  <c r="VUG43" i="118"/>
  <c r="VUE43" i="118"/>
  <c r="VUC43" i="118"/>
  <c r="VUA43" i="118"/>
  <c r="VTY43" i="118"/>
  <c r="VTW43" i="118"/>
  <c r="VTU43" i="118"/>
  <c r="VTS43" i="118"/>
  <c r="VTQ43" i="118"/>
  <c r="VTO43" i="118"/>
  <c r="VTM43" i="118"/>
  <c r="VTK43" i="118"/>
  <c r="VTI43" i="118"/>
  <c r="VTG43" i="118"/>
  <c r="VTE43" i="118"/>
  <c r="VTC43" i="118"/>
  <c r="VTA43" i="118"/>
  <c r="VSY43" i="118"/>
  <c r="VSW43" i="118"/>
  <c r="VSU43" i="118"/>
  <c r="VSS43" i="118"/>
  <c r="VSQ43" i="118"/>
  <c r="VSO43" i="118"/>
  <c r="VSM43" i="118"/>
  <c r="VSK43" i="118"/>
  <c r="VSI43" i="118"/>
  <c r="VSG43" i="118"/>
  <c r="VSE43" i="118"/>
  <c r="VSC43" i="118"/>
  <c r="VSA43" i="118"/>
  <c r="VRY43" i="118"/>
  <c r="VRW43" i="118"/>
  <c r="VRU43" i="118"/>
  <c r="VRS43" i="118"/>
  <c r="VRQ43" i="118"/>
  <c r="VRO43" i="118"/>
  <c r="VRM43" i="118"/>
  <c r="VRK43" i="118"/>
  <c r="VRI43" i="118"/>
  <c r="VRG43" i="118"/>
  <c r="VRE43" i="118"/>
  <c r="VRC43" i="118"/>
  <c r="VRA43" i="118"/>
  <c r="VQY43" i="118"/>
  <c r="VQW43" i="118"/>
  <c r="VQU43" i="118"/>
  <c r="VQS43" i="118"/>
  <c r="VQQ43" i="118"/>
  <c r="VQO43" i="118"/>
  <c r="VQM43" i="118"/>
  <c r="VQK43" i="118"/>
  <c r="VQI43" i="118"/>
  <c r="VQG43" i="118"/>
  <c r="VQE43" i="118"/>
  <c r="VQC43" i="118"/>
  <c r="VQA43" i="118"/>
  <c r="VPY43" i="118"/>
  <c r="VPW43" i="118"/>
  <c r="VPU43" i="118"/>
  <c r="VPS43" i="118"/>
  <c r="VPQ43" i="118"/>
  <c r="VPO43" i="118"/>
  <c r="VPM43" i="118"/>
  <c r="VPK43" i="118"/>
  <c r="VPI43" i="118"/>
  <c r="VPG43" i="118"/>
  <c r="VPE43" i="118"/>
  <c r="VPC43" i="118"/>
  <c r="VPA43" i="118"/>
  <c r="VOY43" i="118"/>
  <c r="VOW43" i="118"/>
  <c r="VOU43" i="118"/>
  <c r="VOS43" i="118"/>
  <c r="VOQ43" i="118"/>
  <c r="VOO43" i="118"/>
  <c r="VOM43" i="118"/>
  <c r="VOK43" i="118"/>
  <c r="VOI43" i="118"/>
  <c r="VOG43" i="118"/>
  <c r="VOE43" i="118"/>
  <c r="VOC43" i="118"/>
  <c r="VOA43" i="118"/>
  <c r="VNY43" i="118"/>
  <c r="VNW43" i="118"/>
  <c r="VNU43" i="118"/>
  <c r="VNS43" i="118"/>
  <c r="VNQ43" i="118"/>
  <c r="VNO43" i="118"/>
  <c r="VNM43" i="118"/>
  <c r="VNK43" i="118"/>
  <c r="VNI43" i="118"/>
  <c r="VNG43" i="118"/>
  <c r="VNE43" i="118"/>
  <c r="VNC43" i="118"/>
  <c r="VNA43" i="118"/>
  <c r="VMY43" i="118"/>
  <c r="VMW43" i="118"/>
  <c r="VMU43" i="118"/>
  <c r="VMS43" i="118"/>
  <c r="VMQ43" i="118"/>
  <c r="VMO43" i="118"/>
  <c r="VMM43" i="118"/>
  <c r="VMK43" i="118"/>
  <c r="VMI43" i="118"/>
  <c r="VMG43" i="118"/>
  <c r="VME43" i="118"/>
  <c r="VMC43" i="118"/>
  <c r="VMA43" i="118"/>
  <c r="VLY43" i="118"/>
  <c r="VLW43" i="118"/>
  <c r="VLU43" i="118"/>
  <c r="VLS43" i="118"/>
  <c r="VLQ43" i="118"/>
  <c r="VLO43" i="118"/>
  <c r="VLM43" i="118"/>
  <c r="VLK43" i="118"/>
  <c r="VLI43" i="118"/>
  <c r="VLG43" i="118"/>
  <c r="VLE43" i="118"/>
  <c r="VLC43" i="118"/>
  <c r="VLA43" i="118"/>
  <c r="VKY43" i="118"/>
  <c r="VKW43" i="118"/>
  <c r="VKU43" i="118"/>
  <c r="VKS43" i="118"/>
  <c r="VKQ43" i="118"/>
  <c r="VKO43" i="118"/>
  <c r="VKM43" i="118"/>
  <c r="VKK43" i="118"/>
  <c r="VKI43" i="118"/>
  <c r="VKG43" i="118"/>
  <c r="VKE43" i="118"/>
  <c r="VKC43" i="118"/>
  <c r="VKA43" i="118"/>
  <c r="VJY43" i="118"/>
  <c r="VJW43" i="118"/>
  <c r="VJU43" i="118"/>
  <c r="VJS43" i="118"/>
  <c r="VJQ43" i="118"/>
  <c r="VJO43" i="118"/>
  <c r="VJM43" i="118"/>
  <c r="VJK43" i="118"/>
  <c r="VJI43" i="118"/>
  <c r="VJG43" i="118"/>
  <c r="VJE43" i="118"/>
  <c r="VJC43" i="118"/>
  <c r="VJA43" i="118"/>
  <c r="VIY43" i="118"/>
  <c r="VIW43" i="118"/>
  <c r="VIU43" i="118"/>
  <c r="VIS43" i="118"/>
  <c r="VIQ43" i="118"/>
  <c r="VIO43" i="118"/>
  <c r="VIM43" i="118"/>
  <c r="VIK43" i="118"/>
  <c r="VII43" i="118"/>
  <c r="VIG43" i="118"/>
  <c r="VIE43" i="118"/>
  <c r="VIC43" i="118"/>
  <c r="VIA43" i="118"/>
  <c r="VHY43" i="118"/>
  <c r="VHW43" i="118"/>
  <c r="VHU43" i="118"/>
  <c r="VHS43" i="118"/>
  <c r="VHQ43" i="118"/>
  <c r="VHO43" i="118"/>
  <c r="VHM43" i="118"/>
  <c r="VHK43" i="118"/>
  <c r="VHI43" i="118"/>
  <c r="VHG43" i="118"/>
  <c r="VHE43" i="118"/>
  <c r="VHC43" i="118"/>
  <c r="VHA43" i="118"/>
  <c r="VGY43" i="118"/>
  <c r="VGW43" i="118"/>
  <c r="VGU43" i="118"/>
  <c r="VGS43" i="118"/>
  <c r="VGQ43" i="118"/>
  <c r="VGO43" i="118"/>
  <c r="VGM43" i="118"/>
  <c r="VGK43" i="118"/>
  <c r="VGI43" i="118"/>
  <c r="VGG43" i="118"/>
  <c r="VGE43" i="118"/>
  <c r="VGC43" i="118"/>
  <c r="VGA43" i="118"/>
  <c r="VFY43" i="118"/>
  <c r="VFW43" i="118"/>
  <c r="VFU43" i="118"/>
  <c r="VFS43" i="118"/>
  <c r="VFQ43" i="118"/>
  <c r="VFO43" i="118"/>
  <c r="VFM43" i="118"/>
  <c r="VFK43" i="118"/>
  <c r="VFI43" i="118"/>
  <c r="VFG43" i="118"/>
  <c r="VFE43" i="118"/>
  <c r="VFC43" i="118"/>
  <c r="VFA43" i="118"/>
  <c r="VEY43" i="118"/>
  <c r="VEW43" i="118"/>
  <c r="VEU43" i="118"/>
  <c r="VES43" i="118"/>
  <c r="VEQ43" i="118"/>
  <c r="VEO43" i="118"/>
  <c r="VEM43" i="118"/>
  <c r="VEK43" i="118"/>
  <c r="VEI43" i="118"/>
  <c r="VEG43" i="118"/>
  <c r="VEE43" i="118"/>
  <c r="VEC43" i="118"/>
  <c r="VEA43" i="118"/>
  <c r="VDY43" i="118"/>
  <c r="VDW43" i="118"/>
  <c r="VDU43" i="118"/>
  <c r="VDS43" i="118"/>
  <c r="VDQ43" i="118"/>
  <c r="VDO43" i="118"/>
  <c r="VDM43" i="118"/>
  <c r="VDK43" i="118"/>
  <c r="VDI43" i="118"/>
  <c r="VDG43" i="118"/>
  <c r="VDE43" i="118"/>
  <c r="VDC43" i="118"/>
  <c r="VDA43" i="118"/>
  <c r="VCY43" i="118"/>
  <c r="VCW43" i="118"/>
  <c r="VCU43" i="118"/>
  <c r="VCS43" i="118"/>
  <c r="VCQ43" i="118"/>
  <c r="VCO43" i="118"/>
  <c r="VCM43" i="118"/>
  <c r="VCK43" i="118"/>
  <c r="VCI43" i="118"/>
  <c r="VCG43" i="118"/>
  <c r="VCE43" i="118"/>
  <c r="VCC43" i="118"/>
  <c r="VCA43" i="118"/>
  <c r="VBY43" i="118"/>
  <c r="VBW43" i="118"/>
  <c r="VBU43" i="118"/>
  <c r="VBS43" i="118"/>
  <c r="VBQ43" i="118"/>
  <c r="VBO43" i="118"/>
  <c r="VBM43" i="118"/>
  <c r="VBK43" i="118"/>
  <c r="VBI43" i="118"/>
  <c r="VBG43" i="118"/>
  <c r="VBE43" i="118"/>
  <c r="VBC43" i="118"/>
  <c r="VBA43" i="118"/>
  <c r="VAY43" i="118"/>
  <c r="VAW43" i="118"/>
  <c r="VAU43" i="118"/>
  <c r="VAS43" i="118"/>
  <c r="VAQ43" i="118"/>
  <c r="VAO43" i="118"/>
  <c r="VAM43" i="118"/>
  <c r="VAK43" i="118"/>
  <c r="VAI43" i="118"/>
  <c r="VAG43" i="118"/>
  <c r="VAE43" i="118"/>
  <c r="VAC43" i="118"/>
  <c r="VAA43" i="118"/>
  <c r="UZY43" i="118"/>
  <c r="UZW43" i="118"/>
  <c r="UZU43" i="118"/>
  <c r="UZS43" i="118"/>
  <c r="UZQ43" i="118"/>
  <c r="UZO43" i="118"/>
  <c r="UZM43" i="118"/>
  <c r="UZK43" i="118"/>
  <c r="UZI43" i="118"/>
  <c r="UZG43" i="118"/>
  <c r="UZE43" i="118"/>
  <c r="UZC43" i="118"/>
  <c r="UZA43" i="118"/>
  <c r="UYY43" i="118"/>
  <c r="UYW43" i="118"/>
  <c r="UYU43" i="118"/>
  <c r="UYS43" i="118"/>
  <c r="UYQ43" i="118"/>
  <c r="UYO43" i="118"/>
  <c r="UYM43" i="118"/>
  <c r="UYK43" i="118"/>
  <c r="UYI43" i="118"/>
  <c r="UYG43" i="118"/>
  <c r="UYE43" i="118"/>
  <c r="UYC43" i="118"/>
  <c r="UYA43" i="118"/>
  <c r="UXY43" i="118"/>
  <c r="UXW43" i="118"/>
  <c r="UXU43" i="118"/>
  <c r="UXS43" i="118"/>
  <c r="UXQ43" i="118"/>
  <c r="UXO43" i="118"/>
  <c r="UXM43" i="118"/>
  <c r="UXK43" i="118"/>
  <c r="UXI43" i="118"/>
  <c r="UXG43" i="118"/>
  <c r="UXE43" i="118"/>
  <c r="UXC43" i="118"/>
  <c r="UXA43" i="118"/>
  <c r="UWY43" i="118"/>
  <c r="UWW43" i="118"/>
  <c r="UWU43" i="118"/>
  <c r="UWS43" i="118"/>
  <c r="UWQ43" i="118"/>
  <c r="UWO43" i="118"/>
  <c r="UWM43" i="118"/>
  <c r="UWK43" i="118"/>
  <c r="UWI43" i="118"/>
  <c r="UWG43" i="118"/>
  <c r="UWE43" i="118"/>
  <c r="UWC43" i="118"/>
  <c r="UWA43" i="118"/>
  <c r="UVY43" i="118"/>
  <c r="UVW43" i="118"/>
  <c r="UVU43" i="118"/>
  <c r="UVS43" i="118"/>
  <c r="UVQ43" i="118"/>
  <c r="UVO43" i="118"/>
  <c r="UVM43" i="118"/>
  <c r="UVK43" i="118"/>
  <c r="UVI43" i="118"/>
  <c r="UVG43" i="118"/>
  <c r="UVE43" i="118"/>
  <c r="UVC43" i="118"/>
  <c r="UVA43" i="118"/>
  <c r="UUY43" i="118"/>
  <c r="UUW43" i="118"/>
  <c r="UUU43" i="118"/>
  <c r="H43" i="118"/>
  <c r="J43" i="118"/>
  <c r="L43" i="118"/>
  <c r="N43" i="118"/>
  <c r="P43" i="118"/>
  <c r="R43" i="118"/>
  <c r="T43" i="118"/>
  <c r="V43" i="118"/>
  <c r="X43" i="118"/>
  <c r="Z43" i="118"/>
  <c r="AB43" i="118"/>
  <c r="AD43" i="118"/>
  <c r="AF43" i="118"/>
  <c r="AH43" i="118"/>
  <c r="AJ43" i="118"/>
  <c r="AL43" i="118"/>
  <c r="AN43" i="118"/>
  <c r="AP43" i="118"/>
  <c r="AR43" i="118"/>
  <c r="AT43" i="118"/>
  <c r="AV43" i="118"/>
  <c r="AX43" i="118"/>
  <c r="AZ43" i="118"/>
  <c r="BB43" i="118"/>
  <c r="BD43" i="118"/>
  <c r="BF43" i="118"/>
  <c r="BH43" i="118"/>
  <c r="BJ43" i="118"/>
  <c r="BL43" i="118"/>
  <c r="BN43" i="118"/>
  <c r="BP43" i="118"/>
  <c r="BR43" i="118"/>
  <c r="BT43" i="118"/>
  <c r="BV43" i="118"/>
  <c r="BX43" i="118"/>
  <c r="BZ43" i="118"/>
  <c r="CB43" i="118"/>
  <c r="CD43" i="118"/>
  <c r="CF43" i="118"/>
  <c r="CH43" i="118"/>
  <c r="CJ43" i="118"/>
  <c r="CL43" i="118"/>
  <c r="CN43" i="118"/>
  <c r="CP43" i="118"/>
  <c r="CR43" i="118"/>
  <c r="CT43" i="118"/>
  <c r="CV43" i="118"/>
  <c r="CX43" i="118"/>
  <c r="CZ43" i="118"/>
  <c r="DB43" i="118"/>
  <c r="DD43" i="118"/>
  <c r="DF43" i="118"/>
  <c r="DH43" i="118"/>
  <c r="DJ43" i="118"/>
  <c r="DL43" i="118"/>
  <c r="DN43" i="118"/>
  <c r="DP43" i="118"/>
  <c r="DR43" i="118"/>
  <c r="DT43" i="118"/>
  <c r="DV43" i="118"/>
  <c r="DX43" i="118"/>
  <c r="DZ43" i="118"/>
  <c r="EB43" i="118"/>
  <c r="ED43" i="118"/>
  <c r="EF43" i="118"/>
  <c r="EH43" i="118"/>
  <c r="EJ43" i="118"/>
  <c r="EL43" i="118"/>
  <c r="EN43" i="118"/>
  <c r="EP43" i="118"/>
  <c r="ER43" i="118"/>
  <c r="ET43" i="118"/>
  <c r="EV43" i="118"/>
  <c r="EX43" i="118"/>
  <c r="EZ43" i="118"/>
  <c r="FB43" i="118"/>
  <c r="FD43" i="118"/>
  <c r="FF43" i="118"/>
  <c r="FH43" i="118"/>
  <c r="FJ43" i="118"/>
  <c r="FL43" i="118"/>
  <c r="FN43" i="118"/>
  <c r="FP43" i="118"/>
  <c r="FR43" i="118"/>
  <c r="FT43" i="118"/>
  <c r="FV43" i="118"/>
  <c r="FX43" i="118"/>
  <c r="FZ43" i="118"/>
  <c r="GB43" i="118"/>
  <c r="GD43" i="118"/>
  <c r="GF43" i="118"/>
  <c r="GH43" i="118"/>
  <c r="GJ43" i="118"/>
  <c r="GL43" i="118"/>
  <c r="GN43" i="118"/>
  <c r="GP43" i="118"/>
  <c r="GR43" i="118"/>
  <c r="GT43" i="118"/>
  <c r="GV43" i="118"/>
  <c r="GX43" i="118"/>
  <c r="GZ43" i="118"/>
  <c r="HB43" i="118"/>
  <c r="HD43" i="118"/>
  <c r="HF43" i="118"/>
  <c r="HH43" i="118"/>
  <c r="HJ43" i="118"/>
  <c r="HL43" i="118"/>
  <c r="HN43" i="118"/>
  <c r="HP43" i="118"/>
  <c r="HR43" i="118"/>
  <c r="HT43" i="118"/>
  <c r="HV43" i="118"/>
  <c r="HX43" i="118"/>
  <c r="HZ43" i="118"/>
  <c r="IB43" i="118"/>
  <c r="ID43" i="118"/>
  <c r="IF43" i="118"/>
  <c r="IH43" i="118"/>
  <c r="IJ43" i="118"/>
  <c r="IL43" i="118"/>
  <c r="IN43" i="118"/>
  <c r="IP43" i="118"/>
  <c r="IR43" i="118"/>
  <c r="IT43" i="118"/>
  <c r="IV43" i="118"/>
  <c r="IX43" i="118"/>
  <c r="IZ43" i="118"/>
  <c r="JB43" i="118"/>
  <c r="JD43" i="118"/>
  <c r="JF43" i="118"/>
  <c r="JH43" i="118"/>
  <c r="JJ43" i="118"/>
  <c r="JL43" i="118"/>
  <c r="JN43" i="118"/>
  <c r="JP43" i="118"/>
  <c r="JR43" i="118"/>
  <c r="JT43" i="118"/>
  <c r="JV43" i="118"/>
  <c r="JX43" i="118"/>
  <c r="JZ43" i="118"/>
  <c r="KB43" i="118"/>
  <c r="KD43" i="118"/>
  <c r="KF43" i="118"/>
  <c r="KH43" i="118"/>
  <c r="KJ43" i="118"/>
  <c r="KL43" i="118"/>
  <c r="KN43" i="118"/>
  <c r="KP43" i="118"/>
  <c r="KR43" i="118"/>
  <c r="KT43" i="118"/>
  <c r="KV43" i="118"/>
  <c r="KX43" i="118"/>
  <c r="KZ43" i="118"/>
  <c r="LB43" i="118"/>
  <c r="LD43" i="118"/>
  <c r="LF43" i="118"/>
  <c r="LH43" i="118"/>
  <c r="LJ43" i="118"/>
  <c r="LL43" i="118"/>
  <c r="LN43" i="118"/>
  <c r="LP43" i="118"/>
  <c r="LR43" i="118"/>
  <c r="LT43" i="118"/>
  <c r="LV43" i="118"/>
  <c r="LX43" i="118"/>
  <c r="LZ43" i="118"/>
  <c r="MB43" i="118"/>
  <c r="MD43" i="118"/>
  <c r="MF43" i="118"/>
  <c r="MH43" i="118"/>
  <c r="MJ43" i="118"/>
  <c r="ML43" i="118"/>
  <c r="MN43" i="118"/>
  <c r="MP43" i="118"/>
  <c r="MR43" i="118"/>
  <c r="MT43" i="118"/>
  <c r="MV43" i="118"/>
  <c r="MX43" i="118"/>
  <c r="MZ43" i="118"/>
  <c r="NB43" i="118"/>
  <c r="ND43" i="118"/>
  <c r="NF43" i="118"/>
  <c r="NH43" i="118"/>
  <c r="NJ43" i="118"/>
  <c r="NL43" i="118"/>
  <c r="NN43" i="118"/>
  <c r="NP43" i="118"/>
  <c r="NR43" i="118"/>
  <c r="NT43" i="118"/>
  <c r="NV43" i="118"/>
  <c r="NX43" i="118"/>
  <c r="NZ43" i="118"/>
  <c r="OB43" i="118"/>
  <c r="OD43" i="118"/>
  <c r="OF43" i="118"/>
  <c r="OH43" i="118"/>
  <c r="OJ43" i="118"/>
  <c r="OL43" i="118"/>
  <c r="ON43" i="118"/>
  <c r="OP43" i="118"/>
  <c r="OR43" i="118"/>
  <c r="OT43" i="118"/>
  <c r="OV43" i="118"/>
  <c r="OX43" i="118"/>
  <c r="OZ43" i="118"/>
  <c r="PB43" i="118"/>
  <c r="PD43" i="118"/>
  <c r="PF43" i="118"/>
  <c r="PH43" i="118"/>
  <c r="PJ43" i="118"/>
  <c r="PL43" i="118"/>
  <c r="PN43" i="118"/>
  <c r="PP43" i="118"/>
  <c r="PR43" i="118"/>
  <c r="PT43" i="118"/>
  <c r="PV43" i="118"/>
  <c r="PX43" i="118"/>
  <c r="PZ43" i="118"/>
  <c r="QB43" i="118"/>
  <c r="QD43" i="118"/>
  <c r="QF43" i="118"/>
  <c r="QH43" i="118"/>
  <c r="QJ43" i="118"/>
  <c r="QL43" i="118"/>
  <c r="QN43" i="118"/>
  <c r="QP43" i="118"/>
  <c r="QR43" i="118"/>
  <c r="QT43" i="118"/>
  <c r="QV43" i="118"/>
  <c r="QX43" i="118"/>
  <c r="QZ43" i="118"/>
  <c r="RB43" i="118"/>
  <c r="RD43" i="118"/>
  <c r="RF43" i="118"/>
  <c r="RH43" i="118"/>
  <c r="RJ43" i="118"/>
  <c r="RL43" i="118"/>
  <c r="RN43" i="118"/>
  <c r="RP43" i="118"/>
  <c r="RR43" i="118"/>
  <c r="RT43" i="118"/>
  <c r="RV43" i="118"/>
  <c r="RX43" i="118"/>
  <c r="RZ43" i="118"/>
  <c r="SB43" i="118"/>
  <c r="SD43" i="118"/>
  <c r="SF43" i="118"/>
  <c r="SH43" i="118"/>
  <c r="SJ43" i="118"/>
  <c r="SL43" i="118"/>
  <c r="SN43" i="118"/>
  <c r="SP43" i="118"/>
  <c r="SR43" i="118"/>
  <c r="ST43" i="118"/>
  <c r="SV43" i="118"/>
  <c r="SX43" i="118"/>
  <c r="SZ43" i="118"/>
  <c r="TB43" i="118"/>
  <c r="TD43" i="118"/>
  <c r="TF43" i="118"/>
  <c r="TH43" i="118"/>
  <c r="TJ43" i="118"/>
  <c r="TL43" i="118"/>
  <c r="TN43" i="118"/>
  <c r="TP43" i="118"/>
  <c r="TR43" i="118"/>
  <c r="TT43" i="118"/>
  <c r="TV43" i="118"/>
  <c r="TX43" i="118"/>
  <c r="TZ43" i="118"/>
  <c r="UB43" i="118"/>
  <c r="UD43" i="118"/>
  <c r="UF43" i="118"/>
  <c r="UH43" i="118"/>
  <c r="UJ43" i="118"/>
  <c r="UL43" i="118"/>
  <c r="UN43" i="118"/>
  <c r="UP43" i="118"/>
  <c r="UR43" i="118"/>
  <c r="UT43" i="118"/>
  <c r="UV43" i="118"/>
  <c r="UX43" i="118"/>
  <c r="UZ43" i="118"/>
  <c r="VB43" i="118"/>
  <c r="VD43" i="118"/>
  <c r="VF43" i="118"/>
  <c r="VH43" i="118"/>
  <c r="VJ43" i="118"/>
  <c r="VL43" i="118"/>
  <c r="VN43" i="118"/>
  <c r="VP43" i="118"/>
  <c r="VR43" i="118"/>
  <c r="VT43" i="118"/>
  <c r="VV43" i="118"/>
  <c r="VX43" i="118"/>
  <c r="VZ43" i="118"/>
  <c r="WB43" i="118"/>
  <c r="WD43" i="118"/>
  <c r="WF43" i="118"/>
  <c r="WH43" i="118"/>
  <c r="WJ43" i="118"/>
  <c r="WL43" i="118"/>
  <c r="WN43" i="118"/>
  <c r="WP43" i="118"/>
  <c r="WR43" i="118"/>
  <c r="WT43" i="118"/>
  <c r="WV43" i="118"/>
  <c r="WX43" i="118"/>
  <c r="WZ43" i="118"/>
  <c r="XB43" i="118"/>
  <c r="XD43" i="118"/>
  <c r="XF43" i="118"/>
  <c r="XH43" i="118"/>
  <c r="XJ43" i="118"/>
  <c r="XL43" i="118"/>
  <c r="XN43" i="118"/>
  <c r="XP43" i="118"/>
  <c r="XR43" i="118"/>
  <c r="XT43" i="118"/>
  <c r="XV43" i="118"/>
  <c r="XX43" i="118"/>
  <c r="XZ43" i="118"/>
  <c r="YB43" i="118"/>
  <c r="YD43" i="118"/>
  <c r="YF43" i="118"/>
  <c r="YH43" i="118"/>
  <c r="YJ43" i="118"/>
  <c r="YL43" i="118"/>
  <c r="YN43" i="118"/>
  <c r="YP43" i="118"/>
  <c r="YR43" i="118"/>
  <c r="YT43" i="118"/>
  <c r="YV43" i="118"/>
  <c r="YX43" i="118"/>
  <c r="YZ43" i="118"/>
  <c r="ZB43" i="118"/>
  <c r="ZD43" i="118"/>
  <c r="ZF43" i="118"/>
  <c r="ZH43" i="118"/>
  <c r="ZJ43" i="118"/>
  <c r="ZL43" i="118"/>
  <c r="ZN43" i="118"/>
  <c r="ZP43" i="118"/>
  <c r="ZR43" i="118"/>
  <c r="ZT43" i="118"/>
  <c r="ZV43" i="118"/>
  <c r="ZX43" i="118"/>
  <c r="ZZ43" i="118"/>
  <c r="AAB43" i="118"/>
  <c r="AAD43" i="118"/>
  <c r="AAF43" i="118"/>
  <c r="AAH43" i="118"/>
  <c r="AAJ43" i="118"/>
  <c r="AAL43" i="118"/>
  <c r="AAN43" i="118"/>
  <c r="AAP43" i="118"/>
  <c r="AAR43" i="118"/>
  <c r="AAT43" i="118"/>
  <c r="AAV43" i="118"/>
  <c r="AAX43" i="118"/>
  <c r="AAZ43" i="118"/>
  <c r="ABB43" i="118"/>
  <c r="ABD43" i="118"/>
  <c r="ABF43" i="118"/>
  <c r="ABH43" i="118"/>
  <c r="ABJ43" i="118"/>
  <c r="ABL43" i="118"/>
  <c r="ABN43" i="118"/>
  <c r="ABP43" i="118"/>
  <c r="ABR43" i="118"/>
  <c r="ABT43" i="118"/>
  <c r="ABV43" i="118"/>
  <c r="ABX43" i="118"/>
  <c r="ABZ43" i="118"/>
  <c r="ACB43" i="118"/>
  <c r="ACD43" i="118"/>
  <c r="ACF43" i="118"/>
  <c r="ACH43" i="118"/>
  <c r="ACJ43" i="118"/>
  <c r="ACL43" i="118"/>
  <c r="ACN43" i="118"/>
  <c r="ACP43" i="118"/>
  <c r="ACR43" i="118"/>
  <c r="ACT43" i="118"/>
  <c r="ACV43" i="118"/>
  <c r="ACX43" i="118"/>
  <c r="ACZ43" i="118"/>
  <c r="ADB43" i="118"/>
  <c r="ADD43" i="118"/>
  <c r="ADF43" i="118"/>
  <c r="ADH43" i="118"/>
  <c r="ADJ43" i="118"/>
  <c r="ADL43" i="118"/>
  <c r="ADN43" i="118"/>
  <c r="ADP43" i="118"/>
  <c r="ADR43" i="118"/>
  <c r="ADT43" i="118"/>
  <c r="ADV43" i="118"/>
  <c r="ADX43" i="118"/>
  <c r="ADZ43" i="118"/>
  <c r="AEB43" i="118"/>
  <c r="AED43" i="118"/>
  <c r="AEF43" i="118"/>
  <c r="AEH43" i="118"/>
  <c r="AEJ43" i="118"/>
  <c r="AEL43" i="118"/>
  <c r="AEN43" i="118"/>
  <c r="AEP43" i="118"/>
  <c r="AER43" i="118"/>
  <c r="AET43" i="118"/>
  <c r="AEV43" i="118"/>
  <c r="AEX43" i="118"/>
  <c r="AEZ43" i="118"/>
  <c r="AFB43" i="118"/>
  <c r="AFD43" i="118"/>
  <c r="AFF43" i="118"/>
  <c r="AFH43" i="118"/>
  <c r="AFJ43" i="118"/>
  <c r="AFL43" i="118"/>
  <c r="AFN43" i="118"/>
  <c r="AFP43" i="118"/>
  <c r="AFR43" i="118"/>
  <c r="AFT43" i="118"/>
  <c r="AFV43" i="118"/>
  <c r="AFX43" i="118"/>
  <c r="AFZ43" i="118"/>
  <c r="AGB43" i="118"/>
  <c r="AGD43" i="118"/>
  <c r="AGF43" i="118"/>
  <c r="AGH43" i="118"/>
  <c r="AGJ43" i="118"/>
  <c r="AGL43" i="118"/>
  <c r="AGN43" i="118"/>
  <c r="AGP43" i="118"/>
  <c r="AGR43" i="118"/>
  <c r="AGT43" i="118"/>
  <c r="AGV43" i="118"/>
  <c r="AGX43" i="118"/>
  <c r="AGZ43" i="118"/>
  <c r="AHB43" i="118"/>
  <c r="AHD43" i="118"/>
  <c r="AHF43" i="118"/>
  <c r="AHH43" i="118"/>
  <c r="AHJ43" i="118"/>
  <c r="AHL43" i="118"/>
  <c r="AHN43" i="118"/>
  <c r="AHP43" i="118"/>
  <c r="AHR43" i="118"/>
  <c r="AHT43" i="118"/>
  <c r="AHV43" i="118"/>
  <c r="AHX43" i="118"/>
  <c r="AHZ43" i="118"/>
  <c r="AIB43" i="118"/>
  <c r="AID43" i="118"/>
  <c r="AIF43" i="118"/>
  <c r="AIH43" i="118"/>
  <c r="AIJ43" i="118"/>
  <c r="AIL43" i="118"/>
  <c r="AIN43" i="118"/>
  <c r="AIP43" i="118"/>
  <c r="AIR43" i="118"/>
  <c r="AIT43" i="118"/>
  <c r="AIV43" i="118"/>
  <c r="AIX43" i="118"/>
  <c r="AIZ43" i="118"/>
  <c r="AJB43" i="118"/>
  <c r="AJD43" i="118"/>
  <c r="AJF43" i="118"/>
  <c r="AJH43" i="118"/>
  <c r="AJJ43" i="118"/>
  <c r="AJL43" i="118"/>
  <c r="AJN43" i="118"/>
  <c r="AJP43" i="118"/>
  <c r="AJR43" i="118"/>
  <c r="AJT43" i="118"/>
  <c r="AJV43" i="118"/>
  <c r="AJX43" i="118"/>
  <c r="AJZ43" i="118"/>
  <c r="AKB43" i="118"/>
  <c r="AKD43" i="118"/>
  <c r="AKF43" i="118"/>
  <c r="AKH43" i="118"/>
  <c r="AKJ43" i="118"/>
  <c r="AKL43" i="118"/>
  <c r="AKN43" i="118"/>
  <c r="AKP43" i="118"/>
  <c r="AKR43" i="118"/>
  <c r="AKT43" i="118"/>
  <c r="AKV43" i="118"/>
  <c r="AKX43" i="118"/>
  <c r="AKZ43" i="118"/>
  <c r="ALB43" i="118"/>
  <c r="ALD43" i="118"/>
  <c r="ALF43" i="118"/>
  <c r="ALH43" i="118"/>
  <c r="ALJ43" i="118"/>
  <c r="ALL43" i="118"/>
  <c r="ALN43" i="118"/>
  <c r="ALP43" i="118"/>
  <c r="ALR43" i="118"/>
  <c r="ALT43" i="118"/>
  <c r="ALV43" i="118"/>
  <c r="ALX43" i="118"/>
  <c r="ALZ43" i="118"/>
  <c r="AMB43" i="118"/>
  <c r="AMD43" i="118"/>
  <c r="AMF43" i="118"/>
  <c r="AMH43" i="118"/>
  <c r="AMJ43" i="118"/>
  <c r="AML43" i="118"/>
  <c r="AMN43" i="118"/>
  <c r="AMP43" i="118"/>
  <c r="AMR43" i="118"/>
  <c r="AMT43" i="118"/>
  <c r="AMV43" i="118"/>
  <c r="AMX43" i="118"/>
  <c r="AMZ43" i="118"/>
  <c r="ANB43" i="118"/>
  <c r="AND43" i="118"/>
  <c r="ANF43" i="118"/>
  <c r="ANH43" i="118"/>
  <c r="ANJ43" i="118"/>
  <c r="ANL43" i="118"/>
  <c r="ANN43" i="118"/>
  <c r="ANP43" i="118"/>
  <c r="ANR43" i="118"/>
  <c r="ANT43" i="118"/>
  <c r="ANV43" i="118"/>
  <c r="ANX43" i="118"/>
  <c r="ANZ43" i="118"/>
  <c r="AOB43" i="118"/>
  <c r="AOD43" i="118"/>
  <c r="AOF43" i="118"/>
  <c r="AOH43" i="118"/>
  <c r="AOJ43" i="118"/>
  <c r="AOL43" i="118"/>
  <c r="AON43" i="118"/>
  <c r="AOP43" i="118"/>
  <c r="AOR43" i="118"/>
  <c r="AOT43" i="118"/>
  <c r="AOV43" i="118"/>
  <c r="AOX43" i="118"/>
  <c r="AOZ43" i="118"/>
  <c r="APB43" i="118"/>
  <c r="APD43" i="118"/>
  <c r="APF43" i="118"/>
  <c r="APH43" i="118"/>
  <c r="APJ43" i="118"/>
  <c r="APL43" i="118"/>
  <c r="APN43" i="118"/>
  <c r="APP43" i="118"/>
  <c r="APR43" i="118"/>
  <c r="APT43" i="118"/>
  <c r="APV43" i="118"/>
  <c r="APX43" i="118"/>
  <c r="APZ43" i="118"/>
  <c r="AQB43" i="118"/>
  <c r="AQD43" i="118"/>
  <c r="AQF43" i="118"/>
  <c r="AQH43" i="118"/>
  <c r="AQJ43" i="118"/>
  <c r="AQL43" i="118"/>
  <c r="AQN43" i="118"/>
  <c r="AQP43" i="118"/>
  <c r="AQR43" i="118"/>
  <c r="AQT43" i="118"/>
  <c r="AQV43" i="118"/>
  <c r="AQX43" i="118"/>
  <c r="AQZ43" i="118"/>
  <c r="ARB43" i="118"/>
  <c r="ARD43" i="118"/>
  <c r="ARF43" i="118"/>
  <c r="ARH43" i="118"/>
  <c r="ARJ43" i="118"/>
  <c r="ARL43" i="118"/>
  <c r="ARN43" i="118"/>
  <c r="ARP43" i="118"/>
  <c r="ARR43" i="118"/>
  <c r="ART43" i="118"/>
  <c r="ARV43" i="118"/>
  <c r="ARX43" i="118"/>
  <c r="ARZ43" i="118"/>
  <c r="ASB43" i="118"/>
  <c r="ASD43" i="118"/>
  <c r="ASF43" i="118"/>
  <c r="ASH43" i="118"/>
  <c r="ASJ43" i="118"/>
  <c r="ASL43" i="118"/>
  <c r="ASN43" i="118"/>
  <c r="ASP43" i="118"/>
  <c r="ASR43" i="118"/>
  <c r="AST43" i="118"/>
  <c r="ASV43" i="118"/>
  <c r="ASX43" i="118"/>
  <c r="ASZ43" i="118"/>
  <c r="ATB43" i="118"/>
  <c r="ATD43" i="118"/>
  <c r="ATF43" i="118"/>
  <c r="ATH43" i="118"/>
  <c r="ATJ43" i="118"/>
  <c r="ATL43" i="118"/>
  <c r="ATN43" i="118"/>
  <c r="ATP43" i="118"/>
  <c r="ATR43" i="118"/>
  <c r="ATT43" i="118"/>
  <c r="ATV43" i="118"/>
  <c r="ATX43" i="118"/>
  <c r="ATZ43" i="118"/>
  <c r="AUB43" i="118"/>
  <c r="AUD43" i="118"/>
  <c r="AUF43" i="118"/>
  <c r="AUH43" i="118"/>
  <c r="AUJ43" i="118"/>
  <c r="AUL43" i="118"/>
  <c r="AUN43" i="118"/>
  <c r="AUP43" i="118"/>
  <c r="AUR43" i="118"/>
  <c r="AUT43" i="118"/>
  <c r="AUV43" i="118"/>
  <c r="AUX43" i="118"/>
  <c r="AUZ43" i="118"/>
  <c r="AVB43" i="118"/>
  <c r="AVD43" i="118"/>
  <c r="AVF43" i="118"/>
  <c r="AVH43" i="118"/>
  <c r="AVJ43" i="118"/>
  <c r="AVL43" i="118"/>
  <c r="AVN43" i="118"/>
  <c r="AVP43" i="118"/>
  <c r="AVR43" i="118"/>
  <c r="AVT43" i="118"/>
  <c r="AVV43" i="118"/>
  <c r="AVX43" i="118"/>
  <c r="AVZ43" i="118"/>
  <c r="AWB43" i="118"/>
  <c r="AWD43" i="118"/>
  <c r="AWF43" i="118"/>
  <c r="AWH43" i="118"/>
  <c r="AWJ43" i="118"/>
  <c r="AWL43" i="118"/>
  <c r="AWN43" i="118"/>
  <c r="AWP43" i="118"/>
  <c r="AWR43" i="118"/>
  <c r="AWT43" i="118"/>
  <c r="AWV43" i="118"/>
  <c r="AWX43" i="118"/>
  <c r="AWZ43" i="118"/>
  <c r="AXB43" i="118"/>
  <c r="AXD43" i="118"/>
  <c r="AXF43" i="118"/>
  <c r="AXH43" i="118"/>
  <c r="AXJ43" i="118"/>
  <c r="AXL43" i="118"/>
  <c r="AXN43" i="118"/>
  <c r="AXP43" i="118"/>
  <c r="AXR43" i="118"/>
  <c r="AXT43" i="118"/>
  <c r="AXV43" i="118"/>
  <c r="AXX43" i="118"/>
  <c r="AXZ43" i="118"/>
  <c r="AYB43" i="118"/>
  <c r="AYD43" i="118"/>
  <c r="AYF43" i="118"/>
  <c r="AYH43" i="118"/>
  <c r="AYJ43" i="118"/>
  <c r="AYL43" i="118"/>
  <c r="AYN43" i="118"/>
  <c r="AYP43" i="118"/>
  <c r="AYR43" i="118"/>
  <c r="AYT43" i="118"/>
  <c r="AYV43" i="118"/>
  <c r="AYX43" i="118"/>
  <c r="AYZ43" i="118"/>
  <c r="AZB43" i="118"/>
  <c r="AZD43" i="118"/>
  <c r="AZF43" i="118"/>
  <c r="AZH43" i="118"/>
  <c r="AZJ43" i="118"/>
  <c r="AZL43" i="118"/>
  <c r="AZN43" i="118"/>
  <c r="AZP43" i="118"/>
  <c r="AZR43" i="118"/>
  <c r="AZT43" i="118"/>
  <c r="AZV43" i="118"/>
  <c r="AZX43" i="118"/>
  <c r="AZZ43" i="118"/>
  <c r="BAB43" i="118"/>
  <c r="BAD43" i="118"/>
  <c r="BAF43" i="118"/>
  <c r="BAH43" i="118"/>
  <c r="BAJ43" i="118"/>
  <c r="BAL43" i="118"/>
  <c r="BAN43" i="118"/>
  <c r="BAP43" i="118"/>
  <c r="BAR43" i="118"/>
  <c r="BAT43" i="118"/>
  <c r="BAV43" i="118"/>
  <c r="BAX43" i="118"/>
  <c r="BAZ43" i="118"/>
  <c r="BBB43" i="118"/>
  <c r="BBD43" i="118"/>
  <c r="BBF43" i="118"/>
  <c r="BBH43" i="118"/>
  <c r="BBJ43" i="118"/>
  <c r="BBL43" i="118"/>
  <c r="BBN43" i="118"/>
  <c r="BBP43" i="118"/>
  <c r="BBR43" i="118"/>
  <c r="BBT43" i="118"/>
  <c r="BBV43" i="118"/>
  <c r="BBX43" i="118"/>
  <c r="BBZ43" i="118"/>
  <c r="BCB43" i="118"/>
  <c r="BCD43" i="118"/>
  <c r="BCF43" i="118"/>
  <c r="BCH43" i="118"/>
  <c r="BCJ43" i="118"/>
  <c r="BCL43" i="118"/>
  <c r="BCN43" i="118"/>
  <c r="BCP43" i="118"/>
  <c r="BCR43" i="118"/>
  <c r="BCT43" i="118"/>
  <c r="BCV43" i="118"/>
  <c r="BCX43" i="118"/>
  <c r="BCZ43" i="118"/>
  <c r="BDB43" i="118"/>
  <c r="BDD43" i="118"/>
  <c r="BDF43" i="118"/>
  <c r="BDH43" i="118"/>
  <c r="BDJ43" i="118"/>
  <c r="BDL43" i="118"/>
  <c r="BDN43" i="118"/>
  <c r="BDP43" i="118"/>
  <c r="BDR43" i="118"/>
  <c r="BDT43" i="118"/>
  <c r="BDV43" i="118"/>
  <c r="BDX43" i="118"/>
  <c r="BDZ43" i="118"/>
  <c r="BEB43" i="118"/>
  <c r="BED43" i="118"/>
  <c r="BEF43" i="118"/>
  <c r="BEH43" i="118"/>
  <c r="BEJ43" i="118"/>
  <c r="BEL43" i="118"/>
  <c r="BEN43" i="118"/>
  <c r="BEP43" i="118"/>
  <c r="BER43" i="118"/>
  <c r="BET43" i="118"/>
  <c r="BEV43" i="118"/>
  <c r="BEX43" i="118"/>
  <c r="BEZ43" i="118"/>
  <c r="BFB43" i="118"/>
  <c r="BFD43" i="118"/>
  <c r="BFF43" i="118"/>
  <c r="BFH43" i="118"/>
  <c r="BFJ43" i="118"/>
  <c r="BFL43" i="118"/>
  <c r="BFN43" i="118"/>
  <c r="BFP43" i="118"/>
  <c r="BFR43" i="118"/>
  <c r="BFT43" i="118"/>
  <c r="BFV43" i="118"/>
  <c r="BFX43" i="118"/>
  <c r="BFZ43" i="118"/>
  <c r="BGB43" i="118"/>
  <c r="BGD43" i="118"/>
  <c r="BGF43" i="118"/>
  <c r="BGH43" i="118"/>
  <c r="BGJ43" i="118"/>
  <c r="BGL43" i="118"/>
  <c r="BGN43" i="118"/>
  <c r="BGP43" i="118"/>
  <c r="BGR43" i="118"/>
  <c r="BGT43" i="118"/>
  <c r="BGV43" i="118"/>
  <c r="BGX43" i="118"/>
  <c r="BGZ43" i="118"/>
  <c r="BHB43" i="118"/>
  <c r="BHD43" i="118"/>
  <c r="BHF43" i="118"/>
  <c r="BHH43" i="118"/>
  <c r="BHJ43" i="118"/>
  <c r="BHL43" i="118"/>
  <c r="BHN43" i="118"/>
  <c r="BHP43" i="118"/>
  <c r="BHR43" i="118"/>
  <c r="BHT43" i="118"/>
  <c r="BHV43" i="118"/>
  <c r="BHX43" i="118"/>
  <c r="BHZ43" i="118"/>
  <c r="BIB43" i="118"/>
  <c r="BID43" i="118"/>
  <c r="BIF43" i="118"/>
  <c r="BIH43" i="118"/>
  <c r="BIJ43" i="118"/>
  <c r="BIL43" i="118"/>
  <c r="BIN43" i="118"/>
  <c r="BIP43" i="118"/>
  <c r="BIR43" i="118"/>
  <c r="BIT43" i="118"/>
  <c r="BIV43" i="118"/>
  <c r="BIX43" i="118"/>
  <c r="BIZ43" i="118"/>
  <c r="BJB43" i="118"/>
  <c r="BJD43" i="118"/>
  <c r="BJF43" i="118"/>
  <c r="BJH43" i="118"/>
  <c r="BJJ43" i="118"/>
  <c r="BJL43" i="118"/>
  <c r="BJN43" i="118"/>
  <c r="BJP43" i="118"/>
  <c r="BJR43" i="118"/>
  <c r="BJT43" i="118"/>
  <c r="BJV43" i="118"/>
  <c r="BJX43" i="118"/>
  <c r="BJZ43" i="118"/>
  <c r="BKB43" i="118"/>
  <c r="BKD43" i="118"/>
  <c r="BKF43" i="118"/>
  <c r="BKH43" i="118"/>
  <c r="BKJ43" i="118"/>
  <c r="BKL43" i="118"/>
  <c r="BKN43" i="118"/>
  <c r="BKP43" i="118"/>
  <c r="BKR43" i="118"/>
  <c r="BKT43" i="118"/>
  <c r="BKV43" i="118"/>
  <c r="BKX43" i="118"/>
  <c r="BKZ43" i="118"/>
  <c r="BLB43" i="118"/>
  <c r="BLD43" i="118"/>
  <c r="BLF43" i="118"/>
  <c r="BLH43" i="118"/>
  <c r="BLJ43" i="118"/>
  <c r="BLL43" i="118"/>
  <c r="BLN43" i="118"/>
  <c r="BLP43" i="118"/>
  <c r="BLR43" i="118"/>
  <c r="BLT43" i="118"/>
  <c r="BLV43" i="118"/>
  <c r="BLX43" i="118"/>
  <c r="BLZ43" i="118"/>
  <c r="BMB43" i="118"/>
  <c r="BMD43" i="118"/>
  <c r="BMF43" i="118"/>
  <c r="BMH43" i="118"/>
  <c r="BMJ43" i="118"/>
  <c r="BML43" i="118"/>
  <c r="BMN43" i="118"/>
  <c r="BMP43" i="118"/>
  <c r="BMR43" i="118"/>
  <c r="BMT43" i="118"/>
  <c r="BMV43" i="118"/>
  <c r="BMX43" i="118"/>
  <c r="BMZ43" i="118"/>
  <c r="BNB43" i="118"/>
  <c r="BND43" i="118"/>
  <c r="BNF43" i="118"/>
  <c r="BNH43" i="118"/>
  <c r="BNJ43" i="118"/>
  <c r="BNL43" i="118"/>
  <c r="BNN43" i="118"/>
  <c r="BNP43" i="118"/>
  <c r="BNR43" i="118"/>
  <c r="BNT43" i="118"/>
  <c r="BNV43" i="118"/>
  <c r="BNX43" i="118"/>
  <c r="BNZ43" i="118"/>
  <c r="BOB43" i="118"/>
  <c r="BOD43" i="118"/>
  <c r="BOF43" i="118"/>
  <c r="BOH43" i="118"/>
  <c r="BOJ43" i="118"/>
  <c r="BOL43" i="118"/>
  <c r="BON43" i="118"/>
  <c r="BOP43" i="118"/>
  <c r="BOR43" i="118"/>
  <c r="BOT43" i="118"/>
  <c r="BOV43" i="118"/>
  <c r="BOX43" i="118"/>
  <c r="BOZ43" i="118"/>
  <c r="BPB43" i="118"/>
  <c r="BPD43" i="118"/>
  <c r="BPF43" i="118"/>
  <c r="BPH43" i="118"/>
  <c r="BPJ43" i="118"/>
  <c r="BPL43" i="118"/>
  <c r="BPN43" i="118"/>
  <c r="BPP43" i="118"/>
  <c r="BPR43" i="118"/>
  <c r="BPT43" i="118"/>
  <c r="BPV43" i="118"/>
  <c r="BPX43" i="118"/>
  <c r="BPZ43" i="118"/>
  <c r="BQB43" i="118"/>
  <c r="BQD43" i="118"/>
  <c r="BQF43" i="118"/>
  <c r="BQH43" i="118"/>
  <c r="BQJ43" i="118"/>
  <c r="BQL43" i="118"/>
  <c r="BQN43" i="118"/>
  <c r="BQP43" i="118"/>
  <c r="BQR43" i="118"/>
  <c r="BQT43" i="118"/>
  <c r="BQV43" i="118"/>
  <c r="BQX43" i="118"/>
  <c r="BQZ43" i="118"/>
  <c r="BRB43" i="118"/>
  <c r="BRD43" i="118"/>
  <c r="BRF43" i="118"/>
  <c r="BRH43" i="118"/>
  <c r="BRJ43" i="118"/>
  <c r="BRL43" i="118"/>
  <c r="BRN43" i="118"/>
  <c r="BRP43" i="118"/>
  <c r="BRR43" i="118"/>
  <c r="BRT43" i="118"/>
  <c r="BRV43" i="118"/>
  <c r="BRX43" i="118"/>
  <c r="BRZ43" i="118"/>
  <c r="BSB43" i="118"/>
  <c r="BSD43" i="118"/>
  <c r="BSF43" i="118"/>
  <c r="BSH43" i="118"/>
  <c r="BSJ43" i="118"/>
  <c r="BSL43" i="118"/>
  <c r="BSN43" i="118"/>
  <c r="BSP43" i="118"/>
  <c r="BSR43" i="118"/>
  <c r="BST43" i="118"/>
  <c r="BSV43" i="118"/>
  <c r="BSX43" i="118"/>
  <c r="BSZ43" i="118"/>
  <c r="BTB43" i="118"/>
  <c r="BTD43" i="118"/>
  <c r="BTF43" i="118"/>
  <c r="BTH43" i="118"/>
  <c r="BTJ43" i="118"/>
  <c r="BTL43" i="118"/>
  <c r="BTN43" i="118"/>
  <c r="BTP43" i="118"/>
  <c r="BTR43" i="118"/>
  <c r="BTT43" i="118"/>
  <c r="BTV43" i="118"/>
  <c r="BTX43" i="118"/>
  <c r="BTZ43" i="118"/>
  <c r="BUB43" i="118"/>
  <c r="BUD43" i="118"/>
  <c r="BUF43" i="118"/>
  <c r="BUH43" i="118"/>
  <c r="BUJ43" i="118"/>
  <c r="BUL43" i="118"/>
  <c r="BUN43" i="118"/>
  <c r="BUP43" i="118"/>
  <c r="BUR43" i="118"/>
  <c r="BUT43" i="118"/>
  <c r="BUV43" i="118"/>
  <c r="BUX43" i="118"/>
  <c r="BUZ43" i="118"/>
  <c r="BVB43" i="118"/>
  <c r="BVD43" i="118"/>
  <c r="BVF43" i="118"/>
  <c r="BVH43" i="118"/>
  <c r="BVJ43" i="118"/>
  <c r="BVL43" i="118"/>
  <c r="BVN43" i="118"/>
  <c r="BVP43" i="118"/>
  <c r="BVR43" i="118"/>
  <c r="BVT43" i="118"/>
  <c r="BVV43" i="118"/>
  <c r="BVX43" i="118"/>
  <c r="BVZ43" i="118"/>
  <c r="BWB43" i="118"/>
  <c r="BWD43" i="118"/>
  <c r="BWF43" i="118"/>
  <c r="BWH43" i="118"/>
  <c r="BWJ43" i="118"/>
  <c r="BWL43" i="118"/>
  <c r="BWN43" i="118"/>
  <c r="BWP43" i="118"/>
  <c r="BWR43" i="118"/>
  <c r="BWT43" i="118"/>
  <c r="BWV43" i="118"/>
  <c r="BWX43" i="118"/>
  <c r="BWZ43" i="118"/>
  <c r="BXB43" i="118"/>
  <c r="BXD43" i="118"/>
  <c r="BXF43" i="118"/>
  <c r="BXH43" i="118"/>
  <c r="BXJ43" i="118"/>
  <c r="BXL43" i="118"/>
  <c r="BXN43" i="118"/>
  <c r="BXP43" i="118"/>
  <c r="BXR43" i="118"/>
  <c r="BXT43" i="118"/>
  <c r="BXV43" i="118"/>
  <c r="BXX43" i="118"/>
  <c r="BXZ43" i="118"/>
  <c r="BYB43" i="118"/>
  <c r="BYD43" i="118"/>
  <c r="BYF43" i="118"/>
  <c r="BYH43" i="118"/>
  <c r="BYJ43" i="118"/>
  <c r="BYL43" i="118"/>
  <c r="BYN43" i="118"/>
  <c r="BYP43" i="118"/>
  <c r="BYR43" i="118"/>
  <c r="BYT43" i="118"/>
  <c r="BYV43" i="118"/>
  <c r="BYX43" i="118"/>
  <c r="BYZ43" i="118"/>
  <c r="BZB43" i="118"/>
  <c r="BZD43" i="118"/>
  <c r="BZF43" i="118"/>
  <c r="BZH43" i="118"/>
  <c r="BZJ43" i="118"/>
  <c r="BZL43" i="118"/>
  <c r="BZN43" i="118"/>
  <c r="BZP43" i="118"/>
  <c r="BZR43" i="118"/>
  <c r="BZT43" i="118"/>
  <c r="BZV43" i="118"/>
  <c r="BZX43" i="118"/>
  <c r="BZZ43" i="118"/>
  <c r="CAB43" i="118"/>
  <c r="CAD43" i="118"/>
  <c r="CAF43" i="118"/>
  <c r="CAH43" i="118"/>
  <c r="CAJ43" i="118"/>
  <c r="CAL43" i="118"/>
  <c r="CAN43" i="118"/>
  <c r="CAP43" i="118"/>
  <c r="CAR43" i="118"/>
  <c r="CAT43" i="118"/>
  <c r="CAV43" i="118"/>
  <c r="CAX43" i="118"/>
  <c r="CAZ43" i="118"/>
  <c r="CBB43" i="118"/>
  <c r="CBD43" i="118"/>
  <c r="CBF43" i="118"/>
  <c r="CBH43" i="118"/>
  <c r="CBJ43" i="118"/>
  <c r="CBL43" i="118"/>
  <c r="CBN43" i="118"/>
  <c r="CBP43" i="118"/>
  <c r="CBR43" i="118"/>
  <c r="CBT43" i="118"/>
  <c r="CBV43" i="118"/>
  <c r="CBX43" i="118"/>
  <c r="CBZ43" i="118"/>
  <c r="CCB43" i="118"/>
  <c r="CCD43" i="118"/>
  <c r="CCF43" i="118"/>
  <c r="CCH43" i="118"/>
  <c r="CCJ43" i="118"/>
  <c r="CCL43" i="118"/>
  <c r="CCN43" i="118"/>
  <c r="CCP43" i="118"/>
  <c r="CCR43" i="118"/>
  <c r="CCT43" i="118"/>
  <c r="CCV43" i="118"/>
  <c r="CCX43" i="118"/>
  <c r="CCZ43" i="118"/>
  <c r="CDB43" i="118"/>
  <c r="CDD43" i="118"/>
  <c r="CDF43" i="118"/>
  <c r="CDH43" i="118"/>
  <c r="CDJ43" i="118"/>
  <c r="CDL43" i="118"/>
  <c r="CDN43" i="118"/>
  <c r="CDP43" i="118"/>
  <c r="CDR43" i="118"/>
  <c r="CDT43" i="118"/>
  <c r="CDV43" i="118"/>
  <c r="CDX43" i="118"/>
  <c r="CDZ43" i="118"/>
  <c r="CEB43" i="118"/>
  <c r="CED43" i="118"/>
  <c r="CEF43" i="118"/>
  <c r="CEH43" i="118"/>
  <c r="CEJ43" i="118"/>
  <c r="CEL43" i="118"/>
  <c r="CEN43" i="118"/>
  <c r="CEP43" i="118"/>
  <c r="CER43" i="118"/>
  <c r="CET43" i="118"/>
  <c r="CEV43" i="118"/>
  <c r="CEX43" i="118"/>
  <c r="CEZ43" i="118"/>
  <c r="CFB43" i="118"/>
  <c r="CFD43" i="118"/>
  <c r="CFF43" i="118"/>
  <c r="CFH43" i="118"/>
  <c r="CFJ43" i="118"/>
  <c r="CFL43" i="118"/>
  <c r="CFN43" i="118"/>
  <c r="CFP43" i="118"/>
  <c r="CFR43" i="118"/>
  <c r="CFT43" i="118"/>
  <c r="CFV43" i="118"/>
  <c r="CFX43" i="118"/>
  <c r="CFZ43" i="118"/>
  <c r="CGB43" i="118"/>
  <c r="CGD43" i="118"/>
  <c r="CGF43" i="118"/>
  <c r="CGH43" i="118"/>
  <c r="CGJ43" i="118"/>
  <c r="CGL43" i="118"/>
  <c r="CGN43" i="118"/>
  <c r="CGP43" i="118"/>
  <c r="CGR43" i="118"/>
  <c r="CGT43" i="118"/>
  <c r="CGV43" i="118"/>
  <c r="CGX43" i="118"/>
  <c r="CGZ43" i="118"/>
  <c r="CHB43" i="118"/>
  <c r="CHD43" i="118"/>
  <c r="CHF43" i="118"/>
  <c r="CHH43" i="118"/>
  <c r="CHJ43" i="118"/>
  <c r="CHL43" i="118"/>
  <c r="CHN43" i="118"/>
  <c r="CHP43" i="118"/>
  <c r="CHR43" i="118"/>
  <c r="CHT43" i="118"/>
  <c r="CHV43" i="118"/>
  <c r="CHX43" i="118"/>
  <c r="CHZ43" i="118"/>
  <c r="CIB43" i="118"/>
  <c r="CID43" i="118"/>
  <c r="CIF43" i="118"/>
  <c r="CIH43" i="118"/>
  <c r="CIJ43" i="118"/>
  <c r="CIL43" i="118"/>
  <c r="CIN43" i="118"/>
  <c r="CIP43" i="118"/>
  <c r="CIR43" i="118"/>
  <c r="CIT43" i="118"/>
  <c r="CIV43" i="118"/>
  <c r="CIX43" i="118"/>
  <c r="CIZ43" i="118"/>
  <c r="CJB43" i="118"/>
  <c r="CJD43" i="118"/>
  <c r="CJF43" i="118"/>
  <c r="CJH43" i="118"/>
  <c r="CJJ43" i="118"/>
  <c r="CJL43" i="118"/>
  <c r="CJN43" i="118"/>
  <c r="CJP43" i="118"/>
  <c r="CJR43" i="118"/>
  <c r="CJT43" i="118"/>
  <c r="CJV43" i="118"/>
  <c r="CJX43" i="118"/>
  <c r="CJZ43" i="118"/>
  <c r="CKB43" i="118"/>
  <c r="CKD43" i="118"/>
  <c r="CKF43" i="118"/>
  <c r="CKH43" i="118"/>
  <c r="CKJ43" i="118"/>
  <c r="CKL43" i="118"/>
  <c r="CKN43" i="118"/>
  <c r="CKP43" i="118"/>
  <c r="CKR43" i="118"/>
  <c r="CKT43" i="118"/>
  <c r="CKV43" i="118"/>
  <c r="CKX43" i="118"/>
  <c r="CKZ43" i="118"/>
  <c r="CLB43" i="118"/>
  <c r="CLD43" i="118"/>
  <c r="CLF43" i="118"/>
  <c r="CLH43" i="118"/>
  <c r="CLJ43" i="118"/>
  <c r="CLL43" i="118"/>
  <c r="CLN43" i="118"/>
  <c r="CLP43" i="118"/>
  <c r="CLR43" i="118"/>
  <c r="CLT43" i="118"/>
  <c r="CLV43" i="118"/>
  <c r="CLX43" i="118"/>
  <c r="CLZ43" i="118"/>
  <c r="CMB43" i="118"/>
  <c r="CMD43" i="118"/>
  <c r="CMF43" i="118"/>
  <c r="CMH43" i="118"/>
  <c r="CMJ43" i="118"/>
  <c r="CML43" i="118"/>
  <c r="CMN43" i="118"/>
  <c r="CMP43" i="118"/>
  <c r="CMR43" i="118"/>
  <c r="CMT43" i="118"/>
  <c r="CMV43" i="118"/>
  <c r="CMX43" i="118"/>
  <c r="CMZ43" i="118"/>
  <c r="CNB43" i="118"/>
  <c r="CND43" i="118"/>
  <c r="CNF43" i="118"/>
  <c r="CNH43" i="118"/>
  <c r="CNJ43" i="118"/>
  <c r="CNL43" i="118"/>
  <c r="CNN43" i="118"/>
  <c r="CNP43" i="118"/>
  <c r="CNR43" i="118"/>
  <c r="CNT43" i="118"/>
  <c r="CNV43" i="118"/>
  <c r="CNX43" i="118"/>
  <c r="CNZ43" i="118"/>
  <c r="COB43" i="118"/>
  <c r="COD43" i="118"/>
  <c r="COF43" i="118"/>
  <c r="COH43" i="118"/>
  <c r="COJ43" i="118"/>
  <c r="COL43" i="118"/>
  <c r="CON43" i="118"/>
  <c r="COP43" i="118"/>
  <c r="COR43" i="118"/>
  <c r="COT43" i="118"/>
  <c r="COV43" i="118"/>
  <c r="COX43" i="118"/>
  <c r="COZ43" i="118"/>
  <c r="CPB43" i="118"/>
  <c r="CPD43" i="118"/>
  <c r="CPF43" i="118"/>
  <c r="CPH43" i="118"/>
  <c r="CPJ43" i="118"/>
  <c r="CPL43" i="118"/>
  <c r="CPN43" i="118"/>
  <c r="CPP43" i="118"/>
  <c r="CPR43" i="118"/>
  <c r="CPT43" i="118"/>
  <c r="CPV43" i="118"/>
  <c r="CPX43" i="118"/>
  <c r="CPZ43" i="118"/>
  <c r="CQB43" i="118"/>
  <c r="CQD43" i="118"/>
  <c r="CQF43" i="118"/>
  <c r="CQH43" i="118"/>
  <c r="CQJ43" i="118"/>
  <c r="CQL43" i="118"/>
  <c r="CQN43" i="118"/>
  <c r="CQP43" i="118"/>
  <c r="CQR43" i="118"/>
  <c r="CQT43" i="118"/>
  <c r="CQV43" i="118"/>
  <c r="CQX43" i="118"/>
  <c r="CQZ43" i="118"/>
  <c r="CRB43" i="118"/>
  <c r="CRD43" i="118"/>
  <c r="CRF43" i="118"/>
  <c r="CRH43" i="118"/>
  <c r="CRJ43" i="118"/>
  <c r="CRL43" i="118"/>
  <c r="CRN43" i="118"/>
  <c r="CRP43" i="118"/>
  <c r="CRR43" i="118"/>
  <c r="CRT43" i="118"/>
  <c r="CRV43" i="118"/>
  <c r="CRX43" i="118"/>
  <c r="CRZ43" i="118"/>
  <c r="CSB43" i="118"/>
  <c r="CSD43" i="118"/>
  <c r="CSF43" i="118"/>
  <c r="CSH43" i="118"/>
  <c r="CSJ43" i="118"/>
  <c r="CSL43" i="118"/>
  <c r="CSN43" i="118"/>
  <c r="CSP43" i="118"/>
  <c r="CSR43" i="118"/>
  <c r="CST43" i="118"/>
  <c r="CSV43" i="118"/>
  <c r="CSX43" i="118"/>
  <c r="CSZ43" i="118"/>
  <c r="CTB43" i="118"/>
  <c r="CTD43" i="118"/>
  <c r="CTF43" i="118"/>
  <c r="CTH43" i="118"/>
  <c r="CTJ43" i="118"/>
  <c r="CTL43" i="118"/>
  <c r="CTN43" i="118"/>
  <c r="CTP43" i="118"/>
  <c r="CTR43" i="118"/>
  <c r="CTT43" i="118"/>
  <c r="CTV43" i="118"/>
  <c r="CTX43" i="118"/>
  <c r="CTZ43" i="118"/>
  <c r="CUB43" i="118"/>
  <c r="CUD43" i="118"/>
  <c r="CUF43" i="118"/>
  <c r="CUH43" i="118"/>
  <c r="CUJ43" i="118"/>
  <c r="CUL43" i="118"/>
  <c r="CUN43" i="118"/>
  <c r="CUP43" i="118"/>
  <c r="CUR43" i="118"/>
  <c r="CUT43" i="118"/>
  <c r="CUV43" i="118"/>
  <c r="CUX43" i="118"/>
  <c r="CUZ43" i="118"/>
  <c r="CVB43" i="118"/>
  <c r="CVD43" i="118"/>
  <c r="CVF43" i="118"/>
  <c r="CVH43" i="118"/>
  <c r="CVJ43" i="118"/>
  <c r="CVL43" i="118"/>
  <c r="CVN43" i="118"/>
  <c r="CVP43" i="118"/>
  <c r="CVR43" i="118"/>
  <c r="CVT43" i="118"/>
  <c r="CVV43" i="118"/>
  <c r="CVX43" i="118"/>
  <c r="CVZ43" i="118"/>
  <c r="CWB43" i="118"/>
  <c r="CWD43" i="118"/>
  <c r="CWF43" i="118"/>
  <c r="CWH43" i="118"/>
  <c r="CWJ43" i="118"/>
  <c r="CWL43" i="118"/>
  <c r="CWN43" i="118"/>
  <c r="CWP43" i="118"/>
  <c r="CWR43" i="118"/>
  <c r="CWT43" i="118"/>
  <c r="CWV43" i="118"/>
  <c r="CWX43" i="118"/>
  <c r="CWZ43" i="118"/>
  <c r="CXB43" i="118"/>
  <c r="CXD43" i="118"/>
  <c r="CXF43" i="118"/>
  <c r="CXH43" i="118"/>
  <c r="CXJ43" i="118"/>
  <c r="CXL43" i="118"/>
  <c r="CXN43" i="118"/>
  <c r="CXP43" i="118"/>
  <c r="CXR43" i="118"/>
  <c r="CXT43" i="118"/>
  <c r="CXV43" i="118"/>
  <c r="CXX43" i="118"/>
  <c r="CXZ43" i="118"/>
  <c r="CYB43" i="118"/>
  <c r="CYD43" i="118"/>
  <c r="CYF43" i="118"/>
  <c r="CYH43" i="118"/>
  <c r="CYJ43" i="118"/>
  <c r="CYL43" i="118"/>
  <c r="CYN43" i="118"/>
  <c r="CYP43" i="118"/>
  <c r="CYR43" i="118"/>
  <c r="CYT43" i="118"/>
  <c r="CYV43" i="118"/>
  <c r="CYX43" i="118"/>
  <c r="CYZ43" i="118"/>
  <c r="CZB43" i="118"/>
  <c r="CZD43" i="118"/>
  <c r="CZF43" i="118"/>
  <c r="CZH43" i="118"/>
  <c r="CZJ43" i="118"/>
  <c r="CZL43" i="118"/>
  <c r="CZN43" i="118"/>
  <c r="CZP43" i="118"/>
  <c r="CZR43" i="118"/>
  <c r="CZT43" i="118"/>
  <c r="CZV43" i="118"/>
  <c r="CZX43" i="118"/>
  <c r="CZZ43" i="118"/>
  <c r="DAB43" i="118"/>
  <c r="DAD43" i="118"/>
  <c r="DAF43" i="118"/>
  <c r="DAH43" i="118"/>
  <c r="DAJ43" i="118"/>
  <c r="DAL43" i="118"/>
  <c r="DAN43" i="118"/>
  <c r="DAP43" i="118"/>
  <c r="DAR43" i="118"/>
  <c r="DAT43" i="118"/>
  <c r="DAV43" i="118"/>
  <c r="DAX43" i="118"/>
  <c r="DAZ43" i="118"/>
  <c r="DBB43" i="118"/>
  <c r="DBD43" i="118"/>
  <c r="DBF43" i="118"/>
  <c r="DBH43" i="118"/>
  <c r="DBJ43" i="118"/>
  <c r="DBL43" i="118"/>
  <c r="DBN43" i="118"/>
  <c r="DBP43" i="118"/>
  <c r="DBR43" i="118"/>
  <c r="DBT43" i="118"/>
  <c r="DBV43" i="118"/>
  <c r="DBX43" i="118"/>
  <c r="DBZ43" i="118"/>
  <c r="DCB43" i="118"/>
  <c r="DCD43" i="118"/>
  <c r="DCF43" i="118"/>
  <c r="DCH43" i="118"/>
  <c r="DCJ43" i="118"/>
  <c r="DCL43" i="118"/>
  <c r="DCN43" i="118"/>
  <c r="DCP43" i="118"/>
  <c r="DCR43" i="118"/>
  <c r="DCT43" i="118"/>
  <c r="DCV43" i="118"/>
  <c r="DCX43" i="118"/>
  <c r="DCZ43" i="118"/>
  <c r="DDB43" i="118"/>
  <c r="DDD43" i="118"/>
  <c r="DDF43" i="118"/>
  <c r="DDH43" i="118"/>
  <c r="DDJ43" i="118"/>
  <c r="DDL43" i="118"/>
  <c r="DDN43" i="118"/>
  <c r="DDP43" i="118"/>
  <c r="DDR43" i="118"/>
  <c r="DDT43" i="118"/>
  <c r="DDV43" i="118"/>
  <c r="DDX43" i="118"/>
  <c r="DDZ43" i="118"/>
  <c r="DEB43" i="118"/>
  <c r="DED43" i="118"/>
  <c r="DEF43" i="118"/>
  <c r="DEH43" i="118"/>
  <c r="DEJ43" i="118"/>
  <c r="DEL43" i="118"/>
  <c r="DEN43" i="118"/>
  <c r="DEP43" i="118"/>
  <c r="DER43" i="118"/>
  <c r="DET43" i="118"/>
  <c r="DEV43" i="118"/>
  <c r="DEX43" i="118"/>
  <c r="DEZ43" i="118"/>
  <c r="DFB43" i="118"/>
  <c r="DFD43" i="118"/>
  <c r="DFF43" i="118"/>
  <c r="DFH43" i="118"/>
  <c r="DFJ43" i="118"/>
  <c r="DFL43" i="118"/>
  <c r="DFN43" i="118"/>
  <c r="DFP43" i="118"/>
  <c r="DFR43" i="118"/>
  <c r="DFT43" i="118"/>
  <c r="DFV43" i="118"/>
  <c r="DFX43" i="118"/>
  <c r="DFZ43" i="118"/>
  <c r="DGB43" i="118"/>
  <c r="DGD43" i="118"/>
  <c r="DGF43" i="118"/>
  <c r="DGH43" i="118"/>
  <c r="DGJ43" i="118"/>
  <c r="DGL43" i="118"/>
  <c r="DGN43" i="118"/>
  <c r="DGP43" i="118"/>
  <c r="DGR43" i="118"/>
  <c r="DGT43" i="118"/>
  <c r="DGV43" i="118"/>
  <c r="DGX43" i="118"/>
  <c r="DGZ43" i="118"/>
  <c r="DHB43" i="118"/>
  <c r="DHD43" i="118"/>
  <c r="DHF43" i="118"/>
  <c r="DHH43" i="118"/>
  <c r="DHJ43" i="118"/>
  <c r="DHL43" i="118"/>
  <c r="DHN43" i="118"/>
  <c r="DHP43" i="118"/>
  <c r="DHR43" i="118"/>
  <c r="DHT43" i="118"/>
  <c r="DHV43" i="118"/>
  <c r="DHX43" i="118"/>
  <c r="DHZ43" i="118"/>
  <c r="DIB43" i="118"/>
  <c r="DID43" i="118"/>
  <c r="DIF43" i="118"/>
  <c r="DIH43" i="118"/>
  <c r="DIJ43" i="118"/>
  <c r="DIL43" i="118"/>
  <c r="DIN43" i="118"/>
  <c r="DIP43" i="118"/>
  <c r="DIR43" i="118"/>
  <c r="DIT43" i="118"/>
  <c r="DIV43" i="118"/>
  <c r="DIX43" i="118"/>
  <c r="DIZ43" i="118"/>
  <c r="DJB43" i="118"/>
  <c r="DJD43" i="118"/>
  <c r="DJF43" i="118"/>
  <c r="DJH43" i="118"/>
  <c r="DJJ43" i="118"/>
  <c r="DJL43" i="118"/>
  <c r="DJN43" i="118"/>
  <c r="DJP43" i="118"/>
  <c r="DJR43" i="118"/>
  <c r="DJT43" i="118"/>
  <c r="DJV43" i="118"/>
  <c r="DJX43" i="118"/>
  <c r="DJZ43" i="118"/>
  <c r="DKB43" i="118"/>
  <c r="DKD43" i="118"/>
  <c r="DKF43" i="118"/>
  <c r="DKH43" i="118"/>
  <c r="DKJ43" i="118"/>
  <c r="DKL43" i="118"/>
  <c r="DKN43" i="118"/>
  <c r="DKP43" i="118"/>
  <c r="DKR43" i="118"/>
  <c r="DKT43" i="118"/>
  <c r="DKV43" i="118"/>
  <c r="DKX43" i="118"/>
  <c r="DKZ43" i="118"/>
  <c r="DLB43" i="118"/>
  <c r="DLD43" i="118"/>
  <c r="DLF43" i="118"/>
  <c r="DLH43" i="118"/>
  <c r="DLJ43" i="118"/>
  <c r="DLL43" i="118"/>
  <c r="DLN43" i="118"/>
  <c r="DLP43" i="118"/>
  <c r="DLR43" i="118"/>
  <c r="DLT43" i="118"/>
  <c r="DLV43" i="118"/>
  <c r="DLX43" i="118"/>
  <c r="DLZ43" i="118"/>
  <c r="DMB43" i="118"/>
  <c r="DMD43" i="118"/>
  <c r="DMF43" i="118"/>
  <c r="DMH43" i="118"/>
  <c r="DMJ43" i="118"/>
  <c r="DML43" i="118"/>
  <c r="DMN43" i="118"/>
  <c r="DMP43" i="118"/>
  <c r="DMR43" i="118"/>
  <c r="DMT43" i="118"/>
  <c r="DMV43" i="118"/>
  <c r="DMX43" i="118"/>
  <c r="DMZ43" i="118"/>
  <c r="DNB43" i="118"/>
  <c r="DND43" i="118"/>
  <c r="DNF43" i="118"/>
  <c r="DNH43" i="118"/>
  <c r="DNJ43" i="118"/>
  <c r="DNL43" i="118"/>
  <c r="DNN43" i="118"/>
  <c r="DNP43" i="118"/>
  <c r="DNR43" i="118"/>
  <c r="DNT43" i="118"/>
  <c r="DNV43" i="118"/>
  <c r="DNX43" i="118"/>
  <c r="DNZ43" i="118"/>
  <c r="DOB43" i="118"/>
  <c r="DOD43" i="118"/>
  <c r="DOF43" i="118"/>
  <c r="DOH43" i="118"/>
  <c r="DOJ43" i="118"/>
  <c r="DOL43" i="118"/>
  <c r="DON43" i="118"/>
  <c r="DOP43" i="118"/>
  <c r="DOR43" i="118"/>
  <c r="DOT43" i="118"/>
  <c r="DOV43" i="118"/>
  <c r="DOX43" i="118"/>
  <c r="DOZ43" i="118"/>
  <c r="DPB43" i="118"/>
  <c r="DPD43" i="118"/>
  <c r="DPF43" i="118"/>
  <c r="DPH43" i="118"/>
  <c r="DPJ43" i="118"/>
  <c r="DPL43" i="118"/>
  <c r="DPN43" i="118"/>
  <c r="DPP43" i="118"/>
  <c r="DPR43" i="118"/>
  <c r="DPT43" i="118"/>
  <c r="DPV43" i="118"/>
  <c r="DPX43" i="118"/>
  <c r="DPZ43" i="118"/>
  <c r="DQB43" i="118"/>
  <c r="DQD43" i="118"/>
  <c r="DQF43" i="118"/>
  <c r="DQH43" i="118"/>
  <c r="DQJ43" i="118"/>
  <c r="DQL43" i="118"/>
  <c r="DQN43" i="118"/>
  <c r="DQP43" i="118"/>
  <c r="DQR43" i="118"/>
  <c r="DQT43" i="118"/>
  <c r="DQV43" i="118"/>
  <c r="DQX43" i="118"/>
  <c r="DQZ43" i="118"/>
  <c r="DRB43" i="118"/>
  <c r="DRD43" i="118"/>
  <c r="DRF43" i="118"/>
  <c r="DRH43" i="118"/>
  <c r="DRJ43" i="118"/>
  <c r="DRL43" i="118"/>
  <c r="DRN43" i="118"/>
  <c r="DRP43" i="118"/>
  <c r="DRR43" i="118"/>
  <c r="DRT43" i="118"/>
  <c r="DRV43" i="118"/>
  <c r="DRX43" i="118"/>
  <c r="DRZ43" i="118"/>
  <c r="DSB43" i="118"/>
  <c r="DSD43" i="118"/>
  <c r="DSF43" i="118"/>
  <c r="DSH43" i="118"/>
  <c r="DSJ43" i="118"/>
  <c r="DSL43" i="118"/>
  <c r="DSN43" i="118"/>
  <c r="DSP43" i="118"/>
  <c r="DSR43" i="118"/>
  <c r="DST43" i="118"/>
  <c r="DSV43" i="118"/>
  <c r="DSX43" i="118"/>
  <c r="DSZ43" i="118"/>
  <c r="DTB43" i="118"/>
  <c r="DTD43" i="118"/>
  <c r="DTF43" i="118"/>
  <c r="DTH43" i="118"/>
  <c r="DTJ43" i="118"/>
  <c r="DTL43" i="118"/>
  <c r="DTN43" i="118"/>
  <c r="DTP43" i="118"/>
  <c r="DTR43" i="118"/>
  <c r="DTT43" i="118"/>
  <c r="DTV43" i="118"/>
  <c r="DTX43" i="118"/>
  <c r="DTZ43" i="118"/>
  <c r="DUB43" i="118"/>
  <c r="DUD43" i="118"/>
  <c r="DUF43" i="118"/>
  <c r="DUH43" i="118"/>
  <c r="DUJ43" i="118"/>
  <c r="DUL43" i="118"/>
  <c r="DUN43" i="118"/>
  <c r="DUP43" i="118"/>
  <c r="DUR43" i="118"/>
  <c r="DUT43" i="118"/>
  <c r="DUV43" i="118"/>
  <c r="DUX43" i="118"/>
  <c r="DUZ43" i="118"/>
  <c r="DVB43" i="118"/>
  <c r="DVD43" i="118"/>
  <c r="DVF43" i="118"/>
  <c r="DVH43" i="118"/>
  <c r="DVJ43" i="118"/>
  <c r="DVL43" i="118"/>
  <c r="DVN43" i="118"/>
  <c r="DVP43" i="118"/>
  <c r="DVR43" i="118"/>
  <c r="DVT43" i="118"/>
  <c r="DVV43" i="118"/>
  <c r="DVX43" i="118"/>
  <c r="DVZ43" i="118"/>
  <c r="DWB43" i="118"/>
  <c r="DWD43" i="118"/>
  <c r="DWF43" i="118"/>
  <c r="DWH43" i="118"/>
  <c r="DWJ43" i="118"/>
  <c r="DWL43" i="118"/>
  <c r="DWN43" i="118"/>
  <c r="DWP43" i="118"/>
  <c r="DWR43" i="118"/>
  <c r="DWT43" i="118"/>
  <c r="DWV43" i="118"/>
  <c r="DWX43" i="118"/>
  <c r="DWZ43" i="118"/>
  <c r="DXB43" i="118"/>
  <c r="DXD43" i="118"/>
  <c r="DXF43" i="118"/>
  <c r="DXH43" i="118"/>
  <c r="DXJ43" i="118"/>
  <c r="DXL43" i="118"/>
  <c r="DXN43" i="118"/>
  <c r="DXP43" i="118"/>
  <c r="DXR43" i="118"/>
  <c r="DXT43" i="118"/>
  <c r="DXV43" i="118"/>
  <c r="DXX43" i="118"/>
  <c r="DXZ43" i="118"/>
  <c r="DYB43" i="118"/>
  <c r="DYD43" i="118"/>
  <c r="DYF43" i="118"/>
  <c r="DYH43" i="118"/>
  <c r="DYJ43" i="118"/>
  <c r="DYL43" i="118"/>
  <c r="DYN43" i="118"/>
  <c r="DYP43" i="118"/>
  <c r="DYR43" i="118"/>
  <c r="DYT43" i="118"/>
  <c r="DYV43" i="118"/>
  <c r="DYX43" i="118"/>
  <c r="DYZ43" i="118"/>
  <c r="DZB43" i="118"/>
  <c r="DZD43" i="118"/>
  <c r="DZF43" i="118"/>
  <c r="DZH43" i="118"/>
  <c r="DZJ43" i="118"/>
  <c r="DZL43" i="118"/>
  <c r="DZN43" i="118"/>
  <c r="DZP43" i="118"/>
  <c r="DZR43" i="118"/>
  <c r="DZT43" i="118"/>
  <c r="DZV43" i="118"/>
  <c r="DZX43" i="118"/>
  <c r="DZZ43" i="118"/>
  <c r="EAB43" i="118"/>
  <c r="EAD43" i="118"/>
  <c r="EAF43" i="118"/>
  <c r="EAH43" i="118"/>
  <c r="EAJ43" i="118"/>
  <c r="EAL43" i="118"/>
  <c r="EAN43" i="118"/>
  <c r="EAP43" i="118"/>
  <c r="EAR43" i="118"/>
  <c r="EAT43" i="118"/>
  <c r="EAV43" i="118"/>
  <c r="EAX43" i="118"/>
  <c r="EAZ43" i="118"/>
  <c r="EBB43" i="118"/>
  <c r="EBD43" i="118"/>
  <c r="EBF43" i="118"/>
  <c r="EBH43" i="118"/>
  <c r="EBJ43" i="118"/>
  <c r="EBL43" i="118"/>
  <c r="EBN43" i="118"/>
  <c r="EBP43" i="118"/>
  <c r="EBR43" i="118"/>
  <c r="EBT43" i="118"/>
  <c r="EBV43" i="118"/>
  <c r="EBX43" i="118"/>
  <c r="EBZ43" i="118"/>
  <c r="ECB43" i="118"/>
  <c r="ECD43" i="118"/>
  <c r="ECF43" i="118"/>
  <c r="ECH43" i="118"/>
  <c r="ECJ43" i="118"/>
  <c r="ECL43" i="118"/>
  <c r="ECN43" i="118"/>
  <c r="ECP43" i="118"/>
  <c r="ECR43" i="118"/>
  <c r="ECT43" i="118"/>
  <c r="ECV43" i="118"/>
  <c r="ECX43" i="118"/>
  <c r="ECZ43" i="118"/>
  <c r="EDB43" i="118"/>
  <c r="EDD43" i="118"/>
  <c r="EDF43" i="118"/>
  <c r="EDH43" i="118"/>
  <c r="EDJ43" i="118"/>
  <c r="EDL43" i="118"/>
  <c r="EDN43" i="118"/>
  <c r="EDP43" i="118"/>
  <c r="EDR43" i="118"/>
  <c r="EDT43" i="118"/>
  <c r="EDV43" i="118"/>
  <c r="EDX43" i="118"/>
  <c r="EDZ43" i="118"/>
  <c r="EEB43" i="118"/>
  <c r="EED43" i="118"/>
  <c r="EEF43" i="118"/>
  <c r="EEH43" i="118"/>
  <c r="EEJ43" i="118"/>
  <c r="EEL43" i="118"/>
  <c r="EEN43" i="118"/>
  <c r="EEP43" i="118"/>
  <c r="EER43" i="118"/>
  <c r="EET43" i="118"/>
  <c r="EEV43" i="118"/>
  <c r="EEX43" i="118"/>
  <c r="EEZ43" i="118"/>
  <c r="EFB43" i="118"/>
  <c r="EFD43" i="118"/>
  <c r="EFF43" i="118"/>
  <c r="EFH43" i="118"/>
  <c r="EFJ43" i="118"/>
  <c r="EFL43" i="118"/>
  <c r="EFN43" i="118"/>
  <c r="EFP43" i="118"/>
  <c r="EFR43" i="118"/>
  <c r="EFT43" i="118"/>
  <c r="EFV43" i="118"/>
  <c r="EFX43" i="118"/>
  <c r="EFZ43" i="118"/>
  <c r="EGB43" i="118"/>
  <c r="EGD43" i="118"/>
  <c r="EGF43" i="118"/>
  <c r="EGH43" i="118"/>
  <c r="EGJ43" i="118"/>
  <c r="EGL43" i="118"/>
  <c r="EGN43" i="118"/>
  <c r="EGP43" i="118"/>
  <c r="EGR43" i="118"/>
  <c r="EGT43" i="118"/>
  <c r="EGV43" i="118"/>
  <c r="EGX43" i="118"/>
  <c r="EGZ43" i="118"/>
  <c r="EHB43" i="118"/>
  <c r="EHD43" i="118"/>
  <c r="EHF43" i="118"/>
  <c r="EHH43" i="118"/>
  <c r="EHJ43" i="118"/>
  <c r="EHL43" i="118"/>
  <c r="EHN43" i="118"/>
  <c r="EHP43" i="118"/>
  <c r="EHR43" i="118"/>
  <c r="EHT43" i="118"/>
  <c r="EHV43" i="118"/>
  <c r="EHX43" i="118"/>
  <c r="EHZ43" i="118"/>
  <c r="EIB43" i="118"/>
  <c r="EID43" i="118"/>
  <c r="EIF43" i="118"/>
  <c r="EIH43" i="118"/>
  <c r="EIJ43" i="118"/>
  <c r="EIL43" i="118"/>
  <c r="EIN43" i="118"/>
  <c r="EIP43" i="118"/>
  <c r="EIR43" i="118"/>
  <c r="EIT43" i="118"/>
  <c r="EIV43" i="118"/>
  <c r="EIX43" i="118"/>
  <c r="EIZ43" i="118"/>
  <c r="EJB43" i="118"/>
  <c r="EJD43" i="118"/>
  <c r="EJF43" i="118"/>
  <c r="EJH43" i="118"/>
  <c r="EJJ43" i="118"/>
  <c r="EJL43" i="118"/>
  <c r="EJN43" i="118"/>
  <c r="EJP43" i="118"/>
  <c r="EJR43" i="118"/>
  <c r="EJT43" i="118"/>
  <c r="EJV43" i="118"/>
  <c r="EJX43" i="118"/>
  <c r="EJZ43" i="118"/>
  <c r="EKB43" i="118"/>
  <c r="EKD43" i="118"/>
  <c r="EKF43" i="118"/>
  <c r="EKH43" i="118"/>
  <c r="EKJ43" i="118"/>
  <c r="EKL43" i="118"/>
  <c r="EKN43" i="118"/>
  <c r="EKP43" i="118"/>
  <c r="EKR43" i="118"/>
  <c r="EKT43" i="118"/>
  <c r="EKV43" i="118"/>
  <c r="EKX43" i="118"/>
  <c r="EKZ43" i="118"/>
  <c r="ELB43" i="118"/>
  <c r="ELD43" i="118"/>
  <c r="ELF43" i="118"/>
  <c r="ELH43" i="118"/>
  <c r="ELJ43" i="118"/>
  <c r="ELL43" i="118"/>
  <c r="ELN43" i="118"/>
  <c r="ELP43" i="118"/>
  <c r="ELR43" i="118"/>
  <c r="ELT43" i="118"/>
  <c r="ELV43" i="118"/>
  <c r="ELX43" i="118"/>
  <c r="ELZ43" i="118"/>
  <c r="EMB43" i="118"/>
  <c r="EMD43" i="118"/>
  <c r="EMF43" i="118"/>
  <c r="EMH43" i="118"/>
  <c r="EMJ43" i="118"/>
  <c r="EML43" i="118"/>
  <c r="EMN43" i="118"/>
  <c r="EMP43" i="118"/>
  <c r="EMR43" i="118"/>
  <c r="EMT43" i="118"/>
  <c r="EMV43" i="118"/>
  <c r="EMX43" i="118"/>
  <c r="EMZ43" i="118"/>
  <c r="ENB43" i="118"/>
  <c r="END43" i="118"/>
  <c r="ENF43" i="118"/>
  <c r="ENH43" i="118"/>
  <c r="ENJ43" i="118"/>
  <c r="ENL43" i="118"/>
  <c r="ENN43" i="118"/>
  <c r="ENP43" i="118"/>
  <c r="ENR43" i="118"/>
  <c r="ENT43" i="118"/>
  <c r="ENV43" i="118"/>
  <c r="ENX43" i="118"/>
  <c r="ENZ43" i="118"/>
  <c r="EOB43" i="118"/>
  <c r="EOD43" i="118"/>
  <c r="EOF43" i="118"/>
  <c r="EOH43" i="118"/>
  <c r="EOJ43" i="118"/>
  <c r="EOL43" i="118"/>
  <c r="EON43" i="118"/>
  <c r="EOP43" i="118"/>
  <c r="EOR43" i="118"/>
  <c r="EOT43" i="118"/>
  <c r="EOV43" i="118"/>
  <c r="EOX43" i="118"/>
  <c r="EOZ43" i="118"/>
  <c r="EPB43" i="118"/>
  <c r="EPD43" i="118"/>
  <c r="EPF43" i="118"/>
  <c r="EPH43" i="118"/>
  <c r="EPJ43" i="118"/>
  <c r="EPL43" i="118"/>
  <c r="EPN43" i="118"/>
  <c r="EPP43" i="118"/>
  <c r="EPR43" i="118"/>
  <c r="EPT43" i="118"/>
  <c r="EPV43" i="118"/>
  <c r="EPX43" i="118"/>
  <c r="EPZ43" i="118"/>
  <c r="EQB43" i="118"/>
  <c r="EQD43" i="118"/>
  <c r="EQF43" i="118"/>
  <c r="EQH43" i="118"/>
  <c r="EQJ43" i="118"/>
  <c r="EQL43" i="118"/>
  <c r="EQN43" i="118"/>
  <c r="EQP43" i="118"/>
  <c r="EQR43" i="118"/>
  <c r="EQT43" i="118"/>
  <c r="EQV43" i="118"/>
  <c r="EQX43" i="118"/>
  <c r="EQZ43" i="118"/>
  <c r="ERB43" i="118"/>
  <c r="ERD43" i="118"/>
  <c r="ERF43" i="118"/>
  <c r="ERH43" i="118"/>
  <c r="ERJ43" i="118"/>
  <c r="ERL43" i="118"/>
  <c r="ERN43" i="118"/>
  <c r="ERP43" i="118"/>
  <c r="ERR43" i="118"/>
  <c r="ERT43" i="118"/>
  <c r="ERV43" i="118"/>
  <c r="ERX43" i="118"/>
  <c r="ERZ43" i="118"/>
  <c r="ESB43" i="118"/>
  <c r="ESD43" i="118"/>
  <c r="ESF43" i="118"/>
  <c r="ESH43" i="118"/>
  <c r="ESJ43" i="118"/>
  <c r="ESL43" i="118"/>
  <c r="ESN43" i="118"/>
  <c r="ESP43" i="118"/>
  <c r="ESR43" i="118"/>
  <c r="EST43" i="118"/>
  <c r="ESV43" i="118"/>
  <c r="ESX43" i="118"/>
  <c r="ESZ43" i="118"/>
  <c r="ETB43" i="118"/>
  <c r="ETD43" i="118"/>
  <c r="ETF43" i="118"/>
  <c r="ETH43" i="118"/>
  <c r="ETJ43" i="118"/>
  <c r="ETL43" i="118"/>
  <c r="ETN43" i="118"/>
  <c r="ETP43" i="118"/>
  <c r="ETR43" i="118"/>
  <c r="ETT43" i="118"/>
  <c r="ETV43" i="118"/>
  <c r="ETX43" i="118"/>
  <c r="ETZ43" i="118"/>
  <c r="EUB43" i="118"/>
  <c r="EUD43" i="118"/>
  <c r="EUF43" i="118"/>
  <c r="EUH43" i="118"/>
  <c r="EUJ43" i="118"/>
  <c r="EUL43" i="118"/>
  <c r="EUN43" i="118"/>
  <c r="EUP43" i="118"/>
  <c r="EUR43" i="118"/>
  <c r="EUT43" i="118"/>
  <c r="EUV43" i="118"/>
  <c r="EUX43" i="118"/>
  <c r="EUZ43" i="118"/>
  <c r="EVB43" i="118"/>
  <c r="EVD43" i="118"/>
  <c r="EVF43" i="118"/>
  <c r="EVH43" i="118"/>
  <c r="EVJ43" i="118"/>
  <c r="EVL43" i="118"/>
  <c r="EVN43" i="118"/>
  <c r="EVP43" i="118"/>
  <c r="EVR43" i="118"/>
  <c r="EVT43" i="118"/>
  <c r="EVV43" i="118"/>
  <c r="EVX43" i="118"/>
  <c r="EVZ43" i="118"/>
  <c r="EWB43" i="118"/>
  <c r="EWD43" i="118"/>
  <c r="EWF43" i="118"/>
  <c r="EWH43" i="118"/>
  <c r="EWJ43" i="118"/>
  <c r="EWL43" i="118"/>
  <c r="EWN43" i="118"/>
  <c r="EWP43" i="118"/>
  <c r="EWR43" i="118"/>
  <c r="EWT43" i="118"/>
  <c r="EWV43" i="118"/>
  <c r="EWX43" i="118"/>
  <c r="EWZ43" i="118"/>
  <c r="EXB43" i="118"/>
  <c r="EXD43" i="118"/>
  <c r="EXF43" i="118"/>
  <c r="EXH43" i="118"/>
  <c r="EXJ43" i="118"/>
  <c r="EXL43" i="118"/>
  <c r="EXN43" i="118"/>
  <c r="EXP43" i="118"/>
  <c r="EXR43" i="118"/>
  <c r="EXT43" i="118"/>
  <c r="EXV43" i="118"/>
  <c r="EXX43" i="118"/>
  <c r="EXZ43" i="118"/>
  <c r="EYB43" i="118"/>
  <c r="EYD43" i="118"/>
  <c r="EYF43" i="118"/>
  <c r="EYH43" i="118"/>
  <c r="EYJ43" i="118"/>
  <c r="EYL43" i="118"/>
  <c r="EYN43" i="118"/>
  <c r="EYP43" i="118"/>
  <c r="EYR43" i="118"/>
  <c r="EYT43" i="118"/>
  <c r="EYV43" i="118"/>
  <c r="EYX43" i="118"/>
  <c r="EYZ43" i="118"/>
  <c r="EZB43" i="118"/>
  <c r="EZD43" i="118"/>
  <c r="EZF43" i="118"/>
  <c r="EZH43" i="118"/>
  <c r="EZJ43" i="118"/>
  <c r="EZL43" i="118"/>
  <c r="EZN43" i="118"/>
  <c r="EZP43" i="118"/>
  <c r="EZR43" i="118"/>
  <c r="EZT43" i="118"/>
  <c r="EZV43" i="118"/>
  <c r="EZX43" i="118"/>
  <c r="EZZ43" i="118"/>
  <c r="FAB43" i="118"/>
  <c r="FAD43" i="118"/>
  <c r="FAF43" i="118"/>
  <c r="FAH43" i="118"/>
  <c r="FAJ43" i="118"/>
  <c r="FAL43" i="118"/>
  <c r="FAN43" i="118"/>
  <c r="FAP43" i="118"/>
  <c r="FAR43" i="118"/>
  <c r="FAT43" i="118"/>
  <c r="FAV43" i="118"/>
  <c r="FAX43" i="118"/>
  <c r="FAZ43" i="118"/>
  <c r="FBB43" i="118"/>
  <c r="FBD43" i="118"/>
  <c r="FBF43" i="118"/>
  <c r="FBH43" i="118"/>
  <c r="FBJ43" i="118"/>
  <c r="FBL43" i="118"/>
  <c r="FBN43" i="118"/>
  <c r="FBP43" i="118"/>
  <c r="FBR43" i="118"/>
  <c r="FBT43" i="118"/>
  <c r="FBV43" i="118"/>
  <c r="FBX43" i="118"/>
  <c r="FBZ43" i="118"/>
  <c r="FCB43" i="118"/>
  <c r="FCD43" i="118"/>
  <c r="FCF43" i="118"/>
  <c r="FCH43" i="118"/>
  <c r="FCJ43" i="118"/>
  <c r="FCL43" i="118"/>
  <c r="FCN43" i="118"/>
  <c r="FCP43" i="118"/>
  <c r="FCR43" i="118"/>
  <c r="FCT43" i="118"/>
  <c r="FCV43" i="118"/>
  <c r="FCX43" i="118"/>
  <c r="FCZ43" i="118"/>
  <c r="FDB43" i="118"/>
  <c r="FDD43" i="118"/>
  <c r="FDF43" i="118"/>
  <c r="FDH43" i="118"/>
  <c r="FDJ43" i="118"/>
  <c r="FDL43" i="118"/>
  <c r="FDN43" i="118"/>
  <c r="FDP43" i="118"/>
  <c r="FDR43" i="118"/>
  <c r="FDT43" i="118"/>
  <c r="FDV43" i="118"/>
  <c r="FDX43" i="118"/>
  <c r="FDZ43" i="118"/>
  <c r="FEB43" i="118"/>
  <c r="FED43" i="118"/>
  <c r="FEF43" i="118"/>
  <c r="FEH43" i="118"/>
  <c r="FEJ43" i="118"/>
  <c r="FEL43" i="118"/>
  <c r="FEN43" i="118"/>
  <c r="FEP43" i="118"/>
  <c r="FER43" i="118"/>
  <c r="FET43" i="118"/>
  <c r="FEV43" i="118"/>
  <c r="FEX43" i="118"/>
  <c r="FEZ43" i="118"/>
  <c r="FFB43" i="118"/>
  <c r="FFD43" i="118"/>
  <c r="FFF43" i="118"/>
  <c r="FFH43" i="118"/>
  <c r="FFJ43" i="118"/>
  <c r="FFL43" i="118"/>
  <c r="FFN43" i="118"/>
  <c r="FFP43" i="118"/>
  <c r="FFR43" i="118"/>
  <c r="FFT43" i="118"/>
  <c r="FFV43" i="118"/>
  <c r="FFX43" i="118"/>
  <c r="FFZ43" i="118"/>
  <c r="FGB43" i="118"/>
  <c r="FGD43" i="118"/>
  <c r="FGF43" i="118"/>
  <c r="FGH43" i="118"/>
  <c r="FGJ43" i="118"/>
  <c r="FGL43" i="118"/>
  <c r="FGN43" i="118"/>
  <c r="FGP43" i="118"/>
  <c r="FGR43" i="118"/>
  <c r="FGT43" i="118"/>
  <c r="FGV43" i="118"/>
  <c r="FGX43" i="118"/>
  <c r="FGZ43" i="118"/>
  <c r="FHB43" i="118"/>
  <c r="FHD43" i="118"/>
  <c r="FHF43" i="118"/>
  <c r="FHH43" i="118"/>
  <c r="FHJ43" i="118"/>
  <c r="FHL43" i="118"/>
  <c r="FHN43" i="118"/>
  <c r="FHP43" i="118"/>
  <c r="FHR43" i="118"/>
  <c r="FHT43" i="118"/>
  <c r="FHV43" i="118"/>
  <c r="FHX43" i="118"/>
  <c r="FHZ43" i="118"/>
  <c r="FIB43" i="118"/>
  <c r="FID43" i="118"/>
  <c r="FIF43" i="118"/>
  <c r="FIH43" i="118"/>
  <c r="FIJ43" i="118"/>
  <c r="FIL43" i="118"/>
  <c r="FIN43" i="118"/>
  <c r="FIP43" i="118"/>
  <c r="FIR43" i="118"/>
  <c r="FIT43" i="118"/>
  <c r="FIV43" i="118"/>
  <c r="FIX43" i="118"/>
  <c r="FIZ43" i="118"/>
  <c r="FJB43" i="118"/>
  <c r="FJD43" i="118"/>
  <c r="FJF43" i="118"/>
  <c r="FJH43" i="118"/>
  <c r="FJJ43" i="118"/>
  <c r="FJL43" i="118"/>
  <c r="FJN43" i="118"/>
  <c r="FJP43" i="118"/>
  <c r="FJR43" i="118"/>
  <c r="FJT43" i="118"/>
  <c r="FJV43" i="118"/>
  <c r="FJX43" i="118"/>
  <c r="FJZ43" i="118"/>
  <c r="FKB43" i="118"/>
  <c r="FKD43" i="118"/>
  <c r="FKF43" i="118"/>
  <c r="FKH43" i="118"/>
  <c r="FKJ43" i="118"/>
  <c r="FKL43" i="118"/>
  <c r="FKN43" i="118"/>
  <c r="FKP43" i="118"/>
  <c r="FKR43" i="118"/>
  <c r="FKT43" i="118"/>
  <c r="FKV43" i="118"/>
  <c r="FKX43" i="118"/>
  <c r="FKZ43" i="118"/>
  <c r="FLB43" i="118"/>
  <c r="FLD43" i="118"/>
  <c r="FLF43" i="118"/>
  <c r="FLH43" i="118"/>
  <c r="FLJ43" i="118"/>
  <c r="FLL43" i="118"/>
  <c r="FLN43" i="118"/>
  <c r="FLP43" i="118"/>
  <c r="FLR43" i="118"/>
  <c r="FLT43" i="118"/>
  <c r="FLV43" i="118"/>
  <c r="FLX43" i="118"/>
  <c r="FLZ43" i="118"/>
  <c r="FMB43" i="118"/>
  <c r="FMD43" i="118"/>
  <c r="FMF43" i="118"/>
  <c r="FMH43" i="118"/>
  <c r="FMJ43" i="118"/>
  <c r="FML43" i="118"/>
  <c r="FMN43" i="118"/>
  <c r="FMP43" i="118"/>
  <c r="FMR43" i="118"/>
  <c r="FMT43" i="118"/>
  <c r="FMV43" i="118"/>
  <c r="FMX43" i="118"/>
  <c r="FMZ43" i="118"/>
  <c r="FNB43" i="118"/>
  <c r="FND43" i="118"/>
  <c r="FNF43" i="118"/>
  <c r="FNH43" i="118"/>
  <c r="FNJ43" i="118"/>
  <c r="FNL43" i="118"/>
  <c r="FNN43" i="118"/>
  <c r="FNP43" i="118"/>
  <c r="FNR43" i="118"/>
  <c r="FNT43" i="118"/>
  <c r="FNV43" i="118"/>
  <c r="FNX43" i="118"/>
  <c r="FNZ43" i="118"/>
  <c r="FOB43" i="118"/>
  <c r="FOD43" i="118"/>
  <c r="FOF43" i="118"/>
  <c r="FOH43" i="118"/>
  <c r="FOJ43" i="118"/>
  <c r="FOL43" i="118"/>
  <c r="FON43" i="118"/>
  <c r="FOP43" i="118"/>
  <c r="FOR43" i="118"/>
  <c r="FOT43" i="118"/>
  <c r="FOV43" i="118"/>
  <c r="FOX43" i="118"/>
  <c r="FOZ43" i="118"/>
  <c r="FPB43" i="118"/>
  <c r="FPD43" i="118"/>
  <c r="FPF43" i="118"/>
  <c r="FPH43" i="118"/>
  <c r="FPJ43" i="118"/>
  <c r="FPL43" i="118"/>
  <c r="FPN43" i="118"/>
  <c r="FPP43" i="118"/>
  <c r="FPR43" i="118"/>
  <c r="FPT43" i="118"/>
  <c r="FPV43" i="118"/>
  <c r="FPX43" i="118"/>
  <c r="FPZ43" i="118"/>
  <c r="FQB43" i="118"/>
  <c r="FQD43" i="118"/>
  <c r="FQF43" i="118"/>
  <c r="FQH43" i="118"/>
  <c r="FQJ43" i="118"/>
  <c r="FQL43" i="118"/>
  <c r="FQN43" i="118"/>
  <c r="FQP43" i="118"/>
  <c r="FQR43" i="118"/>
  <c r="FQT43" i="118"/>
  <c r="FQV43" i="118"/>
  <c r="FQX43" i="118"/>
  <c r="FQZ43" i="118"/>
  <c r="FRB43" i="118"/>
  <c r="FRD43" i="118"/>
  <c r="FRF43" i="118"/>
  <c r="FRH43" i="118"/>
  <c r="FRJ43" i="118"/>
  <c r="FRL43" i="118"/>
  <c r="FRN43" i="118"/>
  <c r="FRP43" i="118"/>
  <c r="FRR43" i="118"/>
  <c r="FRT43" i="118"/>
  <c r="FRV43" i="118"/>
  <c r="FRX43" i="118"/>
  <c r="FRZ43" i="118"/>
  <c r="FSB43" i="118"/>
  <c r="FSD43" i="118"/>
  <c r="FSF43" i="118"/>
  <c r="FSH43" i="118"/>
  <c r="FSJ43" i="118"/>
  <c r="FSL43" i="118"/>
  <c r="FSN43" i="118"/>
  <c r="FSP43" i="118"/>
  <c r="FSR43" i="118"/>
  <c r="FST43" i="118"/>
  <c r="FSV43" i="118"/>
  <c r="FSX43" i="118"/>
  <c r="FSZ43" i="118"/>
  <c r="FTB43" i="118"/>
  <c r="FTD43" i="118"/>
  <c r="FTF43" i="118"/>
  <c r="FTH43" i="118"/>
  <c r="FTJ43" i="118"/>
  <c r="FTL43" i="118"/>
  <c r="FTN43" i="118"/>
  <c r="FTP43" i="118"/>
  <c r="FTR43" i="118"/>
  <c r="FTT43" i="118"/>
  <c r="FTV43" i="118"/>
  <c r="FTX43" i="118"/>
  <c r="FTZ43" i="118"/>
  <c r="FUB43" i="118"/>
  <c r="FUD43" i="118"/>
  <c r="FUF43" i="118"/>
  <c r="FUH43" i="118"/>
  <c r="FUJ43" i="118"/>
  <c r="FUL43" i="118"/>
  <c r="FUN43" i="118"/>
  <c r="FUP43" i="118"/>
  <c r="FUR43" i="118"/>
  <c r="FUT43" i="118"/>
  <c r="FUV43" i="118"/>
  <c r="FUX43" i="118"/>
  <c r="FUZ43" i="118"/>
  <c r="FVB43" i="118"/>
  <c r="FVD43" i="118"/>
  <c r="FVF43" i="118"/>
  <c r="FVH43" i="118"/>
  <c r="FVJ43" i="118"/>
  <c r="FVL43" i="118"/>
  <c r="FVN43" i="118"/>
  <c r="FVP43" i="118"/>
  <c r="FVR43" i="118"/>
  <c r="FVT43" i="118"/>
  <c r="FVV43" i="118"/>
  <c r="FVX43" i="118"/>
  <c r="FVZ43" i="118"/>
  <c r="FWB43" i="118"/>
  <c r="FWD43" i="118"/>
  <c r="FWF43" i="118"/>
  <c r="FWH43" i="118"/>
  <c r="FWJ43" i="118"/>
  <c r="FWL43" i="118"/>
  <c r="FWN43" i="118"/>
  <c r="FWP43" i="118"/>
  <c r="FWR43" i="118"/>
  <c r="FWT43" i="118"/>
  <c r="FWV43" i="118"/>
  <c r="FWX43" i="118"/>
  <c r="FWZ43" i="118"/>
  <c r="FXB43" i="118"/>
  <c r="FXD43" i="118"/>
  <c r="FXF43" i="118"/>
  <c r="FXH43" i="118"/>
  <c r="FXJ43" i="118"/>
  <c r="FXL43" i="118"/>
  <c r="FXN43" i="118"/>
  <c r="FXP43" i="118"/>
  <c r="FXR43" i="118"/>
  <c r="FXT43" i="118"/>
  <c r="FXV43" i="118"/>
  <c r="FXX43" i="118"/>
  <c r="FXZ43" i="118"/>
  <c r="FYB43" i="118"/>
  <c r="FYD43" i="118"/>
  <c r="FYF43" i="118"/>
  <c r="FYH43" i="118"/>
  <c r="FYJ43" i="118"/>
  <c r="FYL43" i="118"/>
  <c r="FYN43" i="118"/>
  <c r="FYP43" i="118"/>
  <c r="FYR43" i="118"/>
  <c r="FYT43" i="118"/>
  <c r="FYV43" i="118"/>
  <c r="FYX43" i="118"/>
  <c r="FYZ43" i="118"/>
  <c r="FZB43" i="118"/>
  <c r="FZD43" i="118"/>
  <c r="FZF43" i="118"/>
  <c r="FZH43" i="118"/>
  <c r="FZJ43" i="118"/>
  <c r="FZL43" i="118"/>
  <c r="FZN43" i="118"/>
  <c r="FZP43" i="118"/>
  <c r="FZR43" i="118"/>
  <c r="FZT43" i="118"/>
  <c r="FZV43" i="118"/>
  <c r="FZX43" i="118"/>
  <c r="FZZ43" i="118"/>
  <c r="GAB43" i="118"/>
  <c r="GAD43" i="118"/>
  <c r="GAF43" i="118"/>
  <c r="GAH43" i="118"/>
  <c r="GAJ43" i="118"/>
  <c r="GAL43" i="118"/>
  <c r="GAN43" i="118"/>
  <c r="GAP43" i="118"/>
  <c r="GAR43" i="118"/>
  <c r="GAT43" i="118"/>
  <c r="GAV43" i="118"/>
  <c r="GAX43" i="118"/>
  <c r="GAZ43" i="118"/>
  <c r="GBB43" i="118"/>
  <c r="GBD43" i="118"/>
  <c r="GBF43" i="118"/>
  <c r="GBH43" i="118"/>
  <c r="GBJ43" i="118"/>
  <c r="GBL43" i="118"/>
  <c r="GBN43" i="118"/>
  <c r="GBP43" i="118"/>
  <c r="GBR43" i="118"/>
  <c r="GBT43" i="118"/>
  <c r="GBV43" i="118"/>
  <c r="GBX43" i="118"/>
  <c r="GBZ43" i="118"/>
  <c r="GCB43" i="118"/>
  <c r="GCD43" i="118"/>
  <c r="GCF43" i="118"/>
  <c r="GCH43" i="118"/>
  <c r="GCJ43" i="118"/>
  <c r="GCL43" i="118"/>
  <c r="GCN43" i="118"/>
  <c r="GCP43" i="118"/>
  <c r="GCR43" i="118"/>
  <c r="GCT43" i="118"/>
  <c r="GCV43" i="118"/>
  <c r="GCX43" i="118"/>
  <c r="GCZ43" i="118"/>
  <c r="GDB43" i="118"/>
  <c r="GDD43" i="118"/>
  <c r="GDF43" i="118"/>
  <c r="GDH43" i="118"/>
  <c r="GDJ43" i="118"/>
  <c r="GDL43" i="118"/>
  <c r="GDN43" i="118"/>
  <c r="GDP43" i="118"/>
  <c r="GDR43" i="118"/>
  <c r="GDT43" i="118"/>
  <c r="GDV43" i="118"/>
  <c r="GDX43" i="118"/>
  <c r="GDZ43" i="118"/>
  <c r="GEB43" i="118"/>
  <c r="GED43" i="118"/>
  <c r="GEF43" i="118"/>
  <c r="GEH43" i="118"/>
  <c r="GEJ43" i="118"/>
  <c r="GEL43" i="118"/>
  <c r="GEN43" i="118"/>
  <c r="GEP43" i="118"/>
  <c r="GER43" i="118"/>
  <c r="GET43" i="118"/>
  <c r="GEV43" i="118"/>
  <c r="GEX43" i="118"/>
  <c r="GEZ43" i="118"/>
  <c r="GFB43" i="118"/>
  <c r="GFD43" i="118"/>
  <c r="GFF43" i="118"/>
  <c r="GFH43" i="118"/>
  <c r="GFJ43" i="118"/>
  <c r="GFL43" i="118"/>
  <c r="GFN43" i="118"/>
  <c r="GFP43" i="118"/>
  <c r="GFR43" i="118"/>
  <c r="GFT43" i="118"/>
  <c r="GFV43" i="118"/>
  <c r="GFX43" i="118"/>
  <c r="GFZ43" i="118"/>
  <c r="GGB43" i="118"/>
  <c r="GGD43" i="118"/>
  <c r="GGF43" i="118"/>
  <c r="GGH43" i="118"/>
  <c r="GGJ43" i="118"/>
  <c r="GGL43" i="118"/>
  <c r="GGN43" i="118"/>
  <c r="GGP43" i="118"/>
  <c r="GGR43" i="118"/>
  <c r="GGT43" i="118"/>
  <c r="GGV43" i="118"/>
  <c r="GGX43" i="118"/>
  <c r="GGZ43" i="118"/>
  <c r="GHB43" i="118"/>
  <c r="GHD43" i="118"/>
  <c r="GHF43" i="118"/>
  <c r="GHH43" i="118"/>
  <c r="GHJ43" i="118"/>
  <c r="GHL43" i="118"/>
  <c r="GHN43" i="118"/>
  <c r="GHP43" i="118"/>
  <c r="GHR43" i="118"/>
  <c r="GHT43" i="118"/>
  <c r="GHV43" i="118"/>
  <c r="GHX43" i="118"/>
  <c r="GHZ43" i="118"/>
  <c r="GIB43" i="118"/>
  <c r="GID43" i="118"/>
  <c r="GIF43" i="118"/>
  <c r="GIH43" i="118"/>
  <c r="GIJ43" i="118"/>
  <c r="GIL43" i="118"/>
  <c r="GIN43" i="118"/>
  <c r="GIP43" i="118"/>
  <c r="GIR43" i="118"/>
  <c r="GIT43" i="118"/>
  <c r="GIV43" i="118"/>
  <c r="GIX43" i="118"/>
  <c r="GIZ43" i="118"/>
  <c r="GJB43" i="118"/>
  <c r="GJD43" i="118"/>
  <c r="GJF43" i="118"/>
  <c r="GJH43" i="118"/>
  <c r="GJJ43" i="118"/>
  <c r="GJL43" i="118"/>
  <c r="GJN43" i="118"/>
  <c r="GJP43" i="118"/>
  <c r="GJR43" i="118"/>
  <c r="GJT43" i="118"/>
  <c r="GJV43" i="118"/>
  <c r="GJX43" i="118"/>
  <c r="GJZ43" i="118"/>
  <c r="GKB43" i="118"/>
  <c r="GKD43" i="118"/>
  <c r="GKF43" i="118"/>
  <c r="GKH43" i="118"/>
  <c r="GKJ43" i="118"/>
  <c r="GKL43" i="118"/>
  <c r="GKN43" i="118"/>
  <c r="GKP43" i="118"/>
  <c r="GKR43" i="118"/>
  <c r="GKT43" i="118"/>
  <c r="GKV43" i="118"/>
  <c r="GKX43" i="118"/>
  <c r="GKZ43" i="118"/>
  <c r="GLB43" i="118"/>
  <c r="GLD43" i="118"/>
  <c r="GLF43" i="118"/>
  <c r="GLH43" i="118"/>
  <c r="GLJ43" i="118"/>
  <c r="GLL43" i="118"/>
  <c r="GLN43" i="118"/>
  <c r="GLP43" i="118"/>
  <c r="GLR43" i="118"/>
  <c r="GLT43" i="118"/>
  <c r="GLV43" i="118"/>
  <c r="GLX43" i="118"/>
  <c r="GLZ43" i="118"/>
  <c r="GMB43" i="118"/>
  <c r="GMD43" i="118"/>
  <c r="GMF43" i="118"/>
  <c r="GMH43" i="118"/>
  <c r="GMJ43" i="118"/>
  <c r="GML43" i="118"/>
  <c r="GMN43" i="118"/>
  <c r="GMP43" i="118"/>
  <c r="GMR43" i="118"/>
  <c r="GMT43" i="118"/>
  <c r="GMV43" i="118"/>
  <c r="GMX43" i="118"/>
  <c r="GMZ43" i="118"/>
  <c r="GNB43" i="118"/>
  <c r="GND43" i="118"/>
  <c r="GNF43" i="118"/>
  <c r="GNH43" i="118"/>
  <c r="GNJ43" i="118"/>
  <c r="GNL43" i="118"/>
  <c r="GNN43" i="118"/>
  <c r="GNP43" i="118"/>
  <c r="GNR43" i="118"/>
  <c r="GNT43" i="118"/>
  <c r="GNV43" i="118"/>
  <c r="GNX43" i="118"/>
  <c r="GNZ43" i="118"/>
  <c r="GOB43" i="118"/>
  <c r="GOD43" i="118"/>
  <c r="GOF43" i="118"/>
  <c r="GOH43" i="118"/>
  <c r="GOJ43" i="118"/>
  <c r="GOL43" i="118"/>
  <c r="GON43" i="118"/>
  <c r="GOP43" i="118"/>
  <c r="GOR43" i="118"/>
  <c r="GOT43" i="118"/>
  <c r="GOV43" i="118"/>
  <c r="GOX43" i="118"/>
  <c r="GOZ43" i="118"/>
  <c r="GPB43" i="118"/>
  <c r="GPD43" i="118"/>
  <c r="GPF43" i="118"/>
  <c r="GPH43" i="118"/>
  <c r="GPJ43" i="118"/>
  <c r="GPL43" i="118"/>
  <c r="GPN43" i="118"/>
  <c r="GPP43" i="118"/>
  <c r="GPR43" i="118"/>
  <c r="GPT43" i="118"/>
  <c r="GPV43" i="118"/>
  <c r="GPX43" i="118"/>
  <c r="GPZ43" i="118"/>
  <c r="GQB43" i="118"/>
  <c r="GQD43" i="118"/>
  <c r="GQF43" i="118"/>
  <c r="GQH43" i="118"/>
  <c r="GQJ43" i="118"/>
  <c r="GQL43" i="118"/>
  <c r="GQN43" i="118"/>
  <c r="GQP43" i="118"/>
  <c r="GQR43" i="118"/>
  <c r="GQT43" i="118"/>
  <c r="GQV43" i="118"/>
  <c r="GQX43" i="118"/>
  <c r="GQZ43" i="118"/>
  <c r="GRB43" i="118"/>
  <c r="GRD43" i="118"/>
  <c r="GRF43" i="118"/>
  <c r="GRH43" i="118"/>
  <c r="GRJ43" i="118"/>
  <c r="GRL43" i="118"/>
  <c r="GRN43" i="118"/>
  <c r="GRP43" i="118"/>
  <c r="GRR43" i="118"/>
  <c r="GRT43" i="118"/>
  <c r="GRV43" i="118"/>
  <c r="GRX43" i="118"/>
  <c r="GRZ43" i="118"/>
  <c r="GSB43" i="118"/>
  <c r="GSD43" i="118"/>
  <c r="GSF43" i="118"/>
  <c r="GSH43" i="118"/>
  <c r="GSJ43" i="118"/>
  <c r="GSL43" i="118"/>
  <c r="GSN43" i="118"/>
  <c r="GSP43" i="118"/>
  <c r="GSR43" i="118"/>
  <c r="GST43" i="118"/>
  <c r="GSV43" i="118"/>
  <c r="GSX43" i="118"/>
  <c r="GSZ43" i="118"/>
  <c r="GTB43" i="118"/>
  <c r="GTD43" i="118"/>
  <c r="GTF43" i="118"/>
  <c r="GTH43" i="118"/>
  <c r="GTJ43" i="118"/>
  <c r="GTL43" i="118"/>
  <c r="GTN43" i="118"/>
  <c r="GTP43" i="118"/>
  <c r="GTR43" i="118"/>
  <c r="GTT43" i="118"/>
  <c r="GTV43" i="118"/>
  <c r="GTX43" i="118"/>
  <c r="GTZ43" i="118"/>
  <c r="GUB43" i="118"/>
  <c r="GUD43" i="118"/>
  <c r="GUF43" i="118"/>
  <c r="GUH43" i="118"/>
  <c r="GUJ43" i="118"/>
  <c r="GUL43" i="118"/>
  <c r="GUN43" i="118"/>
  <c r="GUP43" i="118"/>
  <c r="GUR43" i="118"/>
  <c r="GUT43" i="118"/>
  <c r="GUV43" i="118"/>
  <c r="GUX43" i="118"/>
  <c r="GUZ43" i="118"/>
  <c r="GVB43" i="118"/>
  <c r="GVD43" i="118"/>
  <c r="GVF43" i="118"/>
  <c r="GVH43" i="118"/>
  <c r="GVJ43" i="118"/>
  <c r="GVL43" i="118"/>
  <c r="GVN43" i="118"/>
  <c r="GVP43" i="118"/>
  <c r="GVR43" i="118"/>
  <c r="GVT43" i="118"/>
  <c r="GVV43" i="118"/>
  <c r="GVX43" i="118"/>
  <c r="GVZ43" i="118"/>
  <c r="GWB43" i="118"/>
  <c r="GWD43" i="118"/>
  <c r="GWF43" i="118"/>
  <c r="GWH43" i="118"/>
  <c r="GWJ43" i="118"/>
  <c r="GWL43" i="118"/>
  <c r="GWN43" i="118"/>
  <c r="GWP43" i="118"/>
  <c r="GWR43" i="118"/>
  <c r="GWT43" i="118"/>
  <c r="GWV43" i="118"/>
  <c r="GWX43" i="118"/>
  <c r="GWZ43" i="118"/>
  <c r="GXB43" i="118"/>
  <c r="GXD43" i="118"/>
  <c r="GXF43" i="118"/>
  <c r="GXH43" i="118"/>
  <c r="GXJ43" i="118"/>
  <c r="GXL43" i="118"/>
  <c r="GXN43" i="118"/>
  <c r="GXP43" i="118"/>
  <c r="GXR43" i="118"/>
  <c r="GXT43" i="118"/>
  <c r="GXV43" i="118"/>
  <c r="GXX43" i="118"/>
  <c r="GXZ43" i="118"/>
  <c r="GYB43" i="118"/>
  <c r="GYD43" i="118"/>
  <c r="GYF43" i="118"/>
  <c r="GYH43" i="118"/>
  <c r="GYJ43" i="118"/>
  <c r="GYL43" i="118"/>
  <c r="GYN43" i="118"/>
  <c r="GYP43" i="118"/>
  <c r="GYR43" i="118"/>
  <c r="GYT43" i="118"/>
  <c r="GYV43" i="118"/>
  <c r="GYX43" i="118"/>
  <c r="GYZ43" i="118"/>
  <c r="GZB43" i="118"/>
  <c r="GZD43" i="118"/>
  <c r="GZF43" i="118"/>
  <c r="GZH43" i="118"/>
  <c r="GZJ43" i="118"/>
  <c r="GZL43" i="118"/>
  <c r="GZN43" i="118"/>
  <c r="GZP43" i="118"/>
  <c r="GZR43" i="118"/>
  <c r="GZT43" i="118"/>
  <c r="GZV43" i="118"/>
  <c r="GZX43" i="118"/>
  <c r="GZZ43" i="118"/>
  <c r="HAB43" i="118"/>
  <c r="HAD43" i="118"/>
  <c r="HAF43" i="118"/>
  <c r="HAH43" i="118"/>
  <c r="HAJ43" i="118"/>
  <c r="HAL43" i="118"/>
  <c r="HAN43" i="118"/>
  <c r="HAP43" i="118"/>
  <c r="HAR43" i="118"/>
  <c r="HAT43" i="118"/>
  <c r="HAV43" i="118"/>
  <c r="HAX43" i="118"/>
  <c r="HAZ43" i="118"/>
  <c r="HBB43" i="118"/>
  <c r="HBD43" i="118"/>
  <c r="HBF43" i="118"/>
  <c r="HBH43" i="118"/>
  <c r="HBJ43" i="118"/>
  <c r="HBL43" i="118"/>
  <c r="HBN43" i="118"/>
  <c r="HBP43" i="118"/>
  <c r="HBR43" i="118"/>
  <c r="HBT43" i="118"/>
  <c r="HBV43" i="118"/>
  <c r="HBX43" i="118"/>
  <c r="HBZ43" i="118"/>
  <c r="HCB43" i="118"/>
  <c r="HCD43" i="118"/>
  <c r="HCF43" i="118"/>
  <c r="HCH43" i="118"/>
  <c r="HCJ43" i="118"/>
  <c r="HCL43" i="118"/>
  <c r="HCN43" i="118"/>
  <c r="HCP43" i="118"/>
  <c r="HCR43" i="118"/>
  <c r="HCT43" i="118"/>
  <c r="HCV43" i="118"/>
  <c r="HCX43" i="118"/>
  <c r="HCZ43" i="118"/>
  <c r="HDB43" i="118"/>
  <c r="HDD43" i="118"/>
  <c r="HDF43" i="118"/>
  <c r="HDH43" i="118"/>
  <c r="HDJ43" i="118"/>
  <c r="HDL43" i="118"/>
  <c r="HDN43" i="118"/>
  <c r="HDP43" i="118"/>
  <c r="HDR43" i="118"/>
  <c r="HDT43" i="118"/>
  <c r="HDV43" i="118"/>
  <c r="HDX43" i="118"/>
  <c r="HDZ43" i="118"/>
  <c r="HEB43" i="118"/>
  <c r="HED43" i="118"/>
  <c r="HEF43" i="118"/>
  <c r="HEH43" i="118"/>
  <c r="HEJ43" i="118"/>
  <c r="HEL43" i="118"/>
  <c r="HEN43" i="118"/>
  <c r="HEP43" i="118"/>
  <c r="HER43" i="118"/>
  <c r="HET43" i="118"/>
  <c r="HEV43" i="118"/>
  <c r="HEX43" i="118"/>
  <c r="HEZ43" i="118"/>
  <c r="HFB43" i="118"/>
  <c r="HFD43" i="118"/>
  <c r="HFF43" i="118"/>
  <c r="HFH43" i="118"/>
  <c r="HFJ43" i="118"/>
  <c r="HFL43" i="118"/>
  <c r="HFN43" i="118"/>
  <c r="HFP43" i="118"/>
  <c r="HFR43" i="118"/>
  <c r="HFT43" i="118"/>
  <c r="HFV43" i="118"/>
  <c r="HFX43" i="118"/>
  <c r="HFZ43" i="118"/>
  <c r="HGB43" i="118"/>
  <c r="HGD43" i="118"/>
  <c r="HGF43" i="118"/>
  <c r="HGH43" i="118"/>
  <c r="HGJ43" i="118"/>
  <c r="HGL43" i="118"/>
  <c r="HGN43" i="118"/>
  <c r="HGP43" i="118"/>
  <c r="HGR43" i="118"/>
  <c r="HGT43" i="118"/>
  <c r="HGV43" i="118"/>
  <c r="HGX43" i="118"/>
  <c r="HGZ43" i="118"/>
  <c r="HHB43" i="118"/>
  <c r="HHD43" i="118"/>
  <c r="HHF43" i="118"/>
  <c r="HHH43" i="118"/>
  <c r="HHJ43" i="118"/>
  <c r="HHL43" i="118"/>
  <c r="HHN43" i="118"/>
  <c r="HHP43" i="118"/>
  <c r="HHR43" i="118"/>
  <c r="HHT43" i="118"/>
  <c r="HHV43" i="118"/>
  <c r="HHX43" i="118"/>
  <c r="HHZ43" i="118"/>
  <c r="HIB43" i="118"/>
  <c r="HID43" i="118"/>
  <c r="HIF43" i="118"/>
  <c r="HIH43" i="118"/>
  <c r="HIJ43" i="118"/>
  <c r="HIL43" i="118"/>
  <c r="HIN43" i="118"/>
  <c r="HIP43" i="118"/>
  <c r="HIR43" i="118"/>
  <c r="HIT43" i="118"/>
  <c r="HIV43" i="118"/>
  <c r="HIX43" i="118"/>
  <c r="HIZ43" i="118"/>
  <c r="HJB43" i="118"/>
  <c r="HJD43" i="118"/>
  <c r="HJF43" i="118"/>
  <c r="HJH43" i="118"/>
  <c r="HJJ43" i="118"/>
  <c r="HJL43" i="118"/>
  <c r="HJN43" i="118"/>
  <c r="HJP43" i="118"/>
  <c r="HJR43" i="118"/>
  <c r="HJT43" i="118"/>
  <c r="HJV43" i="118"/>
  <c r="HJX43" i="118"/>
  <c r="HJZ43" i="118"/>
  <c r="HKB43" i="118"/>
  <c r="HKD43" i="118"/>
  <c r="HKF43" i="118"/>
  <c r="HKH43" i="118"/>
  <c r="HKJ43" i="118"/>
  <c r="HKL43" i="118"/>
  <c r="HKN43" i="118"/>
  <c r="HKP43" i="118"/>
  <c r="HKR43" i="118"/>
  <c r="HKT43" i="118"/>
  <c r="HKV43" i="118"/>
  <c r="HKX43" i="118"/>
  <c r="HKZ43" i="118"/>
  <c r="HLB43" i="118"/>
  <c r="HLD43" i="118"/>
  <c r="HLF43" i="118"/>
  <c r="HLH43" i="118"/>
  <c r="HLJ43" i="118"/>
  <c r="HLL43" i="118"/>
  <c r="HLN43" i="118"/>
  <c r="HLP43" i="118"/>
  <c r="HLR43" i="118"/>
  <c r="HLT43" i="118"/>
  <c r="HLV43" i="118"/>
  <c r="HLX43" i="118"/>
  <c r="HLZ43" i="118"/>
  <c r="HMB43" i="118"/>
  <c r="HMD43" i="118"/>
  <c r="HMF43" i="118"/>
  <c r="HMH43" i="118"/>
  <c r="HMJ43" i="118"/>
  <c r="HML43" i="118"/>
  <c r="HMN43" i="118"/>
  <c r="HMP43" i="118"/>
  <c r="HMR43" i="118"/>
  <c r="HMT43" i="118"/>
  <c r="HMV43" i="118"/>
  <c r="HMX43" i="118"/>
  <c r="HMZ43" i="118"/>
  <c r="HNB43" i="118"/>
  <c r="HND43" i="118"/>
  <c r="HNF43" i="118"/>
  <c r="HNH43" i="118"/>
  <c r="HNJ43" i="118"/>
  <c r="HNL43" i="118"/>
  <c r="HNN43" i="118"/>
  <c r="HNP43" i="118"/>
  <c r="HNR43" i="118"/>
  <c r="HNT43" i="118"/>
  <c r="HNV43" i="118"/>
  <c r="HNX43" i="118"/>
  <c r="HNZ43" i="118"/>
  <c r="HOB43" i="118"/>
  <c r="HOD43" i="118"/>
  <c r="HOF43" i="118"/>
  <c r="HOH43" i="118"/>
  <c r="HOJ43" i="118"/>
  <c r="HOL43" i="118"/>
  <c r="HON43" i="118"/>
  <c r="HOP43" i="118"/>
  <c r="HOR43" i="118"/>
  <c r="HOT43" i="118"/>
  <c r="HOV43" i="118"/>
  <c r="HOX43" i="118"/>
  <c r="HOZ43" i="118"/>
  <c r="HPB43" i="118"/>
  <c r="HPD43" i="118"/>
  <c r="HPF43" i="118"/>
  <c r="HPH43" i="118"/>
  <c r="HPJ43" i="118"/>
  <c r="HPL43" i="118"/>
  <c r="HPN43" i="118"/>
  <c r="HPP43" i="118"/>
  <c r="HPR43" i="118"/>
  <c r="HPT43" i="118"/>
  <c r="HPV43" i="118"/>
  <c r="HPX43" i="118"/>
  <c r="HPZ43" i="118"/>
  <c r="HQB43" i="118"/>
  <c r="HQD43" i="118"/>
  <c r="HQF43" i="118"/>
  <c r="HQH43" i="118"/>
  <c r="HQJ43" i="118"/>
  <c r="HQL43" i="118"/>
  <c r="HQN43" i="118"/>
  <c r="HQP43" i="118"/>
  <c r="HQR43" i="118"/>
  <c r="HQT43" i="118"/>
  <c r="HQV43" i="118"/>
  <c r="HQX43" i="118"/>
  <c r="HQZ43" i="118"/>
  <c r="HRB43" i="118"/>
  <c r="HRD43" i="118"/>
  <c r="HRF43" i="118"/>
  <c r="HRH43" i="118"/>
  <c r="HRJ43" i="118"/>
  <c r="HRL43" i="118"/>
  <c r="HRN43" i="118"/>
  <c r="HRP43" i="118"/>
  <c r="HRR43" i="118"/>
  <c r="HRT43" i="118"/>
  <c r="HRV43" i="118"/>
  <c r="HRX43" i="118"/>
  <c r="HRZ43" i="118"/>
  <c r="HSB43" i="118"/>
  <c r="HSD43" i="118"/>
  <c r="HSF43" i="118"/>
  <c r="HSH43" i="118"/>
  <c r="HSJ43" i="118"/>
  <c r="HSL43" i="118"/>
  <c r="HSN43" i="118"/>
  <c r="HSP43" i="118"/>
  <c r="HSR43" i="118"/>
  <c r="HST43" i="118"/>
  <c r="HSV43" i="118"/>
  <c r="HSX43" i="118"/>
  <c r="HSZ43" i="118"/>
  <c r="HTB43" i="118"/>
  <c r="HTD43" i="118"/>
  <c r="HTF43" i="118"/>
  <c r="HTH43" i="118"/>
  <c r="HTJ43" i="118"/>
  <c r="HTL43" i="118"/>
  <c r="HTN43" i="118"/>
  <c r="HTP43" i="118"/>
  <c r="HTR43" i="118"/>
  <c r="HTT43" i="118"/>
  <c r="HTV43" i="118"/>
  <c r="HTX43" i="118"/>
  <c r="HTZ43" i="118"/>
  <c r="HUB43" i="118"/>
  <c r="HUD43" i="118"/>
  <c r="HUF43" i="118"/>
  <c r="HUH43" i="118"/>
  <c r="HUJ43" i="118"/>
  <c r="HUL43" i="118"/>
  <c r="HUN43" i="118"/>
  <c r="HUP43" i="118"/>
  <c r="HUR43" i="118"/>
  <c r="HUT43" i="118"/>
  <c r="HUV43" i="118"/>
  <c r="HUX43" i="118"/>
  <c r="HUZ43" i="118"/>
  <c r="HVB43" i="118"/>
  <c r="HVD43" i="118"/>
  <c r="HVF43" i="118"/>
  <c r="HVH43" i="118"/>
  <c r="HVJ43" i="118"/>
  <c r="HVL43" i="118"/>
  <c r="HVN43" i="118"/>
  <c r="HVP43" i="118"/>
  <c r="HVR43" i="118"/>
  <c r="HVT43" i="118"/>
  <c r="HVV43" i="118"/>
  <c r="HVX43" i="118"/>
  <c r="HVZ43" i="118"/>
  <c r="HWB43" i="118"/>
  <c r="HWD43" i="118"/>
  <c r="HWF43" i="118"/>
  <c r="HWH43" i="118"/>
  <c r="HWJ43" i="118"/>
  <c r="HWL43" i="118"/>
  <c r="HWN43" i="118"/>
  <c r="HWP43" i="118"/>
  <c r="HWR43" i="118"/>
  <c r="HWT43" i="118"/>
  <c r="HWV43" i="118"/>
  <c r="HWX43" i="118"/>
  <c r="HWZ43" i="118"/>
  <c r="HXB43" i="118"/>
  <c r="HXD43" i="118"/>
  <c r="HXF43" i="118"/>
  <c r="HXH43" i="118"/>
  <c r="HXJ43" i="118"/>
  <c r="HXL43" i="118"/>
  <c r="HXN43" i="118"/>
  <c r="HXP43" i="118"/>
  <c r="HXR43" i="118"/>
  <c r="HXT43" i="118"/>
  <c r="HXV43" i="118"/>
  <c r="HXX43" i="118"/>
  <c r="HXZ43" i="118"/>
  <c r="HYB43" i="118"/>
  <c r="HYD43" i="118"/>
  <c r="HYF43" i="118"/>
  <c r="HYH43" i="118"/>
  <c r="HYJ43" i="118"/>
  <c r="HYL43" i="118"/>
  <c r="HYN43" i="118"/>
  <c r="HYP43" i="118"/>
  <c r="HYR43" i="118"/>
  <c r="HYT43" i="118"/>
  <c r="HYV43" i="118"/>
  <c r="HYX43" i="118"/>
  <c r="HYZ43" i="118"/>
  <c r="HZB43" i="118"/>
  <c r="HZD43" i="118"/>
  <c r="HZF43" i="118"/>
  <c r="HZH43" i="118"/>
  <c r="HZJ43" i="118"/>
  <c r="HZL43" i="118"/>
  <c r="HZN43" i="118"/>
  <c r="HZP43" i="118"/>
  <c r="HZR43" i="118"/>
  <c r="HZT43" i="118"/>
  <c r="HZV43" i="118"/>
  <c r="HZX43" i="118"/>
  <c r="HZZ43" i="118"/>
  <c r="IAB43" i="118"/>
  <c r="IAD43" i="118"/>
  <c r="IAF43" i="118"/>
  <c r="IAH43" i="118"/>
  <c r="IAJ43" i="118"/>
  <c r="IAL43" i="118"/>
  <c r="IAN43" i="118"/>
  <c r="IAP43" i="118"/>
  <c r="IAR43" i="118"/>
  <c r="IAT43" i="118"/>
  <c r="IAV43" i="118"/>
  <c r="IAX43" i="118"/>
  <c r="IAZ43" i="118"/>
  <c r="IBB43" i="118"/>
  <c r="IBD43" i="118"/>
  <c r="IBF43" i="118"/>
  <c r="IBH43" i="118"/>
  <c r="IBJ43" i="118"/>
  <c r="IBL43" i="118"/>
  <c r="IBN43" i="118"/>
  <c r="IBP43" i="118"/>
  <c r="IBR43" i="118"/>
  <c r="IBT43" i="118"/>
  <c r="IBV43" i="118"/>
  <c r="IBX43" i="118"/>
  <c r="IBZ43" i="118"/>
  <c r="ICB43" i="118"/>
  <c r="ICD43" i="118"/>
  <c r="ICF43" i="118"/>
  <c r="ICH43" i="118"/>
  <c r="ICJ43" i="118"/>
  <c r="ICL43" i="118"/>
  <c r="ICN43" i="118"/>
  <c r="ICP43" i="118"/>
  <c r="ICR43" i="118"/>
  <c r="ICT43" i="118"/>
  <c r="ICV43" i="118"/>
  <c r="ICX43" i="118"/>
  <c r="ICZ43" i="118"/>
  <c r="IDB43" i="118"/>
  <c r="IDD43" i="118"/>
  <c r="IDF43" i="118"/>
  <c r="IDH43" i="118"/>
  <c r="IDJ43" i="118"/>
  <c r="IDL43" i="118"/>
  <c r="IDN43" i="118"/>
  <c r="IDP43" i="118"/>
  <c r="IDR43" i="118"/>
  <c r="IDT43" i="118"/>
  <c r="IDV43" i="118"/>
  <c r="IDX43" i="118"/>
  <c r="IDZ43" i="118"/>
  <c r="IEB43" i="118"/>
  <c r="IED43" i="118"/>
  <c r="IEF43" i="118"/>
  <c r="IEH43" i="118"/>
  <c r="IEJ43" i="118"/>
  <c r="IEL43" i="118"/>
  <c r="IEN43" i="118"/>
  <c r="IEP43" i="118"/>
  <c r="IER43" i="118"/>
  <c r="IET43" i="118"/>
  <c r="IEV43" i="118"/>
  <c r="IEX43" i="118"/>
  <c r="IEZ43" i="118"/>
  <c r="IFB43" i="118"/>
  <c r="IFD43" i="118"/>
  <c r="IFF43" i="118"/>
  <c r="IFH43" i="118"/>
  <c r="IFJ43" i="118"/>
  <c r="IFL43" i="118"/>
  <c r="IFN43" i="118"/>
  <c r="IFP43" i="118"/>
  <c r="IFR43" i="118"/>
  <c r="IFT43" i="118"/>
  <c r="IFV43" i="118"/>
  <c r="IFX43" i="118"/>
  <c r="IFZ43" i="118"/>
  <c r="IGB43" i="118"/>
  <c r="IGD43" i="118"/>
  <c r="IGF43" i="118"/>
  <c r="IGH43" i="118"/>
  <c r="IGJ43" i="118"/>
  <c r="IGL43" i="118"/>
  <c r="IGN43" i="118"/>
  <c r="IGP43" i="118"/>
  <c r="IGR43" i="118"/>
  <c r="IGT43" i="118"/>
  <c r="IGV43" i="118"/>
  <c r="IGX43" i="118"/>
  <c r="IGZ43" i="118"/>
  <c r="IHB43" i="118"/>
  <c r="IHD43" i="118"/>
  <c r="IHF43" i="118"/>
  <c r="IHH43" i="118"/>
  <c r="IHJ43" i="118"/>
  <c r="IHL43" i="118"/>
  <c r="IHN43" i="118"/>
  <c r="IHP43" i="118"/>
  <c r="IHR43" i="118"/>
  <c r="IHT43" i="118"/>
  <c r="IHV43" i="118"/>
  <c r="IHX43" i="118"/>
  <c r="IHZ43" i="118"/>
  <c r="IIB43" i="118"/>
  <c r="IID43" i="118"/>
  <c r="IIF43" i="118"/>
  <c r="IIH43" i="118"/>
  <c r="IIJ43" i="118"/>
  <c r="IIL43" i="118"/>
  <c r="IIN43" i="118"/>
  <c r="IIP43" i="118"/>
  <c r="IIR43" i="118"/>
  <c r="IIT43" i="118"/>
  <c r="IIV43" i="118"/>
  <c r="IIX43" i="118"/>
  <c r="IIZ43" i="118"/>
  <c r="IJB43" i="118"/>
  <c r="IJD43" i="118"/>
  <c r="IJF43" i="118"/>
  <c r="IJH43" i="118"/>
  <c r="IJJ43" i="118"/>
  <c r="IJL43" i="118"/>
  <c r="IJN43" i="118"/>
  <c r="IJP43" i="118"/>
  <c r="IJR43" i="118"/>
  <c r="IJT43" i="118"/>
  <c r="IJV43" i="118"/>
  <c r="IJX43" i="118"/>
  <c r="IJZ43" i="118"/>
  <c r="IKB43" i="118"/>
  <c r="IKD43" i="118"/>
  <c r="IKF43" i="118"/>
  <c r="IKH43" i="118"/>
  <c r="IKJ43" i="118"/>
  <c r="IKL43" i="118"/>
  <c r="IKN43" i="118"/>
  <c r="IKP43" i="118"/>
  <c r="IKR43" i="118"/>
  <c r="IKT43" i="118"/>
  <c r="IKV43" i="118"/>
  <c r="IKX43" i="118"/>
  <c r="IKZ43" i="118"/>
  <c r="ILB43" i="118"/>
  <c r="ILD43" i="118"/>
  <c r="ILF43" i="118"/>
  <c r="ILH43" i="118"/>
  <c r="ILJ43" i="118"/>
  <c r="ILL43" i="118"/>
  <c r="ILN43" i="118"/>
  <c r="ILP43" i="118"/>
  <c r="ILR43" i="118"/>
  <c r="ILT43" i="118"/>
  <c r="ILV43" i="118"/>
  <c r="ILX43" i="118"/>
  <c r="ILZ43" i="118"/>
  <c r="IMB43" i="118"/>
  <c r="IMD43" i="118"/>
  <c r="IMF43" i="118"/>
  <c r="IMH43" i="118"/>
  <c r="IMJ43" i="118"/>
  <c r="IML43" i="118"/>
  <c r="IMN43" i="118"/>
  <c r="IMP43" i="118"/>
  <c r="IMR43" i="118"/>
  <c r="IMT43" i="118"/>
  <c r="IMV43" i="118"/>
  <c r="IMX43" i="118"/>
  <c r="IMZ43" i="118"/>
  <c r="INB43" i="118"/>
  <c r="IND43" i="118"/>
  <c r="INF43" i="118"/>
  <c r="INH43" i="118"/>
  <c r="INJ43" i="118"/>
  <c r="INL43" i="118"/>
  <c r="INN43" i="118"/>
  <c r="INP43" i="118"/>
  <c r="INR43" i="118"/>
  <c r="INT43" i="118"/>
  <c r="INV43" i="118"/>
  <c r="INX43" i="118"/>
  <c r="INZ43" i="118"/>
  <c r="IOB43" i="118"/>
  <c r="IOD43" i="118"/>
  <c r="IOF43" i="118"/>
  <c r="IOH43" i="118"/>
  <c r="IOJ43" i="118"/>
  <c r="IOL43" i="118"/>
  <c r="ION43" i="118"/>
  <c r="IOP43" i="118"/>
  <c r="IOR43" i="118"/>
  <c r="IOT43" i="118"/>
  <c r="IOV43" i="118"/>
  <c r="IOX43" i="118"/>
  <c r="IOZ43" i="118"/>
  <c r="IPB43" i="118"/>
  <c r="IPD43" i="118"/>
  <c r="IPF43" i="118"/>
  <c r="IPH43" i="118"/>
  <c r="IPJ43" i="118"/>
  <c r="IPL43" i="118"/>
  <c r="IPN43" i="118"/>
  <c r="IPP43" i="118"/>
  <c r="IPR43" i="118"/>
  <c r="IPT43" i="118"/>
  <c r="IPV43" i="118"/>
  <c r="IPX43" i="118"/>
  <c r="IPZ43" i="118"/>
  <c r="IQB43" i="118"/>
  <c r="IQD43" i="118"/>
  <c r="IQF43" i="118"/>
  <c r="IQH43" i="118"/>
  <c r="IQJ43" i="118"/>
  <c r="IQL43" i="118"/>
  <c r="IQN43" i="118"/>
  <c r="IQP43" i="118"/>
  <c r="IQR43" i="118"/>
  <c r="IQT43" i="118"/>
  <c r="IQV43" i="118"/>
  <c r="IQX43" i="118"/>
  <c r="IQZ43" i="118"/>
  <c r="IRB43" i="118"/>
  <c r="IRD43" i="118"/>
  <c r="IRF43" i="118"/>
  <c r="IRH43" i="118"/>
  <c r="IRJ43" i="118"/>
  <c r="IRL43" i="118"/>
  <c r="IRN43" i="118"/>
  <c r="IRP43" i="118"/>
  <c r="IRR43" i="118"/>
  <c r="IRT43" i="118"/>
  <c r="IRV43" i="118"/>
  <c r="IRX43" i="118"/>
  <c r="IRZ43" i="118"/>
  <c r="ISB43" i="118"/>
  <c r="ISD43" i="118"/>
  <c r="ISF43" i="118"/>
  <c r="ISH43" i="118"/>
  <c r="ISJ43" i="118"/>
  <c r="ISL43" i="118"/>
  <c r="ISN43" i="118"/>
  <c r="ISP43" i="118"/>
  <c r="ISR43" i="118"/>
  <c r="IST43" i="118"/>
  <c r="ISV43" i="118"/>
  <c r="ISX43" i="118"/>
  <c r="ISZ43" i="118"/>
  <c r="ITB43" i="118"/>
  <c r="ITD43" i="118"/>
  <c r="ITF43" i="118"/>
  <c r="ITH43" i="118"/>
  <c r="ITJ43" i="118"/>
  <c r="ITL43" i="118"/>
  <c r="ITN43" i="118"/>
  <c r="ITP43" i="118"/>
  <c r="ITR43" i="118"/>
  <c r="ITT43" i="118"/>
  <c r="ITV43" i="118"/>
  <c r="ITX43" i="118"/>
  <c r="ITZ43" i="118"/>
  <c r="IUB43" i="118"/>
  <c r="IUD43" i="118"/>
  <c r="IUF43" i="118"/>
  <c r="IUH43" i="118"/>
  <c r="IUJ43" i="118"/>
  <c r="IUL43" i="118"/>
  <c r="IUN43" i="118"/>
  <c r="IUP43" i="118"/>
  <c r="IUR43" i="118"/>
  <c r="IUT43" i="118"/>
  <c r="IUV43" i="118"/>
  <c r="IUX43" i="118"/>
  <c r="IUZ43" i="118"/>
  <c r="IVB43" i="118"/>
  <c r="IVD43" i="118"/>
  <c r="IVF43" i="118"/>
  <c r="IVH43" i="118"/>
  <c r="IVJ43" i="118"/>
  <c r="IVL43" i="118"/>
  <c r="IVN43" i="118"/>
  <c r="IVP43" i="118"/>
  <c r="IVR43" i="118"/>
  <c r="IVT43" i="118"/>
  <c r="IVV43" i="118"/>
  <c r="IVX43" i="118"/>
  <c r="IVZ43" i="118"/>
  <c r="IWB43" i="118"/>
  <c r="IWD43" i="118"/>
  <c r="IWF43" i="118"/>
  <c r="IWH43" i="118"/>
  <c r="IWJ43" i="118"/>
  <c r="IWL43" i="118"/>
  <c r="IWN43" i="118"/>
  <c r="IWP43" i="118"/>
  <c r="IWR43" i="118"/>
  <c r="IWT43" i="118"/>
  <c r="IWV43" i="118"/>
  <c r="IWX43" i="118"/>
  <c r="IWZ43" i="118"/>
  <c r="IXB43" i="118"/>
  <c r="IXD43" i="118"/>
  <c r="IXF43" i="118"/>
  <c r="IXH43" i="118"/>
  <c r="IXJ43" i="118"/>
  <c r="IXL43" i="118"/>
  <c r="IXN43" i="118"/>
  <c r="IXP43" i="118"/>
  <c r="IXR43" i="118"/>
  <c r="IXT43" i="118"/>
  <c r="IXV43" i="118"/>
  <c r="IXX43" i="118"/>
  <c r="IXZ43" i="118"/>
  <c r="IYB43" i="118"/>
  <c r="IYD43" i="118"/>
  <c r="IYF43" i="118"/>
  <c r="IYH43" i="118"/>
  <c r="IYJ43" i="118"/>
  <c r="IYL43" i="118"/>
  <c r="IYN43" i="118"/>
  <c r="IYP43" i="118"/>
  <c r="IYR43" i="118"/>
  <c r="IYT43" i="118"/>
  <c r="IYV43" i="118"/>
  <c r="IYX43" i="118"/>
  <c r="IYZ43" i="118"/>
  <c r="IZB43" i="118"/>
  <c r="IZD43" i="118"/>
  <c r="IZF43" i="118"/>
  <c r="IZH43" i="118"/>
  <c r="IZJ43" i="118"/>
  <c r="IZL43" i="118"/>
  <c r="IZN43" i="118"/>
  <c r="IZP43" i="118"/>
  <c r="IZR43" i="118"/>
  <c r="IZT43" i="118"/>
  <c r="IZV43" i="118"/>
  <c r="IZX43" i="118"/>
  <c r="IZZ43" i="118"/>
  <c r="JAB43" i="118"/>
  <c r="JAD43" i="118"/>
  <c r="JAF43" i="118"/>
  <c r="JAH43" i="118"/>
  <c r="JAJ43" i="118"/>
  <c r="JAL43" i="118"/>
  <c r="JAN43" i="118"/>
  <c r="JAP43" i="118"/>
  <c r="JAR43" i="118"/>
  <c r="JAT43" i="118"/>
  <c r="JAV43" i="118"/>
  <c r="JAX43" i="118"/>
  <c r="JAZ43" i="118"/>
  <c r="JBB43" i="118"/>
  <c r="JBD43" i="118"/>
  <c r="JBF43" i="118"/>
  <c r="JBH43" i="118"/>
  <c r="JBJ43" i="118"/>
  <c r="JBL43" i="118"/>
  <c r="JBN43" i="118"/>
  <c r="JBP43" i="118"/>
  <c r="JBR43" i="118"/>
  <c r="JBT43" i="118"/>
  <c r="JBV43" i="118"/>
  <c r="JBX43" i="118"/>
  <c r="JBZ43" i="118"/>
  <c r="JCB43" i="118"/>
  <c r="JCD43" i="118"/>
  <c r="JCF43" i="118"/>
  <c r="JCH43" i="118"/>
  <c r="JCJ43" i="118"/>
  <c r="JCL43" i="118"/>
  <c r="JCN43" i="118"/>
  <c r="JCP43" i="118"/>
  <c r="JCR43" i="118"/>
  <c r="JCT43" i="118"/>
  <c r="JCV43" i="118"/>
  <c r="JCX43" i="118"/>
  <c r="JCZ43" i="118"/>
  <c r="JDB43" i="118"/>
  <c r="JDD43" i="118"/>
  <c r="JDF43" i="118"/>
  <c r="JDH43" i="118"/>
  <c r="JDJ43" i="118"/>
  <c r="JDL43" i="118"/>
  <c r="JDN43" i="118"/>
  <c r="JDP43" i="118"/>
  <c r="JDR43" i="118"/>
  <c r="JDT43" i="118"/>
  <c r="JDV43" i="118"/>
  <c r="JDX43" i="118"/>
  <c r="JDZ43" i="118"/>
  <c r="JEB43" i="118"/>
  <c r="JED43" i="118"/>
  <c r="JEF43" i="118"/>
  <c r="JEH43" i="118"/>
  <c r="JEJ43" i="118"/>
  <c r="JEL43" i="118"/>
  <c r="JEN43" i="118"/>
  <c r="JEP43" i="118"/>
  <c r="JER43" i="118"/>
  <c r="JET43" i="118"/>
  <c r="JEV43" i="118"/>
  <c r="JEX43" i="118"/>
  <c r="JEZ43" i="118"/>
  <c r="JFB43" i="118"/>
  <c r="JFD43" i="118"/>
  <c r="JFF43" i="118"/>
  <c r="JFH43" i="118"/>
  <c r="JFJ43" i="118"/>
  <c r="JFL43" i="118"/>
  <c r="JFN43" i="118"/>
  <c r="JFP43" i="118"/>
  <c r="JFR43" i="118"/>
  <c r="JFT43" i="118"/>
  <c r="JFV43" i="118"/>
  <c r="JFX43" i="118"/>
  <c r="JFZ43" i="118"/>
  <c r="JGB43" i="118"/>
  <c r="JGD43" i="118"/>
  <c r="JGF43" i="118"/>
  <c r="JGH43" i="118"/>
  <c r="JGJ43" i="118"/>
  <c r="JGL43" i="118"/>
  <c r="JGN43" i="118"/>
  <c r="JGP43" i="118"/>
  <c r="JGR43" i="118"/>
  <c r="JGT43" i="118"/>
  <c r="JGV43" i="118"/>
  <c r="JGX43" i="118"/>
  <c r="JGZ43" i="118"/>
  <c r="JHB43" i="118"/>
  <c r="JHD43" i="118"/>
  <c r="JHF43" i="118"/>
  <c r="JHH43" i="118"/>
  <c r="JHJ43" i="118"/>
  <c r="JHL43" i="118"/>
  <c r="JHN43" i="118"/>
  <c r="JHP43" i="118"/>
  <c r="JHR43" i="118"/>
  <c r="JHT43" i="118"/>
  <c r="JHV43" i="118"/>
  <c r="JHX43" i="118"/>
  <c r="JHZ43" i="118"/>
  <c r="JIB43" i="118"/>
  <c r="JID43" i="118"/>
  <c r="JIF43" i="118"/>
  <c r="JIH43" i="118"/>
  <c r="JIJ43" i="118"/>
  <c r="JIL43" i="118"/>
  <c r="JIN43" i="118"/>
  <c r="JIP43" i="118"/>
  <c r="JIR43" i="118"/>
  <c r="JIT43" i="118"/>
  <c r="JIV43" i="118"/>
  <c r="JIX43" i="118"/>
  <c r="JIZ43" i="118"/>
  <c r="JJB43" i="118"/>
  <c r="JJD43" i="118"/>
  <c r="JJF43" i="118"/>
  <c r="JJH43" i="118"/>
  <c r="JJJ43" i="118"/>
  <c r="JJL43" i="118"/>
  <c r="JJN43" i="118"/>
  <c r="JJP43" i="118"/>
  <c r="JJR43" i="118"/>
  <c r="JJT43" i="118"/>
  <c r="JJV43" i="118"/>
  <c r="JJX43" i="118"/>
  <c r="JJZ43" i="118"/>
  <c r="JKB43" i="118"/>
  <c r="JKD43" i="118"/>
  <c r="JKF43" i="118"/>
  <c r="JKH43" i="118"/>
  <c r="JKJ43" i="118"/>
  <c r="JKL43" i="118"/>
  <c r="JKN43" i="118"/>
  <c r="JKP43" i="118"/>
  <c r="JKR43" i="118"/>
  <c r="JKT43" i="118"/>
  <c r="JKV43" i="118"/>
  <c r="JKX43" i="118"/>
  <c r="JKZ43" i="118"/>
  <c r="JLB43" i="118"/>
  <c r="JLD43" i="118"/>
  <c r="JLF43" i="118"/>
  <c r="JLH43" i="118"/>
  <c r="JLJ43" i="118"/>
  <c r="JLL43" i="118"/>
  <c r="JLN43" i="118"/>
  <c r="JLP43" i="118"/>
  <c r="JLR43" i="118"/>
  <c r="JLT43" i="118"/>
  <c r="JLV43" i="118"/>
  <c r="JLX43" i="118"/>
  <c r="JLZ43" i="118"/>
  <c r="JMB43" i="118"/>
  <c r="JMD43" i="118"/>
  <c r="JMF43" i="118"/>
  <c r="JMH43" i="118"/>
  <c r="JMJ43" i="118"/>
  <c r="JML43" i="118"/>
  <c r="JMN43" i="118"/>
  <c r="JMP43" i="118"/>
  <c r="JMR43" i="118"/>
  <c r="JMT43" i="118"/>
  <c r="JMV43" i="118"/>
  <c r="JMX43" i="118"/>
  <c r="JMZ43" i="118"/>
  <c r="JNB43" i="118"/>
  <c r="JND43" i="118"/>
  <c r="JNF43" i="118"/>
  <c r="JNH43" i="118"/>
  <c r="JNJ43" i="118"/>
  <c r="JNL43" i="118"/>
  <c r="JNN43" i="118"/>
  <c r="JNP43" i="118"/>
  <c r="JNR43" i="118"/>
  <c r="JNT43" i="118"/>
  <c r="JNV43" i="118"/>
  <c r="JNX43" i="118"/>
  <c r="JNZ43" i="118"/>
  <c r="JOB43" i="118"/>
  <c r="JOD43" i="118"/>
  <c r="JOF43" i="118"/>
  <c r="JOH43" i="118"/>
  <c r="JOJ43" i="118"/>
  <c r="JOL43" i="118"/>
  <c r="JON43" i="118"/>
  <c r="JOP43" i="118"/>
  <c r="JOR43" i="118"/>
  <c r="JOT43" i="118"/>
  <c r="JOV43" i="118"/>
  <c r="JOX43" i="118"/>
  <c r="JOZ43" i="118"/>
  <c r="JPB43" i="118"/>
  <c r="JPD43" i="118"/>
  <c r="JPF43" i="118"/>
  <c r="JPH43" i="118"/>
  <c r="JPJ43" i="118"/>
  <c r="JPL43" i="118"/>
  <c r="JPN43" i="118"/>
  <c r="JPP43" i="118"/>
  <c r="JPR43" i="118"/>
  <c r="JPT43" i="118"/>
  <c r="JPV43" i="118"/>
  <c r="JPX43" i="118"/>
  <c r="JPZ43" i="118"/>
  <c r="JQB43" i="118"/>
  <c r="JQD43" i="118"/>
  <c r="JQF43" i="118"/>
  <c r="JQH43" i="118"/>
  <c r="JQJ43" i="118"/>
  <c r="JQL43" i="118"/>
  <c r="JQN43" i="118"/>
  <c r="JQP43" i="118"/>
  <c r="JQR43" i="118"/>
  <c r="JQT43" i="118"/>
  <c r="JQV43" i="118"/>
  <c r="JQX43" i="118"/>
  <c r="JQZ43" i="118"/>
  <c r="JRB43" i="118"/>
  <c r="JRD43" i="118"/>
  <c r="JRF43" i="118"/>
  <c r="JRH43" i="118"/>
  <c r="JRJ43" i="118"/>
  <c r="JRL43" i="118"/>
  <c r="JRN43" i="118"/>
  <c r="JRP43" i="118"/>
  <c r="JRR43" i="118"/>
  <c r="JRT43" i="118"/>
  <c r="JRV43" i="118"/>
  <c r="JRX43" i="118"/>
  <c r="JRZ43" i="118"/>
  <c r="JSB43" i="118"/>
  <c r="JSD43" i="118"/>
  <c r="JSF43" i="118"/>
  <c r="JSH43" i="118"/>
  <c r="JSJ43" i="118"/>
  <c r="JSL43" i="118"/>
  <c r="JSN43" i="118"/>
  <c r="JSP43" i="118"/>
  <c r="JSR43" i="118"/>
  <c r="JST43" i="118"/>
  <c r="JSV43" i="118"/>
  <c r="JSX43" i="118"/>
  <c r="JSZ43" i="118"/>
  <c r="JTB43" i="118"/>
  <c r="JTD43" i="118"/>
  <c r="JTF43" i="118"/>
  <c r="JTH43" i="118"/>
  <c r="JTJ43" i="118"/>
  <c r="JTL43" i="118"/>
  <c r="JTN43" i="118"/>
  <c r="JTP43" i="118"/>
  <c r="JTR43" i="118"/>
  <c r="JTT43" i="118"/>
  <c r="JTV43" i="118"/>
  <c r="JTX43" i="118"/>
  <c r="JTZ43" i="118"/>
  <c r="JUB43" i="118"/>
  <c r="JUD43" i="118"/>
  <c r="JUF43" i="118"/>
  <c r="JUH43" i="118"/>
  <c r="JUJ43" i="118"/>
  <c r="JUL43" i="118"/>
  <c r="JUN43" i="118"/>
  <c r="JUP43" i="118"/>
  <c r="JUR43" i="118"/>
  <c r="JUT43" i="118"/>
  <c r="JUV43" i="118"/>
  <c r="JUX43" i="118"/>
  <c r="JUZ43" i="118"/>
  <c r="JVB43" i="118"/>
  <c r="JVD43" i="118"/>
  <c r="JVF43" i="118"/>
  <c r="JVH43" i="118"/>
  <c r="JVJ43" i="118"/>
  <c r="JVL43" i="118"/>
  <c r="JVN43" i="118"/>
  <c r="JVP43" i="118"/>
  <c r="JVR43" i="118"/>
  <c r="JVT43" i="118"/>
  <c r="JVV43" i="118"/>
  <c r="JVX43" i="118"/>
  <c r="JVZ43" i="118"/>
  <c r="JWB43" i="118"/>
  <c r="JWD43" i="118"/>
  <c r="JWF43" i="118"/>
  <c r="JWH43" i="118"/>
  <c r="JWJ43" i="118"/>
  <c r="JWL43" i="118"/>
  <c r="JWN43" i="118"/>
  <c r="JWP43" i="118"/>
  <c r="JWR43" i="118"/>
  <c r="JWT43" i="118"/>
  <c r="JWV43" i="118"/>
  <c r="JWX43" i="118"/>
  <c r="JWZ43" i="118"/>
  <c r="JXB43" i="118"/>
  <c r="JXD43" i="118"/>
  <c r="JXF43" i="118"/>
  <c r="JXH43" i="118"/>
  <c r="JXJ43" i="118"/>
  <c r="JXL43" i="118"/>
  <c r="JXN43" i="118"/>
  <c r="JXP43" i="118"/>
  <c r="JXR43" i="118"/>
  <c r="JXT43" i="118"/>
  <c r="JXV43" i="118"/>
  <c r="JXX43" i="118"/>
  <c r="JXZ43" i="118"/>
  <c r="JYB43" i="118"/>
  <c r="JYD43" i="118"/>
  <c r="JYF43" i="118"/>
  <c r="JYH43" i="118"/>
  <c r="JYJ43" i="118"/>
  <c r="JYL43" i="118"/>
  <c r="JYN43" i="118"/>
  <c r="JYP43" i="118"/>
  <c r="JYR43" i="118"/>
  <c r="JYT43" i="118"/>
  <c r="JYV43" i="118"/>
  <c r="JYX43" i="118"/>
  <c r="JYZ43" i="118"/>
  <c r="JZB43" i="118"/>
  <c r="JZD43" i="118"/>
  <c r="JZF43" i="118"/>
  <c r="JZH43" i="118"/>
  <c r="JZJ43" i="118"/>
  <c r="JZL43" i="118"/>
  <c r="JZN43" i="118"/>
  <c r="JZP43" i="118"/>
  <c r="JZR43" i="118"/>
  <c r="JZT43" i="118"/>
  <c r="JZV43" i="118"/>
  <c r="JZX43" i="118"/>
  <c r="JZZ43" i="118"/>
  <c r="KAB43" i="118"/>
  <c r="KAD43" i="118"/>
  <c r="KAF43" i="118"/>
  <c r="KAH43" i="118"/>
  <c r="KAJ43" i="118"/>
  <c r="KAL43" i="118"/>
  <c r="KAN43" i="118"/>
  <c r="KAP43" i="118"/>
  <c r="KAR43" i="118"/>
  <c r="KAT43" i="118"/>
  <c r="KAV43" i="118"/>
  <c r="KAX43" i="118"/>
  <c r="KAZ43" i="118"/>
  <c r="KBB43" i="118"/>
  <c r="KBD43" i="118"/>
  <c r="KBF43" i="118"/>
  <c r="KBH43" i="118"/>
  <c r="KBJ43" i="118"/>
  <c r="KBL43" i="118"/>
  <c r="KBN43" i="118"/>
  <c r="KBP43" i="118"/>
  <c r="KBR43" i="118"/>
  <c r="KBT43" i="118"/>
  <c r="KBV43" i="118"/>
  <c r="KBX43" i="118"/>
  <c r="KBZ43" i="118"/>
  <c r="KCB43" i="118"/>
  <c r="KCD43" i="118"/>
  <c r="KCF43" i="118"/>
  <c r="KCH43" i="118"/>
  <c r="KCJ43" i="118"/>
  <c r="KCL43" i="118"/>
  <c r="KCN43" i="118"/>
  <c r="KCP43" i="118"/>
  <c r="KCR43" i="118"/>
  <c r="KCT43" i="118"/>
  <c r="KCV43" i="118"/>
  <c r="KCX43" i="118"/>
  <c r="KCZ43" i="118"/>
  <c r="KDB43" i="118"/>
  <c r="KDD43" i="118"/>
  <c r="KDF43" i="118"/>
  <c r="KDH43" i="118"/>
  <c r="KDJ43" i="118"/>
  <c r="KDL43" i="118"/>
  <c r="KDN43" i="118"/>
  <c r="KDP43" i="118"/>
  <c r="KDR43" i="118"/>
  <c r="KDT43" i="118"/>
  <c r="KDV43" i="118"/>
  <c r="KDX43" i="118"/>
  <c r="KDZ43" i="118"/>
  <c r="KEB43" i="118"/>
  <c r="KED43" i="118"/>
  <c r="KEF43" i="118"/>
  <c r="KEH43" i="118"/>
  <c r="KEJ43" i="118"/>
  <c r="KEL43" i="118"/>
  <c r="KEN43" i="118"/>
  <c r="KEP43" i="118"/>
  <c r="KER43" i="118"/>
  <c r="KET43" i="118"/>
  <c r="KEV43" i="118"/>
  <c r="KEX43" i="118"/>
  <c r="KEZ43" i="118"/>
  <c r="KFB43" i="118"/>
  <c r="KFD43" i="118"/>
  <c r="KFF43" i="118"/>
  <c r="KFH43" i="118"/>
  <c r="KFJ43" i="118"/>
  <c r="KFL43" i="118"/>
  <c r="KFN43" i="118"/>
  <c r="KFP43" i="118"/>
  <c r="KFR43" i="118"/>
  <c r="KFT43" i="118"/>
  <c r="KFV43" i="118"/>
  <c r="KFX43" i="118"/>
  <c r="KFZ43" i="118"/>
  <c r="KGB43" i="118"/>
  <c r="KGD43" i="118"/>
  <c r="KGF43" i="118"/>
  <c r="KGH43" i="118"/>
  <c r="KGJ43" i="118"/>
  <c r="KGL43" i="118"/>
  <c r="KGN43" i="118"/>
  <c r="KGP43" i="118"/>
  <c r="KGR43" i="118"/>
  <c r="KGT43" i="118"/>
  <c r="KGV43" i="118"/>
  <c r="KGX43" i="118"/>
  <c r="KGZ43" i="118"/>
  <c r="KHB43" i="118"/>
  <c r="KHD43" i="118"/>
  <c r="KHF43" i="118"/>
  <c r="KHH43" i="118"/>
  <c r="KHJ43" i="118"/>
  <c r="KHL43" i="118"/>
  <c r="KHN43" i="118"/>
  <c r="KHP43" i="118"/>
  <c r="KHR43" i="118"/>
  <c r="KHT43" i="118"/>
  <c r="KHV43" i="118"/>
  <c r="KHX43" i="118"/>
  <c r="KHZ43" i="118"/>
  <c r="KIB43" i="118"/>
  <c r="KID43" i="118"/>
  <c r="KIF43" i="118"/>
  <c r="KIH43" i="118"/>
  <c r="KIJ43" i="118"/>
  <c r="KIL43" i="118"/>
  <c r="KIN43" i="118"/>
  <c r="KIP43" i="118"/>
  <c r="KIR43" i="118"/>
  <c r="KIT43" i="118"/>
  <c r="KIV43" i="118"/>
  <c r="KIX43" i="118"/>
  <c r="KIZ43" i="118"/>
  <c r="KJB43" i="118"/>
  <c r="KJD43" i="118"/>
  <c r="KJF43" i="118"/>
  <c r="KJH43" i="118"/>
  <c r="KJJ43" i="118"/>
  <c r="KJL43" i="118"/>
  <c r="KJN43" i="118"/>
  <c r="KJP43" i="118"/>
  <c r="KJR43" i="118"/>
  <c r="KJT43" i="118"/>
  <c r="KJV43" i="118"/>
  <c r="KJX43" i="118"/>
  <c r="KJZ43" i="118"/>
  <c r="KKB43" i="118"/>
  <c r="KKD43" i="118"/>
  <c r="KKF43" i="118"/>
  <c r="KKH43" i="118"/>
  <c r="KKJ43" i="118"/>
  <c r="KKL43" i="118"/>
  <c r="KKN43" i="118"/>
  <c r="KKP43" i="118"/>
  <c r="KKR43" i="118"/>
  <c r="KKT43" i="118"/>
  <c r="KKV43" i="118"/>
  <c r="KKX43" i="118"/>
  <c r="KKZ43" i="118"/>
  <c r="KLB43" i="118"/>
  <c r="KLD43" i="118"/>
  <c r="KLF43" i="118"/>
  <c r="KLH43" i="118"/>
  <c r="KLJ43" i="118"/>
  <c r="KLL43" i="118"/>
  <c r="KLN43" i="118"/>
  <c r="KLP43" i="118"/>
  <c r="KLR43" i="118"/>
  <c r="KLT43" i="118"/>
  <c r="KLV43" i="118"/>
  <c r="KLX43" i="118"/>
  <c r="KLZ43" i="118"/>
  <c r="KMB43" i="118"/>
  <c r="KMD43" i="118"/>
  <c r="KMF43" i="118"/>
  <c r="KMH43" i="118"/>
  <c r="KMJ43" i="118"/>
  <c r="KML43" i="118"/>
  <c r="KMN43" i="118"/>
  <c r="KMP43" i="118"/>
  <c r="KMR43" i="118"/>
  <c r="KMT43" i="118"/>
  <c r="KMV43" i="118"/>
  <c r="KMX43" i="118"/>
  <c r="KMZ43" i="118"/>
  <c r="KNB43" i="118"/>
  <c r="KND43" i="118"/>
  <c r="KNF43" i="118"/>
  <c r="KNH43" i="118"/>
  <c r="KNJ43" i="118"/>
  <c r="KNL43" i="118"/>
  <c r="KNN43" i="118"/>
  <c r="KNP43" i="118"/>
  <c r="KNR43" i="118"/>
  <c r="KNT43" i="118"/>
  <c r="KNV43" i="118"/>
  <c r="KNX43" i="118"/>
  <c r="KNZ43" i="118"/>
  <c r="KOB43" i="118"/>
  <c r="KOD43" i="118"/>
  <c r="KOF43" i="118"/>
  <c r="KOH43" i="118"/>
  <c r="KOJ43" i="118"/>
  <c r="KOL43" i="118"/>
  <c r="KON43" i="118"/>
  <c r="KOP43" i="118"/>
  <c r="KOR43" i="118"/>
  <c r="KOT43" i="118"/>
  <c r="KOV43" i="118"/>
  <c r="KOX43" i="118"/>
  <c r="KOZ43" i="118"/>
  <c r="KPB43" i="118"/>
  <c r="KPD43" i="118"/>
  <c r="KPF43" i="118"/>
  <c r="KPH43" i="118"/>
  <c r="KPJ43" i="118"/>
  <c r="KPL43" i="118"/>
  <c r="KPN43" i="118"/>
  <c r="KPP43" i="118"/>
  <c r="KPR43" i="118"/>
  <c r="KPT43" i="118"/>
  <c r="KPV43" i="118"/>
  <c r="KPX43" i="118"/>
  <c r="KPZ43" i="118"/>
  <c r="KQB43" i="118"/>
  <c r="KQD43" i="118"/>
  <c r="KQF43" i="118"/>
  <c r="KQH43" i="118"/>
  <c r="KQJ43" i="118"/>
  <c r="KQL43" i="118"/>
  <c r="KQN43" i="118"/>
  <c r="KQP43" i="118"/>
  <c r="KQR43" i="118"/>
  <c r="KQT43" i="118"/>
  <c r="KQV43" i="118"/>
  <c r="KQX43" i="118"/>
  <c r="KQZ43" i="118"/>
  <c r="KRB43" i="118"/>
  <c r="KRD43" i="118"/>
  <c r="KRF43" i="118"/>
  <c r="KRH43" i="118"/>
  <c r="KRJ43" i="118"/>
  <c r="KRL43" i="118"/>
  <c r="KRN43" i="118"/>
  <c r="KRP43" i="118"/>
  <c r="KRR43" i="118"/>
  <c r="KRT43" i="118"/>
  <c r="KRV43" i="118"/>
  <c r="KRX43" i="118"/>
  <c r="KRZ43" i="118"/>
  <c r="KSB43" i="118"/>
  <c r="KSD43" i="118"/>
  <c r="KSF43" i="118"/>
  <c r="KSH43" i="118"/>
  <c r="KSJ43" i="118"/>
  <c r="KSL43" i="118"/>
  <c r="KSN43" i="118"/>
  <c r="KSP43" i="118"/>
  <c r="KSR43" i="118"/>
  <c r="KST43" i="118"/>
  <c r="KSV43" i="118"/>
  <c r="KSX43" i="118"/>
  <c r="KSZ43" i="118"/>
  <c r="KTB43" i="118"/>
  <c r="KTD43" i="118"/>
  <c r="KTF43" i="118"/>
  <c r="KTH43" i="118"/>
  <c r="KTJ43" i="118"/>
  <c r="KTL43" i="118"/>
  <c r="KTN43" i="118"/>
  <c r="KTP43" i="118"/>
  <c r="KTR43" i="118"/>
  <c r="KTT43" i="118"/>
  <c r="KTV43" i="118"/>
  <c r="KTX43" i="118"/>
  <c r="KTZ43" i="118"/>
  <c r="KUB43" i="118"/>
  <c r="KUD43" i="118"/>
  <c r="KUF43" i="118"/>
  <c r="KUH43" i="118"/>
  <c r="KUJ43" i="118"/>
  <c r="KUL43" i="118"/>
  <c r="KUN43" i="118"/>
  <c r="KUP43" i="118"/>
  <c r="KUR43" i="118"/>
  <c r="KUT43" i="118"/>
  <c r="KUV43" i="118"/>
  <c r="KUX43" i="118"/>
  <c r="KUZ43" i="118"/>
  <c r="KVB43" i="118"/>
  <c r="KVD43" i="118"/>
  <c r="KVF43" i="118"/>
  <c r="KVH43" i="118"/>
  <c r="KVJ43" i="118"/>
  <c r="KVL43" i="118"/>
  <c r="KVN43" i="118"/>
  <c r="KVP43" i="118"/>
  <c r="KVR43" i="118"/>
  <c r="KVT43" i="118"/>
  <c r="KVV43" i="118"/>
  <c r="KVX43" i="118"/>
  <c r="KVZ43" i="118"/>
  <c r="KWB43" i="118"/>
  <c r="KWD43" i="118"/>
  <c r="KWF43" i="118"/>
  <c r="KWH43" i="118"/>
  <c r="KWJ43" i="118"/>
  <c r="KWL43" i="118"/>
  <c r="KWN43" i="118"/>
  <c r="KWP43" i="118"/>
  <c r="KWR43" i="118"/>
  <c r="KWT43" i="118"/>
  <c r="KWV43" i="118"/>
  <c r="KWX43" i="118"/>
  <c r="KWZ43" i="118"/>
  <c r="KXB43" i="118"/>
  <c r="KXD43" i="118"/>
  <c r="KXF43" i="118"/>
  <c r="KXH43" i="118"/>
  <c r="KXJ43" i="118"/>
  <c r="KXL43" i="118"/>
  <c r="KXN43" i="118"/>
  <c r="KXP43" i="118"/>
  <c r="KXR43" i="118"/>
  <c r="KXT43" i="118"/>
  <c r="KXV43" i="118"/>
  <c r="KXX43" i="118"/>
  <c r="KXZ43" i="118"/>
  <c r="KYB43" i="118"/>
  <c r="KYD43" i="118"/>
  <c r="KYF43" i="118"/>
  <c r="KYH43" i="118"/>
  <c r="KYJ43" i="118"/>
  <c r="KYL43" i="118"/>
  <c r="KYN43" i="118"/>
  <c r="KYP43" i="118"/>
  <c r="KYR43" i="118"/>
  <c r="KYT43" i="118"/>
  <c r="KYV43" i="118"/>
  <c r="KYX43" i="118"/>
  <c r="KYZ43" i="118"/>
  <c r="KZB43" i="118"/>
  <c r="KZD43" i="118"/>
  <c r="KZF43" i="118"/>
  <c r="KZH43" i="118"/>
  <c r="KZJ43" i="118"/>
  <c r="KZL43" i="118"/>
  <c r="KZN43" i="118"/>
  <c r="KZP43" i="118"/>
  <c r="KZR43" i="118"/>
  <c r="KZT43" i="118"/>
  <c r="KZV43" i="118"/>
  <c r="KZX43" i="118"/>
  <c r="KZZ43" i="118"/>
  <c r="LAB43" i="118"/>
  <c r="LAD43" i="118"/>
  <c r="LAF43" i="118"/>
  <c r="LAH43" i="118"/>
  <c r="LAJ43" i="118"/>
  <c r="LAL43" i="118"/>
  <c r="LAN43" i="118"/>
  <c r="LAP43" i="118"/>
  <c r="LAR43" i="118"/>
  <c r="LAT43" i="118"/>
  <c r="LAV43" i="118"/>
  <c r="LAX43" i="118"/>
  <c r="LAZ43" i="118"/>
  <c r="LBB43" i="118"/>
  <c r="LBD43" i="118"/>
  <c r="LBF43" i="118"/>
  <c r="LBH43" i="118"/>
  <c r="LBJ43" i="118"/>
  <c r="LBL43" i="118"/>
  <c r="LBN43" i="118"/>
  <c r="LBP43" i="118"/>
  <c r="LBR43" i="118"/>
  <c r="LBT43" i="118"/>
  <c r="LBV43" i="118"/>
  <c r="LBX43" i="118"/>
  <c r="LBZ43" i="118"/>
  <c r="LCB43" i="118"/>
  <c r="LCD43" i="118"/>
  <c r="LCF43" i="118"/>
  <c r="LCH43" i="118"/>
  <c r="LCJ43" i="118"/>
  <c r="LCL43" i="118"/>
  <c r="LCN43" i="118"/>
  <c r="LCP43" i="118"/>
  <c r="LCR43" i="118"/>
  <c r="LCT43" i="118"/>
  <c r="LCV43" i="118"/>
  <c r="LCX43" i="118"/>
  <c r="LCZ43" i="118"/>
  <c r="LDB43" i="118"/>
  <c r="LDD43" i="118"/>
  <c r="LDF43" i="118"/>
  <c r="LDH43" i="118"/>
  <c r="LDJ43" i="118"/>
  <c r="LDL43" i="118"/>
  <c r="LDN43" i="118"/>
  <c r="LDP43" i="118"/>
  <c r="LDR43" i="118"/>
  <c r="LDT43" i="118"/>
  <c r="LDV43" i="118"/>
  <c r="LDX43" i="118"/>
  <c r="LDZ43" i="118"/>
  <c r="LEB43" i="118"/>
  <c r="LED43" i="118"/>
  <c r="LEF43" i="118"/>
  <c r="LEH43" i="118"/>
  <c r="LEJ43" i="118"/>
  <c r="LEL43" i="118"/>
  <c r="LEN43" i="118"/>
  <c r="LEP43" i="118"/>
  <c r="LER43" i="118"/>
  <c r="LET43" i="118"/>
  <c r="LEV43" i="118"/>
  <c r="LEX43" i="118"/>
  <c r="LEZ43" i="118"/>
  <c r="LFB43" i="118"/>
  <c r="LFD43" i="118"/>
  <c r="LFF43" i="118"/>
  <c r="LFH43" i="118"/>
  <c r="LFJ43" i="118"/>
  <c r="LFL43" i="118"/>
  <c r="LFN43" i="118"/>
  <c r="LFP43" i="118"/>
  <c r="LFR43" i="118"/>
  <c r="LFT43" i="118"/>
  <c r="LFV43" i="118"/>
  <c r="LFX43" i="118"/>
  <c r="LFZ43" i="118"/>
  <c r="LGB43" i="118"/>
  <c r="LGD43" i="118"/>
  <c r="LGF43" i="118"/>
  <c r="LGH43" i="118"/>
  <c r="LGJ43" i="118"/>
  <c r="LGL43" i="118"/>
  <c r="LGN43" i="118"/>
  <c r="LGP43" i="118"/>
  <c r="LGR43" i="118"/>
  <c r="LGT43" i="118"/>
  <c r="LGV43" i="118"/>
  <c r="LGX43" i="118"/>
  <c r="LGZ43" i="118"/>
  <c r="LHB43" i="118"/>
  <c r="LHD43" i="118"/>
  <c r="LHF43" i="118"/>
  <c r="LHH43" i="118"/>
  <c r="LHJ43" i="118"/>
  <c r="LHL43" i="118"/>
  <c r="LHN43" i="118"/>
  <c r="LHP43" i="118"/>
  <c r="LHR43" i="118"/>
  <c r="LHT43" i="118"/>
  <c r="LHV43" i="118"/>
  <c r="LHX43" i="118"/>
  <c r="LHZ43" i="118"/>
  <c r="LIB43" i="118"/>
  <c r="LID43" i="118"/>
  <c r="LIF43" i="118"/>
  <c r="LIH43" i="118"/>
  <c r="LIJ43" i="118"/>
  <c r="LIL43" i="118"/>
  <c r="LIN43" i="118"/>
  <c r="LIP43" i="118"/>
  <c r="LIR43" i="118"/>
  <c r="LIT43" i="118"/>
  <c r="LIV43" i="118"/>
  <c r="LIX43" i="118"/>
  <c r="LIZ43" i="118"/>
  <c r="LJB43" i="118"/>
  <c r="LJD43" i="118"/>
  <c r="LJF43" i="118"/>
  <c r="LJH43" i="118"/>
  <c r="LJJ43" i="118"/>
  <c r="LJL43" i="118"/>
  <c r="LJN43" i="118"/>
  <c r="LJP43" i="118"/>
  <c r="LJR43" i="118"/>
  <c r="LJT43" i="118"/>
  <c r="LJV43" i="118"/>
  <c r="LJX43" i="118"/>
  <c r="LJZ43" i="118"/>
  <c r="LKB43" i="118"/>
  <c r="LKD43" i="118"/>
  <c r="LKF43" i="118"/>
  <c r="LKH43" i="118"/>
  <c r="LKJ43" i="118"/>
  <c r="LKL43" i="118"/>
  <c r="LKN43" i="118"/>
  <c r="LKP43" i="118"/>
  <c r="LKR43" i="118"/>
  <c r="LKT43" i="118"/>
  <c r="LKV43" i="118"/>
  <c r="LKX43" i="118"/>
  <c r="LKZ43" i="118"/>
  <c r="LLB43" i="118"/>
  <c r="LLD43" i="118"/>
  <c r="LLF43" i="118"/>
  <c r="LLH43" i="118"/>
  <c r="LLJ43" i="118"/>
  <c r="LLL43" i="118"/>
  <c r="LLN43" i="118"/>
  <c r="LLP43" i="118"/>
  <c r="LLR43" i="118"/>
  <c r="LLT43" i="118"/>
  <c r="LLV43" i="118"/>
  <c r="LLX43" i="118"/>
  <c r="LLZ43" i="118"/>
  <c r="LMB43" i="118"/>
  <c r="LMD43" i="118"/>
  <c r="LMF43" i="118"/>
  <c r="LMH43" i="118"/>
  <c r="LMJ43" i="118"/>
  <c r="LML43" i="118"/>
  <c r="LMN43" i="118"/>
  <c r="LMP43" i="118"/>
  <c r="LMR43" i="118"/>
  <c r="LMT43" i="118"/>
  <c r="LMV43" i="118"/>
  <c r="LMX43" i="118"/>
  <c r="LMZ43" i="118"/>
  <c r="LNB43" i="118"/>
  <c r="LND43" i="118"/>
  <c r="LNF43" i="118"/>
  <c r="LNH43" i="118"/>
  <c r="LNJ43" i="118"/>
  <c r="LNL43" i="118"/>
  <c r="LNN43" i="118"/>
  <c r="LNP43" i="118"/>
  <c r="LNR43" i="118"/>
  <c r="LNT43" i="118"/>
  <c r="LNV43" i="118"/>
  <c r="LNX43" i="118"/>
  <c r="LNZ43" i="118"/>
  <c r="LOB43" i="118"/>
  <c r="LOD43" i="118"/>
  <c r="LOF43" i="118"/>
  <c r="LOH43" i="118"/>
  <c r="LOJ43" i="118"/>
  <c r="LOL43" i="118"/>
  <c r="LON43" i="118"/>
  <c r="LOP43" i="118"/>
  <c r="LOR43" i="118"/>
  <c r="LOT43" i="118"/>
  <c r="LOV43" i="118"/>
  <c r="LOX43" i="118"/>
  <c r="LOZ43" i="118"/>
  <c r="LPB43" i="118"/>
  <c r="LPD43" i="118"/>
  <c r="LPF43" i="118"/>
  <c r="LPH43" i="118"/>
  <c r="LPJ43" i="118"/>
  <c r="LPL43" i="118"/>
  <c r="LPN43" i="118"/>
  <c r="LPP43" i="118"/>
  <c r="LPR43" i="118"/>
  <c r="LPT43" i="118"/>
  <c r="LPV43" i="118"/>
  <c r="LPX43" i="118"/>
  <c r="LPZ43" i="118"/>
  <c r="LQB43" i="118"/>
  <c r="LQD43" i="118"/>
  <c r="LQF43" i="118"/>
  <c r="LQH43" i="118"/>
  <c r="LQJ43" i="118"/>
  <c r="LQL43" i="118"/>
  <c r="LQN43" i="118"/>
  <c r="LQP43" i="118"/>
  <c r="LQR43" i="118"/>
  <c r="LQT43" i="118"/>
  <c r="LQV43" i="118"/>
  <c r="LQX43" i="118"/>
  <c r="LQZ43" i="118"/>
  <c r="LRB43" i="118"/>
  <c r="LRD43" i="118"/>
  <c r="LRF43" i="118"/>
  <c r="LRH43" i="118"/>
  <c r="LRJ43" i="118"/>
  <c r="LRL43" i="118"/>
  <c r="LRN43" i="118"/>
  <c r="LRP43" i="118"/>
  <c r="LRR43" i="118"/>
  <c r="LRT43" i="118"/>
  <c r="LRV43" i="118"/>
  <c r="LRX43" i="118"/>
  <c r="LRZ43" i="118"/>
  <c r="LSB43" i="118"/>
  <c r="LSD43" i="118"/>
  <c r="LSF43" i="118"/>
  <c r="LSH43" i="118"/>
  <c r="LSJ43" i="118"/>
  <c r="LSL43" i="118"/>
  <c r="LSN43" i="118"/>
  <c r="LSP43" i="118"/>
  <c r="LSR43" i="118"/>
  <c r="LST43" i="118"/>
  <c r="LSV43" i="118"/>
  <c r="LSX43" i="118"/>
  <c r="LSZ43" i="118"/>
  <c r="LTB43" i="118"/>
  <c r="LTD43" i="118"/>
  <c r="LTF43" i="118"/>
  <c r="LTH43" i="118"/>
  <c r="LTJ43" i="118"/>
  <c r="LTL43" i="118"/>
  <c r="LTN43" i="118"/>
  <c r="LTP43" i="118"/>
  <c r="LTR43" i="118"/>
  <c r="LTT43" i="118"/>
  <c r="LTV43" i="118"/>
  <c r="LTX43" i="118"/>
  <c r="LTZ43" i="118"/>
  <c r="LUB43" i="118"/>
  <c r="LUD43" i="118"/>
  <c r="LUF43" i="118"/>
  <c r="LUH43" i="118"/>
  <c r="LUJ43" i="118"/>
  <c r="LUL43" i="118"/>
  <c r="LUN43" i="118"/>
  <c r="LUP43" i="118"/>
  <c r="LUR43" i="118"/>
  <c r="LUT43" i="118"/>
  <c r="LUV43" i="118"/>
  <c r="LUX43" i="118"/>
  <c r="LUZ43" i="118"/>
  <c r="LVB43" i="118"/>
  <c r="LVD43" i="118"/>
  <c r="LVF43" i="118"/>
  <c r="LVH43" i="118"/>
  <c r="LVJ43" i="118"/>
  <c r="LVL43" i="118"/>
  <c r="LVN43" i="118"/>
  <c r="LVP43" i="118"/>
  <c r="LVR43" i="118"/>
  <c r="LVT43" i="118"/>
  <c r="LVV43" i="118"/>
  <c r="LVX43" i="118"/>
  <c r="LVZ43" i="118"/>
  <c r="LWB43" i="118"/>
  <c r="LWD43" i="118"/>
  <c r="LWF43" i="118"/>
  <c r="LWH43" i="118"/>
  <c r="LWJ43" i="118"/>
  <c r="LWL43" i="118"/>
  <c r="LWN43" i="118"/>
  <c r="LWP43" i="118"/>
  <c r="LWR43" i="118"/>
  <c r="LWT43" i="118"/>
  <c r="LWV43" i="118"/>
  <c r="LWX43" i="118"/>
  <c r="LWZ43" i="118"/>
  <c r="LXB43" i="118"/>
  <c r="LXD43" i="118"/>
  <c r="LXF43" i="118"/>
  <c r="LXH43" i="118"/>
  <c r="LXJ43" i="118"/>
  <c r="LXL43" i="118"/>
  <c r="LXN43" i="118"/>
  <c r="LXP43" i="118"/>
  <c r="LXR43" i="118"/>
  <c r="LXT43" i="118"/>
  <c r="LXV43" i="118"/>
  <c r="LXX43" i="118"/>
  <c r="LXZ43" i="118"/>
  <c r="LYB43" i="118"/>
  <c r="LYD43" i="118"/>
  <c r="LYF43" i="118"/>
  <c r="LYH43" i="118"/>
  <c r="LYJ43" i="118"/>
  <c r="LYL43" i="118"/>
  <c r="LYN43" i="118"/>
  <c r="LYP43" i="118"/>
  <c r="LYR43" i="118"/>
  <c r="LYT43" i="118"/>
  <c r="LYV43" i="118"/>
  <c r="LYX43" i="118"/>
  <c r="LYZ43" i="118"/>
  <c r="LZB43" i="118"/>
  <c r="LZD43" i="118"/>
  <c r="LZF43" i="118"/>
  <c r="LZH43" i="118"/>
  <c r="LZJ43" i="118"/>
  <c r="LZL43" i="118"/>
  <c r="LZN43" i="118"/>
  <c r="LZP43" i="118"/>
  <c r="LZR43" i="118"/>
  <c r="LZT43" i="118"/>
  <c r="LZV43" i="118"/>
  <c r="LZX43" i="118"/>
  <c r="LZZ43" i="118"/>
  <c r="MAB43" i="118"/>
  <c r="MAD43" i="118"/>
  <c r="MAF43" i="118"/>
  <c r="MAH43" i="118"/>
  <c r="MAJ43" i="118"/>
  <c r="MAL43" i="118"/>
  <c r="MAN43" i="118"/>
  <c r="MAP43" i="118"/>
  <c r="MAR43" i="118"/>
  <c r="MAT43" i="118"/>
  <c r="MAV43" i="118"/>
  <c r="MAX43" i="118"/>
  <c r="MAZ43" i="118"/>
  <c r="MBB43" i="118"/>
  <c r="MBD43" i="118"/>
  <c r="MBF43" i="118"/>
  <c r="MBH43" i="118"/>
  <c r="MBJ43" i="118"/>
  <c r="MBL43" i="118"/>
  <c r="MBN43" i="118"/>
  <c r="MBP43" i="118"/>
  <c r="MBR43" i="118"/>
  <c r="MBT43" i="118"/>
  <c r="MBV43" i="118"/>
  <c r="MBX43" i="118"/>
  <c r="MBZ43" i="118"/>
  <c r="MCB43" i="118"/>
  <c r="MCD43" i="118"/>
  <c r="MCF43" i="118"/>
  <c r="MCH43" i="118"/>
  <c r="MCJ43" i="118"/>
  <c r="MCL43" i="118"/>
  <c r="MCN43" i="118"/>
  <c r="MCP43" i="118"/>
  <c r="MCR43" i="118"/>
  <c r="MCT43" i="118"/>
  <c r="MCV43" i="118"/>
  <c r="MCX43" i="118"/>
  <c r="MCZ43" i="118"/>
  <c r="MDB43" i="118"/>
  <c r="MDD43" i="118"/>
  <c r="MDF43" i="118"/>
  <c r="MDH43" i="118"/>
  <c r="MDJ43" i="118"/>
  <c r="MDL43" i="118"/>
  <c r="MDN43" i="118"/>
  <c r="MDP43" i="118"/>
  <c r="MDR43" i="118"/>
  <c r="MDT43" i="118"/>
  <c r="MDV43" i="118"/>
  <c r="MDX43" i="118"/>
  <c r="MDZ43" i="118"/>
  <c r="MEB43" i="118"/>
  <c r="MED43" i="118"/>
  <c r="MEF43" i="118"/>
  <c r="MEH43" i="118"/>
  <c r="MEJ43" i="118"/>
  <c r="MEL43" i="118"/>
  <c r="MEN43" i="118"/>
  <c r="MEP43" i="118"/>
  <c r="MER43" i="118"/>
  <c r="MET43" i="118"/>
  <c r="MEV43" i="118"/>
  <c r="MEX43" i="118"/>
  <c r="MEZ43" i="118"/>
  <c r="MFB43" i="118"/>
  <c r="MFD43" i="118"/>
  <c r="MFF43" i="118"/>
  <c r="MFH43" i="118"/>
  <c r="MFJ43" i="118"/>
  <c r="MFL43" i="118"/>
  <c r="MFN43" i="118"/>
  <c r="MFP43" i="118"/>
  <c r="MFR43" i="118"/>
  <c r="MFT43" i="118"/>
  <c r="MFV43" i="118"/>
  <c r="MFX43" i="118"/>
  <c r="MFZ43" i="118"/>
  <c r="MGB43" i="118"/>
  <c r="MGD43" i="118"/>
  <c r="MGF43" i="118"/>
  <c r="MGH43" i="118"/>
  <c r="MGJ43" i="118"/>
  <c r="MGL43" i="118"/>
  <c r="MGN43" i="118"/>
  <c r="MGP43" i="118"/>
  <c r="MGR43" i="118"/>
  <c r="MGT43" i="118"/>
  <c r="MGV43" i="118"/>
  <c r="MGX43" i="118"/>
  <c r="MGZ43" i="118"/>
  <c r="MHB43" i="118"/>
  <c r="MHD43" i="118"/>
  <c r="MHF43" i="118"/>
  <c r="MHH43" i="118"/>
  <c r="MHJ43" i="118"/>
  <c r="MHL43" i="118"/>
  <c r="MHN43" i="118"/>
  <c r="MHP43" i="118"/>
  <c r="MHR43" i="118"/>
  <c r="MHT43" i="118"/>
  <c r="MHV43" i="118"/>
  <c r="MHX43" i="118"/>
  <c r="MHZ43" i="118"/>
  <c r="MIB43" i="118"/>
  <c r="MID43" i="118"/>
  <c r="MIF43" i="118"/>
  <c r="MIH43" i="118"/>
  <c r="MIJ43" i="118"/>
  <c r="MIL43" i="118"/>
  <c r="MIN43" i="118"/>
  <c r="MIP43" i="118"/>
  <c r="MIR43" i="118"/>
  <c r="MIT43" i="118"/>
  <c r="MIV43" i="118"/>
  <c r="MIX43" i="118"/>
  <c r="MIZ43" i="118"/>
  <c r="MJB43" i="118"/>
  <c r="MJD43" i="118"/>
  <c r="MJF43" i="118"/>
  <c r="MJH43" i="118"/>
  <c r="MJJ43" i="118"/>
  <c r="MJL43" i="118"/>
  <c r="MJN43" i="118"/>
  <c r="MJP43" i="118"/>
  <c r="MJR43" i="118"/>
  <c r="MJT43" i="118"/>
  <c r="MJV43" i="118"/>
  <c r="MJX43" i="118"/>
  <c r="MJZ43" i="118"/>
  <c r="MKB43" i="118"/>
  <c r="MKD43" i="118"/>
  <c r="MKF43" i="118"/>
  <c r="MKH43" i="118"/>
  <c r="MKJ43" i="118"/>
  <c r="MKL43" i="118"/>
  <c r="MKN43" i="118"/>
  <c r="MKP43" i="118"/>
  <c r="MKR43" i="118"/>
  <c r="MKT43" i="118"/>
  <c r="MKV43" i="118"/>
  <c r="MKX43" i="118"/>
  <c r="MKZ43" i="118"/>
  <c r="MLB43" i="118"/>
  <c r="MLD43" i="118"/>
  <c r="MLF43" i="118"/>
  <c r="MLH43" i="118"/>
  <c r="MLJ43" i="118"/>
  <c r="MLL43" i="118"/>
  <c r="MLN43" i="118"/>
  <c r="MLP43" i="118"/>
  <c r="MLR43" i="118"/>
  <c r="MLT43" i="118"/>
  <c r="MLV43" i="118"/>
  <c r="MLX43" i="118"/>
  <c r="MLZ43" i="118"/>
  <c r="MMB43" i="118"/>
  <c r="MMD43" i="118"/>
  <c r="MMF43" i="118"/>
  <c r="MMH43" i="118"/>
  <c r="MMJ43" i="118"/>
  <c r="MML43" i="118"/>
  <c r="MMN43" i="118"/>
  <c r="MMP43" i="118"/>
  <c r="MMR43" i="118"/>
  <c r="MMT43" i="118"/>
  <c r="MMV43" i="118"/>
  <c r="MMX43" i="118"/>
  <c r="MMZ43" i="118"/>
  <c r="MNB43" i="118"/>
  <c r="MND43" i="118"/>
  <c r="MNF43" i="118"/>
  <c r="MNH43" i="118"/>
  <c r="MNJ43" i="118"/>
  <c r="MNL43" i="118"/>
  <c r="MNN43" i="118"/>
  <c r="MNP43" i="118"/>
  <c r="MNR43" i="118"/>
  <c r="MNT43" i="118"/>
  <c r="MNV43" i="118"/>
  <c r="MNX43" i="118"/>
  <c r="MNZ43" i="118"/>
  <c r="MOB43" i="118"/>
  <c r="MOD43" i="118"/>
  <c r="MOF43" i="118"/>
  <c r="MOH43" i="118"/>
  <c r="MOJ43" i="118"/>
  <c r="MOL43" i="118"/>
  <c r="MON43" i="118"/>
  <c r="MOP43" i="118"/>
  <c r="MOR43" i="118"/>
  <c r="MOT43" i="118"/>
  <c r="MOV43" i="118"/>
  <c r="MOX43" i="118"/>
  <c r="MOZ43" i="118"/>
  <c r="MPB43" i="118"/>
  <c r="MPD43" i="118"/>
  <c r="MPF43" i="118"/>
  <c r="MPH43" i="118"/>
  <c r="MPJ43" i="118"/>
  <c r="MPL43" i="118"/>
  <c r="MPN43" i="118"/>
  <c r="MPP43" i="118"/>
  <c r="MPR43" i="118"/>
  <c r="MPT43" i="118"/>
  <c r="MPV43" i="118"/>
  <c r="MPX43" i="118"/>
  <c r="MPZ43" i="118"/>
  <c r="MQB43" i="118"/>
  <c r="MQD43" i="118"/>
  <c r="MQF43" i="118"/>
  <c r="MQH43" i="118"/>
  <c r="MQJ43" i="118"/>
  <c r="MQL43" i="118"/>
  <c r="MQN43" i="118"/>
  <c r="MQP43" i="118"/>
  <c r="MQR43" i="118"/>
  <c r="MQT43" i="118"/>
  <c r="MQV43" i="118"/>
  <c r="MQX43" i="118"/>
  <c r="MQZ43" i="118"/>
  <c r="MRB43" i="118"/>
  <c r="MRD43" i="118"/>
  <c r="MRF43" i="118"/>
  <c r="MRH43" i="118"/>
  <c r="MRJ43" i="118"/>
  <c r="MRL43" i="118"/>
  <c r="MRN43" i="118"/>
  <c r="MRP43" i="118"/>
  <c r="MRR43" i="118"/>
  <c r="MRT43" i="118"/>
  <c r="MRV43" i="118"/>
  <c r="MRX43" i="118"/>
  <c r="MRZ43" i="118"/>
  <c r="MSB43" i="118"/>
  <c r="MSD43" i="118"/>
  <c r="MSF43" i="118"/>
  <c r="MSH43" i="118"/>
  <c r="MSJ43" i="118"/>
  <c r="MSL43" i="118"/>
  <c r="MSN43" i="118"/>
  <c r="MSP43" i="118"/>
  <c r="MSR43" i="118"/>
  <c r="MST43" i="118"/>
  <c r="MSV43" i="118"/>
  <c r="MSX43" i="118"/>
  <c r="MSZ43" i="118"/>
  <c r="MTB43" i="118"/>
  <c r="MTD43" i="118"/>
  <c r="MTF43" i="118"/>
  <c r="MTH43" i="118"/>
  <c r="MTJ43" i="118"/>
  <c r="MTL43" i="118"/>
  <c r="MTN43" i="118"/>
  <c r="MTP43" i="118"/>
  <c r="MTR43" i="118"/>
  <c r="MTT43" i="118"/>
  <c r="MTV43" i="118"/>
  <c r="MTX43" i="118"/>
  <c r="MTZ43" i="118"/>
  <c r="MUB43" i="118"/>
  <c r="MUD43" i="118"/>
  <c r="MUF43" i="118"/>
  <c r="MUH43" i="118"/>
  <c r="MUJ43" i="118"/>
  <c r="MUL43" i="118"/>
  <c r="MUN43" i="118"/>
  <c r="MUP43" i="118"/>
  <c r="MUR43" i="118"/>
  <c r="MUT43" i="118"/>
  <c r="MUV43" i="118"/>
  <c r="MUX43" i="118"/>
  <c r="MUZ43" i="118"/>
  <c r="MVB43" i="118"/>
  <c r="MVD43" i="118"/>
  <c r="MVF43" i="118"/>
  <c r="MVH43" i="118"/>
  <c r="MVJ43" i="118"/>
  <c r="MVL43" i="118"/>
  <c r="MVN43" i="118"/>
  <c r="MVP43" i="118"/>
  <c r="MVR43" i="118"/>
  <c r="MVT43" i="118"/>
  <c r="MVV43" i="118"/>
  <c r="MVX43" i="118"/>
  <c r="MVZ43" i="118"/>
  <c r="MWB43" i="118"/>
  <c r="MWD43" i="118"/>
  <c r="MWF43" i="118"/>
  <c r="MWH43" i="118"/>
  <c r="MWJ43" i="118"/>
  <c r="MWL43" i="118"/>
  <c r="MWN43" i="118"/>
  <c r="MWP43" i="118"/>
  <c r="MWR43" i="118"/>
  <c r="MWT43" i="118"/>
  <c r="MWV43" i="118"/>
  <c r="MWX43" i="118"/>
  <c r="MWZ43" i="118"/>
  <c r="MXB43" i="118"/>
  <c r="MXD43" i="118"/>
  <c r="MXF43" i="118"/>
  <c r="MXH43" i="118"/>
  <c r="MXJ43" i="118"/>
  <c r="MXL43" i="118"/>
  <c r="MXN43" i="118"/>
  <c r="MXP43" i="118"/>
  <c r="MXR43" i="118"/>
  <c r="MXT43" i="118"/>
  <c r="MXV43" i="118"/>
  <c r="MXX43" i="118"/>
  <c r="MXZ43" i="118"/>
  <c r="MYB43" i="118"/>
  <c r="MYD43" i="118"/>
  <c r="MYF43" i="118"/>
  <c r="MYH43" i="118"/>
  <c r="MYJ43" i="118"/>
  <c r="MYL43" i="118"/>
  <c r="MYN43" i="118"/>
  <c r="MYP43" i="118"/>
  <c r="MYR43" i="118"/>
  <c r="MYT43" i="118"/>
  <c r="MYV43" i="118"/>
  <c r="MYX43" i="118"/>
  <c r="MYZ43" i="118"/>
  <c r="MZB43" i="118"/>
  <c r="MZD43" i="118"/>
  <c r="MZF43" i="118"/>
  <c r="MZH43" i="118"/>
  <c r="MZJ43" i="118"/>
  <c r="MZL43" i="118"/>
  <c r="MZN43" i="118"/>
  <c r="MZP43" i="118"/>
  <c r="MZR43" i="118"/>
  <c r="MZT43" i="118"/>
  <c r="MZV43" i="118"/>
  <c r="MZX43" i="118"/>
  <c r="MZZ43" i="118"/>
  <c r="NAB43" i="118"/>
  <c r="NAD43" i="118"/>
  <c r="NAF43" i="118"/>
  <c r="NAH43" i="118"/>
  <c r="NAJ43" i="118"/>
  <c r="NAL43" i="118"/>
  <c r="NAN43" i="118"/>
  <c r="NAP43" i="118"/>
  <c r="NAR43" i="118"/>
  <c r="NAT43" i="118"/>
  <c r="NAV43" i="118"/>
  <c r="NAX43" i="118"/>
  <c r="NAZ43" i="118"/>
  <c r="NBB43" i="118"/>
  <c r="NBD43" i="118"/>
  <c r="NBF43" i="118"/>
  <c r="NBH43" i="118"/>
  <c r="NBJ43" i="118"/>
  <c r="NBL43" i="118"/>
  <c r="NBN43" i="118"/>
  <c r="NBP43" i="118"/>
  <c r="NBR43" i="118"/>
  <c r="NBT43" i="118"/>
  <c r="NBV43" i="118"/>
  <c r="NBX43" i="118"/>
  <c r="NBZ43" i="118"/>
  <c r="NCB43" i="118"/>
  <c r="NCD43" i="118"/>
  <c r="NCF43" i="118"/>
  <c r="NCH43" i="118"/>
  <c r="NCJ43" i="118"/>
  <c r="NCL43" i="118"/>
  <c r="NCN43" i="118"/>
  <c r="NCP43" i="118"/>
  <c r="NCR43" i="118"/>
  <c r="NCT43" i="118"/>
  <c r="NCV43" i="118"/>
  <c r="NCX43" i="118"/>
  <c r="NCZ43" i="118"/>
  <c r="NDB43" i="118"/>
  <c r="NDD43" i="118"/>
  <c r="NDF43" i="118"/>
  <c r="NDH43" i="118"/>
  <c r="NDJ43" i="118"/>
  <c r="NDL43" i="118"/>
  <c r="NDN43" i="118"/>
  <c r="NDP43" i="118"/>
  <c r="NDR43" i="118"/>
  <c r="NDT43" i="118"/>
  <c r="NDV43" i="118"/>
  <c r="NDX43" i="118"/>
  <c r="NDZ43" i="118"/>
  <c r="NEB43" i="118"/>
  <c r="NED43" i="118"/>
  <c r="NEF43" i="118"/>
  <c r="NEH43" i="118"/>
  <c r="NEJ43" i="118"/>
  <c r="NEL43" i="118"/>
  <c r="NEN43" i="118"/>
  <c r="NEP43" i="118"/>
  <c r="NER43" i="118"/>
  <c r="NET43" i="118"/>
  <c r="NEV43" i="118"/>
  <c r="NEX43" i="118"/>
  <c r="NEZ43" i="118"/>
  <c r="NFB43" i="118"/>
  <c r="NFD43" i="118"/>
  <c r="NFF43" i="118"/>
  <c r="NFH43" i="118"/>
  <c r="NFJ43" i="118"/>
  <c r="NFL43" i="118"/>
  <c r="NFN43" i="118"/>
  <c r="NFP43" i="118"/>
  <c r="NFR43" i="118"/>
  <c r="NFT43" i="118"/>
  <c r="NFV43" i="118"/>
  <c r="NFX43" i="118"/>
  <c r="NFZ43" i="118"/>
  <c r="NGB43" i="118"/>
  <c r="NGD43" i="118"/>
  <c r="NGF43" i="118"/>
  <c r="NGH43" i="118"/>
  <c r="NGJ43" i="118"/>
  <c r="NGL43" i="118"/>
  <c r="NGN43" i="118"/>
  <c r="NGP43" i="118"/>
  <c r="NGR43" i="118"/>
  <c r="NGT43" i="118"/>
  <c r="NGV43" i="118"/>
  <c r="NGX43" i="118"/>
  <c r="NGZ43" i="118"/>
  <c r="NHB43" i="118"/>
  <c r="NHD43" i="118"/>
  <c r="NHF43" i="118"/>
  <c r="NHH43" i="118"/>
  <c r="NHJ43" i="118"/>
  <c r="NHL43" i="118"/>
  <c r="NHN43" i="118"/>
  <c r="NHP43" i="118"/>
  <c r="NHR43" i="118"/>
  <c r="NHT43" i="118"/>
  <c r="NHV43" i="118"/>
  <c r="NHX43" i="118"/>
  <c r="NHZ43" i="118"/>
  <c r="NIB43" i="118"/>
  <c r="NID43" i="118"/>
  <c r="NIF43" i="118"/>
  <c r="NIH43" i="118"/>
  <c r="NIJ43" i="118"/>
  <c r="NIL43" i="118"/>
  <c r="NIN43" i="118"/>
  <c r="NIP43" i="118"/>
  <c r="NIR43" i="118"/>
  <c r="NIT43" i="118"/>
  <c r="NIV43" i="118"/>
  <c r="NIX43" i="118"/>
  <c r="NIZ43" i="118"/>
  <c r="NJB43" i="118"/>
  <c r="NJD43" i="118"/>
  <c r="NJF43" i="118"/>
  <c r="NJH43" i="118"/>
  <c r="NJJ43" i="118"/>
  <c r="NJL43" i="118"/>
  <c r="NJN43" i="118"/>
  <c r="NJP43" i="118"/>
  <c r="NJR43" i="118"/>
  <c r="NJT43" i="118"/>
  <c r="NJV43" i="118"/>
  <c r="NJX43" i="118"/>
  <c r="NJZ43" i="118"/>
  <c r="NKB43" i="118"/>
  <c r="NKD43" i="118"/>
  <c r="NKF43" i="118"/>
  <c r="NKH43" i="118"/>
  <c r="NKJ43" i="118"/>
  <c r="NKL43" i="118"/>
  <c r="NKN43" i="118"/>
  <c r="NKP43" i="118"/>
  <c r="NKR43" i="118"/>
  <c r="NKT43" i="118"/>
  <c r="NKV43" i="118"/>
  <c r="NKX43" i="118"/>
  <c r="NKZ43" i="118"/>
  <c r="NLB43" i="118"/>
  <c r="NLD43" i="118"/>
  <c r="NLF43" i="118"/>
  <c r="NLH43" i="118"/>
  <c r="NLJ43" i="118"/>
  <c r="NLL43" i="118"/>
  <c r="NLN43" i="118"/>
  <c r="NLP43" i="118"/>
  <c r="NLR43" i="118"/>
  <c r="NLT43" i="118"/>
  <c r="NLV43" i="118"/>
  <c r="NLX43" i="118"/>
  <c r="NLZ43" i="118"/>
  <c r="NMB43" i="118"/>
  <c r="NMD43" i="118"/>
  <c r="NMF43" i="118"/>
  <c r="NMH43" i="118"/>
  <c r="NMJ43" i="118"/>
  <c r="NML43" i="118"/>
  <c r="NMN43" i="118"/>
  <c r="NMP43" i="118"/>
  <c r="NMR43" i="118"/>
  <c r="NMT43" i="118"/>
  <c r="NMV43" i="118"/>
  <c r="NMX43" i="118"/>
  <c r="NMZ43" i="118"/>
  <c r="NNB43" i="118"/>
  <c r="NND43" i="118"/>
  <c r="NNF43" i="118"/>
  <c r="NNH43" i="118"/>
  <c r="NNJ43" i="118"/>
  <c r="NNL43" i="118"/>
  <c r="NNN43" i="118"/>
  <c r="NNP43" i="118"/>
  <c r="NNR43" i="118"/>
  <c r="NNT43" i="118"/>
  <c r="NNV43" i="118"/>
  <c r="NNX43" i="118"/>
  <c r="NNZ43" i="118"/>
  <c r="NOB43" i="118"/>
  <c r="NOD43" i="118"/>
  <c r="NOF43" i="118"/>
  <c r="NOH43" i="118"/>
  <c r="NOJ43" i="118"/>
  <c r="NOL43" i="118"/>
  <c r="NON43" i="118"/>
  <c r="NOP43" i="118"/>
  <c r="NOR43" i="118"/>
  <c r="NOT43" i="118"/>
  <c r="NOV43" i="118"/>
  <c r="NOX43" i="118"/>
  <c r="NOZ43" i="118"/>
  <c r="NPB43" i="118"/>
  <c r="NPD43" i="118"/>
  <c r="NPF43" i="118"/>
  <c r="NPH43" i="118"/>
  <c r="NPJ43" i="118"/>
  <c r="NPL43" i="118"/>
  <c r="NPN43" i="118"/>
  <c r="NPP43" i="118"/>
  <c r="NPR43" i="118"/>
  <c r="NPT43" i="118"/>
  <c r="NPV43" i="118"/>
  <c r="NPX43" i="118"/>
  <c r="NPZ43" i="118"/>
  <c r="NQB43" i="118"/>
  <c r="NQD43" i="118"/>
  <c r="NQF43" i="118"/>
  <c r="NQH43" i="118"/>
  <c r="NQJ43" i="118"/>
  <c r="NQL43" i="118"/>
  <c r="NQN43" i="118"/>
  <c r="NQP43" i="118"/>
  <c r="NQR43" i="118"/>
  <c r="NQT43" i="118"/>
  <c r="NQV43" i="118"/>
  <c r="NQX43" i="118"/>
  <c r="NQZ43" i="118"/>
  <c r="NRB43" i="118"/>
  <c r="NRD43" i="118"/>
  <c r="NRF43" i="118"/>
  <c r="NRH43" i="118"/>
  <c r="NRJ43" i="118"/>
  <c r="NRL43" i="118"/>
  <c r="NRN43" i="118"/>
  <c r="NRP43" i="118"/>
  <c r="NRR43" i="118"/>
  <c r="NRT43" i="118"/>
  <c r="NRV43" i="118"/>
  <c r="NRX43" i="118"/>
  <c r="NRZ43" i="118"/>
  <c r="NSB43" i="118"/>
  <c r="NSD43" i="118"/>
  <c r="NSF43" i="118"/>
  <c r="NSH43" i="118"/>
  <c r="NSJ43" i="118"/>
  <c r="NSL43" i="118"/>
  <c r="NSN43" i="118"/>
  <c r="NSP43" i="118"/>
  <c r="NSR43" i="118"/>
  <c r="NST43" i="118"/>
  <c r="NSV43" i="118"/>
  <c r="NSX43" i="118"/>
  <c r="NSZ43" i="118"/>
  <c r="NTB43" i="118"/>
  <c r="NTD43" i="118"/>
  <c r="NTF43" i="118"/>
  <c r="NTH43" i="118"/>
  <c r="NTJ43" i="118"/>
  <c r="NTL43" i="118"/>
  <c r="NTN43" i="118"/>
  <c r="NTP43" i="118"/>
  <c r="NTR43" i="118"/>
  <c r="NTT43" i="118"/>
  <c r="NTV43" i="118"/>
  <c r="NTX43" i="118"/>
  <c r="NTZ43" i="118"/>
  <c r="NUB43" i="118"/>
  <c r="NUD43" i="118"/>
  <c r="NUF43" i="118"/>
  <c r="NUH43" i="118"/>
  <c r="NUJ43" i="118"/>
  <c r="NUL43" i="118"/>
  <c r="NUN43" i="118"/>
  <c r="NUP43" i="118"/>
  <c r="NUR43" i="118"/>
  <c r="NUT43" i="118"/>
  <c r="NUV43" i="118"/>
  <c r="NUX43" i="118"/>
  <c r="NUZ43" i="118"/>
  <c r="NVB43" i="118"/>
  <c r="NVD43" i="118"/>
  <c r="NVF43" i="118"/>
  <c r="NVH43" i="118"/>
  <c r="NVJ43" i="118"/>
  <c r="NVL43" i="118"/>
  <c r="NVN43" i="118"/>
  <c r="NVP43" i="118"/>
  <c r="NVR43" i="118"/>
  <c r="NVT43" i="118"/>
  <c r="NVV43" i="118"/>
  <c r="NVX43" i="118"/>
  <c r="NVZ43" i="118"/>
  <c r="NWB43" i="118"/>
  <c r="NWD43" i="118"/>
  <c r="NWF43" i="118"/>
  <c r="NWH43" i="118"/>
  <c r="NWJ43" i="118"/>
  <c r="NWL43" i="118"/>
  <c r="NWN43" i="118"/>
  <c r="NWP43" i="118"/>
  <c r="NWR43" i="118"/>
  <c r="NWT43" i="118"/>
  <c r="NWV43" i="118"/>
  <c r="NWX43" i="118"/>
  <c r="NWZ43" i="118"/>
  <c r="NXB43" i="118"/>
  <c r="NXD43" i="118"/>
  <c r="NXF43" i="118"/>
  <c r="NXH43" i="118"/>
  <c r="NXJ43" i="118"/>
  <c r="NXL43" i="118"/>
  <c r="NXN43" i="118"/>
  <c r="NXP43" i="118"/>
  <c r="NXR43" i="118"/>
  <c r="NXT43" i="118"/>
  <c r="NXV43" i="118"/>
  <c r="NXX43" i="118"/>
  <c r="NXZ43" i="118"/>
  <c r="NYB43" i="118"/>
  <c r="NYD43" i="118"/>
  <c r="NYF43" i="118"/>
  <c r="NYH43" i="118"/>
  <c r="NYJ43" i="118"/>
  <c r="NYL43" i="118"/>
  <c r="NYN43" i="118"/>
  <c r="NYP43" i="118"/>
  <c r="NYR43" i="118"/>
  <c r="NYT43" i="118"/>
  <c r="NYV43" i="118"/>
  <c r="NYX43" i="118"/>
  <c r="NYZ43" i="118"/>
  <c r="NZB43" i="118"/>
  <c r="NZD43" i="118"/>
  <c r="NZF43" i="118"/>
  <c r="NZH43" i="118"/>
  <c r="NZJ43" i="118"/>
  <c r="NZL43" i="118"/>
  <c r="NZN43" i="118"/>
  <c r="NZP43" i="118"/>
  <c r="NZR43" i="118"/>
  <c r="NZT43" i="118"/>
  <c r="NZV43" i="118"/>
  <c r="NZX43" i="118"/>
  <c r="NZZ43" i="118"/>
  <c r="OAB43" i="118"/>
  <c r="OAD43" i="118"/>
  <c r="OAF43" i="118"/>
  <c r="OAH43" i="118"/>
  <c r="OAJ43" i="118"/>
  <c r="OAL43" i="118"/>
  <c r="OAN43" i="118"/>
  <c r="OAP43" i="118"/>
  <c r="OAR43" i="118"/>
  <c r="OAT43" i="118"/>
  <c r="OAV43" i="118"/>
  <c r="OAX43" i="118"/>
  <c r="OAZ43" i="118"/>
  <c r="OBB43" i="118"/>
  <c r="OBD43" i="118"/>
  <c r="OBF43" i="118"/>
  <c r="OBH43" i="118"/>
  <c r="OBJ43" i="118"/>
  <c r="OBL43" i="118"/>
  <c r="OBN43" i="118"/>
  <c r="OBP43" i="118"/>
  <c r="OBR43" i="118"/>
  <c r="OBT43" i="118"/>
  <c r="OBV43" i="118"/>
  <c r="OBX43" i="118"/>
  <c r="OBZ43" i="118"/>
  <c r="OCB43" i="118"/>
  <c r="OCD43" i="118"/>
  <c r="OCF43" i="118"/>
  <c r="OCH43" i="118"/>
  <c r="OCJ43" i="118"/>
  <c r="OCL43" i="118"/>
  <c r="OCN43" i="118"/>
  <c r="OCP43" i="118"/>
  <c r="OCR43" i="118"/>
  <c r="OCT43" i="118"/>
  <c r="OCV43" i="118"/>
  <c r="OCX43" i="118"/>
  <c r="OCZ43" i="118"/>
  <c r="ODB43" i="118"/>
  <c r="ODD43" i="118"/>
  <c r="ODF43" i="118"/>
  <c r="ODH43" i="118"/>
  <c r="ODJ43" i="118"/>
  <c r="ODL43" i="118"/>
  <c r="ODN43" i="118"/>
  <c r="ODP43" i="118"/>
  <c r="ODR43" i="118"/>
  <c r="ODT43" i="118"/>
  <c r="ODV43" i="118"/>
  <c r="ODX43" i="118"/>
  <c r="ODZ43" i="118"/>
  <c r="OEB43" i="118"/>
  <c r="OED43" i="118"/>
  <c r="OEF43" i="118"/>
  <c r="OEH43" i="118"/>
  <c r="OEJ43" i="118"/>
  <c r="OEL43" i="118"/>
  <c r="OEN43" i="118"/>
  <c r="OEP43" i="118"/>
  <c r="OER43" i="118"/>
  <c r="OET43" i="118"/>
  <c r="OEV43" i="118"/>
  <c r="OEX43" i="118"/>
  <c r="OEZ43" i="118"/>
  <c r="OFB43" i="118"/>
  <c r="OFD43" i="118"/>
  <c r="OFF43" i="118"/>
  <c r="OFH43" i="118"/>
  <c r="OFJ43" i="118"/>
  <c r="OFL43" i="118"/>
  <c r="OFN43" i="118"/>
  <c r="OFP43" i="118"/>
  <c r="OFR43" i="118"/>
  <c r="OFT43" i="118"/>
  <c r="OFV43" i="118"/>
  <c r="OFX43" i="118"/>
  <c r="OFZ43" i="118"/>
  <c r="OGB43" i="118"/>
  <c r="OGD43" i="118"/>
  <c r="OGF43" i="118"/>
  <c r="OGH43" i="118"/>
  <c r="OGJ43" i="118"/>
  <c r="OGL43" i="118"/>
  <c r="OGN43" i="118"/>
  <c r="OGP43" i="118"/>
  <c r="OGR43" i="118"/>
  <c r="OGT43" i="118"/>
  <c r="OGV43" i="118"/>
  <c r="OGX43" i="118"/>
  <c r="OGZ43" i="118"/>
  <c r="OHB43" i="118"/>
  <c r="OHD43" i="118"/>
  <c r="OHF43" i="118"/>
  <c r="OHH43" i="118"/>
  <c r="OHJ43" i="118"/>
  <c r="OHL43" i="118"/>
  <c r="OHN43" i="118"/>
  <c r="OHP43" i="118"/>
  <c r="OHR43" i="118"/>
  <c r="OHT43" i="118"/>
  <c r="OHV43" i="118"/>
  <c r="OHX43" i="118"/>
  <c r="OHZ43" i="118"/>
  <c r="OIB43" i="118"/>
  <c r="OID43" i="118"/>
  <c r="OIF43" i="118"/>
  <c r="OIH43" i="118"/>
  <c r="OIJ43" i="118"/>
  <c r="OIL43" i="118"/>
  <c r="OIN43" i="118"/>
  <c r="OIP43" i="118"/>
  <c r="OIR43" i="118"/>
  <c r="OIT43" i="118"/>
  <c r="OIV43" i="118"/>
  <c r="OIX43" i="118"/>
  <c r="OIZ43" i="118"/>
  <c r="OJB43" i="118"/>
  <c r="OJD43" i="118"/>
  <c r="OJF43" i="118"/>
  <c r="OJH43" i="118"/>
  <c r="OJJ43" i="118"/>
  <c r="OJL43" i="118"/>
  <c r="OJN43" i="118"/>
  <c r="OJP43" i="118"/>
  <c r="OJR43" i="118"/>
  <c r="OJT43" i="118"/>
  <c r="OJV43" i="118"/>
  <c r="OJX43" i="118"/>
  <c r="OJZ43" i="118"/>
  <c r="OKB43" i="118"/>
  <c r="OKD43" i="118"/>
  <c r="OKF43" i="118"/>
  <c r="OKH43" i="118"/>
  <c r="OKJ43" i="118"/>
  <c r="OKL43" i="118"/>
  <c r="OKN43" i="118"/>
  <c r="OKP43" i="118"/>
  <c r="OKR43" i="118"/>
  <c r="OKT43" i="118"/>
  <c r="OKV43" i="118"/>
  <c r="OKX43" i="118"/>
  <c r="OKZ43" i="118"/>
  <c r="OLB43" i="118"/>
  <c r="OLD43" i="118"/>
  <c r="OLF43" i="118"/>
  <c r="OLH43" i="118"/>
  <c r="OLJ43" i="118"/>
  <c r="OLL43" i="118"/>
  <c r="OLN43" i="118"/>
  <c r="OLP43" i="118"/>
  <c r="OLR43" i="118"/>
  <c r="OLT43" i="118"/>
  <c r="OLV43" i="118"/>
  <c r="OLX43" i="118"/>
  <c r="OLZ43" i="118"/>
  <c r="OMB43" i="118"/>
  <c r="OMD43" i="118"/>
  <c r="OMF43" i="118"/>
  <c r="OMH43" i="118"/>
  <c r="OMJ43" i="118"/>
  <c r="OML43" i="118"/>
  <c r="OMN43" i="118"/>
  <c r="OMP43" i="118"/>
  <c r="OMR43" i="118"/>
  <c r="OMT43" i="118"/>
  <c r="OMV43" i="118"/>
  <c r="OMX43" i="118"/>
  <c r="OMZ43" i="118"/>
  <c r="ONB43" i="118"/>
  <c r="OND43" i="118"/>
  <c r="ONF43" i="118"/>
  <c r="ONH43" i="118"/>
  <c r="ONJ43" i="118"/>
  <c r="ONL43" i="118"/>
  <c r="ONN43" i="118"/>
  <c r="ONP43" i="118"/>
  <c r="ONR43" i="118"/>
  <c r="ONT43" i="118"/>
  <c r="ONV43" i="118"/>
  <c r="ONX43" i="118"/>
  <c r="ONZ43" i="118"/>
  <c r="OOB43" i="118"/>
  <c r="OOD43" i="118"/>
  <c r="OOF43" i="118"/>
  <c r="OOH43" i="118"/>
  <c r="OOJ43" i="118"/>
  <c r="OOL43" i="118"/>
  <c r="OON43" i="118"/>
  <c r="OOP43" i="118"/>
  <c r="OOR43" i="118"/>
  <c r="OOT43" i="118"/>
  <c r="OOV43" i="118"/>
  <c r="OOX43" i="118"/>
  <c r="OOZ43" i="118"/>
  <c r="OPB43" i="118"/>
  <c r="OPD43" i="118"/>
  <c r="OPF43" i="118"/>
  <c r="OPH43" i="118"/>
  <c r="OPJ43" i="118"/>
  <c r="OPL43" i="118"/>
  <c r="OPN43" i="118"/>
  <c r="OPP43" i="118"/>
  <c r="OPR43" i="118"/>
  <c r="OPT43" i="118"/>
  <c r="OPV43" i="118"/>
  <c r="OPX43" i="118"/>
  <c r="OPZ43" i="118"/>
  <c r="OQB43" i="118"/>
  <c r="OQD43" i="118"/>
  <c r="OQF43" i="118"/>
  <c r="OQH43" i="118"/>
  <c r="OQJ43" i="118"/>
  <c r="OQL43" i="118"/>
  <c r="OQN43" i="118"/>
  <c r="OQP43" i="118"/>
  <c r="OQR43" i="118"/>
  <c r="OQT43" i="118"/>
  <c r="OQV43" i="118"/>
  <c r="OQX43" i="118"/>
  <c r="OQZ43" i="118"/>
  <c r="ORB43" i="118"/>
  <c r="ORD43" i="118"/>
  <c r="ORF43" i="118"/>
  <c r="ORH43" i="118"/>
  <c r="ORJ43" i="118"/>
  <c r="ORL43" i="118"/>
  <c r="ORN43" i="118"/>
  <c r="ORP43" i="118"/>
  <c r="ORR43" i="118"/>
  <c r="ORT43" i="118"/>
  <c r="ORV43" i="118"/>
  <c r="ORX43" i="118"/>
  <c r="ORZ43" i="118"/>
  <c r="OSB43" i="118"/>
  <c r="OSD43" i="118"/>
  <c r="OSF43" i="118"/>
  <c r="OSH43" i="118"/>
  <c r="OSJ43" i="118"/>
  <c r="OSL43" i="118"/>
  <c r="OSN43" i="118"/>
  <c r="OSP43" i="118"/>
  <c r="OSR43" i="118"/>
  <c r="OST43" i="118"/>
  <c r="OSV43" i="118"/>
  <c r="OSX43" i="118"/>
  <c r="OSZ43" i="118"/>
  <c r="OTB43" i="118"/>
  <c r="OTD43" i="118"/>
  <c r="OTF43" i="118"/>
  <c r="OTH43" i="118"/>
  <c r="OTJ43" i="118"/>
  <c r="OTL43" i="118"/>
  <c r="OTN43" i="118"/>
  <c r="OTP43" i="118"/>
  <c r="OTR43" i="118"/>
  <c r="OTT43" i="118"/>
  <c r="OTV43" i="118"/>
  <c r="OTX43" i="118"/>
  <c r="OTZ43" i="118"/>
  <c r="OUB43" i="118"/>
  <c r="OUD43" i="118"/>
  <c r="OUF43" i="118"/>
  <c r="OUH43" i="118"/>
  <c r="OUJ43" i="118"/>
  <c r="OUL43" i="118"/>
  <c r="OUN43" i="118"/>
  <c r="OUP43" i="118"/>
  <c r="OUR43" i="118"/>
  <c r="OUT43" i="118"/>
  <c r="OUV43" i="118"/>
  <c r="OUX43" i="118"/>
  <c r="OUZ43" i="118"/>
  <c r="OVB43" i="118"/>
  <c r="OVD43" i="118"/>
  <c r="OVF43" i="118"/>
  <c r="OVH43" i="118"/>
  <c r="OVJ43" i="118"/>
  <c r="OVL43" i="118"/>
  <c r="OVN43" i="118"/>
  <c r="OVP43" i="118"/>
  <c r="OVR43" i="118"/>
  <c r="OVT43" i="118"/>
  <c r="OVV43" i="118"/>
  <c r="OVX43" i="118"/>
  <c r="OVZ43" i="118"/>
  <c r="OWB43" i="118"/>
  <c r="OWD43" i="118"/>
  <c r="OWF43" i="118"/>
  <c r="OWH43" i="118"/>
  <c r="OWJ43" i="118"/>
  <c r="OWL43" i="118"/>
  <c r="OWN43" i="118"/>
  <c r="OWP43" i="118"/>
  <c r="OWR43" i="118"/>
  <c r="OWT43" i="118"/>
  <c r="OWV43" i="118"/>
  <c r="OWX43" i="118"/>
  <c r="OWZ43" i="118"/>
  <c r="OXB43" i="118"/>
  <c r="OXD43" i="118"/>
  <c r="OXF43" i="118"/>
  <c r="OXH43" i="118"/>
  <c r="OXJ43" i="118"/>
  <c r="OXL43" i="118"/>
  <c r="OXN43" i="118"/>
  <c r="OXP43" i="118"/>
  <c r="OXR43" i="118"/>
  <c r="OXT43" i="118"/>
  <c r="OXV43" i="118"/>
  <c r="OXX43" i="118"/>
  <c r="OXZ43" i="118"/>
  <c r="OYB43" i="118"/>
  <c r="OYD43" i="118"/>
  <c r="OYF43" i="118"/>
  <c r="OYH43" i="118"/>
  <c r="OYJ43" i="118"/>
  <c r="OYL43" i="118"/>
  <c r="OYN43" i="118"/>
  <c r="OYP43" i="118"/>
  <c r="OYR43" i="118"/>
  <c r="OYT43" i="118"/>
  <c r="OYV43" i="118"/>
  <c r="OYX43" i="118"/>
  <c r="OYZ43" i="118"/>
  <c r="OZB43" i="118"/>
  <c r="OZD43" i="118"/>
  <c r="OZF43" i="118"/>
  <c r="OZH43" i="118"/>
  <c r="OZJ43" i="118"/>
  <c r="OZL43" i="118"/>
  <c r="OZN43" i="118"/>
  <c r="OZP43" i="118"/>
  <c r="OZR43" i="118"/>
  <c r="OZT43" i="118"/>
  <c r="OZV43" i="118"/>
  <c r="OZX43" i="118"/>
  <c r="OZZ43" i="118"/>
  <c r="PAB43" i="118"/>
  <c r="PAD43" i="118"/>
  <c r="PAF43" i="118"/>
  <c r="PAH43" i="118"/>
  <c r="PAJ43" i="118"/>
  <c r="PAL43" i="118"/>
  <c r="PAN43" i="118"/>
  <c r="PAP43" i="118"/>
  <c r="PAR43" i="118"/>
  <c r="PAT43" i="118"/>
  <c r="PAV43" i="118"/>
  <c r="PAX43" i="118"/>
  <c r="PAZ43" i="118"/>
  <c r="PBB43" i="118"/>
  <c r="PBD43" i="118"/>
  <c r="PBF43" i="118"/>
  <c r="PBH43" i="118"/>
  <c r="PBJ43" i="118"/>
  <c r="PBL43" i="118"/>
  <c r="PBN43" i="118"/>
  <c r="PBP43" i="118"/>
  <c r="PBR43" i="118"/>
  <c r="PBT43" i="118"/>
  <c r="PBV43" i="118"/>
  <c r="PBX43" i="118"/>
  <c r="PBZ43" i="118"/>
  <c r="PCB43" i="118"/>
  <c r="PCD43" i="118"/>
  <c r="PCF43" i="118"/>
  <c r="PCH43" i="118"/>
  <c r="PCJ43" i="118"/>
  <c r="PCL43" i="118"/>
  <c r="PCN43" i="118"/>
  <c r="PCP43" i="118"/>
  <c r="PCR43" i="118"/>
  <c r="PCT43" i="118"/>
  <c r="PCV43" i="118"/>
  <c r="PCX43" i="118"/>
  <c r="PCZ43" i="118"/>
  <c r="PDB43" i="118"/>
  <c r="PDD43" i="118"/>
  <c r="PDF43" i="118"/>
  <c r="PDH43" i="118"/>
  <c r="PDJ43" i="118"/>
  <c r="PDL43" i="118"/>
  <c r="PDN43" i="118"/>
  <c r="PDP43" i="118"/>
  <c r="PDR43" i="118"/>
  <c r="PDT43" i="118"/>
  <c r="PDV43" i="118"/>
  <c r="PDX43" i="118"/>
  <c r="PDZ43" i="118"/>
  <c r="PEB43" i="118"/>
  <c r="PED43" i="118"/>
  <c r="PEF43" i="118"/>
  <c r="PEH43" i="118"/>
  <c r="PEJ43" i="118"/>
  <c r="PEL43" i="118"/>
  <c r="PEN43" i="118"/>
  <c r="PEP43" i="118"/>
  <c r="PER43" i="118"/>
  <c r="PET43" i="118"/>
  <c r="PEV43" i="118"/>
  <c r="PEX43" i="118"/>
  <c r="PEZ43" i="118"/>
  <c r="PFB43" i="118"/>
  <c r="PFD43" i="118"/>
  <c r="PFF43" i="118"/>
  <c r="PFH43" i="118"/>
  <c r="PFJ43" i="118"/>
  <c r="PFL43" i="118"/>
  <c r="PFN43" i="118"/>
  <c r="PFP43" i="118"/>
  <c r="PFR43" i="118"/>
  <c r="PFT43" i="118"/>
  <c r="PFV43" i="118"/>
  <c r="PFX43" i="118"/>
  <c r="PFZ43" i="118"/>
  <c r="PGB43" i="118"/>
  <c r="PGD43" i="118"/>
  <c r="PGF43" i="118"/>
  <c r="PGH43" i="118"/>
  <c r="PGJ43" i="118"/>
  <c r="PGL43" i="118"/>
  <c r="PGN43" i="118"/>
  <c r="PGP43" i="118"/>
  <c r="PGR43" i="118"/>
  <c r="PGT43" i="118"/>
  <c r="PGV43" i="118"/>
  <c r="PGX43" i="118"/>
  <c r="PGZ43" i="118"/>
  <c r="PHB43" i="118"/>
  <c r="PHD43" i="118"/>
  <c r="PHF43" i="118"/>
  <c r="PHH43" i="118"/>
  <c r="PHJ43" i="118"/>
  <c r="PHL43" i="118"/>
  <c r="PHN43" i="118"/>
  <c r="PHP43" i="118"/>
  <c r="PHR43" i="118"/>
  <c r="PHT43" i="118"/>
  <c r="PHV43" i="118"/>
  <c r="PHX43" i="118"/>
  <c r="PHZ43" i="118"/>
  <c r="PIB43" i="118"/>
  <c r="PID43" i="118"/>
  <c r="PIF43" i="118"/>
  <c r="PIH43" i="118"/>
  <c r="PIJ43" i="118"/>
  <c r="PIL43" i="118"/>
  <c r="PIN43" i="118"/>
  <c r="PIP43" i="118"/>
  <c r="PIR43" i="118"/>
  <c r="PIT43" i="118"/>
  <c r="PIV43" i="118"/>
  <c r="PIX43" i="118"/>
  <c r="PIZ43" i="118"/>
  <c r="PJB43" i="118"/>
  <c r="PJD43" i="118"/>
  <c r="PJF43" i="118"/>
  <c r="PJH43" i="118"/>
  <c r="PJJ43" i="118"/>
  <c r="PJL43" i="118"/>
  <c r="PJN43" i="118"/>
  <c r="PJP43" i="118"/>
  <c r="PJR43" i="118"/>
  <c r="PJT43" i="118"/>
  <c r="PJV43" i="118"/>
  <c r="PJX43" i="118"/>
  <c r="PJZ43" i="118"/>
  <c r="PKB43" i="118"/>
  <c r="PKD43" i="118"/>
  <c r="PKF43" i="118"/>
  <c r="PKH43" i="118"/>
  <c r="PKJ43" i="118"/>
  <c r="PKL43" i="118"/>
  <c r="PKN43" i="118"/>
  <c r="PKP43" i="118"/>
  <c r="PKR43" i="118"/>
  <c r="PKT43" i="118"/>
  <c r="PKV43" i="118"/>
  <c r="PKX43" i="118"/>
  <c r="PKZ43" i="118"/>
  <c r="PLB43" i="118"/>
  <c r="PLD43" i="118"/>
  <c r="PLF43" i="118"/>
  <c r="PLH43" i="118"/>
  <c r="PLJ43" i="118"/>
  <c r="PLL43" i="118"/>
  <c r="PLN43" i="118"/>
  <c r="PLP43" i="118"/>
  <c r="PLR43" i="118"/>
  <c r="PLT43" i="118"/>
  <c r="PLV43" i="118"/>
  <c r="PLX43" i="118"/>
  <c r="PLZ43" i="118"/>
  <c r="PMB43" i="118"/>
  <c r="PMD43" i="118"/>
  <c r="PMF43" i="118"/>
  <c r="PMH43" i="118"/>
  <c r="PMJ43" i="118"/>
  <c r="PML43" i="118"/>
  <c r="PMN43" i="118"/>
  <c r="PMP43" i="118"/>
  <c r="PMR43" i="118"/>
  <c r="PMT43" i="118"/>
  <c r="PMV43" i="118"/>
  <c r="PMX43" i="118"/>
  <c r="PMZ43" i="118"/>
  <c r="PNB43" i="118"/>
  <c r="PND43" i="118"/>
  <c r="PNF43" i="118"/>
  <c r="PNH43" i="118"/>
  <c r="PNJ43" i="118"/>
  <c r="PNL43" i="118"/>
  <c r="PNN43" i="118"/>
  <c r="PNP43" i="118"/>
  <c r="PNR43" i="118"/>
  <c r="PNT43" i="118"/>
  <c r="PNV43" i="118"/>
  <c r="PNX43" i="118"/>
  <c r="PNZ43" i="118"/>
  <c r="POB43" i="118"/>
  <c r="POD43" i="118"/>
  <c r="POF43" i="118"/>
  <c r="POH43" i="118"/>
  <c r="POJ43" i="118"/>
  <c r="POL43" i="118"/>
  <c r="PON43" i="118"/>
  <c r="POP43" i="118"/>
  <c r="POR43" i="118"/>
  <c r="POT43" i="118"/>
  <c r="POV43" i="118"/>
  <c r="POX43" i="118"/>
  <c r="POZ43" i="118"/>
  <c r="PPB43" i="118"/>
  <c r="PPD43" i="118"/>
  <c r="PPF43" i="118"/>
  <c r="PPH43" i="118"/>
  <c r="PPJ43" i="118"/>
  <c r="PPL43" i="118"/>
  <c r="PPN43" i="118"/>
  <c r="PPP43" i="118"/>
  <c r="PPR43" i="118"/>
  <c r="PPT43" i="118"/>
  <c r="PPV43" i="118"/>
  <c r="PPX43" i="118"/>
  <c r="PPZ43" i="118"/>
  <c r="PQB43" i="118"/>
  <c r="PQD43" i="118"/>
  <c r="PQF43" i="118"/>
  <c r="PQH43" i="118"/>
  <c r="PQJ43" i="118"/>
  <c r="PQL43" i="118"/>
  <c r="PQN43" i="118"/>
  <c r="PQP43" i="118"/>
  <c r="PQR43" i="118"/>
  <c r="PQT43" i="118"/>
  <c r="PQV43" i="118"/>
  <c r="PQX43" i="118"/>
  <c r="PQZ43" i="118"/>
  <c r="PRB43" i="118"/>
  <c r="PRD43" i="118"/>
  <c r="PRF43" i="118"/>
  <c r="PRH43" i="118"/>
  <c r="PRJ43" i="118"/>
  <c r="PRL43" i="118"/>
  <c r="PRN43" i="118"/>
  <c r="PRP43" i="118"/>
  <c r="PRR43" i="118"/>
  <c r="PRT43" i="118"/>
  <c r="PRV43" i="118"/>
  <c r="PRX43" i="118"/>
  <c r="PRZ43" i="118"/>
  <c r="PSB43" i="118"/>
  <c r="PSD43" i="118"/>
  <c r="PSF43" i="118"/>
  <c r="PSH43" i="118"/>
  <c r="PSJ43" i="118"/>
  <c r="PSL43" i="118"/>
  <c r="PSN43" i="118"/>
  <c r="PSP43" i="118"/>
  <c r="PSR43" i="118"/>
  <c r="PST43" i="118"/>
  <c r="PSV43" i="118"/>
  <c r="PSX43" i="118"/>
  <c r="PSZ43" i="118"/>
  <c r="PTB43" i="118"/>
  <c r="PTD43" i="118"/>
  <c r="PTF43" i="118"/>
  <c r="PTH43" i="118"/>
  <c r="PTJ43" i="118"/>
  <c r="PTL43" i="118"/>
  <c r="PTN43" i="118"/>
  <c r="PTP43" i="118"/>
  <c r="PTR43" i="118"/>
  <c r="PTT43" i="118"/>
  <c r="PTV43" i="118"/>
  <c r="PTX43" i="118"/>
  <c r="PTZ43" i="118"/>
  <c r="PUB43" i="118"/>
  <c r="PUD43" i="118"/>
  <c r="PUF43" i="118"/>
  <c r="PUH43" i="118"/>
  <c r="PUJ43" i="118"/>
  <c r="PUL43" i="118"/>
  <c r="PUN43" i="118"/>
  <c r="PUP43" i="118"/>
  <c r="PUR43" i="118"/>
  <c r="PUT43" i="118"/>
  <c r="PUV43" i="118"/>
  <c r="PUX43" i="118"/>
  <c r="PUZ43" i="118"/>
  <c r="PVB43" i="118"/>
  <c r="PVD43" i="118"/>
  <c r="PVF43" i="118"/>
  <c r="PVH43" i="118"/>
  <c r="PVJ43" i="118"/>
  <c r="PVL43" i="118"/>
  <c r="PVN43" i="118"/>
  <c r="PVP43" i="118"/>
  <c r="PVR43" i="118"/>
  <c r="PVT43" i="118"/>
  <c r="PVV43" i="118"/>
  <c r="PVX43" i="118"/>
  <c r="PVZ43" i="118"/>
  <c r="PWB43" i="118"/>
  <c r="PWD43" i="118"/>
  <c r="PWF43" i="118"/>
  <c r="PWH43" i="118"/>
  <c r="PWJ43" i="118"/>
  <c r="PWL43" i="118"/>
  <c r="PWN43" i="118"/>
  <c r="PWP43" i="118"/>
  <c r="PWR43" i="118"/>
  <c r="PWT43" i="118"/>
  <c r="PWV43" i="118"/>
  <c r="PWX43" i="118"/>
  <c r="PWZ43" i="118"/>
  <c r="PXB43" i="118"/>
  <c r="PXD43" i="118"/>
  <c r="PXF43" i="118"/>
  <c r="PXH43" i="118"/>
  <c r="PXJ43" i="118"/>
  <c r="PXL43" i="118"/>
  <c r="PXN43" i="118"/>
  <c r="PXP43" i="118"/>
  <c r="PXR43" i="118"/>
  <c r="PXT43" i="118"/>
  <c r="PXV43" i="118"/>
  <c r="PXX43" i="118"/>
  <c r="PXZ43" i="118"/>
  <c r="PYB43" i="118"/>
  <c r="PYD43" i="118"/>
  <c r="PYF43" i="118"/>
  <c r="PYH43" i="118"/>
  <c r="PYJ43" i="118"/>
  <c r="PYL43" i="118"/>
  <c r="PYN43" i="118"/>
  <c r="PYP43" i="118"/>
  <c r="PYR43" i="118"/>
  <c r="PYT43" i="118"/>
  <c r="PYV43" i="118"/>
  <c r="PYX43" i="118"/>
  <c r="PYZ43" i="118"/>
  <c r="PZB43" i="118"/>
  <c r="PZD43" i="118"/>
  <c r="PZF43" i="118"/>
  <c r="PZH43" i="118"/>
  <c r="PZJ43" i="118"/>
  <c r="PZL43" i="118"/>
  <c r="PZN43" i="118"/>
  <c r="PZP43" i="118"/>
  <c r="PZR43" i="118"/>
  <c r="PZT43" i="118"/>
  <c r="PZV43" i="118"/>
  <c r="PZX43" i="118"/>
  <c r="PZZ43" i="118"/>
  <c r="QAB43" i="118"/>
  <c r="QAD43" i="118"/>
  <c r="QAF43" i="118"/>
  <c r="QAH43" i="118"/>
  <c r="QAJ43" i="118"/>
  <c r="QAL43" i="118"/>
  <c r="QAN43" i="118"/>
  <c r="QAP43" i="118"/>
  <c r="QAR43" i="118"/>
  <c r="QAT43" i="118"/>
  <c r="QAV43" i="118"/>
  <c r="QAX43" i="118"/>
  <c r="QAZ43" i="118"/>
  <c r="QBB43" i="118"/>
  <c r="QBD43" i="118"/>
  <c r="QBF43" i="118"/>
  <c r="QBH43" i="118"/>
  <c r="QBJ43" i="118"/>
  <c r="QBL43" i="118"/>
  <c r="QBN43" i="118"/>
  <c r="QBP43" i="118"/>
  <c r="QBR43" i="118"/>
  <c r="QBT43" i="118"/>
  <c r="QBV43" i="118"/>
  <c r="QBX43" i="118"/>
  <c r="QBZ43" i="118"/>
  <c r="QCB43" i="118"/>
  <c r="QCD43" i="118"/>
  <c r="QCF43" i="118"/>
  <c r="QCH43" i="118"/>
  <c r="QCJ43" i="118"/>
  <c r="QCL43" i="118"/>
  <c r="QCN43" i="118"/>
  <c r="QCP43" i="118"/>
  <c r="QCR43" i="118"/>
  <c r="QCT43" i="118"/>
  <c r="QCV43" i="118"/>
  <c r="QCX43" i="118"/>
  <c r="QCZ43" i="118"/>
  <c r="QDB43" i="118"/>
  <c r="QDD43" i="118"/>
  <c r="QDF43" i="118"/>
  <c r="QDH43" i="118"/>
  <c r="QDJ43" i="118"/>
  <c r="QDL43" i="118"/>
  <c r="QDN43" i="118"/>
  <c r="QDP43" i="118"/>
  <c r="QDR43" i="118"/>
  <c r="QDT43" i="118"/>
  <c r="QDV43" i="118"/>
  <c r="QDX43" i="118"/>
  <c r="QDZ43" i="118"/>
  <c r="QEB43" i="118"/>
  <c r="QED43" i="118"/>
  <c r="QEF43" i="118"/>
  <c r="QEH43" i="118"/>
  <c r="QEJ43" i="118"/>
  <c r="QEL43" i="118"/>
  <c r="QEN43" i="118"/>
  <c r="QEP43" i="118"/>
  <c r="QER43" i="118"/>
  <c r="QET43" i="118"/>
  <c r="QEV43" i="118"/>
  <c r="QEX43" i="118"/>
  <c r="QEZ43" i="118"/>
  <c r="QFB43" i="118"/>
  <c r="QFD43" i="118"/>
  <c r="QFF43" i="118"/>
  <c r="QFH43" i="118"/>
  <c r="QFJ43" i="118"/>
  <c r="QFL43" i="118"/>
  <c r="QFN43" i="118"/>
  <c r="QFP43" i="118"/>
  <c r="QFR43" i="118"/>
  <c r="QFT43" i="118"/>
  <c r="QFV43" i="118"/>
  <c r="QFX43" i="118"/>
  <c r="QFZ43" i="118"/>
  <c r="QGB43" i="118"/>
  <c r="QGD43" i="118"/>
  <c r="QGF43" i="118"/>
  <c r="QGH43" i="118"/>
  <c r="QGJ43" i="118"/>
  <c r="QGL43" i="118"/>
  <c r="QGN43" i="118"/>
  <c r="QGP43" i="118"/>
  <c r="QGR43" i="118"/>
  <c r="QGT43" i="118"/>
  <c r="QGV43" i="118"/>
  <c r="QGX43" i="118"/>
  <c r="QGZ43" i="118"/>
  <c r="QHB43" i="118"/>
  <c r="QHD43" i="118"/>
  <c r="QHF43" i="118"/>
  <c r="QHH43" i="118"/>
  <c r="QHJ43" i="118"/>
  <c r="QHL43" i="118"/>
  <c r="QHN43" i="118"/>
  <c r="QHP43" i="118"/>
  <c r="QHR43" i="118"/>
  <c r="QHT43" i="118"/>
  <c r="QHV43" i="118"/>
  <c r="QHX43" i="118"/>
  <c r="QHZ43" i="118"/>
  <c r="QIB43" i="118"/>
  <c r="QID43" i="118"/>
  <c r="QIF43" i="118"/>
  <c r="QIH43" i="118"/>
  <c r="QIJ43" i="118"/>
  <c r="QIL43" i="118"/>
  <c r="QIN43" i="118"/>
  <c r="QIP43" i="118"/>
  <c r="QIR43" i="118"/>
  <c r="QIT43" i="118"/>
  <c r="QIV43" i="118"/>
  <c r="QIX43" i="118"/>
  <c r="QIZ43" i="118"/>
  <c r="QJB43" i="118"/>
  <c r="QJD43" i="118"/>
  <c r="QJF43" i="118"/>
  <c r="QJH43" i="118"/>
  <c r="QJJ43" i="118"/>
  <c r="QJL43" i="118"/>
  <c r="QJN43" i="118"/>
  <c r="QJP43" i="118"/>
  <c r="QJR43" i="118"/>
  <c r="QJT43" i="118"/>
  <c r="QJV43" i="118"/>
  <c r="QJX43" i="118"/>
  <c r="QJZ43" i="118"/>
  <c r="QKB43" i="118"/>
  <c r="QKD43" i="118"/>
  <c r="QKF43" i="118"/>
  <c r="QKH43" i="118"/>
  <c r="QKJ43" i="118"/>
  <c r="QKL43" i="118"/>
  <c r="QKN43" i="118"/>
  <c r="QKP43" i="118"/>
  <c r="QKR43" i="118"/>
  <c r="QKT43" i="118"/>
  <c r="QKV43" i="118"/>
  <c r="QKX43" i="118"/>
  <c r="QKZ43" i="118"/>
  <c r="QLB43" i="118"/>
  <c r="QLD43" i="118"/>
  <c r="QLF43" i="118"/>
  <c r="QLH43" i="118"/>
  <c r="QLJ43" i="118"/>
  <c r="QLL43" i="118"/>
  <c r="QLN43" i="118"/>
  <c r="QLP43" i="118"/>
  <c r="QLR43" i="118"/>
  <c r="QLT43" i="118"/>
  <c r="QLV43" i="118"/>
  <c r="QLX43" i="118"/>
  <c r="QLZ43" i="118"/>
  <c r="QMB43" i="118"/>
  <c r="QMD43" i="118"/>
  <c r="QMF43" i="118"/>
  <c r="QMH43" i="118"/>
  <c r="QMJ43" i="118"/>
  <c r="QML43" i="118"/>
  <c r="QMN43" i="118"/>
  <c r="QMP43" i="118"/>
  <c r="QMR43" i="118"/>
  <c r="QMT43" i="118"/>
  <c r="QMV43" i="118"/>
  <c r="QMX43" i="118"/>
  <c r="QMZ43" i="118"/>
  <c r="QNB43" i="118"/>
  <c r="QND43" i="118"/>
  <c r="QNF43" i="118"/>
  <c r="QNH43" i="118"/>
  <c r="QNJ43" i="118"/>
  <c r="QNL43" i="118"/>
  <c r="QNN43" i="118"/>
  <c r="QNP43" i="118"/>
  <c r="QNR43" i="118"/>
  <c r="QNT43" i="118"/>
  <c r="QNV43" i="118"/>
  <c r="QNX43" i="118"/>
  <c r="QNZ43" i="118"/>
  <c r="QOB43" i="118"/>
  <c r="QOD43" i="118"/>
  <c r="QOF43" i="118"/>
  <c r="QOH43" i="118"/>
  <c r="QOJ43" i="118"/>
  <c r="QOL43" i="118"/>
  <c r="QON43" i="118"/>
  <c r="QOP43" i="118"/>
  <c r="QOR43" i="118"/>
  <c r="QOT43" i="118"/>
  <c r="QOV43" i="118"/>
  <c r="QOX43" i="118"/>
  <c r="QOZ43" i="118"/>
  <c r="QPB43" i="118"/>
  <c r="QPD43" i="118"/>
  <c r="QPF43" i="118"/>
  <c r="QPH43" i="118"/>
  <c r="QPJ43" i="118"/>
  <c r="QPL43" i="118"/>
  <c r="QPN43" i="118"/>
  <c r="QPP43" i="118"/>
  <c r="QPR43" i="118"/>
  <c r="QPT43" i="118"/>
  <c r="QPV43" i="118"/>
  <c r="QPX43" i="118"/>
  <c r="QPZ43" i="118"/>
  <c r="QQB43" i="118"/>
  <c r="QQD43" i="118"/>
  <c r="QQF43" i="118"/>
  <c r="QQH43" i="118"/>
  <c r="QQJ43" i="118"/>
  <c r="QQL43" i="118"/>
  <c r="QQN43" i="118"/>
  <c r="QQP43" i="118"/>
  <c r="QQR43" i="118"/>
  <c r="QQT43" i="118"/>
  <c r="QQV43" i="118"/>
  <c r="QQX43" i="118"/>
  <c r="QQZ43" i="118"/>
  <c r="QRB43" i="118"/>
  <c r="QRD43" i="118"/>
  <c r="QRF43" i="118"/>
  <c r="QRH43" i="118"/>
  <c r="QRJ43" i="118"/>
  <c r="QRL43" i="118"/>
  <c r="QRN43" i="118"/>
  <c r="QRP43" i="118"/>
  <c r="QRR43" i="118"/>
  <c r="QRT43" i="118"/>
  <c r="QRV43" i="118"/>
  <c r="QRX43" i="118"/>
  <c r="QRZ43" i="118"/>
  <c r="QSB43" i="118"/>
  <c r="QSD43" i="118"/>
  <c r="QSF43" i="118"/>
  <c r="QSH43" i="118"/>
  <c r="QSJ43" i="118"/>
  <c r="QSL43" i="118"/>
  <c r="QSN43" i="118"/>
  <c r="QSP43" i="118"/>
  <c r="QSR43" i="118"/>
  <c r="QST43" i="118"/>
  <c r="QSV43" i="118"/>
  <c r="QSX43" i="118"/>
  <c r="QSZ43" i="118"/>
  <c r="QTB43" i="118"/>
  <c r="QTD43" i="118"/>
  <c r="QTF43" i="118"/>
  <c r="QTH43" i="118"/>
  <c r="QTJ43" i="118"/>
  <c r="QTL43" i="118"/>
  <c r="QTN43" i="118"/>
  <c r="QTP43" i="118"/>
  <c r="QTR43" i="118"/>
  <c r="QTT43" i="118"/>
  <c r="QTV43" i="118"/>
  <c r="QTX43" i="118"/>
  <c r="QTZ43" i="118"/>
  <c r="QUB43" i="118"/>
  <c r="QUD43" i="118"/>
  <c r="QUF43" i="118"/>
  <c r="QUH43" i="118"/>
  <c r="QUJ43" i="118"/>
  <c r="QUL43" i="118"/>
  <c r="QUN43" i="118"/>
  <c r="QUP43" i="118"/>
  <c r="QUR43" i="118"/>
  <c r="QUT43" i="118"/>
  <c r="QUV43" i="118"/>
  <c r="QUX43" i="118"/>
  <c r="QUZ43" i="118"/>
  <c r="QVB43" i="118"/>
  <c r="QVD43" i="118"/>
  <c r="QVF43" i="118"/>
  <c r="QVH43" i="118"/>
  <c r="QVJ43" i="118"/>
  <c r="QVL43" i="118"/>
  <c r="QVN43" i="118"/>
  <c r="QVP43" i="118"/>
  <c r="QVR43" i="118"/>
  <c r="QVT43" i="118"/>
  <c r="QVV43" i="118"/>
  <c r="QVX43" i="118"/>
  <c r="QVZ43" i="118"/>
  <c r="QWB43" i="118"/>
  <c r="QWD43" i="118"/>
  <c r="QWF43" i="118"/>
  <c r="QWH43" i="118"/>
  <c r="QWJ43" i="118"/>
  <c r="QWL43" i="118"/>
  <c r="QWN43" i="118"/>
  <c r="QWP43" i="118"/>
  <c r="QWR43" i="118"/>
  <c r="QWT43" i="118"/>
  <c r="QWV43" i="118"/>
  <c r="QWX43" i="118"/>
  <c r="QWZ43" i="118"/>
  <c r="QXB43" i="118"/>
  <c r="QXD43" i="118"/>
  <c r="QXF43" i="118"/>
  <c r="QXH43" i="118"/>
  <c r="QXJ43" i="118"/>
  <c r="QXL43" i="118"/>
  <c r="QXN43" i="118"/>
  <c r="QXP43" i="118"/>
  <c r="QXR43" i="118"/>
  <c r="QXT43" i="118"/>
  <c r="QXV43" i="118"/>
  <c r="QXX43" i="118"/>
  <c r="QXZ43" i="118"/>
  <c r="QYB43" i="118"/>
  <c r="QYD43" i="118"/>
  <c r="QYF43" i="118"/>
  <c r="QYH43" i="118"/>
  <c r="QYJ43" i="118"/>
  <c r="QYL43" i="118"/>
  <c r="QYN43" i="118"/>
  <c r="QYP43" i="118"/>
  <c r="QYR43" i="118"/>
  <c r="QYT43" i="118"/>
  <c r="QYV43" i="118"/>
  <c r="QYX43" i="118"/>
  <c r="QYZ43" i="118"/>
  <c r="QZB43" i="118"/>
  <c r="QZD43" i="118"/>
  <c r="QZF43" i="118"/>
  <c r="QZH43" i="118"/>
  <c r="QZJ43" i="118"/>
  <c r="QZL43" i="118"/>
  <c r="QZN43" i="118"/>
  <c r="QZP43" i="118"/>
  <c r="QZR43" i="118"/>
  <c r="QZT43" i="118"/>
  <c r="QZV43" i="118"/>
  <c r="QZX43" i="118"/>
  <c r="QZZ43" i="118"/>
  <c r="RAB43" i="118"/>
  <c r="RAD43" i="118"/>
  <c r="RAF43" i="118"/>
  <c r="RAH43" i="118"/>
  <c r="RAJ43" i="118"/>
  <c r="RAL43" i="118"/>
  <c r="RAN43" i="118"/>
  <c r="RAP43" i="118"/>
  <c r="RAR43" i="118"/>
  <c r="RAT43" i="118"/>
  <c r="RAV43" i="118"/>
  <c r="RAX43" i="118"/>
  <c r="RAZ43" i="118"/>
  <c r="RBB43" i="118"/>
  <c r="RBD43" i="118"/>
  <c r="RBF43" i="118"/>
  <c r="RBH43" i="118"/>
  <c r="RBJ43" i="118"/>
  <c r="RBL43" i="118"/>
  <c r="RBN43" i="118"/>
  <c r="RBP43" i="118"/>
  <c r="RBR43" i="118"/>
  <c r="RBT43" i="118"/>
  <c r="RBV43" i="118"/>
  <c r="RBX43" i="118"/>
  <c r="RBZ43" i="118"/>
  <c r="RCB43" i="118"/>
  <c r="RCD43" i="118"/>
  <c r="RCF43" i="118"/>
  <c r="RCH43" i="118"/>
  <c r="RCJ43" i="118"/>
  <c r="RCL43" i="118"/>
  <c r="RCN43" i="118"/>
  <c r="RCP43" i="118"/>
  <c r="RCR43" i="118"/>
  <c r="RCT43" i="118"/>
  <c r="RCV43" i="118"/>
  <c r="RCX43" i="118"/>
  <c r="RCZ43" i="118"/>
  <c r="RDB43" i="118"/>
  <c r="RDD43" i="118"/>
  <c r="RDF43" i="118"/>
  <c r="RDH43" i="118"/>
  <c r="RDJ43" i="118"/>
  <c r="RDL43" i="118"/>
  <c r="RDN43" i="118"/>
  <c r="RDP43" i="118"/>
  <c r="RDR43" i="118"/>
  <c r="RDT43" i="118"/>
  <c r="RDV43" i="118"/>
  <c r="RDX43" i="118"/>
  <c r="RDZ43" i="118"/>
  <c r="REB43" i="118"/>
  <c r="RED43" i="118"/>
  <c r="REF43" i="118"/>
  <c r="REH43" i="118"/>
  <c r="REJ43" i="118"/>
  <c r="REL43" i="118"/>
  <c r="REN43" i="118"/>
  <c r="REP43" i="118"/>
  <c r="RER43" i="118"/>
  <c r="RET43" i="118"/>
  <c r="REV43" i="118"/>
  <c r="REX43" i="118"/>
  <c r="REZ43" i="118"/>
  <c r="RFB43" i="118"/>
  <c r="RFD43" i="118"/>
  <c r="RFF43" i="118"/>
  <c r="RFH43" i="118"/>
  <c r="RFJ43" i="118"/>
  <c r="RFL43" i="118"/>
  <c r="RFN43" i="118"/>
  <c r="RFP43" i="118"/>
  <c r="RFR43" i="118"/>
  <c r="RFT43" i="118"/>
  <c r="RFV43" i="118"/>
  <c r="RFX43" i="118"/>
  <c r="RFZ43" i="118"/>
  <c r="RGB43" i="118"/>
  <c r="RGD43" i="118"/>
  <c r="RGF43" i="118"/>
  <c r="RGH43" i="118"/>
  <c r="RGJ43" i="118"/>
  <c r="RGL43" i="118"/>
  <c r="RGN43" i="118"/>
  <c r="RGP43" i="118"/>
  <c r="RGR43" i="118"/>
  <c r="RGT43" i="118"/>
  <c r="RGV43" i="118"/>
  <c r="RGX43" i="118"/>
  <c r="RGZ43" i="118"/>
  <c r="RHB43" i="118"/>
  <c r="RHD43" i="118"/>
  <c r="RHF43" i="118"/>
  <c r="RHH43" i="118"/>
  <c r="RHJ43" i="118"/>
  <c r="RHL43" i="118"/>
  <c r="RHN43" i="118"/>
  <c r="RHP43" i="118"/>
  <c r="RHR43" i="118"/>
  <c r="RHT43" i="118"/>
  <c r="RHV43" i="118"/>
  <c r="RHX43" i="118"/>
  <c r="RHZ43" i="118"/>
  <c r="RIB43" i="118"/>
  <c r="RID43" i="118"/>
  <c r="RIF43" i="118"/>
  <c r="RIH43" i="118"/>
  <c r="RIJ43" i="118"/>
  <c r="RIL43" i="118"/>
  <c r="RIN43" i="118"/>
  <c r="RIP43" i="118"/>
  <c r="RIR43" i="118"/>
  <c r="RIT43" i="118"/>
  <c r="RIV43" i="118"/>
  <c r="RIX43" i="118"/>
  <c r="RIZ43" i="118"/>
  <c r="RJB43" i="118"/>
  <c r="RJD43" i="118"/>
  <c r="RJF43" i="118"/>
  <c r="RJH43" i="118"/>
  <c r="RJJ43" i="118"/>
  <c r="RJL43" i="118"/>
  <c r="RJN43" i="118"/>
  <c r="RJP43" i="118"/>
  <c r="RJR43" i="118"/>
  <c r="RJT43" i="118"/>
  <c r="RJV43" i="118"/>
  <c r="RJX43" i="118"/>
  <c r="RJZ43" i="118"/>
  <c r="RKB43" i="118"/>
  <c r="RKD43" i="118"/>
  <c r="RKF43" i="118"/>
  <c r="RKH43" i="118"/>
  <c r="RKJ43" i="118"/>
  <c r="RKL43" i="118"/>
  <c r="RKN43" i="118"/>
  <c r="RKP43" i="118"/>
  <c r="RKR43" i="118"/>
  <c r="RKT43" i="118"/>
  <c r="RKV43" i="118"/>
  <c r="RKX43" i="118"/>
  <c r="RKZ43" i="118"/>
  <c r="RLB43" i="118"/>
  <c r="RLD43" i="118"/>
  <c r="RLF43" i="118"/>
  <c r="RLH43" i="118"/>
  <c r="RLJ43" i="118"/>
  <c r="RLL43" i="118"/>
  <c r="RLN43" i="118"/>
  <c r="RLP43" i="118"/>
  <c r="RLR43" i="118"/>
  <c r="RLT43" i="118"/>
  <c r="RLV43" i="118"/>
  <c r="RLX43" i="118"/>
  <c r="RLZ43" i="118"/>
  <c r="RMB43" i="118"/>
  <c r="RMD43" i="118"/>
  <c r="RMF43" i="118"/>
  <c r="RMH43" i="118"/>
  <c r="RMJ43" i="118"/>
  <c r="RML43" i="118"/>
  <c r="RMN43" i="118"/>
  <c r="RMP43" i="118"/>
  <c r="RMR43" i="118"/>
  <c r="RMT43" i="118"/>
  <c r="RMV43" i="118"/>
  <c r="RMX43" i="118"/>
  <c r="RMZ43" i="118"/>
  <c r="RNB43" i="118"/>
  <c r="RND43" i="118"/>
  <c r="RNF43" i="118"/>
  <c r="RNH43" i="118"/>
  <c r="RNJ43" i="118"/>
  <c r="RNL43" i="118"/>
  <c r="RNN43" i="118"/>
  <c r="RNP43" i="118"/>
  <c r="RNR43" i="118"/>
  <c r="RNT43" i="118"/>
  <c r="RNV43" i="118"/>
  <c r="RNX43" i="118"/>
  <c r="RNZ43" i="118"/>
  <c r="ROB43" i="118"/>
  <c r="ROD43" i="118"/>
  <c r="ROF43" i="118"/>
  <c r="ROH43" i="118"/>
  <c r="ROJ43" i="118"/>
  <c r="ROL43" i="118"/>
  <c r="RON43" i="118"/>
  <c r="ROP43" i="118"/>
  <c r="ROR43" i="118"/>
  <c r="ROT43" i="118"/>
  <c r="ROV43" i="118"/>
  <c r="ROX43" i="118"/>
  <c r="ROZ43" i="118"/>
  <c r="RPB43" i="118"/>
  <c r="RPD43" i="118"/>
  <c r="RPF43" i="118"/>
  <c r="RPH43" i="118"/>
  <c r="RPJ43" i="118"/>
  <c r="RPL43" i="118"/>
  <c r="RPN43" i="118"/>
  <c r="RPP43" i="118"/>
  <c r="RPR43" i="118"/>
  <c r="RPT43" i="118"/>
  <c r="RPV43" i="118"/>
  <c r="RPX43" i="118"/>
  <c r="RPZ43" i="118"/>
  <c r="RQB43" i="118"/>
  <c r="RQD43" i="118"/>
  <c r="RQF43" i="118"/>
  <c r="RQH43" i="118"/>
  <c r="RQJ43" i="118"/>
  <c r="RQL43" i="118"/>
  <c r="RQN43" i="118"/>
  <c r="RQP43" i="118"/>
  <c r="RQR43" i="118"/>
  <c r="RQT43" i="118"/>
  <c r="RQV43" i="118"/>
  <c r="RQX43" i="118"/>
  <c r="RQZ43" i="118"/>
  <c r="RRB43" i="118"/>
  <c r="RRD43" i="118"/>
  <c r="RRF43" i="118"/>
  <c r="RRH43" i="118"/>
  <c r="RRJ43" i="118"/>
  <c r="RRL43" i="118"/>
  <c r="RRN43" i="118"/>
  <c r="RRP43" i="118"/>
  <c r="RRR43" i="118"/>
  <c r="RRT43" i="118"/>
  <c r="RRV43" i="118"/>
  <c r="RRX43" i="118"/>
  <c r="RRZ43" i="118"/>
  <c r="RSB43" i="118"/>
  <c r="RSD43" i="118"/>
  <c r="RSF43" i="118"/>
  <c r="RSH43" i="118"/>
  <c r="RSJ43" i="118"/>
  <c r="RSL43" i="118"/>
  <c r="RSN43" i="118"/>
  <c r="RSP43" i="118"/>
  <c r="RSR43" i="118"/>
  <c r="RST43" i="118"/>
  <c r="RSV43" i="118"/>
  <c r="RSX43" i="118"/>
  <c r="RSZ43" i="118"/>
  <c r="RTB43" i="118"/>
  <c r="RTD43" i="118"/>
  <c r="RTF43" i="118"/>
  <c r="RTH43" i="118"/>
  <c r="RTJ43" i="118"/>
  <c r="RTL43" i="118"/>
  <c r="RTN43" i="118"/>
  <c r="RTP43" i="118"/>
  <c r="RTR43" i="118"/>
  <c r="RTT43" i="118"/>
  <c r="RTV43" i="118"/>
  <c r="RTX43" i="118"/>
  <c r="RTZ43" i="118"/>
  <c r="RUB43" i="118"/>
  <c r="RUD43" i="118"/>
  <c r="RUF43" i="118"/>
  <c r="RUH43" i="118"/>
  <c r="RUJ43" i="118"/>
  <c r="RUL43" i="118"/>
  <c r="RUN43" i="118"/>
  <c r="RUP43" i="118"/>
  <c r="RUR43" i="118"/>
  <c r="RUT43" i="118"/>
  <c r="RUV43" i="118"/>
  <c r="RUX43" i="118"/>
  <c r="RUZ43" i="118"/>
  <c r="RVB43" i="118"/>
  <c r="RVD43" i="118"/>
  <c r="RVF43" i="118"/>
  <c r="RVH43" i="118"/>
  <c r="RVJ43" i="118"/>
  <c r="RVL43" i="118"/>
  <c r="RVN43" i="118"/>
  <c r="RVP43" i="118"/>
  <c r="RVR43" i="118"/>
  <c r="RVT43" i="118"/>
  <c r="RVV43" i="118"/>
  <c r="RVX43" i="118"/>
  <c r="RVZ43" i="118"/>
  <c r="RWB43" i="118"/>
  <c r="RWD43" i="118"/>
  <c r="RWF43" i="118"/>
  <c r="RWH43" i="118"/>
  <c r="RWJ43" i="118"/>
  <c r="RWL43" i="118"/>
  <c r="RWN43" i="118"/>
  <c r="RWP43" i="118"/>
  <c r="RWR43" i="118"/>
  <c r="RWT43" i="118"/>
  <c r="RWV43" i="118"/>
  <c r="RWX43" i="118"/>
  <c r="RWZ43" i="118"/>
  <c r="RXB43" i="118"/>
  <c r="RXD43" i="118"/>
  <c r="RXF43" i="118"/>
  <c r="RXH43" i="118"/>
  <c r="RXJ43" i="118"/>
  <c r="RXL43" i="118"/>
  <c r="RXN43" i="118"/>
  <c r="RXP43" i="118"/>
  <c r="RXR43" i="118"/>
  <c r="RXT43" i="118"/>
  <c r="RXV43" i="118"/>
  <c r="RXX43" i="118"/>
  <c r="RXZ43" i="118"/>
  <c r="RYB43" i="118"/>
  <c r="RYD43" i="118"/>
  <c r="RYF43" i="118"/>
  <c r="RYH43" i="118"/>
  <c r="RYJ43" i="118"/>
  <c r="RYL43" i="118"/>
  <c r="RYN43" i="118"/>
  <c r="RYP43" i="118"/>
  <c r="RYR43" i="118"/>
  <c r="RYT43" i="118"/>
  <c r="RYV43" i="118"/>
  <c r="RYX43" i="118"/>
  <c r="RYZ43" i="118"/>
  <c r="RZB43" i="118"/>
  <c r="RZD43" i="118"/>
  <c r="RZF43" i="118"/>
  <c r="RZH43" i="118"/>
  <c r="RZJ43" i="118"/>
  <c r="RZL43" i="118"/>
  <c r="RZN43" i="118"/>
  <c r="RZP43" i="118"/>
  <c r="RZR43" i="118"/>
  <c r="RZT43" i="118"/>
  <c r="RZV43" i="118"/>
  <c r="RZX43" i="118"/>
  <c r="RZZ43" i="118"/>
  <c r="SAB43" i="118"/>
  <c r="SAD43" i="118"/>
  <c r="SAF43" i="118"/>
  <c r="SAH43" i="118"/>
  <c r="SAJ43" i="118"/>
  <c r="SAL43" i="118"/>
  <c r="SAN43" i="118"/>
  <c r="SAP43" i="118"/>
  <c r="SAR43" i="118"/>
  <c r="SAT43" i="118"/>
  <c r="SAV43" i="118"/>
  <c r="SAX43" i="118"/>
  <c r="SAZ43" i="118"/>
  <c r="SBB43" i="118"/>
  <c r="SBD43" i="118"/>
  <c r="SBF43" i="118"/>
  <c r="SBH43" i="118"/>
  <c r="SBJ43" i="118"/>
  <c r="SBL43" i="118"/>
  <c r="SBN43" i="118"/>
  <c r="SBP43" i="118"/>
  <c r="SBR43" i="118"/>
  <c r="SBT43" i="118"/>
  <c r="SBV43" i="118"/>
  <c r="SBX43" i="118"/>
  <c r="SBZ43" i="118"/>
  <c r="SCB43" i="118"/>
  <c r="SCD43" i="118"/>
  <c r="SCF43" i="118"/>
  <c r="SCH43" i="118"/>
  <c r="SCJ43" i="118"/>
  <c r="SCL43" i="118"/>
  <c r="SCN43" i="118"/>
  <c r="SCP43" i="118"/>
  <c r="SCR43" i="118"/>
  <c r="SCT43" i="118"/>
  <c r="SCV43" i="118"/>
  <c r="SCX43" i="118"/>
  <c r="SCZ43" i="118"/>
  <c r="SDB43" i="118"/>
  <c r="SDD43" i="118"/>
  <c r="SDF43" i="118"/>
  <c r="SDH43" i="118"/>
  <c r="SDJ43" i="118"/>
  <c r="SDL43" i="118"/>
  <c r="SDN43" i="118"/>
  <c r="SDP43" i="118"/>
  <c r="SDR43" i="118"/>
  <c r="SDT43" i="118"/>
  <c r="SDV43" i="118"/>
  <c r="SDX43" i="118"/>
  <c r="SDZ43" i="118"/>
  <c r="SEB43" i="118"/>
  <c r="SED43" i="118"/>
  <c r="SEF43" i="118"/>
  <c r="SEH43" i="118"/>
  <c r="SEJ43" i="118"/>
  <c r="SEL43" i="118"/>
  <c r="SEN43" i="118"/>
  <c r="SEP43" i="118"/>
  <c r="SER43" i="118"/>
  <c r="SET43" i="118"/>
  <c r="SEV43" i="118"/>
  <c r="SEX43" i="118"/>
  <c r="SEZ43" i="118"/>
  <c r="SFB43" i="118"/>
  <c r="SFD43" i="118"/>
  <c r="SFF43" i="118"/>
  <c r="SFH43" i="118"/>
  <c r="SFJ43" i="118"/>
  <c r="SFL43" i="118"/>
  <c r="SFN43" i="118"/>
  <c r="SFP43" i="118"/>
  <c r="SFR43" i="118"/>
  <c r="SFT43" i="118"/>
  <c r="SFV43" i="118"/>
  <c r="SFX43" i="118"/>
  <c r="SFZ43" i="118"/>
  <c r="SGB43" i="118"/>
  <c r="SGD43" i="118"/>
  <c r="SGF43" i="118"/>
  <c r="SGH43" i="118"/>
  <c r="SGJ43" i="118"/>
  <c r="SGL43" i="118"/>
  <c r="SGN43" i="118"/>
  <c r="SGP43" i="118"/>
  <c r="SGR43" i="118"/>
  <c r="SGT43" i="118"/>
  <c r="SGV43" i="118"/>
  <c r="SGX43" i="118"/>
  <c r="SGZ43" i="118"/>
  <c r="SHB43" i="118"/>
  <c r="SHD43" i="118"/>
  <c r="SHF43" i="118"/>
  <c r="SHH43" i="118"/>
  <c r="SHJ43" i="118"/>
  <c r="SHL43" i="118"/>
  <c r="SHN43" i="118"/>
  <c r="SHP43" i="118"/>
  <c r="SHR43" i="118"/>
  <c r="SHT43" i="118"/>
  <c r="SHV43" i="118"/>
  <c r="SHX43" i="118"/>
  <c r="SHZ43" i="118"/>
  <c r="SIB43" i="118"/>
  <c r="SID43" i="118"/>
  <c r="SIF43" i="118"/>
  <c r="SIH43" i="118"/>
  <c r="SIJ43" i="118"/>
  <c r="SIL43" i="118"/>
  <c r="SIN43" i="118"/>
  <c r="SIP43" i="118"/>
  <c r="SIR43" i="118"/>
  <c r="SIT43" i="118"/>
  <c r="SIV43" i="118"/>
  <c r="SIX43" i="118"/>
  <c r="SIZ43" i="118"/>
  <c r="SJB43" i="118"/>
  <c r="SJD43" i="118"/>
  <c r="SJF43" i="118"/>
  <c r="SJH43" i="118"/>
  <c r="SJJ43" i="118"/>
  <c r="SJL43" i="118"/>
  <c r="SJN43" i="118"/>
  <c r="SJP43" i="118"/>
  <c r="SJR43" i="118"/>
  <c r="SJT43" i="118"/>
  <c r="SJV43" i="118"/>
  <c r="SJX43" i="118"/>
  <c r="SJZ43" i="118"/>
  <c r="SKB43" i="118"/>
  <c r="SKD43" i="118"/>
  <c r="SKF43" i="118"/>
  <c r="SKH43" i="118"/>
  <c r="SKJ43" i="118"/>
  <c r="SKL43" i="118"/>
  <c r="SKN43" i="118"/>
  <c r="SKP43" i="118"/>
  <c r="SKR43" i="118"/>
  <c r="SKT43" i="118"/>
  <c r="SKV43" i="118"/>
  <c r="SKX43" i="118"/>
  <c r="SKZ43" i="118"/>
  <c r="SLB43" i="118"/>
  <c r="SLD43" i="118"/>
  <c r="SLF43" i="118"/>
  <c r="SLH43" i="118"/>
  <c r="SLJ43" i="118"/>
  <c r="SLL43" i="118"/>
  <c r="SLN43" i="118"/>
  <c r="SLP43" i="118"/>
  <c r="SLR43" i="118"/>
  <c r="SLT43" i="118"/>
  <c r="SLV43" i="118"/>
  <c r="SLX43" i="118"/>
  <c r="SLZ43" i="118"/>
  <c r="SMB43" i="118"/>
  <c r="SMD43" i="118"/>
  <c r="SMF43" i="118"/>
  <c r="SMH43" i="118"/>
  <c r="SMJ43" i="118"/>
  <c r="SML43" i="118"/>
  <c r="SMN43" i="118"/>
  <c r="SMP43" i="118"/>
  <c r="SMR43" i="118"/>
  <c r="SMT43" i="118"/>
  <c r="SMV43" i="118"/>
  <c r="SMX43" i="118"/>
  <c r="SMZ43" i="118"/>
  <c r="SNB43" i="118"/>
  <c r="SND43" i="118"/>
  <c r="SNF43" i="118"/>
  <c r="SNH43" i="118"/>
  <c r="SNJ43" i="118"/>
  <c r="SNL43" i="118"/>
  <c r="SNN43" i="118"/>
  <c r="SNP43" i="118"/>
  <c r="SNR43" i="118"/>
  <c r="SNT43" i="118"/>
  <c r="SNV43" i="118"/>
  <c r="SNX43" i="118"/>
  <c r="SNZ43" i="118"/>
  <c r="SOB43" i="118"/>
  <c r="SOD43" i="118"/>
  <c r="SOF43" i="118"/>
  <c r="SOH43" i="118"/>
  <c r="SOJ43" i="118"/>
  <c r="SOL43" i="118"/>
  <c r="SON43" i="118"/>
  <c r="SOP43" i="118"/>
  <c r="SOR43" i="118"/>
  <c r="SOT43" i="118"/>
  <c r="SOV43" i="118"/>
  <c r="SOX43" i="118"/>
  <c r="SOZ43" i="118"/>
  <c r="SPB43" i="118"/>
  <c r="SPD43" i="118"/>
  <c r="SPF43" i="118"/>
  <c r="SPH43" i="118"/>
  <c r="SPJ43" i="118"/>
  <c r="SPL43" i="118"/>
  <c r="SPN43" i="118"/>
  <c r="SPP43" i="118"/>
  <c r="SPR43" i="118"/>
  <c r="SPT43" i="118"/>
  <c r="SPV43" i="118"/>
  <c r="SPX43" i="118"/>
  <c r="SPZ43" i="118"/>
  <c r="SQB43" i="118"/>
  <c r="SQD43" i="118"/>
  <c r="SQF43" i="118"/>
  <c r="SQH43" i="118"/>
  <c r="SQJ43" i="118"/>
  <c r="SQL43" i="118"/>
  <c r="SQN43" i="118"/>
  <c r="SQP43" i="118"/>
  <c r="SQR43" i="118"/>
  <c r="SQT43" i="118"/>
  <c r="SQV43" i="118"/>
  <c r="SQX43" i="118"/>
  <c r="SQZ43" i="118"/>
  <c r="SRB43" i="118"/>
  <c r="SRD43" i="118"/>
  <c r="SRF43" i="118"/>
  <c r="SRH43" i="118"/>
  <c r="SRJ43" i="118"/>
  <c r="SRL43" i="118"/>
  <c r="SRN43" i="118"/>
  <c r="SRP43" i="118"/>
  <c r="SRR43" i="118"/>
  <c r="SRT43" i="118"/>
  <c r="SRV43" i="118"/>
  <c r="SRX43" i="118"/>
  <c r="SRZ43" i="118"/>
  <c r="SSB43" i="118"/>
  <c r="SSD43" i="118"/>
  <c r="SSF43" i="118"/>
  <c r="SSH43" i="118"/>
  <c r="SSJ43" i="118"/>
  <c r="SSL43" i="118"/>
  <c r="SSN43" i="118"/>
  <c r="SSP43" i="118"/>
  <c r="SSR43" i="118"/>
  <c r="SST43" i="118"/>
  <c r="SSV43" i="118"/>
  <c r="SSX43" i="118"/>
  <c r="SSZ43" i="118"/>
  <c r="STB43" i="118"/>
  <c r="STD43" i="118"/>
  <c r="STF43" i="118"/>
  <c r="STH43" i="118"/>
  <c r="STJ43" i="118"/>
  <c r="STL43" i="118"/>
  <c r="STN43" i="118"/>
  <c r="STP43" i="118"/>
  <c r="STR43" i="118"/>
  <c r="STT43" i="118"/>
  <c r="STV43" i="118"/>
  <c r="STX43" i="118"/>
  <c r="STZ43" i="118"/>
  <c r="SUB43" i="118"/>
  <c r="SUD43" i="118"/>
  <c r="SUF43" i="118"/>
  <c r="SUH43" i="118"/>
  <c r="SUJ43" i="118"/>
  <c r="SUL43" i="118"/>
  <c r="SUN43" i="118"/>
  <c r="SUP43" i="118"/>
  <c r="SUR43" i="118"/>
  <c r="SUT43" i="118"/>
  <c r="SUV43" i="118"/>
  <c r="SUX43" i="118"/>
  <c r="SUZ43" i="118"/>
  <c r="SVB43" i="118"/>
  <c r="SVD43" i="118"/>
  <c r="SVF43" i="118"/>
  <c r="SVH43" i="118"/>
  <c r="SVJ43" i="118"/>
  <c r="SVL43" i="118"/>
  <c r="SVN43" i="118"/>
  <c r="SVP43" i="118"/>
  <c r="SVR43" i="118"/>
  <c r="SVT43" i="118"/>
  <c r="SVV43" i="118"/>
  <c r="SVX43" i="118"/>
  <c r="SVZ43" i="118"/>
  <c r="SWB43" i="118"/>
  <c r="SWD43" i="118"/>
  <c r="SWF43" i="118"/>
  <c r="SWH43" i="118"/>
  <c r="SWJ43" i="118"/>
  <c r="SWL43" i="118"/>
  <c r="SWN43" i="118"/>
  <c r="SWP43" i="118"/>
  <c r="SWR43" i="118"/>
  <c r="SWT43" i="118"/>
  <c r="SWV43" i="118"/>
  <c r="SWX43" i="118"/>
  <c r="SWZ43" i="118"/>
  <c r="SXB43" i="118"/>
  <c r="SXD43" i="118"/>
  <c r="SXF43" i="118"/>
  <c r="SXH43" i="118"/>
  <c r="SXJ43" i="118"/>
  <c r="SXL43" i="118"/>
  <c r="SXN43" i="118"/>
  <c r="SXP43" i="118"/>
  <c r="SXR43" i="118"/>
  <c r="SXT43" i="118"/>
  <c r="SXV43" i="118"/>
  <c r="SXX43" i="118"/>
  <c r="SXZ43" i="118"/>
  <c r="SYB43" i="118"/>
  <c r="SYD43" i="118"/>
  <c r="SYF43" i="118"/>
  <c r="SYH43" i="118"/>
  <c r="SYJ43" i="118"/>
  <c r="SYL43" i="118"/>
  <c r="SYN43" i="118"/>
  <c r="SYP43" i="118"/>
  <c r="SYR43" i="118"/>
  <c r="SYT43" i="118"/>
  <c r="SYV43" i="118"/>
  <c r="SYX43" i="118"/>
  <c r="SYZ43" i="118"/>
  <c r="SZB43" i="118"/>
  <c r="SZD43" i="118"/>
  <c r="SZF43" i="118"/>
  <c r="SZH43" i="118"/>
  <c r="SZJ43" i="118"/>
  <c r="SZL43" i="118"/>
  <c r="SZN43" i="118"/>
  <c r="SZP43" i="118"/>
  <c r="SZR43" i="118"/>
  <c r="SZT43" i="118"/>
  <c r="SZV43" i="118"/>
  <c r="SZX43" i="118"/>
  <c r="SZZ43" i="118"/>
  <c r="TAB43" i="118"/>
  <c r="TAD43" i="118"/>
  <c r="TAF43" i="118"/>
  <c r="TAH43" i="118"/>
  <c r="TAJ43" i="118"/>
  <c r="TAL43" i="118"/>
  <c r="TAN43" i="118"/>
  <c r="TAP43" i="118"/>
  <c r="TAR43" i="118"/>
  <c r="TAT43" i="118"/>
  <c r="TAV43" i="118"/>
  <c r="TAX43" i="118"/>
  <c r="TAZ43" i="118"/>
  <c r="TBB43" i="118"/>
  <c r="TBD43" i="118"/>
  <c r="TBF43" i="118"/>
  <c r="TBH43" i="118"/>
  <c r="TBJ43" i="118"/>
  <c r="TBL43" i="118"/>
  <c r="TBN43" i="118"/>
  <c r="TBP43" i="118"/>
  <c r="TBR43" i="118"/>
  <c r="TBT43" i="118"/>
  <c r="TBV43" i="118"/>
  <c r="TBX43" i="118"/>
  <c r="TBZ43" i="118"/>
  <c r="TCB43" i="118"/>
  <c r="TCD43" i="118"/>
  <c r="TCF43" i="118"/>
  <c r="TCH43" i="118"/>
  <c r="TCJ43" i="118"/>
  <c r="TCL43" i="118"/>
  <c r="TCN43" i="118"/>
  <c r="TCP43" i="118"/>
  <c r="TCR43" i="118"/>
  <c r="TCT43" i="118"/>
  <c r="TCV43" i="118"/>
  <c r="TCX43" i="118"/>
  <c r="TCZ43" i="118"/>
  <c r="TDB43" i="118"/>
  <c r="TDD43" i="118"/>
  <c r="TDF43" i="118"/>
  <c r="TDH43" i="118"/>
  <c r="TDJ43" i="118"/>
  <c r="TDL43" i="118"/>
  <c r="TDN43" i="118"/>
  <c r="TDP43" i="118"/>
  <c r="TDR43" i="118"/>
  <c r="TDT43" i="118"/>
  <c r="TDV43" i="118"/>
  <c r="TDX43" i="118"/>
  <c r="TDZ43" i="118"/>
  <c r="TEB43" i="118"/>
  <c r="TED43" i="118"/>
  <c r="TEF43" i="118"/>
  <c r="TEH43" i="118"/>
  <c r="TEJ43" i="118"/>
  <c r="TEL43" i="118"/>
  <c r="TEN43" i="118"/>
  <c r="TEP43" i="118"/>
  <c r="TER43" i="118"/>
  <c r="TET43" i="118"/>
  <c r="TEV43" i="118"/>
  <c r="TEX43" i="118"/>
  <c r="TEZ43" i="118"/>
  <c r="TFB43" i="118"/>
  <c r="TFD43" i="118"/>
  <c r="TFF43" i="118"/>
  <c r="TFH43" i="118"/>
  <c r="TFJ43" i="118"/>
  <c r="TFL43" i="118"/>
  <c r="TFN43" i="118"/>
  <c r="TFP43" i="118"/>
  <c r="TFR43" i="118"/>
  <c r="TFT43" i="118"/>
  <c r="TFV43" i="118"/>
  <c r="TFX43" i="118"/>
  <c r="TFZ43" i="118"/>
  <c r="TGB43" i="118"/>
  <c r="TGD43" i="118"/>
  <c r="TGF43" i="118"/>
  <c r="TGH43" i="118"/>
  <c r="TGJ43" i="118"/>
  <c r="TGL43" i="118"/>
  <c r="TGN43" i="118"/>
  <c r="TGP43" i="118"/>
  <c r="TGR43" i="118"/>
  <c r="TGT43" i="118"/>
  <c r="TGV43" i="118"/>
  <c r="TGX43" i="118"/>
  <c r="TGZ43" i="118"/>
  <c r="THB43" i="118"/>
  <c r="THD43" i="118"/>
  <c r="THF43" i="118"/>
  <c r="THH43" i="118"/>
  <c r="THJ43" i="118"/>
  <c r="THL43" i="118"/>
  <c r="THN43" i="118"/>
  <c r="THP43" i="118"/>
  <c r="THR43" i="118"/>
  <c r="THT43" i="118"/>
  <c r="THV43" i="118"/>
  <c r="THX43" i="118"/>
  <c r="THZ43" i="118"/>
  <c r="TIB43" i="118"/>
  <c r="TID43" i="118"/>
  <c r="TIF43" i="118"/>
  <c r="TIH43" i="118"/>
  <c r="TIJ43" i="118"/>
  <c r="TIL43" i="118"/>
  <c r="TIN43" i="118"/>
  <c r="TIP43" i="118"/>
  <c r="TIR43" i="118"/>
  <c r="TIT43" i="118"/>
  <c r="TIV43" i="118"/>
  <c r="TIX43" i="118"/>
  <c r="TIZ43" i="118"/>
  <c r="TJB43" i="118"/>
  <c r="TJD43" i="118"/>
  <c r="TJF43" i="118"/>
  <c r="TJH43" i="118"/>
  <c r="TJJ43" i="118"/>
  <c r="TJL43" i="118"/>
  <c r="TJN43" i="118"/>
  <c r="TJP43" i="118"/>
  <c r="TJR43" i="118"/>
  <c r="TJT43" i="118"/>
  <c r="TJV43" i="118"/>
  <c r="TJX43" i="118"/>
  <c r="TJZ43" i="118"/>
  <c r="TKB43" i="118"/>
  <c r="TKD43" i="118"/>
  <c r="TKF43" i="118"/>
  <c r="TKH43" i="118"/>
  <c r="TKJ43" i="118"/>
  <c r="TKL43" i="118"/>
  <c r="TKN43" i="118"/>
  <c r="TKP43" i="118"/>
  <c r="TKR43" i="118"/>
  <c r="TKT43" i="118"/>
  <c r="TKV43" i="118"/>
  <c r="TKX43" i="118"/>
  <c r="TKZ43" i="118"/>
  <c r="TLB43" i="118"/>
  <c r="TLD43" i="118"/>
  <c r="TLF43" i="118"/>
  <c r="TLH43" i="118"/>
  <c r="TLJ43" i="118"/>
  <c r="TLL43" i="118"/>
  <c r="TLN43" i="118"/>
  <c r="TLP43" i="118"/>
  <c r="TLR43" i="118"/>
  <c r="TLT43" i="118"/>
  <c r="TLV43" i="118"/>
  <c r="TLX43" i="118"/>
  <c r="TLZ43" i="118"/>
  <c r="TMB43" i="118"/>
  <c r="TMD43" i="118"/>
  <c r="TMF43" i="118"/>
  <c r="TMH43" i="118"/>
  <c r="TMJ43" i="118"/>
  <c r="TML43" i="118"/>
  <c r="TMN43" i="118"/>
  <c r="TMP43" i="118"/>
  <c r="TMR43" i="118"/>
  <c r="TMT43" i="118"/>
  <c r="TMV43" i="118"/>
  <c r="TMX43" i="118"/>
  <c r="TMZ43" i="118"/>
  <c r="TNB43" i="118"/>
  <c r="TND43" i="118"/>
  <c r="TNF43" i="118"/>
  <c r="TNH43" i="118"/>
  <c r="TNJ43" i="118"/>
  <c r="TNL43" i="118"/>
  <c r="TNN43" i="118"/>
  <c r="TNP43" i="118"/>
  <c r="TNR43" i="118"/>
  <c r="TNT43" i="118"/>
  <c r="TNV43" i="118"/>
  <c r="TNX43" i="118"/>
  <c r="TNZ43" i="118"/>
  <c r="TOB43" i="118"/>
  <c r="TOD43" i="118"/>
  <c r="TOF43" i="118"/>
  <c r="TOH43" i="118"/>
  <c r="TOJ43" i="118"/>
  <c r="TOL43" i="118"/>
  <c r="TON43" i="118"/>
  <c r="TOP43" i="118"/>
  <c r="TOR43" i="118"/>
  <c r="TOT43" i="118"/>
  <c r="TOV43" i="118"/>
  <c r="TOX43" i="118"/>
  <c r="TOZ43" i="118"/>
  <c r="TPB43" i="118"/>
  <c r="TPD43" i="118"/>
  <c r="TPF43" i="118"/>
  <c r="TPH43" i="118"/>
  <c r="TPJ43" i="118"/>
  <c r="TPL43" i="118"/>
  <c r="TPN43" i="118"/>
  <c r="TPP43" i="118"/>
  <c r="TPR43" i="118"/>
  <c r="TPT43" i="118"/>
  <c r="TPV43" i="118"/>
  <c r="TPX43" i="118"/>
  <c r="TPZ43" i="118"/>
  <c r="TQB43" i="118"/>
  <c r="TQD43" i="118"/>
  <c r="TQF43" i="118"/>
  <c r="TQH43" i="118"/>
  <c r="TQJ43" i="118"/>
  <c r="TQL43" i="118"/>
  <c r="TQN43" i="118"/>
  <c r="TQP43" i="118"/>
  <c r="TQR43" i="118"/>
  <c r="TQT43" i="118"/>
  <c r="TQV43" i="118"/>
  <c r="TQX43" i="118"/>
  <c r="TQZ43" i="118"/>
  <c r="TRB43" i="118"/>
  <c r="TRD43" i="118"/>
  <c r="TRF43" i="118"/>
  <c r="TRH43" i="118"/>
  <c r="TRJ43" i="118"/>
  <c r="TRL43" i="118"/>
  <c r="TRN43" i="118"/>
  <c r="TRP43" i="118"/>
  <c r="TRR43" i="118"/>
  <c r="TRT43" i="118"/>
  <c r="TRV43" i="118"/>
  <c r="TRX43" i="118"/>
  <c r="TRZ43" i="118"/>
  <c r="TSB43" i="118"/>
  <c r="TSD43" i="118"/>
  <c r="TSF43" i="118"/>
  <c r="TSH43" i="118"/>
  <c r="TSJ43" i="118"/>
  <c r="TSL43" i="118"/>
  <c r="TSN43" i="118"/>
  <c r="TSP43" i="118"/>
  <c r="TSR43" i="118"/>
  <c r="TST43" i="118"/>
  <c r="TSV43" i="118"/>
  <c r="TSX43" i="118"/>
  <c r="TSZ43" i="118"/>
  <c r="TTB43" i="118"/>
  <c r="TTD43" i="118"/>
  <c r="TTF43" i="118"/>
  <c r="TTH43" i="118"/>
  <c r="TTJ43" i="118"/>
  <c r="TTL43" i="118"/>
  <c r="TTN43" i="118"/>
  <c r="TTP43" i="118"/>
  <c r="TTR43" i="118"/>
  <c r="TTT43" i="118"/>
  <c r="TTV43" i="118"/>
  <c r="TTX43" i="118"/>
  <c r="TTZ43" i="118"/>
  <c r="TUB43" i="118"/>
  <c r="TUD43" i="118"/>
  <c r="TUF43" i="118"/>
  <c r="TUH43" i="118"/>
  <c r="TUJ43" i="118"/>
  <c r="TUL43" i="118"/>
  <c r="TUN43" i="118"/>
  <c r="TUP43" i="118"/>
  <c r="TUR43" i="118"/>
  <c r="TUT43" i="118"/>
  <c r="TUV43" i="118"/>
  <c r="TUX43" i="118"/>
  <c r="TUZ43" i="118"/>
  <c r="TVB43" i="118"/>
  <c r="TVD43" i="118"/>
  <c r="TVF43" i="118"/>
  <c r="TVH43" i="118"/>
  <c r="TVJ43" i="118"/>
  <c r="TVL43" i="118"/>
  <c r="TVN43" i="118"/>
  <c r="TVP43" i="118"/>
  <c r="TVR43" i="118"/>
  <c r="TVT43" i="118"/>
  <c r="TVV43" i="118"/>
  <c r="TVX43" i="118"/>
  <c r="TVZ43" i="118"/>
  <c r="TWB43" i="118"/>
  <c r="TWD43" i="118"/>
  <c r="TWF43" i="118"/>
  <c r="TWH43" i="118"/>
  <c r="TWJ43" i="118"/>
  <c r="TWL43" i="118"/>
  <c r="TWN43" i="118"/>
  <c r="TWP43" i="118"/>
  <c r="TWR43" i="118"/>
  <c r="TWT43" i="118"/>
  <c r="TWV43" i="118"/>
  <c r="TWX43" i="118"/>
  <c r="TWZ43" i="118"/>
  <c r="TXB43" i="118"/>
  <c r="TXD43" i="118"/>
  <c r="TXF43" i="118"/>
  <c r="TXH43" i="118"/>
  <c r="TXJ43" i="118"/>
  <c r="TXL43" i="118"/>
  <c r="TXN43" i="118"/>
  <c r="TXP43" i="118"/>
  <c r="TXR43" i="118"/>
  <c r="TXT43" i="118"/>
  <c r="TXV43" i="118"/>
  <c r="TXX43" i="118"/>
  <c r="TXZ43" i="118"/>
  <c r="TYB43" i="118"/>
  <c r="TYD43" i="118"/>
  <c r="TYF43" i="118"/>
  <c r="TYH43" i="118"/>
  <c r="TYJ43" i="118"/>
  <c r="TYL43" i="118"/>
  <c r="TYN43" i="118"/>
  <c r="TYP43" i="118"/>
  <c r="TYR43" i="118"/>
  <c r="TYT43" i="118"/>
  <c r="TYV43" i="118"/>
  <c r="TYX43" i="118"/>
  <c r="TYZ43" i="118"/>
  <c r="TZB43" i="118"/>
  <c r="TZD43" i="118"/>
  <c r="TZF43" i="118"/>
  <c r="TZH43" i="118"/>
  <c r="TZJ43" i="118"/>
  <c r="TZL43" i="118"/>
  <c r="TZN43" i="118"/>
  <c r="TZP43" i="118"/>
  <c r="TZR43" i="118"/>
  <c r="TZT43" i="118"/>
  <c r="TZV43" i="118"/>
  <c r="TZX43" i="118"/>
  <c r="TZZ43" i="118"/>
  <c r="UAB43" i="118"/>
  <c r="UAD43" i="118"/>
  <c r="UAF43" i="118"/>
  <c r="UAH43" i="118"/>
  <c r="UAJ43" i="118"/>
  <c r="UAL43" i="118"/>
  <c r="UAN43" i="118"/>
  <c r="UAP43" i="118"/>
  <c r="UAR43" i="118"/>
  <c r="UAT43" i="118"/>
  <c r="UAV43" i="118"/>
  <c r="UAX43" i="118"/>
  <c r="UAZ43" i="118"/>
  <c r="UBB43" i="118"/>
  <c r="UBD43" i="118"/>
  <c r="UBF43" i="118"/>
  <c r="UBH43" i="118"/>
  <c r="UBJ43" i="118"/>
  <c r="UBL43" i="118"/>
  <c r="UBN43" i="118"/>
  <c r="UBP43" i="118"/>
  <c r="UBR43" i="118"/>
  <c r="UBT43" i="118"/>
  <c r="UBV43" i="118"/>
  <c r="UBX43" i="118"/>
  <c r="UBZ43" i="118"/>
  <c r="UCB43" i="118"/>
  <c r="UCD43" i="118"/>
  <c r="UCF43" i="118"/>
  <c r="UCH43" i="118"/>
  <c r="UCJ43" i="118"/>
  <c r="UCL43" i="118"/>
  <c r="UCN43" i="118"/>
  <c r="UCP43" i="118"/>
  <c r="UCR43" i="118"/>
  <c r="UCT43" i="118"/>
  <c r="UCV43" i="118"/>
  <c r="UCX43" i="118"/>
  <c r="UCZ43" i="118"/>
  <c r="UDB43" i="118"/>
  <c r="UDD43" i="118"/>
  <c r="UDF43" i="118"/>
  <c r="UDH43" i="118"/>
  <c r="UDJ43" i="118"/>
  <c r="UDL43" i="118"/>
  <c r="UDN43" i="118"/>
  <c r="UDP43" i="118"/>
  <c r="UDR43" i="118"/>
  <c r="UDT43" i="118"/>
  <c r="UDV43" i="118"/>
  <c r="UDX43" i="118"/>
  <c r="UDZ43" i="118"/>
  <c r="UEB43" i="118"/>
  <c r="UED43" i="118"/>
  <c r="UEF43" i="118"/>
  <c r="UEH43" i="118"/>
  <c r="UEJ43" i="118"/>
  <c r="UEL43" i="118"/>
  <c r="UEN43" i="118"/>
  <c r="UEP43" i="118"/>
  <c r="UER43" i="118"/>
  <c r="UET43" i="118"/>
  <c r="UEV43" i="118"/>
  <c r="UEX43" i="118"/>
  <c r="UEZ43" i="118"/>
  <c r="UFB43" i="118"/>
  <c r="UFD43" i="118"/>
  <c r="UFF43" i="118"/>
  <c r="UFH43" i="118"/>
  <c r="UFJ43" i="118"/>
  <c r="UFL43" i="118"/>
  <c r="UFN43" i="118"/>
  <c r="UFP43" i="118"/>
  <c r="UFR43" i="118"/>
  <c r="UFT43" i="118"/>
  <c r="UFV43" i="118"/>
  <c r="UFX43" i="118"/>
  <c r="UFZ43" i="118"/>
  <c r="UGB43" i="118"/>
  <c r="UGD43" i="118"/>
  <c r="UGF43" i="118"/>
  <c r="UGH43" i="118"/>
  <c r="UGJ43" i="118"/>
  <c r="UGL43" i="118"/>
  <c r="UGN43" i="118"/>
  <c r="UGP43" i="118"/>
  <c r="UGR43" i="118"/>
  <c r="UGT43" i="118"/>
  <c r="UGV43" i="118"/>
  <c r="UGX43" i="118"/>
  <c r="UGZ43" i="118"/>
  <c r="UHB43" i="118"/>
  <c r="UHD43" i="118"/>
  <c r="UHF43" i="118"/>
  <c r="UHH43" i="118"/>
  <c r="UHJ43" i="118"/>
  <c r="UHL43" i="118"/>
  <c r="UHN43" i="118"/>
  <c r="UHP43" i="118"/>
  <c r="UHR43" i="118"/>
  <c r="UHT43" i="118"/>
  <c r="UHV43" i="118"/>
  <c r="UHX43" i="118"/>
  <c r="UHZ43" i="118"/>
  <c r="UIB43" i="118"/>
  <c r="UID43" i="118"/>
  <c r="UIF43" i="118"/>
  <c r="UIH43" i="118"/>
  <c r="UIJ43" i="118"/>
  <c r="UIL43" i="118"/>
  <c r="UIN43" i="118"/>
  <c r="UIP43" i="118"/>
  <c r="UIR43" i="118"/>
  <c r="UIT43" i="118"/>
  <c r="UIV43" i="118"/>
  <c r="UIX43" i="118"/>
  <c r="UIZ43" i="118"/>
  <c r="UJB43" i="118"/>
  <c r="UJD43" i="118"/>
  <c r="UJF43" i="118"/>
  <c r="UJH43" i="118"/>
  <c r="UJJ43" i="118"/>
  <c r="UJL43" i="118"/>
  <c r="UJN43" i="118"/>
  <c r="UJP43" i="118"/>
  <c r="UJR43" i="118"/>
  <c r="UJT43" i="118"/>
  <c r="UJV43" i="118"/>
  <c r="UJX43" i="118"/>
  <c r="UJZ43" i="118"/>
  <c r="UKB43" i="118"/>
  <c r="UKD43" i="118"/>
  <c r="UKF43" i="118"/>
  <c r="UKH43" i="118"/>
  <c r="UKJ43" i="118"/>
  <c r="UKL43" i="118"/>
  <c r="UKN43" i="118"/>
  <c r="UKP43" i="118"/>
  <c r="UKR43" i="118"/>
  <c r="UKT43" i="118"/>
  <c r="UKV43" i="118"/>
  <c r="UKX43" i="118"/>
  <c r="UKZ43" i="118"/>
  <c r="ULB43" i="118"/>
  <c r="ULD43" i="118"/>
  <c r="ULF43" i="118"/>
  <c r="ULH43" i="118"/>
  <c r="ULJ43" i="118"/>
  <c r="ULL43" i="118"/>
  <c r="ULN43" i="118"/>
  <c r="ULP43" i="118"/>
  <c r="ULR43" i="118"/>
  <c r="ULT43" i="118"/>
  <c r="ULV43" i="118"/>
  <c r="ULX43" i="118"/>
  <c r="ULZ43" i="118"/>
  <c r="UMB43" i="118"/>
  <c r="UMD43" i="118"/>
  <c r="UMF43" i="118"/>
  <c r="UMH43" i="118"/>
  <c r="UMJ43" i="118"/>
  <c r="UML43" i="118"/>
  <c r="UMN43" i="118"/>
  <c r="UMP43" i="118"/>
  <c r="UMR43" i="118"/>
  <c r="UMT43" i="118"/>
  <c r="UMV43" i="118"/>
  <c r="UMX43" i="118"/>
  <c r="UMZ43" i="118"/>
  <c r="UNB43" i="118"/>
  <c r="UND43" i="118"/>
  <c r="UNF43" i="118"/>
  <c r="UNH43" i="118"/>
  <c r="UNJ43" i="118"/>
  <c r="UNL43" i="118"/>
  <c r="UNN43" i="118"/>
  <c r="UNP43" i="118"/>
  <c r="UNR43" i="118"/>
  <c r="UNT43" i="118"/>
  <c r="UNV43" i="118"/>
  <c r="UNX43" i="118"/>
  <c r="UNZ43" i="118"/>
  <c r="UOB43" i="118"/>
  <c r="UOD43" i="118"/>
  <c r="UOF43" i="118"/>
  <c r="UOH43" i="118"/>
  <c r="UOJ43" i="118"/>
  <c r="UOL43" i="118"/>
  <c r="UON43" i="118"/>
  <c r="UOP43" i="118"/>
  <c r="UOR43" i="118"/>
  <c r="UOT43" i="118"/>
  <c r="UOV43" i="118"/>
  <c r="UOX43" i="118"/>
  <c r="UOZ43" i="118"/>
  <c r="UPB43" i="118"/>
  <c r="UPD43" i="118"/>
  <c r="UPF43" i="118"/>
  <c r="UPH43" i="118"/>
  <c r="UPJ43" i="118"/>
  <c r="UPL43" i="118"/>
  <c r="UPN43" i="118"/>
  <c r="UPP43" i="118"/>
  <c r="UPR43" i="118"/>
  <c r="UPT43" i="118"/>
  <c r="UPV43" i="118"/>
  <c r="UPX43" i="118"/>
  <c r="UPZ43" i="118"/>
  <c r="UQB43" i="118"/>
  <c r="UQD43" i="118"/>
  <c r="UQF43" i="118"/>
  <c r="UQH43" i="118"/>
  <c r="UQJ43" i="118"/>
  <c r="UQL43" i="118"/>
  <c r="UQN43" i="118"/>
  <c r="UQP43" i="118"/>
  <c r="UQR43" i="118"/>
  <c r="UQT43" i="118"/>
  <c r="UQV43" i="118"/>
  <c r="UQX43" i="118"/>
  <c r="UQZ43" i="118"/>
  <c r="URB43" i="118"/>
  <c r="URD43" i="118"/>
  <c r="URF43" i="118"/>
  <c r="URH43" i="118"/>
  <c r="URJ43" i="118"/>
  <c r="URL43" i="118"/>
  <c r="URN43" i="118"/>
  <c r="URP43" i="118"/>
  <c r="URR43" i="118"/>
  <c r="URT43" i="118"/>
  <c r="URV43" i="118"/>
  <c r="URX43" i="118"/>
  <c r="URZ43" i="118"/>
  <c r="USB43" i="118"/>
  <c r="USD43" i="118"/>
  <c r="USF43" i="118"/>
  <c r="USH43" i="118"/>
  <c r="USJ43" i="118"/>
  <c r="USL43" i="118"/>
  <c r="USN43" i="118"/>
  <c r="USP43" i="118"/>
  <c r="USR43" i="118"/>
  <c r="UST43" i="118"/>
  <c r="USV43" i="118"/>
  <c r="USX43" i="118"/>
  <c r="USZ43" i="118"/>
  <c r="UTB43" i="118"/>
  <c r="UTD43" i="118"/>
  <c r="UTF43" i="118"/>
  <c r="UTH43" i="118"/>
  <c r="UTJ43" i="118"/>
  <c r="UTL43" i="118"/>
  <c r="UTN43" i="118"/>
  <c r="UTP43" i="118"/>
  <c r="UTR43" i="118"/>
  <c r="UTT43" i="118"/>
  <c r="UTV43" i="118"/>
  <c r="UTX43" i="118"/>
  <c r="UTZ43" i="118"/>
  <c r="UUB43" i="118"/>
  <c r="UUD43" i="118"/>
  <c r="UUF43" i="118"/>
  <c r="UUH43" i="118"/>
  <c r="UUJ43" i="118"/>
  <c r="UUL43" i="118"/>
  <c r="UUN43" i="118"/>
  <c r="UUP43" i="118"/>
  <c r="UUR43" i="118"/>
  <c r="UUT43" i="118"/>
  <c r="UUX43" i="118"/>
  <c r="UVB43" i="118"/>
  <c r="UVF43" i="118"/>
  <c r="UVJ43" i="118"/>
  <c r="UVN43" i="118"/>
  <c r="UVR43" i="118"/>
  <c r="UVV43" i="118"/>
  <c r="UVZ43" i="118"/>
  <c r="UWD43" i="118"/>
  <c r="UWH43" i="118"/>
  <c r="UWL43" i="118"/>
  <c r="UWP43" i="118"/>
  <c r="UWT43" i="118"/>
  <c r="UWX43" i="118"/>
  <c r="UXB43" i="118"/>
  <c r="UXF43" i="118"/>
  <c r="UXJ43" i="118"/>
  <c r="UXN43" i="118"/>
  <c r="UXR43" i="118"/>
  <c r="UXV43" i="118"/>
  <c r="UXZ43" i="118"/>
  <c r="UYD43" i="118"/>
  <c r="UYH43" i="118"/>
  <c r="UYL43" i="118"/>
  <c r="UYP43" i="118"/>
  <c r="UYT43" i="118"/>
  <c r="UYX43" i="118"/>
  <c r="UZB43" i="118"/>
  <c r="UZF43" i="118"/>
  <c r="UZJ43" i="118"/>
  <c r="UZN43" i="118"/>
  <c r="UZR43" i="118"/>
  <c r="UZV43" i="118"/>
  <c r="UZZ43" i="118"/>
  <c r="VAD43" i="118"/>
  <c r="VAH43" i="118"/>
  <c r="VAL43" i="118"/>
  <c r="VAP43" i="118"/>
  <c r="VAT43" i="118"/>
  <c r="VAX43" i="118"/>
  <c r="VBB43" i="118"/>
  <c r="VBF43" i="118"/>
  <c r="VBJ43" i="118"/>
  <c r="VBN43" i="118"/>
  <c r="VBR43" i="118"/>
  <c r="VBV43" i="118"/>
  <c r="VBZ43" i="118"/>
  <c r="VCD43" i="118"/>
  <c r="VCH43" i="118"/>
  <c r="VCL43" i="118"/>
  <c r="VCP43" i="118"/>
  <c r="VCT43" i="118"/>
  <c r="VCX43" i="118"/>
  <c r="VDB43" i="118"/>
  <c r="VDF43" i="118"/>
  <c r="VDJ43" i="118"/>
  <c r="VDN43" i="118"/>
  <c r="VDR43" i="118"/>
  <c r="VDV43" i="118"/>
  <c r="VDZ43" i="118"/>
  <c r="VED43" i="118"/>
  <c r="VEH43" i="118"/>
  <c r="VEL43" i="118"/>
  <c r="VEP43" i="118"/>
  <c r="VET43" i="118"/>
  <c r="VEX43" i="118"/>
  <c r="VFB43" i="118"/>
  <c r="VFF43" i="118"/>
  <c r="VFJ43" i="118"/>
  <c r="VFN43" i="118"/>
  <c r="VFR43" i="118"/>
  <c r="VFV43" i="118"/>
  <c r="VFZ43" i="118"/>
  <c r="VGD43" i="118"/>
  <c r="VGH43" i="118"/>
  <c r="VGL43" i="118"/>
  <c r="VGP43" i="118"/>
  <c r="VGT43" i="118"/>
  <c r="VGX43" i="118"/>
  <c r="VHB43" i="118"/>
  <c r="VHF43" i="118"/>
  <c r="VHJ43" i="118"/>
  <c r="VHN43" i="118"/>
  <c r="VHR43" i="118"/>
  <c r="VHV43" i="118"/>
  <c r="VHZ43" i="118"/>
  <c r="VID43" i="118"/>
  <c r="VIH43" i="118"/>
  <c r="VIL43" i="118"/>
  <c r="VIP43" i="118"/>
  <c r="VIT43" i="118"/>
  <c r="VIX43" i="118"/>
  <c r="VJB43" i="118"/>
  <c r="VJF43" i="118"/>
  <c r="VJJ43" i="118"/>
  <c r="VJN43" i="118"/>
  <c r="VJR43" i="118"/>
  <c r="VJV43" i="118"/>
  <c r="VJZ43" i="118"/>
  <c r="VKD43" i="118"/>
  <c r="VKH43" i="118"/>
  <c r="VKL43" i="118"/>
  <c r="VKP43" i="118"/>
  <c r="VKT43" i="118"/>
  <c r="VKX43" i="118"/>
  <c r="VLB43" i="118"/>
  <c r="VLF43" i="118"/>
  <c r="VLJ43" i="118"/>
  <c r="VLN43" i="118"/>
  <c r="VLR43" i="118"/>
  <c r="VLV43" i="118"/>
  <c r="VLZ43" i="118"/>
  <c r="VMD43" i="118"/>
  <c r="VMH43" i="118"/>
  <c r="VML43" i="118"/>
  <c r="VMP43" i="118"/>
  <c r="VMT43" i="118"/>
  <c r="VMX43" i="118"/>
  <c r="VNB43" i="118"/>
  <c r="VNF43" i="118"/>
  <c r="VNJ43" i="118"/>
  <c r="VNN43" i="118"/>
  <c r="VNR43" i="118"/>
  <c r="VNV43" i="118"/>
  <c r="VNZ43" i="118"/>
  <c r="VOD43" i="118"/>
  <c r="VOH43" i="118"/>
  <c r="VOL43" i="118"/>
  <c r="VOP43" i="118"/>
  <c r="VOT43" i="118"/>
  <c r="VOX43" i="118"/>
  <c r="VPB43" i="118"/>
  <c r="VPF43" i="118"/>
  <c r="VPJ43" i="118"/>
  <c r="VPN43" i="118"/>
  <c r="VPR43" i="118"/>
  <c r="VPV43" i="118"/>
  <c r="VPZ43" i="118"/>
  <c r="VQD43" i="118"/>
  <c r="VQH43" i="118"/>
  <c r="VQL43" i="118"/>
  <c r="VQP43" i="118"/>
  <c r="VQT43" i="118"/>
  <c r="VQX43" i="118"/>
  <c r="VRB43" i="118"/>
  <c r="VRF43" i="118"/>
  <c r="VRJ43" i="118"/>
  <c r="VRN43" i="118"/>
  <c r="VRR43" i="118"/>
  <c r="VRV43" i="118"/>
  <c r="VRZ43" i="118"/>
  <c r="VSD43" i="118"/>
  <c r="VSH43" i="118"/>
  <c r="VSL43" i="118"/>
  <c r="VSP43" i="118"/>
  <c r="VST43" i="118"/>
  <c r="VSX43" i="118"/>
  <c r="VTB43" i="118"/>
  <c r="VTF43" i="118"/>
  <c r="VTJ43" i="118"/>
  <c r="VTN43" i="118"/>
  <c r="VTR43" i="118"/>
  <c r="VTV43" i="118"/>
  <c r="VTZ43" i="118"/>
  <c r="VUD43" i="118"/>
  <c r="VUH43" i="118"/>
  <c r="VUL43" i="118"/>
  <c r="VUP43" i="118"/>
  <c r="VUT43" i="118"/>
  <c r="VUX43" i="118"/>
  <c r="VVB43" i="118"/>
  <c r="VVF43" i="118"/>
  <c r="VVJ43" i="118"/>
  <c r="VVN43" i="118"/>
  <c r="VVR43" i="118"/>
  <c r="VVV43" i="118"/>
  <c r="VVZ43" i="118"/>
  <c r="VWD43" i="118"/>
  <c r="VWH43" i="118"/>
  <c r="VWL43" i="118"/>
  <c r="VWP43" i="118"/>
  <c r="VWT43" i="118"/>
  <c r="VWX43" i="118"/>
  <c r="VXB43" i="118"/>
  <c r="VXF43" i="118"/>
  <c r="VXJ43" i="118"/>
  <c r="VXN43" i="118"/>
  <c r="VXR43" i="118"/>
  <c r="VXV43" i="118"/>
  <c r="VXZ43" i="118"/>
  <c r="VYD43" i="118"/>
  <c r="VYH43" i="118"/>
  <c r="VYL43" i="118"/>
  <c r="VYP43" i="118"/>
  <c r="VYT43" i="118"/>
  <c r="VYX43" i="118"/>
  <c r="VZB43" i="118"/>
  <c r="VZF43" i="118"/>
  <c r="VZJ43" i="118"/>
  <c r="VZN43" i="118"/>
  <c r="VZR43" i="118"/>
  <c r="VZV43" i="118"/>
  <c r="VZZ43" i="118"/>
  <c r="WAD43" i="118"/>
  <c r="WAH43" i="118"/>
  <c r="WAL43" i="118"/>
  <c r="WAP43" i="118"/>
  <c r="WAT43" i="118"/>
  <c r="WAX43" i="118"/>
  <c r="WBB43" i="118"/>
  <c r="WBF43" i="118"/>
  <c r="WBJ43" i="118"/>
  <c r="WBN43" i="118"/>
  <c r="WBR43" i="118"/>
  <c r="WBV43" i="118"/>
  <c r="WBZ43" i="118"/>
  <c r="WCD43" i="118"/>
  <c r="WCH43" i="118"/>
  <c r="WCL43" i="118"/>
  <c r="WCP43" i="118"/>
  <c r="WCT43" i="118"/>
  <c r="WCX43" i="118"/>
  <c r="WDB43" i="118"/>
  <c r="WDF43" i="118"/>
  <c r="WDJ43" i="118"/>
  <c r="WDN43" i="118"/>
  <c r="WDR43" i="118"/>
  <c r="WDV43" i="118"/>
  <c r="WDZ43" i="118"/>
  <c r="WED43" i="118"/>
  <c r="WEH43" i="118"/>
  <c r="WEL43" i="118"/>
  <c r="WEP43" i="118"/>
  <c r="WET43" i="118"/>
  <c r="WEX43" i="118"/>
  <c r="WFB43" i="118"/>
  <c r="WFF43" i="118"/>
  <c r="WFJ43" i="118"/>
  <c r="WFN43" i="118"/>
  <c r="WFR43" i="118"/>
  <c r="WFV43" i="118"/>
  <c r="WFZ43" i="118"/>
  <c r="WGD43" i="118"/>
  <c r="WGH43" i="118"/>
  <c r="WGL43" i="118"/>
  <c r="WGP43" i="118"/>
  <c r="WGT43" i="118"/>
  <c r="WGX43" i="118"/>
  <c r="WHB43" i="118"/>
  <c r="WHF43" i="118"/>
  <c r="WHJ43" i="118"/>
  <c r="WHN43" i="118"/>
  <c r="WHR43" i="118"/>
  <c r="WHV43" i="118"/>
  <c r="WHZ43" i="118"/>
  <c r="WID43" i="118"/>
  <c r="WIH43" i="118"/>
  <c r="WIL43" i="118"/>
  <c r="WIP43" i="118"/>
  <c r="WIT43" i="118"/>
  <c r="WIX43" i="118"/>
  <c r="WJB43" i="118"/>
  <c r="WJF43" i="118"/>
  <c r="WJJ43" i="118"/>
  <c r="WJN43" i="118"/>
  <c r="WJR43" i="118"/>
  <c r="WJV43" i="118"/>
  <c r="WJZ43" i="118"/>
  <c r="WKD43" i="118"/>
  <c r="WKH43" i="118"/>
  <c r="WKL43" i="118"/>
  <c r="WKP43" i="118"/>
  <c r="WKT43" i="118"/>
  <c r="WKX43" i="118"/>
  <c r="WLB43" i="118"/>
  <c r="WLF43" i="118"/>
  <c r="WLJ43" i="118"/>
  <c r="WLN43" i="118"/>
  <c r="WLR43" i="118"/>
  <c r="WLV43" i="118"/>
  <c r="WLZ43" i="118"/>
  <c r="WMD43" i="118"/>
  <c r="WMH43" i="118"/>
  <c r="WML43" i="118"/>
  <c r="WMP43" i="118"/>
  <c r="WMT43" i="118"/>
  <c r="WMX43" i="118"/>
  <c r="WNB43" i="118"/>
  <c r="WNF43" i="118"/>
  <c r="WNJ43" i="118"/>
  <c r="WNN43" i="118"/>
  <c r="WNR43" i="118"/>
  <c r="WNV43" i="118"/>
  <c r="WNZ43" i="118"/>
  <c r="WOD43" i="118"/>
  <c r="WOH43" i="118"/>
  <c r="WOL43" i="118"/>
  <c r="WOP43" i="118"/>
  <c r="WOT43" i="118"/>
  <c r="WOX43" i="118"/>
  <c r="WPB43" i="118"/>
  <c r="WPF43" i="118"/>
  <c r="WPJ43" i="118"/>
  <c r="WPN43" i="118"/>
  <c r="WPR43" i="118"/>
  <c r="WPV43" i="118"/>
  <c r="WPZ43" i="118"/>
  <c r="WQD43" i="118"/>
  <c r="WQH43" i="118"/>
  <c r="WQL43" i="118"/>
  <c r="WQP43" i="118"/>
  <c r="WQT43" i="118"/>
  <c r="WQX43" i="118"/>
  <c r="WRB43" i="118"/>
  <c r="WRF43" i="118"/>
  <c r="WRJ43" i="118"/>
  <c r="WRN43" i="118"/>
  <c r="WRR43" i="118"/>
  <c r="WRV43" i="118"/>
  <c r="WRZ43" i="118"/>
  <c r="WSD43" i="118"/>
  <c r="WSH43" i="118"/>
  <c r="WSL43" i="118"/>
  <c r="WSP43" i="118"/>
  <c r="WST43" i="118"/>
  <c r="WSX43" i="118"/>
  <c r="WTB43" i="118"/>
  <c r="WTF43" i="118"/>
  <c r="WTJ43" i="118"/>
  <c r="WTN43" i="118"/>
  <c r="WTR43" i="118"/>
  <c r="WTV43" i="118"/>
  <c r="WTZ43" i="118"/>
  <c r="WUD43" i="118"/>
  <c r="WUH43" i="118"/>
  <c r="WUL43" i="118"/>
  <c r="WUP43" i="118"/>
  <c r="WUT43" i="118"/>
  <c r="WUX43" i="118"/>
  <c r="WVB43" i="118"/>
  <c r="WVF43" i="118"/>
  <c r="WVJ43" i="118"/>
  <c r="WVN43" i="118"/>
  <c r="WVR43" i="118"/>
  <c r="WVV43" i="118"/>
  <c r="WVZ43" i="118"/>
  <c r="WWD43" i="118"/>
  <c r="WWH43" i="118"/>
  <c r="WWL43" i="118"/>
  <c r="WWP43" i="118"/>
  <c r="WWT43" i="118"/>
  <c r="WWX43" i="118"/>
  <c r="WXB43" i="118"/>
  <c r="WXF43" i="118"/>
  <c r="WXJ43" i="118"/>
  <c r="WXN43" i="118"/>
  <c r="WXR43" i="118"/>
  <c r="WXV43" i="118"/>
  <c r="WXZ43" i="118"/>
  <c r="WYD43" i="118"/>
  <c r="WYH43" i="118"/>
  <c r="WYL43" i="118"/>
  <c r="WYP43" i="118"/>
  <c r="WYT43" i="118"/>
  <c r="WYX43" i="118"/>
  <c r="WZB43" i="118"/>
  <c r="WZF43" i="118"/>
  <c r="WZJ43" i="118"/>
  <c r="WZN43" i="118"/>
  <c r="WZR43" i="118"/>
  <c r="WZV43" i="118"/>
  <c r="WZZ43" i="118"/>
  <c r="XAD43" i="118"/>
  <c r="XAH43" i="118"/>
  <c r="XAL43" i="118"/>
  <c r="XAP43" i="118"/>
  <c r="XAT43" i="118"/>
  <c r="XAX43" i="118"/>
  <c r="XBB43" i="118"/>
  <c r="XBF43" i="118"/>
  <c r="XBJ43" i="118"/>
  <c r="XBN43" i="118"/>
  <c r="XBR43" i="118"/>
  <c r="XBV43" i="118"/>
  <c r="XBZ43" i="118"/>
  <c r="XCD43" i="118"/>
  <c r="XCH43" i="118"/>
  <c r="XCL43" i="118"/>
  <c r="XCP43" i="118"/>
  <c r="XCT43" i="118"/>
  <c r="XCX43" i="118"/>
  <c r="XDB43" i="118"/>
  <c r="XDF43" i="118"/>
  <c r="XDJ43" i="118"/>
  <c r="XDN43" i="118"/>
  <c r="XDR43" i="118"/>
  <c r="XDV43" i="118"/>
  <c r="XDZ43" i="118"/>
  <c r="XED43" i="118"/>
  <c r="XEH43" i="118"/>
  <c r="XEL43" i="118"/>
  <c r="XEP43" i="118"/>
  <c r="XET43" i="118"/>
  <c r="XEX43" i="118"/>
  <c r="XFB43" i="118"/>
  <c r="BF134" i="113"/>
  <c r="D134" i="113"/>
  <c r="AS39" i="94"/>
  <c r="AS35" i="94"/>
  <c r="AS31" i="94"/>
  <c r="R37" i="94"/>
  <c r="AH39" i="94"/>
  <c r="AX209" i="68"/>
  <c r="Q29" i="24"/>
  <c r="S29" i="24"/>
  <c r="U29" i="24"/>
  <c r="W29" i="24"/>
  <c r="Y29" i="24"/>
  <c r="AA29" i="24"/>
  <c r="AC29" i="24"/>
  <c r="AE29" i="24"/>
  <c r="AG29" i="24"/>
  <c r="AI29" i="24"/>
  <c r="AK29" i="24"/>
  <c r="AM29" i="24"/>
  <c r="AO29" i="24"/>
  <c r="AQ29" i="24"/>
  <c r="AS29" i="24"/>
  <c r="AU29" i="24"/>
  <c r="D42" i="97"/>
  <c r="E42" i="97"/>
  <c r="AW86" i="68"/>
  <c r="AU86" i="68"/>
  <c r="AS86" i="68"/>
  <c r="AQ86" i="68"/>
  <c r="AO86" i="68"/>
  <c r="AM86" i="68"/>
  <c r="AK86" i="68"/>
  <c r="AI86" i="68"/>
  <c r="AG86" i="68"/>
  <c r="AE86" i="68"/>
  <c r="AC86" i="68"/>
  <c r="AA86" i="68"/>
  <c r="Y86" i="68"/>
  <c r="W86" i="68"/>
  <c r="U86" i="68"/>
  <c r="S86" i="68"/>
  <c r="Q86" i="68"/>
  <c r="R86" i="68"/>
  <c r="V86" i="68"/>
  <c r="Z86" i="68"/>
  <c r="AD86" i="68"/>
  <c r="AH86" i="68"/>
  <c r="AL86" i="68"/>
  <c r="AP86" i="68"/>
  <c r="AT86" i="68"/>
  <c r="AX86" i="68"/>
  <c r="AW252" i="68"/>
  <c r="AU252" i="68"/>
  <c r="AS252" i="68"/>
  <c r="AQ252" i="68"/>
  <c r="AO252" i="68"/>
  <c r="AM252" i="68"/>
  <c r="AK252" i="68"/>
  <c r="AI252" i="68"/>
  <c r="AG252" i="68"/>
  <c r="AE252" i="68"/>
  <c r="AC252" i="68"/>
  <c r="AA252" i="68"/>
  <c r="Y252" i="68"/>
  <c r="W252" i="68"/>
  <c r="U252" i="68"/>
  <c r="S252" i="68"/>
  <c r="Q252" i="68"/>
  <c r="R252" i="68"/>
  <c r="V252" i="68"/>
  <c r="Z252" i="68"/>
  <c r="AD252" i="68"/>
  <c r="AH252" i="68"/>
  <c r="AL252" i="68"/>
  <c r="AP252" i="68"/>
  <c r="AT252" i="68"/>
  <c r="AX252" i="68"/>
  <c r="AW334" i="68"/>
  <c r="AU334" i="68"/>
  <c r="AS334" i="68"/>
  <c r="AQ334" i="68"/>
  <c r="AO334" i="68"/>
  <c r="AM334" i="68"/>
  <c r="AK334" i="68"/>
  <c r="AI334" i="68"/>
  <c r="AG334" i="68"/>
  <c r="AE334" i="68"/>
  <c r="AC334" i="68"/>
  <c r="AA334" i="68"/>
  <c r="Y334" i="68"/>
  <c r="W334" i="68"/>
  <c r="U334" i="68"/>
  <c r="S334" i="68"/>
  <c r="Q334" i="68"/>
  <c r="O334" i="68"/>
  <c r="R334" i="68"/>
  <c r="V334" i="68"/>
  <c r="Z334" i="68"/>
  <c r="AD334" i="68"/>
  <c r="AH334" i="68"/>
  <c r="AL334" i="68"/>
  <c r="AP334" i="68"/>
  <c r="AT334" i="68"/>
  <c r="AX334" i="68"/>
  <c r="AI416" i="68"/>
  <c r="R59" i="82"/>
  <c r="D59" i="82"/>
  <c r="P45" i="68"/>
  <c r="R45" i="68"/>
  <c r="T45" i="68"/>
  <c r="V45" i="68"/>
  <c r="X45" i="68"/>
  <c r="Z45" i="68"/>
  <c r="AB45" i="68"/>
  <c r="AD45" i="68"/>
  <c r="AF45" i="68"/>
  <c r="AH45" i="68"/>
  <c r="AJ45" i="68"/>
  <c r="AL45" i="68"/>
  <c r="AN45" i="68"/>
  <c r="AP45" i="68"/>
  <c r="AR45" i="68"/>
  <c r="AT45" i="68"/>
  <c r="AV45" i="68"/>
  <c r="P127" i="68"/>
  <c r="R127" i="68"/>
  <c r="T127" i="68"/>
  <c r="V127" i="68"/>
  <c r="X127" i="68"/>
  <c r="Z127" i="68"/>
  <c r="AB127" i="68"/>
  <c r="AD127" i="68"/>
  <c r="AF127" i="68"/>
  <c r="AH127" i="68"/>
  <c r="AJ127" i="68"/>
  <c r="AL127" i="68"/>
  <c r="AN127" i="68"/>
  <c r="AP127" i="68"/>
  <c r="AR127" i="68"/>
  <c r="AT127" i="68"/>
  <c r="AV127" i="68"/>
  <c r="R209" i="68"/>
  <c r="T209" i="68"/>
  <c r="V209" i="68"/>
  <c r="X209" i="68"/>
  <c r="Z209" i="68"/>
  <c r="AB209" i="68"/>
  <c r="AD209" i="68"/>
  <c r="AF209" i="68"/>
  <c r="AH209" i="68"/>
  <c r="AJ209" i="68"/>
  <c r="AL209" i="68"/>
  <c r="AN209" i="68"/>
  <c r="AP209" i="68"/>
  <c r="AR209" i="68"/>
  <c r="AT209" i="68"/>
  <c r="AV209" i="68"/>
  <c r="P293" i="68"/>
  <c r="R293" i="68"/>
  <c r="T293" i="68"/>
  <c r="V293" i="68"/>
  <c r="X293" i="68"/>
  <c r="Z293" i="68"/>
  <c r="AB293" i="68"/>
  <c r="AD293" i="68"/>
  <c r="AF293" i="68"/>
  <c r="AH293" i="68"/>
  <c r="AJ293" i="68"/>
  <c r="AL293" i="68"/>
  <c r="AN293" i="68"/>
  <c r="AP293" i="68"/>
  <c r="AR293" i="68"/>
  <c r="AT293" i="68"/>
  <c r="AV293" i="68"/>
  <c r="P6" i="66"/>
  <c r="R6" i="66"/>
  <c r="T6" i="66"/>
  <c r="V6" i="66"/>
  <c r="X6" i="66"/>
  <c r="Z6" i="66"/>
  <c r="AB6" i="66"/>
  <c r="AD6" i="66"/>
  <c r="AF6" i="66"/>
  <c r="AH6" i="66"/>
  <c r="AJ6" i="66"/>
  <c r="AL6" i="66"/>
  <c r="AN6" i="66"/>
  <c r="AP6" i="66"/>
  <c r="AR6" i="66"/>
  <c r="AT6" i="66"/>
  <c r="AV6" i="66"/>
  <c r="AX6" i="66"/>
  <c r="I51" i="66"/>
  <c r="AE85" i="20" l="1"/>
  <c r="Z363" i="119" s="1"/>
  <c r="AE83" i="20"/>
  <c r="Z361" i="119" s="1"/>
  <c r="AE84" i="20"/>
  <c r="Z362" i="119" s="1"/>
  <c r="AE81" i="20"/>
  <c r="Z359" i="119" s="1"/>
  <c r="AE76" i="20"/>
  <c r="Z354" i="119" s="1"/>
  <c r="AE78" i="20"/>
  <c r="Z356" i="119" s="1"/>
  <c r="AE79" i="20"/>
  <c r="Z357" i="119" s="1"/>
  <c r="AE77" i="20"/>
  <c r="Z355" i="119" s="1"/>
  <c r="AE82" i="20"/>
  <c r="Z360" i="119" s="1"/>
  <c r="AE80" i="20"/>
  <c r="Z358" i="119" s="1"/>
  <c r="T78" i="20"/>
  <c r="O356" i="119" s="1"/>
  <c r="T76" i="20"/>
  <c r="O354" i="119" s="1"/>
  <c r="T80" i="20"/>
  <c r="O358" i="119" s="1"/>
  <c r="T83" i="20"/>
  <c r="O361" i="119" s="1"/>
  <c r="T81" i="20"/>
  <c r="O359" i="119" s="1"/>
  <c r="T79" i="20"/>
  <c r="O357" i="119" s="1"/>
  <c r="T84" i="20"/>
  <c r="O362" i="119" s="1"/>
  <c r="T85" i="20"/>
  <c r="O363" i="119" s="1"/>
  <c r="T82" i="20"/>
  <c r="O360" i="119" s="1"/>
  <c r="T77" i="20"/>
  <c r="O355" i="119" s="1"/>
  <c r="AD77" i="20"/>
  <c r="Y355" i="119" s="1"/>
  <c r="AD79" i="20"/>
  <c r="Y357" i="119" s="1"/>
  <c r="AD78" i="20"/>
  <c r="Y356" i="119" s="1"/>
  <c r="AD81" i="20"/>
  <c r="Y359" i="119" s="1"/>
  <c r="AD80" i="20"/>
  <c r="Y358" i="119" s="1"/>
  <c r="AD82" i="20"/>
  <c r="Y360" i="119" s="1"/>
  <c r="AD85" i="20"/>
  <c r="Y363" i="119" s="1"/>
  <c r="AD83" i="20"/>
  <c r="Y361" i="119" s="1"/>
  <c r="AD84" i="20"/>
  <c r="Y362" i="119" s="1"/>
  <c r="AD76" i="20"/>
  <c r="Y354" i="119" s="1"/>
  <c r="Y85" i="20"/>
  <c r="T363" i="119" s="1"/>
  <c r="Y83" i="20"/>
  <c r="T361" i="119" s="1"/>
  <c r="Y76" i="20"/>
  <c r="T354" i="119" s="1"/>
  <c r="Y81" i="20"/>
  <c r="T359" i="119" s="1"/>
  <c r="Y80" i="20"/>
  <c r="T358" i="119" s="1"/>
  <c r="Y82" i="20"/>
  <c r="T360" i="119" s="1"/>
  <c r="Y78" i="20"/>
  <c r="T356" i="119" s="1"/>
  <c r="Y79" i="20"/>
  <c r="T357" i="119" s="1"/>
  <c r="Y77" i="20"/>
  <c r="T355" i="119" s="1"/>
  <c r="Y84" i="20"/>
  <c r="T362" i="119" s="1"/>
  <c r="AE276" i="20"/>
  <c r="AE277" i="20"/>
  <c r="AE275" i="20"/>
  <c r="AE278" i="20"/>
  <c r="AE273" i="20"/>
  <c r="AE274" i="20"/>
  <c r="T278" i="20"/>
  <c r="T277" i="20"/>
  <c r="T275" i="20"/>
  <c r="T276" i="20"/>
  <c r="T273" i="20"/>
  <c r="T274" i="20"/>
  <c r="AD274" i="20"/>
  <c r="AD276" i="20"/>
  <c r="AD277" i="20"/>
  <c r="AD273" i="20"/>
  <c r="AD275" i="20"/>
  <c r="AD278" i="20"/>
  <c r="Y277" i="20"/>
  <c r="Y273" i="20"/>
  <c r="Y274" i="20"/>
  <c r="Y278" i="20"/>
  <c r="Y276" i="20"/>
  <c r="Y275" i="20"/>
  <c r="C20" i="101"/>
  <c r="B7" i="101"/>
  <c r="E30" i="106" s="1"/>
  <c r="F7" i="101"/>
  <c r="I30" i="106" s="1"/>
  <c r="E422" i="119"/>
  <c r="C47" i="92" s="1"/>
  <c r="AS58" i="24"/>
  <c r="AD58" i="24"/>
  <c r="AJ57" i="24"/>
  <c r="AL58" i="24"/>
  <c r="AR57" i="24"/>
  <c r="AU58" i="24"/>
  <c r="U58" i="24"/>
  <c r="AA57" i="24"/>
  <c r="AC58" i="24"/>
  <c r="AI57" i="24"/>
  <c r="AT58" i="24"/>
  <c r="AK58" i="24"/>
  <c r="AM58" i="24"/>
  <c r="AS57" i="24"/>
  <c r="S57" i="24"/>
  <c r="W58" i="24"/>
  <c r="AC57" i="24"/>
  <c r="AC62" i="24" s="1"/>
  <c r="AC65" i="24" s="1"/>
  <c r="O57" i="24"/>
  <c r="U57" i="24"/>
  <c r="AQ57" i="24"/>
  <c r="V58" i="24"/>
  <c r="AB57" i="24"/>
  <c r="AE58" i="24"/>
  <c r="AK57" i="24"/>
  <c r="T57" i="24"/>
  <c r="AQ58" i="24"/>
  <c r="AW57" i="24"/>
  <c r="AH58" i="24"/>
  <c r="AN57" i="24"/>
  <c r="Y58" i="24"/>
  <c r="AE57" i="24"/>
  <c r="AR58" i="24"/>
  <c r="AX57" i="24"/>
  <c r="AI58" i="24"/>
  <c r="AO57" i="24"/>
  <c r="Z58" i="24"/>
  <c r="AF57" i="24"/>
  <c r="Q58" i="24"/>
  <c r="W57" i="24"/>
  <c r="AJ58" i="24"/>
  <c r="AP57" i="24"/>
  <c r="AA58" i="24"/>
  <c r="AG57" i="24"/>
  <c r="R58" i="24"/>
  <c r="X57" i="24"/>
  <c r="AB58" i="24"/>
  <c r="AH57" i="24"/>
  <c r="S58" i="24"/>
  <c r="Y57" i="24"/>
  <c r="P57" i="24"/>
  <c r="AV58" i="24"/>
  <c r="T58" i="24"/>
  <c r="Z57" i="24"/>
  <c r="Q57" i="24"/>
  <c r="AN58" i="24"/>
  <c r="AT57" i="24"/>
  <c r="R57" i="24"/>
  <c r="O58" i="24"/>
  <c r="AW58" i="24"/>
  <c r="AF58" i="24"/>
  <c r="AL57" i="24"/>
  <c r="AX58" i="24"/>
  <c r="AO58" i="24"/>
  <c r="AU57" i="24"/>
  <c r="X58" i="24"/>
  <c r="AD57" i="24"/>
  <c r="AP58" i="24"/>
  <c r="AV57" i="24"/>
  <c r="AG58" i="24"/>
  <c r="AM57" i="24"/>
  <c r="P58" i="24"/>
  <c r="V57" i="24"/>
  <c r="AS33" i="94"/>
  <c r="AS37" i="94"/>
  <c r="AS36" i="94"/>
  <c r="A45" i="97"/>
  <c r="Q28" i="132"/>
  <c r="Y112" i="110"/>
  <c r="Y114" i="110" s="1"/>
  <c r="Y113" i="110"/>
  <c r="Y116" i="110" s="1"/>
  <c r="Y115" i="110"/>
  <c r="V28" i="132"/>
  <c r="AD113" i="110"/>
  <c r="AD116" i="110" s="1"/>
  <c r="AD115" i="110"/>
  <c r="AD112" i="110"/>
  <c r="AD114" i="110" s="1"/>
  <c r="W28" i="132"/>
  <c r="AE113" i="110"/>
  <c r="AE116" i="110" s="1"/>
  <c r="AE115" i="110"/>
  <c r="AE112" i="110"/>
  <c r="AE114" i="110" s="1"/>
  <c r="X28" i="132"/>
  <c r="AF112" i="110"/>
  <c r="AF114" i="110" s="1"/>
  <c r="AF113" i="110"/>
  <c r="AF116" i="110" s="1"/>
  <c r="AF115" i="110"/>
  <c r="L28" i="132"/>
  <c r="T115" i="110"/>
  <c r="T112" i="110"/>
  <c r="T114" i="110" s="1"/>
  <c r="T113" i="110"/>
  <c r="T116" i="110" s="1"/>
  <c r="Z46" i="82"/>
  <c r="V25" i="82"/>
  <c r="V34" i="82"/>
  <c r="Z21" i="82"/>
  <c r="V53" i="82"/>
  <c r="Z37" i="82"/>
  <c r="Z29" i="82"/>
  <c r="V26" i="82"/>
  <c r="V41" i="82"/>
  <c r="V33" i="82"/>
  <c r="V45" i="82"/>
  <c r="V52" i="82"/>
  <c r="Z36" i="82"/>
  <c r="Z28" i="82"/>
  <c r="V40" i="82"/>
  <c r="V32" i="82"/>
  <c r="V44" i="82"/>
  <c r="V51" i="82"/>
  <c r="Z35" i="82"/>
  <c r="Z27" i="82"/>
  <c r="G44" i="82"/>
  <c r="Z52" i="82"/>
  <c r="V39" i="82"/>
  <c r="V31" i="82"/>
  <c r="V43" i="82"/>
  <c r="V49" i="82"/>
  <c r="V50" i="82"/>
  <c r="V24" i="82"/>
  <c r="V38" i="82"/>
  <c r="V30" i="82"/>
  <c r="V42" i="82"/>
  <c r="V47" i="82"/>
  <c r="V22" i="82"/>
  <c r="Z25" i="82"/>
  <c r="G47" i="82"/>
  <c r="AH37" i="94"/>
  <c r="AD25" i="20"/>
  <c r="AD70" i="20" s="1"/>
  <c r="T25" i="20"/>
  <c r="T70" i="20" s="1"/>
  <c r="Y25" i="20"/>
  <c r="Y70" i="20" s="1"/>
  <c r="AE25" i="20"/>
  <c r="AE70" i="20" s="1"/>
  <c r="AD20" i="20"/>
  <c r="AD40" i="20" s="1"/>
  <c r="Y20" i="20"/>
  <c r="Y40" i="20" s="1"/>
  <c r="T20" i="20"/>
  <c r="T40" i="20" s="1"/>
  <c r="AE20" i="20"/>
  <c r="AE40" i="20" s="1"/>
  <c r="T31" i="20"/>
  <c r="Y31" i="20"/>
  <c r="AE31" i="20"/>
  <c r="AD31" i="20"/>
  <c r="T287" i="119"/>
  <c r="P27" i="138"/>
  <c r="Y34" i="20"/>
  <c r="AD34" i="20"/>
  <c r="T34" i="20"/>
  <c r="AE34" i="20"/>
  <c r="AD23" i="20"/>
  <c r="AD43" i="20" s="1"/>
  <c r="AE23" i="20"/>
  <c r="AE43" i="20" s="1"/>
  <c r="Y23" i="20"/>
  <c r="Y43" i="20" s="1"/>
  <c r="T23" i="20"/>
  <c r="T43" i="20" s="1"/>
  <c r="AE29" i="20"/>
  <c r="AD29" i="20"/>
  <c r="T29" i="20"/>
  <c r="Y29" i="20"/>
  <c r="T26" i="20"/>
  <c r="AE26" i="20"/>
  <c r="Y26" i="20"/>
  <c r="AD26" i="20"/>
  <c r="AE21" i="20"/>
  <c r="Y21" i="20"/>
  <c r="T21" i="20"/>
  <c r="AD21" i="20"/>
  <c r="AE35" i="20"/>
  <c r="AE55" i="20" s="1"/>
  <c r="Y35" i="20"/>
  <c r="Y55" i="20" s="1"/>
  <c r="AD35" i="20"/>
  <c r="AD55" i="20" s="1"/>
  <c r="T35" i="20"/>
  <c r="T55" i="20" s="1"/>
  <c r="AE18" i="20"/>
  <c r="T18" i="20"/>
  <c r="Y18" i="20"/>
  <c r="AD18" i="20"/>
  <c r="AE32" i="20"/>
  <c r="AD32" i="20"/>
  <c r="Y32" i="20"/>
  <c r="T32" i="20"/>
  <c r="Y27" i="20"/>
  <c r="Y47" i="20" s="1"/>
  <c r="AE27" i="20"/>
  <c r="AE47" i="20" s="1"/>
  <c r="T27" i="20"/>
  <c r="T47" i="20" s="1"/>
  <c r="AD27" i="20"/>
  <c r="AD47" i="20" s="1"/>
  <c r="AE24" i="20"/>
  <c r="AE44" i="20" s="1"/>
  <c r="Y24" i="20"/>
  <c r="Y44" i="20" s="1"/>
  <c r="T24" i="20"/>
  <c r="T44" i="20" s="1"/>
  <c r="AD24" i="20"/>
  <c r="AD44" i="20" s="1"/>
  <c r="T19" i="20"/>
  <c r="AD19" i="20"/>
  <c r="Y19" i="20"/>
  <c r="AE19" i="20"/>
  <c r="AE30" i="20"/>
  <c r="AE50" i="20" s="1"/>
  <c r="T30" i="20"/>
  <c r="T50" i="20" s="1"/>
  <c r="AD30" i="20"/>
  <c r="AD50" i="20" s="1"/>
  <c r="Y30" i="20"/>
  <c r="Y50" i="20" s="1"/>
  <c r="AE17" i="20"/>
  <c r="AD17" i="20"/>
  <c r="T17" i="20"/>
  <c r="Y17" i="20"/>
  <c r="AE33" i="20"/>
  <c r="AE53" i="20" s="1"/>
  <c r="Y33" i="20"/>
  <c r="Y53" i="20" s="1"/>
  <c r="T33" i="20"/>
  <c r="T53" i="20" s="1"/>
  <c r="AD33" i="20"/>
  <c r="AD53" i="20" s="1"/>
  <c r="AD22" i="20"/>
  <c r="T22" i="20"/>
  <c r="Y22" i="20"/>
  <c r="AE22" i="20"/>
  <c r="T28" i="20"/>
  <c r="T73" i="20" s="1"/>
  <c r="Y28" i="20"/>
  <c r="Y73" i="20" s="1"/>
  <c r="AD28" i="20"/>
  <c r="AD73" i="20" s="1"/>
  <c r="AE28" i="20"/>
  <c r="AE73" i="20" s="1"/>
  <c r="AH31" i="94"/>
  <c r="AH33" i="94"/>
  <c r="AH35" i="94"/>
  <c r="AH36" i="94"/>
  <c r="B22" i="101"/>
  <c r="G17" i="132" s="1"/>
  <c r="J26" i="122" s="1"/>
  <c r="J55" i="122" s="1"/>
  <c r="B20" i="101"/>
  <c r="O12" i="59" s="1"/>
  <c r="F11" i="116"/>
  <c r="K31" i="94"/>
  <c r="K39" i="94"/>
  <c r="K38" i="94"/>
  <c r="K37" i="94"/>
  <c r="K36" i="94"/>
  <c r="K35" i="94"/>
  <c r="K33" i="94"/>
  <c r="K34" i="94"/>
  <c r="K40" i="94"/>
  <c r="AB39" i="94"/>
  <c r="AX124" i="59"/>
  <c r="AS45" i="119" s="1"/>
  <c r="AL53" i="131"/>
  <c r="AN71" i="131"/>
  <c r="AG97" i="106"/>
  <c r="G48" i="82"/>
  <c r="Z48" i="82"/>
  <c r="V48" i="82"/>
  <c r="K7" i="132"/>
  <c r="N11" i="122" s="1"/>
  <c r="AP7" i="132"/>
  <c r="AS11" i="122" s="1"/>
  <c r="C59" i="82"/>
  <c r="R38" i="94"/>
  <c r="R39" i="94"/>
  <c r="R31" i="94"/>
  <c r="R33" i="94"/>
  <c r="R35" i="94"/>
  <c r="R36" i="94"/>
  <c r="W159" i="99"/>
  <c r="W180" i="99"/>
  <c r="W125" i="99"/>
  <c r="W64" i="99"/>
  <c r="W70" i="99"/>
  <c r="AH274" i="99"/>
  <c r="W170" i="99"/>
  <c r="W133" i="99"/>
  <c r="W51" i="99"/>
  <c r="W49" i="99"/>
  <c r="W78" i="99"/>
  <c r="E278" i="99"/>
  <c r="W181" i="99"/>
  <c r="W75" i="99"/>
  <c r="W66" i="99"/>
  <c r="W74" i="99"/>
  <c r="W80" i="99"/>
  <c r="W189" i="99"/>
  <c r="W131" i="99"/>
  <c r="W130" i="99"/>
  <c r="W145" i="99"/>
  <c r="F47" i="99"/>
  <c r="X76" i="99" s="1"/>
  <c r="W50" i="99"/>
  <c r="W57" i="99"/>
  <c r="O21" i="82"/>
  <c r="G21" i="82"/>
  <c r="W179" i="99"/>
  <c r="W275" i="99"/>
  <c r="G43" i="82"/>
  <c r="O43" i="82"/>
  <c r="O49" i="82"/>
  <c r="G49" i="82"/>
  <c r="O33" i="82"/>
  <c r="G33" i="82"/>
  <c r="G35" i="82"/>
  <c r="O35" i="82"/>
  <c r="G36" i="82"/>
  <c r="O36" i="82"/>
  <c r="W169" i="99"/>
  <c r="E198" i="99"/>
  <c r="W198" i="99" s="1"/>
  <c r="W264" i="99"/>
  <c r="G46" i="82"/>
  <c r="O46" i="82"/>
  <c r="G30" i="82"/>
  <c r="O30" i="82"/>
  <c r="G31" i="82"/>
  <c r="O31" i="82"/>
  <c r="G32" i="82"/>
  <c r="O32" i="82"/>
  <c r="AC274" i="99"/>
  <c r="AC277" i="99" s="1"/>
  <c r="AC278" i="99" s="1"/>
  <c r="F247" i="99"/>
  <c r="F275" i="99" s="1"/>
  <c r="X275" i="99" s="1"/>
  <c r="W271" i="99"/>
  <c r="W257" i="99"/>
  <c r="W187" i="99"/>
  <c r="W166" i="99"/>
  <c r="W151" i="99"/>
  <c r="W150" i="99"/>
  <c r="W144" i="99"/>
  <c r="W67" i="99"/>
  <c r="W139" i="99"/>
  <c r="W77" i="99"/>
  <c r="W58" i="99"/>
  <c r="W71" i="99"/>
  <c r="E82" i="99"/>
  <c r="C36" i="113"/>
  <c r="C37" i="113"/>
  <c r="W40" i="99"/>
  <c r="W43" i="99" s="1"/>
  <c r="W44" i="99" s="1"/>
  <c r="O15" i="20" s="1"/>
  <c r="W81" i="99"/>
  <c r="F169" i="99"/>
  <c r="E197" i="99"/>
  <c r="W197" i="99" s="1"/>
  <c r="O34" i="82"/>
  <c r="G34" i="82"/>
  <c r="G39" i="82"/>
  <c r="O39" i="82"/>
  <c r="F158" i="99"/>
  <c r="O29" i="82"/>
  <c r="G29" i="82"/>
  <c r="W243" i="99"/>
  <c r="G42" i="82"/>
  <c r="O42" i="82"/>
  <c r="G25" i="82"/>
  <c r="O26" i="82"/>
  <c r="G26" i="82"/>
  <c r="W272" i="99"/>
  <c r="W266" i="99"/>
  <c r="W269" i="99"/>
  <c r="W262" i="99"/>
  <c r="W244" i="99"/>
  <c r="W248" i="99"/>
  <c r="W137" i="99"/>
  <c r="W128" i="99"/>
  <c r="W152" i="99"/>
  <c r="W127" i="99"/>
  <c r="W149" i="99"/>
  <c r="W88" i="99"/>
  <c r="E120" i="99"/>
  <c r="W120" i="99" s="1"/>
  <c r="W156" i="99"/>
  <c r="W68" i="99"/>
  <c r="W126" i="99"/>
  <c r="W55" i="99"/>
  <c r="W47" i="99"/>
  <c r="F41" i="99"/>
  <c r="X41" i="99" s="1"/>
  <c r="F42" i="99"/>
  <c r="X42" i="99" s="1"/>
  <c r="W48" i="99"/>
  <c r="W54" i="99"/>
  <c r="W56" i="99"/>
  <c r="W276" i="99"/>
  <c r="W41" i="99"/>
  <c r="O53" i="82"/>
  <c r="G53" i="82"/>
  <c r="O37" i="82"/>
  <c r="G37" i="82"/>
  <c r="O48" i="82"/>
  <c r="F80" i="99"/>
  <c r="O45" i="82"/>
  <c r="G45" i="82"/>
  <c r="G27" i="82"/>
  <c r="O27" i="82"/>
  <c r="W267" i="99"/>
  <c r="W247" i="99"/>
  <c r="W263" i="99"/>
  <c r="W256" i="99"/>
  <c r="W136" i="99"/>
  <c r="W270" i="99"/>
  <c r="J7" i="132"/>
  <c r="M11" i="122" s="1"/>
  <c r="O44" i="82"/>
  <c r="G41" i="82"/>
  <c r="O41" i="82"/>
  <c r="G51" i="82"/>
  <c r="O51" i="82"/>
  <c r="W268" i="99"/>
  <c r="W253" i="99"/>
  <c r="W242" i="99"/>
  <c r="W193" i="99"/>
  <c r="W185" i="99"/>
  <c r="W177" i="99"/>
  <c r="W184" i="99"/>
  <c r="W176" i="99"/>
  <c r="W252" i="99"/>
  <c r="W186" i="99"/>
  <c r="W148" i="99"/>
  <c r="W155" i="99"/>
  <c r="W146" i="99"/>
  <c r="E160" i="99"/>
  <c r="W61" i="99"/>
  <c r="W53" i="99"/>
  <c r="O50" i="82"/>
  <c r="G50" i="82"/>
  <c r="G40" i="82"/>
  <c r="O40" i="82"/>
  <c r="G28" i="82"/>
  <c r="O28" i="82"/>
  <c r="W246" i="99"/>
  <c r="W196" i="99"/>
  <c r="W195" i="99"/>
  <c r="W249" i="99"/>
  <c r="W129" i="99"/>
  <c r="F81" i="99"/>
  <c r="X81" i="99" s="1"/>
  <c r="W158" i="99"/>
  <c r="G24" i="82"/>
  <c r="O24" i="82"/>
  <c r="G38" i="82"/>
  <c r="O38" i="82"/>
  <c r="G22" i="82"/>
  <c r="O22" i="82"/>
  <c r="O47" i="82"/>
  <c r="O52" i="82"/>
  <c r="W273" i="99"/>
  <c r="W259" i="99"/>
  <c r="W250" i="99"/>
  <c r="W254" i="99"/>
  <c r="W251" i="99"/>
  <c r="W192" i="99"/>
  <c r="W194" i="99"/>
  <c r="W135" i="99"/>
  <c r="W141" i="99"/>
  <c r="W134" i="99"/>
  <c r="F125" i="99"/>
  <c r="F159" i="99" s="1"/>
  <c r="X159" i="99" s="1"/>
  <c r="W138" i="99"/>
  <c r="W73" i="99"/>
  <c r="W154" i="99"/>
  <c r="W62" i="99"/>
  <c r="F91" i="99"/>
  <c r="E119" i="99"/>
  <c r="W119" i="99" s="1"/>
  <c r="AJ7" i="132"/>
  <c r="AM11" i="122" s="1"/>
  <c r="L56" i="82"/>
  <c r="I56" i="82"/>
  <c r="B23" i="101"/>
  <c r="G25" i="132" s="1"/>
  <c r="T54" i="82"/>
  <c r="AN7" i="132"/>
  <c r="AQ11" i="122" s="1"/>
  <c r="X7" i="132"/>
  <c r="AA11" i="122" s="1"/>
  <c r="E54" i="82"/>
  <c r="E55" i="82"/>
  <c r="I55" i="82"/>
  <c r="X54" i="82"/>
  <c r="H54" i="82"/>
  <c r="X55" i="82"/>
  <c r="H55" i="82"/>
  <c r="N54" i="82"/>
  <c r="T55" i="82"/>
  <c r="M55" i="82"/>
  <c r="L54" i="82"/>
  <c r="J54" i="82"/>
  <c r="L55" i="82"/>
  <c r="K54" i="82"/>
  <c r="AB55" i="82"/>
  <c r="W55" i="82"/>
  <c r="F54" i="82"/>
  <c r="S55" i="82"/>
  <c r="Y55" i="82"/>
  <c r="U54" i="82"/>
  <c r="U55" i="82"/>
  <c r="N55" i="82"/>
  <c r="S54" i="82"/>
  <c r="F55" i="82"/>
  <c r="I54" i="82"/>
  <c r="AB54" i="82"/>
  <c r="K55" i="82"/>
  <c r="W54" i="82"/>
  <c r="AA54" i="82"/>
  <c r="AA55" i="82"/>
  <c r="J55" i="82"/>
  <c r="M54" i="82"/>
  <c r="Y54" i="82"/>
  <c r="N56" i="82"/>
  <c r="AB56" i="82"/>
  <c r="U56" i="82"/>
  <c r="K56" i="82"/>
  <c r="F56" i="82"/>
  <c r="CE31" i="113"/>
  <c r="AC81" i="113"/>
  <c r="CE82" i="113"/>
  <c r="BD81" i="113"/>
  <c r="AF54" i="82" s="1"/>
  <c r="AC82" i="113"/>
  <c r="CE81" i="113"/>
  <c r="BD82" i="113"/>
  <c r="CE19" i="113"/>
  <c r="CE11" i="113"/>
  <c r="CE10" i="113"/>
  <c r="CE23" i="113"/>
  <c r="CE12" i="113"/>
  <c r="CE4" i="113"/>
  <c r="CE32" i="113"/>
  <c r="CE27" i="113"/>
  <c r="M56" i="82"/>
  <c r="Z7" i="132"/>
  <c r="AC11" i="122" s="1"/>
  <c r="L276" i="99"/>
  <c r="AD276" i="99" s="1"/>
  <c r="AL236" i="99"/>
  <c r="AM236" i="99" s="1"/>
  <c r="AN236" i="99" s="1"/>
  <c r="AO236" i="99" s="1"/>
  <c r="AP236" i="99" s="1"/>
  <c r="AQ236" i="99" s="1"/>
  <c r="AR236" i="99" s="1"/>
  <c r="AS236" i="99" s="1"/>
  <c r="AT236" i="99" s="1"/>
  <c r="AU236" i="99" s="1"/>
  <c r="AV236" i="99" s="1"/>
  <c r="AW236" i="99" s="1"/>
  <c r="AX236" i="99" s="1"/>
  <c r="AY236" i="99" s="1"/>
  <c r="AZ236" i="99" s="1"/>
  <c r="BA236" i="99" s="1"/>
  <c r="BB236" i="99" s="1"/>
  <c r="BC236" i="99" s="1"/>
  <c r="BD236" i="99" s="1"/>
  <c r="BE236" i="99" s="1"/>
  <c r="BF236" i="99" s="1"/>
  <c r="F276" i="99"/>
  <c r="AL237" i="99"/>
  <c r="AM237" i="99" s="1"/>
  <c r="AN237" i="99" s="1"/>
  <c r="AO237" i="99" s="1"/>
  <c r="AP237" i="99" s="1"/>
  <c r="AQ237" i="99" s="1"/>
  <c r="AR237" i="99" s="1"/>
  <c r="AS237" i="99" s="1"/>
  <c r="AT237" i="99" s="1"/>
  <c r="AU237" i="99" s="1"/>
  <c r="AV237" i="99" s="1"/>
  <c r="AW237" i="99" s="1"/>
  <c r="AX237" i="99" s="1"/>
  <c r="AY237" i="99" s="1"/>
  <c r="AZ237" i="99" s="1"/>
  <c r="BA237" i="99" s="1"/>
  <c r="BB237" i="99" s="1"/>
  <c r="BC237" i="99" s="1"/>
  <c r="BD237" i="99" s="1"/>
  <c r="BE237" i="99" s="1"/>
  <c r="BF237" i="99" s="1"/>
  <c r="R247" i="99"/>
  <c r="Q275" i="99"/>
  <c r="AI275" i="99" s="1"/>
  <c r="M247" i="99"/>
  <c r="L275" i="99"/>
  <c r="AD275" i="99" s="1"/>
  <c r="Q276" i="99"/>
  <c r="AI276" i="99" s="1"/>
  <c r="Q159" i="99"/>
  <c r="AI159" i="99" s="1"/>
  <c r="AI197" i="99"/>
  <c r="D237" i="99"/>
  <c r="E208" i="99"/>
  <c r="W216" i="99" s="1"/>
  <c r="D236" i="99"/>
  <c r="E237" i="99"/>
  <c r="L197" i="99"/>
  <c r="AD197" i="99" s="1"/>
  <c r="Q198" i="99"/>
  <c r="AI198" i="99" s="1"/>
  <c r="L198" i="99"/>
  <c r="AD198" i="99" s="1"/>
  <c r="L158" i="99"/>
  <c r="AD158" i="99" s="1"/>
  <c r="R130" i="99"/>
  <c r="Q158" i="99"/>
  <c r="AI158" i="99" s="1"/>
  <c r="L159" i="99"/>
  <c r="AD159" i="99" s="1"/>
  <c r="L120" i="99"/>
  <c r="AD120" i="99" s="1"/>
  <c r="Q119" i="99"/>
  <c r="AI119" i="99" s="1"/>
  <c r="D238" i="99"/>
  <c r="L119" i="99"/>
  <c r="AD119" i="99" s="1"/>
  <c r="Q42" i="99"/>
  <c r="AI42" i="99" s="1"/>
  <c r="Q120" i="99"/>
  <c r="AI120" i="99" s="1"/>
  <c r="L80" i="99"/>
  <c r="AD80" i="99" s="1"/>
  <c r="L81" i="99"/>
  <c r="AD81" i="99" s="1"/>
  <c r="L42" i="99"/>
  <c r="AD42" i="99" s="1"/>
  <c r="AI131" i="99"/>
  <c r="R47" i="99"/>
  <c r="S47" i="99" s="1"/>
  <c r="Q81" i="99"/>
  <c r="AI81" i="99" s="1"/>
  <c r="AI152" i="99"/>
  <c r="R13" i="99"/>
  <c r="R41" i="99" s="1"/>
  <c r="Q41" i="99"/>
  <c r="AI41" i="99" s="1"/>
  <c r="Q80" i="99"/>
  <c r="AI80" i="99" s="1"/>
  <c r="W113" i="99"/>
  <c r="W110" i="99"/>
  <c r="L41" i="99"/>
  <c r="AD41" i="99" s="1"/>
  <c r="AI135" i="99"/>
  <c r="AI117" i="99"/>
  <c r="AD193" i="99"/>
  <c r="AI141" i="99"/>
  <c r="AI111" i="99"/>
  <c r="W94" i="99"/>
  <c r="AI256" i="99"/>
  <c r="AI242" i="99"/>
  <c r="AI134" i="99"/>
  <c r="AI156" i="99"/>
  <c r="AI20" i="99"/>
  <c r="CE3" i="113"/>
  <c r="AI137" i="99"/>
  <c r="T56" i="82"/>
  <c r="AI142" i="99"/>
  <c r="AI155" i="99"/>
  <c r="AI147" i="99"/>
  <c r="W102" i="99"/>
  <c r="CE30" i="113"/>
  <c r="CE29" i="113"/>
  <c r="CE28" i="113"/>
  <c r="CE26" i="113"/>
  <c r="CE25" i="113"/>
  <c r="CE24" i="113"/>
  <c r="CE22" i="113"/>
  <c r="CE21" i="113"/>
  <c r="CE20" i="113"/>
  <c r="CE18" i="113"/>
  <c r="CE17" i="113"/>
  <c r="CE16" i="113"/>
  <c r="CE15" i="113"/>
  <c r="CE14" i="113"/>
  <c r="CE9" i="113"/>
  <c r="CE7" i="113"/>
  <c r="CE6" i="113"/>
  <c r="CE5" i="113"/>
  <c r="B59" i="82"/>
  <c r="AD170" i="99"/>
  <c r="AI173" i="99"/>
  <c r="AD177" i="99"/>
  <c r="AI184" i="99"/>
  <c r="AI140" i="99"/>
  <c r="AI128" i="99"/>
  <c r="R125" i="99"/>
  <c r="R159" i="99" s="1"/>
  <c r="AI130" i="99"/>
  <c r="AI149" i="99"/>
  <c r="AI145" i="99"/>
  <c r="AI77" i="99"/>
  <c r="AI143" i="99"/>
  <c r="R131" i="99"/>
  <c r="AI19" i="99"/>
  <c r="AI18" i="99"/>
  <c r="S56" i="82"/>
  <c r="AA56" i="82"/>
  <c r="AI146" i="99"/>
  <c r="AI138" i="99"/>
  <c r="AI153" i="99"/>
  <c r="AI148" i="99"/>
  <c r="Q160" i="99"/>
  <c r="AI88" i="99"/>
  <c r="AI157" i="99"/>
  <c r="AI127" i="99"/>
  <c r="AI139" i="99"/>
  <c r="AI133" i="99"/>
  <c r="AI129" i="99"/>
  <c r="AI154" i="99"/>
  <c r="Y56" i="82"/>
  <c r="X56" i="82"/>
  <c r="H56" i="82"/>
  <c r="AI273" i="99"/>
  <c r="AD184" i="99"/>
  <c r="AI177" i="99"/>
  <c r="W172" i="99"/>
  <c r="W178" i="99"/>
  <c r="AI144" i="99"/>
  <c r="AI132" i="99"/>
  <c r="AI125" i="99"/>
  <c r="W174" i="99"/>
  <c r="AI150" i="99"/>
  <c r="AI136" i="99"/>
  <c r="AI113" i="99"/>
  <c r="AI126" i="99"/>
  <c r="AI38" i="99"/>
  <c r="AI151" i="99"/>
  <c r="L7" i="132"/>
  <c r="O11" i="122" s="1"/>
  <c r="T7" i="132"/>
  <c r="W11" i="122" s="1"/>
  <c r="H7" i="132"/>
  <c r="K11" i="122" s="1"/>
  <c r="AB7" i="132"/>
  <c r="AE11" i="122" s="1"/>
  <c r="P7" i="132"/>
  <c r="S11" i="122" s="1"/>
  <c r="AK23" i="101"/>
  <c r="AX83" i="59" s="1"/>
  <c r="AJ23" i="101"/>
  <c r="AF23" i="101"/>
  <c r="AB23" i="101"/>
  <c r="X23" i="101"/>
  <c r="T23" i="101"/>
  <c r="P23" i="101"/>
  <c r="L23" i="101"/>
  <c r="Q25" i="132" s="1"/>
  <c r="H23" i="101"/>
  <c r="D23" i="101"/>
  <c r="AI22" i="101"/>
  <c r="AE22" i="101"/>
  <c r="AA22" i="101"/>
  <c r="W22" i="101"/>
  <c r="S22" i="101"/>
  <c r="O22" i="101"/>
  <c r="K22" i="101"/>
  <c r="G22" i="101"/>
  <c r="C22" i="101"/>
  <c r="AJ21" i="101"/>
  <c r="AF21" i="101"/>
  <c r="AB21" i="101"/>
  <c r="X21" i="101"/>
  <c r="T21" i="101"/>
  <c r="P21" i="101"/>
  <c r="L21" i="101"/>
  <c r="Q24" i="132" s="1"/>
  <c r="H21" i="101"/>
  <c r="D21" i="101"/>
  <c r="AJ20" i="101"/>
  <c r="AF20" i="101"/>
  <c r="AB20" i="101"/>
  <c r="X20" i="101"/>
  <c r="T20" i="101"/>
  <c r="P20" i="101"/>
  <c r="L20" i="101"/>
  <c r="Q15" i="132" s="1"/>
  <c r="T24" i="122" s="1"/>
  <c r="T53" i="122" s="1"/>
  <c r="H20" i="101"/>
  <c r="D20" i="101"/>
  <c r="O20" i="101"/>
  <c r="G20" i="101"/>
  <c r="AC23" i="101"/>
  <c r="I23" i="101"/>
  <c r="AF22" i="101"/>
  <c r="T22" i="101"/>
  <c r="H22" i="101"/>
  <c r="AK21" i="101"/>
  <c r="AP24" i="132" s="1"/>
  <c r="Y21" i="101"/>
  <c r="M21" i="101"/>
  <c r="R24" i="132" s="1"/>
  <c r="E21" i="101"/>
  <c r="AG20" i="101"/>
  <c r="Y20" i="101"/>
  <c r="Q20" i="101"/>
  <c r="I20" i="101"/>
  <c r="AI23" i="101"/>
  <c r="AE23" i="101"/>
  <c r="AA23" i="101"/>
  <c r="W23" i="101"/>
  <c r="S23" i="101"/>
  <c r="O23" i="101"/>
  <c r="K23" i="101"/>
  <c r="G23" i="101"/>
  <c r="C23" i="101"/>
  <c r="H25" i="132" s="1"/>
  <c r="AH22" i="101"/>
  <c r="AD22" i="101"/>
  <c r="Z22" i="101"/>
  <c r="V22" i="101"/>
  <c r="R22" i="101"/>
  <c r="N22" i="101"/>
  <c r="J22" i="101"/>
  <c r="F22" i="101"/>
  <c r="AI21" i="101"/>
  <c r="AE21" i="101"/>
  <c r="AA21" i="101"/>
  <c r="W21" i="101"/>
  <c r="S21" i="101"/>
  <c r="O21" i="101"/>
  <c r="K21" i="101"/>
  <c r="G21" i="101"/>
  <c r="C21" i="101"/>
  <c r="H24" i="132" s="1"/>
  <c r="AI20" i="101"/>
  <c r="AE20" i="101"/>
  <c r="AA20" i="101"/>
  <c r="W20" i="101"/>
  <c r="S20" i="101"/>
  <c r="K20" i="101"/>
  <c r="Y23" i="101"/>
  <c r="AJ22" i="101"/>
  <c r="X22" i="101"/>
  <c r="L22" i="101"/>
  <c r="Q17" i="132" s="1"/>
  <c r="T26" i="122" s="1"/>
  <c r="T55" i="122" s="1"/>
  <c r="AG21" i="101"/>
  <c r="U21" i="101"/>
  <c r="AH23" i="101"/>
  <c r="AD23" i="101"/>
  <c r="Z23" i="101"/>
  <c r="V23" i="101"/>
  <c r="R23" i="101"/>
  <c r="N23" i="101"/>
  <c r="J23" i="101"/>
  <c r="F23" i="101"/>
  <c r="AK22" i="101"/>
  <c r="AP12" i="132" s="1"/>
  <c r="AS16" i="122" s="1"/>
  <c r="AS50" i="122" s="1"/>
  <c r="AG22" i="101"/>
  <c r="AC22" i="101"/>
  <c r="Y22" i="101"/>
  <c r="U22" i="101"/>
  <c r="Q22" i="101"/>
  <c r="M22" i="101"/>
  <c r="R23" i="132" s="1"/>
  <c r="I22" i="101"/>
  <c r="E22" i="101"/>
  <c r="AH21" i="101"/>
  <c r="AD21" i="101"/>
  <c r="Z21" i="101"/>
  <c r="V21" i="101"/>
  <c r="R21" i="101"/>
  <c r="N21" i="101"/>
  <c r="J21" i="101"/>
  <c r="F21" i="101"/>
  <c r="B21" i="101"/>
  <c r="AH20" i="101"/>
  <c r="AD20" i="101"/>
  <c r="Z20" i="101"/>
  <c r="V20" i="101"/>
  <c r="R20" i="101"/>
  <c r="N20" i="101"/>
  <c r="J20" i="101"/>
  <c r="F20" i="101"/>
  <c r="AG23" i="101"/>
  <c r="U23" i="101"/>
  <c r="Q23" i="101"/>
  <c r="M23" i="101"/>
  <c r="R25" i="132" s="1"/>
  <c r="E23" i="101"/>
  <c r="AB22" i="101"/>
  <c r="P22" i="101"/>
  <c r="D22" i="101"/>
  <c r="AC21" i="101"/>
  <c r="Q21" i="101"/>
  <c r="I21" i="101"/>
  <c r="AK20" i="101"/>
  <c r="AP9" i="132" s="1"/>
  <c r="AS13" i="122" s="1"/>
  <c r="AS47" i="122" s="1"/>
  <c r="AC20" i="101"/>
  <c r="U20" i="101"/>
  <c r="M20" i="101"/>
  <c r="R22" i="132" s="1"/>
  <c r="E20" i="101"/>
  <c r="H11" i="116" s="1"/>
  <c r="AF7" i="132"/>
  <c r="AI11" i="122" s="1"/>
  <c r="W27" i="132"/>
  <c r="W26" i="132"/>
  <c r="V27" i="132"/>
  <c r="V26" i="132"/>
  <c r="L26" i="132"/>
  <c r="L27" i="132"/>
  <c r="Q26" i="132"/>
  <c r="Q27" i="132"/>
  <c r="AO7" i="132"/>
  <c r="AR11" i="122" s="1"/>
  <c r="Y7" i="132"/>
  <c r="AB11" i="122" s="1"/>
  <c r="I7" i="132"/>
  <c r="L11" i="122" s="1"/>
  <c r="AM7" i="132"/>
  <c r="AP11" i="122" s="1"/>
  <c r="AA7" i="132"/>
  <c r="AD11" i="122" s="1"/>
  <c r="AI7" i="132"/>
  <c r="AL11" i="122" s="1"/>
  <c r="W18" i="132"/>
  <c r="Z27" i="122" s="1"/>
  <c r="Z56" i="122" s="1"/>
  <c r="W14" i="132"/>
  <c r="Z18" i="122" s="1"/>
  <c r="Z52" i="122" s="1"/>
  <c r="W13" i="132"/>
  <c r="Z17" i="122" s="1"/>
  <c r="Z51" i="122" s="1"/>
  <c r="W16" i="132"/>
  <c r="Z25" i="122" s="1"/>
  <c r="Z54" i="122" s="1"/>
  <c r="V18" i="132"/>
  <c r="Y27" i="122" s="1"/>
  <c r="Y56" i="122" s="1"/>
  <c r="V16" i="132"/>
  <c r="Y25" i="122" s="1"/>
  <c r="Y54" i="122" s="1"/>
  <c r="V14" i="132"/>
  <c r="Y18" i="122" s="1"/>
  <c r="Y52" i="122" s="1"/>
  <c r="V13" i="132"/>
  <c r="Y17" i="122" s="1"/>
  <c r="Y51" i="122" s="1"/>
  <c r="AL7" i="132"/>
  <c r="AO11" i="122" s="1"/>
  <c r="AD7" i="132"/>
  <c r="AG11" i="122" s="1"/>
  <c r="V7" i="132"/>
  <c r="Y11" i="122" s="1"/>
  <c r="N7" i="132"/>
  <c r="Q11" i="122" s="1"/>
  <c r="Q18" i="132"/>
  <c r="T27" i="122" s="1"/>
  <c r="T56" i="122" s="1"/>
  <c r="Q16" i="132"/>
  <c r="T25" i="122" s="1"/>
  <c r="T54" i="122" s="1"/>
  <c r="Q13" i="132"/>
  <c r="T17" i="122" s="1"/>
  <c r="T51" i="122" s="1"/>
  <c r="Q14" i="132"/>
  <c r="T18" i="122" s="1"/>
  <c r="T52" i="122" s="1"/>
  <c r="AK7" i="132"/>
  <c r="AN11" i="122" s="1"/>
  <c r="U7" i="132"/>
  <c r="X11" i="122" s="1"/>
  <c r="W7" i="132"/>
  <c r="Z11" i="122" s="1"/>
  <c r="AE7" i="132"/>
  <c r="AH11" i="122" s="1"/>
  <c r="L18" i="132"/>
  <c r="O27" i="122" s="1"/>
  <c r="O56" i="122" s="1"/>
  <c r="L14" i="132"/>
  <c r="O18" i="122" s="1"/>
  <c r="O52" i="122" s="1"/>
  <c r="L16" i="132"/>
  <c r="O25" i="122" s="1"/>
  <c r="O54" i="122" s="1"/>
  <c r="L13" i="132"/>
  <c r="O17" i="122" s="1"/>
  <c r="O51" i="122" s="1"/>
  <c r="AG7" i="132"/>
  <c r="AJ11" i="122" s="1"/>
  <c r="Q7" i="132"/>
  <c r="T11" i="122" s="1"/>
  <c r="G7" i="132"/>
  <c r="J11" i="122" s="1"/>
  <c r="AH7" i="132"/>
  <c r="AK11" i="122" s="1"/>
  <c r="R7" i="132"/>
  <c r="U11" i="122" s="1"/>
  <c r="AC7" i="132"/>
  <c r="AF11" i="122" s="1"/>
  <c r="M7" i="132"/>
  <c r="P11" i="122" s="1"/>
  <c r="S7" i="132"/>
  <c r="V11" i="122" s="1"/>
  <c r="O7" i="132"/>
  <c r="R11" i="122" s="1"/>
  <c r="J56" i="82"/>
  <c r="CE13" i="113"/>
  <c r="W56" i="82"/>
  <c r="AL38" i="94"/>
  <c r="V36" i="94"/>
  <c r="AF33" i="94"/>
  <c r="T31" i="94"/>
  <c r="X33" i="94"/>
  <c r="AB31" i="94"/>
  <c r="AT38" i="94"/>
  <c r="AD36" i="94"/>
  <c r="N38" i="94"/>
  <c r="P35" i="94"/>
  <c r="AR38" i="94"/>
  <c r="AP36" i="94"/>
  <c r="Z36" i="94"/>
  <c r="AK8" i="101"/>
  <c r="AG8" i="101"/>
  <c r="AC8" i="101"/>
  <c r="Y8" i="101"/>
  <c r="U8" i="101"/>
  <c r="Q8" i="101"/>
  <c r="M8" i="101"/>
  <c r="I8" i="101"/>
  <c r="E8" i="101"/>
  <c r="AK7" i="101"/>
  <c r="AG7" i="101"/>
  <c r="AJ30" i="106" s="1"/>
  <c r="AC7" i="101"/>
  <c r="AF30" i="106" s="1"/>
  <c r="Y7" i="101"/>
  <c r="AB30" i="106" s="1"/>
  <c r="U7" i="101"/>
  <c r="X30" i="106" s="1"/>
  <c r="Q7" i="101"/>
  <c r="T30" i="106" s="1"/>
  <c r="M7" i="101"/>
  <c r="P30" i="106" s="1"/>
  <c r="I7" i="101"/>
  <c r="L30" i="106" s="1"/>
  <c r="E7" i="101"/>
  <c r="H30" i="106" s="1"/>
  <c r="W7" i="101"/>
  <c r="Z30" i="106" s="1"/>
  <c r="K7" i="101"/>
  <c r="N30" i="106" s="1"/>
  <c r="N7" i="101"/>
  <c r="Q30" i="106" s="1"/>
  <c r="AJ8" i="101"/>
  <c r="AF8" i="101"/>
  <c r="AB8" i="101"/>
  <c r="X8" i="101"/>
  <c r="T8" i="101"/>
  <c r="P8" i="101"/>
  <c r="L8" i="101"/>
  <c r="H8" i="101"/>
  <c r="D8" i="101"/>
  <c r="AJ7" i="101"/>
  <c r="AM30" i="106" s="1"/>
  <c r="AM33" i="106" s="1"/>
  <c r="AF7" i="101"/>
  <c r="AI30" i="106" s="1"/>
  <c r="AB7" i="101"/>
  <c r="AE30" i="106" s="1"/>
  <c r="X7" i="101"/>
  <c r="AA30" i="106" s="1"/>
  <c r="T7" i="101"/>
  <c r="W30" i="106" s="1"/>
  <c r="P7" i="101"/>
  <c r="S30" i="106" s="1"/>
  <c r="L7" i="101"/>
  <c r="O30" i="106" s="1"/>
  <c r="H7" i="101"/>
  <c r="K30" i="106" s="1"/>
  <c r="D7" i="101"/>
  <c r="G30" i="106" s="1"/>
  <c r="S7" i="101"/>
  <c r="V30" i="106" s="1"/>
  <c r="G7" i="101"/>
  <c r="J30" i="106" s="1"/>
  <c r="C7" i="101"/>
  <c r="F30" i="106" s="1"/>
  <c r="AI8" i="101"/>
  <c r="AE8" i="101"/>
  <c r="AA8" i="101"/>
  <c r="W8" i="101"/>
  <c r="S8" i="101"/>
  <c r="O8" i="101"/>
  <c r="K8" i="101"/>
  <c r="G8" i="101"/>
  <c r="C8" i="101"/>
  <c r="AI7" i="101"/>
  <c r="AL30" i="106" s="1"/>
  <c r="AE7" i="101"/>
  <c r="AH30" i="106" s="1"/>
  <c r="AA7" i="101"/>
  <c r="AD30" i="106" s="1"/>
  <c r="O7" i="101"/>
  <c r="R30" i="106" s="1"/>
  <c r="J7" i="101"/>
  <c r="M30" i="106" s="1"/>
  <c r="AH8" i="101"/>
  <c r="AD8" i="101"/>
  <c r="Z8" i="101"/>
  <c r="V8" i="101"/>
  <c r="R8" i="101"/>
  <c r="N8" i="101"/>
  <c r="J8" i="101"/>
  <c r="F8" i="101"/>
  <c r="B8" i="101"/>
  <c r="AH7" i="101"/>
  <c r="AK30" i="106" s="1"/>
  <c r="AD7" i="101"/>
  <c r="AG30" i="106" s="1"/>
  <c r="Z7" i="101"/>
  <c r="AC30" i="106" s="1"/>
  <c r="V7" i="101"/>
  <c r="Y30" i="106" s="1"/>
  <c r="R7" i="101"/>
  <c r="U30" i="106" s="1"/>
  <c r="AC85" i="113"/>
  <c r="CE35" i="113"/>
  <c r="H408" i="119"/>
  <c r="CE85" i="113"/>
  <c r="AD157" i="99"/>
  <c r="AI189" i="99"/>
  <c r="W114" i="99"/>
  <c r="AD90" i="99"/>
  <c r="W115" i="99"/>
  <c r="W105" i="99"/>
  <c r="W97" i="99"/>
  <c r="W89" i="99"/>
  <c r="AD47" i="99"/>
  <c r="AD13" i="99"/>
  <c r="W103" i="99"/>
  <c r="R18" i="99"/>
  <c r="S18" i="99" s="1"/>
  <c r="AI14" i="99"/>
  <c r="AD251" i="99"/>
  <c r="AI65" i="99"/>
  <c r="AI265" i="99"/>
  <c r="AD267" i="99"/>
  <c r="AD271" i="99"/>
  <c r="AI174" i="99"/>
  <c r="AI170" i="99"/>
  <c r="AC160" i="99"/>
  <c r="AC161" i="99" s="1"/>
  <c r="U110" i="110" s="1"/>
  <c r="W111" i="99"/>
  <c r="W109" i="99"/>
  <c r="W101" i="99"/>
  <c r="W93" i="99"/>
  <c r="AI73" i="99"/>
  <c r="AI112" i="99"/>
  <c r="W95" i="99"/>
  <c r="AI11" i="99"/>
  <c r="W99" i="99"/>
  <c r="P278" i="99"/>
  <c r="AI255" i="99"/>
  <c r="AI247" i="99"/>
  <c r="AI190" i="99"/>
  <c r="W226" i="99"/>
  <c r="AI196" i="99"/>
  <c r="AI172" i="99"/>
  <c r="AI176" i="99"/>
  <c r="W112" i="99"/>
  <c r="W171" i="99"/>
  <c r="AC43" i="99"/>
  <c r="AC44" i="99" s="1"/>
  <c r="U15" i="20" s="1"/>
  <c r="W106" i="99"/>
  <c r="W98" i="99"/>
  <c r="W90" i="99"/>
  <c r="AI51" i="99"/>
  <c r="AH43" i="99"/>
  <c r="AH44" i="99" s="1"/>
  <c r="Z15" i="20" s="1"/>
  <c r="AI31" i="99"/>
  <c r="W117" i="99"/>
  <c r="W107" i="99"/>
  <c r="W91" i="99"/>
  <c r="AI28" i="99"/>
  <c r="N265" i="99"/>
  <c r="S249" i="99"/>
  <c r="G226" i="99"/>
  <c r="G269" i="99"/>
  <c r="H262" i="99"/>
  <c r="Q277" i="99"/>
  <c r="N271" i="99"/>
  <c r="N244" i="99"/>
  <c r="G185" i="99"/>
  <c r="G257" i="99"/>
  <c r="G251" i="99"/>
  <c r="G172" i="99"/>
  <c r="G145" i="99"/>
  <c r="M260" i="99"/>
  <c r="AD260" i="99"/>
  <c r="M206" i="99"/>
  <c r="M154" i="99"/>
  <c r="AD154" i="99"/>
  <c r="M130" i="99"/>
  <c r="AD130" i="99"/>
  <c r="M113" i="99"/>
  <c r="AD113" i="99"/>
  <c r="H233" i="99"/>
  <c r="L199" i="99"/>
  <c r="AD164" i="99"/>
  <c r="AD191" i="99"/>
  <c r="AD183" i="99"/>
  <c r="M164" i="99"/>
  <c r="AD194" i="99"/>
  <c r="AD186" i="99"/>
  <c r="AD178" i="99"/>
  <c r="S155" i="99"/>
  <c r="N145" i="99"/>
  <c r="G174" i="99"/>
  <c r="G153" i="99"/>
  <c r="G140" i="99"/>
  <c r="G134" i="99"/>
  <c r="G115" i="99"/>
  <c r="N112" i="99"/>
  <c r="G190" i="99"/>
  <c r="AI165" i="99"/>
  <c r="S133" i="99"/>
  <c r="S154" i="99"/>
  <c r="S106" i="99"/>
  <c r="S98" i="99"/>
  <c r="S90" i="99"/>
  <c r="S65" i="99"/>
  <c r="S118" i="99"/>
  <c r="M56" i="99"/>
  <c r="AD56" i="99"/>
  <c r="M38" i="99"/>
  <c r="AD38" i="99"/>
  <c r="M22" i="99"/>
  <c r="AD22" i="99"/>
  <c r="G154" i="99"/>
  <c r="N102" i="99"/>
  <c r="N90" i="99"/>
  <c r="R72" i="99"/>
  <c r="AI72" i="99"/>
  <c r="H272" i="99"/>
  <c r="S137" i="99"/>
  <c r="AD73" i="99"/>
  <c r="AI55" i="99"/>
  <c r="X24" i="99"/>
  <c r="G24" i="99"/>
  <c r="G55" i="99"/>
  <c r="S49" i="99"/>
  <c r="X36" i="99"/>
  <c r="G36" i="99"/>
  <c r="X26" i="99"/>
  <c r="G26" i="99"/>
  <c r="S56" i="99"/>
  <c r="S32" i="99"/>
  <c r="H103" i="99"/>
  <c r="AD59" i="99"/>
  <c r="AD55" i="99"/>
  <c r="N31" i="99"/>
  <c r="N13" i="99"/>
  <c r="N49" i="99"/>
  <c r="S50" i="99"/>
  <c r="AI251" i="99"/>
  <c r="AI271" i="99"/>
  <c r="AI263" i="99"/>
  <c r="G267" i="99"/>
  <c r="AD265" i="99"/>
  <c r="H260" i="99"/>
  <c r="AD254" i="99"/>
  <c r="H252" i="99"/>
  <c r="AI249" i="99"/>
  <c r="G243" i="99"/>
  <c r="G235" i="99"/>
  <c r="H224" i="99"/>
  <c r="H274" i="99"/>
  <c r="M264" i="99"/>
  <c r="AD264" i="99"/>
  <c r="N259" i="99"/>
  <c r="M256" i="99"/>
  <c r="AD256" i="99"/>
  <c r="G255" i="99"/>
  <c r="S254" i="99"/>
  <c r="G253" i="99"/>
  <c r="AI246" i="99"/>
  <c r="S243" i="99"/>
  <c r="L277" i="99"/>
  <c r="AD274" i="99" s="1"/>
  <c r="N269" i="99"/>
  <c r="H264" i="99"/>
  <c r="R260" i="99"/>
  <c r="AI260" i="99"/>
  <c r="AI253" i="99"/>
  <c r="AD247" i="99"/>
  <c r="AD245" i="99"/>
  <c r="AH277" i="99"/>
  <c r="AH278" i="99" s="1"/>
  <c r="N249" i="99"/>
  <c r="AI194" i="99"/>
  <c r="S190" i="99"/>
  <c r="G189" i="99"/>
  <c r="AD181" i="99"/>
  <c r="AI178" i="99"/>
  <c r="R270" i="99"/>
  <c r="AI270" i="99"/>
  <c r="H215" i="99"/>
  <c r="AD196" i="99"/>
  <c r="S193" i="99"/>
  <c r="G192" i="99"/>
  <c r="AD188" i="99"/>
  <c r="S185" i="99"/>
  <c r="AI181" i="99"/>
  <c r="G180" i="99"/>
  <c r="AL235" i="99"/>
  <c r="AM235" i="99" s="1"/>
  <c r="AN235" i="99" s="1"/>
  <c r="AO235" i="99" s="1"/>
  <c r="AP235" i="99" s="1"/>
  <c r="AQ235" i="99" s="1"/>
  <c r="AR235" i="99" s="1"/>
  <c r="AS235" i="99" s="1"/>
  <c r="AT235" i="99" s="1"/>
  <c r="AU235" i="99" s="1"/>
  <c r="AV235" i="99" s="1"/>
  <c r="AW235" i="99" s="1"/>
  <c r="AX235" i="99" s="1"/>
  <c r="AY235" i="99" s="1"/>
  <c r="AZ235" i="99" s="1"/>
  <c r="BA235" i="99" s="1"/>
  <c r="BB235" i="99" s="1"/>
  <c r="BC235" i="99" s="1"/>
  <c r="BD235" i="99" s="1"/>
  <c r="BE235" i="99" s="1"/>
  <c r="BF235" i="99" s="1"/>
  <c r="G216" i="99"/>
  <c r="S196" i="99"/>
  <c r="AI175" i="99"/>
  <c r="G141" i="99"/>
  <c r="G244" i="99"/>
  <c r="AI187" i="99"/>
  <c r="G186" i="99"/>
  <c r="AD182" i="99"/>
  <c r="G170" i="99"/>
  <c r="R168" i="99"/>
  <c r="AI168" i="99"/>
  <c r="M152" i="99"/>
  <c r="AD152" i="99"/>
  <c r="M128" i="99"/>
  <c r="AD128" i="99"/>
  <c r="G231" i="99"/>
  <c r="AI192" i="99"/>
  <c r="S184" i="99"/>
  <c r="S176" i="99"/>
  <c r="M173" i="99"/>
  <c r="AD173" i="99"/>
  <c r="I168" i="99"/>
  <c r="S148" i="99"/>
  <c r="AD145" i="99"/>
  <c r="N139" i="99"/>
  <c r="G137" i="99"/>
  <c r="N133" i="99"/>
  <c r="G131" i="99"/>
  <c r="Q121" i="99"/>
  <c r="AI86" i="99"/>
  <c r="R86" i="99"/>
  <c r="M252" i="99"/>
  <c r="AD252" i="99"/>
  <c r="AM203" i="99"/>
  <c r="AI191" i="99"/>
  <c r="S157" i="99"/>
  <c r="S150" i="99"/>
  <c r="S136" i="99"/>
  <c r="AD135" i="99"/>
  <c r="S113" i="99"/>
  <c r="AD112" i="99"/>
  <c r="I205" i="99"/>
  <c r="W190" i="99"/>
  <c r="AI183" i="99"/>
  <c r="N166" i="99"/>
  <c r="Q199" i="99"/>
  <c r="AD155" i="99"/>
  <c r="S152" i="99"/>
  <c r="S145" i="99"/>
  <c r="N141" i="99"/>
  <c r="G182" i="99"/>
  <c r="S114" i="99"/>
  <c r="N108" i="99"/>
  <c r="N104" i="99"/>
  <c r="N100" i="99"/>
  <c r="N96" i="99"/>
  <c r="N92" i="99"/>
  <c r="N88" i="99"/>
  <c r="AD77" i="99"/>
  <c r="AI75" i="99"/>
  <c r="N71" i="99"/>
  <c r="AI69" i="99"/>
  <c r="AI67" i="99"/>
  <c r="AD63" i="99"/>
  <c r="AM82" i="99"/>
  <c r="AM83" i="99" s="1"/>
  <c r="AE47" i="110" s="1"/>
  <c r="AE48" i="110" s="1"/>
  <c r="Z329" i="119" s="1"/>
  <c r="AN47" i="99"/>
  <c r="G63" i="99"/>
  <c r="AD174" i="99"/>
  <c r="AI118" i="99"/>
  <c r="AD116" i="99"/>
  <c r="AC121" i="99"/>
  <c r="AC122" i="99" s="1"/>
  <c r="U51" i="110" s="1"/>
  <c r="U52" i="110" s="1"/>
  <c r="P328" i="119" s="1"/>
  <c r="N79" i="99"/>
  <c r="N75" i="99"/>
  <c r="G73" i="99"/>
  <c r="AD70" i="99"/>
  <c r="M70" i="99"/>
  <c r="R66" i="99"/>
  <c r="AI66" i="99"/>
  <c r="G65" i="99"/>
  <c r="AD60" i="99"/>
  <c r="M60" i="99"/>
  <c r="M54" i="99"/>
  <c r="AD54" i="99"/>
  <c r="M50" i="99"/>
  <c r="AD50" i="99"/>
  <c r="M28" i="99"/>
  <c r="AD28" i="99"/>
  <c r="M20" i="99"/>
  <c r="AD20" i="99"/>
  <c r="M12" i="99"/>
  <c r="AD12" i="99"/>
  <c r="G139" i="99"/>
  <c r="R109" i="99"/>
  <c r="AI109" i="99"/>
  <c r="R105" i="99"/>
  <c r="AI105" i="99"/>
  <c r="R101" i="99"/>
  <c r="AI101" i="99"/>
  <c r="R97" i="99"/>
  <c r="AI97" i="99"/>
  <c r="R93" i="99"/>
  <c r="AI93" i="99"/>
  <c r="R89" i="99"/>
  <c r="AI89" i="99"/>
  <c r="AD78" i="99"/>
  <c r="M78" i="99"/>
  <c r="X77" i="99"/>
  <c r="G77" i="99"/>
  <c r="AD74" i="99"/>
  <c r="M74" i="99"/>
  <c r="N59" i="99"/>
  <c r="AD165" i="99"/>
  <c r="G126" i="99"/>
  <c r="AD115" i="99"/>
  <c r="AD110" i="99"/>
  <c r="AI108" i="99"/>
  <c r="AD106" i="99"/>
  <c r="AI104" i="99"/>
  <c r="AD102" i="99"/>
  <c r="AI100" i="99"/>
  <c r="AD98" i="99"/>
  <c r="AI96" i="99"/>
  <c r="AD94" i="99"/>
  <c r="AI92" i="99"/>
  <c r="G88" i="99"/>
  <c r="AD72" i="99"/>
  <c r="M72" i="99"/>
  <c r="G71" i="99"/>
  <c r="AD65" i="99"/>
  <c r="H101" i="99"/>
  <c r="AI34" i="99"/>
  <c r="G27" i="99"/>
  <c r="X27" i="99"/>
  <c r="S21" i="99"/>
  <c r="N17" i="99"/>
  <c r="H97" i="99"/>
  <c r="S58" i="99"/>
  <c r="S52" i="99"/>
  <c r="AI49" i="99"/>
  <c r="AD37" i="99"/>
  <c r="S28" i="99"/>
  <c r="N27" i="99"/>
  <c r="AI15" i="99"/>
  <c r="N11" i="99"/>
  <c r="X8" i="99"/>
  <c r="G8" i="99"/>
  <c r="S53" i="99"/>
  <c r="S37" i="99"/>
  <c r="S29" i="99"/>
  <c r="AI22" i="99"/>
  <c r="S9" i="99"/>
  <c r="AI47" i="99"/>
  <c r="AD35" i="99"/>
  <c r="G57" i="99"/>
  <c r="AI54" i="99"/>
  <c r="S51" i="99"/>
  <c r="S38" i="99"/>
  <c r="AI35" i="99"/>
  <c r="AD31" i="99"/>
  <c r="X30" i="99"/>
  <c r="G30" i="99"/>
  <c r="S20" i="99"/>
  <c r="AI17" i="99"/>
  <c r="X12" i="99"/>
  <c r="G12" i="99"/>
  <c r="H99" i="99"/>
  <c r="H58" i="99"/>
  <c r="S14" i="99"/>
  <c r="G59" i="99"/>
  <c r="AD51" i="99"/>
  <c r="S39" i="99"/>
  <c r="S31" i="99"/>
  <c r="AI24" i="99"/>
  <c r="R272" i="99"/>
  <c r="AI272" i="99"/>
  <c r="N242" i="99"/>
  <c r="R268" i="99"/>
  <c r="AI268" i="99"/>
  <c r="S188" i="99"/>
  <c r="S175" i="99"/>
  <c r="G179" i="99"/>
  <c r="M175" i="99"/>
  <c r="AD175" i="99"/>
  <c r="G219" i="99"/>
  <c r="G151" i="99"/>
  <c r="G114" i="99"/>
  <c r="S147" i="99"/>
  <c r="AD142" i="99"/>
  <c r="N135" i="99"/>
  <c r="S127" i="99"/>
  <c r="AD118" i="99"/>
  <c r="I225" i="99"/>
  <c r="S183" i="99"/>
  <c r="AO199" i="99"/>
  <c r="AO200" i="99" s="1"/>
  <c r="AG55" i="110" s="1"/>
  <c r="AG56" i="110" s="1"/>
  <c r="AB28" i="119" s="1"/>
  <c r="AP164" i="99"/>
  <c r="S102" i="99"/>
  <c r="S73" i="99"/>
  <c r="AD66" i="99"/>
  <c r="M66" i="99"/>
  <c r="N174" i="99"/>
  <c r="G129" i="99"/>
  <c r="AD71" i="99"/>
  <c r="S63" i="99"/>
  <c r="M30" i="99"/>
  <c r="AD30" i="99"/>
  <c r="M8" i="99"/>
  <c r="AD8" i="99"/>
  <c r="N110" i="99"/>
  <c r="N98" i="99"/>
  <c r="G142" i="99"/>
  <c r="AI71" i="99"/>
  <c r="AI61" i="99"/>
  <c r="AI52" i="99"/>
  <c r="N37" i="99"/>
  <c r="G31" i="99"/>
  <c r="X31" i="99"/>
  <c r="AD27" i="99"/>
  <c r="X10" i="99"/>
  <c r="G10" i="99"/>
  <c r="X16" i="99"/>
  <c r="G16" i="99"/>
  <c r="H76" i="99"/>
  <c r="S35" i="99"/>
  <c r="G23" i="99"/>
  <c r="X23" i="99"/>
  <c r="AD57" i="99"/>
  <c r="X32" i="99"/>
  <c r="G32" i="99"/>
  <c r="X17" i="99"/>
  <c r="G17" i="99"/>
  <c r="AI59" i="99"/>
  <c r="AD25" i="99"/>
  <c r="S273" i="99"/>
  <c r="M272" i="99"/>
  <c r="AD272" i="99"/>
  <c r="AI269" i="99"/>
  <c r="AI261" i="99"/>
  <c r="M262" i="99"/>
  <c r="AD262" i="99"/>
  <c r="S257" i="99"/>
  <c r="AI248" i="99"/>
  <c r="J230" i="99"/>
  <c r="H222" i="99"/>
  <c r="H270" i="99"/>
  <c r="R266" i="99"/>
  <c r="AI266" i="99"/>
  <c r="G261" i="99"/>
  <c r="AD259" i="99"/>
  <c r="I254" i="99"/>
  <c r="M248" i="99"/>
  <c r="AD248" i="99"/>
  <c r="S246" i="99"/>
  <c r="G245" i="99"/>
  <c r="AI243" i="99"/>
  <c r="G242" i="99"/>
  <c r="AD269" i="99"/>
  <c r="N261" i="99"/>
  <c r="AI252" i="99"/>
  <c r="S245" i="99"/>
  <c r="M268" i="99"/>
  <c r="AD268" i="99"/>
  <c r="H258" i="99"/>
  <c r="K217" i="99"/>
  <c r="S194" i="99"/>
  <c r="G193" i="99"/>
  <c r="AD185" i="99"/>
  <c r="AI182" i="99"/>
  <c r="S178" i="99"/>
  <c r="G177" i="99"/>
  <c r="I234" i="99"/>
  <c r="AI193" i="99"/>
  <c r="AI185" i="99"/>
  <c r="G184" i="99"/>
  <c r="AD176" i="99"/>
  <c r="H266" i="99"/>
  <c r="G228" i="99"/>
  <c r="M207" i="99"/>
  <c r="AI180" i="99"/>
  <c r="H175" i="99"/>
  <c r="AI171" i="99"/>
  <c r="R250" i="99"/>
  <c r="AI250" i="99"/>
  <c r="H214" i="99"/>
  <c r="G209" i="99"/>
  <c r="S195" i="99"/>
  <c r="G187" i="99"/>
  <c r="S179" i="99"/>
  <c r="G166" i="99"/>
  <c r="M150" i="99"/>
  <c r="AD150" i="99"/>
  <c r="M136" i="99"/>
  <c r="AD136" i="99"/>
  <c r="M126" i="99"/>
  <c r="AD146" i="99"/>
  <c r="AD140" i="99"/>
  <c r="AD126" i="99"/>
  <c r="R262" i="99"/>
  <c r="AI262" i="99"/>
  <c r="G248" i="99"/>
  <c r="G218" i="99"/>
  <c r="S192" i="99"/>
  <c r="AD257" i="99"/>
  <c r="H165" i="99"/>
  <c r="S153" i="99"/>
  <c r="N149" i="99"/>
  <c r="G148" i="99"/>
  <c r="AD139" i="99"/>
  <c r="AD133" i="99"/>
  <c r="S128" i="99"/>
  <c r="AD111" i="99"/>
  <c r="L121" i="99"/>
  <c r="AD86" i="99"/>
  <c r="AD117" i="99"/>
  <c r="M86" i="99"/>
  <c r="AD195" i="99"/>
  <c r="G191" i="99"/>
  <c r="G167" i="99"/>
  <c r="E199" i="99"/>
  <c r="W164" i="99"/>
  <c r="W175" i="99"/>
  <c r="W165" i="99"/>
  <c r="F164" i="99"/>
  <c r="X181" i="99" s="1"/>
  <c r="W173" i="99"/>
  <c r="W168" i="99"/>
  <c r="N151" i="99"/>
  <c r="G150" i="99"/>
  <c r="N143" i="99"/>
  <c r="N137" i="99"/>
  <c r="G136" i="99"/>
  <c r="N131" i="99"/>
  <c r="G130" i="99"/>
  <c r="AO160" i="99"/>
  <c r="AO161" i="99" s="1"/>
  <c r="AG110" i="110" s="1"/>
  <c r="AP125" i="99"/>
  <c r="S116" i="99"/>
  <c r="AI115" i="99"/>
  <c r="N114" i="99"/>
  <c r="G113" i="99"/>
  <c r="I210" i="99"/>
  <c r="W203" i="99"/>
  <c r="AD187" i="99"/>
  <c r="G183" i="99"/>
  <c r="AD166" i="99"/>
  <c r="S164" i="99"/>
  <c r="G157" i="99"/>
  <c r="N153" i="99"/>
  <c r="G152" i="99"/>
  <c r="G147" i="99"/>
  <c r="AD141" i="99"/>
  <c r="G138" i="99"/>
  <c r="G132" i="99"/>
  <c r="G127" i="99"/>
  <c r="N125" i="99"/>
  <c r="AH121" i="99"/>
  <c r="AH122" i="99" s="1"/>
  <c r="Z51" i="110" s="1"/>
  <c r="Z52" i="110" s="1"/>
  <c r="U328" i="119" s="1"/>
  <c r="W182" i="99"/>
  <c r="S156" i="99"/>
  <c r="AI114" i="99"/>
  <c r="R107" i="99"/>
  <c r="AI107" i="99"/>
  <c r="R103" i="99"/>
  <c r="AI103" i="99"/>
  <c r="R99" i="99"/>
  <c r="AI99" i="99"/>
  <c r="R95" i="99"/>
  <c r="AI95" i="99"/>
  <c r="R91" i="99"/>
  <c r="AI91" i="99"/>
  <c r="R87" i="99"/>
  <c r="AI87" i="99"/>
  <c r="AI79" i="99"/>
  <c r="AD76" i="99"/>
  <c r="M76" i="99"/>
  <c r="G75" i="99"/>
  <c r="R70" i="99"/>
  <c r="AI70" i="99"/>
  <c r="AD68" i="99"/>
  <c r="M68" i="99"/>
  <c r="G67" i="99"/>
  <c r="AD62" i="99"/>
  <c r="M62" i="99"/>
  <c r="R64" i="99"/>
  <c r="AI64" i="99"/>
  <c r="S59" i="99"/>
  <c r="AC82" i="99"/>
  <c r="AC83" i="99" s="1"/>
  <c r="U47" i="110" s="1"/>
  <c r="U48" i="110" s="1"/>
  <c r="P24" i="119" s="1"/>
  <c r="L23" i="138" s="1"/>
  <c r="AD179" i="99"/>
  <c r="G149" i="99"/>
  <c r="S143" i="99"/>
  <c r="G133" i="99"/>
  <c r="I118" i="99"/>
  <c r="AI110" i="99"/>
  <c r="AD108" i="99"/>
  <c r="AI106" i="99"/>
  <c r="AD104" i="99"/>
  <c r="AI102" i="99"/>
  <c r="AD100" i="99"/>
  <c r="AI98" i="99"/>
  <c r="AD96" i="99"/>
  <c r="AI94" i="99"/>
  <c r="AD92" i="99"/>
  <c r="AI90" i="99"/>
  <c r="AD88" i="99"/>
  <c r="R78" i="99"/>
  <c r="AI78" i="99"/>
  <c r="R74" i="99"/>
  <c r="AI74" i="99"/>
  <c r="M58" i="99"/>
  <c r="AD58" i="99"/>
  <c r="AH82" i="99"/>
  <c r="AH83" i="99" s="1"/>
  <c r="Z47" i="110" s="1"/>
  <c r="Z48" i="110" s="1"/>
  <c r="U329" i="119" s="1"/>
  <c r="M36" i="99"/>
  <c r="AD36" i="99"/>
  <c r="M32" i="99"/>
  <c r="AD32" i="99"/>
  <c r="M26" i="99"/>
  <c r="AD26" i="99"/>
  <c r="M18" i="99"/>
  <c r="AD18" i="99"/>
  <c r="M10" i="99"/>
  <c r="AD10" i="99"/>
  <c r="N263" i="99"/>
  <c r="G156" i="99"/>
  <c r="S151" i="99"/>
  <c r="S71" i="99"/>
  <c r="AD67" i="99"/>
  <c r="AD61" i="99"/>
  <c r="N147" i="99"/>
  <c r="N115" i="99"/>
  <c r="AD109" i="99"/>
  <c r="M109" i="99"/>
  <c r="G108" i="99"/>
  <c r="AD105" i="99"/>
  <c r="M105" i="99"/>
  <c r="G104" i="99"/>
  <c r="AD101" i="99"/>
  <c r="M101" i="99"/>
  <c r="G100" i="99"/>
  <c r="AD97" i="99"/>
  <c r="M97" i="99"/>
  <c r="G96" i="99"/>
  <c r="AD93" i="99"/>
  <c r="M93" i="99"/>
  <c r="G92" i="99"/>
  <c r="AD89" i="99"/>
  <c r="M89" i="99"/>
  <c r="H78" i="99"/>
  <c r="R76" i="99"/>
  <c r="AI76" i="99"/>
  <c r="H74" i="99"/>
  <c r="AD69" i="99"/>
  <c r="AD64" i="99"/>
  <c r="M64" i="99"/>
  <c r="R62" i="99"/>
  <c r="AI62" i="99"/>
  <c r="S34" i="99"/>
  <c r="AI21" i="99"/>
  <c r="AD17" i="99"/>
  <c r="AI13" i="99"/>
  <c r="AI60" i="99"/>
  <c r="S57" i="99"/>
  <c r="AD53" i="99"/>
  <c r="G39" i="99"/>
  <c r="X39" i="99"/>
  <c r="AI36" i="99"/>
  <c r="S33" i="99"/>
  <c r="AD29" i="99"/>
  <c r="AI26" i="99"/>
  <c r="S23" i="99"/>
  <c r="AD19" i="99"/>
  <c r="X13" i="99"/>
  <c r="G13" i="99"/>
  <c r="AI10" i="99"/>
  <c r="N9" i="99"/>
  <c r="H105" i="99"/>
  <c r="AI53" i="99"/>
  <c r="G48" i="99"/>
  <c r="AI37" i="99"/>
  <c r="AI29" i="99"/>
  <c r="S22" i="99"/>
  <c r="X14" i="99"/>
  <c r="G14" i="99"/>
  <c r="AI9" i="99"/>
  <c r="G50" i="99"/>
  <c r="Q82" i="99"/>
  <c r="X34" i="99"/>
  <c r="G34" i="99"/>
  <c r="X11" i="99"/>
  <c r="G11" i="99"/>
  <c r="H109" i="99"/>
  <c r="H93" i="99"/>
  <c r="H64" i="99"/>
  <c r="S54" i="99"/>
  <c r="N39" i="99"/>
  <c r="G33" i="99"/>
  <c r="X33" i="99"/>
  <c r="AI30" i="99"/>
  <c r="S25" i="99"/>
  <c r="AD21" i="99"/>
  <c r="X20" i="99"/>
  <c r="G20" i="99"/>
  <c r="G15" i="99"/>
  <c r="X15" i="99"/>
  <c r="AI12" i="99"/>
  <c r="AO8" i="99"/>
  <c r="AN43" i="99"/>
  <c r="AN44" i="99" s="1"/>
  <c r="AF15" i="20" s="1"/>
  <c r="G56" i="99"/>
  <c r="AI40" i="99"/>
  <c r="N33" i="99"/>
  <c r="S27" i="99"/>
  <c r="X22" i="99"/>
  <c r="G22" i="99"/>
  <c r="N15" i="99"/>
  <c r="H95" i="99"/>
  <c r="H62" i="99"/>
  <c r="N51" i="99"/>
  <c r="AI39" i="99"/>
  <c r="S24" i="99"/>
  <c r="G273" i="99"/>
  <c r="M270" i="99"/>
  <c r="AD270" i="99"/>
  <c r="R258" i="99"/>
  <c r="AI258" i="99"/>
  <c r="AI254" i="99"/>
  <c r="M258" i="99"/>
  <c r="AD258" i="99"/>
  <c r="S253" i="99"/>
  <c r="AI244" i="99"/>
  <c r="G265" i="99"/>
  <c r="AD249" i="99"/>
  <c r="S186" i="99"/>
  <c r="S181" i="99"/>
  <c r="G176" i="99"/>
  <c r="F212" i="99"/>
  <c r="G195" i="99"/>
  <c r="S187" i="99"/>
  <c r="M144" i="99"/>
  <c r="AD144" i="99"/>
  <c r="G227" i="99"/>
  <c r="M167" i="99"/>
  <c r="AD167" i="99"/>
  <c r="AD129" i="99"/>
  <c r="S191" i="99"/>
  <c r="R166" i="99"/>
  <c r="AI166" i="99"/>
  <c r="AI167" i="99"/>
  <c r="I116" i="99"/>
  <c r="G203" i="99"/>
  <c r="N155" i="99"/>
  <c r="S149" i="99"/>
  <c r="S139" i="99"/>
  <c r="S129" i="99"/>
  <c r="S110" i="99"/>
  <c r="S94" i="99"/>
  <c r="N116" i="99"/>
  <c r="S77" i="99"/>
  <c r="N67" i="99"/>
  <c r="M48" i="99"/>
  <c r="AD48" i="99"/>
  <c r="M34" i="99"/>
  <c r="AD34" i="99"/>
  <c r="M14" i="99"/>
  <c r="AD14" i="99"/>
  <c r="N157" i="99"/>
  <c r="N106" i="99"/>
  <c r="N94" i="99"/>
  <c r="AD79" i="99"/>
  <c r="AD75" i="99"/>
  <c r="AI63" i="99"/>
  <c r="AD127" i="99"/>
  <c r="S16" i="99"/>
  <c r="AI58" i="99"/>
  <c r="X21" i="99"/>
  <c r="G21" i="99"/>
  <c r="S15" i="99"/>
  <c r="AD11" i="99"/>
  <c r="H87" i="99"/>
  <c r="N23" i="99"/>
  <c r="H72" i="99"/>
  <c r="N35" i="99"/>
  <c r="X9" i="99"/>
  <c r="G9" i="99"/>
  <c r="L82" i="99"/>
  <c r="S17" i="99"/>
  <c r="X70" i="99"/>
  <c r="X35" i="99"/>
  <c r="G35" i="99"/>
  <c r="X25" i="99"/>
  <c r="G25" i="99"/>
  <c r="H68" i="99"/>
  <c r="M274" i="99"/>
  <c r="AD273" i="99"/>
  <c r="AI267" i="99"/>
  <c r="AI259" i="99"/>
  <c r="H268" i="99"/>
  <c r="R264" i="99"/>
  <c r="AI264" i="99"/>
  <c r="G259" i="99"/>
  <c r="AI257" i="99"/>
  <c r="AD246" i="99"/>
  <c r="AD243" i="99"/>
  <c r="AM277" i="99"/>
  <c r="AM278" i="99" s="1"/>
  <c r="AN242" i="99"/>
  <c r="G229" i="99"/>
  <c r="N267" i="99"/>
  <c r="I246" i="99"/>
  <c r="AD242" i="99"/>
  <c r="W224" i="99"/>
  <c r="G271" i="99"/>
  <c r="M266" i="99"/>
  <c r="AD266" i="99"/>
  <c r="G263" i="99"/>
  <c r="AD261" i="99"/>
  <c r="AD255" i="99"/>
  <c r="AD253" i="99"/>
  <c r="AD250" i="99"/>
  <c r="AI245" i="99"/>
  <c r="S242" i="99"/>
  <c r="R274" i="99"/>
  <c r="AD244" i="99"/>
  <c r="F204" i="99"/>
  <c r="AD189" i="99"/>
  <c r="AI186" i="99"/>
  <c r="S182" i="99"/>
  <c r="G181" i="99"/>
  <c r="G256" i="99"/>
  <c r="H250" i="99"/>
  <c r="H223" i="99"/>
  <c r="G196" i="99"/>
  <c r="AD192" i="99"/>
  <c r="S189" i="99"/>
  <c r="G188" i="99"/>
  <c r="AD180" i="99"/>
  <c r="S177" i="99"/>
  <c r="G232" i="99"/>
  <c r="G220" i="99"/>
  <c r="H211" i="99"/>
  <c r="AI188" i="99"/>
  <c r="S180" i="99"/>
  <c r="AD172" i="99"/>
  <c r="M171" i="99"/>
  <c r="AD171" i="99"/>
  <c r="AD168" i="99"/>
  <c r="AH199" i="99"/>
  <c r="AH200" i="99" s="1"/>
  <c r="Z55" i="110" s="1"/>
  <c r="Z56" i="110" s="1"/>
  <c r="U28" i="119" s="1"/>
  <c r="G155" i="99"/>
  <c r="G221" i="99"/>
  <c r="AI195" i="99"/>
  <c r="G194" i="99"/>
  <c r="AD190" i="99"/>
  <c r="AI179" i="99"/>
  <c r="G178" i="99"/>
  <c r="S170" i="99"/>
  <c r="M169" i="99"/>
  <c r="AD169" i="99"/>
  <c r="M156" i="99"/>
  <c r="AD156" i="99"/>
  <c r="M148" i="99"/>
  <c r="AD148" i="99"/>
  <c r="M134" i="99"/>
  <c r="AD134" i="99"/>
  <c r="AH160" i="99"/>
  <c r="AH161" i="99" s="1"/>
  <c r="Z110" i="110" s="1"/>
  <c r="G249" i="99"/>
  <c r="N257" i="99"/>
  <c r="AC199" i="99"/>
  <c r="AC200" i="99" s="1"/>
  <c r="U55" i="110" s="1"/>
  <c r="U56" i="110" s="1"/>
  <c r="P28" i="119" s="1"/>
  <c r="L160" i="99"/>
  <c r="AD149" i="99"/>
  <c r="G143" i="99"/>
  <c r="S141" i="99"/>
  <c r="AD138" i="99"/>
  <c r="G135" i="99"/>
  <c r="AD132" i="99"/>
  <c r="N129" i="99"/>
  <c r="G128" i="99"/>
  <c r="G112" i="99"/>
  <c r="AN121" i="99"/>
  <c r="AN122" i="99" s="1"/>
  <c r="AF51" i="110" s="1"/>
  <c r="AF52" i="110" s="1"/>
  <c r="AA328" i="119" s="1"/>
  <c r="AO86" i="99"/>
  <c r="N195" i="99"/>
  <c r="W191" i="99"/>
  <c r="H173" i="99"/>
  <c r="W167" i="99"/>
  <c r="AD151" i="99"/>
  <c r="G146" i="99"/>
  <c r="AD143" i="99"/>
  <c r="AD137" i="99"/>
  <c r="S134" i="99"/>
  <c r="AD131" i="99"/>
  <c r="N118" i="99"/>
  <c r="AI116" i="99"/>
  <c r="S115" i="99"/>
  <c r="AD114" i="99"/>
  <c r="W214" i="99"/>
  <c r="N187" i="99"/>
  <c r="W183" i="99"/>
  <c r="AI164" i="99"/>
  <c r="AD153" i="99"/>
  <c r="G144" i="99"/>
  <c r="AD125" i="99"/>
  <c r="G171" i="99"/>
  <c r="X79" i="99"/>
  <c r="G79" i="99"/>
  <c r="F213" i="99"/>
  <c r="N179" i="99"/>
  <c r="S126" i="99"/>
  <c r="G111" i="99"/>
  <c r="G110" i="99"/>
  <c r="AD107" i="99"/>
  <c r="M107" i="99"/>
  <c r="G106" i="99"/>
  <c r="AD103" i="99"/>
  <c r="M103" i="99"/>
  <c r="G102" i="99"/>
  <c r="AD99" i="99"/>
  <c r="M99" i="99"/>
  <c r="G98" i="99"/>
  <c r="AD95" i="99"/>
  <c r="M95" i="99"/>
  <c r="G94" i="99"/>
  <c r="AD91" i="99"/>
  <c r="M91" i="99"/>
  <c r="G90" i="99"/>
  <c r="AD87" i="99"/>
  <c r="M87" i="99"/>
  <c r="W118" i="99"/>
  <c r="W116" i="99"/>
  <c r="E121" i="99"/>
  <c r="W86" i="99"/>
  <c r="F86" i="99"/>
  <c r="G61" i="99"/>
  <c r="M52" i="99"/>
  <c r="AD52" i="99"/>
  <c r="R48" i="99"/>
  <c r="AI48" i="99"/>
  <c r="M40" i="99"/>
  <c r="AD40" i="99"/>
  <c r="M24" i="99"/>
  <c r="AD24" i="99"/>
  <c r="M16" i="99"/>
  <c r="AD16" i="99"/>
  <c r="R8" i="99"/>
  <c r="AI8" i="99"/>
  <c r="AD263" i="99"/>
  <c r="S135" i="99"/>
  <c r="S108" i="99"/>
  <c r="S104" i="99"/>
  <c r="S100" i="99"/>
  <c r="S96" i="99"/>
  <c r="S92" i="99"/>
  <c r="S88" i="99"/>
  <c r="N73" i="99"/>
  <c r="G69" i="99"/>
  <c r="N65" i="99"/>
  <c r="X60" i="99"/>
  <c r="G60" i="99"/>
  <c r="R169" i="99"/>
  <c r="R197" i="99" s="1"/>
  <c r="AI169" i="99"/>
  <c r="AD147" i="99"/>
  <c r="N127" i="99"/>
  <c r="G117" i="99"/>
  <c r="S112" i="99"/>
  <c r="W108" i="99"/>
  <c r="W104" i="99"/>
  <c r="W100" i="99"/>
  <c r="W96" i="99"/>
  <c r="W92" i="99"/>
  <c r="W87" i="99"/>
  <c r="X74" i="99"/>
  <c r="R68" i="99"/>
  <c r="AI68" i="99"/>
  <c r="H66" i="99"/>
  <c r="S55" i="99"/>
  <c r="G29" i="99"/>
  <c r="X29" i="99"/>
  <c r="X19" i="99"/>
  <c r="G19" i="99"/>
  <c r="AI16" i="99"/>
  <c r="H107" i="99"/>
  <c r="S60" i="99"/>
  <c r="AI57" i="99"/>
  <c r="N53" i="99"/>
  <c r="G52" i="99"/>
  <c r="F82" i="99"/>
  <c r="S36" i="99"/>
  <c r="AI33" i="99"/>
  <c r="N29" i="99"/>
  <c r="X28" i="99"/>
  <c r="G28" i="99"/>
  <c r="S26" i="99"/>
  <c r="AI23" i="99"/>
  <c r="N19" i="99"/>
  <c r="X18" i="99"/>
  <c r="G18" i="99"/>
  <c r="S10" i="99"/>
  <c r="AD9" i="99"/>
  <c r="AI56" i="99"/>
  <c r="X51" i="99"/>
  <c r="G51" i="99"/>
  <c r="X40" i="99"/>
  <c r="G40" i="99"/>
  <c r="AI32" i="99"/>
  <c r="AD23" i="99"/>
  <c r="S19" i="99"/>
  <c r="S11" i="99"/>
  <c r="N55" i="99"/>
  <c r="G54" i="99"/>
  <c r="G49" i="99"/>
  <c r="N47" i="99"/>
  <c r="AD39" i="99"/>
  <c r="X38" i="99"/>
  <c r="G38" i="99"/>
  <c r="S30" i="99"/>
  <c r="AI25" i="99"/>
  <c r="N21" i="99"/>
  <c r="S12" i="99"/>
  <c r="H89" i="99"/>
  <c r="H70" i="99"/>
  <c r="N57" i="99"/>
  <c r="AD49" i="99"/>
  <c r="S40" i="99"/>
  <c r="AD33" i="99"/>
  <c r="AI27" i="99"/>
  <c r="AD15" i="99"/>
  <c r="X62" i="99"/>
  <c r="X53" i="99"/>
  <c r="G53" i="99"/>
  <c r="AI50" i="99"/>
  <c r="X37" i="99"/>
  <c r="G37" i="99"/>
  <c r="N25" i="99"/>
  <c r="E56" i="82"/>
  <c r="E59" i="82" s="1"/>
  <c r="AD38" i="94"/>
  <c r="N36" i="94"/>
  <c r="AT36" i="94"/>
  <c r="AD33" i="94"/>
  <c r="AT35" i="94"/>
  <c r="AT39" i="94"/>
  <c r="AD31" i="94"/>
  <c r="AD37" i="94"/>
  <c r="N35" i="94"/>
  <c r="N39" i="94"/>
  <c r="AR35" i="94"/>
  <c r="AT31" i="94"/>
  <c r="AT37" i="94"/>
  <c r="AD35" i="94"/>
  <c r="AD39" i="94"/>
  <c r="N31" i="94"/>
  <c r="N37" i="94"/>
  <c r="AT33" i="94"/>
  <c r="N33" i="94"/>
  <c r="P38" i="94"/>
  <c r="AB35" i="94"/>
  <c r="X36" i="94"/>
  <c r="AB37" i="94"/>
  <c r="X38" i="94"/>
  <c r="Q9" i="52"/>
  <c r="AN9" i="52"/>
  <c r="I408" i="119"/>
  <c r="AF39" i="94"/>
  <c r="AL33" i="94"/>
  <c r="Y48" i="20"/>
  <c r="T24" i="119"/>
  <c r="P23" i="138" s="1"/>
  <c r="T329" i="119"/>
  <c r="E418" i="119"/>
  <c r="C43" i="92" s="1"/>
  <c r="Z25" i="52"/>
  <c r="AP37" i="94"/>
  <c r="Z37" i="94"/>
  <c r="AN37" i="94"/>
  <c r="AJ38" i="94"/>
  <c r="L37" i="94"/>
  <c r="AL36" i="94"/>
  <c r="V38" i="94"/>
  <c r="AF37" i="94"/>
  <c r="T36" i="94"/>
  <c r="X37" i="94"/>
  <c r="AB36" i="94"/>
  <c r="P36" i="94"/>
  <c r="AR36" i="94"/>
  <c r="T48" i="20"/>
  <c r="AE48" i="20"/>
  <c r="AD48" i="20"/>
  <c r="AR33" i="94"/>
  <c r="AN35" i="94"/>
  <c r="P33" i="94"/>
  <c r="AJ36" i="94"/>
  <c r="F420" i="119"/>
  <c r="E417" i="119"/>
  <c r="C42" i="92" s="1"/>
  <c r="AR39" i="94"/>
  <c r="P39" i="94"/>
  <c r="AC25" i="52"/>
  <c r="Z28" i="119"/>
  <c r="AL31" i="94"/>
  <c r="AL37" i="94"/>
  <c r="V35" i="94"/>
  <c r="V39" i="94"/>
  <c r="K421" i="119"/>
  <c r="E411" i="119"/>
  <c r="C36" i="92" s="1"/>
  <c r="AF38" i="94"/>
  <c r="T38" i="94"/>
  <c r="AL35" i="94"/>
  <c r="AL39" i="94"/>
  <c r="V31" i="94"/>
  <c r="V37" i="94"/>
  <c r="AQ421" i="119"/>
  <c r="AF35" i="94"/>
  <c r="T33" i="94"/>
  <c r="H411" i="119"/>
  <c r="V33" i="94"/>
  <c r="AI421" i="119"/>
  <c r="G412" i="119"/>
  <c r="AF36" i="94"/>
  <c r="T37" i="94"/>
  <c r="G418" i="119"/>
  <c r="E408" i="119"/>
  <c r="C33" i="92" s="1"/>
  <c r="AB33" i="94"/>
  <c r="AB38" i="94"/>
  <c r="X35" i="94"/>
  <c r="X39" i="94"/>
  <c r="I417" i="119"/>
  <c r="G410" i="119"/>
  <c r="X31" i="94"/>
  <c r="L9" i="52"/>
  <c r="AP35" i="94"/>
  <c r="Z35" i="94"/>
  <c r="AJ31" i="94"/>
  <c r="L39" i="94"/>
  <c r="AP39" i="94"/>
  <c r="Z39" i="94"/>
  <c r="AN36" i="94"/>
  <c r="AJ37" i="94"/>
  <c r="L35" i="94"/>
  <c r="AN39" i="94"/>
  <c r="L36" i="94"/>
  <c r="E410" i="119"/>
  <c r="C35" i="92" s="1"/>
  <c r="F419" i="119"/>
  <c r="F408" i="119"/>
  <c r="AA419" i="119"/>
  <c r="G417" i="119"/>
  <c r="I410" i="119"/>
  <c r="G408" i="119"/>
  <c r="K422" i="119"/>
  <c r="AP33" i="94"/>
  <c r="AP38" i="94"/>
  <c r="Z33" i="94"/>
  <c r="Z38" i="94"/>
  <c r="S421" i="119"/>
  <c r="I418" i="119"/>
  <c r="G411" i="119"/>
  <c r="AR31" i="94"/>
  <c r="AR37" i="94"/>
  <c r="AN33" i="94"/>
  <c r="AN38" i="94"/>
  <c r="AJ35" i="94"/>
  <c r="AJ39" i="94"/>
  <c r="P31" i="94"/>
  <c r="P37" i="94"/>
  <c r="L33" i="94"/>
  <c r="L38" i="94"/>
  <c r="AA65" i="52"/>
  <c r="H418" i="119"/>
  <c r="AP31" i="94"/>
  <c r="Z31" i="94"/>
  <c r="AA421" i="119"/>
  <c r="I411" i="119"/>
  <c r="AN31" i="94"/>
  <c r="AJ33" i="94"/>
  <c r="L31" i="94"/>
  <c r="V65" i="52"/>
  <c r="N421" i="119"/>
  <c r="P65" i="52"/>
  <c r="F65" i="52"/>
  <c r="S65" i="52"/>
  <c r="J25" i="52"/>
  <c r="U25" i="52"/>
  <c r="AF25" i="52"/>
  <c r="AL65" i="52"/>
  <c r="AI65" i="52"/>
  <c r="E25" i="52"/>
  <c r="AK25" i="52"/>
  <c r="AJ65" i="52"/>
  <c r="K65" i="52"/>
  <c r="AB25" i="52"/>
  <c r="M25" i="52"/>
  <c r="X65" i="52"/>
  <c r="AN25" i="52"/>
  <c r="H25" i="52"/>
  <c r="L65" i="52"/>
  <c r="R65" i="52"/>
  <c r="AH65" i="52"/>
  <c r="I65" i="52"/>
  <c r="Q65" i="52"/>
  <c r="Y65" i="52"/>
  <c r="AG65" i="52"/>
  <c r="AJ25" i="52"/>
  <c r="F25" i="52"/>
  <c r="V25" i="52"/>
  <c r="AL25" i="52"/>
  <c r="K25" i="52"/>
  <c r="S25" i="52"/>
  <c r="AA25" i="52"/>
  <c r="AI25" i="52"/>
  <c r="AN65" i="52"/>
  <c r="H65" i="52"/>
  <c r="X25" i="52"/>
  <c r="AB65" i="52"/>
  <c r="J65" i="52"/>
  <c r="Z65" i="52"/>
  <c r="E65" i="52"/>
  <c r="M65" i="52"/>
  <c r="U65" i="52"/>
  <c r="AC65" i="52"/>
  <c r="AK65" i="52"/>
  <c r="T25" i="52"/>
  <c r="N25" i="52"/>
  <c r="AD25" i="52"/>
  <c r="G25" i="52"/>
  <c r="O25" i="52"/>
  <c r="W25" i="52"/>
  <c r="AE25" i="52"/>
  <c r="AM25" i="52"/>
  <c r="AF65" i="52"/>
  <c r="P25" i="52"/>
  <c r="T65" i="52"/>
  <c r="N65" i="52"/>
  <c r="AD65" i="52"/>
  <c r="G65" i="52"/>
  <c r="O65" i="52"/>
  <c r="W65" i="52"/>
  <c r="AE65" i="52"/>
  <c r="L25" i="52"/>
  <c r="R25" i="52"/>
  <c r="AH25" i="52"/>
  <c r="I25" i="52"/>
  <c r="Q25" i="52"/>
  <c r="Y25" i="52"/>
  <c r="Y420" i="119"/>
  <c r="I45" i="92" s="1"/>
  <c r="AO420" i="119"/>
  <c r="I420" i="119"/>
  <c r="AL420" i="119"/>
  <c r="U422" i="119"/>
  <c r="AG420" i="119"/>
  <c r="I413" i="119"/>
  <c r="N420" i="119"/>
  <c r="AF422" i="119"/>
  <c r="Q420" i="119"/>
  <c r="G422" i="119"/>
  <c r="N422" i="119"/>
  <c r="AB422" i="119"/>
  <c r="J422" i="119"/>
  <c r="AM422" i="119"/>
  <c r="AI419" i="119"/>
  <c r="K44" i="92" s="1"/>
  <c r="E409" i="119"/>
  <c r="C34" i="92" s="1"/>
  <c r="V419" i="119"/>
  <c r="Y422" i="119"/>
  <c r="AQ422" i="119"/>
  <c r="S419" i="119"/>
  <c r="AQ419" i="119"/>
  <c r="K419" i="119"/>
  <c r="G416" i="119"/>
  <c r="AL419" i="119"/>
  <c r="AK419" i="119"/>
  <c r="AC419" i="119"/>
  <c r="U419" i="119"/>
  <c r="M419" i="119"/>
  <c r="E419" i="119"/>
  <c r="C44" i="92" s="1"/>
  <c r="I416" i="119"/>
  <c r="G409" i="119"/>
  <c r="AN419" i="119"/>
  <c r="L44" i="92" s="1"/>
  <c r="X419" i="119"/>
  <c r="H419" i="119"/>
  <c r="AO419" i="119"/>
  <c r="AG419" i="119"/>
  <c r="Y419" i="119"/>
  <c r="I44" i="92" s="1"/>
  <c r="Q419" i="119"/>
  <c r="I419" i="119"/>
  <c r="E416" i="119"/>
  <c r="C41" i="92" s="1"/>
  <c r="AF419" i="119"/>
  <c r="P419" i="119"/>
  <c r="AM419" i="119"/>
  <c r="AE419" i="119"/>
  <c r="W419" i="119"/>
  <c r="O419" i="119"/>
  <c r="F44" i="92" s="1"/>
  <c r="G419" i="119"/>
  <c r="I409" i="119"/>
  <c r="AD419" i="119"/>
  <c r="J44" i="92" s="1"/>
  <c r="N419" i="119"/>
  <c r="H409" i="119"/>
  <c r="AD422" i="119"/>
  <c r="AO422" i="119"/>
  <c r="I422" i="119"/>
  <c r="P422" i="119"/>
  <c r="AA422" i="119"/>
  <c r="Z422" i="119"/>
  <c r="AK422" i="119"/>
  <c r="AR422" i="119"/>
  <c r="L422" i="119"/>
  <c r="W422" i="119"/>
  <c r="AD420" i="119"/>
  <c r="J45" i="92" s="1"/>
  <c r="AR419" i="119"/>
  <c r="AJ419" i="119"/>
  <c r="AB419" i="119"/>
  <c r="T419" i="119"/>
  <c r="H44" i="92" s="1"/>
  <c r="L419" i="119"/>
  <c r="G44" i="92" s="1"/>
  <c r="H416" i="119"/>
  <c r="AL422" i="119"/>
  <c r="V422" i="119"/>
  <c r="F422" i="119"/>
  <c r="AG422" i="119"/>
  <c r="Q422" i="119"/>
  <c r="AN422" i="119"/>
  <c r="X422" i="119"/>
  <c r="H422" i="119"/>
  <c r="AI422" i="119"/>
  <c r="S422" i="119"/>
  <c r="V420" i="119"/>
  <c r="AP419" i="119"/>
  <c r="AH419" i="119"/>
  <c r="Z419" i="119"/>
  <c r="R419" i="119"/>
  <c r="J419" i="119"/>
  <c r="E44" i="92" s="1"/>
  <c r="AH422" i="119"/>
  <c r="R422" i="119"/>
  <c r="AS422" i="119"/>
  <c r="AC422" i="119"/>
  <c r="M422" i="119"/>
  <c r="AJ422" i="119"/>
  <c r="T422" i="119"/>
  <c r="AE422" i="119"/>
  <c r="F410" i="119"/>
  <c r="F417" i="119"/>
  <c r="AH9" i="52"/>
  <c r="AG9" i="52"/>
  <c r="H9" i="52"/>
  <c r="AB9" i="52"/>
  <c r="M9" i="52"/>
  <c r="AF9" i="52"/>
  <c r="Z9" i="52"/>
  <c r="AC9" i="52"/>
  <c r="AE49" i="52"/>
  <c r="X49" i="52"/>
  <c r="AM49" i="52"/>
  <c r="AD49" i="52"/>
  <c r="G49" i="52"/>
  <c r="T49" i="52"/>
  <c r="O49" i="52"/>
  <c r="N49" i="52"/>
  <c r="W49" i="52"/>
  <c r="T390" i="119"/>
  <c r="R390" i="119"/>
  <c r="AF390" i="119"/>
  <c r="N390" i="119"/>
  <c r="AL421" i="119"/>
  <c r="F421" i="119"/>
  <c r="AR390" i="119"/>
  <c r="L390" i="119"/>
  <c r="AP390" i="119"/>
  <c r="J390" i="119"/>
  <c r="X390" i="119"/>
  <c r="AL390" i="119"/>
  <c r="T35" i="94"/>
  <c r="T39" i="94"/>
  <c r="AD421" i="119"/>
  <c r="AJ390" i="119"/>
  <c r="AH390" i="119"/>
  <c r="P390" i="119"/>
  <c r="AD390" i="119"/>
  <c r="AF31" i="94"/>
  <c r="V421" i="119"/>
  <c r="F412" i="119"/>
  <c r="AB390" i="119"/>
  <c r="Z390" i="119"/>
  <c r="AN390" i="119"/>
  <c r="V390" i="119"/>
  <c r="X9" i="52"/>
  <c r="J9" i="52"/>
  <c r="E9" i="52"/>
  <c r="U9" i="52"/>
  <c r="AK9" i="52"/>
  <c r="P9" i="52"/>
  <c r="R9" i="52"/>
  <c r="I9" i="52"/>
  <c r="Y9" i="52"/>
  <c r="F414" i="119"/>
  <c r="AP422" i="119"/>
  <c r="H413" i="119"/>
  <c r="Z17" i="52"/>
  <c r="AC17" i="52"/>
  <c r="J17" i="52"/>
  <c r="U17" i="52"/>
  <c r="E17" i="52"/>
  <c r="AK17" i="52"/>
  <c r="AF17" i="52"/>
  <c r="AB17" i="52"/>
  <c r="M17" i="52"/>
  <c r="AN17" i="52"/>
  <c r="H17" i="52"/>
  <c r="AJ17" i="52"/>
  <c r="F17" i="52"/>
  <c r="V17" i="52"/>
  <c r="AL17" i="52"/>
  <c r="K17" i="52"/>
  <c r="S17" i="52"/>
  <c r="AA17" i="52"/>
  <c r="AI17" i="52"/>
  <c r="X17" i="52"/>
  <c r="T17" i="52"/>
  <c r="N17" i="52"/>
  <c r="AD17" i="52"/>
  <c r="G17" i="52"/>
  <c r="O17" i="52"/>
  <c r="W17" i="52"/>
  <c r="AE17" i="52"/>
  <c r="AM17" i="52"/>
  <c r="P17" i="52"/>
  <c r="L17" i="52"/>
  <c r="R17" i="52"/>
  <c r="AH17" i="52"/>
  <c r="I17" i="52"/>
  <c r="Q17" i="52"/>
  <c r="Y17" i="52"/>
  <c r="AF49" i="52"/>
  <c r="AB49" i="52"/>
  <c r="J49" i="52"/>
  <c r="Z49" i="52"/>
  <c r="E49" i="52"/>
  <c r="M49" i="52"/>
  <c r="U49" i="52"/>
  <c r="AC49" i="52"/>
  <c r="AK49" i="52"/>
  <c r="P49" i="52"/>
  <c r="L49" i="52"/>
  <c r="R49" i="52"/>
  <c r="AH49" i="52"/>
  <c r="I49" i="52"/>
  <c r="Q49" i="52"/>
  <c r="Y49" i="52"/>
  <c r="AG49" i="52"/>
  <c r="AN49" i="52"/>
  <c r="H49" i="52"/>
  <c r="AJ49" i="52"/>
  <c r="F49" i="52"/>
  <c r="V49" i="52"/>
  <c r="AL49" i="52"/>
  <c r="K49" i="52"/>
  <c r="S49" i="52"/>
  <c r="AA49" i="52"/>
  <c r="AM420" i="119"/>
  <c r="AE420" i="119"/>
  <c r="W420" i="119"/>
  <c r="O420" i="119"/>
  <c r="F45" i="92" s="1"/>
  <c r="G420" i="119"/>
  <c r="I415" i="119"/>
  <c r="G413" i="119"/>
  <c r="AR420" i="119"/>
  <c r="AJ420" i="119"/>
  <c r="AB420" i="119"/>
  <c r="T420" i="119"/>
  <c r="H45" i="92" s="1"/>
  <c r="L420" i="119"/>
  <c r="G45" i="92" s="1"/>
  <c r="H415" i="119"/>
  <c r="F413" i="119"/>
  <c r="AK420" i="119"/>
  <c r="AC420" i="119"/>
  <c r="U420" i="119"/>
  <c r="M420" i="119"/>
  <c r="E420" i="119"/>
  <c r="C45" i="92" s="1"/>
  <c r="G415" i="119"/>
  <c r="AP420" i="119"/>
  <c r="AH420" i="119"/>
  <c r="Z420" i="119"/>
  <c r="R420" i="119"/>
  <c r="J420" i="119"/>
  <c r="E45" i="92" s="1"/>
  <c r="F415" i="119"/>
  <c r="AQ420" i="119"/>
  <c r="AI420" i="119"/>
  <c r="K45" i="92" s="1"/>
  <c r="AA420" i="119"/>
  <c r="S420" i="119"/>
  <c r="K420" i="119"/>
  <c r="AN420" i="119"/>
  <c r="L45" i="92" s="1"/>
  <c r="AF420" i="119"/>
  <c r="X420" i="119"/>
  <c r="P420" i="119"/>
  <c r="H420" i="119"/>
  <c r="AO421" i="119"/>
  <c r="AG421" i="119"/>
  <c r="Y421" i="119"/>
  <c r="Q421" i="119"/>
  <c r="I421" i="119"/>
  <c r="I414" i="119"/>
  <c r="E412" i="119"/>
  <c r="C37" i="92" s="1"/>
  <c r="AR421" i="119"/>
  <c r="AJ421" i="119"/>
  <c r="AB421" i="119"/>
  <c r="T421" i="119"/>
  <c r="L421" i="119"/>
  <c r="AM421" i="119"/>
  <c r="AE421" i="119"/>
  <c r="W421" i="119"/>
  <c r="O421" i="119"/>
  <c r="G421" i="119"/>
  <c r="G414" i="119"/>
  <c r="AP421" i="119"/>
  <c r="AH421" i="119"/>
  <c r="Z421" i="119"/>
  <c r="R421" i="119"/>
  <c r="J421" i="119"/>
  <c r="AK421" i="119"/>
  <c r="AC421" i="119"/>
  <c r="U421" i="119"/>
  <c r="M421" i="119"/>
  <c r="E421" i="119"/>
  <c r="E414" i="119"/>
  <c r="C39" i="92" s="1"/>
  <c r="I412" i="119"/>
  <c r="AN421" i="119"/>
  <c r="AF421" i="119"/>
  <c r="X421" i="119"/>
  <c r="P421" i="119"/>
  <c r="H421" i="119"/>
  <c r="Z328" i="119"/>
  <c r="AJ9" i="52"/>
  <c r="T9" i="52"/>
  <c r="F9" i="52"/>
  <c r="N9" i="52"/>
  <c r="V9" i="52"/>
  <c r="AD9" i="52"/>
  <c r="AL9" i="52"/>
  <c r="G9" i="52"/>
  <c r="K9" i="52"/>
  <c r="O9" i="52"/>
  <c r="S9" i="52"/>
  <c r="W9" i="52"/>
  <c r="AA9" i="52"/>
  <c r="AE9" i="52"/>
  <c r="AI9" i="52"/>
  <c r="AM390" i="119"/>
  <c r="AE390" i="119"/>
  <c r="AA390" i="119"/>
  <c r="S390" i="119"/>
  <c r="K390" i="119"/>
  <c r="AE54" i="20"/>
  <c r="Y54" i="20"/>
  <c r="AD54" i="20"/>
  <c r="T54" i="20"/>
  <c r="AE38" i="20"/>
  <c r="Y38" i="20"/>
  <c r="AD38" i="20"/>
  <c r="T38" i="20"/>
  <c r="AM39" i="94"/>
  <c r="AM38" i="94"/>
  <c r="AM37" i="94"/>
  <c r="AM36" i="94"/>
  <c r="AM35" i="94"/>
  <c r="AM33" i="94"/>
  <c r="AM31" i="94"/>
  <c r="AI39" i="94"/>
  <c r="AI38" i="94"/>
  <c r="AI37" i="94"/>
  <c r="AI36" i="94"/>
  <c r="AI35" i="94"/>
  <c r="AI33" i="94"/>
  <c r="AI31" i="94"/>
  <c r="W39" i="94"/>
  <c r="W38" i="94"/>
  <c r="W37" i="94"/>
  <c r="W36" i="94"/>
  <c r="W35" i="94"/>
  <c r="W33" i="94"/>
  <c r="W31" i="94"/>
  <c r="S39" i="94"/>
  <c r="S38" i="94"/>
  <c r="S37" i="94"/>
  <c r="S36" i="94"/>
  <c r="S35" i="94"/>
  <c r="S33" i="94"/>
  <c r="S31" i="94"/>
  <c r="BB46" i="118"/>
  <c r="AZ46" i="118"/>
  <c r="AX46" i="118"/>
  <c r="AV46" i="118"/>
  <c r="AT46" i="118"/>
  <c r="AR46" i="118"/>
  <c r="AY46" i="118"/>
  <c r="AU46" i="118"/>
  <c r="BA46" i="118"/>
  <c r="AS46" i="118"/>
  <c r="AW46" i="118"/>
  <c r="AM46" i="118"/>
  <c r="AK46" i="118"/>
  <c r="AI46" i="118"/>
  <c r="AN46" i="118"/>
  <c r="AJ46" i="118"/>
  <c r="AL46" i="118"/>
  <c r="AA28" i="119"/>
  <c r="AM53" i="52"/>
  <c r="AK53" i="52"/>
  <c r="AI53" i="52"/>
  <c r="AG53" i="52"/>
  <c r="AE53" i="52"/>
  <c r="AC53" i="52"/>
  <c r="AA53" i="52"/>
  <c r="Y53" i="52"/>
  <c r="W53" i="52"/>
  <c r="U53" i="52"/>
  <c r="S53" i="52"/>
  <c r="Q53" i="52"/>
  <c r="O53" i="52"/>
  <c r="M53" i="52"/>
  <c r="K53" i="52"/>
  <c r="I53" i="52"/>
  <c r="G53" i="52"/>
  <c r="E53" i="52"/>
  <c r="AL53" i="52"/>
  <c r="AH53" i="52"/>
  <c r="AD53" i="52"/>
  <c r="Z53" i="52"/>
  <c r="V53" i="52"/>
  <c r="R53" i="52"/>
  <c r="N53" i="52"/>
  <c r="J53" i="52"/>
  <c r="F53" i="52"/>
  <c r="AJ53" i="52"/>
  <c r="AB53" i="52"/>
  <c r="T53" i="52"/>
  <c r="L53" i="52"/>
  <c r="AN53" i="52"/>
  <c r="AF53" i="52"/>
  <c r="X53" i="52"/>
  <c r="P53" i="52"/>
  <c r="H53" i="52"/>
  <c r="AM21" i="52"/>
  <c r="AK21" i="52"/>
  <c r="AI21" i="52"/>
  <c r="AG21" i="52"/>
  <c r="AE21" i="52"/>
  <c r="AC21" i="52"/>
  <c r="AA21" i="52"/>
  <c r="Y21" i="52"/>
  <c r="W21" i="52"/>
  <c r="U21" i="52"/>
  <c r="S21" i="52"/>
  <c r="Q21" i="52"/>
  <c r="O21" i="52"/>
  <c r="M21" i="52"/>
  <c r="K21" i="52"/>
  <c r="I21" i="52"/>
  <c r="G21" i="52"/>
  <c r="E21" i="52"/>
  <c r="AL21" i="52"/>
  <c r="AH21" i="52"/>
  <c r="AD21" i="52"/>
  <c r="Z21" i="52"/>
  <c r="V21" i="52"/>
  <c r="R21" i="52"/>
  <c r="N21" i="52"/>
  <c r="J21" i="52"/>
  <c r="F21" i="52"/>
  <c r="AJ21" i="52"/>
  <c r="AB21" i="52"/>
  <c r="T21" i="52"/>
  <c r="L21" i="52"/>
  <c r="AN21" i="52"/>
  <c r="AF21" i="52"/>
  <c r="X21" i="52"/>
  <c r="P21" i="52"/>
  <c r="H21" i="52"/>
  <c r="AF46" i="118"/>
  <c r="O123" i="59"/>
  <c r="C25" i="101"/>
  <c r="C24" i="101"/>
  <c r="P120" i="59" s="1"/>
  <c r="P121" i="59" s="1"/>
  <c r="Y123" i="59"/>
  <c r="M25" i="101"/>
  <c r="AM11" i="52"/>
  <c r="AK11" i="52"/>
  <c r="AI11" i="52"/>
  <c r="AG11" i="52"/>
  <c r="AE11" i="52"/>
  <c r="AC11" i="52"/>
  <c r="AA11" i="52"/>
  <c r="Y11" i="52"/>
  <c r="W11" i="52"/>
  <c r="U11" i="52"/>
  <c r="S11" i="52"/>
  <c r="Q11" i="52"/>
  <c r="O11" i="52"/>
  <c r="M11" i="52"/>
  <c r="K11" i="52"/>
  <c r="I11" i="52"/>
  <c r="G11" i="52"/>
  <c r="E11" i="52"/>
  <c r="AN11" i="52"/>
  <c r="AJ11" i="52"/>
  <c r="AF11" i="52"/>
  <c r="AB11" i="52"/>
  <c r="X11" i="52"/>
  <c r="T11" i="52"/>
  <c r="P11" i="52"/>
  <c r="L11" i="52"/>
  <c r="H11" i="52"/>
  <c r="AL11" i="52"/>
  <c r="AD11" i="52"/>
  <c r="V11" i="52"/>
  <c r="N11" i="52"/>
  <c r="F11" i="52"/>
  <c r="AH11" i="52"/>
  <c r="Z11" i="52"/>
  <c r="R11" i="52"/>
  <c r="J11" i="52"/>
  <c r="AM19" i="52"/>
  <c r="AK19" i="52"/>
  <c r="AI19" i="52"/>
  <c r="AG19" i="52"/>
  <c r="AE19" i="52"/>
  <c r="AC19" i="52"/>
  <c r="AA19" i="52"/>
  <c r="Y19" i="52"/>
  <c r="W19" i="52"/>
  <c r="U19" i="52"/>
  <c r="S19" i="52"/>
  <c r="Q19" i="52"/>
  <c r="O19" i="52"/>
  <c r="M19" i="52"/>
  <c r="K19" i="52"/>
  <c r="I19" i="52"/>
  <c r="G19" i="52"/>
  <c r="E19" i="52"/>
  <c r="AN19" i="52"/>
  <c r="AJ19" i="52"/>
  <c r="AF19" i="52"/>
  <c r="AB19" i="52"/>
  <c r="X19" i="52"/>
  <c r="T19" i="52"/>
  <c r="P19" i="52"/>
  <c r="L19" i="52"/>
  <c r="H19" i="52"/>
  <c r="AL19" i="52"/>
  <c r="AD19" i="52"/>
  <c r="V19" i="52"/>
  <c r="N19" i="52"/>
  <c r="F19" i="52"/>
  <c r="AH19" i="52"/>
  <c r="Z19" i="52"/>
  <c r="R19" i="52"/>
  <c r="J19" i="52"/>
  <c r="AM27" i="52"/>
  <c r="AK27" i="52"/>
  <c r="AI27" i="52"/>
  <c r="AG27" i="52"/>
  <c r="AE27" i="52"/>
  <c r="AC27" i="52"/>
  <c r="AA27" i="52"/>
  <c r="Y27" i="52"/>
  <c r="W27" i="52"/>
  <c r="U27" i="52"/>
  <c r="S27" i="52"/>
  <c r="Q27" i="52"/>
  <c r="O27" i="52"/>
  <c r="M27" i="52"/>
  <c r="K27" i="52"/>
  <c r="I27" i="52"/>
  <c r="G27" i="52"/>
  <c r="E27" i="52"/>
  <c r="AN27" i="52"/>
  <c r="AJ27" i="52"/>
  <c r="AF27" i="52"/>
  <c r="AB27" i="52"/>
  <c r="X27" i="52"/>
  <c r="T27" i="52"/>
  <c r="P27" i="52"/>
  <c r="L27" i="52"/>
  <c r="H27" i="52"/>
  <c r="AL27" i="52"/>
  <c r="AD27" i="52"/>
  <c r="V27" i="52"/>
  <c r="N27" i="52"/>
  <c r="F27" i="52"/>
  <c r="AH27" i="52"/>
  <c r="Z27" i="52"/>
  <c r="R27" i="52"/>
  <c r="J27" i="52"/>
  <c r="AM35" i="52"/>
  <c r="AK35" i="52"/>
  <c r="AI35" i="52"/>
  <c r="AG35" i="52"/>
  <c r="AE35" i="52"/>
  <c r="AC35" i="52"/>
  <c r="AA35" i="52"/>
  <c r="Y35" i="52"/>
  <c r="W35" i="52"/>
  <c r="U35" i="52"/>
  <c r="S35" i="52"/>
  <c r="Q35" i="52"/>
  <c r="O35" i="52"/>
  <c r="M35" i="52"/>
  <c r="K35" i="52"/>
  <c r="I35" i="52"/>
  <c r="G35" i="52"/>
  <c r="E35" i="52"/>
  <c r="AN35" i="52"/>
  <c r="AJ35" i="52"/>
  <c r="AF35" i="52"/>
  <c r="AB35" i="52"/>
  <c r="X35" i="52"/>
  <c r="T35" i="52"/>
  <c r="P35" i="52"/>
  <c r="L35" i="52"/>
  <c r="H35" i="52"/>
  <c r="AL35" i="52"/>
  <c r="AD35" i="52"/>
  <c r="V35" i="52"/>
  <c r="N35" i="52"/>
  <c r="F35" i="52"/>
  <c r="AH35" i="52"/>
  <c r="Z35" i="52"/>
  <c r="R35" i="52"/>
  <c r="J35" i="52"/>
  <c r="AM43" i="52"/>
  <c r="AK43" i="52"/>
  <c r="AI43" i="52"/>
  <c r="AG43" i="52"/>
  <c r="AE43" i="52"/>
  <c r="AC43" i="52"/>
  <c r="AA43" i="52"/>
  <c r="Y43" i="52"/>
  <c r="W43" i="52"/>
  <c r="U43" i="52"/>
  <c r="S43" i="52"/>
  <c r="Q43" i="52"/>
  <c r="O43" i="52"/>
  <c r="M43" i="52"/>
  <c r="K43" i="52"/>
  <c r="I43" i="52"/>
  <c r="G43" i="52"/>
  <c r="E43" i="52"/>
  <c r="AN43" i="52"/>
  <c r="AJ43" i="52"/>
  <c r="AF43" i="52"/>
  <c r="AB43" i="52"/>
  <c r="X43" i="52"/>
  <c r="T43" i="52"/>
  <c r="P43" i="52"/>
  <c r="L43" i="52"/>
  <c r="H43" i="52"/>
  <c r="AL43" i="52"/>
  <c r="AD43" i="52"/>
  <c r="V43" i="52"/>
  <c r="N43" i="52"/>
  <c r="F43" i="52"/>
  <c r="AH43" i="52"/>
  <c r="Z43" i="52"/>
  <c r="R43" i="52"/>
  <c r="J43" i="52"/>
  <c r="AM67" i="52"/>
  <c r="AK67" i="52"/>
  <c r="AI67" i="52"/>
  <c r="AG67" i="52"/>
  <c r="AE67" i="52"/>
  <c r="AC67" i="52"/>
  <c r="AA67" i="52"/>
  <c r="Y67" i="52"/>
  <c r="W67" i="52"/>
  <c r="U67" i="52"/>
  <c r="S67" i="52"/>
  <c r="Q67" i="52"/>
  <c r="O67" i="52"/>
  <c r="M67" i="52"/>
  <c r="K67" i="52"/>
  <c r="I67" i="52"/>
  <c r="G67" i="52"/>
  <c r="E67" i="52"/>
  <c r="AN67" i="52"/>
  <c r="AJ67" i="52"/>
  <c r="AF67" i="52"/>
  <c r="AB67" i="52"/>
  <c r="X67" i="52"/>
  <c r="T67" i="52"/>
  <c r="P67" i="52"/>
  <c r="L67" i="52"/>
  <c r="H67" i="52"/>
  <c r="AL67" i="52"/>
  <c r="AD67" i="52"/>
  <c r="V67" i="52"/>
  <c r="N67" i="52"/>
  <c r="F67" i="52"/>
  <c r="AH67" i="52"/>
  <c r="Z67" i="52"/>
  <c r="R67" i="52"/>
  <c r="J67" i="52"/>
  <c r="AN6" i="52"/>
  <c r="AL6" i="52"/>
  <c r="AJ6" i="52"/>
  <c r="AH6" i="52"/>
  <c r="AF6" i="52"/>
  <c r="AD6" i="52"/>
  <c r="AB6" i="52"/>
  <c r="Z6" i="52"/>
  <c r="X6" i="52"/>
  <c r="V6" i="52"/>
  <c r="T6" i="52"/>
  <c r="R6" i="52"/>
  <c r="P6" i="52"/>
  <c r="N6" i="52"/>
  <c r="L6" i="52"/>
  <c r="J6" i="52"/>
  <c r="H6" i="52"/>
  <c r="F6" i="52"/>
  <c r="AK6" i="52"/>
  <c r="AG6" i="52"/>
  <c r="AC6" i="52"/>
  <c r="Y6" i="52"/>
  <c r="U6" i="52"/>
  <c r="Q6" i="52"/>
  <c r="M6" i="52"/>
  <c r="I6" i="52"/>
  <c r="AM6" i="52"/>
  <c r="AE6" i="52"/>
  <c r="W6" i="52"/>
  <c r="O6" i="52"/>
  <c r="G6" i="52"/>
  <c r="AI6" i="52"/>
  <c r="AA6" i="52"/>
  <c r="S6" i="52"/>
  <c r="K6" i="52"/>
  <c r="AN10" i="52"/>
  <c r="AL10" i="52"/>
  <c r="AJ10" i="52"/>
  <c r="AH10" i="52"/>
  <c r="AF10" i="52"/>
  <c r="AD10" i="52"/>
  <c r="AB10" i="52"/>
  <c r="Z10" i="52"/>
  <c r="X10" i="52"/>
  <c r="V10" i="52"/>
  <c r="T10" i="52"/>
  <c r="R10" i="52"/>
  <c r="P10" i="52"/>
  <c r="N10" i="52"/>
  <c r="L10" i="52"/>
  <c r="J10" i="52"/>
  <c r="H10" i="52"/>
  <c r="AK10" i="52"/>
  <c r="AG10" i="52"/>
  <c r="AC10" i="52"/>
  <c r="Y10" i="52"/>
  <c r="U10" i="52"/>
  <c r="Q10" i="52"/>
  <c r="M10" i="52"/>
  <c r="I10" i="52"/>
  <c r="E10" i="52"/>
  <c r="AI10" i="52"/>
  <c r="AA10" i="52"/>
  <c r="S10" i="52"/>
  <c r="K10" i="52"/>
  <c r="AM10" i="52"/>
  <c r="AE10" i="52"/>
  <c r="W10" i="52"/>
  <c r="O10" i="52"/>
  <c r="G10" i="52"/>
  <c r="AN14" i="52"/>
  <c r="AN11" i="106" s="1"/>
  <c r="AL14" i="52"/>
  <c r="AL11" i="106" s="1"/>
  <c r="AJ14" i="52"/>
  <c r="AJ11" i="106" s="1"/>
  <c r="AH14" i="52"/>
  <c r="AH11" i="106" s="1"/>
  <c r="AF14" i="52"/>
  <c r="AF11" i="106" s="1"/>
  <c r="AD14" i="52"/>
  <c r="AD11" i="106" s="1"/>
  <c r="AB14" i="52"/>
  <c r="AB11" i="106" s="1"/>
  <c r="Z14" i="52"/>
  <c r="Z11" i="106" s="1"/>
  <c r="X14" i="52"/>
  <c r="X11" i="106" s="1"/>
  <c r="V14" i="52"/>
  <c r="V11" i="106" s="1"/>
  <c r="T14" i="52"/>
  <c r="T11" i="106" s="1"/>
  <c r="R14" i="52"/>
  <c r="R11" i="106" s="1"/>
  <c r="P14" i="52"/>
  <c r="P11" i="106" s="1"/>
  <c r="N14" i="52"/>
  <c r="N11" i="106" s="1"/>
  <c r="L14" i="52"/>
  <c r="L11" i="106" s="1"/>
  <c r="J14" i="52"/>
  <c r="J11" i="106" s="1"/>
  <c r="H14" i="52"/>
  <c r="H11" i="106" s="1"/>
  <c r="F14" i="52"/>
  <c r="F11" i="106" s="1"/>
  <c r="AK14" i="52"/>
  <c r="AK11" i="106" s="1"/>
  <c r="AG14" i="52"/>
  <c r="AG11" i="106" s="1"/>
  <c r="AC14" i="52"/>
  <c r="AC11" i="106" s="1"/>
  <c r="Y14" i="52"/>
  <c r="Y11" i="106" s="1"/>
  <c r="U14" i="52"/>
  <c r="U11" i="106" s="1"/>
  <c r="Q14" i="52"/>
  <c r="Q11" i="106" s="1"/>
  <c r="M14" i="52"/>
  <c r="M11" i="106" s="1"/>
  <c r="I14" i="52"/>
  <c r="I11" i="106" s="1"/>
  <c r="E11" i="106"/>
  <c r="AM14" i="52"/>
  <c r="AM11" i="106" s="1"/>
  <c r="AE14" i="52"/>
  <c r="AE11" i="106" s="1"/>
  <c r="W14" i="52"/>
  <c r="W11" i="106" s="1"/>
  <c r="O14" i="52"/>
  <c r="O11" i="106" s="1"/>
  <c r="G14" i="52"/>
  <c r="G11" i="106" s="1"/>
  <c r="AI14" i="52"/>
  <c r="AI11" i="106" s="1"/>
  <c r="AA14" i="52"/>
  <c r="AA11" i="106" s="1"/>
  <c r="S14" i="52"/>
  <c r="S11" i="106" s="1"/>
  <c r="K14" i="52"/>
  <c r="K11" i="106" s="1"/>
  <c r="AL18" i="52"/>
  <c r="AJ18" i="52"/>
  <c r="AH18" i="52"/>
  <c r="AF18" i="52"/>
  <c r="AD18" i="52"/>
  <c r="AB18" i="52"/>
  <c r="Z18" i="52"/>
  <c r="X18" i="52"/>
  <c r="V18" i="52"/>
  <c r="T18" i="52"/>
  <c r="R18" i="52"/>
  <c r="P18" i="52"/>
  <c r="N18" i="52"/>
  <c r="L18" i="52"/>
  <c r="J18" i="52"/>
  <c r="H18" i="52"/>
  <c r="F18" i="52"/>
  <c r="AK18" i="52"/>
  <c r="AG18" i="52"/>
  <c r="AC18" i="52"/>
  <c r="Y18" i="52"/>
  <c r="U18" i="52"/>
  <c r="Q18" i="52"/>
  <c r="M18" i="52"/>
  <c r="I18" i="52"/>
  <c r="E18" i="52"/>
  <c r="E22" i="106" s="1"/>
  <c r="AI18" i="52"/>
  <c r="AA18" i="52"/>
  <c r="S18" i="52"/>
  <c r="K18" i="52"/>
  <c r="AM18" i="52"/>
  <c r="AE18" i="52"/>
  <c r="W18" i="52"/>
  <c r="O18" i="52"/>
  <c r="G18" i="52"/>
  <c r="AN22" i="52"/>
  <c r="AL22" i="52"/>
  <c r="AJ22" i="52"/>
  <c r="AH22" i="52"/>
  <c r="AF22" i="52"/>
  <c r="AD22" i="52"/>
  <c r="AB22" i="52"/>
  <c r="Z22" i="52"/>
  <c r="X22" i="52"/>
  <c r="V22" i="52"/>
  <c r="T22" i="52"/>
  <c r="R22" i="52"/>
  <c r="P22" i="52"/>
  <c r="N22" i="52"/>
  <c r="L22" i="52"/>
  <c r="J22" i="52"/>
  <c r="H22" i="52"/>
  <c r="F22" i="52"/>
  <c r="AK22" i="52"/>
  <c r="AG22" i="52"/>
  <c r="AC22" i="52"/>
  <c r="Y22" i="52"/>
  <c r="U22" i="52"/>
  <c r="Q22" i="52"/>
  <c r="M22" i="52"/>
  <c r="I22" i="52"/>
  <c r="E22" i="52"/>
  <c r="AM22" i="52"/>
  <c r="AE22" i="52"/>
  <c r="W22" i="52"/>
  <c r="O22" i="52"/>
  <c r="G22" i="52"/>
  <c r="AI22" i="52"/>
  <c r="AA22" i="52"/>
  <c r="S22" i="52"/>
  <c r="K22" i="52"/>
  <c r="AN26" i="52"/>
  <c r="AL26" i="52"/>
  <c r="AJ26" i="52"/>
  <c r="AH26" i="52"/>
  <c r="AF26" i="52"/>
  <c r="AD26" i="52"/>
  <c r="AB26" i="52"/>
  <c r="Z26" i="52"/>
  <c r="X26" i="52"/>
  <c r="V26" i="52"/>
  <c r="T26" i="52"/>
  <c r="R26" i="52"/>
  <c r="P26" i="52"/>
  <c r="N26" i="52"/>
  <c r="L26" i="52"/>
  <c r="J26" i="52"/>
  <c r="H26" i="52"/>
  <c r="F26" i="52"/>
  <c r="AK26" i="52"/>
  <c r="AG26" i="52"/>
  <c r="AC26" i="52"/>
  <c r="Y26" i="52"/>
  <c r="U26" i="52"/>
  <c r="Q26" i="52"/>
  <c r="M26" i="52"/>
  <c r="I26" i="52"/>
  <c r="E26" i="52"/>
  <c r="AI26" i="52"/>
  <c r="AA26" i="52"/>
  <c r="S26" i="52"/>
  <c r="K26" i="52"/>
  <c r="AM26" i="52"/>
  <c r="AE26" i="52"/>
  <c r="W26" i="52"/>
  <c r="O26" i="52"/>
  <c r="G26" i="52"/>
  <c r="AN30" i="52"/>
  <c r="AL30" i="52"/>
  <c r="AJ30" i="52"/>
  <c r="AH30" i="52"/>
  <c r="AF30" i="52"/>
  <c r="AD30" i="52"/>
  <c r="AB30" i="52"/>
  <c r="Z30" i="52"/>
  <c r="X30" i="52"/>
  <c r="V30" i="52"/>
  <c r="T30" i="52"/>
  <c r="R30" i="52"/>
  <c r="P30" i="52"/>
  <c r="N30" i="52"/>
  <c r="L30" i="52"/>
  <c r="J30" i="52"/>
  <c r="H30" i="52"/>
  <c r="F30" i="52"/>
  <c r="AK30" i="52"/>
  <c r="AG30" i="52"/>
  <c r="AC30" i="52"/>
  <c r="Y30" i="52"/>
  <c r="U30" i="52"/>
  <c r="Q30" i="52"/>
  <c r="M30" i="52"/>
  <c r="I30" i="52"/>
  <c r="E30" i="52"/>
  <c r="AM30" i="52"/>
  <c r="AE30" i="52"/>
  <c r="W30" i="52"/>
  <c r="O30" i="52"/>
  <c r="G30" i="52"/>
  <c r="AI30" i="52"/>
  <c r="AA30" i="52"/>
  <c r="S30" i="52"/>
  <c r="K30" i="52"/>
  <c r="AN34" i="52"/>
  <c r="AL34" i="52"/>
  <c r="AJ34" i="52"/>
  <c r="AH34" i="52"/>
  <c r="AF34" i="52"/>
  <c r="AD34" i="52"/>
  <c r="AB34" i="52"/>
  <c r="Z34" i="52"/>
  <c r="X34" i="52"/>
  <c r="V34" i="52"/>
  <c r="T34" i="52"/>
  <c r="R34" i="52"/>
  <c r="P34" i="52"/>
  <c r="N34" i="52"/>
  <c r="L34" i="52"/>
  <c r="J34" i="52"/>
  <c r="H34" i="52"/>
  <c r="F34" i="52"/>
  <c r="AK34" i="52"/>
  <c r="AG34" i="52"/>
  <c r="AC34" i="52"/>
  <c r="Y34" i="52"/>
  <c r="U34" i="52"/>
  <c r="Q34" i="52"/>
  <c r="M34" i="52"/>
  <c r="I34" i="52"/>
  <c r="E34" i="52"/>
  <c r="AI34" i="52"/>
  <c r="AA34" i="52"/>
  <c r="S34" i="52"/>
  <c r="K34" i="52"/>
  <c r="AM34" i="52"/>
  <c r="AE34" i="52"/>
  <c r="W34" i="52"/>
  <c r="O34" i="52"/>
  <c r="G34" i="52"/>
  <c r="AN38" i="52"/>
  <c r="AL38" i="52"/>
  <c r="AJ38" i="52"/>
  <c r="AH38" i="52"/>
  <c r="AF38" i="52"/>
  <c r="AD38" i="52"/>
  <c r="AB38" i="52"/>
  <c r="Z38" i="52"/>
  <c r="X38" i="52"/>
  <c r="V38" i="52"/>
  <c r="T38" i="52"/>
  <c r="R38" i="52"/>
  <c r="P38" i="52"/>
  <c r="N38" i="52"/>
  <c r="L38" i="52"/>
  <c r="J38" i="52"/>
  <c r="H38" i="52"/>
  <c r="F38" i="52"/>
  <c r="AK38" i="52"/>
  <c r="AG38" i="52"/>
  <c r="AC38" i="52"/>
  <c r="Y38" i="52"/>
  <c r="U38" i="52"/>
  <c r="Q38" i="52"/>
  <c r="M38" i="52"/>
  <c r="I38" i="52"/>
  <c r="E38" i="52"/>
  <c r="AM38" i="52"/>
  <c r="AE38" i="52"/>
  <c r="W38" i="52"/>
  <c r="O38" i="52"/>
  <c r="G38" i="52"/>
  <c r="AI38" i="52"/>
  <c r="AA38" i="52"/>
  <c r="S38" i="52"/>
  <c r="K38" i="52"/>
  <c r="AN42" i="52"/>
  <c r="AL42" i="52"/>
  <c r="AJ42" i="52"/>
  <c r="AH42" i="52"/>
  <c r="AF42" i="52"/>
  <c r="AD42" i="52"/>
  <c r="AB42" i="52"/>
  <c r="Z42" i="52"/>
  <c r="X42" i="52"/>
  <c r="V42" i="52"/>
  <c r="T42" i="52"/>
  <c r="R42" i="52"/>
  <c r="P42" i="52"/>
  <c r="N42" i="52"/>
  <c r="L42" i="52"/>
  <c r="J42" i="52"/>
  <c r="H42" i="52"/>
  <c r="F42" i="52"/>
  <c r="AK42" i="52"/>
  <c r="AG42" i="52"/>
  <c r="AC42" i="52"/>
  <c r="Y42" i="52"/>
  <c r="U42" i="52"/>
  <c r="Q42" i="52"/>
  <c r="M42" i="52"/>
  <c r="I42" i="52"/>
  <c r="E42" i="52"/>
  <c r="AI42" i="52"/>
  <c r="AA42" i="52"/>
  <c r="S42" i="52"/>
  <c r="K42" i="52"/>
  <c r="AM42" i="52"/>
  <c r="AE42" i="52"/>
  <c r="W42" i="52"/>
  <c r="O42" i="52"/>
  <c r="G42" i="52"/>
  <c r="AN46" i="52"/>
  <c r="AL46" i="52"/>
  <c r="AJ46" i="52"/>
  <c r="AH46" i="52"/>
  <c r="AF46" i="52"/>
  <c r="AD46" i="52"/>
  <c r="AB46" i="52"/>
  <c r="Z46" i="52"/>
  <c r="X46" i="52"/>
  <c r="V46" i="52"/>
  <c r="T46" i="52"/>
  <c r="R46" i="52"/>
  <c r="P46" i="52"/>
  <c r="N46" i="52"/>
  <c r="L46" i="52"/>
  <c r="J46" i="52"/>
  <c r="H46" i="52"/>
  <c r="F46" i="52"/>
  <c r="AK46" i="52"/>
  <c r="AG46" i="52"/>
  <c r="AC46" i="52"/>
  <c r="Y46" i="52"/>
  <c r="U46" i="52"/>
  <c r="Q46" i="52"/>
  <c r="M46" i="52"/>
  <c r="I46" i="52"/>
  <c r="E46" i="52"/>
  <c r="AM46" i="52"/>
  <c r="AE46" i="52"/>
  <c r="W46" i="52"/>
  <c r="O46" i="52"/>
  <c r="G46" i="52"/>
  <c r="AI46" i="52"/>
  <c r="AA46" i="52"/>
  <c r="S46" i="52"/>
  <c r="K46" i="52"/>
  <c r="AN50" i="52"/>
  <c r="AL50" i="52"/>
  <c r="AJ50" i="52"/>
  <c r="AH50" i="52"/>
  <c r="AF50" i="52"/>
  <c r="AD50" i="52"/>
  <c r="AB50" i="52"/>
  <c r="Z50" i="52"/>
  <c r="X50" i="52"/>
  <c r="V50" i="52"/>
  <c r="T50" i="52"/>
  <c r="R50" i="52"/>
  <c r="P50" i="52"/>
  <c r="N50" i="52"/>
  <c r="L50" i="52"/>
  <c r="J50" i="52"/>
  <c r="H50" i="52"/>
  <c r="F50" i="52"/>
  <c r="AK50" i="52"/>
  <c r="AG50" i="52"/>
  <c r="AC50" i="52"/>
  <c r="Y50" i="52"/>
  <c r="U50" i="52"/>
  <c r="Q50" i="52"/>
  <c r="M50" i="52"/>
  <c r="I50" i="52"/>
  <c r="E50" i="52"/>
  <c r="AI50" i="52"/>
  <c r="AA50" i="52"/>
  <c r="S50" i="52"/>
  <c r="K50" i="52"/>
  <c r="AM50" i="52"/>
  <c r="AE50" i="52"/>
  <c r="W50" i="52"/>
  <c r="O50" i="52"/>
  <c r="G50" i="52"/>
  <c r="AN54" i="52"/>
  <c r="AL54" i="52"/>
  <c r="AJ54" i="52"/>
  <c r="AH54" i="52"/>
  <c r="AF54" i="52"/>
  <c r="AD54" i="52"/>
  <c r="AB54" i="52"/>
  <c r="Z54" i="52"/>
  <c r="X54" i="52"/>
  <c r="V54" i="52"/>
  <c r="T54" i="52"/>
  <c r="R54" i="52"/>
  <c r="P54" i="52"/>
  <c r="N54" i="52"/>
  <c r="L54" i="52"/>
  <c r="J54" i="52"/>
  <c r="H54" i="52"/>
  <c r="F54" i="52"/>
  <c r="AK54" i="52"/>
  <c r="AG54" i="52"/>
  <c r="AC54" i="52"/>
  <c r="Y54" i="52"/>
  <c r="U54" i="52"/>
  <c r="Q54" i="52"/>
  <c r="M54" i="52"/>
  <c r="I54" i="52"/>
  <c r="E54" i="52"/>
  <c r="AM54" i="52"/>
  <c r="AE54" i="52"/>
  <c r="W54" i="52"/>
  <c r="O54" i="52"/>
  <c r="G54" i="52"/>
  <c r="AI54" i="52"/>
  <c r="AA54" i="52"/>
  <c r="S54" i="52"/>
  <c r="K54" i="52"/>
  <c r="AN62" i="52"/>
  <c r="AL62" i="52"/>
  <c r="AJ62" i="52"/>
  <c r="AH62" i="52"/>
  <c r="AF62" i="52"/>
  <c r="AD62" i="52"/>
  <c r="AB62" i="52"/>
  <c r="Z62" i="52"/>
  <c r="X62" i="52"/>
  <c r="V62" i="52"/>
  <c r="T62" i="52"/>
  <c r="R62" i="52"/>
  <c r="P62" i="52"/>
  <c r="N62" i="52"/>
  <c r="L62" i="52"/>
  <c r="J62" i="52"/>
  <c r="H62" i="52"/>
  <c r="F62" i="52"/>
  <c r="AK62" i="52"/>
  <c r="AG62" i="52"/>
  <c r="AC62" i="52"/>
  <c r="Y62" i="52"/>
  <c r="U62" i="52"/>
  <c r="Q62" i="52"/>
  <c r="M62" i="52"/>
  <c r="I62" i="52"/>
  <c r="E62" i="52"/>
  <c r="AM62" i="52"/>
  <c r="AE62" i="52"/>
  <c r="W62" i="52"/>
  <c r="O62" i="52"/>
  <c r="G62" i="52"/>
  <c r="AI62" i="52"/>
  <c r="AA62" i="52"/>
  <c r="S62" i="52"/>
  <c r="K62" i="52"/>
  <c r="AN66" i="52"/>
  <c r="AL66" i="52"/>
  <c r="AJ66" i="52"/>
  <c r="AH66" i="52"/>
  <c r="AF66" i="52"/>
  <c r="AD66" i="52"/>
  <c r="AB66" i="52"/>
  <c r="Z66" i="52"/>
  <c r="X66" i="52"/>
  <c r="V66" i="52"/>
  <c r="T66" i="52"/>
  <c r="R66" i="52"/>
  <c r="P66" i="52"/>
  <c r="N66" i="52"/>
  <c r="L66" i="52"/>
  <c r="J66" i="52"/>
  <c r="H66" i="52"/>
  <c r="F66" i="52"/>
  <c r="AK66" i="52"/>
  <c r="AG66" i="52"/>
  <c r="AC66" i="52"/>
  <c r="Y66" i="52"/>
  <c r="U66" i="52"/>
  <c r="Q66" i="52"/>
  <c r="M66" i="52"/>
  <c r="I66" i="52"/>
  <c r="E66" i="52"/>
  <c r="AI66" i="52"/>
  <c r="AA66" i="52"/>
  <c r="S66" i="52"/>
  <c r="K66" i="52"/>
  <c r="AM66" i="52"/>
  <c r="AE66" i="52"/>
  <c r="W66" i="52"/>
  <c r="O66" i="52"/>
  <c r="G66" i="52"/>
  <c r="Z46" i="118"/>
  <c r="AA46" i="118"/>
  <c r="AE46" i="118"/>
  <c r="AQ390" i="119"/>
  <c r="AI390" i="119"/>
  <c r="W390" i="119"/>
  <c r="O390" i="119"/>
  <c r="AD51" i="20"/>
  <c r="T51" i="20"/>
  <c r="Y51" i="20"/>
  <c r="AE51" i="20"/>
  <c r="AQ39" i="94"/>
  <c r="AQ38" i="94"/>
  <c r="AQ37" i="94"/>
  <c r="AQ36" i="94"/>
  <c r="AQ35" i="94"/>
  <c r="AQ33" i="94"/>
  <c r="AQ31" i="94"/>
  <c r="AE39" i="94"/>
  <c r="AE38" i="94"/>
  <c r="AE37" i="94"/>
  <c r="AE36" i="94"/>
  <c r="AE35" i="94"/>
  <c r="AE33" i="94"/>
  <c r="AE31" i="94"/>
  <c r="AA39" i="94"/>
  <c r="AA38" i="94"/>
  <c r="AA37" i="94"/>
  <c r="AA36" i="94"/>
  <c r="AA35" i="94"/>
  <c r="AA33" i="94"/>
  <c r="AA31" i="94"/>
  <c r="O39" i="94"/>
  <c r="O38" i="94"/>
  <c r="O37" i="94"/>
  <c r="O36" i="94"/>
  <c r="O35" i="94"/>
  <c r="O33" i="94"/>
  <c r="O31" i="94"/>
  <c r="O28" i="119"/>
  <c r="O328" i="119"/>
  <c r="O329" i="119"/>
  <c r="O24" i="119"/>
  <c r="K23" i="138" s="1"/>
  <c r="AM45" i="52"/>
  <c r="AK45" i="52"/>
  <c r="AI45" i="52"/>
  <c r="AG45" i="52"/>
  <c r="AE45" i="52"/>
  <c r="AC45" i="52"/>
  <c r="AA45" i="52"/>
  <c r="Y45" i="52"/>
  <c r="W45" i="52"/>
  <c r="U45" i="52"/>
  <c r="S45" i="52"/>
  <c r="Q45" i="52"/>
  <c r="O45" i="52"/>
  <c r="M45" i="52"/>
  <c r="K45" i="52"/>
  <c r="I45" i="52"/>
  <c r="G45" i="52"/>
  <c r="E45" i="52"/>
  <c r="AL45" i="52"/>
  <c r="AH45" i="52"/>
  <c r="AD45" i="52"/>
  <c r="Z45" i="52"/>
  <c r="V45" i="52"/>
  <c r="R45" i="52"/>
  <c r="N45" i="52"/>
  <c r="J45" i="52"/>
  <c r="F45" i="52"/>
  <c r="AJ45" i="52"/>
  <c r="AB45" i="52"/>
  <c r="T45" i="52"/>
  <c r="L45" i="52"/>
  <c r="AN45" i="52"/>
  <c r="AF45" i="52"/>
  <c r="X45" i="52"/>
  <c r="P45" i="52"/>
  <c r="H45" i="52"/>
  <c r="AM29" i="52"/>
  <c r="AK29" i="52"/>
  <c r="AI29" i="52"/>
  <c r="AG29" i="52"/>
  <c r="AE29" i="52"/>
  <c r="AC29" i="52"/>
  <c r="AA29" i="52"/>
  <c r="Y29" i="52"/>
  <c r="W29" i="52"/>
  <c r="U29" i="52"/>
  <c r="S29" i="52"/>
  <c r="Q29" i="52"/>
  <c r="O29" i="52"/>
  <c r="M29" i="52"/>
  <c r="K29" i="52"/>
  <c r="I29" i="52"/>
  <c r="G29" i="52"/>
  <c r="E29" i="52"/>
  <c r="AL29" i="52"/>
  <c r="AH29" i="52"/>
  <c r="AD29" i="52"/>
  <c r="Z29" i="52"/>
  <c r="V29" i="52"/>
  <c r="R29" i="52"/>
  <c r="N29" i="52"/>
  <c r="J29" i="52"/>
  <c r="F29" i="52"/>
  <c r="AJ29" i="52"/>
  <c r="AB29" i="52"/>
  <c r="T29" i="52"/>
  <c r="L29" i="52"/>
  <c r="AN29" i="52"/>
  <c r="AF29" i="52"/>
  <c r="X29" i="52"/>
  <c r="P29" i="52"/>
  <c r="H29" i="52"/>
  <c r="AS390" i="119"/>
  <c r="AO390" i="119"/>
  <c r="AK390" i="119"/>
  <c r="AG390" i="119"/>
  <c r="AC390" i="119"/>
  <c r="Y390" i="119"/>
  <c r="U390" i="119"/>
  <c r="Q390" i="119"/>
  <c r="M390" i="119"/>
  <c r="AE42" i="20"/>
  <c r="Y42" i="20"/>
  <c r="AD42" i="20"/>
  <c r="T42" i="20"/>
  <c r="AD37" i="20"/>
  <c r="T37" i="20"/>
  <c r="AE37" i="20"/>
  <c r="Y37" i="20"/>
  <c r="AD41" i="20"/>
  <c r="T41" i="20"/>
  <c r="AE41" i="20"/>
  <c r="Y41" i="20"/>
  <c r="AD45" i="20"/>
  <c r="T45" i="20"/>
  <c r="AE45" i="20"/>
  <c r="Y45" i="20"/>
  <c r="AO39" i="94"/>
  <c r="AO38" i="94"/>
  <c r="AO37" i="94"/>
  <c r="AO36" i="94"/>
  <c r="AO35" i="94"/>
  <c r="AO33" i="94"/>
  <c r="AO31" i="94"/>
  <c r="AK39" i="94"/>
  <c r="AK38" i="94"/>
  <c r="AK37" i="94"/>
  <c r="AK36" i="94"/>
  <c r="AK35" i="94"/>
  <c r="AK33" i="94"/>
  <c r="AK31" i="94"/>
  <c r="AG39" i="94"/>
  <c r="AG38" i="94"/>
  <c r="AG37" i="94"/>
  <c r="AG36" i="94"/>
  <c r="AG35" i="94"/>
  <c r="AG33" i="94"/>
  <c r="AG31" i="94"/>
  <c r="AC39" i="94"/>
  <c r="AC38" i="94"/>
  <c r="AC37" i="94"/>
  <c r="AC36" i="94"/>
  <c r="AC35" i="94"/>
  <c r="AC33" i="94"/>
  <c r="AC31" i="94"/>
  <c r="Y39" i="94"/>
  <c r="Y38" i="94"/>
  <c r="Y37" i="94"/>
  <c r="Y36" i="94"/>
  <c r="Y35" i="94"/>
  <c r="Y33" i="94"/>
  <c r="Y31" i="94"/>
  <c r="U39" i="94"/>
  <c r="U38" i="94"/>
  <c r="U37" i="94"/>
  <c r="U36" i="94"/>
  <c r="U35" i="94"/>
  <c r="U33" i="94"/>
  <c r="U31" i="94"/>
  <c r="Q39" i="94"/>
  <c r="Q38" i="94"/>
  <c r="Q37" i="94"/>
  <c r="Q36" i="94"/>
  <c r="Q35" i="94"/>
  <c r="Q33" i="94"/>
  <c r="Q31" i="94"/>
  <c r="M39" i="94"/>
  <c r="M38" i="94"/>
  <c r="M37" i="94"/>
  <c r="M36" i="94"/>
  <c r="M35" i="94"/>
  <c r="M33" i="94"/>
  <c r="M31" i="94"/>
  <c r="Y28" i="119"/>
  <c r="Y328" i="119"/>
  <c r="Y329" i="119"/>
  <c r="Y24" i="119"/>
  <c r="U23" i="138" s="1"/>
  <c r="AM69" i="52"/>
  <c r="AK69" i="52"/>
  <c r="AI69" i="52"/>
  <c r="AG69" i="52"/>
  <c r="AE69" i="52"/>
  <c r="AC69" i="52"/>
  <c r="AA69" i="52"/>
  <c r="Y69" i="52"/>
  <c r="W69" i="52"/>
  <c r="U69" i="52"/>
  <c r="S69" i="52"/>
  <c r="Q69" i="52"/>
  <c r="O69" i="52"/>
  <c r="M69" i="52"/>
  <c r="K69" i="52"/>
  <c r="I69" i="52"/>
  <c r="G69" i="52"/>
  <c r="E69" i="52"/>
  <c r="AL69" i="52"/>
  <c r="AH69" i="52"/>
  <c r="AD69" i="52"/>
  <c r="Z69" i="52"/>
  <c r="V69" i="52"/>
  <c r="R69" i="52"/>
  <c r="N69" i="52"/>
  <c r="J69" i="52"/>
  <c r="F69" i="52"/>
  <c r="AJ69" i="52"/>
  <c r="AB69" i="52"/>
  <c r="T69" i="52"/>
  <c r="L69" i="52"/>
  <c r="AN69" i="52"/>
  <c r="AF69" i="52"/>
  <c r="X69" i="52"/>
  <c r="P69" i="52"/>
  <c r="H69" i="52"/>
  <c r="AM61" i="52"/>
  <c r="AK61" i="52"/>
  <c r="AI61" i="52"/>
  <c r="AG61" i="52"/>
  <c r="AE61" i="52"/>
  <c r="AC61" i="52"/>
  <c r="AA61" i="52"/>
  <c r="Y61" i="52"/>
  <c r="W61" i="52"/>
  <c r="U61" i="52"/>
  <c r="S61" i="52"/>
  <c r="Q61" i="52"/>
  <c r="O61" i="52"/>
  <c r="M61" i="52"/>
  <c r="K61" i="52"/>
  <c r="I61" i="52"/>
  <c r="G61" i="52"/>
  <c r="E61" i="52"/>
  <c r="AL61" i="52"/>
  <c r="AH61" i="52"/>
  <c r="AD61" i="52"/>
  <c r="Z61" i="52"/>
  <c r="V61" i="52"/>
  <c r="R61" i="52"/>
  <c r="N61" i="52"/>
  <c r="J61" i="52"/>
  <c r="F61" i="52"/>
  <c r="AJ61" i="52"/>
  <c r="AB61" i="52"/>
  <c r="T61" i="52"/>
  <c r="L61" i="52"/>
  <c r="AN61" i="52"/>
  <c r="AF61" i="52"/>
  <c r="X61" i="52"/>
  <c r="P61" i="52"/>
  <c r="H61" i="52"/>
  <c r="AM37" i="52"/>
  <c r="AK37" i="52"/>
  <c r="AI37" i="52"/>
  <c r="AG37" i="52"/>
  <c r="AE37" i="52"/>
  <c r="AC37" i="52"/>
  <c r="AA37" i="52"/>
  <c r="Y37" i="52"/>
  <c r="W37" i="52"/>
  <c r="U37" i="52"/>
  <c r="S37" i="52"/>
  <c r="Q37" i="52"/>
  <c r="O37" i="52"/>
  <c r="M37" i="52"/>
  <c r="K37" i="52"/>
  <c r="I37" i="52"/>
  <c r="G37" i="52"/>
  <c r="E37" i="52"/>
  <c r="AL37" i="52"/>
  <c r="AH37" i="52"/>
  <c r="AD37" i="52"/>
  <c r="Z37" i="52"/>
  <c r="V37" i="52"/>
  <c r="R37" i="52"/>
  <c r="N37" i="52"/>
  <c r="J37" i="52"/>
  <c r="F37" i="52"/>
  <c r="AJ37" i="52"/>
  <c r="AB37" i="52"/>
  <c r="T37" i="52"/>
  <c r="L37" i="52"/>
  <c r="AN37" i="52"/>
  <c r="AF37" i="52"/>
  <c r="X37" i="52"/>
  <c r="P37" i="52"/>
  <c r="H37" i="52"/>
  <c r="AM5" i="52"/>
  <c r="AK5" i="52"/>
  <c r="AI5" i="52"/>
  <c r="AG5" i="52"/>
  <c r="AE5" i="52"/>
  <c r="AC5" i="52"/>
  <c r="AA5" i="52"/>
  <c r="Y5" i="52"/>
  <c r="W5" i="52"/>
  <c r="U5" i="52"/>
  <c r="S5" i="52"/>
  <c r="Q5" i="52"/>
  <c r="O5" i="52"/>
  <c r="M5" i="52"/>
  <c r="K5" i="52"/>
  <c r="I5" i="52"/>
  <c r="G5" i="52"/>
  <c r="E5" i="52"/>
  <c r="AL5" i="52"/>
  <c r="AH5" i="52"/>
  <c r="AD5" i="52"/>
  <c r="Z5" i="52"/>
  <c r="V5" i="52"/>
  <c r="R5" i="52"/>
  <c r="N5" i="52"/>
  <c r="J5" i="52"/>
  <c r="F5" i="52"/>
  <c r="AJ5" i="52"/>
  <c r="AB5" i="52"/>
  <c r="T5" i="52"/>
  <c r="L5" i="52"/>
  <c r="AN5" i="52"/>
  <c r="AF5" i="52"/>
  <c r="X5" i="52"/>
  <c r="P5" i="52"/>
  <c r="H5" i="52"/>
  <c r="M24" i="101"/>
  <c r="Z120" i="59" s="1"/>
  <c r="Z121" i="59" s="1"/>
  <c r="AM7" i="52"/>
  <c r="AK7" i="52"/>
  <c r="AI7" i="52"/>
  <c r="AG7" i="52"/>
  <c r="AE7" i="52"/>
  <c r="AC7" i="52"/>
  <c r="AA7" i="52"/>
  <c r="Y7" i="52"/>
  <c r="W7" i="52"/>
  <c r="U7" i="52"/>
  <c r="S7" i="52"/>
  <c r="Q7" i="52"/>
  <c r="O7" i="52"/>
  <c r="M7" i="52"/>
  <c r="K7" i="52"/>
  <c r="I7" i="52"/>
  <c r="G7" i="52"/>
  <c r="E7" i="52"/>
  <c r="AN7" i="52"/>
  <c r="AJ7" i="52"/>
  <c r="AF7" i="52"/>
  <c r="AB7" i="52"/>
  <c r="X7" i="52"/>
  <c r="T7" i="52"/>
  <c r="P7" i="52"/>
  <c r="L7" i="52"/>
  <c r="H7" i="52"/>
  <c r="AH7" i="52"/>
  <c r="Z7" i="52"/>
  <c r="R7" i="52"/>
  <c r="J7" i="52"/>
  <c r="AL7" i="52"/>
  <c r="AD7" i="52"/>
  <c r="V7" i="52"/>
  <c r="N7" i="52"/>
  <c r="F7" i="52"/>
  <c r="AM15" i="52"/>
  <c r="AM64" i="106" s="1"/>
  <c r="AK15" i="52"/>
  <c r="AK64" i="106" s="1"/>
  <c r="AI15" i="52"/>
  <c r="AI64" i="106" s="1"/>
  <c r="AG15" i="52"/>
  <c r="AG64" i="106" s="1"/>
  <c r="AE15" i="52"/>
  <c r="AE64" i="106" s="1"/>
  <c r="AC15" i="52"/>
  <c r="AC64" i="106" s="1"/>
  <c r="AA15" i="52"/>
  <c r="AA64" i="106" s="1"/>
  <c r="Y15" i="52"/>
  <c r="Y64" i="106" s="1"/>
  <c r="W15" i="52"/>
  <c r="W64" i="106" s="1"/>
  <c r="U15" i="52"/>
  <c r="U64" i="106" s="1"/>
  <c r="S15" i="52"/>
  <c r="S64" i="106" s="1"/>
  <c r="Q15" i="52"/>
  <c r="Q64" i="106" s="1"/>
  <c r="O15" i="52"/>
  <c r="O64" i="106" s="1"/>
  <c r="M15" i="52"/>
  <c r="M64" i="106" s="1"/>
  <c r="K15" i="52"/>
  <c r="K64" i="106" s="1"/>
  <c r="I15" i="52"/>
  <c r="I64" i="106" s="1"/>
  <c r="G15" i="52"/>
  <c r="G64" i="106" s="1"/>
  <c r="AN15" i="52"/>
  <c r="AN64" i="106" s="1"/>
  <c r="AJ15" i="52"/>
  <c r="AJ64" i="106" s="1"/>
  <c r="AF15" i="52"/>
  <c r="AF64" i="106" s="1"/>
  <c r="AB15" i="52"/>
  <c r="AB64" i="106" s="1"/>
  <c r="X15" i="52"/>
  <c r="X64" i="106" s="1"/>
  <c r="T15" i="52"/>
  <c r="T64" i="106" s="1"/>
  <c r="P15" i="52"/>
  <c r="P64" i="106" s="1"/>
  <c r="L15" i="52"/>
  <c r="L64" i="106" s="1"/>
  <c r="H15" i="52"/>
  <c r="H64" i="106" s="1"/>
  <c r="AH15" i="52"/>
  <c r="AH64" i="106" s="1"/>
  <c r="Z15" i="52"/>
  <c r="Z64" i="106" s="1"/>
  <c r="R15" i="52"/>
  <c r="R64" i="106" s="1"/>
  <c r="J15" i="52"/>
  <c r="J64" i="106" s="1"/>
  <c r="AL15" i="52"/>
  <c r="AL64" i="106" s="1"/>
  <c r="AD15" i="52"/>
  <c r="AD64" i="106" s="1"/>
  <c r="V15" i="52"/>
  <c r="V64" i="106" s="1"/>
  <c r="N15" i="52"/>
  <c r="N64" i="106" s="1"/>
  <c r="F15" i="52"/>
  <c r="F64" i="106" s="1"/>
  <c r="AM23" i="52"/>
  <c r="AK23" i="52"/>
  <c r="AI23" i="52"/>
  <c r="AG23" i="52"/>
  <c r="AE23" i="52"/>
  <c r="AC23" i="52"/>
  <c r="AA23" i="52"/>
  <c r="Y23" i="52"/>
  <c r="W23" i="52"/>
  <c r="U23" i="52"/>
  <c r="S23" i="52"/>
  <c r="Q23" i="52"/>
  <c r="O23" i="52"/>
  <c r="M23" i="52"/>
  <c r="K23" i="52"/>
  <c r="I23" i="52"/>
  <c r="G23" i="52"/>
  <c r="E23" i="52"/>
  <c r="AN23" i="52"/>
  <c r="AJ23" i="52"/>
  <c r="AF23" i="52"/>
  <c r="AB23" i="52"/>
  <c r="X23" i="52"/>
  <c r="T23" i="52"/>
  <c r="P23" i="52"/>
  <c r="L23" i="52"/>
  <c r="H23" i="52"/>
  <c r="AH23" i="52"/>
  <c r="Z23" i="52"/>
  <c r="R23" i="52"/>
  <c r="J23" i="52"/>
  <c r="AL23" i="52"/>
  <c r="AD23" i="52"/>
  <c r="V23" i="52"/>
  <c r="N23" i="52"/>
  <c r="F23" i="52"/>
  <c r="AM31" i="52"/>
  <c r="AK31" i="52"/>
  <c r="AI31" i="52"/>
  <c r="AG31" i="52"/>
  <c r="AE31" i="52"/>
  <c r="AC31" i="52"/>
  <c r="AA31" i="52"/>
  <c r="Y31" i="52"/>
  <c r="W31" i="52"/>
  <c r="U31" i="52"/>
  <c r="S31" i="52"/>
  <c r="Q31" i="52"/>
  <c r="O31" i="52"/>
  <c r="M31" i="52"/>
  <c r="K31" i="52"/>
  <c r="I31" i="52"/>
  <c r="G31" i="52"/>
  <c r="E31" i="52"/>
  <c r="AN31" i="52"/>
  <c r="AJ31" i="52"/>
  <c r="AF31" i="52"/>
  <c r="AB31" i="52"/>
  <c r="X31" i="52"/>
  <c r="T31" i="52"/>
  <c r="P31" i="52"/>
  <c r="L31" i="52"/>
  <c r="H31" i="52"/>
  <c r="AH31" i="52"/>
  <c r="Z31" i="52"/>
  <c r="R31" i="52"/>
  <c r="J31" i="52"/>
  <c r="AL31" i="52"/>
  <c r="AD31" i="52"/>
  <c r="V31" i="52"/>
  <c r="N31" i="52"/>
  <c r="F31" i="52"/>
  <c r="AM47" i="52"/>
  <c r="AK47" i="52"/>
  <c r="AI47" i="52"/>
  <c r="AG47" i="52"/>
  <c r="AE47" i="52"/>
  <c r="AC47" i="52"/>
  <c r="AA47" i="52"/>
  <c r="Y47" i="52"/>
  <c r="W47" i="52"/>
  <c r="U47" i="52"/>
  <c r="S47" i="52"/>
  <c r="Q47" i="52"/>
  <c r="O47" i="52"/>
  <c r="M47" i="52"/>
  <c r="K47" i="52"/>
  <c r="I47" i="52"/>
  <c r="G47" i="52"/>
  <c r="E47" i="52"/>
  <c r="AN47" i="52"/>
  <c r="AJ47" i="52"/>
  <c r="AF47" i="52"/>
  <c r="AB47" i="52"/>
  <c r="X47" i="52"/>
  <c r="T47" i="52"/>
  <c r="P47" i="52"/>
  <c r="L47" i="52"/>
  <c r="H47" i="52"/>
  <c r="AH47" i="52"/>
  <c r="Z47" i="52"/>
  <c r="R47" i="52"/>
  <c r="J47" i="52"/>
  <c r="AL47" i="52"/>
  <c r="AD47" i="52"/>
  <c r="V47" i="52"/>
  <c r="N47" i="52"/>
  <c r="F47" i="52"/>
  <c r="AM55" i="52"/>
  <c r="AK55" i="52"/>
  <c r="AI55" i="52"/>
  <c r="AG55" i="52"/>
  <c r="AE55" i="52"/>
  <c r="AC55" i="52"/>
  <c r="AA55" i="52"/>
  <c r="Y55" i="52"/>
  <c r="W55" i="52"/>
  <c r="U55" i="52"/>
  <c r="S55" i="52"/>
  <c r="Q55" i="52"/>
  <c r="O55" i="52"/>
  <c r="M55" i="52"/>
  <c r="K55" i="52"/>
  <c r="I55" i="52"/>
  <c r="G55" i="52"/>
  <c r="E55" i="52"/>
  <c r="AN55" i="52"/>
  <c r="AJ55" i="52"/>
  <c r="AF55" i="52"/>
  <c r="AB55" i="52"/>
  <c r="X55" i="52"/>
  <c r="T55" i="52"/>
  <c r="P55" i="52"/>
  <c r="L55" i="52"/>
  <c r="H55" i="52"/>
  <c r="AH55" i="52"/>
  <c r="Z55" i="52"/>
  <c r="R55" i="52"/>
  <c r="J55" i="52"/>
  <c r="AL55" i="52"/>
  <c r="AD55" i="52"/>
  <c r="V55" i="52"/>
  <c r="N55" i="52"/>
  <c r="F55" i="52"/>
  <c r="AM63" i="52"/>
  <c r="AK63" i="52"/>
  <c r="AI63" i="52"/>
  <c r="AG63" i="52"/>
  <c r="AE63" i="52"/>
  <c r="AC63" i="52"/>
  <c r="AA63" i="52"/>
  <c r="Y63" i="52"/>
  <c r="W63" i="52"/>
  <c r="U63" i="52"/>
  <c r="S63" i="52"/>
  <c r="Q63" i="52"/>
  <c r="O63" i="52"/>
  <c r="M63" i="52"/>
  <c r="K63" i="52"/>
  <c r="I63" i="52"/>
  <c r="G63" i="52"/>
  <c r="E63" i="52"/>
  <c r="AN63" i="52"/>
  <c r="AJ63" i="52"/>
  <c r="AF63" i="52"/>
  <c r="AB63" i="52"/>
  <c r="X63" i="52"/>
  <c r="T63" i="52"/>
  <c r="P63" i="52"/>
  <c r="L63" i="52"/>
  <c r="H63" i="52"/>
  <c r="AH63" i="52"/>
  <c r="Z63" i="52"/>
  <c r="R63" i="52"/>
  <c r="J63" i="52"/>
  <c r="AL63" i="52"/>
  <c r="AD63" i="52"/>
  <c r="V63" i="52"/>
  <c r="N63" i="52"/>
  <c r="AN4" i="52"/>
  <c r="AL4" i="52"/>
  <c r="AJ4" i="52"/>
  <c r="AH4" i="52"/>
  <c r="AF4" i="52"/>
  <c r="AD4" i="52"/>
  <c r="AB4" i="52"/>
  <c r="Z4" i="52"/>
  <c r="X4" i="52"/>
  <c r="V4" i="52"/>
  <c r="T4" i="52"/>
  <c r="R4" i="52"/>
  <c r="P4" i="52"/>
  <c r="N4" i="52"/>
  <c r="L4" i="52"/>
  <c r="J4" i="52"/>
  <c r="H4" i="52"/>
  <c r="F4" i="52"/>
  <c r="AM4" i="52"/>
  <c r="AI4" i="52"/>
  <c r="AE4" i="52"/>
  <c r="AA4" i="52"/>
  <c r="W4" i="52"/>
  <c r="S4" i="52"/>
  <c r="O4" i="52"/>
  <c r="K4" i="52"/>
  <c r="G4" i="52"/>
  <c r="AG4" i="52"/>
  <c r="Y4" i="52"/>
  <c r="Q4" i="52"/>
  <c r="I4" i="52"/>
  <c r="AK4" i="52"/>
  <c r="AC4" i="52"/>
  <c r="U4" i="52"/>
  <c r="M4" i="52"/>
  <c r="AN8" i="52"/>
  <c r="AL8" i="52"/>
  <c r="AJ8" i="52"/>
  <c r="AH8" i="52"/>
  <c r="AF8" i="52"/>
  <c r="AD8" i="52"/>
  <c r="AB8" i="52"/>
  <c r="Z8" i="52"/>
  <c r="X8" i="52"/>
  <c r="V8" i="52"/>
  <c r="T8" i="52"/>
  <c r="R8" i="52"/>
  <c r="P8" i="52"/>
  <c r="N8" i="52"/>
  <c r="L8" i="52"/>
  <c r="J8" i="52"/>
  <c r="H8" i="52"/>
  <c r="F8" i="52"/>
  <c r="AM8" i="52"/>
  <c r="AI8" i="52"/>
  <c r="AE8" i="52"/>
  <c r="AA8" i="52"/>
  <c r="W8" i="52"/>
  <c r="S8" i="52"/>
  <c r="O8" i="52"/>
  <c r="K8" i="52"/>
  <c r="G8" i="52"/>
  <c r="AK8" i="52"/>
  <c r="AC8" i="52"/>
  <c r="U8" i="52"/>
  <c r="M8" i="52"/>
  <c r="E8" i="52"/>
  <c r="AG8" i="52"/>
  <c r="Y8" i="52"/>
  <c r="Q8" i="52"/>
  <c r="I8" i="52"/>
  <c r="AN16" i="52"/>
  <c r="AL16" i="52"/>
  <c r="AJ16" i="52"/>
  <c r="AH16" i="52"/>
  <c r="AF16" i="52"/>
  <c r="AD16" i="52"/>
  <c r="AB16" i="52"/>
  <c r="Z16" i="52"/>
  <c r="X16" i="52"/>
  <c r="V16" i="52"/>
  <c r="V43" i="106" s="1"/>
  <c r="T16" i="52"/>
  <c r="R43" i="106"/>
  <c r="P16" i="52"/>
  <c r="N16" i="52"/>
  <c r="L16" i="52"/>
  <c r="J16" i="52"/>
  <c r="H16" i="52"/>
  <c r="F16" i="52"/>
  <c r="AM16" i="52"/>
  <c r="AI16" i="52"/>
  <c r="AE16" i="52"/>
  <c r="AA16" i="52"/>
  <c r="W16" i="52"/>
  <c r="S16" i="52"/>
  <c r="O16" i="52"/>
  <c r="K16" i="52"/>
  <c r="G16" i="52"/>
  <c r="AK16" i="52"/>
  <c r="AC16" i="52"/>
  <c r="U16" i="52"/>
  <c r="M16" i="52"/>
  <c r="E16" i="52"/>
  <c r="E43" i="106" s="1"/>
  <c r="AG16" i="52"/>
  <c r="Y16" i="52"/>
  <c r="Q16" i="52"/>
  <c r="I16" i="52"/>
  <c r="AN20" i="52"/>
  <c r="AL20" i="52"/>
  <c r="AJ20" i="52"/>
  <c r="AH20" i="52"/>
  <c r="AF20" i="52"/>
  <c r="AD20" i="52"/>
  <c r="AB20" i="52"/>
  <c r="Z20" i="52"/>
  <c r="X20" i="52"/>
  <c r="V20" i="52"/>
  <c r="T20" i="52"/>
  <c r="R20" i="52"/>
  <c r="P20" i="52"/>
  <c r="N20" i="52"/>
  <c r="L20" i="52"/>
  <c r="J20" i="52"/>
  <c r="H20" i="52"/>
  <c r="F20" i="52"/>
  <c r="AM20" i="52"/>
  <c r="AI20" i="52"/>
  <c r="AE20" i="52"/>
  <c r="AA20" i="52"/>
  <c r="W20" i="52"/>
  <c r="S20" i="52"/>
  <c r="O20" i="52"/>
  <c r="K20" i="52"/>
  <c r="G20" i="52"/>
  <c r="AG20" i="52"/>
  <c r="Y20" i="52"/>
  <c r="Q20" i="52"/>
  <c r="I20" i="52"/>
  <c r="AK20" i="52"/>
  <c r="AC20" i="52"/>
  <c r="U20" i="52"/>
  <c r="M20" i="52"/>
  <c r="E20" i="52"/>
  <c r="AN24" i="52"/>
  <c r="AL24" i="52"/>
  <c r="AJ24" i="52"/>
  <c r="AH24" i="52"/>
  <c r="AF24" i="52"/>
  <c r="AD24" i="52"/>
  <c r="AB24" i="52"/>
  <c r="Z24" i="52"/>
  <c r="X24" i="52"/>
  <c r="V24" i="52"/>
  <c r="T24" i="52"/>
  <c r="R24" i="52"/>
  <c r="P24" i="52"/>
  <c r="N24" i="52"/>
  <c r="L24" i="52"/>
  <c r="J24" i="52"/>
  <c r="H24" i="52"/>
  <c r="F24" i="52"/>
  <c r="AM24" i="52"/>
  <c r="AI24" i="52"/>
  <c r="AE24" i="52"/>
  <c r="AA24" i="52"/>
  <c r="W24" i="52"/>
  <c r="S24" i="52"/>
  <c r="O24" i="52"/>
  <c r="K24" i="52"/>
  <c r="G24" i="52"/>
  <c r="AK24" i="52"/>
  <c r="AC24" i="52"/>
  <c r="U24" i="52"/>
  <c r="M24" i="52"/>
  <c r="E24" i="52"/>
  <c r="AG24" i="52"/>
  <c r="Y24" i="52"/>
  <c r="Q24" i="52"/>
  <c r="I24" i="52"/>
  <c r="AN28" i="52"/>
  <c r="AL28" i="52"/>
  <c r="AJ28" i="52"/>
  <c r="AH28" i="52"/>
  <c r="AF28" i="52"/>
  <c r="AD28" i="52"/>
  <c r="AB28" i="52"/>
  <c r="Z28" i="52"/>
  <c r="X28" i="52"/>
  <c r="V28" i="52"/>
  <c r="T28" i="52"/>
  <c r="R28" i="52"/>
  <c r="P28" i="52"/>
  <c r="N28" i="52"/>
  <c r="L28" i="52"/>
  <c r="J28" i="52"/>
  <c r="H28" i="52"/>
  <c r="F28" i="52"/>
  <c r="AM28" i="52"/>
  <c r="AI28" i="52"/>
  <c r="AE28" i="52"/>
  <c r="AA28" i="52"/>
  <c r="W28" i="52"/>
  <c r="S28" i="52"/>
  <c r="O28" i="52"/>
  <c r="K28" i="52"/>
  <c r="G28" i="52"/>
  <c r="AG28" i="52"/>
  <c r="Y28" i="52"/>
  <c r="Q28" i="52"/>
  <c r="I28" i="52"/>
  <c r="AK28" i="52"/>
  <c r="AC28" i="52"/>
  <c r="U28" i="52"/>
  <c r="M28" i="52"/>
  <c r="E28" i="52"/>
  <c r="AN32" i="52"/>
  <c r="AL32" i="52"/>
  <c r="AJ32" i="52"/>
  <c r="AH32" i="52"/>
  <c r="AF32" i="52"/>
  <c r="AD32" i="52"/>
  <c r="AB32" i="52"/>
  <c r="Z32" i="52"/>
  <c r="X32" i="52"/>
  <c r="V32" i="52"/>
  <c r="T32" i="52"/>
  <c r="R32" i="52"/>
  <c r="P32" i="52"/>
  <c r="N32" i="52"/>
  <c r="L32" i="52"/>
  <c r="J32" i="52"/>
  <c r="H32" i="52"/>
  <c r="F32" i="52"/>
  <c r="AM32" i="52"/>
  <c r="AI32" i="52"/>
  <c r="AE32" i="52"/>
  <c r="AA32" i="52"/>
  <c r="W32" i="52"/>
  <c r="S32" i="52"/>
  <c r="O32" i="52"/>
  <c r="K32" i="52"/>
  <c r="G32" i="52"/>
  <c r="AK32" i="52"/>
  <c r="AC32" i="52"/>
  <c r="U32" i="52"/>
  <c r="M32" i="52"/>
  <c r="E32" i="52"/>
  <c r="AG32" i="52"/>
  <c r="Y32" i="52"/>
  <c r="Q32" i="52"/>
  <c r="I32" i="52"/>
  <c r="AN36" i="52"/>
  <c r="AL36" i="52"/>
  <c r="AJ36" i="52"/>
  <c r="AH36" i="52"/>
  <c r="AF36" i="52"/>
  <c r="AD36" i="52"/>
  <c r="AB36" i="52"/>
  <c r="Z36" i="52"/>
  <c r="X36" i="52"/>
  <c r="V36" i="52"/>
  <c r="T36" i="52"/>
  <c r="R36" i="52"/>
  <c r="P36" i="52"/>
  <c r="N36" i="52"/>
  <c r="L36" i="52"/>
  <c r="J36" i="52"/>
  <c r="H36" i="52"/>
  <c r="F36" i="52"/>
  <c r="AM36" i="52"/>
  <c r="AI36" i="52"/>
  <c r="AE36" i="52"/>
  <c r="AA36" i="52"/>
  <c r="W36" i="52"/>
  <c r="S36" i="52"/>
  <c r="O36" i="52"/>
  <c r="K36" i="52"/>
  <c r="G36" i="52"/>
  <c r="AG36" i="52"/>
  <c r="Y36" i="52"/>
  <c r="Q36" i="52"/>
  <c r="I36" i="52"/>
  <c r="AK36" i="52"/>
  <c r="AC36" i="52"/>
  <c r="U36" i="52"/>
  <c r="M36" i="52"/>
  <c r="E36" i="52"/>
  <c r="AN44" i="52"/>
  <c r="AL44" i="52"/>
  <c r="AJ44" i="52"/>
  <c r="AH44" i="52"/>
  <c r="AF44" i="52"/>
  <c r="AD44" i="52"/>
  <c r="AB44" i="52"/>
  <c r="Z44" i="52"/>
  <c r="X44" i="52"/>
  <c r="V44" i="52"/>
  <c r="T44" i="52"/>
  <c r="R44" i="52"/>
  <c r="P44" i="52"/>
  <c r="N44" i="52"/>
  <c r="L44" i="52"/>
  <c r="J44" i="52"/>
  <c r="H44" i="52"/>
  <c r="F44" i="52"/>
  <c r="AM44" i="52"/>
  <c r="AI44" i="52"/>
  <c r="AE44" i="52"/>
  <c r="AA44" i="52"/>
  <c r="W44" i="52"/>
  <c r="S44" i="52"/>
  <c r="O44" i="52"/>
  <c r="K44" i="52"/>
  <c r="G44" i="52"/>
  <c r="AG44" i="52"/>
  <c r="Y44" i="52"/>
  <c r="Q44" i="52"/>
  <c r="I44" i="52"/>
  <c r="AK44" i="52"/>
  <c r="AC44" i="52"/>
  <c r="U44" i="52"/>
  <c r="M44" i="52"/>
  <c r="E44" i="52"/>
  <c r="AN48" i="52"/>
  <c r="AL48" i="52"/>
  <c r="AJ48" i="52"/>
  <c r="AH48" i="52"/>
  <c r="AF48" i="52"/>
  <c r="AD48" i="52"/>
  <c r="AB48" i="52"/>
  <c r="Z48" i="52"/>
  <c r="X48" i="52"/>
  <c r="V48" i="52"/>
  <c r="T48" i="52"/>
  <c r="R48" i="52"/>
  <c r="P48" i="52"/>
  <c r="N48" i="52"/>
  <c r="L48" i="52"/>
  <c r="J48" i="52"/>
  <c r="H48" i="52"/>
  <c r="F48" i="52"/>
  <c r="AM48" i="52"/>
  <c r="AI48" i="52"/>
  <c r="AE48" i="52"/>
  <c r="AA48" i="52"/>
  <c r="W48" i="52"/>
  <c r="S48" i="52"/>
  <c r="O48" i="52"/>
  <c r="K48" i="52"/>
  <c r="G48" i="52"/>
  <c r="AK48" i="52"/>
  <c r="AC48" i="52"/>
  <c r="U48" i="52"/>
  <c r="M48" i="52"/>
  <c r="E48" i="52"/>
  <c r="AG48" i="52"/>
  <c r="Y48" i="52"/>
  <c r="Q48" i="52"/>
  <c r="I48" i="52"/>
  <c r="AN52" i="52"/>
  <c r="AL52" i="52"/>
  <c r="AJ52" i="52"/>
  <c r="AH52" i="52"/>
  <c r="AF52" i="52"/>
  <c r="AD52" i="52"/>
  <c r="AB52" i="52"/>
  <c r="Z52" i="52"/>
  <c r="X52" i="52"/>
  <c r="V52" i="52"/>
  <c r="T52" i="52"/>
  <c r="R52" i="52"/>
  <c r="P52" i="52"/>
  <c r="N52" i="52"/>
  <c r="L52" i="52"/>
  <c r="J52" i="52"/>
  <c r="H52" i="52"/>
  <c r="F52" i="52"/>
  <c r="AM52" i="52"/>
  <c r="AI52" i="52"/>
  <c r="AE52" i="52"/>
  <c r="AA52" i="52"/>
  <c r="W52" i="52"/>
  <c r="S52" i="52"/>
  <c r="O52" i="52"/>
  <c r="K52" i="52"/>
  <c r="G52" i="52"/>
  <c r="AG52" i="52"/>
  <c r="Y52" i="52"/>
  <c r="Q52" i="52"/>
  <c r="I52" i="52"/>
  <c r="AK52" i="52"/>
  <c r="AC52" i="52"/>
  <c r="U52" i="52"/>
  <c r="M52" i="52"/>
  <c r="E52" i="52"/>
  <c r="AN56" i="52"/>
  <c r="AL56" i="52"/>
  <c r="AJ56" i="52"/>
  <c r="AH56" i="52"/>
  <c r="AF56" i="52"/>
  <c r="AD56" i="52"/>
  <c r="AB56" i="52"/>
  <c r="Z56" i="52"/>
  <c r="X56" i="52"/>
  <c r="V56" i="52"/>
  <c r="T56" i="52"/>
  <c r="R56" i="52"/>
  <c r="P56" i="52"/>
  <c r="N56" i="52"/>
  <c r="L56" i="52"/>
  <c r="J56" i="52"/>
  <c r="H56" i="52"/>
  <c r="F56" i="52"/>
  <c r="AM56" i="52"/>
  <c r="AI56" i="52"/>
  <c r="AE56" i="52"/>
  <c r="AA56" i="52"/>
  <c r="W56" i="52"/>
  <c r="S56" i="52"/>
  <c r="O56" i="52"/>
  <c r="K56" i="52"/>
  <c r="G56" i="52"/>
  <c r="AK56" i="52"/>
  <c r="AC56" i="52"/>
  <c r="U56" i="52"/>
  <c r="M56" i="52"/>
  <c r="J81" i="131"/>
  <c r="AG56" i="52"/>
  <c r="Y56" i="52"/>
  <c r="Q56" i="52"/>
  <c r="I56" i="52"/>
  <c r="AN60" i="52"/>
  <c r="AL60" i="52"/>
  <c r="AJ60" i="52"/>
  <c r="AH60" i="52"/>
  <c r="AF60" i="52"/>
  <c r="AD60" i="52"/>
  <c r="AB60" i="52"/>
  <c r="Z60" i="52"/>
  <c r="X60" i="52"/>
  <c r="V60" i="52"/>
  <c r="T60" i="52"/>
  <c r="R60" i="52"/>
  <c r="P60" i="52"/>
  <c r="N60" i="52"/>
  <c r="L60" i="52"/>
  <c r="J60" i="52"/>
  <c r="H60" i="52"/>
  <c r="F60" i="52"/>
  <c r="AM60" i="52"/>
  <c r="AI60" i="52"/>
  <c r="AE60" i="52"/>
  <c r="AA60" i="52"/>
  <c r="W60" i="52"/>
  <c r="S60" i="52"/>
  <c r="O60" i="52"/>
  <c r="K60" i="52"/>
  <c r="G60" i="52"/>
  <c r="AG60" i="52"/>
  <c r="Y60" i="52"/>
  <c r="Q60" i="52"/>
  <c r="I60" i="52"/>
  <c r="AK60" i="52"/>
  <c r="AC60" i="52"/>
  <c r="U60" i="52"/>
  <c r="M60" i="52"/>
  <c r="E60" i="52"/>
  <c r="AN64" i="52"/>
  <c r="AL64" i="52"/>
  <c r="AJ64" i="52"/>
  <c r="AH64" i="52"/>
  <c r="AF64" i="52"/>
  <c r="AD64" i="52"/>
  <c r="AB64" i="52"/>
  <c r="Z64" i="52"/>
  <c r="X64" i="52"/>
  <c r="V64" i="52"/>
  <c r="T64" i="52"/>
  <c r="R64" i="52"/>
  <c r="P64" i="52"/>
  <c r="N64" i="52"/>
  <c r="L64" i="52"/>
  <c r="J64" i="52"/>
  <c r="H64" i="52"/>
  <c r="F64" i="52"/>
  <c r="AM64" i="52"/>
  <c r="AI64" i="52"/>
  <c r="AE64" i="52"/>
  <c r="AA64" i="52"/>
  <c r="W64" i="52"/>
  <c r="S64" i="52"/>
  <c r="O64" i="52"/>
  <c r="K64" i="52"/>
  <c r="G64" i="52"/>
  <c r="AK64" i="52"/>
  <c r="AC64" i="52"/>
  <c r="U64" i="52"/>
  <c r="M64" i="52"/>
  <c r="E64" i="52"/>
  <c r="AG64" i="52"/>
  <c r="Y64" i="52"/>
  <c r="Q64" i="52"/>
  <c r="I64" i="52"/>
  <c r="AN68" i="52"/>
  <c r="AL68" i="52"/>
  <c r="AJ68" i="52"/>
  <c r="AH68" i="52"/>
  <c r="AF68" i="52"/>
  <c r="AD68" i="52"/>
  <c r="AB68" i="52"/>
  <c r="Z68" i="52"/>
  <c r="X68" i="52"/>
  <c r="V68" i="52"/>
  <c r="T68" i="52"/>
  <c r="R68" i="52"/>
  <c r="P68" i="52"/>
  <c r="N68" i="52"/>
  <c r="L68" i="52"/>
  <c r="J68" i="52"/>
  <c r="H68" i="52"/>
  <c r="F68" i="52"/>
  <c r="AM68" i="52"/>
  <c r="AI68" i="52"/>
  <c r="AE68" i="52"/>
  <c r="AA68" i="52"/>
  <c r="W68" i="52"/>
  <c r="S68" i="52"/>
  <c r="O68" i="52"/>
  <c r="K68" i="52"/>
  <c r="G68" i="52"/>
  <c r="AG68" i="52"/>
  <c r="Y68" i="52"/>
  <c r="Q68" i="52"/>
  <c r="I68" i="52"/>
  <c r="AK68" i="52"/>
  <c r="AC68" i="52"/>
  <c r="U68" i="52"/>
  <c r="M68" i="52"/>
  <c r="E68" i="52"/>
  <c r="AB46" i="118"/>
  <c r="AD46" i="118"/>
  <c r="Y46" i="118"/>
  <c r="AC46" i="118"/>
  <c r="U82" i="20" l="1"/>
  <c r="U79" i="20"/>
  <c r="P357" i="119" s="1"/>
  <c r="U76" i="20"/>
  <c r="P354" i="119" s="1"/>
  <c r="U84" i="20"/>
  <c r="P362" i="119" s="1"/>
  <c r="U77" i="20"/>
  <c r="P355" i="119" s="1"/>
  <c r="U80" i="20"/>
  <c r="P358" i="119" s="1"/>
  <c r="U78" i="20"/>
  <c r="P356" i="119" s="1"/>
  <c r="U83" i="20"/>
  <c r="P361" i="119" s="1"/>
  <c r="U81" i="20"/>
  <c r="P359" i="119" s="1"/>
  <c r="U85" i="20"/>
  <c r="P363" i="119" s="1"/>
  <c r="Z76" i="20"/>
  <c r="U354" i="119" s="1"/>
  <c r="Z78" i="20"/>
  <c r="U356" i="119" s="1"/>
  <c r="Z81" i="20"/>
  <c r="U359" i="119" s="1"/>
  <c r="Z79" i="20"/>
  <c r="U357" i="119" s="1"/>
  <c r="Z83" i="20"/>
  <c r="U361" i="119" s="1"/>
  <c r="Z84" i="20"/>
  <c r="U362" i="119" s="1"/>
  <c r="Z82" i="20"/>
  <c r="U360" i="119" s="1"/>
  <c r="Z85" i="20"/>
  <c r="U363" i="119" s="1"/>
  <c r="Z80" i="20"/>
  <c r="U358" i="119" s="1"/>
  <c r="Z77" i="20"/>
  <c r="U355" i="119" s="1"/>
  <c r="O80" i="20"/>
  <c r="J358" i="119" s="1"/>
  <c r="O81" i="20"/>
  <c r="J359" i="119" s="1"/>
  <c r="O82" i="20"/>
  <c r="J360" i="119" s="1"/>
  <c r="O85" i="20"/>
  <c r="J363" i="119" s="1"/>
  <c r="O84" i="20"/>
  <c r="J362" i="119" s="1"/>
  <c r="O83" i="20"/>
  <c r="J361" i="119" s="1"/>
  <c r="AF76" i="20"/>
  <c r="AA354" i="119" s="1"/>
  <c r="AF79" i="20"/>
  <c r="AA357" i="119" s="1"/>
  <c r="AF77" i="20"/>
  <c r="AA355" i="119" s="1"/>
  <c r="AF83" i="20"/>
  <c r="AA361" i="119" s="1"/>
  <c r="AF82" i="20"/>
  <c r="AA360" i="119" s="1"/>
  <c r="AF80" i="20"/>
  <c r="AA358" i="119" s="1"/>
  <c r="AF81" i="20"/>
  <c r="AA359" i="119" s="1"/>
  <c r="AF84" i="20"/>
  <c r="AA362" i="119" s="1"/>
  <c r="AF85" i="20"/>
  <c r="AA363" i="119" s="1"/>
  <c r="AF78" i="20"/>
  <c r="AA356" i="119" s="1"/>
  <c r="AL62" i="24"/>
  <c r="AL65" i="24" s="1"/>
  <c r="U275" i="20"/>
  <c r="U276" i="20"/>
  <c r="U277" i="20"/>
  <c r="U273" i="20"/>
  <c r="U278" i="20"/>
  <c r="U274" i="20"/>
  <c r="Z275" i="20"/>
  <c r="Z276" i="20"/>
  <c r="Z274" i="20"/>
  <c r="Z277" i="20"/>
  <c r="Z278" i="20"/>
  <c r="Z273" i="20"/>
  <c r="O274" i="20"/>
  <c r="O275" i="20"/>
  <c r="O273" i="20"/>
  <c r="O277" i="20"/>
  <c r="O278" i="20"/>
  <c r="O276" i="20"/>
  <c r="AF278" i="20"/>
  <c r="AF276" i="20"/>
  <c r="AF277" i="20"/>
  <c r="AF275" i="20"/>
  <c r="AF273" i="20"/>
  <c r="AF274" i="20"/>
  <c r="Z20" i="20"/>
  <c r="Z40" i="20" s="1"/>
  <c r="O78" i="20"/>
  <c r="J356" i="119" s="1"/>
  <c r="O79" i="20"/>
  <c r="J357" i="119" s="1"/>
  <c r="O77" i="20"/>
  <c r="J355" i="119" s="1"/>
  <c r="O76" i="20"/>
  <c r="J354" i="119" s="1"/>
  <c r="AF34" i="20"/>
  <c r="U25" i="20"/>
  <c r="U70" i="20" s="1"/>
  <c r="P360" i="119"/>
  <c r="O11" i="110"/>
  <c r="J303" i="119" s="1"/>
  <c r="O19" i="110"/>
  <c r="P19" i="110"/>
  <c r="AN12" i="110"/>
  <c r="AR11" i="110"/>
  <c r="AR15" i="110" s="1"/>
  <c r="AS12" i="110"/>
  <c r="AN304" i="119" s="1"/>
  <c r="AG11" i="110"/>
  <c r="AG15" i="110" s="1"/>
  <c r="AJ12" i="110"/>
  <c r="AE304" i="119" s="1"/>
  <c r="AM11" i="110"/>
  <c r="AH303" i="119" s="1"/>
  <c r="AV12" i="110"/>
  <c r="AQ304" i="119" s="1"/>
  <c r="AL11" i="110"/>
  <c r="AL15" i="110" s="1"/>
  <c r="AR19" i="110"/>
  <c r="U10" i="110"/>
  <c r="U14" i="110" s="1"/>
  <c r="Q19" i="110"/>
  <c r="X12" i="110"/>
  <c r="S304" i="119" s="1"/>
  <c r="Y11" i="110"/>
  <c r="Y15" i="110" s="1"/>
  <c r="AN19" i="110"/>
  <c r="AR10" i="110"/>
  <c r="AM302" i="119" s="1"/>
  <c r="X19" i="110"/>
  <c r="AB19" i="110"/>
  <c r="AC12" i="110"/>
  <c r="AC16" i="110" s="1"/>
  <c r="AC10" i="110"/>
  <c r="AC14" i="110" s="1"/>
  <c r="AF11" i="110"/>
  <c r="AF15" i="110" s="1"/>
  <c r="V19" i="110"/>
  <c r="AA11" i="110"/>
  <c r="AA15" i="110" s="1"/>
  <c r="AE12" i="110"/>
  <c r="Z304" i="119" s="1"/>
  <c r="AI19" i="110"/>
  <c r="AD19" i="110"/>
  <c r="X11" i="110"/>
  <c r="X15" i="110" s="1"/>
  <c r="AE11" i="110"/>
  <c r="AE15" i="110" s="1"/>
  <c r="AD11" i="110"/>
  <c r="AD15" i="110" s="1"/>
  <c r="Y12" i="110"/>
  <c r="T304" i="119" s="1"/>
  <c r="S11" i="110"/>
  <c r="S15" i="110" s="1"/>
  <c r="W12" i="110"/>
  <c r="R304" i="119" s="1"/>
  <c r="AA19" i="110"/>
  <c r="Q12" i="110"/>
  <c r="L304" i="119" s="1"/>
  <c r="P11" i="110"/>
  <c r="P15" i="110" s="1"/>
  <c r="W11" i="110"/>
  <c r="W15" i="110" s="1"/>
  <c r="AW10" i="110"/>
  <c r="AW14" i="110" s="1"/>
  <c r="AJ11" i="110"/>
  <c r="AJ15" i="110" s="1"/>
  <c r="AT10" i="110"/>
  <c r="AT14" i="110" s="1"/>
  <c r="AX11" i="110"/>
  <c r="AX15" i="110" s="1"/>
  <c r="S19" i="110"/>
  <c r="AB11" i="110"/>
  <c r="W303" i="119" s="1"/>
  <c r="AI10" i="110"/>
  <c r="AD302" i="119" s="1"/>
  <c r="AP10" i="110"/>
  <c r="AK302" i="119" s="1"/>
  <c r="AU19" i="110"/>
  <c r="W10" i="110"/>
  <c r="W14" i="110" s="1"/>
  <c r="AD10" i="110"/>
  <c r="AD14" i="110" s="1"/>
  <c r="AH11" i="110"/>
  <c r="AH15" i="110" s="1"/>
  <c r="AL12" i="110"/>
  <c r="AG304" i="119" s="1"/>
  <c r="Z19" i="110"/>
  <c r="AW19" i="110"/>
  <c r="AT19" i="110"/>
  <c r="U19" i="110"/>
  <c r="T11" i="110"/>
  <c r="T15" i="110" s="1"/>
  <c r="AK10" i="110"/>
  <c r="AF302" i="119" s="1"/>
  <c r="AO11" i="110"/>
  <c r="AJ303" i="119" s="1"/>
  <c r="R19" i="110"/>
  <c r="AG19" i="110"/>
  <c r="O12" i="110"/>
  <c r="J304" i="119" s="1"/>
  <c r="O20" i="59"/>
  <c r="AN30" i="106"/>
  <c r="AX13" i="59"/>
  <c r="AS37" i="119" s="1"/>
  <c r="AD62" i="24"/>
  <c r="AD65" i="24" s="1"/>
  <c r="AS62" i="24"/>
  <c r="AS65" i="24" s="1"/>
  <c r="AJ62" i="24"/>
  <c r="AJ65" i="24" s="1"/>
  <c r="AB62" i="24"/>
  <c r="AB65" i="24" s="1"/>
  <c r="AU62" i="24"/>
  <c r="AU65" i="24" s="1"/>
  <c r="AR62" i="24"/>
  <c r="AR65" i="24" s="1"/>
  <c r="AU10" i="110"/>
  <c r="AU14" i="110" s="1"/>
  <c r="AF12" i="110"/>
  <c r="AA304" i="119" s="1"/>
  <c r="AL10" i="110"/>
  <c r="AL14" i="110" s="1"/>
  <c r="AJ19" i="110"/>
  <c r="AP11" i="110"/>
  <c r="AP15" i="110" s="1"/>
  <c r="AO12" i="110"/>
  <c r="AJ304" i="119" s="1"/>
  <c r="AT12" i="110"/>
  <c r="AO304" i="119" s="1"/>
  <c r="Q11" i="110"/>
  <c r="Q15" i="110" s="1"/>
  <c r="AE10" i="110"/>
  <c r="AE14" i="110" s="1"/>
  <c r="AK12" i="110"/>
  <c r="AF304" i="119" s="1"/>
  <c r="AQ10" i="110"/>
  <c r="AQ14" i="110" s="1"/>
  <c r="AR12" i="110"/>
  <c r="AX10" i="110"/>
  <c r="AX14" i="110" s="1"/>
  <c r="AF19" i="110"/>
  <c r="Q10" i="110"/>
  <c r="L302" i="119" s="1"/>
  <c r="AS19" i="110"/>
  <c r="P12" i="110"/>
  <c r="K304" i="119" s="1"/>
  <c r="V10" i="110"/>
  <c r="Q302" i="119" s="1"/>
  <c r="T19" i="110"/>
  <c r="Z11" i="110"/>
  <c r="Z15" i="110" s="1"/>
  <c r="AM10" i="110"/>
  <c r="AH302" i="119" s="1"/>
  <c r="AD12" i="110"/>
  <c r="Y304" i="119" s="1"/>
  <c r="AJ10" i="110"/>
  <c r="AJ14" i="110" s="1"/>
  <c r="AX19" i="110"/>
  <c r="U12" i="110"/>
  <c r="P304" i="119" s="1"/>
  <c r="AA10" i="110"/>
  <c r="V302" i="119" s="1"/>
  <c r="AB12" i="110"/>
  <c r="AH10" i="110"/>
  <c r="AH14" i="110" s="1"/>
  <c r="AE19" i="110"/>
  <c r="AK19" i="110"/>
  <c r="AQ11" i="110"/>
  <c r="AQ15" i="110" s="1"/>
  <c r="AL19" i="110"/>
  <c r="AU12" i="110"/>
  <c r="AP304" i="119" s="1"/>
  <c r="R11" i="110"/>
  <c r="R15" i="110" s="1"/>
  <c r="O10" i="110"/>
  <c r="O124" i="110" s="1"/>
  <c r="V12" i="110"/>
  <c r="Q304" i="119" s="1"/>
  <c r="AB10" i="110"/>
  <c r="W302" i="119" s="1"/>
  <c r="AP19" i="110"/>
  <c r="AV11" i="110"/>
  <c r="AV15" i="110" s="1"/>
  <c r="S10" i="110"/>
  <c r="N302" i="119" s="1"/>
  <c r="T12" i="110"/>
  <c r="O304" i="119" s="1"/>
  <c r="Z10" i="110"/>
  <c r="U302" i="119" s="1"/>
  <c r="AQ12" i="110"/>
  <c r="AL304" i="119" s="1"/>
  <c r="W19" i="110"/>
  <c r="AC19" i="110"/>
  <c r="AI11" i="110"/>
  <c r="AI15" i="110" s="1"/>
  <c r="AG12" i="110"/>
  <c r="AB304" i="119" s="1"/>
  <c r="AM12" i="110"/>
  <c r="AH304" i="119" s="1"/>
  <c r="AS10" i="110"/>
  <c r="AN302" i="119" s="1"/>
  <c r="AQ19" i="110"/>
  <c r="AW11" i="110"/>
  <c r="AW15" i="110" s="1"/>
  <c r="T10" i="110"/>
  <c r="T14" i="110" s="1"/>
  <c r="AH19" i="110"/>
  <c r="AN11" i="110"/>
  <c r="AN15" i="110" s="1"/>
  <c r="AW12" i="110"/>
  <c r="AR304" i="119" s="1"/>
  <c r="AU11" i="110"/>
  <c r="AU15" i="110" s="1"/>
  <c r="R10" i="110"/>
  <c r="M302" i="119" s="1"/>
  <c r="AT11" i="110"/>
  <c r="AT15" i="110" s="1"/>
  <c r="R12" i="110"/>
  <c r="M304" i="119" s="1"/>
  <c r="S62" i="24"/>
  <c r="S65" i="24" s="1"/>
  <c r="U62" i="24"/>
  <c r="U65" i="24" s="1"/>
  <c r="AA62" i="24"/>
  <c r="AA65" i="24" s="1"/>
  <c r="AT62" i="24"/>
  <c r="AT65" i="24" s="1"/>
  <c r="AI62" i="24"/>
  <c r="AI65" i="24" s="1"/>
  <c r="AG62" i="24"/>
  <c r="AG65" i="24" s="1"/>
  <c r="AF62" i="24"/>
  <c r="AF65" i="24" s="1"/>
  <c r="V62" i="24"/>
  <c r="V65" i="24" s="1"/>
  <c r="AK62" i="24"/>
  <c r="AK65" i="24" s="1"/>
  <c r="AN62" i="24"/>
  <c r="AN65" i="24" s="1"/>
  <c r="P62" i="24"/>
  <c r="P65" i="24" s="1"/>
  <c r="AM62" i="24"/>
  <c r="AM65" i="24" s="1"/>
  <c r="Z12" i="110"/>
  <c r="U304" i="119" s="1"/>
  <c r="V11" i="110"/>
  <c r="V15" i="110" s="1"/>
  <c r="AK11" i="110"/>
  <c r="AK15" i="110" s="1"/>
  <c r="AX62" i="24"/>
  <c r="AX65" i="24" s="1"/>
  <c r="AE62" i="24"/>
  <c r="AE65" i="24" s="1"/>
  <c r="T62" i="24"/>
  <c r="T65" i="24" s="1"/>
  <c r="AM19" i="110"/>
  <c r="AS11" i="110"/>
  <c r="AN303" i="119" s="1"/>
  <c r="AN10" i="110"/>
  <c r="AI302" i="119" s="1"/>
  <c r="AP62" i="24"/>
  <c r="AP65" i="24" s="1"/>
  <c r="W62" i="24"/>
  <c r="W65" i="24" s="1"/>
  <c r="AO19" i="110"/>
  <c r="AI12" i="110"/>
  <c r="AO10" i="110"/>
  <c r="AJ302" i="119" s="1"/>
  <c r="AX12" i="110"/>
  <c r="AS304" i="119" s="1"/>
  <c r="AF10" i="110"/>
  <c r="AF14" i="110" s="1"/>
  <c r="Y19" i="110"/>
  <c r="AA12" i="110"/>
  <c r="AG10" i="110"/>
  <c r="AG14" i="110" s="1"/>
  <c r="AP12" i="110"/>
  <c r="AK304" i="119" s="1"/>
  <c r="AV10" i="110"/>
  <c r="AV14" i="110" s="1"/>
  <c r="O62" i="24"/>
  <c r="AV19" i="110"/>
  <c r="S12" i="110"/>
  <c r="Y10" i="110"/>
  <c r="AH12" i="110"/>
  <c r="AC304" i="119" s="1"/>
  <c r="AO62" i="24"/>
  <c r="AO65" i="24" s="1"/>
  <c r="AQ62" i="24"/>
  <c r="AQ65" i="24" s="1"/>
  <c r="AW62" i="24"/>
  <c r="AW65" i="24" s="1"/>
  <c r="X62" i="24"/>
  <c r="X65" i="24" s="1"/>
  <c r="AI304" i="119"/>
  <c r="AV62" i="24"/>
  <c r="AV65" i="24" s="1"/>
  <c r="Q62" i="24"/>
  <c r="Q65" i="24" s="1"/>
  <c r="Y62" i="24"/>
  <c r="Y65" i="24" s="1"/>
  <c r="R62" i="24"/>
  <c r="R65" i="24" s="1"/>
  <c r="Z62" i="24"/>
  <c r="Z65" i="24" s="1"/>
  <c r="AH62" i="24"/>
  <c r="AH65" i="24" s="1"/>
  <c r="X10" i="110"/>
  <c r="AG112" i="110"/>
  <c r="AG114" i="110" s="1"/>
  <c r="AG113" i="110"/>
  <c r="AG116" i="110" s="1"/>
  <c r="AG115" i="110"/>
  <c r="P10" i="110"/>
  <c r="P124" i="110" s="1"/>
  <c r="AC11" i="110"/>
  <c r="Z112" i="110"/>
  <c r="Z114" i="110" s="1"/>
  <c r="Z113" i="110"/>
  <c r="Z116" i="110" s="1"/>
  <c r="Z115" i="110"/>
  <c r="U113" i="110"/>
  <c r="U116" i="110" s="1"/>
  <c r="U115" i="110"/>
  <c r="U112" i="110"/>
  <c r="U114" i="110" s="1"/>
  <c r="U11" i="110"/>
  <c r="O22" i="20"/>
  <c r="AF17" i="20"/>
  <c r="Z17" i="20"/>
  <c r="Z24" i="20"/>
  <c r="Z44" i="20" s="1"/>
  <c r="AF24" i="20"/>
  <c r="AF44" i="20" s="1"/>
  <c r="Z21" i="20"/>
  <c r="Z287" i="119"/>
  <c r="V27" i="138"/>
  <c r="AF22" i="20"/>
  <c r="AF33" i="20"/>
  <c r="AF53" i="20" s="1"/>
  <c r="Z30" i="20"/>
  <c r="Z50" i="20" s="1"/>
  <c r="U19" i="20"/>
  <c r="Z32" i="20"/>
  <c r="Z35" i="20"/>
  <c r="Z55" i="20" s="1"/>
  <c r="U29" i="20"/>
  <c r="Z34" i="20"/>
  <c r="AF20" i="20"/>
  <c r="AF40" i="20" s="1"/>
  <c r="AF25" i="20"/>
  <c r="AF70" i="20" s="1"/>
  <c r="AF27" i="20"/>
  <c r="AF47" i="20" s="1"/>
  <c r="AF29" i="20"/>
  <c r="Z23" i="20"/>
  <c r="Z43" i="20" s="1"/>
  <c r="O287" i="119"/>
  <c r="K27" i="138"/>
  <c r="AA287" i="119"/>
  <c r="W27" i="138"/>
  <c r="P287" i="119"/>
  <c r="L27" i="138"/>
  <c r="U22" i="20"/>
  <c r="AF18" i="20"/>
  <c r="AF26" i="20"/>
  <c r="U34" i="20"/>
  <c r="Y287" i="119"/>
  <c r="U27" i="138"/>
  <c r="AF28" i="20"/>
  <c r="AF73" i="20" s="1"/>
  <c r="Z33" i="20"/>
  <c r="Z53" i="20" s="1"/>
  <c r="U17" i="20"/>
  <c r="U30" i="20"/>
  <c r="U50" i="20" s="1"/>
  <c r="AF23" i="20"/>
  <c r="AF43" i="20" s="1"/>
  <c r="U23" i="20"/>
  <c r="U43" i="20" s="1"/>
  <c r="AF31" i="20"/>
  <c r="AX76" i="60"/>
  <c r="AZ85" i="61" s="1"/>
  <c r="AZ87" i="62" s="1"/>
  <c r="Z22" i="20"/>
  <c r="AF30" i="20"/>
  <c r="AF50" i="20" s="1"/>
  <c r="U24" i="20"/>
  <c r="U44" i="20" s="1"/>
  <c r="AF32" i="20"/>
  <c r="AF35" i="20"/>
  <c r="AF55" i="20" s="1"/>
  <c r="Z29" i="20"/>
  <c r="AB287" i="119"/>
  <c r="X27" i="138"/>
  <c r="Z28" i="20"/>
  <c r="Z73" i="20" s="1"/>
  <c r="U28" i="20"/>
  <c r="U73" i="20" s="1"/>
  <c r="AF19" i="20"/>
  <c r="U27" i="20"/>
  <c r="U47" i="20" s="1"/>
  <c r="U32" i="20"/>
  <c r="Z18" i="20"/>
  <c r="U18" i="20"/>
  <c r="O21" i="20"/>
  <c r="U21" i="20"/>
  <c r="AF21" i="20"/>
  <c r="U26" i="20"/>
  <c r="Z26" i="20"/>
  <c r="U20" i="20"/>
  <c r="U40" i="20" s="1"/>
  <c r="Z25" i="20"/>
  <c r="Z70" i="20" s="1"/>
  <c r="U287" i="119"/>
  <c r="Q27" i="138"/>
  <c r="U33" i="20"/>
  <c r="U53" i="20" s="1"/>
  <c r="Z19" i="20"/>
  <c r="Z27" i="20"/>
  <c r="Z47" i="20" s="1"/>
  <c r="U35" i="20"/>
  <c r="U55" i="20" s="1"/>
  <c r="Z31" i="20"/>
  <c r="U31" i="20"/>
  <c r="H22" i="132"/>
  <c r="G24" i="132"/>
  <c r="O16" i="59"/>
  <c r="O17" i="59" s="1"/>
  <c r="E11" i="116"/>
  <c r="G22" i="132"/>
  <c r="E11" i="122"/>
  <c r="Y124" i="59"/>
  <c r="T45" i="119" s="1"/>
  <c r="O124" i="59"/>
  <c r="J45" i="119" s="1"/>
  <c r="AX126" i="59"/>
  <c r="AS168" i="119"/>
  <c r="BD85" i="113"/>
  <c r="AF55" i="82"/>
  <c r="AH48" i="131"/>
  <c r="AC43" i="106"/>
  <c r="AE70" i="131"/>
  <c r="AN52" i="131"/>
  <c r="I43" i="106"/>
  <c r="AH43" i="106"/>
  <c r="AH51" i="131"/>
  <c r="T72" i="131"/>
  <c r="J72" i="131"/>
  <c r="AP72" i="131"/>
  <c r="Y72" i="131"/>
  <c r="AO72" i="131"/>
  <c r="T68" i="131"/>
  <c r="Z68" i="131"/>
  <c r="Q68" i="131"/>
  <c r="AG68" i="131"/>
  <c r="T64" i="131"/>
  <c r="J64" i="131"/>
  <c r="AP64" i="131"/>
  <c r="Y64" i="131"/>
  <c r="AO64" i="131"/>
  <c r="T54" i="131"/>
  <c r="J54" i="131"/>
  <c r="AP54" i="131"/>
  <c r="Y54" i="131"/>
  <c r="AO54" i="131"/>
  <c r="T50" i="131"/>
  <c r="Z50" i="131"/>
  <c r="Q50" i="131"/>
  <c r="AG50" i="131"/>
  <c r="O22" i="106"/>
  <c r="AK22" i="106"/>
  <c r="T22" i="106"/>
  <c r="AJ22" i="106"/>
  <c r="AA65" i="131"/>
  <c r="AG65" i="131"/>
  <c r="R65" i="131"/>
  <c r="AH65" i="131"/>
  <c r="AA55" i="131"/>
  <c r="AG55" i="131"/>
  <c r="R55" i="131"/>
  <c r="AH55" i="131"/>
  <c r="Z75" i="106"/>
  <c r="L75" i="106"/>
  <c r="E75" i="106"/>
  <c r="U75" i="106"/>
  <c r="AK75" i="106"/>
  <c r="U49" i="131"/>
  <c r="K49" i="131"/>
  <c r="AQ49" i="131"/>
  <c r="X49" i="131"/>
  <c r="AN49" i="131"/>
  <c r="P71" i="131"/>
  <c r="AD71" i="131"/>
  <c r="AH71" i="131"/>
  <c r="Y97" i="106"/>
  <c r="AE97" i="106"/>
  <c r="AI97" i="106"/>
  <c r="H97" i="106"/>
  <c r="J97" i="106"/>
  <c r="T71" i="131"/>
  <c r="N53" i="131"/>
  <c r="T53" i="131"/>
  <c r="AN53" i="131"/>
  <c r="T70" i="131"/>
  <c r="U52" i="131"/>
  <c r="P43" i="106"/>
  <c r="AF69" i="131"/>
  <c r="W66" i="131"/>
  <c r="N52" i="131"/>
  <c r="AE48" i="131"/>
  <c r="R69" i="131"/>
  <c r="AG51" i="131"/>
  <c r="M67" i="131"/>
  <c r="R70" i="131"/>
  <c r="AB70" i="131"/>
  <c r="Q70" i="131"/>
  <c r="AG70" i="131"/>
  <c r="R66" i="131"/>
  <c r="L66" i="131"/>
  <c r="AR66" i="131"/>
  <c r="Y66" i="131"/>
  <c r="AO66" i="131"/>
  <c r="N56" i="131"/>
  <c r="AB56" i="131"/>
  <c r="Q56" i="131"/>
  <c r="AG56" i="131"/>
  <c r="V52" i="131"/>
  <c r="L52" i="131"/>
  <c r="AR52" i="131"/>
  <c r="Y52" i="131"/>
  <c r="AO52" i="131"/>
  <c r="N48" i="131"/>
  <c r="AB48" i="131"/>
  <c r="Q48" i="131"/>
  <c r="AG48" i="131"/>
  <c r="Q43" i="106"/>
  <c r="G43" i="106"/>
  <c r="AM43" i="106"/>
  <c r="T43" i="106"/>
  <c r="AJ43" i="106"/>
  <c r="AE69" i="131"/>
  <c r="AK69" i="131"/>
  <c r="T69" i="131"/>
  <c r="AJ69" i="131"/>
  <c r="AE51" i="131"/>
  <c r="AK51" i="131"/>
  <c r="T51" i="131"/>
  <c r="AJ51" i="131"/>
  <c r="U67" i="131"/>
  <c r="K67" i="131"/>
  <c r="AQ67" i="131"/>
  <c r="X67" i="131"/>
  <c r="AN67" i="131"/>
  <c r="AB72" i="131"/>
  <c r="N72" i="131"/>
  <c r="K72" i="131"/>
  <c r="AA72" i="131"/>
  <c r="AQ72" i="131"/>
  <c r="AB68" i="131"/>
  <c r="AD68" i="131"/>
  <c r="S68" i="131"/>
  <c r="AI68" i="131"/>
  <c r="AB64" i="131"/>
  <c r="N64" i="131"/>
  <c r="K64" i="131"/>
  <c r="AA64" i="131"/>
  <c r="AQ64" i="131"/>
  <c r="AB54" i="131"/>
  <c r="N54" i="131"/>
  <c r="K54" i="131"/>
  <c r="AA54" i="131"/>
  <c r="AQ54" i="131"/>
  <c r="AB50" i="131"/>
  <c r="AD50" i="131"/>
  <c r="S50" i="131"/>
  <c r="AI50" i="131"/>
  <c r="W22" i="106"/>
  <c r="I22" i="106"/>
  <c r="F22" i="106"/>
  <c r="V22" i="106"/>
  <c r="AL22" i="106"/>
  <c r="AI65" i="131"/>
  <c r="AK65" i="131"/>
  <c r="T65" i="131"/>
  <c r="AJ65" i="131"/>
  <c r="AI55" i="131"/>
  <c r="AK55" i="131"/>
  <c r="T55" i="131"/>
  <c r="AH75" i="106"/>
  <c r="P75" i="106"/>
  <c r="G75" i="106"/>
  <c r="W75" i="106"/>
  <c r="AM75" i="106"/>
  <c r="AC49" i="131"/>
  <c r="O49" i="131"/>
  <c r="J49" i="131"/>
  <c r="Z49" i="131"/>
  <c r="AP49" i="131"/>
  <c r="AQ71" i="131"/>
  <c r="V71" i="131"/>
  <c r="Z71" i="131"/>
  <c r="Q97" i="106"/>
  <c r="W97" i="106"/>
  <c r="AA97" i="106"/>
  <c r="AN97" i="106"/>
  <c r="AC97" i="106"/>
  <c r="Y71" i="131"/>
  <c r="AM53" i="131"/>
  <c r="L53" i="131"/>
  <c r="AF53" i="131"/>
  <c r="AD66" i="131"/>
  <c r="AS56" i="131"/>
  <c r="M48" i="131"/>
  <c r="O69" i="131"/>
  <c r="AL66" i="131"/>
  <c r="X56" i="131"/>
  <c r="W52" i="131"/>
  <c r="AI43" i="106"/>
  <c r="W69" i="131"/>
  <c r="AS57" i="131"/>
  <c r="AM67" i="131"/>
  <c r="Z70" i="131"/>
  <c r="Z66" i="131"/>
  <c r="K52" i="131"/>
  <c r="AI48" i="131"/>
  <c r="AM69" i="131"/>
  <c r="V51" i="131"/>
  <c r="AC67" i="131"/>
  <c r="O67" i="131"/>
  <c r="J67" i="131"/>
  <c r="Z67" i="131"/>
  <c r="AP67" i="131"/>
  <c r="AJ72" i="131"/>
  <c r="R72" i="131"/>
  <c r="M72" i="131"/>
  <c r="AC72" i="131"/>
  <c r="AJ68" i="131"/>
  <c r="AH68" i="131"/>
  <c r="U68" i="131"/>
  <c r="AK68" i="131"/>
  <c r="AJ64" i="131"/>
  <c r="R64" i="131"/>
  <c r="M64" i="131"/>
  <c r="AC64" i="131"/>
  <c r="AJ54" i="131"/>
  <c r="R54" i="131"/>
  <c r="M54" i="131"/>
  <c r="AC54" i="131"/>
  <c r="AJ50" i="131"/>
  <c r="AH50" i="131"/>
  <c r="U50" i="131"/>
  <c r="AK50" i="131"/>
  <c r="AE22" i="106"/>
  <c r="M22" i="106"/>
  <c r="H22" i="106"/>
  <c r="X22" i="106"/>
  <c r="O65" i="131"/>
  <c r="AQ65" i="131"/>
  <c r="AO65" i="131"/>
  <c r="V65" i="131"/>
  <c r="AL65" i="131"/>
  <c r="AO55" i="131"/>
  <c r="AL55" i="131"/>
  <c r="F75" i="106"/>
  <c r="T75" i="106"/>
  <c r="I75" i="106"/>
  <c r="AK49" i="131"/>
  <c r="S49" i="131"/>
  <c r="L49" i="131"/>
  <c r="AB49" i="131"/>
  <c r="AR49" i="131"/>
  <c r="AA71" i="131"/>
  <c r="N71" i="131"/>
  <c r="R71" i="131"/>
  <c r="I97" i="106"/>
  <c r="O97" i="106"/>
  <c r="S97" i="106"/>
  <c r="M97" i="106"/>
  <c r="Z97" i="106"/>
  <c r="L71" i="131"/>
  <c r="W53" i="131"/>
  <c r="AI53" i="131"/>
  <c r="X53" i="131"/>
  <c r="R53" i="131"/>
  <c r="AK53" i="131"/>
  <c r="AH53" i="131"/>
  <c r="U66" i="131"/>
  <c r="AH52" i="131"/>
  <c r="X70" i="131"/>
  <c r="X48" i="131"/>
  <c r="R51" i="131"/>
  <c r="S70" i="131"/>
  <c r="AA66" i="131"/>
  <c r="AD52" i="131"/>
  <c r="V48" i="131"/>
  <c r="K43" i="106"/>
  <c r="AM51" i="131"/>
  <c r="S51" i="131"/>
  <c r="M51" i="131"/>
  <c r="X51" i="131"/>
  <c r="AN51" i="131"/>
  <c r="AK67" i="131"/>
  <c r="S67" i="131"/>
  <c r="L67" i="131"/>
  <c r="AB67" i="131"/>
  <c r="AR67" i="131"/>
  <c r="AR72" i="131"/>
  <c r="V72" i="131"/>
  <c r="O72" i="131"/>
  <c r="AE72" i="131"/>
  <c r="P68" i="131"/>
  <c r="AR68" i="131"/>
  <c r="AL68" i="131"/>
  <c r="W68" i="131"/>
  <c r="AM68" i="131"/>
  <c r="AR64" i="131"/>
  <c r="V64" i="131"/>
  <c r="O64" i="131"/>
  <c r="AE64" i="131"/>
  <c r="AR54" i="131"/>
  <c r="V54" i="131"/>
  <c r="O54" i="131"/>
  <c r="AE54" i="131"/>
  <c r="P50" i="131"/>
  <c r="AR50" i="131"/>
  <c r="AL50" i="131"/>
  <c r="W50" i="131"/>
  <c r="AM50" i="131"/>
  <c r="AM22" i="106"/>
  <c r="Q22" i="106"/>
  <c r="J22" i="106"/>
  <c r="Z22" i="106"/>
  <c r="W65" i="131"/>
  <c r="M65" i="131"/>
  <c r="X65" i="131"/>
  <c r="AN65" i="131"/>
  <c r="W55" i="131"/>
  <c r="AS55" i="131"/>
  <c r="X55" i="131"/>
  <c r="N75" i="106"/>
  <c r="X75" i="106"/>
  <c r="K75" i="106"/>
  <c r="AA75" i="106"/>
  <c r="W49" i="131"/>
  <c r="N49" i="131"/>
  <c r="AD49" i="131"/>
  <c r="K71" i="131"/>
  <c r="AM71" i="131"/>
  <c r="J71" i="131"/>
  <c r="AH97" i="106"/>
  <c r="G97" i="106"/>
  <c r="K97" i="106"/>
  <c r="AB97" i="106"/>
  <c r="AI71" i="131"/>
  <c r="Q53" i="131"/>
  <c r="U53" i="131"/>
  <c r="S53" i="131"/>
  <c r="P53" i="131"/>
  <c r="AG53" i="131"/>
  <c r="Z53" i="131"/>
  <c r="AC70" i="131"/>
  <c r="T56" i="131"/>
  <c r="T48" i="131"/>
  <c r="AF43" i="106"/>
  <c r="AS59" i="131"/>
  <c r="O70" i="131"/>
  <c r="AM66" i="131"/>
  <c r="AP48" i="131"/>
  <c r="AL67" i="131"/>
  <c r="AI70" i="131"/>
  <c r="AQ66" i="131"/>
  <c r="P52" i="131"/>
  <c r="AF48" i="131"/>
  <c r="F43" i="106"/>
  <c r="K69" i="131"/>
  <c r="AL69" i="131"/>
  <c r="K51" i="131"/>
  <c r="AL51" i="131"/>
  <c r="W67" i="131"/>
  <c r="N67" i="131"/>
  <c r="AD67" i="131"/>
  <c r="P72" i="131"/>
  <c r="Z72" i="131"/>
  <c r="Q72" i="131"/>
  <c r="AG72" i="131"/>
  <c r="X68" i="131"/>
  <c r="AP68" i="131"/>
  <c r="Y68" i="131"/>
  <c r="AO68" i="131"/>
  <c r="P64" i="131"/>
  <c r="Z64" i="131"/>
  <c r="Q64" i="131"/>
  <c r="AG64" i="131"/>
  <c r="P54" i="131"/>
  <c r="Z54" i="131"/>
  <c r="Q54" i="131"/>
  <c r="AG54" i="131"/>
  <c r="X50" i="131"/>
  <c r="J50" i="131"/>
  <c r="AP50" i="131"/>
  <c r="Y50" i="131"/>
  <c r="AO50" i="131"/>
  <c r="K22" i="106"/>
  <c r="U22" i="106"/>
  <c r="L22" i="106"/>
  <c r="AB22" i="106"/>
  <c r="AE65" i="131"/>
  <c r="Q65" i="131"/>
  <c r="J65" i="131"/>
  <c r="Z65" i="131"/>
  <c r="AP65" i="131"/>
  <c r="AE55" i="131"/>
  <c r="AP55" i="131"/>
  <c r="V75" i="106"/>
  <c r="AB75" i="106"/>
  <c r="M75" i="106"/>
  <c r="AC75" i="106"/>
  <c r="Q49" i="131"/>
  <c r="AA49" i="131"/>
  <c r="P49" i="131"/>
  <c r="AF49" i="131"/>
  <c r="AO71" i="131"/>
  <c r="W71" i="131"/>
  <c r="AE71" i="131"/>
  <c r="R97" i="106"/>
  <c r="AD97" i="106"/>
  <c r="AL97" i="106"/>
  <c r="AF97" i="106"/>
  <c r="AR71" i="131"/>
  <c r="Y53" i="131"/>
  <c r="AQ53" i="131"/>
  <c r="O53" i="131"/>
  <c r="AE53" i="131"/>
  <c r="M70" i="131"/>
  <c r="AK52" i="131"/>
  <c r="AE43" i="106"/>
  <c r="P69" i="131"/>
  <c r="J70" i="131"/>
  <c r="AN66" i="131"/>
  <c r="AP52" i="131"/>
  <c r="O48" i="131"/>
  <c r="AH69" i="131"/>
  <c r="W51" i="131"/>
  <c r="V67" i="131"/>
  <c r="AF70" i="131"/>
  <c r="K66" i="131"/>
  <c r="AQ52" i="131"/>
  <c r="Y43" i="106"/>
  <c r="V69" i="131"/>
  <c r="AI69" i="131"/>
  <c r="U69" i="131"/>
  <c r="L69" i="131"/>
  <c r="AB69" i="131"/>
  <c r="AR69" i="131"/>
  <c r="AI51" i="131"/>
  <c r="U51" i="131"/>
  <c r="L51" i="131"/>
  <c r="AB51" i="131"/>
  <c r="AR51" i="131"/>
  <c r="Q67" i="131"/>
  <c r="AA67" i="131"/>
  <c r="P67" i="131"/>
  <c r="AF67" i="131"/>
  <c r="X72" i="131"/>
  <c r="AD72" i="131"/>
  <c r="S72" i="131"/>
  <c r="AI72" i="131"/>
  <c r="AF68" i="131"/>
  <c r="N68" i="131"/>
  <c r="K68" i="131"/>
  <c r="AA68" i="131"/>
  <c r="AQ68" i="131"/>
  <c r="X64" i="131"/>
  <c r="AD64" i="131"/>
  <c r="S64" i="131"/>
  <c r="AI64" i="131"/>
  <c r="X54" i="131"/>
  <c r="AD54" i="131"/>
  <c r="S54" i="131"/>
  <c r="AI54" i="131"/>
  <c r="AF50" i="131"/>
  <c r="N50" i="131"/>
  <c r="K50" i="131"/>
  <c r="AA50" i="131"/>
  <c r="AQ50" i="131"/>
  <c r="S22" i="106"/>
  <c r="Y22" i="106"/>
  <c r="N22" i="106"/>
  <c r="AD22" i="106"/>
  <c r="AM65" i="131"/>
  <c r="U65" i="131"/>
  <c r="L65" i="131"/>
  <c r="AB65" i="131"/>
  <c r="AR65" i="131"/>
  <c r="AM55" i="131"/>
  <c r="U55" i="131"/>
  <c r="AR55" i="131"/>
  <c r="AD75" i="106"/>
  <c r="AF75" i="106"/>
  <c r="O75" i="106"/>
  <c r="AE75" i="106"/>
  <c r="Y49" i="131"/>
  <c r="AE49" i="131"/>
  <c r="R49" i="131"/>
  <c r="AH49" i="131"/>
  <c r="M71" i="131"/>
  <c r="Q71" i="131"/>
  <c r="O71" i="131"/>
  <c r="L97" i="106"/>
  <c r="N97" i="106"/>
  <c r="V97" i="106"/>
  <c r="AK97" i="106"/>
  <c r="O19" i="59"/>
  <c r="AC71" i="131"/>
  <c r="AR53" i="131"/>
  <c r="AC53" i="131"/>
  <c r="AA53" i="131"/>
  <c r="AJ66" i="131"/>
  <c r="AC48" i="131"/>
  <c r="J66" i="131"/>
  <c r="AM52" i="131"/>
  <c r="AK43" i="106"/>
  <c r="AG69" i="131"/>
  <c r="AO67" i="131"/>
  <c r="P66" i="131"/>
  <c r="AF56" i="131"/>
  <c r="AA52" i="131"/>
  <c r="S48" i="131"/>
  <c r="AL43" i="106"/>
  <c r="AO69" i="131"/>
  <c r="AO51" i="131"/>
  <c r="AH70" i="131"/>
  <c r="AJ70" i="131"/>
  <c r="U70" i="131"/>
  <c r="AK70" i="131"/>
  <c r="AH66" i="131"/>
  <c r="T66" i="131"/>
  <c r="M66" i="131"/>
  <c r="AC66" i="131"/>
  <c r="AS60" i="131"/>
  <c r="AD56" i="131"/>
  <c r="AL52" i="131"/>
  <c r="T52" i="131"/>
  <c r="M52" i="131"/>
  <c r="AC52" i="131"/>
  <c r="AD48" i="131"/>
  <c r="AJ48" i="131"/>
  <c r="U48" i="131"/>
  <c r="AK48" i="131"/>
  <c r="AG43" i="106"/>
  <c r="O43" i="106"/>
  <c r="H43" i="106"/>
  <c r="X43" i="106"/>
  <c r="AN43" i="106"/>
  <c r="S69" i="131"/>
  <c r="M69" i="131"/>
  <c r="X69" i="131"/>
  <c r="AN69" i="131"/>
  <c r="N70" i="131"/>
  <c r="AP70" i="131"/>
  <c r="AN70" i="131"/>
  <c r="W70" i="131"/>
  <c r="AM70" i="131"/>
  <c r="AP66" i="131"/>
  <c r="X66" i="131"/>
  <c r="O66" i="131"/>
  <c r="AE66" i="131"/>
  <c r="J52" i="131"/>
  <c r="X52" i="131"/>
  <c r="O52" i="131"/>
  <c r="AE52" i="131"/>
  <c r="E33" i="52"/>
  <c r="AL48" i="131"/>
  <c r="AN48" i="131"/>
  <c r="W48" i="131"/>
  <c r="AM48" i="131"/>
  <c r="S43" i="106"/>
  <c r="J43" i="106"/>
  <c r="Z43" i="106"/>
  <c r="AA69" i="131"/>
  <c r="Q69" i="131"/>
  <c r="J69" i="131"/>
  <c r="Z69" i="131"/>
  <c r="AP69" i="131"/>
  <c r="AA51" i="131"/>
  <c r="Q51" i="131"/>
  <c r="J51" i="131"/>
  <c r="Z51" i="131"/>
  <c r="AP51" i="131"/>
  <c r="V70" i="131"/>
  <c r="L70" i="131"/>
  <c r="AR70" i="131"/>
  <c r="Y70" i="131"/>
  <c r="AO70" i="131"/>
  <c r="N66" i="131"/>
  <c r="AB66" i="131"/>
  <c r="Q66" i="131"/>
  <c r="AG66" i="131"/>
  <c r="R56" i="131"/>
  <c r="Y56" i="131"/>
  <c r="AO56" i="131"/>
  <c r="R52" i="131"/>
  <c r="AB52" i="131"/>
  <c r="Q52" i="131"/>
  <c r="AG52" i="131"/>
  <c r="R48" i="131"/>
  <c r="L48" i="131"/>
  <c r="AR48" i="131"/>
  <c r="Y48" i="131"/>
  <c r="AO48" i="131"/>
  <c r="M43" i="106"/>
  <c r="W43" i="106"/>
  <c r="L43" i="106"/>
  <c r="AB43" i="106"/>
  <c r="AD70" i="131"/>
  <c r="P70" i="131"/>
  <c r="K70" i="131"/>
  <c r="AA70" i="131"/>
  <c r="AQ70" i="131"/>
  <c r="V66" i="131"/>
  <c r="AF66" i="131"/>
  <c r="S66" i="131"/>
  <c r="AI66" i="131"/>
  <c r="Z56" i="131"/>
  <c r="P56" i="131"/>
  <c r="Z52" i="131"/>
  <c r="AF52" i="131"/>
  <c r="S52" i="131"/>
  <c r="AI52" i="131"/>
  <c r="Z48" i="131"/>
  <c r="P48" i="131"/>
  <c r="K48" i="131"/>
  <c r="AA48" i="131"/>
  <c r="AQ48" i="131"/>
  <c r="U43" i="106"/>
  <c r="AA43" i="106"/>
  <c r="N43" i="106"/>
  <c r="AD43" i="106"/>
  <c r="AQ69" i="131"/>
  <c r="Y69" i="131"/>
  <c r="N69" i="131"/>
  <c r="AD69" i="131"/>
  <c r="AQ51" i="131"/>
  <c r="Y51" i="131"/>
  <c r="N51" i="131"/>
  <c r="AD51" i="131"/>
  <c r="Y67" i="131"/>
  <c r="AE67" i="131"/>
  <c r="AH67" i="131"/>
  <c r="AF72" i="131"/>
  <c r="AH72" i="131"/>
  <c r="U72" i="131"/>
  <c r="AK72" i="131"/>
  <c r="AN68" i="131"/>
  <c r="R68" i="131"/>
  <c r="M68" i="131"/>
  <c r="AC68" i="131"/>
  <c r="AF64" i="131"/>
  <c r="AH64" i="131"/>
  <c r="U64" i="131"/>
  <c r="AK64" i="131"/>
  <c r="AS58" i="131"/>
  <c r="AF54" i="131"/>
  <c r="AH54" i="131"/>
  <c r="U54" i="131"/>
  <c r="AK54" i="131"/>
  <c r="AN50" i="131"/>
  <c r="R50" i="131"/>
  <c r="M50" i="131"/>
  <c r="AC50" i="131"/>
  <c r="AA22" i="106"/>
  <c r="AC22" i="106"/>
  <c r="P22" i="106"/>
  <c r="AF22" i="106"/>
  <c r="K65" i="131"/>
  <c r="Y65" i="131"/>
  <c r="N65" i="131"/>
  <c r="AD65" i="131"/>
  <c r="K55" i="131"/>
  <c r="Y55" i="131"/>
  <c r="N55" i="131"/>
  <c r="AD55" i="131"/>
  <c r="J75" i="106"/>
  <c r="AL75" i="106"/>
  <c r="AJ75" i="106"/>
  <c r="Q75" i="106"/>
  <c r="AG75" i="106"/>
  <c r="AG49" i="131"/>
  <c r="AI49" i="131"/>
  <c r="T49" i="131"/>
  <c r="AJ49" i="131"/>
  <c r="AF71" i="131"/>
  <c r="U71" i="131"/>
  <c r="AG71" i="131"/>
  <c r="P97" i="106"/>
  <c r="T97" i="106"/>
  <c r="F97" i="106"/>
  <c r="E97" i="106"/>
  <c r="AB71" i="131"/>
  <c r="AJ71" i="131"/>
  <c r="AD53" i="131"/>
  <c r="AJ53" i="131"/>
  <c r="K53" i="131"/>
  <c r="AP53" i="131"/>
  <c r="AL70" i="131"/>
  <c r="AK66" i="131"/>
  <c r="AJ52" i="131"/>
  <c r="AC69" i="131"/>
  <c r="O51" i="131"/>
  <c r="AC51" i="131"/>
  <c r="P51" i="131"/>
  <c r="AF51" i="131"/>
  <c r="AG67" i="131"/>
  <c r="AI67" i="131"/>
  <c r="T67" i="131"/>
  <c r="AJ67" i="131"/>
  <c r="L72" i="131"/>
  <c r="AN72" i="131"/>
  <c r="AL72" i="131"/>
  <c r="W72" i="131"/>
  <c r="AM72" i="131"/>
  <c r="L68" i="131"/>
  <c r="V68" i="131"/>
  <c r="O68" i="131"/>
  <c r="AE68" i="131"/>
  <c r="L64" i="131"/>
  <c r="AN64" i="131"/>
  <c r="AL64" i="131"/>
  <c r="W64" i="131"/>
  <c r="AM64" i="131"/>
  <c r="L54" i="131"/>
  <c r="AN54" i="131"/>
  <c r="AL54" i="131"/>
  <c r="W54" i="131"/>
  <c r="AM54" i="131"/>
  <c r="L50" i="131"/>
  <c r="V50" i="131"/>
  <c r="O50" i="131"/>
  <c r="AE50" i="131"/>
  <c r="G22" i="106"/>
  <c r="AI22" i="106"/>
  <c r="AG22" i="106"/>
  <c r="R22" i="106"/>
  <c r="AH22" i="106"/>
  <c r="S65" i="131"/>
  <c r="AC65" i="131"/>
  <c r="P65" i="131"/>
  <c r="AF65" i="131"/>
  <c r="AC55" i="131"/>
  <c r="P55" i="131"/>
  <c r="AF55" i="131"/>
  <c r="R75" i="106"/>
  <c r="H75" i="106"/>
  <c r="AN75" i="106"/>
  <c r="S75" i="106"/>
  <c r="AI75" i="106"/>
  <c r="M49" i="131"/>
  <c r="AO49" i="131"/>
  <c r="AM49" i="131"/>
  <c r="V49" i="131"/>
  <c r="AL49" i="131"/>
  <c r="X71" i="131"/>
  <c r="AL71" i="131"/>
  <c r="AP71" i="131"/>
  <c r="AK71" i="131"/>
  <c r="AM97" i="106"/>
  <c r="X97" i="106"/>
  <c r="AJ97" i="106"/>
  <c r="U97" i="106"/>
  <c r="S71" i="131"/>
  <c r="V53" i="131"/>
  <c r="AB53" i="131"/>
  <c r="AO53" i="131"/>
  <c r="M53" i="131"/>
  <c r="J53" i="131"/>
  <c r="G56" i="82"/>
  <c r="G59" i="82" s="1"/>
  <c r="R67" i="131"/>
  <c r="K76" i="131"/>
  <c r="J78" i="131"/>
  <c r="E41" i="52"/>
  <c r="H23" i="132"/>
  <c r="H12" i="132"/>
  <c r="K16" i="122" s="1"/>
  <c r="K50" i="122" s="1"/>
  <c r="X150" i="99"/>
  <c r="X249" i="99"/>
  <c r="R198" i="99"/>
  <c r="AJ198" i="99" s="1"/>
  <c r="S125" i="99"/>
  <c r="AJ142" i="99"/>
  <c r="P26" i="82"/>
  <c r="Q26" i="82" s="1"/>
  <c r="P50" i="82"/>
  <c r="Q50" i="82" s="1"/>
  <c r="X125" i="99"/>
  <c r="X49" i="99"/>
  <c r="X55" i="99"/>
  <c r="X153" i="99"/>
  <c r="X145" i="99"/>
  <c r="W223" i="99"/>
  <c r="X52" i="99"/>
  <c r="X69" i="99"/>
  <c r="W204" i="99"/>
  <c r="W212" i="99"/>
  <c r="X133" i="99"/>
  <c r="W231" i="99"/>
  <c r="X264" i="99"/>
  <c r="G247" i="99"/>
  <c r="H247" i="99" s="1"/>
  <c r="X142" i="99"/>
  <c r="S13" i="99"/>
  <c r="S130" i="99"/>
  <c r="W225" i="99"/>
  <c r="X80" i="99"/>
  <c r="X260" i="99"/>
  <c r="X72" i="99"/>
  <c r="X144" i="99"/>
  <c r="X273" i="99"/>
  <c r="X56" i="99"/>
  <c r="X50" i="99"/>
  <c r="X48" i="99"/>
  <c r="X75" i="99"/>
  <c r="X132" i="99"/>
  <c r="X157" i="99"/>
  <c r="X136" i="99"/>
  <c r="W220" i="99"/>
  <c r="F208" i="99"/>
  <c r="F236" i="99" s="1"/>
  <c r="X59" i="99"/>
  <c r="X71" i="99"/>
  <c r="X73" i="99"/>
  <c r="X63" i="99"/>
  <c r="X251" i="99"/>
  <c r="X272" i="99"/>
  <c r="X66" i="99"/>
  <c r="P23" i="82"/>
  <c r="Q23" i="82" s="1"/>
  <c r="X78" i="99"/>
  <c r="F160" i="99"/>
  <c r="X58" i="99"/>
  <c r="X54" i="99"/>
  <c r="X258" i="99"/>
  <c r="X270" i="99"/>
  <c r="X248" i="99"/>
  <c r="X246" i="99"/>
  <c r="X129" i="99"/>
  <c r="X68" i="99"/>
  <c r="X57" i="99"/>
  <c r="W215" i="99"/>
  <c r="X269" i="99"/>
  <c r="AC48" i="82"/>
  <c r="P25" i="82"/>
  <c r="Q25" i="82" s="1"/>
  <c r="X261" i="99"/>
  <c r="X252" i="99"/>
  <c r="X61" i="99"/>
  <c r="X127" i="99"/>
  <c r="X131" i="99"/>
  <c r="X141" i="99"/>
  <c r="AS79" i="131"/>
  <c r="X47" i="99"/>
  <c r="W213" i="99"/>
  <c r="W218" i="99"/>
  <c r="X67" i="99"/>
  <c r="X138" i="99"/>
  <c r="W232" i="99"/>
  <c r="X65" i="99"/>
  <c r="X154" i="99"/>
  <c r="W221" i="99"/>
  <c r="P33" i="82"/>
  <c r="Q33" i="82" s="1"/>
  <c r="X262" i="99"/>
  <c r="X64" i="99"/>
  <c r="G47" i="99"/>
  <c r="G81" i="99" s="1"/>
  <c r="Y81" i="99" s="1"/>
  <c r="F277" i="99"/>
  <c r="X151" i="99"/>
  <c r="X243" i="99"/>
  <c r="X267" i="99"/>
  <c r="P28" i="82"/>
  <c r="Q28" i="82" s="1"/>
  <c r="AC40" i="82"/>
  <c r="AC45" i="82"/>
  <c r="AC53" i="82"/>
  <c r="P42" i="82"/>
  <c r="Q42" i="82" s="1"/>
  <c r="P30" i="82"/>
  <c r="Q30" i="82" s="1"/>
  <c r="AC36" i="82"/>
  <c r="P35" i="82"/>
  <c r="Q35" i="82" s="1"/>
  <c r="AC49" i="82"/>
  <c r="AC43" i="82"/>
  <c r="P21" i="82"/>
  <c r="Q21" i="82" s="1"/>
  <c r="O54" i="82"/>
  <c r="AC38" i="82"/>
  <c r="AC28" i="82"/>
  <c r="P40" i="82"/>
  <c r="Q40" i="82" s="1"/>
  <c r="P45" i="82"/>
  <c r="Q45" i="82" s="1"/>
  <c r="AC46" i="82"/>
  <c r="P43" i="82"/>
  <c r="Q43" i="82" s="1"/>
  <c r="AC33" i="82"/>
  <c r="P52" i="82"/>
  <c r="Q52" i="82" s="1"/>
  <c r="P47" i="82"/>
  <c r="Q47" i="82" s="1"/>
  <c r="AC47" i="82"/>
  <c r="AC22" i="82"/>
  <c r="P38" i="82"/>
  <c r="Q38" i="82" s="1"/>
  <c r="P24" i="82"/>
  <c r="Q24" i="82" s="1"/>
  <c r="AC24" i="82"/>
  <c r="Z55" i="82"/>
  <c r="AC50" i="82"/>
  <c r="AC51" i="82"/>
  <c r="P51" i="82"/>
  <c r="Q51" i="82" s="1"/>
  <c r="AC23" i="82"/>
  <c r="P41" i="82"/>
  <c r="Q41" i="82" s="1"/>
  <c r="AC41" i="82"/>
  <c r="AC44" i="82"/>
  <c r="P44" i="82"/>
  <c r="Q44" i="82" s="1"/>
  <c r="AC27" i="82"/>
  <c r="P37" i="82"/>
  <c r="Q37" i="82" s="1"/>
  <c r="AC37" i="82"/>
  <c r="P53" i="82"/>
  <c r="Q53" i="82" s="1"/>
  <c r="AC25" i="82"/>
  <c r="AC42" i="82"/>
  <c r="P39" i="82"/>
  <c r="Q39" i="82" s="1"/>
  <c r="AC39" i="82"/>
  <c r="P34" i="82"/>
  <c r="Q34" i="82" s="1"/>
  <c r="AC34" i="82"/>
  <c r="AC32" i="82"/>
  <c r="P31" i="82"/>
  <c r="Q31" i="82" s="1"/>
  <c r="AC31" i="82"/>
  <c r="P46" i="82"/>
  <c r="Q46" i="82" s="1"/>
  <c r="P36" i="82"/>
  <c r="Q36" i="82" s="1"/>
  <c r="AC35" i="82"/>
  <c r="G80" i="99"/>
  <c r="W160" i="99"/>
  <c r="W161" i="99" s="1"/>
  <c r="W82" i="99"/>
  <c r="W83" i="99" s="1"/>
  <c r="O47" i="110" s="1"/>
  <c r="O48" i="110" s="1"/>
  <c r="J24" i="119" s="1"/>
  <c r="F23" i="138" s="1"/>
  <c r="W277" i="99"/>
  <c r="W278" i="99" s="1"/>
  <c r="X158" i="99"/>
  <c r="E238" i="99"/>
  <c r="W205" i="99"/>
  <c r="X146" i="99"/>
  <c r="X128" i="99"/>
  <c r="X135" i="99"/>
  <c r="X143" i="99"/>
  <c r="X155" i="99"/>
  <c r="X266" i="99"/>
  <c r="X256" i="99"/>
  <c r="F237" i="99"/>
  <c r="X237" i="99" s="1"/>
  <c r="X263" i="99"/>
  <c r="X271" i="99"/>
  <c r="W217" i="99"/>
  <c r="X259" i="99"/>
  <c r="X265" i="99"/>
  <c r="X156" i="99"/>
  <c r="X149" i="99"/>
  <c r="X147" i="99"/>
  <c r="X152" i="99"/>
  <c r="W207" i="99"/>
  <c r="X130" i="99"/>
  <c r="X148" i="99"/>
  <c r="W211" i="99"/>
  <c r="X250" i="99"/>
  <c r="X254" i="99"/>
  <c r="X242" i="99"/>
  <c r="X245" i="99"/>
  <c r="X247" i="99"/>
  <c r="W234" i="99"/>
  <c r="W208" i="99"/>
  <c r="X126" i="99"/>
  <c r="X139" i="99"/>
  <c r="AJ140" i="99"/>
  <c r="W222" i="99"/>
  <c r="G125" i="99"/>
  <c r="G159" i="99" s="1"/>
  <c r="Y159" i="99" s="1"/>
  <c r="X137" i="99"/>
  <c r="AJ148" i="99"/>
  <c r="W219" i="99"/>
  <c r="W227" i="99"/>
  <c r="W209" i="99"/>
  <c r="X244" i="99"/>
  <c r="W228" i="99"/>
  <c r="X253" i="99"/>
  <c r="X255" i="99"/>
  <c r="X134" i="99"/>
  <c r="X140" i="99"/>
  <c r="X257" i="99"/>
  <c r="W229" i="99"/>
  <c r="W210" i="99"/>
  <c r="W230" i="99"/>
  <c r="X268" i="99"/>
  <c r="X276" i="99"/>
  <c r="P27" i="82"/>
  <c r="Q27" i="82" s="1"/>
  <c r="P49" i="82"/>
  <c r="Q49" i="82" s="1"/>
  <c r="P48" i="82"/>
  <c r="Q48" i="82" s="1"/>
  <c r="P29" i="82"/>
  <c r="Q29" i="82" s="1"/>
  <c r="P32" i="82"/>
  <c r="Q32" i="82" s="1"/>
  <c r="O56" i="82"/>
  <c r="O59" i="82" s="1"/>
  <c r="O55" i="82"/>
  <c r="AC26" i="82"/>
  <c r="AC30" i="82"/>
  <c r="AA59" i="82"/>
  <c r="Y59" i="82"/>
  <c r="AC52" i="82"/>
  <c r="P22" i="82"/>
  <c r="Q22" i="82" s="1"/>
  <c r="AC21" i="82"/>
  <c r="S59" i="82"/>
  <c r="V54" i="82"/>
  <c r="R276" i="99"/>
  <c r="AJ276" i="99" s="1"/>
  <c r="G41" i="99"/>
  <c r="Y41" i="99" s="1"/>
  <c r="V56" i="82"/>
  <c r="X114" i="99"/>
  <c r="F120" i="99"/>
  <c r="X120" i="99" s="1"/>
  <c r="M276" i="99"/>
  <c r="AE276" i="99" s="1"/>
  <c r="X185" i="99"/>
  <c r="F198" i="99"/>
  <c r="X198" i="99" s="1"/>
  <c r="AJ159" i="99"/>
  <c r="W237" i="99"/>
  <c r="G55" i="82"/>
  <c r="V55" i="82"/>
  <c r="M119" i="99"/>
  <c r="AE119" i="99" s="1"/>
  <c r="F278" i="99"/>
  <c r="F197" i="99"/>
  <c r="X197" i="99" s="1"/>
  <c r="G169" i="99"/>
  <c r="G42" i="99"/>
  <c r="Y42" i="99" s="1"/>
  <c r="AC29" i="82"/>
  <c r="M81" i="99"/>
  <c r="AE81" i="99" s="1"/>
  <c r="AJ197" i="99"/>
  <c r="R119" i="99"/>
  <c r="AJ119" i="99" s="1"/>
  <c r="L278" i="99"/>
  <c r="AI274" i="99"/>
  <c r="AI277" i="99" s="1"/>
  <c r="AI278" i="99" s="1"/>
  <c r="M41" i="99"/>
  <c r="AE41" i="99" s="1"/>
  <c r="Q278" i="99"/>
  <c r="F119" i="99"/>
  <c r="X119" i="99" s="1"/>
  <c r="G91" i="99"/>
  <c r="G54" i="82"/>
  <c r="M80" i="99"/>
  <c r="AE80" i="99" s="1"/>
  <c r="G158" i="99"/>
  <c r="W206" i="99"/>
  <c r="Z56" i="82"/>
  <c r="Z59" i="82" s="1"/>
  <c r="Z54" i="82"/>
  <c r="K59" i="82"/>
  <c r="H59" i="82"/>
  <c r="G8" i="132"/>
  <c r="J12" i="122" s="1"/>
  <c r="B86" i="113"/>
  <c r="I59" i="82"/>
  <c r="N59" i="82"/>
  <c r="U59" i="82"/>
  <c r="J59" i="82"/>
  <c r="L59" i="82"/>
  <c r="T59" i="82"/>
  <c r="X59" i="82"/>
  <c r="W59" i="82"/>
  <c r="M59" i="82"/>
  <c r="AB59" i="82"/>
  <c r="F59" i="82"/>
  <c r="Q23" i="132"/>
  <c r="AP11" i="132"/>
  <c r="AS15" i="122" s="1"/>
  <c r="AS49" i="122" s="1"/>
  <c r="AP23" i="132"/>
  <c r="AX16" i="59"/>
  <c r="AX17" i="59" s="1"/>
  <c r="AN12" i="116"/>
  <c r="AP25" i="132"/>
  <c r="AN62" i="106"/>
  <c r="AN65" i="106" s="1"/>
  <c r="G276" i="99"/>
  <c r="R275" i="99"/>
  <c r="AJ275" i="99" s="1"/>
  <c r="S247" i="99"/>
  <c r="M275" i="99"/>
  <c r="AE275" i="99" s="1"/>
  <c r="N247" i="99"/>
  <c r="X236" i="99"/>
  <c r="E236" i="99"/>
  <c r="W236" i="99" s="1"/>
  <c r="W233" i="99"/>
  <c r="M159" i="99"/>
  <c r="AE159" i="99" s="1"/>
  <c r="M197" i="99"/>
  <c r="AE197" i="99" s="1"/>
  <c r="M198" i="99"/>
  <c r="AE198" i="99" s="1"/>
  <c r="S159" i="99"/>
  <c r="M158" i="99"/>
  <c r="AE158" i="99" s="1"/>
  <c r="R158" i="99"/>
  <c r="AJ158" i="99" s="1"/>
  <c r="M120" i="99"/>
  <c r="AE120" i="99" s="1"/>
  <c r="R80" i="99"/>
  <c r="AJ80" i="99" s="1"/>
  <c r="R120" i="99"/>
  <c r="AJ120" i="99" s="1"/>
  <c r="AJ155" i="99"/>
  <c r="M42" i="99"/>
  <c r="AE42" i="99" s="1"/>
  <c r="AJ28" i="99"/>
  <c r="R42" i="99"/>
  <c r="AJ42" i="99" s="1"/>
  <c r="R81" i="99"/>
  <c r="AJ81" i="99" s="1"/>
  <c r="AJ41" i="99"/>
  <c r="X216" i="99"/>
  <c r="AI160" i="99"/>
  <c r="AI161" i="99" s="1"/>
  <c r="AA110" i="110" s="1"/>
  <c r="M82" i="99"/>
  <c r="X195" i="99"/>
  <c r="X176" i="99"/>
  <c r="AJ32" i="99"/>
  <c r="AJ88" i="99"/>
  <c r="Y342" i="119"/>
  <c r="AE251" i="99"/>
  <c r="Y326" i="119"/>
  <c r="Y341" i="119"/>
  <c r="AA342" i="119"/>
  <c r="O341" i="119"/>
  <c r="AJ26" i="99"/>
  <c r="X117" i="99"/>
  <c r="AE29" i="99"/>
  <c r="AJ127" i="99"/>
  <c r="AJ147" i="99"/>
  <c r="AJ130" i="99"/>
  <c r="T342" i="119"/>
  <c r="Z327" i="119"/>
  <c r="Z342" i="119"/>
  <c r="S131" i="99"/>
  <c r="AK141" i="99" s="1"/>
  <c r="AJ141" i="99"/>
  <c r="AE257" i="99"/>
  <c r="AE131" i="99"/>
  <c r="AJ75" i="99"/>
  <c r="AJ153" i="99"/>
  <c r="AJ157" i="99"/>
  <c r="AJ133" i="99"/>
  <c r="AA341" i="119"/>
  <c r="T326" i="119"/>
  <c r="T341" i="119"/>
  <c r="Z326" i="119"/>
  <c r="Z341" i="119"/>
  <c r="O342" i="119"/>
  <c r="AS99" i="119"/>
  <c r="O11" i="116"/>
  <c r="AJ177" i="99"/>
  <c r="AJ135" i="99"/>
  <c r="AJ63" i="99"/>
  <c r="X229" i="99"/>
  <c r="AJ139" i="99"/>
  <c r="AJ22" i="99"/>
  <c r="AJ132" i="99"/>
  <c r="AJ146" i="99"/>
  <c r="AJ152" i="99"/>
  <c r="AJ144" i="99"/>
  <c r="AJ125" i="99"/>
  <c r="AJ138" i="99"/>
  <c r="AE153" i="99"/>
  <c r="X209" i="99"/>
  <c r="Q79" i="131"/>
  <c r="Y79" i="131"/>
  <c r="AG79" i="131"/>
  <c r="AO79" i="131"/>
  <c r="AJ12" i="99"/>
  <c r="AJ30" i="99"/>
  <c r="AJ55" i="99"/>
  <c r="X171" i="99"/>
  <c r="X178" i="99"/>
  <c r="X194" i="99"/>
  <c r="X196" i="99"/>
  <c r="AJ151" i="99"/>
  <c r="AJ116" i="99"/>
  <c r="AJ128" i="99"/>
  <c r="AJ145" i="99"/>
  <c r="AJ104" i="99"/>
  <c r="AJ137" i="99"/>
  <c r="AJ131" i="99"/>
  <c r="AE116" i="99"/>
  <c r="AJ126" i="99"/>
  <c r="AJ134" i="99"/>
  <c r="AJ129" i="99"/>
  <c r="AJ149" i="99"/>
  <c r="AJ143" i="99"/>
  <c r="AJ156" i="99"/>
  <c r="AJ136" i="99"/>
  <c r="AJ150" i="99"/>
  <c r="R160" i="99"/>
  <c r="R277" i="99"/>
  <c r="R278" i="99" s="1"/>
  <c r="AJ154" i="99"/>
  <c r="AP17" i="132"/>
  <c r="AS26" i="122" s="1"/>
  <c r="AS55" i="122" s="1"/>
  <c r="AX76" i="59"/>
  <c r="AS44" i="119"/>
  <c r="AS98" i="119" s="1"/>
  <c r="AX75" i="60"/>
  <c r="R79" i="131"/>
  <c r="Z79" i="131"/>
  <c r="T79" i="131"/>
  <c r="AP79" i="131"/>
  <c r="X79" i="131"/>
  <c r="AD79" i="131"/>
  <c r="AL79" i="131"/>
  <c r="O79" i="131"/>
  <c r="W79" i="131"/>
  <c r="AE79" i="131"/>
  <c r="AM79" i="131"/>
  <c r="L79" i="131"/>
  <c r="AR79" i="131"/>
  <c r="V79" i="131"/>
  <c r="P79" i="131"/>
  <c r="AO19" i="59"/>
  <c r="AN19" i="59"/>
  <c r="AD19" i="59"/>
  <c r="AB19" i="59"/>
  <c r="E62" i="106"/>
  <c r="AJ19" i="59"/>
  <c r="R19" i="59"/>
  <c r="V19" i="59"/>
  <c r="AS70" i="131"/>
  <c r="AS66" i="131"/>
  <c r="AS52" i="131"/>
  <c r="AS48" i="131"/>
  <c r="J80" i="131"/>
  <c r="AS71" i="131"/>
  <c r="J79" i="131"/>
  <c r="AS69" i="131"/>
  <c r="AS51" i="131"/>
  <c r="J76" i="131"/>
  <c r="AS65" i="131"/>
  <c r="AS77" i="131"/>
  <c r="J77" i="131"/>
  <c r="AS49" i="131"/>
  <c r="AS80" i="131"/>
  <c r="AS53" i="131"/>
  <c r="AN59" i="52"/>
  <c r="AS81" i="131"/>
  <c r="AS67" i="131"/>
  <c r="AS72" i="131"/>
  <c r="AS68" i="131"/>
  <c r="AS64" i="131"/>
  <c r="AN41" i="52"/>
  <c r="AS78" i="131"/>
  <c r="AS76" i="131"/>
  <c r="AS54" i="131"/>
  <c r="AS50" i="131"/>
  <c r="Y76" i="59"/>
  <c r="O83" i="59"/>
  <c r="O84" i="59" s="1"/>
  <c r="O62" i="106"/>
  <c r="O65" i="106" s="1"/>
  <c r="Q12" i="132"/>
  <c r="T16" i="122" s="1"/>
  <c r="T50" i="122" s="1"/>
  <c r="G12" i="132"/>
  <c r="J16" i="122" s="1"/>
  <c r="J50" i="122" s="1"/>
  <c r="O76" i="59"/>
  <c r="Q11" i="132"/>
  <c r="T15" i="122" s="1"/>
  <c r="T49" i="122" s="1"/>
  <c r="G11" i="132"/>
  <c r="J15" i="122" s="1"/>
  <c r="J49" i="122" s="1"/>
  <c r="O12" i="116"/>
  <c r="AA19" i="59"/>
  <c r="Q8" i="132"/>
  <c r="T12" i="122" s="1"/>
  <c r="Q10" i="132"/>
  <c r="T14" i="122" s="1"/>
  <c r="T48" i="122" s="1"/>
  <c r="Q9" i="132"/>
  <c r="T13" i="122" s="1"/>
  <c r="T47" i="122" s="1"/>
  <c r="AW19" i="59"/>
  <c r="AQ12" i="59"/>
  <c r="AM12" i="59"/>
  <c r="Y12" i="59"/>
  <c r="AO12" i="59"/>
  <c r="R12" i="59"/>
  <c r="Z12" i="59"/>
  <c r="AH12" i="59"/>
  <c r="AP12" i="59"/>
  <c r="AX12" i="59"/>
  <c r="Y83" i="59"/>
  <c r="Y84" i="59" s="1"/>
  <c r="AP8" i="132"/>
  <c r="AS12" i="122" s="1"/>
  <c r="G10" i="132"/>
  <c r="J14" i="122" s="1"/>
  <c r="J48" i="122" s="1"/>
  <c r="AP22" i="132"/>
  <c r="T52" i="20"/>
  <c r="G23" i="132"/>
  <c r="S12" i="59"/>
  <c r="E9" i="106"/>
  <c r="AU12" i="59"/>
  <c r="AC12" i="59"/>
  <c r="AS12" i="59"/>
  <c r="T12" i="59"/>
  <c r="AB12" i="59"/>
  <c r="AJ12" i="59"/>
  <c r="AR12" i="59"/>
  <c r="AX84" i="59"/>
  <c r="Z20" i="59"/>
  <c r="U39" i="119" s="1"/>
  <c r="AP10" i="132"/>
  <c r="AS14" i="122" s="1"/>
  <c r="AS48" i="122" s="1"/>
  <c r="G9" i="132"/>
  <c r="J13" i="122" s="1"/>
  <c r="J47" i="122" s="1"/>
  <c r="AA12" i="59"/>
  <c r="W12" i="59"/>
  <c r="Q12" i="59"/>
  <c r="AG12" i="59"/>
  <c r="AW12" i="59"/>
  <c r="V12" i="59"/>
  <c r="AD12" i="59"/>
  <c r="AL12" i="59"/>
  <c r="AT12" i="59"/>
  <c r="AP15" i="132"/>
  <c r="AS24" i="122" s="1"/>
  <c r="AS53" i="122" s="1"/>
  <c r="G15" i="132"/>
  <c r="AI12" i="59"/>
  <c r="AE12" i="59"/>
  <c r="U12" i="59"/>
  <c r="AK12" i="59"/>
  <c r="P12" i="59"/>
  <c r="X12" i="59"/>
  <c r="AF12" i="59"/>
  <c r="AN12" i="59"/>
  <c r="AV12" i="59"/>
  <c r="AN11" i="116"/>
  <c r="AX86" i="59"/>
  <c r="AS42" i="119" s="1"/>
  <c r="AK19" i="59"/>
  <c r="U19" i="59"/>
  <c r="AF19" i="59"/>
  <c r="AT19" i="59"/>
  <c r="Z19" i="59"/>
  <c r="T19" i="59"/>
  <c r="AP19" i="59"/>
  <c r="AQ19" i="59"/>
  <c r="Y16" i="59"/>
  <c r="Y17" i="59" s="1"/>
  <c r="E12" i="116"/>
  <c r="AG19" i="59"/>
  <c r="Q19" i="59"/>
  <c r="X19" i="59"/>
  <c r="AI19" i="59"/>
  <c r="AU19" i="59"/>
  <c r="AH19" i="59"/>
  <c r="W19" i="59"/>
  <c r="AR19" i="59"/>
  <c r="AS19" i="59"/>
  <c r="AC19" i="59"/>
  <c r="AV19" i="59"/>
  <c r="P19" i="59"/>
  <c r="S19" i="59"/>
  <c r="AE19" i="59"/>
  <c r="AM19" i="59"/>
  <c r="AL19" i="59"/>
  <c r="Q22" i="132"/>
  <c r="R28" i="132"/>
  <c r="M28" i="132"/>
  <c r="X26" i="132"/>
  <c r="X27" i="132"/>
  <c r="Y28" i="132"/>
  <c r="R26" i="132"/>
  <c r="R27" i="132"/>
  <c r="M26" i="132"/>
  <c r="M27" i="132"/>
  <c r="J48" i="131"/>
  <c r="AW20" i="59"/>
  <c r="AR39" i="119" s="1"/>
  <c r="AT20" i="59"/>
  <c r="AO39" i="119" s="1"/>
  <c r="R17" i="132"/>
  <c r="U26" i="122" s="1"/>
  <c r="U55" i="122" s="1"/>
  <c r="R11" i="132"/>
  <c r="U15" i="122" s="1"/>
  <c r="U49" i="122" s="1"/>
  <c r="R12" i="132"/>
  <c r="U16" i="122" s="1"/>
  <c r="U50" i="122" s="1"/>
  <c r="R14" i="132"/>
  <c r="U18" i="122" s="1"/>
  <c r="U52" i="122" s="1"/>
  <c r="R18" i="132"/>
  <c r="U27" i="122" s="1"/>
  <c r="U56" i="122" s="1"/>
  <c r="R16" i="132"/>
  <c r="U25" i="122" s="1"/>
  <c r="U54" i="122" s="1"/>
  <c r="R13" i="132"/>
  <c r="U17" i="122" s="1"/>
  <c r="U51" i="122" s="1"/>
  <c r="M18" i="132"/>
  <c r="P27" i="122" s="1"/>
  <c r="P56" i="122" s="1"/>
  <c r="M16" i="132"/>
  <c r="P25" i="122" s="1"/>
  <c r="P54" i="122" s="1"/>
  <c r="M14" i="132"/>
  <c r="P18" i="122" s="1"/>
  <c r="P52" i="122" s="1"/>
  <c r="M13" i="132"/>
  <c r="P17" i="122" s="1"/>
  <c r="P51" i="122" s="1"/>
  <c r="R15" i="132"/>
  <c r="U24" i="122" s="1"/>
  <c r="U53" i="122" s="1"/>
  <c r="R9" i="132"/>
  <c r="U13" i="122" s="1"/>
  <c r="U47" i="122" s="1"/>
  <c r="R10" i="132"/>
  <c r="U14" i="122" s="1"/>
  <c r="U48" i="122" s="1"/>
  <c r="R8" i="132"/>
  <c r="U12" i="122" s="1"/>
  <c r="X18" i="132"/>
  <c r="AA27" i="122" s="1"/>
  <c r="AA56" i="122" s="1"/>
  <c r="X13" i="132"/>
  <c r="AA17" i="122" s="1"/>
  <c r="AA51" i="122" s="1"/>
  <c r="X16" i="132"/>
  <c r="AA25" i="122" s="1"/>
  <c r="AA54" i="122" s="1"/>
  <c r="X14" i="132"/>
  <c r="AA18" i="122" s="1"/>
  <c r="AA52" i="122" s="1"/>
  <c r="H17" i="132"/>
  <c r="K26" i="122" s="1"/>
  <c r="K55" i="122" s="1"/>
  <c r="H11" i="132"/>
  <c r="K15" i="122" s="1"/>
  <c r="K49" i="122" s="1"/>
  <c r="H15" i="132"/>
  <c r="K24" i="122" s="1"/>
  <c r="K53" i="122" s="1"/>
  <c r="H9" i="132"/>
  <c r="K13" i="122" s="1"/>
  <c r="K47" i="122" s="1"/>
  <c r="H8" i="132"/>
  <c r="K12" i="122" s="1"/>
  <c r="H10" i="132"/>
  <c r="K14" i="122" s="1"/>
  <c r="K48" i="122" s="1"/>
  <c r="AL20" i="59"/>
  <c r="AG39" i="119" s="1"/>
  <c r="Y52" i="20"/>
  <c r="AE52" i="20"/>
  <c r="V20" i="59"/>
  <c r="Q39" i="119" s="1"/>
  <c r="AH20" i="59"/>
  <c r="AC39" i="119" s="1"/>
  <c r="AD52" i="20"/>
  <c r="R20" i="59"/>
  <c r="M39" i="119" s="1"/>
  <c r="AF79" i="131"/>
  <c r="K79" i="131"/>
  <c r="S79" i="131"/>
  <c r="AA79" i="131"/>
  <c r="AI79" i="131"/>
  <c r="AQ79" i="131"/>
  <c r="AX20" i="59"/>
  <c r="AS39" i="119" s="1"/>
  <c r="N79" i="131"/>
  <c r="AB79" i="131"/>
  <c r="AF56" i="82"/>
  <c r="AP20" i="59"/>
  <c r="AK39" i="119" s="1"/>
  <c r="O321" i="119"/>
  <c r="AN79" i="131"/>
  <c r="AH79" i="131"/>
  <c r="AJ79" i="131"/>
  <c r="M79" i="131"/>
  <c r="U79" i="131"/>
  <c r="AC79" i="131"/>
  <c r="AK79" i="131"/>
  <c r="AD20" i="59"/>
  <c r="Y39" i="119" s="1"/>
  <c r="AK13" i="59"/>
  <c r="AF37" i="119" s="1"/>
  <c r="Y59" i="52"/>
  <c r="AD81" i="131"/>
  <c r="U59" i="52"/>
  <c r="Z81" i="131"/>
  <c r="K59" i="52"/>
  <c r="P81" i="131"/>
  <c r="AA59" i="52"/>
  <c r="AF81" i="131"/>
  <c r="F59" i="52"/>
  <c r="K81" i="131"/>
  <c r="N59" i="52"/>
  <c r="S81" i="131"/>
  <c r="V59" i="52"/>
  <c r="AA81" i="131"/>
  <c r="AD59" i="52"/>
  <c r="AI81" i="131"/>
  <c r="AL59" i="52"/>
  <c r="AQ81" i="131"/>
  <c r="AD61" i="120"/>
  <c r="AD60" i="131"/>
  <c r="Z61" i="120"/>
  <c r="Z60" i="131"/>
  <c r="P61" i="120"/>
  <c r="P60" i="131"/>
  <c r="AF61" i="120"/>
  <c r="AF60" i="131"/>
  <c r="K61" i="120"/>
  <c r="K60" i="131"/>
  <c r="S61" i="120"/>
  <c r="S60" i="131"/>
  <c r="AA61" i="120"/>
  <c r="AA60" i="131"/>
  <c r="AI61" i="120"/>
  <c r="AI60" i="131"/>
  <c r="AQ61" i="120"/>
  <c r="AQ60" i="131"/>
  <c r="V57" i="120"/>
  <c r="V56" i="131"/>
  <c r="K57" i="120"/>
  <c r="K56" i="131"/>
  <c r="S57" i="120"/>
  <c r="S56" i="131"/>
  <c r="AA57" i="120"/>
  <c r="AA56" i="131"/>
  <c r="AI57" i="120"/>
  <c r="AI56" i="131"/>
  <c r="AQ57" i="120"/>
  <c r="AQ56" i="131"/>
  <c r="AI60" i="120"/>
  <c r="AI59" i="131"/>
  <c r="AE60" i="120"/>
  <c r="AE59" i="131"/>
  <c r="U60" i="120"/>
  <c r="U59" i="131"/>
  <c r="AK60" i="120"/>
  <c r="AK59" i="131"/>
  <c r="L60" i="120"/>
  <c r="L59" i="131"/>
  <c r="T60" i="120"/>
  <c r="T59" i="131"/>
  <c r="AB60" i="120"/>
  <c r="AB59" i="131"/>
  <c r="AJ60" i="120"/>
  <c r="AJ59" i="131"/>
  <c r="AR60" i="120"/>
  <c r="AR59" i="131"/>
  <c r="AC58" i="120"/>
  <c r="AC57" i="131"/>
  <c r="Y58" i="120"/>
  <c r="Y57" i="131"/>
  <c r="O58" i="120"/>
  <c r="O57" i="131"/>
  <c r="AE58" i="120"/>
  <c r="AE57" i="131"/>
  <c r="J58" i="120"/>
  <c r="J57" i="131"/>
  <c r="R58" i="120"/>
  <c r="R57" i="131"/>
  <c r="Z58" i="120"/>
  <c r="Z57" i="131"/>
  <c r="AH58" i="120"/>
  <c r="AH57" i="131"/>
  <c r="AP58" i="120"/>
  <c r="AP57" i="131"/>
  <c r="K41" i="52"/>
  <c r="P78" i="131"/>
  <c r="G41" i="52"/>
  <c r="L78" i="131"/>
  <c r="AM41" i="52"/>
  <c r="AR78" i="131"/>
  <c r="Q41" i="52"/>
  <c r="V78" i="131"/>
  <c r="AG41" i="52"/>
  <c r="AL78" i="131"/>
  <c r="J41" i="52"/>
  <c r="O78" i="131"/>
  <c r="R41" i="52"/>
  <c r="W78" i="131"/>
  <c r="Z41" i="52"/>
  <c r="AE78" i="131"/>
  <c r="AH41" i="52"/>
  <c r="AM78" i="131"/>
  <c r="L76" i="131"/>
  <c r="AR76" i="131"/>
  <c r="AN76" i="131"/>
  <c r="V76" i="131"/>
  <c r="AL76" i="131"/>
  <c r="O76" i="131"/>
  <c r="W76" i="131"/>
  <c r="AE76" i="131"/>
  <c r="AM76" i="131"/>
  <c r="P59" i="120"/>
  <c r="P58" i="131"/>
  <c r="L59" i="120"/>
  <c r="L58" i="131"/>
  <c r="AR59" i="120"/>
  <c r="AR58" i="131"/>
  <c r="V59" i="120"/>
  <c r="V58" i="131"/>
  <c r="AL59" i="120"/>
  <c r="AL58" i="131"/>
  <c r="O59" i="120"/>
  <c r="O58" i="131"/>
  <c r="W59" i="120"/>
  <c r="W58" i="131"/>
  <c r="AE59" i="120"/>
  <c r="AE58" i="131"/>
  <c r="AM59" i="120"/>
  <c r="AM58" i="131"/>
  <c r="O77" i="131"/>
  <c r="K77" i="131"/>
  <c r="AQ77" i="131"/>
  <c r="Y77" i="131"/>
  <c r="AO77" i="131"/>
  <c r="N77" i="131"/>
  <c r="V77" i="131"/>
  <c r="AD77" i="131"/>
  <c r="AL77" i="131"/>
  <c r="O56" i="120"/>
  <c r="O55" i="131"/>
  <c r="AQ56" i="120"/>
  <c r="AQ55" i="131"/>
  <c r="V56" i="120"/>
  <c r="V55" i="131"/>
  <c r="AK80" i="131"/>
  <c r="AG80" i="131"/>
  <c r="S80" i="131"/>
  <c r="AI80" i="131"/>
  <c r="L80" i="131"/>
  <c r="T80" i="131"/>
  <c r="AB80" i="131"/>
  <c r="AJ80" i="131"/>
  <c r="AR80" i="131"/>
  <c r="AX19" i="59"/>
  <c r="AM13" i="59"/>
  <c r="AH37" i="119" s="1"/>
  <c r="S20" i="59"/>
  <c r="N39" i="119" s="1"/>
  <c r="AI20" i="59"/>
  <c r="AD39" i="119" s="1"/>
  <c r="W13" i="59"/>
  <c r="AV13" i="59"/>
  <c r="AQ37" i="119" s="1"/>
  <c r="AB20" i="59"/>
  <c r="W39" i="119" s="1"/>
  <c r="AR20" i="59"/>
  <c r="AM39" i="119" s="1"/>
  <c r="T13" i="59"/>
  <c r="O37" i="119" s="1"/>
  <c r="Y13" i="59"/>
  <c r="T37" i="119" s="1"/>
  <c r="AO13" i="59"/>
  <c r="AJ37" i="119" s="1"/>
  <c r="U20" i="59"/>
  <c r="P39" i="119" s="1"/>
  <c r="AK20" i="59"/>
  <c r="AF39" i="119" s="1"/>
  <c r="AA13" i="59"/>
  <c r="V37" i="119" s="1"/>
  <c r="V13" i="59"/>
  <c r="Q37" i="119" s="1"/>
  <c r="AL13" i="59"/>
  <c r="AG37" i="119" s="1"/>
  <c r="AG59" i="52"/>
  <c r="AL81" i="131"/>
  <c r="AC59" i="52"/>
  <c r="AH81" i="131"/>
  <c r="O59" i="52"/>
  <c r="T81" i="131"/>
  <c r="AE59" i="52"/>
  <c r="AJ81" i="131"/>
  <c r="H59" i="52"/>
  <c r="M81" i="131"/>
  <c r="P59" i="52"/>
  <c r="U81" i="131"/>
  <c r="X59" i="52"/>
  <c r="AC81" i="131"/>
  <c r="AF59" i="52"/>
  <c r="AK81" i="131"/>
  <c r="AL61" i="120"/>
  <c r="AL60" i="131"/>
  <c r="AH61" i="120"/>
  <c r="AH60" i="131"/>
  <c r="T61" i="120"/>
  <c r="T60" i="131"/>
  <c r="AJ61" i="120"/>
  <c r="AJ60" i="131"/>
  <c r="M61" i="120"/>
  <c r="M60" i="131"/>
  <c r="U61" i="120"/>
  <c r="U60" i="131"/>
  <c r="AC61" i="120"/>
  <c r="AC60" i="131"/>
  <c r="AK61" i="120"/>
  <c r="AK60" i="131"/>
  <c r="AS61" i="120"/>
  <c r="AH57" i="120"/>
  <c r="AH56" i="131"/>
  <c r="AJ57" i="120"/>
  <c r="AJ56" i="131"/>
  <c r="M57" i="120"/>
  <c r="M56" i="131"/>
  <c r="U57" i="120"/>
  <c r="U56" i="131"/>
  <c r="AC57" i="120"/>
  <c r="AC56" i="131"/>
  <c r="AK57" i="120"/>
  <c r="AK56" i="131"/>
  <c r="AS57" i="120"/>
  <c r="K60" i="120"/>
  <c r="K59" i="131"/>
  <c r="AQ60" i="120"/>
  <c r="AQ59" i="131"/>
  <c r="AM60" i="120"/>
  <c r="AM59" i="131"/>
  <c r="Y60" i="120"/>
  <c r="Y59" i="131"/>
  <c r="AO60" i="120"/>
  <c r="AO59" i="131"/>
  <c r="N60" i="120"/>
  <c r="N59" i="131"/>
  <c r="V60" i="120"/>
  <c r="V59" i="131"/>
  <c r="AD60" i="120"/>
  <c r="AD59" i="131"/>
  <c r="AL60" i="120"/>
  <c r="AL59" i="131"/>
  <c r="AK58" i="120"/>
  <c r="AK57" i="131"/>
  <c r="AG58" i="120"/>
  <c r="AG57" i="131"/>
  <c r="S58" i="120"/>
  <c r="S57" i="131"/>
  <c r="AI58" i="120"/>
  <c r="AI57" i="131"/>
  <c r="L58" i="120"/>
  <c r="L57" i="131"/>
  <c r="T58" i="120"/>
  <c r="T57" i="131"/>
  <c r="AB58" i="120"/>
  <c r="AB57" i="131"/>
  <c r="AJ58" i="120"/>
  <c r="AJ57" i="131"/>
  <c r="AR58" i="120"/>
  <c r="AR57" i="131"/>
  <c r="J68" i="131"/>
  <c r="S41" i="52"/>
  <c r="X78" i="131"/>
  <c r="O41" i="52"/>
  <c r="T78" i="131"/>
  <c r="U41" i="52"/>
  <c r="Z78" i="131"/>
  <c r="AK41" i="52"/>
  <c r="AP78" i="131"/>
  <c r="L41" i="52"/>
  <c r="Q78" i="131"/>
  <c r="T41" i="52"/>
  <c r="Y78" i="131"/>
  <c r="AB41" i="52"/>
  <c r="AG78" i="131"/>
  <c r="AJ41" i="52"/>
  <c r="AO78" i="131"/>
  <c r="T76" i="131"/>
  <c r="P76" i="131"/>
  <c r="Z76" i="131"/>
  <c r="AP76" i="131"/>
  <c r="Q76" i="131"/>
  <c r="Y76" i="131"/>
  <c r="AG76" i="131"/>
  <c r="AO76" i="131"/>
  <c r="X59" i="120"/>
  <c r="X58" i="131"/>
  <c r="T59" i="120"/>
  <c r="T58" i="131"/>
  <c r="J59" i="120"/>
  <c r="J58" i="131"/>
  <c r="Z59" i="120"/>
  <c r="Z58" i="131"/>
  <c r="AP59" i="120"/>
  <c r="AP58" i="131"/>
  <c r="Q59" i="120"/>
  <c r="Q58" i="131"/>
  <c r="Y59" i="120"/>
  <c r="Y58" i="131"/>
  <c r="AG59" i="120"/>
  <c r="AG58" i="131"/>
  <c r="AO59" i="120"/>
  <c r="AO58" i="131"/>
  <c r="W77" i="131"/>
  <c r="S77" i="131"/>
  <c r="M77" i="131"/>
  <c r="AC77" i="131"/>
  <c r="P77" i="131"/>
  <c r="X77" i="131"/>
  <c r="AF77" i="131"/>
  <c r="AN77" i="131"/>
  <c r="S56" i="120"/>
  <c r="S55" i="131"/>
  <c r="M56" i="120"/>
  <c r="M55" i="131"/>
  <c r="AS56" i="120"/>
  <c r="AN56" i="120"/>
  <c r="AN55" i="131"/>
  <c r="M80" i="131"/>
  <c r="AO80" i="131"/>
  <c r="W80" i="131"/>
  <c r="AM80" i="131"/>
  <c r="N80" i="131"/>
  <c r="V80" i="131"/>
  <c r="AD80" i="131"/>
  <c r="AL80" i="131"/>
  <c r="Y19" i="59"/>
  <c r="O13" i="59"/>
  <c r="J37" i="119" s="1"/>
  <c r="AQ13" i="59"/>
  <c r="AL37" i="119" s="1"/>
  <c r="W20" i="59"/>
  <c r="R39" i="119" s="1"/>
  <c r="AM20" i="59"/>
  <c r="AH39" i="119" s="1"/>
  <c r="AB13" i="59"/>
  <c r="P20" i="59"/>
  <c r="K39" i="119" s="1"/>
  <c r="AF20" i="59"/>
  <c r="AA39" i="119" s="1"/>
  <c r="AV20" i="59"/>
  <c r="AQ39" i="119" s="1"/>
  <c r="AF13" i="59"/>
  <c r="AA37" i="119" s="1"/>
  <c r="AC13" i="59"/>
  <c r="X37" i="119" s="1"/>
  <c r="AS13" i="59"/>
  <c r="Y20" i="59"/>
  <c r="T39" i="119" s="1"/>
  <c r="AO20" i="59"/>
  <c r="AJ39" i="119" s="1"/>
  <c r="X13" i="59"/>
  <c r="S37" i="119" s="1"/>
  <c r="Z13" i="59"/>
  <c r="U37" i="119" s="1"/>
  <c r="AP13" i="59"/>
  <c r="AK37" i="119" s="1"/>
  <c r="I59" i="52"/>
  <c r="N81" i="131"/>
  <c r="E59" i="52"/>
  <c r="AK59" i="52"/>
  <c r="AP81" i="131"/>
  <c r="S59" i="52"/>
  <c r="X81" i="131"/>
  <c r="AI59" i="52"/>
  <c r="AN81" i="131"/>
  <c r="J59" i="52"/>
  <c r="O81" i="131"/>
  <c r="R59" i="52"/>
  <c r="W81" i="131"/>
  <c r="Z59" i="52"/>
  <c r="AE81" i="131"/>
  <c r="AH59" i="52"/>
  <c r="AM81" i="131"/>
  <c r="N61" i="120"/>
  <c r="N60" i="131"/>
  <c r="J61" i="120"/>
  <c r="J60" i="131"/>
  <c r="AP61" i="120"/>
  <c r="AP60" i="131"/>
  <c r="X61" i="120"/>
  <c r="X60" i="131"/>
  <c r="AN61" i="120"/>
  <c r="AN60" i="131"/>
  <c r="O61" i="120"/>
  <c r="O60" i="131"/>
  <c r="W61" i="120"/>
  <c r="W60" i="131"/>
  <c r="AE61" i="120"/>
  <c r="AE60" i="131"/>
  <c r="AM61" i="120"/>
  <c r="AM60" i="131"/>
  <c r="J57" i="120"/>
  <c r="J56" i="131"/>
  <c r="AP57" i="120"/>
  <c r="AP56" i="131"/>
  <c r="AL57" i="120"/>
  <c r="AL56" i="131"/>
  <c r="AN57" i="120"/>
  <c r="AN56" i="131"/>
  <c r="O57" i="120"/>
  <c r="O56" i="131"/>
  <c r="W57" i="120"/>
  <c r="W56" i="131"/>
  <c r="AE57" i="120"/>
  <c r="AE56" i="131"/>
  <c r="AM57" i="120"/>
  <c r="AM56" i="131"/>
  <c r="S60" i="120"/>
  <c r="S59" i="131"/>
  <c r="O60" i="120"/>
  <c r="O59" i="131"/>
  <c r="M60" i="120"/>
  <c r="M59" i="131"/>
  <c r="AC60" i="120"/>
  <c r="AC59" i="131"/>
  <c r="AS60" i="120"/>
  <c r="P60" i="120"/>
  <c r="P59" i="131"/>
  <c r="X60" i="120"/>
  <c r="X59" i="131"/>
  <c r="AF60" i="120"/>
  <c r="AF59" i="131"/>
  <c r="AN60" i="120"/>
  <c r="AN59" i="131"/>
  <c r="M58" i="120"/>
  <c r="M57" i="131"/>
  <c r="AS58" i="120"/>
  <c r="AO58" i="120"/>
  <c r="AO57" i="131"/>
  <c r="W58" i="120"/>
  <c r="W57" i="131"/>
  <c r="AM58" i="120"/>
  <c r="AM57" i="131"/>
  <c r="N58" i="120"/>
  <c r="N57" i="131"/>
  <c r="V58" i="120"/>
  <c r="V57" i="131"/>
  <c r="AD58" i="120"/>
  <c r="AD57" i="131"/>
  <c r="AL58" i="120"/>
  <c r="AL57" i="131"/>
  <c r="AA41" i="52"/>
  <c r="AF78" i="131"/>
  <c r="W41" i="52"/>
  <c r="AB78" i="131"/>
  <c r="I41" i="52"/>
  <c r="N78" i="131"/>
  <c r="Y41" i="52"/>
  <c r="AD78" i="131"/>
  <c r="F41" i="52"/>
  <c r="K78" i="131"/>
  <c r="N41" i="52"/>
  <c r="S78" i="131"/>
  <c r="V41" i="52"/>
  <c r="AA78" i="131"/>
  <c r="AD41" i="52"/>
  <c r="AI78" i="131"/>
  <c r="AL41" i="52"/>
  <c r="AQ78" i="131"/>
  <c r="AB76" i="131"/>
  <c r="X76" i="131"/>
  <c r="N76" i="131"/>
  <c r="AD76" i="131"/>
  <c r="S76" i="131"/>
  <c r="AA76" i="131"/>
  <c r="AI76" i="131"/>
  <c r="AQ76" i="131"/>
  <c r="AF59" i="120"/>
  <c r="AF58" i="131"/>
  <c r="AB59" i="120"/>
  <c r="AB58" i="131"/>
  <c r="N59" i="120"/>
  <c r="N58" i="131"/>
  <c r="AD59" i="120"/>
  <c r="AD58" i="131"/>
  <c r="K59" i="120"/>
  <c r="K58" i="131"/>
  <c r="S59" i="120"/>
  <c r="S58" i="131"/>
  <c r="AA59" i="120"/>
  <c r="AA58" i="131"/>
  <c r="AI59" i="120"/>
  <c r="AI58" i="131"/>
  <c r="AQ59" i="120"/>
  <c r="AQ58" i="131"/>
  <c r="AE77" i="131"/>
  <c r="AA77" i="131"/>
  <c r="Q77" i="131"/>
  <c r="AG77" i="131"/>
  <c r="R77" i="131"/>
  <c r="Z77" i="131"/>
  <c r="AH77" i="131"/>
  <c r="AP77" i="131"/>
  <c r="Q56" i="120"/>
  <c r="Q55" i="131"/>
  <c r="J56" i="120"/>
  <c r="J55" i="131"/>
  <c r="Z56" i="120"/>
  <c r="Z55" i="131"/>
  <c r="U80" i="131"/>
  <c r="Q80" i="131"/>
  <c r="K80" i="131"/>
  <c r="AA80" i="131"/>
  <c r="AQ80" i="131"/>
  <c r="P80" i="131"/>
  <c r="X80" i="131"/>
  <c r="AF80" i="131"/>
  <c r="AN80" i="131"/>
  <c r="AE13" i="59"/>
  <c r="Z37" i="119" s="1"/>
  <c r="AU13" i="59"/>
  <c r="AP37" i="119" s="1"/>
  <c r="AA20" i="59"/>
  <c r="V39" i="119" s="1"/>
  <c r="AQ20" i="59"/>
  <c r="AL39" i="119" s="1"/>
  <c r="AN13" i="59"/>
  <c r="AI37" i="119" s="1"/>
  <c r="T20" i="59"/>
  <c r="O39" i="119" s="1"/>
  <c r="AJ20" i="59"/>
  <c r="AE39" i="119" s="1"/>
  <c r="S13" i="59"/>
  <c r="N37" i="119" s="1"/>
  <c r="Q13" i="59"/>
  <c r="L37" i="119" s="1"/>
  <c r="AG13" i="59"/>
  <c r="AB37" i="119" s="1"/>
  <c r="AW13" i="59"/>
  <c r="AR37" i="119" s="1"/>
  <c r="AC20" i="59"/>
  <c r="X39" i="119" s="1"/>
  <c r="AS20" i="59"/>
  <c r="AN39" i="119" s="1"/>
  <c r="AJ13" i="59"/>
  <c r="AE37" i="119" s="1"/>
  <c r="AD13" i="59"/>
  <c r="Y37" i="119" s="1"/>
  <c r="AT13" i="59"/>
  <c r="Q59" i="52"/>
  <c r="V81" i="131"/>
  <c r="M59" i="52"/>
  <c r="R81" i="131"/>
  <c r="G59" i="52"/>
  <c r="L81" i="131"/>
  <c r="W59" i="52"/>
  <c r="AB81" i="131"/>
  <c r="AM59" i="52"/>
  <c r="AR81" i="131"/>
  <c r="L59" i="52"/>
  <c r="Q81" i="131"/>
  <c r="T59" i="52"/>
  <c r="Y81" i="131"/>
  <c r="AB59" i="52"/>
  <c r="AG81" i="131"/>
  <c r="AJ59" i="52"/>
  <c r="AO81" i="131"/>
  <c r="V61" i="120"/>
  <c r="V60" i="131"/>
  <c r="R61" i="120"/>
  <c r="R60" i="131"/>
  <c r="L61" i="120"/>
  <c r="L60" i="131"/>
  <c r="AB61" i="120"/>
  <c r="AB60" i="131"/>
  <c r="AR61" i="120"/>
  <c r="AR60" i="131"/>
  <c r="Q61" i="120"/>
  <c r="Q60" i="131"/>
  <c r="Y61" i="120"/>
  <c r="Y60" i="131"/>
  <c r="AG61" i="120"/>
  <c r="AG60" i="131"/>
  <c r="AO61" i="120"/>
  <c r="AO60" i="131"/>
  <c r="L57" i="120"/>
  <c r="L56" i="131"/>
  <c r="AR57" i="120"/>
  <c r="AR56" i="131"/>
  <c r="AA60" i="120"/>
  <c r="AA59" i="131"/>
  <c r="W60" i="120"/>
  <c r="W59" i="131"/>
  <c r="Q60" i="120"/>
  <c r="Q59" i="131"/>
  <c r="AG60" i="120"/>
  <c r="AG59" i="131"/>
  <c r="J60" i="120"/>
  <c r="J59" i="131"/>
  <c r="R60" i="120"/>
  <c r="R59" i="131"/>
  <c r="Z60" i="120"/>
  <c r="Z59" i="131"/>
  <c r="AH60" i="120"/>
  <c r="AH59" i="131"/>
  <c r="AP60" i="120"/>
  <c r="AP59" i="131"/>
  <c r="U58" i="120"/>
  <c r="U57" i="131"/>
  <c r="Q58" i="120"/>
  <c r="Q57" i="131"/>
  <c r="K58" i="120"/>
  <c r="K57" i="131"/>
  <c r="AA58" i="120"/>
  <c r="AA57" i="131"/>
  <c r="AQ58" i="120"/>
  <c r="AQ57" i="131"/>
  <c r="P58" i="120"/>
  <c r="P57" i="131"/>
  <c r="X58" i="120"/>
  <c r="X57" i="131"/>
  <c r="AF58" i="120"/>
  <c r="AF57" i="131"/>
  <c r="AN58" i="120"/>
  <c r="AN57" i="131"/>
  <c r="AI41" i="52"/>
  <c r="AN78" i="131"/>
  <c r="AE41" i="52"/>
  <c r="AJ78" i="131"/>
  <c r="M41" i="52"/>
  <c r="R78" i="131"/>
  <c r="AC41" i="52"/>
  <c r="AH78" i="131"/>
  <c r="H41" i="52"/>
  <c r="M78" i="131"/>
  <c r="P41" i="52"/>
  <c r="U78" i="131"/>
  <c r="X41" i="52"/>
  <c r="AC78" i="131"/>
  <c r="AF41" i="52"/>
  <c r="AK78" i="131"/>
  <c r="AJ76" i="131"/>
  <c r="AF76" i="131"/>
  <c r="R76" i="131"/>
  <c r="AH76" i="131"/>
  <c r="M76" i="131"/>
  <c r="U76" i="131"/>
  <c r="AC76" i="131"/>
  <c r="AK76" i="131"/>
  <c r="AN59" i="120"/>
  <c r="AN58" i="131"/>
  <c r="AJ59" i="120"/>
  <c r="AJ58" i="131"/>
  <c r="R59" i="120"/>
  <c r="R58" i="131"/>
  <c r="AH59" i="120"/>
  <c r="AH58" i="131"/>
  <c r="M59" i="120"/>
  <c r="M58" i="131"/>
  <c r="U59" i="120"/>
  <c r="U58" i="131"/>
  <c r="AC59" i="120"/>
  <c r="AC58" i="131"/>
  <c r="AK59" i="120"/>
  <c r="AK58" i="131"/>
  <c r="AS59" i="120"/>
  <c r="AM77" i="131"/>
  <c r="AI77" i="131"/>
  <c r="U77" i="131"/>
  <c r="AK77" i="131"/>
  <c r="L77" i="131"/>
  <c r="T77" i="131"/>
  <c r="AB77" i="131"/>
  <c r="AJ77" i="131"/>
  <c r="AR77" i="131"/>
  <c r="L56" i="120"/>
  <c r="L55" i="131"/>
  <c r="AB56" i="120"/>
  <c r="AB55" i="131"/>
  <c r="AJ56" i="120"/>
  <c r="AJ55" i="131"/>
  <c r="AC80" i="131"/>
  <c r="Y80" i="131"/>
  <c r="O80" i="131"/>
  <c r="AE80" i="131"/>
  <c r="R80" i="131"/>
  <c r="Z80" i="131"/>
  <c r="AH80" i="131"/>
  <c r="AP80" i="131"/>
  <c r="AI13" i="59"/>
  <c r="AE20" i="59"/>
  <c r="Z39" i="119" s="1"/>
  <c r="AU20" i="59"/>
  <c r="AP39" i="119" s="1"/>
  <c r="AR13" i="59"/>
  <c r="AM37" i="119" s="1"/>
  <c r="X20" i="59"/>
  <c r="S39" i="119" s="1"/>
  <c r="AN20" i="59"/>
  <c r="AI39" i="119" s="1"/>
  <c r="P13" i="59"/>
  <c r="K37" i="119" s="1"/>
  <c r="U13" i="59"/>
  <c r="P37" i="119" s="1"/>
  <c r="Q20" i="59"/>
  <c r="L39" i="119" s="1"/>
  <c r="AG20" i="59"/>
  <c r="AB39" i="119" s="1"/>
  <c r="R13" i="59"/>
  <c r="AH13" i="59"/>
  <c r="AF45" i="20"/>
  <c r="Z41" i="20"/>
  <c r="Z48" i="20"/>
  <c r="U24" i="119"/>
  <c r="Q23" i="138" s="1"/>
  <c r="Z45" i="20"/>
  <c r="AF41" i="20"/>
  <c r="Z37" i="20"/>
  <c r="Z42" i="20"/>
  <c r="AF38" i="20"/>
  <c r="AF51" i="20"/>
  <c r="Z38" i="20"/>
  <c r="AF37" i="20"/>
  <c r="AF42" i="20"/>
  <c r="AF54" i="20"/>
  <c r="Z24" i="119"/>
  <c r="V23" i="138" s="1"/>
  <c r="Z51" i="20"/>
  <c r="Z54" i="20"/>
  <c r="U45" i="20"/>
  <c r="U51" i="20"/>
  <c r="U54" i="20"/>
  <c r="U42" i="20"/>
  <c r="U38" i="20"/>
  <c r="U41" i="20"/>
  <c r="U37" i="20"/>
  <c r="U48" i="20"/>
  <c r="P329" i="119"/>
  <c r="AF48" i="20"/>
  <c r="AJ19" i="99"/>
  <c r="AJ36" i="99"/>
  <c r="AJ96" i="99"/>
  <c r="X111" i="99"/>
  <c r="X112" i="99"/>
  <c r="X207" i="99"/>
  <c r="X230" i="99"/>
  <c r="X234" i="99"/>
  <c r="AJ17" i="99"/>
  <c r="AJ16" i="99"/>
  <c r="X217" i="99"/>
  <c r="AJ185" i="99"/>
  <c r="AE247" i="99"/>
  <c r="AD82" i="99"/>
  <c r="AD83" i="99" s="1"/>
  <c r="V47" i="110" s="1"/>
  <c r="V48" i="110" s="1"/>
  <c r="Q24" i="119" s="1"/>
  <c r="M23" i="138" s="1"/>
  <c r="X92" i="99"/>
  <c r="X96" i="99"/>
  <c r="X100" i="99"/>
  <c r="X104" i="99"/>
  <c r="X108" i="99"/>
  <c r="AE132" i="99"/>
  <c r="X183" i="99"/>
  <c r="X228" i="99"/>
  <c r="X274" i="99"/>
  <c r="AJ39" i="99"/>
  <c r="AJ18" i="99"/>
  <c r="X231" i="99"/>
  <c r="X192" i="99"/>
  <c r="AJ50" i="99"/>
  <c r="AJ49" i="99"/>
  <c r="X115" i="99"/>
  <c r="X174" i="99"/>
  <c r="AE49" i="99"/>
  <c r="AE47" i="99"/>
  <c r="Y272" i="99"/>
  <c r="M277" i="99"/>
  <c r="AJ11" i="99"/>
  <c r="AE138" i="99"/>
  <c r="AJ115" i="99"/>
  <c r="X211" i="99"/>
  <c r="X232" i="99"/>
  <c r="X226" i="99"/>
  <c r="AJ94" i="99"/>
  <c r="X113" i="99"/>
  <c r="X187" i="99"/>
  <c r="AJ20" i="99"/>
  <c r="AE195" i="99"/>
  <c r="AJ40" i="99"/>
  <c r="AJ10" i="99"/>
  <c r="X214" i="99"/>
  <c r="AE267" i="99"/>
  <c r="AJ24" i="99"/>
  <c r="AJ27" i="99"/>
  <c r="AJ34" i="99"/>
  <c r="AE17" i="99"/>
  <c r="AJ14" i="99"/>
  <c r="AJ29" i="99"/>
  <c r="H37" i="99"/>
  <c r="Y37" i="99"/>
  <c r="H69" i="99"/>
  <c r="AE16" i="99"/>
  <c r="N16" i="99"/>
  <c r="AE52" i="99"/>
  <c r="N52" i="99"/>
  <c r="N91" i="99"/>
  <c r="AE91" i="99"/>
  <c r="N99" i="99"/>
  <c r="AE99" i="99"/>
  <c r="H111" i="99"/>
  <c r="Y135" i="99"/>
  <c r="H135" i="99"/>
  <c r="H176" i="99"/>
  <c r="Y20" i="99"/>
  <c r="H20" i="99"/>
  <c r="AE10" i="99"/>
  <c r="N10" i="99"/>
  <c r="AE36" i="99"/>
  <c r="N36" i="99"/>
  <c r="H127" i="99"/>
  <c r="AE126" i="99"/>
  <c r="N126" i="99"/>
  <c r="AE142" i="99"/>
  <c r="AE146" i="99"/>
  <c r="AE90" i="99"/>
  <c r="H190" i="99"/>
  <c r="AE57" i="99"/>
  <c r="AE21" i="99"/>
  <c r="Y38" i="99"/>
  <c r="H38" i="99"/>
  <c r="H49" i="99"/>
  <c r="AE55" i="99"/>
  <c r="AE19" i="99"/>
  <c r="Y28" i="99"/>
  <c r="H28" i="99"/>
  <c r="I107" i="99"/>
  <c r="S68" i="99"/>
  <c r="AJ68" i="99"/>
  <c r="AI43" i="99"/>
  <c r="AI44" i="99" s="1"/>
  <c r="AA15" i="20" s="1"/>
  <c r="H61" i="99"/>
  <c r="AE179" i="99"/>
  <c r="H79" i="99"/>
  <c r="AD160" i="99"/>
  <c r="AD161" i="99" s="1"/>
  <c r="V110" i="110" s="1"/>
  <c r="H146" i="99"/>
  <c r="I173" i="99"/>
  <c r="H143" i="99"/>
  <c r="AE148" i="99"/>
  <c r="N148" i="99"/>
  <c r="AE169" i="99"/>
  <c r="N169" i="99"/>
  <c r="H178" i="99"/>
  <c r="I211" i="99"/>
  <c r="AJ189" i="99"/>
  <c r="AE266" i="99"/>
  <c r="N266" i="99"/>
  <c r="AJ264" i="99"/>
  <c r="S264" i="99"/>
  <c r="N274" i="99"/>
  <c r="I68" i="99"/>
  <c r="Y35" i="99"/>
  <c r="H35" i="99"/>
  <c r="AE94" i="99"/>
  <c r="AE157" i="99"/>
  <c r="AE34" i="99"/>
  <c r="N34" i="99"/>
  <c r="AE67" i="99"/>
  <c r="N167" i="99"/>
  <c r="AE167" i="99"/>
  <c r="AE144" i="99"/>
  <c r="N144" i="99"/>
  <c r="AJ186" i="99"/>
  <c r="AJ258" i="99"/>
  <c r="S258" i="99"/>
  <c r="H273" i="99"/>
  <c r="AE15" i="99"/>
  <c r="H56" i="99"/>
  <c r="AE39" i="99"/>
  <c r="Y64" i="99"/>
  <c r="AJ57" i="99"/>
  <c r="AJ67" i="99"/>
  <c r="N89" i="99"/>
  <c r="AE89" i="99"/>
  <c r="N93" i="99"/>
  <c r="AE93" i="99"/>
  <c r="N97" i="99"/>
  <c r="AE97" i="99"/>
  <c r="N101" i="99"/>
  <c r="AE101" i="99"/>
  <c r="N105" i="99"/>
  <c r="AE105" i="99"/>
  <c r="N109" i="99"/>
  <c r="AE109" i="99"/>
  <c r="S74" i="99"/>
  <c r="AJ74" i="99"/>
  <c r="AK143" i="99"/>
  <c r="S64" i="99"/>
  <c r="AJ64" i="99"/>
  <c r="Y67" i="99"/>
  <c r="H67" i="99"/>
  <c r="N76" i="99"/>
  <c r="AE76" i="99"/>
  <c r="S87" i="99"/>
  <c r="AJ87" i="99"/>
  <c r="S95" i="99"/>
  <c r="AJ95" i="99"/>
  <c r="S103" i="99"/>
  <c r="AJ103" i="99"/>
  <c r="M160" i="99"/>
  <c r="H152" i="99"/>
  <c r="H157" i="99"/>
  <c r="R199" i="99"/>
  <c r="Y130" i="99"/>
  <c r="H130" i="99"/>
  <c r="H136" i="99"/>
  <c r="X164" i="99"/>
  <c r="G164" i="99"/>
  <c r="Y174" i="99" s="1"/>
  <c r="X168" i="99"/>
  <c r="F199" i="99"/>
  <c r="X169" i="99"/>
  <c r="X165" i="99"/>
  <c r="X175" i="99"/>
  <c r="X173" i="99"/>
  <c r="M121" i="99"/>
  <c r="AE86" i="99"/>
  <c r="N86" i="99"/>
  <c r="AE111" i="99"/>
  <c r="AE117" i="99"/>
  <c r="I165" i="99"/>
  <c r="AJ192" i="99"/>
  <c r="Y248" i="99"/>
  <c r="H248" i="99"/>
  <c r="X166" i="99"/>
  <c r="AJ179" i="99"/>
  <c r="AJ250" i="99"/>
  <c r="S250" i="99"/>
  <c r="AJ252" i="99"/>
  <c r="AJ251" i="99"/>
  <c r="AJ263" i="99"/>
  <c r="H184" i="99"/>
  <c r="J234" i="99"/>
  <c r="X177" i="99"/>
  <c r="L217" i="99"/>
  <c r="AE246" i="99"/>
  <c r="AJ259" i="99"/>
  <c r="AJ266" i="99"/>
  <c r="S266" i="99"/>
  <c r="AJ244" i="99"/>
  <c r="AE262" i="99"/>
  <c r="N262" i="99"/>
  <c r="I76" i="99"/>
  <c r="Y10" i="99"/>
  <c r="H10" i="99"/>
  <c r="Y31" i="99"/>
  <c r="H31" i="99"/>
  <c r="Y142" i="99"/>
  <c r="H142" i="99"/>
  <c r="AE174" i="99"/>
  <c r="AJ73" i="99"/>
  <c r="H114" i="99"/>
  <c r="AE175" i="99"/>
  <c r="N175" i="99"/>
  <c r="AJ175" i="99"/>
  <c r="I58" i="99"/>
  <c r="Y12" i="99"/>
  <c r="H12" i="99"/>
  <c r="AJ51" i="99"/>
  <c r="H57" i="99"/>
  <c r="AJ53" i="99"/>
  <c r="AJ52" i="99"/>
  <c r="Y27" i="99"/>
  <c r="H27" i="99"/>
  <c r="AJ79" i="99"/>
  <c r="S93" i="99"/>
  <c r="AJ93" i="99"/>
  <c r="S101" i="99"/>
  <c r="AJ101" i="99"/>
  <c r="S109" i="99"/>
  <c r="AJ109" i="99"/>
  <c r="S66" i="99"/>
  <c r="AJ66" i="99"/>
  <c r="AE79" i="99"/>
  <c r="X182" i="99"/>
  <c r="J205" i="99"/>
  <c r="AJ113" i="99"/>
  <c r="AE252" i="99"/>
  <c r="N252" i="99"/>
  <c r="Y131" i="99"/>
  <c r="H131" i="99"/>
  <c r="H137" i="99"/>
  <c r="AJ184" i="99"/>
  <c r="H231" i="99"/>
  <c r="AE152" i="99"/>
  <c r="N152" i="99"/>
  <c r="X170" i="99"/>
  <c r="H180" i="99"/>
  <c r="AE249" i="99"/>
  <c r="AJ248" i="99"/>
  <c r="AJ267" i="99"/>
  <c r="H253" i="99"/>
  <c r="AE264" i="99"/>
  <c r="N264" i="99"/>
  <c r="H243" i="99"/>
  <c r="Y252" i="99"/>
  <c r="I103" i="99"/>
  <c r="R82" i="99"/>
  <c r="AJ90" i="99"/>
  <c r="AJ106" i="99"/>
  <c r="H134" i="99"/>
  <c r="M199" i="99"/>
  <c r="N164" i="99"/>
  <c r="AE165" i="99"/>
  <c r="AE164" i="99"/>
  <c r="AE176" i="99"/>
  <c r="AE185" i="99"/>
  <c r="AE192" i="99"/>
  <c r="AE178" i="99"/>
  <c r="AE186" i="99"/>
  <c r="AE191" i="99"/>
  <c r="AE170" i="99"/>
  <c r="AE188" i="99"/>
  <c r="AE196" i="99"/>
  <c r="AE181" i="99"/>
  <c r="AE172" i="99"/>
  <c r="AE180" i="99"/>
  <c r="AE190" i="99"/>
  <c r="AE184" i="99"/>
  <c r="AE177" i="99"/>
  <c r="AE193" i="99"/>
  <c r="AE168" i="99"/>
  <c r="AE194" i="99"/>
  <c r="AE183" i="99"/>
  <c r="AE182" i="99"/>
  <c r="AE189" i="99"/>
  <c r="N206" i="99"/>
  <c r="Y251" i="99"/>
  <c r="H251" i="99"/>
  <c r="H185" i="99"/>
  <c r="AE271" i="99"/>
  <c r="I262" i="99"/>
  <c r="H226" i="99"/>
  <c r="AJ269" i="99"/>
  <c r="I89" i="99"/>
  <c r="H51" i="99"/>
  <c r="Y52" i="99"/>
  <c r="H52" i="99"/>
  <c r="Y19" i="99"/>
  <c r="H19" i="99"/>
  <c r="Y60" i="99"/>
  <c r="H60" i="99"/>
  <c r="AE40" i="99"/>
  <c r="N40" i="99"/>
  <c r="N87" i="99"/>
  <c r="AE87" i="99"/>
  <c r="N103" i="99"/>
  <c r="AE103" i="99"/>
  <c r="H112" i="99"/>
  <c r="H232" i="99"/>
  <c r="I250" i="99"/>
  <c r="S274" i="99"/>
  <c r="Y21" i="99"/>
  <c r="H21" i="99"/>
  <c r="H203" i="99"/>
  <c r="S166" i="99"/>
  <c r="AJ166" i="99"/>
  <c r="AJ174" i="99"/>
  <c r="AJ171" i="99"/>
  <c r="AJ172" i="99"/>
  <c r="AJ173" i="99"/>
  <c r="AJ165" i="99"/>
  <c r="AJ253" i="99"/>
  <c r="AO43" i="99"/>
  <c r="AO44" i="99" s="1"/>
  <c r="AG15" i="20" s="1"/>
  <c r="AP8" i="99"/>
  <c r="Y34" i="99"/>
  <c r="H34" i="99"/>
  <c r="H48" i="99"/>
  <c r="Y13" i="99"/>
  <c r="H13" i="99"/>
  <c r="H138" i="99"/>
  <c r="H183" i="99"/>
  <c r="W199" i="99"/>
  <c r="W200" i="99" s="1"/>
  <c r="O55" i="110" s="1"/>
  <c r="O56" i="110" s="1"/>
  <c r="J28" i="119" s="1"/>
  <c r="F27" i="138" s="1"/>
  <c r="AJ262" i="99"/>
  <c r="S262" i="99"/>
  <c r="H209" i="99"/>
  <c r="AJ178" i="99"/>
  <c r="AJ245" i="99"/>
  <c r="Y247" i="99"/>
  <c r="K230" i="99"/>
  <c r="Y17" i="99"/>
  <c r="H17" i="99"/>
  <c r="AE8" i="99"/>
  <c r="N8" i="99"/>
  <c r="AP199" i="99"/>
  <c r="AP200" i="99" s="1"/>
  <c r="AH55" i="110" s="1"/>
  <c r="AH56" i="110" s="1"/>
  <c r="AC28" i="119" s="1"/>
  <c r="AQ164" i="99"/>
  <c r="H151" i="99"/>
  <c r="AE254" i="99"/>
  <c r="AE242" i="99"/>
  <c r="AJ272" i="99"/>
  <c r="S272" i="99"/>
  <c r="H59" i="99"/>
  <c r="Y59" i="99"/>
  <c r="AI82" i="99"/>
  <c r="AI83" i="99" s="1"/>
  <c r="AA47" i="110" s="1"/>
  <c r="AA48" i="110" s="1"/>
  <c r="X43" i="99"/>
  <c r="X44" i="99" s="1"/>
  <c r="P15" i="20" s="1"/>
  <c r="H71" i="99"/>
  <c r="N74" i="99"/>
  <c r="AE74" i="99"/>
  <c r="AE20" i="99"/>
  <c r="N20" i="99"/>
  <c r="H73" i="99"/>
  <c r="H63" i="99"/>
  <c r="AE71" i="99"/>
  <c r="AE88" i="99"/>
  <c r="AE96" i="99"/>
  <c r="AE104" i="99"/>
  <c r="AE141" i="99"/>
  <c r="AE133" i="99"/>
  <c r="AJ190" i="99"/>
  <c r="AJ255" i="99"/>
  <c r="N256" i="99"/>
  <c r="AE256" i="99"/>
  <c r="I224" i="99"/>
  <c r="I252" i="99"/>
  <c r="Y24" i="99"/>
  <c r="H24" i="99"/>
  <c r="AE38" i="99"/>
  <c r="N38" i="99"/>
  <c r="AD199" i="99"/>
  <c r="AD200" i="99" s="1"/>
  <c r="V55" i="110" s="1"/>
  <c r="V56" i="110" s="1"/>
  <c r="Q28" i="119" s="1"/>
  <c r="AE130" i="99"/>
  <c r="N130" i="99"/>
  <c r="H145" i="99"/>
  <c r="AJ249" i="99"/>
  <c r="AE245" i="99"/>
  <c r="J168" i="119"/>
  <c r="I70" i="99"/>
  <c r="H54" i="99"/>
  <c r="Y40" i="99"/>
  <c r="H40" i="99"/>
  <c r="Y18" i="99"/>
  <c r="H18" i="99"/>
  <c r="AJ60" i="99"/>
  <c r="I66" i="99"/>
  <c r="AJ112" i="99"/>
  <c r="AJ8" i="99"/>
  <c r="S8" i="99"/>
  <c r="AE24" i="99"/>
  <c r="N24" i="99"/>
  <c r="AJ48" i="99"/>
  <c r="S48" i="99"/>
  <c r="AJ61" i="99"/>
  <c r="H90" i="99"/>
  <c r="H94" i="99"/>
  <c r="H98" i="99"/>
  <c r="H102" i="99"/>
  <c r="H106" i="99"/>
  <c r="H110" i="99"/>
  <c r="X213" i="99"/>
  <c r="G213" i="99"/>
  <c r="AE140" i="99"/>
  <c r="AI199" i="99"/>
  <c r="AI200" i="99" s="1"/>
  <c r="AA55" i="110" s="1"/>
  <c r="AA56" i="110" s="1"/>
  <c r="V28" i="119" s="1"/>
  <c r="AE187" i="99"/>
  <c r="AO121" i="99"/>
  <c r="AO122" i="99" s="1"/>
  <c r="AG51" i="110" s="1"/>
  <c r="AG52" i="110" s="1"/>
  <c r="AB328" i="119" s="1"/>
  <c r="AP86" i="99"/>
  <c r="AE129" i="99"/>
  <c r="X233" i="99"/>
  <c r="AJ170" i="99"/>
  <c r="H194" i="99"/>
  <c r="H221" i="99"/>
  <c r="AJ180" i="99"/>
  <c r="H220" i="99"/>
  <c r="H188" i="99"/>
  <c r="I223" i="99"/>
  <c r="H256" i="99"/>
  <c r="H181" i="99"/>
  <c r="H263" i="99"/>
  <c r="H271" i="99"/>
  <c r="AD277" i="99"/>
  <c r="AD278" i="99" s="1"/>
  <c r="AJ265" i="99"/>
  <c r="AN277" i="99"/>
  <c r="AN278" i="99" s="1"/>
  <c r="AO242" i="99"/>
  <c r="AE250" i="99"/>
  <c r="Y259" i="99"/>
  <c r="H259" i="99"/>
  <c r="I268" i="99"/>
  <c r="AE273" i="99"/>
  <c r="AE35" i="99"/>
  <c r="AE23" i="99"/>
  <c r="AJ15" i="99"/>
  <c r="AJ110" i="99"/>
  <c r="AE155" i="99"/>
  <c r="X203" i="99"/>
  <c r="AJ191" i="99"/>
  <c r="X227" i="99"/>
  <c r="AJ187" i="99"/>
  <c r="AE258" i="99"/>
  <c r="N258" i="99"/>
  <c r="I95" i="99"/>
  <c r="Y22" i="99"/>
  <c r="H22" i="99"/>
  <c r="I93" i="99"/>
  <c r="Y11" i="99"/>
  <c r="H11" i="99"/>
  <c r="Y14" i="99"/>
  <c r="H14" i="99"/>
  <c r="AE9" i="99"/>
  <c r="S62" i="99"/>
  <c r="AJ62" i="99"/>
  <c r="S76" i="99"/>
  <c r="AJ76" i="99"/>
  <c r="AE263" i="99"/>
  <c r="AE18" i="99"/>
  <c r="N18" i="99"/>
  <c r="AE32" i="99"/>
  <c r="N32" i="99"/>
  <c r="H133" i="99"/>
  <c r="H149" i="99"/>
  <c r="AJ59" i="99"/>
  <c r="S70" i="99"/>
  <c r="AJ70" i="99"/>
  <c r="Y132" i="99"/>
  <c r="H132" i="99"/>
  <c r="J210" i="99"/>
  <c r="AE114" i="99"/>
  <c r="AE143" i="99"/>
  <c r="AE151" i="99"/>
  <c r="H167" i="99"/>
  <c r="H191" i="99"/>
  <c r="AK144" i="99"/>
  <c r="AE149" i="99"/>
  <c r="H218" i="99"/>
  <c r="AE136" i="99"/>
  <c r="N136" i="99"/>
  <c r="H166" i="99"/>
  <c r="AJ195" i="99"/>
  <c r="I266" i="99"/>
  <c r="X184" i="99"/>
  <c r="H177" i="99"/>
  <c r="AJ194" i="99"/>
  <c r="AE268" i="99"/>
  <c r="N268" i="99"/>
  <c r="AJ246" i="99"/>
  <c r="N248" i="99"/>
  <c r="AE248" i="99"/>
  <c r="AE253" i="99"/>
  <c r="AE243" i="99"/>
  <c r="AE255" i="99"/>
  <c r="H261" i="99"/>
  <c r="I270" i="99"/>
  <c r="I222" i="99"/>
  <c r="AJ257" i="99"/>
  <c r="AJ271" i="99"/>
  <c r="AE272" i="99"/>
  <c r="N272" i="99"/>
  <c r="Y32" i="99"/>
  <c r="H32" i="99"/>
  <c r="Y23" i="99"/>
  <c r="H23" i="99"/>
  <c r="AE110" i="99"/>
  <c r="AE30" i="99"/>
  <c r="N30" i="99"/>
  <c r="H129" i="99"/>
  <c r="N66" i="99"/>
  <c r="AE66" i="99"/>
  <c r="J225" i="99"/>
  <c r="X219" i="99"/>
  <c r="H179" i="99"/>
  <c r="AJ268" i="99"/>
  <c r="S268" i="99"/>
  <c r="Y30" i="99"/>
  <c r="H30" i="99"/>
  <c r="AJ9" i="99"/>
  <c r="AE11" i="99"/>
  <c r="AJ13" i="99"/>
  <c r="AJ21" i="99"/>
  <c r="N72" i="99"/>
  <c r="AE72" i="99"/>
  <c r="H88" i="99"/>
  <c r="Y77" i="99"/>
  <c r="H77" i="99"/>
  <c r="AE12" i="99"/>
  <c r="N12" i="99"/>
  <c r="AE28" i="99"/>
  <c r="N28" i="99"/>
  <c r="AE54" i="99"/>
  <c r="N54" i="99"/>
  <c r="H65" i="99"/>
  <c r="N70" i="99"/>
  <c r="AE70" i="99"/>
  <c r="AN82" i="99"/>
  <c r="AN83" i="99" s="1"/>
  <c r="AF47" i="110" s="1"/>
  <c r="AF48" i="110" s="1"/>
  <c r="AO47" i="99"/>
  <c r="AE92" i="99"/>
  <c r="AE100" i="99"/>
  <c r="AE108" i="99"/>
  <c r="H182" i="99"/>
  <c r="AM238" i="99"/>
  <c r="AM239" i="99" s="1"/>
  <c r="AE59" i="110" s="1"/>
  <c r="AE60" i="110" s="1"/>
  <c r="AN203" i="99"/>
  <c r="R121" i="99"/>
  <c r="AJ86" i="99"/>
  <c r="S86" i="99"/>
  <c r="AJ117" i="99"/>
  <c r="AJ111" i="99"/>
  <c r="X222" i="99"/>
  <c r="X180" i="99"/>
  <c r="AJ193" i="99"/>
  <c r="X189" i="99"/>
  <c r="AJ260" i="99"/>
  <c r="S260" i="99"/>
  <c r="AJ243" i="99"/>
  <c r="H255" i="99"/>
  <c r="AE259" i="99"/>
  <c r="I274" i="99"/>
  <c r="AE31" i="99"/>
  <c r="AJ56" i="99"/>
  <c r="Y36" i="99"/>
  <c r="H36" i="99"/>
  <c r="Y55" i="99"/>
  <c r="H55" i="99"/>
  <c r="S72" i="99"/>
  <c r="AJ72" i="99"/>
  <c r="AE102" i="99"/>
  <c r="AE22" i="99"/>
  <c r="N22" i="99"/>
  <c r="AE56" i="99"/>
  <c r="N56" i="99"/>
  <c r="AE112" i="99"/>
  <c r="H153" i="99"/>
  <c r="AE113" i="99"/>
  <c r="N113" i="99"/>
  <c r="AE154" i="99"/>
  <c r="N154" i="99"/>
  <c r="H172" i="99"/>
  <c r="H257" i="99"/>
  <c r="AE265" i="99"/>
  <c r="H117" i="99"/>
  <c r="W121" i="99"/>
  <c r="W122" i="99" s="1"/>
  <c r="O51" i="110" s="1"/>
  <c r="N95" i="99"/>
  <c r="AE95" i="99"/>
  <c r="N107" i="99"/>
  <c r="AE107" i="99"/>
  <c r="H195" i="99"/>
  <c r="AE270" i="99"/>
  <c r="N270" i="99"/>
  <c r="I62" i="99"/>
  <c r="I64" i="99"/>
  <c r="I109" i="99"/>
  <c r="AE115" i="99"/>
  <c r="AE26" i="99"/>
  <c r="N26" i="99"/>
  <c r="AE137" i="99"/>
  <c r="AE150" i="99"/>
  <c r="N150" i="99"/>
  <c r="I175" i="99"/>
  <c r="AJ261" i="99"/>
  <c r="H193" i="99"/>
  <c r="AE98" i="99"/>
  <c r="I97" i="99"/>
  <c r="N78" i="99"/>
  <c r="AE78" i="99"/>
  <c r="AE50" i="99"/>
  <c r="N50" i="99"/>
  <c r="AE139" i="99"/>
  <c r="AE173" i="99"/>
  <c r="N173" i="99"/>
  <c r="H170" i="99"/>
  <c r="H186" i="99"/>
  <c r="H244" i="99"/>
  <c r="H216" i="99"/>
  <c r="I215" i="99"/>
  <c r="AJ254" i="99"/>
  <c r="AE13" i="99"/>
  <c r="Y26" i="99"/>
  <c r="H26" i="99"/>
  <c r="AE25" i="99"/>
  <c r="Y53" i="99"/>
  <c r="H53" i="99"/>
  <c r="AE53" i="99"/>
  <c r="Y29" i="99"/>
  <c r="H29" i="99"/>
  <c r="AE127" i="99"/>
  <c r="AJ169" i="99"/>
  <c r="S169" i="99"/>
  <c r="S197" i="99" s="1"/>
  <c r="AE65" i="99"/>
  <c r="AE73" i="99"/>
  <c r="AJ92" i="99"/>
  <c r="AJ100" i="99"/>
  <c r="AJ108" i="99"/>
  <c r="F121" i="99"/>
  <c r="X116" i="99"/>
  <c r="X86" i="99"/>
  <c r="G86" i="99"/>
  <c r="X118" i="99"/>
  <c r="X95" i="99"/>
  <c r="X93" i="99"/>
  <c r="X109" i="99"/>
  <c r="X105" i="99"/>
  <c r="X99" i="99"/>
  <c r="X97" i="99"/>
  <c r="X101" i="99"/>
  <c r="X91" i="99"/>
  <c r="X103" i="99"/>
  <c r="X87" i="99"/>
  <c r="X89" i="99"/>
  <c r="X107" i="99"/>
  <c r="X90" i="99"/>
  <c r="X94" i="99"/>
  <c r="X98" i="99"/>
  <c r="X102" i="99"/>
  <c r="X106" i="99"/>
  <c r="X110" i="99"/>
  <c r="H171" i="99"/>
  <c r="Y144" i="99"/>
  <c r="H144" i="99"/>
  <c r="AJ167" i="99"/>
  <c r="AE118" i="99"/>
  <c r="Y128" i="99"/>
  <c r="H128" i="99"/>
  <c r="H249" i="99"/>
  <c r="AE134" i="99"/>
  <c r="N134" i="99"/>
  <c r="AE156" i="99"/>
  <c r="N156" i="99"/>
  <c r="X221" i="99"/>
  <c r="Y155" i="99"/>
  <c r="H155" i="99"/>
  <c r="AE171" i="99"/>
  <c r="N171" i="99"/>
  <c r="X220" i="99"/>
  <c r="X188" i="99"/>
  <c r="H196" i="99"/>
  <c r="AJ182" i="99"/>
  <c r="G204" i="99"/>
  <c r="X204" i="99"/>
  <c r="X205" i="99"/>
  <c r="X224" i="99"/>
  <c r="X215" i="99"/>
  <c r="AJ242" i="99"/>
  <c r="AJ247" i="99"/>
  <c r="AJ256" i="99"/>
  <c r="H229" i="99"/>
  <c r="Y25" i="99"/>
  <c r="H25" i="99"/>
  <c r="Y9" i="99"/>
  <c r="H9" i="99"/>
  <c r="I72" i="99"/>
  <c r="I87" i="99"/>
  <c r="AE106" i="99"/>
  <c r="AE14" i="99"/>
  <c r="N14" i="99"/>
  <c r="AE48" i="99"/>
  <c r="N48" i="99"/>
  <c r="AE69" i="99"/>
  <c r="AE61" i="99"/>
  <c r="AE63" i="99"/>
  <c r="AE77" i="99"/>
  <c r="AJ77" i="99"/>
  <c r="X210" i="99"/>
  <c r="F238" i="99"/>
  <c r="H227" i="99"/>
  <c r="X212" i="99"/>
  <c r="G212" i="99"/>
  <c r="AJ181" i="99"/>
  <c r="H265" i="99"/>
  <c r="AE51" i="99"/>
  <c r="AE33" i="99"/>
  <c r="Y15" i="99"/>
  <c r="H15" i="99"/>
  <c r="AJ25" i="99"/>
  <c r="H33" i="99"/>
  <c r="Y33" i="99"/>
  <c r="AJ54" i="99"/>
  <c r="H50" i="99"/>
  <c r="I105" i="99"/>
  <c r="AJ23" i="99"/>
  <c r="AJ33" i="99"/>
  <c r="Y39" i="99"/>
  <c r="H39" i="99"/>
  <c r="N64" i="99"/>
  <c r="AE64" i="99"/>
  <c r="I74" i="99"/>
  <c r="I78" i="99"/>
  <c r="H92" i="99"/>
  <c r="H96" i="99"/>
  <c r="H100" i="99"/>
  <c r="H104" i="99"/>
  <c r="H108" i="99"/>
  <c r="AE147" i="99"/>
  <c r="AJ71" i="99"/>
  <c r="H156" i="99"/>
  <c r="AE58" i="99"/>
  <c r="N58" i="99"/>
  <c r="S78" i="99"/>
  <c r="AJ78" i="99"/>
  <c r="N62" i="99"/>
  <c r="AE62" i="99"/>
  <c r="N68" i="99"/>
  <c r="AE68" i="99"/>
  <c r="H75" i="99"/>
  <c r="S91" i="99"/>
  <c r="AJ91" i="99"/>
  <c r="S99" i="99"/>
  <c r="AJ99" i="99"/>
  <c r="S107" i="99"/>
  <c r="AJ107" i="99"/>
  <c r="AE125" i="99"/>
  <c r="Y147" i="99"/>
  <c r="H147" i="99"/>
  <c r="AJ164" i="99"/>
  <c r="H113" i="99"/>
  <c r="AP160" i="99"/>
  <c r="AP161" i="99" s="1"/>
  <c r="AH110" i="110" s="1"/>
  <c r="AQ125" i="99"/>
  <c r="H150" i="99"/>
  <c r="X167" i="99"/>
  <c r="X191" i="99"/>
  <c r="AD121" i="99"/>
  <c r="AD122" i="99" s="1"/>
  <c r="V51" i="110" s="1"/>
  <c r="V52" i="110" s="1"/>
  <c r="Q328" i="119" s="1"/>
  <c r="H148" i="99"/>
  <c r="X218" i="99"/>
  <c r="H187" i="99"/>
  <c r="I214" i="99"/>
  <c r="N207" i="99"/>
  <c r="H228" i="99"/>
  <c r="X193" i="99"/>
  <c r="I258" i="99"/>
  <c r="AE261" i="99"/>
  <c r="X225" i="99"/>
  <c r="H242" i="99"/>
  <c r="Y246" i="99"/>
  <c r="H245" i="99"/>
  <c r="AJ273" i="99"/>
  <c r="AJ35" i="99"/>
  <c r="Y16" i="99"/>
  <c r="H16" i="99"/>
  <c r="AE37" i="99"/>
  <c r="AD43" i="99"/>
  <c r="AD44" i="99" s="1"/>
  <c r="V15" i="20" s="1"/>
  <c r="AJ102" i="99"/>
  <c r="AJ183" i="99"/>
  <c r="AE135" i="99"/>
  <c r="G208" i="99"/>
  <c r="G236" i="99" s="1"/>
  <c r="X208" i="99"/>
  <c r="H219" i="99"/>
  <c r="X179" i="99"/>
  <c r="AJ188" i="99"/>
  <c r="AJ31" i="99"/>
  <c r="I99" i="99"/>
  <c r="AJ38" i="99"/>
  <c r="AJ37" i="99"/>
  <c r="Y8" i="99"/>
  <c r="H8" i="99"/>
  <c r="AE27" i="99"/>
  <c r="AJ58" i="99"/>
  <c r="I101" i="99"/>
  <c r="AJ69" i="99"/>
  <c r="X88" i="99"/>
  <c r="Y126" i="99"/>
  <c r="H126" i="99"/>
  <c r="AE59" i="99"/>
  <c r="S89" i="99"/>
  <c r="AJ89" i="99"/>
  <c r="S97" i="99"/>
  <c r="AJ97" i="99"/>
  <c r="S105" i="99"/>
  <c r="AJ105" i="99"/>
  <c r="H139" i="99"/>
  <c r="AE60" i="99"/>
  <c r="N60" i="99"/>
  <c r="AE75" i="99"/>
  <c r="AJ114" i="99"/>
  <c r="AE166" i="99"/>
  <c r="G160" i="99"/>
  <c r="AL238" i="99"/>
  <c r="AL239" i="99" s="1"/>
  <c r="AD59" i="110" s="1"/>
  <c r="AD60" i="110" s="1"/>
  <c r="AI121" i="99"/>
  <c r="AI122" i="99" s="1"/>
  <c r="AA51" i="110" s="1"/>
  <c r="AA52" i="110" s="1"/>
  <c r="V328" i="119" s="1"/>
  <c r="AJ176" i="99"/>
  <c r="AE128" i="99"/>
  <c r="N128" i="99"/>
  <c r="S168" i="99"/>
  <c r="AJ168" i="99"/>
  <c r="X186" i="99"/>
  <c r="H141" i="99"/>
  <c r="AJ196" i="99"/>
  <c r="H192" i="99"/>
  <c r="AJ270" i="99"/>
  <c r="S270" i="99"/>
  <c r="H189" i="99"/>
  <c r="X206" i="99"/>
  <c r="I264" i="99"/>
  <c r="AE269" i="99"/>
  <c r="H235" i="99"/>
  <c r="I260" i="99"/>
  <c r="H267" i="99"/>
  <c r="AJ47" i="99"/>
  <c r="I272" i="99"/>
  <c r="H154" i="99"/>
  <c r="AJ118" i="99"/>
  <c r="AJ65" i="99"/>
  <c r="AJ98" i="99"/>
  <c r="X190" i="99"/>
  <c r="H115" i="99"/>
  <c r="H140" i="99"/>
  <c r="H174" i="99"/>
  <c r="AE145" i="99"/>
  <c r="I233" i="99"/>
  <c r="AE260" i="99"/>
  <c r="N260" i="99"/>
  <c r="X172" i="99"/>
  <c r="AE244" i="99"/>
  <c r="H269" i="99"/>
  <c r="X223" i="99"/>
  <c r="Z48" i="118"/>
  <c r="AK48" i="118"/>
  <c r="AF57" i="120"/>
  <c r="Y56" i="120"/>
  <c r="R57" i="120"/>
  <c r="AC56" i="120"/>
  <c r="AD57" i="120"/>
  <c r="AK56" i="120"/>
  <c r="T56" i="120"/>
  <c r="AR56" i="120"/>
  <c r="X57" i="120"/>
  <c r="K56" i="120"/>
  <c r="AL56" i="120"/>
  <c r="N57" i="120"/>
  <c r="AB57" i="120"/>
  <c r="T55" i="120"/>
  <c r="P55" i="120"/>
  <c r="Z55" i="120"/>
  <c r="Q55" i="120"/>
  <c r="Y55" i="120"/>
  <c r="AG55" i="120"/>
  <c r="AO55" i="120"/>
  <c r="AP55" i="120"/>
  <c r="Q57" i="120"/>
  <c r="Y57" i="120"/>
  <c r="AG57" i="120"/>
  <c r="AO57" i="120"/>
  <c r="AB55" i="120"/>
  <c r="X55" i="120"/>
  <c r="N55" i="120"/>
  <c r="AD55" i="120"/>
  <c r="K55" i="120"/>
  <c r="S55" i="120"/>
  <c r="AA55" i="120"/>
  <c r="AI55" i="120"/>
  <c r="AQ55" i="120"/>
  <c r="J55" i="120"/>
  <c r="Z57" i="120"/>
  <c r="P57" i="120"/>
  <c r="AJ55" i="120"/>
  <c r="AF55" i="120"/>
  <c r="R55" i="120"/>
  <c r="AH55" i="120"/>
  <c r="M55" i="120"/>
  <c r="U55" i="120"/>
  <c r="AC55" i="120"/>
  <c r="AK55" i="120"/>
  <c r="AS55" i="120"/>
  <c r="AI56" i="120"/>
  <c r="U56" i="120"/>
  <c r="T57" i="120"/>
  <c r="L55" i="120"/>
  <c r="AR55" i="120"/>
  <c r="AN55" i="120"/>
  <c r="V55" i="120"/>
  <c r="AL55" i="120"/>
  <c r="O55" i="120"/>
  <c r="W55" i="120"/>
  <c r="AE55" i="120"/>
  <c r="AM55" i="120"/>
  <c r="N56" i="120"/>
  <c r="Y126" i="110"/>
  <c r="AE126" i="110"/>
  <c r="Y127" i="110"/>
  <c r="AJ48" i="118"/>
  <c r="Y325" i="119"/>
  <c r="AM48" i="118"/>
  <c r="AV48" i="118"/>
  <c r="AY48" i="118"/>
  <c r="AR48" i="118"/>
  <c r="AW48" i="118"/>
  <c r="AX48" i="118"/>
  <c r="AE127" i="110"/>
  <c r="F62" i="106"/>
  <c r="F65" i="106" s="1"/>
  <c r="AL48" i="118"/>
  <c r="P62" i="106"/>
  <c r="P65" i="106" s="1"/>
  <c r="L57" i="52"/>
  <c r="T57" i="52"/>
  <c r="AB57" i="52"/>
  <c r="AJ57" i="52"/>
  <c r="E57" i="52"/>
  <c r="AK57" i="52"/>
  <c r="S57" i="52"/>
  <c r="AI48" i="118"/>
  <c r="T325" i="119"/>
  <c r="Y40" i="94"/>
  <c r="S34" i="94"/>
  <c r="O57" i="52"/>
  <c r="U57" i="52"/>
  <c r="Q57" i="52"/>
  <c r="K57" i="52"/>
  <c r="X56" i="120"/>
  <c r="AM56" i="120"/>
  <c r="AP56" i="120"/>
  <c r="AO56" i="120"/>
  <c r="AD56" i="120"/>
  <c r="W56" i="120"/>
  <c r="AH56" i="120"/>
  <c r="AE56" i="120"/>
  <c r="AF56" i="120"/>
  <c r="AA56" i="120"/>
  <c r="R56" i="120"/>
  <c r="AG56" i="120"/>
  <c r="BA48" i="118"/>
  <c r="AS48" i="118"/>
  <c r="AZ48" i="118"/>
  <c r="AN48" i="118"/>
  <c r="AU48" i="118"/>
  <c r="BB48" i="118"/>
  <c r="M32" i="94"/>
  <c r="AI32" i="94"/>
  <c r="V34" i="94"/>
  <c r="AT40" i="94"/>
  <c r="Y57" i="52"/>
  <c r="I57" i="52"/>
  <c r="W57" i="52"/>
  <c r="AA57" i="52"/>
  <c r="F57" i="52"/>
  <c r="N57" i="52"/>
  <c r="V57" i="52"/>
  <c r="AD57" i="52"/>
  <c r="AL57" i="52"/>
  <c r="AC57" i="52"/>
  <c r="AE57" i="52"/>
  <c r="H57" i="52"/>
  <c r="P57" i="52"/>
  <c r="X57" i="52"/>
  <c r="AF57" i="52"/>
  <c r="AN57" i="52"/>
  <c r="AI57" i="52"/>
  <c r="M57" i="52"/>
  <c r="G57" i="52"/>
  <c r="AM57" i="52"/>
  <c r="AG57" i="52"/>
  <c r="J57" i="52"/>
  <c r="R57" i="52"/>
  <c r="Z57" i="52"/>
  <c r="AH57" i="52"/>
  <c r="AA40" i="94"/>
  <c r="AH40" i="94"/>
  <c r="AH34" i="94"/>
  <c r="AH32" i="94"/>
  <c r="AK33" i="52"/>
  <c r="AG33" i="52"/>
  <c r="S33" i="52"/>
  <c r="AI33" i="52"/>
  <c r="J33" i="52"/>
  <c r="R33" i="52"/>
  <c r="Z33" i="52"/>
  <c r="AH33" i="52"/>
  <c r="L45" i="118"/>
  <c r="L48" i="118" s="1"/>
  <c r="L46" i="118"/>
  <c r="L49" i="118" s="1"/>
  <c r="K46" i="118"/>
  <c r="K49" i="118" s="1"/>
  <c r="AD127" i="110"/>
  <c r="AF48" i="118"/>
  <c r="S40" i="94"/>
  <c r="AD68" i="20"/>
  <c r="AD57" i="20"/>
  <c r="AD88" i="20" s="1"/>
  <c r="AE57" i="20"/>
  <c r="AE88" i="20" s="1"/>
  <c r="AE68" i="20"/>
  <c r="AF127" i="110"/>
  <c r="AF126" i="110"/>
  <c r="AD48" i="118"/>
  <c r="O51" i="52"/>
  <c r="AE51" i="52"/>
  <c r="K51" i="52"/>
  <c r="AA51" i="52"/>
  <c r="E51" i="52"/>
  <c r="M51" i="52"/>
  <c r="U51" i="52"/>
  <c r="AC51" i="52"/>
  <c r="AK51" i="52"/>
  <c r="H51" i="52"/>
  <c r="L51" i="52"/>
  <c r="P51" i="52"/>
  <c r="T51" i="52"/>
  <c r="X51" i="52"/>
  <c r="AB51" i="52"/>
  <c r="AF51" i="52"/>
  <c r="AJ51" i="52"/>
  <c r="AN51" i="52"/>
  <c r="O39" i="52"/>
  <c r="AE39" i="52"/>
  <c r="K39" i="52"/>
  <c r="AA39" i="52"/>
  <c r="E39" i="52"/>
  <c r="M39" i="52"/>
  <c r="U39" i="52"/>
  <c r="AC39" i="52"/>
  <c r="AK39" i="52"/>
  <c r="H39" i="52"/>
  <c r="L39" i="52"/>
  <c r="P39" i="52"/>
  <c r="T39" i="52"/>
  <c r="X39" i="52"/>
  <c r="AB39" i="52"/>
  <c r="AF39" i="52"/>
  <c r="AJ39" i="52"/>
  <c r="AN39" i="52"/>
  <c r="R40" i="52"/>
  <c r="AH40" i="52"/>
  <c r="N40" i="52"/>
  <c r="AD40" i="52"/>
  <c r="H40" i="52"/>
  <c r="P40" i="52"/>
  <c r="X40" i="52"/>
  <c r="AF40" i="52"/>
  <c r="AN40" i="52"/>
  <c r="G40" i="52"/>
  <c r="K40" i="52"/>
  <c r="O40" i="52"/>
  <c r="S40" i="52"/>
  <c r="W40" i="52"/>
  <c r="AA40" i="52"/>
  <c r="AE40" i="52"/>
  <c r="AI40" i="52"/>
  <c r="AM40" i="52"/>
  <c r="J44" i="119"/>
  <c r="J98" i="119" s="1"/>
  <c r="Z16" i="59"/>
  <c r="P12" i="116"/>
  <c r="S24" i="132"/>
  <c r="I22" i="132"/>
  <c r="P83" i="59"/>
  <c r="P84" i="59" s="1"/>
  <c r="I25" i="132"/>
  <c r="H58" i="52"/>
  <c r="X58" i="52"/>
  <c r="AN58" i="52"/>
  <c r="T58" i="52"/>
  <c r="AJ58" i="52"/>
  <c r="J58" i="52"/>
  <c r="R58" i="52"/>
  <c r="Z58" i="52"/>
  <c r="AH58" i="52"/>
  <c r="E58" i="52"/>
  <c r="I58" i="52"/>
  <c r="M58" i="52"/>
  <c r="Q58" i="52"/>
  <c r="U58" i="52"/>
  <c r="Y58" i="52"/>
  <c r="AC58" i="52"/>
  <c r="AG58" i="52"/>
  <c r="AK58" i="52"/>
  <c r="P16" i="59"/>
  <c r="F12" i="116"/>
  <c r="I24" i="132"/>
  <c r="T126" i="110"/>
  <c r="AT48" i="118"/>
  <c r="Y67" i="20"/>
  <c r="Y58" i="20"/>
  <c r="AD67" i="20"/>
  <c r="AD58" i="20"/>
  <c r="U33" i="52"/>
  <c r="Q33" i="52"/>
  <c r="K33" i="52"/>
  <c r="AA33" i="52"/>
  <c r="F33" i="52"/>
  <c r="N33" i="52"/>
  <c r="V33" i="52"/>
  <c r="AD33" i="52"/>
  <c r="AL33" i="52"/>
  <c r="F9" i="106"/>
  <c r="F12" i="106" s="1"/>
  <c r="K45" i="118"/>
  <c r="O45" i="118"/>
  <c r="O48" i="118" s="1"/>
  <c r="P46" i="118"/>
  <c r="P49" i="118" s="1"/>
  <c r="N46" i="118"/>
  <c r="N49" i="118" s="1"/>
  <c r="AE48" i="118"/>
  <c r="AC48" i="118"/>
  <c r="AA48" i="118"/>
  <c r="Y48" i="118"/>
  <c r="M33" i="52"/>
  <c r="AC33" i="52"/>
  <c r="I33" i="52"/>
  <c r="Y33" i="52"/>
  <c r="G33" i="52"/>
  <c r="O33" i="52"/>
  <c r="W33" i="52"/>
  <c r="AE33" i="52"/>
  <c r="AM33" i="52"/>
  <c r="H33" i="52"/>
  <c r="L33" i="52"/>
  <c r="P33" i="52"/>
  <c r="T33" i="52"/>
  <c r="X33" i="52"/>
  <c r="AB33" i="52"/>
  <c r="AF33" i="52"/>
  <c r="AJ33" i="52"/>
  <c r="AN33" i="52"/>
  <c r="O9" i="106"/>
  <c r="O12" i="106" s="1"/>
  <c r="P9" i="106"/>
  <c r="P12" i="106" s="1"/>
  <c r="AN9" i="106"/>
  <c r="N45" i="118"/>
  <c r="N48" i="118" s="1"/>
  <c r="M45" i="118"/>
  <c r="M48" i="118" s="1"/>
  <c r="P45" i="118"/>
  <c r="P48" i="118" s="1"/>
  <c r="Z83" i="59"/>
  <c r="Z86" i="59" s="1"/>
  <c r="U42" i="119" s="1"/>
  <c r="S25" i="132"/>
  <c r="P76" i="59"/>
  <c r="I23" i="132"/>
  <c r="N24" i="101"/>
  <c r="AA120" i="59" s="1"/>
  <c r="AA121" i="59" s="1"/>
  <c r="Z76" i="59"/>
  <c r="S23" i="132"/>
  <c r="O46" i="118"/>
  <c r="O49" i="118" s="1"/>
  <c r="M46" i="118"/>
  <c r="M49" i="118" s="1"/>
  <c r="AD126" i="110"/>
  <c r="AB48" i="118"/>
  <c r="T68" i="20"/>
  <c r="T57" i="20"/>
  <c r="T88" i="20" s="1"/>
  <c r="Y68" i="20"/>
  <c r="Y57" i="20"/>
  <c r="Y88" i="20" s="1"/>
  <c r="AC40" i="94"/>
  <c r="AC34" i="94"/>
  <c r="AC32" i="94"/>
  <c r="G51" i="52"/>
  <c r="W51" i="52"/>
  <c r="AM51" i="52"/>
  <c r="S51" i="52"/>
  <c r="AI51" i="52"/>
  <c r="I51" i="52"/>
  <c r="Q51" i="52"/>
  <c r="Y51" i="52"/>
  <c r="AG51" i="52"/>
  <c r="F51" i="52"/>
  <c r="J51" i="52"/>
  <c r="N51" i="52"/>
  <c r="R51" i="52"/>
  <c r="V51" i="52"/>
  <c r="Z51" i="52"/>
  <c r="AD51" i="52"/>
  <c r="AH51" i="52"/>
  <c r="AL51" i="52"/>
  <c r="G39" i="52"/>
  <c r="W39" i="52"/>
  <c r="AM39" i="52"/>
  <c r="S39" i="52"/>
  <c r="AI39" i="52"/>
  <c r="I39" i="52"/>
  <c r="Q39" i="52"/>
  <c r="Y39" i="52"/>
  <c r="AG39" i="52"/>
  <c r="F39" i="52"/>
  <c r="J39" i="52"/>
  <c r="N39" i="52"/>
  <c r="R39" i="52"/>
  <c r="V39" i="52"/>
  <c r="Z39" i="52"/>
  <c r="AD39" i="52"/>
  <c r="AH39" i="52"/>
  <c r="AL39" i="52"/>
  <c r="J40" i="52"/>
  <c r="Z40" i="52"/>
  <c r="F40" i="52"/>
  <c r="V40" i="52"/>
  <c r="AL40" i="52"/>
  <c r="L40" i="52"/>
  <c r="T40" i="52"/>
  <c r="AB40" i="52"/>
  <c r="AJ40" i="52"/>
  <c r="E40" i="52"/>
  <c r="I40" i="52"/>
  <c r="M40" i="52"/>
  <c r="Q40" i="52"/>
  <c r="U40" i="52"/>
  <c r="Y40" i="52"/>
  <c r="AC40" i="52"/>
  <c r="AG40" i="52"/>
  <c r="AK40" i="52"/>
  <c r="Z123" i="59"/>
  <c r="N25" i="101"/>
  <c r="D24" i="101"/>
  <c r="Q120" i="59" s="1"/>
  <c r="Q121" i="59" s="1"/>
  <c r="P11" i="116"/>
  <c r="S22" i="132"/>
  <c r="P123" i="59"/>
  <c r="D25" i="101"/>
  <c r="P58" i="52"/>
  <c r="AF58" i="52"/>
  <c r="L58" i="52"/>
  <c r="AB58" i="52"/>
  <c r="F58" i="52"/>
  <c r="N58" i="52"/>
  <c r="V58" i="52"/>
  <c r="AD58" i="52"/>
  <c r="AL58" i="52"/>
  <c r="G58" i="52"/>
  <c r="K58" i="52"/>
  <c r="O58" i="52"/>
  <c r="S58" i="52"/>
  <c r="W58" i="52"/>
  <c r="AA58" i="52"/>
  <c r="AE58" i="52"/>
  <c r="AI58" i="52"/>
  <c r="AM58" i="52"/>
  <c r="T127" i="110"/>
  <c r="Q40" i="94"/>
  <c r="Q34" i="94"/>
  <c r="Q32" i="94"/>
  <c r="AE67" i="20"/>
  <c r="AE58" i="20"/>
  <c r="T67" i="20"/>
  <c r="T58" i="20"/>
  <c r="O325" i="119"/>
  <c r="Z325" i="119"/>
  <c r="AG85" i="20" l="1"/>
  <c r="AG82" i="20"/>
  <c r="AB360" i="119" s="1"/>
  <c r="AG83" i="20"/>
  <c r="AB361" i="119" s="1"/>
  <c r="AG77" i="20"/>
  <c r="AB355" i="119" s="1"/>
  <c r="AG84" i="20"/>
  <c r="AB362" i="119" s="1"/>
  <c r="AG76" i="20"/>
  <c r="AB354" i="119" s="1"/>
  <c r="AG79" i="20"/>
  <c r="AB357" i="119" s="1"/>
  <c r="AG81" i="20"/>
  <c r="AB359" i="119" s="1"/>
  <c r="AG80" i="20"/>
  <c r="AB358" i="119" s="1"/>
  <c r="AG78" i="20"/>
  <c r="AB356" i="119" s="1"/>
  <c r="AA77" i="20"/>
  <c r="V355" i="119" s="1"/>
  <c r="AA80" i="20"/>
  <c r="V358" i="119" s="1"/>
  <c r="AA85" i="20"/>
  <c r="V363" i="119" s="1"/>
  <c r="AA78" i="20"/>
  <c r="V356" i="119" s="1"/>
  <c r="AA76" i="20"/>
  <c r="V354" i="119" s="1"/>
  <c r="AA83" i="20"/>
  <c r="V361" i="119" s="1"/>
  <c r="AA82" i="20"/>
  <c r="V360" i="119" s="1"/>
  <c r="AA81" i="20"/>
  <c r="V359" i="119" s="1"/>
  <c r="AA79" i="20"/>
  <c r="V357" i="119" s="1"/>
  <c r="AA84" i="20"/>
  <c r="V362" i="119" s="1"/>
  <c r="P83" i="20"/>
  <c r="K361" i="119" s="1"/>
  <c r="P82" i="20"/>
  <c r="K360" i="119" s="1"/>
  <c r="P80" i="20"/>
  <c r="K358" i="119" s="1"/>
  <c r="P84" i="20"/>
  <c r="K362" i="119" s="1"/>
  <c r="P85" i="20"/>
  <c r="P79" i="20"/>
  <c r="K357" i="119" s="1"/>
  <c r="P81" i="20"/>
  <c r="K359" i="119" s="1"/>
  <c r="P78" i="20"/>
  <c r="K356" i="119" s="1"/>
  <c r="P76" i="20"/>
  <c r="K354" i="119" s="1"/>
  <c r="P77" i="20"/>
  <c r="K355" i="119" s="1"/>
  <c r="V81" i="20"/>
  <c r="Q359" i="119" s="1"/>
  <c r="V83" i="20"/>
  <c r="Q361" i="119" s="1"/>
  <c r="V77" i="20"/>
  <c r="Q355" i="119" s="1"/>
  <c r="V80" i="20"/>
  <c r="Q358" i="119" s="1"/>
  <c r="V78" i="20"/>
  <c r="Q356" i="119" s="1"/>
  <c r="V82" i="20"/>
  <c r="Q360" i="119" s="1"/>
  <c r="V85" i="20"/>
  <c r="Q363" i="119" s="1"/>
  <c r="V79" i="20"/>
  <c r="Q357" i="119" s="1"/>
  <c r="V76" i="20"/>
  <c r="Q354" i="119" s="1"/>
  <c r="V84" i="20"/>
  <c r="Q362" i="119" s="1"/>
  <c r="AF41" i="94"/>
  <c r="AG277" i="20"/>
  <c r="AG278" i="20"/>
  <c r="AG273" i="20"/>
  <c r="AG275" i="20"/>
  <c r="AG274" i="20"/>
  <c r="AG276" i="20"/>
  <c r="AA274" i="20"/>
  <c r="AA273" i="20"/>
  <c r="AA275" i="20"/>
  <c r="AA276" i="20"/>
  <c r="AA278" i="20"/>
  <c r="AA277" i="20"/>
  <c r="P278" i="20"/>
  <c r="P277" i="20"/>
  <c r="P274" i="20"/>
  <c r="P275" i="20"/>
  <c r="P276" i="20"/>
  <c r="P273" i="20"/>
  <c r="V273" i="20"/>
  <c r="V278" i="20"/>
  <c r="V274" i="20"/>
  <c r="V276" i="20"/>
  <c r="V275" i="20"/>
  <c r="V277" i="20"/>
  <c r="AM15" i="110"/>
  <c r="AM303" i="119"/>
  <c r="AB363" i="119"/>
  <c r="K363" i="119"/>
  <c r="O15" i="110"/>
  <c r="T303" i="119"/>
  <c r="AL303" i="119"/>
  <c r="AE303" i="119"/>
  <c r="R302" i="119"/>
  <c r="O303" i="119"/>
  <c r="AB41" i="94"/>
  <c r="AS16" i="110"/>
  <c r="AJ16" i="110"/>
  <c r="AJ17" i="110" s="1"/>
  <c r="AJ22" i="110" s="1"/>
  <c r="AO302" i="119"/>
  <c r="AK14" i="110"/>
  <c r="V303" i="119"/>
  <c r="N303" i="119"/>
  <c r="AR14" i="110"/>
  <c r="AO15" i="110"/>
  <c r="AS303" i="119"/>
  <c r="AG303" i="119"/>
  <c r="AA303" i="119"/>
  <c r="Y302" i="119"/>
  <c r="X302" i="119"/>
  <c r="AI14" i="110"/>
  <c r="X304" i="119"/>
  <c r="AC303" i="119"/>
  <c r="AB303" i="119"/>
  <c r="P302" i="119"/>
  <c r="AL16" i="110"/>
  <c r="AL17" i="110" s="1"/>
  <c r="AL22" i="110" s="1"/>
  <c r="AK303" i="119"/>
  <c r="AB15" i="110"/>
  <c r="S303" i="119"/>
  <c r="Y303" i="119"/>
  <c r="Z303" i="119"/>
  <c r="AP14" i="110"/>
  <c r="R303" i="119"/>
  <c r="AR302" i="119"/>
  <c r="K303" i="119"/>
  <c r="AN33" i="106"/>
  <c r="AN34" i="106" s="1"/>
  <c r="O16" i="110"/>
  <c r="J302" i="119"/>
  <c r="AI303" i="119"/>
  <c r="J46" i="119"/>
  <c r="AO303" i="119"/>
  <c r="Z41" i="94"/>
  <c r="AB16" i="110"/>
  <c r="X41" i="94"/>
  <c r="AK41" i="94"/>
  <c r="R41" i="94"/>
  <c r="AR303" i="119"/>
  <c r="AD16" i="110"/>
  <c r="AD17" i="110" s="1"/>
  <c r="AD22" i="110" s="1"/>
  <c r="L303" i="119"/>
  <c r="V14" i="110"/>
  <c r="U41" i="94"/>
  <c r="AN41" i="94"/>
  <c r="AR16" i="110"/>
  <c r="V16" i="110"/>
  <c r="AA16" i="110"/>
  <c r="AA14" i="110"/>
  <c r="AN16" i="110"/>
  <c r="AD303" i="119"/>
  <c r="U16" i="110"/>
  <c r="W304" i="119"/>
  <c r="AP303" i="119"/>
  <c r="AG302" i="119"/>
  <c r="AL302" i="119"/>
  <c r="AU16" i="110"/>
  <c r="AU17" i="110" s="1"/>
  <c r="AU22" i="110" s="1"/>
  <c r="U303" i="119"/>
  <c r="Z302" i="119"/>
  <c r="AQ303" i="119"/>
  <c r="AP302" i="119"/>
  <c r="AR41" i="94"/>
  <c r="Q41" i="94"/>
  <c r="AE41" i="94"/>
  <c r="O14" i="110"/>
  <c r="AC302" i="119"/>
  <c r="AS302" i="119"/>
  <c r="Z14" i="110"/>
  <c r="AS14" i="110"/>
  <c r="M303" i="119"/>
  <c r="AM14" i="110"/>
  <c r="AG16" i="110"/>
  <c r="AG17" i="110" s="1"/>
  <c r="AG22" i="110" s="1"/>
  <c r="AK16" i="110"/>
  <c r="AF16" i="110"/>
  <c r="AF17" i="110" s="1"/>
  <c r="AF22" i="110" s="1"/>
  <c r="AM304" i="119"/>
  <c r="Q14" i="110"/>
  <c r="R14" i="110"/>
  <c r="AE302" i="119"/>
  <c r="S14" i="110"/>
  <c r="O302" i="119"/>
  <c r="AB14" i="110"/>
  <c r="AT16" i="110"/>
  <c r="AT17" i="110" s="1"/>
  <c r="AT22" i="110" s="1"/>
  <c r="S16" i="110"/>
  <c r="AF303" i="119"/>
  <c r="AP41" i="94"/>
  <c r="Q303" i="119"/>
  <c r="AI16" i="110"/>
  <c r="L41" i="94"/>
  <c r="AX16" i="110"/>
  <c r="AX17" i="110" s="1"/>
  <c r="P16" i="110"/>
  <c r="AM16" i="110"/>
  <c r="G18" i="132"/>
  <c r="J27" i="122" s="1"/>
  <c r="J56" i="122" s="1"/>
  <c r="R16" i="110"/>
  <c r="AE16" i="110"/>
  <c r="AE17" i="110" s="1"/>
  <c r="AE22" i="110" s="1"/>
  <c r="AM41" i="94"/>
  <c r="P41" i="94"/>
  <c r="N304" i="119"/>
  <c r="O18" i="20"/>
  <c r="AQ16" i="110"/>
  <c r="AQ17" i="110" s="1"/>
  <c r="AQ22" i="110" s="1"/>
  <c r="T16" i="110"/>
  <c r="T17" i="110" s="1"/>
  <c r="T22" i="110" s="1"/>
  <c r="AO14" i="110"/>
  <c r="AA302" i="119"/>
  <c r="W16" i="110"/>
  <c r="W17" i="110" s="1"/>
  <c r="W22" i="110" s="1"/>
  <c r="O10" i="59"/>
  <c r="O24" i="59" s="1"/>
  <c r="AB302" i="119"/>
  <c r="O30" i="59"/>
  <c r="AS15" i="110"/>
  <c r="V304" i="119"/>
  <c r="X16" i="110"/>
  <c r="AW16" i="110"/>
  <c r="AW17" i="110" s="1"/>
  <c r="AW22" i="110" s="1"/>
  <c r="AN14" i="110"/>
  <c r="AO16" i="110"/>
  <c r="O65" i="24"/>
  <c r="K41" i="94"/>
  <c r="T302" i="119"/>
  <c r="Y14" i="110"/>
  <c r="AQ302" i="119"/>
  <c r="AD304" i="119"/>
  <c r="AP16" i="110"/>
  <c r="O54" i="20"/>
  <c r="O27" i="20"/>
  <c r="O47" i="20" s="1"/>
  <c r="O17" i="20"/>
  <c r="O42" i="20"/>
  <c r="O33" i="20"/>
  <c r="O53" i="20" s="1"/>
  <c r="O32" i="20"/>
  <c r="O52" i="20" s="1"/>
  <c r="O37" i="20"/>
  <c r="G27" i="132"/>
  <c r="O23" i="20"/>
  <c r="O43" i="20" s="1"/>
  <c r="O41" i="20"/>
  <c r="G26" i="132"/>
  <c r="O35" i="20"/>
  <c r="O55" i="20" s="1"/>
  <c r="O20" i="20"/>
  <c r="O40" i="20" s="1"/>
  <c r="O45" i="20"/>
  <c r="G13" i="132"/>
  <c r="J17" i="122" s="1"/>
  <c r="J51" i="122" s="1"/>
  <c r="O24" i="20"/>
  <c r="O44" i="20" s="1"/>
  <c r="O29" i="20"/>
  <c r="O49" i="20" s="1"/>
  <c r="O31" i="20"/>
  <c r="O34" i="20"/>
  <c r="O48" i="20"/>
  <c r="O51" i="20"/>
  <c r="G14" i="132"/>
  <c r="J18" i="122" s="1"/>
  <c r="J52" i="122" s="1"/>
  <c r="O30" i="20"/>
  <c r="O50" i="20" s="1"/>
  <c r="O26" i="20"/>
  <c r="O46" i="20" s="1"/>
  <c r="O28" i="20"/>
  <c r="O73" i="20" s="1"/>
  <c r="G16" i="132"/>
  <c r="J25" i="122" s="1"/>
  <c r="J54" i="122" s="1"/>
  <c r="AC15" i="110"/>
  <c r="AC17" i="110" s="1"/>
  <c r="AC22" i="110" s="1"/>
  <c r="X303" i="119"/>
  <c r="U15" i="110"/>
  <c r="P303" i="119"/>
  <c r="P14" i="110"/>
  <c r="K302" i="119"/>
  <c r="X14" i="110"/>
  <c r="S302" i="119"/>
  <c r="Q16" i="110"/>
  <c r="AV16" i="110"/>
  <c r="AV17" i="110" s="1"/>
  <c r="AV22" i="110" s="1"/>
  <c r="Z16" i="110"/>
  <c r="Y16" i="110"/>
  <c r="AH16" i="110"/>
  <c r="AH17" i="110" s="1"/>
  <c r="AH22" i="110" s="1"/>
  <c r="AA112" i="110"/>
  <c r="AA114" i="110" s="1"/>
  <c r="AA113" i="110"/>
  <c r="AA116" i="110" s="1"/>
  <c r="V327" i="119" s="1"/>
  <c r="AA115" i="110"/>
  <c r="O110" i="110"/>
  <c r="Z28" i="132"/>
  <c r="AH112" i="110"/>
  <c r="AH114" i="110" s="1"/>
  <c r="AH113" i="110"/>
  <c r="AH116" i="110" s="1"/>
  <c r="AH115" i="110"/>
  <c r="N28" i="132"/>
  <c r="V113" i="110"/>
  <c r="V116" i="110" s="1"/>
  <c r="V115" i="110"/>
  <c r="V112" i="110"/>
  <c r="V114" i="110" s="1"/>
  <c r="O19" i="20"/>
  <c r="O39" i="20" s="1"/>
  <c r="O38" i="20"/>
  <c r="O25" i="20"/>
  <c r="O70" i="20" s="1"/>
  <c r="O52" i="110"/>
  <c r="V287" i="119"/>
  <c r="R27" i="138"/>
  <c r="N27" i="132"/>
  <c r="V29" i="20"/>
  <c r="V26" i="20"/>
  <c r="V24" i="20"/>
  <c r="V44" i="20" s="1"/>
  <c r="V19" i="20"/>
  <c r="V18" i="20"/>
  <c r="V22" i="20"/>
  <c r="V31" i="20"/>
  <c r="V23" i="20"/>
  <c r="V35" i="20"/>
  <c r="V55" i="20" s="1"/>
  <c r="V32" i="20"/>
  <c r="V25" i="20"/>
  <c r="V70" i="20" s="1"/>
  <c r="V34" i="20"/>
  <c r="V28" i="20"/>
  <c r="V73" i="20" s="1"/>
  <c r="V21" i="20"/>
  <c r="V27" i="20"/>
  <c r="V47" i="20" s="1"/>
  <c r="V33" i="20"/>
  <c r="V53" i="20" s="1"/>
  <c r="V20" i="20"/>
  <c r="V40" i="20" s="1"/>
  <c r="V30" i="20"/>
  <c r="V50" i="20" s="1"/>
  <c r="V17" i="20"/>
  <c r="Q287" i="119"/>
  <c r="M27" i="138"/>
  <c r="P24" i="20"/>
  <c r="P44" i="20" s="1"/>
  <c r="P25" i="20"/>
  <c r="P70" i="20" s="1"/>
  <c r="P23" i="20"/>
  <c r="P31" i="20"/>
  <c r="P26" i="20"/>
  <c r="P18" i="20"/>
  <c r="P32" i="20"/>
  <c r="P30" i="20"/>
  <c r="P50" i="20" s="1"/>
  <c r="P17" i="20"/>
  <c r="P22" i="20"/>
  <c r="P20" i="20"/>
  <c r="P40" i="20" s="1"/>
  <c r="P29" i="20"/>
  <c r="P27" i="20"/>
  <c r="P47" i="20" s="1"/>
  <c r="P28" i="20"/>
  <c r="P73" i="20" s="1"/>
  <c r="P33" i="20"/>
  <c r="P53" i="20" s="1"/>
  <c r="P19" i="20"/>
  <c r="P34" i="20"/>
  <c r="P21" i="20"/>
  <c r="P35" i="20"/>
  <c r="P55" i="20" s="1"/>
  <c r="AG27" i="20"/>
  <c r="AG47" i="20" s="1"/>
  <c r="AG20" i="20"/>
  <c r="AG40" i="20" s="1"/>
  <c r="AG17" i="20"/>
  <c r="AG22" i="20"/>
  <c r="AG24" i="20"/>
  <c r="AG44" i="20" s="1"/>
  <c r="AG30" i="20"/>
  <c r="AG50" i="20" s="1"/>
  <c r="AG34" i="20"/>
  <c r="AG29" i="20"/>
  <c r="AG18" i="20"/>
  <c r="AG33" i="20"/>
  <c r="AG53" i="20" s="1"/>
  <c r="AG25" i="20"/>
  <c r="AG70" i="20" s="1"/>
  <c r="AG23" i="20"/>
  <c r="AG31" i="20"/>
  <c r="AG26" i="20"/>
  <c r="AG21" i="20"/>
  <c r="AG35" i="20"/>
  <c r="AG55" i="20" s="1"/>
  <c r="AG32" i="20"/>
  <c r="AG19" i="20"/>
  <c r="AG28" i="20"/>
  <c r="AG73" i="20" s="1"/>
  <c r="AA27" i="20"/>
  <c r="AA47" i="20" s="1"/>
  <c r="AA17" i="20"/>
  <c r="AA32" i="20"/>
  <c r="AA20" i="20"/>
  <c r="AA40" i="20" s="1"/>
  <c r="AA34" i="20"/>
  <c r="AA29" i="20"/>
  <c r="AA21" i="20"/>
  <c r="AA19" i="20"/>
  <c r="AA28" i="20"/>
  <c r="AA73" i="20" s="1"/>
  <c r="AA23" i="20"/>
  <c r="AA26" i="20"/>
  <c r="AA35" i="20"/>
  <c r="AA55" i="20" s="1"/>
  <c r="AA18" i="20"/>
  <c r="AA24" i="20"/>
  <c r="AA44" i="20" s="1"/>
  <c r="AA31" i="20"/>
  <c r="AA33" i="20"/>
  <c r="AA53" i="20" s="1"/>
  <c r="AA25" i="20"/>
  <c r="AA70" i="20" s="1"/>
  <c r="AA30" i="20"/>
  <c r="AA50" i="20" s="1"/>
  <c r="AA22" i="20"/>
  <c r="AC287" i="119"/>
  <c r="Y27" i="138"/>
  <c r="AE89" i="20"/>
  <c r="AE92" i="20" s="1"/>
  <c r="AD89" i="20"/>
  <c r="AD92" i="20" s="1"/>
  <c r="T89" i="20"/>
  <c r="T92" i="20" s="1"/>
  <c r="Y89" i="20"/>
  <c r="Y92" i="20" s="1"/>
  <c r="J24" i="122"/>
  <c r="J53" i="122" s="1"/>
  <c r="P30" i="59"/>
  <c r="E7" i="116"/>
  <c r="E6" i="116"/>
  <c r="Y76" i="60"/>
  <c r="AA85" i="61" s="1"/>
  <c r="AA87" i="62" s="1"/>
  <c r="O86" i="59"/>
  <c r="E57" i="106"/>
  <c r="O48" i="59" s="1"/>
  <c r="E10" i="106"/>
  <c r="E17" i="106"/>
  <c r="AN12" i="106"/>
  <c r="E12" i="106"/>
  <c r="E84" i="106"/>
  <c r="E70" i="106"/>
  <c r="E65" i="106"/>
  <c r="Z124" i="59"/>
  <c r="Z76" i="60" s="1"/>
  <c r="AB85" i="61" s="1"/>
  <c r="O76" i="60"/>
  <c r="Q85" i="61" s="1"/>
  <c r="Q87" i="62" s="1"/>
  <c r="O126" i="59"/>
  <c r="P124" i="59"/>
  <c r="K45" i="119" s="1"/>
  <c r="Y126" i="59"/>
  <c r="T240" i="119" s="1"/>
  <c r="AS240" i="119"/>
  <c r="O66" i="106"/>
  <c r="F66" i="106"/>
  <c r="O13" i="106"/>
  <c r="AN66" i="106"/>
  <c r="P13" i="106"/>
  <c r="P66" i="106"/>
  <c r="F13" i="106"/>
  <c r="P17" i="106"/>
  <c r="O70" i="106"/>
  <c r="AN70" i="106"/>
  <c r="O31" i="59"/>
  <c r="K48" i="118"/>
  <c r="K50" i="118" s="1"/>
  <c r="F17" i="106"/>
  <c r="AX55" i="60"/>
  <c r="AZ72" i="61" s="1"/>
  <c r="AN17" i="106"/>
  <c r="AE42" i="82"/>
  <c r="AD42" i="82"/>
  <c r="AE41" i="82"/>
  <c r="AD41" i="82"/>
  <c r="AE46" i="82"/>
  <c r="AD46" i="82"/>
  <c r="AE43" i="82"/>
  <c r="AD43" i="82"/>
  <c r="AE40" i="82"/>
  <c r="AD40" i="82"/>
  <c r="AE52" i="82"/>
  <c r="AD52" i="82"/>
  <c r="AE31" i="82"/>
  <c r="AD31" i="82"/>
  <c r="AE25" i="82"/>
  <c r="AD25" i="82"/>
  <c r="AE49" i="82"/>
  <c r="AD49" i="82"/>
  <c r="AE29" i="82"/>
  <c r="AD29" i="82"/>
  <c r="AE23" i="82"/>
  <c r="AD23" i="82"/>
  <c r="AE22" i="82"/>
  <c r="AD22" i="82"/>
  <c r="AE32" i="82"/>
  <c r="AD32" i="82"/>
  <c r="AE37" i="82"/>
  <c r="AD37" i="82"/>
  <c r="AE47" i="82"/>
  <c r="AD47" i="82"/>
  <c r="AE28" i="82"/>
  <c r="AD28" i="82"/>
  <c r="AE36" i="82"/>
  <c r="AD36" i="82"/>
  <c r="AE48" i="82"/>
  <c r="AD48" i="82"/>
  <c r="AE30" i="82"/>
  <c r="AD30" i="82"/>
  <c r="AE34" i="82"/>
  <c r="AD34" i="82"/>
  <c r="AE51" i="82"/>
  <c r="AD51" i="82"/>
  <c r="AE38" i="82"/>
  <c r="AD38" i="82"/>
  <c r="AE26" i="82"/>
  <c r="AD26" i="82"/>
  <c r="AE27" i="82"/>
  <c r="AD27" i="82"/>
  <c r="AE50" i="82"/>
  <c r="AD50" i="82"/>
  <c r="AE35" i="82"/>
  <c r="AD35" i="82"/>
  <c r="AE39" i="82"/>
  <c r="AD39" i="82"/>
  <c r="AE33" i="82"/>
  <c r="AD33" i="82"/>
  <c r="AE53" i="82"/>
  <c r="AD53" i="82"/>
  <c r="AE21" i="82"/>
  <c r="AD21" i="82"/>
  <c r="AE44" i="82"/>
  <c r="AD44" i="82"/>
  <c r="AE24" i="82"/>
  <c r="AD24" i="82"/>
  <c r="AE45" i="82"/>
  <c r="AD45" i="82"/>
  <c r="G29" i="132"/>
  <c r="Y254" i="99"/>
  <c r="Y263" i="99"/>
  <c r="Y266" i="99"/>
  <c r="G275" i="99"/>
  <c r="Y275" i="99" s="1"/>
  <c r="X160" i="99"/>
  <c r="X161" i="99" s="1"/>
  <c r="P110" i="110" s="1"/>
  <c r="X82" i="99"/>
  <c r="X83" i="99" s="1"/>
  <c r="P47" i="110" s="1"/>
  <c r="P48" i="110" s="1"/>
  <c r="K329" i="119" s="1"/>
  <c r="AK13" i="99"/>
  <c r="Y140" i="99"/>
  <c r="Y125" i="99"/>
  <c r="Y139" i="99"/>
  <c r="Y156" i="99"/>
  <c r="Y65" i="99"/>
  <c r="Y129" i="99"/>
  <c r="Y76" i="99"/>
  <c r="Y133" i="99"/>
  <c r="AK9" i="99"/>
  <c r="Y151" i="99"/>
  <c r="Y157" i="99"/>
  <c r="Y56" i="99"/>
  <c r="Y143" i="99"/>
  <c r="Y61" i="99"/>
  <c r="G82" i="99"/>
  <c r="Y127" i="99"/>
  <c r="Y80" i="99"/>
  <c r="Y141" i="99"/>
  <c r="Y148" i="99"/>
  <c r="Y75" i="99"/>
  <c r="Y50" i="99"/>
  <c r="Y66" i="99"/>
  <c r="Y78" i="99"/>
  <c r="Y149" i="99"/>
  <c r="Y68" i="99"/>
  <c r="Y54" i="99"/>
  <c r="Y145" i="99"/>
  <c r="Y63" i="99"/>
  <c r="Y71" i="99"/>
  <c r="Y138" i="99"/>
  <c r="Y72" i="99"/>
  <c r="Y57" i="99"/>
  <c r="Y152" i="99"/>
  <c r="Y62" i="99"/>
  <c r="Y79" i="99"/>
  <c r="H47" i="99"/>
  <c r="Y154" i="99"/>
  <c r="H125" i="99"/>
  <c r="Y150" i="99"/>
  <c r="Y70" i="99"/>
  <c r="Y153" i="99"/>
  <c r="Y58" i="99"/>
  <c r="Y73" i="99"/>
  <c r="Y74" i="99"/>
  <c r="Y48" i="99"/>
  <c r="Y51" i="99"/>
  <c r="Y134" i="99"/>
  <c r="Y137" i="99"/>
  <c r="Y136" i="99"/>
  <c r="Y146" i="99"/>
  <c r="Y47" i="99"/>
  <c r="Y49" i="99"/>
  <c r="Y69" i="99"/>
  <c r="AN84" i="106"/>
  <c r="Z25" i="119"/>
  <c r="Y25" i="119"/>
  <c r="AS91" i="119"/>
  <c r="L93" i="119"/>
  <c r="S93" i="119"/>
  <c r="X93" i="119"/>
  <c r="N91" i="119"/>
  <c r="AL93" i="119"/>
  <c r="AK91" i="119"/>
  <c r="T93" i="119"/>
  <c r="AQ93" i="119"/>
  <c r="AH93" i="119"/>
  <c r="V91" i="119"/>
  <c r="T91" i="119"/>
  <c r="AQ91" i="119"/>
  <c r="AH91" i="119"/>
  <c r="AF91" i="119"/>
  <c r="AC93" i="119"/>
  <c r="P91" i="119"/>
  <c r="AM91" i="119"/>
  <c r="Y91" i="119"/>
  <c r="AR91" i="119"/>
  <c r="AE93" i="119"/>
  <c r="V93" i="119"/>
  <c r="U91" i="119"/>
  <c r="AA93" i="119"/>
  <c r="R93" i="119"/>
  <c r="AF93" i="119"/>
  <c r="O91" i="119"/>
  <c r="Y93" i="119"/>
  <c r="M93" i="119"/>
  <c r="AG93" i="119"/>
  <c r="AO93" i="119"/>
  <c r="U93" i="119"/>
  <c r="K91" i="119"/>
  <c r="AP93" i="119"/>
  <c r="AE91" i="119"/>
  <c r="AB91" i="119"/>
  <c r="O93" i="119"/>
  <c r="AP91" i="119"/>
  <c r="S91" i="119"/>
  <c r="X91" i="119"/>
  <c r="K93" i="119"/>
  <c r="AL91" i="119"/>
  <c r="AG91" i="119"/>
  <c r="P93" i="119"/>
  <c r="AM93" i="119"/>
  <c r="AD93" i="119"/>
  <c r="AK93" i="119"/>
  <c r="AS93" i="119"/>
  <c r="Q93" i="119"/>
  <c r="AR93" i="119"/>
  <c r="AB93" i="119"/>
  <c r="AI93" i="119"/>
  <c r="Z93" i="119"/>
  <c r="AN93" i="119"/>
  <c r="L91" i="119"/>
  <c r="AI91" i="119"/>
  <c r="Z91" i="119"/>
  <c r="AJ93" i="119"/>
  <c r="AA91" i="119"/>
  <c r="Q91" i="119"/>
  <c r="AJ91" i="119"/>
  <c r="W93" i="119"/>
  <c r="N93" i="119"/>
  <c r="J329" i="119"/>
  <c r="G5" i="132"/>
  <c r="J9" i="122" s="1"/>
  <c r="G30" i="132"/>
  <c r="E36" i="106"/>
  <c r="Y276" i="99"/>
  <c r="Y158" i="99"/>
  <c r="Y265" i="99"/>
  <c r="Y250" i="99"/>
  <c r="Y267" i="99"/>
  <c r="Y264" i="99"/>
  <c r="Y249" i="99"/>
  <c r="Y244" i="99"/>
  <c r="Y261" i="99"/>
  <c r="Y258" i="99"/>
  <c r="Y269" i="99"/>
  <c r="Y242" i="99"/>
  <c r="Y268" i="99"/>
  <c r="Y256" i="99"/>
  <c r="AK28" i="99"/>
  <c r="S41" i="99"/>
  <c r="G277" i="99"/>
  <c r="Y243" i="99"/>
  <c r="Y270" i="99"/>
  <c r="Y255" i="99"/>
  <c r="Y260" i="99"/>
  <c r="Y253" i="99"/>
  <c r="Y273" i="99"/>
  <c r="Y262" i="99"/>
  <c r="X277" i="99"/>
  <c r="X278" i="99" s="1"/>
  <c r="E68" i="106"/>
  <c r="Y245" i="99"/>
  <c r="Y257" i="99"/>
  <c r="Y271" i="99"/>
  <c r="AJ274" i="99"/>
  <c r="E90" i="106"/>
  <c r="AC54" i="82"/>
  <c r="AC55" i="82"/>
  <c r="V59" i="82"/>
  <c r="AK197" i="99"/>
  <c r="AC56" i="82"/>
  <c r="AK32" i="99"/>
  <c r="AK157" i="99"/>
  <c r="M278" i="99"/>
  <c r="Y184" i="99"/>
  <c r="G198" i="99"/>
  <c r="Y198" i="99" s="1"/>
  <c r="H159" i="99"/>
  <c r="Z159" i="99" s="1"/>
  <c r="Y194" i="99"/>
  <c r="H158" i="99"/>
  <c r="Z158" i="99" s="1"/>
  <c r="H81" i="99"/>
  <c r="Z81" i="99" s="1"/>
  <c r="H42" i="99"/>
  <c r="Z42" i="99" s="1"/>
  <c r="H41" i="99"/>
  <c r="Z41" i="99" s="1"/>
  <c r="S276" i="99"/>
  <c r="AK276" i="99" s="1"/>
  <c r="W235" i="99"/>
  <c r="W238" i="99" s="1"/>
  <c r="W239" i="99" s="1"/>
  <c r="O59" i="110" s="1"/>
  <c r="O60" i="110" s="1"/>
  <c r="G197" i="99"/>
  <c r="Y197" i="99" s="1"/>
  <c r="H169" i="99"/>
  <c r="N276" i="99"/>
  <c r="AF276" i="99" s="1"/>
  <c r="G119" i="99"/>
  <c r="Y119" i="99" s="1"/>
  <c r="H91" i="99"/>
  <c r="Y88" i="99"/>
  <c r="G120" i="99"/>
  <c r="Y120" i="99" s="1"/>
  <c r="H80" i="99"/>
  <c r="Z80" i="99" s="1"/>
  <c r="G278" i="99"/>
  <c r="AK34" i="99"/>
  <c r="AK24" i="99"/>
  <c r="AA325" i="119"/>
  <c r="K46" i="119"/>
  <c r="AF59" i="82"/>
  <c r="AN63" i="106"/>
  <c r="AX111" i="59"/>
  <c r="AX56" i="60"/>
  <c r="AZ73" i="61" s="1"/>
  <c r="E63" i="106"/>
  <c r="P55" i="82"/>
  <c r="Q55" i="82"/>
  <c r="P54" i="82"/>
  <c r="N275" i="99"/>
  <c r="AF275" i="99" s="1"/>
  <c r="S198" i="99"/>
  <c r="AK198" i="99" s="1"/>
  <c r="Y236" i="99"/>
  <c r="H276" i="99"/>
  <c r="Z276" i="99" s="1"/>
  <c r="G237" i="99"/>
  <c r="Y237" i="99" s="1"/>
  <c r="H275" i="99"/>
  <c r="Z275" i="99" s="1"/>
  <c r="S275" i="99"/>
  <c r="AK275" i="99" s="1"/>
  <c r="AK26" i="99"/>
  <c r="N197" i="99"/>
  <c r="AF197" i="99" s="1"/>
  <c r="N198" i="99"/>
  <c r="AF198" i="99" s="1"/>
  <c r="N159" i="99"/>
  <c r="AF159" i="99" s="1"/>
  <c r="AK159" i="99"/>
  <c r="S28" i="132"/>
  <c r="S158" i="99"/>
  <c r="AK158" i="99" s="1"/>
  <c r="N158" i="99"/>
  <c r="AF158" i="99" s="1"/>
  <c r="S120" i="99"/>
  <c r="AK120" i="99" s="1"/>
  <c r="S81" i="99"/>
  <c r="AK81" i="99" s="1"/>
  <c r="AE274" i="99"/>
  <c r="AE277" i="99" s="1"/>
  <c r="AE278" i="99" s="1"/>
  <c r="AF118" i="110"/>
  <c r="Y118" i="110"/>
  <c r="T27" i="119" s="1"/>
  <c r="P26" i="138" s="1"/>
  <c r="T118" i="110"/>
  <c r="N81" i="99"/>
  <c r="AF81" i="99" s="1"/>
  <c r="N120" i="99"/>
  <c r="AF120" i="99" s="1"/>
  <c r="S119" i="99"/>
  <c r="AK119" i="99" s="1"/>
  <c r="N41" i="99"/>
  <c r="AF41" i="99" s="1"/>
  <c r="S80" i="99"/>
  <c r="AK80" i="99" s="1"/>
  <c r="N119" i="99"/>
  <c r="AF119" i="99" s="1"/>
  <c r="T327" i="119"/>
  <c r="AA326" i="119"/>
  <c r="AK125" i="99"/>
  <c r="Y170" i="99"/>
  <c r="AK145" i="99"/>
  <c r="AK129" i="99"/>
  <c r="AK155" i="99"/>
  <c r="AK127" i="99"/>
  <c r="AJ160" i="99"/>
  <c r="AJ161" i="99" s="1"/>
  <c r="AB110" i="110" s="1"/>
  <c r="AK154" i="99"/>
  <c r="AK137" i="99"/>
  <c r="AK8" i="99"/>
  <c r="S42" i="99"/>
  <c r="AK42" i="99" s="1"/>
  <c r="N80" i="99"/>
  <c r="AF80" i="99" s="1"/>
  <c r="AK41" i="99"/>
  <c r="AD118" i="110"/>
  <c r="AK135" i="99"/>
  <c r="N42" i="99"/>
  <c r="AF42" i="99" s="1"/>
  <c r="Y180" i="99"/>
  <c r="AK270" i="99"/>
  <c r="AK148" i="99"/>
  <c r="S160" i="99"/>
  <c r="AK152" i="99"/>
  <c r="AK147" i="99"/>
  <c r="AK128" i="99"/>
  <c r="AK140" i="99"/>
  <c r="AK136" i="99"/>
  <c r="AK130" i="99"/>
  <c r="AK149" i="99"/>
  <c r="AK138" i="99"/>
  <c r="AK150" i="99"/>
  <c r="AK151" i="99"/>
  <c r="AK153" i="99"/>
  <c r="AK146" i="99"/>
  <c r="AK142" i="99"/>
  <c r="AE118" i="110"/>
  <c r="Z27" i="119" s="1"/>
  <c r="V26" i="138" s="1"/>
  <c r="AK132" i="99"/>
  <c r="AK139" i="99"/>
  <c r="AK126" i="99"/>
  <c r="AK133" i="99"/>
  <c r="AK156" i="99"/>
  <c r="AK134" i="99"/>
  <c r="AK131" i="99"/>
  <c r="AK21" i="99"/>
  <c r="Y228" i="99"/>
  <c r="Y108" i="99"/>
  <c r="Y100" i="99"/>
  <c r="Y92" i="99"/>
  <c r="AK15" i="99"/>
  <c r="AK19" i="99"/>
  <c r="AK29" i="99"/>
  <c r="AB327" i="119"/>
  <c r="AB342" i="119"/>
  <c r="P326" i="119"/>
  <c r="P341" i="119"/>
  <c r="P327" i="119"/>
  <c r="P342" i="119"/>
  <c r="AK14" i="99"/>
  <c r="Y113" i="99"/>
  <c r="Y104" i="99"/>
  <c r="Y96" i="99"/>
  <c r="AK30" i="99"/>
  <c r="AK38" i="99"/>
  <c r="AK39" i="99"/>
  <c r="AK36" i="99"/>
  <c r="U326" i="119"/>
  <c r="U341" i="119"/>
  <c r="Y115" i="99"/>
  <c r="AB326" i="119"/>
  <c r="AB341" i="119"/>
  <c r="U327" i="119"/>
  <c r="U342" i="119"/>
  <c r="J99" i="119"/>
  <c r="T99" i="119"/>
  <c r="U96" i="119"/>
  <c r="AS96" i="119"/>
  <c r="AK249" i="99"/>
  <c r="Z264" i="99"/>
  <c r="Y274" i="99"/>
  <c r="AF141" i="99"/>
  <c r="Y196" i="99"/>
  <c r="Y186" i="99"/>
  <c r="Y195" i="99"/>
  <c r="AF95" i="99"/>
  <c r="Y177" i="99"/>
  <c r="Y181" i="99"/>
  <c r="AK50" i="99"/>
  <c r="Y189" i="99"/>
  <c r="Y192" i="99"/>
  <c r="AK78" i="99"/>
  <c r="Y229" i="99"/>
  <c r="Y222" i="99"/>
  <c r="Y171" i="99"/>
  <c r="Y182" i="99"/>
  <c r="Y166" i="99"/>
  <c r="Y191" i="99"/>
  <c r="Y188" i="99"/>
  <c r="Y183" i="99"/>
  <c r="Y185" i="99"/>
  <c r="AF98" i="99"/>
  <c r="Z272" i="99"/>
  <c r="Y187" i="99"/>
  <c r="Y193" i="99"/>
  <c r="Y172" i="99"/>
  <c r="AF11" i="99"/>
  <c r="Y179" i="99"/>
  <c r="Y167" i="99"/>
  <c r="AK194" i="99"/>
  <c r="AK254" i="99"/>
  <c r="AF96" i="99"/>
  <c r="AS115" i="119"/>
  <c r="AZ84" i="61"/>
  <c r="L46" i="119"/>
  <c r="J418" i="119"/>
  <c r="E43" i="92" s="1"/>
  <c r="J287" i="119"/>
  <c r="T44" i="119"/>
  <c r="T98" i="119" s="1"/>
  <c r="Y75" i="60"/>
  <c r="T168" i="119"/>
  <c r="AH10" i="59"/>
  <c r="AC37" i="119"/>
  <c r="AI10" i="59"/>
  <c r="AD37" i="119"/>
  <c r="AS10" i="59"/>
  <c r="AN37" i="119"/>
  <c r="W10" i="59"/>
  <c r="R37" i="119"/>
  <c r="R10" i="59"/>
  <c r="M37" i="119"/>
  <c r="AB10" i="59"/>
  <c r="W37" i="119"/>
  <c r="AT10" i="59"/>
  <c r="AO37" i="119"/>
  <c r="X10" i="59"/>
  <c r="AC10" i="59"/>
  <c r="AE10" i="59"/>
  <c r="Y10" i="59"/>
  <c r="O63" i="106"/>
  <c r="O84" i="106"/>
  <c r="AV10" i="59"/>
  <c r="P10" i="59"/>
  <c r="Y86" i="59"/>
  <c r="AU10" i="59"/>
  <c r="Z10" i="59"/>
  <c r="AA10" i="59"/>
  <c r="AM10" i="59"/>
  <c r="AW10" i="59"/>
  <c r="AF46" i="20"/>
  <c r="AX58" i="60"/>
  <c r="AZ75" i="61" s="1"/>
  <c r="AG10" i="59"/>
  <c r="AK10" i="59"/>
  <c r="AX10" i="59"/>
  <c r="AN10" i="59"/>
  <c r="AQ10" i="59"/>
  <c r="T10" i="59"/>
  <c r="AL10" i="59"/>
  <c r="AX87" i="59"/>
  <c r="Q10" i="59"/>
  <c r="U10" i="59"/>
  <c r="AR10" i="59"/>
  <c r="S10" i="59"/>
  <c r="AF10" i="59"/>
  <c r="Z127" i="110"/>
  <c r="AD10" i="59"/>
  <c r="AP10" i="59"/>
  <c r="AO10" i="59"/>
  <c r="V10" i="59"/>
  <c r="AJ10" i="59"/>
  <c r="S27" i="132"/>
  <c r="S26" i="132"/>
  <c r="H26" i="132"/>
  <c r="H27" i="132"/>
  <c r="N26" i="132"/>
  <c r="Y27" i="132"/>
  <c r="Y26" i="132"/>
  <c r="I15" i="132"/>
  <c r="L24" i="122" s="1"/>
  <c r="L53" i="122" s="1"/>
  <c r="I9" i="132"/>
  <c r="L13" i="122" s="1"/>
  <c r="L47" i="122" s="1"/>
  <c r="I10" i="132"/>
  <c r="L14" i="122" s="1"/>
  <c r="L48" i="122" s="1"/>
  <c r="I8" i="132"/>
  <c r="L12" i="122" s="1"/>
  <c r="H18" i="132"/>
  <c r="K27" i="122" s="1"/>
  <c r="K56" i="122" s="1"/>
  <c r="H16" i="132"/>
  <c r="K25" i="122" s="1"/>
  <c r="K54" i="122" s="1"/>
  <c r="H14" i="132"/>
  <c r="K18" i="122" s="1"/>
  <c r="K52" i="122" s="1"/>
  <c r="H13" i="132"/>
  <c r="K17" i="122" s="1"/>
  <c r="K51" i="122" s="1"/>
  <c r="N18" i="132"/>
  <c r="Q27" i="122" s="1"/>
  <c r="Q56" i="122" s="1"/>
  <c r="N14" i="132"/>
  <c r="Q18" i="122" s="1"/>
  <c r="Q52" i="122" s="1"/>
  <c r="N16" i="132"/>
  <c r="Q25" i="122" s="1"/>
  <c r="Q54" i="122" s="1"/>
  <c r="N13" i="132"/>
  <c r="Q17" i="122" s="1"/>
  <c r="Q51" i="122" s="1"/>
  <c r="Y18" i="132"/>
  <c r="AB27" i="122" s="1"/>
  <c r="AB56" i="122" s="1"/>
  <c r="Y14" i="132"/>
  <c r="AB18" i="122" s="1"/>
  <c r="AB52" i="122" s="1"/>
  <c r="Y16" i="132"/>
  <c r="AB25" i="122" s="1"/>
  <c r="AB54" i="122" s="1"/>
  <c r="Y13" i="132"/>
  <c r="AB17" i="122" s="1"/>
  <c r="AB51" i="122" s="1"/>
  <c r="I17" i="132"/>
  <c r="L26" i="122" s="1"/>
  <c r="L55" i="122" s="1"/>
  <c r="I12" i="132"/>
  <c r="L16" i="122" s="1"/>
  <c r="L50" i="122" s="1"/>
  <c r="I11" i="132"/>
  <c r="L15" i="122" s="1"/>
  <c r="L49" i="122" s="1"/>
  <c r="S15" i="132"/>
  <c r="V24" i="122" s="1"/>
  <c r="V53" i="122" s="1"/>
  <c r="S9" i="132"/>
  <c r="V13" i="122" s="1"/>
  <c r="V47" i="122" s="1"/>
  <c r="S10" i="132"/>
  <c r="V14" i="122" s="1"/>
  <c r="V48" i="122" s="1"/>
  <c r="S8" i="132"/>
  <c r="V12" i="122" s="1"/>
  <c r="S17" i="132"/>
  <c r="V26" i="122" s="1"/>
  <c r="V55" i="122" s="1"/>
  <c r="S11" i="132"/>
  <c r="V15" i="122" s="1"/>
  <c r="V49" i="122" s="1"/>
  <c r="S12" i="132"/>
  <c r="V16" i="122" s="1"/>
  <c r="V50" i="122" s="1"/>
  <c r="S18" i="132"/>
  <c r="V27" i="122" s="1"/>
  <c r="V56" i="122" s="1"/>
  <c r="S16" i="132"/>
  <c r="V25" i="122" s="1"/>
  <c r="V54" i="122" s="1"/>
  <c r="S13" i="132"/>
  <c r="V17" i="122" s="1"/>
  <c r="V51" i="122" s="1"/>
  <c r="S14" i="132"/>
  <c r="V18" i="122" s="1"/>
  <c r="V52" i="122" s="1"/>
  <c r="U52" i="20"/>
  <c r="Z71" i="20"/>
  <c r="U74" i="20"/>
  <c r="Z49" i="20"/>
  <c r="Z52" i="20"/>
  <c r="AF52" i="20"/>
  <c r="AA321" i="119"/>
  <c r="Z68" i="20"/>
  <c r="P321" i="119"/>
  <c r="U321" i="119"/>
  <c r="U58" i="20"/>
  <c r="AF58" i="20"/>
  <c r="Z39" i="20"/>
  <c r="Z57" i="20"/>
  <c r="AF67" i="20"/>
  <c r="Z58" i="20"/>
  <c r="Z67" i="20"/>
  <c r="U57" i="20"/>
  <c r="U325" i="119"/>
  <c r="U67" i="20"/>
  <c r="AF68" i="20"/>
  <c r="P325" i="119"/>
  <c r="U126" i="110"/>
  <c r="U46" i="20"/>
  <c r="U127" i="110"/>
  <c r="U39" i="20"/>
  <c r="U68" i="20"/>
  <c r="P56" i="82"/>
  <c r="Z126" i="110"/>
  <c r="AG127" i="110"/>
  <c r="AF57" i="20"/>
  <c r="AG126" i="110"/>
  <c r="G9" i="106"/>
  <c r="G12" i="106" s="1"/>
  <c r="O17" i="106"/>
  <c r="P84" i="106"/>
  <c r="P70" i="106"/>
  <c r="F84" i="106"/>
  <c r="F70" i="106"/>
  <c r="Q329" i="119"/>
  <c r="AF88" i="99"/>
  <c r="Y216" i="99"/>
  <c r="AF171" i="99"/>
  <c r="Y117" i="99"/>
  <c r="AK67" i="99"/>
  <c r="AF35" i="99"/>
  <c r="Z252" i="99"/>
  <c r="AE82" i="99"/>
  <c r="AE83" i="99" s="1"/>
  <c r="W47" i="110" s="1"/>
  <c r="W48" i="110" s="1"/>
  <c r="R24" i="119" s="1"/>
  <c r="N23" i="138" s="1"/>
  <c r="AF259" i="99"/>
  <c r="AF260" i="99"/>
  <c r="AF90" i="99"/>
  <c r="AK168" i="99"/>
  <c r="AF104" i="99"/>
  <c r="AF60" i="99"/>
  <c r="N277" i="99"/>
  <c r="N278" i="99" s="1"/>
  <c r="Y219" i="99"/>
  <c r="Z258" i="99"/>
  <c r="Z78" i="99"/>
  <c r="AF14" i="99"/>
  <c r="AK73" i="99"/>
  <c r="AK35" i="99"/>
  <c r="AF108" i="99"/>
  <c r="AF187" i="99"/>
  <c r="AK257" i="99"/>
  <c r="Z260" i="99"/>
  <c r="AF13" i="99"/>
  <c r="AF128" i="99"/>
  <c r="AF133" i="99"/>
  <c r="AK105" i="99"/>
  <c r="AK112" i="99"/>
  <c r="Y43" i="99"/>
  <c r="Y44" i="99" s="1"/>
  <c r="Q15" i="20" s="1"/>
  <c r="AK167" i="99"/>
  <c r="Y223" i="99"/>
  <c r="AK104" i="99"/>
  <c r="AK248" i="99"/>
  <c r="I174" i="99"/>
  <c r="I115" i="99"/>
  <c r="AJ82" i="99"/>
  <c r="AJ83" i="99" s="1"/>
  <c r="AB47" i="110" s="1"/>
  <c r="AB48" i="110" s="1"/>
  <c r="I189" i="99"/>
  <c r="I192" i="99"/>
  <c r="AF139" i="99"/>
  <c r="AK97" i="99"/>
  <c r="Z126" i="99"/>
  <c r="I126" i="99"/>
  <c r="AF242" i="99"/>
  <c r="I219" i="99"/>
  <c r="V41" i="20"/>
  <c r="V45" i="20"/>
  <c r="V42" i="20"/>
  <c r="V37" i="20"/>
  <c r="V48" i="20"/>
  <c r="V54" i="20"/>
  <c r="V38" i="20"/>
  <c r="V51" i="20"/>
  <c r="O207" i="99"/>
  <c r="I187" i="99"/>
  <c r="Z148" i="99"/>
  <c r="I148" i="99"/>
  <c r="AF131" i="99"/>
  <c r="Z147" i="99"/>
  <c r="I147" i="99"/>
  <c r="AK107" i="99"/>
  <c r="AK91" i="99"/>
  <c r="AF68" i="99"/>
  <c r="Z156" i="99"/>
  <c r="I156" i="99"/>
  <c r="AF115" i="99"/>
  <c r="AF64" i="99"/>
  <c r="Z50" i="99"/>
  <c r="I50" i="99"/>
  <c r="Z33" i="99"/>
  <c r="I33" i="99"/>
  <c r="Z265" i="99"/>
  <c r="I265" i="99"/>
  <c r="AF48" i="99"/>
  <c r="AF77" i="99"/>
  <c r="I229" i="99"/>
  <c r="AK170" i="99"/>
  <c r="Z128" i="99"/>
  <c r="I128" i="99"/>
  <c r="G121" i="99"/>
  <c r="H86" i="99"/>
  <c r="Y86" i="99"/>
  <c r="Y118" i="99"/>
  <c r="Y116" i="99"/>
  <c r="Y93" i="99"/>
  <c r="Y95" i="99"/>
  <c r="Y101" i="99"/>
  <c r="Y105" i="99"/>
  <c r="Y91" i="99"/>
  <c r="Y103" i="99"/>
  <c r="Y107" i="99"/>
  <c r="Y99" i="99"/>
  <c r="Y97" i="99"/>
  <c r="Y109" i="99"/>
  <c r="Y89" i="99"/>
  <c r="Y87" i="99"/>
  <c r="AF29" i="99"/>
  <c r="I216" i="99"/>
  <c r="I186" i="99"/>
  <c r="AF173" i="99"/>
  <c r="AK114" i="99"/>
  <c r="AF150" i="99"/>
  <c r="Z62" i="99"/>
  <c r="I117" i="99"/>
  <c r="AF154" i="99"/>
  <c r="AK174" i="99"/>
  <c r="AF56" i="99"/>
  <c r="Z55" i="99"/>
  <c r="I55" i="99"/>
  <c r="X235" i="99"/>
  <c r="X238" i="99" s="1"/>
  <c r="X239" i="99" s="1"/>
  <c r="P59" i="110" s="1"/>
  <c r="P60" i="110" s="1"/>
  <c r="I255" i="99"/>
  <c r="Z255" i="99"/>
  <c r="AK260" i="99"/>
  <c r="AJ121" i="99"/>
  <c r="AJ122" i="99" s="1"/>
  <c r="AB51" i="110" s="1"/>
  <c r="AB52" i="110" s="1"/>
  <c r="W328" i="119" s="1"/>
  <c r="AA329" i="119"/>
  <c r="AA24" i="119"/>
  <c r="W23" i="138" s="1"/>
  <c r="AF28" i="99"/>
  <c r="AF132" i="99"/>
  <c r="I88" i="99"/>
  <c r="AF27" i="99"/>
  <c r="AF66" i="99"/>
  <c r="AF272" i="99"/>
  <c r="J222" i="99"/>
  <c r="AF261" i="99"/>
  <c r="I177" i="99"/>
  <c r="Z266" i="99"/>
  <c r="I166" i="99"/>
  <c r="Y218" i="99"/>
  <c r="K210" i="99"/>
  <c r="AF142" i="99"/>
  <c r="N160" i="99"/>
  <c r="AF147" i="99"/>
  <c r="AK62" i="99"/>
  <c r="AK265" i="99"/>
  <c r="AK181" i="99"/>
  <c r="I181" i="99"/>
  <c r="Y220" i="99"/>
  <c r="I221" i="99"/>
  <c r="AF118" i="99"/>
  <c r="H213" i="99"/>
  <c r="Y213" i="99"/>
  <c r="I110" i="99"/>
  <c r="I102" i="99"/>
  <c r="I94" i="99"/>
  <c r="AK48" i="99"/>
  <c r="AK61" i="99"/>
  <c r="AK92" i="99"/>
  <c r="AF53" i="99"/>
  <c r="Z40" i="99"/>
  <c r="I40" i="99"/>
  <c r="AK12" i="99"/>
  <c r="AK90" i="99"/>
  <c r="I24" i="99"/>
  <c r="Z24" i="99"/>
  <c r="J224" i="99"/>
  <c r="Z73" i="99"/>
  <c r="I73" i="99"/>
  <c r="AF74" i="99"/>
  <c r="AK18" i="99"/>
  <c r="AK20" i="99"/>
  <c r="AK272" i="99"/>
  <c r="AK175" i="99"/>
  <c r="AE43" i="99"/>
  <c r="AE44" i="99" s="1"/>
  <c r="W15" i="20" s="1"/>
  <c r="AK273" i="99"/>
  <c r="AK262" i="99"/>
  <c r="I183" i="99"/>
  <c r="AK165" i="99"/>
  <c r="Z48" i="99"/>
  <c r="I48" i="99"/>
  <c r="AF39" i="99"/>
  <c r="AK186" i="99"/>
  <c r="Y205" i="99"/>
  <c r="Y206" i="99"/>
  <c r="Y203" i="99"/>
  <c r="AF116" i="99"/>
  <c r="Z250" i="99"/>
  <c r="I112" i="99"/>
  <c r="AF103" i="99"/>
  <c r="Z19" i="99"/>
  <c r="I19" i="99"/>
  <c r="AF19" i="99"/>
  <c r="I226" i="99"/>
  <c r="I185" i="99"/>
  <c r="O206" i="99"/>
  <c r="I134" i="99"/>
  <c r="Z134" i="99"/>
  <c r="AK49" i="99"/>
  <c r="AK243" i="99"/>
  <c r="AK190" i="99"/>
  <c r="I231" i="99"/>
  <c r="AK109" i="99"/>
  <c r="AK93" i="99"/>
  <c r="I114" i="99"/>
  <c r="Z31" i="99"/>
  <c r="I31" i="99"/>
  <c r="AF149" i="99"/>
  <c r="AE121" i="99"/>
  <c r="AE122" i="99" s="1"/>
  <c r="W51" i="110" s="1"/>
  <c r="W52" i="110" s="1"/>
  <c r="R328" i="119" s="1"/>
  <c r="G199" i="99"/>
  <c r="H164" i="99"/>
  <c r="Z193" i="99" s="1"/>
  <c r="Y164" i="99"/>
  <c r="Y168" i="99"/>
  <c r="Y165" i="99"/>
  <c r="Y173" i="99"/>
  <c r="Y175" i="99"/>
  <c r="Y169" i="99"/>
  <c r="I136" i="99"/>
  <c r="Z136" i="99"/>
  <c r="AK116" i="99"/>
  <c r="AK95" i="99"/>
  <c r="AF76" i="99"/>
  <c r="AK64" i="99"/>
  <c r="AF263" i="99"/>
  <c r="AF105" i="99"/>
  <c r="AF97" i="99"/>
  <c r="AF89" i="99"/>
  <c r="AK27" i="99"/>
  <c r="Z273" i="99"/>
  <c r="I273" i="99"/>
  <c r="AF144" i="99"/>
  <c r="AK191" i="99"/>
  <c r="AF34" i="99"/>
  <c r="AF23" i="99"/>
  <c r="AF169" i="99"/>
  <c r="Z143" i="99"/>
  <c r="I143" i="99"/>
  <c r="Y82" i="99"/>
  <c r="Y83" i="99" s="1"/>
  <c r="Q47" i="110" s="1"/>
  <c r="Q48" i="110" s="1"/>
  <c r="Z49" i="99"/>
  <c r="I49" i="99"/>
  <c r="Y233" i="99"/>
  <c r="AK118" i="99"/>
  <c r="AF126" i="99"/>
  <c r="AF138" i="99"/>
  <c r="AK25" i="99"/>
  <c r="Y176" i="99"/>
  <c r="AK16" i="99"/>
  <c r="I111" i="99"/>
  <c r="AF16" i="99"/>
  <c r="Z69" i="99"/>
  <c r="I69" i="99"/>
  <c r="AF21" i="99"/>
  <c r="Y224" i="99"/>
  <c r="Z125" i="99"/>
  <c r="I125" i="99"/>
  <c r="H160" i="99"/>
  <c r="J214" i="99"/>
  <c r="I150" i="99"/>
  <c r="Z150" i="99"/>
  <c r="AQ160" i="99"/>
  <c r="AQ161" i="99" s="1"/>
  <c r="AI110" i="110" s="1"/>
  <c r="AR125" i="99"/>
  <c r="Z75" i="99"/>
  <c r="I75" i="99"/>
  <c r="I108" i="99"/>
  <c r="I100" i="99"/>
  <c r="I92" i="99"/>
  <c r="AK187" i="99"/>
  <c r="AK79" i="99"/>
  <c r="Z25" i="99"/>
  <c r="I25" i="99"/>
  <c r="AK177" i="99"/>
  <c r="Z155" i="99"/>
  <c r="I155" i="99"/>
  <c r="AF156" i="99"/>
  <c r="I144" i="99"/>
  <c r="Z144" i="99"/>
  <c r="X121" i="99"/>
  <c r="X122" i="99" s="1"/>
  <c r="P51" i="110" s="1"/>
  <c r="P52" i="110" s="1"/>
  <c r="K328" i="119" s="1"/>
  <c r="I26" i="99"/>
  <c r="Z26" i="99"/>
  <c r="AF79" i="99"/>
  <c r="AF78" i="99"/>
  <c r="AF270" i="99"/>
  <c r="Z257" i="99"/>
  <c r="I257" i="99"/>
  <c r="AF145" i="99"/>
  <c r="AF75" i="99"/>
  <c r="Z65" i="99"/>
  <c r="I65" i="99"/>
  <c r="Z77" i="99"/>
  <c r="I77" i="99"/>
  <c r="AK51" i="99"/>
  <c r="AK188" i="99"/>
  <c r="AK183" i="99"/>
  <c r="Z129" i="99"/>
  <c r="I129" i="99"/>
  <c r="Z23" i="99"/>
  <c r="I23" i="99"/>
  <c r="Z261" i="99"/>
  <c r="I261" i="99"/>
  <c r="AF268" i="99"/>
  <c r="Y214" i="99"/>
  <c r="I218" i="99"/>
  <c r="I191" i="99"/>
  <c r="AF146" i="99"/>
  <c r="Z149" i="99"/>
  <c r="I149" i="99"/>
  <c r="AF32" i="99"/>
  <c r="AK57" i="99"/>
  <c r="Z11" i="99"/>
  <c r="I11" i="99"/>
  <c r="AK54" i="99"/>
  <c r="AF258" i="99"/>
  <c r="AK77" i="99"/>
  <c r="Z263" i="99"/>
  <c r="I263" i="99"/>
  <c r="J223" i="99"/>
  <c r="I220" i="99"/>
  <c r="I194" i="99"/>
  <c r="Y106" i="99"/>
  <c r="Y98" i="99"/>
  <c r="Y90" i="99"/>
  <c r="AJ43" i="99"/>
  <c r="AJ44" i="99" s="1"/>
  <c r="AB15" i="20" s="1"/>
  <c r="AF73" i="99"/>
  <c r="AF130" i="99"/>
  <c r="AF38" i="99"/>
  <c r="AF249" i="99"/>
  <c r="Z63" i="99"/>
  <c r="I63" i="99"/>
  <c r="AF20" i="99"/>
  <c r="Z71" i="99"/>
  <c r="I71" i="99"/>
  <c r="P54" i="20"/>
  <c r="P38" i="20"/>
  <c r="P42" i="20"/>
  <c r="P48" i="20"/>
  <c r="P51" i="20"/>
  <c r="P37" i="20"/>
  <c r="P41" i="20"/>
  <c r="P45" i="20"/>
  <c r="Z151" i="99"/>
  <c r="I151" i="99"/>
  <c r="L230" i="99"/>
  <c r="AK164" i="99"/>
  <c r="AQ8" i="99"/>
  <c r="AP43" i="99"/>
  <c r="AP44" i="99" s="1"/>
  <c r="AH15" i="20" s="1"/>
  <c r="Y230" i="99"/>
  <c r="Y217" i="99"/>
  <c r="I203" i="99"/>
  <c r="AF94" i="99"/>
  <c r="AK189" i="99"/>
  <c r="Y112" i="99"/>
  <c r="AK96" i="99"/>
  <c r="Z51" i="99"/>
  <c r="I51" i="99"/>
  <c r="N199" i="99"/>
  <c r="AF193" i="99"/>
  <c r="AF185" i="99"/>
  <c r="AF177" i="99"/>
  <c r="AF164" i="99"/>
  <c r="AF165" i="99"/>
  <c r="AF196" i="99"/>
  <c r="AF176" i="99"/>
  <c r="AF184" i="99"/>
  <c r="AF189" i="99"/>
  <c r="AF181" i="99"/>
  <c r="AF190" i="99"/>
  <c r="AF182" i="99"/>
  <c r="AF180" i="99"/>
  <c r="AF188" i="99"/>
  <c r="AF192" i="99"/>
  <c r="AF186" i="99"/>
  <c r="AF183" i="99"/>
  <c r="AF170" i="99"/>
  <c r="AF168" i="99"/>
  <c r="AF178" i="99"/>
  <c r="AF191" i="99"/>
  <c r="AF172" i="99"/>
  <c r="AF194" i="99"/>
  <c r="AK56" i="99"/>
  <c r="AF31" i="99"/>
  <c r="Z243" i="99"/>
  <c r="I243" i="99"/>
  <c r="Y215" i="99"/>
  <c r="Y231" i="99"/>
  <c r="Z137" i="99"/>
  <c r="I137" i="99"/>
  <c r="AF252" i="99"/>
  <c r="AF100" i="99"/>
  <c r="AK66" i="99"/>
  <c r="Z58" i="99"/>
  <c r="Y114" i="99"/>
  <c r="AF110" i="99"/>
  <c r="Z76" i="99"/>
  <c r="AK246" i="99"/>
  <c r="M217" i="99"/>
  <c r="K234" i="99"/>
  <c r="X199" i="99"/>
  <c r="X200" i="99" s="1"/>
  <c r="P55" i="110" s="1"/>
  <c r="P56" i="110" s="1"/>
  <c r="K28" i="119" s="1"/>
  <c r="AF114" i="99"/>
  <c r="Z152" i="99"/>
  <c r="I152" i="99"/>
  <c r="Z67" i="99"/>
  <c r="I67" i="99"/>
  <c r="AK258" i="99"/>
  <c r="AF155" i="99"/>
  <c r="AK264" i="99"/>
  <c r="AK180" i="99"/>
  <c r="I146" i="99"/>
  <c r="Z146" i="99"/>
  <c r="Z38" i="99"/>
  <c r="I38" i="99"/>
  <c r="AK40" i="99"/>
  <c r="I190" i="99"/>
  <c r="AF36" i="99"/>
  <c r="AK33" i="99"/>
  <c r="Z20" i="99"/>
  <c r="I20" i="99"/>
  <c r="Z135" i="99"/>
  <c r="I135" i="99"/>
  <c r="Y111" i="99"/>
  <c r="AF91" i="99"/>
  <c r="AF57" i="99"/>
  <c r="J233" i="99"/>
  <c r="I140" i="99"/>
  <c r="Z140" i="99"/>
  <c r="Z154" i="99"/>
  <c r="I154" i="99"/>
  <c r="AF254" i="99"/>
  <c r="Y160" i="99"/>
  <c r="Y161" i="99" s="1"/>
  <c r="Q110" i="110" s="1"/>
  <c r="AK89" i="99"/>
  <c r="I8" i="99"/>
  <c r="Z8" i="99"/>
  <c r="Z245" i="99"/>
  <c r="I245" i="99"/>
  <c r="H277" i="99"/>
  <c r="Z242" i="99"/>
  <c r="I242" i="99"/>
  <c r="Z254" i="99"/>
  <c r="Z246" i="99"/>
  <c r="AK255" i="99"/>
  <c r="I228" i="99"/>
  <c r="AK171" i="99"/>
  <c r="AJ199" i="99"/>
  <c r="AJ200" i="99" s="1"/>
  <c r="AB55" i="110" s="1"/>
  <c r="AB56" i="110" s="1"/>
  <c r="W28" i="119" s="1"/>
  <c r="AE160" i="99"/>
  <c r="AE161" i="99" s="1"/>
  <c r="W110" i="110" s="1"/>
  <c r="AK99" i="99"/>
  <c r="AF62" i="99"/>
  <c r="AF58" i="99"/>
  <c r="Z74" i="99"/>
  <c r="Z39" i="99"/>
  <c r="I39" i="99"/>
  <c r="Z15" i="99"/>
  <c r="I15" i="99"/>
  <c r="I227" i="99"/>
  <c r="AK94" i="99"/>
  <c r="Z72" i="99"/>
  <c r="AF267" i="99"/>
  <c r="AJ277" i="99"/>
  <c r="AJ278" i="99" s="1"/>
  <c r="I196" i="99"/>
  <c r="Z249" i="99"/>
  <c r="I249" i="99"/>
  <c r="AK169" i="99"/>
  <c r="Z53" i="99"/>
  <c r="I53" i="99"/>
  <c r="J215" i="99"/>
  <c r="I244" i="99"/>
  <c r="Z244" i="99"/>
  <c r="I170" i="99"/>
  <c r="AF50" i="99"/>
  <c r="AF17" i="99"/>
  <c r="AK192" i="99"/>
  <c r="Z64" i="99"/>
  <c r="I172" i="99"/>
  <c r="AF113" i="99"/>
  <c r="Z153" i="99"/>
  <c r="I153" i="99"/>
  <c r="AK98" i="99"/>
  <c r="AF22" i="99"/>
  <c r="AK72" i="99"/>
  <c r="Z36" i="99"/>
  <c r="I36" i="99"/>
  <c r="AK196" i="99"/>
  <c r="AN238" i="99"/>
  <c r="AN239" i="99" s="1"/>
  <c r="AF59" i="110" s="1"/>
  <c r="AF60" i="110" s="1"/>
  <c r="AO203" i="99"/>
  <c r="I182" i="99"/>
  <c r="AF54" i="99"/>
  <c r="AF12" i="99"/>
  <c r="AK53" i="99"/>
  <c r="I179" i="99"/>
  <c r="AF135" i="99"/>
  <c r="AK102" i="99"/>
  <c r="AF63" i="99"/>
  <c r="AF248" i="99"/>
  <c r="AF250" i="99"/>
  <c r="AF253" i="99"/>
  <c r="AF251" i="99"/>
  <c r="AF246" i="99"/>
  <c r="AF247" i="99"/>
  <c r="AF245" i="99"/>
  <c r="AF273" i="99"/>
  <c r="AF255" i="99"/>
  <c r="AF136" i="99"/>
  <c r="I132" i="99"/>
  <c r="Z132" i="99"/>
  <c r="AF140" i="99"/>
  <c r="AK70" i="99"/>
  <c r="AK76" i="99"/>
  <c r="AF33" i="99"/>
  <c r="AF106" i="99"/>
  <c r="Z268" i="99"/>
  <c r="AO277" i="99"/>
  <c r="AO278" i="99" s="1"/>
  <c r="AP242" i="99"/>
  <c r="S277" i="99"/>
  <c r="I256" i="99"/>
  <c r="Z256" i="99"/>
  <c r="I188" i="99"/>
  <c r="AQ86" i="99"/>
  <c r="AP121" i="99"/>
  <c r="AP122" i="99" s="1"/>
  <c r="AH51" i="110" s="1"/>
  <c r="AH52" i="110" s="1"/>
  <c r="AC328" i="119" s="1"/>
  <c r="I106" i="99"/>
  <c r="I98" i="99"/>
  <c r="I90" i="99"/>
  <c r="AF24" i="99"/>
  <c r="AK108" i="99"/>
  <c r="AF65" i="99"/>
  <c r="Z66" i="99"/>
  <c r="Z18" i="99"/>
  <c r="I18" i="99"/>
  <c r="I54" i="99"/>
  <c r="Z54" i="99"/>
  <c r="Z70" i="99"/>
  <c r="AF271" i="99"/>
  <c r="AK47" i="99"/>
  <c r="AF256" i="99"/>
  <c r="AK113" i="99"/>
  <c r="AK37" i="99"/>
  <c r="Z59" i="99"/>
  <c r="I59" i="99"/>
  <c r="AF174" i="99"/>
  <c r="Z17" i="99"/>
  <c r="I17" i="99"/>
  <c r="Y209" i="99"/>
  <c r="AK172" i="99"/>
  <c r="S199" i="99"/>
  <c r="Z13" i="99"/>
  <c r="I13" i="99"/>
  <c r="I34" i="99"/>
  <c r="Z34" i="99"/>
  <c r="AG54" i="20"/>
  <c r="AG38" i="20"/>
  <c r="AG37" i="20"/>
  <c r="AG45" i="20"/>
  <c r="AG42" i="20"/>
  <c r="AG41" i="20"/>
  <c r="AG48" i="20"/>
  <c r="AG51" i="20"/>
  <c r="Y234" i="99"/>
  <c r="Y210" i="99"/>
  <c r="G238" i="99"/>
  <c r="Z21" i="99"/>
  <c r="I21" i="99"/>
  <c r="AK182" i="99"/>
  <c r="Y232" i="99"/>
  <c r="AF179" i="99"/>
  <c r="AF87" i="99"/>
  <c r="Z60" i="99"/>
  <c r="I60" i="99"/>
  <c r="I52" i="99"/>
  <c r="Z52" i="99"/>
  <c r="AF265" i="99"/>
  <c r="Z262" i="99"/>
  <c r="I251" i="99"/>
  <c r="Z251" i="99"/>
  <c r="AF112" i="99"/>
  <c r="AF49" i="99"/>
  <c r="AK193" i="99"/>
  <c r="AF152" i="99"/>
  <c r="K205" i="99"/>
  <c r="AF92" i="99"/>
  <c r="AF61" i="99"/>
  <c r="AK101" i="99"/>
  <c r="Z27" i="99"/>
  <c r="I27" i="99"/>
  <c r="I12" i="99"/>
  <c r="Z12" i="99"/>
  <c r="AF175" i="99"/>
  <c r="I142" i="99"/>
  <c r="Z142" i="99"/>
  <c r="I10" i="99"/>
  <c r="Z10" i="99"/>
  <c r="AF262" i="99"/>
  <c r="I184" i="99"/>
  <c r="AF151" i="99"/>
  <c r="I130" i="99"/>
  <c r="Z130" i="99"/>
  <c r="AK103" i="99"/>
  <c r="AK87" i="99"/>
  <c r="AF109" i="99"/>
  <c r="AF101" i="99"/>
  <c r="AF93" i="99"/>
  <c r="Z56" i="99"/>
  <c r="I56" i="99"/>
  <c r="AK110" i="99"/>
  <c r="AK17" i="99"/>
  <c r="Z68" i="99"/>
  <c r="I178" i="99"/>
  <c r="AF148" i="99"/>
  <c r="AF129" i="99"/>
  <c r="Z79" i="99"/>
  <c r="I79" i="99"/>
  <c r="Z61" i="99"/>
  <c r="I61" i="99"/>
  <c r="AK68" i="99"/>
  <c r="AK60" i="99"/>
  <c r="AK11" i="99"/>
  <c r="AF47" i="99"/>
  <c r="Y190" i="99"/>
  <c r="AK23" i="99"/>
  <c r="AF67" i="99"/>
  <c r="AF52" i="99"/>
  <c r="AK10" i="99"/>
  <c r="Z269" i="99"/>
  <c r="I269" i="99"/>
  <c r="Z267" i="99"/>
  <c r="I267" i="99"/>
  <c r="I235" i="99"/>
  <c r="Z141" i="99"/>
  <c r="I141" i="99"/>
  <c r="AF71" i="99"/>
  <c r="Z139" i="99"/>
  <c r="I139" i="99"/>
  <c r="AF243" i="99"/>
  <c r="Y208" i="99"/>
  <c r="H208" i="99"/>
  <c r="H236" i="99" s="1"/>
  <c r="AK63" i="99"/>
  <c r="Z16" i="99"/>
  <c r="I16" i="99"/>
  <c r="AK245" i="99"/>
  <c r="AK178" i="99"/>
  <c r="AK195" i="99"/>
  <c r="AF137" i="99"/>
  <c r="I113" i="99"/>
  <c r="AF153" i="99"/>
  <c r="AK59" i="99"/>
  <c r="I104" i="99"/>
  <c r="I96" i="99"/>
  <c r="AK253" i="99"/>
  <c r="H212" i="99"/>
  <c r="Y212" i="99"/>
  <c r="Y227" i="99"/>
  <c r="Z9" i="99"/>
  <c r="I9" i="99"/>
  <c r="AK251" i="99"/>
  <c r="Y204" i="99"/>
  <c r="H204" i="99"/>
  <c r="Y211" i="99"/>
  <c r="AF134" i="99"/>
  <c r="AF257" i="99"/>
  <c r="AK115" i="99"/>
  <c r="I171" i="99"/>
  <c r="Z171" i="99"/>
  <c r="Z29" i="99"/>
  <c r="I29" i="99"/>
  <c r="AK185" i="99"/>
  <c r="I193" i="99"/>
  <c r="AF26" i="99"/>
  <c r="I195" i="99"/>
  <c r="AF107" i="99"/>
  <c r="AK88" i="99"/>
  <c r="AF244" i="99"/>
  <c r="AK65" i="99"/>
  <c r="AK244" i="99"/>
  <c r="AF269" i="99"/>
  <c r="AK176" i="99"/>
  <c r="S121" i="99"/>
  <c r="AK86" i="99"/>
  <c r="AK117" i="99"/>
  <c r="AK111" i="99"/>
  <c r="AO82" i="99"/>
  <c r="AO83" i="99" s="1"/>
  <c r="AG47" i="110" s="1"/>
  <c r="AG48" i="110" s="1"/>
  <c r="AP47" i="99"/>
  <c r="AF70" i="99"/>
  <c r="AF59" i="99"/>
  <c r="AF72" i="99"/>
  <c r="AK58" i="99"/>
  <c r="I30" i="99"/>
  <c r="Z30" i="99"/>
  <c r="AK268" i="99"/>
  <c r="K225" i="99"/>
  <c r="AF30" i="99"/>
  <c r="AF37" i="99"/>
  <c r="Z32" i="99"/>
  <c r="I32" i="99"/>
  <c r="Z270" i="99"/>
  <c r="AK179" i="99"/>
  <c r="I167" i="99"/>
  <c r="AF125" i="99"/>
  <c r="AF69" i="99"/>
  <c r="Z133" i="99"/>
  <c r="I133" i="99"/>
  <c r="AF18" i="99"/>
  <c r="AK71" i="99"/>
  <c r="Z14" i="99"/>
  <c r="I14" i="99"/>
  <c r="Z22" i="99"/>
  <c r="I22" i="99"/>
  <c r="AF51" i="99"/>
  <c r="AK247" i="99"/>
  <c r="AK69" i="99"/>
  <c r="Z259" i="99"/>
  <c r="I259" i="99"/>
  <c r="Z271" i="99"/>
  <c r="I271" i="99"/>
  <c r="AK242" i="99"/>
  <c r="Y221" i="99"/>
  <c r="Y110" i="99"/>
  <c r="Y102" i="99"/>
  <c r="Y94" i="99"/>
  <c r="AK100" i="99"/>
  <c r="AF127" i="99"/>
  <c r="AF25" i="99"/>
  <c r="Z145" i="99"/>
  <c r="I145" i="99"/>
  <c r="AK75" i="99"/>
  <c r="S82" i="99"/>
  <c r="AK184" i="99"/>
  <c r="AF166" i="99"/>
  <c r="AK52" i="99"/>
  <c r="V24" i="119"/>
  <c r="R23" i="138" s="1"/>
  <c r="V329" i="119"/>
  <c r="AK31" i="99"/>
  <c r="AQ199" i="99"/>
  <c r="AQ200" i="99" s="1"/>
  <c r="AI55" i="110" s="1"/>
  <c r="AI56" i="110" s="1"/>
  <c r="AD28" i="119" s="1"/>
  <c r="AR164" i="99"/>
  <c r="AF8" i="99"/>
  <c r="I247" i="99"/>
  <c r="Z247" i="99"/>
  <c r="I209" i="99"/>
  <c r="AK173" i="99"/>
  <c r="I138" i="99"/>
  <c r="Z138" i="99"/>
  <c r="AF15" i="99"/>
  <c r="AK166" i="99"/>
  <c r="Y225" i="99"/>
  <c r="Y207" i="99"/>
  <c r="I232" i="99"/>
  <c r="AF40" i="99"/>
  <c r="Y226" i="99"/>
  <c r="AE199" i="99"/>
  <c r="AE200" i="99" s="1"/>
  <c r="W55" i="110" s="1"/>
  <c r="W56" i="110" s="1"/>
  <c r="R28" i="119" s="1"/>
  <c r="AF102" i="99"/>
  <c r="AK263" i="99"/>
  <c r="AF264" i="99"/>
  <c r="Z253" i="99"/>
  <c r="I253" i="99"/>
  <c r="I180" i="99"/>
  <c r="Z131" i="99"/>
  <c r="I131" i="99"/>
  <c r="Z57" i="99"/>
  <c r="I57" i="99"/>
  <c r="AK266" i="99"/>
  <c r="AK250" i="99"/>
  <c r="AK256" i="99"/>
  <c r="AK271" i="99"/>
  <c r="AK252" i="99"/>
  <c r="AK267" i="99"/>
  <c r="AK269" i="99"/>
  <c r="AK259" i="99"/>
  <c r="AK261" i="99"/>
  <c r="I248" i="99"/>
  <c r="Z248" i="99"/>
  <c r="N121" i="99"/>
  <c r="AF86" i="99"/>
  <c r="AF111" i="99"/>
  <c r="AF117" i="99"/>
  <c r="AF143" i="99"/>
  <c r="Z157" i="99"/>
  <c r="I157" i="99"/>
  <c r="AK74" i="99"/>
  <c r="AF9" i="99"/>
  <c r="AF167" i="99"/>
  <c r="Z35" i="99"/>
  <c r="I35" i="99"/>
  <c r="AF266" i="99"/>
  <c r="J211" i="99"/>
  <c r="Y178" i="99"/>
  <c r="AA54" i="20"/>
  <c r="AA38" i="20"/>
  <c r="AA51" i="20"/>
  <c r="AA37" i="20"/>
  <c r="AA41" i="20"/>
  <c r="AA45" i="20"/>
  <c r="AA48" i="20"/>
  <c r="AA42" i="20"/>
  <c r="AK55" i="99"/>
  <c r="H82" i="99"/>
  <c r="Z47" i="99"/>
  <c r="I47" i="99"/>
  <c r="I28" i="99"/>
  <c r="Z28" i="99"/>
  <c r="N82" i="99"/>
  <c r="AK106" i="99"/>
  <c r="Z127" i="99"/>
  <c r="I127" i="99"/>
  <c r="AF10" i="99"/>
  <c r="AK22" i="99"/>
  <c r="I176" i="99"/>
  <c r="AF157" i="99"/>
  <c r="AF195" i="99"/>
  <c r="AF99" i="99"/>
  <c r="AF55" i="99"/>
  <c r="Z37" i="99"/>
  <c r="I37" i="99"/>
  <c r="AD72" i="20"/>
  <c r="AS270" i="119"/>
  <c r="O324" i="119"/>
  <c r="AH41" i="94"/>
  <c r="P56" i="120"/>
  <c r="F63" i="106"/>
  <c r="Z17" i="59"/>
  <c r="P63" i="106"/>
  <c r="Y324" i="119"/>
  <c r="Y321" i="119"/>
  <c r="S41" i="94"/>
  <c r="AA41" i="94"/>
  <c r="W41" i="94"/>
  <c r="W32" i="94"/>
  <c r="Z321" i="119"/>
  <c r="AL34" i="94"/>
  <c r="AA32" i="94"/>
  <c r="Z324" i="119"/>
  <c r="AA34" i="94"/>
  <c r="AG40" i="94"/>
  <c r="AG34" i="94"/>
  <c r="AG32" i="94"/>
  <c r="AG41" i="94"/>
  <c r="Y32" i="94"/>
  <c r="AQ34" i="94"/>
  <c r="S32" i="94"/>
  <c r="AQ32" i="94"/>
  <c r="AQ40" i="94"/>
  <c r="AQ41" i="94"/>
  <c r="Y30" i="59"/>
  <c r="Y41" i="94"/>
  <c r="Y34" i="94"/>
  <c r="AD41" i="94"/>
  <c r="AD34" i="94"/>
  <c r="AL41" i="94"/>
  <c r="AL32" i="94"/>
  <c r="N32" i="94"/>
  <c r="AL40" i="94"/>
  <c r="AK32" i="94"/>
  <c r="M40" i="94"/>
  <c r="M41" i="94"/>
  <c r="AT32" i="94"/>
  <c r="AI40" i="94"/>
  <c r="AC41" i="94"/>
  <c r="M34" i="94"/>
  <c r="AT41" i="94"/>
  <c r="AI34" i="94"/>
  <c r="AT34" i="94"/>
  <c r="AI41" i="94"/>
  <c r="M50" i="118"/>
  <c r="P86" i="59"/>
  <c r="P17" i="59"/>
  <c r="O41" i="94"/>
  <c r="AO40" i="94"/>
  <c r="AO34" i="94"/>
  <c r="AO32" i="94"/>
  <c r="AO41" i="94"/>
  <c r="AB32" i="94"/>
  <c r="AD32" i="94"/>
  <c r="AD40" i="94"/>
  <c r="T321" i="119"/>
  <c r="T324" i="119"/>
  <c r="V40" i="94"/>
  <c r="V32" i="94"/>
  <c r="V41" i="94"/>
  <c r="N34" i="94"/>
  <c r="N40" i="94"/>
  <c r="N41" i="94"/>
  <c r="L50" i="118"/>
  <c r="AS41" i="94"/>
  <c r="N50" i="118"/>
  <c r="O50" i="118"/>
  <c r="E54" i="120"/>
  <c r="P34" i="94"/>
  <c r="P40" i="94"/>
  <c r="P32" i="94"/>
  <c r="T41" i="94"/>
  <c r="AF40" i="94"/>
  <c r="AF32" i="94"/>
  <c r="AF34" i="94"/>
  <c r="AJ41" i="94"/>
  <c r="AR40" i="94"/>
  <c r="AR32" i="94"/>
  <c r="AR34" i="94"/>
  <c r="X34" i="94"/>
  <c r="X40" i="94"/>
  <c r="X32" i="94"/>
  <c r="AN40" i="94"/>
  <c r="AN32" i="94"/>
  <c r="AN34" i="94"/>
  <c r="P58" i="60"/>
  <c r="P56" i="60"/>
  <c r="P55" i="60"/>
  <c r="P111" i="59"/>
  <c r="Q124" i="110"/>
  <c r="O327" i="119"/>
  <c r="Q11" i="116"/>
  <c r="T22" i="132"/>
  <c r="R40" i="94"/>
  <c r="R34" i="94"/>
  <c r="R32" i="94"/>
  <c r="E24" i="101"/>
  <c r="R120" i="59" s="1"/>
  <c r="R121" i="59" s="1"/>
  <c r="AA123" i="59"/>
  <c r="O25" i="101"/>
  <c r="T59" i="20"/>
  <c r="T39" i="20"/>
  <c r="T65" i="20"/>
  <c r="AE59" i="20"/>
  <c r="AE39" i="20"/>
  <c r="AE65" i="20"/>
  <c r="T66" i="20"/>
  <c r="AP40" i="94"/>
  <c r="AP34" i="94"/>
  <c r="AP32" i="94"/>
  <c r="AD74" i="20"/>
  <c r="AD49" i="20"/>
  <c r="W40" i="94"/>
  <c r="AM40" i="94"/>
  <c r="AM34" i="94"/>
  <c r="AM32" i="94"/>
  <c r="T71" i="20"/>
  <c r="T46" i="20"/>
  <c r="O24" i="101"/>
  <c r="AB120" i="59" s="1"/>
  <c r="AB121" i="59" s="1"/>
  <c r="Q76" i="59"/>
  <c r="J23" i="132"/>
  <c r="AA83" i="59"/>
  <c r="T25" i="132"/>
  <c r="Z84" i="59"/>
  <c r="Z30" i="59"/>
  <c r="P50" i="118"/>
  <c r="Y46" i="20"/>
  <c r="Y71" i="20"/>
  <c r="Q16" i="59"/>
  <c r="J24" i="132"/>
  <c r="G12" i="116"/>
  <c r="G62" i="106"/>
  <c r="G65" i="106" s="1"/>
  <c r="AD71" i="20"/>
  <c r="AD46" i="20"/>
  <c r="AE46" i="20"/>
  <c r="AE71" i="20"/>
  <c r="Q83" i="59"/>
  <c r="J25" i="132"/>
  <c r="J22" i="132"/>
  <c r="G11" i="116"/>
  <c r="Z40" i="94"/>
  <c r="Z34" i="94"/>
  <c r="Z32" i="94"/>
  <c r="AA327" i="119"/>
  <c r="AD91" i="20"/>
  <c r="Y60" i="119" s="1"/>
  <c r="T74" i="20"/>
  <c r="T49" i="20"/>
  <c r="AD66" i="20"/>
  <c r="AX30" i="59"/>
  <c r="Q123" i="59"/>
  <c r="E25" i="101"/>
  <c r="Y59" i="20"/>
  <c r="Y39" i="20"/>
  <c r="Y65" i="20"/>
  <c r="Y91" i="20"/>
  <c r="T60" i="119" s="1"/>
  <c r="T91" i="20"/>
  <c r="O60" i="119" s="1"/>
  <c r="AE49" i="20"/>
  <c r="AE74" i="20"/>
  <c r="O40" i="94"/>
  <c r="O34" i="94"/>
  <c r="O32" i="94"/>
  <c r="AE40" i="94"/>
  <c r="AE34" i="94"/>
  <c r="AE32" i="94"/>
  <c r="AA76" i="59"/>
  <c r="T23" i="132"/>
  <c r="Y58" i="60"/>
  <c r="Y56" i="60"/>
  <c r="Y55" i="60"/>
  <c r="Y111" i="59"/>
  <c r="AN10" i="106"/>
  <c r="P10" i="106"/>
  <c r="O10" i="106"/>
  <c r="Q9" i="106"/>
  <c r="Q12" i="106" s="1"/>
  <c r="F10" i="106"/>
  <c r="O326" i="119"/>
  <c r="AA16" i="59"/>
  <c r="Q12" i="116"/>
  <c r="T24" i="132"/>
  <c r="Q62" i="106"/>
  <c r="Q65" i="106" s="1"/>
  <c r="AD59" i="20"/>
  <c r="AD39" i="20"/>
  <c r="AD65" i="20"/>
  <c r="AE91" i="20"/>
  <c r="Z60" i="119" s="1"/>
  <c r="AF74" i="20"/>
  <c r="AF49" i="20"/>
  <c r="Y74" i="20"/>
  <c r="Y49" i="20"/>
  <c r="Y327" i="119"/>
  <c r="Y66" i="20"/>
  <c r="W81" i="20" l="1"/>
  <c r="W85" i="20"/>
  <c r="R363" i="119" s="1"/>
  <c r="W78" i="20"/>
  <c r="R356" i="119" s="1"/>
  <c r="W76" i="20"/>
  <c r="R354" i="119" s="1"/>
  <c r="W77" i="20"/>
  <c r="R355" i="119" s="1"/>
  <c r="W83" i="20"/>
  <c r="R361" i="119" s="1"/>
  <c r="W79" i="20"/>
  <c r="R357" i="119" s="1"/>
  <c r="W82" i="20"/>
  <c r="R360" i="119" s="1"/>
  <c r="W84" i="20"/>
  <c r="R362" i="119" s="1"/>
  <c r="W80" i="20"/>
  <c r="R358" i="119" s="1"/>
  <c r="AB79" i="20"/>
  <c r="W357" i="119" s="1"/>
  <c r="AB83" i="20"/>
  <c r="W361" i="119" s="1"/>
  <c r="AB78" i="20"/>
  <c r="W356" i="119" s="1"/>
  <c r="AB76" i="20"/>
  <c r="W354" i="119" s="1"/>
  <c r="AB80" i="20"/>
  <c r="W358" i="119" s="1"/>
  <c r="AB85" i="20"/>
  <c r="W363" i="119" s="1"/>
  <c r="AB81" i="20"/>
  <c r="W359" i="119" s="1"/>
  <c r="AB84" i="20"/>
  <c r="W362" i="119" s="1"/>
  <c r="AB82" i="20"/>
  <c r="W360" i="119" s="1"/>
  <c r="AB77" i="20"/>
  <c r="W355" i="119" s="1"/>
  <c r="Q76" i="20"/>
  <c r="L354" i="119" s="1"/>
  <c r="Q85" i="20"/>
  <c r="L363" i="119" s="1"/>
  <c r="Q83" i="20"/>
  <c r="L361" i="119" s="1"/>
  <c r="Q80" i="20"/>
  <c r="L358" i="119" s="1"/>
  <c r="Q79" i="20"/>
  <c r="L357" i="119" s="1"/>
  <c r="Q77" i="20"/>
  <c r="L355" i="119" s="1"/>
  <c r="Q81" i="20"/>
  <c r="L359" i="119" s="1"/>
  <c r="Q84" i="20"/>
  <c r="L362" i="119" s="1"/>
  <c r="Q82" i="20"/>
  <c r="L360" i="119" s="1"/>
  <c r="Q78" i="20"/>
  <c r="L356" i="119" s="1"/>
  <c r="AH77" i="20"/>
  <c r="AC355" i="119" s="1"/>
  <c r="AH78" i="20"/>
  <c r="AC356" i="119" s="1"/>
  <c r="AH79" i="20"/>
  <c r="AC357" i="119" s="1"/>
  <c r="AH76" i="20"/>
  <c r="AC354" i="119" s="1"/>
  <c r="AH83" i="20"/>
  <c r="AC361" i="119" s="1"/>
  <c r="AH81" i="20"/>
  <c r="AC359" i="119" s="1"/>
  <c r="AH80" i="20"/>
  <c r="AC358" i="119" s="1"/>
  <c r="AH84" i="20"/>
  <c r="AC362" i="119" s="1"/>
  <c r="AH85" i="20"/>
  <c r="AC363" i="119" s="1"/>
  <c r="AH82" i="20"/>
  <c r="AC360" i="119" s="1"/>
  <c r="W274" i="20"/>
  <c r="W278" i="20"/>
  <c r="W276" i="20"/>
  <c r="W275" i="20"/>
  <c r="W273" i="20"/>
  <c r="W277" i="20"/>
  <c r="AH275" i="20"/>
  <c r="AH274" i="20"/>
  <c r="AH277" i="20"/>
  <c r="AH276" i="20"/>
  <c r="AH273" i="20"/>
  <c r="AH278" i="20"/>
  <c r="AB275" i="20"/>
  <c r="AB273" i="20"/>
  <c r="AB276" i="20"/>
  <c r="AB274" i="20"/>
  <c r="AB278" i="20"/>
  <c r="AB277" i="20"/>
  <c r="Q275" i="20"/>
  <c r="Q277" i="20"/>
  <c r="Q273" i="20"/>
  <c r="Q274" i="20"/>
  <c r="Q278" i="20"/>
  <c r="Q276" i="20"/>
  <c r="R359" i="119"/>
  <c r="AR17" i="110"/>
  <c r="AR22" i="110" s="1"/>
  <c r="AK17" i="110"/>
  <c r="AK22" i="110" s="1"/>
  <c r="AI17" i="110"/>
  <c r="AI22" i="110" s="1"/>
  <c r="AP17" i="110"/>
  <c r="AP22" i="110" s="1"/>
  <c r="O17" i="110"/>
  <c r="O22" i="110" s="1"/>
  <c r="J23" i="119" s="1"/>
  <c r="E18" i="106"/>
  <c r="E16" i="106"/>
  <c r="R17" i="110"/>
  <c r="R22" i="110" s="1"/>
  <c r="M23" i="119" s="1"/>
  <c r="O28" i="59"/>
  <c r="AB17" i="110"/>
  <c r="AB22" i="110" s="1"/>
  <c r="U17" i="110"/>
  <c r="U22" i="110" s="1"/>
  <c r="Q342" i="119"/>
  <c r="V17" i="110"/>
  <c r="V22" i="110" s="1"/>
  <c r="AA17" i="110"/>
  <c r="AA22" i="110" s="1"/>
  <c r="P17" i="110"/>
  <c r="P22" i="110" s="1"/>
  <c r="AN17" i="110"/>
  <c r="AN22" i="110" s="1"/>
  <c r="AS17" i="110"/>
  <c r="AS22" i="110" s="1"/>
  <c r="Z17" i="110"/>
  <c r="Z22" i="110" s="1"/>
  <c r="S17" i="110"/>
  <c r="S22" i="110" s="1"/>
  <c r="Q17" i="110"/>
  <c r="Q22" i="110" s="1"/>
  <c r="AM17" i="110"/>
  <c r="AM22" i="110" s="1"/>
  <c r="O68" i="20"/>
  <c r="O58" i="20"/>
  <c r="O89" i="20" s="1"/>
  <c r="O92" i="20" s="1"/>
  <c r="J324" i="119"/>
  <c r="O14" i="60"/>
  <c r="Q15" i="61" s="1"/>
  <c r="O67" i="20"/>
  <c r="V326" i="119"/>
  <c r="AC341" i="119"/>
  <c r="AO17" i="110"/>
  <c r="AO22" i="110" s="1"/>
  <c r="X17" i="110"/>
  <c r="X22" i="110" s="1"/>
  <c r="J325" i="119"/>
  <c r="Y17" i="110"/>
  <c r="Y22" i="110" s="1"/>
  <c r="Q341" i="119"/>
  <c r="J321" i="119"/>
  <c r="AC342" i="119"/>
  <c r="O65" i="20"/>
  <c r="AA28" i="132"/>
  <c r="AI112" i="110"/>
  <c r="AI114" i="110" s="1"/>
  <c r="AI113" i="110"/>
  <c r="AI116" i="110" s="1"/>
  <c r="AI115" i="110"/>
  <c r="H28" i="132"/>
  <c r="P112" i="110"/>
  <c r="P114" i="110" s="1"/>
  <c r="P113" i="110"/>
  <c r="P116" i="110" s="1"/>
  <c r="K327" i="119" s="1"/>
  <c r="P115" i="110"/>
  <c r="O112" i="110"/>
  <c r="J341" i="119" s="1"/>
  <c r="O113" i="110"/>
  <c r="O127" i="110" s="1"/>
  <c r="O115" i="110"/>
  <c r="G28" i="132"/>
  <c r="O28" i="132"/>
  <c r="W113" i="110"/>
  <c r="W116" i="110" s="1"/>
  <c r="W115" i="110"/>
  <c r="W112" i="110"/>
  <c r="W114" i="110" s="1"/>
  <c r="I28" i="132"/>
  <c r="Q112" i="110"/>
  <c r="Q114" i="110" s="1"/>
  <c r="Q113" i="110"/>
  <c r="Q116" i="110" s="1"/>
  <c r="Q115" i="110"/>
  <c r="T28" i="132"/>
  <c r="AB115" i="110"/>
  <c r="AB112" i="110"/>
  <c r="AB114" i="110" s="1"/>
  <c r="AB113" i="110"/>
  <c r="AB116" i="110" s="1"/>
  <c r="O57" i="20"/>
  <c r="O88" i="20" s="1"/>
  <c r="O91" i="20" s="1"/>
  <c r="J328" i="119"/>
  <c r="U45" i="119"/>
  <c r="U99" i="119" s="1"/>
  <c r="P76" i="60"/>
  <c r="R85" i="61" s="1"/>
  <c r="R87" i="62" s="1"/>
  <c r="AH23" i="20"/>
  <c r="AH29" i="20"/>
  <c r="AH30" i="20"/>
  <c r="AH50" i="20" s="1"/>
  <c r="AH25" i="20"/>
  <c r="AH70" i="20" s="1"/>
  <c r="AH31" i="20"/>
  <c r="AH35" i="20"/>
  <c r="AH55" i="20" s="1"/>
  <c r="AH27" i="20"/>
  <c r="AH47" i="20" s="1"/>
  <c r="AH20" i="20"/>
  <c r="AH40" i="20" s="1"/>
  <c r="AH34" i="20"/>
  <c r="AH26" i="20"/>
  <c r="AH21" i="20"/>
  <c r="AH24" i="20"/>
  <c r="AH44" i="20" s="1"/>
  <c r="AH28" i="20"/>
  <c r="AH73" i="20" s="1"/>
  <c r="AH17" i="20"/>
  <c r="AH32" i="20"/>
  <c r="AH19" i="20"/>
  <c r="AH18" i="20"/>
  <c r="AH33" i="20"/>
  <c r="AH53" i="20" s="1"/>
  <c r="AH22" i="20"/>
  <c r="W287" i="119"/>
  <c r="S27" i="138"/>
  <c r="W26" i="20"/>
  <c r="W28" i="20"/>
  <c r="W73" i="20" s="1"/>
  <c r="W20" i="20"/>
  <c r="W40" i="20" s="1"/>
  <c r="W34" i="20"/>
  <c r="W18" i="20"/>
  <c r="W32" i="20"/>
  <c r="W31" i="20"/>
  <c r="W24" i="20"/>
  <c r="W44" i="20" s="1"/>
  <c r="W19" i="20"/>
  <c r="W25" i="20"/>
  <c r="W70" i="20" s="1"/>
  <c r="W29" i="20"/>
  <c r="W35" i="20"/>
  <c r="W55" i="20" s="1"/>
  <c r="W22" i="20"/>
  <c r="W27" i="20"/>
  <c r="W47" i="20" s="1"/>
  <c r="W30" i="20"/>
  <c r="W50" i="20" s="1"/>
  <c r="W17" i="20"/>
  <c r="W23" i="20"/>
  <c r="W21" i="20"/>
  <c r="W33" i="20"/>
  <c r="W53" i="20" s="1"/>
  <c r="Y286" i="119"/>
  <c r="U24" i="138"/>
  <c r="K287" i="119"/>
  <c r="G27" i="138"/>
  <c r="AB31" i="20"/>
  <c r="AB29" i="20"/>
  <c r="AB20" i="20"/>
  <c r="AB40" i="20" s="1"/>
  <c r="AB21" i="20"/>
  <c r="AB27" i="20"/>
  <c r="AB47" i="20" s="1"/>
  <c r="AB26" i="20"/>
  <c r="AB19" i="20"/>
  <c r="AB33" i="20"/>
  <c r="AB53" i="20" s="1"/>
  <c r="AB22" i="20"/>
  <c r="AB25" i="20"/>
  <c r="AB70" i="20" s="1"/>
  <c r="AB18" i="20"/>
  <c r="AB30" i="20"/>
  <c r="AB50" i="20" s="1"/>
  <c r="AB34" i="20"/>
  <c r="AB24" i="20"/>
  <c r="AB44" i="20" s="1"/>
  <c r="AB28" i="20"/>
  <c r="AB73" i="20" s="1"/>
  <c r="AB23" i="20"/>
  <c r="AB35" i="20"/>
  <c r="AB55" i="20" s="1"/>
  <c r="AB32" i="20"/>
  <c r="AB17" i="20"/>
  <c r="Z286" i="119"/>
  <c r="V24" i="138"/>
  <c r="Q30" i="20"/>
  <c r="Q50" i="20" s="1"/>
  <c r="Q17" i="20"/>
  <c r="Q35" i="20"/>
  <c r="Q55" i="20" s="1"/>
  <c r="Q33" i="20"/>
  <c r="Q53" i="20" s="1"/>
  <c r="Q23" i="20"/>
  <c r="Q43" i="20" s="1"/>
  <c r="Q21" i="20"/>
  <c r="Q31" i="20"/>
  <c r="Q34" i="20"/>
  <c r="Q29" i="20"/>
  <c r="Q25" i="20"/>
  <c r="Q70" i="20" s="1"/>
  <c r="Q20" i="20"/>
  <c r="Q40" i="20" s="1"/>
  <c r="Q26" i="20"/>
  <c r="Q27" i="20"/>
  <c r="Q47" i="20" s="1"/>
  <c r="Q24" i="20"/>
  <c r="Q44" i="20" s="1"/>
  <c r="Q19" i="20"/>
  <c r="Q22" i="20"/>
  <c r="Q18" i="20"/>
  <c r="Q32" i="20"/>
  <c r="Q28" i="20"/>
  <c r="Q73" i="20" s="1"/>
  <c r="R287" i="119"/>
  <c r="N27" i="138"/>
  <c r="AD287" i="119"/>
  <c r="Z27" i="138"/>
  <c r="T340" i="119"/>
  <c r="T59" i="119"/>
  <c r="O340" i="119"/>
  <c r="O59" i="119"/>
  <c r="Y340" i="119"/>
  <c r="Y59" i="119"/>
  <c r="Z340" i="119"/>
  <c r="Z59" i="119"/>
  <c r="Z88" i="20"/>
  <c r="Z91" i="20" s="1"/>
  <c r="U89" i="20"/>
  <c r="U92" i="20" s="1"/>
  <c r="AF88" i="20"/>
  <c r="AF91" i="20" s="1"/>
  <c r="U88" i="20"/>
  <c r="U91" i="20" s="1"/>
  <c r="AF89" i="20"/>
  <c r="AF92" i="20" s="1"/>
  <c r="Z89" i="20"/>
  <c r="Z92" i="20" s="1"/>
  <c r="Q48" i="118"/>
  <c r="AN13" i="106"/>
  <c r="E66" i="106"/>
  <c r="E13" i="106"/>
  <c r="P28" i="59"/>
  <c r="O56" i="60"/>
  <c r="Q73" i="61" s="1"/>
  <c r="O55" i="60"/>
  <c r="Q72" i="61" s="1"/>
  <c r="O58" i="60"/>
  <c r="Q75" i="61" s="1"/>
  <c r="O111" i="59"/>
  <c r="O87" i="59"/>
  <c r="AX24" i="59"/>
  <c r="AX35" i="24" s="1"/>
  <c r="AX28" i="59"/>
  <c r="Z28" i="59"/>
  <c r="Y24" i="59"/>
  <c r="Y35" i="24" s="1"/>
  <c r="Y28" i="59"/>
  <c r="J42" i="119"/>
  <c r="AN111" i="106"/>
  <c r="AX66" i="59" s="1"/>
  <c r="E111" i="106"/>
  <c r="F111" i="106"/>
  <c r="P66" i="59" s="1"/>
  <c r="P25" i="60" s="1"/>
  <c r="O111" i="106"/>
  <c r="Y66" i="59" s="1"/>
  <c r="P111" i="106"/>
  <c r="Z66" i="59" s="1"/>
  <c r="Z25" i="60" s="1"/>
  <c r="AN87" i="106"/>
  <c r="AN88" i="106"/>
  <c r="Q13" i="106"/>
  <c r="P33" i="106"/>
  <c r="E87" i="106"/>
  <c r="E88" i="106"/>
  <c r="F87" i="106"/>
  <c r="F88" i="106"/>
  <c r="O87" i="106"/>
  <c r="O88" i="106"/>
  <c r="Q66" i="106"/>
  <c r="O33" i="106"/>
  <c r="P87" i="106"/>
  <c r="P88" i="106"/>
  <c r="G66" i="106"/>
  <c r="F33" i="106"/>
  <c r="G13" i="106"/>
  <c r="E33" i="106"/>
  <c r="E31" i="106"/>
  <c r="E38" i="106"/>
  <c r="AA124" i="59"/>
  <c r="V45" i="119" s="1"/>
  <c r="P126" i="59"/>
  <c r="K240" i="119" s="1"/>
  <c r="Q124" i="59"/>
  <c r="L45" i="119" s="1"/>
  <c r="J240" i="119"/>
  <c r="J115" i="119"/>
  <c r="Z126" i="59"/>
  <c r="U240" i="119" s="1"/>
  <c r="AX57" i="60"/>
  <c r="Y57" i="60"/>
  <c r="AX22" i="110"/>
  <c r="O38" i="106"/>
  <c r="G17" i="106"/>
  <c r="G70" i="106"/>
  <c r="P38" i="106"/>
  <c r="F92" i="106"/>
  <c r="AN38" i="106"/>
  <c r="O92" i="106"/>
  <c r="AN92" i="106"/>
  <c r="P92" i="106"/>
  <c r="E92" i="106"/>
  <c r="Q70" i="106"/>
  <c r="F38" i="106"/>
  <c r="AD55" i="82"/>
  <c r="K24" i="119"/>
  <c r="G23" i="138" s="1"/>
  <c r="Z182" i="99"/>
  <c r="AN85" i="106"/>
  <c r="AA25" i="119"/>
  <c r="J25" i="119"/>
  <c r="AZ86" i="62"/>
  <c r="K25" i="119"/>
  <c r="W91" i="119"/>
  <c r="R91" i="119"/>
  <c r="AD91" i="119"/>
  <c r="AO91" i="119"/>
  <c r="M91" i="119"/>
  <c r="AN91" i="119"/>
  <c r="AC91" i="119"/>
  <c r="AD54" i="82"/>
  <c r="Z176" i="99"/>
  <c r="Y277" i="99"/>
  <c r="Y278" i="99" s="1"/>
  <c r="I81" i="99"/>
  <c r="AA81" i="99" s="1"/>
  <c r="AC59" i="82"/>
  <c r="AE55" i="82"/>
  <c r="AE54" i="82"/>
  <c r="AE56" i="82"/>
  <c r="AE59" i="82" s="1"/>
  <c r="AD56" i="82"/>
  <c r="AD59" i="82" s="1"/>
  <c r="I158" i="99"/>
  <c r="AA158" i="99" s="1"/>
  <c r="I159" i="99"/>
  <c r="AA159" i="99" s="1"/>
  <c r="H119" i="99"/>
  <c r="Z119" i="99" s="1"/>
  <c r="I91" i="99"/>
  <c r="I119" i="99" s="1"/>
  <c r="I42" i="99"/>
  <c r="AA42" i="99" s="1"/>
  <c r="Z96" i="99"/>
  <c r="I80" i="99"/>
  <c r="AA80" i="99" s="1"/>
  <c r="H197" i="99"/>
  <c r="Z197" i="99" s="1"/>
  <c r="I169" i="99"/>
  <c r="I197" i="99" s="1"/>
  <c r="I41" i="99"/>
  <c r="AA41" i="99" s="1"/>
  <c r="Z115" i="99"/>
  <c r="H120" i="99"/>
  <c r="Z120" i="99" s="1"/>
  <c r="S278" i="99"/>
  <c r="H278" i="99"/>
  <c r="Z166" i="99"/>
  <c r="H198" i="99"/>
  <c r="Z198" i="99" s="1"/>
  <c r="AA126" i="110"/>
  <c r="V341" i="119"/>
  <c r="P59" i="82"/>
  <c r="U118" i="110"/>
  <c r="P27" i="119" s="1"/>
  <c r="L26" i="138" s="1"/>
  <c r="O85" i="106"/>
  <c r="E85" i="106"/>
  <c r="V342" i="119"/>
  <c r="AA127" i="110"/>
  <c r="Z118" i="110"/>
  <c r="U27" i="119" s="1"/>
  <c r="Q26" i="138" s="1"/>
  <c r="Q56" i="82"/>
  <c r="Q54" i="82"/>
  <c r="Z236" i="99"/>
  <c r="AK160" i="99"/>
  <c r="AK161" i="99" s="1"/>
  <c r="AC110" i="110" s="1"/>
  <c r="I276" i="99"/>
  <c r="AA276" i="99" s="1"/>
  <c r="H237" i="99"/>
  <c r="Z237" i="99" s="1"/>
  <c r="I275" i="99"/>
  <c r="AA275" i="99" s="1"/>
  <c r="AA118" i="110"/>
  <c r="V27" i="119" s="1"/>
  <c r="R26" i="138" s="1"/>
  <c r="AG118" i="110"/>
  <c r="AB27" i="119" s="1"/>
  <c r="X26" i="138" s="1"/>
  <c r="Z196" i="99"/>
  <c r="Z195" i="99"/>
  <c r="Z184" i="99"/>
  <c r="Z172" i="99"/>
  <c r="Z180" i="99"/>
  <c r="Z232" i="99"/>
  <c r="Z178" i="99"/>
  <c r="Z190" i="99"/>
  <c r="Z167" i="99"/>
  <c r="Z188" i="99"/>
  <c r="Z179" i="99"/>
  <c r="Z170" i="99"/>
  <c r="Z102" i="99"/>
  <c r="Z114" i="99"/>
  <c r="Z112" i="99"/>
  <c r="Z183" i="99"/>
  <c r="K99" i="119"/>
  <c r="AA145" i="99"/>
  <c r="T115" i="119"/>
  <c r="AA84" i="61"/>
  <c r="L168" i="119"/>
  <c r="M46" i="119"/>
  <c r="K44" i="119"/>
  <c r="K98" i="119" s="1"/>
  <c r="P75" i="60"/>
  <c r="U44" i="119"/>
  <c r="U98" i="119" s="1"/>
  <c r="Z75" i="60"/>
  <c r="K168" i="119"/>
  <c r="U168" i="119"/>
  <c r="P87" i="59"/>
  <c r="K43" i="119" s="1"/>
  <c r="K97" i="119" s="1"/>
  <c r="K42" i="119"/>
  <c r="K270" i="119" s="1"/>
  <c r="AS43" i="119"/>
  <c r="AS97" i="119" s="1"/>
  <c r="Y87" i="59"/>
  <c r="T43" i="119" s="1"/>
  <c r="T97" i="119" s="1"/>
  <c r="T42" i="119"/>
  <c r="AF71" i="20"/>
  <c r="P322" i="119"/>
  <c r="AA323" i="119"/>
  <c r="Z74" i="20"/>
  <c r="P324" i="119"/>
  <c r="U324" i="119"/>
  <c r="Z46" i="20"/>
  <c r="T26" i="132"/>
  <c r="T27" i="132"/>
  <c r="O27" i="132"/>
  <c r="O26" i="132"/>
  <c r="I27" i="132"/>
  <c r="I26" i="132"/>
  <c r="Z26" i="132"/>
  <c r="Z27" i="132"/>
  <c r="U65" i="20"/>
  <c r="Z59" i="20"/>
  <c r="T17" i="132"/>
  <c r="W26" i="122" s="1"/>
  <c r="W55" i="122" s="1"/>
  <c r="T12" i="132"/>
  <c r="W16" i="122" s="1"/>
  <c r="W50" i="122" s="1"/>
  <c r="T11" i="132"/>
  <c r="W15" i="122" s="1"/>
  <c r="W49" i="122" s="1"/>
  <c r="Z18" i="132"/>
  <c r="AC27" i="122" s="1"/>
  <c r="AC56" i="122" s="1"/>
  <c r="Z16" i="132"/>
  <c r="AC25" i="122" s="1"/>
  <c r="AC54" i="122" s="1"/>
  <c r="Z14" i="132"/>
  <c r="AC18" i="122" s="1"/>
  <c r="AC52" i="122" s="1"/>
  <c r="Z13" i="132"/>
  <c r="AC17" i="122" s="1"/>
  <c r="AC51" i="122" s="1"/>
  <c r="J17" i="132"/>
  <c r="M26" i="122" s="1"/>
  <c r="M55" i="122" s="1"/>
  <c r="J11" i="132"/>
  <c r="M15" i="122" s="1"/>
  <c r="M49" i="122" s="1"/>
  <c r="J12" i="132"/>
  <c r="M16" i="122" s="1"/>
  <c r="M50" i="122" s="1"/>
  <c r="J15" i="132"/>
  <c r="M24" i="122" s="1"/>
  <c r="M53" i="122" s="1"/>
  <c r="J9" i="132"/>
  <c r="M13" i="122" s="1"/>
  <c r="M47" i="122" s="1"/>
  <c r="J10" i="132"/>
  <c r="M14" i="122" s="1"/>
  <c r="M48" i="122" s="1"/>
  <c r="J8" i="132"/>
  <c r="M12" i="122" s="1"/>
  <c r="T18" i="132"/>
  <c r="W27" i="122" s="1"/>
  <c r="W56" i="122" s="1"/>
  <c r="T16" i="132"/>
  <c r="W25" i="122" s="1"/>
  <c r="W54" i="122" s="1"/>
  <c r="T14" i="132"/>
  <c r="W18" i="122" s="1"/>
  <c r="W52" i="122" s="1"/>
  <c r="T13" i="132"/>
  <c r="W17" i="122" s="1"/>
  <c r="W51" i="122" s="1"/>
  <c r="O18" i="132"/>
  <c r="R27" i="122" s="1"/>
  <c r="R56" i="122" s="1"/>
  <c r="O16" i="132"/>
  <c r="R25" i="122" s="1"/>
  <c r="R54" i="122" s="1"/>
  <c r="O14" i="132"/>
  <c r="R18" i="122" s="1"/>
  <c r="R52" i="122" s="1"/>
  <c r="O13" i="132"/>
  <c r="R17" i="122" s="1"/>
  <c r="R51" i="122" s="1"/>
  <c r="I13" i="132"/>
  <c r="L17" i="122" s="1"/>
  <c r="L51" i="122" s="1"/>
  <c r="I18" i="132"/>
  <c r="L27" i="122" s="1"/>
  <c r="L56" i="122" s="1"/>
  <c r="I16" i="132"/>
  <c r="L25" i="122" s="1"/>
  <c r="L54" i="122" s="1"/>
  <c r="I14" i="132"/>
  <c r="L18" i="122" s="1"/>
  <c r="L52" i="122" s="1"/>
  <c r="T15" i="132"/>
  <c r="W24" i="122" s="1"/>
  <c r="W53" i="122" s="1"/>
  <c r="T9" i="132"/>
  <c r="W13" i="122" s="1"/>
  <c r="W47" i="122" s="1"/>
  <c r="T10" i="132"/>
  <c r="W14" i="122" s="1"/>
  <c r="W48" i="122" s="1"/>
  <c r="T8" i="132"/>
  <c r="W12" i="122" s="1"/>
  <c r="U49" i="20"/>
  <c r="Z66" i="20"/>
  <c r="J323" i="119"/>
  <c r="AA324" i="119"/>
  <c r="AF59" i="20"/>
  <c r="AF65" i="20"/>
  <c r="AF39" i="20"/>
  <c r="AA320" i="119" s="1"/>
  <c r="Z72" i="20"/>
  <c r="AF66" i="20"/>
  <c r="AF69" i="20"/>
  <c r="Z65" i="20"/>
  <c r="O74" i="20"/>
  <c r="U72" i="20"/>
  <c r="O71" i="20"/>
  <c r="O59" i="20"/>
  <c r="U71" i="20"/>
  <c r="U59" i="20"/>
  <c r="U66" i="20"/>
  <c r="P85" i="106"/>
  <c r="J322" i="119"/>
  <c r="O57" i="106"/>
  <c r="Q41" i="20"/>
  <c r="O31" i="106"/>
  <c r="Z24" i="59"/>
  <c r="Z35" i="24" s="1"/>
  <c r="R329" i="119"/>
  <c r="F31" i="106"/>
  <c r="F85" i="106"/>
  <c r="F57" i="106"/>
  <c r="P48" i="59" s="1"/>
  <c r="Q325" i="119"/>
  <c r="G10" i="106"/>
  <c r="Q17" i="106"/>
  <c r="K325" i="119"/>
  <c r="AA37" i="99"/>
  <c r="Q42" i="20"/>
  <c r="Q48" i="20"/>
  <c r="Q45" i="20"/>
  <c r="AK43" i="99"/>
  <c r="AK44" i="99" s="1"/>
  <c r="AC15" i="20" s="1"/>
  <c r="Z98" i="99"/>
  <c r="Z194" i="99"/>
  <c r="Z191" i="99"/>
  <c r="Z100" i="99"/>
  <c r="Z88" i="99"/>
  <c r="AA247" i="99"/>
  <c r="Z113" i="99"/>
  <c r="Q38" i="20"/>
  <c r="Q37" i="20"/>
  <c r="Z90" i="99"/>
  <c r="Z106" i="99"/>
  <c r="Z92" i="99"/>
  <c r="Z108" i="99"/>
  <c r="Z111" i="99"/>
  <c r="AF274" i="99"/>
  <c r="AF277" i="99" s="1"/>
  <c r="AF278" i="99" s="1"/>
  <c r="Z117" i="99"/>
  <c r="Z104" i="99"/>
  <c r="Q51" i="20"/>
  <c r="Q54" i="20"/>
  <c r="AA258" i="99"/>
  <c r="Z94" i="99"/>
  <c r="Z110" i="99"/>
  <c r="I82" i="99"/>
  <c r="AA47" i="99"/>
  <c r="AA43" i="20"/>
  <c r="V325" i="119"/>
  <c r="AA35" i="99"/>
  <c r="J209" i="99"/>
  <c r="AF43" i="99"/>
  <c r="AF44" i="99" s="1"/>
  <c r="X15" i="20" s="1"/>
  <c r="AA22" i="99"/>
  <c r="AA32" i="99"/>
  <c r="AA30" i="99"/>
  <c r="AA62" i="99"/>
  <c r="AA29" i="99"/>
  <c r="I204" i="99"/>
  <c r="Z204" i="99"/>
  <c r="Z214" i="99"/>
  <c r="Z222" i="99"/>
  <c r="Z215" i="99"/>
  <c r="Z233" i="99"/>
  <c r="Z212" i="99"/>
  <c r="I212" i="99"/>
  <c r="AA16" i="99"/>
  <c r="J235" i="99"/>
  <c r="AA79" i="99"/>
  <c r="AA10" i="99"/>
  <c r="AG68" i="20"/>
  <c r="AG57" i="20"/>
  <c r="AA17" i="99"/>
  <c r="AA59" i="99"/>
  <c r="AQ121" i="99"/>
  <c r="AQ122" i="99" s="1"/>
  <c r="AI51" i="110" s="1"/>
  <c r="AI52" i="110" s="1"/>
  <c r="AD328" i="119" s="1"/>
  <c r="AR86" i="99"/>
  <c r="AA256" i="99"/>
  <c r="AO238" i="99"/>
  <c r="AO239" i="99" s="1"/>
  <c r="AG59" i="110" s="1"/>
  <c r="AG60" i="110" s="1"/>
  <c r="AP203" i="99"/>
  <c r="AA36" i="99"/>
  <c r="AA249" i="99"/>
  <c r="Z227" i="99"/>
  <c r="AA8" i="99"/>
  <c r="AA154" i="99"/>
  <c r="K233" i="99"/>
  <c r="Q326" i="119"/>
  <c r="V126" i="110"/>
  <c r="AA146" i="99"/>
  <c r="AA152" i="99"/>
  <c r="L234" i="99"/>
  <c r="AA137" i="99"/>
  <c r="AA243" i="99"/>
  <c r="AA262" i="99"/>
  <c r="Z225" i="99"/>
  <c r="Z207" i="99"/>
  <c r="J203" i="99"/>
  <c r="AR8" i="99"/>
  <c r="AQ43" i="99"/>
  <c r="AQ44" i="99" s="1"/>
  <c r="AI15" i="20" s="1"/>
  <c r="AA151" i="99"/>
  <c r="P43" i="20"/>
  <c r="P68" i="20"/>
  <c r="P57" i="20"/>
  <c r="AA63" i="99"/>
  <c r="AB54" i="20"/>
  <c r="AB38" i="20"/>
  <c r="AB51" i="20"/>
  <c r="AB37" i="20"/>
  <c r="AB41" i="20"/>
  <c r="AB45" i="20"/>
  <c r="AB48" i="20"/>
  <c r="AB42" i="20"/>
  <c r="AA268" i="99"/>
  <c r="AA23" i="99"/>
  <c r="AA72" i="99"/>
  <c r="AR160" i="99"/>
  <c r="AR161" i="99" s="1"/>
  <c r="AJ110" i="110" s="1"/>
  <c r="AS125" i="99"/>
  <c r="K214" i="99"/>
  <c r="Z160" i="99"/>
  <c r="Z161" i="99" s="1"/>
  <c r="R110" i="110" s="1"/>
  <c r="L329" i="119"/>
  <c r="L24" i="119"/>
  <c r="H23" i="138" s="1"/>
  <c r="J226" i="99"/>
  <c r="AA48" i="99"/>
  <c r="AA40" i="99"/>
  <c r="Z221" i="99"/>
  <c r="Z181" i="99"/>
  <c r="Z177" i="99"/>
  <c r="AA55" i="99"/>
  <c r="Z186" i="99"/>
  <c r="Z229" i="99"/>
  <c r="AA147" i="99"/>
  <c r="V67" i="20"/>
  <c r="V58" i="20"/>
  <c r="Z189" i="99"/>
  <c r="Z82" i="99"/>
  <c r="Z83" i="99" s="1"/>
  <c r="R47" i="110" s="1"/>
  <c r="R48" i="110" s="1"/>
  <c r="AA52" i="20"/>
  <c r="AA157" i="99"/>
  <c r="AA248" i="99"/>
  <c r="AA131" i="99"/>
  <c r="AA253" i="99"/>
  <c r="AA250" i="99"/>
  <c r="Z209" i="99"/>
  <c r="AR199" i="99"/>
  <c r="AR200" i="99" s="1"/>
  <c r="AJ55" i="110" s="1"/>
  <c r="AJ56" i="110" s="1"/>
  <c r="AE28" i="119" s="1"/>
  <c r="AS164" i="99"/>
  <c r="Z224" i="99"/>
  <c r="AA271" i="99"/>
  <c r="L225" i="99"/>
  <c r="AP82" i="99"/>
  <c r="AP83" i="99" s="1"/>
  <c r="AH47" i="110" s="1"/>
  <c r="AH48" i="110" s="1"/>
  <c r="AQ47" i="99"/>
  <c r="AK121" i="99"/>
  <c r="AK122" i="99" s="1"/>
  <c r="AC51" i="110" s="1"/>
  <c r="AC52" i="110" s="1"/>
  <c r="X328" i="119" s="1"/>
  <c r="AA141" i="99"/>
  <c r="AA267" i="99"/>
  <c r="AA56" i="99"/>
  <c r="AA130" i="99"/>
  <c r="AA12" i="99"/>
  <c r="AA21" i="99"/>
  <c r="AB325" i="119"/>
  <c r="AA252" i="99"/>
  <c r="AA153" i="99"/>
  <c r="AA53" i="99"/>
  <c r="J227" i="99"/>
  <c r="AA39" i="99"/>
  <c r="AH126" i="110"/>
  <c r="Z228" i="99"/>
  <c r="AA245" i="99"/>
  <c r="AA135" i="99"/>
  <c r="Q327" i="119"/>
  <c r="V127" i="110"/>
  <c r="AA51" i="99"/>
  <c r="Z234" i="99"/>
  <c r="Z230" i="99"/>
  <c r="Z203" i="99"/>
  <c r="AK199" i="99"/>
  <c r="AK200" i="99" s="1"/>
  <c r="AC55" i="110" s="1"/>
  <c r="AC56" i="110" s="1"/>
  <c r="X28" i="119" s="1"/>
  <c r="P67" i="20"/>
  <c r="P58" i="20"/>
  <c r="AA71" i="99"/>
  <c r="AA70" i="99"/>
  <c r="K223" i="99"/>
  <c r="AA11" i="99"/>
  <c r="AA149" i="99"/>
  <c r="AA65" i="99"/>
  <c r="AA64" i="99"/>
  <c r="AA26" i="99"/>
  <c r="AA144" i="99"/>
  <c r="AA260" i="99"/>
  <c r="AA69" i="99"/>
  <c r="Y199" i="99"/>
  <c r="Y200" i="99" s="1"/>
  <c r="Q55" i="110" s="1"/>
  <c r="Q56" i="110" s="1"/>
  <c r="L28" i="119" s="1"/>
  <c r="Z231" i="99"/>
  <c r="P206" i="99"/>
  <c r="Z226" i="99"/>
  <c r="AK274" i="99"/>
  <c r="AK277" i="99" s="1"/>
  <c r="AK278" i="99" s="1"/>
  <c r="W42" i="20"/>
  <c r="W37" i="20"/>
  <c r="W41" i="20"/>
  <c r="W45" i="20"/>
  <c r="W48" i="20"/>
  <c r="W54" i="20"/>
  <c r="W38" i="20"/>
  <c r="W51" i="20"/>
  <c r="AA24" i="99"/>
  <c r="J221" i="99"/>
  <c r="Z216" i="99"/>
  <c r="AA128" i="99"/>
  <c r="J229" i="99"/>
  <c r="AA33" i="99"/>
  <c r="V57" i="20"/>
  <c r="V68" i="20"/>
  <c r="V52" i="20"/>
  <c r="J219" i="99"/>
  <c r="AA126" i="99"/>
  <c r="AA127" i="99"/>
  <c r="AA58" i="20"/>
  <c r="AA67" i="20"/>
  <c r="K211" i="99"/>
  <c r="AF121" i="99"/>
  <c r="AF122" i="99" s="1"/>
  <c r="X51" i="110" s="1"/>
  <c r="X52" i="110" s="1"/>
  <c r="S328" i="119" s="1"/>
  <c r="AA138" i="99"/>
  <c r="AF160" i="99"/>
  <c r="AF161" i="99" s="1"/>
  <c r="X110" i="110" s="1"/>
  <c r="AA266" i="99"/>
  <c r="AB24" i="119"/>
  <c r="X23" i="138" s="1"/>
  <c r="AB329" i="119"/>
  <c r="AA78" i="99"/>
  <c r="AA139" i="99"/>
  <c r="AF82" i="99"/>
  <c r="AF83" i="99" s="1"/>
  <c r="X47" i="110" s="1"/>
  <c r="X48" i="110" s="1"/>
  <c r="AA61" i="99"/>
  <c r="AA142" i="99"/>
  <c r="AA27" i="99"/>
  <c r="AA251" i="99"/>
  <c r="AA52" i="99"/>
  <c r="AG52" i="20"/>
  <c r="AG67" i="20"/>
  <c r="AG58" i="20"/>
  <c r="AA34" i="99"/>
  <c r="AK82" i="99"/>
  <c r="AK83" i="99" s="1"/>
  <c r="AC47" i="110" s="1"/>
  <c r="AC48" i="110" s="1"/>
  <c r="AA54" i="99"/>
  <c r="AP277" i="99"/>
  <c r="AP278" i="99" s="1"/>
  <c r="AQ242" i="99"/>
  <c r="AA270" i="99"/>
  <c r="AA244" i="99"/>
  <c r="AA15" i="99"/>
  <c r="J228" i="99"/>
  <c r="I277" i="99"/>
  <c r="I278" i="99" s="1"/>
  <c r="AA242" i="99"/>
  <c r="AA246" i="99"/>
  <c r="AA254" i="99"/>
  <c r="AA38" i="99"/>
  <c r="AA67" i="99"/>
  <c r="Z205" i="99"/>
  <c r="Z206" i="99"/>
  <c r="P52" i="20"/>
  <c r="AA66" i="99"/>
  <c r="J220" i="99"/>
  <c r="AA263" i="99"/>
  <c r="J218" i="99"/>
  <c r="AA261" i="99"/>
  <c r="AA129" i="99"/>
  <c r="AA257" i="99"/>
  <c r="AA25" i="99"/>
  <c r="AA75" i="99"/>
  <c r="AA272" i="99"/>
  <c r="AA49" i="99"/>
  <c r="Z164" i="99"/>
  <c r="I164" i="99"/>
  <c r="H199" i="99"/>
  <c r="Z168" i="99"/>
  <c r="Z173" i="99"/>
  <c r="Z165" i="99"/>
  <c r="Z175" i="99"/>
  <c r="Z169" i="99"/>
  <c r="AA76" i="99"/>
  <c r="AA58" i="99"/>
  <c r="J231" i="99"/>
  <c r="K224" i="99"/>
  <c r="I213" i="99"/>
  <c r="Z213" i="99"/>
  <c r="L210" i="99"/>
  <c r="K222" i="99"/>
  <c r="AA255" i="99"/>
  <c r="J216" i="99"/>
  <c r="Y121" i="99"/>
  <c r="Y122" i="99" s="1"/>
  <c r="Q51" i="110" s="1"/>
  <c r="Q52" i="110" s="1"/>
  <c r="L328" i="119" s="1"/>
  <c r="Z187" i="99"/>
  <c r="Z219" i="99"/>
  <c r="AA264" i="99"/>
  <c r="AA28" i="99"/>
  <c r="AA68" i="20"/>
  <c r="AA57" i="20"/>
  <c r="AA57" i="99"/>
  <c r="J232" i="99"/>
  <c r="AA259" i="99"/>
  <c r="AA14" i="99"/>
  <c r="AA133" i="99"/>
  <c r="AA9" i="99"/>
  <c r="I208" i="99"/>
  <c r="Z208" i="99"/>
  <c r="AA269" i="99"/>
  <c r="L205" i="99"/>
  <c r="AA60" i="99"/>
  <c r="Y235" i="99"/>
  <c r="Y238" i="99" s="1"/>
  <c r="Y239" i="99" s="1"/>
  <c r="Q59" i="110" s="1"/>
  <c r="AG43" i="20"/>
  <c r="AA13" i="99"/>
  <c r="AA18" i="99"/>
  <c r="AA132" i="99"/>
  <c r="Z274" i="99"/>
  <c r="Z277" i="99" s="1"/>
  <c r="Z278" i="99" s="1"/>
  <c r="K215" i="99"/>
  <c r="AC327" i="119"/>
  <c r="AH127" i="110"/>
  <c r="Z43" i="99"/>
  <c r="Z44" i="99" s="1"/>
  <c r="R15" i="20" s="1"/>
  <c r="AA140" i="99"/>
  <c r="AA20" i="99"/>
  <c r="AA68" i="99"/>
  <c r="N217" i="99"/>
  <c r="AF199" i="99"/>
  <c r="AF200" i="99" s="1"/>
  <c r="X55" i="110" s="1"/>
  <c r="X56" i="110" s="1"/>
  <c r="S28" i="119" s="1"/>
  <c r="Z210" i="99"/>
  <c r="Z217" i="99"/>
  <c r="H238" i="99"/>
  <c r="AH42" i="20"/>
  <c r="AH48" i="20"/>
  <c r="AH51" i="20"/>
  <c r="AH37" i="20"/>
  <c r="AH41" i="20"/>
  <c r="AH45" i="20"/>
  <c r="AH54" i="20"/>
  <c r="AH38" i="20"/>
  <c r="M230" i="99"/>
  <c r="Z220" i="99"/>
  <c r="Z218" i="99"/>
  <c r="AA77" i="99"/>
  <c r="AA155" i="99"/>
  <c r="AA74" i="99"/>
  <c r="AA150" i="99"/>
  <c r="AA125" i="99"/>
  <c r="I160" i="99"/>
  <c r="AA143" i="99"/>
  <c r="AA273" i="99"/>
  <c r="AA136" i="99"/>
  <c r="AA31" i="99"/>
  <c r="AA134" i="99"/>
  <c r="Z185" i="99"/>
  <c r="AA19" i="99"/>
  <c r="AA73" i="99"/>
  <c r="Z223" i="99"/>
  <c r="H121" i="99"/>
  <c r="Z86" i="99"/>
  <c r="I86" i="99"/>
  <c r="Z118" i="99"/>
  <c r="Z116" i="99"/>
  <c r="Z105" i="99"/>
  <c r="Z95" i="99"/>
  <c r="Z91" i="99"/>
  <c r="Z107" i="99"/>
  <c r="Z101" i="99"/>
  <c r="Z103" i="99"/>
  <c r="Z89" i="99"/>
  <c r="Z93" i="99"/>
  <c r="Z109" i="99"/>
  <c r="Z97" i="99"/>
  <c r="Z87" i="99"/>
  <c r="Z99" i="99"/>
  <c r="AA265" i="99"/>
  <c r="AA50" i="99"/>
  <c r="AA156" i="99"/>
  <c r="AA148" i="99"/>
  <c r="P207" i="99"/>
  <c r="V43" i="20"/>
  <c r="Z192" i="99"/>
  <c r="W24" i="119"/>
  <c r="S23" i="138" s="1"/>
  <c r="W329" i="119"/>
  <c r="Z174" i="99"/>
  <c r="Z211" i="99"/>
  <c r="AD60" i="20"/>
  <c r="Y323" i="119"/>
  <c r="U270" i="119"/>
  <c r="AD69" i="20"/>
  <c r="AE69" i="20"/>
  <c r="Y322" i="119"/>
  <c r="T69" i="20"/>
  <c r="AE72" i="20"/>
  <c r="T72" i="20"/>
  <c r="T60" i="20"/>
  <c r="U269" i="119"/>
  <c r="AB40" i="94"/>
  <c r="W34" i="94"/>
  <c r="L34" i="94"/>
  <c r="L32" i="94"/>
  <c r="AK40" i="94"/>
  <c r="AK34" i="94"/>
  <c r="L40" i="94"/>
  <c r="P24" i="59"/>
  <c r="P35" i="24" s="1"/>
  <c r="AB34" i="94"/>
  <c r="Y60" i="20"/>
  <c r="U34" i="94"/>
  <c r="U32" i="94"/>
  <c r="U40" i="94"/>
  <c r="AS32" i="94"/>
  <c r="AS34" i="94"/>
  <c r="AS40" i="94"/>
  <c r="Y320" i="119"/>
  <c r="E53" i="120"/>
  <c r="AJ40" i="94"/>
  <c r="AJ32" i="94"/>
  <c r="AJ34" i="94"/>
  <c r="T34" i="94"/>
  <c r="T40" i="94"/>
  <c r="T32" i="94"/>
  <c r="AD62" i="20"/>
  <c r="Y337" i="119"/>
  <c r="Q63" i="106"/>
  <c r="Q84" i="106"/>
  <c r="AA73" i="61"/>
  <c r="AA75" i="61"/>
  <c r="K269" i="119"/>
  <c r="Y27" i="119"/>
  <c r="U26" i="138" s="1"/>
  <c r="O339" i="119"/>
  <c r="Y62" i="20"/>
  <c r="T337" i="119"/>
  <c r="R123" i="59"/>
  <c r="F25" i="101"/>
  <c r="O323" i="119"/>
  <c r="K22" i="132"/>
  <c r="H9" i="106"/>
  <c r="R83" i="59"/>
  <c r="K25" i="132"/>
  <c r="Z322" i="119"/>
  <c r="G63" i="106"/>
  <c r="G84" i="106"/>
  <c r="R16" i="59"/>
  <c r="H12" i="116"/>
  <c r="K24" i="132"/>
  <c r="H62" i="106"/>
  <c r="O27" i="119"/>
  <c r="K26" i="138" s="1"/>
  <c r="P57" i="106"/>
  <c r="P31" i="106"/>
  <c r="Z58" i="60"/>
  <c r="Z56" i="60"/>
  <c r="Z55" i="60"/>
  <c r="Z87" i="59"/>
  <c r="U43" i="119" s="1"/>
  <c r="U97" i="119" s="1"/>
  <c r="Z111" i="59"/>
  <c r="AA84" i="59"/>
  <c r="AA86" i="59"/>
  <c r="V42" i="119" s="1"/>
  <c r="Y31" i="59"/>
  <c r="T323" i="119"/>
  <c r="Y72" i="20"/>
  <c r="T62" i="20"/>
  <c r="O337" i="119"/>
  <c r="AB87" i="62"/>
  <c r="R124" i="110"/>
  <c r="R73" i="61"/>
  <c r="R75" i="61"/>
  <c r="Z339" i="119"/>
  <c r="AA27" i="119"/>
  <c r="W26" i="138" s="1"/>
  <c r="AB16" i="59"/>
  <c r="R12" i="116"/>
  <c r="U24" i="132"/>
  <c r="R62" i="106"/>
  <c r="AA17" i="59"/>
  <c r="Q10" i="106"/>
  <c r="AS180" i="119"/>
  <c r="AA72" i="61"/>
  <c r="AB76" i="59"/>
  <c r="U23" i="132"/>
  <c r="Z323" i="119"/>
  <c r="T339" i="119"/>
  <c r="T320" i="119"/>
  <c r="J39" i="119"/>
  <c r="Y339" i="119"/>
  <c r="U320" i="119"/>
  <c r="Q86" i="59"/>
  <c r="L42" i="119" s="1"/>
  <c r="Q84" i="59"/>
  <c r="Q17" i="59"/>
  <c r="AX31" i="59"/>
  <c r="T180" i="119"/>
  <c r="AN57" i="106"/>
  <c r="AN31" i="106"/>
  <c r="AB83" i="59"/>
  <c r="U25" i="132"/>
  <c r="R76" i="59"/>
  <c r="K23" i="132"/>
  <c r="P24" i="101"/>
  <c r="AC120" i="59" s="1"/>
  <c r="AC121" i="59" s="1"/>
  <c r="O322" i="119"/>
  <c r="AE62" i="20"/>
  <c r="Z337" i="119"/>
  <c r="O320" i="119"/>
  <c r="J320" i="119"/>
  <c r="O66" i="20"/>
  <c r="Z320" i="119"/>
  <c r="AE60" i="20"/>
  <c r="AE66" i="20"/>
  <c r="AB123" i="59"/>
  <c r="P25" i="101"/>
  <c r="F24" i="101"/>
  <c r="S120" i="59" s="1"/>
  <c r="S121" i="59" s="1"/>
  <c r="Y69" i="20"/>
  <c r="T322" i="119"/>
  <c r="R11" i="116"/>
  <c r="U22" i="132"/>
  <c r="R9" i="106"/>
  <c r="R72" i="61"/>
  <c r="P57" i="60"/>
  <c r="X76" i="20" l="1"/>
  <c r="S354" i="119" s="1"/>
  <c r="X79" i="20"/>
  <c r="S357" i="119" s="1"/>
  <c r="X77" i="20"/>
  <c r="S355" i="119" s="1"/>
  <c r="X82" i="20"/>
  <c r="S360" i="119" s="1"/>
  <c r="X83" i="20"/>
  <c r="X80" i="20"/>
  <c r="S358" i="119" s="1"/>
  <c r="X84" i="20"/>
  <c r="S362" i="119" s="1"/>
  <c r="X85" i="20"/>
  <c r="S363" i="119" s="1"/>
  <c r="X81" i="20"/>
  <c r="S359" i="119" s="1"/>
  <c r="X78" i="20"/>
  <c r="S356" i="119" s="1"/>
  <c r="R78" i="20"/>
  <c r="M356" i="119" s="1"/>
  <c r="R83" i="20"/>
  <c r="M361" i="119" s="1"/>
  <c r="R81" i="20"/>
  <c r="M359" i="119" s="1"/>
  <c r="R79" i="20"/>
  <c r="M357" i="119" s="1"/>
  <c r="R82" i="20"/>
  <c r="M360" i="119" s="1"/>
  <c r="R84" i="20"/>
  <c r="M362" i="119" s="1"/>
  <c r="R76" i="20"/>
  <c r="M354" i="119" s="1"/>
  <c r="R77" i="20"/>
  <c r="M355" i="119" s="1"/>
  <c r="R85" i="20"/>
  <c r="M363" i="119" s="1"/>
  <c r="R80" i="20"/>
  <c r="M358" i="119" s="1"/>
  <c r="AI83" i="20"/>
  <c r="AD361" i="119" s="1"/>
  <c r="AI84" i="20"/>
  <c r="AD362" i="119" s="1"/>
  <c r="AI77" i="20"/>
  <c r="AD355" i="119" s="1"/>
  <c r="AI82" i="20"/>
  <c r="AD360" i="119" s="1"/>
  <c r="AI85" i="20"/>
  <c r="AD363" i="119" s="1"/>
  <c r="AI81" i="20"/>
  <c r="AD359" i="119" s="1"/>
  <c r="AI78" i="20"/>
  <c r="AD356" i="119" s="1"/>
  <c r="AI76" i="20"/>
  <c r="AD354" i="119" s="1"/>
  <c r="AI80" i="20"/>
  <c r="AD358" i="119" s="1"/>
  <c r="AI79" i="20"/>
  <c r="AD357" i="119" s="1"/>
  <c r="AC85" i="20"/>
  <c r="X363" i="119" s="1"/>
  <c r="AC84" i="20"/>
  <c r="X362" i="119" s="1"/>
  <c r="AC79" i="20"/>
  <c r="X357" i="119" s="1"/>
  <c r="AC81" i="20"/>
  <c r="X359" i="119" s="1"/>
  <c r="AC76" i="20"/>
  <c r="X354" i="119" s="1"/>
  <c r="AC83" i="20"/>
  <c r="X361" i="119" s="1"/>
  <c r="AC77" i="20"/>
  <c r="X355" i="119" s="1"/>
  <c r="AC80" i="20"/>
  <c r="X358" i="119" s="1"/>
  <c r="AC78" i="20"/>
  <c r="X356" i="119" s="1"/>
  <c r="AC82" i="20"/>
  <c r="X360" i="119" s="1"/>
  <c r="AC278" i="20"/>
  <c r="AC274" i="20"/>
  <c r="AC277" i="20"/>
  <c r="AC276" i="20"/>
  <c r="AC273" i="20"/>
  <c r="AC275" i="20"/>
  <c r="X276" i="20"/>
  <c r="X274" i="20"/>
  <c r="X275" i="20"/>
  <c r="X278" i="20"/>
  <c r="X273" i="20"/>
  <c r="X277" i="20"/>
  <c r="AI274" i="20"/>
  <c r="AI273" i="20"/>
  <c r="AI275" i="20"/>
  <c r="AI276" i="20"/>
  <c r="AI277" i="20"/>
  <c r="AI278" i="20"/>
  <c r="R274" i="20"/>
  <c r="R273" i="20"/>
  <c r="R275" i="20"/>
  <c r="R276" i="20"/>
  <c r="R278" i="20"/>
  <c r="R277" i="20"/>
  <c r="S361" i="119"/>
  <c r="R341" i="119"/>
  <c r="K341" i="119"/>
  <c r="K342" i="119"/>
  <c r="E91" i="106"/>
  <c r="E93" i="106" s="1"/>
  <c r="O34" i="106"/>
  <c r="P34" i="106"/>
  <c r="E34" i="106"/>
  <c r="E37" i="106"/>
  <c r="E39" i="106" s="1"/>
  <c r="F34" i="106"/>
  <c r="L341" i="119"/>
  <c r="AD341" i="119"/>
  <c r="W342" i="119"/>
  <c r="Q76" i="60"/>
  <c r="S85" i="61" s="1"/>
  <c r="S87" i="62" s="1"/>
  <c r="AA76" i="60"/>
  <c r="AC85" i="61" s="1"/>
  <c r="AC87" i="62" s="1"/>
  <c r="AD342" i="119"/>
  <c r="L342" i="119"/>
  <c r="K326" i="119"/>
  <c r="R342" i="119"/>
  <c r="P126" i="110"/>
  <c r="Y338" i="119"/>
  <c r="T63" i="20"/>
  <c r="O26" i="119" s="1"/>
  <c r="AF62" i="20"/>
  <c r="U62" i="20"/>
  <c r="Z62" i="20"/>
  <c r="O62" i="20"/>
  <c r="P127" i="110"/>
  <c r="W341" i="119"/>
  <c r="U28" i="132"/>
  <c r="AC113" i="110"/>
  <c r="AC116" i="110" s="1"/>
  <c r="AC115" i="110"/>
  <c r="AC112" i="110"/>
  <c r="AC114" i="110" s="1"/>
  <c r="J28" i="132"/>
  <c r="R112" i="110"/>
  <c r="R114" i="110" s="1"/>
  <c r="R113" i="110"/>
  <c r="R116" i="110" s="1"/>
  <c r="R115" i="110"/>
  <c r="P28" i="132"/>
  <c r="X112" i="110"/>
  <c r="X114" i="110" s="1"/>
  <c r="X113" i="110"/>
  <c r="X116" i="110" s="1"/>
  <c r="X115" i="110"/>
  <c r="AB28" i="132"/>
  <c r="AJ115" i="110"/>
  <c r="AJ112" i="110"/>
  <c r="AJ114" i="110" s="1"/>
  <c r="AJ113" i="110"/>
  <c r="AJ116" i="110" s="1"/>
  <c r="O116" i="110"/>
  <c r="J327" i="119" s="1"/>
  <c r="J342" i="119"/>
  <c r="O114" i="110"/>
  <c r="O126" i="110"/>
  <c r="O134" i="110" s="1"/>
  <c r="AE287" i="119"/>
  <c r="AA27" i="138"/>
  <c r="S287" i="119"/>
  <c r="O27" i="138"/>
  <c r="X287" i="119"/>
  <c r="T27" i="138"/>
  <c r="K286" i="119"/>
  <c r="G24" i="138"/>
  <c r="X35" i="20"/>
  <c r="X55" i="20" s="1"/>
  <c r="X32" i="20"/>
  <c r="X27" i="20"/>
  <c r="X47" i="20" s="1"/>
  <c r="X33" i="20"/>
  <c r="X53" i="20" s="1"/>
  <c r="X22" i="20"/>
  <c r="X28" i="20"/>
  <c r="X73" i="20" s="1"/>
  <c r="X25" i="20"/>
  <c r="X70" i="20" s="1"/>
  <c r="X24" i="20"/>
  <c r="X44" i="20" s="1"/>
  <c r="X30" i="20"/>
  <c r="X50" i="20" s="1"/>
  <c r="X34" i="20"/>
  <c r="X23" i="20"/>
  <c r="X19" i="20"/>
  <c r="X26" i="20"/>
  <c r="X21" i="20"/>
  <c r="X18" i="20"/>
  <c r="X17" i="20"/>
  <c r="X20" i="20"/>
  <c r="X40" i="20" s="1"/>
  <c r="X31" i="20"/>
  <c r="X29" i="20"/>
  <c r="J286" i="119"/>
  <c r="F24" i="138"/>
  <c r="AA286" i="119"/>
  <c r="W24" i="138"/>
  <c r="AI23" i="20"/>
  <c r="AI17" i="20"/>
  <c r="AI22" i="20"/>
  <c r="AI31" i="20"/>
  <c r="AI27" i="20"/>
  <c r="AI47" i="20" s="1"/>
  <c r="AI26" i="20"/>
  <c r="AI21" i="20"/>
  <c r="AI24" i="20"/>
  <c r="AI44" i="20" s="1"/>
  <c r="AI29" i="20"/>
  <c r="AI35" i="20"/>
  <c r="AI55" i="20" s="1"/>
  <c r="AI33" i="20"/>
  <c r="AI53" i="20" s="1"/>
  <c r="AI19" i="20"/>
  <c r="AI30" i="20"/>
  <c r="AI50" i="20" s="1"/>
  <c r="AI20" i="20"/>
  <c r="AI40" i="20" s="1"/>
  <c r="AI18" i="20"/>
  <c r="AI32" i="20"/>
  <c r="AI28" i="20"/>
  <c r="AI73" i="20" s="1"/>
  <c r="AI25" i="20"/>
  <c r="AI70" i="20" s="1"/>
  <c r="AI34" i="20"/>
  <c r="AC20" i="20"/>
  <c r="AC40" i="20" s="1"/>
  <c r="AC19" i="20"/>
  <c r="AC30" i="20"/>
  <c r="AC50" i="20" s="1"/>
  <c r="AC34" i="20"/>
  <c r="AC29" i="20"/>
  <c r="AC31" i="20"/>
  <c r="AC18" i="20"/>
  <c r="AC33" i="20"/>
  <c r="AC53" i="20" s="1"/>
  <c r="AC25" i="20"/>
  <c r="AC70" i="20" s="1"/>
  <c r="AC23" i="20"/>
  <c r="AC26" i="20"/>
  <c r="AC21" i="20"/>
  <c r="AC32" i="20"/>
  <c r="AC27" i="20"/>
  <c r="AC47" i="20" s="1"/>
  <c r="AC24" i="20"/>
  <c r="AC44" i="20" s="1"/>
  <c r="AC35" i="20"/>
  <c r="AC55" i="20" s="1"/>
  <c r="AC17" i="20"/>
  <c r="AC22" i="20"/>
  <c r="AC28" i="20"/>
  <c r="AC73" i="20" s="1"/>
  <c r="R23" i="20"/>
  <c r="R30" i="20"/>
  <c r="R50" i="20" s="1"/>
  <c r="R33" i="20"/>
  <c r="R53" i="20" s="1"/>
  <c r="R25" i="20"/>
  <c r="R70" i="20" s="1"/>
  <c r="R17" i="20"/>
  <c r="R20" i="20"/>
  <c r="R40" i="20" s="1"/>
  <c r="R21" i="20"/>
  <c r="R35" i="20"/>
  <c r="R55" i="20" s="1"/>
  <c r="R27" i="20"/>
  <c r="R47" i="20" s="1"/>
  <c r="R31" i="20"/>
  <c r="R19" i="20"/>
  <c r="R34" i="20"/>
  <c r="R28" i="20"/>
  <c r="R73" i="20" s="1"/>
  <c r="R26" i="20"/>
  <c r="R18" i="20"/>
  <c r="R22" i="20"/>
  <c r="R29" i="20"/>
  <c r="R32" i="20"/>
  <c r="R24" i="20"/>
  <c r="R44" i="20" s="1"/>
  <c r="L287" i="119"/>
  <c r="H27" i="138"/>
  <c r="U59" i="119"/>
  <c r="U340" i="119"/>
  <c r="AA340" i="119"/>
  <c r="AA59" i="119"/>
  <c r="P60" i="119"/>
  <c r="P339" i="119"/>
  <c r="AA60" i="119"/>
  <c r="AA339" i="119"/>
  <c r="P340" i="119"/>
  <c r="P59" i="119"/>
  <c r="U60" i="119"/>
  <c r="U339" i="119"/>
  <c r="P88" i="20"/>
  <c r="P91" i="20" s="1"/>
  <c r="AG88" i="20"/>
  <c r="AG91" i="20" s="1"/>
  <c r="AA89" i="20"/>
  <c r="AA92" i="20" s="1"/>
  <c r="V88" i="20"/>
  <c r="V91" i="20" s="1"/>
  <c r="P89" i="20"/>
  <c r="P92" i="20" s="1"/>
  <c r="V89" i="20"/>
  <c r="V92" i="20" s="1"/>
  <c r="AG89" i="20"/>
  <c r="AG92" i="20" s="1"/>
  <c r="AA88" i="20"/>
  <c r="AA91" i="20" s="1"/>
  <c r="J340" i="119"/>
  <c r="J59" i="119"/>
  <c r="J60" i="119"/>
  <c r="J339" i="119"/>
  <c r="Z48" i="59"/>
  <c r="Z14" i="60" s="1"/>
  <c r="Y48" i="59"/>
  <c r="Y14" i="60" s="1"/>
  <c r="AX48" i="59"/>
  <c r="AX14" i="60" s="1"/>
  <c r="E21" i="106"/>
  <c r="O57" i="60"/>
  <c r="Y25" i="60"/>
  <c r="P14" i="60"/>
  <c r="P35" i="60" s="1"/>
  <c r="AX25" i="60"/>
  <c r="AA28" i="59"/>
  <c r="Q28" i="59"/>
  <c r="AB36" i="61"/>
  <c r="R36" i="61"/>
  <c r="J270" i="119"/>
  <c r="J96" i="119"/>
  <c r="Q111" i="106"/>
  <c r="AA66" i="59" s="1"/>
  <c r="AA25" i="60" s="1"/>
  <c r="G111" i="106"/>
  <c r="Q66" i="59" s="1"/>
  <c r="Q25" i="60" s="1"/>
  <c r="Q33" i="106"/>
  <c r="G33" i="106"/>
  <c r="R65" i="106"/>
  <c r="Q87" i="106"/>
  <c r="Q88" i="106"/>
  <c r="H65" i="106"/>
  <c r="G88" i="106"/>
  <c r="G87" i="106"/>
  <c r="R12" i="106"/>
  <c r="H12" i="106"/>
  <c r="J43" i="119"/>
  <c r="J271" i="119" s="1"/>
  <c r="AZ74" i="61"/>
  <c r="O66" i="59"/>
  <c r="AA74" i="61"/>
  <c r="O16" i="60"/>
  <c r="Q126" i="59"/>
  <c r="L240" i="119" s="1"/>
  <c r="R124" i="59"/>
  <c r="M45" i="119" s="1"/>
  <c r="AA126" i="59"/>
  <c r="V240" i="119" s="1"/>
  <c r="AB124" i="59"/>
  <c r="V168" i="119"/>
  <c r="Z57" i="60"/>
  <c r="E19" i="106"/>
  <c r="E69" i="106"/>
  <c r="E71" i="106" s="1"/>
  <c r="R17" i="106"/>
  <c r="G92" i="106"/>
  <c r="Q38" i="106"/>
  <c r="Q92" i="106"/>
  <c r="AB25" i="119"/>
  <c r="AA86" i="62"/>
  <c r="J93" i="119"/>
  <c r="J269" i="119"/>
  <c r="Q59" i="82"/>
  <c r="AA180" i="99"/>
  <c r="I198" i="99"/>
  <c r="AA198" i="99" s="1"/>
  <c r="AA119" i="99"/>
  <c r="AA197" i="99"/>
  <c r="AA92" i="99"/>
  <c r="I120" i="99"/>
  <c r="AA120" i="99" s="1"/>
  <c r="AB126" i="110"/>
  <c r="AK63" i="82"/>
  <c r="W326" i="119"/>
  <c r="AB127" i="110"/>
  <c r="W327" i="119"/>
  <c r="I237" i="99"/>
  <c r="AA237" i="99" s="1"/>
  <c r="AA203" i="99"/>
  <c r="I236" i="99"/>
  <c r="AA236" i="99" s="1"/>
  <c r="T96" i="119"/>
  <c r="K96" i="119"/>
  <c r="V99" i="119"/>
  <c r="L96" i="119"/>
  <c r="V96" i="119"/>
  <c r="L99" i="119"/>
  <c r="AA191" i="99"/>
  <c r="AA186" i="99"/>
  <c r="AA192" i="99"/>
  <c r="AA177" i="99"/>
  <c r="AA183" i="99"/>
  <c r="AA170" i="99"/>
  <c r="U69" i="20"/>
  <c r="L44" i="119"/>
  <c r="L98" i="119" s="1"/>
  <c r="Q75" i="60"/>
  <c r="U115" i="119"/>
  <c r="AB84" i="61"/>
  <c r="N46" i="119"/>
  <c r="AA75" i="60"/>
  <c r="V44" i="119"/>
  <c r="V98" i="119" s="1"/>
  <c r="K115" i="119"/>
  <c r="R84" i="61"/>
  <c r="K271" i="119"/>
  <c r="T270" i="119"/>
  <c r="AS271" i="119"/>
  <c r="P320" i="119"/>
  <c r="AF72" i="20"/>
  <c r="E50" i="120"/>
  <c r="J337" i="119"/>
  <c r="P323" i="119"/>
  <c r="O72" i="20"/>
  <c r="U337" i="119"/>
  <c r="AA337" i="119"/>
  <c r="U322" i="119"/>
  <c r="U60" i="20"/>
  <c r="P27" i="132"/>
  <c r="P26" i="132"/>
  <c r="AA26" i="132"/>
  <c r="AA27" i="132"/>
  <c r="U26" i="132"/>
  <c r="U27" i="132"/>
  <c r="J27" i="132"/>
  <c r="J26" i="132"/>
  <c r="AA322" i="119"/>
  <c r="AF60" i="20"/>
  <c r="U17" i="132"/>
  <c r="X26" i="122" s="1"/>
  <c r="X55" i="122" s="1"/>
  <c r="U11" i="132"/>
  <c r="X15" i="122" s="1"/>
  <c r="X49" i="122" s="1"/>
  <c r="U12" i="132"/>
  <c r="X16" i="122" s="1"/>
  <c r="X50" i="122" s="1"/>
  <c r="AA18" i="132"/>
  <c r="AD27" i="122" s="1"/>
  <c r="AD56" i="122" s="1"/>
  <c r="AA14" i="132"/>
  <c r="AD18" i="122" s="1"/>
  <c r="AD52" i="122" s="1"/>
  <c r="AA16" i="132"/>
  <c r="AD25" i="122" s="1"/>
  <c r="AD54" i="122" s="1"/>
  <c r="AA13" i="132"/>
  <c r="AD17" i="122" s="1"/>
  <c r="AD51" i="122" s="1"/>
  <c r="U14" i="132"/>
  <c r="X18" i="122" s="1"/>
  <c r="X52" i="122" s="1"/>
  <c r="U13" i="132"/>
  <c r="X17" i="122" s="1"/>
  <c r="X51" i="122" s="1"/>
  <c r="U18" i="132"/>
  <c r="X27" i="122" s="1"/>
  <c r="X56" i="122" s="1"/>
  <c r="U16" i="132"/>
  <c r="X25" i="122" s="1"/>
  <c r="X54" i="122" s="1"/>
  <c r="U15" i="132"/>
  <c r="X24" i="122" s="1"/>
  <c r="X53" i="122" s="1"/>
  <c r="U10" i="132"/>
  <c r="X14" i="122" s="1"/>
  <c r="X48" i="122" s="1"/>
  <c r="U8" i="132"/>
  <c r="X12" i="122" s="1"/>
  <c r="U9" i="132"/>
  <c r="X13" i="122" s="1"/>
  <c r="X47" i="122" s="1"/>
  <c r="K15" i="132"/>
  <c r="N24" i="122" s="1"/>
  <c r="N53" i="122" s="1"/>
  <c r="K9" i="132"/>
  <c r="N13" i="122" s="1"/>
  <c r="N47" i="122" s="1"/>
  <c r="K8" i="132"/>
  <c r="N12" i="122" s="1"/>
  <c r="K10" i="132"/>
  <c r="N14" i="122" s="1"/>
  <c r="N48" i="122" s="1"/>
  <c r="K17" i="132"/>
  <c r="N26" i="122" s="1"/>
  <c r="N55" i="122" s="1"/>
  <c r="K11" i="132"/>
  <c r="N15" i="122" s="1"/>
  <c r="N49" i="122" s="1"/>
  <c r="K12" i="132"/>
  <c r="N16" i="122" s="1"/>
  <c r="N50" i="122" s="1"/>
  <c r="J16" i="132"/>
  <c r="M25" i="122" s="1"/>
  <c r="M54" i="122" s="1"/>
  <c r="J18" i="132"/>
  <c r="M27" i="122" s="1"/>
  <c r="M56" i="122" s="1"/>
  <c r="J13" i="132"/>
  <c r="M17" i="122" s="1"/>
  <c r="M51" i="122" s="1"/>
  <c r="J14" i="132"/>
  <c r="M18" i="122" s="1"/>
  <c r="M52" i="122" s="1"/>
  <c r="P18" i="132"/>
  <c r="S27" i="122" s="1"/>
  <c r="S56" i="122" s="1"/>
  <c r="P16" i="132"/>
  <c r="S25" i="122" s="1"/>
  <c r="S54" i="122" s="1"/>
  <c r="P14" i="132"/>
  <c r="S18" i="122" s="1"/>
  <c r="S52" i="122" s="1"/>
  <c r="P13" i="132"/>
  <c r="S17" i="122" s="1"/>
  <c r="S51" i="122" s="1"/>
  <c r="P337" i="119"/>
  <c r="Z60" i="20"/>
  <c r="U323" i="119"/>
  <c r="L321" i="119"/>
  <c r="O60" i="20"/>
  <c r="O69" i="20"/>
  <c r="Z69" i="20"/>
  <c r="Q67" i="20"/>
  <c r="L325" i="119"/>
  <c r="P31" i="59"/>
  <c r="K180" i="119"/>
  <c r="Q31" i="106"/>
  <c r="Q57" i="106"/>
  <c r="AC51" i="20"/>
  <c r="AC38" i="20"/>
  <c r="AC41" i="20"/>
  <c r="AC37" i="20"/>
  <c r="AC48" i="20"/>
  <c r="Q68" i="20"/>
  <c r="Q52" i="20"/>
  <c r="L324" i="119" s="1"/>
  <c r="AC45" i="20"/>
  <c r="G38" i="106"/>
  <c r="G57" i="106"/>
  <c r="G31" i="106"/>
  <c r="H17" i="106"/>
  <c r="AC42" i="20"/>
  <c r="R84" i="106"/>
  <c r="R70" i="106"/>
  <c r="H84" i="106"/>
  <c r="H70" i="106"/>
  <c r="AH118" i="110"/>
  <c r="AC27" i="119" s="1"/>
  <c r="Y26" i="138" s="1"/>
  <c r="K321" i="119"/>
  <c r="V324" i="119"/>
  <c r="AD63" i="20"/>
  <c r="Y26" i="119" s="1"/>
  <c r="AB321" i="119"/>
  <c r="AA190" i="99"/>
  <c r="AA196" i="99"/>
  <c r="Z235" i="99"/>
  <c r="Z238" i="99" s="1"/>
  <c r="Z239" i="99" s="1"/>
  <c r="R59" i="110" s="1"/>
  <c r="R60" i="110" s="1"/>
  <c r="AA216" i="99"/>
  <c r="AA185" i="99"/>
  <c r="K324" i="119"/>
  <c r="AB324" i="119"/>
  <c r="AA233" i="99"/>
  <c r="V321" i="119"/>
  <c r="AC54" i="20"/>
  <c r="Q57" i="20"/>
  <c r="Q58" i="20"/>
  <c r="AA184" i="99"/>
  <c r="AA174" i="99"/>
  <c r="R325" i="119"/>
  <c r="AA194" i="99"/>
  <c r="AA98" i="99"/>
  <c r="AA213" i="99"/>
  <c r="J213" i="99"/>
  <c r="Z199" i="99"/>
  <c r="Z200" i="99" s="1"/>
  <c r="R55" i="110" s="1"/>
  <c r="R56" i="110" s="1"/>
  <c r="M28" i="119" s="1"/>
  <c r="AA100" i="99"/>
  <c r="AA220" i="99"/>
  <c r="AQ277" i="99"/>
  <c r="AQ278" i="99" s="1"/>
  <c r="AR242" i="99"/>
  <c r="X24" i="119"/>
  <c r="T23" i="138" s="1"/>
  <c r="X329" i="119"/>
  <c r="AA214" i="99"/>
  <c r="K227" i="99"/>
  <c r="AA106" i="99"/>
  <c r="AA104" i="99"/>
  <c r="AS199" i="99"/>
  <c r="AS200" i="99" s="1"/>
  <c r="AK55" i="110" s="1"/>
  <c r="AK56" i="110" s="1"/>
  <c r="AF28" i="119" s="1"/>
  <c r="AT164" i="99"/>
  <c r="M329" i="119"/>
  <c r="M24" i="119"/>
  <c r="I23" i="138" s="1"/>
  <c r="AB67" i="20"/>
  <c r="AB58" i="20"/>
  <c r="AA210" i="99"/>
  <c r="I238" i="99"/>
  <c r="X48" i="20"/>
  <c r="X54" i="20"/>
  <c r="X51" i="20"/>
  <c r="X42" i="20"/>
  <c r="X37" i="20"/>
  <c r="X41" i="20"/>
  <c r="X45" i="20"/>
  <c r="X38" i="20"/>
  <c r="Z121" i="99"/>
  <c r="Z122" i="99" s="1"/>
  <c r="R51" i="110" s="1"/>
  <c r="R52" i="110" s="1"/>
  <c r="M328" i="119" s="1"/>
  <c r="AA88" i="99"/>
  <c r="AA110" i="99"/>
  <c r="P65" i="20"/>
  <c r="P59" i="20"/>
  <c r="P39" i="20"/>
  <c r="AH68" i="20"/>
  <c r="AH57" i="20"/>
  <c r="R327" i="119"/>
  <c r="W127" i="110"/>
  <c r="AA71" i="20"/>
  <c r="AA46" i="20"/>
  <c r="K216" i="99"/>
  <c r="M210" i="99"/>
  <c r="L224" i="99"/>
  <c r="K231" i="99"/>
  <c r="AA218" i="99"/>
  <c r="K220" i="99"/>
  <c r="AA228" i="99"/>
  <c r="AA115" i="99"/>
  <c r="K219" i="99"/>
  <c r="K229" i="99"/>
  <c r="AA117" i="99"/>
  <c r="AA102" i="99"/>
  <c r="W68" i="20"/>
  <c r="W57" i="20"/>
  <c r="Q206" i="99"/>
  <c r="AA111" i="99"/>
  <c r="AD326" i="119"/>
  <c r="AI126" i="110"/>
  <c r="AA90" i="99"/>
  <c r="M225" i="99"/>
  <c r="AA74" i="20"/>
  <c r="AA49" i="20"/>
  <c r="L214" i="99"/>
  <c r="AI48" i="20"/>
  <c r="AI54" i="20"/>
  <c r="AI38" i="20"/>
  <c r="AI51" i="20"/>
  <c r="AI42" i="20"/>
  <c r="AI37" i="20"/>
  <c r="AI41" i="20"/>
  <c r="AI45" i="20"/>
  <c r="AA205" i="99"/>
  <c r="AA207" i="99"/>
  <c r="L233" i="99"/>
  <c r="AA178" i="99"/>
  <c r="AA193" i="99"/>
  <c r="AA167" i="99"/>
  <c r="AA209" i="99"/>
  <c r="I121" i="99"/>
  <c r="AA86" i="99"/>
  <c r="AA118" i="99"/>
  <c r="AA116" i="99"/>
  <c r="AA95" i="99"/>
  <c r="AA91" i="99"/>
  <c r="AA99" i="99"/>
  <c r="AA97" i="99"/>
  <c r="AA93" i="99"/>
  <c r="AA107" i="99"/>
  <c r="AA87" i="99"/>
  <c r="AA109" i="99"/>
  <c r="AA89" i="99"/>
  <c r="AA103" i="99"/>
  <c r="AA101" i="99"/>
  <c r="AA105" i="99"/>
  <c r="AA160" i="99"/>
  <c r="AA161" i="99" s="1"/>
  <c r="S110" i="110" s="1"/>
  <c r="L215" i="99"/>
  <c r="AG74" i="20"/>
  <c r="AG49" i="20"/>
  <c r="S24" i="119"/>
  <c r="O23" i="138" s="1"/>
  <c r="S329" i="119"/>
  <c r="AA113" i="99"/>
  <c r="L211" i="99"/>
  <c r="AA219" i="99"/>
  <c r="AA221" i="99"/>
  <c r="AA226" i="99"/>
  <c r="AA108" i="99"/>
  <c r="AQ203" i="99"/>
  <c r="AP238" i="99"/>
  <c r="AP239" i="99" s="1"/>
  <c r="AH59" i="110" s="1"/>
  <c r="AH60" i="110" s="1"/>
  <c r="J212" i="99"/>
  <c r="AA212" i="99"/>
  <c r="Q207" i="99"/>
  <c r="AA222" i="99"/>
  <c r="AA94" i="99"/>
  <c r="N230" i="99"/>
  <c r="AC325" i="119"/>
  <c r="AH43" i="20"/>
  <c r="AA171" i="99"/>
  <c r="AA232" i="99"/>
  <c r="P118" i="110"/>
  <c r="K27" i="119" s="1"/>
  <c r="G26" i="138" s="1"/>
  <c r="AA231" i="99"/>
  <c r="K218" i="99"/>
  <c r="P74" i="20"/>
  <c r="P49" i="20"/>
  <c r="K228" i="99"/>
  <c r="AA182" i="99"/>
  <c r="AA188" i="99"/>
  <c r="AA195" i="99"/>
  <c r="AA176" i="99"/>
  <c r="AA189" i="99"/>
  <c r="AA229" i="99"/>
  <c r="AA181" i="99"/>
  <c r="W67" i="20"/>
  <c r="W58" i="20"/>
  <c r="W52" i="20"/>
  <c r="W43" i="20"/>
  <c r="AQ82" i="99"/>
  <c r="AQ83" i="99" s="1"/>
  <c r="AI47" i="110" s="1"/>
  <c r="AI48" i="110" s="1"/>
  <c r="AR47" i="99"/>
  <c r="AA39" i="20"/>
  <c r="AA59" i="20"/>
  <c r="AA65" i="20"/>
  <c r="V74" i="20"/>
  <c r="V49" i="20"/>
  <c r="V59" i="20"/>
  <c r="V39" i="20"/>
  <c r="V65" i="20"/>
  <c r="AA166" i="99"/>
  <c r="AT125" i="99"/>
  <c r="AS160" i="99"/>
  <c r="AS161" i="99" s="1"/>
  <c r="AK110" i="110" s="1"/>
  <c r="AB57" i="20"/>
  <c r="AB68" i="20"/>
  <c r="W325" i="119"/>
  <c r="AS8" i="99"/>
  <c r="AR43" i="99"/>
  <c r="AR44" i="99" s="1"/>
  <c r="AJ15" i="20" s="1"/>
  <c r="AA225" i="99"/>
  <c r="AA230" i="99"/>
  <c r="AA172" i="99"/>
  <c r="AR121" i="99"/>
  <c r="AR122" i="99" s="1"/>
  <c r="AJ51" i="110" s="1"/>
  <c r="AJ52" i="110" s="1"/>
  <c r="AE328" i="119" s="1"/>
  <c r="AS86" i="99"/>
  <c r="Q46" i="20"/>
  <c r="Q71" i="20"/>
  <c r="Q39" i="20"/>
  <c r="K209" i="99"/>
  <c r="AA96" i="99"/>
  <c r="Q126" i="110"/>
  <c r="P71" i="20"/>
  <c r="P46" i="20"/>
  <c r="AA217" i="99"/>
  <c r="Q321" i="119"/>
  <c r="Q60" i="110"/>
  <c r="AH52" i="20"/>
  <c r="AH58" i="20"/>
  <c r="AH67" i="20"/>
  <c r="O217" i="99"/>
  <c r="R42" i="20"/>
  <c r="R48" i="20"/>
  <c r="R38" i="20"/>
  <c r="R51" i="20"/>
  <c r="R37" i="20"/>
  <c r="R41" i="20"/>
  <c r="R45" i="20"/>
  <c r="R54" i="20"/>
  <c r="W126" i="110"/>
  <c r="AG65" i="20"/>
  <c r="AG59" i="20"/>
  <c r="AG39" i="20"/>
  <c r="M205" i="99"/>
  <c r="Q49" i="20"/>
  <c r="Q74" i="20"/>
  <c r="AA208" i="99"/>
  <c r="J208" i="99"/>
  <c r="J236" i="99" s="1"/>
  <c r="K232" i="99"/>
  <c r="V71" i="20"/>
  <c r="V46" i="20"/>
  <c r="L222" i="99"/>
  <c r="AA112" i="99"/>
  <c r="I199" i="99"/>
  <c r="AA164" i="99"/>
  <c r="AA168" i="99"/>
  <c r="AA165" i="99"/>
  <c r="AA169" i="99"/>
  <c r="AA173" i="99"/>
  <c r="AA175" i="99"/>
  <c r="L327" i="119"/>
  <c r="Q127" i="110"/>
  <c r="AC326" i="119"/>
  <c r="Q324" i="119"/>
  <c r="AA187" i="99"/>
  <c r="K221" i="99"/>
  <c r="AA224" i="99"/>
  <c r="AA114" i="99"/>
  <c r="AD327" i="119"/>
  <c r="AI127" i="110"/>
  <c r="L223" i="99"/>
  <c r="AA227" i="99"/>
  <c r="AA179" i="99"/>
  <c r="AC329" i="119"/>
  <c r="AC24" i="119"/>
  <c r="Y23" i="138" s="1"/>
  <c r="K226" i="99"/>
  <c r="AA274" i="99"/>
  <c r="AA277" i="99" s="1"/>
  <c r="AA278" i="99" s="1"/>
  <c r="AA223" i="99"/>
  <c r="AB52" i="20"/>
  <c r="AB43" i="20"/>
  <c r="AA234" i="99"/>
  <c r="AA206" i="99"/>
  <c r="K203" i="99"/>
  <c r="M234" i="99"/>
  <c r="V118" i="110"/>
  <c r="Q27" i="119" s="1"/>
  <c r="M26" i="138" s="1"/>
  <c r="AA43" i="99"/>
  <c r="AA44" i="99" s="1"/>
  <c r="S15" i="20" s="1"/>
  <c r="AG46" i="20"/>
  <c r="AG71" i="20"/>
  <c r="K235" i="99"/>
  <c r="AA204" i="99"/>
  <c r="J204" i="99"/>
  <c r="AA211" i="99"/>
  <c r="AA215" i="99"/>
  <c r="AA82" i="99"/>
  <c r="AA83" i="99" s="1"/>
  <c r="S47" i="110" s="1"/>
  <c r="S48" i="110" s="1"/>
  <c r="O338" i="119"/>
  <c r="T269" i="119"/>
  <c r="AS269" i="119"/>
  <c r="E49" i="120"/>
  <c r="T271" i="119"/>
  <c r="T338" i="119"/>
  <c r="Y63" i="20"/>
  <c r="U180" i="119"/>
  <c r="R10" i="106"/>
  <c r="G24" i="101"/>
  <c r="T120" i="59" s="1"/>
  <c r="T121" i="59" s="1"/>
  <c r="R74" i="61"/>
  <c r="AA24" i="59"/>
  <c r="AA35" i="24" s="1"/>
  <c r="AB86" i="59"/>
  <c r="W42" i="119" s="1"/>
  <c r="AB84" i="59"/>
  <c r="Q24" i="59"/>
  <c r="Q35" i="24" s="1"/>
  <c r="AC76" i="59"/>
  <c r="V23" i="132"/>
  <c r="AC16" i="59"/>
  <c r="V24" i="132"/>
  <c r="S12" i="116"/>
  <c r="S62" i="106"/>
  <c r="AB17" i="59"/>
  <c r="S124" i="110"/>
  <c r="AA58" i="60"/>
  <c r="AA56" i="60"/>
  <c r="AA55" i="60"/>
  <c r="AA87" i="59"/>
  <c r="V43" i="119" s="1"/>
  <c r="V97" i="119" s="1"/>
  <c r="AA111" i="59"/>
  <c r="AB73" i="61"/>
  <c r="AB75" i="61"/>
  <c r="S16" i="59"/>
  <c r="I12" i="116"/>
  <c r="L24" i="132"/>
  <c r="I62" i="106"/>
  <c r="R17" i="59"/>
  <c r="R86" i="59"/>
  <c r="M42" i="119" s="1"/>
  <c r="R84" i="59"/>
  <c r="H10" i="106"/>
  <c r="S123" i="59"/>
  <c r="G25" i="101"/>
  <c r="Z31" i="59"/>
  <c r="Q85" i="106"/>
  <c r="V22" i="132"/>
  <c r="S11" i="116"/>
  <c r="S9" i="106"/>
  <c r="AC123" i="59"/>
  <c r="Q25" i="101"/>
  <c r="AE63" i="20"/>
  <c r="Z26" i="119" s="1"/>
  <c r="Z338" i="119"/>
  <c r="Q24" i="101"/>
  <c r="AD120" i="59" s="1"/>
  <c r="AD121" i="59" s="1"/>
  <c r="S76" i="59"/>
  <c r="L23" i="132"/>
  <c r="AC83" i="59"/>
  <c r="V25" i="132"/>
  <c r="Q30" i="59"/>
  <c r="Q58" i="60"/>
  <c r="Q56" i="60"/>
  <c r="Q55" i="60"/>
  <c r="Q87" i="59"/>
  <c r="L43" i="119" s="1"/>
  <c r="L97" i="119" s="1"/>
  <c r="Q111" i="59"/>
  <c r="AA30" i="59"/>
  <c r="R63" i="106"/>
  <c r="AB72" i="61"/>
  <c r="H63" i="106"/>
  <c r="G85" i="106"/>
  <c r="S83" i="59"/>
  <c r="L25" i="132"/>
  <c r="I11" i="116"/>
  <c r="L22" i="132"/>
  <c r="I9" i="106"/>
  <c r="AJ78" i="20" l="1"/>
  <c r="AE356" i="119" s="1"/>
  <c r="AJ77" i="20"/>
  <c r="AE355" i="119" s="1"/>
  <c r="AJ79" i="20"/>
  <c r="AE357" i="119" s="1"/>
  <c r="AJ76" i="20"/>
  <c r="AE354" i="119" s="1"/>
  <c r="AJ80" i="20"/>
  <c r="AE358" i="119" s="1"/>
  <c r="AJ83" i="20"/>
  <c r="AE361" i="119" s="1"/>
  <c r="AJ81" i="20"/>
  <c r="AE359" i="119" s="1"/>
  <c r="AJ82" i="20"/>
  <c r="AE360" i="119" s="1"/>
  <c r="AJ84" i="20"/>
  <c r="AE362" i="119" s="1"/>
  <c r="AJ85" i="20"/>
  <c r="AE363" i="119" s="1"/>
  <c r="S85" i="20"/>
  <c r="N363" i="119" s="1"/>
  <c r="S78" i="20"/>
  <c r="N356" i="119" s="1"/>
  <c r="S76" i="20"/>
  <c r="N354" i="119" s="1"/>
  <c r="S84" i="20"/>
  <c r="N362" i="119" s="1"/>
  <c r="S80" i="20"/>
  <c r="N358" i="119" s="1"/>
  <c r="S82" i="20"/>
  <c r="N360" i="119" s="1"/>
  <c r="S81" i="20"/>
  <c r="N359" i="119" s="1"/>
  <c r="S79" i="20"/>
  <c r="N357" i="119" s="1"/>
  <c r="S83" i="20"/>
  <c r="N361" i="119" s="1"/>
  <c r="S77" i="20"/>
  <c r="N355" i="119" s="1"/>
  <c r="AJ278" i="20"/>
  <c r="AJ277" i="20"/>
  <c r="AJ274" i="20"/>
  <c r="AJ273" i="20"/>
  <c r="AJ275" i="20"/>
  <c r="AJ276" i="20"/>
  <c r="S278" i="20"/>
  <c r="S277" i="20"/>
  <c r="S276" i="20"/>
  <c r="S273" i="20"/>
  <c r="S275" i="20"/>
  <c r="S274" i="20"/>
  <c r="E96" i="106"/>
  <c r="X341" i="119"/>
  <c r="G34" i="106"/>
  <c r="Q34" i="106"/>
  <c r="AE341" i="119"/>
  <c r="P134" i="110"/>
  <c r="E20" i="106"/>
  <c r="E25" i="106" s="1"/>
  <c r="X342" i="119"/>
  <c r="S341" i="119"/>
  <c r="S342" i="119"/>
  <c r="U338" i="119"/>
  <c r="AA338" i="119"/>
  <c r="U63" i="20"/>
  <c r="P26" i="119" s="1"/>
  <c r="O63" i="20"/>
  <c r="J26" i="119" s="1"/>
  <c r="M341" i="119"/>
  <c r="AE342" i="119"/>
  <c r="M342" i="119"/>
  <c r="K28" i="132"/>
  <c r="S112" i="110"/>
  <c r="S114" i="110" s="1"/>
  <c r="S113" i="110"/>
  <c r="S116" i="110" s="1"/>
  <c r="S115" i="110"/>
  <c r="O118" i="110"/>
  <c r="J27" i="119" s="1"/>
  <c r="F26" i="138" s="1"/>
  <c r="J326" i="119"/>
  <c r="AC28" i="132"/>
  <c r="AK113" i="110"/>
  <c r="AK116" i="110" s="1"/>
  <c r="AK115" i="110"/>
  <c r="AK112" i="110"/>
  <c r="AK114" i="110" s="1"/>
  <c r="AJ31" i="20"/>
  <c r="AJ24" i="20"/>
  <c r="AJ44" i="20" s="1"/>
  <c r="AJ30" i="20"/>
  <c r="AJ50" i="20" s="1"/>
  <c r="AJ33" i="20"/>
  <c r="AJ53" i="20" s="1"/>
  <c r="AJ21" i="20"/>
  <c r="AJ19" i="20"/>
  <c r="AJ28" i="20"/>
  <c r="AJ73" i="20" s="1"/>
  <c r="AJ26" i="20"/>
  <c r="AJ17" i="20"/>
  <c r="AJ18" i="20"/>
  <c r="AJ23" i="20"/>
  <c r="AJ29" i="20"/>
  <c r="AJ35" i="20"/>
  <c r="AJ55" i="20" s="1"/>
  <c r="AJ32" i="20"/>
  <c r="AJ25" i="20"/>
  <c r="AJ70" i="20" s="1"/>
  <c r="AJ34" i="20"/>
  <c r="AJ20" i="20"/>
  <c r="AJ40" i="20" s="1"/>
  <c r="AJ27" i="20"/>
  <c r="AJ47" i="20" s="1"/>
  <c r="AJ22" i="20"/>
  <c r="M287" i="119"/>
  <c r="I27" i="138"/>
  <c r="S31" i="20"/>
  <c r="S34" i="20"/>
  <c r="S23" i="20"/>
  <c r="S17" i="20"/>
  <c r="S35" i="20"/>
  <c r="S55" i="20" s="1"/>
  <c r="S26" i="20"/>
  <c r="S18" i="20"/>
  <c r="S24" i="20"/>
  <c r="S44" i="20" s="1"/>
  <c r="S21" i="20"/>
  <c r="S25" i="20"/>
  <c r="S70" i="20" s="1"/>
  <c r="S29" i="20"/>
  <c r="S27" i="20"/>
  <c r="S47" i="20" s="1"/>
  <c r="S30" i="20"/>
  <c r="S50" i="20" s="1"/>
  <c r="S33" i="20"/>
  <c r="S53" i="20" s="1"/>
  <c r="S22" i="20"/>
  <c r="S20" i="20"/>
  <c r="S40" i="20" s="1"/>
  <c r="S32" i="20"/>
  <c r="S19" i="20"/>
  <c r="S28" i="20"/>
  <c r="S73" i="20" s="1"/>
  <c r="AB286" i="119"/>
  <c r="X24" i="138"/>
  <c r="AF287" i="119"/>
  <c r="AB27" i="138"/>
  <c r="Q340" i="119"/>
  <c r="Q59" i="119"/>
  <c r="K340" i="119"/>
  <c r="K59" i="119"/>
  <c r="Q339" i="119"/>
  <c r="Q60" i="119"/>
  <c r="V59" i="119"/>
  <c r="V340" i="119"/>
  <c r="AB339" i="119"/>
  <c r="AB60" i="119"/>
  <c r="K339" i="119"/>
  <c r="K60" i="119"/>
  <c r="V339" i="119"/>
  <c r="V60" i="119"/>
  <c r="AB340" i="119"/>
  <c r="AB59" i="119"/>
  <c r="Q89" i="20"/>
  <c r="Q92" i="20" s="1"/>
  <c r="W88" i="20"/>
  <c r="W91" i="20" s="1"/>
  <c r="Q88" i="20"/>
  <c r="Q91" i="20" s="1"/>
  <c r="AB88" i="20"/>
  <c r="AB91" i="20" s="1"/>
  <c r="AH88" i="20"/>
  <c r="AH91" i="20" s="1"/>
  <c r="AB89" i="20"/>
  <c r="AB92" i="20" s="1"/>
  <c r="AH89" i="20"/>
  <c r="AH92" i="20" s="1"/>
  <c r="W89" i="20"/>
  <c r="W92" i="20" s="1"/>
  <c r="W42" i="123"/>
  <c r="J16" i="123" s="1"/>
  <c r="U25" i="138"/>
  <c r="M42" i="123"/>
  <c r="J14" i="123" s="1"/>
  <c r="K25" i="138"/>
  <c r="X42" i="123"/>
  <c r="V25" i="138"/>
  <c r="AA15" i="61"/>
  <c r="Y35" i="60"/>
  <c r="T110" i="119" s="1"/>
  <c r="AZ15" i="61"/>
  <c r="AX35" i="60"/>
  <c r="AS110" i="119" s="1"/>
  <c r="AB15" i="61"/>
  <c r="Z35" i="60"/>
  <c r="U110" i="119" s="1"/>
  <c r="AA48" i="59"/>
  <c r="AA14" i="60" s="1"/>
  <c r="Q48" i="59"/>
  <c r="Q14" i="60" s="1"/>
  <c r="AP29" i="132"/>
  <c r="AN36" i="106"/>
  <c r="AA36" i="61"/>
  <c r="AZ36" i="61"/>
  <c r="R15" i="61"/>
  <c r="K110" i="119"/>
  <c r="AS255" i="119"/>
  <c r="H13" i="106"/>
  <c r="E74" i="106"/>
  <c r="R13" i="106"/>
  <c r="Q74" i="61"/>
  <c r="H66" i="106"/>
  <c r="R66" i="106"/>
  <c r="R28" i="59"/>
  <c r="AB28" i="59"/>
  <c r="R76" i="60"/>
  <c r="T85" i="61" s="1"/>
  <c r="T87" i="62" s="1"/>
  <c r="J97" i="119"/>
  <c r="E42" i="106"/>
  <c r="E50" i="106"/>
  <c r="E51" i="106" s="1"/>
  <c r="H111" i="106"/>
  <c r="R66" i="59" s="1"/>
  <c r="R25" i="60" s="1"/>
  <c r="R111" i="106"/>
  <c r="AB66" i="59" s="1"/>
  <c r="AB25" i="60" s="1"/>
  <c r="E40" i="106"/>
  <c r="H33" i="106"/>
  <c r="R33" i="106"/>
  <c r="I12" i="106"/>
  <c r="I65" i="106"/>
  <c r="H87" i="106"/>
  <c r="H88" i="106"/>
  <c r="S65" i="106"/>
  <c r="R88" i="106"/>
  <c r="R87" i="106"/>
  <c r="S12" i="106"/>
  <c r="T255" i="119"/>
  <c r="J165" i="119"/>
  <c r="O25" i="60"/>
  <c r="Q36" i="61" s="1"/>
  <c r="O27" i="60"/>
  <c r="AB74" i="61"/>
  <c r="AC124" i="59"/>
  <c r="AC76" i="60" s="1"/>
  <c r="AE85" i="61" s="1"/>
  <c r="AB126" i="59"/>
  <c r="W240" i="119" s="1"/>
  <c r="S124" i="59"/>
  <c r="N45" i="119" s="1"/>
  <c r="W45" i="119"/>
  <c r="W99" i="119" s="1"/>
  <c r="AB76" i="60"/>
  <c r="AD85" i="61" s="1"/>
  <c r="AD87" i="62" s="1"/>
  <c r="R126" i="59"/>
  <c r="M240" i="119" s="1"/>
  <c r="W168" i="119"/>
  <c r="AA57" i="60"/>
  <c r="Q57" i="60"/>
  <c r="E104" i="106"/>
  <c r="H92" i="106"/>
  <c r="H38" i="106"/>
  <c r="E72" i="106"/>
  <c r="R92" i="106"/>
  <c r="I17" i="106"/>
  <c r="R38" i="106"/>
  <c r="J377" i="119"/>
  <c r="M25" i="119"/>
  <c r="L25" i="119"/>
  <c r="AC25" i="119"/>
  <c r="R86" i="62"/>
  <c r="AB86" i="62"/>
  <c r="AB236" i="99"/>
  <c r="J237" i="99"/>
  <c r="AN68" i="106"/>
  <c r="AN90" i="106"/>
  <c r="AN91" i="106" s="1"/>
  <c r="AN93" i="106" s="1"/>
  <c r="AP5" i="132"/>
  <c r="AS9" i="122" s="1"/>
  <c r="AN15" i="106"/>
  <c r="AP30" i="132"/>
  <c r="C63" i="82"/>
  <c r="F15" i="106" s="1"/>
  <c r="X326" i="119"/>
  <c r="AC127" i="110"/>
  <c r="AC126" i="110"/>
  <c r="AB118" i="110"/>
  <c r="W27" i="119" s="1"/>
  <c r="S26" i="138" s="1"/>
  <c r="X327" i="119"/>
  <c r="AB237" i="99"/>
  <c r="W96" i="119"/>
  <c r="M99" i="119"/>
  <c r="M96" i="119"/>
  <c r="AB227" i="99"/>
  <c r="AB75" i="60"/>
  <c r="W44" i="119"/>
  <c r="W98" i="119" s="1"/>
  <c r="O46" i="119"/>
  <c r="L115" i="119"/>
  <c r="S84" i="61"/>
  <c r="M44" i="119"/>
  <c r="M98" i="119" s="1"/>
  <c r="R75" i="60"/>
  <c r="V115" i="119"/>
  <c r="AC84" i="61"/>
  <c r="M168" i="119"/>
  <c r="AF63" i="20"/>
  <c r="AA26" i="119" s="1"/>
  <c r="P338" i="119"/>
  <c r="K27" i="132"/>
  <c r="K26" i="132"/>
  <c r="AB26" i="132"/>
  <c r="AB27" i="132"/>
  <c r="AC43" i="20"/>
  <c r="X321" i="119" s="1"/>
  <c r="Z63" i="20"/>
  <c r="U26" i="119" s="1"/>
  <c r="V17" i="132"/>
  <c r="Y26" i="122" s="1"/>
  <c r="Y55" i="122" s="1"/>
  <c r="V11" i="132"/>
  <c r="Y15" i="122" s="1"/>
  <c r="Y49" i="122" s="1"/>
  <c r="V12" i="132"/>
  <c r="Y16" i="122" s="1"/>
  <c r="Y50" i="122" s="1"/>
  <c r="L15" i="132"/>
  <c r="O24" i="122" s="1"/>
  <c r="O53" i="122" s="1"/>
  <c r="L10" i="132"/>
  <c r="O14" i="122" s="1"/>
  <c r="O48" i="122" s="1"/>
  <c r="L9" i="132"/>
  <c r="O13" i="122" s="1"/>
  <c r="O47" i="122" s="1"/>
  <c r="L8" i="132"/>
  <c r="O12" i="122" s="1"/>
  <c r="L11" i="132"/>
  <c r="O15" i="122" s="1"/>
  <c r="O49" i="122" s="1"/>
  <c r="L17" i="132"/>
  <c r="O26" i="122" s="1"/>
  <c r="O55" i="122" s="1"/>
  <c r="L12" i="132"/>
  <c r="O16" i="122" s="1"/>
  <c r="O50" i="122" s="1"/>
  <c r="V15" i="132"/>
  <c r="Y24" i="122" s="1"/>
  <c r="Y53" i="122" s="1"/>
  <c r="V9" i="132"/>
  <c r="Y13" i="122" s="1"/>
  <c r="Y47" i="122" s="1"/>
  <c r="V10" i="132"/>
  <c r="Y14" i="122" s="1"/>
  <c r="Y48" i="122" s="1"/>
  <c r="V8" i="132"/>
  <c r="Y12" i="122" s="1"/>
  <c r="K16" i="132"/>
  <c r="N25" i="122" s="1"/>
  <c r="N54" i="122" s="1"/>
  <c r="K18" i="132"/>
  <c r="N27" i="122" s="1"/>
  <c r="N56" i="122" s="1"/>
  <c r="K14" i="132"/>
  <c r="N18" i="122" s="1"/>
  <c r="N52" i="122" s="1"/>
  <c r="K13" i="132"/>
  <c r="N17" i="122" s="1"/>
  <c r="N51" i="122" s="1"/>
  <c r="AB16" i="132"/>
  <c r="AE25" i="122" s="1"/>
  <c r="AE54" i="122" s="1"/>
  <c r="AB13" i="132"/>
  <c r="AE17" i="122" s="1"/>
  <c r="AE51" i="122" s="1"/>
  <c r="AB18" i="132"/>
  <c r="AE27" i="122" s="1"/>
  <c r="AE56" i="122" s="1"/>
  <c r="AB14" i="132"/>
  <c r="AE18" i="122" s="1"/>
  <c r="AE52" i="122" s="1"/>
  <c r="AC52" i="20"/>
  <c r="J338" i="119"/>
  <c r="H31" i="106"/>
  <c r="X325" i="119"/>
  <c r="AC68" i="20"/>
  <c r="H57" i="106"/>
  <c r="Q59" i="20"/>
  <c r="Q65" i="20"/>
  <c r="AC58" i="20"/>
  <c r="H85" i="106"/>
  <c r="AC57" i="20"/>
  <c r="AC67" i="20"/>
  <c r="W118" i="110"/>
  <c r="R27" i="119" s="1"/>
  <c r="N26" i="138" s="1"/>
  <c r="W324" i="119"/>
  <c r="R85" i="106"/>
  <c r="L322" i="119"/>
  <c r="I84" i="106"/>
  <c r="I70" i="106"/>
  <c r="S84" i="106"/>
  <c r="S70" i="106"/>
  <c r="S17" i="106"/>
  <c r="S325" i="119"/>
  <c r="L320" i="119"/>
  <c r="AC46" i="20"/>
  <c r="E94" i="106"/>
  <c r="R321" i="119"/>
  <c r="R324" i="119"/>
  <c r="W321" i="119"/>
  <c r="Q118" i="110"/>
  <c r="L27" i="119" s="1"/>
  <c r="H26" i="138" s="1"/>
  <c r="M223" i="99"/>
  <c r="L209" i="99"/>
  <c r="L228" i="99"/>
  <c r="M233" i="99"/>
  <c r="AI67" i="20"/>
  <c r="AI58" i="20"/>
  <c r="N225" i="99"/>
  <c r="W46" i="20"/>
  <c r="W71" i="20"/>
  <c r="L219" i="99"/>
  <c r="AB220" i="99"/>
  <c r="X68" i="20"/>
  <c r="X57" i="20"/>
  <c r="R326" i="119"/>
  <c r="N234" i="99"/>
  <c r="AB234" i="99"/>
  <c r="AB207" i="99"/>
  <c r="J238" i="99"/>
  <c r="AB71" i="20"/>
  <c r="AB46" i="20"/>
  <c r="R126" i="110"/>
  <c r="Q320" i="119"/>
  <c r="V66" i="20"/>
  <c r="V60" i="20"/>
  <c r="AB323" i="119"/>
  <c r="AG72" i="20"/>
  <c r="M325" i="119"/>
  <c r="P217" i="99"/>
  <c r="AC324" i="119"/>
  <c r="Q134" i="110"/>
  <c r="AB209" i="99"/>
  <c r="AS121" i="99"/>
  <c r="AS122" i="99" s="1"/>
  <c r="AK51" i="110" s="1"/>
  <c r="AK52" i="110" s="1"/>
  <c r="AF328" i="119" s="1"/>
  <c r="AT86" i="99"/>
  <c r="AJ51" i="20"/>
  <c r="AJ37" i="20"/>
  <c r="AJ41" i="20"/>
  <c r="AJ45" i="20"/>
  <c r="AJ54" i="20"/>
  <c r="AJ38" i="20"/>
  <c r="AJ48" i="20"/>
  <c r="AJ42" i="20"/>
  <c r="AD329" i="119"/>
  <c r="AD24" i="119"/>
  <c r="Z23" i="138" s="1"/>
  <c r="AB228" i="99"/>
  <c r="L218" i="99"/>
  <c r="V322" i="119"/>
  <c r="AA69" i="20"/>
  <c r="AB212" i="99"/>
  <c r="K212" i="99"/>
  <c r="K323" i="119"/>
  <c r="P72" i="20"/>
  <c r="AD325" i="119"/>
  <c r="AB229" i="99"/>
  <c r="M224" i="99"/>
  <c r="L216" i="99"/>
  <c r="X43" i="20"/>
  <c r="AA235" i="99"/>
  <c r="AA238" i="99" s="1"/>
  <c r="AA239" i="99" s="1"/>
  <c r="S59" i="110" s="1"/>
  <c r="S60" i="110" s="1"/>
  <c r="AT199" i="99"/>
  <c r="AT200" i="99" s="1"/>
  <c r="AL55" i="110" s="1"/>
  <c r="AL56" i="110" s="1"/>
  <c r="AG28" i="119" s="1"/>
  <c r="AU164" i="99"/>
  <c r="K204" i="99"/>
  <c r="AB204" i="99"/>
  <c r="AB215" i="99"/>
  <c r="AB223" i="99"/>
  <c r="AB224" i="99"/>
  <c r="AB233" i="99"/>
  <c r="AB211" i="99"/>
  <c r="AB214" i="99"/>
  <c r="AB222" i="99"/>
  <c r="L235" i="99"/>
  <c r="AB205" i="99"/>
  <c r="AB217" i="99"/>
  <c r="AB203" i="99"/>
  <c r="K322" i="119"/>
  <c r="P69" i="20"/>
  <c r="AE326" i="119"/>
  <c r="AJ126" i="110"/>
  <c r="AA72" i="20"/>
  <c r="V323" i="119"/>
  <c r="K208" i="99"/>
  <c r="K236" i="99" s="1"/>
  <c r="AB208" i="99"/>
  <c r="W59" i="20"/>
  <c r="W39" i="20"/>
  <c r="W65" i="20"/>
  <c r="L323" i="119"/>
  <c r="Q72" i="20"/>
  <c r="AH71" i="20"/>
  <c r="AH46" i="20"/>
  <c r="AU125" i="99"/>
  <c r="AT160" i="99"/>
  <c r="AT161" i="99" s="1"/>
  <c r="AL110" i="110" s="1"/>
  <c r="V62" i="20"/>
  <c r="Q337" i="119"/>
  <c r="AR82" i="99"/>
  <c r="AR83" i="99" s="1"/>
  <c r="AJ47" i="110" s="1"/>
  <c r="AJ48" i="110" s="1"/>
  <c r="AS47" i="99"/>
  <c r="S327" i="119"/>
  <c r="X127" i="110"/>
  <c r="N329" i="119"/>
  <c r="N24" i="119"/>
  <c r="J23" i="138" s="1"/>
  <c r="AB210" i="99"/>
  <c r="AB206" i="99"/>
  <c r="AE327" i="119"/>
  <c r="AJ127" i="110"/>
  <c r="L226" i="99"/>
  <c r="AB221" i="99"/>
  <c r="L232" i="99"/>
  <c r="R52" i="20"/>
  <c r="AS43" i="99"/>
  <c r="AS44" i="99" s="1"/>
  <c r="AK15" i="20" s="1"/>
  <c r="AT8" i="99"/>
  <c r="V337" i="119"/>
  <c r="AA62" i="20"/>
  <c r="S326" i="119"/>
  <c r="X126" i="110"/>
  <c r="L326" i="119"/>
  <c r="AB218" i="99"/>
  <c r="AB320" i="119"/>
  <c r="AG66" i="20"/>
  <c r="AG60" i="20"/>
  <c r="R207" i="99"/>
  <c r="M211" i="99"/>
  <c r="P66" i="20"/>
  <c r="K320" i="119"/>
  <c r="P60" i="20"/>
  <c r="AA121" i="99"/>
  <c r="AA122" i="99" s="1"/>
  <c r="S51" i="110" s="1"/>
  <c r="S52" i="110" s="1"/>
  <c r="N328" i="119" s="1"/>
  <c r="AI52" i="20"/>
  <c r="M214" i="99"/>
  <c r="R206" i="99"/>
  <c r="W74" i="20"/>
  <c r="W49" i="20"/>
  <c r="L229" i="99"/>
  <c r="AB231" i="99"/>
  <c r="AB216" i="99"/>
  <c r="AH59" i="20"/>
  <c r="AH39" i="20"/>
  <c r="AH65" i="20"/>
  <c r="X67" i="20"/>
  <c r="X58" i="20"/>
  <c r="L227" i="99"/>
  <c r="AR277" i="99"/>
  <c r="AR278" i="99" s="1"/>
  <c r="AS242" i="99"/>
  <c r="N205" i="99"/>
  <c r="R68" i="20"/>
  <c r="R57" i="20"/>
  <c r="R88" i="20" s="1"/>
  <c r="R58" i="20"/>
  <c r="R67" i="20"/>
  <c r="S54" i="20"/>
  <c r="S38" i="20"/>
  <c r="S48" i="20"/>
  <c r="S42" i="20"/>
  <c r="S51" i="20"/>
  <c r="S37" i="20"/>
  <c r="S41" i="20"/>
  <c r="S45" i="20"/>
  <c r="AB225" i="99"/>
  <c r="AB230" i="99"/>
  <c r="L203" i="99"/>
  <c r="M327" i="119"/>
  <c r="R127" i="110"/>
  <c r="AB226" i="99"/>
  <c r="V320" i="119"/>
  <c r="AA60" i="20"/>
  <c r="AA66" i="20"/>
  <c r="L221" i="99"/>
  <c r="AA199" i="99"/>
  <c r="AA200" i="99" s="1"/>
  <c r="S55" i="110" s="1"/>
  <c r="S56" i="110" s="1"/>
  <c r="N28" i="119" s="1"/>
  <c r="M222" i="99"/>
  <c r="AB232" i="99"/>
  <c r="AB337" i="119"/>
  <c r="AG62" i="20"/>
  <c r="R43" i="20"/>
  <c r="AB74" i="20"/>
  <c r="AB49" i="20"/>
  <c r="AC49" i="20"/>
  <c r="AC74" i="20"/>
  <c r="AG69" i="20"/>
  <c r="AB322" i="119"/>
  <c r="AC321" i="119"/>
  <c r="O230" i="99"/>
  <c r="AQ238" i="99"/>
  <c r="AQ239" i="99" s="1"/>
  <c r="AI59" i="110" s="1"/>
  <c r="AI60" i="110" s="1"/>
  <c r="AR203" i="99"/>
  <c r="Q322" i="119"/>
  <c r="V69" i="20"/>
  <c r="M215" i="99"/>
  <c r="AI68" i="20"/>
  <c r="AI57" i="20"/>
  <c r="AI43" i="20"/>
  <c r="AB39" i="20"/>
  <c r="AB65" i="20"/>
  <c r="AB59" i="20"/>
  <c r="V72" i="20"/>
  <c r="Q323" i="119"/>
  <c r="AI118" i="110"/>
  <c r="AD27" i="119" s="1"/>
  <c r="Z26" i="138" s="1"/>
  <c r="AB219" i="99"/>
  <c r="L220" i="99"/>
  <c r="L231" i="99"/>
  <c r="N210" i="99"/>
  <c r="P62" i="20"/>
  <c r="K337" i="119"/>
  <c r="X52" i="20"/>
  <c r="K213" i="99"/>
  <c r="AB213" i="99"/>
  <c r="AH49" i="20"/>
  <c r="AH74" i="20"/>
  <c r="V270" i="119"/>
  <c r="L270" i="119"/>
  <c r="U271" i="119"/>
  <c r="T26" i="119"/>
  <c r="AC36" i="61"/>
  <c r="S36" i="61"/>
  <c r="R24" i="59"/>
  <c r="R35" i="24" s="1"/>
  <c r="I10" i="106"/>
  <c r="T83" i="59"/>
  <c r="M25" i="132"/>
  <c r="S73" i="61"/>
  <c r="S75" i="61"/>
  <c r="AD83" i="59"/>
  <c r="W25" i="132"/>
  <c r="T76" i="59"/>
  <c r="M23" i="132"/>
  <c r="R24" i="101"/>
  <c r="AE120" i="59" s="1"/>
  <c r="AE121" i="59" s="1"/>
  <c r="AD123" i="59"/>
  <c r="R25" i="101"/>
  <c r="S10" i="106"/>
  <c r="T11" i="116"/>
  <c r="W22" i="132"/>
  <c r="T9" i="106"/>
  <c r="T123" i="59"/>
  <c r="H25" i="101"/>
  <c r="R58" i="60"/>
  <c r="R56" i="60"/>
  <c r="R55" i="60"/>
  <c r="R87" i="59"/>
  <c r="M43" i="119" s="1"/>
  <c r="M97" i="119" s="1"/>
  <c r="R111" i="59"/>
  <c r="R30" i="59"/>
  <c r="I63" i="106"/>
  <c r="AC73" i="61"/>
  <c r="AC75" i="61"/>
  <c r="AC17" i="59"/>
  <c r="AA31" i="59"/>
  <c r="V269" i="119"/>
  <c r="Q31" i="59"/>
  <c r="L269" i="119"/>
  <c r="K255" i="119"/>
  <c r="J11" i="116"/>
  <c r="M22" i="132"/>
  <c r="J9" i="106"/>
  <c r="S84" i="59"/>
  <c r="S86" i="59"/>
  <c r="N42" i="119" s="1"/>
  <c r="S72" i="61"/>
  <c r="AC86" i="59"/>
  <c r="X42" i="119" s="1"/>
  <c r="AC84" i="59"/>
  <c r="T16" i="59"/>
  <c r="J12" i="116"/>
  <c r="M24" i="132"/>
  <c r="J62" i="106"/>
  <c r="S17" i="59"/>
  <c r="AC72" i="61"/>
  <c r="T124" i="110"/>
  <c r="AB30" i="59"/>
  <c r="S63" i="106"/>
  <c r="AD16" i="59"/>
  <c r="T12" i="116"/>
  <c r="W24" i="132"/>
  <c r="T62" i="106"/>
  <c r="AD76" i="59"/>
  <c r="W23" i="132"/>
  <c r="L180" i="119"/>
  <c r="AB58" i="60"/>
  <c r="AB56" i="60"/>
  <c r="AB55" i="60"/>
  <c r="AB87" i="59"/>
  <c r="W43" i="119" s="1"/>
  <c r="W97" i="119" s="1"/>
  <c r="AB111" i="59"/>
  <c r="R57" i="106"/>
  <c r="R31" i="106"/>
  <c r="V180" i="119"/>
  <c r="H24" i="101"/>
  <c r="U120" i="59" s="1"/>
  <c r="U121" i="59" s="1"/>
  <c r="AB24" i="59"/>
  <c r="AB35" i="24" s="1"/>
  <c r="AK83" i="20" l="1"/>
  <c r="AK81" i="20"/>
  <c r="AK79" i="20"/>
  <c r="AF357" i="119" s="1"/>
  <c r="AK85" i="20"/>
  <c r="AF363" i="119" s="1"/>
  <c r="AK82" i="20"/>
  <c r="AF360" i="119" s="1"/>
  <c r="AK76" i="20"/>
  <c r="AF354" i="119" s="1"/>
  <c r="AK80" i="20"/>
  <c r="AF358" i="119" s="1"/>
  <c r="AK84" i="20"/>
  <c r="AF362" i="119" s="1"/>
  <c r="AK77" i="20"/>
  <c r="AF355" i="119" s="1"/>
  <c r="AK78" i="20"/>
  <c r="AF356" i="119" s="1"/>
  <c r="AK276" i="20"/>
  <c r="AK273" i="20"/>
  <c r="AK278" i="20"/>
  <c r="AK274" i="20"/>
  <c r="AK277" i="20"/>
  <c r="AK275" i="20"/>
  <c r="AF361" i="119"/>
  <c r="AF359" i="119"/>
  <c r="F16" i="106"/>
  <c r="F18" i="106"/>
  <c r="AN16" i="106"/>
  <c r="AN21" i="106" s="1"/>
  <c r="AN18" i="106"/>
  <c r="AN19" i="106" s="1"/>
  <c r="R34" i="106"/>
  <c r="H34" i="106"/>
  <c r="AN37" i="106"/>
  <c r="AN39" i="106" s="1"/>
  <c r="AN40" i="106" s="1"/>
  <c r="AF341" i="119"/>
  <c r="N342" i="119"/>
  <c r="E73" i="106"/>
  <c r="E24" i="106"/>
  <c r="E23" i="106"/>
  <c r="N341" i="119"/>
  <c r="J417" i="119"/>
  <c r="E42" i="92" s="1"/>
  <c r="AF342" i="119"/>
  <c r="Q62" i="20"/>
  <c r="AD28" i="132"/>
  <c r="AL113" i="110"/>
  <c r="AL116" i="110" s="1"/>
  <c r="AL115" i="110"/>
  <c r="AL112" i="110"/>
  <c r="AL114" i="110" s="1"/>
  <c r="AC286" i="119"/>
  <c r="Y24" i="138"/>
  <c r="AK18" i="20"/>
  <c r="AK25" i="20"/>
  <c r="AK70" i="20" s="1"/>
  <c r="AK21" i="20"/>
  <c r="AK28" i="20"/>
  <c r="AK73" i="20" s="1"/>
  <c r="AK23" i="20"/>
  <c r="AK32" i="20"/>
  <c r="AK27" i="20"/>
  <c r="AK47" i="20" s="1"/>
  <c r="AK30" i="20"/>
  <c r="AK50" i="20" s="1"/>
  <c r="AK22" i="20"/>
  <c r="AK26" i="20"/>
  <c r="AK35" i="20"/>
  <c r="AK55" i="20" s="1"/>
  <c r="AK24" i="20"/>
  <c r="AK44" i="20" s="1"/>
  <c r="AK17" i="20"/>
  <c r="AK20" i="20"/>
  <c r="AK40" i="20" s="1"/>
  <c r="AK33" i="20"/>
  <c r="AK53" i="20" s="1"/>
  <c r="AK34" i="20"/>
  <c r="AK19" i="20"/>
  <c r="AK31" i="20"/>
  <c r="AK29" i="20"/>
  <c r="L286" i="119"/>
  <c r="H24" i="138"/>
  <c r="M286" i="119"/>
  <c r="I24" i="138"/>
  <c r="AG287" i="119"/>
  <c r="AC27" i="138"/>
  <c r="N287" i="119"/>
  <c r="J27" i="138"/>
  <c r="R340" i="119"/>
  <c r="R59" i="119"/>
  <c r="W339" i="119"/>
  <c r="W60" i="119"/>
  <c r="AC340" i="119"/>
  <c r="AC59" i="119"/>
  <c r="W340" i="119"/>
  <c r="W59" i="119"/>
  <c r="AC339" i="119"/>
  <c r="AC60" i="119"/>
  <c r="L339" i="119"/>
  <c r="L60" i="119"/>
  <c r="R339" i="119"/>
  <c r="R60" i="119"/>
  <c r="L340" i="119"/>
  <c r="L59" i="119"/>
  <c r="AC88" i="20"/>
  <c r="AC91" i="20" s="1"/>
  <c r="AI89" i="20"/>
  <c r="AI92" i="20" s="1"/>
  <c r="X88" i="20"/>
  <c r="X91" i="20" s="1"/>
  <c r="R89" i="20"/>
  <c r="R92" i="20" s="1"/>
  <c r="AC89" i="20"/>
  <c r="AC92" i="20" s="1"/>
  <c r="AI88" i="20"/>
  <c r="AI91" i="20" s="1"/>
  <c r="X89" i="20"/>
  <c r="X92" i="20" s="1"/>
  <c r="N42" i="123"/>
  <c r="L25" i="138"/>
  <c r="H42" i="123"/>
  <c r="F25" i="138"/>
  <c r="S42" i="123"/>
  <c r="Q25" i="138"/>
  <c r="Y42" i="123"/>
  <c r="W25" i="138"/>
  <c r="R42" i="123"/>
  <c r="J15" i="123" s="1"/>
  <c r="P25" i="138"/>
  <c r="S76" i="60"/>
  <c r="U85" i="61" s="1"/>
  <c r="U87" i="62" s="1"/>
  <c r="X45" i="119"/>
  <c r="X99" i="119" s="1"/>
  <c r="AC15" i="61"/>
  <c r="AA35" i="60"/>
  <c r="V110" i="119" s="1"/>
  <c r="S15" i="61"/>
  <c r="Q35" i="60"/>
  <c r="L110" i="119" s="1"/>
  <c r="AB48" i="59"/>
  <c r="AB14" i="60" s="1"/>
  <c r="R48" i="59"/>
  <c r="R14" i="60" s="1"/>
  <c r="S13" i="106"/>
  <c r="S66" i="106"/>
  <c r="E105" i="106"/>
  <c r="I66" i="106"/>
  <c r="I13" i="106"/>
  <c r="J255" i="119"/>
  <c r="E53" i="106"/>
  <c r="E46" i="106"/>
  <c r="E52" i="106"/>
  <c r="AC28" i="59"/>
  <c r="S28" i="59"/>
  <c r="E106" i="106"/>
  <c r="S111" i="106"/>
  <c r="AC66" i="59" s="1"/>
  <c r="AC25" i="60" s="1"/>
  <c r="I111" i="106"/>
  <c r="S66" i="59" s="1"/>
  <c r="S25" i="60" s="1"/>
  <c r="E100" i="106"/>
  <c r="E99" i="106"/>
  <c r="E98" i="106"/>
  <c r="E44" i="106"/>
  <c r="E45" i="106"/>
  <c r="J65" i="106"/>
  <c r="I88" i="106"/>
  <c r="I87" i="106"/>
  <c r="J12" i="106"/>
  <c r="T12" i="106"/>
  <c r="I33" i="106"/>
  <c r="S33" i="106"/>
  <c r="T65" i="106"/>
  <c r="S88" i="106"/>
  <c r="S87" i="106"/>
  <c r="AC74" i="61"/>
  <c r="U255" i="119"/>
  <c r="J237" i="119"/>
  <c r="S74" i="61"/>
  <c r="L255" i="119" s="1"/>
  <c r="T124" i="59"/>
  <c r="O45" i="119" s="1"/>
  <c r="S126" i="59"/>
  <c r="N240" i="119" s="1"/>
  <c r="AD124" i="59"/>
  <c r="AD76" i="60" s="1"/>
  <c r="AF85" i="61" s="1"/>
  <c r="AC126" i="59"/>
  <c r="O37" i="60"/>
  <c r="J20" i="120"/>
  <c r="AB57" i="60"/>
  <c r="R57" i="60"/>
  <c r="AN69" i="106"/>
  <c r="AN71" i="106" s="1"/>
  <c r="AN72" i="106" s="1"/>
  <c r="J22" i="120"/>
  <c r="S38" i="106"/>
  <c r="S92" i="106"/>
  <c r="I38" i="106"/>
  <c r="I92" i="106"/>
  <c r="J17" i="106"/>
  <c r="J12" i="120"/>
  <c r="J53" i="120" s="1"/>
  <c r="J378" i="119"/>
  <c r="J379" i="119"/>
  <c r="J380" i="119"/>
  <c r="J381" i="119"/>
  <c r="J374" i="119"/>
  <c r="J376" i="119"/>
  <c r="J373" i="119"/>
  <c r="J372" i="119"/>
  <c r="J375" i="119"/>
  <c r="J382" i="119"/>
  <c r="K80" i="94"/>
  <c r="J9" i="120"/>
  <c r="J50" i="120" s="1"/>
  <c r="AD25" i="119"/>
  <c r="AC86" i="62"/>
  <c r="N25" i="119"/>
  <c r="S86" i="62"/>
  <c r="AB235" i="99"/>
  <c r="AB238" i="99" s="1"/>
  <c r="AB239" i="99" s="1"/>
  <c r="T59" i="110" s="1"/>
  <c r="T60" i="110" s="1"/>
  <c r="L63" i="82"/>
  <c r="Q30" i="132" s="1"/>
  <c r="H5" i="132"/>
  <c r="K9" i="122" s="1"/>
  <c r="M63" i="82"/>
  <c r="R29" i="132" s="1"/>
  <c r="AC118" i="110"/>
  <c r="X27" i="119" s="1"/>
  <c r="T26" i="138" s="1"/>
  <c r="AC236" i="99"/>
  <c r="K237" i="99"/>
  <c r="AC237" i="99" s="1"/>
  <c r="N96" i="119"/>
  <c r="N99" i="119"/>
  <c r="X96" i="119"/>
  <c r="AC214" i="99"/>
  <c r="U416" i="119"/>
  <c r="P46" i="119"/>
  <c r="S75" i="60"/>
  <c r="N44" i="119"/>
  <c r="N98" i="119" s="1"/>
  <c r="M115" i="119"/>
  <c r="T84" i="61"/>
  <c r="AC75" i="60"/>
  <c r="X44" i="119"/>
  <c r="X98" i="119" s="1"/>
  <c r="N168" i="119"/>
  <c r="X168" i="119"/>
  <c r="W115" i="119"/>
  <c r="AD84" i="61"/>
  <c r="AC27" i="132"/>
  <c r="AC26" i="132"/>
  <c r="X324" i="119"/>
  <c r="M17" i="132"/>
  <c r="P26" i="122" s="1"/>
  <c r="P55" i="122" s="1"/>
  <c r="M12" i="132"/>
  <c r="P16" i="122" s="1"/>
  <c r="P50" i="122" s="1"/>
  <c r="M11" i="132"/>
  <c r="P15" i="122" s="1"/>
  <c r="P49" i="122" s="1"/>
  <c r="W17" i="132"/>
  <c r="Z26" i="122" s="1"/>
  <c r="Z55" i="122" s="1"/>
  <c r="W12" i="132"/>
  <c r="Z16" i="122" s="1"/>
  <c r="Z50" i="122" s="1"/>
  <c r="W11" i="132"/>
  <c r="Z15" i="122" s="1"/>
  <c r="Z49" i="122" s="1"/>
  <c r="M15" i="132"/>
  <c r="P24" i="122" s="1"/>
  <c r="P53" i="122" s="1"/>
  <c r="M9" i="132"/>
  <c r="P13" i="122" s="1"/>
  <c r="P47" i="122" s="1"/>
  <c r="M8" i="132"/>
  <c r="P12" i="122" s="1"/>
  <c r="M10" i="132"/>
  <c r="P14" i="122" s="1"/>
  <c r="P48" i="122" s="1"/>
  <c r="AC18" i="132"/>
  <c r="AF27" i="122" s="1"/>
  <c r="AF56" i="122" s="1"/>
  <c r="AC16" i="132"/>
  <c r="AF25" i="122" s="1"/>
  <c r="AF54" i="122" s="1"/>
  <c r="AC14" i="132"/>
  <c r="AF18" i="122" s="1"/>
  <c r="AF52" i="122" s="1"/>
  <c r="AC13" i="132"/>
  <c r="AF17" i="122" s="1"/>
  <c r="AF51" i="122" s="1"/>
  <c r="W15" i="132"/>
  <c r="Z24" i="122" s="1"/>
  <c r="Z53" i="122" s="1"/>
  <c r="W10" i="132"/>
  <c r="Z14" i="122" s="1"/>
  <c r="Z48" i="122" s="1"/>
  <c r="W9" i="132"/>
  <c r="Z13" i="122" s="1"/>
  <c r="Z47" i="122" s="1"/>
  <c r="W8" i="132"/>
  <c r="Z12" i="122" s="1"/>
  <c r="I85" i="106"/>
  <c r="L337" i="119"/>
  <c r="M324" i="119"/>
  <c r="Q69" i="20"/>
  <c r="S31" i="106"/>
  <c r="S57" i="106"/>
  <c r="S85" i="106"/>
  <c r="T17" i="106"/>
  <c r="T84" i="106"/>
  <c r="T70" i="106"/>
  <c r="J84" i="106"/>
  <c r="J70" i="106"/>
  <c r="X118" i="110"/>
  <c r="S27" i="119" s="1"/>
  <c r="O26" i="138" s="1"/>
  <c r="AC71" i="20"/>
  <c r="AC59" i="20"/>
  <c r="AC65" i="20"/>
  <c r="Q66" i="20"/>
  <c r="Q60" i="20"/>
  <c r="AC39" i="20"/>
  <c r="N325" i="119"/>
  <c r="M321" i="119"/>
  <c r="AD321" i="119"/>
  <c r="S324" i="119"/>
  <c r="AD324" i="119"/>
  <c r="AE325" i="119"/>
  <c r="R134" i="110"/>
  <c r="AC228" i="99"/>
  <c r="AC213" i="99"/>
  <c r="L213" i="99"/>
  <c r="X49" i="20"/>
  <c r="X74" i="20"/>
  <c r="AC231" i="99"/>
  <c r="N215" i="99"/>
  <c r="S43" i="20"/>
  <c r="AC227" i="99"/>
  <c r="W320" i="119"/>
  <c r="AB66" i="20"/>
  <c r="AB60" i="20"/>
  <c r="AI46" i="20"/>
  <c r="AI71" i="20"/>
  <c r="AG63" i="20"/>
  <c r="AB26" i="119" s="1"/>
  <c r="AB338" i="119"/>
  <c r="AC232" i="99"/>
  <c r="M226" i="99"/>
  <c r="AT121" i="99"/>
  <c r="AT122" i="99" s="1"/>
  <c r="AL51" i="110" s="1"/>
  <c r="AL52" i="110" s="1"/>
  <c r="AG328" i="119" s="1"/>
  <c r="AU86" i="99"/>
  <c r="M219" i="99"/>
  <c r="O225" i="99"/>
  <c r="N223" i="99"/>
  <c r="O210" i="99"/>
  <c r="M220" i="99"/>
  <c r="AI39" i="20"/>
  <c r="AI59" i="20"/>
  <c r="AI65" i="20"/>
  <c r="AC69" i="20"/>
  <c r="X322" i="119"/>
  <c r="N326" i="119"/>
  <c r="S126" i="110"/>
  <c r="P230" i="99"/>
  <c r="AF327" i="119"/>
  <c r="AK127" i="110"/>
  <c r="R320" i="119"/>
  <c r="W60" i="20"/>
  <c r="W66" i="20"/>
  <c r="M221" i="99"/>
  <c r="AC225" i="99"/>
  <c r="AC230" i="99"/>
  <c r="AC203" i="99"/>
  <c r="S58" i="20"/>
  <c r="S67" i="20"/>
  <c r="S68" i="20"/>
  <c r="S57" i="20"/>
  <c r="S88" i="20" s="1"/>
  <c r="AS277" i="99"/>
  <c r="AS278" i="99" s="1"/>
  <c r="AT242" i="99"/>
  <c r="N214" i="99"/>
  <c r="K338" i="119"/>
  <c r="P63" i="20"/>
  <c r="K26" i="119" s="1"/>
  <c r="AU8" i="99"/>
  <c r="AT43" i="99"/>
  <c r="AT44" i="99" s="1"/>
  <c r="AL15" i="20" s="1"/>
  <c r="M232" i="99"/>
  <c r="M235" i="99"/>
  <c r="M216" i="99"/>
  <c r="M218" i="99"/>
  <c r="AJ68" i="20"/>
  <c r="AJ57" i="20"/>
  <c r="AJ52" i="20"/>
  <c r="AJ43" i="20"/>
  <c r="V63" i="20"/>
  <c r="Q26" i="119" s="1"/>
  <c r="Q338" i="119"/>
  <c r="R118" i="110"/>
  <c r="M27" i="119" s="1"/>
  <c r="I26" i="138" s="1"/>
  <c r="O234" i="99"/>
  <c r="AC219" i="99"/>
  <c r="N233" i="99"/>
  <c r="M228" i="99"/>
  <c r="X323" i="119"/>
  <c r="AC72" i="20"/>
  <c r="AC60" i="20"/>
  <c r="AC66" i="20"/>
  <c r="R71" i="20"/>
  <c r="R46" i="20"/>
  <c r="AA63" i="20"/>
  <c r="V26" i="119" s="1"/>
  <c r="V338" i="119"/>
  <c r="AC234" i="99"/>
  <c r="AC206" i="99"/>
  <c r="AH62" i="20"/>
  <c r="AC337" i="119"/>
  <c r="N211" i="99"/>
  <c r="AE329" i="119"/>
  <c r="AE24" i="119"/>
  <c r="AA23" i="138" s="1"/>
  <c r="AU160" i="99"/>
  <c r="AU161" i="99" s="1"/>
  <c r="AM110" i="110" s="1"/>
  <c r="AV125" i="99"/>
  <c r="R337" i="119"/>
  <c r="W62" i="20"/>
  <c r="AU199" i="99"/>
  <c r="AU200" i="99" s="1"/>
  <c r="AM55" i="110" s="1"/>
  <c r="AM56" i="110" s="1"/>
  <c r="AH28" i="119" s="1"/>
  <c r="AV164" i="99"/>
  <c r="AC216" i="99"/>
  <c r="AC212" i="99"/>
  <c r="L212" i="99"/>
  <c r="AC218" i="99"/>
  <c r="AB72" i="20"/>
  <c r="W323" i="119"/>
  <c r="R49" i="20"/>
  <c r="R74" i="20"/>
  <c r="M209" i="99"/>
  <c r="AC220" i="99"/>
  <c r="W69" i="20"/>
  <c r="R322" i="119"/>
  <c r="N222" i="99"/>
  <c r="AC221" i="99"/>
  <c r="AC205" i="99"/>
  <c r="AC217" i="99"/>
  <c r="M203" i="99"/>
  <c r="S52" i="20"/>
  <c r="O205" i="99"/>
  <c r="AK48" i="20"/>
  <c r="AK42" i="20"/>
  <c r="AK37" i="20"/>
  <c r="AK45" i="20"/>
  <c r="AK54" i="20"/>
  <c r="AK38" i="20"/>
  <c r="AK41" i="20"/>
  <c r="AK51" i="20"/>
  <c r="N224" i="99"/>
  <c r="AJ67" i="20"/>
  <c r="AJ58" i="20"/>
  <c r="M326" i="119"/>
  <c r="W72" i="20"/>
  <c r="R323" i="119"/>
  <c r="X39" i="20"/>
  <c r="X65" i="20"/>
  <c r="X59" i="20"/>
  <c r="AC229" i="99"/>
  <c r="Q217" i="99"/>
  <c r="AC223" i="99"/>
  <c r="AC222" i="99"/>
  <c r="M231" i="99"/>
  <c r="W337" i="119"/>
  <c r="AB62" i="20"/>
  <c r="N327" i="119"/>
  <c r="S127" i="110"/>
  <c r="AR238" i="99"/>
  <c r="AR239" i="99" s="1"/>
  <c r="AJ59" i="110" s="1"/>
  <c r="AJ60" i="110" s="1"/>
  <c r="AS203" i="99"/>
  <c r="AK126" i="110"/>
  <c r="AH69" i="20"/>
  <c r="AC322" i="119"/>
  <c r="AC210" i="99"/>
  <c r="AC207" i="99"/>
  <c r="K238" i="99"/>
  <c r="R91" i="20"/>
  <c r="AH72" i="20"/>
  <c r="AC323" i="119"/>
  <c r="M227" i="99"/>
  <c r="X71" i="20"/>
  <c r="X46" i="20"/>
  <c r="M229" i="99"/>
  <c r="S206" i="99"/>
  <c r="AI49" i="20"/>
  <c r="AI74" i="20"/>
  <c r="S207" i="99"/>
  <c r="R65" i="20"/>
  <c r="R59" i="20"/>
  <c r="R39" i="20"/>
  <c r="AC226" i="99"/>
  <c r="W322" i="119"/>
  <c r="AB69" i="20"/>
  <c r="AS82" i="99"/>
  <c r="AS83" i="99" s="1"/>
  <c r="AK47" i="110" s="1"/>
  <c r="AK48" i="110" s="1"/>
  <c r="AT47" i="99"/>
  <c r="AC208" i="99"/>
  <c r="L208" i="99"/>
  <c r="L236" i="99" s="1"/>
  <c r="AJ118" i="110"/>
  <c r="AE27" i="119" s="1"/>
  <c r="AA26" i="138" s="1"/>
  <c r="AC204" i="99"/>
  <c r="L204" i="99"/>
  <c r="AC224" i="99"/>
  <c r="AC215" i="99"/>
  <c r="S321" i="119"/>
  <c r="AC320" i="119"/>
  <c r="AH66" i="20"/>
  <c r="AH60" i="20"/>
  <c r="AC233" i="99"/>
  <c r="AC211" i="99"/>
  <c r="AC209" i="99"/>
  <c r="M270" i="119"/>
  <c r="V271" i="119"/>
  <c r="L271" i="119"/>
  <c r="W270" i="119"/>
  <c r="J416" i="119"/>
  <c r="E41" i="92" s="1"/>
  <c r="T416" i="119"/>
  <c r="H41" i="92" s="1"/>
  <c r="I24" i="101"/>
  <c r="V120" i="59" s="1"/>
  <c r="V121" i="59" s="1"/>
  <c r="AD72" i="61"/>
  <c r="AE16" i="59"/>
  <c r="U12" i="116"/>
  <c r="X24" i="132"/>
  <c r="U62" i="106"/>
  <c r="AD17" i="59"/>
  <c r="U16" i="59"/>
  <c r="N24" i="132"/>
  <c r="K12" i="116"/>
  <c r="K62" i="106"/>
  <c r="T17" i="59"/>
  <c r="T36" i="61"/>
  <c r="S58" i="60"/>
  <c r="S56" i="60"/>
  <c r="S55" i="60"/>
  <c r="S87" i="59"/>
  <c r="N43" i="119" s="1"/>
  <c r="N97" i="119" s="1"/>
  <c r="S111" i="59"/>
  <c r="J10" i="106"/>
  <c r="I57" i="106"/>
  <c r="I31" i="106"/>
  <c r="AB31" i="59"/>
  <c r="W269" i="119"/>
  <c r="AD36" i="61"/>
  <c r="T73" i="61"/>
  <c r="T75" i="61"/>
  <c r="U123" i="59"/>
  <c r="I25" i="101"/>
  <c r="U11" i="116"/>
  <c r="X22" i="132"/>
  <c r="U9" i="106"/>
  <c r="S24" i="101"/>
  <c r="AF120" i="59" s="1"/>
  <c r="AF121" i="59" s="1"/>
  <c r="U76" i="59"/>
  <c r="N23" i="132"/>
  <c r="AE83" i="59"/>
  <c r="X25" i="132"/>
  <c r="T84" i="59"/>
  <c r="T86" i="59"/>
  <c r="O42" i="119" s="1"/>
  <c r="M180" i="119"/>
  <c r="W180" i="119"/>
  <c r="AD73" i="61"/>
  <c r="AD75" i="61"/>
  <c r="AE76" i="59"/>
  <c r="X23" i="132"/>
  <c r="T63" i="106"/>
  <c r="U124" i="110"/>
  <c r="T134" i="110"/>
  <c r="S30" i="59"/>
  <c r="J63" i="106"/>
  <c r="R31" i="59"/>
  <c r="M269" i="119"/>
  <c r="AC24" i="59"/>
  <c r="AC35" i="24" s="1"/>
  <c r="AE87" i="62"/>
  <c r="AC58" i="60"/>
  <c r="AC56" i="60"/>
  <c r="AC55" i="60"/>
  <c r="AC87" i="59"/>
  <c r="X43" i="119" s="1"/>
  <c r="X97" i="119" s="1"/>
  <c r="AC111" i="59"/>
  <c r="S24" i="59"/>
  <c r="S35" i="24" s="1"/>
  <c r="N22" i="132"/>
  <c r="K11" i="116"/>
  <c r="K9" i="106"/>
  <c r="AC30" i="59"/>
  <c r="T72" i="61"/>
  <c r="T10" i="106"/>
  <c r="AE123" i="59"/>
  <c r="S25" i="101"/>
  <c r="AD84" i="59"/>
  <c r="AD86" i="59"/>
  <c r="Y42" i="119" s="1"/>
  <c r="U83" i="59"/>
  <c r="N25" i="132"/>
  <c r="AL84" i="20" l="1"/>
  <c r="AL81" i="20"/>
  <c r="AG359" i="119" s="1"/>
  <c r="AL77" i="20"/>
  <c r="AG355" i="119" s="1"/>
  <c r="AL80" i="20"/>
  <c r="AG358" i="119" s="1"/>
  <c r="AL78" i="20"/>
  <c r="AG356" i="119" s="1"/>
  <c r="AL82" i="20"/>
  <c r="AG360" i="119" s="1"/>
  <c r="AL85" i="20"/>
  <c r="AG363" i="119" s="1"/>
  <c r="AL83" i="20"/>
  <c r="AG361" i="119" s="1"/>
  <c r="AL79" i="20"/>
  <c r="AG357" i="119" s="1"/>
  <c r="AL76" i="20"/>
  <c r="AG354" i="119" s="1"/>
  <c r="AL276" i="20"/>
  <c r="AL273" i="20"/>
  <c r="AL275" i="20"/>
  <c r="AL274" i="20"/>
  <c r="AL277" i="20"/>
  <c r="AL278" i="20"/>
  <c r="AG362" i="119"/>
  <c r="AG342" i="119"/>
  <c r="S34" i="106"/>
  <c r="I34" i="106"/>
  <c r="AG341" i="119"/>
  <c r="Q63" i="20"/>
  <c r="L26" i="119" s="1"/>
  <c r="J42" i="123" s="1"/>
  <c r="AC62" i="20"/>
  <c r="AE28" i="132"/>
  <c r="AM113" i="110"/>
  <c r="AM116" i="110" s="1"/>
  <c r="AM115" i="110"/>
  <c r="AM112" i="110"/>
  <c r="AM114" i="110" s="1"/>
  <c r="N286" i="119"/>
  <c r="J24" i="138"/>
  <c r="AH287" i="119"/>
  <c r="AD27" i="138"/>
  <c r="AD286" i="119"/>
  <c r="Z24" i="138"/>
  <c r="AL17" i="20"/>
  <c r="AL28" i="20"/>
  <c r="AL73" i="20" s="1"/>
  <c r="AL29" i="20"/>
  <c r="AL21" i="20"/>
  <c r="AL19" i="20"/>
  <c r="AL33" i="20"/>
  <c r="AL53" i="20" s="1"/>
  <c r="AL22" i="20"/>
  <c r="AL25" i="20"/>
  <c r="AL70" i="20" s="1"/>
  <c r="AL20" i="20"/>
  <c r="AL40" i="20" s="1"/>
  <c r="AL23" i="20"/>
  <c r="AL32" i="20"/>
  <c r="AL27" i="20"/>
  <c r="AL47" i="20" s="1"/>
  <c r="AL24" i="20"/>
  <c r="AL44" i="20" s="1"/>
  <c r="AL30" i="20"/>
  <c r="AL50" i="20" s="1"/>
  <c r="AL31" i="20"/>
  <c r="AL34" i="20"/>
  <c r="AL35" i="20"/>
  <c r="AL55" i="20" s="1"/>
  <c r="AL26" i="20"/>
  <c r="AL18" i="20"/>
  <c r="M340" i="119"/>
  <c r="M59" i="119"/>
  <c r="S339" i="119"/>
  <c r="S60" i="119"/>
  <c r="AD59" i="119"/>
  <c r="AD340" i="119"/>
  <c r="X339" i="119"/>
  <c r="X60" i="119"/>
  <c r="S340" i="119"/>
  <c r="S59" i="119"/>
  <c r="AD60" i="119"/>
  <c r="AD339" i="119"/>
  <c r="X340" i="119"/>
  <c r="X59" i="119"/>
  <c r="AJ88" i="20"/>
  <c r="AJ91" i="20" s="1"/>
  <c r="S89" i="20"/>
  <c r="S92" i="20" s="1"/>
  <c r="AJ89" i="20"/>
  <c r="AJ92" i="20" s="1"/>
  <c r="I42" i="123"/>
  <c r="G25" i="138"/>
  <c r="T42" i="123"/>
  <c r="R25" i="138"/>
  <c r="O42" i="123"/>
  <c r="M25" i="138"/>
  <c r="Z42" i="123"/>
  <c r="X25" i="138"/>
  <c r="T76" i="60"/>
  <c r="V85" i="61" s="1"/>
  <c r="V87" i="62" s="1"/>
  <c r="T15" i="61"/>
  <c r="R35" i="60"/>
  <c r="M110" i="119" s="1"/>
  <c r="AD15" i="61"/>
  <c r="AB35" i="60"/>
  <c r="W110" i="119" s="1"/>
  <c r="AC48" i="59"/>
  <c r="AC14" i="60" s="1"/>
  <c r="S48" i="59"/>
  <c r="S14" i="60" s="1"/>
  <c r="J13" i="106"/>
  <c r="O51" i="59"/>
  <c r="T66" i="106"/>
  <c r="J66" i="106"/>
  <c r="AX16" i="60"/>
  <c r="AN96" i="106"/>
  <c r="AN74" i="106"/>
  <c r="AN73" i="106" s="1"/>
  <c r="AX27" i="60"/>
  <c r="F21" i="106"/>
  <c r="P16" i="60"/>
  <c r="O69" i="59"/>
  <c r="T13" i="106"/>
  <c r="O49" i="59"/>
  <c r="O47" i="59"/>
  <c r="E55" i="106"/>
  <c r="E54" i="106"/>
  <c r="O45" i="59" s="1"/>
  <c r="O10" i="60" s="1"/>
  <c r="Q11" i="61" s="1"/>
  <c r="E56" i="106"/>
  <c r="AD28" i="59"/>
  <c r="T28" i="59"/>
  <c r="Y45" i="119"/>
  <c r="Y99" i="119" s="1"/>
  <c r="J111" i="106"/>
  <c r="T66" i="59" s="1"/>
  <c r="T25" i="60" s="1"/>
  <c r="T111" i="106"/>
  <c r="AD66" i="59" s="1"/>
  <c r="AD25" i="60" s="1"/>
  <c r="E78" i="106"/>
  <c r="E107" i="106"/>
  <c r="E76" i="106"/>
  <c r="E77" i="106"/>
  <c r="T33" i="106"/>
  <c r="J87" i="106"/>
  <c r="J88" i="106"/>
  <c r="U12" i="106"/>
  <c r="U65" i="106"/>
  <c r="K12" i="106"/>
  <c r="J33" i="106"/>
  <c r="K65" i="106"/>
  <c r="T88" i="106"/>
  <c r="T87" i="106"/>
  <c r="V255" i="119"/>
  <c r="T74" i="61"/>
  <c r="M255" i="119" s="1"/>
  <c r="E15" i="116"/>
  <c r="E20" i="116" s="1"/>
  <c r="E4" i="116" s="1"/>
  <c r="O77" i="59" s="1"/>
  <c r="J113" i="119"/>
  <c r="AD74" i="61"/>
  <c r="U124" i="59"/>
  <c r="P45" i="119" s="1"/>
  <c r="AD126" i="59"/>
  <c r="Y240" i="119" s="1"/>
  <c r="AE124" i="59"/>
  <c r="Z45" i="119" s="1"/>
  <c r="X240" i="119"/>
  <c r="T126" i="59"/>
  <c r="O240" i="119" s="1"/>
  <c r="K81" i="94"/>
  <c r="K82" i="94" s="1"/>
  <c r="Q18" i="62" s="1"/>
  <c r="Q25" i="62" s="1"/>
  <c r="O168" i="119"/>
  <c r="O65" i="59"/>
  <c r="AC57" i="60"/>
  <c r="S57" i="60"/>
  <c r="J21" i="120"/>
  <c r="AN104" i="106"/>
  <c r="J92" i="106"/>
  <c r="J38" i="106"/>
  <c r="T92" i="106"/>
  <c r="K17" i="106"/>
  <c r="T38" i="106"/>
  <c r="AS377" i="119"/>
  <c r="K95" i="94"/>
  <c r="K101" i="94" s="1"/>
  <c r="AE25" i="119"/>
  <c r="AD86" i="62"/>
  <c r="T86" i="62"/>
  <c r="O25" i="119"/>
  <c r="L237" i="99"/>
  <c r="AD237" i="99" s="1"/>
  <c r="AD236" i="99"/>
  <c r="N63" i="82"/>
  <c r="Q90" i="106" s="1"/>
  <c r="Q91" i="106" s="1"/>
  <c r="Q93" i="106" s="1"/>
  <c r="F36" i="106"/>
  <c r="F37" i="106" s="1"/>
  <c r="F39" i="106" s="1"/>
  <c r="H30" i="132"/>
  <c r="F68" i="106"/>
  <c r="R5" i="132"/>
  <c r="U9" i="122" s="1"/>
  <c r="P36" i="106"/>
  <c r="P37" i="106" s="1"/>
  <c r="P39" i="106" s="1"/>
  <c r="P68" i="106"/>
  <c r="P90" i="106"/>
  <c r="P91" i="106" s="1"/>
  <c r="P93" i="106" s="1"/>
  <c r="P15" i="106"/>
  <c r="R30" i="132"/>
  <c r="F90" i="106"/>
  <c r="F91" i="106" s="1"/>
  <c r="F93" i="106" s="1"/>
  <c r="H29" i="132"/>
  <c r="Q5" i="132"/>
  <c r="T9" i="122" s="1"/>
  <c r="O36" i="106"/>
  <c r="O37" i="106" s="1"/>
  <c r="O39" i="106" s="1"/>
  <c r="O15" i="106"/>
  <c r="O68" i="106"/>
  <c r="Q29" i="132"/>
  <c r="O90" i="106"/>
  <c r="O91" i="106" s="1"/>
  <c r="O93" i="106" s="1"/>
  <c r="E63" i="82"/>
  <c r="O96" i="119"/>
  <c r="O99" i="119"/>
  <c r="Y96" i="119"/>
  <c r="M339" i="119"/>
  <c r="M60" i="119"/>
  <c r="AC235" i="99"/>
  <c r="AC238" i="99" s="1"/>
  <c r="AC239" i="99" s="1"/>
  <c r="U59" i="110" s="1"/>
  <c r="U60" i="110" s="1"/>
  <c r="T75" i="60"/>
  <c r="O44" i="119"/>
  <c r="X115" i="119"/>
  <c r="AE84" i="61"/>
  <c r="N115" i="119"/>
  <c r="U84" i="61"/>
  <c r="Y44" i="119"/>
  <c r="AD75" i="60"/>
  <c r="Q46" i="119"/>
  <c r="Y168" i="119"/>
  <c r="K108" i="131"/>
  <c r="J13" i="120"/>
  <c r="J54" i="120" s="1"/>
  <c r="K106" i="131"/>
  <c r="J10" i="120"/>
  <c r="J11" i="120"/>
  <c r="J52" i="120" s="1"/>
  <c r="AD26" i="132"/>
  <c r="AD27" i="132"/>
  <c r="I5" i="132"/>
  <c r="L9" i="122" s="1"/>
  <c r="I29" i="132"/>
  <c r="I30" i="132"/>
  <c r="AD16" i="132"/>
  <c r="AG25" i="122" s="1"/>
  <c r="AG54" i="122" s="1"/>
  <c r="AD13" i="132"/>
  <c r="AG17" i="122" s="1"/>
  <c r="AG51" i="122" s="1"/>
  <c r="AD18" i="132"/>
  <c r="AG27" i="122" s="1"/>
  <c r="AG56" i="122" s="1"/>
  <c r="AD14" i="132"/>
  <c r="AG18" i="122" s="1"/>
  <c r="AG52" i="122" s="1"/>
  <c r="N15" i="132"/>
  <c r="Q24" i="122" s="1"/>
  <c r="Q53" i="122" s="1"/>
  <c r="N9" i="132"/>
  <c r="Q13" i="122" s="1"/>
  <c r="Q47" i="122" s="1"/>
  <c r="N10" i="132"/>
  <c r="Q14" i="122" s="1"/>
  <c r="Q48" i="122" s="1"/>
  <c r="N8" i="132"/>
  <c r="Q12" i="122" s="1"/>
  <c r="X15" i="132"/>
  <c r="AA24" i="122" s="1"/>
  <c r="AA53" i="122" s="1"/>
  <c r="X9" i="132"/>
  <c r="AA13" i="122" s="1"/>
  <c r="AA47" i="122" s="1"/>
  <c r="X10" i="132"/>
  <c r="AA14" i="122" s="1"/>
  <c r="AA48" i="122" s="1"/>
  <c r="X8" i="132"/>
  <c r="AA12" i="122" s="1"/>
  <c r="N17" i="132"/>
  <c r="Q26" i="122" s="1"/>
  <c r="Q55" i="122" s="1"/>
  <c r="N11" i="132"/>
  <c r="Q15" i="122" s="1"/>
  <c r="Q49" i="122" s="1"/>
  <c r="N12" i="132"/>
  <c r="Q16" i="122" s="1"/>
  <c r="Q50" i="122" s="1"/>
  <c r="X17" i="132"/>
  <c r="AA26" i="122" s="1"/>
  <c r="AA55" i="122" s="1"/>
  <c r="X11" i="132"/>
  <c r="AA15" i="122" s="1"/>
  <c r="AA49" i="122" s="1"/>
  <c r="X12" i="132"/>
  <c r="AA16" i="122" s="1"/>
  <c r="AA50" i="122" s="1"/>
  <c r="G36" i="106"/>
  <c r="G37" i="106" s="1"/>
  <c r="G39" i="106" s="1"/>
  <c r="G15" i="106"/>
  <c r="G68" i="106"/>
  <c r="G90" i="106"/>
  <c r="G91" i="106" s="1"/>
  <c r="G93" i="106" s="1"/>
  <c r="O63" i="82"/>
  <c r="X320" i="119"/>
  <c r="V416" i="119"/>
  <c r="K416" i="119"/>
  <c r="T85" i="106"/>
  <c r="J85" i="106"/>
  <c r="T57" i="106"/>
  <c r="X337" i="119"/>
  <c r="AK118" i="110"/>
  <c r="AF27" i="119" s="1"/>
  <c r="AB26" i="138" s="1"/>
  <c r="L338" i="119"/>
  <c r="T31" i="106"/>
  <c r="K84" i="106"/>
  <c r="K70" i="106"/>
  <c r="U57" i="106"/>
  <c r="AE48" i="59" s="1"/>
  <c r="U17" i="106"/>
  <c r="U84" i="106"/>
  <c r="U70" i="106"/>
  <c r="N321" i="119"/>
  <c r="AE321" i="119"/>
  <c r="AE324" i="119"/>
  <c r="AF326" i="119"/>
  <c r="AD221" i="99"/>
  <c r="X62" i="20"/>
  <c r="S337" i="119"/>
  <c r="R66" i="20"/>
  <c r="M320" i="119"/>
  <c r="R60" i="20"/>
  <c r="AD206" i="99"/>
  <c r="AD216" i="99"/>
  <c r="Q230" i="99"/>
  <c r="M323" i="119"/>
  <c r="R72" i="20"/>
  <c r="AD224" i="99"/>
  <c r="AF329" i="119"/>
  <c r="AF24" i="119"/>
  <c r="AB23" i="138" s="1"/>
  <c r="N229" i="99"/>
  <c r="AD227" i="99"/>
  <c r="AD222" i="99"/>
  <c r="AD231" i="99"/>
  <c r="AJ46" i="20"/>
  <c r="AJ71" i="20"/>
  <c r="AK52" i="20"/>
  <c r="AK67" i="20"/>
  <c r="AK58" i="20"/>
  <c r="AF325" i="119"/>
  <c r="P205" i="99"/>
  <c r="AD225" i="99"/>
  <c r="AD207" i="99"/>
  <c r="M212" i="99"/>
  <c r="AD212" i="99"/>
  <c r="N228" i="99"/>
  <c r="P234" i="99"/>
  <c r="N218" i="99"/>
  <c r="AV8" i="99"/>
  <c r="AU43" i="99"/>
  <c r="AU44" i="99" s="1"/>
  <c r="AM15" i="20" s="1"/>
  <c r="S134" i="110"/>
  <c r="AD220" i="99"/>
  <c r="AU121" i="99"/>
  <c r="AU122" i="99" s="1"/>
  <c r="AM51" i="110" s="1"/>
  <c r="AM52" i="110" s="1"/>
  <c r="AH328" i="119" s="1"/>
  <c r="AV86" i="99"/>
  <c r="O215" i="99"/>
  <c r="M213" i="99"/>
  <c r="AD213" i="99"/>
  <c r="AT82" i="99"/>
  <c r="AT83" i="99" s="1"/>
  <c r="AL47" i="110" s="1"/>
  <c r="AL48" i="110" s="1"/>
  <c r="AU47" i="99"/>
  <c r="AD322" i="119"/>
  <c r="AI69" i="20"/>
  <c r="AD229" i="99"/>
  <c r="O222" i="99"/>
  <c r="AD320" i="119"/>
  <c r="AI60" i="20"/>
  <c r="AI66" i="20"/>
  <c r="M322" i="119"/>
  <c r="R69" i="20"/>
  <c r="AB63" i="20"/>
  <c r="W26" i="119" s="1"/>
  <c r="W338" i="119"/>
  <c r="AH63" i="20"/>
  <c r="AC26" i="119" s="1"/>
  <c r="AC338" i="119"/>
  <c r="AG326" i="119"/>
  <c r="AL126" i="110"/>
  <c r="R62" i="20"/>
  <c r="M337" i="119"/>
  <c r="N227" i="99"/>
  <c r="S71" i="20"/>
  <c r="S46" i="20"/>
  <c r="N231" i="99"/>
  <c r="R217" i="99"/>
  <c r="AD323" i="119"/>
  <c r="AI72" i="20"/>
  <c r="S320" i="119"/>
  <c r="X66" i="20"/>
  <c r="X60" i="20"/>
  <c r="AD205" i="99"/>
  <c r="AD230" i="99"/>
  <c r="N203" i="99"/>
  <c r="N209" i="99"/>
  <c r="AW164" i="99"/>
  <c r="AV199" i="99"/>
  <c r="AV200" i="99" s="1"/>
  <c r="AN55" i="110" s="1"/>
  <c r="AN56" i="110" s="1"/>
  <c r="AI28" i="119" s="1"/>
  <c r="AV160" i="99"/>
  <c r="AV161" i="99" s="1"/>
  <c r="AN110" i="110" s="1"/>
  <c r="AW125" i="99"/>
  <c r="X338" i="119"/>
  <c r="AC63" i="20"/>
  <c r="O233" i="99"/>
  <c r="AD218" i="99"/>
  <c r="N235" i="99"/>
  <c r="N232" i="99"/>
  <c r="AD211" i="99"/>
  <c r="O214" i="99"/>
  <c r="S49" i="20"/>
  <c r="S74" i="20"/>
  <c r="S39" i="20"/>
  <c r="S59" i="20"/>
  <c r="S65" i="20"/>
  <c r="S118" i="110"/>
  <c r="N27" i="119" s="1"/>
  <c r="J26" i="138" s="1"/>
  <c r="AD337" i="119"/>
  <c r="AI62" i="20"/>
  <c r="N220" i="99"/>
  <c r="O223" i="99"/>
  <c r="P225" i="99"/>
  <c r="N226" i="99"/>
  <c r="M204" i="99"/>
  <c r="AD204" i="99"/>
  <c r="AD215" i="99"/>
  <c r="AD233" i="99"/>
  <c r="AK43" i="20"/>
  <c r="AD214" i="99"/>
  <c r="AD210" i="99"/>
  <c r="AD203" i="99"/>
  <c r="S323" i="119"/>
  <c r="X72" i="20"/>
  <c r="AD228" i="99"/>
  <c r="AL45" i="20"/>
  <c r="AL48" i="20"/>
  <c r="AL42" i="20"/>
  <c r="AL37" i="20"/>
  <c r="AL41" i="20"/>
  <c r="AL54" i="20"/>
  <c r="AL38" i="20"/>
  <c r="AL51" i="20"/>
  <c r="S91" i="20"/>
  <c r="P210" i="99"/>
  <c r="N219" i="99"/>
  <c r="M208" i="99"/>
  <c r="M236" i="99" s="1"/>
  <c r="AD208" i="99"/>
  <c r="AG327" i="119"/>
  <c r="AL127" i="110"/>
  <c r="AS238" i="99"/>
  <c r="AS239" i="99" s="1"/>
  <c r="AK59" i="110" s="1"/>
  <c r="AK60" i="110" s="1"/>
  <c r="AT203" i="99"/>
  <c r="AJ49" i="20"/>
  <c r="AJ74" i="20"/>
  <c r="O224" i="99"/>
  <c r="AK68" i="20"/>
  <c r="AK57" i="20"/>
  <c r="AK88" i="20" s="1"/>
  <c r="X69" i="20"/>
  <c r="S322" i="119"/>
  <c r="N324" i="119"/>
  <c r="AD234" i="99"/>
  <c r="AD217" i="99"/>
  <c r="L238" i="99"/>
  <c r="AD209" i="99"/>
  <c r="O211" i="99"/>
  <c r="N216" i="99"/>
  <c r="AD232" i="99"/>
  <c r="AT277" i="99"/>
  <c r="AT278" i="99" s="1"/>
  <c r="AU242" i="99"/>
  <c r="N221" i="99"/>
  <c r="W63" i="20"/>
  <c r="R26" i="119" s="1"/>
  <c r="R338" i="119"/>
  <c r="AD219" i="99"/>
  <c r="AJ59" i="20"/>
  <c r="AJ39" i="20"/>
  <c r="AJ65" i="20"/>
  <c r="AD226" i="99"/>
  <c r="AD223" i="99"/>
  <c r="M271" i="119"/>
  <c r="X270" i="119"/>
  <c r="N270" i="119"/>
  <c r="W271" i="119"/>
  <c r="U86" i="59"/>
  <c r="P42" i="119" s="1"/>
  <c r="U84" i="59"/>
  <c r="V83" i="59"/>
  <c r="O25" i="132"/>
  <c r="AD58" i="60"/>
  <c r="AD56" i="60"/>
  <c r="AD55" i="60"/>
  <c r="AD87" i="59"/>
  <c r="Y43" i="119" s="1"/>
  <c r="Y97" i="119" s="1"/>
  <c r="AD111" i="59"/>
  <c r="AF123" i="59"/>
  <c r="T25" i="101"/>
  <c r="T24" i="59"/>
  <c r="T35" i="24" s="1"/>
  <c r="L11" i="116"/>
  <c r="O22" i="132"/>
  <c r="L9" i="106"/>
  <c r="J57" i="106"/>
  <c r="J31" i="106"/>
  <c r="N180" i="119"/>
  <c r="AE72" i="61"/>
  <c r="U134" i="110"/>
  <c r="AF76" i="59"/>
  <c r="Y23" i="132"/>
  <c r="T58" i="60"/>
  <c r="T56" i="60"/>
  <c r="T55" i="60"/>
  <c r="T87" i="59"/>
  <c r="O43" i="119" s="1"/>
  <c r="O97" i="119" s="1"/>
  <c r="T111" i="59"/>
  <c r="AE84" i="59"/>
  <c r="AE86" i="59"/>
  <c r="Z42" i="119" s="1"/>
  <c r="AF87" i="62"/>
  <c r="AD24" i="59"/>
  <c r="AD35" i="24" s="1"/>
  <c r="U10" i="106"/>
  <c r="V11" i="116"/>
  <c r="Y22" i="132"/>
  <c r="V9" i="106"/>
  <c r="V123" i="59"/>
  <c r="J25" i="101"/>
  <c r="U73" i="61"/>
  <c r="U75" i="61"/>
  <c r="T30" i="59"/>
  <c r="K63" i="106"/>
  <c r="V16" i="59"/>
  <c r="L12" i="116"/>
  <c r="O24" i="132"/>
  <c r="L62" i="106"/>
  <c r="S31" i="59"/>
  <c r="N269" i="119"/>
  <c r="AD30" i="59"/>
  <c r="U63" i="106"/>
  <c r="K10" i="106"/>
  <c r="AE73" i="61"/>
  <c r="AE75" i="61"/>
  <c r="X180" i="119"/>
  <c r="V124" i="110"/>
  <c r="AF83" i="59"/>
  <c r="Y25" i="132"/>
  <c r="V76" i="59"/>
  <c r="O23" i="132"/>
  <c r="T24" i="101"/>
  <c r="AG120" i="59" s="1"/>
  <c r="AG121" i="59" s="1"/>
  <c r="AC31" i="59"/>
  <c r="X269" i="119"/>
  <c r="AE36" i="61"/>
  <c r="U72" i="61"/>
  <c r="U17" i="59"/>
  <c r="U36" i="61"/>
  <c r="AF16" i="59"/>
  <c r="V12" i="116"/>
  <c r="Y24" i="132"/>
  <c r="V62" i="106"/>
  <c r="AE17" i="59"/>
  <c r="J24" i="101"/>
  <c r="W120" i="59" s="1"/>
  <c r="W121" i="59" s="1"/>
  <c r="AM84" i="20" l="1"/>
  <c r="AH362" i="119" s="1"/>
  <c r="AM85" i="20"/>
  <c r="AM83" i="20"/>
  <c r="AH361" i="119" s="1"/>
  <c r="AM81" i="20"/>
  <c r="AH359" i="119" s="1"/>
  <c r="AM77" i="20"/>
  <c r="AH355" i="119" s="1"/>
  <c r="AM80" i="20"/>
  <c r="AH358" i="119" s="1"/>
  <c r="AM79" i="20"/>
  <c r="AH357" i="119" s="1"/>
  <c r="AM82" i="20"/>
  <c r="AH360" i="119" s="1"/>
  <c r="AM78" i="20"/>
  <c r="AH356" i="119" s="1"/>
  <c r="AM76" i="20"/>
  <c r="AH354" i="119" s="1"/>
  <c r="AM274" i="20"/>
  <c r="AM277" i="20"/>
  <c r="AM276" i="20"/>
  <c r="AM273" i="20"/>
  <c r="AM275" i="20"/>
  <c r="AM278" i="20"/>
  <c r="AH363" i="119"/>
  <c r="H25" i="138"/>
  <c r="U76" i="60"/>
  <c r="W85" i="61" s="1"/>
  <c r="W87" i="62" s="1"/>
  <c r="G16" i="106"/>
  <c r="G18" i="106"/>
  <c r="P16" i="106"/>
  <c r="P18" i="106"/>
  <c r="O16" i="106"/>
  <c r="O18" i="106"/>
  <c r="J34" i="106"/>
  <c r="T34" i="106"/>
  <c r="O51" i="60"/>
  <c r="Q62" i="61" s="1"/>
  <c r="O102" i="59"/>
  <c r="AH341" i="119"/>
  <c r="AH342" i="119"/>
  <c r="X26" i="119"/>
  <c r="L416" i="119"/>
  <c r="G41" i="92" s="1"/>
  <c r="AF28" i="132"/>
  <c r="AN112" i="110"/>
  <c r="AN114" i="110" s="1"/>
  <c r="AN113" i="110"/>
  <c r="AN116" i="110" s="1"/>
  <c r="AN115" i="110"/>
  <c r="AM34" i="20"/>
  <c r="AM21" i="20"/>
  <c r="AM35" i="20"/>
  <c r="AM55" i="20" s="1"/>
  <c r="AM32" i="20"/>
  <c r="AM33" i="20"/>
  <c r="AM53" i="20" s="1"/>
  <c r="AM25" i="20"/>
  <c r="AM70" i="20" s="1"/>
  <c r="AM20" i="20"/>
  <c r="AM40" i="20" s="1"/>
  <c r="AM23" i="20"/>
  <c r="AM24" i="20"/>
  <c r="AM44" i="20" s="1"/>
  <c r="AM31" i="20"/>
  <c r="AM26" i="20"/>
  <c r="AM18" i="20"/>
  <c r="AM28" i="20"/>
  <c r="AM73" i="20" s="1"/>
  <c r="AM29" i="20"/>
  <c r="AM27" i="20"/>
  <c r="AM47" i="20" s="1"/>
  <c r="AM22" i="20"/>
  <c r="AM17" i="20"/>
  <c r="AM19" i="20"/>
  <c r="AM30" i="20"/>
  <c r="AM50" i="20" s="1"/>
  <c r="O286" i="119"/>
  <c r="K24" i="138"/>
  <c r="AE286" i="119"/>
  <c r="AA24" i="138"/>
  <c r="AI287" i="119"/>
  <c r="AE27" i="138"/>
  <c r="AE339" i="119"/>
  <c r="AE60" i="119"/>
  <c r="AE340" i="119"/>
  <c r="AE59" i="119"/>
  <c r="N59" i="119"/>
  <c r="N340" i="119"/>
  <c r="AK89" i="20"/>
  <c r="AK92" i="20" s="1"/>
  <c r="P42" i="123"/>
  <c r="N25" i="138"/>
  <c r="AA42" i="123"/>
  <c r="Y25" i="138"/>
  <c r="U42" i="123"/>
  <c r="S25" i="138"/>
  <c r="AE76" i="60"/>
  <c r="AG85" i="61" s="1"/>
  <c r="AG87" i="62" s="1"/>
  <c r="S35" i="60"/>
  <c r="N110" i="119" s="1"/>
  <c r="U15" i="61"/>
  <c r="AE15" i="61"/>
  <c r="AC35" i="60"/>
  <c r="X110" i="119" s="1"/>
  <c r="AD48" i="59"/>
  <c r="AD14" i="60" s="1"/>
  <c r="T48" i="59"/>
  <c r="T14" i="60" s="1"/>
  <c r="K79" i="94"/>
  <c r="O113" i="59" s="1"/>
  <c r="Q19" i="61"/>
  <c r="Q26" i="61" s="1"/>
  <c r="J198" i="119" s="1"/>
  <c r="K78" i="94"/>
  <c r="Q40" i="61"/>
  <c r="Q47" i="61" s="1"/>
  <c r="W255" i="119"/>
  <c r="K66" i="106"/>
  <c r="AN105" i="106"/>
  <c r="AX69" i="59" s="1"/>
  <c r="K13" i="106"/>
  <c r="U66" i="106"/>
  <c r="U13" i="106"/>
  <c r="E108" i="106"/>
  <c r="O15" i="60"/>
  <c r="Q17" i="61" s="1"/>
  <c r="Q16" i="62" s="1"/>
  <c r="E109" i="106"/>
  <c r="AN20" i="106"/>
  <c r="E110" i="106"/>
  <c r="O50" i="59"/>
  <c r="O46" i="59"/>
  <c r="AE28" i="59"/>
  <c r="U28" i="59"/>
  <c r="K111" i="106"/>
  <c r="U66" i="59" s="1"/>
  <c r="U25" i="60" s="1"/>
  <c r="U111" i="106"/>
  <c r="V12" i="106"/>
  <c r="K87" i="106"/>
  <c r="K88" i="106"/>
  <c r="V65" i="106"/>
  <c r="K33" i="106"/>
  <c r="U88" i="106"/>
  <c r="U87" i="106"/>
  <c r="L65" i="106"/>
  <c r="L12" i="106"/>
  <c r="U33" i="106"/>
  <c r="E22" i="116"/>
  <c r="E5" i="116" s="1"/>
  <c r="K83" i="94"/>
  <c r="Q38" i="62" s="1"/>
  <c r="Q45" i="62" s="1"/>
  <c r="J22" i="119" s="1"/>
  <c r="U74" i="61"/>
  <c r="AE74" i="61"/>
  <c r="O67" i="59"/>
  <c r="AS237" i="119"/>
  <c r="AE126" i="59"/>
  <c r="Z240" i="119" s="1"/>
  <c r="V124" i="59"/>
  <c r="V76" i="60" s="1"/>
  <c r="X85" i="61" s="1"/>
  <c r="AF124" i="59"/>
  <c r="AF76" i="60" s="1"/>
  <c r="AH85" i="61" s="1"/>
  <c r="U126" i="59"/>
  <c r="O79" i="59"/>
  <c r="O13" i="60"/>
  <c r="O24" i="60"/>
  <c r="Z168" i="119"/>
  <c r="P168" i="119"/>
  <c r="K107" i="131"/>
  <c r="J51" i="120"/>
  <c r="AN94" i="106"/>
  <c r="K85" i="94"/>
  <c r="O158" i="59" s="1"/>
  <c r="G69" i="106"/>
  <c r="G71" i="106" s="1"/>
  <c r="F69" i="106"/>
  <c r="F71" i="106" s="1"/>
  <c r="O69" i="106"/>
  <c r="O71" i="106" s="1"/>
  <c r="P69" i="106"/>
  <c r="P71" i="106" s="1"/>
  <c r="L70" i="106"/>
  <c r="L17" i="106"/>
  <c r="U92" i="106"/>
  <c r="K92" i="106"/>
  <c r="U38" i="106"/>
  <c r="AS380" i="119"/>
  <c r="AS374" i="119"/>
  <c r="AS376" i="119"/>
  <c r="AS375" i="119"/>
  <c r="AS373" i="119"/>
  <c r="AS379" i="119"/>
  <c r="AS372" i="119"/>
  <c r="AT56" i="94"/>
  <c r="AS381" i="119"/>
  <c r="AS382" i="119"/>
  <c r="AT80" i="94"/>
  <c r="AS378" i="119"/>
  <c r="K38" i="106"/>
  <c r="K31" i="106"/>
  <c r="AE86" i="62"/>
  <c r="P25" i="119"/>
  <c r="AF25" i="119"/>
  <c r="U86" i="62"/>
  <c r="Q36" i="106"/>
  <c r="Q37" i="106" s="1"/>
  <c r="Q39" i="106" s="1"/>
  <c r="S5" i="132"/>
  <c r="V9" i="122" s="1"/>
  <c r="Q68" i="106"/>
  <c r="Q15" i="106"/>
  <c r="S29" i="132"/>
  <c r="S30" i="132"/>
  <c r="AE236" i="99"/>
  <c r="P63" i="82"/>
  <c r="M237" i="99"/>
  <c r="AE237" i="99" s="1"/>
  <c r="Z96" i="119"/>
  <c r="P96" i="119"/>
  <c r="P99" i="119"/>
  <c r="Z99" i="119"/>
  <c r="O98" i="119"/>
  <c r="N339" i="119"/>
  <c r="N60" i="119"/>
  <c r="Y98" i="119"/>
  <c r="AE228" i="99"/>
  <c r="AE75" i="60"/>
  <c r="Z44" i="119"/>
  <c r="P44" i="119"/>
  <c r="U75" i="60"/>
  <c r="Y115" i="119"/>
  <c r="Y416" i="119" s="1"/>
  <c r="I41" i="92" s="1"/>
  <c r="AF84" i="61"/>
  <c r="R46" i="119"/>
  <c r="O115" i="119"/>
  <c r="O416" i="119" s="1"/>
  <c r="F41" i="92" s="1"/>
  <c r="V84" i="61"/>
  <c r="AE26" i="132"/>
  <c r="AE27" i="132"/>
  <c r="T5" i="132"/>
  <c r="W9" i="122" s="1"/>
  <c r="T29" i="132"/>
  <c r="T30" i="132"/>
  <c r="J5" i="132"/>
  <c r="M9" i="122" s="1"/>
  <c r="J29" i="132"/>
  <c r="J30" i="132"/>
  <c r="O17" i="132"/>
  <c r="R26" i="122" s="1"/>
  <c r="R55" i="122" s="1"/>
  <c r="O12" i="132"/>
  <c r="R16" i="122" s="1"/>
  <c r="R50" i="122" s="1"/>
  <c r="O11" i="132"/>
  <c r="R15" i="122" s="1"/>
  <c r="R49" i="122" s="1"/>
  <c r="Y17" i="132"/>
  <c r="AB26" i="122" s="1"/>
  <c r="AB55" i="122" s="1"/>
  <c r="Y11" i="132"/>
  <c r="AB15" i="122" s="1"/>
  <c r="AB49" i="122" s="1"/>
  <c r="Y12" i="132"/>
  <c r="AB16" i="122" s="1"/>
  <c r="AB50" i="122" s="1"/>
  <c r="AE18" i="132"/>
  <c r="AH27" i="122" s="1"/>
  <c r="AH56" i="122" s="1"/>
  <c r="AE16" i="132"/>
  <c r="AH25" i="122" s="1"/>
  <c r="AH54" i="122" s="1"/>
  <c r="AE13" i="132"/>
  <c r="AH17" i="122" s="1"/>
  <c r="AH51" i="122" s="1"/>
  <c r="AE14" i="132"/>
  <c r="AH18" i="122" s="1"/>
  <c r="AH52" i="122" s="1"/>
  <c r="Y15" i="132"/>
  <c r="AB24" i="122" s="1"/>
  <c r="AB53" i="122" s="1"/>
  <c r="Y8" i="132"/>
  <c r="AB12" i="122" s="1"/>
  <c r="Y9" i="132"/>
  <c r="AB13" i="122" s="1"/>
  <c r="AB47" i="122" s="1"/>
  <c r="Y10" i="132"/>
  <c r="AB14" i="122" s="1"/>
  <c r="AB48" i="122" s="1"/>
  <c r="O15" i="132"/>
  <c r="R24" i="122" s="1"/>
  <c r="R53" i="122" s="1"/>
  <c r="O10" i="132"/>
  <c r="R14" i="122" s="1"/>
  <c r="R48" i="122" s="1"/>
  <c r="O8" i="132"/>
  <c r="R12" i="122" s="1"/>
  <c r="O9" i="132"/>
  <c r="R13" i="122" s="1"/>
  <c r="R47" i="122" s="1"/>
  <c r="R90" i="106"/>
  <c r="R91" i="106" s="1"/>
  <c r="R93" i="106" s="1"/>
  <c r="R15" i="106"/>
  <c r="R36" i="106"/>
  <c r="R37" i="106" s="1"/>
  <c r="R39" i="106" s="1"/>
  <c r="R68" i="106"/>
  <c r="H90" i="106"/>
  <c r="H91" i="106" s="1"/>
  <c r="H93" i="106" s="1"/>
  <c r="H36" i="106"/>
  <c r="H37" i="106" s="1"/>
  <c r="H39" i="106" s="1"/>
  <c r="H15" i="106"/>
  <c r="H68" i="106"/>
  <c r="F63" i="82"/>
  <c r="W416" i="119"/>
  <c r="K85" i="106"/>
  <c r="U31" i="106"/>
  <c r="AE14" i="60"/>
  <c r="AF324" i="119"/>
  <c r="K57" i="106"/>
  <c r="U85" i="106"/>
  <c r="V17" i="106"/>
  <c r="V84" i="106"/>
  <c r="V70" i="106"/>
  <c r="AE219" i="99"/>
  <c r="AF321" i="119"/>
  <c r="AG325" i="119"/>
  <c r="AE233" i="99"/>
  <c r="S60" i="20"/>
  <c r="N320" i="119"/>
  <c r="S66" i="20"/>
  <c r="AK65" i="20"/>
  <c r="AK39" i="20"/>
  <c r="AK59" i="20"/>
  <c r="N323" i="119"/>
  <c r="S72" i="20"/>
  <c r="Q205" i="99"/>
  <c r="AE322" i="119"/>
  <c r="AJ69" i="20"/>
  <c r="AE221" i="99"/>
  <c r="P211" i="99"/>
  <c r="AH326" i="119"/>
  <c r="AM126" i="110"/>
  <c r="AK91" i="20"/>
  <c r="Q210" i="99"/>
  <c r="AL57" i="20"/>
  <c r="AL68" i="20"/>
  <c r="AL52" i="20"/>
  <c r="AL67" i="20"/>
  <c r="AL58" i="20"/>
  <c r="AE220" i="99"/>
  <c r="O209" i="99"/>
  <c r="AE225" i="99"/>
  <c r="AE217" i="99"/>
  <c r="O203" i="99"/>
  <c r="S338" i="119"/>
  <c r="X63" i="20"/>
  <c r="S26" i="119" s="1"/>
  <c r="O231" i="99"/>
  <c r="AE227" i="99"/>
  <c r="AG24" i="119"/>
  <c r="AC23" i="138" s="1"/>
  <c r="AG329" i="119"/>
  <c r="P215" i="99"/>
  <c r="AD235" i="99"/>
  <c r="AD238" i="99" s="1"/>
  <c r="AD239" i="99" s="1"/>
  <c r="V59" i="110" s="1"/>
  <c r="V60" i="110" s="1"/>
  <c r="Q234" i="99"/>
  <c r="AE229" i="99"/>
  <c r="R230" i="99"/>
  <c r="AL43" i="20"/>
  <c r="P223" i="99"/>
  <c r="O235" i="99"/>
  <c r="AE209" i="99"/>
  <c r="AJ72" i="20"/>
  <c r="AE323" i="119"/>
  <c r="P222" i="99"/>
  <c r="AU82" i="99"/>
  <c r="AU83" i="99" s="1"/>
  <c r="AM47" i="110" s="1"/>
  <c r="AM48" i="110" s="1"/>
  <c r="AV47" i="99"/>
  <c r="AV121" i="99"/>
  <c r="AV122" i="99" s="1"/>
  <c r="AN51" i="110" s="1"/>
  <c r="AN52" i="110" s="1"/>
  <c r="AI328" i="119" s="1"/>
  <c r="AW86" i="99"/>
  <c r="AW8" i="99"/>
  <c r="AV43" i="99"/>
  <c r="AV44" i="99" s="1"/>
  <c r="AN15" i="20" s="1"/>
  <c r="AE216" i="99"/>
  <c r="AE208" i="99"/>
  <c r="N208" i="99"/>
  <c r="N236" i="99" s="1"/>
  <c r="Q225" i="99"/>
  <c r="O220" i="99"/>
  <c r="AE232" i="99"/>
  <c r="AE210" i="99"/>
  <c r="AE206" i="99"/>
  <c r="M238" i="99"/>
  <c r="AK71" i="20"/>
  <c r="AK46" i="20"/>
  <c r="AK49" i="20"/>
  <c r="AK74" i="20"/>
  <c r="AE231" i="99"/>
  <c r="O227" i="99"/>
  <c r="AL118" i="110"/>
  <c r="AG27" i="119" s="1"/>
  <c r="AC26" i="138" s="1"/>
  <c r="AD338" i="119"/>
  <c r="AI63" i="20"/>
  <c r="AD26" i="119" s="1"/>
  <c r="AE214" i="99"/>
  <c r="O218" i="99"/>
  <c r="N212" i="99"/>
  <c r="AE212" i="99"/>
  <c r="N322" i="119"/>
  <c r="S69" i="20"/>
  <c r="AJ62" i="20"/>
  <c r="AE337" i="119"/>
  <c r="O221" i="99"/>
  <c r="AH327" i="119"/>
  <c r="AM127" i="110"/>
  <c r="AT238" i="99"/>
  <c r="AT239" i="99" s="1"/>
  <c r="AL59" i="110" s="1"/>
  <c r="AL60" i="110" s="1"/>
  <c r="AU203" i="99"/>
  <c r="AE204" i="99"/>
  <c r="N204" i="99"/>
  <c r="AE215" i="99"/>
  <c r="AE224" i="99"/>
  <c r="AE226" i="99"/>
  <c r="P233" i="99"/>
  <c r="AX125" i="99"/>
  <c r="AW160" i="99"/>
  <c r="AW161" i="99" s="1"/>
  <c r="AO110" i="110" s="1"/>
  <c r="AE205" i="99"/>
  <c r="AE230" i="99"/>
  <c r="AE203" i="99"/>
  <c r="AE222" i="99"/>
  <c r="O229" i="99"/>
  <c r="AE223" i="99"/>
  <c r="AU277" i="99"/>
  <c r="AU278" i="99" s="1"/>
  <c r="AV242" i="99"/>
  <c r="O216" i="99"/>
  <c r="P224" i="99"/>
  <c r="O219" i="99"/>
  <c r="O226" i="99"/>
  <c r="S62" i="20"/>
  <c r="N337" i="119"/>
  <c r="P214" i="99"/>
  <c r="O232" i="99"/>
  <c r="AE211" i="99"/>
  <c r="AW199" i="99"/>
  <c r="AW200" i="99" s="1"/>
  <c r="AO55" i="110" s="1"/>
  <c r="AO56" i="110" s="1"/>
  <c r="AJ28" i="119" s="1"/>
  <c r="AX164" i="99"/>
  <c r="AE234" i="99"/>
  <c r="AE207" i="99"/>
  <c r="S217" i="99"/>
  <c r="AE213" i="99"/>
  <c r="N213" i="99"/>
  <c r="AJ66" i="20"/>
  <c r="AE320" i="119"/>
  <c r="AJ60" i="20"/>
  <c r="AM48" i="20"/>
  <c r="AM51" i="20"/>
  <c r="AM37" i="20"/>
  <c r="AM41" i="20"/>
  <c r="AM45" i="20"/>
  <c r="AM42" i="20"/>
  <c r="AM54" i="20"/>
  <c r="AM38" i="20"/>
  <c r="AE218" i="99"/>
  <c r="O228" i="99"/>
  <c r="R63" i="20"/>
  <c r="M26" i="119" s="1"/>
  <c r="M338" i="119"/>
  <c r="N271" i="119"/>
  <c r="X271" i="119"/>
  <c r="Y270" i="119"/>
  <c r="O270" i="119"/>
  <c r="AG16" i="59"/>
  <c r="Z24" i="132"/>
  <c r="W12" i="116"/>
  <c r="W62" i="106"/>
  <c r="AF17" i="59"/>
  <c r="U30" i="59"/>
  <c r="V36" i="61"/>
  <c r="AF84" i="59"/>
  <c r="AF86" i="59"/>
  <c r="AA42" i="119" s="1"/>
  <c r="U24" i="59"/>
  <c r="U35" i="24" s="1"/>
  <c r="L63" i="106"/>
  <c r="W123" i="59"/>
  <c r="K25" i="101"/>
  <c r="X123" i="59" s="1"/>
  <c r="AE24" i="59"/>
  <c r="AE35" i="24" s="1"/>
  <c r="Z22" i="132"/>
  <c r="W11" i="116"/>
  <c r="W9" i="106"/>
  <c r="V73" i="61"/>
  <c r="V75" i="61"/>
  <c r="AG76" i="59"/>
  <c r="Z23" i="132"/>
  <c r="L10" i="106"/>
  <c r="O180" i="119"/>
  <c r="AG123" i="59"/>
  <c r="U25" i="101"/>
  <c r="AF73" i="61"/>
  <c r="AF75" i="61"/>
  <c r="V84" i="59"/>
  <c r="V86" i="59"/>
  <c r="Q42" i="119" s="1"/>
  <c r="K24" i="101"/>
  <c r="X120" i="59" s="1"/>
  <c r="X121" i="59" s="1"/>
  <c r="AE30" i="59"/>
  <c r="V63" i="106"/>
  <c r="AD31" i="59"/>
  <c r="Y269" i="119"/>
  <c r="AF36" i="61"/>
  <c r="T31" i="59"/>
  <c r="O269" i="119"/>
  <c r="U24" i="101"/>
  <c r="AH120" i="59" s="1"/>
  <c r="AH121" i="59" s="1"/>
  <c r="W76" i="59"/>
  <c r="P23" i="132"/>
  <c r="AG83" i="59"/>
  <c r="Z25" i="132"/>
  <c r="W124" i="110"/>
  <c r="V134" i="110"/>
  <c r="L84" i="106"/>
  <c r="W16" i="59"/>
  <c r="M12" i="116"/>
  <c r="P24" i="132"/>
  <c r="M62" i="106"/>
  <c r="V17" i="59"/>
  <c r="V10" i="106"/>
  <c r="Y180" i="119"/>
  <c r="AE58" i="60"/>
  <c r="AE56" i="60"/>
  <c r="AE55" i="60"/>
  <c r="AE87" i="59"/>
  <c r="Z43" i="119" s="1"/>
  <c r="Z97" i="119" s="1"/>
  <c r="AE111" i="59"/>
  <c r="V72" i="61"/>
  <c r="T57" i="60"/>
  <c r="M11" i="116"/>
  <c r="P22" i="132"/>
  <c r="M9" i="106"/>
  <c r="AF72" i="61"/>
  <c r="AD57" i="60"/>
  <c r="W83" i="59"/>
  <c r="U58" i="60"/>
  <c r="U56" i="60"/>
  <c r="U55" i="60"/>
  <c r="U87" i="59"/>
  <c r="P43" i="119" s="1"/>
  <c r="P97" i="119" s="1"/>
  <c r="U111" i="59"/>
  <c r="AN81" i="20" l="1"/>
  <c r="AN79" i="20"/>
  <c r="AI357" i="119" s="1"/>
  <c r="AN77" i="20"/>
  <c r="AI355" i="119" s="1"/>
  <c r="AN76" i="20"/>
  <c r="AI354" i="119" s="1"/>
  <c r="AN83" i="20"/>
  <c r="AI361" i="119" s="1"/>
  <c r="AN82" i="20"/>
  <c r="AI360" i="119" s="1"/>
  <c r="AN80" i="20"/>
  <c r="AI358" i="119" s="1"/>
  <c r="AN84" i="20"/>
  <c r="AI362" i="119" s="1"/>
  <c r="AN85" i="20"/>
  <c r="AI363" i="119" s="1"/>
  <c r="AN78" i="20"/>
  <c r="AI356" i="119" s="1"/>
  <c r="AN273" i="20"/>
  <c r="AN278" i="20"/>
  <c r="AN276" i="20"/>
  <c r="AN277" i="20"/>
  <c r="AN274" i="20"/>
  <c r="AN275" i="20"/>
  <c r="AI359" i="119"/>
  <c r="T25" i="138"/>
  <c r="R16" i="106"/>
  <c r="R18" i="106"/>
  <c r="H16" i="106"/>
  <c r="H18" i="106"/>
  <c r="Q16" i="106"/>
  <c r="Q18" i="106"/>
  <c r="K34" i="106"/>
  <c r="U34" i="106"/>
  <c r="AN52" i="106"/>
  <c r="AX47" i="59" s="1"/>
  <c r="AN24" i="106"/>
  <c r="AI341" i="119"/>
  <c r="V42" i="123"/>
  <c r="AI342" i="119"/>
  <c r="X416" i="119"/>
  <c r="AG28" i="132"/>
  <c r="AO112" i="110"/>
  <c r="AO114" i="110" s="1"/>
  <c r="AO113" i="110"/>
  <c r="AO116" i="110" s="1"/>
  <c r="AO115" i="110"/>
  <c r="AA45" i="119"/>
  <c r="AA99" i="119" s="1"/>
  <c r="AN18" i="20"/>
  <c r="AN32" i="20"/>
  <c r="AN24" i="20"/>
  <c r="AN44" i="20" s="1"/>
  <c r="AN33" i="20"/>
  <c r="AN53" i="20" s="1"/>
  <c r="AN28" i="20"/>
  <c r="AN73" i="20" s="1"/>
  <c r="AN35" i="20"/>
  <c r="AN55" i="20" s="1"/>
  <c r="AN30" i="20"/>
  <c r="AN50" i="20" s="1"/>
  <c r="AN25" i="20"/>
  <c r="AN70" i="20" s="1"/>
  <c r="AN19" i="20"/>
  <c r="AN22" i="20"/>
  <c r="AN23" i="20"/>
  <c r="AN21" i="20"/>
  <c r="AN17" i="20"/>
  <c r="AN31" i="20"/>
  <c r="AN34" i="20"/>
  <c r="AN20" i="20"/>
  <c r="AN40" i="20" s="1"/>
  <c r="AN29" i="20"/>
  <c r="AN26" i="20"/>
  <c r="AN27" i="20"/>
  <c r="AN47" i="20" s="1"/>
  <c r="AF286" i="119"/>
  <c r="AB24" i="138"/>
  <c r="P286" i="119"/>
  <c r="L24" i="138"/>
  <c r="AJ287" i="119"/>
  <c r="AF27" i="138"/>
  <c r="AF340" i="119"/>
  <c r="AF59" i="119"/>
  <c r="AL88" i="20"/>
  <c r="AL91" i="20" s="1"/>
  <c r="AL89" i="20"/>
  <c r="AL92" i="20" s="1"/>
  <c r="AB42" i="123"/>
  <c r="Z25" i="138"/>
  <c r="K42" i="123"/>
  <c r="I25" i="138"/>
  <c r="Q42" i="123"/>
  <c r="O25" i="138"/>
  <c r="Q45" i="119"/>
  <c r="Q99" i="119" s="1"/>
  <c r="AD35" i="60"/>
  <c r="Y110" i="119" s="1"/>
  <c r="AF15" i="61"/>
  <c r="V15" i="61"/>
  <c r="T35" i="60"/>
  <c r="O110" i="119" s="1"/>
  <c r="AE66" i="59"/>
  <c r="AE25" i="60" s="1"/>
  <c r="U48" i="59"/>
  <c r="U14" i="60" s="1"/>
  <c r="J56" i="119"/>
  <c r="J127" i="119" s="1"/>
  <c r="J253" i="119"/>
  <c r="Q18" i="61"/>
  <c r="L13" i="106"/>
  <c r="P21" i="106"/>
  <c r="Z16" i="60"/>
  <c r="P74" i="106"/>
  <c r="Z27" i="60"/>
  <c r="F74" i="106"/>
  <c r="P27" i="60"/>
  <c r="L66" i="106"/>
  <c r="G21" i="106"/>
  <c r="Q16" i="60"/>
  <c r="P96" i="106"/>
  <c r="G74" i="106"/>
  <c r="Q27" i="60"/>
  <c r="Q96" i="106"/>
  <c r="G96" i="106"/>
  <c r="O74" i="106"/>
  <c r="Y27" i="60"/>
  <c r="P42" i="106"/>
  <c r="F42" i="106"/>
  <c r="V66" i="106"/>
  <c r="G42" i="106"/>
  <c r="F96" i="106"/>
  <c r="O21" i="106"/>
  <c r="Y16" i="60"/>
  <c r="O96" i="106"/>
  <c r="V13" i="106"/>
  <c r="O17" i="60"/>
  <c r="O12" i="60"/>
  <c r="O26" i="60"/>
  <c r="V28" i="59"/>
  <c r="AF28" i="59"/>
  <c r="L111" i="106"/>
  <c r="V66" i="59" s="1"/>
  <c r="V25" i="60" s="1"/>
  <c r="V111" i="106"/>
  <c r="AF66" i="59" s="1"/>
  <c r="AF25" i="60" s="1"/>
  <c r="AN100" i="106"/>
  <c r="AN98" i="106"/>
  <c r="AN99" i="106"/>
  <c r="L33" i="106"/>
  <c r="L88" i="106"/>
  <c r="L87" i="106"/>
  <c r="V88" i="106"/>
  <c r="V87" i="106"/>
  <c r="M12" i="106"/>
  <c r="M65" i="106"/>
  <c r="W12" i="106"/>
  <c r="W65" i="106"/>
  <c r="V33" i="106"/>
  <c r="Q14" i="61"/>
  <c r="O91" i="59"/>
  <c r="X255" i="119"/>
  <c r="N255" i="119"/>
  <c r="O104" i="59"/>
  <c r="J235" i="119"/>
  <c r="P40" i="106"/>
  <c r="O40" i="106"/>
  <c r="F40" i="106"/>
  <c r="G40" i="106"/>
  <c r="Q35" i="61"/>
  <c r="W124" i="59"/>
  <c r="R45" i="119" s="1"/>
  <c r="X124" i="59"/>
  <c r="S45" i="119" s="1"/>
  <c r="AF126" i="59"/>
  <c r="AA240" i="119" s="1"/>
  <c r="V126" i="59"/>
  <c r="AG124" i="59"/>
  <c r="AB45" i="119" s="1"/>
  <c r="P240" i="119"/>
  <c r="K165" i="119"/>
  <c r="O49" i="60"/>
  <c r="O47" i="60"/>
  <c r="O46" i="60"/>
  <c r="O80" i="59"/>
  <c r="O59" i="60"/>
  <c r="O93" i="59"/>
  <c r="F104" i="106"/>
  <c r="G104" i="106"/>
  <c r="AS11" i="120"/>
  <c r="P104" i="106"/>
  <c r="F50" i="106"/>
  <c r="O104" i="106"/>
  <c r="P50" i="106"/>
  <c r="G50" i="106"/>
  <c r="O159" i="59"/>
  <c r="AT75" i="94"/>
  <c r="Q69" i="106"/>
  <c r="Q71" i="106" s="1"/>
  <c r="R69" i="106"/>
  <c r="R71" i="106" s="1"/>
  <c r="H69" i="106"/>
  <c r="H71" i="106" s="1"/>
  <c r="L38" i="106"/>
  <c r="L92" i="106"/>
  <c r="V92" i="106"/>
  <c r="V38" i="106"/>
  <c r="T377" i="119"/>
  <c r="U377" i="119"/>
  <c r="L377" i="119"/>
  <c r="V377" i="119"/>
  <c r="AT58" i="94"/>
  <c r="AT57" i="94"/>
  <c r="AT95" i="94"/>
  <c r="AT101" i="94" s="1"/>
  <c r="O114" i="59"/>
  <c r="AT76" i="94"/>
  <c r="K377" i="119"/>
  <c r="AT77" i="94"/>
  <c r="Q25" i="119"/>
  <c r="AF86" i="62"/>
  <c r="V86" i="62"/>
  <c r="AG25" i="119"/>
  <c r="AF236" i="99"/>
  <c r="Q63" i="82"/>
  <c r="N237" i="99"/>
  <c r="AF237" i="99" s="1"/>
  <c r="AF229" i="99"/>
  <c r="AA96" i="119"/>
  <c r="Q96" i="119"/>
  <c r="AF339" i="119"/>
  <c r="AF60" i="119"/>
  <c r="P98" i="119"/>
  <c r="Z98" i="119"/>
  <c r="Z115" i="119"/>
  <c r="Z416" i="119" s="1"/>
  <c r="AG84" i="61"/>
  <c r="S46" i="119"/>
  <c r="AF75" i="60"/>
  <c r="AA44" i="119"/>
  <c r="P115" i="119"/>
  <c r="P416" i="119" s="1"/>
  <c r="W84" i="61"/>
  <c r="Q44" i="119"/>
  <c r="V75" i="60"/>
  <c r="AA168" i="119"/>
  <c r="Q168" i="119"/>
  <c r="J8" i="120"/>
  <c r="J49" i="120" s="1"/>
  <c r="K109" i="131"/>
  <c r="K105" i="131"/>
  <c r="AF26" i="132"/>
  <c r="AF27" i="132"/>
  <c r="X83" i="59"/>
  <c r="X84" i="59" s="1"/>
  <c r="P25" i="132"/>
  <c r="K5" i="132"/>
  <c r="N9" i="122" s="1"/>
  <c r="K29" i="132"/>
  <c r="K30" i="132"/>
  <c r="U5" i="132"/>
  <c r="X9" i="122" s="1"/>
  <c r="U29" i="132"/>
  <c r="U30" i="132"/>
  <c r="X76" i="59"/>
  <c r="P17" i="132"/>
  <c r="S26" i="122" s="1"/>
  <c r="S55" i="122" s="1"/>
  <c r="P11" i="132"/>
  <c r="S15" i="122" s="1"/>
  <c r="S49" i="122" s="1"/>
  <c r="P12" i="132"/>
  <c r="S16" i="122" s="1"/>
  <c r="S50" i="122" s="1"/>
  <c r="P15" i="132"/>
  <c r="S24" i="122" s="1"/>
  <c r="S53" i="122" s="1"/>
  <c r="P10" i="132"/>
  <c r="S14" i="122" s="1"/>
  <c r="S48" i="122" s="1"/>
  <c r="P8" i="132"/>
  <c r="S12" i="122" s="1"/>
  <c r="P9" i="132"/>
  <c r="S13" i="122" s="1"/>
  <c r="S47" i="122" s="1"/>
  <c r="AF18" i="132"/>
  <c r="AI27" i="122" s="1"/>
  <c r="AI56" i="122" s="1"/>
  <c r="AF16" i="132"/>
  <c r="AI25" i="122" s="1"/>
  <c r="AI54" i="122" s="1"/>
  <c r="AF14" i="132"/>
  <c r="AI18" i="122" s="1"/>
  <c r="AI52" i="122" s="1"/>
  <c r="AF13" i="132"/>
  <c r="AI17" i="122" s="1"/>
  <c r="AI51" i="122" s="1"/>
  <c r="Z17" i="132"/>
  <c r="AC26" i="122" s="1"/>
  <c r="AC55" i="122" s="1"/>
  <c r="Z11" i="132"/>
  <c r="AC15" i="122" s="1"/>
  <c r="AC49" i="122" s="1"/>
  <c r="Z12" i="132"/>
  <c r="AC16" i="122" s="1"/>
  <c r="AC50" i="122" s="1"/>
  <c r="Z15" i="132"/>
  <c r="AC24" i="122" s="1"/>
  <c r="AC53" i="122" s="1"/>
  <c r="Z9" i="132"/>
  <c r="AC13" i="122" s="1"/>
  <c r="AC47" i="122" s="1"/>
  <c r="Z8" i="132"/>
  <c r="AC12" i="122" s="1"/>
  <c r="Z10" i="132"/>
  <c r="AC14" i="122" s="1"/>
  <c r="AC48" i="122" s="1"/>
  <c r="I36" i="106"/>
  <c r="I37" i="106" s="1"/>
  <c r="I39" i="106" s="1"/>
  <c r="I15" i="106"/>
  <c r="I68" i="106"/>
  <c r="I90" i="106"/>
  <c r="I91" i="106" s="1"/>
  <c r="I93" i="106" s="1"/>
  <c r="S90" i="106"/>
  <c r="S91" i="106" s="1"/>
  <c r="S93" i="106" s="1"/>
  <c r="S68" i="106"/>
  <c r="S36" i="106"/>
  <c r="S37" i="106" s="1"/>
  <c r="S39" i="106" s="1"/>
  <c r="S15" i="106"/>
  <c r="G63" i="82"/>
  <c r="M416" i="119"/>
  <c r="V85" i="106"/>
  <c r="AH325" i="119"/>
  <c r="AG324" i="119"/>
  <c r="V31" i="106"/>
  <c r="V57" i="106"/>
  <c r="M84" i="106"/>
  <c r="M70" i="106"/>
  <c r="W17" i="106"/>
  <c r="W84" i="106"/>
  <c r="W70" i="106"/>
  <c r="M17" i="106"/>
  <c r="AG321" i="119"/>
  <c r="P232" i="99"/>
  <c r="O204" i="99"/>
  <c r="AF204" i="99"/>
  <c r="AF223" i="99"/>
  <c r="AF214" i="99"/>
  <c r="AF224" i="99"/>
  <c r="AF211" i="99"/>
  <c r="AF215" i="99"/>
  <c r="AN54" i="20"/>
  <c r="AN38" i="20"/>
  <c r="AN42" i="20"/>
  <c r="AN48" i="20"/>
  <c r="AN51" i="20"/>
  <c r="AN37" i="20"/>
  <c r="AN41" i="20"/>
  <c r="AN45" i="20"/>
  <c r="AV82" i="99"/>
  <c r="AV83" i="99" s="1"/>
  <c r="AN47" i="110" s="1"/>
  <c r="AN48" i="110" s="1"/>
  <c r="AW47" i="99"/>
  <c r="AK72" i="20"/>
  <c r="AF323" i="119"/>
  <c r="P203" i="99"/>
  <c r="Q211" i="99"/>
  <c r="R205" i="99"/>
  <c r="AF337" i="119"/>
  <c r="AK62" i="20"/>
  <c r="AK69" i="20"/>
  <c r="AF322" i="119"/>
  <c r="AM52" i="20"/>
  <c r="AK60" i="20"/>
  <c r="AF320" i="119"/>
  <c r="AK66" i="20"/>
  <c r="AF232" i="99"/>
  <c r="AF216" i="99"/>
  <c r="AF227" i="99"/>
  <c r="AF220" i="99"/>
  <c r="O208" i="99"/>
  <c r="O236" i="99" s="1"/>
  <c r="AF208" i="99"/>
  <c r="AW43" i="99"/>
  <c r="AW44" i="99" s="1"/>
  <c r="AO15" i="20" s="1"/>
  <c r="AX8" i="99"/>
  <c r="AH329" i="119"/>
  <c r="AH24" i="119"/>
  <c r="AD23" i="138" s="1"/>
  <c r="P235" i="99"/>
  <c r="R234" i="99"/>
  <c r="AF205" i="99"/>
  <c r="AF217" i="99"/>
  <c r="AF203" i="99"/>
  <c r="P209" i="99"/>
  <c r="AI326" i="119"/>
  <c r="AN126" i="110"/>
  <c r="S63" i="20"/>
  <c r="N26" i="119" s="1"/>
  <c r="N338" i="119"/>
  <c r="AE338" i="119"/>
  <c r="AJ63" i="20"/>
  <c r="AE26" i="119" s="1"/>
  <c r="AX199" i="99"/>
  <c r="AX200" i="99" s="1"/>
  <c r="AP55" i="110" s="1"/>
  <c r="AP56" i="110" s="1"/>
  <c r="AK28" i="119" s="1"/>
  <c r="AY164" i="99"/>
  <c r="AF218" i="99"/>
  <c r="P220" i="99"/>
  <c r="Q215" i="99"/>
  <c r="AF225" i="99"/>
  <c r="P228" i="99"/>
  <c r="AM68" i="20"/>
  <c r="AM57" i="20"/>
  <c r="AM88" i="20" s="1"/>
  <c r="AM58" i="20"/>
  <c r="AM67" i="20"/>
  <c r="AM43" i="20"/>
  <c r="P226" i="99"/>
  <c r="AF219" i="99"/>
  <c r="Q224" i="99"/>
  <c r="AW242" i="99"/>
  <c r="AV277" i="99"/>
  <c r="AV278" i="99" s="1"/>
  <c r="AY125" i="99"/>
  <c r="AX160" i="99"/>
  <c r="AX161" i="99" s="1"/>
  <c r="AP110" i="110" s="1"/>
  <c r="AU238" i="99"/>
  <c r="AU239" i="99" s="1"/>
  <c r="AM59" i="110" s="1"/>
  <c r="AM60" i="110" s="1"/>
  <c r="AV203" i="99"/>
  <c r="P221" i="99"/>
  <c r="AF212" i="99"/>
  <c r="O212" i="99"/>
  <c r="P227" i="99"/>
  <c r="AW121" i="99"/>
  <c r="AW122" i="99" s="1"/>
  <c r="AO51" i="110" s="1"/>
  <c r="AO52" i="110" s="1"/>
  <c r="AJ328" i="119" s="1"/>
  <c r="AX86" i="99"/>
  <c r="Q223" i="99"/>
  <c r="AF231" i="99"/>
  <c r="AF234" i="99"/>
  <c r="AF206" i="99"/>
  <c r="N238" i="99"/>
  <c r="AF209" i="99"/>
  <c r="AE235" i="99"/>
  <c r="AE238" i="99" s="1"/>
  <c r="AE239" i="99" s="1"/>
  <c r="W59" i="110" s="1"/>
  <c r="W60" i="110" s="1"/>
  <c r="AL74" i="20"/>
  <c r="AL49" i="20"/>
  <c r="R210" i="99"/>
  <c r="AM118" i="110"/>
  <c r="AH27" i="119" s="1"/>
  <c r="AD26" i="138" s="1"/>
  <c r="AL46" i="20"/>
  <c r="AL71" i="20"/>
  <c r="P216" i="99"/>
  <c r="AF222" i="99"/>
  <c r="AF230" i="99"/>
  <c r="AI327" i="119"/>
  <c r="AN127" i="110"/>
  <c r="AF228" i="99"/>
  <c r="AF213" i="99"/>
  <c r="O213" i="99"/>
  <c r="AF233" i="99"/>
  <c r="Q214" i="99"/>
  <c r="AF226" i="99"/>
  <c r="P219" i="99"/>
  <c r="P229" i="99"/>
  <c r="Q233" i="99"/>
  <c r="AF221" i="99"/>
  <c r="P218" i="99"/>
  <c r="R225" i="99"/>
  <c r="Q222" i="99"/>
  <c r="S230" i="99"/>
  <c r="P231" i="99"/>
  <c r="AF210" i="99"/>
  <c r="AF207" i="99"/>
  <c r="AL65" i="20"/>
  <c r="AL59" i="20"/>
  <c r="AL39" i="20"/>
  <c r="Y271" i="119"/>
  <c r="O271" i="119"/>
  <c r="P270" i="119"/>
  <c r="Z270" i="119"/>
  <c r="W75" i="61"/>
  <c r="V24" i="59"/>
  <c r="V35" i="24" s="1"/>
  <c r="N11" i="116"/>
  <c r="N9" i="106"/>
  <c r="V74" i="61"/>
  <c r="AG73" i="61"/>
  <c r="AG75" i="61"/>
  <c r="X16" i="59"/>
  <c r="N12" i="116"/>
  <c r="N62" i="106"/>
  <c r="W17" i="59"/>
  <c r="W134" i="110"/>
  <c r="AH83" i="59"/>
  <c r="AA25" i="132"/>
  <c r="V24" i="101"/>
  <c r="AI120" i="59" s="1"/>
  <c r="AI121" i="59" s="1"/>
  <c r="U31" i="59"/>
  <c r="P269" i="119"/>
  <c r="V58" i="60"/>
  <c r="V56" i="60"/>
  <c r="V55" i="60"/>
  <c r="V87" i="59"/>
  <c r="Q43" i="119" s="1"/>
  <c r="Q97" i="119" s="1"/>
  <c r="V111" i="59"/>
  <c r="AH123" i="59"/>
  <c r="V25" i="101"/>
  <c r="AH76" i="59"/>
  <c r="AA23" i="132"/>
  <c r="AF24" i="59"/>
  <c r="AF35" i="24" s="1"/>
  <c r="Z180" i="119"/>
  <c r="P180" i="119"/>
  <c r="AF58" i="60"/>
  <c r="AF56" i="60"/>
  <c r="AF55" i="60"/>
  <c r="AF87" i="59"/>
  <c r="AA43" i="119" s="1"/>
  <c r="AA97" i="119" s="1"/>
  <c r="AF111" i="59"/>
  <c r="AF30" i="59"/>
  <c r="W63" i="106"/>
  <c r="AH16" i="59"/>
  <c r="X12" i="116"/>
  <c r="AA24" i="132"/>
  <c r="X62" i="106"/>
  <c r="W73" i="61"/>
  <c r="W72" i="61"/>
  <c r="U57" i="60"/>
  <c r="W84" i="59"/>
  <c r="W86" i="59"/>
  <c r="R42" i="119" s="1"/>
  <c r="AF74" i="61"/>
  <c r="AH87" i="62"/>
  <c r="M10" i="106"/>
  <c r="L57" i="106"/>
  <c r="L31" i="106"/>
  <c r="AG72" i="61"/>
  <c r="AE57" i="60"/>
  <c r="X87" i="62"/>
  <c r="V30" i="59"/>
  <c r="M63" i="106"/>
  <c r="L85" i="106"/>
  <c r="X124" i="110"/>
  <c r="AG86" i="59"/>
  <c r="AB42" i="119" s="1"/>
  <c r="AG84" i="59"/>
  <c r="W36" i="61"/>
  <c r="W10" i="106"/>
  <c r="X11" i="116"/>
  <c r="AA22" i="132"/>
  <c r="X9" i="106"/>
  <c r="AG15" i="61"/>
  <c r="AG17" i="59"/>
  <c r="AE31" i="59"/>
  <c r="Z269" i="119"/>
  <c r="AO81" i="20" l="1"/>
  <c r="AJ359" i="119" s="1"/>
  <c r="AO84" i="20"/>
  <c r="AO82" i="20"/>
  <c r="AJ360" i="119" s="1"/>
  <c r="AO78" i="20"/>
  <c r="AJ356" i="119" s="1"/>
  <c r="AO79" i="20"/>
  <c r="AJ357" i="119" s="1"/>
  <c r="AO85" i="20"/>
  <c r="AJ363" i="119" s="1"/>
  <c r="AO77" i="20"/>
  <c r="AJ355" i="119" s="1"/>
  <c r="AO83" i="20"/>
  <c r="AJ361" i="119" s="1"/>
  <c r="AO80" i="20"/>
  <c r="AJ358" i="119" s="1"/>
  <c r="AO76" i="20"/>
  <c r="AJ354" i="119" s="1"/>
  <c r="AO278" i="20"/>
  <c r="AO276" i="20"/>
  <c r="AO277" i="20"/>
  <c r="AO274" i="20"/>
  <c r="AO273" i="20"/>
  <c r="AO275" i="20"/>
  <c r="AJ362" i="119"/>
  <c r="S16" i="106"/>
  <c r="S18" i="106"/>
  <c r="I16" i="106"/>
  <c r="I18" i="106"/>
  <c r="AJ341" i="119"/>
  <c r="V34" i="106"/>
  <c r="L34" i="106"/>
  <c r="AJ342" i="119"/>
  <c r="AH28" i="132"/>
  <c r="AP112" i="110"/>
  <c r="AP114" i="110" s="1"/>
  <c r="AP113" i="110"/>
  <c r="AP116" i="110" s="1"/>
  <c r="AP115" i="110"/>
  <c r="X76" i="60"/>
  <c r="Z85" i="61" s="1"/>
  <c r="Z87" i="62" s="1"/>
  <c r="AG76" i="60"/>
  <c r="AI85" i="61" s="1"/>
  <c r="AI87" i="62" s="1"/>
  <c r="AG286" i="119"/>
  <c r="AC24" i="138"/>
  <c r="Q286" i="119"/>
  <c r="M24" i="138"/>
  <c r="AK287" i="119"/>
  <c r="AG27" i="138"/>
  <c r="AO29" i="20"/>
  <c r="AO18" i="20"/>
  <c r="AO31" i="20"/>
  <c r="AO23" i="20"/>
  <c r="AO33" i="20"/>
  <c r="AO53" i="20" s="1"/>
  <c r="AO25" i="20"/>
  <c r="AO70" i="20" s="1"/>
  <c r="AO26" i="20"/>
  <c r="AO32" i="20"/>
  <c r="AO17" i="20"/>
  <c r="AO28" i="20"/>
  <c r="AO73" i="20" s="1"/>
  <c r="AO20" i="20"/>
  <c r="AO40" i="20" s="1"/>
  <c r="AO21" i="20"/>
  <c r="AO22" i="20"/>
  <c r="AO19" i="20"/>
  <c r="AO30" i="20"/>
  <c r="AO50" i="20" s="1"/>
  <c r="AO24" i="20"/>
  <c r="AO44" i="20" s="1"/>
  <c r="AO34" i="20"/>
  <c r="AO35" i="20"/>
  <c r="AO55" i="20" s="1"/>
  <c r="AO27" i="20"/>
  <c r="AO47" i="20" s="1"/>
  <c r="AG340" i="119"/>
  <c r="AG59" i="119"/>
  <c r="AG339" i="119"/>
  <c r="AG60" i="119"/>
  <c r="AM89" i="20"/>
  <c r="AM92" i="20" s="1"/>
  <c r="AC42" i="123"/>
  <c r="AA25" i="138"/>
  <c r="L42" i="123"/>
  <c r="J25" i="138"/>
  <c r="W15" i="61"/>
  <c r="U35" i="60"/>
  <c r="P110" i="119" s="1"/>
  <c r="AG36" i="61"/>
  <c r="AE35" i="60"/>
  <c r="Z110" i="119" s="1"/>
  <c r="AZ40" i="61"/>
  <c r="AZ47" i="61" s="1"/>
  <c r="AS253" i="119" s="1"/>
  <c r="AF48" i="59"/>
  <c r="AF14" i="60" s="1"/>
  <c r="V48" i="59"/>
  <c r="V14" i="60" s="1"/>
  <c r="AN23" i="106"/>
  <c r="AZ19" i="61"/>
  <c r="AN25" i="106"/>
  <c r="H74" i="106"/>
  <c r="R27" i="60"/>
  <c r="F105" i="106"/>
  <c r="P69" i="59" s="1"/>
  <c r="O42" i="106"/>
  <c r="O46" i="106" s="1"/>
  <c r="Q42" i="106"/>
  <c r="G51" i="106"/>
  <c r="Q51" i="59" s="1"/>
  <c r="R42" i="106"/>
  <c r="P51" i="106"/>
  <c r="Z51" i="59" s="1"/>
  <c r="R74" i="106"/>
  <c r="AB27" i="60"/>
  <c r="O105" i="106"/>
  <c r="Y69" i="59" s="1"/>
  <c r="Q74" i="106"/>
  <c r="AA27" i="60"/>
  <c r="F51" i="106"/>
  <c r="P51" i="59" s="1"/>
  <c r="W66" i="106"/>
  <c r="H21" i="106"/>
  <c r="R16" i="60"/>
  <c r="H96" i="106"/>
  <c r="P105" i="106"/>
  <c r="Z69" i="59" s="1"/>
  <c r="W13" i="106"/>
  <c r="R21" i="106"/>
  <c r="AB16" i="60"/>
  <c r="H42" i="106"/>
  <c r="M66" i="106"/>
  <c r="Q21" i="106"/>
  <c r="AA16" i="60"/>
  <c r="R96" i="106"/>
  <c r="G105" i="106"/>
  <c r="Q69" i="59" s="1"/>
  <c r="M13" i="106"/>
  <c r="W28" i="59"/>
  <c r="AG28" i="59"/>
  <c r="W76" i="60"/>
  <c r="Y85" i="61" s="1"/>
  <c r="Y87" i="62" s="1"/>
  <c r="W111" i="106"/>
  <c r="AG66" i="59" s="1"/>
  <c r="AG25" i="60" s="1"/>
  <c r="M111" i="106"/>
  <c r="W66" i="59" s="1"/>
  <c r="W25" i="60" s="1"/>
  <c r="N65" i="106"/>
  <c r="W33" i="106"/>
  <c r="N12" i="106"/>
  <c r="W87" i="106"/>
  <c r="W88" i="106"/>
  <c r="X12" i="106"/>
  <c r="X65" i="106"/>
  <c r="M88" i="106"/>
  <c r="M87" i="106"/>
  <c r="G46" i="106"/>
  <c r="G44" i="106"/>
  <c r="G45" i="106"/>
  <c r="F46" i="106"/>
  <c r="F44" i="106"/>
  <c r="F45" i="106"/>
  <c r="M33" i="106"/>
  <c r="P46" i="106"/>
  <c r="P44" i="106"/>
  <c r="P45" i="106"/>
  <c r="AT81" i="94"/>
  <c r="AT83" i="94" s="1"/>
  <c r="K237" i="119"/>
  <c r="R40" i="106"/>
  <c r="H40" i="106"/>
  <c r="Q40" i="106"/>
  <c r="Q33" i="62"/>
  <c r="J217" i="119" s="1"/>
  <c r="L237" i="119"/>
  <c r="L165" i="119"/>
  <c r="U237" i="119"/>
  <c r="Q57" i="61"/>
  <c r="Q240" i="119"/>
  <c r="AH124" i="59"/>
  <c r="AC45" i="119" s="1"/>
  <c r="X126" i="59"/>
  <c r="AG126" i="59"/>
  <c r="AB240" i="119" s="1"/>
  <c r="W126" i="59"/>
  <c r="R240" i="119" s="1"/>
  <c r="P37" i="60"/>
  <c r="Q58" i="61"/>
  <c r="O65" i="60"/>
  <c r="O48" i="60"/>
  <c r="O105" i="59"/>
  <c r="O50" i="60"/>
  <c r="J41" i="119"/>
  <c r="J95" i="119" s="1"/>
  <c r="J182" i="119" s="1"/>
  <c r="O94" i="59"/>
  <c r="Q60" i="61"/>
  <c r="O67" i="60"/>
  <c r="O64" i="60"/>
  <c r="S168" i="119"/>
  <c r="R168" i="119"/>
  <c r="AB168" i="119"/>
  <c r="AT85" i="94"/>
  <c r="Q37" i="60"/>
  <c r="F72" i="106"/>
  <c r="F73" i="106" s="1"/>
  <c r="G94" i="106"/>
  <c r="R94" i="106"/>
  <c r="G72" i="106"/>
  <c r="G73" i="106" s="1"/>
  <c r="R104" i="106"/>
  <c r="O94" i="106"/>
  <c r="Q50" i="106"/>
  <c r="R50" i="106"/>
  <c r="F94" i="106"/>
  <c r="T237" i="119"/>
  <c r="Q104" i="106"/>
  <c r="H104" i="106"/>
  <c r="P94" i="106"/>
  <c r="Q94" i="106"/>
  <c r="U165" i="119"/>
  <c r="Z37" i="60"/>
  <c r="H50" i="106"/>
  <c r="F19" i="106"/>
  <c r="F20" i="106" s="1"/>
  <c r="S69" i="106"/>
  <c r="S71" i="106" s="1"/>
  <c r="I69" i="106"/>
  <c r="I71" i="106" s="1"/>
  <c r="W38" i="106"/>
  <c r="K10" i="120"/>
  <c r="K21" i="120" s="1"/>
  <c r="M92" i="106"/>
  <c r="G19" i="106"/>
  <c r="G20" i="106" s="1"/>
  <c r="M38" i="106"/>
  <c r="W92" i="106"/>
  <c r="L13" i="120"/>
  <c r="K376" i="119"/>
  <c r="L372" i="119"/>
  <c r="M56" i="94"/>
  <c r="U380" i="119"/>
  <c r="T381" i="119"/>
  <c r="T417" i="119" s="1"/>
  <c r="H42" i="92" s="1"/>
  <c r="K373" i="119"/>
  <c r="K378" i="119"/>
  <c r="V380" i="119"/>
  <c r="L379" i="119"/>
  <c r="U374" i="119"/>
  <c r="T374" i="119"/>
  <c r="K380" i="119"/>
  <c r="K375" i="119"/>
  <c r="V373" i="119"/>
  <c r="L380" i="119"/>
  <c r="U372" i="119"/>
  <c r="V56" i="94"/>
  <c r="U376" i="119"/>
  <c r="T376" i="119"/>
  <c r="K374" i="119"/>
  <c r="L80" i="94"/>
  <c r="K382" i="119"/>
  <c r="K418" i="119" s="1"/>
  <c r="V376" i="119"/>
  <c r="V372" i="119"/>
  <c r="W56" i="94"/>
  <c r="L378" i="119"/>
  <c r="U382" i="119"/>
  <c r="V80" i="94"/>
  <c r="U375" i="119"/>
  <c r="T373" i="119"/>
  <c r="V379" i="119"/>
  <c r="K381" i="119"/>
  <c r="K417" i="119" s="1"/>
  <c r="W80" i="94"/>
  <c r="V382" i="119"/>
  <c r="V381" i="119"/>
  <c r="V417" i="119" s="1"/>
  <c r="L374" i="119"/>
  <c r="U379" i="119"/>
  <c r="U373" i="119"/>
  <c r="T375" i="119"/>
  <c r="V378" i="119"/>
  <c r="V374" i="119"/>
  <c r="L376" i="119"/>
  <c r="T380" i="119"/>
  <c r="M377" i="119"/>
  <c r="K379" i="119"/>
  <c r="V375" i="119"/>
  <c r="L381" i="119"/>
  <c r="L417" i="119" s="1"/>
  <c r="G42" i="92" s="1"/>
  <c r="L373" i="119"/>
  <c r="U381" i="119"/>
  <c r="U417" i="119" s="1"/>
  <c r="T379" i="119"/>
  <c r="T382" i="119"/>
  <c r="U80" i="94"/>
  <c r="W377" i="119"/>
  <c r="AT78" i="94"/>
  <c r="AT79" i="94"/>
  <c r="AX113" i="59" s="1"/>
  <c r="K372" i="119"/>
  <c r="L56" i="94"/>
  <c r="L382" i="119"/>
  <c r="L418" i="119" s="1"/>
  <c r="G43" i="92" s="1"/>
  <c r="M80" i="94"/>
  <c r="L375" i="119"/>
  <c r="U378" i="119"/>
  <c r="T378" i="119"/>
  <c r="T372" i="119"/>
  <c r="U56" i="94"/>
  <c r="AH25" i="119"/>
  <c r="W86" i="62"/>
  <c r="R25" i="119"/>
  <c r="AG86" i="62"/>
  <c r="T11" i="120"/>
  <c r="O237" i="99"/>
  <c r="AG237" i="99" s="1"/>
  <c r="AG236" i="99"/>
  <c r="AG223" i="99"/>
  <c r="AG221" i="99"/>
  <c r="AG206" i="99"/>
  <c r="R96" i="119"/>
  <c r="S99" i="119"/>
  <c r="AB99" i="119"/>
  <c r="AB96" i="119"/>
  <c r="R99" i="119"/>
  <c r="Q98" i="119"/>
  <c r="AG205" i="99"/>
  <c r="AA98" i="119"/>
  <c r="R44" i="119"/>
  <c r="W75" i="60"/>
  <c r="S44" i="119"/>
  <c r="X75" i="60"/>
  <c r="T46" i="119"/>
  <c r="T418" i="119" s="1"/>
  <c r="H43" i="92" s="1"/>
  <c r="Q115" i="119"/>
  <c r="Q416" i="119" s="1"/>
  <c r="X84" i="61"/>
  <c r="AG75" i="60"/>
  <c r="AB44" i="119"/>
  <c r="AA115" i="119"/>
  <c r="AA416" i="119" s="1"/>
  <c r="AH84" i="61"/>
  <c r="H6" i="132"/>
  <c r="K10" i="122" s="1"/>
  <c r="L10" i="120"/>
  <c r="X86" i="59"/>
  <c r="AG26" i="132"/>
  <c r="AG27" i="132"/>
  <c r="L5" i="132"/>
  <c r="O9" i="122" s="1"/>
  <c r="L29" i="132"/>
  <c r="L30" i="132"/>
  <c r="V5" i="132"/>
  <c r="Y9" i="122" s="1"/>
  <c r="V29" i="132"/>
  <c r="V30" i="132"/>
  <c r="AA12" i="132"/>
  <c r="AD16" i="122" s="1"/>
  <c r="AD50" i="122" s="1"/>
  <c r="AA11" i="132"/>
  <c r="AD15" i="122" s="1"/>
  <c r="AD49" i="122" s="1"/>
  <c r="AA17" i="132"/>
  <c r="AD26" i="122" s="1"/>
  <c r="AD55" i="122" s="1"/>
  <c r="AG18" i="132"/>
  <c r="AJ27" i="122" s="1"/>
  <c r="AJ56" i="122" s="1"/>
  <c r="AG16" i="132"/>
  <c r="AJ25" i="122" s="1"/>
  <c r="AJ54" i="122" s="1"/>
  <c r="AG14" i="132"/>
  <c r="AJ18" i="122" s="1"/>
  <c r="AJ52" i="122" s="1"/>
  <c r="AG13" i="132"/>
  <c r="AJ17" i="122" s="1"/>
  <c r="AJ51" i="122" s="1"/>
  <c r="AA15" i="132"/>
  <c r="AD24" i="122" s="1"/>
  <c r="AD53" i="122" s="1"/>
  <c r="AA9" i="132"/>
  <c r="AD13" i="122" s="1"/>
  <c r="AD47" i="122" s="1"/>
  <c r="AA10" i="132"/>
  <c r="AD14" i="122" s="1"/>
  <c r="AD48" i="122" s="1"/>
  <c r="AA8" i="132"/>
  <c r="AD12" i="122" s="1"/>
  <c r="W85" i="106"/>
  <c r="M85" i="106"/>
  <c r="J68" i="106"/>
  <c r="J15" i="106"/>
  <c r="J90" i="106"/>
  <c r="J91" i="106" s="1"/>
  <c r="J93" i="106" s="1"/>
  <c r="J36" i="106"/>
  <c r="J37" i="106" s="1"/>
  <c r="J39" i="106" s="1"/>
  <c r="H63" i="82"/>
  <c r="T15" i="106"/>
  <c r="T68" i="106"/>
  <c r="T90" i="106"/>
  <c r="T91" i="106" s="1"/>
  <c r="T93" i="106" s="1"/>
  <c r="T36" i="106"/>
  <c r="T37" i="106" s="1"/>
  <c r="T39" i="106" s="1"/>
  <c r="R63" i="82"/>
  <c r="U11" i="120"/>
  <c r="M106" i="131"/>
  <c r="N416" i="119"/>
  <c r="W31" i="106"/>
  <c r="M31" i="106"/>
  <c r="M57" i="106"/>
  <c r="W57" i="106"/>
  <c r="O50" i="106"/>
  <c r="X17" i="106"/>
  <c r="X84" i="106"/>
  <c r="X70" i="106"/>
  <c r="N17" i="106"/>
  <c r="N84" i="106"/>
  <c r="N70" i="106"/>
  <c r="AH321" i="119"/>
  <c r="AG211" i="99"/>
  <c r="AG218" i="99"/>
  <c r="AG216" i="99"/>
  <c r="AG215" i="99"/>
  <c r="AH324" i="119"/>
  <c r="AG230" i="99"/>
  <c r="AG219" i="99"/>
  <c r="AG222" i="99"/>
  <c r="AG227" i="99"/>
  <c r="AG214" i="99"/>
  <c r="AG234" i="99"/>
  <c r="AG203" i="99"/>
  <c r="AG232" i="99"/>
  <c r="AG231" i="99"/>
  <c r="Q231" i="99"/>
  <c r="R223" i="99"/>
  <c r="Q209" i="99"/>
  <c r="AK63" i="20"/>
  <c r="AF26" i="119" s="1"/>
  <c r="AF338" i="119"/>
  <c r="S205" i="99"/>
  <c r="AI24" i="119"/>
  <c r="AE23" i="138" s="1"/>
  <c r="AI329" i="119"/>
  <c r="AN68" i="20"/>
  <c r="AN57" i="20"/>
  <c r="AN88" i="20" s="1"/>
  <c r="AM49" i="20"/>
  <c r="AM74" i="20"/>
  <c r="R222" i="99"/>
  <c r="R233" i="99"/>
  <c r="S210" i="99"/>
  <c r="Q221" i="99"/>
  <c r="AY160" i="99"/>
  <c r="AY161" i="99" s="1"/>
  <c r="AQ110" i="110" s="1"/>
  <c r="AZ125" i="99"/>
  <c r="AL69" i="20"/>
  <c r="AG322" i="119"/>
  <c r="R215" i="99"/>
  <c r="AJ327" i="119"/>
  <c r="AO127" i="110"/>
  <c r="AM46" i="20"/>
  <c r="AM71" i="20"/>
  <c r="R211" i="99"/>
  <c r="Q232" i="99"/>
  <c r="Q219" i="99"/>
  <c r="Q216" i="99"/>
  <c r="Q227" i="99"/>
  <c r="R224" i="99"/>
  <c r="Q220" i="99"/>
  <c r="Q218" i="99"/>
  <c r="Q229" i="99"/>
  <c r="P213" i="99"/>
  <c r="AG213" i="99"/>
  <c r="AL72" i="20"/>
  <c r="AG323" i="119"/>
  <c r="AX121" i="99"/>
  <c r="AX122" i="99" s="1"/>
  <c r="AP51" i="110" s="1"/>
  <c r="AP52" i="110" s="1"/>
  <c r="AK328" i="119" s="1"/>
  <c r="AY86" i="99"/>
  <c r="P212" i="99"/>
  <c r="AG212" i="99"/>
  <c r="AV238" i="99"/>
  <c r="AV239" i="99" s="1"/>
  <c r="AN59" i="110" s="1"/>
  <c r="AN60" i="110" s="1"/>
  <c r="AW203" i="99"/>
  <c r="AW277" i="99"/>
  <c r="AW278" i="99" s="1"/>
  <c r="AX242" i="99"/>
  <c r="AG226" i="99"/>
  <c r="AM65" i="20"/>
  <c r="AM39" i="20"/>
  <c r="AM59" i="20"/>
  <c r="AG228" i="99"/>
  <c r="AY199" i="99"/>
  <c r="AY200" i="99" s="1"/>
  <c r="AQ55" i="110" s="1"/>
  <c r="AQ56" i="110" s="1"/>
  <c r="AL28" i="119" s="1"/>
  <c r="AZ164" i="99"/>
  <c r="AN118" i="110"/>
  <c r="AI27" i="119" s="1"/>
  <c r="AE26" i="138" s="1"/>
  <c r="S234" i="99"/>
  <c r="AG208" i="99"/>
  <c r="P208" i="99"/>
  <c r="P236" i="99" s="1"/>
  <c r="AJ326" i="119"/>
  <c r="AO126" i="110"/>
  <c r="AG225" i="99"/>
  <c r="AG217" i="99"/>
  <c r="Q203" i="99"/>
  <c r="AF235" i="99"/>
  <c r="AF238" i="99" s="1"/>
  <c r="AF239" i="99" s="1"/>
  <c r="X59" i="110" s="1"/>
  <c r="X60" i="110" s="1"/>
  <c r="AN43" i="20"/>
  <c r="AI325" i="119"/>
  <c r="AM91" i="20"/>
  <c r="AO37" i="20"/>
  <c r="AO45" i="20"/>
  <c r="AO54" i="20"/>
  <c r="AO38" i="20"/>
  <c r="AO51" i="20"/>
  <c r="AO41" i="20"/>
  <c r="AO42" i="20"/>
  <c r="AO48" i="20"/>
  <c r="AG320" i="119"/>
  <c r="AL66" i="20"/>
  <c r="AL60" i="20"/>
  <c r="AN52" i="20"/>
  <c r="AL62" i="20"/>
  <c r="AG337" i="119"/>
  <c r="S225" i="99"/>
  <c r="AG229" i="99"/>
  <c r="R214" i="99"/>
  <c r="Q226" i="99"/>
  <c r="Q228" i="99"/>
  <c r="AG220" i="99"/>
  <c r="AG209" i="99"/>
  <c r="Q235" i="99"/>
  <c r="AY8" i="99"/>
  <c r="AX43" i="99"/>
  <c r="AX44" i="99" s="1"/>
  <c r="AP15" i="20" s="1"/>
  <c r="AG224" i="99"/>
  <c r="AG210" i="99"/>
  <c r="AG207" i="99"/>
  <c r="O238" i="99"/>
  <c r="AW82" i="99"/>
  <c r="AW83" i="99" s="1"/>
  <c r="AO47" i="110" s="1"/>
  <c r="AO48" i="110" s="1"/>
  <c r="AX47" i="99"/>
  <c r="AN67" i="20"/>
  <c r="AN58" i="20"/>
  <c r="AG204" i="99"/>
  <c r="P204" i="99"/>
  <c r="AG233" i="99"/>
  <c r="Q270" i="119"/>
  <c r="AA270" i="119"/>
  <c r="Z271" i="119"/>
  <c r="P271" i="119"/>
  <c r="X36" i="61"/>
  <c r="AF31" i="59"/>
  <c r="AA269" i="119"/>
  <c r="Y11" i="116"/>
  <c r="AB22" i="132"/>
  <c r="Y9" i="106"/>
  <c r="X134" i="110"/>
  <c r="W58" i="60"/>
  <c r="W56" i="60"/>
  <c r="W55" i="60"/>
  <c r="W87" i="59"/>
  <c r="R43" i="119" s="1"/>
  <c r="R97" i="119" s="1"/>
  <c r="W111" i="59"/>
  <c r="AI16" i="59"/>
  <c r="Y12" i="116"/>
  <c r="AB24" i="132"/>
  <c r="Y62" i="106"/>
  <c r="AH17" i="59"/>
  <c r="AH73" i="61"/>
  <c r="AH75" i="61"/>
  <c r="AI76" i="59"/>
  <c r="AB23" i="132"/>
  <c r="AI123" i="59"/>
  <c r="W25" i="101"/>
  <c r="X73" i="61"/>
  <c r="X75" i="61"/>
  <c r="AH86" i="59"/>
  <c r="AC42" i="119" s="1"/>
  <c r="AH84" i="59"/>
  <c r="V31" i="59"/>
  <c r="Q269" i="119"/>
  <c r="AG30" i="59"/>
  <c r="AH36" i="61"/>
  <c r="X10" i="106"/>
  <c r="AG58" i="60"/>
  <c r="AG56" i="60"/>
  <c r="AG55" i="60"/>
  <c r="AG87" i="59"/>
  <c r="AB43" i="119" s="1"/>
  <c r="AB97" i="119" s="1"/>
  <c r="AG111" i="59"/>
  <c r="Y124" i="110"/>
  <c r="AG74" i="61"/>
  <c r="Y255" i="119"/>
  <c r="W74" i="61"/>
  <c r="X63" i="106"/>
  <c r="AH72" i="61"/>
  <c r="AF57" i="60"/>
  <c r="AG24" i="59"/>
  <c r="AG35" i="24" s="1"/>
  <c r="AA180" i="119"/>
  <c r="X72" i="61"/>
  <c r="V57" i="60"/>
  <c r="W24" i="101"/>
  <c r="AJ120" i="59" s="1"/>
  <c r="AJ121" i="59" s="1"/>
  <c r="AI83" i="59"/>
  <c r="AB25" i="132"/>
  <c r="W30" i="59"/>
  <c r="N63" i="106"/>
  <c r="X17" i="59"/>
  <c r="O255" i="119"/>
  <c r="W24" i="59"/>
  <c r="W35" i="24" s="1"/>
  <c r="N10" i="106"/>
  <c r="Q180" i="119"/>
  <c r="X58" i="60"/>
  <c r="X56" i="60"/>
  <c r="X55" i="60"/>
  <c r="X111" i="59"/>
  <c r="AP80" i="20" l="1"/>
  <c r="AP85" i="20"/>
  <c r="AK363" i="119" s="1"/>
  <c r="AP77" i="20"/>
  <c r="AK355" i="119" s="1"/>
  <c r="AP76" i="20"/>
  <c r="AK354" i="119" s="1"/>
  <c r="AP78" i="20"/>
  <c r="AK356" i="119" s="1"/>
  <c r="AP81" i="20"/>
  <c r="AK359" i="119" s="1"/>
  <c r="AP79" i="20"/>
  <c r="AK357" i="119" s="1"/>
  <c r="AP83" i="20"/>
  <c r="AK361" i="119" s="1"/>
  <c r="AP84" i="20"/>
  <c r="AK362" i="119" s="1"/>
  <c r="AP82" i="20"/>
  <c r="AK360" i="119" s="1"/>
  <c r="AP273" i="20"/>
  <c r="AP278" i="20"/>
  <c r="AP274" i="20"/>
  <c r="AP277" i="20"/>
  <c r="AP276" i="20"/>
  <c r="AP275" i="20"/>
  <c r="AK358" i="119"/>
  <c r="T16" i="106"/>
  <c r="T18" i="106"/>
  <c r="J16" i="106"/>
  <c r="J18" i="106"/>
  <c r="AK342" i="119"/>
  <c r="AK341" i="119"/>
  <c r="W34" i="106"/>
  <c r="M34" i="106"/>
  <c r="AI28" i="132"/>
  <c r="AQ112" i="110"/>
  <c r="AQ114" i="110" s="1"/>
  <c r="AQ113" i="110"/>
  <c r="AQ116" i="110" s="1"/>
  <c r="AQ115" i="110"/>
  <c r="AH76" i="60"/>
  <c r="AJ85" i="61" s="1"/>
  <c r="AJ87" i="62" s="1"/>
  <c r="AP26" i="20"/>
  <c r="AP21" i="20"/>
  <c r="AP32" i="20"/>
  <c r="AP28" i="20"/>
  <c r="AP73" i="20" s="1"/>
  <c r="AP34" i="20"/>
  <c r="AP19" i="20"/>
  <c r="AP18" i="20"/>
  <c r="AP24" i="20"/>
  <c r="AP44" i="20" s="1"/>
  <c r="AP25" i="20"/>
  <c r="AP70" i="20" s="1"/>
  <c r="AP31" i="20"/>
  <c r="AP35" i="20"/>
  <c r="AP55" i="20" s="1"/>
  <c r="AP30" i="20"/>
  <c r="AP50" i="20" s="1"/>
  <c r="AP33" i="20"/>
  <c r="AP53" i="20" s="1"/>
  <c r="AP22" i="20"/>
  <c r="AP29" i="20"/>
  <c r="AP27" i="20"/>
  <c r="AP47" i="20" s="1"/>
  <c r="AP17" i="20"/>
  <c r="AP20" i="20"/>
  <c r="AP40" i="20" s="1"/>
  <c r="AP23" i="20"/>
  <c r="AL287" i="119"/>
  <c r="AH27" i="138"/>
  <c r="R286" i="119"/>
  <c r="N24" i="138"/>
  <c r="AH286" i="119"/>
  <c r="AD24" i="138"/>
  <c r="AH340" i="119"/>
  <c r="AH59" i="119"/>
  <c r="AN89" i="20"/>
  <c r="AN92" i="20" s="1"/>
  <c r="AD42" i="123"/>
  <c r="AB25" i="138"/>
  <c r="X15" i="61"/>
  <c r="V35" i="60"/>
  <c r="Q110" i="119" s="1"/>
  <c r="AF35" i="60"/>
  <c r="AA110" i="119" s="1"/>
  <c r="AH15" i="61"/>
  <c r="AG48" i="59"/>
  <c r="AG14" i="60" s="1"/>
  <c r="W48" i="59"/>
  <c r="W14" i="60" s="1"/>
  <c r="O45" i="106"/>
  <c r="O44" i="106"/>
  <c r="W237" i="119"/>
  <c r="O51" i="106"/>
  <c r="Y51" i="59" s="1"/>
  <c r="I21" i="106"/>
  <c r="S16" i="60"/>
  <c r="H51" i="106"/>
  <c r="R51" i="59" s="1"/>
  <c r="I42" i="106"/>
  <c r="R51" i="106"/>
  <c r="AB51" i="59" s="1"/>
  <c r="N13" i="106"/>
  <c r="I74" i="106"/>
  <c r="S27" i="60"/>
  <c r="Q51" i="106"/>
  <c r="AA51" i="59" s="1"/>
  <c r="I96" i="106"/>
  <c r="N66" i="106"/>
  <c r="S96" i="106"/>
  <c r="R105" i="106"/>
  <c r="AB69" i="59" s="1"/>
  <c r="S74" i="106"/>
  <c r="AC27" i="60"/>
  <c r="H105" i="106"/>
  <c r="R69" i="59" s="1"/>
  <c r="X66" i="106"/>
  <c r="S42" i="106"/>
  <c r="Q105" i="106"/>
  <c r="AA69" i="59" s="1"/>
  <c r="X13" i="106"/>
  <c r="S21" i="106"/>
  <c r="AC16" i="60"/>
  <c r="G106" i="106"/>
  <c r="F106" i="106"/>
  <c r="AH28" i="59"/>
  <c r="X28" i="59"/>
  <c r="N111" i="106"/>
  <c r="X66" i="59" s="1"/>
  <c r="X25" i="60" s="1"/>
  <c r="X111" i="106"/>
  <c r="AH66" i="59" s="1"/>
  <c r="AH25" i="60" s="1"/>
  <c r="G98" i="106"/>
  <c r="G100" i="106"/>
  <c r="G99" i="106"/>
  <c r="F98" i="106"/>
  <c r="F100" i="106"/>
  <c r="F99" i="106"/>
  <c r="Q100" i="106"/>
  <c r="Q98" i="106"/>
  <c r="Q99" i="106"/>
  <c r="P100" i="106"/>
  <c r="P98" i="106"/>
  <c r="P99" i="106"/>
  <c r="O98" i="106"/>
  <c r="O100" i="106"/>
  <c r="O99" i="106"/>
  <c r="R100" i="106"/>
  <c r="R99" i="106"/>
  <c r="R98" i="106"/>
  <c r="R45" i="106"/>
  <c r="R46" i="106"/>
  <c r="R44" i="106"/>
  <c r="Q46" i="106"/>
  <c r="Q44" i="106"/>
  <c r="Q45" i="106"/>
  <c r="X87" i="106"/>
  <c r="X88" i="106"/>
  <c r="H46" i="106"/>
  <c r="H44" i="106"/>
  <c r="H45" i="106"/>
  <c r="N33" i="106"/>
  <c r="X33" i="106"/>
  <c r="Y12" i="106"/>
  <c r="Y65" i="106"/>
  <c r="N88" i="106"/>
  <c r="N87" i="106"/>
  <c r="S50" i="106"/>
  <c r="Q59" i="61"/>
  <c r="L113" i="119"/>
  <c r="S40" i="106"/>
  <c r="V237" i="119"/>
  <c r="W165" i="119"/>
  <c r="I40" i="106"/>
  <c r="K113" i="119"/>
  <c r="M165" i="119"/>
  <c r="V165" i="119"/>
  <c r="U113" i="119"/>
  <c r="O68" i="60"/>
  <c r="AI124" i="59"/>
  <c r="AD45" i="119" s="1"/>
  <c r="AH126" i="59"/>
  <c r="AC240" i="119" s="1"/>
  <c r="R37" i="60"/>
  <c r="M237" i="119"/>
  <c r="O66" i="60"/>
  <c r="AC168" i="119"/>
  <c r="S240" i="119"/>
  <c r="W57" i="60"/>
  <c r="H94" i="106"/>
  <c r="L54" i="120"/>
  <c r="L51" i="120"/>
  <c r="L21" i="120"/>
  <c r="AB37" i="60"/>
  <c r="V11" i="120"/>
  <c r="M108" i="131"/>
  <c r="K51" i="120"/>
  <c r="F52" i="106"/>
  <c r="H72" i="106"/>
  <c r="H73" i="106" s="1"/>
  <c r="L9" i="120"/>
  <c r="G52" i="106"/>
  <c r="S104" i="106"/>
  <c r="W77" i="94"/>
  <c r="K20" i="120"/>
  <c r="V9" i="120"/>
  <c r="AA37" i="60"/>
  <c r="I104" i="106"/>
  <c r="I50" i="106"/>
  <c r="L75" i="94"/>
  <c r="T69" i="106"/>
  <c r="T71" i="106" s="1"/>
  <c r="J69" i="106"/>
  <c r="J71" i="106" s="1"/>
  <c r="X38" i="106"/>
  <c r="N38" i="106"/>
  <c r="N92" i="106"/>
  <c r="L108" i="131"/>
  <c r="K13" i="120"/>
  <c r="K24" i="120" s="1"/>
  <c r="L24" i="120" s="1"/>
  <c r="O72" i="106"/>
  <c r="O73" i="106" s="1"/>
  <c r="X92" i="106"/>
  <c r="H19" i="106"/>
  <c r="H20" i="106" s="1"/>
  <c r="W76" i="94"/>
  <c r="M75" i="94"/>
  <c r="N377" i="119"/>
  <c r="U76" i="94"/>
  <c r="X80" i="94"/>
  <c r="W382" i="119"/>
  <c r="W374" i="119"/>
  <c r="M378" i="119"/>
  <c r="V77" i="94"/>
  <c r="V75" i="94"/>
  <c r="U77" i="94"/>
  <c r="U75" i="94"/>
  <c r="W95" i="94"/>
  <c r="W58" i="94"/>
  <c r="W57" i="94"/>
  <c r="W380" i="119"/>
  <c r="M381" i="119"/>
  <c r="M417" i="119" s="1"/>
  <c r="L57" i="94"/>
  <c r="L58" i="94"/>
  <c r="L95" i="94"/>
  <c r="W379" i="119"/>
  <c r="M77" i="94"/>
  <c r="M380" i="119"/>
  <c r="W372" i="119"/>
  <c r="X56" i="94"/>
  <c r="L76" i="94"/>
  <c r="W376" i="119"/>
  <c r="W75" i="94"/>
  <c r="M58" i="94"/>
  <c r="M57" i="94"/>
  <c r="M95" i="94"/>
  <c r="W378" i="119"/>
  <c r="M372" i="119"/>
  <c r="N56" i="94"/>
  <c r="M374" i="119"/>
  <c r="X377" i="119"/>
  <c r="AX59" i="60"/>
  <c r="AX114" i="59"/>
  <c r="M373" i="119"/>
  <c r="M376" i="119"/>
  <c r="AT82" i="94"/>
  <c r="AZ18" i="62" s="1"/>
  <c r="AT87" i="94"/>
  <c r="AT102" i="94" s="1"/>
  <c r="AZ38" i="62"/>
  <c r="AZ45" i="62" s="1"/>
  <c r="L77" i="94"/>
  <c r="M76" i="94"/>
  <c r="W373" i="119"/>
  <c r="N80" i="94"/>
  <c r="M382" i="119"/>
  <c r="M418" i="119" s="1"/>
  <c r="M375" i="119"/>
  <c r="V57" i="94"/>
  <c r="V95" i="94"/>
  <c r="V58" i="94"/>
  <c r="U58" i="94"/>
  <c r="U57" i="94"/>
  <c r="U95" i="94"/>
  <c r="U101" i="94" s="1"/>
  <c r="W381" i="119"/>
  <c r="W417" i="119" s="1"/>
  <c r="W375" i="119"/>
  <c r="V76" i="94"/>
  <c r="M379" i="119"/>
  <c r="X86" i="62"/>
  <c r="S25" i="119"/>
  <c r="AH86" i="62"/>
  <c r="AI25" i="119"/>
  <c r="P237" i="99"/>
  <c r="AH237" i="99" s="1"/>
  <c r="AH236" i="99"/>
  <c r="S63" i="82"/>
  <c r="AC96" i="119"/>
  <c r="AC99" i="119"/>
  <c r="AB98" i="119"/>
  <c r="AH339" i="119"/>
  <c r="AH60" i="119"/>
  <c r="R98" i="119"/>
  <c r="AH216" i="99"/>
  <c r="S98" i="119"/>
  <c r="U46" i="119"/>
  <c r="R115" i="119"/>
  <c r="R416" i="119" s="1"/>
  <c r="Y84" i="61"/>
  <c r="AC44" i="119"/>
  <c r="AH75" i="60"/>
  <c r="S115" i="119"/>
  <c r="S416" i="119" s="1"/>
  <c r="Z84" i="61"/>
  <c r="AB115" i="119"/>
  <c r="AB416" i="119" s="1"/>
  <c r="AI84" i="61"/>
  <c r="X87" i="59"/>
  <c r="S43" i="119" s="1"/>
  <c r="S97" i="119" s="1"/>
  <c r="S42" i="119"/>
  <c r="U9" i="120"/>
  <c r="L11" i="120"/>
  <c r="AH26" i="132"/>
  <c r="AH27" i="132"/>
  <c r="W5" i="132"/>
  <c r="Z9" i="122" s="1"/>
  <c r="W30" i="132"/>
  <c r="W29" i="132"/>
  <c r="M5" i="132"/>
  <c r="P9" i="122" s="1"/>
  <c r="M30" i="132"/>
  <c r="M29" i="132"/>
  <c r="AB17" i="132"/>
  <c r="AE26" i="122" s="1"/>
  <c r="AE55" i="122" s="1"/>
  <c r="AB11" i="132"/>
  <c r="AE15" i="122" s="1"/>
  <c r="AE49" i="122" s="1"/>
  <c r="AB12" i="132"/>
  <c r="AE16" i="122" s="1"/>
  <c r="AE50" i="122" s="1"/>
  <c r="AH18" i="132"/>
  <c r="AK27" i="122" s="1"/>
  <c r="AK56" i="122" s="1"/>
  <c r="AH16" i="132"/>
  <c r="AK25" i="122" s="1"/>
  <c r="AK54" i="122" s="1"/>
  <c r="AH13" i="132"/>
  <c r="AK17" i="122" s="1"/>
  <c r="AK51" i="122" s="1"/>
  <c r="AH14" i="132"/>
  <c r="AK18" i="122" s="1"/>
  <c r="AK52" i="122" s="1"/>
  <c r="W11" i="120"/>
  <c r="AB15" i="132"/>
  <c r="AE24" i="122" s="1"/>
  <c r="AE53" i="122" s="1"/>
  <c r="AB8" i="132"/>
  <c r="AE12" i="122" s="1"/>
  <c r="AB9" i="132"/>
  <c r="AE13" i="122" s="1"/>
  <c r="AE47" i="122" s="1"/>
  <c r="AB10" i="132"/>
  <c r="AE14" i="122" s="1"/>
  <c r="AE48" i="122" s="1"/>
  <c r="X31" i="106"/>
  <c r="X57" i="106"/>
  <c r="I63" i="82"/>
  <c r="U15" i="106"/>
  <c r="U68" i="106"/>
  <c r="U90" i="106"/>
  <c r="U91" i="106" s="1"/>
  <c r="U93" i="106" s="1"/>
  <c r="U36" i="106"/>
  <c r="U37" i="106" s="1"/>
  <c r="U39" i="106" s="1"/>
  <c r="K68" i="106"/>
  <c r="K15" i="106"/>
  <c r="K90" i="106"/>
  <c r="K91" i="106" s="1"/>
  <c r="K93" i="106" s="1"/>
  <c r="K36" i="106"/>
  <c r="K37" i="106" s="1"/>
  <c r="K39" i="106" s="1"/>
  <c r="N31" i="106"/>
  <c r="N85" i="106"/>
  <c r="N57" i="106"/>
  <c r="X85" i="106"/>
  <c r="Y37" i="60"/>
  <c r="T165" i="119"/>
  <c r="Y84" i="106"/>
  <c r="Y70" i="106"/>
  <c r="Y17" i="106"/>
  <c r="AO118" i="110"/>
  <c r="AJ27" i="119" s="1"/>
  <c r="AF26" i="138" s="1"/>
  <c r="AI324" i="119"/>
  <c r="AH224" i="99"/>
  <c r="AJ325" i="119"/>
  <c r="AH234" i="99"/>
  <c r="AH228" i="99"/>
  <c r="AH226" i="99"/>
  <c r="AH207" i="99"/>
  <c r="AX82" i="99"/>
  <c r="AX83" i="99" s="1"/>
  <c r="AP47" i="110" s="1"/>
  <c r="AP48" i="110" s="1"/>
  <c r="AY47" i="99"/>
  <c r="R221" i="99"/>
  <c r="R231" i="99"/>
  <c r="AJ24" i="119"/>
  <c r="AF23" i="138" s="1"/>
  <c r="AJ329" i="119"/>
  <c r="AH322" i="119"/>
  <c r="AM69" i="20"/>
  <c r="AP54" i="20"/>
  <c r="AP38" i="20"/>
  <c r="AP51" i="20"/>
  <c r="AP37" i="20"/>
  <c r="AP41" i="20"/>
  <c r="AP45" i="20"/>
  <c r="AP42" i="20"/>
  <c r="AP48" i="20"/>
  <c r="AM60" i="20"/>
  <c r="AM66" i="20"/>
  <c r="AH320" i="119"/>
  <c r="AO68" i="20"/>
  <c r="AO57" i="20"/>
  <c r="AO43" i="20"/>
  <c r="AO52" i="20"/>
  <c r="AK326" i="119"/>
  <c r="AP126" i="110"/>
  <c r="AN74" i="20"/>
  <c r="AN49" i="20"/>
  <c r="AH210" i="99"/>
  <c r="AH230" i="99"/>
  <c r="P238" i="99"/>
  <c r="AZ199" i="99"/>
  <c r="AZ200" i="99" s="1"/>
  <c r="AR55" i="110" s="1"/>
  <c r="AR56" i="110" s="1"/>
  <c r="AM28" i="119" s="1"/>
  <c r="BA164" i="99"/>
  <c r="AH212" i="99"/>
  <c r="Q212" i="99"/>
  <c r="R229" i="99"/>
  <c r="S224" i="99"/>
  <c r="AH227" i="99"/>
  <c r="AH219" i="99"/>
  <c r="AH232" i="99"/>
  <c r="S215" i="99"/>
  <c r="AZ160" i="99"/>
  <c r="AZ161" i="99" s="1"/>
  <c r="AR110" i="110" s="1"/>
  <c r="BA125" i="99"/>
  <c r="S222" i="99"/>
  <c r="AN91" i="20"/>
  <c r="Q208" i="99"/>
  <c r="Q236" i="99" s="1"/>
  <c r="AH208" i="99"/>
  <c r="AM62" i="20"/>
  <c r="AH337" i="119"/>
  <c r="AX277" i="99"/>
  <c r="AX278" i="99" s="1"/>
  <c r="AY242" i="99"/>
  <c r="AH229" i="99"/>
  <c r="R227" i="99"/>
  <c r="R219" i="99"/>
  <c r="R232" i="99"/>
  <c r="S211" i="99"/>
  <c r="AG235" i="99"/>
  <c r="AG238" i="99" s="1"/>
  <c r="AG239" i="99" s="1"/>
  <c r="Y59" i="110" s="1"/>
  <c r="AZ8" i="99"/>
  <c r="AY43" i="99"/>
  <c r="AY44" i="99" s="1"/>
  <c r="AQ15" i="20" s="1"/>
  <c r="S214" i="99"/>
  <c r="AO58" i="20"/>
  <c r="AO67" i="20"/>
  <c r="AH205" i="99"/>
  <c r="AH217" i="99"/>
  <c r="R203" i="99"/>
  <c r="AW238" i="99"/>
  <c r="AW239" i="99" s="1"/>
  <c r="AO59" i="110" s="1"/>
  <c r="AO60" i="110" s="1"/>
  <c r="AX203" i="99"/>
  <c r="AY121" i="99"/>
  <c r="AY122" i="99" s="1"/>
  <c r="AQ51" i="110" s="1"/>
  <c r="AQ52" i="110" s="1"/>
  <c r="AL328" i="119" s="1"/>
  <c r="AZ86" i="99"/>
  <c r="R218" i="99"/>
  <c r="R220" i="99"/>
  <c r="AN71" i="20"/>
  <c r="AN46" i="20"/>
  <c r="R209" i="99"/>
  <c r="AH323" i="119"/>
  <c r="AM72" i="20"/>
  <c r="R235" i="99"/>
  <c r="S223" i="99"/>
  <c r="Q204" i="99"/>
  <c r="Q237" i="99" s="1"/>
  <c r="AH204" i="99"/>
  <c r="AH223" i="99"/>
  <c r="AH215" i="99"/>
  <c r="AH233" i="99"/>
  <c r="AH211" i="99"/>
  <c r="AH222" i="99"/>
  <c r="AH214" i="99"/>
  <c r="R228" i="99"/>
  <c r="R226" i="99"/>
  <c r="AG338" i="119"/>
  <c r="AL63" i="20"/>
  <c r="AG26" i="119" s="1"/>
  <c r="AK327" i="119"/>
  <c r="AP127" i="110"/>
  <c r="AI321" i="119"/>
  <c r="AH225" i="99"/>
  <c r="AH206" i="99"/>
  <c r="AH203" i="99"/>
  <c r="Q213" i="99"/>
  <c r="AH213" i="99"/>
  <c r="AH218" i="99"/>
  <c r="AN59" i="20"/>
  <c r="AN39" i="20"/>
  <c r="AN65" i="20"/>
  <c r="AH220" i="99"/>
  <c r="R216" i="99"/>
  <c r="AH221" i="99"/>
  <c r="S233" i="99"/>
  <c r="AH209" i="99"/>
  <c r="AH231" i="99"/>
  <c r="AA271" i="119"/>
  <c r="AB270" i="119"/>
  <c r="R270" i="119"/>
  <c r="Q271" i="119"/>
  <c r="Z73" i="61"/>
  <c r="R180" i="119"/>
  <c r="AI84" i="59"/>
  <c r="AI86" i="59"/>
  <c r="AD42" i="119" s="1"/>
  <c r="Z72" i="61"/>
  <c r="X57" i="60"/>
  <c r="AJ83" i="59"/>
  <c r="AC25" i="132"/>
  <c r="X24" i="101"/>
  <c r="AK120" i="59" s="1"/>
  <c r="AK121" i="59" s="1"/>
  <c r="AB180" i="119"/>
  <c r="AH74" i="61"/>
  <c r="Z255" i="119"/>
  <c r="Y134" i="110"/>
  <c r="AI72" i="61"/>
  <c r="AG57" i="60"/>
  <c r="AG31" i="59"/>
  <c r="AB269" i="119"/>
  <c r="AI36" i="61"/>
  <c r="W31" i="59"/>
  <c r="R269" i="119"/>
  <c r="AJ76" i="59"/>
  <c r="AC23" i="132"/>
  <c r="AJ16" i="59"/>
  <c r="Z12" i="116"/>
  <c r="AC24" i="132"/>
  <c r="Z62" i="106"/>
  <c r="AI17" i="59"/>
  <c r="Y72" i="61"/>
  <c r="AH24" i="59"/>
  <c r="AH35" i="24" s="1"/>
  <c r="Y10" i="106"/>
  <c r="Z75" i="61"/>
  <c r="X30" i="59"/>
  <c r="X74" i="61"/>
  <c r="P255" i="119"/>
  <c r="Z124" i="110"/>
  <c r="U418" i="119"/>
  <c r="AI73" i="61"/>
  <c r="AI75" i="61"/>
  <c r="X24" i="59"/>
  <c r="X35" i="24" s="1"/>
  <c r="Y36" i="61"/>
  <c r="AH58" i="60"/>
  <c r="AH56" i="60"/>
  <c r="AH55" i="60"/>
  <c r="AH87" i="59"/>
  <c r="AC43" i="119" s="1"/>
  <c r="AC97" i="119" s="1"/>
  <c r="AH111" i="59"/>
  <c r="AJ123" i="59"/>
  <c r="X25" i="101"/>
  <c r="AH30" i="59"/>
  <c r="Y63" i="106"/>
  <c r="Y73" i="61"/>
  <c r="Y75" i="61"/>
  <c r="Z11" i="116"/>
  <c r="AC22" i="132"/>
  <c r="Z9" i="106"/>
  <c r="AQ81" i="20" l="1"/>
  <c r="AL359" i="119" s="1"/>
  <c r="AQ79" i="20"/>
  <c r="AL357" i="119" s="1"/>
  <c r="AQ83" i="20"/>
  <c r="AL361" i="119" s="1"/>
  <c r="AQ84" i="20"/>
  <c r="AL362" i="119" s="1"/>
  <c r="AQ77" i="20"/>
  <c r="AL355" i="119" s="1"/>
  <c r="AQ80" i="20"/>
  <c r="AL358" i="119" s="1"/>
  <c r="AQ76" i="20"/>
  <c r="AL354" i="119" s="1"/>
  <c r="AQ82" i="20"/>
  <c r="AL360" i="119" s="1"/>
  <c r="AQ85" i="20"/>
  <c r="AL363" i="119" s="1"/>
  <c r="AQ78" i="20"/>
  <c r="AL356" i="119" s="1"/>
  <c r="AQ274" i="20"/>
  <c r="AQ276" i="20"/>
  <c r="AQ278" i="20"/>
  <c r="AQ277" i="20"/>
  <c r="AQ275" i="20"/>
  <c r="AQ273" i="20"/>
  <c r="K16" i="106"/>
  <c r="K18" i="106"/>
  <c r="U16" i="106"/>
  <c r="U18" i="106"/>
  <c r="AL342" i="119"/>
  <c r="AL341" i="119"/>
  <c r="X34" i="106"/>
  <c r="N34" i="106"/>
  <c r="L20" i="120"/>
  <c r="AJ28" i="132"/>
  <c r="AR115" i="110"/>
  <c r="AR112" i="110"/>
  <c r="AR114" i="110" s="1"/>
  <c r="AR113" i="110"/>
  <c r="AR116" i="110" s="1"/>
  <c r="AQ25" i="20"/>
  <c r="AQ70" i="20" s="1"/>
  <c r="AQ22" i="20"/>
  <c r="AQ30" i="20"/>
  <c r="AQ50" i="20" s="1"/>
  <c r="AQ28" i="20"/>
  <c r="AQ73" i="20" s="1"/>
  <c r="AQ34" i="20"/>
  <c r="AQ32" i="20"/>
  <c r="AQ33" i="20"/>
  <c r="AQ53" i="20" s="1"/>
  <c r="AQ21" i="20"/>
  <c r="AQ19" i="20"/>
  <c r="AQ20" i="20"/>
  <c r="AQ40" i="20" s="1"/>
  <c r="AQ35" i="20"/>
  <c r="AQ55" i="20" s="1"/>
  <c r="AQ18" i="20"/>
  <c r="AQ24" i="20"/>
  <c r="AQ44" i="20" s="1"/>
  <c r="AQ17" i="20"/>
  <c r="AQ31" i="20"/>
  <c r="AQ23" i="20"/>
  <c r="AQ29" i="20"/>
  <c r="AQ26" i="20"/>
  <c r="AQ27" i="20"/>
  <c r="AQ47" i="20" s="1"/>
  <c r="S286" i="119"/>
  <c r="O24" i="138"/>
  <c r="AM287" i="119"/>
  <c r="AI27" i="138"/>
  <c r="AI286" i="119"/>
  <c r="AE24" i="138"/>
  <c r="AI340" i="119"/>
  <c r="AI59" i="119"/>
  <c r="AO88" i="20"/>
  <c r="AO91" i="20" s="1"/>
  <c r="AO89" i="20"/>
  <c r="AO92" i="20" s="1"/>
  <c r="AE42" i="123"/>
  <c r="AC25" i="138"/>
  <c r="AI76" i="60"/>
  <c r="AK85" i="61" s="1"/>
  <c r="AK87" i="62" s="1"/>
  <c r="Y15" i="61"/>
  <c r="W35" i="60"/>
  <c r="R110" i="119" s="1"/>
  <c r="AI15" i="61"/>
  <c r="AG35" i="60"/>
  <c r="AB110" i="119" s="1"/>
  <c r="X48" i="59"/>
  <c r="X14" i="60" s="1"/>
  <c r="AH48" i="59"/>
  <c r="AH14" i="60" s="1"/>
  <c r="AA19" i="61"/>
  <c r="AA26" i="61" s="1"/>
  <c r="S19" i="61"/>
  <c r="S26" i="61" s="1"/>
  <c r="L198" i="119" s="1"/>
  <c r="AB19" i="61"/>
  <c r="AB26" i="61" s="1"/>
  <c r="U198" i="119" s="1"/>
  <c r="R19" i="61"/>
  <c r="R26" i="61" s="1"/>
  <c r="K198" i="119" s="1"/>
  <c r="AC40" i="61"/>
  <c r="AC47" i="61" s="1"/>
  <c r="AC19" i="61"/>
  <c r="AC26" i="61" s="1"/>
  <c r="AA40" i="61"/>
  <c r="AA47" i="61" s="1"/>
  <c r="T253" i="119" s="1"/>
  <c r="S40" i="61"/>
  <c r="S47" i="61" s="1"/>
  <c r="L253" i="119" s="1"/>
  <c r="AB40" i="61"/>
  <c r="AB47" i="61" s="1"/>
  <c r="R40" i="61"/>
  <c r="R47" i="61" s="1"/>
  <c r="K253" i="119" s="1"/>
  <c r="P47" i="59"/>
  <c r="Q65" i="59"/>
  <c r="P65" i="59"/>
  <c r="Q47" i="59"/>
  <c r="T21" i="106"/>
  <c r="AD16" i="60"/>
  <c r="J42" i="106"/>
  <c r="J21" i="106"/>
  <c r="T16" i="60"/>
  <c r="I51" i="106"/>
  <c r="S51" i="59" s="1"/>
  <c r="J74" i="106"/>
  <c r="T27" i="60"/>
  <c r="I105" i="106"/>
  <c r="S69" i="59" s="1"/>
  <c r="Y66" i="106"/>
  <c r="T74" i="106"/>
  <c r="AD27" i="60"/>
  <c r="S105" i="106"/>
  <c r="AC69" i="59" s="1"/>
  <c r="Y13" i="106"/>
  <c r="S51" i="106"/>
  <c r="AC51" i="59" s="1"/>
  <c r="T96" i="106"/>
  <c r="J96" i="106"/>
  <c r="T42" i="106"/>
  <c r="F78" i="106"/>
  <c r="O106" i="106"/>
  <c r="F25" i="106"/>
  <c r="G25" i="106"/>
  <c r="AI28" i="59"/>
  <c r="F77" i="106"/>
  <c r="Y111" i="106"/>
  <c r="AI66" i="59" s="1"/>
  <c r="AI25" i="60" s="1"/>
  <c r="H106" i="106"/>
  <c r="F76" i="106"/>
  <c r="F107" i="106"/>
  <c r="G78" i="106"/>
  <c r="G107" i="106"/>
  <c r="G77" i="106"/>
  <c r="G76" i="106"/>
  <c r="H100" i="106"/>
  <c r="H98" i="106"/>
  <c r="H99" i="106"/>
  <c r="G24" i="106"/>
  <c r="F24" i="106"/>
  <c r="F23" i="106"/>
  <c r="I46" i="106"/>
  <c r="I44" i="106"/>
  <c r="I45" i="106"/>
  <c r="S45" i="106"/>
  <c r="S46" i="106"/>
  <c r="S44" i="106"/>
  <c r="Z65" i="106"/>
  <c r="Y33" i="106"/>
  <c r="Y87" i="106"/>
  <c r="Y88" i="106"/>
  <c r="G23" i="106"/>
  <c r="Z12" i="106"/>
  <c r="M81" i="94"/>
  <c r="L81" i="94"/>
  <c r="AZ25" i="62"/>
  <c r="U81" i="94"/>
  <c r="W81" i="94"/>
  <c r="V81" i="94"/>
  <c r="N165" i="119"/>
  <c r="Y74" i="61"/>
  <c r="V113" i="119"/>
  <c r="T40" i="106"/>
  <c r="J40" i="106"/>
  <c r="N237" i="119"/>
  <c r="W113" i="119"/>
  <c r="T113" i="119"/>
  <c r="M113" i="119"/>
  <c r="AJ124" i="59"/>
  <c r="AE45" i="119" s="1"/>
  <c r="AI126" i="59"/>
  <c r="AD240" i="119" s="1"/>
  <c r="J200" i="119"/>
  <c r="J58" i="119"/>
  <c r="J129" i="119" s="1"/>
  <c r="AD168" i="119"/>
  <c r="AH57" i="60"/>
  <c r="S94" i="106"/>
  <c r="I19" i="106"/>
  <c r="I20" i="106" s="1"/>
  <c r="S37" i="60"/>
  <c r="X237" i="119"/>
  <c r="I72" i="106"/>
  <c r="I73" i="106" s="1"/>
  <c r="F53" i="106"/>
  <c r="T50" i="106"/>
  <c r="J104" i="106"/>
  <c r="L8" i="120"/>
  <c r="L49" i="120" s="1"/>
  <c r="I94" i="106"/>
  <c r="AC37" i="60"/>
  <c r="X165" i="119"/>
  <c r="G53" i="106"/>
  <c r="J50" i="106"/>
  <c r="K50" i="120"/>
  <c r="T104" i="106"/>
  <c r="U69" i="106"/>
  <c r="U71" i="106" s="1"/>
  <c r="K69" i="106"/>
  <c r="K71" i="106" s="1"/>
  <c r="K54" i="120"/>
  <c r="P72" i="106"/>
  <c r="P73" i="106" s="1"/>
  <c r="Y38" i="106"/>
  <c r="Y92" i="106"/>
  <c r="H52" i="106"/>
  <c r="P19" i="106"/>
  <c r="P20" i="106" s="1"/>
  <c r="O19" i="106"/>
  <c r="O20" i="106" s="1"/>
  <c r="W79" i="94"/>
  <c r="AA113" i="59" s="1"/>
  <c r="W78" i="94"/>
  <c r="X77" i="94"/>
  <c r="X372" i="119"/>
  <c r="Y56" i="94"/>
  <c r="N378" i="119"/>
  <c r="O377" i="119"/>
  <c r="X378" i="119"/>
  <c r="X376" i="119"/>
  <c r="U85" i="94"/>
  <c r="N375" i="119"/>
  <c r="W101" i="94"/>
  <c r="W96" i="94"/>
  <c r="AS147" i="119"/>
  <c r="X381" i="119"/>
  <c r="X417" i="119" s="1"/>
  <c r="M78" i="94"/>
  <c r="M79" i="94"/>
  <c r="Q113" i="59" s="1"/>
  <c r="N76" i="94"/>
  <c r="U78" i="94"/>
  <c r="U79" i="94"/>
  <c r="Y113" i="59" s="1"/>
  <c r="X379" i="119"/>
  <c r="X382" i="119"/>
  <c r="Y80" i="94"/>
  <c r="V85" i="94"/>
  <c r="N373" i="119"/>
  <c r="X75" i="94"/>
  <c r="X380" i="119"/>
  <c r="L85" i="94"/>
  <c r="M101" i="94"/>
  <c r="M96" i="94"/>
  <c r="V78" i="94"/>
  <c r="V79" i="94"/>
  <c r="Z113" i="59" s="1"/>
  <c r="N379" i="119"/>
  <c r="N372" i="119"/>
  <c r="O56" i="94"/>
  <c r="Y377" i="119"/>
  <c r="N77" i="94"/>
  <c r="N75" i="94"/>
  <c r="X373" i="119"/>
  <c r="X95" i="94"/>
  <c r="X57" i="94"/>
  <c r="X58" i="94"/>
  <c r="N381" i="119"/>
  <c r="N417" i="119" s="1"/>
  <c r="N382" i="119"/>
  <c r="N418" i="119" s="1"/>
  <c r="O80" i="94"/>
  <c r="AS219" i="119"/>
  <c r="V101" i="94"/>
  <c r="V96" i="94"/>
  <c r="M85" i="94"/>
  <c r="X375" i="119"/>
  <c r="X76" i="94"/>
  <c r="L101" i="94"/>
  <c r="L96" i="94"/>
  <c r="N380" i="119"/>
  <c r="N374" i="119"/>
  <c r="L79" i="94"/>
  <c r="P113" i="59" s="1"/>
  <c r="L78" i="94"/>
  <c r="X374" i="119"/>
  <c r="N58" i="94"/>
  <c r="N95" i="94"/>
  <c r="N57" i="94"/>
  <c r="W85" i="94"/>
  <c r="N376" i="119"/>
  <c r="Z86" i="62"/>
  <c r="AJ25" i="119"/>
  <c r="AI86" i="62"/>
  <c r="Y86" i="62"/>
  <c r="L50" i="120"/>
  <c r="V50" i="120"/>
  <c r="AH235" i="99"/>
  <c r="AI236" i="99"/>
  <c r="T63" i="82"/>
  <c r="AI237" i="99"/>
  <c r="AI219" i="99"/>
  <c r="Y60" i="110"/>
  <c r="S96" i="119"/>
  <c r="AD99" i="119"/>
  <c r="AD96" i="119"/>
  <c r="AI216" i="99"/>
  <c r="AI339" i="119"/>
  <c r="AI60" i="119"/>
  <c r="AI210" i="99"/>
  <c r="AC98" i="119"/>
  <c r="AD44" i="119"/>
  <c r="AI75" i="60"/>
  <c r="V46" i="119"/>
  <c r="V418" i="119" s="1"/>
  <c r="AC115" i="119"/>
  <c r="AC416" i="119" s="1"/>
  <c r="AJ84" i="61"/>
  <c r="S270" i="119"/>
  <c r="L52" i="120"/>
  <c r="W9" i="120"/>
  <c r="W50" i="120" s="1"/>
  <c r="M11" i="120"/>
  <c r="N10" i="120"/>
  <c r="N51" i="120" s="1"/>
  <c r="M9" i="120"/>
  <c r="M50" i="120" s="1"/>
  <c r="AI26" i="132"/>
  <c r="AI27" i="132"/>
  <c r="N5" i="132"/>
  <c r="Q9" i="122" s="1"/>
  <c r="N30" i="132"/>
  <c r="N29" i="132"/>
  <c r="X5" i="132"/>
  <c r="AA9" i="122" s="1"/>
  <c r="X29" i="132"/>
  <c r="X30" i="132"/>
  <c r="AI16" i="132"/>
  <c r="AL25" i="122" s="1"/>
  <c r="AL54" i="122" s="1"/>
  <c r="AI18" i="132"/>
  <c r="AL27" i="122" s="1"/>
  <c r="AL56" i="122" s="1"/>
  <c r="AI13" i="132"/>
  <c r="AL17" i="122" s="1"/>
  <c r="AL51" i="122" s="1"/>
  <c r="AI14" i="132"/>
  <c r="AL18" i="122" s="1"/>
  <c r="AL52" i="122" s="1"/>
  <c r="AC15" i="132"/>
  <c r="AF24" i="122" s="1"/>
  <c r="AF53" i="122" s="1"/>
  <c r="AC10" i="132"/>
  <c r="AF14" i="122" s="1"/>
  <c r="AF48" i="122" s="1"/>
  <c r="AC8" i="132"/>
  <c r="AF12" i="122" s="1"/>
  <c r="AC9" i="132"/>
  <c r="AF13" i="122" s="1"/>
  <c r="AF47" i="122" s="1"/>
  <c r="AC17" i="132"/>
  <c r="AF26" i="122" s="1"/>
  <c r="AF55" i="122" s="1"/>
  <c r="AC11" i="132"/>
  <c r="AF15" i="122" s="1"/>
  <c r="AF49" i="122" s="1"/>
  <c r="AC12" i="132"/>
  <c r="AF16" i="122" s="1"/>
  <c r="AF50" i="122" s="1"/>
  <c r="J63" i="82"/>
  <c r="L68" i="106"/>
  <c r="L90" i="106"/>
  <c r="L91" i="106" s="1"/>
  <c r="L93" i="106" s="1"/>
  <c r="L36" i="106"/>
  <c r="L37" i="106" s="1"/>
  <c r="L39" i="106" s="1"/>
  <c r="L15" i="106"/>
  <c r="V90" i="106"/>
  <c r="V91" i="106" s="1"/>
  <c r="V93" i="106" s="1"/>
  <c r="V36" i="106"/>
  <c r="V37" i="106" s="1"/>
  <c r="V39" i="106" s="1"/>
  <c r="V68" i="106"/>
  <c r="V15" i="106"/>
  <c r="X11" i="120"/>
  <c r="AK325" i="119"/>
  <c r="AJ324" i="119"/>
  <c r="Y85" i="106"/>
  <c r="Y31" i="106"/>
  <c r="Y57" i="106"/>
  <c r="Z84" i="106"/>
  <c r="Z70" i="106"/>
  <c r="Z17" i="106"/>
  <c r="AI206" i="99"/>
  <c r="AI226" i="99"/>
  <c r="AI231" i="99"/>
  <c r="AI229" i="99"/>
  <c r="AI218" i="99"/>
  <c r="Q238" i="99"/>
  <c r="AI337" i="119"/>
  <c r="AN62" i="20"/>
  <c r="AO71" i="20"/>
  <c r="AO46" i="20"/>
  <c r="AQ54" i="20"/>
  <c r="AQ38" i="20"/>
  <c r="AQ37" i="20"/>
  <c r="AQ41" i="20"/>
  <c r="AQ45" i="20"/>
  <c r="AQ48" i="20"/>
  <c r="AQ42" i="20"/>
  <c r="AQ51" i="20"/>
  <c r="BA160" i="99"/>
  <c r="BA161" i="99" s="1"/>
  <c r="AS110" i="110" s="1"/>
  <c r="BB125" i="99"/>
  <c r="AP58" i="20"/>
  <c r="AP67" i="20"/>
  <c r="S221" i="99"/>
  <c r="AH238" i="99"/>
  <c r="AH239" i="99" s="1"/>
  <c r="Z59" i="110" s="1"/>
  <c r="Z60" i="110" s="1"/>
  <c r="AI228" i="99"/>
  <c r="AI222" i="99"/>
  <c r="AL326" i="119"/>
  <c r="AQ126" i="110"/>
  <c r="AI220" i="99"/>
  <c r="AZ121" i="99"/>
  <c r="AZ122" i="99" s="1"/>
  <c r="AR51" i="110" s="1"/>
  <c r="AR52" i="110" s="1"/>
  <c r="AM328" i="119" s="1"/>
  <c r="BA86" i="99"/>
  <c r="AI205" i="99"/>
  <c r="AI207" i="99"/>
  <c r="BA8" i="99"/>
  <c r="AZ43" i="99"/>
  <c r="AZ44" i="99" s="1"/>
  <c r="AR15" i="20" s="1"/>
  <c r="S219" i="99"/>
  <c r="AY277" i="99"/>
  <c r="AY278" i="99" s="1"/>
  <c r="AZ242" i="99"/>
  <c r="AO39" i="20"/>
  <c r="AO65" i="20"/>
  <c r="AO59" i="20"/>
  <c r="R212" i="99"/>
  <c r="AI212" i="99"/>
  <c r="AM63" i="20"/>
  <c r="AH26" i="119" s="1"/>
  <c r="AH338" i="119"/>
  <c r="S231" i="99"/>
  <c r="AI221" i="99"/>
  <c r="AY82" i="99"/>
  <c r="AY83" i="99" s="1"/>
  <c r="AQ47" i="110" s="1"/>
  <c r="AQ48" i="110" s="1"/>
  <c r="AZ47" i="99"/>
  <c r="AI211" i="99"/>
  <c r="S216" i="99"/>
  <c r="S228" i="99"/>
  <c r="S235" i="99"/>
  <c r="AI209" i="99"/>
  <c r="AI215" i="99"/>
  <c r="S220" i="99"/>
  <c r="AI225" i="99"/>
  <c r="AI230" i="99"/>
  <c r="AI203" i="99"/>
  <c r="AI232" i="99"/>
  <c r="AI227" i="99"/>
  <c r="AI208" i="99"/>
  <c r="R208" i="99"/>
  <c r="R236" i="99" s="1"/>
  <c r="AI320" i="119"/>
  <c r="AN66" i="20"/>
  <c r="AN60" i="20"/>
  <c r="AJ321" i="119"/>
  <c r="AI322" i="119"/>
  <c r="AN69" i="20"/>
  <c r="AK329" i="119"/>
  <c r="AK24" i="119"/>
  <c r="AG23" i="138" s="1"/>
  <c r="AN72" i="20"/>
  <c r="AI323" i="119"/>
  <c r="AI213" i="99"/>
  <c r="R213" i="99"/>
  <c r="AO49" i="20"/>
  <c r="AO74" i="20"/>
  <c r="S226" i="99"/>
  <c r="AI204" i="99"/>
  <c r="R204" i="99"/>
  <c r="AJ222" i="99" s="1"/>
  <c r="AI214" i="99"/>
  <c r="AI233" i="99"/>
  <c r="AI224" i="99"/>
  <c r="S209" i="99"/>
  <c r="AL327" i="119"/>
  <c r="AQ127" i="110"/>
  <c r="S218" i="99"/>
  <c r="AY203" i="99"/>
  <c r="AX238" i="99"/>
  <c r="AX239" i="99" s="1"/>
  <c r="AP59" i="110" s="1"/>
  <c r="AP60" i="110" s="1"/>
  <c r="AI234" i="99"/>
  <c r="AI217" i="99"/>
  <c r="S203" i="99"/>
  <c r="S232" i="99"/>
  <c r="S227" i="99"/>
  <c r="S229" i="99"/>
  <c r="BA199" i="99"/>
  <c r="BA200" i="99" s="1"/>
  <c r="AS55" i="110" s="1"/>
  <c r="AS56" i="110" s="1"/>
  <c r="AN28" i="119" s="1"/>
  <c r="BB164" i="99"/>
  <c r="AP118" i="110"/>
  <c r="AK27" i="119" s="1"/>
  <c r="AG26" i="138" s="1"/>
  <c r="AP68" i="20"/>
  <c r="AP57" i="20"/>
  <c r="AP88" i="20" s="1"/>
  <c r="AP43" i="20"/>
  <c r="AP52" i="20"/>
  <c r="AI223" i="99"/>
  <c r="AC270" i="119"/>
  <c r="S271" i="119"/>
  <c r="R271" i="119"/>
  <c r="AB271" i="119"/>
  <c r="AD22" i="132"/>
  <c r="AA11" i="116"/>
  <c r="AA9" i="106"/>
  <c r="Z10" i="106"/>
  <c r="AK123" i="59"/>
  <c r="Y25" i="101"/>
  <c r="AJ73" i="61"/>
  <c r="AJ75" i="61"/>
  <c r="AA124" i="110"/>
  <c r="Z134" i="110"/>
  <c r="Q255" i="119"/>
  <c r="AK16" i="59"/>
  <c r="AD24" i="132"/>
  <c r="AA12" i="116"/>
  <c r="AA62" i="106"/>
  <c r="AJ17" i="59"/>
  <c r="AH31" i="59"/>
  <c r="AC269" i="119"/>
  <c r="AJ36" i="61"/>
  <c r="AK76" i="59"/>
  <c r="AD23" i="132"/>
  <c r="AI74" i="61"/>
  <c r="Y24" i="101"/>
  <c r="AL120" i="59" s="1"/>
  <c r="AL121" i="59" s="1"/>
  <c r="AK83" i="59"/>
  <c r="AD25" i="132"/>
  <c r="Z36" i="61"/>
  <c r="AI24" i="59"/>
  <c r="AI35" i="24" s="1"/>
  <c r="AJ72" i="61"/>
  <c r="S180" i="119"/>
  <c r="AC180" i="119"/>
  <c r="AI30" i="59"/>
  <c r="Z63" i="106"/>
  <c r="AA255" i="119"/>
  <c r="AJ84" i="59"/>
  <c r="AJ86" i="59"/>
  <c r="AE42" i="119" s="1"/>
  <c r="X31" i="59"/>
  <c r="S269" i="119"/>
  <c r="Z74" i="61"/>
  <c r="AI58" i="60"/>
  <c r="AI56" i="60"/>
  <c r="AI55" i="60"/>
  <c r="AI87" i="59"/>
  <c r="AD43" i="119" s="1"/>
  <c r="AD97" i="119" s="1"/>
  <c r="AI111" i="59"/>
  <c r="AR82" i="20" l="1"/>
  <c r="AM360" i="119" s="1"/>
  <c r="AR77" i="20"/>
  <c r="AM355" i="119" s="1"/>
  <c r="AR79" i="20"/>
  <c r="AM357" i="119" s="1"/>
  <c r="AR78" i="20"/>
  <c r="AM356" i="119" s="1"/>
  <c r="AR76" i="20"/>
  <c r="AM354" i="119" s="1"/>
  <c r="AR80" i="20"/>
  <c r="AM358" i="119" s="1"/>
  <c r="AR83" i="20"/>
  <c r="AM361" i="119" s="1"/>
  <c r="AR81" i="20"/>
  <c r="AM359" i="119" s="1"/>
  <c r="AR85" i="20"/>
  <c r="AM363" i="119" s="1"/>
  <c r="AR84" i="20"/>
  <c r="AM362" i="119" s="1"/>
  <c r="AR273" i="20"/>
  <c r="AR277" i="20"/>
  <c r="AR275" i="20"/>
  <c r="AR276" i="20"/>
  <c r="AR274" i="20"/>
  <c r="AR278" i="20"/>
  <c r="V16" i="106"/>
  <c r="V18" i="106"/>
  <c r="L16" i="106"/>
  <c r="L18" i="106"/>
  <c r="AM341" i="119"/>
  <c r="AM342" i="119"/>
  <c r="Y34" i="106"/>
  <c r="M20" i="120"/>
  <c r="AK28" i="132"/>
  <c r="AS113" i="110"/>
  <c r="AS116" i="110" s="1"/>
  <c r="AS115" i="110"/>
  <c r="AS112" i="110"/>
  <c r="AS114" i="110" s="1"/>
  <c r="AR31" i="20"/>
  <c r="AR35" i="20"/>
  <c r="AR55" i="20" s="1"/>
  <c r="AR20" i="20"/>
  <c r="AR40" i="20" s="1"/>
  <c r="AR29" i="20"/>
  <c r="AR26" i="20"/>
  <c r="AR32" i="20"/>
  <c r="AR27" i="20"/>
  <c r="AR47" i="20" s="1"/>
  <c r="AR19" i="20"/>
  <c r="AR28" i="20"/>
  <c r="AR73" i="20" s="1"/>
  <c r="AR24" i="20"/>
  <c r="AR44" i="20" s="1"/>
  <c r="AR30" i="20"/>
  <c r="AR50" i="20" s="1"/>
  <c r="AR33" i="20"/>
  <c r="AR53" i="20" s="1"/>
  <c r="AR25" i="20"/>
  <c r="AR70" i="20" s="1"/>
  <c r="AR34" i="20"/>
  <c r="AR21" i="20"/>
  <c r="AR18" i="20"/>
  <c r="AR17" i="20"/>
  <c r="AR23" i="20"/>
  <c r="AR22" i="20"/>
  <c r="AJ286" i="119"/>
  <c r="AF24" i="138"/>
  <c r="AN287" i="119"/>
  <c r="AJ27" i="138"/>
  <c r="AJ340" i="119"/>
  <c r="AJ59" i="119"/>
  <c r="AJ60" i="119"/>
  <c r="AJ339" i="119"/>
  <c r="AP89" i="20"/>
  <c r="AP92" i="20" s="1"/>
  <c r="AF42" i="123"/>
  <c r="AD25" i="138"/>
  <c r="Z15" i="61"/>
  <c r="X35" i="60"/>
  <c r="S110" i="119" s="1"/>
  <c r="AJ15" i="61"/>
  <c r="AH35" i="60"/>
  <c r="AC110" i="119" s="1"/>
  <c r="AJ76" i="60"/>
  <c r="AL85" i="61" s="1"/>
  <c r="AL87" i="62" s="1"/>
  <c r="AI48" i="59"/>
  <c r="AI14" i="60" s="1"/>
  <c r="U56" i="119"/>
  <c r="U127" i="119" s="1"/>
  <c r="K56" i="119"/>
  <c r="K127" i="119" s="1"/>
  <c r="L56" i="119"/>
  <c r="L127" i="119" s="1"/>
  <c r="AD19" i="61"/>
  <c r="AD26" i="61" s="1"/>
  <c r="W198" i="119" s="1"/>
  <c r="U253" i="119"/>
  <c r="T40" i="61"/>
  <c r="T47" i="61" s="1"/>
  <c r="M253" i="119" s="1"/>
  <c r="T19" i="61"/>
  <c r="T26" i="61" s="1"/>
  <c r="AD40" i="61"/>
  <c r="AD47" i="61" s="1"/>
  <c r="W253" i="119" s="1"/>
  <c r="AJ74" i="61"/>
  <c r="AC255" i="119" s="1"/>
  <c r="F110" i="106"/>
  <c r="R255" i="119"/>
  <c r="R47" i="59"/>
  <c r="R65" i="59"/>
  <c r="Q49" i="59"/>
  <c r="P49" i="59"/>
  <c r="Q67" i="59"/>
  <c r="Y65" i="59"/>
  <c r="P67" i="59"/>
  <c r="U42" i="106"/>
  <c r="J51" i="106"/>
  <c r="T51" i="59" s="1"/>
  <c r="J105" i="106"/>
  <c r="T69" i="59" s="1"/>
  <c r="Z13" i="106"/>
  <c r="K74" i="106"/>
  <c r="U27" i="60"/>
  <c r="T51" i="106"/>
  <c r="AD51" i="59" s="1"/>
  <c r="U21" i="106"/>
  <c r="AE16" i="60"/>
  <c r="K96" i="106"/>
  <c r="K42" i="106"/>
  <c r="U74" i="106"/>
  <c r="AE27" i="60"/>
  <c r="K21" i="106"/>
  <c r="U16" i="60"/>
  <c r="U96" i="106"/>
  <c r="Z66" i="106"/>
  <c r="Q114" i="59"/>
  <c r="T105" i="106"/>
  <c r="AD69" i="59" s="1"/>
  <c r="Q13" i="60"/>
  <c r="G109" i="106"/>
  <c r="F109" i="106"/>
  <c r="I106" i="106"/>
  <c r="P13" i="60"/>
  <c r="Q24" i="60"/>
  <c r="T198" i="119"/>
  <c r="G110" i="106"/>
  <c r="G108" i="106"/>
  <c r="P106" i="106"/>
  <c r="P24" i="60"/>
  <c r="J44" i="106"/>
  <c r="F108" i="106"/>
  <c r="V198" i="119"/>
  <c r="H24" i="106"/>
  <c r="AJ28" i="59"/>
  <c r="H78" i="106"/>
  <c r="H107" i="106"/>
  <c r="O78" i="106"/>
  <c r="O107" i="106"/>
  <c r="Z111" i="106"/>
  <c r="AJ66" i="59" s="1"/>
  <c r="AJ25" i="60" s="1"/>
  <c r="O77" i="106"/>
  <c r="O76" i="106"/>
  <c r="S99" i="106"/>
  <c r="S100" i="106"/>
  <c r="S98" i="106"/>
  <c r="I99" i="106"/>
  <c r="I100" i="106"/>
  <c r="I98" i="106"/>
  <c r="H77" i="106"/>
  <c r="H76" i="106"/>
  <c r="AA12" i="106"/>
  <c r="Z87" i="106"/>
  <c r="Z88" i="106"/>
  <c r="T44" i="106"/>
  <c r="T45" i="106"/>
  <c r="T46" i="106"/>
  <c r="AA65" i="106"/>
  <c r="J45" i="106"/>
  <c r="J46" i="106"/>
  <c r="H23" i="106"/>
  <c r="H25" i="106"/>
  <c r="Z33" i="106"/>
  <c r="N81" i="94"/>
  <c r="X81" i="94"/>
  <c r="Q59" i="62"/>
  <c r="Q64" i="62" s="1"/>
  <c r="Y77" i="94"/>
  <c r="J19" i="106"/>
  <c r="J20" i="106" s="1"/>
  <c r="Y165" i="119"/>
  <c r="V56" i="119"/>
  <c r="V127" i="119" s="1"/>
  <c r="X113" i="119"/>
  <c r="O237" i="119"/>
  <c r="K40" i="106"/>
  <c r="V253" i="119"/>
  <c r="O165" i="119"/>
  <c r="T56" i="119"/>
  <c r="T127" i="119" s="1"/>
  <c r="U40" i="106"/>
  <c r="N113" i="119"/>
  <c r="AK124" i="59"/>
  <c r="AF45" i="119" s="1"/>
  <c r="AJ126" i="59"/>
  <c r="AE240" i="119" s="1"/>
  <c r="AA114" i="59"/>
  <c r="M107" i="131"/>
  <c r="N13" i="120"/>
  <c r="N54" i="120" s="1"/>
  <c r="J94" i="106"/>
  <c r="P52" i="106"/>
  <c r="K104" i="106"/>
  <c r="T94" i="106"/>
  <c r="AD37" i="60"/>
  <c r="Y237" i="119"/>
  <c r="M105" i="131"/>
  <c r="J72" i="106"/>
  <c r="J73" i="106" s="1"/>
  <c r="L106" i="131"/>
  <c r="K11" i="120"/>
  <c r="K22" i="120" s="1"/>
  <c r="L22" i="120" s="1"/>
  <c r="M22" i="120" s="1"/>
  <c r="X9" i="120"/>
  <c r="T37" i="60"/>
  <c r="M109" i="131"/>
  <c r="J6" i="132" s="1"/>
  <c r="M10" i="122" s="1"/>
  <c r="L12" i="120"/>
  <c r="K8" i="120"/>
  <c r="K19" i="120" s="1"/>
  <c r="L19" i="120" s="1"/>
  <c r="L109" i="131"/>
  <c r="I6" i="132" s="1"/>
  <c r="L10" i="122" s="1"/>
  <c r="L105" i="131"/>
  <c r="K12" i="120"/>
  <c r="K23" i="120" s="1"/>
  <c r="L107" i="131"/>
  <c r="U50" i="106"/>
  <c r="U104" i="106"/>
  <c r="O52" i="106"/>
  <c r="K50" i="106"/>
  <c r="I52" i="106"/>
  <c r="V69" i="106"/>
  <c r="V71" i="106" s="1"/>
  <c r="AA59" i="60"/>
  <c r="L69" i="106"/>
  <c r="L71" i="106" s="1"/>
  <c r="AA17" i="106"/>
  <c r="Z38" i="106"/>
  <c r="Q72" i="106"/>
  <c r="Q73" i="106" s="1"/>
  <c r="Z92" i="106"/>
  <c r="AA70" i="106"/>
  <c r="H53" i="106"/>
  <c r="X79" i="94"/>
  <c r="AB113" i="59" s="1"/>
  <c r="Y76" i="94"/>
  <c r="Y376" i="119"/>
  <c r="X85" i="94"/>
  <c r="Y382" i="119"/>
  <c r="Z80" i="94"/>
  <c r="Y372" i="119"/>
  <c r="Z59" i="60"/>
  <c r="Z114" i="59"/>
  <c r="O77" i="94"/>
  <c r="O75" i="94"/>
  <c r="U87" i="94"/>
  <c r="U102" i="94" s="1"/>
  <c r="U83" i="94"/>
  <c r="AA38" i="62" s="1"/>
  <c r="AA45" i="62" s="1"/>
  <c r="U82" i="94"/>
  <c r="AA18" i="62" s="1"/>
  <c r="O380" i="119"/>
  <c r="P377" i="119"/>
  <c r="Y381" i="119"/>
  <c r="Y417" i="119" s="1"/>
  <c r="I42" i="92" s="1"/>
  <c r="O379" i="119"/>
  <c r="X78" i="94"/>
  <c r="Y378" i="119"/>
  <c r="Y59" i="60"/>
  <c r="Y114" i="59"/>
  <c r="AS22" i="119"/>
  <c r="O382" i="119"/>
  <c r="O418" i="119" s="1"/>
  <c r="F43" i="92" s="1"/>
  <c r="P80" i="94"/>
  <c r="Q159" i="59"/>
  <c r="Q158" i="59"/>
  <c r="O381" i="119"/>
  <c r="O417" i="119" s="1"/>
  <c r="F42" i="92" s="1"/>
  <c r="X101" i="94"/>
  <c r="X96" i="94"/>
  <c r="Y380" i="119"/>
  <c r="O95" i="94"/>
  <c r="O57" i="94"/>
  <c r="O58" i="94"/>
  <c r="V87" i="94"/>
  <c r="V102" i="94" s="1"/>
  <c r="V83" i="94"/>
  <c r="AB38" i="62" s="1"/>
  <c r="AB45" i="62" s="1"/>
  <c r="V82" i="94"/>
  <c r="AB18" i="62" s="1"/>
  <c r="O376" i="119"/>
  <c r="Y57" i="94"/>
  <c r="Y58" i="94"/>
  <c r="Y95" i="94"/>
  <c r="W83" i="94"/>
  <c r="AC38" i="62" s="1"/>
  <c r="AC45" i="62" s="1"/>
  <c r="W82" i="94"/>
  <c r="AC18" i="62" s="1"/>
  <c r="W87" i="94"/>
  <c r="W102" i="94" s="1"/>
  <c r="Y379" i="119"/>
  <c r="O378" i="119"/>
  <c r="P59" i="60"/>
  <c r="P114" i="59"/>
  <c r="Y75" i="94"/>
  <c r="Y375" i="119"/>
  <c r="O76" i="94"/>
  <c r="P159" i="59"/>
  <c r="P158" i="59"/>
  <c r="Q59" i="60"/>
  <c r="Z377" i="119"/>
  <c r="N101" i="94"/>
  <c r="N96" i="94"/>
  <c r="N85" i="94"/>
  <c r="O374" i="119"/>
  <c r="O373" i="119"/>
  <c r="M82" i="94"/>
  <c r="S18" i="62" s="1"/>
  <c r="M87" i="94"/>
  <c r="M102" i="94" s="1"/>
  <c r="M83" i="94"/>
  <c r="S38" i="62" s="1"/>
  <c r="S45" i="62" s="1"/>
  <c r="N79" i="94"/>
  <c r="R113" i="59" s="1"/>
  <c r="N78" i="94"/>
  <c r="Y374" i="119"/>
  <c r="L87" i="94"/>
  <c r="L102" i="94" s="1"/>
  <c r="L82" i="94"/>
  <c r="R18" i="62" s="1"/>
  <c r="L83" i="94"/>
  <c r="R38" i="62" s="1"/>
  <c r="R45" i="62" s="1"/>
  <c r="O372" i="119"/>
  <c r="P56" i="94"/>
  <c r="O375" i="119"/>
  <c r="T25" i="119"/>
  <c r="AK25" i="119"/>
  <c r="AJ86" i="62"/>
  <c r="U25" i="119"/>
  <c r="M52" i="120"/>
  <c r="AI235" i="99"/>
  <c r="K63" i="82"/>
  <c r="U63" i="82"/>
  <c r="AJ236" i="99"/>
  <c r="R237" i="99"/>
  <c r="AJ237" i="99" s="1"/>
  <c r="AJ206" i="99"/>
  <c r="AJ221" i="99"/>
  <c r="AE96" i="119"/>
  <c r="AE99" i="119"/>
  <c r="AJ210" i="99"/>
  <c r="AJ234" i="99"/>
  <c r="AJ205" i="99"/>
  <c r="AD98" i="119"/>
  <c r="AJ207" i="99"/>
  <c r="AJ218" i="99"/>
  <c r="AJ209" i="99"/>
  <c r="AJ226" i="99"/>
  <c r="W46" i="119"/>
  <c r="W418" i="119" s="1"/>
  <c r="AE44" i="119"/>
  <c r="AJ75" i="60"/>
  <c r="AD115" i="119"/>
  <c r="AD416" i="119" s="1"/>
  <c r="J41" i="92" s="1"/>
  <c r="AK84" i="61"/>
  <c r="AE168" i="119"/>
  <c r="T13" i="120"/>
  <c r="U108" i="131"/>
  <c r="N11" i="120"/>
  <c r="U106" i="131"/>
  <c r="T10" i="120"/>
  <c r="T51" i="120" s="1"/>
  <c r="AJ26" i="132"/>
  <c r="AJ27" i="132"/>
  <c r="O5" i="132"/>
  <c r="R9" i="122" s="1"/>
  <c r="O29" i="132"/>
  <c r="O30" i="132"/>
  <c r="Y5" i="132"/>
  <c r="AB9" i="122" s="1"/>
  <c r="Y30" i="132"/>
  <c r="Y29" i="132"/>
  <c r="AD15" i="132"/>
  <c r="AG24" i="122" s="1"/>
  <c r="AG53" i="122" s="1"/>
  <c r="AD9" i="132"/>
  <c r="AG13" i="122" s="1"/>
  <c r="AG47" i="122" s="1"/>
  <c r="AD10" i="132"/>
  <c r="AG14" i="122" s="1"/>
  <c r="AG48" i="122" s="1"/>
  <c r="AD8" i="132"/>
  <c r="AG12" i="122" s="1"/>
  <c r="AD17" i="132"/>
  <c r="AG26" i="122" s="1"/>
  <c r="AG55" i="122" s="1"/>
  <c r="AD11" i="132"/>
  <c r="AG15" i="122" s="1"/>
  <c r="AG49" i="122" s="1"/>
  <c r="AD12" i="132"/>
  <c r="AG16" i="122" s="1"/>
  <c r="AG50" i="122" s="1"/>
  <c r="AJ16" i="132"/>
  <c r="AM25" i="122" s="1"/>
  <c r="AM54" i="122" s="1"/>
  <c r="AJ14" i="132"/>
  <c r="AM18" i="122" s="1"/>
  <c r="AM52" i="122" s="1"/>
  <c r="AJ18" i="132"/>
  <c r="AM27" i="122" s="1"/>
  <c r="AM56" i="122" s="1"/>
  <c r="AJ13" i="132"/>
  <c r="AM17" i="122" s="1"/>
  <c r="AM51" i="122" s="1"/>
  <c r="M36" i="106"/>
  <c r="M37" i="106" s="1"/>
  <c r="M39" i="106" s="1"/>
  <c r="M90" i="106"/>
  <c r="M91" i="106" s="1"/>
  <c r="M93" i="106" s="1"/>
  <c r="M68" i="106"/>
  <c r="M15" i="106"/>
  <c r="W90" i="106"/>
  <c r="W91" i="106" s="1"/>
  <c r="W93" i="106" s="1"/>
  <c r="W36" i="106"/>
  <c r="W37" i="106" s="1"/>
  <c r="W39" i="106" s="1"/>
  <c r="W15" i="106"/>
  <c r="W68" i="106"/>
  <c r="Z85" i="106"/>
  <c r="Z57" i="106"/>
  <c r="Z31" i="106"/>
  <c r="K94" i="106"/>
  <c r="AJ211" i="99"/>
  <c r="AJ215" i="99"/>
  <c r="AJ229" i="99"/>
  <c r="AJ232" i="99"/>
  <c r="AL325" i="119"/>
  <c r="AJ227" i="99"/>
  <c r="AJ214" i="99"/>
  <c r="AJ230" i="99"/>
  <c r="R238" i="99"/>
  <c r="AJ203" i="99"/>
  <c r="AK321" i="119"/>
  <c r="AJ225" i="99"/>
  <c r="AJ217" i="99"/>
  <c r="S204" i="99"/>
  <c r="AJ204" i="99"/>
  <c r="AJ223" i="99"/>
  <c r="AJ224" i="99"/>
  <c r="AJ228" i="99"/>
  <c r="AJ216" i="99"/>
  <c r="AJ231" i="99"/>
  <c r="AJ212" i="99"/>
  <c r="S212" i="99"/>
  <c r="AJ337" i="119"/>
  <c r="AO62" i="20"/>
  <c r="AR51" i="20"/>
  <c r="AR37" i="20"/>
  <c r="AR41" i="20"/>
  <c r="AR45" i="20"/>
  <c r="AR38" i="20"/>
  <c r="AR42" i="20"/>
  <c r="AR54" i="20"/>
  <c r="AR48" i="20"/>
  <c r="AQ52" i="20"/>
  <c r="AP46" i="20"/>
  <c r="AP71" i="20"/>
  <c r="AP59" i="20"/>
  <c r="AP65" i="20"/>
  <c r="AP39" i="20"/>
  <c r="AM327" i="119"/>
  <c r="AR127" i="110"/>
  <c r="AZ277" i="99"/>
  <c r="AZ278" i="99" s="1"/>
  <c r="BA242" i="99"/>
  <c r="BC125" i="99"/>
  <c r="BB160" i="99"/>
  <c r="BB161" i="99" s="1"/>
  <c r="AT110" i="110" s="1"/>
  <c r="AQ68" i="20"/>
  <c r="AQ57" i="20"/>
  <c r="AQ88" i="20" s="1"/>
  <c r="AP74" i="20"/>
  <c r="AP49" i="20"/>
  <c r="BC164" i="99"/>
  <c r="BB199" i="99"/>
  <c r="BB200" i="99" s="1"/>
  <c r="AT55" i="110" s="1"/>
  <c r="AT56" i="110" s="1"/>
  <c r="AO28" i="119" s="1"/>
  <c r="AO66" i="20"/>
  <c r="AJ320" i="119"/>
  <c r="AO60" i="20"/>
  <c r="AY238" i="99"/>
  <c r="AY239" i="99" s="1"/>
  <c r="AQ59" i="110" s="1"/>
  <c r="AQ60" i="110" s="1"/>
  <c r="AZ203" i="99"/>
  <c r="AN63" i="20"/>
  <c r="AI26" i="119" s="1"/>
  <c r="AI338" i="119"/>
  <c r="S208" i="99"/>
  <c r="S236" i="99" s="1"/>
  <c r="AJ208" i="99"/>
  <c r="AO72" i="20"/>
  <c r="AJ323" i="119"/>
  <c r="AZ82" i="99"/>
  <c r="AZ83" i="99" s="1"/>
  <c r="AR47" i="110" s="1"/>
  <c r="AR48" i="110" s="1"/>
  <c r="BA47" i="99"/>
  <c r="AR126" i="110"/>
  <c r="AJ219" i="99"/>
  <c r="BA43" i="99"/>
  <c r="BA44" i="99" s="1"/>
  <c r="AS15" i="20" s="1"/>
  <c r="BB8" i="99"/>
  <c r="AQ58" i="20"/>
  <c r="AQ67" i="20"/>
  <c r="AQ43" i="20"/>
  <c r="AK324" i="119"/>
  <c r="AP91" i="20"/>
  <c r="S213" i="99"/>
  <c r="AJ213" i="99"/>
  <c r="AI238" i="99"/>
  <c r="AI239" i="99" s="1"/>
  <c r="AA59" i="110" s="1"/>
  <c r="AA60" i="110" s="1"/>
  <c r="AJ220" i="99"/>
  <c r="AJ233" i="99"/>
  <c r="AL24" i="119"/>
  <c r="AH23" i="138" s="1"/>
  <c r="AL329" i="119"/>
  <c r="AJ322" i="119"/>
  <c r="AO69" i="20"/>
  <c r="BA121" i="99"/>
  <c r="BA122" i="99" s="1"/>
  <c r="AS51" i="110" s="1"/>
  <c r="AS52" i="110" s="1"/>
  <c r="AN328" i="119" s="1"/>
  <c r="BB86" i="99"/>
  <c r="AQ118" i="110"/>
  <c r="AL27" i="119" s="1"/>
  <c r="AH26" i="138" s="1"/>
  <c r="AD270" i="119"/>
  <c r="AC271" i="119"/>
  <c r="AK73" i="61"/>
  <c r="AJ58" i="60"/>
  <c r="AJ56" i="60"/>
  <c r="AJ55" i="60"/>
  <c r="AJ87" i="59"/>
  <c r="AE43" i="119" s="1"/>
  <c r="AE97" i="119" s="1"/>
  <c r="AJ111" i="59"/>
  <c r="AK72" i="61"/>
  <c r="AI57" i="60"/>
  <c r="S255" i="119"/>
  <c r="AJ24" i="59"/>
  <c r="AJ35" i="24" s="1"/>
  <c r="AL83" i="59"/>
  <c r="AE25" i="132"/>
  <c r="Z24" i="101"/>
  <c r="AM120" i="59" s="1"/>
  <c r="AM121" i="59" s="1"/>
  <c r="AB255" i="119"/>
  <c r="AL76" i="59"/>
  <c r="AE23" i="132"/>
  <c r="AJ30" i="59"/>
  <c r="AA63" i="106"/>
  <c r="AL16" i="59"/>
  <c r="AB12" i="116"/>
  <c r="AE24" i="132"/>
  <c r="AB62" i="106"/>
  <c r="AB124" i="110"/>
  <c r="AL123" i="59"/>
  <c r="Z25" i="101"/>
  <c r="AA10" i="106"/>
  <c r="AB11" i="116"/>
  <c r="AE22" i="132"/>
  <c r="AB9" i="106"/>
  <c r="AK75" i="61"/>
  <c r="AD180" i="119"/>
  <c r="AK86" i="59"/>
  <c r="AF42" i="119" s="1"/>
  <c r="AK84" i="59"/>
  <c r="AA84" i="106"/>
  <c r="AK17" i="59"/>
  <c r="AI31" i="59"/>
  <c r="AD269" i="119"/>
  <c r="AK36" i="61"/>
  <c r="AA134" i="110"/>
  <c r="AS82" i="20" l="1"/>
  <c r="AN360" i="119" s="1"/>
  <c r="AS78" i="20"/>
  <c r="AN356" i="119" s="1"/>
  <c r="AS83" i="20"/>
  <c r="AN361" i="119" s="1"/>
  <c r="AS81" i="20"/>
  <c r="AN359" i="119" s="1"/>
  <c r="AS85" i="20"/>
  <c r="AN363" i="119" s="1"/>
  <c r="AS84" i="20"/>
  <c r="AN362" i="119" s="1"/>
  <c r="AS79" i="20"/>
  <c r="AN357" i="119" s="1"/>
  <c r="AS77" i="20"/>
  <c r="AN355" i="119" s="1"/>
  <c r="AS80" i="20"/>
  <c r="AN358" i="119" s="1"/>
  <c r="AS76" i="20"/>
  <c r="AN354" i="119" s="1"/>
  <c r="AS277" i="20"/>
  <c r="AS275" i="20"/>
  <c r="AS278" i="20"/>
  <c r="AS274" i="20"/>
  <c r="AS273" i="20"/>
  <c r="AS276" i="20"/>
  <c r="M16" i="106"/>
  <c r="M18" i="106"/>
  <c r="W16" i="106"/>
  <c r="W18" i="106"/>
  <c r="Z34" i="106"/>
  <c r="AN341" i="119"/>
  <c r="AN342" i="119"/>
  <c r="AL28" i="132"/>
  <c r="AT113" i="110"/>
  <c r="AT116" i="110" s="1"/>
  <c r="AT115" i="110"/>
  <c r="AT112" i="110"/>
  <c r="AT114" i="110" s="1"/>
  <c r="AS29" i="20"/>
  <c r="AS26" i="20"/>
  <c r="AS24" i="20"/>
  <c r="AS44" i="20" s="1"/>
  <c r="AS19" i="20"/>
  <c r="AS34" i="20"/>
  <c r="AS23" i="20"/>
  <c r="AS33" i="20"/>
  <c r="AS53" i="20" s="1"/>
  <c r="AS20" i="20"/>
  <c r="AS40" i="20" s="1"/>
  <c r="AS35" i="20"/>
  <c r="AS55" i="20" s="1"/>
  <c r="AS32" i="20"/>
  <c r="AS25" i="20"/>
  <c r="AS70" i="20" s="1"/>
  <c r="AS31" i="20"/>
  <c r="AS18" i="20"/>
  <c r="AS22" i="20"/>
  <c r="AS30" i="20"/>
  <c r="AS50" i="20" s="1"/>
  <c r="AS28" i="20"/>
  <c r="AS73" i="20" s="1"/>
  <c r="AS21" i="20"/>
  <c r="AS27" i="20"/>
  <c r="AS47" i="20" s="1"/>
  <c r="AS17" i="20"/>
  <c r="AK286" i="119"/>
  <c r="AG24" i="138"/>
  <c r="T286" i="119"/>
  <c r="P24" i="138"/>
  <c r="U286" i="119"/>
  <c r="Q24" i="138"/>
  <c r="AO287" i="119"/>
  <c r="AK27" i="138"/>
  <c r="AK340" i="119"/>
  <c r="AK59" i="119"/>
  <c r="AQ89" i="20"/>
  <c r="AQ92" i="20" s="1"/>
  <c r="AG42" i="123"/>
  <c r="AE25" i="138"/>
  <c r="AS76" i="119"/>
  <c r="AO21" i="138"/>
  <c r="AK15" i="61"/>
  <c r="AI35" i="60"/>
  <c r="AD110" i="119" s="1"/>
  <c r="AJ48" i="59"/>
  <c r="AJ14" i="60" s="1"/>
  <c r="AK76" i="60"/>
  <c r="AM85" i="61" s="1"/>
  <c r="AM87" i="62" s="1"/>
  <c r="W56" i="119"/>
  <c r="W127" i="119" s="1"/>
  <c r="U19" i="61"/>
  <c r="U26" i="61" s="1"/>
  <c r="N198" i="119" s="1"/>
  <c r="AE40" i="61"/>
  <c r="AE47" i="61" s="1"/>
  <c r="X253" i="119" s="1"/>
  <c r="M56" i="119"/>
  <c r="M127" i="119" s="1"/>
  <c r="AE19" i="61"/>
  <c r="AE26" i="61" s="1"/>
  <c r="M198" i="119"/>
  <c r="U40" i="61"/>
  <c r="U47" i="61" s="1"/>
  <c r="N253" i="119" s="1"/>
  <c r="P68" i="59"/>
  <c r="Q63" i="59"/>
  <c r="R67" i="59"/>
  <c r="Z47" i="59"/>
  <c r="P63" i="59"/>
  <c r="R49" i="59"/>
  <c r="S47" i="59"/>
  <c r="Q68" i="59"/>
  <c r="Z65" i="59"/>
  <c r="P64" i="59"/>
  <c r="Y47" i="59"/>
  <c r="Q64" i="59"/>
  <c r="Y67" i="59"/>
  <c r="S65" i="59"/>
  <c r="Y81" i="94"/>
  <c r="L21" i="106"/>
  <c r="V16" i="60"/>
  <c r="L74" i="106"/>
  <c r="V27" i="60"/>
  <c r="K51" i="106"/>
  <c r="U51" i="59" s="1"/>
  <c r="L96" i="106"/>
  <c r="AA66" i="106"/>
  <c r="L42" i="106"/>
  <c r="U105" i="106"/>
  <c r="AE69" i="59" s="1"/>
  <c r="V96" i="106"/>
  <c r="U51" i="106"/>
  <c r="AE51" i="59" s="1"/>
  <c r="V42" i="106"/>
  <c r="K105" i="106"/>
  <c r="U69" i="59" s="1"/>
  <c r="V21" i="106"/>
  <c r="AF16" i="60"/>
  <c r="V74" i="106"/>
  <c r="AF27" i="60"/>
  <c r="AA13" i="106"/>
  <c r="H110" i="106"/>
  <c r="H108" i="106"/>
  <c r="L235" i="119"/>
  <c r="Q26" i="60"/>
  <c r="H109" i="106"/>
  <c r="P26" i="60"/>
  <c r="P24" i="106"/>
  <c r="O24" i="106"/>
  <c r="I24" i="106"/>
  <c r="R24" i="60"/>
  <c r="Q106" i="106"/>
  <c r="P15" i="60"/>
  <c r="Y24" i="60"/>
  <c r="O110" i="106"/>
  <c r="O109" i="106"/>
  <c r="Q15" i="60"/>
  <c r="J25" i="106"/>
  <c r="R13" i="60"/>
  <c r="V40" i="106"/>
  <c r="O108" i="106"/>
  <c r="AK28" i="59"/>
  <c r="J106" i="106"/>
  <c r="I78" i="106"/>
  <c r="I107" i="106"/>
  <c r="AA111" i="106"/>
  <c r="AK66" i="59" s="1"/>
  <c r="AK25" i="60" s="1"/>
  <c r="P78" i="106"/>
  <c r="P107" i="106"/>
  <c r="P77" i="106"/>
  <c r="J99" i="106"/>
  <c r="J100" i="106"/>
  <c r="J98" i="106"/>
  <c r="K99" i="106"/>
  <c r="K100" i="106"/>
  <c r="K98" i="106"/>
  <c r="I76" i="106"/>
  <c r="I77" i="106"/>
  <c r="T99" i="106"/>
  <c r="T98" i="106"/>
  <c r="T100" i="106"/>
  <c r="P76" i="106"/>
  <c r="O23" i="106"/>
  <c r="S35" i="61"/>
  <c r="O25" i="106"/>
  <c r="I23" i="106"/>
  <c r="AB12" i="106"/>
  <c r="AB65" i="106"/>
  <c r="K45" i="106"/>
  <c r="K46" i="106"/>
  <c r="K44" i="106"/>
  <c r="P23" i="106"/>
  <c r="I25" i="106"/>
  <c r="P25" i="106"/>
  <c r="AA87" i="106"/>
  <c r="AA88" i="106"/>
  <c r="U44" i="106"/>
  <c r="U45" i="106"/>
  <c r="U46" i="106"/>
  <c r="AA33" i="106"/>
  <c r="AA25" i="62"/>
  <c r="AB25" i="62"/>
  <c r="R25" i="62"/>
  <c r="S25" i="62"/>
  <c r="AC25" i="62"/>
  <c r="O81" i="94"/>
  <c r="P237" i="119"/>
  <c r="R35" i="61"/>
  <c r="P53" i="106"/>
  <c r="L40" i="106"/>
  <c r="O113" i="119"/>
  <c r="S14" i="61"/>
  <c r="K235" i="119"/>
  <c r="R14" i="61"/>
  <c r="Y113" i="119"/>
  <c r="AL124" i="59"/>
  <c r="AG45" i="119" s="1"/>
  <c r="AK126" i="59"/>
  <c r="AF240" i="119" s="1"/>
  <c r="L163" i="119"/>
  <c r="P34" i="60"/>
  <c r="K163" i="119"/>
  <c r="Q34" i="60"/>
  <c r="Z165" i="119"/>
  <c r="AF168" i="119"/>
  <c r="AB59" i="60"/>
  <c r="L53" i="120"/>
  <c r="L23" i="120"/>
  <c r="N22" i="120"/>
  <c r="O106" i="131"/>
  <c r="O108" i="131"/>
  <c r="O8" i="120"/>
  <c r="U94" i="106"/>
  <c r="O13" i="120"/>
  <c r="O54" i="120" s="1"/>
  <c r="O11" i="120"/>
  <c r="O53" i="106"/>
  <c r="U105" i="131"/>
  <c r="Y11" i="120"/>
  <c r="O10" i="120"/>
  <c r="O51" i="120" s="1"/>
  <c r="K72" i="106"/>
  <c r="K73" i="106" s="1"/>
  <c r="K52" i="120"/>
  <c r="Z237" i="119"/>
  <c r="M13" i="120"/>
  <c r="M24" i="120" s="1"/>
  <c r="N24" i="120" s="1"/>
  <c r="N108" i="131"/>
  <c r="M10" i="120"/>
  <c r="N106" i="131"/>
  <c r="V104" i="106"/>
  <c r="K53" i="120"/>
  <c r="Z9" i="120"/>
  <c r="J52" i="106"/>
  <c r="K49" i="120"/>
  <c r="T12" i="120"/>
  <c r="T53" i="120" s="1"/>
  <c r="U37" i="60"/>
  <c r="P165" i="119"/>
  <c r="L50" i="106"/>
  <c r="AE37" i="60"/>
  <c r="P108" i="131"/>
  <c r="L104" i="106"/>
  <c r="V50" i="106"/>
  <c r="I53" i="106"/>
  <c r="N9" i="120"/>
  <c r="M69" i="106"/>
  <c r="M71" i="106" s="1"/>
  <c r="W69" i="106"/>
  <c r="W71" i="106" s="1"/>
  <c r="AA92" i="106"/>
  <c r="AA38" i="106"/>
  <c r="P13" i="120"/>
  <c r="R72" i="106"/>
  <c r="R73" i="106" s="1"/>
  <c r="Q19" i="106"/>
  <c r="Q20" i="106" s="1"/>
  <c r="N109" i="131"/>
  <c r="K6" i="132" s="1"/>
  <c r="N10" i="122" s="1"/>
  <c r="N105" i="131"/>
  <c r="M8" i="120"/>
  <c r="M19" i="120" s="1"/>
  <c r="R19" i="106"/>
  <c r="R20" i="106" s="1"/>
  <c r="N107" i="131"/>
  <c r="M12" i="120"/>
  <c r="AB114" i="59"/>
  <c r="K19" i="106"/>
  <c r="K20" i="106" s="1"/>
  <c r="O107" i="131"/>
  <c r="N12" i="120"/>
  <c r="Y79" i="94"/>
  <c r="AC113" i="59" s="1"/>
  <c r="Y78" i="94"/>
  <c r="R59" i="60"/>
  <c r="R114" i="59"/>
  <c r="R158" i="59"/>
  <c r="R159" i="59"/>
  <c r="Z374" i="119"/>
  <c r="V147" i="119"/>
  <c r="U219" i="119"/>
  <c r="P379" i="119"/>
  <c r="Q377" i="119"/>
  <c r="L219" i="119"/>
  <c r="N82" i="94"/>
  <c r="T18" i="62" s="1"/>
  <c r="N83" i="94"/>
  <c r="T38" i="62" s="1"/>
  <c r="T45" i="62" s="1"/>
  <c r="N87" i="94"/>
  <c r="N102" i="94" s="1"/>
  <c r="Z379" i="119"/>
  <c r="V219" i="119"/>
  <c r="P76" i="94"/>
  <c r="P382" i="119"/>
  <c r="P418" i="119" s="1"/>
  <c r="Q80" i="94"/>
  <c r="T147" i="119"/>
  <c r="K219" i="119"/>
  <c r="Z378" i="119"/>
  <c r="Y101" i="94"/>
  <c r="Y96" i="94"/>
  <c r="P373" i="119"/>
  <c r="T219" i="119"/>
  <c r="K147" i="119"/>
  <c r="L147" i="119"/>
  <c r="P375" i="119"/>
  <c r="Z375" i="119"/>
  <c r="Z381" i="119"/>
  <c r="Z417" i="119" s="1"/>
  <c r="O101" i="94"/>
  <c r="O96" i="94"/>
  <c r="P378" i="119"/>
  <c r="P374" i="119"/>
  <c r="O85" i="94"/>
  <c r="X87" i="94"/>
  <c r="X102" i="94" s="1"/>
  <c r="X82" i="94"/>
  <c r="AD18" i="62" s="1"/>
  <c r="X83" i="94"/>
  <c r="AD38" i="62" s="1"/>
  <c r="AD45" i="62" s="1"/>
  <c r="AA377" i="119"/>
  <c r="P77" i="94"/>
  <c r="P75" i="94"/>
  <c r="Z380" i="119"/>
  <c r="P380" i="119"/>
  <c r="P381" i="119"/>
  <c r="P417" i="119" s="1"/>
  <c r="O78" i="94"/>
  <c r="O79" i="94"/>
  <c r="S113" i="59" s="1"/>
  <c r="Z376" i="119"/>
  <c r="Z382" i="119"/>
  <c r="AA80" i="94"/>
  <c r="Y85" i="94"/>
  <c r="P376" i="119"/>
  <c r="P372" i="119"/>
  <c r="Q56" i="94"/>
  <c r="P57" i="94"/>
  <c r="P58" i="94"/>
  <c r="P95" i="94"/>
  <c r="Z372" i="119"/>
  <c r="U147" i="119"/>
  <c r="AL25" i="119"/>
  <c r="V25" i="119"/>
  <c r="AK86" i="62"/>
  <c r="N52" i="120"/>
  <c r="X50" i="120"/>
  <c r="T54" i="120"/>
  <c r="AJ235" i="99"/>
  <c r="P29" i="132"/>
  <c r="N15" i="106"/>
  <c r="N36" i="106"/>
  <c r="N37" i="106" s="1"/>
  <c r="N39" i="106" s="1"/>
  <c r="P30" i="132"/>
  <c r="N90" i="106"/>
  <c r="N91" i="106" s="1"/>
  <c r="N93" i="106" s="1"/>
  <c r="N68" i="106"/>
  <c r="P5" i="132"/>
  <c r="S9" i="122" s="1"/>
  <c r="AK236" i="99"/>
  <c r="S237" i="99"/>
  <c r="AK237" i="99" s="1"/>
  <c r="AK211" i="99"/>
  <c r="AF99" i="119"/>
  <c r="AF96" i="119"/>
  <c r="AK339" i="119"/>
  <c r="AK60" i="119"/>
  <c r="AK221" i="99"/>
  <c r="AE98" i="119"/>
  <c r="AE115" i="119"/>
  <c r="AE416" i="119" s="1"/>
  <c r="AL84" i="61"/>
  <c r="AF44" i="119"/>
  <c r="AK75" i="60"/>
  <c r="X46" i="119"/>
  <c r="X418" i="119" s="1"/>
  <c r="AR118" i="110"/>
  <c r="AM27" i="119" s="1"/>
  <c r="AI26" i="138" s="1"/>
  <c r="N8" i="120"/>
  <c r="V106" i="131"/>
  <c r="U10" i="120"/>
  <c r="U51" i="120" s="1"/>
  <c r="T8" i="120"/>
  <c r="V108" i="131"/>
  <c r="U13" i="120"/>
  <c r="V107" i="131"/>
  <c r="U12" i="120"/>
  <c r="T9" i="120"/>
  <c r="AK26" i="132"/>
  <c r="AK27" i="132"/>
  <c r="Z5" i="132"/>
  <c r="AC9" i="122" s="1"/>
  <c r="Z29" i="132"/>
  <c r="Z30" i="132"/>
  <c r="AE15" i="132"/>
  <c r="AH24" i="122" s="1"/>
  <c r="AH53" i="122" s="1"/>
  <c r="AE8" i="132"/>
  <c r="AH12" i="122" s="1"/>
  <c r="AE9" i="132"/>
  <c r="AH13" i="122" s="1"/>
  <c r="AH47" i="122" s="1"/>
  <c r="AE10" i="132"/>
  <c r="AH14" i="122" s="1"/>
  <c r="AH48" i="122" s="1"/>
  <c r="AK18" i="132"/>
  <c r="AN27" i="122" s="1"/>
  <c r="AN56" i="122" s="1"/>
  <c r="AK16" i="132"/>
  <c r="AN25" i="122" s="1"/>
  <c r="AN54" i="122" s="1"/>
  <c r="AK14" i="132"/>
  <c r="AN18" i="122" s="1"/>
  <c r="AN52" i="122" s="1"/>
  <c r="AK13" i="132"/>
  <c r="AN17" i="122" s="1"/>
  <c r="AN51" i="122" s="1"/>
  <c r="AE11" i="132"/>
  <c r="AH15" i="122" s="1"/>
  <c r="AH49" i="122" s="1"/>
  <c r="AE12" i="132"/>
  <c r="AH16" i="122" s="1"/>
  <c r="AH50" i="122" s="1"/>
  <c r="AE17" i="132"/>
  <c r="AH26" i="122" s="1"/>
  <c r="AH55" i="122" s="1"/>
  <c r="X36" i="106"/>
  <c r="X37" i="106" s="1"/>
  <c r="X39" i="106" s="1"/>
  <c r="X15" i="106"/>
  <c r="X90" i="106"/>
  <c r="X91" i="106" s="1"/>
  <c r="X93" i="106" s="1"/>
  <c r="X68" i="106"/>
  <c r="V63" i="82"/>
  <c r="AM326" i="119"/>
  <c r="AB17" i="106"/>
  <c r="AB84" i="106"/>
  <c r="AB70" i="106"/>
  <c r="V94" i="106"/>
  <c r="AM325" i="119"/>
  <c r="AJ238" i="99"/>
  <c r="AJ239" i="99" s="1"/>
  <c r="AB59" i="110" s="1"/>
  <c r="AB60" i="110" s="1"/>
  <c r="AK232" i="99"/>
  <c r="AK213" i="99"/>
  <c r="AL321" i="119"/>
  <c r="AK323" i="119"/>
  <c r="AP72" i="20"/>
  <c r="AK226" i="99"/>
  <c r="AQ59" i="20"/>
  <c r="AQ65" i="20"/>
  <c r="AQ39" i="20"/>
  <c r="AS51" i="20"/>
  <c r="AS42" i="20"/>
  <c r="AS37" i="20"/>
  <c r="AS45" i="20"/>
  <c r="AS48" i="20"/>
  <c r="AS41" i="20"/>
  <c r="AS54" i="20"/>
  <c r="AS38" i="20"/>
  <c r="AK231" i="99"/>
  <c r="AK224" i="99"/>
  <c r="BC160" i="99"/>
  <c r="BC161" i="99" s="1"/>
  <c r="AU110" i="110" s="1"/>
  <c r="BD125" i="99"/>
  <c r="AK234" i="99"/>
  <c r="AK230" i="99"/>
  <c r="AK203" i="99"/>
  <c r="AR43" i="20"/>
  <c r="AQ49" i="20"/>
  <c r="AQ74" i="20"/>
  <c r="BC8" i="99"/>
  <c r="BB43" i="99"/>
  <c r="BB44" i="99" s="1"/>
  <c r="AT15" i="20" s="1"/>
  <c r="AK337" i="119"/>
  <c r="AP62" i="20"/>
  <c r="AK205" i="99"/>
  <c r="AK206" i="99"/>
  <c r="BC86" i="99"/>
  <c r="BB121" i="99"/>
  <c r="BB122" i="99" s="1"/>
  <c r="AT51" i="110" s="1"/>
  <c r="AT52" i="110" s="1"/>
  <c r="AO328" i="119" s="1"/>
  <c r="AK219" i="99"/>
  <c r="AP66" i="20"/>
  <c r="AK320" i="119"/>
  <c r="AK209" i="99"/>
  <c r="BA82" i="99"/>
  <c r="BA83" i="99" s="1"/>
  <c r="AS47" i="110" s="1"/>
  <c r="AS48" i="110" s="1"/>
  <c r="BB47" i="99"/>
  <c r="AK208" i="99"/>
  <c r="AJ338" i="119"/>
  <c r="AO63" i="20"/>
  <c r="AJ26" i="119" s="1"/>
  <c r="AQ91" i="20"/>
  <c r="BA277" i="99"/>
  <c r="BA278" i="99" s="1"/>
  <c r="BB242" i="99"/>
  <c r="AK210" i="99"/>
  <c r="AK217" i="99"/>
  <c r="S238" i="99"/>
  <c r="AN326" i="119"/>
  <c r="AS126" i="110"/>
  <c r="AR68" i="20"/>
  <c r="AR57" i="20"/>
  <c r="AR88" i="20" s="1"/>
  <c r="AR67" i="20"/>
  <c r="AR58" i="20"/>
  <c r="AK222" i="99"/>
  <c r="AK204" i="99"/>
  <c r="AK229" i="99"/>
  <c r="AK227" i="99"/>
  <c r="AK215" i="99"/>
  <c r="AK214" i="99"/>
  <c r="AZ238" i="99"/>
  <c r="AZ239" i="99" s="1"/>
  <c r="AR59" i="110" s="1"/>
  <c r="AR60" i="110" s="1"/>
  <c r="BA203" i="99"/>
  <c r="AK228" i="99"/>
  <c r="AN327" i="119"/>
  <c r="AS127" i="110"/>
  <c r="AQ46" i="20"/>
  <c r="AQ71" i="20"/>
  <c r="AP60" i="20"/>
  <c r="AK322" i="119"/>
  <c r="AP69" i="20"/>
  <c r="AK218" i="99"/>
  <c r="AM24" i="119"/>
  <c r="AI23" i="138" s="1"/>
  <c r="AM329" i="119"/>
  <c r="AK220" i="99"/>
  <c r="AK233" i="99"/>
  <c r="BC199" i="99"/>
  <c r="BC200" i="99" s="1"/>
  <c r="AU55" i="110" s="1"/>
  <c r="AU56" i="110" s="1"/>
  <c r="AP28" i="119" s="1"/>
  <c r="BD164" i="99"/>
  <c r="AK216" i="99"/>
  <c r="AK225" i="99"/>
  <c r="AK207" i="99"/>
  <c r="AL324" i="119"/>
  <c r="AR52" i="20"/>
  <c r="AK212" i="99"/>
  <c r="AK223" i="99"/>
  <c r="U52" i="120"/>
  <c r="AD271" i="119"/>
  <c r="AE270" i="119"/>
  <c r="AK24" i="59"/>
  <c r="AK35" i="24" s="1"/>
  <c r="AC11" i="116"/>
  <c r="AF22" i="132"/>
  <c r="AC9" i="106"/>
  <c r="AM123" i="59"/>
  <c r="AA25" i="101"/>
  <c r="AC124" i="110"/>
  <c r="AB134" i="110"/>
  <c r="AM16" i="59"/>
  <c r="AC12" i="116"/>
  <c r="AF24" i="132"/>
  <c r="AC62" i="106"/>
  <c r="AL17" i="59"/>
  <c r="AM76" i="59"/>
  <c r="AF23" i="132"/>
  <c r="AL84" i="59"/>
  <c r="AL86" i="59"/>
  <c r="AG42" i="119" s="1"/>
  <c r="AK74" i="61"/>
  <c r="AL73" i="61"/>
  <c r="AL75" i="61"/>
  <c r="AA57" i="106"/>
  <c r="AA31" i="106"/>
  <c r="AK30" i="59"/>
  <c r="AA85" i="106"/>
  <c r="AJ31" i="59"/>
  <c r="AE269" i="119"/>
  <c r="AL36" i="61"/>
  <c r="AK58" i="60"/>
  <c r="AK56" i="60"/>
  <c r="AK55" i="60"/>
  <c r="AK87" i="59"/>
  <c r="AF43" i="119" s="1"/>
  <c r="AF97" i="119" s="1"/>
  <c r="AK111" i="59"/>
  <c r="AB10" i="106"/>
  <c r="AB63" i="106"/>
  <c r="AA24" i="101"/>
  <c r="AN120" i="59" s="1"/>
  <c r="AN121" i="59" s="1"/>
  <c r="AM83" i="59"/>
  <c r="AF25" i="132"/>
  <c r="AE180" i="119"/>
  <c r="AL72" i="61"/>
  <c r="AJ57" i="60"/>
  <c r="AT84" i="20" l="1"/>
  <c r="AT77" i="20"/>
  <c r="AO355" i="119" s="1"/>
  <c r="AT81" i="20"/>
  <c r="AO359" i="119" s="1"/>
  <c r="AT80" i="20"/>
  <c r="AO358" i="119" s="1"/>
  <c r="AT78" i="20"/>
  <c r="AO356" i="119" s="1"/>
  <c r="AT76" i="20"/>
  <c r="AO354" i="119" s="1"/>
  <c r="AT82" i="20"/>
  <c r="AO360" i="119" s="1"/>
  <c r="AT85" i="20"/>
  <c r="AO363" i="119" s="1"/>
  <c r="AT83" i="20"/>
  <c r="AO361" i="119" s="1"/>
  <c r="AT79" i="20"/>
  <c r="AO357" i="119" s="1"/>
  <c r="AT277" i="20"/>
  <c r="AT278" i="20"/>
  <c r="AT274" i="20"/>
  <c r="AT273" i="20"/>
  <c r="AT275" i="20"/>
  <c r="AT276" i="20"/>
  <c r="AO362" i="119"/>
  <c r="N16" i="106"/>
  <c r="N18" i="106"/>
  <c r="X16" i="106"/>
  <c r="X18" i="106"/>
  <c r="AO342" i="119"/>
  <c r="AO341" i="119"/>
  <c r="AA34" i="106"/>
  <c r="AM28" i="132"/>
  <c r="AU113" i="110"/>
  <c r="AU116" i="110" s="1"/>
  <c r="AU115" i="110"/>
  <c r="AU112" i="110"/>
  <c r="AU114" i="110" s="1"/>
  <c r="AP287" i="119"/>
  <c r="AL27" i="138"/>
  <c r="AT20" i="20"/>
  <c r="AT40" i="20" s="1"/>
  <c r="AT34" i="20"/>
  <c r="AT21" i="20"/>
  <c r="AT26" i="20"/>
  <c r="AT27" i="20"/>
  <c r="AT47" i="20" s="1"/>
  <c r="AT17" i="20"/>
  <c r="AT35" i="20"/>
  <c r="AT55" i="20" s="1"/>
  <c r="AT18" i="20"/>
  <c r="AT32" i="20"/>
  <c r="AT19" i="20"/>
  <c r="AT25" i="20"/>
  <c r="AT70" i="20" s="1"/>
  <c r="AT24" i="20"/>
  <c r="AT44" i="20" s="1"/>
  <c r="AT28" i="20"/>
  <c r="AT73" i="20" s="1"/>
  <c r="AT29" i="20"/>
  <c r="AT22" i="20"/>
  <c r="AT23" i="20"/>
  <c r="AT31" i="20"/>
  <c r="AT30" i="20"/>
  <c r="AT50" i="20" s="1"/>
  <c r="AT33" i="20"/>
  <c r="AT53" i="20" s="1"/>
  <c r="V286" i="119"/>
  <c r="R24" i="138"/>
  <c r="AL286" i="119"/>
  <c r="AH24" i="138"/>
  <c r="AL340" i="119"/>
  <c r="AL59" i="119"/>
  <c r="AR89" i="20"/>
  <c r="AR92" i="20" s="1"/>
  <c r="AH42" i="123"/>
  <c r="AF25" i="138"/>
  <c r="AL76" i="60"/>
  <c r="AN85" i="61" s="1"/>
  <c r="AN87" i="62" s="1"/>
  <c r="AJ35" i="60"/>
  <c r="AE110" i="119" s="1"/>
  <c r="AL15" i="61"/>
  <c r="AK48" i="59"/>
  <c r="AK14" i="60" s="1"/>
  <c r="X56" i="119"/>
  <c r="X127" i="119" s="1"/>
  <c r="X198" i="119"/>
  <c r="N56" i="119"/>
  <c r="N127" i="119" s="1"/>
  <c r="V40" i="61"/>
  <c r="V47" i="61" s="1"/>
  <c r="O253" i="119" s="1"/>
  <c r="V19" i="61"/>
  <c r="V26" i="61" s="1"/>
  <c r="O198" i="119" s="1"/>
  <c r="Y26" i="60"/>
  <c r="Z67" i="59"/>
  <c r="Y63" i="59"/>
  <c r="S49" i="59"/>
  <c r="Y49" i="59"/>
  <c r="Y64" i="59"/>
  <c r="Z49" i="59"/>
  <c r="S67" i="59"/>
  <c r="AA65" i="59"/>
  <c r="R63" i="59"/>
  <c r="T47" i="59"/>
  <c r="R68" i="59"/>
  <c r="T65" i="59"/>
  <c r="Y68" i="59"/>
  <c r="R64" i="59"/>
  <c r="V44" i="106"/>
  <c r="V45" i="106"/>
  <c r="V46" i="106"/>
  <c r="AB13" i="106"/>
  <c r="W74" i="106"/>
  <c r="AG27" i="60"/>
  <c r="L105" i="106"/>
  <c r="V69" i="59" s="1"/>
  <c r="M21" i="106"/>
  <c r="W16" i="60"/>
  <c r="M42" i="106"/>
  <c r="AB66" i="106"/>
  <c r="M96" i="106"/>
  <c r="M74" i="106"/>
  <c r="W27" i="60"/>
  <c r="L51" i="106"/>
  <c r="V51" i="59" s="1"/>
  <c r="V105" i="106"/>
  <c r="AF69" i="59" s="1"/>
  <c r="W21" i="106"/>
  <c r="AG16" i="60"/>
  <c r="W96" i="106"/>
  <c r="W42" i="106"/>
  <c r="V51" i="106"/>
  <c r="AF51" i="59" s="1"/>
  <c r="J24" i="106"/>
  <c r="J23" i="106"/>
  <c r="S33" i="62"/>
  <c r="L217" i="119" s="1"/>
  <c r="I110" i="106"/>
  <c r="P108" i="106"/>
  <c r="Z24" i="60"/>
  <c r="Y13" i="60"/>
  <c r="R26" i="60"/>
  <c r="K106" i="106"/>
  <c r="R15" i="60"/>
  <c r="R106" i="106"/>
  <c r="Z13" i="60"/>
  <c r="R33" i="62"/>
  <c r="K217" i="119" s="1"/>
  <c r="I109" i="106"/>
  <c r="P109" i="106"/>
  <c r="S13" i="60"/>
  <c r="I108" i="106"/>
  <c r="S24" i="60"/>
  <c r="P110" i="106"/>
  <c r="AL28" i="59"/>
  <c r="J77" i="106"/>
  <c r="J107" i="106"/>
  <c r="Q78" i="106"/>
  <c r="Q107" i="106"/>
  <c r="AB111" i="106"/>
  <c r="AL66" i="59" s="1"/>
  <c r="AL25" i="60" s="1"/>
  <c r="Q77" i="106"/>
  <c r="U99" i="106"/>
  <c r="U98" i="106"/>
  <c r="U100" i="106"/>
  <c r="J76" i="106"/>
  <c r="J78" i="106"/>
  <c r="V98" i="106"/>
  <c r="V100" i="106"/>
  <c r="V99" i="106"/>
  <c r="Q76" i="106"/>
  <c r="AB88" i="106"/>
  <c r="AB87" i="106"/>
  <c r="AC12" i="106"/>
  <c r="AC65" i="106"/>
  <c r="AB33" i="106"/>
  <c r="L44" i="106"/>
  <c r="L45" i="106"/>
  <c r="L46" i="106"/>
  <c r="T25" i="62"/>
  <c r="AD25" i="62"/>
  <c r="P81" i="94"/>
  <c r="M163" i="119"/>
  <c r="M235" i="119"/>
  <c r="AA237" i="119"/>
  <c r="Z113" i="119"/>
  <c r="L109" i="119"/>
  <c r="W40" i="106"/>
  <c r="J17" i="116"/>
  <c r="S13" i="62"/>
  <c r="L145" i="119" s="1"/>
  <c r="Q237" i="119"/>
  <c r="K109" i="119"/>
  <c r="M40" i="106"/>
  <c r="AA35" i="61"/>
  <c r="Q165" i="119"/>
  <c r="P113" i="119"/>
  <c r="T14" i="61"/>
  <c r="R34" i="60"/>
  <c r="T35" i="61"/>
  <c r="R13" i="62"/>
  <c r="K145" i="119" s="1"/>
  <c r="AM124" i="59"/>
  <c r="AH45" i="119" s="1"/>
  <c r="AL126" i="59"/>
  <c r="AG240" i="119" s="1"/>
  <c r="T235" i="119"/>
  <c r="AG168" i="119"/>
  <c r="V10" i="120"/>
  <c r="V51" i="120" s="1"/>
  <c r="AK57" i="60"/>
  <c r="AC59" i="60"/>
  <c r="M23" i="120"/>
  <c r="N23" i="120" s="1"/>
  <c r="O24" i="120"/>
  <c r="P24" i="120" s="1"/>
  <c r="N19" i="120"/>
  <c r="O19" i="120" s="1"/>
  <c r="M51" i="120"/>
  <c r="M21" i="120"/>
  <c r="N21" i="120" s="1"/>
  <c r="O21" i="120" s="1"/>
  <c r="O22" i="120"/>
  <c r="N50" i="120"/>
  <c r="N20" i="120"/>
  <c r="P107" i="131"/>
  <c r="O12" i="120"/>
  <c r="O53" i="120" s="1"/>
  <c r="Z11" i="120"/>
  <c r="P106" i="131"/>
  <c r="O105" i="131"/>
  <c r="L94" i="106"/>
  <c r="Q52" i="106"/>
  <c r="P10" i="120"/>
  <c r="P51" i="120" s="1"/>
  <c r="P9" i="120"/>
  <c r="U109" i="131"/>
  <c r="R6" i="132" s="1"/>
  <c r="U10" i="122" s="1"/>
  <c r="M104" i="106"/>
  <c r="M54" i="120"/>
  <c r="R52" i="106"/>
  <c r="W50" i="106"/>
  <c r="U107" i="131"/>
  <c r="J53" i="106"/>
  <c r="L72" i="106"/>
  <c r="L73" i="106" s="1"/>
  <c r="O109" i="131"/>
  <c r="L6" i="132" s="1"/>
  <c r="O10" i="122" s="1"/>
  <c r="W104" i="106"/>
  <c r="M50" i="106"/>
  <c r="V37" i="60"/>
  <c r="AA165" i="119"/>
  <c r="AF37" i="60"/>
  <c r="K22" i="119"/>
  <c r="X69" i="106"/>
  <c r="X71" i="106" s="1"/>
  <c r="N69" i="106"/>
  <c r="N71" i="106" s="1"/>
  <c r="Q108" i="131"/>
  <c r="AB92" i="106"/>
  <c r="AB38" i="106"/>
  <c r="T22" i="119"/>
  <c r="S72" i="106"/>
  <c r="S73" i="106" s="1"/>
  <c r="M49" i="120"/>
  <c r="L19" i="106"/>
  <c r="L20" i="106" s="1"/>
  <c r="M53" i="120"/>
  <c r="N53" i="120"/>
  <c r="K52" i="106"/>
  <c r="AC114" i="59"/>
  <c r="V22" i="119"/>
  <c r="P79" i="94"/>
  <c r="T113" i="59" s="1"/>
  <c r="Q75" i="94"/>
  <c r="AA376" i="119"/>
  <c r="P101" i="94"/>
  <c r="P96" i="94"/>
  <c r="S59" i="60"/>
  <c r="S114" i="59"/>
  <c r="P85" i="94"/>
  <c r="AA378" i="119"/>
  <c r="S159" i="59"/>
  <c r="S158" i="59"/>
  <c r="Q381" i="119"/>
  <c r="Q417" i="119" s="1"/>
  <c r="Q378" i="119"/>
  <c r="P78" i="94"/>
  <c r="AA372" i="119"/>
  <c r="O87" i="94"/>
  <c r="O102" i="94" s="1"/>
  <c r="O83" i="94"/>
  <c r="U38" i="62" s="1"/>
  <c r="U45" i="62" s="1"/>
  <c r="O82" i="94"/>
  <c r="U18" i="62" s="1"/>
  <c r="M219" i="119"/>
  <c r="Q380" i="119"/>
  <c r="Q373" i="119"/>
  <c r="AA380" i="119"/>
  <c r="AA374" i="119"/>
  <c r="M147" i="119"/>
  <c r="Q379" i="119"/>
  <c r="Y83" i="94"/>
  <c r="AE38" i="62" s="1"/>
  <c r="AE45" i="62" s="1"/>
  <c r="Y87" i="94"/>
  <c r="Y102" i="94" s="1"/>
  <c r="Y82" i="94"/>
  <c r="AE18" i="62" s="1"/>
  <c r="AB80" i="94"/>
  <c r="AA382" i="119"/>
  <c r="L22" i="119"/>
  <c r="Q375" i="119"/>
  <c r="AA381" i="119"/>
  <c r="AA417" i="119" s="1"/>
  <c r="AA375" i="119"/>
  <c r="AB377" i="119"/>
  <c r="R377" i="119"/>
  <c r="Q95" i="94"/>
  <c r="Q57" i="94"/>
  <c r="Q58" i="94"/>
  <c r="W219" i="119"/>
  <c r="Q372" i="119"/>
  <c r="R56" i="94"/>
  <c r="Q374" i="119"/>
  <c r="U22" i="119"/>
  <c r="Q76" i="94"/>
  <c r="AA379" i="119"/>
  <c r="W147" i="119"/>
  <c r="Q77" i="94"/>
  <c r="Q382" i="119"/>
  <c r="Q418" i="119" s="1"/>
  <c r="R80" i="94"/>
  <c r="Q376" i="119"/>
  <c r="AL86" i="62"/>
  <c r="AM25" i="119"/>
  <c r="W25" i="119"/>
  <c r="U54" i="120"/>
  <c r="N49" i="120"/>
  <c r="U50" i="120"/>
  <c r="P54" i="120"/>
  <c r="T49" i="120"/>
  <c r="U53" i="120"/>
  <c r="O52" i="120"/>
  <c r="AG96" i="119"/>
  <c r="AG99" i="119"/>
  <c r="AF98" i="119"/>
  <c r="AL339" i="119"/>
  <c r="AL60" i="119"/>
  <c r="Y46" i="119"/>
  <c r="Y418" i="119" s="1"/>
  <c r="I43" i="92" s="1"/>
  <c r="AG44" i="119"/>
  <c r="AL75" i="60"/>
  <c r="AF115" i="119"/>
  <c r="AF416" i="119" s="1"/>
  <c r="AM84" i="61"/>
  <c r="O49" i="120"/>
  <c r="W108" i="131"/>
  <c r="V13" i="120"/>
  <c r="W106" i="131"/>
  <c r="Y9" i="120"/>
  <c r="AL26" i="132"/>
  <c r="AL27" i="132"/>
  <c r="AA5" i="132"/>
  <c r="AD9" i="122" s="1"/>
  <c r="AA29" i="132"/>
  <c r="AA30" i="132"/>
  <c r="AF17" i="132"/>
  <c r="AI26" i="122" s="1"/>
  <c r="AI55" i="122" s="1"/>
  <c r="AF11" i="132"/>
  <c r="AI15" i="122" s="1"/>
  <c r="AI49" i="122" s="1"/>
  <c r="AF12" i="132"/>
  <c r="AI16" i="122" s="1"/>
  <c r="AI50" i="122" s="1"/>
  <c r="AL18" i="132"/>
  <c r="AO27" i="122" s="1"/>
  <c r="AO56" i="122" s="1"/>
  <c r="AL16" i="132"/>
  <c r="AO25" i="122" s="1"/>
  <c r="AO54" i="122" s="1"/>
  <c r="AL13" i="132"/>
  <c r="AO17" i="122" s="1"/>
  <c r="AO51" i="122" s="1"/>
  <c r="AL14" i="132"/>
  <c r="AO18" i="122" s="1"/>
  <c r="AO52" i="122" s="1"/>
  <c r="AF15" i="132"/>
  <c r="AI24" i="122" s="1"/>
  <c r="AI53" i="122" s="1"/>
  <c r="AF10" i="132"/>
  <c r="AI14" i="122" s="1"/>
  <c r="AI48" i="122" s="1"/>
  <c r="AF9" i="132"/>
  <c r="AI13" i="122" s="1"/>
  <c r="AI47" i="122" s="1"/>
  <c r="AF8" i="132"/>
  <c r="AI12" i="122" s="1"/>
  <c r="W63" i="82"/>
  <c r="Y68" i="106"/>
  <c r="Y69" i="106" s="1"/>
  <c r="Y74" i="106" s="1"/>
  <c r="Y36" i="106"/>
  <c r="Y37" i="106" s="1"/>
  <c r="Y39" i="106" s="1"/>
  <c r="Y15" i="106"/>
  <c r="Y90" i="106"/>
  <c r="Y91" i="106" s="1"/>
  <c r="Y93" i="106" s="1"/>
  <c r="AB85" i="106"/>
  <c r="AB57" i="106"/>
  <c r="AB31" i="106"/>
  <c r="AC17" i="106"/>
  <c r="AC84" i="106"/>
  <c r="AC70" i="106"/>
  <c r="AM321" i="119"/>
  <c r="AN325" i="119"/>
  <c r="AN24" i="119"/>
  <c r="AJ23" i="138" s="1"/>
  <c r="AN329" i="119"/>
  <c r="BC121" i="99"/>
  <c r="BC122" i="99" s="1"/>
  <c r="AU51" i="110" s="1"/>
  <c r="AU52" i="110" s="1"/>
  <c r="AP328" i="119" s="1"/>
  <c r="BD86" i="99"/>
  <c r="BD160" i="99"/>
  <c r="BD161" i="99" s="1"/>
  <c r="AV110" i="110" s="1"/>
  <c r="BE125" i="99"/>
  <c r="AO327" i="119"/>
  <c r="AT127" i="110"/>
  <c r="AR49" i="20"/>
  <c r="AR74" i="20"/>
  <c r="AS118" i="110"/>
  <c r="AN27" i="119" s="1"/>
  <c r="AJ26" i="138" s="1"/>
  <c r="AL320" i="119"/>
  <c r="AQ60" i="20"/>
  <c r="AQ66" i="20"/>
  <c r="AQ72" i="20"/>
  <c r="AL323" i="119"/>
  <c r="AR71" i="20"/>
  <c r="AR46" i="20"/>
  <c r="AS68" i="20"/>
  <c r="AS57" i="20"/>
  <c r="AL337" i="119"/>
  <c r="AQ62" i="20"/>
  <c r="BA238" i="99"/>
  <c r="BA239" i="99" s="1"/>
  <c r="AS59" i="110" s="1"/>
  <c r="AS60" i="110" s="1"/>
  <c r="BB203" i="99"/>
  <c r="AQ69" i="20"/>
  <c r="AL322" i="119"/>
  <c r="BD199" i="99"/>
  <c r="BD200" i="99" s="1"/>
  <c r="AV55" i="110" s="1"/>
  <c r="AV56" i="110" s="1"/>
  <c r="AQ28" i="119" s="1"/>
  <c r="BE164" i="99"/>
  <c r="AT126" i="110"/>
  <c r="AK235" i="99"/>
  <c r="AK238" i="99" s="1"/>
  <c r="AK239" i="99" s="1"/>
  <c r="AC59" i="110" s="1"/>
  <c r="BB277" i="99"/>
  <c r="BB278" i="99" s="1"/>
  <c r="BC242" i="99"/>
  <c r="AT54" i="20"/>
  <c r="AT38" i="20"/>
  <c r="AT51" i="20"/>
  <c r="AT41" i="20"/>
  <c r="AT42" i="20"/>
  <c r="AT37" i="20"/>
  <c r="AT45" i="20"/>
  <c r="AT48" i="20"/>
  <c r="AS52" i="20"/>
  <c r="AS43" i="20"/>
  <c r="AM324" i="119"/>
  <c r="AK338" i="119"/>
  <c r="AP63" i="20"/>
  <c r="AK26" i="119" s="1"/>
  <c r="AR91" i="20"/>
  <c r="BB82" i="99"/>
  <c r="BB83" i="99" s="1"/>
  <c r="AT47" i="110" s="1"/>
  <c r="AT48" i="110" s="1"/>
  <c r="BC47" i="99"/>
  <c r="BD8" i="99"/>
  <c r="BC43" i="99"/>
  <c r="BC44" i="99" s="1"/>
  <c r="AU15" i="20" s="1"/>
  <c r="AS67" i="20"/>
  <c r="AS58" i="20"/>
  <c r="AR59" i="20"/>
  <c r="AR39" i="20"/>
  <c r="AR65" i="20"/>
  <c r="V52" i="120"/>
  <c r="AE271" i="119"/>
  <c r="AF270" i="119"/>
  <c r="AM36" i="61"/>
  <c r="AL74" i="61"/>
  <c r="AN83" i="59"/>
  <c r="AG25" i="132"/>
  <c r="AB24" i="101"/>
  <c r="AO120" i="59" s="1"/>
  <c r="AO121" i="59" s="1"/>
  <c r="AM73" i="61"/>
  <c r="AM75" i="61"/>
  <c r="AL58" i="60"/>
  <c r="AL56" i="60"/>
  <c r="AL55" i="60"/>
  <c r="AL87" i="59"/>
  <c r="AG43" i="119" s="1"/>
  <c r="AG97" i="119" s="1"/>
  <c r="AL111" i="59"/>
  <c r="AL30" i="59"/>
  <c r="AC63" i="106"/>
  <c r="AD124" i="110"/>
  <c r="AN123" i="59"/>
  <c r="AB25" i="101"/>
  <c r="AL24" i="59"/>
  <c r="AL35" i="24" s="1"/>
  <c r="AD11" i="116"/>
  <c r="AG22" i="132"/>
  <c r="AD9" i="106"/>
  <c r="AD17" i="106" s="1"/>
  <c r="AK31" i="59"/>
  <c r="AF269" i="119"/>
  <c r="AM84" i="59"/>
  <c r="AM86" i="59"/>
  <c r="AH42" i="119" s="1"/>
  <c r="AM72" i="61"/>
  <c r="AD255" i="119"/>
  <c r="AN76" i="59"/>
  <c r="AG23" i="132"/>
  <c r="AN16" i="59"/>
  <c r="AD12" i="116"/>
  <c r="AG24" i="132"/>
  <c r="AD62" i="106"/>
  <c r="AM17" i="59"/>
  <c r="AC134" i="110"/>
  <c r="AC10" i="106"/>
  <c r="AF180" i="119"/>
  <c r="AU79" i="20" l="1"/>
  <c r="AP357" i="119" s="1"/>
  <c r="AU82" i="20"/>
  <c r="AP360" i="119" s="1"/>
  <c r="AU80" i="20"/>
  <c r="AP358" i="119" s="1"/>
  <c r="AU85" i="20"/>
  <c r="AP363" i="119" s="1"/>
  <c r="AU84" i="20"/>
  <c r="AP362" i="119" s="1"/>
  <c r="AU83" i="20"/>
  <c r="AP361" i="119" s="1"/>
  <c r="AU76" i="20"/>
  <c r="AP354" i="119" s="1"/>
  <c r="AU81" i="20"/>
  <c r="AP359" i="119" s="1"/>
  <c r="AU78" i="20"/>
  <c r="AP356" i="119" s="1"/>
  <c r="AU77" i="20"/>
  <c r="AP355" i="119" s="1"/>
  <c r="AU275" i="20"/>
  <c r="AU278" i="20"/>
  <c r="AU273" i="20"/>
  <c r="AU276" i="20"/>
  <c r="AU274" i="20"/>
  <c r="AU277" i="20"/>
  <c r="Y16" i="106"/>
  <c r="Y18" i="106"/>
  <c r="AP342" i="119"/>
  <c r="AP341" i="119"/>
  <c r="AB34" i="106"/>
  <c r="AN28" i="132"/>
  <c r="AV112" i="110"/>
  <c r="AV114" i="110" s="1"/>
  <c r="AV113" i="110"/>
  <c r="AV116" i="110" s="1"/>
  <c r="AV115" i="110"/>
  <c r="AQ287" i="119"/>
  <c r="AM27" i="138"/>
  <c r="W286" i="119"/>
  <c r="S24" i="138"/>
  <c r="AU25" i="20"/>
  <c r="AU70" i="20" s="1"/>
  <c r="AU33" i="20"/>
  <c r="AU53" i="20" s="1"/>
  <c r="AU24" i="20"/>
  <c r="AU44" i="20" s="1"/>
  <c r="AU27" i="20"/>
  <c r="AU47" i="20" s="1"/>
  <c r="AU30" i="20"/>
  <c r="AU50" i="20" s="1"/>
  <c r="AU22" i="20"/>
  <c r="AU29" i="20"/>
  <c r="AU17" i="20"/>
  <c r="AU20" i="20"/>
  <c r="AU40" i="20" s="1"/>
  <c r="AU34" i="20"/>
  <c r="AU23" i="20"/>
  <c r="AU26" i="20"/>
  <c r="AU35" i="20"/>
  <c r="AU55" i="20" s="1"/>
  <c r="AU19" i="20"/>
  <c r="AU28" i="20"/>
  <c r="AU73" i="20" s="1"/>
  <c r="AU21" i="20"/>
  <c r="AU18" i="20"/>
  <c r="AU32" i="20"/>
  <c r="AU31" i="20"/>
  <c r="AM286" i="119"/>
  <c r="AI24" i="138"/>
  <c r="AM340" i="119"/>
  <c r="AM59" i="119"/>
  <c r="AS88" i="20"/>
  <c r="AS91" i="20" s="1"/>
  <c r="AS89" i="20"/>
  <c r="AS92" i="20" s="1"/>
  <c r="V76" i="119"/>
  <c r="R21" i="138"/>
  <c r="L76" i="119"/>
  <c r="H21" i="138"/>
  <c r="T76" i="119"/>
  <c r="P21" i="138"/>
  <c r="U76" i="119"/>
  <c r="Q21" i="138"/>
  <c r="AI42" i="123"/>
  <c r="AG25" i="138"/>
  <c r="K76" i="119"/>
  <c r="G21" i="138"/>
  <c r="AM76" i="60"/>
  <c r="AO85" i="61" s="1"/>
  <c r="AO87" i="62" s="1"/>
  <c r="AK35" i="60"/>
  <c r="AF110" i="119" s="1"/>
  <c r="AM15" i="61"/>
  <c r="AL48" i="59"/>
  <c r="AL14" i="60" s="1"/>
  <c r="O56" i="119"/>
  <c r="O127" i="119" s="1"/>
  <c r="W19" i="61"/>
  <c r="W26" i="61" s="1"/>
  <c r="P198" i="119" s="1"/>
  <c r="W40" i="61"/>
  <c r="W47" i="61" s="1"/>
  <c r="P253" i="119" s="1"/>
  <c r="J15" i="116"/>
  <c r="J20" i="116" s="1"/>
  <c r="T49" i="59"/>
  <c r="U47" i="59"/>
  <c r="AA47" i="59"/>
  <c r="S63" i="59"/>
  <c r="AA67" i="59"/>
  <c r="Z68" i="59"/>
  <c r="Z64" i="59"/>
  <c r="AB47" i="59"/>
  <c r="Z63" i="59"/>
  <c r="T67" i="59"/>
  <c r="S64" i="59"/>
  <c r="S68" i="59"/>
  <c r="AB65" i="59"/>
  <c r="U65" i="59"/>
  <c r="N96" i="106"/>
  <c r="M105" i="106"/>
  <c r="W69" i="59" s="1"/>
  <c r="AC13" i="106"/>
  <c r="N21" i="106"/>
  <c r="X16" i="60"/>
  <c r="X42" i="106"/>
  <c r="N74" i="106"/>
  <c r="X27" i="60"/>
  <c r="X96" i="106"/>
  <c r="M51" i="106"/>
  <c r="W51" i="59" s="1"/>
  <c r="X74" i="106"/>
  <c r="AH27" i="60"/>
  <c r="W105" i="106"/>
  <c r="AG69" i="59" s="1"/>
  <c r="X21" i="106"/>
  <c r="AH16" i="60"/>
  <c r="W51" i="106"/>
  <c r="AG51" i="59" s="1"/>
  <c r="N42" i="106"/>
  <c r="AC66" i="106"/>
  <c r="Z26" i="60"/>
  <c r="T13" i="60"/>
  <c r="Z15" i="60"/>
  <c r="J110" i="106"/>
  <c r="Q110" i="106"/>
  <c r="Q24" i="106"/>
  <c r="T24" i="60"/>
  <c r="J108" i="106"/>
  <c r="J109" i="106"/>
  <c r="R23" i="106"/>
  <c r="S106" i="106"/>
  <c r="AA24" i="60"/>
  <c r="S15" i="60"/>
  <c r="K23" i="106"/>
  <c r="Q108" i="106"/>
  <c r="Q109" i="106"/>
  <c r="L106" i="106"/>
  <c r="Y15" i="60"/>
  <c r="S26" i="60"/>
  <c r="AM28" i="59"/>
  <c r="R77" i="106"/>
  <c r="R107" i="106"/>
  <c r="K77" i="106"/>
  <c r="K107" i="106"/>
  <c r="K78" i="106"/>
  <c r="AC111" i="106"/>
  <c r="AM66" i="59" s="1"/>
  <c r="AM25" i="60" s="1"/>
  <c r="L99" i="106"/>
  <c r="L98" i="106"/>
  <c r="L100" i="106"/>
  <c r="R76" i="106"/>
  <c r="K76" i="106"/>
  <c r="R78" i="106"/>
  <c r="K25" i="106"/>
  <c r="M44" i="106"/>
  <c r="M45" i="106"/>
  <c r="M46" i="106"/>
  <c r="K24" i="106"/>
  <c r="R25" i="106"/>
  <c r="AD65" i="106"/>
  <c r="Q23" i="106"/>
  <c r="R24" i="106"/>
  <c r="AC33" i="106"/>
  <c r="Q25" i="106"/>
  <c r="AD12" i="106"/>
  <c r="AC87" i="106"/>
  <c r="AC88" i="106"/>
  <c r="W46" i="106"/>
  <c r="W44" i="106"/>
  <c r="W45" i="106"/>
  <c r="Q81" i="94"/>
  <c r="AE25" i="62"/>
  <c r="U25" i="62"/>
  <c r="AM74" i="61"/>
  <c r="N40" i="106"/>
  <c r="T163" i="119"/>
  <c r="T13" i="62"/>
  <c r="M145" i="119" s="1"/>
  <c r="AA33" i="62"/>
  <c r="T217" i="119" s="1"/>
  <c r="AA113" i="119"/>
  <c r="X40" i="106"/>
  <c r="U14" i="61"/>
  <c r="T33" i="62"/>
  <c r="M217" i="119" s="1"/>
  <c r="Q113" i="119"/>
  <c r="M109" i="119"/>
  <c r="U163" i="119"/>
  <c r="R165" i="119"/>
  <c r="N235" i="119"/>
  <c r="U35" i="61"/>
  <c r="AB165" i="119"/>
  <c r="AN124" i="59"/>
  <c r="AI45" i="119" s="1"/>
  <c r="AM126" i="59"/>
  <c r="AH240" i="119" s="1"/>
  <c r="N163" i="119"/>
  <c r="S34" i="60"/>
  <c r="AB14" i="61"/>
  <c r="AA14" i="61"/>
  <c r="Z34" i="60"/>
  <c r="Y34" i="60"/>
  <c r="U235" i="119"/>
  <c r="AB35" i="61"/>
  <c r="AG37" i="60"/>
  <c r="T114" i="59"/>
  <c r="M19" i="106"/>
  <c r="M20" i="106" s="1"/>
  <c r="N50" i="106"/>
  <c r="O23" i="120"/>
  <c r="P21" i="120"/>
  <c r="R237" i="119"/>
  <c r="M72" i="106"/>
  <c r="M73" i="106" s="1"/>
  <c r="W10" i="120"/>
  <c r="V8" i="120"/>
  <c r="Q53" i="106"/>
  <c r="AB237" i="119"/>
  <c r="X104" i="106"/>
  <c r="AA9" i="120"/>
  <c r="P109" i="131"/>
  <c r="M6" i="132" s="1"/>
  <c r="P10" i="122" s="1"/>
  <c r="O9" i="120"/>
  <c r="O20" i="120" s="1"/>
  <c r="P20" i="120" s="1"/>
  <c r="P105" i="131"/>
  <c r="M94" i="106"/>
  <c r="N104" i="106"/>
  <c r="W12" i="120"/>
  <c r="W37" i="60"/>
  <c r="R53" i="106"/>
  <c r="X50" i="106"/>
  <c r="W94" i="106"/>
  <c r="Y71" i="106"/>
  <c r="Y72" i="106" s="1"/>
  <c r="Y73" i="106" s="1"/>
  <c r="T72" i="106"/>
  <c r="T73" i="106" s="1"/>
  <c r="AC92" i="106"/>
  <c r="T59" i="60"/>
  <c r="AC38" i="106"/>
  <c r="K53" i="106"/>
  <c r="S19" i="106"/>
  <c r="S20" i="106" s="1"/>
  <c r="T19" i="106"/>
  <c r="T20" i="106" s="1"/>
  <c r="L52" i="106"/>
  <c r="M22" i="119"/>
  <c r="R378" i="119"/>
  <c r="AB374" i="119"/>
  <c r="AB382" i="119"/>
  <c r="AC80" i="94"/>
  <c r="X147" i="119"/>
  <c r="R77" i="94"/>
  <c r="R75" i="94"/>
  <c r="S377" i="119"/>
  <c r="Q85" i="94"/>
  <c r="S80" i="94"/>
  <c r="R382" i="119"/>
  <c r="R418" i="119" s="1"/>
  <c r="Q78" i="94"/>
  <c r="Q79" i="94"/>
  <c r="U113" i="59" s="1"/>
  <c r="AB376" i="119"/>
  <c r="AB381" i="119"/>
  <c r="AB417" i="119" s="1"/>
  <c r="W22" i="119"/>
  <c r="R376" i="119"/>
  <c r="AB372" i="119"/>
  <c r="X219" i="119"/>
  <c r="AC377" i="119"/>
  <c r="R380" i="119"/>
  <c r="AB379" i="119"/>
  <c r="AB375" i="119"/>
  <c r="N219" i="119"/>
  <c r="Q101" i="94"/>
  <c r="Q96" i="94"/>
  <c r="R372" i="119"/>
  <c r="S56" i="94"/>
  <c r="AB378" i="119"/>
  <c r="R375" i="119"/>
  <c r="P87" i="94"/>
  <c r="P102" i="94" s="1"/>
  <c r="P82" i="94"/>
  <c r="V18" i="62" s="1"/>
  <c r="P83" i="94"/>
  <c r="V38" i="62" s="1"/>
  <c r="V45" i="62" s="1"/>
  <c r="R95" i="94"/>
  <c r="R57" i="94"/>
  <c r="R58" i="94"/>
  <c r="R379" i="119"/>
  <c r="R374" i="119"/>
  <c r="AB380" i="119"/>
  <c r="R76" i="94"/>
  <c r="R381" i="119"/>
  <c r="R417" i="119" s="1"/>
  <c r="R373" i="119"/>
  <c r="N147" i="119"/>
  <c r="T159" i="59"/>
  <c r="T158" i="59"/>
  <c r="AM86" i="62"/>
  <c r="AN25" i="119"/>
  <c r="P50" i="120"/>
  <c r="Z50" i="120"/>
  <c r="V54" i="120"/>
  <c r="X63" i="82"/>
  <c r="AH96" i="119"/>
  <c r="AH99" i="119"/>
  <c r="AM339" i="119"/>
  <c r="AM60" i="119"/>
  <c r="AG98" i="119"/>
  <c r="AC60" i="110"/>
  <c r="AG115" i="119"/>
  <c r="AG416" i="119" s="1"/>
  <c r="AN84" i="61"/>
  <c r="Z46" i="119"/>
  <c r="Z418" i="119" s="1"/>
  <c r="AH44" i="119"/>
  <c r="AM75" i="60"/>
  <c r="AH168" i="119"/>
  <c r="Y50" i="120"/>
  <c r="W13" i="120"/>
  <c r="Q11" i="120"/>
  <c r="Q9" i="120"/>
  <c r="P11" i="120"/>
  <c r="P52" i="120" s="1"/>
  <c r="Q106" i="131"/>
  <c r="U8" i="120"/>
  <c r="V109" i="131"/>
  <c r="V105" i="131"/>
  <c r="AM26" i="132"/>
  <c r="AM27" i="132"/>
  <c r="AB5" i="132"/>
  <c r="AE9" i="122" s="1"/>
  <c r="AB29" i="132"/>
  <c r="AB30" i="132"/>
  <c r="AG15" i="132"/>
  <c r="AJ24" i="122" s="1"/>
  <c r="AJ53" i="122" s="1"/>
  <c r="AG10" i="132"/>
  <c r="AJ14" i="122" s="1"/>
  <c r="AJ48" i="122" s="1"/>
  <c r="AG9" i="132"/>
  <c r="AJ13" i="122" s="1"/>
  <c r="AJ47" i="122" s="1"/>
  <c r="AG8" i="132"/>
  <c r="AJ12" i="122" s="1"/>
  <c r="AM16" i="132"/>
  <c r="AP25" i="122" s="1"/>
  <c r="AP54" i="122" s="1"/>
  <c r="AM18" i="132"/>
  <c r="AP27" i="122" s="1"/>
  <c r="AP56" i="122" s="1"/>
  <c r="AM14" i="132"/>
  <c r="AP18" i="122" s="1"/>
  <c r="AP52" i="122" s="1"/>
  <c r="AM13" i="132"/>
  <c r="AP17" i="122" s="1"/>
  <c r="AP51" i="122" s="1"/>
  <c r="AG17" i="132"/>
  <c r="AJ26" i="122" s="1"/>
  <c r="AJ55" i="122" s="1"/>
  <c r="AG11" i="132"/>
  <c r="AJ15" i="122" s="1"/>
  <c r="AJ49" i="122" s="1"/>
  <c r="AG12" i="132"/>
  <c r="AJ16" i="122" s="1"/>
  <c r="AJ50" i="122" s="1"/>
  <c r="AT118" i="110"/>
  <c r="AO27" i="119" s="1"/>
  <c r="AK26" i="138" s="1"/>
  <c r="Z15" i="106"/>
  <c r="Z36" i="106"/>
  <c r="Z37" i="106" s="1"/>
  <c r="Z39" i="106" s="1"/>
  <c r="Z90" i="106"/>
  <c r="Z91" i="106" s="1"/>
  <c r="Z93" i="106" s="1"/>
  <c r="Z68" i="106"/>
  <c r="AA11" i="120"/>
  <c r="AC57" i="106"/>
  <c r="AC31" i="106"/>
  <c r="AC85" i="106"/>
  <c r="AD84" i="106"/>
  <c r="AD70" i="106"/>
  <c r="AU48" i="20"/>
  <c r="AU51" i="20"/>
  <c r="AU41" i="20"/>
  <c r="AU45" i="20"/>
  <c r="AU42" i="20"/>
  <c r="AU37" i="20"/>
  <c r="AU54" i="20"/>
  <c r="AU38" i="20"/>
  <c r="BE8" i="99"/>
  <c r="BD43" i="99"/>
  <c r="BD44" i="99" s="1"/>
  <c r="AV15" i="20" s="1"/>
  <c r="AM323" i="119"/>
  <c r="AR72" i="20"/>
  <c r="AO326" i="119"/>
  <c r="BE199" i="99"/>
  <c r="BE200" i="99" s="1"/>
  <c r="AW55" i="110" s="1"/>
  <c r="AW56" i="110" s="1"/>
  <c r="AR28" i="119" s="1"/>
  <c r="BF164" i="99"/>
  <c r="BF199" i="99" s="1"/>
  <c r="BF200" i="99" s="1"/>
  <c r="AX55" i="110" s="1"/>
  <c r="AX56" i="110" s="1"/>
  <c r="AS28" i="119" s="1"/>
  <c r="BB238" i="99"/>
  <c r="BB239" i="99" s="1"/>
  <c r="AT59" i="110" s="1"/>
  <c r="AT60" i="110" s="1"/>
  <c r="BC203" i="99"/>
  <c r="AP327" i="119"/>
  <c r="AU127" i="110"/>
  <c r="AL338" i="119"/>
  <c r="AQ63" i="20"/>
  <c r="AL26" i="119" s="1"/>
  <c r="BD121" i="99"/>
  <c r="BD122" i="99" s="1"/>
  <c r="AV51" i="110" s="1"/>
  <c r="AV52" i="110" s="1"/>
  <c r="AQ328" i="119" s="1"/>
  <c r="BE86" i="99"/>
  <c r="AR62" i="20"/>
  <c r="AM337" i="119"/>
  <c r="AS46" i="20"/>
  <c r="AS71" i="20"/>
  <c r="AT68" i="20"/>
  <c r="AT57" i="20"/>
  <c r="AT88" i="20" s="1"/>
  <c r="AS74" i="20"/>
  <c r="AS49" i="20"/>
  <c r="AR69" i="20"/>
  <c r="AM322" i="119"/>
  <c r="AM320" i="119"/>
  <c r="AR66" i="20"/>
  <c r="AR60" i="20"/>
  <c r="AN324" i="119"/>
  <c r="AU126" i="110"/>
  <c r="AO24" i="119"/>
  <c r="AK23" i="138" s="1"/>
  <c r="AO329" i="119"/>
  <c r="AT52" i="20"/>
  <c r="BC82" i="99"/>
  <c r="BC83" i="99" s="1"/>
  <c r="AU47" i="110" s="1"/>
  <c r="AU48" i="110" s="1"/>
  <c r="BD47" i="99"/>
  <c r="AN321" i="119"/>
  <c r="AT67" i="20"/>
  <c r="AT58" i="20"/>
  <c r="AT43" i="20"/>
  <c r="AO325" i="119"/>
  <c r="BC277" i="99"/>
  <c r="BC278" i="99" s="1"/>
  <c r="BD242" i="99"/>
  <c r="AS39" i="20"/>
  <c r="AS65" i="20"/>
  <c r="AS59" i="20"/>
  <c r="BE160" i="99"/>
  <c r="BE161" i="99" s="1"/>
  <c r="AW110" i="110" s="1"/>
  <c r="BF125" i="99"/>
  <c r="BF160" i="99" s="1"/>
  <c r="BF161" i="99" s="1"/>
  <c r="AX110" i="110" s="1"/>
  <c r="W52" i="120"/>
  <c r="AF271" i="119"/>
  <c r="AG270" i="119"/>
  <c r="AO16" i="59"/>
  <c r="AH24" i="132"/>
  <c r="AE12" i="116"/>
  <c r="AE62" i="106"/>
  <c r="AN17" i="59"/>
  <c r="AO76" i="59"/>
  <c r="AH23" i="132"/>
  <c r="AH22" i="132"/>
  <c r="AE11" i="116"/>
  <c r="AE9" i="106"/>
  <c r="AE17" i="106" s="1"/>
  <c r="AO123" i="59"/>
  <c r="AC25" i="101"/>
  <c r="AE124" i="110"/>
  <c r="AD134" i="110"/>
  <c r="AN73" i="61"/>
  <c r="AN75" i="61"/>
  <c r="AC24" i="101"/>
  <c r="AP120" i="59" s="1"/>
  <c r="AP121" i="59" s="1"/>
  <c r="AO83" i="59"/>
  <c r="AH25" i="132"/>
  <c r="AM30" i="59"/>
  <c r="AD63" i="106"/>
  <c r="AL31" i="59"/>
  <c r="AG269" i="119"/>
  <c r="AN36" i="61"/>
  <c r="AM58" i="60"/>
  <c r="AM56" i="60"/>
  <c r="AM55" i="60"/>
  <c r="AM87" i="59"/>
  <c r="AH43" i="119" s="1"/>
  <c r="AH97" i="119" s="1"/>
  <c r="AM111" i="59"/>
  <c r="AM24" i="59"/>
  <c r="AM35" i="24" s="1"/>
  <c r="AD10" i="106"/>
  <c r="AG180" i="119"/>
  <c r="AN72" i="61"/>
  <c r="AL57" i="60"/>
  <c r="AN86" i="59"/>
  <c r="AI42" i="119" s="1"/>
  <c r="AN84" i="59"/>
  <c r="AE255" i="119"/>
  <c r="AV83" i="20" l="1"/>
  <c r="AQ361" i="119" s="1"/>
  <c r="AV81" i="20"/>
  <c r="AQ359" i="119" s="1"/>
  <c r="AV78" i="20"/>
  <c r="AQ356" i="119" s="1"/>
  <c r="AV76" i="20"/>
  <c r="AQ354" i="119" s="1"/>
  <c r="AV79" i="20"/>
  <c r="AQ357" i="119" s="1"/>
  <c r="AV77" i="20"/>
  <c r="AQ355" i="119" s="1"/>
  <c r="AV82" i="20"/>
  <c r="AQ360" i="119" s="1"/>
  <c r="AV80" i="20"/>
  <c r="AQ358" i="119" s="1"/>
  <c r="AV84" i="20"/>
  <c r="AQ362" i="119" s="1"/>
  <c r="AV85" i="20"/>
  <c r="AQ363" i="119" s="1"/>
  <c r="AV273" i="20"/>
  <c r="AV275" i="20"/>
  <c r="AV274" i="20"/>
  <c r="AV278" i="20"/>
  <c r="AV276" i="20"/>
  <c r="AV277" i="20"/>
  <c r="Z16" i="106"/>
  <c r="Z18" i="106"/>
  <c r="AQ341" i="119"/>
  <c r="AC34" i="106"/>
  <c r="AQ342" i="119"/>
  <c r="AP28" i="132"/>
  <c r="AX112" i="110"/>
  <c r="AX114" i="110" s="1"/>
  <c r="AX113" i="110"/>
  <c r="AX116" i="110" s="1"/>
  <c r="AX115" i="110"/>
  <c r="AO28" i="132"/>
  <c r="AW112" i="110"/>
  <c r="AW114" i="110" s="1"/>
  <c r="AW113" i="110"/>
  <c r="AW116" i="110" s="1"/>
  <c r="AW115" i="110"/>
  <c r="AU118" i="110"/>
  <c r="AP27" i="119" s="1"/>
  <c r="AL26" i="138" s="1"/>
  <c r="AS287" i="119"/>
  <c r="AO27" i="138"/>
  <c r="AV19" i="20"/>
  <c r="AV22" i="20"/>
  <c r="AV34" i="20"/>
  <c r="AV18" i="20"/>
  <c r="AV23" i="20"/>
  <c r="AV35" i="20"/>
  <c r="AV55" i="20" s="1"/>
  <c r="AV17" i="20"/>
  <c r="AV31" i="20"/>
  <c r="AV28" i="20"/>
  <c r="AV73" i="20" s="1"/>
  <c r="AV26" i="20"/>
  <c r="AV32" i="20"/>
  <c r="AV24" i="20"/>
  <c r="AV44" i="20" s="1"/>
  <c r="AV30" i="20"/>
  <c r="AV50" i="20" s="1"/>
  <c r="AV33" i="20"/>
  <c r="AV53" i="20" s="1"/>
  <c r="AV27" i="20"/>
  <c r="AV47" i="20" s="1"/>
  <c r="AV20" i="20"/>
  <c r="AV40" i="20" s="1"/>
  <c r="AV29" i="20"/>
  <c r="AV21" i="20"/>
  <c r="AV25" i="20"/>
  <c r="AV70" i="20" s="1"/>
  <c r="AR287" i="119"/>
  <c r="AN27" i="138"/>
  <c r="AN286" i="119"/>
  <c r="AJ24" i="138"/>
  <c r="AN340" i="119"/>
  <c r="AN59" i="119"/>
  <c r="AN339" i="119"/>
  <c r="AN60" i="119"/>
  <c r="AT89" i="20"/>
  <c r="AT92" i="20" s="1"/>
  <c r="AJ42" i="123"/>
  <c r="AH25" i="138"/>
  <c r="W76" i="119"/>
  <c r="S21" i="138"/>
  <c r="M76" i="119"/>
  <c r="I21" i="138"/>
  <c r="AN76" i="60"/>
  <c r="AP85" i="61" s="1"/>
  <c r="AP87" i="62" s="1"/>
  <c r="AN15" i="61"/>
  <c r="AL35" i="60"/>
  <c r="AG110" i="119" s="1"/>
  <c r="AM48" i="59"/>
  <c r="AM14" i="60" s="1"/>
  <c r="J22" i="116"/>
  <c r="X40" i="61"/>
  <c r="X47" i="61" s="1"/>
  <c r="Q253" i="119" s="1"/>
  <c r="P56" i="119"/>
  <c r="P127" i="119" s="1"/>
  <c r="X19" i="61"/>
  <c r="X26" i="61" s="1"/>
  <c r="V47" i="59"/>
  <c r="U67" i="59"/>
  <c r="T64" i="59"/>
  <c r="AB49" i="59"/>
  <c r="AA68" i="59"/>
  <c r="AB67" i="59"/>
  <c r="AA63" i="59"/>
  <c r="AC65" i="59"/>
  <c r="T68" i="59"/>
  <c r="U49" i="59"/>
  <c r="AA64" i="59"/>
  <c r="T63" i="59"/>
  <c r="AA49" i="59"/>
  <c r="V65" i="59"/>
  <c r="AI27" i="60"/>
  <c r="N51" i="106"/>
  <c r="X51" i="59" s="1"/>
  <c r="Y42" i="106"/>
  <c r="N105" i="106"/>
  <c r="X69" i="59" s="1"/>
  <c r="X51" i="106"/>
  <c r="AH51" i="59" s="1"/>
  <c r="AD66" i="106"/>
  <c r="Y21" i="106"/>
  <c r="AI16" i="60"/>
  <c r="Y96" i="106"/>
  <c r="X105" i="106"/>
  <c r="AH69" i="59" s="1"/>
  <c r="AD13" i="106"/>
  <c r="R108" i="106"/>
  <c r="T106" i="106"/>
  <c r="AB13" i="60"/>
  <c r="R109" i="106"/>
  <c r="AA13" i="60"/>
  <c r="T15" i="60"/>
  <c r="T26" i="60"/>
  <c r="L76" i="106"/>
  <c r="L108" i="106" s="1"/>
  <c r="AA26" i="60"/>
  <c r="AB24" i="60"/>
  <c r="U13" i="60"/>
  <c r="M106" i="106"/>
  <c r="K110" i="106"/>
  <c r="L25" i="106"/>
  <c r="R110" i="106"/>
  <c r="U24" i="60"/>
  <c r="K108" i="106"/>
  <c r="K109" i="106"/>
  <c r="AN28" i="59"/>
  <c r="L77" i="106"/>
  <c r="L107" i="106"/>
  <c r="S77" i="106"/>
  <c r="S107" i="106"/>
  <c r="AD111" i="106"/>
  <c r="AN66" i="59" s="1"/>
  <c r="AN25" i="60" s="1"/>
  <c r="W98" i="106"/>
  <c r="W100" i="106"/>
  <c r="W99" i="106"/>
  <c r="S76" i="106"/>
  <c r="S78" i="106"/>
  <c r="M98" i="106"/>
  <c r="M99" i="106"/>
  <c r="M100" i="106"/>
  <c r="L78" i="106"/>
  <c r="X46" i="106"/>
  <c r="X44" i="106"/>
  <c r="X45" i="106"/>
  <c r="AE12" i="106"/>
  <c r="L24" i="106"/>
  <c r="AD88" i="106"/>
  <c r="AD87" i="106"/>
  <c r="AD33" i="106"/>
  <c r="AE65" i="106"/>
  <c r="L23" i="106"/>
  <c r="N46" i="106"/>
  <c r="N44" i="106"/>
  <c r="N45" i="106"/>
  <c r="R81" i="94"/>
  <c r="V25" i="62"/>
  <c r="AF255" i="119"/>
  <c r="O163" i="119"/>
  <c r="S237" i="119"/>
  <c r="AB113" i="119"/>
  <c r="V14" i="61"/>
  <c r="U33" i="62"/>
  <c r="N217" i="119" s="1"/>
  <c r="U13" i="62"/>
  <c r="N145" i="119" s="1"/>
  <c r="N109" i="119"/>
  <c r="AC237" i="119"/>
  <c r="V35" i="61"/>
  <c r="R113" i="119"/>
  <c r="T109" i="119"/>
  <c r="O235" i="119"/>
  <c r="U109" i="119"/>
  <c r="AC165" i="119"/>
  <c r="AC35" i="61"/>
  <c r="AA13" i="62"/>
  <c r="T145" i="119" s="1"/>
  <c r="AB33" i="62"/>
  <c r="U217" i="119" s="1"/>
  <c r="AB13" i="62"/>
  <c r="U145" i="119" s="1"/>
  <c r="Y40" i="106"/>
  <c r="AO124" i="59"/>
  <c r="AO76" i="60" s="1"/>
  <c r="AQ85" i="61" s="1"/>
  <c r="AN126" i="59"/>
  <c r="AI240" i="119" s="1"/>
  <c r="V235" i="119"/>
  <c r="T34" i="60"/>
  <c r="Y50" i="106"/>
  <c r="AM57" i="60"/>
  <c r="Q20" i="120"/>
  <c r="P22" i="120"/>
  <c r="Q22" i="120" s="1"/>
  <c r="S165" i="119"/>
  <c r="X108" i="131"/>
  <c r="N72" i="106"/>
  <c r="N73" i="106" s="1"/>
  <c r="AB9" i="120"/>
  <c r="W105" i="131"/>
  <c r="S52" i="106"/>
  <c r="R10" i="120"/>
  <c r="R51" i="120" s="1"/>
  <c r="W51" i="120"/>
  <c r="AH37" i="60"/>
  <c r="X106" i="131"/>
  <c r="W109" i="131"/>
  <c r="T6" i="132" s="1"/>
  <c r="W10" i="122" s="1"/>
  <c r="N94" i="106"/>
  <c r="AB11" i="120"/>
  <c r="X94" i="106"/>
  <c r="Y104" i="106"/>
  <c r="W107" i="131"/>
  <c r="V12" i="120"/>
  <c r="V53" i="120" s="1"/>
  <c r="X107" i="131"/>
  <c r="M52" i="106"/>
  <c r="O50" i="120"/>
  <c r="X37" i="60"/>
  <c r="T52" i="106"/>
  <c r="Z69" i="106"/>
  <c r="Z71" i="106" s="1"/>
  <c r="AD92" i="106"/>
  <c r="U72" i="106"/>
  <c r="U73" i="106" s="1"/>
  <c r="AD38" i="106"/>
  <c r="Q107" i="131"/>
  <c r="P12" i="120"/>
  <c r="P23" i="120" s="1"/>
  <c r="R8" i="120"/>
  <c r="P8" i="120"/>
  <c r="P19" i="120" s="1"/>
  <c r="Q105" i="131"/>
  <c r="L53" i="106"/>
  <c r="N19" i="106"/>
  <c r="N20" i="106" s="1"/>
  <c r="Q109" i="131"/>
  <c r="N6" i="132" s="1"/>
  <c r="Q10" i="122" s="1"/>
  <c r="N22" i="119"/>
  <c r="AC374" i="119"/>
  <c r="T80" i="94"/>
  <c r="S382" i="119"/>
  <c r="S418" i="119" s="1"/>
  <c r="S77" i="94"/>
  <c r="AC376" i="119"/>
  <c r="U114" i="59"/>
  <c r="U59" i="60"/>
  <c r="S381" i="119"/>
  <c r="S417" i="119" s="1"/>
  <c r="S375" i="119"/>
  <c r="S373" i="119"/>
  <c r="AD377" i="119"/>
  <c r="AD80" i="94"/>
  <c r="AC382" i="119"/>
  <c r="S379" i="119"/>
  <c r="AC379" i="119"/>
  <c r="S376" i="119"/>
  <c r="R85" i="94"/>
  <c r="R101" i="94"/>
  <c r="R96" i="94"/>
  <c r="S95" i="94"/>
  <c r="S57" i="94"/>
  <c r="S58" i="94"/>
  <c r="AC381" i="119"/>
  <c r="AC417" i="119" s="1"/>
  <c r="AC372" i="119"/>
  <c r="U158" i="59"/>
  <c r="U159" i="59"/>
  <c r="S378" i="119"/>
  <c r="R79" i="94"/>
  <c r="V113" i="59" s="1"/>
  <c r="R78" i="94"/>
  <c r="O219" i="119"/>
  <c r="S76" i="94"/>
  <c r="AC378" i="119"/>
  <c r="Q87" i="94"/>
  <c r="Q102" i="94" s="1"/>
  <c r="Q82" i="94"/>
  <c r="W18" i="62" s="1"/>
  <c r="Q83" i="94"/>
  <c r="W38" i="62" s="1"/>
  <c r="W45" i="62" s="1"/>
  <c r="S372" i="119"/>
  <c r="T56" i="94"/>
  <c r="S75" i="94"/>
  <c r="O147" i="119"/>
  <c r="AC380" i="119"/>
  <c r="S380" i="119"/>
  <c r="S374" i="119"/>
  <c r="X22" i="119"/>
  <c r="AN86" i="62"/>
  <c r="X25" i="119"/>
  <c r="AO25" i="119"/>
  <c r="Q52" i="120"/>
  <c r="W53" i="120"/>
  <c r="W54" i="120"/>
  <c r="U49" i="120"/>
  <c r="Q50" i="120"/>
  <c r="AA50" i="120"/>
  <c r="AI99" i="119"/>
  <c r="AI96" i="119"/>
  <c r="AH98" i="119"/>
  <c r="AA46" i="119"/>
  <c r="AA418" i="119" s="1"/>
  <c r="AH115" i="119"/>
  <c r="AH416" i="119" s="1"/>
  <c r="AO84" i="61"/>
  <c r="AN75" i="60"/>
  <c r="AI44" i="119"/>
  <c r="AI168" i="119"/>
  <c r="S6" i="132"/>
  <c r="V10" i="122" s="1"/>
  <c r="V49" i="120"/>
  <c r="Y106" i="131"/>
  <c r="X10" i="120"/>
  <c r="X51" i="120" s="1"/>
  <c r="X13" i="120"/>
  <c r="Y108" i="131"/>
  <c r="AN27" i="132"/>
  <c r="AN26" i="132"/>
  <c r="AC5" i="132"/>
  <c r="AF9" i="122" s="1"/>
  <c r="AC30" i="132"/>
  <c r="AC29" i="132"/>
  <c r="AH17" i="132"/>
  <c r="AK26" i="122" s="1"/>
  <c r="AK55" i="122" s="1"/>
  <c r="AH11" i="132"/>
  <c r="AK15" i="122" s="1"/>
  <c r="AK49" i="122" s="1"/>
  <c r="AH12" i="132"/>
  <c r="AK16" i="122" s="1"/>
  <c r="AK50" i="122" s="1"/>
  <c r="AH15" i="132"/>
  <c r="AK24" i="122" s="1"/>
  <c r="AK53" i="122" s="1"/>
  <c r="AH9" i="132"/>
  <c r="AK13" i="122" s="1"/>
  <c r="AK47" i="122" s="1"/>
  <c r="AH10" i="132"/>
  <c r="AK14" i="122" s="1"/>
  <c r="AK48" i="122" s="1"/>
  <c r="AH8" i="132"/>
  <c r="AK12" i="122" s="1"/>
  <c r="AN16" i="132"/>
  <c r="AQ25" i="122" s="1"/>
  <c r="AQ54" i="122" s="1"/>
  <c r="AN18" i="132"/>
  <c r="AQ27" i="122" s="1"/>
  <c r="AQ56" i="122" s="1"/>
  <c r="AN13" i="132"/>
  <c r="AQ17" i="122" s="1"/>
  <c r="AQ51" i="122" s="1"/>
  <c r="AN14" i="132"/>
  <c r="AQ18" i="122" s="1"/>
  <c r="AQ52" i="122" s="1"/>
  <c r="Y63" i="82"/>
  <c r="AA90" i="106"/>
  <c r="AA91" i="106" s="1"/>
  <c r="AA93" i="106" s="1"/>
  <c r="AA36" i="106"/>
  <c r="AA37" i="106" s="1"/>
  <c r="AA39" i="106" s="1"/>
  <c r="AA15" i="106"/>
  <c r="AA68" i="106"/>
  <c r="AD57" i="106"/>
  <c r="AD31" i="106"/>
  <c r="AD85" i="106"/>
  <c r="AE84" i="106"/>
  <c r="AE70" i="106"/>
  <c r="Y94" i="106"/>
  <c r="AO321" i="119"/>
  <c r="AO324" i="119"/>
  <c r="AP326" i="119"/>
  <c r="AU43" i="20"/>
  <c r="BD82" i="99"/>
  <c r="BD83" i="99" s="1"/>
  <c r="AV47" i="110" s="1"/>
  <c r="AV48" i="110" s="1"/>
  <c r="BE47" i="99"/>
  <c r="AV54" i="20"/>
  <c r="AV38" i="20"/>
  <c r="AV42" i="20"/>
  <c r="AV48" i="20"/>
  <c r="AV51" i="20"/>
  <c r="AV37" i="20"/>
  <c r="AV41" i="20"/>
  <c r="AV45" i="20"/>
  <c r="AU67" i="20"/>
  <c r="AU58" i="20"/>
  <c r="AR63" i="20"/>
  <c r="AM26" i="119" s="1"/>
  <c r="AM338" i="119"/>
  <c r="AT91" i="20"/>
  <c r="AN323" i="119"/>
  <c r="AS72" i="20"/>
  <c r="AT71" i="20"/>
  <c r="AT46" i="20"/>
  <c r="AT39" i="20"/>
  <c r="AT65" i="20"/>
  <c r="AT59" i="20"/>
  <c r="AN337" i="119"/>
  <c r="AS62" i="20"/>
  <c r="BD277" i="99"/>
  <c r="BD278" i="99" s="1"/>
  <c r="BE242" i="99"/>
  <c r="AP329" i="119"/>
  <c r="AP24" i="119"/>
  <c r="AL23" i="138" s="1"/>
  <c r="AQ327" i="119"/>
  <c r="AV127" i="110"/>
  <c r="BE121" i="99"/>
  <c r="BE122" i="99" s="1"/>
  <c r="AW51" i="110" s="1"/>
  <c r="AW52" i="110" s="1"/>
  <c r="AR328" i="119" s="1"/>
  <c r="BF86" i="99"/>
  <c r="BF121" i="99" s="1"/>
  <c r="BF122" i="99" s="1"/>
  <c r="AX51" i="110" s="1"/>
  <c r="AX52" i="110" s="1"/>
  <c r="AS328" i="119" s="1"/>
  <c r="BE43" i="99"/>
  <c r="BE44" i="99" s="1"/>
  <c r="AW15" i="20" s="1"/>
  <c r="BF8" i="99"/>
  <c r="BF43" i="99" s="1"/>
  <c r="BF44" i="99" s="1"/>
  <c r="AX15" i="20" s="1"/>
  <c r="AP325" i="119"/>
  <c r="AN320" i="119"/>
  <c r="AS60" i="20"/>
  <c r="AS66" i="20"/>
  <c r="AT49" i="20"/>
  <c r="AT74" i="20"/>
  <c r="AN322" i="119"/>
  <c r="AS69" i="20"/>
  <c r="AV126" i="110"/>
  <c r="BC238" i="99"/>
  <c r="BC239" i="99" s="1"/>
  <c r="AU59" i="110" s="1"/>
  <c r="AU60" i="110" s="1"/>
  <c r="BD203" i="99"/>
  <c r="AU52" i="20"/>
  <c r="AU68" i="20"/>
  <c r="AU57" i="20"/>
  <c r="AU88" i="20" s="1"/>
  <c r="X52" i="120"/>
  <c r="AG271" i="119"/>
  <c r="AH270" i="119"/>
  <c r="AN58" i="60"/>
  <c r="AN56" i="60"/>
  <c r="AN55" i="60"/>
  <c r="AN87" i="59"/>
  <c r="AI43" i="119" s="1"/>
  <c r="AI97" i="119" s="1"/>
  <c r="AN111" i="59"/>
  <c r="AN74" i="61"/>
  <c r="AH180" i="119"/>
  <c r="AO73" i="61"/>
  <c r="AO75" i="61"/>
  <c r="AP83" i="59"/>
  <c r="AI25" i="132"/>
  <c r="AD24" i="101"/>
  <c r="AQ120" i="59" s="1"/>
  <c r="AQ121" i="59" s="1"/>
  <c r="AE134" i="110"/>
  <c r="AP76" i="59"/>
  <c r="AI23" i="132"/>
  <c r="AO17" i="59"/>
  <c r="AO72" i="61"/>
  <c r="AO86" i="59"/>
  <c r="AJ42" i="119" s="1"/>
  <c r="AO84" i="59"/>
  <c r="AF124" i="110"/>
  <c r="AP123" i="59"/>
  <c r="AD25" i="101"/>
  <c r="AN24" i="59"/>
  <c r="AN35" i="24" s="1"/>
  <c r="AE10" i="106"/>
  <c r="AF11" i="116"/>
  <c r="AI22" i="132"/>
  <c r="AF9" i="106"/>
  <c r="AN30" i="59"/>
  <c r="AE63" i="106"/>
  <c r="AP16" i="59"/>
  <c r="AF12" i="116"/>
  <c r="AI24" i="132"/>
  <c r="AF62" i="106"/>
  <c r="AM31" i="59"/>
  <c r="AH269" i="119"/>
  <c r="AO36" i="61"/>
  <c r="AX85" i="20" l="1"/>
  <c r="AS363" i="119" s="1"/>
  <c r="AX80" i="20"/>
  <c r="AS358" i="119" s="1"/>
  <c r="AX77" i="20"/>
  <c r="AS355" i="119" s="1"/>
  <c r="AX76" i="20"/>
  <c r="AS354" i="119" s="1"/>
  <c r="AX82" i="20"/>
  <c r="AS360" i="119" s="1"/>
  <c r="AX78" i="20"/>
  <c r="AS356" i="119" s="1"/>
  <c r="AX81" i="20"/>
  <c r="AS359" i="119" s="1"/>
  <c r="AX79" i="20"/>
  <c r="AS357" i="119" s="1"/>
  <c r="AX83" i="20"/>
  <c r="AS361" i="119" s="1"/>
  <c r="AX84" i="20"/>
  <c r="AS362" i="119" s="1"/>
  <c r="AW79" i="20"/>
  <c r="AR357" i="119" s="1"/>
  <c r="AW77" i="20"/>
  <c r="AR355" i="119" s="1"/>
  <c r="AW80" i="20"/>
  <c r="AR358" i="119" s="1"/>
  <c r="AW81" i="20"/>
  <c r="AR359" i="119" s="1"/>
  <c r="AW84" i="20"/>
  <c r="AR362" i="119" s="1"/>
  <c r="AW82" i="20"/>
  <c r="AR360" i="119" s="1"/>
  <c r="AW78" i="20"/>
  <c r="AR356" i="119" s="1"/>
  <c r="AW85" i="20"/>
  <c r="AR363" i="119" s="1"/>
  <c r="AW83" i="20"/>
  <c r="AR361" i="119" s="1"/>
  <c r="AW76" i="20"/>
  <c r="AR354" i="119" s="1"/>
  <c r="AW277" i="20"/>
  <c r="AW273" i="20"/>
  <c r="AW275" i="20"/>
  <c r="AW276" i="20"/>
  <c r="AW274" i="20"/>
  <c r="AW278" i="20"/>
  <c r="AX274" i="20"/>
  <c r="AX277" i="20"/>
  <c r="AX276" i="20"/>
  <c r="AX275" i="20"/>
  <c r="AX273" i="20"/>
  <c r="AX278" i="20"/>
  <c r="AA16" i="106"/>
  <c r="AA18" i="106"/>
  <c r="AS341" i="119"/>
  <c r="AR341" i="119"/>
  <c r="AD34" i="106"/>
  <c r="AS342" i="119"/>
  <c r="AR342" i="119"/>
  <c r="AX25" i="20"/>
  <c r="AX70" i="20" s="1"/>
  <c r="AX19" i="20"/>
  <c r="AX30" i="20"/>
  <c r="AX50" i="20" s="1"/>
  <c r="AX22" i="20"/>
  <c r="AX31" i="20"/>
  <c r="AX23" i="20"/>
  <c r="AX34" i="20"/>
  <c r="AX28" i="20"/>
  <c r="AX73" i="20" s="1"/>
  <c r="AX20" i="20"/>
  <c r="AX40" i="20" s="1"/>
  <c r="AX21" i="20"/>
  <c r="AX26" i="20"/>
  <c r="AX27" i="20"/>
  <c r="AX47" i="20" s="1"/>
  <c r="AX17" i="20"/>
  <c r="AX29" i="20"/>
  <c r="AX35" i="20"/>
  <c r="AX55" i="20" s="1"/>
  <c r="AX18" i="20"/>
  <c r="AX32" i="20"/>
  <c r="AX24" i="20"/>
  <c r="AX44" i="20" s="1"/>
  <c r="AX33" i="20"/>
  <c r="AX53" i="20" s="1"/>
  <c r="AW21" i="20"/>
  <c r="AW17" i="20"/>
  <c r="AW22" i="20"/>
  <c r="AW20" i="20"/>
  <c r="AW40" i="20" s="1"/>
  <c r="AW35" i="20"/>
  <c r="AW55" i="20" s="1"/>
  <c r="AW24" i="20"/>
  <c r="AW44" i="20" s="1"/>
  <c r="AW25" i="20"/>
  <c r="AW70" i="20" s="1"/>
  <c r="AW30" i="20"/>
  <c r="AW50" i="20" s="1"/>
  <c r="AW31" i="20"/>
  <c r="AW34" i="20"/>
  <c r="AW29" i="20"/>
  <c r="AW27" i="20"/>
  <c r="AW47" i="20" s="1"/>
  <c r="AW33" i="20"/>
  <c r="AW53" i="20" s="1"/>
  <c r="AW28" i="20"/>
  <c r="AW73" i="20" s="1"/>
  <c r="AW23" i="20"/>
  <c r="AW26" i="20"/>
  <c r="AW18" i="20"/>
  <c r="AW32" i="20"/>
  <c r="AW19" i="20"/>
  <c r="AO286" i="119"/>
  <c r="AK24" i="138"/>
  <c r="X286" i="119"/>
  <c r="T24" i="138"/>
  <c r="AO340" i="119"/>
  <c r="AO59" i="119"/>
  <c r="AU89" i="20"/>
  <c r="AU92" i="20" s="1"/>
  <c r="X76" i="119"/>
  <c r="T21" i="138"/>
  <c r="N76" i="119"/>
  <c r="J21" i="138"/>
  <c r="AK42" i="123"/>
  <c r="AI25" i="138"/>
  <c r="AJ45" i="119"/>
  <c r="AJ99" i="119" s="1"/>
  <c r="AO15" i="61"/>
  <c r="AM35" i="60"/>
  <c r="AH110" i="119" s="1"/>
  <c r="AN48" i="59"/>
  <c r="AN14" i="60" s="1"/>
  <c r="Q56" i="119"/>
  <c r="Q127" i="119" s="1"/>
  <c r="Q198" i="119"/>
  <c r="Y19" i="61"/>
  <c r="Y26" i="61" s="1"/>
  <c r="R198" i="119" s="1"/>
  <c r="Y40" i="61"/>
  <c r="Y47" i="61" s="1"/>
  <c r="R253" i="119" s="1"/>
  <c r="U64" i="59"/>
  <c r="AB64" i="59"/>
  <c r="AD65" i="59"/>
  <c r="AD47" i="59"/>
  <c r="V63" i="59"/>
  <c r="U68" i="59"/>
  <c r="AC67" i="59"/>
  <c r="U63" i="59"/>
  <c r="V49" i="59"/>
  <c r="AB68" i="59"/>
  <c r="W65" i="59"/>
  <c r="AC47" i="59"/>
  <c r="V67" i="59"/>
  <c r="AB63" i="59"/>
  <c r="W47" i="59"/>
  <c r="Y51" i="106"/>
  <c r="AI51" i="59" s="1"/>
  <c r="AE13" i="106"/>
  <c r="Z21" i="106"/>
  <c r="AJ16" i="60"/>
  <c r="Z96" i="106"/>
  <c r="AE66" i="106"/>
  <c r="Z74" i="106"/>
  <c r="AJ27" i="60"/>
  <c r="Z42" i="106"/>
  <c r="Y105" i="106"/>
  <c r="AI69" i="59" s="1"/>
  <c r="L109" i="106"/>
  <c r="AA15" i="60"/>
  <c r="V24" i="60"/>
  <c r="AB15" i="60"/>
  <c r="L110" i="106"/>
  <c r="AC24" i="60"/>
  <c r="U15" i="60"/>
  <c r="T25" i="106"/>
  <c r="V13" i="60"/>
  <c r="U26" i="60"/>
  <c r="S23" i="106"/>
  <c r="AB26" i="60"/>
  <c r="U106" i="106"/>
  <c r="M25" i="106"/>
  <c r="S110" i="106"/>
  <c r="N106" i="106"/>
  <c r="S108" i="106"/>
  <c r="S109" i="106"/>
  <c r="AO28" i="59"/>
  <c r="M76" i="106"/>
  <c r="M107" i="106"/>
  <c r="T77" i="106"/>
  <c r="T107" i="106"/>
  <c r="AE111" i="106"/>
  <c r="AO66" i="59" s="1"/>
  <c r="AO25" i="60" s="1"/>
  <c r="X100" i="106"/>
  <c r="X98" i="106"/>
  <c r="X99" i="106"/>
  <c r="T78" i="106"/>
  <c r="M77" i="106"/>
  <c r="T76" i="106"/>
  <c r="M78" i="106"/>
  <c r="Y100" i="106"/>
  <c r="Y99" i="106"/>
  <c r="Y98" i="106"/>
  <c r="N98" i="106"/>
  <c r="N99" i="106"/>
  <c r="N100" i="106"/>
  <c r="AE87" i="106"/>
  <c r="AE88" i="106"/>
  <c r="AE33" i="106"/>
  <c r="Y46" i="106"/>
  <c r="Y44" i="106"/>
  <c r="Y45" i="106"/>
  <c r="M24" i="106"/>
  <c r="M23" i="106"/>
  <c r="AF12" i="106"/>
  <c r="AF65" i="106"/>
  <c r="S25" i="106"/>
  <c r="T24" i="106"/>
  <c r="S24" i="106"/>
  <c r="T23" i="106"/>
  <c r="W25" i="62"/>
  <c r="S81" i="94"/>
  <c r="S82" i="94" s="1"/>
  <c r="Y18" i="62" s="1"/>
  <c r="AC14" i="61"/>
  <c r="W14" i="61"/>
  <c r="Z40" i="106"/>
  <c r="S113" i="119"/>
  <c r="AO74" i="61"/>
  <c r="P235" i="119"/>
  <c r="V33" i="62"/>
  <c r="O217" i="119" s="1"/>
  <c r="AC113" i="119"/>
  <c r="AC33" i="62"/>
  <c r="V217" i="119" s="1"/>
  <c r="T53" i="106"/>
  <c r="W163" i="119"/>
  <c r="V13" i="62"/>
  <c r="O145" i="119" s="1"/>
  <c r="O109" i="119"/>
  <c r="V163" i="119"/>
  <c r="AP124" i="59"/>
  <c r="AP76" i="60" s="1"/>
  <c r="AR85" i="61" s="1"/>
  <c r="AO126" i="59"/>
  <c r="AJ240" i="119" s="1"/>
  <c r="AD14" i="61"/>
  <c r="AA34" i="60"/>
  <c r="W35" i="61"/>
  <c r="U34" i="60"/>
  <c r="P163" i="119"/>
  <c r="AD165" i="119"/>
  <c r="W235" i="119"/>
  <c r="AD35" i="61"/>
  <c r="AB34" i="60"/>
  <c r="AN57" i="60"/>
  <c r="S13" i="120"/>
  <c r="S54" i="120" s="1"/>
  <c r="AB50" i="120"/>
  <c r="S53" i="106"/>
  <c r="S10" i="120"/>
  <c r="S51" i="120" s="1"/>
  <c r="Y107" i="131"/>
  <c r="R13" i="120"/>
  <c r="R54" i="120" s="1"/>
  <c r="S108" i="131"/>
  <c r="AC11" i="120"/>
  <c r="Y13" i="120"/>
  <c r="Z106" i="131"/>
  <c r="AI37" i="60"/>
  <c r="AD237" i="119"/>
  <c r="S9" i="120"/>
  <c r="R9" i="120"/>
  <c r="R20" i="120" s="1"/>
  <c r="M53" i="106"/>
  <c r="Q13" i="120"/>
  <c r="Q24" i="120" s="1"/>
  <c r="R108" i="131"/>
  <c r="Q10" i="120"/>
  <c r="R106" i="131"/>
  <c r="Z107" i="131"/>
  <c r="Z50" i="106"/>
  <c r="Z104" i="106"/>
  <c r="AA69" i="106"/>
  <c r="AA71" i="106" s="1"/>
  <c r="AE38" i="106"/>
  <c r="AE92" i="106"/>
  <c r="V72" i="106"/>
  <c r="V73" i="106" s="1"/>
  <c r="W19" i="106"/>
  <c r="W20" i="106" s="1"/>
  <c r="U19" i="106"/>
  <c r="U20" i="106" s="1"/>
  <c r="Q8" i="120"/>
  <c r="Q19" i="120" s="1"/>
  <c r="R19" i="120" s="1"/>
  <c r="R105" i="131"/>
  <c r="R109" i="131"/>
  <c r="O6" i="132" s="1"/>
  <c r="R10" i="122" s="1"/>
  <c r="P49" i="120"/>
  <c r="N52" i="106"/>
  <c r="P53" i="120"/>
  <c r="R107" i="131"/>
  <c r="Q12" i="120"/>
  <c r="Q23" i="120" s="1"/>
  <c r="S107" i="131"/>
  <c r="R12" i="120"/>
  <c r="T75" i="94"/>
  <c r="O22" i="119"/>
  <c r="V59" i="60"/>
  <c r="V114" i="59"/>
  <c r="AD378" i="119"/>
  <c r="AE377" i="119"/>
  <c r="AD372" i="119"/>
  <c r="P147" i="119"/>
  <c r="S85" i="94"/>
  <c r="S101" i="94"/>
  <c r="S96" i="94"/>
  <c r="AD379" i="119"/>
  <c r="T77" i="94"/>
  <c r="S78" i="94"/>
  <c r="S79" i="94"/>
  <c r="W113" i="59" s="1"/>
  <c r="T95" i="94"/>
  <c r="T58" i="94"/>
  <c r="T57" i="94"/>
  <c r="AD381" i="119"/>
  <c r="AD417" i="119" s="1"/>
  <c r="J42" i="92" s="1"/>
  <c r="AD382" i="119"/>
  <c r="AE80" i="94"/>
  <c r="AD380" i="119"/>
  <c r="T76" i="94"/>
  <c r="V158" i="59"/>
  <c r="V159" i="59"/>
  <c r="AD374" i="119"/>
  <c r="P219" i="119"/>
  <c r="R82" i="94"/>
  <c r="X18" i="62" s="1"/>
  <c r="R87" i="94"/>
  <c r="R102" i="94" s="1"/>
  <c r="R83" i="94"/>
  <c r="X38" i="62" s="1"/>
  <c r="X45" i="62" s="1"/>
  <c r="AD376" i="119"/>
  <c r="AP25" i="119"/>
  <c r="AO86" i="62"/>
  <c r="X54" i="120"/>
  <c r="Z63" i="82"/>
  <c r="AJ96" i="119"/>
  <c r="AO339" i="119"/>
  <c r="AO60" i="119"/>
  <c r="AI98" i="119"/>
  <c r="AB46" i="119"/>
  <c r="AJ44" i="119"/>
  <c r="AO75" i="60"/>
  <c r="AI115" i="119"/>
  <c r="AI416" i="119" s="1"/>
  <c r="K41" i="92" s="1"/>
  <c r="AP84" i="61"/>
  <c r="AJ168" i="119"/>
  <c r="R49" i="120"/>
  <c r="X109" i="131"/>
  <c r="X105" i="131"/>
  <c r="W8" i="120"/>
  <c r="AP26" i="132"/>
  <c r="AP27" i="132"/>
  <c r="AO27" i="132"/>
  <c r="AO26" i="132"/>
  <c r="AD5" i="132"/>
  <c r="AG9" i="122" s="1"/>
  <c r="AD30" i="132"/>
  <c r="AD29" i="132"/>
  <c r="AI15" i="132"/>
  <c r="AL24" i="122" s="1"/>
  <c r="AL53" i="122" s="1"/>
  <c r="AI9" i="132"/>
  <c r="AL13" i="122" s="1"/>
  <c r="AL47" i="122" s="1"/>
  <c r="AI10" i="132"/>
  <c r="AL14" i="122" s="1"/>
  <c r="AL48" i="122" s="1"/>
  <c r="AI8" i="132"/>
  <c r="AL12" i="122" s="1"/>
  <c r="AP18" i="132"/>
  <c r="AS27" i="122" s="1"/>
  <c r="AS56" i="122" s="1"/>
  <c r="AP13" i="132"/>
  <c r="AS17" i="122" s="1"/>
  <c r="AS51" i="122" s="1"/>
  <c r="AP16" i="132"/>
  <c r="AS25" i="122" s="1"/>
  <c r="AS54" i="122" s="1"/>
  <c r="AP14" i="132"/>
  <c r="AS18" i="122" s="1"/>
  <c r="AS52" i="122" s="1"/>
  <c r="AO18" i="132"/>
  <c r="AR27" i="122" s="1"/>
  <c r="AR56" i="122" s="1"/>
  <c r="AO16" i="132"/>
  <c r="AR25" i="122" s="1"/>
  <c r="AR54" i="122" s="1"/>
  <c r="AO14" i="132"/>
  <c r="AR18" i="122" s="1"/>
  <c r="AR52" i="122" s="1"/>
  <c r="AO13" i="132"/>
  <c r="AR17" i="122" s="1"/>
  <c r="AR51" i="122" s="1"/>
  <c r="AI17" i="132"/>
  <c r="AL26" i="122" s="1"/>
  <c r="AL55" i="122" s="1"/>
  <c r="AI11" i="132"/>
  <c r="AL15" i="122" s="1"/>
  <c r="AL49" i="122" s="1"/>
  <c r="AI12" i="132"/>
  <c r="AL16" i="122" s="1"/>
  <c r="AL50" i="122" s="1"/>
  <c r="AB15" i="106"/>
  <c r="AB68" i="106"/>
  <c r="AB90" i="106"/>
  <c r="AB91" i="106" s="1"/>
  <c r="AB93" i="106" s="1"/>
  <c r="AB36" i="106"/>
  <c r="AB37" i="106" s="1"/>
  <c r="AB39" i="106" s="1"/>
  <c r="AE31" i="106"/>
  <c r="AE57" i="106"/>
  <c r="AE85" i="106"/>
  <c r="AF84" i="106"/>
  <c r="AF70" i="106"/>
  <c r="AF17" i="106"/>
  <c r="AP324" i="119"/>
  <c r="AV118" i="110"/>
  <c r="AQ27" i="119" s="1"/>
  <c r="AM26" i="138" s="1"/>
  <c r="AT69" i="20"/>
  <c r="AO322" i="119"/>
  <c r="BE277" i="99"/>
  <c r="BE278" i="99" s="1"/>
  <c r="BF242" i="99"/>
  <c r="BF277" i="99" s="1"/>
  <c r="BF278" i="99" s="1"/>
  <c r="AV43" i="20"/>
  <c r="AQ329" i="119"/>
  <c r="AQ24" i="119"/>
  <c r="AM23" i="138" s="1"/>
  <c r="AX126" i="110"/>
  <c r="AS63" i="20"/>
  <c r="AN26" i="119" s="1"/>
  <c r="AN338" i="119"/>
  <c r="BE82" i="99"/>
  <c r="BE83" i="99" s="1"/>
  <c r="AW47" i="110" s="1"/>
  <c r="AW48" i="110" s="1"/>
  <c r="BF47" i="99"/>
  <c r="BF82" i="99" s="1"/>
  <c r="BF83" i="99" s="1"/>
  <c r="AX47" i="110" s="1"/>
  <c r="AX48" i="110" s="1"/>
  <c r="BD238" i="99"/>
  <c r="BD239" i="99" s="1"/>
  <c r="AV59" i="110" s="1"/>
  <c r="AV60" i="110" s="1"/>
  <c r="BE203" i="99"/>
  <c r="AQ326" i="119"/>
  <c r="AX42" i="20"/>
  <c r="AX48" i="20"/>
  <c r="AX38" i="20"/>
  <c r="AX51" i="20"/>
  <c r="AX37" i="20"/>
  <c r="AX41" i="20"/>
  <c r="AX45" i="20"/>
  <c r="AX54" i="20"/>
  <c r="AW126" i="110"/>
  <c r="AT62" i="20"/>
  <c r="AO337" i="119"/>
  <c r="AV57" i="20"/>
  <c r="AV88" i="20" s="1"/>
  <c r="AV68" i="20"/>
  <c r="AV67" i="20"/>
  <c r="AV58" i="20"/>
  <c r="AQ325" i="119"/>
  <c r="AO320" i="119"/>
  <c r="AT66" i="20"/>
  <c r="AT60" i="20"/>
  <c r="AO323" i="119"/>
  <c r="AT72" i="20"/>
  <c r="AS327" i="119"/>
  <c r="AX127" i="110"/>
  <c r="AU91" i="20"/>
  <c r="AU46" i="20"/>
  <c r="AU71" i="20"/>
  <c r="AW48" i="20"/>
  <c r="AW41" i="20"/>
  <c r="AW54" i="20"/>
  <c r="AW38" i="20"/>
  <c r="AW42" i="20"/>
  <c r="AW37" i="20"/>
  <c r="AW45" i="20"/>
  <c r="AW51" i="20"/>
  <c r="AR327" i="119"/>
  <c r="AW127" i="110"/>
  <c r="AU39" i="20"/>
  <c r="AU65" i="20"/>
  <c r="AU59" i="20"/>
  <c r="AU49" i="20"/>
  <c r="AU74" i="20"/>
  <c r="AV52" i="20"/>
  <c r="AP321" i="119"/>
  <c r="Y52" i="120"/>
  <c r="AH271" i="119"/>
  <c r="AI270" i="119"/>
  <c r="AG11" i="116"/>
  <c r="AJ22" i="132"/>
  <c r="AG9" i="106"/>
  <c r="AQ123" i="59"/>
  <c r="AE25" i="101"/>
  <c r="AG124" i="110"/>
  <c r="AB418" i="119"/>
  <c r="AO58" i="60"/>
  <c r="AO56" i="60"/>
  <c r="AO55" i="60"/>
  <c r="AO87" i="59"/>
  <c r="AJ43" i="119" s="1"/>
  <c r="AJ97" i="119" s="1"/>
  <c r="AO111" i="59"/>
  <c r="AN31" i="59"/>
  <c r="AI269" i="119"/>
  <c r="AP36" i="61"/>
  <c r="AE24" i="101"/>
  <c r="AR120" i="59" s="1"/>
  <c r="AR121" i="59" s="1"/>
  <c r="AQ83" i="59"/>
  <c r="AJ25" i="132"/>
  <c r="AG255" i="119"/>
  <c r="AP72" i="61"/>
  <c r="AQ16" i="59"/>
  <c r="AG12" i="116"/>
  <c r="AJ24" i="132"/>
  <c r="AG62" i="106"/>
  <c r="AP17" i="59"/>
  <c r="AF63" i="106"/>
  <c r="AF10" i="106"/>
  <c r="AI180" i="119"/>
  <c r="AF134" i="110"/>
  <c r="AO30" i="59"/>
  <c r="AQ76" i="59"/>
  <c r="AJ23" i="132"/>
  <c r="AO24" i="59"/>
  <c r="AO35" i="24" s="1"/>
  <c r="AQ87" i="62"/>
  <c r="AP86" i="59"/>
  <c r="AK42" i="119" s="1"/>
  <c r="AP84" i="59"/>
  <c r="AP73" i="61"/>
  <c r="AP75" i="61"/>
  <c r="AB16" i="106" l="1"/>
  <c r="AB18" i="106"/>
  <c r="AE34" i="106"/>
  <c r="AK45" i="119"/>
  <c r="AK99" i="119" s="1"/>
  <c r="AP286" i="119"/>
  <c r="AL24" i="138"/>
  <c r="AP340" i="119"/>
  <c r="AP59" i="119"/>
  <c r="AV89" i="20"/>
  <c r="AV92" i="20" s="1"/>
  <c r="AL42" i="123"/>
  <c r="AJ25" i="138"/>
  <c r="O76" i="119"/>
  <c r="K21" i="138"/>
  <c r="AN35" i="60"/>
  <c r="AI110" i="119" s="1"/>
  <c r="AP15" i="61"/>
  <c r="AO48" i="59"/>
  <c r="AO14" i="60" s="1"/>
  <c r="E27" i="122"/>
  <c r="E56" i="122" s="1"/>
  <c r="Z40" i="61"/>
  <c r="Z47" i="61" s="1"/>
  <c r="S253" i="119" s="1"/>
  <c r="R56" i="119"/>
  <c r="R127" i="119" s="1"/>
  <c r="Z19" i="61"/>
  <c r="Z26" i="61" s="1"/>
  <c r="AH255" i="119"/>
  <c r="AC26" i="60"/>
  <c r="X65" i="59"/>
  <c r="V68" i="59"/>
  <c r="AC64" i="59"/>
  <c r="AC49" i="59"/>
  <c r="AD67" i="59"/>
  <c r="AC63" i="59"/>
  <c r="AE65" i="59"/>
  <c r="AD49" i="59"/>
  <c r="V64" i="59"/>
  <c r="W49" i="59"/>
  <c r="W67" i="59"/>
  <c r="X47" i="59"/>
  <c r="AC68" i="59"/>
  <c r="Z51" i="106"/>
  <c r="AJ51" i="59" s="1"/>
  <c r="AA96" i="106"/>
  <c r="AF66" i="106"/>
  <c r="AA21" i="106"/>
  <c r="AK16" i="60"/>
  <c r="AA42" i="106"/>
  <c r="AF13" i="106"/>
  <c r="AA74" i="106"/>
  <c r="AK27" i="60"/>
  <c r="Z105" i="106"/>
  <c r="AJ69" i="59" s="1"/>
  <c r="V26" i="60"/>
  <c r="W24" i="60"/>
  <c r="AC13" i="62"/>
  <c r="V145" i="119" s="1"/>
  <c r="M110" i="106"/>
  <c r="M108" i="106"/>
  <c r="AD13" i="60"/>
  <c r="T108" i="106"/>
  <c r="N25" i="106"/>
  <c r="W13" i="60"/>
  <c r="AD24" i="60"/>
  <c r="M54" i="106"/>
  <c r="W45" i="59" s="1"/>
  <c r="M109" i="106"/>
  <c r="T109" i="106"/>
  <c r="V106" i="106"/>
  <c r="AC13" i="60"/>
  <c r="T110" i="106"/>
  <c r="V15" i="60"/>
  <c r="AP28" i="59"/>
  <c r="AF111" i="106"/>
  <c r="AP66" i="59" s="1"/>
  <c r="AP25" i="60" s="1"/>
  <c r="N76" i="106"/>
  <c r="N107" i="106"/>
  <c r="U76" i="106"/>
  <c r="U107" i="106"/>
  <c r="N78" i="106"/>
  <c r="U78" i="106"/>
  <c r="U77" i="106"/>
  <c r="N77" i="106"/>
  <c r="N24" i="106"/>
  <c r="N23" i="106"/>
  <c r="AF33" i="106"/>
  <c r="AG65" i="106"/>
  <c r="AG12" i="106"/>
  <c r="AF87" i="106"/>
  <c r="AF88" i="106"/>
  <c r="Z46" i="106"/>
  <c r="Z44" i="106"/>
  <c r="Z45" i="106"/>
  <c r="T81" i="94"/>
  <c r="T87" i="94" s="1"/>
  <c r="T102" i="94" s="1"/>
  <c r="X25" i="62"/>
  <c r="Y25" i="62"/>
  <c r="AA40" i="106"/>
  <c r="V34" i="60"/>
  <c r="AP74" i="61"/>
  <c r="AD113" i="119"/>
  <c r="W109" i="119"/>
  <c r="P109" i="119"/>
  <c r="W33" i="62"/>
  <c r="P217" i="119" s="1"/>
  <c r="X35" i="61"/>
  <c r="V109" i="119"/>
  <c r="AD33" i="62"/>
  <c r="W217" i="119" s="1"/>
  <c r="AD13" i="62"/>
  <c r="W145" i="119" s="1"/>
  <c r="W13" i="62"/>
  <c r="P145" i="119" s="1"/>
  <c r="X235" i="119"/>
  <c r="AQ124" i="59"/>
  <c r="AL45" i="119" s="1"/>
  <c r="AP126" i="59"/>
  <c r="AK240" i="119" s="1"/>
  <c r="AE35" i="61"/>
  <c r="Q163" i="119"/>
  <c r="X14" i="61"/>
  <c r="Q235" i="119"/>
  <c r="AK168" i="119"/>
  <c r="AA50" i="106"/>
  <c r="AO57" i="60"/>
  <c r="AE237" i="119"/>
  <c r="R23" i="120"/>
  <c r="Q51" i="120"/>
  <c r="Q21" i="120"/>
  <c r="R21" i="120" s="1"/>
  <c r="S21" i="120" s="1"/>
  <c r="T21" i="120" s="1"/>
  <c r="U21" i="120" s="1"/>
  <c r="V21" i="120" s="1"/>
  <c r="W21" i="120" s="1"/>
  <c r="X21" i="120" s="1"/>
  <c r="S20" i="120"/>
  <c r="T20" i="120" s="1"/>
  <c r="U20" i="120" s="1"/>
  <c r="V20" i="120" s="1"/>
  <c r="W20" i="120" s="1"/>
  <c r="X20" i="120" s="1"/>
  <c r="Y20" i="120" s="1"/>
  <c r="Z20" i="120" s="1"/>
  <c r="AA20" i="120" s="1"/>
  <c r="AB20" i="120" s="1"/>
  <c r="R24" i="120"/>
  <c r="S24" i="120" s="1"/>
  <c r="T24" i="120" s="1"/>
  <c r="U24" i="120" s="1"/>
  <c r="V24" i="120" s="1"/>
  <c r="W24" i="120" s="1"/>
  <c r="X24" i="120" s="1"/>
  <c r="Y24" i="120" s="1"/>
  <c r="T108" i="131"/>
  <c r="Y109" i="131"/>
  <c r="V6" i="132" s="1"/>
  <c r="Y10" i="122" s="1"/>
  <c r="X12" i="120"/>
  <c r="X53" i="120" s="1"/>
  <c r="X8" i="120"/>
  <c r="X49" i="120" s="1"/>
  <c r="Y105" i="131"/>
  <c r="Y12" i="120"/>
  <c r="Y53" i="120" s="1"/>
  <c r="Z108" i="131"/>
  <c r="Y10" i="120"/>
  <c r="Y51" i="120" s="1"/>
  <c r="U52" i="106"/>
  <c r="Z10" i="120"/>
  <c r="Z51" i="120" s="1"/>
  <c r="S105" i="131"/>
  <c r="Z13" i="120"/>
  <c r="S109" i="131"/>
  <c r="P6" i="132" s="1"/>
  <c r="S10" i="122" s="1"/>
  <c r="R11" i="120"/>
  <c r="R22" i="120" s="1"/>
  <c r="S106" i="131"/>
  <c r="R50" i="120"/>
  <c r="AJ37" i="60"/>
  <c r="AE165" i="119"/>
  <c r="W52" i="106"/>
  <c r="Q54" i="120"/>
  <c r="AA104" i="106"/>
  <c r="S83" i="94"/>
  <c r="Y38" i="62" s="1"/>
  <c r="Z94" i="106"/>
  <c r="AB69" i="106"/>
  <c r="AB71" i="106" s="1"/>
  <c r="AF38" i="106"/>
  <c r="S87" i="94"/>
  <c r="S102" i="94" s="1"/>
  <c r="AF92" i="106"/>
  <c r="W72" i="106"/>
  <c r="W73" i="106" s="1"/>
  <c r="R53" i="120"/>
  <c r="Q53" i="120"/>
  <c r="V19" i="106"/>
  <c r="V20" i="106" s="1"/>
  <c r="Q49" i="120"/>
  <c r="N53" i="106"/>
  <c r="P22" i="119"/>
  <c r="W114" i="59"/>
  <c r="W59" i="60"/>
  <c r="W158" i="59"/>
  <c r="W159" i="59"/>
  <c r="AF80" i="94"/>
  <c r="AE382" i="119"/>
  <c r="AE374" i="119"/>
  <c r="AE376" i="119"/>
  <c r="Q219" i="119"/>
  <c r="T79" i="94"/>
  <c r="X113" i="59" s="1"/>
  <c r="T78" i="94"/>
  <c r="AE378" i="119"/>
  <c r="T85" i="94"/>
  <c r="Q147" i="119"/>
  <c r="R147" i="119"/>
  <c r="AF377" i="119"/>
  <c r="AE381" i="119"/>
  <c r="AE417" i="119" s="1"/>
  <c r="AE379" i="119"/>
  <c r="T101" i="94"/>
  <c r="T96" i="94"/>
  <c r="U96" i="94"/>
  <c r="AE380" i="119"/>
  <c r="AE372" i="119"/>
  <c r="Z8" i="120"/>
  <c r="AP86" i="62"/>
  <c r="AQ25" i="119"/>
  <c r="T50" i="120"/>
  <c r="T52" i="120"/>
  <c r="Y54" i="120"/>
  <c r="W49" i="120"/>
  <c r="S50" i="120"/>
  <c r="AK96" i="119"/>
  <c r="AP339" i="119"/>
  <c r="AP60" i="119"/>
  <c r="AJ98" i="119"/>
  <c r="AC46" i="119"/>
  <c r="AK44" i="119"/>
  <c r="AP75" i="60"/>
  <c r="AJ115" i="119"/>
  <c r="AJ416" i="119" s="1"/>
  <c r="AQ84" i="61"/>
  <c r="U6" i="132"/>
  <c r="X10" i="122" s="1"/>
  <c r="AD9" i="120"/>
  <c r="AC9" i="120"/>
  <c r="AE5" i="132"/>
  <c r="AH9" i="122" s="1"/>
  <c r="AE30" i="132"/>
  <c r="AE29" i="132"/>
  <c r="E18" i="122"/>
  <c r="E25" i="122"/>
  <c r="E54" i="122" s="1"/>
  <c r="E17" i="122"/>
  <c r="AJ17" i="132"/>
  <c r="AM26" i="122" s="1"/>
  <c r="AM55" i="122" s="1"/>
  <c r="AJ11" i="132"/>
  <c r="AM15" i="122" s="1"/>
  <c r="AM49" i="122" s="1"/>
  <c r="AJ12" i="132"/>
  <c r="AM16" i="122" s="1"/>
  <c r="AM50" i="122" s="1"/>
  <c r="AJ15" i="132"/>
  <c r="AM24" i="122" s="1"/>
  <c r="AM53" i="122" s="1"/>
  <c r="AJ9" i="132"/>
  <c r="AM13" i="122" s="1"/>
  <c r="AM47" i="122" s="1"/>
  <c r="AJ8" i="132"/>
  <c r="AM12" i="122" s="1"/>
  <c r="AJ10" i="132"/>
  <c r="AM14" i="122" s="1"/>
  <c r="AM48" i="122" s="1"/>
  <c r="AC15" i="106"/>
  <c r="AC36" i="106"/>
  <c r="AC37" i="106" s="1"/>
  <c r="AC39" i="106" s="1"/>
  <c r="AC68" i="106"/>
  <c r="AC90" i="106"/>
  <c r="AC91" i="106" s="1"/>
  <c r="AC93" i="106" s="1"/>
  <c r="AA63" i="82"/>
  <c r="AD11" i="120"/>
  <c r="AF31" i="106"/>
  <c r="AF85" i="106"/>
  <c r="AF57" i="106"/>
  <c r="AG17" i="106"/>
  <c r="AG84" i="106"/>
  <c r="AG70" i="106"/>
  <c r="AQ324" i="119"/>
  <c r="AQ321" i="119"/>
  <c r="AS325" i="119"/>
  <c r="AX52" i="20"/>
  <c r="AW118" i="110"/>
  <c r="AR27" i="119" s="1"/>
  <c r="AN26" i="138" s="1"/>
  <c r="AP323" i="119"/>
  <c r="AU72" i="20"/>
  <c r="AV71" i="20"/>
  <c r="AV46" i="20"/>
  <c r="AU69" i="20"/>
  <c r="AP322" i="119"/>
  <c r="AW68" i="20"/>
  <c r="AW57" i="20"/>
  <c r="AW88" i="20" s="1"/>
  <c r="AW43" i="20"/>
  <c r="AV65" i="20"/>
  <c r="AV39" i="20"/>
  <c r="AV59" i="20"/>
  <c r="AV91" i="20"/>
  <c r="AX68" i="20"/>
  <c r="AX57" i="20"/>
  <c r="AX88" i="20" s="1"/>
  <c r="AX43" i="20"/>
  <c r="AS329" i="119"/>
  <c r="AS24" i="119"/>
  <c r="AO23" i="138" s="1"/>
  <c r="AX118" i="110"/>
  <c r="AS27" i="119" s="1"/>
  <c r="AO26" i="138" s="1"/>
  <c r="AU66" i="20"/>
  <c r="AP320" i="119"/>
  <c r="AU60" i="20"/>
  <c r="AR326" i="119"/>
  <c r="AW52" i="20"/>
  <c r="BE238" i="99"/>
  <c r="BE239" i="99" s="1"/>
  <c r="AW59" i="110" s="1"/>
  <c r="AW60" i="110" s="1"/>
  <c r="BF203" i="99"/>
  <c r="BF238" i="99" s="1"/>
  <c r="BF239" i="99" s="1"/>
  <c r="AX59" i="110" s="1"/>
  <c r="AX60" i="110" s="1"/>
  <c r="AU62" i="20"/>
  <c r="AP337" i="119"/>
  <c r="AR325" i="119"/>
  <c r="AW67" i="20"/>
  <c r="AW58" i="20"/>
  <c r="AT63" i="20"/>
  <c r="AO26" i="119" s="1"/>
  <c r="AO338" i="119"/>
  <c r="AV74" i="20"/>
  <c r="AV49" i="20"/>
  <c r="AX58" i="20"/>
  <c r="AX67" i="20"/>
  <c r="AR24" i="119"/>
  <c r="AN23" i="138" s="1"/>
  <c r="AR329" i="119"/>
  <c r="AS326" i="119"/>
  <c r="Z52" i="120"/>
  <c r="AJ270" i="119"/>
  <c r="AI271" i="119"/>
  <c r="AP58" i="60"/>
  <c r="AP56" i="60"/>
  <c r="AP55" i="60"/>
  <c r="AP87" i="59"/>
  <c r="AK43" i="119" s="1"/>
  <c r="AK97" i="119" s="1"/>
  <c r="AP111" i="59"/>
  <c r="AR76" i="59"/>
  <c r="AK23" i="132"/>
  <c r="AR87" i="62"/>
  <c r="AR16" i="59"/>
  <c r="AH12" i="116"/>
  <c r="AK24" i="132"/>
  <c r="AH62" i="106"/>
  <c r="AQ17" i="59"/>
  <c r="AR83" i="59"/>
  <c r="AK25" i="132"/>
  <c r="AF24" i="101"/>
  <c r="AS120" i="59" s="1"/>
  <c r="AS121" i="59" s="1"/>
  <c r="AO31" i="59"/>
  <c r="AJ269" i="119"/>
  <c r="AQ36" i="61"/>
  <c r="AQ73" i="61"/>
  <c r="AQ75" i="61"/>
  <c r="AG134" i="110"/>
  <c r="AR123" i="59"/>
  <c r="AF25" i="101"/>
  <c r="AP24" i="59"/>
  <c r="AP35" i="24" s="1"/>
  <c r="AJ180" i="119"/>
  <c r="AP30" i="59"/>
  <c r="AG63" i="106"/>
  <c r="AQ84" i="59"/>
  <c r="AQ86" i="59"/>
  <c r="AL42" i="119" s="1"/>
  <c r="AQ72" i="61"/>
  <c r="AH124" i="110"/>
  <c r="AC418" i="119"/>
  <c r="AG10" i="106"/>
  <c r="AH11" i="116"/>
  <c r="AK22" i="132"/>
  <c r="AH9" i="106"/>
  <c r="AC16" i="106" l="1"/>
  <c r="AC18" i="106"/>
  <c r="AF34" i="106"/>
  <c r="AQ286" i="119"/>
  <c r="AM24" i="138"/>
  <c r="AQ340" i="119"/>
  <c r="AQ59" i="119"/>
  <c r="AW89" i="20"/>
  <c r="AW92" i="20" s="1"/>
  <c r="AX89" i="20"/>
  <c r="AX92" i="20" s="1"/>
  <c r="P76" i="119"/>
  <c r="L21" i="138"/>
  <c r="AM42" i="123"/>
  <c r="AK25" i="138"/>
  <c r="AQ15" i="61"/>
  <c r="AO35" i="60"/>
  <c r="AJ110" i="119" s="1"/>
  <c r="AP48" i="59"/>
  <c r="AP14" i="60" s="1"/>
  <c r="S56" i="119"/>
  <c r="S127" i="119" s="1"/>
  <c r="S198" i="119"/>
  <c r="X67" i="59"/>
  <c r="AD68" i="59"/>
  <c r="AD63" i="59"/>
  <c r="W68" i="59"/>
  <c r="AE47" i="59"/>
  <c r="AD64" i="59"/>
  <c r="W64" i="59"/>
  <c r="X49" i="59"/>
  <c r="AF65" i="59"/>
  <c r="AE67" i="59"/>
  <c r="W63" i="59"/>
  <c r="AG47" i="59"/>
  <c r="AG66" i="106"/>
  <c r="AD15" i="60"/>
  <c r="AB21" i="106"/>
  <c r="AL16" i="60"/>
  <c r="AB96" i="106"/>
  <c r="AB42" i="106"/>
  <c r="AA51" i="106"/>
  <c r="AK51" i="59" s="1"/>
  <c r="AA105" i="106"/>
  <c r="AK69" i="59" s="1"/>
  <c r="AG13" i="106"/>
  <c r="AB74" i="106"/>
  <c r="AL27" i="60"/>
  <c r="W25" i="106"/>
  <c r="AE24" i="60"/>
  <c r="U108" i="106"/>
  <c r="U25" i="106"/>
  <c r="X24" i="60"/>
  <c r="N108" i="106"/>
  <c r="W26" i="60"/>
  <c r="AD26" i="60"/>
  <c r="N109" i="106"/>
  <c r="W106" i="106"/>
  <c r="W15" i="60"/>
  <c r="U109" i="106"/>
  <c r="X13" i="60"/>
  <c r="U110" i="106"/>
  <c r="AC15" i="60"/>
  <c r="N110" i="106"/>
  <c r="AQ28" i="59"/>
  <c r="AQ76" i="60"/>
  <c r="AS85" i="61" s="1"/>
  <c r="AS87" i="62" s="1"/>
  <c r="V76" i="106"/>
  <c r="V107" i="106"/>
  <c r="AG111" i="106"/>
  <c r="AQ66" i="59" s="1"/>
  <c r="AQ25" i="60" s="1"/>
  <c r="Z100" i="106"/>
  <c r="Z99" i="106"/>
  <c r="Z98" i="106"/>
  <c r="V77" i="106"/>
  <c r="V78" i="106"/>
  <c r="W24" i="106"/>
  <c r="U24" i="106"/>
  <c r="U23" i="106"/>
  <c r="AG88" i="106"/>
  <c r="AG87" i="106"/>
  <c r="AG33" i="106"/>
  <c r="AH12" i="106"/>
  <c r="AA45" i="106"/>
  <c r="AA46" i="106"/>
  <c r="AA44" i="106"/>
  <c r="W23" i="106"/>
  <c r="AH65" i="106"/>
  <c r="R219" i="119"/>
  <c r="Y45" i="62"/>
  <c r="R22" i="119" s="1"/>
  <c r="AI255" i="119"/>
  <c r="AF237" i="119"/>
  <c r="AQ74" i="61"/>
  <c r="U53" i="106"/>
  <c r="X13" i="62"/>
  <c r="Q145" i="119" s="1"/>
  <c r="Y14" i="61"/>
  <c r="X33" i="62"/>
  <c r="Q217" i="119" s="1"/>
  <c r="AE33" i="62"/>
  <c r="X217" i="119" s="1"/>
  <c r="R235" i="119"/>
  <c r="Q109" i="119"/>
  <c r="AB40" i="106"/>
  <c r="AE113" i="119"/>
  <c r="X163" i="119"/>
  <c r="W53" i="106"/>
  <c r="AR124" i="59"/>
  <c r="AR76" i="60" s="1"/>
  <c r="AT85" i="61" s="1"/>
  <c r="AQ126" i="59"/>
  <c r="AL240" i="119" s="1"/>
  <c r="AC34" i="60"/>
  <c r="AE14" i="61"/>
  <c r="R163" i="119"/>
  <c r="W34" i="60"/>
  <c r="Y35" i="61"/>
  <c r="AL168" i="119"/>
  <c r="AF35" i="61"/>
  <c r="Y235" i="119"/>
  <c r="Y163" i="119"/>
  <c r="AF14" i="61"/>
  <c r="AD34" i="60"/>
  <c r="AP57" i="60"/>
  <c r="V52" i="106"/>
  <c r="Z24" i="120"/>
  <c r="AC20" i="120"/>
  <c r="AD20" i="120" s="1"/>
  <c r="Y21" i="120"/>
  <c r="Z21" i="120" s="1"/>
  <c r="AA106" i="131"/>
  <c r="AA108" i="131"/>
  <c r="AA94" i="106"/>
  <c r="AE9" i="120"/>
  <c r="AE50" i="120" s="1"/>
  <c r="T106" i="131"/>
  <c r="S11" i="120"/>
  <c r="S22" i="120" s="1"/>
  <c r="T22" i="120" s="1"/>
  <c r="U22" i="120" s="1"/>
  <c r="V22" i="120" s="1"/>
  <c r="W22" i="120" s="1"/>
  <c r="X22" i="120" s="1"/>
  <c r="Y22" i="120" s="1"/>
  <c r="Z22" i="120" s="1"/>
  <c r="AA22" i="120" s="1"/>
  <c r="AB22" i="120" s="1"/>
  <c r="AC22" i="120" s="1"/>
  <c r="AD22" i="120" s="1"/>
  <c r="AB50" i="106"/>
  <c r="R52" i="120"/>
  <c r="AB104" i="106"/>
  <c r="AK37" i="60"/>
  <c r="AE11" i="120"/>
  <c r="AC69" i="106"/>
  <c r="AC71" i="106" s="1"/>
  <c r="AH70" i="106"/>
  <c r="AH17" i="106"/>
  <c r="AB94" i="106"/>
  <c r="T82" i="94"/>
  <c r="Z18" i="62" s="1"/>
  <c r="T83" i="94"/>
  <c r="Z38" i="62" s="1"/>
  <c r="AG92" i="106"/>
  <c r="AF165" i="119"/>
  <c r="X72" i="106"/>
  <c r="X73" i="106" s="1"/>
  <c r="AG38" i="106"/>
  <c r="S8" i="120"/>
  <c r="S19" i="120" s="1"/>
  <c r="T19" i="120" s="1"/>
  <c r="U19" i="120" s="1"/>
  <c r="V19" i="120" s="1"/>
  <c r="W19" i="120" s="1"/>
  <c r="X19" i="120" s="1"/>
  <c r="Y19" i="120" s="1"/>
  <c r="Z19" i="120" s="1"/>
  <c r="T105" i="131"/>
  <c r="T109" i="131"/>
  <c r="Q6" i="132" s="1"/>
  <c r="T10" i="122" s="1"/>
  <c r="X19" i="106"/>
  <c r="X20" i="106" s="1"/>
  <c r="S12" i="120"/>
  <c r="S23" i="120" s="1"/>
  <c r="T23" i="120" s="1"/>
  <c r="U23" i="120" s="1"/>
  <c r="V23" i="120" s="1"/>
  <c r="W23" i="120" s="1"/>
  <c r="X23" i="120" s="1"/>
  <c r="Y23" i="120" s="1"/>
  <c r="T107" i="131"/>
  <c r="Q22" i="119"/>
  <c r="AF372" i="119"/>
  <c r="AF376" i="119"/>
  <c r="AF379" i="119"/>
  <c r="AF381" i="119"/>
  <c r="AF417" i="119" s="1"/>
  <c r="X59" i="60"/>
  <c r="X114" i="59"/>
  <c r="AG80" i="94"/>
  <c r="AF382" i="119"/>
  <c r="AF378" i="119"/>
  <c r="X158" i="59"/>
  <c r="X159" i="59"/>
  <c r="AF374" i="119"/>
  <c r="AF380" i="119"/>
  <c r="AG377" i="119"/>
  <c r="AS25" i="119"/>
  <c r="AR25" i="119"/>
  <c r="AQ86" i="62"/>
  <c r="Z54" i="120"/>
  <c r="AD50" i="120"/>
  <c r="AL96" i="119"/>
  <c r="AL99" i="119"/>
  <c r="AQ339" i="119"/>
  <c r="AQ60" i="119"/>
  <c r="AK98" i="119"/>
  <c r="AD46" i="119"/>
  <c r="AD418" i="119" s="1"/>
  <c r="J43" i="92" s="1"/>
  <c r="AQ75" i="60"/>
  <c r="AL44" i="119"/>
  <c r="AK115" i="119"/>
  <c r="AK416" i="119" s="1"/>
  <c r="AR84" i="61"/>
  <c r="AC50" i="120"/>
  <c r="AB106" i="131"/>
  <c r="AA10" i="120"/>
  <c r="AA51" i="120" s="1"/>
  <c r="Z12" i="120"/>
  <c r="AA107" i="131"/>
  <c r="AB12" i="120"/>
  <c r="AC107" i="131"/>
  <c r="AB108" i="131"/>
  <c r="AA13" i="120"/>
  <c r="Z105" i="131"/>
  <c r="Z109" i="131"/>
  <c r="AF5" i="132"/>
  <c r="AI9" i="122" s="1"/>
  <c r="AF29" i="132"/>
  <c r="AF30" i="132"/>
  <c r="AK15" i="132"/>
  <c r="AN24" i="122" s="1"/>
  <c r="AN53" i="122" s="1"/>
  <c r="AK9" i="132"/>
  <c r="AN13" i="122" s="1"/>
  <c r="AN47" i="122" s="1"/>
  <c r="AK10" i="132"/>
  <c r="AN14" i="122" s="1"/>
  <c r="AN48" i="122" s="1"/>
  <c r="AK8" i="132"/>
  <c r="AN12" i="122" s="1"/>
  <c r="AK17" i="132"/>
  <c r="AN26" i="122" s="1"/>
  <c r="AN55" i="122" s="1"/>
  <c r="AK11" i="132"/>
  <c r="AN15" i="122" s="1"/>
  <c r="AN49" i="122" s="1"/>
  <c r="AK12" i="132"/>
  <c r="AN16" i="122" s="1"/>
  <c r="AN50" i="122" s="1"/>
  <c r="AS417" i="119"/>
  <c r="M42" i="92" s="1"/>
  <c r="AB63" i="82"/>
  <c r="AD90" i="106"/>
  <c r="AD91" i="106" s="1"/>
  <c r="AD93" i="106" s="1"/>
  <c r="AD15" i="106"/>
  <c r="AD18" i="106" s="1"/>
  <c r="AD36" i="106"/>
  <c r="AD37" i="106" s="1"/>
  <c r="AD39" i="106" s="1"/>
  <c r="AD68" i="106"/>
  <c r="AG57" i="106"/>
  <c r="AG31" i="106"/>
  <c r="AG85" i="106"/>
  <c r="AS324" i="119"/>
  <c r="AR324" i="119"/>
  <c r="AS321" i="119"/>
  <c r="AQ337" i="119"/>
  <c r="AV62" i="20"/>
  <c r="AW91" i="20"/>
  <c r="AX49" i="20"/>
  <c r="AX74" i="20"/>
  <c r="AX91" i="20"/>
  <c r="AV69" i="20"/>
  <c r="AQ322" i="119"/>
  <c r="AW39" i="20"/>
  <c r="AW65" i="20"/>
  <c r="AW59" i="20"/>
  <c r="AW49" i="20"/>
  <c r="AW74" i="20"/>
  <c r="AU63" i="20"/>
  <c r="AP26" i="119" s="1"/>
  <c r="AP338" i="119"/>
  <c r="AX65" i="20"/>
  <c r="AX59" i="20"/>
  <c r="AX39" i="20"/>
  <c r="AQ320" i="119"/>
  <c r="AV66" i="20"/>
  <c r="AV60" i="20"/>
  <c r="AW46" i="20"/>
  <c r="AW71" i="20"/>
  <c r="AX71" i="20"/>
  <c r="AX46" i="20"/>
  <c r="AR321" i="119"/>
  <c r="AQ323" i="119"/>
  <c r="AV72" i="20"/>
  <c r="AA52" i="120"/>
  <c r="AK270" i="119"/>
  <c r="AJ271" i="119"/>
  <c r="AB52" i="120"/>
  <c r="AL22" i="132"/>
  <c r="AI11" i="116"/>
  <c r="AI9" i="106"/>
  <c r="AH134" i="110"/>
  <c r="AQ58" i="60"/>
  <c r="AQ56" i="60"/>
  <c r="AQ55" i="60"/>
  <c r="AQ87" i="59"/>
  <c r="AL43" i="119" s="1"/>
  <c r="AL97" i="119" s="1"/>
  <c r="AQ111" i="59"/>
  <c r="AK180" i="119"/>
  <c r="AS123" i="59"/>
  <c r="AG25" i="101"/>
  <c r="AR86" i="59"/>
  <c r="AM42" i="119" s="1"/>
  <c r="AR84" i="59"/>
  <c r="AQ30" i="59"/>
  <c r="AH63" i="106"/>
  <c r="AP31" i="59"/>
  <c r="AK269" i="119"/>
  <c r="AR36" i="61"/>
  <c r="AS76" i="59"/>
  <c r="AL23" i="132"/>
  <c r="AR72" i="61"/>
  <c r="AH10" i="106"/>
  <c r="AI124" i="110"/>
  <c r="AQ24" i="59"/>
  <c r="AQ35" i="24" s="1"/>
  <c r="AG24" i="101"/>
  <c r="AT120" i="59" s="1"/>
  <c r="AT121" i="59" s="1"/>
  <c r="AS83" i="59"/>
  <c r="AL25" i="132"/>
  <c r="AH84" i="106"/>
  <c r="AS16" i="59"/>
  <c r="AL24" i="132"/>
  <c r="AI12" i="116"/>
  <c r="AI62" i="106"/>
  <c r="AR17" i="59"/>
  <c r="AR73" i="61"/>
  <c r="AR75" i="61"/>
  <c r="AD16" i="106" l="1"/>
  <c r="AG34" i="106"/>
  <c r="AR286" i="119"/>
  <c r="AN24" i="138"/>
  <c r="AS286" i="119"/>
  <c r="AO24" i="138"/>
  <c r="AS340" i="119"/>
  <c r="AS59" i="119"/>
  <c r="AR340" i="119"/>
  <c r="AR59" i="119"/>
  <c r="Q76" i="119"/>
  <c r="M21" i="138"/>
  <c r="AN42" i="123"/>
  <c r="AL25" i="138"/>
  <c r="R76" i="119"/>
  <c r="N21" i="138"/>
  <c r="AM45" i="119"/>
  <c r="AM99" i="119" s="1"/>
  <c r="AP35" i="60"/>
  <c r="AK110" i="119" s="1"/>
  <c r="AR15" i="61"/>
  <c r="AQ48" i="59"/>
  <c r="AQ14" i="60" s="1"/>
  <c r="AF47" i="59"/>
  <c r="AE64" i="59"/>
  <c r="AE63" i="59"/>
  <c r="AG49" i="59"/>
  <c r="AF67" i="59"/>
  <c r="X64" i="59"/>
  <c r="X63" i="59"/>
  <c r="AE49" i="59"/>
  <c r="X68" i="59"/>
  <c r="AE68" i="59"/>
  <c r="AG65" i="59"/>
  <c r="AJ255" i="119"/>
  <c r="AB105" i="106"/>
  <c r="AL69" i="59" s="1"/>
  <c r="AC21" i="106"/>
  <c r="AM16" i="60"/>
  <c r="AH13" i="106"/>
  <c r="AC42" i="106"/>
  <c r="AB51" i="106"/>
  <c r="AL51" i="59" s="1"/>
  <c r="AC74" i="106"/>
  <c r="AM27" i="60"/>
  <c r="AC96" i="106"/>
  <c r="AH66" i="106"/>
  <c r="AG13" i="60"/>
  <c r="AE26" i="60"/>
  <c r="AE13" i="60"/>
  <c r="AF24" i="60"/>
  <c r="V108" i="106"/>
  <c r="V110" i="106"/>
  <c r="X15" i="60"/>
  <c r="X26" i="60"/>
  <c r="V24" i="106"/>
  <c r="V109" i="106"/>
  <c r="X106" i="106"/>
  <c r="AR28" i="59"/>
  <c r="W78" i="106"/>
  <c r="W107" i="106"/>
  <c r="AH111" i="106"/>
  <c r="AR66" i="59" s="1"/>
  <c r="AR25" i="60" s="1"/>
  <c r="AA99" i="106"/>
  <c r="AA100" i="106"/>
  <c r="AA98" i="106"/>
  <c r="W77" i="106"/>
  <c r="W76" i="106"/>
  <c r="AB99" i="106"/>
  <c r="AB100" i="106"/>
  <c r="AB98" i="106"/>
  <c r="V23" i="106"/>
  <c r="V25" i="106"/>
  <c r="AH33" i="106"/>
  <c r="AB45" i="106"/>
  <c r="AB46" i="106"/>
  <c r="AB44" i="106"/>
  <c r="AI65" i="106"/>
  <c r="AH87" i="106"/>
  <c r="AH88" i="106"/>
  <c r="AI12" i="106"/>
  <c r="S219" i="119"/>
  <c r="Z45" i="62"/>
  <c r="Z25" i="62"/>
  <c r="AR74" i="61"/>
  <c r="AK255" i="119" s="1"/>
  <c r="Y33" i="62"/>
  <c r="R217" i="119" s="1"/>
  <c r="AC40" i="106"/>
  <c r="R109" i="119"/>
  <c r="Y13" i="62"/>
  <c r="R145" i="119" s="1"/>
  <c r="AF33" i="62"/>
  <c r="Y217" i="119" s="1"/>
  <c r="AE13" i="62"/>
  <c r="X145" i="119" s="1"/>
  <c r="AF113" i="119"/>
  <c r="X109" i="119"/>
  <c r="AG165" i="119"/>
  <c r="Y109" i="119"/>
  <c r="S163" i="119"/>
  <c r="AF13" i="62"/>
  <c r="Y145" i="119" s="1"/>
  <c r="Z35" i="61"/>
  <c r="AS124" i="59"/>
  <c r="AS76" i="60" s="1"/>
  <c r="AU85" i="61" s="1"/>
  <c r="AR126" i="59"/>
  <c r="AM240" i="119" s="1"/>
  <c r="AG237" i="119"/>
  <c r="Z14" i="61"/>
  <c r="S235" i="119"/>
  <c r="X34" i="60"/>
  <c r="AM168" i="119"/>
  <c r="AG35" i="61"/>
  <c r="Z235" i="119"/>
  <c r="AA8" i="120"/>
  <c r="AA19" i="120" s="1"/>
  <c r="Z23" i="120"/>
  <c r="AE22" i="120"/>
  <c r="AA21" i="120"/>
  <c r="AE20" i="120"/>
  <c r="AA24" i="120"/>
  <c r="V53" i="106"/>
  <c r="AB105" i="131"/>
  <c r="S52" i="120"/>
  <c r="X52" i="106"/>
  <c r="AA12" i="120"/>
  <c r="AC104" i="106"/>
  <c r="AC50" i="106"/>
  <c r="AL37" i="60"/>
  <c r="AD69" i="106"/>
  <c r="AD71" i="106" s="1"/>
  <c r="S147" i="119"/>
  <c r="AH92" i="106"/>
  <c r="AI70" i="106"/>
  <c r="AH38" i="106"/>
  <c r="S53" i="120"/>
  <c r="Y19" i="106"/>
  <c r="Y20" i="106" s="1"/>
  <c r="Z19" i="106"/>
  <c r="Z20" i="106" s="1"/>
  <c r="S49" i="120"/>
  <c r="AG380" i="119"/>
  <c r="AG379" i="119"/>
  <c r="AH377" i="119"/>
  <c r="AG374" i="119"/>
  <c r="AG381" i="119"/>
  <c r="AG417" i="119" s="1"/>
  <c r="AG382" i="119"/>
  <c r="AH80" i="94"/>
  <c r="AG376" i="119"/>
  <c r="AG378" i="119"/>
  <c r="AG372" i="119"/>
  <c r="AR86" i="62"/>
  <c r="AB53" i="120"/>
  <c r="AA54" i="120"/>
  <c r="Z53" i="120"/>
  <c r="AM96" i="119"/>
  <c r="AR339" i="119"/>
  <c r="AR60" i="119"/>
  <c r="AL98" i="119"/>
  <c r="AS339" i="119"/>
  <c r="AS60" i="119"/>
  <c r="AM44" i="119"/>
  <c r="AR75" i="60"/>
  <c r="AE46" i="119"/>
  <c r="AL115" i="119"/>
  <c r="AL416" i="119" s="1"/>
  <c r="AS84" i="61"/>
  <c r="W6" i="132"/>
  <c r="Z10" i="122" s="1"/>
  <c r="AF9" i="120"/>
  <c r="AC106" i="131"/>
  <c r="AB10" i="120"/>
  <c r="AB51" i="120" s="1"/>
  <c r="AB13" i="120"/>
  <c r="AC108" i="131"/>
  <c r="Z49" i="120"/>
  <c r="AA109" i="131"/>
  <c r="X6" i="132" s="1"/>
  <c r="AA10" i="122" s="1"/>
  <c r="AA105" i="131"/>
  <c r="AG5" i="132"/>
  <c r="AJ9" i="122" s="1"/>
  <c r="AG30" i="132"/>
  <c r="AG29" i="132"/>
  <c r="AL15" i="132"/>
  <c r="AO24" i="122" s="1"/>
  <c r="AO53" i="122" s="1"/>
  <c r="AL8" i="132"/>
  <c r="AO12" i="122" s="1"/>
  <c r="AL9" i="132"/>
  <c r="AO13" i="122" s="1"/>
  <c r="AO47" i="122" s="1"/>
  <c r="AL10" i="132"/>
  <c r="AO14" i="122" s="1"/>
  <c r="AO48" i="122" s="1"/>
  <c r="AL17" i="132"/>
  <c r="AO26" i="122" s="1"/>
  <c r="AO55" i="122" s="1"/>
  <c r="AL11" i="132"/>
  <c r="AO15" i="122" s="1"/>
  <c r="AO49" i="122" s="1"/>
  <c r="AL12" i="132"/>
  <c r="AO16" i="122" s="1"/>
  <c r="AO50" i="122" s="1"/>
  <c r="AE36" i="106"/>
  <c r="AE37" i="106" s="1"/>
  <c r="AE39" i="106" s="1"/>
  <c r="AE15" i="106"/>
  <c r="AE68" i="106"/>
  <c r="AE90" i="106"/>
  <c r="AE91" i="106" s="1"/>
  <c r="AE93" i="106" s="1"/>
  <c r="AC63" i="82"/>
  <c r="AF11" i="120"/>
  <c r="AG11" i="120"/>
  <c r="AI17" i="106"/>
  <c r="AW69" i="20"/>
  <c r="AR322" i="119"/>
  <c r="AS337" i="119"/>
  <c r="AX62" i="20"/>
  <c r="AS323" i="119"/>
  <c r="AX72" i="20"/>
  <c r="AV63" i="20"/>
  <c r="AQ26" i="119" s="1"/>
  <c r="AQ338" i="119"/>
  <c r="AS322" i="119"/>
  <c r="AX69" i="20"/>
  <c r="AR323" i="119"/>
  <c r="AW72" i="20"/>
  <c r="AR337" i="119"/>
  <c r="AW62" i="20"/>
  <c r="AX66" i="20"/>
  <c r="AS320" i="119"/>
  <c r="AX60" i="20"/>
  <c r="AW66" i="20"/>
  <c r="AR320" i="119"/>
  <c r="AW60" i="20"/>
  <c r="AK271" i="119"/>
  <c r="AL270" i="119"/>
  <c r="AC52" i="120"/>
  <c r="AR30" i="59"/>
  <c r="AI63" i="106"/>
  <c r="AT16" i="59"/>
  <c r="AJ12" i="116"/>
  <c r="AM24" i="132"/>
  <c r="AJ62" i="106"/>
  <c r="AH85" i="106"/>
  <c r="AQ31" i="59"/>
  <c r="AL269" i="119"/>
  <c r="AS36" i="61"/>
  <c r="AT83" i="59"/>
  <c r="AM25" i="132"/>
  <c r="AH24" i="101"/>
  <c r="AU120" i="59" s="1"/>
  <c r="AU121" i="59" s="1"/>
  <c r="AJ124" i="110"/>
  <c r="AE418" i="119"/>
  <c r="AR24" i="59"/>
  <c r="AR35" i="24" s="1"/>
  <c r="AT76" i="59"/>
  <c r="AM23" i="132"/>
  <c r="AT123" i="59"/>
  <c r="AH25" i="101"/>
  <c r="AS73" i="61"/>
  <c r="AS75" i="61"/>
  <c r="AI10" i="106"/>
  <c r="AJ11" i="116"/>
  <c r="AM22" i="132"/>
  <c r="AJ9" i="106"/>
  <c r="AI84" i="106"/>
  <c r="AS17" i="59"/>
  <c r="AS86" i="59"/>
  <c r="AN42" i="119" s="1"/>
  <c r="AS84" i="59"/>
  <c r="AT87" i="62"/>
  <c r="AH57" i="106"/>
  <c r="AH31" i="106"/>
  <c r="AL180" i="119"/>
  <c r="AI134" i="110"/>
  <c r="AR58" i="60"/>
  <c r="AR56" i="60"/>
  <c r="AR55" i="60"/>
  <c r="AR87" i="59"/>
  <c r="AM43" i="119" s="1"/>
  <c r="AM97" i="119" s="1"/>
  <c r="AR111" i="59"/>
  <c r="AS72" i="61"/>
  <c r="AQ57" i="60"/>
  <c r="AE16" i="106" l="1"/>
  <c r="AE18" i="106"/>
  <c r="AH34" i="106"/>
  <c r="AO42" i="123"/>
  <c r="AM25" i="138"/>
  <c r="AS15" i="61"/>
  <c r="AQ35" i="60"/>
  <c r="AL110" i="119" s="1"/>
  <c r="AR48" i="59"/>
  <c r="AR14" i="60" s="1"/>
  <c r="AG67" i="59"/>
  <c r="AF63" i="59"/>
  <c r="AH47" i="59"/>
  <c r="AH65" i="59"/>
  <c r="AF68" i="59"/>
  <c r="AF49" i="59"/>
  <c r="AF64" i="59"/>
  <c r="AI13" i="106"/>
  <c r="AD21" i="106"/>
  <c r="AN16" i="60"/>
  <c r="AC51" i="106"/>
  <c r="AM51" i="59" s="1"/>
  <c r="AI66" i="106"/>
  <c r="AD96" i="106"/>
  <c r="AC105" i="106"/>
  <c r="AM69" i="59" s="1"/>
  <c r="AD42" i="106"/>
  <c r="AD74" i="106"/>
  <c r="AN27" i="60"/>
  <c r="AA235" i="119"/>
  <c r="W108" i="106"/>
  <c r="W109" i="106"/>
  <c r="X24" i="106"/>
  <c r="AF13" i="60"/>
  <c r="AE15" i="60"/>
  <c r="AG15" i="60"/>
  <c r="Y106" i="106"/>
  <c r="AG24" i="60"/>
  <c r="AF26" i="60"/>
  <c r="W110" i="106"/>
  <c r="AS28" i="59"/>
  <c r="AN45" i="119"/>
  <c r="AN99" i="119" s="1"/>
  <c r="AI111" i="106"/>
  <c r="AS66" i="59" s="1"/>
  <c r="AS25" i="60" s="1"/>
  <c r="X78" i="106"/>
  <c r="X107" i="106"/>
  <c r="X76" i="106"/>
  <c r="X77" i="106"/>
  <c r="AI87" i="106"/>
  <c r="AI88" i="106"/>
  <c r="AJ12" i="106"/>
  <c r="X23" i="106"/>
  <c r="X25" i="106"/>
  <c r="AC44" i="106"/>
  <c r="AC45" i="106"/>
  <c r="AC46" i="106"/>
  <c r="AJ65" i="106"/>
  <c r="AI33" i="106"/>
  <c r="Z13" i="62"/>
  <c r="S145" i="119" s="1"/>
  <c r="AH35" i="61"/>
  <c r="AG113" i="119"/>
  <c r="AI14" i="61"/>
  <c r="Z33" i="62"/>
  <c r="S217" i="119" s="1"/>
  <c r="Z163" i="119"/>
  <c r="AG33" i="62"/>
  <c r="Z217" i="119" s="1"/>
  <c r="AD40" i="106"/>
  <c r="AH165" i="119"/>
  <c r="S109" i="119"/>
  <c r="AT124" i="59"/>
  <c r="AT76" i="60" s="1"/>
  <c r="AV85" i="61" s="1"/>
  <c r="AS126" i="59"/>
  <c r="AN240" i="119" s="1"/>
  <c r="AB163" i="119"/>
  <c r="AH237" i="119"/>
  <c r="AE34" i="60"/>
  <c r="AG14" i="61"/>
  <c r="AN168" i="119"/>
  <c r="AF22" i="120"/>
  <c r="AG22" i="120" s="1"/>
  <c r="AD104" i="106"/>
  <c r="AR57" i="60"/>
  <c r="AA23" i="120"/>
  <c r="AB23" i="120" s="1"/>
  <c r="AB24" i="120"/>
  <c r="AF20" i="120"/>
  <c r="AB21" i="120"/>
  <c r="AB109" i="131"/>
  <c r="Y6" i="132" s="1"/>
  <c r="AB10" i="122" s="1"/>
  <c r="AB107" i="131"/>
  <c r="AC10" i="120"/>
  <c r="AC51" i="120" s="1"/>
  <c r="AC94" i="106"/>
  <c r="Y52" i="106"/>
  <c r="S22" i="119"/>
  <c r="AM37" i="60"/>
  <c r="X53" i="106"/>
  <c r="AD50" i="106"/>
  <c r="AE69" i="106"/>
  <c r="AE71" i="106" s="1"/>
  <c r="AI92" i="106"/>
  <c r="AI38" i="106"/>
  <c r="AD94" i="106"/>
  <c r="AJ70" i="106"/>
  <c r="Z72" i="106"/>
  <c r="Z73" i="106" s="1"/>
  <c r="Z52" i="106"/>
  <c r="AH378" i="119"/>
  <c r="AH372" i="119"/>
  <c r="AH379" i="119"/>
  <c r="AH374" i="119"/>
  <c r="AH381" i="119"/>
  <c r="AH417" i="119" s="1"/>
  <c r="AH376" i="119"/>
  <c r="AI377" i="119"/>
  <c r="AH380" i="119"/>
  <c r="AH382" i="119"/>
  <c r="AI80" i="94"/>
  <c r="AS86" i="62"/>
  <c r="AF50" i="120"/>
  <c r="AA53" i="120"/>
  <c r="AA49" i="120"/>
  <c r="AB54" i="120"/>
  <c r="AN96" i="119"/>
  <c r="AM98" i="119"/>
  <c r="AF46" i="119"/>
  <c r="AF418" i="119" s="1"/>
  <c r="AM115" i="119"/>
  <c r="AM416" i="119" s="1"/>
  <c r="AT84" i="61"/>
  <c r="AN44" i="119"/>
  <c r="AS75" i="60"/>
  <c r="AG9" i="120"/>
  <c r="AC109" i="131"/>
  <c r="AC105" i="131"/>
  <c r="AB8" i="120"/>
  <c r="AB19" i="120" s="1"/>
  <c r="AH5" i="132"/>
  <c r="AK9" i="122" s="1"/>
  <c r="AH30" i="132"/>
  <c r="AH29" i="132"/>
  <c r="AM15" i="132"/>
  <c r="AP24" i="122" s="1"/>
  <c r="AP53" i="122" s="1"/>
  <c r="AM9" i="132"/>
  <c r="AP13" i="122" s="1"/>
  <c r="AP47" i="122" s="1"/>
  <c r="AM8" i="132"/>
  <c r="AP12" i="122" s="1"/>
  <c r="AM10" i="132"/>
  <c r="AP14" i="122" s="1"/>
  <c r="AP48" i="122" s="1"/>
  <c r="AM17" i="132"/>
  <c r="AP26" i="122" s="1"/>
  <c r="AP55" i="122" s="1"/>
  <c r="AM11" i="132"/>
  <c r="AP15" i="122" s="1"/>
  <c r="AP49" i="122" s="1"/>
  <c r="AM12" i="132"/>
  <c r="AP16" i="122" s="1"/>
  <c r="AP50" i="122" s="1"/>
  <c r="AD63" i="82"/>
  <c r="AF68" i="106"/>
  <c r="AF90" i="106"/>
  <c r="AF91" i="106" s="1"/>
  <c r="AF93" i="106" s="1"/>
  <c r="AF36" i="106"/>
  <c r="AF37" i="106" s="1"/>
  <c r="AF39" i="106" s="1"/>
  <c r="AF15" i="106"/>
  <c r="AH11" i="120"/>
  <c r="AI57" i="106"/>
  <c r="AI31" i="106"/>
  <c r="AJ17" i="106"/>
  <c r="AX63" i="20"/>
  <c r="AS26" i="119" s="1"/>
  <c r="AS338" i="119"/>
  <c r="AW63" i="20"/>
  <c r="AR26" i="119" s="1"/>
  <c r="AR338" i="119"/>
  <c r="AM270" i="119"/>
  <c r="AL271" i="119"/>
  <c r="AD52" i="120"/>
  <c r="AU87" i="62"/>
  <c r="AT72" i="61"/>
  <c r="AS58" i="60"/>
  <c r="AS56" i="60"/>
  <c r="AS55" i="60"/>
  <c r="AS87" i="59"/>
  <c r="AN43" i="119" s="1"/>
  <c r="AN97" i="119" s="1"/>
  <c r="AS111" i="59"/>
  <c r="AI85" i="106"/>
  <c r="AR31" i="59"/>
  <c r="AM269" i="119"/>
  <c r="AT36" i="61"/>
  <c r="AK11" i="116"/>
  <c r="AN22" i="132"/>
  <c r="AK9" i="106"/>
  <c r="AU123" i="59"/>
  <c r="AI25" i="101"/>
  <c r="AU76" i="59"/>
  <c r="AN23" i="132"/>
  <c r="AT84" i="59"/>
  <c r="AT86" i="59"/>
  <c r="AO42" i="119" s="1"/>
  <c r="AJ63" i="106"/>
  <c r="AS24" i="59"/>
  <c r="AS35" i="24" s="1"/>
  <c r="AS74" i="61"/>
  <c r="AT73" i="61"/>
  <c r="AT75" i="61"/>
  <c r="AS30" i="59"/>
  <c r="AJ10" i="106"/>
  <c r="AM180" i="119"/>
  <c r="AK124" i="110"/>
  <c r="AJ134" i="110"/>
  <c r="AI24" i="101"/>
  <c r="AV120" i="59" s="1"/>
  <c r="AV121" i="59" s="1"/>
  <c r="AU83" i="59"/>
  <c r="AN25" i="132"/>
  <c r="AJ84" i="106"/>
  <c r="AU16" i="59"/>
  <c r="AK12" i="116"/>
  <c r="AN24" i="132"/>
  <c r="AK62" i="106"/>
  <c r="AT17" i="59"/>
  <c r="AF16" i="106" l="1"/>
  <c r="AF18" i="106"/>
  <c r="AI34" i="106"/>
  <c r="AO45" i="119"/>
  <c r="AO99" i="119" s="1"/>
  <c r="S76" i="119"/>
  <c r="O21" i="138"/>
  <c r="AP42" i="123"/>
  <c r="AN25" i="138"/>
  <c r="AQ42" i="123"/>
  <c r="P17" i="92" s="1"/>
  <c r="AO25" i="138"/>
  <c r="AT15" i="61"/>
  <c r="AR35" i="60"/>
  <c r="AM110" i="119" s="1"/>
  <c r="AS48" i="59"/>
  <c r="AS14" i="60" s="1"/>
  <c r="AH49" i="59"/>
  <c r="AI65" i="59"/>
  <c r="AG68" i="59"/>
  <c r="AJ47" i="59"/>
  <c r="AI47" i="59"/>
  <c r="AG63" i="59"/>
  <c r="AH67" i="59"/>
  <c r="AG64" i="59"/>
  <c r="AE21" i="106"/>
  <c r="AO16" i="60"/>
  <c r="AE74" i="106"/>
  <c r="AO27" i="60"/>
  <c r="AE96" i="106"/>
  <c r="AJ13" i="106"/>
  <c r="AD51" i="106"/>
  <c r="AN51" i="59" s="1"/>
  <c r="AJ66" i="106"/>
  <c r="AD105" i="106"/>
  <c r="AN69" i="59" s="1"/>
  <c r="AE42" i="106"/>
  <c r="Z106" i="106"/>
  <c r="AF15" i="60"/>
  <c r="AH13" i="60"/>
  <c r="Y24" i="106"/>
  <c r="X110" i="106"/>
  <c r="AH24" i="60"/>
  <c r="X109" i="106"/>
  <c r="X108" i="106"/>
  <c r="Z23" i="106"/>
  <c r="AG26" i="60"/>
  <c r="AT28" i="59"/>
  <c r="AJ111" i="106"/>
  <c r="AT66" i="59" s="1"/>
  <c r="AT25" i="60" s="1"/>
  <c r="Y78" i="106"/>
  <c r="Y107" i="106"/>
  <c r="Y76" i="106"/>
  <c r="AD98" i="106"/>
  <c r="AD99" i="106"/>
  <c r="AD100" i="106"/>
  <c r="Y77" i="106"/>
  <c r="AC99" i="106"/>
  <c r="AC98" i="106"/>
  <c r="AC100" i="106"/>
  <c r="Z25" i="106"/>
  <c r="AJ33" i="106"/>
  <c r="Y23" i="106"/>
  <c r="Z24" i="106"/>
  <c r="AD46" i="106"/>
  <c r="AD44" i="106"/>
  <c r="AD45" i="106"/>
  <c r="Y25" i="106"/>
  <c r="AJ88" i="106"/>
  <c r="AJ87" i="106"/>
  <c r="AK65" i="106"/>
  <c r="AK12" i="106"/>
  <c r="AF34" i="60"/>
  <c r="AI165" i="119"/>
  <c r="AI237" i="119"/>
  <c r="AG13" i="62"/>
  <c r="Z145" i="119" s="1"/>
  <c r="AH113" i="119"/>
  <c r="AE40" i="106"/>
  <c r="Z109" i="119"/>
  <c r="AT74" i="61"/>
  <c r="AI13" i="62"/>
  <c r="AB145" i="119" s="1"/>
  <c r="AH33" i="62"/>
  <c r="AA217" i="119" s="1"/>
  <c r="AG34" i="60"/>
  <c r="AU124" i="59"/>
  <c r="AU76" i="60" s="1"/>
  <c r="AW85" i="61" s="1"/>
  <c r="AT126" i="59"/>
  <c r="AO240" i="119" s="1"/>
  <c r="AH14" i="61"/>
  <c r="AA163" i="119"/>
  <c r="AB235" i="119"/>
  <c r="AI35" i="61"/>
  <c r="AC21" i="120"/>
  <c r="AS57" i="60"/>
  <c r="AH22" i="120"/>
  <c r="AG20" i="120"/>
  <c r="Y53" i="106"/>
  <c r="AD108" i="131"/>
  <c r="Z53" i="106"/>
  <c r="AC13" i="120"/>
  <c r="AC54" i="120" s="1"/>
  <c r="AD107" i="131"/>
  <c r="AC12" i="120"/>
  <c r="AC23" i="120" s="1"/>
  <c r="AD106" i="131"/>
  <c r="AH9" i="120"/>
  <c r="AE12" i="120"/>
  <c r="AD12" i="120"/>
  <c r="AE104" i="106"/>
  <c r="AN37" i="60"/>
  <c r="AE50" i="106"/>
  <c r="AF69" i="106"/>
  <c r="AF71" i="106" s="1"/>
  <c r="AJ92" i="106"/>
  <c r="AK70" i="106"/>
  <c r="AJ38" i="106"/>
  <c r="AA72" i="106"/>
  <c r="AA73" i="106" s="1"/>
  <c r="AA19" i="106"/>
  <c r="AA20" i="106" s="1"/>
  <c r="AB19" i="106"/>
  <c r="AB20" i="106" s="1"/>
  <c r="AD19" i="106"/>
  <c r="AD20" i="106" s="1"/>
  <c r="AI379" i="119"/>
  <c r="AI376" i="119"/>
  <c r="AI381" i="119"/>
  <c r="AI417" i="119" s="1"/>
  <c r="K42" i="92" s="1"/>
  <c r="AI378" i="119"/>
  <c r="AI372" i="119"/>
  <c r="AI380" i="119"/>
  <c r="AI374" i="119"/>
  <c r="AJ377" i="119"/>
  <c r="AI382" i="119"/>
  <c r="AJ80" i="94"/>
  <c r="AT86" i="62"/>
  <c r="AB49" i="120"/>
  <c r="AG50" i="120"/>
  <c r="AO96" i="119"/>
  <c r="AN98" i="119"/>
  <c r="AO44" i="119"/>
  <c r="AT75" i="60"/>
  <c r="AN115" i="119"/>
  <c r="AN416" i="119" s="1"/>
  <c r="L41" i="92" s="1"/>
  <c r="AU84" i="61"/>
  <c r="AG46" i="119"/>
  <c r="AO168" i="119"/>
  <c r="Z6" i="132"/>
  <c r="AC10" i="122" s="1"/>
  <c r="AE105" i="131"/>
  <c r="AD8" i="120"/>
  <c r="AE108" i="131"/>
  <c r="AD13" i="120"/>
  <c r="AD109" i="131"/>
  <c r="AD105" i="131"/>
  <c r="AC8" i="120"/>
  <c r="AC19" i="120" s="1"/>
  <c r="AE106" i="131"/>
  <c r="AD10" i="120"/>
  <c r="AI5" i="132"/>
  <c r="AL9" i="122" s="1"/>
  <c r="AI30" i="132"/>
  <c r="AI29" i="132"/>
  <c r="AN15" i="132"/>
  <c r="AQ24" i="122" s="1"/>
  <c r="AQ53" i="122" s="1"/>
  <c r="AN8" i="132"/>
  <c r="AQ12" i="122" s="1"/>
  <c r="AN9" i="132"/>
  <c r="AQ13" i="122" s="1"/>
  <c r="AQ47" i="122" s="1"/>
  <c r="AN10" i="132"/>
  <c r="AQ14" i="122" s="1"/>
  <c r="AQ48" i="122" s="1"/>
  <c r="AN17" i="132"/>
  <c r="AQ26" i="122" s="1"/>
  <c r="AQ55" i="122" s="1"/>
  <c r="AN11" i="132"/>
  <c r="AQ15" i="122" s="1"/>
  <c r="AQ49" i="122" s="1"/>
  <c r="AN12" i="132"/>
  <c r="AQ16" i="122" s="1"/>
  <c r="AQ50" i="122" s="1"/>
  <c r="AE63" i="82"/>
  <c r="AH15" i="106" s="1"/>
  <c r="AG36" i="106"/>
  <c r="AG37" i="106" s="1"/>
  <c r="AG39" i="106" s="1"/>
  <c r="AG15" i="106"/>
  <c r="AG68" i="106"/>
  <c r="AG90" i="106"/>
  <c r="AG91" i="106" s="1"/>
  <c r="AG93" i="106" s="1"/>
  <c r="AI11" i="120"/>
  <c r="AJ31" i="106"/>
  <c r="AJ57" i="106"/>
  <c r="AK17" i="106"/>
  <c r="AS416" i="119"/>
  <c r="M41" i="92" s="1"/>
  <c r="AE52" i="120"/>
  <c r="AN270" i="119"/>
  <c r="AM271" i="119"/>
  <c r="AU36" i="61"/>
  <c r="AK63" i="106"/>
  <c r="AK84" i="106"/>
  <c r="AV16" i="59"/>
  <c r="AL12" i="116"/>
  <c r="AO24" i="132"/>
  <c r="AL62" i="106"/>
  <c r="AU17" i="59"/>
  <c r="AU84" i="59"/>
  <c r="AU86" i="59"/>
  <c r="AP42" i="119" s="1"/>
  <c r="AL124" i="110"/>
  <c r="AG418" i="119"/>
  <c r="AV87" i="62"/>
  <c r="AN180" i="119"/>
  <c r="AT58" i="60"/>
  <c r="AT56" i="60"/>
  <c r="AT55" i="60"/>
  <c r="AT87" i="59"/>
  <c r="AO43" i="119" s="1"/>
  <c r="AO97" i="119" s="1"/>
  <c r="AT111" i="59"/>
  <c r="AV123" i="59"/>
  <c r="AJ25" i="101"/>
  <c r="AW123" i="59" s="1"/>
  <c r="AK10" i="106"/>
  <c r="AS31" i="59"/>
  <c r="AN269" i="119"/>
  <c r="AU73" i="61"/>
  <c r="AU75" i="61"/>
  <c r="AT30" i="59"/>
  <c r="AJ85" i="106"/>
  <c r="AV83" i="59"/>
  <c r="AJ24" i="101"/>
  <c r="AW120" i="59" s="1"/>
  <c r="AW121" i="59" s="1"/>
  <c r="AK134" i="110"/>
  <c r="AL255" i="119"/>
  <c r="AV76" i="59"/>
  <c r="AO23" i="132"/>
  <c r="AT24" i="59"/>
  <c r="AT35" i="24" s="1"/>
  <c r="AL11" i="116"/>
  <c r="AO22" i="132"/>
  <c r="AL9" i="106"/>
  <c r="AU72" i="61"/>
  <c r="AH16" i="106" l="1"/>
  <c r="AH18" i="106"/>
  <c r="AG16" i="106"/>
  <c r="AG18" i="106"/>
  <c r="AJ34" i="106"/>
  <c r="AP45" i="119"/>
  <c r="AP99" i="119" s="1"/>
  <c r="AU15" i="61"/>
  <c r="AS35" i="60"/>
  <c r="AN110" i="119" s="1"/>
  <c r="AT48" i="59"/>
  <c r="AT14" i="60" s="1"/>
  <c r="AH68" i="59"/>
  <c r="AH64" i="59"/>
  <c r="AJ49" i="59"/>
  <c r="AJ65" i="59"/>
  <c r="AI49" i="59"/>
  <c r="AI67" i="59"/>
  <c r="AH63" i="59"/>
  <c r="AM255" i="119"/>
  <c r="AE51" i="106"/>
  <c r="AO51" i="59" s="1"/>
  <c r="AK13" i="106"/>
  <c r="AE105" i="106"/>
  <c r="AO69" i="59" s="1"/>
  <c r="AK66" i="106"/>
  <c r="AF21" i="106"/>
  <c r="AP16" i="60"/>
  <c r="AF74" i="106"/>
  <c r="AP27" i="60"/>
  <c r="AF96" i="106"/>
  <c r="AF42" i="106"/>
  <c r="AA106" i="106"/>
  <c r="Y109" i="106"/>
  <c r="AI24" i="60"/>
  <c r="AH15" i="60"/>
  <c r="Y110" i="106"/>
  <c r="AJ13" i="60"/>
  <c r="AI13" i="60"/>
  <c r="Y108" i="106"/>
  <c r="AH26" i="60"/>
  <c r="AU28" i="59"/>
  <c r="AK111" i="106"/>
  <c r="AU66" i="59" s="1"/>
  <c r="AU25" i="60" s="1"/>
  <c r="Z77" i="106"/>
  <c r="Z107" i="106"/>
  <c r="Z76" i="106"/>
  <c r="Z78" i="106"/>
  <c r="AK88" i="106"/>
  <c r="AK87" i="106"/>
  <c r="AL65" i="106"/>
  <c r="AL12" i="106"/>
  <c r="AK33" i="106"/>
  <c r="AE46" i="106"/>
  <c r="AE44" i="106"/>
  <c r="AE45" i="106"/>
  <c r="AI22" i="120"/>
  <c r="AU74" i="61"/>
  <c r="AH13" i="62"/>
  <c r="AA145" i="119" s="1"/>
  <c r="AF40" i="106"/>
  <c r="AI113" i="119"/>
  <c r="AJ165" i="119"/>
  <c r="AA109" i="119"/>
  <c r="AI33" i="62"/>
  <c r="AB217" i="119" s="1"/>
  <c r="AC163" i="119"/>
  <c r="AB109" i="119"/>
  <c r="AV124" i="59"/>
  <c r="AQ45" i="119" s="1"/>
  <c r="AW124" i="59"/>
  <c r="AR45" i="119" s="1"/>
  <c r="AU126" i="59"/>
  <c r="AP240" i="119" s="1"/>
  <c r="AH34" i="60"/>
  <c r="AJ14" i="61"/>
  <c r="AP168" i="119"/>
  <c r="AD21" i="120"/>
  <c r="AC235" i="119"/>
  <c r="AJ35" i="61"/>
  <c r="AT57" i="60"/>
  <c r="AC24" i="120"/>
  <c r="AD24" i="120" s="1"/>
  <c r="AD19" i="120"/>
  <c r="AH20" i="120"/>
  <c r="AD23" i="120"/>
  <c r="AE23" i="120" s="1"/>
  <c r="AC53" i="120"/>
  <c r="AE94" i="106"/>
  <c r="AF107" i="131"/>
  <c r="AE10" i="120"/>
  <c r="AD51" i="120"/>
  <c r="AE107" i="131"/>
  <c r="AE109" i="131"/>
  <c r="AB6" i="132" s="1"/>
  <c r="AE10" i="122" s="1"/>
  <c r="AF50" i="106"/>
  <c r="AB52" i="106"/>
  <c r="AE13" i="120"/>
  <c r="AO37" i="60"/>
  <c r="AJ237" i="119"/>
  <c r="AF104" i="106"/>
  <c r="AA52" i="106"/>
  <c r="AG69" i="106"/>
  <c r="AK92" i="106"/>
  <c r="AB72" i="106"/>
  <c r="AB73" i="106" s="1"/>
  <c r="AK38" i="106"/>
  <c r="AL17" i="106"/>
  <c r="AJ382" i="119"/>
  <c r="AK80" i="94"/>
  <c r="AJ380" i="119"/>
  <c r="AJ381" i="119"/>
  <c r="AJ417" i="119" s="1"/>
  <c r="AK377" i="119"/>
  <c r="AJ374" i="119"/>
  <c r="AJ372" i="119"/>
  <c r="AJ376" i="119"/>
  <c r="AJ379" i="119"/>
  <c r="AJ378" i="119"/>
  <c r="AU86" i="62"/>
  <c r="AD53" i="120"/>
  <c r="AD54" i="120"/>
  <c r="AC49" i="120"/>
  <c r="AH50" i="120"/>
  <c r="AE53" i="120"/>
  <c r="AP96" i="119"/>
  <c r="AO98" i="119"/>
  <c r="AH46" i="119"/>
  <c r="AP44" i="119"/>
  <c r="AU75" i="60"/>
  <c r="AO115" i="119"/>
  <c r="AO416" i="119" s="1"/>
  <c r="AV84" i="61"/>
  <c r="AA6" i="132"/>
  <c r="AD10" i="122" s="1"/>
  <c r="AD49" i="120"/>
  <c r="AI9" i="120"/>
  <c r="AW83" i="59"/>
  <c r="AW86" i="59" s="1"/>
  <c r="AR42" i="119" s="1"/>
  <c r="AO25" i="132"/>
  <c r="AJ5" i="132"/>
  <c r="AM9" i="122" s="1"/>
  <c r="AJ30" i="132"/>
  <c r="AJ29" i="132"/>
  <c r="AO15" i="132"/>
  <c r="AR24" i="122" s="1"/>
  <c r="AO10" i="132"/>
  <c r="AR14" i="122" s="1"/>
  <c r="AR48" i="122" s="1"/>
  <c r="AO9" i="132"/>
  <c r="AR13" i="122" s="1"/>
  <c r="AR47" i="122" s="1"/>
  <c r="AO8" i="132"/>
  <c r="AR12" i="122" s="1"/>
  <c r="AW76" i="59"/>
  <c r="AO12" i="132"/>
  <c r="AR16" i="122" s="1"/>
  <c r="AR50" i="122" s="1"/>
  <c r="AO17" i="132"/>
  <c r="AR26" i="122" s="1"/>
  <c r="AR55" i="122" s="1"/>
  <c r="AO11" i="132"/>
  <c r="AR15" i="122" s="1"/>
  <c r="AR49" i="122" s="1"/>
  <c r="AH36" i="106"/>
  <c r="AH37" i="106" s="1"/>
  <c r="AH39" i="106" s="1"/>
  <c r="AH90" i="106"/>
  <c r="AH91" i="106" s="1"/>
  <c r="AH93" i="106" s="1"/>
  <c r="AH68" i="106"/>
  <c r="AF63" i="82"/>
  <c r="AK57" i="106"/>
  <c r="AK31" i="106"/>
  <c r="AL84" i="106"/>
  <c r="AL70" i="106"/>
  <c r="AO270" i="119"/>
  <c r="AN271" i="119"/>
  <c r="AF52" i="120"/>
  <c r="AV36" i="61"/>
  <c r="AL10" i="106"/>
  <c r="AW87" i="62"/>
  <c r="AU24" i="59"/>
  <c r="AU35" i="24" s="1"/>
  <c r="AO180" i="119"/>
  <c r="AV84" i="59"/>
  <c r="AV86" i="59"/>
  <c r="AQ42" i="119" s="1"/>
  <c r="AV72" i="61"/>
  <c r="AM124" i="110"/>
  <c r="AH418" i="119"/>
  <c r="AL134" i="110"/>
  <c r="AW16" i="59"/>
  <c r="AM12" i="116"/>
  <c r="AM62" i="106"/>
  <c r="AV17" i="59"/>
  <c r="AM11" i="116"/>
  <c r="AM9" i="106"/>
  <c r="AV73" i="61"/>
  <c r="AV75" i="61"/>
  <c r="AU58" i="60"/>
  <c r="AU56" i="60"/>
  <c r="AU55" i="60"/>
  <c r="AU87" i="59"/>
  <c r="AP43" i="119" s="1"/>
  <c r="AP97" i="119" s="1"/>
  <c r="AU111" i="59"/>
  <c r="AU30" i="59"/>
  <c r="AL63" i="106"/>
  <c r="AK85" i="106"/>
  <c r="AT31" i="59"/>
  <c r="AO269" i="119"/>
  <c r="AG71" i="106" l="1"/>
  <c r="AG72" i="106" s="1"/>
  <c r="AK34" i="106"/>
  <c r="E24" i="122"/>
  <c r="AR53" i="122"/>
  <c r="AV15" i="61"/>
  <c r="AT35" i="60"/>
  <c r="AO110" i="119" s="1"/>
  <c r="AU48" i="59"/>
  <c r="AU14" i="60" s="1"/>
  <c r="E26" i="122"/>
  <c r="E55" i="122" s="1"/>
  <c r="E16" i="122"/>
  <c r="E13" i="122"/>
  <c r="E14" i="122"/>
  <c r="AI63" i="59"/>
  <c r="AI68" i="59"/>
  <c r="AL47" i="59"/>
  <c r="AK65" i="59"/>
  <c r="AK47" i="59"/>
  <c r="AJ67" i="59"/>
  <c r="AI64" i="59"/>
  <c r="AN255" i="119"/>
  <c r="AN42" i="106"/>
  <c r="AN44" i="106" s="1"/>
  <c r="AG21" i="106"/>
  <c r="AQ16" i="60"/>
  <c r="AG74" i="106"/>
  <c r="AQ27" i="60"/>
  <c r="AG96" i="106"/>
  <c r="AF51" i="106"/>
  <c r="AP51" i="59" s="1"/>
  <c r="AF105" i="106"/>
  <c r="AP69" i="59" s="1"/>
  <c r="AL13" i="106"/>
  <c r="AL66" i="106"/>
  <c r="AG42" i="106"/>
  <c r="AJ24" i="60"/>
  <c r="AI26" i="60"/>
  <c r="Z109" i="106"/>
  <c r="AA23" i="106"/>
  <c r="AB106" i="106"/>
  <c r="AD25" i="106"/>
  <c r="AJ15" i="60"/>
  <c r="Z108" i="106"/>
  <c r="AB25" i="106"/>
  <c r="AI15" i="60"/>
  <c r="Z110" i="106"/>
  <c r="AW76" i="60"/>
  <c r="AY85" i="61" s="1"/>
  <c r="AY87" i="62" s="1"/>
  <c r="AV28" i="59"/>
  <c r="AV76" i="60"/>
  <c r="AX85" i="61" s="1"/>
  <c r="AL111" i="106"/>
  <c r="AV66" i="59" s="1"/>
  <c r="AV25" i="60" s="1"/>
  <c r="AA77" i="106"/>
  <c r="AA107" i="106"/>
  <c r="AB24" i="106"/>
  <c r="AE100" i="106"/>
  <c r="AE98" i="106"/>
  <c r="AE99" i="106"/>
  <c r="AA76" i="106"/>
  <c r="AA78" i="106"/>
  <c r="AB23" i="106"/>
  <c r="AM12" i="106"/>
  <c r="AM65" i="106"/>
  <c r="AD24" i="106"/>
  <c r="AF46" i="106"/>
  <c r="AF44" i="106"/>
  <c r="AF45" i="106"/>
  <c r="AD23" i="106"/>
  <c r="AA25" i="106"/>
  <c r="AA24" i="106"/>
  <c r="AL33" i="106"/>
  <c r="AL88" i="106"/>
  <c r="AL87" i="106"/>
  <c r="AK165" i="119"/>
  <c r="AL14" i="61"/>
  <c r="AK35" i="61"/>
  <c r="AE163" i="119"/>
  <c r="AD235" i="119"/>
  <c r="AV74" i="61"/>
  <c r="AO255" i="119" s="1"/>
  <c r="AC109" i="119"/>
  <c r="AJ113" i="119"/>
  <c r="AK14" i="61"/>
  <c r="AG40" i="106"/>
  <c r="AE21" i="120"/>
  <c r="AJ33" i="62"/>
  <c r="AC217" i="119" s="1"/>
  <c r="AJ13" i="62"/>
  <c r="AC145" i="119" s="1"/>
  <c r="AW126" i="59"/>
  <c r="AV126" i="59"/>
  <c r="AQ240" i="119" s="1"/>
  <c r="AD163" i="119"/>
  <c r="AI20" i="120"/>
  <c r="AI34" i="60"/>
  <c r="AB53" i="106"/>
  <c r="AP37" i="60"/>
  <c r="AE24" i="120"/>
  <c r="AJ11" i="120"/>
  <c r="AJ22" i="120" s="1"/>
  <c r="AF108" i="131"/>
  <c r="AF106" i="131"/>
  <c r="AJ9" i="120"/>
  <c r="AF13" i="120"/>
  <c r="AE51" i="120"/>
  <c r="AK237" i="119"/>
  <c r="AA53" i="106"/>
  <c r="AF94" i="106"/>
  <c r="AG12" i="120"/>
  <c r="AG50" i="106"/>
  <c r="AF12" i="120"/>
  <c r="AF53" i="120" s="1"/>
  <c r="AG104" i="106"/>
  <c r="AH69" i="106"/>
  <c r="AL38" i="106"/>
  <c r="AC72" i="106"/>
  <c r="AC73" i="106" s="1"/>
  <c r="AL92" i="106"/>
  <c r="AC19" i="106"/>
  <c r="AC20" i="106" s="1"/>
  <c r="AK379" i="119"/>
  <c r="AK372" i="119"/>
  <c r="AL377" i="119"/>
  <c r="AK381" i="119"/>
  <c r="AK417" i="119" s="1"/>
  <c r="AK378" i="119"/>
  <c r="AK380" i="119"/>
  <c r="AK374" i="119"/>
  <c r="AK376" i="119"/>
  <c r="AK382" i="119"/>
  <c r="AL80" i="94"/>
  <c r="AV86" i="62"/>
  <c r="AI50" i="120"/>
  <c r="AE54" i="120"/>
  <c r="AW84" i="59"/>
  <c r="AQ96" i="119"/>
  <c r="AR96" i="119"/>
  <c r="AR99" i="119"/>
  <c r="AQ99" i="119"/>
  <c r="AP98" i="119"/>
  <c r="AI46" i="119"/>
  <c r="AI418" i="119" s="1"/>
  <c r="K43" i="92" s="1"/>
  <c r="AP115" i="119"/>
  <c r="AP416" i="119" s="1"/>
  <c r="AW84" i="61"/>
  <c r="AV75" i="60"/>
  <c r="AQ44" i="119"/>
  <c r="AW75" i="60"/>
  <c r="AR44" i="119"/>
  <c r="AR98" i="119" s="1"/>
  <c r="AQ168" i="119"/>
  <c r="AR168" i="119"/>
  <c r="AG106" i="131"/>
  <c r="AF10" i="120"/>
  <c r="AF51" i="120" s="1"/>
  <c r="AF109" i="131"/>
  <c r="AF105" i="131"/>
  <c r="AE8" i="120"/>
  <c r="AE19" i="120" s="1"/>
  <c r="AK5" i="132"/>
  <c r="AN9" i="122" s="1"/>
  <c r="AK30" i="132"/>
  <c r="AK29" i="132"/>
  <c r="AI68" i="106"/>
  <c r="AI90" i="106"/>
  <c r="AI91" i="106" s="1"/>
  <c r="AI93" i="106" s="1"/>
  <c r="AI36" i="106"/>
  <c r="AI37" i="106" s="1"/>
  <c r="AI39" i="106" s="1"/>
  <c r="AI15" i="106"/>
  <c r="AG63" i="82"/>
  <c r="AL85" i="106"/>
  <c r="AN50" i="106"/>
  <c r="AM17" i="106"/>
  <c r="AM84" i="106"/>
  <c r="AM70" i="106"/>
  <c r="AG52" i="120"/>
  <c r="AO271" i="119"/>
  <c r="AP270" i="119"/>
  <c r="AW36" i="61"/>
  <c r="AW73" i="61"/>
  <c r="AW72" i="61"/>
  <c r="AU57" i="60"/>
  <c r="AM134" i="110"/>
  <c r="AX87" i="62"/>
  <c r="AV58" i="60"/>
  <c r="AV56" i="60"/>
  <c r="AV55" i="60"/>
  <c r="AV87" i="59"/>
  <c r="AQ43" i="119" s="1"/>
  <c r="AQ97" i="119" s="1"/>
  <c r="AV111" i="59"/>
  <c r="AL57" i="106"/>
  <c r="AL31" i="106"/>
  <c r="AP180" i="119"/>
  <c r="AW75" i="61"/>
  <c r="AV24" i="59"/>
  <c r="AV35" i="24" s="1"/>
  <c r="AM10" i="106"/>
  <c r="AV30" i="59"/>
  <c r="AM63" i="106"/>
  <c r="AW17" i="59"/>
  <c r="AU31" i="59"/>
  <c r="AP269" i="119"/>
  <c r="AN124" i="110"/>
  <c r="AH71" i="106" l="1"/>
  <c r="AH72" i="106" s="1"/>
  <c r="AI16" i="106"/>
  <c r="AI18" i="106"/>
  <c r="AL34" i="106"/>
  <c r="AW15" i="61"/>
  <c r="AU35" i="60"/>
  <c r="AP110" i="119" s="1"/>
  <c r="AV48" i="59"/>
  <c r="AV14" i="60" s="1"/>
  <c r="AN45" i="106"/>
  <c r="AJ64" i="59"/>
  <c r="AL65" i="59"/>
  <c r="AJ68" i="59"/>
  <c r="AK49" i="59"/>
  <c r="AK67" i="59"/>
  <c r="AJ63" i="59"/>
  <c r="AL49" i="59"/>
  <c r="AN46" i="106"/>
  <c r="AH42" i="106"/>
  <c r="AM66" i="106"/>
  <c r="AH96" i="106"/>
  <c r="AM13" i="106"/>
  <c r="AH21" i="106"/>
  <c r="AR16" i="60"/>
  <c r="AH74" i="106"/>
  <c r="AR27" i="60"/>
  <c r="AM237" i="119" s="1"/>
  <c r="AG105" i="106"/>
  <c r="AQ69" i="59" s="1"/>
  <c r="AN51" i="106"/>
  <c r="AX51" i="59" s="1"/>
  <c r="AG51" i="106"/>
  <c r="AQ51" i="59" s="1"/>
  <c r="AK24" i="60"/>
  <c r="AC106" i="106"/>
  <c r="AL13" i="60"/>
  <c r="AB78" i="106"/>
  <c r="AA109" i="106"/>
  <c r="AK13" i="60"/>
  <c r="AA110" i="106"/>
  <c r="AJ26" i="60"/>
  <c r="AA108" i="106"/>
  <c r="AW28" i="59"/>
  <c r="AB76" i="106"/>
  <c r="AB107" i="106"/>
  <c r="AM111" i="106"/>
  <c r="AW66" i="59" s="1"/>
  <c r="AW25" i="60" s="1"/>
  <c r="AF100" i="106"/>
  <c r="AF98" i="106"/>
  <c r="AF99" i="106"/>
  <c r="AB77" i="106"/>
  <c r="AM88" i="106"/>
  <c r="AM87" i="106"/>
  <c r="AG46" i="106"/>
  <c r="AG44" i="106"/>
  <c r="AG45" i="106"/>
  <c r="AM34" i="106"/>
  <c r="AL13" i="62"/>
  <c r="AE145" i="119" s="1"/>
  <c r="AK33" i="62"/>
  <c r="AD217" i="119" s="1"/>
  <c r="AJ20" i="120"/>
  <c r="AH40" i="106"/>
  <c r="AD109" i="119"/>
  <c r="AK13" i="62"/>
  <c r="AD145" i="119" s="1"/>
  <c r="AL237" i="119"/>
  <c r="AK113" i="119"/>
  <c r="AL165" i="119"/>
  <c r="AR240" i="119"/>
  <c r="AE235" i="119"/>
  <c r="AL35" i="61"/>
  <c r="AJ34" i="60"/>
  <c r="AF24" i="120"/>
  <c r="AF23" i="120"/>
  <c r="AG23" i="120" s="1"/>
  <c r="AF21" i="120"/>
  <c r="AG108" i="131"/>
  <c r="AG105" i="131"/>
  <c r="AF8" i="120"/>
  <c r="AF19" i="120" s="1"/>
  <c r="AH107" i="131"/>
  <c r="AG109" i="131"/>
  <c r="AD6" i="132" s="1"/>
  <c r="AG10" i="122" s="1"/>
  <c r="AK11" i="120"/>
  <c r="AK22" i="120" s="1"/>
  <c r="AG107" i="131"/>
  <c r="AG94" i="106"/>
  <c r="AK9" i="120"/>
  <c r="AC52" i="106"/>
  <c r="AH104" i="106"/>
  <c r="AH50" i="106"/>
  <c r="AI69" i="106"/>
  <c r="AI71" i="106" s="1"/>
  <c r="AQ37" i="60"/>
  <c r="AM38" i="106"/>
  <c r="AD72" i="106"/>
  <c r="AD73" i="106" s="1"/>
  <c r="AW87" i="59"/>
  <c r="AR43" i="119" s="1"/>
  <c r="AR97" i="119" s="1"/>
  <c r="AM92" i="106"/>
  <c r="AL372" i="119"/>
  <c r="AL382" i="119"/>
  <c r="AM80" i="94"/>
  <c r="AL378" i="119"/>
  <c r="AL374" i="119"/>
  <c r="AM377" i="119"/>
  <c r="AL379" i="119"/>
  <c r="AL381" i="119"/>
  <c r="AL417" i="119" s="1"/>
  <c r="AL380" i="119"/>
  <c r="AL376" i="119"/>
  <c r="AW86" i="62"/>
  <c r="AE49" i="120"/>
  <c r="AG53" i="120"/>
  <c r="AF54" i="120"/>
  <c r="AJ50" i="120"/>
  <c r="AW55" i="60"/>
  <c r="AY72" i="61" s="1"/>
  <c r="AW56" i="60"/>
  <c r="AY73" i="61" s="1"/>
  <c r="AW111" i="59"/>
  <c r="AW58" i="60"/>
  <c r="AY75" i="61" s="1"/>
  <c r="AH63" i="82"/>
  <c r="AQ98" i="119"/>
  <c r="AJ46" i="119"/>
  <c r="AJ418" i="119" s="1"/>
  <c r="AR115" i="119"/>
  <c r="AY84" i="61"/>
  <c r="AQ115" i="119"/>
  <c r="AQ416" i="119" s="1"/>
  <c r="AX84" i="61"/>
  <c r="AC6" i="132"/>
  <c r="AF10" i="122" s="1"/>
  <c r="AH106" i="131"/>
  <c r="AG10" i="120"/>
  <c r="AG51" i="120" s="1"/>
  <c r="AH108" i="131"/>
  <c r="AG13" i="120"/>
  <c r="AL5" i="132"/>
  <c r="AO9" i="122" s="1"/>
  <c r="AL29" i="132"/>
  <c r="AL30" i="132"/>
  <c r="AJ90" i="106"/>
  <c r="AJ91" i="106" s="1"/>
  <c r="AJ93" i="106" s="1"/>
  <c r="AJ36" i="106"/>
  <c r="AJ37" i="106" s="1"/>
  <c r="AJ39" i="106" s="1"/>
  <c r="AJ68" i="106"/>
  <c r="AJ15" i="106"/>
  <c r="AM57" i="106"/>
  <c r="AM31" i="106"/>
  <c r="AM85" i="106"/>
  <c r="AX37" i="60"/>
  <c r="AS165" i="119"/>
  <c r="AP271" i="119"/>
  <c r="AQ270" i="119"/>
  <c r="AR270" i="119"/>
  <c r="AH52" i="120"/>
  <c r="AO124" i="110"/>
  <c r="AW30" i="59"/>
  <c r="AX73" i="61"/>
  <c r="AX75" i="61"/>
  <c r="AV31" i="59"/>
  <c r="AQ269" i="119"/>
  <c r="AX36" i="61"/>
  <c r="AW74" i="61"/>
  <c r="AN134" i="110"/>
  <c r="AW24" i="59"/>
  <c r="AW35" i="24" s="1"/>
  <c r="AQ180" i="119"/>
  <c r="AX72" i="61"/>
  <c r="AV57" i="60"/>
  <c r="AJ16" i="106" l="1"/>
  <c r="AJ18" i="106"/>
  <c r="AX15" i="61"/>
  <c r="AV35" i="60"/>
  <c r="AQ110" i="119" s="1"/>
  <c r="AW48" i="59"/>
  <c r="AW14" i="60" s="1"/>
  <c r="AL67" i="59"/>
  <c r="AM65" i="59"/>
  <c r="AM47" i="59"/>
  <c r="AK63" i="59"/>
  <c r="AK64" i="59"/>
  <c r="AK68" i="59"/>
  <c r="AI74" i="106"/>
  <c r="AS27" i="60"/>
  <c r="AI21" i="106"/>
  <c r="AS16" i="60"/>
  <c r="AI96" i="106"/>
  <c r="AI42" i="106"/>
  <c r="AH51" i="106"/>
  <c r="AR51" i="59" s="1"/>
  <c r="AH105" i="106"/>
  <c r="AR69" i="59" s="1"/>
  <c r="AB108" i="106"/>
  <c r="AB110" i="106"/>
  <c r="AD106" i="106"/>
  <c r="AL24" i="60"/>
  <c r="AK15" i="60"/>
  <c r="AB109" i="106"/>
  <c r="AC25" i="106"/>
  <c r="AL15" i="60"/>
  <c r="AK26" i="60"/>
  <c r="AC76" i="106"/>
  <c r="AC107" i="106"/>
  <c r="AC77" i="106"/>
  <c r="AG100" i="106"/>
  <c r="AG98" i="106"/>
  <c r="AG99" i="106"/>
  <c r="AC78" i="106"/>
  <c r="AC24" i="106"/>
  <c r="AC23" i="106"/>
  <c r="AH46" i="106"/>
  <c r="AH44" i="106"/>
  <c r="AH45" i="106"/>
  <c r="AK20" i="120"/>
  <c r="AZ26" i="61"/>
  <c r="AL113" i="119"/>
  <c r="AI40" i="106"/>
  <c r="AE109" i="119"/>
  <c r="AS113" i="119"/>
  <c r="AL33" i="62"/>
  <c r="AE217" i="119" s="1"/>
  <c r="AF163" i="119"/>
  <c r="AM14" i="61"/>
  <c r="AG24" i="120"/>
  <c r="AF235" i="119"/>
  <c r="AM35" i="61"/>
  <c r="AK34" i="60"/>
  <c r="AG163" i="119"/>
  <c r="AN14" i="61"/>
  <c r="AW57" i="60"/>
  <c r="AF49" i="120"/>
  <c r="AG21" i="120"/>
  <c r="AL9" i="120"/>
  <c r="AL11" i="120"/>
  <c r="AL22" i="120" s="1"/>
  <c r="AM165" i="119"/>
  <c r="AR37" i="60"/>
  <c r="AH94" i="106"/>
  <c r="AH12" i="120"/>
  <c r="AH23" i="120" s="1"/>
  <c r="AC53" i="106"/>
  <c r="AI104" i="106"/>
  <c r="AI50" i="106"/>
  <c r="AJ69" i="106"/>
  <c r="AJ71" i="106" s="1"/>
  <c r="AE72" i="106"/>
  <c r="AE73" i="106" s="1"/>
  <c r="AE19" i="106"/>
  <c r="AE20" i="106" s="1"/>
  <c r="AM382" i="119"/>
  <c r="AN80" i="94"/>
  <c r="AM376" i="119"/>
  <c r="AM378" i="119"/>
  <c r="AN377" i="119"/>
  <c r="AM379" i="119"/>
  <c r="AM381" i="119"/>
  <c r="AM417" i="119" s="1"/>
  <c r="AM372" i="119"/>
  <c r="AM380" i="119"/>
  <c r="AM374" i="119"/>
  <c r="AX86" i="62"/>
  <c r="AY86" i="62"/>
  <c r="AG54" i="120"/>
  <c r="AK50" i="120"/>
  <c r="AR416" i="119"/>
  <c r="AK46" i="119"/>
  <c r="AK418" i="119" s="1"/>
  <c r="AI106" i="131"/>
  <c r="AH10" i="120"/>
  <c r="AH51" i="120" s="1"/>
  <c r="AI108" i="131"/>
  <c r="AH13" i="120"/>
  <c r="AH109" i="131"/>
  <c r="AG8" i="120"/>
  <c r="AG19" i="120" s="1"/>
  <c r="AH105" i="131"/>
  <c r="AM5" i="132"/>
  <c r="AP9" i="122" s="1"/>
  <c r="AM30" i="132"/>
  <c r="AM29" i="132"/>
  <c r="AK15" i="106"/>
  <c r="AK68" i="106"/>
  <c r="AK90" i="106"/>
  <c r="AK91" i="106" s="1"/>
  <c r="AK93" i="106" s="1"/>
  <c r="AK36" i="106"/>
  <c r="AK37" i="106" s="1"/>
  <c r="AK39" i="106" s="1"/>
  <c r="AI63" i="82"/>
  <c r="AD52" i="106"/>
  <c r="AQ271" i="119"/>
  <c r="AR271" i="119"/>
  <c r="AI52" i="120"/>
  <c r="AR180" i="119"/>
  <c r="AW31" i="59"/>
  <c r="AR269" i="119"/>
  <c r="AY36" i="61"/>
  <c r="AP255" i="119"/>
  <c r="AO134" i="110"/>
  <c r="AX74" i="61"/>
  <c r="AP124" i="110"/>
  <c r="AK16" i="106" l="1"/>
  <c r="AK18" i="106"/>
  <c r="AY15" i="61"/>
  <c r="AW35" i="60"/>
  <c r="AR110" i="119" s="1"/>
  <c r="AL63" i="59"/>
  <c r="AN47" i="59"/>
  <c r="AN65" i="59"/>
  <c r="AM49" i="59"/>
  <c r="AM67" i="59"/>
  <c r="AL64" i="59"/>
  <c r="AL68" i="59"/>
  <c r="AJ42" i="106"/>
  <c r="AJ96" i="106"/>
  <c r="AJ74" i="106"/>
  <c r="AT27" i="60"/>
  <c r="AI51" i="106"/>
  <c r="AS51" i="59" s="1"/>
  <c r="AJ21" i="106"/>
  <c r="AT16" i="60"/>
  <c r="AI105" i="106"/>
  <c r="AS69" i="59" s="1"/>
  <c r="AL20" i="120"/>
  <c r="AE106" i="106"/>
  <c r="AM24" i="60"/>
  <c r="AC108" i="106"/>
  <c r="AC110" i="106"/>
  <c r="AL26" i="60"/>
  <c r="AC109" i="106"/>
  <c r="AS56" i="119"/>
  <c r="AS127" i="119" s="1"/>
  <c r="AM13" i="60"/>
  <c r="AD78" i="106"/>
  <c r="AD107" i="106"/>
  <c r="AD77" i="106"/>
  <c r="AD76" i="106"/>
  <c r="AH99" i="106"/>
  <c r="AH100" i="106"/>
  <c r="AH98" i="106"/>
  <c r="AI45" i="106"/>
  <c r="AI46" i="106"/>
  <c r="AI44" i="106"/>
  <c r="AS198" i="119"/>
  <c r="AM113" i="119"/>
  <c r="AM33" i="62"/>
  <c r="AF217" i="119" s="1"/>
  <c r="AM13" i="62"/>
  <c r="AF145" i="119" s="1"/>
  <c r="AH24" i="120"/>
  <c r="AY74" i="61"/>
  <c r="AN165" i="119"/>
  <c r="AN13" i="62"/>
  <c r="AG145" i="119" s="1"/>
  <c r="AN237" i="119"/>
  <c r="AF109" i="119"/>
  <c r="AJ40" i="106"/>
  <c r="AN35" i="61"/>
  <c r="AL34" i="60"/>
  <c r="AG235" i="119"/>
  <c r="AH21" i="120"/>
  <c r="AI107" i="131"/>
  <c r="AM11" i="120"/>
  <c r="AM22" i="120" s="1"/>
  <c r="AI94" i="106"/>
  <c r="AS37" i="60"/>
  <c r="AE52" i="106"/>
  <c r="AJ50" i="106"/>
  <c r="AJ104" i="106"/>
  <c r="AK69" i="106"/>
  <c r="AK71" i="106" s="1"/>
  <c r="AF72" i="106"/>
  <c r="AF73" i="106" s="1"/>
  <c r="AG19" i="106"/>
  <c r="AG20" i="106" s="1"/>
  <c r="AF19" i="106"/>
  <c r="AF20" i="106" s="1"/>
  <c r="AN374" i="119"/>
  <c r="AN379" i="119"/>
  <c r="AO377" i="119"/>
  <c r="AN376" i="119"/>
  <c r="AN381" i="119"/>
  <c r="AN417" i="119" s="1"/>
  <c r="L42" i="92" s="1"/>
  <c r="AO80" i="94"/>
  <c r="AN382" i="119"/>
  <c r="AN378" i="119"/>
  <c r="AN372" i="119"/>
  <c r="AN380" i="119"/>
  <c r="AH54" i="120"/>
  <c r="AG49" i="120"/>
  <c r="AH53" i="120"/>
  <c r="AL50" i="120"/>
  <c r="AJ63" i="82"/>
  <c r="AL46" i="119"/>
  <c r="AE6" i="132"/>
  <c r="AH10" i="122" s="1"/>
  <c r="AS9" i="120"/>
  <c r="AJ106" i="131"/>
  <c r="AI10" i="120"/>
  <c r="AI13" i="120"/>
  <c r="AJ108" i="131"/>
  <c r="AN5" i="132"/>
  <c r="AQ9" i="122" s="1"/>
  <c r="AN29" i="132"/>
  <c r="AN30" i="132"/>
  <c r="AL90" i="106"/>
  <c r="AL91" i="106" s="1"/>
  <c r="AL93" i="106" s="1"/>
  <c r="AL36" i="106"/>
  <c r="AL37" i="106" s="1"/>
  <c r="AL39" i="106" s="1"/>
  <c r="AL15" i="106"/>
  <c r="AL68" i="106"/>
  <c r="AN11" i="120"/>
  <c r="AD53" i="106"/>
  <c r="AJ52" i="120"/>
  <c r="AQ124" i="110"/>
  <c r="AL418" i="119"/>
  <c r="AQ255" i="119"/>
  <c r="AP134" i="110"/>
  <c r="AL16" i="106" l="1"/>
  <c r="AL18" i="106"/>
  <c r="AO47" i="59"/>
  <c r="AN49" i="59"/>
  <c r="AM64" i="59"/>
  <c r="AO65" i="59"/>
  <c r="AM63" i="59"/>
  <c r="AM68" i="59"/>
  <c r="AN67" i="59"/>
  <c r="AJ105" i="106"/>
  <c r="AT69" i="59" s="1"/>
  <c r="AJ51" i="106"/>
  <c r="AT51" i="59" s="1"/>
  <c r="AK74" i="106"/>
  <c r="AU27" i="60"/>
  <c r="AK96" i="106"/>
  <c r="AK42" i="106"/>
  <c r="AK21" i="106"/>
  <c r="AU16" i="60"/>
  <c r="AM26" i="60"/>
  <c r="AN13" i="60"/>
  <c r="AE25" i="106"/>
  <c r="AM15" i="60"/>
  <c r="AF106" i="106"/>
  <c r="AN24" i="60"/>
  <c r="AD108" i="106"/>
  <c r="AD109" i="106"/>
  <c r="AD110" i="106"/>
  <c r="AE78" i="106"/>
  <c r="AE107" i="106"/>
  <c r="AI99" i="106"/>
  <c r="AI100" i="106"/>
  <c r="AI98" i="106"/>
  <c r="AE24" i="106"/>
  <c r="AE77" i="106"/>
  <c r="AE76" i="106"/>
  <c r="AJ45" i="106"/>
  <c r="AJ44" i="106"/>
  <c r="AJ46" i="106"/>
  <c r="AE23" i="106"/>
  <c r="AH235" i="119"/>
  <c r="AI24" i="120"/>
  <c r="AR255" i="119"/>
  <c r="AH163" i="119"/>
  <c r="AO237" i="119"/>
  <c r="AG109" i="119"/>
  <c r="AK40" i="106"/>
  <c r="AO35" i="61"/>
  <c r="AN113" i="119"/>
  <c r="AO14" i="61"/>
  <c r="AN33" i="62"/>
  <c r="AG217" i="119" s="1"/>
  <c r="AM34" i="60"/>
  <c r="AN22" i="120"/>
  <c r="AI21" i="120"/>
  <c r="AI51" i="120"/>
  <c r="AF52" i="106"/>
  <c r="AK50" i="106"/>
  <c r="AN9" i="120"/>
  <c r="AO165" i="119"/>
  <c r="AG52" i="106"/>
  <c r="AJ94" i="106"/>
  <c r="AJ12" i="120"/>
  <c r="AT37" i="60"/>
  <c r="AE53" i="106"/>
  <c r="AK104" i="106"/>
  <c r="AL69" i="106"/>
  <c r="AL71" i="106" s="1"/>
  <c r="AG73" i="106"/>
  <c r="AP80" i="94"/>
  <c r="AO382" i="119"/>
  <c r="AO376" i="119"/>
  <c r="AO378" i="119"/>
  <c r="AO372" i="119"/>
  <c r="AP377" i="119"/>
  <c r="AO380" i="119"/>
  <c r="AO379" i="119"/>
  <c r="AO381" i="119"/>
  <c r="AO417" i="119" s="1"/>
  <c r="AO374" i="119"/>
  <c r="AI54" i="120"/>
  <c r="AO30" i="132"/>
  <c r="AM90" i="106"/>
  <c r="AM91" i="106" s="1"/>
  <c r="AM93" i="106" s="1"/>
  <c r="AM15" i="106"/>
  <c r="AM36" i="106"/>
  <c r="AM37" i="106" s="1"/>
  <c r="AM39" i="106" s="1"/>
  <c r="AO5" i="132"/>
  <c r="AO29" i="132"/>
  <c r="AM68" i="106"/>
  <c r="AM46" i="119"/>
  <c r="AM418" i="119" s="1"/>
  <c r="AM9" i="120"/>
  <c r="AM20" i="120" s="1"/>
  <c r="AJ13" i="120"/>
  <c r="AK108" i="131"/>
  <c r="AI109" i="131"/>
  <c r="AH8" i="120"/>
  <c r="AH19" i="120" s="1"/>
  <c r="AI105" i="131"/>
  <c r="AJ109" i="131"/>
  <c r="AJ105" i="131"/>
  <c r="AI8" i="120"/>
  <c r="AI12" i="120"/>
  <c r="AI23" i="120" s="1"/>
  <c r="AJ107" i="131"/>
  <c r="AK106" i="131"/>
  <c r="AJ10" i="120"/>
  <c r="AJ51" i="120" s="1"/>
  <c r="AK52" i="120"/>
  <c r="AQ134" i="110"/>
  <c r="AR124" i="110"/>
  <c r="AM16" i="106" l="1"/>
  <c r="AM18" i="106"/>
  <c r="AR9" i="122"/>
  <c r="E9" i="122" s="1"/>
  <c r="AJ24" i="120"/>
  <c r="AN68" i="59"/>
  <c r="AO49" i="59"/>
  <c r="AN63" i="59"/>
  <c r="AP47" i="59"/>
  <c r="AO67" i="59"/>
  <c r="AO26" i="60" s="1"/>
  <c r="AN64" i="59"/>
  <c r="AQ47" i="59"/>
  <c r="AP65" i="59"/>
  <c r="AL42" i="106"/>
  <c r="AL74" i="106"/>
  <c r="AV27" i="60"/>
  <c r="AK105" i="106"/>
  <c r="AU69" i="59" s="1"/>
  <c r="AK51" i="106"/>
  <c r="AU51" i="59" s="1"/>
  <c r="AL21" i="106"/>
  <c r="AV16" i="60"/>
  <c r="AL96" i="106"/>
  <c r="AG24" i="106"/>
  <c r="AF24" i="106"/>
  <c r="AO24" i="60"/>
  <c r="AG106" i="106"/>
  <c r="AN15" i="60"/>
  <c r="AE110" i="106"/>
  <c r="AN26" i="60"/>
  <c r="AE108" i="106"/>
  <c r="AE109" i="106"/>
  <c r="AO13" i="60"/>
  <c r="AF78" i="106"/>
  <c r="AF107" i="106"/>
  <c r="AJ99" i="106"/>
  <c r="AJ98" i="106"/>
  <c r="AJ100" i="106"/>
  <c r="AF77" i="106"/>
  <c r="AF76" i="106"/>
  <c r="AG23" i="106"/>
  <c r="AG25" i="106"/>
  <c r="AF23" i="106"/>
  <c r="AF25" i="106"/>
  <c r="AK44" i="106"/>
  <c r="AK45" i="106"/>
  <c r="AK46" i="106"/>
  <c r="AP14" i="61"/>
  <c r="AL40" i="106"/>
  <c r="AI235" i="119"/>
  <c r="AO113" i="119"/>
  <c r="AN34" i="60"/>
  <c r="AH109" i="119"/>
  <c r="AI163" i="119"/>
  <c r="AO13" i="62"/>
  <c r="AH145" i="119" s="1"/>
  <c r="AO33" i="62"/>
  <c r="AH217" i="119" s="1"/>
  <c r="AP35" i="61"/>
  <c r="AN20" i="120"/>
  <c r="AJ21" i="120"/>
  <c r="AI19" i="120"/>
  <c r="AJ23" i="120"/>
  <c r="AF53" i="106"/>
  <c r="AK12" i="120"/>
  <c r="AL50" i="106"/>
  <c r="AO11" i="120"/>
  <c r="AO22" i="120" s="1"/>
  <c r="AP237" i="119"/>
  <c r="AP165" i="119"/>
  <c r="AK94" i="106"/>
  <c r="AK107" i="131"/>
  <c r="AG53" i="106"/>
  <c r="AL12" i="120"/>
  <c r="AO9" i="120"/>
  <c r="AL104" i="106"/>
  <c r="AM69" i="106"/>
  <c r="AM71" i="106" s="1"/>
  <c r="AU37" i="60"/>
  <c r="AH73" i="106"/>
  <c r="AH19" i="106"/>
  <c r="AH20" i="106" s="1"/>
  <c r="AP378" i="119"/>
  <c r="AP380" i="119"/>
  <c r="AP382" i="119"/>
  <c r="AQ80" i="94"/>
  <c r="AP379" i="119"/>
  <c r="AQ377" i="119"/>
  <c r="AP381" i="119"/>
  <c r="AP417" i="119" s="1"/>
  <c r="AP372" i="119"/>
  <c r="AP374" i="119"/>
  <c r="AP376" i="119"/>
  <c r="AH49" i="120"/>
  <c r="AJ53" i="120"/>
  <c r="AI53" i="120"/>
  <c r="AJ54" i="120"/>
  <c r="AN50" i="120"/>
  <c r="AN46" i="119"/>
  <c r="AF6" i="132"/>
  <c r="AI10" i="122" s="1"/>
  <c r="AG6" i="132"/>
  <c r="AJ10" i="122" s="1"/>
  <c r="AI49" i="120"/>
  <c r="AM50" i="120"/>
  <c r="AL106" i="131"/>
  <c r="AK10" i="120"/>
  <c r="AK51" i="120" s="1"/>
  <c r="AK8" i="120"/>
  <c r="AL105" i="131"/>
  <c r="AK13" i="120"/>
  <c r="AK105" i="131"/>
  <c r="AK109" i="131"/>
  <c r="AJ8" i="120"/>
  <c r="AL52" i="120"/>
  <c r="AS124" i="110"/>
  <c r="AN418" i="119"/>
  <c r="L43" i="92" s="1"/>
  <c r="AR134" i="110"/>
  <c r="AK24" i="120" l="1"/>
  <c r="AO64" i="59"/>
  <c r="AO68" i="59"/>
  <c r="AQ49" i="59"/>
  <c r="AP49" i="59"/>
  <c r="AP67" i="59"/>
  <c r="AO63" i="59"/>
  <c r="AQ65" i="59"/>
  <c r="AM21" i="106"/>
  <c r="AW16" i="60"/>
  <c r="AL105" i="106"/>
  <c r="AV69" i="59" s="1"/>
  <c r="AL51" i="106"/>
  <c r="AV51" i="59" s="1"/>
  <c r="AM42" i="106"/>
  <c r="AM74" i="106"/>
  <c r="AW27" i="60"/>
  <c r="AM96" i="106"/>
  <c r="AH106" i="106"/>
  <c r="AG76" i="106"/>
  <c r="AF110" i="106"/>
  <c r="AF108" i="106"/>
  <c r="AP24" i="60"/>
  <c r="AP13" i="60"/>
  <c r="AF109" i="106"/>
  <c r="AO15" i="60"/>
  <c r="AQ13" i="60"/>
  <c r="AG78" i="106"/>
  <c r="AG107" i="106"/>
  <c r="AG77" i="106"/>
  <c r="AK98" i="106"/>
  <c r="AK99" i="106"/>
  <c r="AK100" i="106"/>
  <c r="AL46" i="106"/>
  <c r="AL44" i="106"/>
  <c r="AL45" i="106"/>
  <c r="AP13" i="62"/>
  <c r="AI145" i="119" s="1"/>
  <c r="AQ35" i="61"/>
  <c r="AJ163" i="119"/>
  <c r="AO34" i="60"/>
  <c r="AQ14" i="61"/>
  <c r="AP33" i="62"/>
  <c r="AI217" i="119" s="1"/>
  <c r="AJ235" i="119"/>
  <c r="AP113" i="119"/>
  <c r="AQ165" i="119"/>
  <c r="AI109" i="119"/>
  <c r="AO20" i="120"/>
  <c r="AK23" i="120"/>
  <c r="AL23" i="120" s="1"/>
  <c r="AJ19" i="120"/>
  <c r="AK19" i="120" s="1"/>
  <c r="AK21" i="120"/>
  <c r="AL108" i="131"/>
  <c r="AL107" i="131"/>
  <c r="AP9" i="120"/>
  <c r="AL109" i="131"/>
  <c r="AI6" i="132" s="1"/>
  <c r="AL10" i="122" s="1"/>
  <c r="AP11" i="120"/>
  <c r="AP22" i="120" s="1"/>
  <c r="AV37" i="60"/>
  <c r="AM107" i="131"/>
  <c r="AM104" i="106"/>
  <c r="AL94" i="106"/>
  <c r="AQ237" i="119"/>
  <c r="AO50" i="120"/>
  <c r="AM50" i="106"/>
  <c r="AH52" i="106"/>
  <c r="AI72" i="106"/>
  <c r="AI73" i="106" s="1"/>
  <c r="AI19" i="106"/>
  <c r="AI20" i="106" s="1"/>
  <c r="AQ379" i="119"/>
  <c r="AQ376" i="119"/>
  <c r="AQ378" i="119"/>
  <c r="AQ372" i="119"/>
  <c r="AQ380" i="119"/>
  <c r="AQ374" i="119"/>
  <c r="AR80" i="94"/>
  <c r="AQ382" i="119"/>
  <c r="AR377" i="119"/>
  <c r="AQ381" i="119"/>
  <c r="AQ417" i="119" s="1"/>
  <c r="AK54" i="120"/>
  <c r="AK53" i="120"/>
  <c r="AL53" i="120"/>
  <c r="AK49" i="120"/>
  <c r="AJ49" i="120"/>
  <c r="AO46" i="119"/>
  <c r="AH6" i="132"/>
  <c r="AK10" i="122" s="1"/>
  <c r="AM106" i="131"/>
  <c r="AL10" i="120"/>
  <c r="AL51" i="120" s="1"/>
  <c r="AM108" i="131"/>
  <c r="AL13" i="120"/>
  <c r="AM52" i="120"/>
  <c r="AT124" i="110"/>
  <c r="AO418" i="119"/>
  <c r="AS134" i="110"/>
  <c r="AL24" i="120" l="1"/>
  <c r="AP64" i="59"/>
  <c r="AP63" i="59"/>
  <c r="AQ67" i="59"/>
  <c r="AR65" i="59"/>
  <c r="AR47" i="59"/>
  <c r="AP68" i="59"/>
  <c r="AM105" i="106"/>
  <c r="AW69" i="59" s="1"/>
  <c r="AM51" i="106"/>
  <c r="AW51" i="59" s="1"/>
  <c r="AG110" i="106"/>
  <c r="AG108" i="106"/>
  <c r="AQ15" i="60"/>
  <c r="AP15" i="60"/>
  <c r="AQ24" i="60"/>
  <c r="AI106" i="106"/>
  <c r="AP26" i="60"/>
  <c r="AH23" i="106"/>
  <c r="AG109" i="106"/>
  <c r="AH77" i="106"/>
  <c r="AH107" i="106"/>
  <c r="AH76" i="106"/>
  <c r="AH78" i="106"/>
  <c r="AL98" i="106"/>
  <c r="AL100" i="106"/>
  <c r="AL99" i="106"/>
  <c r="AH25" i="106"/>
  <c r="AH24" i="106"/>
  <c r="AQ33" i="62"/>
  <c r="AJ217" i="119" s="1"/>
  <c r="AS14" i="61"/>
  <c r="AJ109" i="119"/>
  <c r="AP20" i="120"/>
  <c r="AK163" i="119"/>
  <c r="AL163" i="119"/>
  <c r="AQ13" i="62"/>
  <c r="AJ145" i="119" s="1"/>
  <c r="AQ113" i="119"/>
  <c r="AR237" i="119"/>
  <c r="AR14" i="61"/>
  <c r="AP34" i="60"/>
  <c r="AR35" i="61"/>
  <c r="AK235" i="119"/>
  <c r="AL21" i="120"/>
  <c r="AQ11" i="120"/>
  <c r="AQ22" i="120" s="1"/>
  <c r="AM94" i="106"/>
  <c r="AH53" i="106"/>
  <c r="AR165" i="119"/>
  <c r="AI52" i="106"/>
  <c r="AW37" i="60"/>
  <c r="AM40" i="106"/>
  <c r="AM12" i="120"/>
  <c r="AM23" i="120" s="1"/>
  <c r="AJ72" i="106"/>
  <c r="AJ73" i="106" s="1"/>
  <c r="AJ19" i="106"/>
  <c r="AJ20" i="106" s="1"/>
  <c r="AR372" i="119"/>
  <c r="AS80" i="94"/>
  <c r="AR382" i="119"/>
  <c r="AR381" i="119"/>
  <c r="AR417" i="119" s="1"/>
  <c r="AR380" i="119"/>
  <c r="AR379" i="119"/>
  <c r="AR378" i="119"/>
  <c r="AR374" i="119"/>
  <c r="AR376" i="119"/>
  <c r="AP50" i="120"/>
  <c r="AL54" i="120"/>
  <c r="AP46" i="119"/>
  <c r="AP418" i="119" s="1"/>
  <c r="AM13" i="120"/>
  <c r="AN108" i="131"/>
  <c r="AL8" i="120"/>
  <c r="AL19" i="120" s="1"/>
  <c r="AM109" i="131"/>
  <c r="AM105" i="131"/>
  <c r="AN106" i="131"/>
  <c r="AM10" i="120"/>
  <c r="AM51" i="120" s="1"/>
  <c r="AN52" i="120"/>
  <c r="AU124" i="110"/>
  <c r="AT134" i="110"/>
  <c r="AM24" i="120" l="1"/>
  <c r="AR49" i="59"/>
  <c r="AS65" i="59"/>
  <c r="AR67" i="59"/>
  <c r="AQ64" i="59"/>
  <c r="AQ63" i="59"/>
  <c r="AS47" i="59"/>
  <c r="AQ68" i="59"/>
  <c r="AJ106" i="106"/>
  <c r="AR24" i="60"/>
  <c r="AH110" i="106"/>
  <c r="AQ26" i="60"/>
  <c r="AH108" i="106"/>
  <c r="AI24" i="106"/>
  <c r="AH109" i="106"/>
  <c r="AR13" i="60"/>
  <c r="AI76" i="106"/>
  <c r="AI107" i="106"/>
  <c r="AI78" i="106"/>
  <c r="AI77" i="106"/>
  <c r="AM98" i="106"/>
  <c r="AM100" i="106"/>
  <c r="AM99" i="106"/>
  <c r="AI23" i="106"/>
  <c r="AM46" i="106"/>
  <c r="AM44" i="106"/>
  <c r="AM45" i="106"/>
  <c r="AI25" i="106"/>
  <c r="AQ34" i="60"/>
  <c r="AS13" i="62"/>
  <c r="AL145" i="119" s="1"/>
  <c r="AS35" i="61"/>
  <c r="AR13" i="62"/>
  <c r="AK145" i="119" s="1"/>
  <c r="AR113" i="119"/>
  <c r="AK109" i="119"/>
  <c r="AR33" i="62"/>
  <c r="AK217" i="119" s="1"/>
  <c r="AL235" i="119"/>
  <c r="AM21" i="120"/>
  <c r="AR11" i="120"/>
  <c r="AR22" i="120" s="1"/>
  <c r="AS22" i="120" s="1"/>
  <c r="AT22" i="120" s="1"/>
  <c r="AI53" i="106"/>
  <c r="AN107" i="131"/>
  <c r="AJ52" i="106"/>
  <c r="AK72" i="106"/>
  <c r="AK73" i="106" s="1"/>
  <c r="AK19" i="106"/>
  <c r="AK20" i="106" s="1"/>
  <c r="AM54" i="120"/>
  <c r="AM53" i="120"/>
  <c r="AL49" i="120"/>
  <c r="AQ46" i="119"/>
  <c r="AJ6" i="132"/>
  <c r="AM10" i="122" s="1"/>
  <c r="AO106" i="131"/>
  <c r="AN10" i="120"/>
  <c r="AN51" i="120" s="1"/>
  <c r="AQ9" i="120"/>
  <c r="AQ20" i="120" s="1"/>
  <c r="AN109" i="131"/>
  <c r="AN105" i="131"/>
  <c r="AM8" i="120"/>
  <c r="AM19" i="120" s="1"/>
  <c r="AN13" i="120"/>
  <c r="AO108" i="131"/>
  <c r="AO52" i="120"/>
  <c r="AV124" i="110"/>
  <c r="AQ418" i="119"/>
  <c r="AU134" i="110"/>
  <c r="AN24" i="120" l="1"/>
  <c r="AR64" i="59"/>
  <c r="AT65" i="59"/>
  <c r="AS67" i="59"/>
  <c r="AR68" i="59"/>
  <c r="AT47" i="59"/>
  <c r="AS49" i="59"/>
  <c r="AR63" i="59"/>
  <c r="AI108" i="106"/>
  <c r="AS24" i="60"/>
  <c r="AJ25" i="106"/>
  <c r="AR26" i="60"/>
  <c r="AK106" i="106"/>
  <c r="AS13" i="60"/>
  <c r="AI109" i="106"/>
  <c r="AR15" i="60"/>
  <c r="AI110" i="106"/>
  <c r="AJ77" i="106"/>
  <c r="AJ107" i="106"/>
  <c r="AJ78" i="106"/>
  <c r="AJ76" i="106"/>
  <c r="AJ24" i="106"/>
  <c r="AJ23" i="106"/>
  <c r="AL109" i="119"/>
  <c r="AS33" i="62"/>
  <c r="AL217" i="119" s="1"/>
  <c r="AM235" i="119"/>
  <c r="AM163" i="119"/>
  <c r="AT35" i="61"/>
  <c r="AT14" i="61"/>
  <c r="AR34" i="60"/>
  <c r="AJ53" i="106"/>
  <c r="AN21" i="120"/>
  <c r="AO107" i="131"/>
  <c r="AN12" i="120"/>
  <c r="AN23" i="120" s="1"/>
  <c r="AK52" i="106"/>
  <c r="AP107" i="131"/>
  <c r="AL72" i="106"/>
  <c r="AL73" i="106" s="1"/>
  <c r="AL19" i="106"/>
  <c r="AL20" i="106" s="1"/>
  <c r="AN54" i="120"/>
  <c r="AQ50" i="120"/>
  <c r="AM49" i="120"/>
  <c r="AR46" i="119"/>
  <c r="AK6" i="132"/>
  <c r="AN10" i="122" s="1"/>
  <c r="AO109" i="131"/>
  <c r="AO105" i="131"/>
  <c r="AN8" i="120"/>
  <c r="AN19" i="120" s="1"/>
  <c r="AR9" i="120"/>
  <c r="AR20" i="120" s="1"/>
  <c r="AS20" i="120" s="1"/>
  <c r="AT20" i="120" s="1"/>
  <c r="AP106" i="131"/>
  <c r="AO10" i="120"/>
  <c r="AO13" i="120"/>
  <c r="AP108" i="131"/>
  <c r="AP52" i="120"/>
  <c r="AV134" i="110"/>
  <c r="AW124" i="110"/>
  <c r="AR418" i="119"/>
  <c r="AO24" i="120" l="1"/>
  <c r="AN76" i="106"/>
  <c r="AT49" i="59"/>
  <c r="AU65" i="59"/>
  <c r="AS63" i="59"/>
  <c r="AU47" i="59"/>
  <c r="AT67" i="59"/>
  <c r="AS64" i="59"/>
  <c r="AS68" i="59"/>
  <c r="AK23" i="106"/>
  <c r="AT13" i="60"/>
  <c r="AL106" i="106"/>
  <c r="AS15" i="60"/>
  <c r="AK77" i="106"/>
  <c r="AJ108" i="106"/>
  <c r="AT24" i="60"/>
  <c r="AJ110" i="106"/>
  <c r="AN106" i="106"/>
  <c r="AS26" i="60"/>
  <c r="AJ109" i="106"/>
  <c r="AK76" i="106"/>
  <c r="AK107" i="106"/>
  <c r="AK25" i="106"/>
  <c r="AK78" i="106"/>
  <c r="AK24" i="106"/>
  <c r="AU14" i="61"/>
  <c r="AM109" i="119"/>
  <c r="AT13" i="62"/>
  <c r="AM145" i="119" s="1"/>
  <c r="AT33" i="62"/>
  <c r="AM217" i="119" s="1"/>
  <c r="AN163" i="119"/>
  <c r="AS34" i="60"/>
  <c r="AN235" i="119"/>
  <c r="AU35" i="61"/>
  <c r="AO21" i="120"/>
  <c r="AN49" i="120"/>
  <c r="AK53" i="106"/>
  <c r="AN53" i="120"/>
  <c r="AO51" i="120"/>
  <c r="AO12" i="120"/>
  <c r="AO23" i="120" s="1"/>
  <c r="AP12" i="120"/>
  <c r="AL52" i="106"/>
  <c r="AM72" i="106"/>
  <c r="AM73" i="106" s="1"/>
  <c r="AM19" i="106"/>
  <c r="AM20" i="106" s="1"/>
  <c r="AS50" i="120"/>
  <c r="AO54" i="120"/>
  <c r="AS46" i="119"/>
  <c r="AS418" i="119" s="1"/>
  <c r="M43" i="92" s="1"/>
  <c r="AL6" i="132"/>
  <c r="AO10" i="122" s="1"/>
  <c r="AR50" i="120"/>
  <c r="AP105" i="131"/>
  <c r="AO8" i="120"/>
  <c r="AO19" i="120" s="1"/>
  <c r="AP109" i="131"/>
  <c r="AQ108" i="131"/>
  <c r="AP13" i="120"/>
  <c r="AQ106" i="131"/>
  <c r="AP10" i="120"/>
  <c r="AQ52" i="120"/>
  <c r="AX124" i="110"/>
  <c r="AW134" i="110"/>
  <c r="AP24" i="120" l="1"/>
  <c r="AT63" i="59"/>
  <c r="AV65" i="59"/>
  <c r="AT68" i="59"/>
  <c r="AT64" i="59"/>
  <c r="AU49" i="59"/>
  <c r="AV47" i="59"/>
  <c r="AU67" i="59"/>
  <c r="AX65" i="59"/>
  <c r="AT26" i="60"/>
  <c r="AM106" i="106"/>
  <c r="AK110" i="106"/>
  <c r="AK109" i="106"/>
  <c r="AL25" i="106"/>
  <c r="AT15" i="60"/>
  <c r="AK108" i="106"/>
  <c r="AU13" i="60"/>
  <c r="AU24" i="60"/>
  <c r="AN77" i="106"/>
  <c r="AN107" i="106"/>
  <c r="AL76" i="106"/>
  <c r="AL107" i="106"/>
  <c r="AL77" i="106"/>
  <c r="AL78" i="106"/>
  <c r="AN78" i="106"/>
  <c r="AL24" i="106"/>
  <c r="AL23" i="106"/>
  <c r="AV14" i="61"/>
  <c r="AO163" i="119"/>
  <c r="AU13" i="62"/>
  <c r="AN145" i="119" s="1"/>
  <c r="AN109" i="119"/>
  <c r="AU33" i="62"/>
  <c r="AN217" i="119" s="1"/>
  <c r="AT34" i="60"/>
  <c r="AV35" i="61"/>
  <c r="AO235" i="119"/>
  <c r="AL53" i="106"/>
  <c r="AP23" i="120"/>
  <c r="AP21" i="120"/>
  <c r="AO53" i="120"/>
  <c r="AQ13" i="120"/>
  <c r="AQ10" i="120"/>
  <c r="AQ51" i="120" s="1"/>
  <c r="AP51" i="120"/>
  <c r="AQ107" i="131"/>
  <c r="AM52" i="106"/>
  <c r="AS12" i="120"/>
  <c r="AQ12" i="120"/>
  <c r="AS8" i="120"/>
  <c r="AN53" i="106"/>
  <c r="AO49" i="120"/>
  <c r="AP54" i="120"/>
  <c r="AP53" i="120"/>
  <c r="AM6" i="132"/>
  <c r="AP10" i="122" s="1"/>
  <c r="AS13" i="120"/>
  <c r="AS54" i="120" s="1"/>
  <c r="AS10" i="120"/>
  <c r="AS51" i="120" s="1"/>
  <c r="AP8" i="120"/>
  <c r="AP19" i="120" s="1"/>
  <c r="AQ109" i="131"/>
  <c r="AQ105" i="131"/>
  <c r="AR52" i="120"/>
  <c r="AX134" i="110"/>
  <c r="AQ24" i="120" l="1"/>
  <c r="AW47" i="59"/>
  <c r="AX67" i="59"/>
  <c r="AV49" i="59"/>
  <c r="AU63" i="59"/>
  <c r="AU64" i="59"/>
  <c r="AU68" i="59"/>
  <c r="AX49" i="59"/>
  <c r="AW65" i="59"/>
  <c r="AV67" i="59"/>
  <c r="AV13" i="60"/>
  <c r="AX13" i="60"/>
  <c r="AN108" i="106"/>
  <c r="AU15" i="60"/>
  <c r="AL110" i="106"/>
  <c r="AL109" i="106"/>
  <c r="AX24" i="60"/>
  <c r="AU26" i="60"/>
  <c r="AL108" i="106"/>
  <c r="AV24" i="60"/>
  <c r="AN110" i="106"/>
  <c r="AM24" i="106"/>
  <c r="AN109" i="106"/>
  <c r="AM78" i="106"/>
  <c r="AM107" i="106"/>
  <c r="AM77" i="106"/>
  <c r="AM76" i="106"/>
  <c r="AM23" i="106"/>
  <c r="AM25" i="106"/>
  <c r="AV13" i="62"/>
  <c r="AO145" i="119" s="1"/>
  <c r="AW14" i="61"/>
  <c r="AP235" i="119"/>
  <c r="AP163" i="119"/>
  <c r="AU34" i="60"/>
  <c r="AV33" i="62"/>
  <c r="AO217" i="119" s="1"/>
  <c r="AW35" i="61"/>
  <c r="AO109" i="119"/>
  <c r="AQ23" i="120"/>
  <c r="AM53" i="106"/>
  <c r="AQ21" i="120"/>
  <c r="AR108" i="131"/>
  <c r="AR106" i="131"/>
  <c r="AS53" i="120"/>
  <c r="AR107" i="131"/>
  <c r="AR12" i="120"/>
  <c r="AQ53" i="120"/>
  <c r="AP49" i="120"/>
  <c r="AQ54" i="120"/>
  <c r="AN6" i="132"/>
  <c r="AQ10" i="122" s="1"/>
  <c r="AR13" i="120"/>
  <c r="AS108" i="131"/>
  <c r="AR109" i="131"/>
  <c r="AR105" i="131"/>
  <c r="AQ8" i="120"/>
  <c r="AQ19" i="120" s="1"/>
  <c r="AS106" i="131"/>
  <c r="AR10" i="120"/>
  <c r="AR51" i="120" s="1"/>
  <c r="AS52" i="120"/>
  <c r="E52" i="120"/>
  <c r="E51" i="120"/>
  <c r="AR24" i="120" l="1"/>
  <c r="AS24" i="120" s="1"/>
  <c r="AT24" i="120" s="1"/>
  <c r="AW67" i="59"/>
  <c r="AX68" i="59"/>
  <c r="AX64" i="59"/>
  <c r="AW49" i="59"/>
  <c r="AX63" i="59"/>
  <c r="AV63" i="59"/>
  <c r="AV64" i="59"/>
  <c r="AV68" i="59"/>
  <c r="AZ35" i="61"/>
  <c r="AZ33" i="62" s="1"/>
  <c r="AS217" i="119" s="1"/>
  <c r="AV15" i="60"/>
  <c r="AM108" i="106"/>
  <c r="AW24" i="60"/>
  <c r="AM109" i="106"/>
  <c r="AV26" i="60"/>
  <c r="AX26" i="60"/>
  <c r="AW13" i="62"/>
  <c r="AP145" i="119" s="1"/>
  <c r="AM110" i="106"/>
  <c r="AX15" i="60"/>
  <c r="AW13" i="60"/>
  <c r="AS235" i="119"/>
  <c r="AQ163" i="119"/>
  <c r="AP109" i="119"/>
  <c r="AW33" i="62"/>
  <c r="AP217" i="119" s="1"/>
  <c r="AS163" i="119"/>
  <c r="AR23" i="120"/>
  <c r="AS23" i="120" s="1"/>
  <c r="AT23" i="120" s="1"/>
  <c r="AZ14" i="61"/>
  <c r="AX34" i="60"/>
  <c r="AQ235" i="119"/>
  <c r="AX35" i="61"/>
  <c r="AX14" i="61"/>
  <c r="AV34" i="60"/>
  <c r="AR21" i="120"/>
  <c r="AS21" i="120" s="1"/>
  <c r="AT21" i="120" s="1"/>
  <c r="AS105" i="131"/>
  <c r="AS107" i="131"/>
  <c r="AS109" i="131"/>
  <c r="AP6" i="132" s="1"/>
  <c r="AS10" i="122" s="1"/>
  <c r="AR8" i="120"/>
  <c r="AR19" i="120" s="1"/>
  <c r="AS19" i="120" s="1"/>
  <c r="AT19" i="120" s="1"/>
  <c r="AS49" i="120"/>
  <c r="AR54" i="120"/>
  <c r="AR53" i="120"/>
  <c r="AO6" i="132"/>
  <c r="AR10" i="122" s="1"/>
  <c r="AQ49" i="120"/>
  <c r="E10" i="122" l="1"/>
  <c r="E12" i="122"/>
  <c r="AW63" i="59"/>
  <c r="AW68" i="59"/>
  <c r="AW64" i="59"/>
  <c r="AW26" i="60"/>
  <c r="AW15" i="60"/>
  <c r="AR163" i="119"/>
  <c r="AY14" i="61"/>
  <c r="AS109" i="119"/>
  <c r="AU109" i="119" s="1"/>
  <c r="AX13" i="62"/>
  <c r="AQ145" i="119" s="1"/>
  <c r="AZ13" i="62"/>
  <c r="AS145" i="119" s="1"/>
  <c r="AX33" i="62"/>
  <c r="AQ217" i="119" s="1"/>
  <c r="AQ109" i="119"/>
  <c r="AW34" i="60"/>
  <c r="AY35" i="61"/>
  <c r="AR235" i="119"/>
  <c r="AR49" i="120"/>
  <c r="E15" i="122"/>
  <c r="AY13" i="62" l="1"/>
  <c r="AR145" i="119" s="1"/>
  <c r="AY33" i="62"/>
  <c r="AR217" i="119" s="1"/>
  <c r="AR109" i="119"/>
  <c r="AH63" i="120"/>
  <c r="O63" i="120"/>
  <c r="AJ63" i="120"/>
  <c r="Y63" i="120"/>
  <c r="AD63" i="120"/>
  <c r="X63" i="120"/>
  <c r="AE63" i="120"/>
  <c r="AO63" i="120"/>
  <c r="Z63" i="120"/>
  <c r="K63" i="120"/>
  <c r="AR63" i="120"/>
  <c r="U63" i="120"/>
  <c r="V63" i="120"/>
  <c r="AF63" i="120"/>
  <c r="AA63" i="120"/>
  <c r="L63" i="120"/>
  <c r="AK63" i="120"/>
  <c r="R63" i="120"/>
  <c r="G63" i="120"/>
  <c r="AQ63" i="120"/>
  <c r="Q63" i="120"/>
  <c r="N63" i="120"/>
  <c r="AN63" i="120"/>
  <c r="W63" i="120"/>
  <c r="T63" i="120"/>
  <c r="AG63" i="120"/>
  <c r="J63" i="120"/>
  <c r="H63" i="120"/>
  <c r="AM63" i="120"/>
  <c r="M63" i="120"/>
  <c r="F63" i="120"/>
  <c r="AP63" i="120"/>
  <c r="S63" i="120"/>
  <c r="AB63" i="120"/>
  <c r="AC63" i="120"/>
  <c r="AL63" i="120"/>
  <c r="P63" i="120"/>
  <c r="AI63" i="120"/>
  <c r="I63" i="120"/>
  <c r="AS63" i="120"/>
  <c r="B7" i="122"/>
  <c r="B18" i="122"/>
  <c r="E42" i="122" l="1"/>
  <c r="E41" i="122"/>
  <c r="E53" i="122"/>
  <c r="E58" i="122"/>
  <c r="K58" i="122"/>
  <c r="J42" i="122"/>
  <c r="E52" i="122"/>
  <c r="U43" i="122"/>
  <c r="V44" i="122"/>
  <c r="AG43" i="122"/>
  <c r="AQ42" i="122"/>
  <c r="AK44" i="122"/>
  <c r="AK42" i="122"/>
  <c r="AE44" i="122"/>
  <c r="R42" i="122"/>
  <c r="L44" i="122"/>
  <c r="AO45" i="122"/>
  <c r="AL44" i="122"/>
  <c r="N44" i="122"/>
  <c r="L43" i="122"/>
  <c r="AO44" i="122"/>
  <c r="AO42" i="122"/>
  <c r="AI44" i="122"/>
  <c r="AL42" i="122"/>
  <c r="AF44" i="122"/>
  <c r="AQ58" i="122"/>
  <c r="AA58" i="122"/>
  <c r="AD58" i="122"/>
  <c r="N58" i="122"/>
  <c r="AK58" i="122"/>
  <c r="U58" i="122"/>
  <c r="AN58" i="122"/>
  <c r="X58" i="122"/>
  <c r="AE45" i="122"/>
  <c r="M43" i="122"/>
  <c r="S42" i="122"/>
  <c r="M44" i="122"/>
  <c r="AP45" i="122"/>
  <c r="Z43" i="122"/>
  <c r="T45" i="122"/>
  <c r="W43" i="122"/>
  <c r="Q45" i="122"/>
  <c r="AC43" i="122"/>
  <c r="K45" i="122"/>
  <c r="AJ43" i="122"/>
  <c r="AD45" i="122"/>
  <c r="AD43" i="122"/>
  <c r="X45" i="122"/>
  <c r="K43" i="122"/>
  <c r="AN44" i="122"/>
  <c r="R44" i="122"/>
  <c r="P42" i="122"/>
  <c r="AA45" i="122"/>
  <c r="X43" i="122"/>
  <c r="R45" i="122"/>
  <c r="R43" i="122"/>
  <c r="L45" i="122"/>
  <c r="AH42" i="122"/>
  <c r="AB44" i="122"/>
  <c r="X42" i="122"/>
  <c r="AF42" i="122"/>
  <c r="AQ45" i="122"/>
  <c r="AB43" i="122"/>
  <c r="V45" i="122"/>
  <c r="V43" i="122"/>
  <c r="P45" i="122"/>
  <c r="S43" i="122"/>
  <c r="M45" i="122"/>
  <c r="AM58" i="122"/>
  <c r="W58" i="122"/>
  <c r="AP58" i="122"/>
  <c r="Z58" i="122"/>
  <c r="J58" i="122"/>
  <c r="AG58" i="122"/>
  <c r="Q58" i="122"/>
  <c r="AJ58" i="122"/>
  <c r="T58" i="122"/>
  <c r="J45" i="122"/>
  <c r="AP44" i="122"/>
  <c r="AI42" i="122"/>
  <c r="AC44" i="122"/>
  <c r="M42" i="122"/>
  <c r="AP43" i="122"/>
  <c r="AJ45" i="122"/>
  <c r="AM43" i="122"/>
  <c r="AG45" i="122"/>
  <c r="L42" i="122"/>
  <c r="W45" i="122"/>
  <c r="W42" i="122"/>
  <c r="Q44" i="122"/>
  <c r="Q42" i="122"/>
  <c r="K44" i="122"/>
  <c r="AN45" i="122"/>
  <c r="AA43" i="122"/>
  <c r="U45" i="122"/>
  <c r="AH44" i="122"/>
  <c r="AS43" i="122"/>
  <c r="K42" i="122"/>
  <c r="AN43" i="122"/>
  <c r="AH45" i="122"/>
  <c r="AH43" i="122"/>
  <c r="AB45" i="122"/>
  <c r="O43" i="122"/>
  <c r="AR44" i="122"/>
  <c r="O45" i="122"/>
  <c r="Z44" i="122"/>
  <c r="O42" i="122"/>
  <c r="AR43" i="122"/>
  <c r="AL45" i="122"/>
  <c r="AL43" i="122"/>
  <c r="AF45" i="122"/>
  <c r="AI43" i="122"/>
  <c r="AC45" i="122"/>
  <c r="AI58" i="122"/>
  <c r="S58" i="122"/>
  <c r="AL58" i="122"/>
  <c r="V58" i="122"/>
  <c r="AS58" i="122"/>
  <c r="AC58" i="122"/>
  <c r="M58" i="122"/>
  <c r="AF58" i="122"/>
  <c r="P58" i="122"/>
  <c r="Y43" i="122"/>
  <c r="AJ42" i="122"/>
  <c r="P43" i="122"/>
  <c r="AS44" i="122"/>
  <c r="AC42" i="122"/>
  <c r="W44" i="122"/>
  <c r="Z42" i="122"/>
  <c r="T44" i="122"/>
  <c r="J44" i="122"/>
  <c r="AO43" i="122"/>
  <c r="J43" i="122"/>
  <c r="AM42" i="122"/>
  <c r="AG44" i="122"/>
  <c r="AG42" i="122"/>
  <c r="AA44" i="122"/>
  <c r="N42" i="122"/>
  <c r="AQ43" i="122"/>
  <c r="AK45" i="122"/>
  <c r="AB42" i="122"/>
  <c r="AM45" i="122"/>
  <c r="AA42" i="122"/>
  <c r="U44" i="122"/>
  <c r="U42" i="122"/>
  <c r="O44" i="122"/>
  <c r="AR45" i="122"/>
  <c r="AE43" i="122"/>
  <c r="Y45" i="122"/>
  <c r="AR42" i="122"/>
  <c r="T42" i="122"/>
  <c r="AE42" i="122"/>
  <c r="Y44" i="122"/>
  <c r="Y42" i="122"/>
  <c r="S44" i="122"/>
  <c r="V42" i="122"/>
  <c r="P44" i="122"/>
  <c r="AS45" i="122"/>
  <c r="AE58" i="122"/>
  <c r="O58" i="122"/>
  <c r="AH58" i="122"/>
  <c r="R58" i="122"/>
  <c r="AO58" i="122"/>
  <c r="Y58" i="122"/>
  <c r="AR58" i="122"/>
  <c r="AB58" i="122"/>
  <c r="L58" i="122"/>
  <c r="S45" i="122"/>
  <c r="AD44" i="122"/>
  <c r="AF43" i="122"/>
  <c r="Z45" i="122"/>
  <c r="AS42" i="122"/>
  <c r="AM44" i="122"/>
  <c r="AP42" i="122"/>
  <c r="AJ44" i="122"/>
  <c r="AK43" i="122"/>
  <c r="AI45" i="122"/>
  <c r="Q43" i="122"/>
  <c r="T43" i="122"/>
  <c r="N45" i="122"/>
  <c r="N43" i="122"/>
  <c r="AQ44" i="122"/>
  <c r="AD42" i="122"/>
  <c r="X44" i="122"/>
  <c r="AN42" i="122"/>
  <c r="E43" i="122"/>
  <c r="E45" i="122"/>
  <c r="E51" i="122"/>
  <c r="F53" i="122"/>
  <c r="F57" i="122"/>
  <c r="E46" i="122"/>
  <c r="G58" i="122"/>
  <c r="H53" i="122"/>
  <c r="G53" i="122"/>
  <c r="E44" i="122"/>
  <c r="E47" i="122"/>
  <c r="E50" i="122"/>
  <c r="E57" i="122"/>
  <c r="H57" i="122"/>
  <c r="G57" i="122"/>
  <c r="E49" i="122"/>
  <c r="I58" i="122"/>
  <c r="I57" i="122"/>
  <c r="F58" i="122"/>
  <c r="I53" i="122"/>
  <c r="H58" i="122"/>
  <c r="E48" i="122"/>
  <c r="J91" i="119" l="1"/>
  <c r="J180" i="119" s="1"/>
  <c r="O35" i="60" l="1"/>
  <c r="O35" i="24"/>
  <c r="J163" i="119"/>
  <c r="Q13" i="62"/>
  <c r="O34" i="60"/>
  <c r="J145" i="119" l="1"/>
  <c r="J110" i="119"/>
  <c r="J109" i="119"/>
  <c r="K87" i="94" l="1"/>
  <c r="K102" i="94" s="1"/>
  <c r="AO65" i="101"/>
  <c r="B65" i="101"/>
  <c r="B26" i="101" s="1"/>
  <c r="AK26" i="101" l="1"/>
  <c r="J219" i="119"/>
  <c r="J147" i="119"/>
  <c r="B4" i="101"/>
  <c r="O37" i="59"/>
  <c r="L26" i="101"/>
  <c r="C26" i="101" s="1"/>
  <c r="C4" i="101" l="1"/>
  <c r="P37" i="59"/>
  <c r="D26" i="101"/>
  <c r="Y37" i="59"/>
  <c r="L4" i="101"/>
  <c r="M26" i="101"/>
  <c r="AK4" i="101"/>
  <c r="AK5" i="101" s="1"/>
  <c r="AX37" i="59"/>
  <c r="J76" i="119" l="1"/>
  <c r="F21" i="138"/>
  <c r="M4" i="101"/>
  <c r="Z37" i="59"/>
  <c r="N26" i="101"/>
  <c r="Q37" i="59"/>
  <c r="D4" i="101"/>
  <c r="E26" i="101"/>
  <c r="AA37" i="59" l="1"/>
  <c r="N4" i="101"/>
  <c r="O26" i="101"/>
  <c r="E4" i="101"/>
  <c r="R37" i="59"/>
  <c r="F26" i="101"/>
  <c r="AB37" i="59" l="1"/>
  <c r="O4" i="101"/>
  <c r="P26" i="101"/>
  <c r="S37" i="59"/>
  <c r="F4" i="101"/>
  <c r="G26" i="101"/>
  <c r="AC37" i="59" l="1"/>
  <c r="P4" i="101"/>
  <c r="Q26" i="101"/>
  <c r="G4" i="101"/>
  <c r="T37" i="59"/>
  <c r="H26" i="101"/>
  <c r="AD37" i="59" l="1"/>
  <c r="Q4" i="101"/>
  <c r="R26" i="101"/>
  <c r="U37" i="59"/>
  <c r="H4" i="101"/>
  <c r="I26" i="101"/>
  <c r="I4" i="101" l="1"/>
  <c r="V37" i="59"/>
  <c r="J26" i="101"/>
  <c r="R4" i="101"/>
  <c r="AE37" i="59"/>
  <c r="S26" i="101"/>
  <c r="J4" i="101" l="1"/>
  <c r="W37" i="59"/>
  <c r="K26" i="101"/>
  <c r="S4" i="101"/>
  <c r="AF37" i="59"/>
  <c r="T26" i="101"/>
  <c r="AG37" i="59" l="1"/>
  <c r="T4" i="101"/>
  <c r="U26" i="101"/>
  <c r="X37" i="59"/>
  <c r="K4" i="101"/>
  <c r="U4" i="101" l="1"/>
  <c r="AH37" i="59"/>
  <c r="V26" i="101"/>
  <c r="AI37" i="59" l="1"/>
  <c r="V4" i="101"/>
  <c r="W26" i="101"/>
  <c r="AJ37" i="59" l="1"/>
  <c r="W4" i="101"/>
  <c r="W5" i="101" s="1"/>
  <c r="X26" i="101"/>
  <c r="AK37" i="59" l="1"/>
  <c r="X4" i="101"/>
  <c r="X5" i="101" s="1"/>
  <c r="Y26" i="101"/>
  <c r="AL37" i="59" l="1"/>
  <c r="Z26" i="101"/>
  <c r="Y4" i="101"/>
  <c r="Y5" i="101" s="1"/>
  <c r="AM37" i="59" l="1"/>
  <c r="Z4" i="101"/>
  <c r="Z5" i="101" s="1"/>
  <c r="AA26" i="101"/>
  <c r="AN37" i="59" l="1"/>
  <c r="AA4" i="101"/>
  <c r="AA5" i="101" s="1"/>
  <c r="AB26" i="101"/>
  <c r="AO37" i="59" l="1"/>
  <c r="AB4" i="101"/>
  <c r="AB5" i="101" s="1"/>
  <c r="AC26" i="101"/>
  <c r="AP37" i="59" l="1"/>
  <c r="AC4" i="101"/>
  <c r="AC5" i="101" s="1"/>
  <c r="AD26" i="101"/>
  <c r="AQ37" i="59" l="1"/>
  <c r="AD4" i="101"/>
  <c r="AD5" i="101" s="1"/>
  <c r="AE26" i="101"/>
  <c r="AE4" i="101" l="1"/>
  <c r="AE5" i="101" s="1"/>
  <c r="AR37" i="59"/>
  <c r="AF26" i="101"/>
  <c r="AS37" i="59" l="1"/>
  <c r="AG26" i="101"/>
  <c r="AF4" i="101"/>
  <c r="AF5" i="101" s="1"/>
  <c r="AG4" i="101" l="1"/>
  <c r="AG5" i="101" s="1"/>
  <c r="AT37" i="59"/>
  <c r="AH26" i="101"/>
  <c r="AU37" i="59" l="1"/>
  <c r="AI26" i="101"/>
  <c r="AH4" i="101"/>
  <c r="AH5" i="101" s="1"/>
  <c r="AV37" i="59" l="1"/>
  <c r="AI4" i="101"/>
  <c r="AI5" i="101" s="1"/>
  <c r="AJ26" i="101"/>
  <c r="AW37" i="59" l="1"/>
  <c r="AJ4" i="101"/>
  <c r="AJ5" i="101" s="1"/>
  <c r="B112" i="101"/>
  <c r="AK41" i="101" s="1"/>
  <c r="B103" i="101"/>
  <c r="AK38" i="101" s="1"/>
  <c r="B79" i="101"/>
  <c r="AK30" i="101" s="1"/>
  <c r="AX41" i="59" s="1"/>
  <c r="B77" i="101"/>
  <c r="AK28" i="101" s="1"/>
  <c r="AX39" i="59" s="1"/>
  <c r="B110" i="101"/>
  <c r="AK39" i="101" s="1"/>
  <c r="B75" i="101"/>
  <c r="B70" i="101"/>
  <c r="B101" i="101"/>
  <c r="AK36" i="101" s="1"/>
  <c r="AX60" i="59" s="1"/>
  <c r="B71" i="101"/>
  <c r="B90" i="101"/>
  <c r="AK31" i="101" s="1"/>
  <c r="AX55" i="59" s="1"/>
  <c r="B92" i="101"/>
  <c r="AK33" i="101" s="1"/>
  <c r="AX57" i="59" s="1"/>
  <c r="B78" i="101"/>
  <c r="AK29" i="101" s="1"/>
  <c r="AX40" i="59" s="1"/>
  <c r="B94" i="101"/>
  <c r="AK35" i="101" s="1"/>
  <c r="AX59" i="59" s="1"/>
  <c r="B76" i="101"/>
  <c r="B111" i="101"/>
  <c r="AK40" i="101" s="1"/>
  <c r="B102" i="101"/>
  <c r="AK37" i="101" s="1"/>
  <c r="AX136" i="59" s="1"/>
  <c r="B91" i="101"/>
  <c r="AK32" i="101" s="1"/>
  <c r="AX56" i="59" s="1"/>
  <c r="B93" i="101"/>
  <c r="AK34" i="101" s="1"/>
  <c r="AX58" i="59" s="1"/>
  <c r="B97" i="101"/>
  <c r="B38" i="101" s="1"/>
  <c r="B104" i="101"/>
  <c r="B39" i="101" s="1"/>
  <c r="B107" i="101"/>
  <c r="L39" i="101" s="1"/>
  <c r="B106" i="101"/>
  <c r="B41" i="101" s="1"/>
  <c r="B105" i="101"/>
  <c r="B40" i="101" s="1"/>
  <c r="B100" i="101"/>
  <c r="L38" i="101" s="1"/>
  <c r="B108" i="101"/>
  <c r="L40" i="101" s="1"/>
  <c r="B109" i="101"/>
  <c r="L41" i="101" s="1"/>
  <c r="B82" i="101"/>
  <c r="B33" i="101" s="1"/>
  <c r="B84" i="101"/>
  <c r="B35" i="101" s="1"/>
  <c r="O59" i="59" s="1"/>
  <c r="B69" i="101"/>
  <c r="B30" i="101" s="1"/>
  <c r="B67" i="101"/>
  <c r="B28" i="101" s="1"/>
  <c r="B83" i="101"/>
  <c r="B34" i="101" s="1"/>
  <c r="B96" i="101"/>
  <c r="B37" i="101" s="1"/>
  <c r="O136" i="59" s="1"/>
  <c r="B68" i="101"/>
  <c r="B29" i="101" s="1"/>
  <c r="B81" i="101"/>
  <c r="B32" i="101" s="1"/>
  <c r="B80" i="101"/>
  <c r="B31" i="101" s="1"/>
  <c r="B85" i="101"/>
  <c r="L31" i="101" s="1"/>
  <c r="B73" i="101"/>
  <c r="L29" i="101" s="1"/>
  <c r="B86" i="101"/>
  <c r="L32" i="101" s="1"/>
  <c r="Y56" i="59" s="1"/>
  <c r="B87" i="101"/>
  <c r="L33" i="101" s="1"/>
  <c r="Y57" i="59" s="1"/>
  <c r="B74" i="101"/>
  <c r="L30" i="101" s="1"/>
  <c r="B99" i="101"/>
  <c r="L37" i="101" s="1"/>
  <c r="Y136" i="59" s="1"/>
  <c r="B88" i="101"/>
  <c r="L34" i="101" s="1"/>
  <c r="Y58" i="59" s="1"/>
  <c r="B72" i="101"/>
  <c r="L28" i="101" s="1"/>
  <c r="B95" i="101"/>
  <c r="B36" i="101" s="1"/>
  <c r="O132" i="59" s="1"/>
  <c r="B98" i="101"/>
  <c r="L36" i="101" s="1"/>
  <c r="B66" i="101"/>
  <c r="B27" i="101" s="1"/>
  <c r="B89" i="101"/>
  <c r="L35" i="101" s="1"/>
  <c r="M39" i="101" l="1"/>
  <c r="N39" i="101" s="1"/>
  <c r="O39" i="101" s="1"/>
  <c r="P39" i="101" s="1"/>
  <c r="Q39" i="101" s="1"/>
  <c r="R39" i="101" s="1"/>
  <c r="S39" i="101" s="1"/>
  <c r="T39" i="101" s="1"/>
  <c r="U39" i="101" s="1"/>
  <c r="V39" i="101" s="1"/>
  <c r="W39" i="101" s="1"/>
  <c r="X39" i="101" s="1"/>
  <c r="Y39" i="101" s="1"/>
  <c r="Z39" i="101" s="1"/>
  <c r="AA39" i="101" s="1"/>
  <c r="AB39" i="101" s="1"/>
  <c r="AC39" i="101" s="1"/>
  <c r="AD39" i="101" s="1"/>
  <c r="AE39" i="101" s="1"/>
  <c r="AF39" i="101" s="1"/>
  <c r="AG39" i="101" s="1"/>
  <c r="AH39" i="101" s="1"/>
  <c r="AI39" i="101" s="1"/>
  <c r="AJ39" i="101" s="1"/>
  <c r="O134" i="59"/>
  <c r="O133" i="59"/>
  <c r="O11" i="60" s="1"/>
  <c r="Q12" i="61" s="1"/>
  <c r="Q11" i="62" s="1"/>
  <c r="Q23" i="62" s="1"/>
  <c r="N17" i="116"/>
  <c r="M38" i="101"/>
  <c r="N38" i="101" s="1"/>
  <c r="O38" i="101" s="1"/>
  <c r="P38" i="101" s="1"/>
  <c r="Q38" i="101" s="1"/>
  <c r="R38" i="101" s="1"/>
  <c r="S38" i="101" s="1"/>
  <c r="T38" i="101" s="1"/>
  <c r="U38" i="101" s="1"/>
  <c r="V38" i="101" s="1"/>
  <c r="W38" i="101" s="1"/>
  <c r="X38" i="101" s="1"/>
  <c r="Y38" i="101" s="1"/>
  <c r="Z38" i="101" s="1"/>
  <c r="AA38" i="101" s="1"/>
  <c r="AB38" i="101" s="1"/>
  <c r="AC38" i="101" s="1"/>
  <c r="AD38" i="101" s="1"/>
  <c r="AE38" i="101" s="1"/>
  <c r="AF38" i="101" s="1"/>
  <c r="AG38" i="101" s="1"/>
  <c r="AH38" i="101" s="1"/>
  <c r="AI38" i="101" s="1"/>
  <c r="AJ38" i="101" s="1"/>
  <c r="M41" i="101"/>
  <c r="N41" i="101" s="1"/>
  <c r="O41" i="101" s="1"/>
  <c r="P41" i="101" s="1"/>
  <c r="Q41" i="101" s="1"/>
  <c r="R41" i="101" s="1"/>
  <c r="S41" i="101" s="1"/>
  <c r="T41" i="101" s="1"/>
  <c r="U41" i="101" s="1"/>
  <c r="V41" i="101" s="1"/>
  <c r="W41" i="101" s="1"/>
  <c r="X41" i="101" s="1"/>
  <c r="Y41" i="101" s="1"/>
  <c r="Z41" i="101" s="1"/>
  <c r="AA41" i="101" s="1"/>
  <c r="AB41" i="101" s="1"/>
  <c r="AC41" i="101" s="1"/>
  <c r="AD41" i="101" s="1"/>
  <c r="AE41" i="101" s="1"/>
  <c r="AF41" i="101" s="1"/>
  <c r="AG41" i="101" s="1"/>
  <c r="AH41" i="101" s="1"/>
  <c r="AI41" i="101" s="1"/>
  <c r="AJ41" i="101" s="1"/>
  <c r="C39" i="101"/>
  <c r="D39" i="101" s="1"/>
  <c r="E39" i="101" s="1"/>
  <c r="F39" i="101" s="1"/>
  <c r="G39" i="101" s="1"/>
  <c r="H39" i="101" s="1"/>
  <c r="I39" i="101" s="1"/>
  <c r="J39" i="101" s="1"/>
  <c r="K39" i="101" s="1"/>
  <c r="M36" i="101"/>
  <c r="N36" i="101" s="1"/>
  <c r="AA60" i="59" s="1"/>
  <c r="M40" i="101"/>
  <c r="N40" i="101" s="1"/>
  <c r="O40" i="101" s="1"/>
  <c r="P40" i="101" s="1"/>
  <c r="Q40" i="101" s="1"/>
  <c r="R40" i="101" s="1"/>
  <c r="S40" i="101" s="1"/>
  <c r="T40" i="101" s="1"/>
  <c r="U40" i="101" s="1"/>
  <c r="V40" i="101" s="1"/>
  <c r="W40" i="101" s="1"/>
  <c r="X40" i="101" s="1"/>
  <c r="Y40" i="101" s="1"/>
  <c r="Z40" i="101" s="1"/>
  <c r="AA40" i="101" s="1"/>
  <c r="AB40" i="101" s="1"/>
  <c r="AC40" i="101" s="1"/>
  <c r="AD40" i="101" s="1"/>
  <c r="AE40" i="101" s="1"/>
  <c r="AF40" i="101" s="1"/>
  <c r="AG40" i="101" s="1"/>
  <c r="AH40" i="101" s="1"/>
  <c r="AI40" i="101" s="1"/>
  <c r="AJ40" i="101" s="1"/>
  <c r="C38" i="101"/>
  <c r="D38" i="101" s="1"/>
  <c r="E38" i="101" s="1"/>
  <c r="F38" i="101" s="1"/>
  <c r="G38" i="101" s="1"/>
  <c r="H38" i="101" s="1"/>
  <c r="I38" i="101" s="1"/>
  <c r="J38" i="101" s="1"/>
  <c r="K38" i="101" s="1"/>
  <c r="C41" i="101"/>
  <c r="D41" i="101" s="1"/>
  <c r="E41" i="101" s="1"/>
  <c r="F41" i="101" s="1"/>
  <c r="G41" i="101" s="1"/>
  <c r="H41" i="101" s="1"/>
  <c r="I41" i="101" s="1"/>
  <c r="J41" i="101" s="1"/>
  <c r="K41" i="101" s="1"/>
  <c r="C40" i="101"/>
  <c r="D40" i="101" s="1"/>
  <c r="E40" i="101" s="1"/>
  <c r="F40" i="101" s="1"/>
  <c r="G40" i="101" s="1"/>
  <c r="H40" i="101" s="1"/>
  <c r="I40" i="101" s="1"/>
  <c r="J40" i="101" s="1"/>
  <c r="K40" i="101" s="1"/>
  <c r="Y59" i="59"/>
  <c r="M35" i="101"/>
  <c r="B5" i="101"/>
  <c r="AK27" i="101"/>
  <c r="AX38" i="59" s="1"/>
  <c r="O38" i="59"/>
  <c r="L27" i="101"/>
  <c r="O60" i="59"/>
  <c r="Y39" i="59"/>
  <c r="M28" i="101"/>
  <c r="Y41" i="59"/>
  <c r="M30" i="101"/>
  <c r="C36" i="101"/>
  <c r="M34" i="101"/>
  <c r="M37" i="101"/>
  <c r="Y40" i="59"/>
  <c r="M29" i="101"/>
  <c r="Y55" i="59"/>
  <c r="Y42" i="59"/>
  <c r="M31" i="101"/>
  <c r="M32" i="101"/>
  <c r="O40" i="59"/>
  <c r="C29" i="101"/>
  <c r="O56" i="59"/>
  <c r="C32" i="101"/>
  <c r="M33" i="101"/>
  <c r="O58" i="59"/>
  <c r="C34" i="101"/>
  <c r="O39" i="59"/>
  <c r="C28" i="101"/>
  <c r="Y60" i="59"/>
  <c r="Y132" i="59"/>
  <c r="O55" i="59"/>
  <c r="O42" i="59"/>
  <c r="C31" i="101"/>
  <c r="C37" i="101"/>
  <c r="C35" i="101"/>
  <c r="O57" i="59"/>
  <c r="C33" i="101"/>
  <c r="O41" i="59"/>
  <c r="C30" i="101"/>
  <c r="AX42" i="59"/>
  <c r="AX132" i="59"/>
  <c r="H17" i="116" l="1"/>
  <c r="H9" i="116" s="1"/>
  <c r="AJ17" i="116"/>
  <c r="AJ8" i="116" s="1"/>
  <c r="Z17" i="116"/>
  <c r="K17" i="116"/>
  <c r="K9" i="116" s="1"/>
  <c r="S17" i="116"/>
  <c r="S8" i="116" s="1"/>
  <c r="AA17" i="116"/>
  <c r="AA9" i="116" s="1"/>
  <c r="AG17" i="116"/>
  <c r="AG9" i="116" s="1"/>
  <c r="AB17" i="116"/>
  <c r="AB9" i="116" s="1"/>
  <c r="AN17" i="116"/>
  <c r="AN9" i="116" s="1"/>
  <c r="AX138" i="59" s="1"/>
  <c r="L17" i="116"/>
  <c r="L8" i="116" s="1"/>
  <c r="AH17" i="116"/>
  <c r="AH9" i="116" s="1"/>
  <c r="Y17" i="116"/>
  <c r="Y9" i="116" s="1"/>
  <c r="V17" i="116"/>
  <c r="V9" i="116" s="1"/>
  <c r="R17" i="116"/>
  <c r="R9" i="116" s="1"/>
  <c r="P17" i="116"/>
  <c r="P9" i="116" s="1"/>
  <c r="K15" i="116"/>
  <c r="K22" i="116" s="1"/>
  <c r="K5" i="116" s="1"/>
  <c r="Q17" i="116"/>
  <c r="Q9" i="116" s="1"/>
  <c r="O17" i="116"/>
  <c r="O9" i="116" s="1"/>
  <c r="Y138" i="59" s="1"/>
  <c r="M17" i="116"/>
  <c r="M8" i="116" s="1"/>
  <c r="W17" i="116"/>
  <c r="W9" i="116" s="1"/>
  <c r="AM17" i="116"/>
  <c r="AM9" i="116" s="1"/>
  <c r="AL17" i="116"/>
  <c r="AL9" i="116" s="1"/>
  <c r="I17" i="116"/>
  <c r="I9" i="116" s="1"/>
  <c r="AC17" i="116"/>
  <c r="AC9" i="116" s="1"/>
  <c r="X17" i="116"/>
  <c r="X9" i="116" s="1"/>
  <c r="AK17" i="116"/>
  <c r="AK9" i="116" s="1"/>
  <c r="F17" i="116"/>
  <c r="F9" i="116" s="1"/>
  <c r="AE17" i="116"/>
  <c r="AE8" i="116" s="1"/>
  <c r="AF17" i="116"/>
  <c r="AF9" i="116" s="1"/>
  <c r="U17" i="116"/>
  <c r="U8" i="116" s="1"/>
  <c r="AD17" i="116"/>
  <c r="AD9" i="116" s="1"/>
  <c r="G17" i="116"/>
  <c r="G8" i="116" s="1"/>
  <c r="AI17" i="116"/>
  <c r="AI9" i="116" s="1"/>
  <c r="T17" i="116"/>
  <c r="T9" i="116" s="1"/>
  <c r="E17" i="116"/>
  <c r="E9" i="116" s="1"/>
  <c r="O138" i="59" s="1"/>
  <c r="O60" i="60" s="1"/>
  <c r="AE56" i="106"/>
  <c r="N56" i="106"/>
  <c r="L23" i="116"/>
  <c r="L7" i="116" s="1"/>
  <c r="AM56" i="106"/>
  <c r="AM15" i="116"/>
  <c r="AM22" i="116" s="1"/>
  <c r="AM5" i="116" s="1"/>
  <c r="AG15" i="116"/>
  <c r="AG22" i="116" s="1"/>
  <c r="AG5" i="116" s="1"/>
  <c r="G15" i="116"/>
  <c r="G20" i="116" s="1"/>
  <c r="J9" i="116"/>
  <c r="J8" i="116"/>
  <c r="N9" i="116"/>
  <c r="N8" i="116"/>
  <c r="AD56" i="106"/>
  <c r="W56" i="106"/>
  <c r="Q56" i="106"/>
  <c r="AH56" i="106"/>
  <c r="Z60" i="59"/>
  <c r="M56" i="106"/>
  <c r="Z132" i="59"/>
  <c r="H56" i="106"/>
  <c r="R56" i="106"/>
  <c r="AG56" i="106"/>
  <c r="N54" i="106"/>
  <c r="S56" i="106"/>
  <c r="AL56" i="106"/>
  <c r="AB56" i="106"/>
  <c r="AC56" i="106"/>
  <c r="U56" i="106"/>
  <c r="V56" i="106"/>
  <c r="AJ56" i="106"/>
  <c r="AA132" i="59"/>
  <c r="O36" i="101"/>
  <c r="AB60" i="59" s="1"/>
  <c r="T56" i="106"/>
  <c r="AN56" i="106"/>
  <c r="K56" i="106"/>
  <c r="I56" i="106"/>
  <c r="Y56" i="106"/>
  <c r="L56" i="106"/>
  <c r="F56" i="106"/>
  <c r="G56" i="106"/>
  <c r="AI56" i="106"/>
  <c r="AF56" i="106"/>
  <c r="AK56" i="106"/>
  <c r="J56" i="106"/>
  <c r="AC54" i="106"/>
  <c r="X15" i="116"/>
  <c r="AK15" i="116"/>
  <c r="G54" i="106"/>
  <c r="AA15" i="116"/>
  <c r="AM23" i="116"/>
  <c r="AM54" i="106"/>
  <c r="P54" i="106"/>
  <c r="Z40" i="59"/>
  <c r="N29" i="101"/>
  <c r="AL54" i="106"/>
  <c r="Z41" i="59"/>
  <c r="N30" i="101"/>
  <c r="Y15" i="116"/>
  <c r="AK54" i="106"/>
  <c r="AE54" i="106"/>
  <c r="O54" i="106"/>
  <c r="W54" i="106"/>
  <c r="U54" i="106"/>
  <c r="AF15" i="116"/>
  <c r="AD15" i="116"/>
  <c r="H23" i="116"/>
  <c r="H54" i="106"/>
  <c r="Y54" i="106"/>
  <c r="AG54" i="106"/>
  <c r="Y38" i="59"/>
  <c r="L5" i="101"/>
  <c r="M27" i="101"/>
  <c r="R15" i="116"/>
  <c r="Z56" i="106"/>
  <c r="Q54" i="106"/>
  <c r="Z59" i="59"/>
  <c r="N35" i="101"/>
  <c r="P56" i="59"/>
  <c r="D32" i="101"/>
  <c r="Z39" i="59"/>
  <c r="N28" i="101"/>
  <c r="AH54" i="106"/>
  <c r="AD54" i="106"/>
  <c r="AN45" i="59" s="1"/>
  <c r="AL15" i="116"/>
  <c r="AE15" i="116"/>
  <c r="F15" i="116"/>
  <c r="P41" i="59"/>
  <c r="D30" i="101"/>
  <c r="P39" i="59"/>
  <c r="D28" i="101"/>
  <c r="AN54" i="106"/>
  <c r="I15" i="116"/>
  <c r="P40" i="59"/>
  <c r="D29" i="101"/>
  <c r="Z42" i="59"/>
  <c r="Z55" i="59"/>
  <c r="N31" i="101"/>
  <c r="AI15" i="116"/>
  <c r="X54" i="106"/>
  <c r="Z58" i="59"/>
  <c r="N34" i="101"/>
  <c r="O15" i="116"/>
  <c r="AJ15" i="116"/>
  <c r="AJ22" i="116" s="1"/>
  <c r="AN15" i="116"/>
  <c r="AN20" i="116" s="1"/>
  <c r="AB15" i="116"/>
  <c r="J54" i="106"/>
  <c r="AC15" i="116"/>
  <c r="T54" i="106"/>
  <c r="Z54" i="106"/>
  <c r="L15" i="116"/>
  <c r="S15" i="116"/>
  <c r="F6" i="116"/>
  <c r="F54" i="106"/>
  <c r="C27" i="101"/>
  <c r="L54" i="106"/>
  <c r="P42" i="59"/>
  <c r="P55" i="59"/>
  <c r="D31" i="101"/>
  <c r="K54" i="106"/>
  <c r="Z56" i="59"/>
  <c r="N32" i="101"/>
  <c r="N15" i="116"/>
  <c r="P60" i="59"/>
  <c r="P132" i="59"/>
  <c r="D36" i="101"/>
  <c r="Z15" i="116"/>
  <c r="AI54" i="106"/>
  <c r="W15" i="116"/>
  <c r="H15" i="116"/>
  <c r="AA54" i="106"/>
  <c r="N23" i="116"/>
  <c r="N7" i="116" s="1"/>
  <c r="N21" i="116"/>
  <c r="N6" i="116" s="1"/>
  <c r="P59" i="59"/>
  <c r="D35" i="101"/>
  <c r="Z57" i="59"/>
  <c r="N33" i="101"/>
  <c r="P136" i="59"/>
  <c r="D37" i="101"/>
  <c r="P57" i="59"/>
  <c r="D33" i="101"/>
  <c r="P58" i="59"/>
  <c r="D34" i="101"/>
  <c r="X56" i="106"/>
  <c r="P56" i="106"/>
  <c r="Z136" i="59"/>
  <c r="N37" i="101"/>
  <c r="S54" i="106"/>
  <c r="AH15" i="116"/>
  <c r="R23" i="116"/>
  <c r="R54" i="106"/>
  <c r="P15" i="116"/>
  <c r="Q15" i="116"/>
  <c r="V15" i="116"/>
  <c r="V54" i="106"/>
  <c r="U15" i="116"/>
  <c r="U22" i="116" s="1"/>
  <c r="M15" i="116"/>
  <c r="AJ54" i="106"/>
  <c r="AB54" i="106"/>
  <c r="AF54" i="106"/>
  <c r="I54" i="106"/>
  <c r="T15" i="116"/>
  <c r="O56" i="106"/>
  <c r="AA56" i="106"/>
  <c r="AN8" i="116" l="1"/>
  <c r="AX137" i="59" s="1"/>
  <c r="AX22" i="60" s="1"/>
  <c r="L9" i="116"/>
  <c r="S9" i="116"/>
  <c r="AI8" i="116"/>
  <c r="X8" i="116"/>
  <c r="V8" i="116"/>
  <c r="F8" i="116"/>
  <c r="P137" i="59" s="1"/>
  <c r="AJ9" i="116"/>
  <c r="S45" i="59"/>
  <c r="U17" i="61"/>
  <c r="U16" i="62" s="1"/>
  <c r="AL45" i="59"/>
  <c r="AL10" i="60" s="1"/>
  <c r="AN17" i="61"/>
  <c r="AN16" i="62" s="1"/>
  <c r="AB45" i="59"/>
  <c r="AD17" i="61"/>
  <c r="AD16" i="62" s="1"/>
  <c r="AG45" i="59"/>
  <c r="AI17" i="61"/>
  <c r="AI16" i="62" s="1"/>
  <c r="V50" i="59"/>
  <c r="X18" i="61"/>
  <c r="AT50" i="59"/>
  <c r="AV18" i="61"/>
  <c r="AQ50" i="59"/>
  <c r="AS18" i="61"/>
  <c r="AG50" i="59"/>
  <c r="AI18" i="61"/>
  <c r="AJ45" i="59"/>
  <c r="AL17" i="61"/>
  <c r="AL16" i="62" s="1"/>
  <c r="AQ45" i="59"/>
  <c r="AS17" i="61"/>
  <c r="AS16" i="62" s="1"/>
  <c r="Y45" i="59"/>
  <c r="AA17" i="61"/>
  <c r="AA16" i="62" s="1"/>
  <c r="AM45" i="59"/>
  <c r="AO17" i="61"/>
  <c r="AO16" i="62" s="1"/>
  <c r="AI50" i="59"/>
  <c r="AK18" i="61"/>
  <c r="AF50" i="59"/>
  <c r="AH18" i="61"/>
  <c r="AB50" i="59"/>
  <c r="AD18" i="61"/>
  <c r="AN50" i="59"/>
  <c r="AP18" i="61"/>
  <c r="X50" i="59"/>
  <c r="Z18" i="61"/>
  <c r="AD45" i="59"/>
  <c r="AF17" i="61"/>
  <c r="AF16" i="62" s="1"/>
  <c r="AI45" i="59"/>
  <c r="AK17" i="61"/>
  <c r="AK16" i="62" s="1"/>
  <c r="AO45" i="59"/>
  <c r="AQ17" i="61"/>
  <c r="AQ16" i="62" s="1"/>
  <c r="Z45" i="59"/>
  <c r="AB17" i="61"/>
  <c r="AB16" i="62" s="1"/>
  <c r="T50" i="59"/>
  <c r="V18" i="61"/>
  <c r="S50" i="59"/>
  <c r="U18" i="61"/>
  <c r="AE50" i="59"/>
  <c r="AG18" i="61"/>
  <c r="R50" i="59"/>
  <c r="T18" i="61"/>
  <c r="AO50" i="59"/>
  <c r="AQ18" i="61"/>
  <c r="AT45" i="59"/>
  <c r="AV17" i="61"/>
  <c r="AV16" i="62" s="1"/>
  <c r="AK50" i="59"/>
  <c r="AM18" i="61"/>
  <c r="AC45" i="59"/>
  <c r="AE17" i="61"/>
  <c r="AE16" i="62" s="1"/>
  <c r="V45" i="59"/>
  <c r="X17" i="61"/>
  <c r="X16" i="62" s="1"/>
  <c r="AH45" i="59"/>
  <c r="AJ17" i="61"/>
  <c r="AJ16" i="62" s="1"/>
  <c r="AX45" i="59"/>
  <c r="AZ17" i="61"/>
  <c r="AZ16" i="62" s="1"/>
  <c r="AP17" i="61"/>
  <c r="AP16" i="62" s="1"/>
  <c r="AA45" i="59"/>
  <c r="AC17" i="61"/>
  <c r="AC16" i="62" s="1"/>
  <c r="R45" i="59"/>
  <c r="T17" i="61"/>
  <c r="T16" i="62" s="1"/>
  <c r="AU45" i="59"/>
  <c r="AW17" i="61"/>
  <c r="AW16" i="62" s="1"/>
  <c r="AW45" i="59"/>
  <c r="AY17" i="61"/>
  <c r="AY16" i="62" s="1"/>
  <c r="AU50" i="59"/>
  <c r="AW18" i="61"/>
  <c r="U50" i="59"/>
  <c r="W18" i="61"/>
  <c r="AM50" i="59"/>
  <c r="AO18" i="61"/>
  <c r="Y50" i="59"/>
  <c r="AA18" i="61"/>
  <c r="AF45" i="59"/>
  <c r="AH17" i="61"/>
  <c r="AH16" i="62" s="1"/>
  <c r="AK45" i="59"/>
  <c r="AM17" i="61"/>
  <c r="AM16" i="62" s="1"/>
  <c r="T45" i="59"/>
  <c r="V17" i="61"/>
  <c r="V16" i="62" s="1"/>
  <c r="AR45" i="59"/>
  <c r="AT17" i="61"/>
  <c r="AT16" i="62" s="1"/>
  <c r="AJ50" i="59"/>
  <c r="AL18" i="61"/>
  <c r="AP50" i="59"/>
  <c r="AR18" i="61"/>
  <c r="AX50" i="59"/>
  <c r="AZ18" i="61"/>
  <c r="AL50" i="59"/>
  <c r="AN18" i="61"/>
  <c r="W50" i="59"/>
  <c r="Y18" i="61"/>
  <c r="Y17" i="61"/>
  <c r="Y16" i="62" s="1"/>
  <c r="P45" i="59"/>
  <c r="R17" i="61"/>
  <c r="R16" i="62" s="1"/>
  <c r="AS50" i="59"/>
  <c r="AU18" i="61"/>
  <c r="AD50" i="59"/>
  <c r="AF18" i="61"/>
  <c r="AV50" i="59"/>
  <c r="AX18" i="61"/>
  <c r="Q45" i="59"/>
  <c r="S17" i="61"/>
  <c r="S16" i="62" s="1"/>
  <c r="Q50" i="59"/>
  <c r="S18" i="61"/>
  <c r="AC50" i="59"/>
  <c r="AE18" i="61"/>
  <c r="AR50" i="59"/>
  <c r="AT18" i="61"/>
  <c r="Z50" i="59"/>
  <c r="AB18" i="61"/>
  <c r="AP45" i="59"/>
  <c r="AR17" i="61"/>
  <c r="AR16" i="62" s="1"/>
  <c r="AH50" i="59"/>
  <c r="AJ18" i="61"/>
  <c r="AS45" i="59"/>
  <c r="AU17" i="61"/>
  <c r="AU16" i="62" s="1"/>
  <c r="U45" i="59"/>
  <c r="W17" i="61"/>
  <c r="W16" i="62" s="1"/>
  <c r="AE45" i="59"/>
  <c r="AG17" i="61"/>
  <c r="AG16" i="62" s="1"/>
  <c r="AV45" i="59"/>
  <c r="AX17" i="61"/>
  <c r="AX16" i="62" s="1"/>
  <c r="P50" i="59"/>
  <c r="R18" i="61"/>
  <c r="X45" i="59"/>
  <c r="Z17" i="61"/>
  <c r="Z16" i="62" s="1"/>
  <c r="AA50" i="59"/>
  <c r="AC18" i="61"/>
  <c r="AW50" i="59"/>
  <c r="AY18" i="61"/>
  <c r="AX60" i="60"/>
  <c r="Y60" i="60"/>
  <c r="Z138" i="59"/>
  <c r="AA138" i="59"/>
  <c r="P138" i="59"/>
  <c r="K8" i="116"/>
  <c r="E8" i="116"/>
  <c r="O137" i="59" s="1"/>
  <c r="J38" i="119" s="1"/>
  <c r="J268" i="119" s="1"/>
  <c r="AL8" i="116"/>
  <c r="AE9" i="116"/>
  <c r="R8" i="116"/>
  <c r="AA8" i="116"/>
  <c r="U9" i="116"/>
  <c r="P8" i="116"/>
  <c r="Z137" i="59" s="1"/>
  <c r="AD8" i="116"/>
  <c r="G9" i="116"/>
  <c r="AC8" i="116"/>
  <c r="T8" i="116"/>
  <c r="AM8" i="116"/>
  <c r="Y8" i="116"/>
  <c r="AK8" i="116"/>
  <c r="AB8" i="116"/>
  <c r="O8" i="116"/>
  <c r="Y137" i="59" s="1"/>
  <c r="M9" i="116"/>
  <c r="AG8" i="116"/>
  <c r="F22" i="116"/>
  <c r="F5" i="116" s="1"/>
  <c r="P133" i="59" s="1"/>
  <c r="F20" i="116"/>
  <c r="F4" i="116" s="1"/>
  <c r="G4" i="116"/>
  <c r="AH8" i="116"/>
  <c r="I8" i="116"/>
  <c r="W8" i="116"/>
  <c r="H8" i="116"/>
  <c r="Q8" i="116"/>
  <c r="AA137" i="59" s="1"/>
  <c r="AF8" i="116"/>
  <c r="AN55" i="106"/>
  <c r="L21" i="116"/>
  <c r="L6" i="116" s="1"/>
  <c r="O63" i="59"/>
  <c r="O68" i="59"/>
  <c r="W10" i="60"/>
  <c r="J4" i="116"/>
  <c r="K20" i="116"/>
  <c r="K4" i="116" s="1"/>
  <c r="AG20" i="116"/>
  <c r="Z9" i="116"/>
  <c r="Z8" i="116"/>
  <c r="AN23" i="116"/>
  <c r="AN7" i="116" s="1"/>
  <c r="AN21" i="116"/>
  <c r="AN6" i="116" s="1"/>
  <c r="F23" i="116"/>
  <c r="F7" i="116" s="1"/>
  <c r="I21" i="116"/>
  <c r="I6" i="116" s="1"/>
  <c r="I23" i="116"/>
  <c r="I7" i="116" s="1"/>
  <c r="X55" i="106"/>
  <c r="P36" i="101"/>
  <c r="AC60" i="59" s="1"/>
  <c r="AB132" i="59"/>
  <c r="AB138" i="59" s="1"/>
  <c r="K55" i="106"/>
  <c r="AK55" i="106"/>
  <c r="AF55" i="106"/>
  <c r="AA55" i="106"/>
  <c r="AG55" i="106"/>
  <c r="AD55" i="106"/>
  <c r="AJ55" i="106"/>
  <c r="F55" i="106"/>
  <c r="S55" i="106"/>
  <c r="G55" i="106"/>
  <c r="AB55" i="106"/>
  <c r="AE55" i="106"/>
  <c r="I55" i="106"/>
  <c r="AC55" i="106"/>
  <c r="M55" i="106"/>
  <c r="Q55" i="106"/>
  <c r="O55" i="106"/>
  <c r="P55" i="106"/>
  <c r="U5" i="116"/>
  <c r="U20" i="116"/>
  <c r="P22" i="116"/>
  <c r="P5" i="116" s="1"/>
  <c r="Z133" i="59" s="1"/>
  <c r="P20" i="116"/>
  <c r="Q132" i="59"/>
  <c r="Q137" i="59" s="1"/>
  <c r="Q60" i="59"/>
  <c r="E36" i="101"/>
  <c r="Z21" i="116"/>
  <c r="Z6" i="116" s="1"/>
  <c r="Z23" i="116"/>
  <c r="Z7" i="116" s="1"/>
  <c r="Y23" i="116"/>
  <c r="Y7" i="116" s="1"/>
  <c r="Y21" i="116"/>
  <c r="Y6" i="116" s="1"/>
  <c r="AF23" i="116"/>
  <c r="AF7" i="116" s="1"/>
  <c r="AF21" i="116"/>
  <c r="AF6" i="116" s="1"/>
  <c r="R55" i="106"/>
  <c r="J5" i="116"/>
  <c r="S23" i="116"/>
  <c r="S7" i="116" s="1"/>
  <c r="S21" i="116"/>
  <c r="S6" i="116" s="1"/>
  <c r="AA57" i="59"/>
  <c r="O33" i="101"/>
  <c r="H22" i="116"/>
  <c r="H5" i="116" s="1"/>
  <c r="H20" i="116"/>
  <c r="H4" i="116" s="1"/>
  <c r="AI21" i="116"/>
  <c r="AI6" i="116" s="1"/>
  <c r="AI23" i="116"/>
  <c r="AI7" i="116" s="1"/>
  <c r="AA56" i="59"/>
  <c r="O32" i="101"/>
  <c r="K23" i="116"/>
  <c r="K7" i="116" s="1"/>
  <c r="K21" i="116"/>
  <c r="K6" i="116" s="1"/>
  <c r="AB22" i="116"/>
  <c r="AB5" i="116" s="1"/>
  <c r="AB20" i="116"/>
  <c r="Q41" i="59"/>
  <c r="E30" i="101"/>
  <c r="AE20" i="116"/>
  <c r="AE22" i="116"/>
  <c r="AE5" i="116" s="1"/>
  <c r="AG23" i="116"/>
  <c r="AG7" i="116" s="1"/>
  <c r="AG21" i="116"/>
  <c r="AG6" i="116" s="1"/>
  <c r="H55" i="106"/>
  <c r="AE21" i="116"/>
  <c r="AE6" i="116" s="1"/>
  <c r="AE23" i="116"/>
  <c r="AE7" i="116" s="1"/>
  <c r="AA41" i="59"/>
  <c r="O30" i="101"/>
  <c r="AL55" i="106"/>
  <c r="AM7" i="116"/>
  <c r="AM21" i="116"/>
  <c r="AM6" i="116" s="1"/>
  <c r="G23" i="116"/>
  <c r="G7" i="116" s="1"/>
  <c r="G21" i="116"/>
  <c r="G6" i="116" s="1"/>
  <c r="AB21" i="116"/>
  <c r="AB6" i="116" s="1"/>
  <c r="AB23" i="116"/>
  <c r="AB7" i="116" s="1"/>
  <c r="AA23" i="116"/>
  <c r="AA7" i="116" s="1"/>
  <c r="AA21" i="116"/>
  <c r="AA6" i="116" s="1"/>
  <c r="L22" i="116"/>
  <c r="L5" i="116" s="1"/>
  <c r="L20" i="116"/>
  <c r="AC20" i="116"/>
  <c r="AC22" i="116"/>
  <c r="AC5" i="116" s="1"/>
  <c r="O22" i="116"/>
  <c r="O5" i="116" s="1"/>
  <c r="Y133" i="59" s="1"/>
  <c r="O20" i="116"/>
  <c r="J40" i="119"/>
  <c r="J167" i="119"/>
  <c r="I22" i="116"/>
  <c r="I5" i="116" s="1"/>
  <c r="I20" i="116"/>
  <c r="AD22" i="116"/>
  <c r="AD5" i="116" s="1"/>
  <c r="AD20" i="116"/>
  <c r="U21" i="116"/>
  <c r="U6" i="116" s="1"/>
  <c r="U23" i="116"/>
  <c r="U7" i="116" s="1"/>
  <c r="N55" i="106"/>
  <c r="V55" i="106"/>
  <c r="Q22" i="116"/>
  <c r="Q5" i="116" s="1"/>
  <c r="AA133" i="59" s="1"/>
  <c r="Q20" i="116"/>
  <c r="R21" i="116"/>
  <c r="R6" i="116" s="1"/>
  <c r="R7" i="116"/>
  <c r="Z20" i="116"/>
  <c r="Z22" i="116"/>
  <c r="Z5" i="116" s="1"/>
  <c r="Q55" i="59"/>
  <c r="Q42" i="59"/>
  <c r="E31" i="101"/>
  <c r="S20" i="116"/>
  <c r="S22" i="116"/>
  <c r="S5" i="116" s="1"/>
  <c r="Z55" i="106"/>
  <c r="T55" i="106"/>
  <c r="J55" i="106"/>
  <c r="AN22" i="116"/>
  <c r="AN5" i="116" s="1"/>
  <c r="AX133" i="59" s="1"/>
  <c r="AJ5" i="116"/>
  <c r="AJ20" i="116"/>
  <c r="M21" i="116"/>
  <c r="M6" i="116" s="1"/>
  <c r="M23" i="116"/>
  <c r="M7" i="116" s="1"/>
  <c r="AA58" i="59"/>
  <c r="O34" i="101"/>
  <c r="X21" i="116"/>
  <c r="X6" i="116" s="1"/>
  <c r="X23" i="116"/>
  <c r="X7" i="116" s="1"/>
  <c r="Q40" i="59"/>
  <c r="E29" i="101"/>
  <c r="AH23" i="116"/>
  <c r="AH7" i="116" s="1"/>
  <c r="AH21" i="116"/>
  <c r="AH6" i="116" s="1"/>
  <c r="Q56" i="59"/>
  <c r="E32" i="101"/>
  <c r="Q23" i="116"/>
  <c r="Q7" i="116" s="1"/>
  <c r="Q21" i="116"/>
  <c r="Q6" i="116" s="1"/>
  <c r="M5" i="101"/>
  <c r="Z38" i="59"/>
  <c r="N27" i="101"/>
  <c r="Y55" i="106"/>
  <c r="AF22" i="116"/>
  <c r="AF5" i="116" s="1"/>
  <c r="AF20" i="116"/>
  <c r="W55" i="106"/>
  <c r="O23" i="116"/>
  <c r="O7" i="116" s="1"/>
  <c r="O21" i="116"/>
  <c r="O6" i="116" s="1"/>
  <c r="AM20" i="116"/>
  <c r="AK23" i="116"/>
  <c r="AK7" i="116" s="1"/>
  <c r="AK21" i="116"/>
  <c r="AK6" i="116" s="1"/>
  <c r="AL23" i="116"/>
  <c r="AL7" i="116" s="1"/>
  <c r="AL21" i="116"/>
  <c r="AL6" i="116" s="1"/>
  <c r="AA40" i="59"/>
  <c r="O29" i="101"/>
  <c r="P21" i="116"/>
  <c r="P6" i="116" s="1"/>
  <c r="P23" i="116"/>
  <c r="P7" i="116" s="1"/>
  <c r="AA22" i="116"/>
  <c r="AA5" i="116" s="1"/>
  <c r="AA20" i="116"/>
  <c r="X20" i="116"/>
  <c r="X22" i="116"/>
  <c r="X5" i="116" s="1"/>
  <c r="AC21" i="116"/>
  <c r="AC6" i="116" s="1"/>
  <c r="AC23" i="116"/>
  <c r="AC7" i="116" s="1"/>
  <c r="T22" i="116"/>
  <c r="T5" i="116" s="1"/>
  <c r="T20" i="116"/>
  <c r="M22" i="116"/>
  <c r="M5" i="116" s="1"/>
  <c r="M20" i="116"/>
  <c r="M4" i="116" s="1"/>
  <c r="V21" i="116"/>
  <c r="V6" i="116" s="1"/>
  <c r="V23" i="116"/>
  <c r="V7" i="116" s="1"/>
  <c r="AA136" i="59"/>
  <c r="O37" i="101"/>
  <c r="J21" i="116"/>
  <c r="J6" i="116" s="1"/>
  <c r="J23" i="116"/>
  <c r="J7" i="116" s="1"/>
  <c r="AH55" i="106"/>
  <c r="AA59" i="59"/>
  <c r="O35" i="101"/>
  <c r="AJ23" i="116"/>
  <c r="AJ7" i="116" s="1"/>
  <c r="AJ21" i="116"/>
  <c r="AJ6" i="116" s="1"/>
  <c r="V22" i="116"/>
  <c r="V5" i="116" s="1"/>
  <c r="V20" i="116"/>
  <c r="AH22" i="116"/>
  <c r="AH5" i="116" s="1"/>
  <c r="AH20" i="116"/>
  <c r="Q58" i="59"/>
  <c r="E34" i="101"/>
  <c r="Q57" i="59"/>
  <c r="E33" i="101"/>
  <c r="Q136" i="59"/>
  <c r="E37" i="101"/>
  <c r="Q59" i="59"/>
  <c r="E35" i="101"/>
  <c r="W22" i="116"/>
  <c r="W5" i="116" s="1"/>
  <c r="W20" i="116"/>
  <c r="AI55" i="106"/>
  <c r="N20" i="116"/>
  <c r="N22" i="116"/>
  <c r="N5" i="116" s="1"/>
  <c r="P38" i="59"/>
  <c r="C5" i="101"/>
  <c r="D27" i="101"/>
  <c r="T21" i="116"/>
  <c r="T6" i="116" s="1"/>
  <c r="T23" i="116"/>
  <c r="T7" i="116" s="1"/>
  <c r="AI22" i="116"/>
  <c r="AI5" i="116" s="1"/>
  <c r="AI20" i="116"/>
  <c r="AA42" i="59"/>
  <c r="AA55" i="59"/>
  <c r="O31" i="101"/>
  <c r="Q39" i="59"/>
  <c r="E28" i="101"/>
  <c r="AL22" i="116"/>
  <c r="AL5" i="116" s="1"/>
  <c r="AL20" i="116"/>
  <c r="AD21" i="116"/>
  <c r="AD6" i="116" s="1"/>
  <c r="AD23" i="116"/>
  <c r="AD7" i="116" s="1"/>
  <c r="AA39" i="59"/>
  <c r="O28" i="101"/>
  <c r="L55" i="106"/>
  <c r="R20" i="116"/>
  <c r="R22" i="116"/>
  <c r="R5" i="116" s="1"/>
  <c r="H7" i="116"/>
  <c r="H21" i="116"/>
  <c r="H6" i="116" s="1"/>
  <c r="U55" i="106"/>
  <c r="W23" i="116"/>
  <c r="W7" i="116" s="1"/>
  <c r="W21" i="116"/>
  <c r="W6" i="116" s="1"/>
  <c r="Y22" i="116"/>
  <c r="Y5" i="116" s="1"/>
  <c r="Y20" i="116"/>
  <c r="AM55" i="106"/>
  <c r="G22" i="116"/>
  <c r="G5" i="116" s="1"/>
  <c r="AK22" i="116"/>
  <c r="AK5" i="116" s="1"/>
  <c r="AK20" i="116"/>
  <c r="AS38" i="119" l="1"/>
  <c r="AS268" i="119" s="1"/>
  <c r="AI46" i="59"/>
  <c r="R46" i="59"/>
  <c r="AM46" i="59"/>
  <c r="AN46" i="59"/>
  <c r="AH46" i="59"/>
  <c r="V46" i="59"/>
  <c r="AR46" i="59"/>
  <c r="S46" i="59"/>
  <c r="AQ46" i="59"/>
  <c r="AO46" i="59"/>
  <c r="AK46" i="59"/>
  <c r="AX46" i="59"/>
  <c r="AF46" i="59"/>
  <c r="AV46" i="59"/>
  <c r="AL46" i="59"/>
  <c r="AP46" i="59"/>
  <c r="X46" i="59"/>
  <c r="Z46" i="59"/>
  <c r="Q46" i="59"/>
  <c r="AU46" i="59"/>
  <c r="AE46" i="59"/>
  <c r="AG46" i="59"/>
  <c r="T46" i="59"/>
  <c r="Y46" i="59"/>
  <c r="AC46" i="59"/>
  <c r="U46" i="59"/>
  <c r="AS46" i="59"/>
  <c r="AD46" i="59"/>
  <c r="AB46" i="59"/>
  <c r="AA46" i="59"/>
  <c r="P46" i="59"/>
  <c r="AW46" i="59"/>
  <c r="AJ46" i="59"/>
  <c r="W46" i="59"/>
  <c r="AT46" i="59"/>
  <c r="J92" i="119"/>
  <c r="P10" i="60"/>
  <c r="AK28" i="60"/>
  <c r="AW17" i="60"/>
  <c r="AB17" i="60"/>
  <c r="AW10" i="60"/>
  <c r="T28" i="60"/>
  <c r="AW28" i="60"/>
  <c r="AQ21" i="60"/>
  <c r="AA11" i="60"/>
  <c r="P22" i="60"/>
  <c r="AT17" i="60"/>
  <c r="AG17" i="60"/>
  <c r="Q17" i="60"/>
  <c r="AE17" i="60"/>
  <c r="AX10" i="60"/>
  <c r="R10" i="60"/>
  <c r="AV17" i="60"/>
  <c r="AF17" i="60"/>
  <c r="AI10" i="60"/>
  <c r="AC21" i="60"/>
  <c r="AH28" i="60"/>
  <c r="AM21" i="60"/>
  <c r="AX21" i="60"/>
  <c r="AQ28" i="60"/>
  <c r="Q28" i="60"/>
  <c r="AC28" i="60"/>
  <c r="AV21" i="60"/>
  <c r="AW21" i="60"/>
  <c r="O140" i="59"/>
  <c r="P17" i="60"/>
  <c r="AT28" i="60"/>
  <c r="AI28" i="60"/>
  <c r="AD21" i="60"/>
  <c r="AV28" i="60"/>
  <c r="Z11" i="60"/>
  <c r="X10" i="60"/>
  <c r="AS28" i="60"/>
  <c r="AO28" i="60"/>
  <c r="S21" i="60"/>
  <c r="AU10" i="60"/>
  <c r="AC17" i="60"/>
  <c r="Z10" i="60"/>
  <c r="S17" i="60"/>
  <c r="AN10" i="60"/>
  <c r="AI17" i="60"/>
  <c r="AD17" i="60"/>
  <c r="U10" i="60"/>
  <c r="AG21" i="60"/>
  <c r="AU28" i="60"/>
  <c r="P21" i="60"/>
  <c r="Z21" i="60"/>
  <c r="AG28" i="60"/>
  <c r="Y28" i="60"/>
  <c r="AS21" i="60"/>
  <c r="AB21" i="60"/>
  <c r="R21" i="60"/>
  <c r="Z22" i="60"/>
  <c r="W17" i="60"/>
  <c r="AL17" i="60"/>
  <c r="R17" i="60"/>
  <c r="AP17" i="60"/>
  <c r="AI21" i="60"/>
  <c r="AX11" i="60"/>
  <c r="AE10" i="60"/>
  <c r="U17" i="60"/>
  <c r="AV10" i="60"/>
  <c r="V17" i="60"/>
  <c r="AH17" i="60"/>
  <c r="AK10" i="60"/>
  <c r="AO10" i="60"/>
  <c r="Q10" i="60"/>
  <c r="AF21" i="60"/>
  <c r="T21" i="60"/>
  <c r="AD28" i="60"/>
  <c r="AO21" i="60"/>
  <c r="AH21" i="60"/>
  <c r="AJ28" i="60"/>
  <c r="AA21" i="60"/>
  <c r="AB28" i="60"/>
  <c r="X21" i="60"/>
  <c r="P60" i="60"/>
  <c r="S10" i="60"/>
  <c r="AR17" i="60"/>
  <c r="AP21" i="60"/>
  <c r="AL21" i="60"/>
  <c r="AJ17" i="60"/>
  <c r="O69" i="60"/>
  <c r="AH10" i="60"/>
  <c r="AU17" i="60"/>
  <c r="AS10" i="60"/>
  <c r="AS17" i="60"/>
  <c r="AP10" i="60"/>
  <c r="AC10" i="60"/>
  <c r="AG10" i="60"/>
  <c r="AD10" i="60"/>
  <c r="O28" i="60"/>
  <c r="W21" i="60"/>
  <c r="AJ21" i="60"/>
  <c r="AX28" i="60"/>
  <c r="AE21" i="60"/>
  <c r="AR21" i="60"/>
  <c r="Y21" i="60"/>
  <c r="AN28" i="60"/>
  <c r="AE28" i="60"/>
  <c r="AA60" i="60"/>
  <c r="AQ10" i="60"/>
  <c r="AN17" i="60"/>
  <c r="R28" i="60"/>
  <c r="AM28" i="60"/>
  <c r="AQ17" i="60"/>
  <c r="X28" i="60"/>
  <c r="AP28" i="60"/>
  <c r="Y11" i="60"/>
  <c r="AB60" i="60"/>
  <c r="T10" i="60"/>
  <c r="Y10" i="60"/>
  <c r="AB10" i="60"/>
  <c r="T17" i="60"/>
  <c r="X17" i="60"/>
  <c r="Z17" i="60"/>
  <c r="AA10" i="60"/>
  <c r="AF10" i="60"/>
  <c r="O21" i="60"/>
  <c r="Q21" i="60"/>
  <c r="W28" i="60"/>
  <c r="AR28" i="60"/>
  <c r="Z28" i="60"/>
  <c r="V28" i="60"/>
  <c r="U21" i="60"/>
  <c r="AN21" i="60"/>
  <c r="AL28" i="60"/>
  <c r="Z60" i="60"/>
  <c r="U239" i="119" s="1"/>
  <c r="AM17" i="60"/>
  <c r="AA22" i="60"/>
  <c r="AX17" i="60"/>
  <c r="Q22" i="60"/>
  <c r="AO17" i="60"/>
  <c r="AJ10" i="60"/>
  <c r="AR10" i="60"/>
  <c r="AK17" i="60"/>
  <c r="AM10" i="60"/>
  <c r="AA17" i="60"/>
  <c r="Y17" i="60"/>
  <c r="AT10" i="60"/>
  <c r="V10" i="60"/>
  <c r="AF28" i="60"/>
  <c r="AA28" i="60"/>
  <c r="AU21" i="60"/>
  <c r="U28" i="60"/>
  <c r="P28" i="60"/>
  <c r="AT21" i="60"/>
  <c r="V21" i="60"/>
  <c r="S28" i="60"/>
  <c r="AK21" i="60"/>
  <c r="P11" i="60"/>
  <c r="Q138" i="59"/>
  <c r="L38" i="119" s="1"/>
  <c r="T38" i="119"/>
  <c r="T92" i="119" s="1"/>
  <c r="Y22" i="60"/>
  <c r="O22" i="60"/>
  <c r="J239" i="119"/>
  <c r="AB137" i="59"/>
  <c r="Q77" i="61"/>
  <c r="AS239" i="119"/>
  <c r="AZ33" i="61"/>
  <c r="T239" i="119"/>
  <c r="V38" i="119"/>
  <c r="V268" i="119" s="1"/>
  <c r="O64" i="59"/>
  <c r="AZ77" i="61"/>
  <c r="K38" i="119"/>
  <c r="K268" i="119" s="1"/>
  <c r="U38" i="119"/>
  <c r="U92" i="119" s="1"/>
  <c r="AA77" i="61"/>
  <c r="Q20" i="61"/>
  <c r="AC132" i="59"/>
  <c r="AC133" i="59" s="1"/>
  <c r="Q36" i="101"/>
  <c r="AD132" i="59" s="1"/>
  <c r="J94" i="119"/>
  <c r="J181" i="119" s="1"/>
  <c r="Q133" i="59"/>
  <c r="AB133" i="59"/>
  <c r="V4" i="116"/>
  <c r="R4" i="116"/>
  <c r="AL4" i="116"/>
  <c r="N4" i="116"/>
  <c r="AH4" i="116"/>
  <c r="AK4" i="116"/>
  <c r="Y4" i="116"/>
  <c r="AG4" i="116"/>
  <c r="AI4" i="116"/>
  <c r="Q79" i="59"/>
  <c r="W4" i="116"/>
  <c r="AA4" i="116"/>
  <c r="X4" i="116"/>
  <c r="W79" i="59"/>
  <c r="T4" i="116"/>
  <c r="AM4" i="116"/>
  <c r="AN4" i="116"/>
  <c r="AF4" i="116"/>
  <c r="O4" i="116"/>
  <c r="U79" i="59"/>
  <c r="U77" i="59"/>
  <c r="R136" i="59"/>
  <c r="F37" i="101"/>
  <c r="AB40" i="59"/>
  <c r="P29" i="101"/>
  <c r="AB58" i="59"/>
  <c r="P34" i="101"/>
  <c r="AS36" i="119"/>
  <c r="T36" i="119"/>
  <c r="K36" i="119"/>
  <c r="AB56" i="59"/>
  <c r="P32" i="101"/>
  <c r="AB57" i="59"/>
  <c r="P33" i="101"/>
  <c r="U4" i="116"/>
  <c r="V36" i="119"/>
  <c r="U36" i="119"/>
  <c r="Q38" i="59"/>
  <c r="D5" i="101"/>
  <c r="E27" i="101"/>
  <c r="R59" i="59"/>
  <c r="F35" i="101"/>
  <c r="R57" i="59"/>
  <c r="F33" i="101"/>
  <c r="AB136" i="59"/>
  <c r="P37" i="101"/>
  <c r="N5" i="101"/>
  <c r="AA38" i="59"/>
  <c r="O27" i="101"/>
  <c r="R56" i="59"/>
  <c r="F32" i="101"/>
  <c r="AJ4" i="116"/>
  <c r="S4" i="116"/>
  <c r="R42" i="59"/>
  <c r="R55" i="59"/>
  <c r="F31" i="101"/>
  <c r="Z4" i="116"/>
  <c r="AC4" i="116"/>
  <c r="AB41" i="59"/>
  <c r="P30" i="101"/>
  <c r="R41" i="59"/>
  <c r="F30" i="101"/>
  <c r="R60" i="59"/>
  <c r="F36" i="101"/>
  <c r="R132" i="59"/>
  <c r="AB39" i="59"/>
  <c r="P28" i="101"/>
  <c r="R58" i="59"/>
  <c r="F34" i="101"/>
  <c r="R40" i="59"/>
  <c r="F29" i="101"/>
  <c r="R39" i="59"/>
  <c r="F28" i="101"/>
  <c r="AB55" i="59"/>
  <c r="AB42" i="59"/>
  <c r="P31" i="101"/>
  <c r="AB59" i="59"/>
  <c r="P35" i="101"/>
  <c r="Q4" i="116"/>
  <c r="AD4" i="116"/>
  <c r="I4" i="116"/>
  <c r="L4" i="116"/>
  <c r="AE4" i="116"/>
  <c r="AB4" i="116"/>
  <c r="P4" i="116"/>
  <c r="AS92" i="119" l="1"/>
  <c r="AD77" i="61"/>
  <c r="AD74" i="62" s="1"/>
  <c r="W239" i="119"/>
  <c r="T268" i="119"/>
  <c r="V239" i="119"/>
  <c r="AC77" i="61"/>
  <c r="AC74" i="62" s="1"/>
  <c r="AC79" i="62" s="1"/>
  <c r="V21" i="119" s="1"/>
  <c r="AA33" i="61"/>
  <c r="AM12" i="60"/>
  <c r="Y23" i="60"/>
  <c r="AB11" i="60"/>
  <c r="Z12" i="60"/>
  <c r="AO12" i="60"/>
  <c r="R12" i="60"/>
  <c r="AB12" i="60"/>
  <c r="O23" i="60"/>
  <c r="AM23" i="60"/>
  <c r="AO23" i="60"/>
  <c r="AF23" i="60"/>
  <c r="AT23" i="60"/>
  <c r="AA12" i="60"/>
  <c r="AE12" i="60"/>
  <c r="Z23" i="60"/>
  <c r="S23" i="60"/>
  <c r="AB77" i="61"/>
  <c r="AD12" i="60"/>
  <c r="AX23" i="60"/>
  <c r="AJ12" i="60"/>
  <c r="AT12" i="60"/>
  <c r="AH23" i="60"/>
  <c r="AB23" i="60"/>
  <c r="AC23" i="60"/>
  <c r="AE34" i="61" s="1"/>
  <c r="AW23" i="60"/>
  <c r="Q11" i="60"/>
  <c r="AV12" i="60"/>
  <c r="AG12" i="60"/>
  <c r="AI23" i="60"/>
  <c r="AN23" i="60"/>
  <c r="AS12" i="60"/>
  <c r="AW12" i="60"/>
  <c r="AP23" i="60"/>
  <c r="W12" i="60"/>
  <c r="AS23" i="60"/>
  <c r="AV23" i="60"/>
  <c r="AI12" i="60"/>
  <c r="AQ12" i="60"/>
  <c r="V12" i="60"/>
  <c r="AL12" i="60"/>
  <c r="V23" i="60"/>
  <c r="AR23" i="60"/>
  <c r="AQ23" i="60"/>
  <c r="AJ23" i="60"/>
  <c r="AX12" i="60"/>
  <c r="Q60" i="60"/>
  <c r="S77" i="61" s="1"/>
  <c r="AP12" i="60"/>
  <c r="T23" i="60"/>
  <c r="Q33" i="61"/>
  <c r="AD23" i="60"/>
  <c r="AF12" i="60"/>
  <c r="AE23" i="60"/>
  <c r="T12" i="60"/>
  <c r="U12" i="60"/>
  <c r="P23" i="60"/>
  <c r="S12" i="60"/>
  <c r="AC12" i="60"/>
  <c r="Y12" i="60"/>
  <c r="AG23" i="60"/>
  <c r="W23" i="60"/>
  <c r="AU23" i="60"/>
  <c r="AA23" i="60"/>
  <c r="R77" i="61"/>
  <c r="AB22" i="60"/>
  <c r="P12" i="60"/>
  <c r="AL23" i="60"/>
  <c r="AH12" i="60"/>
  <c r="U23" i="60"/>
  <c r="AC11" i="60"/>
  <c r="AR12" i="60"/>
  <c r="AU12" i="60"/>
  <c r="AK12" i="60"/>
  <c r="AN12" i="60"/>
  <c r="Q12" i="60"/>
  <c r="X12" i="60"/>
  <c r="X23" i="60"/>
  <c r="Q23" i="60"/>
  <c r="AK23" i="60"/>
  <c r="R23" i="60"/>
  <c r="K239" i="119"/>
  <c r="Q19" i="62"/>
  <c r="U51" i="60"/>
  <c r="AC137" i="59"/>
  <c r="AC138" i="59"/>
  <c r="R137" i="59"/>
  <c r="R138" i="59"/>
  <c r="W38" i="119"/>
  <c r="W268" i="119" s="1"/>
  <c r="AD137" i="59"/>
  <c r="AD138" i="59"/>
  <c r="R39" i="61"/>
  <c r="K92" i="119"/>
  <c r="AA74" i="62"/>
  <c r="T221" i="119" s="1"/>
  <c r="R12" i="61"/>
  <c r="AE164" i="119"/>
  <c r="AK39" i="61"/>
  <c r="AE166" i="119"/>
  <c r="U238" i="119"/>
  <c r="Q13" i="61"/>
  <c r="AN164" i="119"/>
  <c r="X233" i="119"/>
  <c r="AB238" i="119"/>
  <c r="AO41" i="61"/>
  <c r="AA20" i="61"/>
  <c r="AI238" i="119"/>
  <c r="AC12" i="61"/>
  <c r="V38" i="60"/>
  <c r="AS166" i="119"/>
  <c r="AO20" i="61"/>
  <c r="AA12" i="61"/>
  <c r="Y166" i="119"/>
  <c r="Z38" i="60"/>
  <c r="AZ74" i="62"/>
  <c r="AZ79" i="62" s="1"/>
  <c r="AS21" i="119" s="1"/>
  <c r="AU41" i="61"/>
  <c r="AF238" i="119"/>
  <c r="AB12" i="61"/>
  <c r="AZ12" i="61"/>
  <c r="AP161" i="119"/>
  <c r="Z39" i="61"/>
  <c r="S238" i="119"/>
  <c r="AJ20" i="61"/>
  <c r="O166" i="119"/>
  <c r="Q74" i="62"/>
  <c r="Q79" i="62" s="1"/>
  <c r="U268" i="119"/>
  <c r="AX39" i="61"/>
  <c r="AQ16" i="61"/>
  <c r="U104" i="59"/>
  <c r="AS161" i="119"/>
  <c r="AW16" i="61"/>
  <c r="S38" i="61"/>
  <c r="AX38" i="61"/>
  <c r="AF236" i="119"/>
  <c r="AM16" i="61"/>
  <c r="M236" i="119"/>
  <c r="AD16" i="61"/>
  <c r="AB33" i="61"/>
  <c r="R33" i="61"/>
  <c r="S33" i="61"/>
  <c r="V92" i="119"/>
  <c r="J114" i="119"/>
  <c r="J415" i="119" s="1"/>
  <c r="E40" i="92" s="1"/>
  <c r="AC33" i="61"/>
  <c r="V37" i="61"/>
  <c r="AB16" i="61"/>
  <c r="AS164" i="119"/>
  <c r="AB11" i="61"/>
  <c r="AG32" i="61"/>
  <c r="AS16" i="61"/>
  <c r="Z236" i="119"/>
  <c r="AA164" i="119"/>
  <c r="AL32" i="61"/>
  <c r="AO233" i="119"/>
  <c r="U91" i="59"/>
  <c r="AP77" i="59"/>
  <c r="AI79" i="59"/>
  <c r="AU77" i="59"/>
  <c r="AH79" i="59"/>
  <c r="AR77" i="59"/>
  <c r="AB77" i="59"/>
  <c r="AK79" i="59"/>
  <c r="X79" i="59"/>
  <c r="AF77" i="59"/>
  <c r="AG79" i="59"/>
  <c r="AX79" i="59"/>
  <c r="AV77" i="59"/>
  <c r="AW79" i="59"/>
  <c r="Y79" i="59"/>
  <c r="AS77" i="59"/>
  <c r="AD79" i="59"/>
  <c r="AQ79" i="59"/>
  <c r="AY37" i="61"/>
  <c r="AA32" i="61"/>
  <c r="AD11" i="61"/>
  <c r="U233" i="119"/>
  <c r="Y37" i="61"/>
  <c r="AP37" i="61"/>
  <c r="AG164" i="119"/>
  <c r="AJ233" i="119"/>
  <c r="AH236" i="119"/>
  <c r="AY16" i="61"/>
  <c r="AY11" i="61"/>
  <c r="P134" i="59"/>
  <c r="W20" i="61"/>
  <c r="T41" i="61"/>
  <c r="L36" i="119"/>
  <c r="L90" i="119" s="1"/>
  <c r="X36" i="119"/>
  <c r="X179" i="119" s="1"/>
  <c r="W36" i="119"/>
  <c r="W179" i="119" s="1"/>
  <c r="J36" i="119"/>
  <c r="J90" i="119" s="1"/>
  <c r="J179" i="119" s="1"/>
  <c r="T32" i="61"/>
  <c r="R36" i="101"/>
  <c r="AE60" i="59" s="1"/>
  <c r="AD60" i="59"/>
  <c r="J19" i="119"/>
  <c r="L233" i="119"/>
  <c r="AG37" i="61"/>
  <c r="AS79" i="59"/>
  <c r="AY32" i="61"/>
  <c r="W77" i="59"/>
  <c r="AK77" i="59"/>
  <c r="AP79" i="59"/>
  <c r="AX37" i="61"/>
  <c r="AQ236" i="119"/>
  <c r="Q77" i="59"/>
  <c r="AV79" i="59"/>
  <c r="AB79" i="59"/>
  <c r="AI77" i="59"/>
  <c r="O161" i="119"/>
  <c r="AW77" i="59"/>
  <c r="Q134" i="59"/>
  <c r="AU79" i="59"/>
  <c r="AF79" i="59"/>
  <c r="V16" i="61"/>
  <c r="AG77" i="59"/>
  <c r="AB134" i="59"/>
  <c r="P79" i="59"/>
  <c r="AH77" i="59"/>
  <c r="AD77" i="59"/>
  <c r="P77" i="59"/>
  <c r="Y77" i="59"/>
  <c r="Y134" i="59"/>
  <c r="AQ77" i="59"/>
  <c r="AD20" i="61"/>
  <c r="AX77" i="59"/>
  <c r="AR79" i="59"/>
  <c r="AX134" i="59"/>
  <c r="V11" i="61"/>
  <c r="X77" i="59"/>
  <c r="W164" i="119"/>
  <c r="O164" i="119"/>
  <c r="Z134" i="59"/>
  <c r="Z79" i="59"/>
  <c r="Z77" i="59"/>
  <c r="AL79" i="59"/>
  <c r="AL77" i="59"/>
  <c r="V79" i="59"/>
  <c r="V77" i="59"/>
  <c r="T79" i="59"/>
  <c r="T77" i="59"/>
  <c r="AN79" i="59"/>
  <c r="AN77" i="59"/>
  <c r="AC55" i="59"/>
  <c r="AC42" i="59"/>
  <c r="Q31" i="101"/>
  <c r="AC39" i="59"/>
  <c r="Q28" i="101"/>
  <c r="R133" i="59"/>
  <c r="AM77" i="59"/>
  <c r="AM79" i="59"/>
  <c r="G32" i="101"/>
  <c r="S56" i="59"/>
  <c r="E5" i="101"/>
  <c r="R38" i="59"/>
  <c r="F27" i="101"/>
  <c r="V179" i="119"/>
  <c r="V90" i="119"/>
  <c r="AE79" i="59"/>
  <c r="AE77" i="59"/>
  <c r="R79" i="59"/>
  <c r="R134" i="59"/>
  <c r="R77" i="59"/>
  <c r="AS90" i="119"/>
  <c r="AS179" i="119"/>
  <c r="AD133" i="59"/>
  <c r="AC40" i="59"/>
  <c r="Q29" i="101"/>
  <c r="S136" i="59"/>
  <c r="G37" i="101"/>
  <c r="AO79" i="59"/>
  <c r="AO77" i="59"/>
  <c r="AD134" i="59"/>
  <c r="S41" i="59"/>
  <c r="G30" i="101"/>
  <c r="AC41" i="59"/>
  <c r="Q30" i="101"/>
  <c r="AC79" i="59"/>
  <c r="AC77" i="59"/>
  <c r="AC134" i="59"/>
  <c r="AT79" i="59"/>
  <c r="AT77" i="59"/>
  <c r="S57" i="59"/>
  <c r="G33" i="101"/>
  <c r="W93" i="59"/>
  <c r="AC56" i="59"/>
  <c r="Q32" i="101"/>
  <c r="U46" i="60"/>
  <c r="U47" i="60"/>
  <c r="U80" i="59"/>
  <c r="U49" i="60"/>
  <c r="U102" i="59"/>
  <c r="AC59" i="59"/>
  <c r="Q35" i="101"/>
  <c r="AJ79" i="59"/>
  <c r="AJ77" i="59"/>
  <c r="O5" i="101"/>
  <c r="AB38" i="59"/>
  <c r="P27" i="101"/>
  <c r="AC136" i="59"/>
  <c r="Q37" i="101"/>
  <c r="AC57" i="59"/>
  <c r="Q33" i="101"/>
  <c r="K179" i="119"/>
  <c r="K90" i="119"/>
  <c r="U93" i="59"/>
  <c r="S79" i="59"/>
  <c r="S77" i="59"/>
  <c r="AA79" i="59"/>
  <c r="AA134" i="59"/>
  <c r="AA77" i="59"/>
  <c r="S39" i="59"/>
  <c r="G28" i="101"/>
  <c r="Q93" i="59"/>
  <c r="S40" i="59"/>
  <c r="G29" i="101"/>
  <c r="S58" i="59"/>
  <c r="G34" i="101"/>
  <c r="S60" i="59"/>
  <c r="S132" i="59"/>
  <c r="G36" i="101"/>
  <c r="S42" i="59"/>
  <c r="S55" i="59"/>
  <c r="G31" i="101"/>
  <c r="S59" i="59"/>
  <c r="G35" i="101"/>
  <c r="U179" i="119"/>
  <c r="U90" i="119"/>
  <c r="T90" i="119"/>
  <c r="T179" i="119"/>
  <c r="AC58" i="59"/>
  <c r="Q34" i="101"/>
  <c r="AG233" i="119"/>
  <c r="L268" i="119"/>
  <c r="L92" i="119"/>
  <c r="AE132" i="59" l="1"/>
  <c r="AE134" i="59" s="1"/>
  <c r="S36" i="101"/>
  <c r="J73" i="119"/>
  <c r="F18" i="138"/>
  <c r="V75" i="119"/>
  <c r="R20" i="138"/>
  <c r="AS75" i="119"/>
  <c r="AO20" i="138"/>
  <c r="Z34" i="61"/>
  <c r="Z32" i="62" s="1"/>
  <c r="AX36" i="62"/>
  <c r="AB11" i="62"/>
  <c r="U143" i="119" s="1"/>
  <c r="Q24" i="61"/>
  <c r="S36" i="62"/>
  <c r="R74" i="62"/>
  <c r="R79" i="62" s="1"/>
  <c r="K21" i="119" s="1"/>
  <c r="V34" i="61"/>
  <c r="V46" i="61" s="1"/>
  <c r="AR34" i="61"/>
  <c r="AK234" i="119"/>
  <c r="M38" i="119"/>
  <c r="M268" i="119" s="1"/>
  <c r="Y38" i="119"/>
  <c r="Y92" i="119" s="1"/>
  <c r="AG234" i="119"/>
  <c r="X38" i="119"/>
  <c r="X92" i="119" s="1"/>
  <c r="R60" i="60"/>
  <c r="AC60" i="60"/>
  <c r="V17" i="62"/>
  <c r="AD11" i="60"/>
  <c r="AX37" i="62"/>
  <c r="Z37" i="62"/>
  <c r="Q12" i="62"/>
  <c r="AC22" i="60"/>
  <c r="AB74" i="62"/>
  <c r="AK37" i="62"/>
  <c r="R37" i="62"/>
  <c r="R11" i="60"/>
  <c r="AD33" i="61"/>
  <c r="AD60" i="60"/>
  <c r="L239" i="119"/>
  <c r="W92" i="119"/>
  <c r="R22" i="60"/>
  <c r="T34" i="61"/>
  <c r="AU17" i="62"/>
  <c r="AD22" i="60"/>
  <c r="AF33" i="61" s="1"/>
  <c r="AH51" i="60"/>
  <c r="AA51" i="60"/>
  <c r="AC51" i="60"/>
  <c r="AE51" i="60"/>
  <c r="AD51" i="60"/>
  <c r="AV51" i="60"/>
  <c r="Z51" i="60"/>
  <c r="AU51" i="60"/>
  <c r="S51" i="60"/>
  <c r="AM51" i="60"/>
  <c r="AX51" i="60"/>
  <c r="AK51" i="60"/>
  <c r="T51" i="60"/>
  <c r="AI51" i="60"/>
  <c r="W51" i="60"/>
  <c r="AQ93" i="59"/>
  <c r="AO51" i="60"/>
  <c r="AQ51" i="60"/>
  <c r="AG51" i="60"/>
  <c r="AT51" i="60"/>
  <c r="R51" i="60"/>
  <c r="V51" i="60"/>
  <c r="AK93" i="59"/>
  <c r="AW51" i="60"/>
  <c r="X51" i="60"/>
  <c r="Y51" i="60"/>
  <c r="Q51" i="60"/>
  <c r="Y93" i="59"/>
  <c r="AB51" i="60"/>
  <c r="AN51" i="60"/>
  <c r="AJ51" i="60"/>
  <c r="AL51" i="60"/>
  <c r="P51" i="60"/>
  <c r="AW93" i="59"/>
  <c r="AR51" i="60"/>
  <c r="S134" i="59"/>
  <c r="S138" i="59"/>
  <c r="K236" i="119"/>
  <c r="AE138" i="59"/>
  <c r="AZ11" i="61"/>
  <c r="AZ11" i="62" s="1"/>
  <c r="T166" i="119"/>
  <c r="R37" i="61"/>
  <c r="R38" i="61"/>
  <c r="AN238" i="119"/>
  <c r="V20" i="61"/>
  <c r="AL20" i="61"/>
  <c r="S236" i="119"/>
  <c r="AM41" i="61"/>
  <c r="Z41" i="61"/>
  <c r="T37" i="61"/>
  <c r="S37" i="61"/>
  <c r="AP38" i="60"/>
  <c r="AR38" i="60"/>
  <c r="AR102" i="59"/>
  <c r="AR49" i="60"/>
  <c r="AR67" i="60" s="1"/>
  <c r="T164" i="119"/>
  <c r="AR47" i="60"/>
  <c r="AR46" i="60"/>
  <c r="AU16" i="61"/>
  <c r="AR20" i="61"/>
  <c r="AH164" i="119"/>
  <c r="AP164" i="119"/>
  <c r="AA16" i="61"/>
  <c r="AH166" i="119"/>
  <c r="AO16" i="61"/>
  <c r="AF164" i="119"/>
  <c r="U161" i="119"/>
  <c r="AS221" i="119"/>
  <c r="U16" i="61"/>
  <c r="Z37" i="61"/>
  <c r="Z35" i="62" s="1"/>
  <c r="AE32" i="61"/>
  <c r="N164" i="119"/>
  <c r="AX36" i="60"/>
  <c r="Z38" i="61"/>
  <c r="Z36" i="62" s="1"/>
  <c r="AM38" i="60"/>
  <c r="AC11" i="61"/>
  <c r="AC11" i="62" s="1"/>
  <c r="AK37" i="61"/>
  <c r="AB20" i="61"/>
  <c r="S233" i="119"/>
  <c r="AK11" i="61"/>
  <c r="AD236" i="119"/>
  <c r="AJ164" i="119"/>
  <c r="AW11" i="61"/>
  <c r="U166" i="119"/>
  <c r="AD161" i="119"/>
  <c r="AK38" i="61"/>
  <c r="AB41" i="61"/>
  <c r="AR166" i="119"/>
  <c r="AA166" i="119"/>
  <c r="AE12" i="61"/>
  <c r="AE161" i="119"/>
  <c r="O236" i="119"/>
  <c r="S12" i="61"/>
  <c r="AF49" i="60"/>
  <c r="AF51" i="60"/>
  <c r="AP102" i="59"/>
  <c r="AP51" i="60"/>
  <c r="AH20" i="61"/>
  <c r="AP41" i="61"/>
  <c r="AZ20" i="61"/>
  <c r="T36" i="60"/>
  <c r="AJ32" i="60"/>
  <c r="AS49" i="60"/>
  <c r="AS51" i="60"/>
  <c r="Q32" i="61"/>
  <c r="S74" i="62"/>
  <c r="S79" i="62" s="1"/>
  <c r="L21" i="119" s="1"/>
  <c r="AL16" i="61"/>
  <c r="AL11" i="61"/>
  <c r="AD12" i="61"/>
  <c r="AU39" i="62"/>
  <c r="AM36" i="60"/>
  <c r="S41" i="61"/>
  <c r="AS32" i="60"/>
  <c r="T38" i="60"/>
  <c r="AN161" i="119"/>
  <c r="AU11" i="61"/>
  <c r="O238" i="119"/>
  <c r="AS38" i="60"/>
  <c r="W238" i="119"/>
  <c r="AM166" i="119"/>
  <c r="AR32" i="61"/>
  <c r="AX34" i="61"/>
  <c r="AX32" i="62" s="1"/>
  <c r="AU20" i="61"/>
  <c r="AK233" i="119"/>
  <c r="AL234" i="119"/>
  <c r="V41" i="61"/>
  <c r="Q238" i="119"/>
  <c r="R34" i="61"/>
  <c r="X41" i="61"/>
  <c r="S234" i="119"/>
  <c r="AG36" i="60"/>
  <c r="L238" i="119"/>
  <c r="AA41" i="61"/>
  <c r="AZ37" i="61"/>
  <c r="Y11" i="61"/>
  <c r="AP49" i="60"/>
  <c r="AM238" i="119"/>
  <c r="AT20" i="61"/>
  <c r="W32" i="60"/>
  <c r="AN234" i="119"/>
  <c r="AP46" i="60"/>
  <c r="X34" i="61"/>
  <c r="AP47" i="60"/>
  <c r="R166" i="119"/>
  <c r="P161" i="119"/>
  <c r="AF102" i="59"/>
  <c r="X164" i="119"/>
  <c r="AR164" i="119"/>
  <c r="AF46" i="60"/>
  <c r="AY34" i="61"/>
  <c r="AO161" i="119"/>
  <c r="AF47" i="60"/>
  <c r="AT11" i="61"/>
  <c r="AM161" i="119"/>
  <c r="AR234" i="119"/>
  <c r="Y38" i="60"/>
  <c r="J221" i="119"/>
  <c r="J21" i="119"/>
  <c r="AW34" i="61"/>
  <c r="M234" i="119"/>
  <c r="AG20" i="61"/>
  <c r="AR32" i="60"/>
  <c r="AC20" i="61"/>
  <c r="AR236" i="119"/>
  <c r="L234" i="119"/>
  <c r="Z166" i="119"/>
  <c r="AA161" i="119"/>
  <c r="AM11" i="61"/>
  <c r="S34" i="61"/>
  <c r="AW36" i="60"/>
  <c r="AS102" i="59"/>
  <c r="AF32" i="60"/>
  <c r="AE16" i="61"/>
  <c r="AE20" i="61"/>
  <c r="S32" i="61"/>
  <c r="AS46" i="60"/>
  <c r="AK36" i="60"/>
  <c r="AB38" i="60"/>
  <c r="AM20" i="61"/>
  <c r="M233" i="119"/>
  <c r="L236" i="119"/>
  <c r="M238" i="119"/>
  <c r="AM37" i="61"/>
  <c r="AS47" i="60"/>
  <c r="R238" i="119"/>
  <c r="AI32" i="61"/>
  <c r="K234" i="119"/>
  <c r="O33" i="60"/>
  <c r="AF161" i="119"/>
  <c r="AQ39" i="61"/>
  <c r="AZ34" i="61"/>
  <c r="W39" i="61"/>
  <c r="AD93" i="59"/>
  <c r="X93" i="59"/>
  <c r="X11" i="61"/>
  <c r="AW20" i="61"/>
  <c r="AC104" i="59"/>
  <c r="R104" i="59"/>
  <c r="T104" i="59"/>
  <c r="X39" i="61"/>
  <c r="U39" i="61"/>
  <c r="AD32" i="60"/>
  <c r="AG161" i="119"/>
  <c r="AY39" i="61"/>
  <c r="AN39" i="61"/>
  <c r="Q39" i="61"/>
  <c r="AE39" i="61"/>
  <c r="AJ39" i="61"/>
  <c r="AK161" i="119"/>
  <c r="S39" i="61"/>
  <c r="S104" i="59"/>
  <c r="X104" i="59"/>
  <c r="AX104" i="59"/>
  <c r="W104" i="59"/>
  <c r="AF38" i="60"/>
  <c r="AJ11" i="61"/>
  <c r="AI39" i="61"/>
  <c r="Y39" i="61"/>
  <c r="AA39" i="61"/>
  <c r="AB104" i="59"/>
  <c r="AK34" i="61"/>
  <c r="AO11" i="61"/>
  <c r="AM39" i="61"/>
  <c r="Z104" i="59"/>
  <c r="Y104" i="59"/>
  <c r="AC39" i="61"/>
  <c r="N238" i="119"/>
  <c r="AW39" i="61"/>
  <c r="Z32" i="60"/>
  <c r="AP11" i="61"/>
  <c r="AN233" i="119"/>
  <c r="AI11" i="61"/>
  <c r="R32" i="60"/>
  <c r="AG34" i="61"/>
  <c r="AG39" i="61"/>
  <c r="AS20" i="61"/>
  <c r="Z32" i="61"/>
  <c r="V104" i="59"/>
  <c r="P104" i="59"/>
  <c r="AH39" i="61"/>
  <c r="AD238" i="119"/>
  <c r="AF39" i="61"/>
  <c r="AU39" i="61"/>
  <c r="AG11" i="61"/>
  <c r="V39" i="61"/>
  <c r="T39" i="61"/>
  <c r="AL39" i="61"/>
  <c r="AS39" i="61"/>
  <c r="AP39" i="61"/>
  <c r="AD39" i="61"/>
  <c r="T161" i="119"/>
  <c r="AC32" i="60"/>
  <c r="Q104" i="59"/>
  <c r="Y32" i="61"/>
  <c r="AO39" i="61"/>
  <c r="AT39" i="61"/>
  <c r="AQ20" i="61"/>
  <c r="AF233" i="119"/>
  <c r="AA104" i="59"/>
  <c r="AV39" i="61"/>
  <c r="AB39" i="61"/>
  <c r="AZ39" i="61"/>
  <c r="AT32" i="60"/>
  <c r="AR39" i="61"/>
  <c r="AD34" i="61"/>
  <c r="X238" i="119"/>
  <c r="AK238" i="119"/>
  <c r="Q36" i="60"/>
  <c r="AK20" i="61"/>
  <c r="AC16" i="61"/>
  <c r="T11" i="61"/>
  <c r="AD166" i="119"/>
  <c r="AG32" i="60"/>
  <c r="X36" i="60"/>
  <c r="AM34" i="61"/>
  <c r="AQ32" i="61"/>
  <c r="R16" i="61"/>
  <c r="Z16" i="61"/>
  <c r="AF234" i="119"/>
  <c r="AQ36" i="60"/>
  <c r="S164" i="119"/>
  <c r="K164" i="119"/>
  <c r="AP166" i="119"/>
  <c r="P164" i="119"/>
  <c r="AN34" i="61"/>
  <c r="AR41" i="61"/>
  <c r="P36" i="60"/>
  <c r="Q16" i="61"/>
  <c r="AO32" i="60"/>
  <c r="AF20" i="61"/>
  <c r="AP32" i="60"/>
  <c r="AC38" i="61"/>
  <c r="AI38" i="61"/>
  <c r="Y38" i="61"/>
  <c r="AY38" i="61"/>
  <c r="AN38" i="61"/>
  <c r="Q38" i="61"/>
  <c r="AH38" i="61"/>
  <c r="AW38" i="61"/>
  <c r="AA38" i="61"/>
  <c r="AA36" i="62" s="1"/>
  <c r="AE38" i="61"/>
  <c r="AJ38" i="61"/>
  <c r="U38" i="61"/>
  <c r="W38" i="61"/>
  <c r="AW32" i="60"/>
  <c r="AO38" i="60"/>
  <c r="AK32" i="60"/>
  <c r="AM32" i="61"/>
  <c r="AL38" i="61"/>
  <c r="V164" i="119"/>
  <c r="U36" i="60"/>
  <c r="AL236" i="119"/>
  <c r="AS38" i="61"/>
  <c r="AF38" i="61"/>
  <c r="V38" i="61"/>
  <c r="AR161" i="119"/>
  <c r="AQ11" i="61"/>
  <c r="AO38" i="61"/>
  <c r="AO36" i="62" s="1"/>
  <c r="AP38" i="61"/>
  <c r="AU38" i="61"/>
  <c r="AT38" i="61"/>
  <c r="AG38" i="61"/>
  <c r="AM38" i="61"/>
  <c r="AR38" i="61"/>
  <c r="AJ166" i="119"/>
  <c r="AV38" i="61"/>
  <c r="AQ164" i="119"/>
  <c r="AQ38" i="61"/>
  <c r="AB38" i="61"/>
  <c r="AD38" i="61"/>
  <c r="T38" i="61"/>
  <c r="AW37" i="61"/>
  <c r="U164" i="119"/>
  <c r="X38" i="61"/>
  <c r="AZ38" i="61"/>
  <c r="V221" i="119"/>
  <c r="AJ34" i="61"/>
  <c r="P236" i="119"/>
  <c r="Y32" i="60"/>
  <c r="X161" i="119"/>
  <c r="K238" i="119"/>
  <c r="AC234" i="119"/>
  <c r="AQ238" i="119"/>
  <c r="AM15" i="62"/>
  <c r="Y20" i="61"/>
  <c r="AP35" i="62"/>
  <c r="R20" i="61"/>
  <c r="AG35" i="62"/>
  <c r="Y35" i="62"/>
  <c r="AO164" i="119"/>
  <c r="V166" i="119"/>
  <c r="AS32" i="61"/>
  <c r="AF34" i="61"/>
  <c r="U34" i="61"/>
  <c r="AG166" i="119"/>
  <c r="U236" i="119"/>
  <c r="K233" i="119"/>
  <c r="W34" i="61"/>
  <c r="V32" i="61"/>
  <c r="AN32" i="61"/>
  <c r="AP238" i="119"/>
  <c r="AM236" i="119"/>
  <c r="AD234" i="119"/>
  <c r="W166" i="119"/>
  <c r="AS233" i="119"/>
  <c r="AR16" i="61"/>
  <c r="AC236" i="119"/>
  <c r="AH11" i="61"/>
  <c r="AF166" i="119"/>
  <c r="AR11" i="61"/>
  <c r="Q112" i="119"/>
  <c r="S166" i="119"/>
  <c r="AV37" i="61"/>
  <c r="AD233" i="119"/>
  <c r="AN41" i="61"/>
  <c r="AC238" i="119"/>
  <c r="AA38" i="60"/>
  <c r="AX35" i="62"/>
  <c r="L166" i="119"/>
  <c r="AA32" i="60"/>
  <c r="AV34" i="61"/>
  <c r="AM233" i="119"/>
  <c r="Y34" i="61"/>
  <c r="AF41" i="61"/>
  <c r="AB234" i="119"/>
  <c r="AP20" i="61"/>
  <c r="AU34" i="61"/>
  <c r="AR233" i="119"/>
  <c r="AY20" i="61"/>
  <c r="AD41" i="61"/>
  <c r="AN166" i="119"/>
  <c r="X166" i="119"/>
  <c r="X32" i="61"/>
  <c r="U234" i="119"/>
  <c r="Z238" i="119"/>
  <c r="AA31" i="62"/>
  <c r="AS15" i="62"/>
  <c r="AX20" i="61"/>
  <c r="AA36" i="60"/>
  <c r="AI16" i="61"/>
  <c r="AH41" i="61"/>
  <c r="AG38" i="60"/>
  <c r="AC161" i="119"/>
  <c r="U32" i="61"/>
  <c r="U37" i="61"/>
  <c r="Y233" i="119"/>
  <c r="AN11" i="61"/>
  <c r="AS234" i="119"/>
  <c r="W37" i="61"/>
  <c r="AA79" i="62"/>
  <c r="T21" i="119" s="1"/>
  <c r="AI41" i="61"/>
  <c r="Q234" i="119"/>
  <c r="AB161" i="119"/>
  <c r="AV32" i="61"/>
  <c r="M161" i="119"/>
  <c r="Z234" i="119"/>
  <c r="AL166" i="119"/>
  <c r="AH161" i="119"/>
  <c r="AW15" i="62"/>
  <c r="AY15" i="62"/>
  <c r="W19" i="62"/>
  <c r="AC233" i="119"/>
  <c r="X20" i="61"/>
  <c r="AX11" i="61"/>
  <c r="P38" i="60"/>
  <c r="AY35" i="62"/>
  <c r="S11" i="61"/>
  <c r="AH32" i="61"/>
  <c r="AA234" i="119"/>
  <c r="V161" i="119"/>
  <c r="AK166" i="119"/>
  <c r="AP234" i="119"/>
  <c r="AI37" i="61"/>
  <c r="R236" i="119"/>
  <c r="Y41" i="61"/>
  <c r="P166" i="119"/>
  <c r="AV11" i="61"/>
  <c r="AL164" i="119"/>
  <c r="Z233" i="119"/>
  <c r="AS34" i="61"/>
  <c r="T238" i="119"/>
  <c r="AF16" i="61"/>
  <c r="AR238" i="119"/>
  <c r="Q166" i="119"/>
  <c r="AD15" i="62"/>
  <c r="AQ15" i="62"/>
  <c r="AB15" i="62"/>
  <c r="AJ236" i="119"/>
  <c r="M164" i="119"/>
  <c r="S16" i="61"/>
  <c r="U20" i="61"/>
  <c r="AJ36" i="60"/>
  <c r="AH233" i="119"/>
  <c r="AT34" i="61"/>
  <c r="AJ16" i="61"/>
  <c r="U41" i="61"/>
  <c r="AB32" i="61"/>
  <c r="AI161" i="119"/>
  <c r="AZ41" i="61"/>
  <c r="T236" i="119"/>
  <c r="AQ234" i="119"/>
  <c r="AB46" i="60"/>
  <c r="K166" i="119"/>
  <c r="AM164" i="119"/>
  <c r="Q161" i="119"/>
  <c r="AE32" i="60"/>
  <c r="AO34" i="61"/>
  <c r="T234" i="119"/>
  <c r="AP16" i="61"/>
  <c r="AD32" i="61"/>
  <c r="AD37" i="61"/>
  <c r="AA11" i="61"/>
  <c r="AE11" i="61"/>
  <c r="AD164" i="119"/>
  <c r="V15" i="62"/>
  <c r="U112" i="119"/>
  <c r="S161" i="119"/>
  <c r="M166" i="119"/>
  <c r="AV41" i="61"/>
  <c r="W16" i="61"/>
  <c r="AS37" i="61"/>
  <c r="AI233" i="119"/>
  <c r="AK41" i="61"/>
  <c r="AW32" i="61"/>
  <c r="AF37" i="61"/>
  <c r="T233" i="119"/>
  <c r="AU32" i="61"/>
  <c r="O234" i="119"/>
  <c r="AC166" i="119"/>
  <c r="AE233" i="119"/>
  <c r="X234" i="119"/>
  <c r="AL161" i="119"/>
  <c r="AZ16" i="61"/>
  <c r="AD79" i="62"/>
  <c r="W21" i="119" s="1"/>
  <c r="W221" i="119"/>
  <c r="AH238" i="119"/>
  <c r="AQ233" i="119"/>
  <c r="AU49" i="60"/>
  <c r="AL41" i="61"/>
  <c r="V35" i="62"/>
  <c r="W11" i="61"/>
  <c r="R161" i="119"/>
  <c r="AO37" i="61"/>
  <c r="AT41" i="61"/>
  <c r="AQ34" i="61"/>
  <c r="AN16" i="61"/>
  <c r="AI236" i="119"/>
  <c r="W161" i="119"/>
  <c r="R233" i="119"/>
  <c r="P238" i="119"/>
  <c r="AV102" i="59"/>
  <c r="AI234" i="119"/>
  <c r="AX16" i="61"/>
  <c r="AF11" i="61"/>
  <c r="AK236" i="119"/>
  <c r="W234" i="119"/>
  <c r="AE41" i="61"/>
  <c r="AJ161" i="119"/>
  <c r="AB233" i="119"/>
  <c r="AX32" i="60"/>
  <c r="AL32" i="60"/>
  <c r="R234" i="119"/>
  <c r="O233" i="119"/>
  <c r="AF36" i="60"/>
  <c r="AN38" i="60"/>
  <c r="AT37" i="61"/>
  <c r="AE36" i="60"/>
  <c r="AO234" i="119"/>
  <c r="P32" i="60"/>
  <c r="AI93" i="59"/>
  <c r="AD38" i="60"/>
  <c r="Q38" i="60"/>
  <c r="S20" i="61"/>
  <c r="AI166" i="119"/>
  <c r="AJ37" i="61"/>
  <c r="AK16" i="61"/>
  <c r="T32" i="60"/>
  <c r="L161" i="119"/>
  <c r="AH16" i="61"/>
  <c r="AK164" i="119"/>
  <c r="AP36" i="60"/>
  <c r="AJ41" i="61"/>
  <c r="AI36" i="60"/>
  <c r="AU38" i="60"/>
  <c r="N234" i="119"/>
  <c r="Y238" i="119"/>
  <c r="AS236" i="119"/>
  <c r="AF32" i="61"/>
  <c r="AL38" i="60"/>
  <c r="AG93" i="59"/>
  <c r="AW41" i="61"/>
  <c r="AZ32" i="61"/>
  <c r="AZ31" i="62" s="1"/>
  <c r="AK38" i="60"/>
  <c r="Q236" i="119"/>
  <c r="AG238" i="119"/>
  <c r="AV38" i="60"/>
  <c r="Q32" i="60"/>
  <c r="AH38" i="60"/>
  <c r="S38" i="60"/>
  <c r="AA233" i="119"/>
  <c r="AB236" i="119"/>
  <c r="AQ38" i="60"/>
  <c r="AE38" i="60"/>
  <c r="AB36" i="60"/>
  <c r="AG41" i="61"/>
  <c r="AT32" i="61"/>
  <c r="AX41" i="61"/>
  <c r="AB164" i="119"/>
  <c r="Y236" i="119"/>
  <c r="J161" i="119"/>
  <c r="AP32" i="61"/>
  <c r="AB34" i="61"/>
  <c r="AB49" i="60"/>
  <c r="AV46" i="60"/>
  <c r="Y161" i="119"/>
  <c r="V36" i="60"/>
  <c r="AU102" i="59"/>
  <c r="X32" i="60"/>
  <c r="AN36" i="60"/>
  <c r="AW38" i="60"/>
  <c r="Y36" i="60"/>
  <c r="AA34" i="61"/>
  <c r="AU37" i="61"/>
  <c r="W233" i="119"/>
  <c r="AS41" i="61"/>
  <c r="AS11" i="61"/>
  <c r="AO36" i="60"/>
  <c r="AJ32" i="61"/>
  <c r="AA238" i="119"/>
  <c r="AN20" i="61"/>
  <c r="AE238" i="119"/>
  <c r="AE37" i="61"/>
  <c r="X236" i="119"/>
  <c r="AB47" i="60"/>
  <c r="AH93" i="59"/>
  <c r="Q233" i="119"/>
  <c r="AV47" i="60"/>
  <c r="X16" i="61"/>
  <c r="AU46" i="60"/>
  <c r="Z11" i="61"/>
  <c r="Z161" i="119"/>
  <c r="AQ37" i="61"/>
  <c r="AH32" i="60"/>
  <c r="AO236" i="119"/>
  <c r="AI164" i="119"/>
  <c r="AP34" i="61"/>
  <c r="AR36" i="60"/>
  <c r="AC36" i="60"/>
  <c r="Y164" i="119"/>
  <c r="AB102" i="59"/>
  <c r="AJ38" i="60"/>
  <c r="AK32" i="61"/>
  <c r="AS36" i="60"/>
  <c r="X37" i="61"/>
  <c r="AX93" i="59"/>
  <c r="AV49" i="60"/>
  <c r="AI38" i="60"/>
  <c r="Q164" i="119"/>
  <c r="AU47" i="60"/>
  <c r="AI20" i="61"/>
  <c r="AB32" i="60"/>
  <c r="W236" i="119"/>
  <c r="AN236" i="119"/>
  <c r="AB37" i="61"/>
  <c r="Z36" i="60"/>
  <c r="AH234" i="119"/>
  <c r="Y234" i="119"/>
  <c r="U38" i="60"/>
  <c r="AD36" i="60"/>
  <c r="AC38" i="60"/>
  <c r="AG16" i="61"/>
  <c r="AY41" i="61"/>
  <c r="AT16" i="61"/>
  <c r="AI32" i="60"/>
  <c r="L164" i="119"/>
  <c r="AR37" i="61"/>
  <c r="AB166" i="119"/>
  <c r="AA37" i="61"/>
  <c r="AL238" i="119"/>
  <c r="AV36" i="60"/>
  <c r="Z164" i="119"/>
  <c r="AE91" i="59"/>
  <c r="Z91" i="59"/>
  <c r="AH91" i="59"/>
  <c r="AR91" i="59"/>
  <c r="Q37" i="61"/>
  <c r="J236" i="119"/>
  <c r="AA91" i="59"/>
  <c r="AM91" i="59"/>
  <c r="V91" i="59"/>
  <c r="X91" i="59"/>
  <c r="Q91" i="59"/>
  <c r="AK91" i="59"/>
  <c r="AV91" i="59"/>
  <c r="J233" i="119"/>
  <c r="Q34" i="61"/>
  <c r="J234" i="119"/>
  <c r="AO91" i="59"/>
  <c r="AN91" i="59"/>
  <c r="AU91" i="59"/>
  <c r="Y91" i="59"/>
  <c r="AD91" i="59"/>
  <c r="S91" i="59"/>
  <c r="AJ91" i="59"/>
  <c r="AT91" i="59"/>
  <c r="R91" i="59"/>
  <c r="T91" i="59"/>
  <c r="AG91" i="59"/>
  <c r="AW91" i="59"/>
  <c r="AF91" i="59"/>
  <c r="AP91" i="59"/>
  <c r="AQ91" i="59"/>
  <c r="P91" i="59"/>
  <c r="AI91" i="59"/>
  <c r="AL91" i="59"/>
  <c r="W91" i="59"/>
  <c r="AS91" i="59"/>
  <c r="AC91" i="59"/>
  <c r="AX91" i="59"/>
  <c r="AB91" i="59"/>
  <c r="Q41" i="61"/>
  <c r="J238" i="119"/>
  <c r="R41" i="61"/>
  <c r="R32" i="61"/>
  <c r="K161" i="119"/>
  <c r="AV32" i="60"/>
  <c r="W41" i="61"/>
  <c r="AX32" i="61"/>
  <c r="U32" i="60"/>
  <c r="AL36" i="60"/>
  <c r="AN32" i="60"/>
  <c r="P234" i="119"/>
  <c r="AQ32" i="60"/>
  <c r="AO238" i="119"/>
  <c r="S36" i="60"/>
  <c r="P233" i="119"/>
  <c r="AJ234" i="119"/>
  <c r="AU32" i="60"/>
  <c r="AX38" i="60"/>
  <c r="R164" i="119"/>
  <c r="W36" i="60"/>
  <c r="N236" i="119"/>
  <c r="W38" i="60"/>
  <c r="AG236" i="119"/>
  <c r="AS238" i="119"/>
  <c r="S32" i="60"/>
  <c r="AN37" i="61"/>
  <c r="W32" i="61"/>
  <c r="N166" i="119"/>
  <c r="Y16" i="61"/>
  <c r="AP233" i="119"/>
  <c r="R11" i="61"/>
  <c r="AL233" i="119"/>
  <c r="AQ161" i="119"/>
  <c r="N233" i="119"/>
  <c r="V32" i="60"/>
  <c r="AP236" i="119"/>
  <c r="AM32" i="60"/>
  <c r="AU36" i="60"/>
  <c r="AH36" i="60"/>
  <c r="AI34" i="61"/>
  <c r="AC164" i="119"/>
  <c r="AM234" i="119"/>
  <c r="AH34" i="61"/>
  <c r="AT38" i="60"/>
  <c r="O32" i="60"/>
  <c r="AQ41" i="61"/>
  <c r="AJ238" i="119"/>
  <c r="AH37" i="61"/>
  <c r="AA236" i="119"/>
  <c r="X38" i="60"/>
  <c r="AE236" i="119"/>
  <c r="AL37" i="61"/>
  <c r="Z20" i="61"/>
  <c r="AO32" i="61"/>
  <c r="AE234" i="119"/>
  <c r="AL34" i="61"/>
  <c r="V238" i="119"/>
  <c r="AC41" i="61"/>
  <c r="V234" i="119"/>
  <c r="AC34" i="61"/>
  <c r="V233" i="119"/>
  <c r="AC32" i="61"/>
  <c r="AC37" i="61"/>
  <c r="V236" i="119"/>
  <c r="AQ166" i="119"/>
  <c r="U11" i="61"/>
  <c r="R38" i="60"/>
  <c r="T20" i="61"/>
  <c r="AO166" i="119"/>
  <c r="N161" i="119"/>
  <c r="AV20" i="61"/>
  <c r="T16" i="61"/>
  <c r="R36" i="60"/>
  <c r="AV16" i="61"/>
  <c r="AT36" i="60"/>
  <c r="AU93" i="59"/>
  <c r="P140" i="59"/>
  <c r="U48" i="60"/>
  <c r="AH49" i="60"/>
  <c r="AG49" i="60"/>
  <c r="W46" i="60"/>
  <c r="AF93" i="59"/>
  <c r="AP80" i="59"/>
  <c r="X47" i="60"/>
  <c r="AQ80" i="59"/>
  <c r="Y49" i="60"/>
  <c r="AI49" i="60"/>
  <c r="AV80" i="59"/>
  <c r="AR93" i="59"/>
  <c r="AD102" i="59"/>
  <c r="AB80" i="59"/>
  <c r="AS80" i="59"/>
  <c r="U50" i="60"/>
  <c r="P93" i="59"/>
  <c r="AW47" i="60"/>
  <c r="J166" i="119"/>
  <c r="L179" i="119"/>
  <c r="O38" i="60"/>
  <c r="J164" i="119"/>
  <c r="O36" i="60"/>
  <c r="W90" i="119"/>
  <c r="X90" i="119"/>
  <c r="P46" i="60"/>
  <c r="J162" i="119"/>
  <c r="T39" i="62"/>
  <c r="R140" i="59"/>
  <c r="AB140" i="59"/>
  <c r="AE32" i="62"/>
  <c r="AA140" i="59"/>
  <c r="AC140" i="59"/>
  <c r="Z140" i="59"/>
  <c r="AS40" i="119"/>
  <c r="AS181" i="119" s="1"/>
  <c r="AX140" i="59"/>
  <c r="Y140" i="59"/>
  <c r="AO39" i="62"/>
  <c r="Q140" i="59"/>
  <c r="AD140" i="59"/>
  <c r="AX102" i="59"/>
  <c r="J149" i="119"/>
  <c r="J414" i="119" s="1"/>
  <c r="E39" i="92" s="1"/>
  <c r="AJ19" i="62"/>
  <c r="AA19" i="62"/>
  <c r="W102" i="59"/>
  <c r="W49" i="60"/>
  <c r="AB93" i="59"/>
  <c r="W80" i="59"/>
  <c r="W47" i="60"/>
  <c r="AS93" i="59"/>
  <c r="AI47" i="60"/>
  <c r="AV93" i="59"/>
  <c r="AK46" i="60"/>
  <c r="AK49" i="60"/>
  <c r="AI102" i="59"/>
  <c r="AI80" i="59"/>
  <c r="AI46" i="60"/>
  <c r="AK102" i="59"/>
  <c r="AK47" i="60"/>
  <c r="AK80" i="59"/>
  <c r="Q102" i="59"/>
  <c r="AP93" i="59"/>
  <c r="AH80" i="59"/>
  <c r="AH47" i="60"/>
  <c r="Q46" i="60"/>
  <c r="Q47" i="60"/>
  <c r="Q49" i="60"/>
  <c r="L167" i="119"/>
  <c r="Q80" i="59"/>
  <c r="Y47" i="60"/>
  <c r="W40" i="119"/>
  <c r="K40" i="119"/>
  <c r="AX46" i="60"/>
  <c r="Y167" i="119"/>
  <c r="AU80" i="59"/>
  <c r="AF80" i="59"/>
  <c r="P80" i="59"/>
  <c r="K167" i="119"/>
  <c r="P102" i="59"/>
  <c r="P49" i="60"/>
  <c r="P47" i="60"/>
  <c r="L40" i="119"/>
  <c r="AD46" i="60"/>
  <c r="AW80" i="59"/>
  <c r="AG102" i="59"/>
  <c r="AW46" i="60"/>
  <c r="AD49" i="60"/>
  <c r="X80" i="59"/>
  <c r="AG80" i="59"/>
  <c r="AW49" i="60"/>
  <c r="AW102" i="59"/>
  <c r="X49" i="60"/>
  <c r="Y80" i="59"/>
  <c r="AX47" i="60"/>
  <c r="W167" i="119"/>
  <c r="X46" i="60"/>
  <c r="X102" i="59"/>
  <c r="T167" i="119"/>
  <c r="AG47" i="60"/>
  <c r="AG46" i="60"/>
  <c r="Y102" i="59"/>
  <c r="Y46" i="60"/>
  <c r="AD80" i="59"/>
  <c r="AD47" i="60"/>
  <c r="AX80" i="59"/>
  <c r="AS167" i="119"/>
  <c r="T40" i="119"/>
  <c r="AQ102" i="59"/>
  <c r="AX49" i="60"/>
  <c r="AD19" i="62"/>
  <c r="AH46" i="60"/>
  <c r="AH102" i="59"/>
  <c r="AQ47" i="60"/>
  <c r="AQ46" i="60"/>
  <c r="AQ49" i="60"/>
  <c r="Y40" i="119"/>
  <c r="AR80" i="59"/>
  <c r="AO19" i="62"/>
  <c r="M167" i="119"/>
  <c r="H29" i="101"/>
  <c r="T40" i="59"/>
  <c r="V40" i="119"/>
  <c r="AA93" i="59"/>
  <c r="W58" i="61"/>
  <c r="U65" i="60"/>
  <c r="T57" i="59"/>
  <c r="H33" i="101"/>
  <c r="X40" i="119"/>
  <c r="AC93" i="59"/>
  <c r="AF60" i="59"/>
  <c r="T36" i="101"/>
  <c r="AF132" i="59"/>
  <c r="AF138" i="59" s="1"/>
  <c r="AE47" i="60"/>
  <c r="AE46" i="60"/>
  <c r="AE102" i="59"/>
  <c r="AE80" i="59"/>
  <c r="AE49" i="60"/>
  <c r="S38" i="59"/>
  <c r="F5" i="101"/>
  <c r="G27" i="101"/>
  <c r="AM93" i="59"/>
  <c r="AD55" i="59"/>
  <c r="AD42" i="59"/>
  <c r="R31" i="101"/>
  <c r="AN93" i="59"/>
  <c r="T93" i="59"/>
  <c r="V93" i="59"/>
  <c r="T59" i="59"/>
  <c r="H35" i="101"/>
  <c r="T55" i="59"/>
  <c r="T42" i="59"/>
  <c r="H31" i="101"/>
  <c r="T58" i="59"/>
  <c r="H34" i="101"/>
  <c r="AD136" i="59"/>
  <c r="R37" i="101"/>
  <c r="AJ93" i="59"/>
  <c r="AD56" i="59"/>
  <c r="R32" i="101"/>
  <c r="AT93" i="59"/>
  <c r="AD41" i="59"/>
  <c r="R30" i="101"/>
  <c r="AO49" i="60"/>
  <c r="AO46" i="60"/>
  <c r="AO80" i="59"/>
  <c r="AO102" i="59"/>
  <c r="AO47" i="60"/>
  <c r="Y36" i="119"/>
  <c r="M40" i="119"/>
  <c r="R93" i="59"/>
  <c r="AM47" i="60"/>
  <c r="AM46" i="60"/>
  <c r="AM49" i="60"/>
  <c r="AM102" i="59"/>
  <c r="AM80" i="59"/>
  <c r="M36" i="119"/>
  <c r="AL49" i="60"/>
  <c r="AL46" i="60"/>
  <c r="AL47" i="60"/>
  <c r="AL80" i="59"/>
  <c r="AL102" i="59"/>
  <c r="Z47" i="60"/>
  <c r="Z49" i="60"/>
  <c r="Z46" i="60"/>
  <c r="Z102" i="59"/>
  <c r="Z80" i="59"/>
  <c r="AD58" i="59"/>
  <c r="R34" i="101"/>
  <c r="T60" i="59"/>
  <c r="T132" i="59"/>
  <c r="T138" i="59" s="1"/>
  <c r="H36" i="101"/>
  <c r="AA47" i="60"/>
  <c r="AA49" i="60"/>
  <c r="AA46" i="60"/>
  <c r="AA102" i="59"/>
  <c r="AA80" i="59"/>
  <c r="S49" i="60"/>
  <c r="S47" i="60"/>
  <c r="S46" i="60"/>
  <c r="S80" i="59"/>
  <c r="S102" i="59"/>
  <c r="AD57" i="59"/>
  <c r="R33" i="101"/>
  <c r="P5" i="101"/>
  <c r="AC38" i="59"/>
  <c r="Q27" i="101"/>
  <c r="AD59" i="59"/>
  <c r="R35" i="101"/>
  <c r="U105" i="59"/>
  <c r="W60" i="61"/>
  <c r="U67" i="60"/>
  <c r="U64" i="60"/>
  <c r="W57" i="61"/>
  <c r="X167" i="119"/>
  <c r="AO93" i="59"/>
  <c r="AE93" i="59"/>
  <c r="AD39" i="59"/>
  <c r="R28" i="101"/>
  <c r="AN46" i="60"/>
  <c r="AN47" i="60"/>
  <c r="AN102" i="59"/>
  <c r="AN49" i="60"/>
  <c r="AN80" i="59"/>
  <c r="T47" i="60"/>
  <c r="T46" i="60"/>
  <c r="T80" i="59"/>
  <c r="T49" i="60"/>
  <c r="T102" i="59"/>
  <c r="V46" i="60"/>
  <c r="V47" i="60"/>
  <c r="V49" i="60"/>
  <c r="V80" i="59"/>
  <c r="V102" i="59"/>
  <c r="AL93" i="59"/>
  <c r="Z93" i="59"/>
  <c r="U40" i="119"/>
  <c r="S137" i="59"/>
  <c r="S133" i="59"/>
  <c r="T39" i="59"/>
  <c r="H28" i="101"/>
  <c r="V167" i="119"/>
  <c r="S93" i="59"/>
  <c r="AJ80" i="59"/>
  <c r="AJ46" i="60"/>
  <c r="AJ102" i="59"/>
  <c r="AJ47" i="60"/>
  <c r="AJ49" i="60"/>
  <c r="U94" i="59"/>
  <c r="P41" i="119"/>
  <c r="AT46" i="60"/>
  <c r="AT80" i="59"/>
  <c r="AT49" i="60"/>
  <c r="AT47" i="60"/>
  <c r="AT102" i="59"/>
  <c r="AC47" i="60"/>
  <c r="AC46" i="60"/>
  <c r="AC80" i="59"/>
  <c r="AC49" i="60"/>
  <c r="AC102" i="59"/>
  <c r="T41" i="59"/>
  <c r="H30" i="101"/>
  <c r="AE137" i="59"/>
  <c r="AE133" i="59"/>
  <c r="H37" i="101"/>
  <c r="T136" i="59"/>
  <c r="AD40" i="59"/>
  <c r="R29" i="101"/>
  <c r="R49" i="60"/>
  <c r="R46" i="60"/>
  <c r="R47" i="60"/>
  <c r="R80" i="59"/>
  <c r="R102" i="59"/>
  <c r="T56" i="59"/>
  <c r="H32" i="101"/>
  <c r="U167" i="119"/>
  <c r="M92" i="119" l="1"/>
  <c r="T75" i="119"/>
  <c r="P20" i="138"/>
  <c r="K75" i="119"/>
  <c r="G20" i="138"/>
  <c r="W75" i="119"/>
  <c r="S20" i="138"/>
  <c r="L75" i="119"/>
  <c r="H20" i="138"/>
  <c r="V32" i="62"/>
  <c r="V44" i="62" s="1"/>
  <c r="J75" i="119"/>
  <c r="F20" i="138"/>
  <c r="K221" i="119"/>
  <c r="AR32" i="62"/>
  <c r="AK216" i="119" s="1"/>
  <c r="T32" i="62"/>
  <c r="M216" i="119" s="1"/>
  <c r="M239" i="119"/>
  <c r="AA11" i="62"/>
  <c r="AA23" i="62" s="1"/>
  <c r="X36" i="62"/>
  <c r="AQ36" i="62"/>
  <c r="AP36" i="62"/>
  <c r="AI218" i="119" s="1"/>
  <c r="AS36" i="62"/>
  <c r="AE36" i="62"/>
  <c r="Q36" i="62"/>
  <c r="AN36" i="62"/>
  <c r="AY36" i="62"/>
  <c r="AR218" i="119" s="1"/>
  <c r="AM36" i="62"/>
  <c r="Y36" i="62"/>
  <c r="R218" i="119" s="1"/>
  <c r="R36" i="62"/>
  <c r="T36" i="62"/>
  <c r="AV36" i="62"/>
  <c r="AG36" i="62"/>
  <c r="Z218" i="119" s="1"/>
  <c r="AW36" i="62"/>
  <c r="AI36" i="62"/>
  <c r="AD11" i="62"/>
  <c r="W143" i="119" s="1"/>
  <c r="AD36" i="62"/>
  <c r="W36" i="62"/>
  <c r="S11" i="62"/>
  <c r="AT36" i="62"/>
  <c r="V36" i="62"/>
  <c r="O218" i="119" s="1"/>
  <c r="AL36" i="62"/>
  <c r="U36" i="62"/>
  <c r="AH36" i="62"/>
  <c r="AC36" i="62"/>
  <c r="R11" i="62"/>
  <c r="AE11" i="62"/>
  <c r="AE23" i="62" s="1"/>
  <c r="AZ36" i="62"/>
  <c r="AZ43" i="62" s="1"/>
  <c r="AB36" i="62"/>
  <c r="AR36" i="62"/>
  <c r="AU36" i="62"/>
  <c r="AF36" i="62"/>
  <c r="AJ36" i="62"/>
  <c r="AK36" i="62"/>
  <c r="AK112" i="119"/>
  <c r="AZ19" i="62"/>
  <c r="AS148" i="119" s="1"/>
  <c r="Y268" i="119"/>
  <c r="Z40" i="119"/>
  <c r="Z181" i="119" s="1"/>
  <c r="AE33" i="61"/>
  <c r="Z167" i="119"/>
  <c r="X239" i="119"/>
  <c r="AR111" i="119"/>
  <c r="AR19" i="62"/>
  <c r="AK148" i="119" s="1"/>
  <c r="X268" i="119"/>
  <c r="N167" i="119"/>
  <c r="AB50" i="60"/>
  <c r="AB68" i="60" s="1"/>
  <c r="AP39" i="62"/>
  <c r="AI220" i="119" s="1"/>
  <c r="N40" i="119"/>
  <c r="N94" i="119" s="1"/>
  <c r="AK35" i="62"/>
  <c r="AN32" i="62"/>
  <c r="AG216" i="119" s="1"/>
  <c r="AK19" i="62"/>
  <c r="AA17" i="62"/>
  <c r="AA26" i="62" s="1"/>
  <c r="AP17" i="62"/>
  <c r="S17" i="62"/>
  <c r="AT17" i="62"/>
  <c r="AQ17" i="62"/>
  <c r="Y37" i="62"/>
  <c r="AN37" i="62"/>
  <c r="AM35" i="62"/>
  <c r="S45" i="61"/>
  <c r="AW32" i="62"/>
  <c r="AP216" i="119" s="1"/>
  <c r="AH111" i="119"/>
  <c r="Q31" i="62"/>
  <c r="AL17" i="62"/>
  <c r="AH112" i="119"/>
  <c r="AM112" i="119"/>
  <c r="V19" i="62"/>
  <c r="V26" i="62" s="1"/>
  <c r="AE11" i="60"/>
  <c r="AE39" i="62"/>
  <c r="X220" i="119" s="1"/>
  <c r="AZ37" i="62"/>
  <c r="AW17" i="62"/>
  <c r="AX17" i="62"/>
  <c r="T17" i="62"/>
  <c r="AU37" i="62"/>
  <c r="AU46" i="62" s="1"/>
  <c r="AO17" i="62"/>
  <c r="AO26" i="62" s="1"/>
  <c r="AI37" i="62"/>
  <c r="AY37" i="62"/>
  <c r="AQ37" i="62"/>
  <c r="AY46" i="61"/>
  <c r="X32" i="62"/>
  <c r="Q216" i="119" s="1"/>
  <c r="AZ35" i="62"/>
  <c r="AN112" i="119"/>
  <c r="AP146" i="119"/>
  <c r="T77" i="61"/>
  <c r="U221" i="119"/>
  <c r="AB79" i="62"/>
  <c r="U21" i="119" s="1"/>
  <c r="T37" i="62"/>
  <c r="T46" i="62" s="1"/>
  <c r="U107" i="119"/>
  <c r="S218" i="119"/>
  <c r="AU15" i="62"/>
  <c r="S35" i="62"/>
  <c r="L218" i="119" s="1"/>
  <c r="AE60" i="60"/>
  <c r="S11" i="60"/>
  <c r="AF60" i="60"/>
  <c r="AA15" i="62"/>
  <c r="T146" i="119" s="1"/>
  <c r="AA45" i="61"/>
  <c r="AM17" i="62"/>
  <c r="AF17" i="62"/>
  <c r="AN17" i="62"/>
  <c r="AD17" i="62"/>
  <c r="AD26" i="62" s="1"/>
  <c r="AG37" i="62"/>
  <c r="AW37" i="62"/>
  <c r="AM37" i="62"/>
  <c r="Y17" i="62"/>
  <c r="AK17" i="62"/>
  <c r="AB39" i="62"/>
  <c r="U220" i="119" s="1"/>
  <c r="AS111" i="119"/>
  <c r="AO15" i="62"/>
  <c r="AH146" i="119" s="1"/>
  <c r="T35" i="62"/>
  <c r="T44" i="62" s="1"/>
  <c r="R35" i="62"/>
  <c r="AE22" i="60"/>
  <c r="AB37" i="62"/>
  <c r="AP37" i="62"/>
  <c r="AF37" i="62"/>
  <c r="AE17" i="62"/>
  <c r="AE15" i="62"/>
  <c r="X146" i="119" s="1"/>
  <c r="AA39" i="62"/>
  <c r="T220" i="119" s="1"/>
  <c r="S22" i="60"/>
  <c r="T33" i="61"/>
  <c r="AB17" i="62"/>
  <c r="AV37" i="62"/>
  <c r="AZ17" i="62"/>
  <c r="R17" i="62"/>
  <c r="AS37" i="62"/>
  <c r="V37" i="62"/>
  <c r="AJ17" i="62"/>
  <c r="AJ26" i="62" s="1"/>
  <c r="AG46" i="61"/>
  <c r="AJ37" i="62"/>
  <c r="U37" i="62"/>
  <c r="AM19" i="62"/>
  <c r="AF148" i="119" s="1"/>
  <c r="AC19" i="62"/>
  <c r="V148" i="119" s="1"/>
  <c r="AB111" i="119"/>
  <c r="AU27" i="61"/>
  <c r="O111" i="119"/>
  <c r="Z39" i="62"/>
  <c r="Z46" i="62" s="1"/>
  <c r="AE77" i="61"/>
  <c r="R15" i="62"/>
  <c r="Q17" i="62"/>
  <c r="Q26" i="62" s="1"/>
  <c r="X107" i="119"/>
  <c r="AR17" i="62"/>
  <c r="AE37" i="62"/>
  <c r="AX46" i="61"/>
  <c r="T60" i="60"/>
  <c r="V77" i="61" s="1"/>
  <c r="AB24" i="61"/>
  <c r="AY17" i="62"/>
  <c r="W17" i="62"/>
  <c r="W26" i="62" s="1"/>
  <c r="AS17" i="62"/>
  <c r="AI17" i="62"/>
  <c r="AG17" i="62"/>
  <c r="X37" i="62"/>
  <c r="AT19" i="62"/>
  <c r="AM148" i="119" s="1"/>
  <c r="AB19" i="62"/>
  <c r="U148" i="119" s="1"/>
  <c r="AL146" i="119"/>
  <c r="K111" i="119"/>
  <c r="X17" i="62"/>
  <c r="AC17" i="62"/>
  <c r="Z17" i="62"/>
  <c r="AC37" i="62"/>
  <c r="AH17" i="62"/>
  <c r="AV17" i="62"/>
  <c r="Z46" i="61"/>
  <c r="AT37" i="62"/>
  <c r="AH37" i="62"/>
  <c r="S60" i="60"/>
  <c r="AM39" i="62"/>
  <c r="X19" i="62"/>
  <c r="Q148" i="119" s="1"/>
  <c r="AW35" i="62"/>
  <c r="AR37" i="62"/>
  <c r="U17" i="62"/>
  <c r="AO37" i="62"/>
  <c r="AO46" i="62" s="1"/>
  <c r="AD37" i="62"/>
  <c r="AL37" i="62"/>
  <c r="AA37" i="62"/>
  <c r="Q37" i="62"/>
  <c r="W37" i="62"/>
  <c r="S39" i="62"/>
  <c r="L220" i="119" s="1"/>
  <c r="AH19" i="62"/>
  <c r="AA148" i="119" s="1"/>
  <c r="V143" i="119"/>
  <c r="U15" i="62"/>
  <c r="N146" i="119" s="1"/>
  <c r="AL19" i="62"/>
  <c r="AS143" i="119"/>
  <c r="AF48" i="60"/>
  <c r="W41" i="119"/>
  <c r="W95" i="119" s="1"/>
  <c r="AT60" i="61"/>
  <c r="AD48" i="60"/>
  <c r="AV48" i="60"/>
  <c r="AR48" i="60"/>
  <c r="AR58" i="61"/>
  <c r="AB65" i="60"/>
  <c r="AF64" i="60"/>
  <c r="AR57" i="61"/>
  <c r="AP48" i="60"/>
  <c r="AR64" i="60"/>
  <c r="AS48" i="60"/>
  <c r="AS66" i="60" s="1"/>
  <c r="AF67" i="60"/>
  <c r="AR65" i="60"/>
  <c r="S31" i="62"/>
  <c r="L215" i="119" s="1"/>
  <c r="AP65" i="60"/>
  <c r="V27" i="61"/>
  <c r="AY32" i="62"/>
  <c r="AY44" i="62" s="1"/>
  <c r="R46" i="61"/>
  <c r="Z48" i="61"/>
  <c r="S57" i="119" s="1"/>
  <c r="AT57" i="61"/>
  <c r="AH60" i="61"/>
  <c r="AT58" i="61"/>
  <c r="R32" i="62"/>
  <c r="L221" i="119"/>
  <c r="T46" i="61"/>
  <c r="AB105" i="59"/>
  <c r="AU19" i="62"/>
  <c r="AU26" i="62" s="1"/>
  <c r="AH57" i="61"/>
  <c r="AP64" i="60"/>
  <c r="S48" i="61"/>
  <c r="L57" i="119" s="1"/>
  <c r="S37" i="62"/>
  <c r="AE27" i="61"/>
  <c r="AN220" i="119"/>
  <c r="AD58" i="61"/>
  <c r="O146" i="119"/>
  <c r="K107" i="119"/>
  <c r="Q32" i="62"/>
  <c r="J216" i="119" s="1"/>
  <c r="AS67" i="60"/>
  <c r="AL27" i="61"/>
  <c r="AU60" i="61"/>
  <c r="AL15" i="62"/>
  <c r="AJ32" i="62"/>
  <c r="AC216" i="119" s="1"/>
  <c r="AF111" i="119"/>
  <c r="X39" i="62"/>
  <c r="AD57" i="61"/>
  <c r="AB64" i="60"/>
  <c r="AM32" i="62"/>
  <c r="T12" i="61"/>
  <c r="AG19" i="62"/>
  <c r="Z148" i="119" s="1"/>
  <c r="S32" i="62"/>
  <c r="S46" i="61"/>
  <c r="AF12" i="61"/>
  <c r="AG32" i="62"/>
  <c r="Z216" i="119" s="1"/>
  <c r="W112" i="119"/>
  <c r="O112" i="119"/>
  <c r="AG39" i="62"/>
  <c r="AP19" i="62"/>
  <c r="AI148" i="119" s="1"/>
  <c r="W148" i="119"/>
  <c r="AH220" i="119"/>
  <c r="T215" i="119"/>
  <c r="S216" i="119"/>
  <c r="Z44" i="62"/>
  <c r="O216" i="119"/>
  <c r="AQ216" i="119"/>
  <c r="AX44" i="62"/>
  <c r="V39" i="62"/>
  <c r="AI19" i="62"/>
  <c r="AH58" i="61"/>
  <c r="AL111" i="119"/>
  <c r="AK46" i="61"/>
  <c r="AF65" i="60"/>
  <c r="AR60" i="61"/>
  <c r="AK32" i="62"/>
  <c r="AZ46" i="61"/>
  <c r="AP67" i="60"/>
  <c r="AZ32" i="62"/>
  <c r="P148" i="119"/>
  <c r="S111" i="119"/>
  <c r="AN39" i="62"/>
  <c r="X65" i="60"/>
  <c r="AQ27" i="61"/>
  <c r="AW19" i="62"/>
  <c r="AH39" i="62"/>
  <c r="AA27" i="61"/>
  <c r="AQ19" i="62"/>
  <c r="AR39" i="62"/>
  <c r="Z15" i="62"/>
  <c r="AW27" i="61"/>
  <c r="T112" i="119"/>
  <c r="J108" i="119"/>
  <c r="AM46" i="61"/>
  <c r="AZ39" i="62"/>
  <c r="AJ112" i="119"/>
  <c r="P111" i="119"/>
  <c r="AG67" i="60"/>
  <c r="Z58" i="61"/>
  <c r="Y19" i="62"/>
  <c r="AO27" i="61"/>
  <c r="AH199" i="119" s="1"/>
  <c r="L111" i="119"/>
  <c r="AJ146" i="119"/>
  <c r="AS19" i="62"/>
  <c r="AE19" i="62"/>
  <c r="AD32" i="62"/>
  <c r="AA112" i="119"/>
  <c r="AV64" i="60"/>
  <c r="AS65" i="60"/>
  <c r="AU57" i="61"/>
  <c r="AU58" i="61"/>
  <c r="AS64" i="60"/>
  <c r="R24" i="61"/>
  <c r="AD45" i="61"/>
  <c r="AW46" i="61"/>
  <c r="Q39" i="62"/>
  <c r="AB48" i="60"/>
  <c r="AS39" i="62"/>
  <c r="AU48" i="60"/>
  <c r="T107" i="119"/>
  <c r="AC24" i="61"/>
  <c r="AE46" i="61"/>
  <c r="Y46" i="61"/>
  <c r="AZ24" i="61"/>
  <c r="AB23" i="62"/>
  <c r="AZ45" i="61"/>
  <c r="U27" i="61"/>
  <c r="AA43" i="62"/>
  <c r="AI46" i="61"/>
  <c r="X46" i="61"/>
  <c r="AP46" i="61"/>
  <c r="AX48" i="61"/>
  <c r="AQ57" i="119" s="1"/>
  <c r="AV46" i="61"/>
  <c r="R45" i="61"/>
  <c r="AK48" i="61"/>
  <c r="AD57" i="119" s="1"/>
  <c r="AA24" i="61"/>
  <c r="AK41" i="119"/>
  <c r="AK95" i="119" s="1"/>
  <c r="AR46" i="61"/>
  <c r="AD46" i="61"/>
  <c r="AC15" i="62"/>
  <c r="Q45" i="61"/>
  <c r="J54" i="119" s="1"/>
  <c r="AV67" i="60"/>
  <c r="AX60" i="61"/>
  <c r="AN46" i="61"/>
  <c r="AF146" i="119"/>
  <c r="AF19" i="62"/>
  <c r="AP94" i="59"/>
  <c r="AW60" i="61"/>
  <c r="AB45" i="61"/>
  <c r="AU67" i="60"/>
  <c r="AR146" i="119"/>
  <c r="AH46" i="61"/>
  <c r="Q27" i="61"/>
  <c r="AS46" i="61"/>
  <c r="Y27" i="61"/>
  <c r="AG48" i="61"/>
  <c r="Z57" i="119" s="1"/>
  <c r="AP48" i="61"/>
  <c r="AI57" i="119" s="1"/>
  <c r="AC27" i="61"/>
  <c r="AH27" i="61"/>
  <c r="AJ27" i="61"/>
  <c r="AE24" i="61"/>
  <c r="AP27" i="61"/>
  <c r="AS27" i="61"/>
  <c r="AF27" i="61"/>
  <c r="AR48" i="61"/>
  <c r="AK57" i="119" s="1"/>
  <c r="Z27" i="61"/>
  <c r="Q25" i="61"/>
  <c r="AF48" i="61"/>
  <c r="Y57" i="119" s="1"/>
  <c r="Q46" i="61"/>
  <c r="T48" i="61"/>
  <c r="M57" i="119" s="1"/>
  <c r="AG27" i="61"/>
  <c r="AM48" i="61"/>
  <c r="AF57" i="119" s="1"/>
  <c r="AS48" i="61"/>
  <c r="AL57" i="119" s="1"/>
  <c r="AR27" i="61"/>
  <c r="AH48" i="61"/>
  <c r="AA57" i="119" s="1"/>
  <c r="AK27" i="61"/>
  <c r="AY48" i="61"/>
  <c r="AR57" i="119" s="1"/>
  <c r="AC48" i="61"/>
  <c r="V57" i="119" s="1"/>
  <c r="AI27" i="61"/>
  <c r="AL46" i="61"/>
  <c r="K112" i="119"/>
  <c r="AO46" i="61"/>
  <c r="AU46" i="61"/>
  <c r="X48" i="61"/>
  <c r="Q57" i="119" s="1"/>
  <c r="AB48" i="61"/>
  <c r="U57" i="119" s="1"/>
  <c r="AV48" i="61"/>
  <c r="AO57" i="119" s="1"/>
  <c r="AN27" i="61"/>
  <c r="AJ48" i="61"/>
  <c r="AC57" i="119" s="1"/>
  <c r="AC45" i="61"/>
  <c r="AZ48" i="61"/>
  <c r="AS57" i="119" s="1"/>
  <c r="AN48" i="61"/>
  <c r="AG57" i="119" s="1"/>
  <c r="AX19" i="62"/>
  <c r="AL39" i="62"/>
  <c r="AA46" i="61"/>
  <c r="W46" i="61"/>
  <c r="U46" i="61"/>
  <c r="AJ46" i="61"/>
  <c r="AD27" i="61"/>
  <c r="AY27" i="61"/>
  <c r="AT27" i="61"/>
  <c r="R27" i="61"/>
  <c r="R48" i="61"/>
  <c r="K57" i="119" s="1"/>
  <c r="AL48" i="61"/>
  <c r="AE57" i="119" s="1"/>
  <c r="AA48" i="61"/>
  <c r="T57" i="119" s="1"/>
  <c r="Q48" i="61"/>
  <c r="J57" i="119" s="1"/>
  <c r="AD48" i="61"/>
  <c r="W57" i="119" s="1"/>
  <c r="AQ46" i="61"/>
  <c r="S24" i="61"/>
  <c r="AD24" i="61"/>
  <c r="AT48" i="61"/>
  <c r="AM57" i="119" s="1"/>
  <c r="AO48" i="61"/>
  <c r="AH57" i="119" s="1"/>
  <c r="S27" i="61"/>
  <c r="Y48" i="61"/>
  <c r="R57" i="119" s="1"/>
  <c r="AX27" i="61"/>
  <c r="Q15" i="62"/>
  <c r="Q24" i="62" s="1"/>
  <c r="AB46" i="61"/>
  <c r="AQ218" i="119"/>
  <c r="AF46" i="61"/>
  <c r="AZ27" i="61"/>
  <c r="AQ48" i="61"/>
  <c r="AJ57" i="119" s="1"/>
  <c r="AB27" i="61"/>
  <c r="V48" i="61"/>
  <c r="O57" i="119" s="1"/>
  <c r="W27" i="61"/>
  <c r="W48" i="61"/>
  <c r="P57" i="119" s="1"/>
  <c r="AE48" i="61"/>
  <c r="X57" i="119" s="1"/>
  <c r="AI48" i="61"/>
  <c r="AB57" i="119" s="1"/>
  <c r="AC46" i="61"/>
  <c r="AF45" i="61"/>
  <c r="AT46" i="61"/>
  <c r="AV27" i="61"/>
  <c r="X27" i="61"/>
  <c r="AU48" i="61"/>
  <c r="AN57" i="119" s="1"/>
  <c r="T27" i="61"/>
  <c r="U48" i="61"/>
  <c r="N57" i="119" s="1"/>
  <c r="AW48" i="61"/>
  <c r="AP57" i="119" s="1"/>
  <c r="AM27" i="61"/>
  <c r="AQ64" i="60"/>
  <c r="AA57" i="61"/>
  <c r="AJ58" i="61"/>
  <c r="W67" i="60"/>
  <c r="AI60" i="61"/>
  <c r="AV15" i="62"/>
  <c r="R112" i="119"/>
  <c r="AQ111" i="119"/>
  <c r="Y111" i="119"/>
  <c r="W107" i="119"/>
  <c r="AN111" i="119"/>
  <c r="AW57" i="61"/>
  <c r="AJ111" i="119"/>
  <c r="AI111" i="119"/>
  <c r="AB32" i="62"/>
  <c r="L107" i="119"/>
  <c r="AP112" i="119"/>
  <c r="AK15" i="62"/>
  <c r="AA111" i="119"/>
  <c r="AP15" i="62"/>
  <c r="U39" i="62"/>
  <c r="AE111" i="119"/>
  <c r="AG65" i="60"/>
  <c r="AQ65" i="60"/>
  <c r="X64" i="60"/>
  <c r="AY60" i="61"/>
  <c r="AD64" i="60"/>
  <c r="AX64" i="60"/>
  <c r="AI65" i="60"/>
  <c r="P64" i="60"/>
  <c r="AJ60" i="61"/>
  <c r="X162" i="119"/>
  <c r="M112" i="119"/>
  <c r="Z19" i="62"/>
  <c r="AR35" i="62"/>
  <c r="P112" i="119"/>
  <c r="X15" i="62"/>
  <c r="W111" i="119"/>
  <c r="AD111" i="119"/>
  <c r="AN15" i="62"/>
  <c r="AV39" i="62"/>
  <c r="AF15" i="62"/>
  <c r="AI35" i="62"/>
  <c r="AI15" i="62"/>
  <c r="AV35" i="62"/>
  <c r="W146" i="119"/>
  <c r="W32" i="62"/>
  <c r="U32" i="62"/>
  <c r="AI57" i="61"/>
  <c r="AK67" i="60"/>
  <c r="Q33" i="60"/>
  <c r="M111" i="119"/>
  <c r="AN35" i="62"/>
  <c r="R111" i="119"/>
  <c r="AG111" i="119"/>
  <c r="AU65" i="60"/>
  <c r="AE112" i="119"/>
  <c r="AV65" i="60"/>
  <c r="AE35" i="62"/>
  <c r="AE44" i="62" s="1"/>
  <c r="Z112" i="119"/>
  <c r="AQ112" i="119"/>
  <c r="AG112" i="119"/>
  <c r="AJ39" i="62"/>
  <c r="AJ35" i="62"/>
  <c r="AJ15" i="62"/>
  <c r="U19" i="62"/>
  <c r="AD39" i="62"/>
  <c r="AU32" i="62"/>
  <c r="AF39" i="62"/>
  <c r="AV32" i="62"/>
  <c r="AX67" i="60"/>
  <c r="AY58" i="61"/>
  <c r="S33" i="60"/>
  <c r="Z162" i="119"/>
  <c r="T15" i="62"/>
  <c r="AL35" i="62"/>
  <c r="J107" i="119"/>
  <c r="AC111" i="119"/>
  <c r="N111" i="119"/>
  <c r="R31" i="62"/>
  <c r="Q111" i="119"/>
  <c r="AL112" i="119"/>
  <c r="AK111" i="119"/>
  <c r="AQ32" i="62"/>
  <c r="AF35" i="62"/>
  <c r="AS35" i="62"/>
  <c r="V111" i="119"/>
  <c r="V112" i="119"/>
  <c r="AR15" i="62"/>
  <c r="AF32" i="62"/>
  <c r="R19" i="62"/>
  <c r="AD67" i="60"/>
  <c r="Q67" i="60"/>
  <c r="J112" i="119"/>
  <c r="AB33" i="60"/>
  <c r="W59" i="61"/>
  <c r="AO112" i="119"/>
  <c r="AP111" i="119"/>
  <c r="AS112" i="119"/>
  <c r="AT15" i="62"/>
  <c r="U111" i="119"/>
  <c r="AD112" i="119"/>
  <c r="AU35" i="62"/>
  <c r="AF31" i="62"/>
  <c r="AD35" i="62"/>
  <c r="AB31" i="62"/>
  <c r="AT32" i="62"/>
  <c r="S15" i="62"/>
  <c r="AY19" i="62"/>
  <c r="Y32" i="62"/>
  <c r="Y44" i="62" s="1"/>
  <c r="V107" i="119"/>
  <c r="AD65" i="60"/>
  <c r="AW64" i="60"/>
  <c r="R58" i="61"/>
  <c r="Q65" i="60"/>
  <c r="AK65" i="60"/>
  <c r="AM57" i="61"/>
  <c r="AK60" i="61"/>
  <c r="AF13" i="61"/>
  <c r="AV19" i="62"/>
  <c r="S112" i="119"/>
  <c r="AH32" i="62"/>
  <c r="Q35" i="62"/>
  <c r="AA35" i="62"/>
  <c r="AB35" i="62"/>
  <c r="X111" i="119"/>
  <c r="AQ35" i="62"/>
  <c r="AA32" i="62"/>
  <c r="AX57" i="61"/>
  <c r="AH15" i="62"/>
  <c r="L112" i="119"/>
  <c r="Z111" i="119"/>
  <c r="AT39" i="62"/>
  <c r="W15" i="62"/>
  <c r="AS32" i="62"/>
  <c r="Y39" i="62"/>
  <c r="W35" i="62"/>
  <c r="U35" i="62"/>
  <c r="AB112" i="119"/>
  <c r="Z60" i="61"/>
  <c r="R60" i="61"/>
  <c r="AA58" i="61"/>
  <c r="Q64" i="60"/>
  <c r="Y58" i="61"/>
  <c r="U68" i="60"/>
  <c r="Y67" i="60"/>
  <c r="M162" i="119"/>
  <c r="AG15" i="62"/>
  <c r="AM111" i="119"/>
  <c r="T111" i="119"/>
  <c r="AX39" i="62"/>
  <c r="AX46" i="62" s="1"/>
  <c r="N112" i="119"/>
  <c r="AF112" i="119"/>
  <c r="Y112" i="119"/>
  <c r="AT35" i="62"/>
  <c r="AS107" i="119"/>
  <c r="AX15" i="62"/>
  <c r="AZ15" i="62"/>
  <c r="AD31" i="62"/>
  <c r="AO32" i="62"/>
  <c r="AI39" i="62"/>
  <c r="AX65" i="60"/>
  <c r="AS60" i="61"/>
  <c r="AJ57" i="61"/>
  <c r="AI64" i="60"/>
  <c r="J111" i="119"/>
  <c r="J412" i="119" s="1"/>
  <c r="E37" i="92" s="1"/>
  <c r="W64" i="60"/>
  <c r="AO111" i="119"/>
  <c r="AC35" i="62"/>
  <c r="Y15" i="62"/>
  <c r="X112" i="119"/>
  <c r="X35" i="62"/>
  <c r="AP32" i="62"/>
  <c r="AP44" i="62" s="1"/>
  <c r="AR112" i="119"/>
  <c r="AB67" i="60"/>
  <c r="AC112" i="119"/>
  <c r="AI112" i="119"/>
  <c r="AO35" i="62"/>
  <c r="AK39" i="62"/>
  <c r="AK46" i="62" s="1"/>
  <c r="S19" i="62"/>
  <c r="AD60" i="61"/>
  <c r="AW58" i="61"/>
  <c r="AU64" i="60"/>
  <c r="AW39" i="62"/>
  <c r="AX58" i="61"/>
  <c r="AI32" i="62"/>
  <c r="AN19" i="62"/>
  <c r="AY39" i="62"/>
  <c r="T19" i="62"/>
  <c r="AB94" i="59"/>
  <c r="AV94" i="59"/>
  <c r="AN41" i="119"/>
  <c r="AN95" i="119" s="1"/>
  <c r="AQ94" i="59"/>
  <c r="R39" i="62"/>
  <c r="R46" i="62" s="1"/>
  <c r="K162" i="119"/>
  <c r="W39" i="62"/>
  <c r="U13" i="61"/>
  <c r="N162" i="119"/>
  <c r="AL32" i="62"/>
  <c r="AH35" i="62"/>
  <c r="AQ39" i="62"/>
  <c r="AC31" i="62"/>
  <c r="AC32" i="62"/>
  <c r="AC39" i="62"/>
  <c r="AA60" i="61"/>
  <c r="AS94" i="59"/>
  <c r="AL41" i="119"/>
  <c r="AL182" i="119" s="1"/>
  <c r="R33" i="60"/>
  <c r="Y57" i="61"/>
  <c r="T13" i="61"/>
  <c r="AQ41" i="119"/>
  <c r="AQ95" i="119" s="1"/>
  <c r="U66" i="60"/>
  <c r="Z38" i="119"/>
  <c r="N38" i="119"/>
  <c r="S13" i="61"/>
  <c r="L162" i="119"/>
  <c r="Y162" i="119"/>
  <c r="AD33" i="60"/>
  <c r="AI67" i="60"/>
  <c r="AD13" i="61"/>
  <c r="W162" i="119"/>
  <c r="AE13" i="61"/>
  <c r="AW65" i="60"/>
  <c r="AH67" i="60"/>
  <c r="AC33" i="60"/>
  <c r="AE33" i="60"/>
  <c r="AG13" i="61"/>
  <c r="AA50" i="60"/>
  <c r="Z50" i="60"/>
  <c r="AG48" i="60"/>
  <c r="L41" i="119"/>
  <c r="L95" i="119" s="1"/>
  <c r="Q50" i="60"/>
  <c r="V48" i="60"/>
  <c r="T48" i="60"/>
  <c r="AR94" i="59"/>
  <c r="AX94" i="59"/>
  <c r="X50" i="60"/>
  <c r="AR41" i="119"/>
  <c r="AR182" i="119" s="1"/>
  <c r="AH94" i="59"/>
  <c r="AD41" i="119"/>
  <c r="AD95" i="119" s="1"/>
  <c r="W94" i="59"/>
  <c r="W50" i="60"/>
  <c r="AX48" i="60"/>
  <c r="T50" i="60"/>
  <c r="AC50" i="60"/>
  <c r="S50" i="60"/>
  <c r="X48" i="60"/>
  <c r="AP41" i="119"/>
  <c r="AP182" i="119" s="1"/>
  <c r="AI48" i="60"/>
  <c r="AX50" i="60"/>
  <c r="Y41" i="119"/>
  <c r="Y182" i="119" s="1"/>
  <c r="T41" i="119"/>
  <c r="T95" i="119" s="1"/>
  <c r="AG94" i="59"/>
  <c r="AF94" i="59"/>
  <c r="Z48" i="60"/>
  <c r="X94" i="59"/>
  <c r="W48" i="60"/>
  <c r="R50" i="60"/>
  <c r="V50" i="60"/>
  <c r="S48" i="60"/>
  <c r="Y50" i="60"/>
  <c r="P50" i="60"/>
  <c r="AK94" i="59"/>
  <c r="AQ48" i="60"/>
  <c r="Q48" i="60"/>
  <c r="M220" i="119"/>
  <c r="R13" i="61"/>
  <c r="AS94" i="119"/>
  <c r="P33" i="60"/>
  <c r="X216" i="119"/>
  <c r="R57" i="61"/>
  <c r="P94" i="59"/>
  <c r="S140" i="59"/>
  <c r="Y105" i="59"/>
  <c r="AS162" i="119"/>
  <c r="AZ13" i="61"/>
  <c r="AX33" i="60"/>
  <c r="AA13" i="61"/>
  <c r="T162" i="119"/>
  <c r="Y33" i="60"/>
  <c r="AE140" i="59"/>
  <c r="AB13" i="61"/>
  <c r="U162" i="119"/>
  <c r="Z33" i="60"/>
  <c r="AA33" i="60"/>
  <c r="AC13" i="61"/>
  <c r="V162" i="119"/>
  <c r="P105" i="59"/>
  <c r="AC148" i="119"/>
  <c r="L181" i="119"/>
  <c r="K181" i="119"/>
  <c r="W94" i="119"/>
  <c r="Y181" i="119"/>
  <c r="T94" i="119"/>
  <c r="W105" i="59"/>
  <c r="T148" i="119"/>
  <c r="P65" i="60"/>
  <c r="Y60" i="61"/>
  <c r="AK64" i="60"/>
  <c r="R41" i="119"/>
  <c r="R95" i="119" s="1"/>
  <c r="P48" i="60"/>
  <c r="AM60" i="61"/>
  <c r="W65" i="60"/>
  <c r="K41" i="119"/>
  <c r="K95" i="119" s="1"/>
  <c r="AA105" i="59"/>
  <c r="S60" i="61"/>
  <c r="Y64" i="60"/>
  <c r="AK58" i="61"/>
  <c r="Y94" i="59"/>
  <c r="S57" i="61"/>
  <c r="Q105" i="59"/>
  <c r="AY57" i="61"/>
  <c r="AI94" i="59"/>
  <c r="AF41" i="119"/>
  <c r="AF95" i="119" s="1"/>
  <c r="AF57" i="61"/>
  <c r="AF58" i="61"/>
  <c r="AK57" i="61"/>
  <c r="AW67" i="60"/>
  <c r="W181" i="119"/>
  <c r="AM58" i="61"/>
  <c r="AS57" i="61"/>
  <c r="AK48" i="60"/>
  <c r="AH65" i="60"/>
  <c r="S58" i="61"/>
  <c r="Q94" i="59"/>
  <c r="K94" i="119"/>
  <c r="AC41" i="119"/>
  <c r="AC182" i="119" s="1"/>
  <c r="Y65" i="60"/>
  <c r="AH64" i="60"/>
  <c r="AA41" i="119"/>
  <c r="AA95" i="119" s="1"/>
  <c r="Y94" i="119"/>
  <c r="AZ60" i="61"/>
  <c r="AB41" i="119"/>
  <c r="AB95" i="119" s="1"/>
  <c r="AD94" i="59"/>
  <c r="AZ57" i="61"/>
  <c r="AH48" i="60"/>
  <c r="AG64" i="60"/>
  <c r="T181" i="119"/>
  <c r="AU94" i="59"/>
  <c r="Z57" i="61"/>
  <c r="L94" i="119"/>
  <c r="S41" i="119"/>
  <c r="S182" i="119" s="1"/>
  <c r="AW94" i="59"/>
  <c r="AX105" i="59"/>
  <c r="P67" i="60"/>
  <c r="AI58" i="61"/>
  <c r="AS58" i="61"/>
  <c r="AW48" i="60"/>
  <c r="X67" i="60"/>
  <c r="AS41" i="119"/>
  <c r="AS182" i="119" s="1"/>
  <c r="Y48" i="60"/>
  <c r="X105" i="59"/>
  <c r="AF60" i="61"/>
  <c r="AZ58" i="61"/>
  <c r="AQ67" i="60"/>
  <c r="AM41" i="119"/>
  <c r="AM95" i="119" s="1"/>
  <c r="Y107" i="119"/>
  <c r="R105" i="59"/>
  <c r="AC105" i="59"/>
  <c r="AC48" i="60"/>
  <c r="AJ48" i="60"/>
  <c r="AA48" i="60"/>
  <c r="Z105" i="59"/>
  <c r="AH148" i="119"/>
  <c r="AE48" i="60"/>
  <c r="AC64" i="60"/>
  <c r="AE57" i="61"/>
  <c r="AT94" i="59"/>
  <c r="AO41" i="119"/>
  <c r="R48" i="60"/>
  <c r="T58" i="61"/>
  <c r="R65" i="60"/>
  <c r="AE40" i="59"/>
  <c r="S29" i="101"/>
  <c r="I30" i="101"/>
  <c r="U41" i="59"/>
  <c r="AT67" i="60"/>
  <c r="AV60" i="61"/>
  <c r="R64" i="60"/>
  <c r="T57" i="61"/>
  <c r="X41" i="119"/>
  <c r="AC94" i="59"/>
  <c r="AT48" i="60"/>
  <c r="N36" i="119"/>
  <c r="X57" i="61"/>
  <c r="V64" i="60"/>
  <c r="T105" i="59"/>
  <c r="T65" i="60"/>
  <c r="V58" i="61"/>
  <c r="AN94" i="59"/>
  <c r="AI41" i="119"/>
  <c r="AN67" i="60"/>
  <c r="AP60" i="61"/>
  <c r="S105" i="59"/>
  <c r="U58" i="61"/>
  <c r="S65" i="60"/>
  <c r="AE58" i="59"/>
  <c r="S34" i="101"/>
  <c r="Z64" i="60"/>
  <c r="AB57" i="61"/>
  <c r="AL94" i="59"/>
  <c r="AG41" i="119"/>
  <c r="AL67" i="60"/>
  <c r="AN60" i="61"/>
  <c r="AM48" i="60"/>
  <c r="AO60" i="61"/>
  <c r="AM67" i="60"/>
  <c r="AQ58" i="61"/>
  <c r="AO65" i="60"/>
  <c r="AO67" i="60"/>
  <c r="AQ60" i="61"/>
  <c r="AE65" i="60"/>
  <c r="AG58" i="61"/>
  <c r="X181" i="119"/>
  <c r="X94" i="119"/>
  <c r="V181" i="119"/>
  <c r="V94" i="119"/>
  <c r="T67" i="60"/>
  <c r="V60" i="61"/>
  <c r="S94" i="59"/>
  <c r="N41" i="119"/>
  <c r="U60" i="61"/>
  <c r="S67" i="60"/>
  <c r="AA94" i="59"/>
  <c r="V41" i="119"/>
  <c r="AC57" i="61"/>
  <c r="AA64" i="60"/>
  <c r="U60" i="59"/>
  <c r="U132" i="59"/>
  <c r="U138" i="59" s="1"/>
  <c r="I36" i="101"/>
  <c r="AL65" i="60"/>
  <c r="AN58" i="61"/>
  <c r="M107" i="119"/>
  <c r="Y90" i="119"/>
  <c r="Y179" i="119"/>
  <c r="AE136" i="59"/>
  <c r="S37" i="101"/>
  <c r="U59" i="59"/>
  <c r="I35" i="101"/>
  <c r="AE55" i="59"/>
  <c r="AE42" i="59"/>
  <c r="S31" i="101"/>
  <c r="AE64" i="60"/>
  <c r="AG57" i="61"/>
  <c r="AF137" i="59"/>
  <c r="AF133" i="59"/>
  <c r="AF134" i="59"/>
  <c r="Z36" i="119"/>
  <c r="R94" i="59"/>
  <c r="M41" i="119"/>
  <c r="R67" i="60"/>
  <c r="T60" i="61"/>
  <c r="U136" i="59"/>
  <c r="I37" i="101"/>
  <c r="AV58" i="61"/>
  <c r="AT65" i="60"/>
  <c r="P182" i="119"/>
  <c r="P95" i="119"/>
  <c r="V67" i="60"/>
  <c r="X60" i="61"/>
  <c r="O41" i="119"/>
  <c r="T94" i="59"/>
  <c r="AN48" i="60"/>
  <c r="AN65" i="60"/>
  <c r="AP58" i="61"/>
  <c r="AE39" i="59"/>
  <c r="S28" i="101"/>
  <c r="AE57" i="59"/>
  <c r="S33" i="101"/>
  <c r="AC60" i="61"/>
  <c r="AA67" i="60"/>
  <c r="T137" i="59"/>
  <c r="T133" i="59"/>
  <c r="T134" i="59"/>
  <c r="Z94" i="59"/>
  <c r="U41" i="119"/>
  <c r="Z67" i="60"/>
  <c r="AB60" i="61"/>
  <c r="AH41" i="119"/>
  <c r="AM94" i="59"/>
  <c r="AO57" i="61"/>
  <c r="AM64" i="60"/>
  <c r="M181" i="119"/>
  <c r="M94" i="119"/>
  <c r="AO94" i="59"/>
  <c r="AJ41" i="119"/>
  <c r="AE56" i="59"/>
  <c r="S32" i="101"/>
  <c r="U58" i="59"/>
  <c r="I34" i="101"/>
  <c r="U42" i="59"/>
  <c r="U55" i="59"/>
  <c r="I31" i="101"/>
  <c r="AE67" i="60"/>
  <c r="AG60" i="61"/>
  <c r="AG60" i="59"/>
  <c r="U36" i="101"/>
  <c r="AG132" i="59"/>
  <c r="AG138" i="59" s="1"/>
  <c r="U56" i="59"/>
  <c r="I32" i="101"/>
  <c r="AL60" i="61"/>
  <c r="AJ67" i="60"/>
  <c r="AJ64" i="60"/>
  <c r="AL57" i="61"/>
  <c r="I28" i="101"/>
  <c r="U39" i="59"/>
  <c r="Q41" i="119"/>
  <c r="V94" i="59"/>
  <c r="AC67" i="60"/>
  <c r="AE60" i="61"/>
  <c r="AC65" i="60"/>
  <c r="AE58" i="61"/>
  <c r="AT64" i="60"/>
  <c r="AV57" i="61"/>
  <c r="AJ65" i="60"/>
  <c r="AL58" i="61"/>
  <c r="AJ94" i="59"/>
  <c r="AE41" i="119"/>
  <c r="U181" i="119"/>
  <c r="U94" i="119"/>
  <c r="V105" i="59"/>
  <c r="V65" i="60"/>
  <c r="X58" i="61"/>
  <c r="T64" i="60"/>
  <c r="V57" i="61"/>
  <c r="AP57" i="61"/>
  <c r="AN64" i="60"/>
  <c r="AE59" i="59"/>
  <c r="S35" i="101"/>
  <c r="Q5" i="101"/>
  <c r="AD38" i="59"/>
  <c r="R27" i="101"/>
  <c r="U57" i="61"/>
  <c r="S64" i="60"/>
  <c r="AC58" i="61"/>
  <c r="AA65" i="60"/>
  <c r="Z65" i="60"/>
  <c r="AB58" i="61"/>
  <c r="AL48" i="60"/>
  <c r="AN57" i="61"/>
  <c r="AL64" i="60"/>
  <c r="M90" i="119"/>
  <c r="M179" i="119"/>
  <c r="AO58" i="61"/>
  <c r="AM65" i="60"/>
  <c r="AO48" i="60"/>
  <c r="AO64" i="60"/>
  <c r="AQ57" i="61"/>
  <c r="AE41" i="59"/>
  <c r="S30" i="101"/>
  <c r="G5" i="101"/>
  <c r="H27" i="101"/>
  <c r="T38" i="59"/>
  <c r="Z41" i="119"/>
  <c r="AE94" i="59"/>
  <c r="U57" i="59"/>
  <c r="I33" i="101"/>
  <c r="U40" i="59"/>
  <c r="I29" i="101"/>
  <c r="W54" i="119" l="1"/>
  <c r="T54" i="119"/>
  <c r="L54" i="119"/>
  <c r="L125" i="119" s="1"/>
  <c r="AG46" i="62"/>
  <c r="AS54" i="119"/>
  <c r="AS125" i="119" s="1"/>
  <c r="J55" i="119"/>
  <c r="J126" i="119" s="1"/>
  <c r="U196" i="119"/>
  <c r="U54" i="119"/>
  <c r="U125" i="119" s="1"/>
  <c r="V54" i="119"/>
  <c r="V125" i="119" s="1"/>
  <c r="K54" i="119"/>
  <c r="K125" i="119" s="1"/>
  <c r="AD46" i="62"/>
  <c r="AR44" i="62"/>
  <c r="U75" i="119"/>
  <c r="Q20" i="138"/>
  <c r="AU59" i="61"/>
  <c r="AN58" i="119" s="1"/>
  <c r="AN129" i="119" s="1"/>
  <c r="S44" i="62"/>
  <c r="AP46" i="62"/>
  <c r="O239" i="119"/>
  <c r="AQ26" i="62"/>
  <c r="AI26" i="62"/>
  <c r="W182" i="119"/>
  <c r="Y26" i="62"/>
  <c r="AR46" i="62"/>
  <c r="AV46" i="62"/>
  <c r="AD218" i="119"/>
  <c r="AF26" i="62"/>
  <c r="K218" i="119"/>
  <c r="AZ26" i="62"/>
  <c r="AJ44" i="62"/>
  <c r="AH59" i="61"/>
  <c r="AA200" i="119" s="1"/>
  <c r="AF66" i="60"/>
  <c r="AT26" i="62"/>
  <c r="AW26" i="62"/>
  <c r="AE31" i="62"/>
  <c r="X215" i="119" s="1"/>
  <c r="Z94" i="119"/>
  <c r="AV44" i="62"/>
  <c r="AE45" i="61"/>
  <c r="X54" i="119" s="1"/>
  <c r="R44" i="62"/>
  <c r="N181" i="119"/>
  <c r="Y46" i="62"/>
  <c r="AL26" i="62"/>
  <c r="L251" i="119"/>
  <c r="X46" i="62"/>
  <c r="AE46" i="62"/>
  <c r="AX26" i="62"/>
  <c r="T11" i="62"/>
  <c r="T23" i="62" s="1"/>
  <c r="AF11" i="62"/>
  <c r="AS218" i="119"/>
  <c r="AS411" i="119" s="1"/>
  <c r="M36" i="92" s="1"/>
  <c r="AM46" i="62"/>
  <c r="T251" i="119"/>
  <c r="AR26" i="62"/>
  <c r="R43" i="62"/>
  <c r="O148" i="119"/>
  <c r="AI46" i="62"/>
  <c r="AM44" i="62"/>
  <c r="U26" i="62"/>
  <c r="Q43" i="62"/>
  <c r="AH218" i="119"/>
  <c r="AP66" i="60"/>
  <c r="AE148" i="119"/>
  <c r="AF218" i="119"/>
  <c r="AF46" i="62"/>
  <c r="AF220" i="119"/>
  <c r="K146" i="119"/>
  <c r="M252" i="119"/>
  <c r="AC26" i="62"/>
  <c r="AT59" i="61"/>
  <c r="AX59" i="61"/>
  <c r="AV66" i="60"/>
  <c r="AR66" i="60"/>
  <c r="AB26" i="62"/>
  <c r="AM26" i="62"/>
  <c r="AR216" i="119"/>
  <c r="Z26" i="62"/>
  <c r="Q46" i="62"/>
  <c r="S46" i="62"/>
  <c r="X26" i="62"/>
  <c r="AB46" i="62"/>
  <c r="AG26" i="62"/>
  <c r="AY26" i="62"/>
  <c r="AQ46" i="62"/>
  <c r="AE146" i="119"/>
  <c r="M218" i="119"/>
  <c r="AF59" i="61"/>
  <c r="Y199" i="119"/>
  <c r="X44" i="62"/>
  <c r="AT46" i="62"/>
  <c r="AN44" i="62"/>
  <c r="AK26" i="62"/>
  <c r="AF216" i="119"/>
  <c r="AR59" i="61"/>
  <c r="AZ23" i="62"/>
  <c r="S43" i="62"/>
  <c r="S220" i="119"/>
  <c r="AE26" i="62"/>
  <c r="AN46" i="62"/>
  <c r="AW44" i="62"/>
  <c r="W46" i="62"/>
  <c r="AY46" i="62"/>
  <c r="AJ46" i="62"/>
  <c r="AN146" i="119"/>
  <c r="V46" i="62"/>
  <c r="AC23" i="62"/>
  <c r="AD66" i="60"/>
  <c r="U60" i="60"/>
  <c r="W196" i="119"/>
  <c r="V74" i="62"/>
  <c r="V79" i="62" s="1"/>
  <c r="O21" i="119" s="1"/>
  <c r="T26" i="62"/>
  <c r="AB43" i="62"/>
  <c r="Y254" i="119"/>
  <c r="J251" i="119"/>
  <c r="AS26" i="62"/>
  <c r="L128" i="119"/>
  <c r="AE74" i="62"/>
  <c r="T196" i="119"/>
  <c r="AF11" i="60"/>
  <c r="AD148" i="119"/>
  <c r="AC46" i="62"/>
  <c r="O252" i="119"/>
  <c r="T45" i="61"/>
  <c r="V196" i="119"/>
  <c r="AF22" i="60"/>
  <c r="AN26" i="62"/>
  <c r="U46" i="62"/>
  <c r="W252" i="119"/>
  <c r="S128" i="119"/>
  <c r="N239" i="119"/>
  <c r="AH26" i="62"/>
  <c r="L196" i="119"/>
  <c r="AG60" i="60"/>
  <c r="K196" i="119"/>
  <c r="U77" i="61"/>
  <c r="T22" i="60"/>
  <c r="AE254" i="119"/>
  <c r="AC128" i="119"/>
  <c r="T31" i="62"/>
  <c r="R155" i="59" s="1"/>
  <c r="AS196" i="119"/>
  <c r="AA46" i="62"/>
  <c r="O199" i="119"/>
  <c r="U254" i="119"/>
  <c r="T11" i="60"/>
  <c r="AN199" i="119"/>
  <c r="AP218" i="119"/>
  <c r="R26" i="62"/>
  <c r="AB199" i="119"/>
  <c r="AL199" i="119"/>
  <c r="K216" i="119"/>
  <c r="X199" i="119"/>
  <c r="K252" i="119"/>
  <c r="T74" i="62"/>
  <c r="AB66" i="60"/>
  <c r="AU66" i="60"/>
  <c r="AW59" i="61"/>
  <c r="S254" i="119"/>
  <c r="R148" i="119"/>
  <c r="Z220" i="119"/>
  <c r="L254" i="119"/>
  <c r="L216" i="119"/>
  <c r="Q220" i="119"/>
  <c r="Q155" i="59"/>
  <c r="AN148" i="119"/>
  <c r="Y148" i="119"/>
  <c r="Q44" i="62"/>
  <c r="AI146" i="119"/>
  <c r="AP26" i="62"/>
  <c r="AB218" i="119"/>
  <c r="AG44" i="62"/>
  <c r="AP148" i="119"/>
  <c r="AD43" i="62"/>
  <c r="AL44" i="62"/>
  <c r="L252" i="119"/>
  <c r="AE199" i="119"/>
  <c r="S146" i="119"/>
  <c r="T218" i="119"/>
  <c r="U12" i="61"/>
  <c r="AF44" i="62"/>
  <c r="AG12" i="61"/>
  <c r="P199" i="119"/>
  <c r="AQ128" i="119"/>
  <c r="AF128" i="119"/>
  <c r="AQ254" i="119"/>
  <c r="AF254" i="119"/>
  <c r="AC254" i="119"/>
  <c r="R128" i="119"/>
  <c r="AM199" i="119"/>
  <c r="AB148" i="119"/>
  <c r="T125" i="119"/>
  <c r="T199" i="119"/>
  <c r="AQ44" i="62"/>
  <c r="AG220" i="119"/>
  <c r="AS44" i="62"/>
  <c r="U146" i="119"/>
  <c r="N199" i="119"/>
  <c r="U218" i="119"/>
  <c r="AP220" i="119"/>
  <c r="AW46" i="62"/>
  <c r="AO44" i="62"/>
  <c r="J146" i="119"/>
  <c r="AL220" i="119"/>
  <c r="AS46" i="62"/>
  <c r="Y215" i="119"/>
  <c r="AF43" i="62"/>
  <c r="AO148" i="119"/>
  <c r="AV26" i="62"/>
  <c r="AS252" i="119"/>
  <c r="AE220" i="119"/>
  <c r="AL46" i="62"/>
  <c r="J220" i="119"/>
  <c r="K143" i="119"/>
  <c r="R23" i="62"/>
  <c r="AC44" i="62"/>
  <c r="U44" i="62"/>
  <c r="AJ199" i="119"/>
  <c r="AA220" i="119"/>
  <c r="AH46" i="62"/>
  <c r="AK220" i="119"/>
  <c r="AC43" i="62"/>
  <c r="AS215" i="119"/>
  <c r="AT44" i="62"/>
  <c r="W44" i="62"/>
  <c r="AD23" i="62"/>
  <c r="AS220" i="119"/>
  <c r="AZ46" i="62"/>
  <c r="L148" i="119"/>
  <c r="S26" i="62"/>
  <c r="P218" i="119"/>
  <c r="L143" i="119"/>
  <c r="S23" i="62"/>
  <c r="AB216" i="119"/>
  <c r="AI44" i="62"/>
  <c r="AS216" i="119"/>
  <c r="AZ44" i="62"/>
  <c r="T216" i="119"/>
  <c r="AA44" i="62"/>
  <c r="U216" i="119"/>
  <c r="AB44" i="62"/>
  <c r="AA216" i="119"/>
  <c r="AH44" i="62"/>
  <c r="AD216" i="119"/>
  <c r="AK44" i="62"/>
  <c r="AN216" i="119"/>
  <c r="AU44" i="62"/>
  <c r="W216" i="119"/>
  <c r="AD44" i="62"/>
  <c r="J199" i="119"/>
  <c r="J144" i="119"/>
  <c r="AQ199" i="119"/>
  <c r="R199" i="119"/>
  <c r="O220" i="119"/>
  <c r="AD146" i="119"/>
  <c r="AS146" i="119"/>
  <c r="AL95" i="119"/>
  <c r="AK218" i="119"/>
  <c r="AJ148" i="119"/>
  <c r="AP199" i="119"/>
  <c r="Y218" i="119"/>
  <c r="R254" i="119"/>
  <c r="T128" i="119"/>
  <c r="AG146" i="119"/>
  <c r="T254" i="119"/>
  <c r="S148" i="119"/>
  <c r="P146" i="119"/>
  <c r="AO218" i="119"/>
  <c r="M146" i="119"/>
  <c r="AD59" i="61"/>
  <c r="AK182" i="119"/>
  <c r="U251" i="119"/>
  <c r="X148" i="119"/>
  <c r="AL218" i="119"/>
  <c r="AL148" i="119"/>
  <c r="J148" i="119"/>
  <c r="M148" i="119"/>
  <c r="K251" i="119"/>
  <c r="AE25" i="61"/>
  <c r="AF24" i="61"/>
  <c r="Y54" i="119" s="1"/>
  <c r="AP254" i="119"/>
  <c r="AO254" i="119"/>
  <c r="M254" i="119"/>
  <c r="U25" i="61"/>
  <c r="J254" i="119"/>
  <c r="U128" i="119"/>
  <c r="S25" i="61"/>
  <c r="R146" i="119"/>
  <c r="AO146" i="119"/>
  <c r="Y128" i="119"/>
  <c r="R25" i="61"/>
  <c r="AB59" i="61"/>
  <c r="AG25" i="61"/>
  <c r="AD25" i="61"/>
  <c r="T25" i="61"/>
  <c r="AH128" i="119"/>
  <c r="AE128" i="119"/>
  <c r="AK199" i="119"/>
  <c r="AC218" i="119"/>
  <c r="AF25" i="61"/>
  <c r="P58" i="119"/>
  <c r="P129" i="119" s="1"/>
  <c r="P200" i="119"/>
  <c r="AK254" i="119"/>
  <c r="M128" i="119"/>
  <c r="V218" i="119"/>
  <c r="Z199" i="119"/>
  <c r="AQ148" i="119"/>
  <c r="AO128" i="119"/>
  <c r="AH254" i="119"/>
  <c r="AG254" i="119"/>
  <c r="Q128" i="119"/>
  <c r="AG128" i="119"/>
  <c r="AA199" i="119"/>
  <c r="AK128" i="119"/>
  <c r="AD182" i="119"/>
  <c r="AD199" i="119"/>
  <c r="Y146" i="119"/>
  <c r="AS199" i="119"/>
  <c r="Q199" i="119"/>
  <c r="AE218" i="119"/>
  <c r="S199" i="119"/>
  <c r="AB25" i="61"/>
  <c r="AF199" i="119"/>
  <c r="T24" i="61"/>
  <c r="Q254" i="119"/>
  <c r="M199" i="119"/>
  <c r="AC199" i="119"/>
  <c r="O254" i="119"/>
  <c r="O128" i="119"/>
  <c r="AI254" i="119"/>
  <c r="AI128" i="119"/>
  <c r="X196" i="119"/>
  <c r="AN128" i="119"/>
  <c r="AN254" i="119"/>
  <c r="AC25" i="61"/>
  <c r="AA25" i="61"/>
  <c r="U199" i="119"/>
  <c r="V199" i="119"/>
  <c r="AZ25" i="61"/>
  <c r="K199" i="119"/>
  <c r="W199" i="119"/>
  <c r="L146" i="119"/>
  <c r="O155" i="59"/>
  <c r="Z146" i="119"/>
  <c r="AJ218" i="119"/>
  <c r="X218" i="119"/>
  <c r="V68" i="60"/>
  <c r="AE66" i="60"/>
  <c r="R68" i="60"/>
  <c r="AX68" i="60"/>
  <c r="Z68" i="60"/>
  <c r="AE12" i="62"/>
  <c r="V251" i="119"/>
  <c r="AG218" i="119"/>
  <c r="AD220" i="119"/>
  <c r="W215" i="119"/>
  <c r="R220" i="119"/>
  <c r="AM220" i="119"/>
  <c r="J218" i="119"/>
  <c r="J411" i="119" s="1"/>
  <c r="E36" i="92" s="1"/>
  <c r="V146" i="119"/>
  <c r="AK146" i="119"/>
  <c r="AO216" i="119"/>
  <c r="AC146" i="119"/>
  <c r="AP128" i="119"/>
  <c r="Y66" i="60"/>
  <c r="U108" i="119"/>
  <c r="AR148" i="119"/>
  <c r="AC220" i="119"/>
  <c r="J215" i="119"/>
  <c r="Y59" i="61"/>
  <c r="AK59" i="61"/>
  <c r="W68" i="60"/>
  <c r="T66" i="60"/>
  <c r="AB69" i="60"/>
  <c r="Y251" i="119"/>
  <c r="AL216" i="119"/>
  <c r="AM254" i="119"/>
  <c r="AM128" i="119"/>
  <c r="AL128" i="119"/>
  <c r="AL254" i="119"/>
  <c r="L108" i="119"/>
  <c r="Q146" i="119"/>
  <c r="P66" i="60"/>
  <c r="R12" i="62"/>
  <c r="AQ66" i="60"/>
  <c r="V66" i="60"/>
  <c r="AA68" i="60"/>
  <c r="T252" i="119"/>
  <c r="AI216" i="119"/>
  <c r="AQ220" i="119"/>
  <c r="N218" i="119"/>
  <c r="K215" i="119"/>
  <c r="P155" i="59"/>
  <c r="N108" i="119"/>
  <c r="Y220" i="119"/>
  <c r="N216" i="119"/>
  <c r="N254" i="119"/>
  <c r="N128" i="119"/>
  <c r="AG199" i="119"/>
  <c r="AA254" i="119"/>
  <c r="AA128" i="119"/>
  <c r="AF12" i="62"/>
  <c r="AF24" i="62" s="1"/>
  <c r="AW66" i="60"/>
  <c r="T108" i="119"/>
  <c r="Z66" i="60"/>
  <c r="X66" i="60"/>
  <c r="Q68" i="60"/>
  <c r="AG12" i="62"/>
  <c r="AG24" i="62" s="1"/>
  <c r="AD12" i="62"/>
  <c r="AD24" i="62" s="1"/>
  <c r="T12" i="62"/>
  <c r="T24" i="62" s="1"/>
  <c r="X252" i="119"/>
  <c r="AI199" i="119"/>
  <c r="R216" i="119"/>
  <c r="X254" i="119"/>
  <c r="X128" i="119"/>
  <c r="AN218" i="119"/>
  <c r="W218" i="119"/>
  <c r="AB146" i="119"/>
  <c r="AK66" i="60"/>
  <c r="AO199" i="119"/>
  <c r="J252" i="119"/>
  <c r="AO220" i="119"/>
  <c r="AA66" i="60"/>
  <c r="P68" i="60"/>
  <c r="S68" i="60"/>
  <c r="Z108" i="119"/>
  <c r="S12" i="62"/>
  <c r="U252" i="119"/>
  <c r="AM216" i="119"/>
  <c r="W108" i="119"/>
  <c r="K148" i="119"/>
  <c r="X143" i="119"/>
  <c r="AQ146" i="119"/>
  <c r="N148" i="119"/>
  <c r="P216" i="119"/>
  <c r="N220" i="119"/>
  <c r="Z254" i="119"/>
  <c r="Z128" i="119"/>
  <c r="Q66" i="60"/>
  <c r="L199" i="119"/>
  <c r="T143" i="119"/>
  <c r="AJ66" i="60"/>
  <c r="AJ59" i="61"/>
  <c r="Y68" i="60"/>
  <c r="AC68" i="60"/>
  <c r="X108" i="119"/>
  <c r="Y108" i="119"/>
  <c r="M108" i="119"/>
  <c r="U12" i="62"/>
  <c r="W251" i="119"/>
  <c r="AB254" i="119"/>
  <c r="AB128" i="119"/>
  <c r="U215" i="119"/>
  <c r="AM218" i="119"/>
  <c r="AM146" i="119"/>
  <c r="W220" i="119"/>
  <c r="AX66" i="60"/>
  <c r="AS251" i="119"/>
  <c r="AC66" i="60"/>
  <c r="V108" i="119"/>
  <c r="AS108" i="119"/>
  <c r="S66" i="60"/>
  <c r="T68" i="60"/>
  <c r="X68" i="60"/>
  <c r="AI59" i="61"/>
  <c r="V252" i="119"/>
  <c r="AD254" i="119"/>
  <c r="AD128" i="119"/>
  <c r="AB220" i="119"/>
  <c r="AH216" i="119"/>
  <c r="J128" i="119"/>
  <c r="AR199" i="119"/>
  <c r="Y216" i="119"/>
  <c r="AJ216" i="119"/>
  <c r="W254" i="119"/>
  <c r="W128" i="119"/>
  <c r="AA146" i="119"/>
  <c r="Q218" i="119"/>
  <c r="AS254" i="119"/>
  <c r="AS128" i="119"/>
  <c r="AQ182" i="119"/>
  <c r="AN182" i="119"/>
  <c r="W125" i="119"/>
  <c r="AR128" i="119"/>
  <c r="AR254" i="119"/>
  <c r="AR220" i="119"/>
  <c r="X59" i="61"/>
  <c r="AG148" i="119"/>
  <c r="J196" i="119"/>
  <c r="K220" i="119"/>
  <c r="K254" i="119"/>
  <c r="K128" i="119"/>
  <c r="K108" i="119"/>
  <c r="J125" i="119"/>
  <c r="P128" i="119"/>
  <c r="P254" i="119"/>
  <c r="P220" i="119"/>
  <c r="AD62" i="61"/>
  <c r="AJ220" i="119"/>
  <c r="AA218" i="119"/>
  <c r="AE216" i="119"/>
  <c r="AG66" i="60"/>
  <c r="AJ128" i="119"/>
  <c r="AJ254" i="119"/>
  <c r="V220" i="119"/>
  <c r="V128" i="119"/>
  <c r="V254" i="119"/>
  <c r="V216" i="119"/>
  <c r="V215" i="119"/>
  <c r="Y95" i="119"/>
  <c r="AI66" i="60"/>
  <c r="O38" i="119"/>
  <c r="AS59" i="61"/>
  <c r="AA38" i="119"/>
  <c r="S59" i="61"/>
  <c r="AR95" i="119"/>
  <c r="O154" i="59"/>
  <c r="J143" i="119"/>
  <c r="Z59" i="61"/>
  <c r="AZ59" i="61"/>
  <c r="U59" i="61"/>
  <c r="V59" i="61"/>
  <c r="AP95" i="119"/>
  <c r="T182" i="119"/>
  <c r="T411" i="119" s="1"/>
  <c r="H36" i="92" s="1"/>
  <c r="W66" i="60"/>
  <c r="L182" i="119"/>
  <c r="L411" i="119" s="1"/>
  <c r="G36" i="92" s="1"/>
  <c r="J197" i="119"/>
  <c r="AF140" i="59"/>
  <c r="AZ12" i="62"/>
  <c r="AZ24" i="62" s="1"/>
  <c r="T140" i="59"/>
  <c r="AA12" i="62"/>
  <c r="AA24" i="62" s="1"/>
  <c r="AB12" i="62"/>
  <c r="AB24" i="62" s="1"/>
  <c r="AC12" i="62"/>
  <c r="AC24" i="62" s="1"/>
  <c r="L412" i="119"/>
  <c r="G37" i="92" s="1"/>
  <c r="T23" i="119"/>
  <c r="P22" i="138" s="1"/>
  <c r="J409" i="119"/>
  <c r="E34" i="92" s="1"/>
  <c r="W412" i="119"/>
  <c r="AS412" i="119"/>
  <c r="M37" i="92" s="1"/>
  <c r="R182" i="119"/>
  <c r="AM59" i="61"/>
  <c r="R59" i="61"/>
  <c r="K182" i="119"/>
  <c r="K411" i="119" s="1"/>
  <c r="AF182" i="119"/>
  <c r="AA182" i="119"/>
  <c r="AC95" i="119"/>
  <c r="AG59" i="61"/>
  <c r="AY59" i="61"/>
  <c r="AH66" i="60"/>
  <c r="S95" i="119"/>
  <c r="AM182" i="119"/>
  <c r="AS95" i="119"/>
  <c r="AB182" i="119"/>
  <c r="AL59" i="61"/>
  <c r="AC59" i="61"/>
  <c r="AA59" i="61"/>
  <c r="AE59" i="61"/>
  <c r="AH60" i="59"/>
  <c r="AH132" i="59"/>
  <c r="AH138" i="59" s="1"/>
  <c r="V36" i="101"/>
  <c r="AJ182" i="119"/>
  <c r="AJ95" i="119"/>
  <c r="O36" i="119"/>
  <c r="AF57" i="59"/>
  <c r="T33" i="101"/>
  <c r="AG33" i="61"/>
  <c r="Z107" i="119"/>
  <c r="Z90" i="119"/>
  <c r="Z179" i="119"/>
  <c r="AA36" i="119"/>
  <c r="AF42" i="59"/>
  <c r="AF55" i="59"/>
  <c r="T31" i="101"/>
  <c r="U33" i="61"/>
  <c r="N107" i="119"/>
  <c r="X95" i="119"/>
  <c r="X182" i="119"/>
  <c r="AO66" i="60"/>
  <c r="AQ59" i="61"/>
  <c r="AL66" i="60"/>
  <c r="AN59" i="61"/>
  <c r="Z95" i="119"/>
  <c r="Z182" i="119"/>
  <c r="AE95" i="119"/>
  <c r="AE182" i="119"/>
  <c r="V39" i="59"/>
  <c r="J28" i="101"/>
  <c r="V58" i="59"/>
  <c r="J34" i="101"/>
  <c r="AF39" i="59"/>
  <c r="T28" i="101"/>
  <c r="O95" i="119"/>
  <c r="O182" i="119"/>
  <c r="Z268" i="119"/>
  <c r="Z92" i="119"/>
  <c r="V60" i="59"/>
  <c r="V132" i="59"/>
  <c r="V138" i="59" s="1"/>
  <c r="J36" i="101"/>
  <c r="AM66" i="60"/>
  <c r="AO59" i="61"/>
  <c r="AT66" i="60"/>
  <c r="AV59" i="61"/>
  <c r="AO182" i="119"/>
  <c r="AO95" i="119"/>
  <c r="AF59" i="59"/>
  <c r="T35" i="101"/>
  <c r="V40" i="59"/>
  <c r="J29" i="101"/>
  <c r="AF41" i="59"/>
  <c r="T30" i="101"/>
  <c r="V56" i="59"/>
  <c r="J32" i="101"/>
  <c r="J31" i="101"/>
  <c r="V42" i="59"/>
  <c r="V55" i="59"/>
  <c r="V136" i="59"/>
  <c r="J37" i="101"/>
  <c r="M95" i="119"/>
  <c r="M182" i="119"/>
  <c r="U137" i="59"/>
  <c r="U133" i="59"/>
  <c r="U134" i="59"/>
  <c r="V95" i="119"/>
  <c r="V182" i="119"/>
  <c r="V411" i="119" s="1"/>
  <c r="N95" i="119"/>
  <c r="N182" i="119"/>
  <c r="AG95" i="119"/>
  <c r="AG182" i="119"/>
  <c r="AF58" i="59"/>
  <c r="T34" i="101"/>
  <c r="AI182" i="119"/>
  <c r="AI95" i="119"/>
  <c r="N90" i="119"/>
  <c r="N179" i="119"/>
  <c r="J30" i="101"/>
  <c r="V41" i="59"/>
  <c r="V57" i="59"/>
  <c r="J33" i="101"/>
  <c r="U38" i="59"/>
  <c r="I27" i="101"/>
  <c r="H5" i="101"/>
  <c r="AE38" i="59"/>
  <c r="R5" i="101"/>
  <c r="S27" i="101"/>
  <c r="Q182" i="119"/>
  <c r="Q95" i="119"/>
  <c r="AG137" i="59"/>
  <c r="AG134" i="59"/>
  <c r="AG133" i="59"/>
  <c r="AF56" i="59"/>
  <c r="T32" i="101"/>
  <c r="AH182" i="119"/>
  <c r="AH95" i="119"/>
  <c r="U182" i="119"/>
  <c r="U411" i="119" s="1"/>
  <c r="U95" i="119"/>
  <c r="O167" i="119"/>
  <c r="O40" i="119"/>
  <c r="AN66" i="60"/>
  <c r="AP59" i="61"/>
  <c r="AA167" i="119"/>
  <c r="AA40" i="119"/>
  <c r="V59" i="59"/>
  <c r="J35" i="101"/>
  <c r="AF136" i="59"/>
  <c r="T37" i="101"/>
  <c r="N268" i="119"/>
  <c r="N92" i="119"/>
  <c r="AF40" i="59"/>
  <c r="T29" i="101"/>
  <c r="R66" i="60"/>
  <c r="T59" i="61"/>
  <c r="W411" i="119" l="1"/>
  <c r="M54" i="119"/>
  <c r="M125" i="119" s="1"/>
  <c r="AN200" i="119"/>
  <c r="O411" i="119"/>
  <c r="F36" i="92" s="1"/>
  <c r="W55" i="119"/>
  <c r="W126" i="119" s="1"/>
  <c r="AA58" i="119"/>
  <c r="AA129" i="119" s="1"/>
  <c r="O75" i="119"/>
  <c r="K20" i="138"/>
  <c r="Q89" i="62"/>
  <c r="AE43" i="62"/>
  <c r="X20" i="119" s="1"/>
  <c r="J20" i="119"/>
  <c r="J410" i="119" s="1"/>
  <c r="E35" i="92" s="1"/>
  <c r="X251" i="119"/>
  <c r="X125" i="119"/>
  <c r="AP58" i="119"/>
  <c r="AP129" i="119" s="1"/>
  <c r="AP200" i="119"/>
  <c r="K20" i="119"/>
  <c r="AQ58" i="119"/>
  <c r="AQ129" i="119" s="1"/>
  <c r="AQ200" i="119"/>
  <c r="AM58" i="119"/>
  <c r="AM129" i="119" s="1"/>
  <c r="AM200" i="119"/>
  <c r="AG11" i="62"/>
  <c r="U11" i="62"/>
  <c r="U23" i="62" s="1"/>
  <c r="P239" i="119"/>
  <c r="W77" i="61"/>
  <c r="W74" i="62" s="1"/>
  <c r="W79" i="62" s="1"/>
  <c r="P21" i="119" s="1"/>
  <c r="P411" i="119" s="1"/>
  <c r="L20" i="119"/>
  <c r="L410" i="119" s="1"/>
  <c r="G35" i="92" s="1"/>
  <c r="T43" i="62"/>
  <c r="M20" i="119" s="1"/>
  <c r="M410" i="119" s="1"/>
  <c r="M215" i="119"/>
  <c r="T20" i="119"/>
  <c r="Y58" i="119"/>
  <c r="Y129" i="119" s="1"/>
  <c r="M251" i="119"/>
  <c r="AK58" i="119"/>
  <c r="AK129" i="119" s="1"/>
  <c r="Y200" i="119"/>
  <c r="AK200" i="119"/>
  <c r="U58" i="119"/>
  <c r="U129" i="119" s="1"/>
  <c r="U200" i="119"/>
  <c r="U74" i="62"/>
  <c r="V60" i="60"/>
  <c r="N252" i="119"/>
  <c r="X221" i="119"/>
  <c r="AE79" i="62"/>
  <c r="X21" i="119" s="1"/>
  <c r="X411" i="119" s="1"/>
  <c r="AH60" i="60"/>
  <c r="AG11" i="60"/>
  <c r="O221" i="119"/>
  <c r="U22" i="60"/>
  <c r="AG22" i="60"/>
  <c r="U11" i="60"/>
  <c r="M221" i="119"/>
  <c r="T79" i="62"/>
  <c r="M21" i="119" s="1"/>
  <c r="M411" i="119" s="1"/>
  <c r="V12" i="61"/>
  <c r="AD59" i="62"/>
  <c r="AD64" i="62" s="1"/>
  <c r="H32" i="123"/>
  <c r="AH12" i="61"/>
  <c r="AS20" i="119"/>
  <c r="AF23" i="62"/>
  <c r="L144" i="119"/>
  <c r="S24" i="62"/>
  <c r="AE24" i="62"/>
  <c r="N144" i="119"/>
  <c r="U24" i="62"/>
  <c r="K144" i="119"/>
  <c r="R24" i="62"/>
  <c r="J18" i="119"/>
  <c r="AD200" i="119"/>
  <c r="P154" i="59"/>
  <c r="P156" i="59" s="1"/>
  <c r="AC58" i="119"/>
  <c r="AC129" i="119" s="1"/>
  <c r="AC200" i="119"/>
  <c r="L200" i="119"/>
  <c r="W58" i="119"/>
  <c r="W129" i="119" s="1"/>
  <c r="W200" i="119"/>
  <c r="U24" i="61"/>
  <c r="R58" i="119"/>
  <c r="R129" i="119" s="1"/>
  <c r="O156" i="59"/>
  <c r="Y143" i="119"/>
  <c r="Y20" i="119"/>
  <c r="Y410" i="119" s="1"/>
  <c r="I35" i="92" s="1"/>
  <c r="Q58" i="119"/>
  <c r="Q129" i="119" s="1"/>
  <c r="Q200" i="119"/>
  <c r="U20" i="119"/>
  <c r="U410" i="119" s="1"/>
  <c r="X144" i="119"/>
  <c r="U45" i="61"/>
  <c r="AG45" i="61"/>
  <c r="AG24" i="61"/>
  <c r="Q154" i="59"/>
  <c r="Q156" i="59" s="1"/>
  <c r="W144" i="119"/>
  <c r="AC69" i="60"/>
  <c r="S69" i="60"/>
  <c r="S62" i="61"/>
  <c r="L55" i="119" s="1"/>
  <c r="O58" i="119"/>
  <c r="O129" i="119" s="1"/>
  <c r="Z144" i="119"/>
  <c r="Z58" i="119"/>
  <c r="Z129" i="119" s="1"/>
  <c r="P69" i="60"/>
  <c r="X58" i="119"/>
  <c r="X129" i="119" s="1"/>
  <c r="AB62" i="61"/>
  <c r="U55" i="119" s="1"/>
  <c r="AA69" i="60"/>
  <c r="N200" i="119"/>
  <c r="L58" i="119"/>
  <c r="L129" i="119" s="1"/>
  <c r="AB200" i="119"/>
  <c r="Y196" i="119"/>
  <c r="Y125" i="119"/>
  <c r="W20" i="119"/>
  <c r="W410" i="119" s="1"/>
  <c r="T62" i="61"/>
  <c r="M55" i="119" s="1"/>
  <c r="AH13" i="61"/>
  <c r="Y144" i="119"/>
  <c r="AD58" i="119"/>
  <c r="AD129" i="119" s="1"/>
  <c r="O162" i="119"/>
  <c r="W197" i="119"/>
  <c r="K200" i="119"/>
  <c r="AS58" i="119"/>
  <c r="AS129" i="119" s="1"/>
  <c r="V200" i="119"/>
  <c r="AF58" i="119"/>
  <c r="AF129" i="119" s="1"/>
  <c r="Y69" i="60"/>
  <c r="S58" i="119"/>
  <c r="S129" i="119" s="1"/>
  <c r="AB58" i="119"/>
  <c r="AB129" i="119" s="1"/>
  <c r="M144" i="119"/>
  <c r="W114" i="119"/>
  <c r="W415" i="119" s="1"/>
  <c r="R200" i="119"/>
  <c r="AE200" i="119"/>
  <c r="AR58" i="119"/>
  <c r="AR129" i="119" s="1"/>
  <c r="AZ62" i="61"/>
  <c r="AS55" i="119" s="1"/>
  <c r="AL200" i="119"/>
  <c r="N58" i="119"/>
  <c r="N129" i="119" s="1"/>
  <c r="AX69" i="60"/>
  <c r="V20" i="119"/>
  <c r="R69" i="60"/>
  <c r="AA162" i="119"/>
  <c r="AF33" i="60"/>
  <c r="O200" i="119"/>
  <c r="AL58" i="119"/>
  <c r="AL129" i="119" s="1"/>
  <c r="AB38" i="119"/>
  <c r="U62" i="61"/>
  <c r="N55" i="119" s="1"/>
  <c r="P38" i="119"/>
  <c r="AC62" i="61"/>
  <c r="V55" i="119" s="1"/>
  <c r="AS200" i="119"/>
  <c r="S200" i="119"/>
  <c r="Q69" i="60"/>
  <c r="Z69" i="60"/>
  <c r="R62" i="61"/>
  <c r="K55" i="119" s="1"/>
  <c r="AA62" i="61"/>
  <c r="T55" i="119" s="1"/>
  <c r="AE62" i="61"/>
  <c r="X55" i="119" s="1"/>
  <c r="V13" i="61"/>
  <c r="T33" i="60"/>
  <c r="M196" i="119"/>
  <c r="V144" i="119"/>
  <c r="T144" i="119"/>
  <c r="U144" i="119"/>
  <c r="AG140" i="59"/>
  <c r="U140" i="59"/>
  <c r="AS144" i="119"/>
  <c r="AG31" i="62"/>
  <c r="AG43" i="62" s="1"/>
  <c r="U31" i="62"/>
  <c r="U43" i="62" s="1"/>
  <c r="M143" i="119"/>
  <c r="R154" i="59"/>
  <c r="R156" i="59" s="1"/>
  <c r="Z23" i="119"/>
  <c r="Z413" i="119" s="1"/>
  <c r="J413" i="119"/>
  <c r="E38" i="92" s="1"/>
  <c r="Q23" i="119"/>
  <c r="Q413" i="119" s="1"/>
  <c r="AK23" i="119"/>
  <c r="AN23" i="119"/>
  <c r="K23" i="119"/>
  <c r="AG23" i="119"/>
  <c r="L23" i="119"/>
  <c r="AL23" i="119"/>
  <c r="AL413" i="119" s="1"/>
  <c r="AD23" i="119"/>
  <c r="O23" i="119"/>
  <c r="X23" i="119"/>
  <c r="AH23" i="119"/>
  <c r="AF23" i="119"/>
  <c r="AF413" i="119" s="1"/>
  <c r="AF200" i="119"/>
  <c r="AS23" i="119"/>
  <c r="AS413" i="119" s="1"/>
  <c r="M38" i="92" s="1"/>
  <c r="AJ23" i="119"/>
  <c r="AJ413" i="119" s="1"/>
  <c r="AR23" i="119"/>
  <c r="V23" i="119"/>
  <c r="AC23" i="119"/>
  <c r="AE23" i="119"/>
  <c r="U23" i="119"/>
  <c r="AA23" i="119"/>
  <c r="AM23" i="119"/>
  <c r="AM413" i="119" s="1"/>
  <c r="AQ23" i="119"/>
  <c r="P23" i="119"/>
  <c r="AI23" i="119"/>
  <c r="S23" i="119"/>
  <c r="N23" i="119"/>
  <c r="AB23" i="119"/>
  <c r="AP23" i="119"/>
  <c r="AO23" i="119"/>
  <c r="W23" i="119"/>
  <c r="R23" i="119"/>
  <c r="Y23" i="119"/>
  <c r="N412" i="119"/>
  <c r="X412" i="119"/>
  <c r="U412" i="119"/>
  <c r="T413" i="119"/>
  <c r="H38" i="92" s="1"/>
  <c r="K58" i="119"/>
  <c r="X200" i="119"/>
  <c r="Z200" i="119"/>
  <c r="AE58" i="119"/>
  <c r="AE129" i="119" s="1"/>
  <c r="AR200" i="119"/>
  <c r="V58" i="119"/>
  <c r="T200" i="119"/>
  <c r="T58" i="119"/>
  <c r="M200" i="119"/>
  <c r="M58" i="119"/>
  <c r="O94" i="119"/>
  <c r="O412" i="119" s="1"/>
  <c r="F37" i="92" s="1"/>
  <c r="O181" i="119"/>
  <c r="AB36" i="119"/>
  <c r="AG58" i="59"/>
  <c r="U34" i="101"/>
  <c r="W136" i="59"/>
  <c r="K37" i="101"/>
  <c r="X136" i="59" s="1"/>
  <c r="W56" i="59"/>
  <c r="K32" i="101"/>
  <c r="X56" i="59" s="1"/>
  <c r="AO200" i="119"/>
  <c r="AO58" i="119"/>
  <c r="AO129" i="119" s="1"/>
  <c r="AH58" i="119"/>
  <c r="AH129" i="119" s="1"/>
  <c r="AH200" i="119"/>
  <c r="AG39" i="59"/>
  <c r="U28" i="101"/>
  <c r="AG200" i="119"/>
  <c r="AG58" i="119"/>
  <c r="AG129" i="119" s="1"/>
  <c r="O90" i="119"/>
  <c r="O179" i="119"/>
  <c r="W59" i="59"/>
  <c r="K35" i="101"/>
  <c r="X59" i="59" s="1"/>
  <c r="AA181" i="119"/>
  <c r="AA94" i="119"/>
  <c r="AB167" i="119"/>
  <c r="AB40" i="119"/>
  <c r="V38" i="59"/>
  <c r="I5" i="101"/>
  <c r="J27" i="101"/>
  <c r="W57" i="59"/>
  <c r="K33" i="101"/>
  <c r="X57" i="59" s="1"/>
  <c r="W41" i="59"/>
  <c r="K30" i="101"/>
  <c r="X41" i="59" s="1"/>
  <c r="P167" i="119"/>
  <c r="P40" i="119"/>
  <c r="W42" i="59"/>
  <c r="W55" i="59"/>
  <c r="K31" i="101"/>
  <c r="K29" i="101"/>
  <c r="X40" i="59" s="1"/>
  <c r="W40" i="59"/>
  <c r="W60" i="59"/>
  <c r="W132" i="59"/>
  <c r="W138" i="59" s="1"/>
  <c r="K36" i="101"/>
  <c r="K34" i="101"/>
  <c r="X58" i="59" s="1"/>
  <c r="W58" i="59"/>
  <c r="AG42" i="59"/>
  <c r="U31" i="101"/>
  <c r="AG55" i="59"/>
  <c r="AA179" i="119"/>
  <c r="AA90" i="119"/>
  <c r="AI60" i="59"/>
  <c r="W36" i="101"/>
  <c r="AI132" i="59"/>
  <c r="AI138" i="59" s="1"/>
  <c r="AG40" i="59"/>
  <c r="U29" i="101"/>
  <c r="AI58" i="119"/>
  <c r="AI129" i="119" s="1"/>
  <c r="AI200" i="119"/>
  <c r="AG56" i="59"/>
  <c r="U32" i="101"/>
  <c r="P36" i="119"/>
  <c r="V137" i="59"/>
  <c r="V133" i="59"/>
  <c r="V134" i="59"/>
  <c r="AH33" i="61"/>
  <c r="AA107" i="119"/>
  <c r="O92" i="119"/>
  <c r="O268" i="119"/>
  <c r="W39" i="59"/>
  <c r="K28" i="101"/>
  <c r="X39" i="59" s="1"/>
  <c r="AJ58" i="119"/>
  <c r="AJ129" i="119" s="1"/>
  <c r="AJ200" i="119"/>
  <c r="AH137" i="59"/>
  <c r="AH133" i="59"/>
  <c r="AH134" i="59"/>
  <c r="T285" i="119"/>
  <c r="AG136" i="59"/>
  <c r="U37" i="101"/>
  <c r="S5" i="101"/>
  <c r="AF38" i="59"/>
  <c r="T27" i="101"/>
  <c r="T69" i="60"/>
  <c r="V62" i="61"/>
  <c r="AG41" i="59"/>
  <c r="U30" i="101"/>
  <c r="AG59" i="59"/>
  <c r="U35" i="101"/>
  <c r="AA268" i="119"/>
  <c r="AA92" i="119"/>
  <c r="V33" i="61"/>
  <c r="O107" i="119"/>
  <c r="AG57" i="59"/>
  <c r="U33" i="101"/>
  <c r="J408" i="119" l="1"/>
  <c r="Z54" i="119"/>
  <c r="Z125" i="119" s="1"/>
  <c r="N54" i="119"/>
  <c r="N125" i="119" s="1"/>
  <c r="S21" i="123"/>
  <c r="AQ413" i="119"/>
  <c r="AM22" i="138"/>
  <c r="V74" i="119"/>
  <c r="V410" i="119" s="1"/>
  <c r="R19" i="138"/>
  <c r="W74" i="119"/>
  <c r="S19" i="138"/>
  <c r="AO285" i="119"/>
  <c r="AK22" i="138"/>
  <c r="AM285" i="119"/>
  <c r="AI22" i="138"/>
  <c r="AS285" i="119"/>
  <c r="AO22" i="138"/>
  <c r="AL285" i="119"/>
  <c r="AH22" i="138"/>
  <c r="Z285" i="119"/>
  <c r="V22" i="138"/>
  <c r="AP413" i="119"/>
  <c r="AL22" i="138"/>
  <c r="AA413" i="119"/>
  <c r="W22" i="138"/>
  <c r="L413" i="119"/>
  <c r="G38" i="92" s="1"/>
  <c r="H22" i="138"/>
  <c r="Y74" i="119"/>
  <c r="U19" i="138"/>
  <c r="T74" i="119"/>
  <c r="T410" i="119" s="1"/>
  <c r="H35" i="92" s="1"/>
  <c r="P19" i="138"/>
  <c r="W413" i="119"/>
  <c r="S22" i="138"/>
  <c r="AB413" i="119"/>
  <c r="X22" i="138"/>
  <c r="U285" i="119"/>
  <c r="Q22" i="138"/>
  <c r="AF285" i="119"/>
  <c r="AB22" i="138"/>
  <c r="AG285" i="119"/>
  <c r="AC22" i="138"/>
  <c r="J74" i="119"/>
  <c r="F19" i="138"/>
  <c r="AJ285" i="119"/>
  <c r="AF22" i="138"/>
  <c r="AS74" i="119"/>
  <c r="AS410" i="119" s="1"/>
  <c r="M35" i="92" s="1"/>
  <c r="AO19" i="138"/>
  <c r="N285" i="119"/>
  <c r="J22" i="138"/>
  <c r="AE285" i="119"/>
  <c r="AA22" i="138"/>
  <c r="AH285" i="119"/>
  <c r="AD22" i="138"/>
  <c r="K285" i="119"/>
  <c r="G22" i="138"/>
  <c r="M74" i="119"/>
  <c r="I19" i="138"/>
  <c r="H37" i="123"/>
  <c r="H47" i="123" s="1"/>
  <c r="F22" i="138"/>
  <c r="S285" i="119"/>
  <c r="O22" i="138"/>
  <c r="AC285" i="119"/>
  <c r="Y22" i="138"/>
  <c r="X285" i="119"/>
  <c r="T22" i="138"/>
  <c r="AN285" i="119"/>
  <c r="AJ22" i="138"/>
  <c r="X74" i="119"/>
  <c r="X410" i="119" s="1"/>
  <c r="T19" i="138"/>
  <c r="L74" i="119"/>
  <c r="H19" i="138"/>
  <c r="AD285" i="119"/>
  <c r="Z22" i="138"/>
  <c r="Y413" i="119"/>
  <c r="I38" i="92" s="1"/>
  <c r="U22" i="138"/>
  <c r="AI285" i="119"/>
  <c r="AE22" i="138"/>
  <c r="V285" i="119"/>
  <c r="R22" i="138"/>
  <c r="O285" i="119"/>
  <c r="K22" i="138"/>
  <c r="AK285" i="119"/>
  <c r="AG22" i="138"/>
  <c r="M75" i="119"/>
  <c r="I20" i="138"/>
  <c r="X75" i="119"/>
  <c r="T20" i="138"/>
  <c r="P75" i="119"/>
  <c r="L20" i="138"/>
  <c r="K74" i="119"/>
  <c r="K410" i="119" s="1"/>
  <c r="G19" i="138"/>
  <c r="R285" i="119"/>
  <c r="N22" i="138"/>
  <c r="P285" i="119"/>
  <c r="L22" i="138"/>
  <c r="AR285" i="119"/>
  <c r="AN22" i="138"/>
  <c r="M285" i="119"/>
  <c r="I22" i="138"/>
  <c r="Q285" i="119"/>
  <c r="M22" i="138"/>
  <c r="U74" i="119"/>
  <c r="Q19" i="138"/>
  <c r="J72" i="119"/>
  <c r="F17" i="138"/>
  <c r="P252" i="119"/>
  <c r="R37" i="123"/>
  <c r="H15" i="123" s="1"/>
  <c r="K18" i="119"/>
  <c r="AH11" i="62"/>
  <c r="V11" i="62"/>
  <c r="X77" i="61"/>
  <c r="Q252" i="119" s="1"/>
  <c r="Q239" i="119"/>
  <c r="P221" i="119"/>
  <c r="W60" i="60"/>
  <c r="AH11" i="60"/>
  <c r="AH22" i="60"/>
  <c r="V11" i="60"/>
  <c r="V22" i="60"/>
  <c r="N221" i="119"/>
  <c r="U79" i="62"/>
  <c r="N21" i="119" s="1"/>
  <c r="N411" i="119" s="1"/>
  <c r="AI60" i="60"/>
  <c r="AB59" i="62"/>
  <c r="AB64" i="62" s="1"/>
  <c r="U59" i="62"/>
  <c r="U64" i="62" s="1"/>
  <c r="AZ59" i="62"/>
  <c r="AZ64" i="62" s="1"/>
  <c r="W19" i="119"/>
  <c r="V59" i="62"/>
  <c r="V64" i="62" s="1"/>
  <c r="S59" i="62"/>
  <c r="S64" i="62" s="1"/>
  <c r="AI12" i="61"/>
  <c r="AC59" i="62"/>
  <c r="AC64" i="62" s="1"/>
  <c r="AE59" i="62"/>
  <c r="AE64" i="62" s="1"/>
  <c r="T59" i="62"/>
  <c r="T64" i="62" s="1"/>
  <c r="AA59" i="62"/>
  <c r="AA64" i="62" s="1"/>
  <c r="R59" i="62"/>
  <c r="R64" i="62" s="1"/>
  <c r="W12" i="61"/>
  <c r="X18" i="119"/>
  <c r="Z143" i="119"/>
  <c r="AG23" i="62"/>
  <c r="W149" i="119"/>
  <c r="U32" i="123" s="1"/>
  <c r="Y18" i="119"/>
  <c r="L126" i="119"/>
  <c r="L18" i="119"/>
  <c r="L197" i="119"/>
  <c r="AH12" i="62"/>
  <c r="AH24" i="62" s="1"/>
  <c r="V25" i="61"/>
  <c r="O55" i="119" s="1"/>
  <c r="V24" i="61"/>
  <c r="U126" i="119"/>
  <c r="AS126" i="119"/>
  <c r="M126" i="119"/>
  <c r="M197" i="119"/>
  <c r="S154" i="59"/>
  <c r="Z196" i="119"/>
  <c r="AH45" i="61"/>
  <c r="U197" i="119"/>
  <c r="AS197" i="119"/>
  <c r="AH25" i="61"/>
  <c r="V45" i="61"/>
  <c r="AH24" i="61"/>
  <c r="N143" i="119"/>
  <c r="V114" i="119"/>
  <c r="V415" i="119" s="1"/>
  <c r="K114" i="119"/>
  <c r="K415" i="119" s="1"/>
  <c r="N114" i="119"/>
  <c r="N415" i="119" s="1"/>
  <c r="V197" i="119"/>
  <c r="M114" i="119"/>
  <c r="M415" i="119" s="1"/>
  <c r="AB162" i="119"/>
  <c r="U114" i="119"/>
  <c r="U415" i="119" s="1"/>
  <c r="N126" i="119"/>
  <c r="X114" i="119"/>
  <c r="X415" i="119" s="1"/>
  <c r="U33" i="60"/>
  <c r="T114" i="119"/>
  <c r="T415" i="119" s="1"/>
  <c r="H40" i="92" s="1"/>
  <c r="O108" i="119"/>
  <c r="Z251" i="119"/>
  <c r="L114" i="119"/>
  <c r="L415" i="119" s="1"/>
  <c r="G40" i="92" s="1"/>
  <c r="AS114" i="119"/>
  <c r="AS415" i="119" s="1"/>
  <c r="M40" i="92" s="1"/>
  <c r="W18" i="119"/>
  <c r="O114" i="119"/>
  <c r="O415" i="119" s="1"/>
  <c r="F40" i="92" s="1"/>
  <c r="N251" i="119"/>
  <c r="AA108" i="119"/>
  <c r="N197" i="119"/>
  <c r="V126" i="119"/>
  <c r="W13" i="61"/>
  <c r="P162" i="119"/>
  <c r="X126" i="119"/>
  <c r="Q38" i="119"/>
  <c r="AC38" i="119"/>
  <c r="AG33" i="60"/>
  <c r="K126" i="119"/>
  <c r="K197" i="119"/>
  <c r="T126" i="119"/>
  <c r="T197" i="119"/>
  <c r="AI13" i="61"/>
  <c r="V12" i="62"/>
  <c r="V24" i="62" s="1"/>
  <c r="X197" i="119"/>
  <c r="N196" i="119"/>
  <c r="W414" i="119"/>
  <c r="L414" i="119"/>
  <c r="G39" i="92" s="1"/>
  <c r="AH140" i="59"/>
  <c r="T18" i="119"/>
  <c r="M18" i="119"/>
  <c r="M408" i="119" s="1"/>
  <c r="AS18" i="119"/>
  <c r="V140" i="59"/>
  <c r="U18" i="119"/>
  <c r="N18" i="119"/>
  <c r="V18" i="119"/>
  <c r="R413" i="119"/>
  <c r="M413" i="119"/>
  <c r="P413" i="119"/>
  <c r="AR413" i="119"/>
  <c r="AK413" i="119"/>
  <c r="AC413" i="119"/>
  <c r="S413" i="119"/>
  <c r="AN413" i="119"/>
  <c r="L38" i="92" s="1"/>
  <c r="X413" i="119"/>
  <c r="AE413" i="119"/>
  <c r="U413" i="119"/>
  <c r="AO413" i="119"/>
  <c r="AH413" i="119"/>
  <c r="O413" i="119"/>
  <c r="F38" i="92" s="1"/>
  <c r="V413" i="119"/>
  <c r="AD413" i="119"/>
  <c r="J38" i="92" s="1"/>
  <c r="K413" i="119"/>
  <c r="AG413" i="119"/>
  <c r="N413" i="119"/>
  <c r="AI413" i="119"/>
  <c r="K38" i="92" s="1"/>
  <c r="J285" i="119"/>
  <c r="J37" i="123"/>
  <c r="L285" i="119"/>
  <c r="K37" i="123"/>
  <c r="AH31" i="62"/>
  <c r="AH43" i="62" s="1"/>
  <c r="V31" i="62"/>
  <c r="V43" i="62" s="1"/>
  <c r="N215" i="119"/>
  <c r="S155" i="59"/>
  <c r="N20" i="119"/>
  <c r="J19" i="138" s="1"/>
  <c r="Z215" i="119"/>
  <c r="Z20" i="119"/>
  <c r="S37" i="123"/>
  <c r="V37" i="123"/>
  <c r="W285" i="119"/>
  <c r="W408" i="119" s="1"/>
  <c r="I37" i="123"/>
  <c r="AQ285" i="119"/>
  <c r="AQ37" i="123"/>
  <c r="AA285" i="119"/>
  <c r="T37" i="123"/>
  <c r="U37" i="123"/>
  <c r="AB285" i="119"/>
  <c r="Y285" i="119"/>
  <c r="AP285" i="119"/>
  <c r="T129" i="119"/>
  <c r="T412" i="119"/>
  <c r="H37" i="92" s="1"/>
  <c r="M129" i="119"/>
  <c r="M412" i="119"/>
  <c r="V129" i="119"/>
  <c r="V412" i="119"/>
  <c r="K129" i="119"/>
  <c r="K412" i="119"/>
  <c r="AB92" i="119"/>
  <c r="AB268" i="119"/>
  <c r="X60" i="59"/>
  <c r="X132" i="59"/>
  <c r="X138" i="59" s="1"/>
  <c r="P181" i="119"/>
  <c r="P94" i="119"/>
  <c r="P412" i="119" s="1"/>
  <c r="K27" i="101"/>
  <c r="W38" i="59"/>
  <c r="J5" i="101"/>
  <c r="AB94" i="119"/>
  <c r="AB181" i="119"/>
  <c r="AH58" i="59"/>
  <c r="V34" i="101"/>
  <c r="AB179" i="119"/>
  <c r="AB90" i="119"/>
  <c r="T5" i="101"/>
  <c r="U27" i="101"/>
  <c r="AG38" i="59"/>
  <c r="P268" i="119"/>
  <c r="P92" i="119"/>
  <c r="AH56" i="59"/>
  <c r="V32" i="101"/>
  <c r="AH40" i="59"/>
  <c r="V29" i="101"/>
  <c r="AI137" i="59"/>
  <c r="AI133" i="59"/>
  <c r="AI134" i="59"/>
  <c r="W137" i="59"/>
  <c r="W133" i="59"/>
  <c r="W134" i="59"/>
  <c r="V33" i="101"/>
  <c r="AH57" i="59"/>
  <c r="AH41" i="59"/>
  <c r="V30" i="101"/>
  <c r="W33" i="61"/>
  <c r="P107" i="119"/>
  <c r="AH136" i="59"/>
  <c r="V37" i="101"/>
  <c r="Q167" i="119"/>
  <c r="Q40" i="119"/>
  <c r="P90" i="119"/>
  <c r="P179" i="119"/>
  <c r="AJ60" i="59"/>
  <c r="AJ132" i="59"/>
  <c r="AJ138" i="59" s="1"/>
  <c r="X36" i="101"/>
  <c r="AH59" i="59"/>
  <c r="V35" i="101"/>
  <c r="AC36" i="119"/>
  <c r="AC167" i="119"/>
  <c r="AC40" i="119"/>
  <c r="Q36" i="119"/>
  <c r="AI33" i="61"/>
  <c r="AB107" i="119"/>
  <c r="V31" i="101"/>
  <c r="AH42" i="59"/>
  <c r="AH55" i="59"/>
  <c r="X42" i="59"/>
  <c r="X55" i="59"/>
  <c r="U69" i="60"/>
  <c r="W62" i="61"/>
  <c r="AH39" i="59"/>
  <c r="V28" i="101"/>
  <c r="E33" i="92" l="1"/>
  <c r="AS408" i="119"/>
  <c r="M33" i="92" s="1"/>
  <c r="I17" i="138"/>
  <c r="T408" i="119"/>
  <c r="H33" i="92" s="1"/>
  <c r="L408" i="119"/>
  <c r="G33" i="92" s="1"/>
  <c r="O54" i="119"/>
  <c r="O125" i="119" s="1"/>
  <c r="AA54" i="119"/>
  <c r="AA125" i="119" s="1"/>
  <c r="G17" i="138"/>
  <c r="Y408" i="119"/>
  <c r="I33" i="92" s="1"/>
  <c r="K72" i="119"/>
  <c r="F29" i="138"/>
  <c r="F32" i="138" s="1"/>
  <c r="X408" i="119"/>
  <c r="V408" i="119"/>
  <c r="K408" i="119"/>
  <c r="U408" i="119"/>
  <c r="U72" i="119"/>
  <c r="Q17" i="138"/>
  <c r="X74" i="62"/>
  <c r="X79" i="62" s="1"/>
  <c r="Q21" i="119" s="1"/>
  <c r="Q411" i="119" s="1"/>
  <c r="Y72" i="119"/>
  <c r="U17" i="138"/>
  <c r="W73" i="119"/>
  <c r="W409" i="119" s="1"/>
  <c r="S18" i="138"/>
  <c r="AS72" i="119"/>
  <c r="AO17" i="138"/>
  <c r="J17" i="138"/>
  <c r="Z74" i="119"/>
  <c r="Z410" i="119" s="1"/>
  <c r="V19" i="138"/>
  <c r="T72" i="119"/>
  <c r="P17" i="138"/>
  <c r="L72" i="119"/>
  <c r="H17" i="138"/>
  <c r="W72" i="119"/>
  <c r="S17" i="138"/>
  <c r="X72" i="119"/>
  <c r="T17" i="138"/>
  <c r="V72" i="119"/>
  <c r="R17" i="138"/>
  <c r="N75" i="119"/>
  <c r="J20" i="138"/>
  <c r="N72" i="119"/>
  <c r="W11" i="62"/>
  <c r="AI11" i="62"/>
  <c r="R239" i="119"/>
  <c r="Y77" i="61"/>
  <c r="O197" i="119"/>
  <c r="Z18" i="119"/>
  <c r="W11" i="60"/>
  <c r="AJ60" i="60"/>
  <c r="W22" i="60"/>
  <c r="X60" i="60"/>
  <c r="AI11" i="60"/>
  <c r="AI22" i="60"/>
  <c r="L19" i="119"/>
  <c r="U21" i="123" s="1"/>
  <c r="X149" i="119"/>
  <c r="X414" i="119" s="1"/>
  <c r="L149" i="119"/>
  <c r="J32" i="123" s="1"/>
  <c r="J47" i="123" s="1"/>
  <c r="W59" i="62"/>
  <c r="W64" i="62" s="1"/>
  <c r="AJ12" i="61"/>
  <c r="X12" i="61"/>
  <c r="AA144" i="119"/>
  <c r="O126" i="119"/>
  <c r="AA143" i="119"/>
  <c r="AH23" i="62"/>
  <c r="O143" i="119"/>
  <c r="V23" i="62"/>
  <c r="N19" i="119"/>
  <c r="J18" i="138" s="1"/>
  <c r="N149" i="119"/>
  <c r="L32" i="123" s="1"/>
  <c r="M149" i="119"/>
  <c r="T19" i="119"/>
  <c r="T409" i="119" s="1"/>
  <c r="H34" i="92" s="1"/>
  <c r="V149" i="119"/>
  <c r="V414" i="119" s="1"/>
  <c r="K19" i="119"/>
  <c r="T21" i="123" s="1"/>
  <c r="T149" i="119"/>
  <c r="T414" i="119" s="1"/>
  <c r="H39" i="92" s="1"/>
  <c r="AI25" i="61"/>
  <c r="W24" i="61"/>
  <c r="W12" i="62"/>
  <c r="W24" i="62" s="1"/>
  <c r="M19" i="119"/>
  <c r="S156" i="59"/>
  <c r="AA196" i="119"/>
  <c r="W25" i="61"/>
  <c r="AI45" i="61"/>
  <c r="W45" i="61"/>
  <c r="AI24" i="61"/>
  <c r="T154" i="59"/>
  <c r="K149" i="119"/>
  <c r="I32" i="123" s="1"/>
  <c r="I47" i="123" s="1"/>
  <c r="Q162" i="119"/>
  <c r="AC162" i="119"/>
  <c r="AF22" i="123"/>
  <c r="P114" i="119"/>
  <c r="P415" i="119" s="1"/>
  <c r="AS19" i="119"/>
  <c r="AS409" i="119" s="1"/>
  <c r="M34" i="92" s="1"/>
  <c r="AS149" i="119"/>
  <c r="P108" i="119"/>
  <c r="O251" i="119"/>
  <c r="AB108" i="119"/>
  <c r="U149" i="119"/>
  <c r="U19" i="119"/>
  <c r="AA251" i="119"/>
  <c r="AI12" i="62"/>
  <c r="AB144" i="119" s="1"/>
  <c r="V19" i="119"/>
  <c r="X19" i="119"/>
  <c r="U47" i="123"/>
  <c r="X13" i="61"/>
  <c r="V33" i="60"/>
  <c r="K414" i="119"/>
  <c r="AJ13" i="61"/>
  <c r="AD38" i="119"/>
  <c r="R38" i="119"/>
  <c r="AH33" i="60"/>
  <c r="O144" i="119"/>
  <c r="O196" i="119"/>
  <c r="N414" i="119"/>
  <c r="M72" i="119"/>
  <c r="W140" i="59"/>
  <c r="AI140" i="59"/>
  <c r="N408" i="119"/>
  <c r="P15" i="92"/>
  <c r="AI31" i="62"/>
  <c r="AI43" i="62" s="1"/>
  <c r="W31" i="62"/>
  <c r="W43" i="62" s="1"/>
  <c r="T155" i="59"/>
  <c r="O20" i="119"/>
  <c r="K19" i="138" s="1"/>
  <c r="O215" i="119"/>
  <c r="AA20" i="119"/>
  <c r="AA215" i="119"/>
  <c r="N74" i="119"/>
  <c r="N410" i="119" s="1"/>
  <c r="L37" i="123"/>
  <c r="R43" i="123"/>
  <c r="Q43" i="123" s="1"/>
  <c r="AC94" i="119"/>
  <c r="AC181" i="119"/>
  <c r="AI39" i="59"/>
  <c r="W28" i="101"/>
  <c r="AI55" i="59"/>
  <c r="AI42" i="59"/>
  <c r="W31" i="101"/>
  <c r="O149" i="119"/>
  <c r="O19" i="119"/>
  <c r="K18" i="138" s="1"/>
  <c r="AJ137" i="59"/>
  <c r="AJ133" i="59"/>
  <c r="AJ134" i="59"/>
  <c r="X62" i="61"/>
  <c r="V69" i="60"/>
  <c r="R36" i="119"/>
  <c r="AI40" i="59"/>
  <c r="W29" i="101"/>
  <c r="K5" i="101"/>
  <c r="X38" i="59"/>
  <c r="Q268" i="119"/>
  <c r="Q92" i="119"/>
  <c r="AC179" i="119"/>
  <c r="AC90" i="119"/>
  <c r="Q94" i="119"/>
  <c r="Q412" i="119" s="1"/>
  <c r="Q181" i="119"/>
  <c r="AI59" i="59"/>
  <c r="W35" i="101"/>
  <c r="W33" i="101"/>
  <c r="AI57" i="59"/>
  <c r="AD167" i="119"/>
  <c r="AD40" i="119"/>
  <c r="AI56" i="59"/>
  <c r="W32" i="101"/>
  <c r="AC268" i="119"/>
  <c r="AC92" i="119"/>
  <c r="AH38" i="59"/>
  <c r="U5" i="101"/>
  <c r="V27" i="101"/>
  <c r="AI58" i="59"/>
  <c r="W34" i="101"/>
  <c r="Q90" i="119"/>
  <c r="Q179" i="119"/>
  <c r="AK60" i="59"/>
  <c r="Y36" i="101"/>
  <c r="AK132" i="59"/>
  <c r="AK138" i="59" s="1"/>
  <c r="W37" i="101"/>
  <c r="AI136" i="59"/>
  <c r="AI41" i="59"/>
  <c r="W30" i="101"/>
  <c r="R167" i="119"/>
  <c r="R40" i="119"/>
  <c r="AD36" i="119"/>
  <c r="AJ33" i="61"/>
  <c r="AC107" i="119"/>
  <c r="X137" i="59"/>
  <c r="X133" i="59"/>
  <c r="X134" i="59"/>
  <c r="X33" i="61"/>
  <c r="Q107" i="119"/>
  <c r="Z408" i="119" l="1"/>
  <c r="AD107" i="119"/>
  <c r="F33" i="138"/>
  <c r="J28" i="122"/>
  <c r="AB54" i="119"/>
  <c r="AB125" i="119" s="1"/>
  <c r="P54" i="119"/>
  <c r="P125" i="119" s="1"/>
  <c r="P197" i="119"/>
  <c r="P55" i="119"/>
  <c r="P126" i="119" s="1"/>
  <c r="Q221" i="119"/>
  <c r="S29" i="138"/>
  <c r="S32" i="138" s="1"/>
  <c r="V73" i="119"/>
  <c r="V409" i="119" s="1"/>
  <c r="R18" i="138"/>
  <c r="R29" i="138" s="1"/>
  <c r="R32" i="138" s="1"/>
  <c r="J29" i="138"/>
  <c r="J32" i="138" s="1"/>
  <c r="W22" i="123"/>
  <c r="AG22" i="123"/>
  <c r="T18" i="138"/>
  <c r="T29" i="138" s="1"/>
  <c r="T32" i="138" s="1"/>
  <c r="U73" i="119"/>
  <c r="U409" i="119" s="1"/>
  <c r="Q18" i="138"/>
  <c r="Q29" i="138" s="1"/>
  <c r="Q32" i="138" s="1"/>
  <c r="K73" i="119"/>
  <c r="K409" i="119" s="1"/>
  <c r="G18" i="138"/>
  <c r="G29" i="138" s="1"/>
  <c r="G32" i="138" s="1"/>
  <c r="AS73" i="119"/>
  <c r="AO18" i="138"/>
  <c r="AO29" i="138" s="1"/>
  <c r="AO32" i="138" s="1"/>
  <c r="Q75" i="119"/>
  <c r="M20" i="138"/>
  <c r="T73" i="119"/>
  <c r="P18" i="138"/>
  <c r="P29" i="138" s="1"/>
  <c r="P32" i="138" s="1"/>
  <c r="Z72" i="119"/>
  <c r="V17" i="138"/>
  <c r="AA74" i="119"/>
  <c r="AA410" i="119" s="1"/>
  <c r="W19" i="138"/>
  <c r="M73" i="119"/>
  <c r="M409" i="119" s="1"/>
  <c r="I18" i="138"/>
  <c r="I29" i="138" s="1"/>
  <c r="I32" i="138" s="1"/>
  <c r="L73" i="119"/>
  <c r="L409" i="119" s="1"/>
  <c r="G34" i="92" s="1"/>
  <c r="H18" i="138"/>
  <c r="H29" i="138" s="1"/>
  <c r="H32" i="138" s="1"/>
  <c r="R252" i="119"/>
  <c r="Y74" i="62"/>
  <c r="R221" i="119" s="1"/>
  <c r="X11" i="62"/>
  <c r="AJ11" i="62"/>
  <c r="AJ23" i="62" s="1"/>
  <c r="V32" i="123"/>
  <c r="V47" i="123" s="1"/>
  <c r="Z77" i="61"/>
  <c r="S252" i="119" s="1"/>
  <c r="P144" i="119"/>
  <c r="S239" i="119"/>
  <c r="N73" i="119"/>
  <c r="N409" i="119" s="1"/>
  <c r="AJ11" i="60"/>
  <c r="AJ22" i="60"/>
  <c r="X11" i="60"/>
  <c r="X22" i="60"/>
  <c r="P196" i="119"/>
  <c r="AK60" i="60"/>
  <c r="Y12" i="61"/>
  <c r="X59" i="62"/>
  <c r="X64" i="62" s="1"/>
  <c r="AK12" i="61"/>
  <c r="T32" i="123"/>
  <c r="T47" i="123" s="1"/>
  <c r="AB143" i="119"/>
  <c r="AI23" i="62"/>
  <c r="P143" i="119"/>
  <c r="W23" i="62"/>
  <c r="R32" i="123"/>
  <c r="F15" i="123" s="1"/>
  <c r="T156" i="59"/>
  <c r="AC22" i="123"/>
  <c r="M414" i="119"/>
  <c r="K32" i="123"/>
  <c r="K47" i="123" s="1"/>
  <c r="AI24" i="62"/>
  <c r="O18" i="119"/>
  <c r="AA18" i="119"/>
  <c r="AJ25" i="61"/>
  <c r="X24" i="61"/>
  <c r="X25" i="61"/>
  <c r="Q55" i="119" s="1"/>
  <c r="V21" i="123"/>
  <c r="V22" i="123" s="1"/>
  <c r="AE22" i="123"/>
  <c r="AB196" i="119"/>
  <c r="X45" i="61"/>
  <c r="AJ24" i="61"/>
  <c r="AJ45" i="61"/>
  <c r="BB22" i="123"/>
  <c r="X73" i="119"/>
  <c r="X409" i="119" s="1"/>
  <c r="AD22" i="123"/>
  <c r="AS414" i="119"/>
  <c r="M39" i="92" s="1"/>
  <c r="AQ32" i="123"/>
  <c r="U414" i="119"/>
  <c r="S32" i="123"/>
  <c r="S47" i="123" s="1"/>
  <c r="Q114" i="119"/>
  <c r="Q415" i="119" s="1"/>
  <c r="P251" i="119"/>
  <c r="AD162" i="119"/>
  <c r="AC108" i="119"/>
  <c r="Q108" i="119"/>
  <c r="AB251" i="119"/>
  <c r="Y13" i="61"/>
  <c r="X12" i="62"/>
  <c r="AJ12" i="62"/>
  <c r="U154" i="59"/>
  <c r="AK13" i="61"/>
  <c r="AE38" i="119"/>
  <c r="S38" i="119"/>
  <c r="W33" i="60"/>
  <c r="L47" i="123"/>
  <c r="R162" i="119"/>
  <c r="AI33" i="60"/>
  <c r="M32" i="123"/>
  <c r="F14" i="123" s="1"/>
  <c r="O414" i="119"/>
  <c r="F39" i="92" s="1"/>
  <c r="X140" i="59"/>
  <c r="AJ140" i="59"/>
  <c r="O74" i="119"/>
  <c r="O410" i="119" s="1"/>
  <c r="F35" i="92" s="1"/>
  <c r="M37" i="123"/>
  <c r="H14" i="123" s="1"/>
  <c r="X31" i="62"/>
  <c r="X43" i="62" s="1"/>
  <c r="P215" i="119"/>
  <c r="P20" i="119"/>
  <c r="L19" i="138" s="1"/>
  <c r="U155" i="59"/>
  <c r="AB20" i="119"/>
  <c r="AB215" i="119"/>
  <c r="AJ31" i="62"/>
  <c r="AJ43" i="62" s="1"/>
  <c r="R38" i="123"/>
  <c r="Q38" i="123" s="1"/>
  <c r="P38" i="123" s="1"/>
  <c r="S43" i="123"/>
  <c r="T43" i="123" s="1"/>
  <c r="S36" i="119"/>
  <c r="R181" i="119"/>
  <c r="R94" i="119"/>
  <c r="R412" i="119" s="1"/>
  <c r="X37" i="101"/>
  <c r="AJ136" i="59"/>
  <c r="V5" i="101"/>
  <c r="AI38" i="59"/>
  <c r="W27" i="101"/>
  <c r="X35" i="101"/>
  <c r="AJ59" i="59"/>
  <c r="Y33" i="61"/>
  <c r="R107" i="119"/>
  <c r="AJ40" i="59"/>
  <c r="X29" i="101"/>
  <c r="O73" i="119"/>
  <c r="O409" i="119" s="1"/>
  <c r="F34" i="92" s="1"/>
  <c r="X28" i="101"/>
  <c r="AJ39" i="59"/>
  <c r="AD90" i="119"/>
  <c r="AD179" i="119"/>
  <c r="AJ41" i="59"/>
  <c r="X30" i="101"/>
  <c r="AK137" i="59"/>
  <c r="AK133" i="59"/>
  <c r="AK134" i="59"/>
  <c r="AJ56" i="59"/>
  <c r="X32" i="101"/>
  <c r="AJ57" i="59"/>
  <c r="X33" i="101"/>
  <c r="R268" i="119"/>
  <c r="R92" i="119"/>
  <c r="R90" i="119"/>
  <c r="R179" i="119"/>
  <c r="AE167" i="119"/>
  <c r="AE40" i="119"/>
  <c r="S167" i="119"/>
  <c r="S40" i="119"/>
  <c r="W69" i="60"/>
  <c r="Y62" i="61"/>
  <c r="AL60" i="59"/>
  <c r="AL132" i="59"/>
  <c r="AL138" i="59" s="1"/>
  <c r="Z36" i="101"/>
  <c r="AJ58" i="59"/>
  <c r="X34" i="101"/>
  <c r="AD181" i="119"/>
  <c r="AD94" i="119"/>
  <c r="AK33" i="61"/>
  <c r="AE36" i="119"/>
  <c r="AJ55" i="59"/>
  <c r="AJ42" i="59"/>
  <c r="X31" i="101"/>
  <c r="P43" i="123"/>
  <c r="AD268" i="119"/>
  <c r="AD92" i="119"/>
  <c r="P149" i="119"/>
  <c r="P19" i="119"/>
  <c r="L18" i="138" s="1"/>
  <c r="AA408" i="119" l="1"/>
  <c r="O408" i="119"/>
  <c r="F33" i="92" s="1"/>
  <c r="J46" i="122"/>
  <c r="J57" i="122"/>
  <c r="T28" i="122"/>
  <c r="T46" i="122" s="1"/>
  <c r="U28" i="122"/>
  <c r="U46" i="122" s="1"/>
  <c r="W28" i="122"/>
  <c r="X28" i="122"/>
  <c r="X46" i="122" s="1"/>
  <c r="M28" i="122"/>
  <c r="M46" i="122" s="1"/>
  <c r="L28" i="122"/>
  <c r="L46" i="122" s="1"/>
  <c r="AS28" i="122"/>
  <c r="AS46" i="122" s="1"/>
  <c r="N28" i="122"/>
  <c r="N46" i="122" s="1"/>
  <c r="K28" i="122"/>
  <c r="K46" i="122" s="1"/>
  <c r="V28" i="122"/>
  <c r="V46" i="122" s="1"/>
  <c r="Q54" i="119"/>
  <c r="Q125" i="119" s="1"/>
  <c r="AC54" i="119"/>
  <c r="AC125" i="119" s="1"/>
  <c r="Y79" i="62"/>
  <c r="R21" i="119" s="1"/>
  <c r="R411" i="119" s="1"/>
  <c r="G33" i="138"/>
  <c r="H33" i="138" s="1"/>
  <c r="I33" i="138" s="1"/>
  <c r="J33" i="138" s="1"/>
  <c r="AA72" i="119"/>
  <c r="W17" i="138"/>
  <c r="AB74" i="119"/>
  <c r="AB410" i="119" s="1"/>
  <c r="X19" i="138"/>
  <c r="O72" i="119"/>
  <c r="K17" i="138"/>
  <c r="K29" i="138" s="1"/>
  <c r="K32" i="138" s="1"/>
  <c r="Z74" i="62"/>
  <c r="S221" i="119" s="1"/>
  <c r="Y11" i="62"/>
  <c r="AK11" i="62"/>
  <c r="AB18" i="119"/>
  <c r="AL60" i="60"/>
  <c r="R47" i="123"/>
  <c r="Q126" i="119"/>
  <c r="R33" i="123"/>
  <c r="D15" i="123" s="1"/>
  <c r="AK22" i="60"/>
  <c r="Q196" i="119"/>
  <c r="AK11" i="60"/>
  <c r="X22" i="123"/>
  <c r="X26" i="123" s="1"/>
  <c r="Q197" i="119"/>
  <c r="AL12" i="61"/>
  <c r="Y59" i="62"/>
  <c r="Y64" i="62" s="1"/>
  <c r="Z12" i="61"/>
  <c r="AC143" i="119"/>
  <c r="Q143" i="119"/>
  <c r="X23" i="62"/>
  <c r="AJ24" i="62"/>
  <c r="AC18" i="119" s="1"/>
  <c r="X24" i="62"/>
  <c r="P18" i="119"/>
  <c r="AK25" i="61"/>
  <c r="Y24" i="61"/>
  <c r="U156" i="59"/>
  <c r="AC196" i="119"/>
  <c r="Y25" i="61"/>
  <c r="R55" i="119" s="1"/>
  <c r="AK24" i="61"/>
  <c r="AK45" i="61"/>
  <c r="Y45" i="61"/>
  <c r="Q144" i="119"/>
  <c r="AC144" i="119"/>
  <c r="AK23" i="62"/>
  <c r="R114" i="119"/>
  <c r="R415" i="119" s="1"/>
  <c r="AC251" i="119"/>
  <c r="Q251" i="119"/>
  <c r="P13" i="92"/>
  <c r="AQ47" i="123"/>
  <c r="AL13" i="61"/>
  <c r="Z13" i="61"/>
  <c r="R108" i="119"/>
  <c r="Y12" i="62"/>
  <c r="AD108" i="119"/>
  <c r="AK12" i="62"/>
  <c r="V154" i="59"/>
  <c r="AF38" i="119"/>
  <c r="AJ33" i="60"/>
  <c r="S162" i="119"/>
  <c r="X33" i="60"/>
  <c r="AE162" i="119"/>
  <c r="N32" i="123"/>
  <c r="P414" i="119"/>
  <c r="AK140" i="59"/>
  <c r="M47" i="123"/>
  <c r="V155" i="59"/>
  <c r="Q215" i="119"/>
  <c r="Q20" i="119"/>
  <c r="M19" i="138" s="1"/>
  <c r="Y31" i="62"/>
  <c r="Y43" i="62" s="1"/>
  <c r="AC215" i="119"/>
  <c r="AC20" i="119"/>
  <c r="AK31" i="62"/>
  <c r="AK43" i="62" s="1"/>
  <c r="P74" i="119"/>
  <c r="P410" i="119" s="1"/>
  <c r="N37" i="123"/>
  <c r="S38" i="123"/>
  <c r="T38" i="123" s="1"/>
  <c r="AK55" i="59"/>
  <c r="Y31" i="101"/>
  <c r="AK42" i="59"/>
  <c r="AM60" i="59"/>
  <c r="AM132" i="59"/>
  <c r="AM138" i="59" s="1"/>
  <c r="AA36" i="101"/>
  <c r="AK41" i="59"/>
  <c r="Y30" i="101"/>
  <c r="Z33" i="61"/>
  <c r="S107" i="119"/>
  <c r="AJ38" i="59"/>
  <c r="X27" i="101"/>
  <c r="P73" i="119"/>
  <c r="P409" i="119" s="1"/>
  <c r="AK58" i="59"/>
  <c r="Y34" i="101"/>
  <c r="AL33" i="61"/>
  <c r="AE107" i="119"/>
  <c r="AL137" i="59"/>
  <c r="AL133" i="59"/>
  <c r="AL134" i="59"/>
  <c r="X69" i="60"/>
  <c r="Z62" i="61"/>
  <c r="AE94" i="119"/>
  <c r="AE181" i="119"/>
  <c r="AF167" i="119"/>
  <c r="AF40" i="119"/>
  <c r="S268" i="119"/>
  <c r="S92" i="119"/>
  <c r="AK39" i="59"/>
  <c r="Y28" i="101"/>
  <c r="S94" i="119"/>
  <c r="S412" i="119" s="1"/>
  <c r="S181" i="119"/>
  <c r="AF36" i="119"/>
  <c r="AK40" i="59"/>
  <c r="Y29" i="101"/>
  <c r="AE92" i="119"/>
  <c r="AE268" i="119"/>
  <c r="M43" i="123"/>
  <c r="AE179" i="119"/>
  <c r="AE90" i="119"/>
  <c r="AK57" i="59"/>
  <c r="Y33" i="101"/>
  <c r="Y32" i="101"/>
  <c r="AK56" i="59"/>
  <c r="Q149" i="119"/>
  <c r="Q414" i="119" s="1"/>
  <c r="Q19" i="119"/>
  <c r="M18" i="138" s="1"/>
  <c r="AK59" i="59"/>
  <c r="Y35" i="101"/>
  <c r="AK136" i="59"/>
  <c r="Y37" i="101"/>
  <c r="S90" i="119"/>
  <c r="S179" i="119"/>
  <c r="W46" i="122" l="1"/>
  <c r="W57" i="122"/>
  <c r="AB408" i="119"/>
  <c r="P408" i="119"/>
  <c r="Z79" i="62"/>
  <c r="S21" i="119" s="1"/>
  <c r="S411" i="119" s="1"/>
  <c r="R75" i="119"/>
  <c r="AS57" i="122"/>
  <c r="V57" i="122"/>
  <c r="L57" i="122"/>
  <c r="U57" i="122"/>
  <c r="K57" i="122"/>
  <c r="M57" i="122"/>
  <c r="T57" i="122"/>
  <c r="N57" i="122"/>
  <c r="X57" i="122"/>
  <c r="O28" i="122"/>
  <c r="O46" i="122" s="1"/>
  <c r="AD54" i="119"/>
  <c r="AD125" i="119" s="1"/>
  <c r="R54" i="119"/>
  <c r="R125" i="119" s="1"/>
  <c r="N20" i="138"/>
  <c r="AC74" i="119"/>
  <c r="AC410" i="119" s="1"/>
  <c r="Y19" i="138"/>
  <c r="AB72" i="119"/>
  <c r="X17" i="138"/>
  <c r="P72" i="119"/>
  <c r="L17" i="138"/>
  <c r="L29" i="138" s="1"/>
  <c r="L32" i="138" s="1"/>
  <c r="AC72" i="119"/>
  <c r="Y17" i="138"/>
  <c r="Q33" i="123"/>
  <c r="P33" i="123" s="1"/>
  <c r="P48" i="123" s="1"/>
  <c r="R48" i="123"/>
  <c r="Y22" i="123"/>
  <c r="Y26" i="123" s="1"/>
  <c r="AL11" i="62"/>
  <c r="Z11" i="62"/>
  <c r="Z23" i="62" s="1"/>
  <c r="S33" i="123"/>
  <c r="T33" i="123" s="1"/>
  <c r="T48" i="123" s="1"/>
  <c r="AL11" i="60"/>
  <c r="AM60" i="60"/>
  <c r="AL22" i="60"/>
  <c r="K33" i="138"/>
  <c r="AM12" i="61"/>
  <c r="Z59" i="62"/>
  <c r="Z64" i="62" s="1"/>
  <c r="R143" i="119"/>
  <c r="Y23" i="62"/>
  <c r="AD144" i="119"/>
  <c r="AK24" i="62"/>
  <c r="R144" i="119"/>
  <c r="Y24" i="62"/>
  <c r="Q18" i="119"/>
  <c r="AD143" i="119"/>
  <c r="AL12" i="62"/>
  <c r="AL24" i="62" s="1"/>
  <c r="Z24" i="61"/>
  <c r="R197" i="119"/>
  <c r="R126" i="119"/>
  <c r="AD196" i="119"/>
  <c r="Z25" i="61"/>
  <c r="S55" i="119" s="1"/>
  <c r="AL25" i="61"/>
  <c r="Z45" i="61"/>
  <c r="AL24" i="61"/>
  <c r="AL45" i="61"/>
  <c r="Z12" i="62"/>
  <c r="W154" i="59"/>
  <c r="AD251" i="119"/>
  <c r="AM13" i="61"/>
  <c r="S108" i="119"/>
  <c r="AE108" i="119"/>
  <c r="S114" i="119"/>
  <c r="S415" i="119" s="1"/>
  <c r="R251" i="119"/>
  <c r="V156" i="59"/>
  <c r="R196" i="119"/>
  <c r="AG38" i="119"/>
  <c r="AK33" i="60"/>
  <c r="AF162" i="119"/>
  <c r="N47" i="123"/>
  <c r="AL140" i="59"/>
  <c r="AC408" i="119"/>
  <c r="Z31" i="62"/>
  <c r="Z43" i="62" s="1"/>
  <c r="AD215" i="119"/>
  <c r="AD20" i="119"/>
  <c r="W155" i="59"/>
  <c r="R20" i="119"/>
  <c r="N19" i="138" s="1"/>
  <c r="R215" i="119"/>
  <c r="AL31" i="62"/>
  <c r="AL43" i="62" s="1"/>
  <c r="Q74" i="119"/>
  <c r="Q410" i="119" s="1"/>
  <c r="O37" i="123"/>
  <c r="O32" i="123"/>
  <c r="Z35" i="101"/>
  <c r="AL59" i="59"/>
  <c r="AL40" i="59"/>
  <c r="Z29" i="101"/>
  <c r="AF92" i="119"/>
  <c r="AF268" i="119"/>
  <c r="AM137" i="59"/>
  <c r="AM133" i="59"/>
  <c r="AM134" i="59"/>
  <c r="R149" i="119"/>
  <c r="R19" i="119"/>
  <c r="N18" i="138" s="1"/>
  <c r="Q73" i="119"/>
  <c r="Q409" i="119" s="1"/>
  <c r="AL57" i="59"/>
  <c r="Z33" i="101"/>
  <c r="AG36" i="119"/>
  <c r="AM33" i="61"/>
  <c r="AF107" i="119"/>
  <c r="L43" i="123"/>
  <c r="N43" i="123"/>
  <c r="AF179" i="119"/>
  <c r="AF90" i="119"/>
  <c r="AL39" i="59"/>
  <c r="Z28" i="101"/>
  <c r="AF181" i="119"/>
  <c r="AF94" i="119"/>
  <c r="AK38" i="59"/>
  <c r="Y27" i="101"/>
  <c r="AL41" i="59"/>
  <c r="Z30" i="101"/>
  <c r="Z34" i="101"/>
  <c r="AL58" i="59"/>
  <c r="M33" i="123"/>
  <c r="Z37" i="101"/>
  <c r="AL136" i="59"/>
  <c r="AL56" i="59"/>
  <c r="Z32" i="101"/>
  <c r="AG167" i="119"/>
  <c r="AG40" i="119"/>
  <c r="AN132" i="59"/>
  <c r="AN60" i="59"/>
  <c r="AB36" i="101"/>
  <c r="AL55" i="59"/>
  <c r="AL42" i="59"/>
  <c r="Z31" i="101"/>
  <c r="Q408" i="119" l="1"/>
  <c r="O20" i="138"/>
  <c r="S75" i="119"/>
  <c r="O57" i="122"/>
  <c r="P28" i="122"/>
  <c r="P46" i="122" s="1"/>
  <c r="S54" i="119"/>
  <c r="S125" i="119" s="1"/>
  <c r="AE54" i="119"/>
  <c r="AE125" i="119" s="1"/>
  <c r="Q48" i="123"/>
  <c r="Q72" i="119"/>
  <c r="M17" i="138"/>
  <c r="M29" i="138" s="1"/>
  <c r="M32" i="138" s="1"/>
  <c r="AD74" i="119"/>
  <c r="AD410" i="119" s="1"/>
  <c r="J35" i="92" s="1"/>
  <c r="Z19" i="138"/>
  <c r="S48" i="123"/>
  <c r="Z22" i="123"/>
  <c r="Z26" i="123" s="1"/>
  <c r="AM11" i="62"/>
  <c r="L33" i="138"/>
  <c r="S197" i="119"/>
  <c r="AM11" i="60"/>
  <c r="AM22" i="60"/>
  <c r="AN138" i="59"/>
  <c r="AN133" i="59"/>
  <c r="AE144" i="119"/>
  <c r="AN12" i="61"/>
  <c r="AE143" i="119"/>
  <c r="AL23" i="62"/>
  <c r="S144" i="119"/>
  <c r="Z24" i="62"/>
  <c r="AD18" i="119"/>
  <c r="R18" i="119"/>
  <c r="W156" i="59"/>
  <c r="AM24" i="61"/>
  <c r="AM12" i="62"/>
  <c r="S126" i="119"/>
  <c r="AM45" i="61"/>
  <c r="AE196" i="119"/>
  <c r="AM25" i="61"/>
  <c r="S143" i="119"/>
  <c r="X154" i="59"/>
  <c r="AF108" i="119"/>
  <c r="AE251" i="119"/>
  <c r="S196" i="119"/>
  <c r="S251" i="119"/>
  <c r="AL33" i="60"/>
  <c r="AH38" i="119"/>
  <c r="AG162" i="119"/>
  <c r="AN13" i="61"/>
  <c r="P32" i="123"/>
  <c r="R414" i="119"/>
  <c r="AM140" i="59"/>
  <c r="AM31" i="62"/>
  <c r="AM43" i="62" s="1"/>
  <c r="R74" i="119"/>
  <c r="R410" i="119" s="1"/>
  <c r="P37" i="123"/>
  <c r="S20" i="119"/>
  <c r="O19" i="138" s="1"/>
  <c r="X155" i="59"/>
  <c r="S215" i="119"/>
  <c r="O47" i="123"/>
  <c r="AE215" i="119"/>
  <c r="AE20" i="119"/>
  <c r="AM136" i="59"/>
  <c r="AA37" i="101"/>
  <c r="AM55" i="59"/>
  <c r="AA31" i="101"/>
  <c r="AM42" i="59"/>
  <c r="AA32" i="101"/>
  <c r="AM56" i="59"/>
  <c r="L33" i="123"/>
  <c r="K33" i="123" s="1"/>
  <c r="N33" i="123"/>
  <c r="O33" i="123" s="1"/>
  <c r="AM41" i="59"/>
  <c r="AA30" i="101"/>
  <c r="AG92" i="119"/>
  <c r="AG268" i="119"/>
  <c r="S149" i="119"/>
  <c r="S414" i="119" s="1"/>
  <c r="S19" i="119"/>
  <c r="O18" i="138" s="1"/>
  <c r="AH36" i="119"/>
  <c r="AN137" i="59"/>
  <c r="AN134" i="59"/>
  <c r="AG181" i="119"/>
  <c r="AG94" i="119"/>
  <c r="AN33" i="61"/>
  <c r="AG107" i="119"/>
  <c r="K43" i="123"/>
  <c r="AM57" i="59"/>
  <c r="AA33" i="101"/>
  <c r="R73" i="119"/>
  <c r="R409" i="119" s="1"/>
  <c r="AM58" i="59"/>
  <c r="AA34" i="101"/>
  <c r="AL38" i="59"/>
  <c r="Z27" i="101"/>
  <c r="AG90" i="119"/>
  <c r="AG179" i="119"/>
  <c r="AA35" i="101"/>
  <c r="AM59" i="59"/>
  <c r="AC36" i="101"/>
  <c r="AO132" i="59"/>
  <c r="AO138" i="59" s="1"/>
  <c r="AO60" i="59"/>
  <c r="AM39" i="59"/>
  <c r="AA28" i="101"/>
  <c r="O43" i="123"/>
  <c r="AH167" i="119"/>
  <c r="AH40" i="119"/>
  <c r="AM40" i="59"/>
  <c r="AA29" i="101"/>
  <c r="R408" i="119" l="1"/>
  <c r="AD408" i="119"/>
  <c r="J33" i="92" s="1"/>
  <c r="AH107" i="119"/>
  <c r="P57" i="122"/>
  <c r="Q28" i="122"/>
  <c r="Q46" i="122" s="1"/>
  <c r="AF54" i="119"/>
  <c r="AF125" i="119" s="1"/>
  <c r="R72" i="119"/>
  <c r="N17" i="138"/>
  <c r="N29" i="138" s="1"/>
  <c r="N32" i="138" s="1"/>
  <c r="AD72" i="119"/>
  <c r="Z17" i="138"/>
  <c r="AE74" i="119"/>
  <c r="AE410" i="119" s="1"/>
  <c r="AA19" i="138"/>
  <c r="M33" i="138"/>
  <c r="AN11" i="62"/>
  <c r="AN11" i="60"/>
  <c r="AO60" i="60"/>
  <c r="AN60" i="60"/>
  <c r="AN22" i="60"/>
  <c r="AE18" i="119"/>
  <c r="AO12" i="61"/>
  <c r="AF143" i="119"/>
  <c r="AM23" i="62"/>
  <c r="AF144" i="119"/>
  <c r="AM24" i="62"/>
  <c r="AA22" i="123"/>
  <c r="AA26" i="123" s="1"/>
  <c r="S18" i="119"/>
  <c r="AN25" i="61"/>
  <c r="AN24" i="61"/>
  <c r="AN45" i="61"/>
  <c r="X156" i="59"/>
  <c r="AG108" i="119"/>
  <c r="AF251" i="119"/>
  <c r="AH162" i="119"/>
  <c r="AN12" i="62"/>
  <c r="AG144" i="119" s="1"/>
  <c r="AO13" i="61"/>
  <c r="AM33" i="60"/>
  <c r="AI38" i="119"/>
  <c r="AF196" i="119"/>
  <c r="AN140" i="59"/>
  <c r="AF215" i="119"/>
  <c r="AF20" i="119"/>
  <c r="S74" i="119"/>
  <c r="S410" i="119" s="1"/>
  <c r="Q37" i="123"/>
  <c r="P47" i="123"/>
  <c r="AN31" i="62"/>
  <c r="AN43" i="62" s="1"/>
  <c r="Q32" i="123"/>
  <c r="AN58" i="59"/>
  <c r="AB34" i="101"/>
  <c r="AI167" i="119"/>
  <c r="AI40" i="119"/>
  <c r="AN55" i="59"/>
  <c r="AB31" i="101"/>
  <c r="AN42" i="59"/>
  <c r="AN40" i="59"/>
  <c r="AB29" i="101"/>
  <c r="AN59" i="59"/>
  <c r="AB35" i="101"/>
  <c r="AI36" i="119"/>
  <c r="AH90" i="119"/>
  <c r="AH179" i="119"/>
  <c r="S73" i="119"/>
  <c r="S409" i="119" s="1"/>
  <c r="AN41" i="59"/>
  <c r="AB30" i="101"/>
  <c r="AO137" i="59"/>
  <c r="AO133" i="59"/>
  <c r="AO134" i="59"/>
  <c r="AO33" i="61"/>
  <c r="AN57" i="59"/>
  <c r="AB33" i="101"/>
  <c r="AN56" i="59"/>
  <c r="AB32" i="101"/>
  <c r="AN136" i="59"/>
  <c r="AB37" i="101"/>
  <c r="AH94" i="119"/>
  <c r="AH181" i="119"/>
  <c r="AB28" i="101"/>
  <c r="AN39" i="59"/>
  <c r="AP60" i="59"/>
  <c r="AD36" i="101"/>
  <c r="AP132" i="59"/>
  <c r="AP138" i="59" s="1"/>
  <c r="AM38" i="59"/>
  <c r="AA27" i="101"/>
  <c r="AH92" i="119"/>
  <c r="AH268" i="119"/>
  <c r="AE408" i="119" l="1"/>
  <c r="S408" i="119"/>
  <c r="Q57" i="122"/>
  <c r="R28" i="122"/>
  <c r="AG54" i="119"/>
  <c r="AG125" i="119" s="1"/>
  <c r="AF74" i="119"/>
  <c r="AF410" i="119" s="1"/>
  <c r="AB19" i="138"/>
  <c r="AE72" i="119"/>
  <c r="AA17" i="138"/>
  <c r="S72" i="119"/>
  <c r="O17" i="138"/>
  <c r="O29" i="138" s="1"/>
  <c r="O32" i="138" s="1"/>
  <c r="S28" i="122" s="1"/>
  <c r="S46" i="122" s="1"/>
  <c r="N33" i="138"/>
  <c r="AO11" i="62"/>
  <c r="AP60" i="60"/>
  <c r="AO11" i="60"/>
  <c r="AO22" i="60"/>
  <c r="AP12" i="61"/>
  <c r="AB22" i="123"/>
  <c r="AB26" i="123" s="1"/>
  <c r="AC26" i="123" s="1"/>
  <c r="AD26" i="123" s="1"/>
  <c r="AE26" i="123" s="1"/>
  <c r="AF26" i="123" s="1"/>
  <c r="AG26" i="123" s="1"/>
  <c r="AG143" i="119"/>
  <c r="AN23" i="62"/>
  <c r="AN24" i="62"/>
  <c r="AF18" i="119"/>
  <c r="AO24" i="61"/>
  <c r="AO25" i="61"/>
  <c r="AO45" i="61"/>
  <c r="AG251" i="119"/>
  <c r="AH108" i="119"/>
  <c r="AI162" i="119"/>
  <c r="AO12" i="62"/>
  <c r="AG196" i="119"/>
  <c r="AJ38" i="119"/>
  <c r="AP13" i="61"/>
  <c r="AN33" i="60"/>
  <c r="AO140" i="59"/>
  <c r="AO31" i="62"/>
  <c r="AO43" i="62" s="1"/>
  <c r="AG215" i="119"/>
  <c r="AG20" i="119"/>
  <c r="Q47" i="123"/>
  <c r="AP137" i="59"/>
  <c r="AP134" i="59"/>
  <c r="AP133" i="59"/>
  <c r="AC28" i="101"/>
  <c r="AO39" i="59"/>
  <c r="AC35" i="101"/>
  <c r="AO59" i="59"/>
  <c r="AI94" i="119"/>
  <c r="AI181" i="119"/>
  <c r="AO136" i="59"/>
  <c r="AC37" i="101"/>
  <c r="AP33" i="61"/>
  <c r="AI107" i="119"/>
  <c r="AO57" i="59"/>
  <c r="AC33" i="101"/>
  <c r="AJ167" i="119"/>
  <c r="AJ40" i="119"/>
  <c r="AO42" i="59"/>
  <c r="AO55" i="59"/>
  <c r="AC31" i="101"/>
  <c r="AQ60" i="59"/>
  <c r="AE36" i="101"/>
  <c r="AQ132" i="59"/>
  <c r="AQ138" i="59" s="1"/>
  <c r="AN38" i="59"/>
  <c r="AB27" i="101"/>
  <c r="AI268" i="119"/>
  <c r="AI92" i="119"/>
  <c r="AJ36" i="119"/>
  <c r="AI179" i="119"/>
  <c r="AI90" i="119"/>
  <c r="AC29" i="101"/>
  <c r="AO40" i="59"/>
  <c r="AO58" i="59"/>
  <c r="AC34" i="101"/>
  <c r="AO56" i="59"/>
  <c r="AC32" i="101"/>
  <c r="AO41" i="59"/>
  <c r="AC30" i="101"/>
  <c r="R46" i="122" l="1"/>
  <c r="R57" i="122"/>
  <c r="AF408" i="119"/>
  <c r="AH54" i="119"/>
  <c r="AH125" i="119" s="1"/>
  <c r="AG74" i="119"/>
  <c r="AG410" i="119" s="1"/>
  <c r="AC19" i="138"/>
  <c r="AF72" i="119"/>
  <c r="AB17" i="138"/>
  <c r="O33" i="138"/>
  <c r="P33" i="138" s="1"/>
  <c r="Q33" i="138" s="1"/>
  <c r="R33" i="138" s="1"/>
  <c r="S33" i="138" s="1"/>
  <c r="T33" i="138" s="1"/>
  <c r="S57" i="122"/>
  <c r="AP11" i="62"/>
  <c r="AP22" i="60"/>
  <c r="AQ60" i="60"/>
  <c r="AP11" i="60"/>
  <c r="AQ12" i="61"/>
  <c r="AH143" i="119"/>
  <c r="AO23" i="62"/>
  <c r="AO24" i="62"/>
  <c r="AG18" i="119"/>
  <c r="AG408" i="119" s="1"/>
  <c r="AP25" i="61"/>
  <c r="AP24" i="61"/>
  <c r="AP45" i="61"/>
  <c r="AH251" i="119"/>
  <c r="AH196" i="119"/>
  <c r="AI108" i="119"/>
  <c r="AP12" i="62"/>
  <c r="AH144" i="119"/>
  <c r="AJ162" i="119"/>
  <c r="AK38" i="119"/>
  <c r="AO33" i="60"/>
  <c r="AQ13" i="61"/>
  <c r="AP140" i="59"/>
  <c r="AP31" i="62"/>
  <c r="AP43" i="62" s="1"/>
  <c r="AH20" i="119"/>
  <c r="AH215" i="119"/>
  <c r="AJ268" i="119"/>
  <c r="AJ92" i="119"/>
  <c r="AJ90" i="119"/>
  <c r="AJ179" i="119"/>
  <c r="AJ181" i="119"/>
  <c r="AJ94" i="119"/>
  <c r="AP41" i="59"/>
  <c r="AD30" i="101"/>
  <c r="AP136" i="59"/>
  <c r="AD37" i="101"/>
  <c r="AK167" i="119"/>
  <c r="AK40" i="119"/>
  <c r="AP56" i="59"/>
  <c r="AD32" i="101"/>
  <c r="AP42" i="59"/>
  <c r="AP55" i="59"/>
  <c r="AD31" i="101"/>
  <c r="AP57" i="59"/>
  <c r="AD33" i="101"/>
  <c r="AP40" i="59"/>
  <c r="AD29" i="101"/>
  <c r="AQ137" i="59"/>
  <c r="AQ133" i="59"/>
  <c r="AQ134" i="59"/>
  <c r="AP59" i="59"/>
  <c r="AD35" i="101"/>
  <c r="AR60" i="59"/>
  <c r="AR132" i="59"/>
  <c r="AR138" i="59" s="1"/>
  <c r="AF36" i="101"/>
  <c r="AD28" i="101"/>
  <c r="AP39" i="59"/>
  <c r="AP58" i="59"/>
  <c r="AD34" i="101"/>
  <c r="AQ33" i="61"/>
  <c r="AJ107" i="119"/>
  <c r="AC27" i="101"/>
  <c r="AO38" i="59"/>
  <c r="AK36" i="119"/>
  <c r="AI54" i="119" l="1"/>
  <c r="AI125" i="119" s="1"/>
  <c r="AH74" i="119"/>
  <c r="AH410" i="119" s="1"/>
  <c r="AD19" i="138"/>
  <c r="AG72" i="119"/>
  <c r="AC17" i="138"/>
  <c r="AQ11" i="62"/>
  <c r="AQ11" i="60"/>
  <c r="AR60" i="60"/>
  <c r="AQ22" i="60"/>
  <c r="AR12" i="61"/>
  <c r="AH18" i="119"/>
  <c r="AI143" i="119"/>
  <c r="AP23" i="62"/>
  <c r="AP24" i="62"/>
  <c r="AQ25" i="61"/>
  <c r="AQ24" i="61"/>
  <c r="AQ45" i="61"/>
  <c r="AI251" i="119"/>
  <c r="AI144" i="119"/>
  <c r="AR13" i="61"/>
  <c r="AQ12" i="62"/>
  <c r="AQ24" i="62" s="1"/>
  <c r="AJ108" i="119"/>
  <c r="AL38" i="119"/>
  <c r="AI196" i="119"/>
  <c r="AP33" i="60"/>
  <c r="AK162" i="119"/>
  <c r="AQ140" i="59"/>
  <c r="AQ31" i="62"/>
  <c r="AQ43" i="62" s="1"/>
  <c r="AI215" i="119"/>
  <c r="AI20" i="119"/>
  <c r="AR137" i="59"/>
  <c r="AR134" i="59"/>
  <c r="AR133" i="59"/>
  <c r="AL36" i="119"/>
  <c r="AQ57" i="59"/>
  <c r="AE33" i="101"/>
  <c r="AQ136" i="59"/>
  <c r="AE37" i="101"/>
  <c r="AQ41" i="59"/>
  <c r="AE30" i="101"/>
  <c r="AE32" i="101"/>
  <c r="AQ56" i="59"/>
  <c r="AR33" i="61"/>
  <c r="AK107" i="119"/>
  <c r="AQ39" i="59"/>
  <c r="AE28" i="101"/>
  <c r="AK268" i="119"/>
  <c r="AK92" i="119"/>
  <c r="AQ40" i="59"/>
  <c r="AE29" i="101"/>
  <c r="AQ42" i="59"/>
  <c r="AE31" i="101"/>
  <c r="AQ55" i="59"/>
  <c r="AD27" i="101"/>
  <c r="AP38" i="59"/>
  <c r="AK90" i="119"/>
  <c r="AK179" i="119"/>
  <c r="AE34" i="101"/>
  <c r="AQ58" i="59"/>
  <c r="AS60" i="59"/>
  <c r="AS132" i="59"/>
  <c r="AS138" i="59" s="1"/>
  <c r="AG36" i="101"/>
  <c r="AE35" i="101"/>
  <c r="AQ59" i="59"/>
  <c r="AL167" i="119"/>
  <c r="AL40" i="119"/>
  <c r="AK181" i="119"/>
  <c r="AK94" i="119"/>
  <c r="AH408" i="119" l="1"/>
  <c r="AJ54" i="119"/>
  <c r="AJ125" i="119" s="1"/>
  <c r="AI74" i="119"/>
  <c r="AI410" i="119" s="1"/>
  <c r="K35" i="92" s="1"/>
  <c r="AE19" i="138"/>
  <c r="AH72" i="119"/>
  <c r="AD17" i="138"/>
  <c r="AR11" i="62"/>
  <c r="AR23" i="62" s="1"/>
  <c r="AR11" i="60"/>
  <c r="AR22" i="60"/>
  <c r="AS60" i="60"/>
  <c r="AI18" i="119"/>
  <c r="AI408" i="119" s="1"/>
  <c r="K33" i="92" s="1"/>
  <c r="AS12" i="61"/>
  <c r="AJ144" i="119"/>
  <c r="AJ143" i="119"/>
  <c r="AQ23" i="62"/>
  <c r="AR24" i="61"/>
  <c r="AR45" i="61"/>
  <c r="AR25" i="61"/>
  <c r="AK108" i="119"/>
  <c r="AJ251" i="119"/>
  <c r="AR12" i="62"/>
  <c r="AS13" i="61"/>
  <c r="AM38" i="119"/>
  <c r="AQ33" i="60"/>
  <c r="AL162" i="119"/>
  <c r="AJ196" i="119"/>
  <c r="AR140" i="59"/>
  <c r="AR31" i="62"/>
  <c r="AR43" i="62" s="1"/>
  <c r="AJ20" i="119"/>
  <c r="AJ215" i="119"/>
  <c r="AS137" i="59"/>
  <c r="AS133" i="59"/>
  <c r="AS134" i="59"/>
  <c r="AR39" i="59"/>
  <c r="AF28" i="101"/>
  <c r="AF30" i="101"/>
  <c r="AR41" i="59"/>
  <c r="AF32" i="101"/>
  <c r="AR56" i="59"/>
  <c r="AL179" i="119"/>
  <c r="AL90" i="119"/>
  <c r="AM36" i="119"/>
  <c r="AR59" i="59"/>
  <c r="AF35" i="101"/>
  <c r="AS33" i="61"/>
  <c r="AL107" i="119"/>
  <c r="AR136" i="59"/>
  <c r="AF37" i="101"/>
  <c r="AF33" i="101"/>
  <c r="AR57" i="59"/>
  <c r="AM167" i="119"/>
  <c r="AM40" i="119"/>
  <c r="AF29" i="101"/>
  <c r="AR40" i="59"/>
  <c r="AL94" i="119"/>
  <c r="AL181" i="119"/>
  <c r="AH36" i="101"/>
  <c r="AT132" i="59"/>
  <c r="AT138" i="59" s="1"/>
  <c r="AT60" i="59"/>
  <c r="AF34" i="101"/>
  <c r="AR58" i="59"/>
  <c r="AQ38" i="59"/>
  <c r="AE27" i="101"/>
  <c r="AR42" i="59"/>
  <c r="AF31" i="101"/>
  <c r="AR55" i="59"/>
  <c r="AL92" i="119"/>
  <c r="AL268" i="119"/>
  <c r="AK54" i="119" l="1"/>
  <c r="AK125" i="119" s="1"/>
  <c r="AJ74" i="119"/>
  <c r="AJ410" i="119" s="1"/>
  <c r="AF19" i="138"/>
  <c r="AI72" i="119"/>
  <c r="AE17" i="138"/>
  <c r="AS11" i="62"/>
  <c r="AS11" i="60"/>
  <c r="AS22" i="60"/>
  <c r="AK196" i="119"/>
  <c r="AJ18" i="119"/>
  <c r="AT60" i="60"/>
  <c r="AT12" i="61"/>
  <c r="AK144" i="119"/>
  <c r="AR24" i="62"/>
  <c r="AK143" i="119"/>
  <c r="AS25" i="61"/>
  <c r="AS45" i="61"/>
  <c r="AS24" i="61"/>
  <c r="AS12" i="62"/>
  <c r="AL108" i="119"/>
  <c r="AK251" i="119"/>
  <c r="AT13" i="61"/>
  <c r="AN38" i="119"/>
  <c r="AM162" i="119"/>
  <c r="AR33" i="60"/>
  <c r="AS140" i="59"/>
  <c r="AK215" i="119"/>
  <c r="AK20" i="119"/>
  <c r="AS31" i="62"/>
  <c r="AS43" i="62" s="1"/>
  <c r="AR38" i="59"/>
  <c r="AF27" i="101"/>
  <c r="AT33" i="61"/>
  <c r="AM107" i="119"/>
  <c r="AM92" i="119"/>
  <c r="AM268" i="119"/>
  <c r="AS55" i="59"/>
  <c r="AS42" i="59"/>
  <c r="AG31" i="101"/>
  <c r="AU132" i="59"/>
  <c r="AU138" i="59" s="1"/>
  <c r="AI36" i="101"/>
  <c r="AU60" i="59"/>
  <c r="AS58" i="59"/>
  <c r="AG34" i="101"/>
  <c r="AN167" i="119"/>
  <c r="AN40" i="119"/>
  <c r="AS40" i="59"/>
  <c r="AG29" i="101"/>
  <c r="AT137" i="59"/>
  <c r="AT133" i="59"/>
  <c r="AT134" i="59"/>
  <c r="AS57" i="59"/>
  <c r="AG33" i="101"/>
  <c r="AS41" i="59"/>
  <c r="AG30" i="101"/>
  <c r="AN36" i="119"/>
  <c r="AM94" i="119"/>
  <c r="AM181" i="119"/>
  <c r="AS136" i="59"/>
  <c r="AG37" i="101"/>
  <c r="AG35" i="101"/>
  <c r="AS59" i="59"/>
  <c r="AM179" i="119"/>
  <c r="AM90" i="119"/>
  <c r="AS56" i="59"/>
  <c r="AG32" i="101"/>
  <c r="AG28" i="101"/>
  <c r="AS39" i="59"/>
  <c r="AJ408" i="119" l="1"/>
  <c r="AL54" i="119"/>
  <c r="AL125" i="119" s="1"/>
  <c r="AK74" i="119"/>
  <c r="AK410" i="119" s="1"/>
  <c r="AG19" i="138"/>
  <c r="AJ72" i="119"/>
  <c r="AF17" i="138"/>
  <c r="AT11" i="62"/>
  <c r="AT23" i="62" s="1"/>
  <c r="AT11" i="60"/>
  <c r="AU60" i="60"/>
  <c r="AT22" i="60"/>
  <c r="AU12" i="61"/>
  <c r="AL143" i="119"/>
  <c r="AS23" i="62"/>
  <c r="AL144" i="119"/>
  <c r="AS24" i="62"/>
  <c r="AK18" i="119"/>
  <c r="AK408" i="119" s="1"/>
  <c r="AT24" i="61"/>
  <c r="AT45" i="61"/>
  <c r="AT25" i="61"/>
  <c r="AT12" i="62"/>
  <c r="AM108" i="119"/>
  <c r="AU13" i="61"/>
  <c r="AL251" i="119"/>
  <c r="AN162" i="119"/>
  <c r="AO38" i="119"/>
  <c r="AL196" i="119"/>
  <c r="AS33" i="60"/>
  <c r="AT140" i="59"/>
  <c r="AT31" i="62"/>
  <c r="AT43" i="62" s="1"/>
  <c r="AL215" i="119"/>
  <c r="AL20" i="119"/>
  <c r="AH37" i="101"/>
  <c r="AT136" i="59"/>
  <c r="AH31" i="101"/>
  <c r="AT55" i="59"/>
  <c r="AT42" i="59"/>
  <c r="AO167" i="119"/>
  <c r="AO40" i="119"/>
  <c r="AU33" i="61"/>
  <c r="AN107" i="119"/>
  <c r="AO36" i="119"/>
  <c r="AT39" i="59"/>
  <c r="AH28" i="101"/>
  <c r="AH33" i="101"/>
  <c r="AT57" i="59"/>
  <c r="AT56" i="59"/>
  <c r="AH32" i="101"/>
  <c r="AN179" i="119"/>
  <c r="AN90" i="119"/>
  <c r="AN268" i="119"/>
  <c r="AN92" i="119"/>
  <c r="AT59" i="59"/>
  <c r="AH35" i="101"/>
  <c r="AT41" i="59"/>
  <c r="AH30" i="101"/>
  <c r="AN94" i="119"/>
  <c r="AN181" i="119"/>
  <c r="AV60" i="59"/>
  <c r="AV132" i="59"/>
  <c r="AV138" i="59" s="1"/>
  <c r="AJ36" i="101"/>
  <c r="AS38" i="59"/>
  <c r="AG27" i="101"/>
  <c r="AT40" i="59"/>
  <c r="AH29" i="101"/>
  <c r="AT58" i="59"/>
  <c r="AH34" i="101"/>
  <c r="AU137" i="59"/>
  <c r="AU134" i="59"/>
  <c r="AU133" i="59"/>
  <c r="AM54" i="119" l="1"/>
  <c r="AM125" i="119" s="1"/>
  <c r="AK72" i="119"/>
  <c r="AG17" i="138"/>
  <c r="AL74" i="119"/>
  <c r="AL410" i="119" s="1"/>
  <c r="AH19" i="138"/>
  <c r="AU11" i="62"/>
  <c r="AM196" i="119"/>
  <c r="AU11" i="60"/>
  <c r="AU22" i="60"/>
  <c r="AV60" i="60"/>
  <c r="AV12" i="61"/>
  <c r="AM144" i="119"/>
  <c r="AT24" i="62"/>
  <c r="AM18" i="119" s="1"/>
  <c r="AL18" i="119"/>
  <c r="AU24" i="61"/>
  <c r="AU45" i="61"/>
  <c r="AU25" i="61"/>
  <c r="AU12" i="62"/>
  <c r="AV13" i="61"/>
  <c r="AM251" i="119"/>
  <c r="AN108" i="119"/>
  <c r="AT33" i="60"/>
  <c r="AO162" i="119"/>
  <c r="AP38" i="119"/>
  <c r="AU140" i="59"/>
  <c r="AM143" i="119"/>
  <c r="AU31" i="62"/>
  <c r="AU43" i="62" s="1"/>
  <c r="AM215" i="119"/>
  <c r="AM20" i="119"/>
  <c r="AP167" i="119"/>
  <c r="AP40" i="119"/>
  <c r="AT38" i="59"/>
  <c r="AH27" i="101"/>
  <c r="AI31" i="101"/>
  <c r="AU42" i="59"/>
  <c r="AU55" i="59"/>
  <c r="AV33" i="61"/>
  <c r="AO107" i="119"/>
  <c r="AO92" i="119"/>
  <c r="AO268" i="119"/>
  <c r="AU41" i="59"/>
  <c r="AI30" i="101"/>
  <c r="AU58" i="59"/>
  <c r="AI34" i="101"/>
  <c r="AU40" i="59"/>
  <c r="AI29" i="101"/>
  <c r="AW132" i="59"/>
  <c r="AW138" i="59" s="1"/>
  <c r="AW60" i="59"/>
  <c r="AU57" i="59"/>
  <c r="AI33" i="101"/>
  <c r="AP36" i="119"/>
  <c r="AV137" i="59"/>
  <c r="AV133" i="59"/>
  <c r="AV134" i="59"/>
  <c r="AU59" i="59"/>
  <c r="AI35" i="101"/>
  <c r="AU56" i="59"/>
  <c r="AI32" i="101"/>
  <c r="AI28" i="101"/>
  <c r="AU39" i="59"/>
  <c r="AO179" i="119"/>
  <c r="AO90" i="119"/>
  <c r="AO94" i="119"/>
  <c r="AO181" i="119"/>
  <c r="AI37" i="101"/>
  <c r="AU136" i="59"/>
  <c r="AL408" i="119" l="1"/>
  <c r="AI17" i="138"/>
  <c r="AN54" i="119"/>
  <c r="AN125" i="119" s="1"/>
  <c r="AM408" i="119"/>
  <c r="AL72" i="119"/>
  <c r="AH17" i="138"/>
  <c r="AM74" i="119"/>
  <c r="AM410" i="119" s="1"/>
  <c r="AI19" i="138"/>
  <c r="AV11" i="62"/>
  <c r="AW60" i="60"/>
  <c r="AV11" i="60"/>
  <c r="AV22" i="60"/>
  <c r="AN196" i="119"/>
  <c r="AW12" i="61"/>
  <c r="AN143" i="119"/>
  <c r="AU23" i="62"/>
  <c r="AN144" i="119"/>
  <c r="AU24" i="62"/>
  <c r="AV12" i="62"/>
  <c r="AV24" i="62" s="1"/>
  <c r="AV24" i="61"/>
  <c r="AV45" i="61"/>
  <c r="AV25" i="61"/>
  <c r="AN251" i="119"/>
  <c r="AO108" i="119"/>
  <c r="AP162" i="119"/>
  <c r="AQ38" i="119"/>
  <c r="AU33" i="60"/>
  <c r="AW13" i="61"/>
  <c r="AM72" i="119"/>
  <c r="AV140" i="59"/>
  <c r="AN215" i="119"/>
  <c r="AN20" i="119"/>
  <c r="AV31" i="62"/>
  <c r="AV43" i="62" s="1"/>
  <c r="AJ34" i="101"/>
  <c r="AW58" i="59" s="1"/>
  <c r="AV58" i="59"/>
  <c r="AV41" i="59"/>
  <c r="AJ30" i="101"/>
  <c r="AW41" i="59" s="1"/>
  <c r="AW33" i="61"/>
  <c r="AP107" i="119"/>
  <c r="AV59" i="59"/>
  <c r="AJ35" i="101"/>
  <c r="AW59" i="59" s="1"/>
  <c r="AJ28" i="101"/>
  <c r="AW39" i="59" s="1"/>
  <c r="AV39" i="59"/>
  <c r="AW137" i="59"/>
  <c r="AW134" i="59"/>
  <c r="AW133" i="59"/>
  <c r="AP268" i="119"/>
  <c r="AP92" i="119"/>
  <c r="AP94" i="119"/>
  <c r="AP181" i="119"/>
  <c r="AJ32" i="101"/>
  <c r="AW56" i="59" s="1"/>
  <c r="AV56" i="59"/>
  <c r="AV57" i="59"/>
  <c r="AJ33" i="101"/>
  <c r="AW57" i="59" s="1"/>
  <c r="AV42" i="59"/>
  <c r="AV55" i="59"/>
  <c r="AJ31" i="101"/>
  <c r="AU38" i="59"/>
  <c r="AI27" i="101"/>
  <c r="AQ167" i="119"/>
  <c r="AQ40" i="119"/>
  <c r="AP90" i="119"/>
  <c r="AP179" i="119"/>
  <c r="AJ29" i="101"/>
  <c r="AW40" i="59" s="1"/>
  <c r="AV40" i="59"/>
  <c r="AV136" i="59"/>
  <c r="AJ37" i="101"/>
  <c r="AW136" i="59" s="1"/>
  <c r="AQ36" i="119"/>
  <c r="AO54" i="119" l="1"/>
  <c r="AO125" i="119" s="1"/>
  <c r="AN74" i="119"/>
  <c r="AN410" i="119" s="1"/>
  <c r="L35" i="92" s="1"/>
  <c r="AJ19" i="138"/>
  <c r="AW11" i="62"/>
  <c r="AW22" i="60"/>
  <c r="AW11" i="60"/>
  <c r="AX12" i="61"/>
  <c r="AO144" i="119"/>
  <c r="AO143" i="119"/>
  <c r="AV23" i="62"/>
  <c r="AN18" i="119"/>
  <c r="AW25" i="61"/>
  <c r="AO196" i="119"/>
  <c r="AW24" i="61"/>
  <c r="AW45" i="61"/>
  <c r="AP108" i="119"/>
  <c r="AO251" i="119"/>
  <c r="AW12" i="62"/>
  <c r="AX13" i="61"/>
  <c r="AR38" i="119"/>
  <c r="AV33" i="60"/>
  <c r="AQ162" i="119"/>
  <c r="AW140" i="59"/>
  <c r="AN408" i="119"/>
  <c r="L33" i="92" s="1"/>
  <c r="AW31" i="62"/>
  <c r="AW43" i="62" s="1"/>
  <c r="AO215" i="119"/>
  <c r="AO20" i="119"/>
  <c r="AJ27" i="101"/>
  <c r="AW38" i="59" s="1"/>
  <c r="AV38" i="59"/>
  <c r="AQ92" i="119"/>
  <c r="AQ268" i="119"/>
  <c r="AW42" i="59"/>
  <c r="AW55" i="59"/>
  <c r="AX33" i="61"/>
  <c r="AQ107" i="119"/>
  <c r="AR36" i="119"/>
  <c r="AR167" i="119"/>
  <c r="AR40" i="119"/>
  <c r="AQ90" i="119"/>
  <c r="AQ179" i="119"/>
  <c r="AQ94" i="119"/>
  <c r="AQ181" i="119"/>
  <c r="AP54" i="119" l="1"/>
  <c r="AP125" i="119" s="1"/>
  <c r="AO74" i="119"/>
  <c r="AO410" i="119" s="1"/>
  <c r="AK19" i="138"/>
  <c r="AN72" i="119"/>
  <c r="AJ17" i="138"/>
  <c r="AX11" i="62"/>
  <c r="AO18" i="119"/>
  <c r="AY12" i="61"/>
  <c r="AP143" i="119"/>
  <c r="AW23" i="62"/>
  <c r="AP144" i="119"/>
  <c r="AW24" i="62"/>
  <c r="AX24" i="61"/>
  <c r="AX12" i="62"/>
  <c r="AX24" i="62" s="1"/>
  <c r="AX45" i="61"/>
  <c r="AX25" i="61"/>
  <c r="AR162" i="119"/>
  <c r="AQ108" i="119"/>
  <c r="AP251" i="119"/>
  <c r="AW33" i="60"/>
  <c r="AP196" i="119"/>
  <c r="AY13" i="61"/>
  <c r="AP215" i="119"/>
  <c r="AP20" i="119"/>
  <c r="AX31" i="62"/>
  <c r="AX43" i="62" s="1"/>
  <c r="AY33" i="61"/>
  <c r="AR107" i="119"/>
  <c r="AR92" i="119"/>
  <c r="AR268" i="119"/>
  <c r="AR94" i="119"/>
  <c r="AR181" i="119"/>
  <c r="AR90" i="119"/>
  <c r="AR179" i="119"/>
  <c r="AK17" i="138" l="1"/>
  <c r="AO408" i="119"/>
  <c r="AQ54" i="119"/>
  <c r="AQ125" i="119" s="1"/>
  <c r="AO72" i="119"/>
  <c r="AP74" i="119"/>
  <c r="AP410" i="119" s="1"/>
  <c r="AL19" i="138"/>
  <c r="AY11" i="62"/>
  <c r="AQ143" i="119"/>
  <c r="AX23" i="62"/>
  <c r="AQ144" i="119"/>
  <c r="AY24" i="61"/>
  <c r="AY25" i="61"/>
  <c r="AP18" i="119"/>
  <c r="AY45" i="61"/>
  <c r="AQ251" i="119"/>
  <c r="AY12" i="62"/>
  <c r="AR108" i="119"/>
  <c r="AQ196" i="119"/>
  <c r="AY31" i="62"/>
  <c r="AY43" i="62" s="1"/>
  <c r="AQ20" i="119"/>
  <c r="AQ215" i="119"/>
  <c r="Y373" i="119"/>
  <c r="Z56" i="94"/>
  <c r="Z77" i="94"/>
  <c r="AP408" i="119" l="1"/>
  <c r="AR54" i="119"/>
  <c r="AR125" i="119" s="1"/>
  <c r="AQ74" i="119"/>
  <c r="AQ410" i="119" s="1"/>
  <c r="AM19" i="138"/>
  <c r="AP72" i="119"/>
  <c r="AL17" i="138"/>
  <c r="AR196" i="119"/>
  <c r="AQ18" i="119"/>
  <c r="AR143" i="119"/>
  <c r="AY23" i="62"/>
  <c r="AR144" i="119"/>
  <c r="AY24" i="62"/>
  <c r="AR251" i="119"/>
  <c r="AR215" i="119"/>
  <c r="AR20" i="119"/>
  <c r="Z57" i="94"/>
  <c r="Z95" i="94"/>
  <c r="Z101" i="94" s="1"/>
  <c r="Z58" i="94"/>
  <c r="AA76" i="94"/>
  <c r="AA77" i="94"/>
  <c r="AA75" i="94"/>
  <c r="AA56" i="94"/>
  <c r="AA95" i="94" s="1"/>
  <c r="AA101" i="94" s="1"/>
  <c r="Z373" i="119"/>
  <c r="Z76" i="94"/>
  <c r="Z75" i="94"/>
  <c r="AQ408" i="119" l="1"/>
  <c r="AR74" i="119"/>
  <c r="AR410" i="119" s="1"/>
  <c r="AN19" i="138"/>
  <c r="AQ72" i="119"/>
  <c r="AM17" i="138"/>
  <c r="AF40" i="61"/>
  <c r="AF47" i="61" s="1"/>
  <c r="Y253" i="119" s="1"/>
  <c r="AF19" i="61"/>
  <c r="AF26" i="61" s="1"/>
  <c r="Y198" i="119" s="1"/>
  <c r="AA81" i="94"/>
  <c r="Z81" i="94"/>
  <c r="AR18" i="119"/>
  <c r="Z79" i="94"/>
  <c r="AD113" i="59" s="1"/>
  <c r="AA96" i="94"/>
  <c r="Z96" i="94"/>
  <c r="Z78" i="94"/>
  <c r="AD104" i="59" s="1"/>
  <c r="Z85" i="94"/>
  <c r="AA58" i="94"/>
  <c r="AA57" i="94"/>
  <c r="AA85" i="94"/>
  <c r="AB56" i="94"/>
  <c r="AB95" i="94" s="1"/>
  <c r="AB101" i="94" s="1"/>
  <c r="AA373" i="119"/>
  <c r="AR408" i="119" l="1"/>
  <c r="AG19" i="61"/>
  <c r="AG26" i="61" s="1"/>
  <c r="Z198" i="119" s="1"/>
  <c r="AR72" i="119"/>
  <c r="AN17" i="138"/>
  <c r="AG40" i="61"/>
  <c r="AG47" i="61" s="1"/>
  <c r="Z253" i="119" s="1"/>
  <c r="Y56" i="119"/>
  <c r="Y127" i="119" s="1"/>
  <c r="AD50" i="60"/>
  <c r="AD105" i="59"/>
  <c r="AD59" i="60"/>
  <c r="AD114" i="59"/>
  <c r="AB96" i="94"/>
  <c r="AA79" i="94"/>
  <c r="AE113" i="59" s="1"/>
  <c r="AA78" i="94"/>
  <c r="AE104" i="59" s="1"/>
  <c r="AB57" i="94"/>
  <c r="AB58" i="94"/>
  <c r="AC56" i="94"/>
  <c r="AC95" i="94" s="1"/>
  <c r="AC101" i="94" s="1"/>
  <c r="AB373" i="119"/>
  <c r="Z87" i="94"/>
  <c r="Z102" i="94" s="1"/>
  <c r="Z83" i="94"/>
  <c r="AF38" i="62" s="1"/>
  <c r="AF45" i="62" s="1"/>
  <c r="Z82" i="94"/>
  <c r="AF18" i="62" s="1"/>
  <c r="AB76" i="94"/>
  <c r="AB77" i="94"/>
  <c r="AB75" i="94"/>
  <c r="AA87" i="94"/>
  <c r="AA102" i="94" s="1"/>
  <c r="AA82" i="94"/>
  <c r="AG18" i="62" s="1"/>
  <c r="AA83" i="94"/>
  <c r="AG38" i="62" s="1"/>
  <c r="AG45" i="62" s="1"/>
  <c r="AH19" i="61" l="1"/>
  <c r="AH26" i="61" s="1"/>
  <c r="AA198" i="119" s="1"/>
  <c r="Z56" i="119"/>
  <c r="Z127" i="119" s="1"/>
  <c r="AH40" i="61"/>
  <c r="AH47" i="61" s="1"/>
  <c r="AE105" i="59"/>
  <c r="AE50" i="60"/>
  <c r="AB81" i="94"/>
  <c r="AG25" i="62"/>
  <c r="AF25" i="62"/>
  <c r="AD68" i="60"/>
  <c r="AF62" i="61"/>
  <c r="AE59" i="60"/>
  <c r="AC96" i="94"/>
  <c r="AE114" i="59"/>
  <c r="Z147" i="119"/>
  <c r="Y147" i="119"/>
  <c r="AB85" i="94"/>
  <c r="AC76" i="94"/>
  <c r="AC75" i="94"/>
  <c r="AC77" i="94"/>
  <c r="Y219" i="119"/>
  <c r="Z219" i="119"/>
  <c r="AB78" i="94"/>
  <c r="AF104" i="59" s="1"/>
  <c r="AB79" i="94"/>
  <c r="AF113" i="59" s="1"/>
  <c r="AC57" i="94"/>
  <c r="AC58" i="94"/>
  <c r="AC373" i="119"/>
  <c r="AI19" i="61" l="1"/>
  <c r="AI26" i="61" s="1"/>
  <c r="AB198" i="119" s="1"/>
  <c r="AI40" i="61"/>
  <c r="AI47" i="61" s="1"/>
  <c r="AA56" i="119"/>
  <c r="AA127" i="119" s="1"/>
  <c r="AA253" i="119"/>
  <c r="AC81" i="94"/>
  <c r="AF59" i="62"/>
  <c r="AF64" i="62" s="1"/>
  <c r="AG62" i="61"/>
  <c r="Y197" i="119"/>
  <c r="Y239" i="119"/>
  <c r="AE68" i="60"/>
  <c r="AF77" i="61"/>
  <c r="Y55" i="119" s="1"/>
  <c r="AD69" i="60"/>
  <c r="Y22" i="119"/>
  <c r="Z22" i="119"/>
  <c r="AF59" i="60"/>
  <c r="AF114" i="59"/>
  <c r="AD373" i="119"/>
  <c r="AF105" i="59"/>
  <c r="AF50" i="60"/>
  <c r="AC85" i="94"/>
  <c r="AB87" i="94"/>
  <c r="AB102" i="94" s="1"/>
  <c r="AB83" i="94"/>
  <c r="AH38" i="62" s="1"/>
  <c r="AH45" i="62" s="1"/>
  <c r="AB82" i="94"/>
  <c r="AH18" i="62" s="1"/>
  <c r="AD75" i="94"/>
  <c r="AC78" i="94"/>
  <c r="AG104" i="59" s="1"/>
  <c r="AC79" i="94"/>
  <c r="AG113" i="59" s="1"/>
  <c r="Z76" i="119" l="1"/>
  <c r="Z412" i="119" s="1"/>
  <c r="V21" i="138"/>
  <c r="Y76" i="119"/>
  <c r="Y412" i="119" s="1"/>
  <c r="I37" i="92" s="1"/>
  <c r="U21" i="138"/>
  <c r="AB56" i="119"/>
  <c r="AB127" i="119" s="1"/>
  <c r="AB253" i="119"/>
  <c r="Z197" i="119"/>
  <c r="AG59" i="62"/>
  <c r="AG64" i="62" s="1"/>
  <c r="AH25" i="62"/>
  <c r="AF74" i="62"/>
  <c r="Y221" i="119" s="1"/>
  <c r="Y414" i="119" s="1"/>
  <c r="I39" i="92" s="1"/>
  <c r="Y149" i="119"/>
  <c r="W32" i="123" s="1"/>
  <c r="F16" i="123" s="1"/>
  <c r="Y19" i="119"/>
  <c r="AE69" i="60"/>
  <c r="Y114" i="119"/>
  <c r="Y415" i="119" s="1"/>
  <c r="I40" i="92" s="1"/>
  <c r="Y252" i="119"/>
  <c r="Y126" i="119"/>
  <c r="Z239" i="119"/>
  <c r="AG77" i="61"/>
  <c r="Z55" i="119" s="1"/>
  <c r="AF68" i="60"/>
  <c r="AG114" i="59"/>
  <c r="AG59" i="60"/>
  <c r="AA219" i="119"/>
  <c r="AE373" i="119"/>
  <c r="AH77" i="61"/>
  <c r="AG50" i="60"/>
  <c r="AG105" i="59"/>
  <c r="AA147" i="119"/>
  <c r="AC87" i="94"/>
  <c r="AC102" i="94" s="1"/>
  <c r="AC83" i="94"/>
  <c r="AI38" i="62" s="1"/>
  <c r="AI45" i="62" s="1"/>
  <c r="AC82" i="94"/>
  <c r="AI18" i="62" s="1"/>
  <c r="AE75" i="94"/>
  <c r="Y73" i="119" l="1"/>
  <c r="Y409" i="119" s="1"/>
  <c r="I34" i="92" s="1"/>
  <c r="U18" i="138"/>
  <c r="Z19" i="119"/>
  <c r="Z149" i="119"/>
  <c r="X32" i="123" s="1"/>
  <c r="AI25" i="62"/>
  <c r="AH74" i="62"/>
  <c r="AG74" i="62"/>
  <c r="AG79" i="62" s="1"/>
  <c r="AF79" i="62"/>
  <c r="Z252" i="119"/>
  <c r="AA239" i="119"/>
  <c r="Z114" i="119"/>
  <c r="Z415" i="119" s="1"/>
  <c r="AF69" i="60"/>
  <c r="AH62" i="61"/>
  <c r="AA55" i="119" s="1"/>
  <c r="Z126" i="119"/>
  <c r="W43" i="123"/>
  <c r="AA22" i="119"/>
  <c r="AG68" i="60"/>
  <c r="AF373" i="119"/>
  <c r="AB219" i="119"/>
  <c r="AA252" i="119"/>
  <c r="AB147" i="119"/>
  <c r="AF75" i="94"/>
  <c r="Z73" i="119" l="1"/>
  <c r="Z409" i="119" s="1"/>
  <c r="V18" i="138"/>
  <c r="AA76" i="119"/>
  <c r="AA412" i="119" s="1"/>
  <c r="W21" i="138"/>
  <c r="AH59" i="62"/>
  <c r="AH64" i="62" s="1"/>
  <c r="Y21" i="119"/>
  <c r="Z21" i="119"/>
  <c r="AA126" i="119"/>
  <c r="AI62" i="61"/>
  <c r="AB239" i="119"/>
  <c r="AA114" i="119"/>
  <c r="AA415" i="119" s="1"/>
  <c r="AA197" i="119"/>
  <c r="AI77" i="61"/>
  <c r="AG69" i="60"/>
  <c r="Z221" i="119"/>
  <c r="Z414" i="119" s="1"/>
  <c r="X43" i="123"/>
  <c r="V43" i="123"/>
  <c r="AB22" i="119"/>
  <c r="AG373" i="119"/>
  <c r="AA221" i="119"/>
  <c r="AA414" i="119" s="1"/>
  <c r="AH79" i="62"/>
  <c r="AA21" i="119" s="1"/>
  <c r="W20" i="138" s="1"/>
  <c r="AG75" i="94"/>
  <c r="P7" i="92" l="1"/>
  <c r="P9" i="92" s="1"/>
  <c r="AB55" i="119"/>
  <c r="AB126" i="119" s="1"/>
  <c r="AH22" i="123"/>
  <c r="AH26" i="123" s="1"/>
  <c r="U20" i="138"/>
  <c r="U29" i="138" s="1"/>
  <c r="U32" i="138" s="1"/>
  <c r="Y28" i="122" s="1"/>
  <c r="Y46" i="122" s="1"/>
  <c r="AB76" i="119"/>
  <c r="AB412" i="119" s="1"/>
  <c r="X21" i="138"/>
  <c r="Z75" i="119"/>
  <c r="Z411" i="119" s="1"/>
  <c r="V20" i="138"/>
  <c r="V29" i="138" s="1"/>
  <c r="V32" i="138" s="1"/>
  <c r="AI22" i="123"/>
  <c r="Y75" i="119"/>
  <c r="Y411" i="119" s="1"/>
  <c r="I36" i="92" s="1"/>
  <c r="W37" i="123"/>
  <c r="AA19" i="119"/>
  <c r="AA149" i="119"/>
  <c r="Y32" i="123" s="1"/>
  <c r="AI59" i="62"/>
  <c r="AI64" i="62" s="1"/>
  <c r="AI74" i="62"/>
  <c r="AI79" i="62" s="1"/>
  <c r="AB21" i="119" s="1"/>
  <c r="X20" i="138" s="1"/>
  <c r="AB197" i="119"/>
  <c r="X37" i="123"/>
  <c r="X47" i="123" s="1"/>
  <c r="AB252" i="119"/>
  <c r="AB114" i="119"/>
  <c r="AB415" i="119" s="1"/>
  <c r="W33" i="123"/>
  <c r="U43" i="123"/>
  <c r="Y43" i="123"/>
  <c r="AH373" i="119"/>
  <c r="AH75" i="94"/>
  <c r="AA75" i="119"/>
  <c r="AA411" i="119" s="1"/>
  <c r="Y37" i="123"/>
  <c r="P11" i="92" l="1"/>
  <c r="AJ22" i="123"/>
  <c r="Z28" i="122"/>
  <c r="Z46" i="122" s="1"/>
  <c r="AI26" i="123"/>
  <c r="W47" i="123"/>
  <c r="H16" i="123"/>
  <c r="AA73" i="119"/>
  <c r="AA409" i="119" s="1"/>
  <c r="W18" i="138"/>
  <c r="W29" i="138" s="1"/>
  <c r="W32" i="138" s="1"/>
  <c r="U33" i="138"/>
  <c r="V33" i="138" s="1"/>
  <c r="Y57" i="122"/>
  <c r="Y47" i="123"/>
  <c r="AB221" i="119"/>
  <c r="AB414" i="119" s="1"/>
  <c r="AB149" i="119"/>
  <c r="Z32" i="123" s="1"/>
  <c r="AB19" i="119"/>
  <c r="X33" i="123"/>
  <c r="V33" i="123"/>
  <c r="Z37" i="123"/>
  <c r="AB75" i="119"/>
  <c r="AB411" i="119" s="1"/>
  <c r="AI373" i="119"/>
  <c r="AI75" i="94"/>
  <c r="AJ26" i="123" l="1"/>
  <c r="Z57" i="122"/>
  <c r="AA28" i="122"/>
  <c r="AA46" i="122" s="1"/>
  <c r="W33" i="138"/>
  <c r="AB73" i="119"/>
  <c r="AB409" i="119" s="1"/>
  <c r="X18" i="138"/>
  <c r="X29" i="138" s="1"/>
  <c r="X32" i="138" s="1"/>
  <c r="AK22" i="123"/>
  <c r="Z47" i="123"/>
  <c r="W38" i="123"/>
  <c r="D16" i="123"/>
  <c r="Y33" i="123"/>
  <c r="U33" i="123"/>
  <c r="AJ75" i="94"/>
  <c r="AJ373" i="119"/>
  <c r="AK26" i="123" l="1"/>
  <c r="AA57" i="122"/>
  <c r="AB28" i="122"/>
  <c r="X33" i="138"/>
  <c r="V38" i="123"/>
  <c r="X38" i="123"/>
  <c r="W48" i="123"/>
  <c r="AK75" i="94"/>
  <c r="AK373" i="119"/>
  <c r="AB46" i="122" l="1"/>
  <c r="AB57" i="122"/>
  <c r="Y38" i="123"/>
  <c r="Y48" i="123" s="1"/>
  <c r="X48" i="123"/>
  <c r="U38" i="123"/>
  <c r="V48" i="123"/>
  <c r="AL373" i="119"/>
  <c r="AL75" i="94"/>
  <c r="U48" i="123" l="1"/>
  <c r="AM373" i="119"/>
  <c r="AM75" i="94"/>
  <c r="AN373" i="119" l="1"/>
  <c r="AN75" i="94"/>
  <c r="AO373" i="119" l="1"/>
  <c r="AO75" i="94"/>
  <c r="AP373" i="119" l="1"/>
  <c r="AP75" i="94"/>
  <c r="AQ75" i="94" l="1"/>
  <c r="AQ373" i="119"/>
  <c r="AR75" i="94" l="1"/>
  <c r="AR373" i="119"/>
  <c r="AS75" i="94" l="1"/>
  <c r="AD56" i="94"/>
  <c r="AC375" i="119"/>
  <c r="AD76" i="94"/>
  <c r="AD57" i="94" l="1"/>
  <c r="AD95" i="94"/>
  <c r="AD101" i="94" s="1"/>
  <c r="AD58" i="94"/>
  <c r="AE77" i="94"/>
  <c r="AE76" i="94"/>
  <c r="AE56" i="94"/>
  <c r="AE95" i="94" s="1"/>
  <c r="AE101" i="94" s="1"/>
  <c r="AD375" i="119"/>
  <c r="AD77" i="94"/>
  <c r="AD81" i="94" s="1"/>
  <c r="AD85" i="94"/>
  <c r="AJ40" i="61" l="1"/>
  <c r="AJ47" i="61" s="1"/>
  <c r="AC253" i="119" s="1"/>
  <c r="AE81" i="94"/>
  <c r="AJ19" i="61"/>
  <c r="AJ26" i="61" s="1"/>
  <c r="AC198" i="119" s="1"/>
  <c r="AE96" i="94"/>
  <c r="AD96" i="94"/>
  <c r="AE57" i="94"/>
  <c r="AE58" i="94"/>
  <c r="AD78" i="94"/>
  <c r="AH104" i="59" s="1"/>
  <c r="AD79" i="94"/>
  <c r="AH113" i="59" s="1"/>
  <c r="AF56" i="94"/>
  <c r="AF95" i="94" s="1"/>
  <c r="AF101" i="94" s="1"/>
  <c r="AE375" i="119"/>
  <c r="AE85" i="94"/>
  <c r="AK40" i="61" l="1"/>
  <c r="AK47" i="61" s="1"/>
  <c r="AD253" i="119" s="1"/>
  <c r="AK19" i="61"/>
  <c r="AK26" i="61" s="1"/>
  <c r="AD198" i="119" s="1"/>
  <c r="AC56" i="119"/>
  <c r="AC127" i="119" s="1"/>
  <c r="AF96" i="94"/>
  <c r="AE78" i="94"/>
  <c r="AI104" i="59" s="1"/>
  <c r="AE79" i="94"/>
  <c r="AI113" i="59" s="1"/>
  <c r="AH59" i="60"/>
  <c r="AH114" i="59"/>
  <c r="AE87" i="94"/>
  <c r="AE102" i="94" s="1"/>
  <c r="AE82" i="94"/>
  <c r="AK18" i="62" s="1"/>
  <c r="AE83" i="94"/>
  <c r="AK38" i="62" s="1"/>
  <c r="AK45" i="62" s="1"/>
  <c r="AF58" i="94"/>
  <c r="AF57" i="94"/>
  <c r="AD87" i="94"/>
  <c r="AD102" i="94" s="1"/>
  <c r="AD83" i="94"/>
  <c r="AJ38" i="62" s="1"/>
  <c r="AJ45" i="62" s="1"/>
  <c r="AD82" i="94"/>
  <c r="AJ18" i="62" s="1"/>
  <c r="AF375" i="119"/>
  <c r="AG56" i="94"/>
  <c r="AG95" i="94" s="1"/>
  <c r="AG101" i="94" s="1"/>
  <c r="AF76" i="94"/>
  <c r="AF77" i="94"/>
  <c r="AH50" i="60"/>
  <c r="AH105" i="59"/>
  <c r="AL19" i="61" l="1"/>
  <c r="AL26" i="61" s="1"/>
  <c r="AE198" i="119" s="1"/>
  <c r="AD56" i="119"/>
  <c r="AD127" i="119" s="1"/>
  <c r="AL40" i="61"/>
  <c r="AL47" i="61" s="1"/>
  <c r="AI50" i="60"/>
  <c r="AJ25" i="62"/>
  <c r="AK25" i="62"/>
  <c r="AF81" i="94"/>
  <c r="AI105" i="59"/>
  <c r="AI59" i="60"/>
  <c r="AG96" i="94"/>
  <c r="AH68" i="60"/>
  <c r="AI114" i="59"/>
  <c r="AG77" i="94"/>
  <c r="AG76" i="94"/>
  <c r="AC147" i="119"/>
  <c r="AD147" i="119"/>
  <c r="AF78" i="94"/>
  <c r="AJ104" i="59" s="1"/>
  <c r="AF79" i="94"/>
  <c r="AJ113" i="59" s="1"/>
  <c r="AF85" i="94"/>
  <c r="AG58" i="94"/>
  <c r="AG57" i="94"/>
  <c r="AC219" i="119"/>
  <c r="AK62" i="61"/>
  <c r="AG375" i="119"/>
  <c r="AH56" i="94"/>
  <c r="AH95" i="94" s="1"/>
  <c r="AH101" i="94" s="1"/>
  <c r="AD219" i="119"/>
  <c r="AM19" i="61" l="1"/>
  <c r="AM26" i="61" s="1"/>
  <c r="AF198" i="119" s="1"/>
  <c r="AM40" i="61"/>
  <c r="AM47" i="61" s="1"/>
  <c r="AE253" i="119"/>
  <c r="AE56" i="119"/>
  <c r="AE127" i="119" s="1"/>
  <c r="AG81" i="94"/>
  <c r="AK59" i="62"/>
  <c r="AK64" i="62" s="1"/>
  <c r="AI68" i="60"/>
  <c r="AJ62" i="61"/>
  <c r="AC239" i="119"/>
  <c r="AJ77" i="61"/>
  <c r="AH69" i="60"/>
  <c r="AH96" i="94"/>
  <c r="AH76" i="94"/>
  <c r="AH77" i="94"/>
  <c r="AC22" i="119"/>
  <c r="AJ105" i="59"/>
  <c r="AJ50" i="60"/>
  <c r="AH58" i="94"/>
  <c r="AH57" i="94"/>
  <c r="AF87" i="94"/>
  <c r="AF102" i="94" s="1"/>
  <c r="AF83" i="94"/>
  <c r="AL38" i="62" s="1"/>
  <c r="AL45" i="62" s="1"/>
  <c r="AF82" i="94"/>
  <c r="AL18" i="62" s="1"/>
  <c r="AD22" i="119"/>
  <c r="AG85" i="94"/>
  <c r="AI56" i="94"/>
  <c r="AI95" i="94" s="1"/>
  <c r="AI101" i="94" s="1"/>
  <c r="AH375" i="119"/>
  <c r="AD197" i="119"/>
  <c r="AJ59" i="60"/>
  <c r="AJ114" i="59"/>
  <c r="AG78" i="94"/>
  <c r="AK104" i="59" s="1"/>
  <c r="AG79" i="94"/>
  <c r="AK113" i="59" s="1"/>
  <c r="AC55" i="119" l="1"/>
  <c r="AC126" i="119" s="1"/>
  <c r="AD76" i="119"/>
  <c r="AD412" i="119" s="1"/>
  <c r="J37" i="92" s="1"/>
  <c r="Z21" i="138"/>
  <c r="AC76" i="119"/>
  <c r="AC412" i="119" s="1"/>
  <c r="Y21" i="138"/>
  <c r="AN19" i="61"/>
  <c r="AN26" i="61" s="1"/>
  <c r="AG198" i="119" s="1"/>
  <c r="AN40" i="61"/>
  <c r="AN47" i="61" s="1"/>
  <c r="AF253" i="119"/>
  <c r="AF56" i="119"/>
  <c r="AF127" i="119" s="1"/>
  <c r="AH81" i="94"/>
  <c r="AJ59" i="62"/>
  <c r="AJ64" i="62" s="1"/>
  <c r="AJ74" i="62"/>
  <c r="AC221" i="119" s="1"/>
  <c r="AL25" i="62"/>
  <c r="AC252" i="119"/>
  <c r="AC197" i="119"/>
  <c r="AD239" i="119"/>
  <c r="AC114" i="119"/>
  <c r="AC415" i="119" s="1"/>
  <c r="AK77" i="61"/>
  <c r="AD55" i="119" s="1"/>
  <c r="AI69" i="60"/>
  <c r="AI96" i="94"/>
  <c r="AK59" i="60"/>
  <c r="AK114" i="59"/>
  <c r="AK50" i="60"/>
  <c r="AK105" i="59"/>
  <c r="AI58" i="94"/>
  <c r="AI57" i="94"/>
  <c r="AJ56" i="94"/>
  <c r="AJ95" i="94" s="1"/>
  <c r="AJ101" i="94" s="1"/>
  <c r="AI375" i="119"/>
  <c r="AE147" i="119"/>
  <c r="AH78" i="94"/>
  <c r="AL104" i="59" s="1"/>
  <c r="AH79" i="94"/>
  <c r="AL113" i="59" s="1"/>
  <c r="AD19" i="119"/>
  <c r="AD149" i="119"/>
  <c r="AB32" i="123" s="1"/>
  <c r="AI76" i="94"/>
  <c r="AI77" i="94"/>
  <c r="AG87" i="94"/>
  <c r="AG102" i="94" s="1"/>
  <c r="AG83" i="94"/>
  <c r="AM38" i="62" s="1"/>
  <c r="AM45" i="62" s="1"/>
  <c r="AG82" i="94"/>
  <c r="AM18" i="62" s="1"/>
  <c r="AE219" i="119"/>
  <c r="AJ68" i="60"/>
  <c r="AH85" i="94"/>
  <c r="Z18" i="138" l="1"/>
  <c r="AO19" i="61"/>
  <c r="AO26" i="61" s="1"/>
  <c r="AH198" i="119" s="1"/>
  <c r="AO40" i="61"/>
  <c r="AO47" i="61" s="1"/>
  <c r="AG56" i="119"/>
  <c r="AG127" i="119" s="1"/>
  <c r="AG253" i="119"/>
  <c r="AJ79" i="62"/>
  <c r="AC21" i="119" s="1"/>
  <c r="AK74" i="62"/>
  <c r="AI81" i="94"/>
  <c r="AM25" i="62"/>
  <c r="AC149" i="119"/>
  <c r="AA32" i="123" s="1"/>
  <c r="AD252" i="119"/>
  <c r="AC19" i="119"/>
  <c r="AD114" i="119"/>
  <c r="AD415" i="119" s="1"/>
  <c r="J40" i="92" s="1"/>
  <c r="AL62" i="61"/>
  <c r="AL77" i="61"/>
  <c r="AD126" i="119"/>
  <c r="AJ69" i="60"/>
  <c r="AE239" i="119"/>
  <c r="AC414" i="119"/>
  <c r="AJ96" i="94"/>
  <c r="AK68" i="60"/>
  <c r="AE22" i="119"/>
  <c r="AJ77" i="94"/>
  <c r="AJ76" i="94"/>
  <c r="AF147" i="119"/>
  <c r="AD73" i="119"/>
  <c r="AD409" i="119" s="1"/>
  <c r="J34" i="92" s="1"/>
  <c r="AL59" i="60"/>
  <c r="AL114" i="59"/>
  <c r="AJ57" i="94"/>
  <c r="AJ58" i="94"/>
  <c r="AM77" i="61"/>
  <c r="AI85" i="94"/>
  <c r="AF219" i="119"/>
  <c r="AL50" i="60"/>
  <c r="AL105" i="59"/>
  <c r="AH87" i="94"/>
  <c r="AH102" i="94" s="1"/>
  <c r="AH83" i="94"/>
  <c r="AN38" i="62" s="1"/>
  <c r="AN45" i="62" s="1"/>
  <c r="AH82" i="94"/>
  <c r="AN18" i="62" s="1"/>
  <c r="AI78" i="94"/>
  <c r="AM104" i="59" s="1"/>
  <c r="AI79" i="94"/>
  <c r="AM113" i="59" s="1"/>
  <c r="AJ375" i="119"/>
  <c r="AK56" i="94"/>
  <c r="AK95" i="94" s="1"/>
  <c r="AK101" i="94" s="1"/>
  <c r="AE55" i="119" l="1"/>
  <c r="AE126" i="119" s="1"/>
  <c r="AE76" i="119"/>
  <c r="AE412" i="119" s="1"/>
  <c r="AA21" i="138"/>
  <c r="AC73" i="119"/>
  <c r="AC409" i="119" s="1"/>
  <c r="Y18" i="138"/>
  <c r="AC75" i="119"/>
  <c r="AC411" i="119" s="1"/>
  <c r="Y20" i="138"/>
  <c r="AA37" i="123"/>
  <c r="AA47" i="123" s="1"/>
  <c r="AP40" i="61"/>
  <c r="AP47" i="61" s="1"/>
  <c r="AI253" i="119" s="1"/>
  <c r="AP19" i="61"/>
  <c r="AP26" i="61" s="1"/>
  <c r="AI198" i="119" s="1"/>
  <c r="AH56" i="119"/>
  <c r="AH127" i="119" s="1"/>
  <c r="AH253" i="119"/>
  <c r="AJ81" i="94"/>
  <c r="AE252" i="119"/>
  <c r="AL74" i="62"/>
  <c r="AL79" i="62" s="1"/>
  <c r="AE21" i="119" s="1"/>
  <c r="AA20" i="138" s="1"/>
  <c r="AM74" i="62"/>
  <c r="AN25" i="62"/>
  <c r="AL59" i="62"/>
  <c r="AL64" i="62" s="1"/>
  <c r="AL22" i="123"/>
  <c r="AL26" i="123" s="1"/>
  <c r="AE197" i="119"/>
  <c r="AM62" i="61"/>
  <c r="AF55" i="119" s="1"/>
  <c r="AK69" i="60"/>
  <c r="AK79" i="62"/>
  <c r="AD221" i="119"/>
  <c r="AD414" i="119" s="1"/>
  <c r="J39" i="92" s="1"/>
  <c r="AF239" i="119"/>
  <c r="AE114" i="119"/>
  <c r="AE415" i="119" s="1"/>
  <c r="AK96" i="94"/>
  <c r="AK77" i="94"/>
  <c r="AK76" i="94"/>
  <c r="AM59" i="60"/>
  <c r="AM114" i="59"/>
  <c r="AG219" i="119"/>
  <c r="AF252" i="119"/>
  <c r="AJ85" i="94"/>
  <c r="AK57" i="94"/>
  <c r="AK58" i="94"/>
  <c r="AM50" i="60"/>
  <c r="AM105" i="59"/>
  <c r="AJ78" i="94"/>
  <c r="AN104" i="59" s="1"/>
  <c r="AJ79" i="94"/>
  <c r="AN113" i="59" s="1"/>
  <c r="AF22" i="119"/>
  <c r="AI87" i="94"/>
  <c r="AI102" i="94" s="1"/>
  <c r="AI82" i="94"/>
  <c r="AO18" i="62" s="1"/>
  <c r="AI83" i="94"/>
  <c r="AO38" i="62" s="1"/>
  <c r="AO45" i="62" s="1"/>
  <c r="AL56" i="94"/>
  <c r="AL95" i="94" s="1"/>
  <c r="AL101" i="94" s="1"/>
  <c r="AK375" i="119"/>
  <c r="AG147" i="119"/>
  <c r="AL68" i="60"/>
  <c r="AF76" i="119" l="1"/>
  <c r="AF412" i="119" s="1"/>
  <c r="AB21" i="138"/>
  <c r="Y29" i="138"/>
  <c r="Y32" i="138" s="1"/>
  <c r="AC28" i="122" s="1"/>
  <c r="AC46" i="122" s="1"/>
  <c r="AQ40" i="61"/>
  <c r="AQ47" i="61" s="1"/>
  <c r="AJ253" i="119" s="1"/>
  <c r="AI56" i="119"/>
  <c r="AI127" i="119" s="1"/>
  <c r="AQ19" i="61"/>
  <c r="AQ26" i="61" s="1"/>
  <c r="AJ198" i="119" s="1"/>
  <c r="AK81" i="94"/>
  <c r="AE19" i="119"/>
  <c r="AO25" i="62"/>
  <c r="AM59" i="62"/>
  <c r="AM64" i="62" s="1"/>
  <c r="AD21" i="119"/>
  <c r="AE149" i="119"/>
  <c r="AC32" i="123" s="1"/>
  <c r="AE221" i="119"/>
  <c r="AE414" i="119" s="1"/>
  <c r="AF126" i="119"/>
  <c r="AF197" i="119"/>
  <c r="AG239" i="119"/>
  <c r="AL69" i="60"/>
  <c r="AF114" i="119"/>
  <c r="AF415" i="119" s="1"/>
  <c r="AN62" i="61"/>
  <c r="AN77" i="61"/>
  <c r="AM68" i="60"/>
  <c r="AG22" i="119"/>
  <c r="AL96" i="94"/>
  <c r="AL57" i="94"/>
  <c r="AL58" i="94"/>
  <c r="AH219" i="119"/>
  <c r="AL375" i="119"/>
  <c r="AM56" i="94"/>
  <c r="AM95" i="94" s="1"/>
  <c r="AM101" i="94" s="1"/>
  <c r="AL77" i="94"/>
  <c r="AL76" i="94"/>
  <c r="AN59" i="60"/>
  <c r="AN114" i="59"/>
  <c r="AF221" i="119"/>
  <c r="AM79" i="62"/>
  <c r="AF21" i="119" s="1"/>
  <c r="AB20" i="138" s="1"/>
  <c r="AC37" i="123"/>
  <c r="AE75" i="119"/>
  <c r="AE411" i="119" s="1"/>
  <c r="AN50" i="60"/>
  <c r="AN105" i="59"/>
  <c r="AJ87" i="94"/>
  <c r="AJ102" i="94" s="1"/>
  <c r="AJ83" i="94"/>
  <c r="AP38" i="62" s="1"/>
  <c r="AP45" i="62" s="1"/>
  <c r="AJ82" i="94"/>
  <c r="AP18" i="62" s="1"/>
  <c r="AK85" i="94"/>
  <c r="AH147" i="119"/>
  <c r="AK78" i="94"/>
  <c r="AO104" i="59" s="1"/>
  <c r="AK79" i="94"/>
  <c r="AO113" i="59" s="1"/>
  <c r="AA18" i="138" l="1"/>
  <c r="AA29" i="138" s="1"/>
  <c r="AA32" i="138" s="1"/>
  <c r="AE28" i="122"/>
  <c r="AE46" i="122" s="1"/>
  <c r="AG55" i="119"/>
  <c r="AG126" i="119" s="1"/>
  <c r="AE73" i="119"/>
  <c r="AE409" i="119" s="1"/>
  <c r="AN22" i="123"/>
  <c r="AM22" i="123"/>
  <c r="AM26" i="123" s="1"/>
  <c r="Z20" i="138"/>
  <c r="Z29" i="138" s="1"/>
  <c r="Z32" i="138" s="1"/>
  <c r="Y33" i="138"/>
  <c r="AC57" i="122"/>
  <c r="AG76" i="119"/>
  <c r="AG412" i="119" s="1"/>
  <c r="AC21" i="138"/>
  <c r="AR40" i="61"/>
  <c r="AR47" i="61" s="1"/>
  <c r="AK253" i="119" s="1"/>
  <c r="AR19" i="61"/>
  <c r="AR26" i="61" s="1"/>
  <c r="AK198" i="119" s="1"/>
  <c r="AJ56" i="119"/>
  <c r="AJ127" i="119" s="1"/>
  <c r="AB37" i="123"/>
  <c r="AB47" i="123" s="1"/>
  <c r="AB50" i="123" s="1"/>
  <c r="AD75" i="119"/>
  <c r="AD411" i="119" s="1"/>
  <c r="J36" i="92" s="1"/>
  <c r="AC47" i="123"/>
  <c r="AN74" i="62"/>
  <c r="AG221" i="119" s="1"/>
  <c r="AL81" i="94"/>
  <c r="AN59" i="62"/>
  <c r="AN64" i="62" s="1"/>
  <c r="AP25" i="62"/>
  <c r="AF19" i="119"/>
  <c r="AF149" i="119"/>
  <c r="AD32" i="123" s="1"/>
  <c r="AG114" i="119"/>
  <c r="AG415" i="119" s="1"/>
  <c r="AG252" i="119"/>
  <c r="AG197" i="119"/>
  <c r="AH239" i="119"/>
  <c r="AO62" i="61"/>
  <c r="AO77" i="61"/>
  <c r="AM69" i="60"/>
  <c r="AF414" i="119"/>
  <c r="AM96" i="94"/>
  <c r="AN68" i="60"/>
  <c r="AH22" i="119"/>
  <c r="AO50" i="60"/>
  <c r="AO105" i="59"/>
  <c r="AK83" i="94"/>
  <c r="AQ38" i="62" s="1"/>
  <c r="AQ45" i="62" s="1"/>
  <c r="AK87" i="94"/>
  <c r="AK102" i="94" s="1"/>
  <c r="AK82" i="94"/>
  <c r="AQ18" i="62" s="1"/>
  <c r="AM76" i="94"/>
  <c r="AM77" i="94"/>
  <c r="AI147" i="119"/>
  <c r="AF75" i="119"/>
  <c r="AF411" i="119" s="1"/>
  <c r="AD37" i="123"/>
  <c r="AM57" i="94"/>
  <c r="AM58" i="94"/>
  <c r="AL85" i="94"/>
  <c r="AO59" i="60"/>
  <c r="AO114" i="59"/>
  <c r="AI219" i="119"/>
  <c r="AL79" i="94"/>
  <c r="AP113" i="59" s="1"/>
  <c r="AL78" i="94"/>
  <c r="AP104" i="59" s="1"/>
  <c r="AN56" i="94"/>
  <c r="AN95" i="94" s="1"/>
  <c r="AN101" i="94" s="1"/>
  <c r="AM375" i="119"/>
  <c r="AE57" i="122" l="1"/>
  <c r="AD28" i="122"/>
  <c r="AD46" i="122" s="1"/>
  <c r="AH55" i="119"/>
  <c r="AH126" i="119" s="1"/>
  <c r="AN26" i="123"/>
  <c r="AS40" i="61"/>
  <c r="AS47" i="61" s="1"/>
  <c r="AL253" i="119" s="1"/>
  <c r="AO22" i="123"/>
  <c r="AB18" i="138"/>
  <c r="AB29" i="138" s="1"/>
  <c r="AB32" i="138" s="1"/>
  <c r="Z33" i="138"/>
  <c r="AA33" i="138" s="1"/>
  <c r="AH76" i="119"/>
  <c r="AH412" i="119" s="1"/>
  <c r="AD21" i="138"/>
  <c r="AK56" i="119"/>
  <c r="AK127" i="119" s="1"/>
  <c r="AS19" i="61"/>
  <c r="AS26" i="61" s="1"/>
  <c r="AL198" i="119" s="1"/>
  <c r="AF73" i="119"/>
  <c r="AF409" i="119" s="1"/>
  <c r="AH197" i="119"/>
  <c r="AM81" i="94"/>
  <c r="AO74" i="62"/>
  <c r="AH221" i="119" s="1"/>
  <c r="AO59" i="62"/>
  <c r="AO64" i="62" s="1"/>
  <c r="AQ25" i="62"/>
  <c r="AG19" i="119"/>
  <c r="AD47" i="123"/>
  <c r="AG149" i="119"/>
  <c r="AE32" i="123" s="1"/>
  <c r="AH252" i="119"/>
  <c r="AN79" i="62"/>
  <c r="AG21" i="119" s="1"/>
  <c r="AH114" i="119"/>
  <c r="AH415" i="119" s="1"/>
  <c r="AP77" i="61"/>
  <c r="AI239" i="119"/>
  <c r="AN69" i="60"/>
  <c r="AP62" i="61"/>
  <c r="AG414" i="119"/>
  <c r="AN96" i="94"/>
  <c r="AP59" i="60"/>
  <c r="AP114" i="59"/>
  <c r="AI22" i="119"/>
  <c r="AN58" i="94"/>
  <c r="AN57" i="94"/>
  <c r="AP50" i="60"/>
  <c r="AP105" i="59"/>
  <c r="AJ219" i="119"/>
  <c r="AM78" i="94"/>
  <c r="AQ104" i="59" s="1"/>
  <c r="AM79" i="94"/>
  <c r="AQ113" i="59" s="1"/>
  <c r="AN375" i="119"/>
  <c r="AO56" i="94"/>
  <c r="AO95" i="94" s="1"/>
  <c r="AO101" i="94" s="1"/>
  <c r="AL83" i="94"/>
  <c r="AR38" i="62" s="1"/>
  <c r="AR45" i="62" s="1"/>
  <c r="AL87" i="94"/>
  <c r="AL102" i="94" s="1"/>
  <c r="AL82" i="94"/>
  <c r="AR18" i="62" s="1"/>
  <c r="AN76" i="94"/>
  <c r="AN77" i="94"/>
  <c r="AM85" i="94"/>
  <c r="AJ147" i="119"/>
  <c r="AO68" i="60"/>
  <c r="AO26" i="123" l="1"/>
  <c r="AD57" i="122"/>
  <c r="AF28" i="122"/>
  <c r="AF46" i="122" s="1"/>
  <c r="AI55" i="119"/>
  <c r="AI126" i="119" s="1"/>
  <c r="AE37" i="123"/>
  <c r="AE47" i="123" s="1"/>
  <c r="AC20" i="138"/>
  <c r="AT19" i="61"/>
  <c r="AT26" i="61" s="1"/>
  <c r="AM198" i="119" s="1"/>
  <c r="AB33" i="138"/>
  <c r="AG73" i="119"/>
  <c r="AG409" i="119" s="1"/>
  <c r="AC18" i="138"/>
  <c r="AI76" i="119"/>
  <c r="AI412" i="119" s="1"/>
  <c r="K37" i="92" s="1"/>
  <c r="AE21" i="138"/>
  <c r="AT40" i="61"/>
  <c r="AT47" i="61" s="1"/>
  <c r="AM253" i="119" s="1"/>
  <c r="AL56" i="119"/>
  <c r="AL127" i="119" s="1"/>
  <c r="AN81" i="94"/>
  <c r="AH19" i="119"/>
  <c r="AI197" i="119"/>
  <c r="AO79" i="62"/>
  <c r="AH21" i="119" s="1"/>
  <c r="AP59" i="62"/>
  <c r="AP64" i="62" s="1"/>
  <c r="AR25" i="62"/>
  <c r="AP74" i="62"/>
  <c r="AI221" i="119" s="1"/>
  <c r="AP22" i="123"/>
  <c r="AG75" i="119"/>
  <c r="AG411" i="119" s="1"/>
  <c r="AH149" i="119"/>
  <c r="AF32" i="123" s="1"/>
  <c r="AQ77" i="61"/>
  <c r="AI252" i="119"/>
  <c r="AI114" i="119"/>
  <c r="AI415" i="119" s="1"/>
  <c r="K40" i="92" s="1"/>
  <c r="AQ62" i="61"/>
  <c r="AJ239" i="119"/>
  <c r="AO69" i="60"/>
  <c r="AH414" i="119"/>
  <c r="AO96" i="94"/>
  <c r="AP68" i="60"/>
  <c r="AJ22" i="119"/>
  <c r="AM87" i="94"/>
  <c r="AM102" i="94" s="1"/>
  <c r="AM83" i="94"/>
  <c r="AS38" i="62" s="1"/>
  <c r="AS45" i="62" s="1"/>
  <c r="AM82" i="94"/>
  <c r="AS18" i="62" s="1"/>
  <c r="AK219" i="119"/>
  <c r="AO58" i="94"/>
  <c r="AO57" i="94"/>
  <c r="AQ59" i="60"/>
  <c r="AQ114" i="59"/>
  <c r="AK147" i="119"/>
  <c r="AQ105" i="59"/>
  <c r="AQ50" i="60"/>
  <c r="AK239" i="119"/>
  <c r="AN78" i="94"/>
  <c r="AR104" i="59" s="1"/>
  <c r="AN79" i="94"/>
  <c r="AR113" i="59" s="1"/>
  <c r="AP56" i="94"/>
  <c r="AP95" i="94" s="1"/>
  <c r="AP101" i="94" s="1"/>
  <c r="AO375" i="119"/>
  <c r="AN85" i="94"/>
  <c r="AO76" i="94"/>
  <c r="AO77" i="94"/>
  <c r="AP26" i="123" l="1"/>
  <c r="AC29" i="138"/>
  <c r="AC32" i="138" s="1"/>
  <c r="AC33" i="138" s="1"/>
  <c r="AF57" i="122"/>
  <c r="AG28" i="122"/>
  <c r="AG46" i="122" s="1"/>
  <c r="AJ55" i="119"/>
  <c r="AJ126" i="119" s="1"/>
  <c r="AH73" i="119"/>
  <c r="AH409" i="119" s="1"/>
  <c r="AD18" i="138"/>
  <c r="AH75" i="119"/>
  <c r="AH411" i="119" s="1"/>
  <c r="AD20" i="138"/>
  <c r="AJ76" i="119"/>
  <c r="AJ412" i="119" s="1"/>
  <c r="AF21" i="138"/>
  <c r="AM56" i="119"/>
  <c r="AM127" i="119" s="1"/>
  <c r="AU40" i="61"/>
  <c r="AU47" i="61" s="1"/>
  <c r="AN253" i="119" s="1"/>
  <c r="AU19" i="61"/>
  <c r="AU26" i="61" s="1"/>
  <c r="AN198" i="119" s="1"/>
  <c r="AF37" i="123"/>
  <c r="AF47" i="123" s="1"/>
  <c r="AQ22" i="123"/>
  <c r="AJ252" i="119"/>
  <c r="AS25" i="62"/>
  <c r="AO81" i="94"/>
  <c r="AQ59" i="62"/>
  <c r="AQ64" i="62" s="1"/>
  <c r="AQ74" i="62"/>
  <c r="AJ221" i="119" s="1"/>
  <c r="AI19" i="119"/>
  <c r="AP79" i="62"/>
  <c r="AI21" i="119" s="1"/>
  <c r="AR62" i="61"/>
  <c r="AJ197" i="119"/>
  <c r="AP69" i="60"/>
  <c r="AI149" i="119"/>
  <c r="AG32" i="123" s="1"/>
  <c r="AR77" i="61"/>
  <c r="AJ114" i="119"/>
  <c r="AJ415" i="119" s="1"/>
  <c r="AI414" i="119"/>
  <c r="K39" i="92" s="1"/>
  <c r="AP96" i="94"/>
  <c r="AQ68" i="60"/>
  <c r="AK22" i="119"/>
  <c r="AO85" i="94"/>
  <c r="AN87" i="94"/>
  <c r="AN102" i="94" s="1"/>
  <c r="AN83" i="94"/>
  <c r="AT38" i="62" s="1"/>
  <c r="AT45" i="62" s="1"/>
  <c r="AN82" i="94"/>
  <c r="AT18" i="62" s="1"/>
  <c r="AP57" i="94"/>
  <c r="AP58" i="94"/>
  <c r="AL147" i="119"/>
  <c r="AQ56" i="94"/>
  <c r="AQ95" i="94" s="1"/>
  <c r="AQ101" i="94" s="1"/>
  <c r="AP375" i="119"/>
  <c r="AO78" i="94"/>
  <c r="AS104" i="59" s="1"/>
  <c r="AO79" i="94"/>
  <c r="AS113" i="59" s="1"/>
  <c r="AP77" i="94"/>
  <c r="AP76" i="94"/>
  <c r="AR59" i="60"/>
  <c r="AR114" i="59"/>
  <c r="AL219" i="119"/>
  <c r="AR50" i="60"/>
  <c r="AR105" i="59"/>
  <c r="AQ26" i="123" l="1"/>
  <c r="AG57" i="122"/>
  <c r="AK55" i="119"/>
  <c r="AK126" i="119" s="1"/>
  <c r="AI73" i="119"/>
  <c r="AI409" i="119" s="1"/>
  <c r="K34" i="92" s="1"/>
  <c r="AE18" i="138"/>
  <c r="AK76" i="119"/>
  <c r="AK412" i="119" s="1"/>
  <c r="AG21" i="138"/>
  <c r="AD29" i="138"/>
  <c r="AD32" i="138" s="1"/>
  <c r="AG37" i="123"/>
  <c r="AG47" i="123" s="1"/>
  <c r="AE20" i="138"/>
  <c r="AV40" i="61"/>
  <c r="AV47" i="61" s="1"/>
  <c r="AO253" i="119" s="1"/>
  <c r="AV19" i="61"/>
  <c r="AV26" i="61" s="1"/>
  <c r="AO198" i="119" s="1"/>
  <c r="AN56" i="119"/>
  <c r="AN127" i="119" s="1"/>
  <c r="AJ149" i="119"/>
  <c r="AH32" i="123" s="1"/>
  <c r="AP81" i="94"/>
  <c r="AQ79" i="62"/>
  <c r="AJ21" i="119" s="1"/>
  <c r="AR74" i="62"/>
  <c r="AK221" i="119" s="1"/>
  <c r="AT25" i="62"/>
  <c r="AR59" i="62"/>
  <c r="AR64" i="62" s="1"/>
  <c r="AR22" i="123"/>
  <c r="AI75" i="119"/>
  <c r="AI411" i="119" s="1"/>
  <c r="K36" i="92" s="1"/>
  <c r="AJ19" i="119"/>
  <c r="AK252" i="119"/>
  <c r="AK197" i="119"/>
  <c r="AK114" i="119"/>
  <c r="AK415" i="119" s="1"/>
  <c r="AS77" i="61"/>
  <c r="AL239" i="119"/>
  <c r="AS62" i="61"/>
  <c r="AQ69" i="60"/>
  <c r="AJ414" i="119"/>
  <c r="AQ96" i="94"/>
  <c r="AR68" i="60"/>
  <c r="AS105" i="59"/>
  <c r="AS50" i="60"/>
  <c r="AQ57" i="94"/>
  <c r="AQ58" i="94"/>
  <c r="AO87" i="94"/>
  <c r="AO102" i="94" s="1"/>
  <c r="AO83" i="94"/>
  <c r="AU38" i="62" s="1"/>
  <c r="AU45" i="62" s="1"/>
  <c r="AO82" i="94"/>
  <c r="AU18" i="62" s="1"/>
  <c r="AP85" i="94"/>
  <c r="AR56" i="94"/>
  <c r="AR95" i="94" s="1"/>
  <c r="AR101" i="94" s="1"/>
  <c r="AQ375" i="119"/>
  <c r="AM147" i="119"/>
  <c r="AL22" i="119"/>
  <c r="AM219" i="119"/>
  <c r="AP78" i="94"/>
  <c r="AT104" i="59" s="1"/>
  <c r="AP79" i="94"/>
  <c r="AT113" i="59" s="1"/>
  <c r="AS59" i="60"/>
  <c r="AS114" i="59"/>
  <c r="AQ77" i="94"/>
  <c r="AQ76" i="94"/>
  <c r="AR26" i="123" l="1"/>
  <c r="AH28" i="122"/>
  <c r="AL55" i="119"/>
  <c r="AL126" i="119" s="1"/>
  <c r="AL76" i="119"/>
  <c r="AL412" i="119" s="1"/>
  <c r="AH21" i="138"/>
  <c r="AW40" i="61"/>
  <c r="AW47" i="61" s="1"/>
  <c r="AP253" i="119" s="1"/>
  <c r="AJ73" i="119"/>
  <c r="AJ409" i="119" s="1"/>
  <c r="AF18" i="138"/>
  <c r="AJ75" i="119"/>
  <c r="AJ411" i="119" s="1"/>
  <c r="AF20" i="138"/>
  <c r="AD33" i="138"/>
  <c r="AE29" i="138"/>
  <c r="AE32" i="138" s="1"/>
  <c r="AW19" i="61"/>
  <c r="AW26" i="61" s="1"/>
  <c r="AP198" i="119" s="1"/>
  <c r="AO56" i="119"/>
  <c r="AO127" i="119" s="1"/>
  <c r="AR79" i="62"/>
  <c r="AK21" i="119" s="1"/>
  <c r="AQ81" i="94"/>
  <c r="AH37" i="123"/>
  <c r="AH47" i="123" s="1"/>
  <c r="AS22" i="123"/>
  <c r="AS59" i="62"/>
  <c r="AS64" i="62" s="1"/>
  <c r="AU25" i="62"/>
  <c r="AS74" i="62"/>
  <c r="AL221" i="119" s="1"/>
  <c r="AK19" i="119"/>
  <c r="AT77" i="61"/>
  <c r="AL252" i="119"/>
  <c r="AM239" i="119"/>
  <c r="AK149" i="119"/>
  <c r="AI32" i="123" s="1"/>
  <c r="AL197" i="119"/>
  <c r="AR69" i="60"/>
  <c r="AT62" i="61"/>
  <c r="AL114" i="119"/>
  <c r="AL415" i="119" s="1"/>
  <c r="AK414" i="119"/>
  <c r="AR96" i="94"/>
  <c r="AN219" i="119"/>
  <c r="AS68" i="60"/>
  <c r="AT50" i="60"/>
  <c r="AT105" i="59"/>
  <c r="AT59" i="60"/>
  <c r="AT114" i="59"/>
  <c r="AR58" i="94"/>
  <c r="AR57" i="94"/>
  <c r="AQ78" i="94"/>
  <c r="AU104" i="59" s="1"/>
  <c r="AQ79" i="94"/>
  <c r="AU113" i="59" s="1"/>
  <c r="AR375" i="119"/>
  <c r="AS56" i="94"/>
  <c r="AQ85" i="94"/>
  <c r="AM22" i="119"/>
  <c r="AR77" i="94"/>
  <c r="AR76" i="94"/>
  <c r="AP87" i="94"/>
  <c r="AP102" i="94" s="1"/>
  <c r="AP82" i="94"/>
  <c r="AV18" i="62" s="1"/>
  <c r="AP83" i="94"/>
  <c r="AV38" i="62" s="1"/>
  <c r="AV45" i="62" s="1"/>
  <c r="AN147" i="119"/>
  <c r="AH46" i="122" l="1"/>
  <c r="AH57" i="122"/>
  <c r="AG18" i="138"/>
  <c r="AS26" i="123"/>
  <c r="AI28" i="122"/>
  <c r="AM55" i="119"/>
  <c r="AM126" i="119" s="1"/>
  <c r="AE33" i="138"/>
  <c r="AK75" i="119"/>
  <c r="AK411" i="119" s="1"/>
  <c r="AG20" i="138"/>
  <c r="AF29" i="138"/>
  <c r="AF32" i="138" s="1"/>
  <c r="AX19" i="61"/>
  <c r="AX26" i="61" s="1"/>
  <c r="AQ198" i="119" s="1"/>
  <c r="AM76" i="119"/>
  <c r="AM412" i="119" s="1"/>
  <c r="AI21" i="138"/>
  <c r="AI37" i="123"/>
  <c r="AI47" i="123" s="1"/>
  <c r="AX40" i="61"/>
  <c r="AX47" i="61" s="1"/>
  <c r="AQ253" i="119" s="1"/>
  <c r="AP56" i="119"/>
  <c r="AP127" i="119" s="1"/>
  <c r="AT22" i="123"/>
  <c r="AR81" i="94"/>
  <c r="AM252" i="119"/>
  <c r="AK73" i="119"/>
  <c r="AK409" i="119" s="1"/>
  <c r="AS79" i="62"/>
  <c r="AL21" i="119" s="1"/>
  <c r="AV25" i="62"/>
  <c r="AT74" i="62"/>
  <c r="AM221" i="119" s="1"/>
  <c r="AT59" i="62"/>
  <c r="AT64" i="62" s="1"/>
  <c r="AL19" i="119"/>
  <c r="AL149" i="119"/>
  <c r="AJ32" i="123" s="1"/>
  <c r="AM197" i="119"/>
  <c r="AM114" i="119"/>
  <c r="AM415" i="119" s="1"/>
  <c r="AU62" i="61"/>
  <c r="AN239" i="119"/>
  <c r="AU77" i="61"/>
  <c r="AS69" i="60"/>
  <c r="AL414" i="119"/>
  <c r="AN22" i="119"/>
  <c r="AS57" i="94"/>
  <c r="AS95" i="94"/>
  <c r="AS101" i="94" s="1"/>
  <c r="AO219" i="119"/>
  <c r="AR78" i="94"/>
  <c r="AV104" i="59" s="1"/>
  <c r="AR79" i="94"/>
  <c r="AV113" i="59" s="1"/>
  <c r="AS58" i="94"/>
  <c r="AU50" i="60"/>
  <c r="AU105" i="59"/>
  <c r="AT68" i="60"/>
  <c r="AU59" i="60"/>
  <c r="AU114" i="59"/>
  <c r="AO147" i="119"/>
  <c r="AR85" i="94"/>
  <c r="AQ87" i="94"/>
  <c r="AQ102" i="94" s="1"/>
  <c r="AQ83" i="94"/>
  <c r="AW38" i="62" s="1"/>
  <c r="AW45" i="62" s="1"/>
  <c r="AQ82" i="94"/>
  <c r="AW18" i="62" s="1"/>
  <c r="AS76" i="94"/>
  <c r="AS77" i="94"/>
  <c r="AG29" i="138" l="1"/>
  <c r="AG32" i="138" s="1"/>
  <c r="AI46" i="122"/>
  <c r="AI57" i="122"/>
  <c r="AH18" i="138"/>
  <c r="AT26" i="123"/>
  <c r="AJ28" i="122"/>
  <c r="AJ46" i="122" s="1"/>
  <c r="AK28" i="122"/>
  <c r="AK46" i="122" s="1"/>
  <c r="AN55" i="119"/>
  <c r="AN126" i="119" s="1"/>
  <c r="AL75" i="119"/>
  <c r="AL411" i="119" s="1"/>
  <c r="AH20" i="138"/>
  <c r="AF33" i="138"/>
  <c r="AN76" i="119"/>
  <c r="AN412" i="119" s="1"/>
  <c r="L37" i="92" s="1"/>
  <c r="AJ21" i="138"/>
  <c r="AY19" i="61"/>
  <c r="AY26" i="61" s="1"/>
  <c r="AR198" i="119" s="1"/>
  <c r="AQ56" i="119"/>
  <c r="AQ127" i="119" s="1"/>
  <c r="AY40" i="61"/>
  <c r="AY47" i="61" s="1"/>
  <c r="AM19" i="119"/>
  <c r="AT79" i="62"/>
  <c r="AM21" i="119" s="1"/>
  <c r="AJ37" i="123"/>
  <c r="AJ47" i="123" s="1"/>
  <c r="AU22" i="123"/>
  <c r="AL73" i="119"/>
  <c r="AL409" i="119" s="1"/>
  <c r="AS81" i="94"/>
  <c r="AU59" i="62"/>
  <c r="AU64" i="62" s="1"/>
  <c r="AW25" i="62"/>
  <c r="AU74" i="62"/>
  <c r="AN221" i="119" s="1"/>
  <c r="AM149" i="119"/>
  <c r="AK32" i="123" s="1"/>
  <c r="AN252" i="119"/>
  <c r="AN197" i="119"/>
  <c r="AV62" i="61"/>
  <c r="AV77" i="61"/>
  <c r="AN114" i="119"/>
  <c r="AN415" i="119" s="1"/>
  <c r="L40" i="92" s="1"/>
  <c r="AO239" i="119"/>
  <c r="AT69" i="60"/>
  <c r="AM414" i="119"/>
  <c r="AU101" i="94"/>
  <c r="AS96" i="94"/>
  <c r="AT96" i="94"/>
  <c r="AO22" i="119"/>
  <c r="AU68" i="60"/>
  <c r="AR87" i="94"/>
  <c r="AR102" i="94" s="1"/>
  <c r="AR83" i="94"/>
  <c r="AX38" i="62" s="1"/>
  <c r="AX45" i="62" s="1"/>
  <c r="AR82" i="94"/>
  <c r="AX18" i="62" s="1"/>
  <c r="AV50" i="60"/>
  <c r="AV105" i="59"/>
  <c r="AP147" i="119"/>
  <c r="AS85" i="94"/>
  <c r="AP219" i="119"/>
  <c r="AS78" i="94"/>
  <c r="AW104" i="59" s="1"/>
  <c r="AS79" i="94"/>
  <c r="AW113" i="59" s="1"/>
  <c r="AV59" i="60"/>
  <c r="AV114" i="59"/>
  <c r="AG33" i="138" l="1"/>
  <c r="AH29" i="138"/>
  <c r="AH32" i="138" s="1"/>
  <c r="AL28" i="122" s="1"/>
  <c r="AI18" i="138"/>
  <c r="AU26" i="123"/>
  <c r="AK57" i="122"/>
  <c r="AJ57" i="122"/>
  <c r="AO55" i="119"/>
  <c r="AO126" i="119" s="1"/>
  <c r="AM75" i="119"/>
  <c r="AM411" i="119" s="1"/>
  <c r="AI20" i="138"/>
  <c r="AO76" i="119"/>
  <c r="AO412" i="119" s="1"/>
  <c r="AK21" i="138"/>
  <c r="AR56" i="119"/>
  <c r="AR127" i="119" s="1"/>
  <c r="AR253" i="119"/>
  <c r="AK37" i="123"/>
  <c r="AK47" i="123" s="1"/>
  <c r="AV22" i="123"/>
  <c r="AM73" i="119"/>
  <c r="AM409" i="119" s="1"/>
  <c r="AO252" i="119"/>
  <c r="AN19" i="119"/>
  <c r="AU79" i="62"/>
  <c r="AN21" i="119" s="1"/>
  <c r="AN149" i="119"/>
  <c r="AL32" i="123" s="1"/>
  <c r="AX25" i="62"/>
  <c r="AV74" i="62"/>
  <c r="AO221" i="119" s="1"/>
  <c r="AV59" i="62"/>
  <c r="AV64" i="62" s="1"/>
  <c r="AO197" i="119"/>
  <c r="AO114" i="119"/>
  <c r="AO415" i="119" s="1"/>
  <c r="AP239" i="119"/>
  <c r="AW77" i="61"/>
  <c r="AU69" i="60"/>
  <c r="AW62" i="61"/>
  <c r="AN414" i="119"/>
  <c r="L39" i="92" s="1"/>
  <c r="K96" i="94"/>
  <c r="P97" i="94" s="1"/>
  <c r="P99" i="94" s="1"/>
  <c r="AP22" i="119"/>
  <c r="AQ147" i="119"/>
  <c r="AW50" i="60"/>
  <c r="AW105" i="59"/>
  <c r="AW59" i="60"/>
  <c r="AW114" i="59"/>
  <c r="AV68" i="60"/>
  <c r="AQ219" i="119"/>
  <c r="AS87" i="94"/>
  <c r="AS102" i="94" s="1"/>
  <c r="AU102" i="94" s="1"/>
  <c r="AU103" i="94" s="1"/>
  <c r="AS83" i="94"/>
  <c r="AY38" i="62" s="1"/>
  <c r="AY45" i="62" s="1"/>
  <c r="AS82" i="94"/>
  <c r="AH33" i="138" l="1"/>
  <c r="AI29" i="138"/>
  <c r="AI32" i="138" s="1"/>
  <c r="AL46" i="122"/>
  <c r="AL57" i="122"/>
  <c r="AV26" i="123"/>
  <c r="AM28" i="122"/>
  <c r="AM46" i="122" s="1"/>
  <c r="AP55" i="119"/>
  <c r="AP126" i="119" s="1"/>
  <c r="AN73" i="119"/>
  <c r="AN409" i="119" s="1"/>
  <c r="L34" i="92" s="1"/>
  <c r="AJ18" i="138"/>
  <c r="AP76" i="119"/>
  <c r="AP412" i="119" s="1"/>
  <c r="AL21" i="138"/>
  <c r="AN75" i="119"/>
  <c r="AN411" i="119" s="1"/>
  <c r="L36" i="92" s="1"/>
  <c r="AJ20" i="138"/>
  <c r="AL37" i="123"/>
  <c r="AL47" i="123" s="1"/>
  <c r="AV79" i="62"/>
  <c r="AO21" i="119" s="1"/>
  <c r="AW22" i="123"/>
  <c r="AW59" i="62"/>
  <c r="AW64" i="62" s="1"/>
  <c r="AW74" i="62"/>
  <c r="AW79" i="62" s="1"/>
  <c r="AP21" i="119" s="1"/>
  <c r="AL20" i="138" s="1"/>
  <c r="AO149" i="119"/>
  <c r="AM32" i="123" s="1"/>
  <c r="AO19" i="119"/>
  <c r="AP114" i="119"/>
  <c r="AP415" i="119" s="1"/>
  <c r="AP252" i="119"/>
  <c r="AP197" i="119"/>
  <c r="AX77" i="61"/>
  <c r="AV69" i="60"/>
  <c r="AQ239" i="119"/>
  <c r="AX62" i="61"/>
  <c r="AO414" i="119"/>
  <c r="AY18" i="62"/>
  <c r="Q97" i="94"/>
  <c r="Q99" i="94" s="1"/>
  <c r="P98" i="94"/>
  <c r="AR219" i="119"/>
  <c r="AQ22" i="119"/>
  <c r="AW68" i="60"/>
  <c r="AI33" i="138" l="1"/>
  <c r="AQ55" i="119"/>
  <c r="AQ126" i="119" s="1"/>
  <c r="AW26" i="123"/>
  <c r="AM57" i="122"/>
  <c r="AO73" i="119"/>
  <c r="AO409" i="119" s="1"/>
  <c r="AK18" i="138"/>
  <c r="AQ76" i="119"/>
  <c r="AQ412" i="119" s="1"/>
  <c r="AM21" i="138"/>
  <c r="AM37" i="123"/>
  <c r="AM47" i="123" s="1"/>
  <c r="AK20" i="138"/>
  <c r="AJ29" i="138"/>
  <c r="AJ32" i="138" s="1"/>
  <c r="AO75" i="119"/>
  <c r="AO411" i="119" s="1"/>
  <c r="AP221" i="119"/>
  <c r="AX22" i="123"/>
  <c r="AY25" i="62"/>
  <c r="AX74" i="62"/>
  <c r="AQ221" i="119" s="1"/>
  <c r="AQ414" i="119" s="1"/>
  <c r="AX59" i="62"/>
  <c r="AX64" i="62" s="1"/>
  <c r="AP19" i="119"/>
  <c r="AP149" i="119"/>
  <c r="AN32" i="123" s="1"/>
  <c r="AR147" i="119"/>
  <c r="AY77" i="61"/>
  <c r="AR239" i="119"/>
  <c r="AQ252" i="119"/>
  <c r="AQ197" i="119"/>
  <c r="AQ114" i="119"/>
  <c r="AQ415" i="119" s="1"/>
  <c r="AY62" i="61"/>
  <c r="AP414" i="119"/>
  <c r="AW69" i="60"/>
  <c r="R97" i="94"/>
  <c r="R98" i="94" s="1"/>
  <c r="Q98" i="94"/>
  <c r="AP75" i="119"/>
  <c r="AP411" i="119" s="1"/>
  <c r="AN37" i="123"/>
  <c r="AR55" i="119" l="1"/>
  <c r="AR126" i="119" s="1"/>
  <c r="AX26" i="123"/>
  <c r="AN28" i="122"/>
  <c r="AN46" i="122" s="1"/>
  <c r="AJ33" i="138"/>
  <c r="AY22" i="123"/>
  <c r="AL18" i="138"/>
  <c r="AL29" i="138" s="1"/>
  <c r="AL32" i="138" s="1"/>
  <c r="AK29" i="138"/>
  <c r="AK32" i="138" s="1"/>
  <c r="AR252" i="119"/>
  <c r="AQ19" i="119"/>
  <c r="AP73" i="119"/>
  <c r="AP409" i="119" s="1"/>
  <c r="AY74" i="62"/>
  <c r="AR221" i="119" s="1"/>
  <c r="AY59" i="62"/>
  <c r="AY64" i="62" s="1"/>
  <c r="AN47" i="123"/>
  <c r="AX79" i="62"/>
  <c r="AQ21" i="119" s="1"/>
  <c r="AQ149" i="119"/>
  <c r="AO32" i="123" s="1"/>
  <c r="AR197" i="119"/>
  <c r="AR22" i="119"/>
  <c r="AR114" i="119"/>
  <c r="AR415" i="119" s="1"/>
  <c r="R99" i="94"/>
  <c r="S97" i="94"/>
  <c r="S98" i="94" s="1"/>
  <c r="AY26" i="123" l="1"/>
  <c r="AN57" i="122"/>
  <c r="AO28" i="122"/>
  <c r="AP28" i="122"/>
  <c r="AP46" i="122" s="1"/>
  <c r="AQ73" i="119"/>
  <c r="AQ409" i="119" s="1"/>
  <c r="AM18" i="138"/>
  <c r="AO37" i="123"/>
  <c r="AO47" i="123" s="1"/>
  <c r="AM20" i="138"/>
  <c r="AR76" i="119"/>
  <c r="AR412" i="119" s="1"/>
  <c r="AN21" i="138"/>
  <c r="AK33" i="138"/>
  <c r="AL33" i="138" s="1"/>
  <c r="AY79" i="62"/>
  <c r="AR21" i="119" s="1"/>
  <c r="AQ75" i="119"/>
  <c r="AQ411" i="119" s="1"/>
  <c r="AZ22" i="123"/>
  <c r="AR414" i="119"/>
  <c r="AR19" i="119"/>
  <c r="AR149" i="119"/>
  <c r="AP32" i="123" s="1"/>
  <c r="T97" i="94"/>
  <c r="T98" i="94" s="1"/>
  <c r="S99" i="94"/>
  <c r="AO46" i="122" l="1"/>
  <c r="AO57" i="122"/>
  <c r="AN18" i="138"/>
  <c r="AZ26" i="123"/>
  <c r="AP57" i="122"/>
  <c r="AP37" i="123"/>
  <c r="AP47" i="123" s="1"/>
  <c r="AN20" i="138"/>
  <c r="AN29" i="138" s="1"/>
  <c r="AN32" i="138" s="1"/>
  <c r="AM29" i="138"/>
  <c r="AM32" i="138" s="1"/>
  <c r="AR75" i="119"/>
  <c r="AR411" i="119" s="1"/>
  <c r="AR73" i="119"/>
  <c r="BA22" i="123"/>
  <c r="T99" i="94"/>
  <c r="U97" i="94"/>
  <c r="V97" i="94" s="1"/>
  <c r="BA26" i="123" l="1"/>
  <c r="BB26" i="123" s="1"/>
  <c r="AQ28" i="122"/>
  <c r="AQ46" i="122" s="1"/>
  <c r="AR28" i="122"/>
  <c r="AR46" i="122" s="1"/>
  <c r="AM33" i="138"/>
  <c r="AN33" i="138" s="1"/>
  <c r="AO33" i="138" s="1"/>
  <c r="AR409" i="119"/>
  <c r="U98" i="94"/>
  <c r="U99" i="94"/>
  <c r="W97" i="94"/>
  <c r="V98" i="94"/>
  <c r="V99" i="94"/>
  <c r="AR57" i="122" l="1"/>
  <c r="AQ57" i="122"/>
  <c r="X97" i="94"/>
  <c r="W99" i="94"/>
  <c r="W98" i="94"/>
  <c r="Y97" i="94" l="1"/>
  <c r="X98" i="94"/>
  <c r="X99" i="94"/>
  <c r="Z97" i="94" l="1"/>
  <c r="Y98" i="94"/>
  <c r="Y99" i="94"/>
  <c r="AA97" i="94" l="1"/>
  <c r="Z98" i="94"/>
  <c r="Z99" i="94"/>
  <c r="AB97" i="94" l="1"/>
  <c r="AA99" i="94"/>
  <c r="AA98" i="94"/>
  <c r="AC97" i="94" l="1"/>
  <c r="AB99" i="94"/>
  <c r="AB98" i="94"/>
  <c r="AD97" i="94" l="1"/>
  <c r="AC98" i="94"/>
  <c r="AC99" i="94"/>
  <c r="AE97" i="94" l="1"/>
  <c r="AD98" i="94"/>
  <c r="AD99" i="94"/>
  <c r="AF97" i="94" l="1"/>
  <c r="AE98" i="94"/>
  <c r="AE99" i="94"/>
  <c r="AG97" i="94" l="1"/>
  <c r="AF98" i="94"/>
  <c r="AF99" i="94"/>
  <c r="AH97" i="94" l="1"/>
  <c r="AG98" i="94"/>
  <c r="AG99" i="94"/>
  <c r="AI97" i="94" l="1"/>
  <c r="AH98" i="94"/>
  <c r="AH99" i="94"/>
  <c r="AJ97" i="94" l="1"/>
  <c r="AI99" i="94"/>
  <c r="AI98" i="94"/>
  <c r="AK97" i="94" l="1"/>
  <c r="AJ99" i="94"/>
  <c r="AJ98" i="94"/>
  <c r="AL97" i="94" l="1"/>
  <c r="AK98" i="94"/>
  <c r="AK99" i="94"/>
  <c r="AM97" i="94" l="1"/>
  <c r="AL98" i="94"/>
  <c r="AL99" i="94"/>
  <c r="AN97" i="94" l="1"/>
  <c r="AM99" i="94"/>
  <c r="AM98" i="94"/>
  <c r="AO97" i="94" l="1"/>
  <c r="AN98" i="94"/>
  <c r="AN99" i="94"/>
  <c r="AP97" i="94" l="1"/>
  <c r="AO99" i="94"/>
  <c r="AO98" i="94"/>
  <c r="AQ97" i="94" l="1"/>
  <c r="AP98" i="94"/>
  <c r="AP99" i="94"/>
  <c r="AR97" i="94" l="1"/>
  <c r="AQ98" i="94"/>
  <c r="AQ99" i="94"/>
  <c r="AS97" i="94" l="1"/>
  <c r="AR99" i="94"/>
  <c r="AR98" i="94"/>
  <c r="AT97" i="94" l="1"/>
  <c r="AS98" i="94"/>
  <c r="AS99" i="94"/>
  <c r="AT98" i="94" l="1"/>
  <c r="AU98" i="94" s="1"/>
  <c r="AT99" i="94"/>
  <c r="AU99" i="94" l="1"/>
  <c r="D14" i="123"/>
  <c r="M38" i="123"/>
  <c r="N38" i="123" s="1"/>
  <c r="AU100" i="94" l="1"/>
  <c r="L38" i="123"/>
  <c r="L48" i="123" s="1"/>
  <c r="M48" i="123"/>
  <c r="O38" i="123"/>
  <c r="O48" i="123" s="1"/>
  <c r="N48" i="123"/>
  <c r="K38" i="123" l="1"/>
  <c r="K48" i="12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Clare Silcock</author>
  </authors>
  <commentList>
    <comment ref="E21" authorId="0" shapeId="0" xr:uid="{00000000-0006-0000-0300-000001000000}">
      <text>
        <r>
          <rPr>
            <b/>
            <sz val="9"/>
            <color indexed="81"/>
            <rFont val="Tahoma"/>
            <family val="2"/>
          </rPr>
          <t>Clare Silcock:</t>
        </r>
        <r>
          <rPr>
            <sz val="9"/>
            <color indexed="81"/>
            <rFont val="Tahoma"/>
            <family val="2"/>
          </rPr>
          <t xml:space="preserve">
including cooling</t>
        </r>
      </text>
    </comment>
    <comment ref="E36" authorId="0" shapeId="0" xr:uid="{00000000-0006-0000-0300-000002000000}">
      <text>
        <r>
          <rPr>
            <b/>
            <sz val="9"/>
            <color indexed="81"/>
            <rFont val="Tahoma"/>
            <family val="2"/>
          </rPr>
          <t>Clare Silcock:</t>
        </r>
        <r>
          <rPr>
            <sz val="9"/>
            <color indexed="81"/>
            <rFont val="Tahoma"/>
            <family val="2"/>
          </rPr>
          <t xml:space="preserve">
including domestic gas cooking</t>
        </r>
      </text>
    </comment>
    <comment ref="E38" authorId="0" shapeId="0" xr:uid="{00000000-0006-0000-0300-000003000000}">
      <text>
        <r>
          <rPr>
            <b/>
            <sz val="9"/>
            <color indexed="81"/>
            <rFont val="Tahoma"/>
            <family val="2"/>
          </rPr>
          <t>Clare Silcock:</t>
        </r>
        <r>
          <rPr>
            <sz val="9"/>
            <color indexed="81"/>
            <rFont val="Tahoma"/>
            <family val="2"/>
          </rPr>
          <t xml:space="preserve">
including gas cooking
</t>
        </r>
      </text>
    </comment>
    <comment ref="E40" authorId="0" shapeId="0" xr:uid="{00000000-0006-0000-0300-000004000000}">
      <text>
        <r>
          <rPr>
            <b/>
            <sz val="9"/>
            <color indexed="81"/>
            <rFont val="Tahoma"/>
            <family val="2"/>
          </rPr>
          <t>Clare Silcock:</t>
        </r>
        <r>
          <rPr>
            <sz val="9"/>
            <color indexed="81"/>
            <rFont val="Tahoma"/>
            <family val="2"/>
          </rPr>
          <t xml:space="preserve">
including additional cooking due to fuel switch for heat pumps
</t>
        </r>
      </text>
    </comment>
    <comment ref="E107" authorId="0" shapeId="0" xr:uid="{00000000-0006-0000-0300-000005000000}">
      <text>
        <r>
          <rPr>
            <b/>
            <sz val="9"/>
            <color indexed="81"/>
            <rFont val="Tahoma"/>
            <family val="2"/>
          </rPr>
          <t>Clare Silcock:</t>
        </r>
        <r>
          <rPr>
            <sz val="9"/>
            <color indexed="81"/>
            <rFont val="Tahoma"/>
            <family val="2"/>
          </rPr>
          <t xml:space="preserve">
including cooking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Clare Silcock</author>
  </authors>
  <commentList>
    <comment ref="D123" authorId="0" shapeId="0" xr:uid="{00000000-0006-0000-0900-000002000000}">
      <text>
        <r>
          <rPr>
            <b/>
            <sz val="9"/>
            <color indexed="81"/>
            <rFont val="Tahoma"/>
            <family val="2"/>
          </rPr>
          <t>Clare Silcock:</t>
        </r>
        <r>
          <rPr>
            <sz val="9"/>
            <color indexed="81"/>
            <rFont val="Tahoma"/>
            <family val="2"/>
          </rPr>
          <t xml:space="preserve">
included in new as a fix to incorporate changed scenarios
</t>
        </r>
      </text>
    </comment>
    <comment ref="D124" authorId="0" shapeId="0" xr:uid="{00000000-0006-0000-0900-000003000000}">
      <text>
        <r>
          <rPr>
            <b/>
            <sz val="9"/>
            <color indexed="81"/>
            <rFont val="Tahoma"/>
            <family val="2"/>
          </rPr>
          <t>Clare Silcock:</t>
        </r>
        <r>
          <rPr>
            <sz val="9"/>
            <color indexed="81"/>
            <rFont val="Tahoma"/>
            <family val="2"/>
          </rPr>
          <t xml:space="preserve">
included in new as a fix to incorporate changed scenarios
</t>
        </r>
      </text>
    </comment>
    <comment ref="D137" authorId="0" shapeId="0" xr:uid="{00000000-0006-0000-0900-000004000000}">
      <text>
        <r>
          <rPr>
            <b/>
            <sz val="9"/>
            <color indexed="81"/>
            <rFont val="Tahoma"/>
            <family val="2"/>
          </rPr>
          <t>Clare Silcock:</t>
        </r>
        <r>
          <rPr>
            <sz val="9"/>
            <color indexed="81"/>
            <rFont val="Tahoma"/>
            <family val="2"/>
          </rPr>
          <t xml:space="preserve">
included in new as a fix to incorporate changed scenarios
</t>
        </r>
      </text>
    </comment>
    <comment ref="D138" authorId="0" shapeId="0" xr:uid="{00000000-0006-0000-0900-000005000000}">
      <text>
        <r>
          <rPr>
            <b/>
            <sz val="9"/>
            <color indexed="81"/>
            <rFont val="Tahoma"/>
            <family val="2"/>
          </rPr>
          <t>Clare Silcock:</t>
        </r>
        <r>
          <rPr>
            <sz val="9"/>
            <color indexed="81"/>
            <rFont val="Tahoma"/>
            <family val="2"/>
          </rPr>
          <t xml:space="preserve">
included in new as a fix to incorporate changed scenarios
</t>
        </r>
      </text>
    </comment>
    <comment ref="D184" authorId="0" shapeId="0" xr:uid="{00000000-0006-0000-0900-000006000000}">
      <text>
        <r>
          <rPr>
            <b/>
            <sz val="9"/>
            <color indexed="81"/>
            <rFont val="Tahoma"/>
            <family val="2"/>
          </rPr>
          <t>Clare Silcock:</t>
        </r>
        <r>
          <rPr>
            <sz val="9"/>
            <color indexed="81"/>
            <rFont val="Tahoma"/>
            <family val="2"/>
          </rPr>
          <t xml:space="preserve">
included in new as a fix to incorporate changed scenarios
</t>
        </r>
      </text>
    </comment>
    <comment ref="D185" authorId="0" shapeId="0" xr:uid="{00000000-0006-0000-0900-000007000000}">
      <text>
        <r>
          <rPr>
            <b/>
            <sz val="9"/>
            <color indexed="81"/>
            <rFont val="Tahoma"/>
            <family val="2"/>
          </rPr>
          <t>Clare Silcock:</t>
        </r>
        <r>
          <rPr>
            <sz val="9"/>
            <color indexed="81"/>
            <rFont val="Tahoma"/>
            <family val="2"/>
          </rPr>
          <t xml:space="preserve">
included in new as a fix to incorporate changed scenarios
</t>
        </r>
      </text>
    </comment>
    <comment ref="D198" authorId="0" shapeId="0" xr:uid="{00000000-0006-0000-0900-000008000000}">
      <text>
        <r>
          <rPr>
            <b/>
            <sz val="9"/>
            <color indexed="81"/>
            <rFont val="Tahoma"/>
            <family val="2"/>
          </rPr>
          <t>Clare Silcock:</t>
        </r>
        <r>
          <rPr>
            <sz val="9"/>
            <color indexed="81"/>
            <rFont val="Tahoma"/>
            <family val="2"/>
          </rPr>
          <t xml:space="preserve">
included in new as a fix to incorporate changed scenarios
</t>
        </r>
      </text>
    </comment>
    <comment ref="D199" authorId="0" shapeId="0" xr:uid="{00000000-0006-0000-0900-000009000000}">
      <text>
        <r>
          <rPr>
            <b/>
            <sz val="9"/>
            <color indexed="81"/>
            <rFont val="Tahoma"/>
            <family val="2"/>
          </rPr>
          <t>Clare Silcock:</t>
        </r>
        <r>
          <rPr>
            <sz val="9"/>
            <color indexed="81"/>
            <rFont val="Tahoma"/>
            <family val="2"/>
          </rPr>
          <t xml:space="preserve">
included in new as a fix to incorporate changed scenarios
</t>
        </r>
      </text>
    </comment>
    <comment ref="D245" authorId="0" shapeId="0" xr:uid="{00000000-0006-0000-0900-00000A000000}">
      <text>
        <r>
          <rPr>
            <b/>
            <sz val="9"/>
            <color indexed="81"/>
            <rFont val="Tahoma"/>
            <family val="2"/>
          </rPr>
          <t>Clare Silcock:</t>
        </r>
        <r>
          <rPr>
            <sz val="9"/>
            <color indexed="81"/>
            <rFont val="Tahoma"/>
            <family val="2"/>
          </rPr>
          <t xml:space="preserve">
included in new as a fix to incorporate changed scenarios
</t>
        </r>
      </text>
    </comment>
    <comment ref="D246" authorId="0" shapeId="0" xr:uid="{00000000-0006-0000-0900-00000B000000}">
      <text>
        <r>
          <rPr>
            <b/>
            <sz val="9"/>
            <color indexed="81"/>
            <rFont val="Tahoma"/>
            <family val="2"/>
          </rPr>
          <t>Clare Silcock:</t>
        </r>
        <r>
          <rPr>
            <sz val="9"/>
            <color indexed="81"/>
            <rFont val="Tahoma"/>
            <family val="2"/>
          </rPr>
          <t xml:space="preserve">
included in new as a fix to incorporate changed scenarios
</t>
        </r>
      </text>
    </comment>
    <comment ref="D259" authorId="0" shapeId="0" xr:uid="{00000000-0006-0000-0900-00000C000000}">
      <text>
        <r>
          <rPr>
            <b/>
            <sz val="9"/>
            <color indexed="81"/>
            <rFont val="Tahoma"/>
            <family val="2"/>
          </rPr>
          <t>Clare Silcock:</t>
        </r>
        <r>
          <rPr>
            <sz val="9"/>
            <color indexed="81"/>
            <rFont val="Tahoma"/>
            <family val="2"/>
          </rPr>
          <t xml:space="preserve">
included in new as a fix to incorporate changed scenarios
</t>
        </r>
      </text>
    </comment>
    <comment ref="D260" authorId="0" shapeId="0" xr:uid="{00000000-0006-0000-0900-00000D000000}">
      <text>
        <r>
          <rPr>
            <b/>
            <sz val="9"/>
            <color indexed="81"/>
            <rFont val="Tahoma"/>
            <family val="2"/>
          </rPr>
          <t>Clare Silcock:</t>
        </r>
        <r>
          <rPr>
            <sz val="9"/>
            <color indexed="81"/>
            <rFont val="Tahoma"/>
            <family val="2"/>
          </rPr>
          <t xml:space="preserve">
included in new as a fix to incorporate changed scenarios
</t>
        </r>
      </text>
    </comment>
    <comment ref="D306" authorId="0" shapeId="0" xr:uid="{00000000-0006-0000-0900-00000E000000}">
      <text>
        <r>
          <rPr>
            <b/>
            <sz val="9"/>
            <color indexed="81"/>
            <rFont val="Tahoma"/>
            <family val="2"/>
          </rPr>
          <t>Clare Silcock:</t>
        </r>
        <r>
          <rPr>
            <sz val="9"/>
            <color indexed="81"/>
            <rFont val="Tahoma"/>
            <family val="2"/>
          </rPr>
          <t xml:space="preserve">
included in new as a fix to incorporate changed scenarios
</t>
        </r>
      </text>
    </comment>
    <comment ref="D307" authorId="0" shapeId="0" xr:uid="{00000000-0006-0000-0900-00000F000000}">
      <text>
        <r>
          <rPr>
            <b/>
            <sz val="9"/>
            <color indexed="81"/>
            <rFont val="Tahoma"/>
            <family val="2"/>
          </rPr>
          <t>Clare Silcock:</t>
        </r>
        <r>
          <rPr>
            <sz val="9"/>
            <color indexed="81"/>
            <rFont val="Tahoma"/>
            <family val="2"/>
          </rPr>
          <t xml:space="preserve">
included in new as a fix to incorporate changed scenarios
</t>
        </r>
      </text>
    </comment>
    <comment ref="D320" authorId="0" shapeId="0" xr:uid="{00000000-0006-0000-0900-000010000000}">
      <text>
        <r>
          <rPr>
            <b/>
            <sz val="9"/>
            <color indexed="81"/>
            <rFont val="Tahoma"/>
            <family val="2"/>
          </rPr>
          <t>Clare Silcock:</t>
        </r>
        <r>
          <rPr>
            <sz val="9"/>
            <color indexed="81"/>
            <rFont val="Tahoma"/>
            <family val="2"/>
          </rPr>
          <t xml:space="preserve">
included in new as a fix to incorporate changed scenarios
</t>
        </r>
      </text>
    </comment>
    <comment ref="D321" authorId="0" shapeId="0" xr:uid="{00000000-0006-0000-0900-000011000000}">
      <text>
        <r>
          <rPr>
            <b/>
            <sz val="9"/>
            <color indexed="81"/>
            <rFont val="Tahoma"/>
            <family val="2"/>
          </rPr>
          <t>Clare Silcock:</t>
        </r>
        <r>
          <rPr>
            <sz val="9"/>
            <color indexed="81"/>
            <rFont val="Tahoma"/>
            <family val="2"/>
          </rPr>
          <t xml:space="preserve">
included in new as a fix to incorporate changed scenarios
</t>
        </r>
      </text>
    </comment>
    <comment ref="D367" authorId="0" shapeId="0" xr:uid="{00000000-0006-0000-0900-000012000000}">
      <text>
        <r>
          <rPr>
            <b/>
            <sz val="9"/>
            <color indexed="81"/>
            <rFont val="Tahoma"/>
            <family val="2"/>
          </rPr>
          <t>Clare Silcock:</t>
        </r>
        <r>
          <rPr>
            <sz val="9"/>
            <color indexed="81"/>
            <rFont val="Tahoma"/>
            <family val="2"/>
          </rPr>
          <t xml:space="preserve">
included in new as a fix to incorporate changed scenarios
</t>
        </r>
      </text>
    </comment>
    <comment ref="D368" authorId="0" shapeId="0" xr:uid="{00000000-0006-0000-0900-000013000000}">
      <text>
        <r>
          <rPr>
            <b/>
            <sz val="9"/>
            <color indexed="81"/>
            <rFont val="Tahoma"/>
            <family val="2"/>
          </rPr>
          <t>Clare Silcock:</t>
        </r>
        <r>
          <rPr>
            <sz val="9"/>
            <color indexed="81"/>
            <rFont val="Tahoma"/>
            <family val="2"/>
          </rPr>
          <t xml:space="preserve">
included in new as a fix to incorporate changed scenarios
</t>
        </r>
      </text>
    </comment>
    <comment ref="D381" authorId="0" shapeId="0" xr:uid="{00000000-0006-0000-0900-000014000000}">
      <text>
        <r>
          <rPr>
            <b/>
            <sz val="9"/>
            <color indexed="81"/>
            <rFont val="Tahoma"/>
            <family val="2"/>
          </rPr>
          <t>Clare Silcock:</t>
        </r>
        <r>
          <rPr>
            <sz val="9"/>
            <color indexed="81"/>
            <rFont val="Tahoma"/>
            <family val="2"/>
          </rPr>
          <t xml:space="preserve">
included in new as a fix to incorporate changed scenarios
</t>
        </r>
      </text>
    </comment>
    <comment ref="D382" authorId="0" shapeId="0" xr:uid="{00000000-0006-0000-0900-000015000000}">
      <text>
        <r>
          <rPr>
            <b/>
            <sz val="9"/>
            <color indexed="81"/>
            <rFont val="Tahoma"/>
            <family val="2"/>
          </rPr>
          <t>Clare Silcock:</t>
        </r>
        <r>
          <rPr>
            <sz val="9"/>
            <color indexed="81"/>
            <rFont val="Tahoma"/>
            <family val="2"/>
          </rPr>
          <t xml:space="preserve">
included in new as a fix to incorporate changed scenarios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Clare Silcock</author>
  </authors>
  <commentList>
    <comment ref="A14" authorId="0" shapeId="0" xr:uid="{00000000-0006-0000-0A00-000001000000}">
      <text>
        <r>
          <rPr>
            <b/>
            <sz val="9"/>
            <color indexed="81"/>
            <rFont val="Tahoma"/>
            <family val="2"/>
          </rPr>
          <t>Clare Silcock:</t>
        </r>
        <r>
          <rPr>
            <sz val="9"/>
            <color indexed="81"/>
            <rFont val="Tahoma"/>
            <family val="2"/>
          </rPr>
          <t xml:space="preserve">
This is currently based only on % heat - unclear whether this is equivalent to % houses</t>
        </r>
      </text>
    </comment>
    <comment ref="E15" authorId="0" shapeId="0" xr:uid="{00000000-0006-0000-0A00-000002000000}">
      <text>
        <r>
          <rPr>
            <b/>
            <sz val="9"/>
            <color indexed="81"/>
            <rFont val="Tahoma"/>
            <family val="2"/>
          </rPr>
          <t>Clare Silcock:</t>
        </r>
        <r>
          <rPr>
            <sz val="9"/>
            <color indexed="81"/>
            <rFont val="Tahoma"/>
            <family val="2"/>
          </rPr>
          <t xml:space="preserve">
currently not including hybrid heat pumps</t>
        </r>
      </text>
    </comment>
    <comment ref="A21" authorId="0" shapeId="0" xr:uid="{00000000-0006-0000-0A00-000003000000}">
      <text>
        <r>
          <rPr>
            <b/>
            <sz val="9"/>
            <color indexed="81"/>
            <rFont val="Tahoma"/>
            <family val="2"/>
          </rPr>
          <t>Clare Silcock:</t>
        </r>
        <r>
          <rPr>
            <sz val="9"/>
            <color indexed="81"/>
            <rFont val="Tahoma"/>
            <family val="2"/>
          </rPr>
          <t xml:space="preserve">
This is all new electricity for cooking as that is not included in Arup baseline</t>
        </r>
      </text>
    </comment>
    <comment ref="B27" authorId="0" shapeId="0" xr:uid="{00000000-0006-0000-0A00-000004000000}">
      <text>
        <r>
          <rPr>
            <b/>
            <sz val="9"/>
            <color indexed="81"/>
            <rFont val="Tahoma"/>
            <family val="2"/>
          </rPr>
          <t>Clare Silcock:</t>
        </r>
        <r>
          <rPr>
            <sz val="9"/>
            <color indexed="81"/>
            <rFont val="Tahoma"/>
            <family val="2"/>
          </rPr>
          <t xml:space="preserve">
This is taken from Arup's bridge rather than BDM directly to try and keep some of the calibration consistent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Clare Silcock</author>
    <author>Katherine Orchard</author>
  </authors>
  <commentList>
    <comment ref="F26" authorId="0" shapeId="0" xr:uid="{00000000-0006-0000-0B00-000001000000}">
      <text>
        <r>
          <rPr>
            <b/>
            <sz val="9"/>
            <color indexed="81"/>
            <rFont val="Tahoma"/>
            <family val="2"/>
          </rPr>
          <t>Clare Silcock:</t>
        </r>
        <r>
          <rPr>
            <sz val="9"/>
            <color indexed="81"/>
            <rFont val="Tahoma"/>
            <family val="2"/>
          </rPr>
          <t xml:space="preserve">
These don't add up to heat </t>
        </r>
        <r>
          <rPr>
            <b/>
            <sz val="9"/>
            <color indexed="81"/>
            <rFont val="Tahoma"/>
            <family val="2"/>
          </rPr>
          <t>supply</t>
        </r>
        <r>
          <rPr>
            <sz val="9"/>
            <color indexed="81"/>
            <rFont val="Tahoma"/>
            <family val="2"/>
          </rPr>
          <t xml:space="preserve"> in Heat Networks tab as this is heat </t>
        </r>
        <r>
          <rPr>
            <b/>
            <sz val="9"/>
            <color indexed="81"/>
            <rFont val="Tahoma"/>
            <family val="2"/>
          </rPr>
          <t xml:space="preserve">demand, </t>
        </r>
        <r>
          <rPr>
            <sz val="9"/>
            <color indexed="81"/>
            <rFont val="Tahoma"/>
            <family val="2"/>
          </rPr>
          <t>including losses</t>
        </r>
      </text>
    </comment>
    <comment ref="B45" authorId="1" shapeId="0" xr:uid="{563F46DC-CBDA-4680-A510-B7E779FAECBF}">
      <text>
        <r>
          <rPr>
            <b/>
            <sz val="9"/>
            <color indexed="81"/>
            <rFont val="Tahoma"/>
            <family val="2"/>
          </rPr>
          <t>Katherine Orchard:</t>
        </r>
        <r>
          <rPr>
            <sz val="9"/>
            <color indexed="81"/>
            <rFont val="Tahoma"/>
            <family val="2"/>
          </rPr>
          <t xml:space="preserve">
I corrected this row as it didn't read for Patchwork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tc={CB7B982C-DD09-4B88-A4B6-FAA90C1A2767}</author>
  </authors>
  <commentList>
    <comment ref="D19" authorId="0" shapeId="0" xr:uid="{CB7B982C-DD09-4B88-A4B6-FAA90C1A2767}">
      <text>
        <t>[Threaded comment]
Your version of Excel allows you to read this threaded comment; however, any edits to it will get removed if the file is opened in a newer version of Excel. Learn more: https://go.microsoft.com/fwlink/?linkid=870924
Comment:
    Need to update this row</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Lewis Fox-James</author>
  </authors>
  <commentList>
    <comment ref="G8" authorId="0" shapeId="0" xr:uid="{00000000-0006-0000-1000-000001000000}">
      <text>
        <r>
          <rPr>
            <b/>
            <sz val="9"/>
            <color indexed="81"/>
            <rFont val="Tahoma"/>
            <family val="2"/>
          </rPr>
          <t>Lewis Fox-James:
Checked source. CO2 given, not CO2e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Clare Silcock</author>
  </authors>
  <commentList>
    <comment ref="W5" authorId="0" shapeId="0" xr:uid="{00000000-0006-0000-1600-000001000000}">
      <text>
        <r>
          <rPr>
            <b/>
            <sz val="9"/>
            <color indexed="81"/>
            <rFont val="Tahoma"/>
            <family val="2"/>
          </rPr>
          <t>Clare Silcock:</t>
        </r>
        <r>
          <rPr>
            <sz val="9"/>
            <color indexed="81"/>
            <rFont val="Tahoma"/>
            <family val="2"/>
          </rPr>
          <t xml:space="preserve">
as direct electric heat comes in, this has to be capped</t>
        </r>
      </text>
    </comment>
    <comment ref="X5" authorId="0" shapeId="0" xr:uid="{00000000-0006-0000-1600-000002000000}">
      <text>
        <r>
          <rPr>
            <b/>
            <sz val="9"/>
            <color indexed="81"/>
            <rFont val="Tahoma"/>
            <family val="2"/>
          </rPr>
          <t>Clare Silcock:</t>
        </r>
        <r>
          <rPr>
            <sz val="9"/>
            <color indexed="81"/>
            <rFont val="Tahoma"/>
            <family val="2"/>
          </rPr>
          <t xml:space="preserve">
as direct electric heat comes in, this has to be capped</t>
        </r>
      </text>
    </comment>
    <comment ref="Y5" authorId="0" shapeId="0" xr:uid="{00000000-0006-0000-1600-000003000000}">
      <text>
        <r>
          <rPr>
            <b/>
            <sz val="9"/>
            <color indexed="81"/>
            <rFont val="Tahoma"/>
            <family val="2"/>
          </rPr>
          <t>Clare Silcock:</t>
        </r>
        <r>
          <rPr>
            <sz val="9"/>
            <color indexed="81"/>
            <rFont val="Tahoma"/>
            <family val="2"/>
          </rPr>
          <t xml:space="preserve">
as direct electric heat comes in, this has to be capped</t>
        </r>
      </text>
    </comment>
    <comment ref="Z5" authorId="0" shapeId="0" xr:uid="{00000000-0006-0000-1600-000004000000}">
      <text>
        <r>
          <rPr>
            <b/>
            <sz val="9"/>
            <color indexed="81"/>
            <rFont val="Tahoma"/>
            <family val="2"/>
          </rPr>
          <t>Clare Silcock:</t>
        </r>
        <r>
          <rPr>
            <sz val="9"/>
            <color indexed="81"/>
            <rFont val="Tahoma"/>
            <family val="2"/>
          </rPr>
          <t xml:space="preserve">
as direct electric heat comes in, this has to be capped</t>
        </r>
      </text>
    </comment>
    <comment ref="AA5" authorId="0" shapeId="0" xr:uid="{00000000-0006-0000-1600-000005000000}">
      <text>
        <r>
          <rPr>
            <b/>
            <sz val="9"/>
            <color indexed="81"/>
            <rFont val="Tahoma"/>
            <family val="2"/>
          </rPr>
          <t>Clare Silcock:</t>
        </r>
        <r>
          <rPr>
            <sz val="9"/>
            <color indexed="81"/>
            <rFont val="Tahoma"/>
            <family val="2"/>
          </rPr>
          <t xml:space="preserve">
as direct electric heat comes in, this has to be capped</t>
        </r>
      </text>
    </comment>
    <comment ref="AB5" authorId="0" shapeId="0" xr:uid="{00000000-0006-0000-1600-000006000000}">
      <text>
        <r>
          <rPr>
            <b/>
            <sz val="9"/>
            <color indexed="81"/>
            <rFont val="Tahoma"/>
            <family val="2"/>
          </rPr>
          <t>Clare Silcock:</t>
        </r>
        <r>
          <rPr>
            <sz val="9"/>
            <color indexed="81"/>
            <rFont val="Tahoma"/>
            <family val="2"/>
          </rPr>
          <t xml:space="preserve">
as direct electric heat comes in, this has to be capped</t>
        </r>
      </text>
    </comment>
    <comment ref="AC5" authorId="0" shapeId="0" xr:uid="{00000000-0006-0000-1600-000007000000}">
      <text>
        <r>
          <rPr>
            <b/>
            <sz val="9"/>
            <color indexed="81"/>
            <rFont val="Tahoma"/>
            <family val="2"/>
          </rPr>
          <t>Clare Silcock:</t>
        </r>
        <r>
          <rPr>
            <sz val="9"/>
            <color indexed="81"/>
            <rFont val="Tahoma"/>
            <family val="2"/>
          </rPr>
          <t xml:space="preserve">
as direct electric heat comes in, this has to be capped</t>
        </r>
      </text>
    </comment>
    <comment ref="AD5" authorId="0" shapeId="0" xr:uid="{00000000-0006-0000-1600-000008000000}">
      <text>
        <r>
          <rPr>
            <b/>
            <sz val="9"/>
            <color indexed="81"/>
            <rFont val="Tahoma"/>
            <family val="2"/>
          </rPr>
          <t>Clare Silcock:</t>
        </r>
        <r>
          <rPr>
            <sz val="9"/>
            <color indexed="81"/>
            <rFont val="Tahoma"/>
            <family val="2"/>
          </rPr>
          <t xml:space="preserve">
as direct electric heat comes in, this has to be capped</t>
        </r>
      </text>
    </comment>
    <comment ref="AE5" authorId="0" shapeId="0" xr:uid="{00000000-0006-0000-1600-000009000000}">
      <text>
        <r>
          <rPr>
            <b/>
            <sz val="9"/>
            <color indexed="81"/>
            <rFont val="Tahoma"/>
            <family val="2"/>
          </rPr>
          <t>Clare Silcock:</t>
        </r>
        <r>
          <rPr>
            <sz val="9"/>
            <color indexed="81"/>
            <rFont val="Tahoma"/>
            <family val="2"/>
          </rPr>
          <t xml:space="preserve">
as direct electric heat comes in, this has to be capped</t>
        </r>
      </text>
    </comment>
    <comment ref="AF5" authorId="0" shapeId="0" xr:uid="{00000000-0006-0000-1600-00000A000000}">
      <text>
        <r>
          <rPr>
            <b/>
            <sz val="9"/>
            <color indexed="81"/>
            <rFont val="Tahoma"/>
            <family val="2"/>
          </rPr>
          <t>Clare Silcock:</t>
        </r>
        <r>
          <rPr>
            <sz val="9"/>
            <color indexed="81"/>
            <rFont val="Tahoma"/>
            <family val="2"/>
          </rPr>
          <t xml:space="preserve">
as direct electric heat comes in, this has to be capped</t>
        </r>
      </text>
    </comment>
    <comment ref="AG5" authorId="0" shapeId="0" xr:uid="{00000000-0006-0000-1600-00000B000000}">
      <text>
        <r>
          <rPr>
            <b/>
            <sz val="9"/>
            <color indexed="81"/>
            <rFont val="Tahoma"/>
            <family val="2"/>
          </rPr>
          <t>Clare Silcock:</t>
        </r>
        <r>
          <rPr>
            <sz val="9"/>
            <color indexed="81"/>
            <rFont val="Tahoma"/>
            <family val="2"/>
          </rPr>
          <t xml:space="preserve">
as direct electric heat comes in, this has to be capped</t>
        </r>
      </text>
    </comment>
    <comment ref="AH5" authorId="0" shapeId="0" xr:uid="{00000000-0006-0000-1600-00000C000000}">
      <text>
        <r>
          <rPr>
            <b/>
            <sz val="9"/>
            <color indexed="81"/>
            <rFont val="Tahoma"/>
            <family val="2"/>
          </rPr>
          <t>Clare Silcock:</t>
        </r>
        <r>
          <rPr>
            <sz val="9"/>
            <color indexed="81"/>
            <rFont val="Tahoma"/>
            <family val="2"/>
          </rPr>
          <t xml:space="preserve">
as direct electric heat comes in, this has to be capped</t>
        </r>
      </text>
    </comment>
    <comment ref="AI5" authorId="0" shapeId="0" xr:uid="{00000000-0006-0000-1600-00000D000000}">
      <text>
        <r>
          <rPr>
            <b/>
            <sz val="9"/>
            <color indexed="81"/>
            <rFont val="Tahoma"/>
            <family val="2"/>
          </rPr>
          <t>Clare Silcock:</t>
        </r>
        <r>
          <rPr>
            <sz val="9"/>
            <color indexed="81"/>
            <rFont val="Tahoma"/>
            <family val="2"/>
          </rPr>
          <t xml:space="preserve">
as direct electric heat comes in, this has to be capped</t>
        </r>
      </text>
    </comment>
    <comment ref="AJ5" authorId="0" shapeId="0" xr:uid="{00000000-0006-0000-1600-00000E000000}">
      <text>
        <r>
          <rPr>
            <b/>
            <sz val="9"/>
            <color indexed="81"/>
            <rFont val="Tahoma"/>
            <family val="2"/>
          </rPr>
          <t>Clare Silcock:</t>
        </r>
        <r>
          <rPr>
            <sz val="9"/>
            <color indexed="81"/>
            <rFont val="Tahoma"/>
            <family val="2"/>
          </rPr>
          <t xml:space="preserve">
as direct electric heat comes in, this has to be capped</t>
        </r>
      </text>
    </comment>
    <comment ref="AK5" authorId="0" shapeId="0" xr:uid="{00000000-0006-0000-1600-00000F000000}">
      <text>
        <r>
          <rPr>
            <b/>
            <sz val="9"/>
            <color indexed="81"/>
            <rFont val="Tahoma"/>
            <family val="2"/>
          </rPr>
          <t>Clare Silcock:</t>
        </r>
        <r>
          <rPr>
            <sz val="9"/>
            <color indexed="81"/>
            <rFont val="Tahoma"/>
            <family val="2"/>
          </rPr>
          <t xml:space="preserve">
as direct electric heat comes in, this has to be capped</t>
        </r>
      </text>
    </comment>
    <comment ref="A65" authorId="0" shapeId="0" xr:uid="{00000000-0006-0000-1600-000010000000}">
      <text>
        <r>
          <rPr>
            <b/>
            <sz val="9"/>
            <color indexed="81"/>
            <rFont val="Tahoma"/>
            <family val="2"/>
          </rPr>
          <t>Clare Silcock:</t>
        </r>
        <r>
          <rPr>
            <sz val="9"/>
            <color indexed="81"/>
            <rFont val="Tahoma"/>
            <family val="2"/>
          </rPr>
          <t xml:space="preserve">
This is relative to the Greater London 2015 percentage, e.g. 93% for gas boilers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Clare Silcock</author>
  </authors>
  <commentList>
    <comment ref="B38" authorId="0" shapeId="0" xr:uid="{00000000-0006-0000-1700-000001000000}">
      <text>
        <r>
          <rPr>
            <b/>
            <sz val="9"/>
            <color indexed="81"/>
            <rFont val="Tahoma"/>
            <family val="2"/>
          </rPr>
          <t>Clare Silcock:</t>
        </r>
        <r>
          <rPr>
            <sz val="9"/>
            <color indexed="81"/>
            <rFont val="Tahoma"/>
            <family val="2"/>
          </rPr>
          <t xml:space="preserve">
Inputs from Element model
</t>
        </r>
      </text>
    </comment>
    <comment ref="A83" authorId="0" shapeId="0" xr:uid="{00000000-0006-0000-1700-000002000000}">
      <text>
        <r>
          <rPr>
            <b/>
            <sz val="9"/>
            <color indexed="81"/>
            <rFont val="Tahoma"/>
            <family val="2"/>
          </rPr>
          <t>Clare Silcock:</t>
        </r>
        <r>
          <rPr>
            <sz val="9"/>
            <color indexed="81"/>
            <rFont val="Tahoma"/>
            <family val="2"/>
          </rPr>
          <t xml:space="preserve">
Inputs from Element model
</t>
        </r>
      </text>
    </comment>
    <comment ref="B86" authorId="0" shapeId="0" xr:uid="{00000000-0006-0000-1700-000003000000}">
      <text>
        <r>
          <rPr>
            <b/>
            <sz val="9"/>
            <color indexed="81"/>
            <rFont val="Tahoma"/>
            <family val="2"/>
          </rPr>
          <t>Clare Silcock:</t>
        </r>
        <r>
          <rPr>
            <sz val="9"/>
            <color indexed="81"/>
            <rFont val="Tahoma"/>
            <family val="2"/>
          </rPr>
          <t xml:space="preserve">
This should be 7% as this is the losses between supply and demand</t>
        </r>
      </text>
    </comment>
    <comment ref="D137" authorId="0" shapeId="0" xr:uid="{00000000-0006-0000-1700-000004000000}">
      <text>
        <r>
          <rPr>
            <b/>
            <sz val="9"/>
            <color indexed="81"/>
            <rFont val="Tahoma"/>
            <family val="2"/>
          </rPr>
          <t>Clare Silcock:</t>
        </r>
        <r>
          <rPr>
            <sz val="9"/>
            <color indexed="81"/>
            <rFont val="Tahoma"/>
            <family val="2"/>
          </rPr>
          <t xml:space="preserve">
this scenario is actually listed in the heat supply model as "not used" and there is a separate low uptake scenario?</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Clare Silcock</author>
    <author>Chris Grainger</author>
  </authors>
  <commentList>
    <comment ref="H11" authorId="0" shapeId="0" xr:uid="{00000000-0006-0000-1E00-000001000000}">
      <text>
        <r>
          <rPr>
            <b/>
            <sz val="9"/>
            <color indexed="81"/>
            <rFont val="Tahoma"/>
            <family val="2"/>
          </rPr>
          <t>Clare Silcock:</t>
        </r>
        <r>
          <rPr>
            <sz val="9"/>
            <color indexed="81"/>
            <rFont val="Tahoma"/>
            <family val="2"/>
          </rPr>
          <t xml:space="preserve">
non-peak demand
</t>
        </r>
      </text>
    </comment>
    <comment ref="I11" authorId="0" shapeId="0" xr:uid="{00000000-0006-0000-1E00-000002000000}">
      <text>
        <r>
          <rPr>
            <b/>
            <sz val="9"/>
            <color indexed="81"/>
            <rFont val="Tahoma"/>
            <family val="2"/>
          </rPr>
          <t>Clare Silcock:</t>
        </r>
        <r>
          <rPr>
            <sz val="9"/>
            <color indexed="81"/>
            <rFont val="Tahoma"/>
            <family val="2"/>
          </rPr>
          <t xml:space="preserve">
peak demand</t>
        </r>
      </text>
    </comment>
    <comment ref="K11" authorId="0" shapeId="0" xr:uid="{00000000-0006-0000-1E00-000003000000}">
      <text>
        <r>
          <rPr>
            <b/>
            <sz val="9"/>
            <color indexed="81"/>
            <rFont val="Tahoma"/>
            <family val="2"/>
          </rPr>
          <t>Clare Silcock:</t>
        </r>
        <r>
          <rPr>
            <sz val="9"/>
            <color indexed="81"/>
            <rFont val="Tahoma"/>
            <family val="2"/>
          </rPr>
          <t xml:space="preserve">
peak demand</t>
        </r>
      </text>
    </comment>
    <comment ref="Q19" authorId="1" shapeId="0" xr:uid="{00000000-0006-0000-1E00-000004000000}">
      <text>
        <r>
          <rPr>
            <b/>
            <sz val="9"/>
            <color indexed="81"/>
            <rFont val="Tahoma"/>
            <family val="2"/>
          </rPr>
          <t>Chris Grainger:</t>
        </r>
        <r>
          <rPr>
            <sz val="9"/>
            <color indexed="81"/>
            <rFont val="Tahoma"/>
            <family val="2"/>
          </rPr>
          <t xml:space="preserve">
assumes all paking plant is gas boilers in 2025
</t>
        </r>
      </text>
    </comment>
    <comment ref="AD19" authorId="0" shapeId="0" xr:uid="{00000000-0006-0000-1E00-000005000000}">
      <text>
        <r>
          <rPr>
            <b/>
            <sz val="9"/>
            <color indexed="81"/>
            <rFont val="Tahoma"/>
            <family val="2"/>
          </rPr>
          <t>Clare Silcock:</t>
        </r>
        <r>
          <rPr>
            <sz val="9"/>
            <color indexed="81"/>
            <rFont val="Tahoma"/>
            <family val="2"/>
          </rPr>
          <t xml:space="preserve">
this could be hydrogen - determined in Heat Networks sheet</t>
        </r>
      </text>
    </comment>
    <comment ref="A101" authorId="0" shapeId="0" xr:uid="{00000000-0006-0000-1E00-000006000000}">
      <text>
        <r>
          <rPr>
            <b/>
            <sz val="9"/>
            <color indexed="81"/>
            <rFont val="Tahoma"/>
            <family val="2"/>
          </rPr>
          <t>Clare Silcock:</t>
        </r>
        <r>
          <rPr>
            <sz val="9"/>
            <color indexed="81"/>
            <rFont val="Tahoma"/>
            <family val="2"/>
          </rPr>
          <t xml:space="preserve">
Inputs from Element model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Clare Silcock</author>
  </authors>
  <commentList>
    <comment ref="E15" authorId="0" shapeId="0" xr:uid="{00000000-0006-0000-1F00-000001000000}">
      <text>
        <r>
          <rPr>
            <b/>
            <sz val="9"/>
            <color indexed="81"/>
            <rFont val="Tahoma"/>
            <family val="2"/>
          </rPr>
          <t>Clare Silcock:</t>
        </r>
        <r>
          <rPr>
            <sz val="9"/>
            <color indexed="81"/>
            <rFont val="Tahoma"/>
            <family val="2"/>
          </rPr>
          <t xml:space="preserve">
This is based on existing DH percentage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Clare Silcock</author>
  </authors>
  <commentList>
    <comment ref="Q45" authorId="0" shapeId="0" xr:uid="{00000000-0006-0000-2000-000001000000}">
      <text>
        <r>
          <rPr>
            <b/>
            <sz val="9"/>
            <color indexed="81"/>
            <rFont val="Tahoma"/>
            <family val="2"/>
          </rPr>
          <t>Clare Silcock:</t>
        </r>
        <r>
          <rPr>
            <sz val="9"/>
            <color indexed="81"/>
            <rFont val="Tahoma"/>
            <family val="2"/>
          </rPr>
          <t xml:space="preserve">
assumed no development until 2020
</t>
        </r>
      </text>
    </comment>
    <comment ref="L46" authorId="0" shapeId="0" xr:uid="{00000000-0006-0000-2000-000002000000}">
      <text>
        <r>
          <rPr>
            <b/>
            <sz val="9"/>
            <color indexed="81"/>
            <rFont val="Tahoma"/>
            <family val="2"/>
          </rPr>
          <t>Clare Silcock:</t>
        </r>
        <r>
          <rPr>
            <sz val="9"/>
            <color indexed="81"/>
            <rFont val="Tahoma"/>
            <family val="2"/>
          </rPr>
          <t xml:space="preserve">
assumed linear development to 2025. This means that there is an escalation in growth from 2020 when other sources come online</t>
        </r>
      </text>
    </comment>
    <comment ref="Q47" authorId="0" shapeId="0" xr:uid="{00000000-0006-0000-2000-000004000000}">
      <text>
        <r>
          <rPr>
            <b/>
            <sz val="9"/>
            <color indexed="81"/>
            <rFont val="Tahoma"/>
            <family val="2"/>
          </rPr>
          <t>Clare Silcock:</t>
        </r>
        <r>
          <rPr>
            <sz val="9"/>
            <color indexed="81"/>
            <rFont val="Tahoma"/>
            <family val="2"/>
          </rPr>
          <t xml:space="preserve">
assumed no development until 2020
</t>
        </r>
      </text>
    </comment>
    <comment ref="Q48" authorId="0" shapeId="0" xr:uid="{00000000-0006-0000-2000-000005000000}">
      <text>
        <r>
          <rPr>
            <b/>
            <sz val="9"/>
            <color indexed="81"/>
            <rFont val="Tahoma"/>
            <family val="2"/>
          </rPr>
          <t>Clare Silcock:</t>
        </r>
        <r>
          <rPr>
            <sz val="9"/>
            <color indexed="81"/>
            <rFont val="Tahoma"/>
            <family val="2"/>
          </rPr>
          <t xml:space="preserve">
assumed no development until 2020
</t>
        </r>
      </text>
    </comment>
    <comment ref="Q49" authorId="0" shapeId="0" xr:uid="{00000000-0006-0000-2000-000006000000}">
      <text>
        <r>
          <rPr>
            <b/>
            <sz val="9"/>
            <color indexed="81"/>
            <rFont val="Tahoma"/>
            <family val="2"/>
          </rPr>
          <t>Clare Silcock:</t>
        </r>
        <r>
          <rPr>
            <sz val="9"/>
            <color indexed="81"/>
            <rFont val="Tahoma"/>
            <family val="2"/>
          </rPr>
          <t xml:space="preserve">
assumed no development until 2020
</t>
        </r>
      </text>
    </comment>
    <comment ref="Q50" authorId="0" shapeId="0" xr:uid="{00000000-0006-0000-2000-000007000000}">
      <text>
        <r>
          <rPr>
            <b/>
            <sz val="9"/>
            <color indexed="81"/>
            <rFont val="Tahoma"/>
            <family val="2"/>
          </rPr>
          <t>Clare Silcock:</t>
        </r>
        <r>
          <rPr>
            <sz val="9"/>
            <color indexed="81"/>
            <rFont val="Tahoma"/>
            <family val="2"/>
          </rPr>
          <t xml:space="preserve">
assumed no development until 2020
</t>
        </r>
      </text>
    </comment>
    <comment ref="Q51" authorId="0" shapeId="0" xr:uid="{00000000-0006-0000-2000-000008000000}">
      <text>
        <r>
          <rPr>
            <b/>
            <sz val="9"/>
            <color indexed="81"/>
            <rFont val="Tahoma"/>
            <family val="2"/>
          </rPr>
          <t>Clare Silcock:</t>
        </r>
        <r>
          <rPr>
            <sz val="9"/>
            <color indexed="81"/>
            <rFont val="Tahoma"/>
            <family val="2"/>
          </rPr>
          <t xml:space="preserve">
assumed no development until 2020
</t>
        </r>
      </text>
    </comment>
    <comment ref="Q52" authorId="0" shapeId="0" xr:uid="{00000000-0006-0000-2000-000009000000}">
      <text>
        <r>
          <rPr>
            <b/>
            <sz val="9"/>
            <color indexed="81"/>
            <rFont val="Tahoma"/>
            <family val="2"/>
          </rPr>
          <t>Clare Silcock:</t>
        </r>
        <r>
          <rPr>
            <sz val="9"/>
            <color indexed="81"/>
            <rFont val="Tahoma"/>
            <family val="2"/>
          </rPr>
          <t xml:space="preserve">
assumed no development until 2020
</t>
        </r>
      </text>
    </comment>
    <comment ref="Q53" authorId="0" shapeId="0" xr:uid="{00000000-0006-0000-2000-00000A000000}">
      <text>
        <r>
          <rPr>
            <b/>
            <sz val="9"/>
            <color indexed="81"/>
            <rFont val="Tahoma"/>
            <family val="2"/>
          </rPr>
          <t>Clare Silcock:</t>
        </r>
        <r>
          <rPr>
            <sz val="9"/>
            <color indexed="81"/>
            <rFont val="Tahoma"/>
            <family val="2"/>
          </rPr>
          <t xml:space="preserve">
assumed no development until 2020
</t>
        </r>
      </text>
    </comment>
    <comment ref="L54" authorId="0" shapeId="0" xr:uid="{00000000-0006-0000-2000-00000B000000}">
      <text>
        <r>
          <rPr>
            <b/>
            <sz val="9"/>
            <color indexed="81"/>
            <rFont val="Tahoma"/>
            <family val="2"/>
          </rPr>
          <t>Clare Silcock:</t>
        </r>
        <r>
          <rPr>
            <sz val="9"/>
            <color indexed="81"/>
            <rFont val="Tahoma"/>
            <family val="2"/>
          </rPr>
          <t xml:space="preserve">
assumed linear development to 2025 </t>
        </r>
      </text>
    </comment>
    <comment ref="B72" authorId="0" shapeId="0" xr:uid="{00000000-0006-0000-2000-00000C000000}">
      <text>
        <r>
          <rPr>
            <b/>
            <sz val="9"/>
            <color indexed="81"/>
            <rFont val="Tahoma"/>
            <family val="2"/>
          </rPr>
          <t>Clare Silcock:</t>
        </r>
        <r>
          <rPr>
            <sz val="9"/>
            <color indexed="81"/>
            <rFont val="Tahoma"/>
            <family val="2"/>
          </rPr>
          <t xml:space="preserve">
assuming same percentage of hydrogen as for domestic boilers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Clare Silcock</author>
  </authors>
  <commentList>
    <comment ref="E51" authorId="0" shapeId="0" xr:uid="{00000000-0006-0000-2200-000001000000}">
      <text>
        <r>
          <rPr>
            <b/>
            <sz val="9"/>
            <color indexed="81"/>
            <rFont val="Tahoma"/>
            <family val="2"/>
          </rPr>
          <t>Clare Silcock:</t>
        </r>
        <r>
          <rPr>
            <sz val="9"/>
            <color indexed="81"/>
            <rFont val="Tahoma"/>
            <family val="2"/>
          </rPr>
          <t xml:space="preserve">
including cooking
</t>
        </r>
      </text>
    </comment>
    <comment ref="K51" authorId="0" shapeId="0" xr:uid="{00000000-0006-0000-2200-000002000000}">
      <text>
        <r>
          <rPr>
            <b/>
            <sz val="9"/>
            <color indexed="81"/>
            <rFont val="Tahoma"/>
            <family val="2"/>
          </rPr>
          <t>Clare Silcock:</t>
        </r>
        <r>
          <rPr>
            <sz val="9"/>
            <color indexed="81"/>
            <rFont val="Tahoma"/>
            <family val="2"/>
          </rPr>
          <t xml:space="preserve">
This isn't split out as for gas above because direct electricity usage for lights or cooking has the same efficiency, unlike gas
</t>
        </r>
      </text>
    </comment>
    <comment ref="K60" authorId="0" shapeId="0" xr:uid="{DF1E5167-61F3-4677-9CE5-4EBDF3A08978}">
      <text>
        <r>
          <rPr>
            <b/>
            <sz val="9"/>
            <color indexed="81"/>
            <rFont val="Tahoma"/>
            <family val="2"/>
          </rPr>
          <t>Clare Silcock:</t>
        </r>
        <r>
          <rPr>
            <sz val="9"/>
            <color indexed="81"/>
            <rFont val="Tahoma"/>
            <family val="2"/>
          </rPr>
          <t xml:space="preserve">
This isn't split out as for gas above because direct electricity usage for lights or cooking has the same efficiency, unlike gas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<sst xmlns="http://schemas.openxmlformats.org/spreadsheetml/2006/main" count="11842" uniqueCount="1399">
  <si>
    <t>Title</t>
  </si>
  <si>
    <t>London Zero Carbon Pathways Tool</t>
  </si>
  <si>
    <t xml:space="preserve">Author  </t>
  </si>
  <si>
    <t>Element Energy</t>
  </si>
  <si>
    <t>Contact</t>
  </si>
  <si>
    <t>environment@london.gov.uk</t>
  </si>
  <si>
    <t>Date</t>
  </si>
  <si>
    <t>Description</t>
  </si>
  <si>
    <t xml:space="preserve">Interactive energy and carbon tool exploring London’s emission pathways out to 2050 across London. </t>
  </si>
  <si>
    <t>Version History</t>
  </si>
  <si>
    <t>Version 1:  Detailing outputs from study: "Analysis of a Net Zero 2030 Target for Greater London".
Version 1.1: Bug fixes, solving an issue where building heating technologies were incorrectly allocated in some specific boroughs.
Version 1.2: Bug fix, solving an issue so that vehicle kilometres by Borough and by fuel type are carried through to the dashboard.
Version 1.3: Bug fix in vehicle kilometres by borough calculation.</t>
  </si>
  <si>
    <t>Notes</t>
  </si>
  <si>
    <r>
      <t xml:space="preserve">
This tool has been prepared by Element Energy to accompany the report "</t>
    </r>
    <r>
      <rPr>
        <i/>
        <sz val="10"/>
        <rFont val="Arial"/>
        <family val="2"/>
      </rPr>
      <t>Analysis of a Net Zero 2030 Target for Greater London</t>
    </r>
    <r>
      <rPr>
        <sz val="10"/>
        <rFont val="Arial"/>
        <family val="2"/>
      </rPr>
      <t>".  The structure and functionality are based on a previous version originally produced by the Greater London Authority in support of the draft London Enviroment Strategy, with relevant updates to reflect the outputs of modelling to support an accelerated net zero target.
Information reported herein is based on the interpretation of data collected and has been accepted in good faith as being accurate and valid. Findings are time-sensitive and relevant only to current conditions at the time of writing. All contents of the model have been made openly available for third party use. However, no third party should rely on this tool for decision making purposes and the GLA does not in any circumstance accept any responsibility or liability to parties relying on information used for decision making purposes.
We welcome feedback on our zero carbon scenarios modelling, please get in touch at environment@london.gov.uk.</t>
    </r>
  </si>
  <si>
    <t>Options?</t>
  </si>
  <si>
    <t>Defined Scenarios</t>
  </si>
  <si>
    <t>Building retrofit</t>
  </si>
  <si>
    <t>Heat Pumps:</t>
  </si>
  <si>
    <t>Heat Networks:</t>
  </si>
  <si>
    <t>Solar PV:</t>
  </si>
  <si>
    <t>Electricity Grid:</t>
  </si>
  <si>
    <t>Transport Scenario:</t>
  </si>
  <si>
    <t>Concatenation</t>
  </si>
  <si>
    <t>Baseline</t>
  </si>
  <si>
    <t>Central</t>
  </si>
  <si>
    <t>Low</t>
  </si>
  <si>
    <t>Low Uptake</t>
  </si>
  <si>
    <t>Business as Usual</t>
  </si>
  <si>
    <t>National Grid FES: Steady State</t>
  </si>
  <si>
    <t>Medium</t>
  </si>
  <si>
    <t>High Uptake</t>
  </si>
  <si>
    <t>Ambition</t>
  </si>
  <si>
    <t>BEIS Green Book Emission Factor</t>
  </si>
  <si>
    <t>MTS Strategy</t>
  </si>
  <si>
    <t>High</t>
  </si>
  <si>
    <t>Medium Uptake</t>
  </si>
  <si>
    <t>Target</t>
  </si>
  <si>
    <t>OPTIONS</t>
  </si>
  <si>
    <t>Energy Systems</t>
  </si>
  <si>
    <t>Options</t>
  </si>
  <si>
    <t>Limited change from today's energy system</t>
  </si>
  <si>
    <t>A focus on district heat and small scale renewable energy</t>
  </si>
  <si>
    <t>Heat &amp; transport electrified - majority of gas grid decommissioned by 2050</t>
  </si>
  <si>
    <t>Investment in development of High Hydrogen technology to convert boilers and vehicles to hydrogen</t>
  </si>
  <si>
    <t>Likely combinations of energy systems developments</t>
  </si>
  <si>
    <t>Early</t>
  </si>
  <si>
    <t>Late</t>
  </si>
  <si>
    <t>Less Effective</t>
  </si>
  <si>
    <t>More Effective</t>
  </si>
  <si>
    <t>London only levers</t>
  </si>
  <si>
    <t>No additional retrofits</t>
  </si>
  <si>
    <t>Possible retrofits if concerted policy effort is made starting now</t>
  </si>
  <si>
    <t>Immediate and full scale retrofit programs are in place</t>
  </si>
  <si>
    <t>Retrofit policy development is not a priority until 2020s</t>
  </si>
  <si>
    <t>Retrofit policies reach fewer households</t>
  </si>
  <si>
    <t>Retrofit policies reach more households than expected</t>
  </si>
  <si>
    <t>Retrofit only achieved through extensions to mayoral programs</t>
  </si>
  <si>
    <t>No</t>
  </si>
  <si>
    <t>No heat pumps are installed</t>
  </si>
  <si>
    <t>Heat pump policies are installed but not a prioritiy</t>
  </si>
  <si>
    <t>Heat pumps are driven by stringent new and replacement policies</t>
  </si>
  <si>
    <t>Heat pumps reach 90% installation by 2050</t>
  </si>
  <si>
    <t>High uptake in new build and half of London led retrofits install a heat pump</t>
  </si>
  <si>
    <t>No additional heat networks</t>
  </si>
  <si>
    <t>No heat networks are commissioned</t>
  </si>
  <si>
    <t>Heat networks are installed but not a policy priority</t>
  </si>
  <si>
    <t>Heat networks policies are strong but not complete</t>
  </si>
  <si>
    <t>80% of all possible properties are connected to heat networks by 2050</t>
  </si>
  <si>
    <t>Business as usual</t>
  </si>
  <si>
    <t>No new policies encourage solar PV uptake</t>
  </si>
  <si>
    <t>Solar uptake is encouraged by the GLA but not more widely</t>
  </si>
  <si>
    <t>Widespread uptake of solar PV and achievement of 1GW target by 2030</t>
  </si>
  <si>
    <t>2015 factor unchanged</t>
  </si>
  <si>
    <t>No policy baseline</t>
  </si>
  <si>
    <t>BEIS Green Book Emission Factor - 2020</t>
  </si>
  <si>
    <t>National Grid FES 2021: System Transformation</t>
  </si>
  <si>
    <t>National Grid FES: 2 degrees</t>
  </si>
  <si>
    <t>No electricty grid decarbonisation beyond current levles</t>
  </si>
  <si>
    <t>Baseline reduction assuming no additional UK Government policies.</t>
  </si>
  <si>
    <t>High penetration of renewables &amp; nuclear, in line with UK carbon budgets</t>
  </si>
  <si>
    <t>National Grid FES 2021: System Transformation. Note that once the emissions fall below 0 kg/kWh in the FES trajectory, this trajectory is set to zero. For 2015-2019, the BEIS 2020 Green Book emission factor values are used.</t>
  </si>
  <si>
    <t>National Grid Future Energy Scenarios - steady state baseline</t>
  </si>
  <si>
    <t>National Grid Future Energy Scenarios - path required to meet 2 degrees targets</t>
  </si>
  <si>
    <t>Carbon price</t>
  </si>
  <si>
    <t>BEIS - Traded - Low - Green Book 2020</t>
  </si>
  <si>
    <t>BEIS - Traded - Medium - Green Book 2020</t>
  </si>
  <si>
    <t>BEIS - Traded - High - Green Book 2020</t>
  </si>
  <si>
    <t>BEIS - Non-traded - Low - Green Book 2020</t>
  </si>
  <si>
    <t>BEIS - Non-traded - Medium - Green Book 2020</t>
  </si>
  <si>
    <t>BEIS - Non-traded - High - Green Book 2020</t>
  </si>
  <si>
    <t>CCC total carbon price</t>
  </si>
  <si>
    <t>Transport</t>
  </si>
  <si>
    <t>Limited modal switch, moderate uptake of EV/FCEV</t>
  </si>
  <si>
    <t>Significant modal change, 100% EV/FCEV fleet by 2050</t>
  </si>
  <si>
    <t>Energy</t>
  </si>
  <si>
    <t>Retroftit</t>
  </si>
  <si>
    <t>Heat Pump</t>
  </si>
  <si>
    <t>District Heat</t>
  </si>
  <si>
    <t>Solar PV</t>
  </si>
  <si>
    <t>Electricity Grid</t>
  </si>
  <si>
    <t>Concantenation</t>
  </si>
  <si>
    <t>LINES</t>
  </si>
  <si>
    <t>London only Levers</t>
  </si>
  <si>
    <t>early retrofit requires immediate policy action which is not in progress,</t>
  </si>
  <si>
    <t>to meet carbon budgets, retrofit should not be delayed,</t>
  </si>
  <si>
    <t>sensitivity on effectiveness of policy,</t>
  </si>
  <si>
    <t>some introduction of heat pumps is expected,</t>
  </si>
  <si>
    <t>some development of heat networks is expected,</t>
  </si>
  <si>
    <t>further decarbonisation of the grid is expected</t>
  </si>
  <si>
    <t>Old Scenario</t>
  </si>
  <si>
    <t>Scenario</t>
  </si>
  <si>
    <t>High Electrification</t>
  </si>
  <si>
    <t>Decarbonised Gas</t>
  </si>
  <si>
    <t>High Hydrogen</t>
  </si>
  <si>
    <t>Patchwork</t>
  </si>
  <si>
    <t>Accelerated Green</t>
  </si>
  <si>
    <t>Decentralised Energy</t>
  </si>
  <si>
    <t>No Constraints</t>
  </si>
  <si>
    <t>Not necessarily corresponding scenarios; but Maximum Action inputs have taken the place of Decentralised Energy inputs</t>
  </si>
  <si>
    <t>Not updated/mapped to a new scenario</t>
  </si>
  <si>
    <t>ALL BLUE CELLS ARE DROP DOWN LISTS TO CHOOSE A SCENARIO OR GRAPH</t>
  </si>
  <si>
    <t>ZERO CARBON PATHWAY TOOL</t>
  </si>
  <si>
    <t>Region:</t>
  </si>
  <si>
    <t>Greater London</t>
  </si>
  <si>
    <t>Selects region of interest (Local Authority level or London-wide)</t>
  </si>
  <si>
    <t>2030 Headlines:</t>
  </si>
  <si>
    <t>Scenario:</t>
  </si>
  <si>
    <t>Sets the scenario to display,</t>
  </si>
  <si>
    <r>
      <t>CO</t>
    </r>
    <r>
      <rPr>
        <vertAlign val="subscript"/>
        <sz val="8"/>
        <color theme="0" tint="-0.499984740745262"/>
        <rFont val="Segoe UI"/>
        <family val="2"/>
      </rPr>
      <t xml:space="preserve">2 </t>
    </r>
    <r>
      <rPr>
        <sz val="8"/>
        <color theme="0" tint="-0.499984740745262"/>
        <rFont val="Segoe UI"/>
        <family val="2"/>
      </rPr>
      <t>emissions</t>
    </r>
  </si>
  <si>
    <t>Emissions per capita</t>
  </si>
  <si>
    <t>Sets the electricity grid emissions factor. Note that national grid carbon intensity is used in all calculations.</t>
  </si>
  <si>
    <t>Reduction over 1990</t>
  </si>
  <si>
    <t>BEIS - Low - Green Book Oct 2021</t>
  </si>
  <si>
    <t>Sets which carbon price is to be used. In the report, values from the Green Book Oct 2021 update have been used.</t>
  </si>
  <si>
    <t>of which homes</t>
  </si>
  <si>
    <t>of which workplaces</t>
  </si>
  <si>
    <t>Discount rate</t>
  </si>
  <si>
    <t>Sets the discount rate for the cost curves below. 3.5% is the assumed social discount rate; 0% gives undiscounted costs.</t>
  </si>
  <si>
    <t>of which transport</t>
  </si>
  <si>
    <t>Include carbon price?</t>
  </si>
  <si>
    <t>Sets whether the carbon price will be included in the cost outputs or not</t>
  </si>
  <si>
    <t>ENERGY, EMISSIONS AND TRANSPORT RESULTS</t>
  </si>
  <si>
    <t>Sector</t>
  </si>
  <si>
    <t>Total</t>
  </si>
  <si>
    <t>Query</t>
  </si>
  <si>
    <t>Carbon Emissions</t>
  </si>
  <si>
    <t>Use the drop down menus to display graph. If you change the sector drop down, you may also need to change the query.</t>
  </si>
  <si>
    <t/>
  </si>
  <si>
    <t>RATES OF ENERGY EFFICIENCY/HEAT PUMP INSTALLATION</t>
  </si>
  <si>
    <t>Back to top</t>
  </si>
  <si>
    <t>Query:</t>
  </si>
  <si>
    <t>Annual Heat Pump Installations</t>
  </si>
  <si>
    <t>COST</t>
  </si>
  <si>
    <t>All Costs</t>
  </si>
  <si>
    <t>JOB CREATION</t>
  </si>
  <si>
    <t>End of Sheet</t>
  </si>
  <si>
    <t>LIST OF GRAPHS</t>
  </si>
  <si>
    <t>Buildings</t>
  </si>
  <si>
    <t>Domestic</t>
  </si>
  <si>
    <t>Non-Domestic</t>
  </si>
  <si>
    <t>Industrial</t>
  </si>
  <si>
    <t>District Heating</t>
  </si>
  <si>
    <t>Population Growth</t>
  </si>
  <si>
    <t>Energy Supply by Fuel</t>
  </si>
  <si>
    <t>Projection</t>
  </si>
  <si>
    <t>Energy Demand</t>
  </si>
  <si>
    <t>Energy Demand by Technology</t>
  </si>
  <si>
    <t>Transport Energy Supply by fuel</t>
  </si>
  <si>
    <t>Energy use by fuel</t>
  </si>
  <si>
    <t>Road Transport Vehicle Kilometres</t>
  </si>
  <si>
    <t>Energy Demand by Building Type</t>
  </si>
  <si>
    <t>SELECTED</t>
  </si>
  <si>
    <t>taken direct from other sheets</t>
  </si>
  <si>
    <t>taken from within the sheet</t>
  </si>
  <si>
    <t xml:space="preserve">Region: </t>
  </si>
  <si>
    <t>TOTAL</t>
  </si>
  <si>
    <t>Lookup 1</t>
  </si>
  <si>
    <t>Lookup 2</t>
  </si>
  <si>
    <t>Lookup 3</t>
  </si>
  <si>
    <t>Label</t>
  </si>
  <si>
    <t>Units</t>
  </si>
  <si>
    <t>Source</t>
  </si>
  <si>
    <t>TotalCarbon Emissions</t>
  </si>
  <si>
    <t xml:space="preserve"> GHG EMISSIONS (ktCO2e) </t>
  </si>
  <si>
    <t>Domestic Heat</t>
  </si>
  <si>
    <r>
      <t>ktCO</t>
    </r>
    <r>
      <rPr>
        <vertAlign val="subscript"/>
        <sz val="11"/>
        <color theme="1"/>
        <rFont val="Calibri"/>
        <family val="2"/>
        <scheme val="minor"/>
      </rPr>
      <t>2</t>
    </r>
  </si>
  <si>
    <t>Domestic Electricity</t>
  </si>
  <si>
    <t>Non-domestic Heat</t>
  </si>
  <si>
    <t>Non-Domestic Electricity</t>
  </si>
  <si>
    <t>District heating</t>
  </si>
  <si>
    <t>Industry</t>
  </si>
  <si>
    <t>Aviation</t>
  </si>
  <si>
    <t>Waste</t>
  </si>
  <si>
    <t>Road Transport</t>
  </si>
  <si>
    <t>Non-Road Transport</t>
  </si>
  <si>
    <t>Non-Road Mobile Machinery</t>
  </si>
  <si>
    <t>AFOLU</t>
  </si>
  <si>
    <t>ENERGY USE (GWh)</t>
  </si>
  <si>
    <t>Domestic Heat - Existing</t>
  </si>
  <si>
    <t>GWh</t>
  </si>
  <si>
    <t>Domestic Heat - new</t>
  </si>
  <si>
    <t>Non Domestic Heat - Existing</t>
  </si>
  <si>
    <t>Non Domestic Heat - New</t>
  </si>
  <si>
    <t xml:space="preserve">Domestic Electricity - Existing </t>
  </si>
  <si>
    <t>Domestic Electricity - New</t>
  </si>
  <si>
    <t>Non Domestic Electricity - Existing</t>
  </si>
  <si>
    <t>Non Domestic Electricity - New</t>
  </si>
  <si>
    <t>Domestic cooling</t>
  </si>
  <si>
    <t>Non Domestic Cooling</t>
  </si>
  <si>
    <t>N</t>
  </si>
  <si>
    <t>Gas</t>
  </si>
  <si>
    <t>Electricity</t>
  </si>
  <si>
    <t>Hydrogen</t>
  </si>
  <si>
    <t>Petrol</t>
  </si>
  <si>
    <t>Diesel</t>
  </si>
  <si>
    <t xml:space="preserve">This provides an indication of the overall energy balance to 2050 but is not a complete picture due to lack of availability of some fuel consumption data for diesel rail, shipping and aviation. </t>
  </si>
  <si>
    <t>BuildingsCarbon Emissions</t>
  </si>
  <si>
    <t>Energy Demand by technology</t>
  </si>
  <si>
    <t>ENERGY DEMAND (GWh)</t>
  </si>
  <si>
    <t>Electric heating</t>
  </si>
  <si>
    <t>Solar Thermal</t>
  </si>
  <si>
    <t>Hybrid Heat Pump</t>
  </si>
  <si>
    <t>Grid Electricity</t>
  </si>
  <si>
    <t>Cooling</t>
  </si>
  <si>
    <t xml:space="preserve">This is the energy demand met by each heating technology. This is still in heat and cooling demand, this is why cooling remains separate to electricity for lighting and appliances. To see total energy use by fuel select that graph. </t>
  </si>
  <si>
    <t>Gas Boiler</t>
  </si>
  <si>
    <t>Heat - Existing</t>
  </si>
  <si>
    <t>Heat - New</t>
  </si>
  <si>
    <t>Electricty - Existing</t>
  </si>
  <si>
    <t>Electricity - New</t>
  </si>
  <si>
    <t>dummy line</t>
  </si>
  <si>
    <t>Landfill</t>
  </si>
  <si>
    <t>Non Road Mobile Machinery</t>
  </si>
  <si>
    <t>These are taken from the London Atmospheric Emissions Inventory which may lead to some discrepancy with the London Energy and Greenhouse Gas Inventory</t>
  </si>
  <si>
    <t>Cars</t>
  </si>
  <si>
    <t>LGVs</t>
  </si>
  <si>
    <t>HGVs</t>
  </si>
  <si>
    <t>Buses</t>
  </si>
  <si>
    <t>Taxis</t>
  </si>
  <si>
    <t>Motorcycles</t>
  </si>
  <si>
    <t>Rail</t>
  </si>
  <si>
    <t>London Underground</t>
  </si>
  <si>
    <t>River</t>
  </si>
  <si>
    <t>Electricity for Vehicles</t>
  </si>
  <si>
    <t>Hydrogen for Vehicles</t>
  </si>
  <si>
    <t>Diesel for Vehicles</t>
  </si>
  <si>
    <t>Petrol for Vehicles</t>
  </si>
  <si>
    <t>National Rail Electricity</t>
  </si>
  <si>
    <t>TfL Electricity</t>
  </si>
  <si>
    <t>Rail Diesel</t>
  </si>
  <si>
    <t>Note that this doesn't include energy for shipping or aviation as data for these modes is only available in carbon terms.</t>
  </si>
  <si>
    <t>MILLIONS OF KM</t>
  </si>
  <si>
    <t>Electricity (Cars, LGVs, Motorcycles, Taxis)</t>
  </si>
  <si>
    <t>000 000 km</t>
  </si>
  <si>
    <t>Hydrogen (Cars, LGVs, Motorcycles, Taxis)</t>
  </si>
  <si>
    <t>Petrol (Cars, LGVs, Motorcycles, Taxis)</t>
  </si>
  <si>
    <t>Diesel (Cars, LGVs, Motorcycles, Taxis)</t>
  </si>
  <si>
    <t>HGVs - hydrogen</t>
  </si>
  <si>
    <t>HGVs - diesel</t>
  </si>
  <si>
    <t>HGVs - electricity</t>
  </si>
  <si>
    <t>Buses - hydrogen</t>
  </si>
  <si>
    <t>Buses - diesel</t>
  </si>
  <si>
    <t>Buses - electricity</t>
  </si>
  <si>
    <t>ENERGY SUPPLY (GWh)</t>
  </si>
  <si>
    <t>Large Power &amp; Industrial</t>
  </si>
  <si>
    <t>CHP</t>
  </si>
  <si>
    <t>Transformers</t>
  </si>
  <si>
    <t>FC CHP</t>
  </si>
  <si>
    <t>Commercial &amp; building heat rejection</t>
  </si>
  <si>
    <t>Rivers</t>
  </si>
  <si>
    <t>Sewer Heat Mining</t>
  </si>
  <si>
    <t>ASHP</t>
  </si>
  <si>
    <t>GSHP</t>
  </si>
  <si>
    <t>Gas boiler</t>
  </si>
  <si>
    <t xml:space="preserve">CHP is assumed to reduce to zero by 2050 due to air quality concerns. </t>
  </si>
  <si>
    <t>POPULATION</t>
  </si>
  <si>
    <t>people</t>
  </si>
  <si>
    <t>Graphing Outputs</t>
  </si>
  <si>
    <t xml:space="preserve">controlled from dashboard </t>
  </si>
  <si>
    <t>MAIN GRAPH</t>
  </si>
  <si>
    <t>area</t>
  </si>
  <si>
    <t>Annual Building Retrofits</t>
  </si>
  <si>
    <t>Annual District Heating Connections</t>
  </si>
  <si>
    <t>Energy system graph - number of heat pumps</t>
  </si>
  <si>
    <t>NUMBER OF HEAT PUMPS PER YEAR</t>
  </si>
  <si>
    <t xml:space="preserve">Heat pumps (domestic retrofit) </t>
  </si>
  <si>
    <t xml:space="preserve">Heat pumps (domestic new) </t>
  </si>
  <si>
    <t xml:space="preserve">Heat pumps (non-domestic retrofit) </t>
  </si>
  <si>
    <t xml:space="preserve">Heat pumps (non-domestic new) </t>
  </si>
  <si>
    <t xml:space="preserve">Hybrid heat pumps (domestic) </t>
  </si>
  <si>
    <t xml:space="preserve">Hybrid heat pumps (non-domestic) </t>
  </si>
  <si>
    <t>Cumulative number of heat pumps</t>
  </si>
  <si>
    <t>NUMBER OF HEAT PUMPS</t>
  </si>
  <si>
    <t>Number of building retrofits</t>
  </si>
  <si>
    <t>NUMBER OF BUILDINGS RETROFITTED</t>
  </si>
  <si>
    <t>Domestic buildings</t>
  </si>
  <si>
    <t>Non-domestic buildings</t>
  </si>
  <si>
    <t>The number of buildings retrofitted with energy efficiency measures each year (both domestic and non-domestic) is an illustrative estimate based on the modelled heating demand savings each year, and not necessarily representative of real-world deployment rates</t>
  </si>
  <si>
    <t>Number of district heating connections</t>
  </si>
  <si>
    <t>NUMBER OF BUILDINGS CONNECTED TO DISTRICT HEATING</t>
  </si>
  <si>
    <t>Domestic - existing</t>
  </si>
  <si>
    <t>Domestic - new</t>
  </si>
  <si>
    <t>Non-domestic - existing</t>
  </si>
  <si>
    <t>Non-domestic - new</t>
  </si>
  <si>
    <t>Fuel Costs</t>
  </si>
  <si>
    <t>Error message</t>
  </si>
  <si>
    <t>Energy costs only available for designated scenarios</t>
  </si>
  <si>
    <t>Capital and Maintenance Costs</t>
  </si>
  <si>
    <t>Secondary Error Message:</t>
  </si>
  <si>
    <t>Capital and maintenance cost graphs</t>
  </si>
  <si>
    <t>COST (£million/year)</t>
  </si>
  <si>
    <t>Fuel costs graphs</t>
  </si>
  <si>
    <t>Published on p 217 of the LES</t>
  </si>
  <si>
    <t>Budgets for London</t>
  </si>
  <si>
    <t>Budget</t>
  </si>
  <si>
    <t>GLA Group</t>
  </si>
  <si>
    <t>Reduction on 1990 levels</t>
  </si>
  <si>
    <t>Homes</t>
  </si>
  <si>
    <t>Workplaces</t>
  </si>
  <si>
    <t>2015 levels</t>
  </si>
  <si>
    <t>2018-22</t>
  </si>
  <si>
    <t>2023-27</t>
  </si>
  <si>
    <t>2028-32</t>
  </si>
  <si>
    <t>Borough Trajectory</t>
  </si>
  <si>
    <t xml:space="preserve">REGION: </t>
  </si>
  <si>
    <t>Emissions Trajectory Graph</t>
  </si>
  <si>
    <t>GHG Emissions (ktCO2e)</t>
  </si>
  <si>
    <t>Actual Carbon Emissions</t>
  </si>
  <si>
    <t>Modelled Carbon Emissions</t>
  </si>
  <si>
    <t>Cumulative Emissions Trajectory Graph</t>
  </si>
  <si>
    <t>Cumulative Emissions</t>
  </si>
  <si>
    <t>Carbon Budgets Graphs</t>
  </si>
  <si>
    <t>Emissions Trajectory</t>
  </si>
  <si>
    <t>Carbon Budgets: Homes</t>
  </si>
  <si>
    <t>Carbon Budgets: Workplaces</t>
  </si>
  <si>
    <t>Carbon Budgets: Transport</t>
  </si>
  <si>
    <t>Carbon Budgets: Total</t>
  </si>
  <si>
    <t>Old scenario trajectories</t>
  </si>
  <si>
    <t>SCENARIO</t>
  </si>
  <si>
    <t>Job Numbers in FTE</t>
  </si>
  <si>
    <t>Rolling Average (5 years)</t>
  </si>
  <si>
    <t>Total jobs in thousand FTE</t>
  </si>
  <si>
    <t>All sectors</t>
  </si>
  <si>
    <t>Accelerated Patchwork</t>
  </si>
  <si>
    <t>Maximum Ambition</t>
  </si>
  <si>
    <t>Energy Efficiency</t>
  </si>
  <si>
    <t>All Scenarios</t>
  </si>
  <si>
    <t>Heat Pumps</t>
  </si>
  <si>
    <t>Heat Networks</t>
  </si>
  <si>
    <t>Hydrogen boilers</t>
  </si>
  <si>
    <t>On-site Energy/Storage/Smart systems</t>
  </si>
  <si>
    <t>Graphing results for Dashboard</t>
  </si>
  <si>
    <t>Annual FTE without Averaging</t>
  </si>
  <si>
    <t>Jobs in thousand FTE per sector</t>
  </si>
  <si>
    <t>Year</t>
  </si>
  <si>
    <t>Notes on Data</t>
  </si>
  <si>
    <t>The values in the table above are for the FTE required to carry out the work each year.</t>
  </si>
  <si>
    <t>These values are direct jobs, indirect jobs would be additional.</t>
  </si>
  <si>
    <t>Notes on Trends</t>
  </si>
  <si>
    <t>FTEs peak in mid 2020s.</t>
  </si>
  <si>
    <t>The peaks are mainly caused by retrofit trajectories, common across all scenarios.</t>
  </si>
  <si>
    <t>Significant training has to happen to prepare a workforce for those peaks.</t>
  </si>
  <si>
    <t>Other Notes</t>
  </si>
  <si>
    <t>Jobs associated with EV uptake (e.g. manufacturing) not included as no appropriate sources were found.</t>
  </si>
  <si>
    <t>Hydrogen generation not included as most of these jobs would be seen outside London. There is discussion in the CITB report but the FTE numbers are small compared to the above.</t>
  </si>
  <si>
    <t>Grid upgrades not included</t>
  </si>
  <si>
    <t>INPUTS</t>
  </si>
  <si>
    <t>Lever</t>
  </si>
  <si>
    <t>Lookup code</t>
  </si>
  <si>
    <t>Domestic Heat Demand</t>
  </si>
  <si>
    <t>Non-Domestic Heat Demand</t>
  </si>
  <si>
    <t>Total Domestic Electricity Demand</t>
  </si>
  <si>
    <t>Total Non-Domestic Electricity Demand</t>
  </si>
  <si>
    <t>Existing domestic heat demand</t>
  </si>
  <si>
    <t>Existing non-domestic heat demand</t>
  </si>
  <si>
    <t>Existing domestic electricity demand</t>
  </si>
  <si>
    <t>Existing non-domestic electricity demand</t>
  </si>
  <si>
    <t>Domestic Cooling Electricity Demand</t>
  </si>
  <si>
    <t>Non-Domestic Cooling Electricity Demand</t>
  </si>
  <si>
    <t>% heat demand in EPC C + Domestic - Existing</t>
  </si>
  <si>
    <t>% heat demand in EPC C + Non-Domestic - Existing</t>
  </si>
  <si>
    <t>% new domestic heat demand from solar thermal</t>
  </si>
  <si>
    <t>% new non-domestic heat demand from solar thermal</t>
  </si>
  <si>
    <t>% existing domestic heat demand from solar thermal</t>
  </si>
  <si>
    <t>% existing non-domestic heat demand from solar thermal</t>
  </si>
  <si>
    <t>Fuel Poor - Extended RE:NEW</t>
  </si>
  <si>
    <t>Fuel Poor - Landlord MEES - EPC C</t>
  </si>
  <si>
    <t>Fuel Poor - All buildings MEES - EPC C</t>
  </si>
  <si>
    <t>Fuel Poor - Extended energy Leap</t>
  </si>
  <si>
    <t>Social housing - Extended RE:NEW</t>
  </si>
  <si>
    <t>Social housing - All buildings MEES - EPC C</t>
  </si>
  <si>
    <t>Social housing - Extended energy Leap</t>
  </si>
  <si>
    <t>Able to pay - Building Regulations and planning policy</t>
  </si>
  <si>
    <t>Able to pay - Council tax variation by EPC</t>
  </si>
  <si>
    <t>Able to pay - Landlord MEES - EPC C</t>
  </si>
  <si>
    <t>Able to pay - Stamp duty energy efficiency scaling</t>
  </si>
  <si>
    <t>Able to pay - Extended Energy Leap</t>
  </si>
  <si>
    <t>Able to pay - All buildings MEES - EPC C</t>
  </si>
  <si>
    <t>SUM DOMESTIC BUILDINGS</t>
  </si>
  <si>
    <t>Existing - Domestic ALL - Mandate on lighting efficiency</t>
  </si>
  <si>
    <t>Existing - Domestic ALL - Mandate on appliance efficiency</t>
  </si>
  <si>
    <t>New - Domestic ALL - Mandate on lighting efficiency</t>
  </si>
  <si>
    <t>New - Domestic ALL - Mandate on appliance efficiency</t>
  </si>
  <si>
    <t xml:space="preserve">New - Domestic ALL - Stronger planning requirement for smart controls  </t>
  </si>
  <si>
    <t>ALL domestic - Mandate on lighting efficiency</t>
  </si>
  <si>
    <t>ALL domestic - Mandate on appliance efficiency</t>
  </si>
  <si>
    <t xml:space="preserve">All domestic - Stronger planning requirement for smart controls </t>
  </si>
  <si>
    <t>SME - Energy efficiency programme</t>
  </si>
  <si>
    <t>SME - Landlord MEES – EPC C</t>
  </si>
  <si>
    <t>SME - Energy performance tax grading – business rates</t>
  </si>
  <si>
    <t>SME - All buildings MEES – EPC C</t>
  </si>
  <si>
    <t>Large Enterprise - Landlord MEES – EPC C</t>
  </si>
  <si>
    <t>Large Enterprise - Energy performance tax grading – business rates</t>
  </si>
  <si>
    <t>Large Enterprise - All buildings MEES – EPC C</t>
  </si>
  <si>
    <t>Public - Extended RE:FIT</t>
  </si>
  <si>
    <t>Public - All buildings MEES – EPC C</t>
  </si>
  <si>
    <t>SUM NON DOMESTIC BUILDINGS</t>
  </si>
  <si>
    <t>Existing - Non-Domestic ALL - Mandate on lighting efficiency</t>
  </si>
  <si>
    <t>Existing -Non-Domestic ALL - Mandate on appliance efficiency</t>
  </si>
  <si>
    <t>New - Non-Domestic ALL - Mandate on lighting efficiency</t>
  </si>
  <si>
    <t>New -Non-Domestic ALL - Mandate on appliance efficiency</t>
  </si>
  <si>
    <t>New -Non-Domestic ALL - Stronger planning requirement for smart controls</t>
  </si>
  <si>
    <t>ALL Non-domestic - Mandate on lighting efficiency</t>
  </si>
  <si>
    <t>ALL Non-domestic - Mandate on appliance efficiency</t>
  </si>
  <si>
    <t xml:space="preserve">All non-domestic - Stronger planning requirement for smart controls </t>
  </si>
  <si>
    <t>Extended Mayoral Programs</t>
  </si>
  <si>
    <t>Domestic CAPEX</t>
  </si>
  <si>
    <t>MEES</t>
  </si>
  <si>
    <t>Tax mechanisms</t>
  </si>
  <si>
    <t>Planning requirements</t>
  </si>
  <si>
    <t>Lighting efficiency</t>
  </si>
  <si>
    <t>Non-domestic CAPEX</t>
  </si>
  <si>
    <t>Lever controls</t>
  </si>
  <si>
    <t>User Input</t>
  </si>
  <si>
    <t>All</t>
  </si>
  <si>
    <t>Non-domestic Cooling Electricity Demand</t>
  </si>
  <si>
    <t>Desired hybrid split (percentage is percentage of heating demand allocated to both DH and heat pumps)</t>
  </si>
  <si>
    <t>Note: this is not EPC C %; these labels have just been left for now</t>
  </si>
  <si>
    <t xml:space="preserve">% heat demand in EPC C + </t>
  </si>
  <si>
    <t>Domestic - Existing</t>
  </si>
  <si>
    <t>Non-Domestic - Existing</t>
  </si>
  <si>
    <t>N/A</t>
  </si>
  <si>
    <t>INPUT FROM ARUP LEVERS MODEL</t>
  </si>
  <si>
    <t>Sheet: 1.2a Scenario Outputs edit</t>
  </si>
  <si>
    <t>concacenate</t>
  </si>
  <si>
    <t>MtCO2e</t>
  </si>
  <si>
    <t>Carbon emissions</t>
  </si>
  <si>
    <t>kWh</t>
  </si>
  <si>
    <t>Domestic heat demand</t>
  </si>
  <si>
    <t>Non-domestic heat demand</t>
  </si>
  <si>
    <t>Total domestic electricity demand</t>
  </si>
  <si>
    <t>Total non-domestic electricity demand</t>
  </si>
  <si>
    <t>Estimated additional cooking electricity demand</t>
  </si>
  <si>
    <t>%</t>
  </si>
  <si>
    <t>no. buildings</t>
  </si>
  <si>
    <t>Existing - Non-domestic ALL - Mandate on lighting efficiency</t>
  </si>
  <si>
    <t>Existing -Non-domestic ALL - Mandate on appliance efficiency</t>
  </si>
  <si>
    <t>New - Non-domestic ALL - Mandate on lighting efficiency</t>
  </si>
  <si>
    <t>New -Non-domestic ALL - Mandate on appliance efficiency</t>
  </si>
  <si>
    <t>New -Non-domestic ALL - Stronger planning requirement for smart controls</t>
  </si>
  <si>
    <t>£</t>
  </si>
  <si>
    <t>Extended Mayoral ProgramsDomestic CAPEX</t>
  </si>
  <si>
    <t>MEESDomestic CAPEX</t>
  </si>
  <si>
    <t>Tax mechanismsDomestic CAPEX</t>
  </si>
  <si>
    <t>Planning requirementsDomestic CAPEX</t>
  </si>
  <si>
    <t>Lighting efficiencyDomestic CAPEX</t>
  </si>
  <si>
    <t>Extended Mayoral ProgramsNon-domestic CAPEX</t>
  </si>
  <si>
    <t>MEESNon-domestic CAPEX</t>
  </si>
  <si>
    <t>Tax mechanismsNon-domestic CAPEX</t>
  </si>
  <si>
    <t>Planning requirementsNon-domestic CAPEX</t>
  </si>
  <si>
    <t>Lighting efficiencyNon-domestic CAPEX</t>
  </si>
  <si>
    <t>AllDomestic CAPEX</t>
  </si>
  <si>
    <t>AllNon-domestic CAPEX</t>
  </si>
  <si>
    <t>Scenario Name</t>
  </si>
  <si>
    <t>Unit</t>
  </si>
  <si>
    <t>Less effective</t>
  </si>
  <si>
    <t>More effective</t>
  </si>
  <si>
    <t>Hybrid heat pumps</t>
  </si>
  <si>
    <t>Maximum effectiveness of levers</t>
  </si>
  <si>
    <t>Blank - awaiting user to input description, Baseline</t>
  </si>
  <si>
    <t>This sheet considers that as more houses get electrically heated, more will use electricity for cooking</t>
  </si>
  <si>
    <t>THIS SCENARIO</t>
  </si>
  <si>
    <t>Input</t>
  </si>
  <si>
    <t>Sources</t>
  </si>
  <si>
    <t>Additional Domestic Cooking Electricity - Existing</t>
  </si>
  <si>
    <t>Domestic Cooking Gas - Existing</t>
  </si>
  <si>
    <t>Additional Domestic Cooking Electricity - new</t>
  </si>
  <si>
    <t>Domestic Cooking Gas - New</t>
  </si>
  <si>
    <t>Non-domestic cooking Gas - ALL</t>
  </si>
  <si>
    <t>Non-domestic cooking electricity - ALL</t>
  </si>
  <si>
    <t>Selected Region - domestic</t>
  </si>
  <si>
    <t>using heat</t>
  </si>
  <si>
    <t>Selected Region - non domestic</t>
  </si>
  <si>
    <t>% electrically heated houses</t>
  </si>
  <si>
    <t>Domestic - New</t>
  </si>
  <si>
    <t>Cooking demand</t>
  </si>
  <si>
    <t>Additional electricity - Existing</t>
  </si>
  <si>
    <t>Additional electricity - New</t>
  </si>
  <si>
    <t>Gas - Existing</t>
  </si>
  <si>
    <t>Gas - New</t>
  </si>
  <si>
    <t>ENERGY per HOUSE</t>
  </si>
  <si>
    <t>Electricity- all electric</t>
  </si>
  <si>
    <t>S:\T&amp;E Division\2 Environment\Energy\12 Strategy\1.5 Degree Action Plan\WP2\Draft final report\Models\WP2_BDM_Bridge_2018-02-12_ISSUE_CS.xlsb</t>
  </si>
  <si>
    <t>kWh/yr</t>
  </si>
  <si>
    <t>Electricity - gas oven, elec hob</t>
  </si>
  <si>
    <t>Gas - gas oven, elec hob</t>
  </si>
  <si>
    <t>Catering gas</t>
  </si>
  <si>
    <t>Number of buidings</t>
  </si>
  <si>
    <t>Existing houses</t>
  </si>
  <si>
    <t>Number</t>
  </si>
  <si>
    <t>New houses</t>
  </si>
  <si>
    <t>Existing non domestic</t>
  </si>
  <si>
    <t>New non domestic</t>
  </si>
  <si>
    <t>SCENARIO MAPPING</t>
  </si>
  <si>
    <t>This takes in inputs in the second half of the sheet and then presents the appropriate scenario at the top</t>
  </si>
  <si>
    <t>Max Uptake</t>
  </si>
  <si>
    <t>No Scrappage</t>
  </si>
  <si>
    <t>THIS SCENARIO INPUTS</t>
  </si>
  <si>
    <t>HEAT PUMP</t>
  </si>
  <si>
    <t>Domestic existing</t>
  </si>
  <si>
    <t>% Domestic existing heat</t>
  </si>
  <si>
    <t>Domestic new</t>
  </si>
  <si>
    <t>% Domestic new heat</t>
  </si>
  <si>
    <t>Non-domestic existing</t>
  </si>
  <si>
    <t>% Non-Domestic existing heat</t>
  </si>
  <si>
    <t>Non-domestic new</t>
  </si>
  <si>
    <t>% Non-Domestic new heat</t>
  </si>
  <si>
    <t>Installations per year</t>
  </si>
  <si>
    <t>Domestic hybrids</t>
  </si>
  <si>
    <t>Non-domestic hybrids</t>
  </si>
  <si>
    <t>HEAT NETWORKS</t>
  </si>
  <si>
    <t>Total Domestic</t>
  </si>
  <si>
    <t>TWh/year</t>
  </si>
  <si>
    <t>Total non-domestic</t>
  </si>
  <si>
    <t>Annual Installations</t>
  </si>
  <si>
    <t>HYDROGEN SUPPLY</t>
  </si>
  <si>
    <t>This scenario</t>
  </si>
  <si>
    <t>SMR</t>
  </si>
  <si>
    <t>% of H2 production</t>
  </si>
  <si>
    <t>SMR + CCS</t>
  </si>
  <si>
    <t>Electrolysis from grid</t>
  </si>
  <si>
    <t>Electrolysis direct from renewables</t>
  </si>
  <si>
    <t>ATR + CCS</t>
  </si>
  <si>
    <t>% hydrogen blended into gas grid</t>
  </si>
  <si>
    <t>Large industrial - gas</t>
  </si>
  <si>
    <t>% hydrogen</t>
  </si>
  <si>
    <t>Small industrial - gas</t>
  </si>
  <si>
    <t>% district heat</t>
  </si>
  <si>
    <t>RESIDUAL HEAT</t>
  </si>
  <si>
    <t>Gas boiler percentage</t>
  </si>
  <si>
    <t>Electric percentage</t>
  </si>
  <si>
    <t>Hydrogen percentage</t>
  </si>
  <si>
    <t>% gas that is hydrogen</t>
  </si>
  <si>
    <t>TRANSPORT CHANGES BY SCENARIO</t>
  </si>
  <si>
    <t>Artic HGV</t>
  </si>
  <si>
    <t>Coach</t>
  </si>
  <si>
    <t>Double Decker buses</t>
  </si>
  <si>
    <t>HEAT PUMPS INPUTS</t>
  </si>
  <si>
    <t>This takes in all info from Element model for redistribution to other sheets</t>
  </si>
  <si>
    <t>LOW</t>
  </si>
  <si>
    <t>MEDIUM</t>
  </si>
  <si>
    <t>NO SCRAPPAGE</t>
  </si>
  <si>
    <t>HIGH</t>
  </si>
  <si>
    <t>RESIDUAL HEAT INPUTS</t>
  </si>
  <si>
    <t>DOMESTIC</t>
  </si>
  <si>
    <t>used for DH</t>
  </si>
  <si>
    <t>NON DOMESTIC</t>
  </si>
  <si>
    <t>HYDROGEN INPUTS</t>
  </si>
  <si>
    <t>Production Source</t>
  </si>
  <si>
    <t>Rapid Progress</t>
  </si>
  <si>
    <t>Industrial Uptake</t>
  </si>
  <si>
    <t>District Heat Uptake</t>
  </si>
  <si>
    <t>Total DomesticTWh/yearLow Uptake</t>
  </si>
  <si>
    <t>Total non-domesticTWh/yearLow Uptake</t>
  </si>
  <si>
    <t>Domestic existingTWh/yearLow Uptake</t>
  </si>
  <si>
    <t>Domestic newTWh/yearLow Uptake</t>
  </si>
  <si>
    <t>Non-domestic existingTWh/yearLow Uptake</t>
  </si>
  <si>
    <t>Non-domestic newTWh/yearLow Uptake</t>
  </si>
  <si>
    <t>Domestic existingAnnual InstallationsLow Uptake</t>
  </si>
  <si>
    <t>Domestic newAnnual InstallationsLow Uptake</t>
  </si>
  <si>
    <t>Non-domestic existingAnnual InstallationsLow Uptake</t>
  </si>
  <si>
    <t>Non-domestic newAnnual InstallationsLow Uptake</t>
  </si>
  <si>
    <t>Total DomesticTWh/yearMedium Uptake</t>
  </si>
  <si>
    <t>Total non-domesticTWh/yearMedium Uptake</t>
  </si>
  <si>
    <t>Domestic existingTWh/yearMedium Uptake</t>
  </si>
  <si>
    <t>Domestic newTWh/yearMedium Uptake</t>
  </si>
  <si>
    <t>Non-domestic existingTWh/yearMedium Uptake</t>
  </si>
  <si>
    <t>Non-domestic newTWh/yearMedium Uptake</t>
  </si>
  <si>
    <t>Domestic existingAnnual InstallationsMedium Uptake</t>
  </si>
  <si>
    <t>Domestic newAnnual InstallationsMedium Uptake</t>
  </si>
  <si>
    <t>Non-domestic existingAnnual InstallationsMedium Uptake</t>
  </si>
  <si>
    <t>Non-domestic newAnnual InstallationsMedium Uptake</t>
  </si>
  <si>
    <t>MAX</t>
  </si>
  <si>
    <t>Total DomesticTWh/yearhigh Uptake</t>
  </si>
  <si>
    <t>Total non-domesticTWh/yearhigh Uptake</t>
  </si>
  <si>
    <t>Domestic existingTWh/yearhigh Uptake</t>
  </si>
  <si>
    <t>Domestic newTWh/yearhigh Uptake</t>
  </si>
  <si>
    <t>Non-domestic existingTWh/yearhigh Uptake</t>
  </si>
  <si>
    <t>Non-domestic newTWh/yearhigh Uptake</t>
  </si>
  <si>
    <t>Domestic existingAnnual Installationshigh Uptake</t>
  </si>
  <si>
    <t>Domestic newAnnual Installationshigh Uptake</t>
  </si>
  <si>
    <t>Non-domestic existingAnnual Installationshigh Uptake</t>
  </si>
  <si>
    <t>Non-domestic newAnnual Installationshigh Uptake</t>
  </si>
  <si>
    <t>Heat supply (MWh)</t>
  </si>
  <si>
    <t>Fuel demands (MWh)</t>
  </si>
  <si>
    <t>CO2</t>
  </si>
  <si>
    <t>HDCS</t>
  </si>
  <si>
    <t>non constrained demand</t>
  </si>
  <si>
    <t>MDMS</t>
  </si>
  <si>
    <t>LDDS</t>
  </si>
  <si>
    <t xml:space="preserve">Gas demand </t>
  </si>
  <si>
    <t>Electricity demand</t>
  </si>
  <si>
    <t>Electricity offset</t>
  </si>
  <si>
    <t>Co2 emissions (tCO2)</t>
  </si>
  <si>
    <t>Large power &amp; industrial</t>
  </si>
  <si>
    <t>Commercial</t>
  </si>
  <si>
    <t>Building Heat Rejection</t>
  </si>
  <si>
    <t>Sewer heat mining</t>
  </si>
  <si>
    <t>Air Source Heat Pumps</t>
  </si>
  <si>
    <t>Gas boiler (or hydrogen)</t>
  </si>
  <si>
    <t>2015 Pre exisitng networks</t>
  </si>
  <si>
    <t>Would like to do: have actual numbers behind this - LAEI update</t>
  </si>
  <si>
    <t xml:space="preserve">LAEI emissions </t>
  </si>
  <si>
    <t>https://data.london.gov.uk/dataset/london-atmospheric-emissions-inventory-2013</t>
  </si>
  <si>
    <t>This is used to allocate transport etc to boroughs</t>
  </si>
  <si>
    <t xml:space="preserve"> Road Transport -tonnes CO2 /yr</t>
  </si>
  <si>
    <t xml:space="preserve"> Road Transport -proportion CO2 /yr</t>
  </si>
  <si>
    <t>Barking and Dagenham</t>
  </si>
  <si>
    <t>Barnet</t>
  </si>
  <si>
    <t>Bexley</t>
  </si>
  <si>
    <t>Brent</t>
  </si>
  <si>
    <t>Bromley</t>
  </si>
  <si>
    <t>Camden</t>
  </si>
  <si>
    <t>City of London</t>
  </si>
  <si>
    <t>Westminster</t>
  </si>
  <si>
    <t>Croydon</t>
  </si>
  <si>
    <t>Ealing</t>
  </si>
  <si>
    <t>Enfield</t>
  </si>
  <si>
    <t>Greenwich</t>
  </si>
  <si>
    <t>Hackney</t>
  </si>
  <si>
    <t>Hammersmith and Fulham</t>
  </si>
  <si>
    <t>Haringey</t>
  </si>
  <si>
    <t>Harrow</t>
  </si>
  <si>
    <t>Havering</t>
  </si>
  <si>
    <t>Hillingdon</t>
  </si>
  <si>
    <t>Hounslow</t>
  </si>
  <si>
    <t>Islington</t>
  </si>
  <si>
    <t>Kensington and Chelsea</t>
  </si>
  <si>
    <t>Kingston</t>
  </si>
  <si>
    <t>Kingston upon Thames</t>
  </si>
  <si>
    <t>Lambeth</t>
  </si>
  <si>
    <t>Lewisham</t>
  </si>
  <si>
    <t>Merton</t>
  </si>
  <si>
    <t>Newham</t>
  </si>
  <si>
    <t>Redbridge</t>
  </si>
  <si>
    <t>Richmond upon Thames</t>
  </si>
  <si>
    <t>Southwark</t>
  </si>
  <si>
    <t>Sutton</t>
  </si>
  <si>
    <t>Tower Hamlets</t>
  </si>
  <si>
    <t>Waltham Forest</t>
  </si>
  <si>
    <t>Wandsworth</t>
  </si>
  <si>
    <t>Inner London</t>
  </si>
  <si>
    <t>Outer London</t>
  </si>
  <si>
    <t>Selected region</t>
  </si>
  <si>
    <t xml:space="preserve"> Aviation -tonnes CO2 /yr</t>
  </si>
  <si>
    <t xml:space="preserve"> Aviation -proportion CO2 /yr</t>
  </si>
  <si>
    <t xml:space="preserve"> River -tonnes CO2 /yr</t>
  </si>
  <si>
    <t xml:space="preserve"> River -proportion CO2 /yr</t>
  </si>
  <si>
    <t xml:space="preserve"> Rail -tonnes CO2 /yr</t>
  </si>
  <si>
    <t xml:space="preserve"> Rail -proportion CO2 /yr</t>
  </si>
  <si>
    <t xml:space="preserve"> NRMM -tonnes CO2 /yr</t>
  </si>
  <si>
    <t xml:space="preserve"> NRMM -proportion CO2 /yr</t>
  </si>
  <si>
    <t xml:space="preserve">Landfill -tonnes CO2 /yr </t>
  </si>
  <si>
    <t>Landfill -proportion CO2 /yr</t>
  </si>
  <si>
    <t xml:space="preserve">Industry - tonnes CO2 /yr </t>
  </si>
  <si>
    <t>Industrial and Other Emissions</t>
  </si>
  <si>
    <r>
      <rPr>
        <b/>
        <sz val="11"/>
        <rFont val="Calibri"/>
        <family val="2"/>
        <scheme val="minor"/>
      </rPr>
      <t>Rail transport</t>
    </r>
    <r>
      <rPr>
        <sz val="11"/>
        <rFont val="Calibri"/>
        <family val="2"/>
        <scheme val="minor"/>
      </rPr>
      <t xml:space="preserve">
• Assumes additional energy demand from increased rail services. Scenario 1 includes only currently funded schemes, Scenarios 2 and 3 includes the impact of all proposed additional rail services (including Crossrail 2)
• Assumes no electrification of rail services beyond current programmes
</t>
    </r>
    <r>
      <rPr>
        <b/>
        <sz val="11"/>
        <rFont val="Calibri"/>
        <family val="2"/>
        <scheme val="minor"/>
      </rPr>
      <t>River emissions</t>
    </r>
    <r>
      <rPr>
        <sz val="11"/>
        <rFont val="Calibri"/>
        <family val="2"/>
        <scheme val="minor"/>
      </rPr>
      <t xml:space="preserve">
• Emissions from river transport are currently under review as part of work by TfL and the Port of London Authority, and will be updated in the next LAEI</t>
    </r>
  </si>
  <si>
    <t>Active Scenario</t>
  </si>
  <si>
    <t>Industrial Emissions</t>
  </si>
  <si>
    <t>Large industrial - electricity</t>
  </si>
  <si>
    <t>MWh</t>
  </si>
  <si>
    <t>Large industrial - hydrogen</t>
  </si>
  <si>
    <t>Large industry - electricity emissions</t>
  </si>
  <si>
    <r>
      <t>tCO</t>
    </r>
    <r>
      <rPr>
        <vertAlign val="subscript"/>
        <sz val="11"/>
        <rFont val="Calibri"/>
        <family val="2"/>
        <scheme val="minor"/>
      </rPr>
      <t>2</t>
    </r>
  </si>
  <si>
    <t>Large industry - gas emissions</t>
  </si>
  <si>
    <t>Large industry emissions</t>
  </si>
  <si>
    <t>IPPU</t>
  </si>
  <si>
    <t>% reduction assumption for balancing figure</t>
  </si>
  <si>
    <t>Total Industrial Emissions</t>
  </si>
  <si>
    <r>
      <t>ktCO</t>
    </r>
    <r>
      <rPr>
        <vertAlign val="subscript"/>
        <sz val="11"/>
        <rFont val="Calibri"/>
        <family val="2"/>
        <scheme val="minor"/>
      </rPr>
      <t>2</t>
    </r>
  </si>
  <si>
    <t>Scenario Specific Industrial Emissions</t>
  </si>
  <si>
    <r>
      <t>tCO</t>
    </r>
    <r>
      <rPr>
        <vertAlign val="subscript"/>
        <sz val="11"/>
        <rFont val="Calibri"/>
        <family val="2"/>
        <scheme val="minor"/>
      </rPr>
      <t>2</t>
    </r>
    <r>
      <rPr>
        <sz val="11"/>
        <rFont val="Calibri"/>
        <family val="2"/>
        <scheme val="minor"/>
      </rPr>
      <t>e</t>
    </r>
  </si>
  <si>
    <t>Other Emissions (Greater London)</t>
  </si>
  <si>
    <r>
      <t>ktCO</t>
    </r>
    <r>
      <rPr>
        <vertAlign val="subscript"/>
        <sz val="11"/>
        <color indexed="8"/>
        <rFont val="Calibri"/>
        <family val="2"/>
      </rPr>
      <t>2</t>
    </r>
    <r>
      <rPr>
        <sz val="11"/>
        <color theme="1"/>
        <rFont val="Calibri"/>
        <family val="2"/>
        <scheme val="minor"/>
      </rPr>
      <t/>
    </r>
  </si>
  <si>
    <t xml:space="preserve"> </t>
  </si>
  <si>
    <t>Proportion of emissions in selected region</t>
  </si>
  <si>
    <t>Total Aviation Emissions</t>
  </si>
  <si>
    <t>Total River Emissions</t>
  </si>
  <si>
    <t>Non-road mobile machinery</t>
  </si>
  <si>
    <t>Total NRMM Emissions</t>
  </si>
  <si>
    <r>
      <t>ktCO</t>
    </r>
    <r>
      <rPr>
        <vertAlign val="subscript"/>
        <sz val="11"/>
        <color indexed="8"/>
        <rFont val="Calibri"/>
        <family val="2"/>
      </rPr>
      <t>2</t>
    </r>
    <r>
      <rPr>
        <sz val="11"/>
        <color indexed="8"/>
        <rFont val="Calibri"/>
        <family val="2"/>
      </rPr>
      <t>e</t>
    </r>
  </si>
  <si>
    <t>Total Waste Emissions</t>
  </si>
  <si>
    <t>Total AFOLU Emissions</t>
  </si>
  <si>
    <t>Inputs</t>
  </si>
  <si>
    <t>NRMM</t>
  </si>
  <si>
    <t>these are not disaggregated by selected region; that happens in the cells below</t>
  </si>
  <si>
    <t>National Rail - Electric</t>
  </si>
  <si>
    <t>National Rail - Diesel</t>
  </si>
  <si>
    <r>
      <t>tCO</t>
    </r>
    <r>
      <rPr>
        <vertAlign val="subscript"/>
        <sz val="11"/>
        <color indexed="8"/>
        <rFont val="Calibri"/>
        <family val="2"/>
      </rPr>
      <t>2</t>
    </r>
    <r>
      <rPr>
        <sz val="11"/>
        <color theme="1"/>
        <rFont val="Calibri"/>
        <family val="2"/>
        <scheme val="minor"/>
      </rPr>
      <t/>
    </r>
  </si>
  <si>
    <t>London Underground / DLR / Tram</t>
  </si>
  <si>
    <t>Emissions reduction pathways</t>
  </si>
  <si>
    <t>Selected scenario</t>
  </si>
  <si>
    <t>London Underground / DLR / Tram - Electric</t>
  </si>
  <si>
    <t>London Underground / DLR / Tram - CO2</t>
  </si>
  <si>
    <t>Total Rail Emissions (selected region)</t>
  </si>
  <si>
    <t>Selected Transport &amp; Industrial Electricity Demand</t>
  </si>
  <si>
    <t>TFL Transport Data</t>
  </si>
  <si>
    <t>Small industrial - electricity</t>
  </si>
  <si>
    <t>Total Industrial emissions</t>
  </si>
  <si>
    <t>Comment</t>
  </si>
  <si>
    <t>Checked</t>
  </si>
  <si>
    <t>Selected Borough</t>
  </si>
  <si>
    <t>Higher ambition</t>
  </si>
  <si>
    <t>Non-domestic</t>
  </si>
  <si>
    <t>Carbon Emissions Factors</t>
  </si>
  <si>
    <t>Natural Gas</t>
  </si>
  <si>
    <t>All others</t>
  </si>
  <si>
    <t>kgCO2/kWh</t>
  </si>
  <si>
    <t>https://www.gov.uk/government/uploads/system/uploads/attachment_data/file/224437/pb13988-emission-factor-methodology-130719.pdf</t>
  </si>
  <si>
    <t>Remains Constant</t>
  </si>
  <si>
    <t>from Element</t>
  </si>
  <si>
    <t>For Decentralised and Patchwork scenarios</t>
  </si>
  <si>
    <t>Selected Gas Carbon Trajectory</t>
  </si>
  <si>
    <t>Average Emissions Factors</t>
  </si>
  <si>
    <t>Electricty decarbonisation in model: Grid average</t>
  </si>
  <si>
    <t>2015 Factor Unchanged</t>
  </si>
  <si>
    <t>https://www.theccc.org.uk/publication/2017-report-to-parliament-meeting-carbon-budgets-closing-the-policy-gap/</t>
  </si>
  <si>
    <t>https://www.gov.uk/government/publications/valuation-of-energy-use-and-greenhouse-gas-emissions-for-appraisal</t>
  </si>
  <si>
    <t>Domestic trajectory</t>
  </si>
  <si>
    <t>Updated for 2020 (published in 2021)</t>
  </si>
  <si>
    <t>Note that once the emissions fall below 0 kg/kWh in the FES trajectory, this trajectory is set to zero. For 2015-2019, the BEIS 2020 Green Book emission factor values are used</t>
  </si>
  <si>
    <t>BEIS 2017 EF</t>
  </si>
  <si>
    <t>Selected Electricity Carbon Trajectory</t>
  </si>
  <si>
    <t>Marginal Emissions Factors</t>
  </si>
  <si>
    <t>BEIS Long Run Marginal Emissions Factor (Domestic)</t>
  </si>
  <si>
    <t>BEIS Long Run Marginal Emissions Factor (Commercial/Public Sector)</t>
  </si>
  <si>
    <t>Blended marginal emission factor</t>
  </si>
  <si>
    <t>BEIS generation based emissions for CHP</t>
  </si>
  <si>
    <t>Production Methods</t>
  </si>
  <si>
    <t>Method</t>
  </si>
  <si>
    <t>Fuel</t>
  </si>
  <si>
    <t>kWh input / kWh H2</t>
  </si>
  <si>
    <t>% H2 production</t>
  </si>
  <si>
    <t>CCS Efficiency</t>
  </si>
  <si>
    <t>Energy Input required</t>
  </si>
  <si>
    <t>Calculation</t>
  </si>
  <si>
    <t>kWh / kWh H2</t>
  </si>
  <si>
    <t>Hydrogen for combustion - selected scenario</t>
  </si>
  <si>
    <t>New data added by Element Energy in 2021 - the below are hard-coded hydrogen emissions factors, by scenario</t>
  </si>
  <si>
    <t>Hydrogen for combustion</t>
  </si>
  <si>
    <t>Hydrogen for transport</t>
  </si>
  <si>
    <t>Production share</t>
  </si>
  <si>
    <t>ATR+CCS</t>
  </si>
  <si>
    <t>Electrolysis</t>
  </si>
  <si>
    <t>Energy input</t>
  </si>
  <si>
    <t>Emissions</t>
  </si>
  <si>
    <t>Production intensity</t>
  </si>
  <si>
    <t>Trailer transport</t>
  </si>
  <si>
    <t>Source: Based on Hydrogen to Smarter Mobility, Element Energy modelling for Transport Systems Catapult; assumes 1,000 kg per trailer with 200 km trip distance and 1 trip per trailer per day, with the share of diesel truck vs FCEV truck varying in line with the fleet share in each scenario</t>
  </si>
  <si>
    <t>Total transport:</t>
  </si>
  <si>
    <t>Label 1</t>
  </si>
  <si>
    <t>Label 2</t>
  </si>
  <si>
    <t>Plant efficiencies</t>
  </si>
  <si>
    <t>Domestic Heating Plant</t>
  </si>
  <si>
    <t>Technology</t>
  </si>
  <si>
    <t>Gas Boilers</t>
  </si>
  <si>
    <t>Natural gas</t>
  </si>
  <si>
    <t>Electric Heating</t>
  </si>
  <si>
    <t>UPDATED ON ELEMENT ADVICE</t>
  </si>
  <si>
    <t>% supplied by heat pump as opposed to gas boiler</t>
  </si>
  <si>
    <t>Heat networks</t>
  </si>
  <si>
    <t>Element</t>
  </si>
  <si>
    <t>Non-Domestic Heating Plant</t>
  </si>
  <si>
    <t>Domestic Cooling Plant</t>
  </si>
  <si>
    <t>Stand-alone Air Con</t>
  </si>
  <si>
    <t>from BDM</t>
  </si>
  <si>
    <t>Heat Pump Cool</t>
  </si>
  <si>
    <t>Fixed Air Con</t>
  </si>
  <si>
    <t xml:space="preserve">Non-Domestic Cooling Plant </t>
  </si>
  <si>
    <t>fromBDM</t>
  </si>
  <si>
    <t>System Proportions</t>
  </si>
  <si>
    <t>Domestic Portable Room Cooling</t>
  </si>
  <si>
    <t>Domestic reverse heat pump cooling Supply</t>
  </si>
  <si>
    <t>Domestic whole house cooling Supply</t>
  </si>
  <si>
    <t>Non-Domestic Air Chiller / Split Systems</t>
  </si>
  <si>
    <t>Non-Domestic Water Cooled Chiller / VRF</t>
  </si>
  <si>
    <t>Non-Domestic Ground Cooling</t>
  </si>
  <si>
    <t>Pro rated average cooling efficiencies</t>
  </si>
  <si>
    <t>Non Domestic</t>
  </si>
  <si>
    <t>Power</t>
  </si>
  <si>
    <t>Wind</t>
  </si>
  <si>
    <t>PV</t>
  </si>
  <si>
    <t>Hydro</t>
  </si>
  <si>
    <t>mCHP</t>
  </si>
  <si>
    <t>Heat network CHP</t>
  </si>
  <si>
    <t>Accounted in heat emissions</t>
  </si>
  <si>
    <t>Direct electric</t>
  </si>
  <si>
    <t>Domestic heat</t>
  </si>
  <si>
    <t>Other domestic</t>
  </si>
  <si>
    <t>Non-domestic heat</t>
  </si>
  <si>
    <t>Other non-domestic</t>
  </si>
  <si>
    <t>Electric vehicles</t>
  </si>
  <si>
    <t>Hydrogen vehicles</t>
  </si>
  <si>
    <t>Underground, rail, DLR</t>
  </si>
  <si>
    <t>DH baseload heat pumps</t>
  </si>
  <si>
    <t>DH peaking heat pumps</t>
  </si>
  <si>
    <t xml:space="preserve">Rows below </t>
  </si>
  <si>
    <t>Scenario costs</t>
  </si>
  <si>
    <t>Component 1</t>
  </si>
  <si>
    <t>Component 2</t>
  </si>
  <si>
    <t>Component 3</t>
  </si>
  <si>
    <t>Note that these are the unajusted costs; the energy efficiency costs are adjusted at a later point in the calculations</t>
  </si>
  <si>
    <t>Heat Pumps &amp; HHP</t>
  </si>
  <si>
    <t>PV &amp; Solar thermal</t>
  </si>
  <si>
    <t>Hydrogen Heating</t>
  </si>
  <si>
    <t>Smart and storage</t>
  </si>
  <si>
    <t>Electricity grid</t>
  </si>
  <si>
    <t>EV charging</t>
  </si>
  <si>
    <t>Hydrogen Refuelling</t>
  </si>
  <si>
    <t>Gas (including bio gas) Fuel Cost</t>
  </si>
  <si>
    <t>Petrol and diesel costs</t>
  </si>
  <si>
    <t>Electricity cost</t>
  </si>
  <si>
    <t>Hydrogen Fuel Cost</t>
  </si>
  <si>
    <t>£bn/yr</t>
  </si>
  <si>
    <t>Cumulative Total</t>
  </si>
  <si>
    <t>£bn</t>
  </si>
  <si>
    <t>Total building level &amp; infrastructure cost</t>
  </si>
  <si>
    <t>Cumulative building level &amp; infrastructure costs</t>
  </si>
  <si>
    <t>Building level costs</t>
  </si>
  <si>
    <t>£m/yr</t>
  </si>
  <si>
    <t>Cumulative</t>
  </si>
  <si>
    <t>£m</t>
  </si>
  <si>
    <t>DH (HIU &amp; low T)</t>
  </si>
  <si>
    <t>Solar thermal</t>
  </si>
  <si>
    <t>Hydrogen Boilers</t>
  </si>
  <si>
    <t>Smart installation</t>
  </si>
  <si>
    <t>Electricity storage</t>
  </si>
  <si>
    <t>Add. thermal storage</t>
  </si>
  <si>
    <t>Infrastructure</t>
  </si>
  <si>
    <t>Electricity grid upgrades</t>
  </si>
  <si>
    <t>Network storage &amp; add. generation</t>
  </si>
  <si>
    <t>Hydrogen grid</t>
  </si>
  <si>
    <t>Hydrogen refuelling</t>
  </si>
  <si>
    <t>Fuel costs</t>
  </si>
  <si>
    <t>Electricity for buildings</t>
  </si>
  <si>
    <t>Electricity for transport</t>
  </si>
  <si>
    <t>Hydrogen for buildings</t>
  </si>
  <si>
    <t>Biogas</t>
  </si>
  <si>
    <t>Building level costs - CAPEX only</t>
  </si>
  <si>
    <t>Consumer/non-consumer cost split</t>
  </si>
  <si>
    <t>Total consumer</t>
  </si>
  <si>
    <t>Cumulative consumer</t>
  </si>
  <si>
    <t>Fuel for buildings</t>
  </si>
  <si>
    <t>Fuel for transport</t>
  </si>
  <si>
    <t>Consumer transport infrastructure</t>
  </si>
  <si>
    <t>Total Non-consumer</t>
  </si>
  <si>
    <t>Cumulative Non-consumer</t>
  </si>
  <si>
    <t>DH system costs</t>
  </si>
  <si>
    <t>Electricity system upgrades</t>
  </si>
  <si>
    <t>Gas networks</t>
  </si>
  <si>
    <t>Transport infrastructure</t>
  </si>
  <si>
    <t>Backbone</t>
  </si>
  <si>
    <t>These variables and calculations have been added to allow for the domestic &amp; non-domestic energy efficiency costs to be varied at a future date</t>
  </si>
  <si>
    <t>Note that these costs are total costs, from 2020 to 2050; if these are adjusted then the in-year costs are scaled by the ratio of (total desired energy efficiency costs)/(total default energy efficiency costs), in each year</t>
  </si>
  <si>
    <t>Desired energy efficiency costs - can be changed by user</t>
  </si>
  <si>
    <t>Total cost - 2020 to 2050</t>
  </si>
  <si>
    <t>Change these values if desired</t>
  </si>
  <si>
    <t>Domestic (£)</t>
  </si>
  <si>
    <r>
      <t xml:space="preserve">Based on fabric costs from Net Zero scenario in </t>
    </r>
    <r>
      <rPr>
        <i/>
        <sz val="11"/>
        <color theme="1"/>
        <rFont val="Calibri"/>
        <family val="2"/>
        <scheme val="minor"/>
      </rPr>
      <t xml:space="preserve">London Councils Pathways Report </t>
    </r>
    <r>
      <rPr>
        <sz val="11"/>
        <color theme="1"/>
        <rFont val="Calibri"/>
        <family val="2"/>
        <scheme val="minor"/>
      </rPr>
      <t>(Parity Projects for London Councils, (2021) (average cost per property for fabric upgrades of £4,002; £37.1bn total) and hot water and lighting efficiency costs from the Arup Levers model (£4.7bn total, equivalent to approximately £500 per property, assuming same number of properties receiving hot water upgrades as fabric retrofit)</t>
    </r>
  </si>
  <si>
    <t>Non-domestic (£)</t>
  </si>
  <si>
    <t>Based on costs from Arup Levers model (2018)</t>
  </si>
  <si>
    <t>Total (£)</t>
  </si>
  <si>
    <t>Default energy efficiency costs - DO NOT CHANGE</t>
  </si>
  <si>
    <t>REGIONAL ALLOCATION</t>
  </si>
  <si>
    <t>Can do: move borough 2015 carbon stats to population and baseline sheet</t>
  </si>
  <si>
    <t>Would like to: delete the rest of the sheet</t>
  </si>
  <si>
    <t>Borough name</t>
  </si>
  <si>
    <t>Area (Hectares)</t>
  </si>
  <si>
    <t>Proportion area classified as conservation area</t>
  </si>
  <si>
    <t>2013 Number of Homes</t>
  </si>
  <si>
    <t>2020 Number of Homes</t>
  </si>
  <si>
    <t>2025 Number of Homes</t>
  </si>
  <si>
    <t>2030 Number of Homes</t>
  </si>
  <si>
    <t>2040 Number of Homes</t>
  </si>
  <si>
    <t>2050 Number of Homes</t>
  </si>
  <si>
    <t>% of new build which are flats</t>
  </si>
  <si>
    <t>number of new builds by 2050</t>
  </si>
  <si>
    <t>% solid wall</t>
  </si>
  <si>
    <t>% cavity filled</t>
  </si>
  <si>
    <t>% cavity empty</t>
  </si>
  <si>
    <t>Owned outright</t>
  </si>
  <si>
    <t>Owned with a mortgage or loan</t>
  </si>
  <si>
    <t xml:space="preserve">Shared ownership </t>
  </si>
  <si>
    <t xml:space="preserve">Rented from council </t>
  </si>
  <si>
    <t xml:space="preserve">Other social rented </t>
  </si>
  <si>
    <t>Private landlord or letting agency</t>
  </si>
  <si>
    <t>Other private rented</t>
  </si>
  <si>
    <t>Living rent free</t>
  </si>
  <si>
    <t>All Dwellings</t>
  </si>
  <si>
    <t>Detached</t>
  </si>
  <si>
    <t>Semi-Detached</t>
  </si>
  <si>
    <t>Terraced</t>
  </si>
  <si>
    <t>Purpose-Built Flats</t>
  </si>
  <si>
    <t xml:space="preserve"> Converted Flats</t>
  </si>
  <si>
    <t>Flats in Commercial Building</t>
  </si>
  <si>
    <t>Total Current Floorspace</t>
  </si>
  <si>
    <t>Retail</t>
  </si>
  <si>
    <t>Restaurants</t>
  </si>
  <si>
    <t>Offices</t>
  </si>
  <si>
    <t>Industial</t>
  </si>
  <si>
    <t>Storage and distribution</t>
  </si>
  <si>
    <t>Hotels</t>
  </si>
  <si>
    <t>Residential Institutions</t>
  </si>
  <si>
    <t xml:space="preserve"> Education</t>
  </si>
  <si>
    <t>Health</t>
  </si>
  <si>
    <t>Other</t>
  </si>
  <si>
    <t xml:space="preserve"> Leisure </t>
  </si>
  <si>
    <t>Gas domestic consumption (kWh)</t>
  </si>
  <si>
    <t>Electricity domestic consumption (kWh)</t>
  </si>
  <si>
    <t>Number of domestic gas meters</t>
  </si>
  <si>
    <t>Non dom building footprint (m2)</t>
  </si>
  <si>
    <t>House Electricity Demand</t>
  </si>
  <si>
    <t>House Heat Demand</t>
  </si>
  <si>
    <t>London Average</t>
  </si>
  <si>
    <t>per house</t>
  </si>
  <si>
    <t>RESIDUAL HEAT BY BOROUGH</t>
  </si>
  <si>
    <t>Domestic new build percentage</t>
  </si>
  <si>
    <t>Non-domestic new build percentage</t>
  </si>
  <si>
    <t>Non Domestic Heat Demand</t>
  </si>
  <si>
    <t>Domestic Electricity Demand</t>
  </si>
  <si>
    <t xml:space="preserve">Non-Domestic Electricity Demand </t>
  </si>
  <si>
    <t xml:space="preserve">Domestic Cooling Electricity Demand </t>
  </si>
  <si>
    <t xml:space="preserve">Non-Domestic Cooling Electricity Demand </t>
  </si>
  <si>
    <t xml:space="preserve">% Domestic Heat Demand met by Gas Boilers  </t>
  </si>
  <si>
    <t xml:space="preserve">% Domestic Heat Demand met by Electric Heatg  </t>
  </si>
  <si>
    <t xml:space="preserve">% Domestic Heat Demand met by Heat Pumps   </t>
  </si>
  <si>
    <t xml:space="preserve">% Domestic Heat Demand met by Solar Thermal   </t>
  </si>
  <si>
    <t xml:space="preserve">% Domestic Heat Demand met by mCHP  </t>
  </si>
  <si>
    <t xml:space="preserve">% Non-domestic Heat Demand met by Gas Boilers  </t>
  </si>
  <si>
    <t xml:space="preserve">% Non-domestic heat demand met by Electric Heating  </t>
  </si>
  <si>
    <t xml:space="preserve">% Non-domestic heat demand met by Heat Pumps  </t>
  </si>
  <si>
    <t xml:space="preserve">% Non-domestic heat demand met by Solar Thermal  </t>
  </si>
  <si>
    <t xml:space="preserve">% Non-domestic heat demand met by mCHP  </t>
  </si>
  <si>
    <t xml:space="preserve">% Domestic Cooling  Air Chiller Electricity </t>
  </si>
  <si>
    <t xml:space="preserve">% Domestic Cooling Water Chiller Electricity </t>
  </si>
  <si>
    <t xml:space="preserve">% Domestic Cooling Ground Cooling Electricity </t>
  </si>
  <si>
    <t xml:space="preserve">% Non-Domestic Cooling Air Chiller Electricity </t>
  </si>
  <si>
    <t xml:space="preserve">% Non-Domestic Cooling Water Chiller Electricity </t>
  </si>
  <si>
    <t xml:space="preserve">% Non-Domestic Cooling Ground Cooling Electricity </t>
  </si>
  <si>
    <t>From previous ZCPT</t>
  </si>
  <si>
    <t>This allocates buildings inputs by borough</t>
  </si>
  <si>
    <t>selected borough</t>
  </si>
  <si>
    <t>% domestic energy</t>
  </si>
  <si>
    <t>%non domestic energy</t>
  </si>
  <si>
    <t>Domestic Heat Demand - 2015</t>
  </si>
  <si>
    <t>Domestic Heat Demand - 2025</t>
  </si>
  <si>
    <t>Domestic Heat Demand - 2050</t>
  </si>
  <si>
    <t>Non Domestic Heat Demand - 2015</t>
  </si>
  <si>
    <t>Non Domestic Heat Demand - 2025</t>
  </si>
  <si>
    <t>Non Domestic Heat Demand - 2050</t>
  </si>
  <si>
    <t>Domestic Electricity Demand 2015</t>
  </si>
  <si>
    <t>Domestic Electricity Demand 2025</t>
  </si>
  <si>
    <t>Domestic Electricity Demand 2050</t>
  </si>
  <si>
    <t>Non-Domestic Electricity Demand 2015</t>
  </si>
  <si>
    <t>Non-Domestic Electricity Demand 2025</t>
  </si>
  <si>
    <t>Non-Domestic Electricity Demand 2050</t>
  </si>
  <si>
    <t>Domestic Cooling Electricity Demand 2015</t>
  </si>
  <si>
    <t>Domestic Cooling Electricity Demand 2025</t>
  </si>
  <si>
    <t>Domestic Cooling Electricity Demand 2050</t>
  </si>
  <si>
    <t>Non-Domestic Cooling Electricity Demand 2015</t>
  </si>
  <si>
    <t>Non-Domestic Cooling Electricity Demand 2025</t>
  </si>
  <si>
    <t>Non-Domestic Cooling Electricity Demand 2050</t>
  </si>
  <si>
    <t>% Domestic Heat Demand met by Gas Boilers in 2015</t>
  </si>
  <si>
    <t>% Domestic Heat Demand met by Electric Heating in 2015</t>
  </si>
  <si>
    <t>% Domestic Heat Demand met by Heat Pumps  in 2015</t>
  </si>
  <si>
    <t>% Domestic Heat Demand met by Solar Thermal  in 2015</t>
  </si>
  <si>
    <t>% Domestic Heat Demand met by mCHP in 2015</t>
  </si>
  <si>
    <t>% Domestic Heat Demand met by Gas Boilers in 2025</t>
  </si>
  <si>
    <t>% Domestic Heat Demand met by Electric  Heating in 2025</t>
  </si>
  <si>
    <t>% Domestic Heat Demand met by Heat Pumps  in 2025</t>
  </si>
  <si>
    <t>% Domestic Heat Demand met by Solar Thermal in 2025</t>
  </si>
  <si>
    <t>% Domestic Heat Demand met by mCHP in 2025</t>
  </si>
  <si>
    <t>% Domestic Heat Demand met by Gas Boilers in 2050</t>
  </si>
  <si>
    <t>% Domestic Heat Demand met by Electric  Heating in 2050</t>
  </si>
  <si>
    <t>% Domestic Heat Demand met by Heat Pumps  in 2050</t>
  </si>
  <si>
    <t>% Domestic Heat Demand met by Solar Thermal in 2050</t>
  </si>
  <si>
    <t>% Domestic Heat Demand met by mCHP in 2050</t>
  </si>
  <si>
    <t>% Non-domestic Heat Demand met by Gas Boilers in 2015</t>
  </si>
  <si>
    <t>% Non-domestic heat demand met by Electric Heating in 2015</t>
  </si>
  <si>
    <t>% Non-domestic heat demand met by Heat Pumps in 2015</t>
  </si>
  <si>
    <t>% Non-domestic heat demand met by Solar Thermal in 2015</t>
  </si>
  <si>
    <t>% Non-domestic heat demand met by mCHP in 2015</t>
  </si>
  <si>
    <t>% Non-domestic Heat Demand  met by Gas Boilers in 2025</t>
  </si>
  <si>
    <t>% Non-domestic Heat Demand  met by Electric Heating in 2025</t>
  </si>
  <si>
    <t>% Non-domestic Heat Demand  met by Heat Pumps in 2025</t>
  </si>
  <si>
    <t>% Non-domestic Heat Demand  met by Solar Thermal in 2025</t>
  </si>
  <si>
    <t>% Non-domestic Heat Demand  met by mCHP in 2025</t>
  </si>
  <si>
    <t>% Non-domestic Heat Demand  met by Gas Boilers in 2050</t>
  </si>
  <si>
    <t>% Non-domestic Heat Demand  met by Electric Heating in 2050</t>
  </si>
  <si>
    <t>% Non-domestic Heat Demand  met by Heat Pumps  in 2050</t>
  </si>
  <si>
    <t>% Non-domestic Heat Demand  met by Solar Thermal in 2050</t>
  </si>
  <si>
    <t>% Non-domestic Heat Demand  met by mCHP in 2050</t>
  </si>
  <si>
    <t>% Domestic Cooling  Air Chiller Electricity 2015</t>
  </si>
  <si>
    <t>% Domestic Cooling Water Chiller Electricity 2015</t>
  </si>
  <si>
    <t>% Domestic Cooling Ground Cooling Electricity 2015</t>
  </si>
  <si>
    <t>% Domestic Cooling Air Chiller Electricity 2025</t>
  </si>
  <si>
    <t>% Domestic Cooling Water Chiller Electricity 2025</t>
  </si>
  <si>
    <t>% Domestic Cooling Ground Cooling Electricity 2025</t>
  </si>
  <si>
    <t>Domestic Cooling % Air Chiller Electricity 2050</t>
  </si>
  <si>
    <t>% Domestic Cooling Water Chiller Electricity 2050</t>
  </si>
  <si>
    <t>% Domestic Cooling Ground Cooling Electricity 2050</t>
  </si>
  <si>
    <t>% Non-Domestic Cooling Air Chiller Electricity 2015</t>
  </si>
  <si>
    <t>% Non-Domestic Cooling Water Chiller Electricity 2015</t>
  </si>
  <si>
    <t>% Non-Domestic Cooling Ground Cooling Electricity 2015</t>
  </si>
  <si>
    <t>% Non-Domestic Cooling Air Chiller Electricity 2025</t>
  </si>
  <si>
    <t>% Non-Domestic Cooling Water Chiller Electricity 2025</t>
  </si>
  <si>
    <t>% Non-Domestic Cooling Ground Cooling Electricity 2025</t>
  </si>
  <si>
    <t>% Non-Domestic Cooling Air Chiller Electricity 2050</t>
  </si>
  <si>
    <t>% Non-Domestic Cooling Water Chiller Electricity 2050</t>
  </si>
  <si>
    <t>% Non-Domestic Cooling Ground Cooling Electricity 2050</t>
  </si>
  <si>
    <t>This is all the same - percentage of new build by 2020 to use for new build energy</t>
  </si>
  <si>
    <t>% NEW HOUSES</t>
  </si>
  <si>
    <t>% new floor area</t>
  </si>
  <si>
    <t>% of district heat in each borough</t>
  </si>
  <si>
    <t>HNM_Input</t>
  </si>
  <si>
    <t>Figures are pasted in from run of Heat Network Supply Model which replicates the format of this tab</t>
  </si>
  <si>
    <t>Regional Allocation</t>
  </si>
  <si>
    <t>Data below is for Existing Heat Networks (2015)</t>
  </si>
  <si>
    <t>Low Uptake 2025</t>
  </si>
  <si>
    <t>Low Uptake 2050</t>
  </si>
  <si>
    <t>Medium Uptake 2025</t>
  </si>
  <si>
    <t>Medium Uptake 2050</t>
  </si>
  <si>
    <t>High Uptake 2025</t>
  </si>
  <si>
    <t>High Uptake 2050</t>
  </si>
  <si>
    <t>THIS INCLUDES LOSSES</t>
  </si>
  <si>
    <t>Low uptake</t>
  </si>
  <si>
    <t>medium Uptake</t>
  </si>
  <si>
    <t>medium uptake</t>
  </si>
  <si>
    <t>high uptake</t>
  </si>
  <si>
    <t>Non constrained demand</t>
  </si>
  <si>
    <t>CHECK AGAINST Heat Network Uptake</t>
  </si>
  <si>
    <t>Data from Ricardo AEA study, clipped for GLA region and aggregated by Borough</t>
  </si>
  <si>
    <t>Part A</t>
  </si>
  <si>
    <t>Part B</t>
  </si>
  <si>
    <t>Electricity (MWh)</t>
  </si>
  <si>
    <t>Fuel for Heat (MWh)</t>
  </si>
  <si>
    <t>Proportion of industrial electricity and fuel use in this borough</t>
  </si>
  <si>
    <t>Population</t>
  </si>
  <si>
    <t>% existing houses</t>
  </si>
  <si>
    <t>% new houses</t>
  </si>
  <si>
    <t>% existing non dom floor area</t>
  </si>
  <si>
    <t>0Policy Levers (residential)</t>
  </si>
  <si>
    <t>Policy Levers (residential)</t>
  </si>
  <si>
    <t>NUMBER OF HOMES RETROFITTED PER YEAR</t>
  </si>
  <si>
    <t>1Policy Levers (residential)</t>
  </si>
  <si>
    <t>2Policy Levers (residential)</t>
  </si>
  <si>
    <t>3Policy Levers (residential)</t>
  </si>
  <si>
    <t>4Policy Levers (residential)</t>
  </si>
  <si>
    <t>5Policy Levers (residential)</t>
  </si>
  <si>
    <t>6Policy Levers (residential)</t>
  </si>
  <si>
    <t>7Policy Levers (residential)</t>
  </si>
  <si>
    <t>8Policy Levers (residential)</t>
  </si>
  <si>
    <t>9Policy Levers (residential)</t>
  </si>
  <si>
    <t>10Policy Levers (residential)</t>
  </si>
  <si>
    <t>11Policy Levers (residential)</t>
  </si>
  <si>
    <t>12Policy Levers (residential)</t>
  </si>
  <si>
    <t>13Policy Levers (residential)</t>
  </si>
  <si>
    <t>NPolicy Levers (residential)</t>
  </si>
  <si>
    <t xml:space="preserve">All policy incentives are projections only. It is not possible to adjust policy levers within the zero carbon model. Policy levers are assessed through associated C40 / GLA climate modelling projects. </t>
  </si>
  <si>
    <t>Policy levers graph - not residential</t>
  </si>
  <si>
    <t>0Policy Levers (non-residential)</t>
  </si>
  <si>
    <t>Policy Levers (non-residential)</t>
  </si>
  <si>
    <t>NUMBER OF PROPERTIES RETROFITTED PER YEAR</t>
  </si>
  <si>
    <t>1Policy Levers (non-residential)</t>
  </si>
  <si>
    <t>2Policy Levers (non-residential)</t>
  </si>
  <si>
    <t>3Policy Levers (non-residential)</t>
  </si>
  <si>
    <t>4Policy Levers (non-residential)</t>
  </si>
  <si>
    <t>5Policy Levers (non-residential)</t>
  </si>
  <si>
    <t>6Policy Levers (non-residential)</t>
  </si>
  <si>
    <t>7Policy Levers (non-residential)</t>
  </si>
  <si>
    <t>8Policy Levers (non-residential)</t>
  </si>
  <si>
    <t>9Policy Levers (non-residential)</t>
  </si>
  <si>
    <t>NPolicy Levers (non-residential)</t>
  </si>
  <si>
    <t>Policy levers graph - appliances</t>
  </si>
  <si>
    <t>0Policy Levers (appliances)</t>
  </si>
  <si>
    <t>Policy Levers (appliances)</t>
  </si>
  <si>
    <t>1Policy Levers (appliances)</t>
  </si>
  <si>
    <t>2Policy Levers (appliances)</t>
  </si>
  <si>
    <t>3Policy Levers (appliances)</t>
  </si>
  <si>
    <t>4Policy Levers (appliances)</t>
  </si>
  <si>
    <t>5Policy Levers (appliances)</t>
  </si>
  <si>
    <t>6Policy Levers (appliances)</t>
  </si>
  <si>
    <t>NPolicy Levers (appliances)</t>
  </si>
  <si>
    <t>0Replacement heating plant</t>
  </si>
  <si>
    <t>Replacement heating plant</t>
  </si>
  <si>
    <t>1Replacement heating plant</t>
  </si>
  <si>
    <t>2Replacement heating plant</t>
  </si>
  <si>
    <t>3Replacement heating plant</t>
  </si>
  <si>
    <t>4Replacement heating plant</t>
  </si>
  <si>
    <t>5Replacement heating plant</t>
  </si>
  <si>
    <t>6Replacement heating plant</t>
  </si>
  <si>
    <t>% heat pumps in selected borough</t>
  </si>
  <si>
    <t>Heat pumps (domestic)</t>
  </si>
  <si>
    <t>Heat pumps (non domestic)</t>
  </si>
  <si>
    <t>Proportion existing buildings</t>
  </si>
  <si>
    <t>Baseline (1990) emissions</t>
  </si>
  <si>
    <t>Selected borough 2015</t>
  </si>
  <si>
    <t>Value</t>
  </si>
  <si>
    <t>Value in model</t>
  </si>
  <si>
    <t>Factor 1990 - 2005</t>
  </si>
  <si>
    <t>% of London total</t>
  </si>
  <si>
    <t>Implied 1990</t>
  </si>
  <si>
    <t>Mt C02</t>
  </si>
  <si>
    <t xml:space="preserve">London Climate Change Action Plan </t>
  </si>
  <si>
    <t>ktCo2</t>
  </si>
  <si>
    <t>Mt C03</t>
  </si>
  <si>
    <t>Mt C04</t>
  </si>
  <si>
    <t>Mt C05</t>
  </si>
  <si>
    <t>HISTORIC CARBON EMISSIONS</t>
  </si>
  <si>
    <t>Reported from BEIS (boroughs) and LEGGI (Greater London)</t>
  </si>
  <si>
    <t>https://www.gov.uk/government/statistics/uk-local-authority-and-regional-carbon-dioxide-emissions-national-statistics-2005-2015</t>
  </si>
  <si>
    <t>HISTORIC EMISSIONS BY BOROUGH BY INDUSTRY</t>
  </si>
  <si>
    <t>Local Authority CO2 emissions estimates 2005-2015 (kt CO2) - Full dataset</t>
  </si>
  <si>
    <t>https://www.gov.uk/government/collections/uk-local-authority-and-regional-carbon-dioxide-emissions-national-statistics#2017</t>
  </si>
  <si>
    <t>Region Name</t>
  </si>
  <si>
    <t>Second Tier Authority</t>
  </si>
  <si>
    <t>LAD14NM</t>
  </si>
  <si>
    <t>LAD14CD</t>
  </si>
  <si>
    <t>A. Industry and Commercial Electricity</t>
  </si>
  <si>
    <t>B. Industry and Commercial Gas</t>
  </si>
  <si>
    <t>C. Large Industrial Installations</t>
  </si>
  <si>
    <t>D. Industrial and Commercial Other Fuels</t>
  </si>
  <si>
    <t>E. Agriculture</t>
  </si>
  <si>
    <t>Industry and Commercial Total</t>
  </si>
  <si>
    <t>F. Domestic Electricity</t>
  </si>
  <si>
    <t>G. Domestic Gas</t>
  </si>
  <si>
    <t>H. Domestic 'Other Fuels'</t>
  </si>
  <si>
    <t>Domestic Total</t>
  </si>
  <si>
    <t>I. Road Transport (A roads)</t>
  </si>
  <si>
    <t>J. Road Transport (Motorways)</t>
  </si>
  <si>
    <t>K. Road Transport (Minor roads)</t>
  </si>
  <si>
    <t>L. Diesel Railways</t>
  </si>
  <si>
    <t>M. Transport Other</t>
  </si>
  <si>
    <t>Transport Total</t>
  </si>
  <si>
    <t>N. LULUCF Net Emissions</t>
  </si>
  <si>
    <t>Grand Total</t>
  </si>
  <si>
    <t>Population                                              ('000s, mid-year estimate)</t>
  </si>
  <si>
    <t>Per Capita Emissions (t)</t>
  </si>
  <si>
    <t>E09000002</t>
  </si>
  <si>
    <t>E09000003</t>
  </si>
  <si>
    <t>E09000004</t>
  </si>
  <si>
    <t>Model</t>
  </si>
  <si>
    <t>Reported</t>
  </si>
  <si>
    <t>E09000005</t>
  </si>
  <si>
    <t>E09000006</t>
  </si>
  <si>
    <t>E09000007</t>
  </si>
  <si>
    <t>E09000001</t>
  </si>
  <si>
    <t>E09000008</t>
  </si>
  <si>
    <t>E09000009</t>
  </si>
  <si>
    <t>E09000010</t>
  </si>
  <si>
    <t>E09000011</t>
  </si>
  <si>
    <t>E09000012</t>
  </si>
  <si>
    <t>E09000013</t>
  </si>
  <si>
    <t>E09000014</t>
  </si>
  <si>
    <t>E09000015</t>
  </si>
  <si>
    <t>E09000016</t>
  </si>
  <si>
    <t>E09000017</t>
  </si>
  <si>
    <t>E09000018</t>
  </si>
  <si>
    <t>E09000019</t>
  </si>
  <si>
    <t>E09000020</t>
  </si>
  <si>
    <t>E09000021</t>
  </si>
  <si>
    <t>E09000022</t>
  </si>
  <si>
    <t>E09000023</t>
  </si>
  <si>
    <t>E09000024</t>
  </si>
  <si>
    <t>E09000025</t>
  </si>
  <si>
    <t>E09000026</t>
  </si>
  <si>
    <t>E09000027</t>
  </si>
  <si>
    <t>E09000028</t>
  </si>
  <si>
    <t>E09000029</t>
  </si>
  <si>
    <t>E09000030</t>
  </si>
  <si>
    <t>E09000031</t>
  </si>
  <si>
    <t>E09000032</t>
  </si>
  <si>
    <t>E09000033</t>
  </si>
  <si>
    <t>CALCULATIONS</t>
  </si>
  <si>
    <t>Type</t>
  </si>
  <si>
    <t>Transport Emissions</t>
  </si>
  <si>
    <t>Transport emissions and VKM taken from Element Energy Transport model, based on data provided by TfL</t>
  </si>
  <si>
    <t>Percentage in selected region</t>
  </si>
  <si>
    <t>Cars - Diesel</t>
  </si>
  <si>
    <t>kt CO2/year</t>
  </si>
  <si>
    <t>Cars - Petrol</t>
  </si>
  <si>
    <t>Electric</t>
  </si>
  <si>
    <t>Cars - Electric</t>
  </si>
  <si>
    <t>GWh/year</t>
  </si>
  <si>
    <t>H2</t>
  </si>
  <si>
    <t>Cars - H2</t>
  </si>
  <si>
    <t>LGVs - Diesel</t>
  </si>
  <si>
    <t>LGVs - Petrol</t>
  </si>
  <si>
    <t>LGVs - Electric</t>
  </si>
  <si>
    <t>LGVs - H2</t>
  </si>
  <si>
    <t>HGVs - Diesel</t>
  </si>
  <si>
    <t>HGVs - Electric</t>
  </si>
  <si>
    <t>HGVs - H2</t>
  </si>
  <si>
    <t>Buses - Diesel</t>
  </si>
  <si>
    <t>Buses - Electric</t>
  </si>
  <si>
    <t>Buses - H2</t>
  </si>
  <si>
    <t>Taxis - Diesel</t>
  </si>
  <si>
    <t>Taxis - Electric</t>
  </si>
  <si>
    <t>Taxis - H2</t>
  </si>
  <si>
    <t>Motorcycles - Diesel</t>
  </si>
  <si>
    <t>Motorcycles - Electric</t>
  </si>
  <si>
    <t>Calculation of energy</t>
  </si>
  <si>
    <t>ALL</t>
  </si>
  <si>
    <t>L fuel</t>
  </si>
  <si>
    <t>VKM</t>
  </si>
  <si>
    <t>thousand km</t>
  </si>
  <si>
    <t>Energy use</t>
  </si>
  <si>
    <t>kgCO2/L</t>
  </si>
  <si>
    <t>UK GHG Conversion Factors</t>
  </si>
  <si>
    <t>kWh/L</t>
  </si>
  <si>
    <t>Total vkm by Borough</t>
  </si>
  <si>
    <t>Note that this sheet no longer works, and the district heating supply demand is broken down by scenario in row 105 &amp; below of the 'Heat Networks' tab (with values hard-coded in). This new data is disaggregated by year, rather than inteprolating between 2015, 2025 and 2050.</t>
  </si>
  <si>
    <t>Medium uptake</t>
  </si>
  <si>
    <t>High uptake</t>
  </si>
  <si>
    <t>Normal</t>
  </si>
  <si>
    <t>Peak</t>
  </si>
  <si>
    <t>Assumed existing demand met by CHP vs gas boiler</t>
  </si>
  <si>
    <t xml:space="preserve">Extra scenario changes from Element to account for hydrogen </t>
  </si>
  <si>
    <t>% demand met by secondary source at energy centre(topup assumed as gas boiler in 2025, heat pump in 2050)</t>
  </si>
  <si>
    <t>Assumed exisitng demand met by CHP vs gas boiler in 2025</t>
  </si>
  <si>
    <t>Others</t>
  </si>
  <si>
    <t>constrained</t>
  </si>
  <si>
    <t>Heat supply (kWh)</t>
  </si>
  <si>
    <t>Gas boilers</t>
  </si>
  <si>
    <t>Energy centre topup (assumed gas boilers)</t>
  </si>
  <si>
    <t>Topup heat</t>
  </si>
  <si>
    <t>Selection</t>
  </si>
  <si>
    <t>SELECTED BOROUGH</t>
  </si>
  <si>
    <t xml:space="preserve">This sheet </t>
  </si>
  <si>
    <t>Existing</t>
  </si>
  <si>
    <t>% better than EPC C</t>
  </si>
  <si>
    <t>Existing heating demand</t>
  </si>
  <si>
    <t>demand met by solar thermal</t>
  </si>
  <si>
    <t>% demand EPC C+</t>
  </si>
  <si>
    <t>Heat Demand EPC C+</t>
  </si>
  <si>
    <t>Heat Demand EPC C-</t>
  </si>
  <si>
    <t>Desired District Heat (Existing)</t>
  </si>
  <si>
    <t>Actual District Heat</t>
  </si>
  <si>
    <t>Desired Heat Pump (Existing)</t>
  </si>
  <si>
    <t>Actual Heat Pump</t>
  </si>
  <si>
    <t xml:space="preserve">Actual heat pump </t>
  </si>
  <si>
    <t>replacement on existing rates</t>
  </si>
  <si>
    <t>New</t>
  </si>
  <si>
    <t>Assumed to be over EPC</t>
  </si>
  <si>
    <t>EPC data</t>
  </si>
  <si>
    <t>New build heat demand</t>
  </si>
  <si>
    <t>Desired District Heat (New)</t>
  </si>
  <si>
    <t>Desired Heat Pump (New)</t>
  </si>
  <si>
    <t>Non domestic</t>
  </si>
  <si>
    <t>Heating demand</t>
  </si>
  <si>
    <t>Desired District Heat</t>
  </si>
  <si>
    <t>Desired Heat Pump</t>
  </si>
  <si>
    <t>TWh</t>
  </si>
  <si>
    <t>Transmission Losses</t>
  </si>
  <si>
    <t>Primary Heat Network Losses</t>
  </si>
  <si>
    <t>CIBSE ADE Heat Networks Code of Practice</t>
  </si>
  <si>
    <t>Assumed Heat losses on primary transmission network. This is set to 8% in heat model, varying this impacts the viability and roll out of heat networks. Changing this requires a re-run of the heat model.</t>
  </si>
  <si>
    <t>Pumping Requirement</t>
  </si>
  <si>
    <t>Assumed pumping requirement for transmission network. This is set to 2% in heat model, varying this impacts the viability and roll out of heat networks. Changing this requires a re-run of the heat model.</t>
  </si>
  <si>
    <t>Heat Emissions Factors</t>
  </si>
  <si>
    <t>Plant efficiency</t>
  </si>
  <si>
    <t xml:space="preserve"> Large Power &amp; Industrial  </t>
  </si>
  <si>
    <t>Z Factor</t>
  </si>
  <si>
    <t xml:space="preserve"> Gas Engine CHP  Thermal Efficiency</t>
  </si>
  <si>
    <t xml:space="preserve"> Gas Engine CHP  Electrical Efficiency</t>
  </si>
  <si>
    <t xml:space="preserve"> Transformer  </t>
  </si>
  <si>
    <t>Fuel Cell CHP Thermal Efficiency</t>
  </si>
  <si>
    <t>Fuel Cell CHP Electrical Efficiency</t>
  </si>
  <si>
    <t xml:space="preserve"> Commercial and Building Heat Rejection</t>
  </si>
  <si>
    <t xml:space="preserve"> River WSHP</t>
  </si>
  <si>
    <t xml:space="preserve"> Sewer Heat Mining  </t>
  </si>
  <si>
    <t xml:space="preserve"> ASHP  </t>
  </si>
  <si>
    <t xml:space="preserve"> GSHP  </t>
  </si>
  <si>
    <t>Emission factors</t>
  </si>
  <si>
    <r>
      <t>kgCO</t>
    </r>
    <r>
      <rPr>
        <vertAlign val="subscript"/>
        <sz val="11"/>
        <color theme="1"/>
        <rFont val="Calibri"/>
        <family val="2"/>
        <scheme val="minor"/>
      </rPr>
      <t>2</t>
    </r>
    <r>
      <rPr>
        <sz val="11"/>
        <color theme="1"/>
        <rFont val="Calibri"/>
        <family val="2"/>
        <scheme val="minor"/>
      </rPr>
      <t>/kWh</t>
    </r>
  </si>
  <si>
    <t xml:space="preserve"> Gas Engine CHP  </t>
  </si>
  <si>
    <t>Fuel Cell CHP</t>
  </si>
  <si>
    <t>4.b.1 HN Heat Delivered to Users</t>
  </si>
  <si>
    <r>
      <t>kWh</t>
    </r>
    <r>
      <rPr>
        <vertAlign val="subscript"/>
        <sz val="11"/>
        <color theme="1"/>
        <rFont val="Calibri"/>
        <family val="2"/>
        <scheme val="minor"/>
      </rPr>
      <t>th</t>
    </r>
    <r>
      <rPr>
        <sz val="11"/>
        <color theme="1"/>
        <rFont val="Calibri"/>
        <family val="2"/>
        <scheme val="minor"/>
      </rPr>
      <t>/yr.</t>
    </r>
  </si>
  <si>
    <t>Heat Supply Model</t>
  </si>
  <si>
    <t>This is heat delivered to customers (i.e. includes transmission losses)</t>
  </si>
  <si>
    <t>Heat supply model</t>
  </si>
  <si>
    <t>Figures are increased by 8% to add losses back in to total to be added elsewhere (due to output from heat model)</t>
  </si>
  <si>
    <t>Gas Engine CHP</t>
  </si>
  <si>
    <t>Fuel cell CHP</t>
  </si>
  <si>
    <t>Commercial and building heat rejection</t>
  </si>
  <si>
    <t>Total domestic</t>
  </si>
  <si>
    <t>This is using non/domestic split from Element uptake</t>
  </si>
  <si>
    <t>Total non domestic</t>
  </si>
  <si>
    <t>4.b.1 Fuel Use</t>
  </si>
  <si>
    <t xml:space="preserve">Large Power &amp; Industrial </t>
  </si>
  <si>
    <t>Calculated</t>
  </si>
  <si>
    <t>Heat pump and pumping electricity</t>
  </si>
  <si>
    <t xml:space="preserve">Gas Engine CHP </t>
  </si>
  <si>
    <t xml:space="preserve">Transformer </t>
  </si>
  <si>
    <t xml:space="preserve">Fuel cell CHP </t>
  </si>
  <si>
    <t xml:space="preserve">Commercial and building heat rejection </t>
  </si>
  <si>
    <t xml:space="preserve">Sewer Heat Mining </t>
  </si>
  <si>
    <t xml:space="preserve">ASHP </t>
  </si>
  <si>
    <t xml:space="preserve">GSHP </t>
  </si>
  <si>
    <t xml:space="preserve">Gas boiler </t>
  </si>
  <si>
    <t>4.b.2 Heat Network Fuel and Carbon Balance</t>
  </si>
  <si>
    <t>gas</t>
  </si>
  <si>
    <t>electricity (incl. pumping)</t>
  </si>
  <si>
    <t>electricity offset</t>
  </si>
  <si>
    <t>Electricity generated through cogeneration powering heat networks</t>
  </si>
  <si>
    <t>electricity offset - domestic</t>
  </si>
  <si>
    <t>electricity offset - non-domestic</t>
  </si>
  <si>
    <r>
      <t>kgCO</t>
    </r>
    <r>
      <rPr>
        <vertAlign val="subscript"/>
        <sz val="11"/>
        <color theme="1"/>
        <rFont val="Calibri"/>
        <family val="2"/>
        <scheme val="minor"/>
      </rPr>
      <t>2</t>
    </r>
  </si>
  <si>
    <t>4.b.3 Heat Network Supply Proportions</t>
  </si>
  <si>
    <t>Decentralised Gas</t>
  </si>
  <si>
    <t>Heat delivered (MWh)</t>
  </si>
  <si>
    <t>Heat delivered (DEEP 2)</t>
  </si>
  <si>
    <t>Heat delivered (assumed DEEP 2 does three years of delivery required for low scenario)</t>
  </si>
  <si>
    <t>Carbon from gas (tonnes)</t>
  </si>
  <si>
    <t>Carbon from DH (tonnes)</t>
  </si>
  <si>
    <t>Additional data - included by Element in 2021 in updates to model</t>
  </si>
  <si>
    <t>Supply</t>
  </si>
  <si>
    <t>Percentage contribution to DH heat supply (%)</t>
  </si>
  <si>
    <t>Heat</t>
  </si>
  <si>
    <t>Heat Demand</t>
  </si>
  <si>
    <t>New build</t>
  </si>
  <si>
    <t>Domestic / Non-domestic heat demand split</t>
  </si>
  <si>
    <t>Domestic /Non domestic split</t>
  </si>
  <si>
    <t>Buildings total</t>
  </si>
  <si>
    <t>Annual building heat demand met by technology</t>
  </si>
  <si>
    <t>Regional proportion of Greater London allocation</t>
  </si>
  <si>
    <t>District heat</t>
  </si>
  <si>
    <t>hydrogen</t>
  </si>
  <si>
    <t>Building power demand</t>
  </si>
  <si>
    <t>Annual power demand met by each technology</t>
  </si>
  <si>
    <t>Cooling demand</t>
  </si>
  <si>
    <t>Cooking</t>
  </si>
  <si>
    <t>Additional Electricity</t>
  </si>
  <si>
    <t>Non-domestic - gas</t>
  </si>
  <si>
    <t>Non-domestic - electricity</t>
  </si>
  <si>
    <t>END OF SHEET</t>
  </si>
  <si>
    <t>Amount DH residential</t>
  </si>
  <si>
    <t>carbon from general heating otherwise</t>
  </si>
  <si>
    <t xml:space="preserve">Domestic </t>
  </si>
  <si>
    <t>carbon DH (heat only)</t>
  </si>
  <si>
    <t>domestic</t>
  </si>
  <si>
    <t>Heat supply</t>
  </si>
  <si>
    <t>Gas Cooking</t>
  </si>
  <si>
    <t>doesn't includes electric cooking; this is accounted for in domestic power demand</t>
  </si>
  <si>
    <t>Hybrid Heat Pumps</t>
  </si>
  <si>
    <t>Power supply</t>
  </si>
  <si>
    <t>includes additional cooking electricity</t>
  </si>
  <si>
    <t>Cooling supply</t>
  </si>
  <si>
    <t>Heating fuel consumption</t>
  </si>
  <si>
    <t>Gas Cookers</t>
  </si>
  <si>
    <t>Fuel consumption</t>
  </si>
  <si>
    <t>Power fuel consumption</t>
  </si>
  <si>
    <t>-</t>
  </si>
  <si>
    <t>These formulas are not used for anything further, and were broken in the previous version of the model anyway</t>
  </si>
  <si>
    <t>Cooling fuel consumption</t>
  </si>
  <si>
    <t>Heating</t>
  </si>
  <si>
    <t>Heating emissions</t>
  </si>
  <si>
    <r>
      <t>ktCO</t>
    </r>
    <r>
      <rPr>
        <vertAlign val="subscript"/>
        <sz val="11"/>
        <color theme="1"/>
        <rFont val="Calibri"/>
        <family val="2"/>
        <scheme val="minor"/>
      </rPr>
      <t>2</t>
    </r>
    <r>
      <rPr>
        <sz val="11"/>
        <color theme="1"/>
        <rFont val="Calibri"/>
        <family val="2"/>
        <scheme val="minor"/>
      </rPr>
      <t/>
    </r>
  </si>
  <si>
    <t>Power emissions</t>
  </si>
  <si>
    <t>Cooling emissions</t>
  </si>
  <si>
    <t>Carbon price sources</t>
  </si>
  <si>
    <t>2020£/tCO2e</t>
  </si>
  <si>
    <t>BEIS - Medium - Green Book Oct 2021</t>
  </si>
  <si>
    <t>BEIS - High - Green Book Oct 2021</t>
  </si>
  <si>
    <t>(old) BEIS - Low - Green Book July 2021</t>
  </si>
  <si>
    <t>(old) BEIS - Medium - Green Book July 2021</t>
  </si>
  <si>
    <t>(old) BEIS - High - Green Book July 2021</t>
  </si>
  <si>
    <t>Selected carbon price in Dashboard</t>
  </si>
  <si>
    <t>Selected scenario emissions</t>
  </si>
  <si>
    <t>Total heating, cooling and power emissions</t>
  </si>
  <si>
    <t>Scenario-wide carbon costs</t>
  </si>
  <si>
    <t>Annual carbon costs - undiscounted</t>
  </si>
  <si>
    <t>£million / year</t>
  </si>
  <si>
    <t>Cumulative carbon costs (from 2015) - undiscounted</t>
  </si>
  <si>
    <t>Electricity (Cars, LGVs, M)</t>
  </si>
  <si>
    <t>Hydrogen (Cars, LGVs, M)</t>
  </si>
  <si>
    <t>Petrol (Cars, LGVs, M)</t>
  </si>
  <si>
    <t>Diesel (Cars, LGVs, M)</t>
  </si>
  <si>
    <t xml:space="preserve">Buses - electricity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</si>
</sst>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_(* #,##0.00_);_(* \(#,##0.00\);_(* &quot;-&quot;??_);_(@_)"/>
    <numFmt numFmtId="165" formatCode="0.0"/>
    <numFmt numFmtId="166" formatCode="_-* #,##0_-;\-* #,##0_-;_-* &quot;-&quot;??_-;_-@_-"/>
    <numFmt numFmtId="167" formatCode="0.000"/>
    <numFmt numFmtId="168" formatCode="0.0%"/>
    <numFmt numFmtId="169" formatCode="_-* #,##0.0_-;\-* #,##0.0_-;_-* &quot;-&quot;??_-;_-@_-"/>
    <numFmt numFmtId="170" formatCode="_(* #,##0_);_(* \(#,##0\);_(* &quot;-&quot;??_);_(@_)"/>
    <numFmt numFmtId="171" formatCode="_(* #,##0.000_);_(* \(#,##0.000\);_(* &quot;-&quot;??_);_(@_)"/>
    <numFmt numFmtId="172" formatCode="#,##0\ \k\t"/>
    <numFmt numFmtId="173" formatCode="0.0\ \t\C\O\2"/>
    <numFmt numFmtId="174" formatCode="0.000000000000000%"/>
    <numFmt numFmtId="175" formatCode="#,##0.0"/>
    <numFmt numFmtId="176" formatCode="_-* #,##0.000_-;\-* #,##0.000_-;_-* &quot;-&quot;??_-;_-@_-"/>
    <numFmt numFmtId="177" formatCode="0.000%"/>
    <numFmt numFmtId="178" formatCode="0.00000%"/>
    <numFmt numFmtId="179" formatCode="0.0000000%"/>
    <numFmt numFmtId="180" formatCode="0.0000%"/>
    <numFmt numFmtId="181" formatCode="[$$-C09]#,##0.0"/>
  </numFmts>
  <fonts count="85">
    <font>
      <sz val="11"/>
      <color theme="1"/>
      <name val="Calibri"/>
      <family val="2"/>
      <scheme val="minor"/>
    </font>
    <font>
      <sz val="11"/>
      <color theme="0"/>
      <name val="Calibri"/>
      <family val="2"/>
      <scheme val="minor"/>
    </font>
    <font>
      <sz val="10"/>
      <name val="Arial"/>
      <family val="2"/>
    </font>
    <font>
      <b/>
      <sz val="11"/>
      <color theme="1"/>
      <name val="Calibri"/>
      <family val="2"/>
      <scheme val="minor"/>
    </font>
    <font>
      <sz val="11"/>
      <color theme="1"/>
      <name val="Calibri"/>
      <family val="2"/>
      <scheme val="minor"/>
    </font>
    <font>
      <sz val="11"/>
      <name val="Calibri"/>
      <family val="2"/>
      <scheme val="minor"/>
    </font>
    <font>
      <u/>
      <sz val="11"/>
      <color theme="10"/>
      <name val="Calibri"/>
      <family val="2"/>
      <scheme val="minor"/>
    </font>
    <font>
      <sz val="11"/>
      <color rgb="FFFF0000"/>
      <name val="Calibri"/>
      <family val="2"/>
      <scheme val="minor"/>
    </font>
    <font>
      <sz val="11"/>
      <color theme="1"/>
      <name val="Arial"/>
      <family val="2"/>
    </font>
    <font>
      <sz val="11"/>
      <color indexed="8"/>
      <name val="Calibri"/>
      <family val="2"/>
    </font>
    <font>
      <sz val="10"/>
      <color theme="1"/>
      <name val="Arial"/>
      <family val="2"/>
    </font>
    <font>
      <b/>
      <sz val="11"/>
      <color rgb="FFFA7D00"/>
      <name val="Calibri"/>
      <family val="2"/>
      <scheme val="minor"/>
    </font>
    <font>
      <sz val="11"/>
      <color rgb="FFFA7D00"/>
      <name val="Calibri"/>
      <family val="2"/>
      <scheme val="minor"/>
    </font>
    <font>
      <b/>
      <sz val="9"/>
      <color theme="1"/>
      <name val="Arial"/>
      <family val="2"/>
    </font>
    <font>
      <b/>
      <sz val="11"/>
      <color theme="0"/>
      <name val="Calibri"/>
      <family val="2"/>
      <scheme val="minor"/>
    </font>
    <font>
      <sz val="9"/>
      <color indexed="81"/>
      <name val="Tahoma"/>
      <family val="2"/>
    </font>
    <font>
      <b/>
      <sz val="9"/>
      <color indexed="81"/>
      <name val="Tahoma"/>
      <family val="2"/>
    </font>
    <font>
      <b/>
      <sz val="11"/>
      <name val="Calibri"/>
      <family val="2"/>
      <scheme val="minor"/>
    </font>
    <font>
      <i/>
      <sz val="11"/>
      <color rgb="FFFF0000"/>
      <name val="Calibri"/>
      <family val="2"/>
      <scheme val="minor"/>
    </font>
    <font>
      <sz val="11"/>
      <color rgb="FF3F3F76"/>
      <name val="Calibri"/>
      <family val="2"/>
      <scheme val="minor"/>
    </font>
    <font>
      <i/>
      <sz val="11"/>
      <color theme="1"/>
      <name val="Calibri"/>
      <family val="2"/>
      <scheme val="minor"/>
    </font>
    <font>
      <b/>
      <sz val="11"/>
      <color rgb="FF3F3F3F"/>
      <name val="Calibri"/>
      <family val="2"/>
      <scheme val="minor"/>
    </font>
    <font>
      <sz val="11"/>
      <color rgb="FF3F3F3F"/>
      <name val="Calibri"/>
      <family val="2"/>
      <scheme val="minor"/>
    </font>
    <font>
      <b/>
      <sz val="36"/>
      <color theme="0"/>
      <name val="Calibri"/>
      <family val="2"/>
      <scheme val="minor"/>
    </font>
    <font>
      <b/>
      <sz val="12"/>
      <color theme="1"/>
      <name val="Calibri"/>
      <family val="2"/>
      <scheme val="minor"/>
    </font>
    <font>
      <i/>
      <sz val="11"/>
      <name val="Calibri"/>
      <family val="2"/>
      <scheme val="minor"/>
    </font>
    <font>
      <vertAlign val="subscript"/>
      <sz val="11"/>
      <color theme="1"/>
      <name val="Calibri"/>
      <family val="2"/>
      <scheme val="minor"/>
    </font>
    <font>
      <vertAlign val="subscript"/>
      <sz val="11"/>
      <color indexed="8"/>
      <name val="Calibri"/>
      <family val="2"/>
    </font>
    <font>
      <b/>
      <sz val="10"/>
      <name val="Calibri"/>
      <family val="2"/>
      <scheme val="minor"/>
    </font>
    <font>
      <b/>
      <sz val="11"/>
      <color theme="1"/>
      <name val="Arial"/>
      <family val="2"/>
    </font>
    <font>
      <i/>
      <sz val="11"/>
      <color theme="1"/>
      <name val="Arial"/>
      <family val="2"/>
    </font>
    <font>
      <sz val="11"/>
      <color rgb="FF717174"/>
      <name val="Calibri"/>
      <family val="2"/>
      <scheme val="minor"/>
    </font>
    <font>
      <b/>
      <sz val="11"/>
      <color rgb="FFFF0000"/>
      <name val="Calibri"/>
      <family val="2"/>
      <scheme val="minor"/>
    </font>
    <font>
      <sz val="8"/>
      <color theme="1"/>
      <name val="Calibri"/>
      <family val="2"/>
      <scheme val="minor"/>
    </font>
    <font>
      <vertAlign val="subscript"/>
      <sz val="11"/>
      <name val="Calibri"/>
      <family val="2"/>
      <scheme val="minor"/>
    </font>
    <font>
      <u/>
      <sz val="10"/>
      <color theme="10"/>
      <name val="Calibri"/>
      <family val="2"/>
      <scheme val="minor"/>
    </font>
    <font>
      <i/>
      <sz val="10"/>
      <color theme="1"/>
      <name val="Arial"/>
      <family val="2"/>
    </font>
    <font>
      <b/>
      <sz val="10"/>
      <color rgb="FF363E42"/>
      <name val="Segoe UI"/>
      <family val="2"/>
    </font>
    <font>
      <sz val="10"/>
      <color rgb="FF717174"/>
      <name val="Segoe UI"/>
      <family val="2"/>
    </font>
    <font>
      <i/>
      <sz val="11"/>
      <color theme="0" tint="-0.249977111117893"/>
      <name val="Calibri"/>
      <family val="2"/>
      <scheme val="minor"/>
    </font>
    <font>
      <sz val="11"/>
      <color theme="4"/>
      <name val="Calibri"/>
      <family val="2"/>
      <scheme val="minor"/>
    </font>
    <font>
      <i/>
      <sz val="8"/>
      <color rgb="FFFF0000"/>
      <name val="Segoe UI"/>
      <family val="2"/>
    </font>
    <font>
      <sz val="11"/>
      <color theme="8"/>
      <name val="Calibri"/>
      <family val="2"/>
      <scheme val="minor"/>
    </font>
    <font>
      <sz val="11"/>
      <color theme="1" tint="0.499984740745262"/>
      <name val="Calibri"/>
      <family val="2"/>
      <scheme val="minor"/>
    </font>
    <font>
      <u/>
      <sz val="11"/>
      <name val="Calibri"/>
      <family val="2"/>
      <scheme val="minor"/>
    </font>
    <font>
      <sz val="8"/>
      <color theme="9"/>
      <name val="Segoe UI"/>
      <family val="2"/>
    </font>
    <font>
      <i/>
      <sz val="11"/>
      <color rgb="FF7F7F7F"/>
      <name val="Calibri"/>
      <family val="2"/>
      <scheme val="minor"/>
    </font>
    <font>
      <b/>
      <sz val="10"/>
      <color theme="0"/>
      <name val="Calibri"/>
      <family val="2"/>
      <scheme val="minor"/>
    </font>
    <font>
      <sz val="10"/>
      <name val="Calibri"/>
      <family val="2"/>
      <scheme val="minor"/>
    </font>
    <font>
      <b/>
      <sz val="8"/>
      <color theme="1" tint="0.34998626667073579"/>
      <name val="Arial"/>
      <family val="2"/>
    </font>
    <font>
      <sz val="8"/>
      <color theme="1"/>
      <name val="Arial"/>
      <family val="2"/>
    </font>
    <font>
      <b/>
      <sz val="8"/>
      <color theme="1"/>
      <name val="Calibri"/>
      <family val="2"/>
      <scheme val="minor"/>
    </font>
    <font>
      <b/>
      <sz val="8"/>
      <color rgb="FFEE266D"/>
      <name val="Arial"/>
      <family val="2"/>
    </font>
    <font>
      <b/>
      <sz val="8"/>
      <color rgb="FFEE266D"/>
      <name val="Aktiv Grotesk"/>
    </font>
    <font>
      <sz val="8"/>
      <color theme="1" tint="0.34998626667073579"/>
      <name val="Arial"/>
      <family val="2"/>
    </font>
    <font>
      <sz val="8"/>
      <color rgb="FF363E42"/>
      <name val="Segoe UI"/>
      <family val="2"/>
    </font>
    <font>
      <sz val="8"/>
      <color theme="0"/>
      <name val="Segoe UI"/>
      <family val="2"/>
    </font>
    <font>
      <sz val="8"/>
      <color theme="0" tint="-0.499984740745262"/>
      <name val="Segoe UI"/>
      <family val="2"/>
    </font>
    <font>
      <vertAlign val="subscript"/>
      <sz val="8"/>
      <color theme="0" tint="-0.499984740745262"/>
      <name val="Segoe UI"/>
      <family val="2"/>
    </font>
    <font>
      <b/>
      <sz val="8"/>
      <color theme="1"/>
      <name val="Arial"/>
      <family val="2"/>
    </font>
    <font>
      <b/>
      <sz val="8"/>
      <color theme="0"/>
      <name val="Segoe UI"/>
      <family val="2"/>
    </font>
    <font>
      <sz val="8"/>
      <color theme="1" tint="0.14999847407452621"/>
      <name val="Segoe UI"/>
      <family val="2"/>
    </font>
    <font>
      <b/>
      <sz val="8"/>
      <color rgb="FF363E42"/>
      <name val="Segoe UI"/>
      <family val="2"/>
    </font>
    <font>
      <sz val="8"/>
      <color rgb="FF363E42"/>
      <name val="Arial"/>
      <family val="2"/>
    </font>
    <font>
      <sz val="8"/>
      <color theme="0" tint="-0.499984740745262"/>
      <name val="Arial"/>
      <family val="2"/>
    </font>
    <font>
      <b/>
      <sz val="8"/>
      <color theme="0"/>
      <name val="Arial"/>
      <family val="2"/>
    </font>
    <font>
      <i/>
      <u/>
      <sz val="11"/>
      <color theme="1"/>
      <name val="Calibri"/>
      <family val="2"/>
      <scheme val="minor"/>
    </font>
    <font>
      <b/>
      <sz val="11"/>
      <color rgb="FF3F3F76"/>
      <name val="Calibri"/>
      <family val="2"/>
      <scheme val="minor"/>
    </font>
    <font>
      <sz val="8"/>
      <color theme="1" tint="0.499984740745262"/>
      <name val="Segoe UI"/>
      <family val="2"/>
    </font>
    <font>
      <sz val="18"/>
      <color theme="1"/>
      <name val="Arial"/>
      <family val="2"/>
    </font>
    <font>
      <sz val="12"/>
      <name val="Calibri"/>
      <family val="2"/>
      <scheme val="minor"/>
    </font>
    <font>
      <b/>
      <sz val="11"/>
      <color theme="0"/>
      <name val="Arial"/>
      <family val="2"/>
    </font>
    <font>
      <b/>
      <i/>
      <sz val="11"/>
      <color theme="0"/>
      <name val="Arial"/>
      <family val="2"/>
    </font>
    <font>
      <b/>
      <sz val="14"/>
      <color theme="1"/>
      <name val="Calibri"/>
      <family val="2"/>
      <scheme val="minor"/>
    </font>
    <font>
      <b/>
      <sz val="8"/>
      <name val="Arial"/>
      <family val="2"/>
    </font>
    <font>
      <b/>
      <sz val="12"/>
      <color theme="1"/>
      <name val="Arial"/>
      <family val="2"/>
    </font>
    <font>
      <sz val="11"/>
      <color theme="9" tint="0.79998168889431442"/>
      <name val="Calibri"/>
      <family val="2"/>
      <scheme val="minor"/>
    </font>
    <font>
      <sz val="48"/>
      <name val="Calibri"/>
      <family val="2"/>
      <scheme val="minor"/>
    </font>
    <font>
      <sz val="8"/>
      <color rgb="FFFF0000"/>
      <name val="Arial"/>
      <family val="2"/>
    </font>
    <font>
      <sz val="8"/>
      <color rgb="FFFF0000"/>
      <name val="Segoe UI"/>
      <family val="2"/>
    </font>
    <font>
      <b/>
      <i/>
      <sz val="11"/>
      <color theme="1"/>
      <name val="Calibri"/>
      <family val="2"/>
      <scheme val="minor"/>
    </font>
    <font>
      <sz val="11"/>
      <color rgb="FFC00000"/>
      <name val="Calibri"/>
      <family val="2"/>
      <scheme val="minor"/>
    </font>
    <font>
      <sz val="8"/>
      <name val="Calibri"/>
      <family val="2"/>
      <scheme val="minor"/>
    </font>
    <font>
      <b/>
      <sz val="16"/>
      <color theme="0"/>
      <name val="Calibri"/>
      <family val="2"/>
      <scheme val="minor"/>
    </font>
    <font>
      <i/>
      <sz val="10"/>
      <name val="Arial"/>
      <family val="2"/>
    </font>
  </fonts>
  <fills count="47">
    <fill>
      <patternFill patternType="none"/>
    </fill>
    <fill>
      <patternFill patternType="gray125"/>
    </fill>
    <fill>
      <patternFill patternType="solid">
        <fgColor theme="0"/>
        <bgColor indexed="64"/>
      </patternFill>
    </fill>
    <fill>
      <patternFill patternType="solid">
        <fgColor theme="5"/>
        <bgColor indexed="64"/>
      </patternFill>
    </fill>
    <fill>
      <patternFill patternType="solid">
        <fgColor rgb="FFF2F2F2"/>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rgb="FFFFFF00"/>
        <bgColor indexed="64"/>
      </patternFill>
    </fill>
    <fill>
      <patternFill patternType="solid">
        <fgColor theme="1"/>
        <bgColor indexed="64"/>
      </patternFill>
    </fill>
    <fill>
      <patternFill patternType="solid">
        <fgColor theme="0" tint="-0.14999847407452621"/>
        <bgColor indexed="64"/>
      </patternFill>
    </fill>
    <fill>
      <patternFill patternType="solid">
        <fgColor rgb="FFFFC000"/>
        <bgColor indexed="64"/>
      </patternFill>
    </fill>
    <fill>
      <patternFill patternType="solid">
        <fgColor rgb="FF89CCFF"/>
        <bgColor indexed="64"/>
      </patternFill>
    </fill>
    <fill>
      <patternFill patternType="solid">
        <fgColor theme="0" tint="-0.499984740745262"/>
        <bgColor indexed="64"/>
      </patternFill>
    </fill>
    <fill>
      <patternFill patternType="solid">
        <fgColor rgb="FFD8D9DA"/>
        <bgColor indexed="64"/>
      </patternFill>
    </fill>
    <fill>
      <patternFill patternType="solid">
        <fgColor rgb="FF00AEEF"/>
        <bgColor indexed="64"/>
      </patternFill>
    </fill>
    <fill>
      <patternFill patternType="solid">
        <fgColor rgb="FF717174"/>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rgb="FFFFFFE7"/>
        <bgColor indexed="64"/>
      </patternFill>
    </fill>
    <fill>
      <patternFill patternType="solid">
        <fgColor rgb="FF5CA793"/>
        <bgColor indexed="64"/>
      </patternFill>
    </fill>
    <fill>
      <patternFill patternType="solid">
        <fgColor rgb="FF00B050"/>
        <bgColor indexed="64"/>
      </patternFill>
    </fill>
    <fill>
      <patternFill patternType="solid">
        <fgColor rgb="FF7030A0"/>
        <bgColor indexed="64"/>
      </patternFill>
    </fill>
    <fill>
      <patternFill patternType="solid">
        <fgColor theme="7" tint="0.39997558519241921"/>
        <bgColor indexed="64"/>
      </patternFill>
    </fill>
    <fill>
      <patternFill patternType="solid">
        <fgColor theme="9" tint="0.79998168889431442"/>
        <bgColor indexed="64"/>
      </patternFill>
    </fill>
    <fill>
      <patternFill patternType="solid">
        <fgColor theme="2"/>
        <bgColor indexed="64"/>
      </patternFill>
    </fill>
    <fill>
      <patternFill patternType="solid">
        <fgColor theme="1" tint="0.499984740745262"/>
        <bgColor indexed="64"/>
      </patternFill>
    </fill>
    <fill>
      <patternFill patternType="solid">
        <fgColor theme="6" tint="0.59999389629810485"/>
        <bgColor indexed="64"/>
      </patternFill>
    </fill>
    <fill>
      <patternFill patternType="solid">
        <fgColor theme="8"/>
        <bgColor indexed="64"/>
      </patternFill>
    </fill>
    <fill>
      <patternFill patternType="solid">
        <fgColor rgb="FFA5A5A5"/>
      </patternFill>
    </fill>
    <fill>
      <patternFill patternType="solid">
        <fgColor theme="8" tint="0.59999389629810485"/>
        <bgColor indexed="64"/>
      </patternFill>
    </fill>
    <fill>
      <patternFill patternType="solid">
        <fgColor rgb="FFFCD9D3"/>
        <bgColor indexed="64"/>
      </patternFill>
    </fill>
    <fill>
      <patternFill patternType="solid">
        <fgColor rgb="FFE28E6E"/>
        <bgColor indexed="64"/>
      </patternFill>
    </fill>
    <fill>
      <patternFill patternType="solid">
        <fgColor theme="7"/>
        <bgColor indexed="64"/>
      </patternFill>
    </fill>
    <fill>
      <patternFill patternType="solid">
        <fgColor theme="9"/>
        <bgColor indexed="64"/>
      </patternFill>
    </fill>
    <fill>
      <patternFill patternType="solid">
        <fgColor theme="2" tint="-0.249977111117893"/>
        <bgColor indexed="64"/>
      </patternFill>
    </fill>
    <fill>
      <patternFill patternType="solid">
        <fgColor theme="5" tint="0.79998168889431442"/>
        <bgColor indexed="65"/>
      </patternFill>
    </fill>
    <fill>
      <patternFill patternType="solid">
        <fgColor theme="8" tint="0.79998168889431442"/>
        <bgColor indexed="65"/>
      </patternFill>
    </fill>
    <fill>
      <patternFill patternType="solid">
        <fgColor theme="4" tint="-0.249977111117893"/>
        <bgColor indexed="64"/>
      </patternFill>
    </fill>
    <fill>
      <patternFill patternType="solid">
        <fgColor theme="3"/>
        <bgColor indexed="64"/>
      </patternFill>
    </fill>
  </fills>
  <borders count="45">
    <border>
      <left/>
      <right/>
      <top/>
      <bottom/>
      <diagonal/>
    </border>
    <border>
      <left style="thin">
        <color rgb="FF3F3F3F"/>
      </left>
      <right style="thin">
        <color rgb="FF3F3F3F"/>
      </right>
      <top style="thin">
        <color rgb="FF3F3F3F"/>
      </top>
      <bottom style="thin">
        <color rgb="FF3F3F3F"/>
      </bottom>
      <diagonal/>
    </border>
    <border>
      <left/>
      <right style="thin">
        <color indexed="64"/>
      </right>
      <top/>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bottom/>
      <diagonal/>
    </border>
    <border>
      <left/>
      <right/>
      <top/>
      <bottom style="thin">
        <color indexed="64"/>
      </bottom>
      <diagonal/>
    </border>
    <border>
      <left/>
      <right/>
      <top/>
      <bottom style="double">
        <color rgb="FFFF8001"/>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theme="0" tint="-0.499984740745262"/>
      </bottom>
      <diagonal/>
    </border>
    <border>
      <left/>
      <right/>
      <top style="thin">
        <color theme="0" tint="-0.499984740745262"/>
      </top>
      <bottom style="thin">
        <color theme="0" tint="-0.499984740745262"/>
      </bottom>
      <diagonal/>
    </border>
    <border>
      <left style="thin">
        <color rgb="FF7F7F7F"/>
      </left>
      <right style="thin">
        <color rgb="FF7F7F7F"/>
      </right>
      <top/>
      <bottom style="thin">
        <color rgb="FF7F7F7F"/>
      </bottom>
      <diagonal/>
    </border>
    <border>
      <left style="thin">
        <color rgb="FFB2B2B2"/>
      </left>
      <right style="thin">
        <color rgb="FFB2B2B2"/>
      </right>
      <top style="thin">
        <color rgb="FFB2B2B2"/>
      </top>
      <bottom/>
      <diagonal/>
    </border>
    <border>
      <left style="thin">
        <color rgb="FFB2B2B2"/>
      </left>
      <right style="thin">
        <color rgb="FFB2B2B2"/>
      </right>
      <top/>
      <bottom/>
      <diagonal/>
    </border>
    <border>
      <left style="thin">
        <color rgb="FFB2B2B2"/>
      </left>
      <right style="thin">
        <color rgb="FFB2B2B2"/>
      </right>
      <top/>
      <bottom style="thin">
        <color rgb="FFB2B2B2"/>
      </bottom>
      <diagonal/>
    </border>
    <border>
      <left style="thin">
        <color theme="0" tint="-4.9989318521683403E-2"/>
      </left>
      <right/>
      <top/>
      <bottom/>
      <diagonal/>
    </border>
    <border>
      <left style="double">
        <color rgb="FF3F3F3F"/>
      </left>
      <right style="double">
        <color rgb="FF3F3F3F"/>
      </right>
      <top style="double">
        <color rgb="FF3F3F3F"/>
      </top>
      <bottom style="double">
        <color rgb="FF3F3F3F"/>
      </bottom>
      <diagonal/>
    </border>
    <border>
      <left style="thin">
        <color theme="0" tint="-4.9989318521683403E-2"/>
      </left>
      <right/>
      <top style="thin">
        <color theme="0" tint="-4.9989318521683403E-2"/>
      </top>
      <bottom/>
      <diagonal/>
    </border>
    <border>
      <left style="thin">
        <color theme="0" tint="-4.9989318521683403E-2"/>
      </left>
      <right/>
      <top/>
      <bottom style="thin">
        <color theme="0" tint="-4.9989318521683403E-2"/>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right style="thin">
        <color theme="0" tint="-4.9989318521683403E-2"/>
      </right>
      <top/>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s>
  <cellStyleXfs count="36">
    <xf numFmtId="0" fontId="0" fillId="0" borderId="0"/>
    <xf numFmtId="164" fontId="4" fillId="0" borderId="0" applyFont="0" applyFill="0" applyBorder="0" applyAlignment="0" applyProtection="0"/>
    <xf numFmtId="9" fontId="4" fillId="0" borderId="0" applyFont="0" applyFill="0" applyBorder="0" applyAlignment="0" applyProtection="0"/>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7" fillId="0" borderId="0"/>
    <xf numFmtId="0" fontId="2" fillId="0" borderId="0">
      <alignment horizontal="left" wrapText="1"/>
    </xf>
    <xf numFmtId="0" fontId="6" fillId="0" borderId="0" applyNumberFormat="0" applyFill="0" applyBorder="0" applyAlignment="0" applyProtection="0"/>
    <xf numFmtId="0" fontId="19" fillId="8" borderId="4" applyNumberFormat="0" applyAlignment="0" applyProtection="0"/>
    <xf numFmtId="0" fontId="21" fillId="4" borderId="1" applyNumberFormat="0" applyAlignment="0" applyProtection="0"/>
    <xf numFmtId="0" fontId="4" fillId="9" borderId="5" applyNumberFormat="0" applyFont="0" applyAlignment="0" applyProtection="0"/>
    <xf numFmtId="0" fontId="11" fillId="4" borderId="4" applyNumberFormat="0" applyAlignment="0" applyProtection="0"/>
    <xf numFmtId="0" fontId="12" fillId="0" borderId="8" applyNumberFormat="0" applyFill="0" applyAlignment="0" applyProtection="0"/>
    <xf numFmtId="0" fontId="4" fillId="0" borderId="0"/>
    <xf numFmtId="0" fontId="14" fillId="36" borderId="27" applyNumberFormat="0" applyAlignment="0" applyProtection="0"/>
    <xf numFmtId="0" fontId="4" fillId="43" borderId="0" applyNumberFormat="0" applyBorder="0" applyAlignment="0" applyProtection="0"/>
    <xf numFmtId="0" fontId="4" fillId="44" borderId="0" applyNumberFormat="0" applyBorder="0" applyAlignment="0" applyProtection="0"/>
    <xf numFmtId="164" fontId="4" fillId="0" borderId="0" applyFont="0" applyFill="0" applyBorder="0" applyAlignment="0" applyProtection="0"/>
    <xf numFmtId="164" fontId="4" fillId="0" borderId="0" applyFont="0" applyFill="0" applyBorder="0" applyAlignment="0" applyProtection="0"/>
    <xf numFmtId="0" fontId="5" fillId="0" borderId="0"/>
    <xf numFmtId="0" fontId="4" fillId="0" borderId="0"/>
    <xf numFmtId="0" fontId="4" fillId="0" borderId="0"/>
    <xf numFmtId="164" fontId="4" fillId="0" borderId="0" applyFont="0" applyFill="0" applyBorder="0" applyAlignment="0" applyProtection="0"/>
    <xf numFmtId="181" fontId="4" fillId="0" borderId="0"/>
  </cellStyleXfs>
  <cellXfs count="748">
    <xf numFmtId="0" fontId="0" fillId="0" borderId="0" xfId="0"/>
    <xf numFmtId="166" fontId="0" fillId="21" borderId="9" xfId="1" applyNumberFormat="1" applyFont="1" applyFill="1" applyBorder="1"/>
    <xf numFmtId="0" fontId="44" fillId="0" borderId="0" xfId="0" applyFont="1"/>
    <xf numFmtId="0" fontId="0" fillId="9" borderId="0" xfId="0" applyFill="1"/>
    <xf numFmtId="164" fontId="42" fillId="13" borderId="0" xfId="1" applyFont="1" applyFill="1"/>
    <xf numFmtId="168" fontId="0" fillId="11" borderId="0" xfId="0" applyNumberFormat="1" applyFill="1"/>
    <xf numFmtId="166" fontId="42" fillId="13" borderId="0" xfId="0" applyNumberFormat="1" applyFont="1" applyFill="1"/>
    <xf numFmtId="166" fontId="42" fillId="13" borderId="0" xfId="1" applyNumberFormat="1" applyFont="1" applyFill="1"/>
    <xf numFmtId="9" fontId="42" fillId="13" borderId="0" xfId="1" applyNumberFormat="1" applyFont="1" applyFill="1"/>
    <xf numFmtId="9" fontId="42" fillId="13" borderId="0" xfId="2" applyFont="1" applyFill="1"/>
    <xf numFmtId="166" fontId="43" fillId="5" borderId="0" xfId="1" applyNumberFormat="1" applyFont="1" applyFill="1"/>
    <xf numFmtId="166" fontId="0" fillId="6" borderId="2" xfId="1" applyNumberFormat="1" applyFont="1" applyFill="1" applyBorder="1"/>
    <xf numFmtId="166" fontId="0" fillId="6" borderId="0" xfId="1" applyNumberFormat="1" applyFont="1" applyFill="1" applyBorder="1"/>
    <xf numFmtId="166" fontId="0" fillId="6" borderId="10" xfId="1" applyNumberFormat="1" applyFont="1" applyFill="1" applyBorder="1"/>
    <xf numFmtId="166" fontId="0" fillId="6" borderId="14" xfId="1" applyNumberFormat="1" applyFont="1" applyFill="1" applyBorder="1"/>
    <xf numFmtId="0" fontId="0" fillId="6" borderId="0" xfId="0" applyFill="1" applyAlignment="1">
      <alignment wrapText="1"/>
    </xf>
    <xf numFmtId="166" fontId="0" fillId="21" borderId="17" xfId="1" applyNumberFormat="1" applyFont="1" applyFill="1" applyBorder="1"/>
    <xf numFmtId="166" fontId="0" fillId="21" borderId="18" xfId="1" applyNumberFormat="1" applyFont="1" applyFill="1" applyBorder="1"/>
    <xf numFmtId="166" fontId="0" fillId="21" borderId="19" xfId="1" applyNumberFormat="1" applyFont="1" applyFill="1" applyBorder="1"/>
    <xf numFmtId="166" fontId="0" fillId="25" borderId="19" xfId="1" applyNumberFormat="1" applyFont="1" applyFill="1" applyBorder="1"/>
    <xf numFmtId="166" fontId="0" fillId="21" borderId="2" xfId="1" applyNumberFormat="1" applyFont="1" applyFill="1" applyBorder="1"/>
    <xf numFmtId="166" fontId="0" fillId="21" borderId="0" xfId="1" applyNumberFormat="1" applyFont="1" applyFill="1" applyBorder="1"/>
    <xf numFmtId="166" fontId="0" fillId="21" borderId="3" xfId="1" applyNumberFormat="1" applyFont="1" applyFill="1" applyBorder="1"/>
    <xf numFmtId="166" fontId="0" fillId="21" borderId="15" xfId="1" applyNumberFormat="1" applyFont="1" applyFill="1" applyBorder="1"/>
    <xf numFmtId="166" fontId="0" fillId="25" borderId="0" xfId="1" applyNumberFormat="1" applyFont="1" applyFill="1" applyBorder="1"/>
    <xf numFmtId="166" fontId="0" fillId="21" borderId="14" xfId="1" applyNumberFormat="1" applyFont="1" applyFill="1" applyBorder="1"/>
    <xf numFmtId="166" fontId="0" fillId="25" borderId="3" xfId="1" applyNumberFormat="1" applyFont="1" applyFill="1" applyBorder="1"/>
    <xf numFmtId="166" fontId="0" fillId="25" borderId="2" xfId="1" applyNumberFormat="1" applyFont="1" applyFill="1" applyBorder="1"/>
    <xf numFmtId="166" fontId="0" fillId="11" borderId="0" xfId="1" applyNumberFormat="1" applyFont="1" applyFill="1"/>
    <xf numFmtId="0" fontId="0" fillId="27" borderId="0" xfId="0" applyFill="1" applyAlignment="1">
      <alignment wrapText="1"/>
    </xf>
    <xf numFmtId="0" fontId="0" fillId="0" borderId="0" xfId="0" applyAlignment="1">
      <alignment wrapText="1"/>
    </xf>
    <xf numFmtId="9" fontId="19" fillId="0" borderId="4" xfId="2" applyFont="1" applyFill="1" applyBorder="1"/>
    <xf numFmtId="166" fontId="0" fillId="2" borderId="9" xfId="1" applyNumberFormat="1" applyFont="1" applyFill="1" applyBorder="1" applyAlignment="1">
      <alignment horizontal="center"/>
    </xf>
    <xf numFmtId="166" fontId="0" fillId="2" borderId="15" xfId="1" applyNumberFormat="1" applyFont="1" applyFill="1" applyBorder="1" applyAlignment="1">
      <alignment horizontal="center"/>
    </xf>
    <xf numFmtId="166" fontId="0" fillId="2" borderId="14" xfId="1" applyNumberFormat="1" applyFont="1" applyFill="1" applyBorder="1" applyAlignment="1">
      <alignment horizontal="center"/>
    </xf>
    <xf numFmtId="0" fontId="3" fillId="0" borderId="0" xfId="0" applyFont="1"/>
    <xf numFmtId="166" fontId="0" fillId="0" borderId="0" xfId="1" applyNumberFormat="1" applyFont="1"/>
    <xf numFmtId="166" fontId="0" fillId="0" borderId="0" xfId="1" applyNumberFormat="1" applyFont="1" applyBorder="1"/>
    <xf numFmtId="0" fontId="5" fillId="0" borderId="0" xfId="0" applyFont="1"/>
    <xf numFmtId="9" fontId="0" fillId="0" borderId="0" xfId="2" applyFont="1"/>
    <xf numFmtId="166" fontId="4" fillId="2" borderId="14" xfId="1" applyNumberFormat="1" applyFont="1" applyFill="1" applyBorder="1"/>
    <xf numFmtId="166" fontId="0" fillId="2" borderId="19" xfId="1" applyNumberFormat="1" applyFont="1" applyFill="1" applyBorder="1" applyAlignment="1">
      <alignment horizontal="center"/>
    </xf>
    <xf numFmtId="0" fontId="14" fillId="12" borderId="0" xfId="0" applyFont="1" applyFill="1"/>
    <xf numFmtId="0" fontId="1" fillId="16" borderId="0" xfId="0" applyFont="1" applyFill="1"/>
    <xf numFmtId="0" fontId="0" fillId="9" borderId="5" xfId="22" applyFont="1"/>
    <xf numFmtId="0" fontId="0" fillId="9" borderId="5" xfId="0" applyFill="1" applyBorder="1"/>
    <xf numFmtId="166" fontId="0" fillId="2" borderId="16" xfId="1" applyNumberFormat="1" applyFont="1" applyFill="1" applyBorder="1" applyAlignment="1">
      <alignment horizontal="center"/>
    </xf>
    <xf numFmtId="9" fontId="18" fillId="2" borderId="16" xfId="2" applyFont="1" applyFill="1" applyBorder="1" applyAlignment="1">
      <alignment horizontal="left"/>
    </xf>
    <xf numFmtId="166" fontId="0" fillId="0" borderId="16" xfId="1" applyNumberFormat="1" applyFont="1" applyBorder="1"/>
    <xf numFmtId="0" fontId="0" fillId="10" borderId="0" xfId="0" applyFill="1"/>
    <xf numFmtId="0" fontId="0" fillId="3" borderId="0" xfId="0" applyFill="1"/>
    <xf numFmtId="0" fontId="23" fillId="3" borderId="0" xfId="0" applyFont="1" applyFill="1"/>
    <xf numFmtId="0" fontId="23" fillId="10" borderId="0" xfId="0" applyFont="1" applyFill="1"/>
    <xf numFmtId="0" fontId="20" fillId="0" borderId="0" xfId="0" applyFont="1"/>
    <xf numFmtId="166" fontId="5" fillId="0" borderId="19" xfId="1" applyNumberFormat="1" applyFont="1" applyFill="1" applyBorder="1"/>
    <xf numFmtId="0" fontId="5" fillId="0" borderId="0" xfId="0" applyFont="1" applyAlignment="1">
      <alignment horizontal="left"/>
    </xf>
    <xf numFmtId="0" fontId="5" fillId="0" borderId="0" xfId="0" applyFont="1" applyAlignment="1">
      <alignment horizontal="center"/>
    </xf>
    <xf numFmtId="9" fontId="5" fillId="0" borderId="16" xfId="0" applyNumberFormat="1" applyFont="1" applyBorder="1"/>
    <xf numFmtId="9" fontId="5" fillId="0" borderId="16" xfId="2" applyFont="1" applyFill="1" applyBorder="1"/>
    <xf numFmtId="166" fontId="5" fillId="0" borderId="0" xfId="1" applyNumberFormat="1" applyFont="1" applyFill="1" applyBorder="1"/>
    <xf numFmtId="0" fontId="17" fillId="0" borderId="0" xfId="0" applyFont="1"/>
    <xf numFmtId="0" fontId="25" fillId="0" borderId="0" xfId="0" applyFont="1" applyAlignment="1">
      <alignment horizontal="right"/>
    </xf>
    <xf numFmtId="9" fontId="25" fillId="0" borderId="0" xfId="2" applyFont="1" applyFill="1" applyBorder="1" applyAlignment="1">
      <alignment horizontal="center"/>
    </xf>
    <xf numFmtId="9" fontId="5" fillId="0" borderId="16" xfId="2" applyFont="1" applyFill="1" applyBorder="1" applyAlignment="1">
      <alignment horizontal="center"/>
    </xf>
    <xf numFmtId="168" fontId="5" fillId="0" borderId="16" xfId="2" applyNumberFormat="1" applyFont="1" applyFill="1" applyBorder="1" applyAlignment="1">
      <alignment horizontal="center"/>
    </xf>
    <xf numFmtId="0" fontId="5" fillId="0" borderId="0" xfId="0" applyFont="1" applyAlignment="1">
      <alignment horizontal="center" vertical="center"/>
    </xf>
    <xf numFmtId="9" fontId="5" fillId="0" borderId="0" xfId="2" applyFont="1" applyFill="1" applyBorder="1"/>
    <xf numFmtId="0" fontId="1" fillId="12" borderId="0" xfId="0" applyFont="1" applyFill="1"/>
    <xf numFmtId="0" fontId="1" fillId="12" borderId="0" xfId="0" applyFont="1" applyFill="1" applyAlignment="1">
      <alignment horizontal="center" vertical="center"/>
    </xf>
    <xf numFmtId="166" fontId="5" fillId="0" borderId="0" xfId="0" applyNumberFormat="1" applyFont="1"/>
    <xf numFmtId="9" fontId="5" fillId="0" borderId="0" xfId="0" applyNumberFormat="1" applyFont="1"/>
    <xf numFmtId="0" fontId="1" fillId="16" borderId="0" xfId="0" applyFont="1" applyFill="1" applyAlignment="1">
      <alignment horizontal="center" vertical="center"/>
    </xf>
    <xf numFmtId="0" fontId="1" fillId="0" borderId="0" xfId="0" applyFont="1"/>
    <xf numFmtId="0" fontId="5" fillId="0" borderId="0" xfId="0" applyFont="1" applyAlignment="1">
      <alignment horizontal="center" wrapText="1"/>
    </xf>
    <xf numFmtId="164" fontId="5" fillId="0" borderId="0" xfId="1" applyFont="1" applyFill="1" applyBorder="1" applyAlignment="1">
      <alignment horizontal="center"/>
    </xf>
    <xf numFmtId="166" fontId="5" fillId="0" borderId="0" xfId="1" applyNumberFormat="1" applyFont="1" applyFill="1" applyBorder="1" applyAlignment="1">
      <alignment horizontal="center"/>
    </xf>
    <xf numFmtId="0" fontId="0" fillId="0" borderId="0" xfId="0" applyAlignment="1">
      <alignment horizontal="right"/>
    </xf>
    <xf numFmtId="166" fontId="0" fillId="0" borderId="0" xfId="1" applyNumberFormat="1" applyFont="1" applyFill="1" applyBorder="1" applyAlignment="1">
      <alignment horizontal="center"/>
    </xf>
    <xf numFmtId="0" fontId="0" fillId="0" borderId="0" xfId="0" applyAlignment="1">
      <alignment horizontal="left"/>
    </xf>
    <xf numFmtId="166" fontId="4" fillId="0" borderId="16" xfId="1" applyNumberFormat="1" applyFont="1" applyFill="1" applyBorder="1"/>
    <xf numFmtId="166" fontId="4" fillId="0" borderId="0" xfId="1" applyNumberFormat="1" applyFont="1" applyFill="1" applyBorder="1"/>
    <xf numFmtId="0" fontId="0" fillId="0" borderId="0" xfId="0" applyAlignment="1">
      <alignment horizontal="center"/>
    </xf>
    <xf numFmtId="0" fontId="17" fillId="0" borderId="0" xfId="0" applyFont="1" applyAlignment="1">
      <alignment horizontal="center" vertical="center"/>
    </xf>
    <xf numFmtId="166" fontId="5" fillId="0" borderId="16" xfId="1" applyNumberFormat="1" applyFont="1" applyFill="1" applyBorder="1" applyAlignment="1">
      <alignment horizontal="center"/>
    </xf>
    <xf numFmtId="166" fontId="0" fillId="0" borderId="16" xfId="1" applyNumberFormat="1" applyFont="1" applyFill="1" applyBorder="1" applyAlignment="1">
      <alignment horizontal="center"/>
    </xf>
    <xf numFmtId="0" fontId="5" fillId="0" borderId="7" xfId="0" applyFont="1" applyBorder="1" applyAlignment="1">
      <alignment horizontal="center" vertical="center"/>
    </xf>
    <xf numFmtId="0" fontId="5" fillId="0" borderId="11" xfId="0" applyFont="1" applyBorder="1" applyAlignment="1">
      <alignment horizontal="center" vertical="center"/>
    </xf>
    <xf numFmtId="9" fontId="18" fillId="0" borderId="16" xfId="2" applyFont="1" applyFill="1" applyBorder="1" applyAlignment="1">
      <alignment horizontal="left"/>
    </xf>
    <xf numFmtId="0" fontId="5" fillId="0" borderId="0" xfId="0" applyFont="1" applyAlignment="1">
      <alignment horizontal="right"/>
    </xf>
    <xf numFmtId="0" fontId="17" fillId="0" borderId="0" xfId="0" applyFont="1" applyAlignment="1">
      <alignment horizontal="center"/>
    </xf>
    <xf numFmtId="0" fontId="17" fillId="0" borderId="0" xfId="0" applyFont="1" applyAlignment="1">
      <alignment vertical="center"/>
    </xf>
    <xf numFmtId="0" fontId="24" fillId="0" borderId="0" xfId="0" applyFont="1"/>
    <xf numFmtId="0" fontId="7" fillId="0" borderId="0" xfId="0" applyFont="1"/>
    <xf numFmtId="0" fontId="5" fillId="12" borderId="0" xfId="0" applyFont="1" applyFill="1"/>
    <xf numFmtId="0" fontId="5" fillId="12" borderId="0" xfId="0" applyFont="1" applyFill="1" applyAlignment="1">
      <alignment horizontal="center" vertical="center"/>
    </xf>
    <xf numFmtId="0" fontId="5" fillId="16" borderId="0" xfId="0" applyFont="1" applyFill="1"/>
    <xf numFmtId="0" fontId="5" fillId="16" borderId="0" xfId="0" applyFont="1" applyFill="1" applyAlignment="1">
      <alignment horizontal="center" vertical="center"/>
    </xf>
    <xf numFmtId="0" fontId="25" fillId="0" borderId="0" xfId="0" applyFont="1" applyAlignment="1">
      <alignment horizontal="left"/>
    </xf>
    <xf numFmtId="0" fontId="5" fillId="9" borderId="5" xfId="22" applyFont="1"/>
    <xf numFmtId="166" fontId="5" fillId="0" borderId="16" xfId="1" applyNumberFormat="1" applyFont="1" applyFill="1" applyBorder="1"/>
    <xf numFmtId="0" fontId="5" fillId="0" borderId="0" xfId="0" applyFont="1" applyAlignment="1">
      <alignment vertical="center" wrapText="1"/>
    </xf>
    <xf numFmtId="0" fontId="5" fillId="12" borderId="0" xfId="0" applyFont="1" applyFill="1" applyAlignment="1">
      <alignment horizontal="left"/>
    </xf>
    <xf numFmtId="0" fontId="5" fillId="16" borderId="0" xfId="0" applyFont="1" applyFill="1" applyAlignment="1">
      <alignment horizontal="left"/>
    </xf>
    <xf numFmtId="169" fontId="5" fillId="0" borderId="16" xfId="1" applyNumberFormat="1" applyFont="1" applyFill="1" applyBorder="1" applyAlignment="1">
      <alignment horizontal="center"/>
    </xf>
    <xf numFmtId="166" fontId="22" fillId="4" borderId="1" xfId="1" applyNumberFormat="1" applyFont="1" applyFill="1" applyBorder="1"/>
    <xf numFmtId="166" fontId="19" fillId="8" borderId="4" xfId="1" applyNumberFormat="1" applyFont="1" applyFill="1" applyBorder="1"/>
    <xf numFmtId="166" fontId="22" fillId="0" borderId="0" xfId="1" applyNumberFormat="1" applyFont="1" applyFill="1" applyBorder="1"/>
    <xf numFmtId="166" fontId="5" fillId="0" borderId="0" xfId="1" applyNumberFormat="1" applyFont="1" applyFill="1"/>
    <xf numFmtId="166" fontId="14" fillId="12" borderId="0" xfId="1" applyNumberFormat="1" applyFont="1" applyFill="1"/>
    <xf numFmtId="166" fontId="19" fillId="8" borderId="4" xfId="1" applyNumberFormat="1" applyFont="1" applyFill="1" applyBorder="1" applyProtection="1">
      <protection locked="0"/>
    </xf>
    <xf numFmtId="9" fontId="7" fillId="0" borderId="16" xfId="2" applyFont="1" applyFill="1" applyBorder="1" applyAlignment="1">
      <alignment horizontal="center"/>
    </xf>
    <xf numFmtId="0" fontId="5" fillId="14" borderId="3" xfId="0" applyFont="1" applyFill="1" applyBorder="1" applyAlignment="1">
      <alignment wrapText="1"/>
    </xf>
    <xf numFmtId="0" fontId="5" fillId="14" borderId="0" xfId="0" applyFont="1" applyFill="1" applyAlignment="1">
      <alignment wrapText="1"/>
    </xf>
    <xf numFmtId="0" fontId="5" fillId="14" borderId="2" xfId="0" applyFont="1" applyFill="1" applyBorder="1" applyAlignment="1">
      <alignment wrapText="1"/>
    </xf>
    <xf numFmtId="0" fontId="8" fillId="0" borderId="0" xfId="0" applyFont="1"/>
    <xf numFmtId="170" fontId="5" fillId="0" borderId="0" xfId="0" applyNumberFormat="1" applyFont="1"/>
    <xf numFmtId="0" fontId="5" fillId="5" borderId="19" xfId="0" applyFont="1" applyFill="1" applyBorder="1" applyAlignment="1">
      <alignment horizontal="center"/>
    </xf>
    <xf numFmtId="0" fontId="5" fillId="5" borderId="19" xfId="0" applyFont="1" applyFill="1" applyBorder="1" applyAlignment="1">
      <alignment horizontal="centerContinuous"/>
    </xf>
    <xf numFmtId="0" fontId="5" fillId="5" borderId="18" xfId="0" applyFont="1" applyFill="1" applyBorder="1" applyAlignment="1">
      <alignment horizontal="centerContinuous"/>
    </xf>
    <xf numFmtId="0" fontId="5" fillId="5" borderId="17" xfId="0" applyFont="1" applyFill="1" applyBorder="1" applyAlignment="1">
      <alignment horizontal="centerContinuous"/>
    </xf>
    <xf numFmtId="0" fontId="5" fillId="5" borderId="17" xfId="0" applyFont="1" applyFill="1" applyBorder="1" applyAlignment="1">
      <alignment horizontal="center"/>
    </xf>
    <xf numFmtId="0" fontId="5" fillId="14" borderId="19" xfId="0" applyFont="1" applyFill="1" applyBorder="1" applyAlignment="1">
      <alignment horizontal="centerContinuous"/>
    </xf>
    <xf numFmtId="0" fontId="5" fillId="14" borderId="18" xfId="0" applyFont="1" applyFill="1" applyBorder="1" applyAlignment="1">
      <alignment horizontal="centerContinuous"/>
    </xf>
    <xf numFmtId="0" fontId="5" fillId="14" borderId="17" xfId="0" applyFont="1" applyFill="1" applyBorder="1" applyAlignment="1">
      <alignment horizontal="centerContinuous"/>
    </xf>
    <xf numFmtId="0" fontId="5" fillId="5" borderId="14" xfId="0" applyFont="1" applyFill="1" applyBorder="1"/>
    <xf numFmtId="0" fontId="5" fillId="5" borderId="13" xfId="0" applyFont="1" applyFill="1" applyBorder="1"/>
    <xf numFmtId="0" fontId="5" fillId="14" borderId="14" xfId="0" applyFont="1" applyFill="1" applyBorder="1"/>
    <xf numFmtId="0" fontId="5" fillId="14" borderId="9" xfId="0" applyFont="1" applyFill="1" applyBorder="1"/>
    <xf numFmtId="0" fontId="5" fillId="14" borderId="15" xfId="0" applyFont="1" applyFill="1" applyBorder="1"/>
    <xf numFmtId="0" fontId="5" fillId="5" borderId="10" xfId="0" applyFont="1" applyFill="1" applyBorder="1"/>
    <xf numFmtId="0" fontId="5" fillId="14" borderId="10" xfId="0" applyFont="1" applyFill="1" applyBorder="1"/>
    <xf numFmtId="0" fontId="5" fillId="14" borderId="7" xfId="0" applyFont="1" applyFill="1" applyBorder="1"/>
    <xf numFmtId="0" fontId="5" fillId="14" borderId="11" xfId="0" applyFont="1" applyFill="1" applyBorder="1"/>
    <xf numFmtId="0" fontId="5" fillId="5" borderId="3" xfId="0" applyFont="1" applyFill="1" applyBorder="1" applyAlignment="1">
      <alignment wrapText="1"/>
    </xf>
    <xf numFmtId="0" fontId="5" fillId="5" borderId="14" xfId="0" applyFont="1" applyFill="1" applyBorder="1" applyAlignment="1">
      <alignment wrapText="1"/>
    </xf>
    <xf numFmtId="0" fontId="5" fillId="5" borderId="9" xfId="0" applyFont="1" applyFill="1" applyBorder="1" applyAlignment="1">
      <alignment wrapText="1"/>
    </xf>
    <xf numFmtId="0" fontId="5" fillId="5" borderId="13" xfId="0" applyFont="1" applyFill="1" applyBorder="1" applyAlignment="1">
      <alignment wrapText="1"/>
    </xf>
    <xf numFmtId="0" fontId="28" fillId="0" borderId="0" xfId="0" applyFont="1"/>
    <xf numFmtId="166" fontId="28" fillId="5" borderId="19" xfId="1" applyNumberFormat="1" applyFont="1" applyFill="1" applyBorder="1" applyAlignment="1">
      <alignment wrapText="1"/>
    </xf>
    <xf numFmtId="166" fontId="28" fillId="14" borderId="19" xfId="1" applyNumberFormat="1" applyFont="1" applyFill="1" applyBorder="1" applyAlignment="1">
      <alignment wrapText="1"/>
    </xf>
    <xf numFmtId="166" fontId="28" fillId="14" borderId="18" xfId="1" applyNumberFormat="1" applyFont="1" applyFill="1" applyBorder="1" applyAlignment="1">
      <alignment wrapText="1"/>
    </xf>
    <xf numFmtId="166" fontId="28" fillId="14" borderId="17" xfId="1" applyNumberFormat="1" applyFont="1" applyFill="1" applyBorder="1" applyAlignment="1">
      <alignment wrapText="1"/>
    </xf>
    <xf numFmtId="0" fontId="5" fillId="0" borderId="13" xfId="0" applyFont="1" applyBorder="1"/>
    <xf numFmtId="0" fontId="5" fillId="0" borderId="6" xfId="0" applyFont="1" applyBorder="1"/>
    <xf numFmtId="0" fontId="14" fillId="16" borderId="0" xfId="0" applyFont="1" applyFill="1"/>
    <xf numFmtId="0" fontId="29" fillId="0" borderId="0" xfId="0" applyFont="1" applyAlignment="1">
      <alignment wrapText="1"/>
    </xf>
    <xf numFmtId="0" fontId="13" fillId="0" borderId="0" xfId="0" applyFont="1"/>
    <xf numFmtId="0" fontId="13" fillId="0" borderId="0" xfId="0" applyFont="1" applyAlignment="1">
      <alignment horizontal="center" vertical="center"/>
    </xf>
    <xf numFmtId="166" fontId="8" fillId="0" borderId="0" xfId="1" applyNumberFormat="1" applyFont="1"/>
    <xf numFmtId="0" fontId="30" fillId="0" borderId="0" xfId="0" applyFont="1"/>
    <xf numFmtId="0" fontId="11" fillId="4" borderId="4" xfId="23"/>
    <xf numFmtId="9" fontId="19" fillId="8" borderId="4" xfId="20" applyNumberFormat="1" applyProtection="1">
      <protection locked="0"/>
    </xf>
    <xf numFmtId="164" fontId="19" fillId="8" borderId="4" xfId="1" applyFont="1" applyFill="1" applyBorder="1"/>
    <xf numFmtId="9" fontId="19" fillId="8" borderId="4" xfId="2" applyFont="1" applyFill="1" applyBorder="1"/>
    <xf numFmtId="171" fontId="0" fillId="0" borderId="0" xfId="1" applyNumberFormat="1" applyFont="1"/>
    <xf numFmtId="166" fontId="12" fillId="0" borderId="8" xfId="24" applyNumberFormat="1"/>
    <xf numFmtId="0" fontId="0" fillId="13" borderId="0" xfId="0" applyFill="1"/>
    <xf numFmtId="0" fontId="3" fillId="13" borderId="0" xfId="0" applyFont="1" applyFill="1"/>
    <xf numFmtId="0" fontId="29" fillId="0" borderId="0" xfId="0" applyFont="1"/>
    <xf numFmtId="166" fontId="0" fillId="0" borderId="0" xfId="0" applyNumberFormat="1"/>
    <xf numFmtId="0" fontId="20" fillId="0" borderId="0" xfId="0" applyFont="1" applyAlignment="1">
      <alignment horizontal="right"/>
    </xf>
    <xf numFmtId="0" fontId="6" fillId="9" borderId="5" xfId="19" applyFill="1" applyBorder="1"/>
    <xf numFmtId="0" fontId="22" fillId="4" borderId="1" xfId="21" applyFont="1"/>
    <xf numFmtId="0" fontId="7" fillId="9" borderId="5" xfId="22" applyFont="1"/>
    <xf numFmtId="0" fontId="7" fillId="0" borderId="5" xfId="22" applyFont="1" applyFill="1"/>
    <xf numFmtId="0" fontId="7" fillId="0" borderId="0" xfId="0" applyFont="1" applyAlignment="1">
      <alignment horizontal="left"/>
    </xf>
    <xf numFmtId="0" fontId="7" fillId="0" borderId="0" xfId="0" applyFont="1" applyAlignment="1">
      <alignment horizontal="center" vertical="center"/>
    </xf>
    <xf numFmtId="0" fontId="7" fillId="0" borderId="0" xfId="0" applyFont="1" applyAlignment="1">
      <alignment horizontal="center"/>
    </xf>
    <xf numFmtId="0" fontId="14" fillId="0" borderId="0" xfId="0" applyFont="1"/>
    <xf numFmtId="166" fontId="29" fillId="0" borderId="0" xfId="1" applyNumberFormat="1" applyFont="1"/>
    <xf numFmtId="170" fontId="0" fillId="0" borderId="0" xfId="1" applyNumberFormat="1" applyFont="1"/>
    <xf numFmtId="0" fontId="0" fillId="0" borderId="10" xfId="0" applyBorder="1"/>
    <xf numFmtId="9" fontId="0" fillId="0" borderId="0" xfId="2" applyFont="1" applyBorder="1"/>
    <xf numFmtId="166" fontId="5" fillId="0" borderId="0" xfId="1" applyNumberFormat="1" applyFont="1"/>
    <xf numFmtId="164" fontId="0" fillId="0" borderId="0" xfId="1" applyFont="1"/>
    <xf numFmtId="0" fontId="13" fillId="5" borderId="16" xfId="0" applyFont="1" applyFill="1" applyBorder="1" applyAlignment="1">
      <alignment horizontal="center" vertical="center"/>
    </xf>
    <xf numFmtId="0" fontId="13" fillId="5" borderId="16" xfId="0" applyFont="1" applyFill="1" applyBorder="1" applyAlignment="1">
      <alignment horizontal="center" vertical="center" wrapText="1"/>
    </xf>
    <xf numFmtId="0" fontId="17" fillId="12" borderId="0" xfId="0" applyFont="1" applyFill="1"/>
    <xf numFmtId="166" fontId="4" fillId="0" borderId="0" xfId="1" applyNumberFormat="1" applyFont="1"/>
    <xf numFmtId="0" fontId="32" fillId="0" borderId="0" xfId="0" applyFont="1"/>
    <xf numFmtId="3" fontId="0" fillId="0" borderId="0" xfId="0" applyNumberFormat="1"/>
    <xf numFmtId="0" fontId="0" fillId="0" borderId="16" xfId="0" applyBorder="1"/>
    <xf numFmtId="166" fontId="19" fillId="0" borderId="4" xfId="1" applyNumberFormat="1" applyFont="1" applyFill="1" applyBorder="1" applyProtection="1">
      <protection locked="0"/>
    </xf>
    <xf numFmtId="164" fontId="19" fillId="0" borderId="4" xfId="1" applyFont="1" applyFill="1" applyBorder="1" applyProtection="1">
      <protection locked="0"/>
    </xf>
    <xf numFmtId="9" fontId="0" fillId="0" borderId="0" xfId="0" applyNumberFormat="1"/>
    <xf numFmtId="166" fontId="19" fillId="8" borderId="22" xfId="1" applyNumberFormat="1" applyFont="1" applyFill="1" applyBorder="1" applyProtection="1">
      <protection locked="0"/>
    </xf>
    <xf numFmtId="166" fontId="19" fillId="0" borderId="22" xfId="1" applyNumberFormat="1" applyFont="1" applyFill="1" applyBorder="1" applyProtection="1">
      <protection locked="0"/>
    </xf>
    <xf numFmtId="164" fontId="19" fillId="0" borderId="22" xfId="1" applyFont="1" applyFill="1" applyBorder="1" applyProtection="1">
      <protection locked="0"/>
    </xf>
    <xf numFmtId="0" fontId="6" fillId="0" borderId="0" xfId="19"/>
    <xf numFmtId="9" fontId="0" fillId="0" borderId="14" xfId="2" applyFont="1" applyBorder="1"/>
    <xf numFmtId="9" fontId="0" fillId="0" borderId="9" xfId="2" applyFont="1" applyBorder="1"/>
    <xf numFmtId="9" fontId="0" fillId="0" borderId="9" xfId="0" applyNumberFormat="1" applyBorder="1"/>
    <xf numFmtId="9" fontId="0" fillId="0" borderId="15" xfId="0" applyNumberFormat="1" applyBorder="1"/>
    <xf numFmtId="9" fontId="0" fillId="0" borderId="3" xfId="2" applyFont="1" applyBorder="1"/>
    <xf numFmtId="9" fontId="0" fillId="0" borderId="2" xfId="0" applyNumberFormat="1" applyBorder="1"/>
    <xf numFmtId="166" fontId="19" fillId="0" borderId="0" xfId="1" applyNumberFormat="1" applyFont="1" applyFill="1" applyBorder="1" applyProtection="1">
      <protection locked="0"/>
    </xf>
    <xf numFmtId="9" fontId="0" fillId="0" borderId="18" xfId="2" applyFont="1" applyBorder="1"/>
    <xf numFmtId="9" fontId="0" fillId="0" borderId="17" xfId="2" applyFont="1" applyBorder="1"/>
    <xf numFmtId="0" fontId="3" fillId="0" borderId="0" xfId="0" applyFont="1" applyAlignment="1">
      <alignment horizontal="right"/>
    </xf>
    <xf numFmtId="170" fontId="21" fillId="4" borderId="16" xfId="1" applyNumberFormat="1" applyFont="1" applyFill="1" applyBorder="1"/>
    <xf numFmtId="1" fontId="17" fillId="0" borderId="0" xfId="1" applyNumberFormat="1" applyFont="1" applyFill="1" applyBorder="1" applyAlignment="1">
      <alignment horizontal="center" vertical="center"/>
    </xf>
    <xf numFmtId="9" fontId="0" fillId="0" borderId="0" xfId="1" applyNumberFormat="1" applyFont="1"/>
    <xf numFmtId="164" fontId="0" fillId="0" borderId="0" xfId="0" applyNumberFormat="1"/>
    <xf numFmtId="170" fontId="0" fillId="0" borderId="0" xfId="0" applyNumberFormat="1"/>
    <xf numFmtId="0" fontId="0" fillId="11" borderId="0" xfId="0" applyFill="1"/>
    <xf numFmtId="0" fontId="17" fillId="0" borderId="0" xfId="0" applyFont="1" applyAlignment="1">
      <alignment horizontal="right"/>
    </xf>
    <xf numFmtId="170" fontId="5" fillId="0" borderId="0" xfId="1" applyNumberFormat="1" applyFont="1"/>
    <xf numFmtId="166" fontId="0" fillId="0" borderId="3" xfId="1" applyNumberFormat="1" applyFont="1" applyBorder="1"/>
    <xf numFmtId="166" fontId="19" fillId="11" borderId="22" xfId="1" applyNumberFormat="1" applyFont="1" applyFill="1" applyBorder="1" applyProtection="1">
      <protection locked="0"/>
    </xf>
    <xf numFmtId="0" fontId="10" fillId="5" borderId="5" xfId="22" applyFont="1" applyFill="1"/>
    <xf numFmtId="0" fontId="35" fillId="5" borderId="5" xfId="19" applyFont="1" applyFill="1" applyBorder="1"/>
    <xf numFmtId="14" fontId="10" fillId="5" borderId="5" xfId="22" applyNumberFormat="1" applyFont="1" applyFill="1" applyAlignment="1">
      <alignment horizontal="left"/>
    </xf>
    <xf numFmtId="0" fontId="10" fillId="5" borderId="5" xfId="22" applyFont="1" applyFill="1" applyAlignment="1">
      <alignment vertical="top" wrapText="1"/>
    </xf>
    <xf numFmtId="0" fontId="8" fillId="2" borderId="0" xfId="0" applyFont="1" applyFill="1"/>
    <xf numFmtId="0" fontId="29" fillId="2" borderId="0" xfId="0" applyFont="1" applyFill="1"/>
    <xf numFmtId="0" fontId="29" fillId="2" borderId="0" xfId="0" applyFont="1" applyFill="1" applyAlignment="1">
      <alignment horizontal="left" vertical="top"/>
    </xf>
    <xf numFmtId="0" fontId="10" fillId="2" borderId="0" xfId="0" applyFont="1" applyFill="1"/>
    <xf numFmtId="170" fontId="22" fillId="0" borderId="0" xfId="1" applyNumberFormat="1" applyFont="1" applyFill="1" applyBorder="1"/>
    <xf numFmtId="166" fontId="0" fillId="0" borderId="18" xfId="1" applyNumberFormat="1" applyFont="1" applyBorder="1"/>
    <xf numFmtId="9" fontId="22" fillId="0" borderId="0" xfId="2" applyFont="1" applyFill="1" applyBorder="1"/>
    <xf numFmtId="9" fontId="7" fillId="0" borderId="0" xfId="2" applyFont="1" applyFill="1" applyBorder="1"/>
    <xf numFmtId="166" fontId="0" fillId="0" borderId="13" xfId="1" applyNumberFormat="1" applyFont="1" applyBorder="1"/>
    <xf numFmtId="166" fontId="0" fillId="0" borderId="6" xfId="1" applyNumberFormat="1" applyFont="1" applyBorder="1"/>
    <xf numFmtId="0" fontId="0" fillId="0" borderId="12" xfId="0" applyBorder="1"/>
    <xf numFmtId="166" fontId="0" fillId="0" borderId="14" xfId="1" applyNumberFormat="1" applyFont="1" applyBorder="1"/>
    <xf numFmtId="0" fontId="8" fillId="0" borderId="16" xfId="0" applyFont="1" applyBorder="1"/>
    <xf numFmtId="0" fontId="8" fillId="0" borderId="13" xfId="0" applyFont="1" applyBorder="1"/>
    <xf numFmtId="0" fontId="8" fillId="0" borderId="6" xfId="0" applyFont="1" applyBorder="1"/>
    <xf numFmtId="0" fontId="8" fillId="0" borderId="12" xfId="0" applyFont="1" applyBorder="1"/>
    <xf numFmtId="0" fontId="0" fillId="0" borderId="0" xfId="0" applyProtection="1">
      <protection hidden="1"/>
    </xf>
    <xf numFmtId="0" fontId="3" fillId="0" borderId="0" xfId="0" applyFont="1" applyProtection="1">
      <protection hidden="1"/>
    </xf>
    <xf numFmtId="0" fontId="0" fillId="12" borderId="0" xfId="0" applyFill="1" applyProtection="1">
      <protection hidden="1"/>
    </xf>
    <xf numFmtId="0" fontId="14" fillId="12" borderId="0" xfId="0" applyFont="1" applyFill="1" applyProtection="1">
      <protection hidden="1"/>
    </xf>
    <xf numFmtId="0" fontId="1" fillId="12" borderId="0" xfId="0" applyFont="1" applyFill="1" applyProtection="1">
      <protection hidden="1"/>
    </xf>
    <xf numFmtId="0" fontId="0" fillId="9" borderId="5" xfId="22" applyFont="1" applyProtection="1">
      <protection hidden="1"/>
    </xf>
    <xf numFmtId="166" fontId="0" fillId="0" borderId="0" xfId="1" applyNumberFormat="1" applyFont="1" applyProtection="1">
      <protection hidden="1"/>
    </xf>
    <xf numFmtId="0" fontId="5" fillId="0" borderId="0" xfId="0" applyFont="1" applyAlignment="1" applyProtection="1">
      <alignment horizontal="left"/>
      <protection hidden="1"/>
    </xf>
    <xf numFmtId="166" fontId="0" fillId="0" borderId="0" xfId="0" applyNumberFormat="1" applyProtection="1">
      <protection hidden="1"/>
    </xf>
    <xf numFmtId="0" fontId="1" fillId="0" borderId="0" xfId="0" applyFont="1" applyProtection="1">
      <protection hidden="1"/>
    </xf>
    <xf numFmtId="0" fontId="1" fillId="0" borderId="0" xfId="0" applyFont="1" applyAlignment="1" applyProtection="1">
      <alignment horizontal="left"/>
      <protection hidden="1"/>
    </xf>
    <xf numFmtId="0" fontId="0" fillId="13" borderId="0" xfId="0" applyFill="1" applyProtection="1">
      <protection hidden="1"/>
    </xf>
    <xf numFmtId="0" fontId="3" fillId="13" borderId="0" xfId="0" applyFont="1" applyFill="1" applyProtection="1">
      <protection hidden="1"/>
    </xf>
    <xf numFmtId="0" fontId="0" fillId="13" borderId="0" xfId="0" applyFill="1" applyAlignment="1" applyProtection="1">
      <alignment horizontal="left"/>
      <protection hidden="1"/>
    </xf>
    <xf numFmtId="0" fontId="17" fillId="13" borderId="0" xfId="0" applyFont="1" applyFill="1"/>
    <xf numFmtId="0" fontId="5" fillId="13" borderId="0" xfId="0" applyFont="1" applyFill="1"/>
    <xf numFmtId="166" fontId="5" fillId="13" borderId="0" xfId="1" applyNumberFormat="1" applyFont="1" applyFill="1"/>
    <xf numFmtId="164" fontId="5" fillId="0" borderId="0" xfId="2" applyNumberFormat="1" applyFont="1" applyFill="1"/>
    <xf numFmtId="166" fontId="0" fillId="0" borderId="0" xfId="1" applyNumberFormat="1" applyFont="1" applyAlignment="1" applyProtection="1">
      <alignment horizontal="left"/>
      <protection hidden="1"/>
    </xf>
    <xf numFmtId="0" fontId="0" fillId="0" borderId="0" xfId="0" applyAlignment="1" applyProtection="1">
      <alignment horizontal="left" wrapText="1"/>
      <protection hidden="1"/>
    </xf>
    <xf numFmtId="0" fontId="36" fillId="5" borderId="5" xfId="22" applyFont="1" applyFill="1" applyAlignment="1">
      <alignment wrapText="1"/>
    </xf>
    <xf numFmtId="0" fontId="0" fillId="14" borderId="0" xfId="0" applyFill="1"/>
    <xf numFmtId="9" fontId="0" fillId="5" borderId="0" xfId="2" applyFont="1" applyFill="1"/>
    <xf numFmtId="1" fontId="0" fillId="14" borderId="0" xfId="1" applyNumberFormat="1" applyFont="1" applyFill="1"/>
    <xf numFmtId="9" fontId="22" fillId="20" borderId="0" xfId="2" applyFont="1" applyFill="1" applyBorder="1"/>
    <xf numFmtId="9" fontId="5" fillId="0" borderId="19" xfId="2" applyFont="1" applyFill="1" applyBorder="1"/>
    <xf numFmtId="166" fontId="0" fillId="0" borderId="0" xfId="1" applyNumberFormat="1" applyFont="1" applyFill="1" applyBorder="1"/>
    <xf numFmtId="9" fontId="0" fillId="0" borderId="0" xfId="2" applyFont="1" applyFill="1" applyBorder="1"/>
    <xf numFmtId="0" fontId="0" fillId="0" borderId="3" xfId="0" applyBorder="1"/>
    <xf numFmtId="0" fontId="0" fillId="5" borderId="19" xfId="0" applyFill="1" applyBorder="1" applyAlignment="1">
      <alignment horizontal="center" wrapText="1"/>
    </xf>
    <xf numFmtId="0" fontId="0" fillId="5" borderId="18" xfId="0" applyFill="1" applyBorder="1" applyAlignment="1">
      <alignment horizontal="center" wrapText="1"/>
    </xf>
    <xf numFmtId="0" fontId="0" fillId="5" borderId="17" xfId="0" applyFill="1" applyBorder="1" applyAlignment="1">
      <alignment horizontal="center" wrapText="1"/>
    </xf>
    <xf numFmtId="0" fontId="39" fillId="0" borderId="0" xfId="0" applyFont="1"/>
    <xf numFmtId="0" fontId="0" fillId="5" borderId="14" xfId="0" applyFill="1" applyBorder="1" applyAlignment="1">
      <alignment horizontal="center" wrapText="1"/>
    </xf>
    <xf numFmtId="0" fontId="0" fillId="5" borderId="9" xfId="0" applyFill="1" applyBorder="1" applyAlignment="1">
      <alignment horizontal="center" wrapText="1"/>
    </xf>
    <xf numFmtId="0" fontId="0" fillId="5" borderId="15" xfId="0" applyFill="1" applyBorder="1" applyAlignment="1">
      <alignment horizontal="center" wrapText="1"/>
    </xf>
    <xf numFmtId="166" fontId="0" fillId="22" borderId="14" xfId="1" applyNumberFormat="1" applyFont="1" applyFill="1" applyBorder="1"/>
    <xf numFmtId="166" fontId="0" fillId="22" borderId="9" xfId="1" applyNumberFormat="1" applyFont="1" applyFill="1" applyBorder="1"/>
    <xf numFmtId="166" fontId="0" fillId="22" borderId="15" xfId="1" applyNumberFormat="1" applyFont="1" applyFill="1" applyBorder="1"/>
    <xf numFmtId="166" fontId="0" fillId="22" borderId="10" xfId="1" applyNumberFormat="1" applyFont="1" applyFill="1" applyBorder="1"/>
    <xf numFmtId="166" fontId="0" fillId="22" borderId="7" xfId="1" applyNumberFormat="1" applyFont="1" applyFill="1" applyBorder="1"/>
    <xf numFmtId="166" fontId="0" fillId="22" borderId="11" xfId="1" applyNumberFormat="1" applyFont="1" applyFill="1" applyBorder="1"/>
    <xf numFmtId="0" fontId="0" fillId="21" borderId="0" xfId="0" applyFill="1" applyAlignment="1">
      <alignment wrapText="1"/>
    </xf>
    <xf numFmtId="166" fontId="0" fillId="23" borderId="14" xfId="1" applyNumberFormat="1" applyFont="1" applyFill="1" applyBorder="1"/>
    <xf numFmtId="166" fontId="0" fillId="23" borderId="9" xfId="1" applyNumberFormat="1" applyFont="1" applyFill="1" applyBorder="1"/>
    <xf numFmtId="166" fontId="0" fillId="23" borderId="15" xfId="1" applyNumberFormat="1" applyFont="1" applyFill="1" applyBorder="1"/>
    <xf numFmtId="166" fontId="0" fillId="23" borderId="10" xfId="1" applyNumberFormat="1" applyFont="1" applyFill="1" applyBorder="1"/>
    <xf numFmtId="166" fontId="0" fillId="23" borderId="7" xfId="1" applyNumberFormat="1" applyFont="1" applyFill="1" applyBorder="1"/>
    <xf numFmtId="166" fontId="0" fillId="23" borderId="11" xfId="1" applyNumberFormat="1" applyFont="1" applyFill="1" applyBorder="1"/>
    <xf numFmtId="0" fontId="0" fillId="13" borderId="18" xfId="0" applyFill="1" applyBorder="1"/>
    <xf numFmtId="0" fontId="0" fillId="13" borderId="17" xfId="0" applyFill="1" applyBorder="1"/>
    <xf numFmtId="0" fontId="0" fillId="13" borderId="14" xfId="0" applyFill="1" applyBorder="1"/>
    <xf numFmtId="0" fontId="0" fillId="15" borderId="0" xfId="0" applyFill="1" applyAlignment="1">
      <alignment wrapText="1"/>
    </xf>
    <xf numFmtId="0" fontId="0" fillId="23" borderId="0" xfId="0" applyFill="1" applyAlignment="1">
      <alignment wrapText="1"/>
    </xf>
    <xf numFmtId="0" fontId="0" fillId="13" borderId="16" xfId="0" applyFill="1" applyBorder="1"/>
    <xf numFmtId="0" fontId="0" fillId="13" borderId="16" xfId="0" applyFill="1" applyBorder="1" applyAlignment="1">
      <alignment wrapText="1"/>
    </xf>
    <xf numFmtId="9" fontId="4" fillId="0" borderId="0" xfId="2" applyFont="1" applyFill="1" applyBorder="1"/>
    <xf numFmtId="9" fontId="0" fillId="6" borderId="0" xfId="2" applyFont="1" applyFill="1"/>
    <xf numFmtId="9" fontId="0" fillId="21" borderId="0" xfId="2" applyFont="1" applyFill="1"/>
    <xf numFmtId="9" fontId="0" fillId="20" borderId="0" xfId="2" applyFont="1" applyFill="1"/>
    <xf numFmtId="9" fontId="0" fillId="22" borderId="0" xfId="2" applyFont="1" applyFill="1"/>
    <xf numFmtId="0" fontId="0" fillId="24" borderId="0" xfId="0" applyFill="1" applyAlignment="1">
      <alignment wrapText="1"/>
    </xf>
    <xf numFmtId="166" fontId="0" fillId="24" borderId="14" xfId="1" applyNumberFormat="1" applyFont="1" applyFill="1" applyBorder="1"/>
    <xf numFmtId="166" fontId="0" fillId="24" borderId="9" xfId="1" applyNumberFormat="1" applyFont="1" applyFill="1" applyBorder="1"/>
    <xf numFmtId="166" fontId="0" fillId="24" borderId="15" xfId="1" applyNumberFormat="1" applyFont="1" applyFill="1" applyBorder="1"/>
    <xf numFmtId="166" fontId="0" fillId="24" borderId="10" xfId="1" applyNumberFormat="1" applyFont="1" applyFill="1" applyBorder="1"/>
    <xf numFmtId="166" fontId="0" fillId="24" borderId="7" xfId="1" applyNumberFormat="1" applyFont="1" applyFill="1" applyBorder="1"/>
    <xf numFmtId="166" fontId="0" fillId="24" borderId="11" xfId="1" applyNumberFormat="1" applyFont="1" applyFill="1" applyBorder="1"/>
    <xf numFmtId="9" fontId="0" fillId="24" borderId="0" xfId="2" applyFont="1" applyFill="1"/>
    <xf numFmtId="0" fontId="0" fillId="24" borderId="0" xfId="0" applyFill="1"/>
    <xf numFmtId="0" fontId="20" fillId="9" borderId="5" xfId="22" applyFont="1" applyProtection="1">
      <protection hidden="1"/>
    </xf>
    <xf numFmtId="3" fontId="3" fillId="0" borderId="0" xfId="0" applyNumberFormat="1" applyFont="1"/>
    <xf numFmtId="0" fontId="5" fillId="11" borderId="0" xfId="0" applyFont="1" applyFill="1"/>
    <xf numFmtId="166" fontId="0" fillId="0" borderId="0" xfId="0" applyNumberFormat="1" applyAlignment="1" applyProtection="1">
      <alignment horizontal="left"/>
      <protection hidden="1"/>
    </xf>
    <xf numFmtId="0" fontId="37" fillId="13" borderId="0" xfId="0" applyFont="1" applyFill="1" applyAlignment="1">
      <alignment vertical="center"/>
    </xf>
    <xf numFmtId="0" fontId="0" fillId="25" borderId="0" xfId="0" applyFill="1" applyAlignment="1">
      <alignment wrapText="1"/>
    </xf>
    <xf numFmtId="0" fontId="0" fillId="7" borderId="0" xfId="0" applyFill="1"/>
    <xf numFmtId="0" fontId="0" fillId="26" borderId="0" xfId="0" applyFill="1"/>
    <xf numFmtId="0" fontId="0" fillId="6" borderId="0" xfId="0" applyFill="1"/>
    <xf numFmtId="9" fontId="19" fillId="8" borderId="4" xfId="20" applyNumberFormat="1"/>
    <xf numFmtId="9" fontId="11" fillId="4" borderId="4" xfId="23" applyNumberFormat="1"/>
    <xf numFmtId="2" fontId="11" fillId="4" borderId="4" xfId="23" applyNumberFormat="1"/>
    <xf numFmtId="164" fontId="11" fillId="4" borderId="4" xfId="23" applyNumberFormat="1"/>
    <xf numFmtId="0" fontId="0" fillId="0" borderId="5" xfId="22" applyFont="1" applyFill="1" applyProtection="1">
      <protection hidden="1"/>
    </xf>
    <xf numFmtId="0" fontId="0" fillId="0" borderId="0" xfId="0" applyAlignment="1" applyProtection="1">
      <alignment horizontal="left"/>
      <protection hidden="1"/>
    </xf>
    <xf numFmtId="166" fontId="0" fillId="0" borderId="0" xfId="1" applyNumberFormat="1" applyFont="1" applyFill="1" applyAlignment="1" applyProtection="1">
      <alignment horizontal="left"/>
      <protection hidden="1"/>
    </xf>
    <xf numFmtId="168" fontId="11" fillId="4" borderId="4" xfId="23" applyNumberFormat="1"/>
    <xf numFmtId="166" fontId="11" fillId="4" borderId="4" xfId="23" applyNumberFormat="1"/>
    <xf numFmtId="166" fontId="12" fillId="4" borderId="8" xfId="24" applyNumberFormat="1" applyFill="1"/>
    <xf numFmtId="0" fontId="19" fillId="8" borderId="4" xfId="20"/>
    <xf numFmtId="174" fontId="0" fillId="0" borderId="0" xfId="0" applyNumberFormat="1"/>
    <xf numFmtId="0" fontId="41" fillId="5" borderId="0" xfId="0" applyFont="1" applyFill="1" applyAlignment="1">
      <alignment vertical="center" wrapText="1"/>
    </xf>
    <xf numFmtId="164" fontId="5" fillId="0" borderId="16" xfId="1" applyFont="1" applyFill="1" applyBorder="1" applyAlignment="1">
      <alignment horizontal="center"/>
    </xf>
    <xf numFmtId="9" fontId="19" fillId="0" borderId="0" xfId="2" applyFont="1" applyFill="1" applyBorder="1"/>
    <xf numFmtId="0" fontId="0" fillId="0" borderId="5" xfId="22" applyFont="1" applyFill="1"/>
    <xf numFmtId="0" fontId="45" fillId="5" borderId="0" xfId="0" applyFont="1" applyFill="1" applyAlignment="1">
      <alignment vertical="center" wrapText="1"/>
    </xf>
    <xf numFmtId="166" fontId="11" fillId="4" borderId="4" xfId="23" applyNumberFormat="1" applyProtection="1">
      <protection locked="0"/>
    </xf>
    <xf numFmtId="166" fontId="14" fillId="0" borderId="4" xfId="23" applyNumberFormat="1" applyFont="1" applyFill="1" applyProtection="1">
      <protection locked="0"/>
    </xf>
    <xf numFmtId="164" fontId="11" fillId="4" borderId="4" xfId="23" applyNumberFormat="1" applyProtection="1">
      <protection locked="0"/>
    </xf>
    <xf numFmtId="164" fontId="19" fillId="8" borderId="4" xfId="1" applyFont="1" applyFill="1" applyBorder="1" applyProtection="1">
      <protection locked="0"/>
    </xf>
    <xf numFmtId="0" fontId="5" fillId="0" borderId="5" xfId="22" applyFont="1" applyFill="1"/>
    <xf numFmtId="2" fontId="39" fillId="7" borderId="0" xfId="0" applyNumberFormat="1" applyFont="1" applyFill="1" applyAlignment="1">
      <alignment horizontal="left" vertical="center"/>
    </xf>
    <xf numFmtId="0" fontId="39" fillId="0" borderId="0" xfId="0" applyFont="1" applyAlignment="1">
      <alignment horizontal="left"/>
    </xf>
    <xf numFmtId="1" fontId="17" fillId="0" borderId="0" xfId="0" applyNumberFormat="1" applyFont="1" applyAlignment="1">
      <alignment horizontal="center" vertical="center"/>
    </xf>
    <xf numFmtId="0" fontId="20" fillId="0" borderId="0" xfId="0" applyFont="1" applyAlignment="1" applyProtection="1">
      <alignment horizontal="left"/>
      <protection hidden="1"/>
    </xf>
    <xf numFmtId="0" fontId="0" fillId="11" borderId="5" xfId="22" applyFont="1" applyFill="1"/>
    <xf numFmtId="170" fontId="5" fillId="0" borderId="0" xfId="1" applyNumberFormat="1" applyFont="1" applyFill="1"/>
    <xf numFmtId="0" fontId="17" fillId="9" borderId="5" xfId="22" applyFont="1" applyAlignment="1">
      <alignment horizontal="centerContinuous"/>
    </xf>
    <xf numFmtId="0" fontId="5" fillId="28" borderId="19" xfId="0" applyFont="1" applyFill="1" applyBorder="1" applyAlignment="1">
      <alignment horizontal="centerContinuous"/>
    </xf>
    <xf numFmtId="0" fontId="5" fillId="28" borderId="18" xfId="0" applyFont="1" applyFill="1" applyBorder="1" applyAlignment="1">
      <alignment horizontal="centerContinuous"/>
    </xf>
    <xf numFmtId="0" fontId="5" fillId="28" borderId="17" xfId="0" applyFont="1" applyFill="1" applyBorder="1" applyAlignment="1">
      <alignment horizontal="centerContinuous"/>
    </xf>
    <xf numFmtId="0" fontId="1" fillId="29" borderId="19" xfId="0" applyFont="1" applyFill="1" applyBorder="1" applyAlignment="1">
      <alignment horizontal="centerContinuous"/>
    </xf>
    <xf numFmtId="0" fontId="1" fillId="29" borderId="18" xfId="0" applyFont="1" applyFill="1" applyBorder="1" applyAlignment="1">
      <alignment horizontal="centerContinuous"/>
    </xf>
    <xf numFmtId="0" fontId="1" fillId="29" borderId="17" xfId="0" applyFont="1" applyFill="1" applyBorder="1" applyAlignment="1">
      <alignment horizontal="centerContinuous"/>
    </xf>
    <xf numFmtId="0" fontId="5" fillId="28" borderId="14" xfId="0" applyFont="1" applyFill="1" applyBorder="1"/>
    <xf numFmtId="0" fontId="5" fillId="28" borderId="9" xfId="0" applyFont="1" applyFill="1" applyBorder="1"/>
    <xf numFmtId="0" fontId="5" fillId="28" borderId="15" xfId="0" applyFont="1" applyFill="1" applyBorder="1"/>
    <xf numFmtId="0" fontId="1" fillId="29" borderId="14" xfId="0" applyFont="1" applyFill="1" applyBorder="1"/>
    <xf numFmtId="0" fontId="1" fillId="29" borderId="9" xfId="0" applyFont="1" applyFill="1" applyBorder="1"/>
    <xf numFmtId="0" fontId="1" fillId="29" borderId="15" xfId="0" applyFont="1" applyFill="1" applyBorder="1"/>
    <xf numFmtId="0" fontId="1" fillId="29" borderId="13" xfId="0" applyFont="1" applyFill="1" applyBorder="1"/>
    <xf numFmtId="0" fontId="5" fillId="28" borderId="10" xfId="0" applyFont="1" applyFill="1" applyBorder="1"/>
    <xf numFmtId="0" fontId="5" fillId="28" borderId="7" xfId="0" applyFont="1" applyFill="1" applyBorder="1"/>
    <xf numFmtId="0" fontId="5" fillId="28" borderId="11" xfId="0" applyFont="1" applyFill="1" applyBorder="1"/>
    <xf numFmtId="0" fontId="1" fillId="29" borderId="10" xfId="0" applyFont="1" applyFill="1" applyBorder="1"/>
    <xf numFmtId="0" fontId="1" fillId="29" borderId="7" xfId="0" applyFont="1" applyFill="1" applyBorder="1"/>
    <xf numFmtId="0" fontId="1" fillId="29" borderId="11" xfId="0" applyFont="1" applyFill="1" applyBorder="1"/>
    <xf numFmtId="0" fontId="1" fillId="29" borderId="12" xfId="0" applyFont="1" applyFill="1" applyBorder="1"/>
    <xf numFmtId="0" fontId="5" fillId="28" borderId="3" xfId="0" applyFont="1" applyFill="1" applyBorder="1" applyAlignment="1">
      <alignment wrapText="1"/>
    </xf>
    <xf numFmtId="0" fontId="5" fillId="28" borderId="0" xfId="0" applyFont="1" applyFill="1" applyAlignment="1">
      <alignment wrapText="1"/>
    </xf>
    <xf numFmtId="0" fontId="5" fillId="28" borderId="2" xfId="0" applyFont="1" applyFill="1" applyBorder="1" applyAlignment="1">
      <alignment wrapText="1"/>
    </xf>
    <xf numFmtId="0" fontId="1" fillId="29" borderId="3" xfId="0" applyFont="1" applyFill="1" applyBorder="1" applyAlignment="1">
      <alignment wrapText="1"/>
    </xf>
    <xf numFmtId="0" fontId="1" fillId="29" borderId="0" xfId="0" applyFont="1" applyFill="1" applyAlignment="1">
      <alignment wrapText="1"/>
    </xf>
    <xf numFmtId="0" fontId="1" fillId="29" borderId="2" xfId="0" applyFont="1" applyFill="1" applyBorder="1" applyAlignment="1">
      <alignment wrapText="1"/>
    </xf>
    <xf numFmtId="166" fontId="28" fillId="28" borderId="19" xfId="1" applyNumberFormat="1" applyFont="1" applyFill="1" applyBorder="1" applyAlignment="1">
      <alignment wrapText="1"/>
    </xf>
    <xf numFmtId="166" fontId="28" fillId="28" borderId="18" xfId="1" applyNumberFormat="1" applyFont="1" applyFill="1" applyBorder="1" applyAlignment="1">
      <alignment wrapText="1"/>
    </xf>
    <xf numFmtId="166" fontId="28" fillId="28" borderId="17" xfId="1" applyNumberFormat="1" applyFont="1" applyFill="1" applyBorder="1" applyAlignment="1">
      <alignment wrapText="1"/>
    </xf>
    <xf numFmtId="166" fontId="47" fillId="29" borderId="19" xfId="1" applyNumberFormat="1" applyFont="1" applyFill="1" applyBorder="1" applyAlignment="1">
      <alignment wrapText="1"/>
    </xf>
    <xf numFmtId="166" fontId="47" fillId="29" borderId="18" xfId="1" applyNumberFormat="1" applyFont="1" applyFill="1" applyBorder="1" applyAlignment="1">
      <alignment wrapText="1"/>
    </xf>
    <xf numFmtId="166" fontId="47" fillId="29" borderId="17" xfId="1" applyNumberFormat="1" applyFont="1" applyFill="1" applyBorder="1" applyAlignment="1">
      <alignment wrapText="1"/>
    </xf>
    <xf numFmtId="170" fontId="5" fillId="11" borderId="0" xfId="1" applyNumberFormat="1" applyFont="1" applyFill="1"/>
    <xf numFmtId="166" fontId="5" fillId="11" borderId="0" xfId="0" applyNumberFormat="1" applyFont="1" applyFill="1"/>
    <xf numFmtId="0" fontId="1" fillId="29" borderId="0" xfId="0" applyFont="1" applyFill="1" applyAlignment="1">
      <alignment horizontal="center"/>
    </xf>
    <xf numFmtId="0" fontId="1" fillId="29" borderId="0" xfId="0" applyFont="1" applyFill="1"/>
    <xf numFmtId="166" fontId="47" fillId="29" borderId="0" xfId="1" applyNumberFormat="1" applyFont="1" applyFill="1" applyBorder="1" applyAlignment="1">
      <alignment wrapText="1"/>
    </xf>
    <xf numFmtId="0" fontId="1" fillId="28" borderId="0" xfId="0" applyFont="1" applyFill="1" applyAlignment="1">
      <alignment horizontal="center"/>
    </xf>
    <xf numFmtId="0" fontId="1" fillId="28" borderId="0" xfId="0" applyFont="1" applyFill="1"/>
    <xf numFmtId="0" fontId="17" fillId="14" borderId="0" xfId="0" applyFont="1" applyFill="1" applyAlignment="1">
      <alignment horizontal="center"/>
    </xf>
    <xf numFmtId="0" fontId="17" fillId="14" borderId="0" xfId="0" applyFont="1" applyFill="1"/>
    <xf numFmtId="166" fontId="30" fillId="0" borderId="0" xfId="1" applyNumberFormat="1" applyFont="1"/>
    <xf numFmtId="164" fontId="8" fillId="0" borderId="0" xfId="1" applyFont="1"/>
    <xf numFmtId="166" fontId="17" fillId="0" borderId="0" xfId="0" applyNumberFormat="1" applyFont="1"/>
    <xf numFmtId="166" fontId="0" fillId="0" borderId="0" xfId="1" applyNumberFormat="1" applyFont="1" applyFill="1"/>
    <xf numFmtId="0" fontId="0" fillId="31" borderId="0" xfId="0" applyFill="1"/>
    <xf numFmtId="0" fontId="49" fillId="5" borderId="0" xfId="0" applyFont="1" applyFill="1"/>
    <xf numFmtId="0" fontId="50" fillId="5" borderId="0" xfId="0" applyFont="1" applyFill="1"/>
    <xf numFmtId="0" fontId="51" fillId="5" borderId="0" xfId="0" applyFont="1" applyFill="1" applyAlignment="1">
      <alignment horizontal="right" vertical="top"/>
    </xf>
    <xf numFmtId="0" fontId="52" fillId="5" borderId="0" xfId="0" applyFont="1" applyFill="1"/>
    <xf numFmtId="0" fontId="53" fillId="5" borderId="0" xfId="0" applyFont="1" applyFill="1"/>
    <xf numFmtId="0" fontId="54" fillId="5" borderId="0" xfId="0" applyFont="1" applyFill="1"/>
    <xf numFmtId="0" fontId="49" fillId="5" borderId="0" xfId="0" applyFont="1" applyFill="1" applyAlignment="1">
      <alignment horizontal="center"/>
    </xf>
    <xf numFmtId="0" fontId="55" fillId="5" borderId="0" xfId="0" applyFont="1" applyFill="1" applyAlignment="1">
      <alignment horizontal="left" vertical="center"/>
    </xf>
    <xf numFmtId="0" fontId="55" fillId="5" borderId="0" xfId="0" applyFont="1" applyFill="1" applyAlignment="1">
      <alignment horizontal="right" vertical="center"/>
    </xf>
    <xf numFmtId="0" fontId="59" fillId="5" borderId="0" xfId="0" applyFont="1" applyFill="1" applyAlignment="1">
      <alignment horizontal="right"/>
    </xf>
    <xf numFmtId="0" fontId="57" fillId="5" borderId="0" xfId="0" applyFont="1" applyFill="1" applyAlignment="1">
      <alignment vertical="top"/>
    </xf>
    <xf numFmtId="0" fontId="61" fillId="5" borderId="0" xfId="0" applyFont="1" applyFill="1" applyAlignment="1">
      <alignment horizontal="left" vertical="center" wrapText="1"/>
    </xf>
    <xf numFmtId="0" fontId="50" fillId="13" borderId="0" xfId="0" applyFont="1" applyFill="1"/>
    <xf numFmtId="0" fontId="55" fillId="13" borderId="0" xfId="0" applyFont="1" applyFill="1" applyAlignment="1">
      <alignment horizontal="right" vertical="center" indent="1"/>
    </xf>
    <xf numFmtId="0" fontId="33" fillId="13" borderId="0" xfId="0" applyFont="1" applyFill="1"/>
    <xf numFmtId="0" fontId="55" fillId="13" borderId="0" xfId="0" applyFont="1" applyFill="1"/>
    <xf numFmtId="166" fontId="55" fillId="5" borderId="0" xfId="1" applyNumberFormat="1" applyFont="1" applyFill="1" applyBorder="1" applyAlignment="1">
      <alignment horizontal="left" vertical="center"/>
    </xf>
    <xf numFmtId="166" fontId="55" fillId="13" borderId="0" xfId="1" applyNumberFormat="1" applyFont="1" applyFill="1" applyBorder="1"/>
    <xf numFmtId="166" fontId="55" fillId="5" borderId="0" xfId="1" applyNumberFormat="1" applyFont="1" applyFill="1" applyBorder="1"/>
    <xf numFmtId="166" fontId="50" fillId="13" borderId="0" xfId="1" applyNumberFormat="1" applyFont="1" applyFill="1" applyBorder="1"/>
    <xf numFmtId="0" fontId="63" fillId="13" borderId="0" xfId="0" applyFont="1" applyFill="1"/>
    <xf numFmtId="166" fontId="63" fillId="13" borderId="0" xfId="1" applyNumberFormat="1" applyFont="1" applyFill="1" applyBorder="1"/>
    <xf numFmtId="168" fontId="50" fillId="13" borderId="0" xfId="2" applyNumberFormat="1" applyFont="1" applyFill="1" applyBorder="1"/>
    <xf numFmtId="0" fontId="64" fillId="13" borderId="0" xfId="0" applyFont="1" applyFill="1" applyAlignment="1">
      <alignment vertical="top" wrapText="1"/>
    </xf>
    <xf numFmtId="0" fontId="55" fillId="13" borderId="0" xfId="0" applyFont="1" applyFill="1" applyAlignment="1">
      <alignment horizontal="left" vertical="center" indent="1"/>
    </xf>
    <xf numFmtId="0" fontId="52" fillId="5" borderId="0" xfId="0" applyFont="1" applyFill="1" applyAlignment="1">
      <alignment horizontal="left" indent="1"/>
    </xf>
    <xf numFmtId="0" fontId="49" fillId="5" borderId="0" xfId="0" applyFont="1" applyFill="1" applyAlignment="1">
      <alignment vertical="center"/>
    </xf>
    <xf numFmtId="0" fontId="33" fillId="5" borderId="0" xfId="0" applyFont="1" applyFill="1"/>
    <xf numFmtId="0" fontId="65" fillId="12" borderId="0" xfId="0" applyFont="1" applyFill="1"/>
    <xf numFmtId="0" fontId="50" fillId="0" borderId="0" xfId="0" applyFont="1"/>
    <xf numFmtId="164" fontId="12" fillId="4" borderId="8" xfId="24" applyNumberFormat="1" applyFill="1"/>
    <xf numFmtId="0" fontId="0" fillId="32" borderId="0" xfId="0" applyFill="1"/>
    <xf numFmtId="0" fontId="4" fillId="7" borderId="0" xfId="25" applyFill="1"/>
    <xf numFmtId="0" fontId="4" fillId="26" borderId="0" xfId="25" applyFill="1"/>
    <xf numFmtId="2" fontId="25" fillId="7" borderId="0" xfId="25" applyNumberFormat="1" applyFont="1" applyFill="1" applyAlignment="1">
      <alignment horizontal="left" vertical="center"/>
    </xf>
    <xf numFmtId="2" fontId="5" fillId="7" borderId="0" xfId="25" applyNumberFormat="1" applyFont="1" applyFill="1" applyAlignment="1">
      <alignment horizontal="left" vertical="center"/>
    </xf>
    <xf numFmtId="2" fontId="5" fillId="26" borderId="0" xfId="25" applyNumberFormat="1" applyFont="1" applyFill="1" applyAlignment="1">
      <alignment horizontal="left" vertical="center"/>
    </xf>
    <xf numFmtId="2" fontId="25" fillId="26" borderId="0" xfId="25" applyNumberFormat="1" applyFont="1" applyFill="1" applyAlignment="1">
      <alignment horizontal="left" vertical="center"/>
    </xf>
    <xf numFmtId="4" fontId="11" fillId="4" borderId="4" xfId="23" applyNumberFormat="1" applyAlignment="1">
      <alignment horizontal="center" vertical="center"/>
    </xf>
    <xf numFmtId="3" fontId="11" fillId="4" borderId="4" xfId="23" applyNumberFormat="1" applyAlignment="1">
      <alignment horizontal="center" vertical="center"/>
    </xf>
    <xf numFmtId="0" fontId="1" fillId="33" borderId="0" xfId="0" applyFont="1" applyFill="1"/>
    <xf numFmtId="9" fontId="0" fillId="0" borderId="9" xfId="2" applyFont="1" applyFill="1" applyBorder="1"/>
    <xf numFmtId="9" fontId="0" fillId="0" borderId="7" xfId="2" applyFont="1" applyFill="1" applyBorder="1"/>
    <xf numFmtId="9" fontId="40" fillId="0" borderId="9" xfId="2" applyFont="1" applyFill="1" applyBorder="1"/>
    <xf numFmtId="9" fontId="40" fillId="0" borderId="0" xfId="2" applyFont="1" applyFill="1" applyBorder="1"/>
    <xf numFmtId="9" fontId="40" fillId="0" borderId="7" xfId="2" applyFont="1" applyFill="1" applyBorder="1"/>
    <xf numFmtId="166" fontId="0" fillId="31" borderId="0" xfId="1" applyNumberFormat="1" applyFont="1" applyFill="1"/>
    <xf numFmtId="166" fontId="4" fillId="31" borderId="0" xfId="1" applyNumberFormat="1" applyFont="1" applyFill="1" applyBorder="1"/>
    <xf numFmtId="166" fontId="22" fillId="31" borderId="0" xfId="1" applyNumberFormat="1" applyFont="1" applyFill="1" applyBorder="1"/>
    <xf numFmtId="0" fontId="0" fillId="30" borderId="0" xfId="0" applyFill="1" applyAlignment="1">
      <alignment wrapText="1"/>
    </xf>
    <xf numFmtId="9" fontId="0" fillId="30" borderId="3" xfId="2" applyFont="1" applyFill="1" applyBorder="1"/>
    <xf numFmtId="9" fontId="0" fillId="30" borderId="0" xfId="2" applyFont="1" applyFill="1" applyBorder="1"/>
    <xf numFmtId="9" fontId="0" fillId="30" borderId="2" xfId="2" applyFont="1" applyFill="1" applyBorder="1"/>
    <xf numFmtId="10" fontId="11" fillId="4" borderId="4" xfId="23" applyNumberFormat="1"/>
    <xf numFmtId="0" fontId="66" fillId="0" borderId="0" xfId="0" applyFont="1"/>
    <xf numFmtId="166" fontId="19" fillId="6" borderId="4" xfId="1" applyNumberFormat="1" applyFont="1" applyFill="1" applyBorder="1" applyProtection="1">
      <protection locked="0"/>
    </xf>
    <xf numFmtId="166" fontId="67" fillId="6" borderId="4" xfId="1" applyNumberFormat="1" applyFont="1" applyFill="1" applyBorder="1" applyProtection="1">
      <protection locked="0"/>
    </xf>
    <xf numFmtId="2" fontId="19" fillId="8" borderId="4" xfId="20" applyNumberFormat="1"/>
    <xf numFmtId="0" fontId="0" fillId="7" borderId="0" xfId="0" applyFill="1" applyAlignment="1">
      <alignment wrapText="1"/>
    </xf>
    <xf numFmtId="166" fontId="0" fillId="7" borderId="14" xfId="1" applyNumberFormat="1" applyFont="1" applyFill="1" applyBorder="1"/>
    <xf numFmtId="166" fontId="0" fillId="7" borderId="9" xfId="1" applyNumberFormat="1" applyFont="1" applyFill="1" applyBorder="1"/>
    <xf numFmtId="166" fontId="0" fillId="7" borderId="15" xfId="1" applyNumberFormat="1" applyFont="1" applyFill="1" applyBorder="1"/>
    <xf numFmtId="166" fontId="0" fillId="7" borderId="10" xfId="1" applyNumberFormat="1" applyFont="1" applyFill="1" applyBorder="1"/>
    <xf numFmtId="166" fontId="0" fillId="7" borderId="7" xfId="1" applyNumberFormat="1" applyFont="1" applyFill="1" applyBorder="1"/>
    <xf numFmtId="166" fontId="0" fillId="7" borderId="11" xfId="1" applyNumberFormat="1" applyFont="1" applyFill="1" applyBorder="1"/>
    <xf numFmtId="166" fontId="0" fillId="7" borderId="3" xfId="1" applyNumberFormat="1" applyFont="1" applyFill="1" applyBorder="1"/>
    <xf numFmtId="166" fontId="0" fillId="7" borderId="0" xfId="1" applyNumberFormat="1" applyFont="1" applyFill="1" applyBorder="1"/>
    <xf numFmtId="166" fontId="0" fillId="7" borderId="2" xfId="1" applyNumberFormat="1" applyFont="1" applyFill="1" applyBorder="1"/>
    <xf numFmtId="0" fontId="0" fillId="34" borderId="0" xfId="0" applyFill="1" applyAlignment="1">
      <alignment wrapText="1"/>
    </xf>
    <xf numFmtId="166" fontId="0" fillId="34" borderId="14" xfId="1" applyNumberFormat="1" applyFont="1" applyFill="1" applyBorder="1"/>
    <xf numFmtId="166" fontId="0" fillId="34" borderId="9" xfId="1" applyNumberFormat="1" applyFont="1" applyFill="1" applyBorder="1"/>
    <xf numFmtId="166" fontId="0" fillId="34" borderId="15" xfId="1" applyNumberFormat="1" applyFont="1" applyFill="1" applyBorder="1"/>
    <xf numFmtId="166" fontId="0" fillId="34" borderId="3" xfId="1" applyNumberFormat="1" applyFont="1" applyFill="1" applyBorder="1"/>
    <xf numFmtId="166" fontId="0" fillId="34" borderId="0" xfId="1" applyNumberFormat="1" applyFont="1" applyFill="1" applyBorder="1"/>
    <xf numFmtId="166" fontId="0" fillId="34" borderId="2" xfId="1" applyNumberFormat="1" applyFont="1" applyFill="1" applyBorder="1"/>
    <xf numFmtId="166" fontId="0" fillId="34" borderId="10" xfId="1" applyNumberFormat="1" applyFont="1" applyFill="1" applyBorder="1"/>
    <xf numFmtId="166" fontId="0" fillId="34" borderId="7" xfId="1" applyNumberFormat="1" applyFont="1" applyFill="1" applyBorder="1"/>
    <xf numFmtId="166" fontId="0" fillId="34" borderId="11" xfId="1" applyNumberFormat="1" applyFont="1" applyFill="1" applyBorder="1"/>
    <xf numFmtId="10" fontId="0" fillId="2" borderId="2" xfId="2" applyNumberFormat="1" applyFont="1" applyFill="1" applyBorder="1"/>
    <xf numFmtId="0" fontId="0" fillId="35" borderId="0" xfId="0" applyFill="1"/>
    <xf numFmtId="166" fontId="0" fillId="35" borderId="0" xfId="1" applyNumberFormat="1" applyFont="1" applyFill="1"/>
    <xf numFmtId="0" fontId="25" fillId="0" borderId="0" xfId="0" applyFont="1"/>
    <xf numFmtId="0" fontId="5" fillId="35" borderId="0" xfId="0" applyFont="1" applyFill="1"/>
    <xf numFmtId="164" fontId="5" fillId="35" borderId="0" xfId="0" applyNumberFormat="1" applyFont="1" applyFill="1"/>
    <xf numFmtId="166" fontId="5" fillId="35" borderId="0" xfId="0" applyNumberFormat="1" applyFont="1" applyFill="1"/>
    <xf numFmtId="170" fontId="5" fillId="35" borderId="0" xfId="1" applyNumberFormat="1" applyFont="1" applyFill="1"/>
    <xf numFmtId="9" fontId="5" fillId="35" borderId="0" xfId="2" applyFont="1" applyFill="1"/>
    <xf numFmtId="176" fontId="17" fillId="0" borderId="0" xfId="0" applyNumberFormat="1" applyFont="1"/>
    <xf numFmtId="167" fontId="19" fillId="8" borderId="4" xfId="20" applyNumberFormat="1"/>
    <xf numFmtId="166" fontId="11" fillId="4" borderId="4" xfId="1" applyNumberFormat="1" applyFont="1" applyFill="1" applyBorder="1"/>
    <xf numFmtId="168" fontId="11" fillId="4" borderId="4" xfId="23" applyNumberFormat="1" applyAlignment="1">
      <alignment horizontal="center" vertical="center"/>
    </xf>
    <xf numFmtId="3" fontId="11" fillId="4" borderId="4" xfId="23" applyNumberFormat="1"/>
    <xf numFmtId="0" fontId="17" fillId="0" borderId="0" xfId="2" applyNumberFormat="1" applyFont="1" applyFill="1"/>
    <xf numFmtId="3" fontId="5" fillId="21" borderId="0" xfId="0" applyNumberFormat="1" applyFont="1" applyFill="1" applyAlignment="1">
      <alignment horizontal="center" vertical="center"/>
    </xf>
    <xf numFmtId="168" fontId="5" fillId="21" borderId="0" xfId="0" applyNumberFormat="1" applyFont="1" applyFill="1" applyAlignment="1">
      <alignment horizontal="center" vertical="center"/>
    </xf>
    <xf numFmtId="9" fontId="19" fillId="21" borderId="4" xfId="2" applyFont="1" applyFill="1" applyBorder="1"/>
    <xf numFmtId="4" fontId="5" fillId="21" borderId="0" xfId="25" applyNumberFormat="1" applyFont="1" applyFill="1" applyAlignment="1">
      <alignment horizontal="center" vertical="center"/>
    </xf>
    <xf numFmtId="3" fontId="5" fillId="21" borderId="0" xfId="25" applyNumberFormat="1" applyFont="1" applyFill="1" applyAlignment="1">
      <alignment horizontal="center" vertical="center"/>
    </xf>
    <xf numFmtId="175" fontId="5" fillId="21" borderId="0" xfId="25" applyNumberFormat="1" applyFont="1" applyFill="1" applyAlignment="1">
      <alignment horizontal="center" vertical="center"/>
    </xf>
    <xf numFmtId="166" fontId="19" fillId="21" borderId="4" xfId="20" applyNumberFormat="1" applyFill="1"/>
    <xf numFmtId="167" fontId="11" fillId="4" borderId="4" xfId="23" applyNumberFormat="1"/>
    <xf numFmtId="164" fontId="19" fillId="21" borderId="4" xfId="1" applyFont="1" applyFill="1" applyBorder="1"/>
    <xf numFmtId="9" fontId="19" fillId="21" borderId="4" xfId="20" applyNumberFormat="1" applyFill="1"/>
    <xf numFmtId="0" fontId="1" fillId="3" borderId="0" xfId="0" applyFont="1" applyFill="1"/>
    <xf numFmtId="0" fontId="1" fillId="3" borderId="0" xfId="0" applyFont="1" applyFill="1" applyAlignment="1">
      <alignment horizontal="center" vertical="center"/>
    </xf>
    <xf numFmtId="0" fontId="5" fillId="5" borderId="7" xfId="0" applyFont="1" applyFill="1" applyBorder="1"/>
    <xf numFmtId="0" fontId="5" fillId="5" borderId="12" xfId="0" applyFont="1" applyFill="1" applyBorder="1"/>
    <xf numFmtId="164" fontId="22" fillId="4" borderId="1" xfId="1" applyFont="1" applyFill="1" applyBorder="1"/>
    <xf numFmtId="0" fontId="3" fillId="35" borderId="0" xfId="0" applyFont="1" applyFill="1"/>
    <xf numFmtId="0" fontId="0" fillId="35" borderId="0" xfId="0" applyFill="1" applyAlignment="1">
      <alignment wrapText="1"/>
    </xf>
    <xf numFmtId="0" fontId="6" fillId="9" borderId="0" xfId="19" applyFill="1" applyBorder="1"/>
    <xf numFmtId="0" fontId="3" fillId="0" borderId="0" xfId="0" applyFont="1" applyAlignment="1">
      <alignment wrapText="1"/>
    </xf>
    <xf numFmtId="9" fontId="17" fillId="0" borderId="0" xfId="2" applyFont="1" applyBorder="1"/>
    <xf numFmtId="166" fontId="70" fillId="0" borderId="0" xfId="0" applyNumberFormat="1" applyFont="1"/>
    <xf numFmtId="9" fontId="5" fillId="0" borderId="0" xfId="2" applyFont="1" applyBorder="1"/>
    <xf numFmtId="164" fontId="5" fillId="0" borderId="0" xfId="0" applyNumberFormat="1" applyFont="1"/>
    <xf numFmtId="0" fontId="71" fillId="12" borderId="0" xfId="0" applyFont="1" applyFill="1"/>
    <xf numFmtId="0" fontId="0" fillId="38" borderId="0" xfId="0" applyFill="1" applyProtection="1">
      <protection hidden="1"/>
    </xf>
    <xf numFmtId="0" fontId="31" fillId="38" borderId="0" xfId="0" applyFont="1" applyFill="1" applyProtection="1">
      <protection hidden="1"/>
    </xf>
    <xf numFmtId="0" fontId="7" fillId="38" borderId="0" xfId="0" applyFont="1" applyFill="1" applyProtection="1">
      <protection hidden="1"/>
    </xf>
    <xf numFmtId="0" fontId="31" fillId="38" borderId="0" xfId="0" applyFont="1" applyFill="1" applyAlignment="1" applyProtection="1">
      <alignment horizontal="left"/>
      <protection hidden="1"/>
    </xf>
    <xf numFmtId="0" fontId="0" fillId="38" borderId="16" xfId="0" applyFill="1" applyBorder="1" applyProtection="1">
      <protection hidden="1"/>
    </xf>
    <xf numFmtId="0" fontId="0" fillId="39" borderId="0" xfId="0" applyFill="1" applyProtection="1">
      <protection hidden="1"/>
    </xf>
    <xf numFmtId="0" fontId="31" fillId="39" borderId="0" xfId="0" applyFont="1" applyFill="1" applyProtection="1">
      <protection hidden="1"/>
    </xf>
    <xf numFmtId="178" fontId="11" fillId="4" borderId="4" xfId="23" applyNumberFormat="1"/>
    <xf numFmtId="179" fontId="0" fillId="11" borderId="0" xfId="0" applyNumberFormat="1" applyFill="1"/>
    <xf numFmtId="164" fontId="11" fillId="4" borderId="4" xfId="1" applyFont="1" applyFill="1" applyBorder="1"/>
    <xf numFmtId="9" fontId="33" fillId="5" borderId="0" xfId="2" applyFont="1" applyFill="1"/>
    <xf numFmtId="9" fontId="63" fillId="13" borderId="0" xfId="2" applyFont="1" applyFill="1" applyBorder="1"/>
    <xf numFmtId="0" fontId="50" fillId="5" borderId="7" xfId="0" applyFont="1" applyFill="1" applyBorder="1"/>
    <xf numFmtId="0" fontId="59" fillId="5" borderId="7" xfId="0" applyFont="1" applyFill="1" applyBorder="1" applyAlignment="1">
      <alignment horizontal="right"/>
    </xf>
    <xf numFmtId="0" fontId="50" fillId="5" borderId="9" xfId="0" applyFont="1" applyFill="1" applyBorder="1"/>
    <xf numFmtId="0" fontId="59" fillId="5" borderId="9" xfId="0" applyFont="1" applyFill="1" applyBorder="1" applyAlignment="1">
      <alignment horizontal="right"/>
    </xf>
    <xf numFmtId="0" fontId="6" fillId="5" borderId="9" xfId="19" applyFill="1" applyBorder="1" applyAlignment="1">
      <alignment horizontal="left"/>
    </xf>
    <xf numFmtId="0" fontId="6" fillId="5" borderId="0" xfId="19" applyFill="1" applyBorder="1" applyAlignment="1">
      <alignment horizontal="left"/>
    </xf>
    <xf numFmtId="0" fontId="73" fillId="0" borderId="0" xfId="0" applyFont="1" applyAlignment="1" applyProtection="1">
      <alignment horizontal="left"/>
      <protection hidden="1"/>
    </xf>
    <xf numFmtId="10" fontId="5" fillId="0" borderId="0" xfId="2" applyNumberFormat="1" applyFont="1" applyFill="1" applyBorder="1"/>
    <xf numFmtId="164" fontId="67" fillId="6" borderId="4" xfId="1" applyFont="1" applyFill="1" applyBorder="1" applyProtection="1">
      <protection locked="0"/>
    </xf>
    <xf numFmtId="0" fontId="74" fillId="25" borderId="0" xfId="0" applyFont="1" applyFill="1" applyAlignment="1">
      <alignment horizontal="right"/>
    </xf>
    <xf numFmtId="0" fontId="74" fillId="25" borderId="0" xfId="0" applyFont="1" applyFill="1"/>
    <xf numFmtId="166" fontId="14" fillId="0" borderId="0" xfId="1" applyNumberFormat="1" applyFont="1" applyFill="1"/>
    <xf numFmtId="1" fontId="3" fillId="0" borderId="0" xfId="0" applyNumberFormat="1" applyFont="1"/>
    <xf numFmtId="3" fontId="5" fillId="0" borderId="0" xfId="0" applyNumberFormat="1" applyFont="1"/>
    <xf numFmtId="3" fontId="0" fillId="10" borderId="0" xfId="0" applyNumberFormat="1" applyFill="1"/>
    <xf numFmtId="3" fontId="3" fillId="40" borderId="0" xfId="0" applyNumberFormat="1" applyFont="1" applyFill="1"/>
    <xf numFmtId="3" fontId="0" fillId="40" borderId="0" xfId="0" applyNumberFormat="1" applyFill="1"/>
    <xf numFmtId="3" fontId="3" fillId="41" borderId="0" xfId="0" applyNumberFormat="1" applyFont="1" applyFill="1"/>
    <xf numFmtId="3" fontId="0" fillId="41" borderId="0" xfId="0" applyNumberFormat="1" applyFill="1"/>
    <xf numFmtId="3" fontId="3" fillId="3" borderId="0" xfId="0" applyNumberFormat="1" applyFont="1" applyFill="1"/>
    <xf numFmtId="3" fontId="0" fillId="3" borderId="0" xfId="0" applyNumberFormat="1" applyFill="1"/>
    <xf numFmtId="4" fontId="0" fillId="0" borderId="0" xfId="0" applyNumberFormat="1"/>
    <xf numFmtId="0" fontId="71" fillId="0" borderId="0" xfId="0" applyFont="1"/>
    <xf numFmtId="0" fontId="72" fillId="0" borderId="0" xfId="0" applyFont="1"/>
    <xf numFmtId="9" fontId="38" fillId="0" borderId="0" xfId="0" applyNumberFormat="1" applyFont="1" applyAlignment="1">
      <alignment horizontal="left" vertical="center" indent="3"/>
    </xf>
    <xf numFmtId="165" fontId="38" fillId="0" borderId="0" xfId="1" applyNumberFormat="1" applyFont="1" applyFill="1" applyBorder="1" applyAlignment="1">
      <alignment horizontal="center" vertical="center"/>
    </xf>
    <xf numFmtId="2" fontId="38" fillId="0" borderId="0" xfId="1" applyNumberFormat="1" applyFont="1" applyFill="1" applyBorder="1" applyAlignment="1">
      <alignment horizontal="center" vertical="center"/>
    </xf>
    <xf numFmtId="164" fontId="38" fillId="0" borderId="0" xfId="1" applyFont="1" applyFill="1" applyBorder="1" applyAlignment="1">
      <alignment horizontal="center" vertical="center" wrapText="1"/>
    </xf>
    <xf numFmtId="0" fontId="6" fillId="5" borderId="7" xfId="19" applyFill="1" applyBorder="1"/>
    <xf numFmtId="0" fontId="6" fillId="13" borderId="0" xfId="19" applyFill="1" applyBorder="1"/>
    <xf numFmtId="0" fontId="55" fillId="13" borderId="0" xfId="0" applyFont="1" applyFill="1" applyAlignment="1">
      <alignment vertical="center" wrapText="1"/>
    </xf>
    <xf numFmtId="0" fontId="25" fillId="0" borderId="0" xfId="0" applyFont="1" applyAlignment="1" applyProtection="1">
      <alignment horizontal="left"/>
      <protection hidden="1"/>
    </xf>
    <xf numFmtId="0" fontId="59" fillId="0" borderId="0" xfId="0" applyFont="1"/>
    <xf numFmtId="164" fontId="50" fillId="13" borderId="0" xfId="1" applyFont="1" applyFill="1" applyBorder="1"/>
    <xf numFmtId="166" fontId="8" fillId="11" borderId="0" xfId="1" applyNumberFormat="1" applyFont="1" applyFill="1"/>
    <xf numFmtId="0" fontId="13" fillId="5" borderId="19" xfId="0" applyFont="1" applyFill="1" applyBorder="1"/>
    <xf numFmtId="0" fontId="13" fillId="5" borderId="18" xfId="0" applyFont="1" applyFill="1" applyBorder="1"/>
    <xf numFmtId="0" fontId="13" fillId="5" borderId="17" xfId="0" applyFont="1" applyFill="1" applyBorder="1"/>
    <xf numFmtId="9" fontId="33" fillId="13" borderId="0" xfId="2" applyFont="1" applyFill="1"/>
    <xf numFmtId="177" fontId="55" fillId="13" borderId="0" xfId="2" applyNumberFormat="1" applyFont="1" applyFill="1" applyBorder="1" applyAlignment="1">
      <alignment vertical="center" wrapText="1"/>
    </xf>
    <xf numFmtId="10" fontId="50" fillId="13" borderId="0" xfId="2" applyNumberFormat="1" applyFont="1" applyFill="1" applyBorder="1"/>
    <xf numFmtId="0" fontId="1" fillId="0" borderId="0" xfId="0" applyFont="1" applyAlignment="1">
      <alignment horizontal="center" vertical="center"/>
    </xf>
    <xf numFmtId="0" fontId="5" fillId="10" borderId="0" xfId="0" applyFont="1" applyFill="1"/>
    <xf numFmtId="3" fontId="11" fillId="11" borderId="4" xfId="23" applyNumberFormat="1" applyFill="1"/>
    <xf numFmtId="0" fontId="0" fillId="18" borderId="0" xfId="0" applyFill="1"/>
    <xf numFmtId="0" fontId="76" fillId="31" borderId="0" xfId="0" applyFont="1" applyFill="1"/>
    <xf numFmtId="9" fontId="0" fillId="11" borderId="0" xfId="0" applyNumberFormat="1" applyFill="1"/>
    <xf numFmtId="9" fontId="5" fillId="0" borderId="0" xfId="2" applyFont="1" applyFill="1"/>
    <xf numFmtId="168" fontId="5" fillId="0" borderId="0" xfId="0" applyNumberFormat="1" applyFont="1"/>
    <xf numFmtId="168" fontId="29" fillId="0" borderId="0" xfId="2" applyNumberFormat="1" applyFont="1"/>
    <xf numFmtId="10" fontId="46" fillId="5" borderId="4" xfId="2" applyNumberFormat="1" applyFont="1" applyFill="1" applyBorder="1" applyProtection="1">
      <protection locked="0"/>
    </xf>
    <xf numFmtId="168" fontId="0" fillId="0" borderId="0" xfId="2" applyNumberFormat="1" applyFont="1"/>
    <xf numFmtId="9" fontId="0" fillId="0" borderId="0" xfId="2" applyFont="1" applyAlignment="1" applyProtection="1">
      <alignment horizontal="left"/>
      <protection hidden="1"/>
    </xf>
    <xf numFmtId="3" fontId="3" fillId="35" borderId="0" xfId="0" applyNumberFormat="1" applyFont="1" applyFill="1"/>
    <xf numFmtId="1" fontId="3" fillId="35" borderId="0" xfId="0" applyNumberFormat="1" applyFont="1" applyFill="1"/>
    <xf numFmtId="10" fontId="19" fillId="8" borderId="4" xfId="2" applyNumberFormat="1" applyFont="1" applyFill="1" applyBorder="1"/>
    <xf numFmtId="10" fontId="0" fillId="0" borderId="0" xfId="0" applyNumberFormat="1"/>
    <xf numFmtId="0" fontId="4" fillId="44" borderId="0" xfId="28" applyProtection="1">
      <protection hidden="1"/>
    </xf>
    <xf numFmtId="166" fontId="4" fillId="43" borderId="0" xfId="27" applyNumberFormat="1" applyProtection="1">
      <protection hidden="1"/>
    </xf>
    <xf numFmtId="166" fontId="4" fillId="44" borderId="35" xfId="28" applyNumberFormat="1" applyBorder="1" applyAlignment="1" applyProtection="1">
      <alignment horizontal="left"/>
      <protection hidden="1"/>
    </xf>
    <xf numFmtId="166" fontId="4" fillId="44" borderId="35" xfId="28" applyNumberFormat="1" applyBorder="1" applyProtection="1">
      <protection hidden="1"/>
    </xf>
    <xf numFmtId="166" fontId="4" fillId="43" borderId="35" xfId="27" applyNumberFormat="1" applyBorder="1" applyAlignment="1" applyProtection="1">
      <alignment horizontal="left"/>
      <protection hidden="1"/>
    </xf>
    <xf numFmtId="9" fontId="8" fillId="0" borderId="0" xfId="2" applyFont="1"/>
    <xf numFmtId="3" fontId="50" fillId="13" borderId="0" xfId="0" applyNumberFormat="1" applyFont="1" applyFill="1"/>
    <xf numFmtId="164" fontId="4" fillId="44" borderId="35" xfId="28" applyNumberFormat="1" applyBorder="1" applyAlignment="1" applyProtection="1">
      <alignment horizontal="left"/>
      <protection hidden="1"/>
    </xf>
    <xf numFmtId="164" fontId="0" fillId="0" borderId="0" xfId="1" applyFont="1" applyAlignment="1" applyProtection="1">
      <alignment horizontal="left"/>
      <protection hidden="1"/>
    </xf>
    <xf numFmtId="164" fontId="33" fillId="13" borderId="0" xfId="1" applyFont="1" applyFill="1"/>
    <xf numFmtId="0" fontId="20" fillId="13" borderId="0" xfId="0" applyFont="1" applyFill="1" applyProtection="1">
      <protection hidden="1"/>
    </xf>
    <xf numFmtId="0" fontId="80" fillId="13" borderId="0" xfId="0" applyFont="1" applyFill="1" applyProtection="1">
      <protection hidden="1"/>
    </xf>
    <xf numFmtId="0" fontId="20" fillId="13" borderId="0" xfId="0" applyFont="1" applyFill="1" applyAlignment="1" applyProtection="1">
      <alignment horizontal="left"/>
      <protection hidden="1"/>
    </xf>
    <xf numFmtId="0" fontId="20" fillId="0" borderId="0" xfId="0" applyFont="1" applyProtection="1">
      <protection hidden="1"/>
    </xf>
    <xf numFmtId="166" fontId="20" fillId="0" borderId="0" xfId="1" applyNumberFormat="1" applyFont="1" applyAlignment="1" applyProtection="1">
      <alignment horizontal="left"/>
      <protection hidden="1"/>
    </xf>
    <xf numFmtId="166" fontId="20" fillId="0" borderId="0" xfId="0" applyNumberFormat="1" applyFont="1"/>
    <xf numFmtId="0" fontId="20" fillId="0" borderId="5" xfId="22" applyFont="1" applyFill="1" applyProtection="1">
      <protection hidden="1"/>
    </xf>
    <xf numFmtId="166" fontId="20" fillId="0" borderId="0" xfId="1" applyNumberFormat="1" applyFont="1" applyFill="1" applyAlignment="1" applyProtection="1">
      <alignment horizontal="left"/>
      <protection hidden="1"/>
    </xf>
    <xf numFmtId="0" fontId="62" fillId="13" borderId="0" xfId="0" applyFont="1" applyFill="1" applyAlignment="1">
      <alignment horizontal="center" vertical="center"/>
    </xf>
    <xf numFmtId="0" fontId="55" fillId="5" borderId="0" xfId="0" applyFont="1" applyFill="1" applyAlignment="1">
      <alignment horizontal="right" vertical="center" indent="1"/>
    </xf>
    <xf numFmtId="3" fontId="55" fillId="13" borderId="0" xfId="1" applyNumberFormat="1" applyFont="1" applyFill="1" applyBorder="1" applyAlignment="1">
      <alignment horizontal="center" vertical="center"/>
    </xf>
    <xf numFmtId="3" fontId="55" fillId="5" borderId="0" xfId="1" applyNumberFormat="1" applyFont="1" applyFill="1" applyBorder="1" applyAlignment="1">
      <alignment horizontal="center" vertical="center"/>
    </xf>
    <xf numFmtId="0" fontId="0" fillId="0" borderId="16" xfId="0" applyBorder="1" applyAlignment="1">
      <alignment horizontal="center"/>
    </xf>
    <xf numFmtId="0" fontId="13" fillId="5" borderId="16" xfId="0" applyFont="1" applyFill="1" applyBorder="1" applyAlignment="1">
      <alignment horizontal="center"/>
    </xf>
    <xf numFmtId="0" fontId="8" fillId="0" borderId="0" xfId="0" applyFont="1" applyAlignment="1">
      <alignment horizontal="center"/>
    </xf>
    <xf numFmtId="9" fontId="5" fillId="0" borderId="14" xfId="2" applyFont="1" applyFill="1" applyBorder="1" applyAlignment="1">
      <alignment horizontal="center"/>
    </xf>
    <xf numFmtId="0" fontId="5" fillId="0" borderId="0" xfId="0" applyFont="1" applyAlignment="1">
      <alignment horizontal="left" vertical="center" wrapText="1"/>
    </xf>
    <xf numFmtId="0" fontId="5" fillId="0" borderId="0" xfId="0" applyFont="1" applyAlignment="1">
      <alignment horizontal="left" vertical="center"/>
    </xf>
    <xf numFmtId="0" fontId="81" fillId="0" borderId="0" xfId="0" applyFont="1"/>
    <xf numFmtId="0" fontId="5" fillId="5" borderId="0" xfId="0" applyFont="1" applyFill="1"/>
    <xf numFmtId="0" fontId="17" fillId="5" borderId="0" xfId="0" applyFont="1" applyFill="1"/>
    <xf numFmtId="166" fontId="5" fillId="5" borderId="0" xfId="1" applyNumberFormat="1" applyFont="1" applyFill="1"/>
    <xf numFmtId="0" fontId="0" fillId="5" borderId="0" xfId="0" applyFill="1"/>
    <xf numFmtId="0" fontId="17" fillId="0" borderId="36" xfId="0" applyFont="1" applyBorder="1"/>
    <xf numFmtId="0" fontId="5" fillId="0" borderId="37" xfId="0" applyFont="1" applyBorder="1" applyAlignment="1">
      <alignment horizontal="left" vertical="center" wrapText="1"/>
    </xf>
    <xf numFmtId="0" fontId="5" fillId="0" borderId="38" xfId="0" applyFont="1" applyBorder="1" applyAlignment="1">
      <alignment horizontal="left" vertical="center"/>
    </xf>
    <xf numFmtId="10" fontId="0" fillId="2" borderId="3" xfId="2" applyNumberFormat="1" applyFont="1" applyFill="1" applyBorder="1"/>
    <xf numFmtId="10" fontId="0" fillId="2" borderId="0" xfId="2" applyNumberFormat="1" applyFont="1" applyFill="1" applyBorder="1"/>
    <xf numFmtId="166" fontId="0" fillId="0" borderId="0" xfId="1" quotePrefix="1" applyNumberFormat="1" applyFont="1"/>
    <xf numFmtId="9" fontId="11" fillId="4" borderId="4" xfId="2" applyFont="1" applyFill="1" applyBorder="1"/>
    <xf numFmtId="9" fontId="5" fillId="0" borderId="0" xfId="2" applyFont="1"/>
    <xf numFmtId="168" fontId="11" fillId="4" borderId="4" xfId="2" applyNumberFormat="1" applyFont="1" applyFill="1" applyBorder="1"/>
    <xf numFmtId="0" fontId="0" fillId="0" borderId="0" xfId="2" applyNumberFormat="1" applyFont="1"/>
    <xf numFmtId="177" fontId="42" fillId="13" borderId="0" xfId="2" applyNumberFormat="1" applyFont="1" applyFill="1"/>
    <xf numFmtId="180" fontId="0" fillId="11" borderId="0" xfId="0" applyNumberFormat="1" applyFill="1"/>
    <xf numFmtId="166" fontId="0" fillId="0" borderId="0" xfId="0" quotePrefix="1" applyNumberFormat="1" applyAlignment="1" applyProtection="1">
      <alignment horizontal="left"/>
      <protection hidden="1"/>
    </xf>
    <xf numFmtId="180" fontId="11" fillId="4" borderId="4" xfId="23" applyNumberFormat="1"/>
    <xf numFmtId="164" fontId="5" fillId="0" borderId="19" xfId="1" applyFont="1" applyFill="1" applyBorder="1"/>
    <xf numFmtId="166" fontId="11" fillId="4" borderId="4" xfId="1" applyNumberFormat="1" applyFont="1" applyFill="1" applyBorder="1" applyAlignment="1">
      <alignment horizontal="center"/>
    </xf>
    <xf numFmtId="166" fontId="0" fillId="0" borderId="19" xfId="1" applyNumberFormat="1" applyFont="1" applyFill="1" applyBorder="1" applyAlignment="1">
      <alignment horizontal="center"/>
    </xf>
    <xf numFmtId="164" fontId="0" fillId="2" borderId="14" xfId="1" applyFont="1" applyFill="1" applyBorder="1" applyAlignment="1">
      <alignment horizontal="center"/>
    </xf>
    <xf numFmtId="10" fontId="5" fillId="0" borderId="16" xfId="2" applyNumberFormat="1" applyFont="1" applyFill="1" applyBorder="1"/>
    <xf numFmtId="10" fontId="5" fillId="0" borderId="16" xfId="0" applyNumberFormat="1" applyFont="1" applyBorder="1"/>
    <xf numFmtId="177" fontId="5" fillId="0" borderId="0" xfId="2" applyNumberFormat="1" applyFont="1" applyFill="1" applyBorder="1"/>
    <xf numFmtId="180" fontId="5" fillId="0" borderId="0" xfId="2" applyNumberFormat="1" applyFont="1" applyFill="1" applyBorder="1"/>
    <xf numFmtId="169" fontId="5" fillId="0" borderId="16" xfId="1" applyNumberFormat="1" applyFont="1" applyFill="1" applyBorder="1"/>
    <xf numFmtId="166" fontId="0" fillId="0" borderId="0" xfId="34" applyNumberFormat="1" applyFont="1"/>
    <xf numFmtId="0" fontId="0" fillId="45" borderId="0" xfId="0" applyFill="1"/>
    <xf numFmtId="0" fontId="14" fillId="45" borderId="0" xfId="0" applyFont="1" applyFill="1"/>
    <xf numFmtId="0" fontId="3" fillId="7" borderId="0" xfId="0" applyFont="1" applyFill="1"/>
    <xf numFmtId="0" fontId="0" fillId="0" borderId="0" xfId="0" applyAlignment="1">
      <alignment horizontal="left" vertical="center"/>
    </xf>
    <xf numFmtId="0" fontId="0" fillId="22" borderId="0" xfId="0" applyFill="1"/>
    <xf numFmtId="0" fontId="3" fillId="22" borderId="0" xfId="0" applyFont="1" applyFill="1" applyAlignment="1">
      <alignment horizontal="right"/>
    </xf>
    <xf numFmtId="0" fontId="0" fillId="22" borderId="5" xfId="22" applyFont="1" applyFill="1"/>
    <xf numFmtId="164" fontId="0" fillId="22" borderId="0" xfId="0" applyNumberFormat="1" applyFill="1"/>
    <xf numFmtId="0" fontId="78" fillId="13" borderId="0" xfId="0" applyFont="1" applyFill="1" applyAlignment="1">
      <alignment horizontal="left" vertical="top" wrapText="1"/>
    </xf>
    <xf numFmtId="0" fontId="50" fillId="13" borderId="0" xfId="0" applyFont="1" applyFill="1" applyAlignment="1">
      <alignment horizontal="left" vertical="center" wrapText="1"/>
    </xf>
    <xf numFmtId="0" fontId="0" fillId="46" borderId="0" xfId="0" applyFill="1"/>
    <xf numFmtId="0" fontId="83" fillId="46" borderId="0" xfId="0" applyFont="1" applyFill="1"/>
    <xf numFmtId="0" fontId="75" fillId="0" borderId="0" xfId="0" applyFont="1"/>
    <xf numFmtId="0" fontId="0" fillId="0" borderId="0" xfId="0" applyAlignment="1">
      <alignment vertical="center"/>
    </xf>
    <xf numFmtId="0" fontId="18" fillId="0" borderId="0" xfId="0" applyFont="1"/>
    <xf numFmtId="170" fontId="18" fillId="0" borderId="0" xfId="1" applyNumberFormat="1" applyFont="1"/>
    <xf numFmtId="0" fontId="68" fillId="5" borderId="0" xfId="0" applyFont="1" applyFill="1"/>
    <xf numFmtId="168" fontId="11" fillId="4" borderId="4" xfId="23" quotePrefix="1" applyNumberFormat="1"/>
    <xf numFmtId="166" fontId="14" fillId="36" borderId="27" xfId="26" applyNumberFormat="1"/>
    <xf numFmtId="0" fontId="2" fillId="5" borderId="23" xfId="22" applyFont="1" applyFill="1" applyBorder="1" applyAlignment="1">
      <alignment horizontal="left" vertical="top" wrapText="1"/>
    </xf>
    <xf numFmtId="0" fontId="2" fillId="5" borderId="24" xfId="22" applyFont="1" applyFill="1" applyBorder="1" applyAlignment="1">
      <alignment horizontal="left" vertical="top" wrapText="1"/>
    </xf>
    <xf numFmtId="0" fontId="2" fillId="5" borderId="25" xfId="22" applyFont="1" applyFill="1" applyBorder="1" applyAlignment="1">
      <alignment horizontal="left" vertical="top" wrapText="1"/>
    </xf>
    <xf numFmtId="0" fontId="55" fillId="5" borderId="0" xfId="0" applyFont="1" applyFill="1" applyAlignment="1">
      <alignment horizontal="right" vertical="center"/>
    </xf>
    <xf numFmtId="0" fontId="68" fillId="5" borderId="26" xfId="0" applyFont="1" applyFill="1" applyBorder="1" applyAlignment="1">
      <alignment horizontal="left" vertical="center" wrapText="1"/>
    </xf>
    <xf numFmtId="0" fontId="68" fillId="5" borderId="0" xfId="0" applyFont="1" applyFill="1" applyAlignment="1">
      <alignment horizontal="left" vertical="center" wrapText="1"/>
    </xf>
    <xf numFmtId="0" fontId="75" fillId="13" borderId="0" xfId="0" applyFont="1" applyFill="1" applyAlignment="1">
      <alignment horizontal="center"/>
    </xf>
    <xf numFmtId="0" fontId="78" fillId="13" borderId="0" xfId="0" applyFont="1" applyFill="1" applyAlignment="1">
      <alignment horizontal="left" vertical="top" wrapText="1"/>
    </xf>
    <xf numFmtId="0" fontId="50" fillId="13" borderId="0" xfId="0" applyFont="1" applyFill="1" applyAlignment="1">
      <alignment horizontal="left" vertical="center" wrapText="1"/>
    </xf>
    <xf numFmtId="10" fontId="56" fillId="18" borderId="30" xfId="2" applyNumberFormat="1" applyFont="1" applyFill="1" applyBorder="1" applyAlignment="1" applyProtection="1">
      <alignment horizontal="center" vertical="center" wrapText="1"/>
      <protection locked="0"/>
    </xf>
    <xf numFmtId="10" fontId="56" fillId="18" borderId="0" xfId="2" applyNumberFormat="1" applyFont="1" applyFill="1" applyBorder="1" applyAlignment="1" applyProtection="1">
      <alignment horizontal="center" vertical="center" wrapText="1"/>
      <protection locked="0"/>
    </xf>
    <xf numFmtId="10" fontId="56" fillId="18" borderId="40" xfId="2" applyNumberFormat="1" applyFont="1" applyFill="1" applyBorder="1" applyAlignment="1" applyProtection="1">
      <alignment horizontal="center" vertical="center" wrapText="1"/>
      <protection locked="0"/>
    </xf>
    <xf numFmtId="10" fontId="56" fillId="18" borderId="41" xfId="2" applyNumberFormat="1" applyFont="1" applyFill="1" applyBorder="1" applyAlignment="1" applyProtection="1">
      <alignment horizontal="center" vertical="center" wrapText="1"/>
      <protection locked="0"/>
    </xf>
    <xf numFmtId="10" fontId="56" fillId="18" borderId="42" xfId="2" applyNumberFormat="1" applyFont="1" applyFill="1" applyBorder="1" applyAlignment="1" applyProtection="1">
      <alignment horizontal="center" vertical="center" wrapText="1"/>
      <protection locked="0"/>
    </xf>
    <xf numFmtId="10" fontId="56" fillId="18" borderId="43" xfId="2" applyNumberFormat="1" applyFont="1" applyFill="1" applyBorder="1" applyAlignment="1" applyProtection="1">
      <alignment horizontal="center" vertical="center" wrapText="1"/>
      <protection locked="0"/>
    </xf>
    <xf numFmtId="10" fontId="56" fillId="18" borderId="39" xfId="2" applyNumberFormat="1" applyFont="1" applyFill="1" applyBorder="1" applyAlignment="1" applyProtection="1">
      <alignment horizontal="center" vertical="center" wrapText="1"/>
      <protection locked="0"/>
    </xf>
    <xf numFmtId="10" fontId="56" fillId="18" borderId="44" xfId="2" applyNumberFormat="1" applyFont="1" applyFill="1" applyBorder="1" applyAlignment="1" applyProtection="1">
      <alignment horizontal="center" vertical="center" wrapText="1"/>
      <protection locked="0"/>
    </xf>
    <xf numFmtId="0" fontId="68" fillId="5" borderId="26" xfId="0" applyFont="1" applyFill="1" applyBorder="1" applyAlignment="1">
      <alignment vertical="center" wrapText="1"/>
    </xf>
    <xf numFmtId="0" fontId="68" fillId="5" borderId="0" xfId="0" applyFont="1" applyFill="1" applyAlignment="1">
      <alignment vertical="center" wrapText="1"/>
    </xf>
    <xf numFmtId="0" fontId="56" fillId="18" borderId="0" xfId="0" applyFont="1" applyFill="1" applyAlignment="1" applyProtection="1">
      <alignment horizontal="center" vertical="center"/>
      <protection locked="0"/>
    </xf>
    <xf numFmtId="3" fontId="55" fillId="13" borderId="0" xfId="1" applyNumberFormat="1" applyFont="1" applyFill="1" applyBorder="1" applyAlignment="1">
      <alignment horizontal="center" vertical="center"/>
    </xf>
    <xf numFmtId="3" fontId="55" fillId="5" borderId="0" xfId="1" applyNumberFormat="1" applyFont="1" applyFill="1" applyBorder="1" applyAlignment="1">
      <alignment horizontal="center" vertical="center"/>
    </xf>
    <xf numFmtId="0" fontId="56" fillId="18" borderId="30" xfId="0" applyFont="1" applyFill="1" applyBorder="1" applyAlignment="1" applyProtection="1">
      <alignment horizontal="center" vertical="center" wrapText="1"/>
      <protection locked="0"/>
    </xf>
    <xf numFmtId="0" fontId="56" fillId="18" borderId="0" xfId="0" applyFont="1" applyFill="1" applyAlignment="1" applyProtection="1">
      <alignment horizontal="center" vertical="center" wrapText="1"/>
      <protection locked="0"/>
    </xf>
    <xf numFmtId="0" fontId="57" fillId="5" borderId="0" xfId="0" applyFont="1" applyFill="1" applyAlignment="1">
      <alignment horizontal="center"/>
    </xf>
    <xf numFmtId="0" fontId="55" fillId="5" borderId="32" xfId="0" applyFont="1" applyFill="1" applyBorder="1" applyAlignment="1">
      <alignment horizontal="right" vertical="center"/>
    </xf>
    <xf numFmtId="0" fontId="56" fillId="18" borderId="28" xfId="0" applyFont="1" applyFill="1" applyBorder="1" applyAlignment="1" applyProtection="1">
      <alignment horizontal="center" vertical="center"/>
      <protection locked="0"/>
    </xf>
    <xf numFmtId="0" fontId="56" fillId="18" borderId="30" xfId="0" applyFont="1" applyFill="1" applyBorder="1" applyAlignment="1" applyProtection="1">
      <alignment horizontal="center" vertical="center"/>
      <protection locked="0"/>
    </xf>
    <xf numFmtId="0" fontId="56" fillId="18" borderId="31" xfId="0" applyFont="1" applyFill="1" applyBorder="1" applyAlignment="1" applyProtection="1">
      <alignment horizontal="center" vertical="center"/>
      <protection locked="0"/>
    </xf>
    <xf numFmtId="0" fontId="56" fillId="18" borderId="26" xfId="0" applyFont="1" applyFill="1" applyBorder="1" applyAlignment="1" applyProtection="1">
      <alignment horizontal="center" vertical="center"/>
      <protection locked="0"/>
    </xf>
    <xf numFmtId="0" fontId="56" fillId="18" borderId="32" xfId="0" applyFont="1" applyFill="1" applyBorder="1" applyAlignment="1" applyProtection="1">
      <alignment horizontal="center" vertical="center"/>
      <protection locked="0"/>
    </xf>
    <xf numFmtId="0" fontId="56" fillId="18" borderId="29" xfId="0" applyFont="1" applyFill="1" applyBorder="1" applyAlignment="1" applyProtection="1">
      <alignment horizontal="center" vertical="center"/>
      <protection locked="0"/>
    </xf>
    <xf numFmtId="0" fontId="56" fillId="18" borderId="33" xfId="0" applyFont="1" applyFill="1" applyBorder="1" applyAlignment="1" applyProtection="1">
      <alignment horizontal="center" vertical="center"/>
      <protection locked="0"/>
    </xf>
    <xf numFmtId="0" fontId="56" fillId="18" borderId="34" xfId="0" applyFont="1" applyFill="1" applyBorder="1" applyAlignment="1" applyProtection="1">
      <alignment horizontal="center" vertical="center"/>
      <protection locked="0"/>
    </xf>
    <xf numFmtId="9" fontId="55" fillId="13" borderId="0" xfId="2" applyFont="1" applyFill="1" applyBorder="1" applyAlignment="1">
      <alignment horizontal="center"/>
    </xf>
    <xf numFmtId="9" fontId="60" fillId="19" borderId="0" xfId="2" applyFont="1" applyFill="1" applyBorder="1" applyAlignment="1" applyProtection="1">
      <alignment horizontal="center" vertical="center"/>
      <protection hidden="1"/>
    </xf>
    <xf numFmtId="0" fontId="62" fillId="13" borderId="0" xfId="0" applyFont="1" applyFill="1" applyAlignment="1">
      <alignment horizontal="center" vertical="center"/>
    </xf>
    <xf numFmtId="172" fontId="56" fillId="19" borderId="0" xfId="0" applyNumberFormat="1" applyFont="1" applyFill="1" applyAlignment="1" applyProtection="1">
      <alignment horizontal="center" vertical="center"/>
      <protection hidden="1"/>
    </xf>
    <xf numFmtId="173" fontId="56" fillId="19" borderId="0" xfId="0" applyNumberFormat="1" applyFont="1" applyFill="1" applyAlignment="1" applyProtection="1">
      <alignment horizontal="center" vertical="center"/>
      <protection hidden="1"/>
    </xf>
    <xf numFmtId="0" fontId="57" fillId="5" borderId="0" xfId="0" applyFont="1" applyFill="1" applyAlignment="1">
      <alignment horizontal="center" vertical="top"/>
    </xf>
    <xf numFmtId="0" fontId="57" fillId="5" borderId="0" xfId="0" applyFont="1" applyFill="1" applyAlignment="1">
      <alignment horizontal="center" vertical="center" wrapText="1"/>
    </xf>
    <xf numFmtId="0" fontId="78" fillId="13" borderId="0" xfId="0" applyFont="1" applyFill="1" applyAlignment="1">
      <alignment horizontal="left" vertical="center" wrapText="1"/>
    </xf>
    <xf numFmtId="0" fontId="57" fillId="5" borderId="0" xfId="0" applyFont="1" applyFill="1" applyAlignment="1">
      <alignment horizontal="center" vertical="center"/>
    </xf>
    <xf numFmtId="9" fontId="55" fillId="17" borderId="0" xfId="2" applyFont="1" applyFill="1" applyBorder="1" applyAlignment="1" applyProtection="1">
      <alignment horizontal="center" vertical="center"/>
      <protection hidden="1"/>
    </xf>
    <xf numFmtId="0" fontId="69" fillId="13" borderId="0" xfId="0" applyFont="1" applyFill="1" applyAlignment="1">
      <alignment horizontal="center"/>
    </xf>
    <xf numFmtId="0" fontId="56" fillId="42" borderId="0" xfId="0" applyFont="1" applyFill="1" applyAlignment="1" applyProtection="1">
      <alignment horizontal="center" vertical="center"/>
      <protection locked="0"/>
    </xf>
    <xf numFmtId="0" fontId="79" fillId="13" borderId="0" xfId="0" applyFont="1" applyFill="1" applyAlignment="1">
      <alignment horizontal="center" vertical="center"/>
    </xf>
    <xf numFmtId="0" fontId="5" fillId="0" borderId="0" xfId="0" applyFont="1" applyAlignment="1" applyProtection="1">
      <alignment horizontal="center"/>
      <protection hidden="1"/>
    </xf>
    <xf numFmtId="0" fontId="0" fillId="0" borderId="0" xfId="0" applyAlignment="1">
      <alignment horizontal="center"/>
    </xf>
    <xf numFmtId="0" fontId="20" fillId="0" borderId="0" xfId="0" applyFont="1" applyAlignment="1">
      <alignment horizontal="left" vertical="center" wrapText="1"/>
    </xf>
    <xf numFmtId="0" fontId="37" fillId="13" borderId="0" xfId="0" applyFont="1" applyFill="1" applyAlignment="1">
      <alignment horizontal="left" vertical="center" indent="3"/>
    </xf>
    <xf numFmtId="0" fontId="37" fillId="13" borderId="20" xfId="0" applyFont="1" applyFill="1" applyBorder="1" applyAlignment="1">
      <alignment horizontal="left" vertical="center" indent="3"/>
    </xf>
    <xf numFmtId="0" fontId="37" fillId="13" borderId="0" xfId="0" applyFont="1" applyFill="1" applyAlignment="1">
      <alignment horizontal="center" vertical="center"/>
    </xf>
    <xf numFmtId="0" fontId="37" fillId="13" borderId="20" xfId="0" applyFont="1" applyFill="1" applyBorder="1" applyAlignment="1">
      <alignment horizontal="center" vertical="center"/>
    </xf>
    <xf numFmtId="9" fontId="38" fillId="13" borderId="21" xfId="0" applyNumberFormat="1" applyFont="1" applyFill="1" applyBorder="1" applyAlignment="1">
      <alignment horizontal="left" vertical="center" indent="3"/>
    </xf>
    <xf numFmtId="165" fontId="38" fillId="13" borderId="21" xfId="1" applyNumberFormat="1" applyFont="1" applyFill="1" applyBorder="1" applyAlignment="1">
      <alignment horizontal="center" vertical="center"/>
    </xf>
    <xf numFmtId="2" fontId="38" fillId="13" borderId="21" xfId="1" applyNumberFormat="1" applyFont="1" applyFill="1" applyBorder="1" applyAlignment="1">
      <alignment horizontal="center" vertical="center"/>
    </xf>
    <xf numFmtId="9" fontId="38" fillId="5" borderId="21" xfId="0" applyNumberFormat="1" applyFont="1" applyFill="1" applyBorder="1" applyAlignment="1">
      <alignment horizontal="left" vertical="center" indent="3"/>
    </xf>
    <xf numFmtId="165" fontId="38" fillId="5" borderId="21" xfId="1" applyNumberFormat="1" applyFont="1" applyFill="1" applyBorder="1" applyAlignment="1">
      <alignment horizontal="center" vertical="center"/>
    </xf>
    <xf numFmtId="2" fontId="38" fillId="5" borderId="21" xfId="1" applyNumberFormat="1" applyFont="1" applyFill="1" applyBorder="1" applyAlignment="1">
      <alignment horizontal="center" vertical="center"/>
    </xf>
    <xf numFmtId="0" fontId="37" fillId="13" borderId="0" xfId="0" applyFont="1" applyFill="1" applyAlignment="1">
      <alignment horizontal="center" wrapText="1"/>
    </xf>
    <xf numFmtId="0" fontId="37" fillId="13" borderId="20" xfId="0" applyFont="1" applyFill="1" applyBorder="1" applyAlignment="1">
      <alignment horizontal="center" wrapText="1"/>
    </xf>
    <xf numFmtId="164" fontId="38" fillId="5" borderId="21" xfId="1" applyFont="1" applyFill="1" applyBorder="1" applyAlignment="1">
      <alignment horizontal="center" vertical="center" wrapText="1"/>
    </xf>
    <xf numFmtId="164" fontId="38" fillId="13" borderId="21" xfId="1" applyFont="1" applyFill="1" applyBorder="1" applyAlignment="1">
      <alignment vertical="center" wrapText="1"/>
    </xf>
    <xf numFmtId="9" fontId="38" fillId="13" borderId="21" xfId="1" applyNumberFormat="1" applyFont="1" applyFill="1" applyBorder="1" applyAlignment="1">
      <alignment horizontal="center" vertical="center" wrapText="1"/>
    </xf>
    <xf numFmtId="164" fontId="38" fillId="13" borderId="21" xfId="1" applyFont="1" applyFill="1" applyBorder="1" applyAlignment="1">
      <alignment horizontal="center" vertical="center" wrapText="1"/>
    </xf>
    <xf numFmtId="164" fontId="38" fillId="5" borderId="21" xfId="1" applyFont="1" applyFill="1" applyBorder="1" applyAlignment="1">
      <alignment vertical="center" wrapText="1"/>
    </xf>
    <xf numFmtId="9" fontId="38" fillId="5" borderId="21" xfId="1" applyNumberFormat="1" applyFont="1" applyFill="1" applyBorder="1" applyAlignment="1">
      <alignment horizontal="center" vertical="center" wrapText="1"/>
    </xf>
    <xf numFmtId="0" fontId="0" fillId="0" borderId="0" xfId="0" applyAlignment="1">
      <alignment horizontal="left"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9" xfId="0" applyBorder="1" applyAlignment="1">
      <alignment horizontal="center"/>
    </xf>
    <xf numFmtId="0" fontId="0" fillId="0" borderId="18" xfId="0" applyBorder="1" applyAlignment="1">
      <alignment horizontal="center"/>
    </xf>
    <xf numFmtId="0" fontId="0" fillId="0" borderId="17" xfId="0" applyBorder="1" applyAlignment="1">
      <alignment horizontal="center"/>
    </xf>
    <xf numFmtId="0" fontId="0" fillId="0" borderId="14" xfId="0" applyBorder="1" applyAlignment="1">
      <alignment horizontal="left" vertical="center" wrapText="1"/>
    </xf>
    <xf numFmtId="0" fontId="0" fillId="0" borderId="9" xfId="0" applyBorder="1" applyAlignment="1">
      <alignment horizontal="left" vertical="center" wrapText="1"/>
    </xf>
    <xf numFmtId="0" fontId="0" fillId="0" borderId="15" xfId="0" applyBorder="1" applyAlignment="1">
      <alignment horizontal="left" vertical="center" wrapText="1"/>
    </xf>
    <xf numFmtId="0" fontId="0" fillId="0" borderId="3" xfId="0" applyBorder="1" applyAlignment="1">
      <alignment horizontal="left" vertical="center" wrapText="1"/>
    </xf>
    <xf numFmtId="0" fontId="0" fillId="0" borderId="0" xfId="0" applyAlignment="1">
      <alignment horizontal="left" vertical="center" wrapText="1"/>
    </xf>
    <xf numFmtId="0" fontId="0" fillId="0" borderId="2" xfId="0" applyBorder="1" applyAlignment="1">
      <alignment horizontal="left" vertical="center" wrapText="1"/>
    </xf>
    <xf numFmtId="0" fontId="0" fillId="0" borderId="10" xfId="0" applyBorder="1" applyAlignment="1">
      <alignment horizontal="left" vertical="center" wrapText="1"/>
    </xf>
    <xf numFmtId="0" fontId="0" fillId="0" borderId="7" xfId="0" applyBorder="1" applyAlignment="1">
      <alignment horizontal="left" vertical="center" wrapText="1"/>
    </xf>
    <xf numFmtId="0" fontId="0" fillId="0" borderId="11" xfId="0" applyBorder="1" applyAlignment="1">
      <alignment horizontal="left" vertical="center" wrapText="1"/>
    </xf>
    <xf numFmtId="0" fontId="5" fillId="0" borderId="0" xfId="0" applyFont="1" applyAlignment="1">
      <alignment horizontal="left" vertical="center" wrapText="1"/>
    </xf>
    <xf numFmtId="0" fontId="5" fillId="0" borderId="0" xfId="0" applyFont="1" applyAlignment="1">
      <alignment horizontal="left" vertical="center"/>
    </xf>
    <xf numFmtId="0" fontId="77" fillId="31" borderId="0" xfId="0" applyFont="1" applyFill="1" applyAlignment="1">
      <alignment horizontal="left" vertical="top"/>
    </xf>
    <xf numFmtId="0" fontId="3" fillId="37" borderId="19" xfId="0" applyFont="1" applyFill="1" applyBorder="1" applyAlignment="1">
      <alignment horizontal="center"/>
    </xf>
    <xf numFmtId="0" fontId="3" fillId="37" borderId="18" xfId="0" applyFont="1" applyFill="1" applyBorder="1" applyAlignment="1">
      <alignment horizontal="center"/>
    </xf>
    <xf numFmtId="0" fontId="3" fillId="37" borderId="17" xfId="0" applyFont="1" applyFill="1" applyBorder="1" applyAlignment="1">
      <alignment horizontal="center"/>
    </xf>
    <xf numFmtId="0" fontId="0" fillId="37" borderId="19" xfId="0" applyFill="1" applyBorder="1" applyAlignment="1">
      <alignment horizontal="center"/>
    </xf>
    <xf numFmtId="0" fontId="0" fillId="37" borderId="18" xfId="0" applyFill="1" applyBorder="1" applyAlignment="1">
      <alignment horizontal="center"/>
    </xf>
    <xf numFmtId="0" fontId="0" fillId="37" borderId="17" xfId="0" applyFill="1" applyBorder="1" applyAlignment="1">
      <alignment horizontal="center"/>
    </xf>
    <xf numFmtId="166" fontId="47" fillId="29" borderId="3" xfId="1" applyNumberFormat="1" applyFont="1" applyFill="1" applyBorder="1" applyAlignment="1">
      <alignment horizontal="center" wrapText="1"/>
    </xf>
    <xf numFmtId="166" fontId="47" fillId="28" borderId="3" xfId="1" applyNumberFormat="1" applyFont="1" applyFill="1" applyBorder="1" applyAlignment="1">
      <alignment horizontal="center" wrapText="1"/>
    </xf>
    <xf numFmtId="166" fontId="48" fillId="14" borderId="3" xfId="1" applyNumberFormat="1" applyFont="1" applyFill="1" applyBorder="1" applyAlignment="1">
      <alignment horizontal="center" wrapText="1"/>
    </xf>
    <xf numFmtId="0" fontId="0" fillId="0" borderId="16" xfId="0" applyBorder="1" applyAlignment="1">
      <alignment horizontal="center"/>
    </xf>
    <xf numFmtId="0" fontId="0" fillId="0" borderId="0" xfId="0" applyAlignment="1">
      <alignment horizontal="left" wrapText="1"/>
    </xf>
    <xf numFmtId="0" fontId="0" fillId="0" borderId="0" xfId="0" applyAlignment="1">
      <alignment horizontal="left"/>
    </xf>
    <xf numFmtId="0" fontId="13" fillId="5" borderId="16" xfId="0" applyFont="1" applyFill="1" applyBorder="1" applyAlignment="1">
      <alignment horizontal="center"/>
    </xf>
    <xf numFmtId="0" fontId="8" fillId="0" borderId="0" xfId="0" applyFont="1" applyAlignment="1">
      <alignment horizontal="left"/>
    </xf>
    <xf numFmtId="0" fontId="8" fillId="0" borderId="0" xfId="0" applyFont="1" applyAlignment="1">
      <alignment horizontal="left" wrapText="1"/>
    </xf>
    <xf numFmtId="0" fontId="8" fillId="0" borderId="0" xfId="0" applyFont="1" applyAlignment="1">
      <alignment horizontal="center"/>
    </xf>
    <xf numFmtId="0" fontId="30" fillId="5" borderId="0" xfId="0" applyFont="1" applyFill="1" applyAlignment="1">
      <alignment horizontal="center" vertical="center" wrapText="1"/>
    </xf>
  </cellXfs>
  <cellStyles count="36">
    <cellStyle name=" 1" xfId="3" xr:uid="{00000000-0005-0000-0000-000000000000}"/>
    <cellStyle name=" 1 2" xfId="4" xr:uid="{00000000-0005-0000-0000-000001000000}"/>
    <cellStyle name=" 1 2 2" xfId="5" xr:uid="{00000000-0005-0000-0000-000002000000}"/>
    <cellStyle name=" 1 3" xfId="6" xr:uid="{00000000-0005-0000-0000-000003000000}"/>
    <cellStyle name=" 1 4" xfId="7" xr:uid="{00000000-0005-0000-0000-000004000000}"/>
    <cellStyle name=" 1 5" xfId="8" xr:uid="{00000000-0005-0000-0000-000005000000}"/>
    <cellStyle name=" 1 6" xfId="9" xr:uid="{00000000-0005-0000-0000-000006000000}"/>
    <cellStyle name=" 1 7" xfId="18" xr:uid="{00000000-0005-0000-0000-000007000000}"/>
    <cellStyle name=" Writer Import]_x000d__x000a_Display Dialog=No_x000d__x000a__x000d__x000a_[Horizontal Arrange]_x000d__x000a_Dimensions Interlocking=Yes_x000d__x000a_Sum Hierarchy=Yes_x000d__x000a_Generate" xfId="10" xr:uid="{00000000-0005-0000-0000-000008000000}"/>
    <cellStyle name=" Writer Import]_x000d__x000a_Display Dialog=No_x000d__x000a__x000d__x000a_[Horizontal Arrange]_x000d__x000a_Dimensions Interlocking=Yes_x000d__x000a_Sum Hierarchy=Yes_x000d__x000a_Generate 2" xfId="11" xr:uid="{00000000-0005-0000-0000-000009000000}"/>
    <cellStyle name=" Writer Import]_x000d__x000a_Display Dialog=No_x000d__x000a__x000d__x000a_[Horizontal Arrange]_x000d__x000a_Dimensions Interlocking=Yes_x000d__x000a_Sum Hierarchy=Yes_x000d__x000a_Generate 2 2" xfId="12" xr:uid="{00000000-0005-0000-0000-00000A000000}"/>
    <cellStyle name=" Writer Import]_x000d__x000a_Display Dialog=No_x000d__x000a__x000d__x000a_[Horizontal Arrange]_x000d__x000a_Dimensions Interlocking=Yes_x000d__x000a_Sum Hierarchy=Yes_x000d__x000a_Generate 2 3" xfId="13" xr:uid="{00000000-0005-0000-0000-00000B000000}"/>
    <cellStyle name=" Writer Import]_x000d__x000a_Display Dialog=No_x000d__x000a__x000d__x000a_[Horizontal Arrange]_x000d__x000a_Dimensions Interlocking=Yes_x000d__x000a_Sum Hierarchy=Yes_x000d__x000a_Generate 3" xfId="14" xr:uid="{00000000-0005-0000-0000-00000C000000}"/>
    <cellStyle name=" Writer Import]_x000d__x000a_Display Dialog=No_x000d__x000a__x000d__x000a_[Horizontal Arrange]_x000d__x000a_Dimensions Interlocking=Yes_x000d__x000a_Sum Hierarchy=Yes_x000d__x000a_Generate 4" xfId="15" xr:uid="{00000000-0005-0000-0000-00000D000000}"/>
    <cellStyle name="%_charts tables TP-formatted " xfId="16" xr:uid="{00000000-0005-0000-0000-00000E000000}"/>
    <cellStyle name="1 7" xfId="17" xr:uid="{00000000-0005-0000-0000-00000F000000}"/>
    <cellStyle name="20% - Accent2" xfId="27" builtinId="34"/>
    <cellStyle name="20% - Accent5" xfId="28" builtinId="46"/>
    <cellStyle name="Calculation" xfId="23" builtinId="22"/>
    <cellStyle name="Check Cell" xfId="26" builtinId="23"/>
    <cellStyle name="Comma" xfId="1" builtinId="3"/>
    <cellStyle name="Comma 2" xfId="29" xr:uid="{E9C3ECAD-C5BA-4A50-801C-6A863E7D9CEF}"/>
    <cellStyle name="Comma 3" xfId="34" xr:uid="{B0C13B01-2B5A-441C-889E-DBCB5C34A8FC}"/>
    <cellStyle name="Comma 6" xfId="30" xr:uid="{2A0DF278-F582-4C83-87B2-90FA959C899B}"/>
    <cellStyle name="Hyperlink" xfId="19" builtinId="8"/>
    <cellStyle name="Input" xfId="20" builtinId="20"/>
    <cellStyle name="Linked Cell" xfId="24" builtinId="24"/>
    <cellStyle name="Normal" xfId="0" builtinId="0"/>
    <cellStyle name="Normal 2" xfId="31" xr:uid="{20A09B9C-E6FB-441F-B9B9-924B90E8CF83}"/>
    <cellStyle name="Normal 2 2" xfId="35" xr:uid="{2556D356-E2EC-4609-9808-A57FFAD68642}"/>
    <cellStyle name="Normal 210" xfId="25" xr:uid="{00000000-0005-0000-0000-000019000000}"/>
    <cellStyle name="Normal 3" xfId="33" xr:uid="{4A2819B6-0596-47CB-8018-A27F6C20D03D}"/>
    <cellStyle name="Normal 4" xfId="32" xr:uid="{EA2501C8-D6F2-41DA-B730-F9B476125F49}"/>
    <cellStyle name="Note" xfId="22" builtinId="10"/>
    <cellStyle name="Output" xfId="21" builtinId="21"/>
    <cellStyle name="Percent" xfId="2" builtinId="5"/>
  </cellStyles>
  <dxfs count="44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AEEF"/>
      <color rgb="FFD94E1F"/>
      <color rgb="FFE28E6E"/>
      <color rgb="FFFCD9D3"/>
      <color rgb="FFE98E6E"/>
      <color rgb="FFCE8E6E"/>
      <color rgb="FFF68E6E"/>
      <color rgb="FFFF6699"/>
      <color rgb="FFEF8B2C"/>
      <color rgb="FF5CA79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17/10/relationships/person" Target="persons/person.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1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99223184234824"/>
          <c:y val="3.7348921121521862E-2"/>
          <c:w val="0.86482925306989922"/>
          <c:h val="0.5336121934810738"/>
        </c:manualLayout>
      </c:layout>
      <c:barChart>
        <c:barDir val="col"/>
        <c:grouping val="clustered"/>
        <c:varyColors val="0"/>
        <c:ser>
          <c:idx val="1"/>
          <c:order val="1"/>
          <c:tx>
            <c:strRef>
              <c:f>Dashboard!$D$5</c:f>
              <c:strCache>
                <c:ptCount val="1"/>
                <c:pt idx="0">
                  <c:v>Inner London</c:v>
                </c:pt>
              </c:strCache>
            </c:strRef>
          </c:tx>
          <c:spPr>
            <a:solidFill>
              <a:schemeClr val="accent2">
                <a:lumMod val="60000"/>
                <a:lumOff val="40000"/>
              </a:schemeClr>
            </a:solidFill>
          </c:spPr>
          <c:invertIfNegative val="0"/>
          <c:cat>
            <c:strRef>
              <c:f>Dashboard!#REF!</c:f>
              <c:strCache>
                <c:ptCount val="1"/>
                <c:pt idx="0">
                  <c:v>#REF!</c:v>
                </c:pt>
              </c:strCache>
            </c:strRef>
          </c:cat>
          <c:val>
            <c:numRef>
              <c:f>Carbon!$Y$46:$AF$46</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0-54C6-40CA-BA32-32C14F4D966D}"/>
            </c:ext>
          </c:extLst>
        </c:ser>
        <c:dLbls>
          <c:showLegendKey val="0"/>
          <c:showVal val="0"/>
          <c:showCatName val="0"/>
          <c:showSerName val="0"/>
          <c:showPercent val="0"/>
          <c:showBubbleSize val="0"/>
        </c:dLbls>
        <c:gapWidth val="48"/>
        <c:axId val="107664896"/>
        <c:axId val="107671552"/>
      </c:barChart>
      <c:lineChart>
        <c:grouping val="standard"/>
        <c:varyColors val="0"/>
        <c:ser>
          <c:idx val="0"/>
          <c:order val="0"/>
          <c:tx>
            <c:strRef>
              <c:f>Carbon!$W$47</c:f>
              <c:strCache>
                <c:ptCount val="1"/>
                <c:pt idx="0">
                  <c:v>London Average</c:v>
                </c:pt>
              </c:strCache>
            </c:strRef>
          </c:tx>
          <c:spPr>
            <a:ln>
              <a:noFill/>
            </a:ln>
          </c:spPr>
          <c:marker>
            <c:symbol val="dash"/>
            <c:size val="20"/>
            <c:spPr>
              <a:solidFill>
                <a:schemeClr val="accent2">
                  <a:lumMod val="50000"/>
                </a:schemeClr>
              </a:solidFill>
              <a:ln>
                <a:noFill/>
              </a:ln>
            </c:spPr>
          </c:marker>
          <c:cat>
            <c:strRef>
              <c:f>Carbon!$Y$48:$AF$49</c:f>
              <c:strCache>
                <c:ptCount val="8"/>
                <c:pt idx="0">
                  <c:v>#N/A</c:v>
                </c:pt>
                <c:pt idx="1">
                  <c:v>#N/A</c:v>
                </c:pt>
                <c:pt idx="2">
                  <c:v>#N/A</c:v>
                </c:pt>
                <c:pt idx="3">
                  <c:v>#N/A</c:v>
                </c:pt>
                <c:pt idx="4">
                  <c:v>#N/A</c:v>
                </c:pt>
                <c:pt idx="5">
                  <c:v>#N/A</c:v>
                </c:pt>
                <c:pt idx="6">
                  <c:v>#N/A</c:v>
                </c:pt>
                <c:pt idx="7">
                  <c:v>#N/A</c:v>
                </c:pt>
              </c:strCache>
            </c:strRef>
          </c:cat>
          <c:val>
            <c:numRef>
              <c:f>Carbon!$Y$47:$AF$47</c:f>
              <c:numCache>
                <c:formatCode>General</c:formatCode>
                <c:ptCount val="8"/>
                <c:pt idx="0">
                  <c:v>0.27136009023404456</c:v>
                </c:pt>
                <c:pt idx="1">
                  <c:v>0.23746170212049392</c:v>
                </c:pt>
                <c:pt idx="2">
                  <c:v>0.21122518617354316</c:v>
                </c:pt>
                <c:pt idx="3">
                  <c:v>0.13463065183626219</c:v>
                </c:pt>
                <c:pt idx="4">
                  <c:v>0.10601581728830653</c:v>
                </c:pt>
                <c:pt idx="5">
                  <c:v>1.3316502218345445E-2</c:v>
                </c:pt>
                <c:pt idx="6">
                  <c:v>1.3097897753731966E-2</c:v>
                </c:pt>
                <c:pt idx="7">
                  <c:v>1.2892152375272222E-2</c:v>
                </c:pt>
              </c:numCache>
            </c:numRef>
          </c:val>
          <c:smooth val="0"/>
          <c:extLst>
            <c:ext xmlns:c16="http://schemas.microsoft.com/office/drawing/2014/chart" uri="{C3380CC4-5D6E-409C-BE32-E72D297353CC}">
              <c16:uniqueId val="{00000001-54C6-40CA-BA32-32C14F4D966D}"/>
            </c:ext>
          </c:extLst>
        </c:ser>
        <c:dLbls>
          <c:showLegendKey val="0"/>
          <c:showVal val="0"/>
          <c:showCatName val="0"/>
          <c:showSerName val="0"/>
          <c:showPercent val="0"/>
          <c:showBubbleSize val="0"/>
        </c:dLbls>
        <c:marker val="1"/>
        <c:smooth val="0"/>
        <c:axId val="107664896"/>
        <c:axId val="107671552"/>
      </c:lineChart>
      <c:catAx>
        <c:axId val="107664896"/>
        <c:scaling>
          <c:orientation val="minMax"/>
        </c:scaling>
        <c:delete val="0"/>
        <c:axPos val="b"/>
        <c:title>
          <c:tx>
            <c:rich>
              <a:bodyPr/>
              <a:lstStyle/>
              <a:p>
                <a:pPr>
                  <a:defRPr sz="800">
                    <a:latin typeface="Arial" panose="020B0604020202020204" pitchFamily="34" charset="0"/>
                    <a:cs typeface="Arial" panose="020B0604020202020204" pitchFamily="34" charset="0"/>
                  </a:defRPr>
                </a:pPr>
                <a:r>
                  <a:rPr lang="en-GB" sz="800" b="0" i="1">
                    <a:latin typeface="Arial" panose="020B0604020202020204" pitchFamily="34" charset="0"/>
                    <a:cs typeface="Arial" panose="020B0604020202020204" pitchFamily="34" charset="0"/>
                  </a:rPr>
                  <a:t>Source: ONS Neighbourhood Statistics </a:t>
                </a:r>
              </a:p>
            </c:rich>
          </c:tx>
          <c:layout>
            <c:manualLayout>
              <c:xMode val="edge"/>
              <c:yMode val="edge"/>
              <c:x val="0.63094353095568934"/>
              <c:y val="0.90630719772728807"/>
            </c:manualLayout>
          </c:layout>
          <c:overlay val="0"/>
        </c:title>
        <c:numFmt formatCode="General" sourceLinked="0"/>
        <c:majorTickMark val="out"/>
        <c:minorTickMark val="none"/>
        <c:tickLblPos val="nextTo"/>
        <c:txPr>
          <a:bodyPr/>
          <a:lstStyle/>
          <a:p>
            <a:pPr>
              <a:defRPr sz="700">
                <a:solidFill>
                  <a:schemeClr val="tx1">
                    <a:lumMod val="85000"/>
                    <a:lumOff val="15000"/>
                  </a:schemeClr>
                </a:solidFill>
                <a:latin typeface="Arial" panose="020B0604020202020204" pitchFamily="34" charset="0"/>
                <a:cs typeface="Arial" panose="020B0604020202020204" pitchFamily="34" charset="0"/>
              </a:defRPr>
            </a:pPr>
            <a:endParaRPr lang="en-US"/>
          </a:p>
        </c:txPr>
        <c:crossAx val="107671552"/>
        <c:crosses val="autoZero"/>
        <c:auto val="1"/>
        <c:lblAlgn val="ctr"/>
        <c:lblOffset val="100"/>
        <c:noMultiLvlLbl val="0"/>
      </c:catAx>
      <c:valAx>
        <c:axId val="107671552"/>
        <c:scaling>
          <c:orientation val="minMax"/>
        </c:scaling>
        <c:delete val="0"/>
        <c:axPos val="l"/>
        <c:majorGridlines>
          <c:spPr>
            <a:ln>
              <a:solidFill>
                <a:schemeClr val="bg1">
                  <a:lumMod val="75000"/>
                </a:schemeClr>
              </a:solidFill>
            </a:ln>
          </c:spPr>
        </c:majorGridlines>
        <c:title>
          <c:tx>
            <c:rich>
              <a:bodyPr rot="-5400000" vert="horz"/>
              <a:lstStyle/>
              <a:p>
                <a:pPr>
                  <a:defRPr sz="900">
                    <a:solidFill>
                      <a:schemeClr val="tx1">
                        <a:lumMod val="75000"/>
                        <a:lumOff val="25000"/>
                      </a:schemeClr>
                    </a:solidFill>
                    <a:latin typeface="Arial" panose="020B0604020202020204" pitchFamily="34" charset="0"/>
                    <a:cs typeface="Arial" panose="020B0604020202020204" pitchFamily="34" charset="0"/>
                  </a:defRPr>
                </a:pPr>
                <a:r>
                  <a:rPr lang="en-GB" sz="900">
                    <a:solidFill>
                      <a:schemeClr val="tx1">
                        <a:lumMod val="75000"/>
                        <a:lumOff val="25000"/>
                      </a:schemeClr>
                    </a:solidFill>
                    <a:latin typeface="Arial" panose="020B0604020202020204" pitchFamily="34" charset="0"/>
                    <a:cs typeface="Arial" panose="020B0604020202020204" pitchFamily="34" charset="0"/>
                  </a:rPr>
                  <a:t>TENANCY</a:t>
                </a:r>
              </a:p>
            </c:rich>
          </c:tx>
          <c:layout>
            <c:manualLayout>
              <c:xMode val="edge"/>
              <c:yMode val="edge"/>
              <c:x val="5.9684103273099096E-3"/>
              <c:y val="3.0527885635391896E-2"/>
            </c:manualLayout>
          </c:layout>
          <c:overlay val="0"/>
        </c:title>
        <c:numFmt formatCode="General" sourceLinked="1"/>
        <c:majorTickMark val="out"/>
        <c:minorTickMark val="none"/>
        <c:tickLblPos val="nextTo"/>
        <c:txPr>
          <a:bodyPr/>
          <a:lstStyle/>
          <a:p>
            <a:pPr>
              <a:defRPr sz="900">
                <a:solidFill>
                  <a:schemeClr val="tx1">
                    <a:lumMod val="85000"/>
                    <a:lumOff val="15000"/>
                  </a:schemeClr>
                </a:solidFill>
              </a:defRPr>
            </a:pPr>
            <a:endParaRPr lang="en-US"/>
          </a:p>
        </c:txPr>
        <c:crossAx val="107664896"/>
        <c:crosses val="autoZero"/>
        <c:crossBetween val="between"/>
      </c:valAx>
      <c:spPr>
        <a:solidFill>
          <a:schemeClr val="bg1">
            <a:lumMod val="95000"/>
          </a:schemeClr>
        </a:solidFill>
      </c:spPr>
    </c:plotArea>
    <c:legend>
      <c:legendPos val="b"/>
      <c:layout>
        <c:manualLayout>
          <c:xMode val="edge"/>
          <c:yMode val="edge"/>
          <c:x val="9.5588235294117641E-2"/>
          <c:y val="0.8955114039314751"/>
          <c:w val="0.39729467178329531"/>
          <c:h val="6.8957919369941084E-2"/>
        </c:manualLayout>
      </c:layout>
      <c:overlay val="0"/>
      <c:txPr>
        <a:bodyPr/>
        <a:lstStyle/>
        <a:p>
          <a:pPr>
            <a:defRPr sz="900" b="0">
              <a:solidFill>
                <a:schemeClr val="tx1">
                  <a:lumMod val="75000"/>
                  <a:lumOff val="25000"/>
                </a:schemeClr>
              </a:solidFill>
              <a:latin typeface="Arial" panose="020B0604020202020204" pitchFamily="34" charset="0"/>
              <a:ea typeface="Segoe UI" panose="020B0502040204020203" pitchFamily="34" charset="0"/>
              <a:cs typeface="Arial" panose="020B0604020202020204" pitchFamily="34" charset="0"/>
            </a:defRPr>
          </a:pPr>
          <a:endParaRPr lang="en-US"/>
        </a:p>
      </c:txPr>
    </c:legend>
    <c:plotVisOnly val="1"/>
    <c:dispBlanksAs val="gap"/>
    <c:showDLblsOverMax val="0"/>
  </c:chart>
  <c:spPr>
    <a:solidFill>
      <a:schemeClr val="bg1">
        <a:lumMod val="95000"/>
      </a:schemeClr>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35383719297516"/>
          <c:y val="2.2534076510951011E-2"/>
          <c:w val="0.85479502207614588"/>
          <c:h val="0.58615371698107555"/>
        </c:manualLayout>
      </c:layout>
      <c:barChart>
        <c:barDir val="col"/>
        <c:grouping val="clustered"/>
        <c:varyColors val="0"/>
        <c:ser>
          <c:idx val="1"/>
          <c:order val="1"/>
          <c:tx>
            <c:strRef>
              <c:f>Dashboard!$D$5</c:f>
              <c:strCache>
                <c:ptCount val="1"/>
                <c:pt idx="0">
                  <c:v>Inner London</c:v>
                </c:pt>
              </c:strCache>
            </c:strRef>
          </c:tx>
          <c:spPr>
            <a:solidFill>
              <a:schemeClr val="accent3"/>
            </a:solidFill>
          </c:spPr>
          <c:invertIfNegative val="0"/>
          <c:cat>
            <c:numRef>
              <c:f>Carbon!$AR$48:$BB$48</c:f>
              <c:numCache>
                <c:formatCode>General</c:formatCode>
                <c:ptCount val="11"/>
                <c:pt idx="0">
                  <c:v>#N/A</c:v>
                </c:pt>
                <c:pt idx="1">
                  <c:v>#N/A</c:v>
                </c:pt>
                <c:pt idx="2">
                  <c:v>#N/A</c:v>
                </c:pt>
                <c:pt idx="3">
                  <c:v>#N/A</c:v>
                </c:pt>
                <c:pt idx="4">
                  <c:v>#N/A</c:v>
                </c:pt>
                <c:pt idx="5">
                  <c:v>#N/A</c:v>
                </c:pt>
                <c:pt idx="6">
                  <c:v>#N/A</c:v>
                </c:pt>
                <c:pt idx="7">
                  <c:v>#N/A</c:v>
                </c:pt>
                <c:pt idx="8">
                  <c:v>#N/A</c:v>
                </c:pt>
                <c:pt idx="9">
                  <c:v>#N/A</c:v>
                </c:pt>
                <c:pt idx="10">
                  <c:v>#N/A</c:v>
                </c:pt>
              </c:numCache>
            </c:numRef>
          </c:cat>
          <c:val>
            <c:numRef>
              <c:f>Carbon!$AR$46:$BB$46</c:f>
              <c:numCache>
                <c:formatCode>General</c:formatCode>
                <c:ptCount val="11"/>
                <c:pt idx="0">
                  <c:v>#N/A</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0-213C-475E-861E-241FDBCE88DB}"/>
            </c:ext>
          </c:extLst>
        </c:ser>
        <c:dLbls>
          <c:showLegendKey val="0"/>
          <c:showVal val="0"/>
          <c:showCatName val="0"/>
          <c:showSerName val="0"/>
          <c:showPercent val="0"/>
          <c:showBubbleSize val="0"/>
        </c:dLbls>
        <c:gapWidth val="31"/>
        <c:axId val="107685376"/>
        <c:axId val="107696128"/>
      </c:barChart>
      <c:lineChart>
        <c:grouping val="standard"/>
        <c:varyColors val="0"/>
        <c:ser>
          <c:idx val="0"/>
          <c:order val="0"/>
          <c:tx>
            <c:strRef>
              <c:f>Carbon!$AP$47</c:f>
              <c:strCache>
                <c:ptCount val="1"/>
                <c:pt idx="0">
                  <c:v>London Average</c:v>
                </c:pt>
              </c:strCache>
            </c:strRef>
          </c:tx>
          <c:spPr>
            <a:ln>
              <a:noFill/>
            </a:ln>
          </c:spPr>
          <c:marker>
            <c:symbol val="dash"/>
            <c:size val="20"/>
            <c:spPr>
              <a:solidFill>
                <a:schemeClr val="accent2">
                  <a:lumMod val="50000"/>
                </a:schemeClr>
              </a:solidFill>
              <a:ln>
                <a:noFill/>
              </a:ln>
            </c:spPr>
          </c:marker>
          <c:cat>
            <c:strRef>
              <c:f>Dashboard!#REF!</c:f>
              <c:strCache>
                <c:ptCount val="1"/>
                <c:pt idx="0">
                  <c:v>#REF!</c:v>
                </c:pt>
              </c:strCache>
            </c:strRef>
          </c:cat>
          <c:val>
            <c:numRef>
              <c:f>Carbon!$AR$47:$BB$47</c:f>
              <c:numCache>
                <c:formatCode>General</c:formatCode>
                <c:ptCount val="11"/>
                <c:pt idx="0">
                  <c:v>0.26659125696888447</c:v>
                </c:pt>
                <c:pt idx="1">
                  <c:v>0.14650915411451071</c:v>
                </c:pt>
                <c:pt idx="2">
                  <c:v>0.14220134851953181</c:v>
                </c:pt>
                <c:pt idx="3">
                  <c:v>0.12910164478420183</c:v>
                </c:pt>
                <c:pt idx="4">
                  <c:v>8.6958579963897234E-2</c:v>
                </c:pt>
                <c:pt idx="5">
                  <c:v>6.7529577329625626E-2</c:v>
                </c:pt>
                <c:pt idx="6">
                  <c:v>4.3205094584082678E-2</c:v>
                </c:pt>
                <c:pt idx="7">
                  <c:v>4.088329304428763E-2</c:v>
                </c:pt>
                <c:pt idx="8">
                  <c:v>2.9409536296386596E-2</c:v>
                </c:pt>
                <c:pt idx="9">
                  <c:v>2.6308444173232626E-2</c:v>
                </c:pt>
                <c:pt idx="10">
                  <c:v>2.1302070221358764E-2</c:v>
                </c:pt>
              </c:numCache>
            </c:numRef>
          </c:val>
          <c:smooth val="0"/>
          <c:extLst>
            <c:ext xmlns:c16="http://schemas.microsoft.com/office/drawing/2014/chart" uri="{C3380CC4-5D6E-409C-BE32-E72D297353CC}">
              <c16:uniqueId val="{00000001-213C-475E-861E-241FDBCE88DB}"/>
            </c:ext>
          </c:extLst>
        </c:ser>
        <c:dLbls>
          <c:showLegendKey val="0"/>
          <c:showVal val="0"/>
          <c:showCatName val="0"/>
          <c:showSerName val="0"/>
          <c:showPercent val="0"/>
          <c:showBubbleSize val="0"/>
        </c:dLbls>
        <c:marker val="1"/>
        <c:smooth val="0"/>
        <c:axId val="107685376"/>
        <c:axId val="107696128"/>
      </c:lineChart>
      <c:catAx>
        <c:axId val="107685376"/>
        <c:scaling>
          <c:orientation val="minMax"/>
        </c:scaling>
        <c:delete val="0"/>
        <c:axPos val="b"/>
        <c:title>
          <c:tx>
            <c:rich>
              <a:bodyPr/>
              <a:lstStyle/>
              <a:p>
                <a:pPr>
                  <a:defRPr sz="1100"/>
                </a:pPr>
                <a:r>
                  <a:rPr lang="en-GB" sz="1100" b="0" i="1" baseline="0">
                    <a:effectLst/>
                  </a:rPr>
                  <a:t>Source: VOA</a:t>
                </a:r>
                <a:endParaRPr lang="en-GB" sz="1100">
                  <a:effectLst/>
                </a:endParaRPr>
              </a:p>
            </c:rich>
          </c:tx>
          <c:layout>
            <c:manualLayout>
              <c:xMode val="edge"/>
              <c:yMode val="edge"/>
              <c:x val="0.83856944495004915"/>
              <c:y val="0.93313936054574764"/>
            </c:manualLayout>
          </c:layout>
          <c:overlay val="0"/>
        </c:title>
        <c:numFmt formatCode="General" sourceLinked="0"/>
        <c:majorTickMark val="out"/>
        <c:minorTickMark val="none"/>
        <c:tickLblPos val="nextTo"/>
        <c:txPr>
          <a:bodyPr/>
          <a:lstStyle/>
          <a:p>
            <a:pPr>
              <a:defRPr sz="900">
                <a:solidFill>
                  <a:schemeClr val="tx1">
                    <a:lumMod val="85000"/>
                    <a:lumOff val="15000"/>
                  </a:schemeClr>
                </a:solidFill>
                <a:latin typeface="Arial" panose="020B0604020202020204" pitchFamily="34" charset="0"/>
                <a:cs typeface="Arial" panose="020B0604020202020204" pitchFamily="34" charset="0"/>
              </a:defRPr>
            </a:pPr>
            <a:endParaRPr lang="en-US"/>
          </a:p>
        </c:txPr>
        <c:crossAx val="107696128"/>
        <c:crosses val="autoZero"/>
        <c:auto val="1"/>
        <c:lblAlgn val="ctr"/>
        <c:lblOffset val="100"/>
        <c:noMultiLvlLbl val="0"/>
      </c:catAx>
      <c:valAx>
        <c:axId val="107696128"/>
        <c:scaling>
          <c:orientation val="minMax"/>
        </c:scaling>
        <c:delete val="0"/>
        <c:axPos val="l"/>
        <c:majorGridlines>
          <c:spPr>
            <a:ln>
              <a:solidFill>
                <a:schemeClr val="bg1">
                  <a:lumMod val="75000"/>
                </a:schemeClr>
              </a:solidFill>
            </a:ln>
          </c:spPr>
        </c:majorGridlines>
        <c:title>
          <c:tx>
            <c:rich>
              <a:bodyPr rot="-5400000" vert="horz"/>
              <a:lstStyle/>
              <a:p>
                <a:pPr>
                  <a:defRPr sz="900">
                    <a:solidFill>
                      <a:schemeClr val="tx1">
                        <a:lumMod val="75000"/>
                        <a:lumOff val="25000"/>
                      </a:schemeClr>
                    </a:solidFill>
                    <a:latin typeface="Arial" panose="020B0604020202020204" pitchFamily="34" charset="0"/>
                    <a:cs typeface="Arial" panose="020B0604020202020204" pitchFamily="34" charset="0"/>
                  </a:defRPr>
                </a:pPr>
                <a:r>
                  <a:rPr lang="en-GB" sz="900">
                    <a:solidFill>
                      <a:schemeClr val="tx1">
                        <a:lumMod val="75000"/>
                        <a:lumOff val="25000"/>
                      </a:schemeClr>
                    </a:solidFill>
                    <a:latin typeface="Arial" panose="020B0604020202020204" pitchFamily="34" charset="0"/>
                    <a:cs typeface="Arial" panose="020B0604020202020204" pitchFamily="34" charset="0"/>
                  </a:rPr>
                  <a:t>NON DOMESTIC FLOOR AREA</a:t>
                </a:r>
              </a:p>
            </c:rich>
          </c:tx>
          <c:layout>
            <c:manualLayout>
              <c:xMode val="edge"/>
              <c:yMode val="edge"/>
              <c:x val="4.5963736217024024E-4"/>
              <c:y val="2.9584664166846381E-3"/>
            </c:manualLayout>
          </c:layout>
          <c:overlay val="0"/>
        </c:title>
        <c:numFmt formatCode="General" sourceLinked="1"/>
        <c:majorTickMark val="out"/>
        <c:minorTickMark val="none"/>
        <c:tickLblPos val="nextTo"/>
        <c:txPr>
          <a:bodyPr/>
          <a:lstStyle/>
          <a:p>
            <a:pPr>
              <a:defRPr>
                <a:solidFill>
                  <a:schemeClr val="tx1">
                    <a:lumMod val="85000"/>
                    <a:lumOff val="15000"/>
                  </a:schemeClr>
                </a:solidFill>
                <a:latin typeface="Arial" panose="020B0604020202020204" pitchFamily="34" charset="0"/>
                <a:cs typeface="Arial" panose="020B0604020202020204" pitchFamily="34" charset="0"/>
              </a:defRPr>
            </a:pPr>
            <a:endParaRPr lang="en-US"/>
          </a:p>
        </c:txPr>
        <c:crossAx val="107685376"/>
        <c:crosses val="autoZero"/>
        <c:crossBetween val="between"/>
      </c:valAx>
      <c:spPr>
        <a:solidFill>
          <a:schemeClr val="bg1">
            <a:lumMod val="95000"/>
          </a:schemeClr>
        </a:solidFill>
      </c:spPr>
    </c:plotArea>
    <c:legend>
      <c:legendPos val="b"/>
      <c:layout>
        <c:manualLayout>
          <c:xMode val="edge"/>
          <c:yMode val="edge"/>
          <c:x val="0"/>
          <c:y val="0.91487343353698913"/>
          <c:w val="0.62418539002769713"/>
          <c:h val="8.1947621282914634E-2"/>
        </c:manualLayout>
      </c:layout>
      <c:overlay val="0"/>
      <c:txPr>
        <a:bodyPr/>
        <a:lstStyle/>
        <a:p>
          <a:pPr>
            <a:defRPr sz="900" b="0">
              <a:solidFill>
                <a:schemeClr val="tx1">
                  <a:lumMod val="75000"/>
                  <a:lumOff val="25000"/>
                </a:schemeClr>
              </a:solidFill>
              <a:latin typeface="Arial" panose="020B0604020202020204" pitchFamily="34" charset="0"/>
              <a:ea typeface="Segoe UI" panose="020B0502040204020203" pitchFamily="34" charset="0"/>
              <a:cs typeface="Arial" panose="020B0604020202020204" pitchFamily="34" charset="0"/>
            </a:defRPr>
          </a:pPr>
          <a:endParaRPr lang="en-US"/>
        </a:p>
      </c:txPr>
    </c:legend>
    <c:plotVisOnly val="1"/>
    <c:dispBlanksAs val="gap"/>
    <c:showDLblsOverMax val="0"/>
  </c:chart>
  <c:spPr>
    <a:solidFill>
      <a:schemeClr val="bg1">
        <a:lumMod val="95000"/>
      </a:schemeClr>
    </a:solid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005979393814325"/>
          <c:y val="3.7348921121521862E-2"/>
          <c:w val="0.82601170218088749"/>
          <c:h val="0.60983533634023945"/>
        </c:manualLayout>
      </c:layout>
      <c:barChart>
        <c:barDir val="col"/>
        <c:grouping val="clustered"/>
        <c:varyColors val="0"/>
        <c:ser>
          <c:idx val="1"/>
          <c:order val="1"/>
          <c:tx>
            <c:strRef>
              <c:f>Dashboard!$D$5</c:f>
              <c:strCache>
                <c:ptCount val="1"/>
                <c:pt idx="0">
                  <c:v>Inner London</c:v>
                </c:pt>
              </c:strCache>
            </c:strRef>
          </c:tx>
          <c:spPr>
            <a:solidFill>
              <a:srgbClr val="FFFF66"/>
            </a:solidFill>
          </c:spPr>
          <c:invertIfNegative val="0"/>
          <c:cat>
            <c:numRef>
              <c:f>Carbon!$AI$48:$AN$48</c:f>
              <c:numCache>
                <c:formatCode>General</c:formatCode>
                <c:ptCount val="6"/>
                <c:pt idx="0">
                  <c:v>#N/A</c:v>
                </c:pt>
                <c:pt idx="1">
                  <c:v>#N/A</c:v>
                </c:pt>
                <c:pt idx="2">
                  <c:v>#N/A</c:v>
                </c:pt>
                <c:pt idx="3">
                  <c:v>#N/A</c:v>
                </c:pt>
                <c:pt idx="4">
                  <c:v>#N/A</c:v>
                </c:pt>
                <c:pt idx="5">
                  <c:v>#N/A</c:v>
                </c:pt>
              </c:numCache>
            </c:numRef>
          </c:cat>
          <c:val>
            <c:numRef>
              <c:f>Carbon!$AI$46:$AN$46</c:f>
              <c:numCache>
                <c:formatCode>General</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7828-49ED-AE76-39822F7A044E}"/>
            </c:ext>
          </c:extLst>
        </c:ser>
        <c:dLbls>
          <c:showLegendKey val="0"/>
          <c:showVal val="0"/>
          <c:showCatName val="0"/>
          <c:showSerName val="0"/>
          <c:showPercent val="0"/>
          <c:showBubbleSize val="0"/>
        </c:dLbls>
        <c:gapWidth val="48"/>
        <c:axId val="107718144"/>
        <c:axId val="107720064"/>
      </c:barChart>
      <c:lineChart>
        <c:grouping val="standard"/>
        <c:varyColors val="0"/>
        <c:ser>
          <c:idx val="0"/>
          <c:order val="0"/>
          <c:tx>
            <c:strRef>
              <c:f>Carbon!$AH$47</c:f>
              <c:strCache>
                <c:ptCount val="1"/>
                <c:pt idx="0">
                  <c:v>London Average</c:v>
                </c:pt>
              </c:strCache>
            </c:strRef>
          </c:tx>
          <c:spPr>
            <a:ln>
              <a:noFill/>
            </a:ln>
          </c:spPr>
          <c:marker>
            <c:symbol val="dash"/>
            <c:size val="20"/>
            <c:spPr>
              <a:solidFill>
                <a:srgbClr val="FF9900"/>
              </a:solidFill>
              <a:ln>
                <a:noFill/>
              </a:ln>
            </c:spPr>
          </c:marker>
          <c:cat>
            <c:strRef>
              <c:f>Dashboard!#REF!</c:f>
              <c:strCache>
                <c:ptCount val="1"/>
                <c:pt idx="0">
                  <c:v>#REF!</c:v>
                </c:pt>
              </c:strCache>
            </c:strRef>
          </c:cat>
          <c:val>
            <c:numRef>
              <c:f>Carbon!$AI$47:$AN$47</c:f>
              <c:numCache>
                <c:formatCode>General</c:formatCode>
                <c:ptCount val="6"/>
                <c:pt idx="0">
                  <c:v>5.0698968453883872E-2</c:v>
                </c:pt>
                <c:pt idx="1">
                  <c:v>3.4678662113780657E-2</c:v>
                </c:pt>
                <c:pt idx="2">
                  <c:v>2.9399406758992937E-2</c:v>
                </c:pt>
                <c:pt idx="3">
                  <c:v>1.6874166024698625E-2</c:v>
                </c:pt>
                <c:pt idx="4">
                  <c:v>9.7433924440237085E-3</c:v>
                </c:pt>
                <c:pt idx="5">
                  <c:v>2.4695346830990628E-3</c:v>
                </c:pt>
              </c:numCache>
            </c:numRef>
          </c:val>
          <c:smooth val="0"/>
          <c:extLst>
            <c:ext xmlns:c16="http://schemas.microsoft.com/office/drawing/2014/chart" uri="{C3380CC4-5D6E-409C-BE32-E72D297353CC}">
              <c16:uniqueId val="{00000001-7828-49ED-AE76-39822F7A044E}"/>
            </c:ext>
          </c:extLst>
        </c:ser>
        <c:dLbls>
          <c:showLegendKey val="0"/>
          <c:showVal val="0"/>
          <c:showCatName val="0"/>
          <c:showSerName val="0"/>
          <c:showPercent val="0"/>
          <c:showBubbleSize val="0"/>
        </c:dLbls>
        <c:marker val="1"/>
        <c:smooth val="0"/>
        <c:axId val="107718144"/>
        <c:axId val="107720064"/>
      </c:lineChart>
      <c:catAx>
        <c:axId val="107718144"/>
        <c:scaling>
          <c:orientation val="minMax"/>
        </c:scaling>
        <c:delete val="0"/>
        <c:axPos val="b"/>
        <c:numFmt formatCode="General" sourceLinked="0"/>
        <c:majorTickMark val="out"/>
        <c:minorTickMark val="none"/>
        <c:tickLblPos val="nextTo"/>
        <c:txPr>
          <a:bodyPr rot="-2700000" vert="horz"/>
          <a:lstStyle/>
          <a:p>
            <a:pPr>
              <a:defRPr sz="900">
                <a:solidFill>
                  <a:schemeClr val="tx1">
                    <a:lumMod val="85000"/>
                    <a:lumOff val="15000"/>
                  </a:schemeClr>
                </a:solidFill>
                <a:latin typeface="Arial" panose="020B0604020202020204" pitchFamily="34" charset="0"/>
                <a:cs typeface="Arial" panose="020B0604020202020204" pitchFamily="34" charset="0"/>
              </a:defRPr>
            </a:pPr>
            <a:endParaRPr lang="en-US"/>
          </a:p>
        </c:txPr>
        <c:crossAx val="107720064"/>
        <c:crosses val="autoZero"/>
        <c:auto val="1"/>
        <c:lblAlgn val="ctr"/>
        <c:lblOffset val="100"/>
        <c:noMultiLvlLbl val="0"/>
      </c:catAx>
      <c:valAx>
        <c:axId val="107720064"/>
        <c:scaling>
          <c:orientation val="minMax"/>
        </c:scaling>
        <c:delete val="0"/>
        <c:axPos val="l"/>
        <c:majorGridlines>
          <c:spPr>
            <a:ln>
              <a:solidFill>
                <a:schemeClr val="bg1">
                  <a:lumMod val="75000"/>
                </a:schemeClr>
              </a:solidFill>
            </a:ln>
          </c:spPr>
        </c:majorGridlines>
        <c:title>
          <c:tx>
            <c:rich>
              <a:bodyPr rot="-5400000" vert="horz"/>
              <a:lstStyle/>
              <a:p>
                <a:pPr>
                  <a:defRPr sz="900">
                    <a:solidFill>
                      <a:schemeClr val="tx1">
                        <a:lumMod val="75000"/>
                        <a:lumOff val="25000"/>
                      </a:schemeClr>
                    </a:solidFill>
                    <a:latin typeface="Arial" panose="020B0604020202020204" pitchFamily="34" charset="0"/>
                    <a:cs typeface="Arial" panose="020B0604020202020204" pitchFamily="34" charset="0"/>
                  </a:defRPr>
                </a:pPr>
                <a:r>
                  <a:rPr lang="en-GB" sz="900">
                    <a:solidFill>
                      <a:schemeClr val="tx1">
                        <a:lumMod val="75000"/>
                        <a:lumOff val="25000"/>
                      </a:schemeClr>
                    </a:solidFill>
                    <a:latin typeface="Arial" panose="020B0604020202020204" pitchFamily="34" charset="0"/>
                    <a:cs typeface="Arial" panose="020B0604020202020204" pitchFamily="34" charset="0"/>
                  </a:rPr>
                  <a:t>HOUSING TYPE</a:t>
                </a:r>
              </a:p>
            </c:rich>
          </c:tx>
          <c:layout>
            <c:manualLayout>
              <c:xMode val="edge"/>
              <c:yMode val="edge"/>
              <c:x val="5.9684103273099096E-3"/>
              <c:y val="3.0527885635391896E-2"/>
            </c:manualLayout>
          </c:layout>
          <c:overlay val="0"/>
        </c:title>
        <c:numFmt formatCode="General" sourceLinked="1"/>
        <c:majorTickMark val="out"/>
        <c:minorTickMark val="none"/>
        <c:tickLblPos val="nextTo"/>
        <c:txPr>
          <a:bodyPr/>
          <a:lstStyle/>
          <a:p>
            <a:pPr>
              <a:defRPr sz="900">
                <a:solidFill>
                  <a:schemeClr val="tx1">
                    <a:lumMod val="85000"/>
                    <a:lumOff val="15000"/>
                  </a:schemeClr>
                </a:solidFill>
              </a:defRPr>
            </a:pPr>
            <a:endParaRPr lang="en-US"/>
          </a:p>
        </c:txPr>
        <c:crossAx val="107718144"/>
        <c:crosses val="autoZero"/>
        <c:crossBetween val="between"/>
      </c:valAx>
      <c:spPr>
        <a:solidFill>
          <a:schemeClr val="bg1">
            <a:lumMod val="95000"/>
          </a:schemeClr>
        </a:solidFill>
      </c:spPr>
    </c:plotArea>
    <c:legend>
      <c:legendPos val="b"/>
      <c:layout>
        <c:manualLayout>
          <c:xMode val="edge"/>
          <c:yMode val="edge"/>
          <c:x val="4.5607476635514017E-3"/>
          <c:y val="0.92299163442640064"/>
          <c:w val="0.59178499873407142"/>
          <c:h val="6.8957919369941084E-2"/>
        </c:manualLayout>
      </c:layout>
      <c:overlay val="0"/>
      <c:txPr>
        <a:bodyPr/>
        <a:lstStyle/>
        <a:p>
          <a:pPr>
            <a:defRPr sz="1000" b="0">
              <a:solidFill>
                <a:schemeClr val="tx1">
                  <a:lumMod val="75000"/>
                  <a:lumOff val="25000"/>
                </a:schemeClr>
              </a:solidFill>
              <a:latin typeface="Arial" panose="020B0604020202020204" pitchFamily="34" charset="0"/>
              <a:ea typeface="Segoe UI" panose="020B0502040204020203" pitchFamily="34" charset="0"/>
              <a:cs typeface="Arial" panose="020B0604020202020204" pitchFamily="34" charset="0"/>
            </a:defRPr>
          </a:pPr>
          <a:endParaRPr lang="en-US"/>
        </a:p>
      </c:txPr>
    </c:legend>
    <c:plotVisOnly val="1"/>
    <c:dispBlanksAs val="gap"/>
    <c:showDLblsOverMax val="0"/>
  </c:chart>
  <c:spPr>
    <a:solidFill>
      <a:schemeClr val="bg1">
        <a:lumMod val="95000"/>
      </a:schemeClr>
    </a:solid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160355974605612"/>
          <c:y val="3.7348921121521862E-2"/>
          <c:w val="0.84521789466238184"/>
          <c:h val="0.64923816341139173"/>
        </c:manualLayout>
      </c:layout>
      <c:barChart>
        <c:barDir val="col"/>
        <c:grouping val="clustered"/>
        <c:varyColors val="0"/>
        <c:ser>
          <c:idx val="1"/>
          <c:order val="1"/>
          <c:tx>
            <c:strRef>
              <c:f>Dashboard!$D$5</c:f>
              <c:strCache>
                <c:ptCount val="1"/>
                <c:pt idx="0">
                  <c:v>Inner London</c:v>
                </c:pt>
              </c:strCache>
            </c:strRef>
          </c:tx>
          <c:spPr>
            <a:solidFill>
              <a:schemeClr val="accent4"/>
            </a:solidFill>
          </c:spPr>
          <c:invertIfNegative val="0"/>
          <c:cat>
            <c:strRef>
              <c:f>Dashboard!#REF!</c:f>
              <c:strCache>
                <c:ptCount val="1"/>
                <c:pt idx="0">
                  <c:v>#REF!</c:v>
                </c:pt>
              </c:strCache>
            </c:strRef>
          </c:cat>
          <c:val>
            <c:numRef>
              <c:f>Carbon!$U$43:$W$43</c:f>
              <c:numCache>
                <c:formatCode>_-* #,##0_-;\-* #,##0_-;_-* "-"??_-;_-@_-</c:formatCode>
                <c:ptCount val="3"/>
                <c:pt idx="0">
                  <c:v>#N/A</c:v>
                </c:pt>
                <c:pt idx="1">
                  <c:v>#N/A</c:v>
                </c:pt>
                <c:pt idx="2">
                  <c:v>#N/A</c:v>
                </c:pt>
              </c:numCache>
            </c:numRef>
          </c:val>
          <c:extLst>
            <c:ext xmlns:c16="http://schemas.microsoft.com/office/drawing/2014/chart" uri="{C3380CC4-5D6E-409C-BE32-E72D297353CC}">
              <c16:uniqueId val="{00000000-4151-48BC-AED1-4809D2E10F73}"/>
            </c:ext>
          </c:extLst>
        </c:ser>
        <c:dLbls>
          <c:showLegendKey val="0"/>
          <c:showVal val="0"/>
          <c:showCatName val="0"/>
          <c:showSerName val="0"/>
          <c:showPercent val="0"/>
          <c:showBubbleSize val="0"/>
        </c:dLbls>
        <c:gapWidth val="48"/>
        <c:axId val="107750528"/>
        <c:axId val="107752448"/>
      </c:barChart>
      <c:lineChart>
        <c:grouping val="standard"/>
        <c:varyColors val="0"/>
        <c:ser>
          <c:idx val="0"/>
          <c:order val="0"/>
          <c:tx>
            <c:strRef>
              <c:f>Carbon!$W$47</c:f>
              <c:strCache>
                <c:ptCount val="1"/>
                <c:pt idx="0">
                  <c:v>London Average</c:v>
                </c:pt>
              </c:strCache>
            </c:strRef>
          </c:tx>
          <c:spPr>
            <a:ln>
              <a:noFill/>
            </a:ln>
          </c:spPr>
          <c:marker>
            <c:symbol val="dash"/>
            <c:size val="20"/>
            <c:spPr>
              <a:solidFill>
                <a:schemeClr val="accent2">
                  <a:lumMod val="50000"/>
                </a:schemeClr>
              </a:solidFill>
              <a:ln>
                <a:noFill/>
              </a:ln>
            </c:spPr>
          </c:marker>
          <c:cat>
            <c:strRef>
              <c:f>Carbon!$U$6:$W$6</c:f>
              <c:strCache>
                <c:ptCount val="3"/>
                <c:pt idx="0">
                  <c:v>% solid wall</c:v>
                </c:pt>
                <c:pt idx="1">
                  <c:v>% cavity filled</c:v>
                </c:pt>
                <c:pt idx="2">
                  <c:v>% cavity empty</c:v>
                </c:pt>
              </c:strCache>
            </c:strRef>
          </c:cat>
          <c:val>
            <c:numRef>
              <c:f>Carbon!$U$40:$W$40</c:f>
              <c:numCache>
                <c:formatCode>General</c:formatCode>
                <c:ptCount val="3"/>
                <c:pt idx="0">
                  <c:v>0.54329662345291585</c:v>
                </c:pt>
                <c:pt idx="1">
                  <c:v>0.18238201588634759</c:v>
                </c:pt>
                <c:pt idx="2">
                  <c:v>0.2743213606607367</c:v>
                </c:pt>
              </c:numCache>
            </c:numRef>
          </c:val>
          <c:smooth val="0"/>
          <c:extLst>
            <c:ext xmlns:c16="http://schemas.microsoft.com/office/drawing/2014/chart" uri="{C3380CC4-5D6E-409C-BE32-E72D297353CC}">
              <c16:uniqueId val="{00000001-4151-48BC-AED1-4809D2E10F73}"/>
            </c:ext>
          </c:extLst>
        </c:ser>
        <c:dLbls>
          <c:showLegendKey val="0"/>
          <c:showVal val="0"/>
          <c:showCatName val="0"/>
          <c:showSerName val="0"/>
          <c:showPercent val="0"/>
          <c:showBubbleSize val="0"/>
        </c:dLbls>
        <c:marker val="1"/>
        <c:smooth val="0"/>
        <c:axId val="107750528"/>
        <c:axId val="107752448"/>
      </c:lineChart>
      <c:catAx>
        <c:axId val="107750528"/>
        <c:scaling>
          <c:orientation val="minMax"/>
        </c:scaling>
        <c:delete val="0"/>
        <c:axPos val="b"/>
        <c:numFmt formatCode="General" sourceLinked="0"/>
        <c:majorTickMark val="out"/>
        <c:minorTickMark val="none"/>
        <c:tickLblPos val="nextTo"/>
        <c:txPr>
          <a:bodyPr/>
          <a:lstStyle/>
          <a:p>
            <a:pPr>
              <a:defRPr sz="700">
                <a:solidFill>
                  <a:schemeClr val="tx1">
                    <a:lumMod val="85000"/>
                    <a:lumOff val="15000"/>
                  </a:schemeClr>
                </a:solidFill>
                <a:latin typeface="Arial" panose="020B0604020202020204" pitchFamily="34" charset="0"/>
                <a:cs typeface="Arial" panose="020B0604020202020204" pitchFamily="34" charset="0"/>
              </a:defRPr>
            </a:pPr>
            <a:endParaRPr lang="en-US"/>
          </a:p>
        </c:txPr>
        <c:crossAx val="107752448"/>
        <c:crosses val="autoZero"/>
        <c:auto val="1"/>
        <c:lblAlgn val="ctr"/>
        <c:lblOffset val="100"/>
        <c:noMultiLvlLbl val="0"/>
      </c:catAx>
      <c:valAx>
        <c:axId val="107752448"/>
        <c:scaling>
          <c:orientation val="minMax"/>
        </c:scaling>
        <c:delete val="0"/>
        <c:axPos val="l"/>
        <c:majorGridlines>
          <c:spPr>
            <a:ln>
              <a:solidFill>
                <a:schemeClr val="bg1">
                  <a:lumMod val="75000"/>
                </a:schemeClr>
              </a:solidFill>
            </a:ln>
          </c:spPr>
        </c:majorGridlines>
        <c:title>
          <c:tx>
            <c:rich>
              <a:bodyPr rot="-5400000" vert="horz"/>
              <a:lstStyle/>
              <a:p>
                <a:pPr>
                  <a:defRPr sz="900">
                    <a:solidFill>
                      <a:schemeClr val="tx1">
                        <a:lumMod val="75000"/>
                        <a:lumOff val="25000"/>
                      </a:schemeClr>
                    </a:solidFill>
                    <a:latin typeface="Arial" panose="020B0604020202020204" pitchFamily="34" charset="0"/>
                    <a:cs typeface="Arial" panose="020B0604020202020204" pitchFamily="34" charset="0"/>
                  </a:defRPr>
                </a:pPr>
                <a:r>
                  <a:rPr lang="en-GB" sz="900">
                    <a:solidFill>
                      <a:schemeClr val="tx1">
                        <a:lumMod val="75000"/>
                        <a:lumOff val="25000"/>
                      </a:schemeClr>
                    </a:solidFill>
                    <a:latin typeface="Arial" panose="020B0604020202020204" pitchFamily="34" charset="0"/>
                    <a:cs typeface="Arial" panose="020B0604020202020204" pitchFamily="34" charset="0"/>
                  </a:rPr>
                  <a:t>HOUSING FABRIC</a:t>
                </a:r>
              </a:p>
            </c:rich>
          </c:tx>
          <c:layout>
            <c:manualLayout>
              <c:xMode val="edge"/>
              <c:yMode val="edge"/>
              <c:x val="5.9684103273099096E-3"/>
              <c:y val="3.0527885635391896E-2"/>
            </c:manualLayout>
          </c:layout>
          <c:overlay val="0"/>
        </c:title>
        <c:numFmt formatCode="0%" sourceLinked="0"/>
        <c:majorTickMark val="out"/>
        <c:minorTickMark val="none"/>
        <c:tickLblPos val="nextTo"/>
        <c:txPr>
          <a:bodyPr/>
          <a:lstStyle/>
          <a:p>
            <a:pPr>
              <a:defRPr sz="900">
                <a:solidFill>
                  <a:schemeClr val="tx1">
                    <a:lumMod val="85000"/>
                    <a:lumOff val="15000"/>
                  </a:schemeClr>
                </a:solidFill>
              </a:defRPr>
            </a:pPr>
            <a:endParaRPr lang="en-US"/>
          </a:p>
        </c:txPr>
        <c:crossAx val="107750528"/>
        <c:crosses val="autoZero"/>
        <c:crossBetween val="between"/>
      </c:valAx>
      <c:spPr>
        <a:solidFill>
          <a:schemeClr val="bg1">
            <a:lumMod val="95000"/>
          </a:schemeClr>
        </a:solidFill>
      </c:spPr>
    </c:plotArea>
    <c:legend>
      <c:legendPos val="b"/>
      <c:layout>
        <c:manualLayout>
          <c:xMode val="edge"/>
          <c:yMode val="edge"/>
          <c:x val="8.7878270678951209E-2"/>
          <c:y val="0.84539864335139925"/>
          <c:w val="0.86011516643644204"/>
          <c:h val="6.8957919369941084E-2"/>
        </c:manualLayout>
      </c:layout>
      <c:overlay val="0"/>
      <c:txPr>
        <a:bodyPr/>
        <a:lstStyle/>
        <a:p>
          <a:pPr>
            <a:defRPr sz="900" b="0">
              <a:solidFill>
                <a:schemeClr val="tx1">
                  <a:lumMod val="75000"/>
                  <a:lumOff val="25000"/>
                </a:schemeClr>
              </a:solidFill>
              <a:latin typeface="Arial" panose="020B0604020202020204" pitchFamily="34" charset="0"/>
              <a:ea typeface="Segoe UI" panose="020B0502040204020203" pitchFamily="34" charset="0"/>
              <a:cs typeface="Arial" panose="020B0604020202020204" pitchFamily="34" charset="0"/>
            </a:defRPr>
          </a:pPr>
          <a:endParaRPr lang="en-US"/>
        </a:p>
      </c:txPr>
    </c:legend>
    <c:plotVisOnly val="1"/>
    <c:dispBlanksAs val="gap"/>
    <c:showDLblsOverMax val="0"/>
  </c:chart>
  <c:spPr>
    <a:solidFill>
      <a:schemeClr val="bg1">
        <a:lumMod val="95000"/>
      </a:schemeClr>
    </a:solid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Reduction Trajectory</a:t>
            </a:r>
          </a:p>
        </c:rich>
      </c:tx>
      <c:layout>
        <c:manualLayout>
          <c:xMode val="edge"/>
          <c:yMode val="edge"/>
          <c:x val="3.6041611732584952E-2"/>
          <c:y val="1.8689086830065402E-2"/>
        </c:manualLayout>
      </c:layout>
      <c:overlay val="0"/>
    </c:title>
    <c:autoTitleDeleted val="0"/>
    <c:plotArea>
      <c:layout>
        <c:manualLayout>
          <c:layoutTarget val="inner"/>
          <c:xMode val="edge"/>
          <c:yMode val="edge"/>
          <c:x val="0.16246245376381732"/>
          <c:y val="0.14056530646143625"/>
          <c:w val="0.79441393341561672"/>
          <c:h val="0.74576616828320319"/>
        </c:manualLayout>
      </c:layout>
      <c:lineChart>
        <c:grouping val="standard"/>
        <c:varyColors val="0"/>
        <c:ser>
          <c:idx val="1"/>
          <c:order val="0"/>
          <c:tx>
            <c:strRef>
              <c:f>'Carbon Budgets Results'!$C$22</c:f>
              <c:strCache>
                <c:ptCount val="1"/>
                <c:pt idx="0">
                  <c:v>Modelled Carbon Emissions</c:v>
                </c:pt>
              </c:strCache>
            </c:strRef>
          </c:tx>
          <c:spPr>
            <a:ln>
              <a:solidFill>
                <a:srgbClr val="FF6699"/>
              </a:solidFill>
              <a:prstDash val="solid"/>
            </a:ln>
          </c:spPr>
          <c:marker>
            <c:symbol val="none"/>
          </c:marker>
          <c:cat>
            <c:numRef>
              <c:extLst>
                <c:ext xmlns:c15="http://schemas.microsoft.com/office/drawing/2012/chart" uri="{02D57815-91ED-43cb-92C2-25804820EDAC}">
                  <c15:fullRef>
                    <c15:sqref>'Carbon Budgets Results'!$H$20:$BB$20</c15:sqref>
                  </c15:fullRef>
                </c:ext>
              </c:extLst>
              <c:f>'Carbon Budgets Results'!$I$20:$BB$20</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cat>
          <c:val>
            <c:numRef>
              <c:extLst>
                <c:ext xmlns:c15="http://schemas.microsoft.com/office/drawing/2012/chart" uri="{02D57815-91ED-43cb-92C2-25804820EDAC}">
                  <c15:fullRef>
                    <c15:sqref>'Carbon Budgets Results'!$H$22:$BB$22</c15:sqref>
                  </c15:fullRef>
                </c:ext>
              </c:extLst>
              <c:f>'Carbon Budgets Results'!$I$22:$BB$22</c:f>
              <c:numCache>
                <c:formatCode>General</c:formatCode>
                <c:ptCount val="46"/>
                <c:pt idx="13">
                  <c:v>10816.951674840104</c:v>
                </c:pt>
                <c:pt idx="14">
                  <c:v>10258.617337138387</c:v>
                </c:pt>
                <c:pt idx="15">
                  <c:v>9093.6205731059417</c:v>
                </c:pt>
                <c:pt idx="16">
                  <c:v>8797.1488804399105</c:v>
                </c:pt>
                <c:pt idx="17">
                  <c:v>8405.6217167880568</c:v>
                </c:pt>
                <c:pt idx="18">
                  <c:v>7975.1156055012007</c:v>
                </c:pt>
                <c:pt idx="19">
                  <c:v>7803.4526553160531</c:v>
                </c:pt>
                <c:pt idx="20">
                  <c:v>6966.551079331156</c:v>
                </c:pt>
                <c:pt idx="21">
                  <c:v>5917.9593953262647</c:v>
                </c:pt>
                <c:pt idx="22">
                  <c:v>5142.5030098729148</c:v>
                </c:pt>
                <c:pt idx="23">
                  <c:v>4612.3961958976615</c:v>
                </c:pt>
                <c:pt idx="24">
                  <c:v>4147.6530761071735</c:v>
                </c:pt>
                <c:pt idx="25">
                  <c:v>3561.7722569324974</c:v>
                </c:pt>
                <c:pt idx="26">
                  <c:v>3078.9103215081104</c:v>
                </c:pt>
                <c:pt idx="27">
                  <c:v>2713.299521847523</c:v>
                </c:pt>
                <c:pt idx="28">
                  <c:v>2376.7778011129508</c:v>
                </c:pt>
                <c:pt idx="29">
                  <c:v>2095.6238507013909</c:v>
                </c:pt>
                <c:pt idx="30">
                  <c:v>1851.0247336743505</c:v>
                </c:pt>
                <c:pt idx="31">
                  <c:v>1546.9759964023344</c:v>
                </c:pt>
                <c:pt idx="32">
                  <c:v>1322.665100769349</c:v>
                </c:pt>
                <c:pt idx="33">
                  <c:v>1172.6239450254357</c:v>
                </c:pt>
                <c:pt idx="34">
                  <c:v>1060.7626390271125</c:v>
                </c:pt>
                <c:pt idx="35">
                  <c:v>940.16491888981272</c:v>
                </c:pt>
                <c:pt idx="36">
                  <c:v>815.98024763706348</c:v>
                </c:pt>
                <c:pt idx="37">
                  <c:v>737.43335886849377</c:v>
                </c:pt>
                <c:pt idx="38">
                  <c:v>670.37964785876966</c:v>
                </c:pt>
                <c:pt idx="39">
                  <c:v>594.90195683978641</c:v>
                </c:pt>
                <c:pt idx="40">
                  <c:v>498.17463319444084</c:v>
                </c:pt>
                <c:pt idx="41">
                  <c:v>429.6018849012184</c:v>
                </c:pt>
                <c:pt idx="42">
                  <c:v>387.42155839519756</c:v>
                </c:pt>
                <c:pt idx="43">
                  <c:v>360.55829088695259</c:v>
                </c:pt>
                <c:pt idx="44">
                  <c:v>330.96335780669028</c:v>
                </c:pt>
                <c:pt idx="45">
                  <c:v>310.99487213358901</c:v>
                </c:pt>
              </c:numCache>
            </c:numRef>
          </c:val>
          <c:smooth val="0"/>
          <c:extLst>
            <c:ext xmlns:c16="http://schemas.microsoft.com/office/drawing/2014/chart" uri="{C3380CC4-5D6E-409C-BE32-E72D297353CC}">
              <c16:uniqueId val="{00000003-0991-4DF5-8FAB-C5B77670C557}"/>
            </c:ext>
          </c:extLst>
        </c:ser>
        <c:ser>
          <c:idx val="0"/>
          <c:order val="1"/>
          <c:tx>
            <c:strRef>
              <c:f>'Carbon Budgets Results'!$B$18</c:f>
              <c:strCache>
                <c:ptCount val="1"/>
                <c:pt idx="0">
                  <c:v>Inner London</c:v>
                </c:pt>
              </c:strCache>
            </c:strRef>
          </c:tx>
          <c:spPr>
            <a:ln w="12700">
              <a:solidFill>
                <a:sysClr val="windowText" lastClr="000000"/>
              </a:solidFill>
            </a:ln>
          </c:spPr>
          <c:marker>
            <c:symbol val="circle"/>
            <c:size val="3"/>
            <c:spPr>
              <a:solidFill>
                <a:schemeClr val="tx1"/>
              </a:solidFill>
              <a:ln w="12700">
                <a:noFill/>
              </a:ln>
            </c:spPr>
          </c:marker>
          <c:cat>
            <c:numRef>
              <c:extLst>
                <c:ext xmlns:c15="http://schemas.microsoft.com/office/drawing/2012/chart" uri="{02D57815-91ED-43cb-92C2-25804820EDAC}">
                  <c15:fullRef>
                    <c15:sqref>'Carbon Budgets Results'!$H$20:$BB$20</c15:sqref>
                  </c15:fullRef>
                </c:ext>
              </c:extLst>
              <c:f>'Carbon Budgets Results'!$I$20:$BB$20</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cat>
          <c:val>
            <c:numRef>
              <c:extLst>
                <c:ext xmlns:c15="http://schemas.microsoft.com/office/drawing/2012/chart" uri="{02D57815-91ED-43cb-92C2-25804820EDAC}">
                  <c15:fullRef>
                    <c15:sqref>'Carbon Budgets Results'!$H$21:$AQ$21</c15:sqref>
                  </c15:fullRef>
                </c:ext>
              </c:extLst>
              <c:f>'Carbon Budgets Results'!$I$21:$AQ$21</c:f>
              <c:numCache>
                <c:formatCode>_-* #,##0_-;\-* #,##0_-;_-* "-"??_-;_-@_-</c:formatCode>
                <c:ptCount val="35"/>
                <c:pt idx="0">
                  <c:v>18963.859827538843</c:v>
                </c:pt>
                <c:pt idx="1">
                  <c:v>19859.754454782629</c:v>
                </c:pt>
                <c:pt idx="2">
                  <c:v>19282.649623459874</c:v>
                </c:pt>
                <c:pt idx="3">
                  <c:v>19371.52043550801</c:v>
                </c:pt>
                <c:pt idx="4">
                  <c:v>17464.6334670496</c:v>
                </c:pt>
                <c:pt idx="5">
                  <c:v>18555.128481885571</c:v>
                </c:pt>
                <c:pt idx="6">
                  <c:v>16571.956424331576</c:v>
                </c:pt>
                <c:pt idx="7">
                  <c:v>17789.339922052779</c:v>
                </c:pt>
                <c:pt idx="8">
                  <c:v>16813.16908217904</c:v>
                </c:pt>
                <c:pt idx="9">
                  <c:v>14305.943507793443</c:v>
                </c:pt>
                <c:pt idx="10" formatCode="General">
                  <c:v>13215.309735391305</c:v>
                </c:pt>
                <c:pt idx="11" formatCode="General">
                  <c:v>11820.845343878242</c:v>
                </c:pt>
                <c:pt idx="12" formatCode="General">
                  <c:v>11206.213617596581</c:v>
                </c:pt>
                <c:pt idx="13" formatCode="General">
                  <c:v>10816.951674840104</c:v>
                </c:pt>
              </c:numCache>
            </c:numRef>
          </c:val>
          <c:smooth val="0"/>
          <c:extLst>
            <c:ext xmlns:c16="http://schemas.microsoft.com/office/drawing/2014/chart" uri="{C3380CC4-5D6E-409C-BE32-E72D297353CC}">
              <c16:uniqueId val="{00000004-0991-4DF5-8FAB-C5B77670C557}"/>
            </c:ext>
          </c:extLst>
        </c:ser>
        <c:dLbls>
          <c:showLegendKey val="0"/>
          <c:showVal val="0"/>
          <c:showCatName val="0"/>
          <c:showSerName val="0"/>
          <c:showPercent val="0"/>
          <c:showBubbleSize val="0"/>
        </c:dLbls>
        <c:smooth val="0"/>
        <c:axId val="101507840"/>
        <c:axId val="101509376"/>
      </c:lineChart>
      <c:catAx>
        <c:axId val="101507840"/>
        <c:scaling>
          <c:orientation val="minMax"/>
        </c:scaling>
        <c:delete val="0"/>
        <c:axPos val="b"/>
        <c:numFmt formatCode="General" sourceLinked="1"/>
        <c:majorTickMark val="out"/>
        <c:minorTickMark val="none"/>
        <c:tickLblPos val="nextTo"/>
        <c:spPr>
          <a:ln>
            <a:solidFill>
              <a:schemeClr val="bg1">
                <a:lumMod val="85000"/>
              </a:schemeClr>
            </a:solidFill>
          </a:ln>
        </c:spPr>
        <c:txPr>
          <a:bodyPr rot="0" vert="horz"/>
          <a:lstStyle/>
          <a:p>
            <a:pPr>
              <a:defRPr/>
            </a:pPr>
            <a:endParaRPr lang="en-US"/>
          </a:p>
        </c:txPr>
        <c:crossAx val="101509376"/>
        <c:crosses val="autoZero"/>
        <c:auto val="1"/>
        <c:lblAlgn val="ctr"/>
        <c:lblOffset val="100"/>
        <c:tickLblSkip val="5"/>
        <c:tickMarkSkip val="5"/>
        <c:noMultiLvlLbl val="0"/>
      </c:catAx>
      <c:valAx>
        <c:axId val="101509376"/>
        <c:scaling>
          <c:orientation val="minMax"/>
        </c:scaling>
        <c:delete val="0"/>
        <c:axPos val="l"/>
        <c:title>
          <c:tx>
            <c:rich>
              <a:bodyPr rot="-5400000" vert="horz"/>
              <a:lstStyle/>
              <a:p>
                <a:pPr>
                  <a:defRPr/>
                </a:pPr>
                <a:r>
                  <a:rPr lang="en-US"/>
                  <a:t> GHG EMISSIONS (ktCO2e) </a:t>
                </a:r>
              </a:p>
            </c:rich>
          </c:tx>
          <c:layout>
            <c:manualLayout>
              <c:xMode val="edge"/>
              <c:yMode val="edge"/>
              <c:x val="1.3482133653378886E-2"/>
              <c:y val="0.12665333110265717"/>
            </c:manualLayout>
          </c:layout>
          <c:overlay val="0"/>
        </c:title>
        <c:numFmt formatCode="#,##0" sourceLinked="0"/>
        <c:majorTickMark val="out"/>
        <c:minorTickMark val="none"/>
        <c:tickLblPos val="nextTo"/>
        <c:spPr>
          <a:ln>
            <a:solidFill>
              <a:schemeClr val="bg1">
                <a:lumMod val="85000"/>
              </a:schemeClr>
            </a:solidFill>
          </a:ln>
        </c:spPr>
        <c:crossAx val="101507840"/>
        <c:crosses val="autoZero"/>
        <c:crossBetween val="between"/>
      </c:valAx>
      <c:spPr>
        <a:noFill/>
        <a:ln>
          <a:noFill/>
        </a:ln>
      </c:spPr>
    </c:plotArea>
    <c:plotVisOnly val="1"/>
    <c:dispBlanksAs val="gap"/>
    <c:showDLblsOverMax val="0"/>
  </c:chart>
  <c:spPr>
    <a:noFill/>
    <a:ln>
      <a:noFill/>
    </a:ln>
  </c:spPr>
  <c:txPr>
    <a:bodyPr/>
    <a:lstStyle/>
    <a:p>
      <a:pPr>
        <a:defRPr sz="900">
          <a:solidFill>
            <a:schemeClr val="tx1">
              <a:lumMod val="75000"/>
              <a:lumOff val="25000"/>
            </a:schemeClr>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1027421117984987"/>
          <c:y val="7.2951828458082291E-2"/>
          <c:w val="0.55532998796430044"/>
          <c:h val="0.76124311718183624"/>
        </c:manualLayout>
      </c:layout>
      <c:lineChart>
        <c:grouping val="standard"/>
        <c:varyColors val="0"/>
        <c:ser>
          <c:idx val="2"/>
          <c:order val="0"/>
          <c:tx>
            <c:strRef>
              <c:f>'Retrofit and HP Results'!$E$49</c:f>
              <c:strCache>
                <c:ptCount val="1"/>
                <c:pt idx="0">
                  <c:v>Heat pumps (domestic retrofit) </c:v>
                </c:pt>
              </c:strCache>
            </c:strRef>
          </c:tx>
          <c:spPr>
            <a:ln>
              <a:solidFill>
                <a:srgbClr val="5DCEAF">
                  <a:lumMod val="75000"/>
                </a:srgbClr>
              </a:solidFill>
            </a:ln>
          </c:spPr>
          <c:marker>
            <c:symbol val="none"/>
          </c:marker>
          <c:cat>
            <c:numRef>
              <c:f>'Retrofit and HP Results'!$J$48:$AS$48</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'Retrofit and HP Results'!$J$49:$AS$49</c:f>
              <c:numCache>
                <c:formatCode>General</c:formatCode>
                <c:ptCount val="36"/>
                <c:pt idx="0">
                  <c:v>0</c:v>
                </c:pt>
                <c:pt idx="1">
                  <c:v>0</c:v>
                </c:pt>
                <c:pt idx="2">
                  <c:v>0</c:v>
                </c:pt>
                <c:pt idx="3">
                  <c:v>0</c:v>
                </c:pt>
                <c:pt idx="4">
                  <c:v>0</c:v>
                </c:pt>
                <c:pt idx="5">
                  <c:v>0</c:v>
                </c:pt>
                <c:pt idx="6">
                  <c:v>3846.3824216201342</c:v>
                </c:pt>
                <c:pt idx="7">
                  <c:v>11539.147264860401</c:v>
                </c:pt>
                <c:pt idx="8">
                  <c:v>19231.912108100671</c:v>
                </c:pt>
                <c:pt idx="9">
                  <c:v>30771.059372961074</c:v>
                </c:pt>
                <c:pt idx="10">
                  <c:v>38463.824216201341</c:v>
                </c:pt>
                <c:pt idx="11">
                  <c:v>50002.971481061744</c:v>
                </c:pt>
                <c:pt idx="12">
                  <c:v>61542.118745922147</c:v>
                </c:pt>
                <c:pt idx="13">
                  <c:v>61542.118745922147</c:v>
                </c:pt>
                <c:pt idx="14">
                  <c:v>61542.118745922147</c:v>
                </c:pt>
                <c:pt idx="15">
                  <c:v>61542.118745922147</c:v>
                </c:pt>
                <c:pt idx="16">
                  <c:v>61542.118745922147</c:v>
                </c:pt>
                <c:pt idx="17">
                  <c:v>61542.118745922147</c:v>
                </c:pt>
                <c:pt idx="18">
                  <c:v>61542.118745922147</c:v>
                </c:pt>
                <c:pt idx="19">
                  <c:v>61542.118745922147</c:v>
                </c:pt>
                <c:pt idx="20">
                  <c:v>61542.118745922147</c:v>
                </c:pt>
                <c:pt idx="21">
                  <c:v>61542.118745922147</c:v>
                </c:pt>
                <c:pt idx="22">
                  <c:v>46156.589059441605</c:v>
                </c:pt>
                <c:pt idx="23">
                  <c:v>30771.059372961074</c:v>
                </c:pt>
                <c:pt idx="24">
                  <c:v>0</c:v>
                </c:pt>
                <c:pt idx="25">
                  <c:v>0</c:v>
                </c:pt>
                <c:pt idx="26">
                  <c:v>0</c:v>
                </c:pt>
                <c:pt idx="27">
                  <c:v>0</c:v>
                </c:pt>
                <c:pt idx="28">
                  <c:v>0</c:v>
                </c:pt>
                <c:pt idx="29">
                  <c:v>0</c:v>
                </c:pt>
                <c:pt idx="30">
                  <c:v>0</c:v>
                </c:pt>
                <c:pt idx="31">
                  <c:v>0</c:v>
                </c:pt>
                <c:pt idx="32">
                  <c:v>0</c:v>
                </c:pt>
                <c:pt idx="33">
                  <c:v>0</c:v>
                </c:pt>
                <c:pt idx="34">
                  <c:v>0</c:v>
                </c:pt>
                <c:pt idx="35">
                  <c:v>0</c:v>
                </c:pt>
              </c:numCache>
            </c:numRef>
          </c:val>
          <c:smooth val="0"/>
          <c:extLst>
            <c:ext xmlns:c16="http://schemas.microsoft.com/office/drawing/2014/chart" uri="{C3380CC4-5D6E-409C-BE32-E72D297353CC}">
              <c16:uniqueId val="{00000002-05D8-41A4-A6EA-BBED0F1F36A3}"/>
            </c:ext>
          </c:extLst>
        </c:ser>
        <c:ser>
          <c:idx val="3"/>
          <c:order val="1"/>
          <c:tx>
            <c:strRef>
              <c:f>'Retrofit and HP Results'!$E$50</c:f>
              <c:strCache>
                <c:ptCount val="1"/>
                <c:pt idx="0">
                  <c:v>Heat pumps (domestic new) </c:v>
                </c:pt>
              </c:strCache>
            </c:strRef>
          </c:tx>
          <c:spPr>
            <a:ln>
              <a:solidFill>
                <a:srgbClr val="0D3C55"/>
              </a:solidFill>
            </a:ln>
          </c:spPr>
          <c:marker>
            <c:symbol val="none"/>
          </c:marker>
          <c:cat>
            <c:numRef>
              <c:f>'Retrofit and HP Results'!$J$48:$AS$48</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'Retrofit and HP Results'!$J$50:$AS$50</c:f>
              <c:numCache>
                <c:formatCode>General</c:formatCode>
                <c:ptCount val="36"/>
                <c:pt idx="0">
                  <c:v>0</c:v>
                </c:pt>
                <c:pt idx="1">
                  <c:v>0</c:v>
                </c:pt>
                <c:pt idx="2">
                  <c:v>0</c:v>
                </c:pt>
                <c:pt idx="3">
                  <c:v>0</c:v>
                </c:pt>
                <c:pt idx="4">
                  <c:v>0</c:v>
                </c:pt>
                <c:pt idx="5">
                  <c:v>12320.937140095093</c:v>
                </c:pt>
                <c:pt idx="6">
                  <c:v>13034.358509286532</c:v>
                </c:pt>
                <c:pt idx="7">
                  <c:v>20854.97361485842</c:v>
                </c:pt>
                <c:pt idx="8">
                  <c:v>20854.973614858452</c:v>
                </c:pt>
                <c:pt idx="9">
                  <c:v>20854.97361485842</c:v>
                </c:pt>
                <c:pt idx="10">
                  <c:v>20854.97361485862</c:v>
                </c:pt>
                <c:pt idx="11">
                  <c:v>21104.012690882737</c:v>
                </c:pt>
                <c:pt idx="12">
                  <c:v>21104.012690882737</c:v>
                </c:pt>
                <c:pt idx="13">
                  <c:v>21104.012690882784</c:v>
                </c:pt>
                <c:pt idx="14">
                  <c:v>21104.012690882784</c:v>
                </c:pt>
                <c:pt idx="15">
                  <c:v>21104.012690882693</c:v>
                </c:pt>
                <c:pt idx="16">
                  <c:v>9728.6937329848461</c:v>
                </c:pt>
                <c:pt idx="17">
                  <c:v>9728.6937329848461</c:v>
                </c:pt>
                <c:pt idx="18">
                  <c:v>9728.6937329847569</c:v>
                </c:pt>
                <c:pt idx="19">
                  <c:v>6531.1663042148093</c:v>
                </c:pt>
                <c:pt idx="20">
                  <c:v>4432.4246350088806</c:v>
                </c:pt>
                <c:pt idx="21">
                  <c:v>4468.5632376358089</c:v>
                </c:pt>
                <c:pt idx="22">
                  <c:v>4498.3731545229784</c:v>
                </c:pt>
                <c:pt idx="23">
                  <c:v>4530.2981588299199</c:v>
                </c:pt>
                <c:pt idx="24">
                  <c:v>4554.5188629350359</c:v>
                </c:pt>
                <c:pt idx="25">
                  <c:v>4576.4918236226049</c:v>
                </c:pt>
                <c:pt idx="26">
                  <c:v>4596.487220100732</c:v>
                </c:pt>
                <c:pt idx="27">
                  <c:v>4614.7358213902862</c:v>
                </c:pt>
                <c:pt idx="28">
                  <c:v>4631.4356891428197</c:v>
                </c:pt>
                <c:pt idx="29">
                  <c:v>4646.7575871169256</c:v>
                </c:pt>
                <c:pt idx="30">
                  <c:v>4660.8493748712153</c:v>
                </c:pt>
                <c:pt idx="31">
                  <c:v>4673.8395979660054</c:v>
                </c:pt>
                <c:pt idx="32">
                  <c:v>4685.8404383272737</c:v>
                </c:pt>
                <c:pt idx="33">
                  <c:v>4696.9501518620036</c:v>
                </c:pt>
                <c:pt idx="34">
                  <c:v>4707.2550926930371</c:v>
                </c:pt>
                <c:pt idx="35">
                  <c:v>4716.8314022419818</c:v>
                </c:pt>
              </c:numCache>
            </c:numRef>
          </c:val>
          <c:smooth val="0"/>
          <c:extLst>
            <c:ext xmlns:c16="http://schemas.microsoft.com/office/drawing/2014/chart" uri="{C3380CC4-5D6E-409C-BE32-E72D297353CC}">
              <c16:uniqueId val="{00000003-05D8-41A4-A6EA-BBED0F1F36A3}"/>
            </c:ext>
          </c:extLst>
        </c:ser>
        <c:ser>
          <c:idx val="4"/>
          <c:order val="2"/>
          <c:tx>
            <c:strRef>
              <c:f>'Retrofit and HP Results'!$E$51</c:f>
              <c:strCache>
                <c:ptCount val="1"/>
                <c:pt idx="0">
                  <c:v>Heat pumps (non-domestic retrofit) </c:v>
                </c:pt>
              </c:strCache>
            </c:strRef>
          </c:tx>
          <c:spPr>
            <a:ln>
              <a:solidFill>
                <a:srgbClr val="C02E1D"/>
              </a:solidFill>
            </a:ln>
          </c:spPr>
          <c:marker>
            <c:symbol val="none"/>
          </c:marker>
          <c:cat>
            <c:numRef>
              <c:f>'Retrofit and HP Results'!$J$48:$AS$48</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'Retrofit and HP Results'!$J$51:$AS$51</c:f>
              <c:numCache>
                <c:formatCode>General</c:formatCode>
                <c:ptCount val="36"/>
                <c:pt idx="0">
                  <c:v>0</c:v>
                </c:pt>
                <c:pt idx="1">
                  <c:v>0</c:v>
                </c:pt>
                <c:pt idx="2">
                  <c:v>0</c:v>
                </c:pt>
                <c:pt idx="3">
                  <c:v>0</c:v>
                </c:pt>
                <c:pt idx="4">
                  <c:v>0</c:v>
                </c:pt>
                <c:pt idx="5">
                  <c:v>0</c:v>
                </c:pt>
                <c:pt idx="6">
                  <c:v>332.10700486560756</c:v>
                </c:pt>
                <c:pt idx="7">
                  <c:v>1062.1301561397906</c:v>
                </c:pt>
                <c:pt idx="8">
                  <c:v>1997.9167228519393</c:v>
                </c:pt>
                <c:pt idx="9">
                  <c:v>3545.4252796474675</c:v>
                </c:pt>
                <c:pt idx="10">
                  <c:v>4839.0202827512921</c:v>
                </c:pt>
                <c:pt idx="11">
                  <c:v>6625.8869678626661</c:v>
                </c:pt>
                <c:pt idx="12">
                  <c:v>8461.1706748939996</c:v>
                </c:pt>
                <c:pt idx="13">
                  <c:v>8744.0530098924828</c:v>
                </c:pt>
                <c:pt idx="14">
                  <c:v>8617.6489326936462</c:v>
                </c:pt>
                <c:pt idx="15">
                  <c:v>8314.3528842304859</c:v>
                </c:pt>
                <c:pt idx="16">
                  <c:v>8083.032602435278</c:v>
                </c:pt>
                <c:pt idx="17">
                  <c:v>8083.0326024352989</c:v>
                </c:pt>
                <c:pt idx="18">
                  <c:v>8083.0326024352926</c:v>
                </c:pt>
                <c:pt idx="19">
                  <c:v>8083.0326024352926</c:v>
                </c:pt>
                <c:pt idx="20">
                  <c:v>8083.0326024352926</c:v>
                </c:pt>
                <c:pt idx="21">
                  <c:v>8083.0326024352926</c:v>
                </c:pt>
                <c:pt idx="22">
                  <c:v>6062.2744518264417</c:v>
                </c:pt>
                <c:pt idx="23">
                  <c:v>4041.5163012176599</c:v>
                </c:pt>
                <c:pt idx="24">
                  <c:v>0</c:v>
                </c:pt>
                <c:pt idx="25">
                  <c:v>0</c:v>
                </c:pt>
                <c:pt idx="26">
                  <c:v>0</c:v>
                </c:pt>
                <c:pt idx="27">
                  <c:v>0</c:v>
                </c:pt>
                <c:pt idx="28">
                  <c:v>0</c:v>
                </c:pt>
                <c:pt idx="29">
                  <c:v>0</c:v>
                </c:pt>
                <c:pt idx="30">
                  <c:v>0</c:v>
                </c:pt>
                <c:pt idx="31">
                  <c:v>0</c:v>
                </c:pt>
                <c:pt idx="32">
                  <c:v>0</c:v>
                </c:pt>
                <c:pt idx="33">
                  <c:v>0</c:v>
                </c:pt>
                <c:pt idx="34">
                  <c:v>0</c:v>
                </c:pt>
                <c:pt idx="35">
                  <c:v>0</c:v>
                </c:pt>
              </c:numCache>
            </c:numRef>
          </c:val>
          <c:smooth val="0"/>
          <c:extLst xmlns:c15="http://schemas.microsoft.com/office/drawing/2012/chart">
            <c:ext xmlns:c16="http://schemas.microsoft.com/office/drawing/2014/chart" uri="{C3380CC4-5D6E-409C-BE32-E72D297353CC}">
              <c16:uniqueId val="{00000004-05D8-41A4-A6EA-BBED0F1F36A3}"/>
            </c:ext>
          </c:extLst>
        </c:ser>
        <c:ser>
          <c:idx val="5"/>
          <c:order val="3"/>
          <c:tx>
            <c:strRef>
              <c:f>'Retrofit and HP Results'!$E$52</c:f>
              <c:strCache>
                <c:ptCount val="1"/>
                <c:pt idx="0">
                  <c:v>Heat pumps (non-domestic new) </c:v>
                </c:pt>
              </c:strCache>
            </c:strRef>
          </c:tx>
          <c:spPr>
            <a:ln>
              <a:solidFill>
                <a:srgbClr val="00B0F0"/>
              </a:solidFill>
            </a:ln>
          </c:spPr>
          <c:marker>
            <c:symbol val="none"/>
          </c:marker>
          <c:cat>
            <c:numRef>
              <c:f>'Retrofit and HP Results'!$J$48:$AS$48</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'Retrofit and HP Results'!$J$52:$AS$52</c:f>
              <c:numCache>
                <c:formatCode>General</c:formatCode>
                <c:ptCount val="36"/>
                <c:pt idx="0">
                  <c:v>0</c:v>
                </c:pt>
                <c:pt idx="1">
                  <c:v>0</c:v>
                </c:pt>
                <c:pt idx="2">
                  <c:v>0</c:v>
                </c:pt>
                <c:pt idx="3">
                  <c:v>0</c:v>
                </c:pt>
                <c:pt idx="4">
                  <c:v>0</c:v>
                </c:pt>
                <c:pt idx="5">
                  <c:v>733.66869517667226</c:v>
                </c:pt>
                <c:pt idx="6">
                  <c:v>815.83781231003616</c:v>
                </c:pt>
                <c:pt idx="7">
                  <c:v>1328.5213385472432</c:v>
                </c:pt>
                <c:pt idx="8">
                  <c:v>1359.6882461181704</c:v>
                </c:pt>
                <c:pt idx="9">
                  <c:v>1381.4181792265163</c:v>
                </c:pt>
                <c:pt idx="10">
                  <c:v>1397.1717354745779</c:v>
                </c:pt>
                <c:pt idx="11">
                  <c:v>1355.0326318546406</c:v>
                </c:pt>
                <c:pt idx="12">
                  <c:v>1353.9430953922795</c:v>
                </c:pt>
                <c:pt idx="13">
                  <c:v>1353.051969210557</c:v>
                </c:pt>
                <c:pt idx="14">
                  <c:v>1352.3138348887805</c:v>
                </c:pt>
                <c:pt idx="15">
                  <c:v>1351.6955665363321</c:v>
                </c:pt>
                <c:pt idx="16">
                  <c:v>1029.8481215335778</c:v>
                </c:pt>
                <c:pt idx="17">
                  <c:v>1044.9048701270544</c:v>
                </c:pt>
                <c:pt idx="18">
                  <c:v>1058.9129718136576</c:v>
                </c:pt>
                <c:pt idx="19">
                  <c:v>1071.9675963623931</c:v>
                </c:pt>
                <c:pt idx="20">
                  <c:v>705.50224929989008</c:v>
                </c:pt>
                <c:pt idx="21">
                  <c:v>401.75400656261161</c:v>
                </c:pt>
                <c:pt idx="22">
                  <c:v>402.01812003078072</c:v>
                </c:pt>
                <c:pt idx="23">
                  <c:v>402.25221686983235</c:v>
                </c:pt>
                <c:pt idx="24">
                  <c:v>402.46067683183941</c:v>
                </c:pt>
                <c:pt idx="25">
                  <c:v>402.6471094417696</c:v>
                </c:pt>
                <c:pt idx="26">
                  <c:v>402.81451092295498</c:v>
                </c:pt>
                <c:pt idx="27">
                  <c:v>402.96538506803506</c:v>
                </c:pt>
                <c:pt idx="28">
                  <c:v>403.10183721691459</c:v>
                </c:pt>
                <c:pt idx="29">
                  <c:v>403.22564796630132</c:v>
                </c:pt>
                <c:pt idx="30">
                  <c:v>403.33833145385194</c:v>
                </c:pt>
                <c:pt idx="31">
                  <c:v>403.44118179739763</c:v>
                </c:pt>
                <c:pt idx="32">
                  <c:v>403.53531036295874</c:v>
                </c:pt>
                <c:pt idx="33">
                  <c:v>403.62167587220426</c:v>
                </c:pt>
                <c:pt idx="34">
                  <c:v>403.7011088800719</c:v>
                </c:pt>
                <c:pt idx="35">
                  <c:v>403.774331793827</c:v>
                </c:pt>
              </c:numCache>
            </c:numRef>
          </c:val>
          <c:smooth val="0"/>
          <c:extLst xmlns:c15="http://schemas.microsoft.com/office/drawing/2012/chart">
            <c:ext xmlns:c16="http://schemas.microsoft.com/office/drawing/2014/chart" uri="{C3380CC4-5D6E-409C-BE32-E72D297353CC}">
              <c16:uniqueId val="{00000005-05D8-41A4-A6EA-BBED0F1F36A3}"/>
            </c:ext>
          </c:extLst>
        </c:ser>
        <c:ser>
          <c:idx val="6"/>
          <c:order val="4"/>
          <c:tx>
            <c:strRef>
              <c:f>'Retrofit and HP Results'!$E$53</c:f>
              <c:strCache>
                <c:ptCount val="1"/>
                <c:pt idx="0">
                  <c:v>Hybrid heat pumps (domestic) </c:v>
                </c:pt>
              </c:strCache>
            </c:strRef>
          </c:tx>
          <c:spPr>
            <a:ln>
              <a:solidFill>
                <a:srgbClr val="F16C20"/>
              </a:solidFill>
            </a:ln>
          </c:spPr>
          <c:marker>
            <c:symbol val="none"/>
          </c:marker>
          <c:cat>
            <c:numRef>
              <c:f>'Retrofit and HP Results'!$J$48:$AS$48</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'Retrofit and HP Results'!$J$53:$AS$53</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numCache>
            </c:numRef>
          </c:val>
          <c:smooth val="0"/>
          <c:extLst xmlns:c15="http://schemas.microsoft.com/office/drawing/2012/chart">
            <c:ext xmlns:c16="http://schemas.microsoft.com/office/drawing/2014/chart" uri="{C3380CC4-5D6E-409C-BE32-E72D297353CC}">
              <c16:uniqueId val="{00000006-05D8-41A4-A6EA-BBED0F1F36A3}"/>
            </c:ext>
          </c:extLst>
        </c:ser>
        <c:ser>
          <c:idx val="7"/>
          <c:order val="5"/>
          <c:tx>
            <c:strRef>
              <c:f>'Retrofit and HP Results'!$E$54</c:f>
              <c:strCache>
                <c:ptCount val="1"/>
                <c:pt idx="0">
                  <c:v>Hybrid heat pumps (non-domestic) </c:v>
                </c:pt>
              </c:strCache>
            </c:strRef>
          </c:tx>
          <c:spPr>
            <a:ln>
              <a:solidFill>
                <a:srgbClr val="EF8B2C"/>
              </a:solidFill>
            </a:ln>
          </c:spPr>
          <c:marker>
            <c:symbol val="none"/>
          </c:marker>
          <c:cat>
            <c:numRef>
              <c:f>'Retrofit and HP Results'!$J$48:$AS$48</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'Retrofit and HP Results'!$J$54:$AS$54</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numCache>
            </c:numRef>
          </c:val>
          <c:smooth val="0"/>
          <c:extLst xmlns:c15="http://schemas.microsoft.com/office/drawing/2012/chart">
            <c:ext xmlns:c16="http://schemas.microsoft.com/office/drawing/2014/chart" uri="{C3380CC4-5D6E-409C-BE32-E72D297353CC}">
              <c16:uniqueId val="{00000007-05D8-41A4-A6EA-BBED0F1F36A3}"/>
            </c:ext>
          </c:extLst>
        </c:ser>
        <c:dLbls>
          <c:showLegendKey val="0"/>
          <c:showVal val="0"/>
          <c:showCatName val="0"/>
          <c:showSerName val="0"/>
          <c:showPercent val="0"/>
          <c:showBubbleSize val="0"/>
        </c:dLbls>
        <c:smooth val="0"/>
        <c:axId val="101495936"/>
        <c:axId val="101497472"/>
        <c:extLst/>
      </c:lineChart>
      <c:catAx>
        <c:axId val="101495936"/>
        <c:scaling>
          <c:orientation val="minMax"/>
        </c:scaling>
        <c:delete val="0"/>
        <c:axPos val="b"/>
        <c:numFmt formatCode="General" sourceLinked="1"/>
        <c:majorTickMark val="out"/>
        <c:minorTickMark val="none"/>
        <c:tickLblPos val="nextTo"/>
        <c:spPr>
          <a:ln w="12700">
            <a:solidFill>
              <a:schemeClr val="bg1">
                <a:lumMod val="85000"/>
              </a:schemeClr>
            </a:solidFill>
          </a:ln>
        </c:spPr>
        <c:txPr>
          <a:bodyPr rot="0" vert="horz"/>
          <a:lstStyle/>
          <a:p>
            <a:pPr>
              <a:defRPr>
                <a:solidFill>
                  <a:schemeClr val="tx1">
                    <a:lumMod val="65000"/>
                    <a:lumOff val="35000"/>
                  </a:schemeClr>
                </a:solidFill>
                <a:latin typeface="Segoe UI" panose="020B0502040204020203" pitchFamily="34" charset="0"/>
                <a:ea typeface="Segoe UI" panose="020B0502040204020203" pitchFamily="34" charset="0"/>
                <a:cs typeface="Segoe UI" panose="020B0502040204020203" pitchFamily="34" charset="0"/>
              </a:defRPr>
            </a:pPr>
            <a:endParaRPr lang="en-US"/>
          </a:p>
        </c:txPr>
        <c:crossAx val="101497472"/>
        <c:crosses val="autoZero"/>
        <c:auto val="0"/>
        <c:lblAlgn val="ctr"/>
        <c:lblOffset val="100"/>
        <c:tickLblSkip val="5"/>
        <c:noMultiLvlLbl val="0"/>
      </c:catAx>
      <c:valAx>
        <c:axId val="101497472"/>
        <c:scaling>
          <c:orientation val="minMax"/>
        </c:scaling>
        <c:delete val="0"/>
        <c:axPos val="l"/>
        <c:title>
          <c:tx>
            <c:strRef>
              <c:f>'Retrofit and HP Results'!$E$48</c:f>
              <c:strCache>
                <c:ptCount val="1"/>
                <c:pt idx="0">
                  <c:v>NUMBER OF HEAT PUMPS PER YEAR</c:v>
                </c:pt>
              </c:strCache>
            </c:strRef>
          </c:tx>
          <c:layout>
            <c:manualLayout>
              <c:xMode val="edge"/>
              <c:yMode val="edge"/>
              <c:x val="4.2285216278586677E-3"/>
              <c:y val="7.3919910885560406E-3"/>
            </c:manualLayout>
          </c:layout>
          <c:overlay val="0"/>
          <c:txPr>
            <a:bodyPr/>
            <a:lstStyle/>
            <a:p>
              <a:pPr>
                <a:defRPr sz="1100">
                  <a:solidFill>
                    <a:schemeClr val="tx1">
                      <a:lumMod val="65000"/>
                      <a:lumOff val="35000"/>
                    </a:schemeClr>
                  </a:solidFill>
                  <a:latin typeface="Segoe UI" panose="020B0502040204020203" pitchFamily="34" charset="0"/>
                  <a:ea typeface="Segoe UI" panose="020B0502040204020203" pitchFamily="34" charset="0"/>
                  <a:cs typeface="Segoe UI" panose="020B0502040204020203" pitchFamily="34" charset="0"/>
                </a:defRPr>
              </a:pPr>
              <a:endParaRPr lang="en-US"/>
            </a:p>
          </c:txPr>
        </c:title>
        <c:numFmt formatCode="#,##0" sourceLinked="0"/>
        <c:majorTickMark val="none"/>
        <c:minorTickMark val="none"/>
        <c:tickLblPos val="nextTo"/>
        <c:spPr>
          <a:ln w="12700">
            <a:noFill/>
          </a:ln>
        </c:spPr>
        <c:txPr>
          <a:bodyPr/>
          <a:lstStyle/>
          <a:p>
            <a:pPr>
              <a:defRPr sz="1100">
                <a:solidFill>
                  <a:schemeClr val="tx1">
                    <a:lumMod val="65000"/>
                    <a:lumOff val="35000"/>
                  </a:schemeClr>
                </a:solidFill>
              </a:defRPr>
            </a:pPr>
            <a:endParaRPr lang="en-US"/>
          </a:p>
        </c:txPr>
        <c:crossAx val="101495936"/>
        <c:crosses val="autoZero"/>
        <c:crossBetween val="between"/>
      </c:valAx>
      <c:spPr>
        <a:solidFill>
          <a:sysClr val="window" lastClr="FFFFFF">
            <a:lumMod val="85000"/>
          </a:sysClr>
        </a:solidFill>
      </c:spPr>
    </c:plotArea>
    <c:legend>
      <c:legendPos val="r"/>
      <c:layout>
        <c:manualLayout>
          <c:xMode val="edge"/>
          <c:yMode val="edge"/>
          <c:x val="0.70257578023756195"/>
          <c:y val="1.6522889340252447E-2"/>
          <c:w val="0.16994016279814458"/>
          <c:h val="0.95021186092378973"/>
        </c:manualLayout>
      </c:layout>
      <c:overlay val="0"/>
      <c:txPr>
        <a:bodyPr/>
        <a:lstStyle/>
        <a:p>
          <a:pPr>
            <a:defRPr sz="1050">
              <a:solidFill>
                <a:schemeClr val="tx1">
                  <a:lumMod val="65000"/>
                  <a:lumOff val="35000"/>
                </a:schemeClr>
              </a:solidFill>
              <a:latin typeface="Segoe UI" panose="020B0502040204020203" pitchFamily="34" charset="0"/>
              <a:ea typeface="Segoe UI" panose="020B0502040204020203" pitchFamily="34" charset="0"/>
              <a:cs typeface="Segoe UI" panose="020B0502040204020203" pitchFamily="34" charset="0"/>
            </a:defRPr>
          </a:pPr>
          <a:endParaRPr lang="en-US"/>
        </a:p>
      </c:txPr>
    </c:legend>
    <c:plotVisOnly val="1"/>
    <c:dispBlanksAs val="zero"/>
    <c:showDLblsOverMax val="0"/>
  </c:chart>
  <c:spPr>
    <a:solidFill>
      <a:sysClr val="window" lastClr="FFFFFF">
        <a:lumMod val="85000"/>
      </a:sysClr>
    </a:solidFill>
    <a:ln>
      <a:noFill/>
    </a:ln>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1261582700962669"/>
          <c:y val="7.2951747630381508E-2"/>
          <c:w val="0.60419513706865002"/>
          <c:h val="0.77204632646290738"/>
        </c:manualLayout>
      </c:layout>
      <c:areaChart>
        <c:grouping val="stacked"/>
        <c:varyColors val="0"/>
        <c:ser>
          <c:idx val="1"/>
          <c:order val="0"/>
          <c:tx>
            <c:strRef>
              <c:f>'Cost Results'!$E$42</c:f>
              <c:strCache>
                <c:ptCount val="1"/>
                <c:pt idx="0">
                  <c:v>Energy Efficiency</c:v>
                </c:pt>
              </c:strCache>
            </c:strRef>
          </c:tx>
          <c:spPr>
            <a:ln>
              <a:noFill/>
            </a:ln>
          </c:spPr>
          <c:cat>
            <c:numRef>
              <c:f>'Cost Results'!$J$41:$AS$41</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'Cost Results'!$J$42:$AS$42</c:f>
              <c:numCache>
                <c:formatCode>General</c:formatCode>
                <c:ptCount val="36"/>
                <c:pt idx="0">
                  <c:v>0</c:v>
                </c:pt>
                <c:pt idx="1">
                  <c:v>2.0264251355557659</c:v>
                </c:pt>
                <c:pt idx="2">
                  <c:v>1.994869504707693</c:v>
                </c:pt>
                <c:pt idx="3">
                  <c:v>1.9633138738596203</c:v>
                </c:pt>
                <c:pt idx="4">
                  <c:v>29.098219694063669</c:v>
                </c:pt>
                <c:pt idx="5">
                  <c:v>173.80766526253362</c:v>
                </c:pt>
                <c:pt idx="6">
                  <c:v>438.41591380861178</c:v>
                </c:pt>
                <c:pt idx="7">
                  <c:v>1390.6217223026763</c:v>
                </c:pt>
                <c:pt idx="8">
                  <c:v>2372.8441664132206</c:v>
                </c:pt>
                <c:pt idx="9">
                  <c:v>2697.3619984531138</c:v>
                </c:pt>
                <c:pt idx="10">
                  <c:v>2405.364198709427</c:v>
                </c:pt>
                <c:pt idx="11">
                  <c:v>2058.4560009624352</c:v>
                </c:pt>
                <c:pt idx="12">
                  <c:v>1704.4035902488447</c:v>
                </c:pt>
                <c:pt idx="13">
                  <c:v>1133.7955323190915</c:v>
                </c:pt>
                <c:pt idx="14">
                  <c:v>695.9873185148615</c:v>
                </c:pt>
                <c:pt idx="15">
                  <c:v>341.25562355629188</c:v>
                </c:pt>
                <c:pt idx="16">
                  <c:v>166.31048601854968</c:v>
                </c:pt>
                <c:pt idx="17">
                  <c:v>137.79521473026529</c:v>
                </c:pt>
                <c:pt idx="18">
                  <c:v>111.0183508780282</c:v>
                </c:pt>
                <c:pt idx="19">
                  <c:v>85.894884797972807</c:v>
                </c:pt>
                <c:pt idx="20">
                  <c:v>1.3649767741179992</c:v>
                </c:pt>
                <c:pt idx="21">
                  <c:v>1.0991202969273202</c:v>
                </c:pt>
                <c:pt idx="22">
                  <c:v>1.0582490446315962</c:v>
                </c:pt>
                <c:pt idx="23">
                  <c:v>0.66008006248894191</c:v>
                </c:pt>
                <c:pt idx="24">
                  <c:v>0.63430178683528626</c:v>
                </c:pt>
                <c:pt idx="25">
                  <c:v>0.60951213448393127</c:v>
                </c:pt>
                <c:pt idx="26">
                  <c:v>0.5856737207792202</c:v>
                </c:pt>
                <c:pt idx="27">
                  <c:v>0.56275055897092185</c:v>
                </c:pt>
                <c:pt idx="28">
                  <c:v>0.54070800839281019</c:v>
                </c:pt>
                <c:pt idx="29">
                  <c:v>0.51951272458907116</c:v>
                </c:pt>
                <c:pt idx="30">
                  <c:v>0.49913261127471065</c:v>
                </c:pt>
                <c:pt idx="31">
                  <c:v>0.47953677401628608</c:v>
                </c:pt>
                <c:pt idx="32">
                  <c:v>0.46069547568165137</c:v>
                </c:pt>
                <c:pt idx="33">
                  <c:v>0.44258009349138661</c:v>
                </c:pt>
                <c:pt idx="34">
                  <c:v>0.42516307763553812</c:v>
                </c:pt>
                <c:pt idx="35">
                  <c:v>0.4084179114729854</c:v>
                </c:pt>
              </c:numCache>
            </c:numRef>
          </c:val>
          <c:extLst>
            <c:ext xmlns:c16="http://schemas.microsoft.com/office/drawing/2014/chart" uri="{C3380CC4-5D6E-409C-BE32-E72D297353CC}">
              <c16:uniqueId val="{00000001-4053-4EF0-B6EA-90D079C59181}"/>
            </c:ext>
          </c:extLst>
        </c:ser>
        <c:ser>
          <c:idx val="0"/>
          <c:order val="1"/>
          <c:tx>
            <c:strRef>
              <c:f>'Cost Results'!$E$43</c:f>
              <c:strCache>
                <c:ptCount val="1"/>
                <c:pt idx="0">
                  <c:v>District Heating</c:v>
                </c:pt>
              </c:strCache>
            </c:strRef>
          </c:tx>
          <c:cat>
            <c:numRef>
              <c:f>'Cost Results'!$J$41:$AS$41</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'Cost Results'!$J$43:$AS$43</c:f>
              <c:numCache>
                <c:formatCode>General</c:formatCode>
                <c:ptCount val="36"/>
                <c:pt idx="0">
                  <c:v>17.350253818456508</c:v>
                </c:pt>
                <c:pt idx="1">
                  <c:v>17.440609716451135</c:v>
                </c:pt>
                <c:pt idx="2">
                  <c:v>19.161346191586915</c:v>
                </c:pt>
                <c:pt idx="3">
                  <c:v>20.878117757189667</c:v>
                </c:pt>
                <c:pt idx="4">
                  <c:v>22.588867274268615</c:v>
                </c:pt>
                <c:pt idx="5">
                  <c:v>83.081151742492892</c:v>
                </c:pt>
                <c:pt idx="6">
                  <c:v>78.409838308934923</c:v>
                </c:pt>
                <c:pt idx="7">
                  <c:v>89.600563248647077</c:v>
                </c:pt>
                <c:pt idx="8">
                  <c:v>90.092916042323324</c:v>
                </c:pt>
                <c:pt idx="9">
                  <c:v>90.402965837031473</c:v>
                </c:pt>
                <c:pt idx="10">
                  <c:v>90.153823443356174</c:v>
                </c:pt>
                <c:pt idx="11">
                  <c:v>96.948330499364275</c:v>
                </c:pt>
                <c:pt idx="12">
                  <c:v>94.898644225128422</c:v>
                </c:pt>
                <c:pt idx="13">
                  <c:v>92.785916639523123</c:v>
                </c:pt>
                <c:pt idx="14">
                  <c:v>90.616302874025237</c:v>
                </c:pt>
                <c:pt idx="15">
                  <c:v>88.963137167454633</c:v>
                </c:pt>
                <c:pt idx="16">
                  <c:v>75.103136562204583</c:v>
                </c:pt>
                <c:pt idx="17">
                  <c:v>72.048466140864548</c:v>
                </c:pt>
                <c:pt idx="18">
                  <c:v>69.051254677371162</c:v>
                </c:pt>
                <c:pt idx="19">
                  <c:v>66.113395665463884</c:v>
                </c:pt>
                <c:pt idx="20">
                  <c:v>70.244675995208908</c:v>
                </c:pt>
                <c:pt idx="21">
                  <c:v>56.882516855320517</c:v>
                </c:pt>
                <c:pt idx="22">
                  <c:v>57.232567281736181</c:v>
                </c:pt>
                <c:pt idx="23">
                  <c:v>55.039150231072213</c:v>
                </c:pt>
                <c:pt idx="24">
                  <c:v>52.850265094482566</c:v>
                </c:pt>
                <c:pt idx="25">
                  <c:v>50.633255368701427</c:v>
                </c:pt>
                <c:pt idx="26">
                  <c:v>48.194023978289707</c:v>
                </c:pt>
                <c:pt idx="27">
                  <c:v>45.887524938300785</c:v>
                </c:pt>
                <c:pt idx="28">
                  <c:v>43.625431334504206</c:v>
                </c:pt>
                <c:pt idx="29">
                  <c:v>41.409292780354896</c:v>
                </c:pt>
                <c:pt idx="30">
                  <c:v>39.240438352240403</c:v>
                </c:pt>
                <c:pt idx="31">
                  <c:v>21.024988864460312</c:v>
                </c:pt>
                <c:pt idx="32">
                  <c:v>19.6475748632283</c:v>
                </c:pt>
                <c:pt idx="33">
                  <c:v>18.328587206086418</c:v>
                </c:pt>
                <c:pt idx="34">
                  <c:v>17.066010981972255</c:v>
                </c:pt>
                <c:pt idx="35">
                  <c:v>15.857888515675935</c:v>
                </c:pt>
              </c:numCache>
            </c:numRef>
          </c:val>
          <c:extLst>
            <c:ext xmlns:c16="http://schemas.microsoft.com/office/drawing/2014/chart" uri="{C3380CC4-5D6E-409C-BE32-E72D297353CC}">
              <c16:uniqueId val="{00000028-7155-4729-B11D-89BE247ADDEA}"/>
            </c:ext>
          </c:extLst>
        </c:ser>
        <c:ser>
          <c:idx val="2"/>
          <c:order val="2"/>
          <c:tx>
            <c:strRef>
              <c:f>'Cost Results'!$E$44</c:f>
              <c:strCache>
                <c:ptCount val="1"/>
                <c:pt idx="0">
                  <c:v>Heat Pumps &amp; HHP</c:v>
                </c:pt>
              </c:strCache>
            </c:strRef>
          </c:tx>
          <c:cat>
            <c:numRef>
              <c:f>'Cost Results'!$J$41:$AS$41</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'Cost Results'!$J$44:$AS$44</c:f>
              <c:numCache>
                <c:formatCode>General</c:formatCode>
                <c:ptCount val="36"/>
                <c:pt idx="0">
                  <c:v>0</c:v>
                </c:pt>
                <c:pt idx="1">
                  <c:v>0</c:v>
                </c:pt>
                <c:pt idx="2">
                  <c:v>0</c:v>
                </c:pt>
                <c:pt idx="3">
                  <c:v>0</c:v>
                </c:pt>
                <c:pt idx="4">
                  <c:v>0</c:v>
                </c:pt>
                <c:pt idx="5">
                  <c:v>0</c:v>
                </c:pt>
                <c:pt idx="6">
                  <c:v>168.47890002757669</c:v>
                </c:pt>
                <c:pt idx="7">
                  <c:v>325.15281416296909</c:v>
                </c:pt>
                <c:pt idx="8">
                  <c:v>410.01870112541604</c:v>
                </c:pt>
                <c:pt idx="9">
                  <c:v>535.62795769846082</c:v>
                </c:pt>
                <c:pt idx="10">
                  <c:v>606.5513526989572</c:v>
                </c:pt>
                <c:pt idx="11">
                  <c:v>716.1356291815805</c:v>
                </c:pt>
                <c:pt idx="12">
                  <c:v>813.56486804963686</c:v>
                </c:pt>
                <c:pt idx="13">
                  <c:v>783.63049382994859</c:v>
                </c:pt>
                <c:pt idx="14">
                  <c:v>751.2808434624169</c:v>
                </c:pt>
                <c:pt idx="15">
                  <c:v>717.43473096710409</c:v>
                </c:pt>
                <c:pt idx="16">
                  <c:v>643.78956451130853</c:v>
                </c:pt>
                <c:pt idx="17">
                  <c:v>623.91969761246628</c:v>
                </c:pt>
                <c:pt idx="18">
                  <c:v>608.2559910985708</c:v>
                </c:pt>
                <c:pt idx="19">
                  <c:v>580.07184398876745</c:v>
                </c:pt>
                <c:pt idx="20">
                  <c:v>605.0174403905512</c:v>
                </c:pt>
                <c:pt idx="21">
                  <c:v>606.29919343274787</c:v>
                </c:pt>
                <c:pt idx="22">
                  <c:v>542.44702469565334</c:v>
                </c:pt>
                <c:pt idx="23">
                  <c:v>454.29459748539512</c:v>
                </c:pt>
                <c:pt idx="24">
                  <c:v>284.00608284842673</c:v>
                </c:pt>
                <c:pt idx="25">
                  <c:v>323.83888822089625</c:v>
                </c:pt>
                <c:pt idx="26">
                  <c:v>361.88635669403033</c:v>
                </c:pt>
                <c:pt idx="27">
                  <c:v>396.53752406293404</c:v>
                </c:pt>
                <c:pt idx="28">
                  <c:v>384.4502312668364</c:v>
                </c:pt>
                <c:pt idx="29">
                  <c:v>371.24907008303865</c:v>
                </c:pt>
                <c:pt idx="30">
                  <c:v>357.88348288150246</c:v>
                </c:pt>
                <c:pt idx="31">
                  <c:v>312.7046402197019</c:v>
                </c:pt>
                <c:pt idx="32">
                  <c:v>302.40948094180851</c:v>
                </c:pt>
                <c:pt idx="33">
                  <c:v>292.44866210398112</c:v>
                </c:pt>
                <c:pt idx="34">
                  <c:v>274.83862707191116</c:v>
                </c:pt>
                <c:pt idx="35">
                  <c:v>259.61833586703318</c:v>
                </c:pt>
              </c:numCache>
            </c:numRef>
          </c:val>
          <c:extLst>
            <c:ext xmlns:c16="http://schemas.microsoft.com/office/drawing/2014/chart" uri="{C3380CC4-5D6E-409C-BE32-E72D297353CC}">
              <c16:uniqueId val="{00000029-7155-4729-B11D-89BE247ADDEA}"/>
            </c:ext>
          </c:extLst>
        </c:ser>
        <c:ser>
          <c:idx val="3"/>
          <c:order val="3"/>
          <c:tx>
            <c:strRef>
              <c:f>'Cost Results'!$E$45</c:f>
              <c:strCache>
                <c:ptCount val="1"/>
                <c:pt idx="0">
                  <c:v>PV &amp; Solar thermal</c:v>
                </c:pt>
              </c:strCache>
            </c:strRef>
          </c:tx>
          <c:cat>
            <c:numRef>
              <c:f>'Cost Results'!$J$41:$AS$41</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'Cost Results'!$J$45:$AS$45</c:f>
              <c:numCache>
                <c:formatCode>General</c:formatCode>
                <c:ptCount val="36"/>
                <c:pt idx="0">
                  <c:v>9.8661712669309463</c:v>
                </c:pt>
                <c:pt idx="1">
                  <c:v>9.8408059262440961</c:v>
                </c:pt>
                <c:pt idx="2">
                  <c:v>9.7432370559858317</c:v>
                </c:pt>
                <c:pt idx="3">
                  <c:v>9.6209455478922745</c:v>
                </c:pt>
                <c:pt idx="4">
                  <c:v>9.4858659917852233</c:v>
                </c:pt>
                <c:pt idx="5">
                  <c:v>15.403611439993904</c:v>
                </c:pt>
                <c:pt idx="6">
                  <c:v>17.062971926073686</c:v>
                </c:pt>
                <c:pt idx="7">
                  <c:v>15.980029241668088</c:v>
                </c:pt>
                <c:pt idx="8">
                  <c:v>14.736486282660401</c:v>
                </c:pt>
                <c:pt idx="9">
                  <c:v>13.71129077881238</c:v>
                </c:pt>
                <c:pt idx="10">
                  <c:v>13.024910756807438</c:v>
                </c:pt>
                <c:pt idx="11">
                  <c:v>14.82849720727619</c:v>
                </c:pt>
                <c:pt idx="12">
                  <c:v>13.359964922934429</c:v>
                </c:pt>
                <c:pt idx="13">
                  <c:v>13.566444683732907</c:v>
                </c:pt>
                <c:pt idx="14">
                  <c:v>13.838366523107966</c:v>
                </c:pt>
                <c:pt idx="15">
                  <c:v>14.049540246904765</c:v>
                </c:pt>
                <c:pt idx="16">
                  <c:v>15.341728659439504</c:v>
                </c:pt>
                <c:pt idx="17">
                  <c:v>17.129698696411058</c:v>
                </c:pt>
                <c:pt idx="18">
                  <c:v>18.874360717589447</c:v>
                </c:pt>
                <c:pt idx="19">
                  <c:v>20.650792769446412</c:v>
                </c:pt>
                <c:pt idx="20">
                  <c:v>27.326444037985301</c:v>
                </c:pt>
                <c:pt idx="21">
                  <c:v>28.27939099093058</c:v>
                </c:pt>
                <c:pt idx="22">
                  <c:v>22.765117755567619</c:v>
                </c:pt>
                <c:pt idx="23">
                  <c:v>22.833628185687697</c:v>
                </c:pt>
                <c:pt idx="24">
                  <c:v>22.936204932424484</c:v>
                </c:pt>
                <c:pt idx="25">
                  <c:v>25.246956547904201</c:v>
                </c:pt>
                <c:pt idx="26">
                  <c:v>25.313142156577349</c:v>
                </c:pt>
                <c:pt idx="27">
                  <c:v>24.231171888854981</c:v>
                </c:pt>
                <c:pt idx="28">
                  <c:v>23.145325551446007</c:v>
                </c:pt>
                <c:pt idx="29">
                  <c:v>22.049709813625906</c:v>
                </c:pt>
                <c:pt idx="30">
                  <c:v>22.201184567553483</c:v>
                </c:pt>
                <c:pt idx="31">
                  <c:v>22.493881669141185</c:v>
                </c:pt>
                <c:pt idx="32">
                  <c:v>20.505246280574323</c:v>
                </c:pt>
                <c:pt idx="33">
                  <c:v>19.200681834749705</c:v>
                </c:pt>
                <c:pt idx="34">
                  <c:v>18.054955813326849</c:v>
                </c:pt>
                <c:pt idx="35">
                  <c:v>17.10360572919268</c:v>
                </c:pt>
              </c:numCache>
            </c:numRef>
          </c:val>
          <c:extLst>
            <c:ext xmlns:c16="http://schemas.microsoft.com/office/drawing/2014/chart" uri="{C3380CC4-5D6E-409C-BE32-E72D297353CC}">
              <c16:uniqueId val="{0000002A-7155-4729-B11D-89BE247ADDEA}"/>
            </c:ext>
          </c:extLst>
        </c:ser>
        <c:ser>
          <c:idx val="4"/>
          <c:order val="4"/>
          <c:tx>
            <c:strRef>
              <c:f>'Cost Results'!$E$46</c:f>
              <c:strCache>
                <c:ptCount val="1"/>
                <c:pt idx="0">
                  <c:v>Hydrogen Heating</c:v>
                </c:pt>
              </c:strCache>
            </c:strRef>
          </c:tx>
          <c:cat>
            <c:numRef>
              <c:f>'Cost Results'!$J$41:$AS$41</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'Cost Results'!$J$46:$AS$46</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numCache>
            </c:numRef>
          </c:val>
          <c:extLst>
            <c:ext xmlns:c16="http://schemas.microsoft.com/office/drawing/2014/chart" uri="{C3380CC4-5D6E-409C-BE32-E72D297353CC}">
              <c16:uniqueId val="{0000002B-7155-4729-B11D-89BE247ADDEA}"/>
            </c:ext>
          </c:extLst>
        </c:ser>
        <c:ser>
          <c:idx val="5"/>
          <c:order val="5"/>
          <c:tx>
            <c:strRef>
              <c:f>'Cost Results'!$E$47</c:f>
              <c:strCache>
                <c:ptCount val="1"/>
                <c:pt idx="0">
                  <c:v>Gas Boilers</c:v>
                </c:pt>
              </c:strCache>
            </c:strRef>
          </c:tx>
          <c:cat>
            <c:numRef>
              <c:f>'Cost Results'!$J$41:$AS$41</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'Cost Results'!$J$47:$AS$47</c:f>
              <c:numCache>
                <c:formatCode>General</c:formatCode>
                <c:ptCount val="36"/>
                <c:pt idx="0">
                  <c:v>314.52959516653345</c:v>
                </c:pt>
                <c:pt idx="1">
                  <c:v>317.09875875721252</c:v>
                </c:pt>
                <c:pt idx="2">
                  <c:v>318.86244426300686</c:v>
                </c:pt>
                <c:pt idx="3">
                  <c:v>320.59254518955424</c:v>
                </c:pt>
                <c:pt idx="4">
                  <c:v>322.29705848129834</c:v>
                </c:pt>
                <c:pt idx="5">
                  <c:v>291.71246620121099</c:v>
                </c:pt>
                <c:pt idx="6">
                  <c:v>272.26310585002824</c:v>
                </c:pt>
                <c:pt idx="7">
                  <c:v>242.91443148739549</c:v>
                </c:pt>
                <c:pt idx="8">
                  <c:v>230.42363634447676</c:v>
                </c:pt>
                <c:pt idx="9">
                  <c:v>215.6319073556952</c:v>
                </c:pt>
                <c:pt idx="10">
                  <c:v>199.43677389772435</c:v>
                </c:pt>
                <c:pt idx="11">
                  <c:v>179.90023592938576</c:v>
                </c:pt>
                <c:pt idx="12">
                  <c:v>159.27175011324198</c:v>
                </c:pt>
                <c:pt idx="13">
                  <c:v>139.97380860957131</c:v>
                </c:pt>
                <c:pt idx="14">
                  <c:v>122.38515155268215</c:v>
                </c:pt>
                <c:pt idx="15">
                  <c:v>133.9555538936709</c:v>
                </c:pt>
                <c:pt idx="16">
                  <c:v>111.18409652688756</c:v>
                </c:pt>
                <c:pt idx="17">
                  <c:v>89.857970958729467</c:v>
                </c:pt>
                <c:pt idx="18">
                  <c:v>69.654411879324442</c:v>
                </c:pt>
                <c:pt idx="19">
                  <c:v>54.802611010769795</c:v>
                </c:pt>
                <c:pt idx="20">
                  <c:v>44.537177470027991</c:v>
                </c:pt>
                <c:pt idx="21">
                  <c:v>32.935052790198142</c:v>
                </c:pt>
                <c:pt idx="22">
                  <c:v>24.590923372176139</c:v>
                </c:pt>
                <c:pt idx="23">
                  <c:v>18.87630020410619</c:v>
                </c:pt>
                <c:pt idx="24">
                  <c:v>16.420582530932958</c:v>
                </c:pt>
                <c:pt idx="25">
                  <c:v>14.167684024787938</c:v>
                </c:pt>
                <c:pt idx="26">
                  <c:v>12.008278440859096</c:v>
                </c:pt>
                <c:pt idx="27">
                  <c:v>10.047238133369763</c:v>
                </c:pt>
                <c:pt idx="28">
                  <c:v>8.2706750605511559</c:v>
                </c:pt>
                <c:pt idx="29">
                  <c:v>6.6655440206572578</c:v>
                </c:pt>
                <c:pt idx="30">
                  <c:v>5.2196070037120208</c:v>
                </c:pt>
                <c:pt idx="31">
                  <c:v>4.0328731720535096</c:v>
                </c:pt>
                <c:pt idx="32">
                  <c:v>2.9219231329267084</c:v>
                </c:pt>
                <c:pt idx="33">
                  <c:v>1.8822491096155347</c:v>
                </c:pt>
                <c:pt idx="34">
                  <c:v>0.90960648154034462</c:v>
                </c:pt>
                <c:pt idx="35">
                  <c:v>0</c:v>
                </c:pt>
              </c:numCache>
            </c:numRef>
          </c:val>
          <c:extLst>
            <c:ext xmlns:c16="http://schemas.microsoft.com/office/drawing/2014/chart" uri="{C3380CC4-5D6E-409C-BE32-E72D297353CC}">
              <c16:uniqueId val="{0000002C-7155-4729-B11D-89BE247ADDEA}"/>
            </c:ext>
          </c:extLst>
        </c:ser>
        <c:ser>
          <c:idx val="6"/>
          <c:order val="6"/>
          <c:tx>
            <c:strRef>
              <c:f>'Cost Results'!$E$48</c:f>
              <c:strCache>
                <c:ptCount val="1"/>
                <c:pt idx="0">
                  <c:v>Electric heating</c:v>
                </c:pt>
              </c:strCache>
            </c:strRef>
          </c:tx>
          <c:cat>
            <c:numRef>
              <c:f>'Cost Results'!$J$41:$AS$41</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'Cost Results'!$J$48:$AS$48</c:f>
              <c:numCache>
                <c:formatCode>General</c:formatCode>
                <c:ptCount val="36"/>
                <c:pt idx="0">
                  <c:v>12.79995359614284</c:v>
                </c:pt>
                <c:pt idx="1">
                  <c:v>13.024033297291856</c:v>
                </c:pt>
                <c:pt idx="2">
                  <c:v>13.221582562047457</c:v>
                </c:pt>
                <c:pt idx="3">
                  <c:v>13.416305753670585</c:v>
                </c:pt>
                <c:pt idx="4">
                  <c:v>13.608951429489894</c:v>
                </c:pt>
                <c:pt idx="5">
                  <c:v>12.782195479149998</c:v>
                </c:pt>
                <c:pt idx="6">
                  <c:v>12.149983973512146</c:v>
                </c:pt>
                <c:pt idx="7">
                  <c:v>11.112954951634672</c:v>
                </c:pt>
                <c:pt idx="8">
                  <c:v>10.544623935355348</c:v>
                </c:pt>
                <c:pt idx="9">
                  <c:v>9.8556732609703683</c:v>
                </c:pt>
                <c:pt idx="10">
                  <c:v>9.097049242437679</c:v>
                </c:pt>
                <c:pt idx="11">
                  <c:v>8.1231299529360044</c:v>
                </c:pt>
                <c:pt idx="12">
                  <c:v>7.2069539324647129</c:v>
                </c:pt>
                <c:pt idx="13">
                  <c:v>6.355753890767887</c:v>
                </c:pt>
                <c:pt idx="14">
                  <c:v>5.5757486085346768</c:v>
                </c:pt>
                <c:pt idx="15">
                  <c:v>5.7581189593496447</c:v>
                </c:pt>
                <c:pt idx="16">
                  <c:v>4.9317932206652664</c:v>
                </c:pt>
                <c:pt idx="17">
                  <c:v>4.129434330131363</c:v>
                </c:pt>
                <c:pt idx="18">
                  <c:v>3.3049295227540703</c:v>
                </c:pt>
                <c:pt idx="19">
                  <c:v>2.6333146044445379</c:v>
                </c:pt>
                <c:pt idx="20">
                  <c:v>2.1208542400848787</c:v>
                </c:pt>
                <c:pt idx="21">
                  <c:v>8.8958109812527351</c:v>
                </c:pt>
                <c:pt idx="22">
                  <c:v>7.1628173438657221</c:v>
                </c:pt>
                <c:pt idx="23">
                  <c:v>6.522697909001054</c:v>
                </c:pt>
                <c:pt idx="24">
                  <c:v>9.3395876611311799</c:v>
                </c:pt>
                <c:pt idx="25">
                  <c:v>9.6562182567701207</c:v>
                </c:pt>
                <c:pt idx="26">
                  <c:v>9.5830772762938423</c:v>
                </c:pt>
                <c:pt idx="27">
                  <c:v>9.659457041929512</c:v>
                </c:pt>
                <c:pt idx="28">
                  <c:v>9.6823949405847358</c:v>
                </c:pt>
                <c:pt idx="29">
                  <c:v>9.6569086788581942</c:v>
                </c:pt>
                <c:pt idx="30">
                  <c:v>9.5877499384445706</c:v>
                </c:pt>
                <c:pt idx="31">
                  <c:v>10.868732649540803</c:v>
                </c:pt>
                <c:pt idx="32">
                  <c:v>11.107143413074718</c:v>
                </c:pt>
                <c:pt idx="33">
                  <c:v>11.321258730160054</c:v>
                </c:pt>
                <c:pt idx="34">
                  <c:v>11.512720840170321</c:v>
                </c:pt>
                <c:pt idx="35">
                  <c:v>11.683141631544764</c:v>
                </c:pt>
              </c:numCache>
            </c:numRef>
          </c:val>
          <c:extLst>
            <c:ext xmlns:c16="http://schemas.microsoft.com/office/drawing/2014/chart" uri="{C3380CC4-5D6E-409C-BE32-E72D297353CC}">
              <c16:uniqueId val="{0000002D-7155-4729-B11D-89BE247ADDEA}"/>
            </c:ext>
          </c:extLst>
        </c:ser>
        <c:ser>
          <c:idx val="7"/>
          <c:order val="7"/>
          <c:tx>
            <c:strRef>
              <c:f>'Cost Results'!$E$49</c:f>
              <c:strCache>
                <c:ptCount val="1"/>
                <c:pt idx="0">
                  <c:v>Smart and storage</c:v>
                </c:pt>
              </c:strCache>
            </c:strRef>
          </c:tx>
          <c:cat>
            <c:numRef>
              <c:f>'Cost Results'!$J$41:$AS$41</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'Cost Results'!$J$49:$AS$49</c:f>
              <c:numCache>
                <c:formatCode>General</c:formatCode>
                <c:ptCount val="36"/>
                <c:pt idx="0">
                  <c:v>0</c:v>
                </c:pt>
                <c:pt idx="1">
                  <c:v>0</c:v>
                </c:pt>
                <c:pt idx="2">
                  <c:v>0</c:v>
                </c:pt>
                <c:pt idx="3">
                  <c:v>0</c:v>
                </c:pt>
                <c:pt idx="4">
                  <c:v>0</c:v>
                </c:pt>
                <c:pt idx="5">
                  <c:v>0</c:v>
                </c:pt>
                <c:pt idx="6">
                  <c:v>4.0233749427032865</c:v>
                </c:pt>
                <c:pt idx="7">
                  <c:v>4.7704730315537809</c:v>
                </c:pt>
                <c:pt idx="8">
                  <c:v>5.4871278928399301</c:v>
                </c:pt>
                <c:pt idx="9">
                  <c:v>6.1601274143947382</c:v>
                </c:pt>
                <c:pt idx="10">
                  <c:v>6.7691989752228778</c:v>
                </c:pt>
                <c:pt idx="11">
                  <c:v>3.8828771001969331</c:v>
                </c:pt>
                <c:pt idx="12">
                  <c:v>3.7812586528677969</c:v>
                </c:pt>
                <c:pt idx="13">
                  <c:v>3.6612310670015975</c:v>
                </c:pt>
                <c:pt idx="14">
                  <c:v>11.814648794978117</c:v>
                </c:pt>
                <c:pt idx="15">
                  <c:v>18.06756109347279</c:v>
                </c:pt>
                <c:pt idx="16">
                  <c:v>18.697063743422916</c:v>
                </c:pt>
                <c:pt idx="17">
                  <c:v>18.280856047359048</c:v>
                </c:pt>
                <c:pt idx="18">
                  <c:v>17.855785456257646</c:v>
                </c:pt>
                <c:pt idx="19">
                  <c:v>17.452700664146558</c:v>
                </c:pt>
                <c:pt idx="20">
                  <c:v>12.68191503263453</c:v>
                </c:pt>
                <c:pt idx="21">
                  <c:v>16.477905044078039</c:v>
                </c:pt>
                <c:pt idx="22">
                  <c:v>15.92250603436684</c:v>
                </c:pt>
                <c:pt idx="23">
                  <c:v>15.354828218368967</c:v>
                </c:pt>
                <c:pt idx="24">
                  <c:v>14.777400259081938</c:v>
                </c:pt>
                <c:pt idx="25">
                  <c:v>13.873044629317183</c:v>
                </c:pt>
                <c:pt idx="26">
                  <c:v>13.101024347888174</c:v>
                </c:pt>
                <c:pt idx="27">
                  <c:v>12.411070025167453</c:v>
                </c:pt>
                <c:pt idx="28">
                  <c:v>11.738265974728309</c:v>
                </c:pt>
                <c:pt idx="29">
                  <c:v>10.305837997065863</c:v>
                </c:pt>
                <c:pt idx="30">
                  <c:v>4.2542704553908202</c:v>
                </c:pt>
                <c:pt idx="31">
                  <c:v>3.7991070313238433</c:v>
                </c:pt>
                <c:pt idx="32">
                  <c:v>3.3854905495611263</c:v>
                </c:pt>
                <c:pt idx="33">
                  <c:v>2.7830554221859143</c:v>
                </c:pt>
                <c:pt idx="34">
                  <c:v>2.3462943146409585</c:v>
                </c:pt>
                <c:pt idx="35">
                  <c:v>1.9616606530973306</c:v>
                </c:pt>
              </c:numCache>
            </c:numRef>
          </c:val>
          <c:extLst>
            <c:ext xmlns:c16="http://schemas.microsoft.com/office/drawing/2014/chart" uri="{C3380CC4-5D6E-409C-BE32-E72D297353CC}">
              <c16:uniqueId val="{0000002E-7155-4729-B11D-89BE247ADDEA}"/>
            </c:ext>
          </c:extLst>
        </c:ser>
        <c:ser>
          <c:idx val="8"/>
          <c:order val="8"/>
          <c:tx>
            <c:strRef>
              <c:f>'Cost Results'!$E$50</c:f>
              <c:strCache>
                <c:ptCount val="1"/>
                <c:pt idx="0">
                  <c:v>Electricity grid</c:v>
                </c:pt>
              </c:strCache>
            </c:strRef>
          </c:tx>
          <c:cat>
            <c:numRef>
              <c:f>'Cost Results'!$J$41:$AS$41</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'Cost Results'!$J$50:$AS$50</c:f>
              <c:numCache>
                <c:formatCode>General</c:formatCode>
                <c:ptCount val="36"/>
                <c:pt idx="0">
                  <c:v>0</c:v>
                </c:pt>
                <c:pt idx="1">
                  <c:v>1.0015569591829988E-2</c:v>
                </c:pt>
                <c:pt idx="2">
                  <c:v>1.0015569591829988E-2</c:v>
                </c:pt>
                <c:pt idx="3">
                  <c:v>1.0015569591829991E-2</c:v>
                </c:pt>
                <c:pt idx="4">
                  <c:v>1.0015569591829983E-2</c:v>
                </c:pt>
                <c:pt idx="5">
                  <c:v>0</c:v>
                </c:pt>
                <c:pt idx="6">
                  <c:v>0</c:v>
                </c:pt>
                <c:pt idx="7">
                  <c:v>0</c:v>
                </c:pt>
                <c:pt idx="8">
                  <c:v>0</c:v>
                </c:pt>
                <c:pt idx="9">
                  <c:v>0</c:v>
                </c:pt>
                <c:pt idx="10">
                  <c:v>0</c:v>
                </c:pt>
                <c:pt idx="11">
                  <c:v>0</c:v>
                </c:pt>
                <c:pt idx="12">
                  <c:v>0</c:v>
                </c:pt>
                <c:pt idx="13">
                  <c:v>0</c:v>
                </c:pt>
                <c:pt idx="14">
                  <c:v>0</c:v>
                </c:pt>
                <c:pt idx="15">
                  <c:v>0</c:v>
                </c:pt>
                <c:pt idx="16">
                  <c:v>0</c:v>
                </c:pt>
                <c:pt idx="17">
                  <c:v>0</c:v>
                </c:pt>
                <c:pt idx="18">
                  <c:v>0.25987145752273244</c:v>
                </c:pt>
                <c:pt idx="19">
                  <c:v>8.7109486844314503</c:v>
                </c:pt>
                <c:pt idx="20">
                  <c:v>18.258656961580254</c:v>
                </c:pt>
                <c:pt idx="21">
                  <c:v>17.641214455633101</c:v>
                </c:pt>
                <c:pt idx="22">
                  <c:v>17.044651647954616</c:v>
                </c:pt>
                <c:pt idx="23">
                  <c:v>16.468262461791973</c:v>
                </c:pt>
                <c:pt idx="24">
                  <c:v>15.911364697383547</c:v>
                </c:pt>
                <c:pt idx="25">
                  <c:v>11.853317665834602</c:v>
                </c:pt>
                <c:pt idx="26">
                  <c:v>11.452480836555168</c:v>
                </c:pt>
                <c:pt idx="27">
                  <c:v>11.065198875898716</c:v>
                </c:pt>
                <c:pt idx="28">
                  <c:v>10.691013406665423</c:v>
                </c:pt>
                <c:pt idx="29">
                  <c:v>10.329481552333752</c:v>
                </c:pt>
                <c:pt idx="30">
                  <c:v>10.820680983873805</c:v>
                </c:pt>
                <c:pt idx="31">
                  <c:v>10.454764235626865</c:v>
                </c:pt>
                <c:pt idx="32">
                  <c:v>10.101221483697413</c:v>
                </c:pt>
                <c:pt idx="33">
                  <c:v>9.7596342837656493</c:v>
                </c:pt>
                <c:pt idx="34">
                  <c:v>9.4295983418025724</c:v>
                </c:pt>
                <c:pt idx="35">
                  <c:v>0</c:v>
                </c:pt>
              </c:numCache>
            </c:numRef>
          </c:val>
          <c:extLst>
            <c:ext xmlns:c16="http://schemas.microsoft.com/office/drawing/2014/chart" uri="{C3380CC4-5D6E-409C-BE32-E72D297353CC}">
              <c16:uniqueId val="{0000002F-7155-4729-B11D-89BE247ADDEA}"/>
            </c:ext>
          </c:extLst>
        </c:ser>
        <c:ser>
          <c:idx val="9"/>
          <c:order val="9"/>
          <c:tx>
            <c:strRef>
              <c:f>'Cost Results'!$E$51</c:f>
              <c:strCache>
                <c:ptCount val="1"/>
                <c:pt idx="0">
                  <c:v>EV charging</c:v>
                </c:pt>
              </c:strCache>
            </c:strRef>
          </c:tx>
          <c:cat>
            <c:numRef>
              <c:f>'Cost Results'!$J$41:$AS$41</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'Cost Results'!$J$51:$AS$51</c:f>
              <c:numCache>
                <c:formatCode>General</c:formatCode>
                <c:ptCount val="36"/>
                <c:pt idx="0">
                  <c:v>0</c:v>
                </c:pt>
                <c:pt idx="1">
                  <c:v>0</c:v>
                </c:pt>
                <c:pt idx="2">
                  <c:v>0</c:v>
                </c:pt>
                <c:pt idx="3">
                  <c:v>10.344136072243892</c:v>
                </c:pt>
                <c:pt idx="4">
                  <c:v>3.9545137064952383</c:v>
                </c:pt>
                <c:pt idx="5">
                  <c:v>8.9887687406738976</c:v>
                </c:pt>
                <c:pt idx="6">
                  <c:v>15.691396120536394</c:v>
                </c:pt>
                <c:pt idx="7">
                  <c:v>34.053773858959644</c:v>
                </c:pt>
                <c:pt idx="8">
                  <c:v>38.792954534202337</c:v>
                </c:pt>
                <c:pt idx="9">
                  <c:v>36.303349535286266</c:v>
                </c:pt>
                <c:pt idx="10">
                  <c:v>40.285077547122121</c:v>
                </c:pt>
                <c:pt idx="11">
                  <c:v>39.246526313140059</c:v>
                </c:pt>
                <c:pt idx="12">
                  <c:v>39.934085355985935</c:v>
                </c:pt>
                <c:pt idx="13">
                  <c:v>37.041525217857945</c:v>
                </c:pt>
                <c:pt idx="14">
                  <c:v>34.264716207092505</c:v>
                </c:pt>
                <c:pt idx="15">
                  <c:v>31.789391420743378</c:v>
                </c:pt>
                <c:pt idx="16">
                  <c:v>27.235471277422793</c:v>
                </c:pt>
                <c:pt idx="17">
                  <c:v>23.338017123071502</c:v>
                </c:pt>
                <c:pt idx="18">
                  <c:v>25.732979572215342</c:v>
                </c:pt>
                <c:pt idx="19">
                  <c:v>19.039337697340457</c:v>
                </c:pt>
                <c:pt idx="20">
                  <c:v>18.279932131987493</c:v>
                </c:pt>
                <c:pt idx="21">
                  <c:v>15.852740778769254</c:v>
                </c:pt>
                <c:pt idx="22">
                  <c:v>26.113585291551058</c:v>
                </c:pt>
                <c:pt idx="23">
                  <c:v>26.531071788917583</c:v>
                </c:pt>
                <c:pt idx="24">
                  <c:v>24.470957164200097</c:v>
                </c:pt>
                <c:pt idx="25">
                  <c:v>25.310485982199776</c:v>
                </c:pt>
                <c:pt idx="26">
                  <c:v>25.763775948285616</c:v>
                </c:pt>
                <c:pt idx="27">
                  <c:v>25.664261678392815</c:v>
                </c:pt>
                <c:pt idx="28">
                  <c:v>23.888866704489498</c:v>
                </c:pt>
                <c:pt idx="29">
                  <c:v>22.301262954969296</c:v>
                </c:pt>
                <c:pt idx="30">
                  <c:v>20.898362603885804</c:v>
                </c:pt>
                <c:pt idx="31">
                  <c:v>16.515321570694269</c:v>
                </c:pt>
                <c:pt idx="32">
                  <c:v>14.290507569369474</c:v>
                </c:pt>
                <c:pt idx="33">
                  <c:v>12.84563864832127</c:v>
                </c:pt>
                <c:pt idx="34">
                  <c:v>10.85250497141447</c:v>
                </c:pt>
                <c:pt idx="35">
                  <c:v>9.3903634592062772</c:v>
                </c:pt>
              </c:numCache>
            </c:numRef>
          </c:val>
          <c:extLst>
            <c:ext xmlns:c16="http://schemas.microsoft.com/office/drawing/2014/chart" uri="{C3380CC4-5D6E-409C-BE32-E72D297353CC}">
              <c16:uniqueId val="{00000030-7155-4729-B11D-89BE247ADDEA}"/>
            </c:ext>
          </c:extLst>
        </c:ser>
        <c:ser>
          <c:idx val="10"/>
          <c:order val="10"/>
          <c:tx>
            <c:strRef>
              <c:f>'Cost Results'!$E$52</c:f>
              <c:strCache>
                <c:ptCount val="1"/>
                <c:pt idx="0">
                  <c:v>Hydrogen Refuelling</c:v>
                </c:pt>
              </c:strCache>
            </c:strRef>
          </c:tx>
          <c:cat>
            <c:numRef>
              <c:f>'Cost Results'!$J$41:$AS$41</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'Cost Results'!$J$52:$AS$52</c:f>
              <c:numCache>
                <c:formatCode>General</c:formatCode>
                <c:ptCount val="36"/>
                <c:pt idx="0">
                  <c:v>0</c:v>
                </c:pt>
                <c:pt idx="1">
                  <c:v>0</c:v>
                </c:pt>
                <c:pt idx="2">
                  <c:v>0</c:v>
                </c:pt>
                <c:pt idx="3">
                  <c:v>0</c:v>
                </c:pt>
                <c:pt idx="4">
                  <c:v>0</c:v>
                </c:pt>
                <c:pt idx="5">
                  <c:v>0.24107485067850767</c:v>
                </c:pt>
                <c:pt idx="6">
                  <c:v>0</c:v>
                </c:pt>
                <c:pt idx="7">
                  <c:v>0</c:v>
                </c:pt>
                <c:pt idx="8">
                  <c:v>0</c:v>
                </c:pt>
                <c:pt idx="9">
                  <c:v>0</c:v>
                </c:pt>
                <c:pt idx="10">
                  <c:v>0.18854473681429235</c:v>
                </c:pt>
                <c:pt idx="11">
                  <c:v>1.1750724347625832</c:v>
                </c:pt>
                <c:pt idx="12">
                  <c:v>0.78129501015620528</c:v>
                </c:pt>
                <c:pt idx="13">
                  <c:v>0.16164741614480255</c:v>
                </c:pt>
                <c:pt idx="14">
                  <c:v>0.15347506041823505</c:v>
                </c:pt>
                <c:pt idx="15">
                  <c:v>0</c:v>
                </c:pt>
                <c:pt idx="16">
                  <c:v>0.14736890321114535</c:v>
                </c:pt>
                <c:pt idx="17">
                  <c:v>0.95803519013849581</c:v>
                </c:pt>
                <c:pt idx="18">
                  <c:v>0.14993633101954948</c:v>
                </c:pt>
                <c:pt idx="19">
                  <c:v>0.1508398768163205</c:v>
                </c:pt>
                <c:pt idx="20">
                  <c:v>0.30302170690608227</c:v>
                </c:pt>
                <c:pt idx="21">
                  <c:v>0.15196395699453863</c:v>
                </c:pt>
                <c:pt idx="22">
                  <c:v>0.4566394665704791</c:v>
                </c:pt>
                <c:pt idx="23">
                  <c:v>0.15227172157025082</c:v>
                </c:pt>
                <c:pt idx="24">
                  <c:v>0.30430452636360467</c:v>
                </c:pt>
                <c:pt idx="25">
                  <c:v>1.2220211446509588</c:v>
                </c:pt>
                <c:pt idx="26">
                  <c:v>0.58692465192222143</c:v>
                </c:pt>
                <c:pt idx="27">
                  <c:v>0.70884619797369741</c:v>
                </c:pt>
                <c:pt idx="28">
                  <c:v>0.54790044287822026</c:v>
                </c:pt>
                <c:pt idx="29">
                  <c:v>0.66171551072248835</c:v>
                </c:pt>
                <c:pt idx="30">
                  <c:v>0.63933865770288734</c:v>
                </c:pt>
                <c:pt idx="31">
                  <c:v>1.2412023924743976</c:v>
                </c:pt>
                <c:pt idx="32">
                  <c:v>0.86977949278536981</c:v>
                </c:pt>
                <c:pt idx="33">
                  <c:v>0.69197620652004432</c:v>
                </c:pt>
                <c:pt idx="34">
                  <c:v>0.44571736329793538</c:v>
                </c:pt>
                <c:pt idx="35">
                  <c:v>0.43064479545694234</c:v>
                </c:pt>
              </c:numCache>
            </c:numRef>
          </c:val>
          <c:extLst>
            <c:ext xmlns:c16="http://schemas.microsoft.com/office/drawing/2014/chart" uri="{C3380CC4-5D6E-409C-BE32-E72D297353CC}">
              <c16:uniqueId val="{00000031-7155-4729-B11D-89BE247ADDEA}"/>
            </c:ext>
          </c:extLst>
        </c:ser>
        <c:ser>
          <c:idx val="11"/>
          <c:order val="11"/>
          <c:tx>
            <c:strRef>
              <c:f>'Cost Results'!$E$53</c:f>
              <c:strCache>
                <c:ptCount val="1"/>
                <c:pt idx="0">
                  <c:v>Gas (including bio gas) Fuel Cost</c:v>
                </c:pt>
              </c:strCache>
            </c:strRef>
          </c:tx>
          <c:spPr>
            <a:ln w="25400">
              <a:noFill/>
            </a:ln>
          </c:spPr>
          <c:val>
            <c:numRef>
              <c:f>'Cost Results'!$J$53:$AS$53</c:f>
              <c:numCache>
                <c:formatCode>General</c:formatCode>
                <c:ptCount val="36"/>
                <c:pt idx="0">
                  <c:v>808.74728579924101</c:v>
                </c:pt>
                <c:pt idx="1">
                  <c:v>711.82590710974671</c:v>
                </c:pt>
                <c:pt idx="2">
                  <c:v>670.1906807325131</c:v>
                </c:pt>
                <c:pt idx="3">
                  <c:v>684.68116758467465</c:v>
                </c:pt>
                <c:pt idx="4">
                  <c:v>689.0534618584868</c:v>
                </c:pt>
                <c:pt idx="5">
                  <c:v>612.34857083685961</c:v>
                </c:pt>
                <c:pt idx="6">
                  <c:v>625.37390167085221</c:v>
                </c:pt>
                <c:pt idx="7">
                  <c:v>603.71800859383347</c:v>
                </c:pt>
                <c:pt idx="8">
                  <c:v>554.55911144622462</c:v>
                </c:pt>
                <c:pt idx="9">
                  <c:v>497.99938815106833</c:v>
                </c:pt>
                <c:pt idx="10">
                  <c:v>442.97027612888866</c:v>
                </c:pt>
                <c:pt idx="11">
                  <c:v>384.5940482895154</c:v>
                </c:pt>
                <c:pt idx="12">
                  <c:v>328.65077786637949</c:v>
                </c:pt>
                <c:pt idx="13">
                  <c:v>280.98316040522025</c:v>
                </c:pt>
                <c:pt idx="14">
                  <c:v>240.89225849791234</c:v>
                </c:pt>
                <c:pt idx="15">
                  <c:v>208.26160595533258</c:v>
                </c:pt>
                <c:pt idx="16">
                  <c:v>179.12401573807512</c:v>
                </c:pt>
                <c:pt idx="17">
                  <c:v>152.79734526710561</c:v>
                </c:pt>
                <c:pt idx="18">
                  <c:v>129.0420991470279</c:v>
                </c:pt>
                <c:pt idx="19">
                  <c:v>107.7867513538158</c:v>
                </c:pt>
                <c:pt idx="20">
                  <c:v>90.239249966124831</c:v>
                </c:pt>
                <c:pt idx="21">
                  <c:v>70.176096497262535</c:v>
                </c:pt>
                <c:pt idx="22">
                  <c:v>55.324575572746191</c:v>
                </c:pt>
                <c:pt idx="23">
                  <c:v>45.073463213374843</c:v>
                </c:pt>
                <c:pt idx="24">
                  <c:v>40.49684974273196</c:v>
                </c:pt>
                <c:pt idx="25">
                  <c:v>36.277882162446673</c:v>
                </c:pt>
                <c:pt idx="26">
                  <c:v>32.256977217312233</c:v>
                </c:pt>
                <c:pt idx="27">
                  <c:v>28.602130637187589</c:v>
                </c:pt>
                <c:pt idx="28">
                  <c:v>25.287088251242398</c:v>
                </c:pt>
                <c:pt idx="29">
                  <c:v>22.28721298374326</c:v>
                </c:pt>
                <c:pt idx="30">
                  <c:v>19.579419733170553</c:v>
                </c:pt>
                <c:pt idx="31">
                  <c:v>17.355468753089852</c:v>
                </c:pt>
                <c:pt idx="32">
                  <c:v>13.621659011406265</c:v>
                </c:pt>
                <c:pt idx="33">
                  <c:v>8.7982291382224087</c:v>
                </c:pt>
                <c:pt idx="34">
                  <c:v>4.263003301933554</c:v>
                </c:pt>
                <c:pt idx="35">
                  <c:v>0</c:v>
                </c:pt>
              </c:numCache>
            </c:numRef>
          </c:val>
          <c:extLst>
            <c:ext xmlns:c16="http://schemas.microsoft.com/office/drawing/2014/chart" uri="{C3380CC4-5D6E-409C-BE32-E72D297353CC}">
              <c16:uniqueId val="{00000001-CC1E-453F-878E-6C57820CCBDF}"/>
            </c:ext>
          </c:extLst>
        </c:ser>
        <c:ser>
          <c:idx val="12"/>
          <c:order val="12"/>
          <c:tx>
            <c:strRef>
              <c:f>'Cost Results'!$E$54</c:f>
              <c:strCache>
                <c:ptCount val="1"/>
                <c:pt idx="0">
                  <c:v>Petrol and diesel costs</c:v>
                </c:pt>
              </c:strCache>
            </c:strRef>
          </c:tx>
          <c:spPr>
            <a:ln w="25400">
              <a:noFill/>
            </a:ln>
          </c:spPr>
          <c:val>
            <c:numRef>
              <c:f>'Cost Results'!$J$54:$AS$54</c:f>
              <c:numCache>
                <c:formatCode>General</c:formatCode>
                <c:ptCount val="36"/>
                <c:pt idx="0">
                  <c:v>797.55293905763608</c:v>
                </c:pt>
                <c:pt idx="1">
                  <c:v>760.86967397812555</c:v>
                </c:pt>
                <c:pt idx="2">
                  <c:v>795.70842568132582</c:v>
                </c:pt>
                <c:pt idx="3">
                  <c:v>820.47114442704174</c:v>
                </c:pt>
                <c:pt idx="4">
                  <c:v>753.36120460029815</c:v>
                </c:pt>
                <c:pt idx="5">
                  <c:v>695.64723417978848</c:v>
                </c:pt>
                <c:pt idx="6">
                  <c:v>669.17514414296841</c:v>
                </c:pt>
                <c:pt idx="7">
                  <c:v>629.42524947832214</c:v>
                </c:pt>
                <c:pt idx="8">
                  <c:v>590.08234446767676</c:v>
                </c:pt>
                <c:pt idx="9">
                  <c:v>546.84135363663324</c:v>
                </c:pt>
                <c:pt idx="10">
                  <c:v>501.64579036433565</c:v>
                </c:pt>
                <c:pt idx="11">
                  <c:v>458.91829203709386</c:v>
                </c:pt>
                <c:pt idx="12">
                  <c:v>411.93265478243484</c:v>
                </c:pt>
                <c:pt idx="13">
                  <c:v>367.40835807617219</c:v>
                </c:pt>
                <c:pt idx="14">
                  <c:v>324.96416096404283</c:v>
                </c:pt>
                <c:pt idx="15">
                  <c:v>283.52099076224886</c:v>
                </c:pt>
                <c:pt idx="16">
                  <c:v>246.60430702409886</c:v>
                </c:pt>
                <c:pt idx="17">
                  <c:v>212.38265933988896</c:v>
                </c:pt>
                <c:pt idx="18">
                  <c:v>181.32536705484017</c:v>
                </c:pt>
                <c:pt idx="19">
                  <c:v>154.24799743455847</c:v>
                </c:pt>
                <c:pt idx="20">
                  <c:v>129.74027023973804</c:v>
                </c:pt>
                <c:pt idx="21">
                  <c:v>106.56427083766911</c:v>
                </c:pt>
                <c:pt idx="22">
                  <c:v>86.290358551327415</c:v>
                </c:pt>
                <c:pt idx="23">
                  <c:v>68.781948633738452</c:v>
                </c:pt>
                <c:pt idx="24">
                  <c:v>53.51000568285815</c:v>
                </c:pt>
                <c:pt idx="25">
                  <c:v>40.292136636745852</c:v>
                </c:pt>
                <c:pt idx="26">
                  <c:v>31.994651172161554</c:v>
                </c:pt>
                <c:pt idx="27">
                  <c:v>24.84731853379845</c:v>
                </c:pt>
                <c:pt idx="28">
                  <c:v>18.691854561213919</c:v>
                </c:pt>
                <c:pt idx="29">
                  <c:v>13.368699678559258</c:v>
                </c:pt>
                <c:pt idx="30">
                  <c:v>8.7079797797303176</c:v>
                </c:pt>
                <c:pt idx="31">
                  <c:v>6.6171473083200123</c:v>
                </c:pt>
                <c:pt idx="32">
                  <c:v>4.8492775625521274</c:v>
                </c:pt>
                <c:pt idx="33">
                  <c:v>3.3266625880615082</c:v>
                </c:pt>
                <c:pt idx="34">
                  <c:v>2.0063087706691753</c:v>
                </c:pt>
                <c:pt idx="35">
                  <c:v>0.84595975578991989</c:v>
                </c:pt>
              </c:numCache>
            </c:numRef>
          </c:val>
          <c:extLst>
            <c:ext xmlns:c16="http://schemas.microsoft.com/office/drawing/2014/chart" uri="{C3380CC4-5D6E-409C-BE32-E72D297353CC}">
              <c16:uniqueId val="{00000002-CC1E-453F-878E-6C57820CCBDF}"/>
            </c:ext>
          </c:extLst>
        </c:ser>
        <c:ser>
          <c:idx val="13"/>
          <c:order val="13"/>
          <c:tx>
            <c:strRef>
              <c:f>'Cost Results'!$E$55</c:f>
              <c:strCache>
                <c:ptCount val="1"/>
                <c:pt idx="0">
                  <c:v>Electricity cost</c:v>
                </c:pt>
              </c:strCache>
            </c:strRef>
          </c:tx>
          <c:spPr>
            <a:ln w="25400">
              <a:noFill/>
            </a:ln>
          </c:spPr>
          <c:val>
            <c:numRef>
              <c:f>'Cost Results'!$J$55:$AS$55</c:f>
              <c:numCache>
                <c:formatCode>General</c:formatCode>
                <c:ptCount val="36"/>
                <c:pt idx="0">
                  <c:v>1535.1394857739504</c:v>
                </c:pt>
                <c:pt idx="1">
                  <c:v>1505.5119083059994</c:v>
                </c:pt>
                <c:pt idx="2">
                  <c:v>1568.5172045521449</c:v>
                </c:pt>
                <c:pt idx="3">
                  <c:v>1691.8314574336366</c:v>
                </c:pt>
                <c:pt idx="4">
                  <c:v>1785.6842635534854</c:v>
                </c:pt>
                <c:pt idx="5">
                  <c:v>1835.5705055356595</c:v>
                </c:pt>
                <c:pt idx="6">
                  <c:v>1884.9319104387896</c:v>
                </c:pt>
                <c:pt idx="7">
                  <c:v>1848.7765166143874</c:v>
                </c:pt>
                <c:pt idx="8">
                  <c:v>1752.1810338212611</c:v>
                </c:pt>
                <c:pt idx="9">
                  <c:v>1667.8096976711877</c:v>
                </c:pt>
                <c:pt idx="10">
                  <c:v>1610.4594632176224</c:v>
                </c:pt>
                <c:pt idx="11">
                  <c:v>1556.2519657456728</c:v>
                </c:pt>
                <c:pt idx="12">
                  <c:v>1485.477466242023</c:v>
                </c:pt>
                <c:pt idx="13">
                  <c:v>1416.6305739196207</c:v>
                </c:pt>
                <c:pt idx="14">
                  <c:v>1354.2023416210473</c:v>
                </c:pt>
                <c:pt idx="15">
                  <c:v>1323.4892864813005</c:v>
                </c:pt>
                <c:pt idx="16">
                  <c:v>1315.3044014632746</c:v>
                </c:pt>
                <c:pt idx="17">
                  <c:v>1279.8569946480575</c:v>
                </c:pt>
                <c:pt idx="18">
                  <c:v>1238.4105297846852</c:v>
                </c:pt>
                <c:pt idx="19">
                  <c:v>1205.231596145316</c:v>
                </c:pt>
                <c:pt idx="20">
                  <c:v>1179.3369182615697</c:v>
                </c:pt>
                <c:pt idx="21">
                  <c:v>1173.1564495763787</c:v>
                </c:pt>
                <c:pt idx="22">
                  <c:v>1156.2609639041054</c:v>
                </c:pt>
                <c:pt idx="23">
                  <c:v>1140.0393226574595</c:v>
                </c:pt>
                <c:pt idx="24">
                  <c:v>1128.2161439419149</c:v>
                </c:pt>
                <c:pt idx="25">
                  <c:v>1094.468646770458</c:v>
                </c:pt>
                <c:pt idx="26">
                  <c:v>1071.5631996122779</c:v>
                </c:pt>
                <c:pt idx="27">
                  <c:v>1048.3146319160157</c:v>
                </c:pt>
                <c:pt idx="28">
                  <c:v>1024.8292112917054</c:v>
                </c:pt>
                <c:pt idx="29">
                  <c:v>1001.2235978583029</c:v>
                </c:pt>
                <c:pt idx="30">
                  <c:v>977.58318552476362</c:v>
                </c:pt>
                <c:pt idx="31">
                  <c:v>954.72528730366366</c:v>
                </c:pt>
                <c:pt idx="32">
                  <c:v>931.21489296246318</c:v>
                </c:pt>
                <c:pt idx="33">
                  <c:v>908.18568115703613</c:v>
                </c:pt>
                <c:pt idx="34">
                  <c:v>885.63581433386821</c:v>
                </c:pt>
                <c:pt idx="35">
                  <c:v>863.57706092016906</c:v>
                </c:pt>
              </c:numCache>
            </c:numRef>
          </c:val>
          <c:extLst>
            <c:ext xmlns:c16="http://schemas.microsoft.com/office/drawing/2014/chart" uri="{C3380CC4-5D6E-409C-BE32-E72D297353CC}">
              <c16:uniqueId val="{00000003-CC1E-453F-878E-6C57820CCBDF}"/>
            </c:ext>
          </c:extLst>
        </c:ser>
        <c:ser>
          <c:idx val="14"/>
          <c:order val="14"/>
          <c:tx>
            <c:strRef>
              <c:f>'Cost Results'!$E$56</c:f>
              <c:strCache>
                <c:ptCount val="1"/>
                <c:pt idx="0">
                  <c:v>Hydrogen Fuel Cost</c:v>
                </c:pt>
              </c:strCache>
            </c:strRef>
          </c:tx>
          <c:spPr>
            <a:ln w="25400">
              <a:noFill/>
            </a:ln>
          </c:spPr>
          <c:val>
            <c:numRef>
              <c:f>'Cost Results'!$J$56:$AS$56</c:f>
              <c:numCache>
                <c:formatCode>General</c:formatCode>
                <c:ptCount val="36"/>
                <c:pt idx="0">
                  <c:v>0</c:v>
                </c:pt>
                <c:pt idx="1">
                  <c:v>0</c:v>
                </c:pt>
                <c:pt idx="2">
                  <c:v>0</c:v>
                </c:pt>
                <c:pt idx="3">
                  <c:v>0</c:v>
                </c:pt>
                <c:pt idx="4">
                  <c:v>0</c:v>
                </c:pt>
                <c:pt idx="5">
                  <c:v>0</c:v>
                </c:pt>
                <c:pt idx="6">
                  <c:v>6.7382382131889101E-2</c:v>
                </c:pt>
                <c:pt idx="7">
                  <c:v>6.7463143942276663E-2</c:v>
                </c:pt>
                <c:pt idx="8">
                  <c:v>7.9470268634194555E-2</c:v>
                </c:pt>
                <c:pt idx="9">
                  <c:v>9.3599978664311093E-2</c:v>
                </c:pt>
                <c:pt idx="10">
                  <c:v>0.11668693108438453</c:v>
                </c:pt>
                <c:pt idx="11">
                  <c:v>0.24163906402065807</c:v>
                </c:pt>
                <c:pt idx="12">
                  <c:v>4.6094292225564235</c:v>
                </c:pt>
                <c:pt idx="13">
                  <c:v>7.8323681981782762</c:v>
                </c:pt>
                <c:pt idx="14">
                  <c:v>10.206185043278552</c:v>
                </c:pt>
                <c:pt idx="15">
                  <c:v>11.7419553807492</c:v>
                </c:pt>
                <c:pt idx="16">
                  <c:v>15.878646506236942</c:v>
                </c:pt>
                <c:pt idx="17">
                  <c:v>19.141603564207607</c:v>
                </c:pt>
                <c:pt idx="18">
                  <c:v>21.515851255789148</c:v>
                </c:pt>
                <c:pt idx="19">
                  <c:v>37.174831987395869</c:v>
                </c:pt>
                <c:pt idx="20">
                  <c:v>45.264234790068791</c:v>
                </c:pt>
                <c:pt idx="21">
                  <c:v>46.310070762278421</c:v>
                </c:pt>
                <c:pt idx="22">
                  <c:v>45.509124373239658</c:v>
                </c:pt>
                <c:pt idx="23">
                  <c:v>44.130711744702502</c:v>
                </c:pt>
                <c:pt idx="24">
                  <c:v>39.934224095364236</c:v>
                </c:pt>
                <c:pt idx="25">
                  <c:v>42.625978241667291</c:v>
                </c:pt>
                <c:pt idx="26">
                  <c:v>43.65189471347886</c:v>
                </c:pt>
                <c:pt idx="27">
                  <c:v>43.110562761028483</c:v>
                </c:pt>
                <c:pt idx="28">
                  <c:v>41.163343909642656</c:v>
                </c:pt>
                <c:pt idx="29">
                  <c:v>37.962014438066369</c:v>
                </c:pt>
                <c:pt idx="30">
                  <c:v>33.654306694999747</c:v>
                </c:pt>
                <c:pt idx="31">
                  <c:v>27.08683293115789</c:v>
                </c:pt>
                <c:pt idx="32">
                  <c:v>22.781584754127344</c:v>
                </c:pt>
                <c:pt idx="33">
                  <c:v>18.667937700931169</c:v>
                </c:pt>
                <c:pt idx="34">
                  <c:v>14.735243199309004</c:v>
                </c:pt>
                <c:pt idx="35">
                  <c:v>10.975216973949447</c:v>
                </c:pt>
              </c:numCache>
            </c:numRef>
          </c:val>
          <c:extLst>
            <c:ext xmlns:c16="http://schemas.microsoft.com/office/drawing/2014/chart" uri="{C3380CC4-5D6E-409C-BE32-E72D297353CC}">
              <c16:uniqueId val="{00000004-CC1E-453F-878E-6C57820CCBDF}"/>
            </c:ext>
          </c:extLst>
        </c:ser>
        <c:ser>
          <c:idx val="15"/>
          <c:order val="15"/>
          <c:tx>
            <c:strRef>
              <c:f>'Cost Results'!$E$57</c:f>
              <c:strCache>
                <c:ptCount val="1"/>
              </c:strCache>
            </c:strRef>
          </c:tx>
          <c:spPr>
            <a:ln w="25400">
              <a:noFill/>
            </a:ln>
          </c:spPr>
          <c:val>
            <c:numRef>
              <c:f>'Cost Results'!$J$57:$AS$57</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numCache>
            </c:numRef>
          </c:val>
          <c:extLst>
            <c:ext xmlns:c16="http://schemas.microsoft.com/office/drawing/2014/chart" uri="{C3380CC4-5D6E-409C-BE32-E72D297353CC}">
              <c16:uniqueId val="{00000005-CC1E-453F-878E-6C57820CCBDF}"/>
            </c:ext>
          </c:extLst>
        </c:ser>
        <c:dLbls>
          <c:showLegendKey val="0"/>
          <c:showVal val="0"/>
          <c:showCatName val="0"/>
          <c:showSerName val="0"/>
          <c:showPercent val="0"/>
          <c:showBubbleSize val="0"/>
        </c:dLbls>
        <c:axId val="101495936"/>
        <c:axId val="101497472"/>
      </c:areaChart>
      <c:catAx>
        <c:axId val="101495936"/>
        <c:scaling>
          <c:orientation val="minMax"/>
        </c:scaling>
        <c:delete val="0"/>
        <c:axPos val="b"/>
        <c:numFmt formatCode="General" sourceLinked="1"/>
        <c:majorTickMark val="out"/>
        <c:minorTickMark val="none"/>
        <c:tickLblPos val="nextTo"/>
        <c:spPr>
          <a:ln w="12700">
            <a:solidFill>
              <a:schemeClr val="bg1">
                <a:lumMod val="85000"/>
              </a:schemeClr>
            </a:solidFill>
          </a:ln>
        </c:spPr>
        <c:txPr>
          <a:bodyPr rot="0" vert="horz"/>
          <a:lstStyle/>
          <a:p>
            <a:pPr>
              <a:defRPr>
                <a:solidFill>
                  <a:schemeClr val="tx1">
                    <a:lumMod val="65000"/>
                    <a:lumOff val="35000"/>
                  </a:schemeClr>
                </a:solidFill>
                <a:latin typeface="Segoe UI" panose="020B0502040204020203" pitchFamily="34" charset="0"/>
                <a:ea typeface="Segoe UI" panose="020B0502040204020203" pitchFamily="34" charset="0"/>
                <a:cs typeface="Segoe UI" panose="020B0502040204020203" pitchFamily="34" charset="0"/>
              </a:defRPr>
            </a:pPr>
            <a:endParaRPr lang="en-US"/>
          </a:p>
        </c:txPr>
        <c:crossAx val="101497472"/>
        <c:crosses val="autoZero"/>
        <c:auto val="0"/>
        <c:lblAlgn val="ctr"/>
        <c:lblOffset val="100"/>
        <c:noMultiLvlLbl val="0"/>
      </c:catAx>
      <c:valAx>
        <c:axId val="101497472"/>
        <c:scaling>
          <c:orientation val="minMax"/>
        </c:scaling>
        <c:delete val="0"/>
        <c:axPos val="l"/>
        <c:title>
          <c:tx>
            <c:strRef>
              <c:f>'Cost Results'!$E$41</c:f>
              <c:strCache>
                <c:ptCount val="1"/>
                <c:pt idx="0">
                  <c:v>COST (£million/year)</c:v>
                </c:pt>
              </c:strCache>
            </c:strRef>
          </c:tx>
          <c:layout>
            <c:manualLayout>
              <c:xMode val="edge"/>
              <c:yMode val="edge"/>
              <c:x val="1.3169987797382002E-2"/>
              <c:y val="5.350433107303447E-2"/>
            </c:manualLayout>
          </c:layout>
          <c:overlay val="0"/>
        </c:title>
        <c:numFmt formatCode="#,##0" sourceLinked="0"/>
        <c:majorTickMark val="none"/>
        <c:minorTickMark val="none"/>
        <c:tickLblPos val="nextTo"/>
        <c:spPr>
          <a:ln w="12700">
            <a:noFill/>
          </a:ln>
        </c:spPr>
        <c:txPr>
          <a:bodyPr/>
          <a:lstStyle/>
          <a:p>
            <a:pPr>
              <a:defRPr>
                <a:solidFill>
                  <a:schemeClr val="tx1">
                    <a:lumMod val="65000"/>
                    <a:lumOff val="35000"/>
                  </a:schemeClr>
                </a:solidFill>
              </a:defRPr>
            </a:pPr>
            <a:endParaRPr lang="en-US"/>
          </a:p>
        </c:txPr>
        <c:crossAx val="101495936"/>
        <c:crosses val="autoZero"/>
        <c:crossBetween val="midCat"/>
      </c:valAx>
      <c:spPr>
        <a:noFill/>
      </c:spPr>
    </c:plotArea>
    <c:legend>
      <c:legendPos val="t"/>
      <c:layout>
        <c:manualLayout>
          <c:xMode val="edge"/>
          <c:yMode val="edge"/>
          <c:x val="0.72022201776692463"/>
          <c:y val="6.5898091394749319E-3"/>
          <c:w val="0.26807504686843342"/>
          <c:h val="0.98359005327965032"/>
        </c:manualLayout>
      </c:layout>
      <c:overlay val="1"/>
      <c:txPr>
        <a:bodyPr/>
        <a:lstStyle/>
        <a:p>
          <a:pPr>
            <a:defRPr sz="1050">
              <a:solidFill>
                <a:schemeClr val="tx1">
                  <a:lumMod val="65000"/>
                  <a:lumOff val="35000"/>
                </a:schemeClr>
              </a:solidFill>
              <a:latin typeface="Segoe UI" panose="020B0502040204020203" pitchFamily="34" charset="0"/>
              <a:ea typeface="Segoe UI" panose="020B0502040204020203" pitchFamily="34" charset="0"/>
              <a:cs typeface="Segoe UI" panose="020B0502040204020203" pitchFamily="34" charset="0"/>
            </a:defRPr>
          </a:pPr>
          <a:endParaRPr lang="en-US"/>
        </a:p>
      </c:txPr>
    </c:legend>
    <c:plotVisOnly val="1"/>
    <c:dispBlanksAs val="zero"/>
    <c:showDLblsOverMax val="0"/>
  </c:chart>
  <c:spPr>
    <a:noFill/>
    <a:ln>
      <a:noFill/>
    </a:ln>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endParaRPr lang="en-GB"/>
          </a:p>
        </c:rich>
      </c:tx>
      <c:overlay val="0"/>
    </c:title>
    <c:autoTitleDeleted val="0"/>
    <c:plotArea>
      <c:layout>
        <c:manualLayout>
          <c:layoutTarget val="inner"/>
          <c:xMode val="edge"/>
          <c:yMode val="edge"/>
          <c:x val="0.13719173681600133"/>
          <c:y val="2.0680527845764747E-2"/>
          <c:w val="0.82542517897299761"/>
          <c:h val="0.74650055131460935"/>
        </c:manualLayout>
      </c:layout>
      <c:areaChart>
        <c:grouping val="stacked"/>
        <c:varyColors val="0"/>
        <c:ser>
          <c:idx val="2"/>
          <c:order val="0"/>
          <c:tx>
            <c:strRef>
              <c:f>'Main graph Results'!$E$408</c:f>
              <c:strCache>
                <c:ptCount val="1"/>
                <c:pt idx="0">
                  <c:v>Electricity (Cars, LGVs, Motorcycles, Taxis)</c:v>
                </c:pt>
              </c:strCache>
            </c:strRef>
          </c:tx>
          <c:spPr>
            <a:solidFill>
              <a:srgbClr val="0F5B78"/>
            </a:solidFill>
            <a:ln>
              <a:noFill/>
            </a:ln>
          </c:spPr>
          <c:cat>
            <c:numRef>
              <c:f>'Main graph Results'!$J$407:$AS$407</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'Main graph Results'!$J$408:$AS$408</c:f>
              <c:numCache>
                <c:formatCode>General</c:formatCode>
                <c:ptCount val="36"/>
                <c:pt idx="0">
                  <c:v>34.498859784172332</c:v>
                </c:pt>
                <c:pt idx="1">
                  <c:v>49.183321094739142</c:v>
                </c:pt>
                <c:pt idx="2">
                  <c:v>66.562622716919904</c:v>
                </c:pt>
                <c:pt idx="3">
                  <c:v>91.453732912869981</c:v>
                </c:pt>
                <c:pt idx="4">
                  <c:v>124.6743785488252</c:v>
                </c:pt>
                <c:pt idx="5">
                  <c:v>142.29974396087692</c:v>
                </c:pt>
                <c:pt idx="6">
                  <c:v>238.78932757504629</c:v>
                </c:pt>
                <c:pt idx="7">
                  <c:v>439.03716008427256</c:v>
                </c:pt>
                <c:pt idx="8">
                  <c:v>704.56932692183022</c:v>
                </c:pt>
                <c:pt idx="9">
                  <c:v>974.15311405431976</c:v>
                </c:pt>
                <c:pt idx="10">
                  <c:v>1311.9217346802754</c:v>
                </c:pt>
                <c:pt idx="11">
                  <c:v>1656.1253787019257</c:v>
                </c:pt>
                <c:pt idx="12">
                  <c:v>2061.3094039787634</c:v>
                </c:pt>
                <c:pt idx="13">
                  <c:v>2465.1165433387541</c:v>
                </c:pt>
                <c:pt idx="14">
                  <c:v>2866.907701137784</c:v>
                </c:pt>
                <c:pt idx="15">
                  <c:v>3277.8111924120844</c:v>
                </c:pt>
                <c:pt idx="16">
                  <c:v>3637.6508740367958</c:v>
                </c:pt>
                <c:pt idx="17">
                  <c:v>3947.2867741546261</c:v>
                </c:pt>
                <c:pt idx="18">
                  <c:v>4232.5073374089534</c:v>
                </c:pt>
                <c:pt idx="19">
                  <c:v>4450.5632119296779</c:v>
                </c:pt>
                <c:pt idx="20">
                  <c:v>4634.930795735163</c:v>
                </c:pt>
                <c:pt idx="21">
                  <c:v>4775.8764830620639</c:v>
                </c:pt>
                <c:pt idx="22">
                  <c:v>4877.0668600194222</c:v>
                </c:pt>
                <c:pt idx="23">
                  <c:v>4937.3511664653097</c:v>
                </c:pt>
                <c:pt idx="24">
                  <c:v>4965.8437357935363</c:v>
                </c:pt>
                <c:pt idx="25">
                  <c:v>4963.3157934520441</c:v>
                </c:pt>
                <c:pt idx="26">
                  <c:v>5010.6075714627641</c:v>
                </c:pt>
                <c:pt idx="27">
                  <c:v>5041.1040694297762</c:v>
                </c:pt>
                <c:pt idx="28">
                  <c:v>5056.8614170462097</c:v>
                </c:pt>
                <c:pt idx="29">
                  <c:v>5061.5854023550573</c:v>
                </c:pt>
                <c:pt idx="30">
                  <c:v>5057.3259707511124</c:v>
                </c:pt>
                <c:pt idx="31">
                  <c:v>5046.6595808353195</c:v>
                </c:pt>
                <c:pt idx="32">
                  <c:v>5030.7683101465673</c:v>
                </c:pt>
                <c:pt idx="33">
                  <c:v>5012.2234408563145</c:v>
                </c:pt>
                <c:pt idx="34">
                  <c:v>4990.7465292490679</c:v>
                </c:pt>
                <c:pt idx="35">
                  <c:v>4967.4958265901887</c:v>
                </c:pt>
              </c:numCache>
            </c:numRef>
          </c:val>
          <c:extLst>
            <c:ext xmlns:c16="http://schemas.microsoft.com/office/drawing/2014/chart" uri="{C3380CC4-5D6E-409C-BE32-E72D297353CC}">
              <c16:uniqueId val="{00000010-983B-47BD-93FC-900A7BA36D2B}"/>
            </c:ext>
          </c:extLst>
        </c:ser>
        <c:ser>
          <c:idx val="3"/>
          <c:order val="1"/>
          <c:tx>
            <c:strRef>
              <c:f>'Main graph Results'!$E$409</c:f>
              <c:strCache>
                <c:ptCount val="1"/>
                <c:pt idx="0">
                  <c:v>Hydrogen (Cars, LGVs, Motorcycles, Taxis)</c:v>
                </c:pt>
              </c:strCache>
            </c:strRef>
          </c:tx>
          <c:spPr>
            <a:solidFill>
              <a:srgbClr val="0D3C55"/>
            </a:solidFill>
            <a:ln>
              <a:noFill/>
            </a:ln>
          </c:spPr>
          <c:cat>
            <c:numRef>
              <c:f>'Main graph Results'!$J$407:$AS$407</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'Main graph Results'!$J$409:$AS$409</c:f>
              <c:numCache>
                <c:formatCode>General</c:formatCode>
                <c:ptCount val="36"/>
                <c:pt idx="0">
                  <c:v>0</c:v>
                </c:pt>
                <c:pt idx="1">
                  <c:v>0</c:v>
                </c:pt>
                <c:pt idx="2">
                  <c:v>0</c:v>
                </c:pt>
                <c:pt idx="3">
                  <c:v>0</c:v>
                </c:pt>
                <c:pt idx="4">
                  <c:v>0</c:v>
                </c:pt>
                <c:pt idx="5">
                  <c:v>0</c:v>
                </c:pt>
                <c:pt idx="6">
                  <c:v>9.0108374194819013E-2</c:v>
                </c:pt>
                <c:pt idx="7">
                  <c:v>0.20462591910290473</c:v>
                </c:pt>
                <c:pt idx="8">
                  <c:v>0.68331193395136236</c:v>
                </c:pt>
                <c:pt idx="9">
                  <c:v>1.3309015545882945</c:v>
                </c:pt>
                <c:pt idx="10">
                  <c:v>2.3030122886747364</c:v>
                </c:pt>
                <c:pt idx="11">
                  <c:v>3.5607453728641807</c:v>
                </c:pt>
                <c:pt idx="12">
                  <c:v>6.5979598912102011</c:v>
                </c:pt>
                <c:pt idx="13">
                  <c:v>9.6026076316532318</c:v>
                </c:pt>
                <c:pt idx="14">
                  <c:v>12.641728105619224</c:v>
                </c:pt>
                <c:pt idx="15">
                  <c:v>22.899012704199716</c:v>
                </c:pt>
                <c:pt idx="16">
                  <c:v>34.504689076674261</c:v>
                </c:pt>
                <c:pt idx="17">
                  <c:v>49.431837854702962</c:v>
                </c:pt>
                <c:pt idx="18">
                  <c:v>67.9183039815222</c:v>
                </c:pt>
                <c:pt idx="19">
                  <c:v>87.624450183877471</c:v>
                </c:pt>
                <c:pt idx="20">
                  <c:v>112.61152086611655</c:v>
                </c:pt>
                <c:pt idx="21">
                  <c:v>140.54493391353165</c:v>
                </c:pt>
                <c:pt idx="22">
                  <c:v>171.03787040832415</c:v>
                </c:pt>
                <c:pt idx="23">
                  <c:v>203.48236704920924</c:v>
                </c:pt>
                <c:pt idx="24">
                  <c:v>237.94197398733701</c:v>
                </c:pt>
                <c:pt idx="25">
                  <c:v>274.27399815114507</c:v>
                </c:pt>
                <c:pt idx="26">
                  <c:v>311.9706859989704</c:v>
                </c:pt>
                <c:pt idx="27">
                  <c:v>349.24678379486022</c:v>
                </c:pt>
                <c:pt idx="28">
                  <c:v>386.30336722561617</c:v>
                </c:pt>
                <c:pt idx="29">
                  <c:v>421.95360790598863</c:v>
                </c:pt>
                <c:pt idx="30">
                  <c:v>457.31023265407845</c:v>
                </c:pt>
                <c:pt idx="31">
                  <c:v>491.62856252624209</c:v>
                </c:pt>
                <c:pt idx="32">
                  <c:v>525.23438172136775</c:v>
                </c:pt>
                <c:pt idx="33">
                  <c:v>557.21766774257833</c:v>
                </c:pt>
                <c:pt idx="34">
                  <c:v>588.63246364006193</c:v>
                </c:pt>
                <c:pt idx="35">
                  <c:v>619.20971941476773</c:v>
                </c:pt>
              </c:numCache>
            </c:numRef>
          </c:val>
          <c:extLst>
            <c:ext xmlns:c16="http://schemas.microsoft.com/office/drawing/2014/chart" uri="{C3380CC4-5D6E-409C-BE32-E72D297353CC}">
              <c16:uniqueId val="{00000012-983B-47BD-93FC-900A7BA36D2B}"/>
            </c:ext>
          </c:extLst>
        </c:ser>
        <c:ser>
          <c:idx val="4"/>
          <c:order val="2"/>
          <c:tx>
            <c:strRef>
              <c:f>'Main graph Results'!$E$410</c:f>
              <c:strCache>
                <c:ptCount val="1"/>
                <c:pt idx="0">
                  <c:v>Petrol (Cars, LGVs, Motorcycles, Taxis)</c:v>
                </c:pt>
              </c:strCache>
            </c:strRef>
          </c:tx>
          <c:spPr>
            <a:solidFill>
              <a:srgbClr val="C02E1D"/>
            </a:solidFill>
            <a:ln>
              <a:noFill/>
            </a:ln>
          </c:spPr>
          <c:cat>
            <c:numRef>
              <c:f>'Main graph Results'!$J$407:$AS$407</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'Main graph Results'!$J$410:$AS$410</c:f>
              <c:numCache>
                <c:formatCode>General</c:formatCode>
                <c:ptCount val="36"/>
                <c:pt idx="0">
                  <c:v>3648.0498602697835</c:v>
                </c:pt>
                <c:pt idx="1">
                  <c:v>3580.0733139973204</c:v>
                </c:pt>
                <c:pt idx="2">
                  <c:v>3509.9409533162807</c:v>
                </c:pt>
                <c:pt idx="3">
                  <c:v>3500.0348783280756</c:v>
                </c:pt>
                <c:pt idx="4">
                  <c:v>3551.2205744062207</c:v>
                </c:pt>
                <c:pt idx="5">
                  <c:v>3527.6491536405151</c:v>
                </c:pt>
                <c:pt idx="6">
                  <c:v>3447.5530225293678</c:v>
                </c:pt>
                <c:pt idx="7">
                  <c:v>3343.8621317084248</c:v>
                </c:pt>
                <c:pt idx="8">
                  <c:v>3202.7409543394238</c:v>
                </c:pt>
                <c:pt idx="9">
                  <c:v>3063.1918152773746</c:v>
                </c:pt>
                <c:pt idx="10">
                  <c:v>2880.6552821357814</c:v>
                </c:pt>
                <c:pt idx="11">
                  <c:v>2685.4242092208801</c:v>
                </c:pt>
                <c:pt idx="12">
                  <c:v>2467.7285708906938</c:v>
                </c:pt>
                <c:pt idx="13">
                  <c:v>2247.1942454613604</c:v>
                </c:pt>
                <c:pt idx="14">
                  <c:v>2021.2770683609376</c:v>
                </c:pt>
                <c:pt idx="15">
                  <c:v>1788.514820107833</c:v>
                </c:pt>
                <c:pt idx="16">
                  <c:v>1558.3817901576022</c:v>
                </c:pt>
                <c:pt idx="17">
                  <c:v>1349.6124340539725</c:v>
                </c:pt>
                <c:pt idx="18">
                  <c:v>1152.0747843030301</c:v>
                </c:pt>
                <c:pt idx="19">
                  <c:v>975.46928131922209</c:v>
                </c:pt>
                <c:pt idx="20">
                  <c:v>806.3671784277775</c:v>
                </c:pt>
                <c:pt idx="21">
                  <c:v>658.70299394704296</c:v>
                </c:pt>
                <c:pt idx="22">
                  <c:v>531.06458729983603</c:v>
                </c:pt>
                <c:pt idx="23">
                  <c:v>426.08021679942277</c:v>
                </c:pt>
                <c:pt idx="24">
                  <c:v>337.0948869969875</c:v>
                </c:pt>
                <c:pt idx="25">
                  <c:v>264.84896985133025</c:v>
                </c:pt>
                <c:pt idx="26">
                  <c:v>211.95900252493146</c:v>
                </c:pt>
                <c:pt idx="27">
                  <c:v>167.94045430491957</c:v>
                </c:pt>
                <c:pt idx="28">
                  <c:v>131.80889783045271</c:v>
                </c:pt>
                <c:pt idx="29">
                  <c:v>102.65769063199424</c:v>
                </c:pt>
                <c:pt idx="30">
                  <c:v>78.479652890099004</c:v>
                </c:pt>
                <c:pt idx="31">
                  <c:v>58.843600167319565</c:v>
                </c:pt>
                <c:pt idx="32">
                  <c:v>42.961602700731994</c:v>
                </c:pt>
                <c:pt idx="33">
                  <c:v>29.881578859110352</c:v>
                </c:pt>
                <c:pt idx="34">
                  <c:v>19.40952816043475</c:v>
                </c:pt>
                <c:pt idx="35">
                  <c:v>10.883221901220139</c:v>
                </c:pt>
              </c:numCache>
            </c:numRef>
          </c:val>
          <c:extLst>
            <c:ext xmlns:c16="http://schemas.microsoft.com/office/drawing/2014/chart" uri="{C3380CC4-5D6E-409C-BE32-E72D297353CC}">
              <c16:uniqueId val="{00000014-983B-47BD-93FC-900A7BA36D2B}"/>
            </c:ext>
          </c:extLst>
        </c:ser>
        <c:ser>
          <c:idx val="6"/>
          <c:order val="3"/>
          <c:tx>
            <c:strRef>
              <c:f>'Main graph Results'!$E$411</c:f>
              <c:strCache>
                <c:ptCount val="1"/>
                <c:pt idx="0">
                  <c:v>Diesel (Cars, LGVs, Motorcycles, Taxis)</c:v>
                </c:pt>
              </c:strCache>
            </c:strRef>
          </c:tx>
          <c:spPr>
            <a:blipFill>
              <a:blip xmlns:r="http://schemas.openxmlformats.org/officeDocument/2006/relationships" r:embed="rId1"/>
              <a:stretch>
                <a:fillRect/>
              </a:stretch>
            </a:blipFill>
            <a:ln>
              <a:noFill/>
            </a:ln>
          </c:spPr>
          <c:cat>
            <c:numRef>
              <c:f>'Main graph Results'!$J$407:$AS$407</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'Main graph Results'!$J$411:$AS$411</c:f>
              <c:numCache>
                <c:formatCode>General</c:formatCode>
                <c:ptCount val="36"/>
                <c:pt idx="0">
                  <c:v>3662.5203548250729</c:v>
                </c:pt>
                <c:pt idx="1">
                  <c:v>3763.2810063631214</c:v>
                </c:pt>
                <c:pt idx="2">
                  <c:v>3793.0874571565405</c:v>
                </c:pt>
                <c:pt idx="3">
                  <c:v>3748.649686274252</c:v>
                </c:pt>
                <c:pt idx="4">
                  <c:v>3610.3609754888193</c:v>
                </c:pt>
                <c:pt idx="5">
                  <c:v>3396.9372157710304</c:v>
                </c:pt>
                <c:pt idx="6">
                  <c:v>3336.7055585586841</c:v>
                </c:pt>
                <c:pt idx="7">
                  <c:v>3186.5241597185263</c:v>
                </c:pt>
                <c:pt idx="8">
                  <c:v>3008.1922764101569</c:v>
                </c:pt>
                <c:pt idx="9">
                  <c:v>2824.5295417679367</c:v>
                </c:pt>
                <c:pt idx="10">
                  <c:v>2615.3907017234778</c:v>
                </c:pt>
                <c:pt idx="11">
                  <c:v>2397.464937030697</c:v>
                </c:pt>
                <c:pt idx="12">
                  <c:v>2139.1638410029859</c:v>
                </c:pt>
                <c:pt idx="13">
                  <c:v>1884.9456777968962</c:v>
                </c:pt>
                <c:pt idx="14">
                  <c:v>1638.2545210235262</c:v>
                </c:pt>
                <c:pt idx="15">
                  <c:v>1382.2428015397106</c:v>
                </c:pt>
                <c:pt idx="16">
                  <c:v>1155.5289416098913</c:v>
                </c:pt>
                <c:pt idx="17">
                  <c:v>954.3310053252502</c:v>
                </c:pt>
                <c:pt idx="18">
                  <c:v>775.92497337491091</c:v>
                </c:pt>
                <c:pt idx="19">
                  <c:v>629.82000873248774</c:v>
                </c:pt>
                <c:pt idx="20">
                  <c:v>504.61901023305637</c:v>
                </c:pt>
                <c:pt idx="21">
                  <c:v>398.4556474363232</c:v>
                </c:pt>
                <c:pt idx="22">
                  <c:v>309.46229372822893</c:v>
                </c:pt>
                <c:pt idx="23">
                  <c:v>236.76941423871583</c:v>
                </c:pt>
                <c:pt idx="24">
                  <c:v>177.85412087164491</c:v>
                </c:pt>
                <c:pt idx="25">
                  <c:v>131.34750929183494</c:v>
                </c:pt>
                <c:pt idx="26">
                  <c:v>95.802390577152423</c:v>
                </c:pt>
                <c:pt idx="27">
                  <c:v>68.601722851724503</c:v>
                </c:pt>
                <c:pt idx="28">
                  <c:v>48.47272809646455</c:v>
                </c:pt>
                <c:pt idx="29">
                  <c:v>33.803089123166771</c:v>
                </c:pt>
                <c:pt idx="30">
                  <c:v>23.437313538378433</c:v>
                </c:pt>
                <c:pt idx="31">
                  <c:v>15.974806122251627</c:v>
                </c:pt>
                <c:pt idx="32">
                  <c:v>10.695634899927109</c:v>
                </c:pt>
                <c:pt idx="33">
                  <c:v>6.890621828053721</c:v>
                </c:pt>
                <c:pt idx="34">
                  <c:v>3.9781680539554176</c:v>
                </c:pt>
                <c:pt idx="35">
                  <c:v>1.7313010148072796</c:v>
                </c:pt>
              </c:numCache>
            </c:numRef>
          </c:val>
          <c:extLst>
            <c:ext xmlns:c16="http://schemas.microsoft.com/office/drawing/2014/chart" uri="{C3380CC4-5D6E-409C-BE32-E72D297353CC}">
              <c16:uniqueId val="{00000016-983B-47BD-93FC-900A7BA36D2B}"/>
            </c:ext>
          </c:extLst>
        </c:ser>
        <c:ser>
          <c:idx val="5"/>
          <c:order val="4"/>
          <c:tx>
            <c:strRef>
              <c:f>'Main graph Results'!$E$412</c:f>
              <c:strCache>
                <c:ptCount val="1"/>
                <c:pt idx="0">
                  <c:v>HGVs - hydrogen</c:v>
                </c:pt>
              </c:strCache>
            </c:strRef>
          </c:tx>
          <c:spPr>
            <a:solidFill>
              <a:srgbClr val="D94E1F"/>
            </a:solidFill>
            <a:ln>
              <a:noFill/>
            </a:ln>
          </c:spPr>
          <c:cat>
            <c:numRef>
              <c:f>'Main graph Results'!$J$407:$AS$407</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'Main graph Results'!$J$412:$AS$412</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1.063737153327859</c:v>
                </c:pt>
                <c:pt idx="12">
                  <c:v>2.1314071167792341</c:v>
                </c:pt>
                <c:pt idx="13">
                  <c:v>3.2087165737292498</c:v>
                </c:pt>
                <c:pt idx="14">
                  <c:v>4.2861210334478637</c:v>
                </c:pt>
                <c:pt idx="15">
                  <c:v>5.3769467648462381</c:v>
                </c:pt>
                <c:pt idx="16">
                  <c:v>9.1092960272889041</c:v>
                </c:pt>
                <c:pt idx="17">
                  <c:v>12.844059971440538</c:v>
                </c:pt>
                <c:pt idx="18">
                  <c:v>16.581238597301141</c:v>
                </c:pt>
                <c:pt idx="19">
                  <c:v>20.320831904870705</c:v>
                </c:pt>
                <c:pt idx="20">
                  <c:v>24.1199900703635</c:v>
                </c:pt>
                <c:pt idx="21">
                  <c:v>28.665467711287498</c:v>
                </c:pt>
                <c:pt idx="22">
                  <c:v>33.213360033920466</c:v>
                </c:pt>
                <c:pt idx="23">
                  <c:v>37.763667038262398</c:v>
                </c:pt>
                <c:pt idx="24">
                  <c:v>42.316388724313292</c:v>
                </c:pt>
                <c:pt idx="25">
                  <c:v>46.990587959186186</c:v>
                </c:pt>
                <c:pt idx="26">
                  <c:v>48.845266380297311</c:v>
                </c:pt>
                <c:pt idx="27">
                  <c:v>50.699944801408435</c:v>
                </c:pt>
                <c:pt idx="28">
                  <c:v>52.554623222519567</c:v>
                </c:pt>
                <c:pt idx="29">
                  <c:v>54.409301643630684</c:v>
                </c:pt>
                <c:pt idx="30">
                  <c:v>56.263980064741801</c:v>
                </c:pt>
                <c:pt idx="31">
                  <c:v>55.973973301611196</c:v>
                </c:pt>
                <c:pt idx="32">
                  <c:v>55.683877922008939</c:v>
                </c:pt>
                <c:pt idx="33">
                  <c:v>55.393693925935068</c:v>
                </c:pt>
                <c:pt idx="34">
                  <c:v>55.103421313389561</c:v>
                </c:pt>
                <c:pt idx="35">
                  <c:v>54.813060084372431</c:v>
                </c:pt>
              </c:numCache>
            </c:numRef>
          </c:val>
          <c:extLst>
            <c:ext xmlns:c16="http://schemas.microsoft.com/office/drawing/2014/chart" uri="{C3380CC4-5D6E-409C-BE32-E72D297353CC}">
              <c16:uniqueId val="{00000018-983B-47BD-93FC-900A7BA36D2B}"/>
            </c:ext>
          </c:extLst>
        </c:ser>
        <c:ser>
          <c:idx val="10"/>
          <c:order val="5"/>
          <c:tx>
            <c:strRef>
              <c:f>'Main graph Results'!$E$413</c:f>
              <c:strCache>
                <c:ptCount val="1"/>
                <c:pt idx="0">
                  <c:v>HGVs - diesel</c:v>
                </c:pt>
              </c:strCache>
            </c:strRef>
          </c:tx>
          <c:spPr>
            <a:blipFill>
              <a:blip xmlns:r="http://schemas.openxmlformats.org/officeDocument/2006/relationships" r:embed="rId2"/>
              <a:stretch>
                <a:fillRect/>
              </a:stretch>
            </a:blipFill>
          </c:spPr>
          <c:cat>
            <c:numRef>
              <c:f>'Main graph Results'!$J$407:$AS$407</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'Main graph Results'!$J$413:$AS$413</c:f>
              <c:numCache>
                <c:formatCode>General</c:formatCode>
                <c:ptCount val="36"/>
                <c:pt idx="0">
                  <c:v>395.47956789801282</c:v>
                </c:pt>
                <c:pt idx="1">
                  <c:v>398.02511583206137</c:v>
                </c:pt>
                <c:pt idx="2">
                  <c:v>396.80404991922705</c:v>
                </c:pt>
                <c:pt idx="3">
                  <c:v>395.33021951653359</c:v>
                </c:pt>
                <c:pt idx="4">
                  <c:v>393.81888529847419</c:v>
                </c:pt>
                <c:pt idx="5">
                  <c:v>392.26903646626772</c:v>
                </c:pt>
                <c:pt idx="6">
                  <c:v>394.03124674523542</c:v>
                </c:pt>
                <c:pt idx="7">
                  <c:v>395.32549729500107</c:v>
                </c:pt>
                <c:pt idx="8">
                  <c:v>397.10300110672546</c:v>
                </c:pt>
                <c:pt idx="9">
                  <c:v>398.41213393879764</c:v>
                </c:pt>
                <c:pt idx="10">
                  <c:v>399.72879323694036</c:v>
                </c:pt>
                <c:pt idx="11">
                  <c:v>396.16976196217388</c:v>
                </c:pt>
                <c:pt idx="12">
                  <c:v>392.11239704634903</c:v>
                </c:pt>
                <c:pt idx="13">
                  <c:v>388.48445242087138</c:v>
                </c:pt>
                <c:pt idx="14">
                  <c:v>384.37567538322605</c:v>
                </c:pt>
                <c:pt idx="15">
                  <c:v>380.67899142053056</c:v>
                </c:pt>
                <c:pt idx="16">
                  <c:v>357.19616923453088</c:v>
                </c:pt>
                <c:pt idx="17">
                  <c:v>333.68195618631472</c:v>
                </c:pt>
                <c:pt idx="18">
                  <c:v>310.1363522758819</c:v>
                </c:pt>
                <c:pt idx="19">
                  <c:v>286.5593575032326</c:v>
                </c:pt>
                <c:pt idx="20">
                  <c:v>263.21291017601544</c:v>
                </c:pt>
                <c:pt idx="21">
                  <c:v>233.76824584338317</c:v>
                </c:pt>
                <c:pt idx="22">
                  <c:v>204.28132458084391</c:v>
                </c:pt>
                <c:pt idx="23">
                  <c:v>174.75214638839779</c:v>
                </c:pt>
                <c:pt idx="24">
                  <c:v>145.18071126604465</c:v>
                </c:pt>
                <c:pt idx="25">
                  <c:v>115.64321944873699</c:v>
                </c:pt>
                <c:pt idx="26">
                  <c:v>98.607080555042572</c:v>
                </c:pt>
                <c:pt idx="27">
                  <c:v>81.568814866028973</c:v>
                </c:pt>
                <c:pt idx="28">
                  <c:v>64.528422381696231</c:v>
                </c:pt>
                <c:pt idx="29">
                  <c:v>47.485903102044304</c:v>
                </c:pt>
                <c:pt idx="30">
                  <c:v>30.441257027073174</c:v>
                </c:pt>
                <c:pt idx="31">
                  <c:v>24.910688236576583</c:v>
                </c:pt>
                <c:pt idx="32">
                  <c:v>19.379321897835307</c:v>
                </c:pt>
                <c:pt idx="33">
                  <c:v>13.847158010849334</c:v>
                </c:pt>
                <c:pt idx="34">
                  <c:v>8.3141965756186771</c:v>
                </c:pt>
                <c:pt idx="35">
                  <c:v>2.7804375921433313</c:v>
                </c:pt>
              </c:numCache>
            </c:numRef>
          </c:val>
          <c:extLst>
            <c:ext xmlns:c16="http://schemas.microsoft.com/office/drawing/2014/chart" uri="{C3380CC4-5D6E-409C-BE32-E72D297353CC}">
              <c16:uniqueId val="{0000001A-983B-47BD-93FC-900A7BA36D2B}"/>
            </c:ext>
          </c:extLst>
        </c:ser>
        <c:ser>
          <c:idx val="8"/>
          <c:order val="6"/>
          <c:tx>
            <c:strRef>
              <c:f>'Main graph Results'!$E$414</c:f>
              <c:strCache>
                <c:ptCount val="1"/>
                <c:pt idx="0">
                  <c:v>HGVs - electricity</c:v>
                </c:pt>
              </c:strCache>
            </c:strRef>
          </c:tx>
          <c:spPr>
            <a:blipFill>
              <a:blip xmlns:r="http://schemas.openxmlformats.org/officeDocument/2006/relationships" r:embed="rId3"/>
              <a:stretch>
                <a:fillRect/>
              </a:stretch>
            </a:blipFill>
            <a:ln>
              <a:noFill/>
            </a:ln>
          </c:spPr>
          <c:cat>
            <c:numRef>
              <c:f>'Main graph Results'!$J$407:$AS$407</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'Main graph Results'!$J$414:$AS$414</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4.5348372960874928</c:v>
                </c:pt>
                <c:pt idx="12">
                  <c:v>9.0897783963713099</c:v>
                </c:pt>
                <c:pt idx="13">
                  <c:v>13.684784995430523</c:v>
                </c:pt>
                <c:pt idx="14">
                  <c:v>18.286439474565508</c:v>
                </c:pt>
                <c:pt idx="15">
                  <c:v>22.941371665447491</c:v>
                </c:pt>
                <c:pt idx="16">
                  <c:v>42.446486752536188</c:v>
                </c:pt>
                <c:pt idx="17">
                  <c:v>61.97937067927802</c:v>
                </c:pt>
                <c:pt idx="18">
                  <c:v>81.540023445672958</c:v>
                </c:pt>
                <c:pt idx="19">
                  <c:v>101.12844505172103</c:v>
                </c:pt>
                <c:pt idx="20">
                  <c:v>120.90179848201142</c:v>
                </c:pt>
                <c:pt idx="21">
                  <c:v>146.10282038734059</c:v>
                </c:pt>
                <c:pt idx="22">
                  <c:v>171.34368454086777</c:v>
                </c:pt>
                <c:pt idx="23">
                  <c:v>196.6243909425929</c:v>
                </c:pt>
                <c:pt idx="24">
                  <c:v>221.94493959251594</c:v>
                </c:pt>
                <c:pt idx="25">
                  <c:v>247.58631885702368</c:v>
                </c:pt>
                <c:pt idx="26">
                  <c:v>262.78993344751507</c:v>
                </c:pt>
                <c:pt idx="27">
                  <c:v>277.99567483332555</c:v>
                </c:pt>
                <c:pt idx="28">
                  <c:v>293.20354301445531</c:v>
                </c:pt>
                <c:pt idx="29">
                  <c:v>308.41353799090416</c:v>
                </c:pt>
                <c:pt idx="30">
                  <c:v>323.62565976267217</c:v>
                </c:pt>
                <c:pt idx="31">
                  <c:v>329.46838943420732</c:v>
                </c:pt>
                <c:pt idx="32">
                  <c:v>335.31200527045894</c:v>
                </c:pt>
                <c:pt idx="33">
                  <c:v>341.15650727142679</c:v>
                </c:pt>
                <c:pt idx="34">
                  <c:v>347.00189543711105</c:v>
                </c:pt>
                <c:pt idx="35">
                  <c:v>352.84816976751154</c:v>
                </c:pt>
              </c:numCache>
            </c:numRef>
          </c:val>
          <c:extLst>
            <c:ext xmlns:c16="http://schemas.microsoft.com/office/drawing/2014/chart" uri="{C3380CC4-5D6E-409C-BE32-E72D297353CC}">
              <c16:uniqueId val="{0000001C-983B-47BD-93FC-900A7BA36D2B}"/>
            </c:ext>
          </c:extLst>
        </c:ser>
        <c:ser>
          <c:idx val="11"/>
          <c:order val="7"/>
          <c:tx>
            <c:strRef>
              <c:f>'Main graph Results'!$E$415</c:f>
              <c:strCache>
                <c:ptCount val="1"/>
                <c:pt idx="0">
                  <c:v>Buses - hydrogen</c:v>
                </c:pt>
              </c:strCache>
            </c:strRef>
          </c:tx>
          <c:spPr>
            <a:ln w="25400">
              <a:noFill/>
            </a:ln>
          </c:spPr>
          <c:cat>
            <c:numRef>
              <c:f>'Main graph Results'!$J$407:$AS$407</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'Main graph Results'!$J$415:$AS$415</c:f>
              <c:numCache>
                <c:formatCode>General</c:formatCode>
                <c:ptCount val="36"/>
                <c:pt idx="0">
                  <c:v>0</c:v>
                </c:pt>
                <c:pt idx="1">
                  <c:v>0</c:v>
                </c:pt>
                <c:pt idx="2">
                  <c:v>0</c:v>
                </c:pt>
                <c:pt idx="3">
                  <c:v>0</c:v>
                </c:pt>
                <c:pt idx="4">
                  <c:v>0</c:v>
                </c:pt>
                <c:pt idx="5">
                  <c:v>0</c:v>
                </c:pt>
                <c:pt idx="6">
                  <c:v>0.30448440345502226</c:v>
                </c:pt>
                <c:pt idx="7">
                  <c:v>0.30473591194506272</c:v>
                </c:pt>
                <c:pt idx="8">
                  <c:v>0.30499168609484339</c:v>
                </c:pt>
                <c:pt idx="9">
                  <c:v>0.30525183535281453</c:v>
                </c:pt>
                <c:pt idx="10">
                  <c:v>0.30551647294403628</c:v>
                </c:pt>
                <c:pt idx="11">
                  <c:v>1.6331234266385004</c:v>
                </c:pt>
                <c:pt idx="12">
                  <c:v>2.6565018037022394</c:v>
                </c:pt>
                <c:pt idx="13">
                  <c:v>3.9864184448358353</c:v>
                </c:pt>
                <c:pt idx="14">
                  <c:v>5.3174303449444791</c:v>
                </c:pt>
                <c:pt idx="15">
                  <c:v>6.6495258285633616</c:v>
                </c:pt>
                <c:pt idx="16">
                  <c:v>8.5582384594777619</c:v>
                </c:pt>
                <c:pt idx="17">
                  <c:v>10.470883583044483</c:v>
                </c:pt>
                <c:pt idx="18">
                  <c:v>12.387461199263521</c:v>
                </c:pt>
                <c:pt idx="19">
                  <c:v>14.307971308134885</c:v>
                </c:pt>
                <c:pt idx="20">
                  <c:v>16.232413909658572</c:v>
                </c:pt>
                <c:pt idx="21">
                  <c:v>17.778456603753849</c:v>
                </c:pt>
                <c:pt idx="22">
                  <c:v>19.327645291970985</c:v>
                </c:pt>
                <c:pt idx="23">
                  <c:v>20.879979974309975</c:v>
                </c:pt>
                <c:pt idx="24">
                  <c:v>22.435460650770825</c:v>
                </c:pt>
                <c:pt idx="25">
                  <c:v>23.99408732135354</c:v>
                </c:pt>
                <c:pt idx="26">
                  <c:v>24.76457728782427</c:v>
                </c:pt>
                <c:pt idx="27">
                  <c:v>25.535233404508176</c:v>
                </c:pt>
                <c:pt idx="28">
                  <c:v>26.306055671405254</c:v>
                </c:pt>
                <c:pt idx="29">
                  <c:v>27.077044088515507</c:v>
                </c:pt>
                <c:pt idx="30">
                  <c:v>27.848198655838925</c:v>
                </c:pt>
                <c:pt idx="31">
                  <c:v>27.659132817221977</c:v>
                </c:pt>
                <c:pt idx="32">
                  <c:v>27.470025441051746</c:v>
                </c:pt>
                <c:pt idx="33">
                  <c:v>27.280876527328211</c:v>
                </c:pt>
                <c:pt idx="34">
                  <c:v>27.091686076051385</c:v>
                </c:pt>
                <c:pt idx="35">
                  <c:v>26.902454087221273</c:v>
                </c:pt>
              </c:numCache>
            </c:numRef>
          </c:val>
          <c:extLst>
            <c:ext xmlns:c16="http://schemas.microsoft.com/office/drawing/2014/chart" uri="{C3380CC4-5D6E-409C-BE32-E72D297353CC}">
              <c16:uniqueId val="{0000001E-983B-47BD-93FC-900A7BA36D2B}"/>
            </c:ext>
          </c:extLst>
        </c:ser>
        <c:ser>
          <c:idx val="12"/>
          <c:order val="8"/>
          <c:tx>
            <c:strRef>
              <c:f>'Main graph Results'!$E$416</c:f>
              <c:strCache>
                <c:ptCount val="1"/>
                <c:pt idx="0">
                  <c:v>Buses - diesel</c:v>
                </c:pt>
              </c:strCache>
            </c:strRef>
          </c:tx>
          <c:spPr>
            <a:ln w="25400">
              <a:noFill/>
            </a:ln>
          </c:spPr>
          <c:cat>
            <c:numRef>
              <c:f>'Main graph Results'!$J$407:$AS$407</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'Main graph Results'!$J$416:$AS$416</c:f>
              <c:numCache>
                <c:formatCode>General</c:formatCode>
                <c:ptCount val="36"/>
                <c:pt idx="0">
                  <c:v>229.96252713769371</c:v>
                </c:pt>
                <c:pt idx="1">
                  <c:v>231.44270635143985</c:v>
                </c:pt>
                <c:pt idx="2">
                  <c:v>230.73268382205984</c:v>
                </c:pt>
                <c:pt idx="3">
                  <c:v>229.87568439279178</c:v>
                </c:pt>
                <c:pt idx="4">
                  <c:v>228.9968773333479</c:v>
                </c:pt>
                <c:pt idx="5">
                  <c:v>222.92581401861105</c:v>
                </c:pt>
                <c:pt idx="6">
                  <c:v>219.89489176462078</c:v>
                </c:pt>
                <c:pt idx="7">
                  <c:v>207.95421338874547</c:v>
                </c:pt>
                <c:pt idx="8">
                  <c:v>193.2536724666989</c:v>
                </c:pt>
                <c:pt idx="9">
                  <c:v>178.52959899645094</c:v>
                </c:pt>
                <c:pt idx="10">
                  <c:v>163.78141055700067</c:v>
                </c:pt>
                <c:pt idx="11">
                  <c:v>145.77353713010535</c:v>
                </c:pt>
                <c:pt idx="12">
                  <c:v>128.07563692730005</c:v>
                </c:pt>
                <c:pt idx="13">
                  <c:v>110.07706217210028</c:v>
                </c:pt>
                <c:pt idx="14">
                  <c:v>92.083377009389807</c:v>
                </c:pt>
                <c:pt idx="15">
                  <c:v>74.094716375420305</c:v>
                </c:pt>
                <c:pt idx="16">
                  <c:v>68.465907675822066</c:v>
                </c:pt>
                <c:pt idx="17">
                  <c:v>62.825301498266874</c:v>
                </c:pt>
                <c:pt idx="18">
                  <c:v>57.172897842754708</c:v>
                </c:pt>
                <c:pt idx="19">
                  <c:v>51.508696709285566</c:v>
                </c:pt>
                <c:pt idx="20">
                  <c:v>45.832698097859492</c:v>
                </c:pt>
                <c:pt idx="21">
                  <c:v>40.718400608597527</c:v>
                </c:pt>
                <c:pt idx="22">
                  <c:v>35.59348538917429</c:v>
                </c:pt>
                <c:pt idx="23">
                  <c:v>30.457952439589789</c:v>
                </c:pt>
                <c:pt idx="24">
                  <c:v>25.311801759844013</c:v>
                </c:pt>
                <c:pt idx="25">
                  <c:v>20.155033349936975</c:v>
                </c:pt>
                <c:pt idx="26">
                  <c:v>17.277612061272745</c:v>
                </c:pt>
                <c:pt idx="27">
                  <c:v>14.399567709309121</c:v>
                </c:pt>
                <c:pt idx="28">
                  <c:v>11.520900294046093</c:v>
                </c:pt>
                <c:pt idx="29">
                  <c:v>8.6416098154836707</c:v>
                </c:pt>
                <c:pt idx="30">
                  <c:v>5.7616962736218476</c:v>
                </c:pt>
                <c:pt idx="31">
                  <c:v>4.8019327807677055</c:v>
                </c:pt>
                <c:pt idx="32">
                  <c:v>3.8419616001470982</c:v>
                </c:pt>
                <c:pt idx="33">
                  <c:v>2.8817827317600235</c:v>
                </c:pt>
                <c:pt idx="34">
                  <c:v>1.9213961756064823</c:v>
                </c:pt>
                <c:pt idx="35">
                  <c:v>0.96080193168647399</c:v>
                </c:pt>
              </c:numCache>
            </c:numRef>
          </c:val>
          <c:extLst>
            <c:ext xmlns:c16="http://schemas.microsoft.com/office/drawing/2014/chart" uri="{C3380CC4-5D6E-409C-BE32-E72D297353CC}">
              <c16:uniqueId val="{00000020-983B-47BD-93FC-900A7BA36D2B}"/>
            </c:ext>
          </c:extLst>
        </c:ser>
        <c:ser>
          <c:idx val="13"/>
          <c:order val="9"/>
          <c:tx>
            <c:strRef>
              <c:f>'Main graph Results'!$E$417</c:f>
              <c:strCache>
                <c:ptCount val="1"/>
                <c:pt idx="0">
                  <c:v>Buses - electricity</c:v>
                </c:pt>
              </c:strCache>
            </c:strRef>
          </c:tx>
          <c:spPr>
            <a:ln w="25400">
              <a:noFill/>
            </a:ln>
          </c:spPr>
          <c:val>
            <c:numRef>
              <c:f>'Main graph Results'!$J$417:$AS$417</c:f>
              <c:numCache>
                <c:formatCode>General</c:formatCode>
                <c:ptCount val="36"/>
                <c:pt idx="0">
                  <c:v>2.7561701530568303</c:v>
                </c:pt>
                <c:pt idx="1">
                  <c:v>2.7739105467674081</c:v>
                </c:pt>
                <c:pt idx="2">
                  <c:v>2.7654007128921547</c:v>
                </c:pt>
                <c:pt idx="3">
                  <c:v>2.75512931660192</c:v>
                </c:pt>
                <c:pt idx="4">
                  <c:v>2.7445965492955113</c:v>
                </c:pt>
                <c:pt idx="5">
                  <c:v>5.1698608682238065</c:v>
                </c:pt>
                <c:pt idx="6">
                  <c:v>8.1766798913578818</c:v>
                </c:pt>
                <c:pt idx="7">
                  <c:v>23.139917225397582</c:v>
                </c:pt>
                <c:pt idx="8">
                  <c:v>38.129517111155813</c:v>
                </c:pt>
                <c:pt idx="9">
                  <c:v>53.146129600705585</c:v>
                </c:pt>
                <c:pt idx="10">
                  <c:v>68.190427176707274</c:v>
                </c:pt>
                <c:pt idx="11">
                  <c:v>84.682993348888658</c:v>
                </c:pt>
                <c:pt idx="12">
                  <c:v>101.16905979596137</c:v>
                </c:pt>
                <c:pt idx="13">
                  <c:v>117.64850131469377</c:v>
                </c:pt>
                <c:pt idx="14">
                  <c:v>134.12119051926413</c:v>
                </c:pt>
                <c:pt idx="15">
                  <c:v>150.58699779349263</c:v>
                </c:pt>
                <c:pt idx="16">
                  <c:v>154.40442305554166</c:v>
                </c:pt>
                <c:pt idx="17">
                  <c:v>158.22971330289525</c:v>
                </c:pt>
                <c:pt idx="18">
                  <c:v>162.06286853555358</c:v>
                </c:pt>
                <c:pt idx="19">
                  <c:v>165.90388875351653</c:v>
                </c:pt>
                <c:pt idx="20">
                  <c:v>169.75277395678407</c:v>
                </c:pt>
                <c:pt idx="21">
                  <c:v>173.60952414535626</c:v>
                </c:pt>
                <c:pt idx="22">
                  <c:v>177.4741393192331</c:v>
                </c:pt>
                <c:pt idx="23">
                  <c:v>181.34661947841465</c:v>
                </c:pt>
                <c:pt idx="24">
                  <c:v>185.22696462290077</c:v>
                </c:pt>
                <c:pt idx="25">
                  <c:v>189.11517475269159</c:v>
                </c:pt>
                <c:pt idx="26">
                  <c:v>191.23249046320842</c:v>
                </c:pt>
                <c:pt idx="27">
                  <c:v>193.35026308681145</c:v>
                </c:pt>
                <c:pt idx="28">
                  <c:v>195.46849262350074</c:v>
                </c:pt>
                <c:pt idx="29">
                  <c:v>197.58717907327622</c:v>
                </c:pt>
                <c:pt idx="30">
                  <c:v>199.70632243613795</c:v>
                </c:pt>
                <c:pt idx="31">
                  <c:v>200.86553615593235</c:v>
                </c:pt>
                <c:pt idx="32">
                  <c:v>202.02499910104655</c:v>
                </c:pt>
                <c:pt idx="33">
                  <c:v>203.18471127148047</c:v>
                </c:pt>
                <c:pt idx="34">
                  <c:v>204.34467266723414</c:v>
                </c:pt>
                <c:pt idx="35">
                  <c:v>205.50488328830758</c:v>
                </c:pt>
              </c:numCache>
            </c:numRef>
          </c:val>
          <c:extLst>
            <c:ext xmlns:c16="http://schemas.microsoft.com/office/drawing/2014/chart" uri="{C3380CC4-5D6E-409C-BE32-E72D297353CC}">
              <c16:uniqueId val="{00000000-9E81-4F49-82CF-737C9EAA0950}"/>
            </c:ext>
          </c:extLst>
        </c:ser>
        <c:ser>
          <c:idx val="0"/>
          <c:order val="10"/>
          <c:tx>
            <c:strRef>
              <c:f>'Main graph Results'!$E$418</c:f>
              <c:strCache>
                <c:ptCount val="1"/>
              </c:strCache>
            </c:strRef>
          </c:tx>
          <c:spPr>
            <a:ln w="25400">
              <a:noFill/>
            </a:ln>
          </c:spPr>
          <c:cat>
            <c:numRef>
              <c:f>'Main graph Results'!$J$407:$AS$407</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'Main graph Results'!$J$418:$AS$418</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numCache>
            </c:numRef>
          </c:val>
          <c:extLst>
            <c:ext xmlns:c16="http://schemas.microsoft.com/office/drawing/2014/chart" uri="{C3380CC4-5D6E-409C-BE32-E72D297353CC}">
              <c16:uniqueId val="{00000024-983B-47BD-93FC-900A7BA36D2B}"/>
            </c:ext>
          </c:extLst>
        </c:ser>
        <c:ser>
          <c:idx val="1"/>
          <c:order val="11"/>
          <c:tx>
            <c:strRef>
              <c:f>'Main graph Results'!$E$419</c:f>
              <c:strCache>
                <c:ptCount val="1"/>
              </c:strCache>
            </c:strRef>
          </c:tx>
          <c:cat>
            <c:numRef>
              <c:f>'Main graph Results'!$J$407:$AS$407</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'Main graph Results'!$J$419:$AS$419</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numCache>
            </c:numRef>
          </c:val>
          <c:extLst>
            <c:ext xmlns:c16="http://schemas.microsoft.com/office/drawing/2014/chart" uri="{C3380CC4-5D6E-409C-BE32-E72D297353CC}">
              <c16:uniqueId val="{00000025-983B-47BD-93FC-900A7BA36D2B}"/>
            </c:ext>
          </c:extLst>
        </c:ser>
        <c:ser>
          <c:idx val="7"/>
          <c:order val="12"/>
          <c:tx>
            <c:strRef>
              <c:f>'Main graph Results'!$E$420</c:f>
              <c:strCache>
                <c:ptCount val="1"/>
              </c:strCache>
            </c:strRef>
          </c:tx>
          <c:spPr>
            <a:ln w="25400"/>
          </c:spPr>
          <c:cat>
            <c:numRef>
              <c:f>'Main graph Results'!$J$407:$AS$407</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'Main graph Results'!$J$420:$AS$420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numCache>
            </c:numRef>
          </c:val>
          <c:extLst>
            <c:ext xmlns:c16="http://schemas.microsoft.com/office/drawing/2014/chart" uri="{C3380CC4-5D6E-409C-BE32-E72D297353CC}">
              <c16:uniqueId val="{00000026-983B-47BD-93FC-900A7BA36D2B}"/>
            </c:ext>
          </c:extLst>
        </c:ser>
        <c:ser>
          <c:idx val="9"/>
          <c:order val="13"/>
          <c:tx>
            <c:strRef>
              <c:f>'Main graph Results'!$E$421</c:f>
              <c:strCache>
                <c:ptCount val="1"/>
              </c:strCache>
            </c:strRef>
          </c:tx>
          <c:spPr>
            <a:ln w="25400"/>
          </c:spPr>
          <c:cat>
            <c:numRef>
              <c:f>'Main graph Results'!$J$407:$AS$407</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'Main graph Results'!$J$421:$AS$421</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numCache>
            </c:numRef>
          </c:val>
          <c:extLst>
            <c:ext xmlns:c16="http://schemas.microsoft.com/office/drawing/2014/chart" uri="{C3380CC4-5D6E-409C-BE32-E72D297353CC}">
              <c16:uniqueId val="{00000027-983B-47BD-93FC-900A7BA36D2B}"/>
            </c:ext>
          </c:extLst>
        </c:ser>
        <c:dLbls>
          <c:showLegendKey val="0"/>
          <c:showVal val="0"/>
          <c:showCatName val="0"/>
          <c:showSerName val="0"/>
          <c:showPercent val="0"/>
          <c:showBubbleSize val="0"/>
        </c:dLbls>
        <c:axId val="101495936"/>
        <c:axId val="101497472"/>
      </c:areaChart>
      <c:catAx>
        <c:axId val="101495936"/>
        <c:scaling>
          <c:orientation val="minMax"/>
        </c:scaling>
        <c:delete val="0"/>
        <c:axPos val="b"/>
        <c:numFmt formatCode="General" sourceLinked="1"/>
        <c:majorTickMark val="out"/>
        <c:minorTickMark val="none"/>
        <c:tickLblPos val="nextTo"/>
        <c:spPr>
          <a:ln w="12700">
            <a:solidFill>
              <a:schemeClr val="bg1">
                <a:lumMod val="85000"/>
              </a:schemeClr>
            </a:solidFill>
          </a:ln>
        </c:spPr>
        <c:txPr>
          <a:bodyPr rot="0" vert="horz"/>
          <a:lstStyle/>
          <a:p>
            <a:pPr>
              <a:defRPr/>
            </a:pPr>
            <a:endParaRPr lang="en-US"/>
          </a:p>
        </c:txPr>
        <c:crossAx val="101497472"/>
        <c:crosses val="autoZero"/>
        <c:auto val="1"/>
        <c:lblAlgn val="ctr"/>
        <c:lblOffset val="100"/>
        <c:tickLblSkip val="5"/>
        <c:noMultiLvlLbl val="0"/>
      </c:catAx>
      <c:valAx>
        <c:axId val="101497472"/>
        <c:scaling>
          <c:orientation val="minMax"/>
        </c:scaling>
        <c:delete val="0"/>
        <c:axPos val="l"/>
        <c:title>
          <c:tx>
            <c:strRef>
              <c:f>'Main graph Results'!$E$407</c:f>
              <c:strCache>
                <c:ptCount val="1"/>
                <c:pt idx="0">
                  <c:v>MILLIONS OF KM</c:v>
                </c:pt>
              </c:strCache>
            </c:strRef>
          </c:tx>
          <c:layout>
            <c:manualLayout>
              <c:xMode val="edge"/>
              <c:yMode val="edge"/>
              <c:x val="4.2285216278586677E-3"/>
              <c:y val="7.3919910885560406E-3"/>
            </c:manualLayout>
          </c:layout>
          <c:overlay val="0"/>
        </c:title>
        <c:numFmt formatCode="#,##0" sourceLinked="0"/>
        <c:majorTickMark val="none"/>
        <c:minorTickMark val="none"/>
        <c:tickLblPos val="nextTo"/>
        <c:spPr>
          <a:ln w="12700">
            <a:noFill/>
          </a:ln>
        </c:spPr>
        <c:crossAx val="101495936"/>
        <c:crosses val="autoZero"/>
        <c:crossBetween val="midCat"/>
      </c:valAx>
      <c:spPr>
        <a:noFill/>
      </c:spPr>
    </c:plotArea>
    <c:legend>
      <c:legendPos val="b"/>
      <c:layout>
        <c:manualLayout>
          <c:xMode val="edge"/>
          <c:yMode val="edge"/>
          <c:x val="8.8595196137385764E-4"/>
          <c:y val="0.85062621842194619"/>
          <c:w val="0.98340984668447495"/>
          <c:h val="0.14937385041072593"/>
        </c:manualLayout>
      </c:layout>
      <c:overlay val="0"/>
    </c:legend>
    <c:plotVisOnly val="1"/>
    <c:dispBlanksAs val="zero"/>
    <c:showDLblsOverMax val="0"/>
  </c:chart>
  <c:spPr>
    <a:noFill/>
    <a:ln>
      <a:noFill/>
    </a:ln>
  </c:spPr>
  <c:txPr>
    <a:bodyPr/>
    <a:lstStyle/>
    <a:p>
      <a:pPr>
        <a:defRPr sz="105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0967239971321055"/>
          <c:y val="7.2951848168265221E-2"/>
          <c:w val="0.54148710542369227"/>
          <c:h val="0.77204632646290738"/>
        </c:manualLayout>
      </c:layout>
      <c:lineChart>
        <c:grouping val="standard"/>
        <c:varyColors val="0"/>
        <c:ser>
          <c:idx val="0"/>
          <c:order val="0"/>
          <c:tx>
            <c:strRef>
              <c:f>'Jobs Results'!$C$28</c:f>
              <c:strCache>
                <c:ptCount val="1"/>
                <c:pt idx="0">
                  <c:v>Energy Efficiency</c:v>
                </c:pt>
              </c:strCache>
            </c:strRef>
          </c:tx>
          <c:marker>
            <c:symbol val="none"/>
          </c:marker>
          <c:cat>
            <c:numRef>
              <c:f>'Jobs Results'!$D$27:$AH$27</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'Jobs Results'!$D$28:$AH$28</c:f>
              <c:numCache>
                <c:formatCode>_-* #,##0_-;\-* #,##0_-;_-* "-"??_-;_-@_-</c:formatCode>
                <c:ptCount val="31"/>
                <c:pt idx="0">
                  <c:v>8.3566482398837874</c:v>
                </c:pt>
                <c:pt idx="1">
                  <c:v>14.03482631586882</c:v>
                </c:pt>
                <c:pt idx="2">
                  <c:v>18.591809237030688</c:v>
                </c:pt>
                <c:pt idx="3">
                  <c:v>24.984144099615634</c:v>
                </c:pt>
                <c:pt idx="4">
                  <c:v>29.959684843221396</c:v>
                </c:pt>
                <c:pt idx="5">
                  <c:v>31.663930623833227</c:v>
                </c:pt>
                <c:pt idx="6">
                  <c:v>29.006900514982664</c:v>
                </c:pt>
                <c:pt idx="7">
                  <c:v>23.937573452500612</c:v>
                </c:pt>
                <c:pt idx="8">
                  <c:v>18.326978706861507</c:v>
                </c:pt>
                <c:pt idx="9">
                  <c:v>12.904547800025359</c:v>
                </c:pt>
                <c:pt idx="10">
                  <c:v>8.2376345269084208</c:v>
                </c:pt>
                <c:pt idx="11">
                  <c:v>5.1360638909807674</c:v>
                </c:pt>
                <c:pt idx="12">
                  <c:v>3.2059486169169924</c:v>
                </c:pt>
                <c:pt idx="13">
                  <c:v>2.008286559671713</c:v>
                </c:pt>
                <c:pt idx="14">
                  <c:v>1.3762659617560176</c:v>
                </c:pt>
                <c:pt idx="15">
                  <c:v>0.83499537958868297</c:v>
                </c:pt>
                <c:pt idx="16">
                  <c:v>0.38292019585556725</c:v>
                </c:pt>
                <c:pt idx="17">
                  <c:v>2.1595027870864723E-2</c:v>
                </c:pt>
                <c:pt idx="18">
                  <c:v>1.9089948455733068E-2</c:v>
                </c:pt>
                <c:pt idx="19">
                  <c:v>1.7457922619716112E-2</c:v>
                </c:pt>
                <c:pt idx="20">
                  <c:v>1.5825896783720376E-2</c:v>
                </c:pt>
                <c:pt idx="21">
                  <c:v>1.5748394541950459E-2</c:v>
                </c:pt>
                <c:pt idx="22">
                  <c:v>1.5670892300169933E-2</c:v>
                </c:pt>
                <c:pt idx="23">
                  <c:v>1.559339005840002E-2</c:v>
                </c:pt>
                <c:pt idx="24">
                  <c:v>1.5515887816640711E-2</c:v>
                </c:pt>
                <c:pt idx="25">
                  <c:v>1.5438385574860186E-2</c:v>
                </c:pt>
                <c:pt idx="26">
                  <c:v>1.5360883333090269E-2</c:v>
                </c:pt>
                <c:pt idx="27">
                  <c:v>1.5283381091320356E-2</c:v>
                </c:pt>
                <c:pt idx="28">
                  <c:v>1.520587884953983E-2</c:v>
                </c:pt>
                <c:pt idx="29">
                  <c:v>1.5167127728646916E-2</c:v>
                </c:pt>
                <c:pt idx="30">
                  <c:v>1.512837660777345E-2</c:v>
                </c:pt>
              </c:numCache>
            </c:numRef>
          </c:val>
          <c:smooth val="1"/>
          <c:extLst>
            <c:ext xmlns:c16="http://schemas.microsoft.com/office/drawing/2014/chart" uri="{C3380CC4-5D6E-409C-BE32-E72D297353CC}">
              <c16:uniqueId val="{00000001-7A5D-4641-B542-C480F1817F78}"/>
            </c:ext>
          </c:extLst>
        </c:ser>
        <c:ser>
          <c:idx val="2"/>
          <c:order val="1"/>
          <c:tx>
            <c:strRef>
              <c:f>'Jobs Results'!$C$29</c:f>
              <c:strCache>
                <c:ptCount val="1"/>
                <c:pt idx="0">
                  <c:v>Heat Pumps</c:v>
                </c:pt>
              </c:strCache>
            </c:strRef>
          </c:tx>
          <c:marker>
            <c:symbol val="none"/>
          </c:marker>
          <c:cat>
            <c:numRef>
              <c:f>'Jobs Results'!$D$27:$AH$27</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'Jobs Results'!$D$29:$AH$29</c:f>
              <c:numCache>
                <c:formatCode>_-* #,##0_-;\-* #,##0_-;_-* "-"??_-;_-@_-</c:formatCode>
                <c:ptCount val="31"/>
                <c:pt idx="0">
                  <c:v>2.2948168852007638</c:v>
                </c:pt>
                <c:pt idx="1">
                  <c:v>2.9962194660785002</c:v>
                </c:pt>
                <c:pt idx="2">
                  <c:v>3.7877231767358523</c:v>
                </c:pt>
                <c:pt idx="3">
                  <c:v>5.1918314133470931</c:v>
                </c:pt>
                <c:pt idx="4">
                  <c:v>6.8259254192235446</c:v>
                </c:pt>
                <c:pt idx="5">
                  <c:v>8.4298888934767113</c:v>
                </c:pt>
                <c:pt idx="6">
                  <c:v>9.7842074532895342</c:v>
                </c:pt>
                <c:pt idx="7">
                  <c:v>10.768661029264402</c:v>
                </c:pt>
                <c:pt idx="8">
                  <c:v>11.508813677527865</c:v>
                </c:pt>
                <c:pt idx="9">
                  <c:v>11.684758731376336</c:v>
                </c:pt>
                <c:pt idx="10">
                  <c:v>11.49284054451652</c:v>
                </c:pt>
                <c:pt idx="11">
                  <c:v>11.302891415086467</c:v>
                </c:pt>
                <c:pt idx="12">
                  <c:v>11.112865814565279</c:v>
                </c:pt>
                <c:pt idx="13">
                  <c:v>11.000455486712763</c:v>
                </c:pt>
                <c:pt idx="14">
                  <c:v>11.081051784711736</c:v>
                </c:pt>
                <c:pt idx="15">
                  <c:v>10.814845717153069</c:v>
                </c:pt>
                <c:pt idx="16">
                  <c:v>10.148149914841706</c:v>
                </c:pt>
                <c:pt idx="17">
                  <c:v>8.6330505807916857</c:v>
                </c:pt>
                <c:pt idx="18">
                  <c:v>7.1314708303095218</c:v>
                </c:pt>
                <c:pt idx="19">
                  <c:v>5.7701351938319849</c:v>
                </c:pt>
                <c:pt idx="20">
                  <c:v>4.8933159494980298</c:v>
                </c:pt>
                <c:pt idx="21">
                  <c:v>4.4160260086224961</c:v>
                </c:pt>
                <c:pt idx="22">
                  <c:v>4.7869580535735494</c:v>
                </c:pt>
                <c:pt idx="23">
                  <c:v>5.0660375497609973</c:v>
                </c:pt>
                <c:pt idx="24">
                  <c:v>5.1088604467077383</c:v>
                </c:pt>
                <c:pt idx="25">
                  <c:v>5.0137456865426229</c:v>
                </c:pt>
                <c:pt idx="26">
                  <c:v>4.9193823759175563</c:v>
                </c:pt>
                <c:pt idx="27">
                  <c:v>4.8250050408866354</c:v>
                </c:pt>
                <c:pt idx="28">
                  <c:v>4.7114442842176043</c:v>
                </c:pt>
                <c:pt idx="29">
                  <c:v>4.7081380475315431</c:v>
                </c:pt>
                <c:pt idx="30">
                  <c:v>4.7016149730192787</c:v>
                </c:pt>
              </c:numCache>
            </c:numRef>
          </c:val>
          <c:smooth val="1"/>
          <c:extLst>
            <c:ext xmlns:c16="http://schemas.microsoft.com/office/drawing/2014/chart" uri="{C3380CC4-5D6E-409C-BE32-E72D297353CC}">
              <c16:uniqueId val="{00000002-7A5D-4641-B542-C480F1817F78}"/>
            </c:ext>
          </c:extLst>
        </c:ser>
        <c:ser>
          <c:idx val="3"/>
          <c:order val="2"/>
          <c:tx>
            <c:strRef>
              <c:f>'Jobs Results'!$C$30</c:f>
              <c:strCache>
                <c:ptCount val="1"/>
                <c:pt idx="0">
                  <c:v>Heat Networks</c:v>
                </c:pt>
              </c:strCache>
            </c:strRef>
          </c:tx>
          <c:marker>
            <c:symbol val="none"/>
          </c:marker>
          <c:cat>
            <c:numRef>
              <c:f>'Jobs Results'!$D$27:$AH$27</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'Jobs Results'!$D$30:$AH$30</c:f>
              <c:numCache>
                <c:formatCode>_-* #,##0_-;\-* #,##0_-;_-* "-"??_-;_-@_-</c:formatCode>
                <c:ptCount val="31"/>
                <c:pt idx="0">
                  <c:v>4.1681913209695631</c:v>
                </c:pt>
                <c:pt idx="1">
                  <c:v>4.4989725562099236</c:v>
                </c:pt>
                <c:pt idx="2">
                  <c:v>4.7777524495394177</c:v>
                </c:pt>
                <c:pt idx="3">
                  <c:v>5.2689231465558102</c:v>
                </c:pt>
                <c:pt idx="4">
                  <c:v>5.8425032303028468</c:v>
                </c:pt>
                <c:pt idx="5">
                  <c:v>6.1728717246114417</c:v>
                </c:pt>
                <c:pt idx="6">
                  <c:v>6.4810345110333341</c:v>
                </c:pt>
                <c:pt idx="7">
                  <c:v>6.7669915895685504</c:v>
                </c:pt>
                <c:pt idx="8">
                  <c:v>7.0321301940404783</c:v>
                </c:pt>
                <c:pt idx="9">
                  <c:v>6.7768006598703012</c:v>
                </c:pt>
                <c:pt idx="10">
                  <c:v>6.463292850835602</c:v>
                </c:pt>
                <c:pt idx="11">
                  <c:v>6.0916067669363709</c:v>
                </c:pt>
                <c:pt idx="12">
                  <c:v>5.6617424081726124</c:v>
                </c:pt>
                <c:pt idx="13">
                  <c:v>5.1736997745443389</c:v>
                </c:pt>
                <c:pt idx="14">
                  <c:v>5.1733356217146378</c:v>
                </c:pt>
                <c:pt idx="15">
                  <c:v>5.1729714688849384</c:v>
                </c:pt>
                <c:pt idx="16">
                  <c:v>5.1726073160552328</c:v>
                </c:pt>
                <c:pt idx="17">
                  <c:v>5.1722431632255184</c:v>
                </c:pt>
                <c:pt idx="18">
                  <c:v>5.1718790103958181</c:v>
                </c:pt>
                <c:pt idx="19">
                  <c:v>5.1715148575661321</c:v>
                </c:pt>
                <c:pt idx="20">
                  <c:v>5.1711507047364353</c:v>
                </c:pt>
                <c:pt idx="21">
                  <c:v>5.1707865519067511</c:v>
                </c:pt>
                <c:pt idx="22">
                  <c:v>5.170422399077065</c:v>
                </c:pt>
                <c:pt idx="23">
                  <c:v>5.1700582462473932</c:v>
                </c:pt>
                <c:pt idx="24">
                  <c:v>4.6178603694762952</c:v>
                </c:pt>
                <c:pt idx="25">
                  <c:v>4.0657353232711113</c:v>
                </c:pt>
                <c:pt idx="26">
                  <c:v>3.5136831076318762</c:v>
                </c:pt>
                <c:pt idx="27">
                  <c:v>2.9617037225585947</c:v>
                </c:pt>
                <c:pt idx="28">
                  <c:v>2.4097971680512034</c:v>
                </c:pt>
                <c:pt idx="29">
                  <c:v>2.4097971680511856</c:v>
                </c:pt>
                <c:pt idx="30">
                  <c:v>2.4097971680511865</c:v>
                </c:pt>
              </c:numCache>
            </c:numRef>
          </c:val>
          <c:smooth val="1"/>
          <c:extLst>
            <c:ext xmlns:c16="http://schemas.microsoft.com/office/drawing/2014/chart" uri="{C3380CC4-5D6E-409C-BE32-E72D297353CC}">
              <c16:uniqueId val="{00000003-7A5D-4641-B542-C480F1817F78}"/>
            </c:ext>
          </c:extLst>
        </c:ser>
        <c:ser>
          <c:idx val="4"/>
          <c:order val="3"/>
          <c:tx>
            <c:strRef>
              <c:f>'Jobs Results'!$C$31</c:f>
              <c:strCache>
                <c:ptCount val="1"/>
                <c:pt idx="0">
                  <c:v>Hydrogen boilers</c:v>
                </c:pt>
              </c:strCache>
            </c:strRef>
          </c:tx>
          <c:marker>
            <c:symbol val="none"/>
          </c:marker>
          <c:cat>
            <c:numRef>
              <c:f>'Jobs Results'!$D$27:$AH$27</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'Jobs Results'!$D$31:$AH$31</c:f>
              <c:numCache>
                <c:formatCode>_-* #,##0_-;\-* #,##0_-;_-* "-"??_-;_-@_-</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1"/>
          <c:extLst>
            <c:ext xmlns:c16="http://schemas.microsoft.com/office/drawing/2014/chart" uri="{C3380CC4-5D6E-409C-BE32-E72D297353CC}">
              <c16:uniqueId val="{00000004-7A5D-4641-B542-C480F1817F78}"/>
            </c:ext>
          </c:extLst>
        </c:ser>
        <c:ser>
          <c:idx val="5"/>
          <c:order val="4"/>
          <c:tx>
            <c:strRef>
              <c:f>'Jobs Results'!$C$32</c:f>
              <c:strCache>
                <c:ptCount val="1"/>
                <c:pt idx="0">
                  <c:v>On-site Energy/Storage/Smart systems</c:v>
                </c:pt>
              </c:strCache>
            </c:strRef>
          </c:tx>
          <c:marker>
            <c:symbol val="none"/>
          </c:marker>
          <c:cat>
            <c:numRef>
              <c:f>'Jobs Results'!$D$27:$AH$27</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'Jobs Results'!$D$32:$AH$32</c:f>
              <c:numCache>
                <c:formatCode>_-* #,##0_-;\-* #,##0_-;_-* "-"??_-;_-@_-</c:formatCode>
                <c:ptCount val="31"/>
                <c:pt idx="0">
                  <c:v>2.5</c:v>
                </c:pt>
                <c:pt idx="1">
                  <c:v>3.125</c:v>
                </c:pt>
                <c:pt idx="2">
                  <c:v>3.5225</c:v>
                </c:pt>
                <c:pt idx="3">
                  <c:v>4.3174999999999999</c:v>
                </c:pt>
                <c:pt idx="4">
                  <c:v>4.8849999999999998</c:v>
                </c:pt>
                <c:pt idx="5">
                  <c:v>5.2249999999999996</c:v>
                </c:pt>
                <c:pt idx="6">
                  <c:v>5.3375000000000004</c:v>
                </c:pt>
                <c:pt idx="7">
                  <c:v>5.45</c:v>
                </c:pt>
                <c:pt idx="8">
                  <c:v>5.5025000000000004</c:v>
                </c:pt>
                <c:pt idx="9">
                  <c:v>5.4950000000000001</c:v>
                </c:pt>
                <c:pt idx="10">
                  <c:v>5.4275000000000002</c:v>
                </c:pt>
                <c:pt idx="11">
                  <c:v>5.3</c:v>
                </c:pt>
                <c:pt idx="12">
                  <c:v>5.1124999999999998</c:v>
                </c:pt>
                <c:pt idx="13">
                  <c:v>4.9249999999999998</c:v>
                </c:pt>
                <c:pt idx="14">
                  <c:v>4.7374999999999998</c:v>
                </c:pt>
                <c:pt idx="15">
                  <c:v>4.55</c:v>
                </c:pt>
                <c:pt idx="16">
                  <c:v>4.3624999999999998</c:v>
                </c:pt>
                <c:pt idx="17">
                  <c:v>4.1749999999999998</c:v>
                </c:pt>
                <c:pt idx="18">
                  <c:v>3.9874999999999998</c:v>
                </c:pt>
                <c:pt idx="19">
                  <c:v>3.8</c:v>
                </c:pt>
                <c:pt idx="20">
                  <c:v>3.6124999999999998</c:v>
                </c:pt>
                <c:pt idx="21">
                  <c:v>3.4249999999999998</c:v>
                </c:pt>
                <c:pt idx="22">
                  <c:v>3.2374999999999998</c:v>
                </c:pt>
                <c:pt idx="23">
                  <c:v>3.05</c:v>
                </c:pt>
                <c:pt idx="24">
                  <c:v>2.8624999999999998</c:v>
                </c:pt>
                <c:pt idx="25">
                  <c:v>2.6749999999999998</c:v>
                </c:pt>
                <c:pt idx="26">
                  <c:v>2.4874999999999998</c:v>
                </c:pt>
                <c:pt idx="27">
                  <c:v>2.2999999999999998</c:v>
                </c:pt>
                <c:pt idx="28">
                  <c:v>2.1124999999999998</c:v>
                </c:pt>
                <c:pt idx="29">
                  <c:v>2.0187499999999998</c:v>
                </c:pt>
                <c:pt idx="30">
                  <c:v>1.9249999999999998</c:v>
                </c:pt>
              </c:numCache>
            </c:numRef>
          </c:val>
          <c:smooth val="1"/>
          <c:extLst>
            <c:ext xmlns:c16="http://schemas.microsoft.com/office/drawing/2014/chart" uri="{C3380CC4-5D6E-409C-BE32-E72D297353CC}">
              <c16:uniqueId val="{00000005-7A5D-4641-B542-C480F1817F78}"/>
            </c:ext>
          </c:extLst>
        </c:ser>
        <c:dLbls>
          <c:showLegendKey val="0"/>
          <c:showVal val="0"/>
          <c:showCatName val="0"/>
          <c:showSerName val="0"/>
          <c:showPercent val="0"/>
          <c:showBubbleSize val="0"/>
        </c:dLbls>
        <c:smooth val="0"/>
        <c:axId val="101495936"/>
        <c:axId val="101497472"/>
      </c:lineChart>
      <c:catAx>
        <c:axId val="101495936"/>
        <c:scaling>
          <c:orientation val="minMax"/>
        </c:scaling>
        <c:delete val="0"/>
        <c:axPos val="b"/>
        <c:numFmt formatCode="General" sourceLinked="1"/>
        <c:majorTickMark val="out"/>
        <c:minorTickMark val="none"/>
        <c:tickLblPos val="nextTo"/>
        <c:spPr>
          <a:ln w="12700">
            <a:solidFill>
              <a:schemeClr val="bg1">
                <a:lumMod val="85000"/>
              </a:schemeClr>
            </a:solidFill>
          </a:ln>
        </c:spPr>
        <c:txPr>
          <a:bodyPr rot="0" vert="horz"/>
          <a:lstStyle/>
          <a:p>
            <a:pPr>
              <a:defRPr>
                <a:solidFill>
                  <a:schemeClr val="tx1">
                    <a:lumMod val="65000"/>
                    <a:lumOff val="35000"/>
                  </a:schemeClr>
                </a:solidFill>
                <a:latin typeface="Segoe UI" panose="020B0502040204020203" pitchFamily="34" charset="0"/>
                <a:ea typeface="Segoe UI" panose="020B0502040204020203" pitchFamily="34" charset="0"/>
                <a:cs typeface="Segoe UI" panose="020B0502040204020203" pitchFamily="34" charset="0"/>
              </a:defRPr>
            </a:pPr>
            <a:endParaRPr lang="en-US"/>
          </a:p>
        </c:txPr>
        <c:crossAx val="101497472"/>
        <c:crosses val="autoZero"/>
        <c:auto val="0"/>
        <c:lblAlgn val="ctr"/>
        <c:lblOffset val="100"/>
        <c:noMultiLvlLbl val="0"/>
      </c:catAx>
      <c:valAx>
        <c:axId val="101497472"/>
        <c:scaling>
          <c:orientation val="minMax"/>
          <c:min val="0"/>
        </c:scaling>
        <c:delete val="0"/>
        <c:axPos val="l"/>
        <c:title>
          <c:tx>
            <c:rich>
              <a:bodyPr/>
              <a:lstStyle/>
              <a:p>
                <a:pPr>
                  <a:defRPr/>
                </a:pPr>
                <a:r>
                  <a:rPr lang="en-GB"/>
                  <a:t>Total</a:t>
                </a:r>
                <a:r>
                  <a:rPr lang="en-GB" baseline="0"/>
                  <a:t> jobs (thousand FTE, 5-year rolling average)</a:t>
                </a:r>
                <a:endParaRPr lang="en-GB"/>
              </a:p>
            </c:rich>
          </c:tx>
          <c:layout>
            <c:manualLayout>
              <c:xMode val="edge"/>
              <c:yMode val="edge"/>
              <c:x val="1.5795785696845189E-2"/>
              <c:y val="0.12443488487143363"/>
            </c:manualLayout>
          </c:layout>
          <c:overlay val="0"/>
        </c:title>
        <c:numFmt formatCode="#,##0" sourceLinked="0"/>
        <c:majorTickMark val="none"/>
        <c:minorTickMark val="none"/>
        <c:tickLblPos val="nextTo"/>
        <c:spPr>
          <a:ln w="12700">
            <a:noFill/>
          </a:ln>
        </c:spPr>
        <c:txPr>
          <a:bodyPr/>
          <a:lstStyle/>
          <a:p>
            <a:pPr>
              <a:defRPr>
                <a:solidFill>
                  <a:schemeClr val="tx1">
                    <a:lumMod val="65000"/>
                    <a:lumOff val="35000"/>
                  </a:schemeClr>
                </a:solidFill>
              </a:defRPr>
            </a:pPr>
            <a:endParaRPr lang="en-US"/>
          </a:p>
        </c:txPr>
        <c:crossAx val="101495936"/>
        <c:crosses val="autoZero"/>
        <c:crossBetween val="between"/>
      </c:valAx>
      <c:spPr>
        <a:noFill/>
      </c:spPr>
    </c:plotArea>
    <c:legend>
      <c:legendPos val="r"/>
      <c:layout>
        <c:manualLayout>
          <c:xMode val="edge"/>
          <c:yMode val="edge"/>
          <c:x val="0.67704719094761523"/>
          <c:y val="7.9041872918237874E-2"/>
          <c:w val="0.32071249588757039"/>
          <c:h val="0.50368418117776081"/>
        </c:manualLayout>
      </c:layout>
      <c:overlay val="1"/>
      <c:txPr>
        <a:bodyPr/>
        <a:lstStyle/>
        <a:p>
          <a:pPr>
            <a:defRPr sz="1100">
              <a:solidFill>
                <a:schemeClr val="tx1">
                  <a:lumMod val="65000"/>
                  <a:lumOff val="35000"/>
                </a:schemeClr>
              </a:solidFill>
              <a:latin typeface="Segoe UI" panose="020B0502040204020203" pitchFamily="34" charset="0"/>
              <a:ea typeface="Segoe UI" panose="020B0502040204020203" pitchFamily="34" charset="0"/>
              <a:cs typeface="Segoe UI" panose="020B0502040204020203" pitchFamily="34" charset="0"/>
            </a:defRPr>
          </a:pPr>
          <a:endParaRPr lang="en-US"/>
        </a:p>
      </c:txPr>
    </c:legend>
    <c:plotVisOnly val="1"/>
    <c:dispBlanksAs val="zero"/>
    <c:showDLblsOverMax val="0"/>
  </c:chart>
  <c:spPr>
    <a:noFill/>
    <a:ln>
      <a:noFill/>
    </a:ln>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Cumulative</a:t>
            </a:r>
            <a:r>
              <a:rPr lang="en-US" baseline="0"/>
              <a:t> </a:t>
            </a:r>
            <a:r>
              <a:rPr lang="en-US"/>
              <a:t>Emissions Trajectory</a:t>
            </a:r>
          </a:p>
        </c:rich>
      </c:tx>
      <c:layout>
        <c:manualLayout>
          <c:xMode val="edge"/>
          <c:yMode val="edge"/>
          <c:x val="3.6041611732584952E-2"/>
          <c:y val="1.8689086830065402E-2"/>
        </c:manualLayout>
      </c:layout>
      <c:overlay val="0"/>
    </c:title>
    <c:autoTitleDeleted val="0"/>
    <c:plotArea>
      <c:layout>
        <c:manualLayout>
          <c:layoutTarget val="inner"/>
          <c:xMode val="edge"/>
          <c:yMode val="edge"/>
          <c:x val="0.1502320064118661"/>
          <c:y val="0.14056530646143625"/>
          <c:w val="0.80664439013479794"/>
          <c:h val="0.74576616828320319"/>
        </c:manualLayout>
      </c:layout>
      <c:lineChart>
        <c:grouping val="standard"/>
        <c:varyColors val="0"/>
        <c:ser>
          <c:idx val="1"/>
          <c:order val="0"/>
          <c:tx>
            <c:strRef>
              <c:f>'Carbon Budgets Results'!$C$26</c:f>
              <c:strCache>
                <c:ptCount val="1"/>
              </c:strCache>
            </c:strRef>
          </c:tx>
          <c:spPr>
            <a:ln>
              <a:solidFill>
                <a:schemeClr val="accent1">
                  <a:lumMod val="75000"/>
                </a:schemeClr>
              </a:solidFill>
              <a:prstDash val="solid"/>
            </a:ln>
          </c:spPr>
          <c:marker>
            <c:symbol val="none"/>
          </c:marker>
          <c:cat>
            <c:numRef>
              <c:f>'Carbon Budgets Results'!$X$25:$BB$25</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'Carbon Budgets Results'!$X$26:$BB$26</c:f>
              <c:numCache>
                <c:formatCode>General</c:formatCode>
                <c:ptCount val="31"/>
                <c:pt idx="0">
                  <c:v>9.093620573105941</c:v>
                </c:pt>
                <c:pt idx="1">
                  <c:v>17.89076945354585</c:v>
                </c:pt>
                <c:pt idx="2">
                  <c:v>26.296391170333905</c:v>
                </c:pt>
                <c:pt idx="3">
                  <c:v>34.271506775835107</c:v>
                </c:pt>
                <c:pt idx="4">
                  <c:v>42.074959431151157</c:v>
                </c:pt>
                <c:pt idx="5">
                  <c:v>49.041510510482311</c:v>
                </c:pt>
                <c:pt idx="6">
                  <c:v>54.959469905808575</c:v>
                </c:pt>
                <c:pt idx="7">
                  <c:v>60.101972915681486</c:v>
                </c:pt>
                <c:pt idx="8">
                  <c:v>64.714369111579146</c:v>
                </c:pt>
                <c:pt idx="9">
                  <c:v>68.862022187686321</c:v>
                </c:pt>
                <c:pt idx="10">
                  <c:v>72.423794444618821</c:v>
                </c:pt>
                <c:pt idx="11">
                  <c:v>75.502704766126925</c:v>
                </c:pt>
                <c:pt idx="12">
                  <c:v>78.216004287974442</c:v>
                </c:pt>
                <c:pt idx="13">
                  <c:v>80.592782089087393</c:v>
                </c:pt>
                <c:pt idx="14">
                  <c:v>82.68840593978878</c:v>
                </c:pt>
                <c:pt idx="15">
                  <c:v>84.53943067346313</c:v>
                </c:pt>
                <c:pt idx="16">
                  <c:v>86.086406669865468</c:v>
                </c:pt>
                <c:pt idx="17">
                  <c:v>87.409071770634824</c:v>
                </c:pt>
                <c:pt idx="18">
                  <c:v>88.58169571566026</c:v>
                </c:pt>
                <c:pt idx="19">
                  <c:v>89.642458354687378</c:v>
                </c:pt>
                <c:pt idx="20">
                  <c:v>90.582623273577184</c:v>
                </c:pt>
                <c:pt idx="21">
                  <c:v>91.398603521214241</c:v>
                </c:pt>
                <c:pt idx="22">
                  <c:v>92.136036880082742</c:v>
                </c:pt>
                <c:pt idx="23">
                  <c:v>92.806416527941508</c:v>
                </c:pt>
                <c:pt idx="24">
                  <c:v>93.401318484781299</c:v>
                </c:pt>
                <c:pt idx="25">
                  <c:v>93.899493117975737</c:v>
                </c:pt>
                <c:pt idx="26">
                  <c:v>94.329095002876954</c:v>
                </c:pt>
                <c:pt idx="27">
                  <c:v>94.716516561272158</c:v>
                </c:pt>
                <c:pt idx="28">
                  <c:v>95.077074852159114</c:v>
                </c:pt>
                <c:pt idx="29">
                  <c:v>95.40803820996581</c:v>
                </c:pt>
                <c:pt idx="30">
                  <c:v>95.719033082099401</c:v>
                </c:pt>
              </c:numCache>
            </c:numRef>
          </c:val>
          <c:smooth val="0"/>
          <c:extLst>
            <c:ext xmlns:c16="http://schemas.microsoft.com/office/drawing/2014/chart" uri="{C3380CC4-5D6E-409C-BE32-E72D297353CC}">
              <c16:uniqueId val="{00000000-36C4-4620-93FA-8E7BD2C47D0E}"/>
            </c:ext>
          </c:extLst>
        </c:ser>
        <c:dLbls>
          <c:showLegendKey val="0"/>
          <c:showVal val="0"/>
          <c:showCatName val="0"/>
          <c:showSerName val="0"/>
          <c:showPercent val="0"/>
          <c:showBubbleSize val="0"/>
        </c:dLbls>
        <c:smooth val="0"/>
        <c:axId val="101507840"/>
        <c:axId val="101509376"/>
      </c:lineChart>
      <c:catAx>
        <c:axId val="101507840"/>
        <c:scaling>
          <c:orientation val="minMax"/>
        </c:scaling>
        <c:delete val="0"/>
        <c:axPos val="b"/>
        <c:numFmt formatCode="General" sourceLinked="1"/>
        <c:majorTickMark val="out"/>
        <c:minorTickMark val="none"/>
        <c:tickLblPos val="nextTo"/>
        <c:spPr>
          <a:ln>
            <a:solidFill>
              <a:schemeClr val="bg1">
                <a:lumMod val="85000"/>
              </a:schemeClr>
            </a:solidFill>
          </a:ln>
        </c:spPr>
        <c:txPr>
          <a:bodyPr rot="0" vert="horz"/>
          <a:lstStyle/>
          <a:p>
            <a:pPr>
              <a:defRPr/>
            </a:pPr>
            <a:endParaRPr lang="en-US"/>
          </a:p>
        </c:txPr>
        <c:crossAx val="101509376"/>
        <c:crosses val="autoZero"/>
        <c:auto val="1"/>
        <c:lblAlgn val="ctr"/>
        <c:lblOffset val="100"/>
        <c:tickLblSkip val="5"/>
        <c:tickMarkSkip val="5"/>
        <c:noMultiLvlLbl val="0"/>
      </c:catAx>
      <c:valAx>
        <c:axId val="101509376"/>
        <c:scaling>
          <c:orientation val="minMax"/>
        </c:scaling>
        <c:delete val="0"/>
        <c:axPos val="l"/>
        <c:majorGridlines/>
        <c:title>
          <c:tx>
            <c:rich>
              <a:bodyPr rot="-5400000" vert="horz"/>
              <a:lstStyle/>
              <a:p>
                <a:pPr>
                  <a:defRPr/>
                </a:pPr>
                <a:r>
                  <a:rPr lang="en-US"/>
                  <a:t> GHG EMISSIONS (MtCO2e) </a:t>
                </a:r>
              </a:p>
            </c:rich>
          </c:tx>
          <c:layout>
            <c:manualLayout>
              <c:xMode val="edge"/>
              <c:yMode val="edge"/>
              <c:x val="1.3482133653378886E-2"/>
              <c:y val="0.12665333110265717"/>
            </c:manualLayout>
          </c:layout>
          <c:overlay val="0"/>
        </c:title>
        <c:numFmt formatCode="#,##0" sourceLinked="0"/>
        <c:majorTickMark val="out"/>
        <c:minorTickMark val="none"/>
        <c:tickLblPos val="nextTo"/>
        <c:spPr>
          <a:ln>
            <a:solidFill>
              <a:schemeClr val="bg1">
                <a:lumMod val="85000"/>
              </a:schemeClr>
            </a:solidFill>
          </a:ln>
        </c:spPr>
        <c:crossAx val="101507840"/>
        <c:crosses val="autoZero"/>
        <c:crossBetween val="between"/>
      </c:valAx>
      <c:spPr>
        <a:noFill/>
        <a:ln>
          <a:noFill/>
        </a:ln>
      </c:spPr>
    </c:plotArea>
    <c:plotVisOnly val="1"/>
    <c:dispBlanksAs val="gap"/>
    <c:showDLblsOverMax val="0"/>
  </c:chart>
  <c:spPr>
    <a:noFill/>
    <a:ln>
      <a:noFill/>
    </a:ln>
  </c:spPr>
  <c:txPr>
    <a:bodyPr/>
    <a:lstStyle/>
    <a:p>
      <a:pPr>
        <a:defRPr sz="900">
          <a:solidFill>
            <a:schemeClr val="tx1">
              <a:lumMod val="75000"/>
              <a:lumOff val="25000"/>
            </a:schemeClr>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i="1"/>
              <a:t>1.5 °C</a:t>
            </a:r>
            <a:r>
              <a:rPr lang="en-US" i="1" baseline="0"/>
              <a:t> Plan</a:t>
            </a:r>
            <a:r>
              <a:rPr lang="en-US" i="1"/>
              <a:t> </a:t>
            </a:r>
            <a:r>
              <a:rPr lang="en-US"/>
              <a:t>emissions trajectories</a:t>
            </a:r>
          </a:p>
        </c:rich>
      </c:tx>
      <c:layout>
        <c:manualLayout>
          <c:xMode val="edge"/>
          <c:yMode val="edge"/>
          <c:x val="3.6041611732584952E-2"/>
          <c:y val="1.8689086830065402E-2"/>
        </c:manualLayout>
      </c:layout>
      <c:overlay val="0"/>
    </c:title>
    <c:autoTitleDeleted val="0"/>
    <c:plotArea>
      <c:layout>
        <c:manualLayout>
          <c:layoutTarget val="inner"/>
          <c:xMode val="edge"/>
          <c:yMode val="edge"/>
          <c:x val="0.16246245376381732"/>
          <c:y val="0.14056530646143625"/>
          <c:w val="0.79441393341561672"/>
          <c:h val="0.74576616828320319"/>
        </c:manualLayout>
      </c:layout>
      <c:lineChart>
        <c:grouping val="standard"/>
        <c:varyColors val="0"/>
        <c:ser>
          <c:idx val="0"/>
          <c:order val="0"/>
          <c:tx>
            <c:strRef>
              <c:f>'Carbon Budgets Results'!$G$80</c:f>
              <c:strCache>
                <c:ptCount val="1"/>
                <c:pt idx="0">
                  <c:v>Baseline</c:v>
                </c:pt>
              </c:strCache>
            </c:strRef>
          </c:tx>
          <c:marker>
            <c:symbol val="none"/>
          </c:marker>
          <c:cat>
            <c:numRef>
              <c:f>'Carbon Budgets Results'!$H$79:$AQ$79</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'Carbon Budgets Results'!$H$80:$AQ$80</c:f>
              <c:numCache>
                <c:formatCode>General</c:formatCode>
                <c:ptCount val="36"/>
                <c:pt idx="0">
                  <c:v>33909.294600698297</c:v>
                </c:pt>
                <c:pt idx="1">
                  <c:v>32943.886061664583</c:v>
                </c:pt>
                <c:pt idx="2">
                  <c:v>31011.618961896533</c:v>
                </c:pt>
                <c:pt idx="3">
                  <c:v>28074.320450837669</c:v>
                </c:pt>
                <c:pt idx="4">
                  <c:v>26449.035709754673</c:v>
                </c:pt>
                <c:pt idx="5">
                  <c:v>25967.472844837393</c:v>
                </c:pt>
                <c:pt idx="6">
                  <c:v>24600.330144668049</c:v>
                </c:pt>
                <c:pt idx="7">
                  <c:v>23944.170601116595</c:v>
                </c:pt>
                <c:pt idx="8">
                  <c:v>23641.839328657072</c:v>
                </c:pt>
                <c:pt idx="9">
                  <c:v>22729.821687755575</c:v>
                </c:pt>
                <c:pt idx="10">
                  <c:v>22116.763890704511</c:v>
                </c:pt>
                <c:pt idx="11">
                  <c:v>21214.951980679853</c:v>
                </c:pt>
                <c:pt idx="12">
                  <c:v>20752.499223095234</c:v>
                </c:pt>
                <c:pt idx="13">
                  <c:v>20004.093951742536</c:v>
                </c:pt>
                <c:pt idx="14">
                  <c:v>19114.948015019734</c:v>
                </c:pt>
                <c:pt idx="15">
                  <c:v>18203.225418913447</c:v>
                </c:pt>
                <c:pt idx="16">
                  <c:v>17431.552111435023</c:v>
                </c:pt>
                <c:pt idx="17">
                  <c:v>16628.969798560302</c:v>
                </c:pt>
                <c:pt idx="18">
                  <c:v>16137.378733409982</c:v>
                </c:pt>
                <c:pt idx="19">
                  <c:v>15543.028019983081</c:v>
                </c:pt>
                <c:pt idx="20">
                  <c:v>15063.564228326986</c:v>
                </c:pt>
                <c:pt idx="21">
                  <c:v>14886.404125761126</c:v>
                </c:pt>
                <c:pt idx="22">
                  <c:v>14711.326826790733</c:v>
                </c:pt>
                <c:pt idx="23">
                  <c:v>14559.143059522417</c:v>
                </c:pt>
                <c:pt idx="24">
                  <c:v>14406.748948258792</c:v>
                </c:pt>
                <c:pt idx="25">
                  <c:v>14254.66598428943</c:v>
                </c:pt>
                <c:pt idx="26">
                  <c:v>14099.864679334078</c:v>
                </c:pt>
                <c:pt idx="27">
                  <c:v>13907.518493229411</c:v>
                </c:pt>
                <c:pt idx="28">
                  <c:v>13751.591525628923</c:v>
                </c:pt>
                <c:pt idx="29">
                  <c:v>13595.235839226367</c:v>
                </c:pt>
                <c:pt idx="30">
                  <c:v>13400.554140648721</c:v>
                </c:pt>
                <c:pt idx="31">
                  <c:v>13243.213978533902</c:v>
                </c:pt>
                <c:pt idx="32">
                  <c:v>13085.956671557629</c:v>
                </c:pt>
                <c:pt idx="33">
                  <c:v>12889.620763072977</c:v>
                </c:pt>
                <c:pt idx="34">
                  <c:v>12731.31245335359</c:v>
                </c:pt>
                <c:pt idx="35">
                  <c:v>12572.611913128343</c:v>
                </c:pt>
              </c:numCache>
            </c:numRef>
          </c:val>
          <c:smooth val="0"/>
          <c:extLst>
            <c:ext xmlns:c16="http://schemas.microsoft.com/office/drawing/2014/chart" uri="{C3380CC4-5D6E-409C-BE32-E72D297353CC}">
              <c16:uniqueId val="{00000027-CDD2-4003-93A0-BE7AA8EFB59F}"/>
            </c:ext>
          </c:extLst>
        </c:ser>
        <c:ser>
          <c:idx val="1"/>
          <c:order val="1"/>
          <c:tx>
            <c:strRef>
              <c:f>'Carbon Budgets Results'!$G$81</c:f>
              <c:strCache>
                <c:ptCount val="1"/>
                <c:pt idx="0">
                  <c:v>Decarbonised Gas</c:v>
                </c:pt>
              </c:strCache>
            </c:strRef>
          </c:tx>
          <c:marker>
            <c:symbol val="none"/>
          </c:marker>
          <c:cat>
            <c:numRef>
              <c:f>'Carbon Budgets Results'!$H$79:$AQ$79</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'Carbon Budgets Results'!$H$81:$AQ$81</c:f>
              <c:numCache>
                <c:formatCode>General</c:formatCode>
                <c:ptCount val="36"/>
                <c:pt idx="0">
                  <c:v>33909.294600698297</c:v>
                </c:pt>
                <c:pt idx="1">
                  <c:v>32939.664558229888</c:v>
                </c:pt>
                <c:pt idx="2">
                  <c:v>31014.976512369551</c:v>
                </c:pt>
                <c:pt idx="3">
                  <c:v>28089.104142421711</c:v>
                </c:pt>
                <c:pt idx="4">
                  <c:v>26476.99028571543</c:v>
                </c:pt>
                <c:pt idx="5">
                  <c:v>25982.459540739899</c:v>
                </c:pt>
                <c:pt idx="6">
                  <c:v>24548.585913973799</c:v>
                </c:pt>
                <c:pt idx="7">
                  <c:v>23828.326246551402</c:v>
                </c:pt>
                <c:pt idx="8">
                  <c:v>23448.053532486305</c:v>
                </c:pt>
                <c:pt idx="9">
                  <c:v>22457.973601558653</c:v>
                </c:pt>
                <c:pt idx="10">
                  <c:v>21776.871839358664</c:v>
                </c:pt>
                <c:pt idx="11">
                  <c:v>20728.813787183593</c:v>
                </c:pt>
                <c:pt idx="12">
                  <c:v>20086.361915290778</c:v>
                </c:pt>
                <c:pt idx="13">
                  <c:v>19175.381997980636</c:v>
                </c:pt>
                <c:pt idx="14">
                  <c:v>18122.895986049502</c:v>
                </c:pt>
                <c:pt idx="15">
                  <c:v>17027.576842472135</c:v>
                </c:pt>
                <c:pt idx="16">
                  <c:v>16140.283673422891</c:v>
                </c:pt>
                <c:pt idx="17">
                  <c:v>15216.785640602391</c:v>
                </c:pt>
                <c:pt idx="18">
                  <c:v>14580.923956407174</c:v>
                </c:pt>
                <c:pt idx="19">
                  <c:v>13833.33534205754</c:v>
                </c:pt>
                <c:pt idx="20">
                  <c:v>13126.47922736184</c:v>
                </c:pt>
                <c:pt idx="21">
                  <c:v>12695.091990291776</c:v>
                </c:pt>
                <c:pt idx="22">
                  <c:v>12265.736461592931</c:v>
                </c:pt>
                <c:pt idx="23">
                  <c:v>11858.162529719655</c:v>
                </c:pt>
                <c:pt idx="24">
                  <c:v>11576.251899309435</c:v>
                </c:pt>
                <c:pt idx="25">
                  <c:v>11292.668322659785</c:v>
                </c:pt>
                <c:pt idx="26">
                  <c:v>10153.652993334517</c:v>
                </c:pt>
                <c:pt idx="27">
                  <c:v>8935.1328076747868</c:v>
                </c:pt>
                <c:pt idx="28">
                  <c:v>7732.9288024557191</c:v>
                </c:pt>
                <c:pt idx="29">
                  <c:v>6536.9803273676689</c:v>
                </c:pt>
                <c:pt idx="30">
                  <c:v>4428.9216484229773</c:v>
                </c:pt>
                <c:pt idx="31">
                  <c:v>4264.9780353877886</c:v>
                </c:pt>
                <c:pt idx="32">
                  <c:v>4062.5684637086802</c:v>
                </c:pt>
                <c:pt idx="33">
                  <c:v>3814.3491813911296</c:v>
                </c:pt>
                <c:pt idx="34">
                  <c:v>3608.8083606586856</c:v>
                </c:pt>
                <c:pt idx="35">
                  <c:v>3402.6562594147272</c:v>
                </c:pt>
              </c:numCache>
            </c:numRef>
          </c:val>
          <c:smooth val="0"/>
          <c:extLst>
            <c:ext xmlns:c16="http://schemas.microsoft.com/office/drawing/2014/chart" uri="{C3380CC4-5D6E-409C-BE32-E72D297353CC}">
              <c16:uniqueId val="{0000004C-CDD2-4003-93A0-BE7AA8EFB59F}"/>
            </c:ext>
          </c:extLst>
        </c:ser>
        <c:ser>
          <c:idx val="2"/>
          <c:order val="2"/>
          <c:tx>
            <c:strRef>
              <c:f>'Carbon Budgets Results'!$G$82</c:f>
              <c:strCache>
                <c:ptCount val="1"/>
                <c:pt idx="0">
                  <c:v>High Electrification</c:v>
                </c:pt>
              </c:strCache>
            </c:strRef>
          </c:tx>
          <c:marker>
            <c:symbol val="none"/>
          </c:marker>
          <c:cat>
            <c:numRef>
              <c:f>'Carbon Budgets Results'!$H$79:$AQ$79</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'Carbon Budgets Results'!$H$82:$AQ$82</c:f>
              <c:numCache>
                <c:formatCode>General</c:formatCode>
                <c:ptCount val="36"/>
                <c:pt idx="0">
                  <c:v>33909.294600698297</c:v>
                </c:pt>
                <c:pt idx="1">
                  <c:v>32928.995538089177</c:v>
                </c:pt>
                <c:pt idx="2">
                  <c:v>30980.52421674152</c:v>
                </c:pt>
                <c:pt idx="3">
                  <c:v>28022.586035780128</c:v>
                </c:pt>
                <c:pt idx="4">
                  <c:v>26376.297303191986</c:v>
                </c:pt>
                <c:pt idx="5">
                  <c:v>25842.011038514556</c:v>
                </c:pt>
                <c:pt idx="6">
                  <c:v>24351.730585341753</c:v>
                </c:pt>
                <c:pt idx="7">
                  <c:v>23570.909921022299</c:v>
                </c:pt>
                <c:pt idx="8">
                  <c:v>23146.20076433352</c:v>
                </c:pt>
                <c:pt idx="9">
                  <c:v>22105.500541684156</c:v>
                </c:pt>
                <c:pt idx="10">
                  <c:v>21366.397925435649</c:v>
                </c:pt>
                <c:pt idx="11">
                  <c:v>20230.911761615556</c:v>
                </c:pt>
                <c:pt idx="12">
                  <c:v>19547.728422042397</c:v>
                </c:pt>
                <c:pt idx="13">
                  <c:v>18565.685180750806</c:v>
                </c:pt>
                <c:pt idx="14">
                  <c:v>17436.968727742988</c:v>
                </c:pt>
                <c:pt idx="15">
                  <c:v>16281.201860303843</c:v>
                </c:pt>
                <c:pt idx="16">
                  <c:v>15243.759008834304</c:v>
                </c:pt>
                <c:pt idx="17">
                  <c:v>14163.452751132083</c:v>
                </c:pt>
                <c:pt idx="18">
                  <c:v>13412.640810548512</c:v>
                </c:pt>
                <c:pt idx="19">
                  <c:v>12542.36262529996</c:v>
                </c:pt>
                <c:pt idx="20">
                  <c:v>11772.865959204957</c:v>
                </c:pt>
                <c:pt idx="21">
                  <c:v>11097.257108014222</c:v>
                </c:pt>
                <c:pt idx="22">
                  <c:v>10442.89758069241</c:v>
                </c:pt>
                <c:pt idx="23">
                  <c:v>9825.5544883677321</c:v>
                </c:pt>
                <c:pt idx="24">
                  <c:v>9224.4229129138002</c:v>
                </c:pt>
                <c:pt idx="25">
                  <c:v>8639.9041741486817</c:v>
                </c:pt>
                <c:pt idx="26">
                  <c:v>8104.9644301058379</c:v>
                </c:pt>
                <c:pt idx="27">
                  <c:v>7527.7451269090998</c:v>
                </c:pt>
                <c:pt idx="28">
                  <c:v>7014.0188512257109</c:v>
                </c:pt>
                <c:pt idx="29">
                  <c:v>6514.1639376646681</c:v>
                </c:pt>
                <c:pt idx="30">
                  <c:v>5970.9176279946123</c:v>
                </c:pt>
                <c:pt idx="31">
                  <c:v>5495.1981818013755</c:v>
                </c:pt>
                <c:pt idx="32">
                  <c:v>5034.0387467091414</c:v>
                </c:pt>
                <c:pt idx="33">
                  <c:v>4522.2565178518016</c:v>
                </c:pt>
                <c:pt idx="34">
                  <c:v>4070.6295339495155</c:v>
                </c:pt>
                <c:pt idx="35">
                  <c:v>3601.5319644570127</c:v>
                </c:pt>
              </c:numCache>
            </c:numRef>
          </c:val>
          <c:smooth val="0"/>
          <c:extLst>
            <c:ext xmlns:c16="http://schemas.microsoft.com/office/drawing/2014/chart" uri="{C3380CC4-5D6E-409C-BE32-E72D297353CC}">
              <c16:uniqueId val="{0000004D-CDD2-4003-93A0-BE7AA8EFB59F}"/>
            </c:ext>
          </c:extLst>
        </c:ser>
        <c:ser>
          <c:idx val="3"/>
          <c:order val="3"/>
          <c:tx>
            <c:strRef>
              <c:f>'Carbon Budgets Results'!$G$83</c:f>
              <c:strCache>
                <c:ptCount val="1"/>
                <c:pt idx="0">
                  <c:v>Decentralised Energy</c:v>
                </c:pt>
              </c:strCache>
            </c:strRef>
          </c:tx>
          <c:marker>
            <c:symbol val="none"/>
          </c:marker>
          <c:cat>
            <c:numRef>
              <c:f>'Carbon Budgets Results'!$H$79:$AQ$79</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'Carbon Budgets Results'!$H$83:$AQ$83</c:f>
              <c:numCache>
                <c:formatCode>General</c:formatCode>
                <c:ptCount val="36"/>
                <c:pt idx="0">
                  <c:v>33909.294600698297</c:v>
                </c:pt>
                <c:pt idx="1">
                  <c:v>32930.674912826878</c:v>
                </c:pt>
                <c:pt idx="2">
                  <c:v>30994.70740899209</c:v>
                </c:pt>
                <c:pt idx="3">
                  <c:v>28066.896614128204</c:v>
                </c:pt>
                <c:pt idx="4">
                  <c:v>26448.277893700473</c:v>
                </c:pt>
                <c:pt idx="5">
                  <c:v>25914.833712778549</c:v>
                </c:pt>
                <c:pt idx="6">
                  <c:v>24441.599063183628</c:v>
                </c:pt>
                <c:pt idx="7">
                  <c:v>23679.077611500525</c:v>
                </c:pt>
                <c:pt idx="8">
                  <c:v>23254.208589448768</c:v>
                </c:pt>
                <c:pt idx="9">
                  <c:v>22219.132090361942</c:v>
                </c:pt>
                <c:pt idx="10">
                  <c:v>21490.661628374091</c:v>
                </c:pt>
                <c:pt idx="11">
                  <c:v>20320.56273294349</c:v>
                </c:pt>
                <c:pt idx="12">
                  <c:v>19565.347099597166</c:v>
                </c:pt>
                <c:pt idx="13">
                  <c:v>18540.703994148884</c:v>
                </c:pt>
                <c:pt idx="14">
                  <c:v>17371.880045032889</c:v>
                </c:pt>
                <c:pt idx="15">
                  <c:v>16162.731379978617</c:v>
                </c:pt>
                <c:pt idx="16">
                  <c:v>15118.353671173883</c:v>
                </c:pt>
                <c:pt idx="17">
                  <c:v>14042.027959061052</c:v>
                </c:pt>
                <c:pt idx="18">
                  <c:v>13279.472101461788</c:v>
                </c:pt>
                <c:pt idx="19">
                  <c:v>12405.509996878554</c:v>
                </c:pt>
                <c:pt idx="20">
                  <c:v>11640.478756597358</c:v>
                </c:pt>
                <c:pt idx="21">
                  <c:v>11209.891657435042</c:v>
                </c:pt>
                <c:pt idx="22">
                  <c:v>10787.150870329622</c:v>
                </c:pt>
                <c:pt idx="23">
                  <c:v>10387.499588385426</c:v>
                </c:pt>
                <c:pt idx="24">
                  <c:v>9986.95014031143</c:v>
                </c:pt>
                <c:pt idx="25">
                  <c:v>9589.4656453618918</c:v>
                </c:pt>
                <c:pt idx="26">
                  <c:v>9205.7431948028716</c:v>
                </c:pt>
                <c:pt idx="27">
                  <c:v>8785.5480444462428</c:v>
                </c:pt>
                <c:pt idx="28">
                  <c:v>8405.219806442803</c:v>
                </c:pt>
                <c:pt idx="29">
                  <c:v>8037.3126964583162</c:v>
                </c:pt>
                <c:pt idx="30">
                  <c:v>7622.3800311586701</c:v>
                </c:pt>
                <c:pt idx="31">
                  <c:v>7346.9767642316701</c:v>
                </c:pt>
                <c:pt idx="32">
                  <c:v>7084.4504079592871</c:v>
                </c:pt>
                <c:pt idx="33">
                  <c:v>6775.5309880061022</c:v>
                </c:pt>
                <c:pt idx="34">
                  <c:v>6510.404290368584</c:v>
                </c:pt>
                <c:pt idx="35">
                  <c:v>6244.2552383879074</c:v>
                </c:pt>
              </c:numCache>
            </c:numRef>
          </c:val>
          <c:smooth val="0"/>
          <c:extLst>
            <c:ext xmlns:c16="http://schemas.microsoft.com/office/drawing/2014/chart" uri="{C3380CC4-5D6E-409C-BE32-E72D297353CC}">
              <c16:uniqueId val="{0000004E-CDD2-4003-93A0-BE7AA8EFB59F}"/>
            </c:ext>
          </c:extLst>
        </c:ser>
        <c:ser>
          <c:idx val="4"/>
          <c:order val="4"/>
          <c:tx>
            <c:strRef>
              <c:f>'Carbon Budgets Results'!$G$84</c:f>
              <c:strCache>
                <c:ptCount val="1"/>
                <c:pt idx="0">
                  <c:v>Patchwork</c:v>
                </c:pt>
              </c:strCache>
            </c:strRef>
          </c:tx>
          <c:marker>
            <c:symbol val="none"/>
          </c:marker>
          <c:cat>
            <c:numRef>
              <c:f>'Carbon Budgets Results'!$H$79:$AQ$79</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'Carbon Budgets Results'!$H$84:$AQ$84</c:f>
              <c:numCache>
                <c:formatCode>General</c:formatCode>
                <c:ptCount val="36"/>
                <c:pt idx="0">
                  <c:v>33909.294600698297</c:v>
                </c:pt>
                <c:pt idx="1">
                  <c:v>32931.320525241179</c:v>
                </c:pt>
                <c:pt idx="2">
                  <c:v>30995.963180157061</c:v>
                </c:pt>
                <c:pt idx="3">
                  <c:v>28068.708958122763</c:v>
                </c:pt>
                <c:pt idx="4">
                  <c:v>26450.636425723678</c:v>
                </c:pt>
                <c:pt idx="5">
                  <c:v>25914.811955863959</c:v>
                </c:pt>
                <c:pt idx="6">
                  <c:v>24438.527697552276</c:v>
                </c:pt>
                <c:pt idx="7">
                  <c:v>23671.872384577338</c:v>
                </c:pt>
                <c:pt idx="8">
                  <c:v>23242.865935598707</c:v>
                </c:pt>
                <c:pt idx="9">
                  <c:v>22201.452201371238</c:v>
                </c:pt>
                <c:pt idx="10">
                  <c:v>21466.761717020239</c:v>
                </c:pt>
                <c:pt idx="11">
                  <c:v>20327.441927303509</c:v>
                </c:pt>
                <c:pt idx="12">
                  <c:v>19602.938716718552</c:v>
                </c:pt>
                <c:pt idx="13">
                  <c:v>18602.867551843643</c:v>
                </c:pt>
                <c:pt idx="14">
                  <c:v>17454.288205298948</c:v>
                </c:pt>
                <c:pt idx="15">
                  <c:v>16260.204798972545</c:v>
                </c:pt>
                <c:pt idx="16">
                  <c:v>15168.253082907369</c:v>
                </c:pt>
                <c:pt idx="17">
                  <c:v>14044.38766660592</c:v>
                </c:pt>
                <c:pt idx="18">
                  <c:v>13234.848274308633</c:v>
                </c:pt>
                <c:pt idx="19">
                  <c:v>12309.427362210759</c:v>
                </c:pt>
                <c:pt idx="20">
                  <c:v>11484.218194834411</c:v>
                </c:pt>
                <c:pt idx="21">
                  <c:v>11005.685631324128</c:v>
                </c:pt>
                <c:pt idx="22">
                  <c:v>10527.717823817689</c:v>
                </c:pt>
                <c:pt idx="23">
                  <c:v>9916.1343786941779</c:v>
                </c:pt>
                <c:pt idx="24">
                  <c:v>9293.2948845755709</c:v>
                </c:pt>
                <c:pt idx="25">
                  <c:v>8621.7985221465005</c:v>
                </c:pt>
                <c:pt idx="26">
                  <c:v>8095.2700848895092</c:v>
                </c:pt>
                <c:pt idx="27">
                  <c:v>7539.0391091891561</c:v>
                </c:pt>
                <c:pt idx="28">
                  <c:v>7060.8402835131801</c:v>
                </c:pt>
                <c:pt idx="29">
                  <c:v>6656.4938365466778</c:v>
                </c:pt>
                <c:pt idx="30">
                  <c:v>6206.4430791004179</c:v>
                </c:pt>
                <c:pt idx="31">
                  <c:v>5827.1825347866152</c:v>
                </c:pt>
                <c:pt idx="32">
                  <c:v>5460.7401991228835</c:v>
                </c:pt>
                <c:pt idx="33">
                  <c:v>5046.6355102109819</c:v>
                </c:pt>
                <c:pt idx="34">
                  <c:v>4682.6186053719057</c:v>
                </c:pt>
                <c:pt idx="35">
                  <c:v>4317.3948067766787</c:v>
                </c:pt>
              </c:numCache>
            </c:numRef>
          </c:val>
          <c:smooth val="0"/>
          <c:extLst>
            <c:ext xmlns:c16="http://schemas.microsoft.com/office/drawing/2014/chart" uri="{C3380CC4-5D6E-409C-BE32-E72D297353CC}">
              <c16:uniqueId val="{0000004F-CDD2-4003-93A0-BE7AA8EFB59F}"/>
            </c:ext>
          </c:extLst>
        </c:ser>
        <c:dLbls>
          <c:showLegendKey val="0"/>
          <c:showVal val="0"/>
          <c:showCatName val="0"/>
          <c:showSerName val="0"/>
          <c:showPercent val="0"/>
          <c:showBubbleSize val="0"/>
        </c:dLbls>
        <c:smooth val="0"/>
        <c:axId val="101507840"/>
        <c:axId val="101509376"/>
      </c:lineChart>
      <c:catAx>
        <c:axId val="101507840"/>
        <c:scaling>
          <c:orientation val="minMax"/>
        </c:scaling>
        <c:delete val="0"/>
        <c:axPos val="b"/>
        <c:numFmt formatCode="General" sourceLinked="1"/>
        <c:majorTickMark val="out"/>
        <c:minorTickMark val="none"/>
        <c:tickLblPos val="nextTo"/>
        <c:spPr>
          <a:ln>
            <a:solidFill>
              <a:schemeClr val="bg1">
                <a:lumMod val="85000"/>
              </a:schemeClr>
            </a:solidFill>
          </a:ln>
        </c:spPr>
        <c:txPr>
          <a:bodyPr rot="0" vert="horz"/>
          <a:lstStyle/>
          <a:p>
            <a:pPr>
              <a:defRPr/>
            </a:pPr>
            <a:endParaRPr lang="en-US"/>
          </a:p>
        </c:txPr>
        <c:crossAx val="101509376"/>
        <c:crosses val="autoZero"/>
        <c:auto val="1"/>
        <c:lblAlgn val="ctr"/>
        <c:lblOffset val="100"/>
        <c:tickLblSkip val="5"/>
        <c:tickMarkSkip val="5"/>
        <c:noMultiLvlLbl val="0"/>
      </c:catAx>
      <c:valAx>
        <c:axId val="101509376"/>
        <c:scaling>
          <c:orientation val="minMax"/>
        </c:scaling>
        <c:delete val="0"/>
        <c:axPos val="l"/>
        <c:title>
          <c:tx>
            <c:rich>
              <a:bodyPr rot="-5400000" vert="horz"/>
              <a:lstStyle/>
              <a:p>
                <a:pPr>
                  <a:defRPr/>
                </a:pPr>
                <a:r>
                  <a:rPr lang="en-US"/>
                  <a:t> GHG EMISSIONS (ktCO2e) </a:t>
                </a:r>
              </a:p>
            </c:rich>
          </c:tx>
          <c:layout>
            <c:manualLayout>
              <c:xMode val="edge"/>
              <c:yMode val="edge"/>
              <c:x val="1.3482133653378886E-2"/>
              <c:y val="0.12665333110265717"/>
            </c:manualLayout>
          </c:layout>
          <c:overlay val="0"/>
        </c:title>
        <c:numFmt formatCode="#,##0" sourceLinked="0"/>
        <c:majorTickMark val="out"/>
        <c:minorTickMark val="none"/>
        <c:tickLblPos val="nextTo"/>
        <c:spPr>
          <a:ln>
            <a:solidFill>
              <a:schemeClr val="bg1">
                <a:lumMod val="85000"/>
              </a:schemeClr>
            </a:solidFill>
          </a:ln>
        </c:spPr>
        <c:crossAx val="101507840"/>
        <c:crosses val="autoZero"/>
        <c:crossBetween val="between"/>
      </c:valAx>
      <c:spPr>
        <a:noFill/>
        <a:ln>
          <a:noFill/>
        </a:ln>
      </c:spPr>
    </c:plotArea>
    <c:legend>
      <c:legendPos val="r"/>
      <c:layout>
        <c:manualLayout>
          <c:xMode val="edge"/>
          <c:yMode val="edge"/>
          <c:x val="0.68036996794789228"/>
          <c:y val="5.1398108144936998E-2"/>
          <c:w val="0.29294930576027445"/>
          <c:h val="0.49644039499753445"/>
        </c:manualLayout>
      </c:layout>
      <c:overlay val="0"/>
    </c:legend>
    <c:plotVisOnly val="1"/>
    <c:dispBlanksAs val="gap"/>
    <c:showDLblsOverMax val="0"/>
  </c:chart>
  <c:spPr>
    <a:noFill/>
    <a:ln>
      <a:noFill/>
    </a:ln>
  </c:spPr>
  <c:txPr>
    <a:bodyPr/>
    <a:lstStyle/>
    <a:p>
      <a:pPr>
        <a:defRPr sz="900">
          <a:solidFill>
            <a:schemeClr val="tx1">
              <a:lumMod val="75000"/>
              <a:lumOff val="25000"/>
            </a:schemeClr>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Total Energy Demand</c:v>
          </c:tx>
          <c:spPr>
            <a:ln w="28575" cap="rnd">
              <a:solidFill>
                <a:schemeClr val="accent1"/>
              </a:solidFill>
              <a:round/>
            </a:ln>
            <a:effectLst/>
          </c:spPr>
          <c:marker>
            <c:symbol val="none"/>
          </c:marker>
          <c:cat>
            <c:numRef>
              <c:f>'Energy demand'!$P$2:$AX$2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Lit>
              <c:formatCode>General</c:formatCode>
              <c:ptCount val="1"/>
              <c:pt idx="0">
                <c:v>1</c:v>
              </c:pt>
            </c:numLit>
          </c:val>
          <c:smooth val="0"/>
          <c:extLst>
            <c:ext xmlns:c16="http://schemas.microsoft.com/office/drawing/2014/chart" uri="{C3380CC4-5D6E-409C-BE32-E72D297353CC}">
              <c16:uniqueId val="{00000000-9EB6-4742-BCA9-539A0BFC158C}"/>
            </c:ext>
          </c:extLst>
        </c:ser>
        <c:dLbls>
          <c:showLegendKey val="0"/>
          <c:showVal val="0"/>
          <c:showCatName val="0"/>
          <c:showSerName val="0"/>
          <c:showPercent val="0"/>
          <c:showBubbleSize val="0"/>
        </c:dLbls>
        <c:marker val="1"/>
        <c:smooth val="0"/>
        <c:axId val="1247206520"/>
        <c:axId val="1247206848"/>
      </c:lineChart>
      <c:lineChart>
        <c:grouping val="standard"/>
        <c:varyColors val="0"/>
        <c:ser>
          <c:idx val="1"/>
          <c:order val="1"/>
          <c:tx>
            <c:v>Year on year percentage reduction</c:v>
          </c:tx>
          <c:spPr>
            <a:ln w="28575" cap="rnd">
              <a:solidFill>
                <a:schemeClr val="accent2"/>
              </a:solidFill>
              <a:round/>
            </a:ln>
            <a:effectLst/>
          </c:spPr>
          <c:marker>
            <c:symbol val="none"/>
          </c:marker>
          <c:dPt>
            <c:idx val="11"/>
            <c:marker>
              <c:symbol val="none"/>
            </c:marker>
            <c:bubble3D val="0"/>
            <c:spPr>
              <a:ln w="28575" cap="rnd">
                <a:noFill/>
                <a:round/>
              </a:ln>
              <a:effectLst/>
            </c:spPr>
            <c:extLst>
              <c:ext xmlns:c16="http://schemas.microsoft.com/office/drawing/2014/chart" uri="{C3380CC4-5D6E-409C-BE32-E72D297353CC}">
                <c16:uniqueId val="{00000002-9EB6-4742-BCA9-539A0BFC158C}"/>
              </c:ext>
            </c:extLst>
          </c:dPt>
          <c:val>
            <c:numLit>
              <c:formatCode>General</c:formatCode>
              <c:ptCount val="1"/>
              <c:pt idx="0">
                <c:v>1</c:v>
              </c:pt>
            </c:numLit>
          </c:val>
          <c:smooth val="0"/>
          <c:extLst>
            <c:ext xmlns:c16="http://schemas.microsoft.com/office/drawing/2014/chart" uri="{C3380CC4-5D6E-409C-BE32-E72D297353CC}">
              <c16:uniqueId val="{00000001-9EB6-4742-BCA9-539A0BFC158C}"/>
            </c:ext>
          </c:extLst>
        </c:ser>
        <c:dLbls>
          <c:showLegendKey val="0"/>
          <c:showVal val="0"/>
          <c:showCatName val="0"/>
          <c:showSerName val="0"/>
          <c:showPercent val="0"/>
          <c:showBubbleSize val="0"/>
        </c:dLbls>
        <c:marker val="1"/>
        <c:smooth val="0"/>
        <c:axId val="1496221448"/>
        <c:axId val="1496220792"/>
      </c:lineChart>
      <c:catAx>
        <c:axId val="1247206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7206848"/>
        <c:crosses val="autoZero"/>
        <c:auto val="1"/>
        <c:lblAlgn val="ctr"/>
        <c:lblOffset val="100"/>
        <c:noMultiLvlLbl val="0"/>
      </c:catAx>
      <c:valAx>
        <c:axId val="12472068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Energy Demand (GWh/year)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7206520"/>
        <c:crosses val="autoZero"/>
        <c:crossBetween val="between"/>
      </c:valAx>
      <c:valAx>
        <c:axId val="1496220792"/>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Reduction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6221448"/>
        <c:crosses val="max"/>
        <c:crossBetween val="between"/>
      </c:valAx>
      <c:catAx>
        <c:axId val="1496221448"/>
        <c:scaling>
          <c:orientation val="minMax"/>
        </c:scaling>
        <c:delete val="1"/>
        <c:axPos val="b"/>
        <c:majorTickMark val="out"/>
        <c:minorTickMark val="none"/>
        <c:tickLblPos val="nextTo"/>
        <c:crossAx val="149622079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3.xml.rels><?xml version="1.0" encoding="UTF-8" standalone="yes"?>
<Relationships xmlns="http://schemas.openxmlformats.org/package/2006/relationships"><Relationship Id="rId1" Type="http://schemas.openxmlformats.org/officeDocument/2006/relationships/hyperlink" Target="#INDEX!A1"/></Relationships>
</file>

<file path=xl/drawings/drawing1.xml><?xml version="1.0" encoding="utf-8"?>
<xdr:wsDr xmlns:xdr="http://schemas.openxmlformats.org/drawingml/2006/spreadsheetDrawing" xmlns:a="http://schemas.openxmlformats.org/drawingml/2006/main">
  <xdr:twoCellAnchor>
    <xdr:from>
      <xdr:col>0</xdr:col>
      <xdr:colOff>104775</xdr:colOff>
      <xdr:row>111</xdr:row>
      <xdr:rowOff>74839</xdr:rowOff>
    </xdr:from>
    <xdr:to>
      <xdr:col>7</xdr:col>
      <xdr:colOff>238125</xdr:colOff>
      <xdr:row>112</xdr:row>
      <xdr:rowOff>0</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307700</xdr:colOff>
      <xdr:row>111</xdr:row>
      <xdr:rowOff>77321</xdr:rowOff>
    </xdr:from>
    <xdr:to>
      <xdr:col>27</xdr:col>
      <xdr:colOff>204507</xdr:colOff>
      <xdr:row>112</xdr:row>
      <xdr:rowOff>0</xdr:rowOff>
    </xdr:to>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304800</xdr:colOff>
      <xdr:row>111</xdr:row>
      <xdr:rowOff>57150</xdr:rowOff>
    </xdr:from>
    <xdr:to>
      <xdr:col>18</xdr:col>
      <xdr:colOff>123825</xdr:colOff>
      <xdr:row>112</xdr:row>
      <xdr:rowOff>0</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112</xdr:row>
      <xdr:rowOff>0</xdr:rowOff>
    </xdr:from>
    <xdr:to>
      <xdr:col>7</xdr:col>
      <xdr:colOff>276225</xdr:colOff>
      <xdr:row>112</xdr:row>
      <xdr:rowOff>0</xdr:rowOff>
    </xdr:to>
    <xdr:graphicFrame macro="">
      <xdr:nvGraphicFramePr>
        <xdr:cNvPr id="13" name="Chart 12">
          <a:extLst>
            <a:ext uri="{FF2B5EF4-FFF2-40B4-BE49-F238E27FC236}">
              <a16:creationId xmlns:a16="http://schemas.microsoft.com/office/drawing/2014/main" id="{00000000-0008-0000-0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335145</xdr:colOff>
      <xdr:row>3</xdr:row>
      <xdr:rowOff>104775</xdr:rowOff>
    </xdr:from>
    <xdr:to>
      <xdr:col>27</xdr:col>
      <xdr:colOff>114250</xdr:colOff>
      <xdr:row>19</xdr:row>
      <xdr:rowOff>0</xdr:rowOff>
    </xdr:to>
    <xdr:graphicFrame macro="">
      <xdr:nvGraphicFramePr>
        <xdr:cNvPr id="14" name="Chart 13">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134471</xdr:colOff>
      <xdr:row>54</xdr:row>
      <xdr:rowOff>255</xdr:rowOff>
    </xdr:from>
    <xdr:to>
      <xdr:col>37</xdr:col>
      <xdr:colOff>145678</xdr:colOff>
      <xdr:row>68</xdr:row>
      <xdr:rowOff>67236</xdr:rowOff>
    </xdr:to>
    <xdr:graphicFrame macro="">
      <xdr:nvGraphicFramePr>
        <xdr:cNvPr id="15" name="Chart 14">
          <a:extLst>
            <a:ext uri="{FF2B5EF4-FFF2-40B4-BE49-F238E27FC236}">
              <a16:creationId xmlns:a16="http://schemas.microsoft.com/office/drawing/2014/main" id="{00000000-0008-0000-0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236187</xdr:colOff>
      <xdr:row>70</xdr:row>
      <xdr:rowOff>31069</xdr:rowOff>
    </xdr:from>
    <xdr:to>
      <xdr:col>32</xdr:col>
      <xdr:colOff>430390</xdr:colOff>
      <xdr:row>88</xdr:row>
      <xdr:rowOff>7055</xdr:rowOff>
    </xdr:to>
    <xdr:graphicFrame macro="">
      <xdr:nvGraphicFramePr>
        <xdr:cNvPr id="16" name="Chart 15">
          <a:extLst>
            <a:ext uri="{FF2B5EF4-FFF2-40B4-BE49-F238E27FC236}">
              <a16:creationId xmlns:a16="http://schemas.microsoft.com/office/drawing/2014/main" id="{92A190CA-EDCC-4A99-BA95-7DA2E47DCC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11205</xdr:colOff>
      <xdr:row>27</xdr:row>
      <xdr:rowOff>134470</xdr:rowOff>
    </xdr:from>
    <xdr:to>
      <xdr:col>33</xdr:col>
      <xdr:colOff>235323</xdr:colOff>
      <xdr:row>51</xdr:row>
      <xdr:rowOff>123265</xdr:rowOff>
    </xdr:to>
    <xdr:graphicFrame macro="">
      <xdr:nvGraphicFramePr>
        <xdr:cNvPr id="17" name="Chart 16">
          <a:extLst>
            <a:ext uri="{FF2B5EF4-FFF2-40B4-BE49-F238E27FC236}">
              <a16:creationId xmlns:a16="http://schemas.microsoft.com/office/drawing/2014/main" id="{9B73CE47-8B9C-4FF1-B68E-43868DD350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324173</xdr:colOff>
      <xdr:row>89</xdr:row>
      <xdr:rowOff>63442</xdr:rowOff>
    </xdr:from>
    <xdr:to>
      <xdr:col>31</xdr:col>
      <xdr:colOff>381000</xdr:colOff>
      <xdr:row>107</xdr:row>
      <xdr:rowOff>35278</xdr:rowOff>
    </xdr:to>
    <xdr:graphicFrame macro="">
      <xdr:nvGraphicFramePr>
        <xdr:cNvPr id="18" name="Chart 17">
          <a:extLst>
            <a:ext uri="{FF2B5EF4-FFF2-40B4-BE49-F238E27FC236}">
              <a16:creationId xmlns:a16="http://schemas.microsoft.com/office/drawing/2014/main" id="{465DC991-0776-4977-917C-C92A3F0A21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188739</xdr:colOff>
      <xdr:row>3</xdr:row>
      <xdr:rowOff>125941</xdr:rowOff>
    </xdr:from>
    <xdr:to>
      <xdr:col>37</xdr:col>
      <xdr:colOff>391177</xdr:colOff>
      <xdr:row>19</xdr:row>
      <xdr:rowOff>21166</xdr:rowOff>
    </xdr:to>
    <xdr:graphicFrame macro="">
      <xdr:nvGraphicFramePr>
        <xdr:cNvPr id="19" name="Chart 18">
          <a:extLst>
            <a:ext uri="{FF2B5EF4-FFF2-40B4-BE49-F238E27FC236}">
              <a16:creationId xmlns:a16="http://schemas.microsoft.com/office/drawing/2014/main" id="{0CDA42D5-E9A2-40C8-BD60-39989A960F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40</xdr:col>
      <xdr:colOff>52916</xdr:colOff>
      <xdr:row>4</xdr:row>
      <xdr:rowOff>21167</xdr:rowOff>
    </xdr:from>
    <xdr:to>
      <xdr:col>50</xdr:col>
      <xdr:colOff>409222</xdr:colOff>
      <xdr:row>19</xdr:row>
      <xdr:rowOff>50448</xdr:rowOff>
    </xdr:to>
    <xdr:graphicFrame macro="">
      <xdr:nvGraphicFramePr>
        <xdr:cNvPr id="22" name="Chart 21">
          <a:extLst>
            <a:ext uri="{FF2B5EF4-FFF2-40B4-BE49-F238E27FC236}">
              <a16:creationId xmlns:a16="http://schemas.microsoft.com/office/drawing/2014/main" id="{309E0F03-9919-4120-982B-2555A1447D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29</xdr:col>
      <xdr:colOff>381007</xdr:colOff>
      <xdr:row>151</xdr:row>
      <xdr:rowOff>0</xdr:rowOff>
    </xdr:from>
    <xdr:to>
      <xdr:col>34</xdr:col>
      <xdr:colOff>694772</xdr:colOff>
      <xdr:row>164</xdr:row>
      <xdr:rowOff>38099</xdr:rowOff>
    </xdr:to>
    <xdr:graphicFrame macro="">
      <xdr:nvGraphicFramePr>
        <xdr:cNvPr id="3" name="Chart 2">
          <a:extLst>
            <a:ext uri="{FF2B5EF4-FFF2-40B4-BE49-F238E27FC236}">
              <a16:creationId xmlns:a16="http://schemas.microsoft.com/office/drawing/2014/main" id="{00000000-0008-0000-1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2</xdr:row>
      <xdr:rowOff>0</xdr:rowOff>
    </xdr:from>
    <xdr:to>
      <xdr:col>4</xdr:col>
      <xdr:colOff>0</xdr:colOff>
      <xdr:row>2</xdr:row>
      <xdr:rowOff>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1C00-000002000000}"/>
            </a:ext>
          </a:extLst>
        </xdr:cNvPr>
        <xdr:cNvSpPr/>
      </xdr:nvSpPr>
      <xdr:spPr>
        <a:xfrm>
          <a:off x="695325" y="381000"/>
          <a:ext cx="0" cy="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latin typeface="Segoe UI" panose="020B0502040204020203" pitchFamily="34" charset="0"/>
              <a:ea typeface="Segoe UI" panose="020B0502040204020203" pitchFamily="34" charset="0"/>
              <a:cs typeface="Segoe UI" panose="020B0502040204020203" pitchFamily="34" charset="0"/>
            </a:rPr>
            <a:t>Return</a:t>
          </a:r>
          <a:r>
            <a:rPr lang="en-GB" sz="1200" baseline="0">
              <a:latin typeface="Segoe UI" panose="020B0502040204020203" pitchFamily="34" charset="0"/>
              <a:ea typeface="Segoe UI" panose="020B0502040204020203" pitchFamily="34" charset="0"/>
              <a:cs typeface="Segoe UI" panose="020B0502040204020203" pitchFamily="34" charset="0"/>
            </a:rPr>
            <a:t> to index</a:t>
          </a:r>
          <a:endParaRPr lang="en-GB" sz="1200">
            <a:latin typeface="Segoe UI" panose="020B0502040204020203" pitchFamily="34" charset="0"/>
            <a:ea typeface="Segoe UI" panose="020B0502040204020203" pitchFamily="34" charset="0"/>
            <a:cs typeface="Segoe UI" panose="020B0502040204020203"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Katherine Orchard" id="{B48BAA9C-8F47-49F1-B708-A2364D5487A1}" userId="S::katherine.orchard@element-energy.co.uk::6a881fa2-a535-4e02-9dbb-e7724289f25d" providerId="AD"/>
</personList>
</file>

<file path=xl/theme/theme1.xml><?xml version="1.0" encoding="utf-8"?>
<a:theme xmlns:a="http://schemas.openxmlformats.org/drawingml/2006/main" name="Office Theme">
  <a:themeElements>
    <a:clrScheme name="Slipstream">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19" dT="2021-11-24T08:45:38.23" personId="{B48BAA9C-8F47-49F1-B708-A2364D5487A1}" id="{CB7B982C-DD09-4B88-A4B6-FAA90C1A2767}">
    <text>Need to update this row</text>
  </threadedComment>
</ThreadedComments>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environment@london.gov.u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https://data.london.gov.uk/dataset/london-atmospheric-emissions-inventory-2013" TargetMode="External"/></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5.bin"/><Relationship Id="rId4"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hyperlink" Target="https://www.gov.uk/government/uploads/system/uploads/attachment_data/file/224437/pb13988-emission-factor-methodology-130719.pdf" TargetMode="External"/><Relationship Id="rId7" Type="http://schemas.openxmlformats.org/officeDocument/2006/relationships/comments" Target="../comments6.xml"/><Relationship Id="rId2" Type="http://schemas.openxmlformats.org/officeDocument/2006/relationships/hyperlink" Target="https://www.theccc.org.uk/publication/2017-report-to-parliament-meeting-carbon-budgets-closing-the-policy-gap/" TargetMode="External"/><Relationship Id="rId1" Type="http://schemas.openxmlformats.org/officeDocument/2006/relationships/hyperlink" Target="https://www.gov.uk/government/uploads/system/uploads/attachment_data/file/224437/pb13988-emission-factor-methodology-130719.pdf" TargetMode="External"/><Relationship Id="rId6" Type="http://schemas.openxmlformats.org/officeDocument/2006/relationships/vmlDrawing" Target="../drawings/vmlDrawing6.vml"/><Relationship Id="rId5" Type="http://schemas.openxmlformats.org/officeDocument/2006/relationships/printerSettings" Target="../printerSettings/printerSettings17.bin"/><Relationship Id="rId4" Type="http://schemas.openxmlformats.org/officeDocument/2006/relationships/hyperlink" Target="http://fes.nationalgrid.com/fes-document/"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27.bin"/><Relationship Id="rId1" Type="http://schemas.openxmlformats.org/officeDocument/2006/relationships/hyperlink" Target="https://www.gov.uk/government/statistics/uk-local-authority-and-regional-carbon-dioxide-emissions-national-statistics-2005-2015"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4.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pageSetUpPr autoPageBreaks="0"/>
  </sheetPr>
  <dimension ref="C2:F28"/>
  <sheetViews>
    <sheetView tabSelected="1" zoomScaleNormal="100" workbookViewId="0">
      <selection activeCell="F13" sqref="F13"/>
    </sheetView>
  </sheetViews>
  <sheetFormatPr defaultColWidth="9.140625" defaultRowHeight="14.25"/>
  <cols>
    <col min="1" max="4" width="1.85546875" style="213" customWidth="1"/>
    <col min="5" max="5" width="14.85546875" style="213" customWidth="1"/>
    <col min="6" max="6" width="94.140625" style="213" customWidth="1"/>
    <col min="7" max="7" width="14.140625" style="213" customWidth="1"/>
    <col min="8" max="9" width="9.140625" style="213"/>
    <col min="10" max="16383" width="9.140625" style="213" customWidth="1"/>
    <col min="16384" max="16384" width="9.140625" style="213"/>
  </cols>
  <sheetData>
    <row r="2" spans="3:6" ht="15">
      <c r="C2" s="214" t="s">
        <v>0</v>
      </c>
      <c r="F2" s="209" t="s">
        <v>1</v>
      </c>
    </row>
    <row r="3" spans="3:6" ht="15" customHeight="1">
      <c r="C3" s="214"/>
      <c r="F3" s="216"/>
    </row>
    <row r="4" spans="3:6" ht="15">
      <c r="C4" s="214" t="s">
        <v>2</v>
      </c>
      <c r="F4" s="209" t="s">
        <v>3</v>
      </c>
    </row>
    <row r="5" spans="3:6" ht="15">
      <c r="C5" s="214"/>
      <c r="F5" s="216"/>
    </row>
    <row r="6" spans="3:6" ht="15">
      <c r="C6" s="214" t="s">
        <v>4</v>
      </c>
      <c r="F6" s="210" t="s">
        <v>5</v>
      </c>
    </row>
    <row r="7" spans="3:6" ht="15">
      <c r="C7" s="214"/>
      <c r="F7" s="216"/>
    </row>
    <row r="8" spans="3:6" ht="15">
      <c r="C8" s="214" t="s">
        <v>6</v>
      </c>
      <c r="F8" s="211">
        <v>44630</v>
      </c>
    </row>
    <row r="9" spans="3:6" ht="15">
      <c r="C9" s="214"/>
      <c r="F9" s="216"/>
    </row>
    <row r="10" spans="3:6" ht="15">
      <c r="C10" s="215" t="s">
        <v>7</v>
      </c>
      <c r="F10" s="212" t="s">
        <v>8</v>
      </c>
    </row>
    <row r="11" spans="3:6" ht="15">
      <c r="C11" s="214"/>
      <c r="F11" s="216"/>
    </row>
    <row r="12" spans="3:6" ht="115.5">
      <c r="C12" s="214" t="s">
        <v>9</v>
      </c>
      <c r="F12" s="249" t="s">
        <v>10</v>
      </c>
    </row>
    <row r="13" spans="3:6">
      <c r="F13" s="216"/>
    </row>
    <row r="14" spans="3:6" ht="15">
      <c r="C14" s="214" t="s">
        <v>11</v>
      </c>
      <c r="F14" s="645" t="s">
        <v>12</v>
      </c>
    </row>
    <row r="15" spans="3:6">
      <c r="F15" s="646"/>
    </row>
    <row r="16" spans="3:6">
      <c r="F16" s="646"/>
    </row>
    <row r="17" spans="6:6">
      <c r="F17" s="646"/>
    </row>
    <row r="18" spans="6:6">
      <c r="F18" s="646"/>
    </row>
    <row r="19" spans="6:6">
      <c r="F19" s="646"/>
    </row>
    <row r="20" spans="6:6">
      <c r="F20" s="646"/>
    </row>
    <row r="21" spans="6:6">
      <c r="F21" s="646"/>
    </row>
    <row r="22" spans="6:6">
      <c r="F22" s="646"/>
    </row>
    <row r="23" spans="6:6">
      <c r="F23" s="646"/>
    </row>
    <row r="24" spans="6:6">
      <c r="F24" s="646"/>
    </row>
    <row r="25" spans="6:6">
      <c r="F25" s="646"/>
    </row>
    <row r="26" spans="6:6" ht="18" customHeight="1">
      <c r="F26" s="646"/>
    </row>
    <row r="27" spans="6:6">
      <c r="F27" s="647"/>
    </row>
    <row r="28" spans="6:6">
      <c r="F28" s="216"/>
    </row>
  </sheetData>
  <sheetProtection algorithmName="SHA-512" hashValue="M4m6geg/DC3m7arwUvDvB5PXVxtNK0TboxlQh8ZNNbcnt3aeaEZBJhwFdIUNz6EnZjp3idZ9VC+UTwaSHo9XGg==" saltValue="nYvuH2M40IDQeJqIl3fUlg==" spinCount="100000" sheet="1" objects="1" scenarios="1"/>
  <mergeCells count="1">
    <mergeCell ref="F14:F27"/>
  </mergeCells>
  <hyperlinks>
    <hyperlink ref="F6" r:id="rId1" xr:uid="{00000000-0004-0000-0000-000000000000}"/>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9"/>
  <dimension ref="A3:K9503"/>
  <sheetViews>
    <sheetView zoomScaleNormal="100" workbookViewId="0">
      <pane ySplit="2" topLeftCell="A21" activePane="bottomLeft" state="frozen"/>
      <selection activeCell="AD1" sqref="AD1"/>
      <selection pane="bottomLeft" activeCell="F27" sqref="F27"/>
    </sheetView>
  </sheetViews>
  <sheetFormatPr defaultRowHeight="15"/>
  <cols>
    <col min="1" max="1" width="13.85546875" bestFit="1" customWidth="1"/>
    <col min="2" max="2" width="20.85546875" bestFit="1" customWidth="1"/>
    <col min="3" max="3" width="35.140625" customWidth="1"/>
    <col min="4" max="5" width="7.85546875" customWidth="1"/>
    <col min="6" max="6" width="17.85546875" customWidth="1"/>
    <col min="7" max="11" width="7.85546875" customWidth="1"/>
    <col min="12" max="12" width="2.140625" customWidth="1"/>
    <col min="13" max="13" width="3.140625" customWidth="1"/>
    <col min="14" max="14" width="5.42578125" customWidth="1"/>
    <col min="15" max="16" width="3.42578125" customWidth="1"/>
    <col min="17" max="17" width="2.140625" customWidth="1"/>
    <col min="18" max="18" width="2.85546875" customWidth="1"/>
    <col min="19" max="19" width="3.5703125" customWidth="1"/>
    <col min="20" max="20" width="3" customWidth="1"/>
    <col min="21" max="21" width="1.5703125" customWidth="1"/>
    <col min="24" max="24" width="6.140625" customWidth="1"/>
    <col min="27" max="27" width="21" customWidth="1"/>
    <col min="28" max="28" width="15.140625" customWidth="1"/>
    <col min="29" max="29" width="25.140625" customWidth="1"/>
    <col min="30" max="30" width="106" customWidth="1"/>
    <col min="31" max="31" width="37" customWidth="1"/>
    <col min="32" max="34" width="37.140625" customWidth="1"/>
    <col min="39" max="39" width="40.85546875" customWidth="1"/>
  </cols>
  <sheetData>
    <row r="3" spans="1:11" ht="15" customHeight="1">
      <c r="A3" t="s">
        <v>13</v>
      </c>
      <c r="B3" t="s">
        <v>14</v>
      </c>
      <c r="C3" t="s">
        <v>15</v>
      </c>
      <c r="D3" t="s">
        <v>16</v>
      </c>
      <c r="E3" t="s">
        <v>17</v>
      </c>
      <c r="F3" t="s">
        <v>18</v>
      </c>
      <c r="G3" t="s">
        <v>19</v>
      </c>
      <c r="H3" t="s">
        <v>20</v>
      </c>
      <c r="I3" t="s">
        <v>21</v>
      </c>
    </row>
    <row r="4" spans="1:11" ht="15" customHeight="1">
      <c r="A4">
        <v>1</v>
      </c>
      <c r="B4" t="s">
        <v>22</v>
      </c>
      <c r="C4" s="318" t="s">
        <v>23</v>
      </c>
      <c r="D4" s="318" t="s">
        <v>24</v>
      </c>
      <c r="E4" s="318" t="s">
        <v>25</v>
      </c>
      <c r="F4" s="318" t="s">
        <v>26</v>
      </c>
      <c r="G4" s="318" t="s">
        <v>27</v>
      </c>
      <c r="H4" s="318" t="s">
        <v>22</v>
      </c>
      <c r="I4" s="318" t="str">
        <f>B4&amp;C4&amp;D4&amp;E4&amp;F4&amp;G4&amp;H4</f>
        <v>BaselineCentralLowLow UptakeBusiness as UsualNational Grid FES: Steady StateBaseline</v>
      </c>
      <c r="J4" s="318"/>
      <c r="K4" s="318"/>
    </row>
    <row r="5" spans="1:11" ht="15" customHeight="1">
      <c r="A5">
        <v>1</v>
      </c>
      <c r="B5" t="str">
        <f>INDEX('Scenario names'!$C$3:$C$6,4)</f>
        <v>No Constraints</v>
      </c>
      <c r="C5" s="318" t="s">
        <v>23</v>
      </c>
      <c r="D5" s="318" t="s">
        <v>28</v>
      </c>
      <c r="E5" s="318" t="s">
        <v>29</v>
      </c>
      <c r="F5" s="318" t="s">
        <v>30</v>
      </c>
      <c r="G5" s="318" t="s">
        <v>31</v>
      </c>
      <c r="H5" s="318" t="s">
        <v>32</v>
      </c>
      <c r="I5" s="318" t="str">
        <f>B5&amp;C5&amp;D5&amp;E5&amp;F5&amp;G5&amp;H5</f>
        <v>No ConstraintsCentralMediumHigh UptakeAmbitionBEIS Green Book Emission FactorMTS Strategy</v>
      </c>
      <c r="J5" s="318"/>
      <c r="K5" s="318"/>
    </row>
    <row r="6" spans="1:11" ht="15" customHeight="1">
      <c r="A6">
        <v>1</v>
      </c>
      <c r="B6" t="str">
        <f>INDEX('Scenario names'!$C$3:$C$6,1)</f>
        <v>High Electrification</v>
      </c>
      <c r="C6" s="318" t="s">
        <v>23</v>
      </c>
      <c r="D6" s="318" t="s">
        <v>33</v>
      </c>
      <c r="E6" s="318" t="s">
        <v>34</v>
      </c>
      <c r="F6" s="318" t="s">
        <v>30</v>
      </c>
      <c r="G6" s="318" t="s">
        <v>31</v>
      </c>
      <c r="H6" s="318" t="s">
        <v>32</v>
      </c>
      <c r="I6" s="318" t="str">
        <f>B6&amp;C6&amp;D6&amp;E6&amp;F6&amp;G6&amp;H6</f>
        <v>High ElectrificationCentralHighMedium UptakeAmbitionBEIS Green Book Emission FactorMTS Strategy</v>
      </c>
      <c r="J6" s="318"/>
      <c r="K6" s="318"/>
    </row>
    <row r="7" spans="1:11" ht="15" customHeight="1">
      <c r="A7">
        <v>1</v>
      </c>
      <c r="B7" t="str">
        <f>INDEX('Scenario names'!$C$3:$C$6,2)</f>
        <v>High Hydrogen</v>
      </c>
      <c r="C7" s="318" t="s">
        <v>23</v>
      </c>
      <c r="D7" s="318" t="s">
        <v>24</v>
      </c>
      <c r="E7" s="318" t="s">
        <v>34</v>
      </c>
      <c r="F7" s="318" t="s">
        <v>26</v>
      </c>
      <c r="G7" s="318" t="s">
        <v>31</v>
      </c>
      <c r="H7" s="318" t="s">
        <v>32</v>
      </c>
      <c r="I7" s="318" t="str">
        <f>B7&amp;C7&amp;D7&amp;E7&amp;F7&amp;G7&amp;H7</f>
        <v>High HydrogenCentralLowMedium UptakeBusiness as UsualBEIS Green Book Emission FactorMTS Strategy</v>
      </c>
      <c r="J7" s="318"/>
      <c r="K7" s="318"/>
    </row>
    <row r="8" spans="1:11" ht="15" customHeight="1">
      <c r="A8">
        <v>1</v>
      </c>
      <c r="B8" t="str">
        <f>INDEX('Scenario names'!$C$3:$C$6,3)</f>
        <v>Accelerated Green</v>
      </c>
      <c r="C8" s="318" t="s">
        <v>23</v>
      </c>
      <c r="D8" s="318" t="s">
        <v>28</v>
      </c>
      <c r="E8" s="318" t="s">
        <v>34</v>
      </c>
      <c r="F8" s="318" t="s">
        <v>35</v>
      </c>
      <c r="G8" s="318" t="s">
        <v>31</v>
      </c>
      <c r="H8" s="318" t="s">
        <v>32</v>
      </c>
      <c r="I8" s="318" t="str">
        <f>B8&amp;C8&amp;D8&amp;E8&amp;F8&amp;G8&amp;H8</f>
        <v>Accelerated GreenCentralMediumMedium UptakeTargetBEIS Green Book Emission FactorMTS Strategy</v>
      </c>
      <c r="J8" s="318"/>
      <c r="K8" s="318"/>
    </row>
    <row r="9" spans="1:11" ht="15" customHeight="1"/>
    <row r="15" spans="1:11">
      <c r="A15" t="s">
        <v>36</v>
      </c>
      <c r="B15" s="204" t="str">
        <f>Dashboard!D6</f>
        <v>High Electrification</v>
      </c>
    </row>
    <row r="16" spans="1:11">
      <c r="A16" t="s">
        <v>37</v>
      </c>
      <c r="B16" t="s">
        <v>38</v>
      </c>
      <c r="C16" s="318" t="s">
        <v>22</v>
      </c>
      <c r="D16" s="318" t="str">
        <f>INDEX('Scenario names'!$C$3:$C$6,4)</f>
        <v>No Constraints</v>
      </c>
      <c r="E16" s="318" t="str">
        <f>INDEX('Scenario names'!$C$3:$C$6,1)</f>
        <v>High Electrification</v>
      </c>
      <c r="F16" s="318" t="str">
        <f>INDEX('Scenario names'!$C$3:$C$6,2)</f>
        <v>High Hydrogen</v>
      </c>
      <c r="G16" s="318" t="str">
        <f>INDEX('Scenario names'!$C$3:$C$6,3)</f>
        <v>Accelerated Green</v>
      </c>
    </row>
    <row r="17" spans="1:9">
      <c r="B17" t="s">
        <v>7</v>
      </c>
      <c r="C17" t="s">
        <v>39</v>
      </c>
      <c r="D17" t="s">
        <v>40</v>
      </c>
      <c r="E17" t="s">
        <v>41</v>
      </c>
      <c r="F17" t="s">
        <v>42</v>
      </c>
      <c r="G17" t="s">
        <v>43</v>
      </c>
    </row>
    <row r="18" spans="1:9">
      <c r="A18" t="s">
        <v>15</v>
      </c>
      <c r="B18" t="s">
        <v>38</v>
      </c>
      <c r="C18" s="318" t="s">
        <v>23</v>
      </c>
      <c r="D18" s="318" t="s">
        <v>44</v>
      </c>
      <c r="E18" s="318" t="s">
        <v>45</v>
      </c>
      <c r="F18" s="318" t="s">
        <v>46</v>
      </c>
      <c r="G18" s="318" t="s">
        <v>47</v>
      </c>
      <c r="H18" s="318" t="s">
        <v>48</v>
      </c>
      <c r="I18" s="318" t="s">
        <v>49</v>
      </c>
    </row>
    <row r="19" spans="1:9">
      <c r="B19" t="s">
        <v>7</v>
      </c>
      <c r="C19" t="s">
        <v>50</v>
      </c>
      <c r="D19" t="s">
        <v>51</v>
      </c>
      <c r="E19" t="s">
        <v>52</v>
      </c>
      <c r="F19" t="s">
        <v>53</v>
      </c>
      <c r="G19" t="s">
        <v>54</v>
      </c>
      <c r="H19" t="s">
        <v>55</v>
      </c>
      <c r="I19" t="s">
        <v>49</v>
      </c>
    </row>
    <row r="20" spans="1:9">
      <c r="A20" t="s">
        <v>16</v>
      </c>
      <c r="B20" t="s">
        <v>38</v>
      </c>
      <c r="C20" s="318" t="s">
        <v>56</v>
      </c>
      <c r="D20" s="318" t="s">
        <v>24</v>
      </c>
      <c r="E20" s="318" t="s">
        <v>28</v>
      </c>
      <c r="F20" s="318" t="s">
        <v>33</v>
      </c>
      <c r="G20" s="318" t="s">
        <v>48</v>
      </c>
    </row>
    <row r="21" spans="1:9">
      <c r="B21" t="s">
        <v>7</v>
      </c>
      <c r="C21" t="s">
        <v>57</v>
      </c>
      <c r="D21" t="s">
        <v>58</v>
      </c>
      <c r="E21" t="s">
        <v>59</v>
      </c>
      <c r="F21" t="s">
        <v>60</v>
      </c>
      <c r="G21" t="s">
        <v>61</v>
      </c>
    </row>
    <row r="22" spans="1:9">
      <c r="A22" t="s">
        <v>17</v>
      </c>
      <c r="B22" t="s">
        <v>38</v>
      </c>
      <c r="C22" s="318" t="s">
        <v>62</v>
      </c>
      <c r="D22" s="318" t="s">
        <v>25</v>
      </c>
      <c r="E22" s="318" t="s">
        <v>34</v>
      </c>
      <c r="F22" s="318" t="s">
        <v>29</v>
      </c>
    </row>
    <row r="23" spans="1:9">
      <c r="B23" t="s">
        <v>7</v>
      </c>
      <c r="C23" t="s">
        <v>63</v>
      </c>
      <c r="D23" t="s">
        <v>64</v>
      </c>
      <c r="E23" t="s">
        <v>65</v>
      </c>
      <c r="F23" t="s">
        <v>66</v>
      </c>
    </row>
    <row r="24" spans="1:9">
      <c r="A24" t="s">
        <v>18</v>
      </c>
      <c r="B24" t="s">
        <v>38</v>
      </c>
      <c r="C24" s="318" t="s">
        <v>67</v>
      </c>
      <c r="D24" s="318" t="s">
        <v>35</v>
      </c>
      <c r="E24" s="318" t="s">
        <v>30</v>
      </c>
    </row>
    <row r="25" spans="1:9">
      <c r="B25" t="s">
        <v>7</v>
      </c>
      <c r="C25" t="s">
        <v>68</v>
      </c>
      <c r="D25" t="s">
        <v>69</v>
      </c>
      <c r="E25" t="s">
        <v>70</v>
      </c>
    </row>
    <row r="26" spans="1:9">
      <c r="A26" t="s">
        <v>19</v>
      </c>
      <c r="B26" t="s">
        <v>38</v>
      </c>
      <c r="C26" s="318" t="s">
        <v>71</v>
      </c>
      <c r="D26" s="318" t="s">
        <v>72</v>
      </c>
      <c r="E26" s="318" t="s">
        <v>73</v>
      </c>
      <c r="F26" s="318" t="s">
        <v>74</v>
      </c>
      <c r="G26" s="318" t="s">
        <v>27</v>
      </c>
      <c r="H26" s="318" t="s">
        <v>75</v>
      </c>
    </row>
    <row r="27" spans="1:9">
      <c r="B27" t="s">
        <v>7</v>
      </c>
      <c r="C27" t="s">
        <v>76</v>
      </c>
      <c r="D27" t="s">
        <v>77</v>
      </c>
      <c r="E27" t="s">
        <v>78</v>
      </c>
      <c r="F27" t="s">
        <v>79</v>
      </c>
      <c r="G27" t="s">
        <v>80</v>
      </c>
      <c r="H27" t="s">
        <v>81</v>
      </c>
    </row>
    <row r="28" spans="1:9">
      <c r="A28" t="s">
        <v>82</v>
      </c>
      <c r="B28" t="s">
        <v>38</v>
      </c>
      <c r="C28" s="318" t="s">
        <v>83</v>
      </c>
      <c r="D28" s="318" t="s">
        <v>84</v>
      </c>
      <c r="E28" s="318" t="s">
        <v>85</v>
      </c>
      <c r="F28" s="318" t="s">
        <v>86</v>
      </c>
      <c r="G28" s="318" t="s">
        <v>87</v>
      </c>
      <c r="H28" s="318" t="s">
        <v>88</v>
      </c>
      <c r="I28" s="318" t="s">
        <v>89</v>
      </c>
    </row>
    <row r="29" spans="1:9">
      <c r="B29" t="s">
        <v>7</v>
      </c>
    </row>
    <row r="30" spans="1:9">
      <c r="A30" t="s">
        <v>90</v>
      </c>
      <c r="B30" t="s">
        <v>38</v>
      </c>
      <c r="C30" s="318" t="s">
        <v>22</v>
      </c>
      <c r="D30" s="318" t="s">
        <v>32</v>
      </c>
    </row>
    <row r="31" spans="1:9">
      <c r="B31" t="s">
        <v>7</v>
      </c>
      <c r="C31" t="s">
        <v>91</v>
      </c>
      <c r="D31" t="s">
        <v>92</v>
      </c>
    </row>
    <row r="33" spans="1:10">
      <c r="C33" t="s">
        <v>93</v>
      </c>
      <c r="D33" t="s">
        <v>94</v>
      </c>
      <c r="E33" t="s">
        <v>95</v>
      </c>
      <c r="F33" t="s">
        <v>96</v>
      </c>
      <c r="G33" t="s">
        <v>97</v>
      </c>
      <c r="H33" t="s">
        <v>98</v>
      </c>
      <c r="I33" t="s">
        <v>90</v>
      </c>
      <c r="J33" t="s">
        <v>99</v>
      </c>
    </row>
    <row r="34" spans="1:10">
      <c r="B34">
        <v>1</v>
      </c>
      <c r="C34" t="s">
        <v>22</v>
      </c>
      <c r="D34" t="s">
        <v>23</v>
      </c>
      <c r="E34" t="s">
        <v>56</v>
      </c>
      <c r="F34" t="s">
        <v>62</v>
      </c>
      <c r="G34" t="s">
        <v>67</v>
      </c>
      <c r="H34" t="s">
        <v>71</v>
      </c>
      <c r="I34" t="s">
        <v>22</v>
      </c>
    </row>
    <row r="35" spans="1:10">
      <c r="B35">
        <v>2</v>
      </c>
      <c r="C35" t="str">
        <f>INDEX('Scenario names'!$C$3:$C$6,4)</f>
        <v>No Constraints</v>
      </c>
      <c r="D35" t="s">
        <v>44</v>
      </c>
      <c r="E35" t="s">
        <v>24</v>
      </c>
      <c r="F35" t="s">
        <v>25</v>
      </c>
      <c r="G35" t="s">
        <v>35</v>
      </c>
      <c r="H35" t="s">
        <v>72</v>
      </c>
      <c r="I35" t="s">
        <v>32</v>
      </c>
    </row>
    <row r="36" spans="1:10">
      <c r="B36">
        <v>3</v>
      </c>
      <c r="C36" t="str">
        <f>INDEX('Scenario names'!$C$3:$C$6,1)</f>
        <v>High Electrification</v>
      </c>
      <c r="D36" t="s">
        <v>45</v>
      </c>
      <c r="E36" t="s">
        <v>28</v>
      </c>
      <c r="F36" t="s">
        <v>34</v>
      </c>
      <c r="G36" t="s">
        <v>30</v>
      </c>
      <c r="H36" t="s">
        <v>31</v>
      </c>
    </row>
    <row r="37" spans="1:10">
      <c r="B37">
        <v>4</v>
      </c>
      <c r="C37" t="str">
        <f>INDEX('Scenario names'!$C$3:$C$6,2)</f>
        <v>High Hydrogen</v>
      </c>
      <c r="D37" t="s">
        <v>46</v>
      </c>
      <c r="E37" t="s">
        <v>33</v>
      </c>
      <c r="F37" t="s">
        <v>29</v>
      </c>
      <c r="H37" t="s">
        <v>27</v>
      </c>
    </row>
    <row r="38" spans="1:10">
      <c r="B38">
        <v>5</v>
      </c>
      <c r="C38" t="str">
        <f>INDEX('Scenario names'!$C$3:$C$6,3)</f>
        <v>Accelerated Green</v>
      </c>
      <c r="D38" t="s">
        <v>47</v>
      </c>
      <c r="E38" t="s">
        <v>48</v>
      </c>
      <c r="H38" t="s">
        <v>75</v>
      </c>
    </row>
    <row r="39" spans="1:10">
      <c r="B39">
        <v>6</v>
      </c>
      <c r="D39" t="s">
        <v>48</v>
      </c>
    </row>
    <row r="40" spans="1:10">
      <c r="B40">
        <v>7</v>
      </c>
      <c r="D40" t="s">
        <v>49</v>
      </c>
    </row>
    <row r="41" spans="1:10">
      <c r="A41" t="s">
        <v>100</v>
      </c>
      <c r="B41" s="204">
        <f>Dashboard!D37</f>
        <v>0</v>
      </c>
    </row>
    <row r="42" spans="1:10">
      <c r="A42" t="s">
        <v>37</v>
      </c>
      <c r="B42" t="s">
        <v>38</v>
      </c>
      <c r="C42" s="318" t="s">
        <v>22</v>
      </c>
      <c r="D42" s="318" t="str">
        <f>INDEX('Scenario names'!$C$3:$C$6,4)</f>
        <v>No Constraints</v>
      </c>
      <c r="E42" s="318" t="str">
        <f>INDEX('Scenario names'!$C$3:$C$6,1)</f>
        <v>High Electrification</v>
      </c>
      <c r="F42" s="318" t="str">
        <f>INDEX('Scenario names'!$C$3:$C$6,2)</f>
        <v>High Hydrogen</v>
      </c>
      <c r="G42" s="318" t="str">
        <f>INDEX('Scenario names'!$C$3:$C$6,3)</f>
        <v>Accelerated Green</v>
      </c>
    </row>
    <row r="43" spans="1:10">
      <c r="B43" t="s">
        <v>7</v>
      </c>
    </row>
    <row r="44" spans="1:10">
      <c r="A44" t="s">
        <v>15</v>
      </c>
      <c r="B44" t="s">
        <v>38</v>
      </c>
      <c r="C44" s="318" t="s">
        <v>23</v>
      </c>
      <c r="D44" s="318" t="s">
        <v>44</v>
      </c>
      <c r="E44" s="318" t="s">
        <v>45</v>
      </c>
      <c r="F44" s="318" t="s">
        <v>46</v>
      </c>
      <c r="G44" s="318" t="s">
        <v>47</v>
      </c>
      <c r="H44" s="318" t="s">
        <v>101</v>
      </c>
    </row>
    <row r="45" spans="1:10">
      <c r="B45" t="s">
        <v>7</v>
      </c>
      <c r="D45" t="s">
        <v>102</v>
      </c>
      <c r="E45" t="s">
        <v>103</v>
      </c>
      <c r="F45" t="s">
        <v>104</v>
      </c>
      <c r="G45" t="s">
        <v>104</v>
      </c>
    </row>
    <row r="46" spans="1:10">
      <c r="A46" t="s">
        <v>16</v>
      </c>
      <c r="B46" t="s">
        <v>38</v>
      </c>
      <c r="C46" s="318" t="s">
        <v>56</v>
      </c>
      <c r="D46" s="318" t="s">
        <v>24</v>
      </c>
      <c r="E46" s="318" t="s">
        <v>28</v>
      </c>
      <c r="F46" s="318" t="s">
        <v>33</v>
      </c>
      <c r="G46" s="318" t="s">
        <v>101</v>
      </c>
    </row>
    <row r="47" spans="1:10">
      <c r="B47" t="s">
        <v>7</v>
      </c>
      <c r="C47" t="s">
        <v>105</v>
      </c>
    </row>
    <row r="48" spans="1:10">
      <c r="A48" t="s">
        <v>17</v>
      </c>
      <c r="B48" t="s">
        <v>38</v>
      </c>
      <c r="C48" s="318" t="s">
        <v>62</v>
      </c>
      <c r="D48" s="318" t="s">
        <v>25</v>
      </c>
      <c r="E48" s="318" t="s">
        <v>34</v>
      </c>
      <c r="F48" s="318" t="s">
        <v>29</v>
      </c>
    </row>
    <row r="49" spans="1:7">
      <c r="B49" t="s">
        <v>7</v>
      </c>
      <c r="C49" t="s">
        <v>106</v>
      </c>
    </row>
    <row r="50" spans="1:7">
      <c r="A50" t="s">
        <v>18</v>
      </c>
      <c r="B50" t="s">
        <v>38</v>
      </c>
      <c r="C50" s="318" t="s">
        <v>67</v>
      </c>
      <c r="D50" s="318" t="s">
        <v>35</v>
      </c>
      <c r="E50" s="318" t="s">
        <v>30</v>
      </c>
    </row>
    <row r="51" spans="1:7">
      <c r="B51" t="s">
        <v>7</v>
      </c>
    </row>
    <row r="52" spans="1:7">
      <c r="A52" t="s">
        <v>19</v>
      </c>
      <c r="B52" t="s">
        <v>38</v>
      </c>
      <c r="C52" s="318" t="s">
        <v>71</v>
      </c>
      <c r="D52" s="318" t="s">
        <v>72</v>
      </c>
      <c r="E52" s="318" t="s">
        <v>31</v>
      </c>
      <c r="F52" s="318" t="s">
        <v>27</v>
      </c>
      <c r="G52" s="318" t="s">
        <v>75</v>
      </c>
    </row>
    <row r="53" spans="1:7">
      <c r="B53" t="s">
        <v>7</v>
      </c>
      <c r="C53" t="s">
        <v>107</v>
      </c>
      <c r="D53" t="s">
        <v>107</v>
      </c>
      <c r="F53" t="s">
        <v>107</v>
      </c>
    </row>
    <row r="54" spans="1:7">
      <c r="A54" t="s">
        <v>90</v>
      </c>
      <c r="B54" t="s">
        <v>38</v>
      </c>
      <c r="C54" s="318" t="s">
        <v>22</v>
      </c>
      <c r="D54" s="318" t="s">
        <v>32</v>
      </c>
    </row>
    <row r="55" spans="1:7">
      <c r="B55" t="s">
        <v>7</v>
      </c>
    </row>
    <row r="456" spans="7:10">
      <c r="G456">
        <v>2</v>
      </c>
      <c r="H456">
        <v>1</v>
      </c>
      <c r="I456">
        <v>3</v>
      </c>
      <c r="J456">
        <v>1</v>
      </c>
    </row>
    <row r="457" spans="7:10">
      <c r="G457">
        <v>2</v>
      </c>
      <c r="H457">
        <v>1</v>
      </c>
      <c r="I457">
        <v>3</v>
      </c>
      <c r="J457">
        <v>2</v>
      </c>
    </row>
    <row r="458" spans="7:10">
      <c r="G458">
        <v>2</v>
      </c>
      <c r="H458">
        <v>1</v>
      </c>
      <c r="I458">
        <v>4</v>
      </c>
      <c r="J458">
        <v>1</v>
      </c>
    </row>
    <row r="459" spans="7:10">
      <c r="G459">
        <v>2</v>
      </c>
      <c r="H459">
        <v>1</v>
      </c>
      <c r="I459">
        <v>4</v>
      </c>
      <c r="J459">
        <v>2</v>
      </c>
    </row>
    <row r="460" spans="7:10">
      <c r="G460">
        <v>2</v>
      </c>
      <c r="H460">
        <v>1</v>
      </c>
      <c r="I460">
        <v>5</v>
      </c>
      <c r="J460">
        <v>1</v>
      </c>
    </row>
    <row r="461" spans="7:10">
      <c r="G461">
        <v>2</v>
      </c>
      <c r="H461">
        <v>1</v>
      </c>
      <c r="I461">
        <v>5</v>
      </c>
      <c r="J461">
        <v>2</v>
      </c>
    </row>
    <row r="462" spans="7:10">
      <c r="G462">
        <v>2</v>
      </c>
      <c r="H462">
        <v>2</v>
      </c>
      <c r="I462">
        <v>1</v>
      </c>
      <c r="J462">
        <v>1</v>
      </c>
    </row>
    <row r="463" spans="7:10">
      <c r="G463">
        <v>2</v>
      </c>
      <c r="H463">
        <v>2</v>
      </c>
      <c r="I463">
        <v>1</v>
      </c>
      <c r="J463">
        <v>2</v>
      </c>
    </row>
    <row r="464" spans="7:10">
      <c r="G464">
        <v>2</v>
      </c>
      <c r="H464">
        <v>2</v>
      </c>
      <c r="I464">
        <v>2</v>
      </c>
      <c r="J464">
        <v>1</v>
      </c>
    </row>
    <row r="465" spans="7:10">
      <c r="G465">
        <v>2</v>
      </c>
      <c r="H465">
        <v>2</v>
      </c>
      <c r="I465">
        <v>2</v>
      </c>
      <c r="J465">
        <v>2</v>
      </c>
    </row>
    <row r="466" spans="7:10">
      <c r="G466">
        <v>2</v>
      </c>
      <c r="H466">
        <v>2</v>
      </c>
      <c r="I466">
        <v>3</v>
      </c>
      <c r="J466">
        <v>1</v>
      </c>
    </row>
    <row r="467" spans="7:10">
      <c r="G467">
        <v>2</v>
      </c>
      <c r="H467">
        <v>2</v>
      </c>
      <c r="I467">
        <v>3</v>
      </c>
      <c r="J467">
        <v>2</v>
      </c>
    </row>
    <row r="468" spans="7:10">
      <c r="G468">
        <v>2</v>
      </c>
      <c r="H468">
        <v>2</v>
      </c>
      <c r="I468">
        <v>4</v>
      </c>
      <c r="J468">
        <v>1</v>
      </c>
    </row>
    <row r="469" spans="7:10">
      <c r="G469">
        <v>2</v>
      </c>
      <c r="H469">
        <v>2</v>
      </c>
      <c r="I469">
        <v>4</v>
      </c>
      <c r="J469">
        <v>2</v>
      </c>
    </row>
    <row r="470" spans="7:10">
      <c r="G470">
        <v>2</v>
      </c>
      <c r="H470">
        <v>2</v>
      </c>
      <c r="I470">
        <v>5</v>
      </c>
      <c r="J470">
        <v>1</v>
      </c>
    </row>
    <row r="471" spans="7:10">
      <c r="G471">
        <v>2</v>
      </c>
      <c r="H471">
        <v>2</v>
      </c>
      <c r="I471">
        <v>5</v>
      </c>
      <c r="J471">
        <v>2</v>
      </c>
    </row>
    <row r="472" spans="7:10">
      <c r="G472">
        <v>2</v>
      </c>
      <c r="H472">
        <v>3</v>
      </c>
      <c r="I472">
        <v>1</v>
      </c>
      <c r="J472">
        <v>1</v>
      </c>
    </row>
    <row r="473" spans="7:10">
      <c r="G473">
        <v>2</v>
      </c>
      <c r="H473">
        <v>3</v>
      </c>
      <c r="I473">
        <v>1</v>
      </c>
      <c r="J473">
        <v>2</v>
      </c>
    </row>
    <row r="474" spans="7:10">
      <c r="G474">
        <v>2</v>
      </c>
      <c r="H474">
        <v>3</v>
      </c>
      <c r="I474">
        <v>2</v>
      </c>
      <c r="J474">
        <v>1</v>
      </c>
    </row>
    <row r="475" spans="7:10">
      <c r="G475">
        <v>2</v>
      </c>
      <c r="H475">
        <v>3</v>
      </c>
      <c r="I475">
        <v>2</v>
      </c>
      <c r="J475">
        <v>2</v>
      </c>
    </row>
    <row r="476" spans="7:10">
      <c r="G476">
        <v>2</v>
      </c>
      <c r="H476">
        <v>3</v>
      </c>
      <c r="I476">
        <v>3</v>
      </c>
      <c r="J476">
        <v>1</v>
      </c>
    </row>
    <row r="477" spans="7:10">
      <c r="G477">
        <v>2</v>
      </c>
      <c r="H477">
        <v>3</v>
      </c>
      <c r="I477">
        <v>3</v>
      </c>
      <c r="J477">
        <v>2</v>
      </c>
    </row>
    <row r="478" spans="7:10">
      <c r="G478">
        <v>2</v>
      </c>
      <c r="H478">
        <v>3</v>
      </c>
      <c r="I478">
        <v>4</v>
      </c>
      <c r="J478">
        <v>1</v>
      </c>
    </row>
    <row r="479" spans="7:10">
      <c r="G479">
        <v>2</v>
      </c>
      <c r="H479">
        <v>3</v>
      </c>
      <c r="I479">
        <v>4</v>
      </c>
      <c r="J479">
        <v>2</v>
      </c>
    </row>
    <row r="480" spans="7:10">
      <c r="G480">
        <v>2</v>
      </c>
      <c r="H480">
        <v>3</v>
      </c>
      <c r="I480">
        <v>5</v>
      </c>
      <c r="J480">
        <v>1</v>
      </c>
    </row>
    <row r="481" spans="7:10">
      <c r="G481">
        <v>2</v>
      </c>
      <c r="H481">
        <v>3</v>
      </c>
      <c r="I481">
        <v>5</v>
      </c>
      <c r="J481">
        <v>2</v>
      </c>
    </row>
    <row r="482" spans="7:10">
      <c r="G482">
        <v>3</v>
      </c>
      <c r="H482">
        <v>1</v>
      </c>
      <c r="I482">
        <v>3</v>
      </c>
      <c r="J482">
        <v>1</v>
      </c>
    </row>
    <row r="483" spans="7:10">
      <c r="G483">
        <v>3</v>
      </c>
      <c r="H483">
        <v>1</v>
      </c>
      <c r="I483">
        <v>3</v>
      </c>
      <c r="J483">
        <v>2</v>
      </c>
    </row>
    <row r="484" spans="7:10">
      <c r="G484">
        <v>3</v>
      </c>
      <c r="H484">
        <v>1</v>
      </c>
      <c r="I484">
        <v>4</v>
      </c>
      <c r="J484">
        <v>1</v>
      </c>
    </row>
    <row r="485" spans="7:10">
      <c r="G485">
        <v>3</v>
      </c>
      <c r="H485">
        <v>1</v>
      </c>
      <c r="I485">
        <v>4</v>
      </c>
      <c r="J485">
        <v>2</v>
      </c>
    </row>
    <row r="486" spans="7:10">
      <c r="G486">
        <v>3</v>
      </c>
      <c r="H486">
        <v>1</v>
      </c>
      <c r="I486">
        <v>5</v>
      </c>
      <c r="J486">
        <v>1</v>
      </c>
    </row>
    <row r="487" spans="7:10">
      <c r="G487">
        <v>3</v>
      </c>
      <c r="H487">
        <v>1</v>
      </c>
      <c r="I487">
        <v>5</v>
      </c>
      <c r="J487">
        <v>2</v>
      </c>
    </row>
    <row r="488" spans="7:10">
      <c r="G488">
        <v>3</v>
      </c>
      <c r="H488">
        <v>2</v>
      </c>
      <c r="I488">
        <v>1</v>
      </c>
      <c r="J488">
        <v>1</v>
      </c>
    </row>
    <row r="489" spans="7:10">
      <c r="G489">
        <v>3</v>
      </c>
      <c r="H489">
        <v>2</v>
      </c>
      <c r="I489">
        <v>1</v>
      </c>
      <c r="J489">
        <v>2</v>
      </c>
    </row>
    <row r="490" spans="7:10">
      <c r="G490">
        <v>3</v>
      </c>
      <c r="H490">
        <v>2</v>
      </c>
      <c r="I490">
        <v>2</v>
      </c>
      <c r="J490">
        <v>1</v>
      </c>
    </row>
    <row r="491" spans="7:10">
      <c r="G491">
        <v>3</v>
      </c>
      <c r="H491">
        <v>2</v>
      </c>
      <c r="I491">
        <v>2</v>
      </c>
      <c r="J491">
        <v>2</v>
      </c>
    </row>
    <row r="492" spans="7:10">
      <c r="G492">
        <v>3</v>
      </c>
      <c r="H492">
        <v>2</v>
      </c>
      <c r="I492">
        <v>3</v>
      </c>
      <c r="J492">
        <v>1</v>
      </c>
    </row>
    <row r="493" spans="7:10">
      <c r="G493">
        <v>3</v>
      </c>
      <c r="H493">
        <v>2</v>
      </c>
      <c r="I493">
        <v>3</v>
      </c>
      <c r="J493">
        <v>2</v>
      </c>
    </row>
    <row r="494" spans="7:10">
      <c r="G494">
        <v>3</v>
      </c>
      <c r="H494">
        <v>2</v>
      </c>
      <c r="I494">
        <v>4</v>
      </c>
      <c r="J494">
        <v>1</v>
      </c>
    </row>
    <row r="495" spans="7:10">
      <c r="G495">
        <v>3</v>
      </c>
      <c r="H495">
        <v>2</v>
      </c>
      <c r="I495">
        <v>4</v>
      </c>
      <c r="J495">
        <v>2</v>
      </c>
    </row>
    <row r="496" spans="7:10">
      <c r="G496">
        <v>3</v>
      </c>
      <c r="H496">
        <v>2</v>
      </c>
      <c r="I496">
        <v>5</v>
      </c>
      <c r="J496">
        <v>1</v>
      </c>
    </row>
    <row r="497" spans="7:10">
      <c r="G497">
        <v>3</v>
      </c>
      <c r="H497">
        <v>2</v>
      </c>
      <c r="I497">
        <v>5</v>
      </c>
      <c r="J497">
        <v>2</v>
      </c>
    </row>
    <row r="498" spans="7:10">
      <c r="G498">
        <v>3</v>
      </c>
      <c r="H498">
        <v>3</v>
      </c>
      <c r="I498">
        <v>1</v>
      </c>
      <c r="J498">
        <v>1</v>
      </c>
    </row>
    <row r="499" spans="7:10">
      <c r="G499">
        <v>3</v>
      </c>
      <c r="H499">
        <v>3</v>
      </c>
      <c r="I499">
        <v>1</v>
      </c>
      <c r="J499">
        <v>2</v>
      </c>
    </row>
    <row r="500" spans="7:10">
      <c r="G500">
        <v>3</v>
      </c>
      <c r="H500">
        <v>3</v>
      </c>
      <c r="I500">
        <v>2</v>
      </c>
      <c r="J500">
        <v>1</v>
      </c>
    </row>
    <row r="501" spans="7:10">
      <c r="G501">
        <v>3</v>
      </c>
      <c r="H501">
        <v>3</v>
      </c>
      <c r="I501">
        <v>2</v>
      </c>
      <c r="J501">
        <v>2</v>
      </c>
    </row>
    <row r="502" spans="7:10">
      <c r="G502">
        <v>3</v>
      </c>
      <c r="H502">
        <v>3</v>
      </c>
      <c r="I502">
        <v>3</v>
      </c>
      <c r="J502">
        <v>1</v>
      </c>
    </row>
    <row r="503" spans="7:10">
      <c r="G503">
        <v>3</v>
      </c>
      <c r="H503">
        <v>3</v>
      </c>
      <c r="I503">
        <v>3</v>
      </c>
      <c r="J503">
        <v>2</v>
      </c>
    </row>
    <row r="504" spans="7:10">
      <c r="G504">
        <v>3</v>
      </c>
      <c r="H504">
        <v>3</v>
      </c>
      <c r="I504">
        <v>4</v>
      </c>
      <c r="J504">
        <v>1</v>
      </c>
    </row>
    <row r="505" spans="7:10">
      <c r="G505">
        <v>3</v>
      </c>
      <c r="H505">
        <v>3</v>
      </c>
      <c r="I505">
        <v>4</v>
      </c>
      <c r="J505">
        <v>2</v>
      </c>
    </row>
    <row r="506" spans="7:10">
      <c r="G506">
        <v>3</v>
      </c>
      <c r="H506">
        <v>3</v>
      </c>
      <c r="I506">
        <v>5</v>
      </c>
      <c r="J506">
        <v>1</v>
      </c>
    </row>
    <row r="507" spans="7:10">
      <c r="G507">
        <v>3</v>
      </c>
      <c r="H507">
        <v>3</v>
      </c>
      <c r="I507">
        <v>5</v>
      </c>
      <c r="J507">
        <v>2</v>
      </c>
    </row>
    <row r="508" spans="7:10">
      <c r="G508">
        <v>4</v>
      </c>
      <c r="H508">
        <v>1</v>
      </c>
      <c r="I508">
        <v>3</v>
      </c>
      <c r="J508">
        <v>1</v>
      </c>
    </row>
    <row r="509" spans="7:10">
      <c r="G509">
        <v>4</v>
      </c>
      <c r="H509">
        <v>1</v>
      </c>
      <c r="I509">
        <v>3</v>
      </c>
      <c r="J509">
        <v>2</v>
      </c>
    </row>
    <row r="510" spans="7:10">
      <c r="G510">
        <v>4</v>
      </c>
      <c r="H510">
        <v>1</v>
      </c>
      <c r="I510">
        <v>4</v>
      </c>
      <c r="J510">
        <v>1</v>
      </c>
    </row>
    <row r="511" spans="7:10">
      <c r="G511">
        <v>4</v>
      </c>
      <c r="H511">
        <v>1</v>
      </c>
      <c r="I511">
        <v>4</v>
      </c>
      <c r="J511">
        <v>2</v>
      </c>
    </row>
    <row r="512" spans="7:10">
      <c r="G512">
        <v>4</v>
      </c>
      <c r="H512">
        <v>1</v>
      </c>
      <c r="I512">
        <v>5</v>
      </c>
      <c r="J512">
        <v>1</v>
      </c>
    </row>
    <row r="513" spans="7:10">
      <c r="G513">
        <v>4</v>
      </c>
      <c r="H513">
        <v>1</v>
      </c>
      <c r="I513">
        <v>5</v>
      </c>
      <c r="J513">
        <v>2</v>
      </c>
    </row>
    <row r="514" spans="7:10">
      <c r="G514">
        <v>4</v>
      </c>
      <c r="H514">
        <v>2</v>
      </c>
      <c r="I514">
        <v>1</v>
      </c>
      <c r="J514">
        <v>1</v>
      </c>
    </row>
    <row r="515" spans="7:10">
      <c r="G515">
        <v>4</v>
      </c>
      <c r="H515">
        <v>2</v>
      </c>
      <c r="I515">
        <v>1</v>
      </c>
      <c r="J515">
        <v>2</v>
      </c>
    </row>
    <row r="516" spans="7:10">
      <c r="G516">
        <v>4</v>
      </c>
      <c r="H516">
        <v>2</v>
      </c>
      <c r="I516">
        <v>2</v>
      </c>
      <c r="J516">
        <v>1</v>
      </c>
    </row>
    <row r="517" spans="7:10">
      <c r="G517">
        <v>4</v>
      </c>
      <c r="H517">
        <v>2</v>
      </c>
      <c r="I517">
        <v>2</v>
      </c>
      <c r="J517">
        <v>2</v>
      </c>
    </row>
    <row r="518" spans="7:10">
      <c r="G518">
        <v>4</v>
      </c>
      <c r="H518">
        <v>2</v>
      </c>
      <c r="I518">
        <v>3</v>
      </c>
      <c r="J518">
        <v>1</v>
      </c>
    </row>
    <row r="519" spans="7:10">
      <c r="G519">
        <v>4</v>
      </c>
      <c r="H519">
        <v>2</v>
      </c>
      <c r="I519">
        <v>3</v>
      </c>
      <c r="J519">
        <v>2</v>
      </c>
    </row>
    <row r="520" spans="7:10">
      <c r="G520">
        <v>4</v>
      </c>
      <c r="H520">
        <v>2</v>
      </c>
      <c r="I520">
        <v>4</v>
      </c>
      <c r="J520">
        <v>1</v>
      </c>
    </row>
    <row r="521" spans="7:10">
      <c r="G521">
        <v>4</v>
      </c>
      <c r="H521">
        <v>2</v>
      </c>
      <c r="I521">
        <v>4</v>
      </c>
      <c r="J521">
        <v>2</v>
      </c>
    </row>
    <row r="522" spans="7:10">
      <c r="G522">
        <v>4</v>
      </c>
      <c r="H522">
        <v>2</v>
      </c>
      <c r="I522">
        <v>5</v>
      </c>
      <c r="J522">
        <v>1</v>
      </c>
    </row>
    <row r="523" spans="7:10">
      <c r="G523">
        <v>4</v>
      </c>
      <c r="H523">
        <v>2</v>
      </c>
      <c r="I523">
        <v>5</v>
      </c>
      <c r="J523">
        <v>2</v>
      </c>
    </row>
    <row r="524" spans="7:10">
      <c r="G524">
        <v>4</v>
      </c>
      <c r="H524">
        <v>3</v>
      </c>
      <c r="I524">
        <v>1</v>
      </c>
      <c r="J524">
        <v>1</v>
      </c>
    </row>
    <row r="525" spans="7:10">
      <c r="G525">
        <v>4</v>
      </c>
      <c r="H525">
        <v>3</v>
      </c>
      <c r="I525">
        <v>1</v>
      </c>
      <c r="J525">
        <v>2</v>
      </c>
    </row>
    <row r="526" spans="7:10">
      <c r="G526">
        <v>4</v>
      </c>
      <c r="H526">
        <v>3</v>
      </c>
      <c r="I526">
        <v>2</v>
      </c>
      <c r="J526">
        <v>1</v>
      </c>
    </row>
    <row r="527" spans="7:10">
      <c r="G527">
        <v>4</v>
      </c>
      <c r="H527">
        <v>3</v>
      </c>
      <c r="I527">
        <v>2</v>
      </c>
      <c r="J527">
        <v>2</v>
      </c>
    </row>
    <row r="528" spans="7:10">
      <c r="G528">
        <v>4</v>
      </c>
      <c r="H528">
        <v>3</v>
      </c>
      <c r="I528">
        <v>3</v>
      </c>
      <c r="J528">
        <v>1</v>
      </c>
    </row>
    <row r="529" spans="7:10">
      <c r="G529">
        <v>4</v>
      </c>
      <c r="H529">
        <v>3</v>
      </c>
      <c r="I529">
        <v>3</v>
      </c>
      <c r="J529">
        <v>2</v>
      </c>
    </row>
    <row r="530" spans="7:10">
      <c r="G530">
        <v>4</v>
      </c>
      <c r="H530">
        <v>3</v>
      </c>
      <c r="I530">
        <v>4</v>
      </c>
      <c r="J530">
        <v>1</v>
      </c>
    </row>
    <row r="531" spans="7:10">
      <c r="G531">
        <v>4</v>
      </c>
      <c r="H531">
        <v>3</v>
      </c>
      <c r="I531">
        <v>4</v>
      </c>
      <c r="J531">
        <v>2</v>
      </c>
    </row>
    <row r="532" spans="7:10">
      <c r="G532">
        <v>4</v>
      </c>
      <c r="H532">
        <v>3</v>
      </c>
      <c r="I532">
        <v>5</v>
      </c>
      <c r="J532">
        <v>1</v>
      </c>
    </row>
    <row r="533" spans="7:10">
      <c r="G533">
        <v>4</v>
      </c>
      <c r="H533">
        <v>3</v>
      </c>
      <c r="I533">
        <v>5</v>
      </c>
      <c r="J533">
        <v>2</v>
      </c>
    </row>
    <row r="534" spans="7:10">
      <c r="G534">
        <v>1</v>
      </c>
      <c r="H534">
        <v>2</v>
      </c>
      <c r="I534">
        <v>1</v>
      </c>
      <c r="J534">
        <v>1</v>
      </c>
    </row>
    <row r="535" spans="7:10">
      <c r="G535">
        <v>1</v>
      </c>
      <c r="H535">
        <v>2</v>
      </c>
      <c r="I535">
        <v>1</v>
      </c>
      <c r="J535">
        <v>2</v>
      </c>
    </row>
    <row r="536" spans="7:10">
      <c r="G536">
        <v>1</v>
      </c>
      <c r="H536">
        <v>2</v>
      </c>
      <c r="I536">
        <v>2</v>
      </c>
      <c r="J536">
        <v>1</v>
      </c>
    </row>
    <row r="537" spans="7:10">
      <c r="G537">
        <v>1</v>
      </c>
      <c r="H537">
        <v>2</v>
      </c>
      <c r="I537">
        <v>2</v>
      </c>
      <c r="J537">
        <v>2</v>
      </c>
    </row>
    <row r="538" spans="7:10">
      <c r="G538">
        <v>1</v>
      </c>
      <c r="H538">
        <v>2</v>
      </c>
      <c r="I538">
        <v>3</v>
      </c>
      <c r="J538">
        <v>1</v>
      </c>
    </row>
    <row r="539" spans="7:10">
      <c r="G539">
        <v>1</v>
      </c>
      <c r="H539">
        <v>2</v>
      </c>
      <c r="I539">
        <v>3</v>
      </c>
      <c r="J539">
        <v>2</v>
      </c>
    </row>
    <row r="540" spans="7:10">
      <c r="G540">
        <v>1</v>
      </c>
      <c r="H540">
        <v>2</v>
      </c>
      <c r="I540">
        <v>4</v>
      </c>
      <c r="J540">
        <v>1</v>
      </c>
    </row>
    <row r="541" spans="7:10">
      <c r="G541">
        <v>1</v>
      </c>
      <c r="H541">
        <v>2</v>
      </c>
      <c r="I541">
        <v>4</v>
      </c>
      <c r="J541">
        <v>2</v>
      </c>
    </row>
    <row r="542" spans="7:10">
      <c r="G542">
        <v>1</v>
      </c>
      <c r="H542">
        <v>2</v>
      </c>
      <c r="I542">
        <v>5</v>
      </c>
      <c r="J542">
        <v>1</v>
      </c>
    </row>
    <row r="543" spans="7:10">
      <c r="G543">
        <v>1</v>
      </c>
      <c r="H543">
        <v>2</v>
      </c>
      <c r="I543">
        <v>5</v>
      </c>
      <c r="J543">
        <v>2</v>
      </c>
    </row>
    <row r="544" spans="7:10">
      <c r="G544">
        <v>1</v>
      </c>
      <c r="H544">
        <v>3</v>
      </c>
      <c r="I544">
        <v>1</v>
      </c>
      <c r="J544">
        <v>1</v>
      </c>
    </row>
    <row r="545" spans="7:10">
      <c r="G545">
        <v>1</v>
      </c>
      <c r="H545">
        <v>3</v>
      </c>
      <c r="I545">
        <v>1</v>
      </c>
      <c r="J545">
        <v>2</v>
      </c>
    </row>
    <row r="546" spans="7:10">
      <c r="G546">
        <v>1</v>
      </c>
      <c r="H546">
        <v>3</v>
      </c>
      <c r="I546">
        <v>2</v>
      </c>
      <c r="J546">
        <v>1</v>
      </c>
    </row>
    <row r="547" spans="7:10">
      <c r="G547">
        <v>1</v>
      </c>
      <c r="H547">
        <v>3</v>
      </c>
      <c r="I547">
        <v>2</v>
      </c>
      <c r="J547">
        <v>2</v>
      </c>
    </row>
    <row r="548" spans="7:10">
      <c r="G548">
        <v>1</v>
      </c>
      <c r="H548">
        <v>3</v>
      </c>
      <c r="I548">
        <v>3</v>
      </c>
      <c r="J548">
        <v>1</v>
      </c>
    </row>
    <row r="549" spans="7:10">
      <c r="G549">
        <v>1</v>
      </c>
      <c r="H549">
        <v>3</v>
      </c>
      <c r="I549">
        <v>3</v>
      </c>
      <c r="J549">
        <v>2</v>
      </c>
    </row>
    <row r="550" spans="7:10">
      <c r="G550">
        <v>1</v>
      </c>
      <c r="H550">
        <v>3</v>
      </c>
      <c r="I550">
        <v>4</v>
      </c>
      <c r="J550">
        <v>1</v>
      </c>
    </row>
    <row r="551" spans="7:10">
      <c r="G551">
        <v>1</v>
      </c>
      <c r="H551">
        <v>3</v>
      </c>
      <c r="I551">
        <v>4</v>
      </c>
      <c r="J551">
        <v>2</v>
      </c>
    </row>
    <row r="552" spans="7:10">
      <c r="G552">
        <v>1</v>
      </c>
      <c r="H552">
        <v>3</v>
      </c>
      <c r="I552">
        <v>5</v>
      </c>
      <c r="J552">
        <v>1</v>
      </c>
    </row>
    <row r="553" spans="7:10">
      <c r="G553">
        <v>1</v>
      </c>
      <c r="H553">
        <v>3</v>
      </c>
      <c r="I553">
        <v>5</v>
      </c>
      <c r="J553">
        <v>2</v>
      </c>
    </row>
    <row r="554" spans="7:10">
      <c r="G554">
        <v>2</v>
      </c>
      <c r="H554">
        <v>1</v>
      </c>
      <c r="I554">
        <v>3</v>
      </c>
      <c r="J554">
        <v>1</v>
      </c>
    </row>
    <row r="555" spans="7:10">
      <c r="G555">
        <v>2</v>
      </c>
      <c r="H555">
        <v>1</v>
      </c>
      <c r="I555">
        <v>3</v>
      </c>
      <c r="J555">
        <v>2</v>
      </c>
    </row>
    <row r="556" spans="7:10">
      <c r="G556">
        <v>2</v>
      </c>
      <c r="H556">
        <v>1</v>
      </c>
      <c r="I556">
        <v>4</v>
      </c>
      <c r="J556">
        <v>1</v>
      </c>
    </row>
    <row r="557" spans="7:10">
      <c r="G557">
        <v>2</v>
      </c>
      <c r="H557">
        <v>1</v>
      </c>
      <c r="I557">
        <v>4</v>
      </c>
      <c r="J557">
        <v>2</v>
      </c>
    </row>
    <row r="558" spans="7:10">
      <c r="G558">
        <v>2</v>
      </c>
      <c r="H558">
        <v>1</v>
      </c>
      <c r="I558">
        <v>5</v>
      </c>
      <c r="J558">
        <v>1</v>
      </c>
    </row>
    <row r="559" spans="7:10">
      <c r="G559">
        <v>2</v>
      </c>
      <c r="H559">
        <v>1</v>
      </c>
      <c r="I559">
        <v>5</v>
      </c>
      <c r="J559">
        <v>2</v>
      </c>
    </row>
    <row r="560" spans="7:10">
      <c r="G560">
        <v>2</v>
      </c>
      <c r="H560">
        <v>2</v>
      </c>
      <c r="I560">
        <v>1</v>
      </c>
      <c r="J560">
        <v>1</v>
      </c>
    </row>
    <row r="561" spans="7:10">
      <c r="G561">
        <v>2</v>
      </c>
      <c r="H561">
        <v>2</v>
      </c>
      <c r="I561">
        <v>1</v>
      </c>
      <c r="J561">
        <v>2</v>
      </c>
    </row>
    <row r="562" spans="7:10">
      <c r="G562">
        <v>2</v>
      </c>
      <c r="H562">
        <v>2</v>
      </c>
      <c r="I562">
        <v>2</v>
      </c>
      <c r="J562">
        <v>1</v>
      </c>
    </row>
    <row r="563" spans="7:10">
      <c r="G563">
        <v>2</v>
      </c>
      <c r="H563">
        <v>2</v>
      </c>
      <c r="I563">
        <v>2</v>
      </c>
      <c r="J563">
        <v>2</v>
      </c>
    </row>
    <row r="564" spans="7:10">
      <c r="G564">
        <v>2</v>
      </c>
      <c r="H564">
        <v>2</v>
      </c>
      <c r="I564">
        <v>3</v>
      </c>
      <c r="J564">
        <v>1</v>
      </c>
    </row>
    <row r="565" spans="7:10">
      <c r="G565">
        <v>2</v>
      </c>
      <c r="H565">
        <v>2</v>
      </c>
      <c r="I565">
        <v>3</v>
      </c>
      <c r="J565">
        <v>2</v>
      </c>
    </row>
    <row r="566" spans="7:10">
      <c r="G566">
        <v>2</v>
      </c>
      <c r="H566">
        <v>2</v>
      </c>
      <c r="I566">
        <v>4</v>
      </c>
      <c r="J566">
        <v>1</v>
      </c>
    </row>
    <row r="567" spans="7:10">
      <c r="G567">
        <v>2</v>
      </c>
      <c r="H567">
        <v>2</v>
      </c>
      <c r="I567">
        <v>4</v>
      </c>
      <c r="J567">
        <v>2</v>
      </c>
    </row>
    <row r="568" spans="7:10">
      <c r="G568">
        <v>2</v>
      </c>
      <c r="H568">
        <v>2</v>
      </c>
      <c r="I568">
        <v>5</v>
      </c>
      <c r="J568">
        <v>1</v>
      </c>
    </row>
    <row r="569" spans="7:10">
      <c r="G569">
        <v>2</v>
      </c>
      <c r="H569">
        <v>2</v>
      </c>
      <c r="I569">
        <v>5</v>
      </c>
      <c r="J569">
        <v>2</v>
      </c>
    </row>
    <row r="570" spans="7:10">
      <c r="G570">
        <v>2</v>
      </c>
      <c r="H570">
        <v>3</v>
      </c>
      <c r="I570">
        <v>1</v>
      </c>
      <c r="J570">
        <v>1</v>
      </c>
    </row>
    <row r="571" spans="7:10">
      <c r="G571">
        <v>2</v>
      </c>
      <c r="H571">
        <v>3</v>
      </c>
      <c r="I571">
        <v>1</v>
      </c>
      <c r="J571">
        <v>2</v>
      </c>
    </row>
    <row r="572" spans="7:10">
      <c r="G572">
        <v>2</v>
      </c>
      <c r="H572">
        <v>3</v>
      </c>
      <c r="I572">
        <v>2</v>
      </c>
      <c r="J572">
        <v>1</v>
      </c>
    </row>
    <row r="573" spans="7:10">
      <c r="G573">
        <v>2</v>
      </c>
      <c r="H573">
        <v>3</v>
      </c>
      <c r="I573">
        <v>2</v>
      </c>
      <c r="J573">
        <v>2</v>
      </c>
    </row>
    <row r="574" spans="7:10">
      <c r="G574">
        <v>2</v>
      </c>
      <c r="H574">
        <v>3</v>
      </c>
      <c r="I574">
        <v>3</v>
      </c>
      <c r="J574">
        <v>1</v>
      </c>
    </row>
    <row r="575" spans="7:10">
      <c r="G575">
        <v>2</v>
      </c>
      <c r="H575">
        <v>3</v>
      </c>
      <c r="I575">
        <v>3</v>
      </c>
      <c r="J575">
        <v>2</v>
      </c>
    </row>
    <row r="576" spans="7:10">
      <c r="G576">
        <v>2</v>
      </c>
      <c r="H576">
        <v>3</v>
      </c>
      <c r="I576">
        <v>4</v>
      </c>
      <c r="J576">
        <v>1</v>
      </c>
    </row>
    <row r="577" spans="7:10">
      <c r="G577">
        <v>2</v>
      </c>
      <c r="H577">
        <v>3</v>
      </c>
      <c r="I577">
        <v>4</v>
      </c>
      <c r="J577">
        <v>2</v>
      </c>
    </row>
    <row r="578" spans="7:10">
      <c r="G578">
        <v>2</v>
      </c>
      <c r="H578">
        <v>3</v>
      </c>
      <c r="I578">
        <v>5</v>
      </c>
      <c r="J578">
        <v>1</v>
      </c>
    </row>
    <row r="579" spans="7:10">
      <c r="G579">
        <v>2</v>
      </c>
      <c r="H579">
        <v>3</v>
      </c>
      <c r="I579">
        <v>5</v>
      </c>
      <c r="J579">
        <v>2</v>
      </c>
    </row>
    <row r="580" spans="7:10">
      <c r="G580">
        <v>3</v>
      </c>
      <c r="H580">
        <v>1</v>
      </c>
      <c r="I580">
        <v>3</v>
      </c>
      <c r="J580">
        <v>1</v>
      </c>
    </row>
    <row r="581" spans="7:10">
      <c r="G581">
        <v>3</v>
      </c>
      <c r="H581">
        <v>1</v>
      </c>
      <c r="I581">
        <v>3</v>
      </c>
      <c r="J581">
        <v>2</v>
      </c>
    </row>
    <row r="582" spans="7:10">
      <c r="G582">
        <v>3</v>
      </c>
      <c r="H582">
        <v>1</v>
      </c>
      <c r="I582">
        <v>4</v>
      </c>
      <c r="J582">
        <v>1</v>
      </c>
    </row>
    <row r="583" spans="7:10">
      <c r="G583">
        <v>3</v>
      </c>
      <c r="H583">
        <v>1</v>
      </c>
      <c r="I583">
        <v>4</v>
      </c>
      <c r="J583">
        <v>2</v>
      </c>
    </row>
    <row r="584" spans="7:10">
      <c r="G584">
        <v>3</v>
      </c>
      <c r="H584">
        <v>1</v>
      </c>
      <c r="I584">
        <v>5</v>
      </c>
      <c r="J584">
        <v>1</v>
      </c>
    </row>
    <row r="585" spans="7:10">
      <c r="G585">
        <v>3</v>
      </c>
      <c r="H585">
        <v>1</v>
      </c>
      <c r="I585">
        <v>5</v>
      </c>
      <c r="J585">
        <v>2</v>
      </c>
    </row>
    <row r="586" spans="7:10">
      <c r="G586">
        <v>3</v>
      </c>
      <c r="H586">
        <v>2</v>
      </c>
      <c r="I586">
        <v>1</v>
      </c>
      <c r="J586">
        <v>1</v>
      </c>
    </row>
    <row r="587" spans="7:10">
      <c r="G587">
        <v>3</v>
      </c>
      <c r="H587">
        <v>2</v>
      </c>
      <c r="I587">
        <v>1</v>
      </c>
      <c r="J587">
        <v>2</v>
      </c>
    </row>
    <row r="588" spans="7:10">
      <c r="G588">
        <v>3</v>
      </c>
      <c r="H588">
        <v>2</v>
      </c>
      <c r="I588">
        <v>2</v>
      </c>
      <c r="J588">
        <v>1</v>
      </c>
    </row>
    <row r="589" spans="7:10">
      <c r="G589">
        <v>3</v>
      </c>
      <c r="H589">
        <v>2</v>
      </c>
      <c r="I589">
        <v>2</v>
      </c>
      <c r="J589">
        <v>2</v>
      </c>
    </row>
    <row r="590" spans="7:10">
      <c r="G590">
        <v>3</v>
      </c>
      <c r="H590">
        <v>2</v>
      </c>
      <c r="I590">
        <v>3</v>
      </c>
      <c r="J590">
        <v>1</v>
      </c>
    </row>
    <row r="591" spans="7:10">
      <c r="G591">
        <v>3</v>
      </c>
      <c r="H591">
        <v>2</v>
      </c>
      <c r="I591">
        <v>3</v>
      </c>
      <c r="J591">
        <v>2</v>
      </c>
    </row>
    <row r="592" spans="7:10">
      <c r="G592">
        <v>3</v>
      </c>
      <c r="H592">
        <v>2</v>
      </c>
      <c r="I592">
        <v>4</v>
      </c>
      <c r="J592">
        <v>1</v>
      </c>
    </row>
    <row r="593" spans="7:10">
      <c r="G593">
        <v>3</v>
      </c>
      <c r="H593">
        <v>2</v>
      </c>
      <c r="I593">
        <v>4</v>
      </c>
      <c r="J593">
        <v>2</v>
      </c>
    </row>
    <row r="594" spans="7:10">
      <c r="G594">
        <v>3</v>
      </c>
      <c r="H594">
        <v>2</v>
      </c>
      <c r="I594">
        <v>5</v>
      </c>
      <c r="J594">
        <v>1</v>
      </c>
    </row>
    <row r="595" spans="7:10">
      <c r="G595">
        <v>3</v>
      </c>
      <c r="H595">
        <v>2</v>
      </c>
      <c r="I595">
        <v>5</v>
      </c>
      <c r="J595">
        <v>2</v>
      </c>
    </row>
    <row r="596" spans="7:10">
      <c r="G596">
        <v>3</v>
      </c>
      <c r="H596">
        <v>3</v>
      </c>
      <c r="I596">
        <v>1</v>
      </c>
      <c r="J596">
        <v>1</v>
      </c>
    </row>
    <row r="597" spans="7:10">
      <c r="G597">
        <v>3</v>
      </c>
      <c r="H597">
        <v>3</v>
      </c>
      <c r="I597">
        <v>1</v>
      </c>
      <c r="J597">
        <v>2</v>
      </c>
    </row>
    <row r="598" spans="7:10">
      <c r="G598">
        <v>3</v>
      </c>
      <c r="H598">
        <v>3</v>
      </c>
      <c r="I598">
        <v>2</v>
      </c>
      <c r="J598">
        <v>1</v>
      </c>
    </row>
    <row r="599" spans="7:10">
      <c r="G599">
        <v>3</v>
      </c>
      <c r="H599">
        <v>3</v>
      </c>
      <c r="I599">
        <v>2</v>
      </c>
      <c r="J599">
        <v>2</v>
      </c>
    </row>
    <row r="600" spans="7:10">
      <c r="G600">
        <v>3</v>
      </c>
      <c r="H600">
        <v>3</v>
      </c>
      <c r="I600">
        <v>3</v>
      </c>
      <c r="J600">
        <v>1</v>
      </c>
    </row>
    <row r="601" spans="7:10">
      <c r="G601">
        <v>3</v>
      </c>
      <c r="H601">
        <v>3</v>
      </c>
      <c r="I601">
        <v>3</v>
      </c>
      <c r="J601">
        <v>2</v>
      </c>
    </row>
    <row r="602" spans="7:10">
      <c r="G602">
        <v>3</v>
      </c>
      <c r="H602">
        <v>3</v>
      </c>
      <c r="I602">
        <v>4</v>
      </c>
      <c r="J602">
        <v>1</v>
      </c>
    </row>
    <row r="603" spans="7:10">
      <c r="G603">
        <v>3</v>
      </c>
      <c r="H603">
        <v>3</v>
      </c>
      <c r="I603">
        <v>4</v>
      </c>
      <c r="J603">
        <v>2</v>
      </c>
    </row>
    <row r="604" spans="7:10">
      <c r="G604">
        <v>3</v>
      </c>
      <c r="H604">
        <v>3</v>
      </c>
      <c r="I604">
        <v>5</v>
      </c>
      <c r="J604">
        <v>1</v>
      </c>
    </row>
    <row r="605" spans="7:10">
      <c r="G605">
        <v>3</v>
      </c>
      <c r="H605">
        <v>3</v>
      </c>
      <c r="I605">
        <v>5</v>
      </c>
      <c r="J605">
        <v>2</v>
      </c>
    </row>
    <row r="606" spans="7:10">
      <c r="G606">
        <v>4</v>
      </c>
      <c r="H606">
        <v>1</v>
      </c>
      <c r="I606">
        <v>3</v>
      </c>
      <c r="J606">
        <v>1</v>
      </c>
    </row>
    <row r="607" spans="7:10">
      <c r="G607">
        <v>4</v>
      </c>
      <c r="H607">
        <v>1</v>
      </c>
      <c r="I607">
        <v>3</v>
      </c>
      <c r="J607">
        <v>2</v>
      </c>
    </row>
    <row r="608" spans="7:10">
      <c r="G608">
        <v>4</v>
      </c>
      <c r="H608">
        <v>1</v>
      </c>
      <c r="I608">
        <v>4</v>
      </c>
      <c r="J608">
        <v>1</v>
      </c>
    </row>
    <row r="609" spans="7:10">
      <c r="G609">
        <v>4</v>
      </c>
      <c r="H609">
        <v>1</v>
      </c>
      <c r="I609">
        <v>4</v>
      </c>
      <c r="J609">
        <v>2</v>
      </c>
    </row>
    <row r="610" spans="7:10">
      <c r="G610">
        <v>4</v>
      </c>
      <c r="H610">
        <v>1</v>
      </c>
      <c r="I610">
        <v>5</v>
      </c>
      <c r="J610">
        <v>1</v>
      </c>
    </row>
    <row r="611" spans="7:10">
      <c r="G611">
        <v>4</v>
      </c>
      <c r="H611">
        <v>1</v>
      </c>
      <c r="I611">
        <v>5</v>
      </c>
      <c r="J611">
        <v>2</v>
      </c>
    </row>
    <row r="612" spans="7:10">
      <c r="G612">
        <v>4</v>
      </c>
      <c r="H612">
        <v>2</v>
      </c>
      <c r="I612">
        <v>1</v>
      </c>
      <c r="J612">
        <v>1</v>
      </c>
    </row>
    <row r="613" spans="7:10">
      <c r="G613">
        <v>4</v>
      </c>
      <c r="H613">
        <v>2</v>
      </c>
      <c r="I613">
        <v>1</v>
      </c>
      <c r="J613">
        <v>2</v>
      </c>
    </row>
    <row r="614" spans="7:10">
      <c r="G614">
        <v>4</v>
      </c>
      <c r="H614">
        <v>2</v>
      </c>
      <c r="I614">
        <v>2</v>
      </c>
      <c r="J614">
        <v>1</v>
      </c>
    </row>
    <row r="615" spans="7:10">
      <c r="G615">
        <v>4</v>
      </c>
      <c r="H615">
        <v>2</v>
      </c>
      <c r="I615">
        <v>2</v>
      </c>
      <c r="J615">
        <v>2</v>
      </c>
    </row>
    <row r="616" spans="7:10">
      <c r="G616">
        <v>4</v>
      </c>
      <c r="H616">
        <v>2</v>
      </c>
      <c r="I616">
        <v>3</v>
      </c>
      <c r="J616">
        <v>1</v>
      </c>
    </row>
    <row r="617" spans="7:10">
      <c r="G617">
        <v>4</v>
      </c>
      <c r="H617">
        <v>2</v>
      </c>
      <c r="I617">
        <v>3</v>
      </c>
      <c r="J617">
        <v>2</v>
      </c>
    </row>
    <row r="618" spans="7:10">
      <c r="G618">
        <v>4</v>
      </c>
      <c r="H618">
        <v>2</v>
      </c>
      <c r="I618">
        <v>4</v>
      </c>
      <c r="J618">
        <v>1</v>
      </c>
    </row>
    <row r="619" spans="7:10">
      <c r="G619">
        <v>4</v>
      </c>
      <c r="H619">
        <v>2</v>
      </c>
      <c r="I619">
        <v>4</v>
      </c>
      <c r="J619">
        <v>2</v>
      </c>
    </row>
    <row r="620" spans="7:10">
      <c r="G620">
        <v>4</v>
      </c>
      <c r="H620">
        <v>2</v>
      </c>
      <c r="I620">
        <v>5</v>
      </c>
      <c r="J620">
        <v>1</v>
      </c>
    </row>
    <row r="621" spans="7:10">
      <c r="G621">
        <v>4</v>
      </c>
      <c r="H621">
        <v>2</v>
      </c>
      <c r="I621">
        <v>5</v>
      </c>
      <c r="J621">
        <v>2</v>
      </c>
    </row>
    <row r="622" spans="7:10">
      <c r="G622">
        <v>4</v>
      </c>
      <c r="H622">
        <v>3</v>
      </c>
      <c r="I622">
        <v>1</v>
      </c>
      <c r="J622">
        <v>1</v>
      </c>
    </row>
    <row r="623" spans="7:10">
      <c r="G623">
        <v>4</v>
      </c>
      <c r="H623">
        <v>3</v>
      </c>
      <c r="I623">
        <v>1</v>
      </c>
      <c r="J623">
        <v>2</v>
      </c>
    </row>
    <row r="624" spans="7:10">
      <c r="G624">
        <v>4</v>
      </c>
      <c r="H624">
        <v>3</v>
      </c>
      <c r="I624">
        <v>2</v>
      </c>
      <c r="J624">
        <v>1</v>
      </c>
    </row>
    <row r="625" spans="7:10">
      <c r="G625">
        <v>4</v>
      </c>
      <c r="H625">
        <v>3</v>
      </c>
      <c r="I625">
        <v>2</v>
      </c>
      <c r="J625">
        <v>2</v>
      </c>
    </row>
    <row r="626" spans="7:10">
      <c r="G626">
        <v>4</v>
      </c>
      <c r="H626">
        <v>3</v>
      </c>
      <c r="I626">
        <v>3</v>
      </c>
      <c r="J626">
        <v>1</v>
      </c>
    </row>
    <row r="627" spans="7:10">
      <c r="G627">
        <v>4</v>
      </c>
      <c r="H627">
        <v>3</v>
      </c>
      <c r="I627">
        <v>3</v>
      </c>
      <c r="J627">
        <v>2</v>
      </c>
    </row>
    <row r="628" spans="7:10">
      <c r="G628">
        <v>4</v>
      </c>
      <c r="H628">
        <v>3</v>
      </c>
      <c r="I628">
        <v>4</v>
      </c>
      <c r="J628">
        <v>1</v>
      </c>
    </row>
    <row r="629" spans="7:10">
      <c r="G629">
        <v>4</v>
      </c>
      <c r="H629">
        <v>3</v>
      </c>
      <c r="I629">
        <v>4</v>
      </c>
      <c r="J629">
        <v>2</v>
      </c>
    </row>
    <row r="630" spans="7:10">
      <c r="G630">
        <v>4</v>
      </c>
      <c r="H630">
        <v>3</v>
      </c>
      <c r="I630">
        <v>5</v>
      </c>
      <c r="J630">
        <v>1</v>
      </c>
    </row>
    <row r="631" spans="7:10">
      <c r="G631">
        <v>4</v>
      </c>
      <c r="H631">
        <v>3</v>
      </c>
      <c r="I631">
        <v>5</v>
      </c>
      <c r="J631">
        <v>2</v>
      </c>
    </row>
    <row r="632" spans="7:10">
      <c r="G632">
        <v>1</v>
      </c>
      <c r="H632">
        <v>2</v>
      </c>
      <c r="I632">
        <v>1</v>
      </c>
      <c r="J632">
        <v>1</v>
      </c>
    </row>
    <row r="633" spans="7:10">
      <c r="G633">
        <v>1</v>
      </c>
      <c r="H633">
        <v>2</v>
      </c>
      <c r="I633">
        <v>1</v>
      </c>
      <c r="J633">
        <v>2</v>
      </c>
    </row>
    <row r="634" spans="7:10">
      <c r="G634">
        <v>1</v>
      </c>
      <c r="H634">
        <v>2</v>
      </c>
      <c r="I634">
        <v>2</v>
      </c>
      <c r="J634">
        <v>1</v>
      </c>
    </row>
    <row r="635" spans="7:10">
      <c r="G635">
        <v>1</v>
      </c>
      <c r="H635">
        <v>2</v>
      </c>
      <c r="I635">
        <v>2</v>
      </c>
      <c r="J635">
        <v>2</v>
      </c>
    </row>
    <row r="636" spans="7:10">
      <c r="G636">
        <v>1</v>
      </c>
      <c r="H636">
        <v>2</v>
      </c>
      <c r="I636">
        <v>3</v>
      </c>
      <c r="J636">
        <v>1</v>
      </c>
    </row>
    <row r="637" spans="7:10">
      <c r="G637">
        <v>1</v>
      </c>
      <c r="H637">
        <v>2</v>
      </c>
      <c r="I637">
        <v>3</v>
      </c>
      <c r="J637">
        <v>2</v>
      </c>
    </row>
    <row r="638" spans="7:10">
      <c r="G638">
        <v>1</v>
      </c>
      <c r="H638">
        <v>2</v>
      </c>
      <c r="I638">
        <v>4</v>
      </c>
      <c r="J638">
        <v>1</v>
      </c>
    </row>
    <row r="639" spans="7:10">
      <c r="G639">
        <v>1</v>
      </c>
      <c r="H639">
        <v>2</v>
      </c>
      <c r="I639">
        <v>4</v>
      </c>
      <c r="J639">
        <v>2</v>
      </c>
    </row>
    <row r="640" spans="7:10">
      <c r="G640">
        <v>1</v>
      </c>
      <c r="H640">
        <v>2</v>
      </c>
      <c r="I640">
        <v>5</v>
      </c>
      <c r="J640">
        <v>1</v>
      </c>
    </row>
    <row r="641" spans="7:10">
      <c r="G641">
        <v>1</v>
      </c>
      <c r="H641">
        <v>2</v>
      </c>
      <c r="I641">
        <v>5</v>
      </c>
      <c r="J641">
        <v>2</v>
      </c>
    </row>
    <row r="642" spans="7:10">
      <c r="G642">
        <v>1</v>
      </c>
      <c r="H642">
        <v>3</v>
      </c>
      <c r="I642">
        <v>1</v>
      </c>
      <c r="J642">
        <v>1</v>
      </c>
    </row>
    <row r="643" spans="7:10">
      <c r="G643">
        <v>1</v>
      </c>
      <c r="H643">
        <v>3</v>
      </c>
      <c r="I643">
        <v>1</v>
      </c>
      <c r="J643">
        <v>2</v>
      </c>
    </row>
    <row r="644" spans="7:10">
      <c r="G644">
        <v>1</v>
      </c>
      <c r="H644">
        <v>3</v>
      </c>
      <c r="I644">
        <v>2</v>
      </c>
      <c r="J644">
        <v>1</v>
      </c>
    </row>
    <row r="645" spans="7:10">
      <c r="G645">
        <v>1</v>
      </c>
      <c r="H645">
        <v>3</v>
      </c>
      <c r="I645">
        <v>2</v>
      </c>
      <c r="J645">
        <v>2</v>
      </c>
    </row>
    <row r="646" spans="7:10">
      <c r="G646">
        <v>1</v>
      </c>
      <c r="H646">
        <v>3</v>
      </c>
      <c r="I646">
        <v>3</v>
      </c>
      <c r="J646">
        <v>1</v>
      </c>
    </row>
    <row r="647" spans="7:10">
      <c r="G647">
        <v>1</v>
      </c>
      <c r="H647">
        <v>3</v>
      </c>
      <c r="I647">
        <v>3</v>
      </c>
      <c r="J647">
        <v>2</v>
      </c>
    </row>
    <row r="648" spans="7:10">
      <c r="G648">
        <v>1</v>
      </c>
      <c r="H648">
        <v>3</v>
      </c>
      <c r="I648">
        <v>4</v>
      </c>
      <c r="J648">
        <v>1</v>
      </c>
    </row>
    <row r="649" spans="7:10">
      <c r="G649">
        <v>1</v>
      </c>
      <c r="H649">
        <v>3</v>
      </c>
      <c r="I649">
        <v>4</v>
      </c>
      <c r="J649">
        <v>2</v>
      </c>
    </row>
    <row r="650" spans="7:10">
      <c r="G650">
        <v>1</v>
      </c>
      <c r="H650">
        <v>3</v>
      </c>
      <c r="I650">
        <v>5</v>
      </c>
      <c r="J650">
        <v>1</v>
      </c>
    </row>
    <row r="651" spans="7:10">
      <c r="G651">
        <v>1</v>
      </c>
      <c r="H651">
        <v>3</v>
      </c>
      <c r="I651">
        <v>5</v>
      </c>
      <c r="J651">
        <v>2</v>
      </c>
    </row>
    <row r="652" spans="7:10">
      <c r="G652">
        <v>2</v>
      </c>
      <c r="H652">
        <v>1</v>
      </c>
      <c r="I652">
        <v>3</v>
      </c>
      <c r="J652">
        <v>1</v>
      </c>
    </row>
    <row r="653" spans="7:10">
      <c r="G653">
        <v>2</v>
      </c>
      <c r="H653">
        <v>1</v>
      </c>
      <c r="I653">
        <v>3</v>
      </c>
      <c r="J653">
        <v>2</v>
      </c>
    </row>
    <row r="654" spans="7:10">
      <c r="G654">
        <v>2</v>
      </c>
      <c r="H654">
        <v>1</v>
      </c>
      <c r="I654">
        <v>4</v>
      </c>
      <c r="J654">
        <v>1</v>
      </c>
    </row>
    <row r="655" spans="7:10">
      <c r="G655">
        <v>2</v>
      </c>
      <c r="H655">
        <v>1</v>
      </c>
      <c r="I655">
        <v>4</v>
      </c>
      <c r="J655">
        <v>2</v>
      </c>
    </row>
    <row r="656" spans="7:10">
      <c r="G656">
        <v>2</v>
      </c>
      <c r="H656">
        <v>1</v>
      </c>
      <c r="I656">
        <v>5</v>
      </c>
      <c r="J656">
        <v>1</v>
      </c>
    </row>
    <row r="657" spans="7:10">
      <c r="G657">
        <v>2</v>
      </c>
      <c r="H657">
        <v>1</v>
      </c>
      <c r="I657">
        <v>5</v>
      </c>
      <c r="J657">
        <v>2</v>
      </c>
    </row>
    <row r="658" spans="7:10">
      <c r="G658">
        <v>2</v>
      </c>
      <c r="H658">
        <v>2</v>
      </c>
      <c r="I658">
        <v>1</v>
      </c>
      <c r="J658">
        <v>1</v>
      </c>
    </row>
    <row r="659" spans="7:10">
      <c r="G659">
        <v>2</v>
      </c>
      <c r="H659">
        <v>2</v>
      </c>
      <c r="I659">
        <v>1</v>
      </c>
      <c r="J659">
        <v>2</v>
      </c>
    </row>
    <row r="660" spans="7:10">
      <c r="G660">
        <v>2</v>
      </c>
      <c r="H660">
        <v>2</v>
      </c>
      <c r="I660">
        <v>2</v>
      </c>
      <c r="J660">
        <v>1</v>
      </c>
    </row>
    <row r="661" spans="7:10">
      <c r="G661">
        <v>2</v>
      </c>
      <c r="H661">
        <v>2</v>
      </c>
      <c r="I661">
        <v>2</v>
      </c>
      <c r="J661">
        <v>2</v>
      </c>
    </row>
    <row r="662" spans="7:10">
      <c r="G662">
        <v>2</v>
      </c>
      <c r="H662">
        <v>2</v>
      </c>
      <c r="I662">
        <v>3</v>
      </c>
      <c r="J662">
        <v>1</v>
      </c>
    </row>
    <row r="663" spans="7:10">
      <c r="G663">
        <v>2</v>
      </c>
      <c r="H663">
        <v>2</v>
      </c>
      <c r="I663">
        <v>3</v>
      </c>
      <c r="J663">
        <v>2</v>
      </c>
    </row>
    <row r="664" spans="7:10">
      <c r="G664">
        <v>2</v>
      </c>
      <c r="H664">
        <v>2</v>
      </c>
      <c r="I664">
        <v>4</v>
      </c>
      <c r="J664">
        <v>1</v>
      </c>
    </row>
    <row r="665" spans="7:10">
      <c r="G665">
        <v>2</v>
      </c>
      <c r="H665">
        <v>2</v>
      </c>
      <c r="I665">
        <v>4</v>
      </c>
      <c r="J665">
        <v>2</v>
      </c>
    </row>
    <row r="666" spans="7:10">
      <c r="G666">
        <v>2</v>
      </c>
      <c r="H666">
        <v>2</v>
      </c>
      <c r="I666">
        <v>5</v>
      </c>
      <c r="J666">
        <v>1</v>
      </c>
    </row>
    <row r="667" spans="7:10">
      <c r="G667">
        <v>2</v>
      </c>
      <c r="H667">
        <v>2</v>
      </c>
      <c r="I667">
        <v>5</v>
      </c>
      <c r="J667">
        <v>2</v>
      </c>
    </row>
    <row r="668" spans="7:10">
      <c r="G668">
        <v>2</v>
      </c>
      <c r="H668">
        <v>3</v>
      </c>
      <c r="I668">
        <v>1</v>
      </c>
      <c r="J668">
        <v>1</v>
      </c>
    </row>
    <row r="669" spans="7:10">
      <c r="G669">
        <v>2</v>
      </c>
      <c r="H669">
        <v>3</v>
      </c>
      <c r="I669">
        <v>1</v>
      </c>
      <c r="J669">
        <v>2</v>
      </c>
    </row>
    <row r="670" spans="7:10">
      <c r="G670">
        <v>2</v>
      </c>
      <c r="H670">
        <v>3</v>
      </c>
      <c r="I670">
        <v>2</v>
      </c>
      <c r="J670">
        <v>1</v>
      </c>
    </row>
    <row r="671" spans="7:10">
      <c r="G671">
        <v>2</v>
      </c>
      <c r="H671">
        <v>3</v>
      </c>
      <c r="I671">
        <v>2</v>
      </c>
      <c r="J671">
        <v>2</v>
      </c>
    </row>
    <row r="672" spans="7:10">
      <c r="G672">
        <v>2</v>
      </c>
      <c r="H672">
        <v>3</v>
      </c>
      <c r="I672">
        <v>3</v>
      </c>
      <c r="J672">
        <v>1</v>
      </c>
    </row>
    <row r="673" spans="7:10">
      <c r="G673">
        <v>2</v>
      </c>
      <c r="H673">
        <v>3</v>
      </c>
      <c r="I673">
        <v>3</v>
      </c>
      <c r="J673">
        <v>2</v>
      </c>
    </row>
    <row r="674" spans="7:10">
      <c r="G674">
        <v>2</v>
      </c>
      <c r="H674">
        <v>3</v>
      </c>
      <c r="I674">
        <v>4</v>
      </c>
      <c r="J674">
        <v>1</v>
      </c>
    </row>
    <row r="675" spans="7:10">
      <c r="G675">
        <v>2</v>
      </c>
      <c r="H675">
        <v>3</v>
      </c>
      <c r="I675">
        <v>4</v>
      </c>
      <c r="J675">
        <v>2</v>
      </c>
    </row>
    <row r="676" spans="7:10">
      <c r="G676">
        <v>2</v>
      </c>
      <c r="H676">
        <v>3</v>
      </c>
      <c r="I676">
        <v>5</v>
      </c>
      <c r="J676">
        <v>1</v>
      </c>
    </row>
    <row r="677" spans="7:10">
      <c r="G677">
        <v>2</v>
      </c>
      <c r="H677">
        <v>3</v>
      </c>
      <c r="I677">
        <v>5</v>
      </c>
      <c r="J677">
        <v>2</v>
      </c>
    </row>
    <row r="678" spans="7:10">
      <c r="G678">
        <v>3</v>
      </c>
      <c r="H678">
        <v>1</v>
      </c>
      <c r="I678">
        <v>3</v>
      </c>
      <c r="J678">
        <v>1</v>
      </c>
    </row>
    <row r="679" spans="7:10">
      <c r="G679">
        <v>3</v>
      </c>
      <c r="H679">
        <v>1</v>
      </c>
      <c r="I679">
        <v>3</v>
      </c>
      <c r="J679">
        <v>2</v>
      </c>
    </row>
    <row r="680" spans="7:10">
      <c r="G680">
        <v>3</v>
      </c>
      <c r="H680">
        <v>1</v>
      </c>
      <c r="I680">
        <v>4</v>
      </c>
      <c r="J680">
        <v>1</v>
      </c>
    </row>
    <row r="681" spans="7:10">
      <c r="G681">
        <v>3</v>
      </c>
      <c r="H681">
        <v>1</v>
      </c>
      <c r="I681">
        <v>4</v>
      </c>
      <c r="J681">
        <v>2</v>
      </c>
    </row>
    <row r="682" spans="7:10">
      <c r="G682">
        <v>3</v>
      </c>
      <c r="H682">
        <v>1</v>
      </c>
      <c r="I682">
        <v>5</v>
      </c>
      <c r="J682">
        <v>1</v>
      </c>
    </row>
    <row r="683" spans="7:10">
      <c r="G683">
        <v>3</v>
      </c>
      <c r="H683">
        <v>1</v>
      </c>
      <c r="I683">
        <v>5</v>
      </c>
      <c r="J683">
        <v>2</v>
      </c>
    </row>
    <row r="684" spans="7:10">
      <c r="G684">
        <v>3</v>
      </c>
      <c r="H684">
        <v>2</v>
      </c>
      <c r="I684">
        <v>1</v>
      </c>
      <c r="J684">
        <v>1</v>
      </c>
    </row>
    <row r="685" spans="7:10">
      <c r="G685">
        <v>3</v>
      </c>
      <c r="H685">
        <v>2</v>
      </c>
      <c r="I685">
        <v>1</v>
      </c>
      <c r="J685">
        <v>2</v>
      </c>
    </row>
    <row r="686" spans="7:10">
      <c r="G686">
        <v>3</v>
      </c>
      <c r="H686">
        <v>2</v>
      </c>
      <c r="I686">
        <v>2</v>
      </c>
      <c r="J686">
        <v>1</v>
      </c>
    </row>
    <row r="687" spans="7:10">
      <c r="G687">
        <v>3</v>
      </c>
      <c r="H687">
        <v>2</v>
      </c>
      <c r="I687">
        <v>2</v>
      </c>
      <c r="J687">
        <v>2</v>
      </c>
    </row>
    <row r="688" spans="7:10">
      <c r="G688">
        <v>3</v>
      </c>
      <c r="H688">
        <v>2</v>
      </c>
      <c r="I688">
        <v>3</v>
      </c>
      <c r="J688">
        <v>1</v>
      </c>
    </row>
    <row r="689" spans="7:10">
      <c r="G689">
        <v>3</v>
      </c>
      <c r="H689">
        <v>2</v>
      </c>
      <c r="I689">
        <v>3</v>
      </c>
      <c r="J689">
        <v>2</v>
      </c>
    </row>
    <row r="690" spans="7:10">
      <c r="G690">
        <v>3</v>
      </c>
      <c r="H690">
        <v>2</v>
      </c>
      <c r="I690">
        <v>4</v>
      </c>
      <c r="J690">
        <v>1</v>
      </c>
    </row>
    <row r="691" spans="7:10">
      <c r="G691">
        <v>3</v>
      </c>
      <c r="H691">
        <v>2</v>
      </c>
      <c r="I691">
        <v>4</v>
      </c>
      <c r="J691">
        <v>2</v>
      </c>
    </row>
    <row r="692" spans="7:10">
      <c r="G692">
        <v>3</v>
      </c>
      <c r="H692">
        <v>2</v>
      </c>
      <c r="I692">
        <v>5</v>
      </c>
      <c r="J692">
        <v>1</v>
      </c>
    </row>
    <row r="693" spans="7:10">
      <c r="G693">
        <v>3</v>
      </c>
      <c r="H693">
        <v>2</v>
      </c>
      <c r="I693">
        <v>5</v>
      </c>
      <c r="J693">
        <v>2</v>
      </c>
    </row>
    <row r="694" spans="7:10">
      <c r="G694">
        <v>3</v>
      </c>
      <c r="H694">
        <v>3</v>
      </c>
      <c r="I694">
        <v>1</v>
      </c>
      <c r="J694">
        <v>1</v>
      </c>
    </row>
    <row r="695" spans="7:10">
      <c r="G695">
        <v>3</v>
      </c>
      <c r="H695">
        <v>3</v>
      </c>
      <c r="I695">
        <v>1</v>
      </c>
      <c r="J695">
        <v>2</v>
      </c>
    </row>
    <row r="696" spans="7:10">
      <c r="G696">
        <v>3</v>
      </c>
      <c r="H696">
        <v>3</v>
      </c>
      <c r="I696">
        <v>2</v>
      </c>
      <c r="J696">
        <v>1</v>
      </c>
    </row>
    <row r="697" spans="7:10">
      <c r="G697">
        <v>3</v>
      </c>
      <c r="H697">
        <v>3</v>
      </c>
      <c r="I697">
        <v>2</v>
      </c>
      <c r="J697">
        <v>2</v>
      </c>
    </row>
    <row r="698" spans="7:10">
      <c r="G698">
        <v>3</v>
      </c>
      <c r="H698">
        <v>3</v>
      </c>
      <c r="I698">
        <v>3</v>
      </c>
      <c r="J698">
        <v>1</v>
      </c>
    </row>
    <row r="699" spans="7:10">
      <c r="G699">
        <v>3</v>
      </c>
      <c r="H699">
        <v>3</v>
      </c>
      <c r="I699">
        <v>3</v>
      </c>
      <c r="J699">
        <v>2</v>
      </c>
    </row>
    <row r="700" spans="7:10">
      <c r="G700">
        <v>3</v>
      </c>
      <c r="H700">
        <v>3</v>
      </c>
      <c r="I700">
        <v>4</v>
      </c>
      <c r="J700">
        <v>1</v>
      </c>
    </row>
    <row r="701" spans="7:10">
      <c r="G701">
        <v>3</v>
      </c>
      <c r="H701">
        <v>3</v>
      </c>
      <c r="I701">
        <v>4</v>
      </c>
      <c r="J701">
        <v>2</v>
      </c>
    </row>
    <row r="702" spans="7:10">
      <c r="G702">
        <v>3</v>
      </c>
      <c r="H702">
        <v>3</v>
      </c>
      <c r="I702">
        <v>5</v>
      </c>
      <c r="J702">
        <v>1</v>
      </c>
    </row>
    <row r="703" spans="7:10">
      <c r="G703">
        <v>3</v>
      </c>
      <c r="H703">
        <v>3</v>
      </c>
      <c r="I703">
        <v>5</v>
      </c>
      <c r="J703">
        <v>2</v>
      </c>
    </row>
    <row r="704" spans="7:10">
      <c r="G704">
        <v>4</v>
      </c>
      <c r="H704">
        <v>1</v>
      </c>
      <c r="I704">
        <v>3</v>
      </c>
      <c r="J704">
        <v>1</v>
      </c>
    </row>
    <row r="705" spans="7:10">
      <c r="G705">
        <v>4</v>
      </c>
      <c r="H705">
        <v>1</v>
      </c>
      <c r="I705">
        <v>3</v>
      </c>
      <c r="J705">
        <v>2</v>
      </c>
    </row>
    <row r="706" spans="7:10">
      <c r="G706">
        <v>4</v>
      </c>
      <c r="H706">
        <v>1</v>
      </c>
      <c r="I706">
        <v>4</v>
      </c>
      <c r="J706">
        <v>1</v>
      </c>
    </row>
    <row r="707" spans="7:10">
      <c r="G707">
        <v>4</v>
      </c>
      <c r="H707">
        <v>1</v>
      </c>
      <c r="I707">
        <v>4</v>
      </c>
      <c r="J707">
        <v>2</v>
      </c>
    </row>
    <row r="708" spans="7:10">
      <c r="G708">
        <v>4</v>
      </c>
      <c r="H708">
        <v>1</v>
      </c>
      <c r="I708">
        <v>5</v>
      </c>
      <c r="J708">
        <v>1</v>
      </c>
    </row>
    <row r="709" spans="7:10">
      <c r="G709">
        <v>4</v>
      </c>
      <c r="H709">
        <v>1</v>
      </c>
      <c r="I709">
        <v>5</v>
      </c>
      <c r="J709">
        <v>2</v>
      </c>
    </row>
    <row r="710" spans="7:10">
      <c r="G710">
        <v>4</v>
      </c>
      <c r="H710">
        <v>2</v>
      </c>
      <c r="I710">
        <v>1</v>
      </c>
      <c r="J710">
        <v>1</v>
      </c>
    </row>
    <row r="711" spans="7:10">
      <c r="G711">
        <v>4</v>
      </c>
      <c r="H711">
        <v>2</v>
      </c>
      <c r="I711">
        <v>1</v>
      </c>
      <c r="J711">
        <v>2</v>
      </c>
    </row>
    <row r="712" spans="7:10">
      <c r="G712">
        <v>4</v>
      </c>
      <c r="H712">
        <v>2</v>
      </c>
      <c r="I712">
        <v>2</v>
      </c>
      <c r="J712">
        <v>1</v>
      </c>
    </row>
    <row r="713" spans="7:10">
      <c r="G713">
        <v>4</v>
      </c>
      <c r="H713">
        <v>2</v>
      </c>
      <c r="I713">
        <v>2</v>
      </c>
      <c r="J713">
        <v>2</v>
      </c>
    </row>
    <row r="714" spans="7:10">
      <c r="G714">
        <v>4</v>
      </c>
      <c r="H714">
        <v>2</v>
      </c>
      <c r="I714">
        <v>3</v>
      </c>
      <c r="J714">
        <v>1</v>
      </c>
    </row>
    <row r="715" spans="7:10">
      <c r="G715">
        <v>4</v>
      </c>
      <c r="H715">
        <v>2</v>
      </c>
      <c r="I715">
        <v>3</v>
      </c>
      <c r="J715">
        <v>2</v>
      </c>
    </row>
    <row r="716" spans="7:10">
      <c r="G716">
        <v>4</v>
      </c>
      <c r="H716">
        <v>2</v>
      </c>
      <c r="I716">
        <v>4</v>
      </c>
      <c r="J716">
        <v>1</v>
      </c>
    </row>
    <row r="717" spans="7:10">
      <c r="G717">
        <v>4</v>
      </c>
      <c r="H717">
        <v>2</v>
      </c>
      <c r="I717">
        <v>4</v>
      </c>
      <c r="J717">
        <v>2</v>
      </c>
    </row>
    <row r="718" spans="7:10">
      <c r="G718">
        <v>4</v>
      </c>
      <c r="H718">
        <v>2</v>
      </c>
      <c r="I718">
        <v>5</v>
      </c>
      <c r="J718">
        <v>1</v>
      </c>
    </row>
    <row r="719" spans="7:10">
      <c r="G719">
        <v>4</v>
      </c>
      <c r="H719">
        <v>2</v>
      </c>
      <c r="I719">
        <v>5</v>
      </c>
      <c r="J719">
        <v>2</v>
      </c>
    </row>
    <row r="720" spans="7:10">
      <c r="G720">
        <v>4</v>
      </c>
      <c r="H720">
        <v>3</v>
      </c>
      <c r="I720">
        <v>1</v>
      </c>
      <c r="J720">
        <v>1</v>
      </c>
    </row>
    <row r="721" spans="7:10">
      <c r="G721">
        <v>4</v>
      </c>
      <c r="H721">
        <v>3</v>
      </c>
      <c r="I721">
        <v>1</v>
      </c>
      <c r="J721">
        <v>2</v>
      </c>
    </row>
    <row r="722" spans="7:10">
      <c r="G722">
        <v>4</v>
      </c>
      <c r="H722">
        <v>3</v>
      </c>
      <c r="I722">
        <v>2</v>
      </c>
      <c r="J722">
        <v>1</v>
      </c>
    </row>
    <row r="723" spans="7:10">
      <c r="G723">
        <v>4</v>
      </c>
      <c r="H723">
        <v>3</v>
      </c>
      <c r="I723">
        <v>2</v>
      </c>
      <c r="J723">
        <v>2</v>
      </c>
    </row>
    <row r="724" spans="7:10">
      <c r="G724">
        <v>4</v>
      </c>
      <c r="H724">
        <v>3</v>
      </c>
      <c r="I724">
        <v>3</v>
      </c>
      <c r="J724">
        <v>1</v>
      </c>
    </row>
    <row r="725" spans="7:10">
      <c r="G725">
        <v>4</v>
      </c>
      <c r="H725">
        <v>3</v>
      </c>
      <c r="I725">
        <v>3</v>
      </c>
      <c r="J725">
        <v>2</v>
      </c>
    </row>
    <row r="726" spans="7:10">
      <c r="G726">
        <v>4</v>
      </c>
      <c r="H726">
        <v>3</v>
      </c>
      <c r="I726">
        <v>4</v>
      </c>
      <c r="J726">
        <v>1</v>
      </c>
    </row>
    <row r="727" spans="7:10">
      <c r="G727">
        <v>4</v>
      </c>
      <c r="H727">
        <v>3</v>
      </c>
      <c r="I727">
        <v>4</v>
      </c>
      <c r="J727">
        <v>2</v>
      </c>
    </row>
    <row r="728" spans="7:10">
      <c r="G728">
        <v>4</v>
      </c>
      <c r="H728">
        <v>3</v>
      </c>
      <c r="I728">
        <v>5</v>
      </c>
      <c r="J728">
        <v>1</v>
      </c>
    </row>
    <row r="729" spans="7:10">
      <c r="G729">
        <v>4</v>
      </c>
      <c r="H729">
        <v>3</v>
      </c>
      <c r="I729">
        <v>5</v>
      </c>
      <c r="J729">
        <v>2</v>
      </c>
    </row>
    <row r="730" spans="7:10">
      <c r="G730">
        <v>1</v>
      </c>
      <c r="H730">
        <v>2</v>
      </c>
      <c r="I730">
        <v>1</v>
      </c>
      <c r="J730">
        <v>1</v>
      </c>
    </row>
    <row r="731" spans="7:10">
      <c r="G731">
        <v>1</v>
      </c>
      <c r="H731">
        <v>2</v>
      </c>
      <c r="I731">
        <v>1</v>
      </c>
      <c r="J731">
        <v>2</v>
      </c>
    </row>
    <row r="732" spans="7:10">
      <c r="G732">
        <v>1</v>
      </c>
      <c r="H732">
        <v>2</v>
      </c>
      <c r="I732">
        <v>2</v>
      </c>
      <c r="J732">
        <v>1</v>
      </c>
    </row>
    <row r="733" spans="7:10">
      <c r="G733">
        <v>1</v>
      </c>
      <c r="H733">
        <v>2</v>
      </c>
      <c r="I733">
        <v>2</v>
      </c>
      <c r="J733">
        <v>2</v>
      </c>
    </row>
    <row r="734" spans="7:10">
      <c r="G734">
        <v>1</v>
      </c>
      <c r="H734">
        <v>2</v>
      </c>
      <c r="I734">
        <v>3</v>
      </c>
      <c r="J734">
        <v>1</v>
      </c>
    </row>
    <row r="735" spans="7:10">
      <c r="G735">
        <v>1</v>
      </c>
      <c r="H735">
        <v>2</v>
      </c>
      <c r="I735">
        <v>3</v>
      </c>
      <c r="J735">
        <v>2</v>
      </c>
    </row>
    <row r="736" spans="7:10">
      <c r="G736">
        <v>1</v>
      </c>
      <c r="H736">
        <v>2</v>
      </c>
      <c r="I736">
        <v>4</v>
      </c>
      <c r="J736">
        <v>1</v>
      </c>
    </row>
    <row r="737" spans="7:10">
      <c r="G737">
        <v>1</v>
      </c>
      <c r="H737">
        <v>2</v>
      </c>
      <c r="I737">
        <v>4</v>
      </c>
      <c r="J737">
        <v>2</v>
      </c>
    </row>
    <row r="738" spans="7:10">
      <c r="G738">
        <v>1</v>
      </c>
      <c r="H738">
        <v>2</v>
      </c>
      <c r="I738">
        <v>5</v>
      </c>
      <c r="J738">
        <v>1</v>
      </c>
    </row>
    <row r="739" spans="7:10">
      <c r="G739">
        <v>1</v>
      </c>
      <c r="H739">
        <v>2</v>
      </c>
      <c r="I739">
        <v>5</v>
      </c>
      <c r="J739">
        <v>2</v>
      </c>
    </row>
    <row r="740" spans="7:10">
      <c r="G740">
        <v>1</v>
      </c>
      <c r="H740">
        <v>3</v>
      </c>
      <c r="I740">
        <v>1</v>
      </c>
      <c r="J740">
        <v>1</v>
      </c>
    </row>
    <row r="741" spans="7:10">
      <c r="G741">
        <v>1</v>
      </c>
      <c r="H741">
        <v>3</v>
      </c>
      <c r="I741">
        <v>1</v>
      </c>
      <c r="J741">
        <v>2</v>
      </c>
    </row>
    <row r="742" spans="7:10">
      <c r="G742">
        <v>1</v>
      </c>
      <c r="H742">
        <v>3</v>
      </c>
      <c r="I742">
        <v>2</v>
      </c>
      <c r="J742">
        <v>1</v>
      </c>
    </row>
    <row r="743" spans="7:10">
      <c r="G743">
        <v>1</v>
      </c>
      <c r="H743">
        <v>3</v>
      </c>
      <c r="I743">
        <v>2</v>
      </c>
      <c r="J743">
        <v>2</v>
      </c>
    </row>
    <row r="744" spans="7:10">
      <c r="G744">
        <v>1</v>
      </c>
      <c r="H744">
        <v>3</v>
      </c>
      <c r="I744">
        <v>3</v>
      </c>
      <c r="J744">
        <v>1</v>
      </c>
    </row>
    <row r="745" spans="7:10">
      <c r="G745">
        <v>1</v>
      </c>
      <c r="H745">
        <v>3</v>
      </c>
      <c r="I745">
        <v>3</v>
      </c>
      <c r="J745">
        <v>2</v>
      </c>
    </row>
    <row r="746" spans="7:10">
      <c r="G746">
        <v>1</v>
      </c>
      <c r="H746">
        <v>3</v>
      </c>
      <c r="I746">
        <v>4</v>
      </c>
      <c r="J746">
        <v>1</v>
      </c>
    </row>
    <row r="747" spans="7:10">
      <c r="G747">
        <v>1</v>
      </c>
      <c r="H747">
        <v>3</v>
      </c>
      <c r="I747">
        <v>4</v>
      </c>
      <c r="J747">
        <v>2</v>
      </c>
    </row>
    <row r="748" spans="7:10">
      <c r="G748">
        <v>1</v>
      </c>
      <c r="H748">
        <v>3</v>
      </c>
      <c r="I748">
        <v>5</v>
      </c>
      <c r="J748">
        <v>1</v>
      </c>
    </row>
    <row r="749" spans="7:10">
      <c r="G749">
        <v>1</v>
      </c>
      <c r="H749">
        <v>3</v>
      </c>
      <c r="I749">
        <v>5</v>
      </c>
      <c r="J749">
        <v>2</v>
      </c>
    </row>
    <row r="750" spans="7:10">
      <c r="G750">
        <v>2</v>
      </c>
      <c r="H750">
        <v>1</v>
      </c>
      <c r="I750">
        <v>3</v>
      </c>
      <c r="J750">
        <v>1</v>
      </c>
    </row>
    <row r="751" spans="7:10">
      <c r="G751">
        <v>2</v>
      </c>
      <c r="H751">
        <v>1</v>
      </c>
      <c r="I751">
        <v>3</v>
      </c>
      <c r="J751">
        <v>2</v>
      </c>
    </row>
    <row r="752" spans="7:10">
      <c r="G752">
        <v>2</v>
      </c>
      <c r="H752">
        <v>1</v>
      </c>
      <c r="I752">
        <v>4</v>
      </c>
      <c r="J752">
        <v>1</v>
      </c>
    </row>
    <row r="753" spans="7:10">
      <c r="G753">
        <v>2</v>
      </c>
      <c r="H753">
        <v>1</v>
      </c>
      <c r="I753">
        <v>4</v>
      </c>
      <c r="J753">
        <v>2</v>
      </c>
    </row>
    <row r="754" spans="7:10">
      <c r="G754">
        <v>2</v>
      </c>
      <c r="H754">
        <v>1</v>
      </c>
      <c r="I754">
        <v>5</v>
      </c>
      <c r="J754">
        <v>1</v>
      </c>
    </row>
    <row r="755" spans="7:10">
      <c r="G755">
        <v>2</v>
      </c>
      <c r="H755">
        <v>1</v>
      </c>
      <c r="I755">
        <v>5</v>
      </c>
      <c r="J755">
        <v>2</v>
      </c>
    </row>
    <row r="756" spans="7:10">
      <c r="G756">
        <v>2</v>
      </c>
      <c r="H756">
        <v>2</v>
      </c>
      <c r="I756">
        <v>1</v>
      </c>
      <c r="J756">
        <v>1</v>
      </c>
    </row>
    <row r="757" spans="7:10">
      <c r="G757">
        <v>2</v>
      </c>
      <c r="H757">
        <v>2</v>
      </c>
      <c r="I757">
        <v>1</v>
      </c>
      <c r="J757">
        <v>2</v>
      </c>
    </row>
    <row r="758" spans="7:10">
      <c r="G758">
        <v>2</v>
      </c>
      <c r="H758">
        <v>2</v>
      </c>
      <c r="I758">
        <v>2</v>
      </c>
      <c r="J758">
        <v>1</v>
      </c>
    </row>
    <row r="759" spans="7:10">
      <c r="G759">
        <v>2</v>
      </c>
      <c r="H759">
        <v>2</v>
      </c>
      <c r="I759">
        <v>2</v>
      </c>
      <c r="J759">
        <v>2</v>
      </c>
    </row>
    <row r="760" spans="7:10">
      <c r="G760">
        <v>2</v>
      </c>
      <c r="H760">
        <v>2</v>
      </c>
      <c r="I760">
        <v>3</v>
      </c>
      <c r="J760">
        <v>1</v>
      </c>
    </row>
    <row r="761" spans="7:10">
      <c r="G761">
        <v>2</v>
      </c>
      <c r="H761">
        <v>2</v>
      </c>
      <c r="I761">
        <v>3</v>
      </c>
      <c r="J761">
        <v>2</v>
      </c>
    </row>
    <row r="762" spans="7:10">
      <c r="G762">
        <v>2</v>
      </c>
      <c r="H762">
        <v>2</v>
      </c>
      <c r="I762">
        <v>4</v>
      </c>
      <c r="J762">
        <v>1</v>
      </c>
    </row>
    <row r="763" spans="7:10">
      <c r="G763">
        <v>2</v>
      </c>
      <c r="H763">
        <v>2</v>
      </c>
      <c r="I763">
        <v>4</v>
      </c>
      <c r="J763">
        <v>2</v>
      </c>
    </row>
    <row r="764" spans="7:10">
      <c r="G764">
        <v>2</v>
      </c>
      <c r="H764">
        <v>2</v>
      </c>
      <c r="I764">
        <v>5</v>
      </c>
      <c r="J764">
        <v>1</v>
      </c>
    </row>
    <row r="765" spans="7:10">
      <c r="G765">
        <v>2</v>
      </c>
      <c r="H765">
        <v>2</v>
      </c>
      <c r="I765">
        <v>5</v>
      </c>
      <c r="J765">
        <v>2</v>
      </c>
    </row>
    <row r="766" spans="7:10">
      <c r="G766">
        <v>2</v>
      </c>
      <c r="H766">
        <v>3</v>
      </c>
      <c r="I766">
        <v>1</v>
      </c>
      <c r="J766">
        <v>1</v>
      </c>
    </row>
    <row r="767" spans="7:10">
      <c r="G767">
        <v>2</v>
      </c>
      <c r="H767">
        <v>3</v>
      </c>
      <c r="I767">
        <v>1</v>
      </c>
      <c r="J767">
        <v>2</v>
      </c>
    </row>
    <row r="768" spans="7:10">
      <c r="G768">
        <v>2</v>
      </c>
      <c r="H768">
        <v>3</v>
      </c>
      <c r="I768">
        <v>2</v>
      </c>
      <c r="J768">
        <v>1</v>
      </c>
    </row>
    <row r="769" spans="7:10">
      <c r="G769">
        <v>2</v>
      </c>
      <c r="H769">
        <v>3</v>
      </c>
      <c r="I769">
        <v>2</v>
      </c>
      <c r="J769">
        <v>2</v>
      </c>
    </row>
    <row r="770" spans="7:10">
      <c r="G770">
        <v>2</v>
      </c>
      <c r="H770">
        <v>3</v>
      </c>
      <c r="I770">
        <v>3</v>
      </c>
      <c r="J770">
        <v>1</v>
      </c>
    </row>
    <row r="771" spans="7:10">
      <c r="G771">
        <v>2</v>
      </c>
      <c r="H771">
        <v>3</v>
      </c>
      <c r="I771">
        <v>3</v>
      </c>
      <c r="J771">
        <v>2</v>
      </c>
    </row>
    <row r="772" spans="7:10">
      <c r="G772">
        <v>2</v>
      </c>
      <c r="H772">
        <v>3</v>
      </c>
      <c r="I772">
        <v>4</v>
      </c>
      <c r="J772">
        <v>1</v>
      </c>
    </row>
    <row r="773" spans="7:10">
      <c r="G773">
        <v>2</v>
      </c>
      <c r="H773">
        <v>3</v>
      </c>
      <c r="I773">
        <v>4</v>
      </c>
      <c r="J773">
        <v>2</v>
      </c>
    </row>
    <row r="774" spans="7:10">
      <c r="G774">
        <v>2</v>
      </c>
      <c r="H774">
        <v>3</v>
      </c>
      <c r="I774">
        <v>5</v>
      </c>
      <c r="J774">
        <v>1</v>
      </c>
    </row>
    <row r="775" spans="7:10">
      <c r="G775">
        <v>2</v>
      </c>
      <c r="H775">
        <v>3</v>
      </c>
      <c r="I775">
        <v>5</v>
      </c>
      <c r="J775">
        <v>2</v>
      </c>
    </row>
    <row r="776" spans="7:10">
      <c r="G776">
        <v>3</v>
      </c>
      <c r="H776">
        <v>1</v>
      </c>
      <c r="I776">
        <v>3</v>
      </c>
      <c r="J776">
        <v>1</v>
      </c>
    </row>
    <row r="777" spans="7:10">
      <c r="G777">
        <v>3</v>
      </c>
      <c r="H777">
        <v>1</v>
      </c>
      <c r="I777">
        <v>3</v>
      </c>
      <c r="J777">
        <v>2</v>
      </c>
    </row>
    <row r="778" spans="7:10">
      <c r="G778">
        <v>3</v>
      </c>
      <c r="H778">
        <v>1</v>
      </c>
      <c r="I778">
        <v>4</v>
      </c>
      <c r="J778">
        <v>1</v>
      </c>
    </row>
    <row r="779" spans="7:10">
      <c r="G779">
        <v>3</v>
      </c>
      <c r="H779">
        <v>1</v>
      </c>
      <c r="I779">
        <v>4</v>
      </c>
      <c r="J779">
        <v>2</v>
      </c>
    </row>
    <row r="780" spans="7:10">
      <c r="G780">
        <v>3</v>
      </c>
      <c r="H780">
        <v>1</v>
      </c>
      <c r="I780">
        <v>5</v>
      </c>
      <c r="J780">
        <v>1</v>
      </c>
    </row>
    <row r="781" spans="7:10">
      <c r="G781">
        <v>3</v>
      </c>
      <c r="H781">
        <v>1</v>
      </c>
      <c r="I781">
        <v>5</v>
      </c>
      <c r="J781">
        <v>2</v>
      </c>
    </row>
    <row r="782" spans="7:10">
      <c r="G782">
        <v>3</v>
      </c>
      <c r="H782">
        <v>2</v>
      </c>
      <c r="I782">
        <v>1</v>
      </c>
      <c r="J782">
        <v>1</v>
      </c>
    </row>
    <row r="783" spans="7:10">
      <c r="G783">
        <v>3</v>
      </c>
      <c r="H783">
        <v>2</v>
      </c>
      <c r="I783">
        <v>1</v>
      </c>
      <c r="J783">
        <v>2</v>
      </c>
    </row>
    <row r="784" spans="7:10">
      <c r="G784">
        <v>3</v>
      </c>
      <c r="H784">
        <v>2</v>
      </c>
      <c r="I784">
        <v>2</v>
      </c>
      <c r="J784">
        <v>1</v>
      </c>
    </row>
    <row r="785" spans="7:10">
      <c r="G785">
        <v>3</v>
      </c>
      <c r="H785">
        <v>2</v>
      </c>
      <c r="I785">
        <v>2</v>
      </c>
      <c r="J785">
        <v>2</v>
      </c>
    </row>
    <row r="786" spans="7:10">
      <c r="G786">
        <v>3</v>
      </c>
      <c r="H786">
        <v>2</v>
      </c>
      <c r="I786">
        <v>3</v>
      </c>
      <c r="J786">
        <v>1</v>
      </c>
    </row>
    <row r="787" spans="7:10">
      <c r="G787">
        <v>3</v>
      </c>
      <c r="H787">
        <v>2</v>
      </c>
      <c r="I787">
        <v>3</v>
      </c>
      <c r="J787">
        <v>2</v>
      </c>
    </row>
    <row r="788" spans="7:10">
      <c r="G788">
        <v>3</v>
      </c>
      <c r="H788">
        <v>2</v>
      </c>
      <c r="I788">
        <v>4</v>
      </c>
      <c r="J788">
        <v>1</v>
      </c>
    </row>
    <row r="789" spans="7:10">
      <c r="G789">
        <v>3</v>
      </c>
      <c r="H789">
        <v>2</v>
      </c>
      <c r="I789">
        <v>4</v>
      </c>
      <c r="J789">
        <v>2</v>
      </c>
    </row>
    <row r="790" spans="7:10">
      <c r="G790">
        <v>3</v>
      </c>
      <c r="H790">
        <v>2</v>
      </c>
      <c r="I790">
        <v>5</v>
      </c>
      <c r="J790">
        <v>1</v>
      </c>
    </row>
    <row r="791" spans="7:10">
      <c r="G791">
        <v>3</v>
      </c>
      <c r="H791">
        <v>2</v>
      </c>
      <c r="I791">
        <v>5</v>
      </c>
      <c r="J791">
        <v>2</v>
      </c>
    </row>
    <row r="792" spans="7:10">
      <c r="G792">
        <v>3</v>
      </c>
      <c r="H792">
        <v>3</v>
      </c>
      <c r="I792">
        <v>1</v>
      </c>
      <c r="J792">
        <v>1</v>
      </c>
    </row>
    <row r="793" spans="7:10">
      <c r="G793">
        <v>3</v>
      </c>
      <c r="H793">
        <v>3</v>
      </c>
      <c r="I793">
        <v>1</v>
      </c>
      <c r="J793">
        <v>2</v>
      </c>
    </row>
    <row r="794" spans="7:10">
      <c r="G794">
        <v>3</v>
      </c>
      <c r="H794">
        <v>3</v>
      </c>
      <c r="I794">
        <v>2</v>
      </c>
      <c r="J794">
        <v>1</v>
      </c>
    </row>
    <row r="795" spans="7:10">
      <c r="G795">
        <v>3</v>
      </c>
      <c r="H795">
        <v>3</v>
      </c>
      <c r="I795">
        <v>2</v>
      </c>
      <c r="J795">
        <v>2</v>
      </c>
    </row>
    <row r="796" spans="7:10">
      <c r="G796">
        <v>3</v>
      </c>
      <c r="H796">
        <v>3</v>
      </c>
      <c r="I796">
        <v>3</v>
      </c>
      <c r="J796">
        <v>1</v>
      </c>
    </row>
    <row r="797" spans="7:10">
      <c r="G797">
        <v>3</v>
      </c>
      <c r="H797">
        <v>3</v>
      </c>
      <c r="I797">
        <v>3</v>
      </c>
      <c r="J797">
        <v>2</v>
      </c>
    </row>
    <row r="798" spans="7:10">
      <c r="G798">
        <v>3</v>
      </c>
      <c r="H798">
        <v>3</v>
      </c>
      <c r="I798">
        <v>4</v>
      </c>
      <c r="J798">
        <v>1</v>
      </c>
    </row>
    <row r="799" spans="7:10">
      <c r="G799">
        <v>3</v>
      </c>
      <c r="H799">
        <v>3</v>
      </c>
      <c r="I799">
        <v>4</v>
      </c>
      <c r="J799">
        <v>2</v>
      </c>
    </row>
    <row r="800" spans="7:10">
      <c r="G800">
        <v>3</v>
      </c>
      <c r="H800">
        <v>3</v>
      </c>
      <c r="I800">
        <v>5</v>
      </c>
      <c r="J800">
        <v>1</v>
      </c>
    </row>
    <row r="801" spans="7:10">
      <c r="G801">
        <v>3</v>
      </c>
      <c r="H801">
        <v>3</v>
      </c>
      <c r="I801">
        <v>5</v>
      </c>
      <c r="J801">
        <v>2</v>
      </c>
    </row>
    <row r="802" spans="7:10">
      <c r="G802">
        <v>4</v>
      </c>
      <c r="H802">
        <v>1</v>
      </c>
      <c r="I802">
        <v>3</v>
      </c>
      <c r="J802">
        <v>1</v>
      </c>
    </row>
    <row r="803" spans="7:10">
      <c r="G803">
        <v>4</v>
      </c>
      <c r="H803">
        <v>1</v>
      </c>
      <c r="I803">
        <v>3</v>
      </c>
      <c r="J803">
        <v>2</v>
      </c>
    </row>
    <row r="804" spans="7:10">
      <c r="G804">
        <v>4</v>
      </c>
      <c r="H804">
        <v>1</v>
      </c>
      <c r="I804">
        <v>4</v>
      </c>
      <c r="J804">
        <v>1</v>
      </c>
    </row>
    <row r="805" spans="7:10">
      <c r="G805">
        <v>4</v>
      </c>
      <c r="H805">
        <v>1</v>
      </c>
      <c r="I805">
        <v>4</v>
      </c>
      <c r="J805">
        <v>2</v>
      </c>
    </row>
    <row r="806" spans="7:10">
      <c r="G806">
        <v>4</v>
      </c>
      <c r="H806">
        <v>1</v>
      </c>
      <c r="I806">
        <v>5</v>
      </c>
      <c r="J806">
        <v>1</v>
      </c>
    </row>
    <row r="807" spans="7:10">
      <c r="G807">
        <v>4</v>
      </c>
      <c r="H807">
        <v>1</v>
      </c>
      <c r="I807">
        <v>5</v>
      </c>
      <c r="J807">
        <v>2</v>
      </c>
    </row>
    <row r="808" spans="7:10">
      <c r="G808">
        <v>4</v>
      </c>
      <c r="H808">
        <v>2</v>
      </c>
      <c r="I808">
        <v>1</v>
      </c>
      <c r="J808">
        <v>1</v>
      </c>
    </row>
    <row r="809" spans="7:10">
      <c r="G809">
        <v>4</v>
      </c>
      <c r="H809">
        <v>2</v>
      </c>
      <c r="I809">
        <v>1</v>
      </c>
      <c r="J809">
        <v>2</v>
      </c>
    </row>
    <row r="810" spans="7:10">
      <c r="G810">
        <v>4</v>
      </c>
      <c r="H810">
        <v>2</v>
      </c>
      <c r="I810">
        <v>2</v>
      </c>
      <c r="J810">
        <v>1</v>
      </c>
    </row>
    <row r="811" spans="7:10">
      <c r="G811">
        <v>4</v>
      </c>
      <c r="H811">
        <v>2</v>
      </c>
      <c r="I811">
        <v>2</v>
      </c>
      <c r="J811">
        <v>2</v>
      </c>
    </row>
    <row r="812" spans="7:10">
      <c r="G812">
        <v>4</v>
      </c>
      <c r="H812">
        <v>2</v>
      </c>
      <c r="I812">
        <v>3</v>
      </c>
      <c r="J812">
        <v>1</v>
      </c>
    </row>
    <row r="813" spans="7:10">
      <c r="G813">
        <v>4</v>
      </c>
      <c r="H813">
        <v>2</v>
      </c>
      <c r="I813">
        <v>3</v>
      </c>
      <c r="J813">
        <v>2</v>
      </c>
    </row>
    <row r="814" spans="7:10">
      <c r="G814">
        <v>4</v>
      </c>
      <c r="H814">
        <v>2</v>
      </c>
      <c r="I814">
        <v>4</v>
      </c>
      <c r="J814">
        <v>1</v>
      </c>
    </row>
    <row r="815" spans="7:10">
      <c r="G815">
        <v>4</v>
      </c>
      <c r="H815">
        <v>2</v>
      </c>
      <c r="I815">
        <v>4</v>
      </c>
      <c r="J815">
        <v>2</v>
      </c>
    </row>
    <row r="816" spans="7:10">
      <c r="G816">
        <v>4</v>
      </c>
      <c r="H816">
        <v>2</v>
      </c>
      <c r="I816">
        <v>5</v>
      </c>
      <c r="J816">
        <v>1</v>
      </c>
    </row>
    <row r="817" spans="7:10">
      <c r="G817">
        <v>4</v>
      </c>
      <c r="H817">
        <v>2</v>
      </c>
      <c r="I817">
        <v>5</v>
      </c>
      <c r="J817">
        <v>2</v>
      </c>
    </row>
    <row r="818" spans="7:10">
      <c r="G818">
        <v>4</v>
      </c>
      <c r="H818">
        <v>3</v>
      </c>
      <c r="I818">
        <v>1</v>
      </c>
      <c r="J818">
        <v>1</v>
      </c>
    </row>
    <row r="819" spans="7:10">
      <c r="G819">
        <v>4</v>
      </c>
      <c r="H819">
        <v>3</v>
      </c>
      <c r="I819">
        <v>1</v>
      </c>
      <c r="J819">
        <v>2</v>
      </c>
    </row>
    <row r="820" spans="7:10">
      <c r="G820">
        <v>4</v>
      </c>
      <c r="H820">
        <v>3</v>
      </c>
      <c r="I820">
        <v>2</v>
      </c>
      <c r="J820">
        <v>1</v>
      </c>
    </row>
    <row r="821" spans="7:10">
      <c r="G821">
        <v>4</v>
      </c>
      <c r="H821">
        <v>3</v>
      </c>
      <c r="I821">
        <v>2</v>
      </c>
      <c r="J821">
        <v>2</v>
      </c>
    </row>
    <row r="822" spans="7:10">
      <c r="G822">
        <v>4</v>
      </c>
      <c r="H822">
        <v>3</v>
      </c>
      <c r="I822">
        <v>3</v>
      </c>
      <c r="J822">
        <v>1</v>
      </c>
    </row>
    <row r="823" spans="7:10">
      <c r="G823">
        <v>4</v>
      </c>
      <c r="H823">
        <v>3</v>
      </c>
      <c r="I823">
        <v>3</v>
      </c>
      <c r="J823">
        <v>2</v>
      </c>
    </row>
    <row r="824" spans="7:10">
      <c r="G824">
        <v>4</v>
      </c>
      <c r="H824">
        <v>3</v>
      </c>
      <c r="I824">
        <v>4</v>
      </c>
      <c r="J824">
        <v>1</v>
      </c>
    </row>
    <row r="825" spans="7:10">
      <c r="G825">
        <v>4</v>
      </c>
      <c r="H825">
        <v>3</v>
      </c>
      <c r="I825">
        <v>4</v>
      </c>
      <c r="J825">
        <v>2</v>
      </c>
    </row>
    <row r="826" spans="7:10">
      <c r="G826">
        <v>4</v>
      </c>
      <c r="H826">
        <v>3</v>
      </c>
      <c r="I826">
        <v>5</v>
      </c>
      <c r="J826">
        <v>1</v>
      </c>
    </row>
    <row r="827" spans="7:10">
      <c r="G827">
        <v>4</v>
      </c>
      <c r="H827">
        <v>3</v>
      </c>
      <c r="I827">
        <v>5</v>
      </c>
      <c r="J827">
        <v>2</v>
      </c>
    </row>
    <row r="828" spans="7:10">
      <c r="G828">
        <v>2</v>
      </c>
      <c r="H828">
        <v>1</v>
      </c>
      <c r="I828">
        <v>3</v>
      </c>
      <c r="J828">
        <v>1</v>
      </c>
    </row>
    <row r="829" spans="7:10">
      <c r="G829">
        <v>2</v>
      </c>
      <c r="H829">
        <v>1</v>
      </c>
      <c r="I829">
        <v>3</v>
      </c>
      <c r="J829">
        <v>2</v>
      </c>
    </row>
    <row r="830" spans="7:10">
      <c r="G830">
        <v>2</v>
      </c>
      <c r="H830">
        <v>1</v>
      </c>
      <c r="I830">
        <v>4</v>
      </c>
      <c r="J830">
        <v>1</v>
      </c>
    </row>
    <row r="831" spans="7:10">
      <c r="G831">
        <v>2</v>
      </c>
      <c r="H831">
        <v>1</v>
      </c>
      <c r="I831">
        <v>4</v>
      </c>
      <c r="J831">
        <v>2</v>
      </c>
    </row>
    <row r="832" spans="7:10">
      <c r="G832">
        <v>2</v>
      </c>
      <c r="H832">
        <v>1</v>
      </c>
      <c r="I832">
        <v>5</v>
      </c>
      <c r="J832">
        <v>1</v>
      </c>
    </row>
    <row r="833" spans="7:10">
      <c r="G833">
        <v>2</v>
      </c>
      <c r="H833">
        <v>1</v>
      </c>
      <c r="I833">
        <v>5</v>
      </c>
      <c r="J833">
        <v>2</v>
      </c>
    </row>
    <row r="834" spans="7:10">
      <c r="G834">
        <v>2</v>
      </c>
      <c r="H834">
        <v>2</v>
      </c>
      <c r="I834">
        <v>1</v>
      </c>
      <c r="J834">
        <v>1</v>
      </c>
    </row>
    <row r="835" spans="7:10">
      <c r="G835">
        <v>2</v>
      </c>
      <c r="H835">
        <v>2</v>
      </c>
      <c r="I835">
        <v>1</v>
      </c>
      <c r="J835">
        <v>2</v>
      </c>
    </row>
    <row r="836" spans="7:10">
      <c r="G836">
        <v>2</v>
      </c>
      <c r="H836">
        <v>2</v>
      </c>
      <c r="I836">
        <v>2</v>
      </c>
      <c r="J836">
        <v>1</v>
      </c>
    </row>
    <row r="837" spans="7:10">
      <c r="G837">
        <v>2</v>
      </c>
      <c r="H837">
        <v>2</v>
      </c>
      <c r="I837">
        <v>2</v>
      </c>
      <c r="J837">
        <v>2</v>
      </c>
    </row>
    <row r="838" spans="7:10">
      <c r="G838">
        <v>2</v>
      </c>
      <c r="H838">
        <v>2</v>
      </c>
      <c r="I838">
        <v>3</v>
      </c>
      <c r="J838">
        <v>1</v>
      </c>
    </row>
    <row r="839" spans="7:10">
      <c r="G839">
        <v>2</v>
      </c>
      <c r="H839">
        <v>2</v>
      </c>
      <c r="I839">
        <v>3</v>
      </c>
      <c r="J839">
        <v>2</v>
      </c>
    </row>
    <row r="840" spans="7:10">
      <c r="G840">
        <v>2</v>
      </c>
      <c r="H840">
        <v>2</v>
      </c>
      <c r="I840">
        <v>4</v>
      </c>
      <c r="J840">
        <v>1</v>
      </c>
    </row>
    <row r="841" spans="7:10">
      <c r="G841">
        <v>2</v>
      </c>
      <c r="H841">
        <v>2</v>
      </c>
      <c r="I841">
        <v>4</v>
      </c>
      <c r="J841">
        <v>2</v>
      </c>
    </row>
    <row r="842" spans="7:10">
      <c r="G842">
        <v>2</v>
      </c>
      <c r="H842">
        <v>2</v>
      </c>
      <c r="I842">
        <v>5</v>
      </c>
      <c r="J842">
        <v>1</v>
      </c>
    </row>
    <row r="843" spans="7:10">
      <c r="G843">
        <v>2</v>
      </c>
      <c r="H843">
        <v>2</v>
      </c>
      <c r="I843">
        <v>5</v>
      </c>
      <c r="J843">
        <v>2</v>
      </c>
    </row>
    <row r="844" spans="7:10">
      <c r="G844">
        <v>2</v>
      </c>
      <c r="H844">
        <v>3</v>
      </c>
      <c r="I844">
        <v>1</v>
      </c>
      <c r="J844">
        <v>1</v>
      </c>
    </row>
    <row r="845" spans="7:10">
      <c r="G845">
        <v>2</v>
      </c>
      <c r="H845">
        <v>3</v>
      </c>
      <c r="I845">
        <v>1</v>
      </c>
      <c r="J845">
        <v>2</v>
      </c>
    </row>
    <row r="846" spans="7:10">
      <c r="G846">
        <v>2</v>
      </c>
      <c r="H846">
        <v>3</v>
      </c>
      <c r="I846">
        <v>2</v>
      </c>
      <c r="J846">
        <v>1</v>
      </c>
    </row>
    <row r="847" spans="7:10">
      <c r="G847">
        <v>2</v>
      </c>
      <c r="H847">
        <v>3</v>
      </c>
      <c r="I847">
        <v>2</v>
      </c>
      <c r="J847">
        <v>2</v>
      </c>
    </row>
    <row r="848" spans="7:10">
      <c r="G848">
        <v>2</v>
      </c>
      <c r="H848">
        <v>3</v>
      </c>
      <c r="I848">
        <v>3</v>
      </c>
      <c r="J848">
        <v>1</v>
      </c>
    </row>
    <row r="849" spans="7:10">
      <c r="G849">
        <v>2</v>
      </c>
      <c r="H849">
        <v>3</v>
      </c>
      <c r="I849">
        <v>3</v>
      </c>
      <c r="J849">
        <v>2</v>
      </c>
    </row>
    <row r="850" spans="7:10">
      <c r="G850">
        <v>2</v>
      </c>
      <c r="H850">
        <v>3</v>
      </c>
      <c r="I850">
        <v>4</v>
      </c>
      <c r="J850">
        <v>1</v>
      </c>
    </row>
    <row r="851" spans="7:10">
      <c r="G851">
        <v>2</v>
      </c>
      <c r="H851">
        <v>3</v>
      </c>
      <c r="I851">
        <v>4</v>
      </c>
      <c r="J851">
        <v>2</v>
      </c>
    </row>
    <row r="852" spans="7:10">
      <c r="G852">
        <v>2</v>
      </c>
      <c r="H852">
        <v>3</v>
      </c>
      <c r="I852">
        <v>5</v>
      </c>
      <c r="J852">
        <v>1</v>
      </c>
    </row>
    <row r="853" spans="7:10">
      <c r="G853">
        <v>2</v>
      </c>
      <c r="H853">
        <v>3</v>
      </c>
      <c r="I853">
        <v>5</v>
      </c>
      <c r="J853">
        <v>2</v>
      </c>
    </row>
    <row r="854" spans="7:10">
      <c r="G854">
        <v>3</v>
      </c>
      <c r="H854">
        <v>1</v>
      </c>
      <c r="I854">
        <v>3</v>
      </c>
      <c r="J854">
        <v>1</v>
      </c>
    </row>
    <row r="855" spans="7:10">
      <c r="G855">
        <v>3</v>
      </c>
      <c r="H855">
        <v>1</v>
      </c>
      <c r="I855">
        <v>3</v>
      </c>
      <c r="J855">
        <v>2</v>
      </c>
    </row>
    <row r="856" spans="7:10">
      <c r="G856">
        <v>3</v>
      </c>
      <c r="H856">
        <v>1</v>
      </c>
      <c r="I856">
        <v>4</v>
      </c>
      <c r="J856">
        <v>1</v>
      </c>
    </row>
    <row r="857" spans="7:10">
      <c r="G857">
        <v>3</v>
      </c>
      <c r="H857">
        <v>1</v>
      </c>
      <c r="I857">
        <v>4</v>
      </c>
      <c r="J857">
        <v>2</v>
      </c>
    </row>
    <row r="858" spans="7:10">
      <c r="G858">
        <v>3</v>
      </c>
      <c r="H858">
        <v>1</v>
      </c>
      <c r="I858">
        <v>5</v>
      </c>
      <c r="J858">
        <v>1</v>
      </c>
    </row>
    <row r="859" spans="7:10">
      <c r="G859">
        <v>3</v>
      </c>
      <c r="H859">
        <v>1</v>
      </c>
      <c r="I859">
        <v>5</v>
      </c>
      <c r="J859">
        <v>2</v>
      </c>
    </row>
    <row r="860" spans="7:10">
      <c r="G860">
        <v>3</v>
      </c>
      <c r="H860">
        <v>2</v>
      </c>
      <c r="I860">
        <v>1</v>
      </c>
      <c r="J860">
        <v>1</v>
      </c>
    </row>
    <row r="861" spans="7:10">
      <c r="G861">
        <v>3</v>
      </c>
      <c r="H861">
        <v>2</v>
      </c>
      <c r="I861">
        <v>1</v>
      </c>
      <c r="J861">
        <v>2</v>
      </c>
    </row>
    <row r="862" spans="7:10">
      <c r="G862">
        <v>3</v>
      </c>
      <c r="H862">
        <v>2</v>
      </c>
      <c r="I862">
        <v>2</v>
      </c>
      <c r="J862">
        <v>1</v>
      </c>
    </row>
    <row r="863" spans="7:10">
      <c r="G863">
        <v>3</v>
      </c>
      <c r="H863">
        <v>2</v>
      </c>
      <c r="I863">
        <v>2</v>
      </c>
      <c r="J863">
        <v>2</v>
      </c>
    </row>
    <row r="864" spans="7:10">
      <c r="G864">
        <v>3</v>
      </c>
      <c r="H864">
        <v>2</v>
      </c>
      <c r="I864">
        <v>3</v>
      </c>
      <c r="J864">
        <v>1</v>
      </c>
    </row>
    <row r="865" spans="7:10">
      <c r="G865">
        <v>3</v>
      </c>
      <c r="H865">
        <v>2</v>
      </c>
      <c r="I865">
        <v>3</v>
      </c>
      <c r="J865">
        <v>2</v>
      </c>
    </row>
    <row r="866" spans="7:10">
      <c r="G866">
        <v>3</v>
      </c>
      <c r="H866">
        <v>2</v>
      </c>
      <c r="I866">
        <v>4</v>
      </c>
      <c r="J866">
        <v>1</v>
      </c>
    </row>
    <row r="867" spans="7:10">
      <c r="G867">
        <v>3</v>
      </c>
      <c r="H867">
        <v>2</v>
      </c>
      <c r="I867">
        <v>4</v>
      </c>
      <c r="J867">
        <v>2</v>
      </c>
    </row>
    <row r="868" spans="7:10">
      <c r="G868">
        <v>3</v>
      </c>
      <c r="H868">
        <v>2</v>
      </c>
      <c r="I868">
        <v>5</v>
      </c>
      <c r="J868">
        <v>1</v>
      </c>
    </row>
    <row r="869" spans="7:10">
      <c r="G869">
        <v>3</v>
      </c>
      <c r="H869">
        <v>2</v>
      </c>
      <c r="I869">
        <v>5</v>
      </c>
      <c r="J869">
        <v>2</v>
      </c>
    </row>
    <row r="870" spans="7:10">
      <c r="G870">
        <v>3</v>
      </c>
      <c r="H870">
        <v>3</v>
      </c>
      <c r="I870">
        <v>1</v>
      </c>
      <c r="J870">
        <v>1</v>
      </c>
    </row>
    <row r="871" spans="7:10">
      <c r="G871">
        <v>3</v>
      </c>
      <c r="H871">
        <v>3</v>
      </c>
      <c r="I871">
        <v>1</v>
      </c>
      <c r="J871">
        <v>2</v>
      </c>
    </row>
    <row r="872" spans="7:10">
      <c r="G872">
        <v>3</v>
      </c>
      <c r="H872">
        <v>3</v>
      </c>
      <c r="I872">
        <v>2</v>
      </c>
      <c r="J872">
        <v>1</v>
      </c>
    </row>
    <row r="873" spans="7:10">
      <c r="G873">
        <v>3</v>
      </c>
      <c r="H873">
        <v>3</v>
      </c>
      <c r="I873">
        <v>2</v>
      </c>
      <c r="J873">
        <v>2</v>
      </c>
    </row>
    <row r="874" spans="7:10">
      <c r="G874">
        <v>3</v>
      </c>
      <c r="H874">
        <v>3</v>
      </c>
      <c r="I874">
        <v>3</v>
      </c>
      <c r="J874">
        <v>1</v>
      </c>
    </row>
    <row r="875" spans="7:10">
      <c r="G875">
        <v>3</v>
      </c>
      <c r="H875">
        <v>3</v>
      </c>
      <c r="I875">
        <v>3</v>
      </c>
      <c r="J875">
        <v>2</v>
      </c>
    </row>
    <row r="876" spans="7:10">
      <c r="G876">
        <v>3</v>
      </c>
      <c r="H876">
        <v>3</v>
      </c>
      <c r="I876">
        <v>4</v>
      </c>
      <c r="J876">
        <v>1</v>
      </c>
    </row>
    <row r="877" spans="7:10">
      <c r="G877">
        <v>3</v>
      </c>
      <c r="H877">
        <v>3</v>
      </c>
      <c r="I877">
        <v>4</v>
      </c>
      <c r="J877">
        <v>2</v>
      </c>
    </row>
    <row r="878" spans="7:10">
      <c r="G878">
        <v>3</v>
      </c>
      <c r="H878">
        <v>3</v>
      </c>
      <c r="I878">
        <v>5</v>
      </c>
      <c r="J878">
        <v>1</v>
      </c>
    </row>
    <row r="879" spans="7:10">
      <c r="G879">
        <v>3</v>
      </c>
      <c r="H879">
        <v>3</v>
      </c>
      <c r="I879">
        <v>5</v>
      </c>
      <c r="J879">
        <v>2</v>
      </c>
    </row>
    <row r="880" spans="7:10">
      <c r="G880">
        <v>4</v>
      </c>
      <c r="H880">
        <v>1</v>
      </c>
      <c r="I880">
        <v>3</v>
      </c>
      <c r="J880">
        <v>1</v>
      </c>
    </row>
    <row r="881" spans="7:10">
      <c r="G881">
        <v>4</v>
      </c>
      <c r="H881">
        <v>1</v>
      </c>
      <c r="I881">
        <v>3</v>
      </c>
      <c r="J881">
        <v>2</v>
      </c>
    </row>
    <row r="882" spans="7:10">
      <c r="G882">
        <v>4</v>
      </c>
      <c r="H882">
        <v>1</v>
      </c>
      <c r="I882">
        <v>4</v>
      </c>
      <c r="J882">
        <v>1</v>
      </c>
    </row>
    <row r="883" spans="7:10">
      <c r="G883">
        <v>4</v>
      </c>
      <c r="H883">
        <v>1</v>
      </c>
      <c r="I883">
        <v>4</v>
      </c>
      <c r="J883">
        <v>2</v>
      </c>
    </row>
    <row r="884" spans="7:10">
      <c r="G884">
        <v>4</v>
      </c>
      <c r="H884">
        <v>1</v>
      </c>
      <c r="I884">
        <v>5</v>
      </c>
      <c r="J884">
        <v>1</v>
      </c>
    </row>
    <row r="885" spans="7:10">
      <c r="G885">
        <v>4</v>
      </c>
      <c r="H885">
        <v>1</v>
      </c>
      <c r="I885">
        <v>5</v>
      </c>
      <c r="J885">
        <v>2</v>
      </c>
    </row>
    <row r="886" spans="7:10">
      <c r="G886">
        <v>4</v>
      </c>
      <c r="H886">
        <v>2</v>
      </c>
      <c r="I886">
        <v>1</v>
      </c>
      <c r="J886">
        <v>1</v>
      </c>
    </row>
    <row r="887" spans="7:10">
      <c r="G887">
        <v>4</v>
      </c>
      <c r="H887">
        <v>2</v>
      </c>
      <c r="I887">
        <v>1</v>
      </c>
      <c r="J887">
        <v>2</v>
      </c>
    </row>
    <row r="888" spans="7:10">
      <c r="G888">
        <v>4</v>
      </c>
      <c r="H888">
        <v>2</v>
      </c>
      <c r="I888">
        <v>2</v>
      </c>
      <c r="J888">
        <v>1</v>
      </c>
    </row>
    <row r="889" spans="7:10">
      <c r="G889">
        <v>4</v>
      </c>
      <c r="H889">
        <v>2</v>
      </c>
      <c r="I889">
        <v>2</v>
      </c>
      <c r="J889">
        <v>2</v>
      </c>
    </row>
    <row r="890" spans="7:10">
      <c r="G890">
        <v>4</v>
      </c>
      <c r="H890">
        <v>2</v>
      </c>
      <c r="I890">
        <v>3</v>
      </c>
      <c r="J890">
        <v>1</v>
      </c>
    </row>
    <row r="891" spans="7:10">
      <c r="G891">
        <v>4</v>
      </c>
      <c r="H891">
        <v>2</v>
      </c>
      <c r="I891">
        <v>3</v>
      </c>
      <c r="J891">
        <v>2</v>
      </c>
    </row>
    <row r="892" spans="7:10">
      <c r="G892">
        <v>4</v>
      </c>
      <c r="H892">
        <v>2</v>
      </c>
      <c r="I892">
        <v>4</v>
      </c>
      <c r="J892">
        <v>1</v>
      </c>
    </row>
    <row r="893" spans="7:10">
      <c r="G893">
        <v>4</v>
      </c>
      <c r="H893">
        <v>2</v>
      </c>
      <c r="I893">
        <v>4</v>
      </c>
      <c r="J893">
        <v>2</v>
      </c>
    </row>
    <row r="894" spans="7:10">
      <c r="G894">
        <v>4</v>
      </c>
      <c r="H894">
        <v>2</v>
      </c>
      <c r="I894">
        <v>5</v>
      </c>
      <c r="J894">
        <v>1</v>
      </c>
    </row>
    <row r="895" spans="7:10">
      <c r="G895">
        <v>4</v>
      </c>
      <c r="H895">
        <v>2</v>
      </c>
      <c r="I895">
        <v>5</v>
      </c>
      <c r="J895">
        <v>2</v>
      </c>
    </row>
    <row r="896" spans="7:10">
      <c r="G896">
        <v>4</v>
      </c>
      <c r="H896">
        <v>3</v>
      </c>
      <c r="I896">
        <v>1</v>
      </c>
      <c r="J896">
        <v>1</v>
      </c>
    </row>
    <row r="897" spans="7:10">
      <c r="G897">
        <v>4</v>
      </c>
      <c r="H897">
        <v>3</v>
      </c>
      <c r="I897">
        <v>1</v>
      </c>
      <c r="J897">
        <v>2</v>
      </c>
    </row>
    <row r="898" spans="7:10">
      <c r="G898">
        <v>4</v>
      </c>
      <c r="H898">
        <v>3</v>
      </c>
      <c r="I898">
        <v>2</v>
      </c>
      <c r="J898">
        <v>1</v>
      </c>
    </row>
    <row r="899" spans="7:10">
      <c r="G899">
        <v>4</v>
      </c>
      <c r="H899">
        <v>3</v>
      </c>
      <c r="I899">
        <v>2</v>
      </c>
      <c r="J899">
        <v>2</v>
      </c>
    </row>
    <row r="900" spans="7:10">
      <c r="G900">
        <v>4</v>
      </c>
      <c r="H900">
        <v>3</v>
      </c>
      <c r="I900">
        <v>3</v>
      </c>
      <c r="J900">
        <v>1</v>
      </c>
    </row>
    <row r="901" spans="7:10">
      <c r="G901">
        <v>4</v>
      </c>
      <c r="H901">
        <v>3</v>
      </c>
      <c r="I901">
        <v>3</v>
      </c>
      <c r="J901">
        <v>2</v>
      </c>
    </row>
    <row r="902" spans="7:10">
      <c r="G902">
        <v>4</v>
      </c>
      <c r="H902">
        <v>3</v>
      </c>
      <c r="I902">
        <v>4</v>
      </c>
      <c r="J902">
        <v>1</v>
      </c>
    </row>
    <row r="903" spans="7:10">
      <c r="G903">
        <v>4</v>
      </c>
      <c r="H903">
        <v>3</v>
      </c>
      <c r="I903">
        <v>4</v>
      </c>
      <c r="J903">
        <v>2</v>
      </c>
    </row>
    <row r="904" spans="7:10">
      <c r="G904">
        <v>4</v>
      </c>
      <c r="H904">
        <v>3</v>
      </c>
      <c r="I904">
        <v>5</v>
      </c>
      <c r="J904">
        <v>1</v>
      </c>
    </row>
    <row r="905" spans="7:10">
      <c r="G905">
        <v>4</v>
      </c>
      <c r="H905">
        <v>3</v>
      </c>
      <c r="I905">
        <v>5</v>
      </c>
      <c r="J905">
        <v>2</v>
      </c>
    </row>
    <row r="906" spans="7:10">
      <c r="G906">
        <v>1</v>
      </c>
      <c r="H906">
        <v>2</v>
      </c>
      <c r="I906">
        <v>1</v>
      </c>
      <c r="J906">
        <v>1</v>
      </c>
    </row>
    <row r="907" spans="7:10">
      <c r="G907">
        <v>1</v>
      </c>
      <c r="H907">
        <v>2</v>
      </c>
      <c r="I907">
        <v>1</v>
      </c>
      <c r="J907">
        <v>2</v>
      </c>
    </row>
    <row r="908" spans="7:10">
      <c r="G908">
        <v>1</v>
      </c>
      <c r="H908">
        <v>2</v>
      </c>
      <c r="I908">
        <v>2</v>
      </c>
      <c r="J908">
        <v>1</v>
      </c>
    </row>
    <row r="909" spans="7:10">
      <c r="G909">
        <v>1</v>
      </c>
      <c r="H909">
        <v>2</v>
      </c>
      <c r="I909">
        <v>2</v>
      </c>
      <c r="J909">
        <v>2</v>
      </c>
    </row>
    <row r="910" spans="7:10">
      <c r="G910">
        <v>1</v>
      </c>
      <c r="H910">
        <v>2</v>
      </c>
      <c r="I910">
        <v>3</v>
      </c>
      <c r="J910">
        <v>1</v>
      </c>
    </row>
    <row r="911" spans="7:10">
      <c r="G911">
        <v>1</v>
      </c>
      <c r="H911">
        <v>2</v>
      </c>
      <c r="I911">
        <v>3</v>
      </c>
      <c r="J911">
        <v>2</v>
      </c>
    </row>
    <row r="912" spans="7:10">
      <c r="G912">
        <v>1</v>
      </c>
      <c r="H912">
        <v>2</v>
      </c>
      <c r="I912">
        <v>4</v>
      </c>
      <c r="J912">
        <v>1</v>
      </c>
    </row>
    <row r="913" spans="7:10">
      <c r="G913">
        <v>1</v>
      </c>
      <c r="H913">
        <v>2</v>
      </c>
      <c r="I913">
        <v>4</v>
      </c>
      <c r="J913">
        <v>2</v>
      </c>
    </row>
    <row r="914" spans="7:10">
      <c r="G914">
        <v>1</v>
      </c>
      <c r="H914">
        <v>2</v>
      </c>
      <c r="I914">
        <v>5</v>
      </c>
      <c r="J914">
        <v>1</v>
      </c>
    </row>
    <row r="915" spans="7:10">
      <c r="G915">
        <v>1</v>
      </c>
      <c r="H915">
        <v>2</v>
      </c>
      <c r="I915">
        <v>5</v>
      </c>
      <c r="J915">
        <v>2</v>
      </c>
    </row>
    <row r="916" spans="7:10">
      <c r="G916">
        <v>1</v>
      </c>
      <c r="H916">
        <v>3</v>
      </c>
      <c r="I916">
        <v>1</v>
      </c>
      <c r="J916">
        <v>1</v>
      </c>
    </row>
    <row r="917" spans="7:10">
      <c r="G917">
        <v>1</v>
      </c>
      <c r="H917">
        <v>3</v>
      </c>
      <c r="I917">
        <v>1</v>
      </c>
      <c r="J917">
        <v>2</v>
      </c>
    </row>
    <row r="918" spans="7:10">
      <c r="G918">
        <v>1</v>
      </c>
      <c r="H918">
        <v>3</v>
      </c>
      <c r="I918">
        <v>2</v>
      </c>
      <c r="J918">
        <v>1</v>
      </c>
    </row>
    <row r="919" spans="7:10">
      <c r="G919">
        <v>1</v>
      </c>
      <c r="H919">
        <v>3</v>
      </c>
      <c r="I919">
        <v>2</v>
      </c>
      <c r="J919">
        <v>2</v>
      </c>
    </row>
    <row r="920" spans="7:10">
      <c r="G920">
        <v>1</v>
      </c>
      <c r="H920">
        <v>3</v>
      </c>
      <c r="I920">
        <v>3</v>
      </c>
      <c r="J920">
        <v>1</v>
      </c>
    </row>
    <row r="921" spans="7:10">
      <c r="G921">
        <v>1</v>
      </c>
      <c r="H921">
        <v>3</v>
      </c>
      <c r="I921">
        <v>3</v>
      </c>
      <c r="J921">
        <v>2</v>
      </c>
    </row>
    <row r="922" spans="7:10">
      <c r="G922">
        <v>1</v>
      </c>
      <c r="H922">
        <v>3</v>
      </c>
      <c r="I922">
        <v>4</v>
      </c>
      <c r="J922">
        <v>1</v>
      </c>
    </row>
    <row r="923" spans="7:10">
      <c r="G923">
        <v>1</v>
      </c>
      <c r="H923">
        <v>3</v>
      </c>
      <c r="I923">
        <v>4</v>
      </c>
      <c r="J923">
        <v>2</v>
      </c>
    </row>
    <row r="924" spans="7:10">
      <c r="G924">
        <v>1</v>
      </c>
      <c r="H924">
        <v>3</v>
      </c>
      <c r="I924">
        <v>5</v>
      </c>
      <c r="J924">
        <v>1</v>
      </c>
    </row>
    <row r="925" spans="7:10">
      <c r="G925">
        <v>1</v>
      </c>
      <c r="H925">
        <v>3</v>
      </c>
      <c r="I925">
        <v>5</v>
      </c>
      <c r="J925">
        <v>2</v>
      </c>
    </row>
    <row r="926" spans="7:10">
      <c r="G926">
        <v>2</v>
      </c>
      <c r="H926">
        <v>1</v>
      </c>
      <c r="I926">
        <v>3</v>
      </c>
      <c r="J926">
        <v>1</v>
      </c>
    </row>
    <row r="927" spans="7:10">
      <c r="G927">
        <v>2</v>
      </c>
      <c r="H927">
        <v>1</v>
      </c>
      <c r="I927">
        <v>3</v>
      </c>
      <c r="J927">
        <v>2</v>
      </c>
    </row>
    <row r="928" spans="7:10">
      <c r="G928">
        <v>2</v>
      </c>
      <c r="H928">
        <v>1</v>
      </c>
      <c r="I928">
        <v>4</v>
      </c>
      <c r="J928">
        <v>1</v>
      </c>
    </row>
    <row r="929" spans="7:10">
      <c r="G929">
        <v>2</v>
      </c>
      <c r="H929">
        <v>1</v>
      </c>
      <c r="I929">
        <v>4</v>
      </c>
      <c r="J929">
        <v>2</v>
      </c>
    </row>
    <row r="930" spans="7:10">
      <c r="G930">
        <v>2</v>
      </c>
      <c r="H930">
        <v>1</v>
      </c>
      <c r="I930">
        <v>5</v>
      </c>
      <c r="J930">
        <v>1</v>
      </c>
    </row>
    <row r="931" spans="7:10">
      <c r="G931">
        <v>2</v>
      </c>
      <c r="H931">
        <v>1</v>
      </c>
      <c r="I931">
        <v>5</v>
      </c>
      <c r="J931">
        <v>2</v>
      </c>
    </row>
    <row r="932" spans="7:10">
      <c r="G932">
        <v>2</v>
      </c>
      <c r="H932">
        <v>2</v>
      </c>
      <c r="I932">
        <v>1</v>
      </c>
      <c r="J932">
        <v>1</v>
      </c>
    </row>
    <row r="933" spans="7:10">
      <c r="G933">
        <v>2</v>
      </c>
      <c r="H933">
        <v>2</v>
      </c>
      <c r="I933">
        <v>1</v>
      </c>
      <c r="J933">
        <v>2</v>
      </c>
    </row>
    <row r="934" spans="7:10">
      <c r="G934">
        <v>2</v>
      </c>
      <c r="H934">
        <v>2</v>
      </c>
      <c r="I934">
        <v>2</v>
      </c>
      <c r="J934">
        <v>1</v>
      </c>
    </row>
    <row r="935" spans="7:10">
      <c r="G935">
        <v>2</v>
      </c>
      <c r="H935">
        <v>2</v>
      </c>
      <c r="I935">
        <v>2</v>
      </c>
      <c r="J935">
        <v>2</v>
      </c>
    </row>
    <row r="936" spans="7:10">
      <c r="G936">
        <v>2</v>
      </c>
      <c r="H936">
        <v>2</v>
      </c>
      <c r="I936">
        <v>3</v>
      </c>
      <c r="J936">
        <v>1</v>
      </c>
    </row>
    <row r="937" spans="7:10">
      <c r="G937">
        <v>2</v>
      </c>
      <c r="H937">
        <v>2</v>
      </c>
      <c r="I937">
        <v>3</v>
      </c>
      <c r="J937">
        <v>2</v>
      </c>
    </row>
    <row r="938" spans="7:10">
      <c r="G938">
        <v>2</v>
      </c>
      <c r="H938">
        <v>2</v>
      </c>
      <c r="I938">
        <v>4</v>
      </c>
      <c r="J938">
        <v>1</v>
      </c>
    </row>
    <row r="939" spans="7:10">
      <c r="G939">
        <v>2</v>
      </c>
      <c r="H939">
        <v>2</v>
      </c>
      <c r="I939">
        <v>4</v>
      </c>
      <c r="J939">
        <v>2</v>
      </c>
    </row>
    <row r="940" spans="7:10">
      <c r="G940">
        <v>2</v>
      </c>
      <c r="H940">
        <v>2</v>
      </c>
      <c r="I940">
        <v>5</v>
      </c>
      <c r="J940">
        <v>1</v>
      </c>
    </row>
    <row r="941" spans="7:10">
      <c r="G941">
        <v>2</v>
      </c>
      <c r="H941">
        <v>2</v>
      </c>
      <c r="I941">
        <v>5</v>
      </c>
      <c r="J941">
        <v>2</v>
      </c>
    </row>
    <row r="942" spans="7:10">
      <c r="G942">
        <v>2</v>
      </c>
      <c r="H942">
        <v>3</v>
      </c>
      <c r="I942">
        <v>1</v>
      </c>
      <c r="J942">
        <v>1</v>
      </c>
    </row>
    <row r="943" spans="7:10">
      <c r="G943">
        <v>2</v>
      </c>
      <c r="H943">
        <v>3</v>
      </c>
      <c r="I943">
        <v>1</v>
      </c>
      <c r="J943">
        <v>2</v>
      </c>
    </row>
    <row r="944" spans="7:10">
      <c r="G944">
        <v>2</v>
      </c>
      <c r="H944">
        <v>3</v>
      </c>
      <c r="I944">
        <v>2</v>
      </c>
      <c r="J944">
        <v>1</v>
      </c>
    </row>
    <row r="945" spans="7:10">
      <c r="G945">
        <v>2</v>
      </c>
      <c r="H945">
        <v>3</v>
      </c>
      <c r="I945">
        <v>2</v>
      </c>
      <c r="J945">
        <v>2</v>
      </c>
    </row>
    <row r="946" spans="7:10">
      <c r="G946">
        <v>2</v>
      </c>
      <c r="H946">
        <v>3</v>
      </c>
      <c r="I946">
        <v>3</v>
      </c>
      <c r="J946">
        <v>1</v>
      </c>
    </row>
    <row r="947" spans="7:10">
      <c r="G947">
        <v>2</v>
      </c>
      <c r="H947">
        <v>3</v>
      </c>
      <c r="I947">
        <v>3</v>
      </c>
      <c r="J947">
        <v>2</v>
      </c>
    </row>
    <row r="948" spans="7:10">
      <c r="G948">
        <v>2</v>
      </c>
      <c r="H948">
        <v>3</v>
      </c>
      <c r="I948">
        <v>4</v>
      </c>
      <c r="J948">
        <v>1</v>
      </c>
    </row>
    <row r="949" spans="7:10">
      <c r="G949">
        <v>2</v>
      </c>
      <c r="H949">
        <v>3</v>
      </c>
      <c r="I949">
        <v>4</v>
      </c>
      <c r="J949">
        <v>2</v>
      </c>
    </row>
    <row r="950" spans="7:10">
      <c r="G950">
        <v>2</v>
      </c>
      <c r="H950">
        <v>3</v>
      </c>
      <c r="I950">
        <v>5</v>
      </c>
      <c r="J950">
        <v>1</v>
      </c>
    </row>
    <row r="951" spans="7:10">
      <c r="G951">
        <v>2</v>
      </c>
      <c r="H951">
        <v>3</v>
      </c>
      <c r="I951">
        <v>5</v>
      </c>
      <c r="J951">
        <v>2</v>
      </c>
    </row>
    <row r="952" spans="7:10">
      <c r="G952">
        <v>3</v>
      </c>
      <c r="H952">
        <v>1</v>
      </c>
      <c r="I952">
        <v>3</v>
      </c>
      <c r="J952">
        <v>1</v>
      </c>
    </row>
    <row r="953" spans="7:10">
      <c r="G953">
        <v>3</v>
      </c>
      <c r="H953">
        <v>1</v>
      </c>
      <c r="I953">
        <v>3</v>
      </c>
      <c r="J953">
        <v>2</v>
      </c>
    </row>
    <row r="954" spans="7:10">
      <c r="G954">
        <v>3</v>
      </c>
      <c r="H954">
        <v>1</v>
      </c>
      <c r="I954">
        <v>4</v>
      </c>
      <c r="J954">
        <v>1</v>
      </c>
    </row>
    <row r="955" spans="7:10">
      <c r="G955">
        <v>3</v>
      </c>
      <c r="H955">
        <v>1</v>
      </c>
      <c r="I955">
        <v>4</v>
      </c>
      <c r="J955">
        <v>2</v>
      </c>
    </row>
    <row r="956" spans="7:10">
      <c r="G956">
        <v>3</v>
      </c>
      <c r="H956">
        <v>1</v>
      </c>
      <c r="I956">
        <v>5</v>
      </c>
      <c r="J956">
        <v>1</v>
      </c>
    </row>
    <row r="957" spans="7:10">
      <c r="G957">
        <v>3</v>
      </c>
      <c r="H957">
        <v>1</v>
      </c>
      <c r="I957">
        <v>5</v>
      </c>
      <c r="J957">
        <v>2</v>
      </c>
    </row>
    <row r="958" spans="7:10">
      <c r="G958">
        <v>3</v>
      </c>
      <c r="H958">
        <v>2</v>
      </c>
      <c r="I958">
        <v>1</v>
      </c>
      <c r="J958">
        <v>1</v>
      </c>
    </row>
    <row r="959" spans="7:10">
      <c r="G959">
        <v>3</v>
      </c>
      <c r="H959">
        <v>2</v>
      </c>
      <c r="I959">
        <v>1</v>
      </c>
      <c r="J959">
        <v>2</v>
      </c>
    </row>
    <row r="960" spans="7:10">
      <c r="G960">
        <v>3</v>
      </c>
      <c r="H960">
        <v>2</v>
      </c>
      <c r="I960">
        <v>2</v>
      </c>
      <c r="J960">
        <v>1</v>
      </c>
    </row>
    <row r="961" spans="7:10">
      <c r="G961">
        <v>3</v>
      </c>
      <c r="H961">
        <v>2</v>
      </c>
      <c r="I961">
        <v>2</v>
      </c>
      <c r="J961">
        <v>2</v>
      </c>
    </row>
    <row r="962" spans="7:10">
      <c r="G962">
        <v>3</v>
      </c>
      <c r="H962">
        <v>2</v>
      </c>
      <c r="I962">
        <v>3</v>
      </c>
      <c r="J962">
        <v>1</v>
      </c>
    </row>
    <row r="963" spans="7:10">
      <c r="G963">
        <v>3</v>
      </c>
      <c r="H963">
        <v>2</v>
      </c>
      <c r="I963">
        <v>3</v>
      </c>
      <c r="J963">
        <v>2</v>
      </c>
    </row>
    <row r="964" spans="7:10">
      <c r="G964">
        <v>3</v>
      </c>
      <c r="H964">
        <v>2</v>
      </c>
      <c r="I964">
        <v>4</v>
      </c>
      <c r="J964">
        <v>1</v>
      </c>
    </row>
    <row r="965" spans="7:10">
      <c r="G965">
        <v>3</v>
      </c>
      <c r="H965">
        <v>2</v>
      </c>
      <c r="I965">
        <v>4</v>
      </c>
      <c r="J965">
        <v>2</v>
      </c>
    </row>
    <row r="966" spans="7:10">
      <c r="G966">
        <v>3</v>
      </c>
      <c r="H966">
        <v>2</v>
      </c>
      <c r="I966">
        <v>5</v>
      </c>
      <c r="J966">
        <v>1</v>
      </c>
    </row>
    <row r="967" spans="7:10">
      <c r="G967">
        <v>3</v>
      </c>
      <c r="H967">
        <v>2</v>
      </c>
      <c r="I967">
        <v>5</v>
      </c>
      <c r="J967">
        <v>2</v>
      </c>
    </row>
    <row r="968" spans="7:10">
      <c r="G968">
        <v>3</v>
      </c>
      <c r="H968">
        <v>3</v>
      </c>
      <c r="I968">
        <v>1</v>
      </c>
      <c r="J968">
        <v>1</v>
      </c>
    </row>
    <row r="969" spans="7:10">
      <c r="G969">
        <v>3</v>
      </c>
      <c r="H969">
        <v>3</v>
      </c>
      <c r="I969">
        <v>1</v>
      </c>
      <c r="J969">
        <v>2</v>
      </c>
    </row>
    <row r="970" spans="7:10">
      <c r="G970">
        <v>3</v>
      </c>
      <c r="H970">
        <v>3</v>
      </c>
      <c r="I970">
        <v>2</v>
      </c>
      <c r="J970">
        <v>1</v>
      </c>
    </row>
    <row r="971" spans="7:10">
      <c r="G971">
        <v>3</v>
      </c>
      <c r="H971">
        <v>3</v>
      </c>
      <c r="I971">
        <v>2</v>
      </c>
      <c r="J971">
        <v>2</v>
      </c>
    </row>
    <row r="972" spans="7:10">
      <c r="G972">
        <v>3</v>
      </c>
      <c r="H972">
        <v>3</v>
      </c>
      <c r="I972">
        <v>3</v>
      </c>
      <c r="J972">
        <v>1</v>
      </c>
    </row>
    <row r="973" spans="7:10">
      <c r="G973">
        <v>3</v>
      </c>
      <c r="H973">
        <v>3</v>
      </c>
      <c r="I973">
        <v>3</v>
      </c>
      <c r="J973">
        <v>2</v>
      </c>
    </row>
    <row r="974" spans="7:10">
      <c r="G974">
        <v>3</v>
      </c>
      <c r="H974">
        <v>3</v>
      </c>
      <c r="I974">
        <v>4</v>
      </c>
      <c r="J974">
        <v>1</v>
      </c>
    </row>
    <row r="975" spans="7:10">
      <c r="G975">
        <v>3</v>
      </c>
      <c r="H975">
        <v>3</v>
      </c>
      <c r="I975">
        <v>4</v>
      </c>
      <c r="J975">
        <v>2</v>
      </c>
    </row>
    <row r="976" spans="7:10">
      <c r="G976">
        <v>3</v>
      </c>
      <c r="H976">
        <v>3</v>
      </c>
      <c r="I976">
        <v>5</v>
      </c>
      <c r="J976">
        <v>1</v>
      </c>
    </row>
    <row r="977" spans="7:10">
      <c r="G977">
        <v>3</v>
      </c>
      <c r="H977">
        <v>3</v>
      </c>
      <c r="I977">
        <v>5</v>
      </c>
      <c r="J977">
        <v>2</v>
      </c>
    </row>
    <row r="978" spans="7:10">
      <c r="G978">
        <v>4</v>
      </c>
      <c r="H978">
        <v>1</v>
      </c>
      <c r="I978">
        <v>3</v>
      </c>
      <c r="J978">
        <v>1</v>
      </c>
    </row>
    <row r="979" spans="7:10">
      <c r="G979">
        <v>4</v>
      </c>
      <c r="H979">
        <v>1</v>
      </c>
      <c r="I979">
        <v>3</v>
      </c>
      <c r="J979">
        <v>2</v>
      </c>
    </row>
    <row r="980" spans="7:10">
      <c r="G980">
        <v>4</v>
      </c>
      <c r="H980">
        <v>1</v>
      </c>
      <c r="I980">
        <v>4</v>
      </c>
      <c r="J980">
        <v>1</v>
      </c>
    </row>
    <row r="981" spans="7:10">
      <c r="G981">
        <v>4</v>
      </c>
      <c r="H981">
        <v>1</v>
      </c>
      <c r="I981">
        <v>4</v>
      </c>
      <c r="J981">
        <v>2</v>
      </c>
    </row>
    <row r="982" spans="7:10">
      <c r="G982">
        <v>4</v>
      </c>
      <c r="H982">
        <v>1</v>
      </c>
      <c r="I982">
        <v>5</v>
      </c>
      <c r="J982">
        <v>1</v>
      </c>
    </row>
    <row r="983" spans="7:10">
      <c r="G983">
        <v>4</v>
      </c>
      <c r="H983">
        <v>1</v>
      </c>
      <c r="I983">
        <v>5</v>
      </c>
      <c r="J983">
        <v>2</v>
      </c>
    </row>
    <row r="984" spans="7:10">
      <c r="G984">
        <v>4</v>
      </c>
      <c r="H984">
        <v>2</v>
      </c>
      <c r="I984">
        <v>1</v>
      </c>
      <c r="J984">
        <v>1</v>
      </c>
    </row>
    <row r="985" spans="7:10">
      <c r="G985">
        <v>4</v>
      </c>
      <c r="H985">
        <v>2</v>
      </c>
      <c r="I985">
        <v>1</v>
      </c>
      <c r="J985">
        <v>2</v>
      </c>
    </row>
    <row r="986" spans="7:10">
      <c r="G986">
        <v>4</v>
      </c>
      <c r="H986">
        <v>2</v>
      </c>
      <c r="I986">
        <v>2</v>
      </c>
      <c r="J986">
        <v>1</v>
      </c>
    </row>
    <row r="987" spans="7:10">
      <c r="G987">
        <v>4</v>
      </c>
      <c r="H987">
        <v>2</v>
      </c>
      <c r="I987">
        <v>2</v>
      </c>
      <c r="J987">
        <v>2</v>
      </c>
    </row>
    <row r="988" spans="7:10">
      <c r="G988">
        <v>4</v>
      </c>
      <c r="H988">
        <v>2</v>
      </c>
      <c r="I988">
        <v>3</v>
      </c>
      <c r="J988">
        <v>1</v>
      </c>
    </row>
    <row r="989" spans="7:10">
      <c r="G989">
        <v>4</v>
      </c>
      <c r="H989">
        <v>2</v>
      </c>
      <c r="I989">
        <v>3</v>
      </c>
      <c r="J989">
        <v>2</v>
      </c>
    </row>
    <row r="990" spans="7:10">
      <c r="G990">
        <v>4</v>
      </c>
      <c r="H990">
        <v>2</v>
      </c>
      <c r="I990">
        <v>4</v>
      </c>
      <c r="J990">
        <v>1</v>
      </c>
    </row>
    <row r="991" spans="7:10">
      <c r="G991">
        <v>4</v>
      </c>
      <c r="H991">
        <v>2</v>
      </c>
      <c r="I991">
        <v>4</v>
      </c>
      <c r="J991">
        <v>2</v>
      </c>
    </row>
    <row r="992" spans="7:10">
      <c r="G992">
        <v>4</v>
      </c>
      <c r="H992">
        <v>2</v>
      </c>
      <c r="I992">
        <v>5</v>
      </c>
      <c r="J992">
        <v>1</v>
      </c>
    </row>
    <row r="993" spans="7:10">
      <c r="G993">
        <v>4</v>
      </c>
      <c r="H993">
        <v>2</v>
      </c>
      <c r="I993">
        <v>5</v>
      </c>
      <c r="J993">
        <v>2</v>
      </c>
    </row>
    <row r="994" spans="7:10">
      <c r="G994">
        <v>4</v>
      </c>
      <c r="H994">
        <v>3</v>
      </c>
      <c r="I994">
        <v>1</v>
      </c>
      <c r="J994">
        <v>1</v>
      </c>
    </row>
    <row r="995" spans="7:10">
      <c r="G995">
        <v>4</v>
      </c>
      <c r="H995">
        <v>3</v>
      </c>
      <c r="I995">
        <v>1</v>
      </c>
      <c r="J995">
        <v>2</v>
      </c>
    </row>
    <row r="996" spans="7:10">
      <c r="G996">
        <v>4</v>
      </c>
      <c r="H996">
        <v>3</v>
      </c>
      <c r="I996">
        <v>2</v>
      </c>
      <c r="J996">
        <v>1</v>
      </c>
    </row>
    <row r="997" spans="7:10">
      <c r="G997">
        <v>4</v>
      </c>
      <c r="H997">
        <v>3</v>
      </c>
      <c r="I997">
        <v>2</v>
      </c>
      <c r="J997">
        <v>2</v>
      </c>
    </row>
    <row r="998" spans="7:10">
      <c r="G998">
        <v>4</v>
      </c>
      <c r="H998">
        <v>3</v>
      </c>
      <c r="I998">
        <v>3</v>
      </c>
      <c r="J998">
        <v>1</v>
      </c>
    </row>
    <row r="999" spans="7:10">
      <c r="G999">
        <v>4</v>
      </c>
      <c r="H999">
        <v>3</v>
      </c>
      <c r="I999">
        <v>3</v>
      </c>
      <c r="J999">
        <v>2</v>
      </c>
    </row>
    <row r="1000" spans="7:10">
      <c r="G1000">
        <v>4</v>
      </c>
      <c r="H1000">
        <v>3</v>
      </c>
      <c r="I1000">
        <v>4</v>
      </c>
      <c r="J1000">
        <v>1</v>
      </c>
    </row>
    <row r="1001" spans="7:10">
      <c r="G1001">
        <v>4</v>
      </c>
      <c r="H1001">
        <v>3</v>
      </c>
      <c r="I1001">
        <v>4</v>
      </c>
      <c r="J1001">
        <v>2</v>
      </c>
    </row>
    <row r="1002" spans="7:10">
      <c r="G1002">
        <v>4</v>
      </c>
      <c r="H1002">
        <v>3</v>
      </c>
      <c r="I1002">
        <v>5</v>
      </c>
      <c r="J1002">
        <v>1</v>
      </c>
    </row>
    <row r="1003" spans="7:10">
      <c r="G1003">
        <v>4</v>
      </c>
      <c r="H1003">
        <v>3</v>
      </c>
      <c r="I1003">
        <v>5</v>
      </c>
      <c r="J1003">
        <v>2</v>
      </c>
    </row>
    <row r="1004" spans="7:10">
      <c r="G1004">
        <v>1</v>
      </c>
      <c r="H1004">
        <v>2</v>
      </c>
      <c r="I1004">
        <v>1</v>
      </c>
      <c r="J1004">
        <v>1</v>
      </c>
    </row>
    <row r="1005" spans="7:10">
      <c r="G1005">
        <v>1</v>
      </c>
      <c r="H1005">
        <v>2</v>
      </c>
      <c r="I1005">
        <v>1</v>
      </c>
      <c r="J1005">
        <v>2</v>
      </c>
    </row>
    <row r="1006" spans="7:10">
      <c r="G1006">
        <v>1</v>
      </c>
      <c r="H1006">
        <v>2</v>
      </c>
      <c r="I1006">
        <v>2</v>
      </c>
      <c r="J1006">
        <v>1</v>
      </c>
    </row>
    <row r="1007" spans="7:10">
      <c r="G1007">
        <v>1</v>
      </c>
      <c r="H1007">
        <v>2</v>
      </c>
      <c r="I1007">
        <v>2</v>
      </c>
      <c r="J1007">
        <v>2</v>
      </c>
    </row>
    <row r="1008" spans="7:10">
      <c r="G1008">
        <v>1</v>
      </c>
      <c r="H1008">
        <v>2</v>
      </c>
      <c r="I1008">
        <v>3</v>
      </c>
      <c r="J1008">
        <v>1</v>
      </c>
    </row>
    <row r="1009" spans="7:10">
      <c r="G1009">
        <v>1</v>
      </c>
      <c r="H1009">
        <v>2</v>
      </c>
      <c r="I1009">
        <v>3</v>
      </c>
      <c r="J1009">
        <v>2</v>
      </c>
    </row>
    <row r="1010" spans="7:10">
      <c r="G1010">
        <v>1</v>
      </c>
      <c r="H1010">
        <v>2</v>
      </c>
      <c r="I1010">
        <v>4</v>
      </c>
      <c r="J1010">
        <v>1</v>
      </c>
    </row>
    <row r="1011" spans="7:10">
      <c r="G1011">
        <v>1</v>
      </c>
      <c r="H1011">
        <v>2</v>
      </c>
      <c r="I1011">
        <v>4</v>
      </c>
      <c r="J1011">
        <v>2</v>
      </c>
    </row>
    <row r="1012" spans="7:10">
      <c r="G1012">
        <v>1</v>
      </c>
      <c r="H1012">
        <v>2</v>
      </c>
      <c r="I1012">
        <v>5</v>
      </c>
      <c r="J1012">
        <v>1</v>
      </c>
    </row>
    <row r="1013" spans="7:10">
      <c r="G1013">
        <v>1</v>
      </c>
      <c r="H1013">
        <v>2</v>
      </c>
      <c r="I1013">
        <v>5</v>
      </c>
      <c r="J1013">
        <v>2</v>
      </c>
    </row>
    <row r="1014" spans="7:10">
      <c r="G1014">
        <v>1</v>
      </c>
      <c r="H1014">
        <v>3</v>
      </c>
      <c r="I1014">
        <v>1</v>
      </c>
      <c r="J1014">
        <v>1</v>
      </c>
    </row>
    <row r="1015" spans="7:10">
      <c r="G1015">
        <v>1</v>
      </c>
      <c r="H1015">
        <v>3</v>
      </c>
      <c r="I1015">
        <v>1</v>
      </c>
      <c r="J1015">
        <v>2</v>
      </c>
    </row>
    <row r="1016" spans="7:10">
      <c r="G1016">
        <v>1</v>
      </c>
      <c r="H1016">
        <v>3</v>
      </c>
      <c r="I1016">
        <v>2</v>
      </c>
      <c r="J1016">
        <v>1</v>
      </c>
    </row>
    <row r="1017" spans="7:10">
      <c r="G1017">
        <v>1</v>
      </c>
      <c r="H1017">
        <v>3</v>
      </c>
      <c r="I1017">
        <v>2</v>
      </c>
      <c r="J1017">
        <v>2</v>
      </c>
    </row>
    <row r="1018" spans="7:10">
      <c r="G1018">
        <v>1</v>
      </c>
      <c r="H1018">
        <v>3</v>
      </c>
      <c r="I1018">
        <v>3</v>
      </c>
      <c r="J1018">
        <v>1</v>
      </c>
    </row>
    <row r="1019" spans="7:10">
      <c r="G1019">
        <v>1</v>
      </c>
      <c r="H1019">
        <v>3</v>
      </c>
      <c r="I1019">
        <v>3</v>
      </c>
      <c r="J1019">
        <v>2</v>
      </c>
    </row>
    <row r="1020" spans="7:10">
      <c r="G1020">
        <v>1</v>
      </c>
      <c r="H1020">
        <v>3</v>
      </c>
      <c r="I1020">
        <v>4</v>
      </c>
      <c r="J1020">
        <v>1</v>
      </c>
    </row>
    <row r="1021" spans="7:10">
      <c r="G1021">
        <v>1</v>
      </c>
      <c r="H1021">
        <v>3</v>
      </c>
      <c r="I1021">
        <v>4</v>
      </c>
      <c r="J1021">
        <v>2</v>
      </c>
    </row>
    <row r="1022" spans="7:10">
      <c r="G1022">
        <v>1</v>
      </c>
      <c r="H1022">
        <v>3</v>
      </c>
      <c r="I1022">
        <v>5</v>
      </c>
      <c r="J1022">
        <v>1</v>
      </c>
    </row>
    <row r="1023" spans="7:10">
      <c r="G1023">
        <v>1</v>
      </c>
      <c r="H1023">
        <v>3</v>
      </c>
      <c r="I1023">
        <v>5</v>
      </c>
      <c r="J1023">
        <v>2</v>
      </c>
    </row>
    <row r="1024" spans="7:10">
      <c r="G1024">
        <v>2</v>
      </c>
      <c r="H1024">
        <v>1</v>
      </c>
      <c r="I1024">
        <v>3</v>
      </c>
      <c r="J1024">
        <v>1</v>
      </c>
    </row>
    <row r="1025" spans="7:10">
      <c r="G1025">
        <v>2</v>
      </c>
      <c r="H1025">
        <v>1</v>
      </c>
      <c r="I1025">
        <v>3</v>
      </c>
      <c r="J1025">
        <v>2</v>
      </c>
    </row>
    <row r="1026" spans="7:10">
      <c r="G1026">
        <v>2</v>
      </c>
      <c r="H1026">
        <v>1</v>
      </c>
      <c r="I1026">
        <v>4</v>
      </c>
      <c r="J1026">
        <v>1</v>
      </c>
    </row>
    <row r="1027" spans="7:10">
      <c r="G1027">
        <v>2</v>
      </c>
      <c r="H1027">
        <v>1</v>
      </c>
      <c r="I1027">
        <v>4</v>
      </c>
      <c r="J1027">
        <v>2</v>
      </c>
    </row>
    <row r="1028" spans="7:10">
      <c r="G1028">
        <v>2</v>
      </c>
      <c r="H1028">
        <v>1</v>
      </c>
      <c r="I1028">
        <v>5</v>
      </c>
      <c r="J1028">
        <v>1</v>
      </c>
    </row>
    <row r="1029" spans="7:10">
      <c r="G1029">
        <v>2</v>
      </c>
      <c r="H1029">
        <v>1</v>
      </c>
      <c r="I1029">
        <v>5</v>
      </c>
      <c r="J1029">
        <v>2</v>
      </c>
    </row>
    <row r="1030" spans="7:10">
      <c r="G1030">
        <v>2</v>
      </c>
      <c r="H1030">
        <v>2</v>
      </c>
      <c r="I1030">
        <v>1</v>
      </c>
      <c r="J1030">
        <v>1</v>
      </c>
    </row>
    <row r="1031" spans="7:10">
      <c r="G1031">
        <v>2</v>
      </c>
      <c r="H1031">
        <v>2</v>
      </c>
      <c r="I1031">
        <v>1</v>
      </c>
      <c r="J1031">
        <v>2</v>
      </c>
    </row>
    <row r="1032" spans="7:10">
      <c r="G1032">
        <v>2</v>
      </c>
      <c r="H1032">
        <v>2</v>
      </c>
      <c r="I1032">
        <v>2</v>
      </c>
      <c r="J1032">
        <v>1</v>
      </c>
    </row>
    <row r="1033" spans="7:10">
      <c r="G1033">
        <v>2</v>
      </c>
      <c r="H1033">
        <v>2</v>
      </c>
      <c r="I1033">
        <v>2</v>
      </c>
      <c r="J1033">
        <v>2</v>
      </c>
    </row>
    <row r="1034" spans="7:10">
      <c r="G1034">
        <v>2</v>
      </c>
      <c r="H1034">
        <v>2</v>
      </c>
      <c r="I1034">
        <v>3</v>
      </c>
      <c r="J1034">
        <v>1</v>
      </c>
    </row>
    <row r="1035" spans="7:10">
      <c r="G1035">
        <v>2</v>
      </c>
      <c r="H1035">
        <v>2</v>
      </c>
      <c r="I1035">
        <v>3</v>
      </c>
      <c r="J1035">
        <v>2</v>
      </c>
    </row>
    <row r="1036" spans="7:10">
      <c r="G1036">
        <v>2</v>
      </c>
      <c r="H1036">
        <v>2</v>
      </c>
      <c r="I1036">
        <v>4</v>
      </c>
      <c r="J1036">
        <v>1</v>
      </c>
    </row>
    <row r="1037" spans="7:10">
      <c r="G1037">
        <v>2</v>
      </c>
      <c r="H1037">
        <v>2</v>
      </c>
      <c r="I1037">
        <v>4</v>
      </c>
      <c r="J1037">
        <v>2</v>
      </c>
    </row>
    <row r="1038" spans="7:10">
      <c r="G1038">
        <v>2</v>
      </c>
      <c r="H1038">
        <v>2</v>
      </c>
      <c r="I1038">
        <v>5</v>
      </c>
      <c r="J1038">
        <v>1</v>
      </c>
    </row>
    <row r="1039" spans="7:10">
      <c r="G1039">
        <v>2</v>
      </c>
      <c r="H1039">
        <v>2</v>
      </c>
      <c r="I1039">
        <v>5</v>
      </c>
      <c r="J1039">
        <v>2</v>
      </c>
    </row>
    <row r="1040" spans="7:10">
      <c r="G1040">
        <v>2</v>
      </c>
      <c r="H1040">
        <v>3</v>
      </c>
      <c r="I1040">
        <v>1</v>
      </c>
      <c r="J1040">
        <v>1</v>
      </c>
    </row>
    <row r="1041" spans="7:10">
      <c r="G1041">
        <v>2</v>
      </c>
      <c r="H1041">
        <v>3</v>
      </c>
      <c r="I1041">
        <v>1</v>
      </c>
      <c r="J1041">
        <v>2</v>
      </c>
    </row>
    <row r="1042" spans="7:10">
      <c r="G1042">
        <v>2</v>
      </c>
      <c r="H1042">
        <v>3</v>
      </c>
      <c r="I1042">
        <v>2</v>
      </c>
      <c r="J1042">
        <v>1</v>
      </c>
    </row>
    <row r="1043" spans="7:10">
      <c r="G1043">
        <v>2</v>
      </c>
      <c r="H1043">
        <v>3</v>
      </c>
      <c r="I1043">
        <v>2</v>
      </c>
      <c r="J1043">
        <v>2</v>
      </c>
    </row>
    <row r="1044" spans="7:10">
      <c r="G1044">
        <v>2</v>
      </c>
      <c r="H1044">
        <v>3</v>
      </c>
      <c r="I1044">
        <v>3</v>
      </c>
      <c r="J1044">
        <v>1</v>
      </c>
    </row>
    <row r="1045" spans="7:10">
      <c r="G1045">
        <v>2</v>
      </c>
      <c r="H1045">
        <v>3</v>
      </c>
      <c r="I1045">
        <v>3</v>
      </c>
      <c r="J1045">
        <v>2</v>
      </c>
    </row>
    <row r="1046" spans="7:10">
      <c r="G1046">
        <v>2</v>
      </c>
      <c r="H1046">
        <v>3</v>
      </c>
      <c r="I1046">
        <v>4</v>
      </c>
      <c r="J1046">
        <v>1</v>
      </c>
    </row>
    <row r="1047" spans="7:10">
      <c r="G1047">
        <v>2</v>
      </c>
      <c r="H1047">
        <v>3</v>
      </c>
      <c r="I1047">
        <v>4</v>
      </c>
      <c r="J1047">
        <v>2</v>
      </c>
    </row>
    <row r="1048" spans="7:10">
      <c r="G1048">
        <v>2</v>
      </c>
      <c r="H1048">
        <v>3</v>
      </c>
      <c r="I1048">
        <v>5</v>
      </c>
      <c r="J1048">
        <v>1</v>
      </c>
    </row>
    <row r="1049" spans="7:10">
      <c r="G1049">
        <v>2</v>
      </c>
      <c r="H1049">
        <v>3</v>
      </c>
      <c r="I1049">
        <v>5</v>
      </c>
      <c r="J1049">
        <v>2</v>
      </c>
    </row>
    <row r="1050" spans="7:10">
      <c r="G1050">
        <v>3</v>
      </c>
      <c r="H1050">
        <v>1</v>
      </c>
      <c r="I1050">
        <v>3</v>
      </c>
      <c r="J1050">
        <v>1</v>
      </c>
    </row>
    <row r="1051" spans="7:10">
      <c r="G1051">
        <v>3</v>
      </c>
      <c r="H1051">
        <v>1</v>
      </c>
      <c r="I1051">
        <v>3</v>
      </c>
      <c r="J1051">
        <v>2</v>
      </c>
    </row>
    <row r="1052" spans="7:10">
      <c r="G1052">
        <v>3</v>
      </c>
      <c r="H1052">
        <v>1</v>
      </c>
      <c r="I1052">
        <v>4</v>
      </c>
      <c r="J1052">
        <v>1</v>
      </c>
    </row>
    <row r="1053" spans="7:10">
      <c r="G1053">
        <v>3</v>
      </c>
      <c r="H1053">
        <v>1</v>
      </c>
      <c r="I1053">
        <v>4</v>
      </c>
      <c r="J1053">
        <v>2</v>
      </c>
    </row>
    <row r="1054" spans="7:10">
      <c r="G1054">
        <v>3</v>
      </c>
      <c r="H1054">
        <v>1</v>
      </c>
      <c r="I1054">
        <v>5</v>
      </c>
      <c r="J1054">
        <v>1</v>
      </c>
    </row>
    <row r="1055" spans="7:10">
      <c r="G1055">
        <v>3</v>
      </c>
      <c r="H1055">
        <v>1</v>
      </c>
      <c r="I1055">
        <v>5</v>
      </c>
      <c r="J1055">
        <v>2</v>
      </c>
    </row>
    <row r="1056" spans="7:10">
      <c r="G1056">
        <v>3</v>
      </c>
      <c r="H1056">
        <v>2</v>
      </c>
      <c r="I1056">
        <v>1</v>
      </c>
      <c r="J1056">
        <v>1</v>
      </c>
    </row>
    <row r="1057" spans="7:10">
      <c r="G1057">
        <v>3</v>
      </c>
      <c r="H1057">
        <v>2</v>
      </c>
      <c r="I1057">
        <v>1</v>
      </c>
      <c r="J1057">
        <v>2</v>
      </c>
    </row>
    <row r="1058" spans="7:10">
      <c r="G1058">
        <v>3</v>
      </c>
      <c r="H1058">
        <v>2</v>
      </c>
      <c r="I1058">
        <v>2</v>
      </c>
      <c r="J1058">
        <v>1</v>
      </c>
    </row>
    <row r="1059" spans="7:10">
      <c r="G1059">
        <v>3</v>
      </c>
      <c r="H1059">
        <v>2</v>
      </c>
      <c r="I1059">
        <v>2</v>
      </c>
      <c r="J1059">
        <v>2</v>
      </c>
    </row>
    <row r="1060" spans="7:10">
      <c r="G1060">
        <v>3</v>
      </c>
      <c r="H1060">
        <v>2</v>
      </c>
      <c r="I1060">
        <v>3</v>
      </c>
      <c r="J1060">
        <v>1</v>
      </c>
    </row>
    <row r="1061" spans="7:10">
      <c r="G1061">
        <v>3</v>
      </c>
      <c r="H1061">
        <v>2</v>
      </c>
      <c r="I1061">
        <v>3</v>
      </c>
      <c r="J1061">
        <v>2</v>
      </c>
    </row>
    <row r="1062" spans="7:10">
      <c r="G1062">
        <v>3</v>
      </c>
      <c r="H1062">
        <v>2</v>
      </c>
      <c r="I1062">
        <v>4</v>
      </c>
      <c r="J1062">
        <v>1</v>
      </c>
    </row>
    <row r="1063" spans="7:10">
      <c r="G1063">
        <v>3</v>
      </c>
      <c r="H1063">
        <v>2</v>
      </c>
      <c r="I1063">
        <v>4</v>
      </c>
      <c r="J1063">
        <v>2</v>
      </c>
    </row>
    <row r="1064" spans="7:10">
      <c r="G1064">
        <v>3</v>
      </c>
      <c r="H1064">
        <v>2</v>
      </c>
      <c r="I1064">
        <v>5</v>
      </c>
      <c r="J1064">
        <v>1</v>
      </c>
    </row>
    <row r="1065" spans="7:10">
      <c r="G1065">
        <v>3</v>
      </c>
      <c r="H1065">
        <v>2</v>
      </c>
      <c r="I1065">
        <v>5</v>
      </c>
      <c r="J1065">
        <v>2</v>
      </c>
    </row>
    <row r="1066" spans="7:10">
      <c r="G1066">
        <v>3</v>
      </c>
      <c r="H1066">
        <v>3</v>
      </c>
      <c r="I1066">
        <v>1</v>
      </c>
      <c r="J1066">
        <v>1</v>
      </c>
    </row>
    <row r="1067" spans="7:10">
      <c r="G1067">
        <v>3</v>
      </c>
      <c r="H1067">
        <v>3</v>
      </c>
      <c r="I1067">
        <v>1</v>
      </c>
      <c r="J1067">
        <v>2</v>
      </c>
    </row>
    <row r="1068" spans="7:10">
      <c r="G1068">
        <v>3</v>
      </c>
      <c r="H1068">
        <v>3</v>
      </c>
      <c r="I1068">
        <v>2</v>
      </c>
      <c r="J1068">
        <v>1</v>
      </c>
    </row>
    <row r="1069" spans="7:10">
      <c r="G1069">
        <v>3</v>
      </c>
      <c r="H1069">
        <v>3</v>
      </c>
      <c r="I1069">
        <v>2</v>
      </c>
      <c r="J1069">
        <v>2</v>
      </c>
    </row>
    <row r="1070" spans="7:10">
      <c r="G1070">
        <v>3</v>
      </c>
      <c r="H1070">
        <v>3</v>
      </c>
      <c r="I1070">
        <v>3</v>
      </c>
      <c r="J1070">
        <v>1</v>
      </c>
    </row>
    <row r="1071" spans="7:10">
      <c r="G1071">
        <v>3</v>
      </c>
      <c r="H1071">
        <v>3</v>
      </c>
      <c r="I1071">
        <v>3</v>
      </c>
      <c r="J1071">
        <v>2</v>
      </c>
    </row>
    <row r="1072" spans="7:10">
      <c r="G1072">
        <v>3</v>
      </c>
      <c r="H1072">
        <v>3</v>
      </c>
      <c r="I1072">
        <v>4</v>
      </c>
      <c r="J1072">
        <v>1</v>
      </c>
    </row>
    <row r="1073" spans="7:10">
      <c r="G1073">
        <v>3</v>
      </c>
      <c r="H1073">
        <v>3</v>
      </c>
      <c r="I1073">
        <v>4</v>
      </c>
      <c r="J1073">
        <v>2</v>
      </c>
    </row>
    <row r="1074" spans="7:10">
      <c r="G1074">
        <v>3</v>
      </c>
      <c r="H1074">
        <v>3</v>
      </c>
      <c r="I1074">
        <v>5</v>
      </c>
      <c r="J1074">
        <v>1</v>
      </c>
    </row>
    <row r="1075" spans="7:10">
      <c r="G1075">
        <v>3</v>
      </c>
      <c r="H1075">
        <v>3</v>
      </c>
      <c r="I1075">
        <v>5</v>
      </c>
      <c r="J1075">
        <v>2</v>
      </c>
    </row>
    <row r="1076" spans="7:10">
      <c r="G1076">
        <v>4</v>
      </c>
      <c r="H1076">
        <v>1</v>
      </c>
      <c r="I1076">
        <v>3</v>
      </c>
      <c r="J1076">
        <v>1</v>
      </c>
    </row>
    <row r="1077" spans="7:10">
      <c r="G1077">
        <v>4</v>
      </c>
      <c r="H1077">
        <v>1</v>
      </c>
      <c r="I1077">
        <v>3</v>
      </c>
      <c r="J1077">
        <v>2</v>
      </c>
    </row>
    <row r="1078" spans="7:10">
      <c r="G1078">
        <v>4</v>
      </c>
      <c r="H1078">
        <v>1</v>
      </c>
      <c r="I1078">
        <v>4</v>
      </c>
      <c r="J1078">
        <v>1</v>
      </c>
    </row>
    <row r="1079" spans="7:10">
      <c r="G1079">
        <v>4</v>
      </c>
      <c r="H1079">
        <v>1</v>
      </c>
      <c r="I1079">
        <v>4</v>
      </c>
      <c r="J1079">
        <v>2</v>
      </c>
    </row>
    <row r="1080" spans="7:10">
      <c r="G1080">
        <v>4</v>
      </c>
      <c r="H1080">
        <v>1</v>
      </c>
      <c r="I1080">
        <v>5</v>
      </c>
      <c r="J1080">
        <v>1</v>
      </c>
    </row>
    <row r="1081" spans="7:10">
      <c r="G1081">
        <v>4</v>
      </c>
      <c r="H1081">
        <v>1</v>
      </c>
      <c r="I1081">
        <v>5</v>
      </c>
      <c r="J1081">
        <v>2</v>
      </c>
    </row>
    <row r="1082" spans="7:10">
      <c r="G1082">
        <v>4</v>
      </c>
      <c r="H1082">
        <v>2</v>
      </c>
      <c r="I1082">
        <v>1</v>
      </c>
      <c r="J1082">
        <v>1</v>
      </c>
    </row>
    <row r="1083" spans="7:10">
      <c r="G1083">
        <v>4</v>
      </c>
      <c r="H1083">
        <v>2</v>
      </c>
      <c r="I1083">
        <v>1</v>
      </c>
      <c r="J1083">
        <v>2</v>
      </c>
    </row>
    <row r="1084" spans="7:10">
      <c r="G1084">
        <v>4</v>
      </c>
      <c r="H1084">
        <v>2</v>
      </c>
      <c r="I1084">
        <v>2</v>
      </c>
      <c r="J1084">
        <v>1</v>
      </c>
    </row>
    <row r="1085" spans="7:10">
      <c r="G1085">
        <v>4</v>
      </c>
      <c r="H1085">
        <v>2</v>
      </c>
      <c r="I1085">
        <v>2</v>
      </c>
      <c r="J1085">
        <v>2</v>
      </c>
    </row>
    <row r="1086" spans="7:10">
      <c r="G1086">
        <v>4</v>
      </c>
      <c r="H1086">
        <v>2</v>
      </c>
      <c r="I1086">
        <v>3</v>
      </c>
      <c r="J1086">
        <v>1</v>
      </c>
    </row>
    <row r="1087" spans="7:10">
      <c r="G1087">
        <v>4</v>
      </c>
      <c r="H1087">
        <v>2</v>
      </c>
      <c r="I1087">
        <v>3</v>
      </c>
      <c r="J1087">
        <v>2</v>
      </c>
    </row>
    <row r="1088" spans="7:10">
      <c r="G1088">
        <v>4</v>
      </c>
      <c r="H1088">
        <v>2</v>
      </c>
      <c r="I1088">
        <v>4</v>
      </c>
      <c r="J1088">
        <v>1</v>
      </c>
    </row>
    <row r="1089" spans="7:10">
      <c r="G1089">
        <v>4</v>
      </c>
      <c r="H1089">
        <v>2</v>
      </c>
      <c r="I1089">
        <v>4</v>
      </c>
      <c r="J1089">
        <v>2</v>
      </c>
    </row>
    <row r="1090" spans="7:10">
      <c r="G1090">
        <v>4</v>
      </c>
      <c r="H1090">
        <v>2</v>
      </c>
      <c r="I1090">
        <v>5</v>
      </c>
      <c r="J1090">
        <v>1</v>
      </c>
    </row>
    <row r="1091" spans="7:10">
      <c r="G1091">
        <v>4</v>
      </c>
      <c r="H1091">
        <v>2</v>
      </c>
      <c r="I1091">
        <v>5</v>
      </c>
      <c r="J1091">
        <v>2</v>
      </c>
    </row>
    <row r="1092" spans="7:10">
      <c r="G1092">
        <v>4</v>
      </c>
      <c r="H1092">
        <v>3</v>
      </c>
      <c r="I1092">
        <v>1</v>
      </c>
      <c r="J1092">
        <v>1</v>
      </c>
    </row>
    <row r="1093" spans="7:10">
      <c r="G1093">
        <v>4</v>
      </c>
      <c r="H1093">
        <v>3</v>
      </c>
      <c r="I1093">
        <v>1</v>
      </c>
      <c r="J1093">
        <v>2</v>
      </c>
    </row>
    <row r="1094" spans="7:10">
      <c r="G1094">
        <v>4</v>
      </c>
      <c r="H1094">
        <v>3</v>
      </c>
      <c r="I1094">
        <v>2</v>
      </c>
      <c r="J1094">
        <v>1</v>
      </c>
    </row>
    <row r="1095" spans="7:10">
      <c r="G1095">
        <v>4</v>
      </c>
      <c r="H1095">
        <v>3</v>
      </c>
      <c r="I1095">
        <v>2</v>
      </c>
      <c r="J1095">
        <v>2</v>
      </c>
    </row>
    <row r="1096" spans="7:10">
      <c r="G1096">
        <v>4</v>
      </c>
      <c r="H1096">
        <v>3</v>
      </c>
      <c r="I1096">
        <v>3</v>
      </c>
      <c r="J1096">
        <v>1</v>
      </c>
    </row>
    <row r="1097" spans="7:10">
      <c r="G1097">
        <v>4</v>
      </c>
      <c r="H1097">
        <v>3</v>
      </c>
      <c r="I1097">
        <v>3</v>
      </c>
      <c r="J1097">
        <v>2</v>
      </c>
    </row>
    <row r="1098" spans="7:10">
      <c r="G1098">
        <v>4</v>
      </c>
      <c r="H1098">
        <v>3</v>
      </c>
      <c r="I1098">
        <v>4</v>
      </c>
      <c r="J1098">
        <v>1</v>
      </c>
    </row>
    <row r="1099" spans="7:10">
      <c r="G1099">
        <v>4</v>
      </c>
      <c r="H1099">
        <v>3</v>
      </c>
      <c r="I1099">
        <v>4</v>
      </c>
      <c r="J1099">
        <v>2</v>
      </c>
    </row>
    <row r="1100" spans="7:10">
      <c r="G1100">
        <v>4</v>
      </c>
      <c r="H1100">
        <v>3</v>
      </c>
      <c r="I1100">
        <v>5</v>
      </c>
      <c r="J1100">
        <v>1</v>
      </c>
    </row>
    <row r="1101" spans="7:10">
      <c r="G1101">
        <v>4</v>
      </c>
      <c r="H1101">
        <v>3</v>
      </c>
      <c r="I1101">
        <v>5</v>
      </c>
      <c r="J1101">
        <v>2</v>
      </c>
    </row>
    <row r="1102" spans="7:10">
      <c r="G1102">
        <v>1</v>
      </c>
      <c r="H1102">
        <v>2</v>
      </c>
      <c r="I1102">
        <v>1</v>
      </c>
      <c r="J1102">
        <v>1</v>
      </c>
    </row>
    <row r="1103" spans="7:10">
      <c r="G1103">
        <v>1</v>
      </c>
      <c r="H1103">
        <v>2</v>
      </c>
      <c r="I1103">
        <v>1</v>
      </c>
      <c r="J1103">
        <v>2</v>
      </c>
    </row>
    <row r="1104" spans="7:10">
      <c r="G1104">
        <v>1</v>
      </c>
      <c r="H1104">
        <v>2</v>
      </c>
      <c r="I1104">
        <v>2</v>
      </c>
      <c r="J1104">
        <v>1</v>
      </c>
    </row>
    <row r="1105" spans="7:10">
      <c r="G1105">
        <v>1</v>
      </c>
      <c r="H1105">
        <v>2</v>
      </c>
      <c r="I1105">
        <v>2</v>
      </c>
      <c r="J1105">
        <v>2</v>
      </c>
    </row>
    <row r="1106" spans="7:10">
      <c r="G1106">
        <v>1</v>
      </c>
      <c r="H1106">
        <v>2</v>
      </c>
      <c r="I1106">
        <v>3</v>
      </c>
      <c r="J1106">
        <v>1</v>
      </c>
    </row>
    <row r="1107" spans="7:10">
      <c r="G1107">
        <v>1</v>
      </c>
      <c r="H1107">
        <v>2</v>
      </c>
      <c r="I1107">
        <v>3</v>
      </c>
      <c r="J1107">
        <v>2</v>
      </c>
    </row>
    <row r="1108" spans="7:10">
      <c r="G1108">
        <v>1</v>
      </c>
      <c r="H1108">
        <v>2</v>
      </c>
      <c r="I1108">
        <v>4</v>
      </c>
      <c r="J1108">
        <v>1</v>
      </c>
    </row>
    <row r="1109" spans="7:10">
      <c r="G1109">
        <v>1</v>
      </c>
      <c r="H1109">
        <v>2</v>
      </c>
      <c r="I1109">
        <v>4</v>
      </c>
      <c r="J1109">
        <v>2</v>
      </c>
    </row>
    <row r="1110" spans="7:10">
      <c r="G1110">
        <v>1</v>
      </c>
      <c r="H1110">
        <v>2</v>
      </c>
      <c r="I1110">
        <v>5</v>
      </c>
      <c r="J1110">
        <v>1</v>
      </c>
    </row>
    <row r="1111" spans="7:10">
      <c r="G1111">
        <v>1</v>
      </c>
      <c r="H1111">
        <v>2</v>
      </c>
      <c r="I1111">
        <v>5</v>
      </c>
      <c r="J1111">
        <v>2</v>
      </c>
    </row>
    <row r="1112" spans="7:10">
      <c r="G1112">
        <v>1</v>
      </c>
      <c r="H1112">
        <v>3</v>
      </c>
      <c r="I1112">
        <v>1</v>
      </c>
      <c r="J1112">
        <v>1</v>
      </c>
    </row>
    <row r="1113" spans="7:10">
      <c r="G1113">
        <v>1</v>
      </c>
      <c r="H1113">
        <v>3</v>
      </c>
      <c r="I1113">
        <v>1</v>
      </c>
      <c r="J1113">
        <v>2</v>
      </c>
    </row>
    <row r="1114" spans="7:10">
      <c r="G1114">
        <v>1</v>
      </c>
      <c r="H1114">
        <v>3</v>
      </c>
      <c r="I1114">
        <v>2</v>
      </c>
      <c r="J1114">
        <v>1</v>
      </c>
    </row>
    <row r="1115" spans="7:10">
      <c r="G1115">
        <v>1</v>
      </c>
      <c r="H1115">
        <v>3</v>
      </c>
      <c r="I1115">
        <v>2</v>
      </c>
      <c r="J1115">
        <v>2</v>
      </c>
    </row>
    <row r="1116" spans="7:10">
      <c r="G1116">
        <v>1</v>
      </c>
      <c r="H1116">
        <v>3</v>
      </c>
      <c r="I1116">
        <v>3</v>
      </c>
      <c r="J1116">
        <v>1</v>
      </c>
    </row>
    <row r="1117" spans="7:10">
      <c r="G1117">
        <v>1</v>
      </c>
      <c r="H1117">
        <v>3</v>
      </c>
      <c r="I1117">
        <v>3</v>
      </c>
      <c r="J1117">
        <v>2</v>
      </c>
    </row>
    <row r="1118" spans="7:10">
      <c r="G1118">
        <v>1</v>
      </c>
      <c r="H1118">
        <v>3</v>
      </c>
      <c r="I1118">
        <v>4</v>
      </c>
      <c r="J1118">
        <v>1</v>
      </c>
    </row>
    <row r="1119" spans="7:10">
      <c r="G1119">
        <v>1</v>
      </c>
      <c r="H1119">
        <v>3</v>
      </c>
      <c r="I1119">
        <v>4</v>
      </c>
      <c r="J1119">
        <v>2</v>
      </c>
    </row>
    <row r="1120" spans="7:10">
      <c r="G1120">
        <v>1</v>
      </c>
      <c r="H1120">
        <v>3</v>
      </c>
      <c r="I1120">
        <v>5</v>
      </c>
      <c r="J1120">
        <v>1</v>
      </c>
    </row>
    <row r="1121" spans="7:10">
      <c r="G1121">
        <v>1</v>
      </c>
      <c r="H1121">
        <v>3</v>
      </c>
      <c r="I1121">
        <v>5</v>
      </c>
      <c r="J1121">
        <v>2</v>
      </c>
    </row>
    <row r="1122" spans="7:10">
      <c r="G1122">
        <v>2</v>
      </c>
      <c r="H1122">
        <v>1</v>
      </c>
      <c r="I1122">
        <v>3</v>
      </c>
      <c r="J1122">
        <v>1</v>
      </c>
    </row>
    <row r="1123" spans="7:10">
      <c r="G1123">
        <v>2</v>
      </c>
      <c r="H1123">
        <v>1</v>
      </c>
      <c r="I1123">
        <v>3</v>
      </c>
      <c r="J1123">
        <v>2</v>
      </c>
    </row>
    <row r="1124" spans="7:10">
      <c r="G1124">
        <v>2</v>
      </c>
      <c r="H1124">
        <v>1</v>
      </c>
      <c r="I1124">
        <v>4</v>
      </c>
      <c r="J1124">
        <v>1</v>
      </c>
    </row>
    <row r="1125" spans="7:10">
      <c r="G1125">
        <v>2</v>
      </c>
      <c r="H1125">
        <v>1</v>
      </c>
      <c r="I1125">
        <v>4</v>
      </c>
      <c r="J1125">
        <v>2</v>
      </c>
    </row>
    <row r="1126" spans="7:10">
      <c r="G1126">
        <v>2</v>
      </c>
      <c r="H1126">
        <v>1</v>
      </c>
      <c r="I1126">
        <v>5</v>
      </c>
      <c r="J1126">
        <v>1</v>
      </c>
    </row>
    <row r="1127" spans="7:10">
      <c r="G1127">
        <v>2</v>
      </c>
      <c r="H1127">
        <v>1</v>
      </c>
      <c r="I1127">
        <v>5</v>
      </c>
      <c r="J1127">
        <v>2</v>
      </c>
    </row>
    <row r="1128" spans="7:10">
      <c r="G1128">
        <v>2</v>
      </c>
      <c r="H1128">
        <v>2</v>
      </c>
      <c r="I1128">
        <v>1</v>
      </c>
      <c r="J1128">
        <v>1</v>
      </c>
    </row>
    <row r="1129" spans="7:10">
      <c r="G1129">
        <v>2</v>
      </c>
      <c r="H1129">
        <v>2</v>
      </c>
      <c r="I1129">
        <v>1</v>
      </c>
      <c r="J1129">
        <v>2</v>
      </c>
    </row>
    <row r="1130" spans="7:10">
      <c r="G1130">
        <v>2</v>
      </c>
      <c r="H1130">
        <v>2</v>
      </c>
      <c r="I1130">
        <v>2</v>
      </c>
      <c r="J1130">
        <v>1</v>
      </c>
    </row>
    <row r="1131" spans="7:10">
      <c r="G1131">
        <v>2</v>
      </c>
      <c r="H1131">
        <v>2</v>
      </c>
      <c r="I1131">
        <v>2</v>
      </c>
      <c r="J1131">
        <v>2</v>
      </c>
    </row>
    <row r="1132" spans="7:10">
      <c r="G1132">
        <v>2</v>
      </c>
      <c r="H1132">
        <v>2</v>
      </c>
      <c r="I1132">
        <v>3</v>
      </c>
      <c r="J1132">
        <v>1</v>
      </c>
    </row>
    <row r="1133" spans="7:10">
      <c r="G1133">
        <v>2</v>
      </c>
      <c r="H1133">
        <v>2</v>
      </c>
      <c r="I1133">
        <v>3</v>
      </c>
      <c r="J1133">
        <v>2</v>
      </c>
    </row>
    <row r="1134" spans="7:10">
      <c r="G1134">
        <v>2</v>
      </c>
      <c r="H1134">
        <v>2</v>
      </c>
      <c r="I1134">
        <v>4</v>
      </c>
      <c r="J1134">
        <v>1</v>
      </c>
    </row>
    <row r="1135" spans="7:10">
      <c r="G1135">
        <v>2</v>
      </c>
      <c r="H1135">
        <v>2</v>
      </c>
      <c r="I1135">
        <v>4</v>
      </c>
      <c r="J1135">
        <v>2</v>
      </c>
    </row>
    <row r="1136" spans="7:10">
      <c r="G1136">
        <v>2</v>
      </c>
      <c r="H1136">
        <v>2</v>
      </c>
      <c r="I1136">
        <v>5</v>
      </c>
      <c r="J1136">
        <v>1</v>
      </c>
    </row>
    <row r="1137" spans="7:10">
      <c r="G1137">
        <v>2</v>
      </c>
      <c r="H1137">
        <v>2</v>
      </c>
      <c r="I1137">
        <v>5</v>
      </c>
      <c r="J1137">
        <v>2</v>
      </c>
    </row>
    <row r="1138" spans="7:10">
      <c r="G1138">
        <v>2</v>
      </c>
      <c r="H1138">
        <v>3</v>
      </c>
      <c r="I1138">
        <v>1</v>
      </c>
      <c r="J1138">
        <v>1</v>
      </c>
    </row>
    <row r="1139" spans="7:10">
      <c r="G1139">
        <v>2</v>
      </c>
      <c r="H1139">
        <v>3</v>
      </c>
      <c r="I1139">
        <v>1</v>
      </c>
      <c r="J1139">
        <v>2</v>
      </c>
    </row>
    <row r="1140" spans="7:10">
      <c r="G1140">
        <v>2</v>
      </c>
      <c r="H1140">
        <v>3</v>
      </c>
      <c r="I1140">
        <v>2</v>
      </c>
      <c r="J1140">
        <v>1</v>
      </c>
    </row>
    <row r="1141" spans="7:10">
      <c r="G1141">
        <v>2</v>
      </c>
      <c r="H1141">
        <v>3</v>
      </c>
      <c r="I1141">
        <v>2</v>
      </c>
      <c r="J1141">
        <v>2</v>
      </c>
    </row>
    <row r="1142" spans="7:10">
      <c r="G1142">
        <v>2</v>
      </c>
      <c r="H1142">
        <v>3</v>
      </c>
      <c r="I1142">
        <v>3</v>
      </c>
      <c r="J1142">
        <v>1</v>
      </c>
    </row>
    <row r="1143" spans="7:10">
      <c r="G1143">
        <v>2</v>
      </c>
      <c r="H1143">
        <v>3</v>
      </c>
      <c r="I1143">
        <v>3</v>
      </c>
      <c r="J1143">
        <v>2</v>
      </c>
    </row>
    <row r="1144" spans="7:10">
      <c r="G1144">
        <v>2</v>
      </c>
      <c r="H1144">
        <v>3</v>
      </c>
      <c r="I1144">
        <v>4</v>
      </c>
      <c r="J1144">
        <v>1</v>
      </c>
    </row>
    <row r="1145" spans="7:10">
      <c r="G1145">
        <v>2</v>
      </c>
      <c r="H1145">
        <v>3</v>
      </c>
      <c r="I1145">
        <v>4</v>
      </c>
      <c r="J1145">
        <v>2</v>
      </c>
    </row>
    <row r="1146" spans="7:10">
      <c r="G1146">
        <v>2</v>
      </c>
      <c r="H1146">
        <v>3</v>
      </c>
      <c r="I1146">
        <v>5</v>
      </c>
      <c r="J1146">
        <v>1</v>
      </c>
    </row>
    <row r="1147" spans="7:10">
      <c r="G1147">
        <v>2</v>
      </c>
      <c r="H1147">
        <v>3</v>
      </c>
      <c r="I1147">
        <v>5</v>
      </c>
      <c r="J1147">
        <v>2</v>
      </c>
    </row>
    <row r="1148" spans="7:10">
      <c r="G1148">
        <v>3</v>
      </c>
      <c r="H1148">
        <v>1</v>
      </c>
      <c r="I1148">
        <v>3</v>
      </c>
      <c r="J1148">
        <v>1</v>
      </c>
    </row>
    <row r="1149" spans="7:10">
      <c r="G1149">
        <v>3</v>
      </c>
      <c r="H1149">
        <v>1</v>
      </c>
      <c r="I1149">
        <v>3</v>
      </c>
      <c r="J1149">
        <v>2</v>
      </c>
    </row>
    <row r="1150" spans="7:10">
      <c r="G1150">
        <v>3</v>
      </c>
      <c r="H1150">
        <v>1</v>
      </c>
      <c r="I1150">
        <v>4</v>
      </c>
      <c r="J1150">
        <v>1</v>
      </c>
    </row>
    <row r="1151" spans="7:10">
      <c r="G1151">
        <v>3</v>
      </c>
      <c r="H1151">
        <v>1</v>
      </c>
      <c r="I1151">
        <v>4</v>
      </c>
      <c r="J1151">
        <v>2</v>
      </c>
    </row>
    <row r="1152" spans="7:10">
      <c r="G1152">
        <v>3</v>
      </c>
      <c r="H1152">
        <v>1</v>
      </c>
      <c r="I1152">
        <v>5</v>
      </c>
      <c r="J1152">
        <v>1</v>
      </c>
    </row>
    <row r="1153" spans="7:10">
      <c r="G1153">
        <v>3</v>
      </c>
      <c r="H1153">
        <v>1</v>
      </c>
      <c r="I1153">
        <v>5</v>
      </c>
      <c r="J1153">
        <v>2</v>
      </c>
    </row>
    <row r="1154" spans="7:10">
      <c r="G1154">
        <v>3</v>
      </c>
      <c r="H1154">
        <v>2</v>
      </c>
      <c r="I1154">
        <v>1</v>
      </c>
      <c r="J1154">
        <v>1</v>
      </c>
    </row>
    <row r="1155" spans="7:10">
      <c r="G1155">
        <v>3</v>
      </c>
      <c r="H1155">
        <v>2</v>
      </c>
      <c r="I1155">
        <v>1</v>
      </c>
      <c r="J1155">
        <v>2</v>
      </c>
    </row>
    <row r="1156" spans="7:10">
      <c r="G1156">
        <v>3</v>
      </c>
      <c r="H1156">
        <v>2</v>
      </c>
      <c r="I1156">
        <v>2</v>
      </c>
      <c r="J1156">
        <v>1</v>
      </c>
    </row>
    <row r="1157" spans="7:10">
      <c r="G1157">
        <v>3</v>
      </c>
      <c r="H1157">
        <v>2</v>
      </c>
      <c r="I1157">
        <v>2</v>
      </c>
      <c r="J1157">
        <v>2</v>
      </c>
    </row>
    <row r="1158" spans="7:10">
      <c r="G1158">
        <v>3</v>
      </c>
      <c r="H1158">
        <v>2</v>
      </c>
      <c r="I1158">
        <v>3</v>
      </c>
      <c r="J1158">
        <v>1</v>
      </c>
    </row>
    <row r="1159" spans="7:10">
      <c r="G1159">
        <v>3</v>
      </c>
      <c r="H1159">
        <v>2</v>
      </c>
      <c r="I1159">
        <v>3</v>
      </c>
      <c r="J1159">
        <v>2</v>
      </c>
    </row>
    <row r="1160" spans="7:10">
      <c r="G1160">
        <v>3</v>
      </c>
      <c r="H1160">
        <v>2</v>
      </c>
      <c r="I1160">
        <v>4</v>
      </c>
      <c r="J1160">
        <v>1</v>
      </c>
    </row>
    <row r="1161" spans="7:10">
      <c r="G1161">
        <v>3</v>
      </c>
      <c r="H1161">
        <v>2</v>
      </c>
      <c r="I1161">
        <v>4</v>
      </c>
      <c r="J1161">
        <v>2</v>
      </c>
    </row>
    <row r="1162" spans="7:10">
      <c r="G1162">
        <v>3</v>
      </c>
      <c r="H1162">
        <v>2</v>
      </c>
      <c r="I1162">
        <v>5</v>
      </c>
      <c r="J1162">
        <v>1</v>
      </c>
    </row>
    <row r="1163" spans="7:10">
      <c r="G1163">
        <v>3</v>
      </c>
      <c r="H1163">
        <v>2</v>
      </c>
      <c r="I1163">
        <v>5</v>
      </c>
      <c r="J1163">
        <v>2</v>
      </c>
    </row>
    <row r="1164" spans="7:10">
      <c r="G1164">
        <v>3</v>
      </c>
      <c r="H1164">
        <v>3</v>
      </c>
      <c r="I1164">
        <v>1</v>
      </c>
      <c r="J1164">
        <v>1</v>
      </c>
    </row>
    <row r="1165" spans="7:10">
      <c r="G1165">
        <v>3</v>
      </c>
      <c r="H1165">
        <v>3</v>
      </c>
      <c r="I1165">
        <v>1</v>
      </c>
      <c r="J1165">
        <v>2</v>
      </c>
    </row>
    <row r="1166" spans="7:10">
      <c r="G1166">
        <v>3</v>
      </c>
      <c r="H1166">
        <v>3</v>
      </c>
      <c r="I1166">
        <v>2</v>
      </c>
      <c r="J1166">
        <v>1</v>
      </c>
    </row>
    <row r="1167" spans="7:10">
      <c r="G1167">
        <v>3</v>
      </c>
      <c r="H1167">
        <v>3</v>
      </c>
      <c r="I1167">
        <v>2</v>
      </c>
      <c r="J1167">
        <v>2</v>
      </c>
    </row>
    <row r="1168" spans="7:10">
      <c r="G1168">
        <v>3</v>
      </c>
      <c r="H1168">
        <v>3</v>
      </c>
      <c r="I1168">
        <v>3</v>
      </c>
      <c r="J1168">
        <v>1</v>
      </c>
    </row>
    <row r="1169" spans="7:10">
      <c r="G1169">
        <v>3</v>
      </c>
      <c r="H1169">
        <v>3</v>
      </c>
      <c r="I1169">
        <v>3</v>
      </c>
      <c r="J1169">
        <v>2</v>
      </c>
    </row>
    <row r="1170" spans="7:10">
      <c r="G1170">
        <v>3</v>
      </c>
      <c r="H1170">
        <v>3</v>
      </c>
      <c r="I1170">
        <v>4</v>
      </c>
      <c r="J1170">
        <v>1</v>
      </c>
    </row>
    <row r="1171" spans="7:10">
      <c r="G1171">
        <v>3</v>
      </c>
      <c r="H1171">
        <v>3</v>
      </c>
      <c r="I1171">
        <v>4</v>
      </c>
      <c r="J1171">
        <v>2</v>
      </c>
    </row>
    <row r="1172" spans="7:10">
      <c r="G1172">
        <v>3</v>
      </c>
      <c r="H1172">
        <v>3</v>
      </c>
      <c r="I1172">
        <v>5</v>
      </c>
      <c r="J1172">
        <v>1</v>
      </c>
    </row>
    <row r="1173" spans="7:10">
      <c r="G1173">
        <v>3</v>
      </c>
      <c r="H1173">
        <v>3</v>
      </c>
      <c r="I1173">
        <v>5</v>
      </c>
      <c r="J1173">
        <v>2</v>
      </c>
    </row>
    <row r="1174" spans="7:10">
      <c r="G1174">
        <v>4</v>
      </c>
      <c r="H1174">
        <v>1</v>
      </c>
      <c r="I1174">
        <v>3</v>
      </c>
      <c r="J1174">
        <v>1</v>
      </c>
    </row>
    <row r="1175" spans="7:10">
      <c r="G1175">
        <v>4</v>
      </c>
      <c r="H1175">
        <v>1</v>
      </c>
      <c r="I1175">
        <v>3</v>
      </c>
      <c r="J1175">
        <v>2</v>
      </c>
    </row>
    <row r="1176" spans="7:10">
      <c r="G1176">
        <v>4</v>
      </c>
      <c r="H1176">
        <v>1</v>
      </c>
      <c r="I1176">
        <v>4</v>
      </c>
      <c r="J1176">
        <v>1</v>
      </c>
    </row>
    <row r="1177" spans="7:10">
      <c r="G1177">
        <v>4</v>
      </c>
      <c r="H1177">
        <v>1</v>
      </c>
      <c r="I1177">
        <v>4</v>
      </c>
      <c r="J1177">
        <v>2</v>
      </c>
    </row>
    <row r="1178" spans="7:10">
      <c r="G1178">
        <v>4</v>
      </c>
      <c r="H1178">
        <v>1</v>
      </c>
      <c r="I1178">
        <v>5</v>
      </c>
      <c r="J1178">
        <v>1</v>
      </c>
    </row>
    <row r="1179" spans="7:10">
      <c r="G1179">
        <v>4</v>
      </c>
      <c r="H1179">
        <v>1</v>
      </c>
      <c r="I1179">
        <v>5</v>
      </c>
      <c r="J1179">
        <v>2</v>
      </c>
    </row>
    <row r="1180" spans="7:10">
      <c r="G1180">
        <v>4</v>
      </c>
      <c r="H1180">
        <v>2</v>
      </c>
      <c r="I1180">
        <v>1</v>
      </c>
      <c r="J1180">
        <v>1</v>
      </c>
    </row>
    <row r="1181" spans="7:10">
      <c r="G1181">
        <v>4</v>
      </c>
      <c r="H1181">
        <v>2</v>
      </c>
      <c r="I1181">
        <v>1</v>
      </c>
      <c r="J1181">
        <v>2</v>
      </c>
    </row>
    <row r="1182" spans="7:10">
      <c r="G1182">
        <v>4</v>
      </c>
      <c r="H1182">
        <v>2</v>
      </c>
      <c r="I1182">
        <v>2</v>
      </c>
      <c r="J1182">
        <v>1</v>
      </c>
    </row>
    <row r="1183" spans="7:10">
      <c r="G1183">
        <v>4</v>
      </c>
      <c r="H1183">
        <v>2</v>
      </c>
      <c r="I1183">
        <v>2</v>
      </c>
      <c r="J1183">
        <v>2</v>
      </c>
    </row>
    <row r="1184" spans="7:10">
      <c r="G1184">
        <v>4</v>
      </c>
      <c r="H1184">
        <v>2</v>
      </c>
      <c r="I1184">
        <v>3</v>
      </c>
      <c r="J1184">
        <v>1</v>
      </c>
    </row>
    <row r="1185" spans="7:10">
      <c r="G1185">
        <v>4</v>
      </c>
      <c r="H1185">
        <v>2</v>
      </c>
      <c r="I1185">
        <v>3</v>
      </c>
      <c r="J1185">
        <v>2</v>
      </c>
    </row>
    <row r="1186" spans="7:10">
      <c r="G1186">
        <v>4</v>
      </c>
      <c r="H1186">
        <v>2</v>
      </c>
      <c r="I1186">
        <v>4</v>
      </c>
      <c r="J1186">
        <v>1</v>
      </c>
    </row>
    <row r="1187" spans="7:10">
      <c r="G1187">
        <v>4</v>
      </c>
      <c r="H1187">
        <v>2</v>
      </c>
      <c r="I1187">
        <v>4</v>
      </c>
      <c r="J1187">
        <v>2</v>
      </c>
    </row>
    <row r="1188" spans="7:10">
      <c r="G1188">
        <v>4</v>
      </c>
      <c r="H1188">
        <v>2</v>
      </c>
      <c r="I1188">
        <v>5</v>
      </c>
      <c r="J1188">
        <v>1</v>
      </c>
    </row>
    <row r="1189" spans="7:10">
      <c r="G1189">
        <v>4</v>
      </c>
      <c r="H1189">
        <v>2</v>
      </c>
      <c r="I1189">
        <v>5</v>
      </c>
      <c r="J1189">
        <v>2</v>
      </c>
    </row>
    <row r="1190" spans="7:10">
      <c r="G1190">
        <v>4</v>
      </c>
      <c r="H1190">
        <v>3</v>
      </c>
      <c r="I1190">
        <v>1</v>
      </c>
      <c r="J1190">
        <v>1</v>
      </c>
    </row>
    <row r="1191" spans="7:10">
      <c r="G1191">
        <v>4</v>
      </c>
      <c r="H1191">
        <v>3</v>
      </c>
      <c r="I1191">
        <v>1</v>
      </c>
      <c r="J1191">
        <v>2</v>
      </c>
    </row>
    <row r="1192" spans="7:10">
      <c r="G1192">
        <v>4</v>
      </c>
      <c r="H1192">
        <v>3</v>
      </c>
      <c r="I1192">
        <v>2</v>
      </c>
      <c r="J1192">
        <v>1</v>
      </c>
    </row>
    <row r="1193" spans="7:10">
      <c r="G1193">
        <v>4</v>
      </c>
      <c r="H1193">
        <v>3</v>
      </c>
      <c r="I1193">
        <v>2</v>
      </c>
      <c r="J1193">
        <v>2</v>
      </c>
    </row>
    <row r="1194" spans="7:10">
      <c r="G1194">
        <v>4</v>
      </c>
      <c r="H1194">
        <v>3</v>
      </c>
      <c r="I1194">
        <v>3</v>
      </c>
      <c r="J1194">
        <v>1</v>
      </c>
    </row>
    <row r="1195" spans="7:10">
      <c r="G1195">
        <v>4</v>
      </c>
      <c r="H1195">
        <v>3</v>
      </c>
      <c r="I1195">
        <v>3</v>
      </c>
      <c r="J1195">
        <v>2</v>
      </c>
    </row>
    <row r="1196" spans="7:10">
      <c r="G1196">
        <v>4</v>
      </c>
      <c r="H1196">
        <v>3</v>
      </c>
      <c r="I1196">
        <v>4</v>
      </c>
      <c r="J1196">
        <v>1</v>
      </c>
    </row>
    <row r="1197" spans="7:10">
      <c r="G1197">
        <v>4</v>
      </c>
      <c r="H1197">
        <v>3</v>
      </c>
      <c r="I1197">
        <v>4</v>
      </c>
      <c r="J1197">
        <v>2</v>
      </c>
    </row>
    <row r="1198" spans="7:10">
      <c r="G1198">
        <v>4</v>
      </c>
      <c r="H1198">
        <v>3</v>
      </c>
      <c r="I1198">
        <v>5</v>
      </c>
      <c r="J1198">
        <v>1</v>
      </c>
    </row>
    <row r="1199" spans="7:10">
      <c r="G1199">
        <v>4</v>
      </c>
      <c r="H1199">
        <v>3</v>
      </c>
      <c r="I1199">
        <v>5</v>
      </c>
      <c r="J1199">
        <v>2</v>
      </c>
    </row>
    <row r="1200" spans="7:10">
      <c r="G1200">
        <v>2</v>
      </c>
      <c r="H1200">
        <v>1</v>
      </c>
      <c r="I1200">
        <v>3</v>
      </c>
      <c r="J1200">
        <v>1</v>
      </c>
    </row>
    <row r="1201" spans="7:10">
      <c r="G1201">
        <v>2</v>
      </c>
      <c r="H1201">
        <v>1</v>
      </c>
      <c r="I1201">
        <v>3</v>
      </c>
      <c r="J1201">
        <v>2</v>
      </c>
    </row>
    <row r="1202" spans="7:10">
      <c r="G1202">
        <v>2</v>
      </c>
      <c r="H1202">
        <v>1</v>
      </c>
      <c r="I1202">
        <v>4</v>
      </c>
      <c r="J1202">
        <v>1</v>
      </c>
    </row>
    <row r="1203" spans="7:10">
      <c r="G1203">
        <v>2</v>
      </c>
      <c r="H1203">
        <v>1</v>
      </c>
      <c r="I1203">
        <v>4</v>
      </c>
      <c r="J1203">
        <v>2</v>
      </c>
    </row>
    <row r="1204" spans="7:10">
      <c r="G1204">
        <v>2</v>
      </c>
      <c r="H1204">
        <v>1</v>
      </c>
      <c r="I1204">
        <v>5</v>
      </c>
      <c r="J1204">
        <v>1</v>
      </c>
    </row>
    <row r="1205" spans="7:10">
      <c r="G1205">
        <v>2</v>
      </c>
      <c r="H1205">
        <v>1</v>
      </c>
      <c r="I1205">
        <v>5</v>
      </c>
      <c r="J1205">
        <v>2</v>
      </c>
    </row>
    <row r="1206" spans="7:10">
      <c r="G1206">
        <v>2</v>
      </c>
      <c r="H1206">
        <v>2</v>
      </c>
      <c r="I1206">
        <v>1</v>
      </c>
      <c r="J1206">
        <v>1</v>
      </c>
    </row>
    <row r="1207" spans="7:10">
      <c r="G1207">
        <v>2</v>
      </c>
      <c r="H1207">
        <v>2</v>
      </c>
      <c r="I1207">
        <v>1</v>
      </c>
      <c r="J1207">
        <v>2</v>
      </c>
    </row>
    <row r="1208" spans="7:10">
      <c r="G1208">
        <v>2</v>
      </c>
      <c r="H1208">
        <v>2</v>
      </c>
      <c r="I1208">
        <v>2</v>
      </c>
      <c r="J1208">
        <v>1</v>
      </c>
    </row>
    <row r="1209" spans="7:10">
      <c r="G1209">
        <v>2</v>
      </c>
      <c r="H1209">
        <v>2</v>
      </c>
      <c r="I1209">
        <v>2</v>
      </c>
      <c r="J1209">
        <v>2</v>
      </c>
    </row>
    <row r="1210" spans="7:10">
      <c r="G1210">
        <v>2</v>
      </c>
      <c r="H1210">
        <v>2</v>
      </c>
      <c r="I1210">
        <v>3</v>
      </c>
      <c r="J1210">
        <v>1</v>
      </c>
    </row>
    <row r="1211" spans="7:10">
      <c r="G1211">
        <v>2</v>
      </c>
      <c r="H1211">
        <v>2</v>
      </c>
      <c r="I1211">
        <v>3</v>
      </c>
      <c r="J1211">
        <v>2</v>
      </c>
    </row>
    <row r="1212" spans="7:10">
      <c r="G1212">
        <v>2</v>
      </c>
      <c r="H1212">
        <v>2</v>
      </c>
      <c r="I1212">
        <v>4</v>
      </c>
      <c r="J1212">
        <v>1</v>
      </c>
    </row>
    <row r="1213" spans="7:10">
      <c r="G1213">
        <v>2</v>
      </c>
      <c r="H1213">
        <v>2</v>
      </c>
      <c r="I1213">
        <v>4</v>
      </c>
      <c r="J1213">
        <v>2</v>
      </c>
    </row>
    <row r="1214" spans="7:10">
      <c r="G1214">
        <v>2</v>
      </c>
      <c r="H1214">
        <v>2</v>
      </c>
      <c r="I1214">
        <v>5</v>
      </c>
      <c r="J1214">
        <v>1</v>
      </c>
    </row>
    <row r="1215" spans="7:10">
      <c r="G1215">
        <v>2</v>
      </c>
      <c r="H1215">
        <v>2</v>
      </c>
      <c r="I1215">
        <v>5</v>
      </c>
      <c r="J1215">
        <v>2</v>
      </c>
    </row>
    <row r="1216" spans="7:10">
      <c r="G1216">
        <v>2</v>
      </c>
      <c r="H1216">
        <v>3</v>
      </c>
      <c r="I1216">
        <v>1</v>
      </c>
      <c r="J1216">
        <v>1</v>
      </c>
    </row>
    <row r="1217" spans="7:10">
      <c r="G1217">
        <v>2</v>
      </c>
      <c r="H1217">
        <v>3</v>
      </c>
      <c r="I1217">
        <v>1</v>
      </c>
      <c r="J1217">
        <v>2</v>
      </c>
    </row>
    <row r="1218" spans="7:10">
      <c r="G1218">
        <v>2</v>
      </c>
      <c r="H1218">
        <v>3</v>
      </c>
      <c r="I1218">
        <v>2</v>
      </c>
      <c r="J1218">
        <v>1</v>
      </c>
    </row>
    <row r="1219" spans="7:10">
      <c r="G1219">
        <v>2</v>
      </c>
      <c r="H1219">
        <v>3</v>
      </c>
      <c r="I1219">
        <v>2</v>
      </c>
      <c r="J1219">
        <v>2</v>
      </c>
    </row>
    <row r="1220" spans="7:10">
      <c r="G1220">
        <v>2</v>
      </c>
      <c r="H1220">
        <v>3</v>
      </c>
      <c r="I1220">
        <v>3</v>
      </c>
      <c r="J1220">
        <v>1</v>
      </c>
    </row>
    <row r="1221" spans="7:10">
      <c r="G1221">
        <v>2</v>
      </c>
      <c r="H1221">
        <v>3</v>
      </c>
      <c r="I1221">
        <v>3</v>
      </c>
      <c r="J1221">
        <v>2</v>
      </c>
    </row>
    <row r="1222" spans="7:10">
      <c r="G1222">
        <v>2</v>
      </c>
      <c r="H1222">
        <v>3</v>
      </c>
      <c r="I1222">
        <v>4</v>
      </c>
      <c r="J1222">
        <v>1</v>
      </c>
    </row>
    <row r="1223" spans="7:10">
      <c r="G1223">
        <v>2</v>
      </c>
      <c r="H1223">
        <v>3</v>
      </c>
      <c r="I1223">
        <v>4</v>
      </c>
      <c r="J1223">
        <v>2</v>
      </c>
    </row>
    <row r="1224" spans="7:10">
      <c r="G1224">
        <v>2</v>
      </c>
      <c r="H1224">
        <v>3</v>
      </c>
      <c r="I1224">
        <v>5</v>
      </c>
      <c r="J1224">
        <v>1</v>
      </c>
    </row>
    <row r="1225" spans="7:10">
      <c r="G1225">
        <v>2</v>
      </c>
      <c r="H1225">
        <v>3</v>
      </c>
      <c r="I1225">
        <v>5</v>
      </c>
      <c r="J1225">
        <v>2</v>
      </c>
    </row>
    <row r="1226" spans="7:10">
      <c r="G1226">
        <v>3</v>
      </c>
      <c r="H1226">
        <v>1</v>
      </c>
      <c r="I1226">
        <v>3</v>
      </c>
      <c r="J1226">
        <v>1</v>
      </c>
    </row>
    <row r="1227" spans="7:10">
      <c r="G1227">
        <v>3</v>
      </c>
      <c r="H1227">
        <v>1</v>
      </c>
      <c r="I1227">
        <v>3</v>
      </c>
      <c r="J1227">
        <v>2</v>
      </c>
    </row>
    <row r="1228" spans="7:10">
      <c r="G1228">
        <v>3</v>
      </c>
      <c r="H1228">
        <v>1</v>
      </c>
      <c r="I1228">
        <v>4</v>
      </c>
      <c r="J1228">
        <v>1</v>
      </c>
    </row>
    <row r="1229" spans="7:10">
      <c r="G1229">
        <v>3</v>
      </c>
      <c r="H1229">
        <v>1</v>
      </c>
      <c r="I1229">
        <v>4</v>
      </c>
      <c r="J1229">
        <v>2</v>
      </c>
    </row>
    <row r="1230" spans="7:10">
      <c r="G1230">
        <v>3</v>
      </c>
      <c r="H1230">
        <v>1</v>
      </c>
      <c r="I1230">
        <v>5</v>
      </c>
      <c r="J1230">
        <v>1</v>
      </c>
    </row>
    <row r="1231" spans="7:10">
      <c r="G1231">
        <v>3</v>
      </c>
      <c r="H1231">
        <v>1</v>
      </c>
      <c r="I1231">
        <v>5</v>
      </c>
      <c r="J1231">
        <v>2</v>
      </c>
    </row>
    <row r="1232" spans="7:10">
      <c r="G1232">
        <v>3</v>
      </c>
      <c r="H1232">
        <v>2</v>
      </c>
      <c r="I1232">
        <v>1</v>
      </c>
      <c r="J1232">
        <v>1</v>
      </c>
    </row>
    <row r="1233" spans="7:10">
      <c r="G1233">
        <v>3</v>
      </c>
      <c r="H1233">
        <v>2</v>
      </c>
      <c r="I1233">
        <v>1</v>
      </c>
      <c r="J1233">
        <v>2</v>
      </c>
    </row>
    <row r="1234" spans="7:10">
      <c r="G1234">
        <v>3</v>
      </c>
      <c r="H1234">
        <v>2</v>
      </c>
      <c r="I1234">
        <v>2</v>
      </c>
      <c r="J1234">
        <v>1</v>
      </c>
    </row>
    <row r="1235" spans="7:10">
      <c r="G1235">
        <v>3</v>
      </c>
      <c r="H1235">
        <v>2</v>
      </c>
      <c r="I1235">
        <v>2</v>
      </c>
      <c r="J1235">
        <v>2</v>
      </c>
    </row>
    <row r="1236" spans="7:10">
      <c r="G1236">
        <v>3</v>
      </c>
      <c r="H1236">
        <v>2</v>
      </c>
      <c r="I1236">
        <v>3</v>
      </c>
      <c r="J1236">
        <v>1</v>
      </c>
    </row>
    <row r="1237" spans="7:10">
      <c r="G1237">
        <v>3</v>
      </c>
      <c r="H1237">
        <v>2</v>
      </c>
      <c r="I1237">
        <v>3</v>
      </c>
      <c r="J1237">
        <v>2</v>
      </c>
    </row>
    <row r="1238" spans="7:10">
      <c r="G1238">
        <v>3</v>
      </c>
      <c r="H1238">
        <v>2</v>
      </c>
      <c r="I1238">
        <v>4</v>
      </c>
      <c r="J1238">
        <v>1</v>
      </c>
    </row>
    <row r="1239" spans="7:10">
      <c r="G1239">
        <v>3</v>
      </c>
      <c r="H1239">
        <v>2</v>
      </c>
      <c r="I1239">
        <v>4</v>
      </c>
      <c r="J1239">
        <v>2</v>
      </c>
    </row>
    <row r="1240" spans="7:10">
      <c r="G1240">
        <v>3</v>
      </c>
      <c r="H1240">
        <v>2</v>
      </c>
      <c r="I1240">
        <v>5</v>
      </c>
      <c r="J1240">
        <v>1</v>
      </c>
    </row>
    <row r="1241" spans="7:10">
      <c r="G1241">
        <v>3</v>
      </c>
      <c r="H1241">
        <v>2</v>
      </c>
      <c r="I1241">
        <v>5</v>
      </c>
      <c r="J1241">
        <v>2</v>
      </c>
    </row>
    <row r="1242" spans="7:10">
      <c r="G1242">
        <v>3</v>
      </c>
      <c r="H1242">
        <v>3</v>
      </c>
      <c r="I1242">
        <v>1</v>
      </c>
      <c r="J1242">
        <v>1</v>
      </c>
    </row>
    <row r="1243" spans="7:10">
      <c r="G1243">
        <v>3</v>
      </c>
      <c r="H1243">
        <v>3</v>
      </c>
      <c r="I1243">
        <v>1</v>
      </c>
      <c r="J1243">
        <v>2</v>
      </c>
    </row>
    <row r="1244" spans="7:10">
      <c r="G1244">
        <v>3</v>
      </c>
      <c r="H1244">
        <v>3</v>
      </c>
      <c r="I1244">
        <v>2</v>
      </c>
      <c r="J1244">
        <v>1</v>
      </c>
    </row>
    <row r="1245" spans="7:10">
      <c r="G1245">
        <v>3</v>
      </c>
      <c r="H1245">
        <v>3</v>
      </c>
      <c r="I1245">
        <v>2</v>
      </c>
      <c r="J1245">
        <v>2</v>
      </c>
    </row>
    <row r="1246" spans="7:10">
      <c r="G1246">
        <v>3</v>
      </c>
      <c r="H1246">
        <v>3</v>
      </c>
      <c r="I1246">
        <v>3</v>
      </c>
      <c r="J1246">
        <v>1</v>
      </c>
    </row>
    <row r="1247" spans="7:10">
      <c r="G1247">
        <v>3</v>
      </c>
      <c r="H1247">
        <v>3</v>
      </c>
      <c r="I1247">
        <v>3</v>
      </c>
      <c r="J1247">
        <v>2</v>
      </c>
    </row>
    <row r="1248" spans="7:10">
      <c r="G1248">
        <v>3</v>
      </c>
      <c r="H1248">
        <v>3</v>
      </c>
      <c r="I1248">
        <v>4</v>
      </c>
      <c r="J1248">
        <v>1</v>
      </c>
    </row>
    <row r="1249" spans="7:10">
      <c r="G1249">
        <v>3</v>
      </c>
      <c r="H1249">
        <v>3</v>
      </c>
      <c r="I1249">
        <v>4</v>
      </c>
      <c r="J1249">
        <v>2</v>
      </c>
    </row>
    <row r="1250" spans="7:10">
      <c r="G1250">
        <v>3</v>
      </c>
      <c r="H1250">
        <v>3</v>
      </c>
      <c r="I1250">
        <v>5</v>
      </c>
      <c r="J1250">
        <v>1</v>
      </c>
    </row>
    <row r="1251" spans="7:10">
      <c r="G1251">
        <v>3</v>
      </c>
      <c r="H1251">
        <v>3</v>
      </c>
      <c r="I1251">
        <v>5</v>
      </c>
      <c r="J1251">
        <v>2</v>
      </c>
    </row>
    <row r="1252" spans="7:10">
      <c r="G1252">
        <v>4</v>
      </c>
      <c r="H1252">
        <v>1</v>
      </c>
      <c r="I1252">
        <v>3</v>
      </c>
      <c r="J1252">
        <v>1</v>
      </c>
    </row>
    <row r="1253" spans="7:10">
      <c r="G1253">
        <v>4</v>
      </c>
      <c r="H1253">
        <v>1</v>
      </c>
      <c r="I1253">
        <v>3</v>
      </c>
      <c r="J1253">
        <v>2</v>
      </c>
    </row>
    <row r="1254" spans="7:10">
      <c r="G1254">
        <v>4</v>
      </c>
      <c r="H1254">
        <v>1</v>
      </c>
      <c r="I1254">
        <v>4</v>
      </c>
      <c r="J1254">
        <v>1</v>
      </c>
    </row>
    <row r="1255" spans="7:10">
      <c r="G1255">
        <v>4</v>
      </c>
      <c r="H1255">
        <v>1</v>
      </c>
      <c r="I1255">
        <v>4</v>
      </c>
      <c r="J1255">
        <v>2</v>
      </c>
    </row>
    <row r="1256" spans="7:10">
      <c r="G1256">
        <v>4</v>
      </c>
      <c r="H1256">
        <v>1</v>
      </c>
      <c r="I1256">
        <v>5</v>
      </c>
      <c r="J1256">
        <v>1</v>
      </c>
    </row>
    <row r="1257" spans="7:10">
      <c r="G1257">
        <v>4</v>
      </c>
      <c r="H1257">
        <v>1</v>
      </c>
      <c r="I1257">
        <v>5</v>
      </c>
      <c r="J1257">
        <v>2</v>
      </c>
    </row>
    <row r="1258" spans="7:10">
      <c r="G1258">
        <v>4</v>
      </c>
      <c r="H1258">
        <v>2</v>
      </c>
      <c r="I1258">
        <v>1</v>
      </c>
      <c r="J1258">
        <v>1</v>
      </c>
    </row>
    <row r="1259" spans="7:10">
      <c r="G1259">
        <v>4</v>
      </c>
      <c r="H1259">
        <v>2</v>
      </c>
      <c r="I1259">
        <v>1</v>
      </c>
      <c r="J1259">
        <v>2</v>
      </c>
    </row>
    <row r="1260" spans="7:10">
      <c r="G1260">
        <v>4</v>
      </c>
      <c r="H1260">
        <v>2</v>
      </c>
      <c r="I1260">
        <v>2</v>
      </c>
      <c r="J1260">
        <v>1</v>
      </c>
    </row>
    <row r="1261" spans="7:10">
      <c r="G1261">
        <v>4</v>
      </c>
      <c r="H1261">
        <v>2</v>
      </c>
      <c r="I1261">
        <v>2</v>
      </c>
      <c r="J1261">
        <v>2</v>
      </c>
    </row>
    <row r="1262" spans="7:10">
      <c r="G1262">
        <v>4</v>
      </c>
      <c r="H1262">
        <v>2</v>
      </c>
      <c r="I1262">
        <v>3</v>
      </c>
      <c r="J1262">
        <v>1</v>
      </c>
    </row>
    <row r="1263" spans="7:10">
      <c r="G1263">
        <v>4</v>
      </c>
      <c r="H1263">
        <v>2</v>
      </c>
      <c r="I1263">
        <v>3</v>
      </c>
      <c r="J1263">
        <v>2</v>
      </c>
    </row>
    <row r="1264" spans="7:10">
      <c r="G1264">
        <v>4</v>
      </c>
      <c r="H1264">
        <v>2</v>
      </c>
      <c r="I1264">
        <v>4</v>
      </c>
      <c r="J1264">
        <v>1</v>
      </c>
    </row>
    <row r="1265" spans="7:10">
      <c r="G1265">
        <v>4</v>
      </c>
      <c r="H1265">
        <v>2</v>
      </c>
      <c r="I1265">
        <v>4</v>
      </c>
      <c r="J1265">
        <v>2</v>
      </c>
    </row>
    <row r="1266" spans="7:10">
      <c r="G1266">
        <v>4</v>
      </c>
      <c r="H1266">
        <v>2</v>
      </c>
      <c r="I1266">
        <v>5</v>
      </c>
      <c r="J1266">
        <v>1</v>
      </c>
    </row>
    <row r="1267" spans="7:10">
      <c r="G1267">
        <v>4</v>
      </c>
      <c r="H1267">
        <v>2</v>
      </c>
      <c r="I1267">
        <v>5</v>
      </c>
      <c r="J1267">
        <v>2</v>
      </c>
    </row>
    <row r="1268" spans="7:10">
      <c r="G1268">
        <v>4</v>
      </c>
      <c r="H1268">
        <v>3</v>
      </c>
      <c r="I1268">
        <v>1</v>
      </c>
      <c r="J1268">
        <v>1</v>
      </c>
    </row>
    <row r="1269" spans="7:10">
      <c r="G1269">
        <v>4</v>
      </c>
      <c r="H1269">
        <v>3</v>
      </c>
      <c r="I1269">
        <v>1</v>
      </c>
      <c r="J1269">
        <v>2</v>
      </c>
    </row>
    <row r="1270" spans="7:10">
      <c r="G1270">
        <v>4</v>
      </c>
      <c r="H1270">
        <v>3</v>
      </c>
      <c r="I1270">
        <v>2</v>
      </c>
      <c r="J1270">
        <v>1</v>
      </c>
    </row>
    <row r="1271" spans="7:10">
      <c r="G1271">
        <v>4</v>
      </c>
      <c r="H1271">
        <v>3</v>
      </c>
      <c r="I1271">
        <v>2</v>
      </c>
      <c r="J1271">
        <v>2</v>
      </c>
    </row>
    <row r="1272" spans="7:10">
      <c r="G1272">
        <v>4</v>
      </c>
      <c r="H1272">
        <v>3</v>
      </c>
      <c r="I1272">
        <v>3</v>
      </c>
      <c r="J1272">
        <v>1</v>
      </c>
    </row>
    <row r="1273" spans="7:10">
      <c r="G1273">
        <v>4</v>
      </c>
      <c r="H1273">
        <v>3</v>
      </c>
      <c r="I1273">
        <v>3</v>
      </c>
      <c r="J1273">
        <v>2</v>
      </c>
    </row>
    <row r="1274" spans="7:10">
      <c r="G1274">
        <v>4</v>
      </c>
      <c r="H1274">
        <v>3</v>
      </c>
      <c r="I1274">
        <v>4</v>
      </c>
      <c r="J1274">
        <v>1</v>
      </c>
    </row>
    <row r="1275" spans="7:10">
      <c r="G1275">
        <v>4</v>
      </c>
      <c r="H1275">
        <v>3</v>
      </c>
      <c r="I1275">
        <v>4</v>
      </c>
      <c r="J1275">
        <v>2</v>
      </c>
    </row>
    <row r="1276" spans="7:10">
      <c r="G1276">
        <v>4</v>
      </c>
      <c r="H1276">
        <v>3</v>
      </c>
      <c r="I1276">
        <v>5</v>
      </c>
      <c r="J1276">
        <v>1</v>
      </c>
    </row>
    <row r="1277" spans="7:10">
      <c r="G1277">
        <v>4</v>
      </c>
      <c r="H1277">
        <v>3</v>
      </c>
      <c r="I1277">
        <v>5</v>
      </c>
      <c r="J1277">
        <v>2</v>
      </c>
    </row>
    <row r="1278" spans="7:10">
      <c r="G1278">
        <v>1</v>
      </c>
      <c r="H1278">
        <v>2</v>
      </c>
      <c r="I1278">
        <v>1</v>
      </c>
      <c r="J1278">
        <v>1</v>
      </c>
    </row>
    <row r="1279" spans="7:10">
      <c r="G1279">
        <v>1</v>
      </c>
      <c r="H1279">
        <v>2</v>
      </c>
      <c r="I1279">
        <v>1</v>
      </c>
      <c r="J1279">
        <v>2</v>
      </c>
    </row>
    <row r="1280" spans="7:10">
      <c r="G1280">
        <v>1</v>
      </c>
      <c r="H1280">
        <v>2</v>
      </c>
      <c r="I1280">
        <v>2</v>
      </c>
      <c r="J1280">
        <v>1</v>
      </c>
    </row>
    <row r="1281" spans="7:10">
      <c r="G1281">
        <v>1</v>
      </c>
      <c r="H1281">
        <v>2</v>
      </c>
      <c r="I1281">
        <v>2</v>
      </c>
      <c r="J1281">
        <v>2</v>
      </c>
    </row>
    <row r="1282" spans="7:10">
      <c r="G1282">
        <v>1</v>
      </c>
      <c r="H1282">
        <v>2</v>
      </c>
      <c r="I1282">
        <v>3</v>
      </c>
      <c r="J1282">
        <v>1</v>
      </c>
    </row>
    <row r="1283" spans="7:10">
      <c r="G1283">
        <v>1</v>
      </c>
      <c r="H1283">
        <v>2</v>
      </c>
      <c r="I1283">
        <v>3</v>
      </c>
      <c r="J1283">
        <v>2</v>
      </c>
    </row>
    <row r="1284" spans="7:10">
      <c r="G1284">
        <v>1</v>
      </c>
      <c r="H1284">
        <v>2</v>
      </c>
      <c r="I1284">
        <v>4</v>
      </c>
      <c r="J1284">
        <v>1</v>
      </c>
    </row>
    <row r="1285" spans="7:10">
      <c r="G1285">
        <v>1</v>
      </c>
      <c r="H1285">
        <v>2</v>
      </c>
      <c r="I1285">
        <v>4</v>
      </c>
      <c r="J1285">
        <v>2</v>
      </c>
    </row>
    <row r="1286" spans="7:10">
      <c r="G1286">
        <v>1</v>
      </c>
      <c r="H1286">
        <v>2</v>
      </c>
      <c r="I1286">
        <v>5</v>
      </c>
      <c r="J1286">
        <v>1</v>
      </c>
    </row>
    <row r="1287" spans="7:10">
      <c r="G1287">
        <v>1</v>
      </c>
      <c r="H1287">
        <v>2</v>
      </c>
      <c r="I1287">
        <v>5</v>
      </c>
      <c r="J1287">
        <v>2</v>
      </c>
    </row>
    <row r="1288" spans="7:10">
      <c r="G1288">
        <v>1</v>
      </c>
      <c r="H1288">
        <v>3</v>
      </c>
      <c r="I1288">
        <v>1</v>
      </c>
      <c r="J1288">
        <v>1</v>
      </c>
    </row>
    <row r="1289" spans="7:10">
      <c r="G1289">
        <v>1</v>
      </c>
      <c r="H1289">
        <v>3</v>
      </c>
      <c r="I1289">
        <v>1</v>
      </c>
      <c r="J1289">
        <v>2</v>
      </c>
    </row>
    <row r="1290" spans="7:10">
      <c r="G1290">
        <v>1</v>
      </c>
      <c r="H1290">
        <v>3</v>
      </c>
      <c r="I1290">
        <v>2</v>
      </c>
      <c r="J1290">
        <v>1</v>
      </c>
    </row>
    <row r="1291" spans="7:10">
      <c r="G1291">
        <v>1</v>
      </c>
      <c r="H1291">
        <v>3</v>
      </c>
      <c r="I1291">
        <v>2</v>
      </c>
      <c r="J1291">
        <v>2</v>
      </c>
    </row>
    <row r="1292" spans="7:10">
      <c r="G1292">
        <v>1</v>
      </c>
      <c r="H1292">
        <v>3</v>
      </c>
      <c r="I1292">
        <v>3</v>
      </c>
      <c r="J1292">
        <v>1</v>
      </c>
    </row>
    <row r="1293" spans="7:10">
      <c r="G1293">
        <v>1</v>
      </c>
      <c r="H1293">
        <v>3</v>
      </c>
      <c r="I1293">
        <v>3</v>
      </c>
      <c r="J1293">
        <v>2</v>
      </c>
    </row>
    <row r="1294" spans="7:10">
      <c r="G1294">
        <v>1</v>
      </c>
      <c r="H1294">
        <v>3</v>
      </c>
      <c r="I1294">
        <v>4</v>
      </c>
      <c r="J1294">
        <v>1</v>
      </c>
    </row>
    <row r="1295" spans="7:10">
      <c r="G1295">
        <v>1</v>
      </c>
      <c r="H1295">
        <v>3</v>
      </c>
      <c r="I1295">
        <v>4</v>
      </c>
      <c r="J1295">
        <v>2</v>
      </c>
    </row>
    <row r="1296" spans="7:10">
      <c r="G1296">
        <v>1</v>
      </c>
      <c r="H1296">
        <v>3</v>
      </c>
      <c r="I1296">
        <v>5</v>
      </c>
      <c r="J1296">
        <v>1</v>
      </c>
    </row>
    <row r="1297" spans="7:10">
      <c r="G1297">
        <v>1</v>
      </c>
      <c r="H1297">
        <v>3</v>
      </c>
      <c r="I1297">
        <v>5</v>
      </c>
      <c r="J1297">
        <v>2</v>
      </c>
    </row>
    <row r="1298" spans="7:10">
      <c r="G1298">
        <v>2</v>
      </c>
      <c r="H1298">
        <v>1</v>
      </c>
      <c r="I1298">
        <v>3</v>
      </c>
      <c r="J1298">
        <v>1</v>
      </c>
    </row>
    <row r="1299" spans="7:10">
      <c r="G1299">
        <v>2</v>
      </c>
      <c r="H1299">
        <v>1</v>
      </c>
      <c r="I1299">
        <v>3</v>
      </c>
      <c r="J1299">
        <v>2</v>
      </c>
    </row>
    <row r="1300" spans="7:10">
      <c r="G1300">
        <v>2</v>
      </c>
      <c r="H1300">
        <v>1</v>
      </c>
      <c r="I1300">
        <v>4</v>
      </c>
      <c r="J1300">
        <v>1</v>
      </c>
    </row>
    <row r="1301" spans="7:10">
      <c r="G1301">
        <v>2</v>
      </c>
      <c r="H1301">
        <v>1</v>
      </c>
      <c r="I1301">
        <v>4</v>
      </c>
      <c r="J1301">
        <v>2</v>
      </c>
    </row>
    <row r="1302" spans="7:10">
      <c r="G1302">
        <v>2</v>
      </c>
      <c r="H1302">
        <v>1</v>
      </c>
      <c r="I1302">
        <v>5</v>
      </c>
      <c r="J1302">
        <v>1</v>
      </c>
    </row>
    <row r="1303" spans="7:10">
      <c r="G1303">
        <v>2</v>
      </c>
      <c r="H1303">
        <v>1</v>
      </c>
      <c r="I1303">
        <v>5</v>
      </c>
      <c r="J1303">
        <v>2</v>
      </c>
    </row>
    <row r="1304" spans="7:10">
      <c r="G1304">
        <v>2</v>
      </c>
      <c r="H1304">
        <v>2</v>
      </c>
      <c r="I1304">
        <v>1</v>
      </c>
      <c r="J1304">
        <v>1</v>
      </c>
    </row>
    <row r="1305" spans="7:10">
      <c r="G1305">
        <v>2</v>
      </c>
      <c r="H1305">
        <v>2</v>
      </c>
      <c r="I1305">
        <v>1</v>
      </c>
      <c r="J1305">
        <v>2</v>
      </c>
    </row>
    <row r="1306" spans="7:10">
      <c r="G1306">
        <v>2</v>
      </c>
      <c r="H1306">
        <v>2</v>
      </c>
      <c r="I1306">
        <v>2</v>
      </c>
      <c r="J1306">
        <v>1</v>
      </c>
    </row>
    <row r="1307" spans="7:10">
      <c r="G1307">
        <v>2</v>
      </c>
      <c r="H1307">
        <v>2</v>
      </c>
      <c r="I1307">
        <v>2</v>
      </c>
      <c r="J1307">
        <v>2</v>
      </c>
    </row>
    <row r="1308" spans="7:10">
      <c r="G1308">
        <v>2</v>
      </c>
      <c r="H1308">
        <v>2</v>
      </c>
      <c r="I1308">
        <v>3</v>
      </c>
      <c r="J1308">
        <v>1</v>
      </c>
    </row>
    <row r="1309" spans="7:10">
      <c r="G1309">
        <v>2</v>
      </c>
      <c r="H1309">
        <v>2</v>
      </c>
      <c r="I1309">
        <v>3</v>
      </c>
      <c r="J1309">
        <v>2</v>
      </c>
    </row>
    <row r="1310" spans="7:10">
      <c r="G1310">
        <v>2</v>
      </c>
      <c r="H1310">
        <v>2</v>
      </c>
      <c r="I1310">
        <v>4</v>
      </c>
      <c r="J1310">
        <v>1</v>
      </c>
    </row>
    <row r="1311" spans="7:10">
      <c r="G1311">
        <v>2</v>
      </c>
      <c r="H1311">
        <v>2</v>
      </c>
      <c r="I1311">
        <v>4</v>
      </c>
      <c r="J1311">
        <v>2</v>
      </c>
    </row>
    <row r="1312" spans="7:10">
      <c r="G1312">
        <v>2</v>
      </c>
      <c r="H1312">
        <v>2</v>
      </c>
      <c r="I1312">
        <v>5</v>
      </c>
      <c r="J1312">
        <v>1</v>
      </c>
    </row>
    <row r="1313" spans="7:10">
      <c r="G1313">
        <v>2</v>
      </c>
      <c r="H1313">
        <v>2</v>
      </c>
      <c r="I1313">
        <v>5</v>
      </c>
      <c r="J1313">
        <v>2</v>
      </c>
    </row>
    <row r="1314" spans="7:10">
      <c r="G1314">
        <v>2</v>
      </c>
      <c r="H1314">
        <v>3</v>
      </c>
      <c r="I1314">
        <v>1</v>
      </c>
      <c r="J1314">
        <v>1</v>
      </c>
    </row>
    <row r="1315" spans="7:10">
      <c r="G1315">
        <v>2</v>
      </c>
      <c r="H1315">
        <v>3</v>
      </c>
      <c r="I1315">
        <v>1</v>
      </c>
      <c r="J1315">
        <v>2</v>
      </c>
    </row>
    <row r="1316" spans="7:10">
      <c r="G1316">
        <v>2</v>
      </c>
      <c r="H1316">
        <v>3</v>
      </c>
      <c r="I1316">
        <v>2</v>
      </c>
      <c r="J1316">
        <v>1</v>
      </c>
    </row>
    <row r="1317" spans="7:10">
      <c r="G1317">
        <v>2</v>
      </c>
      <c r="H1317">
        <v>3</v>
      </c>
      <c r="I1317">
        <v>2</v>
      </c>
      <c r="J1317">
        <v>2</v>
      </c>
    </row>
    <row r="1318" spans="7:10">
      <c r="G1318">
        <v>2</v>
      </c>
      <c r="H1318">
        <v>3</v>
      </c>
      <c r="I1318">
        <v>3</v>
      </c>
      <c r="J1318">
        <v>1</v>
      </c>
    </row>
    <row r="1319" spans="7:10">
      <c r="G1319">
        <v>2</v>
      </c>
      <c r="H1319">
        <v>3</v>
      </c>
      <c r="I1319">
        <v>3</v>
      </c>
      <c r="J1319">
        <v>2</v>
      </c>
    </row>
    <row r="1320" spans="7:10">
      <c r="G1320">
        <v>2</v>
      </c>
      <c r="H1320">
        <v>3</v>
      </c>
      <c r="I1320">
        <v>4</v>
      </c>
      <c r="J1320">
        <v>1</v>
      </c>
    </row>
    <row r="1321" spans="7:10">
      <c r="G1321">
        <v>2</v>
      </c>
      <c r="H1321">
        <v>3</v>
      </c>
      <c r="I1321">
        <v>4</v>
      </c>
      <c r="J1321">
        <v>2</v>
      </c>
    </row>
    <row r="1322" spans="7:10">
      <c r="G1322">
        <v>2</v>
      </c>
      <c r="H1322">
        <v>3</v>
      </c>
      <c r="I1322">
        <v>5</v>
      </c>
      <c r="J1322">
        <v>1</v>
      </c>
    </row>
    <row r="1323" spans="7:10">
      <c r="G1323">
        <v>2</v>
      </c>
      <c r="H1323">
        <v>3</v>
      </c>
      <c r="I1323">
        <v>5</v>
      </c>
      <c r="J1323">
        <v>2</v>
      </c>
    </row>
    <row r="1324" spans="7:10">
      <c r="G1324">
        <v>3</v>
      </c>
      <c r="H1324">
        <v>1</v>
      </c>
      <c r="I1324">
        <v>3</v>
      </c>
      <c r="J1324">
        <v>1</v>
      </c>
    </row>
    <row r="1325" spans="7:10">
      <c r="G1325">
        <v>3</v>
      </c>
      <c r="H1325">
        <v>1</v>
      </c>
      <c r="I1325">
        <v>3</v>
      </c>
      <c r="J1325">
        <v>2</v>
      </c>
    </row>
    <row r="1326" spans="7:10">
      <c r="G1326">
        <v>3</v>
      </c>
      <c r="H1326">
        <v>1</v>
      </c>
      <c r="I1326">
        <v>4</v>
      </c>
      <c r="J1326">
        <v>1</v>
      </c>
    </row>
    <row r="1327" spans="7:10">
      <c r="G1327">
        <v>3</v>
      </c>
      <c r="H1327">
        <v>1</v>
      </c>
      <c r="I1327">
        <v>4</v>
      </c>
      <c r="J1327">
        <v>2</v>
      </c>
    </row>
    <row r="1328" spans="7:10">
      <c r="G1328">
        <v>3</v>
      </c>
      <c r="H1328">
        <v>1</v>
      </c>
      <c r="I1328">
        <v>5</v>
      </c>
      <c r="J1328">
        <v>1</v>
      </c>
    </row>
    <row r="1329" spans="7:10">
      <c r="G1329">
        <v>3</v>
      </c>
      <c r="H1329">
        <v>1</v>
      </c>
      <c r="I1329">
        <v>5</v>
      </c>
      <c r="J1329">
        <v>2</v>
      </c>
    </row>
    <row r="1330" spans="7:10">
      <c r="G1330">
        <v>3</v>
      </c>
      <c r="H1330">
        <v>2</v>
      </c>
      <c r="I1330">
        <v>1</v>
      </c>
      <c r="J1330">
        <v>1</v>
      </c>
    </row>
    <row r="1331" spans="7:10">
      <c r="G1331">
        <v>3</v>
      </c>
      <c r="H1331">
        <v>2</v>
      </c>
      <c r="I1331">
        <v>1</v>
      </c>
      <c r="J1331">
        <v>2</v>
      </c>
    </row>
    <row r="1332" spans="7:10">
      <c r="G1332">
        <v>3</v>
      </c>
      <c r="H1332">
        <v>2</v>
      </c>
      <c r="I1332">
        <v>2</v>
      </c>
      <c r="J1332">
        <v>1</v>
      </c>
    </row>
    <row r="1333" spans="7:10">
      <c r="G1333">
        <v>3</v>
      </c>
      <c r="H1333">
        <v>2</v>
      </c>
      <c r="I1333">
        <v>2</v>
      </c>
      <c r="J1333">
        <v>2</v>
      </c>
    </row>
    <row r="1334" spans="7:10">
      <c r="G1334">
        <v>3</v>
      </c>
      <c r="H1334">
        <v>2</v>
      </c>
      <c r="I1334">
        <v>3</v>
      </c>
      <c r="J1334">
        <v>1</v>
      </c>
    </row>
    <row r="1335" spans="7:10">
      <c r="G1335">
        <v>3</v>
      </c>
      <c r="H1335">
        <v>2</v>
      </c>
      <c r="I1335">
        <v>3</v>
      </c>
      <c r="J1335">
        <v>2</v>
      </c>
    </row>
    <row r="1336" spans="7:10">
      <c r="G1336">
        <v>3</v>
      </c>
      <c r="H1336">
        <v>2</v>
      </c>
      <c r="I1336">
        <v>4</v>
      </c>
      <c r="J1336">
        <v>1</v>
      </c>
    </row>
    <row r="1337" spans="7:10">
      <c r="G1337">
        <v>3</v>
      </c>
      <c r="H1337">
        <v>2</v>
      </c>
      <c r="I1337">
        <v>4</v>
      </c>
      <c r="J1337">
        <v>2</v>
      </c>
    </row>
    <row r="1338" spans="7:10">
      <c r="G1338">
        <v>3</v>
      </c>
      <c r="H1338">
        <v>2</v>
      </c>
      <c r="I1338">
        <v>5</v>
      </c>
      <c r="J1338">
        <v>1</v>
      </c>
    </row>
    <row r="1339" spans="7:10">
      <c r="G1339">
        <v>3</v>
      </c>
      <c r="H1339">
        <v>2</v>
      </c>
      <c r="I1339">
        <v>5</v>
      </c>
      <c r="J1339">
        <v>2</v>
      </c>
    </row>
    <row r="1340" spans="7:10">
      <c r="G1340">
        <v>3</v>
      </c>
      <c r="H1340">
        <v>3</v>
      </c>
      <c r="I1340">
        <v>1</v>
      </c>
      <c r="J1340">
        <v>1</v>
      </c>
    </row>
    <row r="1341" spans="7:10">
      <c r="G1341">
        <v>3</v>
      </c>
      <c r="H1341">
        <v>3</v>
      </c>
      <c r="I1341">
        <v>1</v>
      </c>
      <c r="J1341">
        <v>2</v>
      </c>
    </row>
    <row r="1342" spans="7:10">
      <c r="G1342">
        <v>3</v>
      </c>
      <c r="H1342">
        <v>3</v>
      </c>
      <c r="I1342">
        <v>2</v>
      </c>
      <c r="J1342">
        <v>1</v>
      </c>
    </row>
    <row r="1343" spans="7:10">
      <c r="G1343">
        <v>3</v>
      </c>
      <c r="H1343">
        <v>3</v>
      </c>
      <c r="I1343">
        <v>2</v>
      </c>
      <c r="J1343">
        <v>2</v>
      </c>
    </row>
    <row r="1344" spans="7:10">
      <c r="G1344">
        <v>3</v>
      </c>
      <c r="H1344">
        <v>3</v>
      </c>
      <c r="I1344">
        <v>3</v>
      </c>
      <c r="J1344">
        <v>1</v>
      </c>
    </row>
    <row r="1345" spans="7:11">
      <c r="G1345">
        <v>3</v>
      </c>
      <c r="H1345">
        <v>3</v>
      </c>
      <c r="I1345">
        <v>3</v>
      </c>
      <c r="J1345">
        <v>2</v>
      </c>
    </row>
    <row r="1346" spans="7:11">
      <c r="G1346">
        <v>3</v>
      </c>
      <c r="H1346">
        <v>3</v>
      </c>
      <c r="I1346">
        <v>4</v>
      </c>
      <c r="J1346">
        <v>1</v>
      </c>
    </row>
    <row r="1347" spans="7:11">
      <c r="G1347">
        <v>3</v>
      </c>
      <c r="H1347">
        <v>3</v>
      </c>
      <c r="I1347">
        <v>4</v>
      </c>
      <c r="J1347">
        <v>2</v>
      </c>
    </row>
    <row r="1348" spans="7:11">
      <c r="G1348">
        <v>3</v>
      </c>
      <c r="H1348">
        <v>3</v>
      </c>
      <c r="I1348">
        <v>5</v>
      </c>
      <c r="J1348">
        <v>1</v>
      </c>
    </row>
    <row r="1349" spans="7:11">
      <c r="G1349">
        <v>3</v>
      </c>
      <c r="H1349">
        <v>3</v>
      </c>
      <c r="I1349">
        <v>5</v>
      </c>
      <c r="J1349">
        <v>2</v>
      </c>
    </row>
    <row r="1350" spans="7:11">
      <c r="G1350">
        <v>4</v>
      </c>
      <c r="H1350">
        <v>1</v>
      </c>
      <c r="I1350">
        <v>3</v>
      </c>
      <c r="J1350">
        <v>1</v>
      </c>
    </row>
    <row r="1351" spans="7:11">
      <c r="G1351">
        <v>4</v>
      </c>
      <c r="H1351">
        <v>1</v>
      </c>
      <c r="I1351">
        <v>3</v>
      </c>
      <c r="J1351">
        <v>2</v>
      </c>
    </row>
    <row r="1352" spans="7:11">
      <c r="G1352">
        <v>4</v>
      </c>
      <c r="H1352">
        <v>1</v>
      </c>
      <c r="I1352">
        <v>4</v>
      </c>
      <c r="J1352">
        <v>1</v>
      </c>
    </row>
    <row r="1353" spans="7:11">
      <c r="G1353">
        <v>4</v>
      </c>
      <c r="H1353">
        <v>1</v>
      </c>
      <c r="I1353">
        <v>4</v>
      </c>
      <c r="J1353">
        <v>2</v>
      </c>
    </row>
    <row r="1354" spans="7:11">
      <c r="G1354">
        <v>4</v>
      </c>
      <c r="H1354">
        <v>1</v>
      </c>
      <c r="I1354">
        <v>5</v>
      </c>
      <c r="J1354">
        <v>1</v>
      </c>
    </row>
    <row r="1355" spans="7:11">
      <c r="G1355">
        <v>4</v>
      </c>
      <c r="H1355">
        <v>1</v>
      </c>
      <c r="I1355">
        <v>5</v>
      </c>
      <c r="J1355">
        <v>2</v>
      </c>
    </row>
    <row r="1356" spans="7:11">
      <c r="G1356">
        <v>4</v>
      </c>
      <c r="H1356">
        <v>2</v>
      </c>
      <c r="I1356">
        <v>1</v>
      </c>
      <c r="J1356">
        <v>1</v>
      </c>
      <c r="K1356">
        <v>1</v>
      </c>
    </row>
    <row r="1357" spans="7:11">
      <c r="G1357">
        <v>4</v>
      </c>
      <c r="H1357">
        <v>2</v>
      </c>
      <c r="I1357">
        <v>1</v>
      </c>
      <c r="J1357">
        <v>2</v>
      </c>
      <c r="K1357">
        <v>2</v>
      </c>
    </row>
    <row r="1358" spans="7:11">
      <c r="G1358">
        <v>4</v>
      </c>
      <c r="H1358">
        <v>2</v>
      </c>
      <c r="I1358">
        <v>2</v>
      </c>
      <c r="J1358">
        <v>1</v>
      </c>
      <c r="K1358">
        <v>1</v>
      </c>
    </row>
    <row r="1359" spans="7:11">
      <c r="G1359">
        <v>4</v>
      </c>
      <c r="H1359">
        <v>2</v>
      </c>
      <c r="I1359">
        <v>2</v>
      </c>
      <c r="J1359">
        <v>2</v>
      </c>
      <c r="K1359">
        <v>2</v>
      </c>
    </row>
    <row r="1360" spans="7:11">
      <c r="G1360">
        <v>4</v>
      </c>
      <c r="H1360">
        <v>2</v>
      </c>
      <c r="I1360">
        <v>3</v>
      </c>
      <c r="J1360">
        <v>1</v>
      </c>
      <c r="K1360">
        <v>1</v>
      </c>
    </row>
    <row r="1361" spans="7:11">
      <c r="G1361">
        <v>4</v>
      </c>
      <c r="H1361">
        <v>2</v>
      </c>
      <c r="I1361">
        <v>3</v>
      </c>
      <c r="J1361">
        <v>2</v>
      </c>
      <c r="K1361">
        <v>2</v>
      </c>
    </row>
    <row r="1362" spans="7:11">
      <c r="G1362">
        <v>4</v>
      </c>
      <c r="H1362">
        <v>2</v>
      </c>
      <c r="I1362">
        <v>4</v>
      </c>
      <c r="J1362">
        <v>1</v>
      </c>
      <c r="K1362">
        <v>1</v>
      </c>
    </row>
    <row r="1363" spans="7:11">
      <c r="G1363">
        <v>4</v>
      </c>
      <c r="H1363">
        <v>2</v>
      </c>
      <c r="I1363">
        <v>4</v>
      </c>
      <c r="J1363">
        <v>2</v>
      </c>
      <c r="K1363">
        <v>2</v>
      </c>
    </row>
    <row r="1364" spans="7:11">
      <c r="G1364">
        <v>4</v>
      </c>
      <c r="H1364">
        <v>2</v>
      </c>
      <c r="I1364">
        <v>5</v>
      </c>
      <c r="J1364">
        <v>1</v>
      </c>
      <c r="K1364">
        <v>1</v>
      </c>
    </row>
    <row r="1365" spans="7:11">
      <c r="G1365">
        <v>4</v>
      </c>
      <c r="H1365">
        <v>2</v>
      </c>
      <c r="I1365">
        <v>5</v>
      </c>
      <c r="J1365">
        <v>2</v>
      </c>
      <c r="K1365">
        <v>2</v>
      </c>
    </row>
    <row r="1366" spans="7:11">
      <c r="G1366">
        <v>4</v>
      </c>
      <c r="H1366">
        <v>3</v>
      </c>
      <c r="I1366">
        <v>1</v>
      </c>
      <c r="J1366">
        <v>1</v>
      </c>
      <c r="K1366">
        <v>1</v>
      </c>
    </row>
    <row r="1367" spans="7:11">
      <c r="G1367">
        <v>4</v>
      </c>
      <c r="H1367">
        <v>3</v>
      </c>
      <c r="I1367">
        <v>1</v>
      </c>
      <c r="J1367">
        <v>2</v>
      </c>
      <c r="K1367">
        <v>2</v>
      </c>
    </row>
    <row r="1368" spans="7:11">
      <c r="G1368">
        <v>4</v>
      </c>
      <c r="H1368">
        <v>3</v>
      </c>
      <c r="I1368">
        <v>2</v>
      </c>
      <c r="J1368">
        <v>1</v>
      </c>
      <c r="K1368">
        <v>1</v>
      </c>
    </row>
    <row r="1369" spans="7:11">
      <c r="G1369">
        <v>4</v>
      </c>
      <c r="H1369">
        <v>3</v>
      </c>
      <c r="I1369">
        <v>2</v>
      </c>
      <c r="J1369">
        <v>2</v>
      </c>
      <c r="K1369">
        <v>2</v>
      </c>
    </row>
    <row r="1370" spans="7:11">
      <c r="G1370">
        <v>4</v>
      </c>
      <c r="H1370">
        <v>3</v>
      </c>
      <c r="I1370">
        <v>3</v>
      </c>
      <c r="J1370">
        <v>1</v>
      </c>
      <c r="K1370">
        <v>1</v>
      </c>
    </row>
    <row r="1371" spans="7:11">
      <c r="G1371">
        <v>4</v>
      </c>
      <c r="H1371">
        <v>3</v>
      </c>
      <c r="I1371">
        <v>3</v>
      </c>
      <c r="J1371">
        <v>2</v>
      </c>
      <c r="K1371">
        <v>2</v>
      </c>
    </row>
    <row r="1372" spans="7:11">
      <c r="G1372">
        <v>4</v>
      </c>
      <c r="H1372">
        <v>3</v>
      </c>
      <c r="I1372">
        <v>4</v>
      </c>
      <c r="J1372">
        <v>1</v>
      </c>
      <c r="K1372">
        <v>1</v>
      </c>
    </row>
    <row r="1373" spans="7:11">
      <c r="G1373">
        <v>4</v>
      </c>
      <c r="H1373">
        <v>3</v>
      </c>
      <c r="I1373">
        <v>4</v>
      </c>
      <c r="J1373">
        <v>2</v>
      </c>
      <c r="K1373">
        <v>2</v>
      </c>
    </row>
    <row r="1374" spans="7:11">
      <c r="G1374">
        <v>4</v>
      </c>
      <c r="H1374">
        <v>3</v>
      </c>
      <c r="I1374">
        <v>5</v>
      </c>
      <c r="J1374">
        <v>1</v>
      </c>
      <c r="K1374">
        <v>1</v>
      </c>
    </row>
    <row r="1375" spans="7:11">
      <c r="G1375">
        <v>4</v>
      </c>
      <c r="H1375">
        <v>3</v>
      </c>
      <c r="I1375">
        <v>5</v>
      </c>
      <c r="J1375">
        <v>2</v>
      </c>
      <c r="K1375">
        <v>2</v>
      </c>
    </row>
    <row r="1376" spans="7:11">
      <c r="G1376">
        <v>1</v>
      </c>
      <c r="H1376">
        <v>2</v>
      </c>
      <c r="I1376">
        <v>1</v>
      </c>
      <c r="J1376">
        <v>1</v>
      </c>
      <c r="K1376">
        <v>1</v>
      </c>
    </row>
    <row r="1377" spans="7:11">
      <c r="G1377">
        <v>1</v>
      </c>
      <c r="H1377">
        <v>2</v>
      </c>
      <c r="I1377">
        <v>1</v>
      </c>
      <c r="J1377">
        <v>2</v>
      </c>
      <c r="K1377">
        <v>2</v>
      </c>
    </row>
    <row r="1378" spans="7:11">
      <c r="G1378">
        <v>1</v>
      </c>
      <c r="H1378">
        <v>2</v>
      </c>
      <c r="I1378">
        <v>2</v>
      </c>
      <c r="J1378">
        <v>1</v>
      </c>
      <c r="K1378">
        <v>1</v>
      </c>
    </row>
    <row r="1379" spans="7:11">
      <c r="G1379">
        <v>1</v>
      </c>
      <c r="H1379">
        <v>2</v>
      </c>
      <c r="I1379">
        <v>2</v>
      </c>
      <c r="J1379">
        <v>2</v>
      </c>
      <c r="K1379">
        <v>2</v>
      </c>
    </row>
    <row r="1380" spans="7:11">
      <c r="G1380">
        <v>1</v>
      </c>
      <c r="H1380">
        <v>2</v>
      </c>
      <c r="I1380">
        <v>3</v>
      </c>
      <c r="J1380">
        <v>1</v>
      </c>
      <c r="K1380">
        <v>1</v>
      </c>
    </row>
    <row r="1381" spans="7:11">
      <c r="G1381">
        <v>1</v>
      </c>
      <c r="H1381">
        <v>2</v>
      </c>
      <c r="I1381">
        <v>3</v>
      </c>
      <c r="J1381">
        <v>2</v>
      </c>
      <c r="K1381">
        <v>2</v>
      </c>
    </row>
    <row r="1382" spans="7:11">
      <c r="G1382">
        <v>1</v>
      </c>
      <c r="H1382">
        <v>2</v>
      </c>
      <c r="I1382">
        <v>4</v>
      </c>
      <c r="J1382">
        <v>1</v>
      </c>
      <c r="K1382">
        <v>1</v>
      </c>
    </row>
    <row r="1383" spans="7:11">
      <c r="G1383">
        <v>1</v>
      </c>
      <c r="H1383">
        <v>2</v>
      </c>
      <c r="I1383">
        <v>4</v>
      </c>
      <c r="J1383">
        <v>2</v>
      </c>
      <c r="K1383">
        <v>2</v>
      </c>
    </row>
    <row r="1384" spans="7:11">
      <c r="G1384">
        <v>1</v>
      </c>
      <c r="H1384">
        <v>2</v>
      </c>
      <c r="I1384">
        <v>5</v>
      </c>
      <c r="J1384">
        <v>1</v>
      </c>
      <c r="K1384">
        <v>1</v>
      </c>
    </row>
    <row r="1385" spans="7:11">
      <c r="G1385">
        <v>1</v>
      </c>
      <c r="H1385">
        <v>2</v>
      </c>
      <c r="I1385">
        <v>5</v>
      </c>
      <c r="J1385">
        <v>2</v>
      </c>
      <c r="K1385">
        <v>2</v>
      </c>
    </row>
    <row r="1386" spans="7:11">
      <c r="G1386">
        <v>1</v>
      </c>
      <c r="H1386">
        <v>3</v>
      </c>
      <c r="I1386">
        <v>1</v>
      </c>
      <c r="J1386">
        <v>1</v>
      </c>
      <c r="K1386">
        <v>1</v>
      </c>
    </row>
    <row r="1387" spans="7:11">
      <c r="G1387">
        <v>1</v>
      </c>
      <c r="H1387">
        <v>3</v>
      </c>
      <c r="I1387">
        <v>1</v>
      </c>
      <c r="J1387">
        <v>2</v>
      </c>
      <c r="K1387">
        <v>2</v>
      </c>
    </row>
    <row r="1388" spans="7:11">
      <c r="G1388">
        <v>1</v>
      </c>
      <c r="H1388">
        <v>3</v>
      </c>
      <c r="I1388">
        <v>2</v>
      </c>
      <c r="J1388">
        <v>1</v>
      </c>
      <c r="K1388">
        <v>1</v>
      </c>
    </row>
    <row r="1389" spans="7:11">
      <c r="G1389">
        <v>1</v>
      </c>
      <c r="H1389">
        <v>3</v>
      </c>
      <c r="I1389">
        <v>2</v>
      </c>
      <c r="J1389">
        <v>2</v>
      </c>
      <c r="K1389">
        <v>2</v>
      </c>
    </row>
    <row r="1390" spans="7:11">
      <c r="G1390">
        <v>1</v>
      </c>
      <c r="H1390">
        <v>3</v>
      </c>
      <c r="I1390">
        <v>3</v>
      </c>
      <c r="J1390">
        <v>1</v>
      </c>
      <c r="K1390">
        <v>1</v>
      </c>
    </row>
    <row r="1391" spans="7:11">
      <c r="G1391">
        <v>1</v>
      </c>
      <c r="H1391">
        <v>3</v>
      </c>
      <c r="I1391">
        <v>3</v>
      </c>
      <c r="J1391">
        <v>2</v>
      </c>
      <c r="K1391">
        <v>2</v>
      </c>
    </row>
    <row r="1392" spans="7:11">
      <c r="G1392">
        <v>1</v>
      </c>
      <c r="H1392">
        <v>3</v>
      </c>
      <c r="I1392">
        <v>4</v>
      </c>
      <c r="J1392">
        <v>1</v>
      </c>
      <c r="K1392">
        <v>1</v>
      </c>
    </row>
    <row r="1393" spans="7:11">
      <c r="G1393">
        <v>1</v>
      </c>
      <c r="H1393">
        <v>3</v>
      </c>
      <c r="I1393">
        <v>4</v>
      </c>
      <c r="J1393">
        <v>2</v>
      </c>
      <c r="K1393">
        <v>2</v>
      </c>
    </row>
    <row r="1394" spans="7:11">
      <c r="G1394">
        <v>1</v>
      </c>
      <c r="H1394">
        <v>3</v>
      </c>
      <c r="I1394">
        <v>5</v>
      </c>
      <c r="J1394">
        <v>1</v>
      </c>
      <c r="K1394">
        <v>1</v>
      </c>
    </row>
    <row r="1395" spans="7:11">
      <c r="G1395">
        <v>1</v>
      </c>
      <c r="H1395">
        <v>3</v>
      </c>
      <c r="I1395">
        <v>5</v>
      </c>
      <c r="J1395">
        <v>2</v>
      </c>
      <c r="K1395">
        <v>2</v>
      </c>
    </row>
    <row r="1396" spans="7:11">
      <c r="G1396">
        <v>2</v>
      </c>
      <c r="H1396">
        <v>1</v>
      </c>
      <c r="I1396">
        <v>3</v>
      </c>
      <c r="J1396">
        <v>1</v>
      </c>
      <c r="K1396">
        <v>1</v>
      </c>
    </row>
    <row r="1397" spans="7:11">
      <c r="G1397">
        <v>2</v>
      </c>
      <c r="H1397">
        <v>1</v>
      </c>
      <c r="I1397">
        <v>3</v>
      </c>
      <c r="J1397">
        <v>2</v>
      </c>
      <c r="K1397">
        <v>2</v>
      </c>
    </row>
    <row r="1398" spans="7:11">
      <c r="G1398">
        <v>2</v>
      </c>
      <c r="H1398">
        <v>1</v>
      </c>
      <c r="I1398">
        <v>4</v>
      </c>
      <c r="J1398">
        <v>1</v>
      </c>
      <c r="K1398">
        <v>1</v>
      </c>
    </row>
    <row r="1399" spans="7:11">
      <c r="G1399">
        <v>2</v>
      </c>
      <c r="H1399">
        <v>1</v>
      </c>
      <c r="I1399">
        <v>4</v>
      </c>
      <c r="J1399">
        <v>2</v>
      </c>
      <c r="K1399">
        <v>2</v>
      </c>
    </row>
    <row r="1400" spans="7:11">
      <c r="G1400">
        <v>2</v>
      </c>
      <c r="H1400">
        <v>1</v>
      </c>
      <c r="I1400">
        <v>5</v>
      </c>
      <c r="J1400">
        <v>1</v>
      </c>
      <c r="K1400">
        <v>1</v>
      </c>
    </row>
    <row r="1401" spans="7:11">
      <c r="G1401">
        <v>2</v>
      </c>
      <c r="H1401">
        <v>1</v>
      </c>
      <c r="I1401">
        <v>5</v>
      </c>
      <c r="J1401">
        <v>2</v>
      </c>
      <c r="K1401">
        <v>2</v>
      </c>
    </row>
    <row r="1402" spans="7:11">
      <c r="G1402">
        <v>2</v>
      </c>
      <c r="H1402">
        <v>2</v>
      </c>
      <c r="I1402">
        <v>1</v>
      </c>
      <c r="J1402">
        <v>1</v>
      </c>
      <c r="K1402">
        <v>1</v>
      </c>
    </row>
    <row r="1403" spans="7:11">
      <c r="G1403">
        <v>2</v>
      </c>
      <c r="H1403">
        <v>2</v>
      </c>
      <c r="I1403">
        <v>1</v>
      </c>
      <c r="J1403">
        <v>2</v>
      </c>
      <c r="K1403">
        <v>2</v>
      </c>
    </row>
    <row r="1404" spans="7:11">
      <c r="G1404">
        <v>2</v>
      </c>
      <c r="H1404">
        <v>2</v>
      </c>
      <c r="I1404">
        <v>2</v>
      </c>
      <c r="J1404">
        <v>1</v>
      </c>
      <c r="K1404">
        <v>1</v>
      </c>
    </row>
    <row r="1405" spans="7:11">
      <c r="G1405">
        <v>2</v>
      </c>
      <c r="H1405">
        <v>2</v>
      </c>
      <c r="I1405">
        <v>2</v>
      </c>
      <c r="J1405">
        <v>2</v>
      </c>
      <c r="K1405">
        <v>2</v>
      </c>
    </row>
    <row r="1406" spans="7:11">
      <c r="G1406">
        <v>2</v>
      </c>
      <c r="H1406">
        <v>2</v>
      </c>
      <c r="I1406">
        <v>3</v>
      </c>
      <c r="J1406">
        <v>1</v>
      </c>
      <c r="K1406">
        <v>1</v>
      </c>
    </row>
    <row r="1407" spans="7:11">
      <c r="G1407">
        <v>2</v>
      </c>
      <c r="H1407">
        <v>2</v>
      </c>
      <c r="I1407">
        <v>3</v>
      </c>
      <c r="J1407">
        <v>2</v>
      </c>
      <c r="K1407">
        <v>2</v>
      </c>
    </row>
    <row r="1408" spans="7:11">
      <c r="G1408">
        <v>2</v>
      </c>
      <c r="H1408">
        <v>2</v>
      </c>
      <c r="I1408">
        <v>4</v>
      </c>
      <c r="J1408">
        <v>1</v>
      </c>
      <c r="K1408">
        <v>1</v>
      </c>
    </row>
    <row r="1409" spans="7:11">
      <c r="G1409">
        <v>2</v>
      </c>
      <c r="H1409">
        <v>2</v>
      </c>
      <c r="I1409">
        <v>4</v>
      </c>
      <c r="J1409">
        <v>2</v>
      </c>
      <c r="K1409">
        <v>2</v>
      </c>
    </row>
    <row r="1410" spans="7:11">
      <c r="G1410">
        <v>2</v>
      </c>
      <c r="H1410">
        <v>2</v>
      </c>
      <c r="I1410">
        <v>5</v>
      </c>
      <c r="J1410">
        <v>1</v>
      </c>
      <c r="K1410">
        <v>1</v>
      </c>
    </row>
    <row r="1411" spans="7:11">
      <c r="G1411">
        <v>2</v>
      </c>
      <c r="H1411">
        <v>2</v>
      </c>
      <c r="I1411">
        <v>5</v>
      </c>
      <c r="J1411">
        <v>2</v>
      </c>
      <c r="K1411">
        <v>2</v>
      </c>
    </row>
    <row r="1412" spans="7:11">
      <c r="G1412">
        <v>2</v>
      </c>
      <c r="H1412">
        <v>3</v>
      </c>
      <c r="I1412">
        <v>1</v>
      </c>
      <c r="J1412">
        <v>1</v>
      </c>
      <c r="K1412">
        <v>1</v>
      </c>
    </row>
    <row r="1413" spans="7:11">
      <c r="G1413">
        <v>2</v>
      </c>
      <c r="H1413">
        <v>3</v>
      </c>
      <c r="I1413">
        <v>1</v>
      </c>
      <c r="J1413">
        <v>2</v>
      </c>
      <c r="K1413">
        <v>2</v>
      </c>
    </row>
    <row r="1414" spans="7:11">
      <c r="G1414">
        <v>2</v>
      </c>
      <c r="H1414">
        <v>3</v>
      </c>
      <c r="I1414">
        <v>2</v>
      </c>
      <c r="J1414">
        <v>1</v>
      </c>
      <c r="K1414">
        <v>1</v>
      </c>
    </row>
    <row r="1415" spans="7:11">
      <c r="G1415">
        <v>2</v>
      </c>
      <c r="H1415">
        <v>3</v>
      </c>
      <c r="I1415">
        <v>2</v>
      </c>
      <c r="J1415">
        <v>2</v>
      </c>
      <c r="K1415">
        <v>2</v>
      </c>
    </row>
    <row r="1416" spans="7:11">
      <c r="G1416">
        <v>2</v>
      </c>
      <c r="H1416">
        <v>3</v>
      </c>
      <c r="I1416">
        <v>3</v>
      </c>
      <c r="J1416">
        <v>1</v>
      </c>
      <c r="K1416">
        <v>1</v>
      </c>
    </row>
    <row r="1417" spans="7:11">
      <c r="G1417">
        <v>2</v>
      </c>
      <c r="H1417">
        <v>3</v>
      </c>
      <c r="I1417">
        <v>3</v>
      </c>
      <c r="J1417">
        <v>2</v>
      </c>
      <c r="K1417">
        <v>2</v>
      </c>
    </row>
    <row r="1418" spans="7:11">
      <c r="G1418">
        <v>2</v>
      </c>
      <c r="H1418">
        <v>3</v>
      </c>
      <c r="I1418">
        <v>4</v>
      </c>
      <c r="J1418">
        <v>1</v>
      </c>
      <c r="K1418">
        <v>1</v>
      </c>
    </row>
    <row r="1419" spans="7:11">
      <c r="G1419">
        <v>2</v>
      </c>
      <c r="H1419">
        <v>3</v>
      </c>
      <c r="I1419">
        <v>4</v>
      </c>
      <c r="J1419">
        <v>2</v>
      </c>
      <c r="K1419">
        <v>2</v>
      </c>
    </row>
    <row r="1420" spans="7:11">
      <c r="G1420">
        <v>2</v>
      </c>
      <c r="H1420">
        <v>3</v>
      </c>
      <c r="I1420">
        <v>5</v>
      </c>
      <c r="J1420">
        <v>1</v>
      </c>
      <c r="K1420">
        <v>1</v>
      </c>
    </row>
    <row r="1421" spans="7:11">
      <c r="G1421">
        <v>2</v>
      </c>
      <c r="H1421">
        <v>3</v>
      </c>
      <c r="I1421">
        <v>5</v>
      </c>
      <c r="J1421">
        <v>2</v>
      </c>
      <c r="K1421">
        <v>2</v>
      </c>
    </row>
    <row r="1422" spans="7:11">
      <c r="G1422">
        <v>3</v>
      </c>
      <c r="H1422">
        <v>1</v>
      </c>
      <c r="I1422">
        <v>3</v>
      </c>
      <c r="J1422">
        <v>1</v>
      </c>
      <c r="K1422">
        <v>1</v>
      </c>
    </row>
    <row r="1423" spans="7:11">
      <c r="G1423">
        <v>3</v>
      </c>
      <c r="H1423">
        <v>1</v>
      </c>
      <c r="I1423">
        <v>3</v>
      </c>
      <c r="J1423">
        <v>2</v>
      </c>
      <c r="K1423">
        <v>2</v>
      </c>
    </row>
    <row r="1424" spans="7:11">
      <c r="G1424">
        <v>3</v>
      </c>
      <c r="H1424">
        <v>1</v>
      </c>
      <c r="I1424">
        <v>4</v>
      </c>
      <c r="J1424">
        <v>1</v>
      </c>
      <c r="K1424">
        <v>1</v>
      </c>
    </row>
    <row r="1425" spans="7:11">
      <c r="G1425">
        <v>3</v>
      </c>
      <c r="H1425">
        <v>1</v>
      </c>
      <c r="I1425">
        <v>4</v>
      </c>
      <c r="J1425">
        <v>2</v>
      </c>
      <c r="K1425">
        <v>2</v>
      </c>
    </row>
    <row r="1426" spans="7:11">
      <c r="G1426">
        <v>3</v>
      </c>
      <c r="H1426">
        <v>1</v>
      </c>
      <c r="I1426">
        <v>5</v>
      </c>
      <c r="J1426">
        <v>1</v>
      </c>
      <c r="K1426">
        <v>1</v>
      </c>
    </row>
    <row r="1427" spans="7:11">
      <c r="G1427">
        <v>3</v>
      </c>
      <c r="H1427">
        <v>1</v>
      </c>
      <c r="I1427">
        <v>5</v>
      </c>
      <c r="J1427">
        <v>2</v>
      </c>
      <c r="K1427">
        <v>2</v>
      </c>
    </row>
    <row r="1428" spans="7:11">
      <c r="G1428">
        <v>3</v>
      </c>
      <c r="H1428">
        <v>2</v>
      </c>
      <c r="I1428">
        <v>1</v>
      </c>
      <c r="J1428">
        <v>1</v>
      </c>
      <c r="K1428">
        <v>1</v>
      </c>
    </row>
    <row r="1429" spans="7:11">
      <c r="G1429">
        <v>3</v>
      </c>
      <c r="H1429">
        <v>2</v>
      </c>
      <c r="I1429">
        <v>1</v>
      </c>
      <c r="J1429">
        <v>2</v>
      </c>
      <c r="K1429">
        <v>2</v>
      </c>
    </row>
    <row r="1430" spans="7:11">
      <c r="G1430">
        <v>3</v>
      </c>
      <c r="H1430">
        <v>2</v>
      </c>
      <c r="I1430">
        <v>2</v>
      </c>
      <c r="J1430">
        <v>1</v>
      </c>
      <c r="K1430">
        <v>1</v>
      </c>
    </row>
    <row r="1431" spans="7:11">
      <c r="G1431">
        <v>3</v>
      </c>
      <c r="H1431">
        <v>2</v>
      </c>
      <c r="I1431">
        <v>2</v>
      </c>
      <c r="J1431">
        <v>2</v>
      </c>
      <c r="K1431">
        <v>2</v>
      </c>
    </row>
    <row r="1432" spans="7:11">
      <c r="G1432">
        <v>3</v>
      </c>
      <c r="H1432">
        <v>2</v>
      </c>
      <c r="I1432">
        <v>3</v>
      </c>
      <c r="J1432">
        <v>1</v>
      </c>
      <c r="K1432">
        <v>1</v>
      </c>
    </row>
    <row r="1433" spans="7:11">
      <c r="G1433">
        <v>3</v>
      </c>
      <c r="H1433">
        <v>2</v>
      </c>
      <c r="I1433">
        <v>3</v>
      </c>
      <c r="J1433">
        <v>2</v>
      </c>
      <c r="K1433">
        <v>2</v>
      </c>
    </row>
    <row r="1434" spans="7:11">
      <c r="G1434">
        <v>3</v>
      </c>
      <c r="H1434">
        <v>2</v>
      </c>
      <c r="I1434">
        <v>4</v>
      </c>
      <c r="J1434">
        <v>1</v>
      </c>
      <c r="K1434">
        <v>1</v>
      </c>
    </row>
    <row r="1435" spans="7:11">
      <c r="G1435">
        <v>3</v>
      </c>
      <c r="H1435">
        <v>2</v>
      </c>
      <c r="I1435">
        <v>4</v>
      </c>
      <c r="J1435">
        <v>2</v>
      </c>
      <c r="K1435">
        <v>2</v>
      </c>
    </row>
    <row r="1436" spans="7:11">
      <c r="G1436">
        <v>3</v>
      </c>
      <c r="H1436">
        <v>2</v>
      </c>
      <c r="I1436">
        <v>5</v>
      </c>
      <c r="J1436">
        <v>1</v>
      </c>
      <c r="K1436">
        <v>1</v>
      </c>
    </row>
    <row r="1437" spans="7:11">
      <c r="G1437">
        <v>3</v>
      </c>
      <c r="H1437">
        <v>2</v>
      </c>
      <c r="I1437">
        <v>5</v>
      </c>
      <c r="J1437">
        <v>2</v>
      </c>
      <c r="K1437">
        <v>2</v>
      </c>
    </row>
    <row r="1438" spans="7:11">
      <c r="G1438">
        <v>3</v>
      </c>
      <c r="H1438">
        <v>3</v>
      </c>
      <c r="I1438">
        <v>1</v>
      </c>
      <c r="J1438">
        <v>1</v>
      </c>
      <c r="K1438">
        <v>1</v>
      </c>
    </row>
    <row r="1439" spans="7:11">
      <c r="G1439">
        <v>3</v>
      </c>
      <c r="H1439">
        <v>3</v>
      </c>
      <c r="I1439">
        <v>1</v>
      </c>
      <c r="J1439">
        <v>2</v>
      </c>
      <c r="K1439">
        <v>2</v>
      </c>
    </row>
    <row r="1440" spans="7:11">
      <c r="G1440">
        <v>3</v>
      </c>
      <c r="H1440">
        <v>3</v>
      </c>
      <c r="I1440">
        <v>2</v>
      </c>
      <c r="J1440">
        <v>1</v>
      </c>
      <c r="K1440">
        <v>1</v>
      </c>
    </row>
    <row r="1441" spans="7:11">
      <c r="G1441">
        <v>3</v>
      </c>
      <c r="H1441">
        <v>3</v>
      </c>
      <c r="I1441">
        <v>2</v>
      </c>
      <c r="J1441">
        <v>2</v>
      </c>
      <c r="K1441">
        <v>2</v>
      </c>
    </row>
    <row r="1442" spans="7:11">
      <c r="G1442">
        <v>3</v>
      </c>
      <c r="H1442">
        <v>3</v>
      </c>
      <c r="I1442">
        <v>3</v>
      </c>
      <c r="J1442">
        <v>1</v>
      </c>
      <c r="K1442">
        <v>1</v>
      </c>
    </row>
    <row r="1443" spans="7:11">
      <c r="G1443">
        <v>3</v>
      </c>
      <c r="H1443">
        <v>3</v>
      </c>
      <c r="I1443">
        <v>3</v>
      </c>
      <c r="J1443">
        <v>2</v>
      </c>
      <c r="K1443">
        <v>2</v>
      </c>
    </row>
    <row r="1444" spans="7:11">
      <c r="G1444">
        <v>3</v>
      </c>
      <c r="H1444">
        <v>3</v>
      </c>
      <c r="I1444">
        <v>4</v>
      </c>
      <c r="J1444">
        <v>1</v>
      </c>
      <c r="K1444">
        <v>1</v>
      </c>
    </row>
    <row r="1445" spans="7:11">
      <c r="G1445">
        <v>3</v>
      </c>
      <c r="H1445">
        <v>3</v>
      </c>
      <c r="I1445">
        <v>4</v>
      </c>
      <c r="J1445">
        <v>2</v>
      </c>
      <c r="K1445">
        <v>2</v>
      </c>
    </row>
    <row r="1446" spans="7:11">
      <c r="G1446">
        <v>3</v>
      </c>
      <c r="H1446">
        <v>3</v>
      </c>
      <c r="I1446">
        <v>5</v>
      </c>
      <c r="J1446">
        <v>1</v>
      </c>
      <c r="K1446">
        <v>1</v>
      </c>
    </row>
    <row r="1447" spans="7:11">
      <c r="G1447">
        <v>3</v>
      </c>
      <c r="H1447">
        <v>3</v>
      </c>
      <c r="I1447">
        <v>5</v>
      </c>
      <c r="J1447">
        <v>2</v>
      </c>
      <c r="K1447">
        <v>2</v>
      </c>
    </row>
    <row r="1448" spans="7:11">
      <c r="G1448">
        <v>4</v>
      </c>
      <c r="H1448">
        <v>1</v>
      </c>
      <c r="I1448">
        <v>3</v>
      </c>
      <c r="J1448">
        <v>1</v>
      </c>
      <c r="K1448">
        <v>1</v>
      </c>
    </row>
    <row r="1449" spans="7:11">
      <c r="G1449">
        <v>4</v>
      </c>
      <c r="H1449">
        <v>1</v>
      </c>
      <c r="I1449">
        <v>3</v>
      </c>
      <c r="J1449">
        <v>2</v>
      </c>
      <c r="K1449">
        <v>2</v>
      </c>
    </row>
    <row r="1450" spans="7:11">
      <c r="G1450">
        <v>4</v>
      </c>
      <c r="H1450">
        <v>1</v>
      </c>
      <c r="I1450">
        <v>4</v>
      </c>
      <c r="J1450">
        <v>1</v>
      </c>
      <c r="K1450">
        <v>1</v>
      </c>
    </row>
    <row r="1451" spans="7:11">
      <c r="G1451">
        <v>4</v>
      </c>
      <c r="H1451">
        <v>1</v>
      </c>
      <c r="I1451">
        <v>4</v>
      </c>
      <c r="J1451">
        <v>2</v>
      </c>
      <c r="K1451">
        <v>2</v>
      </c>
    </row>
    <row r="1452" spans="7:11">
      <c r="G1452">
        <v>4</v>
      </c>
      <c r="H1452">
        <v>1</v>
      </c>
      <c r="I1452">
        <v>5</v>
      </c>
      <c r="J1452">
        <v>1</v>
      </c>
      <c r="K1452">
        <v>1</v>
      </c>
    </row>
    <row r="1453" spans="7:11">
      <c r="G1453">
        <v>4</v>
      </c>
      <c r="H1453">
        <v>1</v>
      </c>
      <c r="I1453">
        <v>5</v>
      </c>
      <c r="J1453">
        <v>2</v>
      </c>
      <c r="K1453">
        <v>2</v>
      </c>
    </row>
    <row r="1454" spans="7:11">
      <c r="G1454">
        <v>4</v>
      </c>
      <c r="H1454">
        <v>2</v>
      </c>
      <c r="I1454">
        <v>1</v>
      </c>
      <c r="J1454">
        <v>1</v>
      </c>
      <c r="K1454">
        <v>1</v>
      </c>
    </row>
    <row r="1455" spans="7:11">
      <c r="G1455">
        <v>4</v>
      </c>
      <c r="H1455">
        <v>2</v>
      </c>
      <c r="I1455">
        <v>1</v>
      </c>
      <c r="J1455">
        <v>2</v>
      </c>
      <c r="K1455">
        <v>2</v>
      </c>
    </row>
    <row r="1456" spans="7:11">
      <c r="G1456">
        <v>4</v>
      </c>
      <c r="H1456">
        <v>2</v>
      </c>
      <c r="I1456">
        <v>2</v>
      </c>
      <c r="J1456">
        <v>1</v>
      </c>
      <c r="K1456">
        <v>1</v>
      </c>
    </row>
    <row r="1457" spans="7:11">
      <c r="G1457">
        <v>4</v>
      </c>
      <c r="H1457">
        <v>2</v>
      </c>
      <c r="I1457">
        <v>2</v>
      </c>
      <c r="J1457">
        <v>2</v>
      </c>
      <c r="K1457">
        <v>2</v>
      </c>
    </row>
    <row r="1458" spans="7:11">
      <c r="G1458">
        <v>4</v>
      </c>
      <c r="H1458">
        <v>2</v>
      </c>
      <c r="I1458">
        <v>3</v>
      </c>
      <c r="J1458">
        <v>1</v>
      </c>
      <c r="K1458">
        <v>1</v>
      </c>
    </row>
    <row r="1459" spans="7:11">
      <c r="G1459">
        <v>4</v>
      </c>
      <c r="H1459">
        <v>2</v>
      </c>
      <c r="I1459">
        <v>3</v>
      </c>
      <c r="J1459">
        <v>2</v>
      </c>
      <c r="K1459">
        <v>2</v>
      </c>
    </row>
    <row r="1460" spans="7:11">
      <c r="G1460">
        <v>4</v>
      </c>
      <c r="H1460">
        <v>2</v>
      </c>
      <c r="I1460">
        <v>4</v>
      </c>
      <c r="J1460">
        <v>1</v>
      </c>
      <c r="K1460">
        <v>1</v>
      </c>
    </row>
    <row r="1461" spans="7:11">
      <c r="G1461">
        <v>4</v>
      </c>
      <c r="H1461">
        <v>2</v>
      </c>
      <c r="I1461">
        <v>4</v>
      </c>
      <c r="J1461">
        <v>2</v>
      </c>
      <c r="K1461">
        <v>2</v>
      </c>
    </row>
    <row r="1462" spans="7:11">
      <c r="G1462">
        <v>4</v>
      </c>
      <c r="H1462">
        <v>2</v>
      </c>
      <c r="I1462">
        <v>5</v>
      </c>
      <c r="J1462">
        <v>1</v>
      </c>
      <c r="K1462">
        <v>1</v>
      </c>
    </row>
    <row r="1463" spans="7:11">
      <c r="G1463">
        <v>4</v>
      </c>
      <c r="H1463">
        <v>2</v>
      </c>
      <c r="I1463">
        <v>5</v>
      </c>
      <c r="J1463">
        <v>2</v>
      </c>
      <c r="K1463">
        <v>2</v>
      </c>
    </row>
    <row r="1464" spans="7:11">
      <c r="G1464">
        <v>4</v>
      </c>
      <c r="H1464">
        <v>3</v>
      </c>
      <c r="I1464">
        <v>1</v>
      </c>
      <c r="J1464">
        <v>1</v>
      </c>
      <c r="K1464">
        <v>1</v>
      </c>
    </row>
    <row r="1465" spans="7:11">
      <c r="G1465">
        <v>4</v>
      </c>
      <c r="H1465">
        <v>3</v>
      </c>
      <c r="I1465">
        <v>1</v>
      </c>
      <c r="J1465">
        <v>2</v>
      </c>
      <c r="K1465">
        <v>2</v>
      </c>
    </row>
    <row r="1466" spans="7:11">
      <c r="G1466">
        <v>4</v>
      </c>
      <c r="H1466">
        <v>3</v>
      </c>
      <c r="I1466">
        <v>2</v>
      </c>
      <c r="J1466">
        <v>1</v>
      </c>
      <c r="K1466">
        <v>1</v>
      </c>
    </row>
    <row r="1467" spans="7:11">
      <c r="G1467">
        <v>4</v>
      </c>
      <c r="H1467">
        <v>3</v>
      </c>
      <c r="I1467">
        <v>2</v>
      </c>
      <c r="J1467">
        <v>2</v>
      </c>
      <c r="K1467">
        <v>2</v>
      </c>
    </row>
    <row r="1468" spans="7:11">
      <c r="G1468">
        <v>4</v>
      </c>
      <c r="H1468">
        <v>3</v>
      </c>
      <c r="I1468">
        <v>3</v>
      </c>
      <c r="J1468">
        <v>1</v>
      </c>
      <c r="K1468">
        <v>1</v>
      </c>
    </row>
    <row r="1469" spans="7:11">
      <c r="G1469">
        <v>4</v>
      </c>
      <c r="H1469">
        <v>3</v>
      </c>
      <c r="I1469">
        <v>3</v>
      </c>
      <c r="J1469">
        <v>2</v>
      </c>
      <c r="K1469">
        <v>2</v>
      </c>
    </row>
    <row r="1470" spans="7:11">
      <c r="G1470">
        <v>4</v>
      </c>
      <c r="H1470">
        <v>3</v>
      </c>
      <c r="I1470">
        <v>4</v>
      </c>
      <c r="J1470">
        <v>1</v>
      </c>
      <c r="K1470">
        <v>1</v>
      </c>
    </row>
    <row r="1471" spans="7:11">
      <c r="G1471">
        <v>4</v>
      </c>
      <c r="H1471">
        <v>3</v>
      </c>
      <c r="I1471">
        <v>4</v>
      </c>
      <c r="J1471">
        <v>2</v>
      </c>
      <c r="K1471">
        <v>2</v>
      </c>
    </row>
    <row r="1472" spans="7:11">
      <c r="G1472">
        <v>4</v>
      </c>
      <c r="H1472">
        <v>3</v>
      </c>
      <c r="I1472">
        <v>5</v>
      </c>
      <c r="J1472">
        <v>1</v>
      </c>
      <c r="K1472">
        <v>1</v>
      </c>
    </row>
    <row r="1473" spans="7:11">
      <c r="G1473">
        <v>4</v>
      </c>
      <c r="H1473">
        <v>3</v>
      </c>
      <c r="I1473">
        <v>5</v>
      </c>
      <c r="J1473">
        <v>2</v>
      </c>
      <c r="K1473">
        <v>2</v>
      </c>
    </row>
    <row r="1474" spans="7:11">
      <c r="G1474">
        <v>1</v>
      </c>
      <c r="H1474">
        <v>2</v>
      </c>
      <c r="I1474">
        <v>1</v>
      </c>
      <c r="J1474">
        <v>1</v>
      </c>
      <c r="K1474">
        <v>1</v>
      </c>
    </row>
    <row r="1475" spans="7:11">
      <c r="G1475">
        <v>1</v>
      </c>
      <c r="H1475">
        <v>2</v>
      </c>
      <c r="I1475">
        <v>1</v>
      </c>
      <c r="J1475">
        <v>2</v>
      </c>
      <c r="K1475">
        <v>2</v>
      </c>
    </row>
    <row r="1476" spans="7:11">
      <c r="G1476">
        <v>1</v>
      </c>
      <c r="H1476">
        <v>2</v>
      </c>
      <c r="I1476">
        <v>2</v>
      </c>
      <c r="J1476">
        <v>1</v>
      </c>
      <c r="K1476">
        <v>1</v>
      </c>
    </row>
    <row r="1477" spans="7:11">
      <c r="G1477">
        <v>1</v>
      </c>
      <c r="H1477">
        <v>2</v>
      </c>
      <c r="I1477">
        <v>2</v>
      </c>
      <c r="J1477">
        <v>2</v>
      </c>
      <c r="K1477">
        <v>2</v>
      </c>
    </row>
    <row r="1478" spans="7:11">
      <c r="G1478">
        <v>1</v>
      </c>
      <c r="H1478">
        <v>2</v>
      </c>
      <c r="I1478">
        <v>3</v>
      </c>
      <c r="J1478">
        <v>1</v>
      </c>
      <c r="K1478">
        <v>1</v>
      </c>
    </row>
    <row r="1479" spans="7:11">
      <c r="G1479">
        <v>1</v>
      </c>
      <c r="H1479">
        <v>2</v>
      </c>
      <c r="I1479">
        <v>3</v>
      </c>
      <c r="J1479">
        <v>2</v>
      </c>
      <c r="K1479">
        <v>2</v>
      </c>
    </row>
    <row r="1480" spans="7:11">
      <c r="G1480">
        <v>1</v>
      </c>
      <c r="H1480">
        <v>2</v>
      </c>
      <c r="I1480">
        <v>4</v>
      </c>
      <c r="J1480">
        <v>1</v>
      </c>
      <c r="K1480">
        <v>1</v>
      </c>
    </row>
    <row r="1481" spans="7:11">
      <c r="G1481">
        <v>1</v>
      </c>
      <c r="H1481">
        <v>2</v>
      </c>
      <c r="I1481">
        <v>4</v>
      </c>
      <c r="J1481">
        <v>2</v>
      </c>
      <c r="K1481">
        <v>2</v>
      </c>
    </row>
    <row r="1482" spans="7:11">
      <c r="G1482">
        <v>1</v>
      </c>
      <c r="H1482">
        <v>2</v>
      </c>
      <c r="I1482">
        <v>5</v>
      </c>
      <c r="J1482">
        <v>1</v>
      </c>
      <c r="K1482">
        <v>1</v>
      </c>
    </row>
    <row r="1483" spans="7:11">
      <c r="G1483">
        <v>1</v>
      </c>
      <c r="H1483">
        <v>2</v>
      </c>
      <c r="I1483">
        <v>5</v>
      </c>
      <c r="J1483">
        <v>2</v>
      </c>
      <c r="K1483">
        <v>2</v>
      </c>
    </row>
    <row r="1484" spans="7:11">
      <c r="G1484">
        <v>1</v>
      </c>
      <c r="H1484">
        <v>3</v>
      </c>
      <c r="I1484">
        <v>1</v>
      </c>
      <c r="J1484">
        <v>1</v>
      </c>
      <c r="K1484">
        <v>1</v>
      </c>
    </row>
    <row r="1485" spans="7:11">
      <c r="G1485">
        <v>1</v>
      </c>
      <c r="H1485">
        <v>3</v>
      </c>
      <c r="I1485">
        <v>1</v>
      </c>
      <c r="J1485">
        <v>2</v>
      </c>
      <c r="K1485">
        <v>2</v>
      </c>
    </row>
    <row r="1486" spans="7:11">
      <c r="G1486">
        <v>1</v>
      </c>
      <c r="H1486">
        <v>3</v>
      </c>
      <c r="I1486">
        <v>2</v>
      </c>
      <c r="J1486">
        <v>1</v>
      </c>
      <c r="K1486">
        <v>1</v>
      </c>
    </row>
    <row r="1487" spans="7:11">
      <c r="G1487">
        <v>1</v>
      </c>
      <c r="H1487">
        <v>3</v>
      </c>
      <c r="I1487">
        <v>2</v>
      </c>
      <c r="J1487">
        <v>2</v>
      </c>
      <c r="K1487">
        <v>2</v>
      </c>
    </row>
    <row r="1488" spans="7:11">
      <c r="G1488">
        <v>1</v>
      </c>
      <c r="H1488">
        <v>3</v>
      </c>
      <c r="I1488">
        <v>3</v>
      </c>
      <c r="J1488">
        <v>1</v>
      </c>
      <c r="K1488">
        <v>1</v>
      </c>
    </row>
    <row r="1489" spans="7:11">
      <c r="G1489">
        <v>1</v>
      </c>
      <c r="H1489">
        <v>3</v>
      </c>
      <c r="I1489">
        <v>3</v>
      </c>
      <c r="J1489">
        <v>2</v>
      </c>
      <c r="K1489">
        <v>2</v>
      </c>
    </row>
    <row r="1490" spans="7:11">
      <c r="G1490">
        <v>1</v>
      </c>
      <c r="H1490">
        <v>3</v>
      </c>
      <c r="I1490">
        <v>4</v>
      </c>
      <c r="J1490">
        <v>1</v>
      </c>
      <c r="K1490">
        <v>1</v>
      </c>
    </row>
    <row r="1491" spans="7:11">
      <c r="G1491">
        <v>1</v>
      </c>
      <c r="H1491">
        <v>3</v>
      </c>
      <c r="I1491">
        <v>4</v>
      </c>
      <c r="J1491">
        <v>2</v>
      </c>
      <c r="K1491">
        <v>2</v>
      </c>
    </row>
    <row r="1492" spans="7:11">
      <c r="G1492">
        <v>1</v>
      </c>
      <c r="H1492">
        <v>3</v>
      </c>
      <c r="I1492">
        <v>5</v>
      </c>
      <c r="J1492">
        <v>1</v>
      </c>
      <c r="K1492">
        <v>1</v>
      </c>
    </row>
    <row r="1493" spans="7:11">
      <c r="G1493">
        <v>1</v>
      </c>
      <c r="H1493">
        <v>3</v>
      </c>
      <c r="I1493">
        <v>5</v>
      </c>
      <c r="J1493">
        <v>2</v>
      </c>
      <c r="K1493">
        <v>2</v>
      </c>
    </row>
    <row r="1494" spans="7:11">
      <c r="G1494">
        <v>2</v>
      </c>
      <c r="H1494">
        <v>1</v>
      </c>
      <c r="I1494">
        <v>3</v>
      </c>
      <c r="J1494">
        <v>1</v>
      </c>
      <c r="K1494">
        <v>1</v>
      </c>
    </row>
    <row r="1495" spans="7:11">
      <c r="G1495">
        <v>2</v>
      </c>
      <c r="H1495">
        <v>1</v>
      </c>
      <c r="I1495">
        <v>3</v>
      </c>
      <c r="J1495">
        <v>2</v>
      </c>
      <c r="K1495">
        <v>2</v>
      </c>
    </row>
    <row r="1496" spans="7:11">
      <c r="G1496">
        <v>2</v>
      </c>
      <c r="H1496">
        <v>1</v>
      </c>
      <c r="I1496">
        <v>4</v>
      </c>
      <c r="J1496">
        <v>1</v>
      </c>
      <c r="K1496">
        <v>1</v>
      </c>
    </row>
    <row r="1497" spans="7:11">
      <c r="G1497">
        <v>2</v>
      </c>
      <c r="H1497">
        <v>1</v>
      </c>
      <c r="I1497">
        <v>4</v>
      </c>
      <c r="J1497">
        <v>2</v>
      </c>
      <c r="K1497">
        <v>2</v>
      </c>
    </row>
    <row r="1498" spans="7:11">
      <c r="G1498">
        <v>2</v>
      </c>
      <c r="H1498">
        <v>1</v>
      </c>
      <c r="I1498">
        <v>5</v>
      </c>
      <c r="J1498">
        <v>1</v>
      </c>
      <c r="K1498">
        <v>1</v>
      </c>
    </row>
    <row r="1499" spans="7:11">
      <c r="G1499">
        <v>2</v>
      </c>
      <c r="H1499">
        <v>1</v>
      </c>
      <c r="I1499">
        <v>5</v>
      </c>
      <c r="J1499">
        <v>2</v>
      </c>
      <c r="K1499">
        <v>2</v>
      </c>
    </row>
    <row r="1500" spans="7:11">
      <c r="G1500">
        <v>2</v>
      </c>
      <c r="H1500">
        <v>2</v>
      </c>
      <c r="I1500">
        <v>1</v>
      </c>
      <c r="J1500">
        <v>1</v>
      </c>
      <c r="K1500">
        <v>1</v>
      </c>
    </row>
    <row r="1501" spans="7:11">
      <c r="G1501">
        <v>2</v>
      </c>
      <c r="H1501">
        <v>2</v>
      </c>
      <c r="I1501">
        <v>1</v>
      </c>
      <c r="J1501">
        <v>2</v>
      </c>
      <c r="K1501">
        <v>2</v>
      </c>
    </row>
    <row r="1502" spans="7:11">
      <c r="G1502">
        <v>2</v>
      </c>
      <c r="H1502">
        <v>2</v>
      </c>
      <c r="I1502">
        <v>2</v>
      </c>
      <c r="J1502">
        <v>1</v>
      </c>
      <c r="K1502">
        <v>1</v>
      </c>
    </row>
    <row r="1503" spans="7:11">
      <c r="G1503">
        <v>2</v>
      </c>
      <c r="H1503">
        <v>2</v>
      </c>
      <c r="I1503">
        <v>2</v>
      </c>
      <c r="J1503">
        <v>2</v>
      </c>
      <c r="K1503">
        <v>2</v>
      </c>
    </row>
    <row r="1504" spans="7:11">
      <c r="G1504">
        <v>2</v>
      </c>
      <c r="H1504">
        <v>2</v>
      </c>
      <c r="I1504">
        <v>3</v>
      </c>
      <c r="J1504">
        <v>1</v>
      </c>
      <c r="K1504">
        <v>1</v>
      </c>
    </row>
    <row r="1505" spans="7:11">
      <c r="G1505">
        <v>2</v>
      </c>
      <c r="H1505">
        <v>2</v>
      </c>
      <c r="I1505">
        <v>3</v>
      </c>
      <c r="J1505">
        <v>2</v>
      </c>
      <c r="K1505">
        <v>2</v>
      </c>
    </row>
    <row r="1506" spans="7:11">
      <c r="G1506">
        <v>2</v>
      </c>
      <c r="H1506">
        <v>2</v>
      </c>
      <c r="I1506">
        <v>4</v>
      </c>
      <c r="J1506">
        <v>1</v>
      </c>
      <c r="K1506">
        <v>1</v>
      </c>
    </row>
    <row r="1507" spans="7:11">
      <c r="G1507">
        <v>2</v>
      </c>
      <c r="H1507">
        <v>2</v>
      </c>
      <c r="I1507">
        <v>4</v>
      </c>
      <c r="J1507">
        <v>2</v>
      </c>
      <c r="K1507">
        <v>2</v>
      </c>
    </row>
    <row r="1508" spans="7:11">
      <c r="G1508">
        <v>2</v>
      </c>
      <c r="H1508">
        <v>2</v>
      </c>
      <c r="I1508">
        <v>5</v>
      </c>
      <c r="J1508">
        <v>1</v>
      </c>
      <c r="K1508">
        <v>1</v>
      </c>
    </row>
    <row r="1509" spans="7:11">
      <c r="G1509">
        <v>2</v>
      </c>
      <c r="H1509">
        <v>2</v>
      </c>
      <c r="I1509">
        <v>5</v>
      </c>
      <c r="J1509">
        <v>2</v>
      </c>
      <c r="K1509">
        <v>2</v>
      </c>
    </row>
    <row r="1510" spans="7:11">
      <c r="G1510">
        <v>2</v>
      </c>
      <c r="H1510">
        <v>3</v>
      </c>
      <c r="I1510">
        <v>1</v>
      </c>
      <c r="J1510">
        <v>1</v>
      </c>
      <c r="K1510">
        <v>1</v>
      </c>
    </row>
    <row r="1511" spans="7:11">
      <c r="G1511">
        <v>2</v>
      </c>
      <c r="H1511">
        <v>3</v>
      </c>
      <c r="I1511">
        <v>1</v>
      </c>
      <c r="J1511">
        <v>2</v>
      </c>
      <c r="K1511">
        <v>2</v>
      </c>
    </row>
    <row r="1512" spans="7:11">
      <c r="G1512">
        <v>2</v>
      </c>
      <c r="H1512">
        <v>3</v>
      </c>
      <c r="I1512">
        <v>2</v>
      </c>
      <c r="J1512">
        <v>1</v>
      </c>
      <c r="K1512">
        <v>1</v>
      </c>
    </row>
    <row r="1513" spans="7:11">
      <c r="G1513">
        <v>2</v>
      </c>
      <c r="H1513">
        <v>3</v>
      </c>
      <c r="I1513">
        <v>2</v>
      </c>
      <c r="J1513">
        <v>2</v>
      </c>
      <c r="K1513">
        <v>2</v>
      </c>
    </row>
    <row r="1514" spans="7:11">
      <c r="G1514">
        <v>2</v>
      </c>
      <c r="H1514">
        <v>3</v>
      </c>
      <c r="I1514">
        <v>3</v>
      </c>
      <c r="J1514">
        <v>1</v>
      </c>
      <c r="K1514">
        <v>1</v>
      </c>
    </row>
    <row r="1515" spans="7:11">
      <c r="G1515">
        <v>2</v>
      </c>
      <c r="H1515">
        <v>3</v>
      </c>
      <c r="I1515">
        <v>3</v>
      </c>
      <c r="J1515">
        <v>2</v>
      </c>
      <c r="K1515">
        <v>2</v>
      </c>
    </row>
    <row r="1516" spans="7:11">
      <c r="G1516">
        <v>2</v>
      </c>
      <c r="H1516">
        <v>3</v>
      </c>
      <c r="I1516">
        <v>4</v>
      </c>
      <c r="J1516">
        <v>1</v>
      </c>
      <c r="K1516">
        <v>1</v>
      </c>
    </row>
    <row r="1517" spans="7:11">
      <c r="G1517">
        <v>2</v>
      </c>
      <c r="H1517">
        <v>3</v>
      </c>
      <c r="I1517">
        <v>4</v>
      </c>
      <c r="J1517">
        <v>2</v>
      </c>
      <c r="K1517">
        <v>2</v>
      </c>
    </row>
    <row r="1518" spans="7:11">
      <c r="G1518">
        <v>2</v>
      </c>
      <c r="H1518">
        <v>3</v>
      </c>
      <c r="I1518">
        <v>5</v>
      </c>
      <c r="J1518">
        <v>1</v>
      </c>
      <c r="K1518">
        <v>1</v>
      </c>
    </row>
    <row r="1519" spans="7:11">
      <c r="G1519">
        <v>2</v>
      </c>
      <c r="H1519">
        <v>3</v>
      </c>
      <c r="I1519">
        <v>5</v>
      </c>
      <c r="J1519">
        <v>2</v>
      </c>
      <c r="K1519">
        <v>2</v>
      </c>
    </row>
    <row r="1520" spans="7:11">
      <c r="G1520">
        <v>3</v>
      </c>
      <c r="H1520">
        <v>1</v>
      </c>
      <c r="I1520">
        <v>3</v>
      </c>
      <c r="J1520">
        <v>1</v>
      </c>
      <c r="K1520">
        <v>1</v>
      </c>
    </row>
    <row r="1521" spans="7:11">
      <c r="G1521">
        <v>3</v>
      </c>
      <c r="H1521">
        <v>1</v>
      </c>
      <c r="I1521">
        <v>3</v>
      </c>
      <c r="J1521">
        <v>2</v>
      </c>
      <c r="K1521">
        <v>2</v>
      </c>
    </row>
    <row r="1522" spans="7:11">
      <c r="G1522">
        <v>3</v>
      </c>
      <c r="H1522">
        <v>1</v>
      </c>
      <c r="I1522">
        <v>4</v>
      </c>
      <c r="J1522">
        <v>1</v>
      </c>
      <c r="K1522">
        <v>1</v>
      </c>
    </row>
    <row r="1523" spans="7:11">
      <c r="G1523">
        <v>3</v>
      </c>
      <c r="H1523">
        <v>1</v>
      </c>
      <c r="I1523">
        <v>4</v>
      </c>
      <c r="J1523">
        <v>2</v>
      </c>
      <c r="K1523">
        <v>2</v>
      </c>
    </row>
    <row r="1524" spans="7:11">
      <c r="G1524">
        <v>3</v>
      </c>
      <c r="H1524">
        <v>1</v>
      </c>
      <c r="I1524">
        <v>5</v>
      </c>
      <c r="J1524">
        <v>1</v>
      </c>
      <c r="K1524">
        <v>1</v>
      </c>
    </row>
    <row r="1525" spans="7:11">
      <c r="G1525">
        <v>3</v>
      </c>
      <c r="H1525">
        <v>1</v>
      </c>
      <c r="I1525">
        <v>5</v>
      </c>
      <c r="J1525">
        <v>2</v>
      </c>
      <c r="K1525">
        <v>2</v>
      </c>
    </row>
    <row r="1526" spans="7:11">
      <c r="G1526">
        <v>3</v>
      </c>
      <c r="H1526">
        <v>2</v>
      </c>
      <c r="I1526">
        <v>1</v>
      </c>
      <c r="J1526">
        <v>1</v>
      </c>
      <c r="K1526">
        <v>1</v>
      </c>
    </row>
    <row r="1527" spans="7:11">
      <c r="G1527">
        <v>3</v>
      </c>
      <c r="H1527">
        <v>2</v>
      </c>
      <c r="I1527">
        <v>1</v>
      </c>
      <c r="J1527">
        <v>2</v>
      </c>
      <c r="K1527">
        <v>2</v>
      </c>
    </row>
    <row r="1528" spans="7:11">
      <c r="G1528">
        <v>3</v>
      </c>
      <c r="H1528">
        <v>2</v>
      </c>
      <c r="I1528">
        <v>2</v>
      </c>
      <c r="J1528">
        <v>1</v>
      </c>
      <c r="K1528">
        <v>1</v>
      </c>
    </row>
    <row r="1529" spans="7:11">
      <c r="G1529">
        <v>3</v>
      </c>
      <c r="H1529">
        <v>2</v>
      </c>
      <c r="I1529">
        <v>2</v>
      </c>
      <c r="J1529">
        <v>2</v>
      </c>
      <c r="K1529">
        <v>2</v>
      </c>
    </row>
    <row r="1530" spans="7:11">
      <c r="G1530">
        <v>3</v>
      </c>
      <c r="H1530">
        <v>2</v>
      </c>
      <c r="I1530">
        <v>3</v>
      </c>
      <c r="J1530">
        <v>1</v>
      </c>
      <c r="K1530">
        <v>1</v>
      </c>
    </row>
    <row r="1531" spans="7:11">
      <c r="G1531">
        <v>3</v>
      </c>
      <c r="H1531">
        <v>2</v>
      </c>
      <c r="I1531">
        <v>3</v>
      </c>
      <c r="J1531">
        <v>2</v>
      </c>
      <c r="K1531">
        <v>2</v>
      </c>
    </row>
    <row r="1532" spans="7:11">
      <c r="G1532">
        <v>3</v>
      </c>
      <c r="H1532">
        <v>2</v>
      </c>
      <c r="I1532">
        <v>4</v>
      </c>
      <c r="J1532">
        <v>1</v>
      </c>
      <c r="K1532">
        <v>1</v>
      </c>
    </row>
    <row r="1533" spans="7:11">
      <c r="G1533">
        <v>3</v>
      </c>
      <c r="H1533">
        <v>2</v>
      </c>
      <c r="I1533">
        <v>4</v>
      </c>
      <c r="J1533">
        <v>2</v>
      </c>
      <c r="K1533">
        <v>2</v>
      </c>
    </row>
    <row r="1534" spans="7:11">
      <c r="G1534">
        <v>3</v>
      </c>
      <c r="H1534">
        <v>2</v>
      </c>
      <c r="I1534">
        <v>5</v>
      </c>
      <c r="J1534">
        <v>1</v>
      </c>
      <c r="K1534">
        <v>1</v>
      </c>
    </row>
    <row r="1535" spans="7:11">
      <c r="G1535">
        <v>3</v>
      </c>
      <c r="H1535">
        <v>2</v>
      </c>
      <c r="I1535">
        <v>5</v>
      </c>
      <c r="J1535">
        <v>2</v>
      </c>
      <c r="K1535">
        <v>2</v>
      </c>
    </row>
    <row r="1536" spans="7:11">
      <c r="G1536">
        <v>3</v>
      </c>
      <c r="H1536">
        <v>3</v>
      </c>
      <c r="I1536">
        <v>1</v>
      </c>
      <c r="J1536">
        <v>1</v>
      </c>
      <c r="K1536">
        <v>1</v>
      </c>
    </row>
    <row r="1537" spans="7:11">
      <c r="G1537">
        <v>3</v>
      </c>
      <c r="H1537">
        <v>3</v>
      </c>
      <c r="I1537">
        <v>1</v>
      </c>
      <c r="J1537">
        <v>2</v>
      </c>
      <c r="K1537">
        <v>2</v>
      </c>
    </row>
    <row r="1538" spans="7:11">
      <c r="G1538">
        <v>3</v>
      </c>
      <c r="H1538">
        <v>3</v>
      </c>
      <c r="I1538">
        <v>2</v>
      </c>
      <c r="J1538">
        <v>1</v>
      </c>
      <c r="K1538">
        <v>1</v>
      </c>
    </row>
    <row r="1539" spans="7:11">
      <c r="G1539">
        <v>3</v>
      </c>
      <c r="H1539">
        <v>3</v>
      </c>
      <c r="I1539">
        <v>2</v>
      </c>
      <c r="J1539">
        <v>2</v>
      </c>
      <c r="K1539">
        <v>2</v>
      </c>
    </row>
    <row r="1540" spans="7:11">
      <c r="G1540">
        <v>3</v>
      </c>
      <c r="H1540">
        <v>3</v>
      </c>
      <c r="I1540">
        <v>3</v>
      </c>
      <c r="J1540">
        <v>1</v>
      </c>
      <c r="K1540">
        <v>1</v>
      </c>
    </row>
    <row r="1541" spans="7:11">
      <c r="G1541">
        <v>3</v>
      </c>
      <c r="H1541">
        <v>3</v>
      </c>
      <c r="I1541">
        <v>3</v>
      </c>
      <c r="J1541">
        <v>2</v>
      </c>
      <c r="K1541">
        <v>2</v>
      </c>
    </row>
    <row r="1542" spans="7:11">
      <c r="G1542">
        <v>3</v>
      </c>
      <c r="H1542">
        <v>3</v>
      </c>
      <c r="I1542">
        <v>4</v>
      </c>
      <c r="J1542">
        <v>1</v>
      </c>
      <c r="K1542">
        <v>1</v>
      </c>
    </row>
    <row r="1543" spans="7:11">
      <c r="G1543">
        <v>3</v>
      </c>
      <c r="H1543">
        <v>3</v>
      </c>
      <c r="I1543">
        <v>4</v>
      </c>
      <c r="J1543">
        <v>2</v>
      </c>
      <c r="K1543">
        <v>2</v>
      </c>
    </row>
    <row r="1544" spans="7:11">
      <c r="G1544">
        <v>3</v>
      </c>
      <c r="H1544">
        <v>3</v>
      </c>
      <c r="I1544">
        <v>5</v>
      </c>
      <c r="J1544">
        <v>1</v>
      </c>
      <c r="K1544">
        <v>1</v>
      </c>
    </row>
    <row r="1545" spans="7:11">
      <c r="G1545">
        <v>3</v>
      </c>
      <c r="H1545">
        <v>3</v>
      </c>
      <c r="I1545">
        <v>5</v>
      </c>
      <c r="J1545">
        <v>2</v>
      </c>
      <c r="K1545">
        <v>2</v>
      </c>
    </row>
    <row r="1546" spans="7:11">
      <c r="G1546">
        <v>4</v>
      </c>
      <c r="H1546">
        <v>1</v>
      </c>
      <c r="I1546">
        <v>3</v>
      </c>
      <c r="J1546">
        <v>1</v>
      </c>
      <c r="K1546">
        <v>1</v>
      </c>
    </row>
    <row r="1547" spans="7:11">
      <c r="G1547">
        <v>4</v>
      </c>
      <c r="H1547">
        <v>1</v>
      </c>
      <c r="I1547">
        <v>3</v>
      </c>
      <c r="J1547">
        <v>2</v>
      </c>
      <c r="K1547">
        <v>2</v>
      </c>
    </row>
    <row r="1548" spans="7:11">
      <c r="G1548">
        <v>4</v>
      </c>
      <c r="H1548">
        <v>1</v>
      </c>
      <c r="I1548">
        <v>4</v>
      </c>
      <c r="J1548">
        <v>1</v>
      </c>
      <c r="K1548">
        <v>1</v>
      </c>
    </row>
    <row r="1549" spans="7:11">
      <c r="G1549">
        <v>4</v>
      </c>
      <c r="H1549">
        <v>1</v>
      </c>
      <c r="I1549">
        <v>4</v>
      </c>
      <c r="J1549">
        <v>2</v>
      </c>
      <c r="K1549">
        <v>2</v>
      </c>
    </row>
    <row r="1550" spans="7:11">
      <c r="G1550">
        <v>4</v>
      </c>
      <c r="H1550">
        <v>1</v>
      </c>
      <c r="I1550">
        <v>5</v>
      </c>
      <c r="J1550">
        <v>1</v>
      </c>
      <c r="K1550">
        <v>1</v>
      </c>
    </row>
    <row r="1551" spans="7:11">
      <c r="G1551">
        <v>4</v>
      </c>
      <c r="H1551">
        <v>1</v>
      </c>
      <c r="I1551">
        <v>5</v>
      </c>
      <c r="J1551">
        <v>2</v>
      </c>
      <c r="K1551">
        <v>2</v>
      </c>
    </row>
    <row r="1552" spans="7:11">
      <c r="G1552">
        <v>4</v>
      </c>
      <c r="H1552">
        <v>2</v>
      </c>
      <c r="I1552">
        <v>1</v>
      </c>
      <c r="J1552">
        <v>1</v>
      </c>
      <c r="K1552">
        <v>1</v>
      </c>
    </row>
    <row r="1553" spans="7:11">
      <c r="G1553">
        <v>4</v>
      </c>
      <c r="H1553">
        <v>2</v>
      </c>
      <c r="I1553">
        <v>1</v>
      </c>
      <c r="J1553">
        <v>2</v>
      </c>
      <c r="K1553">
        <v>2</v>
      </c>
    </row>
    <row r="1554" spans="7:11">
      <c r="G1554">
        <v>4</v>
      </c>
      <c r="H1554">
        <v>2</v>
      </c>
      <c r="I1554">
        <v>2</v>
      </c>
      <c r="J1554">
        <v>1</v>
      </c>
      <c r="K1554">
        <v>1</v>
      </c>
    </row>
    <row r="1555" spans="7:11">
      <c r="G1555">
        <v>4</v>
      </c>
      <c r="H1555">
        <v>2</v>
      </c>
      <c r="I1555">
        <v>2</v>
      </c>
      <c r="J1555">
        <v>2</v>
      </c>
      <c r="K1555">
        <v>2</v>
      </c>
    </row>
    <row r="1556" spans="7:11">
      <c r="G1556">
        <v>4</v>
      </c>
      <c r="H1556">
        <v>2</v>
      </c>
      <c r="I1556">
        <v>3</v>
      </c>
      <c r="J1556">
        <v>1</v>
      </c>
      <c r="K1556">
        <v>1</v>
      </c>
    </row>
    <row r="1557" spans="7:11">
      <c r="G1557">
        <v>4</v>
      </c>
      <c r="H1557">
        <v>2</v>
      </c>
      <c r="I1557">
        <v>3</v>
      </c>
      <c r="J1557">
        <v>2</v>
      </c>
      <c r="K1557">
        <v>2</v>
      </c>
    </row>
    <row r="1558" spans="7:11">
      <c r="G1558">
        <v>4</v>
      </c>
      <c r="H1558">
        <v>2</v>
      </c>
      <c r="I1558">
        <v>4</v>
      </c>
      <c r="J1558">
        <v>1</v>
      </c>
      <c r="K1558">
        <v>1</v>
      </c>
    </row>
    <row r="1559" spans="7:11">
      <c r="G1559">
        <v>4</v>
      </c>
      <c r="H1559">
        <v>2</v>
      </c>
      <c r="I1559">
        <v>4</v>
      </c>
      <c r="J1559">
        <v>2</v>
      </c>
      <c r="K1559">
        <v>2</v>
      </c>
    </row>
    <row r="1560" spans="7:11">
      <c r="G1560">
        <v>4</v>
      </c>
      <c r="H1560">
        <v>2</v>
      </c>
      <c r="I1560">
        <v>5</v>
      </c>
      <c r="J1560">
        <v>1</v>
      </c>
      <c r="K1560">
        <v>1</v>
      </c>
    </row>
    <row r="1561" spans="7:11">
      <c r="G1561">
        <v>4</v>
      </c>
      <c r="H1561">
        <v>2</v>
      </c>
      <c r="I1561">
        <v>5</v>
      </c>
      <c r="J1561">
        <v>2</v>
      </c>
      <c r="K1561">
        <v>2</v>
      </c>
    </row>
    <row r="1562" spans="7:11">
      <c r="G1562">
        <v>4</v>
      </c>
      <c r="H1562">
        <v>3</v>
      </c>
      <c r="I1562">
        <v>1</v>
      </c>
      <c r="J1562">
        <v>1</v>
      </c>
      <c r="K1562">
        <v>1</v>
      </c>
    </row>
    <row r="1563" spans="7:11">
      <c r="G1563">
        <v>4</v>
      </c>
      <c r="H1563">
        <v>3</v>
      </c>
      <c r="I1563">
        <v>1</v>
      </c>
      <c r="J1563">
        <v>2</v>
      </c>
      <c r="K1563">
        <v>2</v>
      </c>
    </row>
    <row r="1564" spans="7:11">
      <c r="G1564">
        <v>4</v>
      </c>
      <c r="H1564">
        <v>3</v>
      </c>
      <c r="I1564">
        <v>2</v>
      </c>
      <c r="J1564">
        <v>1</v>
      </c>
      <c r="K1564">
        <v>1</v>
      </c>
    </row>
    <row r="1565" spans="7:11">
      <c r="G1565">
        <v>4</v>
      </c>
      <c r="H1565">
        <v>3</v>
      </c>
      <c r="I1565">
        <v>2</v>
      </c>
      <c r="J1565">
        <v>2</v>
      </c>
      <c r="K1565">
        <v>2</v>
      </c>
    </row>
    <row r="1566" spans="7:11">
      <c r="G1566">
        <v>4</v>
      </c>
      <c r="H1566">
        <v>3</v>
      </c>
      <c r="I1566">
        <v>3</v>
      </c>
      <c r="J1566">
        <v>1</v>
      </c>
      <c r="K1566">
        <v>1</v>
      </c>
    </row>
    <row r="1567" spans="7:11">
      <c r="G1567">
        <v>4</v>
      </c>
      <c r="H1567">
        <v>3</v>
      </c>
      <c r="I1567">
        <v>3</v>
      </c>
      <c r="J1567">
        <v>2</v>
      </c>
      <c r="K1567">
        <v>2</v>
      </c>
    </row>
    <row r="1568" spans="7:11">
      <c r="G1568">
        <v>4</v>
      </c>
      <c r="H1568">
        <v>3</v>
      </c>
      <c r="I1568">
        <v>4</v>
      </c>
      <c r="J1568">
        <v>1</v>
      </c>
      <c r="K1568">
        <v>1</v>
      </c>
    </row>
    <row r="1569" spans="7:11">
      <c r="G1569">
        <v>4</v>
      </c>
      <c r="H1569">
        <v>3</v>
      </c>
      <c r="I1569">
        <v>4</v>
      </c>
      <c r="J1569">
        <v>2</v>
      </c>
      <c r="K1569">
        <v>2</v>
      </c>
    </row>
    <row r="1570" spans="7:11">
      <c r="G1570">
        <v>4</v>
      </c>
      <c r="H1570">
        <v>3</v>
      </c>
      <c r="I1570">
        <v>5</v>
      </c>
      <c r="J1570">
        <v>1</v>
      </c>
      <c r="K1570">
        <v>1</v>
      </c>
    </row>
    <row r="1571" spans="7:11">
      <c r="G1571">
        <v>4</v>
      </c>
      <c r="H1571">
        <v>3</v>
      </c>
      <c r="I1571">
        <v>5</v>
      </c>
      <c r="J1571">
        <v>2</v>
      </c>
      <c r="K1571">
        <v>2</v>
      </c>
    </row>
    <row r="1572" spans="7:11">
      <c r="G1572">
        <v>2</v>
      </c>
      <c r="H1572">
        <v>1</v>
      </c>
      <c r="I1572">
        <v>3</v>
      </c>
      <c r="J1572">
        <v>1</v>
      </c>
      <c r="K1572">
        <v>1</v>
      </c>
    </row>
    <row r="1573" spans="7:11">
      <c r="G1573">
        <v>2</v>
      </c>
      <c r="H1573">
        <v>1</v>
      </c>
      <c r="I1573">
        <v>3</v>
      </c>
      <c r="J1573">
        <v>2</v>
      </c>
      <c r="K1573">
        <v>2</v>
      </c>
    </row>
    <row r="1574" spans="7:11">
      <c r="G1574">
        <v>2</v>
      </c>
      <c r="H1574">
        <v>1</v>
      </c>
      <c r="I1574">
        <v>4</v>
      </c>
      <c r="J1574">
        <v>1</v>
      </c>
      <c r="K1574">
        <v>1</v>
      </c>
    </row>
    <row r="1575" spans="7:11">
      <c r="G1575">
        <v>2</v>
      </c>
      <c r="H1575">
        <v>1</v>
      </c>
      <c r="I1575">
        <v>4</v>
      </c>
      <c r="J1575">
        <v>2</v>
      </c>
      <c r="K1575">
        <v>2</v>
      </c>
    </row>
    <row r="1576" spans="7:11">
      <c r="G1576">
        <v>2</v>
      </c>
      <c r="H1576">
        <v>1</v>
      </c>
      <c r="I1576">
        <v>5</v>
      </c>
      <c r="J1576">
        <v>1</v>
      </c>
      <c r="K1576">
        <v>1</v>
      </c>
    </row>
    <row r="1577" spans="7:11">
      <c r="G1577">
        <v>2</v>
      </c>
      <c r="H1577">
        <v>1</v>
      </c>
      <c r="I1577">
        <v>5</v>
      </c>
      <c r="J1577">
        <v>2</v>
      </c>
      <c r="K1577">
        <v>2</v>
      </c>
    </row>
    <row r="1578" spans="7:11">
      <c r="G1578">
        <v>2</v>
      </c>
      <c r="H1578">
        <v>2</v>
      </c>
      <c r="I1578">
        <v>1</v>
      </c>
      <c r="J1578">
        <v>1</v>
      </c>
      <c r="K1578">
        <v>1</v>
      </c>
    </row>
    <row r="1579" spans="7:11">
      <c r="G1579">
        <v>2</v>
      </c>
      <c r="H1579">
        <v>2</v>
      </c>
      <c r="I1579">
        <v>1</v>
      </c>
      <c r="J1579">
        <v>2</v>
      </c>
      <c r="K1579">
        <v>2</v>
      </c>
    </row>
    <row r="1580" spans="7:11">
      <c r="G1580">
        <v>2</v>
      </c>
      <c r="H1580">
        <v>2</v>
      </c>
      <c r="I1580">
        <v>2</v>
      </c>
      <c r="J1580">
        <v>1</v>
      </c>
      <c r="K1580">
        <v>1</v>
      </c>
    </row>
    <row r="1581" spans="7:11">
      <c r="G1581">
        <v>2</v>
      </c>
      <c r="H1581">
        <v>2</v>
      </c>
      <c r="I1581">
        <v>2</v>
      </c>
      <c r="J1581">
        <v>2</v>
      </c>
      <c r="K1581">
        <v>2</v>
      </c>
    </row>
    <row r="1582" spans="7:11">
      <c r="G1582">
        <v>2</v>
      </c>
      <c r="H1582">
        <v>2</v>
      </c>
      <c r="I1582">
        <v>3</v>
      </c>
      <c r="J1582">
        <v>1</v>
      </c>
      <c r="K1582">
        <v>1</v>
      </c>
    </row>
    <row r="1583" spans="7:11">
      <c r="G1583">
        <v>2</v>
      </c>
      <c r="H1583">
        <v>2</v>
      </c>
      <c r="I1583">
        <v>3</v>
      </c>
      <c r="J1583">
        <v>2</v>
      </c>
      <c r="K1583">
        <v>2</v>
      </c>
    </row>
    <row r="1584" spans="7:11">
      <c r="G1584">
        <v>2</v>
      </c>
      <c r="H1584">
        <v>2</v>
      </c>
      <c r="I1584">
        <v>4</v>
      </c>
      <c r="J1584">
        <v>1</v>
      </c>
      <c r="K1584">
        <v>1</v>
      </c>
    </row>
    <row r="1585" spans="7:11">
      <c r="G1585">
        <v>2</v>
      </c>
      <c r="H1585">
        <v>2</v>
      </c>
      <c r="I1585">
        <v>4</v>
      </c>
      <c r="J1585">
        <v>2</v>
      </c>
      <c r="K1585">
        <v>2</v>
      </c>
    </row>
    <row r="1586" spans="7:11">
      <c r="G1586">
        <v>2</v>
      </c>
      <c r="H1586">
        <v>2</v>
      </c>
      <c r="I1586">
        <v>5</v>
      </c>
      <c r="J1586">
        <v>1</v>
      </c>
      <c r="K1586">
        <v>1</v>
      </c>
    </row>
    <row r="1587" spans="7:11">
      <c r="G1587">
        <v>2</v>
      </c>
      <c r="H1587">
        <v>2</v>
      </c>
      <c r="I1587">
        <v>5</v>
      </c>
      <c r="J1587">
        <v>2</v>
      </c>
      <c r="K1587">
        <v>2</v>
      </c>
    </row>
    <row r="1588" spans="7:11">
      <c r="G1588">
        <v>2</v>
      </c>
      <c r="H1588">
        <v>3</v>
      </c>
      <c r="I1588">
        <v>1</v>
      </c>
      <c r="J1588">
        <v>1</v>
      </c>
      <c r="K1588">
        <v>1</v>
      </c>
    </row>
    <row r="1589" spans="7:11">
      <c r="G1589">
        <v>2</v>
      </c>
      <c r="H1589">
        <v>3</v>
      </c>
      <c r="I1589">
        <v>1</v>
      </c>
      <c r="J1589">
        <v>2</v>
      </c>
      <c r="K1589">
        <v>2</v>
      </c>
    </row>
    <row r="1590" spans="7:11">
      <c r="G1590">
        <v>2</v>
      </c>
      <c r="H1590">
        <v>3</v>
      </c>
      <c r="I1590">
        <v>2</v>
      </c>
      <c r="J1590">
        <v>1</v>
      </c>
      <c r="K1590">
        <v>1</v>
      </c>
    </row>
    <row r="1591" spans="7:11">
      <c r="G1591">
        <v>2</v>
      </c>
      <c r="H1591">
        <v>3</v>
      </c>
      <c r="I1591">
        <v>2</v>
      </c>
      <c r="J1591">
        <v>2</v>
      </c>
      <c r="K1591">
        <v>2</v>
      </c>
    </row>
    <row r="1592" spans="7:11">
      <c r="G1592">
        <v>2</v>
      </c>
      <c r="H1592">
        <v>3</v>
      </c>
      <c r="I1592">
        <v>3</v>
      </c>
      <c r="J1592">
        <v>1</v>
      </c>
      <c r="K1592">
        <v>1</v>
      </c>
    </row>
    <row r="1593" spans="7:11">
      <c r="G1593">
        <v>2</v>
      </c>
      <c r="H1593">
        <v>3</v>
      </c>
      <c r="I1593">
        <v>3</v>
      </c>
      <c r="J1593">
        <v>2</v>
      </c>
      <c r="K1593">
        <v>2</v>
      </c>
    </row>
    <row r="1594" spans="7:11">
      <c r="G1594">
        <v>2</v>
      </c>
      <c r="H1594">
        <v>3</v>
      </c>
      <c r="I1594">
        <v>4</v>
      </c>
      <c r="J1594">
        <v>1</v>
      </c>
      <c r="K1594">
        <v>1</v>
      </c>
    </row>
    <row r="1595" spans="7:11">
      <c r="G1595">
        <v>2</v>
      </c>
      <c r="H1595">
        <v>3</v>
      </c>
      <c r="I1595">
        <v>4</v>
      </c>
      <c r="J1595">
        <v>2</v>
      </c>
      <c r="K1595">
        <v>2</v>
      </c>
    </row>
    <row r="1596" spans="7:11">
      <c r="G1596">
        <v>2</v>
      </c>
      <c r="H1596">
        <v>3</v>
      </c>
      <c r="I1596">
        <v>5</v>
      </c>
      <c r="J1596">
        <v>1</v>
      </c>
      <c r="K1596">
        <v>1</v>
      </c>
    </row>
    <row r="1597" spans="7:11">
      <c r="G1597">
        <v>2</v>
      </c>
      <c r="H1597">
        <v>3</v>
      </c>
      <c r="I1597">
        <v>5</v>
      </c>
      <c r="J1597">
        <v>2</v>
      </c>
      <c r="K1597">
        <v>2</v>
      </c>
    </row>
    <row r="1598" spans="7:11">
      <c r="G1598">
        <v>3</v>
      </c>
      <c r="H1598">
        <v>1</v>
      </c>
      <c r="I1598">
        <v>3</v>
      </c>
      <c r="J1598">
        <v>1</v>
      </c>
      <c r="K1598">
        <v>1</v>
      </c>
    </row>
    <row r="1599" spans="7:11">
      <c r="G1599">
        <v>3</v>
      </c>
      <c r="H1599">
        <v>1</v>
      </c>
      <c r="I1599">
        <v>3</v>
      </c>
      <c r="J1599">
        <v>2</v>
      </c>
      <c r="K1599">
        <v>2</v>
      </c>
    </row>
    <row r="1600" spans="7:11">
      <c r="G1600">
        <v>3</v>
      </c>
      <c r="H1600">
        <v>1</v>
      </c>
      <c r="I1600">
        <v>4</v>
      </c>
      <c r="J1600">
        <v>1</v>
      </c>
      <c r="K1600">
        <v>1</v>
      </c>
    </row>
    <row r="1601" spans="7:11">
      <c r="G1601">
        <v>3</v>
      </c>
      <c r="H1601">
        <v>1</v>
      </c>
      <c r="I1601">
        <v>4</v>
      </c>
      <c r="J1601">
        <v>2</v>
      </c>
      <c r="K1601">
        <v>2</v>
      </c>
    </row>
    <row r="1602" spans="7:11">
      <c r="G1602">
        <v>3</v>
      </c>
      <c r="H1602">
        <v>1</v>
      </c>
      <c r="I1602">
        <v>5</v>
      </c>
      <c r="J1602">
        <v>1</v>
      </c>
      <c r="K1602">
        <v>1</v>
      </c>
    </row>
    <row r="1603" spans="7:11">
      <c r="G1603">
        <v>3</v>
      </c>
      <c r="H1603">
        <v>1</v>
      </c>
      <c r="I1603">
        <v>5</v>
      </c>
      <c r="J1603">
        <v>2</v>
      </c>
      <c r="K1603">
        <v>2</v>
      </c>
    </row>
    <row r="1604" spans="7:11">
      <c r="G1604">
        <v>3</v>
      </c>
      <c r="H1604">
        <v>2</v>
      </c>
      <c r="I1604">
        <v>1</v>
      </c>
      <c r="J1604">
        <v>1</v>
      </c>
      <c r="K1604">
        <v>1</v>
      </c>
    </row>
    <row r="1605" spans="7:11">
      <c r="G1605">
        <v>3</v>
      </c>
      <c r="H1605">
        <v>2</v>
      </c>
      <c r="I1605">
        <v>1</v>
      </c>
      <c r="J1605">
        <v>2</v>
      </c>
      <c r="K1605">
        <v>2</v>
      </c>
    </row>
    <row r="1606" spans="7:11">
      <c r="G1606">
        <v>3</v>
      </c>
      <c r="H1606">
        <v>2</v>
      </c>
      <c r="I1606">
        <v>2</v>
      </c>
      <c r="J1606">
        <v>1</v>
      </c>
      <c r="K1606">
        <v>1</v>
      </c>
    </row>
    <row r="1607" spans="7:11">
      <c r="G1607">
        <v>3</v>
      </c>
      <c r="H1607">
        <v>2</v>
      </c>
      <c r="I1607">
        <v>2</v>
      </c>
      <c r="J1607">
        <v>2</v>
      </c>
      <c r="K1607">
        <v>2</v>
      </c>
    </row>
    <row r="1608" spans="7:11">
      <c r="G1608">
        <v>3</v>
      </c>
      <c r="H1608">
        <v>2</v>
      </c>
      <c r="I1608">
        <v>3</v>
      </c>
      <c r="J1608">
        <v>1</v>
      </c>
      <c r="K1608">
        <v>1</v>
      </c>
    </row>
    <row r="1609" spans="7:11">
      <c r="G1609">
        <v>3</v>
      </c>
      <c r="H1609">
        <v>2</v>
      </c>
      <c r="I1609">
        <v>3</v>
      </c>
      <c r="J1609">
        <v>2</v>
      </c>
      <c r="K1609">
        <v>2</v>
      </c>
    </row>
    <row r="1610" spans="7:11">
      <c r="G1610">
        <v>3</v>
      </c>
      <c r="H1610">
        <v>2</v>
      </c>
      <c r="I1610">
        <v>4</v>
      </c>
      <c r="J1610">
        <v>1</v>
      </c>
      <c r="K1610">
        <v>1</v>
      </c>
    </row>
    <row r="1611" spans="7:11">
      <c r="G1611">
        <v>3</v>
      </c>
      <c r="H1611">
        <v>2</v>
      </c>
      <c r="I1611">
        <v>4</v>
      </c>
      <c r="J1611">
        <v>2</v>
      </c>
      <c r="K1611">
        <v>2</v>
      </c>
    </row>
    <row r="1612" spans="7:11">
      <c r="G1612">
        <v>3</v>
      </c>
      <c r="H1612">
        <v>2</v>
      </c>
      <c r="I1612">
        <v>5</v>
      </c>
      <c r="J1612">
        <v>1</v>
      </c>
      <c r="K1612">
        <v>1</v>
      </c>
    </row>
    <row r="1613" spans="7:11">
      <c r="G1613">
        <v>3</v>
      </c>
      <c r="H1613">
        <v>2</v>
      </c>
      <c r="I1613">
        <v>5</v>
      </c>
      <c r="J1613">
        <v>2</v>
      </c>
      <c r="K1613">
        <v>2</v>
      </c>
    </row>
    <row r="1614" spans="7:11">
      <c r="G1614">
        <v>3</v>
      </c>
      <c r="H1614">
        <v>3</v>
      </c>
      <c r="I1614">
        <v>1</v>
      </c>
      <c r="J1614">
        <v>1</v>
      </c>
      <c r="K1614">
        <v>1</v>
      </c>
    </row>
    <row r="1615" spans="7:11">
      <c r="G1615">
        <v>3</v>
      </c>
      <c r="H1615">
        <v>3</v>
      </c>
      <c r="I1615">
        <v>1</v>
      </c>
      <c r="J1615">
        <v>2</v>
      </c>
      <c r="K1615">
        <v>2</v>
      </c>
    </row>
    <row r="1616" spans="7:11">
      <c r="G1616">
        <v>3</v>
      </c>
      <c r="H1616">
        <v>3</v>
      </c>
      <c r="I1616">
        <v>2</v>
      </c>
      <c r="J1616">
        <v>1</v>
      </c>
      <c r="K1616">
        <v>1</v>
      </c>
    </row>
    <row r="1617" spans="7:11">
      <c r="G1617">
        <v>3</v>
      </c>
      <c r="H1617">
        <v>3</v>
      </c>
      <c r="I1617">
        <v>2</v>
      </c>
      <c r="J1617">
        <v>2</v>
      </c>
      <c r="K1617">
        <v>2</v>
      </c>
    </row>
    <row r="1618" spans="7:11">
      <c r="G1618">
        <v>3</v>
      </c>
      <c r="H1618">
        <v>3</v>
      </c>
      <c r="I1618">
        <v>3</v>
      </c>
      <c r="J1618">
        <v>1</v>
      </c>
      <c r="K1618">
        <v>1</v>
      </c>
    </row>
    <row r="1619" spans="7:11">
      <c r="G1619">
        <v>3</v>
      </c>
      <c r="H1619">
        <v>3</v>
      </c>
      <c r="I1619">
        <v>3</v>
      </c>
      <c r="J1619">
        <v>2</v>
      </c>
      <c r="K1619">
        <v>2</v>
      </c>
    </row>
    <row r="1620" spans="7:11">
      <c r="G1620">
        <v>3</v>
      </c>
      <c r="H1620">
        <v>3</v>
      </c>
      <c r="I1620">
        <v>4</v>
      </c>
      <c r="J1620">
        <v>1</v>
      </c>
      <c r="K1620">
        <v>1</v>
      </c>
    </row>
    <row r="1621" spans="7:11">
      <c r="G1621">
        <v>3</v>
      </c>
      <c r="H1621">
        <v>3</v>
      </c>
      <c r="I1621">
        <v>4</v>
      </c>
      <c r="J1621">
        <v>2</v>
      </c>
      <c r="K1621">
        <v>2</v>
      </c>
    </row>
    <row r="1622" spans="7:11">
      <c r="G1622">
        <v>3</v>
      </c>
      <c r="H1622">
        <v>3</v>
      </c>
      <c r="I1622">
        <v>5</v>
      </c>
      <c r="J1622">
        <v>1</v>
      </c>
      <c r="K1622">
        <v>1</v>
      </c>
    </row>
    <row r="1623" spans="7:11">
      <c r="G1623">
        <v>3</v>
      </c>
      <c r="H1623">
        <v>3</v>
      </c>
      <c r="I1623">
        <v>5</v>
      </c>
      <c r="J1623">
        <v>2</v>
      </c>
      <c r="K1623">
        <v>2</v>
      </c>
    </row>
    <row r="1624" spans="7:11">
      <c r="G1624">
        <v>4</v>
      </c>
      <c r="H1624">
        <v>1</v>
      </c>
      <c r="I1624">
        <v>3</v>
      </c>
      <c r="J1624">
        <v>1</v>
      </c>
      <c r="K1624">
        <v>1</v>
      </c>
    </row>
    <row r="1625" spans="7:11">
      <c r="G1625">
        <v>4</v>
      </c>
      <c r="H1625">
        <v>1</v>
      </c>
      <c r="I1625">
        <v>3</v>
      </c>
      <c r="J1625">
        <v>2</v>
      </c>
      <c r="K1625">
        <v>2</v>
      </c>
    </row>
    <row r="1626" spans="7:11">
      <c r="G1626">
        <v>4</v>
      </c>
      <c r="H1626">
        <v>1</v>
      </c>
      <c r="I1626">
        <v>4</v>
      </c>
      <c r="J1626">
        <v>1</v>
      </c>
      <c r="K1626">
        <v>1</v>
      </c>
    </row>
    <row r="1627" spans="7:11">
      <c r="G1627">
        <v>4</v>
      </c>
      <c r="H1627">
        <v>1</v>
      </c>
      <c r="I1627">
        <v>4</v>
      </c>
      <c r="J1627">
        <v>2</v>
      </c>
      <c r="K1627">
        <v>2</v>
      </c>
    </row>
    <row r="1628" spans="7:11">
      <c r="G1628">
        <v>4</v>
      </c>
      <c r="H1628">
        <v>1</v>
      </c>
      <c r="I1628">
        <v>5</v>
      </c>
      <c r="J1628">
        <v>1</v>
      </c>
      <c r="K1628">
        <v>1</v>
      </c>
    </row>
    <row r="1629" spans="7:11">
      <c r="G1629">
        <v>4</v>
      </c>
      <c r="H1629">
        <v>1</v>
      </c>
      <c r="I1629">
        <v>5</v>
      </c>
      <c r="J1629">
        <v>2</v>
      </c>
      <c r="K1629">
        <v>2</v>
      </c>
    </row>
    <row r="1630" spans="7:11">
      <c r="G1630">
        <v>4</v>
      </c>
      <c r="H1630">
        <v>2</v>
      </c>
      <c r="I1630">
        <v>1</v>
      </c>
      <c r="J1630">
        <v>1</v>
      </c>
      <c r="K1630">
        <v>1</v>
      </c>
    </row>
    <row r="1631" spans="7:11">
      <c r="G1631">
        <v>4</v>
      </c>
      <c r="H1631">
        <v>2</v>
      </c>
      <c r="I1631">
        <v>1</v>
      </c>
      <c r="J1631">
        <v>2</v>
      </c>
      <c r="K1631">
        <v>2</v>
      </c>
    </row>
    <row r="1632" spans="7:11">
      <c r="G1632">
        <v>4</v>
      </c>
      <c r="H1632">
        <v>2</v>
      </c>
      <c r="I1632">
        <v>2</v>
      </c>
      <c r="J1632">
        <v>1</v>
      </c>
      <c r="K1632">
        <v>1</v>
      </c>
    </row>
    <row r="1633" spans="7:11">
      <c r="G1633">
        <v>4</v>
      </c>
      <c r="H1633">
        <v>2</v>
      </c>
      <c r="I1633">
        <v>2</v>
      </c>
      <c r="J1633">
        <v>2</v>
      </c>
      <c r="K1633">
        <v>2</v>
      </c>
    </row>
    <row r="1634" spans="7:11">
      <c r="G1634">
        <v>4</v>
      </c>
      <c r="H1634">
        <v>2</v>
      </c>
      <c r="I1634">
        <v>3</v>
      </c>
      <c r="J1634">
        <v>1</v>
      </c>
      <c r="K1634">
        <v>1</v>
      </c>
    </row>
    <row r="1635" spans="7:11">
      <c r="G1635">
        <v>4</v>
      </c>
      <c r="H1635">
        <v>2</v>
      </c>
      <c r="I1635">
        <v>3</v>
      </c>
      <c r="J1635">
        <v>2</v>
      </c>
      <c r="K1635">
        <v>2</v>
      </c>
    </row>
    <row r="1636" spans="7:11">
      <c r="G1636">
        <v>4</v>
      </c>
      <c r="H1636">
        <v>2</v>
      </c>
      <c r="I1636">
        <v>4</v>
      </c>
      <c r="J1636">
        <v>1</v>
      </c>
      <c r="K1636">
        <v>1</v>
      </c>
    </row>
    <row r="1637" spans="7:11">
      <c r="G1637">
        <v>4</v>
      </c>
      <c r="H1637">
        <v>2</v>
      </c>
      <c r="I1637">
        <v>4</v>
      </c>
      <c r="J1637">
        <v>2</v>
      </c>
      <c r="K1637">
        <v>2</v>
      </c>
    </row>
    <row r="1638" spans="7:11">
      <c r="G1638">
        <v>4</v>
      </c>
      <c r="H1638">
        <v>2</v>
      </c>
      <c r="I1638">
        <v>5</v>
      </c>
      <c r="J1638">
        <v>1</v>
      </c>
      <c r="K1638">
        <v>1</v>
      </c>
    </row>
    <row r="1639" spans="7:11">
      <c r="G1639">
        <v>4</v>
      </c>
      <c r="H1639">
        <v>2</v>
      </c>
      <c r="I1639">
        <v>5</v>
      </c>
      <c r="J1639">
        <v>2</v>
      </c>
      <c r="K1639">
        <v>2</v>
      </c>
    </row>
    <row r="1640" spans="7:11">
      <c r="G1640">
        <v>4</v>
      </c>
      <c r="H1640">
        <v>3</v>
      </c>
      <c r="I1640">
        <v>1</v>
      </c>
      <c r="J1640">
        <v>1</v>
      </c>
      <c r="K1640">
        <v>1</v>
      </c>
    </row>
    <row r="1641" spans="7:11">
      <c r="G1641">
        <v>4</v>
      </c>
      <c r="H1641">
        <v>3</v>
      </c>
      <c r="I1641">
        <v>1</v>
      </c>
      <c r="J1641">
        <v>2</v>
      </c>
      <c r="K1641">
        <v>2</v>
      </c>
    </row>
    <row r="1642" spans="7:11">
      <c r="G1642">
        <v>4</v>
      </c>
      <c r="H1642">
        <v>3</v>
      </c>
      <c r="I1642">
        <v>2</v>
      </c>
      <c r="J1642">
        <v>1</v>
      </c>
      <c r="K1642">
        <v>1</v>
      </c>
    </row>
    <row r="1643" spans="7:11">
      <c r="G1643">
        <v>4</v>
      </c>
      <c r="H1643">
        <v>3</v>
      </c>
      <c r="I1643">
        <v>2</v>
      </c>
      <c r="J1643">
        <v>2</v>
      </c>
      <c r="K1643">
        <v>2</v>
      </c>
    </row>
    <row r="1644" spans="7:11">
      <c r="G1644">
        <v>4</v>
      </c>
      <c r="H1644">
        <v>3</v>
      </c>
      <c r="I1644">
        <v>3</v>
      </c>
      <c r="J1644">
        <v>1</v>
      </c>
      <c r="K1644">
        <v>1</v>
      </c>
    </row>
    <row r="1645" spans="7:11">
      <c r="G1645">
        <v>4</v>
      </c>
      <c r="H1645">
        <v>3</v>
      </c>
      <c r="I1645">
        <v>3</v>
      </c>
      <c r="J1645">
        <v>2</v>
      </c>
      <c r="K1645">
        <v>2</v>
      </c>
    </row>
    <row r="1646" spans="7:11">
      <c r="G1646">
        <v>4</v>
      </c>
      <c r="H1646">
        <v>3</v>
      </c>
      <c r="I1646">
        <v>4</v>
      </c>
      <c r="J1646">
        <v>1</v>
      </c>
      <c r="K1646">
        <v>1</v>
      </c>
    </row>
    <row r="1647" spans="7:11">
      <c r="G1647">
        <v>4</v>
      </c>
      <c r="H1647">
        <v>3</v>
      </c>
      <c r="I1647">
        <v>4</v>
      </c>
      <c r="J1647">
        <v>2</v>
      </c>
      <c r="K1647">
        <v>2</v>
      </c>
    </row>
    <row r="1648" spans="7:11">
      <c r="G1648">
        <v>4</v>
      </c>
      <c r="H1648">
        <v>3</v>
      </c>
      <c r="I1648">
        <v>5</v>
      </c>
      <c r="J1648">
        <v>1</v>
      </c>
      <c r="K1648">
        <v>1</v>
      </c>
    </row>
    <row r="1649" spans="7:11">
      <c r="G1649">
        <v>4</v>
      </c>
      <c r="H1649">
        <v>3</v>
      </c>
      <c r="I1649">
        <v>5</v>
      </c>
      <c r="J1649">
        <v>2</v>
      </c>
      <c r="K1649">
        <v>2</v>
      </c>
    </row>
    <row r="1650" spans="7:11">
      <c r="G1650">
        <v>1</v>
      </c>
      <c r="H1650">
        <v>2</v>
      </c>
      <c r="I1650">
        <v>1</v>
      </c>
      <c r="J1650">
        <v>1</v>
      </c>
      <c r="K1650">
        <v>1</v>
      </c>
    </row>
    <row r="1651" spans="7:11">
      <c r="G1651">
        <v>1</v>
      </c>
      <c r="H1651">
        <v>2</v>
      </c>
      <c r="I1651">
        <v>1</v>
      </c>
      <c r="J1651">
        <v>2</v>
      </c>
      <c r="K1651">
        <v>2</v>
      </c>
    </row>
    <row r="1652" spans="7:11">
      <c r="G1652">
        <v>1</v>
      </c>
      <c r="H1652">
        <v>2</v>
      </c>
      <c r="I1652">
        <v>2</v>
      </c>
      <c r="J1652">
        <v>1</v>
      </c>
      <c r="K1652">
        <v>1</v>
      </c>
    </row>
    <row r="1653" spans="7:11">
      <c r="G1653">
        <v>1</v>
      </c>
      <c r="H1653">
        <v>2</v>
      </c>
      <c r="I1653">
        <v>2</v>
      </c>
      <c r="J1653">
        <v>2</v>
      </c>
      <c r="K1653">
        <v>2</v>
      </c>
    </row>
    <row r="1654" spans="7:11">
      <c r="G1654">
        <v>1</v>
      </c>
      <c r="H1654">
        <v>2</v>
      </c>
      <c r="I1654">
        <v>3</v>
      </c>
      <c r="J1654">
        <v>1</v>
      </c>
      <c r="K1654">
        <v>1</v>
      </c>
    </row>
    <row r="1655" spans="7:11">
      <c r="G1655">
        <v>1</v>
      </c>
      <c r="H1655">
        <v>2</v>
      </c>
      <c r="I1655">
        <v>3</v>
      </c>
      <c r="J1655">
        <v>2</v>
      </c>
      <c r="K1655">
        <v>2</v>
      </c>
    </row>
    <row r="1656" spans="7:11">
      <c r="G1656">
        <v>1</v>
      </c>
      <c r="H1656">
        <v>2</v>
      </c>
      <c r="I1656">
        <v>4</v>
      </c>
      <c r="J1656">
        <v>1</v>
      </c>
      <c r="K1656">
        <v>1</v>
      </c>
    </row>
    <row r="1657" spans="7:11">
      <c r="G1657">
        <v>1</v>
      </c>
      <c r="H1657">
        <v>2</v>
      </c>
      <c r="I1657">
        <v>4</v>
      </c>
      <c r="J1657">
        <v>2</v>
      </c>
      <c r="K1657">
        <v>2</v>
      </c>
    </row>
    <row r="1658" spans="7:11">
      <c r="G1658">
        <v>1</v>
      </c>
      <c r="H1658">
        <v>2</v>
      </c>
      <c r="I1658">
        <v>5</v>
      </c>
      <c r="J1658">
        <v>1</v>
      </c>
      <c r="K1658">
        <v>1</v>
      </c>
    </row>
    <row r="1659" spans="7:11">
      <c r="G1659">
        <v>1</v>
      </c>
      <c r="H1659">
        <v>2</v>
      </c>
      <c r="I1659">
        <v>5</v>
      </c>
      <c r="J1659">
        <v>2</v>
      </c>
      <c r="K1659">
        <v>2</v>
      </c>
    </row>
    <row r="1660" spans="7:11">
      <c r="G1660">
        <v>1</v>
      </c>
      <c r="H1660">
        <v>3</v>
      </c>
      <c r="I1660">
        <v>1</v>
      </c>
      <c r="J1660">
        <v>1</v>
      </c>
      <c r="K1660">
        <v>1</v>
      </c>
    </row>
    <row r="1661" spans="7:11">
      <c r="G1661">
        <v>1</v>
      </c>
      <c r="H1661">
        <v>3</v>
      </c>
      <c r="I1661">
        <v>1</v>
      </c>
      <c r="J1661">
        <v>2</v>
      </c>
      <c r="K1661">
        <v>2</v>
      </c>
    </row>
    <row r="1662" spans="7:11">
      <c r="G1662">
        <v>1</v>
      </c>
      <c r="H1662">
        <v>3</v>
      </c>
      <c r="I1662">
        <v>2</v>
      </c>
      <c r="J1662">
        <v>1</v>
      </c>
      <c r="K1662">
        <v>1</v>
      </c>
    </row>
    <row r="1663" spans="7:11">
      <c r="G1663">
        <v>1</v>
      </c>
      <c r="H1663">
        <v>3</v>
      </c>
      <c r="I1663">
        <v>2</v>
      </c>
      <c r="J1663">
        <v>2</v>
      </c>
      <c r="K1663">
        <v>2</v>
      </c>
    </row>
    <row r="1664" spans="7:11">
      <c r="G1664">
        <v>1</v>
      </c>
      <c r="H1664">
        <v>3</v>
      </c>
      <c r="I1664">
        <v>3</v>
      </c>
      <c r="J1664">
        <v>1</v>
      </c>
      <c r="K1664">
        <v>1</v>
      </c>
    </row>
    <row r="1665" spans="7:11">
      <c r="G1665">
        <v>1</v>
      </c>
      <c r="H1665">
        <v>3</v>
      </c>
      <c r="I1665">
        <v>3</v>
      </c>
      <c r="J1665">
        <v>2</v>
      </c>
      <c r="K1665">
        <v>2</v>
      </c>
    </row>
    <row r="1666" spans="7:11">
      <c r="G1666">
        <v>1</v>
      </c>
      <c r="H1666">
        <v>3</v>
      </c>
      <c r="I1666">
        <v>4</v>
      </c>
      <c r="J1666">
        <v>1</v>
      </c>
      <c r="K1666">
        <v>1</v>
      </c>
    </row>
    <row r="1667" spans="7:11">
      <c r="G1667">
        <v>1</v>
      </c>
      <c r="H1667">
        <v>3</v>
      </c>
      <c r="I1667">
        <v>4</v>
      </c>
      <c r="J1667">
        <v>2</v>
      </c>
      <c r="K1667">
        <v>2</v>
      </c>
    </row>
    <row r="1668" spans="7:11">
      <c r="G1668">
        <v>1</v>
      </c>
      <c r="H1668">
        <v>3</v>
      </c>
      <c r="I1668">
        <v>5</v>
      </c>
      <c r="J1668">
        <v>1</v>
      </c>
      <c r="K1668">
        <v>1</v>
      </c>
    </row>
    <row r="1669" spans="7:11">
      <c r="G1669">
        <v>1</v>
      </c>
      <c r="H1669">
        <v>3</v>
      </c>
      <c r="I1669">
        <v>5</v>
      </c>
      <c r="J1669">
        <v>2</v>
      </c>
      <c r="K1669">
        <v>2</v>
      </c>
    </row>
    <row r="1670" spans="7:11">
      <c r="G1670">
        <v>2</v>
      </c>
      <c r="H1670">
        <v>1</v>
      </c>
      <c r="I1670">
        <v>3</v>
      </c>
      <c r="J1670">
        <v>1</v>
      </c>
      <c r="K1670">
        <v>1</v>
      </c>
    </row>
    <row r="1671" spans="7:11">
      <c r="G1671">
        <v>2</v>
      </c>
      <c r="H1671">
        <v>1</v>
      </c>
      <c r="I1671">
        <v>3</v>
      </c>
      <c r="J1671">
        <v>2</v>
      </c>
      <c r="K1671">
        <v>2</v>
      </c>
    </row>
    <row r="1672" spans="7:11">
      <c r="G1672">
        <v>2</v>
      </c>
      <c r="H1672">
        <v>1</v>
      </c>
      <c r="I1672">
        <v>4</v>
      </c>
      <c r="J1672">
        <v>1</v>
      </c>
      <c r="K1672">
        <v>1</v>
      </c>
    </row>
    <row r="1673" spans="7:11">
      <c r="G1673">
        <v>2</v>
      </c>
      <c r="H1673">
        <v>1</v>
      </c>
      <c r="I1673">
        <v>4</v>
      </c>
      <c r="J1673">
        <v>2</v>
      </c>
      <c r="K1673">
        <v>2</v>
      </c>
    </row>
    <row r="1674" spans="7:11">
      <c r="G1674">
        <v>2</v>
      </c>
      <c r="H1674">
        <v>1</v>
      </c>
      <c r="I1674">
        <v>5</v>
      </c>
      <c r="J1674">
        <v>1</v>
      </c>
      <c r="K1674">
        <v>1</v>
      </c>
    </row>
    <row r="1675" spans="7:11">
      <c r="G1675">
        <v>2</v>
      </c>
      <c r="H1675">
        <v>1</v>
      </c>
      <c r="I1675">
        <v>5</v>
      </c>
      <c r="J1675">
        <v>2</v>
      </c>
      <c r="K1675">
        <v>2</v>
      </c>
    </row>
    <row r="1676" spans="7:11">
      <c r="G1676">
        <v>2</v>
      </c>
      <c r="H1676">
        <v>2</v>
      </c>
      <c r="I1676">
        <v>1</v>
      </c>
      <c r="J1676">
        <v>1</v>
      </c>
      <c r="K1676">
        <v>1</v>
      </c>
    </row>
    <row r="1677" spans="7:11">
      <c r="G1677">
        <v>2</v>
      </c>
      <c r="H1677">
        <v>2</v>
      </c>
      <c r="I1677">
        <v>1</v>
      </c>
      <c r="J1677">
        <v>2</v>
      </c>
      <c r="K1677">
        <v>2</v>
      </c>
    </row>
    <row r="1678" spans="7:11">
      <c r="G1678">
        <v>2</v>
      </c>
      <c r="H1678">
        <v>2</v>
      </c>
      <c r="I1678">
        <v>2</v>
      </c>
      <c r="J1678">
        <v>1</v>
      </c>
      <c r="K1678">
        <v>1</v>
      </c>
    </row>
    <row r="1679" spans="7:11">
      <c r="G1679">
        <v>2</v>
      </c>
      <c r="H1679">
        <v>2</v>
      </c>
      <c r="I1679">
        <v>2</v>
      </c>
      <c r="J1679">
        <v>2</v>
      </c>
      <c r="K1679">
        <v>2</v>
      </c>
    </row>
    <row r="1680" spans="7:11">
      <c r="G1680">
        <v>2</v>
      </c>
      <c r="H1680">
        <v>2</v>
      </c>
      <c r="I1680">
        <v>3</v>
      </c>
      <c r="J1680">
        <v>1</v>
      </c>
      <c r="K1680">
        <v>1</v>
      </c>
    </row>
    <row r="1681" spans="7:11">
      <c r="G1681">
        <v>2</v>
      </c>
      <c r="H1681">
        <v>2</v>
      </c>
      <c r="I1681">
        <v>3</v>
      </c>
      <c r="J1681">
        <v>2</v>
      </c>
      <c r="K1681">
        <v>2</v>
      </c>
    </row>
    <row r="1682" spans="7:11">
      <c r="G1682">
        <v>2</v>
      </c>
      <c r="H1682">
        <v>2</v>
      </c>
      <c r="I1682">
        <v>4</v>
      </c>
      <c r="J1682">
        <v>1</v>
      </c>
      <c r="K1682">
        <v>1</v>
      </c>
    </row>
    <row r="1683" spans="7:11">
      <c r="G1683">
        <v>2</v>
      </c>
      <c r="H1683">
        <v>2</v>
      </c>
      <c r="I1683">
        <v>4</v>
      </c>
      <c r="J1683">
        <v>2</v>
      </c>
      <c r="K1683">
        <v>2</v>
      </c>
    </row>
    <row r="1684" spans="7:11">
      <c r="G1684">
        <v>2</v>
      </c>
      <c r="H1684">
        <v>2</v>
      </c>
      <c r="I1684">
        <v>5</v>
      </c>
      <c r="J1684">
        <v>1</v>
      </c>
      <c r="K1684">
        <v>1</v>
      </c>
    </row>
    <row r="1685" spans="7:11">
      <c r="G1685">
        <v>2</v>
      </c>
      <c r="H1685">
        <v>2</v>
      </c>
      <c r="I1685">
        <v>5</v>
      </c>
      <c r="J1685">
        <v>2</v>
      </c>
      <c r="K1685">
        <v>2</v>
      </c>
    </row>
    <row r="1686" spans="7:11">
      <c r="G1686">
        <v>2</v>
      </c>
      <c r="H1686">
        <v>3</v>
      </c>
      <c r="I1686">
        <v>1</v>
      </c>
      <c r="J1686">
        <v>1</v>
      </c>
      <c r="K1686">
        <v>1</v>
      </c>
    </row>
    <row r="1687" spans="7:11">
      <c r="G1687">
        <v>2</v>
      </c>
      <c r="H1687">
        <v>3</v>
      </c>
      <c r="I1687">
        <v>1</v>
      </c>
      <c r="J1687">
        <v>2</v>
      </c>
      <c r="K1687">
        <v>2</v>
      </c>
    </row>
    <row r="1688" spans="7:11">
      <c r="G1688">
        <v>2</v>
      </c>
      <c r="H1688">
        <v>3</v>
      </c>
      <c r="I1688">
        <v>2</v>
      </c>
      <c r="J1688">
        <v>1</v>
      </c>
      <c r="K1688">
        <v>1</v>
      </c>
    </row>
    <row r="1689" spans="7:11">
      <c r="G1689">
        <v>2</v>
      </c>
      <c r="H1689">
        <v>3</v>
      </c>
      <c r="I1689">
        <v>2</v>
      </c>
      <c r="J1689">
        <v>2</v>
      </c>
      <c r="K1689">
        <v>2</v>
      </c>
    </row>
    <row r="1690" spans="7:11">
      <c r="G1690">
        <v>2</v>
      </c>
      <c r="H1690">
        <v>3</v>
      </c>
      <c r="I1690">
        <v>3</v>
      </c>
      <c r="J1690">
        <v>1</v>
      </c>
      <c r="K1690">
        <v>1</v>
      </c>
    </row>
    <row r="1691" spans="7:11">
      <c r="G1691">
        <v>2</v>
      </c>
      <c r="H1691">
        <v>3</v>
      </c>
      <c r="I1691">
        <v>3</v>
      </c>
      <c r="J1691">
        <v>2</v>
      </c>
      <c r="K1691">
        <v>2</v>
      </c>
    </row>
    <row r="1692" spans="7:11">
      <c r="G1692">
        <v>2</v>
      </c>
      <c r="H1692">
        <v>3</v>
      </c>
      <c r="I1692">
        <v>4</v>
      </c>
      <c r="J1692">
        <v>1</v>
      </c>
      <c r="K1692">
        <v>1</v>
      </c>
    </row>
    <row r="1693" spans="7:11">
      <c r="G1693">
        <v>2</v>
      </c>
      <c r="H1693">
        <v>3</v>
      </c>
      <c r="I1693">
        <v>4</v>
      </c>
      <c r="J1693">
        <v>2</v>
      </c>
      <c r="K1693">
        <v>2</v>
      </c>
    </row>
    <row r="1694" spans="7:11">
      <c r="G1694">
        <v>2</v>
      </c>
      <c r="H1694">
        <v>3</v>
      </c>
      <c r="I1694">
        <v>5</v>
      </c>
      <c r="J1694">
        <v>1</v>
      </c>
      <c r="K1694">
        <v>1</v>
      </c>
    </row>
    <row r="1695" spans="7:11">
      <c r="G1695">
        <v>2</v>
      </c>
      <c r="H1695">
        <v>3</v>
      </c>
      <c r="I1695">
        <v>5</v>
      </c>
      <c r="J1695">
        <v>2</v>
      </c>
      <c r="K1695">
        <v>2</v>
      </c>
    </row>
    <row r="1696" spans="7:11">
      <c r="G1696">
        <v>3</v>
      </c>
      <c r="H1696">
        <v>1</v>
      </c>
      <c r="I1696">
        <v>3</v>
      </c>
      <c r="J1696">
        <v>1</v>
      </c>
      <c r="K1696">
        <v>1</v>
      </c>
    </row>
    <row r="1697" spans="7:11">
      <c r="G1697">
        <v>3</v>
      </c>
      <c r="H1697">
        <v>1</v>
      </c>
      <c r="I1697">
        <v>3</v>
      </c>
      <c r="J1697">
        <v>2</v>
      </c>
      <c r="K1697">
        <v>2</v>
      </c>
    </row>
    <row r="1698" spans="7:11">
      <c r="G1698">
        <v>3</v>
      </c>
      <c r="H1698">
        <v>1</v>
      </c>
      <c r="I1698">
        <v>4</v>
      </c>
      <c r="J1698">
        <v>1</v>
      </c>
      <c r="K1698">
        <v>1</v>
      </c>
    </row>
    <row r="1699" spans="7:11">
      <c r="G1699">
        <v>3</v>
      </c>
      <c r="H1699">
        <v>1</v>
      </c>
      <c r="I1699">
        <v>4</v>
      </c>
      <c r="J1699">
        <v>2</v>
      </c>
      <c r="K1699">
        <v>2</v>
      </c>
    </row>
    <row r="1700" spans="7:11">
      <c r="G1700">
        <v>3</v>
      </c>
      <c r="H1700">
        <v>1</v>
      </c>
      <c r="I1700">
        <v>5</v>
      </c>
      <c r="J1700">
        <v>1</v>
      </c>
      <c r="K1700">
        <v>1</v>
      </c>
    </row>
    <row r="1701" spans="7:11">
      <c r="G1701">
        <v>3</v>
      </c>
      <c r="H1701">
        <v>1</v>
      </c>
      <c r="I1701">
        <v>5</v>
      </c>
      <c r="J1701">
        <v>2</v>
      </c>
      <c r="K1701">
        <v>2</v>
      </c>
    </row>
    <row r="1702" spans="7:11">
      <c r="G1702">
        <v>3</v>
      </c>
      <c r="H1702">
        <v>2</v>
      </c>
      <c r="I1702">
        <v>1</v>
      </c>
      <c r="J1702">
        <v>1</v>
      </c>
      <c r="K1702">
        <v>1</v>
      </c>
    </row>
    <row r="1703" spans="7:11">
      <c r="G1703">
        <v>3</v>
      </c>
      <c r="H1703">
        <v>2</v>
      </c>
      <c r="I1703">
        <v>1</v>
      </c>
      <c r="J1703">
        <v>2</v>
      </c>
      <c r="K1703">
        <v>2</v>
      </c>
    </row>
    <row r="1704" spans="7:11">
      <c r="G1704">
        <v>3</v>
      </c>
      <c r="H1704">
        <v>2</v>
      </c>
      <c r="I1704">
        <v>2</v>
      </c>
      <c r="J1704">
        <v>1</v>
      </c>
      <c r="K1704">
        <v>1</v>
      </c>
    </row>
    <row r="1705" spans="7:11">
      <c r="G1705">
        <v>3</v>
      </c>
      <c r="H1705">
        <v>2</v>
      </c>
      <c r="I1705">
        <v>2</v>
      </c>
      <c r="J1705">
        <v>2</v>
      </c>
      <c r="K1705">
        <v>2</v>
      </c>
    </row>
    <row r="1706" spans="7:11">
      <c r="G1706">
        <v>3</v>
      </c>
      <c r="H1706">
        <v>2</v>
      </c>
      <c r="I1706">
        <v>3</v>
      </c>
      <c r="J1706">
        <v>1</v>
      </c>
      <c r="K1706">
        <v>1</v>
      </c>
    </row>
    <row r="1707" spans="7:11">
      <c r="G1707">
        <v>3</v>
      </c>
      <c r="H1707">
        <v>2</v>
      </c>
      <c r="I1707">
        <v>3</v>
      </c>
      <c r="J1707">
        <v>2</v>
      </c>
      <c r="K1707">
        <v>2</v>
      </c>
    </row>
    <row r="1708" spans="7:11">
      <c r="G1708">
        <v>3</v>
      </c>
      <c r="H1708">
        <v>2</v>
      </c>
      <c r="I1708">
        <v>4</v>
      </c>
      <c r="J1708">
        <v>1</v>
      </c>
      <c r="K1708">
        <v>1</v>
      </c>
    </row>
    <row r="1709" spans="7:11">
      <c r="G1709">
        <v>3</v>
      </c>
      <c r="H1709">
        <v>2</v>
      </c>
      <c r="I1709">
        <v>4</v>
      </c>
      <c r="J1709">
        <v>2</v>
      </c>
      <c r="K1709">
        <v>2</v>
      </c>
    </row>
    <row r="1710" spans="7:11">
      <c r="G1710">
        <v>3</v>
      </c>
      <c r="H1710">
        <v>2</v>
      </c>
      <c r="I1710">
        <v>5</v>
      </c>
      <c r="J1710">
        <v>1</v>
      </c>
      <c r="K1710">
        <v>1</v>
      </c>
    </row>
    <row r="1711" spans="7:11">
      <c r="G1711">
        <v>3</v>
      </c>
      <c r="H1711">
        <v>2</v>
      </c>
      <c r="I1711">
        <v>5</v>
      </c>
      <c r="J1711">
        <v>2</v>
      </c>
      <c r="K1711">
        <v>2</v>
      </c>
    </row>
    <row r="1712" spans="7:11">
      <c r="G1712">
        <v>3</v>
      </c>
      <c r="H1712">
        <v>3</v>
      </c>
      <c r="I1712">
        <v>1</v>
      </c>
      <c r="J1712">
        <v>1</v>
      </c>
      <c r="K1712">
        <v>1</v>
      </c>
    </row>
    <row r="1713" spans="7:11">
      <c r="G1713">
        <v>3</v>
      </c>
      <c r="H1713">
        <v>3</v>
      </c>
      <c r="I1713">
        <v>1</v>
      </c>
      <c r="J1713">
        <v>2</v>
      </c>
      <c r="K1713">
        <v>2</v>
      </c>
    </row>
    <row r="1714" spans="7:11">
      <c r="G1714">
        <v>3</v>
      </c>
      <c r="H1714">
        <v>3</v>
      </c>
      <c r="I1714">
        <v>2</v>
      </c>
      <c r="J1714">
        <v>1</v>
      </c>
      <c r="K1714">
        <v>1</v>
      </c>
    </row>
    <row r="1715" spans="7:11">
      <c r="G1715">
        <v>3</v>
      </c>
      <c r="H1715">
        <v>3</v>
      </c>
      <c r="I1715">
        <v>2</v>
      </c>
      <c r="J1715">
        <v>2</v>
      </c>
      <c r="K1715">
        <v>2</v>
      </c>
    </row>
    <row r="1716" spans="7:11">
      <c r="G1716">
        <v>3</v>
      </c>
      <c r="H1716">
        <v>3</v>
      </c>
      <c r="I1716">
        <v>3</v>
      </c>
      <c r="J1716">
        <v>1</v>
      </c>
      <c r="K1716">
        <v>1</v>
      </c>
    </row>
    <row r="1717" spans="7:11">
      <c r="G1717">
        <v>3</v>
      </c>
      <c r="H1717">
        <v>3</v>
      </c>
      <c r="I1717">
        <v>3</v>
      </c>
      <c r="J1717">
        <v>2</v>
      </c>
      <c r="K1717">
        <v>2</v>
      </c>
    </row>
    <row r="1718" spans="7:11">
      <c r="G1718">
        <v>3</v>
      </c>
      <c r="H1718">
        <v>3</v>
      </c>
      <c r="I1718">
        <v>4</v>
      </c>
      <c r="J1718">
        <v>1</v>
      </c>
      <c r="K1718">
        <v>1</v>
      </c>
    </row>
    <row r="1719" spans="7:11">
      <c r="G1719">
        <v>3</v>
      </c>
      <c r="H1719">
        <v>3</v>
      </c>
      <c r="I1719">
        <v>4</v>
      </c>
      <c r="J1719">
        <v>2</v>
      </c>
      <c r="K1719">
        <v>2</v>
      </c>
    </row>
    <row r="1720" spans="7:11">
      <c r="G1720">
        <v>3</v>
      </c>
      <c r="H1720">
        <v>3</v>
      </c>
      <c r="I1720">
        <v>5</v>
      </c>
      <c r="J1720">
        <v>1</v>
      </c>
      <c r="K1720">
        <v>1</v>
      </c>
    </row>
    <row r="1721" spans="7:11">
      <c r="G1721">
        <v>3</v>
      </c>
      <c r="H1721">
        <v>3</v>
      </c>
      <c r="I1721">
        <v>5</v>
      </c>
      <c r="J1721">
        <v>2</v>
      </c>
      <c r="K1721">
        <v>2</v>
      </c>
    </row>
    <row r="1722" spans="7:11">
      <c r="G1722">
        <v>4</v>
      </c>
      <c r="H1722">
        <v>1</v>
      </c>
      <c r="I1722">
        <v>3</v>
      </c>
      <c r="J1722">
        <v>1</v>
      </c>
      <c r="K1722">
        <v>1</v>
      </c>
    </row>
    <row r="1723" spans="7:11">
      <c r="G1723">
        <v>4</v>
      </c>
      <c r="H1723">
        <v>1</v>
      </c>
      <c r="I1723">
        <v>3</v>
      </c>
      <c r="J1723">
        <v>2</v>
      </c>
      <c r="K1723">
        <v>2</v>
      </c>
    </row>
    <row r="1724" spans="7:11">
      <c r="G1724">
        <v>4</v>
      </c>
      <c r="H1724">
        <v>1</v>
      </c>
      <c r="I1724">
        <v>4</v>
      </c>
      <c r="J1724">
        <v>1</v>
      </c>
      <c r="K1724">
        <v>1</v>
      </c>
    </row>
    <row r="1725" spans="7:11">
      <c r="G1725">
        <v>4</v>
      </c>
      <c r="H1725">
        <v>1</v>
      </c>
      <c r="I1725">
        <v>4</v>
      </c>
      <c r="J1725">
        <v>2</v>
      </c>
      <c r="K1725">
        <v>2</v>
      </c>
    </row>
    <row r="1726" spans="7:11">
      <c r="G1726">
        <v>4</v>
      </c>
      <c r="H1726">
        <v>1</v>
      </c>
      <c r="I1726">
        <v>5</v>
      </c>
      <c r="J1726">
        <v>1</v>
      </c>
      <c r="K1726">
        <v>1</v>
      </c>
    </row>
    <row r="1727" spans="7:11">
      <c r="G1727">
        <v>4</v>
      </c>
      <c r="H1727">
        <v>1</v>
      </c>
      <c r="I1727">
        <v>5</v>
      </c>
      <c r="J1727">
        <v>2</v>
      </c>
      <c r="K1727">
        <v>2</v>
      </c>
    </row>
    <row r="1728" spans="7:11">
      <c r="G1728">
        <v>4</v>
      </c>
      <c r="H1728">
        <v>2</v>
      </c>
      <c r="I1728">
        <v>1</v>
      </c>
      <c r="J1728">
        <v>1</v>
      </c>
      <c r="K1728">
        <v>1</v>
      </c>
    </row>
    <row r="1729" spans="7:11">
      <c r="G1729">
        <v>4</v>
      </c>
      <c r="H1729">
        <v>2</v>
      </c>
      <c r="I1729">
        <v>1</v>
      </c>
      <c r="J1729">
        <v>2</v>
      </c>
      <c r="K1729">
        <v>2</v>
      </c>
    </row>
    <row r="1730" spans="7:11">
      <c r="G1730">
        <v>4</v>
      </c>
      <c r="H1730">
        <v>2</v>
      </c>
      <c r="I1730">
        <v>2</v>
      </c>
      <c r="J1730">
        <v>1</v>
      </c>
      <c r="K1730">
        <v>1</v>
      </c>
    </row>
    <row r="1731" spans="7:11">
      <c r="G1731">
        <v>4</v>
      </c>
      <c r="H1731">
        <v>2</v>
      </c>
      <c r="I1731">
        <v>2</v>
      </c>
      <c r="J1731">
        <v>2</v>
      </c>
      <c r="K1731">
        <v>2</v>
      </c>
    </row>
    <row r="1732" spans="7:11">
      <c r="G1732">
        <v>4</v>
      </c>
      <c r="H1732">
        <v>2</v>
      </c>
      <c r="I1732">
        <v>3</v>
      </c>
      <c r="J1732">
        <v>1</v>
      </c>
      <c r="K1732">
        <v>1</v>
      </c>
    </row>
    <row r="1733" spans="7:11">
      <c r="G1733">
        <v>4</v>
      </c>
      <c r="H1733">
        <v>2</v>
      </c>
      <c r="I1733">
        <v>3</v>
      </c>
      <c r="J1733">
        <v>2</v>
      </c>
      <c r="K1733">
        <v>2</v>
      </c>
    </row>
    <row r="1734" spans="7:11">
      <c r="G1734">
        <v>4</v>
      </c>
      <c r="H1734">
        <v>2</v>
      </c>
      <c r="I1734">
        <v>4</v>
      </c>
      <c r="J1734">
        <v>1</v>
      </c>
      <c r="K1734">
        <v>1</v>
      </c>
    </row>
    <row r="1735" spans="7:11">
      <c r="G1735">
        <v>4</v>
      </c>
      <c r="H1735">
        <v>2</v>
      </c>
      <c r="I1735">
        <v>4</v>
      </c>
      <c r="J1735">
        <v>2</v>
      </c>
      <c r="K1735">
        <v>2</v>
      </c>
    </row>
    <row r="1736" spans="7:11">
      <c r="G1736">
        <v>4</v>
      </c>
      <c r="H1736">
        <v>2</v>
      </c>
      <c r="I1736">
        <v>5</v>
      </c>
      <c r="J1736">
        <v>1</v>
      </c>
      <c r="K1736">
        <v>1</v>
      </c>
    </row>
    <row r="1737" spans="7:11">
      <c r="G1737">
        <v>4</v>
      </c>
      <c r="H1737">
        <v>2</v>
      </c>
      <c r="I1737">
        <v>5</v>
      </c>
      <c r="J1737">
        <v>2</v>
      </c>
      <c r="K1737">
        <v>2</v>
      </c>
    </row>
    <row r="1738" spans="7:11">
      <c r="G1738">
        <v>4</v>
      </c>
      <c r="H1738">
        <v>3</v>
      </c>
      <c r="I1738">
        <v>1</v>
      </c>
      <c r="J1738">
        <v>1</v>
      </c>
      <c r="K1738">
        <v>1</v>
      </c>
    </row>
    <row r="1739" spans="7:11">
      <c r="G1739">
        <v>4</v>
      </c>
      <c r="H1739">
        <v>3</v>
      </c>
      <c r="I1739">
        <v>1</v>
      </c>
      <c r="J1739">
        <v>2</v>
      </c>
      <c r="K1739">
        <v>2</v>
      </c>
    </row>
    <row r="1740" spans="7:11">
      <c r="G1740">
        <v>4</v>
      </c>
      <c r="H1740">
        <v>3</v>
      </c>
      <c r="I1740">
        <v>2</v>
      </c>
      <c r="J1740">
        <v>1</v>
      </c>
      <c r="K1740">
        <v>1</v>
      </c>
    </row>
    <row r="1741" spans="7:11">
      <c r="G1741">
        <v>4</v>
      </c>
      <c r="H1741">
        <v>3</v>
      </c>
      <c r="I1741">
        <v>2</v>
      </c>
      <c r="J1741">
        <v>2</v>
      </c>
      <c r="K1741">
        <v>2</v>
      </c>
    </row>
    <row r="1742" spans="7:11">
      <c r="G1742">
        <v>4</v>
      </c>
      <c r="H1742">
        <v>3</v>
      </c>
      <c r="I1742">
        <v>3</v>
      </c>
      <c r="J1742">
        <v>1</v>
      </c>
      <c r="K1742">
        <v>1</v>
      </c>
    </row>
    <row r="1743" spans="7:11">
      <c r="G1743">
        <v>4</v>
      </c>
      <c r="H1743">
        <v>3</v>
      </c>
      <c r="I1743">
        <v>3</v>
      </c>
      <c r="J1743">
        <v>2</v>
      </c>
      <c r="K1743">
        <v>2</v>
      </c>
    </row>
    <row r="1744" spans="7:11">
      <c r="G1744">
        <v>4</v>
      </c>
      <c r="H1744">
        <v>3</v>
      </c>
      <c r="I1744">
        <v>4</v>
      </c>
      <c r="J1744">
        <v>1</v>
      </c>
      <c r="K1744">
        <v>1</v>
      </c>
    </row>
    <row r="1745" spans="7:11">
      <c r="G1745">
        <v>4</v>
      </c>
      <c r="H1745">
        <v>3</v>
      </c>
      <c r="I1745">
        <v>4</v>
      </c>
      <c r="J1745">
        <v>2</v>
      </c>
      <c r="K1745">
        <v>2</v>
      </c>
    </row>
    <row r="1746" spans="7:11">
      <c r="G1746">
        <v>4</v>
      </c>
      <c r="H1746">
        <v>3</v>
      </c>
      <c r="I1746">
        <v>5</v>
      </c>
      <c r="J1746">
        <v>1</v>
      </c>
      <c r="K1746">
        <v>1</v>
      </c>
    </row>
    <row r="1747" spans="7:11">
      <c r="G1747">
        <v>4</v>
      </c>
      <c r="H1747">
        <v>3</v>
      </c>
      <c r="I1747">
        <v>5</v>
      </c>
      <c r="J1747">
        <v>2</v>
      </c>
      <c r="K1747">
        <v>2</v>
      </c>
    </row>
    <row r="1748" spans="7:11">
      <c r="G1748">
        <v>1</v>
      </c>
      <c r="H1748">
        <v>2</v>
      </c>
      <c r="I1748">
        <v>1</v>
      </c>
      <c r="J1748">
        <v>1</v>
      </c>
      <c r="K1748">
        <v>1</v>
      </c>
    </row>
    <row r="1749" spans="7:11">
      <c r="G1749">
        <v>1</v>
      </c>
      <c r="H1749">
        <v>2</v>
      </c>
      <c r="I1749">
        <v>1</v>
      </c>
      <c r="J1749">
        <v>2</v>
      </c>
      <c r="K1749">
        <v>2</v>
      </c>
    </row>
    <row r="1750" spans="7:11">
      <c r="G1750">
        <v>1</v>
      </c>
      <c r="H1750">
        <v>2</v>
      </c>
      <c r="I1750">
        <v>2</v>
      </c>
      <c r="J1750">
        <v>1</v>
      </c>
      <c r="K1750">
        <v>1</v>
      </c>
    </row>
    <row r="1751" spans="7:11">
      <c r="G1751">
        <v>1</v>
      </c>
      <c r="H1751">
        <v>2</v>
      </c>
      <c r="I1751">
        <v>2</v>
      </c>
      <c r="J1751">
        <v>2</v>
      </c>
      <c r="K1751">
        <v>2</v>
      </c>
    </row>
    <row r="1752" spans="7:11">
      <c r="G1752">
        <v>1</v>
      </c>
      <c r="H1752">
        <v>2</v>
      </c>
      <c r="I1752">
        <v>3</v>
      </c>
      <c r="J1752">
        <v>1</v>
      </c>
      <c r="K1752">
        <v>1</v>
      </c>
    </row>
    <row r="1753" spans="7:11">
      <c r="G1753">
        <v>1</v>
      </c>
      <c r="H1753">
        <v>2</v>
      </c>
      <c r="I1753">
        <v>3</v>
      </c>
      <c r="J1753">
        <v>2</v>
      </c>
      <c r="K1753">
        <v>2</v>
      </c>
    </row>
    <row r="1754" spans="7:11">
      <c r="G1754">
        <v>1</v>
      </c>
      <c r="H1754">
        <v>2</v>
      </c>
      <c r="I1754">
        <v>4</v>
      </c>
      <c r="J1754">
        <v>1</v>
      </c>
      <c r="K1754">
        <v>1</v>
      </c>
    </row>
    <row r="1755" spans="7:11">
      <c r="G1755">
        <v>1</v>
      </c>
      <c r="H1755">
        <v>2</v>
      </c>
      <c r="I1755">
        <v>4</v>
      </c>
      <c r="J1755">
        <v>2</v>
      </c>
      <c r="K1755">
        <v>2</v>
      </c>
    </row>
    <row r="1756" spans="7:11">
      <c r="G1756">
        <v>1</v>
      </c>
      <c r="H1756">
        <v>2</v>
      </c>
      <c r="I1756">
        <v>5</v>
      </c>
      <c r="J1756">
        <v>1</v>
      </c>
      <c r="K1756">
        <v>1</v>
      </c>
    </row>
    <row r="1757" spans="7:11">
      <c r="G1757">
        <v>1</v>
      </c>
      <c r="H1757">
        <v>2</v>
      </c>
      <c r="I1757">
        <v>5</v>
      </c>
      <c r="J1757">
        <v>2</v>
      </c>
      <c r="K1757">
        <v>2</v>
      </c>
    </row>
    <row r="1758" spans="7:11">
      <c r="G1758">
        <v>1</v>
      </c>
      <c r="H1758">
        <v>3</v>
      </c>
      <c r="I1758">
        <v>1</v>
      </c>
      <c r="J1758">
        <v>1</v>
      </c>
      <c r="K1758">
        <v>1</v>
      </c>
    </row>
    <row r="1759" spans="7:11">
      <c r="G1759">
        <v>1</v>
      </c>
      <c r="H1759">
        <v>3</v>
      </c>
      <c r="I1759">
        <v>1</v>
      </c>
      <c r="J1759">
        <v>2</v>
      </c>
      <c r="K1759">
        <v>2</v>
      </c>
    </row>
    <row r="1760" spans="7:11">
      <c r="G1760">
        <v>1</v>
      </c>
      <c r="H1760">
        <v>3</v>
      </c>
      <c r="I1760">
        <v>2</v>
      </c>
      <c r="J1760">
        <v>1</v>
      </c>
      <c r="K1760">
        <v>1</v>
      </c>
    </row>
    <row r="1761" spans="7:11">
      <c r="G1761">
        <v>1</v>
      </c>
      <c r="H1761">
        <v>3</v>
      </c>
      <c r="I1761">
        <v>2</v>
      </c>
      <c r="J1761">
        <v>2</v>
      </c>
      <c r="K1761">
        <v>2</v>
      </c>
    </row>
    <row r="1762" spans="7:11">
      <c r="G1762">
        <v>1</v>
      </c>
      <c r="H1762">
        <v>3</v>
      </c>
      <c r="I1762">
        <v>3</v>
      </c>
      <c r="J1762">
        <v>1</v>
      </c>
      <c r="K1762">
        <v>1</v>
      </c>
    </row>
    <row r="1763" spans="7:11">
      <c r="G1763">
        <v>1</v>
      </c>
      <c r="H1763">
        <v>3</v>
      </c>
      <c r="I1763">
        <v>3</v>
      </c>
      <c r="J1763">
        <v>2</v>
      </c>
      <c r="K1763">
        <v>2</v>
      </c>
    </row>
    <row r="1764" spans="7:11">
      <c r="G1764">
        <v>1</v>
      </c>
      <c r="H1764">
        <v>3</v>
      </c>
      <c r="I1764">
        <v>4</v>
      </c>
      <c r="J1764">
        <v>1</v>
      </c>
      <c r="K1764">
        <v>1</v>
      </c>
    </row>
    <row r="1765" spans="7:11">
      <c r="G1765">
        <v>1</v>
      </c>
      <c r="H1765">
        <v>3</v>
      </c>
      <c r="I1765">
        <v>4</v>
      </c>
      <c r="J1765">
        <v>2</v>
      </c>
      <c r="K1765">
        <v>2</v>
      </c>
    </row>
    <row r="1766" spans="7:11">
      <c r="G1766">
        <v>1</v>
      </c>
      <c r="H1766">
        <v>3</v>
      </c>
      <c r="I1766">
        <v>5</v>
      </c>
      <c r="J1766">
        <v>1</v>
      </c>
      <c r="K1766">
        <v>1</v>
      </c>
    </row>
    <row r="1767" spans="7:11">
      <c r="G1767">
        <v>1</v>
      </c>
      <c r="H1767">
        <v>3</v>
      </c>
      <c r="I1767">
        <v>5</v>
      </c>
      <c r="J1767">
        <v>2</v>
      </c>
      <c r="K1767">
        <v>2</v>
      </c>
    </row>
    <row r="1768" spans="7:11">
      <c r="G1768">
        <v>2</v>
      </c>
      <c r="H1768">
        <v>1</v>
      </c>
      <c r="I1768">
        <v>3</v>
      </c>
      <c r="J1768">
        <v>1</v>
      </c>
      <c r="K1768">
        <v>1</v>
      </c>
    </row>
    <row r="1769" spans="7:11">
      <c r="G1769">
        <v>2</v>
      </c>
      <c r="H1769">
        <v>1</v>
      </c>
      <c r="I1769">
        <v>3</v>
      </c>
      <c r="J1769">
        <v>2</v>
      </c>
      <c r="K1769">
        <v>2</v>
      </c>
    </row>
    <row r="1770" spans="7:11">
      <c r="G1770">
        <v>2</v>
      </c>
      <c r="H1770">
        <v>1</v>
      </c>
      <c r="I1770">
        <v>4</v>
      </c>
      <c r="J1770">
        <v>1</v>
      </c>
      <c r="K1770">
        <v>1</v>
      </c>
    </row>
    <row r="1771" spans="7:11">
      <c r="G1771">
        <v>2</v>
      </c>
      <c r="H1771">
        <v>1</v>
      </c>
      <c r="I1771">
        <v>4</v>
      </c>
      <c r="J1771">
        <v>2</v>
      </c>
      <c r="K1771">
        <v>2</v>
      </c>
    </row>
    <row r="1772" spans="7:11">
      <c r="G1772">
        <v>2</v>
      </c>
      <c r="H1772">
        <v>1</v>
      </c>
      <c r="I1772">
        <v>5</v>
      </c>
      <c r="J1772">
        <v>1</v>
      </c>
      <c r="K1772">
        <v>1</v>
      </c>
    </row>
    <row r="1773" spans="7:11">
      <c r="G1773">
        <v>2</v>
      </c>
      <c r="H1773">
        <v>1</v>
      </c>
      <c r="I1773">
        <v>5</v>
      </c>
      <c r="J1773">
        <v>2</v>
      </c>
      <c r="K1773">
        <v>2</v>
      </c>
    </row>
    <row r="1774" spans="7:11">
      <c r="G1774">
        <v>2</v>
      </c>
      <c r="H1774">
        <v>2</v>
      </c>
      <c r="I1774">
        <v>1</v>
      </c>
      <c r="J1774">
        <v>1</v>
      </c>
      <c r="K1774">
        <v>1</v>
      </c>
    </row>
    <row r="1775" spans="7:11">
      <c r="G1775">
        <v>2</v>
      </c>
      <c r="H1775">
        <v>2</v>
      </c>
      <c r="I1775">
        <v>1</v>
      </c>
      <c r="J1775">
        <v>2</v>
      </c>
      <c r="K1775">
        <v>2</v>
      </c>
    </row>
    <row r="1776" spans="7:11">
      <c r="G1776">
        <v>2</v>
      </c>
      <c r="H1776">
        <v>2</v>
      </c>
      <c r="I1776">
        <v>2</v>
      </c>
      <c r="J1776">
        <v>1</v>
      </c>
      <c r="K1776">
        <v>1</v>
      </c>
    </row>
    <row r="1777" spans="7:11">
      <c r="G1777">
        <v>2</v>
      </c>
      <c r="H1777">
        <v>2</v>
      </c>
      <c r="I1777">
        <v>2</v>
      </c>
      <c r="J1777">
        <v>2</v>
      </c>
      <c r="K1777">
        <v>2</v>
      </c>
    </row>
    <row r="1778" spans="7:11">
      <c r="G1778">
        <v>2</v>
      </c>
      <c r="H1778">
        <v>2</v>
      </c>
      <c r="I1778">
        <v>3</v>
      </c>
      <c r="J1778">
        <v>1</v>
      </c>
      <c r="K1778">
        <v>1</v>
      </c>
    </row>
    <row r="1779" spans="7:11">
      <c r="G1779">
        <v>2</v>
      </c>
      <c r="H1779">
        <v>2</v>
      </c>
      <c r="I1779">
        <v>3</v>
      </c>
      <c r="J1779">
        <v>2</v>
      </c>
      <c r="K1779">
        <v>2</v>
      </c>
    </row>
    <row r="1780" spans="7:11">
      <c r="G1780">
        <v>2</v>
      </c>
      <c r="H1780">
        <v>2</v>
      </c>
      <c r="I1780">
        <v>4</v>
      </c>
      <c r="J1780">
        <v>1</v>
      </c>
      <c r="K1780">
        <v>1</v>
      </c>
    </row>
    <row r="1781" spans="7:11">
      <c r="G1781">
        <v>2</v>
      </c>
      <c r="H1781">
        <v>2</v>
      </c>
      <c r="I1781">
        <v>4</v>
      </c>
      <c r="J1781">
        <v>2</v>
      </c>
      <c r="K1781">
        <v>2</v>
      </c>
    </row>
    <row r="1782" spans="7:11">
      <c r="G1782">
        <v>2</v>
      </c>
      <c r="H1782">
        <v>2</v>
      </c>
      <c r="I1782">
        <v>5</v>
      </c>
      <c r="J1782">
        <v>1</v>
      </c>
      <c r="K1782">
        <v>1</v>
      </c>
    </row>
    <row r="1783" spans="7:11">
      <c r="G1783">
        <v>2</v>
      </c>
      <c r="H1783">
        <v>2</v>
      </c>
      <c r="I1783">
        <v>5</v>
      </c>
      <c r="J1783">
        <v>2</v>
      </c>
      <c r="K1783">
        <v>2</v>
      </c>
    </row>
    <row r="1784" spans="7:11">
      <c r="G1784">
        <v>2</v>
      </c>
      <c r="H1784">
        <v>3</v>
      </c>
      <c r="I1784">
        <v>1</v>
      </c>
      <c r="J1784">
        <v>1</v>
      </c>
      <c r="K1784">
        <v>1</v>
      </c>
    </row>
    <row r="1785" spans="7:11">
      <c r="G1785">
        <v>2</v>
      </c>
      <c r="H1785">
        <v>3</v>
      </c>
      <c r="I1785">
        <v>1</v>
      </c>
      <c r="J1785">
        <v>2</v>
      </c>
      <c r="K1785">
        <v>2</v>
      </c>
    </row>
    <row r="1786" spans="7:11">
      <c r="G1786">
        <v>2</v>
      </c>
      <c r="H1786">
        <v>3</v>
      </c>
      <c r="I1786">
        <v>2</v>
      </c>
      <c r="J1786">
        <v>1</v>
      </c>
      <c r="K1786">
        <v>1</v>
      </c>
    </row>
    <row r="1787" spans="7:11">
      <c r="G1787">
        <v>2</v>
      </c>
      <c r="H1787">
        <v>3</v>
      </c>
      <c r="I1787">
        <v>2</v>
      </c>
      <c r="J1787">
        <v>2</v>
      </c>
      <c r="K1787">
        <v>2</v>
      </c>
    </row>
    <row r="1788" spans="7:11">
      <c r="G1788">
        <v>2</v>
      </c>
      <c r="H1788">
        <v>3</v>
      </c>
      <c r="I1788">
        <v>3</v>
      </c>
      <c r="J1788">
        <v>1</v>
      </c>
      <c r="K1788">
        <v>1</v>
      </c>
    </row>
    <row r="1789" spans="7:11">
      <c r="G1789">
        <v>2</v>
      </c>
      <c r="H1789">
        <v>3</v>
      </c>
      <c r="I1789">
        <v>3</v>
      </c>
      <c r="J1789">
        <v>2</v>
      </c>
      <c r="K1789">
        <v>2</v>
      </c>
    </row>
    <row r="1790" spans="7:11">
      <c r="G1790">
        <v>2</v>
      </c>
      <c r="H1790">
        <v>3</v>
      </c>
      <c r="I1790">
        <v>4</v>
      </c>
      <c r="J1790">
        <v>1</v>
      </c>
      <c r="K1790">
        <v>1</v>
      </c>
    </row>
    <row r="1791" spans="7:11">
      <c r="G1791">
        <v>2</v>
      </c>
      <c r="H1791">
        <v>3</v>
      </c>
      <c r="I1791">
        <v>4</v>
      </c>
      <c r="J1791">
        <v>2</v>
      </c>
      <c r="K1791">
        <v>2</v>
      </c>
    </row>
    <row r="1792" spans="7:11">
      <c r="G1792">
        <v>2</v>
      </c>
      <c r="H1792">
        <v>3</v>
      </c>
      <c r="I1792">
        <v>5</v>
      </c>
      <c r="J1792">
        <v>1</v>
      </c>
      <c r="K1792">
        <v>1</v>
      </c>
    </row>
    <row r="1793" spans="7:11">
      <c r="G1793">
        <v>2</v>
      </c>
      <c r="H1793">
        <v>3</v>
      </c>
      <c r="I1793">
        <v>5</v>
      </c>
      <c r="J1793">
        <v>2</v>
      </c>
      <c r="K1793">
        <v>2</v>
      </c>
    </row>
    <row r="1794" spans="7:11">
      <c r="G1794">
        <v>3</v>
      </c>
      <c r="H1794">
        <v>1</v>
      </c>
      <c r="I1794">
        <v>3</v>
      </c>
      <c r="J1794">
        <v>1</v>
      </c>
      <c r="K1794">
        <v>1</v>
      </c>
    </row>
    <row r="1795" spans="7:11">
      <c r="G1795">
        <v>3</v>
      </c>
      <c r="H1795">
        <v>1</v>
      </c>
      <c r="I1795">
        <v>3</v>
      </c>
      <c r="J1795">
        <v>2</v>
      </c>
      <c r="K1795">
        <v>2</v>
      </c>
    </row>
    <row r="1796" spans="7:11">
      <c r="G1796">
        <v>3</v>
      </c>
      <c r="H1796">
        <v>1</v>
      </c>
      <c r="I1796">
        <v>4</v>
      </c>
      <c r="J1796">
        <v>1</v>
      </c>
      <c r="K1796">
        <v>1</v>
      </c>
    </row>
    <row r="1797" spans="7:11">
      <c r="G1797">
        <v>3</v>
      </c>
      <c r="H1797">
        <v>1</v>
      </c>
      <c r="I1797">
        <v>4</v>
      </c>
      <c r="J1797">
        <v>2</v>
      </c>
      <c r="K1797">
        <v>2</v>
      </c>
    </row>
    <row r="1798" spans="7:11">
      <c r="G1798">
        <v>3</v>
      </c>
      <c r="H1798">
        <v>1</v>
      </c>
      <c r="I1798">
        <v>5</v>
      </c>
      <c r="J1798">
        <v>1</v>
      </c>
      <c r="K1798">
        <v>1</v>
      </c>
    </row>
    <row r="1799" spans="7:11">
      <c r="G1799">
        <v>3</v>
      </c>
      <c r="H1799">
        <v>1</v>
      </c>
      <c r="I1799">
        <v>5</v>
      </c>
      <c r="J1799">
        <v>2</v>
      </c>
      <c r="K1799">
        <v>2</v>
      </c>
    </row>
    <row r="1800" spans="7:11">
      <c r="G1800">
        <v>3</v>
      </c>
      <c r="H1800">
        <v>2</v>
      </c>
      <c r="I1800">
        <v>1</v>
      </c>
      <c r="J1800">
        <v>1</v>
      </c>
      <c r="K1800">
        <v>1</v>
      </c>
    </row>
    <row r="1801" spans="7:11">
      <c r="G1801">
        <v>3</v>
      </c>
      <c r="H1801">
        <v>2</v>
      </c>
      <c r="I1801">
        <v>1</v>
      </c>
      <c r="J1801">
        <v>2</v>
      </c>
      <c r="K1801">
        <v>2</v>
      </c>
    </row>
    <row r="1802" spans="7:11">
      <c r="G1802">
        <v>3</v>
      </c>
      <c r="H1802">
        <v>2</v>
      </c>
      <c r="I1802">
        <v>2</v>
      </c>
      <c r="J1802">
        <v>1</v>
      </c>
      <c r="K1802">
        <v>1</v>
      </c>
    </row>
    <row r="1803" spans="7:11">
      <c r="G1803">
        <v>3</v>
      </c>
      <c r="H1803">
        <v>2</v>
      </c>
      <c r="I1803">
        <v>2</v>
      </c>
      <c r="J1803">
        <v>2</v>
      </c>
      <c r="K1803">
        <v>2</v>
      </c>
    </row>
    <row r="1804" spans="7:11">
      <c r="G1804">
        <v>3</v>
      </c>
      <c r="H1804">
        <v>2</v>
      </c>
      <c r="I1804">
        <v>3</v>
      </c>
      <c r="J1804">
        <v>1</v>
      </c>
      <c r="K1804">
        <v>1</v>
      </c>
    </row>
    <row r="1805" spans="7:11">
      <c r="G1805">
        <v>3</v>
      </c>
      <c r="H1805">
        <v>2</v>
      </c>
      <c r="I1805">
        <v>3</v>
      </c>
      <c r="J1805">
        <v>2</v>
      </c>
      <c r="K1805">
        <v>2</v>
      </c>
    </row>
    <row r="1806" spans="7:11">
      <c r="G1806">
        <v>3</v>
      </c>
      <c r="H1806">
        <v>2</v>
      </c>
      <c r="I1806">
        <v>4</v>
      </c>
      <c r="J1806">
        <v>1</v>
      </c>
      <c r="K1806">
        <v>1</v>
      </c>
    </row>
    <row r="1807" spans="7:11">
      <c r="G1807">
        <v>3</v>
      </c>
      <c r="H1807">
        <v>2</v>
      </c>
      <c r="I1807">
        <v>4</v>
      </c>
      <c r="J1807">
        <v>2</v>
      </c>
      <c r="K1807">
        <v>2</v>
      </c>
    </row>
    <row r="1808" spans="7:11">
      <c r="G1808">
        <v>3</v>
      </c>
      <c r="H1808">
        <v>2</v>
      </c>
      <c r="I1808">
        <v>5</v>
      </c>
      <c r="J1808">
        <v>1</v>
      </c>
      <c r="K1808">
        <v>1</v>
      </c>
    </row>
    <row r="1809" spans="7:11">
      <c r="G1809">
        <v>3</v>
      </c>
      <c r="H1809">
        <v>2</v>
      </c>
      <c r="I1809">
        <v>5</v>
      </c>
      <c r="J1809">
        <v>2</v>
      </c>
      <c r="K1809">
        <v>2</v>
      </c>
    </row>
    <row r="1810" spans="7:11">
      <c r="G1810">
        <v>3</v>
      </c>
      <c r="H1810">
        <v>3</v>
      </c>
      <c r="I1810">
        <v>1</v>
      </c>
      <c r="J1810">
        <v>1</v>
      </c>
      <c r="K1810">
        <v>1</v>
      </c>
    </row>
    <row r="1811" spans="7:11">
      <c r="G1811">
        <v>3</v>
      </c>
      <c r="H1811">
        <v>3</v>
      </c>
      <c r="I1811">
        <v>1</v>
      </c>
      <c r="J1811">
        <v>2</v>
      </c>
      <c r="K1811">
        <v>2</v>
      </c>
    </row>
    <row r="1812" spans="7:11">
      <c r="G1812">
        <v>3</v>
      </c>
      <c r="H1812">
        <v>3</v>
      </c>
      <c r="I1812">
        <v>2</v>
      </c>
      <c r="J1812">
        <v>1</v>
      </c>
      <c r="K1812">
        <v>1</v>
      </c>
    </row>
    <row r="1813" spans="7:11">
      <c r="G1813">
        <v>3</v>
      </c>
      <c r="H1813">
        <v>3</v>
      </c>
      <c r="I1813">
        <v>2</v>
      </c>
      <c r="J1813">
        <v>2</v>
      </c>
      <c r="K1813">
        <v>2</v>
      </c>
    </row>
    <row r="1814" spans="7:11">
      <c r="G1814">
        <v>3</v>
      </c>
      <c r="H1814">
        <v>3</v>
      </c>
      <c r="I1814">
        <v>3</v>
      </c>
      <c r="J1814">
        <v>1</v>
      </c>
      <c r="K1814">
        <v>1</v>
      </c>
    </row>
    <row r="1815" spans="7:11">
      <c r="G1815">
        <v>3</v>
      </c>
      <c r="H1815">
        <v>3</v>
      </c>
      <c r="I1815">
        <v>3</v>
      </c>
      <c r="J1815">
        <v>2</v>
      </c>
      <c r="K1815">
        <v>2</v>
      </c>
    </row>
    <row r="1816" spans="7:11">
      <c r="G1816">
        <v>3</v>
      </c>
      <c r="H1816">
        <v>3</v>
      </c>
      <c r="I1816">
        <v>4</v>
      </c>
      <c r="J1816">
        <v>1</v>
      </c>
      <c r="K1816">
        <v>1</v>
      </c>
    </row>
    <row r="1817" spans="7:11">
      <c r="G1817">
        <v>3</v>
      </c>
      <c r="H1817">
        <v>3</v>
      </c>
      <c r="I1817">
        <v>4</v>
      </c>
      <c r="J1817">
        <v>2</v>
      </c>
      <c r="K1817">
        <v>2</v>
      </c>
    </row>
    <row r="1818" spans="7:11">
      <c r="G1818">
        <v>3</v>
      </c>
      <c r="H1818">
        <v>3</v>
      </c>
      <c r="I1818">
        <v>5</v>
      </c>
      <c r="J1818">
        <v>1</v>
      </c>
      <c r="K1818">
        <v>1</v>
      </c>
    </row>
    <row r="1819" spans="7:11">
      <c r="G1819">
        <v>3</v>
      </c>
      <c r="H1819">
        <v>3</v>
      </c>
      <c r="I1819">
        <v>5</v>
      </c>
      <c r="J1819">
        <v>2</v>
      </c>
      <c r="K1819">
        <v>2</v>
      </c>
    </row>
    <row r="1820" spans="7:11">
      <c r="G1820">
        <v>4</v>
      </c>
      <c r="H1820">
        <v>1</v>
      </c>
      <c r="I1820">
        <v>3</v>
      </c>
      <c r="J1820">
        <v>1</v>
      </c>
      <c r="K1820">
        <v>1</v>
      </c>
    </row>
    <row r="1821" spans="7:11">
      <c r="G1821">
        <v>4</v>
      </c>
      <c r="H1821">
        <v>1</v>
      </c>
      <c r="I1821">
        <v>3</v>
      </c>
      <c r="J1821">
        <v>2</v>
      </c>
      <c r="K1821">
        <v>2</v>
      </c>
    </row>
    <row r="1822" spans="7:11">
      <c r="G1822">
        <v>4</v>
      </c>
      <c r="H1822">
        <v>1</v>
      </c>
      <c r="I1822">
        <v>4</v>
      </c>
      <c r="J1822">
        <v>1</v>
      </c>
      <c r="K1822">
        <v>1</v>
      </c>
    </row>
    <row r="1823" spans="7:11">
      <c r="G1823">
        <v>4</v>
      </c>
      <c r="H1823">
        <v>1</v>
      </c>
      <c r="I1823">
        <v>4</v>
      </c>
      <c r="J1823">
        <v>2</v>
      </c>
      <c r="K1823">
        <v>2</v>
      </c>
    </row>
    <row r="1824" spans="7:11">
      <c r="G1824">
        <v>4</v>
      </c>
      <c r="H1824">
        <v>1</v>
      </c>
      <c r="I1824">
        <v>5</v>
      </c>
      <c r="J1824">
        <v>1</v>
      </c>
      <c r="K1824">
        <v>1</v>
      </c>
    </row>
    <row r="1825" spans="7:11">
      <c r="G1825">
        <v>4</v>
      </c>
      <c r="H1825">
        <v>1</v>
      </c>
      <c r="I1825">
        <v>5</v>
      </c>
      <c r="J1825">
        <v>2</v>
      </c>
      <c r="K1825">
        <v>2</v>
      </c>
    </row>
    <row r="1826" spans="7:11">
      <c r="G1826">
        <v>4</v>
      </c>
      <c r="H1826">
        <v>2</v>
      </c>
      <c r="I1826">
        <v>1</v>
      </c>
      <c r="J1826">
        <v>1</v>
      </c>
      <c r="K1826">
        <v>1</v>
      </c>
    </row>
    <row r="1827" spans="7:11">
      <c r="G1827">
        <v>4</v>
      </c>
      <c r="H1827">
        <v>2</v>
      </c>
      <c r="I1827">
        <v>1</v>
      </c>
      <c r="J1827">
        <v>2</v>
      </c>
      <c r="K1827">
        <v>2</v>
      </c>
    </row>
    <row r="1828" spans="7:11">
      <c r="G1828">
        <v>4</v>
      </c>
      <c r="H1828">
        <v>2</v>
      </c>
      <c r="I1828">
        <v>2</v>
      </c>
      <c r="J1828">
        <v>1</v>
      </c>
      <c r="K1828">
        <v>1</v>
      </c>
    </row>
    <row r="1829" spans="7:11">
      <c r="G1829">
        <v>4</v>
      </c>
      <c r="H1829">
        <v>2</v>
      </c>
      <c r="I1829">
        <v>2</v>
      </c>
      <c r="J1829">
        <v>2</v>
      </c>
      <c r="K1829">
        <v>2</v>
      </c>
    </row>
    <row r="1830" spans="7:11">
      <c r="G1830">
        <v>4</v>
      </c>
      <c r="H1830">
        <v>2</v>
      </c>
      <c r="I1830">
        <v>3</v>
      </c>
      <c r="J1830">
        <v>1</v>
      </c>
      <c r="K1830">
        <v>1</v>
      </c>
    </row>
    <row r="1831" spans="7:11">
      <c r="G1831">
        <v>4</v>
      </c>
      <c r="H1831">
        <v>2</v>
      </c>
      <c r="I1831">
        <v>3</v>
      </c>
      <c r="J1831">
        <v>2</v>
      </c>
      <c r="K1831">
        <v>2</v>
      </c>
    </row>
    <row r="1832" spans="7:11">
      <c r="G1832">
        <v>4</v>
      </c>
      <c r="H1832">
        <v>2</v>
      </c>
      <c r="I1832">
        <v>4</v>
      </c>
      <c r="J1832">
        <v>1</v>
      </c>
      <c r="K1832">
        <v>1</v>
      </c>
    </row>
    <row r="1833" spans="7:11">
      <c r="G1833">
        <v>4</v>
      </c>
      <c r="H1833">
        <v>2</v>
      </c>
      <c r="I1833">
        <v>4</v>
      </c>
      <c r="J1833">
        <v>2</v>
      </c>
      <c r="K1833">
        <v>2</v>
      </c>
    </row>
    <row r="1834" spans="7:11">
      <c r="G1834">
        <v>4</v>
      </c>
      <c r="H1834">
        <v>2</v>
      </c>
      <c r="I1834">
        <v>5</v>
      </c>
      <c r="J1834">
        <v>1</v>
      </c>
      <c r="K1834">
        <v>1</v>
      </c>
    </row>
    <row r="1835" spans="7:11">
      <c r="G1835">
        <v>4</v>
      </c>
      <c r="H1835">
        <v>2</v>
      </c>
      <c r="I1835">
        <v>5</v>
      </c>
      <c r="J1835">
        <v>2</v>
      </c>
      <c r="K1835">
        <v>2</v>
      </c>
    </row>
    <row r="1836" spans="7:11">
      <c r="G1836">
        <v>4</v>
      </c>
      <c r="H1836">
        <v>3</v>
      </c>
      <c r="I1836">
        <v>1</v>
      </c>
      <c r="J1836">
        <v>1</v>
      </c>
      <c r="K1836">
        <v>1</v>
      </c>
    </row>
    <row r="1837" spans="7:11">
      <c r="G1837">
        <v>4</v>
      </c>
      <c r="H1837">
        <v>3</v>
      </c>
      <c r="I1837">
        <v>1</v>
      </c>
      <c r="J1837">
        <v>2</v>
      </c>
      <c r="K1837">
        <v>2</v>
      </c>
    </row>
    <row r="1838" spans="7:11">
      <c r="G1838">
        <v>4</v>
      </c>
      <c r="H1838">
        <v>3</v>
      </c>
      <c r="I1838">
        <v>2</v>
      </c>
      <c r="J1838">
        <v>1</v>
      </c>
      <c r="K1838">
        <v>1</v>
      </c>
    </row>
    <row r="1839" spans="7:11">
      <c r="G1839">
        <v>4</v>
      </c>
      <c r="H1839">
        <v>3</v>
      </c>
      <c r="I1839">
        <v>2</v>
      </c>
      <c r="J1839">
        <v>2</v>
      </c>
      <c r="K1839">
        <v>2</v>
      </c>
    </row>
    <row r="1840" spans="7:11">
      <c r="G1840">
        <v>4</v>
      </c>
      <c r="H1840">
        <v>3</v>
      </c>
      <c r="I1840">
        <v>3</v>
      </c>
      <c r="J1840">
        <v>1</v>
      </c>
      <c r="K1840">
        <v>1</v>
      </c>
    </row>
    <row r="1841" spans="7:11">
      <c r="G1841">
        <v>4</v>
      </c>
      <c r="H1841">
        <v>3</v>
      </c>
      <c r="I1841">
        <v>3</v>
      </c>
      <c r="J1841">
        <v>2</v>
      </c>
      <c r="K1841">
        <v>2</v>
      </c>
    </row>
    <row r="1842" spans="7:11">
      <c r="G1842">
        <v>4</v>
      </c>
      <c r="H1842">
        <v>3</v>
      </c>
      <c r="I1842">
        <v>4</v>
      </c>
      <c r="J1842">
        <v>1</v>
      </c>
      <c r="K1842">
        <v>1</v>
      </c>
    </row>
    <row r="1843" spans="7:11">
      <c r="G1843">
        <v>4</v>
      </c>
      <c r="H1843">
        <v>3</v>
      </c>
      <c r="I1843">
        <v>4</v>
      </c>
      <c r="J1843">
        <v>2</v>
      </c>
      <c r="K1843">
        <v>2</v>
      </c>
    </row>
    <row r="1844" spans="7:11">
      <c r="G1844">
        <v>4</v>
      </c>
      <c r="H1844">
        <v>3</v>
      </c>
      <c r="I1844">
        <v>5</v>
      </c>
      <c r="J1844">
        <v>1</v>
      </c>
      <c r="K1844">
        <v>1</v>
      </c>
    </row>
    <row r="1845" spans="7:11">
      <c r="G1845">
        <v>4</v>
      </c>
      <c r="H1845">
        <v>3</v>
      </c>
      <c r="I1845">
        <v>5</v>
      </c>
      <c r="J1845">
        <v>2</v>
      </c>
      <c r="K1845">
        <v>2</v>
      </c>
    </row>
    <row r="1846" spans="7:11">
      <c r="G1846">
        <v>1</v>
      </c>
      <c r="H1846">
        <v>2</v>
      </c>
      <c r="I1846">
        <v>1</v>
      </c>
      <c r="J1846">
        <v>1</v>
      </c>
      <c r="K1846">
        <v>1</v>
      </c>
    </row>
    <row r="1847" spans="7:11">
      <c r="G1847">
        <v>1</v>
      </c>
      <c r="H1847">
        <v>2</v>
      </c>
      <c r="I1847">
        <v>1</v>
      </c>
      <c r="J1847">
        <v>2</v>
      </c>
      <c r="K1847">
        <v>2</v>
      </c>
    </row>
    <row r="1848" spans="7:11">
      <c r="G1848">
        <v>1</v>
      </c>
      <c r="H1848">
        <v>2</v>
      </c>
      <c r="I1848">
        <v>2</v>
      </c>
      <c r="J1848">
        <v>1</v>
      </c>
      <c r="K1848">
        <v>1</v>
      </c>
    </row>
    <row r="1849" spans="7:11">
      <c r="G1849">
        <v>1</v>
      </c>
      <c r="H1849">
        <v>2</v>
      </c>
      <c r="I1849">
        <v>2</v>
      </c>
      <c r="J1849">
        <v>2</v>
      </c>
      <c r="K1849">
        <v>2</v>
      </c>
    </row>
    <row r="1850" spans="7:11">
      <c r="G1850">
        <v>1</v>
      </c>
      <c r="H1850">
        <v>2</v>
      </c>
      <c r="I1850">
        <v>3</v>
      </c>
      <c r="J1850">
        <v>1</v>
      </c>
      <c r="K1850">
        <v>1</v>
      </c>
    </row>
    <row r="1851" spans="7:11">
      <c r="G1851">
        <v>1</v>
      </c>
      <c r="H1851">
        <v>2</v>
      </c>
      <c r="I1851">
        <v>3</v>
      </c>
      <c r="J1851">
        <v>2</v>
      </c>
      <c r="K1851">
        <v>2</v>
      </c>
    </row>
    <row r="1852" spans="7:11">
      <c r="G1852">
        <v>1</v>
      </c>
      <c r="H1852">
        <v>2</v>
      </c>
      <c r="I1852">
        <v>4</v>
      </c>
      <c r="J1852">
        <v>1</v>
      </c>
      <c r="K1852">
        <v>1</v>
      </c>
    </row>
    <row r="1853" spans="7:11">
      <c r="G1853">
        <v>1</v>
      </c>
      <c r="H1853">
        <v>2</v>
      </c>
      <c r="I1853">
        <v>4</v>
      </c>
      <c r="J1853">
        <v>2</v>
      </c>
      <c r="K1853">
        <v>2</v>
      </c>
    </row>
    <row r="1854" spans="7:11">
      <c r="G1854">
        <v>1</v>
      </c>
      <c r="H1854">
        <v>2</v>
      </c>
      <c r="I1854">
        <v>5</v>
      </c>
      <c r="J1854">
        <v>1</v>
      </c>
      <c r="K1854">
        <v>1</v>
      </c>
    </row>
    <row r="1855" spans="7:11">
      <c r="G1855">
        <v>1</v>
      </c>
      <c r="H1855">
        <v>2</v>
      </c>
      <c r="I1855">
        <v>5</v>
      </c>
      <c r="J1855">
        <v>2</v>
      </c>
      <c r="K1855">
        <v>2</v>
      </c>
    </row>
    <row r="1856" spans="7:11">
      <c r="G1856">
        <v>1</v>
      </c>
      <c r="H1856">
        <v>3</v>
      </c>
      <c r="I1856">
        <v>1</v>
      </c>
      <c r="J1856">
        <v>1</v>
      </c>
      <c r="K1856">
        <v>1</v>
      </c>
    </row>
    <row r="1857" spans="7:11">
      <c r="G1857">
        <v>1</v>
      </c>
      <c r="H1857">
        <v>3</v>
      </c>
      <c r="I1857">
        <v>1</v>
      </c>
      <c r="J1857">
        <v>2</v>
      </c>
      <c r="K1857">
        <v>2</v>
      </c>
    </row>
    <row r="1858" spans="7:11">
      <c r="G1858">
        <v>1</v>
      </c>
      <c r="H1858">
        <v>3</v>
      </c>
      <c r="I1858">
        <v>2</v>
      </c>
      <c r="J1858">
        <v>1</v>
      </c>
      <c r="K1858">
        <v>1</v>
      </c>
    </row>
    <row r="1859" spans="7:11">
      <c r="G1859">
        <v>1</v>
      </c>
      <c r="H1859">
        <v>3</v>
      </c>
      <c r="I1859">
        <v>2</v>
      </c>
      <c r="J1859">
        <v>2</v>
      </c>
      <c r="K1859">
        <v>2</v>
      </c>
    </row>
    <row r="1860" spans="7:11">
      <c r="G1860">
        <v>1</v>
      </c>
      <c r="H1860">
        <v>3</v>
      </c>
      <c r="I1860">
        <v>3</v>
      </c>
      <c r="J1860">
        <v>1</v>
      </c>
      <c r="K1860">
        <v>1</v>
      </c>
    </row>
    <row r="1861" spans="7:11">
      <c r="G1861">
        <v>1</v>
      </c>
      <c r="H1861">
        <v>3</v>
      </c>
      <c r="I1861">
        <v>3</v>
      </c>
      <c r="J1861">
        <v>2</v>
      </c>
      <c r="K1861">
        <v>2</v>
      </c>
    </row>
    <row r="1862" spans="7:11">
      <c r="G1862">
        <v>1</v>
      </c>
      <c r="H1862">
        <v>3</v>
      </c>
      <c r="I1862">
        <v>4</v>
      </c>
      <c r="J1862">
        <v>1</v>
      </c>
      <c r="K1862">
        <v>1</v>
      </c>
    </row>
    <row r="1863" spans="7:11">
      <c r="G1863">
        <v>1</v>
      </c>
      <c r="H1863">
        <v>3</v>
      </c>
      <c r="I1863">
        <v>4</v>
      </c>
      <c r="J1863">
        <v>2</v>
      </c>
      <c r="K1863">
        <v>2</v>
      </c>
    </row>
    <row r="1864" spans="7:11">
      <c r="G1864">
        <v>1</v>
      </c>
      <c r="H1864">
        <v>3</v>
      </c>
      <c r="I1864">
        <v>5</v>
      </c>
      <c r="J1864">
        <v>1</v>
      </c>
      <c r="K1864">
        <v>1</v>
      </c>
    </row>
    <row r="1865" spans="7:11">
      <c r="G1865">
        <v>1</v>
      </c>
      <c r="H1865">
        <v>3</v>
      </c>
      <c r="I1865">
        <v>5</v>
      </c>
      <c r="J1865">
        <v>2</v>
      </c>
      <c r="K1865">
        <v>2</v>
      </c>
    </row>
    <row r="1866" spans="7:11">
      <c r="G1866">
        <v>2</v>
      </c>
      <c r="H1866">
        <v>1</v>
      </c>
      <c r="I1866">
        <v>3</v>
      </c>
      <c r="J1866">
        <v>1</v>
      </c>
      <c r="K1866">
        <v>1</v>
      </c>
    </row>
    <row r="1867" spans="7:11">
      <c r="G1867">
        <v>2</v>
      </c>
      <c r="H1867">
        <v>1</v>
      </c>
      <c r="I1867">
        <v>3</v>
      </c>
      <c r="J1867">
        <v>2</v>
      </c>
      <c r="K1867">
        <v>2</v>
      </c>
    </row>
    <row r="1868" spans="7:11">
      <c r="G1868">
        <v>2</v>
      </c>
      <c r="H1868">
        <v>1</v>
      </c>
      <c r="I1868">
        <v>4</v>
      </c>
      <c r="J1868">
        <v>1</v>
      </c>
      <c r="K1868">
        <v>1</v>
      </c>
    </row>
    <row r="1869" spans="7:11">
      <c r="G1869">
        <v>2</v>
      </c>
      <c r="H1869">
        <v>1</v>
      </c>
      <c r="I1869">
        <v>4</v>
      </c>
      <c r="J1869">
        <v>2</v>
      </c>
      <c r="K1869">
        <v>2</v>
      </c>
    </row>
    <row r="1870" spans="7:11">
      <c r="G1870">
        <v>2</v>
      </c>
      <c r="H1870">
        <v>1</v>
      </c>
      <c r="I1870">
        <v>5</v>
      </c>
      <c r="J1870">
        <v>1</v>
      </c>
      <c r="K1870">
        <v>1</v>
      </c>
    </row>
    <row r="1871" spans="7:11">
      <c r="G1871">
        <v>2</v>
      </c>
      <c r="H1871">
        <v>1</v>
      </c>
      <c r="I1871">
        <v>5</v>
      </c>
      <c r="J1871">
        <v>2</v>
      </c>
      <c r="K1871">
        <v>2</v>
      </c>
    </row>
    <row r="1872" spans="7:11">
      <c r="G1872">
        <v>2</v>
      </c>
      <c r="H1872">
        <v>2</v>
      </c>
      <c r="I1872">
        <v>1</v>
      </c>
      <c r="J1872">
        <v>1</v>
      </c>
      <c r="K1872">
        <v>1</v>
      </c>
    </row>
    <row r="1873" spans="7:11">
      <c r="G1873">
        <v>2</v>
      </c>
      <c r="H1873">
        <v>2</v>
      </c>
      <c r="I1873">
        <v>1</v>
      </c>
      <c r="J1873">
        <v>2</v>
      </c>
      <c r="K1873">
        <v>2</v>
      </c>
    </row>
    <row r="1874" spans="7:11">
      <c r="G1874">
        <v>2</v>
      </c>
      <c r="H1874">
        <v>2</v>
      </c>
      <c r="I1874">
        <v>2</v>
      </c>
      <c r="J1874">
        <v>1</v>
      </c>
      <c r="K1874">
        <v>1</v>
      </c>
    </row>
    <row r="1875" spans="7:11">
      <c r="G1875">
        <v>2</v>
      </c>
      <c r="H1875">
        <v>2</v>
      </c>
      <c r="I1875">
        <v>2</v>
      </c>
      <c r="J1875">
        <v>2</v>
      </c>
      <c r="K1875">
        <v>2</v>
      </c>
    </row>
    <row r="1876" spans="7:11">
      <c r="G1876">
        <v>2</v>
      </c>
      <c r="H1876">
        <v>2</v>
      </c>
      <c r="I1876">
        <v>3</v>
      </c>
      <c r="J1876">
        <v>1</v>
      </c>
      <c r="K1876">
        <v>1</v>
      </c>
    </row>
    <row r="1877" spans="7:11">
      <c r="G1877">
        <v>2</v>
      </c>
      <c r="H1877">
        <v>2</v>
      </c>
      <c r="I1877">
        <v>3</v>
      </c>
      <c r="J1877">
        <v>2</v>
      </c>
      <c r="K1877">
        <v>2</v>
      </c>
    </row>
    <row r="1878" spans="7:11">
      <c r="G1878">
        <v>2</v>
      </c>
      <c r="H1878">
        <v>2</v>
      </c>
      <c r="I1878">
        <v>4</v>
      </c>
      <c r="J1878">
        <v>1</v>
      </c>
      <c r="K1878">
        <v>1</v>
      </c>
    </row>
    <row r="1879" spans="7:11">
      <c r="G1879">
        <v>2</v>
      </c>
      <c r="H1879">
        <v>2</v>
      </c>
      <c r="I1879">
        <v>4</v>
      </c>
      <c r="J1879">
        <v>2</v>
      </c>
      <c r="K1879">
        <v>2</v>
      </c>
    </row>
    <row r="1880" spans="7:11">
      <c r="G1880">
        <v>2</v>
      </c>
      <c r="H1880">
        <v>2</v>
      </c>
      <c r="I1880">
        <v>5</v>
      </c>
      <c r="J1880">
        <v>1</v>
      </c>
      <c r="K1880">
        <v>1</v>
      </c>
    </row>
    <row r="1881" spans="7:11">
      <c r="G1881">
        <v>2</v>
      </c>
      <c r="H1881">
        <v>2</v>
      </c>
      <c r="I1881">
        <v>5</v>
      </c>
      <c r="J1881">
        <v>2</v>
      </c>
      <c r="K1881">
        <v>2</v>
      </c>
    </row>
    <row r="1882" spans="7:11">
      <c r="G1882">
        <v>2</v>
      </c>
      <c r="H1882">
        <v>3</v>
      </c>
      <c r="I1882">
        <v>1</v>
      </c>
      <c r="J1882">
        <v>1</v>
      </c>
      <c r="K1882">
        <v>1</v>
      </c>
    </row>
    <row r="1883" spans="7:11">
      <c r="G1883">
        <v>2</v>
      </c>
      <c r="H1883">
        <v>3</v>
      </c>
      <c r="I1883">
        <v>1</v>
      </c>
      <c r="J1883">
        <v>2</v>
      </c>
      <c r="K1883">
        <v>2</v>
      </c>
    </row>
    <row r="1884" spans="7:11">
      <c r="G1884">
        <v>2</v>
      </c>
      <c r="H1884">
        <v>3</v>
      </c>
      <c r="I1884">
        <v>2</v>
      </c>
      <c r="J1884">
        <v>1</v>
      </c>
      <c r="K1884">
        <v>1</v>
      </c>
    </row>
    <row r="1885" spans="7:11">
      <c r="G1885">
        <v>2</v>
      </c>
      <c r="H1885">
        <v>3</v>
      </c>
      <c r="I1885">
        <v>2</v>
      </c>
      <c r="J1885">
        <v>2</v>
      </c>
      <c r="K1885">
        <v>2</v>
      </c>
    </row>
    <row r="1886" spans="7:11">
      <c r="G1886">
        <v>2</v>
      </c>
      <c r="H1886">
        <v>3</v>
      </c>
      <c r="I1886">
        <v>3</v>
      </c>
      <c r="J1886">
        <v>1</v>
      </c>
      <c r="K1886">
        <v>1</v>
      </c>
    </row>
    <row r="1887" spans="7:11">
      <c r="G1887">
        <v>2</v>
      </c>
      <c r="H1887">
        <v>3</v>
      </c>
      <c r="I1887">
        <v>3</v>
      </c>
      <c r="J1887">
        <v>2</v>
      </c>
      <c r="K1887">
        <v>2</v>
      </c>
    </row>
    <row r="1888" spans="7:11">
      <c r="G1888">
        <v>2</v>
      </c>
      <c r="H1888">
        <v>3</v>
      </c>
      <c r="I1888">
        <v>4</v>
      </c>
      <c r="J1888">
        <v>1</v>
      </c>
      <c r="K1888">
        <v>1</v>
      </c>
    </row>
    <row r="1889" spans="7:11">
      <c r="G1889">
        <v>2</v>
      </c>
      <c r="H1889">
        <v>3</v>
      </c>
      <c r="I1889">
        <v>4</v>
      </c>
      <c r="J1889">
        <v>2</v>
      </c>
      <c r="K1889">
        <v>2</v>
      </c>
    </row>
    <row r="1890" spans="7:11">
      <c r="G1890">
        <v>2</v>
      </c>
      <c r="H1890">
        <v>3</v>
      </c>
      <c r="I1890">
        <v>5</v>
      </c>
      <c r="J1890">
        <v>1</v>
      </c>
      <c r="K1890">
        <v>1</v>
      </c>
    </row>
    <row r="1891" spans="7:11">
      <c r="G1891">
        <v>2</v>
      </c>
      <c r="H1891">
        <v>3</v>
      </c>
      <c r="I1891">
        <v>5</v>
      </c>
      <c r="J1891">
        <v>2</v>
      </c>
      <c r="K1891">
        <v>2</v>
      </c>
    </row>
    <row r="1892" spans="7:11">
      <c r="G1892">
        <v>3</v>
      </c>
      <c r="H1892">
        <v>1</v>
      </c>
      <c r="I1892">
        <v>3</v>
      </c>
      <c r="J1892">
        <v>1</v>
      </c>
      <c r="K1892">
        <v>1</v>
      </c>
    </row>
    <row r="1893" spans="7:11">
      <c r="G1893">
        <v>3</v>
      </c>
      <c r="H1893">
        <v>1</v>
      </c>
      <c r="I1893">
        <v>3</v>
      </c>
      <c r="J1893">
        <v>2</v>
      </c>
      <c r="K1893">
        <v>2</v>
      </c>
    </row>
    <row r="1894" spans="7:11">
      <c r="G1894">
        <v>3</v>
      </c>
      <c r="H1894">
        <v>1</v>
      </c>
      <c r="I1894">
        <v>4</v>
      </c>
      <c r="J1894">
        <v>1</v>
      </c>
      <c r="K1894">
        <v>1</v>
      </c>
    </row>
    <row r="1895" spans="7:11">
      <c r="G1895">
        <v>3</v>
      </c>
      <c r="H1895">
        <v>1</v>
      </c>
      <c r="I1895">
        <v>4</v>
      </c>
      <c r="J1895">
        <v>2</v>
      </c>
      <c r="K1895">
        <v>2</v>
      </c>
    </row>
    <row r="1896" spans="7:11">
      <c r="G1896">
        <v>3</v>
      </c>
      <c r="H1896">
        <v>1</v>
      </c>
      <c r="I1896">
        <v>5</v>
      </c>
      <c r="J1896">
        <v>1</v>
      </c>
      <c r="K1896">
        <v>1</v>
      </c>
    </row>
    <row r="1897" spans="7:11">
      <c r="G1897">
        <v>3</v>
      </c>
      <c r="H1897">
        <v>1</v>
      </c>
      <c r="I1897">
        <v>5</v>
      </c>
      <c r="J1897">
        <v>2</v>
      </c>
      <c r="K1897">
        <v>2</v>
      </c>
    </row>
    <row r="1898" spans="7:11">
      <c r="G1898">
        <v>3</v>
      </c>
      <c r="H1898">
        <v>2</v>
      </c>
      <c r="I1898">
        <v>1</v>
      </c>
      <c r="J1898">
        <v>1</v>
      </c>
      <c r="K1898">
        <v>1</v>
      </c>
    </row>
    <row r="1899" spans="7:11">
      <c r="G1899">
        <v>3</v>
      </c>
      <c r="H1899">
        <v>2</v>
      </c>
      <c r="I1899">
        <v>1</v>
      </c>
      <c r="J1899">
        <v>2</v>
      </c>
      <c r="K1899">
        <v>2</v>
      </c>
    </row>
    <row r="1900" spans="7:11">
      <c r="G1900">
        <v>3</v>
      </c>
      <c r="H1900">
        <v>2</v>
      </c>
      <c r="I1900">
        <v>2</v>
      </c>
      <c r="J1900">
        <v>1</v>
      </c>
      <c r="K1900">
        <v>1</v>
      </c>
    </row>
    <row r="1901" spans="7:11">
      <c r="G1901">
        <v>3</v>
      </c>
      <c r="H1901">
        <v>2</v>
      </c>
      <c r="I1901">
        <v>2</v>
      </c>
      <c r="J1901">
        <v>2</v>
      </c>
      <c r="K1901">
        <v>2</v>
      </c>
    </row>
    <row r="1902" spans="7:11">
      <c r="G1902">
        <v>3</v>
      </c>
      <c r="H1902">
        <v>2</v>
      </c>
      <c r="I1902">
        <v>3</v>
      </c>
      <c r="J1902">
        <v>1</v>
      </c>
      <c r="K1902">
        <v>1</v>
      </c>
    </row>
    <row r="1903" spans="7:11">
      <c r="G1903">
        <v>3</v>
      </c>
      <c r="H1903">
        <v>2</v>
      </c>
      <c r="I1903">
        <v>3</v>
      </c>
      <c r="J1903">
        <v>2</v>
      </c>
      <c r="K1903">
        <v>2</v>
      </c>
    </row>
    <row r="1904" spans="7:11">
      <c r="G1904">
        <v>3</v>
      </c>
      <c r="H1904">
        <v>2</v>
      </c>
      <c r="I1904">
        <v>4</v>
      </c>
      <c r="J1904">
        <v>1</v>
      </c>
      <c r="K1904">
        <v>1</v>
      </c>
    </row>
    <row r="1905" spans="7:11">
      <c r="G1905">
        <v>3</v>
      </c>
      <c r="H1905">
        <v>2</v>
      </c>
      <c r="I1905">
        <v>4</v>
      </c>
      <c r="J1905">
        <v>2</v>
      </c>
      <c r="K1905">
        <v>2</v>
      </c>
    </row>
    <row r="1906" spans="7:11">
      <c r="G1906">
        <v>3</v>
      </c>
      <c r="H1906">
        <v>2</v>
      </c>
      <c r="I1906">
        <v>5</v>
      </c>
      <c r="J1906">
        <v>1</v>
      </c>
      <c r="K1906">
        <v>1</v>
      </c>
    </row>
    <row r="1907" spans="7:11">
      <c r="G1907">
        <v>3</v>
      </c>
      <c r="H1907">
        <v>2</v>
      </c>
      <c r="I1907">
        <v>5</v>
      </c>
      <c r="J1907">
        <v>2</v>
      </c>
      <c r="K1907">
        <v>2</v>
      </c>
    </row>
    <row r="1908" spans="7:11">
      <c r="G1908">
        <v>3</v>
      </c>
      <c r="H1908">
        <v>3</v>
      </c>
      <c r="I1908">
        <v>1</v>
      </c>
      <c r="J1908">
        <v>1</v>
      </c>
      <c r="K1908">
        <v>1</v>
      </c>
    </row>
    <row r="1909" spans="7:11">
      <c r="G1909">
        <v>3</v>
      </c>
      <c r="H1909">
        <v>3</v>
      </c>
      <c r="I1909">
        <v>1</v>
      </c>
      <c r="J1909">
        <v>2</v>
      </c>
      <c r="K1909">
        <v>2</v>
      </c>
    </row>
    <row r="1910" spans="7:11">
      <c r="G1910">
        <v>3</v>
      </c>
      <c r="H1910">
        <v>3</v>
      </c>
      <c r="I1910">
        <v>2</v>
      </c>
      <c r="J1910">
        <v>1</v>
      </c>
      <c r="K1910">
        <v>1</v>
      </c>
    </row>
    <row r="1911" spans="7:11">
      <c r="G1911">
        <v>3</v>
      </c>
      <c r="H1911">
        <v>3</v>
      </c>
      <c r="I1911">
        <v>2</v>
      </c>
      <c r="J1911">
        <v>2</v>
      </c>
      <c r="K1911">
        <v>2</v>
      </c>
    </row>
    <row r="1912" spans="7:11">
      <c r="G1912">
        <v>3</v>
      </c>
      <c r="H1912">
        <v>3</v>
      </c>
      <c r="I1912">
        <v>3</v>
      </c>
      <c r="J1912">
        <v>1</v>
      </c>
      <c r="K1912">
        <v>1</v>
      </c>
    </row>
    <row r="1913" spans="7:11">
      <c r="G1913">
        <v>3</v>
      </c>
      <c r="H1913">
        <v>3</v>
      </c>
      <c r="I1913">
        <v>3</v>
      </c>
      <c r="J1913">
        <v>2</v>
      </c>
      <c r="K1913">
        <v>2</v>
      </c>
    </row>
    <row r="1914" spans="7:11">
      <c r="G1914">
        <v>3</v>
      </c>
      <c r="H1914">
        <v>3</v>
      </c>
      <c r="I1914">
        <v>4</v>
      </c>
      <c r="J1914">
        <v>1</v>
      </c>
      <c r="K1914">
        <v>1</v>
      </c>
    </row>
    <row r="1915" spans="7:11">
      <c r="G1915">
        <v>3</v>
      </c>
      <c r="H1915">
        <v>3</v>
      </c>
      <c r="I1915">
        <v>4</v>
      </c>
      <c r="J1915">
        <v>2</v>
      </c>
      <c r="K1915">
        <v>2</v>
      </c>
    </row>
    <row r="1916" spans="7:11">
      <c r="G1916">
        <v>3</v>
      </c>
      <c r="H1916">
        <v>3</v>
      </c>
      <c r="I1916">
        <v>5</v>
      </c>
      <c r="J1916">
        <v>1</v>
      </c>
      <c r="K1916">
        <v>1</v>
      </c>
    </row>
    <row r="1917" spans="7:11">
      <c r="G1917">
        <v>3</v>
      </c>
      <c r="H1917">
        <v>3</v>
      </c>
      <c r="I1917">
        <v>5</v>
      </c>
      <c r="J1917">
        <v>2</v>
      </c>
      <c r="K1917">
        <v>2</v>
      </c>
    </row>
    <row r="1918" spans="7:11">
      <c r="G1918">
        <v>4</v>
      </c>
      <c r="H1918">
        <v>1</v>
      </c>
      <c r="I1918">
        <v>3</v>
      </c>
      <c r="J1918">
        <v>1</v>
      </c>
      <c r="K1918">
        <v>1</v>
      </c>
    </row>
    <row r="1919" spans="7:11">
      <c r="G1919">
        <v>4</v>
      </c>
      <c r="H1919">
        <v>1</v>
      </c>
      <c r="I1919">
        <v>3</v>
      </c>
      <c r="J1919">
        <v>2</v>
      </c>
      <c r="K1919">
        <v>2</v>
      </c>
    </row>
    <row r="1920" spans="7:11">
      <c r="G1920">
        <v>4</v>
      </c>
      <c r="H1920">
        <v>1</v>
      </c>
      <c r="I1920">
        <v>4</v>
      </c>
      <c r="J1920">
        <v>1</v>
      </c>
      <c r="K1920">
        <v>1</v>
      </c>
    </row>
    <row r="1921" spans="7:11">
      <c r="G1921">
        <v>4</v>
      </c>
      <c r="H1921">
        <v>1</v>
      </c>
      <c r="I1921">
        <v>4</v>
      </c>
      <c r="J1921">
        <v>2</v>
      </c>
      <c r="K1921">
        <v>2</v>
      </c>
    </row>
    <row r="1922" spans="7:11">
      <c r="G1922">
        <v>4</v>
      </c>
      <c r="H1922">
        <v>1</v>
      </c>
      <c r="I1922">
        <v>5</v>
      </c>
      <c r="J1922">
        <v>1</v>
      </c>
      <c r="K1922">
        <v>1</v>
      </c>
    </row>
    <row r="1923" spans="7:11">
      <c r="G1923">
        <v>4</v>
      </c>
      <c r="H1923">
        <v>1</v>
      </c>
      <c r="I1923">
        <v>5</v>
      </c>
      <c r="J1923">
        <v>2</v>
      </c>
      <c r="K1923">
        <v>2</v>
      </c>
    </row>
    <row r="1924" spans="7:11">
      <c r="G1924">
        <v>4</v>
      </c>
      <c r="H1924">
        <v>2</v>
      </c>
      <c r="I1924">
        <v>1</v>
      </c>
      <c r="J1924">
        <v>1</v>
      </c>
      <c r="K1924">
        <v>1</v>
      </c>
    </row>
    <row r="1925" spans="7:11">
      <c r="G1925">
        <v>4</v>
      </c>
      <c r="H1925">
        <v>2</v>
      </c>
      <c r="I1925">
        <v>1</v>
      </c>
      <c r="J1925">
        <v>2</v>
      </c>
      <c r="K1925">
        <v>2</v>
      </c>
    </row>
    <row r="1926" spans="7:11">
      <c r="G1926">
        <v>4</v>
      </c>
      <c r="H1926">
        <v>2</v>
      </c>
      <c r="I1926">
        <v>2</v>
      </c>
      <c r="J1926">
        <v>1</v>
      </c>
      <c r="K1926">
        <v>1</v>
      </c>
    </row>
    <row r="1927" spans="7:11">
      <c r="G1927">
        <v>4</v>
      </c>
      <c r="H1927">
        <v>2</v>
      </c>
      <c r="I1927">
        <v>2</v>
      </c>
      <c r="J1927">
        <v>2</v>
      </c>
      <c r="K1927">
        <v>2</v>
      </c>
    </row>
    <row r="1928" spans="7:11">
      <c r="G1928">
        <v>4</v>
      </c>
      <c r="H1928">
        <v>2</v>
      </c>
      <c r="I1928">
        <v>3</v>
      </c>
      <c r="J1928">
        <v>1</v>
      </c>
      <c r="K1928">
        <v>1</v>
      </c>
    </row>
    <row r="1929" spans="7:11">
      <c r="G1929">
        <v>4</v>
      </c>
      <c r="H1929">
        <v>2</v>
      </c>
      <c r="I1929">
        <v>3</v>
      </c>
      <c r="J1929">
        <v>2</v>
      </c>
      <c r="K1929">
        <v>2</v>
      </c>
    </row>
    <row r="1930" spans="7:11">
      <c r="G1930">
        <v>4</v>
      </c>
      <c r="H1930">
        <v>2</v>
      </c>
      <c r="I1930">
        <v>4</v>
      </c>
      <c r="J1930">
        <v>1</v>
      </c>
      <c r="K1930">
        <v>1</v>
      </c>
    </row>
    <row r="1931" spans="7:11">
      <c r="G1931">
        <v>4</v>
      </c>
      <c r="H1931">
        <v>2</v>
      </c>
      <c r="I1931">
        <v>4</v>
      </c>
      <c r="J1931">
        <v>2</v>
      </c>
      <c r="K1931">
        <v>2</v>
      </c>
    </row>
    <row r="1932" spans="7:11">
      <c r="G1932">
        <v>4</v>
      </c>
      <c r="H1932">
        <v>2</v>
      </c>
      <c r="I1932">
        <v>5</v>
      </c>
      <c r="J1932">
        <v>1</v>
      </c>
      <c r="K1932">
        <v>1</v>
      </c>
    </row>
    <row r="1933" spans="7:11">
      <c r="G1933">
        <v>4</v>
      </c>
      <c r="H1933">
        <v>2</v>
      </c>
      <c r="I1933">
        <v>5</v>
      </c>
      <c r="J1933">
        <v>2</v>
      </c>
      <c r="K1933">
        <v>2</v>
      </c>
    </row>
    <row r="1934" spans="7:11">
      <c r="G1934">
        <v>4</v>
      </c>
      <c r="H1934">
        <v>3</v>
      </c>
      <c r="I1934">
        <v>1</v>
      </c>
      <c r="J1934">
        <v>1</v>
      </c>
      <c r="K1934">
        <v>1</v>
      </c>
    </row>
    <row r="1935" spans="7:11">
      <c r="G1935">
        <v>4</v>
      </c>
      <c r="H1935">
        <v>3</v>
      </c>
      <c r="I1935">
        <v>1</v>
      </c>
      <c r="J1935">
        <v>2</v>
      </c>
      <c r="K1935">
        <v>2</v>
      </c>
    </row>
    <row r="1936" spans="7:11">
      <c r="G1936">
        <v>4</v>
      </c>
      <c r="H1936">
        <v>3</v>
      </c>
      <c r="I1936">
        <v>2</v>
      </c>
      <c r="J1936">
        <v>1</v>
      </c>
      <c r="K1936">
        <v>1</v>
      </c>
    </row>
    <row r="1937" spans="7:11">
      <c r="G1937">
        <v>4</v>
      </c>
      <c r="H1937">
        <v>3</v>
      </c>
      <c r="I1937">
        <v>2</v>
      </c>
      <c r="J1937">
        <v>2</v>
      </c>
      <c r="K1937">
        <v>2</v>
      </c>
    </row>
    <row r="1938" spans="7:11">
      <c r="G1938">
        <v>4</v>
      </c>
      <c r="H1938">
        <v>3</v>
      </c>
      <c r="I1938">
        <v>3</v>
      </c>
      <c r="J1938">
        <v>1</v>
      </c>
      <c r="K1938">
        <v>1</v>
      </c>
    </row>
    <row r="1939" spans="7:11">
      <c r="G1939">
        <v>4</v>
      </c>
      <c r="H1939">
        <v>3</v>
      </c>
      <c r="I1939">
        <v>3</v>
      </c>
      <c r="J1939">
        <v>2</v>
      </c>
      <c r="K1939">
        <v>2</v>
      </c>
    </row>
    <row r="1940" spans="7:11">
      <c r="G1940">
        <v>4</v>
      </c>
      <c r="H1940">
        <v>3</v>
      </c>
      <c r="I1940">
        <v>4</v>
      </c>
      <c r="J1940">
        <v>1</v>
      </c>
      <c r="K1940">
        <v>1</v>
      </c>
    </row>
    <row r="1941" spans="7:11">
      <c r="G1941">
        <v>4</v>
      </c>
      <c r="H1941">
        <v>3</v>
      </c>
      <c r="I1941">
        <v>4</v>
      </c>
      <c r="J1941">
        <v>2</v>
      </c>
      <c r="K1941">
        <v>2</v>
      </c>
    </row>
    <row r="1942" spans="7:11">
      <c r="G1942">
        <v>4</v>
      </c>
      <c r="H1942">
        <v>3</v>
      </c>
      <c r="I1942">
        <v>5</v>
      </c>
      <c r="J1942">
        <v>1</v>
      </c>
      <c r="K1942">
        <v>1</v>
      </c>
    </row>
    <row r="1943" spans="7:11">
      <c r="G1943">
        <v>4</v>
      </c>
      <c r="H1943">
        <v>3</v>
      </c>
      <c r="I1943">
        <v>5</v>
      </c>
      <c r="J1943">
        <v>2</v>
      </c>
      <c r="K1943">
        <v>2</v>
      </c>
    </row>
    <row r="1944" spans="7:11">
      <c r="G1944">
        <v>1</v>
      </c>
      <c r="H1944">
        <v>1</v>
      </c>
      <c r="I1944">
        <v>1</v>
      </c>
      <c r="J1944">
        <v>1</v>
      </c>
      <c r="K1944">
        <v>1</v>
      </c>
    </row>
    <row r="1945" spans="7:11">
      <c r="G1945">
        <v>1</v>
      </c>
      <c r="H1945">
        <v>1</v>
      </c>
      <c r="I1945">
        <v>1</v>
      </c>
      <c r="J1945">
        <v>2</v>
      </c>
      <c r="K1945">
        <v>2</v>
      </c>
    </row>
    <row r="1946" spans="7:11">
      <c r="G1946">
        <v>1</v>
      </c>
      <c r="H1946">
        <v>1</v>
      </c>
      <c r="I1946">
        <v>2</v>
      </c>
      <c r="J1946">
        <v>1</v>
      </c>
      <c r="K1946">
        <v>1</v>
      </c>
    </row>
    <row r="1947" spans="7:11">
      <c r="G1947">
        <v>1</v>
      </c>
      <c r="H1947">
        <v>1</v>
      </c>
      <c r="I1947">
        <v>2</v>
      </c>
      <c r="J1947">
        <v>2</v>
      </c>
      <c r="K1947">
        <v>2</v>
      </c>
    </row>
    <row r="1948" spans="7:11">
      <c r="G1948">
        <v>1</v>
      </c>
      <c r="H1948">
        <v>1</v>
      </c>
      <c r="I1948">
        <v>3</v>
      </c>
      <c r="J1948">
        <v>1</v>
      </c>
      <c r="K1948">
        <v>1</v>
      </c>
    </row>
    <row r="1949" spans="7:11">
      <c r="G1949">
        <v>1</v>
      </c>
      <c r="H1949">
        <v>1</v>
      </c>
      <c r="I1949">
        <v>3</v>
      </c>
      <c r="J1949">
        <v>2</v>
      </c>
      <c r="K1949">
        <v>2</v>
      </c>
    </row>
    <row r="1950" spans="7:11">
      <c r="G1950">
        <v>1</v>
      </c>
      <c r="H1950">
        <v>1</v>
      </c>
      <c r="I1950">
        <v>4</v>
      </c>
      <c r="J1950">
        <v>1</v>
      </c>
      <c r="K1950">
        <v>1</v>
      </c>
    </row>
    <row r="1951" spans="7:11">
      <c r="G1951">
        <v>1</v>
      </c>
      <c r="H1951">
        <v>1</v>
      </c>
      <c r="I1951">
        <v>4</v>
      </c>
      <c r="J1951">
        <v>2</v>
      </c>
      <c r="K1951">
        <v>2</v>
      </c>
    </row>
    <row r="1952" spans="7:11">
      <c r="G1952">
        <v>1</v>
      </c>
      <c r="H1952">
        <v>1</v>
      </c>
      <c r="I1952">
        <v>5</v>
      </c>
      <c r="J1952">
        <v>1</v>
      </c>
      <c r="K1952">
        <v>1</v>
      </c>
    </row>
    <row r="1953" spans="7:11">
      <c r="G1953">
        <v>1</v>
      </c>
      <c r="H1953">
        <v>1</v>
      </c>
      <c r="I1953">
        <v>5</v>
      </c>
      <c r="J1953">
        <v>2</v>
      </c>
      <c r="K1953">
        <v>2</v>
      </c>
    </row>
    <row r="1954" spans="7:11">
      <c r="G1954">
        <v>1</v>
      </c>
      <c r="H1954">
        <v>2</v>
      </c>
      <c r="I1954">
        <v>1</v>
      </c>
      <c r="J1954">
        <v>1</v>
      </c>
      <c r="K1954">
        <v>1</v>
      </c>
    </row>
    <row r="1955" spans="7:11">
      <c r="G1955">
        <v>1</v>
      </c>
      <c r="H1955">
        <v>2</v>
      </c>
      <c r="I1955">
        <v>1</v>
      </c>
      <c r="J1955">
        <v>2</v>
      </c>
      <c r="K1955">
        <v>2</v>
      </c>
    </row>
    <row r="1956" spans="7:11">
      <c r="G1956">
        <v>1</v>
      </c>
      <c r="H1956">
        <v>2</v>
      </c>
      <c r="I1956">
        <v>2</v>
      </c>
      <c r="J1956">
        <v>1</v>
      </c>
      <c r="K1956">
        <v>1</v>
      </c>
    </row>
    <row r="1957" spans="7:11">
      <c r="G1957">
        <v>1</v>
      </c>
      <c r="H1957">
        <v>2</v>
      </c>
      <c r="I1957">
        <v>2</v>
      </c>
      <c r="J1957">
        <v>2</v>
      </c>
      <c r="K1957">
        <v>2</v>
      </c>
    </row>
    <row r="1958" spans="7:11">
      <c r="G1958">
        <v>1</v>
      </c>
      <c r="H1958">
        <v>2</v>
      </c>
      <c r="I1958">
        <v>3</v>
      </c>
      <c r="J1958">
        <v>1</v>
      </c>
      <c r="K1958">
        <v>1</v>
      </c>
    </row>
    <row r="1959" spans="7:11">
      <c r="G1959">
        <v>1</v>
      </c>
      <c r="H1959">
        <v>2</v>
      </c>
      <c r="I1959">
        <v>3</v>
      </c>
      <c r="J1959">
        <v>2</v>
      </c>
      <c r="K1959">
        <v>2</v>
      </c>
    </row>
    <row r="1960" spans="7:11">
      <c r="G1960">
        <v>1</v>
      </c>
      <c r="H1960">
        <v>2</v>
      </c>
      <c r="I1960">
        <v>4</v>
      </c>
      <c r="J1960">
        <v>1</v>
      </c>
      <c r="K1960">
        <v>1</v>
      </c>
    </row>
    <row r="1961" spans="7:11">
      <c r="G1961">
        <v>1</v>
      </c>
      <c r="H1961">
        <v>2</v>
      </c>
      <c r="I1961">
        <v>4</v>
      </c>
      <c r="J1961">
        <v>2</v>
      </c>
      <c r="K1961">
        <v>2</v>
      </c>
    </row>
    <row r="1962" spans="7:11">
      <c r="G1962">
        <v>1</v>
      </c>
      <c r="H1962">
        <v>2</v>
      </c>
      <c r="I1962">
        <v>5</v>
      </c>
      <c r="J1962">
        <v>1</v>
      </c>
      <c r="K1962">
        <v>1</v>
      </c>
    </row>
    <row r="1963" spans="7:11">
      <c r="G1963">
        <v>1</v>
      </c>
      <c r="H1963">
        <v>2</v>
      </c>
      <c r="I1963">
        <v>5</v>
      </c>
      <c r="J1963">
        <v>2</v>
      </c>
      <c r="K1963">
        <v>2</v>
      </c>
    </row>
    <row r="1964" spans="7:11">
      <c r="G1964">
        <v>1</v>
      </c>
      <c r="H1964">
        <v>3</v>
      </c>
      <c r="I1964">
        <v>1</v>
      </c>
      <c r="J1964">
        <v>1</v>
      </c>
      <c r="K1964">
        <v>1</v>
      </c>
    </row>
    <row r="1965" spans="7:11">
      <c r="G1965">
        <v>1</v>
      </c>
      <c r="H1965">
        <v>3</v>
      </c>
      <c r="I1965">
        <v>1</v>
      </c>
      <c r="J1965">
        <v>2</v>
      </c>
      <c r="K1965">
        <v>2</v>
      </c>
    </row>
    <row r="1966" spans="7:11">
      <c r="G1966">
        <v>1</v>
      </c>
      <c r="H1966">
        <v>3</v>
      </c>
      <c r="I1966">
        <v>2</v>
      </c>
      <c r="J1966">
        <v>1</v>
      </c>
      <c r="K1966">
        <v>1</v>
      </c>
    </row>
    <row r="1967" spans="7:11">
      <c r="G1967">
        <v>1</v>
      </c>
      <c r="H1967">
        <v>3</v>
      </c>
      <c r="I1967">
        <v>2</v>
      </c>
      <c r="J1967">
        <v>2</v>
      </c>
      <c r="K1967">
        <v>2</v>
      </c>
    </row>
    <row r="1968" spans="7:11">
      <c r="G1968">
        <v>1</v>
      </c>
      <c r="H1968">
        <v>3</v>
      </c>
      <c r="I1968">
        <v>3</v>
      </c>
      <c r="J1968">
        <v>1</v>
      </c>
      <c r="K1968">
        <v>1</v>
      </c>
    </row>
    <row r="1969" spans="7:11">
      <c r="G1969">
        <v>1</v>
      </c>
      <c r="H1969">
        <v>3</v>
      </c>
      <c r="I1969">
        <v>3</v>
      </c>
      <c r="J1969">
        <v>2</v>
      </c>
      <c r="K1969">
        <v>2</v>
      </c>
    </row>
    <row r="1970" spans="7:11">
      <c r="G1970">
        <v>1</v>
      </c>
      <c r="H1970">
        <v>3</v>
      </c>
      <c r="I1970">
        <v>4</v>
      </c>
      <c r="J1970">
        <v>1</v>
      </c>
      <c r="K1970">
        <v>1</v>
      </c>
    </row>
    <row r="1971" spans="7:11">
      <c r="G1971">
        <v>1</v>
      </c>
      <c r="H1971">
        <v>3</v>
      </c>
      <c r="I1971">
        <v>4</v>
      </c>
      <c r="J1971">
        <v>2</v>
      </c>
      <c r="K1971">
        <v>2</v>
      </c>
    </row>
    <row r="1972" spans="7:11">
      <c r="G1972">
        <v>1</v>
      </c>
      <c r="H1972">
        <v>3</v>
      </c>
      <c r="I1972">
        <v>5</v>
      </c>
      <c r="J1972">
        <v>1</v>
      </c>
      <c r="K1972">
        <v>1</v>
      </c>
    </row>
    <row r="1973" spans="7:11">
      <c r="G1973">
        <v>1</v>
      </c>
      <c r="H1973">
        <v>3</v>
      </c>
      <c r="I1973">
        <v>5</v>
      </c>
      <c r="J1973">
        <v>2</v>
      </c>
      <c r="K1973">
        <v>2</v>
      </c>
    </row>
    <row r="1974" spans="7:11">
      <c r="G1974">
        <v>2</v>
      </c>
      <c r="H1974">
        <v>1</v>
      </c>
      <c r="I1974">
        <v>3</v>
      </c>
      <c r="J1974">
        <v>1</v>
      </c>
      <c r="K1974">
        <v>1</v>
      </c>
    </row>
    <row r="1975" spans="7:11">
      <c r="G1975">
        <v>2</v>
      </c>
      <c r="H1975">
        <v>1</v>
      </c>
      <c r="I1975">
        <v>3</v>
      </c>
      <c r="J1975">
        <v>2</v>
      </c>
      <c r="K1975">
        <v>2</v>
      </c>
    </row>
    <row r="1976" spans="7:11">
      <c r="G1976">
        <v>2</v>
      </c>
      <c r="H1976">
        <v>1</v>
      </c>
      <c r="I1976">
        <v>4</v>
      </c>
      <c r="J1976">
        <v>1</v>
      </c>
      <c r="K1976">
        <v>1</v>
      </c>
    </row>
    <row r="1977" spans="7:11">
      <c r="G1977">
        <v>2</v>
      </c>
      <c r="H1977">
        <v>1</v>
      </c>
      <c r="I1977">
        <v>4</v>
      </c>
      <c r="J1977">
        <v>2</v>
      </c>
      <c r="K1977">
        <v>2</v>
      </c>
    </row>
    <row r="1978" spans="7:11">
      <c r="G1978">
        <v>2</v>
      </c>
      <c r="H1978">
        <v>1</v>
      </c>
      <c r="I1978">
        <v>5</v>
      </c>
      <c r="J1978">
        <v>1</v>
      </c>
      <c r="K1978">
        <v>1</v>
      </c>
    </row>
    <row r="1979" spans="7:11">
      <c r="G1979">
        <v>2</v>
      </c>
      <c r="H1979">
        <v>1</v>
      </c>
      <c r="I1979">
        <v>5</v>
      </c>
      <c r="J1979">
        <v>2</v>
      </c>
      <c r="K1979">
        <v>2</v>
      </c>
    </row>
    <row r="1980" spans="7:11">
      <c r="G1980">
        <v>2</v>
      </c>
      <c r="H1980">
        <v>2</v>
      </c>
      <c r="I1980">
        <v>1</v>
      </c>
      <c r="J1980">
        <v>1</v>
      </c>
      <c r="K1980">
        <v>1</v>
      </c>
    </row>
    <row r="1981" spans="7:11">
      <c r="G1981">
        <v>2</v>
      </c>
      <c r="H1981">
        <v>2</v>
      </c>
      <c r="I1981">
        <v>1</v>
      </c>
      <c r="J1981">
        <v>2</v>
      </c>
      <c r="K1981">
        <v>2</v>
      </c>
    </row>
    <row r="1982" spans="7:11">
      <c r="G1982">
        <v>2</v>
      </c>
      <c r="H1982">
        <v>2</v>
      </c>
      <c r="I1982">
        <v>2</v>
      </c>
      <c r="J1982">
        <v>1</v>
      </c>
      <c r="K1982">
        <v>1</v>
      </c>
    </row>
    <row r="1983" spans="7:11">
      <c r="G1983">
        <v>2</v>
      </c>
      <c r="H1983">
        <v>2</v>
      </c>
      <c r="I1983">
        <v>2</v>
      </c>
      <c r="J1983">
        <v>2</v>
      </c>
      <c r="K1983">
        <v>2</v>
      </c>
    </row>
    <row r="1984" spans="7:11">
      <c r="G1984">
        <v>2</v>
      </c>
      <c r="H1984">
        <v>2</v>
      </c>
      <c r="I1984">
        <v>3</v>
      </c>
      <c r="J1984">
        <v>1</v>
      </c>
      <c r="K1984">
        <v>1</v>
      </c>
    </row>
    <row r="1985" spans="7:11">
      <c r="G1985">
        <v>2</v>
      </c>
      <c r="H1985">
        <v>2</v>
      </c>
      <c r="I1985">
        <v>3</v>
      </c>
      <c r="J1985">
        <v>2</v>
      </c>
      <c r="K1985">
        <v>2</v>
      </c>
    </row>
    <row r="1986" spans="7:11">
      <c r="G1986">
        <v>2</v>
      </c>
      <c r="H1986">
        <v>2</v>
      </c>
      <c r="I1986">
        <v>4</v>
      </c>
      <c r="J1986">
        <v>1</v>
      </c>
      <c r="K1986">
        <v>1</v>
      </c>
    </row>
    <row r="1987" spans="7:11">
      <c r="G1987">
        <v>2</v>
      </c>
      <c r="H1987">
        <v>2</v>
      </c>
      <c r="I1987">
        <v>4</v>
      </c>
      <c r="J1987">
        <v>2</v>
      </c>
      <c r="K1987">
        <v>2</v>
      </c>
    </row>
    <row r="1988" spans="7:11">
      <c r="G1988">
        <v>2</v>
      </c>
      <c r="H1988">
        <v>2</v>
      </c>
      <c r="I1988">
        <v>5</v>
      </c>
      <c r="J1988">
        <v>1</v>
      </c>
      <c r="K1988">
        <v>1</v>
      </c>
    </row>
    <row r="1989" spans="7:11">
      <c r="G1989">
        <v>2</v>
      </c>
      <c r="H1989">
        <v>2</v>
      </c>
      <c r="I1989">
        <v>5</v>
      </c>
      <c r="J1989">
        <v>2</v>
      </c>
      <c r="K1989">
        <v>2</v>
      </c>
    </row>
    <row r="1990" spans="7:11">
      <c r="G1990">
        <v>2</v>
      </c>
      <c r="H1990">
        <v>3</v>
      </c>
      <c r="I1990">
        <v>1</v>
      </c>
      <c r="J1990">
        <v>1</v>
      </c>
      <c r="K1990">
        <v>1</v>
      </c>
    </row>
    <row r="1991" spans="7:11">
      <c r="G1991">
        <v>2</v>
      </c>
      <c r="H1991">
        <v>3</v>
      </c>
      <c r="I1991">
        <v>1</v>
      </c>
      <c r="J1991">
        <v>2</v>
      </c>
      <c r="K1991">
        <v>2</v>
      </c>
    </row>
    <row r="1992" spans="7:11">
      <c r="G1992">
        <v>2</v>
      </c>
      <c r="H1992">
        <v>3</v>
      </c>
      <c r="I1992">
        <v>2</v>
      </c>
      <c r="J1992">
        <v>1</v>
      </c>
      <c r="K1992">
        <v>1</v>
      </c>
    </row>
    <row r="1993" spans="7:11">
      <c r="G1993">
        <v>2</v>
      </c>
      <c r="H1993">
        <v>3</v>
      </c>
      <c r="I1993">
        <v>2</v>
      </c>
      <c r="J1993">
        <v>2</v>
      </c>
      <c r="K1993">
        <v>2</v>
      </c>
    </row>
    <row r="1994" spans="7:11">
      <c r="G1994">
        <v>2</v>
      </c>
      <c r="H1994">
        <v>3</v>
      </c>
      <c r="I1994">
        <v>3</v>
      </c>
      <c r="J1994">
        <v>1</v>
      </c>
      <c r="K1994">
        <v>1</v>
      </c>
    </row>
    <row r="1995" spans="7:11">
      <c r="G1995">
        <v>2</v>
      </c>
      <c r="H1995">
        <v>3</v>
      </c>
      <c r="I1995">
        <v>3</v>
      </c>
      <c r="J1995">
        <v>2</v>
      </c>
      <c r="K1995">
        <v>2</v>
      </c>
    </row>
    <row r="1996" spans="7:11">
      <c r="G1996">
        <v>2</v>
      </c>
      <c r="H1996">
        <v>3</v>
      </c>
      <c r="I1996">
        <v>4</v>
      </c>
      <c r="J1996">
        <v>1</v>
      </c>
      <c r="K1996">
        <v>1</v>
      </c>
    </row>
    <row r="1997" spans="7:11">
      <c r="G1997">
        <v>2</v>
      </c>
      <c r="H1997">
        <v>3</v>
      </c>
      <c r="I1997">
        <v>4</v>
      </c>
      <c r="J1997">
        <v>2</v>
      </c>
      <c r="K1997">
        <v>2</v>
      </c>
    </row>
    <row r="1998" spans="7:11">
      <c r="G1998">
        <v>2</v>
      </c>
      <c r="H1998">
        <v>3</v>
      </c>
      <c r="I1998">
        <v>5</v>
      </c>
      <c r="J1998">
        <v>1</v>
      </c>
      <c r="K1998">
        <v>1</v>
      </c>
    </row>
    <row r="1999" spans="7:11">
      <c r="G1999">
        <v>2</v>
      </c>
      <c r="H1999">
        <v>3</v>
      </c>
      <c r="I1999">
        <v>5</v>
      </c>
      <c r="J1999">
        <v>2</v>
      </c>
      <c r="K1999">
        <v>2</v>
      </c>
    </row>
    <row r="2000" spans="7:11">
      <c r="G2000">
        <v>3</v>
      </c>
      <c r="H2000">
        <v>1</v>
      </c>
      <c r="I2000">
        <v>3</v>
      </c>
      <c r="J2000">
        <v>1</v>
      </c>
      <c r="K2000">
        <v>1</v>
      </c>
    </row>
    <row r="2001" spans="7:11">
      <c r="G2001">
        <v>3</v>
      </c>
      <c r="H2001">
        <v>1</v>
      </c>
      <c r="I2001">
        <v>3</v>
      </c>
      <c r="J2001">
        <v>2</v>
      </c>
      <c r="K2001">
        <v>2</v>
      </c>
    </row>
    <row r="2002" spans="7:11">
      <c r="G2002">
        <v>3</v>
      </c>
      <c r="H2002">
        <v>1</v>
      </c>
      <c r="I2002">
        <v>4</v>
      </c>
      <c r="J2002">
        <v>1</v>
      </c>
      <c r="K2002">
        <v>1</v>
      </c>
    </row>
    <row r="2003" spans="7:11">
      <c r="G2003">
        <v>3</v>
      </c>
      <c r="H2003">
        <v>1</v>
      </c>
      <c r="I2003">
        <v>4</v>
      </c>
      <c r="J2003">
        <v>2</v>
      </c>
      <c r="K2003">
        <v>2</v>
      </c>
    </row>
    <row r="2004" spans="7:11">
      <c r="G2004">
        <v>3</v>
      </c>
      <c r="H2004">
        <v>1</v>
      </c>
      <c r="I2004">
        <v>5</v>
      </c>
      <c r="J2004">
        <v>1</v>
      </c>
      <c r="K2004">
        <v>1</v>
      </c>
    </row>
    <row r="2005" spans="7:11">
      <c r="G2005">
        <v>3</v>
      </c>
      <c r="H2005">
        <v>1</v>
      </c>
      <c r="I2005">
        <v>5</v>
      </c>
      <c r="J2005">
        <v>2</v>
      </c>
      <c r="K2005">
        <v>2</v>
      </c>
    </row>
    <row r="2006" spans="7:11">
      <c r="G2006">
        <v>3</v>
      </c>
      <c r="H2006">
        <v>2</v>
      </c>
      <c r="I2006">
        <v>1</v>
      </c>
      <c r="J2006">
        <v>1</v>
      </c>
      <c r="K2006">
        <v>1</v>
      </c>
    </row>
    <row r="2007" spans="7:11">
      <c r="G2007">
        <v>3</v>
      </c>
      <c r="H2007">
        <v>2</v>
      </c>
      <c r="I2007">
        <v>1</v>
      </c>
      <c r="J2007">
        <v>2</v>
      </c>
      <c r="K2007">
        <v>2</v>
      </c>
    </row>
    <row r="2008" spans="7:11">
      <c r="G2008">
        <v>3</v>
      </c>
      <c r="H2008">
        <v>2</v>
      </c>
      <c r="I2008">
        <v>2</v>
      </c>
      <c r="J2008">
        <v>1</v>
      </c>
      <c r="K2008">
        <v>1</v>
      </c>
    </row>
    <row r="2009" spans="7:11">
      <c r="G2009">
        <v>3</v>
      </c>
      <c r="H2009">
        <v>2</v>
      </c>
      <c r="I2009">
        <v>2</v>
      </c>
      <c r="J2009">
        <v>2</v>
      </c>
      <c r="K2009">
        <v>2</v>
      </c>
    </row>
    <row r="2010" spans="7:11">
      <c r="G2010">
        <v>3</v>
      </c>
      <c r="H2010">
        <v>2</v>
      </c>
      <c r="I2010">
        <v>3</v>
      </c>
      <c r="J2010">
        <v>1</v>
      </c>
      <c r="K2010">
        <v>1</v>
      </c>
    </row>
    <row r="2011" spans="7:11">
      <c r="G2011">
        <v>3</v>
      </c>
      <c r="H2011">
        <v>2</v>
      </c>
      <c r="I2011">
        <v>3</v>
      </c>
      <c r="J2011">
        <v>2</v>
      </c>
      <c r="K2011">
        <v>2</v>
      </c>
    </row>
    <row r="2012" spans="7:11">
      <c r="G2012">
        <v>3</v>
      </c>
      <c r="H2012">
        <v>2</v>
      </c>
      <c r="I2012">
        <v>4</v>
      </c>
      <c r="J2012">
        <v>1</v>
      </c>
      <c r="K2012">
        <v>1</v>
      </c>
    </row>
    <row r="2013" spans="7:11">
      <c r="G2013">
        <v>3</v>
      </c>
      <c r="H2013">
        <v>2</v>
      </c>
      <c r="I2013">
        <v>4</v>
      </c>
      <c r="J2013">
        <v>2</v>
      </c>
      <c r="K2013">
        <v>2</v>
      </c>
    </row>
    <row r="2014" spans="7:11">
      <c r="G2014">
        <v>3</v>
      </c>
      <c r="H2014">
        <v>2</v>
      </c>
      <c r="I2014">
        <v>5</v>
      </c>
      <c r="J2014">
        <v>1</v>
      </c>
      <c r="K2014">
        <v>1</v>
      </c>
    </row>
    <row r="2015" spans="7:11">
      <c r="G2015">
        <v>3</v>
      </c>
      <c r="H2015">
        <v>2</v>
      </c>
      <c r="I2015">
        <v>5</v>
      </c>
      <c r="J2015">
        <v>2</v>
      </c>
      <c r="K2015">
        <v>2</v>
      </c>
    </row>
    <row r="2016" spans="7:11">
      <c r="G2016">
        <v>3</v>
      </c>
      <c r="H2016">
        <v>3</v>
      </c>
      <c r="I2016">
        <v>1</v>
      </c>
      <c r="J2016">
        <v>1</v>
      </c>
      <c r="K2016">
        <v>1</v>
      </c>
    </row>
    <row r="2017" spans="7:11">
      <c r="G2017">
        <v>3</v>
      </c>
      <c r="H2017">
        <v>3</v>
      </c>
      <c r="I2017">
        <v>1</v>
      </c>
      <c r="J2017">
        <v>2</v>
      </c>
      <c r="K2017">
        <v>2</v>
      </c>
    </row>
    <row r="2018" spans="7:11">
      <c r="G2018">
        <v>3</v>
      </c>
      <c r="H2018">
        <v>3</v>
      </c>
      <c r="I2018">
        <v>2</v>
      </c>
      <c r="J2018">
        <v>1</v>
      </c>
      <c r="K2018">
        <v>1</v>
      </c>
    </row>
    <row r="2019" spans="7:11">
      <c r="G2019">
        <v>3</v>
      </c>
      <c r="H2019">
        <v>3</v>
      </c>
      <c r="I2019">
        <v>2</v>
      </c>
      <c r="J2019">
        <v>2</v>
      </c>
      <c r="K2019">
        <v>2</v>
      </c>
    </row>
    <row r="2020" spans="7:11">
      <c r="G2020">
        <v>3</v>
      </c>
      <c r="H2020">
        <v>3</v>
      </c>
      <c r="I2020">
        <v>3</v>
      </c>
      <c r="J2020">
        <v>1</v>
      </c>
      <c r="K2020">
        <v>1</v>
      </c>
    </row>
    <row r="2021" spans="7:11">
      <c r="G2021">
        <v>3</v>
      </c>
      <c r="H2021">
        <v>3</v>
      </c>
      <c r="I2021">
        <v>3</v>
      </c>
      <c r="J2021">
        <v>2</v>
      </c>
      <c r="K2021">
        <v>2</v>
      </c>
    </row>
    <row r="2022" spans="7:11">
      <c r="G2022">
        <v>3</v>
      </c>
      <c r="H2022">
        <v>3</v>
      </c>
      <c r="I2022">
        <v>4</v>
      </c>
      <c r="J2022">
        <v>1</v>
      </c>
      <c r="K2022">
        <v>1</v>
      </c>
    </row>
    <row r="2023" spans="7:11">
      <c r="G2023">
        <v>3</v>
      </c>
      <c r="H2023">
        <v>3</v>
      </c>
      <c r="I2023">
        <v>4</v>
      </c>
      <c r="J2023">
        <v>2</v>
      </c>
      <c r="K2023">
        <v>2</v>
      </c>
    </row>
    <row r="2024" spans="7:11">
      <c r="G2024">
        <v>3</v>
      </c>
      <c r="H2024">
        <v>3</v>
      </c>
      <c r="I2024">
        <v>5</v>
      </c>
      <c r="J2024">
        <v>1</v>
      </c>
      <c r="K2024">
        <v>1</v>
      </c>
    </row>
    <row r="2025" spans="7:11">
      <c r="G2025">
        <v>3</v>
      </c>
      <c r="H2025">
        <v>3</v>
      </c>
      <c r="I2025">
        <v>5</v>
      </c>
      <c r="J2025">
        <v>2</v>
      </c>
      <c r="K2025">
        <v>2</v>
      </c>
    </row>
    <row r="2026" spans="7:11">
      <c r="G2026">
        <v>4</v>
      </c>
      <c r="H2026">
        <v>1</v>
      </c>
      <c r="I2026">
        <v>3</v>
      </c>
      <c r="J2026">
        <v>1</v>
      </c>
      <c r="K2026">
        <v>1</v>
      </c>
    </row>
    <row r="2027" spans="7:11">
      <c r="G2027">
        <v>4</v>
      </c>
      <c r="H2027">
        <v>1</v>
      </c>
      <c r="I2027">
        <v>3</v>
      </c>
      <c r="J2027">
        <v>2</v>
      </c>
      <c r="K2027">
        <v>2</v>
      </c>
    </row>
    <row r="2028" spans="7:11">
      <c r="G2028">
        <v>4</v>
      </c>
      <c r="H2028">
        <v>1</v>
      </c>
      <c r="I2028">
        <v>4</v>
      </c>
      <c r="J2028">
        <v>1</v>
      </c>
      <c r="K2028">
        <v>1</v>
      </c>
    </row>
    <row r="2029" spans="7:11">
      <c r="G2029">
        <v>4</v>
      </c>
      <c r="H2029">
        <v>1</v>
      </c>
      <c r="I2029">
        <v>4</v>
      </c>
      <c r="J2029">
        <v>2</v>
      </c>
      <c r="K2029">
        <v>2</v>
      </c>
    </row>
    <row r="2030" spans="7:11">
      <c r="G2030">
        <v>4</v>
      </c>
      <c r="H2030">
        <v>1</v>
      </c>
      <c r="I2030">
        <v>5</v>
      </c>
      <c r="J2030">
        <v>1</v>
      </c>
      <c r="K2030">
        <v>1</v>
      </c>
    </row>
    <row r="2031" spans="7:11">
      <c r="G2031">
        <v>4</v>
      </c>
      <c r="H2031">
        <v>1</v>
      </c>
      <c r="I2031">
        <v>5</v>
      </c>
      <c r="J2031">
        <v>2</v>
      </c>
      <c r="K2031">
        <v>2</v>
      </c>
    </row>
    <row r="2032" spans="7:11">
      <c r="G2032">
        <v>4</v>
      </c>
      <c r="H2032">
        <v>2</v>
      </c>
      <c r="I2032">
        <v>1</v>
      </c>
      <c r="J2032">
        <v>1</v>
      </c>
      <c r="K2032">
        <v>1</v>
      </c>
    </row>
    <row r="2033" spans="7:11">
      <c r="G2033">
        <v>4</v>
      </c>
      <c r="H2033">
        <v>2</v>
      </c>
      <c r="I2033">
        <v>1</v>
      </c>
      <c r="J2033">
        <v>2</v>
      </c>
      <c r="K2033">
        <v>2</v>
      </c>
    </row>
    <row r="2034" spans="7:11">
      <c r="G2034">
        <v>4</v>
      </c>
      <c r="H2034">
        <v>2</v>
      </c>
      <c r="I2034">
        <v>2</v>
      </c>
      <c r="J2034">
        <v>1</v>
      </c>
      <c r="K2034">
        <v>1</v>
      </c>
    </row>
    <row r="2035" spans="7:11">
      <c r="G2035">
        <v>4</v>
      </c>
      <c r="H2035">
        <v>2</v>
      </c>
      <c r="I2035">
        <v>2</v>
      </c>
      <c r="J2035">
        <v>2</v>
      </c>
      <c r="K2035">
        <v>2</v>
      </c>
    </row>
    <row r="2036" spans="7:11">
      <c r="G2036">
        <v>4</v>
      </c>
      <c r="H2036">
        <v>2</v>
      </c>
      <c r="I2036">
        <v>3</v>
      </c>
      <c r="J2036">
        <v>1</v>
      </c>
      <c r="K2036">
        <v>1</v>
      </c>
    </row>
    <row r="2037" spans="7:11">
      <c r="G2037">
        <v>4</v>
      </c>
      <c r="H2037">
        <v>2</v>
      </c>
      <c r="I2037">
        <v>3</v>
      </c>
      <c r="J2037">
        <v>2</v>
      </c>
      <c r="K2037">
        <v>2</v>
      </c>
    </row>
    <row r="2038" spans="7:11">
      <c r="G2038">
        <v>4</v>
      </c>
      <c r="H2038">
        <v>2</v>
      </c>
      <c r="I2038">
        <v>4</v>
      </c>
      <c r="J2038">
        <v>1</v>
      </c>
      <c r="K2038">
        <v>1</v>
      </c>
    </row>
    <row r="2039" spans="7:11">
      <c r="G2039">
        <v>4</v>
      </c>
      <c r="H2039">
        <v>2</v>
      </c>
      <c r="I2039">
        <v>4</v>
      </c>
      <c r="J2039">
        <v>2</v>
      </c>
      <c r="K2039">
        <v>2</v>
      </c>
    </row>
    <row r="2040" spans="7:11">
      <c r="G2040">
        <v>4</v>
      </c>
      <c r="H2040">
        <v>2</v>
      </c>
      <c r="I2040">
        <v>5</v>
      </c>
      <c r="J2040">
        <v>1</v>
      </c>
      <c r="K2040">
        <v>1</v>
      </c>
    </row>
    <row r="2041" spans="7:11">
      <c r="G2041">
        <v>4</v>
      </c>
      <c r="H2041">
        <v>2</v>
      </c>
      <c r="I2041">
        <v>5</v>
      </c>
      <c r="J2041">
        <v>2</v>
      </c>
      <c r="K2041">
        <v>2</v>
      </c>
    </row>
    <row r="2042" spans="7:11">
      <c r="G2042">
        <v>4</v>
      </c>
      <c r="H2042">
        <v>3</v>
      </c>
      <c r="I2042">
        <v>1</v>
      </c>
      <c r="J2042">
        <v>1</v>
      </c>
      <c r="K2042">
        <v>1</v>
      </c>
    </row>
    <row r="2043" spans="7:11">
      <c r="G2043">
        <v>4</v>
      </c>
      <c r="H2043">
        <v>3</v>
      </c>
      <c r="I2043">
        <v>1</v>
      </c>
      <c r="J2043">
        <v>2</v>
      </c>
      <c r="K2043">
        <v>2</v>
      </c>
    </row>
    <row r="2044" spans="7:11">
      <c r="G2044">
        <v>4</v>
      </c>
      <c r="H2044">
        <v>3</v>
      </c>
      <c r="I2044">
        <v>2</v>
      </c>
      <c r="J2044">
        <v>1</v>
      </c>
      <c r="K2044">
        <v>1</v>
      </c>
    </row>
    <row r="2045" spans="7:11">
      <c r="G2045">
        <v>4</v>
      </c>
      <c r="H2045">
        <v>3</v>
      </c>
      <c r="I2045">
        <v>2</v>
      </c>
      <c r="J2045">
        <v>2</v>
      </c>
      <c r="K2045">
        <v>2</v>
      </c>
    </row>
    <row r="2046" spans="7:11">
      <c r="G2046">
        <v>4</v>
      </c>
      <c r="H2046">
        <v>3</v>
      </c>
      <c r="I2046">
        <v>3</v>
      </c>
      <c r="J2046">
        <v>1</v>
      </c>
      <c r="K2046">
        <v>1</v>
      </c>
    </row>
    <row r="2047" spans="7:11">
      <c r="G2047">
        <v>4</v>
      </c>
      <c r="H2047">
        <v>3</v>
      </c>
      <c r="I2047">
        <v>3</v>
      </c>
      <c r="J2047">
        <v>2</v>
      </c>
      <c r="K2047">
        <v>2</v>
      </c>
    </row>
    <row r="2048" spans="7:11">
      <c r="G2048">
        <v>4</v>
      </c>
      <c r="H2048">
        <v>3</v>
      </c>
      <c r="I2048">
        <v>4</v>
      </c>
      <c r="J2048">
        <v>1</v>
      </c>
      <c r="K2048">
        <v>1</v>
      </c>
    </row>
    <row r="2049" spans="7:11">
      <c r="G2049">
        <v>4</v>
      </c>
      <c r="H2049">
        <v>3</v>
      </c>
      <c r="I2049">
        <v>4</v>
      </c>
      <c r="J2049">
        <v>2</v>
      </c>
      <c r="K2049">
        <v>2</v>
      </c>
    </row>
    <row r="2050" spans="7:11">
      <c r="G2050">
        <v>4</v>
      </c>
      <c r="H2050">
        <v>3</v>
      </c>
      <c r="I2050">
        <v>5</v>
      </c>
      <c r="J2050">
        <v>1</v>
      </c>
      <c r="K2050">
        <v>1</v>
      </c>
    </row>
    <row r="2051" spans="7:11">
      <c r="G2051">
        <v>4</v>
      </c>
      <c r="H2051">
        <v>3</v>
      </c>
      <c r="I2051">
        <v>5</v>
      </c>
      <c r="J2051">
        <v>2</v>
      </c>
      <c r="K2051">
        <v>2</v>
      </c>
    </row>
    <row r="2052" spans="7:11">
      <c r="G2052">
        <v>1</v>
      </c>
      <c r="H2052">
        <v>2</v>
      </c>
      <c r="I2052">
        <v>1</v>
      </c>
      <c r="J2052">
        <v>1</v>
      </c>
      <c r="K2052">
        <v>1</v>
      </c>
    </row>
    <row r="2053" spans="7:11">
      <c r="G2053">
        <v>1</v>
      </c>
      <c r="H2053">
        <v>2</v>
      </c>
      <c r="I2053">
        <v>1</v>
      </c>
      <c r="J2053">
        <v>2</v>
      </c>
      <c r="K2053">
        <v>2</v>
      </c>
    </row>
    <row r="2054" spans="7:11">
      <c r="G2054">
        <v>1</v>
      </c>
      <c r="H2054">
        <v>2</v>
      </c>
      <c r="I2054">
        <v>2</v>
      </c>
      <c r="J2054">
        <v>1</v>
      </c>
      <c r="K2054">
        <v>1</v>
      </c>
    </row>
    <row r="2055" spans="7:11">
      <c r="G2055">
        <v>1</v>
      </c>
      <c r="H2055">
        <v>2</v>
      </c>
      <c r="I2055">
        <v>2</v>
      </c>
      <c r="J2055">
        <v>2</v>
      </c>
      <c r="K2055">
        <v>2</v>
      </c>
    </row>
    <row r="2056" spans="7:11">
      <c r="G2056">
        <v>1</v>
      </c>
      <c r="H2056">
        <v>2</v>
      </c>
      <c r="I2056">
        <v>3</v>
      </c>
      <c r="J2056">
        <v>1</v>
      </c>
      <c r="K2056">
        <v>1</v>
      </c>
    </row>
    <row r="2057" spans="7:11">
      <c r="G2057">
        <v>1</v>
      </c>
      <c r="H2057">
        <v>2</v>
      </c>
      <c r="I2057">
        <v>3</v>
      </c>
      <c r="J2057">
        <v>2</v>
      </c>
      <c r="K2057">
        <v>2</v>
      </c>
    </row>
    <row r="2058" spans="7:11">
      <c r="G2058">
        <v>1</v>
      </c>
      <c r="H2058">
        <v>2</v>
      </c>
      <c r="I2058">
        <v>4</v>
      </c>
      <c r="J2058">
        <v>1</v>
      </c>
      <c r="K2058">
        <v>1</v>
      </c>
    </row>
    <row r="2059" spans="7:11">
      <c r="G2059">
        <v>1</v>
      </c>
      <c r="H2059">
        <v>2</v>
      </c>
      <c r="I2059">
        <v>4</v>
      </c>
      <c r="J2059">
        <v>2</v>
      </c>
      <c r="K2059">
        <v>2</v>
      </c>
    </row>
    <row r="2060" spans="7:11">
      <c r="G2060">
        <v>1</v>
      </c>
      <c r="H2060">
        <v>2</v>
      </c>
      <c r="I2060">
        <v>5</v>
      </c>
      <c r="J2060">
        <v>1</v>
      </c>
      <c r="K2060">
        <v>1</v>
      </c>
    </row>
    <row r="2061" spans="7:11">
      <c r="G2061">
        <v>1</v>
      </c>
      <c r="H2061">
        <v>2</v>
      </c>
      <c r="I2061">
        <v>5</v>
      </c>
      <c r="J2061">
        <v>2</v>
      </c>
      <c r="K2061">
        <v>2</v>
      </c>
    </row>
    <row r="2062" spans="7:11">
      <c r="G2062">
        <v>1</v>
      </c>
      <c r="H2062">
        <v>3</v>
      </c>
      <c r="I2062">
        <v>1</v>
      </c>
      <c r="J2062">
        <v>1</v>
      </c>
      <c r="K2062">
        <v>1</v>
      </c>
    </row>
    <row r="2063" spans="7:11">
      <c r="G2063">
        <v>1</v>
      </c>
      <c r="H2063">
        <v>3</v>
      </c>
      <c r="I2063">
        <v>1</v>
      </c>
      <c r="J2063">
        <v>2</v>
      </c>
      <c r="K2063">
        <v>2</v>
      </c>
    </row>
    <row r="2064" spans="7:11">
      <c r="G2064">
        <v>1</v>
      </c>
      <c r="H2064">
        <v>3</v>
      </c>
      <c r="I2064">
        <v>2</v>
      </c>
      <c r="J2064">
        <v>1</v>
      </c>
      <c r="K2064">
        <v>1</v>
      </c>
    </row>
    <row r="2065" spans="7:11">
      <c r="G2065">
        <v>1</v>
      </c>
      <c r="H2065">
        <v>3</v>
      </c>
      <c r="I2065">
        <v>2</v>
      </c>
      <c r="J2065">
        <v>2</v>
      </c>
      <c r="K2065">
        <v>2</v>
      </c>
    </row>
    <row r="2066" spans="7:11">
      <c r="G2066">
        <v>1</v>
      </c>
      <c r="H2066">
        <v>3</v>
      </c>
      <c r="I2066">
        <v>3</v>
      </c>
      <c r="J2066">
        <v>1</v>
      </c>
      <c r="K2066">
        <v>1</v>
      </c>
    </row>
    <row r="2067" spans="7:11">
      <c r="G2067">
        <v>1</v>
      </c>
      <c r="H2067">
        <v>3</v>
      </c>
      <c r="I2067">
        <v>3</v>
      </c>
      <c r="J2067">
        <v>2</v>
      </c>
      <c r="K2067">
        <v>2</v>
      </c>
    </row>
    <row r="2068" spans="7:11">
      <c r="G2068">
        <v>1</v>
      </c>
      <c r="H2068">
        <v>3</v>
      </c>
      <c r="I2068">
        <v>4</v>
      </c>
      <c r="J2068">
        <v>1</v>
      </c>
      <c r="K2068">
        <v>1</v>
      </c>
    </row>
    <row r="2069" spans="7:11">
      <c r="G2069">
        <v>1</v>
      </c>
      <c r="H2069">
        <v>3</v>
      </c>
      <c r="I2069">
        <v>4</v>
      </c>
      <c r="J2069">
        <v>2</v>
      </c>
      <c r="K2069">
        <v>2</v>
      </c>
    </row>
    <row r="2070" spans="7:11">
      <c r="G2070">
        <v>1</v>
      </c>
      <c r="H2070">
        <v>3</v>
      </c>
      <c r="I2070">
        <v>5</v>
      </c>
      <c r="J2070">
        <v>1</v>
      </c>
      <c r="K2070">
        <v>1</v>
      </c>
    </row>
    <row r="2071" spans="7:11">
      <c r="G2071">
        <v>1</v>
      </c>
      <c r="H2071">
        <v>3</v>
      </c>
      <c r="I2071">
        <v>5</v>
      </c>
      <c r="J2071">
        <v>2</v>
      </c>
      <c r="K2071">
        <v>2</v>
      </c>
    </row>
    <row r="2072" spans="7:11">
      <c r="G2072">
        <v>2</v>
      </c>
      <c r="H2072">
        <v>1</v>
      </c>
      <c r="I2072">
        <v>3</v>
      </c>
      <c r="J2072">
        <v>1</v>
      </c>
      <c r="K2072">
        <v>1</v>
      </c>
    </row>
    <row r="2073" spans="7:11">
      <c r="G2073">
        <v>2</v>
      </c>
      <c r="H2073">
        <v>1</v>
      </c>
      <c r="I2073">
        <v>3</v>
      </c>
      <c r="J2073">
        <v>2</v>
      </c>
      <c r="K2073">
        <v>2</v>
      </c>
    </row>
    <row r="2074" spans="7:11">
      <c r="G2074">
        <v>2</v>
      </c>
      <c r="H2074">
        <v>1</v>
      </c>
      <c r="I2074">
        <v>4</v>
      </c>
      <c r="J2074">
        <v>1</v>
      </c>
      <c r="K2074">
        <v>1</v>
      </c>
    </row>
    <row r="2075" spans="7:11">
      <c r="G2075">
        <v>2</v>
      </c>
      <c r="H2075">
        <v>1</v>
      </c>
      <c r="I2075">
        <v>4</v>
      </c>
      <c r="J2075">
        <v>2</v>
      </c>
      <c r="K2075">
        <v>2</v>
      </c>
    </row>
    <row r="2076" spans="7:11">
      <c r="G2076">
        <v>2</v>
      </c>
      <c r="H2076">
        <v>1</v>
      </c>
      <c r="I2076">
        <v>5</v>
      </c>
      <c r="J2076">
        <v>1</v>
      </c>
      <c r="K2076">
        <v>1</v>
      </c>
    </row>
    <row r="2077" spans="7:11">
      <c r="G2077">
        <v>2</v>
      </c>
      <c r="H2077">
        <v>1</v>
      </c>
      <c r="I2077">
        <v>5</v>
      </c>
      <c r="J2077">
        <v>2</v>
      </c>
      <c r="K2077">
        <v>2</v>
      </c>
    </row>
    <row r="2078" spans="7:11">
      <c r="G2078">
        <v>2</v>
      </c>
      <c r="H2078">
        <v>2</v>
      </c>
      <c r="I2078">
        <v>1</v>
      </c>
      <c r="J2078">
        <v>1</v>
      </c>
      <c r="K2078">
        <v>1</v>
      </c>
    </row>
    <row r="2079" spans="7:11">
      <c r="G2079">
        <v>2</v>
      </c>
      <c r="H2079">
        <v>2</v>
      </c>
      <c r="I2079">
        <v>1</v>
      </c>
      <c r="J2079">
        <v>2</v>
      </c>
      <c r="K2079">
        <v>2</v>
      </c>
    </row>
    <row r="2080" spans="7:11">
      <c r="G2080">
        <v>2</v>
      </c>
      <c r="H2080">
        <v>2</v>
      </c>
      <c r="I2080">
        <v>2</v>
      </c>
      <c r="J2080">
        <v>1</v>
      </c>
      <c r="K2080">
        <v>1</v>
      </c>
    </row>
    <row r="2081" spans="7:11">
      <c r="G2081">
        <v>2</v>
      </c>
      <c r="H2081">
        <v>2</v>
      </c>
      <c r="I2081">
        <v>2</v>
      </c>
      <c r="J2081">
        <v>2</v>
      </c>
      <c r="K2081">
        <v>2</v>
      </c>
    </row>
    <row r="2082" spans="7:11">
      <c r="G2082">
        <v>2</v>
      </c>
      <c r="H2082">
        <v>2</v>
      </c>
      <c r="I2082">
        <v>3</v>
      </c>
      <c r="J2082">
        <v>1</v>
      </c>
      <c r="K2082">
        <v>1</v>
      </c>
    </row>
    <row r="2083" spans="7:11">
      <c r="G2083">
        <v>2</v>
      </c>
      <c r="H2083">
        <v>2</v>
      </c>
      <c r="I2083">
        <v>3</v>
      </c>
      <c r="J2083">
        <v>2</v>
      </c>
      <c r="K2083">
        <v>2</v>
      </c>
    </row>
    <row r="2084" spans="7:11">
      <c r="G2084">
        <v>2</v>
      </c>
      <c r="H2084">
        <v>2</v>
      </c>
      <c r="I2084">
        <v>4</v>
      </c>
      <c r="J2084">
        <v>1</v>
      </c>
      <c r="K2084">
        <v>1</v>
      </c>
    </row>
    <row r="2085" spans="7:11">
      <c r="G2085">
        <v>2</v>
      </c>
      <c r="H2085">
        <v>2</v>
      </c>
      <c r="I2085">
        <v>4</v>
      </c>
      <c r="J2085">
        <v>2</v>
      </c>
      <c r="K2085">
        <v>2</v>
      </c>
    </row>
    <row r="2086" spans="7:11">
      <c r="G2086">
        <v>2</v>
      </c>
      <c r="H2086">
        <v>2</v>
      </c>
      <c r="I2086">
        <v>5</v>
      </c>
      <c r="J2086">
        <v>1</v>
      </c>
      <c r="K2086">
        <v>1</v>
      </c>
    </row>
    <row r="2087" spans="7:11">
      <c r="G2087">
        <v>2</v>
      </c>
      <c r="H2087">
        <v>2</v>
      </c>
      <c r="I2087">
        <v>5</v>
      </c>
      <c r="J2087">
        <v>2</v>
      </c>
      <c r="K2087">
        <v>2</v>
      </c>
    </row>
    <row r="2088" spans="7:11">
      <c r="G2088">
        <v>2</v>
      </c>
      <c r="H2088">
        <v>3</v>
      </c>
      <c r="I2088">
        <v>1</v>
      </c>
      <c r="J2088">
        <v>1</v>
      </c>
      <c r="K2088">
        <v>1</v>
      </c>
    </row>
    <row r="2089" spans="7:11">
      <c r="G2089">
        <v>2</v>
      </c>
      <c r="H2089">
        <v>3</v>
      </c>
      <c r="I2089">
        <v>1</v>
      </c>
      <c r="J2089">
        <v>2</v>
      </c>
      <c r="K2089">
        <v>2</v>
      </c>
    </row>
    <row r="2090" spans="7:11">
      <c r="G2090">
        <v>2</v>
      </c>
      <c r="H2090">
        <v>3</v>
      </c>
      <c r="I2090">
        <v>2</v>
      </c>
      <c r="J2090">
        <v>1</v>
      </c>
      <c r="K2090">
        <v>1</v>
      </c>
    </row>
    <row r="2091" spans="7:11">
      <c r="G2091">
        <v>2</v>
      </c>
      <c r="H2091">
        <v>3</v>
      </c>
      <c r="I2091">
        <v>2</v>
      </c>
      <c r="J2091">
        <v>2</v>
      </c>
      <c r="K2091">
        <v>2</v>
      </c>
    </row>
    <row r="2092" spans="7:11">
      <c r="G2092">
        <v>2</v>
      </c>
      <c r="H2092">
        <v>3</v>
      </c>
      <c r="I2092">
        <v>3</v>
      </c>
      <c r="J2092">
        <v>1</v>
      </c>
      <c r="K2092">
        <v>1</v>
      </c>
    </row>
    <row r="2093" spans="7:11">
      <c r="G2093">
        <v>2</v>
      </c>
      <c r="H2093">
        <v>3</v>
      </c>
      <c r="I2093">
        <v>3</v>
      </c>
      <c r="J2093">
        <v>2</v>
      </c>
      <c r="K2093">
        <v>2</v>
      </c>
    </row>
    <row r="2094" spans="7:11">
      <c r="G2094">
        <v>2</v>
      </c>
      <c r="H2094">
        <v>3</v>
      </c>
      <c r="I2094">
        <v>4</v>
      </c>
      <c r="J2094">
        <v>1</v>
      </c>
      <c r="K2094">
        <v>1</v>
      </c>
    </row>
    <row r="2095" spans="7:11">
      <c r="G2095">
        <v>2</v>
      </c>
      <c r="H2095">
        <v>3</v>
      </c>
      <c r="I2095">
        <v>4</v>
      </c>
      <c r="J2095">
        <v>2</v>
      </c>
      <c r="K2095">
        <v>2</v>
      </c>
    </row>
    <row r="2096" spans="7:11">
      <c r="G2096">
        <v>2</v>
      </c>
      <c r="H2096">
        <v>3</v>
      </c>
      <c r="I2096">
        <v>5</v>
      </c>
      <c r="J2096">
        <v>1</v>
      </c>
      <c r="K2096">
        <v>1</v>
      </c>
    </row>
    <row r="2097" spans="7:11">
      <c r="G2097">
        <v>2</v>
      </c>
      <c r="H2097">
        <v>3</v>
      </c>
      <c r="I2097">
        <v>5</v>
      </c>
      <c r="J2097">
        <v>2</v>
      </c>
      <c r="K2097">
        <v>2</v>
      </c>
    </row>
    <row r="2098" spans="7:11">
      <c r="G2098">
        <v>3</v>
      </c>
      <c r="H2098">
        <v>1</v>
      </c>
      <c r="I2098">
        <v>3</v>
      </c>
      <c r="J2098">
        <v>1</v>
      </c>
      <c r="K2098">
        <v>1</v>
      </c>
    </row>
    <row r="2099" spans="7:11">
      <c r="G2099">
        <v>3</v>
      </c>
      <c r="H2099">
        <v>1</v>
      </c>
      <c r="I2099">
        <v>3</v>
      </c>
      <c r="J2099">
        <v>2</v>
      </c>
      <c r="K2099">
        <v>2</v>
      </c>
    </row>
    <row r="2100" spans="7:11">
      <c r="G2100">
        <v>3</v>
      </c>
      <c r="H2100">
        <v>1</v>
      </c>
      <c r="I2100">
        <v>4</v>
      </c>
      <c r="J2100">
        <v>1</v>
      </c>
      <c r="K2100">
        <v>1</v>
      </c>
    </row>
    <row r="2101" spans="7:11">
      <c r="G2101">
        <v>3</v>
      </c>
      <c r="H2101">
        <v>1</v>
      </c>
      <c r="I2101">
        <v>4</v>
      </c>
      <c r="J2101">
        <v>2</v>
      </c>
      <c r="K2101">
        <v>2</v>
      </c>
    </row>
    <row r="2102" spans="7:11">
      <c r="G2102">
        <v>3</v>
      </c>
      <c r="H2102">
        <v>1</v>
      </c>
      <c r="I2102">
        <v>5</v>
      </c>
      <c r="J2102">
        <v>1</v>
      </c>
      <c r="K2102">
        <v>1</v>
      </c>
    </row>
    <row r="2103" spans="7:11">
      <c r="G2103">
        <v>3</v>
      </c>
      <c r="H2103">
        <v>1</v>
      </c>
      <c r="I2103">
        <v>5</v>
      </c>
      <c r="J2103">
        <v>2</v>
      </c>
      <c r="K2103">
        <v>2</v>
      </c>
    </row>
    <row r="2104" spans="7:11">
      <c r="G2104">
        <v>3</v>
      </c>
      <c r="H2104">
        <v>2</v>
      </c>
      <c r="I2104">
        <v>1</v>
      </c>
      <c r="J2104">
        <v>1</v>
      </c>
      <c r="K2104">
        <v>1</v>
      </c>
    </row>
    <row r="2105" spans="7:11">
      <c r="G2105">
        <v>3</v>
      </c>
      <c r="H2105">
        <v>2</v>
      </c>
      <c r="I2105">
        <v>1</v>
      </c>
      <c r="J2105">
        <v>2</v>
      </c>
      <c r="K2105">
        <v>2</v>
      </c>
    </row>
    <row r="2106" spans="7:11">
      <c r="G2106">
        <v>3</v>
      </c>
      <c r="H2106">
        <v>2</v>
      </c>
      <c r="I2106">
        <v>2</v>
      </c>
      <c r="J2106">
        <v>1</v>
      </c>
      <c r="K2106">
        <v>1</v>
      </c>
    </row>
    <row r="2107" spans="7:11">
      <c r="G2107">
        <v>3</v>
      </c>
      <c r="H2107">
        <v>2</v>
      </c>
      <c r="I2107">
        <v>2</v>
      </c>
      <c r="J2107">
        <v>2</v>
      </c>
      <c r="K2107">
        <v>2</v>
      </c>
    </row>
    <row r="2108" spans="7:11">
      <c r="G2108">
        <v>3</v>
      </c>
      <c r="H2108">
        <v>2</v>
      </c>
      <c r="I2108">
        <v>3</v>
      </c>
      <c r="J2108">
        <v>1</v>
      </c>
      <c r="K2108">
        <v>1</v>
      </c>
    </row>
    <row r="2109" spans="7:11">
      <c r="G2109">
        <v>3</v>
      </c>
      <c r="H2109">
        <v>2</v>
      </c>
      <c r="I2109">
        <v>3</v>
      </c>
      <c r="J2109">
        <v>2</v>
      </c>
      <c r="K2109">
        <v>2</v>
      </c>
    </row>
    <row r="2110" spans="7:11">
      <c r="G2110">
        <v>3</v>
      </c>
      <c r="H2110">
        <v>2</v>
      </c>
      <c r="I2110">
        <v>4</v>
      </c>
      <c r="J2110">
        <v>1</v>
      </c>
      <c r="K2110">
        <v>1</v>
      </c>
    </row>
    <row r="2111" spans="7:11">
      <c r="G2111">
        <v>3</v>
      </c>
      <c r="H2111">
        <v>2</v>
      </c>
      <c r="I2111">
        <v>4</v>
      </c>
      <c r="J2111">
        <v>2</v>
      </c>
      <c r="K2111">
        <v>2</v>
      </c>
    </row>
    <row r="2112" spans="7:11">
      <c r="G2112">
        <v>3</v>
      </c>
      <c r="H2112">
        <v>2</v>
      </c>
      <c r="I2112">
        <v>5</v>
      </c>
      <c r="J2112">
        <v>1</v>
      </c>
      <c r="K2112">
        <v>1</v>
      </c>
    </row>
    <row r="2113" spans="7:11">
      <c r="G2113">
        <v>3</v>
      </c>
      <c r="H2113">
        <v>2</v>
      </c>
      <c r="I2113">
        <v>5</v>
      </c>
      <c r="J2113">
        <v>2</v>
      </c>
      <c r="K2113">
        <v>2</v>
      </c>
    </row>
    <row r="2114" spans="7:11">
      <c r="G2114">
        <v>3</v>
      </c>
      <c r="H2114">
        <v>3</v>
      </c>
      <c r="I2114">
        <v>1</v>
      </c>
      <c r="J2114">
        <v>1</v>
      </c>
      <c r="K2114">
        <v>1</v>
      </c>
    </row>
    <row r="2115" spans="7:11">
      <c r="G2115">
        <v>3</v>
      </c>
      <c r="H2115">
        <v>3</v>
      </c>
      <c r="I2115">
        <v>1</v>
      </c>
      <c r="J2115">
        <v>2</v>
      </c>
      <c r="K2115">
        <v>2</v>
      </c>
    </row>
    <row r="2116" spans="7:11">
      <c r="G2116">
        <v>3</v>
      </c>
      <c r="H2116">
        <v>3</v>
      </c>
      <c r="I2116">
        <v>2</v>
      </c>
      <c r="J2116">
        <v>1</v>
      </c>
      <c r="K2116">
        <v>1</v>
      </c>
    </row>
    <row r="2117" spans="7:11">
      <c r="G2117">
        <v>3</v>
      </c>
      <c r="H2117">
        <v>3</v>
      </c>
      <c r="I2117">
        <v>2</v>
      </c>
      <c r="J2117">
        <v>2</v>
      </c>
      <c r="K2117">
        <v>2</v>
      </c>
    </row>
    <row r="2118" spans="7:11">
      <c r="G2118">
        <v>3</v>
      </c>
      <c r="H2118">
        <v>3</v>
      </c>
      <c r="I2118">
        <v>3</v>
      </c>
      <c r="J2118">
        <v>1</v>
      </c>
      <c r="K2118">
        <v>1</v>
      </c>
    </row>
    <row r="2119" spans="7:11">
      <c r="G2119">
        <v>3</v>
      </c>
      <c r="H2119">
        <v>3</v>
      </c>
      <c r="I2119">
        <v>3</v>
      </c>
      <c r="J2119">
        <v>2</v>
      </c>
      <c r="K2119">
        <v>2</v>
      </c>
    </row>
    <row r="2120" spans="7:11">
      <c r="G2120">
        <v>3</v>
      </c>
      <c r="H2120">
        <v>3</v>
      </c>
      <c r="I2120">
        <v>4</v>
      </c>
      <c r="J2120">
        <v>1</v>
      </c>
      <c r="K2120">
        <v>1</v>
      </c>
    </row>
    <row r="2121" spans="7:11">
      <c r="G2121">
        <v>3</v>
      </c>
      <c r="H2121">
        <v>3</v>
      </c>
      <c r="I2121">
        <v>4</v>
      </c>
      <c r="J2121">
        <v>2</v>
      </c>
      <c r="K2121">
        <v>2</v>
      </c>
    </row>
    <row r="2122" spans="7:11">
      <c r="G2122">
        <v>3</v>
      </c>
      <c r="H2122">
        <v>3</v>
      </c>
      <c r="I2122">
        <v>5</v>
      </c>
      <c r="J2122">
        <v>1</v>
      </c>
      <c r="K2122">
        <v>1</v>
      </c>
    </row>
    <row r="2123" spans="7:11">
      <c r="G2123">
        <v>3</v>
      </c>
      <c r="H2123">
        <v>3</v>
      </c>
      <c r="I2123">
        <v>5</v>
      </c>
      <c r="J2123">
        <v>2</v>
      </c>
      <c r="K2123">
        <v>2</v>
      </c>
    </row>
    <row r="2124" spans="7:11">
      <c r="G2124">
        <v>4</v>
      </c>
      <c r="H2124">
        <v>1</v>
      </c>
      <c r="I2124">
        <v>3</v>
      </c>
      <c r="J2124">
        <v>1</v>
      </c>
      <c r="K2124">
        <v>1</v>
      </c>
    </row>
    <row r="2125" spans="7:11">
      <c r="G2125">
        <v>4</v>
      </c>
      <c r="H2125">
        <v>1</v>
      </c>
      <c r="I2125">
        <v>3</v>
      </c>
      <c r="J2125">
        <v>2</v>
      </c>
      <c r="K2125">
        <v>2</v>
      </c>
    </row>
    <row r="2126" spans="7:11">
      <c r="G2126">
        <v>4</v>
      </c>
      <c r="H2126">
        <v>1</v>
      </c>
      <c r="I2126">
        <v>4</v>
      </c>
      <c r="J2126">
        <v>1</v>
      </c>
      <c r="K2126">
        <v>1</v>
      </c>
    </row>
    <row r="2127" spans="7:11">
      <c r="G2127">
        <v>4</v>
      </c>
      <c r="H2127">
        <v>1</v>
      </c>
      <c r="I2127">
        <v>4</v>
      </c>
      <c r="J2127">
        <v>2</v>
      </c>
      <c r="K2127">
        <v>2</v>
      </c>
    </row>
    <row r="2128" spans="7:11">
      <c r="G2128">
        <v>4</v>
      </c>
      <c r="H2128">
        <v>1</v>
      </c>
      <c r="I2128">
        <v>5</v>
      </c>
      <c r="J2128">
        <v>1</v>
      </c>
      <c r="K2128">
        <v>1</v>
      </c>
    </row>
    <row r="2129" spans="7:11">
      <c r="G2129">
        <v>4</v>
      </c>
      <c r="H2129">
        <v>1</v>
      </c>
      <c r="I2129">
        <v>5</v>
      </c>
      <c r="J2129">
        <v>2</v>
      </c>
      <c r="K2129">
        <v>2</v>
      </c>
    </row>
    <row r="2130" spans="7:11">
      <c r="G2130">
        <v>4</v>
      </c>
      <c r="H2130">
        <v>2</v>
      </c>
      <c r="I2130">
        <v>1</v>
      </c>
      <c r="J2130">
        <v>1</v>
      </c>
      <c r="K2130">
        <v>1</v>
      </c>
    </row>
    <row r="2131" spans="7:11">
      <c r="G2131">
        <v>4</v>
      </c>
      <c r="H2131">
        <v>2</v>
      </c>
      <c r="I2131">
        <v>1</v>
      </c>
      <c r="J2131">
        <v>2</v>
      </c>
      <c r="K2131">
        <v>2</v>
      </c>
    </row>
    <row r="2132" spans="7:11">
      <c r="G2132">
        <v>4</v>
      </c>
      <c r="H2132">
        <v>2</v>
      </c>
      <c r="I2132">
        <v>2</v>
      </c>
      <c r="J2132">
        <v>1</v>
      </c>
      <c r="K2132">
        <v>1</v>
      </c>
    </row>
    <row r="2133" spans="7:11">
      <c r="G2133">
        <v>4</v>
      </c>
      <c r="H2133">
        <v>2</v>
      </c>
      <c r="I2133">
        <v>2</v>
      </c>
      <c r="J2133">
        <v>2</v>
      </c>
      <c r="K2133">
        <v>2</v>
      </c>
    </row>
    <row r="2134" spans="7:11">
      <c r="G2134">
        <v>4</v>
      </c>
      <c r="H2134">
        <v>2</v>
      </c>
      <c r="I2134">
        <v>3</v>
      </c>
      <c r="J2134">
        <v>1</v>
      </c>
      <c r="K2134">
        <v>1</v>
      </c>
    </row>
    <row r="2135" spans="7:11">
      <c r="G2135">
        <v>4</v>
      </c>
      <c r="H2135">
        <v>2</v>
      </c>
      <c r="I2135">
        <v>3</v>
      </c>
      <c r="J2135">
        <v>2</v>
      </c>
      <c r="K2135">
        <v>2</v>
      </c>
    </row>
    <row r="2136" spans="7:11">
      <c r="G2136">
        <v>4</v>
      </c>
      <c r="H2136">
        <v>2</v>
      </c>
      <c r="I2136">
        <v>4</v>
      </c>
      <c r="J2136">
        <v>1</v>
      </c>
      <c r="K2136">
        <v>1</v>
      </c>
    </row>
    <row r="2137" spans="7:11">
      <c r="G2137">
        <v>4</v>
      </c>
      <c r="H2137">
        <v>2</v>
      </c>
      <c r="I2137">
        <v>4</v>
      </c>
      <c r="J2137">
        <v>2</v>
      </c>
      <c r="K2137">
        <v>2</v>
      </c>
    </row>
    <row r="2138" spans="7:11">
      <c r="G2138">
        <v>4</v>
      </c>
      <c r="H2138">
        <v>2</v>
      </c>
      <c r="I2138">
        <v>5</v>
      </c>
      <c r="J2138">
        <v>1</v>
      </c>
      <c r="K2138">
        <v>1</v>
      </c>
    </row>
    <row r="2139" spans="7:11">
      <c r="G2139">
        <v>4</v>
      </c>
      <c r="H2139">
        <v>2</v>
      </c>
      <c r="I2139">
        <v>5</v>
      </c>
      <c r="J2139">
        <v>2</v>
      </c>
      <c r="K2139">
        <v>2</v>
      </c>
    </row>
    <row r="2140" spans="7:11">
      <c r="G2140">
        <v>4</v>
      </c>
      <c r="H2140">
        <v>3</v>
      </c>
      <c r="I2140">
        <v>1</v>
      </c>
      <c r="J2140">
        <v>1</v>
      </c>
      <c r="K2140">
        <v>1</v>
      </c>
    </row>
    <row r="2141" spans="7:11">
      <c r="G2141">
        <v>4</v>
      </c>
      <c r="H2141">
        <v>3</v>
      </c>
      <c r="I2141">
        <v>1</v>
      </c>
      <c r="J2141">
        <v>2</v>
      </c>
      <c r="K2141">
        <v>2</v>
      </c>
    </row>
    <row r="2142" spans="7:11">
      <c r="G2142">
        <v>4</v>
      </c>
      <c r="H2142">
        <v>3</v>
      </c>
      <c r="I2142">
        <v>2</v>
      </c>
      <c r="J2142">
        <v>1</v>
      </c>
      <c r="K2142">
        <v>1</v>
      </c>
    </row>
    <row r="2143" spans="7:11">
      <c r="G2143">
        <v>4</v>
      </c>
      <c r="H2143">
        <v>3</v>
      </c>
      <c r="I2143">
        <v>2</v>
      </c>
      <c r="J2143">
        <v>2</v>
      </c>
      <c r="K2143">
        <v>2</v>
      </c>
    </row>
    <row r="2144" spans="7:11">
      <c r="G2144">
        <v>4</v>
      </c>
      <c r="H2144">
        <v>3</v>
      </c>
      <c r="I2144">
        <v>3</v>
      </c>
      <c r="J2144">
        <v>1</v>
      </c>
      <c r="K2144">
        <v>1</v>
      </c>
    </row>
    <row r="2145" spans="7:11">
      <c r="G2145">
        <v>4</v>
      </c>
      <c r="H2145">
        <v>3</v>
      </c>
      <c r="I2145">
        <v>3</v>
      </c>
      <c r="J2145">
        <v>2</v>
      </c>
      <c r="K2145">
        <v>2</v>
      </c>
    </row>
    <row r="2146" spans="7:11">
      <c r="G2146">
        <v>4</v>
      </c>
      <c r="H2146">
        <v>3</v>
      </c>
      <c r="I2146">
        <v>4</v>
      </c>
      <c r="J2146">
        <v>1</v>
      </c>
      <c r="K2146">
        <v>1</v>
      </c>
    </row>
    <row r="2147" spans="7:11">
      <c r="G2147">
        <v>4</v>
      </c>
      <c r="H2147">
        <v>3</v>
      </c>
      <c r="I2147">
        <v>4</v>
      </c>
      <c r="J2147">
        <v>2</v>
      </c>
      <c r="K2147">
        <v>2</v>
      </c>
    </row>
    <row r="2148" spans="7:11">
      <c r="G2148">
        <v>4</v>
      </c>
      <c r="H2148">
        <v>3</v>
      </c>
      <c r="I2148">
        <v>5</v>
      </c>
      <c r="J2148">
        <v>1</v>
      </c>
      <c r="K2148">
        <v>1</v>
      </c>
    </row>
    <row r="2149" spans="7:11">
      <c r="G2149">
        <v>4</v>
      </c>
      <c r="H2149">
        <v>3</v>
      </c>
      <c r="I2149">
        <v>5</v>
      </c>
      <c r="J2149">
        <v>2</v>
      </c>
      <c r="K2149">
        <v>2</v>
      </c>
    </row>
    <row r="2150" spans="7:11">
      <c r="G2150">
        <v>1</v>
      </c>
      <c r="H2150">
        <v>2</v>
      </c>
      <c r="I2150">
        <v>1</v>
      </c>
      <c r="J2150">
        <v>1</v>
      </c>
      <c r="K2150">
        <v>1</v>
      </c>
    </row>
    <row r="2151" spans="7:11">
      <c r="G2151">
        <v>1</v>
      </c>
      <c r="H2151">
        <v>2</v>
      </c>
      <c r="I2151">
        <v>1</v>
      </c>
      <c r="J2151">
        <v>2</v>
      </c>
      <c r="K2151">
        <v>2</v>
      </c>
    </row>
    <row r="2152" spans="7:11">
      <c r="G2152">
        <v>1</v>
      </c>
      <c r="H2152">
        <v>2</v>
      </c>
      <c r="I2152">
        <v>2</v>
      </c>
      <c r="J2152">
        <v>1</v>
      </c>
      <c r="K2152">
        <v>1</v>
      </c>
    </row>
    <row r="2153" spans="7:11">
      <c r="G2153">
        <v>1</v>
      </c>
      <c r="H2153">
        <v>2</v>
      </c>
      <c r="I2153">
        <v>2</v>
      </c>
      <c r="J2153">
        <v>2</v>
      </c>
      <c r="K2153">
        <v>2</v>
      </c>
    </row>
    <row r="2154" spans="7:11">
      <c r="G2154">
        <v>1</v>
      </c>
      <c r="H2154">
        <v>2</v>
      </c>
      <c r="I2154">
        <v>3</v>
      </c>
      <c r="J2154">
        <v>1</v>
      </c>
      <c r="K2154">
        <v>1</v>
      </c>
    </row>
    <row r="2155" spans="7:11">
      <c r="G2155">
        <v>1</v>
      </c>
      <c r="H2155">
        <v>2</v>
      </c>
      <c r="I2155">
        <v>3</v>
      </c>
      <c r="J2155">
        <v>2</v>
      </c>
      <c r="K2155">
        <v>2</v>
      </c>
    </row>
    <row r="2156" spans="7:11">
      <c r="G2156">
        <v>1</v>
      </c>
      <c r="H2156">
        <v>2</v>
      </c>
      <c r="I2156">
        <v>4</v>
      </c>
      <c r="J2156">
        <v>1</v>
      </c>
      <c r="K2156">
        <v>1</v>
      </c>
    </row>
    <row r="2157" spans="7:11">
      <c r="G2157">
        <v>1</v>
      </c>
      <c r="H2157">
        <v>2</v>
      </c>
      <c r="I2157">
        <v>4</v>
      </c>
      <c r="J2157">
        <v>2</v>
      </c>
      <c r="K2157">
        <v>2</v>
      </c>
    </row>
    <row r="2158" spans="7:11">
      <c r="G2158">
        <v>1</v>
      </c>
      <c r="H2158">
        <v>2</v>
      </c>
      <c r="I2158">
        <v>5</v>
      </c>
      <c r="J2158">
        <v>1</v>
      </c>
      <c r="K2158">
        <v>1</v>
      </c>
    </row>
    <row r="2159" spans="7:11">
      <c r="G2159">
        <v>1</v>
      </c>
      <c r="H2159">
        <v>2</v>
      </c>
      <c r="I2159">
        <v>5</v>
      </c>
      <c r="J2159">
        <v>2</v>
      </c>
      <c r="K2159">
        <v>2</v>
      </c>
    </row>
    <row r="2160" spans="7:11">
      <c r="G2160">
        <v>1</v>
      </c>
      <c r="H2160">
        <v>3</v>
      </c>
      <c r="I2160">
        <v>1</v>
      </c>
      <c r="J2160">
        <v>1</v>
      </c>
      <c r="K2160">
        <v>1</v>
      </c>
    </row>
    <row r="2161" spans="7:11">
      <c r="G2161">
        <v>1</v>
      </c>
      <c r="H2161">
        <v>3</v>
      </c>
      <c r="I2161">
        <v>1</v>
      </c>
      <c r="J2161">
        <v>2</v>
      </c>
      <c r="K2161">
        <v>2</v>
      </c>
    </row>
    <row r="2162" spans="7:11">
      <c r="G2162">
        <v>1</v>
      </c>
      <c r="H2162">
        <v>3</v>
      </c>
      <c r="I2162">
        <v>2</v>
      </c>
      <c r="J2162">
        <v>1</v>
      </c>
      <c r="K2162">
        <v>1</v>
      </c>
    </row>
    <row r="2163" spans="7:11">
      <c r="G2163">
        <v>1</v>
      </c>
      <c r="H2163">
        <v>3</v>
      </c>
      <c r="I2163">
        <v>2</v>
      </c>
      <c r="J2163">
        <v>2</v>
      </c>
      <c r="K2163">
        <v>2</v>
      </c>
    </row>
    <row r="2164" spans="7:11">
      <c r="G2164">
        <v>1</v>
      </c>
      <c r="H2164">
        <v>3</v>
      </c>
      <c r="I2164">
        <v>3</v>
      </c>
      <c r="J2164">
        <v>1</v>
      </c>
      <c r="K2164">
        <v>1</v>
      </c>
    </row>
    <row r="2165" spans="7:11">
      <c r="G2165">
        <v>1</v>
      </c>
      <c r="H2165">
        <v>3</v>
      </c>
      <c r="I2165">
        <v>3</v>
      </c>
      <c r="J2165">
        <v>2</v>
      </c>
      <c r="K2165">
        <v>2</v>
      </c>
    </row>
    <row r="2166" spans="7:11">
      <c r="G2166">
        <v>1</v>
      </c>
      <c r="H2166">
        <v>3</v>
      </c>
      <c r="I2166">
        <v>4</v>
      </c>
      <c r="J2166">
        <v>1</v>
      </c>
      <c r="K2166">
        <v>1</v>
      </c>
    </row>
    <row r="2167" spans="7:11">
      <c r="G2167">
        <v>1</v>
      </c>
      <c r="H2167">
        <v>3</v>
      </c>
      <c r="I2167">
        <v>4</v>
      </c>
      <c r="J2167">
        <v>2</v>
      </c>
      <c r="K2167">
        <v>2</v>
      </c>
    </row>
    <row r="2168" spans="7:11">
      <c r="G2168">
        <v>1</v>
      </c>
      <c r="H2168">
        <v>3</v>
      </c>
      <c r="I2168">
        <v>5</v>
      </c>
      <c r="J2168">
        <v>1</v>
      </c>
      <c r="K2168">
        <v>1</v>
      </c>
    </row>
    <row r="2169" spans="7:11">
      <c r="G2169">
        <v>1</v>
      </c>
      <c r="H2169">
        <v>3</v>
      </c>
      <c r="I2169">
        <v>5</v>
      </c>
      <c r="J2169">
        <v>2</v>
      </c>
      <c r="K2169">
        <v>2</v>
      </c>
    </row>
    <row r="2170" spans="7:11">
      <c r="G2170">
        <v>2</v>
      </c>
      <c r="H2170">
        <v>1</v>
      </c>
      <c r="I2170">
        <v>3</v>
      </c>
      <c r="J2170">
        <v>1</v>
      </c>
      <c r="K2170">
        <v>1</v>
      </c>
    </row>
    <row r="2171" spans="7:11">
      <c r="G2171">
        <v>2</v>
      </c>
      <c r="H2171">
        <v>1</v>
      </c>
      <c r="I2171">
        <v>3</v>
      </c>
      <c r="J2171">
        <v>2</v>
      </c>
      <c r="K2171">
        <v>2</v>
      </c>
    </row>
    <row r="2172" spans="7:11">
      <c r="G2172">
        <v>2</v>
      </c>
      <c r="H2172">
        <v>1</v>
      </c>
      <c r="I2172">
        <v>4</v>
      </c>
      <c r="J2172">
        <v>1</v>
      </c>
      <c r="K2172">
        <v>1</v>
      </c>
    </row>
    <row r="2173" spans="7:11">
      <c r="G2173">
        <v>2</v>
      </c>
      <c r="H2173">
        <v>1</v>
      </c>
      <c r="I2173">
        <v>4</v>
      </c>
      <c r="J2173">
        <v>2</v>
      </c>
      <c r="K2173">
        <v>2</v>
      </c>
    </row>
    <row r="2174" spans="7:11">
      <c r="G2174">
        <v>2</v>
      </c>
      <c r="H2174">
        <v>1</v>
      </c>
      <c r="I2174">
        <v>5</v>
      </c>
      <c r="J2174">
        <v>1</v>
      </c>
      <c r="K2174">
        <v>1</v>
      </c>
    </row>
    <row r="2175" spans="7:11">
      <c r="G2175">
        <v>2</v>
      </c>
      <c r="H2175">
        <v>1</v>
      </c>
      <c r="I2175">
        <v>5</v>
      </c>
      <c r="J2175">
        <v>2</v>
      </c>
      <c r="K2175">
        <v>2</v>
      </c>
    </row>
    <row r="2176" spans="7:11">
      <c r="G2176">
        <v>2</v>
      </c>
      <c r="H2176">
        <v>2</v>
      </c>
      <c r="I2176">
        <v>1</v>
      </c>
      <c r="J2176">
        <v>1</v>
      </c>
      <c r="K2176">
        <v>1</v>
      </c>
    </row>
    <row r="2177" spans="7:11">
      <c r="G2177">
        <v>2</v>
      </c>
      <c r="H2177">
        <v>2</v>
      </c>
      <c r="I2177">
        <v>1</v>
      </c>
      <c r="J2177">
        <v>2</v>
      </c>
      <c r="K2177">
        <v>2</v>
      </c>
    </row>
    <row r="2178" spans="7:11">
      <c r="G2178">
        <v>2</v>
      </c>
      <c r="H2178">
        <v>2</v>
      </c>
      <c r="I2178">
        <v>2</v>
      </c>
      <c r="J2178">
        <v>1</v>
      </c>
      <c r="K2178">
        <v>1</v>
      </c>
    </row>
    <row r="2179" spans="7:11">
      <c r="G2179">
        <v>2</v>
      </c>
      <c r="H2179">
        <v>2</v>
      </c>
      <c r="I2179">
        <v>2</v>
      </c>
      <c r="J2179">
        <v>2</v>
      </c>
      <c r="K2179">
        <v>2</v>
      </c>
    </row>
    <row r="2180" spans="7:11">
      <c r="G2180">
        <v>2</v>
      </c>
      <c r="H2180">
        <v>2</v>
      </c>
      <c r="I2180">
        <v>3</v>
      </c>
      <c r="J2180">
        <v>1</v>
      </c>
      <c r="K2180">
        <v>1</v>
      </c>
    </row>
    <row r="2181" spans="7:11">
      <c r="G2181">
        <v>2</v>
      </c>
      <c r="H2181">
        <v>2</v>
      </c>
      <c r="I2181">
        <v>3</v>
      </c>
      <c r="J2181">
        <v>2</v>
      </c>
      <c r="K2181">
        <v>2</v>
      </c>
    </row>
    <row r="2182" spans="7:11">
      <c r="G2182">
        <v>2</v>
      </c>
      <c r="H2182">
        <v>2</v>
      </c>
      <c r="I2182">
        <v>4</v>
      </c>
      <c r="J2182">
        <v>1</v>
      </c>
      <c r="K2182">
        <v>1</v>
      </c>
    </row>
    <row r="2183" spans="7:11">
      <c r="G2183">
        <v>2</v>
      </c>
      <c r="H2183">
        <v>2</v>
      </c>
      <c r="I2183">
        <v>4</v>
      </c>
      <c r="J2183">
        <v>2</v>
      </c>
      <c r="K2183">
        <v>2</v>
      </c>
    </row>
    <row r="2184" spans="7:11">
      <c r="G2184">
        <v>2</v>
      </c>
      <c r="H2184">
        <v>2</v>
      </c>
      <c r="I2184">
        <v>5</v>
      </c>
      <c r="J2184">
        <v>1</v>
      </c>
      <c r="K2184">
        <v>1</v>
      </c>
    </row>
    <row r="2185" spans="7:11">
      <c r="G2185">
        <v>2</v>
      </c>
      <c r="H2185">
        <v>2</v>
      </c>
      <c r="I2185">
        <v>5</v>
      </c>
      <c r="J2185">
        <v>2</v>
      </c>
      <c r="K2185">
        <v>2</v>
      </c>
    </row>
    <row r="2186" spans="7:11">
      <c r="G2186">
        <v>2</v>
      </c>
      <c r="H2186">
        <v>3</v>
      </c>
      <c r="I2186">
        <v>1</v>
      </c>
      <c r="J2186">
        <v>1</v>
      </c>
      <c r="K2186">
        <v>1</v>
      </c>
    </row>
    <row r="2187" spans="7:11">
      <c r="G2187">
        <v>2</v>
      </c>
      <c r="H2187">
        <v>3</v>
      </c>
      <c r="I2187">
        <v>1</v>
      </c>
      <c r="J2187">
        <v>2</v>
      </c>
      <c r="K2187">
        <v>2</v>
      </c>
    </row>
    <row r="2188" spans="7:11">
      <c r="G2188">
        <v>2</v>
      </c>
      <c r="H2188">
        <v>3</v>
      </c>
      <c r="I2188">
        <v>2</v>
      </c>
      <c r="J2188">
        <v>1</v>
      </c>
      <c r="K2188">
        <v>1</v>
      </c>
    </row>
    <row r="2189" spans="7:11">
      <c r="G2189">
        <v>2</v>
      </c>
      <c r="H2189">
        <v>3</v>
      </c>
      <c r="I2189">
        <v>2</v>
      </c>
      <c r="J2189">
        <v>2</v>
      </c>
      <c r="K2189">
        <v>2</v>
      </c>
    </row>
    <row r="2190" spans="7:11">
      <c r="G2190">
        <v>2</v>
      </c>
      <c r="H2190">
        <v>3</v>
      </c>
      <c r="I2190">
        <v>3</v>
      </c>
      <c r="J2190">
        <v>1</v>
      </c>
      <c r="K2190">
        <v>1</v>
      </c>
    </row>
    <row r="2191" spans="7:11">
      <c r="G2191">
        <v>2</v>
      </c>
      <c r="H2191">
        <v>3</v>
      </c>
      <c r="I2191">
        <v>3</v>
      </c>
      <c r="J2191">
        <v>2</v>
      </c>
      <c r="K2191">
        <v>2</v>
      </c>
    </row>
    <row r="2192" spans="7:11">
      <c r="G2192">
        <v>2</v>
      </c>
      <c r="H2192">
        <v>3</v>
      </c>
      <c r="I2192">
        <v>4</v>
      </c>
      <c r="J2192">
        <v>1</v>
      </c>
      <c r="K2192">
        <v>1</v>
      </c>
    </row>
    <row r="2193" spans="7:11">
      <c r="G2193">
        <v>2</v>
      </c>
      <c r="H2193">
        <v>3</v>
      </c>
      <c r="I2193">
        <v>4</v>
      </c>
      <c r="J2193">
        <v>2</v>
      </c>
      <c r="K2193">
        <v>2</v>
      </c>
    </row>
    <row r="2194" spans="7:11">
      <c r="G2194">
        <v>2</v>
      </c>
      <c r="H2194">
        <v>3</v>
      </c>
      <c r="I2194">
        <v>5</v>
      </c>
      <c r="J2194">
        <v>1</v>
      </c>
      <c r="K2194">
        <v>1</v>
      </c>
    </row>
    <row r="2195" spans="7:11">
      <c r="G2195">
        <v>2</v>
      </c>
      <c r="H2195">
        <v>3</v>
      </c>
      <c r="I2195">
        <v>5</v>
      </c>
      <c r="J2195">
        <v>2</v>
      </c>
      <c r="K2195">
        <v>2</v>
      </c>
    </row>
    <row r="2196" spans="7:11">
      <c r="G2196">
        <v>3</v>
      </c>
      <c r="H2196">
        <v>1</v>
      </c>
      <c r="I2196">
        <v>3</v>
      </c>
      <c r="J2196">
        <v>1</v>
      </c>
      <c r="K2196">
        <v>1</v>
      </c>
    </row>
    <row r="2197" spans="7:11">
      <c r="G2197">
        <v>3</v>
      </c>
      <c r="H2197">
        <v>1</v>
      </c>
      <c r="I2197">
        <v>3</v>
      </c>
      <c r="J2197">
        <v>2</v>
      </c>
      <c r="K2197">
        <v>2</v>
      </c>
    </row>
    <row r="2198" spans="7:11">
      <c r="G2198">
        <v>3</v>
      </c>
      <c r="H2198">
        <v>1</v>
      </c>
      <c r="I2198">
        <v>4</v>
      </c>
      <c r="J2198">
        <v>1</v>
      </c>
      <c r="K2198">
        <v>1</v>
      </c>
    </row>
    <row r="2199" spans="7:11">
      <c r="G2199">
        <v>3</v>
      </c>
      <c r="H2199">
        <v>1</v>
      </c>
      <c r="I2199">
        <v>4</v>
      </c>
      <c r="J2199">
        <v>2</v>
      </c>
      <c r="K2199">
        <v>2</v>
      </c>
    </row>
    <row r="2200" spans="7:11">
      <c r="G2200">
        <v>3</v>
      </c>
      <c r="H2200">
        <v>1</v>
      </c>
      <c r="I2200">
        <v>5</v>
      </c>
      <c r="J2200">
        <v>1</v>
      </c>
      <c r="K2200">
        <v>1</v>
      </c>
    </row>
    <row r="2201" spans="7:11">
      <c r="G2201">
        <v>3</v>
      </c>
      <c r="H2201">
        <v>1</v>
      </c>
      <c r="I2201">
        <v>5</v>
      </c>
      <c r="J2201">
        <v>2</v>
      </c>
      <c r="K2201">
        <v>2</v>
      </c>
    </row>
    <row r="2202" spans="7:11">
      <c r="G2202">
        <v>3</v>
      </c>
      <c r="H2202">
        <v>2</v>
      </c>
      <c r="I2202">
        <v>1</v>
      </c>
      <c r="J2202">
        <v>1</v>
      </c>
      <c r="K2202">
        <v>1</v>
      </c>
    </row>
    <row r="2203" spans="7:11">
      <c r="G2203">
        <v>3</v>
      </c>
      <c r="H2203">
        <v>2</v>
      </c>
      <c r="I2203">
        <v>1</v>
      </c>
      <c r="J2203">
        <v>2</v>
      </c>
      <c r="K2203">
        <v>2</v>
      </c>
    </row>
    <row r="2204" spans="7:11">
      <c r="G2204">
        <v>3</v>
      </c>
      <c r="H2204">
        <v>2</v>
      </c>
      <c r="I2204">
        <v>2</v>
      </c>
      <c r="J2204">
        <v>1</v>
      </c>
      <c r="K2204">
        <v>1</v>
      </c>
    </row>
    <row r="2205" spans="7:11">
      <c r="G2205">
        <v>3</v>
      </c>
      <c r="H2205">
        <v>2</v>
      </c>
      <c r="I2205">
        <v>2</v>
      </c>
      <c r="J2205">
        <v>2</v>
      </c>
      <c r="K2205">
        <v>2</v>
      </c>
    </row>
    <row r="2206" spans="7:11">
      <c r="G2206">
        <v>3</v>
      </c>
      <c r="H2206">
        <v>2</v>
      </c>
      <c r="I2206">
        <v>3</v>
      </c>
      <c r="J2206">
        <v>1</v>
      </c>
      <c r="K2206">
        <v>1</v>
      </c>
    </row>
    <row r="2207" spans="7:11">
      <c r="G2207">
        <v>3</v>
      </c>
      <c r="H2207">
        <v>2</v>
      </c>
      <c r="I2207">
        <v>3</v>
      </c>
      <c r="J2207">
        <v>2</v>
      </c>
      <c r="K2207">
        <v>2</v>
      </c>
    </row>
    <row r="2208" spans="7:11">
      <c r="G2208">
        <v>3</v>
      </c>
      <c r="H2208">
        <v>2</v>
      </c>
      <c r="I2208">
        <v>4</v>
      </c>
      <c r="J2208">
        <v>1</v>
      </c>
      <c r="K2208">
        <v>1</v>
      </c>
    </row>
    <row r="2209" spans="7:11">
      <c r="G2209">
        <v>3</v>
      </c>
      <c r="H2209">
        <v>2</v>
      </c>
      <c r="I2209">
        <v>4</v>
      </c>
      <c r="J2209">
        <v>2</v>
      </c>
      <c r="K2209">
        <v>2</v>
      </c>
    </row>
    <row r="2210" spans="7:11">
      <c r="G2210">
        <v>3</v>
      </c>
      <c r="H2210">
        <v>2</v>
      </c>
      <c r="I2210">
        <v>5</v>
      </c>
      <c r="J2210">
        <v>1</v>
      </c>
      <c r="K2210">
        <v>1</v>
      </c>
    </row>
    <row r="2211" spans="7:11">
      <c r="G2211">
        <v>3</v>
      </c>
      <c r="H2211">
        <v>2</v>
      </c>
      <c r="I2211">
        <v>5</v>
      </c>
      <c r="J2211">
        <v>2</v>
      </c>
      <c r="K2211">
        <v>2</v>
      </c>
    </row>
    <row r="2212" spans="7:11">
      <c r="G2212">
        <v>3</v>
      </c>
      <c r="H2212">
        <v>3</v>
      </c>
      <c r="I2212">
        <v>1</v>
      </c>
      <c r="J2212">
        <v>1</v>
      </c>
      <c r="K2212">
        <v>1</v>
      </c>
    </row>
    <row r="2213" spans="7:11">
      <c r="G2213">
        <v>3</v>
      </c>
      <c r="H2213">
        <v>3</v>
      </c>
      <c r="I2213">
        <v>1</v>
      </c>
      <c r="J2213">
        <v>2</v>
      </c>
      <c r="K2213">
        <v>2</v>
      </c>
    </row>
    <row r="2214" spans="7:11">
      <c r="G2214">
        <v>3</v>
      </c>
      <c r="H2214">
        <v>3</v>
      </c>
      <c r="I2214">
        <v>2</v>
      </c>
      <c r="J2214">
        <v>1</v>
      </c>
      <c r="K2214">
        <v>1</v>
      </c>
    </row>
    <row r="2215" spans="7:11">
      <c r="G2215">
        <v>3</v>
      </c>
      <c r="H2215">
        <v>3</v>
      </c>
      <c r="I2215">
        <v>2</v>
      </c>
      <c r="J2215">
        <v>2</v>
      </c>
      <c r="K2215">
        <v>2</v>
      </c>
    </row>
    <row r="2216" spans="7:11">
      <c r="G2216">
        <v>3</v>
      </c>
      <c r="H2216">
        <v>3</v>
      </c>
      <c r="I2216">
        <v>3</v>
      </c>
      <c r="J2216">
        <v>1</v>
      </c>
      <c r="K2216">
        <v>1</v>
      </c>
    </row>
    <row r="2217" spans="7:11">
      <c r="G2217">
        <v>3</v>
      </c>
      <c r="H2217">
        <v>3</v>
      </c>
      <c r="I2217">
        <v>3</v>
      </c>
      <c r="J2217">
        <v>2</v>
      </c>
      <c r="K2217">
        <v>2</v>
      </c>
    </row>
    <row r="2218" spans="7:11">
      <c r="G2218">
        <v>3</v>
      </c>
      <c r="H2218">
        <v>3</v>
      </c>
      <c r="I2218">
        <v>4</v>
      </c>
      <c r="J2218">
        <v>1</v>
      </c>
      <c r="K2218">
        <v>1</v>
      </c>
    </row>
    <row r="2219" spans="7:11">
      <c r="G2219">
        <v>3</v>
      </c>
      <c r="H2219">
        <v>3</v>
      </c>
      <c r="I2219">
        <v>4</v>
      </c>
      <c r="J2219">
        <v>2</v>
      </c>
      <c r="K2219">
        <v>2</v>
      </c>
    </row>
    <row r="2220" spans="7:11">
      <c r="G2220">
        <v>3</v>
      </c>
      <c r="H2220">
        <v>3</v>
      </c>
      <c r="I2220">
        <v>5</v>
      </c>
      <c r="J2220">
        <v>1</v>
      </c>
      <c r="K2220">
        <v>1</v>
      </c>
    </row>
    <row r="2221" spans="7:11">
      <c r="G2221">
        <v>3</v>
      </c>
      <c r="H2221">
        <v>3</v>
      </c>
      <c r="I2221">
        <v>5</v>
      </c>
      <c r="J2221">
        <v>2</v>
      </c>
      <c r="K2221">
        <v>2</v>
      </c>
    </row>
    <row r="2222" spans="7:11">
      <c r="G2222">
        <v>4</v>
      </c>
      <c r="H2222">
        <v>1</v>
      </c>
      <c r="I2222">
        <v>3</v>
      </c>
      <c r="J2222">
        <v>1</v>
      </c>
      <c r="K2222">
        <v>1</v>
      </c>
    </row>
    <row r="2223" spans="7:11">
      <c r="G2223">
        <v>4</v>
      </c>
      <c r="H2223">
        <v>1</v>
      </c>
      <c r="I2223">
        <v>3</v>
      </c>
      <c r="J2223">
        <v>2</v>
      </c>
      <c r="K2223">
        <v>2</v>
      </c>
    </row>
    <row r="2224" spans="7:11">
      <c r="G2224">
        <v>4</v>
      </c>
      <c r="H2224">
        <v>1</v>
      </c>
      <c r="I2224">
        <v>4</v>
      </c>
      <c r="J2224">
        <v>1</v>
      </c>
      <c r="K2224">
        <v>1</v>
      </c>
    </row>
    <row r="2225" spans="7:11">
      <c r="G2225">
        <v>4</v>
      </c>
      <c r="H2225">
        <v>1</v>
      </c>
      <c r="I2225">
        <v>4</v>
      </c>
      <c r="J2225">
        <v>2</v>
      </c>
      <c r="K2225">
        <v>2</v>
      </c>
    </row>
    <row r="2226" spans="7:11">
      <c r="G2226">
        <v>4</v>
      </c>
      <c r="H2226">
        <v>1</v>
      </c>
      <c r="I2226">
        <v>5</v>
      </c>
      <c r="J2226">
        <v>1</v>
      </c>
      <c r="K2226">
        <v>1</v>
      </c>
    </row>
    <row r="2227" spans="7:11">
      <c r="G2227">
        <v>4</v>
      </c>
      <c r="H2227">
        <v>1</v>
      </c>
      <c r="I2227">
        <v>5</v>
      </c>
      <c r="J2227">
        <v>2</v>
      </c>
      <c r="K2227">
        <v>2</v>
      </c>
    </row>
    <row r="2228" spans="7:11">
      <c r="G2228">
        <v>4</v>
      </c>
      <c r="H2228">
        <v>2</v>
      </c>
      <c r="I2228">
        <v>1</v>
      </c>
      <c r="J2228">
        <v>1</v>
      </c>
      <c r="K2228">
        <v>1</v>
      </c>
    </row>
    <row r="2229" spans="7:11">
      <c r="G2229">
        <v>4</v>
      </c>
      <c r="H2229">
        <v>2</v>
      </c>
      <c r="I2229">
        <v>1</v>
      </c>
      <c r="J2229">
        <v>2</v>
      </c>
      <c r="K2229">
        <v>2</v>
      </c>
    </row>
    <row r="2230" spans="7:11">
      <c r="G2230">
        <v>4</v>
      </c>
      <c r="H2230">
        <v>2</v>
      </c>
      <c r="I2230">
        <v>2</v>
      </c>
      <c r="J2230">
        <v>1</v>
      </c>
      <c r="K2230">
        <v>1</v>
      </c>
    </row>
    <row r="2231" spans="7:11">
      <c r="G2231">
        <v>4</v>
      </c>
      <c r="H2231">
        <v>2</v>
      </c>
      <c r="I2231">
        <v>2</v>
      </c>
      <c r="J2231">
        <v>2</v>
      </c>
      <c r="K2231">
        <v>2</v>
      </c>
    </row>
    <row r="2232" spans="7:11">
      <c r="G2232">
        <v>4</v>
      </c>
      <c r="H2232">
        <v>2</v>
      </c>
      <c r="I2232">
        <v>3</v>
      </c>
      <c r="J2232">
        <v>1</v>
      </c>
      <c r="K2232">
        <v>1</v>
      </c>
    </row>
    <row r="2233" spans="7:11">
      <c r="G2233">
        <v>4</v>
      </c>
      <c r="H2233">
        <v>2</v>
      </c>
      <c r="I2233">
        <v>3</v>
      </c>
      <c r="J2233">
        <v>2</v>
      </c>
      <c r="K2233">
        <v>2</v>
      </c>
    </row>
    <row r="2234" spans="7:11">
      <c r="G2234">
        <v>4</v>
      </c>
      <c r="H2234">
        <v>2</v>
      </c>
      <c r="I2234">
        <v>4</v>
      </c>
      <c r="J2234">
        <v>1</v>
      </c>
      <c r="K2234">
        <v>1</v>
      </c>
    </row>
    <row r="2235" spans="7:11">
      <c r="G2235">
        <v>4</v>
      </c>
      <c r="H2235">
        <v>2</v>
      </c>
      <c r="I2235">
        <v>4</v>
      </c>
      <c r="J2235">
        <v>2</v>
      </c>
      <c r="K2235">
        <v>2</v>
      </c>
    </row>
    <row r="2236" spans="7:11">
      <c r="G2236">
        <v>4</v>
      </c>
      <c r="H2236">
        <v>2</v>
      </c>
      <c r="I2236">
        <v>5</v>
      </c>
      <c r="J2236">
        <v>1</v>
      </c>
      <c r="K2236">
        <v>1</v>
      </c>
    </row>
    <row r="2237" spans="7:11">
      <c r="G2237">
        <v>4</v>
      </c>
      <c r="H2237">
        <v>2</v>
      </c>
      <c r="I2237">
        <v>5</v>
      </c>
      <c r="J2237">
        <v>2</v>
      </c>
      <c r="K2237">
        <v>2</v>
      </c>
    </row>
    <row r="2238" spans="7:11">
      <c r="G2238">
        <v>4</v>
      </c>
      <c r="H2238">
        <v>3</v>
      </c>
      <c r="I2238">
        <v>1</v>
      </c>
      <c r="J2238">
        <v>1</v>
      </c>
      <c r="K2238">
        <v>1</v>
      </c>
    </row>
    <row r="2239" spans="7:11">
      <c r="G2239">
        <v>4</v>
      </c>
      <c r="H2239">
        <v>3</v>
      </c>
      <c r="I2239">
        <v>1</v>
      </c>
      <c r="J2239">
        <v>2</v>
      </c>
      <c r="K2239">
        <v>2</v>
      </c>
    </row>
    <row r="2240" spans="7:11">
      <c r="G2240">
        <v>4</v>
      </c>
      <c r="H2240">
        <v>3</v>
      </c>
      <c r="I2240">
        <v>2</v>
      </c>
      <c r="J2240">
        <v>1</v>
      </c>
      <c r="K2240">
        <v>1</v>
      </c>
    </row>
    <row r="2241" spans="7:11">
      <c r="G2241">
        <v>4</v>
      </c>
      <c r="H2241">
        <v>3</v>
      </c>
      <c r="I2241">
        <v>2</v>
      </c>
      <c r="J2241">
        <v>2</v>
      </c>
      <c r="K2241">
        <v>2</v>
      </c>
    </row>
    <row r="2242" spans="7:11">
      <c r="G2242">
        <v>4</v>
      </c>
      <c r="H2242">
        <v>3</v>
      </c>
      <c r="I2242">
        <v>3</v>
      </c>
      <c r="J2242">
        <v>1</v>
      </c>
      <c r="K2242">
        <v>1</v>
      </c>
    </row>
    <row r="2243" spans="7:11">
      <c r="G2243">
        <v>4</v>
      </c>
      <c r="H2243">
        <v>3</v>
      </c>
      <c r="I2243">
        <v>3</v>
      </c>
      <c r="J2243">
        <v>2</v>
      </c>
      <c r="K2243">
        <v>2</v>
      </c>
    </row>
    <row r="2244" spans="7:11">
      <c r="G2244">
        <v>4</v>
      </c>
      <c r="H2244">
        <v>3</v>
      </c>
      <c r="I2244">
        <v>4</v>
      </c>
      <c r="J2244">
        <v>1</v>
      </c>
      <c r="K2244">
        <v>1</v>
      </c>
    </row>
    <row r="2245" spans="7:11">
      <c r="G2245">
        <v>4</v>
      </c>
      <c r="H2245">
        <v>3</v>
      </c>
      <c r="I2245">
        <v>4</v>
      </c>
      <c r="J2245">
        <v>2</v>
      </c>
      <c r="K2245">
        <v>2</v>
      </c>
    </row>
    <row r="2246" spans="7:11">
      <c r="G2246">
        <v>4</v>
      </c>
      <c r="H2246">
        <v>3</v>
      </c>
      <c r="I2246">
        <v>5</v>
      </c>
      <c r="J2246">
        <v>1</v>
      </c>
      <c r="K2246">
        <v>1</v>
      </c>
    </row>
    <row r="2247" spans="7:11">
      <c r="G2247">
        <v>4</v>
      </c>
      <c r="H2247">
        <v>3</v>
      </c>
      <c r="I2247">
        <v>5</v>
      </c>
      <c r="J2247">
        <v>2</v>
      </c>
      <c r="K2247">
        <v>2</v>
      </c>
    </row>
    <row r="2248" spans="7:11">
      <c r="G2248">
        <v>1</v>
      </c>
      <c r="H2248">
        <v>2</v>
      </c>
      <c r="I2248">
        <v>1</v>
      </c>
      <c r="J2248">
        <v>1</v>
      </c>
      <c r="K2248">
        <v>1</v>
      </c>
    </row>
    <row r="2249" spans="7:11">
      <c r="G2249">
        <v>1</v>
      </c>
      <c r="H2249">
        <v>2</v>
      </c>
      <c r="I2249">
        <v>1</v>
      </c>
      <c r="J2249">
        <v>2</v>
      </c>
      <c r="K2249">
        <v>2</v>
      </c>
    </row>
    <row r="2250" spans="7:11">
      <c r="G2250">
        <v>1</v>
      </c>
      <c r="H2250">
        <v>2</v>
      </c>
      <c r="I2250">
        <v>2</v>
      </c>
      <c r="J2250">
        <v>1</v>
      </c>
      <c r="K2250">
        <v>1</v>
      </c>
    </row>
    <row r="2251" spans="7:11">
      <c r="G2251">
        <v>1</v>
      </c>
      <c r="H2251">
        <v>2</v>
      </c>
      <c r="I2251">
        <v>2</v>
      </c>
      <c r="J2251">
        <v>2</v>
      </c>
      <c r="K2251">
        <v>2</v>
      </c>
    </row>
    <row r="2252" spans="7:11">
      <c r="G2252">
        <v>1</v>
      </c>
      <c r="H2252">
        <v>2</v>
      </c>
      <c r="I2252">
        <v>3</v>
      </c>
      <c r="J2252">
        <v>1</v>
      </c>
      <c r="K2252">
        <v>1</v>
      </c>
    </row>
    <row r="2253" spans="7:11">
      <c r="G2253">
        <v>1</v>
      </c>
      <c r="H2253">
        <v>2</v>
      </c>
      <c r="I2253">
        <v>3</v>
      </c>
      <c r="J2253">
        <v>2</v>
      </c>
      <c r="K2253">
        <v>2</v>
      </c>
    </row>
    <row r="2254" spans="7:11">
      <c r="G2254">
        <v>1</v>
      </c>
      <c r="H2254">
        <v>2</v>
      </c>
      <c r="I2254">
        <v>4</v>
      </c>
      <c r="J2254">
        <v>1</v>
      </c>
      <c r="K2254">
        <v>1</v>
      </c>
    </row>
    <row r="2255" spans="7:11">
      <c r="G2255">
        <v>1</v>
      </c>
      <c r="H2255">
        <v>2</v>
      </c>
      <c r="I2255">
        <v>4</v>
      </c>
      <c r="J2255">
        <v>2</v>
      </c>
      <c r="K2255">
        <v>2</v>
      </c>
    </row>
    <row r="2256" spans="7:11">
      <c r="G2256">
        <v>1</v>
      </c>
      <c r="H2256">
        <v>2</v>
      </c>
      <c r="I2256">
        <v>5</v>
      </c>
      <c r="J2256">
        <v>1</v>
      </c>
      <c r="K2256">
        <v>1</v>
      </c>
    </row>
    <row r="2257" spans="7:11">
      <c r="G2257">
        <v>1</v>
      </c>
      <c r="H2257">
        <v>2</v>
      </c>
      <c r="I2257">
        <v>5</v>
      </c>
      <c r="J2257">
        <v>2</v>
      </c>
      <c r="K2257">
        <v>2</v>
      </c>
    </row>
    <row r="2258" spans="7:11">
      <c r="G2258">
        <v>1</v>
      </c>
      <c r="H2258">
        <v>3</v>
      </c>
      <c r="I2258">
        <v>1</v>
      </c>
      <c r="J2258">
        <v>1</v>
      </c>
      <c r="K2258">
        <v>1</v>
      </c>
    </row>
    <row r="2259" spans="7:11">
      <c r="G2259">
        <v>1</v>
      </c>
      <c r="H2259">
        <v>3</v>
      </c>
      <c r="I2259">
        <v>1</v>
      </c>
      <c r="J2259">
        <v>2</v>
      </c>
      <c r="K2259">
        <v>2</v>
      </c>
    </row>
    <row r="2260" spans="7:11">
      <c r="G2260">
        <v>1</v>
      </c>
      <c r="H2260">
        <v>3</v>
      </c>
      <c r="I2260">
        <v>2</v>
      </c>
      <c r="J2260">
        <v>1</v>
      </c>
      <c r="K2260">
        <v>1</v>
      </c>
    </row>
    <row r="2261" spans="7:11">
      <c r="G2261">
        <v>1</v>
      </c>
      <c r="H2261">
        <v>3</v>
      </c>
      <c r="I2261">
        <v>2</v>
      </c>
      <c r="J2261">
        <v>2</v>
      </c>
      <c r="K2261">
        <v>2</v>
      </c>
    </row>
    <row r="2262" spans="7:11">
      <c r="G2262">
        <v>1</v>
      </c>
      <c r="H2262">
        <v>3</v>
      </c>
      <c r="I2262">
        <v>3</v>
      </c>
      <c r="J2262">
        <v>1</v>
      </c>
      <c r="K2262">
        <v>1</v>
      </c>
    </row>
    <row r="2263" spans="7:11">
      <c r="G2263">
        <v>1</v>
      </c>
      <c r="H2263">
        <v>3</v>
      </c>
      <c r="I2263">
        <v>3</v>
      </c>
      <c r="J2263">
        <v>2</v>
      </c>
      <c r="K2263">
        <v>2</v>
      </c>
    </row>
    <row r="2264" spans="7:11">
      <c r="G2264">
        <v>1</v>
      </c>
      <c r="H2264">
        <v>3</v>
      </c>
      <c r="I2264">
        <v>4</v>
      </c>
      <c r="J2264">
        <v>1</v>
      </c>
      <c r="K2264">
        <v>1</v>
      </c>
    </row>
    <row r="2265" spans="7:11">
      <c r="G2265">
        <v>1</v>
      </c>
      <c r="H2265">
        <v>3</v>
      </c>
      <c r="I2265">
        <v>4</v>
      </c>
      <c r="J2265">
        <v>2</v>
      </c>
      <c r="K2265">
        <v>2</v>
      </c>
    </row>
    <row r="2266" spans="7:11">
      <c r="G2266">
        <v>1</v>
      </c>
      <c r="H2266">
        <v>3</v>
      </c>
      <c r="I2266">
        <v>5</v>
      </c>
      <c r="J2266">
        <v>1</v>
      </c>
      <c r="K2266">
        <v>1</v>
      </c>
    </row>
    <row r="2267" spans="7:11">
      <c r="G2267">
        <v>1</v>
      </c>
      <c r="H2267">
        <v>3</v>
      </c>
      <c r="I2267">
        <v>5</v>
      </c>
      <c r="J2267">
        <v>2</v>
      </c>
      <c r="K2267">
        <v>2</v>
      </c>
    </row>
    <row r="2268" spans="7:11">
      <c r="G2268">
        <v>2</v>
      </c>
      <c r="H2268">
        <v>1</v>
      </c>
      <c r="I2268">
        <v>3</v>
      </c>
      <c r="J2268">
        <v>1</v>
      </c>
      <c r="K2268">
        <v>1</v>
      </c>
    </row>
    <row r="2269" spans="7:11">
      <c r="G2269">
        <v>2</v>
      </c>
      <c r="H2269">
        <v>1</v>
      </c>
      <c r="I2269">
        <v>3</v>
      </c>
      <c r="J2269">
        <v>2</v>
      </c>
      <c r="K2269">
        <v>2</v>
      </c>
    </row>
    <row r="2270" spans="7:11">
      <c r="G2270">
        <v>2</v>
      </c>
      <c r="H2270">
        <v>1</v>
      </c>
      <c r="I2270">
        <v>4</v>
      </c>
      <c r="J2270">
        <v>1</v>
      </c>
      <c r="K2270">
        <v>1</v>
      </c>
    </row>
    <row r="2271" spans="7:11">
      <c r="G2271">
        <v>2</v>
      </c>
      <c r="H2271">
        <v>1</v>
      </c>
      <c r="I2271">
        <v>4</v>
      </c>
      <c r="J2271">
        <v>2</v>
      </c>
      <c r="K2271">
        <v>2</v>
      </c>
    </row>
    <row r="2272" spans="7:11">
      <c r="G2272">
        <v>2</v>
      </c>
      <c r="H2272">
        <v>1</v>
      </c>
      <c r="I2272">
        <v>5</v>
      </c>
      <c r="J2272">
        <v>1</v>
      </c>
      <c r="K2272">
        <v>1</v>
      </c>
    </row>
    <row r="2273" spans="7:11">
      <c r="G2273">
        <v>2</v>
      </c>
      <c r="H2273">
        <v>1</v>
      </c>
      <c r="I2273">
        <v>5</v>
      </c>
      <c r="J2273">
        <v>2</v>
      </c>
      <c r="K2273">
        <v>2</v>
      </c>
    </row>
    <row r="2274" spans="7:11">
      <c r="G2274">
        <v>2</v>
      </c>
      <c r="H2274">
        <v>2</v>
      </c>
      <c r="I2274">
        <v>1</v>
      </c>
      <c r="J2274">
        <v>1</v>
      </c>
      <c r="K2274">
        <v>1</v>
      </c>
    </row>
    <row r="2275" spans="7:11">
      <c r="G2275">
        <v>2</v>
      </c>
      <c r="H2275">
        <v>2</v>
      </c>
      <c r="I2275">
        <v>1</v>
      </c>
      <c r="J2275">
        <v>2</v>
      </c>
      <c r="K2275">
        <v>2</v>
      </c>
    </row>
    <row r="2276" spans="7:11">
      <c r="G2276">
        <v>2</v>
      </c>
      <c r="H2276">
        <v>2</v>
      </c>
      <c r="I2276">
        <v>2</v>
      </c>
      <c r="J2276">
        <v>1</v>
      </c>
      <c r="K2276">
        <v>1</v>
      </c>
    </row>
    <row r="2277" spans="7:11">
      <c r="G2277">
        <v>2</v>
      </c>
      <c r="H2277">
        <v>2</v>
      </c>
      <c r="I2277">
        <v>2</v>
      </c>
      <c r="J2277">
        <v>2</v>
      </c>
      <c r="K2277">
        <v>2</v>
      </c>
    </row>
    <row r="2278" spans="7:11">
      <c r="G2278">
        <v>2</v>
      </c>
      <c r="H2278">
        <v>2</v>
      </c>
      <c r="I2278">
        <v>3</v>
      </c>
      <c r="J2278">
        <v>1</v>
      </c>
      <c r="K2278">
        <v>1</v>
      </c>
    </row>
    <row r="2279" spans="7:11">
      <c r="G2279">
        <v>2</v>
      </c>
      <c r="H2279">
        <v>2</v>
      </c>
      <c r="I2279">
        <v>3</v>
      </c>
      <c r="J2279">
        <v>2</v>
      </c>
      <c r="K2279">
        <v>2</v>
      </c>
    </row>
    <row r="2280" spans="7:11">
      <c r="G2280">
        <v>2</v>
      </c>
      <c r="H2280">
        <v>2</v>
      </c>
      <c r="I2280">
        <v>4</v>
      </c>
      <c r="J2280">
        <v>1</v>
      </c>
      <c r="K2280">
        <v>1</v>
      </c>
    </row>
    <row r="2281" spans="7:11">
      <c r="G2281">
        <v>2</v>
      </c>
      <c r="H2281">
        <v>2</v>
      </c>
      <c r="I2281">
        <v>4</v>
      </c>
      <c r="J2281">
        <v>2</v>
      </c>
      <c r="K2281">
        <v>2</v>
      </c>
    </row>
    <row r="2282" spans="7:11">
      <c r="G2282">
        <v>2</v>
      </c>
      <c r="H2282">
        <v>2</v>
      </c>
      <c r="I2282">
        <v>5</v>
      </c>
      <c r="J2282">
        <v>1</v>
      </c>
      <c r="K2282">
        <v>1</v>
      </c>
    </row>
    <row r="2283" spans="7:11">
      <c r="G2283">
        <v>2</v>
      </c>
      <c r="H2283">
        <v>2</v>
      </c>
      <c r="I2283">
        <v>5</v>
      </c>
      <c r="J2283">
        <v>2</v>
      </c>
      <c r="K2283">
        <v>2</v>
      </c>
    </row>
    <row r="2284" spans="7:11">
      <c r="G2284">
        <v>2</v>
      </c>
      <c r="H2284">
        <v>3</v>
      </c>
      <c r="I2284">
        <v>1</v>
      </c>
      <c r="J2284">
        <v>1</v>
      </c>
      <c r="K2284">
        <v>1</v>
      </c>
    </row>
    <row r="2285" spans="7:11">
      <c r="G2285">
        <v>2</v>
      </c>
      <c r="H2285">
        <v>3</v>
      </c>
      <c r="I2285">
        <v>1</v>
      </c>
      <c r="J2285">
        <v>2</v>
      </c>
      <c r="K2285">
        <v>2</v>
      </c>
    </row>
    <row r="2286" spans="7:11">
      <c r="G2286">
        <v>2</v>
      </c>
      <c r="H2286">
        <v>3</v>
      </c>
      <c r="I2286">
        <v>2</v>
      </c>
      <c r="J2286">
        <v>1</v>
      </c>
      <c r="K2286">
        <v>1</v>
      </c>
    </row>
    <row r="2287" spans="7:11">
      <c r="G2287">
        <v>2</v>
      </c>
      <c r="H2287">
        <v>3</v>
      </c>
      <c r="I2287">
        <v>2</v>
      </c>
      <c r="J2287">
        <v>2</v>
      </c>
      <c r="K2287">
        <v>2</v>
      </c>
    </row>
    <row r="2288" spans="7:11">
      <c r="G2288">
        <v>2</v>
      </c>
      <c r="H2288">
        <v>3</v>
      </c>
      <c r="I2288">
        <v>3</v>
      </c>
      <c r="J2288">
        <v>1</v>
      </c>
      <c r="K2288">
        <v>1</v>
      </c>
    </row>
    <row r="2289" spans="7:11">
      <c r="G2289">
        <v>2</v>
      </c>
      <c r="H2289">
        <v>3</v>
      </c>
      <c r="I2289">
        <v>3</v>
      </c>
      <c r="J2289">
        <v>2</v>
      </c>
      <c r="K2289">
        <v>2</v>
      </c>
    </row>
    <row r="2290" spans="7:11">
      <c r="G2290">
        <v>2</v>
      </c>
      <c r="H2290">
        <v>3</v>
      </c>
      <c r="I2290">
        <v>4</v>
      </c>
      <c r="J2290">
        <v>1</v>
      </c>
      <c r="K2290">
        <v>1</v>
      </c>
    </row>
    <row r="2291" spans="7:11">
      <c r="G2291">
        <v>2</v>
      </c>
      <c r="H2291">
        <v>3</v>
      </c>
      <c r="I2291">
        <v>4</v>
      </c>
      <c r="J2291">
        <v>2</v>
      </c>
      <c r="K2291">
        <v>2</v>
      </c>
    </row>
    <row r="2292" spans="7:11">
      <c r="G2292">
        <v>2</v>
      </c>
      <c r="H2292">
        <v>3</v>
      </c>
      <c r="I2292">
        <v>5</v>
      </c>
      <c r="J2292">
        <v>1</v>
      </c>
      <c r="K2292">
        <v>1</v>
      </c>
    </row>
    <row r="2293" spans="7:11">
      <c r="G2293">
        <v>2</v>
      </c>
      <c r="H2293">
        <v>3</v>
      </c>
      <c r="I2293">
        <v>5</v>
      </c>
      <c r="J2293">
        <v>2</v>
      </c>
      <c r="K2293">
        <v>2</v>
      </c>
    </row>
    <row r="2294" spans="7:11">
      <c r="G2294">
        <v>3</v>
      </c>
      <c r="H2294">
        <v>1</v>
      </c>
      <c r="I2294">
        <v>3</v>
      </c>
      <c r="J2294">
        <v>1</v>
      </c>
      <c r="K2294">
        <v>1</v>
      </c>
    </row>
    <row r="2295" spans="7:11">
      <c r="G2295">
        <v>3</v>
      </c>
      <c r="H2295">
        <v>1</v>
      </c>
      <c r="I2295">
        <v>3</v>
      </c>
      <c r="J2295">
        <v>2</v>
      </c>
      <c r="K2295">
        <v>2</v>
      </c>
    </row>
    <row r="2296" spans="7:11">
      <c r="G2296">
        <v>3</v>
      </c>
      <c r="H2296">
        <v>1</v>
      </c>
      <c r="I2296">
        <v>4</v>
      </c>
      <c r="J2296">
        <v>1</v>
      </c>
      <c r="K2296">
        <v>1</v>
      </c>
    </row>
    <row r="2297" spans="7:11">
      <c r="G2297">
        <v>3</v>
      </c>
      <c r="H2297">
        <v>1</v>
      </c>
      <c r="I2297">
        <v>4</v>
      </c>
      <c r="J2297">
        <v>2</v>
      </c>
      <c r="K2297">
        <v>2</v>
      </c>
    </row>
    <row r="2298" spans="7:11">
      <c r="G2298">
        <v>3</v>
      </c>
      <c r="H2298">
        <v>1</v>
      </c>
      <c r="I2298">
        <v>5</v>
      </c>
      <c r="J2298">
        <v>1</v>
      </c>
      <c r="K2298">
        <v>1</v>
      </c>
    </row>
    <row r="2299" spans="7:11">
      <c r="G2299">
        <v>3</v>
      </c>
      <c r="H2299">
        <v>1</v>
      </c>
      <c r="I2299">
        <v>5</v>
      </c>
      <c r="J2299">
        <v>2</v>
      </c>
      <c r="K2299">
        <v>2</v>
      </c>
    </row>
    <row r="2300" spans="7:11">
      <c r="G2300">
        <v>3</v>
      </c>
      <c r="H2300">
        <v>2</v>
      </c>
      <c r="I2300">
        <v>1</v>
      </c>
      <c r="J2300">
        <v>1</v>
      </c>
      <c r="K2300">
        <v>1</v>
      </c>
    </row>
    <row r="2301" spans="7:11">
      <c r="G2301">
        <v>3</v>
      </c>
      <c r="H2301">
        <v>2</v>
      </c>
      <c r="I2301">
        <v>1</v>
      </c>
      <c r="J2301">
        <v>2</v>
      </c>
      <c r="K2301">
        <v>2</v>
      </c>
    </row>
    <row r="2302" spans="7:11">
      <c r="G2302">
        <v>3</v>
      </c>
      <c r="H2302">
        <v>2</v>
      </c>
      <c r="I2302">
        <v>2</v>
      </c>
      <c r="J2302">
        <v>1</v>
      </c>
      <c r="K2302">
        <v>1</v>
      </c>
    </row>
    <row r="2303" spans="7:11">
      <c r="G2303">
        <v>3</v>
      </c>
      <c r="H2303">
        <v>2</v>
      </c>
      <c r="I2303">
        <v>2</v>
      </c>
      <c r="J2303">
        <v>2</v>
      </c>
      <c r="K2303">
        <v>2</v>
      </c>
    </row>
    <row r="2304" spans="7:11">
      <c r="G2304">
        <v>3</v>
      </c>
      <c r="H2304">
        <v>2</v>
      </c>
      <c r="I2304">
        <v>3</v>
      </c>
      <c r="J2304">
        <v>1</v>
      </c>
      <c r="K2304">
        <v>1</v>
      </c>
    </row>
    <row r="2305" spans="7:11">
      <c r="G2305">
        <v>3</v>
      </c>
      <c r="H2305">
        <v>2</v>
      </c>
      <c r="I2305">
        <v>3</v>
      </c>
      <c r="J2305">
        <v>2</v>
      </c>
      <c r="K2305">
        <v>2</v>
      </c>
    </row>
    <row r="2306" spans="7:11">
      <c r="G2306">
        <v>3</v>
      </c>
      <c r="H2306">
        <v>2</v>
      </c>
      <c r="I2306">
        <v>4</v>
      </c>
      <c r="J2306">
        <v>1</v>
      </c>
      <c r="K2306">
        <v>1</v>
      </c>
    </row>
    <row r="2307" spans="7:11">
      <c r="G2307">
        <v>3</v>
      </c>
      <c r="H2307">
        <v>2</v>
      </c>
      <c r="I2307">
        <v>4</v>
      </c>
      <c r="J2307">
        <v>2</v>
      </c>
      <c r="K2307">
        <v>2</v>
      </c>
    </row>
    <row r="2308" spans="7:11">
      <c r="G2308">
        <v>3</v>
      </c>
      <c r="H2308">
        <v>2</v>
      </c>
      <c r="I2308">
        <v>5</v>
      </c>
      <c r="J2308">
        <v>1</v>
      </c>
      <c r="K2308">
        <v>1</v>
      </c>
    </row>
    <row r="2309" spans="7:11">
      <c r="G2309">
        <v>3</v>
      </c>
      <c r="H2309">
        <v>2</v>
      </c>
      <c r="I2309">
        <v>5</v>
      </c>
      <c r="J2309">
        <v>2</v>
      </c>
      <c r="K2309">
        <v>2</v>
      </c>
    </row>
    <row r="2310" spans="7:11">
      <c r="G2310">
        <v>3</v>
      </c>
      <c r="H2310">
        <v>3</v>
      </c>
      <c r="I2310">
        <v>1</v>
      </c>
      <c r="J2310">
        <v>1</v>
      </c>
      <c r="K2310">
        <v>1</v>
      </c>
    </row>
    <row r="2311" spans="7:11">
      <c r="G2311">
        <v>3</v>
      </c>
      <c r="H2311">
        <v>3</v>
      </c>
      <c r="I2311">
        <v>1</v>
      </c>
      <c r="J2311">
        <v>2</v>
      </c>
      <c r="K2311">
        <v>2</v>
      </c>
    </row>
    <row r="2312" spans="7:11">
      <c r="G2312">
        <v>3</v>
      </c>
      <c r="H2312">
        <v>3</v>
      </c>
      <c r="I2312">
        <v>2</v>
      </c>
      <c r="J2312">
        <v>1</v>
      </c>
      <c r="K2312">
        <v>1</v>
      </c>
    </row>
    <row r="2313" spans="7:11">
      <c r="G2313">
        <v>3</v>
      </c>
      <c r="H2313">
        <v>3</v>
      </c>
      <c r="I2313">
        <v>2</v>
      </c>
      <c r="J2313">
        <v>2</v>
      </c>
      <c r="K2313">
        <v>2</v>
      </c>
    </row>
    <row r="2314" spans="7:11">
      <c r="G2314">
        <v>3</v>
      </c>
      <c r="H2314">
        <v>3</v>
      </c>
      <c r="I2314">
        <v>3</v>
      </c>
      <c r="J2314">
        <v>1</v>
      </c>
      <c r="K2314">
        <v>1</v>
      </c>
    </row>
    <row r="2315" spans="7:11">
      <c r="G2315">
        <v>3</v>
      </c>
      <c r="H2315">
        <v>3</v>
      </c>
      <c r="I2315">
        <v>3</v>
      </c>
      <c r="J2315">
        <v>2</v>
      </c>
      <c r="K2315">
        <v>2</v>
      </c>
    </row>
    <row r="2316" spans="7:11">
      <c r="G2316">
        <v>3</v>
      </c>
      <c r="H2316">
        <v>3</v>
      </c>
      <c r="I2316">
        <v>4</v>
      </c>
      <c r="J2316">
        <v>1</v>
      </c>
      <c r="K2316">
        <v>1</v>
      </c>
    </row>
    <row r="2317" spans="7:11">
      <c r="G2317">
        <v>3</v>
      </c>
      <c r="H2317">
        <v>3</v>
      </c>
      <c r="I2317">
        <v>4</v>
      </c>
      <c r="J2317">
        <v>2</v>
      </c>
      <c r="K2317">
        <v>2</v>
      </c>
    </row>
    <row r="2318" spans="7:11">
      <c r="G2318">
        <v>3</v>
      </c>
      <c r="H2318">
        <v>3</v>
      </c>
      <c r="I2318">
        <v>5</v>
      </c>
      <c r="J2318">
        <v>1</v>
      </c>
      <c r="K2318">
        <v>1</v>
      </c>
    </row>
    <row r="2319" spans="7:11">
      <c r="G2319">
        <v>3</v>
      </c>
      <c r="H2319">
        <v>3</v>
      </c>
      <c r="I2319">
        <v>5</v>
      </c>
      <c r="J2319">
        <v>2</v>
      </c>
      <c r="K2319">
        <v>2</v>
      </c>
    </row>
    <row r="2320" spans="7:11">
      <c r="G2320">
        <v>4</v>
      </c>
      <c r="H2320">
        <v>1</v>
      </c>
      <c r="I2320">
        <v>3</v>
      </c>
      <c r="J2320">
        <v>1</v>
      </c>
      <c r="K2320">
        <v>1</v>
      </c>
    </row>
    <row r="2321" spans="7:11">
      <c r="G2321">
        <v>4</v>
      </c>
      <c r="H2321">
        <v>1</v>
      </c>
      <c r="I2321">
        <v>3</v>
      </c>
      <c r="J2321">
        <v>2</v>
      </c>
      <c r="K2321">
        <v>2</v>
      </c>
    </row>
    <row r="2322" spans="7:11">
      <c r="G2322">
        <v>4</v>
      </c>
      <c r="H2322">
        <v>1</v>
      </c>
      <c r="I2322">
        <v>4</v>
      </c>
      <c r="J2322">
        <v>1</v>
      </c>
      <c r="K2322">
        <v>1</v>
      </c>
    </row>
    <row r="2323" spans="7:11">
      <c r="G2323">
        <v>4</v>
      </c>
      <c r="H2323">
        <v>1</v>
      </c>
      <c r="I2323">
        <v>4</v>
      </c>
      <c r="J2323">
        <v>2</v>
      </c>
      <c r="K2323">
        <v>2</v>
      </c>
    </row>
    <row r="2324" spans="7:11">
      <c r="G2324">
        <v>4</v>
      </c>
      <c r="H2324">
        <v>1</v>
      </c>
      <c r="I2324">
        <v>5</v>
      </c>
      <c r="J2324">
        <v>1</v>
      </c>
      <c r="K2324">
        <v>1</v>
      </c>
    </row>
    <row r="2325" spans="7:11">
      <c r="G2325">
        <v>4</v>
      </c>
      <c r="H2325">
        <v>1</v>
      </c>
      <c r="I2325">
        <v>5</v>
      </c>
      <c r="J2325">
        <v>2</v>
      </c>
      <c r="K2325">
        <v>2</v>
      </c>
    </row>
    <row r="2326" spans="7:11">
      <c r="G2326">
        <v>4</v>
      </c>
      <c r="H2326">
        <v>2</v>
      </c>
      <c r="I2326">
        <v>1</v>
      </c>
      <c r="J2326">
        <v>1</v>
      </c>
      <c r="K2326">
        <v>1</v>
      </c>
    </row>
    <row r="2327" spans="7:11">
      <c r="G2327">
        <v>4</v>
      </c>
      <c r="H2327">
        <v>2</v>
      </c>
      <c r="I2327">
        <v>1</v>
      </c>
      <c r="J2327">
        <v>2</v>
      </c>
      <c r="K2327">
        <v>2</v>
      </c>
    </row>
    <row r="2328" spans="7:11">
      <c r="G2328">
        <v>4</v>
      </c>
      <c r="H2328">
        <v>2</v>
      </c>
      <c r="I2328">
        <v>2</v>
      </c>
      <c r="J2328">
        <v>1</v>
      </c>
      <c r="K2328">
        <v>1</v>
      </c>
    </row>
    <row r="2329" spans="7:11">
      <c r="G2329">
        <v>4</v>
      </c>
      <c r="H2329">
        <v>2</v>
      </c>
      <c r="I2329">
        <v>2</v>
      </c>
      <c r="J2329">
        <v>2</v>
      </c>
      <c r="K2329">
        <v>2</v>
      </c>
    </row>
    <row r="2330" spans="7:11">
      <c r="G2330">
        <v>4</v>
      </c>
      <c r="H2330">
        <v>2</v>
      </c>
      <c r="I2330">
        <v>3</v>
      </c>
      <c r="J2330">
        <v>1</v>
      </c>
      <c r="K2330">
        <v>1</v>
      </c>
    </row>
    <row r="2331" spans="7:11">
      <c r="G2331">
        <v>4</v>
      </c>
      <c r="H2331">
        <v>2</v>
      </c>
      <c r="I2331">
        <v>3</v>
      </c>
      <c r="J2331">
        <v>2</v>
      </c>
      <c r="K2331">
        <v>2</v>
      </c>
    </row>
    <row r="2332" spans="7:11">
      <c r="G2332">
        <v>4</v>
      </c>
      <c r="H2332">
        <v>2</v>
      </c>
      <c r="I2332">
        <v>4</v>
      </c>
      <c r="J2332">
        <v>1</v>
      </c>
      <c r="K2332">
        <v>1</v>
      </c>
    </row>
    <row r="2333" spans="7:11">
      <c r="G2333">
        <v>4</v>
      </c>
      <c r="H2333">
        <v>2</v>
      </c>
      <c r="I2333">
        <v>4</v>
      </c>
      <c r="J2333">
        <v>2</v>
      </c>
      <c r="K2333">
        <v>2</v>
      </c>
    </row>
    <row r="2334" spans="7:11">
      <c r="G2334">
        <v>4</v>
      </c>
      <c r="H2334">
        <v>2</v>
      </c>
      <c r="I2334">
        <v>5</v>
      </c>
      <c r="J2334">
        <v>1</v>
      </c>
      <c r="K2334">
        <v>1</v>
      </c>
    </row>
    <row r="2335" spans="7:11">
      <c r="G2335">
        <v>4</v>
      </c>
      <c r="H2335">
        <v>2</v>
      </c>
      <c r="I2335">
        <v>5</v>
      </c>
      <c r="J2335">
        <v>2</v>
      </c>
      <c r="K2335">
        <v>2</v>
      </c>
    </row>
    <row r="2336" spans="7:11">
      <c r="G2336">
        <v>4</v>
      </c>
      <c r="H2336">
        <v>3</v>
      </c>
      <c r="I2336">
        <v>1</v>
      </c>
      <c r="J2336">
        <v>1</v>
      </c>
      <c r="K2336">
        <v>1</v>
      </c>
    </row>
    <row r="2337" spans="7:11">
      <c r="G2337">
        <v>4</v>
      </c>
      <c r="H2337">
        <v>3</v>
      </c>
      <c r="I2337">
        <v>1</v>
      </c>
      <c r="J2337">
        <v>2</v>
      </c>
      <c r="K2337">
        <v>2</v>
      </c>
    </row>
    <row r="2338" spans="7:11">
      <c r="G2338">
        <v>4</v>
      </c>
      <c r="H2338">
        <v>3</v>
      </c>
      <c r="I2338">
        <v>2</v>
      </c>
      <c r="J2338">
        <v>1</v>
      </c>
      <c r="K2338">
        <v>1</v>
      </c>
    </row>
    <row r="2339" spans="7:11">
      <c r="G2339">
        <v>4</v>
      </c>
      <c r="H2339">
        <v>3</v>
      </c>
      <c r="I2339">
        <v>2</v>
      </c>
      <c r="J2339">
        <v>2</v>
      </c>
      <c r="K2339">
        <v>2</v>
      </c>
    </row>
    <row r="2340" spans="7:11">
      <c r="G2340">
        <v>4</v>
      </c>
      <c r="H2340">
        <v>3</v>
      </c>
      <c r="I2340">
        <v>3</v>
      </c>
      <c r="J2340">
        <v>1</v>
      </c>
      <c r="K2340">
        <v>1</v>
      </c>
    </row>
    <row r="2341" spans="7:11">
      <c r="G2341">
        <v>4</v>
      </c>
      <c r="H2341">
        <v>3</v>
      </c>
      <c r="I2341">
        <v>3</v>
      </c>
      <c r="J2341">
        <v>2</v>
      </c>
      <c r="K2341">
        <v>2</v>
      </c>
    </row>
    <row r="2342" spans="7:11">
      <c r="G2342">
        <v>4</v>
      </c>
      <c r="H2342">
        <v>3</v>
      </c>
      <c r="I2342">
        <v>4</v>
      </c>
      <c r="J2342">
        <v>1</v>
      </c>
      <c r="K2342">
        <v>1</v>
      </c>
    </row>
    <row r="2343" spans="7:11">
      <c r="G2343">
        <v>4</v>
      </c>
      <c r="H2343">
        <v>3</v>
      </c>
      <c r="I2343">
        <v>4</v>
      </c>
      <c r="J2343">
        <v>2</v>
      </c>
      <c r="K2343">
        <v>2</v>
      </c>
    </row>
    <row r="2344" spans="7:11">
      <c r="G2344">
        <v>4</v>
      </c>
      <c r="H2344">
        <v>3</v>
      </c>
      <c r="I2344">
        <v>5</v>
      </c>
      <c r="J2344">
        <v>1</v>
      </c>
      <c r="K2344">
        <v>1</v>
      </c>
    </row>
    <row r="2345" spans="7:11">
      <c r="G2345">
        <v>4</v>
      </c>
      <c r="H2345">
        <v>3</v>
      </c>
      <c r="I2345">
        <v>5</v>
      </c>
      <c r="J2345">
        <v>2</v>
      </c>
      <c r="K2345">
        <v>2</v>
      </c>
    </row>
    <row r="2346" spans="7:11">
      <c r="G2346">
        <v>2</v>
      </c>
      <c r="H2346">
        <v>1</v>
      </c>
      <c r="I2346">
        <v>3</v>
      </c>
      <c r="J2346">
        <v>1</v>
      </c>
      <c r="K2346">
        <v>1</v>
      </c>
    </row>
    <row r="2347" spans="7:11">
      <c r="G2347">
        <v>2</v>
      </c>
      <c r="H2347">
        <v>1</v>
      </c>
      <c r="I2347">
        <v>3</v>
      </c>
      <c r="J2347">
        <v>2</v>
      </c>
      <c r="K2347">
        <v>2</v>
      </c>
    </row>
    <row r="2348" spans="7:11">
      <c r="G2348">
        <v>2</v>
      </c>
      <c r="H2348">
        <v>1</v>
      </c>
      <c r="I2348">
        <v>4</v>
      </c>
      <c r="J2348">
        <v>1</v>
      </c>
      <c r="K2348">
        <v>1</v>
      </c>
    </row>
    <row r="2349" spans="7:11">
      <c r="G2349">
        <v>2</v>
      </c>
      <c r="H2349">
        <v>1</v>
      </c>
      <c r="I2349">
        <v>4</v>
      </c>
      <c r="J2349">
        <v>2</v>
      </c>
      <c r="K2349">
        <v>2</v>
      </c>
    </row>
    <row r="2350" spans="7:11">
      <c r="G2350">
        <v>2</v>
      </c>
      <c r="H2350">
        <v>1</v>
      </c>
      <c r="I2350">
        <v>5</v>
      </c>
      <c r="J2350">
        <v>1</v>
      </c>
      <c r="K2350">
        <v>1</v>
      </c>
    </row>
    <row r="2351" spans="7:11">
      <c r="G2351">
        <v>2</v>
      </c>
      <c r="H2351">
        <v>1</v>
      </c>
      <c r="I2351">
        <v>5</v>
      </c>
      <c r="J2351">
        <v>2</v>
      </c>
      <c r="K2351">
        <v>2</v>
      </c>
    </row>
    <row r="2352" spans="7:11">
      <c r="G2352">
        <v>2</v>
      </c>
      <c r="H2352">
        <v>2</v>
      </c>
      <c r="I2352">
        <v>1</v>
      </c>
      <c r="J2352">
        <v>1</v>
      </c>
      <c r="K2352">
        <v>1</v>
      </c>
    </row>
    <row r="2353" spans="7:11">
      <c r="G2353">
        <v>2</v>
      </c>
      <c r="H2353">
        <v>2</v>
      </c>
      <c r="I2353">
        <v>1</v>
      </c>
      <c r="J2353">
        <v>2</v>
      </c>
      <c r="K2353">
        <v>2</v>
      </c>
    </row>
    <row r="2354" spans="7:11">
      <c r="G2354">
        <v>2</v>
      </c>
      <c r="H2354">
        <v>2</v>
      </c>
      <c r="I2354">
        <v>2</v>
      </c>
      <c r="J2354">
        <v>1</v>
      </c>
      <c r="K2354">
        <v>1</v>
      </c>
    </row>
    <row r="2355" spans="7:11">
      <c r="G2355">
        <v>2</v>
      </c>
      <c r="H2355">
        <v>2</v>
      </c>
      <c r="I2355">
        <v>2</v>
      </c>
      <c r="J2355">
        <v>2</v>
      </c>
      <c r="K2355">
        <v>2</v>
      </c>
    </row>
    <row r="2356" spans="7:11">
      <c r="G2356">
        <v>2</v>
      </c>
      <c r="H2356">
        <v>2</v>
      </c>
      <c r="I2356">
        <v>3</v>
      </c>
      <c r="J2356">
        <v>1</v>
      </c>
      <c r="K2356">
        <v>1</v>
      </c>
    </row>
    <row r="2357" spans="7:11">
      <c r="G2357">
        <v>2</v>
      </c>
      <c r="H2357">
        <v>2</v>
      </c>
      <c r="I2357">
        <v>3</v>
      </c>
      <c r="J2357">
        <v>2</v>
      </c>
      <c r="K2357">
        <v>2</v>
      </c>
    </row>
    <row r="2358" spans="7:11">
      <c r="G2358">
        <v>2</v>
      </c>
      <c r="H2358">
        <v>2</v>
      </c>
      <c r="I2358">
        <v>4</v>
      </c>
      <c r="J2358">
        <v>1</v>
      </c>
      <c r="K2358">
        <v>1</v>
      </c>
    </row>
    <row r="2359" spans="7:11">
      <c r="G2359">
        <v>2</v>
      </c>
      <c r="H2359">
        <v>2</v>
      </c>
      <c r="I2359">
        <v>4</v>
      </c>
      <c r="J2359">
        <v>2</v>
      </c>
      <c r="K2359">
        <v>2</v>
      </c>
    </row>
    <row r="2360" spans="7:11">
      <c r="G2360">
        <v>2</v>
      </c>
      <c r="H2360">
        <v>2</v>
      </c>
      <c r="I2360">
        <v>5</v>
      </c>
      <c r="J2360">
        <v>1</v>
      </c>
      <c r="K2360">
        <v>1</v>
      </c>
    </row>
    <row r="2361" spans="7:11">
      <c r="G2361">
        <v>2</v>
      </c>
      <c r="H2361">
        <v>2</v>
      </c>
      <c r="I2361">
        <v>5</v>
      </c>
      <c r="J2361">
        <v>2</v>
      </c>
      <c r="K2361">
        <v>2</v>
      </c>
    </row>
    <row r="2362" spans="7:11">
      <c r="G2362">
        <v>2</v>
      </c>
      <c r="H2362">
        <v>3</v>
      </c>
      <c r="I2362">
        <v>1</v>
      </c>
      <c r="J2362">
        <v>1</v>
      </c>
      <c r="K2362">
        <v>1</v>
      </c>
    </row>
    <row r="2363" spans="7:11">
      <c r="G2363">
        <v>2</v>
      </c>
      <c r="H2363">
        <v>3</v>
      </c>
      <c r="I2363">
        <v>1</v>
      </c>
      <c r="J2363">
        <v>2</v>
      </c>
      <c r="K2363">
        <v>2</v>
      </c>
    </row>
    <row r="2364" spans="7:11">
      <c r="G2364">
        <v>2</v>
      </c>
      <c r="H2364">
        <v>3</v>
      </c>
      <c r="I2364">
        <v>2</v>
      </c>
      <c r="J2364">
        <v>1</v>
      </c>
      <c r="K2364">
        <v>1</v>
      </c>
    </row>
    <row r="2365" spans="7:11">
      <c r="G2365">
        <v>2</v>
      </c>
      <c r="H2365">
        <v>3</v>
      </c>
      <c r="I2365">
        <v>2</v>
      </c>
      <c r="J2365">
        <v>2</v>
      </c>
      <c r="K2365">
        <v>2</v>
      </c>
    </row>
    <row r="2366" spans="7:11">
      <c r="G2366">
        <v>2</v>
      </c>
      <c r="H2366">
        <v>3</v>
      </c>
      <c r="I2366">
        <v>3</v>
      </c>
      <c r="J2366">
        <v>1</v>
      </c>
      <c r="K2366">
        <v>1</v>
      </c>
    </row>
    <row r="2367" spans="7:11">
      <c r="G2367">
        <v>2</v>
      </c>
      <c r="H2367">
        <v>3</v>
      </c>
      <c r="I2367">
        <v>3</v>
      </c>
      <c r="J2367">
        <v>2</v>
      </c>
      <c r="K2367">
        <v>2</v>
      </c>
    </row>
    <row r="2368" spans="7:11">
      <c r="G2368">
        <v>2</v>
      </c>
      <c r="H2368">
        <v>3</v>
      </c>
      <c r="I2368">
        <v>4</v>
      </c>
      <c r="J2368">
        <v>1</v>
      </c>
      <c r="K2368">
        <v>1</v>
      </c>
    </row>
    <row r="2369" spans="7:11">
      <c r="G2369">
        <v>2</v>
      </c>
      <c r="H2369">
        <v>3</v>
      </c>
      <c r="I2369">
        <v>4</v>
      </c>
      <c r="J2369">
        <v>2</v>
      </c>
      <c r="K2369">
        <v>2</v>
      </c>
    </row>
    <row r="2370" spans="7:11">
      <c r="G2370">
        <v>2</v>
      </c>
      <c r="H2370">
        <v>3</v>
      </c>
      <c r="I2370">
        <v>5</v>
      </c>
      <c r="J2370">
        <v>1</v>
      </c>
      <c r="K2370">
        <v>1</v>
      </c>
    </row>
    <row r="2371" spans="7:11">
      <c r="G2371">
        <v>2</v>
      </c>
      <c r="H2371">
        <v>3</v>
      </c>
      <c r="I2371">
        <v>5</v>
      </c>
      <c r="J2371">
        <v>2</v>
      </c>
      <c r="K2371">
        <v>2</v>
      </c>
    </row>
    <row r="2372" spans="7:11">
      <c r="G2372">
        <v>3</v>
      </c>
      <c r="H2372">
        <v>1</v>
      </c>
      <c r="I2372">
        <v>3</v>
      </c>
      <c r="J2372">
        <v>1</v>
      </c>
      <c r="K2372">
        <v>1</v>
      </c>
    </row>
    <row r="2373" spans="7:11">
      <c r="G2373">
        <v>3</v>
      </c>
      <c r="H2373">
        <v>1</v>
      </c>
      <c r="I2373">
        <v>3</v>
      </c>
      <c r="J2373">
        <v>2</v>
      </c>
      <c r="K2373">
        <v>2</v>
      </c>
    </row>
    <row r="2374" spans="7:11">
      <c r="G2374">
        <v>3</v>
      </c>
      <c r="H2374">
        <v>1</v>
      </c>
      <c r="I2374">
        <v>4</v>
      </c>
      <c r="J2374">
        <v>1</v>
      </c>
      <c r="K2374">
        <v>1</v>
      </c>
    </row>
    <row r="2375" spans="7:11">
      <c r="G2375">
        <v>3</v>
      </c>
      <c r="H2375">
        <v>1</v>
      </c>
      <c r="I2375">
        <v>4</v>
      </c>
      <c r="J2375">
        <v>2</v>
      </c>
      <c r="K2375">
        <v>2</v>
      </c>
    </row>
    <row r="2376" spans="7:11">
      <c r="G2376">
        <v>3</v>
      </c>
      <c r="H2376">
        <v>1</v>
      </c>
      <c r="I2376">
        <v>5</v>
      </c>
      <c r="J2376">
        <v>1</v>
      </c>
      <c r="K2376">
        <v>1</v>
      </c>
    </row>
    <row r="2377" spans="7:11">
      <c r="G2377">
        <v>3</v>
      </c>
      <c r="H2377">
        <v>1</v>
      </c>
      <c r="I2377">
        <v>5</v>
      </c>
      <c r="J2377">
        <v>2</v>
      </c>
      <c r="K2377">
        <v>2</v>
      </c>
    </row>
    <row r="2378" spans="7:11">
      <c r="G2378">
        <v>3</v>
      </c>
      <c r="H2378">
        <v>2</v>
      </c>
      <c r="I2378">
        <v>1</v>
      </c>
      <c r="J2378">
        <v>1</v>
      </c>
      <c r="K2378">
        <v>1</v>
      </c>
    </row>
    <row r="2379" spans="7:11">
      <c r="G2379">
        <v>3</v>
      </c>
      <c r="H2379">
        <v>2</v>
      </c>
      <c r="I2379">
        <v>1</v>
      </c>
      <c r="J2379">
        <v>2</v>
      </c>
      <c r="K2379">
        <v>2</v>
      </c>
    </row>
    <row r="2380" spans="7:11">
      <c r="G2380">
        <v>3</v>
      </c>
      <c r="H2380">
        <v>2</v>
      </c>
      <c r="I2380">
        <v>2</v>
      </c>
      <c r="J2380">
        <v>1</v>
      </c>
      <c r="K2380">
        <v>1</v>
      </c>
    </row>
    <row r="2381" spans="7:11">
      <c r="G2381">
        <v>3</v>
      </c>
      <c r="H2381">
        <v>2</v>
      </c>
      <c r="I2381">
        <v>2</v>
      </c>
      <c r="J2381">
        <v>2</v>
      </c>
      <c r="K2381">
        <v>2</v>
      </c>
    </row>
    <row r="2382" spans="7:11">
      <c r="G2382">
        <v>3</v>
      </c>
      <c r="H2382">
        <v>2</v>
      </c>
      <c r="I2382">
        <v>3</v>
      </c>
      <c r="J2382">
        <v>1</v>
      </c>
      <c r="K2382">
        <v>1</v>
      </c>
    </row>
    <row r="2383" spans="7:11">
      <c r="G2383">
        <v>3</v>
      </c>
      <c r="H2383">
        <v>2</v>
      </c>
      <c r="I2383">
        <v>3</v>
      </c>
      <c r="J2383">
        <v>2</v>
      </c>
      <c r="K2383">
        <v>2</v>
      </c>
    </row>
    <row r="2384" spans="7:11">
      <c r="G2384">
        <v>3</v>
      </c>
      <c r="H2384">
        <v>2</v>
      </c>
      <c r="I2384">
        <v>4</v>
      </c>
      <c r="J2384">
        <v>1</v>
      </c>
      <c r="K2384">
        <v>1</v>
      </c>
    </row>
    <row r="2385" spans="7:11">
      <c r="G2385">
        <v>3</v>
      </c>
      <c r="H2385">
        <v>2</v>
      </c>
      <c r="I2385">
        <v>4</v>
      </c>
      <c r="J2385">
        <v>2</v>
      </c>
      <c r="K2385">
        <v>2</v>
      </c>
    </row>
    <row r="2386" spans="7:11">
      <c r="G2386">
        <v>3</v>
      </c>
      <c r="H2386">
        <v>2</v>
      </c>
      <c r="I2386">
        <v>5</v>
      </c>
      <c r="J2386">
        <v>1</v>
      </c>
      <c r="K2386">
        <v>1</v>
      </c>
    </row>
    <row r="2387" spans="7:11">
      <c r="G2387">
        <v>3</v>
      </c>
      <c r="H2387">
        <v>2</v>
      </c>
      <c r="I2387">
        <v>5</v>
      </c>
      <c r="J2387">
        <v>2</v>
      </c>
      <c r="K2387">
        <v>2</v>
      </c>
    </row>
    <row r="2388" spans="7:11">
      <c r="G2388">
        <v>3</v>
      </c>
      <c r="H2388">
        <v>3</v>
      </c>
      <c r="I2388">
        <v>1</v>
      </c>
      <c r="J2388">
        <v>1</v>
      </c>
      <c r="K2388">
        <v>1</v>
      </c>
    </row>
    <row r="2389" spans="7:11">
      <c r="G2389">
        <v>3</v>
      </c>
      <c r="H2389">
        <v>3</v>
      </c>
      <c r="I2389">
        <v>1</v>
      </c>
      <c r="J2389">
        <v>2</v>
      </c>
      <c r="K2389">
        <v>2</v>
      </c>
    </row>
    <row r="2390" spans="7:11">
      <c r="G2390">
        <v>3</v>
      </c>
      <c r="H2390">
        <v>3</v>
      </c>
      <c r="I2390">
        <v>2</v>
      </c>
      <c r="J2390">
        <v>1</v>
      </c>
      <c r="K2390">
        <v>1</v>
      </c>
    </row>
    <row r="2391" spans="7:11">
      <c r="G2391">
        <v>3</v>
      </c>
      <c r="H2391">
        <v>3</v>
      </c>
      <c r="I2391">
        <v>2</v>
      </c>
      <c r="J2391">
        <v>2</v>
      </c>
      <c r="K2391">
        <v>2</v>
      </c>
    </row>
    <row r="2392" spans="7:11">
      <c r="G2392">
        <v>3</v>
      </c>
      <c r="H2392">
        <v>3</v>
      </c>
      <c r="I2392">
        <v>3</v>
      </c>
      <c r="J2392">
        <v>1</v>
      </c>
      <c r="K2392">
        <v>1</v>
      </c>
    </row>
    <row r="2393" spans="7:11">
      <c r="G2393">
        <v>3</v>
      </c>
      <c r="H2393">
        <v>3</v>
      </c>
      <c r="I2393">
        <v>3</v>
      </c>
      <c r="J2393">
        <v>2</v>
      </c>
      <c r="K2393">
        <v>2</v>
      </c>
    </row>
    <row r="2394" spans="7:11">
      <c r="G2394">
        <v>3</v>
      </c>
      <c r="H2394">
        <v>3</v>
      </c>
      <c r="I2394">
        <v>4</v>
      </c>
      <c r="J2394">
        <v>1</v>
      </c>
      <c r="K2394">
        <v>1</v>
      </c>
    </row>
    <row r="2395" spans="7:11">
      <c r="G2395">
        <v>3</v>
      </c>
      <c r="H2395">
        <v>3</v>
      </c>
      <c r="I2395">
        <v>4</v>
      </c>
      <c r="J2395">
        <v>2</v>
      </c>
      <c r="K2395">
        <v>2</v>
      </c>
    </row>
    <row r="2396" spans="7:11">
      <c r="G2396">
        <v>3</v>
      </c>
      <c r="H2396">
        <v>3</v>
      </c>
      <c r="I2396">
        <v>5</v>
      </c>
      <c r="J2396">
        <v>1</v>
      </c>
      <c r="K2396">
        <v>1</v>
      </c>
    </row>
    <row r="2397" spans="7:11">
      <c r="G2397">
        <v>3</v>
      </c>
      <c r="H2397">
        <v>3</v>
      </c>
      <c r="I2397">
        <v>5</v>
      </c>
      <c r="J2397">
        <v>2</v>
      </c>
      <c r="K2397">
        <v>2</v>
      </c>
    </row>
    <row r="2398" spans="7:11">
      <c r="G2398">
        <v>4</v>
      </c>
      <c r="H2398">
        <v>1</v>
      </c>
      <c r="I2398">
        <v>3</v>
      </c>
      <c r="J2398">
        <v>1</v>
      </c>
      <c r="K2398">
        <v>1</v>
      </c>
    </row>
    <row r="2399" spans="7:11">
      <c r="G2399">
        <v>4</v>
      </c>
      <c r="H2399">
        <v>1</v>
      </c>
      <c r="I2399">
        <v>3</v>
      </c>
      <c r="J2399">
        <v>2</v>
      </c>
      <c r="K2399">
        <v>2</v>
      </c>
    </row>
    <row r="2400" spans="7:11">
      <c r="G2400">
        <v>4</v>
      </c>
      <c r="H2400">
        <v>1</v>
      </c>
      <c r="I2400">
        <v>4</v>
      </c>
      <c r="J2400">
        <v>1</v>
      </c>
      <c r="K2400">
        <v>1</v>
      </c>
    </row>
    <row r="2401" spans="7:11">
      <c r="G2401">
        <v>4</v>
      </c>
      <c r="H2401">
        <v>1</v>
      </c>
      <c r="I2401">
        <v>4</v>
      </c>
      <c r="J2401">
        <v>2</v>
      </c>
      <c r="K2401">
        <v>2</v>
      </c>
    </row>
    <row r="2402" spans="7:11">
      <c r="G2402">
        <v>4</v>
      </c>
      <c r="H2402">
        <v>1</v>
      </c>
      <c r="I2402">
        <v>5</v>
      </c>
      <c r="J2402">
        <v>1</v>
      </c>
      <c r="K2402">
        <v>1</v>
      </c>
    </row>
    <row r="2403" spans="7:11">
      <c r="G2403">
        <v>4</v>
      </c>
      <c r="H2403">
        <v>1</v>
      </c>
      <c r="I2403">
        <v>5</v>
      </c>
      <c r="J2403">
        <v>2</v>
      </c>
      <c r="K2403">
        <v>2</v>
      </c>
    </row>
    <row r="2404" spans="7:11">
      <c r="G2404">
        <v>4</v>
      </c>
      <c r="H2404">
        <v>2</v>
      </c>
      <c r="I2404">
        <v>1</v>
      </c>
      <c r="J2404">
        <v>1</v>
      </c>
      <c r="K2404">
        <v>1</v>
      </c>
    </row>
    <row r="2405" spans="7:11">
      <c r="G2405">
        <v>4</v>
      </c>
      <c r="H2405">
        <v>2</v>
      </c>
      <c r="I2405">
        <v>1</v>
      </c>
      <c r="J2405">
        <v>2</v>
      </c>
      <c r="K2405">
        <v>2</v>
      </c>
    </row>
    <row r="2406" spans="7:11">
      <c r="G2406">
        <v>4</v>
      </c>
      <c r="H2406">
        <v>2</v>
      </c>
      <c r="I2406">
        <v>2</v>
      </c>
      <c r="J2406">
        <v>1</v>
      </c>
      <c r="K2406">
        <v>1</v>
      </c>
    </row>
    <row r="2407" spans="7:11">
      <c r="G2407">
        <v>4</v>
      </c>
      <c r="H2407">
        <v>2</v>
      </c>
      <c r="I2407">
        <v>2</v>
      </c>
      <c r="J2407">
        <v>2</v>
      </c>
      <c r="K2407">
        <v>2</v>
      </c>
    </row>
    <row r="2408" spans="7:11">
      <c r="G2408">
        <v>4</v>
      </c>
      <c r="H2408">
        <v>2</v>
      </c>
      <c r="I2408">
        <v>3</v>
      </c>
      <c r="J2408">
        <v>1</v>
      </c>
      <c r="K2408">
        <v>1</v>
      </c>
    </row>
    <row r="2409" spans="7:11">
      <c r="G2409">
        <v>4</v>
      </c>
      <c r="H2409">
        <v>2</v>
      </c>
      <c r="I2409">
        <v>3</v>
      </c>
      <c r="J2409">
        <v>2</v>
      </c>
      <c r="K2409">
        <v>2</v>
      </c>
    </row>
    <row r="2410" spans="7:11">
      <c r="G2410">
        <v>4</v>
      </c>
      <c r="H2410">
        <v>2</v>
      </c>
      <c r="I2410">
        <v>4</v>
      </c>
      <c r="J2410">
        <v>1</v>
      </c>
      <c r="K2410">
        <v>1</v>
      </c>
    </row>
    <row r="2411" spans="7:11">
      <c r="G2411">
        <v>4</v>
      </c>
      <c r="H2411">
        <v>2</v>
      </c>
      <c r="I2411">
        <v>4</v>
      </c>
      <c r="J2411">
        <v>2</v>
      </c>
      <c r="K2411">
        <v>2</v>
      </c>
    </row>
    <row r="2412" spans="7:11">
      <c r="G2412">
        <v>4</v>
      </c>
      <c r="H2412">
        <v>2</v>
      </c>
      <c r="I2412">
        <v>5</v>
      </c>
      <c r="J2412">
        <v>1</v>
      </c>
      <c r="K2412">
        <v>1</v>
      </c>
    </row>
    <row r="2413" spans="7:11">
      <c r="G2413">
        <v>4</v>
      </c>
      <c r="H2413">
        <v>2</v>
      </c>
      <c r="I2413">
        <v>5</v>
      </c>
      <c r="J2413">
        <v>2</v>
      </c>
      <c r="K2413">
        <v>2</v>
      </c>
    </row>
    <row r="2414" spans="7:11">
      <c r="G2414">
        <v>4</v>
      </c>
      <c r="H2414">
        <v>3</v>
      </c>
      <c r="I2414">
        <v>1</v>
      </c>
      <c r="J2414">
        <v>1</v>
      </c>
      <c r="K2414">
        <v>1</v>
      </c>
    </row>
    <row r="2415" spans="7:11">
      <c r="G2415">
        <v>4</v>
      </c>
      <c r="H2415">
        <v>3</v>
      </c>
      <c r="I2415">
        <v>1</v>
      </c>
      <c r="J2415">
        <v>2</v>
      </c>
      <c r="K2415">
        <v>2</v>
      </c>
    </row>
    <row r="2416" spans="7:11">
      <c r="G2416">
        <v>4</v>
      </c>
      <c r="H2416">
        <v>3</v>
      </c>
      <c r="I2416">
        <v>2</v>
      </c>
      <c r="J2416">
        <v>1</v>
      </c>
      <c r="K2416">
        <v>1</v>
      </c>
    </row>
    <row r="2417" spans="7:11">
      <c r="G2417">
        <v>4</v>
      </c>
      <c r="H2417">
        <v>3</v>
      </c>
      <c r="I2417">
        <v>2</v>
      </c>
      <c r="J2417">
        <v>2</v>
      </c>
      <c r="K2417">
        <v>2</v>
      </c>
    </row>
    <row r="2418" spans="7:11">
      <c r="G2418">
        <v>4</v>
      </c>
      <c r="H2418">
        <v>3</v>
      </c>
      <c r="I2418">
        <v>3</v>
      </c>
      <c r="J2418">
        <v>1</v>
      </c>
      <c r="K2418">
        <v>1</v>
      </c>
    </row>
    <row r="2419" spans="7:11">
      <c r="G2419">
        <v>4</v>
      </c>
      <c r="H2419">
        <v>3</v>
      </c>
      <c r="I2419">
        <v>3</v>
      </c>
      <c r="J2419">
        <v>2</v>
      </c>
      <c r="K2419">
        <v>2</v>
      </c>
    </row>
    <row r="2420" spans="7:11">
      <c r="G2420">
        <v>4</v>
      </c>
      <c r="H2420">
        <v>3</v>
      </c>
      <c r="I2420">
        <v>4</v>
      </c>
      <c r="J2420">
        <v>1</v>
      </c>
      <c r="K2420">
        <v>1</v>
      </c>
    </row>
    <row r="2421" spans="7:11">
      <c r="G2421">
        <v>4</v>
      </c>
      <c r="H2421">
        <v>3</v>
      </c>
      <c r="I2421">
        <v>4</v>
      </c>
      <c r="J2421">
        <v>2</v>
      </c>
      <c r="K2421">
        <v>2</v>
      </c>
    </row>
    <row r="2422" spans="7:11">
      <c r="G2422">
        <v>4</v>
      </c>
      <c r="H2422">
        <v>3</v>
      </c>
      <c r="I2422">
        <v>5</v>
      </c>
      <c r="J2422">
        <v>1</v>
      </c>
      <c r="K2422">
        <v>1</v>
      </c>
    </row>
    <row r="2423" spans="7:11">
      <c r="G2423">
        <v>4</v>
      </c>
      <c r="H2423">
        <v>3</v>
      </c>
      <c r="I2423">
        <v>5</v>
      </c>
      <c r="J2423">
        <v>2</v>
      </c>
      <c r="K2423">
        <v>2</v>
      </c>
    </row>
    <row r="2424" spans="7:11">
      <c r="G2424">
        <v>1</v>
      </c>
      <c r="H2424">
        <v>2</v>
      </c>
      <c r="I2424">
        <v>1</v>
      </c>
      <c r="J2424">
        <v>1</v>
      </c>
      <c r="K2424">
        <v>1</v>
      </c>
    </row>
    <row r="2425" spans="7:11">
      <c r="G2425">
        <v>1</v>
      </c>
      <c r="H2425">
        <v>2</v>
      </c>
      <c r="I2425">
        <v>1</v>
      </c>
      <c r="J2425">
        <v>2</v>
      </c>
      <c r="K2425">
        <v>2</v>
      </c>
    </row>
    <row r="2426" spans="7:11">
      <c r="G2426">
        <v>1</v>
      </c>
      <c r="H2426">
        <v>2</v>
      </c>
      <c r="I2426">
        <v>2</v>
      </c>
      <c r="J2426">
        <v>1</v>
      </c>
      <c r="K2426">
        <v>1</v>
      </c>
    </row>
    <row r="2427" spans="7:11">
      <c r="G2427">
        <v>1</v>
      </c>
      <c r="H2427">
        <v>2</v>
      </c>
      <c r="I2427">
        <v>2</v>
      </c>
      <c r="J2427">
        <v>2</v>
      </c>
      <c r="K2427">
        <v>2</v>
      </c>
    </row>
    <row r="2428" spans="7:11">
      <c r="G2428">
        <v>1</v>
      </c>
      <c r="H2428">
        <v>2</v>
      </c>
      <c r="I2428">
        <v>3</v>
      </c>
      <c r="J2428">
        <v>1</v>
      </c>
      <c r="K2428">
        <v>1</v>
      </c>
    </row>
    <row r="2429" spans="7:11">
      <c r="G2429">
        <v>1</v>
      </c>
      <c r="H2429">
        <v>2</v>
      </c>
      <c r="I2429">
        <v>3</v>
      </c>
      <c r="J2429">
        <v>2</v>
      </c>
      <c r="K2429">
        <v>2</v>
      </c>
    </row>
    <row r="2430" spans="7:11">
      <c r="G2430">
        <v>1</v>
      </c>
      <c r="H2430">
        <v>2</v>
      </c>
      <c r="I2430">
        <v>4</v>
      </c>
      <c r="J2430">
        <v>1</v>
      </c>
      <c r="K2430">
        <v>1</v>
      </c>
    </row>
    <row r="2431" spans="7:11">
      <c r="G2431">
        <v>1</v>
      </c>
      <c r="H2431">
        <v>2</v>
      </c>
      <c r="I2431">
        <v>4</v>
      </c>
      <c r="J2431">
        <v>2</v>
      </c>
      <c r="K2431">
        <v>2</v>
      </c>
    </row>
    <row r="2432" spans="7:11">
      <c r="G2432">
        <v>1</v>
      </c>
      <c r="H2432">
        <v>2</v>
      </c>
      <c r="I2432">
        <v>5</v>
      </c>
      <c r="J2432">
        <v>1</v>
      </c>
      <c r="K2432">
        <v>1</v>
      </c>
    </row>
    <row r="2433" spans="7:11">
      <c r="G2433">
        <v>1</v>
      </c>
      <c r="H2433">
        <v>2</v>
      </c>
      <c r="I2433">
        <v>5</v>
      </c>
      <c r="J2433">
        <v>2</v>
      </c>
      <c r="K2433">
        <v>2</v>
      </c>
    </row>
    <row r="2434" spans="7:11">
      <c r="G2434">
        <v>1</v>
      </c>
      <c r="H2434">
        <v>3</v>
      </c>
      <c r="I2434">
        <v>1</v>
      </c>
      <c r="J2434">
        <v>1</v>
      </c>
      <c r="K2434">
        <v>1</v>
      </c>
    </row>
    <row r="2435" spans="7:11">
      <c r="G2435">
        <v>1</v>
      </c>
      <c r="H2435">
        <v>3</v>
      </c>
      <c r="I2435">
        <v>1</v>
      </c>
      <c r="J2435">
        <v>2</v>
      </c>
      <c r="K2435">
        <v>2</v>
      </c>
    </row>
    <row r="2436" spans="7:11">
      <c r="G2436">
        <v>1</v>
      </c>
      <c r="H2436">
        <v>3</v>
      </c>
      <c r="I2436">
        <v>2</v>
      </c>
      <c r="J2436">
        <v>1</v>
      </c>
      <c r="K2436">
        <v>1</v>
      </c>
    </row>
    <row r="2437" spans="7:11">
      <c r="G2437">
        <v>1</v>
      </c>
      <c r="H2437">
        <v>3</v>
      </c>
      <c r="I2437">
        <v>2</v>
      </c>
      <c r="J2437">
        <v>2</v>
      </c>
      <c r="K2437">
        <v>2</v>
      </c>
    </row>
    <row r="2438" spans="7:11">
      <c r="G2438">
        <v>1</v>
      </c>
      <c r="H2438">
        <v>3</v>
      </c>
      <c r="I2438">
        <v>3</v>
      </c>
      <c r="J2438">
        <v>1</v>
      </c>
      <c r="K2438">
        <v>1</v>
      </c>
    </row>
    <row r="2439" spans="7:11">
      <c r="G2439">
        <v>1</v>
      </c>
      <c r="H2439">
        <v>3</v>
      </c>
      <c r="I2439">
        <v>3</v>
      </c>
      <c r="J2439">
        <v>2</v>
      </c>
      <c r="K2439">
        <v>2</v>
      </c>
    </row>
    <row r="2440" spans="7:11">
      <c r="G2440">
        <v>1</v>
      </c>
      <c r="H2440">
        <v>3</v>
      </c>
      <c r="I2440">
        <v>4</v>
      </c>
      <c r="J2440">
        <v>1</v>
      </c>
      <c r="K2440">
        <v>1</v>
      </c>
    </row>
    <row r="2441" spans="7:11">
      <c r="G2441">
        <v>1</v>
      </c>
      <c r="H2441">
        <v>3</v>
      </c>
      <c r="I2441">
        <v>4</v>
      </c>
      <c r="J2441">
        <v>2</v>
      </c>
      <c r="K2441">
        <v>2</v>
      </c>
    </row>
    <row r="2442" spans="7:11">
      <c r="G2442">
        <v>1</v>
      </c>
      <c r="H2442">
        <v>3</v>
      </c>
      <c r="I2442">
        <v>5</v>
      </c>
      <c r="J2442">
        <v>1</v>
      </c>
      <c r="K2442">
        <v>1</v>
      </c>
    </row>
    <row r="2443" spans="7:11">
      <c r="G2443">
        <v>1</v>
      </c>
      <c r="H2443">
        <v>3</v>
      </c>
      <c r="I2443">
        <v>5</v>
      </c>
      <c r="J2443">
        <v>2</v>
      </c>
      <c r="K2443">
        <v>2</v>
      </c>
    </row>
    <row r="2444" spans="7:11">
      <c r="G2444">
        <v>2</v>
      </c>
      <c r="H2444">
        <v>1</v>
      </c>
      <c r="I2444">
        <v>3</v>
      </c>
      <c r="J2444">
        <v>1</v>
      </c>
      <c r="K2444">
        <v>1</v>
      </c>
    </row>
    <row r="2445" spans="7:11">
      <c r="G2445">
        <v>2</v>
      </c>
      <c r="H2445">
        <v>1</v>
      </c>
      <c r="I2445">
        <v>3</v>
      </c>
      <c r="J2445">
        <v>2</v>
      </c>
      <c r="K2445">
        <v>2</v>
      </c>
    </row>
    <row r="2446" spans="7:11">
      <c r="G2446">
        <v>2</v>
      </c>
      <c r="H2446">
        <v>1</v>
      </c>
      <c r="I2446">
        <v>4</v>
      </c>
      <c r="J2446">
        <v>1</v>
      </c>
      <c r="K2446">
        <v>1</v>
      </c>
    </row>
    <row r="2447" spans="7:11">
      <c r="G2447">
        <v>2</v>
      </c>
      <c r="H2447">
        <v>1</v>
      </c>
      <c r="I2447">
        <v>4</v>
      </c>
      <c r="J2447">
        <v>2</v>
      </c>
      <c r="K2447">
        <v>2</v>
      </c>
    </row>
    <row r="2448" spans="7:11">
      <c r="G2448">
        <v>2</v>
      </c>
      <c r="H2448">
        <v>1</v>
      </c>
      <c r="I2448">
        <v>5</v>
      </c>
      <c r="J2448">
        <v>1</v>
      </c>
      <c r="K2448">
        <v>1</v>
      </c>
    </row>
    <row r="2449" spans="7:11">
      <c r="G2449">
        <v>2</v>
      </c>
      <c r="H2449">
        <v>1</v>
      </c>
      <c r="I2449">
        <v>5</v>
      </c>
      <c r="J2449">
        <v>2</v>
      </c>
      <c r="K2449">
        <v>2</v>
      </c>
    </row>
    <row r="2450" spans="7:11">
      <c r="G2450">
        <v>2</v>
      </c>
      <c r="H2450">
        <v>2</v>
      </c>
      <c r="I2450">
        <v>1</v>
      </c>
      <c r="J2450">
        <v>1</v>
      </c>
      <c r="K2450">
        <v>1</v>
      </c>
    </row>
    <row r="2451" spans="7:11">
      <c r="G2451">
        <v>2</v>
      </c>
      <c r="H2451">
        <v>2</v>
      </c>
      <c r="I2451">
        <v>1</v>
      </c>
      <c r="J2451">
        <v>2</v>
      </c>
      <c r="K2451">
        <v>2</v>
      </c>
    </row>
    <row r="2452" spans="7:11">
      <c r="G2452">
        <v>2</v>
      </c>
      <c r="H2452">
        <v>2</v>
      </c>
      <c r="I2452">
        <v>2</v>
      </c>
      <c r="J2452">
        <v>1</v>
      </c>
      <c r="K2452">
        <v>1</v>
      </c>
    </row>
    <row r="2453" spans="7:11">
      <c r="G2453">
        <v>2</v>
      </c>
      <c r="H2453">
        <v>2</v>
      </c>
      <c r="I2453">
        <v>2</v>
      </c>
      <c r="J2453">
        <v>2</v>
      </c>
      <c r="K2453">
        <v>2</v>
      </c>
    </row>
    <row r="2454" spans="7:11">
      <c r="G2454">
        <v>2</v>
      </c>
      <c r="H2454">
        <v>2</v>
      </c>
      <c r="I2454">
        <v>3</v>
      </c>
      <c r="J2454">
        <v>1</v>
      </c>
      <c r="K2454">
        <v>1</v>
      </c>
    </row>
    <row r="2455" spans="7:11">
      <c r="G2455">
        <v>2</v>
      </c>
      <c r="H2455">
        <v>2</v>
      </c>
      <c r="I2455">
        <v>3</v>
      </c>
      <c r="J2455">
        <v>2</v>
      </c>
      <c r="K2455">
        <v>2</v>
      </c>
    </row>
    <row r="2456" spans="7:11">
      <c r="G2456">
        <v>2</v>
      </c>
      <c r="H2456">
        <v>2</v>
      </c>
      <c r="I2456">
        <v>4</v>
      </c>
      <c r="J2456">
        <v>1</v>
      </c>
      <c r="K2456">
        <v>1</v>
      </c>
    </row>
    <row r="2457" spans="7:11">
      <c r="G2457">
        <v>2</v>
      </c>
      <c r="H2457">
        <v>2</v>
      </c>
      <c r="I2457">
        <v>4</v>
      </c>
      <c r="J2457">
        <v>2</v>
      </c>
      <c r="K2457">
        <v>2</v>
      </c>
    </row>
    <row r="2458" spans="7:11">
      <c r="G2458">
        <v>2</v>
      </c>
      <c r="H2458">
        <v>2</v>
      </c>
      <c r="I2458">
        <v>5</v>
      </c>
      <c r="J2458">
        <v>1</v>
      </c>
      <c r="K2458">
        <v>1</v>
      </c>
    </row>
    <row r="2459" spans="7:11">
      <c r="G2459">
        <v>2</v>
      </c>
      <c r="H2459">
        <v>2</v>
      </c>
      <c r="I2459">
        <v>5</v>
      </c>
      <c r="J2459">
        <v>2</v>
      </c>
      <c r="K2459">
        <v>2</v>
      </c>
    </row>
    <row r="2460" spans="7:11">
      <c r="G2460">
        <v>2</v>
      </c>
      <c r="H2460">
        <v>3</v>
      </c>
      <c r="I2460">
        <v>1</v>
      </c>
      <c r="J2460">
        <v>1</v>
      </c>
      <c r="K2460">
        <v>1</v>
      </c>
    </row>
    <row r="2461" spans="7:11">
      <c r="G2461">
        <v>2</v>
      </c>
      <c r="H2461">
        <v>3</v>
      </c>
      <c r="I2461">
        <v>1</v>
      </c>
      <c r="J2461">
        <v>2</v>
      </c>
      <c r="K2461">
        <v>2</v>
      </c>
    </row>
    <row r="2462" spans="7:11">
      <c r="G2462">
        <v>2</v>
      </c>
      <c r="H2462">
        <v>3</v>
      </c>
      <c r="I2462">
        <v>2</v>
      </c>
      <c r="J2462">
        <v>1</v>
      </c>
      <c r="K2462">
        <v>1</v>
      </c>
    </row>
    <row r="2463" spans="7:11">
      <c r="G2463">
        <v>2</v>
      </c>
      <c r="H2463">
        <v>3</v>
      </c>
      <c r="I2463">
        <v>2</v>
      </c>
      <c r="J2463">
        <v>2</v>
      </c>
      <c r="K2463">
        <v>2</v>
      </c>
    </row>
    <row r="2464" spans="7:11">
      <c r="G2464">
        <v>2</v>
      </c>
      <c r="H2464">
        <v>3</v>
      </c>
      <c r="I2464">
        <v>3</v>
      </c>
      <c r="J2464">
        <v>1</v>
      </c>
      <c r="K2464">
        <v>1</v>
      </c>
    </row>
    <row r="2465" spans="7:11">
      <c r="G2465">
        <v>2</v>
      </c>
      <c r="H2465">
        <v>3</v>
      </c>
      <c r="I2465">
        <v>3</v>
      </c>
      <c r="J2465">
        <v>2</v>
      </c>
      <c r="K2465">
        <v>2</v>
      </c>
    </row>
    <row r="2466" spans="7:11">
      <c r="G2466">
        <v>2</v>
      </c>
      <c r="H2466">
        <v>3</v>
      </c>
      <c r="I2466">
        <v>4</v>
      </c>
      <c r="J2466">
        <v>1</v>
      </c>
      <c r="K2466">
        <v>1</v>
      </c>
    </row>
    <row r="2467" spans="7:11">
      <c r="G2467">
        <v>2</v>
      </c>
      <c r="H2467">
        <v>3</v>
      </c>
      <c r="I2467">
        <v>4</v>
      </c>
      <c r="J2467">
        <v>2</v>
      </c>
      <c r="K2467">
        <v>2</v>
      </c>
    </row>
    <row r="2468" spans="7:11">
      <c r="G2468">
        <v>2</v>
      </c>
      <c r="H2468">
        <v>3</v>
      </c>
      <c r="I2468">
        <v>5</v>
      </c>
      <c r="J2468">
        <v>1</v>
      </c>
      <c r="K2468">
        <v>1</v>
      </c>
    </row>
    <row r="2469" spans="7:11">
      <c r="G2469">
        <v>2</v>
      </c>
      <c r="H2469">
        <v>3</v>
      </c>
      <c r="I2469">
        <v>5</v>
      </c>
      <c r="J2469">
        <v>2</v>
      </c>
      <c r="K2469">
        <v>2</v>
      </c>
    </row>
    <row r="2470" spans="7:11">
      <c r="G2470">
        <v>3</v>
      </c>
      <c r="H2470">
        <v>1</v>
      </c>
      <c r="I2470">
        <v>3</v>
      </c>
      <c r="J2470">
        <v>1</v>
      </c>
      <c r="K2470">
        <v>1</v>
      </c>
    </row>
    <row r="2471" spans="7:11">
      <c r="G2471">
        <v>3</v>
      </c>
      <c r="H2471">
        <v>1</v>
      </c>
      <c r="I2471">
        <v>3</v>
      </c>
      <c r="J2471">
        <v>2</v>
      </c>
      <c r="K2471">
        <v>2</v>
      </c>
    </row>
    <row r="2472" spans="7:11">
      <c r="G2472">
        <v>3</v>
      </c>
      <c r="H2472">
        <v>1</v>
      </c>
      <c r="I2472">
        <v>4</v>
      </c>
      <c r="J2472">
        <v>1</v>
      </c>
      <c r="K2472">
        <v>1</v>
      </c>
    </row>
    <row r="2473" spans="7:11">
      <c r="G2473">
        <v>3</v>
      </c>
      <c r="H2473">
        <v>1</v>
      </c>
      <c r="I2473">
        <v>4</v>
      </c>
      <c r="J2473">
        <v>2</v>
      </c>
      <c r="K2473">
        <v>2</v>
      </c>
    </row>
    <row r="2474" spans="7:11">
      <c r="G2474">
        <v>3</v>
      </c>
      <c r="H2474">
        <v>1</v>
      </c>
      <c r="I2474">
        <v>5</v>
      </c>
      <c r="J2474">
        <v>1</v>
      </c>
      <c r="K2474">
        <v>1</v>
      </c>
    </row>
    <row r="2475" spans="7:11">
      <c r="G2475">
        <v>3</v>
      </c>
      <c r="H2475">
        <v>1</v>
      </c>
      <c r="I2475">
        <v>5</v>
      </c>
      <c r="J2475">
        <v>2</v>
      </c>
      <c r="K2475">
        <v>2</v>
      </c>
    </row>
    <row r="2476" spans="7:11">
      <c r="G2476">
        <v>3</v>
      </c>
      <c r="H2476">
        <v>2</v>
      </c>
      <c r="I2476">
        <v>1</v>
      </c>
      <c r="J2476">
        <v>1</v>
      </c>
      <c r="K2476">
        <v>1</v>
      </c>
    </row>
    <row r="2477" spans="7:11">
      <c r="G2477">
        <v>3</v>
      </c>
      <c r="H2477">
        <v>2</v>
      </c>
      <c r="I2477">
        <v>1</v>
      </c>
      <c r="J2477">
        <v>2</v>
      </c>
      <c r="K2477">
        <v>2</v>
      </c>
    </row>
    <row r="2478" spans="7:11">
      <c r="G2478">
        <v>3</v>
      </c>
      <c r="H2478">
        <v>2</v>
      </c>
      <c r="I2478">
        <v>2</v>
      </c>
      <c r="J2478">
        <v>1</v>
      </c>
      <c r="K2478">
        <v>1</v>
      </c>
    </row>
    <row r="2479" spans="7:11">
      <c r="G2479">
        <v>3</v>
      </c>
      <c r="H2479">
        <v>2</v>
      </c>
      <c r="I2479">
        <v>2</v>
      </c>
      <c r="J2479">
        <v>2</v>
      </c>
      <c r="K2479">
        <v>2</v>
      </c>
    </row>
    <row r="2480" spans="7:11">
      <c r="G2480">
        <v>3</v>
      </c>
      <c r="H2480">
        <v>2</v>
      </c>
      <c r="I2480">
        <v>3</v>
      </c>
      <c r="J2480">
        <v>1</v>
      </c>
      <c r="K2480">
        <v>1</v>
      </c>
    </row>
    <row r="2481" spans="7:11">
      <c r="G2481">
        <v>3</v>
      </c>
      <c r="H2481">
        <v>2</v>
      </c>
      <c r="I2481">
        <v>3</v>
      </c>
      <c r="J2481">
        <v>2</v>
      </c>
      <c r="K2481">
        <v>2</v>
      </c>
    </row>
    <row r="2482" spans="7:11">
      <c r="G2482">
        <v>3</v>
      </c>
      <c r="H2482">
        <v>2</v>
      </c>
      <c r="I2482">
        <v>4</v>
      </c>
      <c r="J2482">
        <v>1</v>
      </c>
      <c r="K2482">
        <v>1</v>
      </c>
    </row>
    <row r="2483" spans="7:11">
      <c r="G2483">
        <v>3</v>
      </c>
      <c r="H2483">
        <v>2</v>
      </c>
      <c r="I2483">
        <v>4</v>
      </c>
      <c r="J2483">
        <v>2</v>
      </c>
      <c r="K2483">
        <v>2</v>
      </c>
    </row>
    <row r="2484" spans="7:11">
      <c r="G2484">
        <v>3</v>
      </c>
      <c r="H2484">
        <v>2</v>
      </c>
      <c r="I2484">
        <v>5</v>
      </c>
      <c r="J2484">
        <v>1</v>
      </c>
      <c r="K2484">
        <v>1</v>
      </c>
    </row>
    <row r="2485" spans="7:11">
      <c r="G2485">
        <v>3</v>
      </c>
      <c r="H2485">
        <v>2</v>
      </c>
      <c r="I2485">
        <v>5</v>
      </c>
      <c r="J2485">
        <v>2</v>
      </c>
      <c r="K2485">
        <v>2</v>
      </c>
    </row>
    <row r="2486" spans="7:11">
      <c r="G2486">
        <v>3</v>
      </c>
      <c r="H2486">
        <v>3</v>
      </c>
      <c r="I2486">
        <v>1</v>
      </c>
      <c r="J2486">
        <v>1</v>
      </c>
      <c r="K2486">
        <v>1</v>
      </c>
    </row>
    <row r="2487" spans="7:11">
      <c r="G2487">
        <v>3</v>
      </c>
      <c r="H2487">
        <v>3</v>
      </c>
      <c r="I2487">
        <v>1</v>
      </c>
      <c r="J2487">
        <v>2</v>
      </c>
      <c r="K2487">
        <v>2</v>
      </c>
    </row>
    <row r="2488" spans="7:11">
      <c r="G2488">
        <v>3</v>
      </c>
      <c r="H2488">
        <v>3</v>
      </c>
      <c r="I2488">
        <v>2</v>
      </c>
      <c r="J2488">
        <v>1</v>
      </c>
      <c r="K2488">
        <v>1</v>
      </c>
    </row>
    <row r="2489" spans="7:11">
      <c r="G2489">
        <v>3</v>
      </c>
      <c r="H2489">
        <v>3</v>
      </c>
      <c r="I2489">
        <v>2</v>
      </c>
      <c r="J2489">
        <v>2</v>
      </c>
      <c r="K2489">
        <v>2</v>
      </c>
    </row>
    <row r="2490" spans="7:11">
      <c r="G2490">
        <v>3</v>
      </c>
      <c r="H2490">
        <v>3</v>
      </c>
      <c r="I2490">
        <v>3</v>
      </c>
      <c r="J2490">
        <v>1</v>
      </c>
      <c r="K2490">
        <v>1</v>
      </c>
    </row>
    <row r="2491" spans="7:11">
      <c r="G2491">
        <v>3</v>
      </c>
      <c r="H2491">
        <v>3</v>
      </c>
      <c r="I2491">
        <v>3</v>
      </c>
      <c r="J2491">
        <v>2</v>
      </c>
      <c r="K2491">
        <v>2</v>
      </c>
    </row>
    <row r="2492" spans="7:11">
      <c r="G2492">
        <v>3</v>
      </c>
      <c r="H2492">
        <v>3</v>
      </c>
      <c r="I2492">
        <v>4</v>
      </c>
      <c r="J2492">
        <v>1</v>
      </c>
      <c r="K2492">
        <v>1</v>
      </c>
    </row>
    <row r="2493" spans="7:11">
      <c r="G2493">
        <v>3</v>
      </c>
      <c r="H2493">
        <v>3</v>
      </c>
      <c r="I2493">
        <v>4</v>
      </c>
      <c r="J2493">
        <v>2</v>
      </c>
      <c r="K2493">
        <v>2</v>
      </c>
    </row>
    <row r="2494" spans="7:11">
      <c r="G2494">
        <v>3</v>
      </c>
      <c r="H2494">
        <v>3</v>
      </c>
      <c r="I2494">
        <v>5</v>
      </c>
      <c r="J2494">
        <v>1</v>
      </c>
      <c r="K2494">
        <v>1</v>
      </c>
    </row>
    <row r="2495" spans="7:11">
      <c r="G2495">
        <v>3</v>
      </c>
      <c r="H2495">
        <v>3</v>
      </c>
      <c r="I2495">
        <v>5</v>
      </c>
      <c r="J2495">
        <v>2</v>
      </c>
      <c r="K2495">
        <v>2</v>
      </c>
    </row>
    <row r="2496" spans="7:11">
      <c r="G2496">
        <v>4</v>
      </c>
      <c r="H2496">
        <v>1</v>
      </c>
      <c r="I2496">
        <v>3</v>
      </c>
      <c r="J2496">
        <v>1</v>
      </c>
      <c r="K2496">
        <v>1</v>
      </c>
    </row>
    <row r="2497" spans="7:11">
      <c r="G2497">
        <v>4</v>
      </c>
      <c r="H2497">
        <v>1</v>
      </c>
      <c r="I2497">
        <v>3</v>
      </c>
      <c r="J2497">
        <v>2</v>
      </c>
      <c r="K2497">
        <v>2</v>
      </c>
    </row>
    <row r="2498" spans="7:11">
      <c r="G2498">
        <v>4</v>
      </c>
      <c r="H2498">
        <v>1</v>
      </c>
      <c r="I2498">
        <v>4</v>
      </c>
      <c r="J2498">
        <v>1</v>
      </c>
      <c r="K2498">
        <v>1</v>
      </c>
    </row>
    <row r="2499" spans="7:11">
      <c r="G2499">
        <v>4</v>
      </c>
      <c r="H2499">
        <v>1</v>
      </c>
      <c r="I2499">
        <v>4</v>
      </c>
      <c r="J2499">
        <v>2</v>
      </c>
      <c r="K2499">
        <v>2</v>
      </c>
    </row>
    <row r="2500" spans="7:11">
      <c r="G2500">
        <v>4</v>
      </c>
      <c r="H2500">
        <v>1</v>
      </c>
      <c r="I2500">
        <v>5</v>
      </c>
      <c r="J2500">
        <v>1</v>
      </c>
      <c r="K2500">
        <v>1</v>
      </c>
    </row>
    <row r="2501" spans="7:11">
      <c r="G2501">
        <v>4</v>
      </c>
      <c r="H2501">
        <v>1</v>
      </c>
      <c r="I2501">
        <v>5</v>
      </c>
      <c r="J2501">
        <v>2</v>
      </c>
      <c r="K2501">
        <v>2</v>
      </c>
    </row>
    <row r="2502" spans="7:11">
      <c r="G2502">
        <v>4</v>
      </c>
      <c r="H2502">
        <v>2</v>
      </c>
      <c r="I2502">
        <v>1</v>
      </c>
      <c r="J2502">
        <v>1</v>
      </c>
      <c r="K2502">
        <v>1</v>
      </c>
    </row>
    <row r="2503" spans="7:11">
      <c r="G2503">
        <v>4</v>
      </c>
      <c r="H2503">
        <v>2</v>
      </c>
      <c r="I2503">
        <v>1</v>
      </c>
      <c r="J2503">
        <v>2</v>
      </c>
      <c r="K2503">
        <v>2</v>
      </c>
    </row>
    <row r="2504" spans="7:11">
      <c r="G2504">
        <v>4</v>
      </c>
      <c r="H2504">
        <v>2</v>
      </c>
      <c r="I2504">
        <v>2</v>
      </c>
      <c r="J2504">
        <v>1</v>
      </c>
      <c r="K2504">
        <v>1</v>
      </c>
    </row>
    <row r="2505" spans="7:11">
      <c r="G2505">
        <v>4</v>
      </c>
      <c r="H2505">
        <v>2</v>
      </c>
      <c r="I2505">
        <v>2</v>
      </c>
      <c r="J2505">
        <v>2</v>
      </c>
      <c r="K2505">
        <v>2</v>
      </c>
    </row>
    <row r="2506" spans="7:11">
      <c r="G2506">
        <v>4</v>
      </c>
      <c r="H2506">
        <v>2</v>
      </c>
      <c r="I2506">
        <v>3</v>
      </c>
      <c r="J2506">
        <v>1</v>
      </c>
      <c r="K2506">
        <v>1</v>
      </c>
    </row>
    <row r="2507" spans="7:11">
      <c r="G2507">
        <v>4</v>
      </c>
      <c r="H2507">
        <v>2</v>
      </c>
      <c r="I2507">
        <v>3</v>
      </c>
      <c r="J2507">
        <v>2</v>
      </c>
      <c r="K2507">
        <v>2</v>
      </c>
    </row>
    <row r="2508" spans="7:11">
      <c r="G2508">
        <v>4</v>
      </c>
      <c r="H2508">
        <v>2</v>
      </c>
      <c r="I2508">
        <v>4</v>
      </c>
      <c r="J2508">
        <v>1</v>
      </c>
      <c r="K2508">
        <v>1</v>
      </c>
    </row>
    <row r="2509" spans="7:11">
      <c r="G2509">
        <v>4</v>
      </c>
      <c r="H2509">
        <v>2</v>
      </c>
      <c r="I2509">
        <v>4</v>
      </c>
      <c r="J2509">
        <v>2</v>
      </c>
      <c r="K2509">
        <v>2</v>
      </c>
    </row>
    <row r="2510" spans="7:11">
      <c r="G2510">
        <v>4</v>
      </c>
      <c r="H2510">
        <v>2</v>
      </c>
      <c r="I2510">
        <v>5</v>
      </c>
      <c r="J2510">
        <v>1</v>
      </c>
      <c r="K2510">
        <v>1</v>
      </c>
    </row>
    <row r="2511" spans="7:11">
      <c r="G2511">
        <v>4</v>
      </c>
      <c r="H2511">
        <v>2</v>
      </c>
      <c r="I2511">
        <v>5</v>
      </c>
      <c r="J2511">
        <v>2</v>
      </c>
      <c r="K2511">
        <v>2</v>
      </c>
    </row>
    <row r="2512" spans="7:11">
      <c r="G2512">
        <v>4</v>
      </c>
      <c r="H2512">
        <v>3</v>
      </c>
      <c r="I2512">
        <v>1</v>
      </c>
      <c r="J2512">
        <v>1</v>
      </c>
      <c r="K2512">
        <v>1</v>
      </c>
    </row>
    <row r="2513" spans="7:11">
      <c r="G2513">
        <v>4</v>
      </c>
      <c r="H2513">
        <v>3</v>
      </c>
      <c r="I2513">
        <v>1</v>
      </c>
      <c r="J2513">
        <v>2</v>
      </c>
      <c r="K2513">
        <v>2</v>
      </c>
    </row>
    <row r="2514" spans="7:11">
      <c r="G2514">
        <v>4</v>
      </c>
      <c r="H2514">
        <v>3</v>
      </c>
      <c r="I2514">
        <v>2</v>
      </c>
      <c r="J2514">
        <v>1</v>
      </c>
      <c r="K2514">
        <v>1</v>
      </c>
    </row>
    <row r="2515" spans="7:11">
      <c r="G2515">
        <v>4</v>
      </c>
      <c r="H2515">
        <v>3</v>
      </c>
      <c r="I2515">
        <v>2</v>
      </c>
      <c r="J2515">
        <v>2</v>
      </c>
      <c r="K2515">
        <v>2</v>
      </c>
    </row>
    <row r="2516" spans="7:11">
      <c r="G2516">
        <v>4</v>
      </c>
      <c r="H2516">
        <v>3</v>
      </c>
      <c r="I2516">
        <v>3</v>
      </c>
      <c r="J2516">
        <v>1</v>
      </c>
      <c r="K2516">
        <v>1</v>
      </c>
    </row>
    <row r="2517" spans="7:11">
      <c r="G2517">
        <v>4</v>
      </c>
      <c r="H2517">
        <v>3</v>
      </c>
      <c r="I2517">
        <v>3</v>
      </c>
      <c r="J2517">
        <v>2</v>
      </c>
      <c r="K2517">
        <v>2</v>
      </c>
    </row>
    <row r="2518" spans="7:11">
      <c r="G2518">
        <v>4</v>
      </c>
      <c r="H2518">
        <v>3</v>
      </c>
      <c r="I2518">
        <v>4</v>
      </c>
      <c r="J2518">
        <v>1</v>
      </c>
      <c r="K2518">
        <v>1</v>
      </c>
    </row>
    <row r="2519" spans="7:11">
      <c r="G2519">
        <v>4</v>
      </c>
      <c r="H2519">
        <v>3</v>
      </c>
      <c r="I2519">
        <v>4</v>
      </c>
      <c r="J2519">
        <v>2</v>
      </c>
      <c r="K2519">
        <v>2</v>
      </c>
    </row>
    <row r="2520" spans="7:11">
      <c r="G2520">
        <v>4</v>
      </c>
      <c r="H2520">
        <v>3</v>
      </c>
      <c r="I2520">
        <v>5</v>
      </c>
      <c r="J2520">
        <v>1</v>
      </c>
      <c r="K2520">
        <v>1</v>
      </c>
    </row>
    <row r="2521" spans="7:11">
      <c r="G2521">
        <v>4</v>
      </c>
      <c r="H2521">
        <v>3</v>
      </c>
      <c r="I2521">
        <v>5</v>
      </c>
      <c r="J2521">
        <v>2</v>
      </c>
      <c r="K2521">
        <v>2</v>
      </c>
    </row>
    <row r="2522" spans="7:11">
      <c r="G2522">
        <v>1</v>
      </c>
      <c r="H2522">
        <v>2</v>
      </c>
      <c r="I2522">
        <v>1</v>
      </c>
      <c r="J2522">
        <v>1</v>
      </c>
      <c r="K2522">
        <v>1</v>
      </c>
    </row>
    <row r="2523" spans="7:11">
      <c r="G2523">
        <v>1</v>
      </c>
      <c r="H2523">
        <v>2</v>
      </c>
      <c r="I2523">
        <v>1</v>
      </c>
      <c r="J2523">
        <v>2</v>
      </c>
      <c r="K2523">
        <v>2</v>
      </c>
    </row>
    <row r="2524" spans="7:11">
      <c r="G2524">
        <v>1</v>
      </c>
      <c r="H2524">
        <v>2</v>
      </c>
      <c r="I2524">
        <v>2</v>
      </c>
      <c r="J2524">
        <v>1</v>
      </c>
      <c r="K2524">
        <v>1</v>
      </c>
    </row>
    <row r="2525" spans="7:11">
      <c r="G2525">
        <v>1</v>
      </c>
      <c r="H2525">
        <v>2</v>
      </c>
      <c r="I2525">
        <v>2</v>
      </c>
      <c r="J2525">
        <v>2</v>
      </c>
      <c r="K2525">
        <v>2</v>
      </c>
    </row>
    <row r="2526" spans="7:11">
      <c r="G2526">
        <v>1</v>
      </c>
      <c r="H2526">
        <v>2</v>
      </c>
      <c r="I2526">
        <v>3</v>
      </c>
      <c r="J2526">
        <v>1</v>
      </c>
      <c r="K2526">
        <v>1</v>
      </c>
    </row>
    <row r="2527" spans="7:11">
      <c r="G2527">
        <v>1</v>
      </c>
      <c r="H2527">
        <v>2</v>
      </c>
      <c r="I2527">
        <v>3</v>
      </c>
      <c r="J2527">
        <v>2</v>
      </c>
      <c r="K2527">
        <v>2</v>
      </c>
    </row>
    <row r="2528" spans="7:11">
      <c r="G2528">
        <v>1</v>
      </c>
      <c r="H2528">
        <v>2</v>
      </c>
      <c r="I2528">
        <v>4</v>
      </c>
      <c r="J2528">
        <v>1</v>
      </c>
      <c r="K2528">
        <v>1</v>
      </c>
    </row>
    <row r="2529" spans="7:11">
      <c r="G2529">
        <v>1</v>
      </c>
      <c r="H2529">
        <v>2</v>
      </c>
      <c r="I2529">
        <v>4</v>
      </c>
      <c r="J2529">
        <v>2</v>
      </c>
      <c r="K2529">
        <v>2</v>
      </c>
    </row>
    <row r="2530" spans="7:11">
      <c r="G2530">
        <v>1</v>
      </c>
      <c r="H2530">
        <v>2</v>
      </c>
      <c r="I2530">
        <v>5</v>
      </c>
      <c r="J2530">
        <v>1</v>
      </c>
      <c r="K2530">
        <v>1</v>
      </c>
    </row>
    <row r="2531" spans="7:11">
      <c r="G2531">
        <v>1</v>
      </c>
      <c r="H2531">
        <v>2</v>
      </c>
      <c r="I2531">
        <v>5</v>
      </c>
      <c r="J2531">
        <v>2</v>
      </c>
      <c r="K2531">
        <v>2</v>
      </c>
    </row>
    <row r="2532" spans="7:11">
      <c r="G2532">
        <v>1</v>
      </c>
      <c r="H2532">
        <v>3</v>
      </c>
      <c r="I2532">
        <v>1</v>
      </c>
      <c r="J2532">
        <v>1</v>
      </c>
      <c r="K2532">
        <v>1</v>
      </c>
    </row>
    <row r="2533" spans="7:11">
      <c r="G2533">
        <v>1</v>
      </c>
      <c r="H2533">
        <v>3</v>
      </c>
      <c r="I2533">
        <v>1</v>
      </c>
      <c r="J2533">
        <v>2</v>
      </c>
      <c r="K2533">
        <v>2</v>
      </c>
    </row>
    <row r="2534" spans="7:11">
      <c r="G2534">
        <v>1</v>
      </c>
      <c r="H2534">
        <v>3</v>
      </c>
      <c r="I2534">
        <v>2</v>
      </c>
      <c r="J2534">
        <v>1</v>
      </c>
      <c r="K2534">
        <v>1</v>
      </c>
    </row>
    <row r="2535" spans="7:11">
      <c r="G2535">
        <v>1</v>
      </c>
      <c r="H2535">
        <v>3</v>
      </c>
      <c r="I2535">
        <v>2</v>
      </c>
      <c r="J2535">
        <v>2</v>
      </c>
      <c r="K2535">
        <v>2</v>
      </c>
    </row>
    <row r="2536" spans="7:11">
      <c r="G2536">
        <v>1</v>
      </c>
      <c r="H2536">
        <v>3</v>
      </c>
      <c r="I2536">
        <v>3</v>
      </c>
      <c r="J2536">
        <v>1</v>
      </c>
      <c r="K2536">
        <v>1</v>
      </c>
    </row>
    <row r="2537" spans="7:11">
      <c r="G2537">
        <v>1</v>
      </c>
      <c r="H2537">
        <v>3</v>
      </c>
      <c r="I2537">
        <v>3</v>
      </c>
      <c r="J2537">
        <v>2</v>
      </c>
      <c r="K2537">
        <v>2</v>
      </c>
    </row>
    <row r="2538" spans="7:11">
      <c r="G2538">
        <v>1</v>
      </c>
      <c r="H2538">
        <v>3</v>
      </c>
      <c r="I2538">
        <v>4</v>
      </c>
      <c r="J2538">
        <v>1</v>
      </c>
      <c r="K2538">
        <v>1</v>
      </c>
    </row>
    <row r="2539" spans="7:11">
      <c r="G2539">
        <v>1</v>
      </c>
      <c r="H2539">
        <v>3</v>
      </c>
      <c r="I2539">
        <v>4</v>
      </c>
      <c r="J2539">
        <v>2</v>
      </c>
      <c r="K2539">
        <v>2</v>
      </c>
    </row>
    <row r="2540" spans="7:11">
      <c r="G2540">
        <v>1</v>
      </c>
      <c r="H2540">
        <v>3</v>
      </c>
      <c r="I2540">
        <v>5</v>
      </c>
      <c r="J2540">
        <v>1</v>
      </c>
      <c r="K2540">
        <v>1</v>
      </c>
    </row>
    <row r="2541" spans="7:11">
      <c r="G2541">
        <v>1</v>
      </c>
      <c r="H2541">
        <v>3</v>
      </c>
      <c r="I2541">
        <v>5</v>
      </c>
      <c r="J2541">
        <v>2</v>
      </c>
      <c r="K2541">
        <v>2</v>
      </c>
    </row>
    <row r="2542" spans="7:11">
      <c r="G2542">
        <v>2</v>
      </c>
      <c r="H2542">
        <v>1</v>
      </c>
      <c r="I2542">
        <v>3</v>
      </c>
      <c r="J2542">
        <v>1</v>
      </c>
      <c r="K2542">
        <v>1</v>
      </c>
    </row>
    <row r="2543" spans="7:11">
      <c r="G2543">
        <v>2</v>
      </c>
      <c r="H2543">
        <v>1</v>
      </c>
      <c r="I2543">
        <v>3</v>
      </c>
      <c r="J2543">
        <v>2</v>
      </c>
      <c r="K2543">
        <v>2</v>
      </c>
    </row>
    <row r="2544" spans="7:11">
      <c r="G2544">
        <v>2</v>
      </c>
      <c r="H2544">
        <v>1</v>
      </c>
      <c r="I2544">
        <v>4</v>
      </c>
      <c r="J2544">
        <v>1</v>
      </c>
      <c r="K2544">
        <v>1</v>
      </c>
    </row>
    <row r="2545" spans="7:11">
      <c r="G2545">
        <v>2</v>
      </c>
      <c r="H2545">
        <v>1</v>
      </c>
      <c r="I2545">
        <v>4</v>
      </c>
      <c r="J2545">
        <v>2</v>
      </c>
      <c r="K2545">
        <v>2</v>
      </c>
    </row>
    <row r="2546" spans="7:11">
      <c r="G2546">
        <v>2</v>
      </c>
      <c r="H2546">
        <v>1</v>
      </c>
      <c r="I2546">
        <v>5</v>
      </c>
      <c r="J2546">
        <v>1</v>
      </c>
      <c r="K2546">
        <v>1</v>
      </c>
    </row>
    <row r="2547" spans="7:11">
      <c r="G2547">
        <v>2</v>
      </c>
      <c r="H2547">
        <v>1</v>
      </c>
      <c r="I2547">
        <v>5</v>
      </c>
      <c r="J2547">
        <v>2</v>
      </c>
      <c r="K2547">
        <v>2</v>
      </c>
    </row>
    <row r="2548" spans="7:11">
      <c r="G2548">
        <v>2</v>
      </c>
      <c r="H2548">
        <v>2</v>
      </c>
      <c r="I2548">
        <v>1</v>
      </c>
      <c r="J2548">
        <v>1</v>
      </c>
      <c r="K2548">
        <v>1</v>
      </c>
    </row>
    <row r="2549" spans="7:11">
      <c r="G2549">
        <v>2</v>
      </c>
      <c r="H2549">
        <v>2</v>
      </c>
      <c r="I2549">
        <v>1</v>
      </c>
      <c r="J2549">
        <v>2</v>
      </c>
      <c r="K2549">
        <v>2</v>
      </c>
    </row>
    <row r="2550" spans="7:11">
      <c r="G2550">
        <v>2</v>
      </c>
      <c r="H2550">
        <v>2</v>
      </c>
      <c r="I2550">
        <v>2</v>
      </c>
      <c r="J2550">
        <v>1</v>
      </c>
      <c r="K2550">
        <v>1</v>
      </c>
    </row>
    <row r="2551" spans="7:11">
      <c r="G2551">
        <v>2</v>
      </c>
      <c r="H2551">
        <v>2</v>
      </c>
      <c r="I2551">
        <v>2</v>
      </c>
      <c r="J2551">
        <v>2</v>
      </c>
      <c r="K2551">
        <v>2</v>
      </c>
    </row>
    <row r="2552" spans="7:11">
      <c r="G2552">
        <v>2</v>
      </c>
      <c r="H2552">
        <v>2</v>
      </c>
      <c r="I2552">
        <v>3</v>
      </c>
      <c r="J2552">
        <v>1</v>
      </c>
      <c r="K2552">
        <v>1</v>
      </c>
    </row>
    <row r="2553" spans="7:11">
      <c r="G2553">
        <v>2</v>
      </c>
      <c r="H2553">
        <v>2</v>
      </c>
      <c r="I2553">
        <v>3</v>
      </c>
      <c r="J2553">
        <v>2</v>
      </c>
      <c r="K2553">
        <v>2</v>
      </c>
    </row>
    <row r="2554" spans="7:11">
      <c r="G2554">
        <v>2</v>
      </c>
      <c r="H2554">
        <v>2</v>
      </c>
      <c r="I2554">
        <v>4</v>
      </c>
      <c r="J2554">
        <v>1</v>
      </c>
      <c r="K2554">
        <v>1</v>
      </c>
    </row>
    <row r="2555" spans="7:11">
      <c r="G2555">
        <v>2</v>
      </c>
      <c r="H2555">
        <v>2</v>
      </c>
      <c r="I2555">
        <v>4</v>
      </c>
      <c r="J2555">
        <v>2</v>
      </c>
      <c r="K2555">
        <v>2</v>
      </c>
    </row>
    <row r="2556" spans="7:11">
      <c r="G2556">
        <v>2</v>
      </c>
      <c r="H2556">
        <v>2</v>
      </c>
      <c r="I2556">
        <v>5</v>
      </c>
      <c r="J2556">
        <v>1</v>
      </c>
      <c r="K2556">
        <v>1</v>
      </c>
    </row>
    <row r="2557" spans="7:11">
      <c r="G2557">
        <v>2</v>
      </c>
      <c r="H2557">
        <v>2</v>
      </c>
      <c r="I2557">
        <v>5</v>
      </c>
      <c r="J2557">
        <v>2</v>
      </c>
      <c r="K2557">
        <v>2</v>
      </c>
    </row>
    <row r="2558" spans="7:11">
      <c r="G2558">
        <v>2</v>
      </c>
      <c r="H2558">
        <v>3</v>
      </c>
      <c r="I2558">
        <v>1</v>
      </c>
      <c r="J2558">
        <v>1</v>
      </c>
      <c r="K2558">
        <v>1</v>
      </c>
    </row>
    <row r="2559" spans="7:11">
      <c r="G2559">
        <v>2</v>
      </c>
      <c r="H2559">
        <v>3</v>
      </c>
      <c r="I2559">
        <v>1</v>
      </c>
      <c r="J2559">
        <v>2</v>
      </c>
      <c r="K2559">
        <v>2</v>
      </c>
    </row>
    <row r="2560" spans="7:11">
      <c r="G2560">
        <v>2</v>
      </c>
      <c r="H2560">
        <v>3</v>
      </c>
      <c r="I2560">
        <v>2</v>
      </c>
      <c r="J2560">
        <v>1</v>
      </c>
      <c r="K2560">
        <v>1</v>
      </c>
    </row>
    <row r="2561" spans="7:11">
      <c r="G2561">
        <v>2</v>
      </c>
      <c r="H2561">
        <v>3</v>
      </c>
      <c r="I2561">
        <v>2</v>
      </c>
      <c r="J2561">
        <v>2</v>
      </c>
      <c r="K2561">
        <v>2</v>
      </c>
    </row>
    <row r="2562" spans="7:11">
      <c r="G2562">
        <v>2</v>
      </c>
      <c r="H2562">
        <v>3</v>
      </c>
      <c r="I2562">
        <v>3</v>
      </c>
      <c r="J2562">
        <v>1</v>
      </c>
      <c r="K2562">
        <v>1</v>
      </c>
    </row>
    <row r="2563" spans="7:11">
      <c r="G2563">
        <v>2</v>
      </c>
      <c r="H2563">
        <v>3</v>
      </c>
      <c r="I2563">
        <v>3</v>
      </c>
      <c r="J2563">
        <v>2</v>
      </c>
      <c r="K2563">
        <v>2</v>
      </c>
    </row>
    <row r="2564" spans="7:11">
      <c r="G2564">
        <v>2</v>
      </c>
      <c r="H2564">
        <v>3</v>
      </c>
      <c r="I2564">
        <v>4</v>
      </c>
      <c r="J2564">
        <v>1</v>
      </c>
      <c r="K2564">
        <v>1</v>
      </c>
    </row>
    <row r="2565" spans="7:11">
      <c r="G2565">
        <v>2</v>
      </c>
      <c r="H2565">
        <v>3</v>
      </c>
      <c r="I2565">
        <v>4</v>
      </c>
      <c r="J2565">
        <v>2</v>
      </c>
      <c r="K2565">
        <v>2</v>
      </c>
    </row>
    <row r="2566" spans="7:11">
      <c r="G2566">
        <v>2</v>
      </c>
      <c r="H2566">
        <v>3</v>
      </c>
      <c r="I2566">
        <v>5</v>
      </c>
      <c r="J2566">
        <v>1</v>
      </c>
      <c r="K2566">
        <v>1</v>
      </c>
    </row>
    <row r="2567" spans="7:11">
      <c r="G2567">
        <v>2</v>
      </c>
      <c r="H2567">
        <v>3</v>
      </c>
      <c r="I2567">
        <v>5</v>
      </c>
      <c r="J2567">
        <v>2</v>
      </c>
      <c r="K2567">
        <v>2</v>
      </c>
    </row>
    <row r="2568" spans="7:11">
      <c r="G2568">
        <v>3</v>
      </c>
      <c r="H2568">
        <v>1</v>
      </c>
      <c r="I2568">
        <v>3</v>
      </c>
      <c r="J2568">
        <v>1</v>
      </c>
      <c r="K2568">
        <v>1</v>
      </c>
    </row>
    <row r="2569" spans="7:11">
      <c r="G2569">
        <v>3</v>
      </c>
      <c r="H2569">
        <v>1</v>
      </c>
      <c r="I2569">
        <v>3</v>
      </c>
      <c r="J2569">
        <v>2</v>
      </c>
      <c r="K2569">
        <v>2</v>
      </c>
    </row>
    <row r="2570" spans="7:11">
      <c r="G2570">
        <v>3</v>
      </c>
      <c r="H2570">
        <v>1</v>
      </c>
      <c r="I2570">
        <v>4</v>
      </c>
      <c r="J2570">
        <v>1</v>
      </c>
      <c r="K2570">
        <v>1</v>
      </c>
    </row>
    <row r="2571" spans="7:11">
      <c r="G2571">
        <v>3</v>
      </c>
      <c r="H2571">
        <v>1</v>
      </c>
      <c r="I2571">
        <v>4</v>
      </c>
      <c r="J2571">
        <v>2</v>
      </c>
      <c r="K2571">
        <v>2</v>
      </c>
    </row>
    <row r="2572" spans="7:11">
      <c r="G2572">
        <v>3</v>
      </c>
      <c r="H2572">
        <v>1</v>
      </c>
      <c r="I2572">
        <v>5</v>
      </c>
      <c r="J2572">
        <v>1</v>
      </c>
      <c r="K2572">
        <v>1</v>
      </c>
    </row>
    <row r="2573" spans="7:11">
      <c r="G2573">
        <v>3</v>
      </c>
      <c r="H2573">
        <v>1</v>
      </c>
      <c r="I2573">
        <v>5</v>
      </c>
      <c r="J2573">
        <v>2</v>
      </c>
      <c r="K2573">
        <v>2</v>
      </c>
    </row>
    <row r="2574" spans="7:11">
      <c r="G2574">
        <v>3</v>
      </c>
      <c r="H2574">
        <v>2</v>
      </c>
      <c r="I2574">
        <v>1</v>
      </c>
      <c r="J2574">
        <v>1</v>
      </c>
      <c r="K2574">
        <v>1</v>
      </c>
    </row>
    <row r="2575" spans="7:11">
      <c r="G2575">
        <v>3</v>
      </c>
      <c r="H2575">
        <v>2</v>
      </c>
      <c r="I2575">
        <v>1</v>
      </c>
      <c r="J2575">
        <v>2</v>
      </c>
      <c r="K2575">
        <v>2</v>
      </c>
    </row>
    <row r="2576" spans="7:11">
      <c r="G2576">
        <v>3</v>
      </c>
      <c r="H2576">
        <v>2</v>
      </c>
      <c r="I2576">
        <v>2</v>
      </c>
      <c r="J2576">
        <v>1</v>
      </c>
      <c r="K2576">
        <v>1</v>
      </c>
    </row>
    <row r="2577" spans="7:11">
      <c r="G2577">
        <v>3</v>
      </c>
      <c r="H2577">
        <v>2</v>
      </c>
      <c r="I2577">
        <v>2</v>
      </c>
      <c r="J2577">
        <v>2</v>
      </c>
      <c r="K2577">
        <v>2</v>
      </c>
    </row>
    <row r="2578" spans="7:11">
      <c r="G2578">
        <v>3</v>
      </c>
      <c r="H2578">
        <v>2</v>
      </c>
      <c r="I2578">
        <v>3</v>
      </c>
      <c r="J2578">
        <v>1</v>
      </c>
      <c r="K2578">
        <v>1</v>
      </c>
    </row>
    <row r="2579" spans="7:11">
      <c r="G2579">
        <v>3</v>
      </c>
      <c r="H2579">
        <v>2</v>
      </c>
      <c r="I2579">
        <v>3</v>
      </c>
      <c r="J2579">
        <v>2</v>
      </c>
      <c r="K2579">
        <v>2</v>
      </c>
    </row>
    <row r="2580" spans="7:11">
      <c r="G2580">
        <v>3</v>
      </c>
      <c r="H2580">
        <v>2</v>
      </c>
      <c r="I2580">
        <v>4</v>
      </c>
      <c r="J2580">
        <v>1</v>
      </c>
      <c r="K2580">
        <v>1</v>
      </c>
    </row>
    <row r="2581" spans="7:11">
      <c r="G2581">
        <v>3</v>
      </c>
      <c r="H2581">
        <v>2</v>
      </c>
      <c r="I2581">
        <v>4</v>
      </c>
      <c r="J2581">
        <v>2</v>
      </c>
      <c r="K2581">
        <v>2</v>
      </c>
    </row>
    <row r="2582" spans="7:11">
      <c r="G2582">
        <v>3</v>
      </c>
      <c r="H2582">
        <v>2</v>
      </c>
      <c r="I2582">
        <v>5</v>
      </c>
      <c r="J2582">
        <v>1</v>
      </c>
      <c r="K2582">
        <v>1</v>
      </c>
    </row>
    <row r="2583" spans="7:11">
      <c r="G2583">
        <v>3</v>
      </c>
      <c r="H2583">
        <v>2</v>
      </c>
      <c r="I2583">
        <v>5</v>
      </c>
      <c r="J2583">
        <v>2</v>
      </c>
      <c r="K2583">
        <v>2</v>
      </c>
    </row>
    <row r="2584" spans="7:11">
      <c r="G2584">
        <v>3</v>
      </c>
      <c r="H2584">
        <v>3</v>
      </c>
      <c r="I2584">
        <v>1</v>
      </c>
      <c r="J2584">
        <v>1</v>
      </c>
      <c r="K2584">
        <v>1</v>
      </c>
    </row>
    <row r="2585" spans="7:11">
      <c r="G2585">
        <v>3</v>
      </c>
      <c r="H2585">
        <v>3</v>
      </c>
      <c r="I2585">
        <v>1</v>
      </c>
      <c r="J2585">
        <v>2</v>
      </c>
      <c r="K2585">
        <v>2</v>
      </c>
    </row>
    <row r="2586" spans="7:11">
      <c r="G2586">
        <v>3</v>
      </c>
      <c r="H2586">
        <v>3</v>
      </c>
      <c r="I2586">
        <v>2</v>
      </c>
      <c r="J2586">
        <v>1</v>
      </c>
      <c r="K2586">
        <v>1</v>
      </c>
    </row>
    <row r="2587" spans="7:11">
      <c r="G2587">
        <v>3</v>
      </c>
      <c r="H2587">
        <v>3</v>
      </c>
      <c r="I2587">
        <v>2</v>
      </c>
      <c r="J2587">
        <v>2</v>
      </c>
      <c r="K2587">
        <v>2</v>
      </c>
    </row>
    <row r="2588" spans="7:11">
      <c r="G2588">
        <v>3</v>
      </c>
      <c r="H2588">
        <v>3</v>
      </c>
      <c r="I2588">
        <v>3</v>
      </c>
      <c r="J2588">
        <v>1</v>
      </c>
      <c r="K2588">
        <v>1</v>
      </c>
    </row>
    <row r="2589" spans="7:11">
      <c r="G2589">
        <v>3</v>
      </c>
      <c r="H2589">
        <v>3</v>
      </c>
      <c r="I2589">
        <v>3</v>
      </c>
      <c r="J2589">
        <v>2</v>
      </c>
      <c r="K2589">
        <v>2</v>
      </c>
    </row>
    <row r="2590" spans="7:11">
      <c r="G2590">
        <v>3</v>
      </c>
      <c r="H2590">
        <v>3</v>
      </c>
      <c r="I2590">
        <v>4</v>
      </c>
      <c r="J2590">
        <v>1</v>
      </c>
      <c r="K2590">
        <v>1</v>
      </c>
    </row>
    <row r="2591" spans="7:11">
      <c r="G2591">
        <v>3</v>
      </c>
      <c r="H2591">
        <v>3</v>
      </c>
      <c r="I2591">
        <v>4</v>
      </c>
      <c r="J2591">
        <v>2</v>
      </c>
      <c r="K2591">
        <v>2</v>
      </c>
    </row>
    <row r="2592" spans="7:11">
      <c r="G2592">
        <v>3</v>
      </c>
      <c r="H2592">
        <v>3</v>
      </c>
      <c r="I2592">
        <v>5</v>
      </c>
      <c r="J2592">
        <v>1</v>
      </c>
      <c r="K2592">
        <v>1</v>
      </c>
    </row>
    <row r="2593" spans="7:11">
      <c r="G2593">
        <v>3</v>
      </c>
      <c r="H2593">
        <v>3</v>
      </c>
      <c r="I2593">
        <v>5</v>
      </c>
      <c r="J2593">
        <v>2</v>
      </c>
      <c r="K2593">
        <v>2</v>
      </c>
    </row>
    <row r="2594" spans="7:11">
      <c r="G2594">
        <v>4</v>
      </c>
      <c r="H2594">
        <v>1</v>
      </c>
      <c r="I2594">
        <v>3</v>
      </c>
      <c r="J2594">
        <v>1</v>
      </c>
      <c r="K2594">
        <v>1</v>
      </c>
    </row>
    <row r="2595" spans="7:11">
      <c r="G2595">
        <v>4</v>
      </c>
      <c r="H2595">
        <v>1</v>
      </c>
      <c r="I2595">
        <v>3</v>
      </c>
      <c r="J2595">
        <v>2</v>
      </c>
      <c r="K2595">
        <v>2</v>
      </c>
    </row>
    <row r="2596" spans="7:11">
      <c r="G2596">
        <v>4</v>
      </c>
      <c r="H2596">
        <v>1</v>
      </c>
      <c r="I2596">
        <v>4</v>
      </c>
      <c r="J2596">
        <v>1</v>
      </c>
      <c r="K2596">
        <v>1</v>
      </c>
    </row>
    <row r="2597" spans="7:11">
      <c r="G2597">
        <v>4</v>
      </c>
      <c r="H2597">
        <v>1</v>
      </c>
      <c r="I2597">
        <v>4</v>
      </c>
      <c r="J2597">
        <v>2</v>
      </c>
      <c r="K2597">
        <v>2</v>
      </c>
    </row>
    <row r="2598" spans="7:11">
      <c r="G2598">
        <v>4</v>
      </c>
      <c r="H2598">
        <v>1</v>
      </c>
      <c r="I2598">
        <v>5</v>
      </c>
      <c r="J2598">
        <v>1</v>
      </c>
      <c r="K2598">
        <v>1</v>
      </c>
    </row>
    <row r="2599" spans="7:11">
      <c r="G2599">
        <v>4</v>
      </c>
      <c r="H2599">
        <v>1</v>
      </c>
      <c r="I2599">
        <v>5</v>
      </c>
      <c r="J2599">
        <v>2</v>
      </c>
      <c r="K2599">
        <v>2</v>
      </c>
    </row>
    <row r="2600" spans="7:11">
      <c r="G2600">
        <v>4</v>
      </c>
      <c r="H2600">
        <v>2</v>
      </c>
      <c r="I2600">
        <v>1</v>
      </c>
      <c r="J2600">
        <v>1</v>
      </c>
      <c r="K2600">
        <v>1</v>
      </c>
    </row>
    <row r="2601" spans="7:11">
      <c r="G2601">
        <v>4</v>
      </c>
      <c r="H2601">
        <v>2</v>
      </c>
      <c r="I2601">
        <v>1</v>
      </c>
      <c r="J2601">
        <v>2</v>
      </c>
      <c r="K2601">
        <v>2</v>
      </c>
    </row>
    <row r="2602" spans="7:11">
      <c r="G2602">
        <v>4</v>
      </c>
      <c r="H2602">
        <v>2</v>
      </c>
      <c r="I2602">
        <v>2</v>
      </c>
      <c r="J2602">
        <v>1</v>
      </c>
      <c r="K2602">
        <v>1</v>
      </c>
    </row>
    <row r="2603" spans="7:11">
      <c r="G2603">
        <v>4</v>
      </c>
      <c r="H2603">
        <v>2</v>
      </c>
      <c r="I2603">
        <v>2</v>
      </c>
      <c r="J2603">
        <v>2</v>
      </c>
      <c r="K2603">
        <v>2</v>
      </c>
    </row>
    <row r="2604" spans="7:11">
      <c r="G2604">
        <v>4</v>
      </c>
      <c r="H2604">
        <v>2</v>
      </c>
      <c r="I2604">
        <v>3</v>
      </c>
      <c r="J2604">
        <v>1</v>
      </c>
      <c r="K2604">
        <v>1</v>
      </c>
    </row>
    <row r="2605" spans="7:11">
      <c r="G2605">
        <v>4</v>
      </c>
      <c r="H2605">
        <v>2</v>
      </c>
      <c r="I2605">
        <v>3</v>
      </c>
      <c r="J2605">
        <v>2</v>
      </c>
      <c r="K2605">
        <v>2</v>
      </c>
    </row>
    <row r="2606" spans="7:11">
      <c r="G2606">
        <v>4</v>
      </c>
      <c r="H2606">
        <v>2</v>
      </c>
      <c r="I2606">
        <v>4</v>
      </c>
      <c r="J2606">
        <v>1</v>
      </c>
      <c r="K2606">
        <v>1</v>
      </c>
    </row>
    <row r="2607" spans="7:11">
      <c r="G2607">
        <v>4</v>
      </c>
      <c r="H2607">
        <v>2</v>
      </c>
      <c r="I2607">
        <v>4</v>
      </c>
      <c r="J2607">
        <v>2</v>
      </c>
      <c r="K2607">
        <v>2</v>
      </c>
    </row>
    <row r="2608" spans="7:11">
      <c r="G2608">
        <v>4</v>
      </c>
      <c r="H2608">
        <v>2</v>
      </c>
      <c r="I2608">
        <v>5</v>
      </c>
      <c r="J2608">
        <v>1</v>
      </c>
      <c r="K2608">
        <v>1</v>
      </c>
    </row>
    <row r="2609" spans="7:11">
      <c r="G2609">
        <v>4</v>
      </c>
      <c r="H2609">
        <v>2</v>
      </c>
      <c r="I2609">
        <v>5</v>
      </c>
      <c r="J2609">
        <v>2</v>
      </c>
      <c r="K2609">
        <v>2</v>
      </c>
    </row>
    <row r="2610" spans="7:11">
      <c r="G2610">
        <v>4</v>
      </c>
      <c r="H2610">
        <v>3</v>
      </c>
      <c r="I2610">
        <v>1</v>
      </c>
      <c r="J2610">
        <v>1</v>
      </c>
      <c r="K2610">
        <v>1</v>
      </c>
    </row>
    <row r="2611" spans="7:11">
      <c r="G2611">
        <v>4</v>
      </c>
      <c r="H2611">
        <v>3</v>
      </c>
      <c r="I2611">
        <v>1</v>
      </c>
      <c r="J2611">
        <v>2</v>
      </c>
      <c r="K2611">
        <v>2</v>
      </c>
    </row>
    <row r="2612" spans="7:11">
      <c r="G2612">
        <v>4</v>
      </c>
      <c r="H2612">
        <v>3</v>
      </c>
      <c r="I2612">
        <v>2</v>
      </c>
      <c r="J2612">
        <v>1</v>
      </c>
      <c r="K2612">
        <v>1</v>
      </c>
    </row>
    <row r="2613" spans="7:11">
      <c r="G2613">
        <v>4</v>
      </c>
      <c r="H2613">
        <v>3</v>
      </c>
      <c r="I2613">
        <v>2</v>
      </c>
      <c r="J2613">
        <v>2</v>
      </c>
      <c r="K2613">
        <v>2</v>
      </c>
    </row>
    <row r="2614" spans="7:11">
      <c r="G2614">
        <v>4</v>
      </c>
      <c r="H2614">
        <v>3</v>
      </c>
      <c r="I2614">
        <v>3</v>
      </c>
      <c r="J2614">
        <v>1</v>
      </c>
      <c r="K2614">
        <v>1</v>
      </c>
    </row>
    <row r="2615" spans="7:11">
      <c r="G2615">
        <v>4</v>
      </c>
      <c r="H2615">
        <v>3</v>
      </c>
      <c r="I2615">
        <v>3</v>
      </c>
      <c r="J2615">
        <v>2</v>
      </c>
      <c r="K2615">
        <v>2</v>
      </c>
    </row>
    <row r="2616" spans="7:11">
      <c r="G2616">
        <v>4</v>
      </c>
      <c r="H2616">
        <v>3</v>
      </c>
      <c r="I2616">
        <v>4</v>
      </c>
      <c r="J2616">
        <v>1</v>
      </c>
      <c r="K2616">
        <v>1</v>
      </c>
    </row>
    <row r="2617" spans="7:11">
      <c r="G2617">
        <v>4</v>
      </c>
      <c r="H2617">
        <v>3</v>
      </c>
      <c r="I2617">
        <v>4</v>
      </c>
      <c r="J2617">
        <v>2</v>
      </c>
      <c r="K2617">
        <v>2</v>
      </c>
    </row>
    <row r="2618" spans="7:11">
      <c r="G2618">
        <v>4</v>
      </c>
      <c r="H2618">
        <v>3</v>
      </c>
      <c r="I2618">
        <v>5</v>
      </c>
      <c r="J2618">
        <v>1</v>
      </c>
      <c r="K2618">
        <v>1</v>
      </c>
    </row>
    <row r="2619" spans="7:11">
      <c r="G2619">
        <v>4</v>
      </c>
      <c r="H2619">
        <v>3</v>
      </c>
      <c r="I2619">
        <v>5</v>
      </c>
      <c r="J2619">
        <v>2</v>
      </c>
      <c r="K2619">
        <v>2</v>
      </c>
    </row>
    <row r="2620" spans="7:11">
      <c r="G2620">
        <v>1</v>
      </c>
      <c r="H2620">
        <v>2</v>
      </c>
      <c r="I2620">
        <v>1</v>
      </c>
      <c r="J2620">
        <v>1</v>
      </c>
      <c r="K2620">
        <v>1</v>
      </c>
    </row>
    <row r="2621" spans="7:11">
      <c r="G2621">
        <v>1</v>
      </c>
      <c r="H2621">
        <v>2</v>
      </c>
      <c r="I2621">
        <v>1</v>
      </c>
      <c r="J2621">
        <v>2</v>
      </c>
      <c r="K2621">
        <v>2</v>
      </c>
    </row>
    <row r="2622" spans="7:11">
      <c r="G2622">
        <v>1</v>
      </c>
      <c r="H2622">
        <v>2</v>
      </c>
      <c r="I2622">
        <v>2</v>
      </c>
      <c r="J2622">
        <v>1</v>
      </c>
      <c r="K2622">
        <v>1</v>
      </c>
    </row>
    <row r="2623" spans="7:11">
      <c r="G2623">
        <v>1</v>
      </c>
      <c r="H2623">
        <v>2</v>
      </c>
      <c r="I2623">
        <v>2</v>
      </c>
      <c r="J2623">
        <v>2</v>
      </c>
      <c r="K2623">
        <v>2</v>
      </c>
    </row>
    <row r="2624" spans="7:11">
      <c r="G2624">
        <v>1</v>
      </c>
      <c r="H2624">
        <v>2</v>
      </c>
      <c r="I2624">
        <v>3</v>
      </c>
      <c r="J2624">
        <v>1</v>
      </c>
      <c r="K2624">
        <v>1</v>
      </c>
    </row>
    <row r="2625" spans="7:11">
      <c r="G2625">
        <v>1</v>
      </c>
      <c r="H2625">
        <v>2</v>
      </c>
      <c r="I2625">
        <v>3</v>
      </c>
      <c r="J2625">
        <v>2</v>
      </c>
      <c r="K2625">
        <v>2</v>
      </c>
    </row>
    <row r="2626" spans="7:11">
      <c r="G2626">
        <v>1</v>
      </c>
      <c r="H2626">
        <v>2</v>
      </c>
      <c r="I2626">
        <v>4</v>
      </c>
      <c r="J2626">
        <v>1</v>
      </c>
      <c r="K2626">
        <v>1</v>
      </c>
    </row>
    <row r="2627" spans="7:11">
      <c r="G2627">
        <v>1</v>
      </c>
      <c r="H2627">
        <v>2</v>
      </c>
      <c r="I2627">
        <v>4</v>
      </c>
      <c r="J2627">
        <v>2</v>
      </c>
      <c r="K2627">
        <v>2</v>
      </c>
    </row>
    <row r="2628" spans="7:11">
      <c r="G2628">
        <v>1</v>
      </c>
      <c r="H2628">
        <v>2</v>
      </c>
      <c r="I2628">
        <v>5</v>
      </c>
      <c r="J2628">
        <v>1</v>
      </c>
      <c r="K2628">
        <v>1</v>
      </c>
    </row>
    <row r="2629" spans="7:11">
      <c r="G2629">
        <v>1</v>
      </c>
      <c r="H2629">
        <v>2</v>
      </c>
      <c r="I2629">
        <v>5</v>
      </c>
      <c r="J2629">
        <v>2</v>
      </c>
      <c r="K2629">
        <v>2</v>
      </c>
    </row>
    <row r="2630" spans="7:11">
      <c r="G2630">
        <v>1</v>
      </c>
      <c r="H2630">
        <v>3</v>
      </c>
      <c r="I2630">
        <v>1</v>
      </c>
      <c r="J2630">
        <v>1</v>
      </c>
      <c r="K2630">
        <v>1</v>
      </c>
    </row>
    <row r="2631" spans="7:11">
      <c r="G2631">
        <v>1</v>
      </c>
      <c r="H2631">
        <v>3</v>
      </c>
      <c r="I2631">
        <v>1</v>
      </c>
      <c r="J2631">
        <v>2</v>
      </c>
      <c r="K2631">
        <v>2</v>
      </c>
    </row>
    <row r="2632" spans="7:11">
      <c r="G2632">
        <v>1</v>
      </c>
      <c r="H2632">
        <v>3</v>
      </c>
      <c r="I2632">
        <v>2</v>
      </c>
      <c r="J2632">
        <v>1</v>
      </c>
      <c r="K2632">
        <v>1</v>
      </c>
    </row>
    <row r="2633" spans="7:11">
      <c r="G2633">
        <v>1</v>
      </c>
      <c r="H2633">
        <v>3</v>
      </c>
      <c r="I2633">
        <v>2</v>
      </c>
      <c r="J2633">
        <v>2</v>
      </c>
      <c r="K2633">
        <v>2</v>
      </c>
    </row>
    <row r="2634" spans="7:11">
      <c r="G2634">
        <v>1</v>
      </c>
      <c r="H2634">
        <v>3</v>
      </c>
      <c r="I2634">
        <v>3</v>
      </c>
      <c r="J2634">
        <v>1</v>
      </c>
      <c r="K2634">
        <v>1</v>
      </c>
    </row>
    <row r="2635" spans="7:11">
      <c r="G2635">
        <v>1</v>
      </c>
      <c r="H2635">
        <v>3</v>
      </c>
      <c r="I2635">
        <v>3</v>
      </c>
      <c r="J2635">
        <v>2</v>
      </c>
      <c r="K2635">
        <v>2</v>
      </c>
    </row>
    <row r="2636" spans="7:11">
      <c r="G2636">
        <v>1</v>
      </c>
      <c r="H2636">
        <v>3</v>
      </c>
      <c r="I2636">
        <v>4</v>
      </c>
      <c r="J2636">
        <v>1</v>
      </c>
      <c r="K2636">
        <v>1</v>
      </c>
    </row>
    <row r="2637" spans="7:11">
      <c r="G2637">
        <v>1</v>
      </c>
      <c r="H2637">
        <v>3</v>
      </c>
      <c r="I2637">
        <v>4</v>
      </c>
      <c r="J2637">
        <v>2</v>
      </c>
      <c r="K2637">
        <v>2</v>
      </c>
    </row>
    <row r="2638" spans="7:11">
      <c r="G2638">
        <v>1</v>
      </c>
      <c r="H2638">
        <v>3</v>
      </c>
      <c r="I2638">
        <v>5</v>
      </c>
      <c r="J2638">
        <v>1</v>
      </c>
      <c r="K2638">
        <v>1</v>
      </c>
    </row>
    <row r="2639" spans="7:11">
      <c r="G2639">
        <v>1</v>
      </c>
      <c r="H2639">
        <v>3</v>
      </c>
      <c r="I2639">
        <v>5</v>
      </c>
      <c r="J2639">
        <v>2</v>
      </c>
      <c r="K2639">
        <v>2</v>
      </c>
    </row>
    <row r="2640" spans="7:11">
      <c r="G2640">
        <v>2</v>
      </c>
      <c r="H2640">
        <v>1</v>
      </c>
      <c r="I2640">
        <v>3</v>
      </c>
      <c r="J2640">
        <v>1</v>
      </c>
      <c r="K2640">
        <v>1</v>
      </c>
    </row>
    <row r="2641" spans="7:11">
      <c r="G2641">
        <v>2</v>
      </c>
      <c r="H2641">
        <v>1</v>
      </c>
      <c r="I2641">
        <v>3</v>
      </c>
      <c r="J2641">
        <v>2</v>
      </c>
      <c r="K2641">
        <v>2</v>
      </c>
    </row>
    <row r="2642" spans="7:11">
      <c r="G2642">
        <v>2</v>
      </c>
      <c r="H2642">
        <v>1</v>
      </c>
      <c r="I2642">
        <v>4</v>
      </c>
      <c r="J2642">
        <v>1</v>
      </c>
      <c r="K2642">
        <v>1</v>
      </c>
    </row>
    <row r="2643" spans="7:11">
      <c r="G2643">
        <v>2</v>
      </c>
      <c r="H2643">
        <v>1</v>
      </c>
      <c r="I2643">
        <v>4</v>
      </c>
      <c r="J2643">
        <v>2</v>
      </c>
      <c r="K2643">
        <v>2</v>
      </c>
    </row>
    <row r="2644" spans="7:11">
      <c r="G2644">
        <v>2</v>
      </c>
      <c r="H2644">
        <v>1</v>
      </c>
      <c r="I2644">
        <v>5</v>
      </c>
      <c r="J2644">
        <v>1</v>
      </c>
      <c r="K2644">
        <v>1</v>
      </c>
    </row>
    <row r="2645" spans="7:11">
      <c r="G2645">
        <v>2</v>
      </c>
      <c r="H2645">
        <v>1</v>
      </c>
      <c r="I2645">
        <v>5</v>
      </c>
      <c r="J2645">
        <v>2</v>
      </c>
      <c r="K2645">
        <v>2</v>
      </c>
    </row>
    <row r="2646" spans="7:11">
      <c r="G2646">
        <v>2</v>
      </c>
      <c r="H2646">
        <v>2</v>
      </c>
      <c r="I2646">
        <v>1</v>
      </c>
      <c r="J2646">
        <v>1</v>
      </c>
      <c r="K2646">
        <v>1</v>
      </c>
    </row>
    <row r="2647" spans="7:11">
      <c r="G2647">
        <v>2</v>
      </c>
      <c r="H2647">
        <v>2</v>
      </c>
      <c r="I2647">
        <v>1</v>
      </c>
      <c r="J2647">
        <v>2</v>
      </c>
      <c r="K2647">
        <v>2</v>
      </c>
    </row>
    <row r="2648" spans="7:11">
      <c r="G2648">
        <v>2</v>
      </c>
      <c r="H2648">
        <v>2</v>
      </c>
      <c r="I2648">
        <v>2</v>
      </c>
      <c r="J2648">
        <v>1</v>
      </c>
      <c r="K2648">
        <v>1</v>
      </c>
    </row>
    <row r="2649" spans="7:11">
      <c r="G2649">
        <v>2</v>
      </c>
      <c r="H2649">
        <v>2</v>
      </c>
      <c r="I2649">
        <v>2</v>
      </c>
      <c r="J2649">
        <v>2</v>
      </c>
      <c r="K2649">
        <v>2</v>
      </c>
    </row>
    <row r="2650" spans="7:11">
      <c r="G2650">
        <v>2</v>
      </c>
      <c r="H2650">
        <v>2</v>
      </c>
      <c r="I2650">
        <v>3</v>
      </c>
      <c r="J2650">
        <v>1</v>
      </c>
      <c r="K2650">
        <v>1</v>
      </c>
    </row>
    <row r="2651" spans="7:11">
      <c r="G2651">
        <v>2</v>
      </c>
      <c r="H2651">
        <v>2</v>
      </c>
      <c r="I2651">
        <v>3</v>
      </c>
      <c r="J2651">
        <v>2</v>
      </c>
      <c r="K2651">
        <v>2</v>
      </c>
    </row>
    <row r="2652" spans="7:11">
      <c r="G2652">
        <v>2</v>
      </c>
      <c r="H2652">
        <v>2</v>
      </c>
      <c r="I2652">
        <v>4</v>
      </c>
      <c r="J2652">
        <v>1</v>
      </c>
      <c r="K2652">
        <v>1</v>
      </c>
    </row>
    <row r="2653" spans="7:11">
      <c r="G2653">
        <v>2</v>
      </c>
      <c r="H2653">
        <v>2</v>
      </c>
      <c r="I2653">
        <v>4</v>
      </c>
      <c r="J2653">
        <v>2</v>
      </c>
      <c r="K2653">
        <v>2</v>
      </c>
    </row>
    <row r="2654" spans="7:11">
      <c r="G2654">
        <v>2</v>
      </c>
      <c r="H2654">
        <v>2</v>
      </c>
      <c r="I2654">
        <v>5</v>
      </c>
      <c r="J2654">
        <v>1</v>
      </c>
      <c r="K2654">
        <v>1</v>
      </c>
    </row>
    <row r="2655" spans="7:11">
      <c r="G2655">
        <v>2</v>
      </c>
      <c r="H2655">
        <v>2</v>
      </c>
      <c r="I2655">
        <v>5</v>
      </c>
      <c r="J2655">
        <v>2</v>
      </c>
      <c r="K2655">
        <v>2</v>
      </c>
    </row>
    <row r="2656" spans="7:11">
      <c r="G2656">
        <v>2</v>
      </c>
      <c r="H2656">
        <v>3</v>
      </c>
      <c r="I2656">
        <v>1</v>
      </c>
      <c r="J2656">
        <v>1</v>
      </c>
      <c r="K2656">
        <v>1</v>
      </c>
    </row>
    <row r="2657" spans="7:11">
      <c r="G2657">
        <v>2</v>
      </c>
      <c r="H2657">
        <v>3</v>
      </c>
      <c r="I2657">
        <v>1</v>
      </c>
      <c r="J2657">
        <v>2</v>
      </c>
      <c r="K2657">
        <v>2</v>
      </c>
    </row>
    <row r="2658" spans="7:11">
      <c r="G2658">
        <v>2</v>
      </c>
      <c r="H2658">
        <v>3</v>
      </c>
      <c r="I2658">
        <v>2</v>
      </c>
      <c r="J2658">
        <v>1</v>
      </c>
      <c r="K2658">
        <v>1</v>
      </c>
    </row>
    <row r="2659" spans="7:11">
      <c r="G2659">
        <v>2</v>
      </c>
      <c r="H2659">
        <v>3</v>
      </c>
      <c r="I2659">
        <v>2</v>
      </c>
      <c r="J2659">
        <v>2</v>
      </c>
      <c r="K2659">
        <v>2</v>
      </c>
    </row>
    <row r="2660" spans="7:11">
      <c r="G2660">
        <v>2</v>
      </c>
      <c r="H2660">
        <v>3</v>
      </c>
      <c r="I2660">
        <v>3</v>
      </c>
      <c r="J2660">
        <v>1</v>
      </c>
      <c r="K2660">
        <v>1</v>
      </c>
    </row>
    <row r="2661" spans="7:11">
      <c r="G2661">
        <v>2</v>
      </c>
      <c r="H2661">
        <v>3</v>
      </c>
      <c r="I2661">
        <v>3</v>
      </c>
      <c r="J2661">
        <v>2</v>
      </c>
      <c r="K2661">
        <v>2</v>
      </c>
    </row>
    <row r="2662" spans="7:11">
      <c r="G2662">
        <v>2</v>
      </c>
      <c r="H2662">
        <v>3</v>
      </c>
      <c r="I2662">
        <v>4</v>
      </c>
      <c r="J2662">
        <v>1</v>
      </c>
      <c r="K2662">
        <v>1</v>
      </c>
    </row>
    <row r="2663" spans="7:11">
      <c r="G2663">
        <v>2</v>
      </c>
      <c r="H2663">
        <v>3</v>
      </c>
      <c r="I2663">
        <v>4</v>
      </c>
      <c r="J2663">
        <v>2</v>
      </c>
      <c r="K2663">
        <v>2</v>
      </c>
    </row>
    <row r="2664" spans="7:11">
      <c r="G2664">
        <v>2</v>
      </c>
      <c r="H2664">
        <v>3</v>
      </c>
      <c r="I2664">
        <v>5</v>
      </c>
      <c r="J2664">
        <v>1</v>
      </c>
      <c r="K2664">
        <v>1</v>
      </c>
    </row>
    <row r="2665" spans="7:11">
      <c r="G2665">
        <v>2</v>
      </c>
      <c r="H2665">
        <v>3</v>
      </c>
      <c r="I2665">
        <v>5</v>
      </c>
      <c r="J2665">
        <v>2</v>
      </c>
      <c r="K2665">
        <v>2</v>
      </c>
    </row>
    <row r="2666" spans="7:11">
      <c r="G2666">
        <v>3</v>
      </c>
      <c r="H2666">
        <v>1</v>
      </c>
      <c r="I2666">
        <v>3</v>
      </c>
      <c r="J2666">
        <v>1</v>
      </c>
      <c r="K2666">
        <v>1</v>
      </c>
    </row>
    <row r="2667" spans="7:11">
      <c r="G2667">
        <v>3</v>
      </c>
      <c r="H2667">
        <v>1</v>
      </c>
      <c r="I2667">
        <v>3</v>
      </c>
      <c r="J2667">
        <v>2</v>
      </c>
      <c r="K2667">
        <v>2</v>
      </c>
    </row>
    <row r="2668" spans="7:11">
      <c r="G2668">
        <v>3</v>
      </c>
      <c r="H2668">
        <v>1</v>
      </c>
      <c r="I2668">
        <v>4</v>
      </c>
      <c r="J2668">
        <v>1</v>
      </c>
      <c r="K2668">
        <v>1</v>
      </c>
    </row>
    <row r="2669" spans="7:11">
      <c r="G2669">
        <v>3</v>
      </c>
      <c r="H2669">
        <v>1</v>
      </c>
      <c r="I2669">
        <v>4</v>
      </c>
      <c r="J2669">
        <v>2</v>
      </c>
      <c r="K2669">
        <v>2</v>
      </c>
    </row>
    <row r="2670" spans="7:11">
      <c r="G2670">
        <v>3</v>
      </c>
      <c r="H2670">
        <v>1</v>
      </c>
      <c r="I2670">
        <v>5</v>
      </c>
      <c r="J2670">
        <v>1</v>
      </c>
      <c r="K2670">
        <v>1</v>
      </c>
    </row>
    <row r="2671" spans="7:11">
      <c r="G2671">
        <v>3</v>
      </c>
      <c r="H2671">
        <v>1</v>
      </c>
      <c r="I2671">
        <v>5</v>
      </c>
      <c r="J2671">
        <v>2</v>
      </c>
      <c r="K2671">
        <v>2</v>
      </c>
    </row>
    <row r="2672" spans="7:11">
      <c r="G2672">
        <v>3</v>
      </c>
      <c r="H2672">
        <v>2</v>
      </c>
      <c r="I2672">
        <v>1</v>
      </c>
      <c r="J2672">
        <v>1</v>
      </c>
      <c r="K2672">
        <v>1</v>
      </c>
    </row>
    <row r="2673" spans="7:11">
      <c r="G2673">
        <v>3</v>
      </c>
      <c r="H2673">
        <v>2</v>
      </c>
      <c r="I2673">
        <v>1</v>
      </c>
      <c r="J2673">
        <v>2</v>
      </c>
      <c r="K2673">
        <v>2</v>
      </c>
    </row>
    <row r="2674" spans="7:11">
      <c r="G2674">
        <v>3</v>
      </c>
      <c r="H2674">
        <v>2</v>
      </c>
      <c r="I2674">
        <v>2</v>
      </c>
      <c r="J2674">
        <v>1</v>
      </c>
      <c r="K2674">
        <v>1</v>
      </c>
    </row>
    <row r="2675" spans="7:11">
      <c r="G2675">
        <v>3</v>
      </c>
      <c r="H2675">
        <v>2</v>
      </c>
      <c r="I2675">
        <v>2</v>
      </c>
      <c r="J2675">
        <v>2</v>
      </c>
      <c r="K2675">
        <v>2</v>
      </c>
    </row>
    <row r="2676" spans="7:11">
      <c r="G2676">
        <v>3</v>
      </c>
      <c r="H2676">
        <v>2</v>
      </c>
      <c r="I2676">
        <v>3</v>
      </c>
      <c r="J2676">
        <v>1</v>
      </c>
      <c r="K2676">
        <v>1</v>
      </c>
    </row>
    <row r="2677" spans="7:11">
      <c r="G2677">
        <v>3</v>
      </c>
      <c r="H2677">
        <v>2</v>
      </c>
      <c r="I2677">
        <v>3</v>
      </c>
      <c r="J2677">
        <v>2</v>
      </c>
      <c r="K2677">
        <v>2</v>
      </c>
    </row>
    <row r="2678" spans="7:11">
      <c r="G2678">
        <v>3</v>
      </c>
      <c r="H2678">
        <v>2</v>
      </c>
      <c r="I2678">
        <v>4</v>
      </c>
      <c r="J2678">
        <v>1</v>
      </c>
      <c r="K2678">
        <v>1</v>
      </c>
    </row>
    <row r="2679" spans="7:11">
      <c r="G2679">
        <v>3</v>
      </c>
      <c r="H2679">
        <v>2</v>
      </c>
      <c r="I2679">
        <v>4</v>
      </c>
      <c r="J2679">
        <v>2</v>
      </c>
      <c r="K2679">
        <v>2</v>
      </c>
    </row>
    <row r="2680" spans="7:11">
      <c r="G2680">
        <v>3</v>
      </c>
      <c r="H2680">
        <v>2</v>
      </c>
      <c r="I2680">
        <v>5</v>
      </c>
      <c r="J2680">
        <v>1</v>
      </c>
      <c r="K2680">
        <v>1</v>
      </c>
    </row>
    <row r="2681" spans="7:11">
      <c r="G2681">
        <v>3</v>
      </c>
      <c r="H2681">
        <v>2</v>
      </c>
      <c r="I2681">
        <v>5</v>
      </c>
      <c r="J2681">
        <v>2</v>
      </c>
      <c r="K2681">
        <v>2</v>
      </c>
    </row>
    <row r="2682" spans="7:11">
      <c r="G2682">
        <v>3</v>
      </c>
      <c r="H2682">
        <v>3</v>
      </c>
      <c r="I2682">
        <v>1</v>
      </c>
      <c r="J2682">
        <v>1</v>
      </c>
      <c r="K2682">
        <v>1</v>
      </c>
    </row>
    <row r="2683" spans="7:11">
      <c r="G2683">
        <v>3</v>
      </c>
      <c r="H2683">
        <v>3</v>
      </c>
      <c r="I2683">
        <v>1</v>
      </c>
      <c r="J2683">
        <v>2</v>
      </c>
      <c r="K2683">
        <v>2</v>
      </c>
    </row>
    <row r="2684" spans="7:11">
      <c r="G2684">
        <v>3</v>
      </c>
      <c r="H2684">
        <v>3</v>
      </c>
      <c r="I2684">
        <v>2</v>
      </c>
      <c r="J2684">
        <v>1</v>
      </c>
      <c r="K2684">
        <v>1</v>
      </c>
    </row>
    <row r="2685" spans="7:11">
      <c r="G2685">
        <v>3</v>
      </c>
      <c r="H2685">
        <v>3</v>
      </c>
      <c r="I2685">
        <v>2</v>
      </c>
      <c r="J2685">
        <v>2</v>
      </c>
      <c r="K2685">
        <v>2</v>
      </c>
    </row>
    <row r="2686" spans="7:11">
      <c r="G2686">
        <v>3</v>
      </c>
      <c r="H2686">
        <v>3</v>
      </c>
      <c r="I2686">
        <v>3</v>
      </c>
      <c r="J2686">
        <v>1</v>
      </c>
      <c r="K2686">
        <v>1</v>
      </c>
    </row>
    <row r="2687" spans="7:11">
      <c r="G2687">
        <v>3</v>
      </c>
      <c r="H2687">
        <v>3</v>
      </c>
      <c r="I2687">
        <v>3</v>
      </c>
      <c r="J2687">
        <v>2</v>
      </c>
      <c r="K2687">
        <v>2</v>
      </c>
    </row>
    <row r="2688" spans="7:11">
      <c r="G2688">
        <v>3</v>
      </c>
      <c r="H2688">
        <v>3</v>
      </c>
      <c r="I2688">
        <v>4</v>
      </c>
      <c r="J2688">
        <v>1</v>
      </c>
      <c r="K2688">
        <v>1</v>
      </c>
    </row>
    <row r="2689" spans="7:11">
      <c r="G2689">
        <v>3</v>
      </c>
      <c r="H2689">
        <v>3</v>
      </c>
      <c r="I2689">
        <v>4</v>
      </c>
      <c r="J2689">
        <v>2</v>
      </c>
      <c r="K2689">
        <v>2</v>
      </c>
    </row>
    <row r="2690" spans="7:11">
      <c r="G2690">
        <v>3</v>
      </c>
      <c r="H2690">
        <v>3</v>
      </c>
      <c r="I2690">
        <v>5</v>
      </c>
      <c r="J2690">
        <v>1</v>
      </c>
      <c r="K2690">
        <v>1</v>
      </c>
    </row>
    <row r="2691" spans="7:11">
      <c r="G2691">
        <v>3</v>
      </c>
      <c r="H2691">
        <v>3</v>
      </c>
      <c r="I2691">
        <v>5</v>
      </c>
      <c r="J2691">
        <v>2</v>
      </c>
      <c r="K2691">
        <v>2</v>
      </c>
    </row>
    <row r="2692" spans="7:11">
      <c r="G2692">
        <v>4</v>
      </c>
      <c r="H2692">
        <v>1</v>
      </c>
      <c r="I2692">
        <v>3</v>
      </c>
      <c r="J2692">
        <v>1</v>
      </c>
      <c r="K2692">
        <v>1</v>
      </c>
    </row>
    <row r="2693" spans="7:11">
      <c r="G2693">
        <v>4</v>
      </c>
      <c r="H2693">
        <v>1</v>
      </c>
      <c r="I2693">
        <v>3</v>
      </c>
      <c r="J2693">
        <v>2</v>
      </c>
      <c r="K2693">
        <v>2</v>
      </c>
    </row>
    <row r="2694" spans="7:11">
      <c r="G2694">
        <v>4</v>
      </c>
      <c r="H2694">
        <v>1</v>
      </c>
      <c r="I2694">
        <v>4</v>
      </c>
      <c r="J2694">
        <v>1</v>
      </c>
      <c r="K2694">
        <v>1</v>
      </c>
    </row>
    <row r="2695" spans="7:11">
      <c r="G2695">
        <v>4</v>
      </c>
      <c r="H2695">
        <v>1</v>
      </c>
      <c r="I2695">
        <v>4</v>
      </c>
      <c r="J2695">
        <v>2</v>
      </c>
      <c r="K2695">
        <v>2</v>
      </c>
    </row>
    <row r="2696" spans="7:11">
      <c r="G2696">
        <v>4</v>
      </c>
      <c r="H2696">
        <v>1</v>
      </c>
      <c r="I2696">
        <v>5</v>
      </c>
      <c r="J2696">
        <v>1</v>
      </c>
      <c r="K2696">
        <v>1</v>
      </c>
    </row>
    <row r="2697" spans="7:11">
      <c r="G2697">
        <v>4</v>
      </c>
      <c r="H2697">
        <v>1</v>
      </c>
      <c r="I2697">
        <v>5</v>
      </c>
      <c r="J2697">
        <v>2</v>
      </c>
      <c r="K2697">
        <v>2</v>
      </c>
    </row>
    <row r="2698" spans="7:11">
      <c r="G2698">
        <v>4</v>
      </c>
      <c r="H2698">
        <v>2</v>
      </c>
      <c r="I2698">
        <v>1</v>
      </c>
      <c r="J2698">
        <v>1</v>
      </c>
      <c r="K2698">
        <v>1</v>
      </c>
    </row>
    <row r="2699" spans="7:11">
      <c r="G2699">
        <v>4</v>
      </c>
      <c r="H2699">
        <v>2</v>
      </c>
      <c r="I2699">
        <v>1</v>
      </c>
      <c r="J2699">
        <v>2</v>
      </c>
      <c r="K2699">
        <v>2</v>
      </c>
    </row>
    <row r="2700" spans="7:11">
      <c r="G2700">
        <v>4</v>
      </c>
      <c r="H2700">
        <v>2</v>
      </c>
      <c r="I2700">
        <v>2</v>
      </c>
      <c r="J2700">
        <v>1</v>
      </c>
      <c r="K2700">
        <v>1</v>
      </c>
    </row>
    <row r="2701" spans="7:11">
      <c r="G2701">
        <v>4</v>
      </c>
      <c r="H2701">
        <v>2</v>
      </c>
      <c r="I2701">
        <v>2</v>
      </c>
      <c r="J2701">
        <v>2</v>
      </c>
      <c r="K2701">
        <v>2</v>
      </c>
    </row>
    <row r="2702" spans="7:11">
      <c r="G2702">
        <v>4</v>
      </c>
      <c r="H2702">
        <v>2</v>
      </c>
      <c r="I2702">
        <v>3</v>
      </c>
      <c r="J2702">
        <v>1</v>
      </c>
      <c r="K2702">
        <v>1</v>
      </c>
    </row>
    <row r="2703" spans="7:11">
      <c r="G2703">
        <v>4</v>
      </c>
      <c r="H2703">
        <v>2</v>
      </c>
      <c r="I2703">
        <v>3</v>
      </c>
      <c r="J2703">
        <v>2</v>
      </c>
      <c r="K2703">
        <v>2</v>
      </c>
    </row>
    <row r="2704" spans="7:11">
      <c r="G2704">
        <v>4</v>
      </c>
      <c r="H2704">
        <v>2</v>
      </c>
      <c r="I2704">
        <v>4</v>
      </c>
      <c r="J2704">
        <v>1</v>
      </c>
      <c r="K2704">
        <v>1</v>
      </c>
    </row>
    <row r="2705" spans="7:11">
      <c r="G2705">
        <v>4</v>
      </c>
      <c r="H2705">
        <v>2</v>
      </c>
      <c r="I2705">
        <v>4</v>
      </c>
      <c r="J2705">
        <v>2</v>
      </c>
      <c r="K2705">
        <v>2</v>
      </c>
    </row>
    <row r="2706" spans="7:11">
      <c r="G2706">
        <v>4</v>
      </c>
      <c r="H2706">
        <v>2</v>
      </c>
      <c r="I2706">
        <v>5</v>
      </c>
      <c r="J2706">
        <v>1</v>
      </c>
      <c r="K2706">
        <v>1</v>
      </c>
    </row>
    <row r="2707" spans="7:11">
      <c r="G2707">
        <v>4</v>
      </c>
      <c r="H2707">
        <v>2</v>
      </c>
      <c r="I2707">
        <v>5</v>
      </c>
      <c r="J2707">
        <v>2</v>
      </c>
      <c r="K2707">
        <v>2</v>
      </c>
    </row>
    <row r="2708" spans="7:11">
      <c r="G2708">
        <v>4</v>
      </c>
      <c r="H2708">
        <v>3</v>
      </c>
      <c r="I2708">
        <v>1</v>
      </c>
      <c r="J2708">
        <v>1</v>
      </c>
      <c r="K2708">
        <v>1</v>
      </c>
    </row>
    <row r="2709" spans="7:11">
      <c r="G2709">
        <v>4</v>
      </c>
      <c r="H2709">
        <v>3</v>
      </c>
      <c r="I2709">
        <v>1</v>
      </c>
      <c r="J2709">
        <v>2</v>
      </c>
      <c r="K2709">
        <v>2</v>
      </c>
    </row>
    <row r="2710" spans="7:11">
      <c r="G2710">
        <v>4</v>
      </c>
      <c r="H2710">
        <v>3</v>
      </c>
      <c r="I2710">
        <v>2</v>
      </c>
      <c r="J2710">
        <v>1</v>
      </c>
      <c r="K2710">
        <v>1</v>
      </c>
    </row>
    <row r="2711" spans="7:11">
      <c r="G2711">
        <v>4</v>
      </c>
      <c r="H2711">
        <v>3</v>
      </c>
      <c r="I2711">
        <v>2</v>
      </c>
      <c r="J2711">
        <v>2</v>
      </c>
      <c r="K2711">
        <v>2</v>
      </c>
    </row>
    <row r="2712" spans="7:11">
      <c r="G2712">
        <v>4</v>
      </c>
      <c r="H2712">
        <v>3</v>
      </c>
      <c r="I2712">
        <v>3</v>
      </c>
      <c r="J2712">
        <v>1</v>
      </c>
      <c r="K2712">
        <v>1</v>
      </c>
    </row>
    <row r="2713" spans="7:11">
      <c r="G2713">
        <v>4</v>
      </c>
      <c r="H2713">
        <v>3</v>
      </c>
      <c r="I2713">
        <v>3</v>
      </c>
      <c r="J2713">
        <v>2</v>
      </c>
      <c r="K2713">
        <v>2</v>
      </c>
    </row>
    <row r="2714" spans="7:11">
      <c r="G2714">
        <v>4</v>
      </c>
      <c r="H2714">
        <v>3</v>
      </c>
      <c r="I2714">
        <v>4</v>
      </c>
      <c r="J2714">
        <v>1</v>
      </c>
      <c r="K2714">
        <v>1</v>
      </c>
    </row>
    <row r="2715" spans="7:11">
      <c r="G2715">
        <v>4</v>
      </c>
      <c r="H2715">
        <v>3</v>
      </c>
      <c r="I2715">
        <v>4</v>
      </c>
      <c r="J2715">
        <v>2</v>
      </c>
      <c r="K2715">
        <v>2</v>
      </c>
    </row>
    <row r="2716" spans="7:11">
      <c r="G2716">
        <v>4</v>
      </c>
      <c r="H2716">
        <v>3</v>
      </c>
      <c r="I2716">
        <v>5</v>
      </c>
      <c r="J2716">
        <v>1</v>
      </c>
      <c r="K2716">
        <v>1</v>
      </c>
    </row>
    <row r="2717" spans="7:11">
      <c r="G2717">
        <v>4</v>
      </c>
      <c r="H2717">
        <v>3</v>
      </c>
      <c r="I2717">
        <v>5</v>
      </c>
      <c r="J2717">
        <v>2</v>
      </c>
      <c r="K2717">
        <v>2</v>
      </c>
    </row>
    <row r="2718" spans="7:11">
      <c r="G2718">
        <v>2</v>
      </c>
      <c r="H2718">
        <v>1</v>
      </c>
      <c r="I2718">
        <v>3</v>
      </c>
      <c r="J2718">
        <v>1</v>
      </c>
      <c r="K2718">
        <v>1</v>
      </c>
    </row>
    <row r="2719" spans="7:11">
      <c r="G2719">
        <v>2</v>
      </c>
      <c r="H2719">
        <v>1</v>
      </c>
      <c r="I2719">
        <v>3</v>
      </c>
      <c r="J2719">
        <v>2</v>
      </c>
      <c r="K2719">
        <v>2</v>
      </c>
    </row>
    <row r="2720" spans="7:11">
      <c r="G2720">
        <v>2</v>
      </c>
      <c r="H2720">
        <v>1</v>
      </c>
      <c r="I2720">
        <v>4</v>
      </c>
      <c r="J2720">
        <v>1</v>
      </c>
      <c r="K2720">
        <v>1</v>
      </c>
    </row>
    <row r="2721" spans="7:11">
      <c r="G2721">
        <v>2</v>
      </c>
      <c r="H2721">
        <v>1</v>
      </c>
      <c r="I2721">
        <v>4</v>
      </c>
      <c r="J2721">
        <v>2</v>
      </c>
      <c r="K2721">
        <v>2</v>
      </c>
    </row>
    <row r="2722" spans="7:11">
      <c r="G2722">
        <v>2</v>
      </c>
      <c r="H2722">
        <v>1</v>
      </c>
      <c r="I2722">
        <v>5</v>
      </c>
      <c r="J2722">
        <v>1</v>
      </c>
      <c r="K2722">
        <v>1</v>
      </c>
    </row>
    <row r="2723" spans="7:11">
      <c r="G2723">
        <v>2</v>
      </c>
      <c r="H2723">
        <v>1</v>
      </c>
      <c r="I2723">
        <v>5</v>
      </c>
      <c r="J2723">
        <v>2</v>
      </c>
      <c r="K2723">
        <v>2</v>
      </c>
    </row>
    <row r="2724" spans="7:11">
      <c r="G2724">
        <v>2</v>
      </c>
      <c r="H2724">
        <v>2</v>
      </c>
      <c r="I2724">
        <v>1</v>
      </c>
      <c r="J2724">
        <v>1</v>
      </c>
      <c r="K2724">
        <v>1</v>
      </c>
    </row>
    <row r="2725" spans="7:11">
      <c r="G2725">
        <v>2</v>
      </c>
      <c r="H2725">
        <v>2</v>
      </c>
      <c r="I2725">
        <v>1</v>
      </c>
      <c r="J2725">
        <v>2</v>
      </c>
      <c r="K2725">
        <v>2</v>
      </c>
    </row>
    <row r="2726" spans="7:11">
      <c r="G2726">
        <v>2</v>
      </c>
      <c r="H2726">
        <v>2</v>
      </c>
      <c r="I2726">
        <v>2</v>
      </c>
      <c r="J2726">
        <v>1</v>
      </c>
      <c r="K2726">
        <v>1</v>
      </c>
    </row>
    <row r="2727" spans="7:11">
      <c r="G2727">
        <v>2</v>
      </c>
      <c r="H2727">
        <v>2</v>
      </c>
      <c r="I2727">
        <v>2</v>
      </c>
      <c r="J2727">
        <v>2</v>
      </c>
      <c r="K2727">
        <v>2</v>
      </c>
    </row>
    <row r="2728" spans="7:11">
      <c r="G2728">
        <v>2</v>
      </c>
      <c r="H2728">
        <v>2</v>
      </c>
      <c r="I2728">
        <v>3</v>
      </c>
      <c r="J2728">
        <v>1</v>
      </c>
      <c r="K2728">
        <v>1</v>
      </c>
    </row>
    <row r="2729" spans="7:11">
      <c r="G2729">
        <v>2</v>
      </c>
      <c r="H2729">
        <v>2</v>
      </c>
      <c r="I2729">
        <v>3</v>
      </c>
      <c r="J2729">
        <v>2</v>
      </c>
      <c r="K2729">
        <v>2</v>
      </c>
    </row>
    <row r="2730" spans="7:11">
      <c r="G2730">
        <v>2</v>
      </c>
      <c r="H2730">
        <v>2</v>
      </c>
      <c r="I2730">
        <v>4</v>
      </c>
      <c r="J2730">
        <v>1</v>
      </c>
      <c r="K2730">
        <v>1</v>
      </c>
    </row>
    <row r="2731" spans="7:11">
      <c r="G2731">
        <v>2</v>
      </c>
      <c r="H2731">
        <v>2</v>
      </c>
      <c r="I2731">
        <v>4</v>
      </c>
      <c r="J2731">
        <v>2</v>
      </c>
      <c r="K2731">
        <v>2</v>
      </c>
    </row>
    <row r="2732" spans="7:11">
      <c r="G2732">
        <v>2</v>
      </c>
      <c r="H2732">
        <v>2</v>
      </c>
      <c r="I2732">
        <v>5</v>
      </c>
      <c r="J2732">
        <v>1</v>
      </c>
      <c r="K2732">
        <v>1</v>
      </c>
    </row>
    <row r="2733" spans="7:11">
      <c r="G2733">
        <v>2</v>
      </c>
      <c r="H2733">
        <v>2</v>
      </c>
      <c r="I2733">
        <v>5</v>
      </c>
      <c r="J2733">
        <v>2</v>
      </c>
      <c r="K2733">
        <v>2</v>
      </c>
    </row>
    <row r="2734" spans="7:11">
      <c r="G2734">
        <v>2</v>
      </c>
      <c r="H2734">
        <v>3</v>
      </c>
      <c r="I2734">
        <v>1</v>
      </c>
      <c r="J2734">
        <v>1</v>
      </c>
      <c r="K2734">
        <v>1</v>
      </c>
    </row>
    <row r="2735" spans="7:11">
      <c r="G2735">
        <v>2</v>
      </c>
      <c r="H2735">
        <v>3</v>
      </c>
      <c r="I2735">
        <v>1</v>
      </c>
      <c r="J2735">
        <v>2</v>
      </c>
      <c r="K2735">
        <v>2</v>
      </c>
    </row>
    <row r="2736" spans="7:11">
      <c r="G2736">
        <v>2</v>
      </c>
      <c r="H2736">
        <v>3</v>
      </c>
      <c r="I2736">
        <v>2</v>
      </c>
      <c r="J2736">
        <v>1</v>
      </c>
      <c r="K2736">
        <v>1</v>
      </c>
    </row>
    <row r="2737" spans="7:11">
      <c r="G2737">
        <v>2</v>
      </c>
      <c r="H2737">
        <v>3</v>
      </c>
      <c r="I2737">
        <v>2</v>
      </c>
      <c r="J2737">
        <v>2</v>
      </c>
      <c r="K2737">
        <v>2</v>
      </c>
    </row>
    <row r="2738" spans="7:11">
      <c r="G2738">
        <v>2</v>
      </c>
      <c r="H2738">
        <v>3</v>
      </c>
      <c r="I2738">
        <v>3</v>
      </c>
      <c r="J2738">
        <v>1</v>
      </c>
      <c r="K2738">
        <v>1</v>
      </c>
    </row>
    <row r="2739" spans="7:11">
      <c r="G2739">
        <v>2</v>
      </c>
      <c r="H2739">
        <v>3</v>
      </c>
      <c r="I2739">
        <v>3</v>
      </c>
      <c r="J2739">
        <v>2</v>
      </c>
      <c r="K2739">
        <v>2</v>
      </c>
    </row>
    <row r="2740" spans="7:11">
      <c r="G2740">
        <v>2</v>
      </c>
      <c r="H2740">
        <v>3</v>
      </c>
      <c r="I2740">
        <v>4</v>
      </c>
      <c r="J2740">
        <v>1</v>
      </c>
      <c r="K2740">
        <v>1</v>
      </c>
    </row>
    <row r="2741" spans="7:11">
      <c r="G2741">
        <v>2</v>
      </c>
      <c r="H2741">
        <v>3</v>
      </c>
      <c r="I2741">
        <v>4</v>
      </c>
      <c r="J2741">
        <v>2</v>
      </c>
      <c r="K2741">
        <v>2</v>
      </c>
    </row>
    <row r="2742" spans="7:11">
      <c r="G2742">
        <v>2</v>
      </c>
      <c r="H2742">
        <v>3</v>
      </c>
      <c r="I2742">
        <v>5</v>
      </c>
      <c r="J2742">
        <v>1</v>
      </c>
      <c r="K2742">
        <v>1</v>
      </c>
    </row>
    <row r="2743" spans="7:11">
      <c r="G2743">
        <v>2</v>
      </c>
      <c r="H2743">
        <v>3</v>
      </c>
      <c r="I2743">
        <v>5</v>
      </c>
      <c r="J2743">
        <v>2</v>
      </c>
      <c r="K2743">
        <v>2</v>
      </c>
    </row>
    <row r="2744" spans="7:11">
      <c r="G2744">
        <v>3</v>
      </c>
      <c r="H2744">
        <v>1</v>
      </c>
      <c r="I2744">
        <v>3</v>
      </c>
      <c r="J2744">
        <v>1</v>
      </c>
      <c r="K2744">
        <v>1</v>
      </c>
    </row>
    <row r="2745" spans="7:11">
      <c r="G2745">
        <v>3</v>
      </c>
      <c r="H2745">
        <v>1</v>
      </c>
      <c r="I2745">
        <v>3</v>
      </c>
      <c r="J2745">
        <v>2</v>
      </c>
      <c r="K2745">
        <v>2</v>
      </c>
    </row>
    <row r="2746" spans="7:11">
      <c r="G2746">
        <v>3</v>
      </c>
      <c r="H2746">
        <v>1</v>
      </c>
      <c r="I2746">
        <v>4</v>
      </c>
      <c r="J2746">
        <v>1</v>
      </c>
      <c r="K2746">
        <v>1</v>
      </c>
    </row>
    <row r="2747" spans="7:11">
      <c r="G2747">
        <v>3</v>
      </c>
      <c r="H2747">
        <v>1</v>
      </c>
      <c r="I2747">
        <v>4</v>
      </c>
      <c r="J2747">
        <v>2</v>
      </c>
      <c r="K2747">
        <v>2</v>
      </c>
    </row>
    <row r="2748" spans="7:11">
      <c r="G2748">
        <v>3</v>
      </c>
      <c r="H2748">
        <v>1</v>
      </c>
      <c r="I2748">
        <v>5</v>
      </c>
      <c r="J2748">
        <v>1</v>
      </c>
      <c r="K2748">
        <v>1</v>
      </c>
    </row>
    <row r="2749" spans="7:11">
      <c r="G2749">
        <v>3</v>
      </c>
      <c r="H2749">
        <v>1</v>
      </c>
      <c r="I2749">
        <v>5</v>
      </c>
      <c r="J2749">
        <v>2</v>
      </c>
      <c r="K2749">
        <v>2</v>
      </c>
    </row>
    <row r="2750" spans="7:11">
      <c r="G2750">
        <v>3</v>
      </c>
      <c r="H2750">
        <v>2</v>
      </c>
      <c r="I2750">
        <v>1</v>
      </c>
      <c r="J2750">
        <v>1</v>
      </c>
      <c r="K2750">
        <v>1</v>
      </c>
    </row>
    <row r="2751" spans="7:11">
      <c r="G2751">
        <v>3</v>
      </c>
      <c r="H2751">
        <v>2</v>
      </c>
      <c r="I2751">
        <v>1</v>
      </c>
      <c r="J2751">
        <v>2</v>
      </c>
      <c r="K2751">
        <v>2</v>
      </c>
    </row>
    <row r="2752" spans="7:11">
      <c r="G2752">
        <v>3</v>
      </c>
      <c r="H2752">
        <v>2</v>
      </c>
      <c r="I2752">
        <v>2</v>
      </c>
      <c r="J2752">
        <v>1</v>
      </c>
      <c r="K2752">
        <v>1</v>
      </c>
    </row>
    <row r="2753" spans="7:11">
      <c r="G2753">
        <v>3</v>
      </c>
      <c r="H2753">
        <v>2</v>
      </c>
      <c r="I2753">
        <v>2</v>
      </c>
      <c r="J2753">
        <v>2</v>
      </c>
      <c r="K2753">
        <v>2</v>
      </c>
    </row>
    <row r="2754" spans="7:11">
      <c r="G2754">
        <v>3</v>
      </c>
      <c r="H2754">
        <v>2</v>
      </c>
      <c r="I2754">
        <v>3</v>
      </c>
      <c r="J2754">
        <v>1</v>
      </c>
      <c r="K2754">
        <v>1</v>
      </c>
    </row>
    <row r="2755" spans="7:11">
      <c r="G2755">
        <v>3</v>
      </c>
      <c r="H2755">
        <v>2</v>
      </c>
      <c r="I2755">
        <v>3</v>
      </c>
      <c r="J2755">
        <v>2</v>
      </c>
      <c r="K2755">
        <v>2</v>
      </c>
    </row>
    <row r="2756" spans="7:11">
      <c r="G2756">
        <v>3</v>
      </c>
      <c r="H2756">
        <v>2</v>
      </c>
      <c r="I2756">
        <v>4</v>
      </c>
      <c r="J2756">
        <v>1</v>
      </c>
      <c r="K2756">
        <v>1</v>
      </c>
    </row>
    <row r="2757" spans="7:11">
      <c r="G2757">
        <v>3</v>
      </c>
      <c r="H2757">
        <v>2</v>
      </c>
      <c r="I2757">
        <v>4</v>
      </c>
      <c r="J2757">
        <v>2</v>
      </c>
      <c r="K2757">
        <v>2</v>
      </c>
    </row>
    <row r="2758" spans="7:11">
      <c r="G2758">
        <v>3</v>
      </c>
      <c r="H2758">
        <v>2</v>
      </c>
      <c r="I2758">
        <v>5</v>
      </c>
      <c r="J2758">
        <v>1</v>
      </c>
      <c r="K2758">
        <v>1</v>
      </c>
    </row>
    <row r="2759" spans="7:11">
      <c r="G2759">
        <v>3</v>
      </c>
      <c r="H2759">
        <v>2</v>
      </c>
      <c r="I2759">
        <v>5</v>
      </c>
      <c r="J2759">
        <v>2</v>
      </c>
      <c r="K2759">
        <v>2</v>
      </c>
    </row>
    <row r="2760" spans="7:11">
      <c r="G2760">
        <v>3</v>
      </c>
      <c r="H2760">
        <v>3</v>
      </c>
      <c r="I2760">
        <v>1</v>
      </c>
      <c r="J2760">
        <v>1</v>
      </c>
      <c r="K2760">
        <v>1</v>
      </c>
    </row>
    <row r="2761" spans="7:11">
      <c r="G2761">
        <v>3</v>
      </c>
      <c r="H2761">
        <v>3</v>
      </c>
      <c r="I2761">
        <v>1</v>
      </c>
      <c r="J2761">
        <v>2</v>
      </c>
      <c r="K2761">
        <v>2</v>
      </c>
    </row>
    <row r="2762" spans="7:11">
      <c r="G2762">
        <v>3</v>
      </c>
      <c r="H2762">
        <v>3</v>
      </c>
      <c r="I2762">
        <v>2</v>
      </c>
      <c r="J2762">
        <v>1</v>
      </c>
      <c r="K2762">
        <v>1</v>
      </c>
    </row>
    <row r="2763" spans="7:11">
      <c r="G2763">
        <v>3</v>
      </c>
      <c r="H2763">
        <v>3</v>
      </c>
      <c r="I2763">
        <v>2</v>
      </c>
      <c r="J2763">
        <v>2</v>
      </c>
      <c r="K2763">
        <v>2</v>
      </c>
    </row>
    <row r="2764" spans="7:11">
      <c r="G2764">
        <v>3</v>
      </c>
      <c r="H2764">
        <v>3</v>
      </c>
      <c r="I2764">
        <v>3</v>
      </c>
      <c r="J2764">
        <v>1</v>
      </c>
      <c r="K2764">
        <v>1</v>
      </c>
    </row>
    <row r="2765" spans="7:11">
      <c r="G2765">
        <v>3</v>
      </c>
      <c r="H2765">
        <v>3</v>
      </c>
      <c r="I2765">
        <v>3</v>
      </c>
      <c r="J2765">
        <v>2</v>
      </c>
      <c r="K2765">
        <v>2</v>
      </c>
    </row>
    <row r="2766" spans="7:11">
      <c r="G2766">
        <v>3</v>
      </c>
      <c r="H2766">
        <v>3</v>
      </c>
      <c r="I2766">
        <v>4</v>
      </c>
      <c r="J2766">
        <v>1</v>
      </c>
      <c r="K2766">
        <v>1</v>
      </c>
    </row>
    <row r="2767" spans="7:11">
      <c r="G2767">
        <v>3</v>
      </c>
      <c r="H2767">
        <v>3</v>
      </c>
      <c r="I2767">
        <v>4</v>
      </c>
      <c r="J2767">
        <v>2</v>
      </c>
      <c r="K2767">
        <v>2</v>
      </c>
    </row>
    <row r="2768" spans="7:11">
      <c r="G2768">
        <v>3</v>
      </c>
      <c r="H2768">
        <v>3</v>
      </c>
      <c r="I2768">
        <v>5</v>
      </c>
      <c r="J2768">
        <v>1</v>
      </c>
      <c r="K2768">
        <v>1</v>
      </c>
    </row>
    <row r="2769" spans="7:11">
      <c r="G2769">
        <v>3</v>
      </c>
      <c r="H2769">
        <v>3</v>
      </c>
      <c r="I2769">
        <v>5</v>
      </c>
      <c r="J2769">
        <v>2</v>
      </c>
      <c r="K2769">
        <v>2</v>
      </c>
    </row>
    <row r="2770" spans="7:11">
      <c r="G2770">
        <v>4</v>
      </c>
      <c r="H2770">
        <v>1</v>
      </c>
      <c r="I2770">
        <v>3</v>
      </c>
      <c r="J2770">
        <v>1</v>
      </c>
      <c r="K2770">
        <v>1</v>
      </c>
    </row>
    <row r="2771" spans="7:11">
      <c r="G2771">
        <v>4</v>
      </c>
      <c r="H2771">
        <v>1</v>
      </c>
      <c r="I2771">
        <v>3</v>
      </c>
      <c r="J2771">
        <v>2</v>
      </c>
      <c r="K2771">
        <v>2</v>
      </c>
    </row>
    <row r="2772" spans="7:11">
      <c r="G2772">
        <v>4</v>
      </c>
      <c r="H2772">
        <v>1</v>
      </c>
      <c r="I2772">
        <v>4</v>
      </c>
      <c r="J2772">
        <v>1</v>
      </c>
      <c r="K2772">
        <v>1</v>
      </c>
    </row>
    <row r="2773" spans="7:11">
      <c r="G2773">
        <v>4</v>
      </c>
      <c r="H2773">
        <v>1</v>
      </c>
      <c r="I2773">
        <v>4</v>
      </c>
      <c r="J2773">
        <v>2</v>
      </c>
      <c r="K2773">
        <v>2</v>
      </c>
    </row>
    <row r="2774" spans="7:11">
      <c r="G2774">
        <v>4</v>
      </c>
      <c r="H2774">
        <v>1</v>
      </c>
      <c r="I2774">
        <v>5</v>
      </c>
      <c r="J2774">
        <v>1</v>
      </c>
      <c r="K2774">
        <v>1</v>
      </c>
    </row>
    <row r="2775" spans="7:11">
      <c r="G2775">
        <v>4</v>
      </c>
      <c r="H2775">
        <v>1</v>
      </c>
      <c r="I2775">
        <v>5</v>
      </c>
      <c r="J2775">
        <v>2</v>
      </c>
      <c r="K2775">
        <v>2</v>
      </c>
    </row>
    <row r="2776" spans="7:11">
      <c r="G2776">
        <v>4</v>
      </c>
      <c r="H2776">
        <v>2</v>
      </c>
      <c r="I2776">
        <v>1</v>
      </c>
      <c r="J2776">
        <v>1</v>
      </c>
      <c r="K2776">
        <v>1</v>
      </c>
    </row>
    <row r="2777" spans="7:11">
      <c r="G2777">
        <v>4</v>
      </c>
      <c r="H2777">
        <v>2</v>
      </c>
      <c r="I2777">
        <v>1</v>
      </c>
      <c r="J2777">
        <v>2</v>
      </c>
      <c r="K2777">
        <v>2</v>
      </c>
    </row>
    <row r="2778" spans="7:11">
      <c r="G2778">
        <v>4</v>
      </c>
      <c r="H2778">
        <v>2</v>
      </c>
      <c r="I2778">
        <v>2</v>
      </c>
      <c r="J2778">
        <v>1</v>
      </c>
      <c r="K2778">
        <v>1</v>
      </c>
    </row>
    <row r="2779" spans="7:11">
      <c r="G2779">
        <v>4</v>
      </c>
      <c r="H2779">
        <v>2</v>
      </c>
      <c r="I2779">
        <v>2</v>
      </c>
      <c r="J2779">
        <v>2</v>
      </c>
      <c r="K2779">
        <v>2</v>
      </c>
    </row>
    <row r="2780" spans="7:11">
      <c r="G2780">
        <v>4</v>
      </c>
      <c r="H2780">
        <v>2</v>
      </c>
      <c r="I2780">
        <v>3</v>
      </c>
      <c r="J2780">
        <v>1</v>
      </c>
      <c r="K2780">
        <v>1</v>
      </c>
    </row>
    <row r="2781" spans="7:11">
      <c r="G2781">
        <v>4</v>
      </c>
      <c r="H2781">
        <v>2</v>
      </c>
      <c r="I2781">
        <v>3</v>
      </c>
      <c r="J2781">
        <v>2</v>
      </c>
      <c r="K2781">
        <v>2</v>
      </c>
    </row>
    <row r="2782" spans="7:11">
      <c r="G2782">
        <v>4</v>
      </c>
      <c r="H2782">
        <v>2</v>
      </c>
      <c r="I2782">
        <v>4</v>
      </c>
      <c r="J2782">
        <v>1</v>
      </c>
      <c r="K2782">
        <v>1</v>
      </c>
    </row>
    <row r="2783" spans="7:11">
      <c r="G2783">
        <v>4</v>
      </c>
      <c r="H2783">
        <v>2</v>
      </c>
      <c r="I2783">
        <v>4</v>
      </c>
      <c r="J2783">
        <v>2</v>
      </c>
      <c r="K2783">
        <v>2</v>
      </c>
    </row>
    <row r="2784" spans="7:11">
      <c r="G2784">
        <v>4</v>
      </c>
      <c r="H2784">
        <v>2</v>
      </c>
      <c r="I2784">
        <v>5</v>
      </c>
      <c r="J2784">
        <v>1</v>
      </c>
      <c r="K2784">
        <v>1</v>
      </c>
    </row>
    <row r="2785" spans="7:11">
      <c r="G2785">
        <v>4</v>
      </c>
      <c r="H2785">
        <v>2</v>
      </c>
      <c r="I2785">
        <v>5</v>
      </c>
      <c r="J2785">
        <v>2</v>
      </c>
      <c r="K2785">
        <v>2</v>
      </c>
    </row>
    <row r="2786" spans="7:11">
      <c r="G2786">
        <v>4</v>
      </c>
      <c r="H2786">
        <v>3</v>
      </c>
      <c r="I2786">
        <v>1</v>
      </c>
      <c r="J2786">
        <v>1</v>
      </c>
      <c r="K2786">
        <v>1</v>
      </c>
    </row>
    <row r="2787" spans="7:11">
      <c r="G2787">
        <v>4</v>
      </c>
      <c r="H2787">
        <v>3</v>
      </c>
      <c r="I2787">
        <v>1</v>
      </c>
      <c r="J2787">
        <v>2</v>
      </c>
      <c r="K2787">
        <v>2</v>
      </c>
    </row>
    <row r="2788" spans="7:11">
      <c r="G2788">
        <v>4</v>
      </c>
      <c r="H2788">
        <v>3</v>
      </c>
      <c r="I2788">
        <v>2</v>
      </c>
      <c r="J2788">
        <v>1</v>
      </c>
      <c r="K2788">
        <v>1</v>
      </c>
    </row>
    <row r="2789" spans="7:11">
      <c r="G2789">
        <v>4</v>
      </c>
      <c r="H2789">
        <v>3</v>
      </c>
      <c r="I2789">
        <v>2</v>
      </c>
      <c r="J2789">
        <v>2</v>
      </c>
      <c r="K2789">
        <v>2</v>
      </c>
    </row>
    <row r="2790" spans="7:11">
      <c r="G2790">
        <v>4</v>
      </c>
      <c r="H2790">
        <v>3</v>
      </c>
      <c r="I2790">
        <v>3</v>
      </c>
      <c r="J2790">
        <v>1</v>
      </c>
      <c r="K2790">
        <v>1</v>
      </c>
    </row>
    <row r="2791" spans="7:11">
      <c r="G2791">
        <v>4</v>
      </c>
      <c r="H2791">
        <v>3</v>
      </c>
      <c r="I2791">
        <v>3</v>
      </c>
      <c r="J2791">
        <v>2</v>
      </c>
      <c r="K2791">
        <v>2</v>
      </c>
    </row>
    <row r="2792" spans="7:11">
      <c r="G2792">
        <v>4</v>
      </c>
      <c r="H2792">
        <v>3</v>
      </c>
      <c r="I2792">
        <v>4</v>
      </c>
      <c r="J2792">
        <v>1</v>
      </c>
      <c r="K2792">
        <v>1</v>
      </c>
    </row>
    <row r="2793" spans="7:11">
      <c r="G2793">
        <v>4</v>
      </c>
      <c r="H2793">
        <v>3</v>
      </c>
      <c r="I2793">
        <v>4</v>
      </c>
      <c r="J2793">
        <v>2</v>
      </c>
      <c r="K2793">
        <v>2</v>
      </c>
    </row>
    <row r="2794" spans="7:11">
      <c r="G2794">
        <v>4</v>
      </c>
      <c r="H2794">
        <v>3</v>
      </c>
      <c r="I2794">
        <v>5</v>
      </c>
      <c r="J2794">
        <v>1</v>
      </c>
      <c r="K2794">
        <v>1</v>
      </c>
    </row>
    <row r="2795" spans="7:11">
      <c r="G2795">
        <v>4</v>
      </c>
      <c r="H2795">
        <v>3</v>
      </c>
      <c r="I2795">
        <v>5</v>
      </c>
      <c r="J2795">
        <v>2</v>
      </c>
      <c r="K2795">
        <v>2</v>
      </c>
    </row>
    <row r="2796" spans="7:11">
      <c r="G2796">
        <v>1</v>
      </c>
      <c r="H2796">
        <v>2</v>
      </c>
      <c r="I2796">
        <v>1</v>
      </c>
      <c r="J2796">
        <v>1</v>
      </c>
      <c r="K2796">
        <v>1</v>
      </c>
    </row>
    <row r="2797" spans="7:11">
      <c r="G2797">
        <v>1</v>
      </c>
      <c r="H2797">
        <v>2</v>
      </c>
      <c r="I2797">
        <v>1</v>
      </c>
      <c r="J2797">
        <v>2</v>
      </c>
      <c r="K2797">
        <v>2</v>
      </c>
    </row>
    <row r="2798" spans="7:11">
      <c r="G2798">
        <v>1</v>
      </c>
      <c r="H2798">
        <v>2</v>
      </c>
      <c r="I2798">
        <v>2</v>
      </c>
      <c r="J2798">
        <v>1</v>
      </c>
      <c r="K2798">
        <v>1</v>
      </c>
    </row>
    <row r="2799" spans="7:11">
      <c r="G2799">
        <v>1</v>
      </c>
      <c r="H2799">
        <v>2</v>
      </c>
      <c r="I2799">
        <v>2</v>
      </c>
      <c r="J2799">
        <v>2</v>
      </c>
      <c r="K2799">
        <v>2</v>
      </c>
    </row>
    <row r="2800" spans="7:11">
      <c r="G2800">
        <v>1</v>
      </c>
      <c r="H2800">
        <v>2</v>
      </c>
      <c r="I2800">
        <v>3</v>
      </c>
      <c r="J2800">
        <v>1</v>
      </c>
      <c r="K2800">
        <v>1</v>
      </c>
    </row>
    <row r="2801" spans="7:11">
      <c r="G2801">
        <v>1</v>
      </c>
      <c r="H2801">
        <v>2</v>
      </c>
      <c r="I2801">
        <v>3</v>
      </c>
      <c r="J2801">
        <v>2</v>
      </c>
      <c r="K2801">
        <v>2</v>
      </c>
    </row>
    <row r="2802" spans="7:11">
      <c r="G2802">
        <v>1</v>
      </c>
      <c r="H2802">
        <v>2</v>
      </c>
      <c r="I2802">
        <v>4</v>
      </c>
      <c r="J2802">
        <v>1</v>
      </c>
      <c r="K2802">
        <v>1</v>
      </c>
    </row>
    <row r="2803" spans="7:11">
      <c r="G2803">
        <v>1</v>
      </c>
      <c r="H2803">
        <v>2</v>
      </c>
      <c r="I2803">
        <v>4</v>
      </c>
      <c r="J2803">
        <v>2</v>
      </c>
      <c r="K2803">
        <v>2</v>
      </c>
    </row>
    <row r="2804" spans="7:11">
      <c r="G2804">
        <v>1</v>
      </c>
      <c r="H2804">
        <v>2</v>
      </c>
      <c r="I2804">
        <v>5</v>
      </c>
      <c r="J2804">
        <v>1</v>
      </c>
      <c r="K2804">
        <v>1</v>
      </c>
    </row>
    <row r="2805" spans="7:11">
      <c r="G2805">
        <v>1</v>
      </c>
      <c r="H2805">
        <v>2</v>
      </c>
      <c r="I2805">
        <v>5</v>
      </c>
      <c r="J2805">
        <v>2</v>
      </c>
      <c r="K2805">
        <v>2</v>
      </c>
    </row>
    <row r="2806" spans="7:11">
      <c r="G2806">
        <v>1</v>
      </c>
      <c r="H2806">
        <v>3</v>
      </c>
      <c r="I2806">
        <v>1</v>
      </c>
      <c r="J2806">
        <v>1</v>
      </c>
      <c r="K2806">
        <v>1</v>
      </c>
    </row>
    <row r="2807" spans="7:11">
      <c r="G2807">
        <v>1</v>
      </c>
      <c r="H2807">
        <v>3</v>
      </c>
      <c r="I2807">
        <v>1</v>
      </c>
      <c r="J2807">
        <v>2</v>
      </c>
      <c r="K2807">
        <v>2</v>
      </c>
    </row>
    <row r="2808" spans="7:11">
      <c r="G2808">
        <v>1</v>
      </c>
      <c r="H2808">
        <v>3</v>
      </c>
      <c r="I2808">
        <v>2</v>
      </c>
      <c r="J2808">
        <v>1</v>
      </c>
      <c r="K2808">
        <v>1</v>
      </c>
    </row>
    <row r="2809" spans="7:11">
      <c r="G2809">
        <v>1</v>
      </c>
      <c r="H2809">
        <v>3</v>
      </c>
      <c r="I2809">
        <v>2</v>
      </c>
      <c r="J2809">
        <v>2</v>
      </c>
      <c r="K2809">
        <v>2</v>
      </c>
    </row>
    <row r="2810" spans="7:11">
      <c r="G2810">
        <v>1</v>
      </c>
      <c r="H2810">
        <v>3</v>
      </c>
      <c r="I2810">
        <v>3</v>
      </c>
      <c r="J2810">
        <v>1</v>
      </c>
      <c r="K2810">
        <v>1</v>
      </c>
    </row>
    <row r="2811" spans="7:11">
      <c r="G2811">
        <v>1</v>
      </c>
      <c r="H2811">
        <v>3</v>
      </c>
      <c r="I2811">
        <v>3</v>
      </c>
      <c r="J2811">
        <v>2</v>
      </c>
      <c r="K2811">
        <v>2</v>
      </c>
    </row>
    <row r="2812" spans="7:11">
      <c r="G2812">
        <v>1</v>
      </c>
      <c r="H2812">
        <v>3</v>
      </c>
      <c r="I2812">
        <v>4</v>
      </c>
      <c r="J2812">
        <v>1</v>
      </c>
      <c r="K2812">
        <v>1</v>
      </c>
    </row>
    <row r="2813" spans="7:11">
      <c r="G2813">
        <v>1</v>
      </c>
      <c r="H2813">
        <v>3</v>
      </c>
      <c r="I2813">
        <v>4</v>
      </c>
      <c r="J2813">
        <v>2</v>
      </c>
      <c r="K2813">
        <v>2</v>
      </c>
    </row>
    <row r="2814" spans="7:11">
      <c r="G2814">
        <v>1</v>
      </c>
      <c r="H2814">
        <v>3</v>
      </c>
      <c r="I2814">
        <v>5</v>
      </c>
      <c r="J2814">
        <v>1</v>
      </c>
      <c r="K2814">
        <v>1</v>
      </c>
    </row>
    <row r="2815" spans="7:11">
      <c r="G2815">
        <v>1</v>
      </c>
      <c r="H2815">
        <v>3</v>
      </c>
      <c r="I2815">
        <v>5</v>
      </c>
      <c r="J2815">
        <v>2</v>
      </c>
      <c r="K2815">
        <v>2</v>
      </c>
    </row>
    <row r="2816" spans="7:11">
      <c r="G2816">
        <v>2</v>
      </c>
      <c r="H2816">
        <v>1</v>
      </c>
      <c r="I2816">
        <v>3</v>
      </c>
      <c r="J2816">
        <v>1</v>
      </c>
      <c r="K2816">
        <v>1</v>
      </c>
    </row>
    <row r="2817" spans="7:11">
      <c r="G2817">
        <v>2</v>
      </c>
      <c r="H2817">
        <v>1</v>
      </c>
      <c r="I2817">
        <v>3</v>
      </c>
      <c r="J2817">
        <v>2</v>
      </c>
      <c r="K2817">
        <v>2</v>
      </c>
    </row>
    <row r="2818" spans="7:11">
      <c r="G2818">
        <v>2</v>
      </c>
      <c r="H2818">
        <v>1</v>
      </c>
      <c r="I2818">
        <v>4</v>
      </c>
      <c r="J2818">
        <v>1</v>
      </c>
      <c r="K2818">
        <v>1</v>
      </c>
    </row>
    <row r="2819" spans="7:11">
      <c r="G2819">
        <v>2</v>
      </c>
      <c r="H2819">
        <v>1</v>
      </c>
      <c r="I2819">
        <v>4</v>
      </c>
      <c r="J2819">
        <v>2</v>
      </c>
      <c r="K2819">
        <v>2</v>
      </c>
    </row>
    <row r="2820" spans="7:11">
      <c r="G2820">
        <v>2</v>
      </c>
      <c r="H2820">
        <v>1</v>
      </c>
      <c r="I2820">
        <v>5</v>
      </c>
      <c r="J2820">
        <v>1</v>
      </c>
      <c r="K2820">
        <v>1</v>
      </c>
    </row>
    <row r="2821" spans="7:11">
      <c r="G2821">
        <v>2</v>
      </c>
      <c r="H2821">
        <v>1</v>
      </c>
      <c r="I2821">
        <v>5</v>
      </c>
      <c r="J2821">
        <v>2</v>
      </c>
      <c r="K2821">
        <v>2</v>
      </c>
    </row>
    <row r="2822" spans="7:11">
      <c r="G2822">
        <v>2</v>
      </c>
      <c r="H2822">
        <v>2</v>
      </c>
      <c r="I2822">
        <v>1</v>
      </c>
      <c r="J2822">
        <v>1</v>
      </c>
      <c r="K2822">
        <v>1</v>
      </c>
    </row>
    <row r="2823" spans="7:11">
      <c r="G2823">
        <v>2</v>
      </c>
      <c r="H2823">
        <v>2</v>
      </c>
      <c r="I2823">
        <v>1</v>
      </c>
      <c r="J2823">
        <v>2</v>
      </c>
      <c r="K2823">
        <v>2</v>
      </c>
    </row>
    <row r="2824" spans="7:11">
      <c r="G2824">
        <v>2</v>
      </c>
      <c r="H2824">
        <v>2</v>
      </c>
      <c r="I2824">
        <v>2</v>
      </c>
      <c r="J2824">
        <v>1</v>
      </c>
      <c r="K2824">
        <v>1</v>
      </c>
    </row>
    <row r="2825" spans="7:11">
      <c r="G2825">
        <v>2</v>
      </c>
      <c r="H2825">
        <v>2</v>
      </c>
      <c r="I2825">
        <v>2</v>
      </c>
      <c r="J2825">
        <v>2</v>
      </c>
      <c r="K2825">
        <v>2</v>
      </c>
    </row>
    <row r="2826" spans="7:11">
      <c r="G2826">
        <v>2</v>
      </c>
      <c r="H2826">
        <v>2</v>
      </c>
      <c r="I2826">
        <v>3</v>
      </c>
      <c r="J2826">
        <v>1</v>
      </c>
      <c r="K2826">
        <v>1</v>
      </c>
    </row>
    <row r="2827" spans="7:11">
      <c r="G2827">
        <v>2</v>
      </c>
      <c r="H2827">
        <v>2</v>
      </c>
      <c r="I2827">
        <v>3</v>
      </c>
      <c r="J2827">
        <v>2</v>
      </c>
      <c r="K2827">
        <v>2</v>
      </c>
    </row>
    <row r="2828" spans="7:11">
      <c r="G2828">
        <v>2</v>
      </c>
      <c r="H2828">
        <v>2</v>
      </c>
      <c r="I2828">
        <v>4</v>
      </c>
      <c r="J2828">
        <v>1</v>
      </c>
      <c r="K2828">
        <v>1</v>
      </c>
    </row>
    <row r="2829" spans="7:11">
      <c r="G2829">
        <v>2</v>
      </c>
      <c r="H2829">
        <v>2</v>
      </c>
      <c r="I2829">
        <v>4</v>
      </c>
      <c r="J2829">
        <v>2</v>
      </c>
      <c r="K2829">
        <v>2</v>
      </c>
    </row>
    <row r="2830" spans="7:11">
      <c r="G2830">
        <v>2</v>
      </c>
      <c r="H2830">
        <v>2</v>
      </c>
      <c r="I2830">
        <v>5</v>
      </c>
      <c r="J2830">
        <v>1</v>
      </c>
      <c r="K2830">
        <v>1</v>
      </c>
    </row>
    <row r="2831" spans="7:11">
      <c r="G2831">
        <v>2</v>
      </c>
      <c r="H2831">
        <v>2</v>
      </c>
      <c r="I2831">
        <v>5</v>
      </c>
      <c r="J2831">
        <v>2</v>
      </c>
      <c r="K2831">
        <v>2</v>
      </c>
    </row>
    <row r="2832" spans="7:11">
      <c r="G2832">
        <v>2</v>
      </c>
      <c r="H2832">
        <v>3</v>
      </c>
      <c r="I2832">
        <v>1</v>
      </c>
      <c r="J2832">
        <v>1</v>
      </c>
      <c r="K2832">
        <v>1</v>
      </c>
    </row>
    <row r="2833" spans="7:11">
      <c r="G2833">
        <v>2</v>
      </c>
      <c r="H2833">
        <v>3</v>
      </c>
      <c r="I2833">
        <v>1</v>
      </c>
      <c r="J2833">
        <v>2</v>
      </c>
      <c r="K2833">
        <v>2</v>
      </c>
    </row>
    <row r="2834" spans="7:11">
      <c r="G2834">
        <v>2</v>
      </c>
      <c r="H2834">
        <v>3</v>
      </c>
      <c r="I2834">
        <v>2</v>
      </c>
      <c r="J2834">
        <v>1</v>
      </c>
      <c r="K2834">
        <v>1</v>
      </c>
    </row>
    <row r="2835" spans="7:11">
      <c r="G2835">
        <v>2</v>
      </c>
      <c r="H2835">
        <v>3</v>
      </c>
      <c r="I2835">
        <v>2</v>
      </c>
      <c r="J2835">
        <v>2</v>
      </c>
      <c r="K2835">
        <v>2</v>
      </c>
    </row>
    <row r="2836" spans="7:11">
      <c r="G2836">
        <v>2</v>
      </c>
      <c r="H2836">
        <v>3</v>
      </c>
      <c r="I2836">
        <v>3</v>
      </c>
      <c r="J2836">
        <v>1</v>
      </c>
      <c r="K2836">
        <v>1</v>
      </c>
    </row>
    <row r="2837" spans="7:11">
      <c r="G2837">
        <v>2</v>
      </c>
      <c r="H2837">
        <v>3</v>
      </c>
      <c r="I2837">
        <v>3</v>
      </c>
      <c r="J2837">
        <v>2</v>
      </c>
      <c r="K2837">
        <v>2</v>
      </c>
    </row>
    <row r="2838" spans="7:11">
      <c r="G2838">
        <v>2</v>
      </c>
      <c r="H2838">
        <v>3</v>
      </c>
      <c r="I2838">
        <v>4</v>
      </c>
      <c r="J2838">
        <v>1</v>
      </c>
      <c r="K2838">
        <v>1</v>
      </c>
    </row>
    <row r="2839" spans="7:11">
      <c r="G2839">
        <v>2</v>
      </c>
      <c r="H2839">
        <v>3</v>
      </c>
      <c r="I2839">
        <v>4</v>
      </c>
      <c r="J2839">
        <v>2</v>
      </c>
      <c r="K2839">
        <v>2</v>
      </c>
    </row>
    <row r="2840" spans="7:11">
      <c r="G2840">
        <v>2</v>
      </c>
      <c r="H2840">
        <v>3</v>
      </c>
      <c r="I2840">
        <v>5</v>
      </c>
      <c r="J2840">
        <v>1</v>
      </c>
      <c r="K2840">
        <v>1</v>
      </c>
    </row>
    <row r="2841" spans="7:11">
      <c r="G2841">
        <v>2</v>
      </c>
      <c r="H2841">
        <v>3</v>
      </c>
      <c r="I2841">
        <v>5</v>
      </c>
      <c r="J2841">
        <v>2</v>
      </c>
      <c r="K2841">
        <v>2</v>
      </c>
    </row>
    <row r="2842" spans="7:11">
      <c r="G2842">
        <v>3</v>
      </c>
      <c r="H2842">
        <v>1</v>
      </c>
      <c r="I2842">
        <v>3</v>
      </c>
      <c r="J2842">
        <v>1</v>
      </c>
      <c r="K2842">
        <v>1</v>
      </c>
    </row>
    <row r="2843" spans="7:11">
      <c r="G2843">
        <v>3</v>
      </c>
      <c r="H2843">
        <v>1</v>
      </c>
      <c r="I2843">
        <v>3</v>
      </c>
      <c r="J2843">
        <v>2</v>
      </c>
      <c r="K2843">
        <v>2</v>
      </c>
    </row>
    <row r="2844" spans="7:11">
      <c r="G2844">
        <v>3</v>
      </c>
      <c r="H2844">
        <v>1</v>
      </c>
      <c r="I2844">
        <v>4</v>
      </c>
      <c r="J2844">
        <v>1</v>
      </c>
      <c r="K2844">
        <v>1</v>
      </c>
    </row>
    <row r="2845" spans="7:11">
      <c r="G2845">
        <v>3</v>
      </c>
      <c r="H2845">
        <v>1</v>
      </c>
      <c r="I2845">
        <v>4</v>
      </c>
      <c r="J2845">
        <v>2</v>
      </c>
      <c r="K2845">
        <v>2</v>
      </c>
    </row>
    <row r="2846" spans="7:11">
      <c r="G2846">
        <v>3</v>
      </c>
      <c r="H2846">
        <v>1</v>
      </c>
      <c r="I2846">
        <v>5</v>
      </c>
      <c r="J2846">
        <v>1</v>
      </c>
      <c r="K2846">
        <v>1</v>
      </c>
    </row>
    <row r="2847" spans="7:11">
      <c r="G2847">
        <v>3</v>
      </c>
      <c r="H2847">
        <v>1</v>
      </c>
      <c r="I2847">
        <v>5</v>
      </c>
      <c r="J2847">
        <v>2</v>
      </c>
      <c r="K2847">
        <v>2</v>
      </c>
    </row>
    <row r="2848" spans="7:11">
      <c r="G2848">
        <v>3</v>
      </c>
      <c r="H2848">
        <v>2</v>
      </c>
      <c r="I2848">
        <v>1</v>
      </c>
      <c r="J2848">
        <v>1</v>
      </c>
      <c r="K2848">
        <v>1</v>
      </c>
    </row>
    <row r="2849" spans="7:11">
      <c r="G2849">
        <v>3</v>
      </c>
      <c r="H2849">
        <v>2</v>
      </c>
      <c r="I2849">
        <v>1</v>
      </c>
      <c r="J2849">
        <v>2</v>
      </c>
      <c r="K2849">
        <v>2</v>
      </c>
    </row>
    <row r="2850" spans="7:11">
      <c r="G2850">
        <v>3</v>
      </c>
      <c r="H2850">
        <v>2</v>
      </c>
      <c r="I2850">
        <v>2</v>
      </c>
      <c r="J2850">
        <v>1</v>
      </c>
      <c r="K2850">
        <v>1</v>
      </c>
    </row>
    <row r="2851" spans="7:11">
      <c r="G2851">
        <v>3</v>
      </c>
      <c r="H2851">
        <v>2</v>
      </c>
      <c r="I2851">
        <v>2</v>
      </c>
      <c r="J2851">
        <v>2</v>
      </c>
      <c r="K2851">
        <v>2</v>
      </c>
    </row>
    <row r="2852" spans="7:11">
      <c r="G2852">
        <v>3</v>
      </c>
      <c r="H2852">
        <v>2</v>
      </c>
      <c r="I2852">
        <v>3</v>
      </c>
      <c r="J2852">
        <v>1</v>
      </c>
      <c r="K2852">
        <v>1</v>
      </c>
    </row>
    <row r="2853" spans="7:11">
      <c r="G2853">
        <v>3</v>
      </c>
      <c r="H2853">
        <v>2</v>
      </c>
      <c r="I2853">
        <v>3</v>
      </c>
      <c r="J2853">
        <v>2</v>
      </c>
      <c r="K2853">
        <v>2</v>
      </c>
    </row>
    <row r="2854" spans="7:11">
      <c r="G2854">
        <v>3</v>
      </c>
      <c r="H2854">
        <v>2</v>
      </c>
      <c r="I2854">
        <v>4</v>
      </c>
      <c r="J2854">
        <v>1</v>
      </c>
      <c r="K2854">
        <v>1</v>
      </c>
    </row>
    <row r="2855" spans="7:11">
      <c r="G2855">
        <v>3</v>
      </c>
      <c r="H2855">
        <v>2</v>
      </c>
      <c r="I2855">
        <v>4</v>
      </c>
      <c r="J2855">
        <v>2</v>
      </c>
      <c r="K2855">
        <v>2</v>
      </c>
    </row>
    <row r="2856" spans="7:11">
      <c r="G2856">
        <v>3</v>
      </c>
      <c r="H2856">
        <v>2</v>
      </c>
      <c r="I2856">
        <v>5</v>
      </c>
      <c r="J2856">
        <v>1</v>
      </c>
      <c r="K2856">
        <v>1</v>
      </c>
    </row>
    <row r="2857" spans="7:11">
      <c r="G2857">
        <v>3</v>
      </c>
      <c r="H2857">
        <v>2</v>
      </c>
      <c r="I2857">
        <v>5</v>
      </c>
      <c r="J2857">
        <v>2</v>
      </c>
      <c r="K2857">
        <v>2</v>
      </c>
    </row>
    <row r="2858" spans="7:11">
      <c r="G2858">
        <v>3</v>
      </c>
      <c r="H2858">
        <v>3</v>
      </c>
      <c r="I2858">
        <v>1</v>
      </c>
      <c r="J2858">
        <v>1</v>
      </c>
      <c r="K2858">
        <v>1</v>
      </c>
    </row>
    <row r="2859" spans="7:11">
      <c r="G2859">
        <v>3</v>
      </c>
      <c r="H2859">
        <v>3</v>
      </c>
      <c r="I2859">
        <v>1</v>
      </c>
      <c r="J2859">
        <v>2</v>
      </c>
      <c r="K2859">
        <v>2</v>
      </c>
    </row>
    <row r="2860" spans="7:11">
      <c r="G2860">
        <v>3</v>
      </c>
      <c r="H2860">
        <v>3</v>
      </c>
      <c r="I2860">
        <v>2</v>
      </c>
      <c r="J2860">
        <v>1</v>
      </c>
      <c r="K2860">
        <v>1</v>
      </c>
    </row>
    <row r="2861" spans="7:11">
      <c r="G2861">
        <v>3</v>
      </c>
      <c r="H2861">
        <v>3</v>
      </c>
      <c r="I2861">
        <v>2</v>
      </c>
      <c r="J2861">
        <v>2</v>
      </c>
      <c r="K2861">
        <v>2</v>
      </c>
    </row>
    <row r="2862" spans="7:11">
      <c r="G2862">
        <v>3</v>
      </c>
      <c r="H2862">
        <v>3</v>
      </c>
      <c r="I2862">
        <v>3</v>
      </c>
      <c r="J2862">
        <v>1</v>
      </c>
      <c r="K2862">
        <v>1</v>
      </c>
    </row>
    <row r="2863" spans="7:11">
      <c r="G2863">
        <v>3</v>
      </c>
      <c r="H2863">
        <v>3</v>
      </c>
      <c r="I2863">
        <v>3</v>
      </c>
      <c r="J2863">
        <v>2</v>
      </c>
      <c r="K2863">
        <v>2</v>
      </c>
    </row>
    <row r="2864" spans="7:11">
      <c r="G2864">
        <v>3</v>
      </c>
      <c r="H2864">
        <v>3</v>
      </c>
      <c r="I2864">
        <v>4</v>
      </c>
      <c r="J2864">
        <v>1</v>
      </c>
      <c r="K2864">
        <v>1</v>
      </c>
    </row>
    <row r="2865" spans="7:11">
      <c r="G2865">
        <v>3</v>
      </c>
      <c r="H2865">
        <v>3</v>
      </c>
      <c r="I2865">
        <v>4</v>
      </c>
      <c r="J2865">
        <v>2</v>
      </c>
      <c r="K2865">
        <v>2</v>
      </c>
    </row>
    <row r="2866" spans="7:11">
      <c r="G2866">
        <v>3</v>
      </c>
      <c r="H2866">
        <v>3</v>
      </c>
      <c r="I2866">
        <v>5</v>
      </c>
      <c r="J2866">
        <v>1</v>
      </c>
      <c r="K2866">
        <v>1</v>
      </c>
    </row>
    <row r="2867" spans="7:11">
      <c r="G2867">
        <v>3</v>
      </c>
      <c r="H2867">
        <v>3</v>
      </c>
      <c r="I2867">
        <v>5</v>
      </c>
      <c r="J2867">
        <v>2</v>
      </c>
      <c r="K2867">
        <v>2</v>
      </c>
    </row>
    <row r="2868" spans="7:11">
      <c r="G2868">
        <v>4</v>
      </c>
      <c r="H2868">
        <v>1</v>
      </c>
      <c r="I2868">
        <v>3</v>
      </c>
      <c r="J2868">
        <v>1</v>
      </c>
      <c r="K2868">
        <v>1</v>
      </c>
    </row>
    <row r="2869" spans="7:11">
      <c r="G2869">
        <v>4</v>
      </c>
      <c r="H2869">
        <v>1</v>
      </c>
      <c r="I2869">
        <v>3</v>
      </c>
      <c r="J2869">
        <v>2</v>
      </c>
      <c r="K2869">
        <v>2</v>
      </c>
    </row>
    <row r="2870" spans="7:11">
      <c r="G2870">
        <v>4</v>
      </c>
      <c r="H2870">
        <v>1</v>
      </c>
      <c r="I2870">
        <v>4</v>
      </c>
      <c r="J2870">
        <v>1</v>
      </c>
      <c r="K2870">
        <v>1</v>
      </c>
    </row>
    <row r="2871" spans="7:11">
      <c r="G2871">
        <v>4</v>
      </c>
      <c r="H2871">
        <v>1</v>
      </c>
      <c r="I2871">
        <v>4</v>
      </c>
      <c r="J2871">
        <v>2</v>
      </c>
      <c r="K2871">
        <v>2</v>
      </c>
    </row>
    <row r="2872" spans="7:11">
      <c r="G2872">
        <v>4</v>
      </c>
      <c r="H2872">
        <v>1</v>
      </c>
      <c r="I2872">
        <v>5</v>
      </c>
      <c r="J2872">
        <v>1</v>
      </c>
      <c r="K2872">
        <v>1</v>
      </c>
    </row>
    <row r="2873" spans="7:11">
      <c r="G2873">
        <v>4</v>
      </c>
      <c r="H2873">
        <v>1</v>
      </c>
      <c r="I2873">
        <v>5</v>
      </c>
      <c r="J2873">
        <v>2</v>
      </c>
      <c r="K2873">
        <v>2</v>
      </c>
    </row>
    <row r="2874" spans="7:11">
      <c r="G2874">
        <v>4</v>
      </c>
      <c r="H2874">
        <v>2</v>
      </c>
      <c r="I2874">
        <v>1</v>
      </c>
      <c r="J2874">
        <v>1</v>
      </c>
      <c r="K2874">
        <v>1</v>
      </c>
    </row>
    <row r="2875" spans="7:11">
      <c r="G2875">
        <v>4</v>
      </c>
      <c r="H2875">
        <v>2</v>
      </c>
      <c r="I2875">
        <v>1</v>
      </c>
      <c r="J2875">
        <v>2</v>
      </c>
      <c r="K2875">
        <v>2</v>
      </c>
    </row>
    <row r="2876" spans="7:11">
      <c r="G2876">
        <v>4</v>
      </c>
      <c r="H2876">
        <v>2</v>
      </c>
      <c r="I2876">
        <v>2</v>
      </c>
      <c r="J2876">
        <v>1</v>
      </c>
      <c r="K2876">
        <v>1</v>
      </c>
    </row>
    <row r="2877" spans="7:11">
      <c r="G2877">
        <v>4</v>
      </c>
      <c r="H2877">
        <v>2</v>
      </c>
      <c r="I2877">
        <v>2</v>
      </c>
      <c r="J2877">
        <v>2</v>
      </c>
      <c r="K2877">
        <v>2</v>
      </c>
    </row>
    <row r="2878" spans="7:11">
      <c r="G2878">
        <v>4</v>
      </c>
      <c r="H2878">
        <v>2</v>
      </c>
      <c r="I2878">
        <v>3</v>
      </c>
      <c r="J2878">
        <v>1</v>
      </c>
      <c r="K2878">
        <v>1</v>
      </c>
    </row>
    <row r="2879" spans="7:11">
      <c r="G2879">
        <v>4</v>
      </c>
      <c r="H2879">
        <v>2</v>
      </c>
      <c r="I2879">
        <v>3</v>
      </c>
      <c r="J2879">
        <v>2</v>
      </c>
      <c r="K2879">
        <v>2</v>
      </c>
    </row>
    <row r="2880" spans="7:11">
      <c r="G2880">
        <v>4</v>
      </c>
      <c r="H2880">
        <v>2</v>
      </c>
      <c r="I2880">
        <v>4</v>
      </c>
      <c r="J2880">
        <v>1</v>
      </c>
      <c r="K2880">
        <v>1</v>
      </c>
    </row>
    <row r="2881" spans="7:11">
      <c r="G2881">
        <v>4</v>
      </c>
      <c r="H2881">
        <v>2</v>
      </c>
      <c r="I2881">
        <v>4</v>
      </c>
      <c r="J2881">
        <v>2</v>
      </c>
      <c r="K2881">
        <v>2</v>
      </c>
    </row>
    <row r="2882" spans="7:11">
      <c r="G2882">
        <v>4</v>
      </c>
      <c r="H2882">
        <v>2</v>
      </c>
      <c r="I2882">
        <v>5</v>
      </c>
      <c r="J2882">
        <v>1</v>
      </c>
      <c r="K2882">
        <v>1</v>
      </c>
    </row>
    <row r="2883" spans="7:11">
      <c r="G2883">
        <v>4</v>
      </c>
      <c r="H2883">
        <v>2</v>
      </c>
      <c r="I2883">
        <v>5</v>
      </c>
      <c r="J2883">
        <v>2</v>
      </c>
      <c r="K2883">
        <v>2</v>
      </c>
    </row>
    <row r="2884" spans="7:11">
      <c r="G2884">
        <v>4</v>
      </c>
      <c r="H2884">
        <v>3</v>
      </c>
      <c r="I2884">
        <v>1</v>
      </c>
      <c r="J2884">
        <v>1</v>
      </c>
      <c r="K2884">
        <v>1</v>
      </c>
    </row>
    <row r="2885" spans="7:11">
      <c r="G2885">
        <v>4</v>
      </c>
      <c r="H2885">
        <v>3</v>
      </c>
      <c r="I2885">
        <v>1</v>
      </c>
      <c r="J2885">
        <v>2</v>
      </c>
      <c r="K2885">
        <v>2</v>
      </c>
    </row>
    <row r="2886" spans="7:11">
      <c r="G2886">
        <v>4</v>
      </c>
      <c r="H2886">
        <v>3</v>
      </c>
      <c r="I2886">
        <v>2</v>
      </c>
      <c r="J2886">
        <v>1</v>
      </c>
      <c r="K2886">
        <v>1</v>
      </c>
    </row>
    <row r="2887" spans="7:11">
      <c r="G2887">
        <v>4</v>
      </c>
      <c r="H2887">
        <v>3</v>
      </c>
      <c r="I2887">
        <v>2</v>
      </c>
      <c r="J2887">
        <v>2</v>
      </c>
      <c r="K2887">
        <v>2</v>
      </c>
    </row>
    <row r="2888" spans="7:11">
      <c r="G2888">
        <v>4</v>
      </c>
      <c r="H2888">
        <v>3</v>
      </c>
      <c r="I2888">
        <v>3</v>
      </c>
      <c r="J2888">
        <v>1</v>
      </c>
      <c r="K2888">
        <v>1</v>
      </c>
    </row>
    <row r="2889" spans="7:11">
      <c r="G2889">
        <v>4</v>
      </c>
      <c r="H2889">
        <v>3</v>
      </c>
      <c r="I2889">
        <v>3</v>
      </c>
      <c r="J2889">
        <v>2</v>
      </c>
      <c r="K2889">
        <v>2</v>
      </c>
    </row>
    <row r="2890" spans="7:11">
      <c r="G2890">
        <v>4</v>
      </c>
      <c r="H2890">
        <v>3</v>
      </c>
      <c r="I2890">
        <v>4</v>
      </c>
      <c r="J2890">
        <v>1</v>
      </c>
      <c r="K2890">
        <v>1</v>
      </c>
    </row>
    <row r="2891" spans="7:11">
      <c r="G2891">
        <v>4</v>
      </c>
      <c r="H2891">
        <v>3</v>
      </c>
      <c r="I2891">
        <v>4</v>
      </c>
      <c r="J2891">
        <v>2</v>
      </c>
      <c r="K2891">
        <v>2</v>
      </c>
    </row>
    <row r="2892" spans="7:11">
      <c r="G2892">
        <v>4</v>
      </c>
      <c r="H2892">
        <v>3</v>
      </c>
      <c r="I2892">
        <v>5</v>
      </c>
      <c r="J2892">
        <v>1</v>
      </c>
      <c r="K2892">
        <v>1</v>
      </c>
    </row>
    <row r="2893" spans="7:11">
      <c r="G2893">
        <v>4</v>
      </c>
      <c r="H2893">
        <v>3</v>
      </c>
      <c r="I2893">
        <v>5</v>
      </c>
      <c r="J2893">
        <v>2</v>
      </c>
      <c r="K2893">
        <v>2</v>
      </c>
    </row>
    <row r="2894" spans="7:11">
      <c r="G2894">
        <v>1</v>
      </c>
      <c r="H2894">
        <v>2</v>
      </c>
      <c r="I2894">
        <v>1</v>
      </c>
      <c r="J2894">
        <v>1</v>
      </c>
      <c r="K2894">
        <v>1</v>
      </c>
    </row>
    <row r="2895" spans="7:11">
      <c r="G2895">
        <v>1</v>
      </c>
      <c r="H2895">
        <v>2</v>
      </c>
      <c r="I2895">
        <v>1</v>
      </c>
      <c r="J2895">
        <v>2</v>
      </c>
      <c r="K2895">
        <v>2</v>
      </c>
    </row>
    <row r="2896" spans="7:11">
      <c r="G2896">
        <v>1</v>
      </c>
      <c r="H2896">
        <v>2</v>
      </c>
      <c r="I2896">
        <v>2</v>
      </c>
      <c r="J2896">
        <v>1</v>
      </c>
      <c r="K2896">
        <v>1</v>
      </c>
    </row>
    <row r="2897" spans="7:11">
      <c r="G2897">
        <v>1</v>
      </c>
      <c r="H2897">
        <v>2</v>
      </c>
      <c r="I2897">
        <v>2</v>
      </c>
      <c r="J2897">
        <v>2</v>
      </c>
      <c r="K2897">
        <v>2</v>
      </c>
    </row>
    <row r="2898" spans="7:11">
      <c r="G2898">
        <v>1</v>
      </c>
      <c r="H2898">
        <v>2</v>
      </c>
      <c r="I2898">
        <v>3</v>
      </c>
      <c r="J2898">
        <v>1</v>
      </c>
      <c r="K2898">
        <v>1</v>
      </c>
    </row>
    <row r="2899" spans="7:11">
      <c r="G2899">
        <v>1</v>
      </c>
      <c r="H2899">
        <v>2</v>
      </c>
      <c r="I2899">
        <v>3</v>
      </c>
      <c r="J2899">
        <v>2</v>
      </c>
      <c r="K2899">
        <v>2</v>
      </c>
    </row>
    <row r="2900" spans="7:11">
      <c r="G2900">
        <v>1</v>
      </c>
      <c r="H2900">
        <v>2</v>
      </c>
      <c r="I2900">
        <v>4</v>
      </c>
      <c r="J2900">
        <v>1</v>
      </c>
      <c r="K2900">
        <v>1</v>
      </c>
    </row>
    <row r="2901" spans="7:11">
      <c r="G2901">
        <v>1</v>
      </c>
      <c r="H2901">
        <v>2</v>
      </c>
      <c r="I2901">
        <v>4</v>
      </c>
      <c r="J2901">
        <v>2</v>
      </c>
      <c r="K2901">
        <v>2</v>
      </c>
    </row>
    <row r="2902" spans="7:11">
      <c r="G2902">
        <v>1</v>
      </c>
      <c r="H2902">
        <v>2</v>
      </c>
      <c r="I2902">
        <v>5</v>
      </c>
      <c r="J2902">
        <v>1</v>
      </c>
      <c r="K2902">
        <v>1</v>
      </c>
    </row>
    <row r="2903" spans="7:11">
      <c r="G2903">
        <v>1</v>
      </c>
      <c r="H2903">
        <v>2</v>
      </c>
      <c r="I2903">
        <v>5</v>
      </c>
      <c r="J2903">
        <v>2</v>
      </c>
      <c r="K2903">
        <v>2</v>
      </c>
    </row>
    <row r="2904" spans="7:11">
      <c r="G2904">
        <v>1</v>
      </c>
      <c r="H2904">
        <v>3</v>
      </c>
      <c r="I2904">
        <v>1</v>
      </c>
      <c r="J2904">
        <v>1</v>
      </c>
      <c r="K2904">
        <v>1</v>
      </c>
    </row>
    <row r="2905" spans="7:11">
      <c r="G2905">
        <v>1</v>
      </c>
      <c r="H2905">
        <v>3</v>
      </c>
      <c r="I2905">
        <v>1</v>
      </c>
      <c r="J2905">
        <v>2</v>
      </c>
      <c r="K2905">
        <v>2</v>
      </c>
    </row>
    <row r="2906" spans="7:11">
      <c r="G2906">
        <v>1</v>
      </c>
      <c r="H2906">
        <v>3</v>
      </c>
      <c r="I2906">
        <v>2</v>
      </c>
      <c r="J2906">
        <v>1</v>
      </c>
      <c r="K2906">
        <v>1</v>
      </c>
    </row>
    <row r="2907" spans="7:11">
      <c r="G2907">
        <v>1</v>
      </c>
      <c r="H2907">
        <v>3</v>
      </c>
      <c r="I2907">
        <v>2</v>
      </c>
      <c r="J2907">
        <v>2</v>
      </c>
      <c r="K2907">
        <v>2</v>
      </c>
    </row>
    <row r="2908" spans="7:11">
      <c r="G2908">
        <v>1</v>
      </c>
      <c r="H2908">
        <v>3</v>
      </c>
      <c r="I2908">
        <v>3</v>
      </c>
      <c r="J2908">
        <v>1</v>
      </c>
      <c r="K2908">
        <v>1</v>
      </c>
    </row>
    <row r="2909" spans="7:11">
      <c r="G2909">
        <v>1</v>
      </c>
      <c r="H2909">
        <v>3</v>
      </c>
      <c r="I2909">
        <v>3</v>
      </c>
      <c r="J2909">
        <v>2</v>
      </c>
      <c r="K2909">
        <v>2</v>
      </c>
    </row>
    <row r="2910" spans="7:11">
      <c r="G2910">
        <v>1</v>
      </c>
      <c r="H2910">
        <v>3</v>
      </c>
      <c r="I2910">
        <v>4</v>
      </c>
      <c r="J2910">
        <v>1</v>
      </c>
      <c r="K2910">
        <v>1</v>
      </c>
    </row>
    <row r="2911" spans="7:11">
      <c r="G2911">
        <v>1</v>
      </c>
      <c r="H2911">
        <v>3</v>
      </c>
      <c r="I2911">
        <v>4</v>
      </c>
      <c r="J2911">
        <v>2</v>
      </c>
      <c r="K2911">
        <v>2</v>
      </c>
    </row>
    <row r="2912" spans="7:11">
      <c r="G2912">
        <v>1</v>
      </c>
      <c r="H2912">
        <v>3</v>
      </c>
      <c r="I2912">
        <v>5</v>
      </c>
      <c r="J2912">
        <v>1</v>
      </c>
      <c r="K2912">
        <v>1</v>
      </c>
    </row>
    <row r="2913" spans="7:11">
      <c r="G2913">
        <v>1</v>
      </c>
      <c r="H2913">
        <v>3</v>
      </c>
      <c r="I2913">
        <v>5</v>
      </c>
      <c r="J2913">
        <v>2</v>
      </c>
      <c r="K2913">
        <v>2</v>
      </c>
    </row>
    <row r="2914" spans="7:11">
      <c r="G2914">
        <v>2</v>
      </c>
      <c r="H2914">
        <v>1</v>
      </c>
      <c r="I2914">
        <v>3</v>
      </c>
      <c r="J2914">
        <v>1</v>
      </c>
      <c r="K2914">
        <v>1</v>
      </c>
    </row>
    <row r="2915" spans="7:11">
      <c r="G2915">
        <v>2</v>
      </c>
      <c r="H2915">
        <v>1</v>
      </c>
      <c r="I2915">
        <v>3</v>
      </c>
      <c r="J2915">
        <v>2</v>
      </c>
      <c r="K2915">
        <v>2</v>
      </c>
    </row>
    <row r="2916" spans="7:11">
      <c r="G2916">
        <v>2</v>
      </c>
      <c r="H2916">
        <v>1</v>
      </c>
      <c r="I2916">
        <v>4</v>
      </c>
      <c r="J2916">
        <v>1</v>
      </c>
      <c r="K2916">
        <v>1</v>
      </c>
    </row>
    <row r="2917" spans="7:11">
      <c r="G2917">
        <v>2</v>
      </c>
      <c r="H2917">
        <v>1</v>
      </c>
      <c r="I2917">
        <v>4</v>
      </c>
      <c r="J2917">
        <v>2</v>
      </c>
      <c r="K2917">
        <v>2</v>
      </c>
    </row>
    <row r="2918" spans="7:11">
      <c r="G2918">
        <v>2</v>
      </c>
      <c r="H2918">
        <v>1</v>
      </c>
      <c r="I2918">
        <v>5</v>
      </c>
      <c r="J2918">
        <v>1</v>
      </c>
      <c r="K2918">
        <v>1</v>
      </c>
    </row>
    <row r="2919" spans="7:11">
      <c r="G2919">
        <v>2</v>
      </c>
      <c r="H2919">
        <v>1</v>
      </c>
      <c r="I2919">
        <v>5</v>
      </c>
      <c r="J2919">
        <v>2</v>
      </c>
      <c r="K2919">
        <v>2</v>
      </c>
    </row>
    <row r="2920" spans="7:11">
      <c r="G2920">
        <v>2</v>
      </c>
      <c r="H2920">
        <v>2</v>
      </c>
      <c r="I2920">
        <v>1</v>
      </c>
      <c r="J2920">
        <v>1</v>
      </c>
      <c r="K2920">
        <v>1</v>
      </c>
    </row>
    <row r="2921" spans="7:11">
      <c r="G2921">
        <v>2</v>
      </c>
      <c r="H2921">
        <v>2</v>
      </c>
      <c r="I2921">
        <v>1</v>
      </c>
      <c r="J2921">
        <v>2</v>
      </c>
      <c r="K2921">
        <v>2</v>
      </c>
    </row>
    <row r="2922" spans="7:11">
      <c r="G2922">
        <v>2</v>
      </c>
      <c r="H2922">
        <v>2</v>
      </c>
      <c r="I2922">
        <v>2</v>
      </c>
      <c r="J2922">
        <v>1</v>
      </c>
      <c r="K2922">
        <v>1</v>
      </c>
    </row>
    <row r="2923" spans="7:11">
      <c r="G2923">
        <v>2</v>
      </c>
      <c r="H2923">
        <v>2</v>
      </c>
      <c r="I2923">
        <v>2</v>
      </c>
      <c r="J2923">
        <v>2</v>
      </c>
      <c r="K2923">
        <v>2</v>
      </c>
    </row>
    <row r="2924" spans="7:11">
      <c r="G2924">
        <v>2</v>
      </c>
      <c r="H2924">
        <v>2</v>
      </c>
      <c r="I2924">
        <v>3</v>
      </c>
      <c r="J2924">
        <v>1</v>
      </c>
      <c r="K2924">
        <v>1</v>
      </c>
    </row>
    <row r="2925" spans="7:11">
      <c r="G2925">
        <v>2</v>
      </c>
      <c r="H2925">
        <v>2</v>
      </c>
      <c r="I2925">
        <v>3</v>
      </c>
      <c r="J2925">
        <v>2</v>
      </c>
      <c r="K2925">
        <v>2</v>
      </c>
    </row>
    <row r="2926" spans="7:11">
      <c r="G2926">
        <v>2</v>
      </c>
      <c r="H2926">
        <v>2</v>
      </c>
      <c r="I2926">
        <v>4</v>
      </c>
      <c r="J2926">
        <v>1</v>
      </c>
      <c r="K2926">
        <v>1</v>
      </c>
    </row>
    <row r="2927" spans="7:11">
      <c r="G2927">
        <v>2</v>
      </c>
      <c r="H2927">
        <v>2</v>
      </c>
      <c r="I2927">
        <v>4</v>
      </c>
      <c r="J2927">
        <v>2</v>
      </c>
      <c r="K2927">
        <v>2</v>
      </c>
    </row>
    <row r="2928" spans="7:11">
      <c r="G2928">
        <v>2</v>
      </c>
      <c r="H2928">
        <v>2</v>
      </c>
      <c r="I2928">
        <v>5</v>
      </c>
      <c r="J2928">
        <v>1</v>
      </c>
      <c r="K2928">
        <v>1</v>
      </c>
    </row>
    <row r="2929" spans="7:11">
      <c r="G2929">
        <v>2</v>
      </c>
      <c r="H2929">
        <v>2</v>
      </c>
      <c r="I2929">
        <v>5</v>
      </c>
      <c r="J2929">
        <v>2</v>
      </c>
      <c r="K2929">
        <v>2</v>
      </c>
    </row>
    <row r="2930" spans="7:11">
      <c r="G2930">
        <v>2</v>
      </c>
      <c r="H2930">
        <v>3</v>
      </c>
      <c r="I2930">
        <v>1</v>
      </c>
      <c r="J2930">
        <v>1</v>
      </c>
      <c r="K2930">
        <v>1</v>
      </c>
    </row>
    <row r="2931" spans="7:11">
      <c r="G2931">
        <v>2</v>
      </c>
      <c r="H2931">
        <v>3</v>
      </c>
      <c r="I2931">
        <v>1</v>
      </c>
      <c r="J2931">
        <v>2</v>
      </c>
      <c r="K2931">
        <v>2</v>
      </c>
    </row>
    <row r="2932" spans="7:11">
      <c r="G2932">
        <v>2</v>
      </c>
      <c r="H2932">
        <v>3</v>
      </c>
      <c r="I2932">
        <v>2</v>
      </c>
      <c r="J2932">
        <v>1</v>
      </c>
      <c r="K2932">
        <v>1</v>
      </c>
    </row>
    <row r="2933" spans="7:11">
      <c r="G2933">
        <v>2</v>
      </c>
      <c r="H2933">
        <v>3</v>
      </c>
      <c r="I2933">
        <v>2</v>
      </c>
      <c r="J2933">
        <v>2</v>
      </c>
      <c r="K2933">
        <v>2</v>
      </c>
    </row>
    <row r="2934" spans="7:11">
      <c r="G2934">
        <v>2</v>
      </c>
      <c r="H2934">
        <v>3</v>
      </c>
      <c r="I2934">
        <v>3</v>
      </c>
      <c r="J2934">
        <v>1</v>
      </c>
      <c r="K2934">
        <v>1</v>
      </c>
    </row>
    <row r="2935" spans="7:11">
      <c r="G2935">
        <v>2</v>
      </c>
      <c r="H2935">
        <v>3</v>
      </c>
      <c r="I2935">
        <v>3</v>
      </c>
      <c r="J2935">
        <v>2</v>
      </c>
      <c r="K2935">
        <v>2</v>
      </c>
    </row>
    <row r="2936" spans="7:11">
      <c r="G2936">
        <v>2</v>
      </c>
      <c r="H2936">
        <v>3</v>
      </c>
      <c r="I2936">
        <v>4</v>
      </c>
      <c r="J2936">
        <v>1</v>
      </c>
      <c r="K2936">
        <v>1</v>
      </c>
    </row>
    <row r="2937" spans="7:11">
      <c r="G2937">
        <v>2</v>
      </c>
      <c r="H2937">
        <v>3</v>
      </c>
      <c r="I2937">
        <v>4</v>
      </c>
      <c r="J2937">
        <v>2</v>
      </c>
      <c r="K2937">
        <v>2</v>
      </c>
    </row>
    <row r="2938" spans="7:11">
      <c r="G2938">
        <v>2</v>
      </c>
      <c r="H2938">
        <v>3</v>
      </c>
      <c r="I2938">
        <v>5</v>
      </c>
      <c r="J2938">
        <v>1</v>
      </c>
      <c r="K2938">
        <v>1</v>
      </c>
    </row>
    <row r="2939" spans="7:11">
      <c r="G2939">
        <v>2</v>
      </c>
      <c r="H2939">
        <v>3</v>
      </c>
      <c r="I2939">
        <v>5</v>
      </c>
      <c r="J2939">
        <v>2</v>
      </c>
      <c r="K2939">
        <v>2</v>
      </c>
    </row>
    <row r="2940" spans="7:11">
      <c r="G2940">
        <v>3</v>
      </c>
      <c r="H2940">
        <v>1</v>
      </c>
      <c r="I2940">
        <v>3</v>
      </c>
      <c r="J2940">
        <v>1</v>
      </c>
      <c r="K2940">
        <v>1</v>
      </c>
    </row>
    <row r="2941" spans="7:11">
      <c r="G2941">
        <v>3</v>
      </c>
      <c r="H2941">
        <v>1</v>
      </c>
      <c r="I2941">
        <v>3</v>
      </c>
      <c r="J2941">
        <v>2</v>
      </c>
      <c r="K2941">
        <v>2</v>
      </c>
    </row>
    <row r="2942" spans="7:11">
      <c r="G2942">
        <v>3</v>
      </c>
      <c r="H2942">
        <v>1</v>
      </c>
      <c r="I2942">
        <v>4</v>
      </c>
      <c r="J2942">
        <v>1</v>
      </c>
      <c r="K2942">
        <v>1</v>
      </c>
    </row>
    <row r="2943" spans="7:11">
      <c r="G2943">
        <v>3</v>
      </c>
      <c r="H2943">
        <v>1</v>
      </c>
      <c r="I2943">
        <v>4</v>
      </c>
      <c r="J2943">
        <v>2</v>
      </c>
      <c r="K2943">
        <v>2</v>
      </c>
    </row>
    <row r="2944" spans="7:11">
      <c r="G2944">
        <v>3</v>
      </c>
      <c r="H2944">
        <v>1</v>
      </c>
      <c r="I2944">
        <v>5</v>
      </c>
      <c r="J2944">
        <v>1</v>
      </c>
      <c r="K2944">
        <v>1</v>
      </c>
    </row>
    <row r="2945" spans="7:11">
      <c r="G2945">
        <v>3</v>
      </c>
      <c r="H2945">
        <v>1</v>
      </c>
      <c r="I2945">
        <v>5</v>
      </c>
      <c r="J2945">
        <v>2</v>
      </c>
      <c r="K2945">
        <v>2</v>
      </c>
    </row>
    <row r="2946" spans="7:11">
      <c r="G2946">
        <v>3</v>
      </c>
      <c r="H2946">
        <v>2</v>
      </c>
      <c r="I2946">
        <v>1</v>
      </c>
      <c r="J2946">
        <v>1</v>
      </c>
      <c r="K2946">
        <v>1</v>
      </c>
    </row>
    <row r="2947" spans="7:11">
      <c r="G2947">
        <v>3</v>
      </c>
      <c r="H2947">
        <v>2</v>
      </c>
      <c r="I2947">
        <v>1</v>
      </c>
      <c r="J2947">
        <v>2</v>
      </c>
      <c r="K2947">
        <v>2</v>
      </c>
    </row>
    <row r="2948" spans="7:11">
      <c r="G2948">
        <v>3</v>
      </c>
      <c r="H2948">
        <v>2</v>
      </c>
      <c r="I2948">
        <v>2</v>
      </c>
      <c r="J2948">
        <v>1</v>
      </c>
      <c r="K2948">
        <v>1</v>
      </c>
    </row>
    <row r="2949" spans="7:11">
      <c r="G2949">
        <v>3</v>
      </c>
      <c r="H2949">
        <v>2</v>
      </c>
      <c r="I2949">
        <v>2</v>
      </c>
      <c r="J2949">
        <v>2</v>
      </c>
      <c r="K2949">
        <v>2</v>
      </c>
    </row>
    <row r="2950" spans="7:11">
      <c r="G2950">
        <v>3</v>
      </c>
      <c r="H2950">
        <v>2</v>
      </c>
      <c r="I2950">
        <v>3</v>
      </c>
      <c r="J2950">
        <v>1</v>
      </c>
      <c r="K2950">
        <v>1</v>
      </c>
    </row>
    <row r="2951" spans="7:11">
      <c r="G2951">
        <v>3</v>
      </c>
      <c r="H2951">
        <v>2</v>
      </c>
      <c r="I2951">
        <v>3</v>
      </c>
      <c r="J2951">
        <v>2</v>
      </c>
      <c r="K2951">
        <v>2</v>
      </c>
    </row>
    <row r="2952" spans="7:11">
      <c r="G2952">
        <v>3</v>
      </c>
      <c r="H2952">
        <v>2</v>
      </c>
      <c r="I2952">
        <v>4</v>
      </c>
      <c r="J2952">
        <v>1</v>
      </c>
      <c r="K2952">
        <v>1</v>
      </c>
    </row>
    <row r="2953" spans="7:11">
      <c r="G2953">
        <v>3</v>
      </c>
      <c r="H2953">
        <v>2</v>
      </c>
      <c r="I2953">
        <v>4</v>
      </c>
      <c r="J2953">
        <v>2</v>
      </c>
      <c r="K2953">
        <v>2</v>
      </c>
    </row>
    <row r="2954" spans="7:11">
      <c r="G2954">
        <v>3</v>
      </c>
      <c r="H2954">
        <v>2</v>
      </c>
      <c r="I2954">
        <v>5</v>
      </c>
      <c r="J2954">
        <v>1</v>
      </c>
      <c r="K2954">
        <v>1</v>
      </c>
    </row>
    <row r="2955" spans="7:11">
      <c r="G2955">
        <v>3</v>
      </c>
      <c r="H2955">
        <v>2</v>
      </c>
      <c r="I2955">
        <v>5</v>
      </c>
      <c r="J2955">
        <v>2</v>
      </c>
      <c r="K2955">
        <v>2</v>
      </c>
    </row>
    <row r="2956" spans="7:11">
      <c r="G2956">
        <v>3</v>
      </c>
      <c r="H2956">
        <v>3</v>
      </c>
      <c r="I2956">
        <v>1</v>
      </c>
      <c r="J2956">
        <v>1</v>
      </c>
      <c r="K2956">
        <v>1</v>
      </c>
    </row>
    <row r="2957" spans="7:11">
      <c r="G2957">
        <v>3</v>
      </c>
      <c r="H2957">
        <v>3</v>
      </c>
      <c r="I2957">
        <v>1</v>
      </c>
      <c r="J2957">
        <v>2</v>
      </c>
      <c r="K2957">
        <v>2</v>
      </c>
    </row>
    <row r="2958" spans="7:11">
      <c r="G2958">
        <v>3</v>
      </c>
      <c r="H2958">
        <v>3</v>
      </c>
      <c r="I2958">
        <v>2</v>
      </c>
      <c r="J2958">
        <v>1</v>
      </c>
      <c r="K2958">
        <v>1</v>
      </c>
    </row>
    <row r="2959" spans="7:11">
      <c r="G2959">
        <v>3</v>
      </c>
      <c r="H2959">
        <v>3</v>
      </c>
      <c r="I2959">
        <v>2</v>
      </c>
      <c r="J2959">
        <v>2</v>
      </c>
      <c r="K2959">
        <v>2</v>
      </c>
    </row>
    <row r="2960" spans="7:11">
      <c r="G2960">
        <v>3</v>
      </c>
      <c r="H2960">
        <v>3</v>
      </c>
      <c r="I2960">
        <v>3</v>
      </c>
      <c r="J2960">
        <v>1</v>
      </c>
      <c r="K2960">
        <v>1</v>
      </c>
    </row>
    <row r="2961" spans="7:11">
      <c r="G2961">
        <v>3</v>
      </c>
      <c r="H2961">
        <v>3</v>
      </c>
      <c r="I2961">
        <v>3</v>
      </c>
      <c r="J2961">
        <v>2</v>
      </c>
      <c r="K2961">
        <v>2</v>
      </c>
    </row>
    <row r="2962" spans="7:11">
      <c r="G2962">
        <v>3</v>
      </c>
      <c r="H2962">
        <v>3</v>
      </c>
      <c r="I2962">
        <v>4</v>
      </c>
      <c r="J2962">
        <v>1</v>
      </c>
      <c r="K2962">
        <v>1</v>
      </c>
    </row>
    <row r="2963" spans="7:11">
      <c r="G2963">
        <v>3</v>
      </c>
      <c r="H2963">
        <v>3</v>
      </c>
      <c r="I2963">
        <v>4</v>
      </c>
      <c r="J2963">
        <v>2</v>
      </c>
      <c r="K2963">
        <v>2</v>
      </c>
    </row>
    <row r="2964" spans="7:11">
      <c r="G2964">
        <v>3</v>
      </c>
      <c r="H2964">
        <v>3</v>
      </c>
      <c r="I2964">
        <v>5</v>
      </c>
      <c r="J2964">
        <v>1</v>
      </c>
      <c r="K2964">
        <v>1</v>
      </c>
    </row>
    <row r="2965" spans="7:11">
      <c r="G2965">
        <v>3</v>
      </c>
      <c r="H2965">
        <v>3</v>
      </c>
      <c r="I2965">
        <v>5</v>
      </c>
      <c r="J2965">
        <v>2</v>
      </c>
      <c r="K2965">
        <v>2</v>
      </c>
    </row>
    <row r="2966" spans="7:11">
      <c r="G2966">
        <v>4</v>
      </c>
      <c r="H2966">
        <v>1</v>
      </c>
      <c r="I2966">
        <v>3</v>
      </c>
      <c r="J2966">
        <v>1</v>
      </c>
      <c r="K2966">
        <v>1</v>
      </c>
    </row>
    <row r="2967" spans="7:11">
      <c r="G2967">
        <v>4</v>
      </c>
      <c r="H2967">
        <v>1</v>
      </c>
      <c r="I2967">
        <v>3</v>
      </c>
      <c r="J2967">
        <v>2</v>
      </c>
      <c r="K2967">
        <v>2</v>
      </c>
    </row>
    <row r="2968" spans="7:11">
      <c r="G2968">
        <v>4</v>
      </c>
      <c r="H2968">
        <v>1</v>
      </c>
      <c r="I2968">
        <v>4</v>
      </c>
      <c r="J2968">
        <v>1</v>
      </c>
      <c r="K2968">
        <v>1</v>
      </c>
    </row>
    <row r="2969" spans="7:11">
      <c r="G2969">
        <v>4</v>
      </c>
      <c r="H2969">
        <v>1</v>
      </c>
      <c r="I2969">
        <v>4</v>
      </c>
      <c r="J2969">
        <v>2</v>
      </c>
      <c r="K2969">
        <v>2</v>
      </c>
    </row>
    <row r="2970" spans="7:11">
      <c r="G2970">
        <v>4</v>
      </c>
      <c r="H2970">
        <v>1</v>
      </c>
      <c r="I2970">
        <v>5</v>
      </c>
      <c r="J2970">
        <v>1</v>
      </c>
      <c r="K2970">
        <v>1</v>
      </c>
    </row>
    <row r="2971" spans="7:11">
      <c r="G2971">
        <v>4</v>
      </c>
      <c r="H2971">
        <v>1</v>
      </c>
      <c r="I2971">
        <v>5</v>
      </c>
      <c r="J2971">
        <v>2</v>
      </c>
      <c r="K2971">
        <v>2</v>
      </c>
    </row>
    <row r="2972" spans="7:11">
      <c r="G2972">
        <v>4</v>
      </c>
      <c r="H2972">
        <v>2</v>
      </c>
      <c r="I2972">
        <v>1</v>
      </c>
      <c r="J2972">
        <v>1</v>
      </c>
      <c r="K2972">
        <v>1</v>
      </c>
    </row>
    <row r="2973" spans="7:11">
      <c r="G2973">
        <v>4</v>
      </c>
      <c r="H2973">
        <v>2</v>
      </c>
      <c r="I2973">
        <v>1</v>
      </c>
      <c r="J2973">
        <v>2</v>
      </c>
      <c r="K2973">
        <v>2</v>
      </c>
    </row>
    <row r="2974" spans="7:11">
      <c r="G2974">
        <v>4</v>
      </c>
      <c r="H2974">
        <v>2</v>
      </c>
      <c r="I2974">
        <v>2</v>
      </c>
      <c r="J2974">
        <v>1</v>
      </c>
      <c r="K2974">
        <v>1</v>
      </c>
    </row>
    <row r="2975" spans="7:11">
      <c r="G2975">
        <v>4</v>
      </c>
      <c r="H2975">
        <v>2</v>
      </c>
      <c r="I2975">
        <v>2</v>
      </c>
      <c r="J2975">
        <v>2</v>
      </c>
      <c r="K2975">
        <v>2</v>
      </c>
    </row>
    <row r="2976" spans="7:11">
      <c r="G2976">
        <v>4</v>
      </c>
      <c r="H2976">
        <v>2</v>
      </c>
      <c r="I2976">
        <v>3</v>
      </c>
      <c r="J2976">
        <v>1</v>
      </c>
      <c r="K2976">
        <v>1</v>
      </c>
    </row>
    <row r="2977" spans="7:11">
      <c r="G2977">
        <v>4</v>
      </c>
      <c r="H2977">
        <v>2</v>
      </c>
      <c r="I2977">
        <v>3</v>
      </c>
      <c r="J2977">
        <v>2</v>
      </c>
      <c r="K2977">
        <v>2</v>
      </c>
    </row>
    <row r="2978" spans="7:11">
      <c r="G2978">
        <v>4</v>
      </c>
      <c r="H2978">
        <v>2</v>
      </c>
      <c r="I2978">
        <v>4</v>
      </c>
      <c r="J2978">
        <v>1</v>
      </c>
      <c r="K2978">
        <v>1</v>
      </c>
    </row>
    <row r="2979" spans="7:11">
      <c r="G2979">
        <v>4</v>
      </c>
      <c r="H2979">
        <v>2</v>
      </c>
      <c r="I2979">
        <v>4</v>
      </c>
      <c r="J2979">
        <v>2</v>
      </c>
      <c r="K2979">
        <v>2</v>
      </c>
    </row>
    <row r="2980" spans="7:11">
      <c r="G2980">
        <v>4</v>
      </c>
      <c r="H2980">
        <v>2</v>
      </c>
      <c r="I2980">
        <v>5</v>
      </c>
      <c r="J2980">
        <v>1</v>
      </c>
      <c r="K2980">
        <v>1</v>
      </c>
    </row>
    <row r="2981" spans="7:11">
      <c r="G2981">
        <v>4</v>
      </c>
      <c r="H2981">
        <v>2</v>
      </c>
      <c r="I2981">
        <v>5</v>
      </c>
      <c r="J2981">
        <v>2</v>
      </c>
      <c r="K2981">
        <v>2</v>
      </c>
    </row>
    <row r="2982" spans="7:11">
      <c r="G2982">
        <v>4</v>
      </c>
      <c r="H2982">
        <v>3</v>
      </c>
      <c r="I2982">
        <v>1</v>
      </c>
      <c r="J2982">
        <v>1</v>
      </c>
      <c r="K2982">
        <v>1</v>
      </c>
    </row>
    <row r="2983" spans="7:11">
      <c r="G2983">
        <v>4</v>
      </c>
      <c r="H2983">
        <v>3</v>
      </c>
      <c r="I2983">
        <v>1</v>
      </c>
      <c r="J2983">
        <v>2</v>
      </c>
      <c r="K2983">
        <v>2</v>
      </c>
    </row>
    <row r="2984" spans="7:11">
      <c r="G2984">
        <v>4</v>
      </c>
      <c r="H2984">
        <v>3</v>
      </c>
      <c r="I2984">
        <v>2</v>
      </c>
      <c r="J2984">
        <v>1</v>
      </c>
      <c r="K2984">
        <v>1</v>
      </c>
    </row>
    <row r="2985" spans="7:11">
      <c r="G2985">
        <v>4</v>
      </c>
      <c r="H2985">
        <v>3</v>
      </c>
      <c r="I2985">
        <v>2</v>
      </c>
      <c r="J2985">
        <v>2</v>
      </c>
      <c r="K2985">
        <v>2</v>
      </c>
    </row>
    <row r="2986" spans="7:11">
      <c r="G2986">
        <v>4</v>
      </c>
      <c r="H2986">
        <v>3</v>
      </c>
      <c r="I2986">
        <v>3</v>
      </c>
      <c r="J2986">
        <v>1</v>
      </c>
      <c r="K2986">
        <v>1</v>
      </c>
    </row>
    <row r="2987" spans="7:11">
      <c r="G2987">
        <v>4</v>
      </c>
      <c r="H2987">
        <v>3</v>
      </c>
      <c r="I2987">
        <v>3</v>
      </c>
      <c r="J2987">
        <v>2</v>
      </c>
      <c r="K2987">
        <v>2</v>
      </c>
    </row>
    <row r="2988" spans="7:11">
      <c r="G2988">
        <v>4</v>
      </c>
      <c r="H2988">
        <v>3</v>
      </c>
      <c r="I2988">
        <v>4</v>
      </c>
      <c r="J2988">
        <v>1</v>
      </c>
      <c r="K2988">
        <v>1</v>
      </c>
    </row>
    <row r="2989" spans="7:11">
      <c r="G2989">
        <v>4</v>
      </c>
      <c r="H2989">
        <v>3</v>
      </c>
      <c r="I2989">
        <v>4</v>
      </c>
      <c r="J2989">
        <v>2</v>
      </c>
      <c r="K2989">
        <v>2</v>
      </c>
    </row>
    <row r="2990" spans="7:11">
      <c r="G2990">
        <v>4</v>
      </c>
      <c r="H2990">
        <v>3</v>
      </c>
      <c r="I2990">
        <v>5</v>
      </c>
      <c r="J2990">
        <v>1</v>
      </c>
      <c r="K2990">
        <v>1</v>
      </c>
    </row>
    <row r="2991" spans="7:11">
      <c r="G2991">
        <v>4</v>
      </c>
      <c r="H2991">
        <v>3</v>
      </c>
      <c r="I2991">
        <v>5</v>
      </c>
      <c r="J2991">
        <v>2</v>
      </c>
      <c r="K2991">
        <v>2</v>
      </c>
    </row>
    <row r="2992" spans="7:11">
      <c r="G2992">
        <v>1</v>
      </c>
      <c r="H2992">
        <v>2</v>
      </c>
      <c r="I2992">
        <v>1</v>
      </c>
      <c r="J2992">
        <v>1</v>
      </c>
      <c r="K2992">
        <v>1</v>
      </c>
    </row>
    <row r="2993" spans="7:11">
      <c r="G2993">
        <v>1</v>
      </c>
      <c r="H2993">
        <v>2</v>
      </c>
      <c r="I2993">
        <v>1</v>
      </c>
      <c r="J2993">
        <v>2</v>
      </c>
      <c r="K2993">
        <v>2</v>
      </c>
    </row>
    <row r="2994" spans="7:11">
      <c r="G2994">
        <v>1</v>
      </c>
      <c r="H2994">
        <v>2</v>
      </c>
      <c r="I2994">
        <v>2</v>
      </c>
      <c r="J2994">
        <v>1</v>
      </c>
      <c r="K2994">
        <v>1</v>
      </c>
    </row>
    <row r="2995" spans="7:11">
      <c r="G2995">
        <v>1</v>
      </c>
      <c r="H2995">
        <v>2</v>
      </c>
      <c r="I2995">
        <v>2</v>
      </c>
      <c r="J2995">
        <v>2</v>
      </c>
      <c r="K2995">
        <v>2</v>
      </c>
    </row>
    <row r="2996" spans="7:11">
      <c r="G2996">
        <v>1</v>
      </c>
      <c r="H2996">
        <v>2</v>
      </c>
      <c r="I2996">
        <v>3</v>
      </c>
      <c r="J2996">
        <v>1</v>
      </c>
      <c r="K2996">
        <v>1</v>
      </c>
    </row>
    <row r="2997" spans="7:11">
      <c r="G2997">
        <v>1</v>
      </c>
      <c r="H2997">
        <v>2</v>
      </c>
      <c r="I2997">
        <v>3</v>
      </c>
      <c r="J2997">
        <v>2</v>
      </c>
      <c r="K2997">
        <v>2</v>
      </c>
    </row>
    <row r="2998" spans="7:11">
      <c r="G2998">
        <v>1</v>
      </c>
      <c r="H2998">
        <v>2</v>
      </c>
      <c r="I2998">
        <v>4</v>
      </c>
      <c r="J2998">
        <v>1</v>
      </c>
      <c r="K2998">
        <v>1</v>
      </c>
    </row>
    <row r="2999" spans="7:11">
      <c r="G2999">
        <v>1</v>
      </c>
      <c r="H2999">
        <v>2</v>
      </c>
      <c r="I2999">
        <v>4</v>
      </c>
      <c r="J2999">
        <v>2</v>
      </c>
      <c r="K2999">
        <v>2</v>
      </c>
    </row>
    <row r="3000" spans="7:11">
      <c r="G3000">
        <v>1</v>
      </c>
      <c r="H3000">
        <v>2</v>
      </c>
      <c r="I3000">
        <v>5</v>
      </c>
      <c r="J3000">
        <v>1</v>
      </c>
      <c r="K3000">
        <v>1</v>
      </c>
    </row>
    <row r="3001" spans="7:11">
      <c r="G3001">
        <v>1</v>
      </c>
      <c r="H3001">
        <v>2</v>
      </c>
      <c r="I3001">
        <v>5</v>
      </c>
      <c r="J3001">
        <v>2</v>
      </c>
      <c r="K3001">
        <v>2</v>
      </c>
    </row>
    <row r="3002" spans="7:11">
      <c r="G3002">
        <v>1</v>
      </c>
      <c r="H3002">
        <v>3</v>
      </c>
      <c r="I3002">
        <v>1</v>
      </c>
      <c r="J3002">
        <v>1</v>
      </c>
      <c r="K3002">
        <v>1</v>
      </c>
    </row>
    <row r="3003" spans="7:11">
      <c r="G3003">
        <v>1</v>
      </c>
      <c r="H3003">
        <v>3</v>
      </c>
      <c r="I3003">
        <v>1</v>
      </c>
      <c r="J3003">
        <v>2</v>
      </c>
      <c r="K3003">
        <v>2</v>
      </c>
    </row>
    <row r="3004" spans="7:11">
      <c r="G3004">
        <v>1</v>
      </c>
      <c r="H3004">
        <v>3</v>
      </c>
      <c r="I3004">
        <v>2</v>
      </c>
      <c r="J3004">
        <v>1</v>
      </c>
      <c r="K3004">
        <v>1</v>
      </c>
    </row>
    <row r="3005" spans="7:11">
      <c r="G3005">
        <v>1</v>
      </c>
      <c r="H3005">
        <v>3</v>
      </c>
      <c r="I3005">
        <v>2</v>
      </c>
      <c r="J3005">
        <v>2</v>
      </c>
      <c r="K3005">
        <v>2</v>
      </c>
    </row>
    <row r="3006" spans="7:11">
      <c r="G3006">
        <v>1</v>
      </c>
      <c r="H3006">
        <v>3</v>
      </c>
      <c r="I3006">
        <v>3</v>
      </c>
      <c r="J3006">
        <v>1</v>
      </c>
      <c r="K3006">
        <v>1</v>
      </c>
    </row>
    <row r="3007" spans="7:11">
      <c r="G3007">
        <v>1</v>
      </c>
      <c r="H3007">
        <v>3</v>
      </c>
      <c r="I3007">
        <v>3</v>
      </c>
      <c r="J3007">
        <v>2</v>
      </c>
      <c r="K3007">
        <v>2</v>
      </c>
    </row>
    <row r="3008" spans="7:11">
      <c r="G3008">
        <v>1</v>
      </c>
      <c r="H3008">
        <v>3</v>
      </c>
      <c r="I3008">
        <v>4</v>
      </c>
      <c r="J3008">
        <v>1</v>
      </c>
      <c r="K3008">
        <v>1</v>
      </c>
    </row>
    <row r="3009" spans="7:11">
      <c r="G3009">
        <v>1</v>
      </c>
      <c r="H3009">
        <v>3</v>
      </c>
      <c r="I3009">
        <v>4</v>
      </c>
      <c r="J3009">
        <v>2</v>
      </c>
      <c r="K3009">
        <v>2</v>
      </c>
    </row>
    <row r="3010" spans="7:11">
      <c r="G3010">
        <v>1</v>
      </c>
      <c r="H3010">
        <v>3</v>
      </c>
      <c r="I3010">
        <v>5</v>
      </c>
      <c r="J3010">
        <v>1</v>
      </c>
      <c r="K3010">
        <v>1</v>
      </c>
    </row>
    <row r="3011" spans="7:11">
      <c r="G3011">
        <v>1</v>
      </c>
      <c r="H3011">
        <v>3</v>
      </c>
      <c r="I3011">
        <v>5</v>
      </c>
      <c r="J3011">
        <v>2</v>
      </c>
      <c r="K3011">
        <v>2</v>
      </c>
    </row>
    <row r="3012" spans="7:11">
      <c r="G3012">
        <v>2</v>
      </c>
      <c r="H3012">
        <v>1</v>
      </c>
      <c r="I3012">
        <v>3</v>
      </c>
      <c r="J3012">
        <v>1</v>
      </c>
      <c r="K3012">
        <v>1</v>
      </c>
    </row>
    <row r="3013" spans="7:11">
      <c r="G3013">
        <v>2</v>
      </c>
      <c r="H3013">
        <v>1</v>
      </c>
      <c r="I3013">
        <v>3</v>
      </c>
      <c r="J3013">
        <v>2</v>
      </c>
      <c r="K3013">
        <v>2</v>
      </c>
    </row>
    <row r="3014" spans="7:11">
      <c r="G3014">
        <v>2</v>
      </c>
      <c r="H3014">
        <v>1</v>
      </c>
      <c r="I3014">
        <v>4</v>
      </c>
      <c r="J3014">
        <v>1</v>
      </c>
      <c r="K3014">
        <v>1</v>
      </c>
    </row>
    <row r="3015" spans="7:11">
      <c r="G3015">
        <v>2</v>
      </c>
      <c r="H3015">
        <v>1</v>
      </c>
      <c r="I3015">
        <v>4</v>
      </c>
      <c r="J3015">
        <v>2</v>
      </c>
      <c r="K3015">
        <v>2</v>
      </c>
    </row>
    <row r="3016" spans="7:11">
      <c r="G3016">
        <v>2</v>
      </c>
      <c r="H3016">
        <v>1</v>
      </c>
      <c r="I3016">
        <v>5</v>
      </c>
      <c r="J3016">
        <v>1</v>
      </c>
      <c r="K3016">
        <v>1</v>
      </c>
    </row>
    <row r="3017" spans="7:11">
      <c r="G3017">
        <v>2</v>
      </c>
      <c r="H3017">
        <v>1</v>
      </c>
      <c r="I3017">
        <v>5</v>
      </c>
      <c r="J3017">
        <v>2</v>
      </c>
      <c r="K3017">
        <v>2</v>
      </c>
    </row>
    <row r="3018" spans="7:11">
      <c r="G3018">
        <v>2</v>
      </c>
      <c r="H3018">
        <v>2</v>
      </c>
      <c r="I3018">
        <v>1</v>
      </c>
      <c r="J3018">
        <v>1</v>
      </c>
      <c r="K3018">
        <v>1</v>
      </c>
    </row>
    <row r="3019" spans="7:11">
      <c r="G3019">
        <v>2</v>
      </c>
      <c r="H3019">
        <v>2</v>
      </c>
      <c r="I3019">
        <v>1</v>
      </c>
      <c r="J3019">
        <v>2</v>
      </c>
      <c r="K3019">
        <v>2</v>
      </c>
    </row>
    <row r="3020" spans="7:11">
      <c r="G3020">
        <v>2</v>
      </c>
      <c r="H3020">
        <v>2</v>
      </c>
      <c r="I3020">
        <v>2</v>
      </c>
      <c r="J3020">
        <v>1</v>
      </c>
      <c r="K3020">
        <v>1</v>
      </c>
    </row>
    <row r="3021" spans="7:11">
      <c r="G3021">
        <v>2</v>
      </c>
      <c r="H3021">
        <v>2</v>
      </c>
      <c r="I3021">
        <v>2</v>
      </c>
      <c r="J3021">
        <v>2</v>
      </c>
      <c r="K3021">
        <v>2</v>
      </c>
    </row>
    <row r="3022" spans="7:11">
      <c r="G3022">
        <v>2</v>
      </c>
      <c r="H3022">
        <v>2</v>
      </c>
      <c r="I3022">
        <v>3</v>
      </c>
      <c r="J3022">
        <v>1</v>
      </c>
      <c r="K3022">
        <v>1</v>
      </c>
    </row>
    <row r="3023" spans="7:11">
      <c r="G3023">
        <v>2</v>
      </c>
      <c r="H3023">
        <v>2</v>
      </c>
      <c r="I3023">
        <v>3</v>
      </c>
      <c r="J3023">
        <v>2</v>
      </c>
      <c r="K3023">
        <v>2</v>
      </c>
    </row>
    <row r="3024" spans="7:11">
      <c r="G3024">
        <v>2</v>
      </c>
      <c r="H3024">
        <v>2</v>
      </c>
      <c r="I3024">
        <v>4</v>
      </c>
      <c r="J3024">
        <v>1</v>
      </c>
      <c r="K3024">
        <v>1</v>
      </c>
    </row>
    <row r="3025" spans="7:11">
      <c r="G3025">
        <v>2</v>
      </c>
      <c r="H3025">
        <v>2</v>
      </c>
      <c r="I3025">
        <v>4</v>
      </c>
      <c r="J3025">
        <v>2</v>
      </c>
      <c r="K3025">
        <v>2</v>
      </c>
    </row>
    <row r="3026" spans="7:11">
      <c r="G3026">
        <v>2</v>
      </c>
      <c r="H3026">
        <v>2</v>
      </c>
      <c r="I3026">
        <v>5</v>
      </c>
      <c r="J3026">
        <v>1</v>
      </c>
      <c r="K3026">
        <v>1</v>
      </c>
    </row>
    <row r="3027" spans="7:11">
      <c r="G3027">
        <v>2</v>
      </c>
      <c r="H3027">
        <v>2</v>
      </c>
      <c r="I3027">
        <v>5</v>
      </c>
      <c r="J3027">
        <v>2</v>
      </c>
      <c r="K3027">
        <v>2</v>
      </c>
    </row>
    <row r="3028" spans="7:11">
      <c r="G3028">
        <v>2</v>
      </c>
      <c r="H3028">
        <v>3</v>
      </c>
      <c r="I3028">
        <v>1</v>
      </c>
      <c r="J3028">
        <v>1</v>
      </c>
      <c r="K3028">
        <v>1</v>
      </c>
    </row>
    <row r="3029" spans="7:11">
      <c r="G3029">
        <v>2</v>
      </c>
      <c r="H3029">
        <v>3</v>
      </c>
      <c r="I3029">
        <v>1</v>
      </c>
      <c r="J3029">
        <v>2</v>
      </c>
      <c r="K3029">
        <v>2</v>
      </c>
    </row>
    <row r="3030" spans="7:11">
      <c r="G3030">
        <v>2</v>
      </c>
      <c r="H3030">
        <v>3</v>
      </c>
      <c r="I3030">
        <v>2</v>
      </c>
      <c r="J3030">
        <v>1</v>
      </c>
      <c r="K3030">
        <v>1</v>
      </c>
    </row>
    <row r="3031" spans="7:11">
      <c r="G3031">
        <v>2</v>
      </c>
      <c r="H3031">
        <v>3</v>
      </c>
      <c r="I3031">
        <v>2</v>
      </c>
      <c r="J3031">
        <v>2</v>
      </c>
      <c r="K3031">
        <v>2</v>
      </c>
    </row>
    <row r="3032" spans="7:11">
      <c r="G3032">
        <v>2</v>
      </c>
      <c r="H3032">
        <v>3</v>
      </c>
      <c r="I3032">
        <v>3</v>
      </c>
      <c r="J3032">
        <v>1</v>
      </c>
      <c r="K3032">
        <v>1</v>
      </c>
    </row>
    <row r="3033" spans="7:11">
      <c r="G3033">
        <v>2</v>
      </c>
      <c r="H3033">
        <v>3</v>
      </c>
      <c r="I3033">
        <v>3</v>
      </c>
      <c r="J3033">
        <v>2</v>
      </c>
      <c r="K3033">
        <v>2</v>
      </c>
    </row>
    <row r="3034" spans="7:11">
      <c r="G3034">
        <v>2</v>
      </c>
      <c r="H3034">
        <v>3</v>
      </c>
      <c r="I3034">
        <v>4</v>
      </c>
      <c r="J3034">
        <v>1</v>
      </c>
      <c r="K3034">
        <v>1</v>
      </c>
    </row>
    <row r="3035" spans="7:11">
      <c r="G3035">
        <v>2</v>
      </c>
      <c r="H3035">
        <v>3</v>
      </c>
      <c r="I3035">
        <v>4</v>
      </c>
      <c r="J3035">
        <v>2</v>
      </c>
      <c r="K3035">
        <v>2</v>
      </c>
    </row>
    <row r="3036" spans="7:11">
      <c r="G3036">
        <v>2</v>
      </c>
      <c r="H3036">
        <v>3</v>
      </c>
      <c r="I3036">
        <v>5</v>
      </c>
      <c r="J3036">
        <v>1</v>
      </c>
      <c r="K3036">
        <v>1</v>
      </c>
    </row>
    <row r="3037" spans="7:11">
      <c r="G3037">
        <v>2</v>
      </c>
      <c r="H3037">
        <v>3</v>
      </c>
      <c r="I3037">
        <v>5</v>
      </c>
      <c r="J3037">
        <v>2</v>
      </c>
      <c r="K3037">
        <v>2</v>
      </c>
    </row>
    <row r="3038" spans="7:11">
      <c r="G3038">
        <v>3</v>
      </c>
      <c r="H3038">
        <v>1</v>
      </c>
      <c r="I3038">
        <v>3</v>
      </c>
      <c r="J3038">
        <v>1</v>
      </c>
      <c r="K3038">
        <v>1</v>
      </c>
    </row>
    <row r="3039" spans="7:11">
      <c r="G3039">
        <v>3</v>
      </c>
      <c r="H3039">
        <v>1</v>
      </c>
      <c r="I3039">
        <v>3</v>
      </c>
      <c r="J3039">
        <v>2</v>
      </c>
      <c r="K3039">
        <v>2</v>
      </c>
    </row>
    <row r="3040" spans="7:11">
      <c r="G3040">
        <v>3</v>
      </c>
      <c r="H3040">
        <v>1</v>
      </c>
      <c r="I3040">
        <v>4</v>
      </c>
      <c r="J3040">
        <v>1</v>
      </c>
      <c r="K3040">
        <v>1</v>
      </c>
    </row>
    <row r="3041" spans="7:11">
      <c r="G3041">
        <v>3</v>
      </c>
      <c r="H3041">
        <v>1</v>
      </c>
      <c r="I3041">
        <v>4</v>
      </c>
      <c r="J3041">
        <v>2</v>
      </c>
      <c r="K3041">
        <v>2</v>
      </c>
    </row>
    <row r="3042" spans="7:11">
      <c r="G3042">
        <v>3</v>
      </c>
      <c r="H3042">
        <v>1</v>
      </c>
      <c r="I3042">
        <v>5</v>
      </c>
      <c r="J3042">
        <v>1</v>
      </c>
      <c r="K3042">
        <v>1</v>
      </c>
    </row>
    <row r="3043" spans="7:11">
      <c r="G3043">
        <v>3</v>
      </c>
      <c r="H3043">
        <v>1</v>
      </c>
      <c r="I3043">
        <v>5</v>
      </c>
      <c r="J3043">
        <v>2</v>
      </c>
      <c r="K3043">
        <v>2</v>
      </c>
    </row>
    <row r="3044" spans="7:11">
      <c r="G3044">
        <v>3</v>
      </c>
      <c r="H3044">
        <v>2</v>
      </c>
      <c r="I3044">
        <v>1</v>
      </c>
      <c r="J3044">
        <v>1</v>
      </c>
      <c r="K3044">
        <v>1</v>
      </c>
    </row>
    <row r="3045" spans="7:11">
      <c r="G3045">
        <v>3</v>
      </c>
      <c r="H3045">
        <v>2</v>
      </c>
      <c r="I3045">
        <v>1</v>
      </c>
      <c r="J3045">
        <v>2</v>
      </c>
      <c r="K3045">
        <v>2</v>
      </c>
    </row>
    <row r="3046" spans="7:11">
      <c r="G3046">
        <v>3</v>
      </c>
      <c r="H3046">
        <v>2</v>
      </c>
      <c r="I3046">
        <v>2</v>
      </c>
      <c r="J3046">
        <v>1</v>
      </c>
      <c r="K3046">
        <v>1</v>
      </c>
    </row>
    <row r="3047" spans="7:11">
      <c r="G3047">
        <v>3</v>
      </c>
      <c r="H3047">
        <v>2</v>
      </c>
      <c r="I3047">
        <v>2</v>
      </c>
      <c r="J3047">
        <v>2</v>
      </c>
      <c r="K3047">
        <v>2</v>
      </c>
    </row>
    <row r="3048" spans="7:11">
      <c r="G3048">
        <v>3</v>
      </c>
      <c r="H3048">
        <v>2</v>
      </c>
      <c r="I3048">
        <v>3</v>
      </c>
      <c r="J3048">
        <v>1</v>
      </c>
      <c r="K3048">
        <v>1</v>
      </c>
    </row>
    <row r="3049" spans="7:11">
      <c r="G3049">
        <v>3</v>
      </c>
      <c r="H3049">
        <v>2</v>
      </c>
      <c r="I3049">
        <v>3</v>
      </c>
      <c r="J3049">
        <v>2</v>
      </c>
      <c r="K3049">
        <v>2</v>
      </c>
    </row>
    <row r="3050" spans="7:11">
      <c r="G3050">
        <v>3</v>
      </c>
      <c r="H3050">
        <v>2</v>
      </c>
      <c r="I3050">
        <v>4</v>
      </c>
      <c r="J3050">
        <v>1</v>
      </c>
      <c r="K3050">
        <v>1</v>
      </c>
    </row>
    <row r="3051" spans="7:11">
      <c r="G3051">
        <v>3</v>
      </c>
      <c r="H3051">
        <v>2</v>
      </c>
      <c r="I3051">
        <v>4</v>
      </c>
      <c r="J3051">
        <v>2</v>
      </c>
      <c r="K3051">
        <v>2</v>
      </c>
    </row>
    <row r="3052" spans="7:11">
      <c r="G3052">
        <v>3</v>
      </c>
      <c r="H3052">
        <v>2</v>
      </c>
      <c r="I3052">
        <v>5</v>
      </c>
      <c r="J3052">
        <v>1</v>
      </c>
      <c r="K3052">
        <v>1</v>
      </c>
    </row>
    <row r="3053" spans="7:11">
      <c r="G3053">
        <v>3</v>
      </c>
      <c r="H3053">
        <v>2</v>
      </c>
      <c r="I3053">
        <v>5</v>
      </c>
      <c r="J3053">
        <v>2</v>
      </c>
      <c r="K3053">
        <v>2</v>
      </c>
    </row>
    <row r="3054" spans="7:11">
      <c r="G3054">
        <v>3</v>
      </c>
      <c r="H3054">
        <v>3</v>
      </c>
      <c r="I3054">
        <v>1</v>
      </c>
      <c r="J3054">
        <v>1</v>
      </c>
      <c r="K3054">
        <v>1</v>
      </c>
    </row>
    <row r="3055" spans="7:11">
      <c r="G3055">
        <v>3</v>
      </c>
      <c r="H3055">
        <v>3</v>
      </c>
      <c r="I3055">
        <v>1</v>
      </c>
      <c r="J3055">
        <v>2</v>
      </c>
      <c r="K3055">
        <v>2</v>
      </c>
    </row>
    <row r="3056" spans="7:11">
      <c r="G3056">
        <v>3</v>
      </c>
      <c r="H3056">
        <v>3</v>
      </c>
      <c r="I3056">
        <v>2</v>
      </c>
      <c r="J3056">
        <v>1</v>
      </c>
      <c r="K3056">
        <v>1</v>
      </c>
    </row>
    <row r="3057" spans="7:11">
      <c r="G3057">
        <v>3</v>
      </c>
      <c r="H3057">
        <v>3</v>
      </c>
      <c r="I3057">
        <v>2</v>
      </c>
      <c r="J3057">
        <v>2</v>
      </c>
      <c r="K3057">
        <v>2</v>
      </c>
    </row>
    <row r="3058" spans="7:11">
      <c r="G3058">
        <v>3</v>
      </c>
      <c r="H3058">
        <v>3</v>
      </c>
      <c r="I3058">
        <v>3</v>
      </c>
      <c r="J3058">
        <v>1</v>
      </c>
      <c r="K3058">
        <v>1</v>
      </c>
    </row>
    <row r="3059" spans="7:11">
      <c r="G3059">
        <v>3</v>
      </c>
      <c r="H3059">
        <v>3</v>
      </c>
      <c r="I3059">
        <v>3</v>
      </c>
      <c r="J3059">
        <v>2</v>
      </c>
      <c r="K3059">
        <v>2</v>
      </c>
    </row>
    <row r="3060" spans="7:11">
      <c r="G3060">
        <v>3</v>
      </c>
      <c r="H3060">
        <v>3</v>
      </c>
      <c r="I3060">
        <v>4</v>
      </c>
      <c r="J3060">
        <v>1</v>
      </c>
      <c r="K3060">
        <v>1</v>
      </c>
    </row>
    <row r="3061" spans="7:11">
      <c r="G3061">
        <v>3</v>
      </c>
      <c r="H3061">
        <v>3</v>
      </c>
      <c r="I3061">
        <v>4</v>
      </c>
      <c r="J3061">
        <v>2</v>
      </c>
      <c r="K3061">
        <v>2</v>
      </c>
    </row>
    <row r="3062" spans="7:11">
      <c r="G3062">
        <v>3</v>
      </c>
      <c r="H3062">
        <v>3</v>
      </c>
      <c r="I3062">
        <v>5</v>
      </c>
      <c r="J3062">
        <v>1</v>
      </c>
      <c r="K3062">
        <v>1</v>
      </c>
    </row>
    <row r="3063" spans="7:11">
      <c r="G3063">
        <v>3</v>
      </c>
      <c r="H3063">
        <v>3</v>
      </c>
      <c r="I3063">
        <v>5</v>
      </c>
      <c r="J3063">
        <v>2</v>
      </c>
      <c r="K3063">
        <v>2</v>
      </c>
    </row>
    <row r="3064" spans="7:11">
      <c r="G3064">
        <v>4</v>
      </c>
      <c r="H3064">
        <v>1</v>
      </c>
      <c r="I3064">
        <v>3</v>
      </c>
      <c r="J3064">
        <v>1</v>
      </c>
      <c r="K3064">
        <v>1</v>
      </c>
    </row>
    <row r="3065" spans="7:11">
      <c r="G3065">
        <v>4</v>
      </c>
      <c r="H3065">
        <v>1</v>
      </c>
      <c r="I3065">
        <v>3</v>
      </c>
      <c r="J3065">
        <v>2</v>
      </c>
      <c r="K3065">
        <v>2</v>
      </c>
    </row>
    <row r="3066" spans="7:11">
      <c r="G3066">
        <v>4</v>
      </c>
      <c r="H3066">
        <v>1</v>
      </c>
      <c r="I3066">
        <v>4</v>
      </c>
      <c r="J3066">
        <v>1</v>
      </c>
      <c r="K3066">
        <v>1</v>
      </c>
    </row>
    <row r="3067" spans="7:11">
      <c r="G3067">
        <v>4</v>
      </c>
      <c r="H3067">
        <v>1</v>
      </c>
      <c r="I3067">
        <v>4</v>
      </c>
      <c r="J3067">
        <v>2</v>
      </c>
      <c r="K3067">
        <v>2</v>
      </c>
    </row>
    <row r="3068" spans="7:11">
      <c r="G3068">
        <v>4</v>
      </c>
      <c r="H3068">
        <v>1</v>
      </c>
      <c r="I3068">
        <v>5</v>
      </c>
      <c r="J3068">
        <v>1</v>
      </c>
      <c r="K3068">
        <v>1</v>
      </c>
    </row>
    <row r="3069" spans="7:11">
      <c r="G3069">
        <v>4</v>
      </c>
      <c r="H3069">
        <v>1</v>
      </c>
      <c r="I3069">
        <v>5</v>
      </c>
      <c r="J3069">
        <v>2</v>
      </c>
      <c r="K3069">
        <v>2</v>
      </c>
    </row>
    <row r="3070" spans="7:11">
      <c r="G3070">
        <v>4</v>
      </c>
      <c r="H3070">
        <v>2</v>
      </c>
      <c r="I3070">
        <v>1</v>
      </c>
      <c r="J3070">
        <v>1</v>
      </c>
      <c r="K3070">
        <v>1</v>
      </c>
    </row>
    <row r="3071" spans="7:11">
      <c r="G3071">
        <v>4</v>
      </c>
      <c r="H3071">
        <v>2</v>
      </c>
      <c r="I3071">
        <v>1</v>
      </c>
      <c r="J3071">
        <v>2</v>
      </c>
      <c r="K3071">
        <v>2</v>
      </c>
    </row>
    <row r="3072" spans="7:11">
      <c r="G3072">
        <v>4</v>
      </c>
      <c r="H3072">
        <v>2</v>
      </c>
      <c r="I3072">
        <v>2</v>
      </c>
      <c r="J3072">
        <v>1</v>
      </c>
      <c r="K3072">
        <v>1</v>
      </c>
    </row>
    <row r="3073" spans="7:11">
      <c r="G3073">
        <v>4</v>
      </c>
      <c r="H3073">
        <v>2</v>
      </c>
      <c r="I3073">
        <v>2</v>
      </c>
      <c r="J3073">
        <v>2</v>
      </c>
      <c r="K3073">
        <v>2</v>
      </c>
    </row>
    <row r="3074" spans="7:11">
      <c r="G3074">
        <v>4</v>
      </c>
      <c r="H3074">
        <v>2</v>
      </c>
      <c r="I3074">
        <v>3</v>
      </c>
      <c r="J3074">
        <v>1</v>
      </c>
      <c r="K3074">
        <v>1</v>
      </c>
    </row>
    <row r="3075" spans="7:11">
      <c r="G3075">
        <v>4</v>
      </c>
      <c r="H3075">
        <v>2</v>
      </c>
      <c r="I3075">
        <v>3</v>
      </c>
      <c r="J3075">
        <v>2</v>
      </c>
      <c r="K3075">
        <v>2</v>
      </c>
    </row>
    <row r="3076" spans="7:11">
      <c r="G3076">
        <v>4</v>
      </c>
      <c r="H3076">
        <v>2</v>
      </c>
      <c r="I3076">
        <v>4</v>
      </c>
      <c r="J3076">
        <v>1</v>
      </c>
      <c r="K3076">
        <v>1</v>
      </c>
    </row>
    <row r="3077" spans="7:11">
      <c r="G3077">
        <v>4</v>
      </c>
      <c r="H3077">
        <v>2</v>
      </c>
      <c r="I3077">
        <v>4</v>
      </c>
      <c r="J3077">
        <v>2</v>
      </c>
      <c r="K3077">
        <v>2</v>
      </c>
    </row>
    <row r="3078" spans="7:11">
      <c r="G3078">
        <v>4</v>
      </c>
      <c r="H3078">
        <v>2</v>
      </c>
      <c r="I3078">
        <v>5</v>
      </c>
      <c r="J3078">
        <v>1</v>
      </c>
      <c r="K3078">
        <v>1</v>
      </c>
    </row>
    <row r="3079" spans="7:11">
      <c r="G3079">
        <v>4</v>
      </c>
      <c r="H3079">
        <v>2</v>
      </c>
      <c r="I3079">
        <v>5</v>
      </c>
      <c r="J3079">
        <v>2</v>
      </c>
      <c r="K3079">
        <v>2</v>
      </c>
    </row>
    <row r="3080" spans="7:11">
      <c r="G3080">
        <v>4</v>
      </c>
      <c r="H3080">
        <v>3</v>
      </c>
      <c r="I3080">
        <v>1</v>
      </c>
      <c r="J3080">
        <v>1</v>
      </c>
      <c r="K3080">
        <v>1</v>
      </c>
    </row>
    <row r="3081" spans="7:11">
      <c r="G3081">
        <v>4</v>
      </c>
      <c r="H3081">
        <v>3</v>
      </c>
      <c r="I3081">
        <v>1</v>
      </c>
      <c r="J3081">
        <v>2</v>
      </c>
      <c r="K3081">
        <v>2</v>
      </c>
    </row>
    <row r="3082" spans="7:11">
      <c r="G3082">
        <v>4</v>
      </c>
      <c r="H3082">
        <v>3</v>
      </c>
      <c r="I3082">
        <v>2</v>
      </c>
      <c r="J3082">
        <v>1</v>
      </c>
      <c r="K3082">
        <v>1</v>
      </c>
    </row>
    <row r="3083" spans="7:11">
      <c r="G3083">
        <v>4</v>
      </c>
      <c r="H3083">
        <v>3</v>
      </c>
      <c r="I3083">
        <v>2</v>
      </c>
      <c r="J3083">
        <v>2</v>
      </c>
      <c r="K3083">
        <v>2</v>
      </c>
    </row>
    <row r="3084" spans="7:11">
      <c r="G3084">
        <v>4</v>
      </c>
      <c r="H3084">
        <v>3</v>
      </c>
      <c r="I3084">
        <v>3</v>
      </c>
      <c r="J3084">
        <v>1</v>
      </c>
      <c r="K3084">
        <v>1</v>
      </c>
    </row>
    <row r="3085" spans="7:11">
      <c r="G3085">
        <v>4</v>
      </c>
      <c r="H3085">
        <v>3</v>
      </c>
      <c r="I3085">
        <v>3</v>
      </c>
      <c r="J3085">
        <v>2</v>
      </c>
      <c r="K3085">
        <v>2</v>
      </c>
    </row>
    <row r="3086" spans="7:11">
      <c r="G3086">
        <v>4</v>
      </c>
      <c r="H3086">
        <v>3</v>
      </c>
      <c r="I3086">
        <v>4</v>
      </c>
      <c r="J3086">
        <v>1</v>
      </c>
      <c r="K3086">
        <v>1</v>
      </c>
    </row>
    <row r="3087" spans="7:11">
      <c r="G3087">
        <v>4</v>
      </c>
      <c r="H3087">
        <v>3</v>
      </c>
      <c r="I3087">
        <v>4</v>
      </c>
      <c r="J3087">
        <v>2</v>
      </c>
      <c r="K3087">
        <v>2</v>
      </c>
    </row>
    <row r="3088" spans="7:11">
      <c r="G3088">
        <v>4</v>
      </c>
      <c r="H3088">
        <v>3</v>
      </c>
      <c r="I3088">
        <v>5</v>
      </c>
      <c r="J3088">
        <v>1</v>
      </c>
      <c r="K3088">
        <v>1</v>
      </c>
    </row>
    <row r="3089" spans="7:11">
      <c r="G3089">
        <v>4</v>
      </c>
      <c r="H3089">
        <v>3</v>
      </c>
      <c r="I3089">
        <v>5</v>
      </c>
      <c r="J3089">
        <v>2</v>
      </c>
      <c r="K3089">
        <v>2</v>
      </c>
    </row>
    <row r="3090" spans="7:11">
      <c r="G3090">
        <v>2</v>
      </c>
      <c r="H3090">
        <v>1</v>
      </c>
      <c r="I3090">
        <v>3</v>
      </c>
      <c r="J3090">
        <v>1</v>
      </c>
      <c r="K3090">
        <v>1</v>
      </c>
    </row>
    <row r="3091" spans="7:11">
      <c r="G3091">
        <v>2</v>
      </c>
      <c r="H3091">
        <v>1</v>
      </c>
      <c r="I3091">
        <v>3</v>
      </c>
      <c r="J3091">
        <v>2</v>
      </c>
      <c r="K3091">
        <v>2</v>
      </c>
    </row>
    <row r="3092" spans="7:11">
      <c r="G3092">
        <v>2</v>
      </c>
      <c r="H3092">
        <v>1</v>
      </c>
      <c r="I3092">
        <v>4</v>
      </c>
      <c r="J3092">
        <v>1</v>
      </c>
      <c r="K3092">
        <v>1</v>
      </c>
    </row>
    <row r="3093" spans="7:11">
      <c r="G3093">
        <v>2</v>
      </c>
      <c r="H3093">
        <v>1</v>
      </c>
      <c r="I3093">
        <v>4</v>
      </c>
      <c r="J3093">
        <v>2</v>
      </c>
      <c r="K3093">
        <v>2</v>
      </c>
    </row>
    <row r="3094" spans="7:11">
      <c r="G3094">
        <v>2</v>
      </c>
      <c r="H3094">
        <v>1</v>
      </c>
      <c r="I3094">
        <v>5</v>
      </c>
      <c r="J3094">
        <v>1</v>
      </c>
      <c r="K3094">
        <v>1</v>
      </c>
    </row>
    <row r="3095" spans="7:11">
      <c r="G3095">
        <v>2</v>
      </c>
      <c r="H3095">
        <v>1</v>
      </c>
      <c r="I3095">
        <v>5</v>
      </c>
      <c r="J3095">
        <v>2</v>
      </c>
      <c r="K3095">
        <v>2</v>
      </c>
    </row>
    <row r="3096" spans="7:11">
      <c r="G3096">
        <v>2</v>
      </c>
      <c r="H3096">
        <v>2</v>
      </c>
      <c r="I3096">
        <v>1</v>
      </c>
      <c r="J3096">
        <v>1</v>
      </c>
      <c r="K3096">
        <v>1</v>
      </c>
    </row>
    <row r="3097" spans="7:11">
      <c r="G3097">
        <v>2</v>
      </c>
      <c r="H3097">
        <v>2</v>
      </c>
      <c r="I3097">
        <v>1</v>
      </c>
      <c r="J3097">
        <v>2</v>
      </c>
      <c r="K3097">
        <v>2</v>
      </c>
    </row>
    <row r="3098" spans="7:11">
      <c r="G3098">
        <v>2</v>
      </c>
      <c r="H3098">
        <v>2</v>
      </c>
      <c r="I3098">
        <v>2</v>
      </c>
      <c r="J3098">
        <v>1</v>
      </c>
      <c r="K3098">
        <v>1</v>
      </c>
    </row>
    <row r="3099" spans="7:11">
      <c r="G3099">
        <v>2</v>
      </c>
      <c r="H3099">
        <v>2</v>
      </c>
      <c r="I3099">
        <v>2</v>
      </c>
      <c r="J3099">
        <v>2</v>
      </c>
      <c r="K3099">
        <v>2</v>
      </c>
    </row>
    <row r="3100" spans="7:11">
      <c r="G3100">
        <v>2</v>
      </c>
      <c r="H3100">
        <v>2</v>
      </c>
      <c r="I3100">
        <v>3</v>
      </c>
      <c r="J3100">
        <v>1</v>
      </c>
      <c r="K3100">
        <v>1</v>
      </c>
    </row>
    <row r="3101" spans="7:11">
      <c r="G3101">
        <v>2</v>
      </c>
      <c r="H3101">
        <v>2</v>
      </c>
      <c r="I3101">
        <v>3</v>
      </c>
      <c r="J3101">
        <v>2</v>
      </c>
      <c r="K3101">
        <v>2</v>
      </c>
    </row>
    <row r="3102" spans="7:11">
      <c r="G3102">
        <v>2</v>
      </c>
      <c r="H3102">
        <v>2</v>
      </c>
      <c r="I3102">
        <v>4</v>
      </c>
      <c r="J3102">
        <v>1</v>
      </c>
      <c r="K3102">
        <v>1</v>
      </c>
    </row>
    <row r="3103" spans="7:11">
      <c r="G3103">
        <v>2</v>
      </c>
      <c r="H3103">
        <v>2</v>
      </c>
      <c r="I3103">
        <v>4</v>
      </c>
      <c r="J3103">
        <v>2</v>
      </c>
      <c r="K3103">
        <v>2</v>
      </c>
    </row>
    <row r="3104" spans="7:11">
      <c r="G3104">
        <v>2</v>
      </c>
      <c r="H3104">
        <v>2</v>
      </c>
      <c r="I3104">
        <v>5</v>
      </c>
      <c r="J3104">
        <v>1</v>
      </c>
      <c r="K3104">
        <v>1</v>
      </c>
    </row>
    <row r="3105" spans="7:11">
      <c r="G3105">
        <v>2</v>
      </c>
      <c r="H3105">
        <v>2</v>
      </c>
      <c r="I3105">
        <v>5</v>
      </c>
      <c r="J3105">
        <v>2</v>
      </c>
      <c r="K3105">
        <v>2</v>
      </c>
    </row>
    <row r="3106" spans="7:11">
      <c r="G3106">
        <v>2</v>
      </c>
      <c r="H3106">
        <v>3</v>
      </c>
      <c r="I3106">
        <v>1</v>
      </c>
      <c r="J3106">
        <v>1</v>
      </c>
      <c r="K3106">
        <v>1</v>
      </c>
    </row>
    <row r="3107" spans="7:11">
      <c r="G3107">
        <v>2</v>
      </c>
      <c r="H3107">
        <v>3</v>
      </c>
      <c r="I3107">
        <v>1</v>
      </c>
      <c r="J3107">
        <v>2</v>
      </c>
      <c r="K3107">
        <v>2</v>
      </c>
    </row>
    <row r="3108" spans="7:11">
      <c r="G3108">
        <v>2</v>
      </c>
      <c r="H3108">
        <v>3</v>
      </c>
      <c r="I3108">
        <v>2</v>
      </c>
      <c r="J3108">
        <v>1</v>
      </c>
      <c r="K3108">
        <v>1</v>
      </c>
    </row>
    <row r="3109" spans="7:11">
      <c r="G3109">
        <v>2</v>
      </c>
      <c r="H3109">
        <v>3</v>
      </c>
      <c r="I3109">
        <v>2</v>
      </c>
      <c r="J3109">
        <v>2</v>
      </c>
      <c r="K3109">
        <v>2</v>
      </c>
    </row>
    <row r="3110" spans="7:11">
      <c r="G3110">
        <v>2</v>
      </c>
      <c r="H3110">
        <v>3</v>
      </c>
      <c r="I3110">
        <v>3</v>
      </c>
      <c r="J3110">
        <v>1</v>
      </c>
      <c r="K3110">
        <v>1</v>
      </c>
    </row>
    <row r="3111" spans="7:11">
      <c r="G3111">
        <v>2</v>
      </c>
      <c r="H3111">
        <v>3</v>
      </c>
      <c r="I3111">
        <v>3</v>
      </c>
      <c r="J3111">
        <v>2</v>
      </c>
      <c r="K3111">
        <v>2</v>
      </c>
    </row>
    <row r="3112" spans="7:11">
      <c r="G3112">
        <v>2</v>
      </c>
      <c r="H3112">
        <v>3</v>
      </c>
      <c r="I3112">
        <v>4</v>
      </c>
      <c r="J3112">
        <v>1</v>
      </c>
      <c r="K3112">
        <v>1</v>
      </c>
    </row>
    <row r="3113" spans="7:11">
      <c r="G3113">
        <v>2</v>
      </c>
      <c r="H3113">
        <v>3</v>
      </c>
      <c r="I3113">
        <v>4</v>
      </c>
      <c r="J3113">
        <v>2</v>
      </c>
      <c r="K3113">
        <v>2</v>
      </c>
    </row>
    <row r="3114" spans="7:11">
      <c r="G3114">
        <v>2</v>
      </c>
      <c r="H3114">
        <v>3</v>
      </c>
      <c r="I3114">
        <v>5</v>
      </c>
      <c r="J3114">
        <v>1</v>
      </c>
      <c r="K3114">
        <v>1</v>
      </c>
    </row>
    <row r="3115" spans="7:11">
      <c r="G3115">
        <v>2</v>
      </c>
      <c r="H3115">
        <v>3</v>
      </c>
      <c r="I3115">
        <v>5</v>
      </c>
      <c r="J3115">
        <v>2</v>
      </c>
      <c r="K3115">
        <v>2</v>
      </c>
    </row>
    <row r="3116" spans="7:11">
      <c r="G3116">
        <v>3</v>
      </c>
      <c r="H3116">
        <v>1</v>
      </c>
      <c r="I3116">
        <v>3</v>
      </c>
      <c r="J3116">
        <v>1</v>
      </c>
      <c r="K3116">
        <v>1</v>
      </c>
    </row>
    <row r="3117" spans="7:11">
      <c r="G3117">
        <v>3</v>
      </c>
      <c r="H3117">
        <v>1</v>
      </c>
      <c r="I3117">
        <v>3</v>
      </c>
      <c r="J3117">
        <v>2</v>
      </c>
      <c r="K3117">
        <v>2</v>
      </c>
    </row>
    <row r="3118" spans="7:11">
      <c r="G3118">
        <v>3</v>
      </c>
      <c r="H3118">
        <v>1</v>
      </c>
      <c r="I3118">
        <v>4</v>
      </c>
      <c r="J3118">
        <v>1</v>
      </c>
      <c r="K3118">
        <v>1</v>
      </c>
    </row>
    <row r="3119" spans="7:11">
      <c r="G3119">
        <v>3</v>
      </c>
      <c r="H3119">
        <v>1</v>
      </c>
      <c r="I3119">
        <v>4</v>
      </c>
      <c r="J3119">
        <v>2</v>
      </c>
      <c r="K3119">
        <v>2</v>
      </c>
    </row>
    <row r="3120" spans="7:11">
      <c r="G3120">
        <v>3</v>
      </c>
      <c r="H3120">
        <v>1</v>
      </c>
      <c r="I3120">
        <v>5</v>
      </c>
      <c r="J3120">
        <v>1</v>
      </c>
      <c r="K3120">
        <v>1</v>
      </c>
    </row>
    <row r="3121" spans="7:11">
      <c r="G3121">
        <v>3</v>
      </c>
      <c r="H3121">
        <v>1</v>
      </c>
      <c r="I3121">
        <v>5</v>
      </c>
      <c r="J3121">
        <v>2</v>
      </c>
      <c r="K3121">
        <v>2</v>
      </c>
    </row>
    <row r="3122" spans="7:11">
      <c r="G3122">
        <v>3</v>
      </c>
      <c r="H3122">
        <v>2</v>
      </c>
      <c r="I3122">
        <v>1</v>
      </c>
      <c r="J3122">
        <v>1</v>
      </c>
      <c r="K3122">
        <v>1</v>
      </c>
    </row>
    <row r="3123" spans="7:11">
      <c r="G3123">
        <v>3</v>
      </c>
      <c r="H3123">
        <v>2</v>
      </c>
      <c r="I3123">
        <v>1</v>
      </c>
      <c r="J3123">
        <v>2</v>
      </c>
      <c r="K3123">
        <v>2</v>
      </c>
    </row>
    <row r="3124" spans="7:11">
      <c r="G3124">
        <v>3</v>
      </c>
      <c r="H3124">
        <v>2</v>
      </c>
      <c r="I3124">
        <v>2</v>
      </c>
      <c r="J3124">
        <v>1</v>
      </c>
      <c r="K3124">
        <v>1</v>
      </c>
    </row>
    <row r="3125" spans="7:11">
      <c r="G3125">
        <v>3</v>
      </c>
      <c r="H3125">
        <v>2</v>
      </c>
      <c r="I3125">
        <v>2</v>
      </c>
      <c r="J3125">
        <v>2</v>
      </c>
      <c r="K3125">
        <v>2</v>
      </c>
    </row>
    <row r="3126" spans="7:11">
      <c r="G3126">
        <v>3</v>
      </c>
      <c r="H3126">
        <v>2</v>
      </c>
      <c r="I3126">
        <v>3</v>
      </c>
      <c r="J3126">
        <v>1</v>
      </c>
      <c r="K3126">
        <v>1</v>
      </c>
    </row>
    <row r="3127" spans="7:11">
      <c r="G3127">
        <v>3</v>
      </c>
      <c r="H3127">
        <v>2</v>
      </c>
      <c r="I3127">
        <v>3</v>
      </c>
      <c r="J3127">
        <v>2</v>
      </c>
      <c r="K3127">
        <v>2</v>
      </c>
    </row>
    <row r="3128" spans="7:11">
      <c r="G3128">
        <v>3</v>
      </c>
      <c r="H3128">
        <v>2</v>
      </c>
      <c r="I3128">
        <v>4</v>
      </c>
      <c r="J3128">
        <v>1</v>
      </c>
      <c r="K3128">
        <v>1</v>
      </c>
    </row>
    <row r="3129" spans="7:11">
      <c r="G3129">
        <v>3</v>
      </c>
      <c r="H3129">
        <v>2</v>
      </c>
      <c r="I3129">
        <v>4</v>
      </c>
      <c r="J3129">
        <v>2</v>
      </c>
      <c r="K3129">
        <v>2</v>
      </c>
    </row>
    <row r="3130" spans="7:11">
      <c r="G3130">
        <v>3</v>
      </c>
      <c r="H3130">
        <v>2</v>
      </c>
      <c r="I3130">
        <v>5</v>
      </c>
      <c r="J3130">
        <v>1</v>
      </c>
      <c r="K3130">
        <v>1</v>
      </c>
    </row>
    <row r="3131" spans="7:11">
      <c r="G3131">
        <v>3</v>
      </c>
      <c r="H3131">
        <v>2</v>
      </c>
      <c r="I3131">
        <v>5</v>
      </c>
      <c r="J3131">
        <v>2</v>
      </c>
      <c r="K3131">
        <v>2</v>
      </c>
    </row>
    <row r="3132" spans="7:11">
      <c r="G3132">
        <v>3</v>
      </c>
      <c r="H3132">
        <v>3</v>
      </c>
      <c r="I3132">
        <v>1</v>
      </c>
      <c r="J3132">
        <v>1</v>
      </c>
      <c r="K3132">
        <v>1</v>
      </c>
    </row>
    <row r="3133" spans="7:11">
      <c r="G3133">
        <v>3</v>
      </c>
      <c r="H3133">
        <v>3</v>
      </c>
      <c r="I3133">
        <v>1</v>
      </c>
      <c r="J3133">
        <v>2</v>
      </c>
      <c r="K3133">
        <v>2</v>
      </c>
    </row>
    <row r="3134" spans="7:11">
      <c r="G3134">
        <v>3</v>
      </c>
      <c r="H3134">
        <v>3</v>
      </c>
      <c r="I3134">
        <v>2</v>
      </c>
      <c r="J3134">
        <v>1</v>
      </c>
      <c r="K3134">
        <v>1</v>
      </c>
    </row>
    <row r="3135" spans="7:11">
      <c r="G3135">
        <v>3</v>
      </c>
      <c r="H3135">
        <v>3</v>
      </c>
      <c r="I3135">
        <v>2</v>
      </c>
      <c r="J3135">
        <v>2</v>
      </c>
      <c r="K3135">
        <v>2</v>
      </c>
    </row>
    <row r="3136" spans="7:11">
      <c r="G3136">
        <v>3</v>
      </c>
      <c r="H3136">
        <v>3</v>
      </c>
      <c r="I3136">
        <v>3</v>
      </c>
      <c r="J3136">
        <v>1</v>
      </c>
      <c r="K3136">
        <v>1</v>
      </c>
    </row>
    <row r="3137" spans="7:11">
      <c r="G3137">
        <v>3</v>
      </c>
      <c r="H3137">
        <v>3</v>
      </c>
      <c r="I3137">
        <v>3</v>
      </c>
      <c r="J3137">
        <v>2</v>
      </c>
      <c r="K3137">
        <v>2</v>
      </c>
    </row>
    <row r="3138" spans="7:11">
      <c r="G3138">
        <v>3</v>
      </c>
      <c r="H3138">
        <v>3</v>
      </c>
      <c r="I3138">
        <v>4</v>
      </c>
      <c r="J3138">
        <v>1</v>
      </c>
      <c r="K3138">
        <v>1</v>
      </c>
    </row>
    <row r="3139" spans="7:11">
      <c r="G3139">
        <v>3</v>
      </c>
      <c r="H3139">
        <v>3</v>
      </c>
      <c r="I3139">
        <v>4</v>
      </c>
      <c r="J3139">
        <v>2</v>
      </c>
      <c r="K3139">
        <v>2</v>
      </c>
    </row>
    <row r="3140" spans="7:11">
      <c r="G3140">
        <v>3</v>
      </c>
      <c r="H3140">
        <v>3</v>
      </c>
      <c r="I3140">
        <v>5</v>
      </c>
      <c r="J3140">
        <v>1</v>
      </c>
      <c r="K3140">
        <v>1</v>
      </c>
    </row>
    <row r="3141" spans="7:11">
      <c r="G3141">
        <v>3</v>
      </c>
      <c r="H3141">
        <v>3</v>
      </c>
      <c r="I3141">
        <v>5</v>
      </c>
      <c r="J3141">
        <v>2</v>
      </c>
      <c r="K3141">
        <v>2</v>
      </c>
    </row>
    <row r="3142" spans="7:11">
      <c r="G3142">
        <v>4</v>
      </c>
      <c r="H3142">
        <v>1</v>
      </c>
      <c r="I3142">
        <v>3</v>
      </c>
      <c r="J3142">
        <v>1</v>
      </c>
      <c r="K3142">
        <v>1</v>
      </c>
    </row>
    <row r="3143" spans="7:11">
      <c r="G3143">
        <v>4</v>
      </c>
      <c r="H3143">
        <v>1</v>
      </c>
      <c r="I3143">
        <v>3</v>
      </c>
      <c r="J3143">
        <v>2</v>
      </c>
      <c r="K3143">
        <v>2</v>
      </c>
    </row>
    <row r="3144" spans="7:11">
      <c r="G3144">
        <v>4</v>
      </c>
      <c r="H3144">
        <v>1</v>
      </c>
      <c r="I3144">
        <v>4</v>
      </c>
      <c r="J3144">
        <v>1</v>
      </c>
      <c r="K3144">
        <v>1</v>
      </c>
    </row>
    <row r="3145" spans="7:11">
      <c r="G3145">
        <v>4</v>
      </c>
      <c r="H3145">
        <v>1</v>
      </c>
      <c r="I3145">
        <v>4</v>
      </c>
      <c r="J3145">
        <v>2</v>
      </c>
      <c r="K3145">
        <v>2</v>
      </c>
    </row>
    <row r="3146" spans="7:11">
      <c r="G3146">
        <v>4</v>
      </c>
      <c r="H3146">
        <v>1</v>
      </c>
      <c r="I3146">
        <v>5</v>
      </c>
      <c r="J3146">
        <v>1</v>
      </c>
      <c r="K3146">
        <v>1</v>
      </c>
    </row>
    <row r="3147" spans="7:11">
      <c r="G3147">
        <v>4</v>
      </c>
      <c r="H3147">
        <v>1</v>
      </c>
      <c r="I3147">
        <v>5</v>
      </c>
      <c r="J3147">
        <v>2</v>
      </c>
      <c r="K3147">
        <v>2</v>
      </c>
    </row>
    <row r="3148" spans="7:11">
      <c r="G3148">
        <v>4</v>
      </c>
      <c r="H3148">
        <v>2</v>
      </c>
      <c r="I3148">
        <v>1</v>
      </c>
      <c r="J3148">
        <v>1</v>
      </c>
      <c r="K3148">
        <v>1</v>
      </c>
    </row>
    <row r="3149" spans="7:11">
      <c r="G3149">
        <v>4</v>
      </c>
      <c r="H3149">
        <v>2</v>
      </c>
      <c r="I3149">
        <v>1</v>
      </c>
      <c r="J3149">
        <v>2</v>
      </c>
      <c r="K3149">
        <v>2</v>
      </c>
    </row>
    <row r="3150" spans="7:11">
      <c r="G3150">
        <v>4</v>
      </c>
      <c r="H3150">
        <v>2</v>
      </c>
      <c r="I3150">
        <v>2</v>
      </c>
      <c r="J3150">
        <v>1</v>
      </c>
      <c r="K3150">
        <v>1</v>
      </c>
    </row>
    <row r="3151" spans="7:11">
      <c r="G3151">
        <v>4</v>
      </c>
      <c r="H3151">
        <v>2</v>
      </c>
      <c r="I3151">
        <v>2</v>
      </c>
      <c r="J3151">
        <v>2</v>
      </c>
      <c r="K3151">
        <v>2</v>
      </c>
    </row>
    <row r="3152" spans="7:11">
      <c r="G3152">
        <v>4</v>
      </c>
      <c r="H3152">
        <v>2</v>
      </c>
      <c r="I3152">
        <v>3</v>
      </c>
      <c r="J3152">
        <v>1</v>
      </c>
      <c r="K3152">
        <v>1</v>
      </c>
    </row>
    <row r="3153" spans="7:11">
      <c r="G3153">
        <v>4</v>
      </c>
      <c r="H3153">
        <v>2</v>
      </c>
      <c r="I3153">
        <v>3</v>
      </c>
      <c r="J3153">
        <v>2</v>
      </c>
      <c r="K3153">
        <v>2</v>
      </c>
    </row>
    <row r="3154" spans="7:11">
      <c r="G3154">
        <v>4</v>
      </c>
      <c r="H3154">
        <v>2</v>
      </c>
      <c r="I3154">
        <v>4</v>
      </c>
      <c r="J3154">
        <v>1</v>
      </c>
      <c r="K3154">
        <v>1</v>
      </c>
    </row>
    <row r="3155" spans="7:11">
      <c r="G3155">
        <v>4</v>
      </c>
      <c r="H3155">
        <v>2</v>
      </c>
      <c r="I3155">
        <v>4</v>
      </c>
      <c r="J3155">
        <v>2</v>
      </c>
      <c r="K3155">
        <v>2</v>
      </c>
    </row>
    <row r="3156" spans="7:11">
      <c r="G3156">
        <v>4</v>
      </c>
      <c r="H3156">
        <v>2</v>
      </c>
      <c r="I3156">
        <v>5</v>
      </c>
      <c r="J3156">
        <v>1</v>
      </c>
      <c r="K3156">
        <v>1</v>
      </c>
    </row>
    <row r="3157" spans="7:11">
      <c r="G3157">
        <v>4</v>
      </c>
      <c r="H3157">
        <v>2</v>
      </c>
      <c r="I3157">
        <v>5</v>
      </c>
      <c r="J3157">
        <v>2</v>
      </c>
      <c r="K3157">
        <v>2</v>
      </c>
    </row>
    <row r="3158" spans="7:11">
      <c r="G3158">
        <v>4</v>
      </c>
      <c r="H3158">
        <v>3</v>
      </c>
      <c r="I3158">
        <v>1</v>
      </c>
      <c r="J3158">
        <v>1</v>
      </c>
      <c r="K3158">
        <v>1</v>
      </c>
    </row>
    <row r="3159" spans="7:11">
      <c r="G3159">
        <v>4</v>
      </c>
      <c r="H3159">
        <v>3</v>
      </c>
      <c r="I3159">
        <v>1</v>
      </c>
      <c r="J3159">
        <v>2</v>
      </c>
      <c r="K3159">
        <v>2</v>
      </c>
    </row>
    <row r="3160" spans="7:11">
      <c r="G3160">
        <v>4</v>
      </c>
      <c r="H3160">
        <v>3</v>
      </c>
      <c r="I3160">
        <v>2</v>
      </c>
      <c r="J3160">
        <v>1</v>
      </c>
      <c r="K3160">
        <v>1</v>
      </c>
    </row>
    <row r="3161" spans="7:11">
      <c r="G3161">
        <v>4</v>
      </c>
      <c r="H3161">
        <v>3</v>
      </c>
      <c r="I3161">
        <v>2</v>
      </c>
      <c r="J3161">
        <v>2</v>
      </c>
      <c r="K3161">
        <v>2</v>
      </c>
    </row>
    <row r="3162" spans="7:11">
      <c r="G3162">
        <v>4</v>
      </c>
      <c r="H3162">
        <v>3</v>
      </c>
      <c r="I3162">
        <v>3</v>
      </c>
      <c r="J3162">
        <v>1</v>
      </c>
      <c r="K3162">
        <v>1</v>
      </c>
    </row>
    <row r="3163" spans="7:11">
      <c r="G3163">
        <v>4</v>
      </c>
      <c r="H3163">
        <v>3</v>
      </c>
      <c r="I3163">
        <v>3</v>
      </c>
      <c r="J3163">
        <v>2</v>
      </c>
      <c r="K3163">
        <v>2</v>
      </c>
    </row>
    <row r="3164" spans="7:11">
      <c r="G3164">
        <v>4</v>
      </c>
      <c r="H3164">
        <v>3</v>
      </c>
      <c r="I3164">
        <v>4</v>
      </c>
      <c r="J3164">
        <v>1</v>
      </c>
      <c r="K3164">
        <v>1</v>
      </c>
    </row>
    <row r="3165" spans="7:11">
      <c r="G3165">
        <v>4</v>
      </c>
      <c r="H3165">
        <v>3</v>
      </c>
      <c r="I3165">
        <v>4</v>
      </c>
      <c r="J3165">
        <v>2</v>
      </c>
      <c r="K3165">
        <v>2</v>
      </c>
    </row>
    <row r="3166" spans="7:11">
      <c r="G3166">
        <v>4</v>
      </c>
      <c r="H3166">
        <v>3</v>
      </c>
      <c r="I3166">
        <v>5</v>
      </c>
      <c r="J3166">
        <v>1</v>
      </c>
      <c r="K3166">
        <v>1</v>
      </c>
    </row>
    <row r="3167" spans="7:11">
      <c r="G3167">
        <v>4</v>
      </c>
      <c r="H3167">
        <v>3</v>
      </c>
      <c r="I3167">
        <v>5</v>
      </c>
      <c r="J3167">
        <v>2</v>
      </c>
      <c r="K3167">
        <v>2</v>
      </c>
    </row>
    <row r="3168" spans="7:11">
      <c r="G3168">
        <v>1</v>
      </c>
      <c r="H3168">
        <v>2</v>
      </c>
      <c r="I3168">
        <v>1</v>
      </c>
      <c r="J3168">
        <v>1</v>
      </c>
      <c r="K3168">
        <v>1</v>
      </c>
    </row>
    <row r="3169" spans="7:11">
      <c r="G3169">
        <v>1</v>
      </c>
      <c r="H3169">
        <v>2</v>
      </c>
      <c r="I3169">
        <v>1</v>
      </c>
      <c r="J3169">
        <v>2</v>
      </c>
      <c r="K3169">
        <v>2</v>
      </c>
    </row>
    <row r="3170" spans="7:11">
      <c r="G3170">
        <v>1</v>
      </c>
      <c r="H3170">
        <v>2</v>
      </c>
      <c r="I3170">
        <v>2</v>
      </c>
      <c r="J3170">
        <v>1</v>
      </c>
      <c r="K3170">
        <v>1</v>
      </c>
    </row>
    <row r="3171" spans="7:11">
      <c r="G3171">
        <v>1</v>
      </c>
      <c r="H3171">
        <v>2</v>
      </c>
      <c r="I3171">
        <v>2</v>
      </c>
      <c r="J3171">
        <v>2</v>
      </c>
      <c r="K3171">
        <v>2</v>
      </c>
    </row>
    <row r="3172" spans="7:11">
      <c r="G3172">
        <v>1</v>
      </c>
      <c r="H3172">
        <v>2</v>
      </c>
      <c r="I3172">
        <v>3</v>
      </c>
      <c r="J3172">
        <v>1</v>
      </c>
      <c r="K3172">
        <v>1</v>
      </c>
    </row>
    <row r="3173" spans="7:11">
      <c r="G3173">
        <v>1</v>
      </c>
      <c r="H3173">
        <v>2</v>
      </c>
      <c r="I3173">
        <v>3</v>
      </c>
      <c r="J3173">
        <v>2</v>
      </c>
      <c r="K3173">
        <v>2</v>
      </c>
    </row>
    <row r="3174" spans="7:11">
      <c r="G3174">
        <v>1</v>
      </c>
      <c r="H3174">
        <v>2</v>
      </c>
      <c r="I3174">
        <v>4</v>
      </c>
      <c r="J3174">
        <v>1</v>
      </c>
      <c r="K3174">
        <v>1</v>
      </c>
    </row>
    <row r="3175" spans="7:11">
      <c r="G3175">
        <v>1</v>
      </c>
      <c r="H3175">
        <v>2</v>
      </c>
      <c r="I3175">
        <v>4</v>
      </c>
      <c r="J3175">
        <v>2</v>
      </c>
      <c r="K3175">
        <v>2</v>
      </c>
    </row>
    <row r="3176" spans="7:11">
      <c r="G3176">
        <v>1</v>
      </c>
      <c r="H3176">
        <v>2</v>
      </c>
      <c r="I3176">
        <v>5</v>
      </c>
      <c r="J3176">
        <v>1</v>
      </c>
      <c r="K3176">
        <v>1</v>
      </c>
    </row>
    <row r="3177" spans="7:11">
      <c r="G3177">
        <v>1</v>
      </c>
      <c r="H3177">
        <v>2</v>
      </c>
      <c r="I3177">
        <v>5</v>
      </c>
      <c r="J3177">
        <v>2</v>
      </c>
      <c r="K3177">
        <v>2</v>
      </c>
    </row>
    <row r="3178" spans="7:11">
      <c r="G3178">
        <v>1</v>
      </c>
      <c r="H3178">
        <v>3</v>
      </c>
      <c r="I3178">
        <v>1</v>
      </c>
      <c r="J3178">
        <v>1</v>
      </c>
      <c r="K3178">
        <v>1</v>
      </c>
    </row>
    <row r="3179" spans="7:11">
      <c r="G3179">
        <v>1</v>
      </c>
      <c r="H3179">
        <v>3</v>
      </c>
      <c r="I3179">
        <v>1</v>
      </c>
      <c r="J3179">
        <v>2</v>
      </c>
      <c r="K3179">
        <v>2</v>
      </c>
    </row>
    <row r="3180" spans="7:11">
      <c r="G3180">
        <v>1</v>
      </c>
      <c r="H3180">
        <v>3</v>
      </c>
      <c r="I3180">
        <v>2</v>
      </c>
      <c r="J3180">
        <v>1</v>
      </c>
      <c r="K3180">
        <v>1</v>
      </c>
    </row>
    <row r="3181" spans="7:11">
      <c r="G3181">
        <v>1</v>
      </c>
      <c r="H3181">
        <v>3</v>
      </c>
      <c r="I3181">
        <v>2</v>
      </c>
      <c r="J3181">
        <v>2</v>
      </c>
      <c r="K3181">
        <v>2</v>
      </c>
    </row>
    <row r="3182" spans="7:11">
      <c r="G3182">
        <v>1</v>
      </c>
      <c r="H3182">
        <v>3</v>
      </c>
      <c r="I3182">
        <v>3</v>
      </c>
      <c r="J3182">
        <v>1</v>
      </c>
      <c r="K3182">
        <v>1</v>
      </c>
    </row>
    <row r="3183" spans="7:11">
      <c r="G3183">
        <v>1</v>
      </c>
      <c r="H3183">
        <v>3</v>
      </c>
      <c r="I3183">
        <v>3</v>
      </c>
      <c r="J3183">
        <v>2</v>
      </c>
      <c r="K3183">
        <v>2</v>
      </c>
    </row>
    <row r="3184" spans="7:11">
      <c r="G3184">
        <v>1</v>
      </c>
      <c r="H3184">
        <v>3</v>
      </c>
      <c r="I3184">
        <v>4</v>
      </c>
      <c r="J3184">
        <v>1</v>
      </c>
      <c r="K3184">
        <v>1</v>
      </c>
    </row>
    <row r="3185" spans="7:11">
      <c r="G3185">
        <v>1</v>
      </c>
      <c r="H3185">
        <v>3</v>
      </c>
      <c r="I3185">
        <v>4</v>
      </c>
      <c r="J3185">
        <v>2</v>
      </c>
      <c r="K3185">
        <v>2</v>
      </c>
    </row>
    <row r="3186" spans="7:11">
      <c r="G3186">
        <v>1</v>
      </c>
      <c r="H3186">
        <v>3</v>
      </c>
      <c r="I3186">
        <v>5</v>
      </c>
      <c r="J3186">
        <v>1</v>
      </c>
      <c r="K3186">
        <v>1</v>
      </c>
    </row>
    <row r="3187" spans="7:11">
      <c r="G3187">
        <v>1</v>
      </c>
      <c r="H3187">
        <v>3</v>
      </c>
      <c r="I3187">
        <v>5</v>
      </c>
      <c r="J3187">
        <v>2</v>
      </c>
      <c r="K3187">
        <v>2</v>
      </c>
    </row>
    <row r="3188" spans="7:11">
      <c r="G3188">
        <v>2</v>
      </c>
      <c r="H3188">
        <v>1</v>
      </c>
      <c r="I3188">
        <v>3</v>
      </c>
      <c r="J3188">
        <v>1</v>
      </c>
      <c r="K3188">
        <v>1</v>
      </c>
    </row>
    <row r="3189" spans="7:11">
      <c r="G3189">
        <v>2</v>
      </c>
      <c r="H3189">
        <v>1</v>
      </c>
      <c r="I3189">
        <v>3</v>
      </c>
      <c r="J3189">
        <v>2</v>
      </c>
      <c r="K3189">
        <v>2</v>
      </c>
    </row>
    <row r="3190" spans="7:11">
      <c r="G3190">
        <v>2</v>
      </c>
      <c r="H3190">
        <v>1</v>
      </c>
      <c r="I3190">
        <v>4</v>
      </c>
      <c r="J3190">
        <v>1</v>
      </c>
      <c r="K3190">
        <v>1</v>
      </c>
    </row>
    <row r="3191" spans="7:11">
      <c r="G3191">
        <v>2</v>
      </c>
      <c r="H3191">
        <v>1</v>
      </c>
      <c r="I3191">
        <v>4</v>
      </c>
      <c r="J3191">
        <v>2</v>
      </c>
      <c r="K3191">
        <v>2</v>
      </c>
    </row>
    <row r="3192" spans="7:11">
      <c r="G3192">
        <v>2</v>
      </c>
      <c r="H3192">
        <v>1</v>
      </c>
      <c r="I3192">
        <v>5</v>
      </c>
      <c r="J3192">
        <v>1</v>
      </c>
      <c r="K3192">
        <v>1</v>
      </c>
    </row>
    <row r="3193" spans="7:11">
      <c r="G3193">
        <v>2</v>
      </c>
      <c r="H3193">
        <v>1</v>
      </c>
      <c r="I3193">
        <v>5</v>
      </c>
      <c r="J3193">
        <v>2</v>
      </c>
      <c r="K3193">
        <v>2</v>
      </c>
    </row>
    <row r="3194" spans="7:11">
      <c r="G3194">
        <v>2</v>
      </c>
      <c r="H3194">
        <v>2</v>
      </c>
      <c r="I3194">
        <v>1</v>
      </c>
      <c r="J3194">
        <v>1</v>
      </c>
      <c r="K3194">
        <v>1</v>
      </c>
    </row>
    <row r="3195" spans="7:11">
      <c r="G3195">
        <v>2</v>
      </c>
      <c r="H3195">
        <v>2</v>
      </c>
      <c r="I3195">
        <v>1</v>
      </c>
      <c r="J3195">
        <v>2</v>
      </c>
      <c r="K3195">
        <v>2</v>
      </c>
    </row>
    <row r="3196" spans="7:11">
      <c r="G3196">
        <v>2</v>
      </c>
      <c r="H3196">
        <v>2</v>
      </c>
      <c r="I3196">
        <v>2</v>
      </c>
      <c r="J3196">
        <v>1</v>
      </c>
      <c r="K3196">
        <v>1</v>
      </c>
    </row>
    <row r="3197" spans="7:11">
      <c r="G3197">
        <v>2</v>
      </c>
      <c r="H3197">
        <v>2</v>
      </c>
      <c r="I3197">
        <v>2</v>
      </c>
      <c r="J3197">
        <v>2</v>
      </c>
      <c r="K3197">
        <v>2</v>
      </c>
    </row>
    <row r="3198" spans="7:11">
      <c r="G3198">
        <v>2</v>
      </c>
      <c r="H3198">
        <v>2</v>
      </c>
      <c r="I3198">
        <v>3</v>
      </c>
      <c r="J3198">
        <v>1</v>
      </c>
      <c r="K3198">
        <v>1</v>
      </c>
    </row>
    <row r="3199" spans="7:11">
      <c r="G3199">
        <v>2</v>
      </c>
      <c r="H3199">
        <v>2</v>
      </c>
      <c r="I3199">
        <v>3</v>
      </c>
      <c r="J3199">
        <v>2</v>
      </c>
      <c r="K3199">
        <v>2</v>
      </c>
    </row>
    <row r="3200" spans="7:11">
      <c r="G3200">
        <v>2</v>
      </c>
      <c r="H3200">
        <v>2</v>
      </c>
      <c r="I3200">
        <v>4</v>
      </c>
      <c r="J3200">
        <v>1</v>
      </c>
      <c r="K3200">
        <v>1</v>
      </c>
    </row>
    <row r="3201" spans="7:11">
      <c r="G3201">
        <v>2</v>
      </c>
      <c r="H3201">
        <v>2</v>
      </c>
      <c r="I3201">
        <v>4</v>
      </c>
      <c r="J3201">
        <v>2</v>
      </c>
      <c r="K3201">
        <v>2</v>
      </c>
    </row>
    <row r="3202" spans="7:11">
      <c r="G3202">
        <v>2</v>
      </c>
      <c r="H3202">
        <v>2</v>
      </c>
      <c r="I3202">
        <v>5</v>
      </c>
      <c r="J3202">
        <v>1</v>
      </c>
      <c r="K3202">
        <v>1</v>
      </c>
    </row>
    <row r="3203" spans="7:11">
      <c r="G3203">
        <v>2</v>
      </c>
      <c r="H3203">
        <v>2</v>
      </c>
      <c r="I3203">
        <v>5</v>
      </c>
      <c r="J3203">
        <v>2</v>
      </c>
      <c r="K3203">
        <v>2</v>
      </c>
    </row>
    <row r="3204" spans="7:11">
      <c r="G3204">
        <v>2</v>
      </c>
      <c r="H3204">
        <v>3</v>
      </c>
      <c r="I3204">
        <v>1</v>
      </c>
      <c r="J3204">
        <v>1</v>
      </c>
      <c r="K3204">
        <v>1</v>
      </c>
    </row>
    <row r="3205" spans="7:11">
      <c r="G3205">
        <v>2</v>
      </c>
      <c r="H3205">
        <v>3</v>
      </c>
      <c r="I3205">
        <v>1</v>
      </c>
      <c r="J3205">
        <v>2</v>
      </c>
      <c r="K3205">
        <v>2</v>
      </c>
    </row>
    <row r="3206" spans="7:11">
      <c r="G3206">
        <v>2</v>
      </c>
      <c r="H3206">
        <v>3</v>
      </c>
      <c r="I3206">
        <v>2</v>
      </c>
      <c r="J3206">
        <v>1</v>
      </c>
      <c r="K3206">
        <v>1</v>
      </c>
    </row>
    <row r="3207" spans="7:11">
      <c r="G3207">
        <v>2</v>
      </c>
      <c r="H3207">
        <v>3</v>
      </c>
      <c r="I3207">
        <v>2</v>
      </c>
      <c r="J3207">
        <v>2</v>
      </c>
      <c r="K3207">
        <v>2</v>
      </c>
    </row>
    <row r="3208" spans="7:11">
      <c r="G3208">
        <v>2</v>
      </c>
      <c r="H3208">
        <v>3</v>
      </c>
      <c r="I3208">
        <v>3</v>
      </c>
      <c r="J3208">
        <v>1</v>
      </c>
      <c r="K3208">
        <v>1</v>
      </c>
    </row>
    <row r="3209" spans="7:11">
      <c r="G3209">
        <v>2</v>
      </c>
      <c r="H3209">
        <v>3</v>
      </c>
      <c r="I3209">
        <v>3</v>
      </c>
      <c r="J3209">
        <v>2</v>
      </c>
      <c r="K3209">
        <v>2</v>
      </c>
    </row>
    <row r="3210" spans="7:11">
      <c r="G3210">
        <v>2</v>
      </c>
      <c r="H3210">
        <v>3</v>
      </c>
      <c r="I3210">
        <v>4</v>
      </c>
      <c r="J3210">
        <v>1</v>
      </c>
      <c r="K3210">
        <v>1</v>
      </c>
    </row>
    <row r="3211" spans="7:11">
      <c r="G3211">
        <v>2</v>
      </c>
      <c r="H3211">
        <v>3</v>
      </c>
      <c r="I3211">
        <v>4</v>
      </c>
      <c r="J3211">
        <v>2</v>
      </c>
      <c r="K3211">
        <v>2</v>
      </c>
    </row>
    <row r="3212" spans="7:11">
      <c r="G3212">
        <v>2</v>
      </c>
      <c r="H3212">
        <v>3</v>
      </c>
      <c r="I3212">
        <v>5</v>
      </c>
      <c r="J3212">
        <v>1</v>
      </c>
      <c r="K3212">
        <v>1</v>
      </c>
    </row>
    <row r="3213" spans="7:11">
      <c r="G3213">
        <v>2</v>
      </c>
      <c r="H3213">
        <v>3</v>
      </c>
      <c r="I3213">
        <v>5</v>
      </c>
      <c r="J3213">
        <v>2</v>
      </c>
      <c r="K3213">
        <v>2</v>
      </c>
    </row>
    <row r="3214" spans="7:11">
      <c r="G3214">
        <v>3</v>
      </c>
      <c r="H3214">
        <v>1</v>
      </c>
      <c r="I3214">
        <v>3</v>
      </c>
      <c r="J3214">
        <v>1</v>
      </c>
      <c r="K3214">
        <v>1</v>
      </c>
    </row>
    <row r="3215" spans="7:11">
      <c r="G3215">
        <v>3</v>
      </c>
      <c r="H3215">
        <v>1</v>
      </c>
      <c r="I3215">
        <v>3</v>
      </c>
      <c r="J3215">
        <v>2</v>
      </c>
      <c r="K3215">
        <v>2</v>
      </c>
    </row>
    <row r="3216" spans="7:11">
      <c r="G3216">
        <v>3</v>
      </c>
      <c r="H3216">
        <v>1</v>
      </c>
      <c r="I3216">
        <v>4</v>
      </c>
      <c r="J3216">
        <v>1</v>
      </c>
      <c r="K3216">
        <v>1</v>
      </c>
    </row>
    <row r="3217" spans="7:11">
      <c r="G3217">
        <v>3</v>
      </c>
      <c r="H3217">
        <v>1</v>
      </c>
      <c r="I3217">
        <v>4</v>
      </c>
      <c r="J3217">
        <v>2</v>
      </c>
      <c r="K3217">
        <v>2</v>
      </c>
    </row>
    <row r="3218" spans="7:11">
      <c r="G3218">
        <v>3</v>
      </c>
      <c r="H3218">
        <v>1</v>
      </c>
      <c r="I3218">
        <v>5</v>
      </c>
      <c r="J3218">
        <v>1</v>
      </c>
      <c r="K3218">
        <v>1</v>
      </c>
    </row>
    <row r="3219" spans="7:11">
      <c r="G3219">
        <v>3</v>
      </c>
      <c r="H3219">
        <v>1</v>
      </c>
      <c r="I3219">
        <v>5</v>
      </c>
      <c r="J3219">
        <v>2</v>
      </c>
      <c r="K3219">
        <v>2</v>
      </c>
    </row>
    <row r="3220" spans="7:11">
      <c r="G3220">
        <v>3</v>
      </c>
      <c r="H3220">
        <v>2</v>
      </c>
      <c r="I3220">
        <v>1</v>
      </c>
      <c r="J3220">
        <v>1</v>
      </c>
      <c r="K3220">
        <v>1</v>
      </c>
    </row>
    <row r="3221" spans="7:11">
      <c r="G3221">
        <v>3</v>
      </c>
      <c r="H3221">
        <v>2</v>
      </c>
      <c r="I3221">
        <v>1</v>
      </c>
      <c r="J3221">
        <v>2</v>
      </c>
      <c r="K3221">
        <v>2</v>
      </c>
    </row>
    <row r="3222" spans="7:11">
      <c r="G3222">
        <v>3</v>
      </c>
      <c r="H3222">
        <v>2</v>
      </c>
      <c r="I3222">
        <v>2</v>
      </c>
      <c r="J3222">
        <v>1</v>
      </c>
      <c r="K3222">
        <v>1</v>
      </c>
    </row>
    <row r="3223" spans="7:11">
      <c r="G3223">
        <v>3</v>
      </c>
      <c r="H3223">
        <v>2</v>
      </c>
      <c r="I3223">
        <v>2</v>
      </c>
      <c r="J3223">
        <v>2</v>
      </c>
      <c r="K3223">
        <v>2</v>
      </c>
    </row>
    <row r="3224" spans="7:11">
      <c r="G3224">
        <v>3</v>
      </c>
      <c r="H3224">
        <v>2</v>
      </c>
      <c r="I3224">
        <v>3</v>
      </c>
      <c r="J3224">
        <v>1</v>
      </c>
      <c r="K3224">
        <v>1</v>
      </c>
    </row>
    <row r="3225" spans="7:11">
      <c r="G3225">
        <v>3</v>
      </c>
      <c r="H3225">
        <v>2</v>
      </c>
      <c r="I3225">
        <v>3</v>
      </c>
      <c r="J3225">
        <v>2</v>
      </c>
      <c r="K3225">
        <v>2</v>
      </c>
    </row>
    <row r="3226" spans="7:11">
      <c r="G3226">
        <v>3</v>
      </c>
      <c r="H3226">
        <v>2</v>
      </c>
      <c r="I3226">
        <v>4</v>
      </c>
      <c r="J3226">
        <v>1</v>
      </c>
      <c r="K3226">
        <v>1</v>
      </c>
    </row>
    <row r="3227" spans="7:11">
      <c r="G3227">
        <v>3</v>
      </c>
      <c r="H3227">
        <v>2</v>
      </c>
      <c r="I3227">
        <v>4</v>
      </c>
      <c r="J3227">
        <v>2</v>
      </c>
      <c r="K3227">
        <v>2</v>
      </c>
    </row>
    <row r="3228" spans="7:11">
      <c r="G3228">
        <v>3</v>
      </c>
      <c r="H3228">
        <v>2</v>
      </c>
      <c r="I3228">
        <v>5</v>
      </c>
      <c r="J3228">
        <v>1</v>
      </c>
      <c r="K3228">
        <v>1</v>
      </c>
    </row>
    <row r="3229" spans="7:11">
      <c r="G3229">
        <v>3</v>
      </c>
      <c r="H3229">
        <v>2</v>
      </c>
      <c r="I3229">
        <v>5</v>
      </c>
      <c r="J3229">
        <v>2</v>
      </c>
      <c r="K3229">
        <v>2</v>
      </c>
    </row>
    <row r="3230" spans="7:11">
      <c r="G3230">
        <v>3</v>
      </c>
      <c r="H3230">
        <v>3</v>
      </c>
      <c r="I3230">
        <v>1</v>
      </c>
      <c r="J3230">
        <v>1</v>
      </c>
      <c r="K3230">
        <v>1</v>
      </c>
    </row>
    <row r="3231" spans="7:11">
      <c r="G3231">
        <v>3</v>
      </c>
      <c r="H3231">
        <v>3</v>
      </c>
      <c r="I3231">
        <v>1</v>
      </c>
      <c r="J3231">
        <v>2</v>
      </c>
      <c r="K3231">
        <v>2</v>
      </c>
    </row>
    <row r="3232" spans="7:11">
      <c r="G3232">
        <v>3</v>
      </c>
      <c r="H3232">
        <v>3</v>
      </c>
      <c r="I3232">
        <v>2</v>
      </c>
      <c r="J3232">
        <v>1</v>
      </c>
      <c r="K3232">
        <v>1</v>
      </c>
    </row>
    <row r="3233" spans="7:11">
      <c r="G3233">
        <v>3</v>
      </c>
      <c r="H3233">
        <v>3</v>
      </c>
      <c r="I3233">
        <v>2</v>
      </c>
      <c r="J3233">
        <v>2</v>
      </c>
      <c r="K3233">
        <v>2</v>
      </c>
    </row>
    <row r="3234" spans="7:11">
      <c r="G3234">
        <v>3</v>
      </c>
      <c r="H3234">
        <v>3</v>
      </c>
      <c r="I3234">
        <v>3</v>
      </c>
      <c r="J3234">
        <v>1</v>
      </c>
      <c r="K3234">
        <v>1</v>
      </c>
    </row>
    <row r="3235" spans="7:11">
      <c r="G3235">
        <v>3</v>
      </c>
      <c r="H3235">
        <v>3</v>
      </c>
      <c r="I3235">
        <v>3</v>
      </c>
      <c r="J3235">
        <v>2</v>
      </c>
      <c r="K3235">
        <v>2</v>
      </c>
    </row>
    <row r="3236" spans="7:11">
      <c r="G3236">
        <v>3</v>
      </c>
      <c r="H3236">
        <v>3</v>
      </c>
      <c r="I3236">
        <v>4</v>
      </c>
      <c r="J3236">
        <v>1</v>
      </c>
      <c r="K3236">
        <v>1</v>
      </c>
    </row>
    <row r="3237" spans="7:11">
      <c r="G3237">
        <v>3</v>
      </c>
      <c r="H3237">
        <v>3</v>
      </c>
      <c r="I3237">
        <v>4</v>
      </c>
      <c r="J3237">
        <v>2</v>
      </c>
      <c r="K3237">
        <v>2</v>
      </c>
    </row>
    <row r="3238" spans="7:11">
      <c r="G3238">
        <v>3</v>
      </c>
      <c r="H3238">
        <v>3</v>
      </c>
      <c r="I3238">
        <v>5</v>
      </c>
      <c r="J3238">
        <v>1</v>
      </c>
      <c r="K3238">
        <v>1</v>
      </c>
    </row>
    <row r="3239" spans="7:11">
      <c r="G3239">
        <v>3</v>
      </c>
      <c r="H3239">
        <v>3</v>
      </c>
      <c r="I3239">
        <v>5</v>
      </c>
      <c r="J3239">
        <v>2</v>
      </c>
      <c r="K3239">
        <v>2</v>
      </c>
    </row>
    <row r="3240" spans="7:11">
      <c r="G3240">
        <v>4</v>
      </c>
      <c r="H3240">
        <v>1</v>
      </c>
      <c r="I3240">
        <v>3</v>
      </c>
      <c r="J3240">
        <v>1</v>
      </c>
      <c r="K3240">
        <v>1</v>
      </c>
    </row>
    <row r="3241" spans="7:11">
      <c r="G3241">
        <v>4</v>
      </c>
      <c r="H3241">
        <v>1</v>
      </c>
      <c r="I3241">
        <v>3</v>
      </c>
      <c r="J3241">
        <v>2</v>
      </c>
      <c r="K3241">
        <v>2</v>
      </c>
    </row>
    <row r="3242" spans="7:11">
      <c r="G3242">
        <v>4</v>
      </c>
      <c r="H3242">
        <v>1</v>
      </c>
      <c r="I3242">
        <v>4</v>
      </c>
      <c r="J3242">
        <v>1</v>
      </c>
      <c r="K3242">
        <v>1</v>
      </c>
    </row>
    <row r="3243" spans="7:11">
      <c r="G3243">
        <v>4</v>
      </c>
      <c r="H3243">
        <v>1</v>
      </c>
      <c r="I3243">
        <v>4</v>
      </c>
      <c r="J3243">
        <v>2</v>
      </c>
      <c r="K3243">
        <v>2</v>
      </c>
    </row>
    <row r="3244" spans="7:11">
      <c r="G3244">
        <v>4</v>
      </c>
      <c r="H3244">
        <v>1</v>
      </c>
      <c r="I3244">
        <v>5</v>
      </c>
      <c r="J3244">
        <v>1</v>
      </c>
      <c r="K3244">
        <v>1</v>
      </c>
    </row>
    <row r="3245" spans="7:11">
      <c r="G3245">
        <v>4</v>
      </c>
      <c r="H3245">
        <v>1</v>
      </c>
      <c r="I3245">
        <v>5</v>
      </c>
      <c r="J3245">
        <v>2</v>
      </c>
      <c r="K3245">
        <v>2</v>
      </c>
    </row>
    <row r="3246" spans="7:11">
      <c r="G3246">
        <v>4</v>
      </c>
      <c r="H3246">
        <v>2</v>
      </c>
      <c r="I3246">
        <v>1</v>
      </c>
      <c r="J3246">
        <v>1</v>
      </c>
      <c r="K3246">
        <v>1</v>
      </c>
    </row>
    <row r="3247" spans="7:11">
      <c r="G3247">
        <v>4</v>
      </c>
      <c r="H3247">
        <v>2</v>
      </c>
      <c r="I3247">
        <v>1</v>
      </c>
      <c r="J3247">
        <v>2</v>
      </c>
      <c r="K3247">
        <v>2</v>
      </c>
    </row>
    <row r="3248" spans="7:11">
      <c r="G3248">
        <v>4</v>
      </c>
      <c r="H3248">
        <v>2</v>
      </c>
      <c r="I3248">
        <v>2</v>
      </c>
      <c r="J3248">
        <v>1</v>
      </c>
      <c r="K3248">
        <v>1</v>
      </c>
    </row>
    <row r="3249" spans="7:11">
      <c r="G3249">
        <v>4</v>
      </c>
      <c r="H3249">
        <v>2</v>
      </c>
      <c r="I3249">
        <v>2</v>
      </c>
      <c r="J3249">
        <v>2</v>
      </c>
      <c r="K3249">
        <v>2</v>
      </c>
    </row>
    <row r="3250" spans="7:11">
      <c r="G3250">
        <v>4</v>
      </c>
      <c r="H3250">
        <v>2</v>
      </c>
      <c r="I3250">
        <v>3</v>
      </c>
      <c r="J3250">
        <v>1</v>
      </c>
      <c r="K3250">
        <v>1</v>
      </c>
    </row>
    <row r="3251" spans="7:11">
      <c r="G3251">
        <v>4</v>
      </c>
      <c r="H3251">
        <v>2</v>
      </c>
      <c r="I3251">
        <v>3</v>
      </c>
      <c r="J3251">
        <v>2</v>
      </c>
      <c r="K3251">
        <v>2</v>
      </c>
    </row>
    <row r="3252" spans="7:11">
      <c r="G3252">
        <v>4</v>
      </c>
      <c r="H3252">
        <v>2</v>
      </c>
      <c r="I3252">
        <v>4</v>
      </c>
      <c r="J3252">
        <v>1</v>
      </c>
      <c r="K3252">
        <v>1</v>
      </c>
    </row>
    <row r="3253" spans="7:11">
      <c r="G3253">
        <v>4</v>
      </c>
      <c r="H3253">
        <v>2</v>
      </c>
      <c r="I3253">
        <v>4</v>
      </c>
      <c r="J3253">
        <v>2</v>
      </c>
      <c r="K3253">
        <v>2</v>
      </c>
    </row>
    <row r="3254" spans="7:11">
      <c r="G3254">
        <v>4</v>
      </c>
      <c r="H3254">
        <v>2</v>
      </c>
      <c r="I3254">
        <v>5</v>
      </c>
      <c r="J3254">
        <v>1</v>
      </c>
      <c r="K3254">
        <v>1</v>
      </c>
    </row>
    <row r="3255" spans="7:11">
      <c r="G3255">
        <v>4</v>
      </c>
      <c r="H3255">
        <v>2</v>
      </c>
      <c r="I3255">
        <v>5</v>
      </c>
      <c r="J3255">
        <v>2</v>
      </c>
      <c r="K3255">
        <v>2</v>
      </c>
    </row>
    <row r="3256" spans="7:11">
      <c r="G3256">
        <v>4</v>
      </c>
      <c r="H3256">
        <v>3</v>
      </c>
      <c r="I3256">
        <v>1</v>
      </c>
      <c r="J3256">
        <v>1</v>
      </c>
      <c r="K3256">
        <v>1</v>
      </c>
    </row>
    <row r="3257" spans="7:11">
      <c r="G3257">
        <v>4</v>
      </c>
      <c r="H3257">
        <v>3</v>
      </c>
      <c r="I3257">
        <v>1</v>
      </c>
      <c r="J3257">
        <v>2</v>
      </c>
      <c r="K3257">
        <v>2</v>
      </c>
    </row>
    <row r="3258" spans="7:11">
      <c r="G3258">
        <v>4</v>
      </c>
      <c r="H3258">
        <v>3</v>
      </c>
      <c r="I3258">
        <v>2</v>
      </c>
      <c r="J3258">
        <v>1</v>
      </c>
      <c r="K3258">
        <v>1</v>
      </c>
    </row>
    <row r="3259" spans="7:11">
      <c r="G3259">
        <v>4</v>
      </c>
      <c r="H3259">
        <v>3</v>
      </c>
      <c r="I3259">
        <v>2</v>
      </c>
      <c r="J3259">
        <v>2</v>
      </c>
      <c r="K3259">
        <v>2</v>
      </c>
    </row>
    <row r="3260" spans="7:11">
      <c r="G3260">
        <v>4</v>
      </c>
      <c r="H3260">
        <v>3</v>
      </c>
      <c r="I3260">
        <v>3</v>
      </c>
      <c r="J3260">
        <v>1</v>
      </c>
      <c r="K3260">
        <v>1</v>
      </c>
    </row>
    <row r="3261" spans="7:11">
      <c r="G3261">
        <v>4</v>
      </c>
      <c r="H3261">
        <v>3</v>
      </c>
      <c r="I3261">
        <v>3</v>
      </c>
      <c r="J3261">
        <v>2</v>
      </c>
      <c r="K3261">
        <v>2</v>
      </c>
    </row>
    <row r="3262" spans="7:11">
      <c r="G3262">
        <v>4</v>
      </c>
      <c r="H3262">
        <v>3</v>
      </c>
      <c r="I3262">
        <v>4</v>
      </c>
      <c r="J3262">
        <v>1</v>
      </c>
      <c r="K3262">
        <v>1</v>
      </c>
    </row>
    <row r="3263" spans="7:11">
      <c r="G3263">
        <v>4</v>
      </c>
      <c r="H3263">
        <v>3</v>
      </c>
      <c r="I3263">
        <v>4</v>
      </c>
      <c r="J3263">
        <v>2</v>
      </c>
      <c r="K3263">
        <v>2</v>
      </c>
    </row>
    <row r="3264" spans="7:11">
      <c r="G3264">
        <v>4</v>
      </c>
      <c r="H3264">
        <v>3</v>
      </c>
      <c r="I3264">
        <v>5</v>
      </c>
      <c r="J3264">
        <v>1</v>
      </c>
      <c r="K3264">
        <v>1</v>
      </c>
    </row>
    <row r="3265" spans="7:11">
      <c r="G3265">
        <v>4</v>
      </c>
      <c r="H3265">
        <v>3</v>
      </c>
      <c r="I3265">
        <v>5</v>
      </c>
      <c r="J3265">
        <v>2</v>
      </c>
      <c r="K3265">
        <v>2</v>
      </c>
    </row>
    <row r="3266" spans="7:11">
      <c r="G3266">
        <v>1</v>
      </c>
      <c r="H3266">
        <v>2</v>
      </c>
      <c r="I3266">
        <v>1</v>
      </c>
      <c r="J3266">
        <v>1</v>
      </c>
      <c r="K3266">
        <v>1</v>
      </c>
    </row>
    <row r="3267" spans="7:11">
      <c r="G3267">
        <v>1</v>
      </c>
      <c r="H3267">
        <v>2</v>
      </c>
      <c r="I3267">
        <v>1</v>
      </c>
      <c r="J3267">
        <v>2</v>
      </c>
      <c r="K3267">
        <v>2</v>
      </c>
    </row>
    <row r="3268" spans="7:11">
      <c r="G3268">
        <v>1</v>
      </c>
      <c r="H3268">
        <v>2</v>
      </c>
      <c r="I3268">
        <v>2</v>
      </c>
      <c r="J3268">
        <v>1</v>
      </c>
      <c r="K3268">
        <v>1</v>
      </c>
    </row>
    <row r="3269" spans="7:11">
      <c r="G3269">
        <v>1</v>
      </c>
      <c r="H3269">
        <v>2</v>
      </c>
      <c r="I3269">
        <v>2</v>
      </c>
      <c r="J3269">
        <v>2</v>
      </c>
      <c r="K3269">
        <v>2</v>
      </c>
    </row>
    <row r="3270" spans="7:11">
      <c r="G3270">
        <v>1</v>
      </c>
      <c r="H3270">
        <v>2</v>
      </c>
      <c r="I3270">
        <v>3</v>
      </c>
      <c r="J3270">
        <v>1</v>
      </c>
      <c r="K3270">
        <v>1</v>
      </c>
    </row>
    <row r="3271" spans="7:11">
      <c r="G3271">
        <v>1</v>
      </c>
      <c r="H3271">
        <v>2</v>
      </c>
      <c r="I3271">
        <v>3</v>
      </c>
      <c r="J3271">
        <v>2</v>
      </c>
      <c r="K3271">
        <v>2</v>
      </c>
    </row>
    <row r="3272" spans="7:11">
      <c r="G3272">
        <v>1</v>
      </c>
      <c r="H3272">
        <v>2</v>
      </c>
      <c r="I3272">
        <v>4</v>
      </c>
      <c r="J3272">
        <v>1</v>
      </c>
      <c r="K3272">
        <v>1</v>
      </c>
    </row>
    <row r="3273" spans="7:11">
      <c r="G3273">
        <v>1</v>
      </c>
      <c r="H3273">
        <v>2</v>
      </c>
      <c r="I3273">
        <v>4</v>
      </c>
      <c r="J3273">
        <v>2</v>
      </c>
      <c r="K3273">
        <v>2</v>
      </c>
    </row>
    <row r="3274" spans="7:11">
      <c r="G3274">
        <v>1</v>
      </c>
      <c r="H3274">
        <v>2</v>
      </c>
      <c r="I3274">
        <v>5</v>
      </c>
      <c r="J3274">
        <v>1</v>
      </c>
      <c r="K3274">
        <v>1</v>
      </c>
    </row>
    <row r="3275" spans="7:11">
      <c r="G3275">
        <v>1</v>
      </c>
      <c r="H3275">
        <v>2</v>
      </c>
      <c r="I3275">
        <v>5</v>
      </c>
      <c r="J3275">
        <v>2</v>
      </c>
      <c r="K3275">
        <v>2</v>
      </c>
    </row>
    <row r="3276" spans="7:11">
      <c r="G3276">
        <v>1</v>
      </c>
      <c r="H3276">
        <v>3</v>
      </c>
      <c r="I3276">
        <v>1</v>
      </c>
      <c r="J3276">
        <v>1</v>
      </c>
      <c r="K3276">
        <v>1</v>
      </c>
    </row>
    <row r="3277" spans="7:11">
      <c r="G3277">
        <v>1</v>
      </c>
      <c r="H3277">
        <v>3</v>
      </c>
      <c r="I3277">
        <v>1</v>
      </c>
      <c r="J3277">
        <v>2</v>
      </c>
      <c r="K3277">
        <v>2</v>
      </c>
    </row>
    <row r="3278" spans="7:11">
      <c r="G3278">
        <v>1</v>
      </c>
      <c r="H3278">
        <v>3</v>
      </c>
      <c r="I3278">
        <v>2</v>
      </c>
      <c r="J3278">
        <v>1</v>
      </c>
      <c r="K3278">
        <v>1</v>
      </c>
    </row>
    <row r="3279" spans="7:11">
      <c r="G3279">
        <v>1</v>
      </c>
      <c r="H3279">
        <v>3</v>
      </c>
      <c r="I3279">
        <v>2</v>
      </c>
      <c r="J3279">
        <v>2</v>
      </c>
      <c r="K3279">
        <v>2</v>
      </c>
    </row>
    <row r="3280" spans="7:11">
      <c r="G3280">
        <v>1</v>
      </c>
      <c r="H3280">
        <v>3</v>
      </c>
      <c r="I3280">
        <v>3</v>
      </c>
      <c r="J3280">
        <v>1</v>
      </c>
      <c r="K3280">
        <v>1</v>
      </c>
    </row>
    <row r="3281" spans="7:11">
      <c r="G3281">
        <v>1</v>
      </c>
      <c r="H3281">
        <v>3</v>
      </c>
      <c r="I3281">
        <v>3</v>
      </c>
      <c r="J3281">
        <v>2</v>
      </c>
      <c r="K3281">
        <v>2</v>
      </c>
    </row>
    <row r="3282" spans="7:11">
      <c r="G3282">
        <v>1</v>
      </c>
      <c r="H3282">
        <v>3</v>
      </c>
      <c r="I3282">
        <v>4</v>
      </c>
      <c r="J3282">
        <v>1</v>
      </c>
      <c r="K3282">
        <v>1</v>
      </c>
    </row>
    <row r="3283" spans="7:11">
      <c r="G3283">
        <v>1</v>
      </c>
      <c r="H3283">
        <v>3</v>
      </c>
      <c r="I3283">
        <v>4</v>
      </c>
      <c r="J3283">
        <v>2</v>
      </c>
      <c r="K3283">
        <v>2</v>
      </c>
    </row>
    <row r="3284" spans="7:11">
      <c r="G3284">
        <v>1</v>
      </c>
      <c r="H3284">
        <v>3</v>
      </c>
      <c r="I3284">
        <v>5</v>
      </c>
      <c r="J3284">
        <v>1</v>
      </c>
      <c r="K3284">
        <v>1</v>
      </c>
    </row>
    <row r="3285" spans="7:11">
      <c r="G3285">
        <v>1</v>
      </c>
      <c r="H3285">
        <v>3</v>
      </c>
      <c r="I3285">
        <v>5</v>
      </c>
      <c r="J3285">
        <v>2</v>
      </c>
      <c r="K3285">
        <v>2</v>
      </c>
    </row>
    <row r="3286" spans="7:11">
      <c r="G3286">
        <v>2</v>
      </c>
      <c r="H3286">
        <v>1</v>
      </c>
      <c r="I3286">
        <v>3</v>
      </c>
      <c r="J3286">
        <v>1</v>
      </c>
      <c r="K3286">
        <v>1</v>
      </c>
    </row>
    <row r="3287" spans="7:11">
      <c r="G3287">
        <v>2</v>
      </c>
      <c r="H3287">
        <v>1</v>
      </c>
      <c r="I3287">
        <v>3</v>
      </c>
      <c r="J3287">
        <v>2</v>
      </c>
      <c r="K3287">
        <v>2</v>
      </c>
    </row>
    <row r="3288" spans="7:11">
      <c r="G3288">
        <v>2</v>
      </c>
      <c r="H3288">
        <v>1</v>
      </c>
      <c r="I3288">
        <v>4</v>
      </c>
      <c r="J3288">
        <v>1</v>
      </c>
      <c r="K3288">
        <v>1</v>
      </c>
    </row>
    <row r="3289" spans="7:11">
      <c r="G3289">
        <v>2</v>
      </c>
      <c r="H3289">
        <v>1</v>
      </c>
      <c r="I3289">
        <v>4</v>
      </c>
      <c r="J3289">
        <v>2</v>
      </c>
      <c r="K3289">
        <v>2</v>
      </c>
    </row>
    <row r="3290" spans="7:11">
      <c r="G3290">
        <v>2</v>
      </c>
      <c r="H3290">
        <v>1</v>
      </c>
      <c r="I3290">
        <v>5</v>
      </c>
      <c r="J3290">
        <v>1</v>
      </c>
      <c r="K3290">
        <v>1</v>
      </c>
    </row>
    <row r="3291" spans="7:11">
      <c r="G3291">
        <v>2</v>
      </c>
      <c r="H3291">
        <v>1</v>
      </c>
      <c r="I3291">
        <v>5</v>
      </c>
      <c r="J3291">
        <v>2</v>
      </c>
      <c r="K3291">
        <v>2</v>
      </c>
    </row>
    <row r="3292" spans="7:11">
      <c r="G3292">
        <v>2</v>
      </c>
      <c r="H3292">
        <v>2</v>
      </c>
      <c r="I3292">
        <v>1</v>
      </c>
      <c r="J3292">
        <v>1</v>
      </c>
      <c r="K3292">
        <v>1</v>
      </c>
    </row>
    <row r="3293" spans="7:11">
      <c r="G3293">
        <v>2</v>
      </c>
      <c r="H3293">
        <v>2</v>
      </c>
      <c r="I3293">
        <v>1</v>
      </c>
      <c r="J3293">
        <v>2</v>
      </c>
      <c r="K3293">
        <v>2</v>
      </c>
    </row>
    <row r="3294" spans="7:11">
      <c r="G3294">
        <v>2</v>
      </c>
      <c r="H3294">
        <v>2</v>
      </c>
      <c r="I3294">
        <v>2</v>
      </c>
      <c r="J3294">
        <v>1</v>
      </c>
      <c r="K3294">
        <v>1</v>
      </c>
    </row>
    <row r="3295" spans="7:11">
      <c r="G3295">
        <v>2</v>
      </c>
      <c r="H3295">
        <v>2</v>
      </c>
      <c r="I3295">
        <v>2</v>
      </c>
      <c r="J3295">
        <v>2</v>
      </c>
      <c r="K3295">
        <v>2</v>
      </c>
    </row>
    <row r="3296" spans="7:11">
      <c r="G3296">
        <v>2</v>
      </c>
      <c r="H3296">
        <v>2</v>
      </c>
      <c r="I3296">
        <v>3</v>
      </c>
      <c r="J3296">
        <v>1</v>
      </c>
      <c r="K3296">
        <v>1</v>
      </c>
    </row>
    <row r="3297" spans="7:11">
      <c r="G3297">
        <v>2</v>
      </c>
      <c r="H3297">
        <v>2</v>
      </c>
      <c r="I3297">
        <v>3</v>
      </c>
      <c r="J3297">
        <v>2</v>
      </c>
      <c r="K3297">
        <v>2</v>
      </c>
    </row>
    <row r="3298" spans="7:11">
      <c r="G3298">
        <v>2</v>
      </c>
      <c r="H3298">
        <v>2</v>
      </c>
      <c r="I3298">
        <v>4</v>
      </c>
      <c r="J3298">
        <v>1</v>
      </c>
      <c r="K3298">
        <v>1</v>
      </c>
    </row>
    <row r="3299" spans="7:11">
      <c r="G3299">
        <v>2</v>
      </c>
      <c r="H3299">
        <v>2</v>
      </c>
      <c r="I3299">
        <v>4</v>
      </c>
      <c r="J3299">
        <v>2</v>
      </c>
      <c r="K3299">
        <v>2</v>
      </c>
    </row>
    <row r="3300" spans="7:11">
      <c r="G3300">
        <v>2</v>
      </c>
      <c r="H3300">
        <v>2</v>
      </c>
      <c r="I3300">
        <v>5</v>
      </c>
      <c r="J3300">
        <v>1</v>
      </c>
      <c r="K3300">
        <v>1</v>
      </c>
    </row>
    <row r="3301" spans="7:11">
      <c r="G3301">
        <v>2</v>
      </c>
      <c r="H3301">
        <v>2</v>
      </c>
      <c r="I3301">
        <v>5</v>
      </c>
      <c r="J3301">
        <v>2</v>
      </c>
      <c r="K3301">
        <v>2</v>
      </c>
    </row>
    <row r="3302" spans="7:11">
      <c r="G3302">
        <v>2</v>
      </c>
      <c r="H3302">
        <v>3</v>
      </c>
      <c r="I3302">
        <v>1</v>
      </c>
      <c r="J3302">
        <v>1</v>
      </c>
      <c r="K3302">
        <v>1</v>
      </c>
    </row>
    <row r="3303" spans="7:11">
      <c r="G3303">
        <v>2</v>
      </c>
      <c r="H3303">
        <v>3</v>
      </c>
      <c r="I3303">
        <v>1</v>
      </c>
      <c r="J3303">
        <v>2</v>
      </c>
      <c r="K3303">
        <v>2</v>
      </c>
    </row>
    <row r="3304" spans="7:11">
      <c r="G3304">
        <v>2</v>
      </c>
      <c r="H3304">
        <v>3</v>
      </c>
      <c r="I3304">
        <v>2</v>
      </c>
      <c r="J3304">
        <v>1</v>
      </c>
      <c r="K3304">
        <v>1</v>
      </c>
    </row>
    <row r="3305" spans="7:11">
      <c r="G3305">
        <v>2</v>
      </c>
      <c r="H3305">
        <v>3</v>
      </c>
      <c r="I3305">
        <v>2</v>
      </c>
      <c r="J3305">
        <v>2</v>
      </c>
      <c r="K3305">
        <v>2</v>
      </c>
    </row>
    <row r="3306" spans="7:11">
      <c r="G3306">
        <v>2</v>
      </c>
      <c r="H3306">
        <v>3</v>
      </c>
      <c r="I3306">
        <v>3</v>
      </c>
      <c r="J3306">
        <v>1</v>
      </c>
      <c r="K3306">
        <v>1</v>
      </c>
    </row>
    <row r="3307" spans="7:11">
      <c r="G3307">
        <v>2</v>
      </c>
      <c r="H3307">
        <v>3</v>
      </c>
      <c r="I3307">
        <v>3</v>
      </c>
      <c r="J3307">
        <v>2</v>
      </c>
      <c r="K3307">
        <v>2</v>
      </c>
    </row>
    <row r="3308" spans="7:11">
      <c r="G3308">
        <v>2</v>
      </c>
      <c r="H3308">
        <v>3</v>
      </c>
      <c r="I3308">
        <v>4</v>
      </c>
      <c r="J3308">
        <v>1</v>
      </c>
      <c r="K3308">
        <v>1</v>
      </c>
    </row>
    <row r="3309" spans="7:11">
      <c r="G3309">
        <v>2</v>
      </c>
      <c r="H3309">
        <v>3</v>
      </c>
      <c r="I3309">
        <v>4</v>
      </c>
      <c r="J3309">
        <v>2</v>
      </c>
      <c r="K3309">
        <v>2</v>
      </c>
    </row>
    <row r="3310" spans="7:11">
      <c r="G3310">
        <v>2</v>
      </c>
      <c r="H3310">
        <v>3</v>
      </c>
      <c r="I3310">
        <v>5</v>
      </c>
      <c r="J3310">
        <v>1</v>
      </c>
      <c r="K3310">
        <v>1</v>
      </c>
    </row>
    <row r="3311" spans="7:11">
      <c r="G3311">
        <v>2</v>
      </c>
      <c r="H3311">
        <v>3</v>
      </c>
      <c r="I3311">
        <v>5</v>
      </c>
      <c r="J3311">
        <v>2</v>
      </c>
      <c r="K3311">
        <v>2</v>
      </c>
    </row>
    <row r="3312" spans="7:11">
      <c r="G3312">
        <v>3</v>
      </c>
      <c r="H3312">
        <v>1</v>
      </c>
      <c r="I3312">
        <v>3</v>
      </c>
      <c r="J3312">
        <v>1</v>
      </c>
      <c r="K3312">
        <v>1</v>
      </c>
    </row>
    <row r="3313" spans="7:11">
      <c r="G3313">
        <v>3</v>
      </c>
      <c r="H3313">
        <v>1</v>
      </c>
      <c r="I3313">
        <v>3</v>
      </c>
      <c r="J3313">
        <v>2</v>
      </c>
      <c r="K3313">
        <v>2</v>
      </c>
    </row>
    <row r="3314" spans="7:11">
      <c r="G3314">
        <v>3</v>
      </c>
      <c r="H3314">
        <v>1</v>
      </c>
      <c r="I3314">
        <v>4</v>
      </c>
      <c r="J3314">
        <v>1</v>
      </c>
      <c r="K3314">
        <v>1</v>
      </c>
    </row>
    <row r="3315" spans="7:11">
      <c r="G3315">
        <v>3</v>
      </c>
      <c r="H3315">
        <v>1</v>
      </c>
      <c r="I3315">
        <v>4</v>
      </c>
      <c r="J3315">
        <v>2</v>
      </c>
      <c r="K3315">
        <v>2</v>
      </c>
    </row>
    <row r="3316" spans="7:11">
      <c r="G3316">
        <v>3</v>
      </c>
      <c r="H3316">
        <v>1</v>
      </c>
      <c r="I3316">
        <v>5</v>
      </c>
      <c r="J3316">
        <v>1</v>
      </c>
      <c r="K3316">
        <v>1</v>
      </c>
    </row>
    <row r="3317" spans="7:11">
      <c r="G3317">
        <v>3</v>
      </c>
      <c r="H3317">
        <v>1</v>
      </c>
      <c r="I3317">
        <v>5</v>
      </c>
      <c r="J3317">
        <v>2</v>
      </c>
      <c r="K3317">
        <v>2</v>
      </c>
    </row>
    <row r="3318" spans="7:11">
      <c r="G3318">
        <v>3</v>
      </c>
      <c r="H3318">
        <v>2</v>
      </c>
      <c r="I3318">
        <v>1</v>
      </c>
      <c r="J3318">
        <v>1</v>
      </c>
      <c r="K3318">
        <v>1</v>
      </c>
    </row>
    <row r="3319" spans="7:11">
      <c r="G3319">
        <v>3</v>
      </c>
      <c r="H3319">
        <v>2</v>
      </c>
      <c r="I3319">
        <v>1</v>
      </c>
      <c r="J3319">
        <v>2</v>
      </c>
      <c r="K3319">
        <v>2</v>
      </c>
    </row>
    <row r="3320" spans="7:11">
      <c r="G3320">
        <v>3</v>
      </c>
      <c r="H3320">
        <v>2</v>
      </c>
      <c r="I3320">
        <v>2</v>
      </c>
      <c r="J3320">
        <v>1</v>
      </c>
      <c r="K3320">
        <v>1</v>
      </c>
    </row>
    <row r="3321" spans="7:11">
      <c r="G3321">
        <v>3</v>
      </c>
      <c r="H3321">
        <v>2</v>
      </c>
      <c r="I3321">
        <v>2</v>
      </c>
      <c r="J3321">
        <v>2</v>
      </c>
      <c r="K3321">
        <v>2</v>
      </c>
    </row>
    <row r="3322" spans="7:11">
      <c r="G3322">
        <v>3</v>
      </c>
      <c r="H3322">
        <v>2</v>
      </c>
      <c r="I3322">
        <v>3</v>
      </c>
      <c r="J3322">
        <v>1</v>
      </c>
      <c r="K3322">
        <v>1</v>
      </c>
    </row>
    <row r="3323" spans="7:11">
      <c r="G3323">
        <v>3</v>
      </c>
      <c r="H3323">
        <v>2</v>
      </c>
      <c r="I3323">
        <v>3</v>
      </c>
      <c r="J3323">
        <v>2</v>
      </c>
      <c r="K3323">
        <v>2</v>
      </c>
    </row>
    <row r="3324" spans="7:11">
      <c r="G3324">
        <v>3</v>
      </c>
      <c r="H3324">
        <v>2</v>
      </c>
      <c r="I3324">
        <v>4</v>
      </c>
      <c r="J3324">
        <v>1</v>
      </c>
      <c r="K3324">
        <v>1</v>
      </c>
    </row>
    <row r="3325" spans="7:11">
      <c r="G3325">
        <v>3</v>
      </c>
      <c r="H3325">
        <v>2</v>
      </c>
      <c r="I3325">
        <v>4</v>
      </c>
      <c r="J3325">
        <v>2</v>
      </c>
      <c r="K3325">
        <v>2</v>
      </c>
    </row>
    <row r="3326" spans="7:11">
      <c r="G3326">
        <v>3</v>
      </c>
      <c r="H3326">
        <v>2</v>
      </c>
      <c r="I3326">
        <v>5</v>
      </c>
      <c r="J3326">
        <v>1</v>
      </c>
      <c r="K3326">
        <v>1</v>
      </c>
    </row>
    <row r="3327" spans="7:11">
      <c r="G3327">
        <v>3</v>
      </c>
      <c r="H3327">
        <v>2</v>
      </c>
      <c r="I3327">
        <v>5</v>
      </c>
      <c r="J3327">
        <v>2</v>
      </c>
      <c r="K3327">
        <v>2</v>
      </c>
    </row>
    <row r="3328" spans="7:11">
      <c r="G3328">
        <v>3</v>
      </c>
      <c r="H3328">
        <v>3</v>
      </c>
      <c r="I3328">
        <v>1</v>
      </c>
      <c r="J3328">
        <v>1</v>
      </c>
      <c r="K3328">
        <v>1</v>
      </c>
    </row>
    <row r="3329" spans="7:11">
      <c r="G3329">
        <v>3</v>
      </c>
      <c r="H3329">
        <v>3</v>
      </c>
      <c r="I3329">
        <v>1</v>
      </c>
      <c r="J3329">
        <v>2</v>
      </c>
      <c r="K3329">
        <v>2</v>
      </c>
    </row>
    <row r="3330" spans="7:11">
      <c r="G3330">
        <v>3</v>
      </c>
      <c r="H3330">
        <v>3</v>
      </c>
      <c r="I3330">
        <v>2</v>
      </c>
      <c r="J3330">
        <v>1</v>
      </c>
      <c r="K3330">
        <v>1</v>
      </c>
    </row>
    <row r="3331" spans="7:11">
      <c r="G3331">
        <v>3</v>
      </c>
      <c r="H3331">
        <v>3</v>
      </c>
      <c r="I3331">
        <v>2</v>
      </c>
      <c r="J3331">
        <v>2</v>
      </c>
      <c r="K3331">
        <v>2</v>
      </c>
    </row>
    <row r="3332" spans="7:11">
      <c r="G3332">
        <v>3</v>
      </c>
      <c r="H3332">
        <v>3</v>
      </c>
      <c r="I3332">
        <v>3</v>
      </c>
      <c r="J3332">
        <v>1</v>
      </c>
      <c r="K3332">
        <v>1</v>
      </c>
    </row>
    <row r="3333" spans="7:11">
      <c r="G3333">
        <v>3</v>
      </c>
      <c r="H3333">
        <v>3</v>
      </c>
      <c r="I3333">
        <v>3</v>
      </c>
      <c r="J3333">
        <v>2</v>
      </c>
      <c r="K3333">
        <v>2</v>
      </c>
    </row>
    <row r="3334" spans="7:11">
      <c r="G3334">
        <v>3</v>
      </c>
      <c r="H3334">
        <v>3</v>
      </c>
      <c r="I3334">
        <v>4</v>
      </c>
      <c r="J3334">
        <v>1</v>
      </c>
      <c r="K3334">
        <v>1</v>
      </c>
    </row>
    <row r="3335" spans="7:11">
      <c r="G3335">
        <v>3</v>
      </c>
      <c r="H3335">
        <v>3</v>
      </c>
      <c r="I3335">
        <v>4</v>
      </c>
      <c r="J3335">
        <v>2</v>
      </c>
      <c r="K3335">
        <v>2</v>
      </c>
    </row>
    <row r="3336" spans="7:11">
      <c r="G3336">
        <v>3</v>
      </c>
      <c r="H3336">
        <v>3</v>
      </c>
      <c r="I3336">
        <v>5</v>
      </c>
      <c r="J3336">
        <v>1</v>
      </c>
      <c r="K3336">
        <v>1</v>
      </c>
    </row>
    <row r="3337" spans="7:11">
      <c r="G3337">
        <v>3</v>
      </c>
      <c r="H3337">
        <v>3</v>
      </c>
      <c r="I3337">
        <v>5</v>
      </c>
      <c r="J3337">
        <v>2</v>
      </c>
      <c r="K3337">
        <v>2</v>
      </c>
    </row>
    <row r="3338" spans="7:11">
      <c r="G3338">
        <v>4</v>
      </c>
      <c r="H3338">
        <v>1</v>
      </c>
      <c r="I3338">
        <v>3</v>
      </c>
      <c r="J3338">
        <v>1</v>
      </c>
      <c r="K3338">
        <v>1</v>
      </c>
    </row>
    <row r="3339" spans="7:11">
      <c r="G3339">
        <v>4</v>
      </c>
      <c r="H3339">
        <v>1</v>
      </c>
      <c r="I3339">
        <v>3</v>
      </c>
      <c r="J3339">
        <v>2</v>
      </c>
      <c r="K3339">
        <v>2</v>
      </c>
    </row>
    <row r="3340" spans="7:11">
      <c r="G3340">
        <v>4</v>
      </c>
      <c r="H3340">
        <v>1</v>
      </c>
      <c r="I3340">
        <v>4</v>
      </c>
      <c r="J3340">
        <v>1</v>
      </c>
      <c r="K3340">
        <v>1</v>
      </c>
    </row>
    <row r="3341" spans="7:11">
      <c r="G3341">
        <v>4</v>
      </c>
      <c r="H3341">
        <v>1</v>
      </c>
      <c r="I3341">
        <v>4</v>
      </c>
      <c r="J3341">
        <v>2</v>
      </c>
      <c r="K3341">
        <v>2</v>
      </c>
    </row>
    <row r="3342" spans="7:11">
      <c r="G3342">
        <v>4</v>
      </c>
      <c r="H3342">
        <v>1</v>
      </c>
      <c r="I3342">
        <v>5</v>
      </c>
      <c r="J3342">
        <v>1</v>
      </c>
      <c r="K3342">
        <v>1</v>
      </c>
    </row>
    <row r="3343" spans="7:11">
      <c r="G3343">
        <v>4</v>
      </c>
      <c r="H3343">
        <v>1</v>
      </c>
      <c r="I3343">
        <v>5</v>
      </c>
      <c r="J3343">
        <v>2</v>
      </c>
      <c r="K3343">
        <v>2</v>
      </c>
    </row>
    <row r="3344" spans="7:11">
      <c r="G3344">
        <v>4</v>
      </c>
      <c r="H3344">
        <v>2</v>
      </c>
      <c r="I3344">
        <v>1</v>
      </c>
      <c r="J3344">
        <v>1</v>
      </c>
      <c r="K3344">
        <v>1</v>
      </c>
    </row>
    <row r="3345" spans="7:11">
      <c r="G3345">
        <v>4</v>
      </c>
      <c r="H3345">
        <v>2</v>
      </c>
      <c r="I3345">
        <v>1</v>
      </c>
      <c r="J3345">
        <v>2</v>
      </c>
      <c r="K3345">
        <v>2</v>
      </c>
    </row>
    <row r="3346" spans="7:11">
      <c r="G3346">
        <v>4</v>
      </c>
      <c r="H3346">
        <v>2</v>
      </c>
      <c r="I3346">
        <v>2</v>
      </c>
      <c r="J3346">
        <v>1</v>
      </c>
      <c r="K3346">
        <v>1</v>
      </c>
    </row>
    <row r="3347" spans="7:11">
      <c r="G3347">
        <v>4</v>
      </c>
      <c r="H3347">
        <v>2</v>
      </c>
      <c r="I3347">
        <v>2</v>
      </c>
      <c r="J3347">
        <v>2</v>
      </c>
      <c r="K3347">
        <v>2</v>
      </c>
    </row>
    <row r="3348" spans="7:11">
      <c r="G3348">
        <v>4</v>
      </c>
      <c r="H3348">
        <v>2</v>
      </c>
      <c r="I3348">
        <v>3</v>
      </c>
      <c r="J3348">
        <v>1</v>
      </c>
      <c r="K3348">
        <v>1</v>
      </c>
    </row>
    <row r="3349" spans="7:11">
      <c r="G3349">
        <v>4</v>
      </c>
      <c r="H3349">
        <v>2</v>
      </c>
      <c r="I3349">
        <v>3</v>
      </c>
      <c r="J3349">
        <v>2</v>
      </c>
      <c r="K3349">
        <v>2</v>
      </c>
    </row>
    <row r="3350" spans="7:11">
      <c r="G3350">
        <v>4</v>
      </c>
      <c r="H3350">
        <v>2</v>
      </c>
      <c r="I3350">
        <v>4</v>
      </c>
      <c r="J3350">
        <v>1</v>
      </c>
      <c r="K3350">
        <v>1</v>
      </c>
    </row>
    <row r="3351" spans="7:11">
      <c r="G3351">
        <v>4</v>
      </c>
      <c r="H3351">
        <v>2</v>
      </c>
      <c r="I3351">
        <v>4</v>
      </c>
      <c r="J3351">
        <v>2</v>
      </c>
      <c r="K3351">
        <v>2</v>
      </c>
    </row>
    <row r="3352" spans="7:11">
      <c r="G3352">
        <v>4</v>
      </c>
      <c r="H3352">
        <v>2</v>
      </c>
      <c r="I3352">
        <v>5</v>
      </c>
      <c r="J3352">
        <v>1</v>
      </c>
      <c r="K3352">
        <v>1</v>
      </c>
    </row>
    <row r="3353" spans="7:11">
      <c r="G3353">
        <v>4</v>
      </c>
      <c r="H3353">
        <v>2</v>
      </c>
      <c r="I3353">
        <v>5</v>
      </c>
      <c r="J3353">
        <v>2</v>
      </c>
      <c r="K3353">
        <v>2</v>
      </c>
    </row>
    <row r="3354" spans="7:11">
      <c r="G3354">
        <v>4</v>
      </c>
      <c r="H3354">
        <v>3</v>
      </c>
      <c r="I3354">
        <v>1</v>
      </c>
      <c r="J3354">
        <v>1</v>
      </c>
      <c r="K3354">
        <v>1</v>
      </c>
    </row>
    <row r="3355" spans="7:11">
      <c r="G3355">
        <v>4</v>
      </c>
      <c r="H3355">
        <v>3</v>
      </c>
      <c r="I3355">
        <v>1</v>
      </c>
      <c r="J3355">
        <v>2</v>
      </c>
      <c r="K3355">
        <v>2</v>
      </c>
    </row>
    <row r="3356" spans="7:11">
      <c r="G3356">
        <v>4</v>
      </c>
      <c r="H3356">
        <v>3</v>
      </c>
      <c r="I3356">
        <v>2</v>
      </c>
      <c r="J3356">
        <v>1</v>
      </c>
      <c r="K3356">
        <v>1</v>
      </c>
    </row>
    <row r="3357" spans="7:11">
      <c r="G3357">
        <v>4</v>
      </c>
      <c r="H3357">
        <v>3</v>
      </c>
      <c r="I3357">
        <v>2</v>
      </c>
      <c r="J3357">
        <v>2</v>
      </c>
      <c r="K3357">
        <v>2</v>
      </c>
    </row>
    <row r="3358" spans="7:11">
      <c r="G3358">
        <v>4</v>
      </c>
      <c r="H3358">
        <v>3</v>
      </c>
      <c r="I3358">
        <v>3</v>
      </c>
      <c r="J3358">
        <v>1</v>
      </c>
      <c r="K3358">
        <v>1</v>
      </c>
    </row>
    <row r="3359" spans="7:11">
      <c r="G3359">
        <v>4</v>
      </c>
      <c r="H3359">
        <v>3</v>
      </c>
      <c r="I3359">
        <v>3</v>
      </c>
      <c r="J3359">
        <v>2</v>
      </c>
      <c r="K3359">
        <v>2</v>
      </c>
    </row>
    <row r="3360" spans="7:11">
      <c r="G3360">
        <v>4</v>
      </c>
      <c r="H3360">
        <v>3</v>
      </c>
      <c r="I3360">
        <v>4</v>
      </c>
      <c r="J3360">
        <v>1</v>
      </c>
      <c r="K3360">
        <v>1</v>
      </c>
    </row>
    <row r="3361" spans="7:11">
      <c r="G3361">
        <v>4</v>
      </c>
      <c r="H3361">
        <v>3</v>
      </c>
      <c r="I3361">
        <v>4</v>
      </c>
      <c r="J3361">
        <v>2</v>
      </c>
      <c r="K3361">
        <v>2</v>
      </c>
    </row>
    <row r="3362" spans="7:11">
      <c r="G3362">
        <v>4</v>
      </c>
      <c r="H3362">
        <v>3</v>
      </c>
      <c r="I3362">
        <v>5</v>
      </c>
      <c r="J3362">
        <v>1</v>
      </c>
      <c r="K3362">
        <v>1</v>
      </c>
    </row>
    <row r="3363" spans="7:11">
      <c r="G3363">
        <v>4</v>
      </c>
      <c r="H3363">
        <v>3</v>
      </c>
      <c r="I3363">
        <v>5</v>
      </c>
      <c r="J3363">
        <v>2</v>
      </c>
      <c r="K3363">
        <v>2</v>
      </c>
    </row>
    <row r="3364" spans="7:11">
      <c r="G3364">
        <v>1</v>
      </c>
      <c r="H3364">
        <v>2</v>
      </c>
      <c r="I3364">
        <v>1</v>
      </c>
      <c r="J3364">
        <v>1</v>
      </c>
      <c r="K3364">
        <v>1</v>
      </c>
    </row>
    <row r="3365" spans="7:11">
      <c r="G3365">
        <v>1</v>
      </c>
      <c r="H3365">
        <v>2</v>
      </c>
      <c r="I3365">
        <v>1</v>
      </c>
      <c r="J3365">
        <v>2</v>
      </c>
      <c r="K3365">
        <v>2</v>
      </c>
    </row>
    <row r="3366" spans="7:11">
      <c r="G3366">
        <v>1</v>
      </c>
      <c r="H3366">
        <v>2</v>
      </c>
      <c r="I3366">
        <v>2</v>
      </c>
      <c r="J3366">
        <v>1</v>
      </c>
      <c r="K3366">
        <v>1</v>
      </c>
    </row>
    <row r="3367" spans="7:11">
      <c r="G3367">
        <v>1</v>
      </c>
      <c r="H3367">
        <v>2</v>
      </c>
      <c r="I3367">
        <v>2</v>
      </c>
      <c r="J3367">
        <v>2</v>
      </c>
      <c r="K3367">
        <v>2</v>
      </c>
    </row>
    <row r="3368" spans="7:11">
      <c r="G3368">
        <v>1</v>
      </c>
      <c r="H3368">
        <v>2</v>
      </c>
      <c r="I3368">
        <v>3</v>
      </c>
      <c r="J3368">
        <v>1</v>
      </c>
      <c r="K3368">
        <v>1</v>
      </c>
    </row>
    <row r="3369" spans="7:11">
      <c r="G3369">
        <v>1</v>
      </c>
      <c r="H3369">
        <v>2</v>
      </c>
      <c r="I3369">
        <v>3</v>
      </c>
      <c r="J3369">
        <v>2</v>
      </c>
      <c r="K3369">
        <v>2</v>
      </c>
    </row>
    <row r="3370" spans="7:11">
      <c r="G3370">
        <v>1</v>
      </c>
      <c r="H3370">
        <v>2</v>
      </c>
      <c r="I3370">
        <v>4</v>
      </c>
      <c r="J3370">
        <v>1</v>
      </c>
      <c r="K3370">
        <v>1</v>
      </c>
    </row>
    <row r="3371" spans="7:11">
      <c r="G3371">
        <v>1</v>
      </c>
      <c r="H3371">
        <v>2</v>
      </c>
      <c r="I3371">
        <v>4</v>
      </c>
      <c r="J3371">
        <v>2</v>
      </c>
      <c r="K3371">
        <v>2</v>
      </c>
    </row>
    <row r="3372" spans="7:11">
      <c r="G3372">
        <v>1</v>
      </c>
      <c r="H3372">
        <v>2</v>
      </c>
      <c r="I3372">
        <v>5</v>
      </c>
      <c r="J3372">
        <v>1</v>
      </c>
      <c r="K3372">
        <v>1</v>
      </c>
    </row>
    <row r="3373" spans="7:11">
      <c r="G3373">
        <v>1</v>
      </c>
      <c r="H3373">
        <v>2</v>
      </c>
      <c r="I3373">
        <v>5</v>
      </c>
      <c r="J3373">
        <v>2</v>
      </c>
      <c r="K3373">
        <v>2</v>
      </c>
    </row>
    <row r="3374" spans="7:11">
      <c r="G3374">
        <v>1</v>
      </c>
      <c r="H3374">
        <v>3</v>
      </c>
      <c r="I3374">
        <v>1</v>
      </c>
      <c r="J3374">
        <v>1</v>
      </c>
      <c r="K3374">
        <v>1</v>
      </c>
    </row>
    <row r="3375" spans="7:11">
      <c r="G3375">
        <v>1</v>
      </c>
      <c r="H3375">
        <v>3</v>
      </c>
      <c r="I3375">
        <v>1</v>
      </c>
      <c r="J3375">
        <v>2</v>
      </c>
      <c r="K3375">
        <v>2</v>
      </c>
    </row>
    <row r="3376" spans="7:11">
      <c r="G3376">
        <v>1</v>
      </c>
      <c r="H3376">
        <v>3</v>
      </c>
      <c r="I3376">
        <v>2</v>
      </c>
      <c r="J3376">
        <v>1</v>
      </c>
      <c r="K3376">
        <v>1</v>
      </c>
    </row>
    <row r="3377" spans="7:11">
      <c r="G3377">
        <v>1</v>
      </c>
      <c r="H3377">
        <v>3</v>
      </c>
      <c r="I3377">
        <v>2</v>
      </c>
      <c r="J3377">
        <v>2</v>
      </c>
      <c r="K3377">
        <v>2</v>
      </c>
    </row>
    <row r="3378" spans="7:11">
      <c r="G3378">
        <v>1</v>
      </c>
      <c r="H3378">
        <v>3</v>
      </c>
      <c r="I3378">
        <v>3</v>
      </c>
      <c r="J3378">
        <v>1</v>
      </c>
      <c r="K3378">
        <v>1</v>
      </c>
    </row>
    <row r="3379" spans="7:11">
      <c r="G3379">
        <v>1</v>
      </c>
      <c r="H3379">
        <v>3</v>
      </c>
      <c r="I3379">
        <v>3</v>
      </c>
      <c r="J3379">
        <v>2</v>
      </c>
      <c r="K3379">
        <v>2</v>
      </c>
    </row>
    <row r="3380" spans="7:11">
      <c r="G3380">
        <v>1</v>
      </c>
      <c r="H3380">
        <v>3</v>
      </c>
      <c r="I3380">
        <v>4</v>
      </c>
      <c r="J3380">
        <v>1</v>
      </c>
      <c r="K3380">
        <v>1</v>
      </c>
    </row>
    <row r="3381" spans="7:11">
      <c r="G3381">
        <v>1</v>
      </c>
      <c r="H3381">
        <v>3</v>
      </c>
      <c r="I3381">
        <v>4</v>
      </c>
      <c r="J3381">
        <v>2</v>
      </c>
      <c r="K3381">
        <v>2</v>
      </c>
    </row>
    <row r="3382" spans="7:11">
      <c r="G3382">
        <v>1</v>
      </c>
      <c r="H3382">
        <v>3</v>
      </c>
      <c r="I3382">
        <v>5</v>
      </c>
      <c r="J3382">
        <v>1</v>
      </c>
      <c r="K3382">
        <v>1</v>
      </c>
    </row>
    <row r="3383" spans="7:11">
      <c r="G3383">
        <v>1</v>
      </c>
      <c r="H3383">
        <v>3</v>
      </c>
      <c r="I3383">
        <v>5</v>
      </c>
      <c r="J3383">
        <v>2</v>
      </c>
      <c r="K3383">
        <v>2</v>
      </c>
    </row>
    <row r="3384" spans="7:11">
      <c r="G3384">
        <v>2</v>
      </c>
      <c r="H3384">
        <v>1</v>
      </c>
      <c r="I3384">
        <v>3</v>
      </c>
      <c r="J3384">
        <v>1</v>
      </c>
      <c r="K3384">
        <v>1</v>
      </c>
    </row>
    <row r="3385" spans="7:11">
      <c r="G3385">
        <v>2</v>
      </c>
      <c r="H3385">
        <v>1</v>
      </c>
      <c r="I3385">
        <v>3</v>
      </c>
      <c r="J3385">
        <v>2</v>
      </c>
      <c r="K3385">
        <v>2</v>
      </c>
    </row>
    <row r="3386" spans="7:11">
      <c r="G3386">
        <v>2</v>
      </c>
      <c r="H3386">
        <v>1</v>
      </c>
      <c r="I3386">
        <v>4</v>
      </c>
      <c r="J3386">
        <v>1</v>
      </c>
      <c r="K3386">
        <v>1</v>
      </c>
    </row>
    <row r="3387" spans="7:11">
      <c r="G3387">
        <v>2</v>
      </c>
      <c r="H3387">
        <v>1</v>
      </c>
      <c r="I3387">
        <v>4</v>
      </c>
      <c r="J3387">
        <v>2</v>
      </c>
      <c r="K3387">
        <v>2</v>
      </c>
    </row>
    <row r="3388" spans="7:11">
      <c r="G3388">
        <v>2</v>
      </c>
      <c r="H3388">
        <v>1</v>
      </c>
      <c r="I3388">
        <v>5</v>
      </c>
      <c r="J3388">
        <v>1</v>
      </c>
      <c r="K3388">
        <v>1</v>
      </c>
    </row>
    <row r="3389" spans="7:11">
      <c r="G3389">
        <v>2</v>
      </c>
      <c r="H3389">
        <v>1</v>
      </c>
      <c r="I3389">
        <v>5</v>
      </c>
      <c r="J3389">
        <v>2</v>
      </c>
      <c r="K3389">
        <v>2</v>
      </c>
    </row>
    <row r="3390" spans="7:11">
      <c r="G3390">
        <v>2</v>
      </c>
      <c r="H3390">
        <v>2</v>
      </c>
      <c r="I3390">
        <v>1</v>
      </c>
      <c r="J3390">
        <v>1</v>
      </c>
      <c r="K3390">
        <v>1</v>
      </c>
    </row>
    <row r="3391" spans="7:11">
      <c r="G3391">
        <v>2</v>
      </c>
      <c r="H3391">
        <v>2</v>
      </c>
      <c r="I3391">
        <v>1</v>
      </c>
      <c r="J3391">
        <v>2</v>
      </c>
      <c r="K3391">
        <v>2</v>
      </c>
    </row>
    <row r="3392" spans="7:11">
      <c r="G3392">
        <v>2</v>
      </c>
      <c r="H3392">
        <v>2</v>
      </c>
      <c r="I3392">
        <v>2</v>
      </c>
      <c r="J3392">
        <v>1</v>
      </c>
      <c r="K3392">
        <v>1</v>
      </c>
    </row>
    <row r="3393" spans="7:11">
      <c r="G3393">
        <v>2</v>
      </c>
      <c r="H3393">
        <v>2</v>
      </c>
      <c r="I3393">
        <v>2</v>
      </c>
      <c r="J3393">
        <v>2</v>
      </c>
      <c r="K3393">
        <v>2</v>
      </c>
    </row>
    <row r="3394" spans="7:11">
      <c r="G3394">
        <v>2</v>
      </c>
      <c r="H3394">
        <v>2</v>
      </c>
      <c r="I3394">
        <v>3</v>
      </c>
      <c r="J3394">
        <v>1</v>
      </c>
      <c r="K3394">
        <v>1</v>
      </c>
    </row>
    <row r="3395" spans="7:11">
      <c r="G3395">
        <v>2</v>
      </c>
      <c r="H3395">
        <v>2</v>
      </c>
      <c r="I3395">
        <v>3</v>
      </c>
      <c r="J3395">
        <v>2</v>
      </c>
      <c r="K3395">
        <v>2</v>
      </c>
    </row>
    <row r="3396" spans="7:11">
      <c r="G3396">
        <v>2</v>
      </c>
      <c r="H3396">
        <v>2</v>
      </c>
      <c r="I3396">
        <v>4</v>
      </c>
      <c r="J3396">
        <v>1</v>
      </c>
      <c r="K3396">
        <v>1</v>
      </c>
    </row>
    <row r="3397" spans="7:11">
      <c r="G3397">
        <v>2</v>
      </c>
      <c r="H3397">
        <v>2</v>
      </c>
      <c r="I3397">
        <v>4</v>
      </c>
      <c r="J3397">
        <v>2</v>
      </c>
      <c r="K3397">
        <v>2</v>
      </c>
    </row>
    <row r="3398" spans="7:11">
      <c r="G3398">
        <v>2</v>
      </c>
      <c r="H3398">
        <v>2</v>
      </c>
      <c r="I3398">
        <v>5</v>
      </c>
      <c r="J3398">
        <v>1</v>
      </c>
      <c r="K3398">
        <v>1</v>
      </c>
    </row>
    <row r="3399" spans="7:11">
      <c r="G3399">
        <v>2</v>
      </c>
      <c r="H3399">
        <v>2</v>
      </c>
      <c r="I3399">
        <v>5</v>
      </c>
      <c r="J3399">
        <v>2</v>
      </c>
      <c r="K3399">
        <v>2</v>
      </c>
    </row>
    <row r="3400" spans="7:11">
      <c r="G3400">
        <v>2</v>
      </c>
      <c r="H3400">
        <v>3</v>
      </c>
      <c r="I3400">
        <v>1</v>
      </c>
      <c r="J3400">
        <v>1</v>
      </c>
      <c r="K3400">
        <v>1</v>
      </c>
    </row>
    <row r="3401" spans="7:11">
      <c r="G3401">
        <v>2</v>
      </c>
      <c r="H3401">
        <v>3</v>
      </c>
      <c r="I3401">
        <v>1</v>
      </c>
      <c r="J3401">
        <v>2</v>
      </c>
      <c r="K3401">
        <v>2</v>
      </c>
    </row>
    <row r="3402" spans="7:11">
      <c r="G3402">
        <v>2</v>
      </c>
      <c r="H3402">
        <v>3</v>
      </c>
      <c r="I3402">
        <v>2</v>
      </c>
      <c r="J3402">
        <v>1</v>
      </c>
      <c r="K3402">
        <v>1</v>
      </c>
    </row>
    <row r="3403" spans="7:11">
      <c r="G3403">
        <v>2</v>
      </c>
      <c r="H3403">
        <v>3</v>
      </c>
      <c r="I3403">
        <v>2</v>
      </c>
      <c r="J3403">
        <v>2</v>
      </c>
      <c r="K3403">
        <v>2</v>
      </c>
    </row>
    <row r="3404" spans="7:11">
      <c r="G3404">
        <v>2</v>
      </c>
      <c r="H3404">
        <v>3</v>
      </c>
      <c r="I3404">
        <v>3</v>
      </c>
      <c r="J3404">
        <v>1</v>
      </c>
      <c r="K3404">
        <v>1</v>
      </c>
    </row>
    <row r="3405" spans="7:11">
      <c r="G3405">
        <v>2</v>
      </c>
      <c r="H3405">
        <v>3</v>
      </c>
      <c r="I3405">
        <v>3</v>
      </c>
      <c r="J3405">
        <v>2</v>
      </c>
      <c r="K3405">
        <v>2</v>
      </c>
    </row>
    <row r="3406" spans="7:11">
      <c r="G3406">
        <v>2</v>
      </c>
      <c r="H3406">
        <v>3</v>
      </c>
      <c r="I3406">
        <v>4</v>
      </c>
      <c r="J3406">
        <v>1</v>
      </c>
      <c r="K3406">
        <v>1</v>
      </c>
    </row>
    <row r="3407" spans="7:11">
      <c r="G3407">
        <v>2</v>
      </c>
      <c r="H3407">
        <v>3</v>
      </c>
      <c r="I3407">
        <v>4</v>
      </c>
      <c r="J3407">
        <v>2</v>
      </c>
      <c r="K3407">
        <v>2</v>
      </c>
    </row>
    <row r="3408" spans="7:11">
      <c r="G3408">
        <v>2</v>
      </c>
      <c r="H3408">
        <v>3</v>
      </c>
      <c r="I3408">
        <v>5</v>
      </c>
      <c r="J3408">
        <v>1</v>
      </c>
      <c r="K3408">
        <v>1</v>
      </c>
    </row>
    <row r="3409" spans="7:11">
      <c r="G3409">
        <v>2</v>
      </c>
      <c r="H3409">
        <v>3</v>
      </c>
      <c r="I3409">
        <v>5</v>
      </c>
      <c r="J3409">
        <v>2</v>
      </c>
      <c r="K3409">
        <v>2</v>
      </c>
    </row>
    <row r="3410" spans="7:11">
      <c r="G3410">
        <v>3</v>
      </c>
      <c r="H3410">
        <v>1</v>
      </c>
      <c r="I3410">
        <v>3</v>
      </c>
      <c r="J3410">
        <v>1</v>
      </c>
      <c r="K3410">
        <v>1</v>
      </c>
    </row>
    <row r="3411" spans="7:11">
      <c r="G3411">
        <v>3</v>
      </c>
      <c r="H3411">
        <v>1</v>
      </c>
      <c r="I3411">
        <v>3</v>
      </c>
      <c r="J3411">
        <v>2</v>
      </c>
      <c r="K3411">
        <v>2</v>
      </c>
    </row>
    <row r="3412" spans="7:11">
      <c r="G3412">
        <v>3</v>
      </c>
      <c r="H3412">
        <v>1</v>
      </c>
      <c r="I3412">
        <v>4</v>
      </c>
      <c r="J3412">
        <v>1</v>
      </c>
      <c r="K3412">
        <v>1</v>
      </c>
    </row>
    <row r="3413" spans="7:11">
      <c r="G3413">
        <v>3</v>
      </c>
      <c r="H3413">
        <v>1</v>
      </c>
      <c r="I3413">
        <v>4</v>
      </c>
      <c r="J3413">
        <v>2</v>
      </c>
      <c r="K3413">
        <v>2</v>
      </c>
    </row>
    <row r="3414" spans="7:11">
      <c r="G3414">
        <v>3</v>
      </c>
      <c r="H3414">
        <v>1</v>
      </c>
      <c r="I3414">
        <v>5</v>
      </c>
      <c r="J3414">
        <v>1</v>
      </c>
      <c r="K3414">
        <v>1</v>
      </c>
    </row>
    <row r="3415" spans="7:11">
      <c r="G3415">
        <v>3</v>
      </c>
      <c r="H3415">
        <v>1</v>
      </c>
      <c r="I3415">
        <v>5</v>
      </c>
      <c r="J3415">
        <v>2</v>
      </c>
      <c r="K3415">
        <v>2</v>
      </c>
    </row>
    <row r="3416" spans="7:11">
      <c r="G3416">
        <v>3</v>
      </c>
      <c r="H3416">
        <v>2</v>
      </c>
      <c r="I3416">
        <v>1</v>
      </c>
      <c r="J3416">
        <v>1</v>
      </c>
      <c r="K3416">
        <v>1</v>
      </c>
    </row>
    <row r="3417" spans="7:11">
      <c r="G3417">
        <v>3</v>
      </c>
      <c r="H3417">
        <v>2</v>
      </c>
      <c r="I3417">
        <v>1</v>
      </c>
      <c r="J3417">
        <v>2</v>
      </c>
      <c r="K3417">
        <v>2</v>
      </c>
    </row>
    <row r="3418" spans="7:11">
      <c r="G3418">
        <v>3</v>
      </c>
      <c r="H3418">
        <v>2</v>
      </c>
      <c r="I3418">
        <v>2</v>
      </c>
      <c r="J3418">
        <v>1</v>
      </c>
      <c r="K3418">
        <v>1</v>
      </c>
    </row>
    <row r="3419" spans="7:11">
      <c r="G3419">
        <v>3</v>
      </c>
      <c r="H3419">
        <v>2</v>
      </c>
      <c r="I3419">
        <v>2</v>
      </c>
      <c r="J3419">
        <v>2</v>
      </c>
      <c r="K3419">
        <v>2</v>
      </c>
    </row>
    <row r="3420" spans="7:11">
      <c r="G3420">
        <v>3</v>
      </c>
      <c r="H3420">
        <v>2</v>
      </c>
      <c r="I3420">
        <v>3</v>
      </c>
      <c r="J3420">
        <v>1</v>
      </c>
      <c r="K3420">
        <v>1</v>
      </c>
    </row>
    <row r="3421" spans="7:11">
      <c r="G3421">
        <v>3</v>
      </c>
      <c r="H3421">
        <v>2</v>
      </c>
      <c r="I3421">
        <v>3</v>
      </c>
      <c r="J3421">
        <v>2</v>
      </c>
      <c r="K3421">
        <v>2</v>
      </c>
    </row>
    <row r="3422" spans="7:11">
      <c r="G3422">
        <v>3</v>
      </c>
      <c r="H3422">
        <v>2</v>
      </c>
      <c r="I3422">
        <v>4</v>
      </c>
      <c r="J3422">
        <v>1</v>
      </c>
      <c r="K3422">
        <v>1</v>
      </c>
    </row>
    <row r="3423" spans="7:11">
      <c r="G3423">
        <v>3</v>
      </c>
      <c r="H3423">
        <v>2</v>
      </c>
      <c r="I3423">
        <v>4</v>
      </c>
      <c r="J3423">
        <v>2</v>
      </c>
      <c r="K3423">
        <v>2</v>
      </c>
    </row>
    <row r="3424" spans="7:11">
      <c r="G3424">
        <v>3</v>
      </c>
      <c r="H3424">
        <v>2</v>
      </c>
      <c r="I3424">
        <v>5</v>
      </c>
      <c r="J3424">
        <v>1</v>
      </c>
      <c r="K3424">
        <v>1</v>
      </c>
    </row>
    <row r="3425" spans="7:11">
      <c r="G3425">
        <v>3</v>
      </c>
      <c r="H3425">
        <v>2</v>
      </c>
      <c r="I3425">
        <v>5</v>
      </c>
      <c r="J3425">
        <v>2</v>
      </c>
      <c r="K3425">
        <v>2</v>
      </c>
    </row>
    <row r="3426" spans="7:11">
      <c r="G3426">
        <v>3</v>
      </c>
      <c r="H3426">
        <v>3</v>
      </c>
      <c r="I3426">
        <v>1</v>
      </c>
      <c r="J3426">
        <v>1</v>
      </c>
      <c r="K3426">
        <v>1</v>
      </c>
    </row>
    <row r="3427" spans="7:11">
      <c r="G3427">
        <v>3</v>
      </c>
      <c r="H3427">
        <v>3</v>
      </c>
      <c r="I3427">
        <v>1</v>
      </c>
      <c r="J3427">
        <v>2</v>
      </c>
      <c r="K3427">
        <v>2</v>
      </c>
    </row>
    <row r="3428" spans="7:11">
      <c r="G3428">
        <v>3</v>
      </c>
      <c r="H3428">
        <v>3</v>
      </c>
      <c r="I3428">
        <v>2</v>
      </c>
      <c r="J3428">
        <v>1</v>
      </c>
      <c r="K3428">
        <v>1</v>
      </c>
    </row>
    <row r="3429" spans="7:11">
      <c r="G3429">
        <v>3</v>
      </c>
      <c r="H3429">
        <v>3</v>
      </c>
      <c r="I3429">
        <v>2</v>
      </c>
      <c r="J3429">
        <v>2</v>
      </c>
      <c r="K3429">
        <v>2</v>
      </c>
    </row>
    <row r="3430" spans="7:11">
      <c r="G3430">
        <v>3</v>
      </c>
      <c r="H3430">
        <v>3</v>
      </c>
      <c r="I3430">
        <v>3</v>
      </c>
      <c r="J3430">
        <v>1</v>
      </c>
      <c r="K3430">
        <v>1</v>
      </c>
    </row>
    <row r="3431" spans="7:11">
      <c r="G3431">
        <v>3</v>
      </c>
      <c r="H3431">
        <v>3</v>
      </c>
      <c r="I3431">
        <v>3</v>
      </c>
      <c r="J3431">
        <v>2</v>
      </c>
      <c r="K3431">
        <v>2</v>
      </c>
    </row>
    <row r="3432" spans="7:11">
      <c r="G3432">
        <v>3</v>
      </c>
      <c r="H3432">
        <v>3</v>
      </c>
      <c r="I3432">
        <v>4</v>
      </c>
      <c r="J3432">
        <v>1</v>
      </c>
      <c r="K3432">
        <v>1</v>
      </c>
    </row>
    <row r="3433" spans="7:11">
      <c r="G3433">
        <v>3</v>
      </c>
      <c r="H3433">
        <v>3</v>
      </c>
      <c r="I3433">
        <v>4</v>
      </c>
      <c r="J3433">
        <v>2</v>
      </c>
      <c r="K3433">
        <v>2</v>
      </c>
    </row>
    <row r="3434" spans="7:11">
      <c r="G3434">
        <v>3</v>
      </c>
      <c r="H3434">
        <v>3</v>
      </c>
      <c r="I3434">
        <v>5</v>
      </c>
      <c r="J3434">
        <v>1</v>
      </c>
      <c r="K3434">
        <v>1</v>
      </c>
    </row>
    <row r="3435" spans="7:11">
      <c r="G3435">
        <v>3</v>
      </c>
      <c r="H3435">
        <v>3</v>
      </c>
      <c r="I3435">
        <v>5</v>
      </c>
      <c r="J3435">
        <v>2</v>
      </c>
      <c r="K3435">
        <v>2</v>
      </c>
    </row>
    <row r="3436" spans="7:11">
      <c r="G3436">
        <v>4</v>
      </c>
      <c r="H3436">
        <v>1</v>
      </c>
      <c r="I3436">
        <v>3</v>
      </c>
      <c r="J3436">
        <v>1</v>
      </c>
      <c r="K3436">
        <v>1</v>
      </c>
    </row>
    <row r="3437" spans="7:11">
      <c r="G3437">
        <v>4</v>
      </c>
      <c r="H3437">
        <v>1</v>
      </c>
      <c r="I3437">
        <v>3</v>
      </c>
      <c r="J3437">
        <v>2</v>
      </c>
      <c r="K3437">
        <v>2</v>
      </c>
    </row>
    <row r="3438" spans="7:11">
      <c r="G3438">
        <v>4</v>
      </c>
      <c r="H3438">
        <v>1</v>
      </c>
      <c r="I3438">
        <v>4</v>
      </c>
      <c r="J3438">
        <v>1</v>
      </c>
      <c r="K3438">
        <v>1</v>
      </c>
    </row>
    <row r="3439" spans="7:11">
      <c r="G3439">
        <v>4</v>
      </c>
      <c r="H3439">
        <v>1</v>
      </c>
      <c r="I3439">
        <v>4</v>
      </c>
      <c r="J3439">
        <v>2</v>
      </c>
      <c r="K3439">
        <v>2</v>
      </c>
    </row>
    <row r="3440" spans="7:11">
      <c r="G3440">
        <v>4</v>
      </c>
      <c r="H3440">
        <v>1</v>
      </c>
      <c r="I3440">
        <v>5</v>
      </c>
      <c r="J3440">
        <v>1</v>
      </c>
      <c r="K3440">
        <v>1</v>
      </c>
    </row>
    <row r="3441" spans="7:11">
      <c r="G3441">
        <v>4</v>
      </c>
      <c r="H3441">
        <v>1</v>
      </c>
      <c r="I3441">
        <v>5</v>
      </c>
      <c r="J3441">
        <v>2</v>
      </c>
      <c r="K3441">
        <v>2</v>
      </c>
    </row>
    <row r="3442" spans="7:11">
      <c r="G3442">
        <v>4</v>
      </c>
      <c r="H3442">
        <v>2</v>
      </c>
      <c r="I3442">
        <v>1</v>
      </c>
      <c r="J3442">
        <v>1</v>
      </c>
      <c r="K3442">
        <v>1</v>
      </c>
    </row>
    <row r="3443" spans="7:11">
      <c r="G3443">
        <v>4</v>
      </c>
      <c r="H3443">
        <v>2</v>
      </c>
      <c r="I3443">
        <v>1</v>
      </c>
      <c r="J3443">
        <v>2</v>
      </c>
      <c r="K3443">
        <v>2</v>
      </c>
    </row>
    <row r="3444" spans="7:11">
      <c r="G3444">
        <v>4</v>
      </c>
      <c r="H3444">
        <v>2</v>
      </c>
      <c r="I3444">
        <v>2</v>
      </c>
      <c r="J3444">
        <v>1</v>
      </c>
      <c r="K3444">
        <v>1</v>
      </c>
    </row>
    <row r="3445" spans="7:11">
      <c r="G3445">
        <v>4</v>
      </c>
      <c r="H3445">
        <v>2</v>
      </c>
      <c r="I3445">
        <v>2</v>
      </c>
      <c r="J3445">
        <v>2</v>
      </c>
      <c r="K3445">
        <v>2</v>
      </c>
    </row>
    <row r="3446" spans="7:11">
      <c r="G3446">
        <v>4</v>
      </c>
      <c r="H3446">
        <v>2</v>
      </c>
      <c r="I3446">
        <v>3</v>
      </c>
      <c r="J3446">
        <v>1</v>
      </c>
      <c r="K3446">
        <v>1</v>
      </c>
    </row>
    <row r="3447" spans="7:11">
      <c r="G3447">
        <v>4</v>
      </c>
      <c r="H3447">
        <v>2</v>
      </c>
      <c r="I3447">
        <v>3</v>
      </c>
      <c r="J3447">
        <v>2</v>
      </c>
      <c r="K3447">
        <v>2</v>
      </c>
    </row>
    <row r="3448" spans="7:11">
      <c r="G3448">
        <v>4</v>
      </c>
      <c r="H3448">
        <v>2</v>
      </c>
      <c r="I3448">
        <v>4</v>
      </c>
      <c r="J3448">
        <v>1</v>
      </c>
      <c r="K3448">
        <v>1</v>
      </c>
    </row>
    <row r="3449" spans="7:11">
      <c r="G3449">
        <v>4</v>
      </c>
      <c r="H3449">
        <v>2</v>
      </c>
      <c r="I3449">
        <v>4</v>
      </c>
      <c r="J3449">
        <v>2</v>
      </c>
      <c r="K3449">
        <v>2</v>
      </c>
    </row>
    <row r="3450" spans="7:11">
      <c r="G3450">
        <v>4</v>
      </c>
      <c r="H3450">
        <v>2</v>
      </c>
      <c r="I3450">
        <v>5</v>
      </c>
      <c r="J3450">
        <v>1</v>
      </c>
      <c r="K3450">
        <v>1</v>
      </c>
    </row>
    <row r="3451" spans="7:11">
      <c r="G3451">
        <v>4</v>
      </c>
      <c r="H3451">
        <v>2</v>
      </c>
      <c r="I3451">
        <v>5</v>
      </c>
      <c r="J3451">
        <v>2</v>
      </c>
      <c r="K3451">
        <v>2</v>
      </c>
    </row>
    <row r="3452" spans="7:11">
      <c r="G3452">
        <v>4</v>
      </c>
      <c r="H3452">
        <v>3</v>
      </c>
      <c r="I3452">
        <v>1</v>
      </c>
      <c r="J3452">
        <v>1</v>
      </c>
      <c r="K3452">
        <v>1</v>
      </c>
    </row>
    <row r="3453" spans="7:11">
      <c r="G3453">
        <v>4</v>
      </c>
      <c r="H3453">
        <v>3</v>
      </c>
      <c r="I3453">
        <v>1</v>
      </c>
      <c r="J3453">
        <v>2</v>
      </c>
      <c r="K3453">
        <v>2</v>
      </c>
    </row>
    <row r="3454" spans="7:11">
      <c r="G3454">
        <v>4</v>
      </c>
      <c r="H3454">
        <v>3</v>
      </c>
      <c r="I3454">
        <v>2</v>
      </c>
      <c r="J3454">
        <v>1</v>
      </c>
      <c r="K3454">
        <v>1</v>
      </c>
    </row>
    <row r="3455" spans="7:11">
      <c r="G3455">
        <v>4</v>
      </c>
      <c r="H3455">
        <v>3</v>
      </c>
      <c r="I3455">
        <v>2</v>
      </c>
      <c r="J3455">
        <v>2</v>
      </c>
      <c r="K3455">
        <v>2</v>
      </c>
    </row>
    <row r="3456" spans="7:11">
      <c r="G3456">
        <v>4</v>
      </c>
      <c r="H3456">
        <v>3</v>
      </c>
      <c r="I3456">
        <v>3</v>
      </c>
      <c r="J3456">
        <v>1</v>
      </c>
      <c r="K3456">
        <v>1</v>
      </c>
    </row>
    <row r="3457" spans="7:11">
      <c r="G3457">
        <v>4</v>
      </c>
      <c r="H3457">
        <v>3</v>
      </c>
      <c r="I3457">
        <v>3</v>
      </c>
      <c r="J3457">
        <v>2</v>
      </c>
      <c r="K3457">
        <v>2</v>
      </c>
    </row>
    <row r="3458" spans="7:11">
      <c r="G3458">
        <v>4</v>
      </c>
      <c r="H3458">
        <v>3</v>
      </c>
      <c r="I3458">
        <v>4</v>
      </c>
      <c r="J3458">
        <v>1</v>
      </c>
      <c r="K3458">
        <v>1</v>
      </c>
    </row>
    <row r="3459" spans="7:11">
      <c r="G3459">
        <v>4</v>
      </c>
      <c r="H3459">
        <v>3</v>
      </c>
      <c r="I3459">
        <v>4</v>
      </c>
      <c r="J3459">
        <v>2</v>
      </c>
      <c r="K3459">
        <v>2</v>
      </c>
    </row>
    <row r="3460" spans="7:11">
      <c r="G3460">
        <v>4</v>
      </c>
      <c r="H3460">
        <v>3</v>
      </c>
      <c r="I3460">
        <v>5</v>
      </c>
      <c r="J3460">
        <v>1</v>
      </c>
      <c r="K3460">
        <v>1</v>
      </c>
    </row>
    <row r="3461" spans="7:11">
      <c r="G3461">
        <v>4</v>
      </c>
      <c r="H3461">
        <v>3</v>
      </c>
      <c r="I3461">
        <v>5</v>
      </c>
      <c r="J3461">
        <v>2</v>
      </c>
      <c r="K3461">
        <v>2</v>
      </c>
    </row>
    <row r="3462" spans="7:11">
      <c r="G3462">
        <v>2</v>
      </c>
      <c r="H3462">
        <v>1</v>
      </c>
      <c r="I3462">
        <v>3</v>
      </c>
      <c r="J3462">
        <v>1</v>
      </c>
      <c r="K3462">
        <v>1</v>
      </c>
    </row>
    <row r="3463" spans="7:11">
      <c r="G3463">
        <v>2</v>
      </c>
      <c r="H3463">
        <v>1</v>
      </c>
      <c r="I3463">
        <v>3</v>
      </c>
      <c r="J3463">
        <v>2</v>
      </c>
      <c r="K3463">
        <v>2</v>
      </c>
    </row>
    <row r="3464" spans="7:11">
      <c r="G3464">
        <v>2</v>
      </c>
      <c r="H3464">
        <v>1</v>
      </c>
      <c r="I3464">
        <v>4</v>
      </c>
      <c r="J3464">
        <v>1</v>
      </c>
      <c r="K3464">
        <v>1</v>
      </c>
    </row>
    <row r="3465" spans="7:11">
      <c r="G3465">
        <v>2</v>
      </c>
      <c r="H3465">
        <v>1</v>
      </c>
      <c r="I3465">
        <v>4</v>
      </c>
      <c r="J3465">
        <v>2</v>
      </c>
      <c r="K3465">
        <v>2</v>
      </c>
    </row>
    <row r="3466" spans="7:11">
      <c r="G3466">
        <v>2</v>
      </c>
      <c r="H3466">
        <v>1</v>
      </c>
      <c r="I3466">
        <v>5</v>
      </c>
      <c r="J3466">
        <v>1</v>
      </c>
      <c r="K3466">
        <v>1</v>
      </c>
    </row>
    <row r="3467" spans="7:11">
      <c r="G3467">
        <v>2</v>
      </c>
      <c r="H3467">
        <v>1</v>
      </c>
      <c r="I3467">
        <v>5</v>
      </c>
      <c r="J3467">
        <v>2</v>
      </c>
      <c r="K3467">
        <v>2</v>
      </c>
    </row>
    <row r="3468" spans="7:11">
      <c r="G3468">
        <v>2</v>
      </c>
      <c r="H3468">
        <v>2</v>
      </c>
      <c r="I3468">
        <v>1</v>
      </c>
      <c r="J3468">
        <v>1</v>
      </c>
      <c r="K3468">
        <v>1</v>
      </c>
    </row>
    <row r="3469" spans="7:11">
      <c r="G3469">
        <v>2</v>
      </c>
      <c r="H3469">
        <v>2</v>
      </c>
      <c r="I3469">
        <v>1</v>
      </c>
      <c r="J3469">
        <v>2</v>
      </c>
      <c r="K3469">
        <v>2</v>
      </c>
    </row>
    <row r="3470" spans="7:11">
      <c r="G3470">
        <v>2</v>
      </c>
      <c r="H3470">
        <v>2</v>
      </c>
      <c r="I3470">
        <v>2</v>
      </c>
      <c r="J3470">
        <v>1</v>
      </c>
      <c r="K3470">
        <v>1</v>
      </c>
    </row>
    <row r="3471" spans="7:11">
      <c r="G3471">
        <v>2</v>
      </c>
      <c r="H3471">
        <v>2</v>
      </c>
      <c r="I3471">
        <v>2</v>
      </c>
      <c r="J3471">
        <v>2</v>
      </c>
      <c r="K3471">
        <v>2</v>
      </c>
    </row>
    <row r="3472" spans="7:11">
      <c r="G3472">
        <v>2</v>
      </c>
      <c r="H3472">
        <v>2</v>
      </c>
      <c r="I3472">
        <v>3</v>
      </c>
      <c r="J3472">
        <v>1</v>
      </c>
      <c r="K3472">
        <v>1</v>
      </c>
    </row>
    <row r="3473" spans="7:11">
      <c r="G3473">
        <v>2</v>
      </c>
      <c r="H3473">
        <v>2</v>
      </c>
      <c r="I3473">
        <v>3</v>
      </c>
      <c r="J3473">
        <v>2</v>
      </c>
      <c r="K3473">
        <v>2</v>
      </c>
    </row>
    <row r="3474" spans="7:11">
      <c r="G3474">
        <v>2</v>
      </c>
      <c r="H3474">
        <v>2</v>
      </c>
      <c r="I3474">
        <v>4</v>
      </c>
      <c r="J3474">
        <v>1</v>
      </c>
      <c r="K3474">
        <v>1</v>
      </c>
    </row>
    <row r="3475" spans="7:11">
      <c r="G3475">
        <v>2</v>
      </c>
      <c r="H3475">
        <v>2</v>
      </c>
      <c r="I3475">
        <v>4</v>
      </c>
      <c r="J3475">
        <v>2</v>
      </c>
      <c r="K3475">
        <v>2</v>
      </c>
    </row>
    <row r="3476" spans="7:11">
      <c r="G3476">
        <v>2</v>
      </c>
      <c r="H3476">
        <v>2</v>
      </c>
      <c r="I3476">
        <v>5</v>
      </c>
      <c r="J3476">
        <v>1</v>
      </c>
      <c r="K3476">
        <v>1</v>
      </c>
    </row>
    <row r="3477" spans="7:11">
      <c r="G3477">
        <v>2</v>
      </c>
      <c r="H3477">
        <v>2</v>
      </c>
      <c r="I3477">
        <v>5</v>
      </c>
      <c r="J3477">
        <v>2</v>
      </c>
      <c r="K3477">
        <v>2</v>
      </c>
    </row>
    <row r="3478" spans="7:11">
      <c r="G3478">
        <v>2</v>
      </c>
      <c r="H3478">
        <v>3</v>
      </c>
      <c r="I3478">
        <v>1</v>
      </c>
      <c r="J3478">
        <v>1</v>
      </c>
      <c r="K3478">
        <v>1</v>
      </c>
    </row>
    <row r="3479" spans="7:11">
      <c r="G3479">
        <v>2</v>
      </c>
      <c r="H3479">
        <v>3</v>
      </c>
      <c r="I3479">
        <v>1</v>
      </c>
      <c r="J3479">
        <v>2</v>
      </c>
      <c r="K3479">
        <v>2</v>
      </c>
    </row>
    <row r="3480" spans="7:11">
      <c r="G3480">
        <v>2</v>
      </c>
      <c r="H3480">
        <v>3</v>
      </c>
      <c r="I3480">
        <v>2</v>
      </c>
      <c r="J3480">
        <v>1</v>
      </c>
      <c r="K3480">
        <v>1</v>
      </c>
    </row>
    <row r="3481" spans="7:11">
      <c r="G3481">
        <v>2</v>
      </c>
      <c r="H3481">
        <v>3</v>
      </c>
      <c r="I3481">
        <v>2</v>
      </c>
      <c r="J3481">
        <v>2</v>
      </c>
      <c r="K3481">
        <v>2</v>
      </c>
    </row>
    <row r="3482" spans="7:11">
      <c r="G3482">
        <v>2</v>
      </c>
      <c r="H3482">
        <v>3</v>
      </c>
      <c r="I3482">
        <v>3</v>
      </c>
      <c r="J3482">
        <v>1</v>
      </c>
      <c r="K3482">
        <v>1</v>
      </c>
    </row>
    <row r="3483" spans="7:11">
      <c r="G3483">
        <v>2</v>
      </c>
      <c r="H3483">
        <v>3</v>
      </c>
      <c r="I3483">
        <v>3</v>
      </c>
      <c r="J3483">
        <v>2</v>
      </c>
      <c r="K3483">
        <v>2</v>
      </c>
    </row>
    <row r="3484" spans="7:11">
      <c r="G3484">
        <v>2</v>
      </c>
      <c r="H3484">
        <v>3</v>
      </c>
      <c r="I3484">
        <v>4</v>
      </c>
      <c r="J3484">
        <v>1</v>
      </c>
      <c r="K3484">
        <v>1</v>
      </c>
    </row>
    <row r="3485" spans="7:11">
      <c r="G3485">
        <v>2</v>
      </c>
      <c r="H3485">
        <v>3</v>
      </c>
      <c r="I3485">
        <v>4</v>
      </c>
      <c r="J3485">
        <v>2</v>
      </c>
      <c r="K3485">
        <v>2</v>
      </c>
    </row>
    <row r="3486" spans="7:11">
      <c r="G3486">
        <v>2</v>
      </c>
      <c r="H3486">
        <v>3</v>
      </c>
      <c r="I3486">
        <v>5</v>
      </c>
      <c r="J3486">
        <v>1</v>
      </c>
      <c r="K3486">
        <v>1</v>
      </c>
    </row>
    <row r="3487" spans="7:11">
      <c r="G3487">
        <v>2</v>
      </c>
      <c r="H3487">
        <v>3</v>
      </c>
      <c r="I3487">
        <v>5</v>
      </c>
      <c r="J3487">
        <v>2</v>
      </c>
      <c r="K3487">
        <v>2</v>
      </c>
    </row>
    <row r="3488" spans="7:11">
      <c r="G3488">
        <v>3</v>
      </c>
      <c r="H3488">
        <v>1</v>
      </c>
      <c r="I3488">
        <v>3</v>
      </c>
      <c r="J3488">
        <v>1</v>
      </c>
      <c r="K3488">
        <v>1</v>
      </c>
    </row>
    <row r="3489" spans="7:11">
      <c r="G3489">
        <v>3</v>
      </c>
      <c r="H3489">
        <v>1</v>
      </c>
      <c r="I3489">
        <v>3</v>
      </c>
      <c r="J3489">
        <v>2</v>
      </c>
      <c r="K3489">
        <v>2</v>
      </c>
    </row>
    <row r="3490" spans="7:11">
      <c r="G3490">
        <v>3</v>
      </c>
      <c r="H3490">
        <v>1</v>
      </c>
      <c r="I3490">
        <v>4</v>
      </c>
      <c r="J3490">
        <v>1</v>
      </c>
      <c r="K3490">
        <v>1</v>
      </c>
    </row>
    <row r="3491" spans="7:11">
      <c r="G3491">
        <v>3</v>
      </c>
      <c r="H3491">
        <v>1</v>
      </c>
      <c r="I3491">
        <v>4</v>
      </c>
      <c r="J3491">
        <v>2</v>
      </c>
      <c r="K3491">
        <v>2</v>
      </c>
    </row>
    <row r="3492" spans="7:11">
      <c r="G3492">
        <v>3</v>
      </c>
      <c r="H3492">
        <v>1</v>
      </c>
      <c r="I3492">
        <v>5</v>
      </c>
      <c r="J3492">
        <v>1</v>
      </c>
      <c r="K3492">
        <v>1</v>
      </c>
    </row>
    <row r="3493" spans="7:11">
      <c r="G3493">
        <v>3</v>
      </c>
      <c r="H3493">
        <v>1</v>
      </c>
      <c r="I3493">
        <v>5</v>
      </c>
      <c r="J3493">
        <v>2</v>
      </c>
      <c r="K3493">
        <v>2</v>
      </c>
    </row>
    <row r="3494" spans="7:11">
      <c r="G3494">
        <v>3</v>
      </c>
      <c r="H3494">
        <v>2</v>
      </c>
      <c r="I3494">
        <v>1</v>
      </c>
      <c r="J3494">
        <v>1</v>
      </c>
      <c r="K3494">
        <v>1</v>
      </c>
    </row>
    <row r="3495" spans="7:11">
      <c r="G3495">
        <v>3</v>
      </c>
      <c r="H3495">
        <v>2</v>
      </c>
      <c r="I3495">
        <v>1</v>
      </c>
      <c r="J3495">
        <v>2</v>
      </c>
      <c r="K3495">
        <v>2</v>
      </c>
    </row>
    <row r="3496" spans="7:11">
      <c r="G3496">
        <v>3</v>
      </c>
      <c r="H3496">
        <v>2</v>
      </c>
      <c r="I3496">
        <v>2</v>
      </c>
      <c r="J3496">
        <v>1</v>
      </c>
      <c r="K3496">
        <v>1</v>
      </c>
    </row>
    <row r="3497" spans="7:11">
      <c r="G3497">
        <v>3</v>
      </c>
      <c r="H3497">
        <v>2</v>
      </c>
      <c r="I3497">
        <v>2</v>
      </c>
      <c r="J3497">
        <v>2</v>
      </c>
      <c r="K3497">
        <v>2</v>
      </c>
    </row>
    <row r="3498" spans="7:11">
      <c r="G3498">
        <v>3</v>
      </c>
      <c r="H3498">
        <v>2</v>
      </c>
      <c r="I3498">
        <v>3</v>
      </c>
      <c r="J3498">
        <v>1</v>
      </c>
      <c r="K3498">
        <v>1</v>
      </c>
    </row>
    <row r="3499" spans="7:11">
      <c r="G3499">
        <v>3</v>
      </c>
      <c r="H3499">
        <v>2</v>
      </c>
      <c r="I3499">
        <v>3</v>
      </c>
      <c r="J3499">
        <v>2</v>
      </c>
      <c r="K3499">
        <v>2</v>
      </c>
    </row>
    <row r="3500" spans="7:11">
      <c r="G3500">
        <v>3</v>
      </c>
      <c r="H3500">
        <v>2</v>
      </c>
      <c r="I3500">
        <v>4</v>
      </c>
      <c r="J3500">
        <v>1</v>
      </c>
      <c r="K3500">
        <v>1</v>
      </c>
    </row>
    <row r="3501" spans="7:11">
      <c r="G3501">
        <v>3</v>
      </c>
      <c r="H3501">
        <v>2</v>
      </c>
      <c r="I3501">
        <v>4</v>
      </c>
      <c r="J3501">
        <v>2</v>
      </c>
      <c r="K3501">
        <v>2</v>
      </c>
    </row>
    <row r="3502" spans="7:11">
      <c r="G3502">
        <v>3</v>
      </c>
      <c r="H3502">
        <v>2</v>
      </c>
      <c r="I3502">
        <v>5</v>
      </c>
      <c r="J3502">
        <v>1</v>
      </c>
      <c r="K3502">
        <v>1</v>
      </c>
    </row>
    <row r="3503" spans="7:11">
      <c r="G3503">
        <v>3</v>
      </c>
      <c r="H3503">
        <v>2</v>
      </c>
      <c r="I3503">
        <v>5</v>
      </c>
      <c r="J3503">
        <v>2</v>
      </c>
      <c r="K3503">
        <v>2</v>
      </c>
    </row>
    <row r="3504" spans="7:11">
      <c r="G3504">
        <v>3</v>
      </c>
      <c r="H3504">
        <v>3</v>
      </c>
      <c r="I3504">
        <v>1</v>
      </c>
      <c r="J3504">
        <v>1</v>
      </c>
      <c r="K3504">
        <v>1</v>
      </c>
    </row>
    <row r="3505" spans="7:11">
      <c r="G3505">
        <v>3</v>
      </c>
      <c r="H3505">
        <v>3</v>
      </c>
      <c r="I3505">
        <v>1</v>
      </c>
      <c r="J3505">
        <v>2</v>
      </c>
      <c r="K3505">
        <v>2</v>
      </c>
    </row>
    <row r="3506" spans="7:11">
      <c r="G3506">
        <v>3</v>
      </c>
      <c r="H3506">
        <v>3</v>
      </c>
      <c r="I3506">
        <v>2</v>
      </c>
      <c r="J3506">
        <v>1</v>
      </c>
      <c r="K3506">
        <v>1</v>
      </c>
    </row>
    <row r="3507" spans="7:11">
      <c r="G3507">
        <v>3</v>
      </c>
      <c r="H3507">
        <v>3</v>
      </c>
      <c r="I3507">
        <v>2</v>
      </c>
      <c r="J3507">
        <v>2</v>
      </c>
      <c r="K3507">
        <v>2</v>
      </c>
    </row>
    <row r="3508" spans="7:11">
      <c r="G3508">
        <v>3</v>
      </c>
      <c r="H3508">
        <v>3</v>
      </c>
      <c r="I3508">
        <v>3</v>
      </c>
      <c r="J3508">
        <v>1</v>
      </c>
      <c r="K3508">
        <v>1</v>
      </c>
    </row>
    <row r="3509" spans="7:11">
      <c r="G3509">
        <v>3</v>
      </c>
      <c r="H3509">
        <v>3</v>
      </c>
      <c r="I3509">
        <v>3</v>
      </c>
      <c r="J3509">
        <v>2</v>
      </c>
      <c r="K3509">
        <v>2</v>
      </c>
    </row>
    <row r="3510" spans="7:11">
      <c r="G3510">
        <v>3</v>
      </c>
      <c r="H3510">
        <v>3</v>
      </c>
      <c r="I3510">
        <v>4</v>
      </c>
      <c r="J3510">
        <v>1</v>
      </c>
      <c r="K3510">
        <v>1</v>
      </c>
    </row>
    <row r="3511" spans="7:11">
      <c r="G3511">
        <v>3</v>
      </c>
      <c r="H3511">
        <v>3</v>
      </c>
      <c r="I3511">
        <v>4</v>
      </c>
      <c r="J3511">
        <v>2</v>
      </c>
      <c r="K3511">
        <v>2</v>
      </c>
    </row>
    <row r="3512" spans="7:11">
      <c r="G3512">
        <v>3</v>
      </c>
      <c r="H3512">
        <v>3</v>
      </c>
      <c r="I3512">
        <v>5</v>
      </c>
      <c r="J3512">
        <v>1</v>
      </c>
      <c r="K3512">
        <v>1</v>
      </c>
    </row>
    <row r="3513" spans="7:11">
      <c r="G3513">
        <v>3</v>
      </c>
      <c r="H3513">
        <v>3</v>
      </c>
      <c r="I3513">
        <v>5</v>
      </c>
      <c r="J3513">
        <v>2</v>
      </c>
      <c r="K3513">
        <v>2</v>
      </c>
    </row>
    <row r="3514" spans="7:11">
      <c r="G3514">
        <v>4</v>
      </c>
      <c r="H3514">
        <v>1</v>
      </c>
      <c r="I3514">
        <v>3</v>
      </c>
      <c r="J3514">
        <v>1</v>
      </c>
      <c r="K3514">
        <v>1</v>
      </c>
    </row>
    <row r="3515" spans="7:11">
      <c r="G3515">
        <v>4</v>
      </c>
      <c r="H3515">
        <v>1</v>
      </c>
      <c r="I3515">
        <v>3</v>
      </c>
      <c r="J3515">
        <v>2</v>
      </c>
      <c r="K3515">
        <v>2</v>
      </c>
    </row>
    <row r="3516" spans="7:11">
      <c r="G3516">
        <v>4</v>
      </c>
      <c r="H3516">
        <v>1</v>
      </c>
      <c r="I3516">
        <v>4</v>
      </c>
      <c r="J3516">
        <v>1</v>
      </c>
      <c r="K3516">
        <v>1</v>
      </c>
    </row>
    <row r="3517" spans="7:11">
      <c r="G3517">
        <v>4</v>
      </c>
      <c r="H3517">
        <v>1</v>
      </c>
      <c r="I3517">
        <v>4</v>
      </c>
      <c r="J3517">
        <v>2</v>
      </c>
      <c r="K3517">
        <v>2</v>
      </c>
    </row>
    <row r="3518" spans="7:11">
      <c r="G3518">
        <v>4</v>
      </c>
      <c r="H3518">
        <v>1</v>
      </c>
      <c r="I3518">
        <v>5</v>
      </c>
      <c r="J3518">
        <v>1</v>
      </c>
      <c r="K3518">
        <v>1</v>
      </c>
    </row>
    <row r="3519" spans="7:11">
      <c r="G3519">
        <v>4</v>
      </c>
      <c r="H3519">
        <v>1</v>
      </c>
      <c r="I3519">
        <v>5</v>
      </c>
      <c r="J3519">
        <v>2</v>
      </c>
      <c r="K3519">
        <v>2</v>
      </c>
    </row>
    <row r="3520" spans="7:11">
      <c r="G3520">
        <v>4</v>
      </c>
      <c r="H3520">
        <v>2</v>
      </c>
      <c r="I3520">
        <v>1</v>
      </c>
      <c r="J3520">
        <v>1</v>
      </c>
      <c r="K3520">
        <v>1</v>
      </c>
    </row>
    <row r="3521" spans="7:11">
      <c r="G3521">
        <v>4</v>
      </c>
      <c r="H3521">
        <v>2</v>
      </c>
      <c r="I3521">
        <v>1</v>
      </c>
      <c r="J3521">
        <v>2</v>
      </c>
      <c r="K3521">
        <v>2</v>
      </c>
    </row>
    <row r="3522" spans="7:11">
      <c r="G3522">
        <v>4</v>
      </c>
      <c r="H3522">
        <v>2</v>
      </c>
      <c r="I3522">
        <v>2</v>
      </c>
      <c r="J3522">
        <v>1</v>
      </c>
      <c r="K3522">
        <v>1</v>
      </c>
    </row>
    <row r="3523" spans="7:11">
      <c r="G3523">
        <v>4</v>
      </c>
      <c r="H3523">
        <v>2</v>
      </c>
      <c r="I3523">
        <v>2</v>
      </c>
      <c r="J3523">
        <v>2</v>
      </c>
      <c r="K3523">
        <v>2</v>
      </c>
    </row>
    <row r="3524" spans="7:11">
      <c r="G3524">
        <v>4</v>
      </c>
      <c r="H3524">
        <v>2</v>
      </c>
      <c r="I3524">
        <v>3</v>
      </c>
      <c r="J3524">
        <v>1</v>
      </c>
      <c r="K3524">
        <v>1</v>
      </c>
    </row>
    <row r="3525" spans="7:11">
      <c r="G3525">
        <v>4</v>
      </c>
      <c r="H3525">
        <v>2</v>
      </c>
      <c r="I3525">
        <v>3</v>
      </c>
      <c r="J3525">
        <v>2</v>
      </c>
      <c r="K3525">
        <v>2</v>
      </c>
    </row>
    <row r="3526" spans="7:11">
      <c r="G3526">
        <v>4</v>
      </c>
      <c r="H3526">
        <v>2</v>
      </c>
      <c r="I3526">
        <v>4</v>
      </c>
      <c r="J3526">
        <v>1</v>
      </c>
      <c r="K3526">
        <v>1</v>
      </c>
    </row>
    <row r="3527" spans="7:11">
      <c r="G3527">
        <v>4</v>
      </c>
      <c r="H3527">
        <v>2</v>
      </c>
      <c r="I3527">
        <v>4</v>
      </c>
      <c r="J3527">
        <v>2</v>
      </c>
      <c r="K3527">
        <v>2</v>
      </c>
    </row>
    <row r="3528" spans="7:11">
      <c r="G3528">
        <v>4</v>
      </c>
      <c r="H3528">
        <v>2</v>
      </c>
      <c r="I3528">
        <v>5</v>
      </c>
      <c r="J3528">
        <v>1</v>
      </c>
      <c r="K3528">
        <v>1</v>
      </c>
    </row>
    <row r="3529" spans="7:11">
      <c r="G3529">
        <v>4</v>
      </c>
      <c r="H3529">
        <v>2</v>
      </c>
      <c r="I3529">
        <v>5</v>
      </c>
      <c r="J3529">
        <v>2</v>
      </c>
      <c r="K3529">
        <v>2</v>
      </c>
    </row>
    <row r="3530" spans="7:11">
      <c r="G3530">
        <v>4</v>
      </c>
      <c r="H3530">
        <v>3</v>
      </c>
      <c r="I3530">
        <v>1</v>
      </c>
      <c r="J3530">
        <v>1</v>
      </c>
      <c r="K3530">
        <v>1</v>
      </c>
    </row>
    <row r="3531" spans="7:11">
      <c r="G3531">
        <v>4</v>
      </c>
      <c r="H3531">
        <v>3</v>
      </c>
      <c r="I3531">
        <v>1</v>
      </c>
      <c r="J3531">
        <v>2</v>
      </c>
      <c r="K3531">
        <v>2</v>
      </c>
    </row>
    <row r="3532" spans="7:11">
      <c r="G3532">
        <v>4</v>
      </c>
      <c r="H3532">
        <v>3</v>
      </c>
      <c r="I3532">
        <v>2</v>
      </c>
      <c r="J3532">
        <v>1</v>
      </c>
      <c r="K3532">
        <v>1</v>
      </c>
    </row>
    <row r="3533" spans="7:11">
      <c r="G3533">
        <v>4</v>
      </c>
      <c r="H3533">
        <v>3</v>
      </c>
      <c r="I3533">
        <v>2</v>
      </c>
      <c r="J3533">
        <v>2</v>
      </c>
      <c r="K3533">
        <v>2</v>
      </c>
    </row>
    <row r="3534" spans="7:11">
      <c r="G3534">
        <v>4</v>
      </c>
      <c r="H3534">
        <v>3</v>
      </c>
      <c r="I3534">
        <v>3</v>
      </c>
      <c r="J3534">
        <v>1</v>
      </c>
      <c r="K3534">
        <v>1</v>
      </c>
    </row>
    <row r="3535" spans="7:11">
      <c r="G3535">
        <v>4</v>
      </c>
      <c r="H3535">
        <v>3</v>
      </c>
      <c r="I3535">
        <v>3</v>
      </c>
      <c r="J3535">
        <v>2</v>
      </c>
      <c r="K3535">
        <v>2</v>
      </c>
    </row>
    <row r="3536" spans="7:11">
      <c r="G3536">
        <v>4</v>
      </c>
      <c r="H3536">
        <v>3</v>
      </c>
      <c r="I3536">
        <v>4</v>
      </c>
      <c r="J3536">
        <v>1</v>
      </c>
      <c r="K3536">
        <v>1</v>
      </c>
    </row>
    <row r="3537" spans="7:11">
      <c r="G3537">
        <v>4</v>
      </c>
      <c r="H3537">
        <v>3</v>
      </c>
      <c r="I3537">
        <v>4</v>
      </c>
      <c r="J3537">
        <v>2</v>
      </c>
      <c r="K3537">
        <v>2</v>
      </c>
    </row>
    <row r="3538" spans="7:11">
      <c r="G3538">
        <v>4</v>
      </c>
      <c r="H3538">
        <v>3</v>
      </c>
      <c r="I3538">
        <v>5</v>
      </c>
      <c r="J3538">
        <v>1</v>
      </c>
      <c r="K3538">
        <v>1</v>
      </c>
    </row>
    <row r="3539" spans="7:11">
      <c r="G3539">
        <v>4</v>
      </c>
      <c r="H3539">
        <v>3</v>
      </c>
      <c r="I3539">
        <v>5</v>
      </c>
      <c r="J3539">
        <v>2</v>
      </c>
      <c r="K3539">
        <v>2</v>
      </c>
    </row>
    <row r="3540" spans="7:11">
      <c r="G3540">
        <v>1</v>
      </c>
      <c r="H3540">
        <v>2</v>
      </c>
      <c r="I3540">
        <v>1</v>
      </c>
      <c r="J3540">
        <v>1</v>
      </c>
      <c r="K3540">
        <v>1</v>
      </c>
    </row>
    <row r="3541" spans="7:11">
      <c r="G3541">
        <v>1</v>
      </c>
      <c r="H3541">
        <v>2</v>
      </c>
      <c r="I3541">
        <v>1</v>
      </c>
      <c r="J3541">
        <v>2</v>
      </c>
      <c r="K3541">
        <v>2</v>
      </c>
    </row>
    <row r="3542" spans="7:11">
      <c r="G3542">
        <v>1</v>
      </c>
      <c r="H3542">
        <v>2</v>
      </c>
      <c r="I3542">
        <v>2</v>
      </c>
      <c r="J3542">
        <v>1</v>
      </c>
      <c r="K3542">
        <v>1</v>
      </c>
    </row>
    <row r="3543" spans="7:11">
      <c r="G3543">
        <v>1</v>
      </c>
      <c r="H3543">
        <v>2</v>
      </c>
      <c r="I3543">
        <v>2</v>
      </c>
      <c r="J3543">
        <v>2</v>
      </c>
      <c r="K3543">
        <v>2</v>
      </c>
    </row>
    <row r="3544" spans="7:11">
      <c r="G3544">
        <v>1</v>
      </c>
      <c r="H3544">
        <v>2</v>
      </c>
      <c r="I3544">
        <v>3</v>
      </c>
      <c r="J3544">
        <v>1</v>
      </c>
      <c r="K3544">
        <v>1</v>
      </c>
    </row>
    <row r="3545" spans="7:11">
      <c r="G3545">
        <v>1</v>
      </c>
      <c r="H3545">
        <v>2</v>
      </c>
      <c r="I3545">
        <v>3</v>
      </c>
      <c r="J3545">
        <v>2</v>
      </c>
      <c r="K3545">
        <v>2</v>
      </c>
    </row>
    <row r="3546" spans="7:11">
      <c r="G3546">
        <v>1</v>
      </c>
      <c r="H3546">
        <v>2</v>
      </c>
      <c r="I3546">
        <v>4</v>
      </c>
      <c r="J3546">
        <v>1</v>
      </c>
      <c r="K3546">
        <v>1</v>
      </c>
    </row>
    <row r="3547" spans="7:11">
      <c r="G3547">
        <v>1</v>
      </c>
      <c r="H3547">
        <v>2</v>
      </c>
      <c r="I3547">
        <v>4</v>
      </c>
      <c r="J3547">
        <v>2</v>
      </c>
      <c r="K3547">
        <v>2</v>
      </c>
    </row>
    <row r="3548" spans="7:11">
      <c r="G3548">
        <v>1</v>
      </c>
      <c r="H3548">
        <v>2</v>
      </c>
      <c r="I3548">
        <v>5</v>
      </c>
      <c r="J3548">
        <v>1</v>
      </c>
      <c r="K3548">
        <v>1</v>
      </c>
    </row>
    <row r="3549" spans="7:11">
      <c r="G3549">
        <v>1</v>
      </c>
      <c r="H3549">
        <v>2</v>
      </c>
      <c r="I3549">
        <v>5</v>
      </c>
      <c r="J3549">
        <v>2</v>
      </c>
      <c r="K3549">
        <v>2</v>
      </c>
    </row>
    <row r="3550" spans="7:11">
      <c r="G3550">
        <v>1</v>
      </c>
      <c r="H3550">
        <v>3</v>
      </c>
      <c r="I3550">
        <v>1</v>
      </c>
      <c r="J3550">
        <v>1</v>
      </c>
      <c r="K3550">
        <v>1</v>
      </c>
    </row>
    <row r="3551" spans="7:11">
      <c r="G3551">
        <v>1</v>
      </c>
      <c r="H3551">
        <v>3</v>
      </c>
      <c r="I3551">
        <v>1</v>
      </c>
      <c r="J3551">
        <v>2</v>
      </c>
      <c r="K3551">
        <v>2</v>
      </c>
    </row>
    <row r="3552" spans="7:11">
      <c r="G3552">
        <v>1</v>
      </c>
      <c r="H3552">
        <v>3</v>
      </c>
      <c r="I3552">
        <v>2</v>
      </c>
      <c r="J3552">
        <v>1</v>
      </c>
      <c r="K3552">
        <v>1</v>
      </c>
    </row>
    <row r="3553" spans="7:11">
      <c r="G3553">
        <v>1</v>
      </c>
      <c r="H3553">
        <v>3</v>
      </c>
      <c r="I3553">
        <v>2</v>
      </c>
      <c r="J3553">
        <v>2</v>
      </c>
      <c r="K3553">
        <v>2</v>
      </c>
    </row>
    <row r="3554" spans="7:11">
      <c r="G3554">
        <v>1</v>
      </c>
      <c r="H3554">
        <v>3</v>
      </c>
      <c r="I3554">
        <v>3</v>
      </c>
      <c r="J3554">
        <v>1</v>
      </c>
      <c r="K3554">
        <v>1</v>
      </c>
    </row>
    <row r="3555" spans="7:11">
      <c r="G3555">
        <v>1</v>
      </c>
      <c r="H3555">
        <v>3</v>
      </c>
      <c r="I3555">
        <v>3</v>
      </c>
      <c r="J3555">
        <v>2</v>
      </c>
      <c r="K3555">
        <v>2</v>
      </c>
    </row>
    <row r="3556" spans="7:11">
      <c r="G3556">
        <v>1</v>
      </c>
      <c r="H3556">
        <v>3</v>
      </c>
      <c r="I3556">
        <v>4</v>
      </c>
      <c r="J3556">
        <v>1</v>
      </c>
      <c r="K3556">
        <v>1</v>
      </c>
    </row>
    <row r="3557" spans="7:11">
      <c r="G3557">
        <v>1</v>
      </c>
      <c r="H3557">
        <v>3</v>
      </c>
      <c r="I3557">
        <v>4</v>
      </c>
      <c r="J3557">
        <v>2</v>
      </c>
      <c r="K3557">
        <v>2</v>
      </c>
    </row>
    <row r="3558" spans="7:11">
      <c r="G3558">
        <v>1</v>
      </c>
      <c r="H3558">
        <v>3</v>
      </c>
      <c r="I3558">
        <v>5</v>
      </c>
      <c r="J3558">
        <v>1</v>
      </c>
      <c r="K3558">
        <v>1</v>
      </c>
    </row>
    <row r="3559" spans="7:11">
      <c r="G3559">
        <v>1</v>
      </c>
      <c r="H3559">
        <v>3</v>
      </c>
      <c r="I3559">
        <v>5</v>
      </c>
      <c r="J3559">
        <v>2</v>
      </c>
      <c r="K3559">
        <v>2</v>
      </c>
    </row>
    <row r="3560" spans="7:11">
      <c r="G3560">
        <v>2</v>
      </c>
      <c r="H3560">
        <v>1</v>
      </c>
      <c r="I3560">
        <v>3</v>
      </c>
      <c r="J3560">
        <v>1</v>
      </c>
      <c r="K3560">
        <v>1</v>
      </c>
    </row>
    <row r="3561" spans="7:11">
      <c r="G3561">
        <v>2</v>
      </c>
      <c r="H3561">
        <v>1</v>
      </c>
      <c r="I3561">
        <v>3</v>
      </c>
      <c r="J3561">
        <v>2</v>
      </c>
      <c r="K3561">
        <v>2</v>
      </c>
    </row>
    <row r="3562" spans="7:11">
      <c r="G3562">
        <v>2</v>
      </c>
      <c r="H3562">
        <v>1</v>
      </c>
      <c r="I3562">
        <v>4</v>
      </c>
      <c r="J3562">
        <v>1</v>
      </c>
      <c r="K3562">
        <v>1</v>
      </c>
    </row>
    <row r="3563" spans="7:11">
      <c r="G3563">
        <v>2</v>
      </c>
      <c r="H3563">
        <v>1</v>
      </c>
      <c r="I3563">
        <v>4</v>
      </c>
      <c r="J3563">
        <v>2</v>
      </c>
      <c r="K3563">
        <v>2</v>
      </c>
    </row>
    <row r="3564" spans="7:11">
      <c r="G3564">
        <v>2</v>
      </c>
      <c r="H3564">
        <v>1</v>
      </c>
      <c r="I3564">
        <v>5</v>
      </c>
      <c r="J3564">
        <v>1</v>
      </c>
      <c r="K3564">
        <v>1</v>
      </c>
    </row>
    <row r="3565" spans="7:11">
      <c r="G3565">
        <v>2</v>
      </c>
      <c r="H3565">
        <v>1</v>
      </c>
      <c r="I3565">
        <v>5</v>
      </c>
      <c r="J3565">
        <v>2</v>
      </c>
      <c r="K3565">
        <v>2</v>
      </c>
    </row>
    <row r="3566" spans="7:11">
      <c r="G3566">
        <v>2</v>
      </c>
      <c r="H3566">
        <v>2</v>
      </c>
      <c r="I3566">
        <v>1</v>
      </c>
      <c r="J3566">
        <v>1</v>
      </c>
      <c r="K3566">
        <v>1</v>
      </c>
    </row>
    <row r="3567" spans="7:11">
      <c r="G3567">
        <v>2</v>
      </c>
      <c r="H3567">
        <v>2</v>
      </c>
      <c r="I3567">
        <v>1</v>
      </c>
      <c r="J3567">
        <v>2</v>
      </c>
      <c r="K3567">
        <v>2</v>
      </c>
    </row>
    <row r="3568" spans="7:11">
      <c r="G3568">
        <v>2</v>
      </c>
      <c r="H3568">
        <v>2</v>
      </c>
      <c r="I3568">
        <v>2</v>
      </c>
      <c r="J3568">
        <v>1</v>
      </c>
      <c r="K3568">
        <v>1</v>
      </c>
    </row>
    <row r="3569" spans="7:11">
      <c r="G3569">
        <v>2</v>
      </c>
      <c r="H3569">
        <v>2</v>
      </c>
      <c r="I3569">
        <v>2</v>
      </c>
      <c r="J3569">
        <v>2</v>
      </c>
      <c r="K3569">
        <v>2</v>
      </c>
    </row>
    <row r="3570" spans="7:11">
      <c r="G3570">
        <v>2</v>
      </c>
      <c r="H3570">
        <v>2</v>
      </c>
      <c r="I3570">
        <v>3</v>
      </c>
      <c r="J3570">
        <v>1</v>
      </c>
      <c r="K3570">
        <v>1</v>
      </c>
    </row>
    <row r="3571" spans="7:11">
      <c r="G3571">
        <v>2</v>
      </c>
      <c r="H3571">
        <v>2</v>
      </c>
      <c r="I3571">
        <v>3</v>
      </c>
      <c r="J3571">
        <v>2</v>
      </c>
      <c r="K3571">
        <v>2</v>
      </c>
    </row>
    <row r="3572" spans="7:11">
      <c r="G3572">
        <v>2</v>
      </c>
      <c r="H3572">
        <v>2</v>
      </c>
      <c r="I3572">
        <v>4</v>
      </c>
      <c r="J3572">
        <v>1</v>
      </c>
      <c r="K3572">
        <v>1</v>
      </c>
    </row>
    <row r="3573" spans="7:11">
      <c r="G3573">
        <v>2</v>
      </c>
      <c r="H3573">
        <v>2</v>
      </c>
      <c r="I3573">
        <v>4</v>
      </c>
      <c r="J3573">
        <v>2</v>
      </c>
      <c r="K3573">
        <v>2</v>
      </c>
    </row>
    <row r="3574" spans="7:11">
      <c r="G3574">
        <v>2</v>
      </c>
      <c r="H3574">
        <v>2</v>
      </c>
      <c r="I3574">
        <v>5</v>
      </c>
      <c r="J3574">
        <v>1</v>
      </c>
      <c r="K3574">
        <v>1</v>
      </c>
    </row>
    <row r="3575" spans="7:11">
      <c r="G3575">
        <v>2</v>
      </c>
      <c r="H3575">
        <v>2</v>
      </c>
      <c r="I3575">
        <v>5</v>
      </c>
      <c r="J3575">
        <v>2</v>
      </c>
      <c r="K3575">
        <v>2</v>
      </c>
    </row>
    <row r="3576" spans="7:11">
      <c r="G3576">
        <v>2</v>
      </c>
      <c r="H3576">
        <v>3</v>
      </c>
      <c r="I3576">
        <v>1</v>
      </c>
      <c r="J3576">
        <v>1</v>
      </c>
      <c r="K3576">
        <v>1</v>
      </c>
    </row>
    <row r="3577" spans="7:11">
      <c r="G3577">
        <v>2</v>
      </c>
      <c r="H3577">
        <v>3</v>
      </c>
      <c r="I3577">
        <v>1</v>
      </c>
      <c r="J3577">
        <v>2</v>
      </c>
      <c r="K3577">
        <v>2</v>
      </c>
    </row>
    <row r="3578" spans="7:11">
      <c r="G3578">
        <v>2</v>
      </c>
      <c r="H3578">
        <v>3</v>
      </c>
      <c r="I3578">
        <v>2</v>
      </c>
      <c r="J3578">
        <v>1</v>
      </c>
      <c r="K3578">
        <v>1</v>
      </c>
    </row>
    <row r="3579" spans="7:11">
      <c r="G3579">
        <v>2</v>
      </c>
      <c r="H3579">
        <v>3</v>
      </c>
      <c r="I3579">
        <v>2</v>
      </c>
      <c r="J3579">
        <v>2</v>
      </c>
      <c r="K3579">
        <v>2</v>
      </c>
    </row>
    <row r="3580" spans="7:11">
      <c r="G3580">
        <v>2</v>
      </c>
      <c r="H3580">
        <v>3</v>
      </c>
      <c r="I3580">
        <v>3</v>
      </c>
      <c r="J3580">
        <v>1</v>
      </c>
      <c r="K3580">
        <v>1</v>
      </c>
    </row>
    <row r="3581" spans="7:11">
      <c r="G3581">
        <v>2</v>
      </c>
      <c r="H3581">
        <v>3</v>
      </c>
      <c r="I3581">
        <v>3</v>
      </c>
      <c r="J3581">
        <v>2</v>
      </c>
      <c r="K3581">
        <v>2</v>
      </c>
    </row>
    <row r="3582" spans="7:11">
      <c r="G3582">
        <v>2</v>
      </c>
      <c r="H3582">
        <v>3</v>
      </c>
      <c r="I3582">
        <v>4</v>
      </c>
      <c r="J3582">
        <v>1</v>
      </c>
      <c r="K3582">
        <v>1</v>
      </c>
    </row>
    <row r="3583" spans="7:11">
      <c r="G3583">
        <v>2</v>
      </c>
      <c r="H3583">
        <v>3</v>
      </c>
      <c r="I3583">
        <v>4</v>
      </c>
      <c r="J3583">
        <v>2</v>
      </c>
      <c r="K3583">
        <v>2</v>
      </c>
    </row>
    <row r="3584" spans="7:11">
      <c r="G3584">
        <v>2</v>
      </c>
      <c r="H3584">
        <v>3</v>
      </c>
      <c r="I3584">
        <v>5</v>
      </c>
      <c r="J3584">
        <v>1</v>
      </c>
      <c r="K3584">
        <v>1</v>
      </c>
    </row>
    <row r="3585" spans="7:11">
      <c r="G3585">
        <v>2</v>
      </c>
      <c r="H3585">
        <v>3</v>
      </c>
      <c r="I3585">
        <v>5</v>
      </c>
      <c r="J3585">
        <v>2</v>
      </c>
      <c r="K3585">
        <v>2</v>
      </c>
    </row>
    <row r="3586" spans="7:11">
      <c r="G3586">
        <v>3</v>
      </c>
      <c r="H3586">
        <v>1</v>
      </c>
      <c r="I3586">
        <v>3</v>
      </c>
      <c r="J3586">
        <v>1</v>
      </c>
      <c r="K3586">
        <v>1</v>
      </c>
    </row>
    <row r="3587" spans="7:11">
      <c r="G3587">
        <v>3</v>
      </c>
      <c r="H3587">
        <v>1</v>
      </c>
      <c r="I3587">
        <v>3</v>
      </c>
      <c r="J3587">
        <v>2</v>
      </c>
      <c r="K3587">
        <v>2</v>
      </c>
    </row>
    <row r="3588" spans="7:11">
      <c r="G3588">
        <v>3</v>
      </c>
      <c r="H3588">
        <v>1</v>
      </c>
      <c r="I3588">
        <v>4</v>
      </c>
      <c r="J3588">
        <v>1</v>
      </c>
      <c r="K3588">
        <v>1</v>
      </c>
    </row>
    <row r="3589" spans="7:11">
      <c r="G3589">
        <v>3</v>
      </c>
      <c r="H3589">
        <v>1</v>
      </c>
      <c r="I3589">
        <v>4</v>
      </c>
      <c r="J3589">
        <v>2</v>
      </c>
      <c r="K3589">
        <v>2</v>
      </c>
    </row>
    <row r="3590" spans="7:11">
      <c r="G3590">
        <v>3</v>
      </c>
      <c r="H3590">
        <v>1</v>
      </c>
      <c r="I3590">
        <v>5</v>
      </c>
      <c r="J3590">
        <v>1</v>
      </c>
      <c r="K3590">
        <v>1</v>
      </c>
    </row>
    <row r="3591" spans="7:11">
      <c r="G3591">
        <v>3</v>
      </c>
      <c r="H3591">
        <v>1</v>
      </c>
      <c r="I3591">
        <v>5</v>
      </c>
      <c r="J3591">
        <v>2</v>
      </c>
      <c r="K3591">
        <v>2</v>
      </c>
    </row>
    <row r="3592" spans="7:11">
      <c r="G3592">
        <v>3</v>
      </c>
      <c r="H3592">
        <v>2</v>
      </c>
      <c r="I3592">
        <v>1</v>
      </c>
      <c r="J3592">
        <v>1</v>
      </c>
      <c r="K3592">
        <v>1</v>
      </c>
    </row>
    <row r="3593" spans="7:11">
      <c r="G3593">
        <v>3</v>
      </c>
      <c r="H3593">
        <v>2</v>
      </c>
      <c r="I3593">
        <v>1</v>
      </c>
      <c r="J3593">
        <v>2</v>
      </c>
      <c r="K3593">
        <v>2</v>
      </c>
    </row>
    <row r="3594" spans="7:11">
      <c r="G3594">
        <v>3</v>
      </c>
      <c r="H3594">
        <v>2</v>
      </c>
      <c r="I3594">
        <v>2</v>
      </c>
      <c r="J3594">
        <v>1</v>
      </c>
      <c r="K3594">
        <v>1</v>
      </c>
    </row>
    <row r="3595" spans="7:11">
      <c r="G3595">
        <v>3</v>
      </c>
      <c r="H3595">
        <v>2</v>
      </c>
      <c r="I3595">
        <v>2</v>
      </c>
      <c r="J3595">
        <v>2</v>
      </c>
      <c r="K3595">
        <v>2</v>
      </c>
    </row>
    <row r="3596" spans="7:11">
      <c r="G3596">
        <v>3</v>
      </c>
      <c r="H3596">
        <v>2</v>
      </c>
      <c r="I3596">
        <v>3</v>
      </c>
      <c r="J3596">
        <v>1</v>
      </c>
      <c r="K3596">
        <v>1</v>
      </c>
    </row>
    <row r="3597" spans="7:11">
      <c r="G3597">
        <v>3</v>
      </c>
      <c r="H3597">
        <v>2</v>
      </c>
      <c r="I3597">
        <v>3</v>
      </c>
      <c r="J3597">
        <v>2</v>
      </c>
      <c r="K3597">
        <v>2</v>
      </c>
    </row>
    <row r="3598" spans="7:11">
      <c r="G3598">
        <v>3</v>
      </c>
      <c r="H3598">
        <v>2</v>
      </c>
      <c r="I3598">
        <v>4</v>
      </c>
      <c r="J3598">
        <v>1</v>
      </c>
      <c r="K3598">
        <v>1</v>
      </c>
    </row>
    <row r="3599" spans="7:11">
      <c r="G3599">
        <v>3</v>
      </c>
      <c r="H3599">
        <v>2</v>
      </c>
      <c r="I3599">
        <v>4</v>
      </c>
      <c r="J3599">
        <v>2</v>
      </c>
      <c r="K3599">
        <v>2</v>
      </c>
    </row>
    <row r="3600" spans="7:11">
      <c r="G3600">
        <v>3</v>
      </c>
      <c r="H3600">
        <v>2</v>
      </c>
      <c r="I3600">
        <v>5</v>
      </c>
      <c r="J3600">
        <v>1</v>
      </c>
      <c r="K3600">
        <v>1</v>
      </c>
    </row>
    <row r="3601" spans="7:11">
      <c r="G3601">
        <v>3</v>
      </c>
      <c r="H3601">
        <v>2</v>
      </c>
      <c r="I3601">
        <v>5</v>
      </c>
      <c r="J3601">
        <v>2</v>
      </c>
      <c r="K3601">
        <v>2</v>
      </c>
    </row>
    <row r="3602" spans="7:11">
      <c r="G3602">
        <v>3</v>
      </c>
      <c r="H3602">
        <v>3</v>
      </c>
      <c r="I3602">
        <v>1</v>
      </c>
      <c r="J3602">
        <v>1</v>
      </c>
      <c r="K3602">
        <v>1</v>
      </c>
    </row>
    <row r="3603" spans="7:11">
      <c r="G3603">
        <v>3</v>
      </c>
      <c r="H3603">
        <v>3</v>
      </c>
      <c r="I3603">
        <v>1</v>
      </c>
      <c r="J3603">
        <v>2</v>
      </c>
      <c r="K3603">
        <v>2</v>
      </c>
    </row>
    <row r="3604" spans="7:11">
      <c r="G3604">
        <v>3</v>
      </c>
      <c r="H3604">
        <v>3</v>
      </c>
      <c r="I3604">
        <v>2</v>
      </c>
      <c r="J3604">
        <v>1</v>
      </c>
      <c r="K3604">
        <v>1</v>
      </c>
    </row>
    <row r="3605" spans="7:11">
      <c r="G3605">
        <v>3</v>
      </c>
      <c r="H3605">
        <v>3</v>
      </c>
      <c r="I3605">
        <v>2</v>
      </c>
      <c r="J3605">
        <v>2</v>
      </c>
      <c r="K3605">
        <v>2</v>
      </c>
    </row>
    <row r="3606" spans="7:11">
      <c r="G3606">
        <v>3</v>
      </c>
      <c r="H3606">
        <v>3</v>
      </c>
      <c r="I3606">
        <v>3</v>
      </c>
      <c r="J3606">
        <v>1</v>
      </c>
      <c r="K3606">
        <v>1</v>
      </c>
    </row>
    <row r="3607" spans="7:11">
      <c r="G3607">
        <v>3</v>
      </c>
      <c r="H3607">
        <v>3</v>
      </c>
      <c r="I3607">
        <v>3</v>
      </c>
      <c r="J3607">
        <v>2</v>
      </c>
      <c r="K3607">
        <v>2</v>
      </c>
    </row>
    <row r="3608" spans="7:11">
      <c r="G3608">
        <v>3</v>
      </c>
      <c r="H3608">
        <v>3</v>
      </c>
      <c r="I3608">
        <v>4</v>
      </c>
      <c r="J3608">
        <v>1</v>
      </c>
      <c r="K3608">
        <v>1</v>
      </c>
    </row>
    <row r="3609" spans="7:11">
      <c r="G3609">
        <v>3</v>
      </c>
      <c r="H3609">
        <v>3</v>
      </c>
      <c r="I3609">
        <v>4</v>
      </c>
      <c r="J3609">
        <v>2</v>
      </c>
      <c r="K3609">
        <v>2</v>
      </c>
    </row>
    <row r="3610" spans="7:11">
      <c r="G3610">
        <v>3</v>
      </c>
      <c r="H3610">
        <v>3</v>
      </c>
      <c r="I3610">
        <v>5</v>
      </c>
      <c r="J3610">
        <v>1</v>
      </c>
      <c r="K3610">
        <v>1</v>
      </c>
    </row>
    <row r="3611" spans="7:11">
      <c r="G3611">
        <v>3</v>
      </c>
      <c r="H3611">
        <v>3</v>
      </c>
      <c r="I3611">
        <v>5</v>
      </c>
      <c r="J3611">
        <v>2</v>
      </c>
      <c r="K3611">
        <v>2</v>
      </c>
    </row>
    <row r="3612" spans="7:11">
      <c r="G3612">
        <v>4</v>
      </c>
      <c r="H3612">
        <v>1</v>
      </c>
      <c r="I3612">
        <v>3</v>
      </c>
      <c r="J3612">
        <v>1</v>
      </c>
      <c r="K3612">
        <v>1</v>
      </c>
    </row>
    <row r="3613" spans="7:11">
      <c r="G3613">
        <v>4</v>
      </c>
      <c r="H3613">
        <v>1</v>
      </c>
      <c r="I3613">
        <v>3</v>
      </c>
      <c r="J3613">
        <v>2</v>
      </c>
      <c r="K3613">
        <v>2</v>
      </c>
    </row>
    <row r="3614" spans="7:11">
      <c r="G3614">
        <v>4</v>
      </c>
      <c r="H3614">
        <v>1</v>
      </c>
      <c r="I3614">
        <v>4</v>
      </c>
      <c r="J3614">
        <v>1</v>
      </c>
      <c r="K3614">
        <v>1</v>
      </c>
    </row>
    <row r="3615" spans="7:11">
      <c r="G3615">
        <v>4</v>
      </c>
      <c r="H3615">
        <v>1</v>
      </c>
      <c r="I3615">
        <v>4</v>
      </c>
      <c r="J3615">
        <v>2</v>
      </c>
      <c r="K3615">
        <v>2</v>
      </c>
    </row>
    <row r="3616" spans="7:11">
      <c r="G3616">
        <v>4</v>
      </c>
      <c r="H3616">
        <v>1</v>
      </c>
      <c r="I3616">
        <v>5</v>
      </c>
      <c r="J3616">
        <v>1</v>
      </c>
      <c r="K3616">
        <v>1</v>
      </c>
    </row>
    <row r="3617" spans="7:11">
      <c r="G3617">
        <v>4</v>
      </c>
      <c r="H3617">
        <v>1</v>
      </c>
      <c r="I3617">
        <v>5</v>
      </c>
      <c r="J3617">
        <v>2</v>
      </c>
      <c r="K3617">
        <v>2</v>
      </c>
    </row>
    <row r="3618" spans="7:11">
      <c r="G3618">
        <v>4</v>
      </c>
      <c r="H3618">
        <v>2</v>
      </c>
      <c r="I3618">
        <v>1</v>
      </c>
      <c r="J3618">
        <v>1</v>
      </c>
      <c r="K3618">
        <v>1</v>
      </c>
    </row>
    <row r="3619" spans="7:11">
      <c r="G3619">
        <v>4</v>
      </c>
      <c r="H3619">
        <v>2</v>
      </c>
      <c r="I3619">
        <v>1</v>
      </c>
      <c r="J3619">
        <v>2</v>
      </c>
      <c r="K3619">
        <v>2</v>
      </c>
    </row>
    <row r="3620" spans="7:11">
      <c r="G3620">
        <v>4</v>
      </c>
      <c r="H3620">
        <v>2</v>
      </c>
      <c r="I3620">
        <v>2</v>
      </c>
      <c r="J3620">
        <v>1</v>
      </c>
      <c r="K3620">
        <v>1</v>
      </c>
    </row>
    <row r="3621" spans="7:11">
      <c r="G3621">
        <v>4</v>
      </c>
      <c r="H3621">
        <v>2</v>
      </c>
      <c r="I3621">
        <v>2</v>
      </c>
      <c r="J3621">
        <v>2</v>
      </c>
      <c r="K3621">
        <v>2</v>
      </c>
    </row>
    <row r="3622" spans="7:11">
      <c r="G3622">
        <v>4</v>
      </c>
      <c r="H3622">
        <v>2</v>
      </c>
      <c r="I3622">
        <v>3</v>
      </c>
      <c r="J3622">
        <v>1</v>
      </c>
      <c r="K3622">
        <v>1</v>
      </c>
    </row>
    <row r="3623" spans="7:11">
      <c r="G3623">
        <v>4</v>
      </c>
      <c r="H3623">
        <v>2</v>
      </c>
      <c r="I3623">
        <v>3</v>
      </c>
      <c r="J3623">
        <v>2</v>
      </c>
      <c r="K3623">
        <v>2</v>
      </c>
    </row>
    <row r="3624" spans="7:11">
      <c r="G3624">
        <v>4</v>
      </c>
      <c r="H3624">
        <v>2</v>
      </c>
      <c r="I3624">
        <v>4</v>
      </c>
      <c r="J3624">
        <v>1</v>
      </c>
      <c r="K3624">
        <v>1</v>
      </c>
    </row>
    <row r="3625" spans="7:11">
      <c r="G3625">
        <v>4</v>
      </c>
      <c r="H3625">
        <v>2</v>
      </c>
      <c r="I3625">
        <v>4</v>
      </c>
      <c r="J3625">
        <v>2</v>
      </c>
      <c r="K3625">
        <v>2</v>
      </c>
    </row>
    <row r="3626" spans="7:11">
      <c r="G3626">
        <v>4</v>
      </c>
      <c r="H3626">
        <v>2</v>
      </c>
      <c r="I3626">
        <v>5</v>
      </c>
      <c r="J3626">
        <v>1</v>
      </c>
      <c r="K3626">
        <v>1</v>
      </c>
    </row>
    <row r="3627" spans="7:11">
      <c r="G3627">
        <v>4</v>
      </c>
      <c r="H3627">
        <v>2</v>
      </c>
      <c r="I3627">
        <v>5</v>
      </c>
      <c r="J3627">
        <v>2</v>
      </c>
      <c r="K3627">
        <v>2</v>
      </c>
    </row>
    <row r="3628" spans="7:11">
      <c r="G3628">
        <v>4</v>
      </c>
      <c r="H3628">
        <v>3</v>
      </c>
      <c r="I3628">
        <v>1</v>
      </c>
      <c r="J3628">
        <v>1</v>
      </c>
      <c r="K3628">
        <v>1</v>
      </c>
    </row>
    <row r="3629" spans="7:11">
      <c r="G3629">
        <v>4</v>
      </c>
      <c r="H3629">
        <v>3</v>
      </c>
      <c r="I3629">
        <v>1</v>
      </c>
      <c r="J3629">
        <v>2</v>
      </c>
      <c r="K3629">
        <v>2</v>
      </c>
    </row>
    <row r="3630" spans="7:11">
      <c r="G3630">
        <v>4</v>
      </c>
      <c r="H3630">
        <v>3</v>
      </c>
      <c r="I3630">
        <v>2</v>
      </c>
      <c r="J3630">
        <v>1</v>
      </c>
      <c r="K3630">
        <v>1</v>
      </c>
    </row>
    <row r="3631" spans="7:11">
      <c r="G3631">
        <v>4</v>
      </c>
      <c r="H3631">
        <v>3</v>
      </c>
      <c r="I3631">
        <v>2</v>
      </c>
      <c r="J3631">
        <v>2</v>
      </c>
      <c r="K3631">
        <v>2</v>
      </c>
    </row>
    <row r="3632" spans="7:11">
      <c r="G3632">
        <v>4</v>
      </c>
      <c r="H3632">
        <v>3</v>
      </c>
      <c r="I3632">
        <v>3</v>
      </c>
      <c r="J3632">
        <v>1</v>
      </c>
      <c r="K3632">
        <v>1</v>
      </c>
    </row>
    <row r="3633" spans="7:11">
      <c r="G3633">
        <v>4</v>
      </c>
      <c r="H3633">
        <v>3</v>
      </c>
      <c r="I3633">
        <v>3</v>
      </c>
      <c r="J3633">
        <v>2</v>
      </c>
      <c r="K3633">
        <v>2</v>
      </c>
    </row>
    <row r="3634" spans="7:11">
      <c r="G3634">
        <v>4</v>
      </c>
      <c r="H3634">
        <v>3</v>
      </c>
      <c r="I3634">
        <v>4</v>
      </c>
      <c r="J3634">
        <v>1</v>
      </c>
      <c r="K3634">
        <v>1</v>
      </c>
    </row>
    <row r="3635" spans="7:11">
      <c r="G3635">
        <v>4</v>
      </c>
      <c r="H3635">
        <v>3</v>
      </c>
      <c r="I3635">
        <v>4</v>
      </c>
      <c r="J3635">
        <v>2</v>
      </c>
      <c r="K3635">
        <v>2</v>
      </c>
    </row>
    <row r="3636" spans="7:11">
      <c r="G3636">
        <v>4</v>
      </c>
      <c r="H3636">
        <v>3</v>
      </c>
      <c r="I3636">
        <v>5</v>
      </c>
      <c r="J3636">
        <v>1</v>
      </c>
      <c r="K3636">
        <v>1</v>
      </c>
    </row>
    <row r="3637" spans="7:11">
      <c r="G3637">
        <v>4</v>
      </c>
      <c r="H3637">
        <v>3</v>
      </c>
      <c r="I3637">
        <v>5</v>
      </c>
      <c r="J3637">
        <v>2</v>
      </c>
      <c r="K3637">
        <v>2</v>
      </c>
    </row>
    <row r="3638" spans="7:11">
      <c r="G3638">
        <v>1</v>
      </c>
      <c r="H3638">
        <v>2</v>
      </c>
      <c r="I3638">
        <v>1</v>
      </c>
      <c r="J3638">
        <v>1</v>
      </c>
      <c r="K3638">
        <v>1</v>
      </c>
    </row>
    <row r="3639" spans="7:11">
      <c r="G3639">
        <v>1</v>
      </c>
      <c r="H3639">
        <v>2</v>
      </c>
      <c r="I3639">
        <v>1</v>
      </c>
      <c r="J3639">
        <v>2</v>
      </c>
      <c r="K3639">
        <v>2</v>
      </c>
    </row>
    <row r="3640" spans="7:11">
      <c r="G3640">
        <v>1</v>
      </c>
      <c r="H3640">
        <v>2</v>
      </c>
      <c r="I3640">
        <v>2</v>
      </c>
      <c r="J3640">
        <v>1</v>
      </c>
      <c r="K3640">
        <v>1</v>
      </c>
    </row>
    <row r="3641" spans="7:11">
      <c r="G3641">
        <v>1</v>
      </c>
      <c r="H3641">
        <v>2</v>
      </c>
      <c r="I3641">
        <v>2</v>
      </c>
      <c r="J3641">
        <v>2</v>
      </c>
      <c r="K3641">
        <v>2</v>
      </c>
    </row>
    <row r="3642" spans="7:11">
      <c r="G3642">
        <v>1</v>
      </c>
      <c r="H3642">
        <v>2</v>
      </c>
      <c r="I3642">
        <v>3</v>
      </c>
      <c r="J3642">
        <v>1</v>
      </c>
      <c r="K3642">
        <v>1</v>
      </c>
    </row>
    <row r="3643" spans="7:11">
      <c r="G3643">
        <v>1</v>
      </c>
      <c r="H3643">
        <v>2</v>
      </c>
      <c r="I3643">
        <v>3</v>
      </c>
      <c r="J3643">
        <v>2</v>
      </c>
      <c r="K3643">
        <v>2</v>
      </c>
    </row>
    <row r="3644" spans="7:11">
      <c r="G3644">
        <v>1</v>
      </c>
      <c r="H3644">
        <v>2</v>
      </c>
      <c r="I3644">
        <v>4</v>
      </c>
      <c r="J3644">
        <v>1</v>
      </c>
      <c r="K3644">
        <v>1</v>
      </c>
    </row>
    <row r="3645" spans="7:11">
      <c r="G3645">
        <v>1</v>
      </c>
      <c r="H3645">
        <v>2</v>
      </c>
      <c r="I3645">
        <v>4</v>
      </c>
      <c r="J3645">
        <v>2</v>
      </c>
      <c r="K3645">
        <v>2</v>
      </c>
    </row>
    <row r="3646" spans="7:11">
      <c r="G3646">
        <v>1</v>
      </c>
      <c r="H3646">
        <v>2</v>
      </c>
      <c r="I3646">
        <v>5</v>
      </c>
      <c r="J3646">
        <v>1</v>
      </c>
      <c r="K3646">
        <v>1</v>
      </c>
    </row>
    <row r="3647" spans="7:11">
      <c r="G3647">
        <v>1</v>
      </c>
      <c r="H3647">
        <v>2</v>
      </c>
      <c r="I3647">
        <v>5</v>
      </c>
      <c r="J3647">
        <v>2</v>
      </c>
      <c r="K3647">
        <v>2</v>
      </c>
    </row>
    <row r="3648" spans="7:11">
      <c r="G3648">
        <v>1</v>
      </c>
      <c r="H3648">
        <v>3</v>
      </c>
      <c r="I3648">
        <v>1</v>
      </c>
      <c r="J3648">
        <v>1</v>
      </c>
      <c r="K3648">
        <v>1</v>
      </c>
    </row>
    <row r="3649" spans="7:11">
      <c r="G3649">
        <v>1</v>
      </c>
      <c r="H3649">
        <v>3</v>
      </c>
      <c r="I3649">
        <v>1</v>
      </c>
      <c r="J3649">
        <v>2</v>
      </c>
      <c r="K3649">
        <v>2</v>
      </c>
    </row>
    <row r="3650" spans="7:11">
      <c r="G3650">
        <v>1</v>
      </c>
      <c r="H3650">
        <v>3</v>
      </c>
      <c r="I3650">
        <v>2</v>
      </c>
      <c r="J3650">
        <v>1</v>
      </c>
      <c r="K3650">
        <v>1</v>
      </c>
    </row>
    <row r="3651" spans="7:11">
      <c r="G3651">
        <v>1</v>
      </c>
      <c r="H3651">
        <v>3</v>
      </c>
      <c r="I3651">
        <v>2</v>
      </c>
      <c r="J3651">
        <v>2</v>
      </c>
      <c r="K3651">
        <v>2</v>
      </c>
    </row>
    <row r="3652" spans="7:11">
      <c r="G3652">
        <v>1</v>
      </c>
      <c r="H3652">
        <v>3</v>
      </c>
      <c r="I3652">
        <v>3</v>
      </c>
      <c r="J3652">
        <v>1</v>
      </c>
      <c r="K3652">
        <v>1</v>
      </c>
    </row>
    <row r="3653" spans="7:11">
      <c r="G3653">
        <v>1</v>
      </c>
      <c r="H3653">
        <v>3</v>
      </c>
      <c r="I3653">
        <v>3</v>
      </c>
      <c r="J3653">
        <v>2</v>
      </c>
      <c r="K3653">
        <v>2</v>
      </c>
    </row>
    <row r="3654" spans="7:11">
      <c r="G3654">
        <v>1</v>
      </c>
      <c r="H3654">
        <v>3</v>
      </c>
      <c r="I3654">
        <v>4</v>
      </c>
      <c r="J3654">
        <v>1</v>
      </c>
      <c r="K3654">
        <v>1</v>
      </c>
    </row>
    <row r="3655" spans="7:11">
      <c r="G3655">
        <v>1</v>
      </c>
      <c r="H3655">
        <v>3</v>
      </c>
      <c r="I3655">
        <v>4</v>
      </c>
      <c r="J3655">
        <v>2</v>
      </c>
      <c r="K3655">
        <v>2</v>
      </c>
    </row>
    <row r="3656" spans="7:11">
      <c r="G3656">
        <v>1</v>
      </c>
      <c r="H3656">
        <v>3</v>
      </c>
      <c r="I3656">
        <v>5</v>
      </c>
      <c r="J3656">
        <v>1</v>
      </c>
      <c r="K3656">
        <v>1</v>
      </c>
    </row>
    <row r="3657" spans="7:11">
      <c r="G3657">
        <v>1</v>
      </c>
      <c r="H3657">
        <v>3</v>
      </c>
      <c r="I3657">
        <v>5</v>
      </c>
      <c r="J3657">
        <v>2</v>
      </c>
      <c r="K3657">
        <v>2</v>
      </c>
    </row>
    <row r="3658" spans="7:11">
      <c r="G3658">
        <v>2</v>
      </c>
      <c r="H3658">
        <v>1</v>
      </c>
      <c r="I3658">
        <v>3</v>
      </c>
      <c r="J3658">
        <v>1</v>
      </c>
      <c r="K3658">
        <v>1</v>
      </c>
    </row>
    <row r="3659" spans="7:11">
      <c r="G3659">
        <v>2</v>
      </c>
      <c r="H3659">
        <v>1</v>
      </c>
      <c r="I3659">
        <v>3</v>
      </c>
      <c r="J3659">
        <v>2</v>
      </c>
      <c r="K3659">
        <v>2</v>
      </c>
    </row>
    <row r="3660" spans="7:11">
      <c r="G3660">
        <v>2</v>
      </c>
      <c r="H3660">
        <v>1</v>
      </c>
      <c r="I3660">
        <v>4</v>
      </c>
      <c r="J3660">
        <v>1</v>
      </c>
      <c r="K3660">
        <v>1</v>
      </c>
    </row>
    <row r="3661" spans="7:11">
      <c r="G3661">
        <v>2</v>
      </c>
      <c r="H3661">
        <v>1</v>
      </c>
      <c r="I3661">
        <v>4</v>
      </c>
      <c r="J3661">
        <v>2</v>
      </c>
      <c r="K3661">
        <v>2</v>
      </c>
    </row>
    <row r="3662" spans="7:11">
      <c r="G3662">
        <v>2</v>
      </c>
      <c r="H3662">
        <v>1</v>
      </c>
      <c r="I3662">
        <v>5</v>
      </c>
      <c r="J3662">
        <v>1</v>
      </c>
      <c r="K3662">
        <v>1</v>
      </c>
    </row>
    <row r="3663" spans="7:11">
      <c r="G3663">
        <v>2</v>
      </c>
      <c r="H3663">
        <v>1</v>
      </c>
      <c r="I3663">
        <v>5</v>
      </c>
      <c r="J3663">
        <v>2</v>
      </c>
      <c r="K3663">
        <v>2</v>
      </c>
    </row>
    <row r="3664" spans="7:11">
      <c r="G3664">
        <v>2</v>
      </c>
      <c r="H3664">
        <v>2</v>
      </c>
      <c r="I3664">
        <v>1</v>
      </c>
      <c r="J3664">
        <v>1</v>
      </c>
      <c r="K3664">
        <v>1</v>
      </c>
    </row>
    <row r="3665" spans="7:11">
      <c r="G3665">
        <v>2</v>
      </c>
      <c r="H3665">
        <v>2</v>
      </c>
      <c r="I3665">
        <v>1</v>
      </c>
      <c r="J3665">
        <v>2</v>
      </c>
      <c r="K3665">
        <v>2</v>
      </c>
    </row>
    <row r="3666" spans="7:11">
      <c r="G3666">
        <v>2</v>
      </c>
      <c r="H3666">
        <v>2</v>
      </c>
      <c r="I3666">
        <v>2</v>
      </c>
      <c r="J3666">
        <v>1</v>
      </c>
      <c r="K3666">
        <v>1</v>
      </c>
    </row>
    <row r="3667" spans="7:11">
      <c r="G3667">
        <v>2</v>
      </c>
      <c r="H3667">
        <v>2</v>
      </c>
      <c r="I3667">
        <v>2</v>
      </c>
      <c r="J3667">
        <v>2</v>
      </c>
      <c r="K3667">
        <v>2</v>
      </c>
    </row>
    <row r="3668" spans="7:11">
      <c r="G3668">
        <v>2</v>
      </c>
      <c r="H3668">
        <v>2</v>
      </c>
      <c r="I3668">
        <v>3</v>
      </c>
      <c r="J3668">
        <v>1</v>
      </c>
      <c r="K3668">
        <v>1</v>
      </c>
    </row>
    <row r="3669" spans="7:11">
      <c r="G3669">
        <v>2</v>
      </c>
      <c r="H3669">
        <v>2</v>
      </c>
      <c r="I3669">
        <v>3</v>
      </c>
      <c r="J3669">
        <v>2</v>
      </c>
      <c r="K3669">
        <v>2</v>
      </c>
    </row>
    <row r="3670" spans="7:11">
      <c r="G3670">
        <v>2</v>
      </c>
      <c r="H3670">
        <v>2</v>
      </c>
      <c r="I3670">
        <v>4</v>
      </c>
      <c r="J3670">
        <v>1</v>
      </c>
      <c r="K3670">
        <v>1</v>
      </c>
    </row>
    <row r="3671" spans="7:11">
      <c r="G3671">
        <v>2</v>
      </c>
      <c r="H3671">
        <v>2</v>
      </c>
      <c r="I3671">
        <v>4</v>
      </c>
      <c r="J3671">
        <v>2</v>
      </c>
      <c r="K3671">
        <v>2</v>
      </c>
    </row>
    <row r="3672" spans="7:11">
      <c r="G3672">
        <v>2</v>
      </c>
      <c r="H3672">
        <v>2</v>
      </c>
      <c r="I3672">
        <v>5</v>
      </c>
      <c r="J3672">
        <v>1</v>
      </c>
      <c r="K3672">
        <v>1</v>
      </c>
    </row>
    <row r="3673" spans="7:11">
      <c r="G3673">
        <v>2</v>
      </c>
      <c r="H3673">
        <v>2</v>
      </c>
      <c r="I3673">
        <v>5</v>
      </c>
      <c r="J3673">
        <v>2</v>
      </c>
      <c r="K3673">
        <v>2</v>
      </c>
    </row>
    <row r="3674" spans="7:11">
      <c r="G3674">
        <v>2</v>
      </c>
      <c r="H3674">
        <v>3</v>
      </c>
      <c r="I3674">
        <v>1</v>
      </c>
      <c r="J3674">
        <v>1</v>
      </c>
      <c r="K3674">
        <v>1</v>
      </c>
    </row>
    <row r="3675" spans="7:11">
      <c r="G3675">
        <v>2</v>
      </c>
      <c r="H3675">
        <v>3</v>
      </c>
      <c r="I3675">
        <v>1</v>
      </c>
      <c r="J3675">
        <v>2</v>
      </c>
      <c r="K3675">
        <v>2</v>
      </c>
    </row>
    <row r="3676" spans="7:11">
      <c r="G3676">
        <v>2</v>
      </c>
      <c r="H3676">
        <v>3</v>
      </c>
      <c r="I3676">
        <v>2</v>
      </c>
      <c r="J3676">
        <v>1</v>
      </c>
      <c r="K3676">
        <v>1</v>
      </c>
    </row>
    <row r="3677" spans="7:11">
      <c r="G3677">
        <v>2</v>
      </c>
      <c r="H3677">
        <v>3</v>
      </c>
      <c r="I3677">
        <v>2</v>
      </c>
      <c r="J3677">
        <v>2</v>
      </c>
      <c r="K3677">
        <v>2</v>
      </c>
    </row>
    <row r="3678" spans="7:11">
      <c r="G3678">
        <v>2</v>
      </c>
      <c r="H3678">
        <v>3</v>
      </c>
      <c r="I3678">
        <v>3</v>
      </c>
      <c r="J3678">
        <v>1</v>
      </c>
      <c r="K3678">
        <v>1</v>
      </c>
    </row>
    <row r="3679" spans="7:11">
      <c r="G3679">
        <v>2</v>
      </c>
      <c r="H3679">
        <v>3</v>
      </c>
      <c r="I3679">
        <v>3</v>
      </c>
      <c r="J3679">
        <v>2</v>
      </c>
      <c r="K3679">
        <v>2</v>
      </c>
    </row>
    <row r="3680" spans="7:11">
      <c r="G3680">
        <v>2</v>
      </c>
      <c r="H3680">
        <v>3</v>
      </c>
      <c r="I3680">
        <v>4</v>
      </c>
      <c r="J3680">
        <v>1</v>
      </c>
      <c r="K3680">
        <v>1</v>
      </c>
    </row>
    <row r="3681" spans="7:11">
      <c r="G3681">
        <v>2</v>
      </c>
      <c r="H3681">
        <v>3</v>
      </c>
      <c r="I3681">
        <v>4</v>
      </c>
      <c r="J3681">
        <v>2</v>
      </c>
      <c r="K3681">
        <v>2</v>
      </c>
    </row>
    <row r="3682" spans="7:11">
      <c r="G3682">
        <v>2</v>
      </c>
      <c r="H3682">
        <v>3</v>
      </c>
      <c r="I3682">
        <v>5</v>
      </c>
      <c r="J3682">
        <v>1</v>
      </c>
      <c r="K3682">
        <v>1</v>
      </c>
    </row>
    <row r="3683" spans="7:11">
      <c r="G3683">
        <v>2</v>
      </c>
      <c r="H3683">
        <v>3</v>
      </c>
      <c r="I3683">
        <v>5</v>
      </c>
      <c r="J3683">
        <v>2</v>
      </c>
      <c r="K3683">
        <v>2</v>
      </c>
    </row>
    <row r="3684" spans="7:11">
      <c r="G3684">
        <v>3</v>
      </c>
      <c r="H3684">
        <v>1</v>
      </c>
      <c r="I3684">
        <v>3</v>
      </c>
      <c r="J3684">
        <v>1</v>
      </c>
      <c r="K3684">
        <v>1</v>
      </c>
    </row>
    <row r="3685" spans="7:11">
      <c r="G3685">
        <v>3</v>
      </c>
      <c r="H3685">
        <v>1</v>
      </c>
      <c r="I3685">
        <v>3</v>
      </c>
      <c r="J3685">
        <v>2</v>
      </c>
      <c r="K3685">
        <v>2</v>
      </c>
    </row>
    <row r="3686" spans="7:11">
      <c r="G3686">
        <v>3</v>
      </c>
      <c r="H3686">
        <v>1</v>
      </c>
      <c r="I3686">
        <v>4</v>
      </c>
      <c r="J3686">
        <v>1</v>
      </c>
      <c r="K3686">
        <v>1</v>
      </c>
    </row>
    <row r="3687" spans="7:11">
      <c r="G3687">
        <v>3</v>
      </c>
      <c r="H3687">
        <v>1</v>
      </c>
      <c r="I3687">
        <v>4</v>
      </c>
      <c r="J3687">
        <v>2</v>
      </c>
      <c r="K3687">
        <v>2</v>
      </c>
    </row>
    <row r="3688" spans="7:11">
      <c r="G3688">
        <v>3</v>
      </c>
      <c r="H3688">
        <v>1</v>
      </c>
      <c r="I3688">
        <v>5</v>
      </c>
      <c r="J3688">
        <v>1</v>
      </c>
      <c r="K3688">
        <v>1</v>
      </c>
    </row>
    <row r="3689" spans="7:11">
      <c r="G3689">
        <v>3</v>
      </c>
      <c r="H3689">
        <v>1</v>
      </c>
      <c r="I3689">
        <v>5</v>
      </c>
      <c r="J3689">
        <v>2</v>
      </c>
      <c r="K3689">
        <v>2</v>
      </c>
    </row>
    <row r="3690" spans="7:11">
      <c r="G3690">
        <v>3</v>
      </c>
      <c r="H3690">
        <v>2</v>
      </c>
      <c r="I3690">
        <v>1</v>
      </c>
      <c r="J3690">
        <v>1</v>
      </c>
      <c r="K3690">
        <v>1</v>
      </c>
    </row>
    <row r="3691" spans="7:11">
      <c r="G3691">
        <v>3</v>
      </c>
      <c r="H3691">
        <v>2</v>
      </c>
      <c r="I3691">
        <v>1</v>
      </c>
      <c r="J3691">
        <v>2</v>
      </c>
      <c r="K3691">
        <v>2</v>
      </c>
    </row>
    <row r="3692" spans="7:11">
      <c r="G3692">
        <v>3</v>
      </c>
      <c r="H3692">
        <v>2</v>
      </c>
      <c r="I3692">
        <v>2</v>
      </c>
      <c r="J3692">
        <v>1</v>
      </c>
      <c r="K3692">
        <v>1</v>
      </c>
    </row>
    <row r="3693" spans="7:11">
      <c r="G3693">
        <v>3</v>
      </c>
      <c r="H3693">
        <v>2</v>
      </c>
      <c r="I3693">
        <v>2</v>
      </c>
      <c r="J3693">
        <v>2</v>
      </c>
      <c r="K3693">
        <v>2</v>
      </c>
    </row>
    <row r="3694" spans="7:11">
      <c r="G3694">
        <v>3</v>
      </c>
      <c r="H3694">
        <v>2</v>
      </c>
      <c r="I3694">
        <v>3</v>
      </c>
      <c r="J3694">
        <v>1</v>
      </c>
      <c r="K3694">
        <v>1</v>
      </c>
    </row>
    <row r="3695" spans="7:11">
      <c r="G3695">
        <v>3</v>
      </c>
      <c r="H3695">
        <v>2</v>
      </c>
      <c r="I3695">
        <v>3</v>
      </c>
      <c r="J3695">
        <v>2</v>
      </c>
      <c r="K3695">
        <v>2</v>
      </c>
    </row>
    <row r="3696" spans="7:11">
      <c r="G3696">
        <v>3</v>
      </c>
      <c r="H3696">
        <v>2</v>
      </c>
      <c r="I3696">
        <v>4</v>
      </c>
      <c r="J3696">
        <v>1</v>
      </c>
      <c r="K3696">
        <v>1</v>
      </c>
    </row>
    <row r="3697" spans="7:11">
      <c r="G3697">
        <v>3</v>
      </c>
      <c r="H3697">
        <v>2</v>
      </c>
      <c r="I3697">
        <v>4</v>
      </c>
      <c r="J3697">
        <v>2</v>
      </c>
      <c r="K3697">
        <v>2</v>
      </c>
    </row>
    <row r="3698" spans="7:11">
      <c r="G3698">
        <v>3</v>
      </c>
      <c r="H3698">
        <v>2</v>
      </c>
      <c r="I3698">
        <v>5</v>
      </c>
      <c r="J3698">
        <v>1</v>
      </c>
      <c r="K3698">
        <v>1</v>
      </c>
    </row>
    <row r="3699" spans="7:11">
      <c r="G3699">
        <v>3</v>
      </c>
      <c r="H3699">
        <v>2</v>
      </c>
      <c r="I3699">
        <v>5</v>
      </c>
      <c r="J3699">
        <v>2</v>
      </c>
      <c r="K3699">
        <v>2</v>
      </c>
    </row>
    <row r="3700" spans="7:11">
      <c r="G3700">
        <v>3</v>
      </c>
      <c r="H3700">
        <v>3</v>
      </c>
      <c r="I3700">
        <v>1</v>
      </c>
      <c r="J3700">
        <v>1</v>
      </c>
      <c r="K3700">
        <v>1</v>
      </c>
    </row>
    <row r="3701" spans="7:11">
      <c r="G3701">
        <v>3</v>
      </c>
      <c r="H3701">
        <v>3</v>
      </c>
      <c r="I3701">
        <v>1</v>
      </c>
      <c r="J3701">
        <v>2</v>
      </c>
      <c r="K3701">
        <v>2</v>
      </c>
    </row>
    <row r="3702" spans="7:11">
      <c r="G3702">
        <v>3</v>
      </c>
      <c r="H3702">
        <v>3</v>
      </c>
      <c r="I3702">
        <v>2</v>
      </c>
      <c r="J3702">
        <v>1</v>
      </c>
      <c r="K3702">
        <v>1</v>
      </c>
    </row>
    <row r="3703" spans="7:11">
      <c r="G3703">
        <v>3</v>
      </c>
      <c r="H3703">
        <v>3</v>
      </c>
      <c r="I3703">
        <v>2</v>
      </c>
      <c r="J3703">
        <v>2</v>
      </c>
      <c r="K3703">
        <v>2</v>
      </c>
    </row>
    <row r="3704" spans="7:11">
      <c r="G3704">
        <v>3</v>
      </c>
      <c r="H3704">
        <v>3</v>
      </c>
      <c r="I3704">
        <v>3</v>
      </c>
      <c r="J3704">
        <v>1</v>
      </c>
      <c r="K3704">
        <v>1</v>
      </c>
    </row>
    <row r="3705" spans="7:11">
      <c r="G3705">
        <v>3</v>
      </c>
      <c r="H3705">
        <v>3</v>
      </c>
      <c r="I3705">
        <v>3</v>
      </c>
      <c r="J3705">
        <v>2</v>
      </c>
      <c r="K3705">
        <v>2</v>
      </c>
    </row>
    <row r="3706" spans="7:11">
      <c r="G3706">
        <v>3</v>
      </c>
      <c r="H3706">
        <v>3</v>
      </c>
      <c r="I3706">
        <v>4</v>
      </c>
      <c r="J3706">
        <v>1</v>
      </c>
      <c r="K3706">
        <v>1</v>
      </c>
    </row>
    <row r="3707" spans="7:11">
      <c r="G3707">
        <v>3</v>
      </c>
      <c r="H3707">
        <v>3</v>
      </c>
      <c r="I3707">
        <v>4</v>
      </c>
      <c r="J3707">
        <v>2</v>
      </c>
      <c r="K3707">
        <v>2</v>
      </c>
    </row>
    <row r="3708" spans="7:11">
      <c r="G3708">
        <v>3</v>
      </c>
      <c r="H3708">
        <v>3</v>
      </c>
      <c r="I3708">
        <v>5</v>
      </c>
      <c r="J3708">
        <v>1</v>
      </c>
      <c r="K3708">
        <v>1</v>
      </c>
    </row>
    <row r="3709" spans="7:11">
      <c r="G3709">
        <v>3</v>
      </c>
      <c r="H3709">
        <v>3</v>
      </c>
      <c r="I3709">
        <v>5</v>
      </c>
      <c r="J3709">
        <v>2</v>
      </c>
      <c r="K3709">
        <v>2</v>
      </c>
    </row>
    <row r="3710" spans="7:11">
      <c r="G3710">
        <v>4</v>
      </c>
      <c r="H3710">
        <v>1</v>
      </c>
      <c r="I3710">
        <v>3</v>
      </c>
      <c r="J3710">
        <v>1</v>
      </c>
      <c r="K3710">
        <v>1</v>
      </c>
    </row>
    <row r="3711" spans="7:11">
      <c r="G3711">
        <v>4</v>
      </c>
      <c r="H3711">
        <v>1</v>
      </c>
      <c r="I3711">
        <v>3</v>
      </c>
      <c r="J3711">
        <v>2</v>
      </c>
      <c r="K3711">
        <v>2</v>
      </c>
    </row>
    <row r="3712" spans="7:11">
      <c r="G3712">
        <v>4</v>
      </c>
      <c r="H3712">
        <v>1</v>
      </c>
      <c r="I3712">
        <v>4</v>
      </c>
      <c r="J3712">
        <v>1</v>
      </c>
      <c r="K3712">
        <v>1</v>
      </c>
    </row>
    <row r="3713" spans="7:11">
      <c r="G3713">
        <v>4</v>
      </c>
      <c r="H3713">
        <v>1</v>
      </c>
      <c r="I3713">
        <v>4</v>
      </c>
      <c r="J3713">
        <v>2</v>
      </c>
      <c r="K3713">
        <v>2</v>
      </c>
    </row>
    <row r="3714" spans="7:11">
      <c r="G3714">
        <v>4</v>
      </c>
      <c r="H3714">
        <v>1</v>
      </c>
      <c r="I3714">
        <v>5</v>
      </c>
      <c r="J3714">
        <v>1</v>
      </c>
      <c r="K3714">
        <v>1</v>
      </c>
    </row>
    <row r="3715" spans="7:11">
      <c r="G3715">
        <v>4</v>
      </c>
      <c r="H3715">
        <v>1</v>
      </c>
      <c r="I3715">
        <v>5</v>
      </c>
      <c r="J3715">
        <v>2</v>
      </c>
      <c r="K3715">
        <v>2</v>
      </c>
    </row>
    <row r="3716" spans="7:11">
      <c r="G3716">
        <v>4</v>
      </c>
      <c r="H3716">
        <v>2</v>
      </c>
      <c r="I3716">
        <v>1</v>
      </c>
      <c r="J3716">
        <v>1</v>
      </c>
      <c r="K3716">
        <v>1</v>
      </c>
    </row>
    <row r="3717" spans="7:11">
      <c r="G3717">
        <v>4</v>
      </c>
      <c r="H3717">
        <v>2</v>
      </c>
      <c r="I3717">
        <v>1</v>
      </c>
      <c r="J3717">
        <v>2</v>
      </c>
      <c r="K3717">
        <v>2</v>
      </c>
    </row>
    <row r="3718" spans="7:11">
      <c r="G3718">
        <v>4</v>
      </c>
      <c r="H3718">
        <v>2</v>
      </c>
      <c r="I3718">
        <v>2</v>
      </c>
      <c r="J3718">
        <v>1</v>
      </c>
      <c r="K3718">
        <v>1</v>
      </c>
    </row>
    <row r="3719" spans="7:11">
      <c r="G3719">
        <v>4</v>
      </c>
      <c r="H3719">
        <v>2</v>
      </c>
      <c r="I3719">
        <v>2</v>
      </c>
      <c r="J3719">
        <v>2</v>
      </c>
      <c r="K3719">
        <v>2</v>
      </c>
    </row>
    <row r="3720" spans="7:11">
      <c r="G3720">
        <v>4</v>
      </c>
      <c r="H3720">
        <v>2</v>
      </c>
      <c r="I3720">
        <v>3</v>
      </c>
      <c r="J3720">
        <v>1</v>
      </c>
      <c r="K3720">
        <v>1</v>
      </c>
    </row>
    <row r="3721" spans="7:11">
      <c r="G3721">
        <v>4</v>
      </c>
      <c r="H3721">
        <v>2</v>
      </c>
      <c r="I3721">
        <v>3</v>
      </c>
      <c r="J3721">
        <v>2</v>
      </c>
      <c r="K3721">
        <v>2</v>
      </c>
    </row>
    <row r="3722" spans="7:11">
      <c r="G3722">
        <v>4</v>
      </c>
      <c r="H3722">
        <v>2</v>
      </c>
      <c r="I3722">
        <v>4</v>
      </c>
      <c r="J3722">
        <v>1</v>
      </c>
      <c r="K3722">
        <v>1</v>
      </c>
    </row>
    <row r="3723" spans="7:11">
      <c r="G3723">
        <v>4</v>
      </c>
      <c r="H3723">
        <v>2</v>
      </c>
      <c r="I3723">
        <v>4</v>
      </c>
      <c r="J3723">
        <v>2</v>
      </c>
      <c r="K3723">
        <v>2</v>
      </c>
    </row>
    <row r="3724" spans="7:11">
      <c r="G3724">
        <v>4</v>
      </c>
      <c r="H3724">
        <v>2</v>
      </c>
      <c r="I3724">
        <v>5</v>
      </c>
      <c r="J3724">
        <v>1</v>
      </c>
      <c r="K3724">
        <v>1</v>
      </c>
    </row>
    <row r="3725" spans="7:11">
      <c r="G3725">
        <v>4</v>
      </c>
      <c r="H3725">
        <v>2</v>
      </c>
      <c r="I3725">
        <v>5</v>
      </c>
      <c r="J3725">
        <v>2</v>
      </c>
      <c r="K3725">
        <v>2</v>
      </c>
    </row>
    <row r="3726" spans="7:11">
      <c r="G3726">
        <v>4</v>
      </c>
      <c r="H3726">
        <v>3</v>
      </c>
      <c r="I3726">
        <v>1</v>
      </c>
      <c r="J3726">
        <v>1</v>
      </c>
      <c r="K3726">
        <v>1</v>
      </c>
    </row>
    <row r="3727" spans="7:11">
      <c r="G3727">
        <v>4</v>
      </c>
      <c r="H3727">
        <v>3</v>
      </c>
      <c r="I3727">
        <v>1</v>
      </c>
      <c r="J3727">
        <v>2</v>
      </c>
      <c r="K3727">
        <v>2</v>
      </c>
    </row>
    <row r="3728" spans="7:11">
      <c r="G3728">
        <v>4</v>
      </c>
      <c r="H3728">
        <v>3</v>
      </c>
      <c r="I3728">
        <v>2</v>
      </c>
      <c r="J3728">
        <v>1</v>
      </c>
      <c r="K3728">
        <v>1</v>
      </c>
    </row>
    <row r="3729" spans="7:11">
      <c r="G3729">
        <v>4</v>
      </c>
      <c r="H3729">
        <v>3</v>
      </c>
      <c r="I3729">
        <v>2</v>
      </c>
      <c r="J3729">
        <v>2</v>
      </c>
      <c r="K3729">
        <v>2</v>
      </c>
    </row>
    <row r="3730" spans="7:11">
      <c r="G3730">
        <v>4</v>
      </c>
      <c r="H3730">
        <v>3</v>
      </c>
      <c r="I3730">
        <v>3</v>
      </c>
      <c r="J3730">
        <v>1</v>
      </c>
      <c r="K3730">
        <v>1</v>
      </c>
    </row>
    <row r="3731" spans="7:11">
      <c r="G3731">
        <v>4</v>
      </c>
      <c r="H3731">
        <v>3</v>
      </c>
      <c r="I3731">
        <v>3</v>
      </c>
      <c r="J3731">
        <v>2</v>
      </c>
      <c r="K3731">
        <v>2</v>
      </c>
    </row>
    <row r="3732" spans="7:11">
      <c r="G3732">
        <v>4</v>
      </c>
      <c r="H3732">
        <v>3</v>
      </c>
      <c r="I3732">
        <v>4</v>
      </c>
      <c r="J3732">
        <v>1</v>
      </c>
      <c r="K3732">
        <v>1</v>
      </c>
    </row>
    <row r="3733" spans="7:11">
      <c r="G3733">
        <v>4</v>
      </c>
      <c r="H3733">
        <v>3</v>
      </c>
      <c r="I3733">
        <v>4</v>
      </c>
      <c r="J3733">
        <v>2</v>
      </c>
      <c r="K3733">
        <v>2</v>
      </c>
    </row>
    <row r="3734" spans="7:11">
      <c r="G3734">
        <v>4</v>
      </c>
      <c r="H3734">
        <v>3</v>
      </c>
      <c r="I3734">
        <v>5</v>
      </c>
      <c r="J3734">
        <v>1</v>
      </c>
      <c r="K3734">
        <v>1</v>
      </c>
    </row>
    <row r="3735" spans="7:11">
      <c r="G3735">
        <v>4</v>
      </c>
      <c r="H3735">
        <v>3</v>
      </c>
      <c r="I3735">
        <v>5</v>
      </c>
      <c r="J3735">
        <v>2</v>
      </c>
      <c r="K3735">
        <v>2</v>
      </c>
    </row>
    <row r="3736" spans="7:11">
      <c r="G3736">
        <v>1</v>
      </c>
      <c r="H3736">
        <v>2</v>
      </c>
      <c r="I3736">
        <v>1</v>
      </c>
      <c r="J3736">
        <v>1</v>
      </c>
      <c r="K3736">
        <v>1</v>
      </c>
    </row>
    <row r="3737" spans="7:11">
      <c r="G3737">
        <v>1</v>
      </c>
      <c r="H3737">
        <v>2</v>
      </c>
      <c r="I3737">
        <v>1</v>
      </c>
      <c r="J3737">
        <v>2</v>
      </c>
      <c r="K3737">
        <v>2</v>
      </c>
    </row>
    <row r="3738" spans="7:11">
      <c r="G3738">
        <v>1</v>
      </c>
      <c r="H3738">
        <v>2</v>
      </c>
      <c r="I3738">
        <v>2</v>
      </c>
      <c r="J3738">
        <v>1</v>
      </c>
      <c r="K3738">
        <v>1</v>
      </c>
    </row>
    <row r="3739" spans="7:11">
      <c r="G3739">
        <v>1</v>
      </c>
      <c r="H3739">
        <v>2</v>
      </c>
      <c r="I3739">
        <v>2</v>
      </c>
      <c r="J3739">
        <v>2</v>
      </c>
      <c r="K3739">
        <v>2</v>
      </c>
    </row>
    <row r="3740" spans="7:11">
      <c r="G3740">
        <v>1</v>
      </c>
      <c r="H3740">
        <v>2</v>
      </c>
      <c r="I3740">
        <v>3</v>
      </c>
      <c r="J3740">
        <v>1</v>
      </c>
      <c r="K3740">
        <v>1</v>
      </c>
    </row>
    <row r="3741" spans="7:11">
      <c r="G3741">
        <v>1</v>
      </c>
      <c r="H3741">
        <v>2</v>
      </c>
      <c r="I3741">
        <v>3</v>
      </c>
      <c r="J3741">
        <v>2</v>
      </c>
      <c r="K3741">
        <v>2</v>
      </c>
    </row>
    <row r="3742" spans="7:11">
      <c r="G3742">
        <v>1</v>
      </c>
      <c r="H3742">
        <v>2</v>
      </c>
      <c r="I3742">
        <v>4</v>
      </c>
      <c r="J3742">
        <v>1</v>
      </c>
      <c r="K3742">
        <v>1</v>
      </c>
    </row>
    <row r="3743" spans="7:11">
      <c r="G3743">
        <v>1</v>
      </c>
      <c r="H3743">
        <v>2</v>
      </c>
      <c r="I3743">
        <v>4</v>
      </c>
      <c r="J3743">
        <v>2</v>
      </c>
      <c r="K3743">
        <v>2</v>
      </c>
    </row>
    <row r="3744" spans="7:11">
      <c r="G3744">
        <v>1</v>
      </c>
      <c r="H3744">
        <v>2</v>
      </c>
      <c r="I3744">
        <v>5</v>
      </c>
      <c r="J3744">
        <v>1</v>
      </c>
      <c r="K3744">
        <v>1</v>
      </c>
    </row>
    <row r="3745" spans="7:11">
      <c r="G3745">
        <v>1</v>
      </c>
      <c r="H3745">
        <v>2</v>
      </c>
      <c r="I3745">
        <v>5</v>
      </c>
      <c r="J3745">
        <v>2</v>
      </c>
      <c r="K3745">
        <v>2</v>
      </c>
    </row>
    <row r="3746" spans="7:11">
      <c r="G3746">
        <v>1</v>
      </c>
      <c r="H3746">
        <v>3</v>
      </c>
      <c r="I3746">
        <v>1</v>
      </c>
      <c r="J3746">
        <v>1</v>
      </c>
      <c r="K3746">
        <v>1</v>
      </c>
    </row>
    <row r="3747" spans="7:11">
      <c r="G3747">
        <v>1</v>
      </c>
      <c r="H3747">
        <v>3</v>
      </c>
      <c r="I3747">
        <v>1</v>
      </c>
      <c r="J3747">
        <v>2</v>
      </c>
      <c r="K3747">
        <v>2</v>
      </c>
    </row>
    <row r="3748" spans="7:11">
      <c r="G3748">
        <v>1</v>
      </c>
      <c r="H3748">
        <v>3</v>
      </c>
      <c r="I3748">
        <v>2</v>
      </c>
      <c r="J3748">
        <v>1</v>
      </c>
      <c r="K3748">
        <v>1</v>
      </c>
    </row>
    <row r="3749" spans="7:11">
      <c r="G3749">
        <v>1</v>
      </c>
      <c r="H3749">
        <v>3</v>
      </c>
      <c r="I3749">
        <v>2</v>
      </c>
      <c r="J3749">
        <v>2</v>
      </c>
      <c r="K3749">
        <v>2</v>
      </c>
    </row>
    <row r="3750" spans="7:11">
      <c r="G3750">
        <v>1</v>
      </c>
      <c r="H3750">
        <v>3</v>
      </c>
      <c r="I3750">
        <v>3</v>
      </c>
      <c r="J3750">
        <v>1</v>
      </c>
      <c r="K3750">
        <v>1</v>
      </c>
    </row>
    <row r="3751" spans="7:11">
      <c r="G3751">
        <v>1</v>
      </c>
      <c r="H3751">
        <v>3</v>
      </c>
      <c r="I3751">
        <v>3</v>
      </c>
      <c r="J3751">
        <v>2</v>
      </c>
      <c r="K3751">
        <v>2</v>
      </c>
    </row>
    <row r="3752" spans="7:11">
      <c r="G3752">
        <v>1</v>
      </c>
      <c r="H3752">
        <v>3</v>
      </c>
      <c r="I3752">
        <v>4</v>
      </c>
      <c r="J3752">
        <v>1</v>
      </c>
      <c r="K3752">
        <v>1</v>
      </c>
    </row>
    <row r="3753" spans="7:11">
      <c r="G3753">
        <v>1</v>
      </c>
      <c r="H3753">
        <v>3</v>
      </c>
      <c r="I3753">
        <v>4</v>
      </c>
      <c r="J3753">
        <v>2</v>
      </c>
      <c r="K3753">
        <v>2</v>
      </c>
    </row>
    <row r="3754" spans="7:11">
      <c r="G3754">
        <v>1</v>
      </c>
      <c r="H3754">
        <v>3</v>
      </c>
      <c r="I3754">
        <v>5</v>
      </c>
      <c r="J3754">
        <v>1</v>
      </c>
      <c r="K3754">
        <v>1</v>
      </c>
    </row>
    <row r="3755" spans="7:11">
      <c r="G3755">
        <v>1</v>
      </c>
      <c r="H3755">
        <v>3</v>
      </c>
      <c r="I3755">
        <v>5</v>
      </c>
      <c r="J3755">
        <v>2</v>
      </c>
      <c r="K3755">
        <v>2</v>
      </c>
    </row>
    <row r="3756" spans="7:11">
      <c r="G3756">
        <v>2</v>
      </c>
      <c r="H3756">
        <v>1</v>
      </c>
      <c r="I3756">
        <v>3</v>
      </c>
      <c r="J3756">
        <v>1</v>
      </c>
      <c r="K3756">
        <v>1</v>
      </c>
    </row>
    <row r="3757" spans="7:11">
      <c r="G3757">
        <v>2</v>
      </c>
      <c r="H3757">
        <v>1</v>
      </c>
      <c r="I3757">
        <v>3</v>
      </c>
      <c r="J3757">
        <v>2</v>
      </c>
      <c r="K3757">
        <v>2</v>
      </c>
    </row>
    <row r="3758" spans="7:11">
      <c r="G3758">
        <v>2</v>
      </c>
      <c r="H3758">
        <v>1</v>
      </c>
      <c r="I3758">
        <v>4</v>
      </c>
      <c r="J3758">
        <v>1</v>
      </c>
      <c r="K3758">
        <v>1</v>
      </c>
    </row>
    <row r="3759" spans="7:11">
      <c r="G3759">
        <v>2</v>
      </c>
      <c r="H3759">
        <v>1</v>
      </c>
      <c r="I3759">
        <v>4</v>
      </c>
      <c r="J3759">
        <v>2</v>
      </c>
      <c r="K3759">
        <v>2</v>
      </c>
    </row>
    <row r="3760" spans="7:11">
      <c r="G3760">
        <v>2</v>
      </c>
      <c r="H3760">
        <v>1</v>
      </c>
      <c r="I3760">
        <v>5</v>
      </c>
      <c r="J3760">
        <v>1</v>
      </c>
      <c r="K3760">
        <v>1</v>
      </c>
    </row>
    <row r="3761" spans="7:11">
      <c r="G3761">
        <v>2</v>
      </c>
      <c r="H3761">
        <v>1</v>
      </c>
      <c r="I3761">
        <v>5</v>
      </c>
      <c r="J3761">
        <v>2</v>
      </c>
      <c r="K3761">
        <v>2</v>
      </c>
    </row>
    <row r="3762" spans="7:11">
      <c r="G3762">
        <v>2</v>
      </c>
      <c r="H3762">
        <v>2</v>
      </c>
      <c r="I3762">
        <v>1</v>
      </c>
      <c r="J3762">
        <v>1</v>
      </c>
      <c r="K3762">
        <v>1</v>
      </c>
    </row>
    <row r="3763" spans="7:11">
      <c r="G3763">
        <v>2</v>
      </c>
      <c r="H3763">
        <v>2</v>
      </c>
      <c r="I3763">
        <v>1</v>
      </c>
      <c r="J3763">
        <v>2</v>
      </c>
      <c r="K3763">
        <v>2</v>
      </c>
    </row>
    <row r="3764" spans="7:11">
      <c r="G3764">
        <v>2</v>
      </c>
      <c r="H3764">
        <v>2</v>
      </c>
      <c r="I3764">
        <v>2</v>
      </c>
      <c r="J3764">
        <v>1</v>
      </c>
      <c r="K3764">
        <v>1</v>
      </c>
    </row>
    <row r="3765" spans="7:11">
      <c r="G3765">
        <v>2</v>
      </c>
      <c r="H3765">
        <v>2</v>
      </c>
      <c r="I3765">
        <v>2</v>
      </c>
      <c r="J3765">
        <v>2</v>
      </c>
      <c r="K3765">
        <v>2</v>
      </c>
    </row>
    <row r="3766" spans="7:11">
      <c r="G3766">
        <v>2</v>
      </c>
      <c r="H3766">
        <v>2</v>
      </c>
      <c r="I3766">
        <v>3</v>
      </c>
      <c r="J3766">
        <v>1</v>
      </c>
      <c r="K3766">
        <v>1</v>
      </c>
    </row>
    <row r="3767" spans="7:11">
      <c r="G3767">
        <v>2</v>
      </c>
      <c r="H3767">
        <v>2</v>
      </c>
      <c r="I3767">
        <v>3</v>
      </c>
      <c r="J3767">
        <v>2</v>
      </c>
      <c r="K3767">
        <v>2</v>
      </c>
    </row>
    <row r="3768" spans="7:11">
      <c r="G3768">
        <v>2</v>
      </c>
      <c r="H3768">
        <v>2</v>
      </c>
      <c r="I3768">
        <v>4</v>
      </c>
      <c r="J3768">
        <v>1</v>
      </c>
      <c r="K3768">
        <v>1</v>
      </c>
    </row>
    <row r="3769" spans="7:11">
      <c r="G3769">
        <v>2</v>
      </c>
      <c r="H3769">
        <v>2</v>
      </c>
      <c r="I3769">
        <v>4</v>
      </c>
      <c r="J3769">
        <v>2</v>
      </c>
      <c r="K3769">
        <v>2</v>
      </c>
    </row>
    <row r="3770" spans="7:11">
      <c r="G3770">
        <v>2</v>
      </c>
      <c r="H3770">
        <v>2</v>
      </c>
      <c r="I3770">
        <v>5</v>
      </c>
      <c r="J3770">
        <v>1</v>
      </c>
      <c r="K3770">
        <v>1</v>
      </c>
    </row>
    <row r="3771" spans="7:11">
      <c r="G3771">
        <v>2</v>
      </c>
      <c r="H3771">
        <v>2</v>
      </c>
      <c r="I3771">
        <v>5</v>
      </c>
      <c r="J3771">
        <v>2</v>
      </c>
      <c r="K3771">
        <v>2</v>
      </c>
    </row>
    <row r="3772" spans="7:11">
      <c r="G3772">
        <v>2</v>
      </c>
      <c r="H3772">
        <v>3</v>
      </c>
      <c r="I3772">
        <v>1</v>
      </c>
      <c r="J3772">
        <v>1</v>
      </c>
      <c r="K3772">
        <v>1</v>
      </c>
    </row>
    <row r="3773" spans="7:11">
      <c r="G3773">
        <v>2</v>
      </c>
      <c r="H3773">
        <v>3</v>
      </c>
      <c r="I3773">
        <v>1</v>
      </c>
      <c r="J3773">
        <v>2</v>
      </c>
      <c r="K3773">
        <v>2</v>
      </c>
    </row>
    <row r="3774" spans="7:11">
      <c r="G3774">
        <v>2</v>
      </c>
      <c r="H3774">
        <v>3</v>
      </c>
      <c r="I3774">
        <v>2</v>
      </c>
      <c r="J3774">
        <v>1</v>
      </c>
      <c r="K3774">
        <v>1</v>
      </c>
    </row>
    <row r="3775" spans="7:11">
      <c r="G3775">
        <v>2</v>
      </c>
      <c r="H3775">
        <v>3</v>
      </c>
      <c r="I3775">
        <v>2</v>
      </c>
      <c r="J3775">
        <v>2</v>
      </c>
      <c r="K3775">
        <v>2</v>
      </c>
    </row>
    <row r="3776" spans="7:11">
      <c r="G3776">
        <v>2</v>
      </c>
      <c r="H3776">
        <v>3</v>
      </c>
      <c r="I3776">
        <v>3</v>
      </c>
      <c r="J3776">
        <v>1</v>
      </c>
      <c r="K3776">
        <v>1</v>
      </c>
    </row>
    <row r="3777" spans="7:11">
      <c r="G3777">
        <v>2</v>
      </c>
      <c r="H3777">
        <v>3</v>
      </c>
      <c r="I3777">
        <v>3</v>
      </c>
      <c r="J3777">
        <v>2</v>
      </c>
      <c r="K3777">
        <v>2</v>
      </c>
    </row>
    <row r="3778" spans="7:11">
      <c r="G3778">
        <v>2</v>
      </c>
      <c r="H3778">
        <v>3</v>
      </c>
      <c r="I3778">
        <v>4</v>
      </c>
      <c r="J3778">
        <v>1</v>
      </c>
      <c r="K3778">
        <v>1</v>
      </c>
    </row>
    <row r="3779" spans="7:11">
      <c r="G3779">
        <v>2</v>
      </c>
      <c r="H3779">
        <v>3</v>
      </c>
      <c r="I3779">
        <v>4</v>
      </c>
      <c r="J3779">
        <v>2</v>
      </c>
      <c r="K3779">
        <v>2</v>
      </c>
    </row>
    <row r="3780" spans="7:11">
      <c r="G3780">
        <v>2</v>
      </c>
      <c r="H3780">
        <v>3</v>
      </c>
      <c r="I3780">
        <v>5</v>
      </c>
      <c r="J3780">
        <v>1</v>
      </c>
      <c r="K3780">
        <v>1</v>
      </c>
    </row>
    <row r="3781" spans="7:11">
      <c r="G3781">
        <v>2</v>
      </c>
      <c r="H3781">
        <v>3</v>
      </c>
      <c r="I3781">
        <v>5</v>
      </c>
      <c r="J3781">
        <v>2</v>
      </c>
      <c r="K3781">
        <v>2</v>
      </c>
    </row>
    <row r="3782" spans="7:11">
      <c r="G3782">
        <v>3</v>
      </c>
      <c r="H3782">
        <v>1</v>
      </c>
      <c r="I3782">
        <v>3</v>
      </c>
      <c r="J3782">
        <v>1</v>
      </c>
      <c r="K3782">
        <v>1</v>
      </c>
    </row>
    <row r="3783" spans="7:11">
      <c r="G3783">
        <v>3</v>
      </c>
      <c r="H3783">
        <v>1</v>
      </c>
      <c r="I3783">
        <v>3</v>
      </c>
      <c r="J3783">
        <v>2</v>
      </c>
      <c r="K3783">
        <v>2</v>
      </c>
    </row>
    <row r="3784" spans="7:11">
      <c r="G3784">
        <v>3</v>
      </c>
      <c r="H3784">
        <v>1</v>
      </c>
      <c r="I3784">
        <v>4</v>
      </c>
      <c r="J3784">
        <v>1</v>
      </c>
      <c r="K3784">
        <v>1</v>
      </c>
    </row>
    <row r="3785" spans="7:11">
      <c r="G3785">
        <v>3</v>
      </c>
      <c r="H3785">
        <v>1</v>
      </c>
      <c r="I3785">
        <v>4</v>
      </c>
      <c r="J3785">
        <v>2</v>
      </c>
      <c r="K3785">
        <v>2</v>
      </c>
    </row>
    <row r="3786" spans="7:11">
      <c r="G3786">
        <v>3</v>
      </c>
      <c r="H3786">
        <v>1</v>
      </c>
      <c r="I3786">
        <v>5</v>
      </c>
      <c r="J3786">
        <v>1</v>
      </c>
      <c r="K3786">
        <v>1</v>
      </c>
    </row>
    <row r="3787" spans="7:11">
      <c r="G3787">
        <v>3</v>
      </c>
      <c r="H3787">
        <v>1</v>
      </c>
      <c r="I3787">
        <v>5</v>
      </c>
      <c r="J3787">
        <v>2</v>
      </c>
      <c r="K3787">
        <v>2</v>
      </c>
    </row>
    <row r="3788" spans="7:11">
      <c r="G3788">
        <v>3</v>
      </c>
      <c r="H3788">
        <v>2</v>
      </c>
      <c r="I3788">
        <v>1</v>
      </c>
      <c r="J3788">
        <v>1</v>
      </c>
      <c r="K3788">
        <v>1</v>
      </c>
    </row>
    <row r="3789" spans="7:11">
      <c r="G3789">
        <v>3</v>
      </c>
      <c r="H3789">
        <v>2</v>
      </c>
      <c r="I3789">
        <v>1</v>
      </c>
      <c r="J3789">
        <v>2</v>
      </c>
      <c r="K3789">
        <v>2</v>
      </c>
    </row>
    <row r="3790" spans="7:11">
      <c r="G3790">
        <v>3</v>
      </c>
      <c r="H3790">
        <v>2</v>
      </c>
      <c r="I3790">
        <v>2</v>
      </c>
      <c r="J3790">
        <v>1</v>
      </c>
      <c r="K3790">
        <v>1</v>
      </c>
    </row>
    <row r="3791" spans="7:11">
      <c r="G3791">
        <v>3</v>
      </c>
      <c r="H3791">
        <v>2</v>
      </c>
      <c r="I3791">
        <v>2</v>
      </c>
      <c r="J3791">
        <v>2</v>
      </c>
      <c r="K3791">
        <v>2</v>
      </c>
    </row>
    <row r="3792" spans="7:11">
      <c r="G3792">
        <v>3</v>
      </c>
      <c r="H3792">
        <v>2</v>
      </c>
      <c r="I3792">
        <v>3</v>
      </c>
      <c r="J3792">
        <v>1</v>
      </c>
      <c r="K3792">
        <v>1</v>
      </c>
    </row>
    <row r="3793" spans="7:11">
      <c r="G3793">
        <v>3</v>
      </c>
      <c r="H3793">
        <v>2</v>
      </c>
      <c r="I3793">
        <v>3</v>
      </c>
      <c r="J3793">
        <v>2</v>
      </c>
      <c r="K3793">
        <v>2</v>
      </c>
    </row>
    <row r="3794" spans="7:11">
      <c r="G3794">
        <v>3</v>
      </c>
      <c r="H3794">
        <v>2</v>
      </c>
      <c r="I3794">
        <v>4</v>
      </c>
      <c r="J3794">
        <v>1</v>
      </c>
      <c r="K3794">
        <v>1</v>
      </c>
    </row>
    <row r="3795" spans="7:11">
      <c r="G3795">
        <v>3</v>
      </c>
      <c r="H3795">
        <v>2</v>
      </c>
      <c r="I3795">
        <v>4</v>
      </c>
      <c r="J3795">
        <v>2</v>
      </c>
      <c r="K3795">
        <v>2</v>
      </c>
    </row>
    <row r="3796" spans="7:11">
      <c r="G3796">
        <v>3</v>
      </c>
      <c r="H3796">
        <v>2</v>
      </c>
      <c r="I3796">
        <v>5</v>
      </c>
      <c r="J3796">
        <v>1</v>
      </c>
      <c r="K3796">
        <v>1</v>
      </c>
    </row>
    <row r="3797" spans="7:11">
      <c r="G3797">
        <v>3</v>
      </c>
      <c r="H3797">
        <v>2</v>
      </c>
      <c r="I3797">
        <v>5</v>
      </c>
      <c r="J3797">
        <v>2</v>
      </c>
      <c r="K3797">
        <v>2</v>
      </c>
    </row>
    <row r="3798" spans="7:11">
      <c r="G3798">
        <v>3</v>
      </c>
      <c r="H3798">
        <v>3</v>
      </c>
      <c r="I3798">
        <v>1</v>
      </c>
      <c r="J3798">
        <v>1</v>
      </c>
      <c r="K3798">
        <v>1</v>
      </c>
    </row>
    <row r="3799" spans="7:11">
      <c r="G3799">
        <v>3</v>
      </c>
      <c r="H3799">
        <v>3</v>
      </c>
      <c r="I3799">
        <v>1</v>
      </c>
      <c r="J3799">
        <v>2</v>
      </c>
      <c r="K3799">
        <v>2</v>
      </c>
    </row>
    <row r="3800" spans="7:11">
      <c r="G3800">
        <v>3</v>
      </c>
      <c r="H3800">
        <v>3</v>
      </c>
      <c r="I3800">
        <v>2</v>
      </c>
      <c r="J3800">
        <v>1</v>
      </c>
      <c r="K3800">
        <v>1</v>
      </c>
    </row>
    <row r="3801" spans="7:11">
      <c r="G3801">
        <v>3</v>
      </c>
      <c r="H3801">
        <v>3</v>
      </c>
      <c r="I3801">
        <v>2</v>
      </c>
      <c r="J3801">
        <v>2</v>
      </c>
      <c r="K3801">
        <v>2</v>
      </c>
    </row>
    <row r="3802" spans="7:11">
      <c r="G3802">
        <v>3</v>
      </c>
      <c r="H3802">
        <v>3</v>
      </c>
      <c r="I3802">
        <v>3</v>
      </c>
      <c r="J3802">
        <v>1</v>
      </c>
      <c r="K3802">
        <v>1</v>
      </c>
    </row>
    <row r="3803" spans="7:11">
      <c r="G3803">
        <v>3</v>
      </c>
      <c r="H3803">
        <v>3</v>
      </c>
      <c r="I3803">
        <v>3</v>
      </c>
      <c r="J3803">
        <v>2</v>
      </c>
      <c r="K3803">
        <v>2</v>
      </c>
    </row>
    <row r="3804" spans="7:11">
      <c r="G3804">
        <v>3</v>
      </c>
      <c r="H3804">
        <v>3</v>
      </c>
      <c r="I3804">
        <v>4</v>
      </c>
      <c r="J3804">
        <v>1</v>
      </c>
      <c r="K3804">
        <v>1</v>
      </c>
    </row>
    <row r="3805" spans="7:11">
      <c r="G3805">
        <v>3</v>
      </c>
      <c r="H3805">
        <v>3</v>
      </c>
      <c r="I3805">
        <v>4</v>
      </c>
      <c r="J3805">
        <v>2</v>
      </c>
      <c r="K3805">
        <v>2</v>
      </c>
    </row>
    <row r="3806" spans="7:11">
      <c r="G3806">
        <v>3</v>
      </c>
      <c r="H3806">
        <v>3</v>
      </c>
      <c r="I3806">
        <v>5</v>
      </c>
      <c r="J3806">
        <v>1</v>
      </c>
      <c r="K3806">
        <v>1</v>
      </c>
    </row>
    <row r="3807" spans="7:11">
      <c r="G3807">
        <v>3</v>
      </c>
      <c r="H3807">
        <v>3</v>
      </c>
      <c r="I3807">
        <v>5</v>
      </c>
      <c r="J3807">
        <v>2</v>
      </c>
      <c r="K3807">
        <v>2</v>
      </c>
    </row>
    <row r="3808" spans="7:11">
      <c r="G3808">
        <v>4</v>
      </c>
      <c r="H3808">
        <v>1</v>
      </c>
      <c r="I3808">
        <v>3</v>
      </c>
      <c r="J3808">
        <v>1</v>
      </c>
      <c r="K3808">
        <v>1</v>
      </c>
    </row>
    <row r="3809" spans="7:11">
      <c r="G3809">
        <v>4</v>
      </c>
      <c r="H3809">
        <v>1</v>
      </c>
      <c r="I3809">
        <v>3</v>
      </c>
      <c r="J3809">
        <v>2</v>
      </c>
      <c r="K3809">
        <v>2</v>
      </c>
    </row>
    <row r="3810" spans="7:11">
      <c r="G3810">
        <v>4</v>
      </c>
      <c r="H3810">
        <v>1</v>
      </c>
      <c r="I3810">
        <v>4</v>
      </c>
      <c r="J3810">
        <v>1</v>
      </c>
      <c r="K3810">
        <v>1</v>
      </c>
    </row>
    <row r="3811" spans="7:11">
      <c r="G3811">
        <v>4</v>
      </c>
      <c r="H3811">
        <v>1</v>
      </c>
      <c r="I3811">
        <v>4</v>
      </c>
      <c r="J3811">
        <v>2</v>
      </c>
      <c r="K3811">
        <v>2</v>
      </c>
    </row>
    <row r="3812" spans="7:11">
      <c r="G3812">
        <v>4</v>
      </c>
      <c r="H3812">
        <v>1</v>
      </c>
      <c r="I3812">
        <v>5</v>
      </c>
      <c r="J3812">
        <v>1</v>
      </c>
      <c r="K3812">
        <v>1</v>
      </c>
    </row>
    <row r="3813" spans="7:11">
      <c r="G3813">
        <v>4</v>
      </c>
      <c r="H3813">
        <v>1</v>
      </c>
      <c r="I3813">
        <v>5</v>
      </c>
      <c r="J3813">
        <v>2</v>
      </c>
      <c r="K3813">
        <v>2</v>
      </c>
    </row>
    <row r="3814" spans="7:11">
      <c r="G3814">
        <v>4</v>
      </c>
      <c r="H3814">
        <v>2</v>
      </c>
      <c r="I3814">
        <v>1</v>
      </c>
      <c r="J3814">
        <v>1</v>
      </c>
      <c r="K3814">
        <v>1</v>
      </c>
    </row>
    <row r="3815" spans="7:11">
      <c r="G3815">
        <v>4</v>
      </c>
      <c r="H3815">
        <v>2</v>
      </c>
      <c r="I3815">
        <v>1</v>
      </c>
      <c r="J3815">
        <v>2</v>
      </c>
      <c r="K3815">
        <v>2</v>
      </c>
    </row>
    <row r="3816" spans="7:11">
      <c r="G3816">
        <v>4</v>
      </c>
      <c r="H3816">
        <v>2</v>
      </c>
      <c r="I3816">
        <v>2</v>
      </c>
      <c r="J3816">
        <v>1</v>
      </c>
      <c r="K3816">
        <v>1</v>
      </c>
    </row>
    <row r="3817" spans="7:11">
      <c r="G3817">
        <v>4</v>
      </c>
      <c r="H3817">
        <v>2</v>
      </c>
      <c r="I3817">
        <v>2</v>
      </c>
      <c r="J3817">
        <v>2</v>
      </c>
      <c r="K3817">
        <v>2</v>
      </c>
    </row>
    <row r="3818" spans="7:11">
      <c r="G3818">
        <v>4</v>
      </c>
      <c r="H3818">
        <v>2</v>
      </c>
      <c r="I3818">
        <v>3</v>
      </c>
      <c r="J3818">
        <v>1</v>
      </c>
      <c r="K3818">
        <v>1</v>
      </c>
    </row>
    <row r="3819" spans="7:11">
      <c r="G3819">
        <v>4</v>
      </c>
      <c r="H3819">
        <v>2</v>
      </c>
      <c r="I3819">
        <v>3</v>
      </c>
      <c r="J3819">
        <v>2</v>
      </c>
      <c r="K3819">
        <v>2</v>
      </c>
    </row>
    <row r="3820" spans="7:11">
      <c r="G3820">
        <v>4</v>
      </c>
      <c r="H3820">
        <v>2</v>
      </c>
      <c r="I3820">
        <v>4</v>
      </c>
      <c r="J3820">
        <v>1</v>
      </c>
      <c r="K3820">
        <v>1</v>
      </c>
    </row>
    <row r="3821" spans="7:11">
      <c r="G3821">
        <v>4</v>
      </c>
      <c r="H3821">
        <v>2</v>
      </c>
      <c r="I3821">
        <v>4</v>
      </c>
      <c r="J3821">
        <v>2</v>
      </c>
      <c r="K3821">
        <v>2</v>
      </c>
    </row>
    <row r="3822" spans="7:11">
      <c r="G3822">
        <v>4</v>
      </c>
      <c r="H3822">
        <v>2</v>
      </c>
      <c r="I3822">
        <v>5</v>
      </c>
      <c r="J3822">
        <v>1</v>
      </c>
      <c r="K3822">
        <v>1</v>
      </c>
    </row>
    <row r="3823" spans="7:11">
      <c r="G3823">
        <v>4</v>
      </c>
      <c r="H3823">
        <v>2</v>
      </c>
      <c r="I3823">
        <v>5</v>
      </c>
      <c r="J3823">
        <v>2</v>
      </c>
      <c r="K3823">
        <v>2</v>
      </c>
    </row>
    <row r="3824" spans="7:11">
      <c r="G3824">
        <v>4</v>
      </c>
      <c r="H3824">
        <v>3</v>
      </c>
      <c r="I3824">
        <v>1</v>
      </c>
      <c r="J3824">
        <v>1</v>
      </c>
      <c r="K3824">
        <v>1</v>
      </c>
    </row>
    <row r="3825" spans="7:11">
      <c r="G3825">
        <v>4</v>
      </c>
      <c r="H3825">
        <v>3</v>
      </c>
      <c r="I3825">
        <v>1</v>
      </c>
      <c r="J3825">
        <v>2</v>
      </c>
      <c r="K3825">
        <v>2</v>
      </c>
    </row>
    <row r="3826" spans="7:11">
      <c r="G3826">
        <v>4</v>
      </c>
      <c r="H3826">
        <v>3</v>
      </c>
      <c r="I3826">
        <v>2</v>
      </c>
      <c r="J3826">
        <v>1</v>
      </c>
      <c r="K3826">
        <v>1</v>
      </c>
    </row>
    <row r="3827" spans="7:11">
      <c r="G3827">
        <v>4</v>
      </c>
      <c r="H3827">
        <v>3</v>
      </c>
      <c r="I3827">
        <v>2</v>
      </c>
      <c r="J3827">
        <v>2</v>
      </c>
      <c r="K3827">
        <v>2</v>
      </c>
    </row>
    <row r="3828" spans="7:11">
      <c r="G3828">
        <v>4</v>
      </c>
      <c r="H3828">
        <v>3</v>
      </c>
      <c r="I3828">
        <v>3</v>
      </c>
      <c r="J3828">
        <v>1</v>
      </c>
      <c r="K3828">
        <v>1</v>
      </c>
    </row>
    <row r="3829" spans="7:11">
      <c r="G3829">
        <v>4</v>
      </c>
      <c r="H3829">
        <v>3</v>
      </c>
      <c r="I3829">
        <v>3</v>
      </c>
      <c r="J3829">
        <v>2</v>
      </c>
      <c r="K3829">
        <v>2</v>
      </c>
    </row>
    <row r="3830" spans="7:11">
      <c r="G3830">
        <v>4</v>
      </c>
      <c r="H3830">
        <v>3</v>
      </c>
      <c r="I3830">
        <v>4</v>
      </c>
      <c r="J3830">
        <v>1</v>
      </c>
      <c r="K3830">
        <v>1</v>
      </c>
    </row>
    <row r="3831" spans="7:11">
      <c r="G3831">
        <v>4</v>
      </c>
      <c r="H3831">
        <v>3</v>
      </c>
      <c r="I3831">
        <v>4</v>
      </c>
      <c r="J3831">
        <v>2</v>
      </c>
      <c r="K3831">
        <v>2</v>
      </c>
    </row>
    <row r="3832" spans="7:11">
      <c r="G3832">
        <v>4</v>
      </c>
      <c r="H3832">
        <v>3</v>
      </c>
      <c r="I3832">
        <v>5</v>
      </c>
      <c r="J3832">
        <v>1</v>
      </c>
      <c r="K3832">
        <v>1</v>
      </c>
    </row>
    <row r="3833" spans="7:11">
      <c r="G3833">
        <v>4</v>
      </c>
      <c r="H3833">
        <v>3</v>
      </c>
      <c r="I3833">
        <v>5</v>
      </c>
      <c r="J3833">
        <v>2</v>
      </c>
      <c r="K3833">
        <v>2</v>
      </c>
    </row>
    <row r="3834" spans="7:11">
      <c r="G3834">
        <v>1</v>
      </c>
      <c r="H3834">
        <v>1</v>
      </c>
      <c r="I3834">
        <v>1</v>
      </c>
      <c r="J3834">
        <v>1</v>
      </c>
      <c r="K3834">
        <v>1</v>
      </c>
    </row>
    <row r="3835" spans="7:11">
      <c r="G3835">
        <v>1</v>
      </c>
      <c r="H3835">
        <v>1</v>
      </c>
      <c r="I3835">
        <v>1</v>
      </c>
      <c r="J3835">
        <v>2</v>
      </c>
      <c r="K3835">
        <v>2</v>
      </c>
    </row>
    <row r="3836" spans="7:11">
      <c r="G3836">
        <v>1</v>
      </c>
      <c r="H3836">
        <v>1</v>
      </c>
      <c r="I3836">
        <v>2</v>
      </c>
      <c r="J3836">
        <v>1</v>
      </c>
      <c r="K3836">
        <v>1</v>
      </c>
    </row>
    <row r="3837" spans="7:11">
      <c r="G3837">
        <v>1</v>
      </c>
      <c r="H3837">
        <v>1</v>
      </c>
      <c r="I3837">
        <v>2</v>
      </c>
      <c r="J3837">
        <v>2</v>
      </c>
      <c r="K3837">
        <v>2</v>
      </c>
    </row>
    <row r="3838" spans="7:11">
      <c r="G3838">
        <v>1</v>
      </c>
      <c r="H3838">
        <v>1</v>
      </c>
      <c r="I3838">
        <v>3</v>
      </c>
      <c r="J3838">
        <v>1</v>
      </c>
      <c r="K3838">
        <v>1</v>
      </c>
    </row>
    <row r="3839" spans="7:11">
      <c r="G3839">
        <v>1</v>
      </c>
      <c r="H3839">
        <v>1</v>
      </c>
      <c r="I3839">
        <v>3</v>
      </c>
      <c r="J3839">
        <v>2</v>
      </c>
      <c r="K3839">
        <v>2</v>
      </c>
    </row>
    <row r="3840" spans="7:11">
      <c r="G3840">
        <v>1</v>
      </c>
      <c r="H3840">
        <v>1</v>
      </c>
      <c r="I3840">
        <v>4</v>
      </c>
      <c r="J3840">
        <v>1</v>
      </c>
      <c r="K3840">
        <v>1</v>
      </c>
    </row>
    <row r="3841" spans="7:11">
      <c r="G3841">
        <v>1</v>
      </c>
      <c r="H3841">
        <v>1</v>
      </c>
      <c r="I3841">
        <v>4</v>
      </c>
      <c r="J3841">
        <v>2</v>
      </c>
      <c r="K3841">
        <v>2</v>
      </c>
    </row>
    <row r="3842" spans="7:11">
      <c r="G3842">
        <v>1</v>
      </c>
      <c r="H3842">
        <v>1</v>
      </c>
      <c r="I3842">
        <v>5</v>
      </c>
      <c r="J3842">
        <v>1</v>
      </c>
      <c r="K3842">
        <v>1</v>
      </c>
    </row>
    <row r="3843" spans="7:11">
      <c r="G3843">
        <v>1</v>
      </c>
      <c r="H3843">
        <v>1</v>
      </c>
      <c r="I3843">
        <v>5</v>
      </c>
      <c r="J3843">
        <v>2</v>
      </c>
      <c r="K3843">
        <v>2</v>
      </c>
    </row>
    <row r="3844" spans="7:11">
      <c r="G3844">
        <v>1</v>
      </c>
      <c r="H3844">
        <v>2</v>
      </c>
      <c r="I3844">
        <v>1</v>
      </c>
      <c r="J3844">
        <v>1</v>
      </c>
      <c r="K3844">
        <v>1</v>
      </c>
    </row>
    <row r="3845" spans="7:11">
      <c r="G3845">
        <v>1</v>
      </c>
      <c r="H3845">
        <v>2</v>
      </c>
      <c r="I3845">
        <v>1</v>
      </c>
      <c r="J3845">
        <v>2</v>
      </c>
      <c r="K3845">
        <v>2</v>
      </c>
    </row>
    <row r="3846" spans="7:11">
      <c r="G3846">
        <v>1</v>
      </c>
      <c r="H3846">
        <v>2</v>
      </c>
      <c r="I3846">
        <v>2</v>
      </c>
      <c r="J3846">
        <v>1</v>
      </c>
      <c r="K3846">
        <v>1</v>
      </c>
    </row>
    <row r="3847" spans="7:11">
      <c r="G3847">
        <v>1</v>
      </c>
      <c r="H3847">
        <v>2</v>
      </c>
      <c r="I3847">
        <v>2</v>
      </c>
      <c r="J3847">
        <v>2</v>
      </c>
      <c r="K3847">
        <v>2</v>
      </c>
    </row>
    <row r="3848" spans="7:11">
      <c r="G3848">
        <v>1</v>
      </c>
      <c r="H3848">
        <v>2</v>
      </c>
      <c r="I3848">
        <v>3</v>
      </c>
      <c r="J3848">
        <v>1</v>
      </c>
      <c r="K3848">
        <v>1</v>
      </c>
    </row>
    <row r="3849" spans="7:11">
      <c r="G3849">
        <v>1</v>
      </c>
      <c r="H3849">
        <v>2</v>
      </c>
      <c r="I3849">
        <v>3</v>
      </c>
      <c r="J3849">
        <v>2</v>
      </c>
      <c r="K3849">
        <v>2</v>
      </c>
    </row>
    <row r="3850" spans="7:11">
      <c r="G3850">
        <v>1</v>
      </c>
      <c r="H3850">
        <v>2</v>
      </c>
      <c r="I3850">
        <v>4</v>
      </c>
      <c r="J3850">
        <v>1</v>
      </c>
      <c r="K3850">
        <v>1</v>
      </c>
    </row>
    <row r="3851" spans="7:11">
      <c r="G3851">
        <v>1</v>
      </c>
      <c r="H3851">
        <v>2</v>
      </c>
      <c r="I3851">
        <v>4</v>
      </c>
      <c r="J3851">
        <v>2</v>
      </c>
      <c r="K3851">
        <v>2</v>
      </c>
    </row>
    <row r="3852" spans="7:11">
      <c r="G3852">
        <v>1</v>
      </c>
      <c r="H3852">
        <v>2</v>
      </c>
      <c r="I3852">
        <v>5</v>
      </c>
      <c r="J3852">
        <v>1</v>
      </c>
      <c r="K3852">
        <v>1</v>
      </c>
    </row>
    <row r="3853" spans="7:11">
      <c r="G3853">
        <v>1</v>
      </c>
      <c r="H3853">
        <v>2</v>
      </c>
      <c r="I3853">
        <v>5</v>
      </c>
      <c r="J3853">
        <v>2</v>
      </c>
      <c r="K3853">
        <v>2</v>
      </c>
    </row>
    <row r="3854" spans="7:11">
      <c r="G3854">
        <v>1</v>
      </c>
      <c r="H3854">
        <v>3</v>
      </c>
      <c r="I3854">
        <v>1</v>
      </c>
      <c r="J3854">
        <v>1</v>
      </c>
      <c r="K3854">
        <v>1</v>
      </c>
    </row>
    <row r="3855" spans="7:11">
      <c r="G3855">
        <v>1</v>
      </c>
      <c r="H3855">
        <v>3</v>
      </c>
      <c r="I3855">
        <v>1</v>
      </c>
      <c r="J3855">
        <v>2</v>
      </c>
      <c r="K3855">
        <v>2</v>
      </c>
    </row>
    <row r="3856" spans="7:11">
      <c r="G3856">
        <v>1</v>
      </c>
      <c r="H3856">
        <v>3</v>
      </c>
      <c r="I3856">
        <v>2</v>
      </c>
      <c r="J3856">
        <v>1</v>
      </c>
      <c r="K3856">
        <v>1</v>
      </c>
    </row>
    <row r="3857" spans="7:11">
      <c r="G3857">
        <v>1</v>
      </c>
      <c r="H3857">
        <v>3</v>
      </c>
      <c r="I3857">
        <v>2</v>
      </c>
      <c r="J3857">
        <v>2</v>
      </c>
      <c r="K3857">
        <v>2</v>
      </c>
    </row>
    <row r="3858" spans="7:11">
      <c r="G3858">
        <v>1</v>
      </c>
      <c r="H3858">
        <v>3</v>
      </c>
      <c r="I3858">
        <v>3</v>
      </c>
      <c r="J3858">
        <v>1</v>
      </c>
      <c r="K3858">
        <v>1</v>
      </c>
    </row>
    <row r="3859" spans="7:11">
      <c r="G3859">
        <v>1</v>
      </c>
      <c r="H3859">
        <v>3</v>
      </c>
      <c r="I3859">
        <v>3</v>
      </c>
      <c r="J3859">
        <v>2</v>
      </c>
      <c r="K3859">
        <v>2</v>
      </c>
    </row>
    <row r="3860" spans="7:11">
      <c r="G3860">
        <v>1</v>
      </c>
      <c r="H3860">
        <v>3</v>
      </c>
      <c r="I3860">
        <v>4</v>
      </c>
      <c r="J3860">
        <v>1</v>
      </c>
      <c r="K3860">
        <v>1</v>
      </c>
    </row>
    <row r="3861" spans="7:11">
      <c r="G3861">
        <v>1</v>
      </c>
      <c r="H3861">
        <v>3</v>
      </c>
      <c r="I3861">
        <v>4</v>
      </c>
      <c r="J3861">
        <v>2</v>
      </c>
      <c r="K3861">
        <v>2</v>
      </c>
    </row>
    <row r="3862" spans="7:11">
      <c r="G3862">
        <v>1</v>
      </c>
      <c r="H3862">
        <v>3</v>
      </c>
      <c r="I3862">
        <v>5</v>
      </c>
      <c r="J3862">
        <v>1</v>
      </c>
      <c r="K3862">
        <v>1</v>
      </c>
    </row>
    <row r="3863" spans="7:11">
      <c r="G3863">
        <v>1</v>
      </c>
      <c r="H3863">
        <v>3</v>
      </c>
      <c r="I3863">
        <v>5</v>
      </c>
      <c r="J3863">
        <v>2</v>
      </c>
      <c r="K3863">
        <v>2</v>
      </c>
    </row>
    <row r="3864" spans="7:11">
      <c r="G3864">
        <v>2</v>
      </c>
      <c r="H3864">
        <v>1</v>
      </c>
      <c r="I3864">
        <v>3</v>
      </c>
      <c r="J3864">
        <v>1</v>
      </c>
      <c r="K3864">
        <v>1</v>
      </c>
    </row>
    <row r="3865" spans="7:11">
      <c r="G3865">
        <v>2</v>
      </c>
      <c r="H3865">
        <v>1</v>
      </c>
      <c r="I3865">
        <v>3</v>
      </c>
      <c r="J3865">
        <v>2</v>
      </c>
      <c r="K3865">
        <v>2</v>
      </c>
    </row>
    <row r="3866" spans="7:11">
      <c r="G3866">
        <v>2</v>
      </c>
      <c r="H3866">
        <v>1</v>
      </c>
      <c r="I3866">
        <v>4</v>
      </c>
      <c r="J3866">
        <v>1</v>
      </c>
      <c r="K3866">
        <v>1</v>
      </c>
    </row>
    <row r="3867" spans="7:11">
      <c r="G3867">
        <v>2</v>
      </c>
      <c r="H3867">
        <v>1</v>
      </c>
      <c r="I3867">
        <v>4</v>
      </c>
      <c r="J3867">
        <v>2</v>
      </c>
      <c r="K3867">
        <v>2</v>
      </c>
    </row>
    <row r="3868" spans="7:11">
      <c r="G3868">
        <v>2</v>
      </c>
      <c r="H3868">
        <v>1</v>
      </c>
      <c r="I3868">
        <v>5</v>
      </c>
      <c r="J3868">
        <v>1</v>
      </c>
      <c r="K3868">
        <v>1</v>
      </c>
    </row>
    <row r="3869" spans="7:11">
      <c r="G3869">
        <v>2</v>
      </c>
      <c r="H3869">
        <v>1</v>
      </c>
      <c r="I3869">
        <v>5</v>
      </c>
      <c r="J3869">
        <v>2</v>
      </c>
      <c r="K3869">
        <v>2</v>
      </c>
    </row>
    <row r="3870" spans="7:11">
      <c r="G3870">
        <v>2</v>
      </c>
      <c r="H3870">
        <v>2</v>
      </c>
      <c r="I3870">
        <v>1</v>
      </c>
      <c r="J3870">
        <v>1</v>
      </c>
      <c r="K3870">
        <v>1</v>
      </c>
    </row>
    <row r="3871" spans="7:11">
      <c r="G3871">
        <v>2</v>
      </c>
      <c r="H3871">
        <v>2</v>
      </c>
      <c r="I3871">
        <v>1</v>
      </c>
      <c r="J3871">
        <v>2</v>
      </c>
      <c r="K3871">
        <v>2</v>
      </c>
    </row>
    <row r="3872" spans="7:11">
      <c r="G3872">
        <v>2</v>
      </c>
      <c r="H3872">
        <v>2</v>
      </c>
      <c r="I3872">
        <v>2</v>
      </c>
      <c r="J3872">
        <v>1</v>
      </c>
      <c r="K3872">
        <v>1</v>
      </c>
    </row>
    <row r="3873" spans="7:11">
      <c r="G3873">
        <v>2</v>
      </c>
      <c r="H3873">
        <v>2</v>
      </c>
      <c r="I3873">
        <v>2</v>
      </c>
      <c r="J3873">
        <v>2</v>
      </c>
      <c r="K3873">
        <v>2</v>
      </c>
    </row>
    <row r="3874" spans="7:11">
      <c r="G3874">
        <v>2</v>
      </c>
      <c r="H3874">
        <v>2</v>
      </c>
      <c r="I3874">
        <v>3</v>
      </c>
      <c r="J3874">
        <v>1</v>
      </c>
      <c r="K3874">
        <v>1</v>
      </c>
    </row>
    <row r="3875" spans="7:11">
      <c r="G3875">
        <v>2</v>
      </c>
      <c r="H3875">
        <v>2</v>
      </c>
      <c r="I3875">
        <v>3</v>
      </c>
      <c r="J3875">
        <v>2</v>
      </c>
      <c r="K3875">
        <v>2</v>
      </c>
    </row>
    <row r="3876" spans="7:11">
      <c r="G3876">
        <v>2</v>
      </c>
      <c r="H3876">
        <v>2</v>
      </c>
      <c r="I3876">
        <v>4</v>
      </c>
      <c r="J3876">
        <v>1</v>
      </c>
      <c r="K3876">
        <v>1</v>
      </c>
    </row>
    <row r="3877" spans="7:11">
      <c r="G3877">
        <v>2</v>
      </c>
      <c r="H3877">
        <v>2</v>
      </c>
      <c r="I3877">
        <v>4</v>
      </c>
      <c r="J3877">
        <v>2</v>
      </c>
      <c r="K3877">
        <v>2</v>
      </c>
    </row>
    <row r="3878" spans="7:11">
      <c r="G3878">
        <v>2</v>
      </c>
      <c r="H3878">
        <v>2</v>
      </c>
      <c r="I3878">
        <v>5</v>
      </c>
      <c r="J3878">
        <v>1</v>
      </c>
      <c r="K3878">
        <v>1</v>
      </c>
    </row>
    <row r="3879" spans="7:11">
      <c r="G3879">
        <v>2</v>
      </c>
      <c r="H3879">
        <v>2</v>
      </c>
      <c r="I3879">
        <v>5</v>
      </c>
      <c r="J3879">
        <v>2</v>
      </c>
      <c r="K3879">
        <v>2</v>
      </c>
    </row>
    <row r="3880" spans="7:11">
      <c r="G3880">
        <v>2</v>
      </c>
      <c r="H3880">
        <v>3</v>
      </c>
      <c r="I3880">
        <v>1</v>
      </c>
      <c r="J3880">
        <v>1</v>
      </c>
      <c r="K3880">
        <v>1</v>
      </c>
    </row>
    <row r="3881" spans="7:11">
      <c r="G3881">
        <v>2</v>
      </c>
      <c r="H3881">
        <v>3</v>
      </c>
      <c r="I3881">
        <v>1</v>
      </c>
      <c r="J3881">
        <v>2</v>
      </c>
      <c r="K3881">
        <v>2</v>
      </c>
    </row>
    <row r="3882" spans="7:11">
      <c r="G3882">
        <v>2</v>
      </c>
      <c r="H3882">
        <v>3</v>
      </c>
      <c r="I3882">
        <v>2</v>
      </c>
      <c r="J3882">
        <v>1</v>
      </c>
      <c r="K3882">
        <v>1</v>
      </c>
    </row>
    <row r="3883" spans="7:11">
      <c r="G3883">
        <v>2</v>
      </c>
      <c r="H3883">
        <v>3</v>
      </c>
      <c r="I3883">
        <v>2</v>
      </c>
      <c r="J3883">
        <v>2</v>
      </c>
      <c r="K3883">
        <v>2</v>
      </c>
    </row>
    <row r="3884" spans="7:11">
      <c r="G3884">
        <v>2</v>
      </c>
      <c r="H3884">
        <v>3</v>
      </c>
      <c r="I3884">
        <v>3</v>
      </c>
      <c r="J3884">
        <v>1</v>
      </c>
      <c r="K3884">
        <v>1</v>
      </c>
    </row>
    <row r="3885" spans="7:11">
      <c r="G3885">
        <v>2</v>
      </c>
      <c r="H3885">
        <v>3</v>
      </c>
      <c r="I3885">
        <v>3</v>
      </c>
      <c r="J3885">
        <v>2</v>
      </c>
      <c r="K3885">
        <v>2</v>
      </c>
    </row>
    <row r="3886" spans="7:11">
      <c r="G3886">
        <v>2</v>
      </c>
      <c r="H3886">
        <v>3</v>
      </c>
      <c r="I3886">
        <v>4</v>
      </c>
      <c r="J3886">
        <v>1</v>
      </c>
      <c r="K3886">
        <v>1</v>
      </c>
    </row>
    <row r="3887" spans="7:11">
      <c r="G3887">
        <v>2</v>
      </c>
      <c r="H3887">
        <v>3</v>
      </c>
      <c r="I3887">
        <v>4</v>
      </c>
      <c r="J3887">
        <v>2</v>
      </c>
      <c r="K3887">
        <v>2</v>
      </c>
    </row>
    <row r="3888" spans="7:11">
      <c r="G3888">
        <v>2</v>
      </c>
      <c r="H3888">
        <v>3</v>
      </c>
      <c r="I3888">
        <v>5</v>
      </c>
      <c r="J3888">
        <v>1</v>
      </c>
      <c r="K3888">
        <v>1</v>
      </c>
    </row>
    <row r="3889" spans="7:11">
      <c r="G3889">
        <v>2</v>
      </c>
      <c r="H3889">
        <v>3</v>
      </c>
      <c r="I3889">
        <v>5</v>
      </c>
      <c r="J3889">
        <v>2</v>
      </c>
      <c r="K3889">
        <v>2</v>
      </c>
    </row>
    <row r="3890" spans="7:11">
      <c r="G3890">
        <v>3</v>
      </c>
      <c r="H3890">
        <v>1</v>
      </c>
      <c r="I3890">
        <v>3</v>
      </c>
      <c r="J3890">
        <v>1</v>
      </c>
      <c r="K3890">
        <v>1</v>
      </c>
    </row>
    <row r="3891" spans="7:11">
      <c r="G3891">
        <v>3</v>
      </c>
      <c r="H3891">
        <v>1</v>
      </c>
      <c r="I3891">
        <v>3</v>
      </c>
      <c r="J3891">
        <v>2</v>
      </c>
      <c r="K3891">
        <v>2</v>
      </c>
    </row>
    <row r="3892" spans="7:11">
      <c r="G3892">
        <v>3</v>
      </c>
      <c r="H3892">
        <v>1</v>
      </c>
      <c r="I3892">
        <v>4</v>
      </c>
      <c r="J3892">
        <v>1</v>
      </c>
      <c r="K3892">
        <v>1</v>
      </c>
    </row>
    <row r="3893" spans="7:11">
      <c r="G3893">
        <v>3</v>
      </c>
      <c r="H3893">
        <v>1</v>
      </c>
      <c r="I3893">
        <v>4</v>
      </c>
      <c r="J3893">
        <v>2</v>
      </c>
      <c r="K3893">
        <v>2</v>
      </c>
    </row>
    <row r="3894" spans="7:11">
      <c r="G3894">
        <v>3</v>
      </c>
      <c r="H3894">
        <v>1</v>
      </c>
      <c r="I3894">
        <v>5</v>
      </c>
      <c r="J3894">
        <v>1</v>
      </c>
      <c r="K3894">
        <v>1</v>
      </c>
    </row>
    <row r="3895" spans="7:11">
      <c r="G3895">
        <v>3</v>
      </c>
      <c r="H3895">
        <v>1</v>
      </c>
      <c r="I3895">
        <v>5</v>
      </c>
      <c r="J3895">
        <v>2</v>
      </c>
      <c r="K3895">
        <v>2</v>
      </c>
    </row>
    <row r="3896" spans="7:11">
      <c r="G3896">
        <v>3</v>
      </c>
      <c r="H3896">
        <v>2</v>
      </c>
      <c r="I3896">
        <v>1</v>
      </c>
      <c r="J3896">
        <v>1</v>
      </c>
      <c r="K3896">
        <v>1</v>
      </c>
    </row>
    <row r="3897" spans="7:11">
      <c r="G3897">
        <v>3</v>
      </c>
      <c r="H3897">
        <v>2</v>
      </c>
      <c r="I3897">
        <v>1</v>
      </c>
      <c r="J3897">
        <v>2</v>
      </c>
      <c r="K3897">
        <v>2</v>
      </c>
    </row>
    <row r="3898" spans="7:11">
      <c r="G3898">
        <v>3</v>
      </c>
      <c r="H3898">
        <v>2</v>
      </c>
      <c r="I3898">
        <v>2</v>
      </c>
      <c r="J3898">
        <v>1</v>
      </c>
      <c r="K3898">
        <v>1</v>
      </c>
    </row>
    <row r="3899" spans="7:11">
      <c r="G3899">
        <v>3</v>
      </c>
      <c r="H3899">
        <v>2</v>
      </c>
      <c r="I3899">
        <v>2</v>
      </c>
      <c r="J3899">
        <v>2</v>
      </c>
      <c r="K3899">
        <v>2</v>
      </c>
    </row>
    <row r="3900" spans="7:11">
      <c r="G3900">
        <v>3</v>
      </c>
      <c r="H3900">
        <v>2</v>
      </c>
      <c r="I3900">
        <v>3</v>
      </c>
      <c r="J3900">
        <v>1</v>
      </c>
      <c r="K3900">
        <v>1</v>
      </c>
    </row>
    <row r="3901" spans="7:11">
      <c r="G3901">
        <v>3</v>
      </c>
      <c r="H3901">
        <v>2</v>
      </c>
      <c r="I3901">
        <v>3</v>
      </c>
      <c r="J3901">
        <v>2</v>
      </c>
      <c r="K3901">
        <v>2</v>
      </c>
    </row>
    <row r="3902" spans="7:11">
      <c r="G3902">
        <v>3</v>
      </c>
      <c r="H3902">
        <v>2</v>
      </c>
      <c r="I3902">
        <v>4</v>
      </c>
      <c r="J3902">
        <v>1</v>
      </c>
      <c r="K3902">
        <v>1</v>
      </c>
    </row>
    <row r="3903" spans="7:11">
      <c r="G3903">
        <v>3</v>
      </c>
      <c r="H3903">
        <v>2</v>
      </c>
      <c r="I3903">
        <v>4</v>
      </c>
      <c r="J3903">
        <v>2</v>
      </c>
      <c r="K3903">
        <v>2</v>
      </c>
    </row>
    <row r="3904" spans="7:11">
      <c r="G3904">
        <v>3</v>
      </c>
      <c r="H3904">
        <v>2</v>
      </c>
      <c r="I3904">
        <v>5</v>
      </c>
      <c r="J3904">
        <v>1</v>
      </c>
      <c r="K3904">
        <v>1</v>
      </c>
    </row>
    <row r="3905" spans="7:11">
      <c r="G3905">
        <v>3</v>
      </c>
      <c r="H3905">
        <v>2</v>
      </c>
      <c r="I3905">
        <v>5</v>
      </c>
      <c r="J3905">
        <v>2</v>
      </c>
      <c r="K3905">
        <v>2</v>
      </c>
    </row>
    <row r="3906" spans="7:11">
      <c r="G3906">
        <v>3</v>
      </c>
      <c r="H3906">
        <v>3</v>
      </c>
      <c r="I3906">
        <v>1</v>
      </c>
      <c r="J3906">
        <v>1</v>
      </c>
      <c r="K3906">
        <v>1</v>
      </c>
    </row>
    <row r="3907" spans="7:11">
      <c r="G3907">
        <v>3</v>
      </c>
      <c r="H3907">
        <v>3</v>
      </c>
      <c r="I3907">
        <v>1</v>
      </c>
      <c r="J3907">
        <v>2</v>
      </c>
      <c r="K3907">
        <v>2</v>
      </c>
    </row>
    <row r="3908" spans="7:11">
      <c r="G3908">
        <v>3</v>
      </c>
      <c r="H3908">
        <v>3</v>
      </c>
      <c r="I3908">
        <v>2</v>
      </c>
      <c r="J3908">
        <v>1</v>
      </c>
      <c r="K3908">
        <v>1</v>
      </c>
    </row>
    <row r="3909" spans="7:11">
      <c r="G3909">
        <v>3</v>
      </c>
      <c r="H3909">
        <v>3</v>
      </c>
      <c r="I3909">
        <v>2</v>
      </c>
      <c r="J3909">
        <v>2</v>
      </c>
      <c r="K3909">
        <v>2</v>
      </c>
    </row>
    <row r="3910" spans="7:11">
      <c r="G3910">
        <v>3</v>
      </c>
      <c r="H3910">
        <v>3</v>
      </c>
      <c r="I3910">
        <v>3</v>
      </c>
      <c r="J3910">
        <v>1</v>
      </c>
      <c r="K3910">
        <v>1</v>
      </c>
    </row>
    <row r="3911" spans="7:11">
      <c r="G3911">
        <v>3</v>
      </c>
      <c r="H3911">
        <v>3</v>
      </c>
      <c r="I3911">
        <v>3</v>
      </c>
      <c r="J3911">
        <v>2</v>
      </c>
      <c r="K3911">
        <v>2</v>
      </c>
    </row>
    <row r="3912" spans="7:11">
      <c r="G3912">
        <v>3</v>
      </c>
      <c r="H3912">
        <v>3</v>
      </c>
      <c r="I3912">
        <v>4</v>
      </c>
      <c r="J3912">
        <v>1</v>
      </c>
      <c r="K3912">
        <v>1</v>
      </c>
    </row>
    <row r="3913" spans="7:11">
      <c r="G3913">
        <v>3</v>
      </c>
      <c r="H3913">
        <v>3</v>
      </c>
      <c r="I3913">
        <v>4</v>
      </c>
      <c r="J3913">
        <v>2</v>
      </c>
      <c r="K3913">
        <v>2</v>
      </c>
    </row>
    <row r="3914" spans="7:11">
      <c r="G3914">
        <v>3</v>
      </c>
      <c r="H3914">
        <v>3</v>
      </c>
      <c r="I3914">
        <v>5</v>
      </c>
      <c r="J3914">
        <v>1</v>
      </c>
      <c r="K3914">
        <v>1</v>
      </c>
    </row>
    <row r="3915" spans="7:11">
      <c r="G3915">
        <v>3</v>
      </c>
      <c r="H3915">
        <v>3</v>
      </c>
      <c r="I3915">
        <v>5</v>
      </c>
      <c r="J3915">
        <v>2</v>
      </c>
      <c r="K3915">
        <v>2</v>
      </c>
    </row>
    <row r="3916" spans="7:11">
      <c r="G3916">
        <v>4</v>
      </c>
      <c r="H3916">
        <v>1</v>
      </c>
      <c r="I3916">
        <v>3</v>
      </c>
      <c r="J3916">
        <v>1</v>
      </c>
      <c r="K3916">
        <v>1</v>
      </c>
    </row>
    <row r="3917" spans="7:11">
      <c r="G3917">
        <v>4</v>
      </c>
      <c r="H3917">
        <v>1</v>
      </c>
      <c r="I3917">
        <v>3</v>
      </c>
      <c r="J3917">
        <v>2</v>
      </c>
      <c r="K3917">
        <v>2</v>
      </c>
    </row>
    <row r="3918" spans="7:11">
      <c r="G3918">
        <v>4</v>
      </c>
      <c r="H3918">
        <v>1</v>
      </c>
      <c r="I3918">
        <v>4</v>
      </c>
      <c r="J3918">
        <v>1</v>
      </c>
      <c r="K3918">
        <v>1</v>
      </c>
    </row>
    <row r="3919" spans="7:11">
      <c r="G3919">
        <v>4</v>
      </c>
      <c r="H3919">
        <v>1</v>
      </c>
      <c r="I3919">
        <v>4</v>
      </c>
      <c r="J3919">
        <v>2</v>
      </c>
      <c r="K3919">
        <v>2</v>
      </c>
    </row>
    <row r="3920" spans="7:11">
      <c r="G3920">
        <v>4</v>
      </c>
      <c r="H3920">
        <v>1</v>
      </c>
      <c r="I3920">
        <v>5</v>
      </c>
      <c r="J3920">
        <v>1</v>
      </c>
      <c r="K3920">
        <v>1</v>
      </c>
    </row>
    <row r="3921" spans="7:11">
      <c r="G3921">
        <v>4</v>
      </c>
      <c r="H3921">
        <v>1</v>
      </c>
      <c r="I3921">
        <v>5</v>
      </c>
      <c r="J3921">
        <v>2</v>
      </c>
      <c r="K3921">
        <v>2</v>
      </c>
    </row>
    <row r="3922" spans="7:11">
      <c r="G3922">
        <v>4</v>
      </c>
      <c r="H3922">
        <v>2</v>
      </c>
      <c r="I3922">
        <v>1</v>
      </c>
      <c r="J3922">
        <v>1</v>
      </c>
      <c r="K3922">
        <v>1</v>
      </c>
    </row>
    <row r="3923" spans="7:11">
      <c r="G3923">
        <v>4</v>
      </c>
      <c r="H3923">
        <v>2</v>
      </c>
      <c r="I3923">
        <v>1</v>
      </c>
      <c r="J3923">
        <v>2</v>
      </c>
      <c r="K3923">
        <v>2</v>
      </c>
    </row>
    <row r="3924" spans="7:11">
      <c r="G3924">
        <v>4</v>
      </c>
      <c r="H3924">
        <v>2</v>
      </c>
      <c r="I3924">
        <v>2</v>
      </c>
      <c r="J3924">
        <v>1</v>
      </c>
      <c r="K3924">
        <v>1</v>
      </c>
    </row>
    <row r="3925" spans="7:11">
      <c r="G3925">
        <v>4</v>
      </c>
      <c r="H3925">
        <v>2</v>
      </c>
      <c r="I3925">
        <v>2</v>
      </c>
      <c r="J3925">
        <v>2</v>
      </c>
      <c r="K3925">
        <v>2</v>
      </c>
    </row>
    <row r="3926" spans="7:11">
      <c r="G3926">
        <v>4</v>
      </c>
      <c r="H3926">
        <v>2</v>
      </c>
      <c r="I3926">
        <v>3</v>
      </c>
      <c r="J3926">
        <v>1</v>
      </c>
      <c r="K3926">
        <v>1</v>
      </c>
    </row>
    <row r="3927" spans="7:11">
      <c r="G3927">
        <v>4</v>
      </c>
      <c r="H3927">
        <v>2</v>
      </c>
      <c r="I3927">
        <v>3</v>
      </c>
      <c r="J3927">
        <v>2</v>
      </c>
      <c r="K3927">
        <v>2</v>
      </c>
    </row>
    <row r="3928" spans="7:11">
      <c r="G3928">
        <v>4</v>
      </c>
      <c r="H3928">
        <v>2</v>
      </c>
      <c r="I3928">
        <v>4</v>
      </c>
      <c r="J3928">
        <v>1</v>
      </c>
      <c r="K3928">
        <v>1</v>
      </c>
    </row>
    <row r="3929" spans="7:11">
      <c r="G3929">
        <v>4</v>
      </c>
      <c r="H3929">
        <v>2</v>
      </c>
      <c r="I3929">
        <v>4</v>
      </c>
      <c r="J3929">
        <v>2</v>
      </c>
      <c r="K3929">
        <v>2</v>
      </c>
    </row>
    <row r="3930" spans="7:11">
      <c r="G3930">
        <v>4</v>
      </c>
      <c r="H3930">
        <v>2</v>
      </c>
      <c r="I3930">
        <v>5</v>
      </c>
      <c r="J3930">
        <v>1</v>
      </c>
      <c r="K3930">
        <v>1</v>
      </c>
    </row>
    <row r="3931" spans="7:11">
      <c r="G3931">
        <v>4</v>
      </c>
      <c r="H3931">
        <v>2</v>
      </c>
      <c r="I3931">
        <v>5</v>
      </c>
      <c r="J3931">
        <v>2</v>
      </c>
      <c r="K3931">
        <v>2</v>
      </c>
    </row>
    <row r="3932" spans="7:11">
      <c r="G3932">
        <v>4</v>
      </c>
      <c r="H3932">
        <v>3</v>
      </c>
      <c r="I3932">
        <v>1</v>
      </c>
      <c r="J3932">
        <v>1</v>
      </c>
      <c r="K3932">
        <v>1</v>
      </c>
    </row>
    <row r="3933" spans="7:11">
      <c r="G3933">
        <v>4</v>
      </c>
      <c r="H3933">
        <v>3</v>
      </c>
      <c r="I3933">
        <v>1</v>
      </c>
      <c r="J3933">
        <v>2</v>
      </c>
      <c r="K3933">
        <v>2</v>
      </c>
    </row>
    <row r="3934" spans="7:11">
      <c r="G3934">
        <v>4</v>
      </c>
      <c r="H3934">
        <v>3</v>
      </c>
      <c r="I3934">
        <v>2</v>
      </c>
      <c r="J3934">
        <v>1</v>
      </c>
      <c r="K3934">
        <v>1</v>
      </c>
    </row>
    <row r="3935" spans="7:11">
      <c r="G3935">
        <v>4</v>
      </c>
      <c r="H3935">
        <v>3</v>
      </c>
      <c r="I3935">
        <v>2</v>
      </c>
      <c r="J3935">
        <v>2</v>
      </c>
      <c r="K3935">
        <v>2</v>
      </c>
    </row>
    <row r="3936" spans="7:11">
      <c r="G3936">
        <v>4</v>
      </c>
      <c r="H3936">
        <v>3</v>
      </c>
      <c r="I3936">
        <v>3</v>
      </c>
      <c r="J3936">
        <v>1</v>
      </c>
      <c r="K3936">
        <v>1</v>
      </c>
    </row>
    <row r="3937" spans="7:11">
      <c r="G3937">
        <v>4</v>
      </c>
      <c r="H3937">
        <v>3</v>
      </c>
      <c r="I3937">
        <v>3</v>
      </c>
      <c r="J3937">
        <v>2</v>
      </c>
      <c r="K3937">
        <v>2</v>
      </c>
    </row>
    <row r="3938" spans="7:11">
      <c r="G3938">
        <v>4</v>
      </c>
      <c r="H3938">
        <v>3</v>
      </c>
      <c r="I3938">
        <v>4</v>
      </c>
      <c r="J3938">
        <v>1</v>
      </c>
      <c r="K3938">
        <v>1</v>
      </c>
    </row>
    <row r="3939" spans="7:11">
      <c r="G3939">
        <v>4</v>
      </c>
      <c r="H3939">
        <v>3</v>
      </c>
      <c r="I3939">
        <v>4</v>
      </c>
      <c r="J3939">
        <v>2</v>
      </c>
      <c r="K3939">
        <v>2</v>
      </c>
    </row>
    <row r="3940" spans="7:11">
      <c r="G3940">
        <v>4</v>
      </c>
      <c r="H3940">
        <v>3</v>
      </c>
      <c r="I3940">
        <v>5</v>
      </c>
      <c r="J3940">
        <v>1</v>
      </c>
      <c r="K3940">
        <v>1</v>
      </c>
    </row>
    <row r="3941" spans="7:11">
      <c r="G3941">
        <v>4</v>
      </c>
      <c r="H3941">
        <v>3</v>
      </c>
      <c r="I3941">
        <v>5</v>
      </c>
      <c r="J3941">
        <v>2</v>
      </c>
      <c r="K3941">
        <v>2</v>
      </c>
    </row>
    <row r="3942" spans="7:11">
      <c r="G3942">
        <v>1</v>
      </c>
      <c r="H3942">
        <v>2</v>
      </c>
      <c r="I3942">
        <v>1</v>
      </c>
      <c r="J3942">
        <v>1</v>
      </c>
      <c r="K3942">
        <v>1</v>
      </c>
    </row>
    <row r="3943" spans="7:11">
      <c r="G3943">
        <v>1</v>
      </c>
      <c r="H3943">
        <v>2</v>
      </c>
      <c r="I3943">
        <v>1</v>
      </c>
      <c r="J3943">
        <v>2</v>
      </c>
      <c r="K3943">
        <v>2</v>
      </c>
    </row>
    <row r="3944" spans="7:11">
      <c r="G3944">
        <v>1</v>
      </c>
      <c r="H3944">
        <v>2</v>
      </c>
      <c r="I3944">
        <v>2</v>
      </c>
      <c r="J3944">
        <v>1</v>
      </c>
      <c r="K3944">
        <v>1</v>
      </c>
    </row>
    <row r="3945" spans="7:11">
      <c r="G3945">
        <v>1</v>
      </c>
      <c r="H3945">
        <v>2</v>
      </c>
      <c r="I3945">
        <v>2</v>
      </c>
      <c r="J3945">
        <v>2</v>
      </c>
      <c r="K3945">
        <v>2</v>
      </c>
    </row>
    <row r="3946" spans="7:11">
      <c r="G3946">
        <v>1</v>
      </c>
      <c r="H3946">
        <v>2</v>
      </c>
      <c r="I3946">
        <v>3</v>
      </c>
      <c r="J3946">
        <v>1</v>
      </c>
      <c r="K3946">
        <v>1</v>
      </c>
    </row>
    <row r="3947" spans="7:11">
      <c r="G3947">
        <v>1</v>
      </c>
      <c r="H3947">
        <v>2</v>
      </c>
      <c r="I3947">
        <v>3</v>
      </c>
      <c r="J3947">
        <v>2</v>
      </c>
      <c r="K3947">
        <v>2</v>
      </c>
    </row>
    <row r="3948" spans="7:11">
      <c r="G3948">
        <v>1</v>
      </c>
      <c r="H3948">
        <v>2</v>
      </c>
      <c r="I3948">
        <v>4</v>
      </c>
      <c r="J3948">
        <v>1</v>
      </c>
      <c r="K3948">
        <v>1</v>
      </c>
    </row>
    <row r="3949" spans="7:11">
      <c r="G3949">
        <v>1</v>
      </c>
      <c r="H3949">
        <v>2</v>
      </c>
      <c r="I3949">
        <v>4</v>
      </c>
      <c r="J3949">
        <v>2</v>
      </c>
      <c r="K3949">
        <v>2</v>
      </c>
    </row>
    <row r="3950" spans="7:11">
      <c r="G3950">
        <v>1</v>
      </c>
      <c r="H3950">
        <v>2</v>
      </c>
      <c r="I3950">
        <v>5</v>
      </c>
      <c r="J3950">
        <v>1</v>
      </c>
      <c r="K3950">
        <v>1</v>
      </c>
    </row>
    <row r="3951" spans="7:11">
      <c r="G3951">
        <v>1</v>
      </c>
      <c r="H3951">
        <v>2</v>
      </c>
      <c r="I3951">
        <v>5</v>
      </c>
      <c r="J3951">
        <v>2</v>
      </c>
      <c r="K3951">
        <v>2</v>
      </c>
    </row>
    <row r="3952" spans="7:11">
      <c r="G3952">
        <v>1</v>
      </c>
      <c r="H3952">
        <v>3</v>
      </c>
      <c r="I3952">
        <v>1</v>
      </c>
      <c r="J3952">
        <v>1</v>
      </c>
      <c r="K3952">
        <v>1</v>
      </c>
    </row>
    <row r="3953" spans="7:11">
      <c r="G3953">
        <v>1</v>
      </c>
      <c r="H3953">
        <v>3</v>
      </c>
      <c r="I3953">
        <v>1</v>
      </c>
      <c r="J3953">
        <v>2</v>
      </c>
      <c r="K3953">
        <v>2</v>
      </c>
    </row>
    <row r="3954" spans="7:11">
      <c r="G3954">
        <v>1</v>
      </c>
      <c r="H3954">
        <v>3</v>
      </c>
      <c r="I3954">
        <v>2</v>
      </c>
      <c r="J3954">
        <v>1</v>
      </c>
      <c r="K3954">
        <v>1</v>
      </c>
    </row>
    <row r="3955" spans="7:11">
      <c r="G3955">
        <v>1</v>
      </c>
      <c r="H3955">
        <v>3</v>
      </c>
      <c r="I3955">
        <v>2</v>
      </c>
      <c r="J3955">
        <v>2</v>
      </c>
      <c r="K3955">
        <v>2</v>
      </c>
    </row>
    <row r="3956" spans="7:11">
      <c r="G3956">
        <v>1</v>
      </c>
      <c r="H3956">
        <v>3</v>
      </c>
      <c r="I3956">
        <v>3</v>
      </c>
      <c r="J3956">
        <v>1</v>
      </c>
      <c r="K3956">
        <v>1</v>
      </c>
    </row>
    <row r="3957" spans="7:11">
      <c r="G3957">
        <v>1</v>
      </c>
      <c r="H3957">
        <v>3</v>
      </c>
      <c r="I3957">
        <v>3</v>
      </c>
      <c r="J3957">
        <v>2</v>
      </c>
      <c r="K3957">
        <v>2</v>
      </c>
    </row>
    <row r="3958" spans="7:11">
      <c r="G3958">
        <v>1</v>
      </c>
      <c r="H3958">
        <v>3</v>
      </c>
      <c r="I3958">
        <v>4</v>
      </c>
      <c r="J3958">
        <v>1</v>
      </c>
      <c r="K3958">
        <v>1</v>
      </c>
    </row>
    <row r="3959" spans="7:11">
      <c r="G3959">
        <v>1</v>
      </c>
      <c r="H3959">
        <v>3</v>
      </c>
      <c r="I3959">
        <v>4</v>
      </c>
      <c r="J3959">
        <v>2</v>
      </c>
      <c r="K3959">
        <v>2</v>
      </c>
    </row>
    <row r="3960" spans="7:11">
      <c r="G3960">
        <v>1</v>
      </c>
      <c r="H3960">
        <v>3</v>
      </c>
      <c r="I3960">
        <v>5</v>
      </c>
      <c r="J3960">
        <v>1</v>
      </c>
      <c r="K3960">
        <v>1</v>
      </c>
    </row>
    <row r="3961" spans="7:11">
      <c r="G3961">
        <v>1</v>
      </c>
      <c r="H3961">
        <v>3</v>
      </c>
      <c r="I3961">
        <v>5</v>
      </c>
      <c r="J3961">
        <v>2</v>
      </c>
      <c r="K3961">
        <v>2</v>
      </c>
    </row>
    <row r="3962" spans="7:11">
      <c r="G3962">
        <v>2</v>
      </c>
      <c r="H3962">
        <v>1</v>
      </c>
      <c r="I3962">
        <v>3</v>
      </c>
      <c r="J3962">
        <v>1</v>
      </c>
      <c r="K3962">
        <v>1</v>
      </c>
    </row>
    <row r="3963" spans="7:11">
      <c r="G3963">
        <v>2</v>
      </c>
      <c r="H3963">
        <v>1</v>
      </c>
      <c r="I3963">
        <v>3</v>
      </c>
      <c r="J3963">
        <v>2</v>
      </c>
      <c r="K3963">
        <v>2</v>
      </c>
    </row>
    <row r="3964" spans="7:11">
      <c r="G3964">
        <v>2</v>
      </c>
      <c r="H3964">
        <v>1</v>
      </c>
      <c r="I3964">
        <v>4</v>
      </c>
      <c r="J3964">
        <v>1</v>
      </c>
      <c r="K3964">
        <v>1</v>
      </c>
    </row>
    <row r="3965" spans="7:11">
      <c r="G3965">
        <v>2</v>
      </c>
      <c r="H3965">
        <v>1</v>
      </c>
      <c r="I3965">
        <v>4</v>
      </c>
      <c r="J3965">
        <v>2</v>
      </c>
      <c r="K3965">
        <v>2</v>
      </c>
    </row>
    <row r="3966" spans="7:11">
      <c r="G3966">
        <v>2</v>
      </c>
      <c r="H3966">
        <v>1</v>
      </c>
      <c r="I3966">
        <v>5</v>
      </c>
      <c r="J3966">
        <v>1</v>
      </c>
      <c r="K3966">
        <v>1</v>
      </c>
    </row>
    <row r="3967" spans="7:11">
      <c r="G3967">
        <v>2</v>
      </c>
      <c r="H3967">
        <v>1</v>
      </c>
      <c r="I3967">
        <v>5</v>
      </c>
      <c r="J3967">
        <v>2</v>
      </c>
      <c r="K3967">
        <v>2</v>
      </c>
    </row>
    <row r="3968" spans="7:11">
      <c r="G3968">
        <v>2</v>
      </c>
      <c r="H3968">
        <v>2</v>
      </c>
      <c r="I3968">
        <v>1</v>
      </c>
      <c r="J3968">
        <v>1</v>
      </c>
      <c r="K3968">
        <v>1</v>
      </c>
    </row>
    <row r="3969" spans="7:11">
      <c r="G3969">
        <v>2</v>
      </c>
      <c r="H3969">
        <v>2</v>
      </c>
      <c r="I3969">
        <v>1</v>
      </c>
      <c r="J3969">
        <v>2</v>
      </c>
      <c r="K3969">
        <v>2</v>
      </c>
    </row>
    <row r="3970" spans="7:11">
      <c r="G3970">
        <v>2</v>
      </c>
      <c r="H3970">
        <v>2</v>
      </c>
      <c r="I3970">
        <v>2</v>
      </c>
      <c r="J3970">
        <v>1</v>
      </c>
      <c r="K3970">
        <v>1</v>
      </c>
    </row>
    <row r="3971" spans="7:11">
      <c r="G3971">
        <v>2</v>
      </c>
      <c r="H3971">
        <v>2</v>
      </c>
      <c r="I3971">
        <v>2</v>
      </c>
      <c r="J3971">
        <v>2</v>
      </c>
      <c r="K3971">
        <v>2</v>
      </c>
    </row>
    <row r="3972" spans="7:11">
      <c r="G3972">
        <v>2</v>
      </c>
      <c r="H3972">
        <v>2</v>
      </c>
      <c r="I3972">
        <v>3</v>
      </c>
      <c r="J3972">
        <v>1</v>
      </c>
      <c r="K3972">
        <v>1</v>
      </c>
    </row>
    <row r="3973" spans="7:11">
      <c r="G3973">
        <v>2</v>
      </c>
      <c r="H3973">
        <v>2</v>
      </c>
      <c r="I3973">
        <v>3</v>
      </c>
      <c r="J3973">
        <v>2</v>
      </c>
      <c r="K3973">
        <v>2</v>
      </c>
    </row>
    <row r="3974" spans="7:11">
      <c r="G3974">
        <v>2</v>
      </c>
      <c r="H3974">
        <v>2</v>
      </c>
      <c r="I3974">
        <v>4</v>
      </c>
      <c r="J3974">
        <v>1</v>
      </c>
      <c r="K3974">
        <v>1</v>
      </c>
    </row>
    <row r="3975" spans="7:11">
      <c r="G3975">
        <v>2</v>
      </c>
      <c r="H3975">
        <v>2</v>
      </c>
      <c r="I3975">
        <v>4</v>
      </c>
      <c r="J3975">
        <v>2</v>
      </c>
      <c r="K3975">
        <v>2</v>
      </c>
    </row>
    <row r="3976" spans="7:11">
      <c r="G3976">
        <v>2</v>
      </c>
      <c r="H3976">
        <v>2</v>
      </c>
      <c r="I3976">
        <v>5</v>
      </c>
      <c r="J3976">
        <v>1</v>
      </c>
      <c r="K3976">
        <v>1</v>
      </c>
    </row>
    <row r="3977" spans="7:11">
      <c r="G3977">
        <v>2</v>
      </c>
      <c r="H3977">
        <v>2</v>
      </c>
      <c r="I3977">
        <v>5</v>
      </c>
      <c r="J3977">
        <v>2</v>
      </c>
      <c r="K3977">
        <v>2</v>
      </c>
    </row>
    <row r="3978" spans="7:11">
      <c r="G3978">
        <v>2</v>
      </c>
      <c r="H3978">
        <v>3</v>
      </c>
      <c r="I3978">
        <v>1</v>
      </c>
      <c r="J3978">
        <v>1</v>
      </c>
      <c r="K3978">
        <v>1</v>
      </c>
    </row>
    <row r="3979" spans="7:11">
      <c r="G3979">
        <v>2</v>
      </c>
      <c r="H3979">
        <v>3</v>
      </c>
      <c r="I3979">
        <v>1</v>
      </c>
      <c r="J3979">
        <v>2</v>
      </c>
      <c r="K3979">
        <v>2</v>
      </c>
    </row>
    <row r="3980" spans="7:11">
      <c r="G3980">
        <v>2</v>
      </c>
      <c r="H3980">
        <v>3</v>
      </c>
      <c r="I3980">
        <v>2</v>
      </c>
      <c r="J3980">
        <v>1</v>
      </c>
      <c r="K3980">
        <v>1</v>
      </c>
    </row>
    <row r="3981" spans="7:11">
      <c r="G3981">
        <v>2</v>
      </c>
      <c r="H3981">
        <v>3</v>
      </c>
      <c r="I3981">
        <v>2</v>
      </c>
      <c r="J3981">
        <v>2</v>
      </c>
      <c r="K3981">
        <v>2</v>
      </c>
    </row>
    <row r="3982" spans="7:11">
      <c r="G3982">
        <v>2</v>
      </c>
      <c r="H3982">
        <v>3</v>
      </c>
      <c r="I3982">
        <v>3</v>
      </c>
      <c r="J3982">
        <v>1</v>
      </c>
      <c r="K3982">
        <v>1</v>
      </c>
    </row>
    <row r="3983" spans="7:11">
      <c r="G3983">
        <v>2</v>
      </c>
      <c r="H3983">
        <v>3</v>
      </c>
      <c r="I3983">
        <v>3</v>
      </c>
      <c r="J3983">
        <v>2</v>
      </c>
      <c r="K3983">
        <v>2</v>
      </c>
    </row>
    <row r="3984" spans="7:11">
      <c r="G3984">
        <v>2</v>
      </c>
      <c r="H3984">
        <v>3</v>
      </c>
      <c r="I3984">
        <v>4</v>
      </c>
      <c r="J3984">
        <v>1</v>
      </c>
      <c r="K3984">
        <v>1</v>
      </c>
    </row>
    <row r="3985" spans="7:11">
      <c r="G3985">
        <v>2</v>
      </c>
      <c r="H3985">
        <v>3</v>
      </c>
      <c r="I3985">
        <v>4</v>
      </c>
      <c r="J3985">
        <v>2</v>
      </c>
      <c r="K3985">
        <v>2</v>
      </c>
    </row>
    <row r="3986" spans="7:11">
      <c r="G3986">
        <v>2</v>
      </c>
      <c r="H3986">
        <v>3</v>
      </c>
      <c r="I3986">
        <v>5</v>
      </c>
      <c r="J3986">
        <v>1</v>
      </c>
      <c r="K3986">
        <v>1</v>
      </c>
    </row>
    <row r="3987" spans="7:11">
      <c r="G3987">
        <v>2</v>
      </c>
      <c r="H3987">
        <v>3</v>
      </c>
      <c r="I3987">
        <v>5</v>
      </c>
      <c r="J3987">
        <v>2</v>
      </c>
      <c r="K3987">
        <v>2</v>
      </c>
    </row>
    <row r="3988" spans="7:11">
      <c r="G3988">
        <v>3</v>
      </c>
      <c r="H3988">
        <v>1</v>
      </c>
      <c r="I3988">
        <v>3</v>
      </c>
      <c r="J3988">
        <v>1</v>
      </c>
      <c r="K3988">
        <v>1</v>
      </c>
    </row>
    <row r="3989" spans="7:11">
      <c r="G3989">
        <v>3</v>
      </c>
      <c r="H3989">
        <v>1</v>
      </c>
      <c r="I3989">
        <v>3</v>
      </c>
      <c r="J3989">
        <v>2</v>
      </c>
      <c r="K3989">
        <v>2</v>
      </c>
    </row>
    <row r="3990" spans="7:11">
      <c r="G3990">
        <v>3</v>
      </c>
      <c r="H3990">
        <v>1</v>
      </c>
      <c r="I3990">
        <v>4</v>
      </c>
      <c r="J3990">
        <v>1</v>
      </c>
      <c r="K3990">
        <v>1</v>
      </c>
    </row>
    <row r="3991" spans="7:11">
      <c r="G3991">
        <v>3</v>
      </c>
      <c r="H3991">
        <v>1</v>
      </c>
      <c r="I3991">
        <v>4</v>
      </c>
      <c r="J3991">
        <v>2</v>
      </c>
      <c r="K3991">
        <v>2</v>
      </c>
    </row>
    <row r="3992" spans="7:11">
      <c r="G3992">
        <v>3</v>
      </c>
      <c r="H3992">
        <v>1</v>
      </c>
      <c r="I3992">
        <v>5</v>
      </c>
      <c r="J3992">
        <v>1</v>
      </c>
      <c r="K3992">
        <v>1</v>
      </c>
    </row>
    <row r="3993" spans="7:11">
      <c r="G3993">
        <v>3</v>
      </c>
      <c r="H3993">
        <v>1</v>
      </c>
      <c r="I3993">
        <v>5</v>
      </c>
      <c r="J3993">
        <v>2</v>
      </c>
      <c r="K3993">
        <v>2</v>
      </c>
    </row>
    <row r="3994" spans="7:11">
      <c r="G3994">
        <v>3</v>
      </c>
      <c r="H3994">
        <v>2</v>
      </c>
      <c r="I3994">
        <v>1</v>
      </c>
      <c r="J3994">
        <v>1</v>
      </c>
      <c r="K3994">
        <v>1</v>
      </c>
    </row>
    <row r="3995" spans="7:11">
      <c r="G3995">
        <v>3</v>
      </c>
      <c r="H3995">
        <v>2</v>
      </c>
      <c r="I3995">
        <v>1</v>
      </c>
      <c r="J3995">
        <v>2</v>
      </c>
      <c r="K3995">
        <v>2</v>
      </c>
    </row>
    <row r="3996" spans="7:11">
      <c r="G3996">
        <v>3</v>
      </c>
      <c r="H3996">
        <v>2</v>
      </c>
      <c r="I3996">
        <v>2</v>
      </c>
      <c r="J3996">
        <v>1</v>
      </c>
      <c r="K3996">
        <v>1</v>
      </c>
    </row>
    <row r="3997" spans="7:11">
      <c r="G3997">
        <v>3</v>
      </c>
      <c r="H3997">
        <v>2</v>
      </c>
      <c r="I3997">
        <v>2</v>
      </c>
      <c r="J3997">
        <v>2</v>
      </c>
      <c r="K3997">
        <v>2</v>
      </c>
    </row>
    <row r="3998" spans="7:11">
      <c r="G3998">
        <v>3</v>
      </c>
      <c r="H3998">
        <v>2</v>
      </c>
      <c r="I3998">
        <v>3</v>
      </c>
      <c r="J3998">
        <v>1</v>
      </c>
      <c r="K3998">
        <v>1</v>
      </c>
    </row>
    <row r="3999" spans="7:11">
      <c r="G3999">
        <v>3</v>
      </c>
      <c r="H3999">
        <v>2</v>
      </c>
      <c r="I3999">
        <v>3</v>
      </c>
      <c r="J3999">
        <v>2</v>
      </c>
      <c r="K3999">
        <v>2</v>
      </c>
    </row>
    <row r="4000" spans="7:11">
      <c r="G4000">
        <v>3</v>
      </c>
      <c r="H4000">
        <v>2</v>
      </c>
      <c r="I4000">
        <v>4</v>
      </c>
      <c r="J4000">
        <v>1</v>
      </c>
      <c r="K4000">
        <v>1</v>
      </c>
    </row>
    <row r="4001" spans="7:11">
      <c r="G4001">
        <v>3</v>
      </c>
      <c r="H4001">
        <v>2</v>
      </c>
      <c r="I4001">
        <v>4</v>
      </c>
      <c r="J4001">
        <v>2</v>
      </c>
      <c r="K4001">
        <v>2</v>
      </c>
    </row>
    <row r="4002" spans="7:11">
      <c r="G4002">
        <v>3</v>
      </c>
      <c r="H4002">
        <v>2</v>
      </c>
      <c r="I4002">
        <v>5</v>
      </c>
      <c r="J4002">
        <v>1</v>
      </c>
      <c r="K4002">
        <v>1</v>
      </c>
    </row>
    <row r="4003" spans="7:11">
      <c r="G4003">
        <v>3</v>
      </c>
      <c r="H4003">
        <v>2</v>
      </c>
      <c r="I4003">
        <v>5</v>
      </c>
      <c r="J4003">
        <v>2</v>
      </c>
      <c r="K4003">
        <v>2</v>
      </c>
    </row>
    <row r="4004" spans="7:11">
      <c r="G4004">
        <v>3</v>
      </c>
      <c r="H4004">
        <v>3</v>
      </c>
      <c r="I4004">
        <v>1</v>
      </c>
      <c r="J4004">
        <v>1</v>
      </c>
      <c r="K4004">
        <v>1</v>
      </c>
    </row>
    <row r="4005" spans="7:11">
      <c r="G4005">
        <v>3</v>
      </c>
      <c r="H4005">
        <v>3</v>
      </c>
      <c r="I4005">
        <v>1</v>
      </c>
      <c r="J4005">
        <v>2</v>
      </c>
      <c r="K4005">
        <v>2</v>
      </c>
    </row>
    <row r="4006" spans="7:11">
      <c r="G4006">
        <v>3</v>
      </c>
      <c r="H4006">
        <v>3</v>
      </c>
      <c r="I4006">
        <v>2</v>
      </c>
      <c r="J4006">
        <v>1</v>
      </c>
      <c r="K4006">
        <v>1</v>
      </c>
    </row>
    <row r="4007" spans="7:11">
      <c r="G4007">
        <v>3</v>
      </c>
      <c r="H4007">
        <v>3</v>
      </c>
      <c r="I4007">
        <v>2</v>
      </c>
      <c r="J4007">
        <v>2</v>
      </c>
      <c r="K4007">
        <v>2</v>
      </c>
    </row>
    <row r="4008" spans="7:11">
      <c r="G4008">
        <v>3</v>
      </c>
      <c r="H4008">
        <v>3</v>
      </c>
      <c r="I4008">
        <v>3</v>
      </c>
      <c r="J4008">
        <v>1</v>
      </c>
      <c r="K4008">
        <v>1</v>
      </c>
    </row>
    <row r="4009" spans="7:11">
      <c r="G4009">
        <v>3</v>
      </c>
      <c r="H4009">
        <v>3</v>
      </c>
      <c r="I4009">
        <v>3</v>
      </c>
      <c r="J4009">
        <v>2</v>
      </c>
      <c r="K4009">
        <v>2</v>
      </c>
    </row>
    <row r="4010" spans="7:11">
      <c r="G4010">
        <v>3</v>
      </c>
      <c r="H4010">
        <v>3</v>
      </c>
      <c r="I4010">
        <v>4</v>
      </c>
      <c r="J4010">
        <v>1</v>
      </c>
      <c r="K4010">
        <v>1</v>
      </c>
    </row>
    <row r="4011" spans="7:11">
      <c r="G4011">
        <v>3</v>
      </c>
      <c r="H4011">
        <v>3</v>
      </c>
      <c r="I4011">
        <v>4</v>
      </c>
      <c r="J4011">
        <v>2</v>
      </c>
      <c r="K4011">
        <v>2</v>
      </c>
    </row>
    <row r="4012" spans="7:11">
      <c r="G4012">
        <v>3</v>
      </c>
      <c r="H4012">
        <v>3</v>
      </c>
      <c r="I4012">
        <v>5</v>
      </c>
      <c r="J4012">
        <v>1</v>
      </c>
      <c r="K4012">
        <v>1</v>
      </c>
    </row>
    <row r="4013" spans="7:11">
      <c r="G4013">
        <v>3</v>
      </c>
      <c r="H4013">
        <v>3</v>
      </c>
      <c r="I4013">
        <v>5</v>
      </c>
      <c r="J4013">
        <v>2</v>
      </c>
      <c r="K4013">
        <v>2</v>
      </c>
    </row>
    <row r="4014" spans="7:11">
      <c r="G4014">
        <v>4</v>
      </c>
      <c r="H4014">
        <v>1</v>
      </c>
      <c r="I4014">
        <v>3</v>
      </c>
      <c r="J4014">
        <v>1</v>
      </c>
      <c r="K4014">
        <v>1</v>
      </c>
    </row>
    <row r="4015" spans="7:11">
      <c r="G4015">
        <v>4</v>
      </c>
      <c r="H4015">
        <v>1</v>
      </c>
      <c r="I4015">
        <v>3</v>
      </c>
      <c r="J4015">
        <v>2</v>
      </c>
      <c r="K4015">
        <v>2</v>
      </c>
    </row>
    <row r="4016" spans="7:11">
      <c r="G4016">
        <v>4</v>
      </c>
      <c r="H4016">
        <v>1</v>
      </c>
      <c r="I4016">
        <v>4</v>
      </c>
      <c r="J4016">
        <v>1</v>
      </c>
      <c r="K4016">
        <v>1</v>
      </c>
    </row>
    <row r="4017" spans="7:11">
      <c r="G4017">
        <v>4</v>
      </c>
      <c r="H4017">
        <v>1</v>
      </c>
      <c r="I4017">
        <v>4</v>
      </c>
      <c r="J4017">
        <v>2</v>
      </c>
      <c r="K4017">
        <v>2</v>
      </c>
    </row>
    <row r="4018" spans="7:11">
      <c r="G4018">
        <v>4</v>
      </c>
      <c r="H4018">
        <v>1</v>
      </c>
      <c r="I4018">
        <v>5</v>
      </c>
      <c r="J4018">
        <v>1</v>
      </c>
      <c r="K4018">
        <v>1</v>
      </c>
    </row>
    <row r="4019" spans="7:11">
      <c r="G4019">
        <v>4</v>
      </c>
      <c r="H4019">
        <v>1</v>
      </c>
      <c r="I4019">
        <v>5</v>
      </c>
      <c r="J4019">
        <v>2</v>
      </c>
      <c r="K4019">
        <v>2</v>
      </c>
    </row>
    <row r="4020" spans="7:11">
      <c r="G4020">
        <v>4</v>
      </c>
      <c r="H4020">
        <v>2</v>
      </c>
      <c r="I4020">
        <v>1</v>
      </c>
      <c r="J4020">
        <v>1</v>
      </c>
      <c r="K4020">
        <v>1</v>
      </c>
    </row>
    <row r="4021" spans="7:11">
      <c r="G4021">
        <v>4</v>
      </c>
      <c r="H4021">
        <v>2</v>
      </c>
      <c r="I4021">
        <v>1</v>
      </c>
      <c r="J4021">
        <v>2</v>
      </c>
      <c r="K4021">
        <v>2</v>
      </c>
    </row>
    <row r="4022" spans="7:11">
      <c r="G4022">
        <v>4</v>
      </c>
      <c r="H4022">
        <v>2</v>
      </c>
      <c r="I4022">
        <v>2</v>
      </c>
      <c r="J4022">
        <v>1</v>
      </c>
      <c r="K4022">
        <v>1</v>
      </c>
    </row>
    <row r="4023" spans="7:11">
      <c r="G4023">
        <v>4</v>
      </c>
      <c r="H4023">
        <v>2</v>
      </c>
      <c r="I4023">
        <v>2</v>
      </c>
      <c r="J4023">
        <v>2</v>
      </c>
      <c r="K4023">
        <v>2</v>
      </c>
    </row>
    <row r="4024" spans="7:11">
      <c r="G4024">
        <v>4</v>
      </c>
      <c r="H4024">
        <v>2</v>
      </c>
      <c r="I4024">
        <v>3</v>
      </c>
      <c r="J4024">
        <v>1</v>
      </c>
      <c r="K4024">
        <v>1</v>
      </c>
    </row>
    <row r="4025" spans="7:11">
      <c r="G4025">
        <v>4</v>
      </c>
      <c r="H4025">
        <v>2</v>
      </c>
      <c r="I4025">
        <v>3</v>
      </c>
      <c r="J4025">
        <v>2</v>
      </c>
      <c r="K4025">
        <v>2</v>
      </c>
    </row>
    <row r="4026" spans="7:11">
      <c r="G4026">
        <v>4</v>
      </c>
      <c r="H4026">
        <v>2</v>
      </c>
      <c r="I4026">
        <v>4</v>
      </c>
      <c r="J4026">
        <v>1</v>
      </c>
      <c r="K4026">
        <v>1</v>
      </c>
    </row>
    <row r="4027" spans="7:11">
      <c r="G4027">
        <v>4</v>
      </c>
      <c r="H4027">
        <v>2</v>
      </c>
      <c r="I4027">
        <v>4</v>
      </c>
      <c r="J4027">
        <v>2</v>
      </c>
      <c r="K4027">
        <v>2</v>
      </c>
    </row>
    <row r="4028" spans="7:11">
      <c r="G4028">
        <v>4</v>
      </c>
      <c r="H4028">
        <v>2</v>
      </c>
      <c r="I4028">
        <v>5</v>
      </c>
      <c r="J4028">
        <v>1</v>
      </c>
      <c r="K4028">
        <v>1</v>
      </c>
    </row>
    <row r="4029" spans="7:11">
      <c r="G4029">
        <v>4</v>
      </c>
      <c r="H4029">
        <v>2</v>
      </c>
      <c r="I4029">
        <v>5</v>
      </c>
      <c r="J4029">
        <v>2</v>
      </c>
      <c r="K4029">
        <v>2</v>
      </c>
    </row>
    <row r="4030" spans="7:11">
      <c r="G4030">
        <v>4</v>
      </c>
      <c r="H4030">
        <v>3</v>
      </c>
      <c r="I4030">
        <v>1</v>
      </c>
      <c r="J4030">
        <v>1</v>
      </c>
      <c r="K4030">
        <v>1</v>
      </c>
    </row>
    <row r="4031" spans="7:11">
      <c r="G4031">
        <v>4</v>
      </c>
      <c r="H4031">
        <v>3</v>
      </c>
      <c r="I4031">
        <v>1</v>
      </c>
      <c r="J4031">
        <v>2</v>
      </c>
      <c r="K4031">
        <v>2</v>
      </c>
    </row>
    <row r="4032" spans="7:11">
      <c r="G4032">
        <v>4</v>
      </c>
      <c r="H4032">
        <v>3</v>
      </c>
      <c r="I4032">
        <v>2</v>
      </c>
      <c r="J4032">
        <v>1</v>
      </c>
      <c r="K4032">
        <v>1</v>
      </c>
    </row>
    <row r="4033" spans="7:11">
      <c r="G4033">
        <v>4</v>
      </c>
      <c r="H4033">
        <v>3</v>
      </c>
      <c r="I4033">
        <v>2</v>
      </c>
      <c r="J4033">
        <v>2</v>
      </c>
      <c r="K4033">
        <v>2</v>
      </c>
    </row>
    <row r="4034" spans="7:11">
      <c r="G4034">
        <v>4</v>
      </c>
      <c r="H4034">
        <v>3</v>
      </c>
      <c r="I4034">
        <v>3</v>
      </c>
      <c r="J4034">
        <v>1</v>
      </c>
      <c r="K4034">
        <v>1</v>
      </c>
    </row>
    <row r="4035" spans="7:11">
      <c r="G4035">
        <v>4</v>
      </c>
      <c r="H4035">
        <v>3</v>
      </c>
      <c r="I4035">
        <v>3</v>
      </c>
      <c r="J4035">
        <v>2</v>
      </c>
      <c r="K4035">
        <v>2</v>
      </c>
    </row>
    <row r="4036" spans="7:11">
      <c r="G4036">
        <v>4</v>
      </c>
      <c r="H4036">
        <v>3</v>
      </c>
      <c r="I4036">
        <v>4</v>
      </c>
      <c r="J4036">
        <v>1</v>
      </c>
      <c r="K4036">
        <v>1</v>
      </c>
    </row>
    <row r="4037" spans="7:11">
      <c r="G4037">
        <v>4</v>
      </c>
      <c r="H4037">
        <v>3</v>
      </c>
      <c r="I4037">
        <v>4</v>
      </c>
      <c r="J4037">
        <v>2</v>
      </c>
      <c r="K4037">
        <v>2</v>
      </c>
    </row>
    <row r="4038" spans="7:11">
      <c r="G4038">
        <v>4</v>
      </c>
      <c r="H4038">
        <v>3</v>
      </c>
      <c r="I4038">
        <v>5</v>
      </c>
      <c r="J4038">
        <v>1</v>
      </c>
      <c r="K4038">
        <v>1</v>
      </c>
    </row>
    <row r="4039" spans="7:11">
      <c r="G4039">
        <v>4</v>
      </c>
      <c r="H4039">
        <v>3</v>
      </c>
      <c r="I4039">
        <v>5</v>
      </c>
      <c r="J4039">
        <v>2</v>
      </c>
      <c r="K4039">
        <v>2</v>
      </c>
    </row>
    <row r="4040" spans="7:11">
      <c r="G4040">
        <v>1</v>
      </c>
      <c r="H4040">
        <v>2</v>
      </c>
      <c r="I4040">
        <v>1</v>
      </c>
      <c r="J4040">
        <v>1</v>
      </c>
      <c r="K4040">
        <v>1</v>
      </c>
    </row>
    <row r="4041" spans="7:11">
      <c r="G4041">
        <v>1</v>
      </c>
      <c r="H4041">
        <v>2</v>
      </c>
      <c r="I4041">
        <v>1</v>
      </c>
      <c r="J4041">
        <v>2</v>
      </c>
      <c r="K4041">
        <v>2</v>
      </c>
    </row>
    <row r="4042" spans="7:11">
      <c r="G4042">
        <v>1</v>
      </c>
      <c r="H4042">
        <v>2</v>
      </c>
      <c r="I4042">
        <v>2</v>
      </c>
      <c r="J4042">
        <v>1</v>
      </c>
      <c r="K4042">
        <v>1</v>
      </c>
    </row>
    <row r="4043" spans="7:11">
      <c r="G4043">
        <v>1</v>
      </c>
      <c r="H4043">
        <v>2</v>
      </c>
      <c r="I4043">
        <v>2</v>
      </c>
      <c r="J4043">
        <v>2</v>
      </c>
      <c r="K4043">
        <v>2</v>
      </c>
    </row>
    <row r="4044" spans="7:11">
      <c r="G4044">
        <v>1</v>
      </c>
      <c r="H4044">
        <v>2</v>
      </c>
      <c r="I4044">
        <v>3</v>
      </c>
      <c r="J4044">
        <v>1</v>
      </c>
      <c r="K4044">
        <v>1</v>
      </c>
    </row>
    <row r="4045" spans="7:11">
      <c r="G4045">
        <v>1</v>
      </c>
      <c r="H4045">
        <v>2</v>
      </c>
      <c r="I4045">
        <v>3</v>
      </c>
      <c r="J4045">
        <v>2</v>
      </c>
      <c r="K4045">
        <v>2</v>
      </c>
    </row>
    <row r="4046" spans="7:11">
      <c r="G4046">
        <v>1</v>
      </c>
      <c r="H4046">
        <v>2</v>
      </c>
      <c r="I4046">
        <v>4</v>
      </c>
      <c r="J4046">
        <v>1</v>
      </c>
      <c r="K4046">
        <v>1</v>
      </c>
    </row>
    <row r="4047" spans="7:11">
      <c r="G4047">
        <v>1</v>
      </c>
      <c r="H4047">
        <v>2</v>
      </c>
      <c r="I4047">
        <v>4</v>
      </c>
      <c r="J4047">
        <v>2</v>
      </c>
      <c r="K4047">
        <v>2</v>
      </c>
    </row>
    <row r="4048" spans="7:11">
      <c r="G4048">
        <v>1</v>
      </c>
      <c r="H4048">
        <v>2</v>
      </c>
      <c r="I4048">
        <v>5</v>
      </c>
      <c r="J4048">
        <v>1</v>
      </c>
      <c r="K4048">
        <v>1</v>
      </c>
    </row>
    <row r="4049" spans="7:11">
      <c r="G4049">
        <v>1</v>
      </c>
      <c r="H4049">
        <v>2</v>
      </c>
      <c r="I4049">
        <v>5</v>
      </c>
      <c r="J4049">
        <v>2</v>
      </c>
      <c r="K4049">
        <v>2</v>
      </c>
    </row>
    <row r="4050" spans="7:11">
      <c r="G4050">
        <v>1</v>
      </c>
      <c r="H4050">
        <v>3</v>
      </c>
      <c r="I4050">
        <v>1</v>
      </c>
      <c r="J4050">
        <v>1</v>
      </c>
      <c r="K4050">
        <v>1</v>
      </c>
    </row>
    <row r="4051" spans="7:11">
      <c r="G4051">
        <v>1</v>
      </c>
      <c r="H4051">
        <v>3</v>
      </c>
      <c r="I4051">
        <v>1</v>
      </c>
      <c r="J4051">
        <v>2</v>
      </c>
      <c r="K4051">
        <v>2</v>
      </c>
    </row>
    <row r="4052" spans="7:11">
      <c r="G4052">
        <v>1</v>
      </c>
      <c r="H4052">
        <v>3</v>
      </c>
      <c r="I4052">
        <v>2</v>
      </c>
      <c r="J4052">
        <v>1</v>
      </c>
      <c r="K4052">
        <v>1</v>
      </c>
    </row>
    <row r="4053" spans="7:11">
      <c r="G4053">
        <v>1</v>
      </c>
      <c r="H4053">
        <v>3</v>
      </c>
      <c r="I4053">
        <v>2</v>
      </c>
      <c r="J4053">
        <v>2</v>
      </c>
      <c r="K4053">
        <v>2</v>
      </c>
    </row>
    <row r="4054" spans="7:11">
      <c r="G4054">
        <v>1</v>
      </c>
      <c r="H4054">
        <v>3</v>
      </c>
      <c r="I4054">
        <v>3</v>
      </c>
      <c r="J4054">
        <v>1</v>
      </c>
      <c r="K4054">
        <v>1</v>
      </c>
    </row>
    <row r="4055" spans="7:11">
      <c r="G4055">
        <v>1</v>
      </c>
      <c r="H4055">
        <v>3</v>
      </c>
      <c r="I4055">
        <v>3</v>
      </c>
      <c r="J4055">
        <v>2</v>
      </c>
      <c r="K4055">
        <v>2</v>
      </c>
    </row>
    <row r="4056" spans="7:11">
      <c r="G4056">
        <v>1</v>
      </c>
      <c r="H4056">
        <v>3</v>
      </c>
      <c r="I4056">
        <v>4</v>
      </c>
      <c r="J4056">
        <v>1</v>
      </c>
      <c r="K4056">
        <v>1</v>
      </c>
    </row>
    <row r="4057" spans="7:11">
      <c r="G4057">
        <v>1</v>
      </c>
      <c r="H4057">
        <v>3</v>
      </c>
      <c r="I4057">
        <v>4</v>
      </c>
      <c r="J4057">
        <v>2</v>
      </c>
      <c r="K4057">
        <v>2</v>
      </c>
    </row>
    <row r="4058" spans="7:11">
      <c r="G4058">
        <v>1</v>
      </c>
      <c r="H4058">
        <v>3</v>
      </c>
      <c r="I4058">
        <v>5</v>
      </c>
      <c r="J4058">
        <v>1</v>
      </c>
      <c r="K4058">
        <v>1</v>
      </c>
    </row>
    <row r="4059" spans="7:11">
      <c r="G4059">
        <v>1</v>
      </c>
      <c r="H4059">
        <v>3</v>
      </c>
      <c r="I4059">
        <v>5</v>
      </c>
      <c r="J4059">
        <v>2</v>
      </c>
      <c r="K4059">
        <v>2</v>
      </c>
    </row>
    <row r="4060" spans="7:11">
      <c r="G4060">
        <v>2</v>
      </c>
      <c r="H4060">
        <v>1</v>
      </c>
      <c r="I4060">
        <v>3</v>
      </c>
      <c r="J4060">
        <v>1</v>
      </c>
      <c r="K4060">
        <v>1</v>
      </c>
    </row>
    <row r="4061" spans="7:11">
      <c r="G4061">
        <v>2</v>
      </c>
      <c r="H4061">
        <v>1</v>
      </c>
      <c r="I4061">
        <v>3</v>
      </c>
      <c r="J4061">
        <v>2</v>
      </c>
      <c r="K4061">
        <v>2</v>
      </c>
    </row>
    <row r="4062" spans="7:11">
      <c r="G4062">
        <v>2</v>
      </c>
      <c r="H4062">
        <v>1</v>
      </c>
      <c r="I4062">
        <v>4</v>
      </c>
      <c r="J4062">
        <v>1</v>
      </c>
      <c r="K4062">
        <v>1</v>
      </c>
    </row>
    <row r="4063" spans="7:11">
      <c r="G4063">
        <v>2</v>
      </c>
      <c r="H4063">
        <v>1</v>
      </c>
      <c r="I4063">
        <v>4</v>
      </c>
      <c r="J4063">
        <v>2</v>
      </c>
      <c r="K4063">
        <v>2</v>
      </c>
    </row>
    <row r="4064" spans="7:11">
      <c r="G4064">
        <v>2</v>
      </c>
      <c r="H4064">
        <v>1</v>
      </c>
      <c r="I4064">
        <v>5</v>
      </c>
      <c r="J4064">
        <v>1</v>
      </c>
      <c r="K4064">
        <v>1</v>
      </c>
    </row>
    <row r="4065" spans="7:11">
      <c r="G4065">
        <v>2</v>
      </c>
      <c r="H4065">
        <v>1</v>
      </c>
      <c r="I4065">
        <v>5</v>
      </c>
      <c r="J4065">
        <v>2</v>
      </c>
      <c r="K4065">
        <v>2</v>
      </c>
    </row>
    <row r="4066" spans="7:11">
      <c r="G4066">
        <v>2</v>
      </c>
      <c r="H4066">
        <v>2</v>
      </c>
      <c r="I4066">
        <v>1</v>
      </c>
      <c r="J4066">
        <v>1</v>
      </c>
      <c r="K4066">
        <v>1</v>
      </c>
    </row>
    <row r="4067" spans="7:11">
      <c r="G4067">
        <v>2</v>
      </c>
      <c r="H4067">
        <v>2</v>
      </c>
      <c r="I4067">
        <v>1</v>
      </c>
      <c r="J4067">
        <v>2</v>
      </c>
      <c r="K4067">
        <v>2</v>
      </c>
    </row>
    <row r="4068" spans="7:11">
      <c r="G4068">
        <v>2</v>
      </c>
      <c r="H4068">
        <v>2</v>
      </c>
      <c r="I4068">
        <v>2</v>
      </c>
      <c r="J4068">
        <v>1</v>
      </c>
      <c r="K4068">
        <v>1</v>
      </c>
    </row>
    <row r="4069" spans="7:11">
      <c r="G4069">
        <v>2</v>
      </c>
      <c r="H4069">
        <v>2</v>
      </c>
      <c r="I4069">
        <v>2</v>
      </c>
      <c r="J4069">
        <v>2</v>
      </c>
      <c r="K4069">
        <v>2</v>
      </c>
    </row>
    <row r="4070" spans="7:11">
      <c r="G4070">
        <v>2</v>
      </c>
      <c r="H4070">
        <v>2</v>
      </c>
      <c r="I4070">
        <v>3</v>
      </c>
      <c r="J4070">
        <v>1</v>
      </c>
      <c r="K4070">
        <v>1</v>
      </c>
    </row>
    <row r="4071" spans="7:11">
      <c r="G4071">
        <v>2</v>
      </c>
      <c r="H4071">
        <v>2</v>
      </c>
      <c r="I4071">
        <v>3</v>
      </c>
      <c r="J4071">
        <v>2</v>
      </c>
      <c r="K4071">
        <v>2</v>
      </c>
    </row>
    <row r="4072" spans="7:11">
      <c r="G4072">
        <v>2</v>
      </c>
      <c r="H4072">
        <v>2</v>
      </c>
      <c r="I4072">
        <v>4</v>
      </c>
      <c r="J4072">
        <v>1</v>
      </c>
      <c r="K4072">
        <v>1</v>
      </c>
    </row>
    <row r="4073" spans="7:11">
      <c r="G4073">
        <v>2</v>
      </c>
      <c r="H4073">
        <v>2</v>
      </c>
      <c r="I4073">
        <v>4</v>
      </c>
      <c r="J4073">
        <v>2</v>
      </c>
      <c r="K4073">
        <v>2</v>
      </c>
    </row>
    <row r="4074" spans="7:11">
      <c r="G4074">
        <v>2</v>
      </c>
      <c r="H4074">
        <v>2</v>
      </c>
      <c r="I4074">
        <v>5</v>
      </c>
      <c r="J4074">
        <v>1</v>
      </c>
      <c r="K4074">
        <v>1</v>
      </c>
    </row>
    <row r="4075" spans="7:11">
      <c r="G4075">
        <v>2</v>
      </c>
      <c r="H4075">
        <v>2</v>
      </c>
      <c r="I4075">
        <v>5</v>
      </c>
      <c r="J4075">
        <v>2</v>
      </c>
      <c r="K4075">
        <v>2</v>
      </c>
    </row>
    <row r="4076" spans="7:11">
      <c r="G4076">
        <v>2</v>
      </c>
      <c r="H4076">
        <v>3</v>
      </c>
      <c r="I4076">
        <v>1</v>
      </c>
      <c r="J4076">
        <v>1</v>
      </c>
      <c r="K4076">
        <v>1</v>
      </c>
    </row>
    <row r="4077" spans="7:11">
      <c r="G4077">
        <v>2</v>
      </c>
      <c r="H4077">
        <v>3</v>
      </c>
      <c r="I4077">
        <v>1</v>
      </c>
      <c r="J4077">
        <v>2</v>
      </c>
      <c r="K4077">
        <v>2</v>
      </c>
    </row>
    <row r="4078" spans="7:11">
      <c r="G4078">
        <v>2</v>
      </c>
      <c r="H4078">
        <v>3</v>
      </c>
      <c r="I4078">
        <v>2</v>
      </c>
      <c r="J4078">
        <v>1</v>
      </c>
      <c r="K4078">
        <v>1</v>
      </c>
    </row>
    <row r="4079" spans="7:11">
      <c r="G4079">
        <v>2</v>
      </c>
      <c r="H4079">
        <v>3</v>
      </c>
      <c r="I4079">
        <v>2</v>
      </c>
      <c r="J4079">
        <v>2</v>
      </c>
      <c r="K4079">
        <v>2</v>
      </c>
    </row>
    <row r="4080" spans="7:11">
      <c r="G4080">
        <v>2</v>
      </c>
      <c r="H4080">
        <v>3</v>
      </c>
      <c r="I4080">
        <v>3</v>
      </c>
      <c r="J4080">
        <v>1</v>
      </c>
      <c r="K4080">
        <v>1</v>
      </c>
    </row>
    <row r="4081" spans="7:11">
      <c r="G4081">
        <v>2</v>
      </c>
      <c r="H4081">
        <v>3</v>
      </c>
      <c r="I4081">
        <v>3</v>
      </c>
      <c r="J4081">
        <v>2</v>
      </c>
      <c r="K4081">
        <v>2</v>
      </c>
    </row>
    <row r="4082" spans="7:11">
      <c r="G4082">
        <v>2</v>
      </c>
      <c r="H4082">
        <v>3</v>
      </c>
      <c r="I4082">
        <v>4</v>
      </c>
      <c r="J4082">
        <v>1</v>
      </c>
      <c r="K4082">
        <v>1</v>
      </c>
    </row>
    <row r="4083" spans="7:11">
      <c r="G4083">
        <v>2</v>
      </c>
      <c r="H4083">
        <v>3</v>
      </c>
      <c r="I4083">
        <v>4</v>
      </c>
      <c r="J4083">
        <v>2</v>
      </c>
      <c r="K4083">
        <v>2</v>
      </c>
    </row>
    <row r="4084" spans="7:11">
      <c r="G4084">
        <v>2</v>
      </c>
      <c r="H4084">
        <v>3</v>
      </c>
      <c r="I4084">
        <v>5</v>
      </c>
      <c r="J4084">
        <v>1</v>
      </c>
      <c r="K4084">
        <v>1</v>
      </c>
    </row>
    <row r="4085" spans="7:11">
      <c r="G4085">
        <v>2</v>
      </c>
      <c r="H4085">
        <v>3</v>
      </c>
      <c r="I4085">
        <v>5</v>
      </c>
      <c r="J4085">
        <v>2</v>
      </c>
      <c r="K4085">
        <v>2</v>
      </c>
    </row>
    <row r="4086" spans="7:11">
      <c r="G4086">
        <v>3</v>
      </c>
      <c r="H4086">
        <v>1</v>
      </c>
      <c r="I4086">
        <v>3</v>
      </c>
      <c r="J4086">
        <v>1</v>
      </c>
      <c r="K4086">
        <v>1</v>
      </c>
    </row>
    <row r="4087" spans="7:11">
      <c r="G4087">
        <v>3</v>
      </c>
      <c r="H4087">
        <v>1</v>
      </c>
      <c r="I4087">
        <v>3</v>
      </c>
      <c r="J4087">
        <v>2</v>
      </c>
      <c r="K4087">
        <v>2</v>
      </c>
    </row>
    <row r="4088" spans="7:11">
      <c r="G4088">
        <v>3</v>
      </c>
      <c r="H4088">
        <v>1</v>
      </c>
      <c r="I4088">
        <v>4</v>
      </c>
      <c r="J4088">
        <v>1</v>
      </c>
      <c r="K4088">
        <v>1</v>
      </c>
    </row>
    <row r="4089" spans="7:11">
      <c r="G4089">
        <v>3</v>
      </c>
      <c r="H4089">
        <v>1</v>
      </c>
      <c r="I4089">
        <v>4</v>
      </c>
      <c r="J4089">
        <v>2</v>
      </c>
      <c r="K4089">
        <v>2</v>
      </c>
    </row>
    <row r="4090" spans="7:11">
      <c r="G4090">
        <v>3</v>
      </c>
      <c r="H4090">
        <v>1</v>
      </c>
      <c r="I4090">
        <v>5</v>
      </c>
      <c r="J4090">
        <v>1</v>
      </c>
      <c r="K4090">
        <v>1</v>
      </c>
    </row>
    <row r="4091" spans="7:11">
      <c r="G4091">
        <v>3</v>
      </c>
      <c r="H4091">
        <v>1</v>
      </c>
      <c r="I4091">
        <v>5</v>
      </c>
      <c r="J4091">
        <v>2</v>
      </c>
      <c r="K4091">
        <v>2</v>
      </c>
    </row>
    <row r="4092" spans="7:11">
      <c r="G4092">
        <v>3</v>
      </c>
      <c r="H4092">
        <v>2</v>
      </c>
      <c r="I4092">
        <v>1</v>
      </c>
      <c r="J4092">
        <v>1</v>
      </c>
      <c r="K4092">
        <v>1</v>
      </c>
    </row>
    <row r="4093" spans="7:11">
      <c r="G4093">
        <v>3</v>
      </c>
      <c r="H4093">
        <v>2</v>
      </c>
      <c r="I4093">
        <v>1</v>
      </c>
      <c r="J4093">
        <v>2</v>
      </c>
      <c r="K4093">
        <v>2</v>
      </c>
    </row>
    <row r="4094" spans="7:11">
      <c r="G4094">
        <v>3</v>
      </c>
      <c r="H4094">
        <v>2</v>
      </c>
      <c r="I4094">
        <v>2</v>
      </c>
      <c r="J4094">
        <v>1</v>
      </c>
      <c r="K4094">
        <v>1</v>
      </c>
    </row>
    <row r="4095" spans="7:11">
      <c r="G4095">
        <v>3</v>
      </c>
      <c r="H4095">
        <v>2</v>
      </c>
      <c r="I4095">
        <v>2</v>
      </c>
      <c r="J4095">
        <v>2</v>
      </c>
      <c r="K4095">
        <v>2</v>
      </c>
    </row>
    <row r="4096" spans="7:11">
      <c r="G4096">
        <v>3</v>
      </c>
      <c r="H4096">
        <v>2</v>
      </c>
      <c r="I4096">
        <v>3</v>
      </c>
      <c r="J4096">
        <v>1</v>
      </c>
      <c r="K4096">
        <v>1</v>
      </c>
    </row>
    <row r="4097" spans="7:11">
      <c r="G4097">
        <v>3</v>
      </c>
      <c r="H4097">
        <v>2</v>
      </c>
      <c r="I4097">
        <v>3</v>
      </c>
      <c r="J4097">
        <v>2</v>
      </c>
      <c r="K4097">
        <v>2</v>
      </c>
    </row>
    <row r="4098" spans="7:11">
      <c r="G4098">
        <v>3</v>
      </c>
      <c r="H4098">
        <v>2</v>
      </c>
      <c r="I4098">
        <v>4</v>
      </c>
      <c r="J4098">
        <v>1</v>
      </c>
      <c r="K4098">
        <v>1</v>
      </c>
    </row>
    <row r="4099" spans="7:11">
      <c r="G4099">
        <v>3</v>
      </c>
      <c r="H4099">
        <v>2</v>
      </c>
      <c r="I4099">
        <v>4</v>
      </c>
      <c r="J4099">
        <v>2</v>
      </c>
      <c r="K4099">
        <v>2</v>
      </c>
    </row>
    <row r="4100" spans="7:11">
      <c r="G4100">
        <v>3</v>
      </c>
      <c r="H4100">
        <v>2</v>
      </c>
      <c r="I4100">
        <v>5</v>
      </c>
      <c r="J4100">
        <v>1</v>
      </c>
      <c r="K4100">
        <v>1</v>
      </c>
    </row>
    <row r="4101" spans="7:11">
      <c r="G4101">
        <v>3</v>
      </c>
      <c r="H4101">
        <v>2</v>
      </c>
      <c r="I4101">
        <v>5</v>
      </c>
      <c r="J4101">
        <v>2</v>
      </c>
      <c r="K4101">
        <v>2</v>
      </c>
    </row>
    <row r="4102" spans="7:11">
      <c r="G4102">
        <v>3</v>
      </c>
      <c r="H4102">
        <v>3</v>
      </c>
      <c r="I4102">
        <v>1</v>
      </c>
      <c r="J4102">
        <v>1</v>
      </c>
      <c r="K4102">
        <v>1</v>
      </c>
    </row>
    <row r="4103" spans="7:11">
      <c r="G4103">
        <v>3</v>
      </c>
      <c r="H4103">
        <v>3</v>
      </c>
      <c r="I4103">
        <v>1</v>
      </c>
      <c r="J4103">
        <v>2</v>
      </c>
      <c r="K4103">
        <v>2</v>
      </c>
    </row>
    <row r="4104" spans="7:11">
      <c r="G4104">
        <v>3</v>
      </c>
      <c r="H4104">
        <v>3</v>
      </c>
      <c r="I4104">
        <v>2</v>
      </c>
      <c r="J4104">
        <v>1</v>
      </c>
      <c r="K4104">
        <v>1</v>
      </c>
    </row>
    <row r="4105" spans="7:11">
      <c r="G4105">
        <v>3</v>
      </c>
      <c r="H4105">
        <v>3</v>
      </c>
      <c r="I4105">
        <v>2</v>
      </c>
      <c r="J4105">
        <v>2</v>
      </c>
      <c r="K4105">
        <v>2</v>
      </c>
    </row>
    <row r="4106" spans="7:11">
      <c r="G4106">
        <v>3</v>
      </c>
      <c r="H4106">
        <v>3</v>
      </c>
      <c r="I4106">
        <v>3</v>
      </c>
      <c r="J4106">
        <v>1</v>
      </c>
      <c r="K4106">
        <v>1</v>
      </c>
    </row>
    <row r="4107" spans="7:11">
      <c r="G4107">
        <v>3</v>
      </c>
      <c r="H4107">
        <v>3</v>
      </c>
      <c r="I4107">
        <v>3</v>
      </c>
      <c r="J4107">
        <v>2</v>
      </c>
      <c r="K4107">
        <v>2</v>
      </c>
    </row>
    <row r="4108" spans="7:11">
      <c r="G4108">
        <v>3</v>
      </c>
      <c r="H4108">
        <v>3</v>
      </c>
      <c r="I4108">
        <v>4</v>
      </c>
      <c r="J4108">
        <v>1</v>
      </c>
      <c r="K4108">
        <v>1</v>
      </c>
    </row>
    <row r="4109" spans="7:11">
      <c r="G4109">
        <v>3</v>
      </c>
      <c r="H4109">
        <v>3</v>
      </c>
      <c r="I4109">
        <v>4</v>
      </c>
      <c r="J4109">
        <v>2</v>
      </c>
      <c r="K4109">
        <v>2</v>
      </c>
    </row>
    <row r="4110" spans="7:11">
      <c r="G4110">
        <v>3</v>
      </c>
      <c r="H4110">
        <v>3</v>
      </c>
      <c r="I4110">
        <v>5</v>
      </c>
      <c r="J4110">
        <v>1</v>
      </c>
      <c r="K4110">
        <v>1</v>
      </c>
    </row>
    <row r="4111" spans="7:11">
      <c r="G4111">
        <v>3</v>
      </c>
      <c r="H4111">
        <v>3</v>
      </c>
      <c r="I4111">
        <v>5</v>
      </c>
      <c r="J4111">
        <v>2</v>
      </c>
      <c r="K4111">
        <v>2</v>
      </c>
    </row>
    <row r="4112" spans="7:11">
      <c r="G4112">
        <v>4</v>
      </c>
      <c r="H4112">
        <v>1</v>
      </c>
      <c r="I4112">
        <v>3</v>
      </c>
      <c r="J4112">
        <v>1</v>
      </c>
      <c r="K4112">
        <v>1</v>
      </c>
    </row>
    <row r="4113" spans="7:11">
      <c r="G4113">
        <v>4</v>
      </c>
      <c r="H4113">
        <v>1</v>
      </c>
      <c r="I4113">
        <v>3</v>
      </c>
      <c r="J4113">
        <v>2</v>
      </c>
      <c r="K4113">
        <v>2</v>
      </c>
    </row>
    <row r="4114" spans="7:11">
      <c r="G4114">
        <v>4</v>
      </c>
      <c r="H4114">
        <v>1</v>
      </c>
      <c r="I4114">
        <v>4</v>
      </c>
      <c r="J4114">
        <v>1</v>
      </c>
      <c r="K4114">
        <v>1</v>
      </c>
    </row>
    <row r="4115" spans="7:11">
      <c r="G4115">
        <v>4</v>
      </c>
      <c r="H4115">
        <v>1</v>
      </c>
      <c r="I4115">
        <v>4</v>
      </c>
      <c r="J4115">
        <v>2</v>
      </c>
      <c r="K4115">
        <v>2</v>
      </c>
    </row>
    <row r="4116" spans="7:11">
      <c r="G4116">
        <v>4</v>
      </c>
      <c r="H4116">
        <v>1</v>
      </c>
      <c r="I4116">
        <v>5</v>
      </c>
      <c r="J4116">
        <v>1</v>
      </c>
      <c r="K4116">
        <v>1</v>
      </c>
    </row>
    <row r="4117" spans="7:11">
      <c r="G4117">
        <v>4</v>
      </c>
      <c r="H4117">
        <v>1</v>
      </c>
      <c r="I4117">
        <v>5</v>
      </c>
      <c r="J4117">
        <v>2</v>
      </c>
      <c r="K4117">
        <v>2</v>
      </c>
    </row>
    <row r="4118" spans="7:11">
      <c r="G4118">
        <v>4</v>
      </c>
      <c r="H4118">
        <v>2</v>
      </c>
      <c r="I4118">
        <v>1</v>
      </c>
      <c r="J4118">
        <v>1</v>
      </c>
      <c r="K4118">
        <v>1</v>
      </c>
    </row>
    <row r="4119" spans="7:11">
      <c r="G4119">
        <v>4</v>
      </c>
      <c r="H4119">
        <v>2</v>
      </c>
      <c r="I4119">
        <v>1</v>
      </c>
      <c r="J4119">
        <v>2</v>
      </c>
      <c r="K4119">
        <v>2</v>
      </c>
    </row>
    <row r="4120" spans="7:11">
      <c r="G4120">
        <v>4</v>
      </c>
      <c r="H4120">
        <v>2</v>
      </c>
      <c r="I4120">
        <v>2</v>
      </c>
      <c r="J4120">
        <v>1</v>
      </c>
      <c r="K4120">
        <v>1</v>
      </c>
    </row>
    <row r="4121" spans="7:11">
      <c r="G4121">
        <v>4</v>
      </c>
      <c r="H4121">
        <v>2</v>
      </c>
      <c r="I4121">
        <v>2</v>
      </c>
      <c r="J4121">
        <v>2</v>
      </c>
      <c r="K4121">
        <v>2</v>
      </c>
    </row>
    <row r="4122" spans="7:11">
      <c r="G4122">
        <v>4</v>
      </c>
      <c r="H4122">
        <v>2</v>
      </c>
      <c r="I4122">
        <v>3</v>
      </c>
      <c r="J4122">
        <v>1</v>
      </c>
      <c r="K4122">
        <v>1</v>
      </c>
    </row>
    <row r="4123" spans="7:11">
      <c r="G4123">
        <v>4</v>
      </c>
      <c r="H4123">
        <v>2</v>
      </c>
      <c r="I4123">
        <v>3</v>
      </c>
      <c r="J4123">
        <v>2</v>
      </c>
      <c r="K4123">
        <v>2</v>
      </c>
    </row>
    <row r="4124" spans="7:11">
      <c r="G4124">
        <v>4</v>
      </c>
      <c r="H4124">
        <v>2</v>
      </c>
      <c r="I4124">
        <v>4</v>
      </c>
      <c r="J4124">
        <v>1</v>
      </c>
      <c r="K4124">
        <v>1</v>
      </c>
    </row>
    <row r="4125" spans="7:11">
      <c r="G4125">
        <v>4</v>
      </c>
      <c r="H4125">
        <v>2</v>
      </c>
      <c r="I4125">
        <v>4</v>
      </c>
      <c r="J4125">
        <v>2</v>
      </c>
      <c r="K4125">
        <v>2</v>
      </c>
    </row>
    <row r="4126" spans="7:11">
      <c r="G4126">
        <v>4</v>
      </c>
      <c r="H4126">
        <v>2</v>
      </c>
      <c r="I4126">
        <v>5</v>
      </c>
      <c r="J4126">
        <v>1</v>
      </c>
      <c r="K4126">
        <v>1</v>
      </c>
    </row>
    <row r="4127" spans="7:11">
      <c r="G4127">
        <v>4</v>
      </c>
      <c r="H4127">
        <v>2</v>
      </c>
      <c r="I4127">
        <v>5</v>
      </c>
      <c r="J4127">
        <v>2</v>
      </c>
      <c r="K4127">
        <v>2</v>
      </c>
    </row>
    <row r="4128" spans="7:11">
      <c r="G4128">
        <v>4</v>
      </c>
      <c r="H4128">
        <v>3</v>
      </c>
      <c r="I4128">
        <v>1</v>
      </c>
      <c r="J4128">
        <v>1</v>
      </c>
      <c r="K4128">
        <v>1</v>
      </c>
    </row>
    <row r="4129" spans="7:11">
      <c r="G4129">
        <v>4</v>
      </c>
      <c r="H4129">
        <v>3</v>
      </c>
      <c r="I4129">
        <v>1</v>
      </c>
      <c r="J4129">
        <v>2</v>
      </c>
      <c r="K4129">
        <v>2</v>
      </c>
    </row>
    <row r="4130" spans="7:11">
      <c r="G4130">
        <v>4</v>
      </c>
      <c r="H4130">
        <v>3</v>
      </c>
      <c r="I4130">
        <v>2</v>
      </c>
      <c r="J4130">
        <v>1</v>
      </c>
      <c r="K4130">
        <v>1</v>
      </c>
    </row>
    <row r="4131" spans="7:11">
      <c r="G4131">
        <v>4</v>
      </c>
      <c r="H4131">
        <v>3</v>
      </c>
      <c r="I4131">
        <v>2</v>
      </c>
      <c r="J4131">
        <v>2</v>
      </c>
      <c r="K4131">
        <v>2</v>
      </c>
    </row>
    <row r="4132" spans="7:11">
      <c r="G4132">
        <v>4</v>
      </c>
      <c r="H4132">
        <v>3</v>
      </c>
      <c r="I4132">
        <v>3</v>
      </c>
      <c r="J4132">
        <v>1</v>
      </c>
      <c r="K4132">
        <v>1</v>
      </c>
    </row>
    <row r="4133" spans="7:11">
      <c r="G4133">
        <v>4</v>
      </c>
      <c r="H4133">
        <v>3</v>
      </c>
      <c r="I4133">
        <v>3</v>
      </c>
      <c r="J4133">
        <v>2</v>
      </c>
      <c r="K4133">
        <v>2</v>
      </c>
    </row>
    <row r="4134" spans="7:11">
      <c r="G4134">
        <v>4</v>
      </c>
      <c r="H4134">
        <v>3</v>
      </c>
      <c r="I4134">
        <v>4</v>
      </c>
      <c r="J4134">
        <v>1</v>
      </c>
      <c r="K4134">
        <v>1</v>
      </c>
    </row>
    <row r="4135" spans="7:11">
      <c r="G4135">
        <v>4</v>
      </c>
      <c r="H4135">
        <v>3</v>
      </c>
      <c r="I4135">
        <v>4</v>
      </c>
      <c r="J4135">
        <v>2</v>
      </c>
      <c r="K4135">
        <v>2</v>
      </c>
    </row>
    <row r="4136" spans="7:11">
      <c r="G4136">
        <v>4</v>
      </c>
      <c r="H4136">
        <v>3</v>
      </c>
      <c r="I4136">
        <v>5</v>
      </c>
      <c r="J4136">
        <v>1</v>
      </c>
      <c r="K4136">
        <v>1</v>
      </c>
    </row>
    <row r="4137" spans="7:11">
      <c r="G4137">
        <v>4</v>
      </c>
      <c r="H4137">
        <v>3</v>
      </c>
      <c r="I4137">
        <v>5</v>
      </c>
      <c r="J4137">
        <v>2</v>
      </c>
      <c r="K4137">
        <v>2</v>
      </c>
    </row>
    <row r="4138" spans="7:11">
      <c r="G4138">
        <v>1</v>
      </c>
      <c r="H4138">
        <v>2</v>
      </c>
      <c r="I4138">
        <v>1</v>
      </c>
      <c r="J4138">
        <v>1</v>
      </c>
      <c r="K4138">
        <v>1</v>
      </c>
    </row>
    <row r="4139" spans="7:11">
      <c r="G4139">
        <v>1</v>
      </c>
      <c r="H4139">
        <v>2</v>
      </c>
      <c r="I4139">
        <v>1</v>
      </c>
      <c r="J4139">
        <v>2</v>
      </c>
      <c r="K4139">
        <v>2</v>
      </c>
    </row>
    <row r="4140" spans="7:11">
      <c r="G4140">
        <v>1</v>
      </c>
      <c r="H4140">
        <v>2</v>
      </c>
      <c r="I4140">
        <v>2</v>
      </c>
      <c r="J4140">
        <v>1</v>
      </c>
      <c r="K4140">
        <v>1</v>
      </c>
    </row>
    <row r="4141" spans="7:11">
      <c r="G4141">
        <v>1</v>
      </c>
      <c r="H4141">
        <v>2</v>
      </c>
      <c r="I4141">
        <v>2</v>
      </c>
      <c r="J4141">
        <v>2</v>
      </c>
      <c r="K4141">
        <v>2</v>
      </c>
    </row>
    <row r="4142" spans="7:11">
      <c r="G4142">
        <v>1</v>
      </c>
      <c r="H4142">
        <v>2</v>
      </c>
      <c r="I4142">
        <v>3</v>
      </c>
      <c r="J4142">
        <v>1</v>
      </c>
      <c r="K4142">
        <v>1</v>
      </c>
    </row>
    <row r="4143" spans="7:11">
      <c r="G4143">
        <v>1</v>
      </c>
      <c r="H4143">
        <v>2</v>
      </c>
      <c r="I4143">
        <v>3</v>
      </c>
      <c r="J4143">
        <v>2</v>
      </c>
      <c r="K4143">
        <v>2</v>
      </c>
    </row>
    <row r="4144" spans="7:11">
      <c r="G4144">
        <v>1</v>
      </c>
      <c r="H4144">
        <v>2</v>
      </c>
      <c r="I4144">
        <v>4</v>
      </c>
      <c r="J4144">
        <v>1</v>
      </c>
      <c r="K4144">
        <v>1</v>
      </c>
    </row>
    <row r="4145" spans="7:11">
      <c r="G4145">
        <v>1</v>
      </c>
      <c r="H4145">
        <v>2</v>
      </c>
      <c r="I4145">
        <v>4</v>
      </c>
      <c r="J4145">
        <v>2</v>
      </c>
      <c r="K4145">
        <v>2</v>
      </c>
    </row>
    <row r="4146" spans="7:11">
      <c r="G4146">
        <v>1</v>
      </c>
      <c r="H4146">
        <v>2</v>
      </c>
      <c r="I4146">
        <v>5</v>
      </c>
      <c r="J4146">
        <v>1</v>
      </c>
      <c r="K4146">
        <v>1</v>
      </c>
    </row>
    <row r="4147" spans="7:11">
      <c r="G4147">
        <v>1</v>
      </c>
      <c r="H4147">
        <v>2</v>
      </c>
      <c r="I4147">
        <v>5</v>
      </c>
      <c r="J4147">
        <v>2</v>
      </c>
      <c r="K4147">
        <v>2</v>
      </c>
    </row>
    <row r="4148" spans="7:11">
      <c r="G4148">
        <v>1</v>
      </c>
      <c r="H4148">
        <v>3</v>
      </c>
      <c r="I4148">
        <v>1</v>
      </c>
      <c r="J4148">
        <v>1</v>
      </c>
      <c r="K4148">
        <v>1</v>
      </c>
    </row>
    <row r="4149" spans="7:11">
      <c r="G4149">
        <v>1</v>
      </c>
      <c r="H4149">
        <v>3</v>
      </c>
      <c r="I4149">
        <v>1</v>
      </c>
      <c r="J4149">
        <v>2</v>
      </c>
      <c r="K4149">
        <v>2</v>
      </c>
    </row>
    <row r="4150" spans="7:11">
      <c r="G4150">
        <v>1</v>
      </c>
      <c r="H4150">
        <v>3</v>
      </c>
      <c r="I4150">
        <v>2</v>
      </c>
      <c r="J4150">
        <v>1</v>
      </c>
      <c r="K4150">
        <v>1</v>
      </c>
    </row>
    <row r="4151" spans="7:11">
      <c r="G4151">
        <v>1</v>
      </c>
      <c r="H4151">
        <v>3</v>
      </c>
      <c r="I4151">
        <v>2</v>
      </c>
      <c r="J4151">
        <v>2</v>
      </c>
      <c r="K4151">
        <v>2</v>
      </c>
    </row>
    <row r="4152" spans="7:11">
      <c r="G4152">
        <v>1</v>
      </c>
      <c r="H4152">
        <v>3</v>
      </c>
      <c r="I4152">
        <v>3</v>
      </c>
      <c r="J4152">
        <v>1</v>
      </c>
      <c r="K4152">
        <v>1</v>
      </c>
    </row>
    <row r="4153" spans="7:11">
      <c r="G4153">
        <v>1</v>
      </c>
      <c r="H4153">
        <v>3</v>
      </c>
      <c r="I4153">
        <v>3</v>
      </c>
      <c r="J4153">
        <v>2</v>
      </c>
      <c r="K4153">
        <v>2</v>
      </c>
    </row>
    <row r="4154" spans="7:11">
      <c r="G4154">
        <v>1</v>
      </c>
      <c r="H4154">
        <v>3</v>
      </c>
      <c r="I4154">
        <v>4</v>
      </c>
      <c r="J4154">
        <v>1</v>
      </c>
      <c r="K4154">
        <v>1</v>
      </c>
    </row>
    <row r="4155" spans="7:11">
      <c r="G4155">
        <v>1</v>
      </c>
      <c r="H4155">
        <v>3</v>
      </c>
      <c r="I4155">
        <v>4</v>
      </c>
      <c r="J4155">
        <v>2</v>
      </c>
      <c r="K4155">
        <v>2</v>
      </c>
    </row>
    <row r="4156" spans="7:11">
      <c r="G4156">
        <v>1</v>
      </c>
      <c r="H4156">
        <v>3</v>
      </c>
      <c r="I4156">
        <v>5</v>
      </c>
      <c r="J4156">
        <v>1</v>
      </c>
      <c r="K4156">
        <v>1</v>
      </c>
    </row>
    <row r="4157" spans="7:11">
      <c r="G4157">
        <v>1</v>
      </c>
      <c r="H4157">
        <v>3</v>
      </c>
      <c r="I4157">
        <v>5</v>
      </c>
      <c r="J4157">
        <v>2</v>
      </c>
      <c r="K4157">
        <v>2</v>
      </c>
    </row>
    <row r="4158" spans="7:11">
      <c r="G4158">
        <v>2</v>
      </c>
      <c r="H4158">
        <v>1</v>
      </c>
      <c r="I4158">
        <v>3</v>
      </c>
      <c r="J4158">
        <v>1</v>
      </c>
      <c r="K4158">
        <v>1</v>
      </c>
    </row>
    <row r="4159" spans="7:11">
      <c r="G4159">
        <v>2</v>
      </c>
      <c r="H4159">
        <v>1</v>
      </c>
      <c r="I4159">
        <v>3</v>
      </c>
      <c r="J4159">
        <v>2</v>
      </c>
      <c r="K4159">
        <v>2</v>
      </c>
    </row>
    <row r="4160" spans="7:11">
      <c r="G4160">
        <v>2</v>
      </c>
      <c r="H4160">
        <v>1</v>
      </c>
      <c r="I4160">
        <v>4</v>
      </c>
      <c r="J4160">
        <v>1</v>
      </c>
      <c r="K4160">
        <v>1</v>
      </c>
    </row>
    <row r="4161" spans="7:11">
      <c r="G4161">
        <v>2</v>
      </c>
      <c r="H4161">
        <v>1</v>
      </c>
      <c r="I4161">
        <v>4</v>
      </c>
      <c r="J4161">
        <v>2</v>
      </c>
      <c r="K4161">
        <v>2</v>
      </c>
    </row>
    <row r="4162" spans="7:11">
      <c r="G4162">
        <v>2</v>
      </c>
      <c r="H4162">
        <v>1</v>
      </c>
      <c r="I4162">
        <v>5</v>
      </c>
      <c r="J4162">
        <v>1</v>
      </c>
      <c r="K4162">
        <v>1</v>
      </c>
    </row>
    <row r="4163" spans="7:11">
      <c r="G4163">
        <v>2</v>
      </c>
      <c r="H4163">
        <v>1</v>
      </c>
      <c r="I4163">
        <v>5</v>
      </c>
      <c r="J4163">
        <v>2</v>
      </c>
      <c r="K4163">
        <v>2</v>
      </c>
    </row>
    <row r="4164" spans="7:11">
      <c r="G4164">
        <v>2</v>
      </c>
      <c r="H4164">
        <v>2</v>
      </c>
      <c r="I4164">
        <v>1</v>
      </c>
      <c r="J4164">
        <v>1</v>
      </c>
      <c r="K4164">
        <v>1</v>
      </c>
    </row>
    <row r="4165" spans="7:11">
      <c r="G4165">
        <v>2</v>
      </c>
      <c r="H4165">
        <v>2</v>
      </c>
      <c r="I4165">
        <v>1</v>
      </c>
      <c r="J4165">
        <v>2</v>
      </c>
      <c r="K4165">
        <v>2</v>
      </c>
    </row>
    <row r="4166" spans="7:11">
      <c r="G4166">
        <v>2</v>
      </c>
      <c r="H4166">
        <v>2</v>
      </c>
      <c r="I4166">
        <v>2</v>
      </c>
      <c r="J4166">
        <v>1</v>
      </c>
      <c r="K4166">
        <v>1</v>
      </c>
    </row>
    <row r="4167" spans="7:11">
      <c r="G4167">
        <v>2</v>
      </c>
      <c r="H4167">
        <v>2</v>
      </c>
      <c r="I4167">
        <v>2</v>
      </c>
      <c r="J4167">
        <v>2</v>
      </c>
      <c r="K4167">
        <v>2</v>
      </c>
    </row>
    <row r="4168" spans="7:11">
      <c r="G4168">
        <v>2</v>
      </c>
      <c r="H4168">
        <v>2</v>
      </c>
      <c r="I4168">
        <v>3</v>
      </c>
      <c r="J4168">
        <v>1</v>
      </c>
      <c r="K4168">
        <v>1</v>
      </c>
    </row>
    <row r="4169" spans="7:11">
      <c r="G4169">
        <v>2</v>
      </c>
      <c r="H4169">
        <v>2</v>
      </c>
      <c r="I4169">
        <v>3</v>
      </c>
      <c r="J4169">
        <v>2</v>
      </c>
      <c r="K4169">
        <v>2</v>
      </c>
    </row>
    <row r="4170" spans="7:11">
      <c r="G4170">
        <v>2</v>
      </c>
      <c r="H4170">
        <v>2</v>
      </c>
      <c r="I4170">
        <v>4</v>
      </c>
      <c r="J4170">
        <v>1</v>
      </c>
      <c r="K4170">
        <v>1</v>
      </c>
    </row>
    <row r="4171" spans="7:11">
      <c r="G4171">
        <v>2</v>
      </c>
      <c r="H4171">
        <v>2</v>
      </c>
      <c r="I4171">
        <v>4</v>
      </c>
      <c r="J4171">
        <v>2</v>
      </c>
      <c r="K4171">
        <v>2</v>
      </c>
    </row>
    <row r="4172" spans="7:11">
      <c r="G4172">
        <v>2</v>
      </c>
      <c r="H4172">
        <v>2</v>
      </c>
      <c r="I4172">
        <v>5</v>
      </c>
      <c r="J4172">
        <v>1</v>
      </c>
      <c r="K4172">
        <v>1</v>
      </c>
    </row>
    <row r="4173" spans="7:11">
      <c r="G4173">
        <v>2</v>
      </c>
      <c r="H4173">
        <v>2</v>
      </c>
      <c r="I4173">
        <v>5</v>
      </c>
      <c r="J4173">
        <v>2</v>
      </c>
      <c r="K4173">
        <v>2</v>
      </c>
    </row>
    <row r="4174" spans="7:11">
      <c r="G4174">
        <v>2</v>
      </c>
      <c r="H4174">
        <v>3</v>
      </c>
      <c r="I4174">
        <v>1</v>
      </c>
      <c r="J4174">
        <v>1</v>
      </c>
      <c r="K4174">
        <v>1</v>
      </c>
    </row>
    <row r="4175" spans="7:11">
      <c r="G4175">
        <v>2</v>
      </c>
      <c r="H4175">
        <v>3</v>
      </c>
      <c r="I4175">
        <v>1</v>
      </c>
      <c r="J4175">
        <v>2</v>
      </c>
      <c r="K4175">
        <v>2</v>
      </c>
    </row>
    <row r="4176" spans="7:11">
      <c r="G4176">
        <v>2</v>
      </c>
      <c r="H4176">
        <v>3</v>
      </c>
      <c r="I4176">
        <v>2</v>
      </c>
      <c r="J4176">
        <v>1</v>
      </c>
      <c r="K4176">
        <v>1</v>
      </c>
    </row>
    <row r="4177" spans="7:11">
      <c r="G4177">
        <v>2</v>
      </c>
      <c r="H4177">
        <v>3</v>
      </c>
      <c r="I4177">
        <v>2</v>
      </c>
      <c r="J4177">
        <v>2</v>
      </c>
      <c r="K4177">
        <v>2</v>
      </c>
    </row>
    <row r="4178" spans="7:11">
      <c r="G4178">
        <v>2</v>
      </c>
      <c r="H4178">
        <v>3</v>
      </c>
      <c r="I4178">
        <v>3</v>
      </c>
      <c r="J4178">
        <v>1</v>
      </c>
      <c r="K4178">
        <v>1</v>
      </c>
    </row>
    <row r="4179" spans="7:11">
      <c r="G4179">
        <v>2</v>
      </c>
      <c r="H4179">
        <v>3</v>
      </c>
      <c r="I4179">
        <v>3</v>
      </c>
      <c r="J4179">
        <v>2</v>
      </c>
      <c r="K4179">
        <v>2</v>
      </c>
    </row>
    <row r="4180" spans="7:11">
      <c r="G4180">
        <v>2</v>
      </c>
      <c r="H4180">
        <v>3</v>
      </c>
      <c r="I4180">
        <v>4</v>
      </c>
      <c r="J4180">
        <v>1</v>
      </c>
      <c r="K4180">
        <v>1</v>
      </c>
    </row>
    <row r="4181" spans="7:11">
      <c r="G4181">
        <v>2</v>
      </c>
      <c r="H4181">
        <v>3</v>
      </c>
      <c r="I4181">
        <v>4</v>
      </c>
      <c r="J4181">
        <v>2</v>
      </c>
      <c r="K4181">
        <v>2</v>
      </c>
    </row>
    <row r="4182" spans="7:11">
      <c r="G4182">
        <v>2</v>
      </c>
      <c r="H4182">
        <v>3</v>
      </c>
      <c r="I4182">
        <v>5</v>
      </c>
      <c r="J4182">
        <v>1</v>
      </c>
      <c r="K4182">
        <v>1</v>
      </c>
    </row>
    <row r="4183" spans="7:11">
      <c r="G4183">
        <v>2</v>
      </c>
      <c r="H4183">
        <v>3</v>
      </c>
      <c r="I4183">
        <v>5</v>
      </c>
      <c r="J4183">
        <v>2</v>
      </c>
      <c r="K4183">
        <v>2</v>
      </c>
    </row>
    <row r="4184" spans="7:11">
      <c r="G4184">
        <v>3</v>
      </c>
      <c r="H4184">
        <v>1</v>
      </c>
      <c r="I4184">
        <v>3</v>
      </c>
      <c r="J4184">
        <v>1</v>
      </c>
      <c r="K4184">
        <v>1</v>
      </c>
    </row>
    <row r="4185" spans="7:11">
      <c r="G4185">
        <v>3</v>
      </c>
      <c r="H4185">
        <v>1</v>
      </c>
      <c r="I4185">
        <v>3</v>
      </c>
      <c r="J4185">
        <v>2</v>
      </c>
      <c r="K4185">
        <v>2</v>
      </c>
    </row>
    <row r="4186" spans="7:11">
      <c r="G4186">
        <v>3</v>
      </c>
      <c r="H4186">
        <v>1</v>
      </c>
      <c r="I4186">
        <v>4</v>
      </c>
      <c r="J4186">
        <v>1</v>
      </c>
      <c r="K4186">
        <v>1</v>
      </c>
    </row>
    <row r="4187" spans="7:11">
      <c r="G4187">
        <v>3</v>
      </c>
      <c r="H4187">
        <v>1</v>
      </c>
      <c r="I4187">
        <v>4</v>
      </c>
      <c r="J4187">
        <v>2</v>
      </c>
      <c r="K4187">
        <v>2</v>
      </c>
    </row>
    <row r="4188" spans="7:11">
      <c r="G4188">
        <v>3</v>
      </c>
      <c r="H4188">
        <v>1</v>
      </c>
      <c r="I4188">
        <v>5</v>
      </c>
      <c r="J4188">
        <v>1</v>
      </c>
      <c r="K4188">
        <v>1</v>
      </c>
    </row>
    <row r="4189" spans="7:11">
      <c r="G4189">
        <v>3</v>
      </c>
      <c r="H4189">
        <v>1</v>
      </c>
      <c r="I4189">
        <v>5</v>
      </c>
      <c r="J4189">
        <v>2</v>
      </c>
      <c r="K4189">
        <v>2</v>
      </c>
    </row>
    <row r="4190" spans="7:11">
      <c r="G4190">
        <v>3</v>
      </c>
      <c r="H4190">
        <v>2</v>
      </c>
      <c r="I4190">
        <v>1</v>
      </c>
      <c r="J4190">
        <v>1</v>
      </c>
      <c r="K4190">
        <v>1</v>
      </c>
    </row>
    <row r="4191" spans="7:11">
      <c r="G4191">
        <v>3</v>
      </c>
      <c r="H4191">
        <v>2</v>
      </c>
      <c r="I4191">
        <v>1</v>
      </c>
      <c r="J4191">
        <v>2</v>
      </c>
      <c r="K4191">
        <v>2</v>
      </c>
    </row>
    <row r="4192" spans="7:11">
      <c r="G4192">
        <v>3</v>
      </c>
      <c r="H4192">
        <v>2</v>
      </c>
      <c r="I4192">
        <v>2</v>
      </c>
      <c r="J4192">
        <v>1</v>
      </c>
      <c r="K4192">
        <v>1</v>
      </c>
    </row>
    <row r="4193" spans="7:11">
      <c r="G4193">
        <v>3</v>
      </c>
      <c r="H4193">
        <v>2</v>
      </c>
      <c r="I4193">
        <v>2</v>
      </c>
      <c r="J4193">
        <v>2</v>
      </c>
      <c r="K4193">
        <v>2</v>
      </c>
    </row>
    <row r="4194" spans="7:11">
      <c r="G4194">
        <v>3</v>
      </c>
      <c r="H4194">
        <v>2</v>
      </c>
      <c r="I4194">
        <v>3</v>
      </c>
      <c r="J4194">
        <v>1</v>
      </c>
      <c r="K4194">
        <v>1</v>
      </c>
    </row>
    <row r="4195" spans="7:11">
      <c r="G4195">
        <v>3</v>
      </c>
      <c r="H4195">
        <v>2</v>
      </c>
      <c r="I4195">
        <v>3</v>
      </c>
      <c r="J4195">
        <v>2</v>
      </c>
      <c r="K4195">
        <v>2</v>
      </c>
    </row>
    <row r="4196" spans="7:11">
      <c r="G4196">
        <v>3</v>
      </c>
      <c r="H4196">
        <v>2</v>
      </c>
      <c r="I4196">
        <v>4</v>
      </c>
      <c r="J4196">
        <v>1</v>
      </c>
      <c r="K4196">
        <v>1</v>
      </c>
    </row>
    <row r="4197" spans="7:11">
      <c r="G4197">
        <v>3</v>
      </c>
      <c r="H4197">
        <v>2</v>
      </c>
      <c r="I4197">
        <v>4</v>
      </c>
      <c r="J4197">
        <v>2</v>
      </c>
      <c r="K4197">
        <v>2</v>
      </c>
    </row>
    <row r="4198" spans="7:11">
      <c r="G4198">
        <v>3</v>
      </c>
      <c r="H4198">
        <v>2</v>
      </c>
      <c r="I4198">
        <v>5</v>
      </c>
      <c r="J4198">
        <v>1</v>
      </c>
      <c r="K4198">
        <v>1</v>
      </c>
    </row>
    <row r="4199" spans="7:11">
      <c r="G4199">
        <v>3</v>
      </c>
      <c r="H4199">
        <v>2</v>
      </c>
      <c r="I4199">
        <v>5</v>
      </c>
      <c r="J4199">
        <v>2</v>
      </c>
      <c r="K4199">
        <v>2</v>
      </c>
    </row>
    <row r="4200" spans="7:11">
      <c r="G4200">
        <v>3</v>
      </c>
      <c r="H4200">
        <v>3</v>
      </c>
      <c r="I4200">
        <v>1</v>
      </c>
      <c r="J4200">
        <v>1</v>
      </c>
      <c r="K4200">
        <v>1</v>
      </c>
    </row>
    <row r="4201" spans="7:11">
      <c r="G4201">
        <v>3</v>
      </c>
      <c r="H4201">
        <v>3</v>
      </c>
      <c r="I4201">
        <v>1</v>
      </c>
      <c r="J4201">
        <v>2</v>
      </c>
      <c r="K4201">
        <v>2</v>
      </c>
    </row>
    <row r="4202" spans="7:11">
      <c r="G4202">
        <v>3</v>
      </c>
      <c r="H4202">
        <v>3</v>
      </c>
      <c r="I4202">
        <v>2</v>
      </c>
      <c r="J4202">
        <v>1</v>
      </c>
      <c r="K4202">
        <v>1</v>
      </c>
    </row>
    <row r="4203" spans="7:11">
      <c r="G4203">
        <v>3</v>
      </c>
      <c r="H4203">
        <v>3</v>
      </c>
      <c r="I4203">
        <v>2</v>
      </c>
      <c r="J4203">
        <v>2</v>
      </c>
      <c r="K4203">
        <v>2</v>
      </c>
    </row>
    <row r="4204" spans="7:11">
      <c r="G4204">
        <v>3</v>
      </c>
      <c r="H4204">
        <v>3</v>
      </c>
      <c r="I4204">
        <v>3</v>
      </c>
      <c r="J4204">
        <v>1</v>
      </c>
      <c r="K4204">
        <v>1</v>
      </c>
    </row>
    <row r="4205" spans="7:11">
      <c r="G4205">
        <v>3</v>
      </c>
      <c r="H4205">
        <v>3</v>
      </c>
      <c r="I4205">
        <v>3</v>
      </c>
      <c r="J4205">
        <v>2</v>
      </c>
      <c r="K4205">
        <v>2</v>
      </c>
    </row>
    <row r="4206" spans="7:11">
      <c r="G4206">
        <v>3</v>
      </c>
      <c r="H4206">
        <v>3</v>
      </c>
      <c r="I4206">
        <v>4</v>
      </c>
      <c r="J4206">
        <v>1</v>
      </c>
      <c r="K4206">
        <v>1</v>
      </c>
    </row>
    <row r="4207" spans="7:11">
      <c r="G4207">
        <v>3</v>
      </c>
      <c r="H4207">
        <v>3</v>
      </c>
      <c r="I4207">
        <v>4</v>
      </c>
      <c r="J4207">
        <v>2</v>
      </c>
      <c r="K4207">
        <v>2</v>
      </c>
    </row>
    <row r="4208" spans="7:11">
      <c r="G4208">
        <v>3</v>
      </c>
      <c r="H4208">
        <v>3</v>
      </c>
      <c r="I4208">
        <v>5</v>
      </c>
      <c r="J4208">
        <v>1</v>
      </c>
      <c r="K4208">
        <v>1</v>
      </c>
    </row>
    <row r="4209" spans="7:11">
      <c r="G4209">
        <v>3</v>
      </c>
      <c r="H4209">
        <v>3</v>
      </c>
      <c r="I4209">
        <v>5</v>
      </c>
      <c r="J4209">
        <v>2</v>
      </c>
      <c r="K4209">
        <v>2</v>
      </c>
    </row>
    <row r="4210" spans="7:11">
      <c r="G4210">
        <v>4</v>
      </c>
      <c r="H4210">
        <v>1</v>
      </c>
      <c r="I4210">
        <v>3</v>
      </c>
      <c r="J4210">
        <v>1</v>
      </c>
      <c r="K4210">
        <v>1</v>
      </c>
    </row>
    <row r="4211" spans="7:11">
      <c r="G4211">
        <v>4</v>
      </c>
      <c r="H4211">
        <v>1</v>
      </c>
      <c r="I4211">
        <v>3</v>
      </c>
      <c r="J4211">
        <v>2</v>
      </c>
      <c r="K4211">
        <v>2</v>
      </c>
    </row>
    <row r="4212" spans="7:11">
      <c r="G4212">
        <v>4</v>
      </c>
      <c r="H4212">
        <v>1</v>
      </c>
      <c r="I4212">
        <v>4</v>
      </c>
      <c r="J4212">
        <v>1</v>
      </c>
      <c r="K4212">
        <v>1</v>
      </c>
    </row>
    <row r="4213" spans="7:11">
      <c r="G4213">
        <v>4</v>
      </c>
      <c r="H4213">
        <v>1</v>
      </c>
      <c r="I4213">
        <v>4</v>
      </c>
      <c r="J4213">
        <v>2</v>
      </c>
      <c r="K4213">
        <v>2</v>
      </c>
    </row>
    <row r="4214" spans="7:11">
      <c r="G4214">
        <v>4</v>
      </c>
      <c r="H4214">
        <v>1</v>
      </c>
      <c r="I4214">
        <v>5</v>
      </c>
      <c r="J4214">
        <v>1</v>
      </c>
      <c r="K4214">
        <v>1</v>
      </c>
    </row>
    <row r="4215" spans="7:11">
      <c r="G4215">
        <v>4</v>
      </c>
      <c r="H4215">
        <v>1</v>
      </c>
      <c r="I4215">
        <v>5</v>
      </c>
      <c r="J4215">
        <v>2</v>
      </c>
      <c r="K4215">
        <v>2</v>
      </c>
    </row>
    <row r="4216" spans="7:11">
      <c r="G4216">
        <v>4</v>
      </c>
      <c r="H4216">
        <v>2</v>
      </c>
      <c r="I4216">
        <v>1</v>
      </c>
      <c r="J4216">
        <v>1</v>
      </c>
      <c r="K4216">
        <v>1</v>
      </c>
    </row>
    <row r="4217" spans="7:11">
      <c r="G4217">
        <v>4</v>
      </c>
      <c r="H4217">
        <v>2</v>
      </c>
      <c r="I4217">
        <v>1</v>
      </c>
      <c r="J4217">
        <v>2</v>
      </c>
      <c r="K4217">
        <v>2</v>
      </c>
    </row>
    <row r="4218" spans="7:11">
      <c r="G4218">
        <v>4</v>
      </c>
      <c r="H4218">
        <v>2</v>
      </c>
      <c r="I4218">
        <v>2</v>
      </c>
      <c r="J4218">
        <v>1</v>
      </c>
      <c r="K4218">
        <v>1</v>
      </c>
    </row>
    <row r="4219" spans="7:11">
      <c r="G4219">
        <v>4</v>
      </c>
      <c r="H4219">
        <v>2</v>
      </c>
      <c r="I4219">
        <v>2</v>
      </c>
      <c r="J4219">
        <v>2</v>
      </c>
      <c r="K4219">
        <v>2</v>
      </c>
    </row>
    <row r="4220" spans="7:11">
      <c r="G4220">
        <v>4</v>
      </c>
      <c r="H4220">
        <v>2</v>
      </c>
      <c r="I4220">
        <v>3</v>
      </c>
      <c r="J4220">
        <v>1</v>
      </c>
      <c r="K4220">
        <v>1</v>
      </c>
    </row>
    <row r="4221" spans="7:11">
      <c r="G4221">
        <v>4</v>
      </c>
      <c r="H4221">
        <v>2</v>
      </c>
      <c r="I4221">
        <v>3</v>
      </c>
      <c r="J4221">
        <v>2</v>
      </c>
      <c r="K4221">
        <v>2</v>
      </c>
    </row>
    <row r="4222" spans="7:11">
      <c r="G4222">
        <v>4</v>
      </c>
      <c r="H4222">
        <v>2</v>
      </c>
      <c r="I4222">
        <v>4</v>
      </c>
      <c r="J4222">
        <v>1</v>
      </c>
      <c r="K4222">
        <v>1</v>
      </c>
    </row>
    <row r="4223" spans="7:11">
      <c r="G4223">
        <v>4</v>
      </c>
      <c r="H4223">
        <v>2</v>
      </c>
      <c r="I4223">
        <v>4</v>
      </c>
      <c r="J4223">
        <v>2</v>
      </c>
      <c r="K4223">
        <v>2</v>
      </c>
    </row>
    <row r="4224" spans="7:11">
      <c r="G4224">
        <v>4</v>
      </c>
      <c r="H4224">
        <v>2</v>
      </c>
      <c r="I4224">
        <v>5</v>
      </c>
      <c r="J4224">
        <v>1</v>
      </c>
      <c r="K4224">
        <v>1</v>
      </c>
    </row>
    <row r="4225" spans="7:11">
      <c r="G4225">
        <v>4</v>
      </c>
      <c r="H4225">
        <v>2</v>
      </c>
      <c r="I4225">
        <v>5</v>
      </c>
      <c r="J4225">
        <v>2</v>
      </c>
      <c r="K4225">
        <v>2</v>
      </c>
    </row>
    <row r="4226" spans="7:11">
      <c r="G4226">
        <v>4</v>
      </c>
      <c r="H4226">
        <v>3</v>
      </c>
      <c r="I4226">
        <v>1</v>
      </c>
      <c r="J4226">
        <v>1</v>
      </c>
      <c r="K4226">
        <v>1</v>
      </c>
    </row>
    <row r="4227" spans="7:11">
      <c r="G4227">
        <v>4</v>
      </c>
      <c r="H4227">
        <v>3</v>
      </c>
      <c r="I4227">
        <v>1</v>
      </c>
      <c r="J4227">
        <v>2</v>
      </c>
      <c r="K4227">
        <v>2</v>
      </c>
    </row>
    <row r="4228" spans="7:11">
      <c r="G4228">
        <v>4</v>
      </c>
      <c r="H4228">
        <v>3</v>
      </c>
      <c r="I4228">
        <v>2</v>
      </c>
      <c r="J4228">
        <v>1</v>
      </c>
      <c r="K4228">
        <v>1</v>
      </c>
    </row>
    <row r="4229" spans="7:11">
      <c r="G4229">
        <v>4</v>
      </c>
      <c r="H4229">
        <v>3</v>
      </c>
      <c r="I4229">
        <v>2</v>
      </c>
      <c r="J4229">
        <v>2</v>
      </c>
      <c r="K4229">
        <v>2</v>
      </c>
    </row>
    <row r="4230" spans="7:11">
      <c r="G4230">
        <v>4</v>
      </c>
      <c r="H4230">
        <v>3</v>
      </c>
      <c r="I4230">
        <v>3</v>
      </c>
      <c r="J4230">
        <v>1</v>
      </c>
      <c r="K4230">
        <v>1</v>
      </c>
    </row>
    <row r="4231" spans="7:11">
      <c r="G4231">
        <v>4</v>
      </c>
      <c r="H4231">
        <v>3</v>
      </c>
      <c r="I4231">
        <v>3</v>
      </c>
      <c r="J4231">
        <v>2</v>
      </c>
      <c r="K4231">
        <v>2</v>
      </c>
    </row>
    <row r="4232" spans="7:11">
      <c r="G4232">
        <v>4</v>
      </c>
      <c r="H4232">
        <v>3</v>
      </c>
      <c r="I4232">
        <v>4</v>
      </c>
      <c r="J4232">
        <v>1</v>
      </c>
      <c r="K4232">
        <v>1</v>
      </c>
    </row>
    <row r="4233" spans="7:11">
      <c r="G4233">
        <v>4</v>
      </c>
      <c r="H4233">
        <v>3</v>
      </c>
      <c r="I4233">
        <v>4</v>
      </c>
      <c r="J4233">
        <v>2</v>
      </c>
      <c r="K4233">
        <v>2</v>
      </c>
    </row>
    <row r="4234" spans="7:11">
      <c r="G4234">
        <v>4</v>
      </c>
      <c r="H4234">
        <v>3</v>
      </c>
      <c r="I4234">
        <v>5</v>
      </c>
      <c r="J4234">
        <v>1</v>
      </c>
      <c r="K4234">
        <v>1</v>
      </c>
    </row>
    <row r="4235" spans="7:11">
      <c r="G4235">
        <v>4</v>
      </c>
      <c r="H4235">
        <v>3</v>
      </c>
      <c r="I4235">
        <v>5</v>
      </c>
      <c r="J4235">
        <v>2</v>
      </c>
      <c r="K4235">
        <v>2</v>
      </c>
    </row>
    <row r="4236" spans="7:11">
      <c r="G4236">
        <v>2</v>
      </c>
      <c r="H4236">
        <v>1</v>
      </c>
      <c r="I4236">
        <v>3</v>
      </c>
      <c r="J4236">
        <v>1</v>
      </c>
      <c r="K4236">
        <v>1</v>
      </c>
    </row>
    <row r="4237" spans="7:11">
      <c r="G4237">
        <v>2</v>
      </c>
      <c r="H4237">
        <v>1</v>
      </c>
      <c r="I4237">
        <v>3</v>
      </c>
      <c r="J4237">
        <v>2</v>
      </c>
      <c r="K4237">
        <v>2</v>
      </c>
    </row>
    <row r="4238" spans="7:11">
      <c r="G4238">
        <v>2</v>
      </c>
      <c r="H4238">
        <v>1</v>
      </c>
      <c r="I4238">
        <v>4</v>
      </c>
      <c r="J4238">
        <v>1</v>
      </c>
      <c r="K4238">
        <v>1</v>
      </c>
    </row>
    <row r="4239" spans="7:11">
      <c r="G4239">
        <v>2</v>
      </c>
      <c r="H4239">
        <v>1</v>
      </c>
      <c r="I4239">
        <v>4</v>
      </c>
      <c r="J4239">
        <v>2</v>
      </c>
      <c r="K4239">
        <v>2</v>
      </c>
    </row>
    <row r="4240" spans="7:11">
      <c r="G4240">
        <v>2</v>
      </c>
      <c r="H4240">
        <v>1</v>
      </c>
      <c r="I4240">
        <v>5</v>
      </c>
      <c r="J4240">
        <v>1</v>
      </c>
      <c r="K4240">
        <v>1</v>
      </c>
    </row>
    <row r="4241" spans="7:11">
      <c r="G4241">
        <v>2</v>
      </c>
      <c r="H4241">
        <v>1</v>
      </c>
      <c r="I4241">
        <v>5</v>
      </c>
      <c r="J4241">
        <v>2</v>
      </c>
      <c r="K4241">
        <v>2</v>
      </c>
    </row>
    <row r="4242" spans="7:11">
      <c r="G4242">
        <v>2</v>
      </c>
      <c r="H4242">
        <v>2</v>
      </c>
      <c r="I4242">
        <v>1</v>
      </c>
      <c r="J4242">
        <v>1</v>
      </c>
      <c r="K4242">
        <v>1</v>
      </c>
    </row>
    <row r="4243" spans="7:11">
      <c r="G4243">
        <v>2</v>
      </c>
      <c r="H4243">
        <v>2</v>
      </c>
      <c r="I4243">
        <v>1</v>
      </c>
      <c r="J4243">
        <v>2</v>
      </c>
      <c r="K4243">
        <v>2</v>
      </c>
    </row>
    <row r="4244" spans="7:11">
      <c r="G4244">
        <v>2</v>
      </c>
      <c r="H4244">
        <v>2</v>
      </c>
      <c r="I4244">
        <v>2</v>
      </c>
      <c r="J4244">
        <v>1</v>
      </c>
      <c r="K4244">
        <v>1</v>
      </c>
    </row>
    <row r="4245" spans="7:11">
      <c r="G4245">
        <v>2</v>
      </c>
      <c r="H4245">
        <v>2</v>
      </c>
      <c r="I4245">
        <v>2</v>
      </c>
      <c r="J4245">
        <v>2</v>
      </c>
      <c r="K4245">
        <v>2</v>
      </c>
    </row>
    <row r="4246" spans="7:11">
      <c r="G4246">
        <v>2</v>
      </c>
      <c r="H4246">
        <v>2</v>
      </c>
      <c r="I4246">
        <v>3</v>
      </c>
      <c r="J4246">
        <v>1</v>
      </c>
      <c r="K4246">
        <v>1</v>
      </c>
    </row>
    <row r="4247" spans="7:11">
      <c r="G4247">
        <v>2</v>
      </c>
      <c r="H4247">
        <v>2</v>
      </c>
      <c r="I4247">
        <v>3</v>
      </c>
      <c r="J4247">
        <v>2</v>
      </c>
      <c r="K4247">
        <v>2</v>
      </c>
    </row>
    <row r="4248" spans="7:11">
      <c r="G4248">
        <v>2</v>
      </c>
      <c r="H4248">
        <v>2</v>
      </c>
      <c r="I4248">
        <v>4</v>
      </c>
      <c r="J4248">
        <v>1</v>
      </c>
      <c r="K4248">
        <v>1</v>
      </c>
    </row>
    <row r="4249" spans="7:11">
      <c r="G4249">
        <v>2</v>
      </c>
      <c r="H4249">
        <v>2</v>
      </c>
      <c r="I4249">
        <v>4</v>
      </c>
      <c r="J4249">
        <v>2</v>
      </c>
      <c r="K4249">
        <v>2</v>
      </c>
    </row>
    <row r="4250" spans="7:11">
      <c r="G4250">
        <v>2</v>
      </c>
      <c r="H4250">
        <v>2</v>
      </c>
      <c r="I4250">
        <v>5</v>
      </c>
      <c r="J4250">
        <v>1</v>
      </c>
      <c r="K4250">
        <v>1</v>
      </c>
    </row>
    <row r="4251" spans="7:11">
      <c r="G4251">
        <v>2</v>
      </c>
      <c r="H4251">
        <v>2</v>
      </c>
      <c r="I4251">
        <v>5</v>
      </c>
      <c r="J4251">
        <v>2</v>
      </c>
      <c r="K4251">
        <v>2</v>
      </c>
    </row>
    <row r="4252" spans="7:11">
      <c r="G4252">
        <v>2</v>
      </c>
      <c r="H4252">
        <v>3</v>
      </c>
      <c r="I4252">
        <v>1</v>
      </c>
      <c r="J4252">
        <v>1</v>
      </c>
      <c r="K4252">
        <v>1</v>
      </c>
    </row>
    <row r="4253" spans="7:11">
      <c r="G4253">
        <v>2</v>
      </c>
      <c r="H4253">
        <v>3</v>
      </c>
      <c r="I4253">
        <v>1</v>
      </c>
      <c r="J4253">
        <v>2</v>
      </c>
      <c r="K4253">
        <v>2</v>
      </c>
    </row>
    <row r="4254" spans="7:11">
      <c r="G4254">
        <v>2</v>
      </c>
      <c r="H4254">
        <v>3</v>
      </c>
      <c r="I4254">
        <v>2</v>
      </c>
      <c r="J4254">
        <v>1</v>
      </c>
      <c r="K4254">
        <v>1</v>
      </c>
    </row>
    <row r="4255" spans="7:11">
      <c r="G4255">
        <v>2</v>
      </c>
      <c r="H4255">
        <v>3</v>
      </c>
      <c r="I4255">
        <v>2</v>
      </c>
      <c r="J4255">
        <v>2</v>
      </c>
      <c r="K4255">
        <v>2</v>
      </c>
    </row>
    <row r="4256" spans="7:11">
      <c r="G4256">
        <v>2</v>
      </c>
      <c r="H4256">
        <v>3</v>
      </c>
      <c r="I4256">
        <v>3</v>
      </c>
      <c r="J4256">
        <v>1</v>
      </c>
      <c r="K4256">
        <v>1</v>
      </c>
    </row>
    <row r="4257" spans="7:11">
      <c r="G4257">
        <v>2</v>
      </c>
      <c r="H4257">
        <v>3</v>
      </c>
      <c r="I4257">
        <v>3</v>
      </c>
      <c r="J4257">
        <v>2</v>
      </c>
      <c r="K4257">
        <v>2</v>
      </c>
    </row>
    <row r="4258" spans="7:11">
      <c r="G4258">
        <v>2</v>
      </c>
      <c r="H4258">
        <v>3</v>
      </c>
      <c r="I4258">
        <v>4</v>
      </c>
      <c r="J4258">
        <v>1</v>
      </c>
      <c r="K4258">
        <v>1</v>
      </c>
    </row>
    <row r="4259" spans="7:11">
      <c r="G4259">
        <v>2</v>
      </c>
      <c r="H4259">
        <v>3</v>
      </c>
      <c r="I4259">
        <v>4</v>
      </c>
      <c r="J4259">
        <v>2</v>
      </c>
      <c r="K4259">
        <v>2</v>
      </c>
    </row>
    <row r="4260" spans="7:11">
      <c r="G4260">
        <v>2</v>
      </c>
      <c r="H4260">
        <v>3</v>
      </c>
      <c r="I4260">
        <v>5</v>
      </c>
      <c r="J4260">
        <v>1</v>
      </c>
      <c r="K4260">
        <v>1</v>
      </c>
    </row>
    <row r="4261" spans="7:11">
      <c r="G4261">
        <v>2</v>
      </c>
      <c r="H4261">
        <v>3</v>
      </c>
      <c r="I4261">
        <v>5</v>
      </c>
      <c r="J4261">
        <v>2</v>
      </c>
      <c r="K4261">
        <v>2</v>
      </c>
    </row>
    <row r="4262" spans="7:11">
      <c r="G4262">
        <v>3</v>
      </c>
      <c r="H4262">
        <v>1</v>
      </c>
      <c r="I4262">
        <v>3</v>
      </c>
      <c r="J4262">
        <v>1</v>
      </c>
      <c r="K4262">
        <v>1</v>
      </c>
    </row>
    <row r="4263" spans="7:11">
      <c r="G4263">
        <v>3</v>
      </c>
      <c r="H4263">
        <v>1</v>
      </c>
      <c r="I4263">
        <v>3</v>
      </c>
      <c r="J4263">
        <v>2</v>
      </c>
      <c r="K4263">
        <v>2</v>
      </c>
    </row>
    <row r="4264" spans="7:11">
      <c r="G4264">
        <v>3</v>
      </c>
      <c r="H4264">
        <v>1</v>
      </c>
      <c r="I4264">
        <v>4</v>
      </c>
      <c r="J4264">
        <v>1</v>
      </c>
      <c r="K4264">
        <v>1</v>
      </c>
    </row>
    <row r="4265" spans="7:11">
      <c r="G4265">
        <v>3</v>
      </c>
      <c r="H4265">
        <v>1</v>
      </c>
      <c r="I4265">
        <v>4</v>
      </c>
      <c r="J4265">
        <v>2</v>
      </c>
      <c r="K4265">
        <v>2</v>
      </c>
    </row>
    <row r="4266" spans="7:11">
      <c r="G4266">
        <v>3</v>
      </c>
      <c r="H4266">
        <v>1</v>
      </c>
      <c r="I4266">
        <v>5</v>
      </c>
      <c r="J4266">
        <v>1</v>
      </c>
      <c r="K4266">
        <v>1</v>
      </c>
    </row>
    <row r="4267" spans="7:11">
      <c r="G4267">
        <v>3</v>
      </c>
      <c r="H4267">
        <v>1</v>
      </c>
      <c r="I4267">
        <v>5</v>
      </c>
      <c r="J4267">
        <v>2</v>
      </c>
      <c r="K4267">
        <v>2</v>
      </c>
    </row>
    <row r="4268" spans="7:11">
      <c r="G4268">
        <v>3</v>
      </c>
      <c r="H4268">
        <v>2</v>
      </c>
      <c r="I4268">
        <v>1</v>
      </c>
      <c r="J4268">
        <v>1</v>
      </c>
      <c r="K4268">
        <v>1</v>
      </c>
    </row>
    <row r="4269" spans="7:11">
      <c r="G4269">
        <v>3</v>
      </c>
      <c r="H4269">
        <v>2</v>
      </c>
      <c r="I4269">
        <v>1</v>
      </c>
      <c r="J4269">
        <v>2</v>
      </c>
      <c r="K4269">
        <v>2</v>
      </c>
    </row>
    <row r="4270" spans="7:11">
      <c r="G4270">
        <v>3</v>
      </c>
      <c r="H4270">
        <v>2</v>
      </c>
      <c r="I4270">
        <v>2</v>
      </c>
      <c r="J4270">
        <v>1</v>
      </c>
      <c r="K4270">
        <v>1</v>
      </c>
    </row>
    <row r="4271" spans="7:11">
      <c r="G4271">
        <v>3</v>
      </c>
      <c r="H4271">
        <v>2</v>
      </c>
      <c r="I4271">
        <v>2</v>
      </c>
      <c r="J4271">
        <v>2</v>
      </c>
      <c r="K4271">
        <v>2</v>
      </c>
    </row>
    <row r="4272" spans="7:11">
      <c r="G4272">
        <v>3</v>
      </c>
      <c r="H4272">
        <v>2</v>
      </c>
      <c r="I4272">
        <v>3</v>
      </c>
      <c r="J4272">
        <v>1</v>
      </c>
      <c r="K4272">
        <v>1</v>
      </c>
    </row>
    <row r="4273" spans="7:11">
      <c r="G4273">
        <v>3</v>
      </c>
      <c r="H4273">
        <v>2</v>
      </c>
      <c r="I4273">
        <v>3</v>
      </c>
      <c r="J4273">
        <v>2</v>
      </c>
      <c r="K4273">
        <v>2</v>
      </c>
    </row>
    <row r="4274" spans="7:11">
      <c r="G4274">
        <v>3</v>
      </c>
      <c r="H4274">
        <v>2</v>
      </c>
      <c r="I4274">
        <v>4</v>
      </c>
      <c r="J4274">
        <v>1</v>
      </c>
      <c r="K4274">
        <v>1</v>
      </c>
    </row>
    <row r="4275" spans="7:11">
      <c r="G4275">
        <v>3</v>
      </c>
      <c r="H4275">
        <v>2</v>
      </c>
      <c r="I4275">
        <v>4</v>
      </c>
      <c r="J4275">
        <v>2</v>
      </c>
      <c r="K4275">
        <v>2</v>
      </c>
    </row>
    <row r="4276" spans="7:11">
      <c r="G4276">
        <v>3</v>
      </c>
      <c r="H4276">
        <v>2</v>
      </c>
      <c r="I4276">
        <v>5</v>
      </c>
      <c r="J4276">
        <v>1</v>
      </c>
      <c r="K4276">
        <v>1</v>
      </c>
    </row>
    <row r="4277" spans="7:11">
      <c r="G4277">
        <v>3</v>
      </c>
      <c r="H4277">
        <v>2</v>
      </c>
      <c r="I4277">
        <v>5</v>
      </c>
      <c r="J4277">
        <v>2</v>
      </c>
      <c r="K4277">
        <v>2</v>
      </c>
    </row>
    <row r="4278" spans="7:11">
      <c r="G4278">
        <v>3</v>
      </c>
      <c r="H4278">
        <v>3</v>
      </c>
      <c r="I4278">
        <v>1</v>
      </c>
      <c r="J4278">
        <v>1</v>
      </c>
      <c r="K4278">
        <v>1</v>
      </c>
    </row>
    <row r="4279" spans="7:11">
      <c r="G4279">
        <v>3</v>
      </c>
      <c r="H4279">
        <v>3</v>
      </c>
      <c r="I4279">
        <v>1</v>
      </c>
      <c r="J4279">
        <v>2</v>
      </c>
      <c r="K4279">
        <v>2</v>
      </c>
    </row>
    <row r="4280" spans="7:11">
      <c r="G4280">
        <v>3</v>
      </c>
      <c r="H4280">
        <v>3</v>
      </c>
      <c r="I4280">
        <v>2</v>
      </c>
      <c r="J4280">
        <v>1</v>
      </c>
      <c r="K4280">
        <v>1</v>
      </c>
    </row>
    <row r="4281" spans="7:11">
      <c r="G4281">
        <v>3</v>
      </c>
      <c r="H4281">
        <v>3</v>
      </c>
      <c r="I4281">
        <v>2</v>
      </c>
      <c r="J4281">
        <v>2</v>
      </c>
      <c r="K4281">
        <v>2</v>
      </c>
    </row>
    <row r="4282" spans="7:11">
      <c r="G4282">
        <v>3</v>
      </c>
      <c r="H4282">
        <v>3</v>
      </c>
      <c r="I4282">
        <v>3</v>
      </c>
      <c r="J4282">
        <v>1</v>
      </c>
      <c r="K4282">
        <v>1</v>
      </c>
    </row>
    <row r="4283" spans="7:11">
      <c r="G4283">
        <v>3</v>
      </c>
      <c r="H4283">
        <v>3</v>
      </c>
      <c r="I4283">
        <v>3</v>
      </c>
      <c r="J4283">
        <v>2</v>
      </c>
      <c r="K4283">
        <v>2</v>
      </c>
    </row>
    <row r="4284" spans="7:11">
      <c r="G4284">
        <v>3</v>
      </c>
      <c r="H4284">
        <v>3</v>
      </c>
      <c r="I4284">
        <v>4</v>
      </c>
      <c r="J4284">
        <v>1</v>
      </c>
      <c r="K4284">
        <v>1</v>
      </c>
    </row>
    <row r="4285" spans="7:11">
      <c r="G4285">
        <v>3</v>
      </c>
      <c r="H4285">
        <v>3</v>
      </c>
      <c r="I4285">
        <v>4</v>
      </c>
      <c r="J4285">
        <v>2</v>
      </c>
      <c r="K4285">
        <v>2</v>
      </c>
    </row>
    <row r="4286" spans="7:11">
      <c r="G4286">
        <v>3</v>
      </c>
      <c r="H4286">
        <v>3</v>
      </c>
      <c r="I4286">
        <v>5</v>
      </c>
      <c r="J4286">
        <v>1</v>
      </c>
      <c r="K4286">
        <v>1</v>
      </c>
    </row>
    <row r="4287" spans="7:11">
      <c r="G4287">
        <v>3</v>
      </c>
      <c r="H4287">
        <v>3</v>
      </c>
      <c r="I4287">
        <v>5</v>
      </c>
      <c r="J4287">
        <v>2</v>
      </c>
      <c r="K4287">
        <v>2</v>
      </c>
    </row>
    <row r="4288" spans="7:11">
      <c r="G4288">
        <v>4</v>
      </c>
      <c r="H4288">
        <v>1</v>
      </c>
      <c r="I4288">
        <v>3</v>
      </c>
      <c r="J4288">
        <v>1</v>
      </c>
      <c r="K4288">
        <v>1</v>
      </c>
    </row>
    <row r="4289" spans="7:11">
      <c r="G4289">
        <v>4</v>
      </c>
      <c r="H4289">
        <v>1</v>
      </c>
      <c r="I4289">
        <v>3</v>
      </c>
      <c r="J4289">
        <v>2</v>
      </c>
      <c r="K4289">
        <v>2</v>
      </c>
    </row>
    <row r="4290" spans="7:11">
      <c r="G4290">
        <v>4</v>
      </c>
      <c r="H4290">
        <v>1</v>
      </c>
      <c r="I4290">
        <v>4</v>
      </c>
      <c r="J4290">
        <v>1</v>
      </c>
      <c r="K4290">
        <v>1</v>
      </c>
    </row>
    <row r="4291" spans="7:11">
      <c r="G4291">
        <v>4</v>
      </c>
      <c r="H4291">
        <v>1</v>
      </c>
      <c r="I4291">
        <v>4</v>
      </c>
      <c r="J4291">
        <v>2</v>
      </c>
      <c r="K4291">
        <v>2</v>
      </c>
    </row>
    <row r="4292" spans="7:11">
      <c r="G4292">
        <v>4</v>
      </c>
      <c r="H4292">
        <v>1</v>
      </c>
      <c r="I4292">
        <v>5</v>
      </c>
      <c r="J4292">
        <v>1</v>
      </c>
      <c r="K4292">
        <v>1</v>
      </c>
    </row>
    <row r="4293" spans="7:11">
      <c r="G4293">
        <v>4</v>
      </c>
      <c r="H4293">
        <v>1</v>
      </c>
      <c r="I4293">
        <v>5</v>
      </c>
      <c r="J4293">
        <v>2</v>
      </c>
      <c r="K4293">
        <v>2</v>
      </c>
    </row>
    <row r="4294" spans="7:11">
      <c r="G4294">
        <v>4</v>
      </c>
      <c r="H4294">
        <v>2</v>
      </c>
      <c r="I4294">
        <v>1</v>
      </c>
      <c r="J4294">
        <v>1</v>
      </c>
      <c r="K4294">
        <v>1</v>
      </c>
    </row>
    <row r="4295" spans="7:11">
      <c r="G4295">
        <v>4</v>
      </c>
      <c r="H4295">
        <v>2</v>
      </c>
      <c r="I4295">
        <v>1</v>
      </c>
      <c r="J4295">
        <v>2</v>
      </c>
      <c r="K4295">
        <v>2</v>
      </c>
    </row>
    <row r="4296" spans="7:11">
      <c r="G4296">
        <v>4</v>
      </c>
      <c r="H4296">
        <v>2</v>
      </c>
      <c r="I4296">
        <v>2</v>
      </c>
      <c r="J4296">
        <v>1</v>
      </c>
      <c r="K4296">
        <v>1</v>
      </c>
    </row>
    <row r="4297" spans="7:11">
      <c r="G4297">
        <v>4</v>
      </c>
      <c r="H4297">
        <v>2</v>
      </c>
      <c r="I4297">
        <v>2</v>
      </c>
      <c r="J4297">
        <v>2</v>
      </c>
      <c r="K4297">
        <v>2</v>
      </c>
    </row>
    <row r="4298" spans="7:11">
      <c r="G4298">
        <v>4</v>
      </c>
      <c r="H4298">
        <v>2</v>
      </c>
      <c r="I4298">
        <v>3</v>
      </c>
      <c r="J4298">
        <v>1</v>
      </c>
      <c r="K4298">
        <v>1</v>
      </c>
    </row>
    <row r="4299" spans="7:11">
      <c r="G4299">
        <v>4</v>
      </c>
      <c r="H4299">
        <v>2</v>
      </c>
      <c r="I4299">
        <v>3</v>
      </c>
      <c r="J4299">
        <v>2</v>
      </c>
      <c r="K4299">
        <v>2</v>
      </c>
    </row>
    <row r="4300" spans="7:11">
      <c r="G4300">
        <v>4</v>
      </c>
      <c r="H4300">
        <v>2</v>
      </c>
      <c r="I4300">
        <v>4</v>
      </c>
      <c r="J4300">
        <v>1</v>
      </c>
      <c r="K4300">
        <v>1</v>
      </c>
    </row>
    <row r="4301" spans="7:11">
      <c r="G4301">
        <v>4</v>
      </c>
      <c r="H4301">
        <v>2</v>
      </c>
      <c r="I4301">
        <v>4</v>
      </c>
      <c r="J4301">
        <v>2</v>
      </c>
      <c r="K4301">
        <v>2</v>
      </c>
    </row>
    <row r="4302" spans="7:11">
      <c r="G4302">
        <v>4</v>
      </c>
      <c r="H4302">
        <v>2</v>
      </c>
      <c r="I4302">
        <v>5</v>
      </c>
      <c r="J4302">
        <v>1</v>
      </c>
      <c r="K4302">
        <v>1</v>
      </c>
    </row>
    <row r="4303" spans="7:11">
      <c r="G4303">
        <v>4</v>
      </c>
      <c r="H4303">
        <v>2</v>
      </c>
      <c r="I4303">
        <v>5</v>
      </c>
      <c r="J4303">
        <v>2</v>
      </c>
      <c r="K4303">
        <v>2</v>
      </c>
    </row>
    <row r="4304" spans="7:11">
      <c r="G4304">
        <v>4</v>
      </c>
      <c r="H4304">
        <v>3</v>
      </c>
      <c r="I4304">
        <v>1</v>
      </c>
      <c r="J4304">
        <v>1</v>
      </c>
      <c r="K4304">
        <v>1</v>
      </c>
    </row>
    <row r="4305" spans="7:11">
      <c r="G4305">
        <v>4</v>
      </c>
      <c r="H4305">
        <v>3</v>
      </c>
      <c r="I4305">
        <v>1</v>
      </c>
      <c r="J4305">
        <v>2</v>
      </c>
      <c r="K4305">
        <v>2</v>
      </c>
    </row>
    <row r="4306" spans="7:11">
      <c r="G4306">
        <v>4</v>
      </c>
      <c r="H4306">
        <v>3</v>
      </c>
      <c r="I4306">
        <v>2</v>
      </c>
      <c r="J4306">
        <v>1</v>
      </c>
      <c r="K4306">
        <v>1</v>
      </c>
    </row>
    <row r="4307" spans="7:11">
      <c r="G4307">
        <v>4</v>
      </c>
      <c r="H4307">
        <v>3</v>
      </c>
      <c r="I4307">
        <v>2</v>
      </c>
      <c r="J4307">
        <v>2</v>
      </c>
      <c r="K4307">
        <v>2</v>
      </c>
    </row>
    <row r="4308" spans="7:11">
      <c r="G4308">
        <v>4</v>
      </c>
      <c r="H4308">
        <v>3</v>
      </c>
      <c r="I4308">
        <v>3</v>
      </c>
      <c r="J4308">
        <v>1</v>
      </c>
      <c r="K4308">
        <v>1</v>
      </c>
    </row>
    <row r="4309" spans="7:11">
      <c r="G4309">
        <v>4</v>
      </c>
      <c r="H4309">
        <v>3</v>
      </c>
      <c r="I4309">
        <v>3</v>
      </c>
      <c r="J4309">
        <v>2</v>
      </c>
      <c r="K4309">
        <v>2</v>
      </c>
    </row>
    <row r="4310" spans="7:11">
      <c r="G4310">
        <v>4</v>
      </c>
      <c r="H4310">
        <v>3</v>
      </c>
      <c r="I4310">
        <v>4</v>
      </c>
      <c r="J4310">
        <v>1</v>
      </c>
      <c r="K4310">
        <v>1</v>
      </c>
    </row>
    <row r="4311" spans="7:11">
      <c r="G4311">
        <v>4</v>
      </c>
      <c r="H4311">
        <v>3</v>
      </c>
      <c r="I4311">
        <v>4</v>
      </c>
      <c r="J4311">
        <v>2</v>
      </c>
      <c r="K4311">
        <v>2</v>
      </c>
    </row>
    <row r="4312" spans="7:11">
      <c r="G4312">
        <v>4</v>
      </c>
      <c r="H4312">
        <v>3</v>
      </c>
      <c r="I4312">
        <v>5</v>
      </c>
      <c r="J4312">
        <v>1</v>
      </c>
      <c r="K4312">
        <v>1</v>
      </c>
    </row>
    <row r="4313" spans="7:11">
      <c r="G4313">
        <v>4</v>
      </c>
      <c r="H4313">
        <v>3</v>
      </c>
      <c r="I4313">
        <v>5</v>
      </c>
      <c r="J4313">
        <v>2</v>
      </c>
      <c r="K4313">
        <v>2</v>
      </c>
    </row>
    <row r="4314" spans="7:11">
      <c r="G4314">
        <v>1</v>
      </c>
      <c r="H4314">
        <v>2</v>
      </c>
      <c r="I4314">
        <v>1</v>
      </c>
      <c r="J4314">
        <v>1</v>
      </c>
      <c r="K4314">
        <v>1</v>
      </c>
    </row>
    <row r="4315" spans="7:11">
      <c r="G4315">
        <v>1</v>
      </c>
      <c r="H4315">
        <v>2</v>
      </c>
      <c r="I4315">
        <v>1</v>
      </c>
      <c r="J4315">
        <v>2</v>
      </c>
      <c r="K4315">
        <v>2</v>
      </c>
    </row>
    <row r="4316" spans="7:11">
      <c r="G4316">
        <v>1</v>
      </c>
      <c r="H4316">
        <v>2</v>
      </c>
      <c r="I4316">
        <v>2</v>
      </c>
      <c r="J4316">
        <v>1</v>
      </c>
      <c r="K4316">
        <v>1</v>
      </c>
    </row>
    <row r="4317" spans="7:11">
      <c r="G4317">
        <v>1</v>
      </c>
      <c r="H4317">
        <v>2</v>
      </c>
      <c r="I4317">
        <v>2</v>
      </c>
      <c r="J4317">
        <v>2</v>
      </c>
      <c r="K4317">
        <v>2</v>
      </c>
    </row>
    <row r="4318" spans="7:11">
      <c r="G4318">
        <v>1</v>
      </c>
      <c r="H4318">
        <v>2</v>
      </c>
      <c r="I4318">
        <v>3</v>
      </c>
      <c r="J4318">
        <v>1</v>
      </c>
      <c r="K4318">
        <v>1</v>
      </c>
    </row>
    <row r="4319" spans="7:11">
      <c r="G4319">
        <v>1</v>
      </c>
      <c r="H4319">
        <v>2</v>
      </c>
      <c r="I4319">
        <v>3</v>
      </c>
      <c r="J4319">
        <v>2</v>
      </c>
      <c r="K4319">
        <v>2</v>
      </c>
    </row>
    <row r="4320" spans="7:11">
      <c r="G4320">
        <v>1</v>
      </c>
      <c r="H4320">
        <v>2</v>
      </c>
      <c r="I4320">
        <v>4</v>
      </c>
      <c r="J4320">
        <v>1</v>
      </c>
      <c r="K4320">
        <v>1</v>
      </c>
    </row>
    <row r="4321" spans="7:11">
      <c r="G4321">
        <v>1</v>
      </c>
      <c r="H4321">
        <v>2</v>
      </c>
      <c r="I4321">
        <v>4</v>
      </c>
      <c r="J4321">
        <v>2</v>
      </c>
      <c r="K4321">
        <v>2</v>
      </c>
    </row>
    <row r="4322" spans="7:11">
      <c r="G4322">
        <v>1</v>
      </c>
      <c r="H4322">
        <v>2</v>
      </c>
      <c r="I4322">
        <v>5</v>
      </c>
      <c r="J4322">
        <v>1</v>
      </c>
      <c r="K4322">
        <v>1</v>
      </c>
    </row>
    <row r="4323" spans="7:11">
      <c r="G4323">
        <v>1</v>
      </c>
      <c r="H4323">
        <v>2</v>
      </c>
      <c r="I4323">
        <v>5</v>
      </c>
      <c r="J4323">
        <v>2</v>
      </c>
      <c r="K4323">
        <v>2</v>
      </c>
    </row>
    <row r="4324" spans="7:11">
      <c r="G4324">
        <v>1</v>
      </c>
      <c r="H4324">
        <v>3</v>
      </c>
      <c r="I4324">
        <v>1</v>
      </c>
      <c r="J4324">
        <v>1</v>
      </c>
      <c r="K4324">
        <v>1</v>
      </c>
    </row>
    <row r="4325" spans="7:11">
      <c r="G4325">
        <v>1</v>
      </c>
      <c r="H4325">
        <v>3</v>
      </c>
      <c r="I4325">
        <v>1</v>
      </c>
      <c r="J4325">
        <v>2</v>
      </c>
      <c r="K4325">
        <v>2</v>
      </c>
    </row>
    <row r="4326" spans="7:11">
      <c r="G4326">
        <v>1</v>
      </c>
      <c r="H4326">
        <v>3</v>
      </c>
      <c r="I4326">
        <v>2</v>
      </c>
      <c r="J4326">
        <v>1</v>
      </c>
      <c r="K4326">
        <v>1</v>
      </c>
    </row>
    <row r="4327" spans="7:11">
      <c r="G4327">
        <v>1</v>
      </c>
      <c r="H4327">
        <v>3</v>
      </c>
      <c r="I4327">
        <v>2</v>
      </c>
      <c r="J4327">
        <v>2</v>
      </c>
      <c r="K4327">
        <v>2</v>
      </c>
    </row>
    <row r="4328" spans="7:11">
      <c r="G4328">
        <v>1</v>
      </c>
      <c r="H4328">
        <v>3</v>
      </c>
      <c r="I4328">
        <v>3</v>
      </c>
      <c r="J4328">
        <v>1</v>
      </c>
      <c r="K4328">
        <v>1</v>
      </c>
    </row>
    <row r="4329" spans="7:11">
      <c r="G4329">
        <v>1</v>
      </c>
      <c r="H4329">
        <v>3</v>
      </c>
      <c r="I4329">
        <v>3</v>
      </c>
      <c r="J4329">
        <v>2</v>
      </c>
      <c r="K4329">
        <v>2</v>
      </c>
    </row>
    <row r="4330" spans="7:11">
      <c r="G4330">
        <v>1</v>
      </c>
      <c r="H4330">
        <v>3</v>
      </c>
      <c r="I4330">
        <v>4</v>
      </c>
      <c r="J4330">
        <v>1</v>
      </c>
      <c r="K4330">
        <v>1</v>
      </c>
    </row>
    <row r="4331" spans="7:11">
      <c r="G4331">
        <v>1</v>
      </c>
      <c r="H4331">
        <v>3</v>
      </c>
      <c r="I4331">
        <v>4</v>
      </c>
      <c r="J4331">
        <v>2</v>
      </c>
      <c r="K4331">
        <v>2</v>
      </c>
    </row>
    <row r="4332" spans="7:11">
      <c r="G4332">
        <v>1</v>
      </c>
      <c r="H4332">
        <v>3</v>
      </c>
      <c r="I4332">
        <v>5</v>
      </c>
      <c r="J4332">
        <v>1</v>
      </c>
      <c r="K4332">
        <v>1</v>
      </c>
    </row>
    <row r="4333" spans="7:11">
      <c r="G4333">
        <v>1</v>
      </c>
      <c r="H4333">
        <v>3</v>
      </c>
      <c r="I4333">
        <v>5</v>
      </c>
      <c r="J4333">
        <v>2</v>
      </c>
      <c r="K4333">
        <v>2</v>
      </c>
    </row>
    <row r="4334" spans="7:11">
      <c r="G4334">
        <v>2</v>
      </c>
      <c r="H4334">
        <v>1</v>
      </c>
      <c r="I4334">
        <v>3</v>
      </c>
      <c r="J4334">
        <v>1</v>
      </c>
      <c r="K4334">
        <v>1</v>
      </c>
    </row>
    <row r="4335" spans="7:11">
      <c r="G4335">
        <v>2</v>
      </c>
      <c r="H4335">
        <v>1</v>
      </c>
      <c r="I4335">
        <v>3</v>
      </c>
      <c r="J4335">
        <v>2</v>
      </c>
      <c r="K4335">
        <v>2</v>
      </c>
    </row>
    <row r="4336" spans="7:11">
      <c r="G4336">
        <v>2</v>
      </c>
      <c r="H4336">
        <v>1</v>
      </c>
      <c r="I4336">
        <v>4</v>
      </c>
      <c r="J4336">
        <v>1</v>
      </c>
      <c r="K4336">
        <v>1</v>
      </c>
    </row>
    <row r="4337" spans="7:11">
      <c r="G4337">
        <v>2</v>
      </c>
      <c r="H4337">
        <v>1</v>
      </c>
      <c r="I4337">
        <v>4</v>
      </c>
      <c r="J4337">
        <v>2</v>
      </c>
      <c r="K4337">
        <v>2</v>
      </c>
    </row>
    <row r="4338" spans="7:11">
      <c r="G4338">
        <v>2</v>
      </c>
      <c r="H4338">
        <v>1</v>
      </c>
      <c r="I4338">
        <v>5</v>
      </c>
      <c r="J4338">
        <v>1</v>
      </c>
      <c r="K4338">
        <v>1</v>
      </c>
    </row>
    <row r="4339" spans="7:11">
      <c r="G4339">
        <v>2</v>
      </c>
      <c r="H4339">
        <v>1</v>
      </c>
      <c r="I4339">
        <v>5</v>
      </c>
      <c r="J4339">
        <v>2</v>
      </c>
      <c r="K4339">
        <v>2</v>
      </c>
    </row>
    <row r="4340" spans="7:11">
      <c r="G4340">
        <v>2</v>
      </c>
      <c r="H4340">
        <v>2</v>
      </c>
      <c r="I4340">
        <v>1</v>
      </c>
      <c r="J4340">
        <v>1</v>
      </c>
      <c r="K4340">
        <v>1</v>
      </c>
    </row>
    <row r="4341" spans="7:11">
      <c r="G4341">
        <v>2</v>
      </c>
      <c r="H4341">
        <v>2</v>
      </c>
      <c r="I4341">
        <v>1</v>
      </c>
      <c r="J4341">
        <v>2</v>
      </c>
      <c r="K4341">
        <v>2</v>
      </c>
    </row>
    <row r="4342" spans="7:11">
      <c r="G4342">
        <v>2</v>
      </c>
      <c r="H4342">
        <v>2</v>
      </c>
      <c r="I4342">
        <v>2</v>
      </c>
      <c r="J4342">
        <v>1</v>
      </c>
      <c r="K4342">
        <v>1</v>
      </c>
    </row>
    <row r="4343" spans="7:11">
      <c r="G4343">
        <v>2</v>
      </c>
      <c r="H4343">
        <v>2</v>
      </c>
      <c r="I4343">
        <v>2</v>
      </c>
      <c r="J4343">
        <v>2</v>
      </c>
      <c r="K4343">
        <v>2</v>
      </c>
    </row>
    <row r="4344" spans="7:11">
      <c r="G4344">
        <v>2</v>
      </c>
      <c r="H4344">
        <v>2</v>
      </c>
      <c r="I4344">
        <v>3</v>
      </c>
      <c r="J4344">
        <v>1</v>
      </c>
      <c r="K4344">
        <v>1</v>
      </c>
    </row>
    <row r="4345" spans="7:11">
      <c r="G4345">
        <v>2</v>
      </c>
      <c r="H4345">
        <v>2</v>
      </c>
      <c r="I4345">
        <v>3</v>
      </c>
      <c r="J4345">
        <v>2</v>
      </c>
      <c r="K4345">
        <v>2</v>
      </c>
    </row>
    <row r="4346" spans="7:11">
      <c r="G4346">
        <v>2</v>
      </c>
      <c r="H4346">
        <v>2</v>
      </c>
      <c r="I4346">
        <v>4</v>
      </c>
      <c r="J4346">
        <v>1</v>
      </c>
      <c r="K4346">
        <v>1</v>
      </c>
    </row>
    <row r="4347" spans="7:11">
      <c r="G4347">
        <v>2</v>
      </c>
      <c r="H4347">
        <v>2</v>
      </c>
      <c r="I4347">
        <v>4</v>
      </c>
      <c r="J4347">
        <v>2</v>
      </c>
      <c r="K4347">
        <v>2</v>
      </c>
    </row>
    <row r="4348" spans="7:11">
      <c r="G4348">
        <v>2</v>
      </c>
      <c r="H4348">
        <v>2</v>
      </c>
      <c r="I4348">
        <v>5</v>
      </c>
      <c r="J4348">
        <v>1</v>
      </c>
      <c r="K4348">
        <v>1</v>
      </c>
    </row>
    <row r="4349" spans="7:11">
      <c r="G4349">
        <v>2</v>
      </c>
      <c r="H4349">
        <v>2</v>
      </c>
      <c r="I4349">
        <v>5</v>
      </c>
      <c r="J4349">
        <v>2</v>
      </c>
      <c r="K4349">
        <v>2</v>
      </c>
    </row>
    <row r="4350" spans="7:11">
      <c r="G4350">
        <v>2</v>
      </c>
      <c r="H4350">
        <v>3</v>
      </c>
      <c r="I4350">
        <v>1</v>
      </c>
      <c r="J4350">
        <v>1</v>
      </c>
      <c r="K4350">
        <v>1</v>
      </c>
    </row>
    <row r="4351" spans="7:11">
      <c r="G4351">
        <v>2</v>
      </c>
      <c r="H4351">
        <v>3</v>
      </c>
      <c r="I4351">
        <v>1</v>
      </c>
      <c r="J4351">
        <v>2</v>
      </c>
      <c r="K4351">
        <v>2</v>
      </c>
    </row>
    <row r="4352" spans="7:11">
      <c r="G4352">
        <v>2</v>
      </c>
      <c r="H4352">
        <v>3</v>
      </c>
      <c r="I4352">
        <v>2</v>
      </c>
      <c r="J4352">
        <v>1</v>
      </c>
      <c r="K4352">
        <v>1</v>
      </c>
    </row>
    <row r="4353" spans="7:11">
      <c r="G4353">
        <v>2</v>
      </c>
      <c r="H4353">
        <v>3</v>
      </c>
      <c r="I4353">
        <v>2</v>
      </c>
      <c r="J4353">
        <v>2</v>
      </c>
      <c r="K4353">
        <v>2</v>
      </c>
    </row>
    <row r="4354" spans="7:11">
      <c r="G4354">
        <v>2</v>
      </c>
      <c r="H4354">
        <v>3</v>
      </c>
      <c r="I4354">
        <v>3</v>
      </c>
      <c r="J4354">
        <v>1</v>
      </c>
      <c r="K4354">
        <v>1</v>
      </c>
    </row>
    <row r="4355" spans="7:11">
      <c r="G4355">
        <v>2</v>
      </c>
      <c r="H4355">
        <v>3</v>
      </c>
      <c r="I4355">
        <v>3</v>
      </c>
      <c r="J4355">
        <v>2</v>
      </c>
      <c r="K4355">
        <v>2</v>
      </c>
    </row>
    <row r="4356" spans="7:11">
      <c r="G4356">
        <v>2</v>
      </c>
      <c r="H4356">
        <v>3</v>
      </c>
      <c r="I4356">
        <v>4</v>
      </c>
      <c r="J4356">
        <v>1</v>
      </c>
      <c r="K4356">
        <v>1</v>
      </c>
    </row>
    <row r="4357" spans="7:11">
      <c r="G4357">
        <v>2</v>
      </c>
      <c r="H4357">
        <v>3</v>
      </c>
      <c r="I4357">
        <v>4</v>
      </c>
      <c r="J4357">
        <v>2</v>
      </c>
      <c r="K4357">
        <v>2</v>
      </c>
    </row>
    <row r="4358" spans="7:11">
      <c r="G4358">
        <v>2</v>
      </c>
      <c r="H4358">
        <v>3</v>
      </c>
      <c r="I4358">
        <v>5</v>
      </c>
      <c r="J4358">
        <v>1</v>
      </c>
      <c r="K4358">
        <v>1</v>
      </c>
    </row>
    <row r="4359" spans="7:11">
      <c r="G4359">
        <v>2</v>
      </c>
      <c r="H4359">
        <v>3</v>
      </c>
      <c r="I4359">
        <v>5</v>
      </c>
      <c r="J4359">
        <v>2</v>
      </c>
      <c r="K4359">
        <v>2</v>
      </c>
    </row>
    <row r="4360" spans="7:11">
      <c r="G4360">
        <v>3</v>
      </c>
      <c r="H4360">
        <v>1</v>
      </c>
      <c r="I4360">
        <v>3</v>
      </c>
      <c r="J4360">
        <v>1</v>
      </c>
      <c r="K4360">
        <v>1</v>
      </c>
    </row>
    <row r="4361" spans="7:11">
      <c r="G4361">
        <v>3</v>
      </c>
      <c r="H4361">
        <v>1</v>
      </c>
      <c r="I4361">
        <v>3</v>
      </c>
      <c r="J4361">
        <v>2</v>
      </c>
      <c r="K4361">
        <v>2</v>
      </c>
    </row>
    <row r="4362" spans="7:11">
      <c r="G4362">
        <v>3</v>
      </c>
      <c r="H4362">
        <v>1</v>
      </c>
      <c r="I4362">
        <v>4</v>
      </c>
      <c r="J4362">
        <v>1</v>
      </c>
      <c r="K4362">
        <v>1</v>
      </c>
    </row>
    <row r="4363" spans="7:11">
      <c r="G4363">
        <v>3</v>
      </c>
      <c r="H4363">
        <v>1</v>
      </c>
      <c r="I4363">
        <v>4</v>
      </c>
      <c r="J4363">
        <v>2</v>
      </c>
      <c r="K4363">
        <v>2</v>
      </c>
    </row>
    <row r="4364" spans="7:11">
      <c r="G4364">
        <v>3</v>
      </c>
      <c r="H4364">
        <v>1</v>
      </c>
      <c r="I4364">
        <v>5</v>
      </c>
      <c r="J4364">
        <v>1</v>
      </c>
      <c r="K4364">
        <v>1</v>
      </c>
    </row>
    <row r="4365" spans="7:11">
      <c r="G4365">
        <v>3</v>
      </c>
      <c r="H4365">
        <v>1</v>
      </c>
      <c r="I4365">
        <v>5</v>
      </c>
      <c r="J4365">
        <v>2</v>
      </c>
      <c r="K4365">
        <v>2</v>
      </c>
    </row>
    <row r="4366" spans="7:11">
      <c r="G4366">
        <v>3</v>
      </c>
      <c r="H4366">
        <v>2</v>
      </c>
      <c r="I4366">
        <v>1</v>
      </c>
      <c r="J4366">
        <v>1</v>
      </c>
      <c r="K4366">
        <v>1</v>
      </c>
    </row>
    <row r="4367" spans="7:11">
      <c r="G4367">
        <v>3</v>
      </c>
      <c r="H4367">
        <v>2</v>
      </c>
      <c r="I4367">
        <v>1</v>
      </c>
      <c r="J4367">
        <v>2</v>
      </c>
      <c r="K4367">
        <v>2</v>
      </c>
    </row>
    <row r="4368" spans="7:11">
      <c r="G4368">
        <v>3</v>
      </c>
      <c r="H4368">
        <v>2</v>
      </c>
      <c r="I4368">
        <v>2</v>
      </c>
      <c r="J4368">
        <v>1</v>
      </c>
      <c r="K4368">
        <v>1</v>
      </c>
    </row>
    <row r="4369" spans="7:11">
      <c r="G4369">
        <v>3</v>
      </c>
      <c r="H4369">
        <v>2</v>
      </c>
      <c r="I4369">
        <v>2</v>
      </c>
      <c r="J4369">
        <v>2</v>
      </c>
      <c r="K4369">
        <v>2</v>
      </c>
    </row>
    <row r="4370" spans="7:11">
      <c r="G4370">
        <v>3</v>
      </c>
      <c r="H4370">
        <v>2</v>
      </c>
      <c r="I4370">
        <v>3</v>
      </c>
      <c r="J4370">
        <v>1</v>
      </c>
      <c r="K4370">
        <v>1</v>
      </c>
    </row>
    <row r="4371" spans="7:11">
      <c r="G4371">
        <v>3</v>
      </c>
      <c r="H4371">
        <v>2</v>
      </c>
      <c r="I4371">
        <v>3</v>
      </c>
      <c r="J4371">
        <v>2</v>
      </c>
      <c r="K4371">
        <v>2</v>
      </c>
    </row>
    <row r="4372" spans="7:11">
      <c r="G4372">
        <v>3</v>
      </c>
      <c r="H4372">
        <v>2</v>
      </c>
      <c r="I4372">
        <v>4</v>
      </c>
      <c r="J4372">
        <v>1</v>
      </c>
      <c r="K4372">
        <v>1</v>
      </c>
    </row>
    <row r="4373" spans="7:11">
      <c r="G4373">
        <v>3</v>
      </c>
      <c r="H4373">
        <v>2</v>
      </c>
      <c r="I4373">
        <v>4</v>
      </c>
      <c r="J4373">
        <v>2</v>
      </c>
      <c r="K4373">
        <v>2</v>
      </c>
    </row>
    <row r="4374" spans="7:11">
      <c r="G4374">
        <v>3</v>
      </c>
      <c r="H4374">
        <v>2</v>
      </c>
      <c r="I4374">
        <v>5</v>
      </c>
      <c r="J4374">
        <v>1</v>
      </c>
      <c r="K4374">
        <v>1</v>
      </c>
    </row>
    <row r="4375" spans="7:11">
      <c r="G4375">
        <v>3</v>
      </c>
      <c r="H4375">
        <v>2</v>
      </c>
      <c r="I4375">
        <v>5</v>
      </c>
      <c r="J4375">
        <v>2</v>
      </c>
      <c r="K4375">
        <v>2</v>
      </c>
    </row>
    <row r="4376" spans="7:11">
      <c r="G4376">
        <v>3</v>
      </c>
      <c r="H4376">
        <v>3</v>
      </c>
      <c r="I4376">
        <v>1</v>
      </c>
      <c r="J4376">
        <v>1</v>
      </c>
      <c r="K4376">
        <v>1</v>
      </c>
    </row>
    <row r="4377" spans="7:11">
      <c r="G4377">
        <v>3</v>
      </c>
      <c r="H4377">
        <v>3</v>
      </c>
      <c r="I4377">
        <v>1</v>
      </c>
      <c r="J4377">
        <v>2</v>
      </c>
      <c r="K4377">
        <v>2</v>
      </c>
    </row>
    <row r="4378" spans="7:11">
      <c r="G4378">
        <v>3</v>
      </c>
      <c r="H4378">
        <v>3</v>
      </c>
      <c r="I4378">
        <v>2</v>
      </c>
      <c r="J4378">
        <v>1</v>
      </c>
      <c r="K4378">
        <v>1</v>
      </c>
    </row>
    <row r="4379" spans="7:11">
      <c r="G4379">
        <v>3</v>
      </c>
      <c r="H4379">
        <v>3</v>
      </c>
      <c r="I4379">
        <v>2</v>
      </c>
      <c r="J4379">
        <v>2</v>
      </c>
      <c r="K4379">
        <v>2</v>
      </c>
    </row>
    <row r="4380" spans="7:11">
      <c r="G4380">
        <v>3</v>
      </c>
      <c r="H4380">
        <v>3</v>
      </c>
      <c r="I4380">
        <v>3</v>
      </c>
      <c r="J4380">
        <v>1</v>
      </c>
      <c r="K4380">
        <v>1</v>
      </c>
    </row>
    <row r="4381" spans="7:11">
      <c r="G4381">
        <v>3</v>
      </c>
      <c r="H4381">
        <v>3</v>
      </c>
      <c r="I4381">
        <v>3</v>
      </c>
      <c r="J4381">
        <v>2</v>
      </c>
      <c r="K4381">
        <v>2</v>
      </c>
    </row>
    <row r="4382" spans="7:11">
      <c r="G4382">
        <v>3</v>
      </c>
      <c r="H4382">
        <v>3</v>
      </c>
      <c r="I4382">
        <v>4</v>
      </c>
      <c r="J4382">
        <v>1</v>
      </c>
      <c r="K4382">
        <v>1</v>
      </c>
    </row>
    <row r="4383" spans="7:11">
      <c r="G4383">
        <v>3</v>
      </c>
      <c r="H4383">
        <v>3</v>
      </c>
      <c r="I4383">
        <v>4</v>
      </c>
      <c r="J4383">
        <v>2</v>
      </c>
      <c r="K4383">
        <v>2</v>
      </c>
    </row>
    <row r="4384" spans="7:11">
      <c r="G4384">
        <v>3</v>
      </c>
      <c r="H4384">
        <v>3</v>
      </c>
      <c r="I4384">
        <v>5</v>
      </c>
      <c r="J4384">
        <v>1</v>
      </c>
      <c r="K4384">
        <v>1</v>
      </c>
    </row>
    <row r="4385" spans="7:11">
      <c r="G4385">
        <v>3</v>
      </c>
      <c r="H4385">
        <v>3</v>
      </c>
      <c r="I4385">
        <v>5</v>
      </c>
      <c r="J4385">
        <v>2</v>
      </c>
      <c r="K4385">
        <v>2</v>
      </c>
    </row>
    <row r="4386" spans="7:11">
      <c r="G4386">
        <v>4</v>
      </c>
      <c r="H4386">
        <v>1</v>
      </c>
      <c r="I4386">
        <v>3</v>
      </c>
      <c r="J4386">
        <v>1</v>
      </c>
      <c r="K4386">
        <v>1</v>
      </c>
    </row>
    <row r="4387" spans="7:11">
      <c r="G4387">
        <v>4</v>
      </c>
      <c r="H4387">
        <v>1</v>
      </c>
      <c r="I4387">
        <v>3</v>
      </c>
      <c r="J4387">
        <v>2</v>
      </c>
      <c r="K4387">
        <v>2</v>
      </c>
    </row>
    <row r="4388" spans="7:11">
      <c r="G4388">
        <v>4</v>
      </c>
      <c r="H4388">
        <v>1</v>
      </c>
      <c r="I4388">
        <v>4</v>
      </c>
      <c r="J4388">
        <v>1</v>
      </c>
      <c r="K4388">
        <v>1</v>
      </c>
    </row>
    <row r="4389" spans="7:11">
      <c r="G4389">
        <v>4</v>
      </c>
      <c r="H4389">
        <v>1</v>
      </c>
      <c r="I4389">
        <v>4</v>
      </c>
      <c r="J4389">
        <v>2</v>
      </c>
      <c r="K4389">
        <v>2</v>
      </c>
    </row>
    <row r="4390" spans="7:11">
      <c r="G4390">
        <v>4</v>
      </c>
      <c r="H4390">
        <v>1</v>
      </c>
      <c r="I4390">
        <v>5</v>
      </c>
      <c r="J4390">
        <v>1</v>
      </c>
      <c r="K4390">
        <v>1</v>
      </c>
    </row>
    <row r="4391" spans="7:11">
      <c r="G4391">
        <v>4</v>
      </c>
      <c r="H4391">
        <v>1</v>
      </c>
      <c r="I4391">
        <v>5</v>
      </c>
      <c r="J4391">
        <v>2</v>
      </c>
      <c r="K4391">
        <v>2</v>
      </c>
    </row>
    <row r="4392" spans="7:11">
      <c r="G4392">
        <v>4</v>
      </c>
      <c r="H4392">
        <v>2</v>
      </c>
      <c r="I4392">
        <v>1</v>
      </c>
      <c r="J4392">
        <v>1</v>
      </c>
      <c r="K4392">
        <v>1</v>
      </c>
    </row>
    <row r="4393" spans="7:11">
      <c r="G4393">
        <v>4</v>
      </c>
      <c r="H4393">
        <v>2</v>
      </c>
      <c r="I4393">
        <v>1</v>
      </c>
      <c r="J4393">
        <v>2</v>
      </c>
      <c r="K4393">
        <v>2</v>
      </c>
    </row>
    <row r="4394" spans="7:11">
      <c r="G4394">
        <v>4</v>
      </c>
      <c r="H4394">
        <v>2</v>
      </c>
      <c r="I4394">
        <v>2</v>
      </c>
      <c r="J4394">
        <v>1</v>
      </c>
      <c r="K4394">
        <v>1</v>
      </c>
    </row>
    <row r="4395" spans="7:11">
      <c r="G4395">
        <v>4</v>
      </c>
      <c r="H4395">
        <v>2</v>
      </c>
      <c r="I4395">
        <v>2</v>
      </c>
      <c r="J4395">
        <v>2</v>
      </c>
      <c r="K4395">
        <v>2</v>
      </c>
    </row>
    <row r="4396" spans="7:11">
      <c r="G4396">
        <v>4</v>
      </c>
      <c r="H4396">
        <v>2</v>
      </c>
      <c r="I4396">
        <v>3</v>
      </c>
      <c r="J4396">
        <v>1</v>
      </c>
      <c r="K4396">
        <v>1</v>
      </c>
    </row>
    <row r="4397" spans="7:11">
      <c r="G4397">
        <v>4</v>
      </c>
      <c r="H4397">
        <v>2</v>
      </c>
      <c r="I4397">
        <v>3</v>
      </c>
      <c r="J4397">
        <v>2</v>
      </c>
      <c r="K4397">
        <v>2</v>
      </c>
    </row>
    <row r="4398" spans="7:11">
      <c r="G4398">
        <v>4</v>
      </c>
      <c r="H4398">
        <v>2</v>
      </c>
      <c r="I4398">
        <v>4</v>
      </c>
      <c r="J4398">
        <v>1</v>
      </c>
      <c r="K4398">
        <v>1</v>
      </c>
    </row>
    <row r="4399" spans="7:11">
      <c r="G4399">
        <v>4</v>
      </c>
      <c r="H4399">
        <v>2</v>
      </c>
      <c r="I4399">
        <v>4</v>
      </c>
      <c r="J4399">
        <v>2</v>
      </c>
      <c r="K4399">
        <v>2</v>
      </c>
    </row>
    <row r="4400" spans="7:11">
      <c r="G4400">
        <v>4</v>
      </c>
      <c r="H4400">
        <v>2</v>
      </c>
      <c r="I4400">
        <v>5</v>
      </c>
      <c r="J4400">
        <v>1</v>
      </c>
      <c r="K4400">
        <v>1</v>
      </c>
    </row>
    <row r="4401" spans="7:11">
      <c r="G4401">
        <v>4</v>
      </c>
      <c r="H4401">
        <v>2</v>
      </c>
      <c r="I4401">
        <v>5</v>
      </c>
      <c r="J4401">
        <v>2</v>
      </c>
      <c r="K4401">
        <v>2</v>
      </c>
    </row>
    <row r="4402" spans="7:11">
      <c r="G4402">
        <v>4</v>
      </c>
      <c r="H4402">
        <v>3</v>
      </c>
      <c r="I4402">
        <v>1</v>
      </c>
      <c r="J4402">
        <v>1</v>
      </c>
      <c r="K4402">
        <v>1</v>
      </c>
    </row>
    <row r="4403" spans="7:11">
      <c r="G4403">
        <v>4</v>
      </c>
      <c r="H4403">
        <v>3</v>
      </c>
      <c r="I4403">
        <v>1</v>
      </c>
      <c r="J4403">
        <v>2</v>
      </c>
      <c r="K4403">
        <v>2</v>
      </c>
    </row>
    <row r="4404" spans="7:11">
      <c r="G4404">
        <v>4</v>
      </c>
      <c r="H4404">
        <v>3</v>
      </c>
      <c r="I4404">
        <v>2</v>
      </c>
      <c r="J4404">
        <v>1</v>
      </c>
      <c r="K4404">
        <v>1</v>
      </c>
    </row>
    <row r="4405" spans="7:11">
      <c r="G4405">
        <v>4</v>
      </c>
      <c r="H4405">
        <v>3</v>
      </c>
      <c r="I4405">
        <v>2</v>
      </c>
      <c r="J4405">
        <v>2</v>
      </c>
      <c r="K4405">
        <v>2</v>
      </c>
    </row>
    <row r="4406" spans="7:11">
      <c r="G4406">
        <v>4</v>
      </c>
      <c r="H4406">
        <v>3</v>
      </c>
      <c r="I4406">
        <v>3</v>
      </c>
      <c r="J4406">
        <v>1</v>
      </c>
      <c r="K4406">
        <v>1</v>
      </c>
    </row>
    <row r="4407" spans="7:11">
      <c r="G4407">
        <v>4</v>
      </c>
      <c r="H4407">
        <v>3</v>
      </c>
      <c r="I4407">
        <v>3</v>
      </c>
      <c r="J4407">
        <v>2</v>
      </c>
      <c r="K4407">
        <v>2</v>
      </c>
    </row>
    <row r="4408" spans="7:11">
      <c r="G4408">
        <v>4</v>
      </c>
      <c r="H4408">
        <v>3</v>
      </c>
      <c r="I4408">
        <v>4</v>
      </c>
      <c r="J4408">
        <v>1</v>
      </c>
      <c r="K4408">
        <v>1</v>
      </c>
    </row>
    <row r="4409" spans="7:11">
      <c r="G4409">
        <v>4</v>
      </c>
      <c r="H4409">
        <v>3</v>
      </c>
      <c r="I4409">
        <v>4</v>
      </c>
      <c r="J4409">
        <v>2</v>
      </c>
      <c r="K4409">
        <v>2</v>
      </c>
    </row>
    <row r="4410" spans="7:11">
      <c r="G4410">
        <v>4</v>
      </c>
      <c r="H4410">
        <v>3</v>
      </c>
      <c r="I4410">
        <v>5</v>
      </c>
      <c r="J4410">
        <v>1</v>
      </c>
      <c r="K4410">
        <v>1</v>
      </c>
    </row>
    <row r="4411" spans="7:11">
      <c r="G4411">
        <v>4</v>
      </c>
      <c r="H4411">
        <v>3</v>
      </c>
      <c r="I4411">
        <v>5</v>
      </c>
      <c r="J4411">
        <v>2</v>
      </c>
      <c r="K4411">
        <v>2</v>
      </c>
    </row>
    <row r="4412" spans="7:11">
      <c r="G4412">
        <v>1</v>
      </c>
      <c r="H4412">
        <v>2</v>
      </c>
      <c r="I4412">
        <v>1</v>
      </c>
      <c r="J4412">
        <v>1</v>
      </c>
      <c r="K4412">
        <v>1</v>
      </c>
    </row>
    <row r="4413" spans="7:11">
      <c r="G4413">
        <v>1</v>
      </c>
      <c r="H4413">
        <v>2</v>
      </c>
      <c r="I4413">
        <v>1</v>
      </c>
      <c r="J4413">
        <v>2</v>
      </c>
      <c r="K4413">
        <v>2</v>
      </c>
    </row>
    <row r="4414" spans="7:11">
      <c r="G4414">
        <v>1</v>
      </c>
      <c r="H4414">
        <v>2</v>
      </c>
      <c r="I4414">
        <v>2</v>
      </c>
      <c r="J4414">
        <v>1</v>
      </c>
      <c r="K4414">
        <v>1</v>
      </c>
    </row>
    <row r="4415" spans="7:11">
      <c r="G4415">
        <v>1</v>
      </c>
      <c r="H4415">
        <v>2</v>
      </c>
      <c r="I4415">
        <v>2</v>
      </c>
      <c r="J4415">
        <v>2</v>
      </c>
      <c r="K4415">
        <v>2</v>
      </c>
    </row>
    <row r="4416" spans="7:11">
      <c r="G4416">
        <v>1</v>
      </c>
      <c r="H4416">
        <v>2</v>
      </c>
      <c r="I4416">
        <v>3</v>
      </c>
      <c r="J4416">
        <v>1</v>
      </c>
      <c r="K4416">
        <v>1</v>
      </c>
    </row>
    <row r="4417" spans="7:11">
      <c r="G4417">
        <v>1</v>
      </c>
      <c r="H4417">
        <v>2</v>
      </c>
      <c r="I4417">
        <v>3</v>
      </c>
      <c r="J4417">
        <v>2</v>
      </c>
      <c r="K4417">
        <v>2</v>
      </c>
    </row>
    <row r="4418" spans="7:11">
      <c r="G4418">
        <v>1</v>
      </c>
      <c r="H4418">
        <v>2</v>
      </c>
      <c r="I4418">
        <v>4</v>
      </c>
      <c r="J4418">
        <v>1</v>
      </c>
      <c r="K4418">
        <v>1</v>
      </c>
    </row>
    <row r="4419" spans="7:11">
      <c r="G4419">
        <v>1</v>
      </c>
      <c r="H4419">
        <v>2</v>
      </c>
      <c r="I4419">
        <v>4</v>
      </c>
      <c r="J4419">
        <v>2</v>
      </c>
      <c r="K4419">
        <v>2</v>
      </c>
    </row>
    <row r="4420" spans="7:11">
      <c r="G4420">
        <v>1</v>
      </c>
      <c r="H4420">
        <v>2</v>
      </c>
      <c r="I4420">
        <v>5</v>
      </c>
      <c r="J4420">
        <v>1</v>
      </c>
      <c r="K4420">
        <v>1</v>
      </c>
    </row>
    <row r="4421" spans="7:11">
      <c r="G4421">
        <v>1</v>
      </c>
      <c r="H4421">
        <v>2</v>
      </c>
      <c r="I4421">
        <v>5</v>
      </c>
      <c r="J4421">
        <v>2</v>
      </c>
      <c r="K4421">
        <v>2</v>
      </c>
    </row>
    <row r="4422" spans="7:11">
      <c r="G4422">
        <v>1</v>
      </c>
      <c r="H4422">
        <v>3</v>
      </c>
      <c r="I4422">
        <v>1</v>
      </c>
      <c r="J4422">
        <v>1</v>
      </c>
      <c r="K4422">
        <v>1</v>
      </c>
    </row>
    <row r="4423" spans="7:11">
      <c r="G4423">
        <v>1</v>
      </c>
      <c r="H4423">
        <v>3</v>
      </c>
      <c r="I4423">
        <v>1</v>
      </c>
      <c r="J4423">
        <v>2</v>
      </c>
      <c r="K4423">
        <v>2</v>
      </c>
    </row>
    <row r="4424" spans="7:11">
      <c r="G4424">
        <v>1</v>
      </c>
      <c r="H4424">
        <v>3</v>
      </c>
      <c r="I4424">
        <v>2</v>
      </c>
      <c r="J4424">
        <v>1</v>
      </c>
      <c r="K4424">
        <v>1</v>
      </c>
    </row>
    <row r="4425" spans="7:11">
      <c r="G4425">
        <v>1</v>
      </c>
      <c r="H4425">
        <v>3</v>
      </c>
      <c r="I4425">
        <v>2</v>
      </c>
      <c r="J4425">
        <v>2</v>
      </c>
      <c r="K4425">
        <v>2</v>
      </c>
    </row>
    <row r="4426" spans="7:11">
      <c r="G4426">
        <v>1</v>
      </c>
      <c r="H4426">
        <v>3</v>
      </c>
      <c r="I4426">
        <v>3</v>
      </c>
      <c r="J4426">
        <v>1</v>
      </c>
      <c r="K4426">
        <v>1</v>
      </c>
    </row>
    <row r="4427" spans="7:11">
      <c r="G4427">
        <v>1</v>
      </c>
      <c r="H4427">
        <v>3</v>
      </c>
      <c r="I4427">
        <v>3</v>
      </c>
      <c r="J4427">
        <v>2</v>
      </c>
      <c r="K4427">
        <v>2</v>
      </c>
    </row>
    <row r="4428" spans="7:11">
      <c r="G4428">
        <v>1</v>
      </c>
      <c r="H4428">
        <v>3</v>
      </c>
      <c r="I4428">
        <v>4</v>
      </c>
      <c r="J4428">
        <v>1</v>
      </c>
      <c r="K4428">
        <v>1</v>
      </c>
    </row>
    <row r="4429" spans="7:11">
      <c r="G4429">
        <v>1</v>
      </c>
      <c r="H4429">
        <v>3</v>
      </c>
      <c r="I4429">
        <v>4</v>
      </c>
      <c r="J4429">
        <v>2</v>
      </c>
      <c r="K4429">
        <v>2</v>
      </c>
    </row>
    <row r="4430" spans="7:11">
      <c r="G4430">
        <v>1</v>
      </c>
      <c r="H4430">
        <v>3</v>
      </c>
      <c r="I4430">
        <v>5</v>
      </c>
      <c r="J4430">
        <v>1</v>
      </c>
      <c r="K4430">
        <v>1</v>
      </c>
    </row>
    <row r="4431" spans="7:11">
      <c r="G4431">
        <v>1</v>
      </c>
      <c r="H4431">
        <v>3</v>
      </c>
      <c r="I4431">
        <v>5</v>
      </c>
      <c r="J4431">
        <v>2</v>
      </c>
      <c r="K4431">
        <v>2</v>
      </c>
    </row>
    <row r="4432" spans="7:11">
      <c r="G4432">
        <v>2</v>
      </c>
      <c r="H4432">
        <v>1</v>
      </c>
      <c r="I4432">
        <v>3</v>
      </c>
      <c r="J4432">
        <v>1</v>
      </c>
      <c r="K4432">
        <v>1</v>
      </c>
    </row>
    <row r="4433" spans="7:11">
      <c r="G4433">
        <v>2</v>
      </c>
      <c r="H4433">
        <v>1</v>
      </c>
      <c r="I4433">
        <v>3</v>
      </c>
      <c r="J4433">
        <v>2</v>
      </c>
      <c r="K4433">
        <v>2</v>
      </c>
    </row>
    <row r="4434" spans="7:11">
      <c r="G4434">
        <v>2</v>
      </c>
      <c r="H4434">
        <v>1</v>
      </c>
      <c r="I4434">
        <v>4</v>
      </c>
      <c r="J4434">
        <v>1</v>
      </c>
      <c r="K4434">
        <v>1</v>
      </c>
    </row>
    <row r="4435" spans="7:11">
      <c r="G4435">
        <v>2</v>
      </c>
      <c r="H4435">
        <v>1</v>
      </c>
      <c r="I4435">
        <v>4</v>
      </c>
      <c r="J4435">
        <v>2</v>
      </c>
      <c r="K4435">
        <v>2</v>
      </c>
    </row>
    <row r="4436" spans="7:11">
      <c r="G4436">
        <v>2</v>
      </c>
      <c r="H4436">
        <v>1</v>
      </c>
      <c r="I4436">
        <v>5</v>
      </c>
      <c r="J4436">
        <v>1</v>
      </c>
      <c r="K4436">
        <v>1</v>
      </c>
    </row>
    <row r="4437" spans="7:11">
      <c r="G4437">
        <v>2</v>
      </c>
      <c r="H4437">
        <v>1</v>
      </c>
      <c r="I4437">
        <v>5</v>
      </c>
      <c r="J4437">
        <v>2</v>
      </c>
      <c r="K4437">
        <v>2</v>
      </c>
    </row>
    <row r="4438" spans="7:11">
      <c r="G4438">
        <v>2</v>
      </c>
      <c r="H4438">
        <v>2</v>
      </c>
      <c r="I4438">
        <v>1</v>
      </c>
      <c r="J4438">
        <v>1</v>
      </c>
      <c r="K4438">
        <v>1</v>
      </c>
    </row>
    <row r="4439" spans="7:11">
      <c r="G4439">
        <v>2</v>
      </c>
      <c r="H4439">
        <v>2</v>
      </c>
      <c r="I4439">
        <v>1</v>
      </c>
      <c r="J4439">
        <v>2</v>
      </c>
      <c r="K4439">
        <v>2</v>
      </c>
    </row>
    <row r="4440" spans="7:11">
      <c r="G4440">
        <v>2</v>
      </c>
      <c r="H4440">
        <v>2</v>
      </c>
      <c r="I4440">
        <v>2</v>
      </c>
      <c r="J4440">
        <v>1</v>
      </c>
      <c r="K4440">
        <v>1</v>
      </c>
    </row>
    <row r="4441" spans="7:11">
      <c r="G4441">
        <v>2</v>
      </c>
      <c r="H4441">
        <v>2</v>
      </c>
      <c r="I4441">
        <v>2</v>
      </c>
      <c r="J4441">
        <v>2</v>
      </c>
      <c r="K4441">
        <v>2</v>
      </c>
    </row>
    <row r="4442" spans="7:11">
      <c r="G4442">
        <v>2</v>
      </c>
      <c r="H4442">
        <v>2</v>
      </c>
      <c r="I4442">
        <v>3</v>
      </c>
      <c r="J4442">
        <v>1</v>
      </c>
      <c r="K4442">
        <v>1</v>
      </c>
    </row>
    <row r="4443" spans="7:11">
      <c r="G4443">
        <v>2</v>
      </c>
      <c r="H4443">
        <v>2</v>
      </c>
      <c r="I4443">
        <v>3</v>
      </c>
      <c r="J4443">
        <v>2</v>
      </c>
      <c r="K4443">
        <v>2</v>
      </c>
    </row>
    <row r="4444" spans="7:11">
      <c r="G4444">
        <v>2</v>
      </c>
      <c r="H4444">
        <v>2</v>
      </c>
      <c r="I4444">
        <v>4</v>
      </c>
      <c r="J4444">
        <v>1</v>
      </c>
      <c r="K4444">
        <v>1</v>
      </c>
    </row>
    <row r="4445" spans="7:11">
      <c r="G4445">
        <v>2</v>
      </c>
      <c r="H4445">
        <v>2</v>
      </c>
      <c r="I4445">
        <v>4</v>
      </c>
      <c r="J4445">
        <v>2</v>
      </c>
      <c r="K4445">
        <v>2</v>
      </c>
    </row>
    <row r="4446" spans="7:11">
      <c r="G4446">
        <v>2</v>
      </c>
      <c r="H4446">
        <v>2</v>
      </c>
      <c r="I4446">
        <v>5</v>
      </c>
      <c r="J4446">
        <v>1</v>
      </c>
      <c r="K4446">
        <v>1</v>
      </c>
    </row>
    <row r="4447" spans="7:11">
      <c r="G4447">
        <v>2</v>
      </c>
      <c r="H4447">
        <v>2</v>
      </c>
      <c r="I4447">
        <v>5</v>
      </c>
      <c r="J4447">
        <v>2</v>
      </c>
      <c r="K4447">
        <v>2</v>
      </c>
    </row>
    <row r="4448" spans="7:11">
      <c r="G4448">
        <v>2</v>
      </c>
      <c r="H4448">
        <v>3</v>
      </c>
      <c r="I4448">
        <v>1</v>
      </c>
      <c r="J4448">
        <v>1</v>
      </c>
      <c r="K4448">
        <v>1</v>
      </c>
    </row>
    <row r="4449" spans="7:11">
      <c r="G4449">
        <v>2</v>
      </c>
      <c r="H4449">
        <v>3</v>
      </c>
      <c r="I4449">
        <v>1</v>
      </c>
      <c r="J4449">
        <v>2</v>
      </c>
      <c r="K4449">
        <v>2</v>
      </c>
    </row>
    <row r="4450" spans="7:11">
      <c r="G4450">
        <v>2</v>
      </c>
      <c r="H4450">
        <v>3</v>
      </c>
      <c r="I4450">
        <v>2</v>
      </c>
      <c r="J4450">
        <v>1</v>
      </c>
      <c r="K4450">
        <v>1</v>
      </c>
    </row>
    <row r="4451" spans="7:11">
      <c r="G4451">
        <v>2</v>
      </c>
      <c r="H4451">
        <v>3</v>
      </c>
      <c r="I4451">
        <v>2</v>
      </c>
      <c r="J4451">
        <v>2</v>
      </c>
      <c r="K4451">
        <v>2</v>
      </c>
    </row>
    <row r="4452" spans="7:11">
      <c r="G4452">
        <v>2</v>
      </c>
      <c r="H4452">
        <v>3</v>
      </c>
      <c r="I4452">
        <v>3</v>
      </c>
      <c r="J4452">
        <v>1</v>
      </c>
      <c r="K4452">
        <v>1</v>
      </c>
    </row>
    <row r="4453" spans="7:11">
      <c r="G4453">
        <v>2</v>
      </c>
      <c r="H4453">
        <v>3</v>
      </c>
      <c r="I4453">
        <v>3</v>
      </c>
      <c r="J4453">
        <v>2</v>
      </c>
      <c r="K4453">
        <v>2</v>
      </c>
    </row>
    <row r="4454" spans="7:11">
      <c r="G4454">
        <v>2</v>
      </c>
      <c r="H4454">
        <v>3</v>
      </c>
      <c r="I4454">
        <v>4</v>
      </c>
      <c r="J4454">
        <v>1</v>
      </c>
      <c r="K4454">
        <v>1</v>
      </c>
    </row>
    <row r="4455" spans="7:11">
      <c r="G4455">
        <v>2</v>
      </c>
      <c r="H4455">
        <v>3</v>
      </c>
      <c r="I4455">
        <v>4</v>
      </c>
      <c r="J4455">
        <v>2</v>
      </c>
      <c r="K4455">
        <v>2</v>
      </c>
    </row>
    <row r="4456" spans="7:11">
      <c r="G4456">
        <v>2</v>
      </c>
      <c r="H4456">
        <v>3</v>
      </c>
      <c r="I4456">
        <v>5</v>
      </c>
      <c r="J4456">
        <v>1</v>
      </c>
      <c r="K4456">
        <v>1</v>
      </c>
    </row>
    <row r="4457" spans="7:11">
      <c r="G4457">
        <v>2</v>
      </c>
      <c r="H4457">
        <v>3</v>
      </c>
      <c r="I4457">
        <v>5</v>
      </c>
      <c r="J4457">
        <v>2</v>
      </c>
      <c r="K4457">
        <v>2</v>
      </c>
    </row>
    <row r="4458" spans="7:11">
      <c r="G4458">
        <v>3</v>
      </c>
      <c r="H4458">
        <v>1</v>
      </c>
      <c r="I4458">
        <v>3</v>
      </c>
      <c r="J4458">
        <v>1</v>
      </c>
      <c r="K4458">
        <v>1</v>
      </c>
    </row>
    <row r="4459" spans="7:11">
      <c r="G4459">
        <v>3</v>
      </c>
      <c r="H4459">
        <v>1</v>
      </c>
      <c r="I4459">
        <v>3</v>
      </c>
      <c r="J4459">
        <v>2</v>
      </c>
      <c r="K4459">
        <v>2</v>
      </c>
    </row>
    <row r="4460" spans="7:11">
      <c r="G4460">
        <v>3</v>
      </c>
      <c r="H4460">
        <v>1</v>
      </c>
      <c r="I4460">
        <v>4</v>
      </c>
      <c r="J4460">
        <v>1</v>
      </c>
      <c r="K4460">
        <v>1</v>
      </c>
    </row>
    <row r="4461" spans="7:11">
      <c r="G4461">
        <v>3</v>
      </c>
      <c r="H4461">
        <v>1</v>
      </c>
      <c r="I4461">
        <v>4</v>
      </c>
      <c r="J4461">
        <v>2</v>
      </c>
      <c r="K4461">
        <v>2</v>
      </c>
    </row>
    <row r="4462" spans="7:11">
      <c r="G4462">
        <v>3</v>
      </c>
      <c r="H4462">
        <v>1</v>
      </c>
      <c r="I4462">
        <v>5</v>
      </c>
      <c r="J4462">
        <v>1</v>
      </c>
      <c r="K4462">
        <v>1</v>
      </c>
    </row>
    <row r="4463" spans="7:11">
      <c r="G4463">
        <v>3</v>
      </c>
      <c r="H4463">
        <v>1</v>
      </c>
      <c r="I4463">
        <v>5</v>
      </c>
      <c r="J4463">
        <v>2</v>
      </c>
      <c r="K4463">
        <v>2</v>
      </c>
    </row>
    <row r="4464" spans="7:11">
      <c r="G4464">
        <v>3</v>
      </c>
      <c r="H4464">
        <v>2</v>
      </c>
      <c r="I4464">
        <v>1</v>
      </c>
      <c r="J4464">
        <v>1</v>
      </c>
      <c r="K4464">
        <v>1</v>
      </c>
    </row>
    <row r="4465" spans="7:11">
      <c r="G4465">
        <v>3</v>
      </c>
      <c r="H4465">
        <v>2</v>
      </c>
      <c r="I4465">
        <v>1</v>
      </c>
      <c r="J4465">
        <v>2</v>
      </c>
      <c r="K4465">
        <v>2</v>
      </c>
    </row>
    <row r="4466" spans="7:11">
      <c r="G4466">
        <v>3</v>
      </c>
      <c r="H4466">
        <v>2</v>
      </c>
      <c r="I4466">
        <v>2</v>
      </c>
      <c r="J4466">
        <v>1</v>
      </c>
      <c r="K4466">
        <v>1</v>
      </c>
    </row>
    <row r="4467" spans="7:11">
      <c r="G4467">
        <v>3</v>
      </c>
      <c r="H4467">
        <v>2</v>
      </c>
      <c r="I4467">
        <v>2</v>
      </c>
      <c r="J4467">
        <v>2</v>
      </c>
      <c r="K4467">
        <v>2</v>
      </c>
    </row>
    <row r="4468" spans="7:11">
      <c r="G4468">
        <v>3</v>
      </c>
      <c r="H4468">
        <v>2</v>
      </c>
      <c r="I4468">
        <v>3</v>
      </c>
      <c r="J4468">
        <v>1</v>
      </c>
      <c r="K4468">
        <v>1</v>
      </c>
    </row>
    <row r="4469" spans="7:11">
      <c r="G4469">
        <v>3</v>
      </c>
      <c r="H4469">
        <v>2</v>
      </c>
      <c r="I4469">
        <v>3</v>
      </c>
      <c r="J4469">
        <v>2</v>
      </c>
      <c r="K4469">
        <v>2</v>
      </c>
    </row>
    <row r="4470" spans="7:11">
      <c r="G4470">
        <v>3</v>
      </c>
      <c r="H4470">
        <v>2</v>
      </c>
      <c r="I4470">
        <v>4</v>
      </c>
      <c r="J4470">
        <v>1</v>
      </c>
      <c r="K4470">
        <v>1</v>
      </c>
    </row>
    <row r="4471" spans="7:11">
      <c r="G4471">
        <v>3</v>
      </c>
      <c r="H4471">
        <v>2</v>
      </c>
      <c r="I4471">
        <v>4</v>
      </c>
      <c r="J4471">
        <v>2</v>
      </c>
      <c r="K4471">
        <v>2</v>
      </c>
    </row>
    <row r="4472" spans="7:11">
      <c r="G4472">
        <v>3</v>
      </c>
      <c r="H4472">
        <v>2</v>
      </c>
      <c r="I4472">
        <v>5</v>
      </c>
      <c r="J4472">
        <v>1</v>
      </c>
      <c r="K4472">
        <v>1</v>
      </c>
    </row>
    <row r="4473" spans="7:11">
      <c r="G4473">
        <v>3</v>
      </c>
      <c r="H4473">
        <v>2</v>
      </c>
      <c r="I4473">
        <v>5</v>
      </c>
      <c r="J4473">
        <v>2</v>
      </c>
      <c r="K4473">
        <v>2</v>
      </c>
    </row>
    <row r="4474" spans="7:11">
      <c r="G4474">
        <v>3</v>
      </c>
      <c r="H4474">
        <v>3</v>
      </c>
      <c r="I4474">
        <v>1</v>
      </c>
      <c r="J4474">
        <v>1</v>
      </c>
      <c r="K4474">
        <v>1</v>
      </c>
    </row>
    <row r="4475" spans="7:11">
      <c r="G4475">
        <v>3</v>
      </c>
      <c r="H4475">
        <v>3</v>
      </c>
      <c r="I4475">
        <v>1</v>
      </c>
      <c r="J4475">
        <v>2</v>
      </c>
      <c r="K4475">
        <v>2</v>
      </c>
    </row>
    <row r="4476" spans="7:11">
      <c r="G4476">
        <v>3</v>
      </c>
      <c r="H4476">
        <v>3</v>
      </c>
      <c r="I4476">
        <v>2</v>
      </c>
      <c r="J4476">
        <v>1</v>
      </c>
      <c r="K4476">
        <v>1</v>
      </c>
    </row>
    <row r="4477" spans="7:11">
      <c r="G4477">
        <v>3</v>
      </c>
      <c r="H4477">
        <v>3</v>
      </c>
      <c r="I4477">
        <v>2</v>
      </c>
      <c r="J4477">
        <v>2</v>
      </c>
      <c r="K4477">
        <v>2</v>
      </c>
    </row>
    <row r="4478" spans="7:11">
      <c r="G4478">
        <v>3</v>
      </c>
      <c r="H4478">
        <v>3</v>
      </c>
      <c r="I4478">
        <v>3</v>
      </c>
      <c r="J4478">
        <v>1</v>
      </c>
      <c r="K4478">
        <v>1</v>
      </c>
    </row>
    <row r="4479" spans="7:11">
      <c r="G4479">
        <v>3</v>
      </c>
      <c r="H4479">
        <v>3</v>
      </c>
      <c r="I4479">
        <v>3</v>
      </c>
      <c r="J4479">
        <v>2</v>
      </c>
      <c r="K4479">
        <v>2</v>
      </c>
    </row>
    <row r="4480" spans="7:11">
      <c r="G4480">
        <v>3</v>
      </c>
      <c r="H4480">
        <v>3</v>
      </c>
      <c r="I4480">
        <v>4</v>
      </c>
      <c r="J4480">
        <v>1</v>
      </c>
      <c r="K4480">
        <v>1</v>
      </c>
    </row>
    <row r="4481" spans="7:11">
      <c r="G4481">
        <v>3</v>
      </c>
      <c r="H4481">
        <v>3</v>
      </c>
      <c r="I4481">
        <v>4</v>
      </c>
      <c r="J4481">
        <v>2</v>
      </c>
      <c r="K4481">
        <v>2</v>
      </c>
    </row>
    <row r="4482" spans="7:11">
      <c r="G4482">
        <v>3</v>
      </c>
      <c r="H4482">
        <v>3</v>
      </c>
      <c r="I4482">
        <v>5</v>
      </c>
      <c r="J4482">
        <v>1</v>
      </c>
      <c r="K4482">
        <v>1</v>
      </c>
    </row>
    <row r="4483" spans="7:11">
      <c r="G4483">
        <v>3</v>
      </c>
      <c r="H4483">
        <v>3</v>
      </c>
      <c r="I4483">
        <v>5</v>
      </c>
      <c r="J4483">
        <v>2</v>
      </c>
      <c r="K4483">
        <v>2</v>
      </c>
    </row>
    <row r="4484" spans="7:11">
      <c r="G4484">
        <v>4</v>
      </c>
      <c r="H4484">
        <v>1</v>
      </c>
      <c r="I4484">
        <v>3</v>
      </c>
      <c r="J4484">
        <v>1</v>
      </c>
      <c r="K4484">
        <v>1</v>
      </c>
    </row>
    <row r="4485" spans="7:11">
      <c r="G4485">
        <v>4</v>
      </c>
      <c r="H4485">
        <v>1</v>
      </c>
      <c r="I4485">
        <v>3</v>
      </c>
      <c r="J4485">
        <v>2</v>
      </c>
      <c r="K4485">
        <v>2</v>
      </c>
    </row>
    <row r="4486" spans="7:11">
      <c r="G4486">
        <v>4</v>
      </c>
      <c r="H4486">
        <v>1</v>
      </c>
      <c r="I4486">
        <v>4</v>
      </c>
      <c r="J4486">
        <v>1</v>
      </c>
      <c r="K4486">
        <v>1</v>
      </c>
    </row>
    <row r="4487" spans="7:11">
      <c r="G4487">
        <v>4</v>
      </c>
      <c r="H4487">
        <v>1</v>
      </c>
      <c r="I4487">
        <v>4</v>
      </c>
      <c r="J4487">
        <v>2</v>
      </c>
      <c r="K4487">
        <v>2</v>
      </c>
    </row>
    <row r="4488" spans="7:11">
      <c r="G4488">
        <v>4</v>
      </c>
      <c r="H4488">
        <v>1</v>
      </c>
      <c r="I4488">
        <v>5</v>
      </c>
      <c r="J4488">
        <v>1</v>
      </c>
      <c r="K4488">
        <v>1</v>
      </c>
    </row>
    <row r="4489" spans="7:11">
      <c r="G4489">
        <v>4</v>
      </c>
      <c r="H4489">
        <v>1</v>
      </c>
      <c r="I4489">
        <v>5</v>
      </c>
      <c r="J4489">
        <v>2</v>
      </c>
      <c r="K4489">
        <v>2</v>
      </c>
    </row>
    <row r="4490" spans="7:11">
      <c r="G4490">
        <v>4</v>
      </c>
      <c r="H4490">
        <v>2</v>
      </c>
      <c r="I4490">
        <v>1</v>
      </c>
      <c r="J4490">
        <v>1</v>
      </c>
      <c r="K4490">
        <v>1</v>
      </c>
    </row>
    <row r="4491" spans="7:11">
      <c r="G4491">
        <v>4</v>
      </c>
      <c r="H4491">
        <v>2</v>
      </c>
      <c r="I4491">
        <v>1</v>
      </c>
      <c r="J4491">
        <v>2</v>
      </c>
      <c r="K4491">
        <v>2</v>
      </c>
    </row>
    <row r="4492" spans="7:11">
      <c r="G4492">
        <v>4</v>
      </c>
      <c r="H4492">
        <v>2</v>
      </c>
      <c r="I4492">
        <v>2</v>
      </c>
      <c r="J4492">
        <v>1</v>
      </c>
      <c r="K4492">
        <v>1</v>
      </c>
    </row>
    <row r="4493" spans="7:11">
      <c r="G4493">
        <v>4</v>
      </c>
      <c r="H4493">
        <v>2</v>
      </c>
      <c r="I4493">
        <v>2</v>
      </c>
      <c r="J4493">
        <v>2</v>
      </c>
      <c r="K4493">
        <v>2</v>
      </c>
    </row>
    <row r="4494" spans="7:11">
      <c r="G4494">
        <v>4</v>
      </c>
      <c r="H4494">
        <v>2</v>
      </c>
      <c r="I4494">
        <v>3</v>
      </c>
      <c r="J4494">
        <v>1</v>
      </c>
      <c r="K4494">
        <v>1</v>
      </c>
    </row>
    <row r="4495" spans="7:11">
      <c r="G4495">
        <v>4</v>
      </c>
      <c r="H4495">
        <v>2</v>
      </c>
      <c r="I4495">
        <v>3</v>
      </c>
      <c r="J4495">
        <v>2</v>
      </c>
      <c r="K4495">
        <v>2</v>
      </c>
    </row>
    <row r="4496" spans="7:11">
      <c r="G4496">
        <v>4</v>
      </c>
      <c r="H4496">
        <v>2</v>
      </c>
      <c r="I4496">
        <v>4</v>
      </c>
      <c r="J4496">
        <v>1</v>
      </c>
      <c r="K4496">
        <v>1</v>
      </c>
    </row>
    <row r="4497" spans="7:11">
      <c r="G4497">
        <v>4</v>
      </c>
      <c r="H4497">
        <v>2</v>
      </c>
      <c r="I4497">
        <v>4</v>
      </c>
      <c r="J4497">
        <v>2</v>
      </c>
      <c r="K4497">
        <v>2</v>
      </c>
    </row>
    <row r="4498" spans="7:11">
      <c r="G4498">
        <v>4</v>
      </c>
      <c r="H4498">
        <v>2</v>
      </c>
      <c r="I4498">
        <v>5</v>
      </c>
      <c r="J4498">
        <v>1</v>
      </c>
      <c r="K4498">
        <v>1</v>
      </c>
    </row>
    <row r="4499" spans="7:11">
      <c r="G4499">
        <v>4</v>
      </c>
      <c r="H4499">
        <v>2</v>
      </c>
      <c r="I4499">
        <v>5</v>
      </c>
      <c r="J4499">
        <v>2</v>
      </c>
      <c r="K4499">
        <v>2</v>
      </c>
    </row>
    <row r="4500" spans="7:11">
      <c r="G4500">
        <v>4</v>
      </c>
      <c r="H4500">
        <v>3</v>
      </c>
      <c r="I4500">
        <v>1</v>
      </c>
      <c r="J4500">
        <v>1</v>
      </c>
      <c r="K4500">
        <v>1</v>
      </c>
    </row>
    <row r="4501" spans="7:11">
      <c r="G4501">
        <v>4</v>
      </c>
      <c r="H4501">
        <v>3</v>
      </c>
      <c r="I4501">
        <v>1</v>
      </c>
      <c r="J4501">
        <v>2</v>
      </c>
      <c r="K4501">
        <v>2</v>
      </c>
    </row>
    <row r="4502" spans="7:11">
      <c r="G4502">
        <v>4</v>
      </c>
      <c r="H4502">
        <v>3</v>
      </c>
      <c r="I4502">
        <v>2</v>
      </c>
      <c r="J4502">
        <v>1</v>
      </c>
      <c r="K4502">
        <v>1</v>
      </c>
    </row>
    <row r="4503" spans="7:11">
      <c r="G4503">
        <v>4</v>
      </c>
      <c r="H4503">
        <v>3</v>
      </c>
      <c r="I4503">
        <v>2</v>
      </c>
      <c r="J4503">
        <v>2</v>
      </c>
      <c r="K4503">
        <v>2</v>
      </c>
    </row>
    <row r="4504" spans="7:11">
      <c r="G4504">
        <v>4</v>
      </c>
      <c r="H4504">
        <v>3</v>
      </c>
      <c r="I4504">
        <v>3</v>
      </c>
      <c r="J4504">
        <v>1</v>
      </c>
      <c r="K4504">
        <v>1</v>
      </c>
    </row>
    <row r="4505" spans="7:11">
      <c r="G4505">
        <v>4</v>
      </c>
      <c r="H4505">
        <v>3</v>
      </c>
      <c r="I4505">
        <v>3</v>
      </c>
      <c r="J4505">
        <v>2</v>
      </c>
      <c r="K4505">
        <v>2</v>
      </c>
    </row>
    <row r="4506" spans="7:11">
      <c r="G4506">
        <v>4</v>
      </c>
      <c r="H4506">
        <v>3</v>
      </c>
      <c r="I4506">
        <v>4</v>
      </c>
      <c r="J4506">
        <v>1</v>
      </c>
    </row>
    <row r="4507" spans="7:11">
      <c r="G4507">
        <v>4</v>
      </c>
      <c r="H4507">
        <v>3</v>
      </c>
      <c r="I4507">
        <v>4</v>
      </c>
      <c r="J4507">
        <v>2</v>
      </c>
    </row>
    <row r="4508" spans="7:11">
      <c r="G4508">
        <v>4</v>
      </c>
      <c r="H4508">
        <v>3</v>
      </c>
      <c r="I4508">
        <v>5</v>
      </c>
      <c r="J4508">
        <v>1</v>
      </c>
    </row>
    <row r="4509" spans="7:11">
      <c r="G4509">
        <v>4</v>
      </c>
      <c r="H4509">
        <v>3</v>
      </c>
      <c r="I4509">
        <v>5</v>
      </c>
      <c r="J4509">
        <v>2</v>
      </c>
    </row>
    <row r="4510" spans="7:11">
      <c r="G4510">
        <v>1</v>
      </c>
      <c r="H4510">
        <v>2</v>
      </c>
      <c r="I4510">
        <v>1</v>
      </c>
      <c r="J4510">
        <v>1</v>
      </c>
    </row>
    <row r="4511" spans="7:11">
      <c r="G4511">
        <v>1</v>
      </c>
      <c r="H4511">
        <v>2</v>
      </c>
      <c r="I4511">
        <v>1</v>
      </c>
      <c r="J4511">
        <v>2</v>
      </c>
    </row>
    <row r="4512" spans="7:11">
      <c r="G4512">
        <v>1</v>
      </c>
      <c r="H4512">
        <v>2</v>
      </c>
      <c r="I4512">
        <v>2</v>
      </c>
      <c r="J4512">
        <v>1</v>
      </c>
    </row>
    <row r="4513" spans="7:10">
      <c r="G4513">
        <v>1</v>
      </c>
      <c r="H4513">
        <v>2</v>
      </c>
      <c r="I4513">
        <v>2</v>
      </c>
      <c r="J4513">
        <v>2</v>
      </c>
    </row>
    <row r="4514" spans="7:10">
      <c r="G4514">
        <v>1</v>
      </c>
      <c r="H4514">
        <v>2</v>
      </c>
      <c r="I4514">
        <v>3</v>
      </c>
      <c r="J4514">
        <v>1</v>
      </c>
    </row>
    <row r="4515" spans="7:10">
      <c r="G4515">
        <v>1</v>
      </c>
      <c r="H4515">
        <v>2</v>
      </c>
      <c r="I4515">
        <v>3</v>
      </c>
      <c r="J4515">
        <v>2</v>
      </c>
    </row>
    <row r="4516" spans="7:10">
      <c r="G4516">
        <v>1</v>
      </c>
      <c r="H4516">
        <v>2</v>
      </c>
      <c r="I4516">
        <v>4</v>
      </c>
      <c r="J4516">
        <v>1</v>
      </c>
    </row>
    <row r="4517" spans="7:10">
      <c r="G4517">
        <v>1</v>
      </c>
      <c r="H4517">
        <v>2</v>
      </c>
      <c r="I4517">
        <v>4</v>
      </c>
      <c r="J4517">
        <v>2</v>
      </c>
    </row>
    <row r="4518" spans="7:10">
      <c r="G4518">
        <v>1</v>
      </c>
      <c r="H4518">
        <v>2</v>
      </c>
      <c r="I4518">
        <v>5</v>
      </c>
      <c r="J4518">
        <v>1</v>
      </c>
    </row>
    <row r="4519" spans="7:10">
      <c r="G4519">
        <v>1</v>
      </c>
      <c r="H4519">
        <v>2</v>
      </c>
      <c r="I4519">
        <v>5</v>
      </c>
      <c r="J4519">
        <v>2</v>
      </c>
    </row>
    <row r="4520" spans="7:10">
      <c r="G4520">
        <v>1</v>
      </c>
      <c r="H4520">
        <v>3</v>
      </c>
      <c r="I4520">
        <v>1</v>
      </c>
      <c r="J4520">
        <v>1</v>
      </c>
    </row>
    <row r="4521" spans="7:10">
      <c r="G4521">
        <v>1</v>
      </c>
      <c r="H4521">
        <v>3</v>
      </c>
      <c r="I4521">
        <v>1</v>
      </c>
      <c r="J4521">
        <v>2</v>
      </c>
    </row>
    <row r="4522" spans="7:10">
      <c r="G4522">
        <v>1</v>
      </c>
      <c r="H4522">
        <v>3</v>
      </c>
      <c r="I4522">
        <v>2</v>
      </c>
      <c r="J4522">
        <v>1</v>
      </c>
    </row>
    <row r="4523" spans="7:10">
      <c r="G4523">
        <v>1</v>
      </c>
      <c r="H4523">
        <v>3</v>
      </c>
      <c r="I4523">
        <v>2</v>
      </c>
      <c r="J4523">
        <v>2</v>
      </c>
    </row>
    <row r="4524" spans="7:10">
      <c r="G4524">
        <v>1</v>
      </c>
      <c r="H4524">
        <v>3</v>
      </c>
      <c r="I4524">
        <v>3</v>
      </c>
      <c r="J4524">
        <v>1</v>
      </c>
    </row>
    <row r="4525" spans="7:10">
      <c r="G4525">
        <v>1</v>
      </c>
      <c r="H4525">
        <v>3</v>
      </c>
      <c r="I4525">
        <v>3</v>
      </c>
      <c r="J4525">
        <v>2</v>
      </c>
    </row>
    <row r="4526" spans="7:10">
      <c r="G4526">
        <v>1</v>
      </c>
      <c r="H4526">
        <v>3</v>
      </c>
      <c r="I4526">
        <v>4</v>
      </c>
      <c r="J4526">
        <v>1</v>
      </c>
    </row>
    <row r="4527" spans="7:10">
      <c r="G4527">
        <v>1</v>
      </c>
      <c r="H4527">
        <v>3</v>
      </c>
      <c r="I4527">
        <v>4</v>
      </c>
      <c r="J4527">
        <v>2</v>
      </c>
    </row>
    <row r="4528" spans="7:10">
      <c r="G4528">
        <v>1</v>
      </c>
      <c r="H4528">
        <v>3</v>
      </c>
      <c r="I4528">
        <v>5</v>
      </c>
      <c r="J4528">
        <v>1</v>
      </c>
    </row>
    <row r="4529" spans="7:10">
      <c r="G4529">
        <v>1</v>
      </c>
      <c r="H4529">
        <v>3</v>
      </c>
      <c r="I4529">
        <v>5</v>
      </c>
      <c r="J4529">
        <v>2</v>
      </c>
    </row>
    <row r="4530" spans="7:10">
      <c r="G4530">
        <v>2</v>
      </c>
      <c r="H4530">
        <v>1</v>
      </c>
      <c r="I4530">
        <v>3</v>
      </c>
      <c r="J4530">
        <v>1</v>
      </c>
    </row>
    <row r="4531" spans="7:10">
      <c r="G4531">
        <v>2</v>
      </c>
      <c r="H4531">
        <v>1</v>
      </c>
      <c r="I4531">
        <v>3</v>
      </c>
      <c r="J4531">
        <v>2</v>
      </c>
    </row>
    <row r="4532" spans="7:10">
      <c r="G4532">
        <v>2</v>
      </c>
      <c r="H4532">
        <v>1</v>
      </c>
      <c r="I4532">
        <v>4</v>
      </c>
      <c r="J4532">
        <v>1</v>
      </c>
    </row>
    <row r="4533" spans="7:10">
      <c r="G4533">
        <v>2</v>
      </c>
      <c r="H4533">
        <v>1</v>
      </c>
      <c r="I4533">
        <v>4</v>
      </c>
      <c r="J4533">
        <v>2</v>
      </c>
    </row>
    <row r="4534" spans="7:10">
      <c r="G4534">
        <v>2</v>
      </c>
      <c r="H4534">
        <v>1</v>
      </c>
      <c r="I4534">
        <v>5</v>
      </c>
      <c r="J4534">
        <v>1</v>
      </c>
    </row>
    <row r="4535" spans="7:10">
      <c r="G4535">
        <v>2</v>
      </c>
      <c r="H4535">
        <v>1</v>
      </c>
      <c r="I4535">
        <v>5</v>
      </c>
      <c r="J4535">
        <v>2</v>
      </c>
    </row>
    <row r="4536" spans="7:10">
      <c r="G4536">
        <v>2</v>
      </c>
      <c r="H4536">
        <v>2</v>
      </c>
      <c r="I4536">
        <v>1</v>
      </c>
      <c r="J4536">
        <v>1</v>
      </c>
    </row>
    <row r="4537" spans="7:10">
      <c r="G4537">
        <v>2</v>
      </c>
      <c r="H4537">
        <v>2</v>
      </c>
      <c r="I4537">
        <v>1</v>
      </c>
      <c r="J4537">
        <v>2</v>
      </c>
    </row>
    <row r="4538" spans="7:10">
      <c r="G4538">
        <v>2</v>
      </c>
      <c r="H4538">
        <v>2</v>
      </c>
      <c r="I4538">
        <v>2</v>
      </c>
      <c r="J4538">
        <v>1</v>
      </c>
    </row>
    <row r="4539" spans="7:10">
      <c r="G4539">
        <v>2</v>
      </c>
      <c r="H4539">
        <v>2</v>
      </c>
      <c r="I4539">
        <v>2</v>
      </c>
      <c r="J4539">
        <v>2</v>
      </c>
    </row>
    <row r="4540" spans="7:10">
      <c r="G4540">
        <v>2</v>
      </c>
      <c r="H4540">
        <v>2</v>
      </c>
      <c r="I4540">
        <v>3</v>
      </c>
      <c r="J4540">
        <v>1</v>
      </c>
    </row>
    <row r="4541" spans="7:10">
      <c r="G4541">
        <v>2</v>
      </c>
      <c r="H4541">
        <v>2</v>
      </c>
      <c r="I4541">
        <v>3</v>
      </c>
      <c r="J4541">
        <v>2</v>
      </c>
    </row>
    <row r="4542" spans="7:10">
      <c r="G4542">
        <v>2</v>
      </c>
      <c r="H4542">
        <v>2</v>
      </c>
      <c r="I4542">
        <v>4</v>
      </c>
      <c r="J4542">
        <v>1</v>
      </c>
    </row>
    <row r="4543" spans="7:10">
      <c r="G4543">
        <v>2</v>
      </c>
      <c r="H4543">
        <v>2</v>
      </c>
      <c r="I4543">
        <v>4</v>
      </c>
      <c r="J4543">
        <v>2</v>
      </c>
    </row>
    <row r="4544" spans="7:10">
      <c r="G4544">
        <v>2</v>
      </c>
      <c r="H4544">
        <v>2</v>
      </c>
      <c r="I4544">
        <v>5</v>
      </c>
      <c r="J4544">
        <v>1</v>
      </c>
    </row>
    <row r="4545" spans="7:10">
      <c r="G4545">
        <v>2</v>
      </c>
      <c r="H4545">
        <v>2</v>
      </c>
      <c r="I4545">
        <v>5</v>
      </c>
      <c r="J4545">
        <v>2</v>
      </c>
    </row>
    <row r="4546" spans="7:10">
      <c r="G4546">
        <v>2</v>
      </c>
      <c r="H4546">
        <v>3</v>
      </c>
      <c r="I4546">
        <v>1</v>
      </c>
      <c r="J4546">
        <v>1</v>
      </c>
    </row>
    <row r="4547" spans="7:10">
      <c r="G4547">
        <v>2</v>
      </c>
      <c r="H4547">
        <v>3</v>
      </c>
      <c r="I4547">
        <v>1</v>
      </c>
      <c r="J4547">
        <v>2</v>
      </c>
    </row>
    <row r="4548" spans="7:10">
      <c r="G4548">
        <v>2</v>
      </c>
      <c r="H4548">
        <v>3</v>
      </c>
      <c r="I4548">
        <v>2</v>
      </c>
      <c r="J4548">
        <v>1</v>
      </c>
    </row>
    <row r="4549" spans="7:10">
      <c r="G4549">
        <v>2</v>
      </c>
      <c r="H4549">
        <v>3</v>
      </c>
      <c r="I4549">
        <v>2</v>
      </c>
      <c r="J4549">
        <v>2</v>
      </c>
    </row>
    <row r="4550" spans="7:10">
      <c r="G4550">
        <v>2</v>
      </c>
      <c r="H4550">
        <v>3</v>
      </c>
      <c r="I4550">
        <v>3</v>
      </c>
      <c r="J4550">
        <v>1</v>
      </c>
    </row>
    <row r="4551" spans="7:10">
      <c r="G4551">
        <v>2</v>
      </c>
      <c r="H4551">
        <v>3</v>
      </c>
      <c r="I4551">
        <v>3</v>
      </c>
      <c r="J4551">
        <v>2</v>
      </c>
    </row>
    <row r="4552" spans="7:10">
      <c r="G4552">
        <v>2</v>
      </c>
      <c r="H4552">
        <v>3</v>
      </c>
      <c r="I4552">
        <v>4</v>
      </c>
      <c r="J4552">
        <v>1</v>
      </c>
    </row>
    <row r="4553" spans="7:10">
      <c r="G4553">
        <v>2</v>
      </c>
      <c r="H4553">
        <v>3</v>
      </c>
      <c r="I4553">
        <v>4</v>
      </c>
      <c r="J4553">
        <v>2</v>
      </c>
    </row>
    <row r="4554" spans="7:10">
      <c r="G4554">
        <v>2</v>
      </c>
      <c r="H4554">
        <v>3</v>
      </c>
      <c r="I4554">
        <v>5</v>
      </c>
      <c r="J4554">
        <v>1</v>
      </c>
    </row>
    <row r="4555" spans="7:10">
      <c r="G4555">
        <v>2</v>
      </c>
      <c r="H4555">
        <v>3</v>
      </c>
      <c r="I4555">
        <v>5</v>
      </c>
      <c r="J4555">
        <v>2</v>
      </c>
    </row>
    <row r="4556" spans="7:10">
      <c r="G4556">
        <v>3</v>
      </c>
      <c r="H4556">
        <v>1</v>
      </c>
      <c r="I4556">
        <v>3</v>
      </c>
      <c r="J4556">
        <v>1</v>
      </c>
    </row>
    <row r="4557" spans="7:10">
      <c r="G4557">
        <v>3</v>
      </c>
      <c r="H4557">
        <v>1</v>
      </c>
      <c r="I4557">
        <v>3</v>
      </c>
      <c r="J4557">
        <v>2</v>
      </c>
    </row>
    <row r="4558" spans="7:10">
      <c r="G4558">
        <v>3</v>
      </c>
      <c r="H4558">
        <v>1</v>
      </c>
      <c r="I4558">
        <v>4</v>
      </c>
      <c r="J4558">
        <v>1</v>
      </c>
    </row>
    <row r="4559" spans="7:10">
      <c r="G4559">
        <v>3</v>
      </c>
      <c r="H4559">
        <v>1</v>
      </c>
      <c r="I4559">
        <v>4</v>
      </c>
      <c r="J4559">
        <v>2</v>
      </c>
    </row>
    <row r="4560" spans="7:10">
      <c r="G4560">
        <v>3</v>
      </c>
      <c r="H4560">
        <v>1</v>
      </c>
      <c r="I4560">
        <v>5</v>
      </c>
      <c r="J4560">
        <v>1</v>
      </c>
    </row>
    <row r="4561" spans="7:10">
      <c r="G4561">
        <v>3</v>
      </c>
      <c r="H4561">
        <v>1</v>
      </c>
      <c r="I4561">
        <v>5</v>
      </c>
      <c r="J4561">
        <v>2</v>
      </c>
    </row>
    <row r="4562" spans="7:10">
      <c r="G4562">
        <v>3</v>
      </c>
      <c r="H4562">
        <v>2</v>
      </c>
      <c r="I4562">
        <v>1</v>
      </c>
      <c r="J4562">
        <v>1</v>
      </c>
    </row>
    <row r="4563" spans="7:10">
      <c r="G4563">
        <v>3</v>
      </c>
      <c r="H4563">
        <v>2</v>
      </c>
      <c r="I4563">
        <v>1</v>
      </c>
      <c r="J4563">
        <v>2</v>
      </c>
    </row>
    <row r="4564" spans="7:10">
      <c r="G4564">
        <v>3</v>
      </c>
      <c r="H4564">
        <v>2</v>
      </c>
      <c r="I4564">
        <v>2</v>
      </c>
      <c r="J4564">
        <v>1</v>
      </c>
    </row>
    <row r="4565" spans="7:10">
      <c r="G4565">
        <v>3</v>
      </c>
      <c r="H4565">
        <v>2</v>
      </c>
      <c r="I4565">
        <v>2</v>
      </c>
      <c r="J4565">
        <v>2</v>
      </c>
    </row>
    <row r="4566" spans="7:10">
      <c r="G4566">
        <v>3</v>
      </c>
      <c r="H4566">
        <v>2</v>
      </c>
      <c r="I4566">
        <v>3</v>
      </c>
      <c r="J4566">
        <v>1</v>
      </c>
    </row>
    <row r="4567" spans="7:10">
      <c r="G4567">
        <v>3</v>
      </c>
      <c r="H4567">
        <v>2</v>
      </c>
      <c r="I4567">
        <v>3</v>
      </c>
      <c r="J4567">
        <v>2</v>
      </c>
    </row>
    <row r="4568" spans="7:10">
      <c r="G4568">
        <v>3</v>
      </c>
      <c r="H4568">
        <v>2</v>
      </c>
      <c r="I4568">
        <v>4</v>
      </c>
      <c r="J4568">
        <v>1</v>
      </c>
    </row>
    <row r="4569" spans="7:10">
      <c r="G4569">
        <v>3</v>
      </c>
      <c r="H4569">
        <v>2</v>
      </c>
      <c r="I4569">
        <v>4</v>
      </c>
      <c r="J4569">
        <v>2</v>
      </c>
    </row>
    <row r="4570" spans="7:10">
      <c r="G4570">
        <v>3</v>
      </c>
      <c r="H4570">
        <v>2</v>
      </c>
      <c r="I4570">
        <v>5</v>
      </c>
      <c r="J4570">
        <v>1</v>
      </c>
    </row>
    <row r="4571" spans="7:10">
      <c r="G4571">
        <v>3</v>
      </c>
      <c r="H4571">
        <v>2</v>
      </c>
      <c r="I4571">
        <v>5</v>
      </c>
      <c r="J4571">
        <v>2</v>
      </c>
    </row>
    <row r="4572" spans="7:10">
      <c r="G4572">
        <v>3</v>
      </c>
      <c r="H4572">
        <v>3</v>
      </c>
      <c r="I4572">
        <v>1</v>
      </c>
      <c r="J4572">
        <v>1</v>
      </c>
    </row>
    <row r="4573" spans="7:10">
      <c r="G4573">
        <v>3</v>
      </c>
      <c r="H4573">
        <v>3</v>
      </c>
      <c r="I4573">
        <v>1</v>
      </c>
      <c r="J4573">
        <v>2</v>
      </c>
    </row>
    <row r="4574" spans="7:10">
      <c r="G4574">
        <v>3</v>
      </c>
      <c r="H4574">
        <v>3</v>
      </c>
      <c r="I4574">
        <v>2</v>
      </c>
      <c r="J4574">
        <v>1</v>
      </c>
    </row>
    <row r="4575" spans="7:10">
      <c r="G4575">
        <v>3</v>
      </c>
      <c r="H4575">
        <v>3</v>
      </c>
      <c r="I4575">
        <v>2</v>
      </c>
      <c r="J4575">
        <v>2</v>
      </c>
    </row>
    <row r="4576" spans="7:10">
      <c r="G4576">
        <v>3</v>
      </c>
      <c r="H4576">
        <v>3</v>
      </c>
      <c r="I4576">
        <v>3</v>
      </c>
      <c r="J4576">
        <v>1</v>
      </c>
    </row>
    <row r="4577" spans="7:10">
      <c r="G4577">
        <v>3</v>
      </c>
      <c r="H4577">
        <v>3</v>
      </c>
      <c r="I4577">
        <v>3</v>
      </c>
      <c r="J4577">
        <v>2</v>
      </c>
    </row>
    <row r="4578" spans="7:10">
      <c r="G4578">
        <v>3</v>
      </c>
      <c r="H4578">
        <v>3</v>
      </c>
      <c r="I4578">
        <v>4</v>
      </c>
      <c r="J4578">
        <v>1</v>
      </c>
    </row>
    <row r="4579" spans="7:10">
      <c r="G4579">
        <v>3</v>
      </c>
      <c r="H4579">
        <v>3</v>
      </c>
      <c r="I4579">
        <v>4</v>
      </c>
      <c r="J4579">
        <v>2</v>
      </c>
    </row>
    <row r="4580" spans="7:10">
      <c r="G4580">
        <v>3</v>
      </c>
      <c r="H4580">
        <v>3</v>
      </c>
      <c r="I4580">
        <v>5</v>
      </c>
      <c r="J4580">
        <v>1</v>
      </c>
    </row>
    <row r="4581" spans="7:10">
      <c r="G4581">
        <v>3</v>
      </c>
      <c r="H4581">
        <v>3</v>
      </c>
      <c r="I4581">
        <v>5</v>
      </c>
      <c r="J4581">
        <v>2</v>
      </c>
    </row>
    <row r="4582" spans="7:10">
      <c r="G4582">
        <v>4</v>
      </c>
      <c r="H4582">
        <v>1</v>
      </c>
      <c r="I4582">
        <v>3</v>
      </c>
      <c r="J4582">
        <v>1</v>
      </c>
    </row>
    <row r="4583" spans="7:10">
      <c r="G4583">
        <v>4</v>
      </c>
      <c r="H4583">
        <v>1</v>
      </c>
      <c r="I4583">
        <v>3</v>
      </c>
      <c r="J4583">
        <v>2</v>
      </c>
    </row>
    <row r="4584" spans="7:10">
      <c r="G4584">
        <v>4</v>
      </c>
      <c r="H4584">
        <v>1</v>
      </c>
      <c r="I4584">
        <v>4</v>
      </c>
      <c r="J4584">
        <v>1</v>
      </c>
    </row>
    <row r="4585" spans="7:10">
      <c r="G4585">
        <v>4</v>
      </c>
      <c r="H4585">
        <v>1</v>
      </c>
      <c r="I4585">
        <v>4</v>
      </c>
      <c r="J4585">
        <v>2</v>
      </c>
    </row>
    <row r="4586" spans="7:10">
      <c r="G4586">
        <v>4</v>
      </c>
      <c r="H4586">
        <v>1</v>
      </c>
      <c r="I4586">
        <v>5</v>
      </c>
      <c r="J4586">
        <v>1</v>
      </c>
    </row>
    <row r="4587" spans="7:10">
      <c r="G4587">
        <v>4</v>
      </c>
      <c r="H4587">
        <v>1</v>
      </c>
      <c r="I4587">
        <v>5</v>
      </c>
      <c r="J4587">
        <v>2</v>
      </c>
    </row>
    <row r="4588" spans="7:10">
      <c r="G4588">
        <v>4</v>
      </c>
      <c r="H4588">
        <v>2</v>
      </c>
      <c r="I4588">
        <v>1</v>
      </c>
      <c r="J4588">
        <v>1</v>
      </c>
    </row>
    <row r="4589" spans="7:10">
      <c r="G4589">
        <v>4</v>
      </c>
      <c r="H4589">
        <v>2</v>
      </c>
      <c r="I4589">
        <v>1</v>
      </c>
      <c r="J4589">
        <v>2</v>
      </c>
    </row>
    <row r="4590" spans="7:10">
      <c r="G4590">
        <v>4</v>
      </c>
      <c r="H4590">
        <v>2</v>
      </c>
      <c r="I4590">
        <v>2</v>
      </c>
      <c r="J4590">
        <v>1</v>
      </c>
    </row>
    <row r="4591" spans="7:10">
      <c r="G4591">
        <v>4</v>
      </c>
      <c r="H4591">
        <v>2</v>
      </c>
      <c r="I4591">
        <v>2</v>
      </c>
      <c r="J4591">
        <v>2</v>
      </c>
    </row>
    <row r="4592" spans="7:10">
      <c r="G4592">
        <v>4</v>
      </c>
      <c r="H4592">
        <v>2</v>
      </c>
      <c r="I4592">
        <v>3</v>
      </c>
      <c r="J4592">
        <v>1</v>
      </c>
    </row>
    <row r="4593" spans="7:10">
      <c r="G4593">
        <v>4</v>
      </c>
      <c r="H4593">
        <v>2</v>
      </c>
      <c r="I4593">
        <v>3</v>
      </c>
      <c r="J4593">
        <v>2</v>
      </c>
    </row>
    <row r="4594" spans="7:10">
      <c r="G4594">
        <v>4</v>
      </c>
      <c r="H4594">
        <v>2</v>
      </c>
      <c r="I4594">
        <v>4</v>
      </c>
      <c r="J4594">
        <v>1</v>
      </c>
    </row>
    <row r="4595" spans="7:10">
      <c r="G4595">
        <v>4</v>
      </c>
      <c r="H4595">
        <v>2</v>
      </c>
      <c r="I4595">
        <v>4</v>
      </c>
      <c r="J4595">
        <v>2</v>
      </c>
    </row>
    <row r="4596" spans="7:10">
      <c r="G4596">
        <v>4</v>
      </c>
      <c r="H4596">
        <v>2</v>
      </c>
      <c r="I4596">
        <v>5</v>
      </c>
      <c r="J4596">
        <v>1</v>
      </c>
    </row>
    <row r="4597" spans="7:10">
      <c r="G4597">
        <v>4</v>
      </c>
      <c r="H4597">
        <v>2</v>
      </c>
      <c r="I4597">
        <v>5</v>
      </c>
      <c r="J4597">
        <v>2</v>
      </c>
    </row>
    <row r="4598" spans="7:10">
      <c r="G4598">
        <v>4</v>
      </c>
      <c r="H4598">
        <v>3</v>
      </c>
      <c r="I4598">
        <v>1</v>
      </c>
      <c r="J4598">
        <v>1</v>
      </c>
    </row>
    <row r="4599" spans="7:10">
      <c r="G4599">
        <v>4</v>
      </c>
      <c r="H4599">
        <v>3</v>
      </c>
      <c r="I4599">
        <v>1</v>
      </c>
      <c r="J4599">
        <v>2</v>
      </c>
    </row>
    <row r="4600" spans="7:10">
      <c r="G4600">
        <v>4</v>
      </c>
      <c r="H4600">
        <v>3</v>
      </c>
      <c r="I4600">
        <v>2</v>
      </c>
      <c r="J4600">
        <v>1</v>
      </c>
    </row>
    <row r="4601" spans="7:10">
      <c r="G4601">
        <v>4</v>
      </c>
      <c r="H4601">
        <v>3</v>
      </c>
      <c r="I4601">
        <v>2</v>
      </c>
      <c r="J4601">
        <v>2</v>
      </c>
    </row>
    <row r="4602" spans="7:10">
      <c r="G4602">
        <v>4</v>
      </c>
      <c r="H4602">
        <v>3</v>
      </c>
      <c r="I4602">
        <v>3</v>
      </c>
      <c r="J4602">
        <v>1</v>
      </c>
    </row>
    <row r="4603" spans="7:10">
      <c r="G4603">
        <v>4</v>
      </c>
      <c r="H4603">
        <v>3</v>
      </c>
      <c r="I4603">
        <v>3</v>
      </c>
      <c r="J4603">
        <v>2</v>
      </c>
    </row>
    <row r="4604" spans="7:10">
      <c r="G4604">
        <v>4</v>
      </c>
      <c r="H4604">
        <v>3</v>
      </c>
      <c r="I4604">
        <v>4</v>
      </c>
      <c r="J4604">
        <v>1</v>
      </c>
    </row>
    <row r="4605" spans="7:10">
      <c r="G4605">
        <v>4</v>
      </c>
      <c r="H4605">
        <v>3</v>
      </c>
      <c r="I4605">
        <v>4</v>
      </c>
      <c r="J4605">
        <v>2</v>
      </c>
    </row>
    <row r="4606" spans="7:10">
      <c r="G4606">
        <v>4</v>
      </c>
      <c r="H4606">
        <v>3</v>
      </c>
      <c r="I4606">
        <v>5</v>
      </c>
      <c r="J4606">
        <v>1</v>
      </c>
    </row>
    <row r="4607" spans="7:10">
      <c r="G4607">
        <v>4</v>
      </c>
      <c r="H4607">
        <v>3</v>
      </c>
      <c r="I4607">
        <v>5</v>
      </c>
      <c r="J4607">
        <v>2</v>
      </c>
    </row>
    <row r="4608" spans="7:10">
      <c r="G4608">
        <v>2</v>
      </c>
      <c r="H4608">
        <v>1</v>
      </c>
      <c r="I4608">
        <v>3</v>
      </c>
      <c r="J4608">
        <v>1</v>
      </c>
    </row>
    <row r="4609" spans="7:10">
      <c r="G4609">
        <v>2</v>
      </c>
      <c r="H4609">
        <v>1</v>
      </c>
      <c r="I4609">
        <v>3</v>
      </c>
      <c r="J4609">
        <v>2</v>
      </c>
    </row>
    <row r="4610" spans="7:10">
      <c r="G4610">
        <v>2</v>
      </c>
      <c r="H4610">
        <v>1</v>
      </c>
      <c r="I4610">
        <v>4</v>
      </c>
      <c r="J4610">
        <v>1</v>
      </c>
    </row>
    <row r="4611" spans="7:10">
      <c r="G4611">
        <v>2</v>
      </c>
      <c r="H4611">
        <v>1</v>
      </c>
      <c r="I4611">
        <v>4</v>
      </c>
      <c r="J4611">
        <v>2</v>
      </c>
    </row>
    <row r="4612" spans="7:10">
      <c r="G4612">
        <v>2</v>
      </c>
      <c r="H4612">
        <v>1</v>
      </c>
      <c r="I4612">
        <v>5</v>
      </c>
      <c r="J4612">
        <v>1</v>
      </c>
    </row>
    <row r="4613" spans="7:10">
      <c r="G4613">
        <v>2</v>
      </c>
      <c r="H4613">
        <v>1</v>
      </c>
      <c r="I4613">
        <v>5</v>
      </c>
      <c r="J4613">
        <v>2</v>
      </c>
    </row>
    <row r="4614" spans="7:10">
      <c r="G4614">
        <v>2</v>
      </c>
      <c r="H4614">
        <v>2</v>
      </c>
      <c r="I4614">
        <v>1</v>
      </c>
      <c r="J4614">
        <v>1</v>
      </c>
    </row>
    <row r="4615" spans="7:10">
      <c r="G4615">
        <v>2</v>
      </c>
      <c r="H4615">
        <v>2</v>
      </c>
      <c r="I4615">
        <v>1</v>
      </c>
      <c r="J4615">
        <v>2</v>
      </c>
    </row>
    <row r="4616" spans="7:10">
      <c r="G4616">
        <v>2</v>
      </c>
      <c r="H4616">
        <v>2</v>
      </c>
      <c r="I4616">
        <v>2</v>
      </c>
      <c r="J4616">
        <v>1</v>
      </c>
    </row>
    <row r="4617" spans="7:10">
      <c r="G4617">
        <v>2</v>
      </c>
      <c r="H4617">
        <v>2</v>
      </c>
      <c r="I4617">
        <v>2</v>
      </c>
      <c r="J4617">
        <v>2</v>
      </c>
    </row>
    <row r="4618" spans="7:10">
      <c r="G4618">
        <v>2</v>
      </c>
      <c r="H4618">
        <v>2</v>
      </c>
      <c r="I4618">
        <v>3</v>
      </c>
      <c r="J4618">
        <v>1</v>
      </c>
    </row>
    <row r="4619" spans="7:10">
      <c r="G4619">
        <v>2</v>
      </c>
      <c r="H4619">
        <v>2</v>
      </c>
      <c r="I4619">
        <v>3</v>
      </c>
      <c r="J4619">
        <v>2</v>
      </c>
    </row>
    <row r="4620" spans="7:10">
      <c r="G4620">
        <v>2</v>
      </c>
      <c r="H4620">
        <v>2</v>
      </c>
      <c r="I4620">
        <v>4</v>
      </c>
      <c r="J4620">
        <v>1</v>
      </c>
    </row>
    <row r="4621" spans="7:10">
      <c r="G4621">
        <v>2</v>
      </c>
      <c r="H4621">
        <v>2</v>
      </c>
      <c r="I4621">
        <v>4</v>
      </c>
      <c r="J4621">
        <v>2</v>
      </c>
    </row>
    <row r="4622" spans="7:10">
      <c r="G4622">
        <v>2</v>
      </c>
      <c r="H4622">
        <v>2</v>
      </c>
      <c r="I4622">
        <v>5</v>
      </c>
      <c r="J4622">
        <v>1</v>
      </c>
    </row>
    <row r="4623" spans="7:10">
      <c r="G4623">
        <v>2</v>
      </c>
      <c r="H4623">
        <v>2</v>
      </c>
      <c r="I4623">
        <v>5</v>
      </c>
      <c r="J4623">
        <v>2</v>
      </c>
    </row>
    <row r="4624" spans="7:10">
      <c r="G4624">
        <v>2</v>
      </c>
      <c r="H4624">
        <v>3</v>
      </c>
      <c r="I4624">
        <v>1</v>
      </c>
      <c r="J4624">
        <v>1</v>
      </c>
    </row>
    <row r="4625" spans="7:10">
      <c r="G4625">
        <v>2</v>
      </c>
      <c r="H4625">
        <v>3</v>
      </c>
      <c r="I4625">
        <v>1</v>
      </c>
      <c r="J4625">
        <v>2</v>
      </c>
    </row>
    <row r="4626" spans="7:10">
      <c r="G4626">
        <v>2</v>
      </c>
      <c r="H4626">
        <v>3</v>
      </c>
      <c r="I4626">
        <v>2</v>
      </c>
      <c r="J4626">
        <v>1</v>
      </c>
    </row>
    <row r="4627" spans="7:10">
      <c r="G4627">
        <v>2</v>
      </c>
      <c r="H4627">
        <v>3</v>
      </c>
      <c r="I4627">
        <v>2</v>
      </c>
      <c r="J4627">
        <v>2</v>
      </c>
    </row>
    <row r="4628" spans="7:10">
      <c r="G4628">
        <v>2</v>
      </c>
      <c r="H4628">
        <v>3</v>
      </c>
      <c r="I4628">
        <v>3</v>
      </c>
      <c r="J4628">
        <v>1</v>
      </c>
    </row>
    <row r="4629" spans="7:10">
      <c r="G4629">
        <v>2</v>
      </c>
      <c r="H4629">
        <v>3</v>
      </c>
      <c r="I4629">
        <v>3</v>
      </c>
      <c r="J4629">
        <v>2</v>
      </c>
    </row>
    <row r="4630" spans="7:10">
      <c r="G4630">
        <v>2</v>
      </c>
      <c r="H4630">
        <v>3</v>
      </c>
      <c r="I4630">
        <v>4</v>
      </c>
      <c r="J4630">
        <v>1</v>
      </c>
    </row>
    <row r="4631" spans="7:10">
      <c r="G4631">
        <v>2</v>
      </c>
      <c r="H4631">
        <v>3</v>
      </c>
      <c r="I4631">
        <v>4</v>
      </c>
      <c r="J4631">
        <v>2</v>
      </c>
    </row>
    <row r="4632" spans="7:10">
      <c r="G4632">
        <v>2</v>
      </c>
      <c r="H4632">
        <v>3</v>
      </c>
      <c r="I4632">
        <v>5</v>
      </c>
      <c r="J4632">
        <v>1</v>
      </c>
    </row>
    <row r="4633" spans="7:10">
      <c r="G4633">
        <v>2</v>
      </c>
      <c r="H4633">
        <v>3</v>
      </c>
      <c r="I4633">
        <v>5</v>
      </c>
      <c r="J4633">
        <v>2</v>
      </c>
    </row>
    <row r="4634" spans="7:10">
      <c r="G4634">
        <v>3</v>
      </c>
      <c r="H4634">
        <v>1</v>
      </c>
      <c r="I4634">
        <v>3</v>
      </c>
      <c r="J4634">
        <v>1</v>
      </c>
    </row>
    <row r="4635" spans="7:10">
      <c r="G4635">
        <v>3</v>
      </c>
      <c r="H4635">
        <v>1</v>
      </c>
      <c r="I4635">
        <v>3</v>
      </c>
      <c r="J4635">
        <v>2</v>
      </c>
    </row>
    <row r="4636" spans="7:10">
      <c r="G4636">
        <v>3</v>
      </c>
      <c r="H4636">
        <v>1</v>
      </c>
      <c r="I4636">
        <v>4</v>
      </c>
      <c r="J4636">
        <v>1</v>
      </c>
    </row>
    <row r="4637" spans="7:10">
      <c r="G4637">
        <v>3</v>
      </c>
      <c r="H4637">
        <v>1</v>
      </c>
      <c r="I4637">
        <v>4</v>
      </c>
      <c r="J4637">
        <v>2</v>
      </c>
    </row>
    <row r="4638" spans="7:10">
      <c r="G4638">
        <v>3</v>
      </c>
      <c r="H4638">
        <v>1</v>
      </c>
      <c r="I4638">
        <v>5</v>
      </c>
      <c r="J4638">
        <v>1</v>
      </c>
    </row>
    <row r="4639" spans="7:10">
      <c r="G4639">
        <v>3</v>
      </c>
      <c r="H4639">
        <v>1</v>
      </c>
      <c r="I4639">
        <v>5</v>
      </c>
      <c r="J4639">
        <v>2</v>
      </c>
    </row>
    <row r="4640" spans="7:10">
      <c r="G4640">
        <v>3</v>
      </c>
      <c r="H4640">
        <v>2</v>
      </c>
      <c r="I4640">
        <v>1</v>
      </c>
      <c r="J4640">
        <v>1</v>
      </c>
    </row>
    <row r="4641" spans="7:10">
      <c r="G4641">
        <v>3</v>
      </c>
      <c r="H4641">
        <v>2</v>
      </c>
      <c r="I4641">
        <v>1</v>
      </c>
      <c r="J4641">
        <v>2</v>
      </c>
    </row>
    <row r="4642" spans="7:10">
      <c r="G4642">
        <v>3</v>
      </c>
      <c r="H4642">
        <v>2</v>
      </c>
      <c r="I4642">
        <v>2</v>
      </c>
      <c r="J4642">
        <v>1</v>
      </c>
    </row>
    <row r="4643" spans="7:10">
      <c r="G4643">
        <v>3</v>
      </c>
      <c r="H4643">
        <v>2</v>
      </c>
      <c r="I4643">
        <v>2</v>
      </c>
      <c r="J4643">
        <v>2</v>
      </c>
    </row>
    <row r="4644" spans="7:10">
      <c r="G4644">
        <v>3</v>
      </c>
      <c r="H4644">
        <v>2</v>
      </c>
      <c r="I4644">
        <v>3</v>
      </c>
      <c r="J4644">
        <v>1</v>
      </c>
    </row>
    <row r="4645" spans="7:10">
      <c r="G4645">
        <v>3</v>
      </c>
      <c r="H4645">
        <v>2</v>
      </c>
      <c r="I4645">
        <v>3</v>
      </c>
      <c r="J4645">
        <v>2</v>
      </c>
    </row>
    <row r="4646" spans="7:10">
      <c r="G4646">
        <v>3</v>
      </c>
      <c r="H4646">
        <v>2</v>
      </c>
      <c r="I4646">
        <v>4</v>
      </c>
      <c r="J4646">
        <v>1</v>
      </c>
    </row>
    <row r="4647" spans="7:10">
      <c r="G4647">
        <v>3</v>
      </c>
      <c r="H4647">
        <v>2</v>
      </c>
      <c r="I4647">
        <v>4</v>
      </c>
      <c r="J4647">
        <v>2</v>
      </c>
    </row>
    <row r="4648" spans="7:10">
      <c r="G4648">
        <v>3</v>
      </c>
      <c r="H4648">
        <v>2</v>
      </c>
      <c r="I4648">
        <v>5</v>
      </c>
      <c r="J4648">
        <v>1</v>
      </c>
    </row>
    <row r="4649" spans="7:10">
      <c r="G4649">
        <v>3</v>
      </c>
      <c r="H4649">
        <v>2</v>
      </c>
      <c r="I4649">
        <v>5</v>
      </c>
      <c r="J4649">
        <v>2</v>
      </c>
    </row>
    <row r="4650" spans="7:10">
      <c r="G4650">
        <v>3</v>
      </c>
      <c r="H4650">
        <v>3</v>
      </c>
      <c r="I4650">
        <v>1</v>
      </c>
      <c r="J4650">
        <v>1</v>
      </c>
    </row>
    <row r="4651" spans="7:10">
      <c r="G4651">
        <v>3</v>
      </c>
      <c r="H4651">
        <v>3</v>
      </c>
      <c r="I4651">
        <v>1</v>
      </c>
      <c r="J4651">
        <v>2</v>
      </c>
    </row>
    <row r="4652" spans="7:10">
      <c r="G4652">
        <v>3</v>
      </c>
      <c r="H4652">
        <v>3</v>
      </c>
      <c r="I4652">
        <v>2</v>
      </c>
      <c r="J4652">
        <v>1</v>
      </c>
    </row>
    <row r="4653" spans="7:10">
      <c r="G4653">
        <v>3</v>
      </c>
      <c r="H4653">
        <v>3</v>
      </c>
      <c r="I4653">
        <v>2</v>
      </c>
      <c r="J4653">
        <v>2</v>
      </c>
    </row>
    <row r="4654" spans="7:10">
      <c r="G4654">
        <v>3</v>
      </c>
      <c r="H4654">
        <v>3</v>
      </c>
      <c r="I4654">
        <v>3</v>
      </c>
      <c r="J4654">
        <v>1</v>
      </c>
    </row>
    <row r="4655" spans="7:10">
      <c r="G4655">
        <v>3</v>
      </c>
      <c r="H4655">
        <v>3</v>
      </c>
      <c r="I4655">
        <v>3</v>
      </c>
      <c r="J4655">
        <v>2</v>
      </c>
    </row>
    <row r="4656" spans="7:10">
      <c r="G4656">
        <v>3</v>
      </c>
      <c r="H4656">
        <v>3</v>
      </c>
      <c r="I4656">
        <v>4</v>
      </c>
      <c r="J4656">
        <v>1</v>
      </c>
    </row>
    <row r="4657" spans="7:10">
      <c r="G4657">
        <v>3</v>
      </c>
      <c r="H4657">
        <v>3</v>
      </c>
      <c r="I4657">
        <v>4</v>
      </c>
      <c r="J4657">
        <v>2</v>
      </c>
    </row>
    <row r="4658" spans="7:10">
      <c r="G4658">
        <v>3</v>
      </c>
      <c r="H4658">
        <v>3</v>
      </c>
      <c r="I4658">
        <v>5</v>
      </c>
      <c r="J4658">
        <v>1</v>
      </c>
    </row>
    <row r="4659" spans="7:10">
      <c r="G4659">
        <v>3</v>
      </c>
      <c r="H4659">
        <v>3</v>
      </c>
      <c r="I4659">
        <v>5</v>
      </c>
      <c r="J4659">
        <v>2</v>
      </c>
    </row>
    <row r="4660" spans="7:10">
      <c r="G4660">
        <v>4</v>
      </c>
      <c r="H4660">
        <v>1</v>
      </c>
      <c r="I4660">
        <v>3</v>
      </c>
      <c r="J4660">
        <v>1</v>
      </c>
    </row>
    <row r="4661" spans="7:10">
      <c r="G4661">
        <v>4</v>
      </c>
      <c r="H4661">
        <v>1</v>
      </c>
      <c r="I4661">
        <v>3</v>
      </c>
      <c r="J4661">
        <v>2</v>
      </c>
    </row>
    <row r="4662" spans="7:10">
      <c r="G4662">
        <v>4</v>
      </c>
      <c r="H4662">
        <v>1</v>
      </c>
      <c r="I4662">
        <v>4</v>
      </c>
      <c r="J4662">
        <v>1</v>
      </c>
    </row>
    <row r="4663" spans="7:10">
      <c r="G4663">
        <v>4</v>
      </c>
      <c r="H4663">
        <v>1</v>
      </c>
      <c r="I4663">
        <v>4</v>
      </c>
      <c r="J4663">
        <v>2</v>
      </c>
    </row>
    <row r="4664" spans="7:10">
      <c r="G4664">
        <v>4</v>
      </c>
      <c r="H4664">
        <v>1</v>
      </c>
      <c r="I4664">
        <v>5</v>
      </c>
      <c r="J4664">
        <v>1</v>
      </c>
    </row>
    <row r="4665" spans="7:10">
      <c r="G4665">
        <v>4</v>
      </c>
      <c r="H4665">
        <v>1</v>
      </c>
      <c r="I4665">
        <v>5</v>
      </c>
      <c r="J4665">
        <v>2</v>
      </c>
    </row>
    <row r="4666" spans="7:10">
      <c r="G4666">
        <v>4</v>
      </c>
      <c r="H4666">
        <v>2</v>
      </c>
      <c r="I4666">
        <v>1</v>
      </c>
      <c r="J4666">
        <v>1</v>
      </c>
    </row>
    <row r="4667" spans="7:10">
      <c r="G4667">
        <v>4</v>
      </c>
      <c r="H4667">
        <v>2</v>
      </c>
      <c r="I4667">
        <v>1</v>
      </c>
      <c r="J4667">
        <v>2</v>
      </c>
    </row>
    <row r="4668" spans="7:10">
      <c r="G4668">
        <v>4</v>
      </c>
      <c r="H4668">
        <v>2</v>
      </c>
      <c r="I4668">
        <v>2</v>
      </c>
      <c r="J4668">
        <v>1</v>
      </c>
    </row>
    <row r="4669" spans="7:10">
      <c r="G4669">
        <v>4</v>
      </c>
      <c r="H4669">
        <v>2</v>
      </c>
      <c r="I4669">
        <v>2</v>
      </c>
      <c r="J4669">
        <v>2</v>
      </c>
    </row>
    <row r="4670" spans="7:10">
      <c r="G4670">
        <v>4</v>
      </c>
      <c r="H4670">
        <v>2</v>
      </c>
      <c r="I4670">
        <v>3</v>
      </c>
      <c r="J4670">
        <v>1</v>
      </c>
    </row>
    <row r="4671" spans="7:10">
      <c r="G4671">
        <v>4</v>
      </c>
      <c r="H4671">
        <v>2</v>
      </c>
      <c r="I4671">
        <v>3</v>
      </c>
      <c r="J4671">
        <v>2</v>
      </c>
    </row>
    <row r="4672" spans="7:10">
      <c r="G4672">
        <v>4</v>
      </c>
      <c r="H4672">
        <v>2</v>
      </c>
      <c r="I4672">
        <v>4</v>
      </c>
      <c r="J4672">
        <v>1</v>
      </c>
    </row>
    <row r="4673" spans="7:10">
      <c r="G4673">
        <v>4</v>
      </c>
      <c r="H4673">
        <v>2</v>
      </c>
      <c r="I4673">
        <v>4</v>
      </c>
      <c r="J4673">
        <v>2</v>
      </c>
    </row>
    <row r="4674" spans="7:10">
      <c r="G4674">
        <v>4</v>
      </c>
      <c r="H4674">
        <v>2</v>
      </c>
      <c r="I4674">
        <v>5</v>
      </c>
      <c r="J4674">
        <v>1</v>
      </c>
    </row>
    <row r="4675" spans="7:10">
      <c r="G4675">
        <v>4</v>
      </c>
      <c r="H4675">
        <v>2</v>
      </c>
      <c r="I4675">
        <v>5</v>
      </c>
      <c r="J4675">
        <v>2</v>
      </c>
    </row>
    <row r="4676" spans="7:10">
      <c r="G4676">
        <v>4</v>
      </c>
      <c r="H4676">
        <v>3</v>
      </c>
      <c r="I4676">
        <v>1</v>
      </c>
      <c r="J4676">
        <v>1</v>
      </c>
    </row>
    <row r="4677" spans="7:10">
      <c r="G4677">
        <v>4</v>
      </c>
      <c r="H4677">
        <v>3</v>
      </c>
      <c r="I4677">
        <v>1</v>
      </c>
      <c r="J4677">
        <v>2</v>
      </c>
    </row>
    <row r="4678" spans="7:10">
      <c r="G4678">
        <v>4</v>
      </c>
      <c r="H4678">
        <v>3</v>
      </c>
      <c r="I4678">
        <v>2</v>
      </c>
      <c r="J4678">
        <v>1</v>
      </c>
    </row>
    <row r="4679" spans="7:10">
      <c r="G4679">
        <v>4</v>
      </c>
      <c r="H4679">
        <v>3</v>
      </c>
      <c r="I4679">
        <v>2</v>
      </c>
      <c r="J4679">
        <v>2</v>
      </c>
    </row>
    <row r="4680" spans="7:10">
      <c r="G4680">
        <v>4</v>
      </c>
      <c r="H4680">
        <v>3</v>
      </c>
      <c r="I4680">
        <v>3</v>
      </c>
      <c r="J4680">
        <v>1</v>
      </c>
    </row>
    <row r="4681" spans="7:10">
      <c r="G4681">
        <v>4</v>
      </c>
      <c r="H4681">
        <v>3</v>
      </c>
      <c r="I4681">
        <v>3</v>
      </c>
      <c r="J4681">
        <v>2</v>
      </c>
    </row>
    <row r="4682" spans="7:10">
      <c r="G4682">
        <v>4</v>
      </c>
      <c r="H4682">
        <v>3</v>
      </c>
      <c r="I4682">
        <v>4</v>
      </c>
      <c r="J4682">
        <v>1</v>
      </c>
    </row>
    <row r="4683" spans="7:10">
      <c r="G4683">
        <v>4</v>
      </c>
      <c r="H4683">
        <v>3</v>
      </c>
      <c r="I4683">
        <v>4</v>
      </c>
      <c r="J4683">
        <v>2</v>
      </c>
    </row>
    <row r="4684" spans="7:10">
      <c r="G4684">
        <v>4</v>
      </c>
      <c r="H4684">
        <v>3</v>
      </c>
      <c r="I4684">
        <v>5</v>
      </c>
      <c r="J4684">
        <v>1</v>
      </c>
    </row>
    <row r="4685" spans="7:10">
      <c r="G4685">
        <v>4</v>
      </c>
      <c r="H4685">
        <v>3</v>
      </c>
      <c r="I4685">
        <v>5</v>
      </c>
      <c r="J4685">
        <v>2</v>
      </c>
    </row>
    <row r="4686" spans="7:10">
      <c r="G4686">
        <v>1</v>
      </c>
      <c r="H4686">
        <v>2</v>
      </c>
      <c r="I4686">
        <v>1</v>
      </c>
      <c r="J4686">
        <v>1</v>
      </c>
    </row>
    <row r="4687" spans="7:10">
      <c r="G4687">
        <v>1</v>
      </c>
      <c r="H4687">
        <v>2</v>
      </c>
      <c r="I4687">
        <v>1</v>
      </c>
      <c r="J4687">
        <v>2</v>
      </c>
    </row>
    <row r="4688" spans="7:10">
      <c r="G4688">
        <v>1</v>
      </c>
      <c r="H4688">
        <v>2</v>
      </c>
      <c r="I4688">
        <v>2</v>
      </c>
      <c r="J4688">
        <v>1</v>
      </c>
    </row>
    <row r="4689" spans="7:10">
      <c r="G4689">
        <v>1</v>
      </c>
      <c r="H4689">
        <v>2</v>
      </c>
      <c r="I4689">
        <v>2</v>
      </c>
      <c r="J4689">
        <v>2</v>
      </c>
    </row>
    <row r="4690" spans="7:10">
      <c r="G4690">
        <v>1</v>
      </c>
      <c r="H4690">
        <v>2</v>
      </c>
      <c r="I4690">
        <v>3</v>
      </c>
      <c r="J4690">
        <v>1</v>
      </c>
    </row>
    <row r="4691" spans="7:10">
      <c r="G4691">
        <v>1</v>
      </c>
      <c r="H4691">
        <v>2</v>
      </c>
      <c r="I4691">
        <v>3</v>
      </c>
      <c r="J4691">
        <v>2</v>
      </c>
    </row>
    <row r="4692" spans="7:10">
      <c r="G4692">
        <v>1</v>
      </c>
      <c r="H4692">
        <v>2</v>
      </c>
      <c r="I4692">
        <v>4</v>
      </c>
      <c r="J4692">
        <v>1</v>
      </c>
    </row>
    <row r="4693" spans="7:10">
      <c r="G4693">
        <v>1</v>
      </c>
      <c r="H4693">
        <v>2</v>
      </c>
      <c r="I4693">
        <v>4</v>
      </c>
      <c r="J4693">
        <v>2</v>
      </c>
    </row>
    <row r="4694" spans="7:10">
      <c r="G4694">
        <v>1</v>
      </c>
      <c r="H4694">
        <v>2</v>
      </c>
      <c r="I4694">
        <v>5</v>
      </c>
      <c r="J4694">
        <v>1</v>
      </c>
    </row>
    <row r="4695" spans="7:10">
      <c r="G4695">
        <v>1</v>
      </c>
      <c r="H4695">
        <v>2</v>
      </c>
      <c r="I4695">
        <v>5</v>
      </c>
      <c r="J4695">
        <v>2</v>
      </c>
    </row>
    <row r="4696" spans="7:10">
      <c r="G4696">
        <v>1</v>
      </c>
      <c r="H4696">
        <v>3</v>
      </c>
      <c r="I4696">
        <v>1</v>
      </c>
      <c r="J4696">
        <v>1</v>
      </c>
    </row>
    <row r="4697" spans="7:10">
      <c r="G4697">
        <v>1</v>
      </c>
      <c r="H4697">
        <v>3</v>
      </c>
      <c r="I4697">
        <v>1</v>
      </c>
      <c r="J4697">
        <v>2</v>
      </c>
    </row>
    <row r="4698" spans="7:10">
      <c r="G4698">
        <v>1</v>
      </c>
      <c r="H4698">
        <v>3</v>
      </c>
      <c r="I4698">
        <v>2</v>
      </c>
      <c r="J4698">
        <v>1</v>
      </c>
    </row>
    <row r="4699" spans="7:10">
      <c r="G4699">
        <v>1</v>
      </c>
      <c r="H4699">
        <v>3</v>
      </c>
      <c r="I4699">
        <v>2</v>
      </c>
      <c r="J4699">
        <v>2</v>
      </c>
    </row>
    <row r="4700" spans="7:10">
      <c r="G4700">
        <v>1</v>
      </c>
      <c r="H4700">
        <v>3</v>
      </c>
      <c r="I4700">
        <v>3</v>
      </c>
      <c r="J4700">
        <v>1</v>
      </c>
    </row>
    <row r="4701" spans="7:10">
      <c r="G4701">
        <v>1</v>
      </c>
      <c r="H4701">
        <v>3</v>
      </c>
      <c r="I4701">
        <v>3</v>
      </c>
      <c r="J4701">
        <v>2</v>
      </c>
    </row>
    <row r="4702" spans="7:10">
      <c r="G4702">
        <v>1</v>
      </c>
      <c r="H4702">
        <v>3</v>
      </c>
      <c r="I4702">
        <v>4</v>
      </c>
      <c r="J4702">
        <v>1</v>
      </c>
    </row>
    <row r="4703" spans="7:10">
      <c r="G4703">
        <v>1</v>
      </c>
      <c r="H4703">
        <v>3</v>
      </c>
      <c r="I4703">
        <v>4</v>
      </c>
      <c r="J4703">
        <v>2</v>
      </c>
    </row>
    <row r="4704" spans="7:10">
      <c r="G4704">
        <v>1</v>
      </c>
      <c r="H4704">
        <v>3</v>
      </c>
      <c r="I4704">
        <v>5</v>
      </c>
      <c r="J4704">
        <v>1</v>
      </c>
    </row>
    <row r="4705" spans="7:10">
      <c r="G4705">
        <v>1</v>
      </c>
      <c r="H4705">
        <v>3</v>
      </c>
      <c r="I4705">
        <v>5</v>
      </c>
      <c r="J4705">
        <v>2</v>
      </c>
    </row>
    <row r="4706" spans="7:10">
      <c r="G4706">
        <v>2</v>
      </c>
      <c r="H4706">
        <v>1</v>
      </c>
      <c r="I4706">
        <v>3</v>
      </c>
      <c r="J4706">
        <v>1</v>
      </c>
    </row>
    <row r="4707" spans="7:10">
      <c r="G4707">
        <v>2</v>
      </c>
      <c r="H4707">
        <v>1</v>
      </c>
      <c r="I4707">
        <v>3</v>
      </c>
      <c r="J4707">
        <v>2</v>
      </c>
    </row>
    <row r="4708" spans="7:10">
      <c r="G4708">
        <v>2</v>
      </c>
      <c r="H4708">
        <v>1</v>
      </c>
      <c r="I4708">
        <v>4</v>
      </c>
      <c r="J4708">
        <v>1</v>
      </c>
    </row>
    <row r="4709" spans="7:10">
      <c r="G4709">
        <v>2</v>
      </c>
      <c r="H4709">
        <v>1</v>
      </c>
      <c r="I4709">
        <v>4</v>
      </c>
      <c r="J4709">
        <v>2</v>
      </c>
    </row>
    <row r="4710" spans="7:10">
      <c r="G4710">
        <v>2</v>
      </c>
      <c r="H4710">
        <v>1</v>
      </c>
      <c r="I4710">
        <v>5</v>
      </c>
      <c r="J4710">
        <v>1</v>
      </c>
    </row>
    <row r="4711" spans="7:10">
      <c r="G4711">
        <v>2</v>
      </c>
      <c r="H4711">
        <v>1</v>
      </c>
      <c r="I4711">
        <v>5</v>
      </c>
      <c r="J4711">
        <v>2</v>
      </c>
    </row>
    <row r="4712" spans="7:10">
      <c r="G4712">
        <v>2</v>
      </c>
      <c r="H4712">
        <v>2</v>
      </c>
      <c r="I4712">
        <v>1</v>
      </c>
      <c r="J4712">
        <v>1</v>
      </c>
    </row>
    <row r="4713" spans="7:10">
      <c r="G4713">
        <v>2</v>
      </c>
      <c r="H4713">
        <v>2</v>
      </c>
      <c r="I4713">
        <v>1</v>
      </c>
      <c r="J4713">
        <v>2</v>
      </c>
    </row>
    <row r="4714" spans="7:10">
      <c r="G4714">
        <v>2</v>
      </c>
      <c r="H4714">
        <v>2</v>
      </c>
      <c r="I4714">
        <v>2</v>
      </c>
      <c r="J4714">
        <v>1</v>
      </c>
    </row>
    <row r="4715" spans="7:10">
      <c r="G4715">
        <v>2</v>
      </c>
      <c r="H4715">
        <v>2</v>
      </c>
      <c r="I4715">
        <v>2</v>
      </c>
      <c r="J4715">
        <v>2</v>
      </c>
    </row>
    <row r="4716" spans="7:10">
      <c r="G4716">
        <v>2</v>
      </c>
      <c r="H4716">
        <v>2</v>
      </c>
      <c r="I4716">
        <v>3</v>
      </c>
      <c r="J4716">
        <v>1</v>
      </c>
    </row>
    <row r="4717" spans="7:10">
      <c r="G4717">
        <v>2</v>
      </c>
      <c r="H4717">
        <v>2</v>
      </c>
      <c r="I4717">
        <v>3</v>
      </c>
      <c r="J4717">
        <v>2</v>
      </c>
    </row>
    <row r="4718" spans="7:10">
      <c r="G4718">
        <v>2</v>
      </c>
      <c r="H4718">
        <v>2</v>
      </c>
      <c r="I4718">
        <v>4</v>
      </c>
      <c r="J4718">
        <v>1</v>
      </c>
    </row>
    <row r="4719" spans="7:10">
      <c r="G4719">
        <v>2</v>
      </c>
      <c r="H4719">
        <v>2</v>
      </c>
      <c r="I4719">
        <v>4</v>
      </c>
      <c r="J4719">
        <v>2</v>
      </c>
    </row>
    <row r="4720" spans="7:10">
      <c r="G4720">
        <v>2</v>
      </c>
      <c r="H4720">
        <v>2</v>
      </c>
      <c r="I4720">
        <v>5</v>
      </c>
      <c r="J4720">
        <v>1</v>
      </c>
    </row>
    <row r="4721" spans="7:10">
      <c r="G4721">
        <v>2</v>
      </c>
      <c r="H4721">
        <v>2</v>
      </c>
      <c r="I4721">
        <v>5</v>
      </c>
      <c r="J4721">
        <v>2</v>
      </c>
    </row>
    <row r="4722" spans="7:10">
      <c r="G4722">
        <v>2</v>
      </c>
      <c r="H4722">
        <v>3</v>
      </c>
      <c r="I4722">
        <v>1</v>
      </c>
      <c r="J4722">
        <v>1</v>
      </c>
    </row>
    <row r="4723" spans="7:10">
      <c r="G4723">
        <v>2</v>
      </c>
      <c r="H4723">
        <v>3</v>
      </c>
      <c r="I4723">
        <v>1</v>
      </c>
      <c r="J4723">
        <v>2</v>
      </c>
    </row>
    <row r="4724" spans="7:10">
      <c r="G4724">
        <v>2</v>
      </c>
      <c r="H4724">
        <v>3</v>
      </c>
      <c r="I4724">
        <v>2</v>
      </c>
      <c r="J4724">
        <v>1</v>
      </c>
    </row>
    <row r="4725" spans="7:10">
      <c r="G4725">
        <v>2</v>
      </c>
      <c r="H4725">
        <v>3</v>
      </c>
      <c r="I4725">
        <v>2</v>
      </c>
      <c r="J4725">
        <v>2</v>
      </c>
    </row>
    <row r="4726" spans="7:10">
      <c r="G4726">
        <v>2</v>
      </c>
      <c r="H4726">
        <v>3</v>
      </c>
      <c r="I4726">
        <v>3</v>
      </c>
      <c r="J4726">
        <v>1</v>
      </c>
    </row>
    <row r="4727" spans="7:10">
      <c r="G4727">
        <v>2</v>
      </c>
      <c r="H4727">
        <v>3</v>
      </c>
      <c r="I4727">
        <v>3</v>
      </c>
      <c r="J4727">
        <v>2</v>
      </c>
    </row>
    <row r="4728" spans="7:10">
      <c r="G4728">
        <v>2</v>
      </c>
      <c r="H4728">
        <v>3</v>
      </c>
      <c r="I4728">
        <v>4</v>
      </c>
      <c r="J4728">
        <v>1</v>
      </c>
    </row>
    <row r="4729" spans="7:10">
      <c r="G4729">
        <v>2</v>
      </c>
      <c r="H4729">
        <v>3</v>
      </c>
      <c r="I4729">
        <v>4</v>
      </c>
      <c r="J4729">
        <v>2</v>
      </c>
    </row>
    <row r="4730" spans="7:10">
      <c r="G4730">
        <v>2</v>
      </c>
      <c r="H4730">
        <v>3</v>
      </c>
      <c r="I4730">
        <v>5</v>
      </c>
      <c r="J4730">
        <v>1</v>
      </c>
    </row>
    <row r="4731" spans="7:10">
      <c r="G4731">
        <v>2</v>
      </c>
      <c r="H4731">
        <v>3</v>
      </c>
      <c r="I4731">
        <v>5</v>
      </c>
      <c r="J4731">
        <v>2</v>
      </c>
    </row>
    <row r="4732" spans="7:10">
      <c r="G4732">
        <v>3</v>
      </c>
      <c r="H4732">
        <v>1</v>
      </c>
      <c r="I4732">
        <v>3</v>
      </c>
      <c r="J4732">
        <v>1</v>
      </c>
    </row>
    <row r="4733" spans="7:10">
      <c r="G4733">
        <v>3</v>
      </c>
      <c r="H4733">
        <v>1</v>
      </c>
      <c r="I4733">
        <v>3</v>
      </c>
      <c r="J4733">
        <v>2</v>
      </c>
    </row>
    <row r="4734" spans="7:10">
      <c r="G4734">
        <v>3</v>
      </c>
      <c r="H4734">
        <v>1</v>
      </c>
      <c r="I4734">
        <v>4</v>
      </c>
      <c r="J4734">
        <v>1</v>
      </c>
    </row>
    <row r="4735" spans="7:10">
      <c r="G4735">
        <v>3</v>
      </c>
      <c r="H4735">
        <v>1</v>
      </c>
      <c r="I4735">
        <v>4</v>
      </c>
      <c r="J4735">
        <v>2</v>
      </c>
    </row>
    <row r="4736" spans="7:10">
      <c r="G4736">
        <v>3</v>
      </c>
      <c r="H4736">
        <v>1</v>
      </c>
      <c r="I4736">
        <v>5</v>
      </c>
      <c r="J4736">
        <v>1</v>
      </c>
    </row>
    <row r="4737" spans="7:10">
      <c r="G4737">
        <v>3</v>
      </c>
      <c r="H4737">
        <v>1</v>
      </c>
      <c r="I4737">
        <v>5</v>
      </c>
      <c r="J4737">
        <v>2</v>
      </c>
    </row>
    <row r="4738" spans="7:10">
      <c r="G4738">
        <v>3</v>
      </c>
      <c r="H4738">
        <v>2</v>
      </c>
      <c r="I4738">
        <v>1</v>
      </c>
      <c r="J4738">
        <v>1</v>
      </c>
    </row>
    <row r="4739" spans="7:10">
      <c r="G4739">
        <v>3</v>
      </c>
      <c r="H4739">
        <v>2</v>
      </c>
      <c r="I4739">
        <v>1</v>
      </c>
      <c r="J4739">
        <v>2</v>
      </c>
    </row>
    <row r="4740" spans="7:10">
      <c r="G4740">
        <v>3</v>
      </c>
      <c r="H4740">
        <v>2</v>
      </c>
      <c r="I4740">
        <v>2</v>
      </c>
      <c r="J4740">
        <v>1</v>
      </c>
    </row>
    <row r="4741" spans="7:10">
      <c r="G4741">
        <v>3</v>
      </c>
      <c r="H4741">
        <v>2</v>
      </c>
      <c r="I4741">
        <v>2</v>
      </c>
      <c r="J4741">
        <v>2</v>
      </c>
    </row>
    <row r="4742" spans="7:10">
      <c r="G4742">
        <v>3</v>
      </c>
      <c r="H4742">
        <v>2</v>
      </c>
      <c r="I4742">
        <v>3</v>
      </c>
      <c r="J4742">
        <v>1</v>
      </c>
    </row>
    <row r="4743" spans="7:10">
      <c r="G4743">
        <v>3</v>
      </c>
      <c r="H4743">
        <v>2</v>
      </c>
      <c r="I4743">
        <v>3</v>
      </c>
      <c r="J4743">
        <v>2</v>
      </c>
    </row>
    <row r="4744" spans="7:10">
      <c r="G4744">
        <v>3</v>
      </c>
      <c r="H4744">
        <v>2</v>
      </c>
      <c r="I4744">
        <v>4</v>
      </c>
      <c r="J4744">
        <v>1</v>
      </c>
    </row>
    <row r="4745" spans="7:10">
      <c r="G4745">
        <v>3</v>
      </c>
      <c r="H4745">
        <v>2</v>
      </c>
      <c r="I4745">
        <v>4</v>
      </c>
      <c r="J4745">
        <v>2</v>
      </c>
    </row>
    <row r="4746" spans="7:10">
      <c r="G4746">
        <v>3</v>
      </c>
      <c r="H4746">
        <v>2</v>
      </c>
      <c r="I4746">
        <v>5</v>
      </c>
      <c r="J4746">
        <v>1</v>
      </c>
    </row>
    <row r="4747" spans="7:10">
      <c r="G4747">
        <v>3</v>
      </c>
      <c r="H4747">
        <v>2</v>
      </c>
      <c r="I4747">
        <v>5</v>
      </c>
      <c r="J4747">
        <v>2</v>
      </c>
    </row>
    <row r="4748" spans="7:10">
      <c r="G4748">
        <v>3</v>
      </c>
      <c r="H4748">
        <v>3</v>
      </c>
      <c r="I4748">
        <v>1</v>
      </c>
      <c r="J4748">
        <v>1</v>
      </c>
    </row>
    <row r="4749" spans="7:10">
      <c r="G4749">
        <v>3</v>
      </c>
      <c r="H4749">
        <v>3</v>
      </c>
      <c r="I4749">
        <v>1</v>
      </c>
      <c r="J4749">
        <v>2</v>
      </c>
    </row>
    <row r="4750" spans="7:10">
      <c r="G4750">
        <v>3</v>
      </c>
      <c r="H4750">
        <v>3</v>
      </c>
      <c r="I4750">
        <v>2</v>
      </c>
      <c r="J4750">
        <v>1</v>
      </c>
    </row>
    <row r="4751" spans="7:10">
      <c r="G4751">
        <v>3</v>
      </c>
      <c r="H4751">
        <v>3</v>
      </c>
      <c r="I4751">
        <v>2</v>
      </c>
      <c r="J4751">
        <v>2</v>
      </c>
    </row>
    <row r="4752" spans="7:10">
      <c r="G4752">
        <v>3</v>
      </c>
      <c r="H4752">
        <v>3</v>
      </c>
      <c r="I4752">
        <v>3</v>
      </c>
      <c r="J4752">
        <v>1</v>
      </c>
    </row>
    <row r="4753" spans="7:10">
      <c r="G4753">
        <v>3</v>
      </c>
      <c r="H4753">
        <v>3</v>
      </c>
      <c r="I4753">
        <v>3</v>
      </c>
      <c r="J4753">
        <v>2</v>
      </c>
    </row>
    <row r="4754" spans="7:10">
      <c r="G4754">
        <v>3</v>
      </c>
      <c r="H4754">
        <v>3</v>
      </c>
      <c r="I4754">
        <v>4</v>
      </c>
      <c r="J4754">
        <v>1</v>
      </c>
    </row>
    <row r="4755" spans="7:10">
      <c r="G4755">
        <v>3</v>
      </c>
      <c r="H4755">
        <v>3</v>
      </c>
      <c r="I4755">
        <v>4</v>
      </c>
      <c r="J4755">
        <v>2</v>
      </c>
    </row>
    <row r="4756" spans="7:10">
      <c r="G4756">
        <v>3</v>
      </c>
      <c r="H4756">
        <v>3</v>
      </c>
      <c r="I4756">
        <v>5</v>
      </c>
      <c r="J4756">
        <v>1</v>
      </c>
    </row>
    <row r="4757" spans="7:10">
      <c r="G4757">
        <v>3</v>
      </c>
      <c r="H4757">
        <v>3</v>
      </c>
      <c r="I4757">
        <v>5</v>
      </c>
      <c r="J4757">
        <v>2</v>
      </c>
    </row>
    <row r="4758" spans="7:10">
      <c r="G4758">
        <v>4</v>
      </c>
      <c r="H4758">
        <v>1</v>
      </c>
      <c r="I4758">
        <v>3</v>
      </c>
      <c r="J4758">
        <v>1</v>
      </c>
    </row>
    <row r="4759" spans="7:10">
      <c r="G4759">
        <v>4</v>
      </c>
      <c r="H4759">
        <v>1</v>
      </c>
      <c r="I4759">
        <v>3</v>
      </c>
      <c r="J4759">
        <v>2</v>
      </c>
    </row>
    <row r="4760" spans="7:10">
      <c r="G4760">
        <v>4</v>
      </c>
      <c r="H4760">
        <v>1</v>
      </c>
      <c r="I4760">
        <v>4</v>
      </c>
      <c r="J4760">
        <v>1</v>
      </c>
    </row>
    <row r="4761" spans="7:10">
      <c r="G4761">
        <v>4</v>
      </c>
      <c r="H4761">
        <v>1</v>
      </c>
      <c r="I4761">
        <v>4</v>
      </c>
      <c r="J4761">
        <v>2</v>
      </c>
    </row>
    <row r="4762" spans="7:10">
      <c r="G4762">
        <v>4</v>
      </c>
      <c r="H4762">
        <v>1</v>
      </c>
      <c r="I4762">
        <v>5</v>
      </c>
      <c r="J4762">
        <v>1</v>
      </c>
    </row>
    <row r="4763" spans="7:10">
      <c r="G4763">
        <v>4</v>
      </c>
      <c r="H4763">
        <v>1</v>
      </c>
      <c r="I4763">
        <v>5</v>
      </c>
      <c r="J4763">
        <v>2</v>
      </c>
    </row>
    <row r="4764" spans="7:10">
      <c r="G4764">
        <v>4</v>
      </c>
      <c r="H4764">
        <v>2</v>
      </c>
      <c r="I4764">
        <v>1</v>
      </c>
      <c r="J4764">
        <v>1</v>
      </c>
    </row>
    <row r="4765" spans="7:10">
      <c r="G4765">
        <v>4</v>
      </c>
      <c r="H4765">
        <v>2</v>
      </c>
      <c r="I4765">
        <v>1</v>
      </c>
      <c r="J4765">
        <v>2</v>
      </c>
    </row>
    <row r="4766" spans="7:10">
      <c r="G4766">
        <v>4</v>
      </c>
      <c r="H4766">
        <v>2</v>
      </c>
      <c r="I4766">
        <v>2</v>
      </c>
      <c r="J4766">
        <v>1</v>
      </c>
    </row>
    <row r="4767" spans="7:10">
      <c r="G4767">
        <v>4</v>
      </c>
      <c r="H4767">
        <v>2</v>
      </c>
      <c r="I4767">
        <v>2</v>
      </c>
      <c r="J4767">
        <v>2</v>
      </c>
    </row>
    <row r="4768" spans="7:10">
      <c r="G4768">
        <v>4</v>
      </c>
      <c r="H4768">
        <v>2</v>
      </c>
      <c r="I4768">
        <v>3</v>
      </c>
      <c r="J4768">
        <v>1</v>
      </c>
    </row>
    <row r="4769" spans="7:10">
      <c r="G4769">
        <v>4</v>
      </c>
      <c r="H4769">
        <v>2</v>
      </c>
      <c r="I4769">
        <v>3</v>
      </c>
      <c r="J4769">
        <v>2</v>
      </c>
    </row>
    <row r="4770" spans="7:10">
      <c r="G4770">
        <v>4</v>
      </c>
      <c r="H4770">
        <v>2</v>
      </c>
      <c r="I4770">
        <v>4</v>
      </c>
      <c r="J4770">
        <v>1</v>
      </c>
    </row>
    <row r="4771" spans="7:10">
      <c r="G4771">
        <v>4</v>
      </c>
      <c r="H4771">
        <v>2</v>
      </c>
      <c r="I4771">
        <v>4</v>
      </c>
      <c r="J4771">
        <v>2</v>
      </c>
    </row>
    <row r="4772" spans="7:10">
      <c r="G4772">
        <v>4</v>
      </c>
      <c r="H4772">
        <v>2</v>
      </c>
      <c r="I4772">
        <v>5</v>
      </c>
      <c r="J4772">
        <v>1</v>
      </c>
    </row>
    <row r="4773" spans="7:10">
      <c r="G4773">
        <v>4</v>
      </c>
      <c r="H4773">
        <v>2</v>
      </c>
      <c r="I4773">
        <v>5</v>
      </c>
      <c r="J4773">
        <v>2</v>
      </c>
    </row>
    <row r="4774" spans="7:10">
      <c r="G4774">
        <v>4</v>
      </c>
      <c r="H4774">
        <v>3</v>
      </c>
      <c r="I4774">
        <v>1</v>
      </c>
      <c r="J4774">
        <v>1</v>
      </c>
    </row>
    <row r="4775" spans="7:10">
      <c r="G4775">
        <v>4</v>
      </c>
      <c r="H4775">
        <v>3</v>
      </c>
      <c r="I4775">
        <v>1</v>
      </c>
      <c r="J4775">
        <v>2</v>
      </c>
    </row>
    <row r="4776" spans="7:10">
      <c r="G4776">
        <v>4</v>
      </c>
      <c r="H4776">
        <v>3</v>
      </c>
      <c r="I4776">
        <v>2</v>
      </c>
      <c r="J4776">
        <v>1</v>
      </c>
    </row>
    <row r="4777" spans="7:10">
      <c r="G4777">
        <v>4</v>
      </c>
      <c r="H4777">
        <v>3</v>
      </c>
      <c r="I4777">
        <v>2</v>
      </c>
      <c r="J4777">
        <v>2</v>
      </c>
    </row>
    <row r="4778" spans="7:10">
      <c r="G4778">
        <v>4</v>
      </c>
      <c r="H4778">
        <v>3</v>
      </c>
      <c r="I4778">
        <v>3</v>
      </c>
      <c r="J4778">
        <v>1</v>
      </c>
    </row>
    <row r="4779" spans="7:10">
      <c r="G4779">
        <v>4</v>
      </c>
      <c r="H4779">
        <v>3</v>
      </c>
      <c r="I4779">
        <v>3</v>
      </c>
      <c r="J4779">
        <v>2</v>
      </c>
    </row>
    <row r="4780" spans="7:10">
      <c r="G4780">
        <v>4</v>
      </c>
      <c r="H4780">
        <v>3</v>
      </c>
      <c r="I4780">
        <v>4</v>
      </c>
      <c r="J4780">
        <v>1</v>
      </c>
    </row>
    <row r="4781" spans="7:10">
      <c r="G4781">
        <v>4</v>
      </c>
      <c r="H4781">
        <v>3</v>
      </c>
      <c r="I4781">
        <v>4</v>
      </c>
      <c r="J4781">
        <v>2</v>
      </c>
    </row>
    <row r="4782" spans="7:10">
      <c r="G4782">
        <v>4</v>
      </c>
      <c r="H4782">
        <v>3</v>
      </c>
      <c r="I4782">
        <v>5</v>
      </c>
      <c r="J4782">
        <v>1</v>
      </c>
    </row>
    <row r="4783" spans="7:10">
      <c r="G4783">
        <v>4</v>
      </c>
      <c r="H4783">
        <v>3</v>
      </c>
      <c r="I4783">
        <v>5</v>
      </c>
      <c r="J4783">
        <v>2</v>
      </c>
    </row>
    <row r="4784" spans="7:10">
      <c r="G4784">
        <v>1</v>
      </c>
      <c r="H4784">
        <v>2</v>
      </c>
      <c r="I4784">
        <v>1</v>
      </c>
      <c r="J4784">
        <v>1</v>
      </c>
    </row>
    <row r="4785" spans="7:10">
      <c r="G4785">
        <v>1</v>
      </c>
      <c r="H4785">
        <v>2</v>
      </c>
      <c r="I4785">
        <v>1</v>
      </c>
      <c r="J4785">
        <v>2</v>
      </c>
    </row>
    <row r="4786" spans="7:10">
      <c r="G4786">
        <v>1</v>
      </c>
      <c r="H4786">
        <v>2</v>
      </c>
      <c r="I4786">
        <v>2</v>
      </c>
      <c r="J4786">
        <v>1</v>
      </c>
    </row>
    <row r="4787" spans="7:10">
      <c r="G4787">
        <v>1</v>
      </c>
      <c r="H4787">
        <v>2</v>
      </c>
      <c r="I4787">
        <v>2</v>
      </c>
      <c r="J4787">
        <v>2</v>
      </c>
    </row>
    <row r="4788" spans="7:10">
      <c r="G4788">
        <v>1</v>
      </c>
      <c r="H4788">
        <v>2</v>
      </c>
      <c r="I4788">
        <v>3</v>
      </c>
      <c r="J4788">
        <v>1</v>
      </c>
    </row>
    <row r="4789" spans="7:10">
      <c r="G4789">
        <v>1</v>
      </c>
      <c r="H4789">
        <v>2</v>
      </c>
      <c r="I4789">
        <v>3</v>
      </c>
      <c r="J4789">
        <v>2</v>
      </c>
    </row>
    <row r="4790" spans="7:10">
      <c r="G4790">
        <v>1</v>
      </c>
      <c r="H4790">
        <v>2</v>
      </c>
      <c r="I4790">
        <v>4</v>
      </c>
      <c r="J4790">
        <v>1</v>
      </c>
    </row>
    <row r="4791" spans="7:10">
      <c r="G4791">
        <v>1</v>
      </c>
      <c r="H4791">
        <v>2</v>
      </c>
      <c r="I4791">
        <v>4</v>
      </c>
      <c r="J4791">
        <v>2</v>
      </c>
    </row>
    <row r="4792" spans="7:10">
      <c r="G4792">
        <v>1</v>
      </c>
      <c r="H4792">
        <v>2</v>
      </c>
      <c r="I4792">
        <v>5</v>
      </c>
      <c r="J4792">
        <v>1</v>
      </c>
    </row>
    <row r="4793" spans="7:10">
      <c r="G4793">
        <v>1</v>
      </c>
      <c r="H4793">
        <v>2</v>
      </c>
      <c r="I4793">
        <v>5</v>
      </c>
      <c r="J4793">
        <v>2</v>
      </c>
    </row>
    <row r="4794" spans="7:10">
      <c r="G4794">
        <v>1</v>
      </c>
      <c r="H4794">
        <v>3</v>
      </c>
      <c r="I4794">
        <v>1</v>
      </c>
      <c r="J4794">
        <v>1</v>
      </c>
    </row>
    <row r="4795" spans="7:10">
      <c r="G4795">
        <v>1</v>
      </c>
      <c r="H4795">
        <v>3</v>
      </c>
      <c r="I4795">
        <v>1</v>
      </c>
      <c r="J4795">
        <v>2</v>
      </c>
    </row>
    <row r="4796" spans="7:10">
      <c r="G4796">
        <v>1</v>
      </c>
      <c r="H4796">
        <v>3</v>
      </c>
      <c r="I4796">
        <v>2</v>
      </c>
      <c r="J4796">
        <v>1</v>
      </c>
    </row>
    <row r="4797" spans="7:10">
      <c r="G4797">
        <v>1</v>
      </c>
      <c r="H4797">
        <v>3</v>
      </c>
      <c r="I4797">
        <v>2</v>
      </c>
      <c r="J4797">
        <v>2</v>
      </c>
    </row>
    <row r="4798" spans="7:10">
      <c r="G4798">
        <v>1</v>
      </c>
      <c r="H4798">
        <v>3</v>
      </c>
      <c r="I4798">
        <v>3</v>
      </c>
      <c r="J4798">
        <v>1</v>
      </c>
    </row>
    <row r="4799" spans="7:10">
      <c r="G4799">
        <v>1</v>
      </c>
      <c r="H4799">
        <v>3</v>
      </c>
      <c r="I4799">
        <v>3</v>
      </c>
      <c r="J4799">
        <v>2</v>
      </c>
    </row>
    <row r="4800" spans="7:10">
      <c r="G4800">
        <v>1</v>
      </c>
      <c r="H4800">
        <v>3</v>
      </c>
      <c r="I4800">
        <v>4</v>
      </c>
      <c r="J4800">
        <v>1</v>
      </c>
    </row>
    <row r="4801" spans="7:10">
      <c r="G4801">
        <v>1</v>
      </c>
      <c r="H4801">
        <v>3</v>
      </c>
      <c r="I4801">
        <v>4</v>
      </c>
      <c r="J4801">
        <v>2</v>
      </c>
    </row>
    <row r="4802" spans="7:10">
      <c r="G4802">
        <v>1</v>
      </c>
      <c r="H4802">
        <v>3</v>
      </c>
      <c r="I4802">
        <v>5</v>
      </c>
      <c r="J4802">
        <v>1</v>
      </c>
    </row>
    <row r="4803" spans="7:10">
      <c r="G4803">
        <v>1</v>
      </c>
      <c r="H4803">
        <v>3</v>
      </c>
      <c r="I4803">
        <v>5</v>
      </c>
      <c r="J4803">
        <v>2</v>
      </c>
    </row>
    <row r="4804" spans="7:10">
      <c r="G4804">
        <v>2</v>
      </c>
      <c r="H4804">
        <v>1</v>
      </c>
      <c r="I4804">
        <v>3</v>
      </c>
      <c r="J4804">
        <v>1</v>
      </c>
    </row>
    <row r="4805" spans="7:10">
      <c r="G4805">
        <v>2</v>
      </c>
      <c r="H4805">
        <v>1</v>
      </c>
      <c r="I4805">
        <v>3</v>
      </c>
      <c r="J4805">
        <v>2</v>
      </c>
    </row>
    <row r="4806" spans="7:10">
      <c r="G4806">
        <v>2</v>
      </c>
      <c r="H4806">
        <v>1</v>
      </c>
      <c r="I4806">
        <v>4</v>
      </c>
      <c r="J4806">
        <v>1</v>
      </c>
    </row>
    <row r="4807" spans="7:10">
      <c r="G4807">
        <v>2</v>
      </c>
      <c r="H4807">
        <v>1</v>
      </c>
      <c r="I4807">
        <v>4</v>
      </c>
      <c r="J4807">
        <v>2</v>
      </c>
    </row>
    <row r="4808" spans="7:10">
      <c r="G4808">
        <v>2</v>
      </c>
      <c r="H4808">
        <v>1</v>
      </c>
      <c r="I4808">
        <v>5</v>
      </c>
      <c r="J4808">
        <v>1</v>
      </c>
    </row>
    <row r="4809" spans="7:10">
      <c r="G4809">
        <v>2</v>
      </c>
      <c r="H4809">
        <v>1</v>
      </c>
      <c r="I4809">
        <v>5</v>
      </c>
      <c r="J4809">
        <v>2</v>
      </c>
    </row>
    <row r="4810" spans="7:10">
      <c r="G4810">
        <v>2</v>
      </c>
      <c r="H4810">
        <v>2</v>
      </c>
      <c r="I4810">
        <v>1</v>
      </c>
      <c r="J4810">
        <v>1</v>
      </c>
    </row>
    <row r="4811" spans="7:10">
      <c r="G4811">
        <v>2</v>
      </c>
      <c r="H4811">
        <v>2</v>
      </c>
      <c r="I4811">
        <v>1</v>
      </c>
      <c r="J4811">
        <v>2</v>
      </c>
    </row>
    <row r="4812" spans="7:10">
      <c r="G4812">
        <v>2</v>
      </c>
      <c r="H4812">
        <v>2</v>
      </c>
      <c r="I4812">
        <v>2</v>
      </c>
      <c r="J4812">
        <v>1</v>
      </c>
    </row>
    <row r="4813" spans="7:10">
      <c r="G4813">
        <v>2</v>
      </c>
      <c r="H4813">
        <v>2</v>
      </c>
      <c r="I4813">
        <v>2</v>
      </c>
      <c r="J4813">
        <v>2</v>
      </c>
    </row>
    <row r="4814" spans="7:10">
      <c r="G4814">
        <v>2</v>
      </c>
      <c r="H4814">
        <v>2</v>
      </c>
      <c r="I4814">
        <v>3</v>
      </c>
      <c r="J4814">
        <v>1</v>
      </c>
    </row>
    <row r="4815" spans="7:10">
      <c r="G4815">
        <v>2</v>
      </c>
      <c r="H4815">
        <v>2</v>
      </c>
      <c r="I4815">
        <v>3</v>
      </c>
      <c r="J4815">
        <v>2</v>
      </c>
    </row>
    <row r="4816" spans="7:10">
      <c r="G4816">
        <v>2</v>
      </c>
      <c r="H4816">
        <v>2</v>
      </c>
      <c r="I4816">
        <v>4</v>
      </c>
      <c r="J4816">
        <v>1</v>
      </c>
    </row>
    <row r="4817" spans="7:10">
      <c r="G4817">
        <v>2</v>
      </c>
      <c r="H4817">
        <v>2</v>
      </c>
      <c r="I4817">
        <v>4</v>
      </c>
      <c r="J4817">
        <v>2</v>
      </c>
    </row>
    <row r="4818" spans="7:10">
      <c r="G4818">
        <v>2</v>
      </c>
      <c r="H4818">
        <v>2</v>
      </c>
      <c r="I4818">
        <v>5</v>
      </c>
      <c r="J4818">
        <v>1</v>
      </c>
    </row>
    <row r="4819" spans="7:10">
      <c r="G4819">
        <v>2</v>
      </c>
      <c r="H4819">
        <v>2</v>
      </c>
      <c r="I4819">
        <v>5</v>
      </c>
      <c r="J4819">
        <v>2</v>
      </c>
    </row>
    <row r="4820" spans="7:10">
      <c r="G4820">
        <v>2</v>
      </c>
      <c r="H4820">
        <v>3</v>
      </c>
      <c r="I4820">
        <v>1</v>
      </c>
      <c r="J4820">
        <v>1</v>
      </c>
    </row>
    <row r="4821" spans="7:10">
      <c r="G4821">
        <v>2</v>
      </c>
      <c r="H4821">
        <v>3</v>
      </c>
      <c r="I4821">
        <v>1</v>
      </c>
      <c r="J4821">
        <v>2</v>
      </c>
    </row>
    <row r="4822" spans="7:10">
      <c r="G4822">
        <v>2</v>
      </c>
      <c r="H4822">
        <v>3</v>
      </c>
      <c r="I4822">
        <v>2</v>
      </c>
      <c r="J4822">
        <v>1</v>
      </c>
    </row>
    <row r="4823" spans="7:10">
      <c r="G4823">
        <v>2</v>
      </c>
      <c r="H4823">
        <v>3</v>
      </c>
      <c r="I4823">
        <v>2</v>
      </c>
      <c r="J4823">
        <v>2</v>
      </c>
    </row>
    <row r="4824" spans="7:10">
      <c r="G4824">
        <v>2</v>
      </c>
      <c r="H4824">
        <v>3</v>
      </c>
      <c r="I4824">
        <v>3</v>
      </c>
      <c r="J4824">
        <v>1</v>
      </c>
    </row>
    <row r="4825" spans="7:10">
      <c r="G4825">
        <v>2</v>
      </c>
      <c r="H4825">
        <v>3</v>
      </c>
      <c r="I4825">
        <v>3</v>
      </c>
      <c r="J4825">
        <v>2</v>
      </c>
    </row>
    <row r="4826" spans="7:10">
      <c r="G4826">
        <v>2</v>
      </c>
      <c r="H4826">
        <v>3</v>
      </c>
      <c r="I4826">
        <v>4</v>
      </c>
      <c r="J4826">
        <v>1</v>
      </c>
    </row>
    <row r="4827" spans="7:10">
      <c r="G4827">
        <v>2</v>
      </c>
      <c r="H4827">
        <v>3</v>
      </c>
      <c r="I4827">
        <v>4</v>
      </c>
      <c r="J4827">
        <v>2</v>
      </c>
    </row>
    <row r="4828" spans="7:10">
      <c r="G4828">
        <v>2</v>
      </c>
      <c r="H4828">
        <v>3</v>
      </c>
      <c r="I4828">
        <v>5</v>
      </c>
      <c r="J4828">
        <v>1</v>
      </c>
    </row>
    <row r="4829" spans="7:10">
      <c r="G4829">
        <v>2</v>
      </c>
      <c r="H4829">
        <v>3</v>
      </c>
      <c r="I4829">
        <v>5</v>
      </c>
      <c r="J4829">
        <v>2</v>
      </c>
    </row>
    <row r="4830" spans="7:10">
      <c r="G4830">
        <v>3</v>
      </c>
      <c r="H4830">
        <v>1</v>
      </c>
      <c r="I4830">
        <v>3</v>
      </c>
      <c r="J4830">
        <v>1</v>
      </c>
    </row>
    <row r="4831" spans="7:10">
      <c r="G4831">
        <v>3</v>
      </c>
      <c r="H4831">
        <v>1</v>
      </c>
      <c r="I4831">
        <v>3</v>
      </c>
      <c r="J4831">
        <v>2</v>
      </c>
    </row>
    <row r="4832" spans="7:10">
      <c r="G4832">
        <v>3</v>
      </c>
      <c r="H4832">
        <v>1</v>
      </c>
      <c r="I4832">
        <v>4</v>
      </c>
      <c r="J4832">
        <v>1</v>
      </c>
    </row>
    <row r="4833" spans="7:10">
      <c r="G4833">
        <v>3</v>
      </c>
      <c r="H4833">
        <v>1</v>
      </c>
      <c r="I4833">
        <v>4</v>
      </c>
      <c r="J4833">
        <v>2</v>
      </c>
    </row>
    <row r="4834" spans="7:10">
      <c r="G4834">
        <v>3</v>
      </c>
      <c r="H4834">
        <v>1</v>
      </c>
      <c r="I4834">
        <v>5</v>
      </c>
      <c r="J4834">
        <v>1</v>
      </c>
    </row>
    <row r="4835" spans="7:10">
      <c r="G4835">
        <v>3</v>
      </c>
      <c r="H4835">
        <v>1</v>
      </c>
      <c r="I4835">
        <v>5</v>
      </c>
      <c r="J4835">
        <v>2</v>
      </c>
    </row>
    <row r="4836" spans="7:10">
      <c r="G4836">
        <v>3</v>
      </c>
      <c r="H4836">
        <v>2</v>
      </c>
      <c r="I4836">
        <v>1</v>
      </c>
      <c r="J4836">
        <v>1</v>
      </c>
    </row>
    <row r="4837" spans="7:10">
      <c r="G4837">
        <v>3</v>
      </c>
      <c r="H4837">
        <v>2</v>
      </c>
      <c r="I4837">
        <v>1</v>
      </c>
      <c r="J4837">
        <v>2</v>
      </c>
    </row>
    <row r="4838" spans="7:10">
      <c r="G4838">
        <v>3</v>
      </c>
      <c r="H4838">
        <v>2</v>
      </c>
      <c r="I4838">
        <v>2</v>
      </c>
      <c r="J4838">
        <v>1</v>
      </c>
    </row>
    <row r="4839" spans="7:10">
      <c r="G4839">
        <v>3</v>
      </c>
      <c r="H4839">
        <v>2</v>
      </c>
      <c r="I4839">
        <v>2</v>
      </c>
      <c r="J4839">
        <v>2</v>
      </c>
    </row>
    <row r="4840" spans="7:10">
      <c r="G4840">
        <v>3</v>
      </c>
      <c r="H4840">
        <v>2</v>
      </c>
      <c r="I4840">
        <v>3</v>
      </c>
      <c r="J4840">
        <v>1</v>
      </c>
    </row>
    <row r="4841" spans="7:10">
      <c r="G4841">
        <v>3</v>
      </c>
      <c r="H4841">
        <v>2</v>
      </c>
      <c r="I4841">
        <v>3</v>
      </c>
      <c r="J4841">
        <v>2</v>
      </c>
    </row>
    <row r="4842" spans="7:10">
      <c r="G4842">
        <v>3</v>
      </c>
      <c r="H4842">
        <v>2</v>
      </c>
      <c r="I4842">
        <v>4</v>
      </c>
      <c r="J4842">
        <v>1</v>
      </c>
    </row>
    <row r="4843" spans="7:10">
      <c r="G4843">
        <v>3</v>
      </c>
      <c r="H4843">
        <v>2</v>
      </c>
      <c r="I4843">
        <v>4</v>
      </c>
      <c r="J4843">
        <v>2</v>
      </c>
    </row>
    <row r="4844" spans="7:10">
      <c r="G4844">
        <v>3</v>
      </c>
      <c r="H4844">
        <v>2</v>
      </c>
      <c r="I4844">
        <v>5</v>
      </c>
      <c r="J4844">
        <v>1</v>
      </c>
    </row>
    <row r="4845" spans="7:10">
      <c r="G4845">
        <v>3</v>
      </c>
      <c r="H4845">
        <v>2</v>
      </c>
      <c r="I4845">
        <v>5</v>
      </c>
      <c r="J4845">
        <v>2</v>
      </c>
    </row>
    <row r="4846" spans="7:10">
      <c r="G4846">
        <v>3</v>
      </c>
      <c r="H4846">
        <v>3</v>
      </c>
      <c r="I4846">
        <v>1</v>
      </c>
      <c r="J4846">
        <v>1</v>
      </c>
    </row>
    <row r="4847" spans="7:10">
      <c r="G4847">
        <v>3</v>
      </c>
      <c r="H4847">
        <v>3</v>
      </c>
      <c r="I4847">
        <v>1</v>
      </c>
      <c r="J4847">
        <v>2</v>
      </c>
    </row>
    <row r="4848" spans="7:10">
      <c r="G4848">
        <v>3</v>
      </c>
      <c r="H4848">
        <v>3</v>
      </c>
      <c r="I4848">
        <v>2</v>
      </c>
      <c r="J4848">
        <v>1</v>
      </c>
    </row>
    <row r="4849" spans="7:10">
      <c r="G4849">
        <v>3</v>
      </c>
      <c r="H4849">
        <v>3</v>
      </c>
      <c r="I4849">
        <v>2</v>
      </c>
      <c r="J4849">
        <v>2</v>
      </c>
    </row>
    <row r="4850" spans="7:10">
      <c r="G4850">
        <v>3</v>
      </c>
      <c r="H4850">
        <v>3</v>
      </c>
      <c r="I4850">
        <v>3</v>
      </c>
      <c r="J4850">
        <v>1</v>
      </c>
    </row>
    <row r="4851" spans="7:10">
      <c r="G4851">
        <v>3</v>
      </c>
      <c r="H4851">
        <v>3</v>
      </c>
      <c r="I4851">
        <v>3</v>
      </c>
      <c r="J4851">
        <v>2</v>
      </c>
    </row>
    <row r="4852" spans="7:10">
      <c r="G4852">
        <v>3</v>
      </c>
      <c r="H4852">
        <v>3</v>
      </c>
      <c r="I4852">
        <v>4</v>
      </c>
      <c r="J4852">
        <v>1</v>
      </c>
    </row>
    <row r="4853" spans="7:10">
      <c r="G4853">
        <v>3</v>
      </c>
      <c r="H4853">
        <v>3</v>
      </c>
      <c r="I4853">
        <v>4</v>
      </c>
      <c r="J4853">
        <v>2</v>
      </c>
    </row>
    <row r="4854" spans="7:10">
      <c r="G4854">
        <v>3</v>
      </c>
      <c r="H4854">
        <v>3</v>
      </c>
      <c r="I4854">
        <v>5</v>
      </c>
      <c r="J4854">
        <v>1</v>
      </c>
    </row>
    <row r="4855" spans="7:10">
      <c r="G4855">
        <v>3</v>
      </c>
      <c r="H4855">
        <v>3</v>
      </c>
      <c r="I4855">
        <v>5</v>
      </c>
      <c r="J4855">
        <v>2</v>
      </c>
    </row>
    <row r="4856" spans="7:10">
      <c r="G4856">
        <v>4</v>
      </c>
      <c r="H4856">
        <v>1</v>
      </c>
      <c r="I4856">
        <v>3</v>
      </c>
      <c r="J4856">
        <v>1</v>
      </c>
    </row>
    <row r="4857" spans="7:10">
      <c r="G4857">
        <v>4</v>
      </c>
      <c r="H4857">
        <v>1</v>
      </c>
      <c r="I4857">
        <v>3</v>
      </c>
      <c r="J4857">
        <v>2</v>
      </c>
    </row>
    <row r="4858" spans="7:10">
      <c r="G4858">
        <v>4</v>
      </c>
      <c r="H4858">
        <v>1</v>
      </c>
      <c r="I4858">
        <v>4</v>
      </c>
      <c r="J4858">
        <v>1</v>
      </c>
    </row>
    <row r="4859" spans="7:10">
      <c r="G4859">
        <v>4</v>
      </c>
      <c r="H4859">
        <v>1</v>
      </c>
      <c r="I4859">
        <v>4</v>
      </c>
      <c r="J4859">
        <v>2</v>
      </c>
    </row>
    <row r="4860" spans="7:10">
      <c r="G4860">
        <v>4</v>
      </c>
      <c r="H4860">
        <v>1</v>
      </c>
      <c r="I4860">
        <v>5</v>
      </c>
      <c r="J4860">
        <v>1</v>
      </c>
    </row>
    <row r="4861" spans="7:10">
      <c r="G4861">
        <v>4</v>
      </c>
      <c r="H4861">
        <v>1</v>
      </c>
      <c r="I4861">
        <v>5</v>
      </c>
      <c r="J4861">
        <v>2</v>
      </c>
    </row>
    <row r="4862" spans="7:10">
      <c r="G4862">
        <v>4</v>
      </c>
      <c r="H4862">
        <v>2</v>
      </c>
      <c r="I4862">
        <v>1</v>
      </c>
      <c r="J4862">
        <v>1</v>
      </c>
    </row>
    <row r="4863" spans="7:10">
      <c r="G4863">
        <v>4</v>
      </c>
      <c r="H4863">
        <v>2</v>
      </c>
      <c r="I4863">
        <v>1</v>
      </c>
      <c r="J4863">
        <v>2</v>
      </c>
    </row>
    <row r="4864" spans="7:10">
      <c r="G4864">
        <v>4</v>
      </c>
      <c r="H4864">
        <v>2</v>
      </c>
      <c r="I4864">
        <v>2</v>
      </c>
      <c r="J4864">
        <v>1</v>
      </c>
    </row>
    <row r="4865" spans="7:10">
      <c r="G4865">
        <v>4</v>
      </c>
      <c r="H4865">
        <v>2</v>
      </c>
      <c r="I4865">
        <v>2</v>
      </c>
      <c r="J4865">
        <v>2</v>
      </c>
    </row>
    <row r="4866" spans="7:10">
      <c r="G4866">
        <v>4</v>
      </c>
      <c r="H4866">
        <v>2</v>
      </c>
      <c r="I4866">
        <v>3</v>
      </c>
      <c r="J4866">
        <v>1</v>
      </c>
    </row>
    <row r="4867" spans="7:10">
      <c r="G4867">
        <v>4</v>
      </c>
      <c r="H4867">
        <v>2</v>
      </c>
      <c r="I4867">
        <v>3</v>
      </c>
      <c r="J4867">
        <v>2</v>
      </c>
    </row>
    <row r="4868" spans="7:10">
      <c r="G4868">
        <v>4</v>
      </c>
      <c r="H4868">
        <v>2</v>
      </c>
      <c r="I4868">
        <v>4</v>
      </c>
      <c r="J4868">
        <v>1</v>
      </c>
    </row>
    <row r="4869" spans="7:10">
      <c r="G4869">
        <v>4</v>
      </c>
      <c r="H4869">
        <v>2</v>
      </c>
      <c r="I4869">
        <v>4</v>
      </c>
      <c r="J4869">
        <v>2</v>
      </c>
    </row>
    <row r="4870" spans="7:10">
      <c r="G4870">
        <v>4</v>
      </c>
      <c r="H4870">
        <v>2</v>
      </c>
      <c r="I4870">
        <v>5</v>
      </c>
      <c r="J4870">
        <v>1</v>
      </c>
    </row>
    <row r="4871" spans="7:10">
      <c r="G4871">
        <v>4</v>
      </c>
      <c r="H4871">
        <v>2</v>
      </c>
      <c r="I4871">
        <v>5</v>
      </c>
      <c r="J4871">
        <v>2</v>
      </c>
    </row>
    <row r="4872" spans="7:10">
      <c r="G4872">
        <v>4</v>
      </c>
      <c r="H4872">
        <v>3</v>
      </c>
      <c r="I4872">
        <v>1</v>
      </c>
      <c r="J4872">
        <v>1</v>
      </c>
    </row>
    <row r="4873" spans="7:10">
      <c r="G4873">
        <v>4</v>
      </c>
      <c r="H4873">
        <v>3</v>
      </c>
      <c r="I4873">
        <v>1</v>
      </c>
      <c r="J4873">
        <v>2</v>
      </c>
    </row>
    <row r="4874" spans="7:10">
      <c r="G4874">
        <v>4</v>
      </c>
      <c r="H4874">
        <v>3</v>
      </c>
      <c r="I4874">
        <v>2</v>
      </c>
      <c r="J4874">
        <v>1</v>
      </c>
    </row>
    <row r="4875" spans="7:10">
      <c r="G4875">
        <v>4</v>
      </c>
      <c r="H4875">
        <v>3</v>
      </c>
      <c r="I4875">
        <v>2</v>
      </c>
      <c r="J4875">
        <v>2</v>
      </c>
    </row>
    <row r="4876" spans="7:10">
      <c r="G4876">
        <v>4</v>
      </c>
      <c r="H4876">
        <v>3</v>
      </c>
      <c r="I4876">
        <v>3</v>
      </c>
      <c r="J4876">
        <v>1</v>
      </c>
    </row>
    <row r="4877" spans="7:10">
      <c r="G4877">
        <v>4</v>
      </c>
      <c r="H4877">
        <v>3</v>
      </c>
      <c r="I4877">
        <v>3</v>
      </c>
      <c r="J4877">
        <v>2</v>
      </c>
    </row>
    <row r="4878" spans="7:10">
      <c r="G4878">
        <v>4</v>
      </c>
      <c r="H4878">
        <v>3</v>
      </c>
      <c r="I4878">
        <v>4</v>
      </c>
      <c r="J4878">
        <v>1</v>
      </c>
    </row>
    <row r="4879" spans="7:10">
      <c r="G4879">
        <v>4</v>
      </c>
      <c r="H4879">
        <v>3</v>
      </c>
      <c r="I4879">
        <v>4</v>
      </c>
      <c r="J4879">
        <v>2</v>
      </c>
    </row>
    <row r="4880" spans="7:10">
      <c r="G4880">
        <v>4</v>
      </c>
      <c r="H4880">
        <v>3</v>
      </c>
      <c r="I4880">
        <v>5</v>
      </c>
      <c r="J4880">
        <v>1</v>
      </c>
    </row>
    <row r="4881" spans="7:10">
      <c r="G4881">
        <v>4</v>
      </c>
      <c r="H4881">
        <v>3</v>
      </c>
      <c r="I4881">
        <v>5</v>
      </c>
      <c r="J4881">
        <v>2</v>
      </c>
    </row>
    <row r="4882" spans="7:10">
      <c r="G4882">
        <v>1</v>
      </c>
      <c r="H4882">
        <v>2</v>
      </c>
      <c r="I4882">
        <v>1</v>
      </c>
      <c r="J4882">
        <v>1</v>
      </c>
    </row>
    <row r="4883" spans="7:10">
      <c r="G4883">
        <v>1</v>
      </c>
      <c r="H4883">
        <v>2</v>
      </c>
      <c r="I4883">
        <v>1</v>
      </c>
      <c r="J4883">
        <v>2</v>
      </c>
    </row>
    <row r="4884" spans="7:10">
      <c r="G4884">
        <v>1</v>
      </c>
      <c r="H4884">
        <v>2</v>
      </c>
      <c r="I4884">
        <v>2</v>
      </c>
      <c r="J4884">
        <v>1</v>
      </c>
    </row>
    <row r="4885" spans="7:10">
      <c r="G4885">
        <v>1</v>
      </c>
      <c r="H4885">
        <v>2</v>
      </c>
      <c r="I4885">
        <v>2</v>
      </c>
      <c r="J4885">
        <v>2</v>
      </c>
    </row>
    <row r="4886" spans="7:10">
      <c r="G4886">
        <v>1</v>
      </c>
      <c r="H4886">
        <v>2</v>
      </c>
      <c r="I4886">
        <v>3</v>
      </c>
      <c r="J4886">
        <v>1</v>
      </c>
    </row>
    <row r="4887" spans="7:10">
      <c r="G4887">
        <v>1</v>
      </c>
      <c r="H4887">
        <v>2</v>
      </c>
      <c r="I4887">
        <v>3</v>
      </c>
      <c r="J4887">
        <v>2</v>
      </c>
    </row>
    <row r="4888" spans="7:10">
      <c r="G4888">
        <v>1</v>
      </c>
      <c r="H4888">
        <v>2</v>
      </c>
      <c r="I4888">
        <v>4</v>
      </c>
      <c r="J4888">
        <v>1</v>
      </c>
    </row>
    <row r="4889" spans="7:10">
      <c r="G4889">
        <v>1</v>
      </c>
      <c r="H4889">
        <v>2</v>
      </c>
      <c r="I4889">
        <v>4</v>
      </c>
      <c r="J4889">
        <v>2</v>
      </c>
    </row>
    <row r="4890" spans="7:10">
      <c r="G4890">
        <v>1</v>
      </c>
      <c r="H4890">
        <v>2</v>
      </c>
      <c r="I4890">
        <v>5</v>
      </c>
      <c r="J4890">
        <v>1</v>
      </c>
    </row>
    <row r="4891" spans="7:10">
      <c r="G4891">
        <v>1</v>
      </c>
      <c r="H4891">
        <v>2</v>
      </c>
      <c r="I4891">
        <v>5</v>
      </c>
      <c r="J4891">
        <v>2</v>
      </c>
    </row>
    <row r="4892" spans="7:10">
      <c r="G4892">
        <v>1</v>
      </c>
      <c r="H4892">
        <v>3</v>
      </c>
      <c r="I4892">
        <v>1</v>
      </c>
      <c r="J4892">
        <v>1</v>
      </c>
    </row>
    <row r="4893" spans="7:10">
      <c r="G4893">
        <v>1</v>
      </c>
      <c r="H4893">
        <v>3</v>
      </c>
      <c r="I4893">
        <v>1</v>
      </c>
      <c r="J4893">
        <v>2</v>
      </c>
    </row>
    <row r="4894" spans="7:10">
      <c r="G4894">
        <v>1</v>
      </c>
      <c r="H4894">
        <v>3</v>
      </c>
      <c r="I4894">
        <v>2</v>
      </c>
      <c r="J4894">
        <v>1</v>
      </c>
    </row>
    <row r="4895" spans="7:10">
      <c r="G4895">
        <v>1</v>
      </c>
      <c r="H4895">
        <v>3</v>
      </c>
      <c r="I4895">
        <v>2</v>
      </c>
      <c r="J4895">
        <v>2</v>
      </c>
    </row>
    <row r="4896" spans="7:10">
      <c r="G4896">
        <v>1</v>
      </c>
      <c r="H4896">
        <v>3</v>
      </c>
      <c r="I4896">
        <v>3</v>
      </c>
      <c r="J4896">
        <v>1</v>
      </c>
    </row>
    <row r="4897" spans="7:10">
      <c r="G4897">
        <v>1</v>
      </c>
      <c r="H4897">
        <v>3</v>
      </c>
      <c r="I4897">
        <v>3</v>
      </c>
      <c r="J4897">
        <v>2</v>
      </c>
    </row>
    <row r="4898" spans="7:10">
      <c r="G4898">
        <v>1</v>
      </c>
      <c r="H4898">
        <v>3</v>
      </c>
      <c r="I4898">
        <v>4</v>
      </c>
      <c r="J4898">
        <v>1</v>
      </c>
    </row>
    <row r="4899" spans="7:10">
      <c r="G4899">
        <v>1</v>
      </c>
      <c r="H4899">
        <v>3</v>
      </c>
      <c r="I4899">
        <v>4</v>
      </c>
      <c r="J4899">
        <v>2</v>
      </c>
    </row>
    <row r="4900" spans="7:10">
      <c r="G4900">
        <v>1</v>
      </c>
      <c r="H4900">
        <v>3</v>
      </c>
      <c r="I4900">
        <v>5</v>
      </c>
      <c r="J4900">
        <v>1</v>
      </c>
    </row>
    <row r="4901" spans="7:10">
      <c r="G4901">
        <v>1</v>
      </c>
      <c r="H4901">
        <v>3</v>
      </c>
      <c r="I4901">
        <v>5</v>
      </c>
      <c r="J4901">
        <v>2</v>
      </c>
    </row>
    <row r="4902" spans="7:10">
      <c r="G4902">
        <v>2</v>
      </c>
      <c r="H4902">
        <v>1</v>
      </c>
      <c r="I4902">
        <v>3</v>
      </c>
      <c r="J4902">
        <v>1</v>
      </c>
    </row>
    <row r="4903" spans="7:10">
      <c r="G4903">
        <v>2</v>
      </c>
      <c r="H4903">
        <v>1</v>
      </c>
      <c r="I4903">
        <v>3</v>
      </c>
      <c r="J4903">
        <v>2</v>
      </c>
    </row>
    <row r="4904" spans="7:10">
      <c r="G4904">
        <v>2</v>
      </c>
      <c r="H4904">
        <v>1</v>
      </c>
      <c r="I4904">
        <v>4</v>
      </c>
      <c r="J4904">
        <v>1</v>
      </c>
    </row>
    <row r="4905" spans="7:10">
      <c r="G4905">
        <v>2</v>
      </c>
      <c r="H4905">
        <v>1</v>
      </c>
      <c r="I4905">
        <v>4</v>
      </c>
      <c r="J4905">
        <v>2</v>
      </c>
    </row>
    <row r="4906" spans="7:10">
      <c r="G4906">
        <v>2</v>
      </c>
      <c r="H4906">
        <v>1</v>
      </c>
      <c r="I4906">
        <v>5</v>
      </c>
      <c r="J4906">
        <v>1</v>
      </c>
    </row>
    <row r="4907" spans="7:10">
      <c r="G4907">
        <v>2</v>
      </c>
      <c r="H4907">
        <v>1</v>
      </c>
      <c r="I4907">
        <v>5</v>
      </c>
      <c r="J4907">
        <v>2</v>
      </c>
    </row>
    <row r="4908" spans="7:10">
      <c r="G4908">
        <v>2</v>
      </c>
      <c r="H4908">
        <v>2</v>
      </c>
      <c r="I4908">
        <v>1</v>
      </c>
      <c r="J4908">
        <v>1</v>
      </c>
    </row>
    <row r="4909" spans="7:10">
      <c r="G4909">
        <v>2</v>
      </c>
      <c r="H4909">
        <v>2</v>
      </c>
      <c r="I4909">
        <v>1</v>
      </c>
      <c r="J4909">
        <v>2</v>
      </c>
    </row>
    <row r="4910" spans="7:10">
      <c r="G4910">
        <v>2</v>
      </c>
      <c r="H4910">
        <v>2</v>
      </c>
      <c r="I4910">
        <v>2</v>
      </c>
      <c r="J4910">
        <v>1</v>
      </c>
    </row>
    <row r="4911" spans="7:10">
      <c r="G4911">
        <v>2</v>
      </c>
      <c r="H4911">
        <v>2</v>
      </c>
      <c r="I4911">
        <v>2</v>
      </c>
      <c r="J4911">
        <v>2</v>
      </c>
    </row>
    <row r="4912" spans="7:10">
      <c r="G4912">
        <v>2</v>
      </c>
      <c r="H4912">
        <v>2</v>
      </c>
      <c r="I4912">
        <v>3</v>
      </c>
      <c r="J4912">
        <v>1</v>
      </c>
    </row>
    <row r="4913" spans="7:10">
      <c r="G4913">
        <v>2</v>
      </c>
      <c r="H4913">
        <v>2</v>
      </c>
      <c r="I4913">
        <v>3</v>
      </c>
      <c r="J4913">
        <v>2</v>
      </c>
    </row>
    <row r="4914" spans="7:10">
      <c r="G4914">
        <v>2</v>
      </c>
      <c r="H4914">
        <v>2</v>
      </c>
      <c r="I4914">
        <v>4</v>
      </c>
      <c r="J4914">
        <v>1</v>
      </c>
    </row>
    <row r="4915" spans="7:10">
      <c r="G4915">
        <v>2</v>
      </c>
      <c r="H4915">
        <v>2</v>
      </c>
      <c r="I4915">
        <v>4</v>
      </c>
      <c r="J4915">
        <v>2</v>
      </c>
    </row>
    <row r="4916" spans="7:10">
      <c r="G4916">
        <v>2</v>
      </c>
      <c r="H4916">
        <v>2</v>
      </c>
      <c r="I4916">
        <v>5</v>
      </c>
      <c r="J4916">
        <v>1</v>
      </c>
    </row>
    <row r="4917" spans="7:10">
      <c r="G4917">
        <v>2</v>
      </c>
      <c r="H4917">
        <v>2</v>
      </c>
      <c r="I4917">
        <v>5</v>
      </c>
      <c r="J4917">
        <v>2</v>
      </c>
    </row>
    <row r="4918" spans="7:10">
      <c r="G4918">
        <v>2</v>
      </c>
      <c r="H4918">
        <v>3</v>
      </c>
      <c r="I4918">
        <v>1</v>
      </c>
      <c r="J4918">
        <v>1</v>
      </c>
    </row>
    <row r="4919" spans="7:10">
      <c r="G4919">
        <v>2</v>
      </c>
      <c r="H4919">
        <v>3</v>
      </c>
      <c r="I4919">
        <v>1</v>
      </c>
      <c r="J4919">
        <v>2</v>
      </c>
    </row>
    <row r="4920" spans="7:10">
      <c r="G4920">
        <v>2</v>
      </c>
      <c r="H4920">
        <v>3</v>
      </c>
      <c r="I4920">
        <v>2</v>
      </c>
      <c r="J4920">
        <v>1</v>
      </c>
    </row>
    <row r="4921" spans="7:10">
      <c r="G4921">
        <v>2</v>
      </c>
      <c r="H4921">
        <v>3</v>
      </c>
      <c r="I4921">
        <v>2</v>
      </c>
      <c r="J4921">
        <v>2</v>
      </c>
    </row>
    <row r="4922" spans="7:10">
      <c r="G4922">
        <v>2</v>
      </c>
      <c r="H4922">
        <v>3</v>
      </c>
      <c r="I4922">
        <v>3</v>
      </c>
      <c r="J4922">
        <v>1</v>
      </c>
    </row>
    <row r="4923" spans="7:10">
      <c r="G4923">
        <v>2</v>
      </c>
      <c r="H4923">
        <v>3</v>
      </c>
      <c r="I4923">
        <v>3</v>
      </c>
      <c r="J4923">
        <v>2</v>
      </c>
    </row>
    <row r="4924" spans="7:10">
      <c r="G4924">
        <v>2</v>
      </c>
      <c r="H4924">
        <v>3</v>
      </c>
      <c r="I4924">
        <v>4</v>
      </c>
      <c r="J4924">
        <v>1</v>
      </c>
    </row>
    <row r="4925" spans="7:10">
      <c r="G4925">
        <v>2</v>
      </c>
      <c r="H4925">
        <v>3</v>
      </c>
      <c r="I4925">
        <v>4</v>
      </c>
      <c r="J4925">
        <v>2</v>
      </c>
    </row>
    <row r="4926" spans="7:10">
      <c r="G4926">
        <v>2</v>
      </c>
      <c r="H4926">
        <v>3</v>
      </c>
      <c r="I4926">
        <v>5</v>
      </c>
      <c r="J4926">
        <v>1</v>
      </c>
    </row>
    <row r="4927" spans="7:10">
      <c r="G4927">
        <v>2</v>
      </c>
      <c r="H4927">
        <v>3</v>
      </c>
      <c r="I4927">
        <v>5</v>
      </c>
      <c r="J4927">
        <v>2</v>
      </c>
    </row>
    <row r="4928" spans="7:10">
      <c r="G4928">
        <v>3</v>
      </c>
      <c r="H4928">
        <v>1</v>
      </c>
      <c r="I4928">
        <v>3</v>
      </c>
      <c r="J4928">
        <v>1</v>
      </c>
    </row>
    <row r="4929" spans="7:10">
      <c r="G4929">
        <v>3</v>
      </c>
      <c r="H4929">
        <v>1</v>
      </c>
      <c r="I4929">
        <v>3</v>
      </c>
      <c r="J4929">
        <v>2</v>
      </c>
    </row>
    <row r="4930" spans="7:10">
      <c r="G4930">
        <v>3</v>
      </c>
      <c r="H4930">
        <v>1</v>
      </c>
      <c r="I4930">
        <v>4</v>
      </c>
      <c r="J4930">
        <v>1</v>
      </c>
    </row>
    <row r="4931" spans="7:10">
      <c r="G4931">
        <v>3</v>
      </c>
      <c r="H4931">
        <v>1</v>
      </c>
      <c r="I4931">
        <v>4</v>
      </c>
      <c r="J4931">
        <v>2</v>
      </c>
    </row>
    <row r="4932" spans="7:10">
      <c r="G4932">
        <v>3</v>
      </c>
      <c r="H4932">
        <v>1</v>
      </c>
      <c r="I4932">
        <v>5</v>
      </c>
      <c r="J4932">
        <v>1</v>
      </c>
    </row>
    <row r="4933" spans="7:10">
      <c r="G4933">
        <v>3</v>
      </c>
      <c r="H4933">
        <v>1</v>
      </c>
      <c r="I4933">
        <v>5</v>
      </c>
      <c r="J4933">
        <v>2</v>
      </c>
    </row>
    <row r="4934" spans="7:10">
      <c r="G4934">
        <v>3</v>
      </c>
      <c r="H4934">
        <v>2</v>
      </c>
      <c r="I4934">
        <v>1</v>
      </c>
      <c r="J4934">
        <v>1</v>
      </c>
    </row>
    <row r="4935" spans="7:10">
      <c r="G4935">
        <v>3</v>
      </c>
      <c r="H4935">
        <v>2</v>
      </c>
      <c r="I4935">
        <v>1</v>
      </c>
      <c r="J4935">
        <v>2</v>
      </c>
    </row>
    <row r="4936" spans="7:10">
      <c r="G4936">
        <v>3</v>
      </c>
      <c r="H4936">
        <v>2</v>
      </c>
      <c r="I4936">
        <v>2</v>
      </c>
      <c r="J4936">
        <v>1</v>
      </c>
    </row>
    <row r="4937" spans="7:10">
      <c r="G4937">
        <v>3</v>
      </c>
      <c r="H4937">
        <v>2</v>
      </c>
      <c r="I4937">
        <v>2</v>
      </c>
      <c r="J4937">
        <v>2</v>
      </c>
    </row>
    <row r="4938" spans="7:10">
      <c r="G4938">
        <v>3</v>
      </c>
      <c r="H4938">
        <v>2</v>
      </c>
      <c r="I4938">
        <v>3</v>
      </c>
      <c r="J4938">
        <v>1</v>
      </c>
    </row>
    <row r="4939" spans="7:10">
      <c r="G4939">
        <v>3</v>
      </c>
      <c r="H4939">
        <v>2</v>
      </c>
      <c r="I4939">
        <v>3</v>
      </c>
      <c r="J4939">
        <v>2</v>
      </c>
    </row>
    <row r="4940" spans="7:10">
      <c r="G4940">
        <v>3</v>
      </c>
      <c r="H4940">
        <v>2</v>
      </c>
      <c r="I4940">
        <v>4</v>
      </c>
      <c r="J4940">
        <v>1</v>
      </c>
    </row>
    <row r="4941" spans="7:10">
      <c r="G4941">
        <v>3</v>
      </c>
      <c r="H4941">
        <v>2</v>
      </c>
      <c r="I4941">
        <v>4</v>
      </c>
      <c r="J4941">
        <v>2</v>
      </c>
    </row>
    <row r="4942" spans="7:10">
      <c r="G4942">
        <v>3</v>
      </c>
      <c r="H4942">
        <v>2</v>
      </c>
      <c r="I4942">
        <v>5</v>
      </c>
      <c r="J4942">
        <v>1</v>
      </c>
    </row>
    <row r="4943" spans="7:10">
      <c r="G4943">
        <v>3</v>
      </c>
      <c r="H4943">
        <v>2</v>
      </c>
      <c r="I4943">
        <v>5</v>
      </c>
      <c r="J4943">
        <v>2</v>
      </c>
    </row>
    <row r="4944" spans="7:10">
      <c r="G4944">
        <v>3</v>
      </c>
      <c r="H4944">
        <v>3</v>
      </c>
      <c r="I4944">
        <v>1</v>
      </c>
      <c r="J4944">
        <v>1</v>
      </c>
    </row>
    <row r="4945" spans="7:10">
      <c r="G4945">
        <v>3</v>
      </c>
      <c r="H4945">
        <v>3</v>
      </c>
      <c r="I4945">
        <v>1</v>
      </c>
      <c r="J4945">
        <v>2</v>
      </c>
    </row>
    <row r="4946" spans="7:10">
      <c r="G4946">
        <v>3</v>
      </c>
      <c r="H4946">
        <v>3</v>
      </c>
      <c r="I4946">
        <v>2</v>
      </c>
      <c r="J4946">
        <v>1</v>
      </c>
    </row>
    <row r="4947" spans="7:10">
      <c r="G4947">
        <v>3</v>
      </c>
      <c r="H4947">
        <v>3</v>
      </c>
      <c r="I4947">
        <v>2</v>
      </c>
      <c r="J4947">
        <v>2</v>
      </c>
    </row>
    <row r="4948" spans="7:10">
      <c r="G4948">
        <v>3</v>
      </c>
      <c r="H4948">
        <v>3</v>
      </c>
      <c r="I4948">
        <v>3</v>
      </c>
      <c r="J4948">
        <v>1</v>
      </c>
    </row>
    <row r="4949" spans="7:10">
      <c r="G4949">
        <v>3</v>
      </c>
      <c r="H4949">
        <v>3</v>
      </c>
      <c r="I4949">
        <v>3</v>
      </c>
      <c r="J4949">
        <v>2</v>
      </c>
    </row>
    <row r="4950" spans="7:10">
      <c r="G4950">
        <v>3</v>
      </c>
      <c r="H4950">
        <v>3</v>
      </c>
      <c r="I4950">
        <v>4</v>
      </c>
      <c r="J4950">
        <v>1</v>
      </c>
    </row>
    <row r="4951" spans="7:10">
      <c r="G4951">
        <v>3</v>
      </c>
      <c r="H4951">
        <v>3</v>
      </c>
      <c r="I4951">
        <v>4</v>
      </c>
      <c r="J4951">
        <v>2</v>
      </c>
    </row>
    <row r="4952" spans="7:10">
      <c r="G4952">
        <v>3</v>
      </c>
      <c r="H4952">
        <v>3</v>
      </c>
      <c r="I4952">
        <v>5</v>
      </c>
      <c r="J4952">
        <v>1</v>
      </c>
    </row>
    <row r="4953" spans="7:10">
      <c r="G4953">
        <v>3</v>
      </c>
      <c r="H4953">
        <v>3</v>
      </c>
      <c r="I4953">
        <v>5</v>
      </c>
      <c r="J4953">
        <v>2</v>
      </c>
    </row>
    <row r="4954" spans="7:10">
      <c r="G4954">
        <v>4</v>
      </c>
      <c r="H4954">
        <v>1</v>
      </c>
      <c r="I4954">
        <v>3</v>
      </c>
      <c r="J4954">
        <v>1</v>
      </c>
    </row>
    <row r="4955" spans="7:10">
      <c r="G4955">
        <v>4</v>
      </c>
      <c r="H4955">
        <v>1</v>
      </c>
      <c r="I4955">
        <v>3</v>
      </c>
      <c r="J4955">
        <v>2</v>
      </c>
    </row>
    <row r="4956" spans="7:10">
      <c r="G4956">
        <v>4</v>
      </c>
      <c r="H4956">
        <v>1</v>
      </c>
      <c r="I4956">
        <v>4</v>
      </c>
      <c r="J4956">
        <v>1</v>
      </c>
    </row>
    <row r="4957" spans="7:10">
      <c r="G4957">
        <v>4</v>
      </c>
      <c r="H4957">
        <v>1</v>
      </c>
      <c r="I4957">
        <v>4</v>
      </c>
      <c r="J4957">
        <v>2</v>
      </c>
    </row>
    <row r="4958" spans="7:10">
      <c r="G4958">
        <v>4</v>
      </c>
      <c r="H4958">
        <v>1</v>
      </c>
      <c r="I4958">
        <v>5</v>
      </c>
      <c r="J4958">
        <v>1</v>
      </c>
    </row>
    <row r="4959" spans="7:10">
      <c r="G4959">
        <v>4</v>
      </c>
      <c r="H4959">
        <v>1</v>
      </c>
      <c r="I4959">
        <v>5</v>
      </c>
      <c r="J4959">
        <v>2</v>
      </c>
    </row>
    <row r="4960" spans="7:10">
      <c r="G4960">
        <v>4</v>
      </c>
      <c r="H4960">
        <v>2</v>
      </c>
      <c r="I4960">
        <v>1</v>
      </c>
      <c r="J4960">
        <v>1</v>
      </c>
    </row>
    <row r="4961" spans="7:10">
      <c r="G4961">
        <v>4</v>
      </c>
      <c r="H4961">
        <v>2</v>
      </c>
      <c r="I4961">
        <v>1</v>
      </c>
      <c r="J4961">
        <v>2</v>
      </c>
    </row>
    <row r="4962" spans="7:10">
      <c r="G4962">
        <v>4</v>
      </c>
      <c r="H4962">
        <v>2</v>
      </c>
      <c r="I4962">
        <v>2</v>
      </c>
      <c r="J4962">
        <v>1</v>
      </c>
    </row>
    <row r="4963" spans="7:10">
      <c r="G4963">
        <v>4</v>
      </c>
      <c r="H4963">
        <v>2</v>
      </c>
      <c r="I4963">
        <v>2</v>
      </c>
      <c r="J4963">
        <v>2</v>
      </c>
    </row>
    <row r="4964" spans="7:10">
      <c r="G4964">
        <v>4</v>
      </c>
      <c r="H4964">
        <v>2</v>
      </c>
      <c r="I4964">
        <v>3</v>
      </c>
      <c r="J4964">
        <v>1</v>
      </c>
    </row>
    <row r="4965" spans="7:10">
      <c r="G4965">
        <v>4</v>
      </c>
      <c r="H4965">
        <v>2</v>
      </c>
      <c r="I4965">
        <v>3</v>
      </c>
      <c r="J4965">
        <v>2</v>
      </c>
    </row>
    <row r="4966" spans="7:10">
      <c r="G4966">
        <v>4</v>
      </c>
      <c r="H4966">
        <v>2</v>
      </c>
      <c r="I4966">
        <v>4</v>
      </c>
      <c r="J4966">
        <v>1</v>
      </c>
    </row>
    <row r="4967" spans="7:10">
      <c r="G4967">
        <v>4</v>
      </c>
      <c r="H4967">
        <v>2</v>
      </c>
      <c r="I4967">
        <v>4</v>
      </c>
      <c r="J4967">
        <v>2</v>
      </c>
    </row>
    <row r="4968" spans="7:10">
      <c r="G4968">
        <v>4</v>
      </c>
      <c r="H4968">
        <v>2</v>
      </c>
      <c r="I4968">
        <v>5</v>
      </c>
      <c r="J4968">
        <v>1</v>
      </c>
    </row>
    <row r="4969" spans="7:10">
      <c r="G4969">
        <v>4</v>
      </c>
      <c r="H4969">
        <v>2</v>
      </c>
      <c r="I4969">
        <v>5</v>
      </c>
      <c r="J4969">
        <v>2</v>
      </c>
    </row>
    <row r="4970" spans="7:10">
      <c r="G4970">
        <v>4</v>
      </c>
      <c r="H4970">
        <v>3</v>
      </c>
      <c r="I4970">
        <v>1</v>
      </c>
      <c r="J4970">
        <v>1</v>
      </c>
    </row>
    <row r="4971" spans="7:10">
      <c r="G4971">
        <v>4</v>
      </c>
      <c r="H4971">
        <v>3</v>
      </c>
      <c r="I4971">
        <v>1</v>
      </c>
      <c r="J4971">
        <v>2</v>
      </c>
    </row>
    <row r="4972" spans="7:10">
      <c r="G4972">
        <v>4</v>
      </c>
      <c r="H4972">
        <v>3</v>
      </c>
      <c r="I4972">
        <v>2</v>
      </c>
      <c r="J4972">
        <v>1</v>
      </c>
    </row>
    <row r="4973" spans="7:10">
      <c r="G4973">
        <v>4</v>
      </c>
      <c r="H4973">
        <v>3</v>
      </c>
      <c r="I4973">
        <v>2</v>
      </c>
      <c r="J4973">
        <v>2</v>
      </c>
    </row>
    <row r="4974" spans="7:10">
      <c r="G4974">
        <v>4</v>
      </c>
      <c r="H4974">
        <v>3</v>
      </c>
      <c r="I4974">
        <v>3</v>
      </c>
      <c r="J4974">
        <v>1</v>
      </c>
    </row>
    <row r="4975" spans="7:10">
      <c r="G4975">
        <v>4</v>
      </c>
      <c r="H4975">
        <v>3</v>
      </c>
      <c r="I4975">
        <v>3</v>
      </c>
      <c r="J4975">
        <v>2</v>
      </c>
    </row>
    <row r="4976" spans="7:10">
      <c r="G4976">
        <v>4</v>
      </c>
      <c r="H4976">
        <v>3</v>
      </c>
      <c r="I4976">
        <v>4</v>
      </c>
      <c r="J4976">
        <v>1</v>
      </c>
    </row>
    <row r="4977" spans="7:10">
      <c r="G4977">
        <v>4</v>
      </c>
      <c r="H4977">
        <v>3</v>
      </c>
      <c r="I4977">
        <v>4</v>
      </c>
      <c r="J4977">
        <v>2</v>
      </c>
    </row>
    <row r="4978" spans="7:10">
      <c r="G4978">
        <v>4</v>
      </c>
      <c r="H4978">
        <v>3</v>
      </c>
      <c r="I4978">
        <v>5</v>
      </c>
      <c r="J4978">
        <v>1</v>
      </c>
    </row>
    <row r="4979" spans="7:10">
      <c r="G4979">
        <v>4</v>
      </c>
      <c r="H4979">
        <v>3</v>
      </c>
      <c r="I4979">
        <v>5</v>
      </c>
      <c r="J4979">
        <v>2</v>
      </c>
    </row>
    <row r="4980" spans="7:10">
      <c r="G4980">
        <v>2</v>
      </c>
      <c r="H4980">
        <v>1</v>
      </c>
      <c r="I4980">
        <v>3</v>
      </c>
      <c r="J4980">
        <v>1</v>
      </c>
    </row>
    <row r="4981" spans="7:10">
      <c r="G4981">
        <v>2</v>
      </c>
      <c r="H4981">
        <v>1</v>
      </c>
      <c r="I4981">
        <v>3</v>
      </c>
      <c r="J4981">
        <v>2</v>
      </c>
    </row>
    <row r="4982" spans="7:10">
      <c r="G4982">
        <v>2</v>
      </c>
      <c r="H4982">
        <v>1</v>
      </c>
      <c r="I4982">
        <v>4</v>
      </c>
      <c r="J4982">
        <v>1</v>
      </c>
    </row>
    <row r="4983" spans="7:10">
      <c r="G4983">
        <v>2</v>
      </c>
      <c r="H4983">
        <v>1</v>
      </c>
      <c r="I4983">
        <v>4</v>
      </c>
      <c r="J4983">
        <v>2</v>
      </c>
    </row>
    <row r="4984" spans="7:10">
      <c r="G4984">
        <v>2</v>
      </c>
      <c r="H4984">
        <v>1</v>
      </c>
      <c r="I4984">
        <v>5</v>
      </c>
      <c r="J4984">
        <v>1</v>
      </c>
    </row>
    <row r="4985" spans="7:10">
      <c r="G4985">
        <v>2</v>
      </c>
      <c r="H4985">
        <v>1</v>
      </c>
      <c r="I4985">
        <v>5</v>
      </c>
      <c r="J4985">
        <v>2</v>
      </c>
    </row>
    <row r="4986" spans="7:10">
      <c r="G4986">
        <v>2</v>
      </c>
      <c r="H4986">
        <v>2</v>
      </c>
      <c r="I4986">
        <v>1</v>
      </c>
      <c r="J4986">
        <v>1</v>
      </c>
    </row>
    <row r="4987" spans="7:10">
      <c r="G4987">
        <v>2</v>
      </c>
      <c r="H4987">
        <v>2</v>
      </c>
      <c r="I4987">
        <v>1</v>
      </c>
      <c r="J4987">
        <v>2</v>
      </c>
    </row>
    <row r="4988" spans="7:10">
      <c r="G4988">
        <v>2</v>
      </c>
      <c r="H4988">
        <v>2</v>
      </c>
      <c r="I4988">
        <v>2</v>
      </c>
      <c r="J4988">
        <v>1</v>
      </c>
    </row>
    <row r="4989" spans="7:10">
      <c r="G4989">
        <v>2</v>
      </c>
      <c r="H4989">
        <v>2</v>
      </c>
      <c r="I4989">
        <v>2</v>
      </c>
      <c r="J4989">
        <v>2</v>
      </c>
    </row>
    <row r="4990" spans="7:10">
      <c r="G4990">
        <v>2</v>
      </c>
      <c r="H4990">
        <v>2</v>
      </c>
      <c r="I4990">
        <v>3</v>
      </c>
      <c r="J4990">
        <v>1</v>
      </c>
    </row>
    <row r="4991" spans="7:10">
      <c r="G4991">
        <v>2</v>
      </c>
      <c r="H4991">
        <v>2</v>
      </c>
      <c r="I4991">
        <v>3</v>
      </c>
      <c r="J4991">
        <v>2</v>
      </c>
    </row>
    <row r="4992" spans="7:10">
      <c r="G4992">
        <v>2</v>
      </c>
      <c r="H4992">
        <v>2</v>
      </c>
      <c r="I4992">
        <v>4</v>
      </c>
      <c r="J4992">
        <v>1</v>
      </c>
    </row>
    <row r="4993" spans="7:10">
      <c r="G4993">
        <v>2</v>
      </c>
      <c r="H4993">
        <v>2</v>
      </c>
      <c r="I4993">
        <v>4</v>
      </c>
      <c r="J4993">
        <v>2</v>
      </c>
    </row>
    <row r="4994" spans="7:10">
      <c r="G4994">
        <v>2</v>
      </c>
      <c r="H4994">
        <v>2</v>
      </c>
      <c r="I4994">
        <v>5</v>
      </c>
      <c r="J4994">
        <v>1</v>
      </c>
    </row>
    <row r="4995" spans="7:10">
      <c r="G4995">
        <v>2</v>
      </c>
      <c r="H4995">
        <v>2</v>
      </c>
      <c r="I4995">
        <v>5</v>
      </c>
      <c r="J4995">
        <v>2</v>
      </c>
    </row>
    <row r="4996" spans="7:10">
      <c r="G4996">
        <v>2</v>
      </c>
      <c r="H4996">
        <v>3</v>
      </c>
      <c r="I4996">
        <v>1</v>
      </c>
      <c r="J4996">
        <v>1</v>
      </c>
    </row>
    <row r="4997" spans="7:10">
      <c r="G4997">
        <v>2</v>
      </c>
      <c r="H4997">
        <v>3</v>
      </c>
      <c r="I4997">
        <v>1</v>
      </c>
      <c r="J4997">
        <v>2</v>
      </c>
    </row>
    <row r="4998" spans="7:10">
      <c r="G4998">
        <v>2</v>
      </c>
      <c r="H4998">
        <v>3</v>
      </c>
      <c r="I4998">
        <v>2</v>
      </c>
      <c r="J4998">
        <v>1</v>
      </c>
    </row>
    <row r="4999" spans="7:10">
      <c r="G4999">
        <v>2</v>
      </c>
      <c r="H4999">
        <v>3</v>
      </c>
      <c r="I4999">
        <v>2</v>
      </c>
      <c r="J4999">
        <v>2</v>
      </c>
    </row>
    <row r="5000" spans="7:10">
      <c r="G5000">
        <v>2</v>
      </c>
      <c r="H5000">
        <v>3</v>
      </c>
      <c r="I5000">
        <v>3</v>
      </c>
      <c r="J5000">
        <v>1</v>
      </c>
    </row>
    <row r="5001" spans="7:10">
      <c r="G5001">
        <v>2</v>
      </c>
      <c r="H5001">
        <v>3</v>
      </c>
      <c r="I5001">
        <v>3</v>
      </c>
      <c r="J5001">
        <v>2</v>
      </c>
    </row>
    <row r="5002" spans="7:10">
      <c r="G5002">
        <v>2</v>
      </c>
      <c r="H5002">
        <v>3</v>
      </c>
      <c r="I5002">
        <v>4</v>
      </c>
      <c r="J5002">
        <v>1</v>
      </c>
    </row>
    <row r="5003" spans="7:10">
      <c r="G5003">
        <v>2</v>
      </c>
      <c r="H5003">
        <v>3</v>
      </c>
      <c r="I5003">
        <v>4</v>
      </c>
      <c r="J5003">
        <v>2</v>
      </c>
    </row>
    <row r="5004" spans="7:10">
      <c r="G5004">
        <v>2</v>
      </c>
      <c r="H5004">
        <v>3</v>
      </c>
      <c r="I5004">
        <v>5</v>
      </c>
      <c r="J5004">
        <v>1</v>
      </c>
    </row>
    <row r="5005" spans="7:10">
      <c r="G5005">
        <v>2</v>
      </c>
      <c r="H5005">
        <v>3</v>
      </c>
      <c r="I5005">
        <v>5</v>
      </c>
      <c r="J5005">
        <v>2</v>
      </c>
    </row>
    <row r="5006" spans="7:10">
      <c r="G5006">
        <v>3</v>
      </c>
      <c r="H5006">
        <v>1</v>
      </c>
      <c r="I5006">
        <v>3</v>
      </c>
      <c r="J5006">
        <v>1</v>
      </c>
    </row>
    <row r="5007" spans="7:10">
      <c r="G5007">
        <v>3</v>
      </c>
      <c r="H5007">
        <v>1</v>
      </c>
      <c r="I5007">
        <v>3</v>
      </c>
      <c r="J5007">
        <v>2</v>
      </c>
    </row>
    <row r="5008" spans="7:10">
      <c r="G5008">
        <v>3</v>
      </c>
      <c r="H5008">
        <v>1</v>
      </c>
      <c r="I5008">
        <v>4</v>
      </c>
      <c r="J5008">
        <v>1</v>
      </c>
    </row>
    <row r="5009" spans="7:10">
      <c r="G5009">
        <v>3</v>
      </c>
      <c r="H5009">
        <v>1</v>
      </c>
      <c r="I5009">
        <v>4</v>
      </c>
      <c r="J5009">
        <v>2</v>
      </c>
    </row>
    <row r="5010" spans="7:10">
      <c r="G5010">
        <v>3</v>
      </c>
      <c r="H5010">
        <v>1</v>
      </c>
      <c r="I5010">
        <v>5</v>
      </c>
      <c r="J5010">
        <v>1</v>
      </c>
    </row>
    <row r="5011" spans="7:10">
      <c r="G5011">
        <v>3</v>
      </c>
      <c r="H5011">
        <v>1</v>
      </c>
      <c r="I5011">
        <v>5</v>
      </c>
      <c r="J5011">
        <v>2</v>
      </c>
    </row>
    <row r="5012" spans="7:10">
      <c r="G5012">
        <v>3</v>
      </c>
      <c r="H5012">
        <v>2</v>
      </c>
      <c r="I5012">
        <v>1</v>
      </c>
      <c r="J5012">
        <v>1</v>
      </c>
    </row>
    <row r="5013" spans="7:10">
      <c r="G5013">
        <v>3</v>
      </c>
      <c r="H5013">
        <v>2</v>
      </c>
      <c r="I5013">
        <v>1</v>
      </c>
      <c r="J5013">
        <v>2</v>
      </c>
    </row>
    <row r="5014" spans="7:10">
      <c r="G5014">
        <v>3</v>
      </c>
      <c r="H5014">
        <v>2</v>
      </c>
      <c r="I5014">
        <v>2</v>
      </c>
      <c r="J5014">
        <v>1</v>
      </c>
    </row>
    <row r="5015" spans="7:10">
      <c r="G5015">
        <v>3</v>
      </c>
      <c r="H5015">
        <v>2</v>
      </c>
      <c r="I5015">
        <v>2</v>
      </c>
      <c r="J5015">
        <v>2</v>
      </c>
    </row>
    <row r="5016" spans="7:10">
      <c r="G5016">
        <v>3</v>
      </c>
      <c r="H5016">
        <v>2</v>
      </c>
      <c r="I5016">
        <v>3</v>
      </c>
      <c r="J5016">
        <v>1</v>
      </c>
    </row>
    <row r="5017" spans="7:10">
      <c r="G5017">
        <v>3</v>
      </c>
      <c r="H5017">
        <v>2</v>
      </c>
      <c r="I5017">
        <v>3</v>
      </c>
      <c r="J5017">
        <v>2</v>
      </c>
    </row>
    <row r="5018" spans="7:10">
      <c r="G5018">
        <v>3</v>
      </c>
      <c r="H5018">
        <v>2</v>
      </c>
      <c r="I5018">
        <v>4</v>
      </c>
      <c r="J5018">
        <v>1</v>
      </c>
    </row>
    <row r="5019" spans="7:10">
      <c r="G5019">
        <v>3</v>
      </c>
      <c r="H5019">
        <v>2</v>
      </c>
      <c r="I5019">
        <v>4</v>
      </c>
      <c r="J5019">
        <v>2</v>
      </c>
    </row>
    <row r="5020" spans="7:10">
      <c r="G5020">
        <v>3</v>
      </c>
      <c r="H5020">
        <v>2</v>
      </c>
      <c r="I5020">
        <v>5</v>
      </c>
      <c r="J5020">
        <v>1</v>
      </c>
    </row>
    <row r="5021" spans="7:10">
      <c r="G5021">
        <v>3</v>
      </c>
      <c r="H5021">
        <v>2</v>
      </c>
      <c r="I5021">
        <v>5</v>
      </c>
      <c r="J5021">
        <v>2</v>
      </c>
    </row>
    <row r="5022" spans="7:10">
      <c r="G5022">
        <v>3</v>
      </c>
      <c r="H5022">
        <v>3</v>
      </c>
      <c r="I5022">
        <v>1</v>
      </c>
      <c r="J5022">
        <v>1</v>
      </c>
    </row>
    <row r="5023" spans="7:10">
      <c r="G5023">
        <v>3</v>
      </c>
      <c r="H5023">
        <v>3</v>
      </c>
      <c r="I5023">
        <v>1</v>
      </c>
      <c r="J5023">
        <v>2</v>
      </c>
    </row>
    <row r="5024" spans="7:10">
      <c r="G5024">
        <v>3</v>
      </c>
      <c r="H5024">
        <v>3</v>
      </c>
      <c r="I5024">
        <v>2</v>
      </c>
      <c r="J5024">
        <v>1</v>
      </c>
    </row>
    <row r="5025" spans="7:10">
      <c r="G5025">
        <v>3</v>
      </c>
      <c r="H5025">
        <v>3</v>
      </c>
      <c r="I5025">
        <v>2</v>
      </c>
      <c r="J5025">
        <v>2</v>
      </c>
    </row>
    <row r="5026" spans="7:10">
      <c r="G5026">
        <v>3</v>
      </c>
      <c r="H5026">
        <v>3</v>
      </c>
      <c r="I5026">
        <v>3</v>
      </c>
      <c r="J5026">
        <v>1</v>
      </c>
    </row>
    <row r="5027" spans="7:10">
      <c r="G5027">
        <v>3</v>
      </c>
      <c r="H5027">
        <v>3</v>
      </c>
      <c r="I5027">
        <v>3</v>
      </c>
      <c r="J5027">
        <v>2</v>
      </c>
    </row>
    <row r="5028" spans="7:10">
      <c r="G5028">
        <v>3</v>
      </c>
      <c r="H5028">
        <v>3</v>
      </c>
      <c r="I5028">
        <v>4</v>
      </c>
      <c r="J5028">
        <v>1</v>
      </c>
    </row>
    <row r="5029" spans="7:10">
      <c r="G5029">
        <v>3</v>
      </c>
      <c r="H5029">
        <v>3</v>
      </c>
      <c r="I5029">
        <v>4</v>
      </c>
      <c r="J5029">
        <v>2</v>
      </c>
    </row>
    <row r="5030" spans="7:10">
      <c r="G5030">
        <v>3</v>
      </c>
      <c r="H5030">
        <v>3</v>
      </c>
      <c r="I5030">
        <v>5</v>
      </c>
      <c r="J5030">
        <v>1</v>
      </c>
    </row>
    <row r="5031" spans="7:10">
      <c r="G5031">
        <v>3</v>
      </c>
      <c r="H5031">
        <v>3</v>
      </c>
      <c r="I5031">
        <v>5</v>
      </c>
      <c r="J5031">
        <v>2</v>
      </c>
    </row>
    <row r="5032" spans="7:10">
      <c r="G5032">
        <v>4</v>
      </c>
      <c r="H5032">
        <v>1</v>
      </c>
      <c r="I5032">
        <v>3</v>
      </c>
      <c r="J5032">
        <v>1</v>
      </c>
    </row>
    <row r="5033" spans="7:10">
      <c r="G5033">
        <v>4</v>
      </c>
      <c r="H5033">
        <v>1</v>
      </c>
      <c r="I5033">
        <v>3</v>
      </c>
      <c r="J5033">
        <v>2</v>
      </c>
    </row>
    <row r="5034" spans="7:10">
      <c r="G5034">
        <v>4</v>
      </c>
      <c r="H5034">
        <v>1</v>
      </c>
      <c r="I5034">
        <v>4</v>
      </c>
      <c r="J5034">
        <v>1</v>
      </c>
    </row>
    <row r="5035" spans="7:10">
      <c r="G5035">
        <v>4</v>
      </c>
      <c r="H5035">
        <v>1</v>
      </c>
      <c r="I5035">
        <v>4</v>
      </c>
      <c r="J5035">
        <v>2</v>
      </c>
    </row>
    <row r="5036" spans="7:10">
      <c r="G5036">
        <v>4</v>
      </c>
      <c r="H5036">
        <v>1</v>
      </c>
      <c r="I5036">
        <v>5</v>
      </c>
      <c r="J5036">
        <v>1</v>
      </c>
    </row>
    <row r="5037" spans="7:10">
      <c r="G5037">
        <v>4</v>
      </c>
      <c r="H5037">
        <v>1</v>
      </c>
      <c r="I5037">
        <v>5</v>
      </c>
      <c r="J5037">
        <v>2</v>
      </c>
    </row>
    <row r="5038" spans="7:10">
      <c r="G5038">
        <v>4</v>
      </c>
      <c r="H5038">
        <v>2</v>
      </c>
      <c r="I5038">
        <v>1</v>
      </c>
      <c r="J5038">
        <v>1</v>
      </c>
    </row>
    <row r="5039" spans="7:10">
      <c r="G5039">
        <v>4</v>
      </c>
      <c r="H5039">
        <v>2</v>
      </c>
      <c r="I5039">
        <v>1</v>
      </c>
      <c r="J5039">
        <v>2</v>
      </c>
    </row>
    <row r="5040" spans="7:10">
      <c r="G5040">
        <v>4</v>
      </c>
      <c r="H5040">
        <v>2</v>
      </c>
      <c r="I5040">
        <v>2</v>
      </c>
      <c r="J5040">
        <v>1</v>
      </c>
    </row>
    <row r="5041" spans="7:10">
      <c r="G5041">
        <v>4</v>
      </c>
      <c r="H5041">
        <v>2</v>
      </c>
      <c r="I5041">
        <v>2</v>
      </c>
      <c r="J5041">
        <v>2</v>
      </c>
    </row>
    <row r="5042" spans="7:10">
      <c r="G5042">
        <v>4</v>
      </c>
      <c r="H5042">
        <v>2</v>
      </c>
      <c r="I5042">
        <v>3</v>
      </c>
      <c r="J5042">
        <v>1</v>
      </c>
    </row>
    <row r="5043" spans="7:10">
      <c r="G5043">
        <v>4</v>
      </c>
      <c r="H5043">
        <v>2</v>
      </c>
      <c r="I5043">
        <v>3</v>
      </c>
      <c r="J5043">
        <v>2</v>
      </c>
    </row>
    <row r="5044" spans="7:10">
      <c r="G5044">
        <v>4</v>
      </c>
      <c r="H5044">
        <v>2</v>
      </c>
      <c r="I5044">
        <v>4</v>
      </c>
      <c r="J5044">
        <v>1</v>
      </c>
    </row>
    <row r="5045" spans="7:10">
      <c r="G5045">
        <v>4</v>
      </c>
      <c r="H5045">
        <v>2</v>
      </c>
      <c r="I5045">
        <v>4</v>
      </c>
      <c r="J5045">
        <v>2</v>
      </c>
    </row>
    <row r="5046" spans="7:10">
      <c r="G5046">
        <v>4</v>
      </c>
      <c r="H5046">
        <v>2</v>
      </c>
      <c r="I5046">
        <v>5</v>
      </c>
      <c r="J5046">
        <v>1</v>
      </c>
    </row>
    <row r="5047" spans="7:10">
      <c r="G5047">
        <v>4</v>
      </c>
      <c r="H5047">
        <v>2</v>
      </c>
      <c r="I5047">
        <v>5</v>
      </c>
      <c r="J5047">
        <v>2</v>
      </c>
    </row>
    <row r="5048" spans="7:10">
      <c r="G5048">
        <v>4</v>
      </c>
      <c r="H5048">
        <v>3</v>
      </c>
      <c r="I5048">
        <v>1</v>
      </c>
      <c r="J5048">
        <v>1</v>
      </c>
    </row>
    <row r="5049" spans="7:10">
      <c r="G5049">
        <v>4</v>
      </c>
      <c r="H5049">
        <v>3</v>
      </c>
      <c r="I5049">
        <v>1</v>
      </c>
      <c r="J5049">
        <v>2</v>
      </c>
    </row>
    <row r="5050" spans="7:10">
      <c r="G5050">
        <v>4</v>
      </c>
      <c r="H5050">
        <v>3</v>
      </c>
      <c r="I5050">
        <v>2</v>
      </c>
      <c r="J5050">
        <v>1</v>
      </c>
    </row>
    <row r="5051" spans="7:10">
      <c r="G5051">
        <v>4</v>
      </c>
      <c r="H5051">
        <v>3</v>
      </c>
      <c r="I5051">
        <v>2</v>
      </c>
      <c r="J5051">
        <v>2</v>
      </c>
    </row>
    <row r="5052" spans="7:10">
      <c r="G5052">
        <v>4</v>
      </c>
      <c r="H5052">
        <v>3</v>
      </c>
      <c r="I5052">
        <v>3</v>
      </c>
      <c r="J5052">
        <v>1</v>
      </c>
    </row>
    <row r="5053" spans="7:10">
      <c r="G5053">
        <v>4</v>
      </c>
      <c r="H5053">
        <v>3</v>
      </c>
      <c r="I5053">
        <v>3</v>
      </c>
      <c r="J5053">
        <v>2</v>
      </c>
    </row>
    <row r="5054" spans="7:10">
      <c r="G5054">
        <v>4</v>
      </c>
      <c r="H5054">
        <v>3</v>
      </c>
      <c r="I5054">
        <v>4</v>
      </c>
      <c r="J5054">
        <v>1</v>
      </c>
    </row>
    <row r="5055" spans="7:10">
      <c r="G5055">
        <v>4</v>
      </c>
      <c r="H5055">
        <v>3</v>
      </c>
      <c r="I5055">
        <v>4</v>
      </c>
      <c r="J5055">
        <v>2</v>
      </c>
    </row>
    <row r="5056" spans="7:10">
      <c r="G5056">
        <v>4</v>
      </c>
      <c r="H5056">
        <v>3</v>
      </c>
      <c r="I5056">
        <v>5</v>
      </c>
      <c r="J5056">
        <v>1</v>
      </c>
    </row>
    <row r="5057" spans="7:10">
      <c r="G5057">
        <v>4</v>
      </c>
      <c r="H5057">
        <v>3</v>
      </c>
      <c r="I5057">
        <v>5</v>
      </c>
      <c r="J5057">
        <v>2</v>
      </c>
    </row>
    <row r="5058" spans="7:10">
      <c r="G5058">
        <v>1</v>
      </c>
      <c r="H5058">
        <v>2</v>
      </c>
      <c r="I5058">
        <v>1</v>
      </c>
      <c r="J5058">
        <v>1</v>
      </c>
    </row>
    <row r="5059" spans="7:10">
      <c r="G5059">
        <v>1</v>
      </c>
      <c r="H5059">
        <v>2</v>
      </c>
      <c r="I5059">
        <v>1</v>
      </c>
      <c r="J5059">
        <v>2</v>
      </c>
    </row>
    <row r="5060" spans="7:10">
      <c r="G5060">
        <v>1</v>
      </c>
      <c r="H5060">
        <v>2</v>
      </c>
      <c r="I5060">
        <v>2</v>
      </c>
      <c r="J5060">
        <v>1</v>
      </c>
    </row>
    <row r="5061" spans="7:10">
      <c r="G5061">
        <v>1</v>
      </c>
      <c r="H5061">
        <v>2</v>
      </c>
      <c r="I5061">
        <v>2</v>
      </c>
      <c r="J5061">
        <v>2</v>
      </c>
    </row>
    <row r="5062" spans="7:10">
      <c r="G5062">
        <v>1</v>
      </c>
      <c r="H5062">
        <v>2</v>
      </c>
      <c r="I5062">
        <v>3</v>
      </c>
      <c r="J5062">
        <v>1</v>
      </c>
    </row>
    <row r="5063" spans="7:10">
      <c r="G5063">
        <v>1</v>
      </c>
      <c r="H5063">
        <v>2</v>
      </c>
      <c r="I5063">
        <v>3</v>
      </c>
      <c r="J5063">
        <v>2</v>
      </c>
    </row>
    <row r="5064" spans="7:10">
      <c r="G5064">
        <v>1</v>
      </c>
      <c r="H5064">
        <v>2</v>
      </c>
      <c r="I5064">
        <v>4</v>
      </c>
      <c r="J5064">
        <v>1</v>
      </c>
    </row>
    <row r="5065" spans="7:10">
      <c r="G5065">
        <v>1</v>
      </c>
      <c r="H5065">
        <v>2</v>
      </c>
      <c r="I5065">
        <v>4</v>
      </c>
      <c r="J5065">
        <v>2</v>
      </c>
    </row>
    <row r="5066" spans="7:10">
      <c r="G5066">
        <v>1</v>
      </c>
      <c r="H5066">
        <v>2</v>
      </c>
      <c r="I5066">
        <v>5</v>
      </c>
      <c r="J5066">
        <v>1</v>
      </c>
    </row>
    <row r="5067" spans="7:10">
      <c r="G5067">
        <v>1</v>
      </c>
      <c r="H5067">
        <v>2</v>
      </c>
      <c r="I5067">
        <v>5</v>
      </c>
      <c r="J5067">
        <v>2</v>
      </c>
    </row>
    <row r="5068" spans="7:10">
      <c r="G5068">
        <v>1</v>
      </c>
      <c r="H5068">
        <v>3</v>
      </c>
      <c r="I5068">
        <v>1</v>
      </c>
      <c r="J5068">
        <v>1</v>
      </c>
    </row>
    <row r="5069" spans="7:10">
      <c r="G5069">
        <v>1</v>
      </c>
      <c r="H5069">
        <v>3</v>
      </c>
      <c r="I5069">
        <v>1</v>
      </c>
      <c r="J5069">
        <v>2</v>
      </c>
    </row>
    <row r="5070" spans="7:10">
      <c r="G5070">
        <v>1</v>
      </c>
      <c r="H5070">
        <v>3</v>
      </c>
      <c r="I5070">
        <v>2</v>
      </c>
      <c r="J5070">
        <v>1</v>
      </c>
    </row>
    <row r="5071" spans="7:10">
      <c r="G5071">
        <v>1</v>
      </c>
      <c r="H5071">
        <v>3</v>
      </c>
      <c r="I5071">
        <v>2</v>
      </c>
      <c r="J5071">
        <v>2</v>
      </c>
    </row>
    <row r="5072" spans="7:10">
      <c r="G5072">
        <v>1</v>
      </c>
      <c r="H5072">
        <v>3</v>
      </c>
      <c r="I5072">
        <v>3</v>
      </c>
      <c r="J5072">
        <v>1</v>
      </c>
    </row>
    <row r="5073" spans="7:10">
      <c r="G5073">
        <v>1</v>
      </c>
      <c r="H5073">
        <v>3</v>
      </c>
      <c r="I5073">
        <v>3</v>
      </c>
      <c r="J5073">
        <v>2</v>
      </c>
    </row>
    <row r="5074" spans="7:10">
      <c r="G5074">
        <v>1</v>
      </c>
      <c r="H5074">
        <v>3</v>
      </c>
      <c r="I5074">
        <v>4</v>
      </c>
      <c r="J5074">
        <v>1</v>
      </c>
    </row>
    <row r="5075" spans="7:10">
      <c r="G5075">
        <v>1</v>
      </c>
      <c r="H5075">
        <v>3</v>
      </c>
      <c r="I5075">
        <v>4</v>
      </c>
      <c r="J5075">
        <v>2</v>
      </c>
    </row>
    <row r="5076" spans="7:10">
      <c r="G5076">
        <v>1</v>
      </c>
      <c r="H5076">
        <v>3</v>
      </c>
      <c r="I5076">
        <v>5</v>
      </c>
      <c r="J5076">
        <v>1</v>
      </c>
    </row>
    <row r="5077" spans="7:10">
      <c r="G5077">
        <v>1</v>
      </c>
      <c r="H5077">
        <v>3</v>
      </c>
      <c r="I5077">
        <v>5</v>
      </c>
      <c r="J5077">
        <v>2</v>
      </c>
    </row>
    <row r="5078" spans="7:10">
      <c r="G5078">
        <v>2</v>
      </c>
      <c r="H5078">
        <v>1</v>
      </c>
      <c r="I5078">
        <v>3</v>
      </c>
      <c r="J5078">
        <v>1</v>
      </c>
    </row>
    <row r="5079" spans="7:10">
      <c r="G5079">
        <v>2</v>
      </c>
      <c r="H5079">
        <v>1</v>
      </c>
      <c r="I5079">
        <v>3</v>
      </c>
      <c r="J5079">
        <v>2</v>
      </c>
    </row>
    <row r="5080" spans="7:10">
      <c r="G5080">
        <v>2</v>
      </c>
      <c r="H5080">
        <v>1</v>
      </c>
      <c r="I5080">
        <v>4</v>
      </c>
      <c r="J5080">
        <v>1</v>
      </c>
    </row>
    <row r="5081" spans="7:10">
      <c r="G5081">
        <v>2</v>
      </c>
      <c r="H5081">
        <v>1</v>
      </c>
      <c r="I5081">
        <v>4</v>
      </c>
      <c r="J5081">
        <v>2</v>
      </c>
    </row>
    <row r="5082" spans="7:10">
      <c r="G5082">
        <v>2</v>
      </c>
      <c r="H5082">
        <v>1</v>
      </c>
      <c r="I5082">
        <v>5</v>
      </c>
      <c r="J5082">
        <v>1</v>
      </c>
    </row>
    <row r="5083" spans="7:10">
      <c r="G5083">
        <v>2</v>
      </c>
      <c r="H5083">
        <v>1</v>
      </c>
      <c r="I5083">
        <v>5</v>
      </c>
      <c r="J5083">
        <v>2</v>
      </c>
    </row>
    <row r="5084" spans="7:10">
      <c r="G5084">
        <v>2</v>
      </c>
      <c r="H5084">
        <v>2</v>
      </c>
      <c r="I5084">
        <v>1</v>
      </c>
      <c r="J5084">
        <v>1</v>
      </c>
    </row>
    <row r="5085" spans="7:10">
      <c r="G5085">
        <v>2</v>
      </c>
      <c r="H5085">
        <v>2</v>
      </c>
      <c r="I5085">
        <v>1</v>
      </c>
      <c r="J5085">
        <v>2</v>
      </c>
    </row>
    <row r="5086" spans="7:10">
      <c r="G5086">
        <v>2</v>
      </c>
      <c r="H5086">
        <v>2</v>
      </c>
      <c r="I5086">
        <v>2</v>
      </c>
      <c r="J5086">
        <v>1</v>
      </c>
    </row>
    <row r="5087" spans="7:10">
      <c r="G5087">
        <v>2</v>
      </c>
      <c r="H5087">
        <v>2</v>
      </c>
      <c r="I5087">
        <v>2</v>
      </c>
      <c r="J5087">
        <v>2</v>
      </c>
    </row>
    <row r="5088" spans="7:10">
      <c r="G5088">
        <v>2</v>
      </c>
      <c r="H5088">
        <v>2</v>
      </c>
      <c r="I5088">
        <v>3</v>
      </c>
      <c r="J5088">
        <v>1</v>
      </c>
    </row>
    <row r="5089" spans="7:10">
      <c r="G5089">
        <v>2</v>
      </c>
      <c r="H5089">
        <v>2</v>
      </c>
      <c r="I5089">
        <v>3</v>
      </c>
      <c r="J5089">
        <v>2</v>
      </c>
    </row>
    <row r="5090" spans="7:10">
      <c r="G5090">
        <v>2</v>
      </c>
      <c r="H5090">
        <v>2</v>
      </c>
      <c r="I5090">
        <v>4</v>
      </c>
      <c r="J5090">
        <v>1</v>
      </c>
    </row>
    <row r="5091" spans="7:10">
      <c r="G5091">
        <v>2</v>
      </c>
      <c r="H5091">
        <v>2</v>
      </c>
      <c r="I5091">
        <v>4</v>
      </c>
      <c r="J5091">
        <v>2</v>
      </c>
    </row>
    <row r="5092" spans="7:10">
      <c r="G5092">
        <v>2</v>
      </c>
      <c r="H5092">
        <v>2</v>
      </c>
      <c r="I5092">
        <v>5</v>
      </c>
      <c r="J5092">
        <v>1</v>
      </c>
    </row>
    <row r="5093" spans="7:10">
      <c r="G5093">
        <v>2</v>
      </c>
      <c r="H5093">
        <v>2</v>
      </c>
      <c r="I5093">
        <v>5</v>
      </c>
      <c r="J5093">
        <v>2</v>
      </c>
    </row>
    <row r="5094" spans="7:10">
      <c r="G5094">
        <v>2</v>
      </c>
      <c r="H5094">
        <v>3</v>
      </c>
      <c r="I5094">
        <v>1</v>
      </c>
      <c r="J5094">
        <v>1</v>
      </c>
    </row>
    <row r="5095" spans="7:10">
      <c r="G5095">
        <v>2</v>
      </c>
      <c r="H5095">
        <v>3</v>
      </c>
      <c r="I5095">
        <v>1</v>
      </c>
      <c r="J5095">
        <v>2</v>
      </c>
    </row>
    <row r="5096" spans="7:10">
      <c r="G5096">
        <v>2</v>
      </c>
      <c r="H5096">
        <v>3</v>
      </c>
      <c r="I5096">
        <v>2</v>
      </c>
      <c r="J5096">
        <v>1</v>
      </c>
    </row>
    <row r="5097" spans="7:10">
      <c r="G5097">
        <v>2</v>
      </c>
      <c r="H5097">
        <v>3</v>
      </c>
      <c r="I5097">
        <v>2</v>
      </c>
      <c r="J5097">
        <v>2</v>
      </c>
    </row>
    <row r="5098" spans="7:10">
      <c r="G5098">
        <v>2</v>
      </c>
      <c r="H5098">
        <v>3</v>
      </c>
      <c r="I5098">
        <v>3</v>
      </c>
      <c r="J5098">
        <v>1</v>
      </c>
    </row>
    <row r="5099" spans="7:10">
      <c r="G5099">
        <v>2</v>
      </c>
      <c r="H5099">
        <v>3</v>
      </c>
      <c r="I5099">
        <v>3</v>
      </c>
      <c r="J5099">
        <v>2</v>
      </c>
    </row>
    <row r="5100" spans="7:10">
      <c r="G5100">
        <v>2</v>
      </c>
      <c r="H5100">
        <v>3</v>
      </c>
      <c r="I5100">
        <v>4</v>
      </c>
      <c r="J5100">
        <v>1</v>
      </c>
    </row>
    <row r="5101" spans="7:10">
      <c r="G5101">
        <v>2</v>
      </c>
      <c r="H5101">
        <v>3</v>
      </c>
      <c r="I5101">
        <v>4</v>
      </c>
      <c r="J5101">
        <v>2</v>
      </c>
    </row>
    <row r="5102" spans="7:10">
      <c r="G5102">
        <v>2</v>
      </c>
      <c r="H5102">
        <v>3</v>
      </c>
      <c r="I5102">
        <v>5</v>
      </c>
      <c r="J5102">
        <v>1</v>
      </c>
    </row>
    <row r="5103" spans="7:10">
      <c r="G5103">
        <v>2</v>
      </c>
      <c r="H5103">
        <v>3</v>
      </c>
      <c r="I5103">
        <v>5</v>
      </c>
      <c r="J5103">
        <v>2</v>
      </c>
    </row>
    <row r="5104" spans="7:10">
      <c r="G5104">
        <v>3</v>
      </c>
      <c r="H5104">
        <v>1</v>
      </c>
      <c r="I5104">
        <v>3</v>
      </c>
      <c r="J5104">
        <v>1</v>
      </c>
    </row>
    <row r="5105" spans="7:10">
      <c r="G5105">
        <v>3</v>
      </c>
      <c r="H5105">
        <v>1</v>
      </c>
      <c r="I5105">
        <v>3</v>
      </c>
      <c r="J5105">
        <v>2</v>
      </c>
    </row>
    <row r="5106" spans="7:10">
      <c r="G5106">
        <v>3</v>
      </c>
      <c r="H5106">
        <v>1</v>
      </c>
      <c r="I5106">
        <v>4</v>
      </c>
      <c r="J5106">
        <v>1</v>
      </c>
    </row>
    <row r="5107" spans="7:10">
      <c r="G5107">
        <v>3</v>
      </c>
      <c r="H5107">
        <v>1</v>
      </c>
      <c r="I5107">
        <v>4</v>
      </c>
      <c r="J5107">
        <v>2</v>
      </c>
    </row>
    <row r="5108" spans="7:10">
      <c r="G5108">
        <v>3</v>
      </c>
      <c r="H5108">
        <v>1</v>
      </c>
      <c r="I5108">
        <v>5</v>
      </c>
      <c r="J5108">
        <v>1</v>
      </c>
    </row>
    <row r="5109" spans="7:10">
      <c r="G5109">
        <v>3</v>
      </c>
      <c r="H5109">
        <v>1</v>
      </c>
      <c r="I5109">
        <v>5</v>
      </c>
      <c r="J5109">
        <v>2</v>
      </c>
    </row>
    <row r="5110" spans="7:10">
      <c r="G5110">
        <v>3</v>
      </c>
      <c r="H5110">
        <v>2</v>
      </c>
      <c r="I5110">
        <v>1</v>
      </c>
      <c r="J5110">
        <v>1</v>
      </c>
    </row>
    <row r="5111" spans="7:10">
      <c r="G5111">
        <v>3</v>
      </c>
      <c r="H5111">
        <v>2</v>
      </c>
      <c r="I5111">
        <v>1</v>
      </c>
      <c r="J5111">
        <v>2</v>
      </c>
    </row>
    <row r="5112" spans="7:10">
      <c r="G5112">
        <v>3</v>
      </c>
      <c r="H5112">
        <v>2</v>
      </c>
      <c r="I5112">
        <v>2</v>
      </c>
      <c r="J5112">
        <v>1</v>
      </c>
    </row>
    <row r="5113" spans="7:10">
      <c r="G5113">
        <v>3</v>
      </c>
      <c r="H5113">
        <v>2</v>
      </c>
      <c r="I5113">
        <v>2</v>
      </c>
      <c r="J5113">
        <v>2</v>
      </c>
    </row>
    <row r="5114" spans="7:10">
      <c r="G5114">
        <v>3</v>
      </c>
      <c r="H5114">
        <v>2</v>
      </c>
      <c r="I5114">
        <v>3</v>
      </c>
      <c r="J5114">
        <v>1</v>
      </c>
    </row>
    <row r="5115" spans="7:10">
      <c r="G5115">
        <v>3</v>
      </c>
      <c r="H5115">
        <v>2</v>
      </c>
      <c r="I5115">
        <v>3</v>
      </c>
      <c r="J5115">
        <v>2</v>
      </c>
    </row>
    <row r="5116" spans="7:10">
      <c r="G5116">
        <v>3</v>
      </c>
      <c r="H5116">
        <v>2</v>
      </c>
      <c r="I5116">
        <v>4</v>
      </c>
      <c r="J5116">
        <v>1</v>
      </c>
    </row>
    <row r="5117" spans="7:10">
      <c r="G5117">
        <v>3</v>
      </c>
      <c r="H5117">
        <v>2</v>
      </c>
      <c r="I5117">
        <v>4</v>
      </c>
      <c r="J5117">
        <v>2</v>
      </c>
    </row>
    <row r="5118" spans="7:10">
      <c r="G5118">
        <v>3</v>
      </c>
      <c r="H5118">
        <v>2</v>
      </c>
      <c r="I5118">
        <v>5</v>
      </c>
      <c r="J5118">
        <v>1</v>
      </c>
    </row>
    <row r="5119" spans="7:10">
      <c r="G5119">
        <v>3</v>
      </c>
      <c r="H5119">
        <v>2</v>
      </c>
      <c r="I5119">
        <v>5</v>
      </c>
      <c r="J5119">
        <v>2</v>
      </c>
    </row>
    <row r="5120" spans="7:10">
      <c r="G5120">
        <v>3</v>
      </c>
      <c r="H5120">
        <v>3</v>
      </c>
      <c r="I5120">
        <v>1</v>
      </c>
      <c r="J5120">
        <v>1</v>
      </c>
    </row>
    <row r="5121" spans="7:10">
      <c r="G5121">
        <v>3</v>
      </c>
      <c r="H5121">
        <v>3</v>
      </c>
      <c r="I5121">
        <v>1</v>
      </c>
      <c r="J5121">
        <v>2</v>
      </c>
    </row>
    <row r="5122" spans="7:10">
      <c r="G5122">
        <v>3</v>
      </c>
      <c r="H5122">
        <v>3</v>
      </c>
      <c r="I5122">
        <v>2</v>
      </c>
      <c r="J5122">
        <v>1</v>
      </c>
    </row>
    <row r="5123" spans="7:10">
      <c r="G5123">
        <v>3</v>
      </c>
      <c r="H5123">
        <v>3</v>
      </c>
      <c r="I5123">
        <v>2</v>
      </c>
      <c r="J5123">
        <v>2</v>
      </c>
    </row>
    <row r="5124" spans="7:10">
      <c r="G5124">
        <v>3</v>
      </c>
      <c r="H5124">
        <v>3</v>
      </c>
      <c r="I5124">
        <v>3</v>
      </c>
      <c r="J5124">
        <v>1</v>
      </c>
    </row>
    <row r="5125" spans="7:10">
      <c r="G5125">
        <v>3</v>
      </c>
      <c r="H5125">
        <v>3</v>
      </c>
      <c r="I5125">
        <v>3</v>
      </c>
      <c r="J5125">
        <v>2</v>
      </c>
    </row>
    <row r="5126" spans="7:10">
      <c r="G5126">
        <v>3</v>
      </c>
      <c r="H5126">
        <v>3</v>
      </c>
      <c r="I5126">
        <v>4</v>
      </c>
      <c r="J5126">
        <v>1</v>
      </c>
    </row>
    <row r="5127" spans="7:10">
      <c r="G5127">
        <v>3</v>
      </c>
      <c r="H5127">
        <v>3</v>
      </c>
      <c r="I5127">
        <v>4</v>
      </c>
      <c r="J5127">
        <v>2</v>
      </c>
    </row>
    <row r="5128" spans="7:10">
      <c r="G5128">
        <v>3</v>
      </c>
      <c r="H5128">
        <v>3</v>
      </c>
      <c r="I5128">
        <v>5</v>
      </c>
      <c r="J5128">
        <v>1</v>
      </c>
    </row>
    <row r="5129" spans="7:10">
      <c r="G5129">
        <v>3</v>
      </c>
      <c r="H5129">
        <v>3</v>
      </c>
      <c r="I5129">
        <v>5</v>
      </c>
      <c r="J5129">
        <v>2</v>
      </c>
    </row>
    <row r="5130" spans="7:10">
      <c r="G5130">
        <v>4</v>
      </c>
      <c r="H5130">
        <v>1</v>
      </c>
      <c r="I5130">
        <v>3</v>
      </c>
      <c r="J5130">
        <v>1</v>
      </c>
    </row>
    <row r="5131" spans="7:10">
      <c r="G5131">
        <v>4</v>
      </c>
      <c r="H5131">
        <v>1</v>
      </c>
      <c r="I5131">
        <v>3</v>
      </c>
      <c r="J5131">
        <v>2</v>
      </c>
    </row>
    <row r="5132" spans="7:10">
      <c r="G5132">
        <v>4</v>
      </c>
      <c r="H5132">
        <v>1</v>
      </c>
      <c r="I5132">
        <v>4</v>
      </c>
      <c r="J5132">
        <v>1</v>
      </c>
    </row>
    <row r="5133" spans="7:10">
      <c r="G5133">
        <v>4</v>
      </c>
      <c r="H5133">
        <v>1</v>
      </c>
      <c r="I5133">
        <v>4</v>
      </c>
      <c r="J5133">
        <v>2</v>
      </c>
    </row>
    <row r="5134" spans="7:10">
      <c r="G5134">
        <v>4</v>
      </c>
      <c r="H5134">
        <v>1</v>
      </c>
      <c r="I5134">
        <v>5</v>
      </c>
      <c r="J5134">
        <v>1</v>
      </c>
    </row>
    <row r="5135" spans="7:10">
      <c r="G5135">
        <v>4</v>
      </c>
      <c r="H5135">
        <v>1</v>
      </c>
      <c r="I5135">
        <v>5</v>
      </c>
      <c r="J5135">
        <v>2</v>
      </c>
    </row>
    <row r="5136" spans="7:10">
      <c r="G5136">
        <v>4</v>
      </c>
      <c r="H5136">
        <v>2</v>
      </c>
      <c r="I5136">
        <v>1</v>
      </c>
      <c r="J5136">
        <v>1</v>
      </c>
    </row>
    <row r="5137" spans="7:10">
      <c r="G5137">
        <v>4</v>
      </c>
      <c r="H5137">
        <v>2</v>
      </c>
      <c r="I5137">
        <v>1</v>
      </c>
      <c r="J5137">
        <v>2</v>
      </c>
    </row>
    <row r="5138" spans="7:10">
      <c r="G5138">
        <v>4</v>
      </c>
      <c r="H5138">
        <v>2</v>
      </c>
      <c r="I5138">
        <v>2</v>
      </c>
      <c r="J5138">
        <v>1</v>
      </c>
    </row>
    <row r="5139" spans="7:10">
      <c r="G5139">
        <v>4</v>
      </c>
      <c r="H5139">
        <v>2</v>
      </c>
      <c r="I5139">
        <v>2</v>
      </c>
      <c r="J5139">
        <v>2</v>
      </c>
    </row>
    <row r="5140" spans="7:10">
      <c r="G5140">
        <v>4</v>
      </c>
      <c r="H5140">
        <v>2</v>
      </c>
      <c r="I5140">
        <v>3</v>
      </c>
      <c r="J5140">
        <v>1</v>
      </c>
    </row>
    <row r="5141" spans="7:10">
      <c r="G5141">
        <v>4</v>
      </c>
      <c r="H5141">
        <v>2</v>
      </c>
      <c r="I5141">
        <v>3</v>
      </c>
      <c r="J5141">
        <v>2</v>
      </c>
    </row>
    <row r="5142" spans="7:10">
      <c r="G5142">
        <v>4</v>
      </c>
      <c r="H5142">
        <v>2</v>
      </c>
      <c r="I5142">
        <v>4</v>
      </c>
      <c r="J5142">
        <v>1</v>
      </c>
    </row>
    <row r="5143" spans="7:10">
      <c r="G5143">
        <v>4</v>
      </c>
      <c r="H5143">
        <v>2</v>
      </c>
      <c r="I5143">
        <v>4</v>
      </c>
      <c r="J5143">
        <v>2</v>
      </c>
    </row>
    <row r="5144" spans="7:10">
      <c r="G5144">
        <v>4</v>
      </c>
      <c r="H5144">
        <v>2</v>
      </c>
      <c r="I5144">
        <v>5</v>
      </c>
      <c r="J5144">
        <v>1</v>
      </c>
    </row>
    <row r="5145" spans="7:10">
      <c r="G5145">
        <v>4</v>
      </c>
      <c r="H5145">
        <v>2</v>
      </c>
      <c r="I5145">
        <v>5</v>
      </c>
      <c r="J5145">
        <v>2</v>
      </c>
    </row>
    <row r="5146" spans="7:10">
      <c r="G5146">
        <v>4</v>
      </c>
      <c r="H5146">
        <v>3</v>
      </c>
      <c r="I5146">
        <v>1</v>
      </c>
      <c r="J5146">
        <v>1</v>
      </c>
    </row>
    <row r="5147" spans="7:10">
      <c r="G5147">
        <v>4</v>
      </c>
      <c r="H5147">
        <v>3</v>
      </c>
      <c r="I5147">
        <v>1</v>
      </c>
      <c r="J5147">
        <v>2</v>
      </c>
    </row>
    <row r="5148" spans="7:10">
      <c r="G5148">
        <v>4</v>
      </c>
      <c r="H5148">
        <v>3</v>
      </c>
      <c r="I5148">
        <v>2</v>
      </c>
      <c r="J5148">
        <v>1</v>
      </c>
    </row>
    <row r="5149" spans="7:10">
      <c r="G5149">
        <v>4</v>
      </c>
      <c r="H5149">
        <v>3</v>
      </c>
      <c r="I5149">
        <v>2</v>
      </c>
      <c r="J5149">
        <v>2</v>
      </c>
    </row>
    <row r="5150" spans="7:10">
      <c r="G5150">
        <v>4</v>
      </c>
      <c r="H5150">
        <v>3</v>
      </c>
      <c r="I5150">
        <v>3</v>
      </c>
      <c r="J5150">
        <v>1</v>
      </c>
    </row>
    <row r="5151" spans="7:10">
      <c r="G5151">
        <v>4</v>
      </c>
      <c r="H5151">
        <v>3</v>
      </c>
      <c r="I5151">
        <v>3</v>
      </c>
      <c r="J5151">
        <v>2</v>
      </c>
    </row>
    <row r="5152" spans="7:10">
      <c r="G5152">
        <v>4</v>
      </c>
      <c r="H5152">
        <v>3</v>
      </c>
      <c r="I5152">
        <v>4</v>
      </c>
      <c r="J5152">
        <v>1</v>
      </c>
    </row>
    <row r="5153" spans="7:10">
      <c r="G5153">
        <v>4</v>
      </c>
      <c r="H5153">
        <v>3</v>
      </c>
      <c r="I5153">
        <v>4</v>
      </c>
      <c r="J5153">
        <v>2</v>
      </c>
    </row>
    <row r="5154" spans="7:10">
      <c r="G5154">
        <v>4</v>
      </c>
      <c r="H5154">
        <v>3</v>
      </c>
      <c r="I5154">
        <v>5</v>
      </c>
      <c r="J5154">
        <v>1</v>
      </c>
    </row>
    <row r="5155" spans="7:10">
      <c r="G5155">
        <v>4</v>
      </c>
      <c r="H5155">
        <v>3</v>
      </c>
      <c r="I5155">
        <v>5</v>
      </c>
      <c r="J5155">
        <v>2</v>
      </c>
    </row>
    <row r="5156" spans="7:10">
      <c r="G5156">
        <v>1</v>
      </c>
      <c r="H5156">
        <v>2</v>
      </c>
      <c r="I5156">
        <v>1</v>
      </c>
      <c r="J5156">
        <v>1</v>
      </c>
    </row>
    <row r="5157" spans="7:10">
      <c r="G5157">
        <v>1</v>
      </c>
      <c r="H5157">
        <v>2</v>
      </c>
      <c r="I5157">
        <v>1</v>
      </c>
      <c r="J5157">
        <v>2</v>
      </c>
    </row>
    <row r="5158" spans="7:10">
      <c r="G5158">
        <v>1</v>
      </c>
      <c r="H5158">
        <v>2</v>
      </c>
      <c r="I5158">
        <v>2</v>
      </c>
      <c r="J5158">
        <v>1</v>
      </c>
    </row>
    <row r="5159" spans="7:10">
      <c r="G5159">
        <v>1</v>
      </c>
      <c r="H5159">
        <v>2</v>
      </c>
      <c r="I5159">
        <v>2</v>
      </c>
      <c r="J5159">
        <v>2</v>
      </c>
    </row>
    <row r="5160" spans="7:10">
      <c r="G5160">
        <v>1</v>
      </c>
      <c r="H5160">
        <v>2</v>
      </c>
      <c r="I5160">
        <v>3</v>
      </c>
      <c r="J5160">
        <v>1</v>
      </c>
    </row>
    <row r="5161" spans="7:10">
      <c r="G5161">
        <v>1</v>
      </c>
      <c r="H5161">
        <v>2</v>
      </c>
      <c r="I5161">
        <v>3</v>
      </c>
      <c r="J5161">
        <v>2</v>
      </c>
    </row>
    <row r="5162" spans="7:10">
      <c r="G5162">
        <v>1</v>
      </c>
      <c r="H5162">
        <v>2</v>
      </c>
      <c r="I5162">
        <v>4</v>
      </c>
      <c r="J5162">
        <v>1</v>
      </c>
    </row>
    <row r="5163" spans="7:10">
      <c r="G5163">
        <v>1</v>
      </c>
      <c r="H5163">
        <v>2</v>
      </c>
      <c r="I5163">
        <v>4</v>
      </c>
      <c r="J5163">
        <v>2</v>
      </c>
    </row>
    <row r="5164" spans="7:10">
      <c r="G5164">
        <v>1</v>
      </c>
      <c r="H5164">
        <v>2</v>
      </c>
      <c r="I5164">
        <v>5</v>
      </c>
      <c r="J5164">
        <v>1</v>
      </c>
    </row>
    <row r="5165" spans="7:10">
      <c r="G5165">
        <v>1</v>
      </c>
      <c r="H5165">
        <v>2</v>
      </c>
      <c r="I5165">
        <v>5</v>
      </c>
      <c r="J5165">
        <v>2</v>
      </c>
    </row>
    <row r="5166" spans="7:10">
      <c r="G5166">
        <v>1</v>
      </c>
      <c r="H5166">
        <v>3</v>
      </c>
      <c r="I5166">
        <v>1</v>
      </c>
      <c r="J5166">
        <v>1</v>
      </c>
    </row>
    <row r="5167" spans="7:10">
      <c r="G5167">
        <v>1</v>
      </c>
      <c r="H5167">
        <v>3</v>
      </c>
      <c r="I5167">
        <v>1</v>
      </c>
      <c r="J5167">
        <v>2</v>
      </c>
    </row>
    <row r="5168" spans="7:10">
      <c r="G5168">
        <v>1</v>
      </c>
      <c r="H5168">
        <v>3</v>
      </c>
      <c r="I5168">
        <v>2</v>
      </c>
      <c r="J5168">
        <v>1</v>
      </c>
    </row>
    <row r="5169" spans="7:10">
      <c r="G5169">
        <v>1</v>
      </c>
      <c r="H5169">
        <v>3</v>
      </c>
      <c r="I5169">
        <v>2</v>
      </c>
      <c r="J5169">
        <v>2</v>
      </c>
    </row>
    <row r="5170" spans="7:10">
      <c r="G5170">
        <v>1</v>
      </c>
      <c r="H5170">
        <v>3</v>
      </c>
      <c r="I5170">
        <v>3</v>
      </c>
      <c r="J5170">
        <v>1</v>
      </c>
    </row>
    <row r="5171" spans="7:10">
      <c r="G5171">
        <v>1</v>
      </c>
      <c r="H5171">
        <v>3</v>
      </c>
      <c r="I5171">
        <v>3</v>
      </c>
      <c r="J5171">
        <v>2</v>
      </c>
    </row>
    <row r="5172" spans="7:10">
      <c r="G5172">
        <v>1</v>
      </c>
      <c r="H5172">
        <v>3</v>
      </c>
      <c r="I5172">
        <v>4</v>
      </c>
      <c r="J5172">
        <v>1</v>
      </c>
    </row>
    <row r="5173" spans="7:10">
      <c r="G5173">
        <v>1</v>
      </c>
      <c r="H5173">
        <v>3</v>
      </c>
      <c r="I5173">
        <v>4</v>
      </c>
      <c r="J5173">
        <v>2</v>
      </c>
    </row>
    <row r="5174" spans="7:10">
      <c r="G5174">
        <v>1</v>
      </c>
      <c r="H5174">
        <v>3</v>
      </c>
      <c r="I5174">
        <v>5</v>
      </c>
      <c r="J5174">
        <v>1</v>
      </c>
    </row>
    <row r="5175" spans="7:10">
      <c r="G5175">
        <v>1</v>
      </c>
      <c r="H5175">
        <v>3</v>
      </c>
      <c r="I5175">
        <v>5</v>
      </c>
      <c r="J5175">
        <v>2</v>
      </c>
    </row>
    <row r="5176" spans="7:10">
      <c r="G5176">
        <v>2</v>
      </c>
      <c r="H5176">
        <v>1</v>
      </c>
      <c r="I5176">
        <v>3</v>
      </c>
      <c r="J5176">
        <v>1</v>
      </c>
    </row>
    <row r="5177" spans="7:10">
      <c r="G5177">
        <v>2</v>
      </c>
      <c r="H5177">
        <v>1</v>
      </c>
      <c r="I5177">
        <v>3</v>
      </c>
      <c r="J5177">
        <v>2</v>
      </c>
    </row>
    <row r="5178" spans="7:10">
      <c r="G5178">
        <v>2</v>
      </c>
      <c r="H5178">
        <v>1</v>
      </c>
      <c r="I5178">
        <v>4</v>
      </c>
      <c r="J5178">
        <v>1</v>
      </c>
    </row>
    <row r="5179" spans="7:10">
      <c r="G5179">
        <v>2</v>
      </c>
      <c r="H5179">
        <v>1</v>
      </c>
      <c r="I5179">
        <v>4</v>
      </c>
      <c r="J5179">
        <v>2</v>
      </c>
    </row>
    <row r="5180" spans="7:10">
      <c r="G5180">
        <v>2</v>
      </c>
      <c r="H5180">
        <v>1</v>
      </c>
      <c r="I5180">
        <v>5</v>
      </c>
      <c r="J5180">
        <v>1</v>
      </c>
    </row>
    <row r="5181" spans="7:10">
      <c r="G5181">
        <v>2</v>
      </c>
      <c r="H5181">
        <v>1</v>
      </c>
      <c r="I5181">
        <v>5</v>
      </c>
      <c r="J5181">
        <v>2</v>
      </c>
    </row>
    <row r="5182" spans="7:10">
      <c r="G5182">
        <v>2</v>
      </c>
      <c r="H5182">
        <v>2</v>
      </c>
      <c r="I5182">
        <v>1</v>
      </c>
      <c r="J5182">
        <v>1</v>
      </c>
    </row>
    <row r="5183" spans="7:10">
      <c r="G5183">
        <v>2</v>
      </c>
      <c r="H5183">
        <v>2</v>
      </c>
      <c r="I5183">
        <v>1</v>
      </c>
      <c r="J5183">
        <v>2</v>
      </c>
    </row>
    <row r="5184" spans="7:10">
      <c r="G5184">
        <v>2</v>
      </c>
      <c r="H5184">
        <v>2</v>
      </c>
      <c r="I5184">
        <v>2</v>
      </c>
      <c r="J5184">
        <v>1</v>
      </c>
    </row>
    <row r="5185" spans="7:10">
      <c r="G5185">
        <v>2</v>
      </c>
      <c r="H5185">
        <v>2</v>
      </c>
      <c r="I5185">
        <v>2</v>
      </c>
      <c r="J5185">
        <v>2</v>
      </c>
    </row>
    <row r="5186" spans="7:10">
      <c r="G5186">
        <v>2</v>
      </c>
      <c r="H5186">
        <v>2</v>
      </c>
      <c r="I5186">
        <v>3</v>
      </c>
      <c r="J5186">
        <v>1</v>
      </c>
    </row>
    <row r="5187" spans="7:10">
      <c r="G5187">
        <v>2</v>
      </c>
      <c r="H5187">
        <v>2</v>
      </c>
      <c r="I5187">
        <v>3</v>
      </c>
      <c r="J5187">
        <v>2</v>
      </c>
    </row>
    <row r="5188" spans="7:10">
      <c r="G5188">
        <v>2</v>
      </c>
      <c r="H5188">
        <v>2</v>
      </c>
      <c r="I5188">
        <v>4</v>
      </c>
      <c r="J5188">
        <v>1</v>
      </c>
    </row>
    <row r="5189" spans="7:10">
      <c r="G5189">
        <v>2</v>
      </c>
      <c r="H5189">
        <v>2</v>
      </c>
      <c r="I5189">
        <v>4</v>
      </c>
      <c r="J5189">
        <v>2</v>
      </c>
    </row>
    <row r="5190" spans="7:10">
      <c r="G5190">
        <v>2</v>
      </c>
      <c r="H5190">
        <v>2</v>
      </c>
      <c r="I5190">
        <v>5</v>
      </c>
      <c r="J5190">
        <v>1</v>
      </c>
    </row>
    <row r="5191" spans="7:10">
      <c r="G5191">
        <v>2</v>
      </c>
      <c r="H5191">
        <v>2</v>
      </c>
      <c r="I5191">
        <v>5</v>
      </c>
      <c r="J5191">
        <v>2</v>
      </c>
    </row>
    <row r="5192" spans="7:10">
      <c r="G5192">
        <v>2</v>
      </c>
      <c r="H5192">
        <v>3</v>
      </c>
      <c r="I5192">
        <v>1</v>
      </c>
      <c r="J5192">
        <v>1</v>
      </c>
    </row>
    <row r="5193" spans="7:10">
      <c r="G5193">
        <v>2</v>
      </c>
      <c r="H5193">
        <v>3</v>
      </c>
      <c r="I5193">
        <v>1</v>
      </c>
      <c r="J5193">
        <v>2</v>
      </c>
    </row>
    <row r="5194" spans="7:10">
      <c r="G5194">
        <v>2</v>
      </c>
      <c r="H5194">
        <v>3</v>
      </c>
      <c r="I5194">
        <v>2</v>
      </c>
      <c r="J5194">
        <v>1</v>
      </c>
    </row>
    <row r="5195" spans="7:10">
      <c r="G5195">
        <v>2</v>
      </c>
      <c r="H5195">
        <v>3</v>
      </c>
      <c r="I5195">
        <v>2</v>
      </c>
      <c r="J5195">
        <v>2</v>
      </c>
    </row>
    <row r="5196" spans="7:10">
      <c r="G5196">
        <v>2</v>
      </c>
      <c r="H5196">
        <v>3</v>
      </c>
      <c r="I5196">
        <v>3</v>
      </c>
      <c r="J5196">
        <v>1</v>
      </c>
    </row>
    <row r="5197" spans="7:10">
      <c r="G5197">
        <v>2</v>
      </c>
      <c r="H5197">
        <v>3</v>
      </c>
      <c r="I5197">
        <v>3</v>
      </c>
      <c r="J5197">
        <v>2</v>
      </c>
    </row>
    <row r="5198" spans="7:10">
      <c r="G5198">
        <v>2</v>
      </c>
      <c r="H5198">
        <v>3</v>
      </c>
      <c r="I5198">
        <v>4</v>
      </c>
      <c r="J5198">
        <v>1</v>
      </c>
    </row>
    <row r="5199" spans="7:10">
      <c r="G5199">
        <v>2</v>
      </c>
      <c r="H5199">
        <v>3</v>
      </c>
      <c r="I5199">
        <v>4</v>
      </c>
      <c r="J5199">
        <v>2</v>
      </c>
    </row>
    <row r="5200" spans="7:10">
      <c r="G5200">
        <v>2</v>
      </c>
      <c r="H5200">
        <v>3</v>
      </c>
      <c r="I5200">
        <v>5</v>
      </c>
      <c r="J5200">
        <v>1</v>
      </c>
    </row>
    <row r="5201" spans="7:10">
      <c r="G5201">
        <v>2</v>
      </c>
      <c r="H5201">
        <v>3</v>
      </c>
      <c r="I5201">
        <v>5</v>
      </c>
      <c r="J5201">
        <v>2</v>
      </c>
    </row>
    <row r="5202" spans="7:10">
      <c r="G5202">
        <v>3</v>
      </c>
      <c r="H5202">
        <v>1</v>
      </c>
      <c r="I5202">
        <v>3</v>
      </c>
      <c r="J5202">
        <v>1</v>
      </c>
    </row>
    <row r="5203" spans="7:10">
      <c r="G5203">
        <v>3</v>
      </c>
      <c r="H5203">
        <v>1</v>
      </c>
      <c r="I5203">
        <v>3</v>
      </c>
      <c r="J5203">
        <v>2</v>
      </c>
    </row>
    <row r="5204" spans="7:10">
      <c r="G5204">
        <v>3</v>
      </c>
      <c r="H5204">
        <v>1</v>
      </c>
      <c r="I5204">
        <v>4</v>
      </c>
      <c r="J5204">
        <v>1</v>
      </c>
    </row>
    <row r="5205" spans="7:10">
      <c r="G5205">
        <v>3</v>
      </c>
      <c r="H5205">
        <v>1</v>
      </c>
      <c r="I5205">
        <v>4</v>
      </c>
      <c r="J5205">
        <v>2</v>
      </c>
    </row>
    <row r="5206" spans="7:10">
      <c r="G5206">
        <v>3</v>
      </c>
      <c r="H5206">
        <v>1</v>
      </c>
      <c r="I5206">
        <v>5</v>
      </c>
      <c r="J5206">
        <v>1</v>
      </c>
    </row>
    <row r="5207" spans="7:10">
      <c r="G5207">
        <v>3</v>
      </c>
      <c r="H5207">
        <v>1</v>
      </c>
      <c r="I5207">
        <v>5</v>
      </c>
      <c r="J5207">
        <v>2</v>
      </c>
    </row>
    <row r="5208" spans="7:10">
      <c r="G5208">
        <v>3</v>
      </c>
      <c r="H5208">
        <v>2</v>
      </c>
      <c r="I5208">
        <v>1</v>
      </c>
      <c r="J5208">
        <v>1</v>
      </c>
    </row>
    <row r="5209" spans="7:10">
      <c r="G5209">
        <v>3</v>
      </c>
      <c r="H5209">
        <v>2</v>
      </c>
      <c r="I5209">
        <v>1</v>
      </c>
      <c r="J5209">
        <v>2</v>
      </c>
    </row>
    <row r="5210" spans="7:10">
      <c r="G5210">
        <v>3</v>
      </c>
      <c r="H5210">
        <v>2</v>
      </c>
      <c r="I5210">
        <v>2</v>
      </c>
      <c r="J5210">
        <v>1</v>
      </c>
    </row>
    <row r="5211" spans="7:10">
      <c r="G5211">
        <v>3</v>
      </c>
      <c r="H5211">
        <v>2</v>
      </c>
      <c r="I5211">
        <v>2</v>
      </c>
      <c r="J5211">
        <v>2</v>
      </c>
    </row>
    <row r="5212" spans="7:10">
      <c r="G5212">
        <v>3</v>
      </c>
      <c r="H5212">
        <v>2</v>
      </c>
      <c r="I5212">
        <v>3</v>
      </c>
      <c r="J5212">
        <v>1</v>
      </c>
    </row>
    <row r="5213" spans="7:10">
      <c r="G5213">
        <v>3</v>
      </c>
      <c r="H5213">
        <v>2</v>
      </c>
      <c r="I5213">
        <v>3</v>
      </c>
      <c r="J5213">
        <v>2</v>
      </c>
    </row>
    <row r="5214" spans="7:10">
      <c r="G5214">
        <v>3</v>
      </c>
      <c r="H5214">
        <v>2</v>
      </c>
      <c r="I5214">
        <v>4</v>
      </c>
      <c r="J5214">
        <v>1</v>
      </c>
    </row>
    <row r="5215" spans="7:10">
      <c r="G5215">
        <v>3</v>
      </c>
      <c r="H5215">
        <v>2</v>
      </c>
      <c r="I5215">
        <v>4</v>
      </c>
      <c r="J5215">
        <v>2</v>
      </c>
    </row>
    <row r="5216" spans="7:10">
      <c r="G5216">
        <v>3</v>
      </c>
      <c r="H5216">
        <v>2</v>
      </c>
      <c r="I5216">
        <v>5</v>
      </c>
      <c r="J5216">
        <v>1</v>
      </c>
    </row>
    <row r="5217" spans="7:10">
      <c r="G5217">
        <v>3</v>
      </c>
      <c r="H5217">
        <v>2</v>
      </c>
      <c r="I5217">
        <v>5</v>
      </c>
      <c r="J5217">
        <v>2</v>
      </c>
    </row>
    <row r="5218" spans="7:10">
      <c r="G5218">
        <v>3</v>
      </c>
      <c r="H5218">
        <v>3</v>
      </c>
      <c r="I5218">
        <v>1</v>
      </c>
      <c r="J5218">
        <v>1</v>
      </c>
    </row>
    <row r="5219" spans="7:10">
      <c r="G5219">
        <v>3</v>
      </c>
      <c r="H5219">
        <v>3</v>
      </c>
      <c r="I5219">
        <v>1</v>
      </c>
      <c r="J5219">
        <v>2</v>
      </c>
    </row>
    <row r="5220" spans="7:10">
      <c r="G5220">
        <v>3</v>
      </c>
      <c r="H5220">
        <v>3</v>
      </c>
      <c r="I5220">
        <v>2</v>
      </c>
      <c r="J5220">
        <v>1</v>
      </c>
    </row>
    <row r="5221" spans="7:10">
      <c r="G5221">
        <v>3</v>
      </c>
      <c r="H5221">
        <v>3</v>
      </c>
      <c r="I5221">
        <v>2</v>
      </c>
      <c r="J5221">
        <v>2</v>
      </c>
    </row>
    <row r="5222" spans="7:10">
      <c r="G5222">
        <v>3</v>
      </c>
      <c r="H5222">
        <v>3</v>
      </c>
      <c r="I5222">
        <v>3</v>
      </c>
      <c r="J5222">
        <v>1</v>
      </c>
    </row>
    <row r="5223" spans="7:10">
      <c r="G5223">
        <v>3</v>
      </c>
      <c r="H5223">
        <v>3</v>
      </c>
      <c r="I5223">
        <v>3</v>
      </c>
      <c r="J5223">
        <v>2</v>
      </c>
    </row>
    <row r="5224" spans="7:10">
      <c r="G5224">
        <v>3</v>
      </c>
      <c r="H5224">
        <v>3</v>
      </c>
      <c r="I5224">
        <v>4</v>
      </c>
      <c r="J5224">
        <v>1</v>
      </c>
    </row>
    <row r="5225" spans="7:10">
      <c r="G5225">
        <v>3</v>
      </c>
      <c r="H5225">
        <v>3</v>
      </c>
      <c r="I5225">
        <v>4</v>
      </c>
      <c r="J5225">
        <v>2</v>
      </c>
    </row>
    <row r="5226" spans="7:10">
      <c r="G5226">
        <v>3</v>
      </c>
      <c r="H5226">
        <v>3</v>
      </c>
      <c r="I5226">
        <v>5</v>
      </c>
      <c r="J5226">
        <v>1</v>
      </c>
    </row>
    <row r="5227" spans="7:10">
      <c r="G5227">
        <v>3</v>
      </c>
      <c r="H5227">
        <v>3</v>
      </c>
      <c r="I5227">
        <v>5</v>
      </c>
      <c r="J5227">
        <v>2</v>
      </c>
    </row>
    <row r="5228" spans="7:10">
      <c r="G5228">
        <v>4</v>
      </c>
      <c r="H5228">
        <v>1</v>
      </c>
      <c r="I5228">
        <v>3</v>
      </c>
      <c r="J5228">
        <v>1</v>
      </c>
    </row>
    <row r="5229" spans="7:10">
      <c r="G5229">
        <v>4</v>
      </c>
      <c r="H5229">
        <v>1</v>
      </c>
      <c r="I5229">
        <v>3</v>
      </c>
      <c r="J5229">
        <v>2</v>
      </c>
    </row>
    <row r="5230" spans="7:10">
      <c r="G5230">
        <v>4</v>
      </c>
      <c r="H5230">
        <v>1</v>
      </c>
      <c r="I5230">
        <v>4</v>
      </c>
      <c r="J5230">
        <v>1</v>
      </c>
    </row>
    <row r="5231" spans="7:10">
      <c r="G5231">
        <v>4</v>
      </c>
      <c r="H5231">
        <v>1</v>
      </c>
      <c r="I5231">
        <v>4</v>
      </c>
      <c r="J5231">
        <v>2</v>
      </c>
    </row>
    <row r="5232" spans="7:10">
      <c r="G5232">
        <v>4</v>
      </c>
      <c r="H5232">
        <v>1</v>
      </c>
      <c r="I5232">
        <v>5</v>
      </c>
      <c r="J5232">
        <v>1</v>
      </c>
    </row>
    <row r="5233" spans="7:10">
      <c r="G5233">
        <v>4</v>
      </c>
      <c r="H5233">
        <v>1</v>
      </c>
      <c r="I5233">
        <v>5</v>
      </c>
      <c r="J5233">
        <v>2</v>
      </c>
    </row>
    <row r="5234" spans="7:10">
      <c r="G5234">
        <v>4</v>
      </c>
      <c r="H5234">
        <v>2</v>
      </c>
      <c r="I5234">
        <v>1</v>
      </c>
      <c r="J5234">
        <v>1</v>
      </c>
    </row>
    <row r="5235" spans="7:10">
      <c r="G5235">
        <v>4</v>
      </c>
      <c r="H5235">
        <v>2</v>
      </c>
      <c r="I5235">
        <v>1</v>
      </c>
      <c r="J5235">
        <v>2</v>
      </c>
    </row>
    <row r="5236" spans="7:10">
      <c r="G5236">
        <v>4</v>
      </c>
      <c r="H5236">
        <v>2</v>
      </c>
      <c r="I5236">
        <v>2</v>
      </c>
      <c r="J5236">
        <v>1</v>
      </c>
    </row>
    <row r="5237" spans="7:10">
      <c r="G5237">
        <v>4</v>
      </c>
      <c r="H5237">
        <v>2</v>
      </c>
      <c r="I5237">
        <v>2</v>
      </c>
      <c r="J5237">
        <v>2</v>
      </c>
    </row>
    <row r="5238" spans="7:10">
      <c r="G5238">
        <v>4</v>
      </c>
      <c r="H5238">
        <v>2</v>
      </c>
      <c r="I5238">
        <v>3</v>
      </c>
      <c r="J5238">
        <v>1</v>
      </c>
    </row>
    <row r="5239" spans="7:10">
      <c r="G5239">
        <v>4</v>
      </c>
      <c r="H5239">
        <v>2</v>
      </c>
      <c r="I5239">
        <v>3</v>
      </c>
      <c r="J5239">
        <v>2</v>
      </c>
    </row>
    <row r="5240" spans="7:10">
      <c r="G5240">
        <v>4</v>
      </c>
      <c r="H5240">
        <v>2</v>
      </c>
      <c r="I5240">
        <v>4</v>
      </c>
      <c r="J5240">
        <v>1</v>
      </c>
    </row>
    <row r="5241" spans="7:10">
      <c r="G5241">
        <v>4</v>
      </c>
      <c r="H5241">
        <v>2</v>
      </c>
      <c r="I5241">
        <v>4</v>
      </c>
      <c r="J5241">
        <v>2</v>
      </c>
    </row>
    <row r="5242" spans="7:10">
      <c r="G5242">
        <v>4</v>
      </c>
      <c r="H5242">
        <v>2</v>
      </c>
      <c r="I5242">
        <v>5</v>
      </c>
      <c r="J5242">
        <v>1</v>
      </c>
    </row>
    <row r="5243" spans="7:10">
      <c r="G5243">
        <v>4</v>
      </c>
      <c r="H5243">
        <v>2</v>
      </c>
      <c r="I5243">
        <v>5</v>
      </c>
      <c r="J5243">
        <v>2</v>
      </c>
    </row>
    <row r="5244" spans="7:10">
      <c r="G5244">
        <v>4</v>
      </c>
      <c r="H5244">
        <v>3</v>
      </c>
      <c r="I5244">
        <v>1</v>
      </c>
      <c r="J5244">
        <v>1</v>
      </c>
    </row>
    <row r="5245" spans="7:10">
      <c r="G5245">
        <v>4</v>
      </c>
      <c r="H5245">
        <v>3</v>
      </c>
      <c r="I5245">
        <v>1</v>
      </c>
      <c r="J5245">
        <v>2</v>
      </c>
    </row>
    <row r="5246" spans="7:10">
      <c r="G5246">
        <v>4</v>
      </c>
      <c r="H5246">
        <v>3</v>
      </c>
      <c r="I5246">
        <v>2</v>
      </c>
      <c r="J5246">
        <v>1</v>
      </c>
    </row>
    <row r="5247" spans="7:10">
      <c r="G5247">
        <v>4</v>
      </c>
      <c r="H5247">
        <v>3</v>
      </c>
      <c r="I5247">
        <v>2</v>
      </c>
      <c r="J5247">
        <v>2</v>
      </c>
    </row>
    <row r="5248" spans="7:10">
      <c r="G5248">
        <v>4</v>
      </c>
      <c r="H5248">
        <v>3</v>
      </c>
      <c r="I5248">
        <v>3</v>
      </c>
      <c r="J5248">
        <v>1</v>
      </c>
    </row>
    <row r="5249" spans="7:10">
      <c r="G5249">
        <v>4</v>
      </c>
      <c r="H5249">
        <v>3</v>
      </c>
      <c r="I5249">
        <v>3</v>
      </c>
      <c r="J5249">
        <v>2</v>
      </c>
    </row>
    <row r="5250" spans="7:10">
      <c r="G5250">
        <v>4</v>
      </c>
      <c r="H5250">
        <v>3</v>
      </c>
      <c r="I5250">
        <v>4</v>
      </c>
      <c r="J5250">
        <v>1</v>
      </c>
    </row>
    <row r="5251" spans="7:10">
      <c r="G5251">
        <v>4</v>
      </c>
      <c r="H5251">
        <v>3</v>
      </c>
      <c r="I5251">
        <v>4</v>
      </c>
      <c r="J5251">
        <v>2</v>
      </c>
    </row>
    <row r="5252" spans="7:10">
      <c r="G5252">
        <v>4</v>
      </c>
      <c r="H5252">
        <v>3</v>
      </c>
      <c r="I5252">
        <v>5</v>
      </c>
      <c r="J5252">
        <v>1</v>
      </c>
    </row>
    <row r="5253" spans="7:10">
      <c r="G5253">
        <v>4</v>
      </c>
      <c r="H5253">
        <v>3</v>
      </c>
      <c r="I5253">
        <v>5</v>
      </c>
      <c r="J5253">
        <v>2</v>
      </c>
    </row>
    <row r="5254" spans="7:10">
      <c r="G5254">
        <v>1</v>
      </c>
      <c r="H5254">
        <v>2</v>
      </c>
      <c r="I5254">
        <v>1</v>
      </c>
      <c r="J5254">
        <v>1</v>
      </c>
    </row>
    <row r="5255" spans="7:10">
      <c r="G5255">
        <v>1</v>
      </c>
      <c r="H5255">
        <v>2</v>
      </c>
      <c r="I5255">
        <v>1</v>
      </c>
      <c r="J5255">
        <v>2</v>
      </c>
    </row>
    <row r="5256" spans="7:10">
      <c r="G5256">
        <v>1</v>
      </c>
      <c r="H5256">
        <v>2</v>
      </c>
      <c r="I5256">
        <v>2</v>
      </c>
      <c r="J5256">
        <v>1</v>
      </c>
    </row>
    <row r="5257" spans="7:10">
      <c r="G5257">
        <v>1</v>
      </c>
      <c r="H5257">
        <v>2</v>
      </c>
      <c r="I5257">
        <v>2</v>
      </c>
      <c r="J5257">
        <v>2</v>
      </c>
    </row>
    <row r="5258" spans="7:10">
      <c r="G5258">
        <v>1</v>
      </c>
      <c r="H5258">
        <v>2</v>
      </c>
      <c r="I5258">
        <v>3</v>
      </c>
      <c r="J5258">
        <v>1</v>
      </c>
    </row>
    <row r="5259" spans="7:10">
      <c r="G5259">
        <v>1</v>
      </c>
      <c r="H5259">
        <v>2</v>
      </c>
      <c r="I5259">
        <v>3</v>
      </c>
      <c r="J5259">
        <v>2</v>
      </c>
    </row>
    <row r="5260" spans="7:10">
      <c r="G5260">
        <v>1</v>
      </c>
      <c r="H5260">
        <v>2</v>
      </c>
      <c r="I5260">
        <v>4</v>
      </c>
      <c r="J5260">
        <v>1</v>
      </c>
    </row>
    <row r="5261" spans="7:10">
      <c r="G5261">
        <v>1</v>
      </c>
      <c r="H5261">
        <v>2</v>
      </c>
      <c r="I5261">
        <v>4</v>
      </c>
      <c r="J5261">
        <v>2</v>
      </c>
    </row>
    <row r="5262" spans="7:10">
      <c r="G5262">
        <v>1</v>
      </c>
      <c r="H5262">
        <v>2</v>
      </c>
      <c r="I5262">
        <v>5</v>
      </c>
      <c r="J5262">
        <v>1</v>
      </c>
    </row>
    <row r="5263" spans="7:10">
      <c r="G5263">
        <v>1</v>
      </c>
      <c r="H5263">
        <v>2</v>
      </c>
      <c r="I5263">
        <v>5</v>
      </c>
      <c r="J5263">
        <v>2</v>
      </c>
    </row>
    <row r="5264" spans="7:10">
      <c r="G5264">
        <v>1</v>
      </c>
      <c r="H5264">
        <v>3</v>
      </c>
      <c r="I5264">
        <v>1</v>
      </c>
      <c r="J5264">
        <v>1</v>
      </c>
    </row>
    <row r="5265" spans="7:10">
      <c r="G5265">
        <v>1</v>
      </c>
      <c r="H5265">
        <v>3</v>
      </c>
      <c r="I5265">
        <v>1</v>
      </c>
      <c r="J5265">
        <v>2</v>
      </c>
    </row>
    <row r="5266" spans="7:10">
      <c r="G5266">
        <v>1</v>
      </c>
      <c r="H5266">
        <v>3</v>
      </c>
      <c r="I5266">
        <v>2</v>
      </c>
      <c r="J5266">
        <v>1</v>
      </c>
    </row>
    <row r="5267" spans="7:10">
      <c r="G5267">
        <v>1</v>
      </c>
      <c r="H5267">
        <v>3</v>
      </c>
      <c r="I5267">
        <v>2</v>
      </c>
      <c r="J5267">
        <v>2</v>
      </c>
    </row>
    <row r="5268" spans="7:10">
      <c r="G5268">
        <v>1</v>
      </c>
      <c r="H5268">
        <v>3</v>
      </c>
      <c r="I5268">
        <v>3</v>
      </c>
      <c r="J5268">
        <v>1</v>
      </c>
    </row>
    <row r="5269" spans="7:10">
      <c r="G5269">
        <v>1</v>
      </c>
      <c r="H5269">
        <v>3</v>
      </c>
      <c r="I5269">
        <v>3</v>
      </c>
      <c r="J5269">
        <v>2</v>
      </c>
    </row>
    <row r="5270" spans="7:10">
      <c r="G5270">
        <v>1</v>
      </c>
      <c r="H5270">
        <v>3</v>
      </c>
      <c r="I5270">
        <v>4</v>
      </c>
      <c r="J5270">
        <v>1</v>
      </c>
    </row>
    <row r="5271" spans="7:10">
      <c r="G5271">
        <v>1</v>
      </c>
      <c r="H5271">
        <v>3</v>
      </c>
      <c r="I5271">
        <v>4</v>
      </c>
      <c r="J5271">
        <v>2</v>
      </c>
    </row>
    <row r="5272" spans="7:10">
      <c r="G5272">
        <v>1</v>
      </c>
      <c r="H5272">
        <v>3</v>
      </c>
      <c r="I5272">
        <v>5</v>
      </c>
      <c r="J5272">
        <v>1</v>
      </c>
    </row>
    <row r="5273" spans="7:10">
      <c r="G5273">
        <v>1</v>
      </c>
      <c r="H5273">
        <v>3</v>
      </c>
      <c r="I5273">
        <v>5</v>
      </c>
      <c r="J5273">
        <v>2</v>
      </c>
    </row>
    <row r="5274" spans="7:10">
      <c r="G5274">
        <v>2</v>
      </c>
      <c r="H5274">
        <v>1</v>
      </c>
      <c r="I5274">
        <v>3</v>
      </c>
      <c r="J5274">
        <v>1</v>
      </c>
    </row>
    <row r="5275" spans="7:10">
      <c r="G5275">
        <v>2</v>
      </c>
      <c r="H5275">
        <v>1</v>
      </c>
      <c r="I5275">
        <v>3</v>
      </c>
      <c r="J5275">
        <v>2</v>
      </c>
    </row>
    <row r="5276" spans="7:10">
      <c r="G5276">
        <v>2</v>
      </c>
      <c r="H5276">
        <v>1</v>
      </c>
      <c r="I5276">
        <v>4</v>
      </c>
      <c r="J5276">
        <v>1</v>
      </c>
    </row>
    <row r="5277" spans="7:10">
      <c r="G5277">
        <v>2</v>
      </c>
      <c r="H5277">
        <v>1</v>
      </c>
      <c r="I5277">
        <v>4</v>
      </c>
      <c r="J5277">
        <v>2</v>
      </c>
    </row>
    <row r="5278" spans="7:10">
      <c r="G5278">
        <v>2</v>
      </c>
      <c r="H5278">
        <v>1</v>
      </c>
      <c r="I5278">
        <v>5</v>
      </c>
      <c r="J5278">
        <v>1</v>
      </c>
    </row>
    <row r="5279" spans="7:10">
      <c r="G5279">
        <v>2</v>
      </c>
      <c r="H5279">
        <v>1</v>
      </c>
      <c r="I5279">
        <v>5</v>
      </c>
      <c r="J5279">
        <v>2</v>
      </c>
    </row>
    <row r="5280" spans="7:10">
      <c r="G5280">
        <v>2</v>
      </c>
      <c r="H5280">
        <v>2</v>
      </c>
      <c r="I5280">
        <v>1</v>
      </c>
      <c r="J5280">
        <v>1</v>
      </c>
    </row>
    <row r="5281" spans="7:10">
      <c r="G5281">
        <v>2</v>
      </c>
      <c r="H5281">
        <v>2</v>
      </c>
      <c r="I5281">
        <v>1</v>
      </c>
      <c r="J5281">
        <v>2</v>
      </c>
    </row>
    <row r="5282" spans="7:10">
      <c r="G5282">
        <v>2</v>
      </c>
      <c r="H5282">
        <v>2</v>
      </c>
      <c r="I5282">
        <v>2</v>
      </c>
      <c r="J5282">
        <v>1</v>
      </c>
    </row>
    <row r="5283" spans="7:10">
      <c r="G5283">
        <v>2</v>
      </c>
      <c r="H5283">
        <v>2</v>
      </c>
      <c r="I5283">
        <v>2</v>
      </c>
      <c r="J5283">
        <v>2</v>
      </c>
    </row>
    <row r="5284" spans="7:10">
      <c r="G5284">
        <v>2</v>
      </c>
      <c r="H5284">
        <v>2</v>
      </c>
      <c r="I5284">
        <v>3</v>
      </c>
      <c r="J5284">
        <v>1</v>
      </c>
    </row>
    <row r="5285" spans="7:10">
      <c r="G5285">
        <v>2</v>
      </c>
      <c r="H5285">
        <v>2</v>
      </c>
      <c r="I5285">
        <v>3</v>
      </c>
      <c r="J5285">
        <v>2</v>
      </c>
    </row>
    <row r="5286" spans="7:10">
      <c r="G5286">
        <v>2</v>
      </c>
      <c r="H5286">
        <v>2</v>
      </c>
      <c r="I5286">
        <v>4</v>
      </c>
      <c r="J5286">
        <v>1</v>
      </c>
    </row>
    <row r="5287" spans="7:10">
      <c r="G5287">
        <v>2</v>
      </c>
      <c r="H5287">
        <v>2</v>
      </c>
      <c r="I5287">
        <v>4</v>
      </c>
      <c r="J5287">
        <v>2</v>
      </c>
    </row>
    <row r="5288" spans="7:10">
      <c r="G5288">
        <v>2</v>
      </c>
      <c r="H5288">
        <v>2</v>
      </c>
      <c r="I5288">
        <v>5</v>
      </c>
      <c r="J5288">
        <v>1</v>
      </c>
    </row>
    <row r="5289" spans="7:10">
      <c r="G5289">
        <v>2</v>
      </c>
      <c r="H5289">
        <v>2</v>
      </c>
      <c r="I5289">
        <v>5</v>
      </c>
      <c r="J5289">
        <v>2</v>
      </c>
    </row>
    <row r="5290" spans="7:10">
      <c r="G5290">
        <v>2</v>
      </c>
      <c r="H5290">
        <v>3</v>
      </c>
      <c r="I5290">
        <v>1</v>
      </c>
      <c r="J5290">
        <v>1</v>
      </c>
    </row>
    <row r="5291" spans="7:10">
      <c r="G5291">
        <v>2</v>
      </c>
      <c r="H5291">
        <v>3</v>
      </c>
      <c r="I5291">
        <v>1</v>
      </c>
      <c r="J5291">
        <v>2</v>
      </c>
    </row>
    <row r="5292" spans="7:10">
      <c r="G5292">
        <v>2</v>
      </c>
      <c r="H5292">
        <v>3</v>
      </c>
      <c r="I5292">
        <v>2</v>
      </c>
      <c r="J5292">
        <v>1</v>
      </c>
    </row>
    <row r="5293" spans="7:10">
      <c r="G5293">
        <v>2</v>
      </c>
      <c r="H5293">
        <v>3</v>
      </c>
      <c r="I5293">
        <v>2</v>
      </c>
      <c r="J5293">
        <v>2</v>
      </c>
    </row>
    <row r="5294" spans="7:10">
      <c r="G5294">
        <v>2</v>
      </c>
      <c r="H5294">
        <v>3</v>
      </c>
      <c r="I5294">
        <v>3</v>
      </c>
      <c r="J5294">
        <v>1</v>
      </c>
    </row>
    <row r="5295" spans="7:10">
      <c r="G5295">
        <v>2</v>
      </c>
      <c r="H5295">
        <v>3</v>
      </c>
      <c r="I5295">
        <v>3</v>
      </c>
      <c r="J5295">
        <v>2</v>
      </c>
    </row>
    <row r="5296" spans="7:10">
      <c r="G5296">
        <v>2</v>
      </c>
      <c r="H5296">
        <v>3</v>
      </c>
      <c r="I5296">
        <v>4</v>
      </c>
      <c r="J5296">
        <v>1</v>
      </c>
    </row>
    <row r="5297" spans="7:10">
      <c r="G5297">
        <v>2</v>
      </c>
      <c r="H5297">
        <v>3</v>
      </c>
      <c r="I5297">
        <v>4</v>
      </c>
      <c r="J5297">
        <v>2</v>
      </c>
    </row>
    <row r="5298" spans="7:10">
      <c r="G5298">
        <v>2</v>
      </c>
      <c r="H5298">
        <v>3</v>
      </c>
      <c r="I5298">
        <v>5</v>
      </c>
      <c r="J5298">
        <v>1</v>
      </c>
    </row>
    <row r="5299" spans="7:10">
      <c r="G5299">
        <v>2</v>
      </c>
      <c r="H5299">
        <v>3</v>
      </c>
      <c r="I5299">
        <v>5</v>
      </c>
      <c r="J5299">
        <v>2</v>
      </c>
    </row>
    <row r="5300" spans="7:10">
      <c r="G5300">
        <v>3</v>
      </c>
      <c r="H5300">
        <v>1</v>
      </c>
      <c r="I5300">
        <v>3</v>
      </c>
      <c r="J5300">
        <v>1</v>
      </c>
    </row>
    <row r="5301" spans="7:10">
      <c r="G5301">
        <v>3</v>
      </c>
      <c r="H5301">
        <v>1</v>
      </c>
      <c r="I5301">
        <v>3</v>
      </c>
      <c r="J5301">
        <v>2</v>
      </c>
    </row>
    <row r="5302" spans="7:10">
      <c r="G5302">
        <v>3</v>
      </c>
      <c r="H5302">
        <v>1</v>
      </c>
      <c r="I5302">
        <v>4</v>
      </c>
      <c r="J5302">
        <v>1</v>
      </c>
    </row>
    <row r="5303" spans="7:10">
      <c r="G5303">
        <v>3</v>
      </c>
      <c r="H5303">
        <v>1</v>
      </c>
      <c r="I5303">
        <v>4</v>
      </c>
      <c r="J5303">
        <v>2</v>
      </c>
    </row>
    <row r="5304" spans="7:10">
      <c r="G5304">
        <v>3</v>
      </c>
      <c r="H5304">
        <v>1</v>
      </c>
      <c r="I5304">
        <v>5</v>
      </c>
      <c r="J5304">
        <v>1</v>
      </c>
    </row>
    <row r="5305" spans="7:10">
      <c r="G5305">
        <v>3</v>
      </c>
      <c r="H5305">
        <v>1</v>
      </c>
      <c r="I5305">
        <v>5</v>
      </c>
      <c r="J5305">
        <v>2</v>
      </c>
    </row>
    <row r="5306" spans="7:10">
      <c r="G5306">
        <v>3</v>
      </c>
      <c r="H5306">
        <v>2</v>
      </c>
      <c r="I5306">
        <v>1</v>
      </c>
      <c r="J5306">
        <v>1</v>
      </c>
    </row>
    <row r="5307" spans="7:10">
      <c r="G5307">
        <v>3</v>
      </c>
      <c r="H5307">
        <v>2</v>
      </c>
      <c r="I5307">
        <v>1</v>
      </c>
      <c r="J5307">
        <v>2</v>
      </c>
    </row>
    <row r="5308" spans="7:10">
      <c r="G5308">
        <v>3</v>
      </c>
      <c r="H5308">
        <v>2</v>
      </c>
      <c r="I5308">
        <v>2</v>
      </c>
      <c r="J5308">
        <v>1</v>
      </c>
    </row>
    <row r="5309" spans="7:10">
      <c r="G5309">
        <v>3</v>
      </c>
      <c r="H5309">
        <v>2</v>
      </c>
      <c r="I5309">
        <v>2</v>
      </c>
      <c r="J5309">
        <v>2</v>
      </c>
    </row>
    <row r="5310" spans="7:10">
      <c r="G5310">
        <v>3</v>
      </c>
      <c r="H5310">
        <v>2</v>
      </c>
      <c r="I5310">
        <v>3</v>
      </c>
      <c r="J5310">
        <v>1</v>
      </c>
    </row>
    <row r="5311" spans="7:10">
      <c r="G5311">
        <v>3</v>
      </c>
      <c r="H5311">
        <v>2</v>
      </c>
      <c r="I5311">
        <v>3</v>
      </c>
      <c r="J5311">
        <v>2</v>
      </c>
    </row>
    <row r="5312" spans="7:10">
      <c r="G5312">
        <v>3</v>
      </c>
      <c r="H5312">
        <v>2</v>
      </c>
      <c r="I5312">
        <v>4</v>
      </c>
      <c r="J5312">
        <v>1</v>
      </c>
    </row>
    <row r="5313" spans="7:10">
      <c r="G5313">
        <v>3</v>
      </c>
      <c r="H5313">
        <v>2</v>
      </c>
      <c r="I5313">
        <v>4</v>
      </c>
      <c r="J5313">
        <v>2</v>
      </c>
    </row>
    <row r="5314" spans="7:10">
      <c r="G5314">
        <v>3</v>
      </c>
      <c r="H5314">
        <v>2</v>
      </c>
      <c r="I5314">
        <v>5</v>
      </c>
      <c r="J5314">
        <v>1</v>
      </c>
    </row>
    <row r="5315" spans="7:10">
      <c r="G5315">
        <v>3</v>
      </c>
      <c r="H5315">
        <v>2</v>
      </c>
      <c r="I5315">
        <v>5</v>
      </c>
      <c r="J5315">
        <v>2</v>
      </c>
    </row>
    <row r="5316" spans="7:10">
      <c r="G5316">
        <v>3</v>
      </c>
      <c r="H5316">
        <v>3</v>
      </c>
      <c r="I5316">
        <v>1</v>
      </c>
      <c r="J5316">
        <v>1</v>
      </c>
    </row>
    <row r="5317" spans="7:10">
      <c r="G5317">
        <v>3</v>
      </c>
      <c r="H5317">
        <v>3</v>
      </c>
      <c r="I5317">
        <v>1</v>
      </c>
      <c r="J5317">
        <v>2</v>
      </c>
    </row>
    <row r="5318" spans="7:10">
      <c r="G5318">
        <v>3</v>
      </c>
      <c r="H5318">
        <v>3</v>
      </c>
      <c r="I5318">
        <v>2</v>
      </c>
      <c r="J5318">
        <v>1</v>
      </c>
    </row>
    <row r="5319" spans="7:10">
      <c r="G5319">
        <v>3</v>
      </c>
      <c r="H5319">
        <v>3</v>
      </c>
      <c r="I5319">
        <v>2</v>
      </c>
      <c r="J5319">
        <v>2</v>
      </c>
    </row>
    <row r="5320" spans="7:10">
      <c r="G5320">
        <v>3</v>
      </c>
      <c r="H5320">
        <v>3</v>
      </c>
      <c r="I5320">
        <v>3</v>
      </c>
      <c r="J5320">
        <v>1</v>
      </c>
    </row>
    <row r="5321" spans="7:10">
      <c r="G5321">
        <v>3</v>
      </c>
      <c r="H5321">
        <v>3</v>
      </c>
      <c r="I5321">
        <v>3</v>
      </c>
      <c r="J5321">
        <v>2</v>
      </c>
    </row>
    <row r="5322" spans="7:10">
      <c r="G5322">
        <v>3</v>
      </c>
      <c r="H5322">
        <v>3</v>
      </c>
      <c r="I5322">
        <v>4</v>
      </c>
      <c r="J5322">
        <v>1</v>
      </c>
    </row>
    <row r="5323" spans="7:10">
      <c r="G5323">
        <v>3</v>
      </c>
      <c r="H5323">
        <v>3</v>
      </c>
      <c r="I5323">
        <v>4</v>
      </c>
      <c r="J5323">
        <v>2</v>
      </c>
    </row>
    <row r="5324" spans="7:10">
      <c r="G5324">
        <v>3</v>
      </c>
      <c r="H5324">
        <v>3</v>
      </c>
      <c r="I5324">
        <v>5</v>
      </c>
      <c r="J5324">
        <v>1</v>
      </c>
    </row>
    <row r="5325" spans="7:10">
      <c r="G5325">
        <v>3</v>
      </c>
      <c r="H5325">
        <v>3</v>
      </c>
      <c r="I5325">
        <v>5</v>
      </c>
      <c r="J5325">
        <v>2</v>
      </c>
    </row>
    <row r="5326" spans="7:10">
      <c r="G5326">
        <v>4</v>
      </c>
      <c r="H5326">
        <v>1</v>
      </c>
      <c r="I5326">
        <v>3</v>
      </c>
      <c r="J5326">
        <v>1</v>
      </c>
    </row>
    <row r="5327" spans="7:10">
      <c r="G5327">
        <v>4</v>
      </c>
      <c r="H5327">
        <v>1</v>
      </c>
      <c r="I5327">
        <v>3</v>
      </c>
      <c r="J5327">
        <v>2</v>
      </c>
    </row>
    <row r="5328" spans="7:10">
      <c r="G5328">
        <v>4</v>
      </c>
      <c r="H5328">
        <v>1</v>
      </c>
      <c r="I5328">
        <v>4</v>
      </c>
      <c r="J5328">
        <v>1</v>
      </c>
    </row>
    <row r="5329" spans="7:10">
      <c r="G5329">
        <v>4</v>
      </c>
      <c r="H5329">
        <v>1</v>
      </c>
      <c r="I5329">
        <v>4</v>
      </c>
      <c r="J5329">
        <v>2</v>
      </c>
    </row>
    <row r="5330" spans="7:10">
      <c r="G5330">
        <v>4</v>
      </c>
      <c r="H5330">
        <v>1</v>
      </c>
      <c r="I5330">
        <v>5</v>
      </c>
      <c r="J5330">
        <v>1</v>
      </c>
    </row>
    <row r="5331" spans="7:10">
      <c r="G5331">
        <v>4</v>
      </c>
      <c r="H5331">
        <v>1</v>
      </c>
      <c r="I5331">
        <v>5</v>
      </c>
      <c r="J5331">
        <v>2</v>
      </c>
    </row>
    <row r="5332" spans="7:10">
      <c r="G5332">
        <v>4</v>
      </c>
      <c r="H5332">
        <v>2</v>
      </c>
      <c r="I5332">
        <v>1</v>
      </c>
      <c r="J5332">
        <v>1</v>
      </c>
    </row>
    <row r="5333" spans="7:10">
      <c r="G5333">
        <v>4</v>
      </c>
      <c r="H5333">
        <v>2</v>
      </c>
      <c r="I5333">
        <v>1</v>
      </c>
      <c r="J5333">
        <v>2</v>
      </c>
    </row>
    <row r="5334" spans="7:10">
      <c r="G5334">
        <v>4</v>
      </c>
      <c r="H5334">
        <v>2</v>
      </c>
      <c r="I5334">
        <v>2</v>
      </c>
      <c r="J5334">
        <v>1</v>
      </c>
    </row>
    <row r="5335" spans="7:10">
      <c r="G5335">
        <v>4</v>
      </c>
      <c r="H5335">
        <v>2</v>
      </c>
      <c r="I5335">
        <v>2</v>
      </c>
      <c r="J5335">
        <v>2</v>
      </c>
    </row>
    <row r="5336" spans="7:10">
      <c r="G5336">
        <v>4</v>
      </c>
      <c r="H5336">
        <v>2</v>
      </c>
      <c r="I5336">
        <v>3</v>
      </c>
      <c r="J5336">
        <v>1</v>
      </c>
    </row>
    <row r="5337" spans="7:10">
      <c r="G5337">
        <v>4</v>
      </c>
      <c r="H5337">
        <v>2</v>
      </c>
      <c r="I5337">
        <v>3</v>
      </c>
      <c r="J5337">
        <v>2</v>
      </c>
    </row>
    <row r="5338" spans="7:10">
      <c r="G5338">
        <v>4</v>
      </c>
      <c r="H5338">
        <v>2</v>
      </c>
      <c r="I5338">
        <v>4</v>
      </c>
      <c r="J5338">
        <v>1</v>
      </c>
    </row>
    <row r="5339" spans="7:10">
      <c r="G5339">
        <v>4</v>
      </c>
      <c r="H5339">
        <v>2</v>
      </c>
      <c r="I5339">
        <v>4</v>
      </c>
      <c r="J5339">
        <v>2</v>
      </c>
    </row>
    <row r="5340" spans="7:10">
      <c r="G5340">
        <v>4</v>
      </c>
      <c r="H5340">
        <v>2</v>
      </c>
      <c r="I5340">
        <v>5</v>
      </c>
      <c r="J5340">
        <v>1</v>
      </c>
    </row>
    <row r="5341" spans="7:10">
      <c r="G5341">
        <v>4</v>
      </c>
      <c r="H5341">
        <v>2</v>
      </c>
      <c r="I5341">
        <v>5</v>
      </c>
      <c r="J5341">
        <v>2</v>
      </c>
    </row>
    <row r="5342" spans="7:10">
      <c r="G5342">
        <v>4</v>
      </c>
      <c r="H5342">
        <v>3</v>
      </c>
      <c r="I5342">
        <v>1</v>
      </c>
      <c r="J5342">
        <v>1</v>
      </c>
    </row>
    <row r="5343" spans="7:10">
      <c r="G5343">
        <v>4</v>
      </c>
      <c r="H5343">
        <v>3</v>
      </c>
      <c r="I5343">
        <v>1</v>
      </c>
      <c r="J5343">
        <v>2</v>
      </c>
    </row>
    <row r="5344" spans="7:10">
      <c r="G5344">
        <v>4</v>
      </c>
      <c r="H5344">
        <v>3</v>
      </c>
      <c r="I5344">
        <v>2</v>
      </c>
      <c r="J5344">
        <v>1</v>
      </c>
    </row>
    <row r="5345" spans="7:10">
      <c r="G5345">
        <v>4</v>
      </c>
      <c r="H5345">
        <v>3</v>
      </c>
      <c r="I5345">
        <v>2</v>
      </c>
      <c r="J5345">
        <v>2</v>
      </c>
    </row>
    <row r="5346" spans="7:10">
      <c r="G5346">
        <v>4</v>
      </c>
      <c r="H5346">
        <v>3</v>
      </c>
      <c r="I5346">
        <v>3</v>
      </c>
      <c r="J5346">
        <v>1</v>
      </c>
    </row>
    <row r="5347" spans="7:10">
      <c r="G5347">
        <v>4</v>
      </c>
      <c r="H5347">
        <v>3</v>
      </c>
      <c r="I5347">
        <v>3</v>
      </c>
      <c r="J5347">
        <v>2</v>
      </c>
    </row>
    <row r="5348" spans="7:10">
      <c r="G5348">
        <v>4</v>
      </c>
      <c r="H5348">
        <v>3</v>
      </c>
      <c r="I5348">
        <v>4</v>
      </c>
      <c r="J5348">
        <v>1</v>
      </c>
    </row>
    <row r="5349" spans="7:10">
      <c r="G5349">
        <v>4</v>
      </c>
      <c r="H5349">
        <v>3</v>
      </c>
      <c r="I5349">
        <v>4</v>
      </c>
      <c r="J5349">
        <v>2</v>
      </c>
    </row>
    <row r="5350" spans="7:10">
      <c r="G5350">
        <v>4</v>
      </c>
      <c r="H5350">
        <v>3</v>
      </c>
      <c r="I5350">
        <v>5</v>
      </c>
      <c r="J5350">
        <v>1</v>
      </c>
    </row>
    <row r="5351" spans="7:10">
      <c r="G5351">
        <v>4</v>
      </c>
      <c r="H5351">
        <v>3</v>
      </c>
      <c r="I5351">
        <v>5</v>
      </c>
      <c r="J5351">
        <v>2</v>
      </c>
    </row>
    <row r="5352" spans="7:10">
      <c r="G5352">
        <v>2</v>
      </c>
      <c r="H5352">
        <v>1</v>
      </c>
      <c r="I5352">
        <v>3</v>
      </c>
      <c r="J5352">
        <v>1</v>
      </c>
    </row>
    <row r="5353" spans="7:10">
      <c r="G5353">
        <v>2</v>
      </c>
      <c r="H5353">
        <v>1</v>
      </c>
      <c r="I5353">
        <v>3</v>
      </c>
      <c r="J5353">
        <v>2</v>
      </c>
    </row>
    <row r="5354" spans="7:10">
      <c r="G5354">
        <v>2</v>
      </c>
      <c r="H5354">
        <v>1</v>
      </c>
      <c r="I5354">
        <v>4</v>
      </c>
      <c r="J5354">
        <v>1</v>
      </c>
    </row>
    <row r="5355" spans="7:10">
      <c r="G5355">
        <v>2</v>
      </c>
      <c r="H5355">
        <v>1</v>
      </c>
      <c r="I5355">
        <v>4</v>
      </c>
      <c r="J5355">
        <v>2</v>
      </c>
    </row>
    <row r="5356" spans="7:10">
      <c r="G5356">
        <v>2</v>
      </c>
      <c r="H5356">
        <v>1</v>
      </c>
      <c r="I5356">
        <v>5</v>
      </c>
      <c r="J5356">
        <v>1</v>
      </c>
    </row>
    <row r="5357" spans="7:10">
      <c r="G5357">
        <v>2</v>
      </c>
      <c r="H5357">
        <v>1</v>
      </c>
      <c r="I5357">
        <v>5</v>
      </c>
      <c r="J5357">
        <v>2</v>
      </c>
    </row>
    <row r="5358" spans="7:10">
      <c r="G5358">
        <v>2</v>
      </c>
      <c r="H5358">
        <v>2</v>
      </c>
      <c r="I5358">
        <v>1</v>
      </c>
      <c r="J5358">
        <v>1</v>
      </c>
    </row>
    <row r="5359" spans="7:10">
      <c r="G5359">
        <v>2</v>
      </c>
      <c r="H5359">
        <v>2</v>
      </c>
      <c r="I5359">
        <v>1</v>
      </c>
      <c r="J5359">
        <v>2</v>
      </c>
    </row>
    <row r="5360" spans="7:10">
      <c r="G5360">
        <v>2</v>
      </c>
      <c r="H5360">
        <v>2</v>
      </c>
      <c r="I5360">
        <v>2</v>
      </c>
      <c r="J5360">
        <v>1</v>
      </c>
    </row>
    <row r="5361" spans="7:10">
      <c r="G5361">
        <v>2</v>
      </c>
      <c r="H5361">
        <v>2</v>
      </c>
      <c r="I5361">
        <v>2</v>
      </c>
      <c r="J5361">
        <v>2</v>
      </c>
    </row>
    <row r="5362" spans="7:10">
      <c r="G5362">
        <v>2</v>
      </c>
      <c r="H5362">
        <v>2</v>
      </c>
      <c r="I5362">
        <v>3</v>
      </c>
      <c r="J5362">
        <v>1</v>
      </c>
    </row>
    <row r="5363" spans="7:10">
      <c r="G5363">
        <v>2</v>
      </c>
      <c r="H5363">
        <v>2</v>
      </c>
      <c r="I5363">
        <v>3</v>
      </c>
      <c r="J5363">
        <v>2</v>
      </c>
    </row>
    <row r="5364" spans="7:10">
      <c r="G5364">
        <v>2</v>
      </c>
      <c r="H5364">
        <v>2</v>
      </c>
      <c r="I5364">
        <v>4</v>
      </c>
      <c r="J5364">
        <v>1</v>
      </c>
    </row>
    <row r="5365" spans="7:10">
      <c r="G5365">
        <v>2</v>
      </c>
      <c r="H5365">
        <v>2</v>
      </c>
      <c r="I5365">
        <v>4</v>
      </c>
      <c r="J5365">
        <v>2</v>
      </c>
    </row>
    <row r="5366" spans="7:10">
      <c r="G5366">
        <v>2</v>
      </c>
      <c r="H5366">
        <v>2</v>
      </c>
      <c r="I5366">
        <v>5</v>
      </c>
      <c r="J5366">
        <v>1</v>
      </c>
    </row>
    <row r="5367" spans="7:10">
      <c r="G5367">
        <v>2</v>
      </c>
      <c r="H5367">
        <v>2</v>
      </c>
      <c r="I5367">
        <v>5</v>
      </c>
      <c r="J5367">
        <v>2</v>
      </c>
    </row>
    <row r="5368" spans="7:10">
      <c r="G5368">
        <v>2</v>
      </c>
      <c r="H5368">
        <v>3</v>
      </c>
      <c r="I5368">
        <v>1</v>
      </c>
      <c r="J5368">
        <v>1</v>
      </c>
    </row>
    <row r="5369" spans="7:10">
      <c r="G5369">
        <v>2</v>
      </c>
      <c r="H5369">
        <v>3</v>
      </c>
      <c r="I5369">
        <v>1</v>
      </c>
      <c r="J5369">
        <v>2</v>
      </c>
    </row>
    <row r="5370" spans="7:10">
      <c r="G5370">
        <v>2</v>
      </c>
      <c r="H5370">
        <v>3</v>
      </c>
      <c r="I5370">
        <v>2</v>
      </c>
      <c r="J5370">
        <v>1</v>
      </c>
    </row>
    <row r="5371" spans="7:10">
      <c r="G5371">
        <v>2</v>
      </c>
      <c r="H5371">
        <v>3</v>
      </c>
      <c r="I5371">
        <v>2</v>
      </c>
      <c r="J5371">
        <v>2</v>
      </c>
    </row>
    <row r="5372" spans="7:10">
      <c r="G5372">
        <v>2</v>
      </c>
      <c r="H5372">
        <v>3</v>
      </c>
      <c r="I5372">
        <v>3</v>
      </c>
      <c r="J5372">
        <v>1</v>
      </c>
    </row>
    <row r="5373" spans="7:10">
      <c r="G5373">
        <v>2</v>
      </c>
      <c r="H5373">
        <v>3</v>
      </c>
      <c r="I5373">
        <v>3</v>
      </c>
      <c r="J5373">
        <v>2</v>
      </c>
    </row>
    <row r="5374" spans="7:10">
      <c r="G5374">
        <v>2</v>
      </c>
      <c r="H5374">
        <v>3</v>
      </c>
      <c r="I5374">
        <v>4</v>
      </c>
      <c r="J5374">
        <v>1</v>
      </c>
    </row>
    <row r="5375" spans="7:10">
      <c r="G5375">
        <v>2</v>
      </c>
      <c r="H5375">
        <v>3</v>
      </c>
      <c r="I5375">
        <v>4</v>
      </c>
      <c r="J5375">
        <v>2</v>
      </c>
    </row>
    <row r="5376" spans="7:10">
      <c r="G5376">
        <v>2</v>
      </c>
      <c r="H5376">
        <v>3</v>
      </c>
      <c r="I5376">
        <v>5</v>
      </c>
      <c r="J5376">
        <v>1</v>
      </c>
    </row>
    <row r="5377" spans="7:10">
      <c r="G5377">
        <v>2</v>
      </c>
      <c r="H5377">
        <v>3</v>
      </c>
      <c r="I5377">
        <v>5</v>
      </c>
      <c r="J5377">
        <v>2</v>
      </c>
    </row>
    <row r="5378" spans="7:10">
      <c r="G5378">
        <v>3</v>
      </c>
      <c r="H5378">
        <v>1</v>
      </c>
      <c r="I5378">
        <v>3</v>
      </c>
      <c r="J5378">
        <v>1</v>
      </c>
    </row>
    <row r="5379" spans="7:10">
      <c r="G5379">
        <v>3</v>
      </c>
      <c r="H5379">
        <v>1</v>
      </c>
      <c r="I5379">
        <v>3</v>
      </c>
      <c r="J5379">
        <v>2</v>
      </c>
    </row>
    <row r="5380" spans="7:10">
      <c r="G5380">
        <v>3</v>
      </c>
      <c r="H5380">
        <v>1</v>
      </c>
      <c r="I5380">
        <v>4</v>
      </c>
      <c r="J5380">
        <v>1</v>
      </c>
    </row>
    <row r="5381" spans="7:10">
      <c r="G5381">
        <v>3</v>
      </c>
      <c r="H5381">
        <v>1</v>
      </c>
      <c r="I5381">
        <v>4</v>
      </c>
      <c r="J5381">
        <v>2</v>
      </c>
    </row>
    <row r="5382" spans="7:10">
      <c r="G5382">
        <v>3</v>
      </c>
      <c r="H5382">
        <v>1</v>
      </c>
      <c r="I5382">
        <v>5</v>
      </c>
      <c r="J5382">
        <v>1</v>
      </c>
    </row>
    <row r="5383" spans="7:10">
      <c r="G5383">
        <v>3</v>
      </c>
      <c r="H5383">
        <v>1</v>
      </c>
      <c r="I5383">
        <v>5</v>
      </c>
      <c r="J5383">
        <v>2</v>
      </c>
    </row>
    <row r="5384" spans="7:10">
      <c r="G5384">
        <v>3</v>
      </c>
      <c r="H5384">
        <v>2</v>
      </c>
      <c r="I5384">
        <v>1</v>
      </c>
      <c r="J5384">
        <v>1</v>
      </c>
    </row>
    <row r="5385" spans="7:10">
      <c r="G5385">
        <v>3</v>
      </c>
      <c r="H5385">
        <v>2</v>
      </c>
      <c r="I5385">
        <v>1</v>
      </c>
      <c r="J5385">
        <v>2</v>
      </c>
    </row>
    <row r="5386" spans="7:10">
      <c r="G5386">
        <v>3</v>
      </c>
      <c r="H5386">
        <v>2</v>
      </c>
      <c r="I5386">
        <v>2</v>
      </c>
      <c r="J5386">
        <v>1</v>
      </c>
    </row>
    <row r="5387" spans="7:10">
      <c r="G5387">
        <v>3</v>
      </c>
      <c r="H5387">
        <v>2</v>
      </c>
      <c r="I5387">
        <v>2</v>
      </c>
      <c r="J5387">
        <v>2</v>
      </c>
    </row>
    <row r="5388" spans="7:10">
      <c r="G5388">
        <v>3</v>
      </c>
      <c r="H5388">
        <v>2</v>
      </c>
      <c r="I5388">
        <v>3</v>
      </c>
      <c r="J5388">
        <v>1</v>
      </c>
    </row>
    <row r="5389" spans="7:10">
      <c r="G5389">
        <v>3</v>
      </c>
      <c r="H5389">
        <v>2</v>
      </c>
      <c r="I5389">
        <v>3</v>
      </c>
      <c r="J5389">
        <v>2</v>
      </c>
    </row>
    <row r="5390" spans="7:10">
      <c r="G5390">
        <v>3</v>
      </c>
      <c r="H5390">
        <v>2</v>
      </c>
      <c r="I5390">
        <v>4</v>
      </c>
      <c r="J5390">
        <v>1</v>
      </c>
    </row>
    <row r="5391" spans="7:10">
      <c r="G5391">
        <v>3</v>
      </c>
      <c r="H5391">
        <v>2</v>
      </c>
      <c r="I5391">
        <v>4</v>
      </c>
      <c r="J5391">
        <v>2</v>
      </c>
    </row>
    <row r="5392" spans="7:10">
      <c r="G5392">
        <v>3</v>
      </c>
      <c r="H5392">
        <v>2</v>
      </c>
      <c r="I5392">
        <v>5</v>
      </c>
      <c r="J5392">
        <v>1</v>
      </c>
    </row>
    <row r="5393" spans="7:10">
      <c r="G5393">
        <v>3</v>
      </c>
      <c r="H5393">
        <v>2</v>
      </c>
      <c r="I5393">
        <v>5</v>
      </c>
      <c r="J5393">
        <v>2</v>
      </c>
    </row>
    <row r="5394" spans="7:10">
      <c r="G5394">
        <v>3</v>
      </c>
      <c r="H5394">
        <v>3</v>
      </c>
      <c r="I5394">
        <v>1</v>
      </c>
      <c r="J5394">
        <v>1</v>
      </c>
    </row>
    <row r="5395" spans="7:10">
      <c r="G5395">
        <v>3</v>
      </c>
      <c r="H5395">
        <v>3</v>
      </c>
      <c r="I5395">
        <v>1</v>
      </c>
      <c r="J5395">
        <v>2</v>
      </c>
    </row>
    <row r="5396" spans="7:10">
      <c r="G5396">
        <v>3</v>
      </c>
      <c r="H5396">
        <v>3</v>
      </c>
      <c r="I5396">
        <v>2</v>
      </c>
      <c r="J5396">
        <v>1</v>
      </c>
    </row>
    <row r="5397" spans="7:10">
      <c r="G5397">
        <v>3</v>
      </c>
      <c r="H5397">
        <v>3</v>
      </c>
      <c r="I5397">
        <v>2</v>
      </c>
      <c r="J5397">
        <v>2</v>
      </c>
    </row>
    <row r="5398" spans="7:10">
      <c r="G5398">
        <v>3</v>
      </c>
      <c r="H5398">
        <v>3</v>
      </c>
      <c r="I5398">
        <v>3</v>
      </c>
      <c r="J5398">
        <v>1</v>
      </c>
    </row>
    <row r="5399" spans="7:10">
      <c r="G5399">
        <v>3</v>
      </c>
      <c r="H5399">
        <v>3</v>
      </c>
      <c r="I5399">
        <v>3</v>
      </c>
      <c r="J5399">
        <v>2</v>
      </c>
    </row>
    <row r="5400" spans="7:10">
      <c r="G5400">
        <v>3</v>
      </c>
      <c r="H5400">
        <v>3</v>
      </c>
      <c r="I5400">
        <v>4</v>
      </c>
      <c r="J5400">
        <v>1</v>
      </c>
    </row>
    <row r="5401" spans="7:10">
      <c r="G5401">
        <v>3</v>
      </c>
      <c r="H5401">
        <v>3</v>
      </c>
      <c r="I5401">
        <v>4</v>
      </c>
      <c r="J5401">
        <v>2</v>
      </c>
    </row>
    <row r="5402" spans="7:10">
      <c r="G5402">
        <v>3</v>
      </c>
      <c r="H5402">
        <v>3</v>
      </c>
      <c r="I5402">
        <v>5</v>
      </c>
      <c r="J5402">
        <v>1</v>
      </c>
    </row>
    <row r="5403" spans="7:10">
      <c r="G5403">
        <v>3</v>
      </c>
      <c r="H5403">
        <v>3</v>
      </c>
      <c r="I5403">
        <v>5</v>
      </c>
      <c r="J5403">
        <v>2</v>
      </c>
    </row>
    <row r="5404" spans="7:10">
      <c r="G5404">
        <v>4</v>
      </c>
      <c r="H5404">
        <v>1</v>
      </c>
      <c r="I5404">
        <v>3</v>
      </c>
      <c r="J5404">
        <v>1</v>
      </c>
    </row>
    <row r="5405" spans="7:10">
      <c r="G5405">
        <v>4</v>
      </c>
      <c r="H5405">
        <v>1</v>
      </c>
      <c r="I5405">
        <v>3</v>
      </c>
      <c r="J5405">
        <v>2</v>
      </c>
    </row>
    <row r="5406" spans="7:10">
      <c r="G5406">
        <v>4</v>
      </c>
      <c r="H5406">
        <v>1</v>
      </c>
      <c r="I5406">
        <v>4</v>
      </c>
      <c r="J5406">
        <v>1</v>
      </c>
    </row>
    <row r="5407" spans="7:10">
      <c r="G5407">
        <v>4</v>
      </c>
      <c r="H5407">
        <v>1</v>
      </c>
      <c r="I5407">
        <v>4</v>
      </c>
      <c r="J5407">
        <v>2</v>
      </c>
    </row>
    <row r="5408" spans="7:10">
      <c r="G5408">
        <v>4</v>
      </c>
      <c r="H5408">
        <v>1</v>
      </c>
      <c r="I5408">
        <v>5</v>
      </c>
      <c r="J5408">
        <v>1</v>
      </c>
    </row>
    <row r="5409" spans="7:10">
      <c r="G5409">
        <v>4</v>
      </c>
      <c r="H5409">
        <v>1</v>
      </c>
      <c r="I5409">
        <v>5</v>
      </c>
      <c r="J5409">
        <v>2</v>
      </c>
    </row>
    <row r="5410" spans="7:10">
      <c r="G5410">
        <v>4</v>
      </c>
      <c r="H5410">
        <v>2</v>
      </c>
      <c r="I5410">
        <v>1</v>
      </c>
      <c r="J5410">
        <v>1</v>
      </c>
    </row>
    <row r="5411" spans="7:10">
      <c r="G5411">
        <v>4</v>
      </c>
      <c r="H5411">
        <v>2</v>
      </c>
      <c r="I5411">
        <v>1</v>
      </c>
      <c r="J5411">
        <v>2</v>
      </c>
    </row>
    <row r="5412" spans="7:10">
      <c r="G5412">
        <v>4</v>
      </c>
      <c r="H5412">
        <v>2</v>
      </c>
      <c r="I5412">
        <v>2</v>
      </c>
      <c r="J5412">
        <v>1</v>
      </c>
    </row>
    <row r="5413" spans="7:10">
      <c r="G5413">
        <v>4</v>
      </c>
      <c r="H5413">
        <v>2</v>
      </c>
      <c r="I5413">
        <v>2</v>
      </c>
      <c r="J5413">
        <v>2</v>
      </c>
    </row>
    <row r="5414" spans="7:10">
      <c r="G5414">
        <v>4</v>
      </c>
      <c r="H5414">
        <v>2</v>
      </c>
      <c r="I5414">
        <v>3</v>
      </c>
      <c r="J5414">
        <v>1</v>
      </c>
    </row>
    <row r="5415" spans="7:10">
      <c r="G5415">
        <v>4</v>
      </c>
      <c r="H5415">
        <v>2</v>
      </c>
      <c r="I5415">
        <v>3</v>
      </c>
      <c r="J5415">
        <v>2</v>
      </c>
    </row>
    <row r="5416" spans="7:10">
      <c r="G5416">
        <v>4</v>
      </c>
      <c r="H5416">
        <v>2</v>
      </c>
      <c r="I5416">
        <v>4</v>
      </c>
      <c r="J5416">
        <v>1</v>
      </c>
    </row>
    <row r="5417" spans="7:10">
      <c r="G5417">
        <v>4</v>
      </c>
      <c r="H5417">
        <v>2</v>
      </c>
      <c r="I5417">
        <v>4</v>
      </c>
      <c r="J5417">
        <v>2</v>
      </c>
    </row>
    <row r="5418" spans="7:10">
      <c r="G5418">
        <v>4</v>
      </c>
      <c r="H5418">
        <v>2</v>
      </c>
      <c r="I5418">
        <v>5</v>
      </c>
      <c r="J5418">
        <v>1</v>
      </c>
    </row>
    <row r="5419" spans="7:10">
      <c r="G5419">
        <v>4</v>
      </c>
      <c r="H5419">
        <v>2</v>
      </c>
      <c r="I5419">
        <v>5</v>
      </c>
      <c r="J5419">
        <v>2</v>
      </c>
    </row>
    <row r="5420" spans="7:10">
      <c r="G5420">
        <v>4</v>
      </c>
      <c r="H5420">
        <v>3</v>
      </c>
      <c r="I5420">
        <v>1</v>
      </c>
      <c r="J5420">
        <v>1</v>
      </c>
    </row>
    <row r="5421" spans="7:10">
      <c r="G5421">
        <v>4</v>
      </c>
      <c r="H5421">
        <v>3</v>
      </c>
      <c r="I5421">
        <v>1</v>
      </c>
      <c r="J5421">
        <v>2</v>
      </c>
    </row>
    <row r="5422" spans="7:10">
      <c r="G5422">
        <v>4</v>
      </c>
      <c r="H5422">
        <v>3</v>
      </c>
      <c r="I5422">
        <v>2</v>
      </c>
      <c r="J5422">
        <v>1</v>
      </c>
    </row>
    <row r="5423" spans="7:10">
      <c r="G5423">
        <v>4</v>
      </c>
      <c r="H5423">
        <v>3</v>
      </c>
      <c r="I5423">
        <v>2</v>
      </c>
      <c r="J5423">
        <v>2</v>
      </c>
    </row>
    <row r="5424" spans="7:10">
      <c r="G5424">
        <v>4</v>
      </c>
      <c r="H5424">
        <v>3</v>
      </c>
      <c r="I5424">
        <v>3</v>
      </c>
      <c r="J5424">
        <v>1</v>
      </c>
    </row>
    <row r="5425" spans="7:10">
      <c r="G5425">
        <v>4</v>
      </c>
      <c r="H5425">
        <v>3</v>
      </c>
      <c r="I5425">
        <v>3</v>
      </c>
      <c r="J5425">
        <v>2</v>
      </c>
    </row>
    <row r="5426" spans="7:10">
      <c r="G5426">
        <v>4</v>
      </c>
      <c r="H5426">
        <v>3</v>
      </c>
      <c r="I5426">
        <v>4</v>
      </c>
      <c r="J5426">
        <v>1</v>
      </c>
    </row>
    <row r="5427" spans="7:10">
      <c r="G5427">
        <v>4</v>
      </c>
      <c r="H5427">
        <v>3</v>
      </c>
      <c r="I5427">
        <v>4</v>
      </c>
      <c r="J5427">
        <v>2</v>
      </c>
    </row>
    <row r="5428" spans="7:10">
      <c r="G5428">
        <v>4</v>
      </c>
      <c r="H5428">
        <v>3</v>
      </c>
      <c r="I5428">
        <v>5</v>
      </c>
      <c r="J5428">
        <v>1</v>
      </c>
    </row>
    <row r="5429" spans="7:10">
      <c r="G5429">
        <v>4</v>
      </c>
      <c r="H5429">
        <v>3</v>
      </c>
      <c r="I5429">
        <v>5</v>
      </c>
      <c r="J5429">
        <v>2</v>
      </c>
    </row>
    <row r="5430" spans="7:10">
      <c r="G5430">
        <v>1</v>
      </c>
      <c r="H5430">
        <v>2</v>
      </c>
      <c r="I5430">
        <v>1</v>
      </c>
      <c r="J5430">
        <v>1</v>
      </c>
    </row>
    <row r="5431" spans="7:10">
      <c r="G5431">
        <v>1</v>
      </c>
      <c r="H5431">
        <v>2</v>
      </c>
      <c r="I5431">
        <v>1</v>
      </c>
      <c r="J5431">
        <v>2</v>
      </c>
    </row>
    <row r="5432" spans="7:10">
      <c r="G5432">
        <v>1</v>
      </c>
      <c r="H5432">
        <v>2</v>
      </c>
      <c r="I5432">
        <v>2</v>
      </c>
      <c r="J5432">
        <v>1</v>
      </c>
    </row>
    <row r="5433" spans="7:10">
      <c r="G5433">
        <v>1</v>
      </c>
      <c r="H5433">
        <v>2</v>
      </c>
      <c r="I5433">
        <v>2</v>
      </c>
      <c r="J5433">
        <v>2</v>
      </c>
    </row>
    <row r="5434" spans="7:10">
      <c r="G5434">
        <v>1</v>
      </c>
      <c r="H5434">
        <v>2</v>
      </c>
      <c r="I5434">
        <v>3</v>
      </c>
      <c r="J5434">
        <v>1</v>
      </c>
    </row>
    <row r="5435" spans="7:10">
      <c r="G5435">
        <v>1</v>
      </c>
      <c r="H5435">
        <v>2</v>
      </c>
      <c r="I5435">
        <v>3</v>
      </c>
      <c r="J5435">
        <v>2</v>
      </c>
    </row>
    <row r="5436" spans="7:10">
      <c r="G5436">
        <v>1</v>
      </c>
      <c r="H5436">
        <v>2</v>
      </c>
      <c r="I5436">
        <v>4</v>
      </c>
      <c r="J5436">
        <v>1</v>
      </c>
    </row>
    <row r="5437" spans="7:10">
      <c r="G5437">
        <v>1</v>
      </c>
      <c r="H5437">
        <v>2</v>
      </c>
      <c r="I5437">
        <v>4</v>
      </c>
      <c r="J5437">
        <v>2</v>
      </c>
    </row>
    <row r="5438" spans="7:10">
      <c r="G5438">
        <v>1</v>
      </c>
      <c r="H5438">
        <v>2</v>
      </c>
      <c r="I5438">
        <v>5</v>
      </c>
      <c r="J5438">
        <v>1</v>
      </c>
    </row>
    <row r="5439" spans="7:10">
      <c r="G5439">
        <v>1</v>
      </c>
      <c r="H5439">
        <v>2</v>
      </c>
      <c r="I5439">
        <v>5</v>
      </c>
      <c r="J5439">
        <v>2</v>
      </c>
    </row>
    <row r="5440" spans="7:10">
      <c r="G5440">
        <v>1</v>
      </c>
      <c r="H5440">
        <v>3</v>
      </c>
      <c r="I5440">
        <v>1</v>
      </c>
      <c r="J5440">
        <v>1</v>
      </c>
    </row>
    <row r="5441" spans="7:10">
      <c r="G5441">
        <v>1</v>
      </c>
      <c r="H5441">
        <v>3</v>
      </c>
      <c r="I5441">
        <v>1</v>
      </c>
      <c r="J5441">
        <v>2</v>
      </c>
    </row>
    <row r="5442" spans="7:10">
      <c r="G5442">
        <v>1</v>
      </c>
      <c r="H5442">
        <v>3</v>
      </c>
      <c r="I5442">
        <v>2</v>
      </c>
      <c r="J5442">
        <v>1</v>
      </c>
    </row>
    <row r="5443" spans="7:10">
      <c r="G5443">
        <v>1</v>
      </c>
      <c r="H5443">
        <v>3</v>
      </c>
      <c r="I5443">
        <v>2</v>
      </c>
      <c r="J5443">
        <v>2</v>
      </c>
    </row>
    <row r="5444" spans="7:10">
      <c r="G5444">
        <v>1</v>
      </c>
      <c r="H5444">
        <v>3</v>
      </c>
      <c r="I5444">
        <v>3</v>
      </c>
      <c r="J5444">
        <v>1</v>
      </c>
    </row>
    <row r="5445" spans="7:10">
      <c r="G5445">
        <v>1</v>
      </c>
      <c r="H5445">
        <v>3</v>
      </c>
      <c r="I5445">
        <v>3</v>
      </c>
      <c r="J5445">
        <v>2</v>
      </c>
    </row>
    <row r="5446" spans="7:10">
      <c r="G5446">
        <v>1</v>
      </c>
      <c r="H5446">
        <v>3</v>
      </c>
      <c r="I5446">
        <v>4</v>
      </c>
      <c r="J5446">
        <v>1</v>
      </c>
    </row>
    <row r="5447" spans="7:10">
      <c r="G5447">
        <v>1</v>
      </c>
      <c r="H5447">
        <v>3</v>
      </c>
      <c r="I5447">
        <v>4</v>
      </c>
      <c r="J5447">
        <v>2</v>
      </c>
    </row>
    <row r="5448" spans="7:10">
      <c r="G5448">
        <v>1</v>
      </c>
      <c r="H5448">
        <v>3</v>
      </c>
      <c r="I5448">
        <v>5</v>
      </c>
      <c r="J5448">
        <v>1</v>
      </c>
    </row>
    <row r="5449" spans="7:10">
      <c r="G5449">
        <v>1</v>
      </c>
      <c r="H5449">
        <v>3</v>
      </c>
      <c r="I5449">
        <v>5</v>
      </c>
      <c r="J5449">
        <v>2</v>
      </c>
    </row>
    <row r="5450" spans="7:10">
      <c r="G5450">
        <v>2</v>
      </c>
      <c r="H5450">
        <v>1</v>
      </c>
      <c r="I5450">
        <v>3</v>
      </c>
      <c r="J5450">
        <v>1</v>
      </c>
    </row>
    <row r="5451" spans="7:10">
      <c r="G5451">
        <v>2</v>
      </c>
      <c r="H5451">
        <v>1</v>
      </c>
      <c r="I5451">
        <v>3</v>
      </c>
      <c r="J5451">
        <v>2</v>
      </c>
    </row>
    <row r="5452" spans="7:10">
      <c r="G5452">
        <v>2</v>
      </c>
      <c r="H5452">
        <v>1</v>
      </c>
      <c r="I5452">
        <v>4</v>
      </c>
      <c r="J5452">
        <v>1</v>
      </c>
    </row>
    <row r="5453" spans="7:10">
      <c r="G5453">
        <v>2</v>
      </c>
      <c r="H5453">
        <v>1</v>
      </c>
      <c r="I5453">
        <v>4</v>
      </c>
      <c r="J5453">
        <v>2</v>
      </c>
    </row>
    <row r="5454" spans="7:10">
      <c r="G5454">
        <v>2</v>
      </c>
      <c r="H5454">
        <v>1</v>
      </c>
      <c r="I5454">
        <v>5</v>
      </c>
      <c r="J5454">
        <v>1</v>
      </c>
    </row>
    <row r="5455" spans="7:10">
      <c r="G5455">
        <v>2</v>
      </c>
      <c r="H5455">
        <v>1</v>
      </c>
      <c r="I5455">
        <v>5</v>
      </c>
      <c r="J5455">
        <v>2</v>
      </c>
    </row>
    <row r="5456" spans="7:10">
      <c r="G5456">
        <v>2</v>
      </c>
      <c r="H5456">
        <v>2</v>
      </c>
      <c r="I5456">
        <v>1</v>
      </c>
      <c r="J5456">
        <v>1</v>
      </c>
    </row>
    <row r="5457" spans="7:10">
      <c r="G5457">
        <v>2</v>
      </c>
      <c r="H5457">
        <v>2</v>
      </c>
      <c r="I5457">
        <v>1</v>
      </c>
      <c r="J5457">
        <v>2</v>
      </c>
    </row>
    <row r="5458" spans="7:10">
      <c r="G5458">
        <v>2</v>
      </c>
      <c r="H5458">
        <v>2</v>
      </c>
      <c r="I5458">
        <v>2</v>
      </c>
      <c r="J5458">
        <v>1</v>
      </c>
    </row>
    <row r="5459" spans="7:10">
      <c r="G5459">
        <v>2</v>
      </c>
      <c r="H5459">
        <v>2</v>
      </c>
      <c r="I5459">
        <v>2</v>
      </c>
      <c r="J5459">
        <v>2</v>
      </c>
    </row>
    <row r="5460" spans="7:10">
      <c r="G5460">
        <v>2</v>
      </c>
      <c r="H5460">
        <v>2</v>
      </c>
      <c r="I5460">
        <v>3</v>
      </c>
      <c r="J5460">
        <v>1</v>
      </c>
    </row>
    <row r="5461" spans="7:10">
      <c r="G5461">
        <v>2</v>
      </c>
      <c r="H5461">
        <v>2</v>
      </c>
      <c r="I5461">
        <v>3</v>
      </c>
      <c r="J5461">
        <v>2</v>
      </c>
    </row>
    <row r="5462" spans="7:10">
      <c r="G5462">
        <v>2</v>
      </c>
      <c r="H5462">
        <v>2</v>
      </c>
      <c r="I5462">
        <v>4</v>
      </c>
      <c r="J5462">
        <v>1</v>
      </c>
    </row>
    <row r="5463" spans="7:10">
      <c r="G5463">
        <v>2</v>
      </c>
      <c r="H5463">
        <v>2</v>
      </c>
      <c r="I5463">
        <v>4</v>
      </c>
      <c r="J5463">
        <v>2</v>
      </c>
    </row>
    <row r="5464" spans="7:10">
      <c r="G5464">
        <v>2</v>
      </c>
      <c r="H5464">
        <v>2</v>
      </c>
      <c r="I5464">
        <v>5</v>
      </c>
      <c r="J5464">
        <v>1</v>
      </c>
    </row>
    <row r="5465" spans="7:10">
      <c r="G5465">
        <v>2</v>
      </c>
      <c r="H5465">
        <v>2</v>
      </c>
      <c r="I5465">
        <v>5</v>
      </c>
      <c r="J5465">
        <v>2</v>
      </c>
    </row>
    <row r="5466" spans="7:10">
      <c r="G5466">
        <v>2</v>
      </c>
      <c r="H5466">
        <v>3</v>
      </c>
      <c r="I5466">
        <v>1</v>
      </c>
      <c r="J5466">
        <v>1</v>
      </c>
    </row>
    <row r="5467" spans="7:10">
      <c r="G5467">
        <v>2</v>
      </c>
      <c r="H5467">
        <v>3</v>
      </c>
      <c r="I5467">
        <v>1</v>
      </c>
      <c r="J5467">
        <v>2</v>
      </c>
    </row>
    <row r="5468" spans="7:10">
      <c r="G5468">
        <v>2</v>
      </c>
      <c r="H5468">
        <v>3</v>
      </c>
      <c r="I5468">
        <v>2</v>
      </c>
      <c r="J5468">
        <v>1</v>
      </c>
    </row>
    <row r="5469" spans="7:10">
      <c r="G5469">
        <v>2</v>
      </c>
      <c r="H5469">
        <v>3</v>
      </c>
      <c r="I5469">
        <v>2</v>
      </c>
      <c r="J5469">
        <v>2</v>
      </c>
    </row>
    <row r="5470" spans="7:10">
      <c r="G5470">
        <v>2</v>
      </c>
      <c r="H5470">
        <v>3</v>
      </c>
      <c r="I5470">
        <v>3</v>
      </c>
      <c r="J5470">
        <v>1</v>
      </c>
    </row>
    <row r="5471" spans="7:10">
      <c r="G5471">
        <v>2</v>
      </c>
      <c r="H5471">
        <v>3</v>
      </c>
      <c r="I5471">
        <v>3</v>
      </c>
      <c r="J5471">
        <v>2</v>
      </c>
    </row>
    <row r="5472" spans="7:10">
      <c r="G5472">
        <v>2</v>
      </c>
      <c r="H5472">
        <v>3</v>
      </c>
      <c r="I5472">
        <v>4</v>
      </c>
      <c r="J5472">
        <v>1</v>
      </c>
    </row>
    <row r="5473" spans="7:10">
      <c r="G5473">
        <v>2</v>
      </c>
      <c r="H5473">
        <v>3</v>
      </c>
      <c r="I5473">
        <v>4</v>
      </c>
      <c r="J5473">
        <v>2</v>
      </c>
    </row>
    <row r="5474" spans="7:10">
      <c r="G5474">
        <v>2</v>
      </c>
      <c r="H5474">
        <v>3</v>
      </c>
      <c r="I5474">
        <v>5</v>
      </c>
      <c r="J5474">
        <v>1</v>
      </c>
    </row>
    <row r="5475" spans="7:10">
      <c r="G5475">
        <v>2</v>
      </c>
      <c r="H5475">
        <v>3</v>
      </c>
      <c r="I5475">
        <v>5</v>
      </c>
      <c r="J5475">
        <v>2</v>
      </c>
    </row>
    <row r="5476" spans="7:10">
      <c r="G5476">
        <v>3</v>
      </c>
      <c r="H5476">
        <v>1</v>
      </c>
      <c r="I5476">
        <v>3</v>
      </c>
      <c r="J5476">
        <v>1</v>
      </c>
    </row>
    <row r="5477" spans="7:10">
      <c r="G5477">
        <v>3</v>
      </c>
      <c r="H5477">
        <v>1</v>
      </c>
      <c r="I5477">
        <v>3</v>
      </c>
      <c r="J5477">
        <v>2</v>
      </c>
    </row>
    <row r="5478" spans="7:10">
      <c r="G5478">
        <v>3</v>
      </c>
      <c r="H5478">
        <v>1</v>
      </c>
      <c r="I5478">
        <v>4</v>
      </c>
      <c r="J5478">
        <v>1</v>
      </c>
    </row>
    <row r="5479" spans="7:10">
      <c r="G5479">
        <v>3</v>
      </c>
      <c r="H5479">
        <v>1</v>
      </c>
      <c r="I5479">
        <v>4</v>
      </c>
      <c r="J5479">
        <v>2</v>
      </c>
    </row>
    <row r="5480" spans="7:10">
      <c r="G5480">
        <v>3</v>
      </c>
      <c r="H5480">
        <v>1</v>
      </c>
      <c r="I5480">
        <v>5</v>
      </c>
      <c r="J5480">
        <v>1</v>
      </c>
    </row>
    <row r="5481" spans="7:10">
      <c r="G5481">
        <v>3</v>
      </c>
      <c r="H5481">
        <v>1</v>
      </c>
      <c r="I5481">
        <v>5</v>
      </c>
      <c r="J5481">
        <v>2</v>
      </c>
    </row>
    <row r="5482" spans="7:10">
      <c r="G5482">
        <v>3</v>
      </c>
      <c r="H5482">
        <v>2</v>
      </c>
      <c r="I5482">
        <v>1</v>
      </c>
      <c r="J5482">
        <v>1</v>
      </c>
    </row>
    <row r="5483" spans="7:10">
      <c r="G5483">
        <v>3</v>
      </c>
      <c r="H5483">
        <v>2</v>
      </c>
      <c r="I5483">
        <v>1</v>
      </c>
      <c r="J5483">
        <v>2</v>
      </c>
    </row>
    <row r="5484" spans="7:10">
      <c r="G5484">
        <v>3</v>
      </c>
      <c r="H5484">
        <v>2</v>
      </c>
      <c r="I5484">
        <v>2</v>
      </c>
      <c r="J5484">
        <v>1</v>
      </c>
    </row>
    <row r="5485" spans="7:10">
      <c r="G5485">
        <v>3</v>
      </c>
      <c r="H5485">
        <v>2</v>
      </c>
      <c r="I5485">
        <v>2</v>
      </c>
      <c r="J5485">
        <v>2</v>
      </c>
    </row>
    <row r="5486" spans="7:10">
      <c r="G5486">
        <v>3</v>
      </c>
      <c r="H5486">
        <v>2</v>
      </c>
      <c r="I5486">
        <v>3</v>
      </c>
      <c r="J5486">
        <v>1</v>
      </c>
    </row>
    <row r="5487" spans="7:10">
      <c r="G5487">
        <v>3</v>
      </c>
      <c r="H5487">
        <v>2</v>
      </c>
      <c r="I5487">
        <v>3</v>
      </c>
      <c r="J5487">
        <v>2</v>
      </c>
    </row>
    <row r="5488" spans="7:10">
      <c r="G5488">
        <v>3</v>
      </c>
      <c r="H5488">
        <v>2</v>
      </c>
      <c r="I5488">
        <v>4</v>
      </c>
      <c r="J5488">
        <v>1</v>
      </c>
    </row>
    <row r="5489" spans="7:10">
      <c r="G5489">
        <v>3</v>
      </c>
      <c r="H5489">
        <v>2</v>
      </c>
      <c r="I5489">
        <v>4</v>
      </c>
      <c r="J5489">
        <v>2</v>
      </c>
    </row>
    <row r="5490" spans="7:10">
      <c r="G5490">
        <v>3</v>
      </c>
      <c r="H5490">
        <v>2</v>
      </c>
      <c r="I5490">
        <v>5</v>
      </c>
      <c r="J5490">
        <v>1</v>
      </c>
    </row>
    <row r="5491" spans="7:10">
      <c r="G5491">
        <v>3</v>
      </c>
      <c r="H5491">
        <v>2</v>
      </c>
      <c r="I5491">
        <v>5</v>
      </c>
      <c r="J5491">
        <v>2</v>
      </c>
    </row>
    <row r="5492" spans="7:10">
      <c r="G5492">
        <v>3</v>
      </c>
      <c r="H5492">
        <v>3</v>
      </c>
      <c r="I5492">
        <v>1</v>
      </c>
      <c r="J5492">
        <v>1</v>
      </c>
    </row>
    <row r="5493" spans="7:10">
      <c r="G5493">
        <v>3</v>
      </c>
      <c r="H5493">
        <v>3</v>
      </c>
      <c r="I5493">
        <v>1</v>
      </c>
      <c r="J5493">
        <v>2</v>
      </c>
    </row>
    <row r="5494" spans="7:10">
      <c r="G5494">
        <v>3</v>
      </c>
      <c r="H5494">
        <v>3</v>
      </c>
      <c r="I5494">
        <v>2</v>
      </c>
      <c r="J5494">
        <v>1</v>
      </c>
    </row>
    <row r="5495" spans="7:10">
      <c r="G5495">
        <v>3</v>
      </c>
      <c r="H5495">
        <v>3</v>
      </c>
      <c r="I5495">
        <v>2</v>
      </c>
      <c r="J5495">
        <v>2</v>
      </c>
    </row>
    <row r="5496" spans="7:10">
      <c r="G5496">
        <v>3</v>
      </c>
      <c r="H5496">
        <v>3</v>
      </c>
      <c r="I5496">
        <v>3</v>
      </c>
      <c r="J5496">
        <v>1</v>
      </c>
    </row>
    <row r="5497" spans="7:10">
      <c r="G5497">
        <v>3</v>
      </c>
      <c r="H5497">
        <v>3</v>
      </c>
      <c r="I5497">
        <v>3</v>
      </c>
      <c r="J5497">
        <v>2</v>
      </c>
    </row>
    <row r="5498" spans="7:10">
      <c r="G5498">
        <v>3</v>
      </c>
      <c r="H5498">
        <v>3</v>
      </c>
      <c r="I5498">
        <v>4</v>
      </c>
      <c r="J5498">
        <v>1</v>
      </c>
    </row>
    <row r="5499" spans="7:10">
      <c r="G5499">
        <v>3</v>
      </c>
      <c r="H5499">
        <v>3</v>
      </c>
      <c r="I5499">
        <v>4</v>
      </c>
      <c r="J5499">
        <v>2</v>
      </c>
    </row>
    <row r="5500" spans="7:10">
      <c r="G5500">
        <v>3</v>
      </c>
      <c r="H5500">
        <v>3</v>
      </c>
      <c r="I5500">
        <v>5</v>
      </c>
      <c r="J5500">
        <v>1</v>
      </c>
    </row>
    <row r="5501" spans="7:10">
      <c r="G5501">
        <v>3</v>
      </c>
      <c r="H5501">
        <v>3</v>
      </c>
      <c r="I5501">
        <v>5</v>
      </c>
      <c r="J5501">
        <v>2</v>
      </c>
    </row>
    <row r="5502" spans="7:10">
      <c r="G5502">
        <v>4</v>
      </c>
      <c r="H5502">
        <v>1</v>
      </c>
      <c r="I5502">
        <v>3</v>
      </c>
      <c r="J5502">
        <v>1</v>
      </c>
    </row>
    <row r="5503" spans="7:10">
      <c r="G5503">
        <v>4</v>
      </c>
      <c r="H5503">
        <v>1</v>
      </c>
      <c r="I5503">
        <v>3</v>
      </c>
      <c r="J5503">
        <v>2</v>
      </c>
    </row>
    <row r="5504" spans="7:10">
      <c r="G5504">
        <v>4</v>
      </c>
      <c r="H5504">
        <v>1</v>
      </c>
      <c r="I5504">
        <v>4</v>
      </c>
      <c r="J5504">
        <v>1</v>
      </c>
    </row>
    <row r="5505" spans="7:10">
      <c r="G5505">
        <v>4</v>
      </c>
      <c r="H5505">
        <v>1</v>
      </c>
      <c r="I5505">
        <v>4</v>
      </c>
      <c r="J5505">
        <v>2</v>
      </c>
    </row>
    <row r="5506" spans="7:10">
      <c r="G5506">
        <v>4</v>
      </c>
      <c r="H5506">
        <v>1</v>
      </c>
      <c r="I5506">
        <v>5</v>
      </c>
      <c r="J5506">
        <v>1</v>
      </c>
    </row>
    <row r="5507" spans="7:10">
      <c r="G5507">
        <v>4</v>
      </c>
      <c r="H5507">
        <v>1</v>
      </c>
      <c r="I5507">
        <v>5</v>
      </c>
      <c r="J5507">
        <v>2</v>
      </c>
    </row>
    <row r="5508" spans="7:10">
      <c r="G5508">
        <v>4</v>
      </c>
      <c r="H5508">
        <v>2</v>
      </c>
      <c r="I5508">
        <v>1</v>
      </c>
      <c r="J5508">
        <v>1</v>
      </c>
    </row>
    <row r="5509" spans="7:10">
      <c r="G5509">
        <v>4</v>
      </c>
      <c r="H5509">
        <v>2</v>
      </c>
      <c r="I5509">
        <v>1</v>
      </c>
      <c r="J5509">
        <v>2</v>
      </c>
    </row>
    <row r="5510" spans="7:10">
      <c r="G5510">
        <v>4</v>
      </c>
      <c r="H5510">
        <v>2</v>
      </c>
      <c r="I5510">
        <v>2</v>
      </c>
      <c r="J5510">
        <v>1</v>
      </c>
    </row>
    <row r="5511" spans="7:10">
      <c r="G5511">
        <v>4</v>
      </c>
      <c r="H5511">
        <v>2</v>
      </c>
      <c r="I5511">
        <v>2</v>
      </c>
      <c r="J5511">
        <v>2</v>
      </c>
    </row>
    <row r="5512" spans="7:10">
      <c r="G5512">
        <v>4</v>
      </c>
      <c r="H5512">
        <v>2</v>
      </c>
      <c r="I5512">
        <v>3</v>
      </c>
      <c r="J5512">
        <v>1</v>
      </c>
    </row>
    <row r="5513" spans="7:10">
      <c r="G5513">
        <v>4</v>
      </c>
      <c r="H5513">
        <v>2</v>
      </c>
      <c r="I5513">
        <v>3</v>
      </c>
      <c r="J5513">
        <v>2</v>
      </c>
    </row>
    <row r="5514" spans="7:10">
      <c r="G5514">
        <v>4</v>
      </c>
      <c r="H5514">
        <v>2</v>
      </c>
      <c r="I5514">
        <v>4</v>
      </c>
      <c r="J5514">
        <v>1</v>
      </c>
    </row>
    <row r="5515" spans="7:10">
      <c r="G5515">
        <v>4</v>
      </c>
      <c r="H5515">
        <v>2</v>
      </c>
      <c r="I5515">
        <v>4</v>
      </c>
      <c r="J5515">
        <v>2</v>
      </c>
    </row>
    <row r="5516" spans="7:10">
      <c r="G5516">
        <v>4</v>
      </c>
      <c r="H5516">
        <v>2</v>
      </c>
      <c r="I5516">
        <v>5</v>
      </c>
      <c r="J5516">
        <v>1</v>
      </c>
    </row>
    <row r="5517" spans="7:10">
      <c r="G5517">
        <v>4</v>
      </c>
      <c r="H5517">
        <v>2</v>
      </c>
      <c r="I5517">
        <v>5</v>
      </c>
      <c r="J5517">
        <v>2</v>
      </c>
    </row>
    <row r="5518" spans="7:10">
      <c r="G5518">
        <v>4</v>
      </c>
      <c r="H5518">
        <v>3</v>
      </c>
      <c r="I5518">
        <v>1</v>
      </c>
      <c r="J5518">
        <v>1</v>
      </c>
    </row>
    <row r="5519" spans="7:10">
      <c r="G5519">
        <v>4</v>
      </c>
      <c r="H5519">
        <v>3</v>
      </c>
      <c r="I5519">
        <v>1</v>
      </c>
      <c r="J5519">
        <v>2</v>
      </c>
    </row>
    <row r="5520" spans="7:10">
      <c r="G5520">
        <v>4</v>
      </c>
      <c r="H5520">
        <v>3</v>
      </c>
      <c r="I5520">
        <v>2</v>
      </c>
      <c r="J5520">
        <v>1</v>
      </c>
    </row>
    <row r="5521" spans="7:10">
      <c r="G5521">
        <v>4</v>
      </c>
      <c r="H5521">
        <v>3</v>
      </c>
      <c r="I5521">
        <v>2</v>
      </c>
      <c r="J5521">
        <v>2</v>
      </c>
    </row>
    <row r="5522" spans="7:10">
      <c r="G5522">
        <v>4</v>
      </c>
      <c r="H5522">
        <v>3</v>
      </c>
      <c r="I5522">
        <v>3</v>
      </c>
      <c r="J5522">
        <v>1</v>
      </c>
    </row>
    <row r="5523" spans="7:10">
      <c r="G5523">
        <v>4</v>
      </c>
      <c r="H5523">
        <v>3</v>
      </c>
      <c r="I5523">
        <v>3</v>
      </c>
      <c r="J5523">
        <v>2</v>
      </c>
    </row>
    <row r="5524" spans="7:10">
      <c r="G5524">
        <v>4</v>
      </c>
      <c r="H5524">
        <v>3</v>
      </c>
      <c r="I5524">
        <v>4</v>
      </c>
      <c r="J5524">
        <v>1</v>
      </c>
    </row>
    <row r="5525" spans="7:10">
      <c r="G5525">
        <v>4</v>
      </c>
      <c r="H5525">
        <v>3</v>
      </c>
      <c r="I5525">
        <v>4</v>
      </c>
      <c r="J5525">
        <v>2</v>
      </c>
    </row>
    <row r="5526" spans="7:10">
      <c r="G5526">
        <v>4</v>
      </c>
      <c r="H5526">
        <v>3</v>
      </c>
      <c r="I5526">
        <v>5</v>
      </c>
      <c r="J5526">
        <v>1</v>
      </c>
    </row>
    <row r="5527" spans="7:10">
      <c r="G5527">
        <v>4</v>
      </c>
      <c r="H5527">
        <v>3</v>
      </c>
      <c r="I5527">
        <v>5</v>
      </c>
      <c r="J5527">
        <v>2</v>
      </c>
    </row>
    <row r="5528" spans="7:10">
      <c r="G5528">
        <v>1</v>
      </c>
      <c r="H5528">
        <v>2</v>
      </c>
      <c r="I5528">
        <v>1</v>
      </c>
      <c r="J5528">
        <v>1</v>
      </c>
    </row>
    <row r="5529" spans="7:10">
      <c r="G5529">
        <v>1</v>
      </c>
      <c r="H5529">
        <v>2</v>
      </c>
      <c r="I5529">
        <v>1</v>
      </c>
      <c r="J5529">
        <v>2</v>
      </c>
    </row>
    <row r="5530" spans="7:10">
      <c r="G5530">
        <v>1</v>
      </c>
      <c r="H5530">
        <v>2</v>
      </c>
      <c r="I5530">
        <v>2</v>
      </c>
      <c r="J5530">
        <v>1</v>
      </c>
    </row>
    <row r="5531" spans="7:10">
      <c r="G5531">
        <v>1</v>
      </c>
      <c r="H5531">
        <v>2</v>
      </c>
      <c r="I5531">
        <v>2</v>
      </c>
      <c r="J5531">
        <v>2</v>
      </c>
    </row>
    <row r="5532" spans="7:10">
      <c r="G5532">
        <v>1</v>
      </c>
      <c r="H5532">
        <v>2</v>
      </c>
      <c r="I5532">
        <v>3</v>
      </c>
      <c r="J5532">
        <v>1</v>
      </c>
    </row>
    <row r="5533" spans="7:10">
      <c r="G5533">
        <v>1</v>
      </c>
      <c r="H5533">
        <v>2</v>
      </c>
      <c r="I5533">
        <v>3</v>
      </c>
      <c r="J5533">
        <v>2</v>
      </c>
    </row>
    <row r="5534" spans="7:10">
      <c r="G5534">
        <v>1</v>
      </c>
      <c r="H5534">
        <v>2</v>
      </c>
      <c r="I5534">
        <v>4</v>
      </c>
      <c r="J5534">
        <v>1</v>
      </c>
    </row>
    <row r="5535" spans="7:10">
      <c r="G5535">
        <v>1</v>
      </c>
      <c r="H5535">
        <v>2</v>
      </c>
      <c r="I5535">
        <v>4</v>
      </c>
      <c r="J5535">
        <v>2</v>
      </c>
    </row>
    <row r="5536" spans="7:10">
      <c r="G5536">
        <v>1</v>
      </c>
      <c r="H5536">
        <v>2</v>
      </c>
      <c r="I5536">
        <v>5</v>
      </c>
      <c r="J5536">
        <v>1</v>
      </c>
    </row>
    <row r="5537" spans="7:10">
      <c r="G5537">
        <v>1</v>
      </c>
      <c r="H5537">
        <v>2</v>
      </c>
      <c r="I5537">
        <v>5</v>
      </c>
      <c r="J5537">
        <v>2</v>
      </c>
    </row>
    <row r="5538" spans="7:10">
      <c r="G5538">
        <v>1</v>
      </c>
      <c r="H5538">
        <v>3</v>
      </c>
      <c r="I5538">
        <v>1</v>
      </c>
      <c r="J5538">
        <v>1</v>
      </c>
    </row>
    <row r="5539" spans="7:10">
      <c r="G5539">
        <v>1</v>
      </c>
      <c r="H5539">
        <v>3</v>
      </c>
      <c r="I5539">
        <v>1</v>
      </c>
      <c r="J5539">
        <v>2</v>
      </c>
    </row>
    <row r="5540" spans="7:10">
      <c r="G5540">
        <v>1</v>
      </c>
      <c r="H5540">
        <v>3</v>
      </c>
      <c r="I5540">
        <v>2</v>
      </c>
      <c r="J5540">
        <v>1</v>
      </c>
    </row>
    <row r="5541" spans="7:10">
      <c r="G5541">
        <v>1</v>
      </c>
      <c r="H5541">
        <v>3</v>
      </c>
      <c r="I5541">
        <v>2</v>
      </c>
      <c r="J5541">
        <v>2</v>
      </c>
    </row>
    <row r="5542" spans="7:10">
      <c r="G5542">
        <v>1</v>
      </c>
      <c r="H5542">
        <v>3</v>
      </c>
      <c r="I5542">
        <v>3</v>
      </c>
      <c r="J5542">
        <v>1</v>
      </c>
    </row>
    <row r="5543" spans="7:10">
      <c r="G5543">
        <v>1</v>
      </c>
      <c r="H5543">
        <v>3</v>
      </c>
      <c r="I5543">
        <v>3</v>
      </c>
      <c r="J5543">
        <v>2</v>
      </c>
    </row>
    <row r="5544" spans="7:10">
      <c r="G5544">
        <v>1</v>
      </c>
      <c r="H5544">
        <v>3</v>
      </c>
      <c r="I5544">
        <v>4</v>
      </c>
      <c r="J5544">
        <v>1</v>
      </c>
    </row>
    <row r="5545" spans="7:10">
      <c r="G5545">
        <v>1</v>
      </c>
      <c r="H5545">
        <v>3</v>
      </c>
      <c r="I5545">
        <v>4</v>
      </c>
      <c r="J5545">
        <v>2</v>
      </c>
    </row>
    <row r="5546" spans="7:10">
      <c r="G5546">
        <v>1</v>
      </c>
      <c r="H5546">
        <v>3</v>
      </c>
      <c r="I5546">
        <v>5</v>
      </c>
      <c r="J5546">
        <v>1</v>
      </c>
    </row>
    <row r="5547" spans="7:10">
      <c r="G5547">
        <v>1</v>
      </c>
      <c r="H5547">
        <v>3</v>
      </c>
      <c r="I5547">
        <v>5</v>
      </c>
      <c r="J5547">
        <v>2</v>
      </c>
    </row>
    <row r="5548" spans="7:10">
      <c r="G5548">
        <v>2</v>
      </c>
      <c r="H5548">
        <v>1</v>
      </c>
      <c r="I5548">
        <v>3</v>
      </c>
      <c r="J5548">
        <v>1</v>
      </c>
    </row>
    <row r="5549" spans="7:10">
      <c r="G5549">
        <v>2</v>
      </c>
      <c r="H5549">
        <v>1</v>
      </c>
      <c r="I5549">
        <v>3</v>
      </c>
      <c r="J5549">
        <v>2</v>
      </c>
    </row>
    <row r="5550" spans="7:10">
      <c r="G5550">
        <v>2</v>
      </c>
      <c r="H5550">
        <v>1</v>
      </c>
      <c r="I5550">
        <v>4</v>
      </c>
      <c r="J5550">
        <v>1</v>
      </c>
    </row>
    <row r="5551" spans="7:10">
      <c r="G5551">
        <v>2</v>
      </c>
      <c r="H5551">
        <v>1</v>
      </c>
      <c r="I5551">
        <v>4</v>
      </c>
      <c r="J5551">
        <v>2</v>
      </c>
    </row>
    <row r="5552" spans="7:10">
      <c r="G5552">
        <v>2</v>
      </c>
      <c r="H5552">
        <v>1</v>
      </c>
      <c r="I5552">
        <v>5</v>
      </c>
      <c r="J5552">
        <v>1</v>
      </c>
    </row>
    <row r="5553" spans="7:10">
      <c r="G5553">
        <v>2</v>
      </c>
      <c r="H5553">
        <v>1</v>
      </c>
      <c r="I5553">
        <v>5</v>
      </c>
      <c r="J5553">
        <v>2</v>
      </c>
    </row>
    <row r="5554" spans="7:10">
      <c r="G5554">
        <v>2</v>
      </c>
      <c r="H5554">
        <v>2</v>
      </c>
      <c r="I5554">
        <v>1</v>
      </c>
      <c r="J5554">
        <v>1</v>
      </c>
    </row>
    <row r="5555" spans="7:10">
      <c r="G5555">
        <v>2</v>
      </c>
      <c r="H5555">
        <v>2</v>
      </c>
      <c r="I5555">
        <v>1</v>
      </c>
      <c r="J5555">
        <v>2</v>
      </c>
    </row>
    <row r="5556" spans="7:10">
      <c r="G5556">
        <v>2</v>
      </c>
      <c r="H5556">
        <v>2</v>
      </c>
      <c r="I5556">
        <v>2</v>
      </c>
      <c r="J5556">
        <v>1</v>
      </c>
    </row>
    <row r="5557" spans="7:10">
      <c r="G5557">
        <v>2</v>
      </c>
      <c r="H5557">
        <v>2</v>
      </c>
      <c r="I5557">
        <v>2</v>
      </c>
      <c r="J5557">
        <v>2</v>
      </c>
    </row>
    <row r="5558" spans="7:10">
      <c r="G5558">
        <v>2</v>
      </c>
      <c r="H5558">
        <v>2</v>
      </c>
      <c r="I5558">
        <v>3</v>
      </c>
      <c r="J5558">
        <v>1</v>
      </c>
    </row>
    <row r="5559" spans="7:10">
      <c r="G5559">
        <v>2</v>
      </c>
      <c r="H5559">
        <v>2</v>
      </c>
      <c r="I5559">
        <v>3</v>
      </c>
      <c r="J5559">
        <v>2</v>
      </c>
    </row>
    <row r="5560" spans="7:10">
      <c r="G5560">
        <v>2</v>
      </c>
      <c r="H5560">
        <v>2</v>
      </c>
      <c r="I5560">
        <v>4</v>
      </c>
      <c r="J5560">
        <v>1</v>
      </c>
    </row>
    <row r="5561" spans="7:10">
      <c r="G5561">
        <v>2</v>
      </c>
      <c r="H5561">
        <v>2</v>
      </c>
      <c r="I5561">
        <v>4</v>
      </c>
      <c r="J5561">
        <v>2</v>
      </c>
    </row>
    <row r="5562" spans="7:10">
      <c r="G5562">
        <v>2</v>
      </c>
      <c r="H5562">
        <v>2</v>
      </c>
      <c r="I5562">
        <v>5</v>
      </c>
      <c r="J5562">
        <v>1</v>
      </c>
    </row>
    <row r="5563" spans="7:10">
      <c r="G5563">
        <v>2</v>
      </c>
      <c r="H5563">
        <v>2</v>
      </c>
      <c r="I5563">
        <v>5</v>
      </c>
      <c r="J5563">
        <v>2</v>
      </c>
    </row>
    <row r="5564" spans="7:10">
      <c r="G5564">
        <v>2</v>
      </c>
      <c r="H5564">
        <v>3</v>
      </c>
      <c r="I5564">
        <v>1</v>
      </c>
      <c r="J5564">
        <v>1</v>
      </c>
    </row>
    <row r="5565" spans="7:10">
      <c r="G5565">
        <v>2</v>
      </c>
      <c r="H5565">
        <v>3</v>
      </c>
      <c r="I5565">
        <v>1</v>
      </c>
      <c r="J5565">
        <v>2</v>
      </c>
    </row>
    <row r="5566" spans="7:10">
      <c r="G5566">
        <v>2</v>
      </c>
      <c r="H5566">
        <v>3</v>
      </c>
      <c r="I5566">
        <v>2</v>
      </c>
      <c r="J5566">
        <v>1</v>
      </c>
    </row>
    <row r="5567" spans="7:10">
      <c r="G5567">
        <v>2</v>
      </c>
      <c r="H5567">
        <v>3</v>
      </c>
      <c r="I5567">
        <v>2</v>
      </c>
      <c r="J5567">
        <v>2</v>
      </c>
    </row>
    <row r="5568" spans="7:10">
      <c r="G5568">
        <v>2</v>
      </c>
      <c r="H5568">
        <v>3</v>
      </c>
      <c r="I5568">
        <v>3</v>
      </c>
      <c r="J5568">
        <v>1</v>
      </c>
    </row>
    <row r="5569" spans="7:10">
      <c r="G5569">
        <v>2</v>
      </c>
      <c r="H5569">
        <v>3</v>
      </c>
      <c r="I5569">
        <v>3</v>
      </c>
      <c r="J5569">
        <v>2</v>
      </c>
    </row>
    <row r="5570" spans="7:10">
      <c r="G5570">
        <v>2</v>
      </c>
      <c r="H5570">
        <v>3</v>
      </c>
      <c r="I5570">
        <v>4</v>
      </c>
      <c r="J5570">
        <v>1</v>
      </c>
    </row>
    <row r="5571" spans="7:10">
      <c r="G5571">
        <v>2</v>
      </c>
      <c r="H5571">
        <v>3</v>
      </c>
      <c r="I5571">
        <v>4</v>
      </c>
      <c r="J5571">
        <v>2</v>
      </c>
    </row>
    <row r="5572" spans="7:10">
      <c r="G5572">
        <v>2</v>
      </c>
      <c r="H5572">
        <v>3</v>
      </c>
      <c r="I5572">
        <v>5</v>
      </c>
      <c r="J5572">
        <v>1</v>
      </c>
    </row>
    <row r="5573" spans="7:10">
      <c r="G5573">
        <v>2</v>
      </c>
      <c r="H5573">
        <v>3</v>
      </c>
      <c r="I5573">
        <v>5</v>
      </c>
      <c r="J5573">
        <v>2</v>
      </c>
    </row>
    <row r="5574" spans="7:10">
      <c r="G5574">
        <v>3</v>
      </c>
      <c r="H5574">
        <v>1</v>
      </c>
      <c r="I5574">
        <v>3</v>
      </c>
      <c r="J5574">
        <v>1</v>
      </c>
    </row>
    <row r="5575" spans="7:10">
      <c r="G5575">
        <v>3</v>
      </c>
      <c r="H5575">
        <v>1</v>
      </c>
      <c r="I5575">
        <v>3</v>
      </c>
      <c r="J5575">
        <v>2</v>
      </c>
    </row>
    <row r="5576" spans="7:10">
      <c r="G5576">
        <v>3</v>
      </c>
      <c r="H5576">
        <v>1</v>
      </c>
      <c r="I5576">
        <v>4</v>
      </c>
      <c r="J5576">
        <v>1</v>
      </c>
    </row>
    <row r="5577" spans="7:10">
      <c r="G5577">
        <v>3</v>
      </c>
      <c r="H5577">
        <v>1</v>
      </c>
      <c r="I5577">
        <v>4</v>
      </c>
      <c r="J5577">
        <v>2</v>
      </c>
    </row>
    <row r="5578" spans="7:10">
      <c r="G5578">
        <v>3</v>
      </c>
      <c r="H5578">
        <v>1</v>
      </c>
      <c r="I5578">
        <v>5</v>
      </c>
      <c r="J5578">
        <v>1</v>
      </c>
    </row>
    <row r="5579" spans="7:10">
      <c r="G5579">
        <v>3</v>
      </c>
      <c r="H5579">
        <v>1</v>
      </c>
      <c r="I5579">
        <v>5</v>
      </c>
      <c r="J5579">
        <v>2</v>
      </c>
    </row>
    <row r="5580" spans="7:10">
      <c r="G5580">
        <v>3</v>
      </c>
      <c r="H5580">
        <v>2</v>
      </c>
      <c r="I5580">
        <v>1</v>
      </c>
      <c r="J5580">
        <v>1</v>
      </c>
    </row>
    <row r="5581" spans="7:10">
      <c r="G5581">
        <v>3</v>
      </c>
      <c r="H5581">
        <v>2</v>
      </c>
      <c r="I5581">
        <v>1</v>
      </c>
      <c r="J5581">
        <v>2</v>
      </c>
    </row>
    <row r="5582" spans="7:10">
      <c r="G5582">
        <v>3</v>
      </c>
      <c r="H5582">
        <v>2</v>
      </c>
      <c r="I5582">
        <v>2</v>
      </c>
      <c r="J5582">
        <v>1</v>
      </c>
    </row>
    <row r="5583" spans="7:10">
      <c r="G5583">
        <v>3</v>
      </c>
      <c r="H5583">
        <v>2</v>
      </c>
      <c r="I5583">
        <v>2</v>
      </c>
      <c r="J5583">
        <v>2</v>
      </c>
    </row>
    <row r="5584" spans="7:10">
      <c r="G5584">
        <v>3</v>
      </c>
      <c r="H5584">
        <v>2</v>
      </c>
      <c r="I5584">
        <v>3</v>
      </c>
      <c r="J5584">
        <v>1</v>
      </c>
    </row>
    <row r="5585" spans="7:10">
      <c r="G5585">
        <v>3</v>
      </c>
      <c r="H5585">
        <v>2</v>
      </c>
      <c r="I5585">
        <v>3</v>
      </c>
      <c r="J5585">
        <v>2</v>
      </c>
    </row>
    <row r="5586" spans="7:10">
      <c r="G5586">
        <v>3</v>
      </c>
      <c r="H5586">
        <v>2</v>
      </c>
      <c r="I5586">
        <v>4</v>
      </c>
      <c r="J5586">
        <v>1</v>
      </c>
    </row>
    <row r="5587" spans="7:10">
      <c r="G5587">
        <v>3</v>
      </c>
      <c r="H5587">
        <v>2</v>
      </c>
      <c r="I5587">
        <v>4</v>
      </c>
      <c r="J5587">
        <v>2</v>
      </c>
    </row>
    <row r="5588" spans="7:10">
      <c r="G5588">
        <v>3</v>
      </c>
      <c r="H5588">
        <v>2</v>
      </c>
      <c r="I5588">
        <v>5</v>
      </c>
      <c r="J5588">
        <v>1</v>
      </c>
    </row>
    <row r="5589" spans="7:10">
      <c r="G5589">
        <v>3</v>
      </c>
      <c r="H5589">
        <v>2</v>
      </c>
      <c r="I5589">
        <v>5</v>
      </c>
      <c r="J5589">
        <v>2</v>
      </c>
    </row>
    <row r="5590" spans="7:10">
      <c r="G5590">
        <v>3</v>
      </c>
      <c r="H5590">
        <v>3</v>
      </c>
      <c r="I5590">
        <v>1</v>
      </c>
      <c r="J5590">
        <v>1</v>
      </c>
    </row>
    <row r="5591" spans="7:10">
      <c r="G5591">
        <v>3</v>
      </c>
      <c r="H5591">
        <v>3</v>
      </c>
      <c r="I5591">
        <v>1</v>
      </c>
      <c r="J5591">
        <v>2</v>
      </c>
    </row>
    <row r="5592" spans="7:10">
      <c r="G5592">
        <v>3</v>
      </c>
      <c r="H5592">
        <v>3</v>
      </c>
      <c r="I5592">
        <v>2</v>
      </c>
      <c r="J5592">
        <v>1</v>
      </c>
    </row>
    <row r="5593" spans="7:10">
      <c r="G5593">
        <v>3</v>
      </c>
      <c r="H5593">
        <v>3</v>
      </c>
      <c r="I5593">
        <v>2</v>
      </c>
      <c r="J5593">
        <v>2</v>
      </c>
    </row>
    <row r="5594" spans="7:10">
      <c r="G5594">
        <v>3</v>
      </c>
      <c r="H5594">
        <v>3</v>
      </c>
      <c r="I5594">
        <v>3</v>
      </c>
      <c r="J5594">
        <v>1</v>
      </c>
    </row>
    <row r="5595" spans="7:10">
      <c r="G5595">
        <v>3</v>
      </c>
      <c r="H5595">
        <v>3</v>
      </c>
      <c r="I5595">
        <v>3</v>
      </c>
      <c r="J5595">
        <v>2</v>
      </c>
    </row>
    <row r="5596" spans="7:10">
      <c r="G5596">
        <v>3</v>
      </c>
      <c r="H5596">
        <v>3</v>
      </c>
      <c r="I5596">
        <v>4</v>
      </c>
      <c r="J5596">
        <v>1</v>
      </c>
    </row>
    <row r="5597" spans="7:10">
      <c r="G5597">
        <v>3</v>
      </c>
      <c r="H5597">
        <v>3</v>
      </c>
      <c r="I5597">
        <v>4</v>
      </c>
      <c r="J5597">
        <v>2</v>
      </c>
    </row>
    <row r="5598" spans="7:10">
      <c r="G5598">
        <v>3</v>
      </c>
      <c r="H5598">
        <v>3</v>
      </c>
      <c r="I5598">
        <v>5</v>
      </c>
      <c r="J5598">
        <v>1</v>
      </c>
    </row>
    <row r="5599" spans="7:10">
      <c r="G5599">
        <v>3</v>
      </c>
      <c r="H5599">
        <v>3</v>
      </c>
      <c r="I5599">
        <v>5</v>
      </c>
      <c r="J5599">
        <v>2</v>
      </c>
    </row>
    <row r="5600" spans="7:10">
      <c r="G5600">
        <v>4</v>
      </c>
      <c r="H5600">
        <v>1</v>
      </c>
      <c r="I5600">
        <v>3</v>
      </c>
      <c r="J5600">
        <v>1</v>
      </c>
    </row>
    <row r="5601" spans="7:10">
      <c r="G5601">
        <v>4</v>
      </c>
      <c r="H5601">
        <v>1</v>
      </c>
      <c r="I5601">
        <v>3</v>
      </c>
      <c r="J5601">
        <v>2</v>
      </c>
    </row>
    <row r="5602" spans="7:10">
      <c r="G5602">
        <v>4</v>
      </c>
      <c r="H5602">
        <v>1</v>
      </c>
      <c r="I5602">
        <v>4</v>
      </c>
      <c r="J5602">
        <v>1</v>
      </c>
    </row>
    <row r="5603" spans="7:10">
      <c r="G5603">
        <v>4</v>
      </c>
      <c r="H5603">
        <v>1</v>
      </c>
      <c r="I5603">
        <v>4</v>
      </c>
      <c r="J5603">
        <v>2</v>
      </c>
    </row>
    <row r="5604" spans="7:10">
      <c r="G5604">
        <v>4</v>
      </c>
      <c r="H5604">
        <v>1</v>
      </c>
      <c r="I5604">
        <v>5</v>
      </c>
      <c r="J5604">
        <v>1</v>
      </c>
    </row>
    <row r="5605" spans="7:10">
      <c r="G5605">
        <v>4</v>
      </c>
      <c r="H5605">
        <v>1</v>
      </c>
      <c r="I5605">
        <v>5</v>
      </c>
      <c r="J5605">
        <v>2</v>
      </c>
    </row>
    <row r="5606" spans="7:10">
      <c r="G5606">
        <v>4</v>
      </c>
      <c r="H5606">
        <v>2</v>
      </c>
      <c r="I5606">
        <v>1</v>
      </c>
      <c r="J5606">
        <v>1</v>
      </c>
    </row>
    <row r="5607" spans="7:10">
      <c r="G5607">
        <v>4</v>
      </c>
      <c r="H5607">
        <v>2</v>
      </c>
      <c r="I5607">
        <v>1</v>
      </c>
      <c r="J5607">
        <v>2</v>
      </c>
    </row>
    <row r="5608" spans="7:10">
      <c r="G5608">
        <v>4</v>
      </c>
      <c r="H5608">
        <v>2</v>
      </c>
      <c r="I5608">
        <v>2</v>
      </c>
      <c r="J5608">
        <v>1</v>
      </c>
    </row>
    <row r="5609" spans="7:10">
      <c r="G5609">
        <v>4</v>
      </c>
      <c r="H5609">
        <v>2</v>
      </c>
      <c r="I5609">
        <v>2</v>
      </c>
      <c r="J5609">
        <v>2</v>
      </c>
    </row>
    <row r="5610" spans="7:10">
      <c r="G5610">
        <v>4</v>
      </c>
      <c r="H5610">
        <v>2</v>
      </c>
      <c r="I5610">
        <v>3</v>
      </c>
      <c r="J5610">
        <v>1</v>
      </c>
    </row>
    <row r="5611" spans="7:10">
      <c r="G5611">
        <v>4</v>
      </c>
      <c r="H5611">
        <v>2</v>
      </c>
      <c r="I5611">
        <v>3</v>
      </c>
      <c r="J5611">
        <v>2</v>
      </c>
    </row>
    <row r="5612" spans="7:10">
      <c r="G5612">
        <v>4</v>
      </c>
      <c r="H5612">
        <v>2</v>
      </c>
      <c r="I5612">
        <v>4</v>
      </c>
      <c r="J5612">
        <v>1</v>
      </c>
    </row>
    <row r="5613" spans="7:10">
      <c r="G5613">
        <v>4</v>
      </c>
      <c r="H5613">
        <v>2</v>
      </c>
      <c r="I5613">
        <v>4</v>
      </c>
      <c r="J5613">
        <v>2</v>
      </c>
    </row>
    <row r="5614" spans="7:10">
      <c r="G5614">
        <v>4</v>
      </c>
      <c r="H5614">
        <v>2</v>
      </c>
      <c r="I5614">
        <v>5</v>
      </c>
      <c r="J5614">
        <v>1</v>
      </c>
    </row>
    <row r="5615" spans="7:10">
      <c r="G5615">
        <v>4</v>
      </c>
      <c r="H5615">
        <v>2</v>
      </c>
      <c r="I5615">
        <v>5</v>
      </c>
      <c r="J5615">
        <v>2</v>
      </c>
    </row>
    <row r="5616" spans="7:10">
      <c r="G5616">
        <v>4</v>
      </c>
      <c r="H5616">
        <v>3</v>
      </c>
      <c r="I5616">
        <v>1</v>
      </c>
      <c r="J5616">
        <v>1</v>
      </c>
    </row>
    <row r="5617" spans="7:10">
      <c r="G5617">
        <v>4</v>
      </c>
      <c r="H5617">
        <v>3</v>
      </c>
      <c r="I5617">
        <v>1</v>
      </c>
      <c r="J5617">
        <v>2</v>
      </c>
    </row>
    <row r="5618" spans="7:10">
      <c r="G5618">
        <v>4</v>
      </c>
      <c r="H5618">
        <v>3</v>
      </c>
      <c r="I5618">
        <v>2</v>
      </c>
      <c r="J5618">
        <v>1</v>
      </c>
    </row>
    <row r="5619" spans="7:10">
      <c r="G5619">
        <v>4</v>
      </c>
      <c r="H5619">
        <v>3</v>
      </c>
      <c r="I5619">
        <v>2</v>
      </c>
      <c r="J5619">
        <v>2</v>
      </c>
    </row>
    <row r="5620" spans="7:10">
      <c r="G5620">
        <v>4</v>
      </c>
      <c r="H5620">
        <v>3</v>
      </c>
      <c r="I5620">
        <v>3</v>
      </c>
      <c r="J5620">
        <v>1</v>
      </c>
    </row>
    <row r="5621" spans="7:10">
      <c r="G5621">
        <v>4</v>
      </c>
      <c r="H5621">
        <v>3</v>
      </c>
      <c r="I5621">
        <v>3</v>
      </c>
      <c r="J5621">
        <v>2</v>
      </c>
    </row>
    <row r="5622" spans="7:10">
      <c r="G5622">
        <v>4</v>
      </c>
      <c r="H5622">
        <v>3</v>
      </c>
      <c r="I5622">
        <v>4</v>
      </c>
      <c r="J5622">
        <v>1</v>
      </c>
    </row>
    <row r="5623" spans="7:10">
      <c r="G5623">
        <v>4</v>
      </c>
      <c r="H5623">
        <v>3</v>
      </c>
      <c r="I5623">
        <v>4</v>
      </c>
      <c r="J5623">
        <v>2</v>
      </c>
    </row>
    <row r="5624" spans="7:10">
      <c r="G5624">
        <v>4</v>
      </c>
      <c r="H5624">
        <v>3</v>
      </c>
      <c r="I5624">
        <v>5</v>
      </c>
      <c r="J5624">
        <v>1</v>
      </c>
    </row>
    <row r="5625" spans="7:10">
      <c r="G5625">
        <v>4</v>
      </c>
      <c r="H5625">
        <v>3</v>
      </c>
      <c r="I5625">
        <v>5</v>
      </c>
      <c r="J5625">
        <v>2</v>
      </c>
    </row>
    <row r="5626" spans="7:10">
      <c r="G5626">
        <v>1</v>
      </c>
      <c r="H5626">
        <v>2</v>
      </c>
      <c r="I5626">
        <v>1</v>
      </c>
      <c r="J5626">
        <v>1</v>
      </c>
    </row>
    <row r="5627" spans="7:10">
      <c r="G5627">
        <v>1</v>
      </c>
      <c r="H5627">
        <v>2</v>
      </c>
      <c r="I5627">
        <v>1</v>
      </c>
      <c r="J5627">
        <v>2</v>
      </c>
    </row>
    <row r="5628" spans="7:10">
      <c r="G5628">
        <v>1</v>
      </c>
      <c r="H5628">
        <v>2</v>
      </c>
      <c r="I5628">
        <v>2</v>
      </c>
      <c r="J5628">
        <v>1</v>
      </c>
    </row>
    <row r="5629" spans="7:10">
      <c r="G5629">
        <v>1</v>
      </c>
      <c r="H5629">
        <v>2</v>
      </c>
      <c r="I5629">
        <v>2</v>
      </c>
      <c r="J5629">
        <v>2</v>
      </c>
    </row>
    <row r="5630" spans="7:10">
      <c r="G5630">
        <v>1</v>
      </c>
      <c r="H5630">
        <v>2</v>
      </c>
      <c r="I5630">
        <v>3</v>
      </c>
      <c r="J5630">
        <v>1</v>
      </c>
    </row>
    <row r="5631" spans="7:10">
      <c r="G5631">
        <v>1</v>
      </c>
      <c r="H5631">
        <v>2</v>
      </c>
      <c r="I5631">
        <v>3</v>
      </c>
      <c r="J5631">
        <v>2</v>
      </c>
    </row>
    <row r="5632" spans="7:10">
      <c r="G5632">
        <v>1</v>
      </c>
      <c r="H5632">
        <v>2</v>
      </c>
      <c r="I5632">
        <v>4</v>
      </c>
      <c r="J5632">
        <v>1</v>
      </c>
    </row>
    <row r="5633" spans="7:10">
      <c r="G5633">
        <v>1</v>
      </c>
      <c r="H5633">
        <v>2</v>
      </c>
      <c r="I5633">
        <v>4</v>
      </c>
      <c r="J5633">
        <v>2</v>
      </c>
    </row>
    <row r="5634" spans="7:10">
      <c r="G5634">
        <v>1</v>
      </c>
      <c r="H5634">
        <v>2</v>
      </c>
      <c r="I5634">
        <v>5</v>
      </c>
      <c r="J5634">
        <v>1</v>
      </c>
    </row>
    <row r="5635" spans="7:10">
      <c r="G5635">
        <v>1</v>
      </c>
      <c r="H5635">
        <v>2</v>
      </c>
      <c r="I5635">
        <v>5</v>
      </c>
      <c r="J5635">
        <v>2</v>
      </c>
    </row>
    <row r="5636" spans="7:10">
      <c r="G5636">
        <v>1</v>
      </c>
      <c r="H5636">
        <v>3</v>
      </c>
      <c r="I5636">
        <v>1</v>
      </c>
      <c r="J5636">
        <v>1</v>
      </c>
    </row>
    <row r="5637" spans="7:10">
      <c r="G5637">
        <v>1</v>
      </c>
      <c r="H5637">
        <v>3</v>
      </c>
      <c r="I5637">
        <v>1</v>
      </c>
      <c r="J5637">
        <v>2</v>
      </c>
    </row>
    <row r="5638" spans="7:10">
      <c r="G5638">
        <v>1</v>
      </c>
      <c r="H5638">
        <v>3</v>
      </c>
      <c r="I5638">
        <v>2</v>
      </c>
      <c r="J5638">
        <v>1</v>
      </c>
    </row>
    <row r="5639" spans="7:10">
      <c r="G5639">
        <v>1</v>
      </c>
      <c r="H5639">
        <v>3</v>
      </c>
      <c r="I5639">
        <v>2</v>
      </c>
      <c r="J5639">
        <v>2</v>
      </c>
    </row>
    <row r="5640" spans="7:10">
      <c r="G5640">
        <v>1</v>
      </c>
      <c r="H5640">
        <v>3</v>
      </c>
      <c r="I5640">
        <v>3</v>
      </c>
      <c r="J5640">
        <v>1</v>
      </c>
    </row>
    <row r="5641" spans="7:10">
      <c r="G5641">
        <v>1</v>
      </c>
      <c r="H5641">
        <v>3</v>
      </c>
      <c r="I5641">
        <v>3</v>
      </c>
      <c r="J5641">
        <v>2</v>
      </c>
    </row>
    <row r="5642" spans="7:10">
      <c r="G5642">
        <v>1</v>
      </c>
      <c r="H5642">
        <v>3</v>
      </c>
      <c r="I5642">
        <v>4</v>
      </c>
      <c r="J5642">
        <v>1</v>
      </c>
    </row>
    <row r="5643" spans="7:10">
      <c r="G5643">
        <v>1</v>
      </c>
      <c r="H5643">
        <v>3</v>
      </c>
      <c r="I5643">
        <v>4</v>
      </c>
      <c r="J5643">
        <v>2</v>
      </c>
    </row>
    <row r="5644" spans="7:10">
      <c r="G5644">
        <v>1</v>
      </c>
      <c r="H5644">
        <v>3</v>
      </c>
      <c r="I5644">
        <v>5</v>
      </c>
      <c r="J5644">
        <v>1</v>
      </c>
    </row>
    <row r="5645" spans="7:10">
      <c r="G5645">
        <v>1</v>
      </c>
      <c r="H5645">
        <v>3</v>
      </c>
      <c r="I5645">
        <v>5</v>
      </c>
      <c r="J5645">
        <v>2</v>
      </c>
    </row>
    <row r="5646" spans="7:10">
      <c r="G5646">
        <v>2</v>
      </c>
      <c r="H5646">
        <v>1</v>
      </c>
      <c r="I5646">
        <v>3</v>
      </c>
      <c r="J5646">
        <v>1</v>
      </c>
    </row>
    <row r="5647" spans="7:10">
      <c r="G5647">
        <v>2</v>
      </c>
      <c r="H5647">
        <v>1</v>
      </c>
      <c r="I5647">
        <v>3</v>
      </c>
      <c r="J5647">
        <v>2</v>
      </c>
    </row>
    <row r="5648" spans="7:10">
      <c r="G5648">
        <v>2</v>
      </c>
      <c r="H5648">
        <v>1</v>
      </c>
      <c r="I5648">
        <v>4</v>
      </c>
      <c r="J5648">
        <v>1</v>
      </c>
    </row>
    <row r="5649" spans="7:10">
      <c r="G5649">
        <v>2</v>
      </c>
      <c r="H5649">
        <v>1</v>
      </c>
      <c r="I5649">
        <v>4</v>
      </c>
      <c r="J5649">
        <v>2</v>
      </c>
    </row>
    <row r="5650" spans="7:10">
      <c r="G5650">
        <v>2</v>
      </c>
      <c r="H5650">
        <v>1</v>
      </c>
      <c r="I5650">
        <v>5</v>
      </c>
      <c r="J5650">
        <v>1</v>
      </c>
    </row>
    <row r="5651" spans="7:10">
      <c r="G5651">
        <v>2</v>
      </c>
      <c r="H5651">
        <v>1</v>
      </c>
      <c r="I5651">
        <v>5</v>
      </c>
      <c r="J5651">
        <v>2</v>
      </c>
    </row>
    <row r="5652" spans="7:10">
      <c r="G5652">
        <v>2</v>
      </c>
      <c r="H5652">
        <v>2</v>
      </c>
      <c r="I5652">
        <v>1</v>
      </c>
      <c r="J5652">
        <v>1</v>
      </c>
    </row>
    <row r="5653" spans="7:10">
      <c r="G5653">
        <v>2</v>
      </c>
      <c r="H5653">
        <v>2</v>
      </c>
      <c r="I5653">
        <v>1</v>
      </c>
      <c r="J5653">
        <v>2</v>
      </c>
    </row>
    <row r="5654" spans="7:10">
      <c r="G5654">
        <v>2</v>
      </c>
      <c r="H5654">
        <v>2</v>
      </c>
      <c r="I5654">
        <v>2</v>
      </c>
      <c r="J5654">
        <v>1</v>
      </c>
    </row>
    <row r="5655" spans="7:10">
      <c r="G5655">
        <v>2</v>
      </c>
      <c r="H5655">
        <v>2</v>
      </c>
      <c r="I5655">
        <v>2</v>
      </c>
      <c r="J5655">
        <v>2</v>
      </c>
    </row>
    <row r="5656" spans="7:10">
      <c r="G5656">
        <v>2</v>
      </c>
      <c r="H5656">
        <v>2</v>
      </c>
      <c r="I5656">
        <v>3</v>
      </c>
      <c r="J5656">
        <v>1</v>
      </c>
    </row>
    <row r="5657" spans="7:10">
      <c r="G5657">
        <v>2</v>
      </c>
      <c r="H5657">
        <v>2</v>
      </c>
      <c r="I5657">
        <v>3</v>
      </c>
      <c r="J5657">
        <v>2</v>
      </c>
    </row>
    <row r="5658" spans="7:10">
      <c r="G5658">
        <v>2</v>
      </c>
      <c r="H5658">
        <v>2</v>
      </c>
      <c r="I5658">
        <v>4</v>
      </c>
      <c r="J5658">
        <v>1</v>
      </c>
    </row>
    <row r="5659" spans="7:10">
      <c r="G5659">
        <v>2</v>
      </c>
      <c r="H5659">
        <v>2</v>
      </c>
      <c r="I5659">
        <v>4</v>
      </c>
      <c r="J5659">
        <v>2</v>
      </c>
    </row>
    <row r="5660" spans="7:10">
      <c r="G5660">
        <v>2</v>
      </c>
      <c r="H5660">
        <v>2</v>
      </c>
      <c r="I5660">
        <v>5</v>
      </c>
      <c r="J5660">
        <v>1</v>
      </c>
    </row>
    <row r="5661" spans="7:10">
      <c r="G5661">
        <v>2</v>
      </c>
      <c r="H5661">
        <v>2</v>
      </c>
      <c r="I5661">
        <v>5</v>
      </c>
      <c r="J5661">
        <v>2</v>
      </c>
    </row>
    <row r="5662" spans="7:10">
      <c r="G5662">
        <v>2</v>
      </c>
      <c r="H5662">
        <v>3</v>
      </c>
      <c r="I5662">
        <v>1</v>
      </c>
      <c r="J5662">
        <v>1</v>
      </c>
    </row>
    <row r="5663" spans="7:10">
      <c r="G5663">
        <v>2</v>
      </c>
      <c r="H5663">
        <v>3</v>
      </c>
      <c r="I5663">
        <v>1</v>
      </c>
      <c r="J5663">
        <v>2</v>
      </c>
    </row>
    <row r="5664" spans="7:10">
      <c r="G5664">
        <v>2</v>
      </c>
      <c r="H5664">
        <v>3</v>
      </c>
      <c r="I5664">
        <v>2</v>
      </c>
      <c r="J5664">
        <v>1</v>
      </c>
    </row>
    <row r="5665" spans="7:10">
      <c r="G5665">
        <v>2</v>
      </c>
      <c r="H5665">
        <v>3</v>
      </c>
      <c r="I5665">
        <v>2</v>
      </c>
      <c r="J5665">
        <v>2</v>
      </c>
    </row>
    <row r="5666" spans="7:10">
      <c r="G5666">
        <v>2</v>
      </c>
      <c r="H5666">
        <v>3</v>
      </c>
      <c r="I5666">
        <v>3</v>
      </c>
      <c r="J5666">
        <v>1</v>
      </c>
    </row>
    <row r="5667" spans="7:10">
      <c r="G5667">
        <v>2</v>
      </c>
      <c r="H5667">
        <v>3</v>
      </c>
      <c r="I5667">
        <v>3</v>
      </c>
      <c r="J5667">
        <v>2</v>
      </c>
    </row>
    <row r="5668" spans="7:10">
      <c r="G5668">
        <v>2</v>
      </c>
      <c r="H5668">
        <v>3</v>
      </c>
      <c r="I5668">
        <v>4</v>
      </c>
      <c r="J5668">
        <v>1</v>
      </c>
    </row>
    <row r="5669" spans="7:10">
      <c r="G5669">
        <v>2</v>
      </c>
      <c r="H5669">
        <v>3</v>
      </c>
      <c r="I5669">
        <v>4</v>
      </c>
      <c r="J5669">
        <v>2</v>
      </c>
    </row>
    <row r="5670" spans="7:10">
      <c r="G5670">
        <v>2</v>
      </c>
      <c r="H5670">
        <v>3</v>
      </c>
      <c r="I5670">
        <v>5</v>
      </c>
      <c r="J5670">
        <v>1</v>
      </c>
    </row>
    <row r="5671" spans="7:10">
      <c r="G5671">
        <v>2</v>
      </c>
      <c r="H5671">
        <v>3</v>
      </c>
      <c r="I5671">
        <v>5</v>
      </c>
      <c r="J5671">
        <v>2</v>
      </c>
    </row>
    <row r="5672" spans="7:10">
      <c r="G5672">
        <v>3</v>
      </c>
      <c r="H5672">
        <v>1</v>
      </c>
      <c r="I5672">
        <v>3</v>
      </c>
      <c r="J5672">
        <v>1</v>
      </c>
    </row>
    <row r="5673" spans="7:10">
      <c r="G5673">
        <v>3</v>
      </c>
      <c r="H5673">
        <v>1</v>
      </c>
      <c r="I5673">
        <v>3</v>
      </c>
      <c r="J5673">
        <v>2</v>
      </c>
    </row>
    <row r="5674" spans="7:10">
      <c r="G5674">
        <v>3</v>
      </c>
      <c r="H5674">
        <v>1</v>
      </c>
      <c r="I5674">
        <v>4</v>
      </c>
      <c r="J5674">
        <v>1</v>
      </c>
    </row>
    <row r="5675" spans="7:10">
      <c r="G5675">
        <v>3</v>
      </c>
      <c r="H5675">
        <v>1</v>
      </c>
      <c r="I5675">
        <v>4</v>
      </c>
      <c r="J5675">
        <v>2</v>
      </c>
    </row>
    <row r="5676" spans="7:10">
      <c r="G5676">
        <v>3</v>
      </c>
      <c r="H5676">
        <v>1</v>
      </c>
      <c r="I5676">
        <v>5</v>
      </c>
      <c r="J5676">
        <v>1</v>
      </c>
    </row>
    <row r="5677" spans="7:10">
      <c r="G5677">
        <v>3</v>
      </c>
      <c r="H5677">
        <v>1</v>
      </c>
      <c r="I5677">
        <v>5</v>
      </c>
      <c r="J5677">
        <v>2</v>
      </c>
    </row>
    <row r="5678" spans="7:10">
      <c r="G5678">
        <v>3</v>
      </c>
      <c r="H5678">
        <v>2</v>
      </c>
      <c r="I5678">
        <v>1</v>
      </c>
      <c r="J5678">
        <v>1</v>
      </c>
    </row>
    <row r="5679" spans="7:10">
      <c r="G5679">
        <v>3</v>
      </c>
      <c r="H5679">
        <v>2</v>
      </c>
      <c r="I5679">
        <v>1</v>
      </c>
      <c r="J5679">
        <v>2</v>
      </c>
    </row>
    <row r="5680" spans="7:10">
      <c r="G5680">
        <v>3</v>
      </c>
      <c r="H5680">
        <v>2</v>
      </c>
      <c r="I5680">
        <v>2</v>
      </c>
      <c r="J5680">
        <v>1</v>
      </c>
    </row>
    <row r="5681" spans="7:10">
      <c r="G5681">
        <v>3</v>
      </c>
      <c r="H5681">
        <v>2</v>
      </c>
      <c r="I5681">
        <v>2</v>
      </c>
      <c r="J5681">
        <v>2</v>
      </c>
    </row>
    <row r="5682" spans="7:10">
      <c r="G5682">
        <v>3</v>
      </c>
      <c r="H5682">
        <v>2</v>
      </c>
      <c r="I5682">
        <v>3</v>
      </c>
      <c r="J5682">
        <v>1</v>
      </c>
    </row>
    <row r="5683" spans="7:10">
      <c r="G5683">
        <v>3</v>
      </c>
      <c r="H5683">
        <v>2</v>
      </c>
      <c r="I5683">
        <v>3</v>
      </c>
      <c r="J5683">
        <v>2</v>
      </c>
    </row>
    <row r="5684" spans="7:10">
      <c r="G5684">
        <v>3</v>
      </c>
      <c r="H5684">
        <v>2</v>
      </c>
      <c r="I5684">
        <v>4</v>
      </c>
      <c r="J5684">
        <v>1</v>
      </c>
    </row>
    <row r="5685" spans="7:10">
      <c r="G5685">
        <v>3</v>
      </c>
      <c r="H5685">
        <v>2</v>
      </c>
      <c r="I5685">
        <v>4</v>
      </c>
      <c r="J5685">
        <v>2</v>
      </c>
    </row>
    <row r="5686" spans="7:10">
      <c r="G5686">
        <v>3</v>
      </c>
      <c r="H5686">
        <v>2</v>
      </c>
      <c r="I5686">
        <v>5</v>
      </c>
      <c r="J5686">
        <v>1</v>
      </c>
    </row>
    <row r="5687" spans="7:10">
      <c r="G5687">
        <v>3</v>
      </c>
      <c r="H5687">
        <v>2</v>
      </c>
      <c r="I5687">
        <v>5</v>
      </c>
      <c r="J5687">
        <v>2</v>
      </c>
    </row>
    <row r="5688" spans="7:10">
      <c r="G5688">
        <v>3</v>
      </c>
      <c r="H5688">
        <v>3</v>
      </c>
      <c r="I5688">
        <v>1</v>
      </c>
      <c r="J5688">
        <v>1</v>
      </c>
    </row>
    <row r="5689" spans="7:10">
      <c r="G5689">
        <v>3</v>
      </c>
      <c r="H5689">
        <v>3</v>
      </c>
      <c r="I5689">
        <v>1</v>
      </c>
      <c r="J5689">
        <v>2</v>
      </c>
    </row>
    <row r="5690" spans="7:10">
      <c r="G5690">
        <v>3</v>
      </c>
      <c r="H5690">
        <v>3</v>
      </c>
      <c r="I5690">
        <v>2</v>
      </c>
      <c r="J5690">
        <v>1</v>
      </c>
    </row>
    <row r="5691" spans="7:10">
      <c r="G5691">
        <v>3</v>
      </c>
      <c r="H5691">
        <v>3</v>
      </c>
      <c r="I5691">
        <v>2</v>
      </c>
      <c r="J5691">
        <v>2</v>
      </c>
    </row>
    <row r="5692" spans="7:10">
      <c r="G5692">
        <v>3</v>
      </c>
      <c r="H5692">
        <v>3</v>
      </c>
      <c r="I5692">
        <v>3</v>
      </c>
      <c r="J5692">
        <v>1</v>
      </c>
    </row>
    <row r="5693" spans="7:10">
      <c r="G5693">
        <v>3</v>
      </c>
      <c r="H5693">
        <v>3</v>
      </c>
      <c r="I5693">
        <v>3</v>
      </c>
      <c r="J5693">
        <v>2</v>
      </c>
    </row>
    <row r="5694" spans="7:10">
      <c r="G5694">
        <v>3</v>
      </c>
      <c r="H5694">
        <v>3</v>
      </c>
      <c r="I5694">
        <v>4</v>
      </c>
      <c r="J5694">
        <v>1</v>
      </c>
    </row>
    <row r="5695" spans="7:10">
      <c r="G5695">
        <v>3</v>
      </c>
      <c r="H5695">
        <v>3</v>
      </c>
      <c r="I5695">
        <v>4</v>
      </c>
      <c r="J5695">
        <v>2</v>
      </c>
    </row>
    <row r="5696" spans="7:10">
      <c r="G5696">
        <v>3</v>
      </c>
      <c r="H5696">
        <v>3</v>
      </c>
      <c r="I5696">
        <v>5</v>
      </c>
      <c r="J5696">
        <v>1</v>
      </c>
    </row>
    <row r="5697" spans="7:10">
      <c r="G5697">
        <v>3</v>
      </c>
      <c r="H5697">
        <v>3</v>
      </c>
      <c r="I5697">
        <v>5</v>
      </c>
      <c r="J5697">
        <v>2</v>
      </c>
    </row>
    <row r="5698" spans="7:10">
      <c r="G5698">
        <v>4</v>
      </c>
      <c r="H5698">
        <v>1</v>
      </c>
      <c r="I5698">
        <v>3</v>
      </c>
      <c r="J5698">
        <v>1</v>
      </c>
    </row>
    <row r="5699" spans="7:10">
      <c r="G5699">
        <v>4</v>
      </c>
      <c r="H5699">
        <v>1</v>
      </c>
      <c r="I5699">
        <v>3</v>
      </c>
      <c r="J5699">
        <v>2</v>
      </c>
    </row>
    <row r="5700" spans="7:10">
      <c r="G5700">
        <v>4</v>
      </c>
      <c r="H5700">
        <v>1</v>
      </c>
      <c r="I5700">
        <v>4</v>
      </c>
      <c r="J5700">
        <v>1</v>
      </c>
    </row>
    <row r="5701" spans="7:10">
      <c r="G5701">
        <v>4</v>
      </c>
      <c r="H5701">
        <v>1</v>
      </c>
      <c r="I5701">
        <v>4</v>
      </c>
      <c r="J5701">
        <v>2</v>
      </c>
    </row>
    <row r="5702" spans="7:10">
      <c r="G5702">
        <v>4</v>
      </c>
      <c r="H5702">
        <v>1</v>
      </c>
      <c r="I5702">
        <v>5</v>
      </c>
      <c r="J5702">
        <v>1</v>
      </c>
    </row>
    <row r="5703" spans="7:10">
      <c r="G5703">
        <v>4</v>
      </c>
      <c r="H5703">
        <v>1</v>
      </c>
      <c r="I5703">
        <v>5</v>
      </c>
      <c r="J5703">
        <v>2</v>
      </c>
    </row>
    <row r="5704" spans="7:10">
      <c r="G5704">
        <v>4</v>
      </c>
      <c r="H5704">
        <v>2</v>
      </c>
      <c r="I5704">
        <v>1</v>
      </c>
      <c r="J5704">
        <v>1</v>
      </c>
    </row>
    <row r="5705" spans="7:10">
      <c r="G5705">
        <v>4</v>
      </c>
      <c r="H5705">
        <v>2</v>
      </c>
      <c r="I5705">
        <v>1</v>
      </c>
      <c r="J5705">
        <v>2</v>
      </c>
    </row>
    <row r="5706" spans="7:10">
      <c r="G5706">
        <v>4</v>
      </c>
      <c r="H5706">
        <v>2</v>
      </c>
      <c r="I5706">
        <v>2</v>
      </c>
      <c r="J5706">
        <v>1</v>
      </c>
    </row>
    <row r="5707" spans="7:10">
      <c r="G5707">
        <v>4</v>
      </c>
      <c r="H5707">
        <v>2</v>
      </c>
      <c r="I5707">
        <v>2</v>
      </c>
      <c r="J5707">
        <v>2</v>
      </c>
    </row>
    <row r="5708" spans="7:10">
      <c r="G5708">
        <v>4</v>
      </c>
      <c r="H5708">
        <v>2</v>
      </c>
      <c r="I5708">
        <v>3</v>
      </c>
      <c r="J5708">
        <v>1</v>
      </c>
    </row>
    <row r="5709" spans="7:10">
      <c r="G5709">
        <v>4</v>
      </c>
      <c r="H5709">
        <v>2</v>
      </c>
      <c r="I5709">
        <v>3</v>
      </c>
      <c r="J5709">
        <v>2</v>
      </c>
    </row>
    <row r="5710" spans="7:10">
      <c r="G5710">
        <v>4</v>
      </c>
      <c r="H5710">
        <v>2</v>
      </c>
      <c r="I5710">
        <v>4</v>
      </c>
      <c r="J5710">
        <v>1</v>
      </c>
    </row>
    <row r="5711" spans="7:10">
      <c r="G5711">
        <v>4</v>
      </c>
      <c r="H5711">
        <v>2</v>
      </c>
      <c r="I5711">
        <v>4</v>
      </c>
      <c r="J5711">
        <v>2</v>
      </c>
    </row>
    <row r="5712" spans="7:10">
      <c r="G5712">
        <v>4</v>
      </c>
      <c r="H5712">
        <v>2</v>
      </c>
      <c r="I5712">
        <v>5</v>
      </c>
      <c r="J5712">
        <v>1</v>
      </c>
    </row>
    <row r="5713" spans="7:10">
      <c r="G5713">
        <v>4</v>
      </c>
      <c r="H5713">
        <v>2</v>
      </c>
      <c r="I5713">
        <v>5</v>
      </c>
      <c r="J5713">
        <v>2</v>
      </c>
    </row>
    <row r="5714" spans="7:10">
      <c r="G5714">
        <v>4</v>
      </c>
      <c r="H5714">
        <v>3</v>
      </c>
      <c r="I5714">
        <v>1</v>
      </c>
      <c r="J5714">
        <v>1</v>
      </c>
    </row>
    <row r="5715" spans="7:10">
      <c r="G5715">
        <v>4</v>
      </c>
      <c r="H5715">
        <v>3</v>
      </c>
      <c r="I5715">
        <v>1</v>
      </c>
      <c r="J5715">
        <v>2</v>
      </c>
    </row>
    <row r="5716" spans="7:10">
      <c r="G5716">
        <v>4</v>
      </c>
      <c r="H5716">
        <v>3</v>
      </c>
      <c r="I5716">
        <v>2</v>
      </c>
      <c r="J5716">
        <v>1</v>
      </c>
    </row>
    <row r="5717" spans="7:10">
      <c r="G5717">
        <v>4</v>
      </c>
      <c r="H5717">
        <v>3</v>
      </c>
      <c r="I5717">
        <v>2</v>
      </c>
      <c r="J5717">
        <v>2</v>
      </c>
    </row>
    <row r="5718" spans="7:10">
      <c r="G5718">
        <v>4</v>
      </c>
      <c r="H5718">
        <v>3</v>
      </c>
      <c r="I5718">
        <v>3</v>
      </c>
      <c r="J5718">
        <v>1</v>
      </c>
    </row>
    <row r="5719" spans="7:10">
      <c r="G5719">
        <v>4</v>
      </c>
      <c r="H5719">
        <v>3</v>
      </c>
      <c r="I5719">
        <v>3</v>
      </c>
      <c r="J5719">
        <v>2</v>
      </c>
    </row>
    <row r="5720" spans="7:10">
      <c r="G5720">
        <v>4</v>
      </c>
      <c r="H5720">
        <v>3</v>
      </c>
      <c r="I5720">
        <v>4</v>
      </c>
      <c r="J5720">
        <v>1</v>
      </c>
    </row>
    <row r="5721" spans="7:10">
      <c r="G5721">
        <v>4</v>
      </c>
      <c r="H5721">
        <v>3</v>
      </c>
      <c r="I5721">
        <v>4</v>
      </c>
      <c r="J5721">
        <v>2</v>
      </c>
    </row>
    <row r="5722" spans="7:10">
      <c r="G5722">
        <v>4</v>
      </c>
      <c r="H5722">
        <v>3</v>
      </c>
      <c r="I5722">
        <v>5</v>
      </c>
      <c r="J5722">
        <v>1</v>
      </c>
    </row>
    <row r="5723" spans="7:10">
      <c r="G5723">
        <v>4</v>
      </c>
      <c r="H5723">
        <v>3</v>
      </c>
      <c r="I5723">
        <v>5</v>
      </c>
      <c r="J5723">
        <v>2</v>
      </c>
    </row>
    <row r="5724" spans="7:10">
      <c r="G5724">
        <v>1</v>
      </c>
      <c r="H5724">
        <v>1</v>
      </c>
      <c r="I5724">
        <v>1</v>
      </c>
      <c r="J5724">
        <v>1</v>
      </c>
    </row>
    <row r="5725" spans="7:10">
      <c r="G5725">
        <v>1</v>
      </c>
      <c r="H5725">
        <v>1</v>
      </c>
      <c r="I5725">
        <v>1</v>
      </c>
      <c r="J5725">
        <v>2</v>
      </c>
    </row>
    <row r="5726" spans="7:10">
      <c r="G5726">
        <v>1</v>
      </c>
      <c r="H5726">
        <v>1</v>
      </c>
      <c r="I5726">
        <v>2</v>
      </c>
      <c r="J5726">
        <v>1</v>
      </c>
    </row>
    <row r="5727" spans="7:10">
      <c r="G5727">
        <v>1</v>
      </c>
      <c r="H5727">
        <v>1</v>
      </c>
      <c r="I5727">
        <v>2</v>
      </c>
      <c r="J5727">
        <v>2</v>
      </c>
    </row>
    <row r="5728" spans="7:10">
      <c r="G5728">
        <v>1</v>
      </c>
      <c r="H5728">
        <v>1</v>
      </c>
      <c r="I5728">
        <v>3</v>
      </c>
      <c r="J5728">
        <v>1</v>
      </c>
    </row>
    <row r="5729" spans="7:10">
      <c r="G5729">
        <v>1</v>
      </c>
      <c r="H5729">
        <v>1</v>
      </c>
      <c r="I5729">
        <v>3</v>
      </c>
      <c r="J5729">
        <v>2</v>
      </c>
    </row>
    <row r="5730" spans="7:10">
      <c r="G5730">
        <v>1</v>
      </c>
      <c r="H5730">
        <v>1</v>
      </c>
      <c r="I5730">
        <v>4</v>
      </c>
      <c r="J5730">
        <v>1</v>
      </c>
    </row>
    <row r="5731" spans="7:10">
      <c r="G5731">
        <v>1</v>
      </c>
      <c r="H5731">
        <v>1</v>
      </c>
      <c r="I5731">
        <v>4</v>
      </c>
      <c r="J5731">
        <v>2</v>
      </c>
    </row>
    <row r="5732" spans="7:10">
      <c r="G5732">
        <v>1</v>
      </c>
      <c r="H5732">
        <v>1</v>
      </c>
      <c r="I5732">
        <v>5</v>
      </c>
      <c r="J5732">
        <v>1</v>
      </c>
    </row>
    <row r="5733" spans="7:10">
      <c r="G5733">
        <v>1</v>
      </c>
      <c r="H5733">
        <v>1</v>
      </c>
      <c r="I5733">
        <v>5</v>
      </c>
      <c r="J5733">
        <v>2</v>
      </c>
    </row>
    <row r="5734" spans="7:10">
      <c r="G5734">
        <v>1</v>
      </c>
      <c r="H5734">
        <v>2</v>
      </c>
      <c r="I5734">
        <v>1</v>
      </c>
      <c r="J5734">
        <v>1</v>
      </c>
    </row>
    <row r="5735" spans="7:10">
      <c r="G5735">
        <v>1</v>
      </c>
      <c r="H5735">
        <v>2</v>
      </c>
      <c r="I5735">
        <v>1</v>
      </c>
      <c r="J5735">
        <v>2</v>
      </c>
    </row>
    <row r="5736" spans="7:10">
      <c r="G5736">
        <v>1</v>
      </c>
      <c r="H5736">
        <v>2</v>
      </c>
      <c r="I5736">
        <v>2</v>
      </c>
      <c r="J5736">
        <v>1</v>
      </c>
    </row>
    <row r="5737" spans="7:10">
      <c r="G5737">
        <v>1</v>
      </c>
      <c r="H5737">
        <v>2</v>
      </c>
      <c r="I5737">
        <v>2</v>
      </c>
      <c r="J5737">
        <v>2</v>
      </c>
    </row>
    <row r="5738" spans="7:10">
      <c r="G5738">
        <v>1</v>
      </c>
      <c r="H5738">
        <v>2</v>
      </c>
      <c r="I5738">
        <v>3</v>
      </c>
      <c r="J5738">
        <v>1</v>
      </c>
    </row>
    <row r="5739" spans="7:10">
      <c r="G5739">
        <v>1</v>
      </c>
      <c r="H5739">
        <v>2</v>
      </c>
      <c r="I5739">
        <v>3</v>
      </c>
      <c r="J5739">
        <v>2</v>
      </c>
    </row>
    <row r="5740" spans="7:10">
      <c r="G5740">
        <v>1</v>
      </c>
      <c r="H5740">
        <v>2</v>
      </c>
      <c r="I5740">
        <v>4</v>
      </c>
      <c r="J5740">
        <v>1</v>
      </c>
    </row>
    <row r="5741" spans="7:10">
      <c r="G5741">
        <v>1</v>
      </c>
      <c r="H5741">
        <v>2</v>
      </c>
      <c r="I5741">
        <v>4</v>
      </c>
      <c r="J5741">
        <v>2</v>
      </c>
    </row>
    <row r="5742" spans="7:10">
      <c r="G5742">
        <v>1</v>
      </c>
      <c r="H5742">
        <v>2</v>
      </c>
      <c r="I5742">
        <v>5</v>
      </c>
      <c r="J5742">
        <v>1</v>
      </c>
    </row>
    <row r="5743" spans="7:10">
      <c r="G5743">
        <v>1</v>
      </c>
      <c r="H5743">
        <v>2</v>
      </c>
      <c r="I5743">
        <v>5</v>
      </c>
      <c r="J5743">
        <v>2</v>
      </c>
    </row>
    <row r="5744" spans="7:10">
      <c r="G5744">
        <v>1</v>
      </c>
      <c r="H5744">
        <v>3</v>
      </c>
      <c r="I5744">
        <v>1</v>
      </c>
      <c r="J5744">
        <v>1</v>
      </c>
    </row>
    <row r="5745" spans="7:10">
      <c r="G5745">
        <v>1</v>
      </c>
      <c r="H5745">
        <v>3</v>
      </c>
      <c r="I5745">
        <v>1</v>
      </c>
      <c r="J5745">
        <v>2</v>
      </c>
    </row>
    <row r="5746" spans="7:10">
      <c r="G5746">
        <v>1</v>
      </c>
      <c r="H5746">
        <v>3</v>
      </c>
      <c r="I5746">
        <v>2</v>
      </c>
      <c r="J5746">
        <v>1</v>
      </c>
    </row>
    <row r="5747" spans="7:10">
      <c r="G5747">
        <v>1</v>
      </c>
      <c r="H5747">
        <v>3</v>
      </c>
      <c r="I5747">
        <v>2</v>
      </c>
      <c r="J5747">
        <v>2</v>
      </c>
    </row>
    <row r="5748" spans="7:10">
      <c r="G5748">
        <v>1</v>
      </c>
      <c r="H5748">
        <v>3</v>
      </c>
      <c r="I5748">
        <v>3</v>
      </c>
      <c r="J5748">
        <v>1</v>
      </c>
    </row>
    <row r="5749" spans="7:10">
      <c r="G5749">
        <v>1</v>
      </c>
      <c r="H5749">
        <v>3</v>
      </c>
      <c r="I5749">
        <v>3</v>
      </c>
      <c r="J5749">
        <v>2</v>
      </c>
    </row>
    <row r="5750" spans="7:10">
      <c r="G5750">
        <v>1</v>
      </c>
      <c r="H5750">
        <v>3</v>
      </c>
      <c r="I5750">
        <v>4</v>
      </c>
      <c r="J5750">
        <v>1</v>
      </c>
    </row>
    <row r="5751" spans="7:10">
      <c r="G5751">
        <v>1</v>
      </c>
      <c r="H5751">
        <v>3</v>
      </c>
      <c r="I5751">
        <v>4</v>
      </c>
      <c r="J5751">
        <v>2</v>
      </c>
    </row>
    <row r="5752" spans="7:10">
      <c r="G5752">
        <v>1</v>
      </c>
      <c r="H5752">
        <v>3</v>
      </c>
      <c r="I5752">
        <v>5</v>
      </c>
      <c r="J5752">
        <v>1</v>
      </c>
    </row>
    <row r="5753" spans="7:10">
      <c r="G5753">
        <v>1</v>
      </c>
      <c r="H5753">
        <v>3</v>
      </c>
      <c r="I5753">
        <v>5</v>
      </c>
      <c r="J5753">
        <v>2</v>
      </c>
    </row>
    <row r="5754" spans="7:10">
      <c r="G5754">
        <v>2</v>
      </c>
      <c r="H5754">
        <v>1</v>
      </c>
      <c r="I5754">
        <v>3</v>
      </c>
      <c r="J5754">
        <v>1</v>
      </c>
    </row>
    <row r="5755" spans="7:10">
      <c r="G5755">
        <v>2</v>
      </c>
      <c r="H5755">
        <v>1</v>
      </c>
      <c r="I5755">
        <v>3</v>
      </c>
      <c r="J5755">
        <v>2</v>
      </c>
    </row>
    <row r="5756" spans="7:10">
      <c r="G5756">
        <v>2</v>
      </c>
      <c r="H5756">
        <v>1</v>
      </c>
      <c r="I5756">
        <v>4</v>
      </c>
      <c r="J5756">
        <v>1</v>
      </c>
    </row>
    <row r="5757" spans="7:10">
      <c r="G5757">
        <v>2</v>
      </c>
      <c r="H5757">
        <v>1</v>
      </c>
      <c r="I5757">
        <v>4</v>
      </c>
      <c r="J5757">
        <v>2</v>
      </c>
    </row>
    <row r="5758" spans="7:10">
      <c r="G5758">
        <v>2</v>
      </c>
      <c r="H5758">
        <v>1</v>
      </c>
      <c r="I5758">
        <v>5</v>
      </c>
      <c r="J5758">
        <v>1</v>
      </c>
    </row>
    <row r="5759" spans="7:10">
      <c r="G5759">
        <v>2</v>
      </c>
      <c r="H5759">
        <v>1</v>
      </c>
      <c r="I5759">
        <v>5</v>
      </c>
      <c r="J5759">
        <v>2</v>
      </c>
    </row>
    <row r="5760" spans="7:10">
      <c r="G5760">
        <v>2</v>
      </c>
      <c r="H5760">
        <v>2</v>
      </c>
      <c r="I5760">
        <v>1</v>
      </c>
      <c r="J5760">
        <v>1</v>
      </c>
    </row>
    <row r="5761" spans="7:10">
      <c r="G5761">
        <v>2</v>
      </c>
      <c r="H5761">
        <v>2</v>
      </c>
      <c r="I5761">
        <v>1</v>
      </c>
      <c r="J5761">
        <v>2</v>
      </c>
    </row>
    <row r="5762" spans="7:10">
      <c r="G5762">
        <v>2</v>
      </c>
      <c r="H5762">
        <v>2</v>
      </c>
      <c r="I5762">
        <v>2</v>
      </c>
      <c r="J5762">
        <v>1</v>
      </c>
    </row>
    <row r="5763" spans="7:10">
      <c r="G5763">
        <v>2</v>
      </c>
      <c r="H5763">
        <v>2</v>
      </c>
      <c r="I5763">
        <v>2</v>
      </c>
      <c r="J5763">
        <v>2</v>
      </c>
    </row>
    <row r="5764" spans="7:10">
      <c r="G5764">
        <v>2</v>
      </c>
      <c r="H5764">
        <v>2</v>
      </c>
      <c r="I5764">
        <v>3</v>
      </c>
      <c r="J5764">
        <v>1</v>
      </c>
    </row>
    <row r="5765" spans="7:10">
      <c r="G5765">
        <v>2</v>
      </c>
      <c r="H5765">
        <v>2</v>
      </c>
      <c r="I5765">
        <v>3</v>
      </c>
      <c r="J5765">
        <v>2</v>
      </c>
    </row>
    <row r="5766" spans="7:10">
      <c r="G5766">
        <v>2</v>
      </c>
      <c r="H5766">
        <v>2</v>
      </c>
      <c r="I5766">
        <v>4</v>
      </c>
      <c r="J5766">
        <v>1</v>
      </c>
    </row>
    <row r="5767" spans="7:10">
      <c r="G5767">
        <v>2</v>
      </c>
      <c r="H5767">
        <v>2</v>
      </c>
      <c r="I5767">
        <v>4</v>
      </c>
      <c r="J5767">
        <v>2</v>
      </c>
    </row>
    <row r="5768" spans="7:10">
      <c r="G5768">
        <v>2</v>
      </c>
      <c r="H5768">
        <v>2</v>
      </c>
      <c r="I5768">
        <v>5</v>
      </c>
      <c r="J5768">
        <v>1</v>
      </c>
    </row>
    <row r="5769" spans="7:10">
      <c r="G5769">
        <v>2</v>
      </c>
      <c r="H5769">
        <v>2</v>
      </c>
      <c r="I5769">
        <v>5</v>
      </c>
      <c r="J5769">
        <v>2</v>
      </c>
    </row>
    <row r="5770" spans="7:10">
      <c r="G5770">
        <v>2</v>
      </c>
      <c r="H5770">
        <v>3</v>
      </c>
      <c r="I5770">
        <v>1</v>
      </c>
      <c r="J5770">
        <v>1</v>
      </c>
    </row>
    <row r="5771" spans="7:10">
      <c r="G5771">
        <v>2</v>
      </c>
      <c r="H5771">
        <v>3</v>
      </c>
      <c r="I5771">
        <v>1</v>
      </c>
      <c r="J5771">
        <v>2</v>
      </c>
    </row>
    <row r="5772" spans="7:10">
      <c r="G5772">
        <v>2</v>
      </c>
      <c r="H5772">
        <v>3</v>
      </c>
      <c r="I5772">
        <v>2</v>
      </c>
      <c r="J5772">
        <v>1</v>
      </c>
    </row>
    <row r="5773" spans="7:10">
      <c r="G5773">
        <v>2</v>
      </c>
      <c r="H5773">
        <v>3</v>
      </c>
      <c r="I5773">
        <v>2</v>
      </c>
      <c r="J5773">
        <v>2</v>
      </c>
    </row>
    <row r="5774" spans="7:10">
      <c r="G5774">
        <v>2</v>
      </c>
      <c r="H5774">
        <v>3</v>
      </c>
      <c r="I5774">
        <v>3</v>
      </c>
      <c r="J5774">
        <v>1</v>
      </c>
    </row>
    <row r="5775" spans="7:10">
      <c r="G5775">
        <v>2</v>
      </c>
      <c r="H5775">
        <v>3</v>
      </c>
      <c r="I5775">
        <v>3</v>
      </c>
      <c r="J5775">
        <v>2</v>
      </c>
    </row>
    <row r="5776" spans="7:10">
      <c r="G5776">
        <v>2</v>
      </c>
      <c r="H5776">
        <v>3</v>
      </c>
      <c r="I5776">
        <v>4</v>
      </c>
      <c r="J5776">
        <v>1</v>
      </c>
    </row>
    <row r="5777" spans="7:10">
      <c r="G5777">
        <v>2</v>
      </c>
      <c r="H5777">
        <v>3</v>
      </c>
      <c r="I5777">
        <v>4</v>
      </c>
      <c r="J5777">
        <v>2</v>
      </c>
    </row>
    <row r="5778" spans="7:10">
      <c r="G5778">
        <v>2</v>
      </c>
      <c r="H5778">
        <v>3</v>
      </c>
      <c r="I5778">
        <v>5</v>
      </c>
      <c r="J5778">
        <v>1</v>
      </c>
    </row>
    <row r="5779" spans="7:10">
      <c r="G5779">
        <v>2</v>
      </c>
      <c r="H5779">
        <v>3</v>
      </c>
      <c r="I5779">
        <v>5</v>
      </c>
      <c r="J5779">
        <v>2</v>
      </c>
    </row>
    <row r="5780" spans="7:10">
      <c r="G5780">
        <v>3</v>
      </c>
      <c r="H5780">
        <v>1</v>
      </c>
      <c r="I5780">
        <v>3</v>
      </c>
      <c r="J5780">
        <v>1</v>
      </c>
    </row>
    <row r="5781" spans="7:10">
      <c r="G5781">
        <v>3</v>
      </c>
      <c r="H5781">
        <v>1</v>
      </c>
      <c r="I5781">
        <v>3</v>
      </c>
      <c r="J5781">
        <v>2</v>
      </c>
    </row>
    <row r="5782" spans="7:10">
      <c r="G5782">
        <v>3</v>
      </c>
      <c r="H5782">
        <v>1</v>
      </c>
      <c r="I5782">
        <v>4</v>
      </c>
      <c r="J5782">
        <v>1</v>
      </c>
    </row>
    <row r="5783" spans="7:10">
      <c r="G5783">
        <v>3</v>
      </c>
      <c r="H5783">
        <v>1</v>
      </c>
      <c r="I5783">
        <v>4</v>
      </c>
      <c r="J5783">
        <v>2</v>
      </c>
    </row>
    <row r="5784" spans="7:10">
      <c r="G5784">
        <v>3</v>
      </c>
      <c r="H5784">
        <v>1</v>
      </c>
      <c r="I5784">
        <v>5</v>
      </c>
      <c r="J5784">
        <v>1</v>
      </c>
    </row>
    <row r="5785" spans="7:10">
      <c r="G5785">
        <v>3</v>
      </c>
      <c r="H5785">
        <v>1</v>
      </c>
      <c r="I5785">
        <v>5</v>
      </c>
      <c r="J5785">
        <v>2</v>
      </c>
    </row>
    <row r="5786" spans="7:10">
      <c r="G5786">
        <v>3</v>
      </c>
      <c r="H5786">
        <v>2</v>
      </c>
      <c r="I5786">
        <v>1</v>
      </c>
      <c r="J5786">
        <v>1</v>
      </c>
    </row>
    <row r="5787" spans="7:10">
      <c r="G5787">
        <v>3</v>
      </c>
      <c r="H5787">
        <v>2</v>
      </c>
      <c r="I5787">
        <v>1</v>
      </c>
      <c r="J5787">
        <v>2</v>
      </c>
    </row>
    <row r="5788" spans="7:10">
      <c r="G5788">
        <v>3</v>
      </c>
      <c r="H5788">
        <v>2</v>
      </c>
      <c r="I5788">
        <v>2</v>
      </c>
      <c r="J5788">
        <v>1</v>
      </c>
    </row>
    <row r="5789" spans="7:10">
      <c r="G5789">
        <v>3</v>
      </c>
      <c r="H5789">
        <v>2</v>
      </c>
      <c r="I5789">
        <v>2</v>
      </c>
      <c r="J5789">
        <v>2</v>
      </c>
    </row>
    <row r="5790" spans="7:10">
      <c r="G5790">
        <v>3</v>
      </c>
      <c r="H5790">
        <v>2</v>
      </c>
      <c r="I5790">
        <v>3</v>
      </c>
      <c r="J5790">
        <v>1</v>
      </c>
    </row>
    <row r="5791" spans="7:10">
      <c r="G5791">
        <v>3</v>
      </c>
      <c r="H5791">
        <v>2</v>
      </c>
      <c r="I5791">
        <v>3</v>
      </c>
      <c r="J5791">
        <v>2</v>
      </c>
    </row>
    <row r="5792" spans="7:10">
      <c r="G5792">
        <v>3</v>
      </c>
      <c r="H5792">
        <v>2</v>
      </c>
      <c r="I5792">
        <v>4</v>
      </c>
      <c r="J5792">
        <v>1</v>
      </c>
    </row>
    <row r="5793" spans="7:10">
      <c r="G5793">
        <v>3</v>
      </c>
      <c r="H5793">
        <v>2</v>
      </c>
      <c r="I5793">
        <v>4</v>
      </c>
      <c r="J5793">
        <v>2</v>
      </c>
    </row>
    <row r="5794" spans="7:10">
      <c r="G5794">
        <v>3</v>
      </c>
      <c r="H5794">
        <v>2</v>
      </c>
      <c r="I5794">
        <v>5</v>
      </c>
      <c r="J5794">
        <v>1</v>
      </c>
    </row>
    <row r="5795" spans="7:10">
      <c r="G5795">
        <v>3</v>
      </c>
      <c r="H5795">
        <v>2</v>
      </c>
      <c r="I5795">
        <v>5</v>
      </c>
      <c r="J5795">
        <v>2</v>
      </c>
    </row>
    <row r="5796" spans="7:10">
      <c r="G5796">
        <v>3</v>
      </c>
      <c r="H5796">
        <v>3</v>
      </c>
      <c r="I5796">
        <v>1</v>
      </c>
      <c r="J5796">
        <v>1</v>
      </c>
    </row>
    <row r="5797" spans="7:10">
      <c r="G5797">
        <v>3</v>
      </c>
      <c r="H5797">
        <v>3</v>
      </c>
      <c r="I5797">
        <v>1</v>
      </c>
      <c r="J5797">
        <v>2</v>
      </c>
    </row>
    <row r="5798" spans="7:10">
      <c r="G5798">
        <v>3</v>
      </c>
      <c r="H5798">
        <v>3</v>
      </c>
      <c r="I5798">
        <v>2</v>
      </c>
      <c r="J5798">
        <v>1</v>
      </c>
    </row>
    <row r="5799" spans="7:10">
      <c r="G5799">
        <v>3</v>
      </c>
      <c r="H5799">
        <v>3</v>
      </c>
      <c r="I5799">
        <v>2</v>
      </c>
      <c r="J5799">
        <v>2</v>
      </c>
    </row>
    <row r="5800" spans="7:10">
      <c r="G5800">
        <v>3</v>
      </c>
      <c r="H5800">
        <v>3</v>
      </c>
      <c r="I5800">
        <v>3</v>
      </c>
      <c r="J5800">
        <v>1</v>
      </c>
    </row>
    <row r="5801" spans="7:10">
      <c r="G5801">
        <v>3</v>
      </c>
      <c r="H5801">
        <v>3</v>
      </c>
      <c r="I5801">
        <v>3</v>
      </c>
      <c r="J5801">
        <v>2</v>
      </c>
    </row>
    <row r="5802" spans="7:10">
      <c r="G5802">
        <v>3</v>
      </c>
      <c r="H5802">
        <v>3</v>
      </c>
      <c r="I5802">
        <v>4</v>
      </c>
      <c r="J5802">
        <v>1</v>
      </c>
    </row>
    <row r="5803" spans="7:10">
      <c r="G5803">
        <v>3</v>
      </c>
      <c r="H5803">
        <v>3</v>
      </c>
      <c r="I5803">
        <v>4</v>
      </c>
      <c r="J5803">
        <v>2</v>
      </c>
    </row>
    <row r="5804" spans="7:10">
      <c r="G5804">
        <v>3</v>
      </c>
      <c r="H5804">
        <v>3</v>
      </c>
      <c r="I5804">
        <v>5</v>
      </c>
      <c r="J5804">
        <v>1</v>
      </c>
    </row>
    <row r="5805" spans="7:10">
      <c r="G5805">
        <v>3</v>
      </c>
      <c r="H5805">
        <v>3</v>
      </c>
      <c r="I5805">
        <v>5</v>
      </c>
      <c r="J5805">
        <v>2</v>
      </c>
    </row>
    <row r="5806" spans="7:10">
      <c r="G5806">
        <v>4</v>
      </c>
      <c r="H5806">
        <v>1</v>
      </c>
      <c r="I5806">
        <v>3</v>
      </c>
      <c r="J5806">
        <v>1</v>
      </c>
    </row>
    <row r="5807" spans="7:10">
      <c r="G5807">
        <v>4</v>
      </c>
      <c r="H5807">
        <v>1</v>
      </c>
      <c r="I5807">
        <v>3</v>
      </c>
      <c r="J5807">
        <v>2</v>
      </c>
    </row>
    <row r="5808" spans="7:10">
      <c r="G5808">
        <v>4</v>
      </c>
      <c r="H5808">
        <v>1</v>
      </c>
      <c r="I5808">
        <v>4</v>
      </c>
      <c r="J5808">
        <v>1</v>
      </c>
    </row>
    <row r="5809" spans="7:10">
      <c r="G5809">
        <v>4</v>
      </c>
      <c r="H5809">
        <v>1</v>
      </c>
      <c r="I5809">
        <v>4</v>
      </c>
      <c r="J5809">
        <v>2</v>
      </c>
    </row>
    <row r="5810" spans="7:10">
      <c r="G5810">
        <v>4</v>
      </c>
      <c r="H5810">
        <v>1</v>
      </c>
      <c r="I5810">
        <v>5</v>
      </c>
      <c r="J5810">
        <v>1</v>
      </c>
    </row>
    <row r="5811" spans="7:10">
      <c r="G5811">
        <v>4</v>
      </c>
      <c r="H5811">
        <v>1</v>
      </c>
      <c r="I5811">
        <v>5</v>
      </c>
      <c r="J5811">
        <v>2</v>
      </c>
    </row>
    <row r="5812" spans="7:10">
      <c r="G5812">
        <v>4</v>
      </c>
      <c r="H5812">
        <v>2</v>
      </c>
      <c r="I5812">
        <v>1</v>
      </c>
      <c r="J5812">
        <v>1</v>
      </c>
    </row>
    <row r="5813" spans="7:10">
      <c r="G5813">
        <v>4</v>
      </c>
      <c r="H5813">
        <v>2</v>
      </c>
      <c r="I5813">
        <v>1</v>
      </c>
      <c r="J5813">
        <v>2</v>
      </c>
    </row>
    <row r="5814" spans="7:10">
      <c r="G5814">
        <v>4</v>
      </c>
      <c r="H5814">
        <v>2</v>
      </c>
      <c r="I5814">
        <v>2</v>
      </c>
      <c r="J5814">
        <v>1</v>
      </c>
    </row>
    <row r="5815" spans="7:10">
      <c r="G5815">
        <v>4</v>
      </c>
      <c r="H5815">
        <v>2</v>
      </c>
      <c r="I5815">
        <v>2</v>
      </c>
      <c r="J5815">
        <v>2</v>
      </c>
    </row>
    <row r="5816" spans="7:10">
      <c r="G5816">
        <v>4</v>
      </c>
      <c r="H5816">
        <v>2</v>
      </c>
      <c r="I5816">
        <v>3</v>
      </c>
      <c r="J5816">
        <v>1</v>
      </c>
    </row>
    <row r="5817" spans="7:10">
      <c r="G5817">
        <v>4</v>
      </c>
      <c r="H5817">
        <v>2</v>
      </c>
      <c r="I5817">
        <v>3</v>
      </c>
      <c r="J5817">
        <v>2</v>
      </c>
    </row>
    <row r="5818" spans="7:10">
      <c r="G5818">
        <v>4</v>
      </c>
      <c r="H5818">
        <v>2</v>
      </c>
      <c r="I5818">
        <v>4</v>
      </c>
      <c r="J5818">
        <v>1</v>
      </c>
    </row>
    <row r="5819" spans="7:10">
      <c r="G5819">
        <v>4</v>
      </c>
      <c r="H5819">
        <v>2</v>
      </c>
      <c r="I5819">
        <v>4</v>
      </c>
      <c r="J5819">
        <v>2</v>
      </c>
    </row>
    <row r="5820" spans="7:10">
      <c r="G5820">
        <v>4</v>
      </c>
      <c r="H5820">
        <v>2</v>
      </c>
      <c r="I5820">
        <v>5</v>
      </c>
      <c r="J5820">
        <v>1</v>
      </c>
    </row>
    <row r="5821" spans="7:10">
      <c r="G5821">
        <v>4</v>
      </c>
      <c r="H5821">
        <v>2</v>
      </c>
      <c r="I5821">
        <v>5</v>
      </c>
      <c r="J5821">
        <v>2</v>
      </c>
    </row>
    <row r="5822" spans="7:10">
      <c r="G5822">
        <v>4</v>
      </c>
      <c r="H5822">
        <v>3</v>
      </c>
      <c r="I5822">
        <v>1</v>
      </c>
      <c r="J5822">
        <v>1</v>
      </c>
    </row>
    <row r="5823" spans="7:10">
      <c r="G5823">
        <v>4</v>
      </c>
      <c r="H5823">
        <v>3</v>
      </c>
      <c r="I5823">
        <v>1</v>
      </c>
      <c r="J5823">
        <v>2</v>
      </c>
    </row>
    <row r="5824" spans="7:10">
      <c r="G5824">
        <v>4</v>
      </c>
      <c r="H5824">
        <v>3</v>
      </c>
      <c r="I5824">
        <v>2</v>
      </c>
      <c r="J5824">
        <v>1</v>
      </c>
    </row>
    <row r="5825" spans="7:10">
      <c r="G5825">
        <v>4</v>
      </c>
      <c r="H5825">
        <v>3</v>
      </c>
      <c r="I5825">
        <v>2</v>
      </c>
      <c r="J5825">
        <v>2</v>
      </c>
    </row>
    <row r="5826" spans="7:10">
      <c r="G5826">
        <v>4</v>
      </c>
      <c r="H5826">
        <v>3</v>
      </c>
      <c r="I5826">
        <v>3</v>
      </c>
      <c r="J5826">
        <v>1</v>
      </c>
    </row>
    <row r="5827" spans="7:10">
      <c r="G5827">
        <v>4</v>
      </c>
      <c r="H5827">
        <v>3</v>
      </c>
      <c r="I5827">
        <v>3</v>
      </c>
      <c r="J5827">
        <v>2</v>
      </c>
    </row>
    <row r="5828" spans="7:10">
      <c r="G5828">
        <v>4</v>
      </c>
      <c r="H5828">
        <v>3</v>
      </c>
      <c r="I5828">
        <v>4</v>
      </c>
      <c r="J5828">
        <v>1</v>
      </c>
    </row>
    <row r="5829" spans="7:10">
      <c r="G5829">
        <v>4</v>
      </c>
      <c r="H5829">
        <v>3</v>
      </c>
      <c r="I5829">
        <v>4</v>
      </c>
      <c r="J5829">
        <v>2</v>
      </c>
    </row>
    <row r="5830" spans="7:10">
      <c r="G5830">
        <v>4</v>
      </c>
      <c r="H5830">
        <v>3</v>
      </c>
      <c r="I5830">
        <v>5</v>
      </c>
      <c r="J5830">
        <v>1</v>
      </c>
    </row>
    <row r="5831" spans="7:10">
      <c r="G5831">
        <v>4</v>
      </c>
      <c r="H5831">
        <v>3</v>
      </c>
      <c r="I5831">
        <v>5</v>
      </c>
      <c r="J5831">
        <v>2</v>
      </c>
    </row>
    <row r="5832" spans="7:10">
      <c r="G5832">
        <v>1</v>
      </c>
      <c r="H5832">
        <v>2</v>
      </c>
      <c r="I5832">
        <v>1</v>
      </c>
      <c r="J5832">
        <v>1</v>
      </c>
    </row>
    <row r="5833" spans="7:10">
      <c r="G5833">
        <v>1</v>
      </c>
      <c r="H5833">
        <v>2</v>
      </c>
      <c r="I5833">
        <v>1</v>
      </c>
      <c r="J5833">
        <v>2</v>
      </c>
    </row>
    <row r="5834" spans="7:10">
      <c r="G5834">
        <v>1</v>
      </c>
      <c r="H5834">
        <v>2</v>
      </c>
      <c r="I5834">
        <v>2</v>
      </c>
      <c r="J5834">
        <v>1</v>
      </c>
    </row>
    <row r="5835" spans="7:10">
      <c r="G5835">
        <v>1</v>
      </c>
      <c r="H5835">
        <v>2</v>
      </c>
      <c r="I5835">
        <v>2</v>
      </c>
      <c r="J5835">
        <v>2</v>
      </c>
    </row>
    <row r="5836" spans="7:10">
      <c r="G5836">
        <v>1</v>
      </c>
      <c r="H5836">
        <v>2</v>
      </c>
      <c r="I5836">
        <v>3</v>
      </c>
      <c r="J5836">
        <v>1</v>
      </c>
    </row>
    <row r="5837" spans="7:10">
      <c r="G5837">
        <v>1</v>
      </c>
      <c r="H5837">
        <v>2</v>
      </c>
      <c r="I5837">
        <v>3</v>
      </c>
      <c r="J5837">
        <v>2</v>
      </c>
    </row>
    <row r="5838" spans="7:10">
      <c r="G5838">
        <v>1</v>
      </c>
      <c r="H5838">
        <v>2</v>
      </c>
      <c r="I5838">
        <v>4</v>
      </c>
      <c r="J5838">
        <v>1</v>
      </c>
    </row>
    <row r="5839" spans="7:10">
      <c r="G5839">
        <v>1</v>
      </c>
      <c r="H5839">
        <v>2</v>
      </c>
      <c r="I5839">
        <v>4</v>
      </c>
      <c r="J5839">
        <v>2</v>
      </c>
    </row>
    <row r="5840" spans="7:10">
      <c r="G5840">
        <v>1</v>
      </c>
      <c r="H5840">
        <v>2</v>
      </c>
      <c r="I5840">
        <v>5</v>
      </c>
      <c r="J5840">
        <v>1</v>
      </c>
    </row>
    <row r="5841" spans="7:10">
      <c r="G5841">
        <v>1</v>
      </c>
      <c r="H5841">
        <v>2</v>
      </c>
      <c r="I5841">
        <v>5</v>
      </c>
      <c r="J5841">
        <v>2</v>
      </c>
    </row>
    <row r="5842" spans="7:10">
      <c r="G5842">
        <v>1</v>
      </c>
      <c r="H5842">
        <v>3</v>
      </c>
      <c r="I5842">
        <v>1</v>
      </c>
      <c r="J5842">
        <v>1</v>
      </c>
    </row>
    <row r="5843" spans="7:10">
      <c r="G5843">
        <v>1</v>
      </c>
      <c r="H5843">
        <v>3</v>
      </c>
      <c r="I5843">
        <v>1</v>
      </c>
      <c r="J5843">
        <v>2</v>
      </c>
    </row>
    <row r="5844" spans="7:10">
      <c r="G5844">
        <v>1</v>
      </c>
      <c r="H5844">
        <v>3</v>
      </c>
      <c r="I5844">
        <v>2</v>
      </c>
      <c r="J5844">
        <v>1</v>
      </c>
    </row>
    <row r="5845" spans="7:10">
      <c r="G5845">
        <v>1</v>
      </c>
      <c r="H5845">
        <v>3</v>
      </c>
      <c r="I5845">
        <v>2</v>
      </c>
      <c r="J5845">
        <v>2</v>
      </c>
    </row>
    <row r="5846" spans="7:10">
      <c r="G5846">
        <v>1</v>
      </c>
      <c r="H5846">
        <v>3</v>
      </c>
      <c r="I5846">
        <v>3</v>
      </c>
      <c r="J5846">
        <v>1</v>
      </c>
    </row>
    <row r="5847" spans="7:10">
      <c r="G5847">
        <v>1</v>
      </c>
      <c r="H5847">
        <v>3</v>
      </c>
      <c r="I5847">
        <v>3</v>
      </c>
      <c r="J5847">
        <v>2</v>
      </c>
    </row>
    <row r="5848" spans="7:10">
      <c r="G5848">
        <v>1</v>
      </c>
      <c r="H5848">
        <v>3</v>
      </c>
      <c r="I5848">
        <v>4</v>
      </c>
      <c r="J5848">
        <v>1</v>
      </c>
    </row>
    <row r="5849" spans="7:10">
      <c r="G5849">
        <v>1</v>
      </c>
      <c r="H5849">
        <v>3</v>
      </c>
      <c r="I5849">
        <v>4</v>
      </c>
      <c r="J5849">
        <v>2</v>
      </c>
    </row>
    <row r="5850" spans="7:10">
      <c r="G5850">
        <v>1</v>
      </c>
      <c r="H5850">
        <v>3</v>
      </c>
      <c r="I5850">
        <v>5</v>
      </c>
      <c r="J5850">
        <v>1</v>
      </c>
    </row>
    <row r="5851" spans="7:10">
      <c r="G5851">
        <v>1</v>
      </c>
      <c r="H5851">
        <v>3</v>
      </c>
      <c r="I5851">
        <v>5</v>
      </c>
      <c r="J5851">
        <v>2</v>
      </c>
    </row>
    <row r="5852" spans="7:10">
      <c r="G5852">
        <v>2</v>
      </c>
      <c r="H5852">
        <v>1</v>
      </c>
      <c r="I5852">
        <v>3</v>
      </c>
      <c r="J5852">
        <v>1</v>
      </c>
    </row>
    <row r="5853" spans="7:10">
      <c r="G5853">
        <v>2</v>
      </c>
      <c r="H5853">
        <v>1</v>
      </c>
      <c r="I5853">
        <v>3</v>
      </c>
      <c r="J5853">
        <v>2</v>
      </c>
    </row>
    <row r="5854" spans="7:10">
      <c r="G5854">
        <v>2</v>
      </c>
      <c r="H5854">
        <v>1</v>
      </c>
      <c r="I5854">
        <v>4</v>
      </c>
      <c r="J5854">
        <v>1</v>
      </c>
    </row>
    <row r="5855" spans="7:10">
      <c r="G5855">
        <v>2</v>
      </c>
      <c r="H5855">
        <v>1</v>
      </c>
      <c r="I5855">
        <v>4</v>
      </c>
      <c r="J5855">
        <v>2</v>
      </c>
    </row>
    <row r="5856" spans="7:10">
      <c r="G5856">
        <v>2</v>
      </c>
      <c r="H5856">
        <v>1</v>
      </c>
      <c r="I5856">
        <v>5</v>
      </c>
      <c r="J5856">
        <v>1</v>
      </c>
    </row>
    <row r="5857" spans="7:10">
      <c r="G5857">
        <v>2</v>
      </c>
      <c r="H5857">
        <v>1</v>
      </c>
      <c r="I5857">
        <v>5</v>
      </c>
      <c r="J5857">
        <v>2</v>
      </c>
    </row>
    <row r="5858" spans="7:10">
      <c r="G5858">
        <v>2</v>
      </c>
      <c r="H5858">
        <v>2</v>
      </c>
      <c r="I5858">
        <v>1</v>
      </c>
      <c r="J5858">
        <v>1</v>
      </c>
    </row>
    <row r="5859" spans="7:10">
      <c r="G5859">
        <v>2</v>
      </c>
      <c r="H5859">
        <v>2</v>
      </c>
      <c r="I5859">
        <v>1</v>
      </c>
      <c r="J5859">
        <v>2</v>
      </c>
    </row>
    <row r="5860" spans="7:10">
      <c r="G5860">
        <v>2</v>
      </c>
      <c r="H5860">
        <v>2</v>
      </c>
      <c r="I5860">
        <v>2</v>
      </c>
      <c r="J5860">
        <v>1</v>
      </c>
    </row>
    <row r="5861" spans="7:10">
      <c r="G5861">
        <v>2</v>
      </c>
      <c r="H5861">
        <v>2</v>
      </c>
      <c r="I5861">
        <v>2</v>
      </c>
      <c r="J5861">
        <v>2</v>
      </c>
    </row>
    <row r="5862" spans="7:10">
      <c r="G5862">
        <v>2</v>
      </c>
      <c r="H5862">
        <v>2</v>
      </c>
      <c r="I5862">
        <v>3</v>
      </c>
      <c r="J5862">
        <v>1</v>
      </c>
    </row>
    <row r="5863" spans="7:10">
      <c r="G5863">
        <v>2</v>
      </c>
      <c r="H5863">
        <v>2</v>
      </c>
      <c r="I5863">
        <v>3</v>
      </c>
      <c r="J5863">
        <v>2</v>
      </c>
    </row>
    <row r="5864" spans="7:10">
      <c r="G5864">
        <v>2</v>
      </c>
      <c r="H5864">
        <v>2</v>
      </c>
      <c r="I5864">
        <v>4</v>
      </c>
      <c r="J5864">
        <v>1</v>
      </c>
    </row>
    <row r="5865" spans="7:10">
      <c r="G5865">
        <v>2</v>
      </c>
      <c r="H5865">
        <v>2</v>
      </c>
      <c r="I5865">
        <v>4</v>
      </c>
      <c r="J5865">
        <v>2</v>
      </c>
    </row>
    <row r="5866" spans="7:10">
      <c r="G5866">
        <v>2</v>
      </c>
      <c r="H5866">
        <v>2</v>
      </c>
      <c r="I5866">
        <v>5</v>
      </c>
      <c r="J5866">
        <v>1</v>
      </c>
    </row>
    <row r="5867" spans="7:10">
      <c r="G5867">
        <v>2</v>
      </c>
      <c r="H5867">
        <v>2</v>
      </c>
      <c r="I5867">
        <v>5</v>
      </c>
      <c r="J5867">
        <v>2</v>
      </c>
    </row>
    <row r="5868" spans="7:10">
      <c r="G5868">
        <v>2</v>
      </c>
      <c r="H5868">
        <v>3</v>
      </c>
      <c r="I5868">
        <v>1</v>
      </c>
      <c r="J5868">
        <v>1</v>
      </c>
    </row>
    <row r="5869" spans="7:10">
      <c r="G5869">
        <v>2</v>
      </c>
      <c r="H5869">
        <v>3</v>
      </c>
      <c r="I5869">
        <v>1</v>
      </c>
      <c r="J5869">
        <v>2</v>
      </c>
    </row>
    <row r="5870" spans="7:10">
      <c r="G5870">
        <v>2</v>
      </c>
      <c r="H5870">
        <v>3</v>
      </c>
      <c r="I5870">
        <v>2</v>
      </c>
      <c r="J5870">
        <v>1</v>
      </c>
    </row>
    <row r="5871" spans="7:10">
      <c r="G5871">
        <v>2</v>
      </c>
      <c r="H5871">
        <v>3</v>
      </c>
      <c r="I5871">
        <v>2</v>
      </c>
      <c r="J5871">
        <v>2</v>
      </c>
    </row>
    <row r="5872" spans="7:10">
      <c r="G5872">
        <v>2</v>
      </c>
      <c r="H5872">
        <v>3</v>
      </c>
      <c r="I5872">
        <v>3</v>
      </c>
      <c r="J5872">
        <v>1</v>
      </c>
    </row>
    <row r="5873" spans="7:10">
      <c r="G5873">
        <v>2</v>
      </c>
      <c r="H5873">
        <v>3</v>
      </c>
      <c r="I5873">
        <v>3</v>
      </c>
      <c r="J5873">
        <v>2</v>
      </c>
    </row>
    <row r="5874" spans="7:10">
      <c r="G5874">
        <v>2</v>
      </c>
      <c r="H5874">
        <v>3</v>
      </c>
      <c r="I5874">
        <v>4</v>
      </c>
      <c r="J5874">
        <v>1</v>
      </c>
    </row>
    <row r="5875" spans="7:10">
      <c r="G5875">
        <v>2</v>
      </c>
      <c r="H5875">
        <v>3</v>
      </c>
      <c r="I5875">
        <v>4</v>
      </c>
      <c r="J5875">
        <v>2</v>
      </c>
    </row>
    <row r="5876" spans="7:10">
      <c r="G5876">
        <v>2</v>
      </c>
      <c r="H5876">
        <v>3</v>
      </c>
      <c r="I5876">
        <v>5</v>
      </c>
      <c r="J5876">
        <v>1</v>
      </c>
    </row>
    <row r="5877" spans="7:10">
      <c r="G5877">
        <v>2</v>
      </c>
      <c r="H5877">
        <v>3</v>
      </c>
      <c r="I5877">
        <v>5</v>
      </c>
      <c r="J5877">
        <v>2</v>
      </c>
    </row>
    <row r="5878" spans="7:10">
      <c r="G5878">
        <v>3</v>
      </c>
      <c r="H5878">
        <v>1</v>
      </c>
      <c r="I5878">
        <v>3</v>
      </c>
      <c r="J5878">
        <v>1</v>
      </c>
    </row>
    <row r="5879" spans="7:10">
      <c r="G5879">
        <v>3</v>
      </c>
      <c r="H5879">
        <v>1</v>
      </c>
      <c r="I5879">
        <v>3</v>
      </c>
      <c r="J5879">
        <v>2</v>
      </c>
    </row>
    <row r="5880" spans="7:10">
      <c r="G5880">
        <v>3</v>
      </c>
      <c r="H5880">
        <v>1</v>
      </c>
      <c r="I5880">
        <v>4</v>
      </c>
      <c r="J5880">
        <v>1</v>
      </c>
    </row>
    <row r="5881" spans="7:10">
      <c r="G5881">
        <v>3</v>
      </c>
      <c r="H5881">
        <v>1</v>
      </c>
      <c r="I5881">
        <v>4</v>
      </c>
      <c r="J5881">
        <v>2</v>
      </c>
    </row>
    <row r="5882" spans="7:10">
      <c r="G5882">
        <v>3</v>
      </c>
      <c r="H5882">
        <v>1</v>
      </c>
      <c r="I5882">
        <v>5</v>
      </c>
      <c r="J5882">
        <v>1</v>
      </c>
    </row>
    <row r="5883" spans="7:10">
      <c r="G5883">
        <v>3</v>
      </c>
      <c r="H5883">
        <v>1</v>
      </c>
      <c r="I5883">
        <v>5</v>
      </c>
      <c r="J5883">
        <v>2</v>
      </c>
    </row>
    <row r="5884" spans="7:10">
      <c r="G5884">
        <v>3</v>
      </c>
      <c r="H5884">
        <v>2</v>
      </c>
      <c r="I5884">
        <v>1</v>
      </c>
      <c r="J5884">
        <v>1</v>
      </c>
    </row>
    <row r="5885" spans="7:10">
      <c r="G5885">
        <v>3</v>
      </c>
      <c r="H5885">
        <v>2</v>
      </c>
      <c r="I5885">
        <v>1</v>
      </c>
      <c r="J5885">
        <v>2</v>
      </c>
    </row>
    <row r="5886" spans="7:10">
      <c r="G5886">
        <v>3</v>
      </c>
      <c r="H5886">
        <v>2</v>
      </c>
      <c r="I5886">
        <v>2</v>
      </c>
      <c r="J5886">
        <v>1</v>
      </c>
    </row>
    <row r="5887" spans="7:10">
      <c r="G5887">
        <v>3</v>
      </c>
      <c r="H5887">
        <v>2</v>
      </c>
      <c r="I5887">
        <v>2</v>
      </c>
      <c r="J5887">
        <v>2</v>
      </c>
    </row>
    <row r="5888" spans="7:10">
      <c r="G5888">
        <v>3</v>
      </c>
      <c r="H5888">
        <v>2</v>
      </c>
      <c r="I5888">
        <v>3</v>
      </c>
      <c r="J5888">
        <v>1</v>
      </c>
    </row>
    <row r="5889" spans="7:10">
      <c r="G5889">
        <v>3</v>
      </c>
      <c r="H5889">
        <v>2</v>
      </c>
      <c r="I5889">
        <v>3</v>
      </c>
      <c r="J5889">
        <v>2</v>
      </c>
    </row>
    <row r="5890" spans="7:10">
      <c r="G5890">
        <v>3</v>
      </c>
      <c r="H5890">
        <v>2</v>
      </c>
      <c r="I5890">
        <v>4</v>
      </c>
      <c r="J5890">
        <v>1</v>
      </c>
    </row>
    <row r="5891" spans="7:10">
      <c r="G5891">
        <v>3</v>
      </c>
      <c r="H5891">
        <v>2</v>
      </c>
      <c r="I5891">
        <v>4</v>
      </c>
      <c r="J5891">
        <v>2</v>
      </c>
    </row>
    <row r="5892" spans="7:10">
      <c r="G5892">
        <v>3</v>
      </c>
      <c r="H5892">
        <v>2</v>
      </c>
      <c r="I5892">
        <v>5</v>
      </c>
      <c r="J5892">
        <v>1</v>
      </c>
    </row>
    <row r="5893" spans="7:10">
      <c r="G5893">
        <v>3</v>
      </c>
      <c r="H5893">
        <v>2</v>
      </c>
      <c r="I5893">
        <v>5</v>
      </c>
      <c r="J5893">
        <v>2</v>
      </c>
    </row>
    <row r="5894" spans="7:10">
      <c r="G5894">
        <v>3</v>
      </c>
      <c r="H5894">
        <v>3</v>
      </c>
      <c r="I5894">
        <v>1</v>
      </c>
      <c r="J5894">
        <v>1</v>
      </c>
    </row>
    <row r="5895" spans="7:10">
      <c r="G5895">
        <v>3</v>
      </c>
      <c r="H5895">
        <v>3</v>
      </c>
      <c r="I5895">
        <v>1</v>
      </c>
      <c r="J5895">
        <v>2</v>
      </c>
    </row>
    <row r="5896" spans="7:10">
      <c r="G5896">
        <v>3</v>
      </c>
      <c r="H5896">
        <v>3</v>
      </c>
      <c r="I5896">
        <v>2</v>
      </c>
      <c r="J5896">
        <v>1</v>
      </c>
    </row>
    <row r="5897" spans="7:10">
      <c r="G5897">
        <v>3</v>
      </c>
      <c r="H5897">
        <v>3</v>
      </c>
      <c r="I5897">
        <v>2</v>
      </c>
      <c r="J5897">
        <v>2</v>
      </c>
    </row>
    <row r="5898" spans="7:10">
      <c r="G5898">
        <v>3</v>
      </c>
      <c r="H5898">
        <v>3</v>
      </c>
      <c r="I5898">
        <v>3</v>
      </c>
      <c r="J5898">
        <v>1</v>
      </c>
    </row>
    <row r="5899" spans="7:10">
      <c r="G5899">
        <v>3</v>
      </c>
      <c r="H5899">
        <v>3</v>
      </c>
      <c r="I5899">
        <v>3</v>
      </c>
      <c r="J5899">
        <v>2</v>
      </c>
    </row>
    <row r="5900" spans="7:10">
      <c r="G5900">
        <v>3</v>
      </c>
      <c r="H5900">
        <v>3</v>
      </c>
      <c r="I5900">
        <v>4</v>
      </c>
      <c r="J5900">
        <v>1</v>
      </c>
    </row>
    <row r="5901" spans="7:10">
      <c r="G5901">
        <v>3</v>
      </c>
      <c r="H5901">
        <v>3</v>
      </c>
      <c r="I5901">
        <v>4</v>
      </c>
      <c r="J5901">
        <v>2</v>
      </c>
    </row>
    <row r="5902" spans="7:10">
      <c r="G5902">
        <v>3</v>
      </c>
      <c r="H5902">
        <v>3</v>
      </c>
      <c r="I5902">
        <v>5</v>
      </c>
      <c r="J5902">
        <v>1</v>
      </c>
    </row>
    <row r="5903" spans="7:10">
      <c r="G5903">
        <v>3</v>
      </c>
      <c r="H5903">
        <v>3</v>
      </c>
      <c r="I5903">
        <v>5</v>
      </c>
      <c r="J5903">
        <v>2</v>
      </c>
    </row>
    <row r="5904" spans="7:10">
      <c r="G5904">
        <v>4</v>
      </c>
      <c r="H5904">
        <v>1</v>
      </c>
      <c r="I5904">
        <v>3</v>
      </c>
      <c r="J5904">
        <v>1</v>
      </c>
    </row>
    <row r="5905" spans="7:10">
      <c r="G5905">
        <v>4</v>
      </c>
      <c r="H5905">
        <v>1</v>
      </c>
      <c r="I5905">
        <v>3</v>
      </c>
      <c r="J5905">
        <v>2</v>
      </c>
    </row>
    <row r="5906" spans="7:10">
      <c r="G5906">
        <v>4</v>
      </c>
      <c r="H5906">
        <v>1</v>
      </c>
      <c r="I5906">
        <v>4</v>
      </c>
      <c r="J5906">
        <v>1</v>
      </c>
    </row>
    <row r="5907" spans="7:10">
      <c r="G5907">
        <v>4</v>
      </c>
      <c r="H5907">
        <v>1</v>
      </c>
      <c r="I5907">
        <v>4</v>
      </c>
      <c r="J5907">
        <v>2</v>
      </c>
    </row>
    <row r="5908" spans="7:10">
      <c r="G5908">
        <v>4</v>
      </c>
      <c r="H5908">
        <v>1</v>
      </c>
      <c r="I5908">
        <v>5</v>
      </c>
      <c r="J5908">
        <v>1</v>
      </c>
    </row>
    <row r="5909" spans="7:10">
      <c r="G5909">
        <v>4</v>
      </c>
      <c r="H5909">
        <v>1</v>
      </c>
      <c r="I5909">
        <v>5</v>
      </c>
      <c r="J5909">
        <v>2</v>
      </c>
    </row>
    <row r="5910" spans="7:10">
      <c r="G5910">
        <v>4</v>
      </c>
      <c r="H5910">
        <v>2</v>
      </c>
      <c r="I5910">
        <v>1</v>
      </c>
      <c r="J5910">
        <v>1</v>
      </c>
    </row>
    <row r="5911" spans="7:10">
      <c r="G5911">
        <v>4</v>
      </c>
      <c r="H5911">
        <v>2</v>
      </c>
      <c r="I5911">
        <v>1</v>
      </c>
      <c r="J5911">
        <v>2</v>
      </c>
    </row>
    <row r="5912" spans="7:10">
      <c r="G5912">
        <v>4</v>
      </c>
      <c r="H5912">
        <v>2</v>
      </c>
      <c r="I5912">
        <v>2</v>
      </c>
      <c r="J5912">
        <v>1</v>
      </c>
    </row>
    <row r="5913" spans="7:10">
      <c r="G5913">
        <v>4</v>
      </c>
      <c r="H5913">
        <v>2</v>
      </c>
      <c r="I5913">
        <v>2</v>
      </c>
      <c r="J5913">
        <v>2</v>
      </c>
    </row>
    <row r="5914" spans="7:10">
      <c r="G5914">
        <v>4</v>
      </c>
      <c r="H5914">
        <v>2</v>
      </c>
      <c r="I5914">
        <v>3</v>
      </c>
      <c r="J5914">
        <v>1</v>
      </c>
    </row>
    <row r="5915" spans="7:10">
      <c r="G5915">
        <v>4</v>
      </c>
      <c r="H5915">
        <v>2</v>
      </c>
      <c r="I5915">
        <v>3</v>
      </c>
      <c r="J5915">
        <v>2</v>
      </c>
    </row>
    <row r="5916" spans="7:10">
      <c r="G5916">
        <v>4</v>
      </c>
      <c r="H5916">
        <v>2</v>
      </c>
      <c r="I5916">
        <v>4</v>
      </c>
      <c r="J5916">
        <v>1</v>
      </c>
    </row>
    <row r="5917" spans="7:10">
      <c r="G5917">
        <v>4</v>
      </c>
      <c r="H5917">
        <v>2</v>
      </c>
      <c r="I5917">
        <v>4</v>
      </c>
      <c r="J5917">
        <v>2</v>
      </c>
    </row>
    <row r="5918" spans="7:10">
      <c r="G5918">
        <v>4</v>
      </c>
      <c r="H5918">
        <v>2</v>
      </c>
      <c r="I5918">
        <v>5</v>
      </c>
      <c r="J5918">
        <v>1</v>
      </c>
    </row>
    <row r="5919" spans="7:10">
      <c r="G5919">
        <v>4</v>
      </c>
      <c r="H5919">
        <v>2</v>
      </c>
      <c r="I5919">
        <v>5</v>
      </c>
      <c r="J5919">
        <v>2</v>
      </c>
    </row>
    <row r="5920" spans="7:10">
      <c r="G5920">
        <v>4</v>
      </c>
      <c r="H5920">
        <v>3</v>
      </c>
      <c r="I5920">
        <v>1</v>
      </c>
      <c r="J5920">
        <v>1</v>
      </c>
    </row>
    <row r="5921" spans="7:10">
      <c r="G5921">
        <v>4</v>
      </c>
      <c r="H5921">
        <v>3</v>
      </c>
      <c r="I5921">
        <v>1</v>
      </c>
      <c r="J5921">
        <v>2</v>
      </c>
    </row>
    <row r="5922" spans="7:10">
      <c r="G5922">
        <v>4</v>
      </c>
      <c r="H5922">
        <v>3</v>
      </c>
      <c r="I5922">
        <v>2</v>
      </c>
      <c r="J5922">
        <v>1</v>
      </c>
    </row>
    <row r="5923" spans="7:10">
      <c r="G5923">
        <v>4</v>
      </c>
      <c r="H5923">
        <v>3</v>
      </c>
      <c r="I5923">
        <v>2</v>
      </c>
      <c r="J5923">
        <v>2</v>
      </c>
    </row>
    <row r="5924" spans="7:10">
      <c r="G5924">
        <v>4</v>
      </c>
      <c r="H5924">
        <v>3</v>
      </c>
      <c r="I5924">
        <v>3</v>
      </c>
      <c r="J5924">
        <v>1</v>
      </c>
    </row>
    <row r="5925" spans="7:10">
      <c r="G5925">
        <v>4</v>
      </c>
      <c r="H5925">
        <v>3</v>
      </c>
      <c r="I5925">
        <v>3</v>
      </c>
      <c r="J5925">
        <v>2</v>
      </c>
    </row>
    <row r="5926" spans="7:10">
      <c r="G5926">
        <v>4</v>
      </c>
      <c r="H5926">
        <v>3</v>
      </c>
      <c r="I5926">
        <v>4</v>
      </c>
      <c r="J5926">
        <v>1</v>
      </c>
    </row>
    <row r="5927" spans="7:10">
      <c r="G5927">
        <v>4</v>
      </c>
      <c r="H5927">
        <v>3</v>
      </c>
      <c r="I5927">
        <v>4</v>
      </c>
      <c r="J5927">
        <v>2</v>
      </c>
    </row>
    <row r="5928" spans="7:10">
      <c r="G5928">
        <v>4</v>
      </c>
      <c r="H5928">
        <v>3</v>
      </c>
      <c r="I5928">
        <v>5</v>
      </c>
      <c r="J5928">
        <v>1</v>
      </c>
    </row>
    <row r="5929" spans="7:10">
      <c r="G5929">
        <v>4</v>
      </c>
      <c r="H5929">
        <v>3</v>
      </c>
      <c r="I5929">
        <v>5</v>
      </c>
      <c r="J5929">
        <v>2</v>
      </c>
    </row>
    <row r="5930" spans="7:10">
      <c r="G5930">
        <v>1</v>
      </c>
      <c r="H5930">
        <v>2</v>
      </c>
      <c r="I5930">
        <v>1</v>
      </c>
      <c r="J5930">
        <v>1</v>
      </c>
    </row>
    <row r="5931" spans="7:10">
      <c r="G5931">
        <v>1</v>
      </c>
      <c r="H5931">
        <v>2</v>
      </c>
      <c r="I5931">
        <v>1</v>
      </c>
      <c r="J5931">
        <v>2</v>
      </c>
    </row>
    <row r="5932" spans="7:10">
      <c r="G5932">
        <v>1</v>
      </c>
      <c r="H5932">
        <v>2</v>
      </c>
      <c r="I5932">
        <v>2</v>
      </c>
      <c r="J5932">
        <v>1</v>
      </c>
    </row>
    <row r="5933" spans="7:10">
      <c r="G5933">
        <v>1</v>
      </c>
      <c r="H5933">
        <v>2</v>
      </c>
      <c r="I5933">
        <v>2</v>
      </c>
      <c r="J5933">
        <v>2</v>
      </c>
    </row>
    <row r="5934" spans="7:10">
      <c r="G5934">
        <v>1</v>
      </c>
      <c r="H5934">
        <v>2</v>
      </c>
      <c r="I5934">
        <v>3</v>
      </c>
      <c r="J5934">
        <v>1</v>
      </c>
    </row>
    <row r="5935" spans="7:10">
      <c r="G5935">
        <v>1</v>
      </c>
      <c r="H5935">
        <v>2</v>
      </c>
      <c r="I5935">
        <v>3</v>
      </c>
      <c r="J5935">
        <v>2</v>
      </c>
    </row>
    <row r="5936" spans="7:10">
      <c r="G5936">
        <v>1</v>
      </c>
      <c r="H5936">
        <v>2</v>
      </c>
      <c r="I5936">
        <v>4</v>
      </c>
      <c r="J5936">
        <v>1</v>
      </c>
    </row>
    <row r="5937" spans="7:10">
      <c r="G5937">
        <v>1</v>
      </c>
      <c r="H5937">
        <v>2</v>
      </c>
      <c r="I5937">
        <v>4</v>
      </c>
      <c r="J5937">
        <v>2</v>
      </c>
    </row>
    <row r="5938" spans="7:10">
      <c r="G5938">
        <v>1</v>
      </c>
      <c r="H5938">
        <v>2</v>
      </c>
      <c r="I5938">
        <v>5</v>
      </c>
      <c r="J5938">
        <v>1</v>
      </c>
    </row>
    <row r="5939" spans="7:10">
      <c r="G5939">
        <v>1</v>
      </c>
      <c r="H5939">
        <v>2</v>
      </c>
      <c r="I5939">
        <v>5</v>
      </c>
      <c r="J5939">
        <v>2</v>
      </c>
    </row>
    <row r="5940" spans="7:10">
      <c r="G5940">
        <v>1</v>
      </c>
      <c r="H5940">
        <v>3</v>
      </c>
      <c r="I5940">
        <v>1</v>
      </c>
      <c r="J5940">
        <v>1</v>
      </c>
    </row>
    <row r="5941" spans="7:10">
      <c r="G5941">
        <v>1</v>
      </c>
      <c r="H5941">
        <v>3</v>
      </c>
      <c r="I5941">
        <v>1</v>
      </c>
      <c r="J5941">
        <v>2</v>
      </c>
    </row>
    <row r="5942" spans="7:10">
      <c r="G5942">
        <v>1</v>
      </c>
      <c r="H5942">
        <v>3</v>
      </c>
      <c r="I5942">
        <v>2</v>
      </c>
      <c r="J5942">
        <v>1</v>
      </c>
    </row>
    <row r="5943" spans="7:10">
      <c r="G5943">
        <v>1</v>
      </c>
      <c r="H5943">
        <v>3</v>
      </c>
      <c r="I5943">
        <v>2</v>
      </c>
      <c r="J5943">
        <v>2</v>
      </c>
    </row>
    <row r="5944" spans="7:10">
      <c r="G5944">
        <v>1</v>
      </c>
      <c r="H5944">
        <v>3</v>
      </c>
      <c r="I5944">
        <v>3</v>
      </c>
      <c r="J5944">
        <v>1</v>
      </c>
    </row>
    <row r="5945" spans="7:10">
      <c r="G5945">
        <v>1</v>
      </c>
      <c r="H5945">
        <v>3</v>
      </c>
      <c r="I5945">
        <v>3</v>
      </c>
      <c r="J5945">
        <v>2</v>
      </c>
    </row>
    <row r="5946" spans="7:10">
      <c r="G5946">
        <v>1</v>
      </c>
      <c r="H5946">
        <v>3</v>
      </c>
      <c r="I5946">
        <v>4</v>
      </c>
      <c r="J5946">
        <v>1</v>
      </c>
    </row>
    <row r="5947" spans="7:10">
      <c r="G5947">
        <v>1</v>
      </c>
      <c r="H5947">
        <v>3</v>
      </c>
      <c r="I5947">
        <v>4</v>
      </c>
      <c r="J5947">
        <v>2</v>
      </c>
    </row>
    <row r="5948" spans="7:10">
      <c r="G5948">
        <v>1</v>
      </c>
      <c r="H5948">
        <v>3</v>
      </c>
      <c r="I5948">
        <v>5</v>
      </c>
      <c r="J5948">
        <v>1</v>
      </c>
    </row>
    <row r="5949" spans="7:10">
      <c r="G5949">
        <v>1</v>
      </c>
      <c r="H5949">
        <v>3</v>
      </c>
      <c r="I5949">
        <v>5</v>
      </c>
      <c r="J5949">
        <v>2</v>
      </c>
    </row>
    <row r="5950" spans="7:10">
      <c r="G5950">
        <v>2</v>
      </c>
      <c r="H5950">
        <v>1</v>
      </c>
      <c r="I5950">
        <v>3</v>
      </c>
      <c r="J5950">
        <v>1</v>
      </c>
    </row>
    <row r="5951" spans="7:10">
      <c r="G5951">
        <v>2</v>
      </c>
      <c r="H5951">
        <v>1</v>
      </c>
      <c r="I5951">
        <v>3</v>
      </c>
      <c r="J5951">
        <v>2</v>
      </c>
    </row>
    <row r="5952" spans="7:10">
      <c r="G5952">
        <v>2</v>
      </c>
      <c r="H5952">
        <v>1</v>
      </c>
      <c r="I5952">
        <v>4</v>
      </c>
      <c r="J5952">
        <v>1</v>
      </c>
    </row>
    <row r="5953" spans="7:10">
      <c r="G5953">
        <v>2</v>
      </c>
      <c r="H5953">
        <v>1</v>
      </c>
      <c r="I5953">
        <v>4</v>
      </c>
      <c r="J5953">
        <v>2</v>
      </c>
    </row>
    <row r="5954" spans="7:10">
      <c r="G5954">
        <v>2</v>
      </c>
      <c r="H5954">
        <v>1</v>
      </c>
      <c r="I5954">
        <v>5</v>
      </c>
      <c r="J5954">
        <v>1</v>
      </c>
    </row>
    <row r="5955" spans="7:10">
      <c r="G5955">
        <v>2</v>
      </c>
      <c r="H5955">
        <v>1</v>
      </c>
      <c r="I5955">
        <v>5</v>
      </c>
      <c r="J5955">
        <v>2</v>
      </c>
    </row>
    <row r="5956" spans="7:10">
      <c r="G5956">
        <v>2</v>
      </c>
      <c r="H5956">
        <v>2</v>
      </c>
      <c r="I5956">
        <v>1</v>
      </c>
      <c r="J5956">
        <v>1</v>
      </c>
    </row>
    <row r="5957" spans="7:10">
      <c r="G5957">
        <v>2</v>
      </c>
      <c r="H5957">
        <v>2</v>
      </c>
      <c r="I5957">
        <v>1</v>
      </c>
      <c r="J5957">
        <v>2</v>
      </c>
    </row>
    <row r="5958" spans="7:10">
      <c r="G5958">
        <v>2</v>
      </c>
      <c r="H5958">
        <v>2</v>
      </c>
      <c r="I5958">
        <v>2</v>
      </c>
      <c r="J5958">
        <v>1</v>
      </c>
    </row>
    <row r="5959" spans="7:10">
      <c r="G5959">
        <v>2</v>
      </c>
      <c r="H5959">
        <v>2</v>
      </c>
      <c r="I5959">
        <v>2</v>
      </c>
      <c r="J5959">
        <v>2</v>
      </c>
    </row>
    <row r="5960" spans="7:10">
      <c r="G5960">
        <v>2</v>
      </c>
      <c r="H5960">
        <v>2</v>
      </c>
      <c r="I5960">
        <v>3</v>
      </c>
      <c r="J5960">
        <v>1</v>
      </c>
    </row>
    <row r="5961" spans="7:10">
      <c r="G5961">
        <v>2</v>
      </c>
      <c r="H5961">
        <v>2</v>
      </c>
      <c r="I5961">
        <v>3</v>
      </c>
      <c r="J5961">
        <v>2</v>
      </c>
    </row>
    <row r="5962" spans="7:10">
      <c r="G5962">
        <v>2</v>
      </c>
      <c r="H5962">
        <v>2</v>
      </c>
      <c r="I5962">
        <v>4</v>
      </c>
      <c r="J5962">
        <v>1</v>
      </c>
    </row>
    <row r="5963" spans="7:10">
      <c r="G5963">
        <v>2</v>
      </c>
      <c r="H5963">
        <v>2</v>
      </c>
      <c r="I5963">
        <v>4</v>
      </c>
      <c r="J5963">
        <v>2</v>
      </c>
    </row>
    <row r="5964" spans="7:10">
      <c r="G5964">
        <v>2</v>
      </c>
      <c r="H5964">
        <v>2</v>
      </c>
      <c r="I5964">
        <v>5</v>
      </c>
      <c r="J5964">
        <v>1</v>
      </c>
    </row>
    <row r="5965" spans="7:10">
      <c r="G5965">
        <v>2</v>
      </c>
      <c r="H5965">
        <v>2</v>
      </c>
      <c r="I5965">
        <v>5</v>
      </c>
      <c r="J5965">
        <v>2</v>
      </c>
    </row>
    <row r="5966" spans="7:10">
      <c r="G5966">
        <v>2</v>
      </c>
      <c r="H5966">
        <v>3</v>
      </c>
      <c r="I5966">
        <v>1</v>
      </c>
      <c r="J5966">
        <v>1</v>
      </c>
    </row>
    <row r="5967" spans="7:10">
      <c r="G5967">
        <v>2</v>
      </c>
      <c r="H5967">
        <v>3</v>
      </c>
      <c r="I5967">
        <v>1</v>
      </c>
      <c r="J5967">
        <v>2</v>
      </c>
    </row>
    <row r="5968" spans="7:10">
      <c r="G5968">
        <v>2</v>
      </c>
      <c r="H5968">
        <v>3</v>
      </c>
      <c r="I5968">
        <v>2</v>
      </c>
      <c r="J5968">
        <v>1</v>
      </c>
    </row>
    <row r="5969" spans="7:10">
      <c r="G5969">
        <v>2</v>
      </c>
      <c r="H5969">
        <v>3</v>
      </c>
      <c r="I5969">
        <v>2</v>
      </c>
      <c r="J5969">
        <v>2</v>
      </c>
    </row>
    <row r="5970" spans="7:10">
      <c r="G5970">
        <v>2</v>
      </c>
      <c r="H5970">
        <v>3</v>
      </c>
      <c r="I5970">
        <v>3</v>
      </c>
      <c r="J5970">
        <v>1</v>
      </c>
    </row>
    <row r="5971" spans="7:10">
      <c r="G5971">
        <v>2</v>
      </c>
      <c r="H5971">
        <v>3</v>
      </c>
      <c r="I5971">
        <v>3</v>
      </c>
      <c r="J5971">
        <v>2</v>
      </c>
    </row>
    <row r="5972" spans="7:10">
      <c r="G5972">
        <v>2</v>
      </c>
      <c r="H5972">
        <v>3</v>
      </c>
      <c r="I5972">
        <v>4</v>
      </c>
      <c r="J5972">
        <v>1</v>
      </c>
    </row>
    <row r="5973" spans="7:10">
      <c r="G5973">
        <v>2</v>
      </c>
      <c r="H5973">
        <v>3</v>
      </c>
      <c r="I5973">
        <v>4</v>
      </c>
      <c r="J5973">
        <v>2</v>
      </c>
    </row>
    <row r="5974" spans="7:10">
      <c r="G5974">
        <v>2</v>
      </c>
      <c r="H5974">
        <v>3</v>
      </c>
      <c r="I5974">
        <v>5</v>
      </c>
      <c r="J5974">
        <v>1</v>
      </c>
    </row>
    <row r="5975" spans="7:10">
      <c r="G5975">
        <v>2</v>
      </c>
      <c r="H5975">
        <v>3</v>
      </c>
      <c r="I5975">
        <v>5</v>
      </c>
      <c r="J5975">
        <v>2</v>
      </c>
    </row>
    <row r="5976" spans="7:10">
      <c r="G5976">
        <v>3</v>
      </c>
      <c r="H5976">
        <v>1</v>
      </c>
      <c r="I5976">
        <v>3</v>
      </c>
      <c r="J5976">
        <v>1</v>
      </c>
    </row>
    <row r="5977" spans="7:10">
      <c r="G5977">
        <v>3</v>
      </c>
      <c r="H5977">
        <v>1</v>
      </c>
      <c r="I5977">
        <v>3</v>
      </c>
      <c r="J5977">
        <v>2</v>
      </c>
    </row>
    <row r="5978" spans="7:10">
      <c r="G5978">
        <v>3</v>
      </c>
      <c r="H5978">
        <v>1</v>
      </c>
      <c r="I5978">
        <v>4</v>
      </c>
      <c r="J5978">
        <v>1</v>
      </c>
    </row>
    <row r="5979" spans="7:10">
      <c r="G5979">
        <v>3</v>
      </c>
      <c r="H5979">
        <v>1</v>
      </c>
      <c r="I5979">
        <v>4</v>
      </c>
      <c r="J5979">
        <v>2</v>
      </c>
    </row>
    <row r="5980" spans="7:10">
      <c r="G5980">
        <v>3</v>
      </c>
      <c r="H5980">
        <v>1</v>
      </c>
      <c r="I5980">
        <v>5</v>
      </c>
      <c r="J5980">
        <v>1</v>
      </c>
    </row>
    <row r="5981" spans="7:10">
      <c r="G5981">
        <v>3</v>
      </c>
      <c r="H5981">
        <v>1</v>
      </c>
      <c r="I5981">
        <v>5</v>
      </c>
      <c r="J5981">
        <v>2</v>
      </c>
    </row>
    <row r="5982" spans="7:10">
      <c r="G5982">
        <v>3</v>
      </c>
      <c r="H5982">
        <v>2</v>
      </c>
      <c r="I5982">
        <v>1</v>
      </c>
      <c r="J5982">
        <v>1</v>
      </c>
    </row>
    <row r="5983" spans="7:10">
      <c r="G5983">
        <v>3</v>
      </c>
      <c r="H5983">
        <v>2</v>
      </c>
      <c r="I5983">
        <v>1</v>
      </c>
      <c r="J5983">
        <v>2</v>
      </c>
    </row>
    <row r="5984" spans="7:10">
      <c r="G5984">
        <v>3</v>
      </c>
      <c r="H5984">
        <v>2</v>
      </c>
      <c r="I5984">
        <v>2</v>
      </c>
      <c r="J5984">
        <v>1</v>
      </c>
    </row>
    <row r="5985" spans="7:10">
      <c r="G5985">
        <v>3</v>
      </c>
      <c r="H5985">
        <v>2</v>
      </c>
      <c r="I5985">
        <v>2</v>
      </c>
      <c r="J5985">
        <v>2</v>
      </c>
    </row>
    <row r="5986" spans="7:10">
      <c r="G5986">
        <v>3</v>
      </c>
      <c r="H5986">
        <v>2</v>
      </c>
      <c r="I5986">
        <v>3</v>
      </c>
      <c r="J5986">
        <v>1</v>
      </c>
    </row>
    <row r="5987" spans="7:10">
      <c r="G5987">
        <v>3</v>
      </c>
      <c r="H5987">
        <v>2</v>
      </c>
      <c r="I5987">
        <v>3</v>
      </c>
      <c r="J5987">
        <v>2</v>
      </c>
    </row>
    <row r="5988" spans="7:10">
      <c r="G5988">
        <v>3</v>
      </c>
      <c r="H5988">
        <v>2</v>
      </c>
      <c r="I5988">
        <v>4</v>
      </c>
      <c r="J5988">
        <v>1</v>
      </c>
    </row>
    <row r="5989" spans="7:10">
      <c r="G5989">
        <v>3</v>
      </c>
      <c r="H5989">
        <v>2</v>
      </c>
      <c r="I5989">
        <v>4</v>
      </c>
      <c r="J5989">
        <v>2</v>
      </c>
    </row>
    <row r="5990" spans="7:10">
      <c r="G5990">
        <v>3</v>
      </c>
      <c r="H5990">
        <v>2</v>
      </c>
      <c r="I5990">
        <v>5</v>
      </c>
      <c r="J5990">
        <v>1</v>
      </c>
    </row>
    <row r="5991" spans="7:10">
      <c r="G5991">
        <v>3</v>
      </c>
      <c r="H5991">
        <v>2</v>
      </c>
      <c r="I5991">
        <v>5</v>
      </c>
      <c r="J5991">
        <v>2</v>
      </c>
    </row>
    <row r="5992" spans="7:10">
      <c r="G5992">
        <v>3</v>
      </c>
      <c r="H5992">
        <v>3</v>
      </c>
      <c r="I5992">
        <v>1</v>
      </c>
      <c r="J5992">
        <v>1</v>
      </c>
    </row>
    <row r="5993" spans="7:10">
      <c r="G5993">
        <v>3</v>
      </c>
      <c r="H5993">
        <v>3</v>
      </c>
      <c r="I5993">
        <v>1</v>
      </c>
      <c r="J5993">
        <v>2</v>
      </c>
    </row>
    <row r="5994" spans="7:10">
      <c r="G5994">
        <v>3</v>
      </c>
      <c r="H5994">
        <v>3</v>
      </c>
      <c r="I5994">
        <v>2</v>
      </c>
      <c r="J5994">
        <v>1</v>
      </c>
    </row>
    <row r="5995" spans="7:10">
      <c r="G5995">
        <v>3</v>
      </c>
      <c r="H5995">
        <v>3</v>
      </c>
      <c r="I5995">
        <v>2</v>
      </c>
      <c r="J5995">
        <v>2</v>
      </c>
    </row>
    <row r="5996" spans="7:10">
      <c r="G5996">
        <v>3</v>
      </c>
      <c r="H5996">
        <v>3</v>
      </c>
      <c r="I5996">
        <v>3</v>
      </c>
      <c r="J5996">
        <v>1</v>
      </c>
    </row>
    <row r="5997" spans="7:10">
      <c r="G5997">
        <v>3</v>
      </c>
      <c r="H5997">
        <v>3</v>
      </c>
      <c r="I5997">
        <v>3</v>
      </c>
      <c r="J5997">
        <v>2</v>
      </c>
    </row>
    <row r="5998" spans="7:10">
      <c r="G5998">
        <v>3</v>
      </c>
      <c r="H5998">
        <v>3</v>
      </c>
      <c r="I5998">
        <v>4</v>
      </c>
      <c r="J5998">
        <v>1</v>
      </c>
    </row>
    <row r="5999" spans="7:10">
      <c r="G5999">
        <v>3</v>
      </c>
      <c r="H5999">
        <v>3</v>
      </c>
      <c r="I5999">
        <v>4</v>
      </c>
      <c r="J5999">
        <v>2</v>
      </c>
    </row>
    <row r="6000" spans="7:10">
      <c r="G6000">
        <v>3</v>
      </c>
      <c r="H6000">
        <v>3</v>
      </c>
      <c r="I6000">
        <v>5</v>
      </c>
      <c r="J6000">
        <v>1</v>
      </c>
    </row>
    <row r="6001" spans="7:10">
      <c r="G6001">
        <v>3</v>
      </c>
      <c r="H6001">
        <v>3</v>
      </c>
      <c r="I6001">
        <v>5</v>
      </c>
      <c r="J6001">
        <v>2</v>
      </c>
    </row>
    <row r="6002" spans="7:10">
      <c r="G6002">
        <v>4</v>
      </c>
      <c r="H6002">
        <v>1</v>
      </c>
      <c r="I6002">
        <v>3</v>
      </c>
      <c r="J6002">
        <v>1</v>
      </c>
    </row>
    <row r="6003" spans="7:10">
      <c r="G6003">
        <v>4</v>
      </c>
      <c r="H6003">
        <v>1</v>
      </c>
      <c r="I6003">
        <v>3</v>
      </c>
      <c r="J6003">
        <v>2</v>
      </c>
    </row>
    <row r="6004" spans="7:10">
      <c r="G6004">
        <v>4</v>
      </c>
      <c r="H6004">
        <v>1</v>
      </c>
      <c r="I6004">
        <v>4</v>
      </c>
      <c r="J6004">
        <v>1</v>
      </c>
    </row>
    <row r="6005" spans="7:10">
      <c r="G6005">
        <v>4</v>
      </c>
      <c r="H6005">
        <v>1</v>
      </c>
      <c r="I6005">
        <v>4</v>
      </c>
      <c r="J6005">
        <v>2</v>
      </c>
    </row>
    <row r="6006" spans="7:10">
      <c r="G6006">
        <v>4</v>
      </c>
      <c r="H6006">
        <v>1</v>
      </c>
      <c r="I6006">
        <v>5</v>
      </c>
      <c r="J6006">
        <v>1</v>
      </c>
    </row>
    <row r="6007" spans="7:10">
      <c r="G6007">
        <v>4</v>
      </c>
      <c r="H6007">
        <v>1</v>
      </c>
      <c r="I6007">
        <v>5</v>
      </c>
      <c r="J6007">
        <v>2</v>
      </c>
    </row>
    <row r="6008" spans="7:10">
      <c r="G6008">
        <v>4</v>
      </c>
      <c r="H6008">
        <v>2</v>
      </c>
      <c r="I6008">
        <v>1</v>
      </c>
      <c r="J6008">
        <v>1</v>
      </c>
    </row>
    <row r="6009" spans="7:10">
      <c r="G6009">
        <v>4</v>
      </c>
      <c r="H6009">
        <v>2</v>
      </c>
      <c r="I6009">
        <v>1</v>
      </c>
      <c r="J6009">
        <v>2</v>
      </c>
    </row>
    <row r="6010" spans="7:10">
      <c r="G6010">
        <v>4</v>
      </c>
      <c r="H6010">
        <v>2</v>
      </c>
      <c r="I6010">
        <v>2</v>
      </c>
      <c r="J6010">
        <v>1</v>
      </c>
    </row>
    <row r="6011" spans="7:10">
      <c r="G6011">
        <v>4</v>
      </c>
      <c r="H6011">
        <v>2</v>
      </c>
      <c r="I6011">
        <v>2</v>
      </c>
      <c r="J6011">
        <v>2</v>
      </c>
    </row>
    <row r="6012" spans="7:10">
      <c r="G6012">
        <v>4</v>
      </c>
      <c r="H6012">
        <v>2</v>
      </c>
      <c r="I6012">
        <v>3</v>
      </c>
      <c r="J6012">
        <v>1</v>
      </c>
    </row>
    <row r="6013" spans="7:10">
      <c r="G6013">
        <v>4</v>
      </c>
      <c r="H6013">
        <v>2</v>
      </c>
      <c r="I6013">
        <v>3</v>
      </c>
      <c r="J6013">
        <v>2</v>
      </c>
    </row>
    <row r="6014" spans="7:10">
      <c r="G6014">
        <v>4</v>
      </c>
      <c r="H6014">
        <v>2</v>
      </c>
      <c r="I6014">
        <v>4</v>
      </c>
      <c r="J6014">
        <v>1</v>
      </c>
    </row>
    <row r="6015" spans="7:10">
      <c r="G6015">
        <v>4</v>
      </c>
      <c r="H6015">
        <v>2</v>
      </c>
      <c r="I6015">
        <v>4</v>
      </c>
      <c r="J6015">
        <v>2</v>
      </c>
    </row>
    <row r="6016" spans="7:10">
      <c r="G6016">
        <v>4</v>
      </c>
      <c r="H6016">
        <v>2</v>
      </c>
      <c r="I6016">
        <v>5</v>
      </c>
      <c r="J6016">
        <v>1</v>
      </c>
    </row>
    <row r="6017" spans="7:10">
      <c r="G6017">
        <v>4</v>
      </c>
      <c r="H6017">
        <v>2</v>
      </c>
      <c r="I6017">
        <v>5</v>
      </c>
      <c r="J6017">
        <v>2</v>
      </c>
    </row>
    <row r="6018" spans="7:10">
      <c r="G6018">
        <v>4</v>
      </c>
      <c r="H6018">
        <v>3</v>
      </c>
      <c r="I6018">
        <v>1</v>
      </c>
      <c r="J6018">
        <v>1</v>
      </c>
    </row>
    <row r="6019" spans="7:10">
      <c r="G6019">
        <v>4</v>
      </c>
      <c r="H6019">
        <v>3</v>
      </c>
      <c r="I6019">
        <v>1</v>
      </c>
      <c r="J6019">
        <v>2</v>
      </c>
    </row>
    <row r="6020" spans="7:10">
      <c r="G6020">
        <v>4</v>
      </c>
      <c r="H6020">
        <v>3</v>
      </c>
      <c r="I6020">
        <v>2</v>
      </c>
      <c r="J6020">
        <v>1</v>
      </c>
    </row>
    <row r="6021" spans="7:10">
      <c r="G6021">
        <v>4</v>
      </c>
      <c r="H6021">
        <v>3</v>
      </c>
      <c r="I6021">
        <v>2</v>
      </c>
      <c r="J6021">
        <v>2</v>
      </c>
    </row>
    <row r="6022" spans="7:10">
      <c r="G6022">
        <v>4</v>
      </c>
      <c r="H6022">
        <v>3</v>
      </c>
      <c r="I6022">
        <v>3</v>
      </c>
      <c r="J6022">
        <v>1</v>
      </c>
    </row>
    <row r="6023" spans="7:10">
      <c r="G6023">
        <v>4</v>
      </c>
      <c r="H6023">
        <v>3</v>
      </c>
      <c r="I6023">
        <v>3</v>
      </c>
      <c r="J6023">
        <v>2</v>
      </c>
    </row>
    <row r="6024" spans="7:10">
      <c r="G6024">
        <v>4</v>
      </c>
      <c r="H6024">
        <v>3</v>
      </c>
      <c r="I6024">
        <v>4</v>
      </c>
      <c r="J6024">
        <v>1</v>
      </c>
    </row>
    <row r="6025" spans="7:10">
      <c r="G6025">
        <v>4</v>
      </c>
      <c r="H6025">
        <v>3</v>
      </c>
      <c r="I6025">
        <v>4</v>
      </c>
      <c r="J6025">
        <v>2</v>
      </c>
    </row>
    <row r="6026" spans="7:10">
      <c r="G6026">
        <v>4</v>
      </c>
      <c r="H6026">
        <v>3</v>
      </c>
      <c r="I6026">
        <v>5</v>
      </c>
      <c r="J6026">
        <v>1</v>
      </c>
    </row>
    <row r="6027" spans="7:10">
      <c r="G6027">
        <v>4</v>
      </c>
      <c r="H6027">
        <v>3</v>
      </c>
      <c r="I6027">
        <v>5</v>
      </c>
      <c r="J6027">
        <v>2</v>
      </c>
    </row>
    <row r="6028" spans="7:10">
      <c r="G6028">
        <v>1</v>
      </c>
      <c r="H6028">
        <v>2</v>
      </c>
      <c r="I6028">
        <v>1</v>
      </c>
      <c r="J6028">
        <v>1</v>
      </c>
    </row>
    <row r="6029" spans="7:10">
      <c r="G6029">
        <v>1</v>
      </c>
      <c r="H6029">
        <v>2</v>
      </c>
      <c r="I6029">
        <v>1</v>
      </c>
      <c r="J6029">
        <v>2</v>
      </c>
    </row>
    <row r="6030" spans="7:10">
      <c r="G6030">
        <v>1</v>
      </c>
      <c r="H6030">
        <v>2</v>
      </c>
      <c r="I6030">
        <v>2</v>
      </c>
      <c r="J6030">
        <v>1</v>
      </c>
    </row>
    <row r="6031" spans="7:10">
      <c r="G6031">
        <v>1</v>
      </c>
      <c r="H6031">
        <v>2</v>
      </c>
      <c r="I6031">
        <v>2</v>
      </c>
      <c r="J6031">
        <v>2</v>
      </c>
    </row>
    <row r="6032" spans="7:10">
      <c r="G6032">
        <v>1</v>
      </c>
      <c r="H6032">
        <v>2</v>
      </c>
      <c r="I6032">
        <v>3</v>
      </c>
      <c r="J6032">
        <v>1</v>
      </c>
    </row>
    <row r="6033" spans="7:10">
      <c r="G6033">
        <v>1</v>
      </c>
      <c r="H6033">
        <v>2</v>
      </c>
      <c r="I6033">
        <v>3</v>
      </c>
      <c r="J6033">
        <v>2</v>
      </c>
    </row>
    <row r="6034" spans="7:10">
      <c r="G6034">
        <v>1</v>
      </c>
      <c r="H6034">
        <v>2</v>
      </c>
      <c r="I6034">
        <v>4</v>
      </c>
      <c r="J6034">
        <v>1</v>
      </c>
    </row>
    <row r="6035" spans="7:10">
      <c r="G6035">
        <v>1</v>
      </c>
      <c r="H6035">
        <v>2</v>
      </c>
      <c r="I6035">
        <v>4</v>
      </c>
      <c r="J6035">
        <v>2</v>
      </c>
    </row>
    <row r="6036" spans="7:10">
      <c r="G6036">
        <v>1</v>
      </c>
      <c r="H6036">
        <v>2</v>
      </c>
      <c r="I6036">
        <v>5</v>
      </c>
      <c r="J6036">
        <v>1</v>
      </c>
    </row>
    <row r="6037" spans="7:10">
      <c r="G6037">
        <v>1</v>
      </c>
      <c r="H6037">
        <v>2</v>
      </c>
      <c r="I6037">
        <v>5</v>
      </c>
      <c r="J6037">
        <v>2</v>
      </c>
    </row>
    <row r="6038" spans="7:10">
      <c r="G6038">
        <v>1</v>
      </c>
      <c r="H6038">
        <v>3</v>
      </c>
      <c r="I6038">
        <v>1</v>
      </c>
      <c r="J6038">
        <v>1</v>
      </c>
    </row>
    <row r="6039" spans="7:10">
      <c r="G6039">
        <v>1</v>
      </c>
      <c r="H6039">
        <v>3</v>
      </c>
      <c r="I6039">
        <v>1</v>
      </c>
      <c r="J6039">
        <v>2</v>
      </c>
    </row>
    <row r="6040" spans="7:10">
      <c r="G6040">
        <v>1</v>
      </c>
      <c r="H6040">
        <v>3</v>
      </c>
      <c r="I6040">
        <v>2</v>
      </c>
      <c r="J6040">
        <v>1</v>
      </c>
    </row>
    <row r="6041" spans="7:10">
      <c r="G6041">
        <v>1</v>
      </c>
      <c r="H6041">
        <v>3</v>
      </c>
      <c r="I6041">
        <v>2</v>
      </c>
      <c r="J6041">
        <v>2</v>
      </c>
    </row>
    <row r="6042" spans="7:10">
      <c r="G6042">
        <v>1</v>
      </c>
      <c r="H6042">
        <v>3</v>
      </c>
      <c r="I6042">
        <v>3</v>
      </c>
      <c r="J6042">
        <v>1</v>
      </c>
    </row>
    <row r="6043" spans="7:10">
      <c r="G6043">
        <v>1</v>
      </c>
      <c r="H6043">
        <v>3</v>
      </c>
      <c r="I6043">
        <v>3</v>
      </c>
      <c r="J6043">
        <v>2</v>
      </c>
    </row>
    <row r="6044" spans="7:10">
      <c r="G6044">
        <v>1</v>
      </c>
      <c r="H6044">
        <v>3</v>
      </c>
      <c r="I6044">
        <v>4</v>
      </c>
      <c r="J6044">
        <v>1</v>
      </c>
    </row>
    <row r="6045" spans="7:10">
      <c r="G6045">
        <v>1</v>
      </c>
      <c r="H6045">
        <v>3</v>
      </c>
      <c r="I6045">
        <v>4</v>
      </c>
      <c r="J6045">
        <v>2</v>
      </c>
    </row>
    <row r="6046" spans="7:10">
      <c r="G6046">
        <v>1</v>
      </c>
      <c r="H6046">
        <v>3</v>
      </c>
      <c r="I6046">
        <v>5</v>
      </c>
      <c r="J6046">
        <v>1</v>
      </c>
    </row>
    <row r="6047" spans="7:10">
      <c r="G6047">
        <v>1</v>
      </c>
      <c r="H6047">
        <v>3</v>
      </c>
      <c r="I6047">
        <v>5</v>
      </c>
      <c r="J6047">
        <v>2</v>
      </c>
    </row>
    <row r="6048" spans="7:10">
      <c r="G6048">
        <v>2</v>
      </c>
      <c r="H6048">
        <v>1</v>
      </c>
      <c r="I6048">
        <v>3</v>
      </c>
      <c r="J6048">
        <v>1</v>
      </c>
    </row>
    <row r="6049" spans="7:10">
      <c r="G6049">
        <v>2</v>
      </c>
      <c r="H6049">
        <v>1</v>
      </c>
      <c r="I6049">
        <v>3</v>
      </c>
      <c r="J6049">
        <v>2</v>
      </c>
    </row>
    <row r="6050" spans="7:10">
      <c r="G6050">
        <v>2</v>
      </c>
      <c r="H6050">
        <v>1</v>
      </c>
      <c r="I6050">
        <v>4</v>
      </c>
      <c r="J6050">
        <v>1</v>
      </c>
    </row>
    <row r="6051" spans="7:10">
      <c r="G6051">
        <v>2</v>
      </c>
      <c r="H6051">
        <v>1</v>
      </c>
      <c r="I6051">
        <v>4</v>
      </c>
      <c r="J6051">
        <v>2</v>
      </c>
    </row>
    <row r="6052" spans="7:10">
      <c r="G6052">
        <v>2</v>
      </c>
      <c r="H6052">
        <v>1</v>
      </c>
      <c r="I6052">
        <v>5</v>
      </c>
      <c r="J6052">
        <v>1</v>
      </c>
    </row>
    <row r="6053" spans="7:10">
      <c r="G6053">
        <v>2</v>
      </c>
      <c r="H6053">
        <v>1</v>
      </c>
      <c r="I6053">
        <v>5</v>
      </c>
      <c r="J6053">
        <v>2</v>
      </c>
    </row>
    <row r="6054" spans="7:10">
      <c r="G6054">
        <v>2</v>
      </c>
      <c r="H6054">
        <v>2</v>
      </c>
      <c r="I6054">
        <v>1</v>
      </c>
      <c r="J6054">
        <v>1</v>
      </c>
    </row>
    <row r="6055" spans="7:10">
      <c r="G6055">
        <v>2</v>
      </c>
      <c r="H6055">
        <v>2</v>
      </c>
      <c r="I6055">
        <v>1</v>
      </c>
      <c r="J6055">
        <v>2</v>
      </c>
    </row>
    <row r="6056" spans="7:10">
      <c r="G6056">
        <v>2</v>
      </c>
      <c r="H6056">
        <v>2</v>
      </c>
      <c r="I6056">
        <v>2</v>
      </c>
      <c r="J6056">
        <v>1</v>
      </c>
    </row>
    <row r="6057" spans="7:10">
      <c r="G6057">
        <v>2</v>
      </c>
      <c r="H6057">
        <v>2</v>
      </c>
      <c r="I6057">
        <v>2</v>
      </c>
      <c r="J6057">
        <v>2</v>
      </c>
    </row>
    <row r="6058" spans="7:10">
      <c r="G6058">
        <v>2</v>
      </c>
      <c r="H6058">
        <v>2</v>
      </c>
      <c r="I6058">
        <v>3</v>
      </c>
      <c r="J6058">
        <v>1</v>
      </c>
    </row>
    <row r="6059" spans="7:10">
      <c r="G6059">
        <v>2</v>
      </c>
      <c r="H6059">
        <v>2</v>
      </c>
      <c r="I6059">
        <v>3</v>
      </c>
      <c r="J6059">
        <v>2</v>
      </c>
    </row>
    <row r="6060" spans="7:10">
      <c r="G6060">
        <v>2</v>
      </c>
      <c r="H6060">
        <v>2</v>
      </c>
      <c r="I6060">
        <v>4</v>
      </c>
      <c r="J6060">
        <v>1</v>
      </c>
    </row>
    <row r="6061" spans="7:10">
      <c r="G6061">
        <v>2</v>
      </c>
      <c r="H6061">
        <v>2</v>
      </c>
      <c r="I6061">
        <v>4</v>
      </c>
      <c r="J6061">
        <v>2</v>
      </c>
    </row>
    <row r="6062" spans="7:10">
      <c r="G6062">
        <v>2</v>
      </c>
      <c r="H6062">
        <v>2</v>
      </c>
      <c r="I6062">
        <v>5</v>
      </c>
      <c r="J6062">
        <v>1</v>
      </c>
    </row>
    <row r="6063" spans="7:10">
      <c r="G6063">
        <v>2</v>
      </c>
      <c r="H6063">
        <v>2</v>
      </c>
      <c r="I6063">
        <v>5</v>
      </c>
      <c r="J6063">
        <v>2</v>
      </c>
    </row>
    <row r="6064" spans="7:10">
      <c r="G6064">
        <v>2</v>
      </c>
      <c r="H6064">
        <v>3</v>
      </c>
      <c r="I6064">
        <v>1</v>
      </c>
      <c r="J6064">
        <v>1</v>
      </c>
    </row>
    <row r="6065" spans="7:10">
      <c r="G6065">
        <v>2</v>
      </c>
      <c r="H6065">
        <v>3</v>
      </c>
      <c r="I6065">
        <v>1</v>
      </c>
      <c r="J6065">
        <v>2</v>
      </c>
    </row>
    <row r="6066" spans="7:10">
      <c r="G6066">
        <v>2</v>
      </c>
      <c r="H6066">
        <v>3</v>
      </c>
      <c r="I6066">
        <v>2</v>
      </c>
      <c r="J6066">
        <v>1</v>
      </c>
    </row>
    <row r="6067" spans="7:10">
      <c r="G6067">
        <v>2</v>
      </c>
      <c r="H6067">
        <v>3</v>
      </c>
      <c r="I6067">
        <v>2</v>
      </c>
      <c r="J6067">
        <v>2</v>
      </c>
    </row>
    <row r="6068" spans="7:10">
      <c r="G6068">
        <v>2</v>
      </c>
      <c r="H6068">
        <v>3</v>
      </c>
      <c r="I6068">
        <v>3</v>
      </c>
      <c r="J6068">
        <v>1</v>
      </c>
    </row>
    <row r="6069" spans="7:10">
      <c r="G6069">
        <v>2</v>
      </c>
      <c r="H6069">
        <v>3</v>
      </c>
      <c r="I6069">
        <v>3</v>
      </c>
      <c r="J6069">
        <v>2</v>
      </c>
    </row>
    <row r="6070" spans="7:10">
      <c r="G6070">
        <v>2</v>
      </c>
      <c r="H6070">
        <v>3</v>
      </c>
      <c r="I6070">
        <v>4</v>
      </c>
      <c r="J6070">
        <v>1</v>
      </c>
    </row>
    <row r="6071" spans="7:10">
      <c r="G6071">
        <v>2</v>
      </c>
      <c r="H6071">
        <v>3</v>
      </c>
      <c r="I6071">
        <v>4</v>
      </c>
      <c r="J6071">
        <v>2</v>
      </c>
    </row>
    <row r="6072" spans="7:10">
      <c r="G6072">
        <v>2</v>
      </c>
      <c r="H6072">
        <v>3</v>
      </c>
      <c r="I6072">
        <v>5</v>
      </c>
      <c r="J6072">
        <v>1</v>
      </c>
    </row>
    <row r="6073" spans="7:10">
      <c r="G6073">
        <v>2</v>
      </c>
      <c r="H6073">
        <v>3</v>
      </c>
      <c r="I6073">
        <v>5</v>
      </c>
      <c r="J6073">
        <v>2</v>
      </c>
    </row>
    <row r="6074" spans="7:10">
      <c r="G6074">
        <v>3</v>
      </c>
      <c r="H6074">
        <v>1</v>
      </c>
      <c r="I6074">
        <v>3</v>
      </c>
      <c r="J6074">
        <v>1</v>
      </c>
    </row>
    <row r="6075" spans="7:10">
      <c r="G6075">
        <v>3</v>
      </c>
      <c r="H6075">
        <v>1</v>
      </c>
      <c r="I6075">
        <v>3</v>
      </c>
      <c r="J6075">
        <v>2</v>
      </c>
    </row>
    <row r="6076" spans="7:10">
      <c r="G6076">
        <v>3</v>
      </c>
      <c r="H6076">
        <v>1</v>
      </c>
      <c r="I6076">
        <v>4</v>
      </c>
      <c r="J6076">
        <v>1</v>
      </c>
    </row>
    <row r="6077" spans="7:10">
      <c r="G6077">
        <v>3</v>
      </c>
      <c r="H6077">
        <v>1</v>
      </c>
      <c r="I6077">
        <v>4</v>
      </c>
      <c r="J6077">
        <v>2</v>
      </c>
    </row>
    <row r="6078" spans="7:10">
      <c r="G6078">
        <v>3</v>
      </c>
      <c r="H6078">
        <v>1</v>
      </c>
      <c r="I6078">
        <v>5</v>
      </c>
      <c r="J6078">
        <v>1</v>
      </c>
    </row>
    <row r="6079" spans="7:10">
      <c r="G6079">
        <v>3</v>
      </c>
      <c r="H6079">
        <v>1</v>
      </c>
      <c r="I6079">
        <v>5</v>
      </c>
      <c r="J6079">
        <v>2</v>
      </c>
    </row>
    <row r="6080" spans="7:10">
      <c r="G6080">
        <v>3</v>
      </c>
      <c r="H6080">
        <v>2</v>
      </c>
      <c r="I6080">
        <v>1</v>
      </c>
      <c r="J6080">
        <v>1</v>
      </c>
    </row>
    <row r="6081" spans="7:10">
      <c r="G6081">
        <v>3</v>
      </c>
      <c r="H6081">
        <v>2</v>
      </c>
      <c r="I6081">
        <v>1</v>
      </c>
      <c r="J6081">
        <v>2</v>
      </c>
    </row>
    <row r="6082" spans="7:10">
      <c r="G6082">
        <v>3</v>
      </c>
      <c r="H6082">
        <v>2</v>
      </c>
      <c r="I6082">
        <v>2</v>
      </c>
      <c r="J6082">
        <v>1</v>
      </c>
    </row>
    <row r="6083" spans="7:10">
      <c r="G6083">
        <v>3</v>
      </c>
      <c r="H6083">
        <v>2</v>
      </c>
      <c r="I6083">
        <v>2</v>
      </c>
      <c r="J6083">
        <v>2</v>
      </c>
    </row>
    <row r="6084" spans="7:10">
      <c r="G6084">
        <v>3</v>
      </c>
      <c r="H6084">
        <v>2</v>
      </c>
      <c r="I6084">
        <v>3</v>
      </c>
      <c r="J6084">
        <v>1</v>
      </c>
    </row>
    <row r="6085" spans="7:10">
      <c r="G6085">
        <v>3</v>
      </c>
      <c r="H6085">
        <v>2</v>
      </c>
      <c r="I6085">
        <v>3</v>
      </c>
      <c r="J6085">
        <v>2</v>
      </c>
    </row>
    <row r="6086" spans="7:10">
      <c r="G6086">
        <v>3</v>
      </c>
      <c r="H6086">
        <v>2</v>
      </c>
      <c r="I6086">
        <v>4</v>
      </c>
      <c r="J6086">
        <v>1</v>
      </c>
    </row>
    <row r="6087" spans="7:10">
      <c r="G6087">
        <v>3</v>
      </c>
      <c r="H6087">
        <v>2</v>
      </c>
      <c r="I6087">
        <v>4</v>
      </c>
      <c r="J6087">
        <v>2</v>
      </c>
    </row>
    <row r="6088" spans="7:10">
      <c r="G6088">
        <v>3</v>
      </c>
      <c r="H6088">
        <v>2</v>
      </c>
      <c r="I6088">
        <v>5</v>
      </c>
      <c r="J6088">
        <v>1</v>
      </c>
    </row>
    <row r="6089" spans="7:10">
      <c r="G6089">
        <v>3</v>
      </c>
      <c r="H6089">
        <v>2</v>
      </c>
      <c r="I6089">
        <v>5</v>
      </c>
      <c r="J6089">
        <v>2</v>
      </c>
    </row>
    <row r="6090" spans="7:10">
      <c r="G6090">
        <v>3</v>
      </c>
      <c r="H6090">
        <v>3</v>
      </c>
      <c r="I6090">
        <v>1</v>
      </c>
      <c r="J6090">
        <v>1</v>
      </c>
    </row>
    <row r="6091" spans="7:10">
      <c r="G6091">
        <v>3</v>
      </c>
      <c r="H6091">
        <v>3</v>
      </c>
      <c r="I6091">
        <v>1</v>
      </c>
      <c r="J6091">
        <v>2</v>
      </c>
    </row>
    <row r="6092" spans="7:10">
      <c r="G6092">
        <v>3</v>
      </c>
      <c r="H6092">
        <v>3</v>
      </c>
      <c r="I6092">
        <v>2</v>
      </c>
      <c r="J6092">
        <v>1</v>
      </c>
    </row>
    <row r="6093" spans="7:10">
      <c r="G6093">
        <v>3</v>
      </c>
      <c r="H6093">
        <v>3</v>
      </c>
      <c r="I6093">
        <v>2</v>
      </c>
      <c r="J6093">
        <v>2</v>
      </c>
    </row>
    <row r="6094" spans="7:10">
      <c r="G6094">
        <v>3</v>
      </c>
      <c r="H6094">
        <v>3</v>
      </c>
      <c r="I6094">
        <v>3</v>
      </c>
      <c r="J6094">
        <v>1</v>
      </c>
    </row>
    <row r="6095" spans="7:10">
      <c r="G6095">
        <v>3</v>
      </c>
      <c r="H6095">
        <v>3</v>
      </c>
      <c r="I6095">
        <v>3</v>
      </c>
      <c r="J6095">
        <v>2</v>
      </c>
    </row>
    <row r="6096" spans="7:10">
      <c r="G6096">
        <v>3</v>
      </c>
      <c r="H6096">
        <v>3</v>
      </c>
      <c r="I6096">
        <v>4</v>
      </c>
      <c r="J6096">
        <v>1</v>
      </c>
    </row>
    <row r="6097" spans="7:10">
      <c r="G6097">
        <v>3</v>
      </c>
      <c r="H6097">
        <v>3</v>
      </c>
      <c r="I6097">
        <v>4</v>
      </c>
      <c r="J6097">
        <v>2</v>
      </c>
    </row>
    <row r="6098" spans="7:10">
      <c r="G6098">
        <v>3</v>
      </c>
      <c r="H6098">
        <v>3</v>
      </c>
      <c r="I6098">
        <v>5</v>
      </c>
      <c r="J6098">
        <v>1</v>
      </c>
    </row>
    <row r="6099" spans="7:10">
      <c r="G6099">
        <v>3</v>
      </c>
      <c r="H6099">
        <v>3</v>
      </c>
      <c r="I6099">
        <v>5</v>
      </c>
      <c r="J6099">
        <v>2</v>
      </c>
    </row>
    <row r="6100" spans="7:10">
      <c r="G6100">
        <v>4</v>
      </c>
      <c r="H6100">
        <v>1</v>
      </c>
      <c r="I6100">
        <v>3</v>
      </c>
      <c r="J6100">
        <v>1</v>
      </c>
    </row>
    <row r="6101" spans="7:10">
      <c r="G6101">
        <v>4</v>
      </c>
      <c r="H6101">
        <v>1</v>
      </c>
      <c r="I6101">
        <v>3</v>
      </c>
      <c r="J6101">
        <v>2</v>
      </c>
    </row>
    <row r="6102" spans="7:10">
      <c r="G6102">
        <v>4</v>
      </c>
      <c r="H6102">
        <v>1</v>
      </c>
      <c r="I6102">
        <v>4</v>
      </c>
      <c r="J6102">
        <v>1</v>
      </c>
    </row>
    <row r="6103" spans="7:10">
      <c r="G6103">
        <v>4</v>
      </c>
      <c r="H6103">
        <v>1</v>
      </c>
      <c r="I6103">
        <v>4</v>
      </c>
      <c r="J6103">
        <v>2</v>
      </c>
    </row>
    <row r="6104" spans="7:10">
      <c r="G6104">
        <v>4</v>
      </c>
      <c r="H6104">
        <v>1</v>
      </c>
      <c r="I6104">
        <v>5</v>
      </c>
      <c r="J6104">
        <v>1</v>
      </c>
    </row>
    <row r="6105" spans="7:10">
      <c r="G6105">
        <v>4</v>
      </c>
      <c r="H6105">
        <v>1</v>
      </c>
      <c r="I6105">
        <v>5</v>
      </c>
      <c r="J6105">
        <v>2</v>
      </c>
    </row>
    <row r="6106" spans="7:10">
      <c r="G6106">
        <v>4</v>
      </c>
      <c r="H6106">
        <v>2</v>
      </c>
      <c r="I6106">
        <v>1</v>
      </c>
      <c r="J6106">
        <v>1</v>
      </c>
    </row>
    <row r="6107" spans="7:10">
      <c r="G6107">
        <v>4</v>
      </c>
      <c r="H6107">
        <v>2</v>
      </c>
      <c r="I6107">
        <v>1</v>
      </c>
      <c r="J6107">
        <v>2</v>
      </c>
    </row>
    <row r="6108" spans="7:10">
      <c r="G6108">
        <v>4</v>
      </c>
      <c r="H6108">
        <v>2</v>
      </c>
      <c r="I6108">
        <v>2</v>
      </c>
      <c r="J6108">
        <v>1</v>
      </c>
    </row>
    <row r="6109" spans="7:10">
      <c r="G6109">
        <v>4</v>
      </c>
      <c r="H6109">
        <v>2</v>
      </c>
      <c r="I6109">
        <v>2</v>
      </c>
      <c r="J6109">
        <v>2</v>
      </c>
    </row>
    <row r="6110" spans="7:10">
      <c r="G6110">
        <v>4</v>
      </c>
      <c r="H6110">
        <v>2</v>
      </c>
      <c r="I6110">
        <v>3</v>
      </c>
      <c r="J6110">
        <v>1</v>
      </c>
    </row>
    <row r="6111" spans="7:10">
      <c r="G6111">
        <v>4</v>
      </c>
      <c r="H6111">
        <v>2</v>
      </c>
      <c r="I6111">
        <v>3</v>
      </c>
      <c r="J6111">
        <v>2</v>
      </c>
    </row>
    <row r="6112" spans="7:10">
      <c r="G6112">
        <v>4</v>
      </c>
      <c r="H6112">
        <v>2</v>
      </c>
      <c r="I6112">
        <v>4</v>
      </c>
      <c r="J6112">
        <v>1</v>
      </c>
    </row>
    <row r="6113" spans="7:10">
      <c r="G6113">
        <v>4</v>
      </c>
      <c r="H6113">
        <v>2</v>
      </c>
      <c r="I6113">
        <v>4</v>
      </c>
      <c r="J6113">
        <v>2</v>
      </c>
    </row>
    <row r="6114" spans="7:10">
      <c r="G6114">
        <v>4</v>
      </c>
      <c r="H6114">
        <v>2</v>
      </c>
      <c r="I6114">
        <v>5</v>
      </c>
      <c r="J6114">
        <v>1</v>
      </c>
    </row>
    <row r="6115" spans="7:10">
      <c r="G6115">
        <v>4</v>
      </c>
      <c r="H6115">
        <v>2</v>
      </c>
      <c r="I6115">
        <v>5</v>
      </c>
      <c r="J6115">
        <v>2</v>
      </c>
    </row>
    <row r="6116" spans="7:10">
      <c r="G6116">
        <v>4</v>
      </c>
      <c r="H6116">
        <v>3</v>
      </c>
      <c r="I6116">
        <v>1</v>
      </c>
      <c r="J6116">
        <v>1</v>
      </c>
    </row>
    <row r="6117" spans="7:10">
      <c r="G6117">
        <v>4</v>
      </c>
      <c r="H6117">
        <v>3</v>
      </c>
      <c r="I6117">
        <v>1</v>
      </c>
      <c r="J6117">
        <v>2</v>
      </c>
    </row>
    <row r="6118" spans="7:10">
      <c r="G6118">
        <v>4</v>
      </c>
      <c r="H6118">
        <v>3</v>
      </c>
      <c r="I6118">
        <v>2</v>
      </c>
      <c r="J6118">
        <v>1</v>
      </c>
    </row>
    <row r="6119" spans="7:10">
      <c r="G6119">
        <v>4</v>
      </c>
      <c r="H6119">
        <v>3</v>
      </c>
      <c r="I6119">
        <v>2</v>
      </c>
      <c r="J6119">
        <v>2</v>
      </c>
    </row>
    <row r="6120" spans="7:10">
      <c r="G6120">
        <v>4</v>
      </c>
      <c r="H6120">
        <v>3</v>
      </c>
      <c r="I6120">
        <v>3</v>
      </c>
      <c r="J6120">
        <v>1</v>
      </c>
    </row>
    <row r="6121" spans="7:10">
      <c r="G6121">
        <v>4</v>
      </c>
      <c r="H6121">
        <v>3</v>
      </c>
      <c r="I6121">
        <v>3</v>
      </c>
      <c r="J6121">
        <v>2</v>
      </c>
    </row>
    <row r="6122" spans="7:10">
      <c r="G6122">
        <v>4</v>
      </c>
      <c r="H6122">
        <v>3</v>
      </c>
      <c r="I6122">
        <v>4</v>
      </c>
      <c r="J6122">
        <v>1</v>
      </c>
    </row>
    <row r="6123" spans="7:10">
      <c r="G6123">
        <v>4</v>
      </c>
      <c r="H6123">
        <v>3</v>
      </c>
      <c r="I6123">
        <v>4</v>
      </c>
      <c r="J6123">
        <v>2</v>
      </c>
    </row>
    <row r="6124" spans="7:10">
      <c r="G6124">
        <v>4</v>
      </c>
      <c r="H6124">
        <v>3</v>
      </c>
      <c r="I6124">
        <v>5</v>
      </c>
      <c r="J6124">
        <v>1</v>
      </c>
    </row>
    <row r="6125" spans="7:10">
      <c r="G6125">
        <v>4</v>
      </c>
      <c r="H6125">
        <v>3</v>
      </c>
      <c r="I6125">
        <v>5</v>
      </c>
      <c r="J6125">
        <v>2</v>
      </c>
    </row>
    <row r="6126" spans="7:10">
      <c r="G6126">
        <v>2</v>
      </c>
      <c r="H6126">
        <v>1</v>
      </c>
      <c r="I6126">
        <v>3</v>
      </c>
      <c r="J6126">
        <v>1</v>
      </c>
    </row>
    <row r="6127" spans="7:10">
      <c r="G6127">
        <v>2</v>
      </c>
      <c r="H6127">
        <v>1</v>
      </c>
      <c r="I6127">
        <v>3</v>
      </c>
      <c r="J6127">
        <v>2</v>
      </c>
    </row>
    <row r="6128" spans="7:10">
      <c r="G6128">
        <v>2</v>
      </c>
      <c r="H6128">
        <v>1</v>
      </c>
      <c r="I6128">
        <v>4</v>
      </c>
      <c r="J6128">
        <v>1</v>
      </c>
    </row>
    <row r="6129" spans="7:10">
      <c r="G6129">
        <v>2</v>
      </c>
      <c r="H6129">
        <v>1</v>
      </c>
      <c r="I6129">
        <v>4</v>
      </c>
      <c r="J6129">
        <v>2</v>
      </c>
    </row>
    <row r="6130" spans="7:10">
      <c r="G6130">
        <v>2</v>
      </c>
      <c r="H6130">
        <v>1</v>
      </c>
      <c r="I6130">
        <v>5</v>
      </c>
      <c r="J6130">
        <v>1</v>
      </c>
    </row>
    <row r="6131" spans="7:10">
      <c r="G6131">
        <v>2</v>
      </c>
      <c r="H6131">
        <v>1</v>
      </c>
      <c r="I6131">
        <v>5</v>
      </c>
      <c r="J6131">
        <v>2</v>
      </c>
    </row>
    <row r="6132" spans="7:10">
      <c r="G6132">
        <v>2</v>
      </c>
      <c r="H6132">
        <v>2</v>
      </c>
      <c r="I6132">
        <v>1</v>
      </c>
      <c r="J6132">
        <v>1</v>
      </c>
    </row>
    <row r="6133" spans="7:10">
      <c r="G6133">
        <v>2</v>
      </c>
      <c r="H6133">
        <v>2</v>
      </c>
      <c r="I6133">
        <v>1</v>
      </c>
      <c r="J6133">
        <v>2</v>
      </c>
    </row>
    <row r="6134" spans="7:10">
      <c r="G6134">
        <v>2</v>
      </c>
      <c r="H6134">
        <v>2</v>
      </c>
      <c r="I6134">
        <v>2</v>
      </c>
      <c r="J6134">
        <v>1</v>
      </c>
    </row>
    <row r="6135" spans="7:10">
      <c r="G6135">
        <v>2</v>
      </c>
      <c r="H6135">
        <v>2</v>
      </c>
      <c r="I6135">
        <v>2</v>
      </c>
      <c r="J6135">
        <v>2</v>
      </c>
    </row>
    <row r="6136" spans="7:10">
      <c r="G6136">
        <v>2</v>
      </c>
      <c r="H6136">
        <v>2</v>
      </c>
      <c r="I6136">
        <v>3</v>
      </c>
      <c r="J6136">
        <v>1</v>
      </c>
    </row>
    <row r="6137" spans="7:10">
      <c r="G6137">
        <v>2</v>
      </c>
      <c r="H6137">
        <v>2</v>
      </c>
      <c r="I6137">
        <v>3</v>
      </c>
      <c r="J6137">
        <v>2</v>
      </c>
    </row>
    <row r="6138" spans="7:10">
      <c r="G6138">
        <v>2</v>
      </c>
      <c r="H6138">
        <v>2</v>
      </c>
      <c r="I6138">
        <v>4</v>
      </c>
      <c r="J6138">
        <v>1</v>
      </c>
    </row>
    <row r="6139" spans="7:10">
      <c r="G6139">
        <v>2</v>
      </c>
      <c r="H6139">
        <v>2</v>
      </c>
      <c r="I6139">
        <v>4</v>
      </c>
      <c r="J6139">
        <v>2</v>
      </c>
    </row>
    <row r="6140" spans="7:10">
      <c r="G6140">
        <v>2</v>
      </c>
      <c r="H6140">
        <v>2</v>
      </c>
      <c r="I6140">
        <v>5</v>
      </c>
      <c r="J6140">
        <v>1</v>
      </c>
    </row>
    <row r="6141" spans="7:10">
      <c r="G6141">
        <v>2</v>
      </c>
      <c r="H6141">
        <v>2</v>
      </c>
      <c r="I6141">
        <v>5</v>
      </c>
      <c r="J6141">
        <v>2</v>
      </c>
    </row>
    <row r="6142" spans="7:10">
      <c r="G6142">
        <v>2</v>
      </c>
      <c r="H6142">
        <v>3</v>
      </c>
      <c r="I6142">
        <v>1</v>
      </c>
      <c r="J6142">
        <v>1</v>
      </c>
    </row>
    <row r="6143" spans="7:10">
      <c r="G6143">
        <v>2</v>
      </c>
      <c r="H6143">
        <v>3</v>
      </c>
      <c r="I6143">
        <v>1</v>
      </c>
      <c r="J6143">
        <v>2</v>
      </c>
    </row>
    <row r="6144" spans="7:10">
      <c r="G6144">
        <v>2</v>
      </c>
      <c r="H6144">
        <v>3</v>
      </c>
      <c r="I6144">
        <v>2</v>
      </c>
      <c r="J6144">
        <v>1</v>
      </c>
    </row>
    <row r="6145" spans="7:10">
      <c r="G6145">
        <v>2</v>
      </c>
      <c r="H6145">
        <v>3</v>
      </c>
      <c r="I6145">
        <v>2</v>
      </c>
      <c r="J6145">
        <v>2</v>
      </c>
    </row>
    <row r="6146" spans="7:10">
      <c r="G6146">
        <v>2</v>
      </c>
      <c r="H6146">
        <v>3</v>
      </c>
      <c r="I6146">
        <v>3</v>
      </c>
      <c r="J6146">
        <v>1</v>
      </c>
    </row>
    <row r="6147" spans="7:10">
      <c r="G6147">
        <v>2</v>
      </c>
      <c r="H6147">
        <v>3</v>
      </c>
      <c r="I6147">
        <v>3</v>
      </c>
      <c r="J6147">
        <v>2</v>
      </c>
    </row>
    <row r="6148" spans="7:10">
      <c r="G6148">
        <v>2</v>
      </c>
      <c r="H6148">
        <v>3</v>
      </c>
      <c r="I6148">
        <v>4</v>
      </c>
      <c r="J6148">
        <v>1</v>
      </c>
    </row>
    <row r="6149" spans="7:10">
      <c r="G6149">
        <v>2</v>
      </c>
      <c r="H6149">
        <v>3</v>
      </c>
      <c r="I6149">
        <v>4</v>
      </c>
      <c r="J6149">
        <v>2</v>
      </c>
    </row>
    <row r="6150" spans="7:10">
      <c r="G6150">
        <v>2</v>
      </c>
      <c r="H6150">
        <v>3</v>
      </c>
      <c r="I6150">
        <v>5</v>
      </c>
      <c r="J6150">
        <v>1</v>
      </c>
    </row>
    <row r="6151" spans="7:10">
      <c r="G6151">
        <v>2</v>
      </c>
      <c r="H6151">
        <v>3</v>
      </c>
      <c r="I6151">
        <v>5</v>
      </c>
      <c r="J6151">
        <v>2</v>
      </c>
    </row>
    <row r="6152" spans="7:10">
      <c r="G6152">
        <v>3</v>
      </c>
      <c r="H6152">
        <v>1</v>
      </c>
      <c r="I6152">
        <v>3</v>
      </c>
      <c r="J6152">
        <v>1</v>
      </c>
    </row>
    <row r="6153" spans="7:10">
      <c r="G6153">
        <v>3</v>
      </c>
      <c r="H6153">
        <v>1</v>
      </c>
      <c r="I6153">
        <v>3</v>
      </c>
      <c r="J6153">
        <v>2</v>
      </c>
    </row>
    <row r="6154" spans="7:10">
      <c r="G6154">
        <v>3</v>
      </c>
      <c r="H6154">
        <v>1</v>
      </c>
      <c r="I6154">
        <v>4</v>
      </c>
      <c r="J6154">
        <v>1</v>
      </c>
    </row>
    <row r="6155" spans="7:10">
      <c r="G6155">
        <v>3</v>
      </c>
      <c r="H6155">
        <v>1</v>
      </c>
      <c r="I6155">
        <v>4</v>
      </c>
      <c r="J6155">
        <v>2</v>
      </c>
    </row>
    <row r="6156" spans="7:10">
      <c r="G6156">
        <v>3</v>
      </c>
      <c r="H6156">
        <v>1</v>
      </c>
      <c r="I6156">
        <v>5</v>
      </c>
      <c r="J6156">
        <v>1</v>
      </c>
    </row>
    <row r="6157" spans="7:10">
      <c r="G6157">
        <v>3</v>
      </c>
      <c r="H6157">
        <v>1</v>
      </c>
      <c r="I6157">
        <v>5</v>
      </c>
      <c r="J6157">
        <v>2</v>
      </c>
    </row>
    <row r="6158" spans="7:10">
      <c r="G6158">
        <v>3</v>
      </c>
      <c r="H6158">
        <v>2</v>
      </c>
      <c r="I6158">
        <v>1</v>
      </c>
      <c r="J6158">
        <v>1</v>
      </c>
    </row>
    <row r="6159" spans="7:10">
      <c r="G6159">
        <v>3</v>
      </c>
      <c r="H6159">
        <v>2</v>
      </c>
      <c r="I6159">
        <v>1</v>
      </c>
      <c r="J6159">
        <v>2</v>
      </c>
    </row>
    <row r="6160" spans="7:10">
      <c r="G6160">
        <v>3</v>
      </c>
      <c r="H6160">
        <v>2</v>
      </c>
      <c r="I6160">
        <v>2</v>
      </c>
      <c r="J6160">
        <v>1</v>
      </c>
    </row>
    <row r="6161" spans="7:10">
      <c r="G6161">
        <v>3</v>
      </c>
      <c r="H6161">
        <v>2</v>
      </c>
      <c r="I6161">
        <v>2</v>
      </c>
      <c r="J6161">
        <v>2</v>
      </c>
    </row>
    <row r="6162" spans="7:10">
      <c r="G6162">
        <v>3</v>
      </c>
      <c r="H6162">
        <v>2</v>
      </c>
      <c r="I6162">
        <v>3</v>
      </c>
      <c r="J6162">
        <v>1</v>
      </c>
    </row>
    <row r="6163" spans="7:10">
      <c r="G6163">
        <v>3</v>
      </c>
      <c r="H6163">
        <v>2</v>
      </c>
      <c r="I6163">
        <v>3</v>
      </c>
      <c r="J6163">
        <v>2</v>
      </c>
    </row>
    <row r="6164" spans="7:10">
      <c r="G6164">
        <v>3</v>
      </c>
      <c r="H6164">
        <v>2</v>
      </c>
      <c r="I6164">
        <v>4</v>
      </c>
      <c r="J6164">
        <v>1</v>
      </c>
    </row>
    <row r="6165" spans="7:10">
      <c r="G6165">
        <v>3</v>
      </c>
      <c r="H6165">
        <v>2</v>
      </c>
      <c r="I6165">
        <v>4</v>
      </c>
      <c r="J6165">
        <v>2</v>
      </c>
    </row>
    <row r="6166" spans="7:10">
      <c r="G6166">
        <v>3</v>
      </c>
      <c r="H6166">
        <v>2</v>
      </c>
      <c r="I6166">
        <v>5</v>
      </c>
      <c r="J6166">
        <v>1</v>
      </c>
    </row>
    <row r="6167" spans="7:10">
      <c r="G6167">
        <v>3</v>
      </c>
      <c r="H6167">
        <v>2</v>
      </c>
      <c r="I6167">
        <v>5</v>
      </c>
      <c r="J6167">
        <v>2</v>
      </c>
    </row>
    <row r="6168" spans="7:10">
      <c r="G6168">
        <v>3</v>
      </c>
      <c r="H6168">
        <v>3</v>
      </c>
      <c r="I6168">
        <v>1</v>
      </c>
      <c r="J6168">
        <v>1</v>
      </c>
    </row>
    <row r="6169" spans="7:10">
      <c r="G6169">
        <v>3</v>
      </c>
      <c r="H6169">
        <v>3</v>
      </c>
      <c r="I6169">
        <v>1</v>
      </c>
      <c r="J6169">
        <v>2</v>
      </c>
    </row>
    <row r="6170" spans="7:10">
      <c r="G6170">
        <v>3</v>
      </c>
      <c r="H6170">
        <v>3</v>
      </c>
      <c r="I6170">
        <v>2</v>
      </c>
      <c r="J6170">
        <v>1</v>
      </c>
    </row>
    <row r="6171" spans="7:10">
      <c r="G6171">
        <v>3</v>
      </c>
      <c r="H6171">
        <v>3</v>
      </c>
      <c r="I6171">
        <v>2</v>
      </c>
      <c r="J6171">
        <v>2</v>
      </c>
    </row>
    <row r="6172" spans="7:10">
      <c r="G6172">
        <v>3</v>
      </c>
      <c r="H6172">
        <v>3</v>
      </c>
      <c r="I6172">
        <v>3</v>
      </c>
      <c r="J6172">
        <v>1</v>
      </c>
    </row>
    <row r="6173" spans="7:10">
      <c r="G6173">
        <v>3</v>
      </c>
      <c r="H6173">
        <v>3</v>
      </c>
      <c r="I6173">
        <v>3</v>
      </c>
      <c r="J6173">
        <v>2</v>
      </c>
    </row>
    <row r="6174" spans="7:10">
      <c r="G6174">
        <v>3</v>
      </c>
      <c r="H6174">
        <v>3</v>
      </c>
      <c r="I6174">
        <v>4</v>
      </c>
      <c r="J6174">
        <v>1</v>
      </c>
    </row>
    <row r="6175" spans="7:10">
      <c r="G6175">
        <v>3</v>
      </c>
      <c r="H6175">
        <v>3</v>
      </c>
      <c r="I6175">
        <v>4</v>
      </c>
      <c r="J6175">
        <v>2</v>
      </c>
    </row>
    <row r="6176" spans="7:10">
      <c r="G6176">
        <v>3</v>
      </c>
      <c r="H6176">
        <v>3</v>
      </c>
      <c r="I6176">
        <v>5</v>
      </c>
      <c r="J6176">
        <v>1</v>
      </c>
    </row>
    <row r="6177" spans="7:10">
      <c r="G6177">
        <v>3</v>
      </c>
      <c r="H6177">
        <v>3</v>
      </c>
      <c r="I6177">
        <v>5</v>
      </c>
      <c r="J6177">
        <v>2</v>
      </c>
    </row>
    <row r="6178" spans="7:10">
      <c r="G6178">
        <v>4</v>
      </c>
      <c r="H6178">
        <v>1</v>
      </c>
      <c r="I6178">
        <v>3</v>
      </c>
      <c r="J6178">
        <v>1</v>
      </c>
    </row>
    <row r="6179" spans="7:10">
      <c r="G6179">
        <v>4</v>
      </c>
      <c r="H6179">
        <v>1</v>
      </c>
      <c r="I6179">
        <v>3</v>
      </c>
      <c r="J6179">
        <v>2</v>
      </c>
    </row>
    <row r="6180" spans="7:10">
      <c r="G6180">
        <v>4</v>
      </c>
      <c r="H6180">
        <v>1</v>
      </c>
      <c r="I6180">
        <v>4</v>
      </c>
      <c r="J6180">
        <v>1</v>
      </c>
    </row>
    <row r="6181" spans="7:10">
      <c r="G6181">
        <v>4</v>
      </c>
      <c r="H6181">
        <v>1</v>
      </c>
      <c r="I6181">
        <v>4</v>
      </c>
      <c r="J6181">
        <v>2</v>
      </c>
    </row>
    <row r="6182" spans="7:10">
      <c r="G6182">
        <v>4</v>
      </c>
      <c r="H6182">
        <v>1</v>
      </c>
      <c r="I6182">
        <v>5</v>
      </c>
      <c r="J6182">
        <v>1</v>
      </c>
    </row>
    <row r="6183" spans="7:10">
      <c r="G6183">
        <v>4</v>
      </c>
      <c r="H6183">
        <v>1</v>
      </c>
      <c r="I6183">
        <v>5</v>
      </c>
      <c r="J6183">
        <v>2</v>
      </c>
    </row>
    <row r="6184" spans="7:10">
      <c r="G6184">
        <v>4</v>
      </c>
      <c r="H6184">
        <v>2</v>
      </c>
      <c r="I6184">
        <v>1</v>
      </c>
      <c r="J6184">
        <v>1</v>
      </c>
    </row>
    <row r="6185" spans="7:10">
      <c r="G6185">
        <v>4</v>
      </c>
      <c r="H6185">
        <v>2</v>
      </c>
      <c r="I6185">
        <v>1</v>
      </c>
      <c r="J6185">
        <v>2</v>
      </c>
    </row>
    <row r="6186" spans="7:10">
      <c r="G6186">
        <v>4</v>
      </c>
      <c r="H6186">
        <v>2</v>
      </c>
      <c r="I6186">
        <v>2</v>
      </c>
      <c r="J6186">
        <v>1</v>
      </c>
    </row>
    <row r="6187" spans="7:10">
      <c r="G6187">
        <v>4</v>
      </c>
      <c r="H6187">
        <v>2</v>
      </c>
      <c r="I6187">
        <v>2</v>
      </c>
      <c r="J6187">
        <v>2</v>
      </c>
    </row>
    <row r="6188" spans="7:10">
      <c r="G6188">
        <v>4</v>
      </c>
      <c r="H6188">
        <v>2</v>
      </c>
      <c r="I6188">
        <v>3</v>
      </c>
      <c r="J6188">
        <v>1</v>
      </c>
    </row>
    <row r="6189" spans="7:10">
      <c r="G6189">
        <v>4</v>
      </c>
      <c r="H6189">
        <v>2</v>
      </c>
      <c r="I6189">
        <v>3</v>
      </c>
      <c r="J6189">
        <v>2</v>
      </c>
    </row>
    <row r="6190" spans="7:10">
      <c r="G6190">
        <v>4</v>
      </c>
      <c r="H6190">
        <v>2</v>
      </c>
      <c r="I6190">
        <v>4</v>
      </c>
      <c r="J6190">
        <v>1</v>
      </c>
    </row>
    <row r="6191" spans="7:10">
      <c r="G6191">
        <v>4</v>
      </c>
      <c r="H6191">
        <v>2</v>
      </c>
      <c r="I6191">
        <v>4</v>
      </c>
      <c r="J6191">
        <v>2</v>
      </c>
    </row>
    <row r="6192" spans="7:10">
      <c r="G6192">
        <v>4</v>
      </c>
      <c r="H6192">
        <v>2</v>
      </c>
      <c r="I6192">
        <v>5</v>
      </c>
      <c r="J6192">
        <v>1</v>
      </c>
    </row>
    <row r="6193" spans="7:10">
      <c r="G6193">
        <v>4</v>
      </c>
      <c r="H6193">
        <v>2</v>
      </c>
      <c r="I6193">
        <v>5</v>
      </c>
      <c r="J6193">
        <v>2</v>
      </c>
    </row>
    <row r="6194" spans="7:10">
      <c r="G6194">
        <v>4</v>
      </c>
      <c r="H6194">
        <v>3</v>
      </c>
      <c r="I6194">
        <v>1</v>
      </c>
      <c r="J6194">
        <v>1</v>
      </c>
    </row>
    <row r="6195" spans="7:10">
      <c r="G6195">
        <v>4</v>
      </c>
      <c r="H6195">
        <v>3</v>
      </c>
      <c r="I6195">
        <v>1</v>
      </c>
      <c r="J6195">
        <v>2</v>
      </c>
    </row>
    <row r="6196" spans="7:10">
      <c r="G6196">
        <v>4</v>
      </c>
      <c r="H6196">
        <v>3</v>
      </c>
      <c r="I6196">
        <v>2</v>
      </c>
      <c r="J6196">
        <v>1</v>
      </c>
    </row>
    <row r="6197" spans="7:10">
      <c r="G6197">
        <v>4</v>
      </c>
      <c r="H6197">
        <v>3</v>
      </c>
      <c r="I6197">
        <v>2</v>
      </c>
      <c r="J6197">
        <v>2</v>
      </c>
    </row>
    <row r="6198" spans="7:10">
      <c r="G6198">
        <v>4</v>
      </c>
      <c r="H6198">
        <v>3</v>
      </c>
      <c r="I6198">
        <v>3</v>
      </c>
      <c r="J6198">
        <v>1</v>
      </c>
    </row>
    <row r="6199" spans="7:10">
      <c r="G6199">
        <v>4</v>
      </c>
      <c r="H6199">
        <v>3</v>
      </c>
      <c r="I6199">
        <v>3</v>
      </c>
      <c r="J6199">
        <v>2</v>
      </c>
    </row>
    <row r="6200" spans="7:10">
      <c r="G6200">
        <v>4</v>
      </c>
      <c r="H6200">
        <v>3</v>
      </c>
      <c r="I6200">
        <v>4</v>
      </c>
      <c r="J6200">
        <v>1</v>
      </c>
    </row>
    <row r="6201" spans="7:10">
      <c r="G6201">
        <v>4</v>
      </c>
      <c r="H6201">
        <v>3</v>
      </c>
      <c r="I6201">
        <v>4</v>
      </c>
      <c r="J6201">
        <v>2</v>
      </c>
    </row>
    <row r="6202" spans="7:10">
      <c r="G6202">
        <v>4</v>
      </c>
      <c r="H6202">
        <v>3</v>
      </c>
      <c r="I6202">
        <v>5</v>
      </c>
      <c r="J6202">
        <v>1</v>
      </c>
    </row>
    <row r="6203" spans="7:10">
      <c r="G6203">
        <v>4</v>
      </c>
      <c r="H6203">
        <v>3</v>
      </c>
      <c r="I6203">
        <v>5</v>
      </c>
      <c r="J6203">
        <v>2</v>
      </c>
    </row>
    <row r="6204" spans="7:10">
      <c r="G6204">
        <v>1</v>
      </c>
      <c r="H6204">
        <v>2</v>
      </c>
      <c r="I6204">
        <v>1</v>
      </c>
      <c r="J6204">
        <v>1</v>
      </c>
    </row>
    <row r="6205" spans="7:10">
      <c r="G6205">
        <v>1</v>
      </c>
      <c r="H6205">
        <v>2</v>
      </c>
      <c r="I6205">
        <v>1</v>
      </c>
      <c r="J6205">
        <v>2</v>
      </c>
    </row>
    <row r="6206" spans="7:10">
      <c r="G6206">
        <v>1</v>
      </c>
      <c r="H6206">
        <v>2</v>
      </c>
      <c r="I6206">
        <v>2</v>
      </c>
      <c r="J6206">
        <v>1</v>
      </c>
    </row>
    <row r="6207" spans="7:10">
      <c r="G6207">
        <v>1</v>
      </c>
      <c r="H6207">
        <v>2</v>
      </c>
      <c r="I6207">
        <v>2</v>
      </c>
      <c r="J6207">
        <v>2</v>
      </c>
    </row>
    <row r="6208" spans="7:10">
      <c r="G6208">
        <v>1</v>
      </c>
      <c r="H6208">
        <v>2</v>
      </c>
      <c r="I6208">
        <v>3</v>
      </c>
      <c r="J6208">
        <v>1</v>
      </c>
    </row>
    <row r="6209" spans="7:10">
      <c r="G6209">
        <v>1</v>
      </c>
      <c r="H6209">
        <v>2</v>
      </c>
      <c r="I6209">
        <v>3</v>
      </c>
      <c r="J6209">
        <v>2</v>
      </c>
    </row>
    <row r="6210" spans="7:10">
      <c r="G6210">
        <v>1</v>
      </c>
      <c r="H6210">
        <v>2</v>
      </c>
      <c r="I6210">
        <v>4</v>
      </c>
      <c r="J6210">
        <v>1</v>
      </c>
    </row>
    <row r="6211" spans="7:10">
      <c r="G6211">
        <v>1</v>
      </c>
      <c r="H6211">
        <v>2</v>
      </c>
      <c r="I6211">
        <v>4</v>
      </c>
      <c r="J6211">
        <v>2</v>
      </c>
    </row>
    <row r="6212" spans="7:10">
      <c r="G6212">
        <v>1</v>
      </c>
      <c r="H6212">
        <v>2</v>
      </c>
      <c r="I6212">
        <v>5</v>
      </c>
      <c r="J6212">
        <v>1</v>
      </c>
    </row>
    <row r="6213" spans="7:10">
      <c r="G6213">
        <v>1</v>
      </c>
      <c r="H6213">
        <v>2</v>
      </c>
      <c r="I6213">
        <v>5</v>
      </c>
      <c r="J6213">
        <v>2</v>
      </c>
    </row>
    <row r="6214" spans="7:10">
      <c r="G6214">
        <v>1</v>
      </c>
      <c r="H6214">
        <v>3</v>
      </c>
      <c r="I6214">
        <v>1</v>
      </c>
      <c r="J6214">
        <v>1</v>
      </c>
    </row>
    <row r="6215" spans="7:10">
      <c r="G6215">
        <v>1</v>
      </c>
      <c r="H6215">
        <v>3</v>
      </c>
      <c r="I6215">
        <v>1</v>
      </c>
      <c r="J6215">
        <v>2</v>
      </c>
    </row>
    <row r="6216" spans="7:10">
      <c r="G6216">
        <v>1</v>
      </c>
      <c r="H6216">
        <v>3</v>
      </c>
      <c r="I6216">
        <v>2</v>
      </c>
      <c r="J6216">
        <v>1</v>
      </c>
    </row>
    <row r="6217" spans="7:10">
      <c r="G6217">
        <v>1</v>
      </c>
      <c r="H6217">
        <v>3</v>
      </c>
      <c r="I6217">
        <v>2</v>
      </c>
      <c r="J6217">
        <v>2</v>
      </c>
    </row>
    <row r="6218" spans="7:10">
      <c r="G6218">
        <v>1</v>
      </c>
      <c r="H6218">
        <v>3</v>
      </c>
      <c r="I6218">
        <v>3</v>
      </c>
      <c r="J6218">
        <v>1</v>
      </c>
    </row>
    <row r="6219" spans="7:10">
      <c r="G6219">
        <v>1</v>
      </c>
      <c r="H6219">
        <v>3</v>
      </c>
      <c r="I6219">
        <v>3</v>
      </c>
      <c r="J6219">
        <v>2</v>
      </c>
    </row>
    <row r="6220" spans="7:10">
      <c r="G6220">
        <v>1</v>
      </c>
      <c r="H6220">
        <v>3</v>
      </c>
      <c r="I6220">
        <v>4</v>
      </c>
      <c r="J6220">
        <v>1</v>
      </c>
    </row>
    <row r="6221" spans="7:10">
      <c r="G6221">
        <v>1</v>
      </c>
      <c r="H6221">
        <v>3</v>
      </c>
      <c r="I6221">
        <v>4</v>
      </c>
      <c r="J6221">
        <v>2</v>
      </c>
    </row>
    <row r="6222" spans="7:10">
      <c r="G6222">
        <v>1</v>
      </c>
      <c r="H6222">
        <v>3</v>
      </c>
      <c r="I6222">
        <v>5</v>
      </c>
      <c r="J6222">
        <v>1</v>
      </c>
    </row>
    <row r="6223" spans="7:10">
      <c r="G6223">
        <v>1</v>
      </c>
      <c r="H6223">
        <v>3</v>
      </c>
      <c r="I6223">
        <v>5</v>
      </c>
      <c r="J6223">
        <v>2</v>
      </c>
    </row>
    <row r="6224" spans="7:10">
      <c r="G6224">
        <v>2</v>
      </c>
      <c r="H6224">
        <v>1</v>
      </c>
      <c r="I6224">
        <v>3</v>
      </c>
      <c r="J6224">
        <v>1</v>
      </c>
    </row>
    <row r="6225" spans="7:10">
      <c r="G6225">
        <v>2</v>
      </c>
      <c r="H6225">
        <v>1</v>
      </c>
      <c r="I6225">
        <v>3</v>
      </c>
      <c r="J6225">
        <v>2</v>
      </c>
    </row>
    <row r="6226" spans="7:10">
      <c r="G6226">
        <v>2</v>
      </c>
      <c r="H6226">
        <v>1</v>
      </c>
      <c r="I6226">
        <v>4</v>
      </c>
      <c r="J6226">
        <v>1</v>
      </c>
    </row>
    <row r="6227" spans="7:10">
      <c r="G6227">
        <v>2</v>
      </c>
      <c r="H6227">
        <v>1</v>
      </c>
      <c r="I6227">
        <v>4</v>
      </c>
      <c r="J6227">
        <v>2</v>
      </c>
    </row>
    <row r="6228" spans="7:10">
      <c r="G6228">
        <v>2</v>
      </c>
      <c r="H6228">
        <v>1</v>
      </c>
      <c r="I6228">
        <v>5</v>
      </c>
      <c r="J6228">
        <v>1</v>
      </c>
    </row>
    <row r="6229" spans="7:10">
      <c r="G6229">
        <v>2</v>
      </c>
      <c r="H6229">
        <v>1</v>
      </c>
      <c r="I6229">
        <v>5</v>
      </c>
      <c r="J6229">
        <v>2</v>
      </c>
    </row>
    <row r="6230" spans="7:10">
      <c r="G6230">
        <v>2</v>
      </c>
      <c r="H6230">
        <v>2</v>
      </c>
      <c r="I6230">
        <v>1</v>
      </c>
      <c r="J6230">
        <v>1</v>
      </c>
    </row>
    <row r="6231" spans="7:10">
      <c r="G6231">
        <v>2</v>
      </c>
      <c r="H6231">
        <v>2</v>
      </c>
      <c r="I6231">
        <v>1</v>
      </c>
      <c r="J6231">
        <v>2</v>
      </c>
    </row>
    <row r="6232" spans="7:10">
      <c r="G6232">
        <v>2</v>
      </c>
      <c r="H6232">
        <v>2</v>
      </c>
      <c r="I6232">
        <v>2</v>
      </c>
      <c r="J6232">
        <v>1</v>
      </c>
    </row>
    <row r="6233" spans="7:10">
      <c r="G6233">
        <v>2</v>
      </c>
      <c r="H6233">
        <v>2</v>
      </c>
      <c r="I6233">
        <v>2</v>
      </c>
      <c r="J6233">
        <v>2</v>
      </c>
    </row>
    <row r="6234" spans="7:10">
      <c r="G6234">
        <v>2</v>
      </c>
      <c r="H6234">
        <v>2</v>
      </c>
      <c r="I6234">
        <v>3</v>
      </c>
      <c r="J6234">
        <v>1</v>
      </c>
    </row>
    <row r="6235" spans="7:10">
      <c r="G6235">
        <v>2</v>
      </c>
      <c r="H6235">
        <v>2</v>
      </c>
      <c r="I6235">
        <v>3</v>
      </c>
      <c r="J6235">
        <v>2</v>
      </c>
    </row>
    <row r="6236" spans="7:10">
      <c r="G6236">
        <v>2</v>
      </c>
      <c r="H6236">
        <v>2</v>
      </c>
      <c r="I6236">
        <v>4</v>
      </c>
      <c r="J6236">
        <v>1</v>
      </c>
    </row>
    <row r="6237" spans="7:10">
      <c r="G6237">
        <v>2</v>
      </c>
      <c r="H6237">
        <v>2</v>
      </c>
      <c r="I6237">
        <v>4</v>
      </c>
      <c r="J6237">
        <v>2</v>
      </c>
    </row>
    <row r="6238" spans="7:10">
      <c r="G6238">
        <v>2</v>
      </c>
      <c r="H6238">
        <v>2</v>
      </c>
      <c r="I6238">
        <v>5</v>
      </c>
      <c r="J6238">
        <v>1</v>
      </c>
    </row>
    <row r="6239" spans="7:10">
      <c r="G6239">
        <v>2</v>
      </c>
      <c r="H6239">
        <v>2</v>
      </c>
      <c r="I6239">
        <v>5</v>
      </c>
      <c r="J6239">
        <v>2</v>
      </c>
    </row>
    <row r="6240" spans="7:10">
      <c r="G6240">
        <v>2</v>
      </c>
      <c r="H6240">
        <v>3</v>
      </c>
      <c r="I6240">
        <v>1</v>
      </c>
      <c r="J6240">
        <v>1</v>
      </c>
    </row>
    <row r="6241" spans="7:10">
      <c r="G6241">
        <v>2</v>
      </c>
      <c r="H6241">
        <v>3</v>
      </c>
      <c r="I6241">
        <v>1</v>
      </c>
      <c r="J6241">
        <v>2</v>
      </c>
    </row>
    <row r="6242" spans="7:10">
      <c r="G6242">
        <v>2</v>
      </c>
      <c r="H6242">
        <v>3</v>
      </c>
      <c r="I6242">
        <v>2</v>
      </c>
      <c r="J6242">
        <v>1</v>
      </c>
    </row>
    <row r="6243" spans="7:10">
      <c r="G6243">
        <v>2</v>
      </c>
      <c r="H6243">
        <v>3</v>
      </c>
      <c r="I6243">
        <v>2</v>
      </c>
      <c r="J6243">
        <v>2</v>
      </c>
    </row>
    <row r="6244" spans="7:10">
      <c r="G6244">
        <v>2</v>
      </c>
      <c r="H6244">
        <v>3</v>
      </c>
      <c r="I6244">
        <v>3</v>
      </c>
      <c r="J6244">
        <v>1</v>
      </c>
    </row>
    <row r="6245" spans="7:10">
      <c r="G6245">
        <v>2</v>
      </c>
      <c r="H6245">
        <v>3</v>
      </c>
      <c r="I6245">
        <v>3</v>
      </c>
      <c r="J6245">
        <v>2</v>
      </c>
    </row>
    <row r="6246" spans="7:10">
      <c r="G6246">
        <v>2</v>
      </c>
      <c r="H6246">
        <v>3</v>
      </c>
      <c r="I6246">
        <v>4</v>
      </c>
      <c r="J6246">
        <v>1</v>
      </c>
    </row>
    <row r="6247" spans="7:10">
      <c r="G6247">
        <v>2</v>
      </c>
      <c r="H6247">
        <v>3</v>
      </c>
      <c r="I6247">
        <v>4</v>
      </c>
      <c r="J6247">
        <v>2</v>
      </c>
    </row>
    <row r="6248" spans="7:10">
      <c r="G6248">
        <v>2</v>
      </c>
      <c r="H6248">
        <v>3</v>
      </c>
      <c r="I6248">
        <v>5</v>
      </c>
      <c r="J6248">
        <v>1</v>
      </c>
    </row>
    <row r="6249" spans="7:10">
      <c r="G6249">
        <v>2</v>
      </c>
      <c r="H6249">
        <v>3</v>
      </c>
      <c r="I6249">
        <v>5</v>
      </c>
      <c r="J6249">
        <v>2</v>
      </c>
    </row>
    <row r="6250" spans="7:10">
      <c r="G6250">
        <v>3</v>
      </c>
      <c r="H6250">
        <v>1</v>
      </c>
      <c r="I6250">
        <v>3</v>
      </c>
      <c r="J6250">
        <v>1</v>
      </c>
    </row>
    <row r="6251" spans="7:10">
      <c r="G6251">
        <v>3</v>
      </c>
      <c r="H6251">
        <v>1</v>
      </c>
      <c r="I6251">
        <v>3</v>
      </c>
      <c r="J6251">
        <v>2</v>
      </c>
    </row>
    <row r="6252" spans="7:10">
      <c r="G6252">
        <v>3</v>
      </c>
      <c r="H6252">
        <v>1</v>
      </c>
      <c r="I6252">
        <v>4</v>
      </c>
      <c r="J6252">
        <v>1</v>
      </c>
    </row>
    <row r="6253" spans="7:10">
      <c r="G6253">
        <v>3</v>
      </c>
      <c r="H6253">
        <v>1</v>
      </c>
      <c r="I6253">
        <v>4</v>
      </c>
      <c r="J6253">
        <v>2</v>
      </c>
    </row>
    <row r="6254" spans="7:10">
      <c r="G6254">
        <v>3</v>
      </c>
      <c r="H6254">
        <v>1</v>
      </c>
      <c r="I6254">
        <v>5</v>
      </c>
      <c r="J6254">
        <v>1</v>
      </c>
    </row>
    <row r="6255" spans="7:10">
      <c r="G6255">
        <v>3</v>
      </c>
      <c r="H6255">
        <v>1</v>
      </c>
      <c r="I6255">
        <v>5</v>
      </c>
      <c r="J6255">
        <v>2</v>
      </c>
    </row>
    <row r="6256" spans="7:10">
      <c r="G6256">
        <v>3</v>
      </c>
      <c r="H6256">
        <v>2</v>
      </c>
      <c r="I6256">
        <v>1</v>
      </c>
      <c r="J6256">
        <v>1</v>
      </c>
    </row>
    <row r="6257" spans="7:10">
      <c r="G6257">
        <v>3</v>
      </c>
      <c r="H6257">
        <v>2</v>
      </c>
      <c r="I6257">
        <v>1</v>
      </c>
      <c r="J6257">
        <v>2</v>
      </c>
    </row>
    <row r="6258" spans="7:10">
      <c r="G6258">
        <v>3</v>
      </c>
      <c r="H6258">
        <v>2</v>
      </c>
      <c r="I6258">
        <v>2</v>
      </c>
      <c r="J6258">
        <v>1</v>
      </c>
    </row>
    <row r="6259" spans="7:10">
      <c r="G6259">
        <v>3</v>
      </c>
      <c r="H6259">
        <v>2</v>
      </c>
      <c r="I6259">
        <v>2</v>
      </c>
      <c r="J6259">
        <v>2</v>
      </c>
    </row>
    <row r="6260" spans="7:10">
      <c r="G6260">
        <v>3</v>
      </c>
      <c r="H6260">
        <v>2</v>
      </c>
      <c r="I6260">
        <v>3</v>
      </c>
      <c r="J6260">
        <v>1</v>
      </c>
    </row>
    <row r="6261" spans="7:10">
      <c r="G6261">
        <v>3</v>
      </c>
      <c r="H6261">
        <v>2</v>
      </c>
      <c r="I6261">
        <v>3</v>
      </c>
      <c r="J6261">
        <v>2</v>
      </c>
    </row>
    <row r="6262" spans="7:10">
      <c r="G6262">
        <v>3</v>
      </c>
      <c r="H6262">
        <v>2</v>
      </c>
      <c r="I6262">
        <v>4</v>
      </c>
      <c r="J6262">
        <v>1</v>
      </c>
    </row>
    <row r="6263" spans="7:10">
      <c r="G6263">
        <v>3</v>
      </c>
      <c r="H6263">
        <v>2</v>
      </c>
      <c r="I6263">
        <v>4</v>
      </c>
      <c r="J6263">
        <v>2</v>
      </c>
    </row>
    <row r="6264" spans="7:10">
      <c r="G6264">
        <v>3</v>
      </c>
      <c r="H6264">
        <v>2</v>
      </c>
      <c r="I6264">
        <v>5</v>
      </c>
      <c r="J6264">
        <v>1</v>
      </c>
    </row>
    <row r="6265" spans="7:10">
      <c r="G6265">
        <v>3</v>
      </c>
      <c r="H6265">
        <v>2</v>
      </c>
      <c r="I6265">
        <v>5</v>
      </c>
      <c r="J6265">
        <v>2</v>
      </c>
    </row>
    <row r="6266" spans="7:10">
      <c r="G6266">
        <v>3</v>
      </c>
      <c r="H6266">
        <v>3</v>
      </c>
      <c r="I6266">
        <v>1</v>
      </c>
      <c r="J6266">
        <v>1</v>
      </c>
    </row>
    <row r="6267" spans="7:10">
      <c r="G6267">
        <v>3</v>
      </c>
      <c r="H6267">
        <v>3</v>
      </c>
      <c r="I6267">
        <v>1</v>
      </c>
      <c r="J6267">
        <v>2</v>
      </c>
    </row>
    <row r="6268" spans="7:10">
      <c r="G6268">
        <v>3</v>
      </c>
      <c r="H6268">
        <v>3</v>
      </c>
      <c r="I6268">
        <v>2</v>
      </c>
      <c r="J6268">
        <v>1</v>
      </c>
    </row>
    <row r="6269" spans="7:10">
      <c r="G6269">
        <v>3</v>
      </c>
      <c r="H6269">
        <v>3</v>
      </c>
      <c r="I6269">
        <v>2</v>
      </c>
      <c r="J6269">
        <v>2</v>
      </c>
    </row>
    <row r="6270" spans="7:10">
      <c r="G6270">
        <v>3</v>
      </c>
      <c r="H6270">
        <v>3</v>
      </c>
      <c r="I6270">
        <v>3</v>
      </c>
      <c r="J6270">
        <v>1</v>
      </c>
    </row>
    <row r="6271" spans="7:10">
      <c r="G6271">
        <v>3</v>
      </c>
      <c r="H6271">
        <v>3</v>
      </c>
      <c r="I6271">
        <v>3</v>
      </c>
      <c r="J6271">
        <v>2</v>
      </c>
    </row>
    <row r="6272" spans="7:10">
      <c r="G6272">
        <v>3</v>
      </c>
      <c r="H6272">
        <v>3</v>
      </c>
      <c r="I6272">
        <v>4</v>
      </c>
      <c r="J6272">
        <v>1</v>
      </c>
    </row>
    <row r="6273" spans="7:10">
      <c r="G6273">
        <v>3</v>
      </c>
      <c r="H6273">
        <v>3</v>
      </c>
      <c r="I6273">
        <v>4</v>
      </c>
      <c r="J6273">
        <v>2</v>
      </c>
    </row>
    <row r="6274" spans="7:10">
      <c r="G6274">
        <v>3</v>
      </c>
      <c r="H6274">
        <v>3</v>
      </c>
      <c r="I6274">
        <v>5</v>
      </c>
      <c r="J6274">
        <v>1</v>
      </c>
    </row>
    <row r="6275" spans="7:10">
      <c r="G6275">
        <v>3</v>
      </c>
      <c r="H6275">
        <v>3</v>
      </c>
      <c r="I6275">
        <v>5</v>
      </c>
      <c r="J6275">
        <v>2</v>
      </c>
    </row>
    <row r="6276" spans="7:10">
      <c r="G6276">
        <v>4</v>
      </c>
      <c r="H6276">
        <v>1</v>
      </c>
      <c r="I6276">
        <v>3</v>
      </c>
      <c r="J6276">
        <v>1</v>
      </c>
    </row>
    <row r="6277" spans="7:10">
      <c r="G6277">
        <v>4</v>
      </c>
      <c r="H6277">
        <v>1</v>
      </c>
      <c r="I6277">
        <v>3</v>
      </c>
      <c r="J6277">
        <v>2</v>
      </c>
    </row>
    <row r="6278" spans="7:10">
      <c r="G6278">
        <v>4</v>
      </c>
      <c r="H6278">
        <v>1</v>
      </c>
      <c r="I6278">
        <v>4</v>
      </c>
      <c r="J6278">
        <v>1</v>
      </c>
    </row>
    <row r="6279" spans="7:10">
      <c r="G6279">
        <v>4</v>
      </c>
      <c r="H6279">
        <v>1</v>
      </c>
      <c r="I6279">
        <v>4</v>
      </c>
      <c r="J6279">
        <v>2</v>
      </c>
    </row>
    <row r="6280" spans="7:10">
      <c r="G6280">
        <v>4</v>
      </c>
      <c r="H6280">
        <v>1</v>
      </c>
      <c r="I6280">
        <v>5</v>
      </c>
      <c r="J6280">
        <v>1</v>
      </c>
    </row>
    <row r="6281" spans="7:10">
      <c r="G6281">
        <v>4</v>
      </c>
      <c r="H6281">
        <v>1</v>
      </c>
      <c r="I6281">
        <v>5</v>
      </c>
      <c r="J6281">
        <v>2</v>
      </c>
    </row>
    <row r="6282" spans="7:10">
      <c r="G6282">
        <v>4</v>
      </c>
      <c r="H6282">
        <v>2</v>
      </c>
      <c r="I6282">
        <v>1</v>
      </c>
      <c r="J6282">
        <v>1</v>
      </c>
    </row>
    <row r="6283" spans="7:10">
      <c r="G6283">
        <v>4</v>
      </c>
      <c r="H6283">
        <v>2</v>
      </c>
      <c r="I6283">
        <v>1</v>
      </c>
      <c r="J6283">
        <v>2</v>
      </c>
    </row>
    <row r="6284" spans="7:10">
      <c r="G6284">
        <v>4</v>
      </c>
      <c r="H6284">
        <v>2</v>
      </c>
      <c r="I6284">
        <v>2</v>
      </c>
      <c r="J6284">
        <v>1</v>
      </c>
    </row>
    <row r="6285" spans="7:10">
      <c r="G6285">
        <v>4</v>
      </c>
      <c r="H6285">
        <v>2</v>
      </c>
      <c r="I6285">
        <v>2</v>
      </c>
      <c r="J6285">
        <v>2</v>
      </c>
    </row>
    <row r="6286" spans="7:10">
      <c r="G6286">
        <v>4</v>
      </c>
      <c r="H6286">
        <v>2</v>
      </c>
      <c r="I6286">
        <v>3</v>
      </c>
      <c r="J6286">
        <v>1</v>
      </c>
    </row>
    <row r="6287" spans="7:10">
      <c r="G6287">
        <v>4</v>
      </c>
      <c r="H6287">
        <v>2</v>
      </c>
      <c r="I6287">
        <v>3</v>
      </c>
      <c r="J6287">
        <v>2</v>
      </c>
    </row>
    <row r="6288" spans="7:10">
      <c r="G6288">
        <v>4</v>
      </c>
      <c r="H6288">
        <v>2</v>
      </c>
      <c r="I6288">
        <v>4</v>
      </c>
      <c r="J6288">
        <v>1</v>
      </c>
    </row>
    <row r="6289" spans="7:10">
      <c r="G6289">
        <v>4</v>
      </c>
      <c r="H6289">
        <v>2</v>
      </c>
      <c r="I6289">
        <v>4</v>
      </c>
      <c r="J6289">
        <v>2</v>
      </c>
    </row>
    <row r="6290" spans="7:10">
      <c r="G6290">
        <v>4</v>
      </c>
      <c r="H6290">
        <v>2</v>
      </c>
      <c r="I6290">
        <v>5</v>
      </c>
      <c r="J6290">
        <v>1</v>
      </c>
    </row>
    <row r="6291" spans="7:10">
      <c r="G6291">
        <v>4</v>
      </c>
      <c r="H6291">
        <v>2</v>
      </c>
      <c r="I6291">
        <v>5</v>
      </c>
      <c r="J6291">
        <v>2</v>
      </c>
    </row>
    <row r="6292" spans="7:10">
      <c r="G6292">
        <v>4</v>
      </c>
      <c r="H6292">
        <v>3</v>
      </c>
      <c r="I6292">
        <v>1</v>
      </c>
      <c r="J6292">
        <v>1</v>
      </c>
    </row>
    <row r="6293" spans="7:10">
      <c r="G6293">
        <v>4</v>
      </c>
      <c r="H6293">
        <v>3</v>
      </c>
      <c r="I6293">
        <v>1</v>
      </c>
      <c r="J6293">
        <v>2</v>
      </c>
    </row>
    <row r="6294" spans="7:10">
      <c r="G6294">
        <v>4</v>
      </c>
      <c r="H6294">
        <v>3</v>
      </c>
      <c r="I6294">
        <v>2</v>
      </c>
      <c r="J6294">
        <v>1</v>
      </c>
    </row>
    <row r="6295" spans="7:10">
      <c r="G6295">
        <v>4</v>
      </c>
      <c r="H6295">
        <v>3</v>
      </c>
      <c r="I6295">
        <v>2</v>
      </c>
      <c r="J6295">
        <v>2</v>
      </c>
    </row>
    <row r="6296" spans="7:10">
      <c r="G6296">
        <v>4</v>
      </c>
      <c r="H6296">
        <v>3</v>
      </c>
      <c r="I6296">
        <v>3</v>
      </c>
      <c r="J6296">
        <v>1</v>
      </c>
    </row>
    <row r="6297" spans="7:10">
      <c r="G6297">
        <v>4</v>
      </c>
      <c r="H6297">
        <v>3</v>
      </c>
      <c r="I6297">
        <v>3</v>
      </c>
      <c r="J6297">
        <v>2</v>
      </c>
    </row>
    <row r="6298" spans="7:10">
      <c r="G6298">
        <v>4</v>
      </c>
      <c r="H6298">
        <v>3</v>
      </c>
      <c r="I6298">
        <v>4</v>
      </c>
      <c r="J6298">
        <v>1</v>
      </c>
    </row>
    <row r="6299" spans="7:10">
      <c r="G6299">
        <v>4</v>
      </c>
      <c r="H6299">
        <v>3</v>
      </c>
      <c r="I6299">
        <v>4</v>
      </c>
      <c r="J6299">
        <v>2</v>
      </c>
    </row>
    <row r="6300" spans="7:10">
      <c r="G6300">
        <v>4</v>
      </c>
      <c r="H6300">
        <v>3</v>
      </c>
      <c r="I6300">
        <v>5</v>
      </c>
      <c r="J6300">
        <v>1</v>
      </c>
    </row>
    <row r="6301" spans="7:10">
      <c r="G6301">
        <v>4</v>
      </c>
      <c r="H6301">
        <v>3</v>
      </c>
      <c r="I6301">
        <v>5</v>
      </c>
      <c r="J6301">
        <v>2</v>
      </c>
    </row>
    <row r="6302" spans="7:10">
      <c r="G6302">
        <v>1</v>
      </c>
      <c r="H6302">
        <v>2</v>
      </c>
      <c r="I6302">
        <v>1</v>
      </c>
      <c r="J6302">
        <v>1</v>
      </c>
    </row>
    <row r="6303" spans="7:10">
      <c r="G6303">
        <v>1</v>
      </c>
      <c r="H6303">
        <v>2</v>
      </c>
      <c r="I6303">
        <v>1</v>
      </c>
      <c r="J6303">
        <v>2</v>
      </c>
    </row>
    <row r="6304" spans="7:10">
      <c r="G6304">
        <v>1</v>
      </c>
      <c r="H6304">
        <v>2</v>
      </c>
      <c r="I6304">
        <v>2</v>
      </c>
      <c r="J6304">
        <v>1</v>
      </c>
    </row>
    <row r="6305" spans="7:10">
      <c r="G6305">
        <v>1</v>
      </c>
      <c r="H6305">
        <v>2</v>
      </c>
      <c r="I6305">
        <v>2</v>
      </c>
      <c r="J6305">
        <v>2</v>
      </c>
    </row>
    <row r="6306" spans="7:10">
      <c r="G6306">
        <v>1</v>
      </c>
      <c r="H6306">
        <v>2</v>
      </c>
      <c r="I6306">
        <v>3</v>
      </c>
      <c r="J6306">
        <v>1</v>
      </c>
    </row>
    <row r="6307" spans="7:10">
      <c r="G6307">
        <v>1</v>
      </c>
      <c r="H6307">
        <v>2</v>
      </c>
      <c r="I6307">
        <v>3</v>
      </c>
      <c r="J6307">
        <v>2</v>
      </c>
    </row>
    <row r="6308" spans="7:10">
      <c r="G6308">
        <v>1</v>
      </c>
      <c r="H6308">
        <v>2</v>
      </c>
      <c r="I6308">
        <v>4</v>
      </c>
      <c r="J6308">
        <v>1</v>
      </c>
    </row>
    <row r="6309" spans="7:10">
      <c r="G6309">
        <v>1</v>
      </c>
      <c r="H6309">
        <v>2</v>
      </c>
      <c r="I6309">
        <v>4</v>
      </c>
      <c r="J6309">
        <v>2</v>
      </c>
    </row>
    <row r="6310" spans="7:10">
      <c r="G6310">
        <v>1</v>
      </c>
      <c r="H6310">
        <v>2</v>
      </c>
      <c r="I6310">
        <v>5</v>
      </c>
      <c r="J6310">
        <v>1</v>
      </c>
    </row>
    <row r="6311" spans="7:10">
      <c r="G6311">
        <v>1</v>
      </c>
      <c r="H6311">
        <v>2</v>
      </c>
      <c r="I6311">
        <v>5</v>
      </c>
      <c r="J6311">
        <v>2</v>
      </c>
    </row>
    <row r="6312" spans="7:10">
      <c r="G6312">
        <v>1</v>
      </c>
      <c r="H6312">
        <v>3</v>
      </c>
      <c r="I6312">
        <v>1</v>
      </c>
      <c r="J6312">
        <v>1</v>
      </c>
    </row>
    <row r="6313" spans="7:10">
      <c r="G6313">
        <v>1</v>
      </c>
      <c r="H6313">
        <v>3</v>
      </c>
      <c r="I6313">
        <v>1</v>
      </c>
      <c r="J6313">
        <v>2</v>
      </c>
    </row>
    <row r="6314" spans="7:10">
      <c r="G6314">
        <v>1</v>
      </c>
      <c r="H6314">
        <v>3</v>
      </c>
      <c r="I6314">
        <v>2</v>
      </c>
      <c r="J6314">
        <v>1</v>
      </c>
    </row>
    <row r="6315" spans="7:10">
      <c r="G6315">
        <v>1</v>
      </c>
      <c r="H6315">
        <v>3</v>
      </c>
      <c r="I6315">
        <v>2</v>
      </c>
      <c r="J6315">
        <v>2</v>
      </c>
    </row>
    <row r="6316" spans="7:10">
      <c r="G6316">
        <v>1</v>
      </c>
      <c r="H6316">
        <v>3</v>
      </c>
      <c r="I6316">
        <v>3</v>
      </c>
      <c r="J6316">
        <v>1</v>
      </c>
    </row>
    <row r="6317" spans="7:10">
      <c r="G6317">
        <v>1</v>
      </c>
      <c r="H6317">
        <v>3</v>
      </c>
      <c r="I6317">
        <v>3</v>
      </c>
      <c r="J6317">
        <v>2</v>
      </c>
    </row>
    <row r="6318" spans="7:10">
      <c r="G6318">
        <v>1</v>
      </c>
      <c r="H6318">
        <v>3</v>
      </c>
      <c r="I6318">
        <v>4</v>
      </c>
      <c r="J6318">
        <v>1</v>
      </c>
    </row>
    <row r="6319" spans="7:10">
      <c r="G6319">
        <v>1</v>
      </c>
      <c r="H6319">
        <v>3</v>
      </c>
      <c r="I6319">
        <v>4</v>
      </c>
      <c r="J6319">
        <v>2</v>
      </c>
    </row>
    <row r="6320" spans="7:10">
      <c r="G6320">
        <v>1</v>
      </c>
      <c r="H6320">
        <v>3</v>
      </c>
      <c r="I6320">
        <v>5</v>
      </c>
      <c r="J6320">
        <v>1</v>
      </c>
    </row>
    <row r="6321" spans="7:10">
      <c r="G6321">
        <v>1</v>
      </c>
      <c r="H6321">
        <v>3</v>
      </c>
      <c r="I6321">
        <v>5</v>
      </c>
      <c r="J6321">
        <v>2</v>
      </c>
    </row>
    <row r="6322" spans="7:10">
      <c r="G6322">
        <v>2</v>
      </c>
      <c r="H6322">
        <v>1</v>
      </c>
      <c r="I6322">
        <v>3</v>
      </c>
      <c r="J6322">
        <v>1</v>
      </c>
    </row>
    <row r="6323" spans="7:10">
      <c r="G6323">
        <v>2</v>
      </c>
      <c r="H6323">
        <v>1</v>
      </c>
      <c r="I6323">
        <v>3</v>
      </c>
      <c r="J6323">
        <v>2</v>
      </c>
    </row>
    <row r="6324" spans="7:10">
      <c r="G6324">
        <v>2</v>
      </c>
      <c r="H6324">
        <v>1</v>
      </c>
      <c r="I6324">
        <v>4</v>
      </c>
      <c r="J6324">
        <v>1</v>
      </c>
    </row>
    <row r="6325" spans="7:10">
      <c r="G6325">
        <v>2</v>
      </c>
      <c r="H6325">
        <v>1</v>
      </c>
      <c r="I6325">
        <v>4</v>
      </c>
      <c r="J6325">
        <v>2</v>
      </c>
    </row>
    <row r="6326" spans="7:10">
      <c r="G6326">
        <v>2</v>
      </c>
      <c r="H6326">
        <v>1</v>
      </c>
      <c r="I6326">
        <v>5</v>
      </c>
      <c r="J6326">
        <v>1</v>
      </c>
    </row>
    <row r="6327" spans="7:10">
      <c r="G6327">
        <v>2</v>
      </c>
      <c r="H6327">
        <v>1</v>
      </c>
      <c r="I6327">
        <v>5</v>
      </c>
      <c r="J6327">
        <v>2</v>
      </c>
    </row>
    <row r="6328" spans="7:10">
      <c r="G6328">
        <v>2</v>
      </c>
      <c r="H6328">
        <v>2</v>
      </c>
      <c r="I6328">
        <v>1</v>
      </c>
      <c r="J6328">
        <v>1</v>
      </c>
    </row>
    <row r="6329" spans="7:10">
      <c r="G6329">
        <v>2</v>
      </c>
      <c r="H6329">
        <v>2</v>
      </c>
      <c r="I6329">
        <v>1</v>
      </c>
      <c r="J6329">
        <v>2</v>
      </c>
    </row>
    <row r="6330" spans="7:10">
      <c r="G6330">
        <v>2</v>
      </c>
      <c r="H6330">
        <v>2</v>
      </c>
      <c r="I6330">
        <v>2</v>
      </c>
      <c r="J6330">
        <v>1</v>
      </c>
    </row>
    <row r="6331" spans="7:10">
      <c r="G6331">
        <v>2</v>
      </c>
      <c r="H6331">
        <v>2</v>
      </c>
      <c r="I6331">
        <v>2</v>
      </c>
      <c r="J6331">
        <v>2</v>
      </c>
    </row>
    <row r="6332" spans="7:10">
      <c r="G6332">
        <v>2</v>
      </c>
      <c r="H6332">
        <v>2</v>
      </c>
      <c r="I6332">
        <v>3</v>
      </c>
      <c r="J6332">
        <v>1</v>
      </c>
    </row>
    <row r="6333" spans="7:10">
      <c r="G6333">
        <v>2</v>
      </c>
      <c r="H6333">
        <v>2</v>
      </c>
      <c r="I6333">
        <v>3</v>
      </c>
      <c r="J6333">
        <v>2</v>
      </c>
    </row>
    <row r="6334" spans="7:10">
      <c r="G6334">
        <v>2</v>
      </c>
      <c r="H6334">
        <v>2</v>
      </c>
      <c r="I6334">
        <v>4</v>
      </c>
      <c r="J6334">
        <v>1</v>
      </c>
    </row>
    <row r="6335" spans="7:10">
      <c r="G6335">
        <v>2</v>
      </c>
      <c r="H6335">
        <v>2</v>
      </c>
      <c r="I6335">
        <v>4</v>
      </c>
      <c r="J6335">
        <v>2</v>
      </c>
    </row>
    <row r="6336" spans="7:10">
      <c r="G6336">
        <v>2</v>
      </c>
      <c r="H6336">
        <v>2</v>
      </c>
      <c r="I6336">
        <v>5</v>
      </c>
      <c r="J6336">
        <v>1</v>
      </c>
    </row>
    <row r="6337" spans="7:10">
      <c r="G6337">
        <v>2</v>
      </c>
      <c r="H6337">
        <v>2</v>
      </c>
      <c r="I6337">
        <v>5</v>
      </c>
      <c r="J6337">
        <v>2</v>
      </c>
    </row>
    <row r="6338" spans="7:10">
      <c r="G6338">
        <v>2</v>
      </c>
      <c r="H6338">
        <v>3</v>
      </c>
      <c r="I6338">
        <v>1</v>
      </c>
      <c r="J6338">
        <v>1</v>
      </c>
    </row>
    <row r="6339" spans="7:10">
      <c r="G6339">
        <v>2</v>
      </c>
      <c r="H6339">
        <v>3</v>
      </c>
      <c r="I6339">
        <v>1</v>
      </c>
      <c r="J6339">
        <v>2</v>
      </c>
    </row>
    <row r="6340" spans="7:10">
      <c r="G6340">
        <v>2</v>
      </c>
      <c r="H6340">
        <v>3</v>
      </c>
      <c r="I6340">
        <v>2</v>
      </c>
      <c r="J6340">
        <v>1</v>
      </c>
    </row>
    <row r="6341" spans="7:10">
      <c r="G6341">
        <v>2</v>
      </c>
      <c r="H6341">
        <v>3</v>
      </c>
      <c r="I6341">
        <v>2</v>
      </c>
      <c r="J6341">
        <v>2</v>
      </c>
    </row>
    <row r="6342" spans="7:10">
      <c r="G6342">
        <v>2</v>
      </c>
      <c r="H6342">
        <v>3</v>
      </c>
      <c r="I6342">
        <v>3</v>
      </c>
      <c r="J6342">
        <v>1</v>
      </c>
    </row>
    <row r="6343" spans="7:10">
      <c r="G6343">
        <v>2</v>
      </c>
      <c r="H6343">
        <v>3</v>
      </c>
      <c r="I6343">
        <v>3</v>
      </c>
      <c r="J6343">
        <v>2</v>
      </c>
    </row>
    <row r="6344" spans="7:10">
      <c r="G6344">
        <v>2</v>
      </c>
      <c r="H6344">
        <v>3</v>
      </c>
      <c r="I6344">
        <v>4</v>
      </c>
      <c r="J6344">
        <v>1</v>
      </c>
    </row>
    <row r="6345" spans="7:10">
      <c r="G6345">
        <v>2</v>
      </c>
      <c r="H6345">
        <v>3</v>
      </c>
      <c r="I6345">
        <v>4</v>
      </c>
      <c r="J6345">
        <v>2</v>
      </c>
    </row>
    <row r="6346" spans="7:10">
      <c r="G6346">
        <v>2</v>
      </c>
      <c r="H6346">
        <v>3</v>
      </c>
      <c r="I6346">
        <v>5</v>
      </c>
      <c r="J6346">
        <v>1</v>
      </c>
    </row>
    <row r="6347" spans="7:10">
      <c r="G6347">
        <v>2</v>
      </c>
      <c r="H6347">
        <v>3</v>
      </c>
      <c r="I6347">
        <v>5</v>
      </c>
      <c r="J6347">
        <v>2</v>
      </c>
    </row>
    <row r="6348" spans="7:10">
      <c r="G6348">
        <v>3</v>
      </c>
      <c r="H6348">
        <v>1</v>
      </c>
      <c r="I6348">
        <v>3</v>
      </c>
      <c r="J6348">
        <v>1</v>
      </c>
    </row>
    <row r="6349" spans="7:10">
      <c r="G6349">
        <v>3</v>
      </c>
      <c r="H6349">
        <v>1</v>
      </c>
      <c r="I6349">
        <v>3</v>
      </c>
      <c r="J6349">
        <v>2</v>
      </c>
    </row>
    <row r="6350" spans="7:10">
      <c r="G6350">
        <v>3</v>
      </c>
      <c r="H6350">
        <v>1</v>
      </c>
      <c r="I6350">
        <v>4</v>
      </c>
      <c r="J6350">
        <v>1</v>
      </c>
    </row>
    <row r="6351" spans="7:10">
      <c r="G6351">
        <v>3</v>
      </c>
      <c r="H6351">
        <v>1</v>
      </c>
      <c r="I6351">
        <v>4</v>
      </c>
      <c r="J6351">
        <v>2</v>
      </c>
    </row>
    <row r="6352" spans="7:10">
      <c r="G6352">
        <v>3</v>
      </c>
      <c r="H6352">
        <v>1</v>
      </c>
      <c r="I6352">
        <v>5</v>
      </c>
      <c r="J6352">
        <v>1</v>
      </c>
    </row>
    <row r="6353" spans="7:10">
      <c r="G6353">
        <v>3</v>
      </c>
      <c r="H6353">
        <v>1</v>
      </c>
      <c r="I6353">
        <v>5</v>
      </c>
      <c r="J6353">
        <v>2</v>
      </c>
    </row>
    <row r="6354" spans="7:10">
      <c r="G6354">
        <v>3</v>
      </c>
      <c r="H6354">
        <v>2</v>
      </c>
      <c r="I6354">
        <v>1</v>
      </c>
      <c r="J6354">
        <v>1</v>
      </c>
    </row>
    <row r="6355" spans="7:10">
      <c r="G6355">
        <v>3</v>
      </c>
      <c r="H6355">
        <v>2</v>
      </c>
      <c r="I6355">
        <v>1</v>
      </c>
      <c r="J6355">
        <v>2</v>
      </c>
    </row>
    <row r="6356" spans="7:10">
      <c r="G6356">
        <v>3</v>
      </c>
      <c r="H6356">
        <v>2</v>
      </c>
      <c r="I6356">
        <v>2</v>
      </c>
      <c r="J6356">
        <v>1</v>
      </c>
    </row>
    <row r="6357" spans="7:10">
      <c r="G6357">
        <v>3</v>
      </c>
      <c r="H6357">
        <v>2</v>
      </c>
      <c r="I6357">
        <v>2</v>
      </c>
      <c r="J6357">
        <v>2</v>
      </c>
    </row>
    <row r="6358" spans="7:10">
      <c r="G6358">
        <v>3</v>
      </c>
      <c r="H6358">
        <v>2</v>
      </c>
      <c r="I6358">
        <v>3</v>
      </c>
      <c r="J6358">
        <v>1</v>
      </c>
    </row>
    <row r="6359" spans="7:10">
      <c r="G6359">
        <v>3</v>
      </c>
      <c r="H6359">
        <v>2</v>
      </c>
      <c r="I6359">
        <v>3</v>
      </c>
      <c r="J6359">
        <v>2</v>
      </c>
    </row>
    <row r="6360" spans="7:10">
      <c r="G6360">
        <v>3</v>
      </c>
      <c r="H6360">
        <v>2</v>
      </c>
      <c r="I6360">
        <v>4</v>
      </c>
      <c r="J6360">
        <v>1</v>
      </c>
    </row>
    <row r="6361" spans="7:10">
      <c r="G6361">
        <v>3</v>
      </c>
      <c r="H6361">
        <v>2</v>
      </c>
      <c r="I6361">
        <v>4</v>
      </c>
      <c r="J6361">
        <v>2</v>
      </c>
    </row>
    <row r="6362" spans="7:10">
      <c r="G6362">
        <v>3</v>
      </c>
      <c r="H6362">
        <v>2</v>
      </c>
      <c r="I6362">
        <v>5</v>
      </c>
      <c r="J6362">
        <v>1</v>
      </c>
    </row>
    <row r="6363" spans="7:10">
      <c r="G6363">
        <v>3</v>
      </c>
      <c r="H6363">
        <v>2</v>
      </c>
      <c r="I6363">
        <v>5</v>
      </c>
      <c r="J6363">
        <v>2</v>
      </c>
    </row>
    <row r="6364" spans="7:10">
      <c r="G6364">
        <v>3</v>
      </c>
      <c r="H6364">
        <v>3</v>
      </c>
      <c r="I6364">
        <v>1</v>
      </c>
      <c r="J6364">
        <v>1</v>
      </c>
    </row>
    <row r="6365" spans="7:10">
      <c r="G6365">
        <v>3</v>
      </c>
      <c r="H6365">
        <v>3</v>
      </c>
      <c r="I6365">
        <v>1</v>
      </c>
      <c r="J6365">
        <v>2</v>
      </c>
    </row>
    <row r="6366" spans="7:10">
      <c r="G6366">
        <v>3</v>
      </c>
      <c r="H6366">
        <v>3</v>
      </c>
      <c r="I6366">
        <v>2</v>
      </c>
      <c r="J6366">
        <v>1</v>
      </c>
    </row>
    <row r="6367" spans="7:10">
      <c r="G6367">
        <v>3</v>
      </c>
      <c r="H6367">
        <v>3</v>
      </c>
      <c r="I6367">
        <v>2</v>
      </c>
      <c r="J6367">
        <v>2</v>
      </c>
    </row>
    <row r="6368" spans="7:10">
      <c r="G6368">
        <v>3</v>
      </c>
      <c r="H6368">
        <v>3</v>
      </c>
      <c r="I6368">
        <v>3</v>
      </c>
      <c r="J6368">
        <v>1</v>
      </c>
    </row>
    <row r="6369" spans="7:10">
      <c r="G6369">
        <v>3</v>
      </c>
      <c r="H6369">
        <v>3</v>
      </c>
      <c r="I6369">
        <v>3</v>
      </c>
      <c r="J6369">
        <v>2</v>
      </c>
    </row>
    <row r="6370" spans="7:10">
      <c r="G6370">
        <v>3</v>
      </c>
      <c r="H6370">
        <v>3</v>
      </c>
      <c r="I6370">
        <v>4</v>
      </c>
      <c r="J6370">
        <v>1</v>
      </c>
    </row>
    <row r="6371" spans="7:10">
      <c r="G6371">
        <v>3</v>
      </c>
      <c r="H6371">
        <v>3</v>
      </c>
      <c r="I6371">
        <v>4</v>
      </c>
      <c r="J6371">
        <v>2</v>
      </c>
    </row>
    <row r="6372" spans="7:10">
      <c r="G6372">
        <v>3</v>
      </c>
      <c r="H6372">
        <v>3</v>
      </c>
      <c r="I6372">
        <v>5</v>
      </c>
      <c r="J6372">
        <v>1</v>
      </c>
    </row>
    <row r="6373" spans="7:10">
      <c r="G6373">
        <v>3</v>
      </c>
      <c r="H6373">
        <v>3</v>
      </c>
      <c r="I6373">
        <v>5</v>
      </c>
      <c r="J6373">
        <v>2</v>
      </c>
    </row>
    <row r="6374" spans="7:10">
      <c r="G6374">
        <v>4</v>
      </c>
      <c r="H6374">
        <v>1</v>
      </c>
      <c r="I6374">
        <v>3</v>
      </c>
      <c r="J6374">
        <v>1</v>
      </c>
    </row>
    <row r="6375" spans="7:10">
      <c r="G6375">
        <v>4</v>
      </c>
      <c r="H6375">
        <v>1</v>
      </c>
      <c r="I6375">
        <v>3</v>
      </c>
      <c r="J6375">
        <v>2</v>
      </c>
    </row>
    <row r="6376" spans="7:10">
      <c r="G6376">
        <v>4</v>
      </c>
      <c r="H6376">
        <v>1</v>
      </c>
      <c r="I6376">
        <v>4</v>
      </c>
      <c r="J6376">
        <v>1</v>
      </c>
    </row>
    <row r="6377" spans="7:10">
      <c r="G6377">
        <v>4</v>
      </c>
      <c r="H6377">
        <v>1</v>
      </c>
      <c r="I6377">
        <v>4</v>
      </c>
      <c r="J6377">
        <v>2</v>
      </c>
    </row>
    <row r="6378" spans="7:10">
      <c r="G6378">
        <v>4</v>
      </c>
      <c r="H6378">
        <v>1</v>
      </c>
      <c r="I6378">
        <v>5</v>
      </c>
      <c r="J6378">
        <v>1</v>
      </c>
    </row>
    <row r="6379" spans="7:10">
      <c r="G6379">
        <v>4</v>
      </c>
      <c r="H6379">
        <v>1</v>
      </c>
      <c r="I6379">
        <v>5</v>
      </c>
      <c r="J6379">
        <v>2</v>
      </c>
    </row>
    <row r="6380" spans="7:10">
      <c r="G6380">
        <v>4</v>
      </c>
      <c r="H6380">
        <v>2</v>
      </c>
      <c r="I6380">
        <v>1</v>
      </c>
      <c r="J6380">
        <v>1</v>
      </c>
    </row>
    <row r="6381" spans="7:10">
      <c r="G6381">
        <v>4</v>
      </c>
      <c r="H6381">
        <v>2</v>
      </c>
      <c r="I6381">
        <v>1</v>
      </c>
      <c r="J6381">
        <v>2</v>
      </c>
    </row>
    <row r="6382" spans="7:10">
      <c r="G6382">
        <v>4</v>
      </c>
      <c r="H6382">
        <v>2</v>
      </c>
      <c r="I6382">
        <v>2</v>
      </c>
      <c r="J6382">
        <v>1</v>
      </c>
    </row>
    <row r="6383" spans="7:10">
      <c r="G6383">
        <v>4</v>
      </c>
      <c r="H6383">
        <v>2</v>
      </c>
      <c r="I6383">
        <v>2</v>
      </c>
      <c r="J6383">
        <v>2</v>
      </c>
    </row>
    <row r="6384" spans="7:10">
      <c r="G6384">
        <v>4</v>
      </c>
      <c r="H6384">
        <v>2</v>
      </c>
      <c r="I6384">
        <v>3</v>
      </c>
      <c r="J6384">
        <v>1</v>
      </c>
    </row>
    <row r="6385" spans="7:10">
      <c r="G6385">
        <v>4</v>
      </c>
      <c r="H6385">
        <v>2</v>
      </c>
      <c r="I6385">
        <v>3</v>
      </c>
      <c r="J6385">
        <v>2</v>
      </c>
    </row>
    <row r="6386" spans="7:10">
      <c r="G6386">
        <v>4</v>
      </c>
      <c r="H6386">
        <v>2</v>
      </c>
      <c r="I6386">
        <v>4</v>
      </c>
      <c r="J6386">
        <v>1</v>
      </c>
    </row>
    <row r="6387" spans="7:10">
      <c r="G6387">
        <v>4</v>
      </c>
      <c r="H6387">
        <v>2</v>
      </c>
      <c r="I6387">
        <v>4</v>
      </c>
      <c r="J6387">
        <v>2</v>
      </c>
    </row>
    <row r="6388" spans="7:10">
      <c r="G6388">
        <v>4</v>
      </c>
      <c r="H6388">
        <v>2</v>
      </c>
      <c r="I6388">
        <v>5</v>
      </c>
      <c r="J6388">
        <v>1</v>
      </c>
    </row>
    <row r="6389" spans="7:10">
      <c r="G6389">
        <v>4</v>
      </c>
      <c r="H6389">
        <v>2</v>
      </c>
      <c r="I6389">
        <v>5</v>
      </c>
      <c r="J6389">
        <v>2</v>
      </c>
    </row>
    <row r="6390" spans="7:10">
      <c r="G6390">
        <v>4</v>
      </c>
      <c r="H6390">
        <v>3</v>
      </c>
      <c r="I6390">
        <v>1</v>
      </c>
      <c r="J6390">
        <v>1</v>
      </c>
    </row>
    <row r="6391" spans="7:10">
      <c r="G6391">
        <v>4</v>
      </c>
      <c r="H6391">
        <v>3</v>
      </c>
      <c r="I6391">
        <v>1</v>
      </c>
      <c r="J6391">
        <v>2</v>
      </c>
    </row>
    <row r="6392" spans="7:10">
      <c r="G6392">
        <v>4</v>
      </c>
      <c r="H6392">
        <v>3</v>
      </c>
      <c r="I6392">
        <v>2</v>
      </c>
      <c r="J6392">
        <v>1</v>
      </c>
    </row>
    <row r="6393" spans="7:10">
      <c r="G6393">
        <v>4</v>
      </c>
      <c r="H6393">
        <v>3</v>
      </c>
      <c r="I6393">
        <v>2</v>
      </c>
      <c r="J6393">
        <v>2</v>
      </c>
    </row>
    <row r="6394" spans="7:10">
      <c r="G6394">
        <v>4</v>
      </c>
      <c r="H6394">
        <v>3</v>
      </c>
      <c r="I6394">
        <v>3</v>
      </c>
      <c r="J6394">
        <v>1</v>
      </c>
    </row>
    <row r="6395" spans="7:10">
      <c r="G6395">
        <v>4</v>
      </c>
      <c r="H6395">
        <v>3</v>
      </c>
      <c r="I6395">
        <v>3</v>
      </c>
      <c r="J6395">
        <v>2</v>
      </c>
    </row>
    <row r="6396" spans="7:10">
      <c r="G6396">
        <v>4</v>
      </c>
      <c r="H6396">
        <v>3</v>
      </c>
      <c r="I6396">
        <v>4</v>
      </c>
      <c r="J6396">
        <v>1</v>
      </c>
    </row>
    <row r="6397" spans="7:10">
      <c r="G6397">
        <v>4</v>
      </c>
      <c r="H6397">
        <v>3</v>
      </c>
      <c r="I6397">
        <v>4</v>
      </c>
      <c r="J6397">
        <v>2</v>
      </c>
    </row>
    <row r="6398" spans="7:10">
      <c r="G6398">
        <v>4</v>
      </c>
      <c r="H6398">
        <v>3</v>
      </c>
      <c r="I6398">
        <v>5</v>
      </c>
      <c r="J6398">
        <v>1</v>
      </c>
    </row>
    <row r="6399" spans="7:10">
      <c r="G6399">
        <v>4</v>
      </c>
      <c r="H6399">
        <v>3</v>
      </c>
      <c r="I6399">
        <v>5</v>
      </c>
      <c r="J6399">
        <v>2</v>
      </c>
    </row>
    <row r="6400" spans="7:10">
      <c r="G6400">
        <v>1</v>
      </c>
      <c r="H6400">
        <v>2</v>
      </c>
      <c r="I6400">
        <v>1</v>
      </c>
      <c r="J6400">
        <v>1</v>
      </c>
    </row>
    <row r="6401" spans="7:10">
      <c r="G6401">
        <v>1</v>
      </c>
      <c r="H6401">
        <v>2</v>
      </c>
      <c r="I6401">
        <v>1</v>
      </c>
      <c r="J6401">
        <v>2</v>
      </c>
    </row>
    <row r="6402" spans="7:10">
      <c r="G6402">
        <v>1</v>
      </c>
      <c r="H6402">
        <v>2</v>
      </c>
      <c r="I6402">
        <v>2</v>
      </c>
      <c r="J6402">
        <v>1</v>
      </c>
    </row>
    <row r="6403" spans="7:10">
      <c r="G6403">
        <v>1</v>
      </c>
      <c r="H6403">
        <v>2</v>
      </c>
      <c r="I6403">
        <v>2</v>
      </c>
      <c r="J6403">
        <v>2</v>
      </c>
    </row>
    <row r="6404" spans="7:10">
      <c r="G6404">
        <v>1</v>
      </c>
      <c r="H6404">
        <v>2</v>
      </c>
      <c r="I6404">
        <v>3</v>
      </c>
      <c r="J6404">
        <v>1</v>
      </c>
    </row>
    <row r="6405" spans="7:10">
      <c r="G6405">
        <v>1</v>
      </c>
      <c r="H6405">
        <v>2</v>
      </c>
      <c r="I6405">
        <v>3</v>
      </c>
      <c r="J6405">
        <v>2</v>
      </c>
    </row>
    <row r="6406" spans="7:10">
      <c r="G6406">
        <v>1</v>
      </c>
      <c r="H6406">
        <v>2</v>
      </c>
      <c r="I6406">
        <v>4</v>
      </c>
      <c r="J6406">
        <v>1</v>
      </c>
    </row>
    <row r="6407" spans="7:10">
      <c r="G6407">
        <v>1</v>
      </c>
      <c r="H6407">
        <v>2</v>
      </c>
      <c r="I6407">
        <v>4</v>
      </c>
      <c r="J6407">
        <v>2</v>
      </c>
    </row>
    <row r="6408" spans="7:10">
      <c r="G6408">
        <v>1</v>
      </c>
      <c r="H6408">
        <v>2</v>
      </c>
      <c r="I6408">
        <v>5</v>
      </c>
      <c r="J6408">
        <v>1</v>
      </c>
    </row>
    <row r="6409" spans="7:10">
      <c r="G6409">
        <v>1</v>
      </c>
      <c r="H6409">
        <v>2</v>
      </c>
      <c r="I6409">
        <v>5</v>
      </c>
      <c r="J6409">
        <v>2</v>
      </c>
    </row>
    <row r="6410" spans="7:10">
      <c r="G6410">
        <v>1</v>
      </c>
      <c r="H6410">
        <v>3</v>
      </c>
      <c r="I6410">
        <v>1</v>
      </c>
      <c r="J6410">
        <v>1</v>
      </c>
    </row>
    <row r="6411" spans="7:10">
      <c r="G6411">
        <v>1</v>
      </c>
      <c r="H6411">
        <v>3</v>
      </c>
      <c r="I6411">
        <v>1</v>
      </c>
      <c r="J6411">
        <v>2</v>
      </c>
    </row>
    <row r="6412" spans="7:10">
      <c r="G6412">
        <v>1</v>
      </c>
      <c r="H6412">
        <v>3</v>
      </c>
      <c r="I6412">
        <v>2</v>
      </c>
      <c r="J6412">
        <v>1</v>
      </c>
    </row>
    <row r="6413" spans="7:10">
      <c r="G6413">
        <v>1</v>
      </c>
      <c r="H6413">
        <v>3</v>
      </c>
      <c r="I6413">
        <v>2</v>
      </c>
      <c r="J6413">
        <v>2</v>
      </c>
    </row>
    <row r="6414" spans="7:10">
      <c r="G6414">
        <v>1</v>
      </c>
      <c r="H6414">
        <v>3</v>
      </c>
      <c r="I6414">
        <v>3</v>
      </c>
      <c r="J6414">
        <v>1</v>
      </c>
    </row>
    <row r="6415" spans="7:10">
      <c r="G6415">
        <v>1</v>
      </c>
      <c r="H6415">
        <v>3</v>
      </c>
      <c r="I6415">
        <v>3</v>
      </c>
      <c r="J6415">
        <v>2</v>
      </c>
    </row>
    <row r="6416" spans="7:10">
      <c r="G6416">
        <v>1</v>
      </c>
      <c r="H6416">
        <v>3</v>
      </c>
      <c r="I6416">
        <v>4</v>
      </c>
      <c r="J6416">
        <v>1</v>
      </c>
    </row>
    <row r="6417" spans="7:10">
      <c r="G6417">
        <v>1</v>
      </c>
      <c r="H6417">
        <v>3</v>
      </c>
      <c r="I6417">
        <v>4</v>
      </c>
      <c r="J6417">
        <v>2</v>
      </c>
    </row>
    <row r="6418" spans="7:10">
      <c r="G6418">
        <v>1</v>
      </c>
      <c r="H6418">
        <v>3</v>
      </c>
      <c r="I6418">
        <v>5</v>
      </c>
      <c r="J6418">
        <v>1</v>
      </c>
    </row>
    <row r="6419" spans="7:10">
      <c r="G6419">
        <v>1</v>
      </c>
      <c r="H6419">
        <v>3</v>
      </c>
      <c r="I6419">
        <v>5</v>
      </c>
      <c r="J6419">
        <v>2</v>
      </c>
    </row>
    <row r="6420" spans="7:10">
      <c r="G6420">
        <v>2</v>
      </c>
      <c r="H6420">
        <v>1</v>
      </c>
      <c r="I6420">
        <v>3</v>
      </c>
      <c r="J6420">
        <v>1</v>
      </c>
    </row>
    <row r="6421" spans="7:10">
      <c r="G6421">
        <v>2</v>
      </c>
      <c r="H6421">
        <v>1</v>
      </c>
      <c r="I6421">
        <v>3</v>
      </c>
      <c r="J6421">
        <v>2</v>
      </c>
    </row>
    <row r="6422" spans="7:10">
      <c r="G6422">
        <v>2</v>
      </c>
      <c r="H6422">
        <v>1</v>
      </c>
      <c r="I6422">
        <v>4</v>
      </c>
      <c r="J6422">
        <v>1</v>
      </c>
    </row>
    <row r="6423" spans="7:10">
      <c r="G6423">
        <v>2</v>
      </c>
      <c r="H6423">
        <v>1</v>
      </c>
      <c r="I6423">
        <v>4</v>
      </c>
      <c r="J6423">
        <v>2</v>
      </c>
    </row>
    <row r="6424" spans="7:10">
      <c r="G6424">
        <v>2</v>
      </c>
      <c r="H6424">
        <v>1</v>
      </c>
      <c r="I6424">
        <v>5</v>
      </c>
      <c r="J6424">
        <v>1</v>
      </c>
    </row>
    <row r="6425" spans="7:10">
      <c r="G6425">
        <v>2</v>
      </c>
      <c r="H6425">
        <v>1</v>
      </c>
      <c r="I6425">
        <v>5</v>
      </c>
      <c r="J6425">
        <v>2</v>
      </c>
    </row>
    <row r="6426" spans="7:10">
      <c r="G6426">
        <v>2</v>
      </c>
      <c r="H6426">
        <v>2</v>
      </c>
      <c r="I6426">
        <v>1</v>
      </c>
      <c r="J6426">
        <v>1</v>
      </c>
    </row>
    <row r="6427" spans="7:10">
      <c r="G6427">
        <v>2</v>
      </c>
      <c r="H6427">
        <v>2</v>
      </c>
      <c r="I6427">
        <v>1</v>
      </c>
      <c r="J6427">
        <v>2</v>
      </c>
    </row>
    <row r="6428" spans="7:10">
      <c r="G6428">
        <v>2</v>
      </c>
      <c r="H6428">
        <v>2</v>
      </c>
      <c r="I6428">
        <v>2</v>
      </c>
      <c r="J6428">
        <v>1</v>
      </c>
    </row>
    <row r="6429" spans="7:10">
      <c r="G6429">
        <v>2</v>
      </c>
      <c r="H6429">
        <v>2</v>
      </c>
      <c r="I6429">
        <v>2</v>
      </c>
      <c r="J6429">
        <v>2</v>
      </c>
    </row>
    <row r="6430" spans="7:10">
      <c r="G6430">
        <v>2</v>
      </c>
      <c r="H6430">
        <v>2</v>
      </c>
      <c r="I6430">
        <v>3</v>
      </c>
      <c r="J6430">
        <v>1</v>
      </c>
    </row>
    <row r="6431" spans="7:10">
      <c r="G6431">
        <v>2</v>
      </c>
      <c r="H6431">
        <v>2</v>
      </c>
      <c r="I6431">
        <v>3</v>
      </c>
      <c r="J6431">
        <v>2</v>
      </c>
    </row>
    <row r="6432" spans="7:10">
      <c r="G6432">
        <v>2</v>
      </c>
      <c r="H6432">
        <v>2</v>
      </c>
      <c r="I6432">
        <v>4</v>
      </c>
      <c r="J6432">
        <v>1</v>
      </c>
    </row>
    <row r="6433" spans="7:10">
      <c r="G6433">
        <v>2</v>
      </c>
      <c r="H6433">
        <v>2</v>
      </c>
      <c r="I6433">
        <v>4</v>
      </c>
      <c r="J6433">
        <v>2</v>
      </c>
    </row>
    <row r="6434" spans="7:10">
      <c r="G6434">
        <v>2</v>
      </c>
      <c r="H6434">
        <v>2</v>
      </c>
      <c r="I6434">
        <v>5</v>
      </c>
      <c r="J6434">
        <v>1</v>
      </c>
    </row>
    <row r="6435" spans="7:10">
      <c r="G6435">
        <v>2</v>
      </c>
      <c r="H6435">
        <v>2</v>
      </c>
      <c r="I6435">
        <v>5</v>
      </c>
      <c r="J6435">
        <v>2</v>
      </c>
    </row>
    <row r="6436" spans="7:10">
      <c r="G6436">
        <v>2</v>
      </c>
      <c r="H6436">
        <v>3</v>
      </c>
      <c r="I6436">
        <v>1</v>
      </c>
      <c r="J6436">
        <v>1</v>
      </c>
    </row>
    <row r="6437" spans="7:10">
      <c r="G6437">
        <v>2</v>
      </c>
      <c r="H6437">
        <v>3</v>
      </c>
      <c r="I6437">
        <v>1</v>
      </c>
      <c r="J6437">
        <v>2</v>
      </c>
    </row>
    <row r="6438" spans="7:10">
      <c r="G6438">
        <v>2</v>
      </c>
      <c r="H6438">
        <v>3</v>
      </c>
      <c r="I6438">
        <v>2</v>
      </c>
      <c r="J6438">
        <v>1</v>
      </c>
    </row>
    <row r="6439" spans="7:10">
      <c r="G6439">
        <v>2</v>
      </c>
      <c r="H6439">
        <v>3</v>
      </c>
      <c r="I6439">
        <v>2</v>
      </c>
      <c r="J6439">
        <v>2</v>
      </c>
    </row>
    <row r="6440" spans="7:10">
      <c r="G6440">
        <v>2</v>
      </c>
      <c r="H6440">
        <v>3</v>
      </c>
      <c r="I6440">
        <v>3</v>
      </c>
      <c r="J6440">
        <v>1</v>
      </c>
    </row>
    <row r="6441" spans="7:10">
      <c r="G6441">
        <v>2</v>
      </c>
      <c r="H6441">
        <v>3</v>
      </c>
      <c r="I6441">
        <v>3</v>
      </c>
      <c r="J6441">
        <v>2</v>
      </c>
    </row>
    <row r="6442" spans="7:10">
      <c r="G6442">
        <v>2</v>
      </c>
      <c r="H6442">
        <v>3</v>
      </c>
      <c r="I6442">
        <v>4</v>
      </c>
      <c r="J6442">
        <v>1</v>
      </c>
    </row>
    <row r="6443" spans="7:10">
      <c r="G6443">
        <v>2</v>
      </c>
      <c r="H6443">
        <v>3</v>
      </c>
      <c r="I6443">
        <v>4</v>
      </c>
      <c r="J6443">
        <v>2</v>
      </c>
    </row>
    <row r="6444" spans="7:10">
      <c r="G6444">
        <v>2</v>
      </c>
      <c r="H6444">
        <v>3</v>
      </c>
      <c r="I6444">
        <v>5</v>
      </c>
      <c r="J6444">
        <v>1</v>
      </c>
    </row>
    <row r="6445" spans="7:10">
      <c r="G6445">
        <v>2</v>
      </c>
      <c r="H6445">
        <v>3</v>
      </c>
      <c r="I6445">
        <v>5</v>
      </c>
      <c r="J6445">
        <v>2</v>
      </c>
    </row>
    <row r="6446" spans="7:10">
      <c r="G6446">
        <v>3</v>
      </c>
      <c r="H6446">
        <v>1</v>
      </c>
      <c r="I6446">
        <v>3</v>
      </c>
      <c r="J6446">
        <v>1</v>
      </c>
    </row>
    <row r="6447" spans="7:10">
      <c r="G6447">
        <v>3</v>
      </c>
      <c r="H6447">
        <v>1</v>
      </c>
      <c r="I6447">
        <v>3</v>
      </c>
      <c r="J6447">
        <v>2</v>
      </c>
    </row>
    <row r="6448" spans="7:10">
      <c r="G6448">
        <v>3</v>
      </c>
      <c r="H6448">
        <v>1</v>
      </c>
      <c r="I6448">
        <v>4</v>
      </c>
      <c r="J6448">
        <v>1</v>
      </c>
    </row>
    <row r="6449" spans="7:10">
      <c r="G6449">
        <v>3</v>
      </c>
      <c r="H6449">
        <v>1</v>
      </c>
      <c r="I6449">
        <v>4</v>
      </c>
      <c r="J6449">
        <v>2</v>
      </c>
    </row>
    <row r="6450" spans="7:10">
      <c r="G6450">
        <v>3</v>
      </c>
      <c r="H6450">
        <v>1</v>
      </c>
      <c r="I6450">
        <v>5</v>
      </c>
      <c r="J6450">
        <v>1</v>
      </c>
    </row>
    <row r="6451" spans="7:10">
      <c r="G6451">
        <v>3</v>
      </c>
      <c r="H6451">
        <v>1</v>
      </c>
      <c r="I6451">
        <v>5</v>
      </c>
      <c r="J6451">
        <v>2</v>
      </c>
    </row>
    <row r="6452" spans="7:10">
      <c r="G6452">
        <v>3</v>
      </c>
      <c r="H6452">
        <v>2</v>
      </c>
      <c r="I6452">
        <v>1</v>
      </c>
      <c r="J6452">
        <v>1</v>
      </c>
    </row>
    <row r="6453" spans="7:10">
      <c r="G6453">
        <v>3</v>
      </c>
      <c r="H6453">
        <v>2</v>
      </c>
      <c r="I6453">
        <v>1</v>
      </c>
      <c r="J6453">
        <v>2</v>
      </c>
    </row>
    <row r="6454" spans="7:10">
      <c r="G6454">
        <v>3</v>
      </c>
      <c r="H6454">
        <v>2</v>
      </c>
      <c r="I6454">
        <v>2</v>
      </c>
      <c r="J6454">
        <v>1</v>
      </c>
    </row>
    <row r="6455" spans="7:10">
      <c r="G6455">
        <v>3</v>
      </c>
      <c r="H6455">
        <v>2</v>
      </c>
      <c r="I6455">
        <v>2</v>
      </c>
      <c r="J6455">
        <v>2</v>
      </c>
    </row>
    <row r="6456" spans="7:10">
      <c r="G6456">
        <v>3</v>
      </c>
      <c r="H6456">
        <v>2</v>
      </c>
      <c r="I6456">
        <v>3</v>
      </c>
      <c r="J6456">
        <v>1</v>
      </c>
    </row>
    <row r="6457" spans="7:10">
      <c r="G6457">
        <v>3</v>
      </c>
      <c r="H6457">
        <v>2</v>
      </c>
      <c r="I6457">
        <v>3</v>
      </c>
      <c r="J6457">
        <v>2</v>
      </c>
    </row>
    <row r="6458" spans="7:10">
      <c r="G6458">
        <v>3</v>
      </c>
      <c r="H6458">
        <v>2</v>
      </c>
      <c r="I6458">
        <v>4</v>
      </c>
      <c r="J6458">
        <v>1</v>
      </c>
    </row>
    <row r="6459" spans="7:10">
      <c r="G6459">
        <v>3</v>
      </c>
      <c r="H6459">
        <v>2</v>
      </c>
      <c r="I6459">
        <v>4</v>
      </c>
      <c r="J6459">
        <v>2</v>
      </c>
    </row>
    <row r="6460" spans="7:10">
      <c r="G6460">
        <v>3</v>
      </c>
      <c r="H6460">
        <v>2</v>
      </c>
      <c r="I6460">
        <v>5</v>
      </c>
      <c r="J6460">
        <v>1</v>
      </c>
    </row>
    <row r="6461" spans="7:10">
      <c r="G6461">
        <v>3</v>
      </c>
      <c r="H6461">
        <v>2</v>
      </c>
      <c r="I6461">
        <v>5</v>
      </c>
      <c r="J6461">
        <v>2</v>
      </c>
    </row>
    <row r="6462" spans="7:10">
      <c r="G6462">
        <v>3</v>
      </c>
      <c r="H6462">
        <v>3</v>
      </c>
      <c r="I6462">
        <v>1</v>
      </c>
      <c r="J6462">
        <v>1</v>
      </c>
    </row>
    <row r="6463" spans="7:10">
      <c r="G6463">
        <v>3</v>
      </c>
      <c r="H6463">
        <v>3</v>
      </c>
      <c r="I6463">
        <v>1</v>
      </c>
      <c r="J6463">
        <v>2</v>
      </c>
    </row>
    <row r="6464" spans="7:10">
      <c r="G6464">
        <v>3</v>
      </c>
      <c r="H6464">
        <v>3</v>
      </c>
      <c r="I6464">
        <v>2</v>
      </c>
      <c r="J6464">
        <v>1</v>
      </c>
    </row>
    <row r="6465" spans="7:10">
      <c r="G6465">
        <v>3</v>
      </c>
      <c r="H6465">
        <v>3</v>
      </c>
      <c r="I6465">
        <v>2</v>
      </c>
      <c r="J6465">
        <v>2</v>
      </c>
    </row>
    <row r="6466" spans="7:10">
      <c r="G6466">
        <v>3</v>
      </c>
      <c r="H6466">
        <v>3</v>
      </c>
      <c r="I6466">
        <v>3</v>
      </c>
      <c r="J6466">
        <v>1</v>
      </c>
    </row>
    <row r="6467" spans="7:10">
      <c r="G6467">
        <v>3</v>
      </c>
      <c r="H6467">
        <v>3</v>
      </c>
      <c r="I6467">
        <v>3</v>
      </c>
      <c r="J6467">
        <v>2</v>
      </c>
    </row>
    <row r="6468" spans="7:10">
      <c r="G6468">
        <v>3</v>
      </c>
      <c r="H6468">
        <v>3</v>
      </c>
      <c r="I6468">
        <v>4</v>
      </c>
      <c r="J6468">
        <v>1</v>
      </c>
    </row>
    <row r="6469" spans="7:10">
      <c r="G6469">
        <v>3</v>
      </c>
      <c r="H6469">
        <v>3</v>
      </c>
      <c r="I6469">
        <v>4</v>
      </c>
      <c r="J6469">
        <v>2</v>
      </c>
    </row>
    <row r="6470" spans="7:10">
      <c r="G6470">
        <v>3</v>
      </c>
      <c r="H6470">
        <v>3</v>
      </c>
      <c r="I6470">
        <v>5</v>
      </c>
      <c r="J6470">
        <v>1</v>
      </c>
    </row>
    <row r="6471" spans="7:10">
      <c r="G6471">
        <v>3</v>
      </c>
      <c r="H6471">
        <v>3</v>
      </c>
      <c r="I6471">
        <v>5</v>
      </c>
      <c r="J6471">
        <v>2</v>
      </c>
    </row>
    <row r="6472" spans="7:10">
      <c r="G6472">
        <v>4</v>
      </c>
      <c r="H6472">
        <v>1</v>
      </c>
      <c r="I6472">
        <v>3</v>
      </c>
      <c r="J6472">
        <v>1</v>
      </c>
    </row>
    <row r="6473" spans="7:10">
      <c r="G6473">
        <v>4</v>
      </c>
      <c r="H6473">
        <v>1</v>
      </c>
      <c r="I6473">
        <v>3</v>
      </c>
      <c r="J6473">
        <v>2</v>
      </c>
    </row>
    <row r="6474" spans="7:10">
      <c r="G6474">
        <v>4</v>
      </c>
      <c r="H6474">
        <v>1</v>
      </c>
      <c r="I6474">
        <v>4</v>
      </c>
      <c r="J6474">
        <v>1</v>
      </c>
    </row>
    <row r="6475" spans="7:10">
      <c r="G6475">
        <v>4</v>
      </c>
      <c r="H6475">
        <v>1</v>
      </c>
      <c r="I6475">
        <v>4</v>
      </c>
      <c r="J6475">
        <v>2</v>
      </c>
    </row>
    <row r="6476" spans="7:10">
      <c r="G6476">
        <v>4</v>
      </c>
      <c r="H6476">
        <v>1</v>
      </c>
      <c r="I6476">
        <v>5</v>
      </c>
      <c r="J6476">
        <v>1</v>
      </c>
    </row>
    <row r="6477" spans="7:10">
      <c r="G6477">
        <v>4</v>
      </c>
      <c r="H6477">
        <v>1</v>
      </c>
      <c r="I6477">
        <v>5</v>
      </c>
      <c r="J6477">
        <v>2</v>
      </c>
    </row>
    <row r="6478" spans="7:10">
      <c r="G6478">
        <v>4</v>
      </c>
      <c r="H6478">
        <v>2</v>
      </c>
      <c r="I6478">
        <v>1</v>
      </c>
      <c r="J6478">
        <v>1</v>
      </c>
    </row>
    <row r="6479" spans="7:10">
      <c r="G6479">
        <v>4</v>
      </c>
      <c r="H6479">
        <v>2</v>
      </c>
      <c r="I6479">
        <v>1</v>
      </c>
      <c r="J6479">
        <v>2</v>
      </c>
    </row>
    <row r="6480" spans="7:10">
      <c r="G6480">
        <v>4</v>
      </c>
      <c r="H6480">
        <v>2</v>
      </c>
      <c r="I6480">
        <v>2</v>
      </c>
      <c r="J6480">
        <v>1</v>
      </c>
    </row>
    <row r="6481" spans="7:10">
      <c r="G6481">
        <v>4</v>
      </c>
      <c r="H6481">
        <v>2</v>
      </c>
      <c r="I6481">
        <v>2</v>
      </c>
      <c r="J6481">
        <v>2</v>
      </c>
    </row>
    <row r="6482" spans="7:10">
      <c r="G6482">
        <v>4</v>
      </c>
      <c r="H6482">
        <v>2</v>
      </c>
      <c r="I6482">
        <v>3</v>
      </c>
      <c r="J6482">
        <v>1</v>
      </c>
    </row>
    <row r="6483" spans="7:10">
      <c r="G6483">
        <v>4</v>
      </c>
      <c r="H6483">
        <v>2</v>
      </c>
      <c r="I6483">
        <v>3</v>
      </c>
      <c r="J6483">
        <v>2</v>
      </c>
    </row>
    <row r="6484" spans="7:10">
      <c r="G6484">
        <v>4</v>
      </c>
      <c r="H6484">
        <v>2</v>
      </c>
      <c r="I6484">
        <v>4</v>
      </c>
      <c r="J6484">
        <v>1</v>
      </c>
    </row>
    <row r="6485" spans="7:10">
      <c r="G6485">
        <v>4</v>
      </c>
      <c r="H6485">
        <v>2</v>
      </c>
      <c r="I6485">
        <v>4</v>
      </c>
      <c r="J6485">
        <v>2</v>
      </c>
    </row>
    <row r="6486" spans="7:10">
      <c r="G6486">
        <v>4</v>
      </c>
      <c r="H6486">
        <v>2</v>
      </c>
      <c r="I6486">
        <v>5</v>
      </c>
      <c r="J6486">
        <v>1</v>
      </c>
    </row>
    <row r="6487" spans="7:10">
      <c r="G6487">
        <v>4</v>
      </c>
      <c r="H6487">
        <v>2</v>
      </c>
      <c r="I6487">
        <v>5</v>
      </c>
      <c r="J6487">
        <v>2</v>
      </c>
    </row>
    <row r="6488" spans="7:10">
      <c r="G6488">
        <v>4</v>
      </c>
      <c r="H6488">
        <v>3</v>
      </c>
      <c r="I6488">
        <v>1</v>
      </c>
      <c r="J6488">
        <v>1</v>
      </c>
    </row>
    <row r="6489" spans="7:10">
      <c r="G6489">
        <v>4</v>
      </c>
      <c r="H6489">
        <v>3</v>
      </c>
      <c r="I6489">
        <v>1</v>
      </c>
      <c r="J6489">
        <v>2</v>
      </c>
    </row>
    <row r="6490" spans="7:10">
      <c r="G6490">
        <v>4</v>
      </c>
      <c r="H6490">
        <v>3</v>
      </c>
      <c r="I6490">
        <v>2</v>
      </c>
      <c r="J6490">
        <v>1</v>
      </c>
    </row>
    <row r="6491" spans="7:10">
      <c r="G6491">
        <v>4</v>
      </c>
      <c r="H6491">
        <v>3</v>
      </c>
      <c r="I6491">
        <v>2</v>
      </c>
      <c r="J6491">
        <v>2</v>
      </c>
    </row>
    <row r="6492" spans="7:10">
      <c r="G6492">
        <v>4</v>
      </c>
      <c r="H6492">
        <v>3</v>
      </c>
      <c r="I6492">
        <v>3</v>
      </c>
      <c r="J6492">
        <v>1</v>
      </c>
    </row>
    <row r="6493" spans="7:10">
      <c r="G6493">
        <v>4</v>
      </c>
      <c r="H6493">
        <v>3</v>
      </c>
      <c r="I6493">
        <v>3</v>
      </c>
      <c r="J6493">
        <v>2</v>
      </c>
    </row>
    <row r="6494" spans="7:10">
      <c r="G6494">
        <v>4</v>
      </c>
      <c r="H6494">
        <v>3</v>
      </c>
      <c r="I6494">
        <v>4</v>
      </c>
      <c r="J6494">
        <v>1</v>
      </c>
    </row>
    <row r="6495" spans="7:10">
      <c r="G6495">
        <v>4</v>
      </c>
      <c r="H6495">
        <v>3</v>
      </c>
      <c r="I6495">
        <v>4</v>
      </c>
      <c r="J6495">
        <v>2</v>
      </c>
    </row>
    <row r="6496" spans="7:10">
      <c r="G6496">
        <v>4</v>
      </c>
      <c r="H6496">
        <v>3</v>
      </c>
      <c r="I6496">
        <v>5</v>
      </c>
      <c r="J6496">
        <v>1</v>
      </c>
    </row>
    <row r="6497" spans="7:10">
      <c r="G6497">
        <v>4</v>
      </c>
      <c r="H6497">
        <v>3</v>
      </c>
      <c r="I6497">
        <v>5</v>
      </c>
      <c r="J6497">
        <v>2</v>
      </c>
    </row>
    <row r="6498" spans="7:10">
      <c r="G6498">
        <v>2</v>
      </c>
      <c r="H6498">
        <v>1</v>
      </c>
      <c r="I6498">
        <v>3</v>
      </c>
      <c r="J6498">
        <v>1</v>
      </c>
    </row>
    <row r="6499" spans="7:10">
      <c r="G6499">
        <v>2</v>
      </c>
      <c r="H6499">
        <v>1</v>
      </c>
      <c r="I6499">
        <v>3</v>
      </c>
      <c r="J6499">
        <v>2</v>
      </c>
    </row>
    <row r="6500" spans="7:10">
      <c r="G6500">
        <v>2</v>
      </c>
      <c r="H6500">
        <v>1</v>
      </c>
      <c r="I6500">
        <v>4</v>
      </c>
      <c r="J6500">
        <v>1</v>
      </c>
    </row>
    <row r="6501" spans="7:10">
      <c r="G6501">
        <v>2</v>
      </c>
      <c r="H6501">
        <v>1</v>
      </c>
      <c r="I6501">
        <v>4</v>
      </c>
      <c r="J6501">
        <v>2</v>
      </c>
    </row>
    <row r="6502" spans="7:10">
      <c r="G6502">
        <v>2</v>
      </c>
      <c r="H6502">
        <v>1</v>
      </c>
      <c r="I6502">
        <v>5</v>
      </c>
      <c r="J6502">
        <v>1</v>
      </c>
    </row>
    <row r="6503" spans="7:10">
      <c r="G6503">
        <v>2</v>
      </c>
      <c r="H6503">
        <v>1</v>
      </c>
      <c r="I6503">
        <v>5</v>
      </c>
      <c r="J6503">
        <v>2</v>
      </c>
    </row>
    <row r="6504" spans="7:10">
      <c r="G6504">
        <v>2</v>
      </c>
      <c r="H6504">
        <v>2</v>
      </c>
      <c r="I6504">
        <v>1</v>
      </c>
      <c r="J6504">
        <v>1</v>
      </c>
    </row>
    <row r="6505" spans="7:10">
      <c r="G6505">
        <v>2</v>
      </c>
      <c r="H6505">
        <v>2</v>
      </c>
      <c r="I6505">
        <v>1</v>
      </c>
      <c r="J6505">
        <v>2</v>
      </c>
    </row>
    <row r="6506" spans="7:10">
      <c r="G6506">
        <v>2</v>
      </c>
      <c r="H6506">
        <v>2</v>
      </c>
      <c r="I6506">
        <v>2</v>
      </c>
      <c r="J6506">
        <v>1</v>
      </c>
    </row>
    <row r="6507" spans="7:10">
      <c r="G6507">
        <v>2</v>
      </c>
      <c r="H6507">
        <v>2</v>
      </c>
      <c r="I6507">
        <v>2</v>
      </c>
      <c r="J6507">
        <v>2</v>
      </c>
    </row>
    <row r="6508" spans="7:10">
      <c r="G6508">
        <v>2</v>
      </c>
      <c r="H6508">
        <v>2</v>
      </c>
      <c r="I6508">
        <v>3</v>
      </c>
      <c r="J6508">
        <v>1</v>
      </c>
    </row>
    <row r="6509" spans="7:10">
      <c r="G6509">
        <v>2</v>
      </c>
      <c r="H6509">
        <v>2</v>
      </c>
      <c r="I6509">
        <v>3</v>
      </c>
      <c r="J6509">
        <v>2</v>
      </c>
    </row>
    <row r="6510" spans="7:10">
      <c r="G6510">
        <v>2</v>
      </c>
      <c r="H6510">
        <v>2</v>
      </c>
      <c r="I6510">
        <v>4</v>
      </c>
      <c r="J6510">
        <v>1</v>
      </c>
    </row>
    <row r="6511" spans="7:10">
      <c r="G6511">
        <v>2</v>
      </c>
      <c r="H6511">
        <v>2</v>
      </c>
      <c r="I6511">
        <v>4</v>
      </c>
      <c r="J6511">
        <v>2</v>
      </c>
    </row>
    <row r="6512" spans="7:10">
      <c r="G6512">
        <v>2</v>
      </c>
      <c r="H6512">
        <v>2</v>
      </c>
      <c r="I6512">
        <v>5</v>
      </c>
      <c r="J6512">
        <v>1</v>
      </c>
    </row>
    <row r="6513" spans="7:10">
      <c r="G6513">
        <v>2</v>
      </c>
      <c r="H6513">
        <v>2</v>
      </c>
      <c r="I6513">
        <v>5</v>
      </c>
      <c r="J6513">
        <v>2</v>
      </c>
    </row>
    <row r="6514" spans="7:10">
      <c r="G6514">
        <v>2</v>
      </c>
      <c r="H6514">
        <v>3</v>
      </c>
      <c r="I6514">
        <v>1</v>
      </c>
      <c r="J6514">
        <v>1</v>
      </c>
    </row>
    <row r="6515" spans="7:10">
      <c r="G6515">
        <v>2</v>
      </c>
      <c r="H6515">
        <v>3</v>
      </c>
      <c r="I6515">
        <v>1</v>
      </c>
      <c r="J6515">
        <v>2</v>
      </c>
    </row>
    <row r="6516" spans="7:10">
      <c r="G6516">
        <v>2</v>
      </c>
      <c r="H6516">
        <v>3</v>
      </c>
      <c r="I6516">
        <v>2</v>
      </c>
      <c r="J6516">
        <v>1</v>
      </c>
    </row>
    <row r="6517" spans="7:10">
      <c r="G6517">
        <v>2</v>
      </c>
      <c r="H6517">
        <v>3</v>
      </c>
      <c r="I6517">
        <v>2</v>
      </c>
      <c r="J6517">
        <v>2</v>
      </c>
    </row>
    <row r="6518" spans="7:10">
      <c r="G6518">
        <v>2</v>
      </c>
      <c r="H6518">
        <v>3</v>
      </c>
      <c r="I6518">
        <v>3</v>
      </c>
      <c r="J6518">
        <v>1</v>
      </c>
    </row>
    <row r="6519" spans="7:10">
      <c r="G6519">
        <v>2</v>
      </c>
      <c r="H6519">
        <v>3</v>
      </c>
      <c r="I6519">
        <v>3</v>
      </c>
      <c r="J6519">
        <v>2</v>
      </c>
    </row>
    <row r="6520" spans="7:10">
      <c r="G6520">
        <v>2</v>
      </c>
      <c r="H6520">
        <v>3</v>
      </c>
      <c r="I6520">
        <v>4</v>
      </c>
      <c r="J6520">
        <v>1</v>
      </c>
    </row>
    <row r="6521" spans="7:10">
      <c r="G6521">
        <v>2</v>
      </c>
      <c r="H6521">
        <v>3</v>
      </c>
      <c r="I6521">
        <v>4</v>
      </c>
      <c r="J6521">
        <v>2</v>
      </c>
    </row>
    <row r="6522" spans="7:10">
      <c r="G6522">
        <v>2</v>
      </c>
      <c r="H6522">
        <v>3</v>
      </c>
      <c r="I6522">
        <v>5</v>
      </c>
      <c r="J6522">
        <v>1</v>
      </c>
    </row>
    <row r="6523" spans="7:10">
      <c r="G6523">
        <v>2</v>
      </c>
      <c r="H6523">
        <v>3</v>
      </c>
      <c r="I6523">
        <v>5</v>
      </c>
      <c r="J6523">
        <v>2</v>
      </c>
    </row>
    <row r="6524" spans="7:10">
      <c r="G6524">
        <v>3</v>
      </c>
      <c r="H6524">
        <v>1</v>
      </c>
      <c r="I6524">
        <v>3</v>
      </c>
      <c r="J6524">
        <v>1</v>
      </c>
    </row>
    <row r="6525" spans="7:10">
      <c r="G6525">
        <v>3</v>
      </c>
      <c r="H6525">
        <v>1</v>
      </c>
      <c r="I6525">
        <v>3</v>
      </c>
      <c r="J6525">
        <v>2</v>
      </c>
    </row>
    <row r="6526" spans="7:10">
      <c r="G6526">
        <v>3</v>
      </c>
      <c r="H6526">
        <v>1</v>
      </c>
      <c r="I6526">
        <v>4</v>
      </c>
      <c r="J6526">
        <v>1</v>
      </c>
    </row>
    <row r="6527" spans="7:10">
      <c r="G6527">
        <v>3</v>
      </c>
      <c r="H6527">
        <v>1</v>
      </c>
      <c r="I6527">
        <v>4</v>
      </c>
      <c r="J6527">
        <v>2</v>
      </c>
    </row>
    <row r="6528" spans="7:10">
      <c r="G6528">
        <v>3</v>
      </c>
      <c r="H6528">
        <v>1</v>
      </c>
      <c r="I6528">
        <v>5</v>
      </c>
      <c r="J6528">
        <v>1</v>
      </c>
    </row>
    <row r="6529" spans="7:10">
      <c r="G6529">
        <v>3</v>
      </c>
      <c r="H6529">
        <v>1</v>
      </c>
      <c r="I6529">
        <v>5</v>
      </c>
      <c r="J6529">
        <v>2</v>
      </c>
    </row>
    <row r="6530" spans="7:10">
      <c r="G6530">
        <v>3</v>
      </c>
      <c r="H6530">
        <v>2</v>
      </c>
      <c r="I6530">
        <v>1</v>
      </c>
      <c r="J6530">
        <v>1</v>
      </c>
    </row>
    <row r="6531" spans="7:10">
      <c r="G6531">
        <v>3</v>
      </c>
      <c r="H6531">
        <v>2</v>
      </c>
      <c r="I6531">
        <v>1</v>
      </c>
      <c r="J6531">
        <v>2</v>
      </c>
    </row>
    <row r="6532" spans="7:10">
      <c r="G6532">
        <v>3</v>
      </c>
      <c r="H6532">
        <v>2</v>
      </c>
      <c r="I6532">
        <v>2</v>
      </c>
      <c r="J6532">
        <v>1</v>
      </c>
    </row>
    <row r="6533" spans="7:10">
      <c r="G6533">
        <v>3</v>
      </c>
      <c r="H6533">
        <v>2</v>
      </c>
      <c r="I6533">
        <v>2</v>
      </c>
      <c r="J6533">
        <v>2</v>
      </c>
    </row>
    <row r="6534" spans="7:10">
      <c r="G6534">
        <v>3</v>
      </c>
      <c r="H6534">
        <v>2</v>
      </c>
      <c r="I6534">
        <v>3</v>
      </c>
      <c r="J6534">
        <v>1</v>
      </c>
    </row>
    <row r="6535" spans="7:10">
      <c r="G6535">
        <v>3</v>
      </c>
      <c r="H6535">
        <v>2</v>
      </c>
      <c r="I6535">
        <v>3</v>
      </c>
      <c r="J6535">
        <v>2</v>
      </c>
    </row>
    <row r="6536" spans="7:10">
      <c r="G6536">
        <v>3</v>
      </c>
      <c r="H6536">
        <v>2</v>
      </c>
      <c r="I6536">
        <v>4</v>
      </c>
      <c r="J6536">
        <v>1</v>
      </c>
    </row>
    <row r="6537" spans="7:10">
      <c r="G6537">
        <v>3</v>
      </c>
      <c r="H6537">
        <v>2</v>
      </c>
      <c r="I6537">
        <v>4</v>
      </c>
      <c r="J6537">
        <v>2</v>
      </c>
    </row>
    <row r="6538" spans="7:10">
      <c r="G6538">
        <v>3</v>
      </c>
      <c r="H6538">
        <v>2</v>
      </c>
      <c r="I6538">
        <v>5</v>
      </c>
      <c r="J6538">
        <v>1</v>
      </c>
    </row>
    <row r="6539" spans="7:10">
      <c r="G6539">
        <v>3</v>
      </c>
      <c r="H6539">
        <v>2</v>
      </c>
      <c r="I6539">
        <v>5</v>
      </c>
      <c r="J6539">
        <v>2</v>
      </c>
    </row>
    <row r="6540" spans="7:10">
      <c r="G6540">
        <v>3</v>
      </c>
      <c r="H6540">
        <v>3</v>
      </c>
      <c r="I6540">
        <v>1</v>
      </c>
      <c r="J6540">
        <v>1</v>
      </c>
    </row>
    <row r="6541" spans="7:10">
      <c r="G6541">
        <v>3</v>
      </c>
      <c r="H6541">
        <v>3</v>
      </c>
      <c r="I6541">
        <v>1</v>
      </c>
      <c r="J6541">
        <v>2</v>
      </c>
    </row>
    <row r="6542" spans="7:10">
      <c r="G6542">
        <v>3</v>
      </c>
      <c r="H6542">
        <v>3</v>
      </c>
      <c r="I6542">
        <v>2</v>
      </c>
      <c r="J6542">
        <v>1</v>
      </c>
    </row>
    <row r="6543" spans="7:10">
      <c r="G6543">
        <v>3</v>
      </c>
      <c r="H6543">
        <v>3</v>
      </c>
      <c r="I6543">
        <v>2</v>
      </c>
      <c r="J6543">
        <v>2</v>
      </c>
    </row>
    <row r="6544" spans="7:10">
      <c r="G6544">
        <v>3</v>
      </c>
      <c r="H6544">
        <v>3</v>
      </c>
      <c r="I6544">
        <v>3</v>
      </c>
      <c r="J6544">
        <v>1</v>
      </c>
    </row>
    <row r="6545" spans="7:10">
      <c r="G6545">
        <v>3</v>
      </c>
      <c r="H6545">
        <v>3</v>
      </c>
      <c r="I6545">
        <v>3</v>
      </c>
      <c r="J6545">
        <v>2</v>
      </c>
    </row>
    <row r="6546" spans="7:10">
      <c r="G6546">
        <v>3</v>
      </c>
      <c r="H6546">
        <v>3</v>
      </c>
      <c r="I6546">
        <v>4</v>
      </c>
      <c r="J6546">
        <v>1</v>
      </c>
    </row>
    <row r="6547" spans="7:10">
      <c r="G6547">
        <v>3</v>
      </c>
      <c r="H6547">
        <v>3</v>
      </c>
      <c r="I6547">
        <v>4</v>
      </c>
      <c r="J6547">
        <v>2</v>
      </c>
    </row>
    <row r="6548" spans="7:10">
      <c r="G6548">
        <v>3</v>
      </c>
      <c r="H6548">
        <v>3</v>
      </c>
      <c r="I6548">
        <v>5</v>
      </c>
      <c r="J6548">
        <v>1</v>
      </c>
    </row>
    <row r="6549" spans="7:10">
      <c r="G6549">
        <v>3</v>
      </c>
      <c r="H6549">
        <v>3</v>
      </c>
      <c r="I6549">
        <v>5</v>
      </c>
      <c r="J6549">
        <v>2</v>
      </c>
    </row>
    <row r="6550" spans="7:10">
      <c r="G6550">
        <v>4</v>
      </c>
      <c r="H6550">
        <v>1</v>
      </c>
      <c r="I6550">
        <v>3</v>
      </c>
      <c r="J6550">
        <v>1</v>
      </c>
    </row>
    <row r="6551" spans="7:10">
      <c r="G6551">
        <v>4</v>
      </c>
      <c r="H6551">
        <v>1</v>
      </c>
      <c r="I6551">
        <v>3</v>
      </c>
      <c r="J6551">
        <v>2</v>
      </c>
    </row>
    <row r="6552" spans="7:10">
      <c r="G6552">
        <v>4</v>
      </c>
      <c r="H6552">
        <v>1</v>
      </c>
      <c r="I6552">
        <v>4</v>
      </c>
      <c r="J6552">
        <v>1</v>
      </c>
    </row>
    <row r="6553" spans="7:10">
      <c r="G6553">
        <v>4</v>
      </c>
      <c r="H6553">
        <v>1</v>
      </c>
      <c r="I6553">
        <v>4</v>
      </c>
      <c r="J6553">
        <v>2</v>
      </c>
    </row>
    <row r="6554" spans="7:10">
      <c r="G6554">
        <v>4</v>
      </c>
      <c r="H6554">
        <v>1</v>
      </c>
      <c r="I6554">
        <v>5</v>
      </c>
      <c r="J6554">
        <v>1</v>
      </c>
    </row>
    <row r="6555" spans="7:10">
      <c r="G6555">
        <v>4</v>
      </c>
      <c r="H6555">
        <v>1</v>
      </c>
      <c r="I6555">
        <v>5</v>
      </c>
      <c r="J6555">
        <v>2</v>
      </c>
    </row>
    <row r="6556" spans="7:10">
      <c r="G6556">
        <v>4</v>
      </c>
      <c r="H6556">
        <v>2</v>
      </c>
      <c r="I6556">
        <v>1</v>
      </c>
      <c r="J6556">
        <v>1</v>
      </c>
    </row>
    <row r="6557" spans="7:10">
      <c r="G6557">
        <v>4</v>
      </c>
      <c r="H6557">
        <v>2</v>
      </c>
      <c r="I6557">
        <v>1</v>
      </c>
      <c r="J6557">
        <v>2</v>
      </c>
    </row>
    <row r="6558" spans="7:10">
      <c r="G6558">
        <v>4</v>
      </c>
      <c r="H6558">
        <v>2</v>
      </c>
      <c r="I6558">
        <v>2</v>
      </c>
      <c r="J6558">
        <v>1</v>
      </c>
    </row>
    <row r="6559" spans="7:10">
      <c r="G6559">
        <v>4</v>
      </c>
      <c r="H6559">
        <v>2</v>
      </c>
      <c r="I6559">
        <v>2</v>
      </c>
      <c r="J6559">
        <v>2</v>
      </c>
    </row>
    <row r="6560" spans="7:10">
      <c r="G6560">
        <v>4</v>
      </c>
      <c r="H6560">
        <v>2</v>
      </c>
      <c r="I6560">
        <v>3</v>
      </c>
      <c r="J6560">
        <v>1</v>
      </c>
    </row>
    <row r="6561" spans="7:10">
      <c r="G6561">
        <v>4</v>
      </c>
      <c r="H6561">
        <v>2</v>
      </c>
      <c r="I6561">
        <v>3</v>
      </c>
      <c r="J6561">
        <v>2</v>
      </c>
    </row>
    <row r="6562" spans="7:10">
      <c r="G6562">
        <v>4</v>
      </c>
      <c r="H6562">
        <v>2</v>
      </c>
      <c r="I6562">
        <v>4</v>
      </c>
      <c r="J6562">
        <v>1</v>
      </c>
    </row>
    <row r="6563" spans="7:10">
      <c r="G6563">
        <v>4</v>
      </c>
      <c r="H6563">
        <v>2</v>
      </c>
      <c r="I6563">
        <v>4</v>
      </c>
      <c r="J6563">
        <v>2</v>
      </c>
    </row>
    <row r="6564" spans="7:10">
      <c r="G6564">
        <v>4</v>
      </c>
      <c r="H6564">
        <v>2</v>
      </c>
      <c r="I6564">
        <v>5</v>
      </c>
      <c r="J6564">
        <v>1</v>
      </c>
    </row>
    <row r="6565" spans="7:10">
      <c r="G6565">
        <v>4</v>
      </c>
      <c r="H6565">
        <v>2</v>
      </c>
      <c r="I6565">
        <v>5</v>
      </c>
      <c r="J6565">
        <v>2</v>
      </c>
    </row>
    <row r="6566" spans="7:10">
      <c r="G6566">
        <v>4</v>
      </c>
      <c r="H6566">
        <v>3</v>
      </c>
      <c r="I6566">
        <v>1</v>
      </c>
      <c r="J6566">
        <v>1</v>
      </c>
    </row>
    <row r="6567" spans="7:10">
      <c r="G6567">
        <v>4</v>
      </c>
      <c r="H6567">
        <v>3</v>
      </c>
      <c r="I6567">
        <v>1</v>
      </c>
      <c r="J6567">
        <v>2</v>
      </c>
    </row>
    <row r="6568" spans="7:10">
      <c r="G6568">
        <v>4</v>
      </c>
      <c r="H6568">
        <v>3</v>
      </c>
      <c r="I6568">
        <v>2</v>
      </c>
      <c r="J6568">
        <v>1</v>
      </c>
    </row>
    <row r="6569" spans="7:10">
      <c r="G6569">
        <v>4</v>
      </c>
      <c r="H6569">
        <v>3</v>
      </c>
      <c r="I6569">
        <v>2</v>
      </c>
      <c r="J6569">
        <v>2</v>
      </c>
    </row>
    <row r="6570" spans="7:10">
      <c r="G6570">
        <v>4</v>
      </c>
      <c r="H6570">
        <v>3</v>
      </c>
      <c r="I6570">
        <v>3</v>
      </c>
      <c r="J6570">
        <v>1</v>
      </c>
    </row>
    <row r="6571" spans="7:10">
      <c r="G6571">
        <v>4</v>
      </c>
      <c r="H6571">
        <v>3</v>
      </c>
      <c r="I6571">
        <v>3</v>
      </c>
      <c r="J6571">
        <v>2</v>
      </c>
    </row>
    <row r="6572" spans="7:10">
      <c r="G6572">
        <v>4</v>
      </c>
      <c r="H6572">
        <v>3</v>
      </c>
      <c r="I6572">
        <v>4</v>
      </c>
      <c r="J6572">
        <v>1</v>
      </c>
    </row>
    <row r="6573" spans="7:10">
      <c r="G6573">
        <v>4</v>
      </c>
      <c r="H6573">
        <v>3</v>
      </c>
      <c r="I6573">
        <v>4</v>
      </c>
      <c r="J6573">
        <v>2</v>
      </c>
    </row>
    <row r="6574" spans="7:10">
      <c r="G6574">
        <v>4</v>
      </c>
      <c r="H6574">
        <v>3</v>
      </c>
      <c r="I6574">
        <v>5</v>
      </c>
      <c r="J6574">
        <v>1</v>
      </c>
    </row>
    <row r="6575" spans="7:10">
      <c r="G6575">
        <v>4</v>
      </c>
      <c r="H6575">
        <v>3</v>
      </c>
      <c r="I6575">
        <v>5</v>
      </c>
      <c r="J6575">
        <v>2</v>
      </c>
    </row>
    <row r="6576" spans="7:10">
      <c r="G6576">
        <v>1</v>
      </c>
      <c r="H6576">
        <v>2</v>
      </c>
      <c r="I6576">
        <v>1</v>
      </c>
      <c r="J6576">
        <v>1</v>
      </c>
    </row>
    <row r="6577" spans="7:10">
      <c r="G6577">
        <v>1</v>
      </c>
      <c r="H6577">
        <v>2</v>
      </c>
      <c r="I6577">
        <v>1</v>
      </c>
      <c r="J6577">
        <v>2</v>
      </c>
    </row>
    <row r="6578" spans="7:10">
      <c r="G6578">
        <v>1</v>
      </c>
      <c r="H6578">
        <v>2</v>
      </c>
      <c r="I6578">
        <v>2</v>
      </c>
      <c r="J6578">
        <v>1</v>
      </c>
    </row>
    <row r="6579" spans="7:10">
      <c r="G6579">
        <v>1</v>
      </c>
      <c r="H6579">
        <v>2</v>
      </c>
      <c r="I6579">
        <v>2</v>
      </c>
      <c r="J6579">
        <v>2</v>
      </c>
    </row>
    <row r="6580" spans="7:10">
      <c r="G6580">
        <v>1</v>
      </c>
      <c r="H6580">
        <v>2</v>
      </c>
      <c r="I6580">
        <v>3</v>
      </c>
      <c r="J6580">
        <v>1</v>
      </c>
    </row>
    <row r="6581" spans="7:10">
      <c r="G6581">
        <v>1</v>
      </c>
      <c r="H6581">
        <v>2</v>
      </c>
      <c r="I6581">
        <v>3</v>
      </c>
      <c r="J6581">
        <v>2</v>
      </c>
    </row>
    <row r="6582" spans="7:10">
      <c r="G6582">
        <v>1</v>
      </c>
      <c r="H6582">
        <v>2</v>
      </c>
      <c r="I6582">
        <v>4</v>
      </c>
      <c r="J6582">
        <v>1</v>
      </c>
    </row>
    <row r="6583" spans="7:10">
      <c r="G6583">
        <v>1</v>
      </c>
      <c r="H6583">
        <v>2</v>
      </c>
      <c r="I6583">
        <v>4</v>
      </c>
      <c r="J6583">
        <v>2</v>
      </c>
    </row>
    <row r="6584" spans="7:10">
      <c r="G6584">
        <v>1</v>
      </c>
      <c r="H6584">
        <v>2</v>
      </c>
      <c r="I6584">
        <v>5</v>
      </c>
      <c r="J6584">
        <v>1</v>
      </c>
    </row>
    <row r="6585" spans="7:10">
      <c r="G6585">
        <v>1</v>
      </c>
      <c r="H6585">
        <v>2</v>
      </c>
      <c r="I6585">
        <v>5</v>
      </c>
      <c r="J6585">
        <v>2</v>
      </c>
    </row>
    <row r="6586" spans="7:10">
      <c r="G6586">
        <v>1</v>
      </c>
      <c r="H6586">
        <v>3</v>
      </c>
      <c r="I6586">
        <v>1</v>
      </c>
      <c r="J6586">
        <v>1</v>
      </c>
    </row>
    <row r="6587" spans="7:10">
      <c r="G6587">
        <v>1</v>
      </c>
      <c r="H6587">
        <v>3</v>
      </c>
      <c r="I6587">
        <v>1</v>
      </c>
      <c r="J6587">
        <v>2</v>
      </c>
    </row>
    <row r="6588" spans="7:10">
      <c r="G6588">
        <v>1</v>
      </c>
      <c r="H6588">
        <v>3</v>
      </c>
      <c r="I6588">
        <v>2</v>
      </c>
      <c r="J6588">
        <v>1</v>
      </c>
    </row>
    <row r="6589" spans="7:10">
      <c r="G6589">
        <v>1</v>
      </c>
      <c r="H6589">
        <v>3</v>
      </c>
      <c r="I6589">
        <v>2</v>
      </c>
      <c r="J6589">
        <v>2</v>
      </c>
    </row>
    <row r="6590" spans="7:10">
      <c r="G6590">
        <v>1</v>
      </c>
      <c r="H6590">
        <v>3</v>
      </c>
      <c r="I6590">
        <v>3</v>
      </c>
      <c r="J6590">
        <v>1</v>
      </c>
    </row>
    <row r="6591" spans="7:10">
      <c r="G6591">
        <v>1</v>
      </c>
      <c r="H6591">
        <v>3</v>
      </c>
      <c r="I6591">
        <v>3</v>
      </c>
      <c r="J6591">
        <v>2</v>
      </c>
    </row>
    <row r="6592" spans="7:10">
      <c r="G6592">
        <v>1</v>
      </c>
      <c r="H6592">
        <v>3</v>
      </c>
      <c r="I6592">
        <v>4</v>
      </c>
      <c r="J6592">
        <v>1</v>
      </c>
    </row>
    <row r="6593" spans="7:10">
      <c r="G6593">
        <v>1</v>
      </c>
      <c r="H6593">
        <v>3</v>
      </c>
      <c r="I6593">
        <v>4</v>
      </c>
      <c r="J6593">
        <v>2</v>
      </c>
    </row>
    <row r="6594" spans="7:10">
      <c r="G6594">
        <v>1</v>
      </c>
      <c r="H6594">
        <v>3</v>
      </c>
      <c r="I6594">
        <v>5</v>
      </c>
      <c r="J6594">
        <v>1</v>
      </c>
    </row>
    <row r="6595" spans="7:10">
      <c r="G6595">
        <v>1</v>
      </c>
      <c r="H6595">
        <v>3</v>
      </c>
      <c r="I6595">
        <v>5</v>
      </c>
      <c r="J6595">
        <v>2</v>
      </c>
    </row>
    <row r="6596" spans="7:10">
      <c r="G6596">
        <v>2</v>
      </c>
      <c r="H6596">
        <v>1</v>
      </c>
      <c r="I6596">
        <v>3</v>
      </c>
      <c r="J6596">
        <v>1</v>
      </c>
    </row>
    <row r="6597" spans="7:10">
      <c r="G6597">
        <v>2</v>
      </c>
      <c r="H6597">
        <v>1</v>
      </c>
      <c r="I6597">
        <v>3</v>
      </c>
      <c r="J6597">
        <v>2</v>
      </c>
    </row>
    <row r="6598" spans="7:10">
      <c r="G6598">
        <v>2</v>
      </c>
      <c r="H6598">
        <v>1</v>
      </c>
      <c r="I6598">
        <v>4</v>
      </c>
      <c r="J6598">
        <v>1</v>
      </c>
    </row>
    <row r="6599" spans="7:10">
      <c r="G6599">
        <v>2</v>
      </c>
      <c r="H6599">
        <v>1</v>
      </c>
      <c r="I6599">
        <v>4</v>
      </c>
      <c r="J6599">
        <v>2</v>
      </c>
    </row>
    <row r="6600" spans="7:10">
      <c r="G6600">
        <v>2</v>
      </c>
      <c r="H6600">
        <v>1</v>
      </c>
      <c r="I6600">
        <v>5</v>
      </c>
      <c r="J6600">
        <v>1</v>
      </c>
    </row>
    <row r="6601" spans="7:10">
      <c r="G6601">
        <v>2</v>
      </c>
      <c r="H6601">
        <v>1</v>
      </c>
      <c r="I6601">
        <v>5</v>
      </c>
      <c r="J6601">
        <v>2</v>
      </c>
    </row>
    <row r="6602" spans="7:10">
      <c r="G6602">
        <v>2</v>
      </c>
      <c r="H6602">
        <v>2</v>
      </c>
      <c r="I6602">
        <v>1</v>
      </c>
      <c r="J6602">
        <v>1</v>
      </c>
    </row>
    <row r="6603" spans="7:10">
      <c r="G6603">
        <v>2</v>
      </c>
      <c r="H6603">
        <v>2</v>
      </c>
      <c r="I6603">
        <v>1</v>
      </c>
      <c r="J6603">
        <v>2</v>
      </c>
    </row>
    <row r="6604" spans="7:10">
      <c r="G6604">
        <v>2</v>
      </c>
      <c r="H6604">
        <v>2</v>
      </c>
      <c r="I6604">
        <v>2</v>
      </c>
      <c r="J6604">
        <v>1</v>
      </c>
    </row>
    <row r="6605" spans="7:10">
      <c r="G6605">
        <v>2</v>
      </c>
      <c r="H6605">
        <v>2</v>
      </c>
      <c r="I6605">
        <v>2</v>
      </c>
      <c r="J6605">
        <v>2</v>
      </c>
    </row>
    <row r="6606" spans="7:10">
      <c r="G6606">
        <v>2</v>
      </c>
      <c r="H6606">
        <v>2</v>
      </c>
      <c r="I6606">
        <v>3</v>
      </c>
      <c r="J6606">
        <v>1</v>
      </c>
    </row>
    <row r="6607" spans="7:10">
      <c r="G6607">
        <v>2</v>
      </c>
      <c r="H6607">
        <v>2</v>
      </c>
      <c r="I6607">
        <v>3</v>
      </c>
      <c r="J6607">
        <v>2</v>
      </c>
    </row>
    <row r="6608" spans="7:10">
      <c r="G6608">
        <v>2</v>
      </c>
      <c r="H6608">
        <v>2</v>
      </c>
      <c r="I6608">
        <v>4</v>
      </c>
      <c r="J6608">
        <v>1</v>
      </c>
    </row>
    <row r="6609" spans="7:10">
      <c r="G6609">
        <v>2</v>
      </c>
      <c r="H6609">
        <v>2</v>
      </c>
      <c r="I6609">
        <v>4</v>
      </c>
      <c r="J6609">
        <v>2</v>
      </c>
    </row>
    <row r="6610" spans="7:10">
      <c r="G6610">
        <v>2</v>
      </c>
      <c r="H6610">
        <v>2</v>
      </c>
      <c r="I6610">
        <v>5</v>
      </c>
      <c r="J6610">
        <v>1</v>
      </c>
    </row>
    <row r="6611" spans="7:10">
      <c r="G6611">
        <v>2</v>
      </c>
      <c r="H6611">
        <v>2</v>
      </c>
      <c r="I6611">
        <v>5</v>
      </c>
      <c r="J6611">
        <v>2</v>
      </c>
    </row>
    <row r="6612" spans="7:10">
      <c r="G6612">
        <v>2</v>
      </c>
      <c r="H6612">
        <v>3</v>
      </c>
      <c r="I6612">
        <v>1</v>
      </c>
      <c r="J6612">
        <v>1</v>
      </c>
    </row>
    <row r="6613" spans="7:10">
      <c r="G6613">
        <v>2</v>
      </c>
      <c r="H6613">
        <v>3</v>
      </c>
      <c r="I6613">
        <v>1</v>
      </c>
      <c r="J6613">
        <v>2</v>
      </c>
    </row>
    <row r="6614" spans="7:10">
      <c r="G6614">
        <v>2</v>
      </c>
      <c r="H6614">
        <v>3</v>
      </c>
      <c r="I6614">
        <v>2</v>
      </c>
      <c r="J6614">
        <v>1</v>
      </c>
    </row>
    <row r="6615" spans="7:10">
      <c r="G6615">
        <v>2</v>
      </c>
      <c r="H6615">
        <v>3</v>
      </c>
      <c r="I6615">
        <v>2</v>
      </c>
      <c r="J6615">
        <v>2</v>
      </c>
    </row>
    <row r="6616" spans="7:10">
      <c r="G6616">
        <v>2</v>
      </c>
      <c r="H6616">
        <v>3</v>
      </c>
      <c r="I6616">
        <v>3</v>
      </c>
      <c r="J6616">
        <v>1</v>
      </c>
    </row>
    <row r="6617" spans="7:10">
      <c r="G6617">
        <v>2</v>
      </c>
      <c r="H6617">
        <v>3</v>
      </c>
      <c r="I6617">
        <v>3</v>
      </c>
      <c r="J6617">
        <v>2</v>
      </c>
    </row>
    <row r="6618" spans="7:10">
      <c r="G6618">
        <v>2</v>
      </c>
      <c r="H6618">
        <v>3</v>
      </c>
      <c r="I6618">
        <v>4</v>
      </c>
      <c r="J6618">
        <v>1</v>
      </c>
    </row>
    <row r="6619" spans="7:10">
      <c r="G6619">
        <v>2</v>
      </c>
      <c r="H6619">
        <v>3</v>
      </c>
      <c r="I6619">
        <v>4</v>
      </c>
      <c r="J6619">
        <v>2</v>
      </c>
    </row>
    <row r="6620" spans="7:10">
      <c r="G6620">
        <v>2</v>
      </c>
      <c r="H6620">
        <v>3</v>
      </c>
      <c r="I6620">
        <v>5</v>
      </c>
      <c r="J6620">
        <v>1</v>
      </c>
    </row>
    <row r="6621" spans="7:10">
      <c r="G6621">
        <v>2</v>
      </c>
      <c r="H6621">
        <v>3</v>
      </c>
      <c r="I6621">
        <v>5</v>
      </c>
      <c r="J6621">
        <v>2</v>
      </c>
    </row>
    <row r="6622" spans="7:10">
      <c r="G6622">
        <v>3</v>
      </c>
      <c r="H6622">
        <v>1</v>
      </c>
      <c r="I6622">
        <v>3</v>
      </c>
      <c r="J6622">
        <v>1</v>
      </c>
    </row>
    <row r="6623" spans="7:10">
      <c r="G6623">
        <v>3</v>
      </c>
      <c r="H6623">
        <v>1</v>
      </c>
      <c r="I6623">
        <v>3</v>
      </c>
      <c r="J6623">
        <v>2</v>
      </c>
    </row>
    <row r="6624" spans="7:10">
      <c r="G6624">
        <v>3</v>
      </c>
      <c r="H6624">
        <v>1</v>
      </c>
      <c r="I6624">
        <v>4</v>
      </c>
      <c r="J6624">
        <v>1</v>
      </c>
    </row>
    <row r="6625" spans="7:10">
      <c r="G6625">
        <v>3</v>
      </c>
      <c r="H6625">
        <v>1</v>
      </c>
      <c r="I6625">
        <v>4</v>
      </c>
      <c r="J6625">
        <v>2</v>
      </c>
    </row>
    <row r="6626" spans="7:10">
      <c r="G6626">
        <v>3</v>
      </c>
      <c r="H6626">
        <v>1</v>
      </c>
      <c r="I6626">
        <v>5</v>
      </c>
      <c r="J6626">
        <v>1</v>
      </c>
    </row>
    <row r="6627" spans="7:10">
      <c r="G6627">
        <v>3</v>
      </c>
      <c r="H6627">
        <v>1</v>
      </c>
      <c r="I6627">
        <v>5</v>
      </c>
      <c r="J6627">
        <v>2</v>
      </c>
    </row>
    <row r="6628" spans="7:10">
      <c r="G6628">
        <v>3</v>
      </c>
      <c r="H6628">
        <v>2</v>
      </c>
      <c r="I6628">
        <v>1</v>
      </c>
      <c r="J6628">
        <v>1</v>
      </c>
    </row>
    <row r="6629" spans="7:10">
      <c r="G6629">
        <v>3</v>
      </c>
      <c r="H6629">
        <v>2</v>
      </c>
      <c r="I6629">
        <v>1</v>
      </c>
      <c r="J6629">
        <v>2</v>
      </c>
    </row>
    <row r="6630" spans="7:10">
      <c r="G6630">
        <v>3</v>
      </c>
      <c r="H6630">
        <v>2</v>
      </c>
      <c r="I6630">
        <v>2</v>
      </c>
      <c r="J6630">
        <v>1</v>
      </c>
    </row>
    <row r="6631" spans="7:10">
      <c r="G6631">
        <v>3</v>
      </c>
      <c r="H6631">
        <v>2</v>
      </c>
      <c r="I6631">
        <v>2</v>
      </c>
      <c r="J6631">
        <v>2</v>
      </c>
    </row>
    <row r="6632" spans="7:10">
      <c r="G6632">
        <v>3</v>
      </c>
      <c r="H6632">
        <v>2</v>
      </c>
      <c r="I6632">
        <v>3</v>
      </c>
      <c r="J6632">
        <v>1</v>
      </c>
    </row>
    <row r="6633" spans="7:10">
      <c r="G6633">
        <v>3</v>
      </c>
      <c r="H6633">
        <v>2</v>
      </c>
      <c r="I6633">
        <v>3</v>
      </c>
      <c r="J6633">
        <v>2</v>
      </c>
    </row>
    <row r="6634" spans="7:10">
      <c r="G6634">
        <v>3</v>
      </c>
      <c r="H6634">
        <v>2</v>
      </c>
      <c r="I6634">
        <v>4</v>
      </c>
      <c r="J6634">
        <v>1</v>
      </c>
    </row>
    <row r="6635" spans="7:10">
      <c r="G6635">
        <v>3</v>
      </c>
      <c r="H6635">
        <v>2</v>
      </c>
      <c r="I6635">
        <v>4</v>
      </c>
      <c r="J6635">
        <v>2</v>
      </c>
    </row>
    <row r="6636" spans="7:10">
      <c r="G6636">
        <v>3</v>
      </c>
      <c r="H6636">
        <v>2</v>
      </c>
      <c r="I6636">
        <v>5</v>
      </c>
      <c r="J6636">
        <v>1</v>
      </c>
    </row>
    <row r="6637" spans="7:10">
      <c r="G6637">
        <v>3</v>
      </c>
      <c r="H6637">
        <v>2</v>
      </c>
      <c r="I6637">
        <v>5</v>
      </c>
      <c r="J6637">
        <v>2</v>
      </c>
    </row>
    <row r="6638" spans="7:10">
      <c r="G6638">
        <v>3</v>
      </c>
      <c r="H6638">
        <v>3</v>
      </c>
      <c r="I6638">
        <v>1</v>
      </c>
      <c r="J6638">
        <v>1</v>
      </c>
    </row>
    <row r="6639" spans="7:10">
      <c r="G6639">
        <v>3</v>
      </c>
      <c r="H6639">
        <v>3</v>
      </c>
      <c r="I6639">
        <v>1</v>
      </c>
      <c r="J6639">
        <v>2</v>
      </c>
    </row>
    <row r="6640" spans="7:10">
      <c r="G6640">
        <v>3</v>
      </c>
      <c r="H6640">
        <v>3</v>
      </c>
      <c r="I6640">
        <v>2</v>
      </c>
      <c r="J6640">
        <v>1</v>
      </c>
    </row>
    <row r="6641" spans="7:10">
      <c r="G6641">
        <v>3</v>
      </c>
      <c r="H6641">
        <v>3</v>
      </c>
      <c r="I6641">
        <v>2</v>
      </c>
      <c r="J6641">
        <v>2</v>
      </c>
    </row>
    <row r="6642" spans="7:10">
      <c r="G6642">
        <v>3</v>
      </c>
      <c r="H6642">
        <v>3</v>
      </c>
      <c r="I6642">
        <v>3</v>
      </c>
      <c r="J6642">
        <v>1</v>
      </c>
    </row>
    <row r="6643" spans="7:10">
      <c r="G6643">
        <v>3</v>
      </c>
      <c r="H6643">
        <v>3</v>
      </c>
      <c r="I6643">
        <v>3</v>
      </c>
      <c r="J6643">
        <v>2</v>
      </c>
    </row>
    <row r="6644" spans="7:10">
      <c r="G6644">
        <v>3</v>
      </c>
      <c r="H6644">
        <v>3</v>
      </c>
      <c r="I6644">
        <v>4</v>
      </c>
      <c r="J6644">
        <v>1</v>
      </c>
    </row>
    <row r="6645" spans="7:10">
      <c r="G6645">
        <v>3</v>
      </c>
      <c r="H6645">
        <v>3</v>
      </c>
      <c r="I6645">
        <v>4</v>
      </c>
      <c r="J6645">
        <v>2</v>
      </c>
    </row>
    <row r="6646" spans="7:10">
      <c r="G6646">
        <v>3</v>
      </c>
      <c r="H6646">
        <v>3</v>
      </c>
      <c r="I6646">
        <v>5</v>
      </c>
      <c r="J6646">
        <v>1</v>
      </c>
    </row>
    <row r="6647" spans="7:10">
      <c r="G6647">
        <v>3</v>
      </c>
      <c r="H6647">
        <v>3</v>
      </c>
      <c r="I6647">
        <v>5</v>
      </c>
      <c r="J6647">
        <v>2</v>
      </c>
    </row>
    <row r="6648" spans="7:10">
      <c r="G6648">
        <v>4</v>
      </c>
      <c r="H6648">
        <v>1</v>
      </c>
      <c r="I6648">
        <v>3</v>
      </c>
      <c r="J6648">
        <v>1</v>
      </c>
    </row>
    <row r="6649" spans="7:10">
      <c r="G6649">
        <v>4</v>
      </c>
      <c r="H6649">
        <v>1</v>
      </c>
      <c r="I6649">
        <v>3</v>
      </c>
      <c r="J6649">
        <v>2</v>
      </c>
    </row>
    <row r="6650" spans="7:10">
      <c r="G6650">
        <v>4</v>
      </c>
      <c r="H6650">
        <v>1</v>
      </c>
      <c r="I6650">
        <v>4</v>
      </c>
      <c r="J6650">
        <v>1</v>
      </c>
    </row>
    <row r="6651" spans="7:10">
      <c r="G6651">
        <v>4</v>
      </c>
      <c r="H6651">
        <v>1</v>
      </c>
      <c r="I6651">
        <v>4</v>
      </c>
      <c r="J6651">
        <v>2</v>
      </c>
    </row>
    <row r="6652" spans="7:10">
      <c r="G6652">
        <v>4</v>
      </c>
      <c r="H6652">
        <v>1</v>
      </c>
      <c r="I6652">
        <v>5</v>
      </c>
      <c r="J6652">
        <v>1</v>
      </c>
    </row>
    <row r="6653" spans="7:10">
      <c r="G6653">
        <v>4</v>
      </c>
      <c r="H6653">
        <v>1</v>
      </c>
      <c r="I6653">
        <v>5</v>
      </c>
      <c r="J6653">
        <v>2</v>
      </c>
    </row>
    <row r="6654" spans="7:10">
      <c r="G6654">
        <v>4</v>
      </c>
      <c r="H6654">
        <v>2</v>
      </c>
      <c r="I6654">
        <v>1</v>
      </c>
      <c r="J6654">
        <v>1</v>
      </c>
    </row>
    <row r="6655" spans="7:10">
      <c r="G6655">
        <v>4</v>
      </c>
      <c r="H6655">
        <v>2</v>
      </c>
      <c r="I6655">
        <v>1</v>
      </c>
      <c r="J6655">
        <v>2</v>
      </c>
    </row>
    <row r="6656" spans="7:10">
      <c r="G6656">
        <v>4</v>
      </c>
      <c r="H6656">
        <v>2</v>
      </c>
      <c r="I6656">
        <v>2</v>
      </c>
      <c r="J6656">
        <v>1</v>
      </c>
    </row>
    <row r="6657" spans="7:10">
      <c r="G6657">
        <v>4</v>
      </c>
      <c r="H6657">
        <v>2</v>
      </c>
      <c r="I6657">
        <v>2</v>
      </c>
      <c r="J6657">
        <v>2</v>
      </c>
    </row>
    <row r="6658" spans="7:10">
      <c r="G6658">
        <v>4</v>
      </c>
      <c r="H6658">
        <v>2</v>
      </c>
      <c r="I6658">
        <v>3</v>
      </c>
      <c r="J6658">
        <v>1</v>
      </c>
    </row>
    <row r="6659" spans="7:10">
      <c r="G6659">
        <v>4</v>
      </c>
      <c r="H6659">
        <v>2</v>
      </c>
      <c r="I6659">
        <v>3</v>
      </c>
      <c r="J6659">
        <v>2</v>
      </c>
    </row>
    <row r="6660" spans="7:10">
      <c r="G6660">
        <v>4</v>
      </c>
      <c r="H6660">
        <v>2</v>
      </c>
      <c r="I6660">
        <v>4</v>
      </c>
      <c r="J6660">
        <v>1</v>
      </c>
    </row>
    <row r="6661" spans="7:10">
      <c r="G6661">
        <v>4</v>
      </c>
      <c r="H6661">
        <v>2</v>
      </c>
      <c r="I6661">
        <v>4</v>
      </c>
      <c r="J6661">
        <v>2</v>
      </c>
    </row>
    <row r="6662" spans="7:10">
      <c r="G6662">
        <v>4</v>
      </c>
      <c r="H6662">
        <v>2</v>
      </c>
      <c r="I6662">
        <v>5</v>
      </c>
      <c r="J6662">
        <v>1</v>
      </c>
    </row>
    <row r="6663" spans="7:10">
      <c r="G6663">
        <v>4</v>
      </c>
      <c r="H6663">
        <v>2</v>
      </c>
      <c r="I6663">
        <v>5</v>
      </c>
      <c r="J6663">
        <v>2</v>
      </c>
    </row>
    <row r="6664" spans="7:10">
      <c r="G6664">
        <v>4</v>
      </c>
      <c r="H6664">
        <v>3</v>
      </c>
      <c r="I6664">
        <v>1</v>
      </c>
      <c r="J6664">
        <v>1</v>
      </c>
    </row>
    <row r="6665" spans="7:10">
      <c r="G6665">
        <v>4</v>
      </c>
      <c r="H6665">
        <v>3</v>
      </c>
      <c r="I6665">
        <v>1</v>
      </c>
      <c r="J6665">
        <v>2</v>
      </c>
    </row>
    <row r="6666" spans="7:10">
      <c r="G6666">
        <v>4</v>
      </c>
      <c r="H6666">
        <v>3</v>
      </c>
      <c r="I6666">
        <v>2</v>
      </c>
      <c r="J6666">
        <v>1</v>
      </c>
    </row>
    <row r="6667" spans="7:10">
      <c r="G6667">
        <v>4</v>
      </c>
      <c r="H6667">
        <v>3</v>
      </c>
      <c r="I6667">
        <v>2</v>
      </c>
      <c r="J6667">
        <v>2</v>
      </c>
    </row>
    <row r="6668" spans="7:10">
      <c r="G6668">
        <v>4</v>
      </c>
      <c r="H6668">
        <v>3</v>
      </c>
      <c r="I6668">
        <v>3</v>
      </c>
      <c r="J6668">
        <v>1</v>
      </c>
    </row>
    <row r="6669" spans="7:10">
      <c r="G6669">
        <v>4</v>
      </c>
      <c r="H6669">
        <v>3</v>
      </c>
      <c r="I6669">
        <v>3</v>
      </c>
      <c r="J6669">
        <v>2</v>
      </c>
    </row>
    <row r="6670" spans="7:10">
      <c r="G6670">
        <v>4</v>
      </c>
      <c r="H6670">
        <v>3</v>
      </c>
      <c r="I6670">
        <v>4</v>
      </c>
      <c r="J6670">
        <v>1</v>
      </c>
    </row>
    <row r="6671" spans="7:10">
      <c r="G6671">
        <v>4</v>
      </c>
      <c r="H6671">
        <v>3</v>
      </c>
      <c r="I6671">
        <v>4</v>
      </c>
      <c r="J6671">
        <v>2</v>
      </c>
    </row>
    <row r="6672" spans="7:10">
      <c r="G6672">
        <v>4</v>
      </c>
      <c r="H6672">
        <v>3</v>
      </c>
      <c r="I6672">
        <v>5</v>
      </c>
      <c r="J6672">
        <v>1</v>
      </c>
    </row>
    <row r="6673" spans="7:10">
      <c r="G6673">
        <v>4</v>
      </c>
      <c r="H6673">
        <v>3</v>
      </c>
      <c r="I6673">
        <v>5</v>
      </c>
      <c r="J6673">
        <v>2</v>
      </c>
    </row>
    <row r="6674" spans="7:10">
      <c r="G6674">
        <v>1</v>
      </c>
      <c r="H6674">
        <v>2</v>
      </c>
      <c r="I6674">
        <v>1</v>
      </c>
      <c r="J6674">
        <v>1</v>
      </c>
    </row>
    <row r="6675" spans="7:10">
      <c r="G6675">
        <v>1</v>
      </c>
      <c r="H6675">
        <v>2</v>
      </c>
      <c r="I6675">
        <v>1</v>
      </c>
      <c r="J6675">
        <v>2</v>
      </c>
    </row>
    <row r="6676" spans="7:10">
      <c r="G6676">
        <v>1</v>
      </c>
      <c r="H6676">
        <v>2</v>
      </c>
      <c r="I6676">
        <v>2</v>
      </c>
      <c r="J6676">
        <v>1</v>
      </c>
    </row>
    <row r="6677" spans="7:10">
      <c r="G6677">
        <v>1</v>
      </c>
      <c r="H6677">
        <v>2</v>
      </c>
      <c r="I6677">
        <v>2</v>
      </c>
      <c r="J6677">
        <v>2</v>
      </c>
    </row>
    <row r="6678" spans="7:10">
      <c r="G6678">
        <v>1</v>
      </c>
      <c r="H6678">
        <v>2</v>
      </c>
      <c r="I6678">
        <v>3</v>
      </c>
      <c r="J6678">
        <v>1</v>
      </c>
    </row>
    <row r="6679" spans="7:10">
      <c r="G6679">
        <v>1</v>
      </c>
      <c r="H6679">
        <v>2</v>
      </c>
      <c r="I6679">
        <v>3</v>
      </c>
      <c r="J6679">
        <v>2</v>
      </c>
    </row>
    <row r="6680" spans="7:10">
      <c r="G6680">
        <v>1</v>
      </c>
      <c r="H6680">
        <v>2</v>
      </c>
      <c r="I6680">
        <v>4</v>
      </c>
      <c r="J6680">
        <v>1</v>
      </c>
    </row>
    <row r="6681" spans="7:10">
      <c r="G6681">
        <v>1</v>
      </c>
      <c r="H6681">
        <v>2</v>
      </c>
      <c r="I6681">
        <v>4</v>
      </c>
      <c r="J6681">
        <v>2</v>
      </c>
    </row>
    <row r="6682" spans="7:10">
      <c r="G6682">
        <v>1</v>
      </c>
      <c r="H6682">
        <v>2</v>
      </c>
      <c r="I6682">
        <v>5</v>
      </c>
      <c r="J6682">
        <v>1</v>
      </c>
    </row>
    <row r="6683" spans="7:10">
      <c r="G6683">
        <v>1</v>
      </c>
      <c r="H6683">
        <v>2</v>
      </c>
      <c r="I6683">
        <v>5</v>
      </c>
      <c r="J6683">
        <v>2</v>
      </c>
    </row>
    <row r="6684" spans="7:10">
      <c r="G6684">
        <v>1</v>
      </c>
      <c r="H6684">
        <v>3</v>
      </c>
      <c r="I6684">
        <v>1</v>
      </c>
      <c r="J6684">
        <v>1</v>
      </c>
    </row>
    <row r="6685" spans="7:10">
      <c r="G6685">
        <v>1</v>
      </c>
      <c r="H6685">
        <v>3</v>
      </c>
      <c r="I6685">
        <v>1</v>
      </c>
      <c r="J6685">
        <v>2</v>
      </c>
    </row>
    <row r="6686" spans="7:10">
      <c r="G6686">
        <v>1</v>
      </c>
      <c r="H6686">
        <v>3</v>
      </c>
      <c r="I6686">
        <v>2</v>
      </c>
      <c r="J6686">
        <v>1</v>
      </c>
    </row>
    <row r="6687" spans="7:10">
      <c r="G6687">
        <v>1</v>
      </c>
      <c r="H6687">
        <v>3</v>
      </c>
      <c r="I6687">
        <v>2</v>
      </c>
      <c r="J6687">
        <v>2</v>
      </c>
    </row>
    <row r="6688" spans="7:10">
      <c r="G6688">
        <v>1</v>
      </c>
      <c r="H6688">
        <v>3</v>
      </c>
      <c r="I6688">
        <v>3</v>
      </c>
      <c r="J6688">
        <v>1</v>
      </c>
    </row>
    <row r="6689" spans="7:10">
      <c r="G6689">
        <v>1</v>
      </c>
      <c r="H6689">
        <v>3</v>
      </c>
      <c r="I6689">
        <v>3</v>
      </c>
      <c r="J6689">
        <v>2</v>
      </c>
    </row>
    <row r="6690" spans="7:10">
      <c r="G6690">
        <v>1</v>
      </c>
      <c r="H6690">
        <v>3</v>
      </c>
      <c r="I6690">
        <v>4</v>
      </c>
      <c r="J6690">
        <v>1</v>
      </c>
    </row>
    <row r="6691" spans="7:10">
      <c r="G6691">
        <v>1</v>
      </c>
      <c r="H6691">
        <v>3</v>
      </c>
      <c r="I6691">
        <v>4</v>
      </c>
      <c r="J6691">
        <v>2</v>
      </c>
    </row>
    <row r="6692" spans="7:10">
      <c r="G6692">
        <v>1</v>
      </c>
      <c r="H6692">
        <v>3</v>
      </c>
      <c r="I6692">
        <v>5</v>
      </c>
      <c r="J6692">
        <v>1</v>
      </c>
    </row>
    <row r="6693" spans="7:10">
      <c r="G6693">
        <v>1</v>
      </c>
      <c r="H6693">
        <v>3</v>
      </c>
      <c r="I6693">
        <v>5</v>
      </c>
      <c r="J6693">
        <v>2</v>
      </c>
    </row>
    <row r="6694" spans="7:10">
      <c r="G6694">
        <v>2</v>
      </c>
      <c r="H6694">
        <v>1</v>
      </c>
      <c r="I6694">
        <v>3</v>
      </c>
      <c r="J6694">
        <v>1</v>
      </c>
    </row>
    <row r="6695" spans="7:10">
      <c r="G6695">
        <v>2</v>
      </c>
      <c r="H6695">
        <v>1</v>
      </c>
      <c r="I6695">
        <v>3</v>
      </c>
      <c r="J6695">
        <v>2</v>
      </c>
    </row>
    <row r="6696" spans="7:10">
      <c r="G6696">
        <v>2</v>
      </c>
      <c r="H6696">
        <v>1</v>
      </c>
      <c r="I6696">
        <v>4</v>
      </c>
      <c r="J6696">
        <v>1</v>
      </c>
    </row>
    <row r="6697" spans="7:10">
      <c r="G6697">
        <v>2</v>
      </c>
      <c r="H6697">
        <v>1</v>
      </c>
      <c r="I6697">
        <v>4</v>
      </c>
      <c r="J6697">
        <v>2</v>
      </c>
    </row>
    <row r="6698" spans="7:10">
      <c r="G6698">
        <v>2</v>
      </c>
      <c r="H6698">
        <v>1</v>
      </c>
      <c r="I6698">
        <v>5</v>
      </c>
      <c r="J6698">
        <v>1</v>
      </c>
    </row>
    <row r="6699" spans="7:10">
      <c r="G6699">
        <v>2</v>
      </c>
      <c r="H6699">
        <v>1</v>
      </c>
      <c r="I6699">
        <v>5</v>
      </c>
      <c r="J6699">
        <v>2</v>
      </c>
    </row>
    <row r="6700" spans="7:10">
      <c r="G6700">
        <v>2</v>
      </c>
      <c r="H6700">
        <v>2</v>
      </c>
      <c r="I6700">
        <v>1</v>
      </c>
      <c r="J6700">
        <v>1</v>
      </c>
    </row>
    <row r="6701" spans="7:10">
      <c r="G6701">
        <v>2</v>
      </c>
      <c r="H6701">
        <v>2</v>
      </c>
      <c r="I6701">
        <v>1</v>
      </c>
      <c r="J6701">
        <v>2</v>
      </c>
    </row>
    <row r="6702" spans="7:10">
      <c r="G6702">
        <v>2</v>
      </c>
      <c r="H6702">
        <v>2</v>
      </c>
      <c r="I6702">
        <v>2</v>
      </c>
      <c r="J6702">
        <v>1</v>
      </c>
    </row>
    <row r="6703" spans="7:10">
      <c r="G6703">
        <v>2</v>
      </c>
      <c r="H6703">
        <v>2</v>
      </c>
      <c r="I6703">
        <v>2</v>
      </c>
      <c r="J6703">
        <v>2</v>
      </c>
    </row>
    <row r="6704" spans="7:10">
      <c r="G6704">
        <v>2</v>
      </c>
      <c r="H6704">
        <v>2</v>
      </c>
      <c r="I6704">
        <v>3</v>
      </c>
      <c r="J6704">
        <v>1</v>
      </c>
    </row>
    <row r="6705" spans="7:10">
      <c r="G6705">
        <v>2</v>
      </c>
      <c r="H6705">
        <v>2</v>
      </c>
      <c r="I6705">
        <v>3</v>
      </c>
      <c r="J6705">
        <v>2</v>
      </c>
    </row>
    <row r="6706" spans="7:10">
      <c r="G6706">
        <v>2</v>
      </c>
      <c r="H6706">
        <v>2</v>
      </c>
      <c r="I6706">
        <v>4</v>
      </c>
      <c r="J6706">
        <v>1</v>
      </c>
    </row>
    <row r="6707" spans="7:10">
      <c r="G6707">
        <v>2</v>
      </c>
      <c r="H6707">
        <v>2</v>
      </c>
      <c r="I6707">
        <v>4</v>
      </c>
      <c r="J6707">
        <v>2</v>
      </c>
    </row>
    <row r="6708" spans="7:10">
      <c r="G6708">
        <v>2</v>
      </c>
      <c r="H6708">
        <v>2</v>
      </c>
      <c r="I6708">
        <v>5</v>
      </c>
      <c r="J6708">
        <v>1</v>
      </c>
    </row>
    <row r="6709" spans="7:10">
      <c r="G6709">
        <v>2</v>
      </c>
      <c r="H6709">
        <v>2</v>
      </c>
      <c r="I6709">
        <v>5</v>
      </c>
      <c r="J6709">
        <v>2</v>
      </c>
    </row>
    <row r="6710" spans="7:10">
      <c r="G6710">
        <v>2</v>
      </c>
      <c r="H6710">
        <v>3</v>
      </c>
      <c r="I6710">
        <v>1</v>
      </c>
      <c r="J6710">
        <v>1</v>
      </c>
    </row>
    <row r="6711" spans="7:10">
      <c r="G6711">
        <v>2</v>
      </c>
      <c r="H6711">
        <v>3</v>
      </c>
      <c r="I6711">
        <v>1</v>
      </c>
      <c r="J6711">
        <v>2</v>
      </c>
    </row>
    <row r="6712" spans="7:10">
      <c r="G6712">
        <v>2</v>
      </c>
      <c r="H6712">
        <v>3</v>
      </c>
      <c r="I6712">
        <v>2</v>
      </c>
      <c r="J6712">
        <v>1</v>
      </c>
    </row>
    <row r="6713" spans="7:10">
      <c r="G6713">
        <v>2</v>
      </c>
      <c r="H6713">
        <v>3</v>
      </c>
      <c r="I6713">
        <v>2</v>
      </c>
      <c r="J6713">
        <v>2</v>
      </c>
    </row>
    <row r="6714" spans="7:10">
      <c r="G6714">
        <v>2</v>
      </c>
      <c r="H6714">
        <v>3</v>
      </c>
      <c r="I6714">
        <v>3</v>
      </c>
      <c r="J6714">
        <v>1</v>
      </c>
    </row>
    <row r="6715" spans="7:10">
      <c r="G6715">
        <v>2</v>
      </c>
      <c r="H6715">
        <v>3</v>
      </c>
      <c r="I6715">
        <v>3</v>
      </c>
      <c r="J6715">
        <v>2</v>
      </c>
    </row>
    <row r="6716" spans="7:10">
      <c r="G6716">
        <v>2</v>
      </c>
      <c r="H6716">
        <v>3</v>
      </c>
      <c r="I6716">
        <v>4</v>
      </c>
      <c r="J6716">
        <v>1</v>
      </c>
    </row>
    <row r="6717" spans="7:10">
      <c r="G6717">
        <v>2</v>
      </c>
      <c r="H6717">
        <v>3</v>
      </c>
      <c r="I6717">
        <v>4</v>
      </c>
      <c r="J6717">
        <v>2</v>
      </c>
    </row>
    <row r="6718" spans="7:10">
      <c r="G6718">
        <v>2</v>
      </c>
      <c r="H6718">
        <v>3</v>
      </c>
      <c r="I6718">
        <v>5</v>
      </c>
      <c r="J6718">
        <v>1</v>
      </c>
    </row>
    <row r="6719" spans="7:10">
      <c r="G6719">
        <v>2</v>
      </c>
      <c r="H6719">
        <v>3</v>
      </c>
      <c r="I6719">
        <v>5</v>
      </c>
      <c r="J6719">
        <v>2</v>
      </c>
    </row>
    <row r="6720" spans="7:10">
      <c r="G6720">
        <v>3</v>
      </c>
      <c r="H6720">
        <v>1</v>
      </c>
      <c r="I6720">
        <v>3</v>
      </c>
      <c r="J6720">
        <v>1</v>
      </c>
    </row>
    <row r="6721" spans="7:10">
      <c r="G6721">
        <v>3</v>
      </c>
      <c r="H6721">
        <v>1</v>
      </c>
      <c r="I6721">
        <v>3</v>
      </c>
      <c r="J6721">
        <v>2</v>
      </c>
    </row>
    <row r="6722" spans="7:10">
      <c r="G6722">
        <v>3</v>
      </c>
      <c r="H6722">
        <v>1</v>
      </c>
      <c r="I6722">
        <v>4</v>
      </c>
      <c r="J6722">
        <v>1</v>
      </c>
    </row>
    <row r="6723" spans="7:10">
      <c r="G6723">
        <v>3</v>
      </c>
      <c r="H6723">
        <v>1</v>
      </c>
      <c r="I6723">
        <v>4</v>
      </c>
      <c r="J6723">
        <v>2</v>
      </c>
    </row>
    <row r="6724" spans="7:10">
      <c r="G6724">
        <v>3</v>
      </c>
      <c r="H6724">
        <v>1</v>
      </c>
      <c r="I6724">
        <v>5</v>
      </c>
      <c r="J6724">
        <v>1</v>
      </c>
    </row>
    <row r="6725" spans="7:10">
      <c r="G6725">
        <v>3</v>
      </c>
      <c r="H6725">
        <v>1</v>
      </c>
      <c r="I6725">
        <v>5</v>
      </c>
      <c r="J6725">
        <v>2</v>
      </c>
    </row>
    <row r="6726" spans="7:10">
      <c r="G6726">
        <v>3</v>
      </c>
      <c r="H6726">
        <v>2</v>
      </c>
      <c r="I6726">
        <v>1</v>
      </c>
      <c r="J6726">
        <v>1</v>
      </c>
    </row>
    <row r="6727" spans="7:10">
      <c r="G6727">
        <v>3</v>
      </c>
      <c r="H6727">
        <v>2</v>
      </c>
      <c r="I6727">
        <v>1</v>
      </c>
      <c r="J6727">
        <v>2</v>
      </c>
    </row>
    <row r="6728" spans="7:10">
      <c r="G6728">
        <v>3</v>
      </c>
      <c r="H6728">
        <v>2</v>
      </c>
      <c r="I6728">
        <v>2</v>
      </c>
      <c r="J6728">
        <v>1</v>
      </c>
    </row>
    <row r="6729" spans="7:10">
      <c r="G6729">
        <v>3</v>
      </c>
      <c r="H6729">
        <v>2</v>
      </c>
      <c r="I6729">
        <v>2</v>
      </c>
      <c r="J6729">
        <v>2</v>
      </c>
    </row>
    <row r="6730" spans="7:10">
      <c r="G6730">
        <v>3</v>
      </c>
      <c r="H6730">
        <v>2</v>
      </c>
      <c r="I6730">
        <v>3</v>
      </c>
      <c r="J6730">
        <v>1</v>
      </c>
    </row>
    <row r="6731" spans="7:10">
      <c r="G6731">
        <v>3</v>
      </c>
      <c r="H6731">
        <v>2</v>
      </c>
      <c r="I6731">
        <v>3</v>
      </c>
      <c r="J6731">
        <v>2</v>
      </c>
    </row>
    <row r="6732" spans="7:10">
      <c r="G6732">
        <v>3</v>
      </c>
      <c r="H6732">
        <v>2</v>
      </c>
      <c r="I6732">
        <v>4</v>
      </c>
      <c r="J6732">
        <v>1</v>
      </c>
    </row>
    <row r="6733" spans="7:10">
      <c r="G6733">
        <v>3</v>
      </c>
      <c r="H6733">
        <v>2</v>
      </c>
      <c r="I6733">
        <v>4</v>
      </c>
      <c r="J6733">
        <v>2</v>
      </c>
    </row>
    <row r="6734" spans="7:10">
      <c r="G6734">
        <v>3</v>
      </c>
      <c r="H6734">
        <v>2</v>
      </c>
      <c r="I6734">
        <v>5</v>
      </c>
      <c r="J6734">
        <v>1</v>
      </c>
    </row>
    <row r="6735" spans="7:10">
      <c r="G6735">
        <v>3</v>
      </c>
      <c r="H6735">
        <v>2</v>
      </c>
      <c r="I6735">
        <v>5</v>
      </c>
      <c r="J6735">
        <v>2</v>
      </c>
    </row>
    <row r="6736" spans="7:10">
      <c r="G6736">
        <v>3</v>
      </c>
      <c r="H6736">
        <v>3</v>
      </c>
      <c r="I6736">
        <v>1</v>
      </c>
      <c r="J6736">
        <v>1</v>
      </c>
    </row>
    <row r="6737" spans="7:10">
      <c r="G6737">
        <v>3</v>
      </c>
      <c r="H6737">
        <v>3</v>
      </c>
      <c r="I6737">
        <v>1</v>
      </c>
      <c r="J6737">
        <v>2</v>
      </c>
    </row>
    <row r="6738" spans="7:10">
      <c r="G6738">
        <v>3</v>
      </c>
      <c r="H6738">
        <v>3</v>
      </c>
      <c r="I6738">
        <v>2</v>
      </c>
      <c r="J6738">
        <v>1</v>
      </c>
    </row>
    <row r="6739" spans="7:10">
      <c r="G6739">
        <v>3</v>
      </c>
      <c r="H6739">
        <v>3</v>
      </c>
      <c r="I6739">
        <v>2</v>
      </c>
      <c r="J6739">
        <v>2</v>
      </c>
    </row>
    <row r="6740" spans="7:10">
      <c r="G6740">
        <v>3</v>
      </c>
      <c r="H6740">
        <v>3</v>
      </c>
      <c r="I6740">
        <v>3</v>
      </c>
      <c r="J6740">
        <v>1</v>
      </c>
    </row>
    <row r="6741" spans="7:10">
      <c r="G6741">
        <v>3</v>
      </c>
      <c r="H6741">
        <v>3</v>
      </c>
      <c r="I6741">
        <v>3</v>
      </c>
      <c r="J6741">
        <v>2</v>
      </c>
    </row>
    <row r="6742" spans="7:10">
      <c r="G6742">
        <v>3</v>
      </c>
      <c r="H6742">
        <v>3</v>
      </c>
      <c r="I6742">
        <v>4</v>
      </c>
      <c r="J6742">
        <v>1</v>
      </c>
    </row>
    <row r="6743" spans="7:10">
      <c r="G6743">
        <v>3</v>
      </c>
      <c r="H6743">
        <v>3</v>
      </c>
      <c r="I6743">
        <v>4</v>
      </c>
      <c r="J6743">
        <v>2</v>
      </c>
    </row>
    <row r="6744" spans="7:10">
      <c r="G6744">
        <v>3</v>
      </c>
      <c r="H6744">
        <v>3</v>
      </c>
      <c r="I6744">
        <v>5</v>
      </c>
      <c r="J6744">
        <v>1</v>
      </c>
    </row>
    <row r="6745" spans="7:10">
      <c r="G6745">
        <v>3</v>
      </c>
      <c r="H6745">
        <v>3</v>
      </c>
      <c r="I6745">
        <v>5</v>
      </c>
      <c r="J6745">
        <v>2</v>
      </c>
    </row>
    <row r="6746" spans="7:10">
      <c r="G6746">
        <v>4</v>
      </c>
      <c r="H6746">
        <v>1</v>
      </c>
      <c r="I6746">
        <v>3</v>
      </c>
      <c r="J6746">
        <v>1</v>
      </c>
    </row>
    <row r="6747" spans="7:10">
      <c r="G6747">
        <v>4</v>
      </c>
      <c r="H6747">
        <v>1</v>
      </c>
      <c r="I6747">
        <v>3</v>
      </c>
      <c r="J6747">
        <v>2</v>
      </c>
    </row>
    <row r="6748" spans="7:10">
      <c r="G6748">
        <v>4</v>
      </c>
      <c r="H6748">
        <v>1</v>
      </c>
      <c r="I6748">
        <v>4</v>
      </c>
      <c r="J6748">
        <v>1</v>
      </c>
    </row>
    <row r="6749" spans="7:10">
      <c r="G6749">
        <v>4</v>
      </c>
      <c r="H6749">
        <v>1</v>
      </c>
      <c r="I6749">
        <v>4</v>
      </c>
      <c r="J6749">
        <v>2</v>
      </c>
    </row>
    <row r="6750" spans="7:10">
      <c r="G6750">
        <v>4</v>
      </c>
      <c r="H6750">
        <v>1</v>
      </c>
      <c r="I6750">
        <v>5</v>
      </c>
      <c r="J6750">
        <v>1</v>
      </c>
    </row>
    <row r="6751" spans="7:10">
      <c r="G6751">
        <v>4</v>
      </c>
      <c r="H6751">
        <v>1</v>
      </c>
      <c r="I6751">
        <v>5</v>
      </c>
      <c r="J6751">
        <v>2</v>
      </c>
    </row>
    <row r="6752" spans="7:10">
      <c r="G6752">
        <v>4</v>
      </c>
      <c r="H6752">
        <v>2</v>
      </c>
      <c r="I6752">
        <v>1</v>
      </c>
      <c r="J6752">
        <v>1</v>
      </c>
    </row>
    <row r="6753" spans="7:10">
      <c r="G6753">
        <v>4</v>
      </c>
      <c r="H6753">
        <v>2</v>
      </c>
      <c r="I6753">
        <v>1</v>
      </c>
      <c r="J6753">
        <v>2</v>
      </c>
    </row>
    <row r="6754" spans="7:10">
      <c r="G6754">
        <v>4</v>
      </c>
      <c r="H6754">
        <v>2</v>
      </c>
      <c r="I6754">
        <v>2</v>
      </c>
      <c r="J6754">
        <v>1</v>
      </c>
    </row>
    <row r="6755" spans="7:10">
      <c r="G6755">
        <v>4</v>
      </c>
      <c r="H6755">
        <v>2</v>
      </c>
      <c r="I6755">
        <v>2</v>
      </c>
      <c r="J6755">
        <v>2</v>
      </c>
    </row>
    <row r="6756" spans="7:10">
      <c r="G6756">
        <v>4</v>
      </c>
      <c r="H6756">
        <v>2</v>
      </c>
      <c r="I6756">
        <v>3</v>
      </c>
      <c r="J6756">
        <v>1</v>
      </c>
    </row>
    <row r="6757" spans="7:10">
      <c r="G6757">
        <v>4</v>
      </c>
      <c r="H6757">
        <v>2</v>
      </c>
      <c r="I6757">
        <v>3</v>
      </c>
      <c r="J6757">
        <v>2</v>
      </c>
    </row>
    <row r="6758" spans="7:10">
      <c r="G6758">
        <v>4</v>
      </c>
      <c r="H6758">
        <v>2</v>
      </c>
      <c r="I6758">
        <v>4</v>
      </c>
      <c r="J6758">
        <v>1</v>
      </c>
    </row>
    <row r="6759" spans="7:10">
      <c r="G6759">
        <v>4</v>
      </c>
      <c r="H6759">
        <v>2</v>
      </c>
      <c r="I6759">
        <v>4</v>
      </c>
      <c r="J6759">
        <v>2</v>
      </c>
    </row>
    <row r="6760" spans="7:10">
      <c r="G6760">
        <v>4</v>
      </c>
      <c r="H6760">
        <v>2</v>
      </c>
      <c r="I6760">
        <v>5</v>
      </c>
      <c r="J6760">
        <v>1</v>
      </c>
    </row>
    <row r="6761" spans="7:10">
      <c r="G6761">
        <v>4</v>
      </c>
      <c r="H6761">
        <v>2</v>
      </c>
      <c r="I6761">
        <v>5</v>
      </c>
      <c r="J6761">
        <v>2</v>
      </c>
    </row>
    <row r="6762" spans="7:10">
      <c r="G6762">
        <v>4</v>
      </c>
      <c r="H6762">
        <v>3</v>
      </c>
      <c r="I6762">
        <v>1</v>
      </c>
      <c r="J6762">
        <v>1</v>
      </c>
    </row>
    <row r="6763" spans="7:10">
      <c r="G6763">
        <v>4</v>
      </c>
      <c r="H6763">
        <v>3</v>
      </c>
      <c r="I6763">
        <v>1</v>
      </c>
      <c r="J6763">
        <v>2</v>
      </c>
    </row>
    <row r="6764" spans="7:10">
      <c r="G6764">
        <v>4</v>
      </c>
      <c r="H6764">
        <v>3</v>
      </c>
      <c r="I6764">
        <v>2</v>
      </c>
      <c r="J6764">
        <v>1</v>
      </c>
    </row>
    <row r="6765" spans="7:10">
      <c r="G6765">
        <v>4</v>
      </c>
      <c r="H6765">
        <v>3</v>
      </c>
      <c r="I6765">
        <v>2</v>
      </c>
      <c r="J6765">
        <v>2</v>
      </c>
    </row>
    <row r="6766" spans="7:10">
      <c r="G6766">
        <v>4</v>
      </c>
      <c r="H6766">
        <v>3</v>
      </c>
      <c r="I6766">
        <v>3</v>
      </c>
      <c r="J6766">
        <v>1</v>
      </c>
    </row>
    <row r="6767" spans="7:10">
      <c r="G6767">
        <v>4</v>
      </c>
      <c r="H6767">
        <v>3</v>
      </c>
      <c r="I6767">
        <v>3</v>
      </c>
      <c r="J6767">
        <v>2</v>
      </c>
    </row>
    <row r="6768" spans="7:10">
      <c r="G6768">
        <v>4</v>
      </c>
      <c r="H6768">
        <v>3</v>
      </c>
      <c r="I6768">
        <v>4</v>
      </c>
      <c r="J6768">
        <v>1</v>
      </c>
    </row>
    <row r="6769" spans="7:10">
      <c r="G6769">
        <v>4</v>
      </c>
      <c r="H6769">
        <v>3</v>
      </c>
      <c r="I6769">
        <v>4</v>
      </c>
      <c r="J6769">
        <v>2</v>
      </c>
    </row>
    <row r="6770" spans="7:10">
      <c r="G6770">
        <v>4</v>
      </c>
      <c r="H6770">
        <v>3</v>
      </c>
      <c r="I6770">
        <v>5</v>
      </c>
      <c r="J6770">
        <v>1</v>
      </c>
    </row>
    <row r="6771" spans="7:10">
      <c r="G6771">
        <v>4</v>
      </c>
      <c r="H6771">
        <v>3</v>
      </c>
      <c r="I6771">
        <v>5</v>
      </c>
      <c r="J6771">
        <v>2</v>
      </c>
    </row>
    <row r="6772" spans="7:10">
      <c r="G6772">
        <v>1</v>
      </c>
      <c r="H6772">
        <v>2</v>
      </c>
      <c r="I6772">
        <v>1</v>
      </c>
      <c r="J6772">
        <v>1</v>
      </c>
    </row>
    <row r="6773" spans="7:10">
      <c r="G6773">
        <v>1</v>
      </c>
      <c r="H6773">
        <v>2</v>
      </c>
      <c r="I6773">
        <v>1</v>
      </c>
      <c r="J6773">
        <v>2</v>
      </c>
    </row>
    <row r="6774" spans="7:10">
      <c r="G6774">
        <v>1</v>
      </c>
      <c r="H6774">
        <v>2</v>
      </c>
      <c r="I6774">
        <v>2</v>
      </c>
      <c r="J6774">
        <v>1</v>
      </c>
    </row>
    <row r="6775" spans="7:10">
      <c r="G6775">
        <v>1</v>
      </c>
      <c r="H6775">
        <v>2</v>
      </c>
      <c r="I6775">
        <v>2</v>
      </c>
      <c r="J6775">
        <v>2</v>
      </c>
    </row>
    <row r="6776" spans="7:10">
      <c r="G6776">
        <v>1</v>
      </c>
      <c r="H6776">
        <v>2</v>
      </c>
      <c r="I6776">
        <v>3</v>
      </c>
      <c r="J6776">
        <v>1</v>
      </c>
    </row>
    <row r="6777" spans="7:10">
      <c r="G6777">
        <v>1</v>
      </c>
      <c r="H6777">
        <v>2</v>
      </c>
      <c r="I6777">
        <v>3</v>
      </c>
      <c r="J6777">
        <v>2</v>
      </c>
    </row>
    <row r="6778" spans="7:10">
      <c r="G6778">
        <v>1</v>
      </c>
      <c r="H6778">
        <v>2</v>
      </c>
      <c r="I6778">
        <v>4</v>
      </c>
      <c r="J6778">
        <v>1</v>
      </c>
    </row>
    <row r="6779" spans="7:10">
      <c r="G6779">
        <v>1</v>
      </c>
      <c r="H6779">
        <v>2</v>
      </c>
      <c r="I6779">
        <v>4</v>
      </c>
      <c r="J6779">
        <v>2</v>
      </c>
    </row>
    <row r="6780" spans="7:10">
      <c r="G6780">
        <v>1</v>
      </c>
      <c r="H6780">
        <v>2</v>
      </c>
      <c r="I6780">
        <v>5</v>
      </c>
      <c r="J6780">
        <v>1</v>
      </c>
    </row>
    <row r="6781" spans="7:10">
      <c r="G6781">
        <v>1</v>
      </c>
      <c r="H6781">
        <v>2</v>
      </c>
      <c r="I6781">
        <v>5</v>
      </c>
      <c r="J6781">
        <v>2</v>
      </c>
    </row>
    <row r="6782" spans="7:10">
      <c r="G6782">
        <v>1</v>
      </c>
      <c r="H6782">
        <v>3</v>
      </c>
      <c r="I6782">
        <v>1</v>
      </c>
      <c r="J6782">
        <v>1</v>
      </c>
    </row>
    <row r="6783" spans="7:10">
      <c r="G6783">
        <v>1</v>
      </c>
      <c r="H6783">
        <v>3</v>
      </c>
      <c r="I6783">
        <v>1</v>
      </c>
      <c r="J6783">
        <v>2</v>
      </c>
    </row>
    <row r="6784" spans="7:10">
      <c r="G6784">
        <v>1</v>
      </c>
      <c r="H6784">
        <v>3</v>
      </c>
      <c r="I6784">
        <v>2</v>
      </c>
      <c r="J6784">
        <v>1</v>
      </c>
    </row>
    <row r="6785" spans="7:10">
      <c r="G6785">
        <v>1</v>
      </c>
      <c r="H6785">
        <v>3</v>
      </c>
      <c r="I6785">
        <v>2</v>
      </c>
      <c r="J6785">
        <v>2</v>
      </c>
    </row>
    <row r="6786" spans="7:10">
      <c r="G6786">
        <v>1</v>
      </c>
      <c r="H6786">
        <v>3</v>
      </c>
      <c r="I6786">
        <v>3</v>
      </c>
      <c r="J6786">
        <v>1</v>
      </c>
    </row>
    <row r="6787" spans="7:10">
      <c r="G6787">
        <v>1</v>
      </c>
      <c r="H6787">
        <v>3</v>
      </c>
      <c r="I6787">
        <v>3</v>
      </c>
      <c r="J6787">
        <v>2</v>
      </c>
    </row>
    <row r="6788" spans="7:10">
      <c r="G6788">
        <v>1</v>
      </c>
      <c r="H6788">
        <v>3</v>
      </c>
      <c r="I6788">
        <v>4</v>
      </c>
      <c r="J6788">
        <v>1</v>
      </c>
    </row>
    <row r="6789" spans="7:10">
      <c r="G6789">
        <v>1</v>
      </c>
      <c r="H6789">
        <v>3</v>
      </c>
      <c r="I6789">
        <v>4</v>
      </c>
      <c r="J6789">
        <v>2</v>
      </c>
    </row>
    <row r="6790" spans="7:10">
      <c r="G6790">
        <v>1</v>
      </c>
      <c r="H6790">
        <v>3</v>
      </c>
      <c r="I6790">
        <v>5</v>
      </c>
      <c r="J6790">
        <v>1</v>
      </c>
    </row>
    <row r="6791" spans="7:10">
      <c r="G6791">
        <v>1</v>
      </c>
      <c r="H6791">
        <v>3</v>
      </c>
      <c r="I6791">
        <v>5</v>
      </c>
      <c r="J6791">
        <v>2</v>
      </c>
    </row>
    <row r="6792" spans="7:10">
      <c r="G6792">
        <v>2</v>
      </c>
      <c r="H6792">
        <v>1</v>
      </c>
      <c r="I6792">
        <v>3</v>
      </c>
      <c r="J6792">
        <v>1</v>
      </c>
    </row>
    <row r="6793" spans="7:10">
      <c r="G6793">
        <v>2</v>
      </c>
      <c r="H6793">
        <v>1</v>
      </c>
      <c r="I6793">
        <v>3</v>
      </c>
      <c r="J6793">
        <v>2</v>
      </c>
    </row>
    <row r="6794" spans="7:10">
      <c r="G6794">
        <v>2</v>
      </c>
      <c r="H6794">
        <v>1</v>
      </c>
      <c r="I6794">
        <v>4</v>
      </c>
      <c r="J6794">
        <v>1</v>
      </c>
    </row>
    <row r="6795" spans="7:10">
      <c r="G6795">
        <v>2</v>
      </c>
      <c r="H6795">
        <v>1</v>
      </c>
      <c r="I6795">
        <v>4</v>
      </c>
      <c r="J6795">
        <v>2</v>
      </c>
    </row>
    <row r="6796" spans="7:10">
      <c r="G6796">
        <v>2</v>
      </c>
      <c r="H6796">
        <v>1</v>
      </c>
      <c r="I6796">
        <v>5</v>
      </c>
      <c r="J6796">
        <v>1</v>
      </c>
    </row>
    <row r="6797" spans="7:10">
      <c r="G6797">
        <v>2</v>
      </c>
      <c r="H6797">
        <v>1</v>
      </c>
      <c r="I6797">
        <v>5</v>
      </c>
      <c r="J6797">
        <v>2</v>
      </c>
    </row>
    <row r="6798" spans="7:10">
      <c r="G6798">
        <v>2</v>
      </c>
      <c r="H6798">
        <v>2</v>
      </c>
      <c r="I6798">
        <v>1</v>
      </c>
      <c r="J6798">
        <v>1</v>
      </c>
    </row>
    <row r="6799" spans="7:10">
      <c r="G6799">
        <v>2</v>
      </c>
      <c r="H6799">
        <v>2</v>
      </c>
      <c r="I6799">
        <v>1</v>
      </c>
      <c r="J6799">
        <v>2</v>
      </c>
    </row>
    <row r="6800" spans="7:10">
      <c r="G6800">
        <v>2</v>
      </c>
      <c r="H6800">
        <v>2</v>
      </c>
      <c r="I6800">
        <v>2</v>
      </c>
      <c r="J6800">
        <v>1</v>
      </c>
    </row>
    <row r="6801" spans="7:10">
      <c r="G6801">
        <v>2</v>
      </c>
      <c r="H6801">
        <v>2</v>
      </c>
      <c r="I6801">
        <v>2</v>
      </c>
      <c r="J6801">
        <v>2</v>
      </c>
    </row>
    <row r="6802" spans="7:10">
      <c r="G6802">
        <v>2</v>
      </c>
      <c r="H6802">
        <v>2</v>
      </c>
      <c r="I6802">
        <v>3</v>
      </c>
      <c r="J6802">
        <v>1</v>
      </c>
    </row>
    <row r="6803" spans="7:10">
      <c r="G6803">
        <v>2</v>
      </c>
      <c r="H6803">
        <v>2</v>
      </c>
      <c r="I6803">
        <v>3</v>
      </c>
      <c r="J6803">
        <v>2</v>
      </c>
    </row>
    <row r="6804" spans="7:10">
      <c r="G6804">
        <v>2</v>
      </c>
      <c r="H6804">
        <v>2</v>
      </c>
      <c r="I6804">
        <v>4</v>
      </c>
      <c r="J6804">
        <v>1</v>
      </c>
    </row>
    <row r="6805" spans="7:10">
      <c r="G6805">
        <v>2</v>
      </c>
      <c r="H6805">
        <v>2</v>
      </c>
      <c r="I6805">
        <v>4</v>
      </c>
      <c r="J6805">
        <v>2</v>
      </c>
    </row>
    <row r="6806" spans="7:10">
      <c r="G6806">
        <v>2</v>
      </c>
      <c r="H6806">
        <v>2</v>
      </c>
      <c r="I6806">
        <v>5</v>
      </c>
      <c r="J6806">
        <v>1</v>
      </c>
    </row>
    <row r="6807" spans="7:10">
      <c r="G6807">
        <v>2</v>
      </c>
      <c r="H6807">
        <v>2</v>
      </c>
      <c r="I6807">
        <v>5</v>
      </c>
      <c r="J6807">
        <v>2</v>
      </c>
    </row>
    <row r="6808" spans="7:10">
      <c r="G6808">
        <v>2</v>
      </c>
      <c r="H6808">
        <v>3</v>
      </c>
      <c r="I6808">
        <v>1</v>
      </c>
      <c r="J6808">
        <v>1</v>
      </c>
    </row>
    <row r="6809" spans="7:10">
      <c r="G6809">
        <v>2</v>
      </c>
      <c r="H6809">
        <v>3</v>
      </c>
      <c r="I6809">
        <v>1</v>
      </c>
      <c r="J6809">
        <v>2</v>
      </c>
    </row>
    <row r="6810" spans="7:10">
      <c r="G6810">
        <v>2</v>
      </c>
      <c r="H6810">
        <v>3</v>
      </c>
      <c r="I6810">
        <v>2</v>
      </c>
      <c r="J6810">
        <v>1</v>
      </c>
    </row>
    <row r="6811" spans="7:10">
      <c r="G6811">
        <v>2</v>
      </c>
      <c r="H6811">
        <v>3</v>
      </c>
      <c r="I6811">
        <v>2</v>
      </c>
      <c r="J6811">
        <v>2</v>
      </c>
    </row>
    <row r="6812" spans="7:10">
      <c r="G6812">
        <v>2</v>
      </c>
      <c r="H6812">
        <v>3</v>
      </c>
      <c r="I6812">
        <v>3</v>
      </c>
      <c r="J6812">
        <v>1</v>
      </c>
    </row>
    <row r="6813" spans="7:10">
      <c r="G6813">
        <v>2</v>
      </c>
      <c r="H6813">
        <v>3</v>
      </c>
      <c r="I6813">
        <v>3</v>
      </c>
      <c r="J6813">
        <v>2</v>
      </c>
    </row>
    <row r="6814" spans="7:10">
      <c r="G6814">
        <v>2</v>
      </c>
      <c r="H6814">
        <v>3</v>
      </c>
      <c r="I6814">
        <v>4</v>
      </c>
      <c r="J6814">
        <v>1</v>
      </c>
    </row>
    <row r="6815" spans="7:10">
      <c r="G6815">
        <v>2</v>
      </c>
      <c r="H6815">
        <v>3</v>
      </c>
      <c r="I6815">
        <v>4</v>
      </c>
      <c r="J6815">
        <v>2</v>
      </c>
    </row>
    <row r="6816" spans="7:10">
      <c r="G6816">
        <v>2</v>
      </c>
      <c r="H6816">
        <v>3</v>
      </c>
      <c r="I6816">
        <v>5</v>
      </c>
      <c r="J6816">
        <v>1</v>
      </c>
    </row>
    <row r="6817" spans="7:10">
      <c r="G6817">
        <v>2</v>
      </c>
      <c r="H6817">
        <v>3</v>
      </c>
      <c r="I6817">
        <v>5</v>
      </c>
      <c r="J6817">
        <v>2</v>
      </c>
    </row>
    <row r="6818" spans="7:10">
      <c r="G6818">
        <v>3</v>
      </c>
      <c r="H6818">
        <v>1</v>
      </c>
      <c r="I6818">
        <v>3</v>
      </c>
      <c r="J6818">
        <v>1</v>
      </c>
    </row>
    <row r="6819" spans="7:10">
      <c r="G6819">
        <v>3</v>
      </c>
      <c r="H6819">
        <v>1</v>
      </c>
      <c r="I6819">
        <v>3</v>
      </c>
      <c r="J6819">
        <v>2</v>
      </c>
    </row>
    <row r="6820" spans="7:10">
      <c r="G6820">
        <v>3</v>
      </c>
      <c r="H6820">
        <v>1</v>
      </c>
      <c r="I6820">
        <v>4</v>
      </c>
      <c r="J6820">
        <v>1</v>
      </c>
    </row>
    <row r="6821" spans="7:10">
      <c r="G6821">
        <v>3</v>
      </c>
      <c r="H6821">
        <v>1</v>
      </c>
      <c r="I6821">
        <v>4</v>
      </c>
      <c r="J6821">
        <v>2</v>
      </c>
    </row>
    <row r="6822" spans="7:10">
      <c r="G6822">
        <v>3</v>
      </c>
      <c r="H6822">
        <v>1</v>
      </c>
      <c r="I6822">
        <v>5</v>
      </c>
      <c r="J6822">
        <v>1</v>
      </c>
    </row>
    <row r="6823" spans="7:10">
      <c r="G6823">
        <v>3</v>
      </c>
      <c r="H6823">
        <v>1</v>
      </c>
      <c r="I6823">
        <v>5</v>
      </c>
      <c r="J6823">
        <v>2</v>
      </c>
    </row>
    <row r="6824" spans="7:10">
      <c r="G6824">
        <v>3</v>
      </c>
      <c r="H6824">
        <v>2</v>
      </c>
      <c r="I6824">
        <v>1</v>
      </c>
      <c r="J6824">
        <v>1</v>
      </c>
    </row>
    <row r="6825" spans="7:10">
      <c r="G6825">
        <v>3</v>
      </c>
      <c r="H6825">
        <v>2</v>
      </c>
      <c r="I6825">
        <v>1</v>
      </c>
      <c r="J6825">
        <v>2</v>
      </c>
    </row>
    <row r="6826" spans="7:10">
      <c r="G6826">
        <v>3</v>
      </c>
      <c r="H6826">
        <v>2</v>
      </c>
      <c r="I6826">
        <v>2</v>
      </c>
      <c r="J6826">
        <v>1</v>
      </c>
    </row>
    <row r="6827" spans="7:10">
      <c r="G6827">
        <v>3</v>
      </c>
      <c r="H6827">
        <v>2</v>
      </c>
      <c r="I6827">
        <v>2</v>
      </c>
      <c r="J6827">
        <v>2</v>
      </c>
    </row>
    <row r="6828" spans="7:10">
      <c r="G6828">
        <v>3</v>
      </c>
      <c r="H6828">
        <v>2</v>
      </c>
      <c r="I6828">
        <v>3</v>
      </c>
      <c r="J6828">
        <v>1</v>
      </c>
    </row>
    <row r="6829" spans="7:10">
      <c r="G6829">
        <v>3</v>
      </c>
      <c r="H6829">
        <v>2</v>
      </c>
      <c r="I6829">
        <v>3</v>
      </c>
      <c r="J6829">
        <v>2</v>
      </c>
    </row>
    <row r="6830" spans="7:10">
      <c r="G6830">
        <v>3</v>
      </c>
      <c r="H6830">
        <v>2</v>
      </c>
      <c r="I6830">
        <v>4</v>
      </c>
      <c r="J6830">
        <v>1</v>
      </c>
    </row>
    <row r="6831" spans="7:10">
      <c r="G6831">
        <v>3</v>
      </c>
      <c r="H6831">
        <v>2</v>
      </c>
      <c r="I6831">
        <v>4</v>
      </c>
      <c r="J6831">
        <v>2</v>
      </c>
    </row>
    <row r="6832" spans="7:10">
      <c r="G6832">
        <v>3</v>
      </c>
      <c r="H6832">
        <v>2</v>
      </c>
      <c r="I6832">
        <v>5</v>
      </c>
      <c r="J6832">
        <v>1</v>
      </c>
    </row>
    <row r="6833" spans="7:10">
      <c r="G6833">
        <v>3</v>
      </c>
      <c r="H6833">
        <v>2</v>
      </c>
      <c r="I6833">
        <v>5</v>
      </c>
      <c r="J6833">
        <v>2</v>
      </c>
    </row>
    <row r="6834" spans="7:10">
      <c r="G6834">
        <v>3</v>
      </c>
      <c r="H6834">
        <v>3</v>
      </c>
      <c r="I6834">
        <v>1</v>
      </c>
      <c r="J6834">
        <v>1</v>
      </c>
    </row>
    <row r="6835" spans="7:10">
      <c r="G6835">
        <v>3</v>
      </c>
      <c r="H6835">
        <v>3</v>
      </c>
      <c r="I6835">
        <v>1</v>
      </c>
      <c r="J6835">
        <v>2</v>
      </c>
    </row>
    <row r="6836" spans="7:10">
      <c r="G6836">
        <v>3</v>
      </c>
      <c r="H6836">
        <v>3</v>
      </c>
      <c r="I6836">
        <v>2</v>
      </c>
      <c r="J6836">
        <v>1</v>
      </c>
    </row>
    <row r="6837" spans="7:10">
      <c r="G6837">
        <v>3</v>
      </c>
      <c r="H6837">
        <v>3</v>
      </c>
      <c r="I6837">
        <v>2</v>
      </c>
      <c r="J6837">
        <v>2</v>
      </c>
    </row>
    <row r="6838" spans="7:10">
      <c r="G6838">
        <v>3</v>
      </c>
      <c r="H6838">
        <v>3</v>
      </c>
      <c r="I6838">
        <v>3</v>
      </c>
      <c r="J6838">
        <v>1</v>
      </c>
    </row>
    <row r="6839" spans="7:10">
      <c r="G6839">
        <v>3</v>
      </c>
      <c r="H6839">
        <v>3</v>
      </c>
      <c r="I6839">
        <v>3</v>
      </c>
      <c r="J6839">
        <v>2</v>
      </c>
    </row>
    <row r="6840" spans="7:10">
      <c r="G6840">
        <v>3</v>
      </c>
      <c r="H6840">
        <v>3</v>
      </c>
      <c r="I6840">
        <v>4</v>
      </c>
      <c r="J6840">
        <v>1</v>
      </c>
    </row>
    <row r="6841" spans="7:10">
      <c r="G6841">
        <v>3</v>
      </c>
      <c r="H6841">
        <v>3</v>
      </c>
      <c r="I6841">
        <v>4</v>
      </c>
      <c r="J6841">
        <v>2</v>
      </c>
    </row>
    <row r="6842" spans="7:10">
      <c r="G6842">
        <v>3</v>
      </c>
      <c r="H6842">
        <v>3</v>
      </c>
      <c r="I6842">
        <v>5</v>
      </c>
      <c r="J6842">
        <v>1</v>
      </c>
    </row>
    <row r="6843" spans="7:10">
      <c r="G6843">
        <v>3</v>
      </c>
      <c r="H6843">
        <v>3</v>
      </c>
      <c r="I6843">
        <v>5</v>
      </c>
      <c r="J6843">
        <v>2</v>
      </c>
    </row>
    <row r="6844" spans="7:10">
      <c r="G6844">
        <v>4</v>
      </c>
      <c r="H6844">
        <v>1</v>
      </c>
      <c r="I6844">
        <v>3</v>
      </c>
      <c r="J6844">
        <v>1</v>
      </c>
    </row>
    <row r="6845" spans="7:10">
      <c r="G6845">
        <v>4</v>
      </c>
      <c r="H6845">
        <v>1</v>
      </c>
      <c r="I6845">
        <v>3</v>
      </c>
      <c r="J6845">
        <v>2</v>
      </c>
    </row>
    <row r="6846" spans="7:10">
      <c r="G6846">
        <v>4</v>
      </c>
      <c r="H6846">
        <v>1</v>
      </c>
      <c r="I6846">
        <v>4</v>
      </c>
      <c r="J6846">
        <v>1</v>
      </c>
    </row>
    <row r="6847" spans="7:10">
      <c r="G6847">
        <v>4</v>
      </c>
      <c r="H6847">
        <v>1</v>
      </c>
      <c r="I6847">
        <v>4</v>
      </c>
      <c r="J6847">
        <v>2</v>
      </c>
    </row>
    <row r="6848" spans="7:10">
      <c r="G6848">
        <v>4</v>
      </c>
      <c r="H6848">
        <v>1</v>
      </c>
      <c r="I6848">
        <v>5</v>
      </c>
      <c r="J6848">
        <v>1</v>
      </c>
    </row>
    <row r="6849" spans="7:10">
      <c r="G6849">
        <v>4</v>
      </c>
      <c r="H6849">
        <v>1</v>
      </c>
      <c r="I6849">
        <v>5</v>
      </c>
      <c r="J6849">
        <v>2</v>
      </c>
    </row>
    <row r="6850" spans="7:10">
      <c r="G6850">
        <v>4</v>
      </c>
      <c r="H6850">
        <v>2</v>
      </c>
      <c r="I6850">
        <v>1</v>
      </c>
      <c r="J6850">
        <v>1</v>
      </c>
    </row>
    <row r="6851" spans="7:10">
      <c r="G6851">
        <v>4</v>
      </c>
      <c r="H6851">
        <v>2</v>
      </c>
      <c r="I6851">
        <v>1</v>
      </c>
      <c r="J6851">
        <v>2</v>
      </c>
    </row>
    <row r="6852" spans="7:10">
      <c r="G6852">
        <v>4</v>
      </c>
      <c r="H6852">
        <v>2</v>
      </c>
      <c r="I6852">
        <v>2</v>
      </c>
      <c r="J6852">
        <v>1</v>
      </c>
    </row>
    <row r="6853" spans="7:10">
      <c r="G6853">
        <v>4</v>
      </c>
      <c r="H6853">
        <v>2</v>
      </c>
      <c r="I6853">
        <v>2</v>
      </c>
      <c r="J6853">
        <v>2</v>
      </c>
    </row>
    <row r="6854" spans="7:10">
      <c r="G6854">
        <v>4</v>
      </c>
      <c r="H6854">
        <v>2</v>
      </c>
      <c r="I6854">
        <v>3</v>
      </c>
      <c r="J6854">
        <v>1</v>
      </c>
    </row>
    <row r="6855" spans="7:10">
      <c r="G6855">
        <v>4</v>
      </c>
      <c r="H6855">
        <v>2</v>
      </c>
      <c r="I6855">
        <v>3</v>
      </c>
      <c r="J6855">
        <v>2</v>
      </c>
    </row>
    <row r="6856" spans="7:10">
      <c r="G6856">
        <v>4</v>
      </c>
      <c r="H6856">
        <v>2</v>
      </c>
      <c r="I6856">
        <v>4</v>
      </c>
      <c r="J6856">
        <v>1</v>
      </c>
    </row>
    <row r="6857" spans="7:10">
      <c r="G6857">
        <v>4</v>
      </c>
      <c r="H6857">
        <v>2</v>
      </c>
      <c r="I6857">
        <v>4</v>
      </c>
      <c r="J6857">
        <v>2</v>
      </c>
    </row>
    <row r="6858" spans="7:10">
      <c r="G6858">
        <v>4</v>
      </c>
      <c r="H6858">
        <v>2</v>
      </c>
      <c r="I6858">
        <v>5</v>
      </c>
      <c r="J6858">
        <v>1</v>
      </c>
    </row>
    <row r="6859" spans="7:10">
      <c r="G6859">
        <v>4</v>
      </c>
      <c r="H6859">
        <v>2</v>
      </c>
      <c r="I6859">
        <v>5</v>
      </c>
      <c r="J6859">
        <v>2</v>
      </c>
    </row>
    <row r="6860" spans="7:10">
      <c r="G6860">
        <v>4</v>
      </c>
      <c r="H6860">
        <v>3</v>
      </c>
      <c r="I6860">
        <v>1</v>
      </c>
      <c r="J6860">
        <v>1</v>
      </c>
    </row>
    <row r="6861" spans="7:10">
      <c r="G6861">
        <v>4</v>
      </c>
      <c r="H6861">
        <v>3</v>
      </c>
      <c r="I6861">
        <v>1</v>
      </c>
      <c r="J6861">
        <v>2</v>
      </c>
    </row>
    <row r="6862" spans="7:10">
      <c r="G6862">
        <v>4</v>
      </c>
      <c r="H6862">
        <v>3</v>
      </c>
      <c r="I6862">
        <v>2</v>
      </c>
      <c r="J6862">
        <v>1</v>
      </c>
    </row>
    <row r="6863" spans="7:10">
      <c r="G6863">
        <v>4</v>
      </c>
      <c r="H6863">
        <v>3</v>
      </c>
      <c r="I6863">
        <v>2</v>
      </c>
      <c r="J6863">
        <v>2</v>
      </c>
    </row>
    <row r="6864" spans="7:10">
      <c r="G6864">
        <v>4</v>
      </c>
      <c r="H6864">
        <v>3</v>
      </c>
      <c r="I6864">
        <v>3</v>
      </c>
      <c r="J6864">
        <v>1</v>
      </c>
    </row>
    <row r="6865" spans="7:10">
      <c r="G6865">
        <v>4</v>
      </c>
      <c r="H6865">
        <v>3</v>
      </c>
      <c r="I6865">
        <v>3</v>
      </c>
      <c r="J6865">
        <v>2</v>
      </c>
    </row>
    <row r="6866" spans="7:10">
      <c r="G6866">
        <v>4</v>
      </c>
      <c r="H6866">
        <v>3</v>
      </c>
      <c r="I6866">
        <v>4</v>
      </c>
      <c r="J6866">
        <v>1</v>
      </c>
    </row>
    <row r="6867" spans="7:10">
      <c r="G6867">
        <v>4</v>
      </c>
      <c r="H6867">
        <v>3</v>
      </c>
      <c r="I6867">
        <v>4</v>
      </c>
      <c r="J6867">
        <v>2</v>
      </c>
    </row>
    <row r="6868" spans="7:10">
      <c r="G6868">
        <v>4</v>
      </c>
      <c r="H6868">
        <v>3</v>
      </c>
      <c r="I6868">
        <v>5</v>
      </c>
      <c r="J6868">
        <v>1</v>
      </c>
    </row>
    <row r="6869" spans="7:10">
      <c r="G6869">
        <v>4</v>
      </c>
      <c r="H6869">
        <v>3</v>
      </c>
      <c r="I6869">
        <v>5</v>
      </c>
      <c r="J6869">
        <v>2</v>
      </c>
    </row>
    <row r="6870" spans="7:10">
      <c r="G6870">
        <v>2</v>
      </c>
      <c r="H6870">
        <v>1</v>
      </c>
      <c r="I6870">
        <v>3</v>
      </c>
      <c r="J6870">
        <v>1</v>
      </c>
    </row>
    <row r="6871" spans="7:10">
      <c r="G6871">
        <v>2</v>
      </c>
      <c r="H6871">
        <v>1</v>
      </c>
      <c r="I6871">
        <v>3</v>
      </c>
      <c r="J6871">
        <v>2</v>
      </c>
    </row>
    <row r="6872" spans="7:10">
      <c r="G6872">
        <v>2</v>
      </c>
      <c r="H6872">
        <v>1</v>
      </c>
      <c r="I6872">
        <v>4</v>
      </c>
      <c r="J6872">
        <v>1</v>
      </c>
    </row>
    <row r="6873" spans="7:10">
      <c r="G6873">
        <v>2</v>
      </c>
      <c r="H6873">
        <v>1</v>
      </c>
      <c r="I6873">
        <v>4</v>
      </c>
      <c r="J6873">
        <v>2</v>
      </c>
    </row>
    <row r="6874" spans="7:10">
      <c r="G6874">
        <v>2</v>
      </c>
      <c r="H6874">
        <v>1</v>
      </c>
      <c r="I6874">
        <v>5</v>
      </c>
      <c r="J6874">
        <v>1</v>
      </c>
    </row>
    <row r="6875" spans="7:10">
      <c r="G6875">
        <v>2</v>
      </c>
      <c r="H6875">
        <v>1</v>
      </c>
      <c r="I6875">
        <v>5</v>
      </c>
      <c r="J6875">
        <v>2</v>
      </c>
    </row>
    <row r="6876" spans="7:10">
      <c r="G6876">
        <v>2</v>
      </c>
      <c r="H6876">
        <v>2</v>
      </c>
      <c r="I6876">
        <v>1</v>
      </c>
      <c r="J6876">
        <v>1</v>
      </c>
    </row>
    <row r="6877" spans="7:10">
      <c r="G6877">
        <v>2</v>
      </c>
      <c r="H6877">
        <v>2</v>
      </c>
      <c r="I6877">
        <v>1</v>
      </c>
      <c r="J6877">
        <v>2</v>
      </c>
    </row>
    <row r="6878" spans="7:10">
      <c r="G6878">
        <v>2</v>
      </c>
      <c r="H6878">
        <v>2</v>
      </c>
      <c r="I6878">
        <v>2</v>
      </c>
      <c r="J6878">
        <v>1</v>
      </c>
    </row>
    <row r="6879" spans="7:10">
      <c r="G6879">
        <v>2</v>
      </c>
      <c r="H6879">
        <v>2</v>
      </c>
      <c r="I6879">
        <v>2</v>
      </c>
      <c r="J6879">
        <v>2</v>
      </c>
    </row>
    <row r="6880" spans="7:10">
      <c r="G6880">
        <v>2</v>
      </c>
      <c r="H6880">
        <v>2</v>
      </c>
      <c r="I6880">
        <v>3</v>
      </c>
      <c r="J6880">
        <v>1</v>
      </c>
    </row>
    <row r="6881" spans="7:10">
      <c r="G6881">
        <v>2</v>
      </c>
      <c r="H6881">
        <v>2</v>
      </c>
      <c r="I6881">
        <v>3</v>
      </c>
      <c r="J6881">
        <v>2</v>
      </c>
    </row>
    <row r="6882" spans="7:10">
      <c r="G6882">
        <v>2</v>
      </c>
      <c r="H6882">
        <v>2</v>
      </c>
      <c r="I6882">
        <v>4</v>
      </c>
      <c r="J6882">
        <v>1</v>
      </c>
    </row>
    <row r="6883" spans="7:10">
      <c r="G6883">
        <v>2</v>
      </c>
      <c r="H6883">
        <v>2</v>
      </c>
      <c r="I6883">
        <v>4</v>
      </c>
      <c r="J6883">
        <v>2</v>
      </c>
    </row>
    <row r="6884" spans="7:10">
      <c r="G6884">
        <v>2</v>
      </c>
      <c r="H6884">
        <v>2</v>
      </c>
      <c r="I6884">
        <v>5</v>
      </c>
      <c r="J6884">
        <v>1</v>
      </c>
    </row>
    <row r="6885" spans="7:10">
      <c r="G6885">
        <v>2</v>
      </c>
      <c r="H6885">
        <v>2</v>
      </c>
      <c r="I6885">
        <v>5</v>
      </c>
      <c r="J6885">
        <v>2</v>
      </c>
    </row>
    <row r="6886" spans="7:10">
      <c r="G6886">
        <v>2</v>
      </c>
      <c r="H6886">
        <v>3</v>
      </c>
      <c r="I6886">
        <v>1</v>
      </c>
      <c r="J6886">
        <v>1</v>
      </c>
    </row>
    <row r="6887" spans="7:10">
      <c r="G6887">
        <v>2</v>
      </c>
      <c r="H6887">
        <v>3</v>
      </c>
      <c r="I6887">
        <v>1</v>
      </c>
      <c r="J6887">
        <v>2</v>
      </c>
    </row>
    <row r="6888" spans="7:10">
      <c r="G6888">
        <v>2</v>
      </c>
      <c r="H6888">
        <v>3</v>
      </c>
      <c r="I6888">
        <v>2</v>
      </c>
      <c r="J6888">
        <v>1</v>
      </c>
    </row>
    <row r="6889" spans="7:10">
      <c r="G6889">
        <v>2</v>
      </c>
      <c r="H6889">
        <v>3</v>
      </c>
      <c r="I6889">
        <v>2</v>
      </c>
      <c r="J6889">
        <v>2</v>
      </c>
    </row>
    <row r="6890" spans="7:10">
      <c r="G6890">
        <v>2</v>
      </c>
      <c r="H6890">
        <v>3</v>
      </c>
      <c r="I6890">
        <v>3</v>
      </c>
      <c r="J6890">
        <v>1</v>
      </c>
    </row>
    <row r="6891" spans="7:10">
      <c r="G6891">
        <v>2</v>
      </c>
      <c r="H6891">
        <v>3</v>
      </c>
      <c r="I6891">
        <v>3</v>
      </c>
      <c r="J6891">
        <v>2</v>
      </c>
    </row>
    <row r="6892" spans="7:10">
      <c r="G6892">
        <v>2</v>
      </c>
      <c r="H6892">
        <v>3</v>
      </c>
      <c r="I6892">
        <v>4</v>
      </c>
      <c r="J6892">
        <v>1</v>
      </c>
    </row>
    <row r="6893" spans="7:10">
      <c r="G6893">
        <v>2</v>
      </c>
      <c r="H6893">
        <v>3</v>
      </c>
      <c r="I6893">
        <v>4</v>
      </c>
      <c r="J6893">
        <v>2</v>
      </c>
    </row>
    <row r="6894" spans="7:10">
      <c r="G6894">
        <v>2</v>
      </c>
      <c r="H6894">
        <v>3</v>
      </c>
      <c r="I6894">
        <v>5</v>
      </c>
      <c r="J6894">
        <v>1</v>
      </c>
    </row>
    <row r="6895" spans="7:10">
      <c r="G6895">
        <v>2</v>
      </c>
      <c r="H6895">
        <v>3</v>
      </c>
      <c r="I6895">
        <v>5</v>
      </c>
      <c r="J6895">
        <v>2</v>
      </c>
    </row>
    <row r="6896" spans="7:10">
      <c r="G6896">
        <v>3</v>
      </c>
      <c r="H6896">
        <v>1</v>
      </c>
      <c r="I6896">
        <v>3</v>
      </c>
      <c r="J6896">
        <v>1</v>
      </c>
    </row>
    <row r="6897" spans="7:10">
      <c r="G6897">
        <v>3</v>
      </c>
      <c r="H6897">
        <v>1</v>
      </c>
      <c r="I6897">
        <v>3</v>
      </c>
      <c r="J6897">
        <v>2</v>
      </c>
    </row>
    <row r="6898" spans="7:10">
      <c r="G6898">
        <v>3</v>
      </c>
      <c r="H6898">
        <v>1</v>
      </c>
      <c r="I6898">
        <v>4</v>
      </c>
      <c r="J6898">
        <v>1</v>
      </c>
    </row>
    <row r="6899" spans="7:10">
      <c r="G6899">
        <v>3</v>
      </c>
      <c r="H6899">
        <v>1</v>
      </c>
      <c r="I6899">
        <v>4</v>
      </c>
      <c r="J6899">
        <v>2</v>
      </c>
    </row>
    <row r="6900" spans="7:10">
      <c r="G6900">
        <v>3</v>
      </c>
      <c r="H6900">
        <v>1</v>
      </c>
      <c r="I6900">
        <v>5</v>
      </c>
      <c r="J6900">
        <v>1</v>
      </c>
    </row>
    <row r="6901" spans="7:10">
      <c r="G6901">
        <v>3</v>
      </c>
      <c r="H6901">
        <v>1</v>
      </c>
      <c r="I6901">
        <v>5</v>
      </c>
      <c r="J6901">
        <v>2</v>
      </c>
    </row>
    <row r="6902" spans="7:10">
      <c r="G6902">
        <v>3</v>
      </c>
      <c r="H6902">
        <v>2</v>
      </c>
      <c r="I6902">
        <v>1</v>
      </c>
      <c r="J6902">
        <v>1</v>
      </c>
    </row>
    <row r="6903" spans="7:10">
      <c r="G6903">
        <v>3</v>
      </c>
      <c r="H6903">
        <v>2</v>
      </c>
      <c r="I6903">
        <v>1</v>
      </c>
      <c r="J6903">
        <v>2</v>
      </c>
    </row>
    <row r="6904" spans="7:10">
      <c r="G6904">
        <v>3</v>
      </c>
      <c r="H6904">
        <v>2</v>
      </c>
      <c r="I6904">
        <v>2</v>
      </c>
      <c r="J6904">
        <v>1</v>
      </c>
    </row>
    <row r="6905" spans="7:10">
      <c r="G6905">
        <v>3</v>
      </c>
      <c r="H6905">
        <v>2</v>
      </c>
      <c r="I6905">
        <v>2</v>
      </c>
      <c r="J6905">
        <v>2</v>
      </c>
    </row>
    <row r="6906" spans="7:10">
      <c r="G6906">
        <v>3</v>
      </c>
      <c r="H6906">
        <v>2</v>
      </c>
      <c r="I6906">
        <v>3</v>
      </c>
      <c r="J6906">
        <v>1</v>
      </c>
    </row>
    <row r="6907" spans="7:10">
      <c r="G6907">
        <v>3</v>
      </c>
      <c r="H6907">
        <v>2</v>
      </c>
      <c r="I6907">
        <v>3</v>
      </c>
      <c r="J6907">
        <v>2</v>
      </c>
    </row>
    <row r="6908" spans="7:10">
      <c r="G6908">
        <v>3</v>
      </c>
      <c r="H6908">
        <v>2</v>
      </c>
      <c r="I6908">
        <v>4</v>
      </c>
      <c r="J6908">
        <v>1</v>
      </c>
    </row>
    <row r="6909" spans="7:10">
      <c r="G6909">
        <v>3</v>
      </c>
      <c r="H6909">
        <v>2</v>
      </c>
      <c r="I6909">
        <v>4</v>
      </c>
      <c r="J6909">
        <v>2</v>
      </c>
    </row>
    <row r="6910" spans="7:10">
      <c r="G6910">
        <v>3</v>
      </c>
      <c r="H6910">
        <v>2</v>
      </c>
      <c r="I6910">
        <v>5</v>
      </c>
      <c r="J6910">
        <v>1</v>
      </c>
    </row>
    <row r="6911" spans="7:10">
      <c r="G6911">
        <v>3</v>
      </c>
      <c r="H6911">
        <v>2</v>
      </c>
      <c r="I6911">
        <v>5</v>
      </c>
      <c r="J6911">
        <v>2</v>
      </c>
    </row>
    <row r="6912" spans="7:10">
      <c r="G6912">
        <v>3</v>
      </c>
      <c r="H6912">
        <v>3</v>
      </c>
      <c r="I6912">
        <v>1</v>
      </c>
      <c r="J6912">
        <v>1</v>
      </c>
    </row>
    <row r="6913" spans="7:10">
      <c r="G6913">
        <v>3</v>
      </c>
      <c r="H6913">
        <v>3</v>
      </c>
      <c r="I6913">
        <v>1</v>
      </c>
      <c r="J6913">
        <v>2</v>
      </c>
    </row>
    <row r="6914" spans="7:10">
      <c r="G6914">
        <v>3</v>
      </c>
      <c r="H6914">
        <v>3</v>
      </c>
      <c r="I6914">
        <v>2</v>
      </c>
      <c r="J6914">
        <v>1</v>
      </c>
    </row>
    <row r="6915" spans="7:10">
      <c r="G6915">
        <v>3</v>
      </c>
      <c r="H6915">
        <v>3</v>
      </c>
      <c r="I6915">
        <v>2</v>
      </c>
      <c r="J6915">
        <v>2</v>
      </c>
    </row>
    <row r="6916" spans="7:10">
      <c r="G6916">
        <v>3</v>
      </c>
      <c r="H6916">
        <v>3</v>
      </c>
      <c r="I6916">
        <v>3</v>
      </c>
      <c r="J6916">
        <v>1</v>
      </c>
    </row>
    <row r="6917" spans="7:10">
      <c r="G6917">
        <v>3</v>
      </c>
      <c r="H6917">
        <v>3</v>
      </c>
      <c r="I6917">
        <v>3</v>
      </c>
      <c r="J6917">
        <v>2</v>
      </c>
    </row>
    <row r="6918" spans="7:10">
      <c r="G6918">
        <v>3</v>
      </c>
      <c r="H6918">
        <v>3</v>
      </c>
      <c r="I6918">
        <v>4</v>
      </c>
      <c r="J6918">
        <v>1</v>
      </c>
    </row>
    <row r="6919" spans="7:10">
      <c r="G6919">
        <v>3</v>
      </c>
      <c r="H6919">
        <v>3</v>
      </c>
      <c r="I6919">
        <v>4</v>
      </c>
      <c r="J6919">
        <v>2</v>
      </c>
    </row>
    <row r="6920" spans="7:10">
      <c r="G6920">
        <v>3</v>
      </c>
      <c r="H6920">
        <v>3</v>
      </c>
      <c r="I6920">
        <v>5</v>
      </c>
      <c r="J6920">
        <v>1</v>
      </c>
    </row>
    <row r="6921" spans="7:10">
      <c r="G6921">
        <v>3</v>
      </c>
      <c r="H6921">
        <v>3</v>
      </c>
      <c r="I6921">
        <v>5</v>
      </c>
      <c r="J6921">
        <v>2</v>
      </c>
    </row>
    <row r="6922" spans="7:10">
      <c r="G6922">
        <v>4</v>
      </c>
      <c r="H6922">
        <v>1</v>
      </c>
      <c r="I6922">
        <v>3</v>
      </c>
      <c r="J6922">
        <v>1</v>
      </c>
    </row>
    <row r="6923" spans="7:10">
      <c r="G6923">
        <v>4</v>
      </c>
      <c r="H6923">
        <v>1</v>
      </c>
      <c r="I6923">
        <v>3</v>
      </c>
      <c r="J6923">
        <v>2</v>
      </c>
    </row>
    <row r="6924" spans="7:10">
      <c r="G6924">
        <v>4</v>
      </c>
      <c r="H6924">
        <v>1</v>
      </c>
      <c r="I6924">
        <v>4</v>
      </c>
      <c r="J6924">
        <v>1</v>
      </c>
    </row>
    <row r="6925" spans="7:10">
      <c r="G6925">
        <v>4</v>
      </c>
      <c r="H6925">
        <v>1</v>
      </c>
      <c r="I6925">
        <v>4</v>
      </c>
      <c r="J6925">
        <v>2</v>
      </c>
    </row>
    <row r="6926" spans="7:10">
      <c r="G6926">
        <v>4</v>
      </c>
      <c r="H6926">
        <v>1</v>
      </c>
      <c r="I6926">
        <v>5</v>
      </c>
      <c r="J6926">
        <v>1</v>
      </c>
    </row>
    <row r="6927" spans="7:10">
      <c r="G6927">
        <v>4</v>
      </c>
      <c r="H6927">
        <v>1</v>
      </c>
      <c r="I6927">
        <v>5</v>
      </c>
      <c r="J6927">
        <v>2</v>
      </c>
    </row>
    <row r="6928" spans="7:10">
      <c r="G6928">
        <v>4</v>
      </c>
      <c r="H6928">
        <v>2</v>
      </c>
      <c r="I6928">
        <v>1</v>
      </c>
      <c r="J6928">
        <v>1</v>
      </c>
    </row>
    <row r="6929" spans="7:10">
      <c r="G6929">
        <v>4</v>
      </c>
      <c r="H6929">
        <v>2</v>
      </c>
      <c r="I6929">
        <v>1</v>
      </c>
      <c r="J6929">
        <v>2</v>
      </c>
    </row>
    <row r="6930" spans="7:10">
      <c r="G6930">
        <v>4</v>
      </c>
      <c r="H6930">
        <v>2</v>
      </c>
      <c r="I6930">
        <v>2</v>
      </c>
      <c r="J6930">
        <v>1</v>
      </c>
    </row>
    <row r="6931" spans="7:10">
      <c r="G6931">
        <v>4</v>
      </c>
      <c r="H6931">
        <v>2</v>
      </c>
      <c r="I6931">
        <v>2</v>
      </c>
      <c r="J6931">
        <v>2</v>
      </c>
    </row>
    <row r="6932" spans="7:10">
      <c r="G6932">
        <v>4</v>
      </c>
      <c r="H6932">
        <v>2</v>
      </c>
      <c r="I6932">
        <v>3</v>
      </c>
      <c r="J6932">
        <v>1</v>
      </c>
    </row>
    <row r="6933" spans="7:10">
      <c r="G6933">
        <v>4</v>
      </c>
      <c r="H6933">
        <v>2</v>
      </c>
      <c r="I6933">
        <v>3</v>
      </c>
      <c r="J6933">
        <v>2</v>
      </c>
    </row>
    <row r="6934" spans="7:10">
      <c r="G6934">
        <v>4</v>
      </c>
      <c r="H6934">
        <v>2</v>
      </c>
      <c r="I6934">
        <v>4</v>
      </c>
      <c r="J6934">
        <v>1</v>
      </c>
    </row>
    <row r="6935" spans="7:10">
      <c r="G6935">
        <v>4</v>
      </c>
      <c r="H6935">
        <v>2</v>
      </c>
      <c r="I6935">
        <v>4</v>
      </c>
      <c r="J6935">
        <v>2</v>
      </c>
    </row>
    <row r="6936" spans="7:10">
      <c r="G6936">
        <v>4</v>
      </c>
      <c r="H6936">
        <v>2</v>
      </c>
      <c r="I6936">
        <v>5</v>
      </c>
      <c r="J6936">
        <v>1</v>
      </c>
    </row>
    <row r="6937" spans="7:10">
      <c r="G6937">
        <v>4</v>
      </c>
      <c r="H6937">
        <v>2</v>
      </c>
      <c r="I6937">
        <v>5</v>
      </c>
      <c r="J6937">
        <v>2</v>
      </c>
    </row>
    <row r="6938" spans="7:10">
      <c r="G6938">
        <v>4</v>
      </c>
      <c r="H6938">
        <v>3</v>
      </c>
      <c r="I6938">
        <v>1</v>
      </c>
      <c r="J6938">
        <v>1</v>
      </c>
    </row>
    <row r="6939" spans="7:10">
      <c r="G6939">
        <v>4</v>
      </c>
      <c r="H6939">
        <v>3</v>
      </c>
      <c r="I6939">
        <v>1</v>
      </c>
      <c r="J6939">
        <v>2</v>
      </c>
    </row>
    <row r="6940" spans="7:10">
      <c r="G6940">
        <v>4</v>
      </c>
      <c r="H6940">
        <v>3</v>
      </c>
      <c r="I6940">
        <v>2</v>
      </c>
      <c r="J6940">
        <v>1</v>
      </c>
    </row>
    <row r="6941" spans="7:10">
      <c r="G6941">
        <v>4</v>
      </c>
      <c r="H6941">
        <v>3</v>
      </c>
      <c r="I6941">
        <v>2</v>
      </c>
      <c r="J6941">
        <v>2</v>
      </c>
    </row>
    <row r="6942" spans="7:10">
      <c r="G6942">
        <v>4</v>
      </c>
      <c r="H6942">
        <v>3</v>
      </c>
      <c r="I6942">
        <v>3</v>
      </c>
      <c r="J6942">
        <v>1</v>
      </c>
    </row>
    <row r="6943" spans="7:10">
      <c r="G6943">
        <v>4</v>
      </c>
      <c r="H6943">
        <v>3</v>
      </c>
      <c r="I6943">
        <v>3</v>
      </c>
      <c r="J6943">
        <v>2</v>
      </c>
    </row>
    <row r="6944" spans="7:10">
      <c r="G6944">
        <v>4</v>
      </c>
      <c r="H6944">
        <v>3</v>
      </c>
      <c r="I6944">
        <v>4</v>
      </c>
      <c r="J6944">
        <v>1</v>
      </c>
    </row>
    <row r="6945" spans="7:10">
      <c r="G6945">
        <v>4</v>
      </c>
      <c r="H6945">
        <v>3</v>
      </c>
      <c r="I6945">
        <v>4</v>
      </c>
      <c r="J6945">
        <v>2</v>
      </c>
    </row>
    <row r="6946" spans="7:10">
      <c r="G6946">
        <v>4</v>
      </c>
      <c r="H6946">
        <v>3</v>
      </c>
      <c r="I6946">
        <v>5</v>
      </c>
      <c r="J6946">
        <v>1</v>
      </c>
    </row>
    <row r="6947" spans="7:10">
      <c r="G6947">
        <v>4</v>
      </c>
      <c r="H6947">
        <v>3</v>
      </c>
      <c r="I6947">
        <v>5</v>
      </c>
      <c r="J6947">
        <v>2</v>
      </c>
    </row>
    <row r="6948" spans="7:10">
      <c r="G6948">
        <v>1</v>
      </c>
      <c r="H6948">
        <v>2</v>
      </c>
      <c r="I6948">
        <v>1</v>
      </c>
      <c r="J6948">
        <v>1</v>
      </c>
    </row>
    <row r="6949" spans="7:10">
      <c r="G6949">
        <v>1</v>
      </c>
      <c r="H6949">
        <v>2</v>
      </c>
      <c r="I6949">
        <v>1</v>
      </c>
      <c r="J6949">
        <v>2</v>
      </c>
    </row>
    <row r="6950" spans="7:10">
      <c r="G6950">
        <v>1</v>
      </c>
      <c r="H6950">
        <v>2</v>
      </c>
      <c r="I6950">
        <v>2</v>
      </c>
      <c r="J6950">
        <v>1</v>
      </c>
    </row>
    <row r="6951" spans="7:10">
      <c r="G6951">
        <v>1</v>
      </c>
      <c r="H6951">
        <v>2</v>
      </c>
      <c r="I6951">
        <v>2</v>
      </c>
      <c r="J6951">
        <v>2</v>
      </c>
    </row>
    <row r="6952" spans="7:10">
      <c r="G6952">
        <v>1</v>
      </c>
      <c r="H6952">
        <v>2</v>
      </c>
      <c r="I6952">
        <v>3</v>
      </c>
      <c r="J6952">
        <v>1</v>
      </c>
    </row>
    <row r="6953" spans="7:10">
      <c r="G6953">
        <v>1</v>
      </c>
      <c r="H6953">
        <v>2</v>
      </c>
      <c r="I6953">
        <v>3</v>
      </c>
      <c r="J6953">
        <v>2</v>
      </c>
    </row>
    <row r="6954" spans="7:10">
      <c r="G6954">
        <v>1</v>
      </c>
      <c r="H6954">
        <v>2</v>
      </c>
      <c r="I6954">
        <v>4</v>
      </c>
      <c r="J6954">
        <v>1</v>
      </c>
    </row>
    <row r="6955" spans="7:10">
      <c r="G6955">
        <v>1</v>
      </c>
      <c r="H6955">
        <v>2</v>
      </c>
      <c r="I6955">
        <v>4</v>
      </c>
      <c r="J6955">
        <v>2</v>
      </c>
    </row>
    <row r="6956" spans="7:10">
      <c r="G6956">
        <v>1</v>
      </c>
      <c r="H6956">
        <v>2</v>
      </c>
      <c r="I6956">
        <v>5</v>
      </c>
      <c r="J6956">
        <v>1</v>
      </c>
    </row>
    <row r="6957" spans="7:10">
      <c r="G6957">
        <v>1</v>
      </c>
      <c r="H6957">
        <v>2</v>
      </c>
      <c r="I6957">
        <v>5</v>
      </c>
      <c r="J6957">
        <v>2</v>
      </c>
    </row>
    <row r="6958" spans="7:10">
      <c r="G6958">
        <v>1</v>
      </c>
      <c r="H6958">
        <v>3</v>
      </c>
      <c r="I6958">
        <v>1</v>
      </c>
      <c r="J6958">
        <v>1</v>
      </c>
    </row>
    <row r="6959" spans="7:10">
      <c r="G6959">
        <v>1</v>
      </c>
      <c r="H6959">
        <v>3</v>
      </c>
      <c r="I6959">
        <v>1</v>
      </c>
      <c r="J6959">
        <v>2</v>
      </c>
    </row>
    <row r="6960" spans="7:10">
      <c r="G6960">
        <v>1</v>
      </c>
      <c r="H6960">
        <v>3</v>
      </c>
      <c r="I6960">
        <v>2</v>
      </c>
      <c r="J6960">
        <v>1</v>
      </c>
    </row>
    <row r="6961" spans="7:10">
      <c r="G6961">
        <v>1</v>
      </c>
      <c r="H6961">
        <v>3</v>
      </c>
      <c r="I6961">
        <v>2</v>
      </c>
      <c r="J6961">
        <v>2</v>
      </c>
    </row>
    <row r="6962" spans="7:10">
      <c r="G6962">
        <v>1</v>
      </c>
      <c r="H6962">
        <v>3</v>
      </c>
      <c r="I6962">
        <v>3</v>
      </c>
      <c r="J6962">
        <v>1</v>
      </c>
    </row>
    <row r="6963" spans="7:10">
      <c r="G6963">
        <v>1</v>
      </c>
      <c r="H6963">
        <v>3</v>
      </c>
      <c r="I6963">
        <v>3</v>
      </c>
      <c r="J6963">
        <v>2</v>
      </c>
    </row>
    <row r="6964" spans="7:10">
      <c r="G6964">
        <v>1</v>
      </c>
      <c r="H6964">
        <v>3</v>
      </c>
      <c r="I6964">
        <v>4</v>
      </c>
      <c r="J6964">
        <v>1</v>
      </c>
    </row>
    <row r="6965" spans="7:10">
      <c r="G6965">
        <v>1</v>
      </c>
      <c r="H6965">
        <v>3</v>
      </c>
      <c r="I6965">
        <v>4</v>
      </c>
      <c r="J6965">
        <v>2</v>
      </c>
    </row>
    <row r="6966" spans="7:10">
      <c r="G6966">
        <v>1</v>
      </c>
      <c r="H6966">
        <v>3</v>
      </c>
      <c r="I6966">
        <v>5</v>
      </c>
      <c r="J6966">
        <v>1</v>
      </c>
    </row>
    <row r="6967" spans="7:10">
      <c r="G6967">
        <v>1</v>
      </c>
      <c r="H6967">
        <v>3</v>
      </c>
      <c r="I6967">
        <v>5</v>
      </c>
      <c r="J6967">
        <v>2</v>
      </c>
    </row>
    <row r="6968" spans="7:10">
      <c r="G6968">
        <v>2</v>
      </c>
      <c r="H6968">
        <v>1</v>
      </c>
      <c r="I6968">
        <v>3</v>
      </c>
      <c r="J6968">
        <v>1</v>
      </c>
    </row>
    <row r="6969" spans="7:10">
      <c r="G6969">
        <v>2</v>
      </c>
      <c r="H6969">
        <v>1</v>
      </c>
      <c r="I6969">
        <v>3</v>
      </c>
      <c r="J6969">
        <v>2</v>
      </c>
    </row>
    <row r="6970" spans="7:10">
      <c r="G6970">
        <v>2</v>
      </c>
      <c r="H6970">
        <v>1</v>
      </c>
      <c r="I6970">
        <v>4</v>
      </c>
      <c r="J6970">
        <v>1</v>
      </c>
    </row>
    <row r="6971" spans="7:10">
      <c r="G6971">
        <v>2</v>
      </c>
      <c r="H6971">
        <v>1</v>
      </c>
      <c r="I6971">
        <v>4</v>
      </c>
      <c r="J6971">
        <v>2</v>
      </c>
    </row>
    <row r="6972" spans="7:10">
      <c r="G6972">
        <v>2</v>
      </c>
      <c r="H6972">
        <v>1</v>
      </c>
      <c r="I6972">
        <v>5</v>
      </c>
      <c r="J6972">
        <v>1</v>
      </c>
    </row>
    <row r="6973" spans="7:10">
      <c r="G6973">
        <v>2</v>
      </c>
      <c r="H6973">
        <v>1</v>
      </c>
      <c r="I6973">
        <v>5</v>
      </c>
      <c r="J6973">
        <v>2</v>
      </c>
    </row>
    <row r="6974" spans="7:10">
      <c r="G6974">
        <v>2</v>
      </c>
      <c r="H6974">
        <v>2</v>
      </c>
      <c r="I6974">
        <v>1</v>
      </c>
      <c r="J6974">
        <v>1</v>
      </c>
    </row>
    <row r="6975" spans="7:10">
      <c r="G6975">
        <v>2</v>
      </c>
      <c r="H6975">
        <v>2</v>
      </c>
      <c r="I6975">
        <v>1</v>
      </c>
      <c r="J6975">
        <v>2</v>
      </c>
    </row>
    <row r="6976" spans="7:10">
      <c r="G6976">
        <v>2</v>
      </c>
      <c r="H6976">
        <v>2</v>
      </c>
      <c r="I6976">
        <v>2</v>
      </c>
      <c r="J6976">
        <v>1</v>
      </c>
    </row>
    <row r="6977" spans="7:10">
      <c r="G6977">
        <v>2</v>
      </c>
      <c r="H6977">
        <v>2</v>
      </c>
      <c r="I6977">
        <v>2</v>
      </c>
      <c r="J6977">
        <v>2</v>
      </c>
    </row>
    <row r="6978" spans="7:10">
      <c r="G6978">
        <v>2</v>
      </c>
      <c r="H6978">
        <v>2</v>
      </c>
      <c r="I6978">
        <v>3</v>
      </c>
      <c r="J6978">
        <v>1</v>
      </c>
    </row>
    <row r="6979" spans="7:10">
      <c r="G6979">
        <v>2</v>
      </c>
      <c r="H6979">
        <v>2</v>
      </c>
      <c r="I6979">
        <v>3</v>
      </c>
      <c r="J6979">
        <v>2</v>
      </c>
    </row>
    <row r="6980" spans="7:10">
      <c r="G6980">
        <v>2</v>
      </c>
      <c r="H6980">
        <v>2</v>
      </c>
      <c r="I6980">
        <v>4</v>
      </c>
      <c r="J6980">
        <v>1</v>
      </c>
    </row>
    <row r="6981" spans="7:10">
      <c r="G6981">
        <v>2</v>
      </c>
      <c r="H6981">
        <v>2</v>
      </c>
      <c r="I6981">
        <v>4</v>
      </c>
      <c r="J6981">
        <v>2</v>
      </c>
    </row>
    <row r="6982" spans="7:10">
      <c r="G6982">
        <v>2</v>
      </c>
      <c r="H6982">
        <v>2</v>
      </c>
      <c r="I6982">
        <v>5</v>
      </c>
      <c r="J6982">
        <v>1</v>
      </c>
    </row>
    <row r="6983" spans="7:10">
      <c r="G6983">
        <v>2</v>
      </c>
      <c r="H6983">
        <v>2</v>
      </c>
      <c r="I6983">
        <v>5</v>
      </c>
      <c r="J6983">
        <v>2</v>
      </c>
    </row>
    <row r="6984" spans="7:10">
      <c r="G6984">
        <v>2</v>
      </c>
      <c r="H6984">
        <v>3</v>
      </c>
      <c r="I6984">
        <v>1</v>
      </c>
      <c r="J6984">
        <v>1</v>
      </c>
    </row>
    <row r="6985" spans="7:10">
      <c r="G6985">
        <v>2</v>
      </c>
      <c r="H6985">
        <v>3</v>
      </c>
      <c r="I6985">
        <v>1</v>
      </c>
      <c r="J6985">
        <v>2</v>
      </c>
    </row>
    <row r="6986" spans="7:10">
      <c r="G6986">
        <v>2</v>
      </c>
      <c r="H6986">
        <v>3</v>
      </c>
      <c r="I6986">
        <v>2</v>
      </c>
      <c r="J6986">
        <v>1</v>
      </c>
    </row>
    <row r="6987" spans="7:10">
      <c r="G6987">
        <v>2</v>
      </c>
      <c r="H6987">
        <v>3</v>
      </c>
      <c r="I6987">
        <v>2</v>
      </c>
      <c r="J6987">
        <v>2</v>
      </c>
    </row>
    <row r="6988" spans="7:10">
      <c r="G6988">
        <v>2</v>
      </c>
      <c r="H6988">
        <v>3</v>
      </c>
      <c r="I6988">
        <v>3</v>
      </c>
      <c r="J6988">
        <v>1</v>
      </c>
    </row>
    <row r="6989" spans="7:10">
      <c r="G6989">
        <v>2</v>
      </c>
      <c r="H6989">
        <v>3</v>
      </c>
      <c r="I6989">
        <v>3</v>
      </c>
      <c r="J6989">
        <v>2</v>
      </c>
    </row>
    <row r="6990" spans="7:10">
      <c r="G6990">
        <v>2</v>
      </c>
      <c r="H6990">
        <v>3</v>
      </c>
      <c r="I6990">
        <v>4</v>
      </c>
      <c r="J6990">
        <v>1</v>
      </c>
    </row>
    <row r="6991" spans="7:10">
      <c r="G6991">
        <v>2</v>
      </c>
      <c r="H6991">
        <v>3</v>
      </c>
      <c r="I6991">
        <v>4</v>
      </c>
      <c r="J6991">
        <v>2</v>
      </c>
    </row>
    <row r="6992" spans="7:10">
      <c r="G6992">
        <v>2</v>
      </c>
      <c r="H6992">
        <v>3</v>
      </c>
      <c r="I6992">
        <v>5</v>
      </c>
      <c r="J6992">
        <v>1</v>
      </c>
    </row>
    <row r="6993" spans="7:10">
      <c r="G6993">
        <v>2</v>
      </c>
      <c r="H6993">
        <v>3</v>
      </c>
      <c r="I6993">
        <v>5</v>
      </c>
      <c r="J6993">
        <v>2</v>
      </c>
    </row>
    <row r="6994" spans="7:10">
      <c r="G6994">
        <v>3</v>
      </c>
      <c r="H6994">
        <v>1</v>
      </c>
      <c r="I6994">
        <v>3</v>
      </c>
      <c r="J6994">
        <v>1</v>
      </c>
    </row>
    <row r="6995" spans="7:10">
      <c r="G6995">
        <v>3</v>
      </c>
      <c r="H6995">
        <v>1</v>
      </c>
      <c r="I6995">
        <v>3</v>
      </c>
      <c r="J6995">
        <v>2</v>
      </c>
    </row>
    <row r="6996" spans="7:10">
      <c r="G6996">
        <v>3</v>
      </c>
      <c r="H6996">
        <v>1</v>
      </c>
      <c r="I6996">
        <v>4</v>
      </c>
      <c r="J6996">
        <v>1</v>
      </c>
    </row>
    <row r="6997" spans="7:10">
      <c r="G6997">
        <v>3</v>
      </c>
      <c r="H6997">
        <v>1</v>
      </c>
      <c r="I6997">
        <v>4</v>
      </c>
      <c r="J6997">
        <v>2</v>
      </c>
    </row>
    <row r="6998" spans="7:10">
      <c r="G6998">
        <v>3</v>
      </c>
      <c r="H6998">
        <v>1</v>
      </c>
      <c r="I6998">
        <v>5</v>
      </c>
      <c r="J6998">
        <v>1</v>
      </c>
    </row>
    <row r="6999" spans="7:10">
      <c r="G6999">
        <v>3</v>
      </c>
      <c r="H6999">
        <v>1</v>
      </c>
      <c r="I6999">
        <v>5</v>
      </c>
      <c r="J6999">
        <v>2</v>
      </c>
    </row>
    <row r="7000" spans="7:10">
      <c r="G7000">
        <v>3</v>
      </c>
      <c r="H7000">
        <v>2</v>
      </c>
      <c r="I7000">
        <v>1</v>
      </c>
      <c r="J7000">
        <v>1</v>
      </c>
    </row>
    <row r="7001" spans="7:10">
      <c r="G7001">
        <v>3</v>
      </c>
      <c r="H7001">
        <v>2</v>
      </c>
      <c r="I7001">
        <v>1</v>
      </c>
      <c r="J7001">
        <v>2</v>
      </c>
    </row>
    <row r="7002" spans="7:10">
      <c r="G7002">
        <v>3</v>
      </c>
      <c r="H7002">
        <v>2</v>
      </c>
      <c r="I7002">
        <v>2</v>
      </c>
      <c r="J7002">
        <v>1</v>
      </c>
    </row>
    <row r="7003" spans="7:10">
      <c r="G7003">
        <v>3</v>
      </c>
      <c r="H7003">
        <v>2</v>
      </c>
      <c r="I7003">
        <v>2</v>
      </c>
      <c r="J7003">
        <v>2</v>
      </c>
    </row>
    <row r="7004" spans="7:10">
      <c r="G7004">
        <v>3</v>
      </c>
      <c r="H7004">
        <v>2</v>
      </c>
      <c r="I7004">
        <v>3</v>
      </c>
      <c r="J7004">
        <v>1</v>
      </c>
    </row>
    <row r="7005" spans="7:10">
      <c r="G7005">
        <v>3</v>
      </c>
      <c r="H7005">
        <v>2</v>
      </c>
      <c r="I7005">
        <v>3</v>
      </c>
      <c r="J7005">
        <v>2</v>
      </c>
    </row>
    <row r="7006" spans="7:10">
      <c r="G7006">
        <v>3</v>
      </c>
      <c r="H7006">
        <v>2</v>
      </c>
      <c r="I7006">
        <v>4</v>
      </c>
      <c r="J7006">
        <v>1</v>
      </c>
    </row>
    <row r="7007" spans="7:10">
      <c r="G7007">
        <v>3</v>
      </c>
      <c r="H7007">
        <v>2</v>
      </c>
      <c r="I7007">
        <v>4</v>
      </c>
      <c r="J7007">
        <v>2</v>
      </c>
    </row>
    <row r="7008" spans="7:10">
      <c r="G7008">
        <v>3</v>
      </c>
      <c r="H7008">
        <v>2</v>
      </c>
      <c r="I7008">
        <v>5</v>
      </c>
      <c r="J7008">
        <v>1</v>
      </c>
    </row>
    <row r="7009" spans="7:10">
      <c r="G7009">
        <v>3</v>
      </c>
      <c r="H7009">
        <v>2</v>
      </c>
      <c r="I7009">
        <v>5</v>
      </c>
      <c r="J7009">
        <v>2</v>
      </c>
    </row>
    <row r="7010" spans="7:10">
      <c r="G7010">
        <v>3</v>
      </c>
      <c r="H7010">
        <v>3</v>
      </c>
      <c r="I7010">
        <v>1</v>
      </c>
      <c r="J7010">
        <v>1</v>
      </c>
    </row>
    <row r="7011" spans="7:10">
      <c r="G7011">
        <v>3</v>
      </c>
      <c r="H7011">
        <v>3</v>
      </c>
      <c r="I7011">
        <v>1</v>
      </c>
      <c r="J7011">
        <v>2</v>
      </c>
    </row>
    <row r="7012" spans="7:10">
      <c r="G7012">
        <v>3</v>
      </c>
      <c r="H7012">
        <v>3</v>
      </c>
      <c r="I7012">
        <v>2</v>
      </c>
      <c r="J7012">
        <v>1</v>
      </c>
    </row>
    <row r="7013" spans="7:10">
      <c r="G7013">
        <v>3</v>
      </c>
      <c r="H7013">
        <v>3</v>
      </c>
      <c r="I7013">
        <v>2</v>
      </c>
      <c r="J7013">
        <v>2</v>
      </c>
    </row>
    <row r="7014" spans="7:10">
      <c r="G7014">
        <v>3</v>
      </c>
      <c r="H7014">
        <v>3</v>
      </c>
      <c r="I7014">
        <v>3</v>
      </c>
      <c r="J7014">
        <v>1</v>
      </c>
    </row>
    <row r="7015" spans="7:10">
      <c r="G7015">
        <v>3</v>
      </c>
      <c r="H7015">
        <v>3</v>
      </c>
      <c r="I7015">
        <v>3</v>
      </c>
      <c r="J7015">
        <v>2</v>
      </c>
    </row>
    <row r="7016" spans="7:10">
      <c r="G7016">
        <v>3</v>
      </c>
      <c r="H7016">
        <v>3</v>
      </c>
      <c r="I7016">
        <v>4</v>
      </c>
      <c r="J7016">
        <v>1</v>
      </c>
    </row>
    <row r="7017" spans="7:10">
      <c r="G7017">
        <v>3</v>
      </c>
      <c r="H7017">
        <v>3</v>
      </c>
      <c r="I7017">
        <v>4</v>
      </c>
      <c r="J7017">
        <v>2</v>
      </c>
    </row>
    <row r="7018" spans="7:10">
      <c r="G7018">
        <v>3</v>
      </c>
      <c r="H7018">
        <v>3</v>
      </c>
      <c r="I7018">
        <v>5</v>
      </c>
      <c r="J7018">
        <v>1</v>
      </c>
    </row>
    <row r="7019" spans="7:10">
      <c r="G7019">
        <v>3</v>
      </c>
      <c r="H7019">
        <v>3</v>
      </c>
      <c r="I7019">
        <v>5</v>
      </c>
      <c r="J7019">
        <v>2</v>
      </c>
    </row>
    <row r="7020" spans="7:10">
      <c r="G7020">
        <v>4</v>
      </c>
      <c r="H7020">
        <v>1</v>
      </c>
      <c r="I7020">
        <v>3</v>
      </c>
      <c r="J7020">
        <v>1</v>
      </c>
    </row>
    <row r="7021" spans="7:10">
      <c r="G7021">
        <v>4</v>
      </c>
      <c r="H7021">
        <v>1</v>
      </c>
      <c r="I7021">
        <v>3</v>
      </c>
      <c r="J7021">
        <v>2</v>
      </c>
    </row>
    <row r="7022" spans="7:10">
      <c r="G7022">
        <v>4</v>
      </c>
      <c r="H7022">
        <v>1</v>
      </c>
      <c r="I7022">
        <v>4</v>
      </c>
      <c r="J7022">
        <v>1</v>
      </c>
    </row>
    <row r="7023" spans="7:10">
      <c r="G7023">
        <v>4</v>
      </c>
      <c r="H7023">
        <v>1</v>
      </c>
      <c r="I7023">
        <v>4</v>
      </c>
      <c r="J7023">
        <v>2</v>
      </c>
    </row>
    <row r="7024" spans="7:10">
      <c r="G7024">
        <v>4</v>
      </c>
      <c r="H7024">
        <v>1</v>
      </c>
      <c r="I7024">
        <v>5</v>
      </c>
      <c r="J7024">
        <v>1</v>
      </c>
    </row>
    <row r="7025" spans="7:10">
      <c r="G7025">
        <v>4</v>
      </c>
      <c r="H7025">
        <v>1</v>
      </c>
      <c r="I7025">
        <v>5</v>
      </c>
      <c r="J7025">
        <v>2</v>
      </c>
    </row>
    <row r="7026" spans="7:10">
      <c r="G7026">
        <v>4</v>
      </c>
      <c r="H7026">
        <v>2</v>
      </c>
      <c r="I7026">
        <v>1</v>
      </c>
      <c r="J7026">
        <v>1</v>
      </c>
    </row>
    <row r="7027" spans="7:10">
      <c r="G7027">
        <v>4</v>
      </c>
      <c r="H7027">
        <v>2</v>
      </c>
      <c r="I7027">
        <v>1</v>
      </c>
      <c r="J7027">
        <v>2</v>
      </c>
    </row>
    <row r="7028" spans="7:10">
      <c r="G7028">
        <v>4</v>
      </c>
      <c r="H7028">
        <v>2</v>
      </c>
      <c r="I7028">
        <v>2</v>
      </c>
      <c r="J7028">
        <v>1</v>
      </c>
    </row>
    <row r="7029" spans="7:10">
      <c r="G7029">
        <v>4</v>
      </c>
      <c r="H7029">
        <v>2</v>
      </c>
      <c r="I7029">
        <v>2</v>
      </c>
      <c r="J7029">
        <v>2</v>
      </c>
    </row>
    <row r="7030" spans="7:10">
      <c r="G7030">
        <v>4</v>
      </c>
      <c r="H7030">
        <v>2</v>
      </c>
      <c r="I7030">
        <v>3</v>
      </c>
      <c r="J7030">
        <v>1</v>
      </c>
    </row>
    <row r="7031" spans="7:10">
      <c r="G7031">
        <v>4</v>
      </c>
      <c r="H7031">
        <v>2</v>
      </c>
      <c r="I7031">
        <v>3</v>
      </c>
      <c r="J7031">
        <v>2</v>
      </c>
    </row>
    <row r="7032" spans="7:10">
      <c r="G7032">
        <v>4</v>
      </c>
      <c r="H7032">
        <v>2</v>
      </c>
      <c r="I7032">
        <v>4</v>
      </c>
      <c r="J7032">
        <v>1</v>
      </c>
    </row>
    <row r="7033" spans="7:10">
      <c r="G7033">
        <v>4</v>
      </c>
      <c r="H7033">
        <v>2</v>
      </c>
      <c r="I7033">
        <v>4</v>
      </c>
      <c r="J7033">
        <v>2</v>
      </c>
    </row>
    <row r="7034" spans="7:10">
      <c r="G7034">
        <v>4</v>
      </c>
      <c r="H7034">
        <v>2</v>
      </c>
      <c r="I7034">
        <v>5</v>
      </c>
      <c r="J7034">
        <v>1</v>
      </c>
    </row>
    <row r="7035" spans="7:10">
      <c r="G7035">
        <v>4</v>
      </c>
      <c r="H7035">
        <v>2</v>
      </c>
      <c r="I7035">
        <v>5</v>
      </c>
      <c r="J7035">
        <v>2</v>
      </c>
    </row>
    <row r="7036" spans="7:10">
      <c r="G7036">
        <v>4</v>
      </c>
      <c r="H7036">
        <v>3</v>
      </c>
      <c r="I7036">
        <v>1</v>
      </c>
      <c r="J7036">
        <v>1</v>
      </c>
    </row>
    <row r="7037" spans="7:10">
      <c r="G7037">
        <v>4</v>
      </c>
      <c r="H7037">
        <v>3</v>
      </c>
      <c r="I7037">
        <v>1</v>
      </c>
      <c r="J7037">
        <v>2</v>
      </c>
    </row>
    <row r="7038" spans="7:10">
      <c r="G7038">
        <v>4</v>
      </c>
      <c r="H7038">
        <v>3</v>
      </c>
      <c r="I7038">
        <v>2</v>
      </c>
      <c r="J7038">
        <v>1</v>
      </c>
    </row>
    <row r="7039" spans="7:10">
      <c r="G7039">
        <v>4</v>
      </c>
      <c r="H7039">
        <v>3</v>
      </c>
      <c r="I7039">
        <v>2</v>
      </c>
      <c r="J7039">
        <v>2</v>
      </c>
    </row>
    <row r="7040" spans="7:10">
      <c r="G7040">
        <v>4</v>
      </c>
      <c r="H7040">
        <v>3</v>
      </c>
      <c r="I7040">
        <v>3</v>
      </c>
      <c r="J7040">
        <v>1</v>
      </c>
    </row>
    <row r="7041" spans="7:10">
      <c r="G7041">
        <v>4</v>
      </c>
      <c r="H7041">
        <v>3</v>
      </c>
      <c r="I7041">
        <v>3</v>
      </c>
      <c r="J7041">
        <v>2</v>
      </c>
    </row>
    <row r="7042" spans="7:10">
      <c r="G7042">
        <v>4</v>
      </c>
      <c r="H7042">
        <v>3</v>
      </c>
      <c r="I7042">
        <v>4</v>
      </c>
      <c r="J7042">
        <v>1</v>
      </c>
    </row>
    <row r="7043" spans="7:10">
      <c r="G7043">
        <v>4</v>
      </c>
      <c r="H7043">
        <v>3</v>
      </c>
      <c r="I7043">
        <v>4</v>
      </c>
      <c r="J7043">
        <v>2</v>
      </c>
    </row>
    <row r="7044" spans="7:10">
      <c r="G7044">
        <v>4</v>
      </c>
      <c r="H7044">
        <v>3</v>
      </c>
      <c r="I7044">
        <v>5</v>
      </c>
      <c r="J7044">
        <v>1</v>
      </c>
    </row>
    <row r="7045" spans="7:10">
      <c r="G7045">
        <v>4</v>
      </c>
      <c r="H7045">
        <v>3</v>
      </c>
      <c r="I7045">
        <v>5</v>
      </c>
      <c r="J7045">
        <v>2</v>
      </c>
    </row>
    <row r="7046" spans="7:10">
      <c r="G7046">
        <v>1</v>
      </c>
      <c r="H7046">
        <v>2</v>
      </c>
      <c r="I7046">
        <v>1</v>
      </c>
      <c r="J7046">
        <v>1</v>
      </c>
    </row>
    <row r="7047" spans="7:10">
      <c r="G7047">
        <v>1</v>
      </c>
      <c r="H7047">
        <v>2</v>
      </c>
      <c r="I7047">
        <v>1</v>
      </c>
      <c r="J7047">
        <v>2</v>
      </c>
    </row>
    <row r="7048" spans="7:10">
      <c r="G7048">
        <v>1</v>
      </c>
      <c r="H7048">
        <v>2</v>
      </c>
      <c r="I7048">
        <v>2</v>
      </c>
      <c r="J7048">
        <v>1</v>
      </c>
    </row>
    <row r="7049" spans="7:10">
      <c r="G7049">
        <v>1</v>
      </c>
      <c r="H7049">
        <v>2</v>
      </c>
      <c r="I7049">
        <v>2</v>
      </c>
      <c r="J7049">
        <v>2</v>
      </c>
    </row>
    <row r="7050" spans="7:10">
      <c r="G7050">
        <v>1</v>
      </c>
      <c r="H7050">
        <v>2</v>
      </c>
      <c r="I7050">
        <v>3</v>
      </c>
      <c r="J7050">
        <v>1</v>
      </c>
    </row>
    <row r="7051" spans="7:10">
      <c r="G7051">
        <v>1</v>
      </c>
      <c r="H7051">
        <v>2</v>
      </c>
      <c r="I7051">
        <v>3</v>
      </c>
      <c r="J7051">
        <v>2</v>
      </c>
    </row>
    <row r="7052" spans="7:10">
      <c r="G7052">
        <v>1</v>
      </c>
      <c r="H7052">
        <v>2</v>
      </c>
      <c r="I7052">
        <v>4</v>
      </c>
      <c r="J7052">
        <v>1</v>
      </c>
    </row>
    <row r="7053" spans="7:10">
      <c r="G7053">
        <v>1</v>
      </c>
      <c r="H7053">
        <v>2</v>
      </c>
      <c r="I7053">
        <v>4</v>
      </c>
      <c r="J7053">
        <v>2</v>
      </c>
    </row>
    <row r="7054" spans="7:10">
      <c r="G7054">
        <v>1</v>
      </c>
      <c r="H7054">
        <v>2</v>
      </c>
      <c r="I7054">
        <v>5</v>
      </c>
      <c r="J7054">
        <v>1</v>
      </c>
    </row>
    <row r="7055" spans="7:10">
      <c r="G7055">
        <v>1</v>
      </c>
      <c r="H7055">
        <v>2</v>
      </c>
      <c r="I7055">
        <v>5</v>
      </c>
      <c r="J7055">
        <v>2</v>
      </c>
    </row>
    <row r="7056" spans="7:10">
      <c r="G7056">
        <v>1</v>
      </c>
      <c r="H7056">
        <v>3</v>
      </c>
      <c r="I7056">
        <v>1</v>
      </c>
      <c r="J7056">
        <v>1</v>
      </c>
    </row>
    <row r="7057" spans="7:10">
      <c r="G7057">
        <v>1</v>
      </c>
      <c r="H7057">
        <v>3</v>
      </c>
      <c r="I7057">
        <v>1</v>
      </c>
      <c r="J7057">
        <v>2</v>
      </c>
    </row>
    <row r="7058" spans="7:10">
      <c r="G7058">
        <v>1</v>
      </c>
      <c r="H7058">
        <v>3</v>
      </c>
      <c r="I7058">
        <v>2</v>
      </c>
      <c r="J7058">
        <v>1</v>
      </c>
    </row>
    <row r="7059" spans="7:10">
      <c r="G7059">
        <v>1</v>
      </c>
      <c r="H7059">
        <v>3</v>
      </c>
      <c r="I7059">
        <v>2</v>
      </c>
      <c r="J7059">
        <v>2</v>
      </c>
    </row>
    <row r="7060" spans="7:10">
      <c r="G7060">
        <v>1</v>
      </c>
      <c r="H7060">
        <v>3</v>
      </c>
      <c r="I7060">
        <v>3</v>
      </c>
      <c r="J7060">
        <v>1</v>
      </c>
    </row>
    <row r="7061" spans="7:10">
      <c r="G7061">
        <v>1</v>
      </c>
      <c r="H7061">
        <v>3</v>
      </c>
      <c r="I7061">
        <v>3</v>
      </c>
      <c r="J7061">
        <v>2</v>
      </c>
    </row>
    <row r="7062" spans="7:10">
      <c r="G7062">
        <v>1</v>
      </c>
      <c r="H7062">
        <v>3</v>
      </c>
      <c r="I7062">
        <v>4</v>
      </c>
      <c r="J7062">
        <v>1</v>
      </c>
    </row>
    <row r="7063" spans="7:10">
      <c r="G7063">
        <v>1</v>
      </c>
      <c r="H7063">
        <v>3</v>
      </c>
      <c r="I7063">
        <v>4</v>
      </c>
      <c r="J7063">
        <v>2</v>
      </c>
    </row>
    <row r="7064" spans="7:10">
      <c r="G7064">
        <v>1</v>
      </c>
      <c r="H7064">
        <v>3</v>
      </c>
      <c r="I7064">
        <v>5</v>
      </c>
      <c r="J7064">
        <v>1</v>
      </c>
    </row>
    <row r="7065" spans="7:10">
      <c r="G7065">
        <v>1</v>
      </c>
      <c r="H7065">
        <v>3</v>
      </c>
      <c r="I7065">
        <v>5</v>
      </c>
      <c r="J7065">
        <v>2</v>
      </c>
    </row>
    <row r="7066" spans="7:10">
      <c r="G7066">
        <v>2</v>
      </c>
      <c r="H7066">
        <v>1</v>
      </c>
      <c r="I7066">
        <v>3</v>
      </c>
      <c r="J7066">
        <v>1</v>
      </c>
    </row>
    <row r="7067" spans="7:10">
      <c r="G7067">
        <v>2</v>
      </c>
      <c r="H7067">
        <v>1</v>
      </c>
      <c r="I7067">
        <v>3</v>
      </c>
      <c r="J7067">
        <v>2</v>
      </c>
    </row>
    <row r="7068" spans="7:10">
      <c r="G7068">
        <v>2</v>
      </c>
      <c r="H7068">
        <v>1</v>
      </c>
      <c r="I7068">
        <v>4</v>
      </c>
      <c r="J7068">
        <v>1</v>
      </c>
    </row>
    <row r="7069" spans="7:10">
      <c r="G7069">
        <v>2</v>
      </c>
      <c r="H7069">
        <v>1</v>
      </c>
      <c r="I7069">
        <v>4</v>
      </c>
      <c r="J7069">
        <v>2</v>
      </c>
    </row>
    <row r="7070" spans="7:10">
      <c r="G7070">
        <v>2</v>
      </c>
      <c r="H7070">
        <v>1</v>
      </c>
      <c r="I7070">
        <v>5</v>
      </c>
      <c r="J7070">
        <v>1</v>
      </c>
    </row>
    <row r="7071" spans="7:10">
      <c r="G7071">
        <v>2</v>
      </c>
      <c r="H7071">
        <v>1</v>
      </c>
      <c r="I7071">
        <v>5</v>
      </c>
      <c r="J7071">
        <v>2</v>
      </c>
    </row>
    <row r="7072" spans="7:10">
      <c r="G7072">
        <v>2</v>
      </c>
      <c r="H7072">
        <v>2</v>
      </c>
      <c r="I7072">
        <v>1</v>
      </c>
      <c r="J7072">
        <v>1</v>
      </c>
    </row>
    <row r="7073" spans="7:10">
      <c r="G7073">
        <v>2</v>
      </c>
      <c r="H7073">
        <v>2</v>
      </c>
      <c r="I7073">
        <v>1</v>
      </c>
      <c r="J7073">
        <v>2</v>
      </c>
    </row>
    <row r="7074" spans="7:10">
      <c r="G7074">
        <v>2</v>
      </c>
      <c r="H7074">
        <v>2</v>
      </c>
      <c r="I7074">
        <v>2</v>
      </c>
      <c r="J7074">
        <v>1</v>
      </c>
    </row>
    <row r="7075" spans="7:10">
      <c r="G7075">
        <v>2</v>
      </c>
      <c r="H7075">
        <v>2</v>
      </c>
      <c r="I7075">
        <v>2</v>
      </c>
      <c r="J7075">
        <v>2</v>
      </c>
    </row>
    <row r="7076" spans="7:10">
      <c r="G7076">
        <v>2</v>
      </c>
      <c r="H7076">
        <v>2</v>
      </c>
      <c r="I7076">
        <v>3</v>
      </c>
      <c r="J7076">
        <v>1</v>
      </c>
    </row>
    <row r="7077" spans="7:10">
      <c r="G7077">
        <v>2</v>
      </c>
      <c r="H7077">
        <v>2</v>
      </c>
      <c r="I7077">
        <v>3</v>
      </c>
      <c r="J7077">
        <v>2</v>
      </c>
    </row>
    <row r="7078" spans="7:10">
      <c r="G7078">
        <v>2</v>
      </c>
      <c r="H7078">
        <v>2</v>
      </c>
      <c r="I7078">
        <v>4</v>
      </c>
      <c r="J7078">
        <v>1</v>
      </c>
    </row>
    <row r="7079" spans="7:10">
      <c r="G7079">
        <v>2</v>
      </c>
      <c r="H7079">
        <v>2</v>
      </c>
      <c r="I7079">
        <v>4</v>
      </c>
      <c r="J7079">
        <v>2</v>
      </c>
    </row>
    <row r="7080" spans="7:10">
      <c r="G7080">
        <v>2</v>
      </c>
      <c r="H7080">
        <v>2</v>
      </c>
      <c r="I7080">
        <v>5</v>
      </c>
      <c r="J7080">
        <v>1</v>
      </c>
    </row>
    <row r="7081" spans="7:10">
      <c r="G7081">
        <v>2</v>
      </c>
      <c r="H7081">
        <v>2</v>
      </c>
      <c r="I7081">
        <v>5</v>
      </c>
      <c r="J7081">
        <v>2</v>
      </c>
    </row>
    <row r="7082" spans="7:10">
      <c r="G7082">
        <v>2</v>
      </c>
      <c r="H7082">
        <v>3</v>
      </c>
      <c r="I7082">
        <v>1</v>
      </c>
      <c r="J7082">
        <v>1</v>
      </c>
    </row>
    <row r="7083" spans="7:10">
      <c r="G7083">
        <v>2</v>
      </c>
      <c r="H7083">
        <v>3</v>
      </c>
      <c r="I7083">
        <v>1</v>
      </c>
      <c r="J7083">
        <v>2</v>
      </c>
    </row>
    <row r="7084" spans="7:10">
      <c r="G7084">
        <v>2</v>
      </c>
      <c r="H7084">
        <v>3</v>
      </c>
      <c r="I7084">
        <v>2</v>
      </c>
      <c r="J7084">
        <v>1</v>
      </c>
    </row>
    <row r="7085" spans="7:10">
      <c r="G7085">
        <v>2</v>
      </c>
      <c r="H7085">
        <v>3</v>
      </c>
      <c r="I7085">
        <v>2</v>
      </c>
      <c r="J7085">
        <v>2</v>
      </c>
    </row>
    <row r="7086" spans="7:10">
      <c r="G7086">
        <v>2</v>
      </c>
      <c r="H7086">
        <v>3</v>
      </c>
      <c r="I7086">
        <v>3</v>
      </c>
      <c r="J7086">
        <v>1</v>
      </c>
    </row>
    <row r="7087" spans="7:10">
      <c r="G7087">
        <v>2</v>
      </c>
      <c r="H7087">
        <v>3</v>
      </c>
      <c r="I7087">
        <v>3</v>
      </c>
      <c r="J7087">
        <v>2</v>
      </c>
    </row>
    <row r="7088" spans="7:10">
      <c r="G7088">
        <v>2</v>
      </c>
      <c r="H7088">
        <v>3</v>
      </c>
      <c r="I7088">
        <v>4</v>
      </c>
      <c r="J7088">
        <v>1</v>
      </c>
    </row>
    <row r="7089" spans="7:10">
      <c r="G7089">
        <v>2</v>
      </c>
      <c r="H7089">
        <v>3</v>
      </c>
      <c r="I7089">
        <v>4</v>
      </c>
      <c r="J7089">
        <v>2</v>
      </c>
    </row>
    <row r="7090" spans="7:10">
      <c r="G7090">
        <v>2</v>
      </c>
      <c r="H7090">
        <v>3</v>
      </c>
      <c r="I7090">
        <v>5</v>
      </c>
      <c r="J7090">
        <v>1</v>
      </c>
    </row>
    <row r="7091" spans="7:10">
      <c r="G7091">
        <v>2</v>
      </c>
      <c r="H7091">
        <v>3</v>
      </c>
      <c r="I7091">
        <v>5</v>
      </c>
      <c r="J7091">
        <v>2</v>
      </c>
    </row>
    <row r="7092" spans="7:10">
      <c r="G7092">
        <v>3</v>
      </c>
      <c r="H7092">
        <v>1</v>
      </c>
      <c r="I7092">
        <v>3</v>
      </c>
      <c r="J7092">
        <v>1</v>
      </c>
    </row>
    <row r="7093" spans="7:10">
      <c r="G7093">
        <v>3</v>
      </c>
      <c r="H7093">
        <v>1</v>
      </c>
      <c r="I7093">
        <v>3</v>
      </c>
      <c r="J7093">
        <v>2</v>
      </c>
    </row>
    <row r="7094" spans="7:10">
      <c r="G7094">
        <v>3</v>
      </c>
      <c r="H7094">
        <v>1</v>
      </c>
      <c r="I7094">
        <v>4</v>
      </c>
      <c r="J7094">
        <v>1</v>
      </c>
    </row>
    <row r="7095" spans="7:10">
      <c r="G7095">
        <v>3</v>
      </c>
      <c r="H7095">
        <v>1</v>
      </c>
      <c r="I7095">
        <v>4</v>
      </c>
      <c r="J7095">
        <v>2</v>
      </c>
    </row>
    <row r="7096" spans="7:10">
      <c r="G7096">
        <v>3</v>
      </c>
      <c r="H7096">
        <v>1</v>
      </c>
      <c r="I7096">
        <v>5</v>
      </c>
      <c r="J7096">
        <v>1</v>
      </c>
    </row>
    <row r="7097" spans="7:10">
      <c r="G7097">
        <v>3</v>
      </c>
      <c r="H7097">
        <v>1</v>
      </c>
      <c r="I7097">
        <v>5</v>
      </c>
      <c r="J7097">
        <v>2</v>
      </c>
    </row>
    <row r="7098" spans="7:10">
      <c r="G7098">
        <v>3</v>
      </c>
      <c r="H7098">
        <v>2</v>
      </c>
      <c r="I7098">
        <v>1</v>
      </c>
      <c r="J7098">
        <v>1</v>
      </c>
    </row>
    <row r="7099" spans="7:10">
      <c r="G7099">
        <v>3</v>
      </c>
      <c r="H7099">
        <v>2</v>
      </c>
      <c r="I7099">
        <v>1</v>
      </c>
      <c r="J7099">
        <v>2</v>
      </c>
    </row>
    <row r="7100" spans="7:10">
      <c r="G7100">
        <v>3</v>
      </c>
      <c r="H7100">
        <v>2</v>
      </c>
      <c r="I7100">
        <v>2</v>
      </c>
      <c r="J7100">
        <v>1</v>
      </c>
    </row>
    <row r="7101" spans="7:10">
      <c r="G7101">
        <v>3</v>
      </c>
      <c r="H7101">
        <v>2</v>
      </c>
      <c r="I7101">
        <v>2</v>
      </c>
      <c r="J7101">
        <v>2</v>
      </c>
    </row>
    <row r="7102" spans="7:10">
      <c r="G7102">
        <v>3</v>
      </c>
      <c r="H7102">
        <v>2</v>
      </c>
      <c r="I7102">
        <v>3</v>
      </c>
      <c r="J7102">
        <v>1</v>
      </c>
    </row>
    <row r="7103" spans="7:10">
      <c r="G7103">
        <v>3</v>
      </c>
      <c r="H7103">
        <v>2</v>
      </c>
      <c r="I7103">
        <v>3</v>
      </c>
      <c r="J7103">
        <v>2</v>
      </c>
    </row>
    <row r="7104" spans="7:10">
      <c r="G7104">
        <v>3</v>
      </c>
      <c r="H7104">
        <v>2</v>
      </c>
      <c r="I7104">
        <v>4</v>
      </c>
      <c r="J7104">
        <v>1</v>
      </c>
    </row>
    <row r="7105" spans="7:10">
      <c r="G7105">
        <v>3</v>
      </c>
      <c r="H7105">
        <v>2</v>
      </c>
      <c r="I7105">
        <v>4</v>
      </c>
      <c r="J7105">
        <v>2</v>
      </c>
    </row>
    <row r="7106" spans="7:10">
      <c r="G7106">
        <v>3</v>
      </c>
      <c r="H7106">
        <v>2</v>
      </c>
      <c r="I7106">
        <v>5</v>
      </c>
      <c r="J7106">
        <v>1</v>
      </c>
    </row>
    <row r="7107" spans="7:10">
      <c r="G7107">
        <v>3</v>
      </c>
      <c r="H7107">
        <v>2</v>
      </c>
      <c r="I7107">
        <v>5</v>
      </c>
      <c r="J7107">
        <v>2</v>
      </c>
    </row>
    <row r="7108" spans="7:10">
      <c r="G7108">
        <v>3</v>
      </c>
      <c r="H7108">
        <v>3</v>
      </c>
      <c r="I7108">
        <v>1</v>
      </c>
      <c r="J7108">
        <v>1</v>
      </c>
    </row>
    <row r="7109" spans="7:10">
      <c r="G7109">
        <v>3</v>
      </c>
      <c r="H7109">
        <v>3</v>
      </c>
      <c r="I7109">
        <v>1</v>
      </c>
      <c r="J7109">
        <v>2</v>
      </c>
    </row>
    <row r="7110" spans="7:10">
      <c r="G7110">
        <v>3</v>
      </c>
      <c r="H7110">
        <v>3</v>
      </c>
      <c r="I7110">
        <v>2</v>
      </c>
      <c r="J7110">
        <v>1</v>
      </c>
    </row>
    <row r="7111" spans="7:10">
      <c r="G7111">
        <v>3</v>
      </c>
      <c r="H7111">
        <v>3</v>
      </c>
      <c r="I7111">
        <v>2</v>
      </c>
      <c r="J7111">
        <v>2</v>
      </c>
    </row>
    <row r="7112" spans="7:10">
      <c r="G7112">
        <v>3</v>
      </c>
      <c r="H7112">
        <v>3</v>
      </c>
      <c r="I7112">
        <v>3</v>
      </c>
      <c r="J7112">
        <v>1</v>
      </c>
    </row>
    <row r="7113" spans="7:10">
      <c r="G7113">
        <v>3</v>
      </c>
      <c r="H7113">
        <v>3</v>
      </c>
      <c r="I7113">
        <v>3</v>
      </c>
      <c r="J7113">
        <v>2</v>
      </c>
    </row>
    <row r="7114" spans="7:10">
      <c r="G7114">
        <v>3</v>
      </c>
      <c r="H7114">
        <v>3</v>
      </c>
      <c r="I7114">
        <v>4</v>
      </c>
      <c r="J7114">
        <v>1</v>
      </c>
    </row>
    <row r="7115" spans="7:10">
      <c r="G7115">
        <v>3</v>
      </c>
      <c r="H7115">
        <v>3</v>
      </c>
      <c r="I7115">
        <v>4</v>
      </c>
      <c r="J7115">
        <v>2</v>
      </c>
    </row>
    <row r="7116" spans="7:10">
      <c r="G7116">
        <v>3</v>
      </c>
      <c r="H7116">
        <v>3</v>
      </c>
      <c r="I7116">
        <v>5</v>
      </c>
      <c r="J7116">
        <v>1</v>
      </c>
    </row>
    <row r="7117" spans="7:10">
      <c r="G7117">
        <v>3</v>
      </c>
      <c r="H7117">
        <v>3</v>
      </c>
      <c r="I7117">
        <v>5</v>
      </c>
      <c r="J7117">
        <v>2</v>
      </c>
    </row>
    <row r="7118" spans="7:10">
      <c r="G7118">
        <v>4</v>
      </c>
      <c r="H7118">
        <v>1</v>
      </c>
      <c r="I7118">
        <v>3</v>
      </c>
      <c r="J7118">
        <v>1</v>
      </c>
    </row>
    <row r="7119" spans="7:10">
      <c r="G7119">
        <v>4</v>
      </c>
      <c r="H7119">
        <v>1</v>
      </c>
      <c r="I7119">
        <v>3</v>
      </c>
      <c r="J7119">
        <v>2</v>
      </c>
    </row>
    <row r="7120" spans="7:10">
      <c r="G7120">
        <v>4</v>
      </c>
      <c r="H7120">
        <v>1</v>
      </c>
      <c r="I7120">
        <v>4</v>
      </c>
      <c r="J7120">
        <v>1</v>
      </c>
    </row>
    <row r="7121" spans="7:10">
      <c r="G7121">
        <v>4</v>
      </c>
      <c r="H7121">
        <v>1</v>
      </c>
      <c r="I7121">
        <v>4</v>
      </c>
      <c r="J7121">
        <v>2</v>
      </c>
    </row>
    <row r="7122" spans="7:10">
      <c r="G7122">
        <v>4</v>
      </c>
      <c r="H7122">
        <v>1</v>
      </c>
      <c r="I7122">
        <v>5</v>
      </c>
      <c r="J7122">
        <v>1</v>
      </c>
    </row>
    <row r="7123" spans="7:10">
      <c r="G7123">
        <v>4</v>
      </c>
      <c r="H7123">
        <v>1</v>
      </c>
      <c r="I7123">
        <v>5</v>
      </c>
      <c r="J7123">
        <v>2</v>
      </c>
    </row>
    <row r="7124" spans="7:10">
      <c r="G7124">
        <v>4</v>
      </c>
      <c r="H7124">
        <v>2</v>
      </c>
      <c r="I7124">
        <v>1</v>
      </c>
      <c r="J7124">
        <v>1</v>
      </c>
    </row>
    <row r="7125" spans="7:10">
      <c r="G7125">
        <v>4</v>
      </c>
      <c r="H7125">
        <v>2</v>
      </c>
      <c r="I7125">
        <v>1</v>
      </c>
      <c r="J7125">
        <v>2</v>
      </c>
    </row>
    <row r="7126" spans="7:10">
      <c r="G7126">
        <v>4</v>
      </c>
      <c r="H7126">
        <v>2</v>
      </c>
      <c r="I7126">
        <v>2</v>
      </c>
      <c r="J7126">
        <v>1</v>
      </c>
    </row>
    <row r="7127" spans="7:10">
      <c r="G7127">
        <v>4</v>
      </c>
      <c r="H7127">
        <v>2</v>
      </c>
      <c r="I7127">
        <v>2</v>
      </c>
      <c r="J7127">
        <v>2</v>
      </c>
    </row>
    <row r="7128" spans="7:10">
      <c r="G7128">
        <v>4</v>
      </c>
      <c r="H7128">
        <v>2</v>
      </c>
      <c r="I7128">
        <v>3</v>
      </c>
      <c r="J7128">
        <v>1</v>
      </c>
    </row>
    <row r="7129" spans="7:10">
      <c r="G7129">
        <v>4</v>
      </c>
      <c r="H7129">
        <v>2</v>
      </c>
      <c r="I7129">
        <v>3</v>
      </c>
      <c r="J7129">
        <v>2</v>
      </c>
    </row>
    <row r="7130" spans="7:10">
      <c r="G7130">
        <v>4</v>
      </c>
      <c r="H7130">
        <v>2</v>
      </c>
      <c r="I7130">
        <v>4</v>
      </c>
      <c r="J7130">
        <v>1</v>
      </c>
    </row>
    <row r="7131" spans="7:10">
      <c r="G7131">
        <v>4</v>
      </c>
      <c r="H7131">
        <v>2</v>
      </c>
      <c r="I7131">
        <v>4</v>
      </c>
      <c r="J7131">
        <v>2</v>
      </c>
    </row>
    <row r="7132" spans="7:10">
      <c r="G7132">
        <v>4</v>
      </c>
      <c r="H7132">
        <v>2</v>
      </c>
      <c r="I7132">
        <v>5</v>
      </c>
      <c r="J7132">
        <v>1</v>
      </c>
    </row>
    <row r="7133" spans="7:10">
      <c r="G7133">
        <v>4</v>
      </c>
      <c r="H7133">
        <v>2</v>
      </c>
      <c r="I7133">
        <v>5</v>
      </c>
      <c r="J7133">
        <v>2</v>
      </c>
    </row>
    <row r="7134" spans="7:10">
      <c r="G7134">
        <v>4</v>
      </c>
      <c r="H7134">
        <v>3</v>
      </c>
      <c r="I7134">
        <v>1</v>
      </c>
      <c r="J7134">
        <v>1</v>
      </c>
    </row>
    <row r="7135" spans="7:10">
      <c r="G7135">
        <v>4</v>
      </c>
      <c r="H7135">
        <v>3</v>
      </c>
      <c r="I7135">
        <v>1</v>
      </c>
      <c r="J7135">
        <v>2</v>
      </c>
    </row>
    <row r="7136" spans="7:10">
      <c r="G7136">
        <v>4</v>
      </c>
      <c r="H7136">
        <v>3</v>
      </c>
      <c r="I7136">
        <v>2</v>
      </c>
      <c r="J7136">
        <v>1</v>
      </c>
    </row>
    <row r="7137" spans="7:10">
      <c r="G7137">
        <v>4</v>
      </c>
      <c r="H7137">
        <v>3</v>
      </c>
      <c r="I7137">
        <v>2</v>
      </c>
      <c r="J7137">
        <v>2</v>
      </c>
    </row>
    <row r="7138" spans="7:10">
      <c r="G7138">
        <v>4</v>
      </c>
      <c r="H7138">
        <v>3</v>
      </c>
      <c r="I7138">
        <v>3</v>
      </c>
      <c r="J7138">
        <v>1</v>
      </c>
    </row>
    <row r="7139" spans="7:10">
      <c r="G7139">
        <v>4</v>
      </c>
      <c r="H7139">
        <v>3</v>
      </c>
      <c r="I7139">
        <v>3</v>
      </c>
      <c r="J7139">
        <v>2</v>
      </c>
    </row>
    <row r="7140" spans="7:10">
      <c r="G7140">
        <v>4</v>
      </c>
      <c r="H7140">
        <v>3</v>
      </c>
      <c r="I7140">
        <v>4</v>
      </c>
      <c r="J7140">
        <v>1</v>
      </c>
    </row>
    <row r="7141" spans="7:10">
      <c r="G7141">
        <v>4</v>
      </c>
      <c r="H7141">
        <v>3</v>
      </c>
      <c r="I7141">
        <v>4</v>
      </c>
      <c r="J7141">
        <v>2</v>
      </c>
    </row>
    <row r="7142" spans="7:10">
      <c r="G7142">
        <v>4</v>
      </c>
      <c r="H7142">
        <v>3</v>
      </c>
      <c r="I7142">
        <v>5</v>
      </c>
      <c r="J7142">
        <v>1</v>
      </c>
    </row>
    <row r="7143" spans="7:10">
      <c r="G7143">
        <v>4</v>
      </c>
      <c r="H7143">
        <v>3</v>
      </c>
      <c r="I7143">
        <v>5</v>
      </c>
      <c r="J7143">
        <v>2</v>
      </c>
    </row>
    <row r="7144" spans="7:10">
      <c r="G7144">
        <v>1</v>
      </c>
      <c r="H7144">
        <v>2</v>
      </c>
      <c r="I7144">
        <v>1</v>
      </c>
      <c r="J7144">
        <v>1</v>
      </c>
    </row>
    <row r="7145" spans="7:10">
      <c r="G7145">
        <v>1</v>
      </c>
      <c r="H7145">
        <v>2</v>
      </c>
      <c r="I7145">
        <v>1</v>
      </c>
      <c r="J7145">
        <v>2</v>
      </c>
    </row>
    <row r="7146" spans="7:10">
      <c r="G7146">
        <v>1</v>
      </c>
      <c r="H7146">
        <v>2</v>
      </c>
      <c r="I7146">
        <v>2</v>
      </c>
      <c r="J7146">
        <v>1</v>
      </c>
    </row>
    <row r="7147" spans="7:10">
      <c r="G7147">
        <v>1</v>
      </c>
      <c r="H7147">
        <v>2</v>
      </c>
      <c r="I7147">
        <v>2</v>
      </c>
      <c r="J7147">
        <v>2</v>
      </c>
    </row>
    <row r="7148" spans="7:10">
      <c r="G7148">
        <v>1</v>
      </c>
      <c r="H7148">
        <v>2</v>
      </c>
      <c r="I7148">
        <v>3</v>
      </c>
      <c r="J7148">
        <v>1</v>
      </c>
    </row>
    <row r="7149" spans="7:10">
      <c r="G7149">
        <v>1</v>
      </c>
      <c r="H7149">
        <v>2</v>
      </c>
      <c r="I7149">
        <v>3</v>
      </c>
      <c r="J7149">
        <v>2</v>
      </c>
    </row>
    <row r="7150" spans="7:10">
      <c r="G7150">
        <v>1</v>
      </c>
      <c r="H7150">
        <v>2</v>
      </c>
      <c r="I7150">
        <v>4</v>
      </c>
      <c r="J7150">
        <v>1</v>
      </c>
    </row>
    <row r="7151" spans="7:10">
      <c r="G7151">
        <v>1</v>
      </c>
      <c r="H7151">
        <v>2</v>
      </c>
      <c r="I7151">
        <v>4</v>
      </c>
      <c r="J7151">
        <v>2</v>
      </c>
    </row>
    <row r="7152" spans="7:10">
      <c r="G7152">
        <v>1</v>
      </c>
      <c r="H7152">
        <v>2</v>
      </c>
      <c r="I7152">
        <v>5</v>
      </c>
      <c r="J7152">
        <v>1</v>
      </c>
    </row>
    <row r="7153" spans="7:10">
      <c r="G7153">
        <v>1</v>
      </c>
      <c r="H7153">
        <v>2</v>
      </c>
      <c r="I7153">
        <v>5</v>
      </c>
      <c r="J7153">
        <v>2</v>
      </c>
    </row>
    <row r="7154" spans="7:10">
      <c r="G7154">
        <v>1</v>
      </c>
      <c r="H7154">
        <v>3</v>
      </c>
      <c r="I7154">
        <v>1</v>
      </c>
      <c r="J7154">
        <v>1</v>
      </c>
    </row>
    <row r="7155" spans="7:10">
      <c r="G7155">
        <v>1</v>
      </c>
      <c r="H7155">
        <v>3</v>
      </c>
      <c r="I7155">
        <v>1</v>
      </c>
      <c r="J7155">
        <v>2</v>
      </c>
    </row>
    <row r="7156" spans="7:10">
      <c r="G7156">
        <v>1</v>
      </c>
      <c r="H7156">
        <v>3</v>
      </c>
      <c r="I7156">
        <v>2</v>
      </c>
      <c r="J7156">
        <v>1</v>
      </c>
    </row>
    <row r="7157" spans="7:10">
      <c r="G7157">
        <v>1</v>
      </c>
      <c r="H7157">
        <v>3</v>
      </c>
      <c r="I7157">
        <v>2</v>
      </c>
      <c r="J7157">
        <v>2</v>
      </c>
    </row>
    <row r="7158" spans="7:10">
      <c r="G7158">
        <v>1</v>
      </c>
      <c r="H7158">
        <v>3</v>
      </c>
      <c r="I7158">
        <v>3</v>
      </c>
      <c r="J7158">
        <v>1</v>
      </c>
    </row>
    <row r="7159" spans="7:10">
      <c r="G7159">
        <v>1</v>
      </c>
      <c r="H7159">
        <v>3</v>
      </c>
      <c r="I7159">
        <v>3</v>
      </c>
      <c r="J7159">
        <v>2</v>
      </c>
    </row>
    <row r="7160" spans="7:10">
      <c r="G7160">
        <v>1</v>
      </c>
      <c r="H7160">
        <v>3</v>
      </c>
      <c r="I7160">
        <v>4</v>
      </c>
      <c r="J7160">
        <v>1</v>
      </c>
    </row>
    <row r="7161" spans="7:10">
      <c r="G7161">
        <v>1</v>
      </c>
      <c r="H7161">
        <v>3</v>
      </c>
      <c r="I7161">
        <v>4</v>
      </c>
      <c r="J7161">
        <v>2</v>
      </c>
    </row>
    <row r="7162" spans="7:10">
      <c r="G7162">
        <v>1</v>
      </c>
      <c r="H7162">
        <v>3</v>
      </c>
      <c r="I7162">
        <v>5</v>
      </c>
      <c r="J7162">
        <v>1</v>
      </c>
    </row>
    <row r="7163" spans="7:10">
      <c r="G7163">
        <v>1</v>
      </c>
      <c r="H7163">
        <v>3</v>
      </c>
      <c r="I7163">
        <v>5</v>
      </c>
      <c r="J7163">
        <v>2</v>
      </c>
    </row>
    <row r="7164" spans="7:10">
      <c r="G7164">
        <v>2</v>
      </c>
      <c r="H7164">
        <v>1</v>
      </c>
      <c r="I7164">
        <v>3</v>
      </c>
      <c r="J7164">
        <v>1</v>
      </c>
    </row>
    <row r="7165" spans="7:10">
      <c r="G7165">
        <v>2</v>
      </c>
      <c r="H7165">
        <v>1</v>
      </c>
      <c r="I7165">
        <v>3</v>
      </c>
      <c r="J7165">
        <v>2</v>
      </c>
    </row>
    <row r="7166" spans="7:10">
      <c r="G7166">
        <v>2</v>
      </c>
      <c r="H7166">
        <v>1</v>
      </c>
      <c r="I7166">
        <v>4</v>
      </c>
      <c r="J7166">
        <v>1</v>
      </c>
    </row>
    <row r="7167" spans="7:10">
      <c r="G7167">
        <v>2</v>
      </c>
      <c r="H7167">
        <v>1</v>
      </c>
      <c r="I7167">
        <v>4</v>
      </c>
      <c r="J7167">
        <v>2</v>
      </c>
    </row>
    <row r="7168" spans="7:10">
      <c r="G7168">
        <v>2</v>
      </c>
      <c r="H7168">
        <v>1</v>
      </c>
      <c r="I7168">
        <v>5</v>
      </c>
      <c r="J7168">
        <v>1</v>
      </c>
    </row>
    <row r="7169" spans="7:10">
      <c r="G7169">
        <v>2</v>
      </c>
      <c r="H7169">
        <v>1</v>
      </c>
      <c r="I7169">
        <v>5</v>
      </c>
      <c r="J7169">
        <v>2</v>
      </c>
    </row>
    <row r="7170" spans="7:10">
      <c r="G7170">
        <v>2</v>
      </c>
      <c r="H7170">
        <v>2</v>
      </c>
      <c r="I7170">
        <v>1</v>
      </c>
      <c r="J7170">
        <v>1</v>
      </c>
    </row>
    <row r="7171" spans="7:10">
      <c r="G7171">
        <v>2</v>
      </c>
      <c r="H7171">
        <v>2</v>
      </c>
      <c r="I7171">
        <v>1</v>
      </c>
      <c r="J7171">
        <v>2</v>
      </c>
    </row>
    <row r="7172" spans="7:10">
      <c r="G7172">
        <v>2</v>
      </c>
      <c r="H7172">
        <v>2</v>
      </c>
      <c r="I7172">
        <v>2</v>
      </c>
      <c r="J7172">
        <v>1</v>
      </c>
    </row>
    <row r="7173" spans="7:10">
      <c r="G7173">
        <v>2</v>
      </c>
      <c r="H7173">
        <v>2</v>
      </c>
      <c r="I7173">
        <v>2</v>
      </c>
      <c r="J7173">
        <v>2</v>
      </c>
    </row>
    <row r="7174" spans="7:10">
      <c r="G7174">
        <v>2</v>
      </c>
      <c r="H7174">
        <v>2</v>
      </c>
      <c r="I7174">
        <v>3</v>
      </c>
      <c r="J7174">
        <v>1</v>
      </c>
    </row>
    <row r="7175" spans="7:10">
      <c r="G7175">
        <v>2</v>
      </c>
      <c r="H7175">
        <v>2</v>
      </c>
      <c r="I7175">
        <v>3</v>
      </c>
      <c r="J7175">
        <v>2</v>
      </c>
    </row>
    <row r="7176" spans="7:10">
      <c r="G7176">
        <v>2</v>
      </c>
      <c r="H7176">
        <v>2</v>
      </c>
      <c r="I7176">
        <v>4</v>
      </c>
      <c r="J7176">
        <v>1</v>
      </c>
    </row>
    <row r="7177" spans="7:10">
      <c r="G7177">
        <v>2</v>
      </c>
      <c r="H7177">
        <v>2</v>
      </c>
      <c r="I7177">
        <v>4</v>
      </c>
      <c r="J7177">
        <v>2</v>
      </c>
    </row>
    <row r="7178" spans="7:10">
      <c r="G7178">
        <v>2</v>
      </c>
      <c r="H7178">
        <v>2</v>
      </c>
      <c r="I7178">
        <v>5</v>
      </c>
      <c r="J7178">
        <v>1</v>
      </c>
    </row>
    <row r="7179" spans="7:10">
      <c r="G7179">
        <v>2</v>
      </c>
      <c r="H7179">
        <v>2</v>
      </c>
      <c r="I7179">
        <v>5</v>
      </c>
      <c r="J7179">
        <v>2</v>
      </c>
    </row>
    <row r="7180" spans="7:10">
      <c r="G7180">
        <v>2</v>
      </c>
      <c r="H7180">
        <v>3</v>
      </c>
      <c r="I7180">
        <v>1</v>
      </c>
      <c r="J7180">
        <v>1</v>
      </c>
    </row>
    <row r="7181" spans="7:10">
      <c r="G7181">
        <v>2</v>
      </c>
      <c r="H7181">
        <v>3</v>
      </c>
      <c r="I7181">
        <v>1</v>
      </c>
      <c r="J7181">
        <v>2</v>
      </c>
    </row>
    <row r="7182" spans="7:10">
      <c r="G7182">
        <v>2</v>
      </c>
      <c r="H7182">
        <v>3</v>
      </c>
      <c r="I7182">
        <v>2</v>
      </c>
      <c r="J7182">
        <v>1</v>
      </c>
    </row>
    <row r="7183" spans="7:10">
      <c r="G7183">
        <v>2</v>
      </c>
      <c r="H7183">
        <v>3</v>
      </c>
      <c r="I7183">
        <v>2</v>
      </c>
      <c r="J7183">
        <v>2</v>
      </c>
    </row>
    <row r="7184" spans="7:10">
      <c r="G7184">
        <v>2</v>
      </c>
      <c r="H7184">
        <v>3</v>
      </c>
      <c r="I7184">
        <v>3</v>
      </c>
      <c r="J7184">
        <v>1</v>
      </c>
    </row>
    <row r="7185" spans="7:10">
      <c r="G7185">
        <v>2</v>
      </c>
      <c r="H7185">
        <v>3</v>
      </c>
      <c r="I7185">
        <v>3</v>
      </c>
      <c r="J7185">
        <v>2</v>
      </c>
    </row>
    <row r="7186" spans="7:10">
      <c r="G7186">
        <v>2</v>
      </c>
      <c r="H7186">
        <v>3</v>
      </c>
      <c r="I7186">
        <v>4</v>
      </c>
      <c r="J7186">
        <v>1</v>
      </c>
    </row>
    <row r="7187" spans="7:10">
      <c r="G7187">
        <v>2</v>
      </c>
      <c r="H7187">
        <v>3</v>
      </c>
      <c r="I7187">
        <v>4</v>
      </c>
      <c r="J7187">
        <v>2</v>
      </c>
    </row>
    <row r="7188" spans="7:10">
      <c r="G7188">
        <v>2</v>
      </c>
      <c r="H7188">
        <v>3</v>
      </c>
      <c r="I7188">
        <v>5</v>
      </c>
      <c r="J7188">
        <v>1</v>
      </c>
    </row>
    <row r="7189" spans="7:10">
      <c r="G7189">
        <v>2</v>
      </c>
      <c r="H7189">
        <v>3</v>
      </c>
      <c r="I7189">
        <v>5</v>
      </c>
      <c r="J7189">
        <v>2</v>
      </c>
    </row>
    <row r="7190" spans="7:10">
      <c r="G7190">
        <v>3</v>
      </c>
      <c r="H7190">
        <v>1</v>
      </c>
      <c r="I7190">
        <v>3</v>
      </c>
      <c r="J7190">
        <v>1</v>
      </c>
    </row>
    <row r="7191" spans="7:10">
      <c r="G7191">
        <v>3</v>
      </c>
      <c r="H7191">
        <v>1</v>
      </c>
      <c r="I7191">
        <v>3</v>
      </c>
      <c r="J7191">
        <v>2</v>
      </c>
    </row>
    <row r="7192" spans="7:10">
      <c r="G7192">
        <v>3</v>
      </c>
      <c r="H7192">
        <v>1</v>
      </c>
      <c r="I7192">
        <v>4</v>
      </c>
      <c r="J7192">
        <v>1</v>
      </c>
    </row>
    <row r="7193" spans="7:10">
      <c r="G7193">
        <v>3</v>
      </c>
      <c r="H7193">
        <v>1</v>
      </c>
      <c r="I7193">
        <v>4</v>
      </c>
      <c r="J7193">
        <v>2</v>
      </c>
    </row>
    <row r="7194" spans="7:10">
      <c r="G7194">
        <v>3</v>
      </c>
      <c r="H7194">
        <v>1</v>
      </c>
      <c r="I7194">
        <v>5</v>
      </c>
      <c r="J7194">
        <v>1</v>
      </c>
    </row>
    <row r="7195" spans="7:10">
      <c r="G7195">
        <v>3</v>
      </c>
      <c r="H7195">
        <v>1</v>
      </c>
      <c r="I7195">
        <v>5</v>
      </c>
      <c r="J7195">
        <v>2</v>
      </c>
    </row>
    <row r="7196" spans="7:10">
      <c r="G7196">
        <v>3</v>
      </c>
      <c r="H7196">
        <v>2</v>
      </c>
      <c r="I7196">
        <v>1</v>
      </c>
      <c r="J7196">
        <v>1</v>
      </c>
    </row>
    <row r="7197" spans="7:10">
      <c r="G7197">
        <v>3</v>
      </c>
      <c r="H7197">
        <v>2</v>
      </c>
      <c r="I7197">
        <v>1</v>
      </c>
      <c r="J7197">
        <v>2</v>
      </c>
    </row>
    <row r="7198" spans="7:10">
      <c r="G7198">
        <v>3</v>
      </c>
      <c r="H7198">
        <v>2</v>
      </c>
      <c r="I7198">
        <v>2</v>
      </c>
      <c r="J7198">
        <v>1</v>
      </c>
    </row>
    <row r="7199" spans="7:10">
      <c r="G7199">
        <v>3</v>
      </c>
      <c r="H7199">
        <v>2</v>
      </c>
      <c r="I7199">
        <v>2</v>
      </c>
      <c r="J7199">
        <v>2</v>
      </c>
    </row>
    <row r="7200" spans="7:10">
      <c r="G7200">
        <v>3</v>
      </c>
      <c r="H7200">
        <v>2</v>
      </c>
      <c r="I7200">
        <v>3</v>
      </c>
      <c r="J7200">
        <v>1</v>
      </c>
    </row>
    <row r="7201" spans="7:10">
      <c r="G7201">
        <v>3</v>
      </c>
      <c r="H7201">
        <v>2</v>
      </c>
      <c r="I7201">
        <v>3</v>
      </c>
      <c r="J7201">
        <v>2</v>
      </c>
    </row>
    <row r="7202" spans="7:10">
      <c r="G7202">
        <v>3</v>
      </c>
      <c r="H7202">
        <v>2</v>
      </c>
      <c r="I7202">
        <v>4</v>
      </c>
      <c r="J7202">
        <v>1</v>
      </c>
    </row>
    <row r="7203" spans="7:10">
      <c r="G7203">
        <v>3</v>
      </c>
      <c r="H7203">
        <v>2</v>
      </c>
      <c r="I7203">
        <v>4</v>
      </c>
      <c r="J7203">
        <v>2</v>
      </c>
    </row>
    <row r="7204" spans="7:10">
      <c r="G7204">
        <v>3</v>
      </c>
      <c r="H7204">
        <v>2</v>
      </c>
      <c r="I7204">
        <v>5</v>
      </c>
      <c r="J7204">
        <v>1</v>
      </c>
    </row>
    <row r="7205" spans="7:10">
      <c r="G7205">
        <v>3</v>
      </c>
      <c r="H7205">
        <v>2</v>
      </c>
      <c r="I7205">
        <v>5</v>
      </c>
      <c r="J7205">
        <v>2</v>
      </c>
    </row>
    <row r="7206" spans="7:10">
      <c r="G7206">
        <v>3</v>
      </c>
      <c r="H7206">
        <v>3</v>
      </c>
      <c r="I7206">
        <v>1</v>
      </c>
      <c r="J7206">
        <v>1</v>
      </c>
    </row>
    <row r="7207" spans="7:10">
      <c r="G7207">
        <v>3</v>
      </c>
      <c r="H7207">
        <v>3</v>
      </c>
      <c r="I7207">
        <v>1</v>
      </c>
      <c r="J7207">
        <v>2</v>
      </c>
    </row>
    <row r="7208" spans="7:10">
      <c r="G7208">
        <v>3</v>
      </c>
      <c r="H7208">
        <v>3</v>
      </c>
      <c r="I7208">
        <v>2</v>
      </c>
      <c r="J7208">
        <v>1</v>
      </c>
    </row>
    <row r="7209" spans="7:10">
      <c r="G7209">
        <v>3</v>
      </c>
      <c r="H7209">
        <v>3</v>
      </c>
      <c r="I7209">
        <v>2</v>
      </c>
      <c r="J7209">
        <v>2</v>
      </c>
    </row>
    <row r="7210" spans="7:10">
      <c r="G7210">
        <v>3</v>
      </c>
      <c r="H7210">
        <v>3</v>
      </c>
      <c r="I7210">
        <v>3</v>
      </c>
      <c r="J7210">
        <v>1</v>
      </c>
    </row>
    <row r="7211" spans="7:10">
      <c r="G7211">
        <v>3</v>
      </c>
      <c r="H7211">
        <v>3</v>
      </c>
      <c r="I7211">
        <v>3</v>
      </c>
      <c r="J7211">
        <v>2</v>
      </c>
    </row>
    <row r="7212" spans="7:10">
      <c r="G7212">
        <v>3</v>
      </c>
      <c r="H7212">
        <v>3</v>
      </c>
      <c r="I7212">
        <v>4</v>
      </c>
      <c r="J7212">
        <v>1</v>
      </c>
    </row>
    <row r="7213" spans="7:10">
      <c r="G7213">
        <v>3</v>
      </c>
      <c r="H7213">
        <v>3</v>
      </c>
      <c r="I7213">
        <v>4</v>
      </c>
      <c r="J7213">
        <v>2</v>
      </c>
    </row>
    <row r="7214" spans="7:10">
      <c r="G7214">
        <v>3</v>
      </c>
      <c r="H7214">
        <v>3</v>
      </c>
      <c r="I7214">
        <v>5</v>
      </c>
      <c r="J7214">
        <v>1</v>
      </c>
    </row>
    <row r="7215" spans="7:10">
      <c r="G7215">
        <v>3</v>
      </c>
      <c r="H7215">
        <v>3</v>
      </c>
      <c r="I7215">
        <v>5</v>
      </c>
      <c r="J7215">
        <v>2</v>
      </c>
    </row>
    <row r="7216" spans="7:10">
      <c r="G7216">
        <v>4</v>
      </c>
      <c r="H7216">
        <v>1</v>
      </c>
      <c r="I7216">
        <v>3</v>
      </c>
      <c r="J7216">
        <v>1</v>
      </c>
    </row>
    <row r="7217" spans="7:10">
      <c r="G7217">
        <v>4</v>
      </c>
      <c r="H7217">
        <v>1</v>
      </c>
      <c r="I7217">
        <v>3</v>
      </c>
      <c r="J7217">
        <v>2</v>
      </c>
    </row>
    <row r="7218" spans="7:10">
      <c r="G7218">
        <v>4</v>
      </c>
      <c r="H7218">
        <v>1</v>
      </c>
      <c r="I7218">
        <v>4</v>
      </c>
      <c r="J7218">
        <v>1</v>
      </c>
    </row>
    <row r="7219" spans="7:10">
      <c r="G7219">
        <v>4</v>
      </c>
      <c r="H7219">
        <v>1</v>
      </c>
      <c r="I7219">
        <v>4</v>
      </c>
      <c r="J7219">
        <v>2</v>
      </c>
    </row>
    <row r="7220" spans="7:10">
      <c r="G7220">
        <v>4</v>
      </c>
      <c r="H7220">
        <v>1</v>
      </c>
      <c r="I7220">
        <v>5</v>
      </c>
      <c r="J7220">
        <v>1</v>
      </c>
    </row>
    <row r="7221" spans="7:10">
      <c r="G7221">
        <v>4</v>
      </c>
      <c r="H7221">
        <v>1</v>
      </c>
      <c r="I7221">
        <v>5</v>
      </c>
      <c r="J7221">
        <v>2</v>
      </c>
    </row>
    <row r="7222" spans="7:10">
      <c r="G7222">
        <v>4</v>
      </c>
      <c r="H7222">
        <v>2</v>
      </c>
      <c r="I7222">
        <v>1</v>
      </c>
      <c r="J7222">
        <v>1</v>
      </c>
    </row>
    <row r="7223" spans="7:10">
      <c r="G7223">
        <v>4</v>
      </c>
      <c r="H7223">
        <v>2</v>
      </c>
      <c r="I7223">
        <v>1</v>
      </c>
      <c r="J7223">
        <v>2</v>
      </c>
    </row>
    <row r="7224" spans="7:10">
      <c r="G7224">
        <v>4</v>
      </c>
      <c r="H7224">
        <v>2</v>
      </c>
      <c r="I7224">
        <v>2</v>
      </c>
      <c r="J7224">
        <v>1</v>
      </c>
    </row>
    <row r="7225" spans="7:10">
      <c r="G7225">
        <v>4</v>
      </c>
      <c r="H7225">
        <v>2</v>
      </c>
      <c r="I7225">
        <v>2</v>
      </c>
      <c r="J7225">
        <v>2</v>
      </c>
    </row>
    <row r="7226" spans="7:10">
      <c r="G7226">
        <v>4</v>
      </c>
      <c r="H7226">
        <v>2</v>
      </c>
      <c r="I7226">
        <v>3</v>
      </c>
      <c r="J7226">
        <v>1</v>
      </c>
    </row>
    <row r="7227" spans="7:10">
      <c r="G7227">
        <v>4</v>
      </c>
      <c r="H7227">
        <v>2</v>
      </c>
      <c r="I7227">
        <v>3</v>
      </c>
      <c r="J7227">
        <v>2</v>
      </c>
    </row>
    <row r="7228" spans="7:10">
      <c r="G7228">
        <v>4</v>
      </c>
      <c r="H7228">
        <v>2</v>
      </c>
      <c r="I7228">
        <v>4</v>
      </c>
      <c r="J7228">
        <v>1</v>
      </c>
    </row>
    <row r="7229" spans="7:10">
      <c r="G7229">
        <v>4</v>
      </c>
      <c r="H7229">
        <v>2</v>
      </c>
      <c r="I7229">
        <v>4</v>
      </c>
      <c r="J7229">
        <v>2</v>
      </c>
    </row>
    <row r="7230" spans="7:10">
      <c r="G7230">
        <v>4</v>
      </c>
      <c r="H7230">
        <v>2</v>
      </c>
      <c r="I7230">
        <v>5</v>
      </c>
      <c r="J7230">
        <v>1</v>
      </c>
    </row>
    <row r="7231" spans="7:10">
      <c r="G7231">
        <v>4</v>
      </c>
      <c r="H7231">
        <v>2</v>
      </c>
      <c r="I7231">
        <v>5</v>
      </c>
      <c r="J7231">
        <v>2</v>
      </c>
    </row>
    <row r="7232" spans="7:10">
      <c r="G7232">
        <v>4</v>
      </c>
      <c r="H7232">
        <v>3</v>
      </c>
      <c r="I7232">
        <v>1</v>
      </c>
      <c r="J7232">
        <v>1</v>
      </c>
    </row>
    <row r="7233" spans="7:10">
      <c r="G7233">
        <v>4</v>
      </c>
      <c r="H7233">
        <v>3</v>
      </c>
      <c r="I7233">
        <v>1</v>
      </c>
      <c r="J7233">
        <v>2</v>
      </c>
    </row>
    <row r="7234" spans="7:10">
      <c r="G7234">
        <v>4</v>
      </c>
      <c r="H7234">
        <v>3</v>
      </c>
      <c r="I7234">
        <v>2</v>
      </c>
      <c r="J7234">
        <v>1</v>
      </c>
    </row>
    <row r="7235" spans="7:10">
      <c r="G7235">
        <v>4</v>
      </c>
      <c r="H7235">
        <v>3</v>
      </c>
      <c r="I7235">
        <v>2</v>
      </c>
      <c r="J7235">
        <v>2</v>
      </c>
    </row>
    <row r="7236" spans="7:10">
      <c r="G7236">
        <v>4</v>
      </c>
      <c r="H7236">
        <v>3</v>
      </c>
      <c r="I7236">
        <v>3</v>
      </c>
      <c r="J7236">
        <v>1</v>
      </c>
    </row>
    <row r="7237" spans="7:10">
      <c r="G7237">
        <v>4</v>
      </c>
      <c r="H7237">
        <v>3</v>
      </c>
      <c r="I7237">
        <v>3</v>
      </c>
      <c r="J7237">
        <v>2</v>
      </c>
    </row>
    <row r="7238" spans="7:10">
      <c r="G7238">
        <v>4</v>
      </c>
      <c r="H7238">
        <v>3</v>
      </c>
      <c r="I7238">
        <v>4</v>
      </c>
      <c r="J7238">
        <v>1</v>
      </c>
    </row>
    <row r="7239" spans="7:10">
      <c r="G7239">
        <v>4</v>
      </c>
      <c r="H7239">
        <v>3</v>
      </c>
      <c r="I7239">
        <v>4</v>
      </c>
      <c r="J7239">
        <v>2</v>
      </c>
    </row>
    <row r="7240" spans="7:10">
      <c r="G7240">
        <v>4</v>
      </c>
      <c r="H7240">
        <v>3</v>
      </c>
      <c r="I7240">
        <v>5</v>
      </c>
      <c r="J7240">
        <v>1</v>
      </c>
    </row>
    <row r="7241" spans="7:10">
      <c r="G7241">
        <v>4</v>
      </c>
      <c r="H7241">
        <v>3</v>
      </c>
      <c r="I7241">
        <v>5</v>
      </c>
      <c r="J7241">
        <v>2</v>
      </c>
    </row>
    <row r="7242" spans="7:10">
      <c r="G7242">
        <v>2</v>
      </c>
      <c r="H7242">
        <v>1</v>
      </c>
      <c r="I7242">
        <v>3</v>
      </c>
      <c r="J7242">
        <v>1</v>
      </c>
    </row>
    <row r="7243" spans="7:10">
      <c r="G7243">
        <v>2</v>
      </c>
      <c r="H7243">
        <v>1</v>
      </c>
      <c r="I7243">
        <v>3</v>
      </c>
      <c r="J7243">
        <v>2</v>
      </c>
    </row>
    <row r="7244" spans="7:10">
      <c r="G7244">
        <v>2</v>
      </c>
      <c r="H7244">
        <v>1</v>
      </c>
      <c r="I7244">
        <v>4</v>
      </c>
      <c r="J7244">
        <v>1</v>
      </c>
    </row>
    <row r="7245" spans="7:10">
      <c r="G7245">
        <v>2</v>
      </c>
      <c r="H7245">
        <v>1</v>
      </c>
      <c r="I7245">
        <v>4</v>
      </c>
      <c r="J7245">
        <v>2</v>
      </c>
    </row>
    <row r="7246" spans="7:10">
      <c r="G7246">
        <v>2</v>
      </c>
      <c r="H7246">
        <v>1</v>
      </c>
      <c r="I7246">
        <v>5</v>
      </c>
      <c r="J7246">
        <v>1</v>
      </c>
    </row>
    <row r="7247" spans="7:10">
      <c r="G7247">
        <v>2</v>
      </c>
      <c r="H7247">
        <v>1</v>
      </c>
      <c r="I7247">
        <v>5</v>
      </c>
      <c r="J7247">
        <v>2</v>
      </c>
    </row>
    <row r="7248" spans="7:10">
      <c r="G7248">
        <v>2</v>
      </c>
      <c r="H7248">
        <v>2</v>
      </c>
      <c r="I7248">
        <v>1</v>
      </c>
      <c r="J7248">
        <v>1</v>
      </c>
    </row>
    <row r="7249" spans="7:10">
      <c r="G7249">
        <v>2</v>
      </c>
      <c r="H7249">
        <v>2</v>
      </c>
      <c r="I7249">
        <v>1</v>
      </c>
      <c r="J7249">
        <v>2</v>
      </c>
    </row>
    <row r="7250" spans="7:10">
      <c r="G7250">
        <v>2</v>
      </c>
      <c r="H7250">
        <v>2</v>
      </c>
      <c r="I7250">
        <v>2</v>
      </c>
      <c r="J7250">
        <v>1</v>
      </c>
    </row>
    <row r="7251" spans="7:10">
      <c r="G7251">
        <v>2</v>
      </c>
      <c r="H7251">
        <v>2</v>
      </c>
      <c r="I7251">
        <v>2</v>
      </c>
      <c r="J7251">
        <v>2</v>
      </c>
    </row>
    <row r="7252" spans="7:10">
      <c r="G7252">
        <v>2</v>
      </c>
      <c r="H7252">
        <v>2</v>
      </c>
      <c r="I7252">
        <v>3</v>
      </c>
      <c r="J7252">
        <v>1</v>
      </c>
    </row>
    <row r="7253" spans="7:10">
      <c r="G7253">
        <v>2</v>
      </c>
      <c r="H7253">
        <v>2</v>
      </c>
      <c r="I7253">
        <v>3</v>
      </c>
      <c r="J7253">
        <v>2</v>
      </c>
    </row>
    <row r="7254" spans="7:10">
      <c r="G7254">
        <v>2</v>
      </c>
      <c r="H7254">
        <v>2</v>
      </c>
      <c r="I7254">
        <v>4</v>
      </c>
      <c r="J7254">
        <v>1</v>
      </c>
    </row>
    <row r="7255" spans="7:10">
      <c r="G7255">
        <v>2</v>
      </c>
      <c r="H7255">
        <v>2</v>
      </c>
      <c r="I7255">
        <v>4</v>
      </c>
      <c r="J7255">
        <v>2</v>
      </c>
    </row>
    <row r="7256" spans="7:10">
      <c r="G7256">
        <v>2</v>
      </c>
      <c r="H7256">
        <v>2</v>
      </c>
      <c r="I7256">
        <v>5</v>
      </c>
      <c r="J7256">
        <v>1</v>
      </c>
    </row>
    <row r="7257" spans="7:10">
      <c r="G7257">
        <v>2</v>
      </c>
      <c r="H7257">
        <v>2</v>
      </c>
      <c r="I7257">
        <v>5</v>
      </c>
      <c r="J7257">
        <v>2</v>
      </c>
    </row>
    <row r="7258" spans="7:10">
      <c r="G7258">
        <v>2</v>
      </c>
      <c r="H7258">
        <v>3</v>
      </c>
      <c r="I7258">
        <v>1</v>
      </c>
      <c r="J7258">
        <v>1</v>
      </c>
    </row>
    <row r="7259" spans="7:10">
      <c r="G7259">
        <v>2</v>
      </c>
      <c r="H7259">
        <v>3</v>
      </c>
      <c r="I7259">
        <v>1</v>
      </c>
      <c r="J7259">
        <v>2</v>
      </c>
    </row>
    <row r="7260" spans="7:10">
      <c r="G7260">
        <v>2</v>
      </c>
      <c r="H7260">
        <v>3</v>
      </c>
      <c r="I7260">
        <v>2</v>
      </c>
      <c r="J7260">
        <v>1</v>
      </c>
    </row>
    <row r="7261" spans="7:10">
      <c r="G7261">
        <v>2</v>
      </c>
      <c r="H7261">
        <v>3</v>
      </c>
      <c r="I7261">
        <v>2</v>
      </c>
      <c r="J7261">
        <v>2</v>
      </c>
    </row>
    <row r="7262" spans="7:10">
      <c r="G7262">
        <v>2</v>
      </c>
      <c r="H7262">
        <v>3</v>
      </c>
      <c r="I7262">
        <v>3</v>
      </c>
      <c r="J7262">
        <v>1</v>
      </c>
    </row>
    <row r="7263" spans="7:10">
      <c r="G7263">
        <v>2</v>
      </c>
      <c r="H7263">
        <v>3</v>
      </c>
      <c r="I7263">
        <v>3</v>
      </c>
      <c r="J7263">
        <v>2</v>
      </c>
    </row>
    <row r="7264" spans="7:10">
      <c r="G7264">
        <v>2</v>
      </c>
      <c r="H7264">
        <v>3</v>
      </c>
      <c r="I7264">
        <v>4</v>
      </c>
      <c r="J7264">
        <v>1</v>
      </c>
    </row>
    <row r="7265" spans="7:10">
      <c r="G7265">
        <v>2</v>
      </c>
      <c r="H7265">
        <v>3</v>
      </c>
      <c r="I7265">
        <v>4</v>
      </c>
      <c r="J7265">
        <v>2</v>
      </c>
    </row>
    <row r="7266" spans="7:10">
      <c r="G7266">
        <v>2</v>
      </c>
      <c r="H7266">
        <v>3</v>
      </c>
      <c r="I7266">
        <v>5</v>
      </c>
      <c r="J7266">
        <v>1</v>
      </c>
    </row>
    <row r="7267" spans="7:10">
      <c r="G7267">
        <v>2</v>
      </c>
      <c r="H7267">
        <v>3</v>
      </c>
      <c r="I7267">
        <v>5</v>
      </c>
      <c r="J7267">
        <v>2</v>
      </c>
    </row>
    <row r="7268" spans="7:10">
      <c r="G7268">
        <v>3</v>
      </c>
      <c r="H7268">
        <v>1</v>
      </c>
      <c r="I7268">
        <v>3</v>
      </c>
      <c r="J7268">
        <v>1</v>
      </c>
    </row>
    <row r="7269" spans="7:10">
      <c r="G7269">
        <v>3</v>
      </c>
      <c r="H7269">
        <v>1</v>
      </c>
      <c r="I7269">
        <v>3</v>
      </c>
      <c r="J7269">
        <v>2</v>
      </c>
    </row>
    <row r="7270" spans="7:10">
      <c r="G7270">
        <v>3</v>
      </c>
      <c r="H7270">
        <v>1</v>
      </c>
      <c r="I7270">
        <v>4</v>
      </c>
      <c r="J7270">
        <v>1</v>
      </c>
    </row>
    <row r="7271" spans="7:10">
      <c r="G7271">
        <v>3</v>
      </c>
      <c r="H7271">
        <v>1</v>
      </c>
      <c r="I7271">
        <v>4</v>
      </c>
      <c r="J7271">
        <v>2</v>
      </c>
    </row>
    <row r="7272" spans="7:10">
      <c r="G7272">
        <v>3</v>
      </c>
      <c r="H7272">
        <v>1</v>
      </c>
      <c r="I7272">
        <v>5</v>
      </c>
      <c r="J7272">
        <v>1</v>
      </c>
    </row>
    <row r="7273" spans="7:10">
      <c r="G7273">
        <v>3</v>
      </c>
      <c r="H7273">
        <v>1</v>
      </c>
      <c r="I7273">
        <v>5</v>
      </c>
      <c r="J7273">
        <v>2</v>
      </c>
    </row>
    <row r="7274" spans="7:10">
      <c r="G7274">
        <v>3</v>
      </c>
      <c r="H7274">
        <v>2</v>
      </c>
      <c r="I7274">
        <v>1</v>
      </c>
      <c r="J7274">
        <v>1</v>
      </c>
    </row>
    <row r="7275" spans="7:10">
      <c r="G7275">
        <v>3</v>
      </c>
      <c r="H7275">
        <v>2</v>
      </c>
      <c r="I7275">
        <v>1</v>
      </c>
      <c r="J7275">
        <v>2</v>
      </c>
    </row>
    <row r="7276" spans="7:10">
      <c r="G7276">
        <v>3</v>
      </c>
      <c r="H7276">
        <v>2</v>
      </c>
      <c r="I7276">
        <v>2</v>
      </c>
      <c r="J7276">
        <v>1</v>
      </c>
    </row>
    <row r="7277" spans="7:10">
      <c r="G7277">
        <v>3</v>
      </c>
      <c r="H7277">
        <v>2</v>
      </c>
      <c r="I7277">
        <v>2</v>
      </c>
      <c r="J7277">
        <v>2</v>
      </c>
    </row>
    <row r="7278" spans="7:10">
      <c r="G7278">
        <v>3</v>
      </c>
      <c r="H7278">
        <v>2</v>
      </c>
      <c r="I7278">
        <v>3</v>
      </c>
      <c r="J7278">
        <v>1</v>
      </c>
    </row>
    <row r="7279" spans="7:10">
      <c r="G7279">
        <v>3</v>
      </c>
      <c r="H7279">
        <v>2</v>
      </c>
      <c r="I7279">
        <v>3</v>
      </c>
      <c r="J7279">
        <v>2</v>
      </c>
    </row>
    <row r="7280" spans="7:10">
      <c r="G7280">
        <v>3</v>
      </c>
      <c r="H7280">
        <v>2</v>
      </c>
      <c r="I7280">
        <v>4</v>
      </c>
      <c r="J7280">
        <v>1</v>
      </c>
    </row>
    <row r="7281" spans="7:10">
      <c r="G7281">
        <v>3</v>
      </c>
      <c r="H7281">
        <v>2</v>
      </c>
      <c r="I7281">
        <v>4</v>
      </c>
      <c r="J7281">
        <v>2</v>
      </c>
    </row>
    <row r="7282" spans="7:10">
      <c r="G7282">
        <v>3</v>
      </c>
      <c r="H7282">
        <v>2</v>
      </c>
      <c r="I7282">
        <v>5</v>
      </c>
      <c r="J7282">
        <v>1</v>
      </c>
    </row>
    <row r="7283" spans="7:10">
      <c r="G7283">
        <v>3</v>
      </c>
      <c r="H7283">
        <v>2</v>
      </c>
      <c r="I7283">
        <v>5</v>
      </c>
      <c r="J7283">
        <v>2</v>
      </c>
    </row>
    <row r="7284" spans="7:10">
      <c r="G7284">
        <v>3</v>
      </c>
      <c r="H7284">
        <v>3</v>
      </c>
      <c r="I7284">
        <v>1</v>
      </c>
      <c r="J7284">
        <v>1</v>
      </c>
    </row>
    <row r="7285" spans="7:10">
      <c r="G7285">
        <v>3</v>
      </c>
      <c r="H7285">
        <v>3</v>
      </c>
      <c r="I7285">
        <v>1</v>
      </c>
      <c r="J7285">
        <v>2</v>
      </c>
    </row>
    <row r="7286" spans="7:10">
      <c r="G7286">
        <v>3</v>
      </c>
      <c r="H7286">
        <v>3</v>
      </c>
      <c r="I7286">
        <v>2</v>
      </c>
      <c r="J7286">
        <v>1</v>
      </c>
    </row>
    <row r="7287" spans="7:10">
      <c r="G7287">
        <v>3</v>
      </c>
      <c r="H7287">
        <v>3</v>
      </c>
      <c r="I7287">
        <v>2</v>
      </c>
      <c r="J7287">
        <v>2</v>
      </c>
    </row>
    <row r="7288" spans="7:10">
      <c r="G7288">
        <v>3</v>
      </c>
      <c r="H7288">
        <v>3</v>
      </c>
      <c r="I7288">
        <v>3</v>
      </c>
      <c r="J7288">
        <v>1</v>
      </c>
    </row>
    <row r="7289" spans="7:10">
      <c r="G7289">
        <v>3</v>
      </c>
      <c r="H7289">
        <v>3</v>
      </c>
      <c r="I7289">
        <v>3</v>
      </c>
      <c r="J7289">
        <v>2</v>
      </c>
    </row>
    <row r="7290" spans="7:10">
      <c r="G7290">
        <v>3</v>
      </c>
      <c r="H7290">
        <v>3</v>
      </c>
      <c r="I7290">
        <v>4</v>
      </c>
      <c r="J7290">
        <v>1</v>
      </c>
    </row>
    <row r="7291" spans="7:10">
      <c r="G7291">
        <v>3</v>
      </c>
      <c r="H7291">
        <v>3</v>
      </c>
      <c r="I7291">
        <v>4</v>
      </c>
      <c r="J7291">
        <v>2</v>
      </c>
    </row>
    <row r="7292" spans="7:10">
      <c r="G7292">
        <v>3</v>
      </c>
      <c r="H7292">
        <v>3</v>
      </c>
      <c r="I7292">
        <v>5</v>
      </c>
      <c r="J7292">
        <v>1</v>
      </c>
    </row>
    <row r="7293" spans="7:10">
      <c r="G7293">
        <v>3</v>
      </c>
      <c r="H7293">
        <v>3</v>
      </c>
      <c r="I7293">
        <v>5</v>
      </c>
      <c r="J7293">
        <v>2</v>
      </c>
    </row>
    <row r="7294" spans="7:10">
      <c r="G7294">
        <v>4</v>
      </c>
      <c r="H7294">
        <v>1</v>
      </c>
      <c r="I7294">
        <v>3</v>
      </c>
      <c r="J7294">
        <v>1</v>
      </c>
    </row>
    <row r="7295" spans="7:10">
      <c r="G7295">
        <v>4</v>
      </c>
      <c r="H7295">
        <v>1</v>
      </c>
      <c r="I7295">
        <v>3</v>
      </c>
      <c r="J7295">
        <v>2</v>
      </c>
    </row>
    <row r="7296" spans="7:10">
      <c r="G7296">
        <v>4</v>
      </c>
      <c r="H7296">
        <v>1</v>
      </c>
      <c r="I7296">
        <v>4</v>
      </c>
      <c r="J7296">
        <v>1</v>
      </c>
    </row>
    <row r="7297" spans="7:10">
      <c r="G7297">
        <v>4</v>
      </c>
      <c r="H7297">
        <v>1</v>
      </c>
      <c r="I7297">
        <v>4</v>
      </c>
      <c r="J7297">
        <v>2</v>
      </c>
    </row>
    <row r="7298" spans="7:10">
      <c r="G7298">
        <v>4</v>
      </c>
      <c r="H7298">
        <v>1</v>
      </c>
      <c r="I7298">
        <v>5</v>
      </c>
      <c r="J7298">
        <v>1</v>
      </c>
    </row>
    <row r="7299" spans="7:10">
      <c r="G7299">
        <v>4</v>
      </c>
      <c r="H7299">
        <v>1</v>
      </c>
      <c r="I7299">
        <v>5</v>
      </c>
      <c r="J7299">
        <v>2</v>
      </c>
    </row>
    <row r="7300" spans="7:10">
      <c r="G7300">
        <v>4</v>
      </c>
      <c r="H7300">
        <v>2</v>
      </c>
      <c r="I7300">
        <v>1</v>
      </c>
      <c r="J7300">
        <v>1</v>
      </c>
    </row>
    <row r="7301" spans="7:10">
      <c r="G7301">
        <v>4</v>
      </c>
      <c r="H7301">
        <v>2</v>
      </c>
      <c r="I7301">
        <v>1</v>
      </c>
      <c r="J7301">
        <v>2</v>
      </c>
    </row>
    <row r="7302" spans="7:10">
      <c r="G7302">
        <v>4</v>
      </c>
      <c r="H7302">
        <v>2</v>
      </c>
      <c r="I7302">
        <v>2</v>
      </c>
      <c r="J7302">
        <v>1</v>
      </c>
    </row>
    <row r="7303" spans="7:10">
      <c r="G7303">
        <v>4</v>
      </c>
      <c r="H7303">
        <v>2</v>
      </c>
      <c r="I7303">
        <v>2</v>
      </c>
      <c r="J7303">
        <v>2</v>
      </c>
    </row>
    <row r="7304" spans="7:10">
      <c r="G7304">
        <v>4</v>
      </c>
      <c r="H7304">
        <v>2</v>
      </c>
      <c r="I7304">
        <v>3</v>
      </c>
      <c r="J7304">
        <v>1</v>
      </c>
    </row>
    <row r="7305" spans="7:10">
      <c r="G7305">
        <v>4</v>
      </c>
      <c r="H7305">
        <v>2</v>
      </c>
      <c r="I7305">
        <v>3</v>
      </c>
      <c r="J7305">
        <v>2</v>
      </c>
    </row>
    <row r="7306" spans="7:10">
      <c r="G7306">
        <v>4</v>
      </c>
      <c r="H7306">
        <v>2</v>
      </c>
      <c r="I7306">
        <v>4</v>
      </c>
      <c r="J7306">
        <v>1</v>
      </c>
    </row>
    <row r="7307" spans="7:10">
      <c r="G7307">
        <v>4</v>
      </c>
      <c r="H7307">
        <v>2</v>
      </c>
      <c r="I7307">
        <v>4</v>
      </c>
      <c r="J7307">
        <v>2</v>
      </c>
    </row>
    <row r="7308" spans="7:10">
      <c r="G7308">
        <v>4</v>
      </c>
      <c r="H7308">
        <v>2</v>
      </c>
      <c r="I7308">
        <v>5</v>
      </c>
      <c r="J7308">
        <v>1</v>
      </c>
    </row>
    <row r="7309" spans="7:10">
      <c r="G7309">
        <v>4</v>
      </c>
      <c r="H7309">
        <v>2</v>
      </c>
      <c r="I7309">
        <v>5</v>
      </c>
      <c r="J7309">
        <v>2</v>
      </c>
    </row>
    <row r="7310" spans="7:10">
      <c r="G7310">
        <v>4</v>
      </c>
      <c r="H7310">
        <v>3</v>
      </c>
      <c r="I7310">
        <v>1</v>
      </c>
      <c r="J7310">
        <v>1</v>
      </c>
    </row>
    <row r="7311" spans="7:10">
      <c r="G7311">
        <v>4</v>
      </c>
      <c r="H7311">
        <v>3</v>
      </c>
      <c r="I7311">
        <v>1</v>
      </c>
      <c r="J7311">
        <v>2</v>
      </c>
    </row>
    <row r="7312" spans="7:10">
      <c r="G7312">
        <v>4</v>
      </c>
      <c r="H7312">
        <v>3</v>
      </c>
      <c r="I7312">
        <v>2</v>
      </c>
      <c r="J7312">
        <v>1</v>
      </c>
    </row>
    <row r="7313" spans="7:10">
      <c r="G7313">
        <v>4</v>
      </c>
      <c r="H7313">
        <v>3</v>
      </c>
      <c r="I7313">
        <v>2</v>
      </c>
      <c r="J7313">
        <v>2</v>
      </c>
    </row>
    <row r="7314" spans="7:10">
      <c r="G7314">
        <v>4</v>
      </c>
      <c r="H7314">
        <v>3</v>
      </c>
      <c r="I7314">
        <v>3</v>
      </c>
      <c r="J7314">
        <v>1</v>
      </c>
    </row>
    <row r="7315" spans="7:10">
      <c r="G7315">
        <v>4</v>
      </c>
      <c r="H7315">
        <v>3</v>
      </c>
      <c r="I7315">
        <v>3</v>
      </c>
      <c r="J7315">
        <v>2</v>
      </c>
    </row>
    <row r="7316" spans="7:10">
      <c r="G7316">
        <v>4</v>
      </c>
      <c r="H7316">
        <v>3</v>
      </c>
      <c r="I7316">
        <v>4</v>
      </c>
      <c r="J7316">
        <v>1</v>
      </c>
    </row>
    <row r="7317" spans="7:10">
      <c r="G7317">
        <v>4</v>
      </c>
      <c r="H7317">
        <v>3</v>
      </c>
      <c r="I7317">
        <v>4</v>
      </c>
      <c r="J7317">
        <v>2</v>
      </c>
    </row>
    <row r="7318" spans="7:10">
      <c r="G7318">
        <v>4</v>
      </c>
      <c r="H7318">
        <v>3</v>
      </c>
      <c r="I7318">
        <v>5</v>
      </c>
      <c r="J7318">
        <v>1</v>
      </c>
    </row>
    <row r="7319" spans="7:10">
      <c r="G7319">
        <v>4</v>
      </c>
      <c r="H7319">
        <v>3</v>
      </c>
      <c r="I7319">
        <v>5</v>
      </c>
      <c r="J7319">
        <v>2</v>
      </c>
    </row>
    <row r="7320" spans="7:10">
      <c r="G7320">
        <v>1</v>
      </c>
      <c r="H7320">
        <v>2</v>
      </c>
      <c r="I7320">
        <v>1</v>
      </c>
      <c r="J7320">
        <v>1</v>
      </c>
    </row>
    <row r="7321" spans="7:10">
      <c r="G7321">
        <v>1</v>
      </c>
      <c r="H7321">
        <v>2</v>
      </c>
      <c r="I7321">
        <v>1</v>
      </c>
      <c r="J7321">
        <v>2</v>
      </c>
    </row>
    <row r="7322" spans="7:10">
      <c r="G7322">
        <v>1</v>
      </c>
      <c r="H7322">
        <v>2</v>
      </c>
      <c r="I7322">
        <v>2</v>
      </c>
      <c r="J7322">
        <v>1</v>
      </c>
    </row>
    <row r="7323" spans="7:10">
      <c r="G7323">
        <v>1</v>
      </c>
      <c r="H7323">
        <v>2</v>
      </c>
      <c r="I7323">
        <v>2</v>
      </c>
      <c r="J7323">
        <v>2</v>
      </c>
    </row>
    <row r="7324" spans="7:10">
      <c r="G7324">
        <v>1</v>
      </c>
      <c r="H7324">
        <v>2</v>
      </c>
      <c r="I7324">
        <v>3</v>
      </c>
      <c r="J7324">
        <v>1</v>
      </c>
    </row>
    <row r="7325" spans="7:10">
      <c r="G7325">
        <v>1</v>
      </c>
      <c r="H7325">
        <v>2</v>
      </c>
      <c r="I7325">
        <v>3</v>
      </c>
      <c r="J7325">
        <v>2</v>
      </c>
    </row>
    <row r="7326" spans="7:10">
      <c r="G7326">
        <v>1</v>
      </c>
      <c r="H7326">
        <v>2</v>
      </c>
      <c r="I7326">
        <v>4</v>
      </c>
      <c r="J7326">
        <v>1</v>
      </c>
    </row>
    <row r="7327" spans="7:10">
      <c r="G7327">
        <v>1</v>
      </c>
      <c r="H7327">
        <v>2</v>
      </c>
      <c r="I7327">
        <v>4</v>
      </c>
      <c r="J7327">
        <v>2</v>
      </c>
    </row>
    <row r="7328" spans="7:10">
      <c r="G7328">
        <v>1</v>
      </c>
      <c r="H7328">
        <v>2</v>
      </c>
      <c r="I7328">
        <v>5</v>
      </c>
      <c r="J7328">
        <v>1</v>
      </c>
    </row>
    <row r="7329" spans="7:10">
      <c r="G7329">
        <v>1</v>
      </c>
      <c r="H7329">
        <v>2</v>
      </c>
      <c r="I7329">
        <v>5</v>
      </c>
      <c r="J7329">
        <v>2</v>
      </c>
    </row>
    <row r="7330" spans="7:10">
      <c r="G7330">
        <v>1</v>
      </c>
      <c r="H7330">
        <v>3</v>
      </c>
      <c r="I7330">
        <v>1</v>
      </c>
      <c r="J7330">
        <v>1</v>
      </c>
    </row>
    <row r="7331" spans="7:10">
      <c r="G7331">
        <v>1</v>
      </c>
      <c r="H7331">
        <v>3</v>
      </c>
      <c r="I7331">
        <v>1</v>
      </c>
      <c r="J7331">
        <v>2</v>
      </c>
    </row>
    <row r="7332" spans="7:10">
      <c r="G7332">
        <v>1</v>
      </c>
      <c r="H7332">
        <v>3</v>
      </c>
      <c r="I7332">
        <v>2</v>
      </c>
      <c r="J7332">
        <v>1</v>
      </c>
    </row>
    <row r="7333" spans="7:10">
      <c r="G7333">
        <v>1</v>
      </c>
      <c r="H7333">
        <v>3</v>
      </c>
      <c r="I7333">
        <v>2</v>
      </c>
      <c r="J7333">
        <v>2</v>
      </c>
    </row>
    <row r="7334" spans="7:10">
      <c r="G7334">
        <v>1</v>
      </c>
      <c r="H7334">
        <v>3</v>
      </c>
      <c r="I7334">
        <v>3</v>
      </c>
      <c r="J7334">
        <v>1</v>
      </c>
    </row>
    <row r="7335" spans="7:10">
      <c r="G7335">
        <v>1</v>
      </c>
      <c r="H7335">
        <v>3</v>
      </c>
      <c r="I7335">
        <v>3</v>
      </c>
      <c r="J7335">
        <v>2</v>
      </c>
    </row>
    <row r="7336" spans="7:10">
      <c r="G7336">
        <v>1</v>
      </c>
      <c r="H7336">
        <v>3</v>
      </c>
      <c r="I7336">
        <v>4</v>
      </c>
      <c r="J7336">
        <v>1</v>
      </c>
    </row>
    <row r="7337" spans="7:10">
      <c r="G7337">
        <v>1</v>
      </c>
      <c r="H7337">
        <v>3</v>
      </c>
      <c r="I7337">
        <v>4</v>
      </c>
      <c r="J7337">
        <v>2</v>
      </c>
    </row>
    <row r="7338" spans="7:10">
      <c r="G7338">
        <v>1</v>
      </c>
      <c r="H7338">
        <v>3</v>
      </c>
      <c r="I7338">
        <v>5</v>
      </c>
      <c r="J7338">
        <v>1</v>
      </c>
    </row>
    <row r="7339" spans="7:10">
      <c r="G7339">
        <v>1</v>
      </c>
      <c r="H7339">
        <v>3</v>
      </c>
      <c r="I7339">
        <v>5</v>
      </c>
      <c r="J7339">
        <v>2</v>
      </c>
    </row>
    <row r="7340" spans="7:10">
      <c r="G7340">
        <v>2</v>
      </c>
      <c r="H7340">
        <v>1</v>
      </c>
      <c r="I7340">
        <v>3</v>
      </c>
      <c r="J7340">
        <v>1</v>
      </c>
    </row>
    <row r="7341" spans="7:10">
      <c r="G7341">
        <v>2</v>
      </c>
      <c r="H7341">
        <v>1</v>
      </c>
      <c r="I7341">
        <v>3</v>
      </c>
      <c r="J7341">
        <v>2</v>
      </c>
    </row>
    <row r="7342" spans="7:10">
      <c r="G7342">
        <v>2</v>
      </c>
      <c r="H7342">
        <v>1</v>
      </c>
      <c r="I7342">
        <v>4</v>
      </c>
      <c r="J7342">
        <v>1</v>
      </c>
    </row>
    <row r="7343" spans="7:10">
      <c r="G7343">
        <v>2</v>
      </c>
      <c r="H7343">
        <v>1</v>
      </c>
      <c r="I7343">
        <v>4</v>
      </c>
      <c r="J7343">
        <v>2</v>
      </c>
    </row>
    <row r="7344" spans="7:10">
      <c r="G7344">
        <v>2</v>
      </c>
      <c r="H7344">
        <v>1</v>
      </c>
      <c r="I7344">
        <v>5</v>
      </c>
      <c r="J7344">
        <v>1</v>
      </c>
    </row>
    <row r="7345" spans="7:10">
      <c r="G7345">
        <v>2</v>
      </c>
      <c r="H7345">
        <v>1</v>
      </c>
      <c r="I7345">
        <v>5</v>
      </c>
      <c r="J7345">
        <v>2</v>
      </c>
    </row>
    <row r="7346" spans="7:10">
      <c r="G7346">
        <v>2</v>
      </c>
      <c r="H7346">
        <v>2</v>
      </c>
      <c r="I7346">
        <v>1</v>
      </c>
      <c r="J7346">
        <v>1</v>
      </c>
    </row>
    <row r="7347" spans="7:10">
      <c r="G7347">
        <v>2</v>
      </c>
      <c r="H7347">
        <v>2</v>
      </c>
      <c r="I7347">
        <v>1</v>
      </c>
      <c r="J7347">
        <v>2</v>
      </c>
    </row>
    <row r="7348" spans="7:10">
      <c r="G7348">
        <v>2</v>
      </c>
      <c r="H7348">
        <v>2</v>
      </c>
      <c r="I7348">
        <v>2</v>
      </c>
      <c r="J7348">
        <v>1</v>
      </c>
    </row>
    <row r="7349" spans="7:10">
      <c r="G7349">
        <v>2</v>
      </c>
      <c r="H7349">
        <v>2</v>
      </c>
      <c r="I7349">
        <v>2</v>
      </c>
      <c r="J7349">
        <v>2</v>
      </c>
    </row>
    <row r="7350" spans="7:10">
      <c r="G7350">
        <v>2</v>
      </c>
      <c r="H7350">
        <v>2</v>
      </c>
      <c r="I7350">
        <v>3</v>
      </c>
      <c r="J7350">
        <v>1</v>
      </c>
    </row>
    <row r="7351" spans="7:10">
      <c r="G7351">
        <v>2</v>
      </c>
      <c r="H7351">
        <v>2</v>
      </c>
      <c r="I7351">
        <v>3</v>
      </c>
      <c r="J7351">
        <v>2</v>
      </c>
    </row>
    <row r="7352" spans="7:10">
      <c r="G7352">
        <v>2</v>
      </c>
      <c r="H7352">
        <v>2</v>
      </c>
      <c r="I7352">
        <v>4</v>
      </c>
      <c r="J7352">
        <v>1</v>
      </c>
    </row>
    <row r="7353" spans="7:10">
      <c r="G7353">
        <v>2</v>
      </c>
      <c r="H7353">
        <v>2</v>
      </c>
      <c r="I7353">
        <v>4</v>
      </c>
      <c r="J7353">
        <v>2</v>
      </c>
    </row>
    <row r="7354" spans="7:10">
      <c r="G7354">
        <v>2</v>
      </c>
      <c r="H7354">
        <v>2</v>
      </c>
      <c r="I7354">
        <v>5</v>
      </c>
      <c r="J7354">
        <v>1</v>
      </c>
    </row>
    <row r="7355" spans="7:10">
      <c r="G7355">
        <v>2</v>
      </c>
      <c r="H7355">
        <v>2</v>
      </c>
      <c r="I7355">
        <v>5</v>
      </c>
      <c r="J7355">
        <v>2</v>
      </c>
    </row>
    <row r="7356" spans="7:10">
      <c r="G7356">
        <v>2</v>
      </c>
      <c r="H7356">
        <v>3</v>
      </c>
      <c r="I7356">
        <v>1</v>
      </c>
      <c r="J7356">
        <v>1</v>
      </c>
    </row>
    <row r="7357" spans="7:10">
      <c r="G7357">
        <v>2</v>
      </c>
      <c r="H7357">
        <v>3</v>
      </c>
      <c r="I7357">
        <v>1</v>
      </c>
      <c r="J7357">
        <v>2</v>
      </c>
    </row>
    <row r="7358" spans="7:10">
      <c r="G7358">
        <v>2</v>
      </c>
      <c r="H7358">
        <v>3</v>
      </c>
      <c r="I7358">
        <v>2</v>
      </c>
      <c r="J7358">
        <v>1</v>
      </c>
    </row>
    <row r="7359" spans="7:10">
      <c r="G7359">
        <v>2</v>
      </c>
      <c r="H7359">
        <v>3</v>
      </c>
      <c r="I7359">
        <v>2</v>
      </c>
      <c r="J7359">
        <v>2</v>
      </c>
    </row>
    <row r="7360" spans="7:10">
      <c r="G7360">
        <v>2</v>
      </c>
      <c r="H7360">
        <v>3</v>
      </c>
      <c r="I7360">
        <v>3</v>
      </c>
      <c r="J7360">
        <v>1</v>
      </c>
    </row>
    <row r="7361" spans="7:10">
      <c r="G7361">
        <v>2</v>
      </c>
      <c r="H7361">
        <v>3</v>
      </c>
      <c r="I7361">
        <v>3</v>
      </c>
      <c r="J7361">
        <v>2</v>
      </c>
    </row>
    <row r="7362" spans="7:10">
      <c r="G7362">
        <v>2</v>
      </c>
      <c r="H7362">
        <v>3</v>
      </c>
      <c r="I7362">
        <v>4</v>
      </c>
      <c r="J7362">
        <v>1</v>
      </c>
    </row>
    <row r="7363" spans="7:10">
      <c r="G7363">
        <v>2</v>
      </c>
      <c r="H7363">
        <v>3</v>
      </c>
      <c r="I7363">
        <v>4</v>
      </c>
      <c r="J7363">
        <v>2</v>
      </c>
    </row>
    <row r="7364" spans="7:10">
      <c r="G7364">
        <v>2</v>
      </c>
      <c r="H7364">
        <v>3</v>
      </c>
      <c r="I7364">
        <v>5</v>
      </c>
      <c r="J7364">
        <v>1</v>
      </c>
    </row>
    <row r="7365" spans="7:10">
      <c r="G7365">
        <v>2</v>
      </c>
      <c r="H7365">
        <v>3</v>
      </c>
      <c r="I7365">
        <v>5</v>
      </c>
      <c r="J7365">
        <v>2</v>
      </c>
    </row>
    <row r="7366" spans="7:10">
      <c r="G7366">
        <v>3</v>
      </c>
      <c r="H7366">
        <v>1</v>
      </c>
      <c r="I7366">
        <v>3</v>
      </c>
      <c r="J7366">
        <v>1</v>
      </c>
    </row>
    <row r="7367" spans="7:10">
      <c r="G7367">
        <v>3</v>
      </c>
      <c r="H7367">
        <v>1</v>
      </c>
      <c r="I7367">
        <v>3</v>
      </c>
      <c r="J7367">
        <v>2</v>
      </c>
    </row>
    <row r="7368" spans="7:10">
      <c r="G7368">
        <v>3</v>
      </c>
      <c r="H7368">
        <v>1</v>
      </c>
      <c r="I7368">
        <v>4</v>
      </c>
      <c r="J7368">
        <v>1</v>
      </c>
    </row>
    <row r="7369" spans="7:10">
      <c r="G7369">
        <v>3</v>
      </c>
      <c r="H7369">
        <v>1</v>
      </c>
      <c r="I7369">
        <v>4</v>
      </c>
      <c r="J7369">
        <v>2</v>
      </c>
    </row>
    <row r="7370" spans="7:10">
      <c r="G7370">
        <v>3</v>
      </c>
      <c r="H7370">
        <v>1</v>
      </c>
      <c r="I7370">
        <v>5</v>
      </c>
      <c r="J7370">
        <v>1</v>
      </c>
    </row>
    <row r="7371" spans="7:10">
      <c r="G7371">
        <v>3</v>
      </c>
      <c r="H7371">
        <v>1</v>
      </c>
      <c r="I7371">
        <v>5</v>
      </c>
      <c r="J7371">
        <v>2</v>
      </c>
    </row>
    <row r="7372" spans="7:10">
      <c r="G7372">
        <v>3</v>
      </c>
      <c r="H7372">
        <v>2</v>
      </c>
      <c r="I7372">
        <v>1</v>
      </c>
      <c r="J7372">
        <v>1</v>
      </c>
    </row>
    <row r="7373" spans="7:10">
      <c r="G7373">
        <v>3</v>
      </c>
      <c r="H7373">
        <v>2</v>
      </c>
      <c r="I7373">
        <v>1</v>
      </c>
      <c r="J7373">
        <v>2</v>
      </c>
    </row>
    <row r="7374" spans="7:10">
      <c r="G7374">
        <v>3</v>
      </c>
      <c r="H7374">
        <v>2</v>
      </c>
      <c r="I7374">
        <v>2</v>
      </c>
      <c r="J7374">
        <v>1</v>
      </c>
    </row>
    <row r="7375" spans="7:10">
      <c r="G7375">
        <v>3</v>
      </c>
      <c r="H7375">
        <v>2</v>
      </c>
      <c r="I7375">
        <v>2</v>
      </c>
      <c r="J7375">
        <v>2</v>
      </c>
    </row>
    <row r="7376" spans="7:10">
      <c r="G7376">
        <v>3</v>
      </c>
      <c r="H7376">
        <v>2</v>
      </c>
      <c r="I7376">
        <v>3</v>
      </c>
      <c r="J7376">
        <v>1</v>
      </c>
    </row>
    <row r="7377" spans="7:10">
      <c r="G7377">
        <v>3</v>
      </c>
      <c r="H7377">
        <v>2</v>
      </c>
      <c r="I7377">
        <v>3</v>
      </c>
      <c r="J7377">
        <v>2</v>
      </c>
    </row>
    <row r="7378" spans="7:10">
      <c r="G7378">
        <v>3</v>
      </c>
      <c r="H7378">
        <v>2</v>
      </c>
      <c r="I7378">
        <v>4</v>
      </c>
      <c r="J7378">
        <v>1</v>
      </c>
    </row>
    <row r="7379" spans="7:10">
      <c r="G7379">
        <v>3</v>
      </c>
      <c r="H7379">
        <v>2</v>
      </c>
      <c r="I7379">
        <v>4</v>
      </c>
      <c r="J7379">
        <v>2</v>
      </c>
    </row>
    <row r="7380" spans="7:10">
      <c r="G7380">
        <v>3</v>
      </c>
      <c r="H7380">
        <v>2</v>
      </c>
      <c r="I7380">
        <v>5</v>
      </c>
      <c r="J7380">
        <v>1</v>
      </c>
    </row>
    <row r="7381" spans="7:10">
      <c r="G7381">
        <v>3</v>
      </c>
      <c r="H7381">
        <v>2</v>
      </c>
      <c r="I7381">
        <v>5</v>
      </c>
      <c r="J7381">
        <v>2</v>
      </c>
    </row>
    <row r="7382" spans="7:10">
      <c r="G7382">
        <v>3</v>
      </c>
      <c r="H7382">
        <v>3</v>
      </c>
      <c r="I7382">
        <v>1</v>
      </c>
      <c r="J7382">
        <v>1</v>
      </c>
    </row>
    <row r="7383" spans="7:10">
      <c r="G7383">
        <v>3</v>
      </c>
      <c r="H7383">
        <v>3</v>
      </c>
      <c r="I7383">
        <v>1</v>
      </c>
      <c r="J7383">
        <v>2</v>
      </c>
    </row>
    <row r="7384" spans="7:10">
      <c r="G7384">
        <v>3</v>
      </c>
      <c r="H7384">
        <v>3</v>
      </c>
      <c r="I7384">
        <v>2</v>
      </c>
      <c r="J7384">
        <v>1</v>
      </c>
    </row>
    <row r="7385" spans="7:10">
      <c r="G7385">
        <v>3</v>
      </c>
      <c r="H7385">
        <v>3</v>
      </c>
      <c r="I7385">
        <v>2</v>
      </c>
      <c r="J7385">
        <v>2</v>
      </c>
    </row>
    <row r="7386" spans="7:10">
      <c r="G7386">
        <v>3</v>
      </c>
      <c r="H7386">
        <v>3</v>
      </c>
      <c r="I7386">
        <v>3</v>
      </c>
      <c r="J7386">
        <v>1</v>
      </c>
    </row>
    <row r="7387" spans="7:10">
      <c r="G7387">
        <v>3</v>
      </c>
      <c r="H7387">
        <v>3</v>
      </c>
      <c r="I7387">
        <v>3</v>
      </c>
      <c r="J7387">
        <v>2</v>
      </c>
    </row>
    <row r="7388" spans="7:10">
      <c r="G7388">
        <v>3</v>
      </c>
      <c r="H7388">
        <v>3</v>
      </c>
      <c r="I7388">
        <v>4</v>
      </c>
      <c r="J7388">
        <v>1</v>
      </c>
    </row>
    <row r="7389" spans="7:10">
      <c r="G7389">
        <v>3</v>
      </c>
      <c r="H7389">
        <v>3</v>
      </c>
      <c r="I7389">
        <v>4</v>
      </c>
      <c r="J7389">
        <v>2</v>
      </c>
    </row>
    <row r="7390" spans="7:10">
      <c r="G7390">
        <v>3</v>
      </c>
      <c r="H7390">
        <v>3</v>
      </c>
      <c r="I7390">
        <v>5</v>
      </c>
      <c r="J7390">
        <v>1</v>
      </c>
    </row>
    <row r="7391" spans="7:10">
      <c r="G7391">
        <v>3</v>
      </c>
      <c r="H7391">
        <v>3</v>
      </c>
      <c r="I7391">
        <v>5</v>
      </c>
      <c r="J7391">
        <v>2</v>
      </c>
    </row>
    <row r="7392" spans="7:10">
      <c r="G7392">
        <v>4</v>
      </c>
      <c r="H7392">
        <v>1</v>
      </c>
      <c r="I7392">
        <v>3</v>
      </c>
      <c r="J7392">
        <v>1</v>
      </c>
    </row>
    <row r="7393" spans="7:10">
      <c r="G7393">
        <v>4</v>
      </c>
      <c r="H7393">
        <v>1</v>
      </c>
      <c r="I7393">
        <v>3</v>
      </c>
      <c r="J7393">
        <v>2</v>
      </c>
    </row>
    <row r="7394" spans="7:10">
      <c r="G7394">
        <v>4</v>
      </c>
      <c r="H7394">
        <v>1</v>
      </c>
      <c r="I7394">
        <v>4</v>
      </c>
      <c r="J7394">
        <v>1</v>
      </c>
    </row>
    <row r="7395" spans="7:10">
      <c r="G7395">
        <v>4</v>
      </c>
      <c r="H7395">
        <v>1</v>
      </c>
      <c r="I7395">
        <v>4</v>
      </c>
      <c r="J7395">
        <v>2</v>
      </c>
    </row>
    <row r="7396" spans="7:10">
      <c r="G7396">
        <v>4</v>
      </c>
      <c r="H7396">
        <v>1</v>
      </c>
      <c r="I7396">
        <v>5</v>
      </c>
      <c r="J7396">
        <v>1</v>
      </c>
    </row>
    <row r="7397" spans="7:10">
      <c r="G7397">
        <v>4</v>
      </c>
      <c r="H7397">
        <v>1</v>
      </c>
      <c r="I7397">
        <v>5</v>
      </c>
      <c r="J7397">
        <v>2</v>
      </c>
    </row>
    <row r="7398" spans="7:10">
      <c r="G7398">
        <v>4</v>
      </c>
      <c r="H7398">
        <v>2</v>
      </c>
      <c r="I7398">
        <v>1</v>
      </c>
      <c r="J7398">
        <v>1</v>
      </c>
    </row>
    <row r="7399" spans="7:10">
      <c r="G7399">
        <v>4</v>
      </c>
      <c r="H7399">
        <v>2</v>
      </c>
      <c r="I7399">
        <v>1</v>
      </c>
      <c r="J7399">
        <v>2</v>
      </c>
    </row>
    <row r="7400" spans="7:10">
      <c r="G7400">
        <v>4</v>
      </c>
      <c r="H7400">
        <v>2</v>
      </c>
      <c r="I7400">
        <v>2</v>
      </c>
      <c r="J7400">
        <v>1</v>
      </c>
    </row>
    <row r="7401" spans="7:10">
      <c r="G7401">
        <v>4</v>
      </c>
      <c r="H7401">
        <v>2</v>
      </c>
      <c r="I7401">
        <v>2</v>
      </c>
      <c r="J7401">
        <v>2</v>
      </c>
    </row>
    <row r="7402" spans="7:10">
      <c r="G7402">
        <v>4</v>
      </c>
      <c r="H7402">
        <v>2</v>
      </c>
      <c r="I7402">
        <v>3</v>
      </c>
      <c r="J7402">
        <v>1</v>
      </c>
    </row>
    <row r="7403" spans="7:10">
      <c r="G7403">
        <v>4</v>
      </c>
      <c r="H7403">
        <v>2</v>
      </c>
      <c r="I7403">
        <v>3</v>
      </c>
      <c r="J7403">
        <v>2</v>
      </c>
    </row>
    <row r="7404" spans="7:10">
      <c r="G7404">
        <v>4</v>
      </c>
      <c r="H7404">
        <v>2</v>
      </c>
      <c r="I7404">
        <v>4</v>
      </c>
      <c r="J7404">
        <v>1</v>
      </c>
    </row>
    <row r="7405" spans="7:10">
      <c r="G7405">
        <v>4</v>
      </c>
      <c r="H7405">
        <v>2</v>
      </c>
      <c r="I7405">
        <v>4</v>
      </c>
      <c r="J7405">
        <v>2</v>
      </c>
    </row>
    <row r="7406" spans="7:10">
      <c r="G7406">
        <v>4</v>
      </c>
      <c r="H7406">
        <v>2</v>
      </c>
      <c r="I7406">
        <v>5</v>
      </c>
      <c r="J7406">
        <v>1</v>
      </c>
    </row>
    <row r="7407" spans="7:10">
      <c r="G7407">
        <v>4</v>
      </c>
      <c r="H7407">
        <v>2</v>
      </c>
      <c r="I7407">
        <v>5</v>
      </c>
      <c r="J7407">
        <v>2</v>
      </c>
    </row>
    <row r="7408" spans="7:10">
      <c r="G7408">
        <v>4</v>
      </c>
      <c r="H7408">
        <v>3</v>
      </c>
      <c r="I7408">
        <v>1</v>
      </c>
      <c r="J7408">
        <v>1</v>
      </c>
    </row>
    <row r="7409" spans="7:10">
      <c r="G7409">
        <v>4</v>
      </c>
      <c r="H7409">
        <v>3</v>
      </c>
      <c r="I7409">
        <v>1</v>
      </c>
      <c r="J7409">
        <v>2</v>
      </c>
    </row>
    <row r="7410" spans="7:10">
      <c r="G7410">
        <v>4</v>
      </c>
      <c r="H7410">
        <v>3</v>
      </c>
      <c r="I7410">
        <v>2</v>
      </c>
      <c r="J7410">
        <v>1</v>
      </c>
    </row>
    <row r="7411" spans="7:10">
      <c r="G7411">
        <v>4</v>
      </c>
      <c r="H7411">
        <v>3</v>
      </c>
      <c r="I7411">
        <v>2</v>
      </c>
      <c r="J7411">
        <v>2</v>
      </c>
    </row>
    <row r="7412" spans="7:10">
      <c r="G7412">
        <v>4</v>
      </c>
      <c r="H7412">
        <v>3</v>
      </c>
      <c r="I7412">
        <v>3</v>
      </c>
      <c r="J7412">
        <v>1</v>
      </c>
    </row>
    <row r="7413" spans="7:10">
      <c r="G7413">
        <v>4</v>
      </c>
      <c r="H7413">
        <v>3</v>
      </c>
      <c r="I7413">
        <v>3</v>
      </c>
      <c r="J7413">
        <v>2</v>
      </c>
    </row>
    <row r="7414" spans="7:10">
      <c r="G7414">
        <v>4</v>
      </c>
      <c r="H7414">
        <v>3</v>
      </c>
      <c r="I7414">
        <v>4</v>
      </c>
      <c r="J7414">
        <v>1</v>
      </c>
    </row>
    <row r="7415" spans="7:10">
      <c r="G7415">
        <v>4</v>
      </c>
      <c r="H7415">
        <v>3</v>
      </c>
      <c r="I7415">
        <v>4</v>
      </c>
      <c r="J7415">
        <v>2</v>
      </c>
    </row>
    <row r="7416" spans="7:10">
      <c r="G7416">
        <v>4</v>
      </c>
      <c r="H7416">
        <v>3</v>
      </c>
      <c r="I7416">
        <v>5</v>
      </c>
      <c r="J7416">
        <v>1</v>
      </c>
    </row>
    <row r="7417" spans="7:10">
      <c r="G7417">
        <v>4</v>
      </c>
      <c r="H7417">
        <v>3</v>
      </c>
      <c r="I7417">
        <v>5</v>
      </c>
      <c r="J7417">
        <v>2</v>
      </c>
    </row>
    <row r="7418" spans="7:10">
      <c r="G7418">
        <v>1</v>
      </c>
      <c r="H7418">
        <v>2</v>
      </c>
      <c r="I7418">
        <v>1</v>
      </c>
      <c r="J7418">
        <v>1</v>
      </c>
    </row>
    <row r="7419" spans="7:10">
      <c r="G7419">
        <v>1</v>
      </c>
      <c r="H7419">
        <v>2</v>
      </c>
      <c r="I7419">
        <v>1</v>
      </c>
      <c r="J7419">
        <v>2</v>
      </c>
    </row>
    <row r="7420" spans="7:10">
      <c r="G7420">
        <v>1</v>
      </c>
      <c r="H7420">
        <v>2</v>
      </c>
      <c r="I7420">
        <v>2</v>
      </c>
      <c r="J7420">
        <v>1</v>
      </c>
    </row>
    <row r="7421" spans="7:10">
      <c r="G7421">
        <v>1</v>
      </c>
      <c r="H7421">
        <v>2</v>
      </c>
      <c r="I7421">
        <v>2</v>
      </c>
      <c r="J7421">
        <v>2</v>
      </c>
    </row>
    <row r="7422" spans="7:10">
      <c r="G7422">
        <v>1</v>
      </c>
      <c r="H7422">
        <v>2</v>
      </c>
      <c r="I7422">
        <v>3</v>
      </c>
      <c r="J7422">
        <v>1</v>
      </c>
    </row>
    <row r="7423" spans="7:10">
      <c r="G7423">
        <v>1</v>
      </c>
      <c r="H7423">
        <v>2</v>
      </c>
      <c r="I7423">
        <v>3</v>
      </c>
      <c r="J7423">
        <v>2</v>
      </c>
    </row>
    <row r="7424" spans="7:10">
      <c r="G7424">
        <v>1</v>
      </c>
      <c r="H7424">
        <v>2</v>
      </c>
      <c r="I7424">
        <v>4</v>
      </c>
      <c r="J7424">
        <v>1</v>
      </c>
    </row>
    <row r="7425" spans="7:10">
      <c r="G7425">
        <v>1</v>
      </c>
      <c r="H7425">
        <v>2</v>
      </c>
      <c r="I7425">
        <v>4</v>
      </c>
      <c r="J7425">
        <v>2</v>
      </c>
    </row>
    <row r="7426" spans="7:10">
      <c r="G7426">
        <v>1</v>
      </c>
      <c r="H7426">
        <v>2</v>
      </c>
      <c r="I7426">
        <v>5</v>
      </c>
      <c r="J7426">
        <v>1</v>
      </c>
    </row>
    <row r="7427" spans="7:10">
      <c r="G7427">
        <v>1</v>
      </c>
      <c r="H7427">
        <v>2</v>
      </c>
      <c r="I7427">
        <v>5</v>
      </c>
      <c r="J7427">
        <v>2</v>
      </c>
    </row>
    <row r="7428" spans="7:10">
      <c r="G7428">
        <v>1</v>
      </c>
      <c r="H7428">
        <v>3</v>
      </c>
      <c r="I7428">
        <v>1</v>
      </c>
      <c r="J7428">
        <v>1</v>
      </c>
    </row>
    <row r="7429" spans="7:10">
      <c r="G7429">
        <v>1</v>
      </c>
      <c r="H7429">
        <v>3</v>
      </c>
      <c r="I7429">
        <v>1</v>
      </c>
      <c r="J7429">
        <v>2</v>
      </c>
    </row>
    <row r="7430" spans="7:10">
      <c r="G7430">
        <v>1</v>
      </c>
      <c r="H7430">
        <v>3</v>
      </c>
      <c r="I7430">
        <v>2</v>
      </c>
      <c r="J7430">
        <v>1</v>
      </c>
    </row>
    <row r="7431" spans="7:10">
      <c r="G7431">
        <v>1</v>
      </c>
      <c r="H7431">
        <v>3</v>
      </c>
      <c r="I7431">
        <v>2</v>
      </c>
      <c r="J7431">
        <v>2</v>
      </c>
    </row>
    <row r="7432" spans="7:10">
      <c r="G7432">
        <v>1</v>
      </c>
      <c r="H7432">
        <v>3</v>
      </c>
      <c r="I7432">
        <v>3</v>
      </c>
      <c r="J7432">
        <v>1</v>
      </c>
    </row>
    <row r="7433" spans="7:10">
      <c r="G7433">
        <v>1</v>
      </c>
      <c r="H7433">
        <v>3</v>
      </c>
      <c r="I7433">
        <v>3</v>
      </c>
      <c r="J7433">
        <v>2</v>
      </c>
    </row>
    <row r="7434" spans="7:10">
      <c r="G7434">
        <v>1</v>
      </c>
      <c r="H7434">
        <v>3</v>
      </c>
      <c r="I7434">
        <v>4</v>
      </c>
      <c r="J7434">
        <v>1</v>
      </c>
    </row>
    <row r="7435" spans="7:10">
      <c r="G7435">
        <v>1</v>
      </c>
      <c r="H7435">
        <v>3</v>
      </c>
      <c r="I7435">
        <v>4</v>
      </c>
      <c r="J7435">
        <v>2</v>
      </c>
    </row>
    <row r="7436" spans="7:10">
      <c r="G7436">
        <v>1</v>
      </c>
      <c r="H7436">
        <v>3</v>
      </c>
      <c r="I7436">
        <v>5</v>
      </c>
      <c r="J7436">
        <v>1</v>
      </c>
    </row>
    <row r="7437" spans="7:10">
      <c r="G7437">
        <v>1</v>
      </c>
      <c r="H7437">
        <v>3</v>
      </c>
      <c r="I7437">
        <v>5</v>
      </c>
      <c r="J7437">
        <v>2</v>
      </c>
    </row>
    <row r="7438" spans="7:10">
      <c r="G7438">
        <v>2</v>
      </c>
      <c r="H7438">
        <v>1</v>
      </c>
      <c r="I7438">
        <v>3</v>
      </c>
      <c r="J7438">
        <v>1</v>
      </c>
    </row>
    <row r="7439" spans="7:10">
      <c r="G7439">
        <v>2</v>
      </c>
      <c r="H7439">
        <v>1</v>
      </c>
      <c r="I7439">
        <v>3</v>
      </c>
      <c r="J7439">
        <v>2</v>
      </c>
    </row>
    <row r="7440" spans="7:10">
      <c r="G7440">
        <v>2</v>
      </c>
      <c r="H7440">
        <v>1</v>
      </c>
      <c r="I7440">
        <v>4</v>
      </c>
      <c r="J7440">
        <v>1</v>
      </c>
    </row>
    <row r="7441" spans="7:10">
      <c r="G7441">
        <v>2</v>
      </c>
      <c r="H7441">
        <v>1</v>
      </c>
      <c r="I7441">
        <v>4</v>
      </c>
      <c r="J7441">
        <v>2</v>
      </c>
    </row>
    <row r="7442" spans="7:10">
      <c r="G7442">
        <v>2</v>
      </c>
      <c r="H7442">
        <v>1</v>
      </c>
      <c r="I7442">
        <v>5</v>
      </c>
      <c r="J7442">
        <v>1</v>
      </c>
    </row>
    <row r="7443" spans="7:10">
      <c r="G7443">
        <v>2</v>
      </c>
      <c r="H7443">
        <v>1</v>
      </c>
      <c r="I7443">
        <v>5</v>
      </c>
      <c r="J7443">
        <v>2</v>
      </c>
    </row>
    <row r="7444" spans="7:10">
      <c r="G7444">
        <v>2</v>
      </c>
      <c r="H7444">
        <v>2</v>
      </c>
      <c r="I7444">
        <v>1</v>
      </c>
      <c r="J7444">
        <v>1</v>
      </c>
    </row>
    <row r="7445" spans="7:10">
      <c r="G7445">
        <v>2</v>
      </c>
      <c r="H7445">
        <v>2</v>
      </c>
      <c r="I7445">
        <v>1</v>
      </c>
      <c r="J7445">
        <v>2</v>
      </c>
    </row>
    <row r="7446" spans="7:10">
      <c r="G7446">
        <v>2</v>
      </c>
      <c r="H7446">
        <v>2</v>
      </c>
      <c r="I7446">
        <v>2</v>
      </c>
      <c r="J7446">
        <v>1</v>
      </c>
    </row>
    <row r="7447" spans="7:10">
      <c r="G7447">
        <v>2</v>
      </c>
      <c r="H7447">
        <v>2</v>
      </c>
      <c r="I7447">
        <v>2</v>
      </c>
      <c r="J7447">
        <v>2</v>
      </c>
    </row>
    <row r="7448" spans="7:10">
      <c r="G7448">
        <v>2</v>
      </c>
      <c r="H7448">
        <v>2</v>
      </c>
      <c r="I7448">
        <v>3</v>
      </c>
      <c r="J7448">
        <v>1</v>
      </c>
    </row>
    <row r="7449" spans="7:10">
      <c r="G7449">
        <v>2</v>
      </c>
      <c r="H7449">
        <v>2</v>
      </c>
      <c r="I7449">
        <v>3</v>
      </c>
      <c r="J7449">
        <v>2</v>
      </c>
    </row>
    <row r="7450" spans="7:10">
      <c r="G7450">
        <v>2</v>
      </c>
      <c r="H7450">
        <v>2</v>
      </c>
      <c r="I7450">
        <v>4</v>
      </c>
      <c r="J7450">
        <v>1</v>
      </c>
    </row>
    <row r="7451" spans="7:10">
      <c r="G7451">
        <v>2</v>
      </c>
      <c r="H7451">
        <v>2</v>
      </c>
      <c r="I7451">
        <v>4</v>
      </c>
      <c r="J7451">
        <v>2</v>
      </c>
    </row>
    <row r="7452" spans="7:10">
      <c r="G7452">
        <v>2</v>
      </c>
      <c r="H7452">
        <v>2</v>
      </c>
      <c r="I7452">
        <v>5</v>
      </c>
      <c r="J7452">
        <v>1</v>
      </c>
    </row>
    <row r="7453" spans="7:10">
      <c r="G7453">
        <v>2</v>
      </c>
      <c r="H7453">
        <v>2</v>
      </c>
      <c r="I7453">
        <v>5</v>
      </c>
      <c r="J7453">
        <v>2</v>
      </c>
    </row>
    <row r="7454" spans="7:10">
      <c r="G7454">
        <v>2</v>
      </c>
      <c r="H7454">
        <v>3</v>
      </c>
      <c r="I7454">
        <v>1</v>
      </c>
      <c r="J7454">
        <v>1</v>
      </c>
    </row>
    <row r="7455" spans="7:10">
      <c r="G7455">
        <v>2</v>
      </c>
      <c r="H7455">
        <v>3</v>
      </c>
      <c r="I7455">
        <v>1</v>
      </c>
      <c r="J7455">
        <v>2</v>
      </c>
    </row>
    <row r="7456" spans="7:10">
      <c r="G7456">
        <v>2</v>
      </c>
      <c r="H7456">
        <v>3</v>
      </c>
      <c r="I7456">
        <v>2</v>
      </c>
      <c r="J7456">
        <v>1</v>
      </c>
    </row>
    <row r="7457" spans="7:10">
      <c r="G7457">
        <v>2</v>
      </c>
      <c r="H7457">
        <v>3</v>
      </c>
      <c r="I7457">
        <v>2</v>
      </c>
      <c r="J7457">
        <v>2</v>
      </c>
    </row>
    <row r="7458" spans="7:10">
      <c r="G7458">
        <v>2</v>
      </c>
      <c r="H7458">
        <v>3</v>
      </c>
      <c r="I7458">
        <v>3</v>
      </c>
      <c r="J7458">
        <v>1</v>
      </c>
    </row>
    <row r="7459" spans="7:10">
      <c r="G7459">
        <v>2</v>
      </c>
      <c r="H7459">
        <v>3</v>
      </c>
      <c r="I7459">
        <v>3</v>
      </c>
      <c r="J7459">
        <v>2</v>
      </c>
    </row>
    <row r="7460" spans="7:10">
      <c r="G7460">
        <v>2</v>
      </c>
      <c r="H7460">
        <v>3</v>
      </c>
      <c r="I7460">
        <v>4</v>
      </c>
      <c r="J7460">
        <v>1</v>
      </c>
    </row>
    <row r="7461" spans="7:10">
      <c r="G7461">
        <v>2</v>
      </c>
      <c r="H7461">
        <v>3</v>
      </c>
      <c r="I7461">
        <v>4</v>
      </c>
      <c r="J7461">
        <v>2</v>
      </c>
    </row>
    <row r="7462" spans="7:10">
      <c r="G7462">
        <v>2</v>
      </c>
      <c r="H7462">
        <v>3</v>
      </c>
      <c r="I7462">
        <v>5</v>
      </c>
      <c r="J7462">
        <v>1</v>
      </c>
    </row>
    <row r="7463" spans="7:10">
      <c r="G7463">
        <v>2</v>
      </c>
      <c r="H7463">
        <v>3</v>
      </c>
      <c r="I7463">
        <v>5</v>
      </c>
      <c r="J7463">
        <v>2</v>
      </c>
    </row>
    <row r="7464" spans="7:10">
      <c r="G7464">
        <v>3</v>
      </c>
      <c r="H7464">
        <v>1</v>
      </c>
      <c r="I7464">
        <v>3</v>
      </c>
      <c r="J7464">
        <v>1</v>
      </c>
    </row>
    <row r="7465" spans="7:10">
      <c r="G7465">
        <v>3</v>
      </c>
      <c r="H7465">
        <v>1</v>
      </c>
      <c r="I7465">
        <v>3</v>
      </c>
      <c r="J7465">
        <v>2</v>
      </c>
    </row>
    <row r="7466" spans="7:10">
      <c r="G7466">
        <v>3</v>
      </c>
      <c r="H7466">
        <v>1</v>
      </c>
      <c r="I7466">
        <v>4</v>
      </c>
      <c r="J7466">
        <v>1</v>
      </c>
    </row>
    <row r="7467" spans="7:10">
      <c r="G7467">
        <v>3</v>
      </c>
      <c r="H7467">
        <v>1</v>
      </c>
      <c r="I7467">
        <v>4</v>
      </c>
      <c r="J7467">
        <v>2</v>
      </c>
    </row>
    <row r="7468" spans="7:10">
      <c r="G7468">
        <v>3</v>
      </c>
      <c r="H7468">
        <v>1</v>
      </c>
      <c r="I7468">
        <v>5</v>
      </c>
      <c r="J7468">
        <v>1</v>
      </c>
    </row>
    <row r="7469" spans="7:10">
      <c r="G7469">
        <v>3</v>
      </c>
      <c r="H7469">
        <v>1</v>
      </c>
      <c r="I7469">
        <v>5</v>
      </c>
      <c r="J7469">
        <v>2</v>
      </c>
    </row>
    <row r="7470" spans="7:10">
      <c r="G7470">
        <v>3</v>
      </c>
      <c r="H7470">
        <v>2</v>
      </c>
      <c r="I7470">
        <v>1</v>
      </c>
      <c r="J7470">
        <v>1</v>
      </c>
    </row>
    <row r="7471" spans="7:10">
      <c r="G7471">
        <v>3</v>
      </c>
      <c r="H7471">
        <v>2</v>
      </c>
      <c r="I7471">
        <v>1</v>
      </c>
      <c r="J7471">
        <v>2</v>
      </c>
    </row>
    <row r="7472" spans="7:10">
      <c r="G7472">
        <v>3</v>
      </c>
      <c r="H7472">
        <v>2</v>
      </c>
      <c r="I7472">
        <v>2</v>
      </c>
      <c r="J7472">
        <v>1</v>
      </c>
    </row>
    <row r="7473" spans="7:10">
      <c r="G7473">
        <v>3</v>
      </c>
      <c r="H7473">
        <v>2</v>
      </c>
      <c r="I7473">
        <v>2</v>
      </c>
      <c r="J7473">
        <v>2</v>
      </c>
    </row>
    <row r="7474" spans="7:10">
      <c r="G7474">
        <v>3</v>
      </c>
      <c r="H7474">
        <v>2</v>
      </c>
      <c r="I7474">
        <v>3</v>
      </c>
      <c r="J7474">
        <v>1</v>
      </c>
    </row>
    <row r="7475" spans="7:10">
      <c r="G7475">
        <v>3</v>
      </c>
      <c r="H7475">
        <v>2</v>
      </c>
      <c r="I7475">
        <v>3</v>
      </c>
      <c r="J7475">
        <v>2</v>
      </c>
    </row>
    <row r="7476" spans="7:10">
      <c r="G7476">
        <v>3</v>
      </c>
      <c r="H7476">
        <v>2</v>
      </c>
      <c r="I7476">
        <v>4</v>
      </c>
      <c r="J7476">
        <v>1</v>
      </c>
    </row>
    <row r="7477" spans="7:10">
      <c r="G7477">
        <v>3</v>
      </c>
      <c r="H7477">
        <v>2</v>
      </c>
      <c r="I7477">
        <v>4</v>
      </c>
      <c r="J7477">
        <v>2</v>
      </c>
    </row>
    <row r="7478" spans="7:10">
      <c r="G7478">
        <v>3</v>
      </c>
      <c r="H7478">
        <v>2</v>
      </c>
      <c r="I7478">
        <v>5</v>
      </c>
      <c r="J7478">
        <v>1</v>
      </c>
    </row>
    <row r="7479" spans="7:10">
      <c r="G7479">
        <v>3</v>
      </c>
      <c r="H7479">
        <v>2</v>
      </c>
      <c r="I7479">
        <v>5</v>
      </c>
      <c r="J7479">
        <v>2</v>
      </c>
    </row>
    <row r="7480" spans="7:10">
      <c r="G7480">
        <v>3</v>
      </c>
      <c r="H7480">
        <v>3</v>
      </c>
      <c r="I7480">
        <v>1</v>
      </c>
      <c r="J7480">
        <v>1</v>
      </c>
    </row>
    <row r="7481" spans="7:10">
      <c r="G7481">
        <v>3</v>
      </c>
      <c r="H7481">
        <v>3</v>
      </c>
      <c r="I7481">
        <v>1</v>
      </c>
      <c r="J7481">
        <v>2</v>
      </c>
    </row>
    <row r="7482" spans="7:10">
      <c r="G7482">
        <v>3</v>
      </c>
      <c r="H7482">
        <v>3</v>
      </c>
      <c r="I7482">
        <v>2</v>
      </c>
      <c r="J7482">
        <v>1</v>
      </c>
    </row>
    <row r="7483" spans="7:10">
      <c r="G7483">
        <v>3</v>
      </c>
      <c r="H7483">
        <v>3</v>
      </c>
      <c r="I7483">
        <v>2</v>
      </c>
      <c r="J7483">
        <v>2</v>
      </c>
    </row>
    <row r="7484" spans="7:10">
      <c r="G7484">
        <v>3</v>
      </c>
      <c r="H7484">
        <v>3</v>
      </c>
      <c r="I7484">
        <v>3</v>
      </c>
      <c r="J7484">
        <v>1</v>
      </c>
    </row>
    <row r="7485" spans="7:10">
      <c r="G7485">
        <v>3</v>
      </c>
      <c r="H7485">
        <v>3</v>
      </c>
      <c r="I7485">
        <v>3</v>
      </c>
      <c r="J7485">
        <v>2</v>
      </c>
    </row>
    <row r="7486" spans="7:10">
      <c r="G7486">
        <v>3</v>
      </c>
      <c r="H7486">
        <v>3</v>
      </c>
      <c r="I7486">
        <v>4</v>
      </c>
      <c r="J7486">
        <v>1</v>
      </c>
    </row>
    <row r="7487" spans="7:10">
      <c r="G7487">
        <v>3</v>
      </c>
      <c r="H7487">
        <v>3</v>
      </c>
      <c r="I7487">
        <v>4</v>
      </c>
      <c r="J7487">
        <v>2</v>
      </c>
    </row>
    <row r="7488" spans="7:10">
      <c r="G7488">
        <v>3</v>
      </c>
      <c r="H7488">
        <v>3</v>
      </c>
      <c r="I7488">
        <v>5</v>
      </c>
      <c r="J7488">
        <v>1</v>
      </c>
    </row>
    <row r="7489" spans="7:10">
      <c r="G7489">
        <v>3</v>
      </c>
      <c r="H7489">
        <v>3</v>
      </c>
      <c r="I7489">
        <v>5</v>
      </c>
      <c r="J7489">
        <v>2</v>
      </c>
    </row>
    <row r="7490" spans="7:10">
      <c r="G7490">
        <v>4</v>
      </c>
      <c r="H7490">
        <v>1</v>
      </c>
      <c r="I7490">
        <v>3</v>
      </c>
      <c r="J7490">
        <v>1</v>
      </c>
    </row>
    <row r="7491" spans="7:10">
      <c r="G7491">
        <v>4</v>
      </c>
      <c r="H7491">
        <v>1</v>
      </c>
      <c r="I7491">
        <v>3</v>
      </c>
      <c r="J7491">
        <v>2</v>
      </c>
    </row>
    <row r="7492" spans="7:10">
      <c r="G7492">
        <v>4</v>
      </c>
      <c r="H7492">
        <v>1</v>
      </c>
      <c r="I7492">
        <v>4</v>
      </c>
      <c r="J7492">
        <v>1</v>
      </c>
    </row>
    <row r="7493" spans="7:10">
      <c r="G7493">
        <v>4</v>
      </c>
      <c r="H7493">
        <v>1</v>
      </c>
      <c r="I7493">
        <v>4</v>
      </c>
      <c r="J7493">
        <v>2</v>
      </c>
    </row>
    <row r="7494" spans="7:10">
      <c r="G7494">
        <v>4</v>
      </c>
      <c r="H7494">
        <v>1</v>
      </c>
      <c r="I7494">
        <v>5</v>
      </c>
      <c r="J7494">
        <v>1</v>
      </c>
    </row>
    <row r="7495" spans="7:10">
      <c r="G7495">
        <v>4</v>
      </c>
      <c r="H7495">
        <v>1</v>
      </c>
      <c r="I7495">
        <v>5</v>
      </c>
      <c r="J7495">
        <v>2</v>
      </c>
    </row>
    <row r="7496" spans="7:10">
      <c r="G7496">
        <v>4</v>
      </c>
      <c r="H7496">
        <v>2</v>
      </c>
      <c r="I7496">
        <v>1</v>
      </c>
      <c r="J7496">
        <v>1</v>
      </c>
    </row>
    <row r="7497" spans="7:10">
      <c r="G7497">
        <v>4</v>
      </c>
      <c r="H7497">
        <v>2</v>
      </c>
      <c r="I7497">
        <v>1</v>
      </c>
      <c r="J7497">
        <v>2</v>
      </c>
    </row>
    <row r="7498" spans="7:10">
      <c r="G7498">
        <v>4</v>
      </c>
      <c r="H7498">
        <v>2</v>
      </c>
      <c r="I7498">
        <v>2</v>
      </c>
      <c r="J7498">
        <v>1</v>
      </c>
    </row>
    <row r="7499" spans="7:10">
      <c r="G7499">
        <v>4</v>
      </c>
      <c r="H7499">
        <v>2</v>
      </c>
      <c r="I7499">
        <v>2</v>
      </c>
      <c r="J7499">
        <v>2</v>
      </c>
    </row>
    <row r="7500" spans="7:10">
      <c r="G7500">
        <v>4</v>
      </c>
      <c r="H7500">
        <v>2</v>
      </c>
      <c r="I7500">
        <v>3</v>
      </c>
      <c r="J7500">
        <v>1</v>
      </c>
    </row>
    <row r="7501" spans="7:10">
      <c r="G7501">
        <v>4</v>
      </c>
      <c r="H7501">
        <v>2</v>
      </c>
      <c r="I7501">
        <v>3</v>
      </c>
      <c r="J7501">
        <v>2</v>
      </c>
    </row>
    <row r="7502" spans="7:10">
      <c r="G7502">
        <v>4</v>
      </c>
      <c r="H7502">
        <v>2</v>
      </c>
      <c r="I7502">
        <v>4</v>
      </c>
      <c r="J7502">
        <v>1</v>
      </c>
    </row>
    <row r="7503" spans="7:10">
      <c r="G7503">
        <v>4</v>
      </c>
      <c r="H7503">
        <v>2</v>
      </c>
      <c r="I7503">
        <v>4</v>
      </c>
      <c r="J7503">
        <v>2</v>
      </c>
    </row>
    <row r="7504" spans="7:10">
      <c r="G7504">
        <v>4</v>
      </c>
      <c r="H7504">
        <v>2</v>
      </c>
      <c r="I7504">
        <v>5</v>
      </c>
      <c r="J7504">
        <v>1</v>
      </c>
    </row>
    <row r="7505" spans="7:10">
      <c r="G7505">
        <v>4</v>
      </c>
      <c r="H7505">
        <v>2</v>
      </c>
      <c r="I7505">
        <v>5</v>
      </c>
      <c r="J7505">
        <v>2</v>
      </c>
    </row>
    <row r="7506" spans="7:10">
      <c r="G7506">
        <v>4</v>
      </c>
      <c r="H7506">
        <v>3</v>
      </c>
      <c r="I7506">
        <v>1</v>
      </c>
      <c r="J7506">
        <v>1</v>
      </c>
    </row>
    <row r="7507" spans="7:10">
      <c r="G7507">
        <v>4</v>
      </c>
      <c r="H7507">
        <v>3</v>
      </c>
      <c r="I7507">
        <v>1</v>
      </c>
      <c r="J7507">
        <v>2</v>
      </c>
    </row>
    <row r="7508" spans="7:10">
      <c r="G7508">
        <v>4</v>
      </c>
      <c r="H7508">
        <v>3</v>
      </c>
      <c r="I7508">
        <v>2</v>
      </c>
      <c r="J7508">
        <v>1</v>
      </c>
    </row>
    <row r="7509" spans="7:10">
      <c r="G7509">
        <v>4</v>
      </c>
      <c r="H7509">
        <v>3</v>
      </c>
      <c r="I7509">
        <v>2</v>
      </c>
      <c r="J7509">
        <v>2</v>
      </c>
    </row>
    <row r="7510" spans="7:10">
      <c r="G7510">
        <v>4</v>
      </c>
      <c r="H7510">
        <v>3</v>
      </c>
      <c r="I7510">
        <v>3</v>
      </c>
      <c r="J7510">
        <v>1</v>
      </c>
    </row>
    <row r="7511" spans="7:10">
      <c r="G7511">
        <v>4</v>
      </c>
      <c r="H7511">
        <v>3</v>
      </c>
      <c r="I7511">
        <v>3</v>
      </c>
      <c r="J7511">
        <v>2</v>
      </c>
    </row>
    <row r="7512" spans="7:10">
      <c r="G7512">
        <v>4</v>
      </c>
      <c r="H7512">
        <v>3</v>
      </c>
      <c r="I7512">
        <v>4</v>
      </c>
      <c r="J7512">
        <v>1</v>
      </c>
    </row>
    <row r="7513" spans="7:10">
      <c r="G7513">
        <v>4</v>
      </c>
      <c r="H7513">
        <v>3</v>
      </c>
      <c r="I7513">
        <v>4</v>
      </c>
      <c r="J7513">
        <v>2</v>
      </c>
    </row>
    <row r="7514" spans="7:10">
      <c r="G7514">
        <v>4</v>
      </c>
      <c r="H7514">
        <v>3</v>
      </c>
      <c r="I7514">
        <v>5</v>
      </c>
      <c r="J7514">
        <v>1</v>
      </c>
    </row>
    <row r="7515" spans="7:10">
      <c r="G7515">
        <v>4</v>
      </c>
      <c r="H7515">
        <v>3</v>
      </c>
      <c r="I7515">
        <v>5</v>
      </c>
      <c r="J7515">
        <v>2</v>
      </c>
    </row>
    <row r="7516" spans="7:10">
      <c r="G7516">
        <v>1</v>
      </c>
      <c r="H7516">
        <v>2</v>
      </c>
      <c r="I7516">
        <v>1</v>
      </c>
      <c r="J7516">
        <v>1</v>
      </c>
    </row>
    <row r="7517" spans="7:10">
      <c r="G7517">
        <v>1</v>
      </c>
      <c r="H7517">
        <v>2</v>
      </c>
      <c r="I7517">
        <v>1</v>
      </c>
      <c r="J7517">
        <v>2</v>
      </c>
    </row>
    <row r="7518" spans="7:10">
      <c r="G7518">
        <v>1</v>
      </c>
      <c r="H7518">
        <v>2</v>
      </c>
      <c r="I7518">
        <v>2</v>
      </c>
      <c r="J7518">
        <v>1</v>
      </c>
    </row>
    <row r="7519" spans="7:10">
      <c r="G7519">
        <v>1</v>
      </c>
      <c r="H7519">
        <v>2</v>
      </c>
      <c r="I7519">
        <v>2</v>
      </c>
      <c r="J7519">
        <v>2</v>
      </c>
    </row>
    <row r="7520" spans="7:10">
      <c r="G7520">
        <v>1</v>
      </c>
      <c r="H7520">
        <v>2</v>
      </c>
      <c r="I7520">
        <v>3</v>
      </c>
      <c r="J7520">
        <v>1</v>
      </c>
    </row>
    <row r="7521" spans="7:10">
      <c r="G7521">
        <v>1</v>
      </c>
      <c r="H7521">
        <v>2</v>
      </c>
      <c r="I7521">
        <v>3</v>
      </c>
      <c r="J7521">
        <v>2</v>
      </c>
    </row>
    <row r="7522" spans="7:10">
      <c r="G7522">
        <v>1</v>
      </c>
      <c r="H7522">
        <v>2</v>
      </c>
      <c r="I7522">
        <v>4</v>
      </c>
      <c r="J7522">
        <v>1</v>
      </c>
    </row>
    <row r="7523" spans="7:10">
      <c r="G7523">
        <v>1</v>
      </c>
      <c r="H7523">
        <v>2</v>
      </c>
      <c r="I7523">
        <v>4</v>
      </c>
      <c r="J7523">
        <v>2</v>
      </c>
    </row>
    <row r="7524" spans="7:10">
      <c r="G7524">
        <v>1</v>
      </c>
      <c r="H7524">
        <v>2</v>
      </c>
      <c r="I7524">
        <v>5</v>
      </c>
      <c r="J7524">
        <v>1</v>
      </c>
    </row>
    <row r="7525" spans="7:10">
      <c r="G7525">
        <v>1</v>
      </c>
      <c r="H7525">
        <v>2</v>
      </c>
      <c r="I7525">
        <v>5</v>
      </c>
      <c r="J7525">
        <v>2</v>
      </c>
    </row>
    <row r="7526" spans="7:10">
      <c r="G7526">
        <v>1</v>
      </c>
      <c r="H7526">
        <v>3</v>
      </c>
      <c r="I7526">
        <v>1</v>
      </c>
      <c r="J7526">
        <v>1</v>
      </c>
    </row>
    <row r="7527" spans="7:10">
      <c r="G7527">
        <v>1</v>
      </c>
      <c r="H7527">
        <v>3</v>
      </c>
      <c r="I7527">
        <v>1</v>
      </c>
      <c r="J7527">
        <v>2</v>
      </c>
    </row>
    <row r="7528" spans="7:10">
      <c r="G7528">
        <v>1</v>
      </c>
      <c r="H7528">
        <v>3</v>
      </c>
      <c r="I7528">
        <v>2</v>
      </c>
      <c r="J7528">
        <v>1</v>
      </c>
    </row>
    <row r="7529" spans="7:10">
      <c r="G7529">
        <v>1</v>
      </c>
      <c r="H7529">
        <v>3</v>
      </c>
      <c r="I7529">
        <v>2</v>
      </c>
      <c r="J7529">
        <v>2</v>
      </c>
    </row>
    <row r="7530" spans="7:10">
      <c r="G7530">
        <v>1</v>
      </c>
      <c r="H7530">
        <v>3</v>
      </c>
      <c r="I7530">
        <v>3</v>
      </c>
      <c r="J7530">
        <v>1</v>
      </c>
    </row>
    <row r="7531" spans="7:10">
      <c r="G7531">
        <v>1</v>
      </c>
      <c r="H7531">
        <v>3</v>
      </c>
      <c r="I7531">
        <v>3</v>
      </c>
      <c r="J7531">
        <v>2</v>
      </c>
    </row>
    <row r="7532" spans="7:10">
      <c r="G7532">
        <v>1</v>
      </c>
      <c r="H7532">
        <v>3</v>
      </c>
      <c r="I7532">
        <v>4</v>
      </c>
      <c r="J7532">
        <v>1</v>
      </c>
    </row>
    <row r="7533" spans="7:10">
      <c r="G7533">
        <v>1</v>
      </c>
      <c r="H7533">
        <v>3</v>
      </c>
      <c r="I7533">
        <v>4</v>
      </c>
      <c r="J7533">
        <v>2</v>
      </c>
    </row>
    <row r="7534" spans="7:10">
      <c r="G7534">
        <v>1</v>
      </c>
      <c r="H7534">
        <v>3</v>
      </c>
      <c r="I7534">
        <v>5</v>
      </c>
      <c r="J7534">
        <v>1</v>
      </c>
    </row>
    <row r="7535" spans="7:10">
      <c r="G7535">
        <v>1</v>
      </c>
      <c r="H7535">
        <v>3</v>
      </c>
      <c r="I7535">
        <v>5</v>
      </c>
      <c r="J7535">
        <v>2</v>
      </c>
    </row>
    <row r="7536" spans="7:10">
      <c r="G7536">
        <v>2</v>
      </c>
      <c r="H7536">
        <v>1</v>
      </c>
      <c r="I7536">
        <v>3</v>
      </c>
      <c r="J7536">
        <v>1</v>
      </c>
    </row>
    <row r="7537" spans="7:10">
      <c r="G7537">
        <v>2</v>
      </c>
      <c r="H7537">
        <v>1</v>
      </c>
      <c r="I7537">
        <v>3</v>
      </c>
      <c r="J7537">
        <v>2</v>
      </c>
    </row>
    <row r="7538" spans="7:10">
      <c r="G7538">
        <v>2</v>
      </c>
      <c r="H7538">
        <v>1</v>
      </c>
      <c r="I7538">
        <v>4</v>
      </c>
      <c r="J7538">
        <v>1</v>
      </c>
    </row>
    <row r="7539" spans="7:10">
      <c r="G7539">
        <v>2</v>
      </c>
      <c r="H7539">
        <v>1</v>
      </c>
      <c r="I7539">
        <v>4</v>
      </c>
      <c r="J7539">
        <v>2</v>
      </c>
    </row>
    <row r="7540" spans="7:10">
      <c r="G7540">
        <v>2</v>
      </c>
      <c r="H7540">
        <v>1</v>
      </c>
      <c r="I7540">
        <v>5</v>
      </c>
      <c r="J7540">
        <v>1</v>
      </c>
    </row>
    <row r="7541" spans="7:10">
      <c r="G7541">
        <v>2</v>
      </c>
      <c r="H7541">
        <v>1</v>
      </c>
      <c r="I7541">
        <v>5</v>
      </c>
      <c r="J7541">
        <v>2</v>
      </c>
    </row>
    <row r="7542" spans="7:10">
      <c r="G7542">
        <v>2</v>
      </c>
      <c r="H7542">
        <v>2</v>
      </c>
      <c r="I7542">
        <v>1</v>
      </c>
      <c r="J7542">
        <v>1</v>
      </c>
    </row>
    <row r="7543" spans="7:10">
      <c r="G7543">
        <v>2</v>
      </c>
      <c r="H7543">
        <v>2</v>
      </c>
      <c r="I7543">
        <v>1</v>
      </c>
      <c r="J7543">
        <v>2</v>
      </c>
    </row>
    <row r="7544" spans="7:10">
      <c r="G7544">
        <v>2</v>
      </c>
      <c r="H7544">
        <v>2</v>
      </c>
      <c r="I7544">
        <v>2</v>
      </c>
      <c r="J7544">
        <v>1</v>
      </c>
    </row>
    <row r="7545" spans="7:10">
      <c r="G7545">
        <v>2</v>
      </c>
      <c r="H7545">
        <v>2</v>
      </c>
      <c r="I7545">
        <v>2</v>
      </c>
      <c r="J7545">
        <v>2</v>
      </c>
    </row>
    <row r="7546" spans="7:10">
      <c r="G7546">
        <v>2</v>
      </c>
      <c r="H7546">
        <v>2</v>
      </c>
      <c r="I7546">
        <v>3</v>
      </c>
      <c r="J7546">
        <v>1</v>
      </c>
    </row>
    <row r="7547" spans="7:10">
      <c r="G7547">
        <v>2</v>
      </c>
      <c r="H7547">
        <v>2</v>
      </c>
      <c r="I7547">
        <v>3</v>
      </c>
      <c r="J7547">
        <v>2</v>
      </c>
    </row>
    <row r="7548" spans="7:10">
      <c r="G7548">
        <v>2</v>
      </c>
      <c r="H7548">
        <v>2</v>
      </c>
      <c r="I7548">
        <v>4</v>
      </c>
      <c r="J7548">
        <v>1</v>
      </c>
    </row>
    <row r="7549" spans="7:10">
      <c r="G7549">
        <v>2</v>
      </c>
      <c r="H7549">
        <v>2</v>
      </c>
      <c r="I7549">
        <v>4</v>
      </c>
      <c r="J7549">
        <v>2</v>
      </c>
    </row>
    <row r="7550" spans="7:10">
      <c r="G7550">
        <v>2</v>
      </c>
      <c r="H7550">
        <v>2</v>
      </c>
      <c r="I7550">
        <v>5</v>
      </c>
      <c r="J7550">
        <v>1</v>
      </c>
    </row>
    <row r="7551" spans="7:10">
      <c r="G7551">
        <v>2</v>
      </c>
      <c r="H7551">
        <v>2</v>
      </c>
      <c r="I7551">
        <v>5</v>
      </c>
      <c r="J7551">
        <v>2</v>
      </c>
    </row>
    <row r="7552" spans="7:10">
      <c r="G7552">
        <v>2</v>
      </c>
      <c r="H7552">
        <v>3</v>
      </c>
      <c r="I7552">
        <v>1</v>
      </c>
      <c r="J7552">
        <v>1</v>
      </c>
    </row>
    <row r="7553" spans="7:10">
      <c r="G7553">
        <v>2</v>
      </c>
      <c r="H7553">
        <v>3</v>
      </c>
      <c r="I7553">
        <v>1</v>
      </c>
      <c r="J7553">
        <v>2</v>
      </c>
    </row>
    <row r="7554" spans="7:10">
      <c r="G7554">
        <v>2</v>
      </c>
      <c r="H7554">
        <v>3</v>
      </c>
      <c r="I7554">
        <v>2</v>
      </c>
      <c r="J7554">
        <v>1</v>
      </c>
    </row>
    <row r="7555" spans="7:10">
      <c r="G7555">
        <v>2</v>
      </c>
      <c r="H7555">
        <v>3</v>
      </c>
      <c r="I7555">
        <v>2</v>
      </c>
      <c r="J7555">
        <v>2</v>
      </c>
    </row>
    <row r="7556" spans="7:10">
      <c r="G7556">
        <v>2</v>
      </c>
      <c r="H7556">
        <v>3</v>
      </c>
      <c r="I7556">
        <v>3</v>
      </c>
      <c r="J7556">
        <v>1</v>
      </c>
    </row>
    <row r="7557" spans="7:10">
      <c r="G7557">
        <v>2</v>
      </c>
      <c r="H7557">
        <v>3</v>
      </c>
      <c r="I7557">
        <v>3</v>
      </c>
      <c r="J7557">
        <v>2</v>
      </c>
    </row>
    <row r="7558" spans="7:10">
      <c r="G7558">
        <v>2</v>
      </c>
      <c r="H7558">
        <v>3</v>
      </c>
      <c r="I7558">
        <v>4</v>
      </c>
      <c r="J7558">
        <v>1</v>
      </c>
    </row>
    <row r="7559" spans="7:10">
      <c r="G7559">
        <v>2</v>
      </c>
      <c r="H7559">
        <v>3</v>
      </c>
      <c r="I7559">
        <v>4</v>
      </c>
      <c r="J7559">
        <v>2</v>
      </c>
    </row>
    <row r="7560" spans="7:10">
      <c r="G7560">
        <v>2</v>
      </c>
      <c r="H7560">
        <v>3</v>
      </c>
      <c r="I7560">
        <v>5</v>
      </c>
      <c r="J7560">
        <v>1</v>
      </c>
    </row>
    <row r="7561" spans="7:10">
      <c r="G7561">
        <v>2</v>
      </c>
      <c r="H7561">
        <v>3</v>
      </c>
      <c r="I7561">
        <v>5</v>
      </c>
      <c r="J7561">
        <v>2</v>
      </c>
    </row>
    <row r="7562" spans="7:10">
      <c r="G7562">
        <v>3</v>
      </c>
      <c r="H7562">
        <v>1</v>
      </c>
      <c r="I7562">
        <v>3</v>
      </c>
      <c r="J7562">
        <v>1</v>
      </c>
    </row>
    <row r="7563" spans="7:10">
      <c r="G7563">
        <v>3</v>
      </c>
      <c r="H7563">
        <v>1</v>
      </c>
      <c r="I7563">
        <v>3</v>
      </c>
      <c r="J7563">
        <v>2</v>
      </c>
    </row>
    <row r="7564" spans="7:10">
      <c r="G7564">
        <v>3</v>
      </c>
      <c r="H7564">
        <v>1</v>
      </c>
      <c r="I7564">
        <v>4</v>
      </c>
      <c r="J7564">
        <v>1</v>
      </c>
    </row>
    <row r="7565" spans="7:10">
      <c r="G7565">
        <v>3</v>
      </c>
      <c r="H7565">
        <v>1</v>
      </c>
      <c r="I7565">
        <v>4</v>
      </c>
      <c r="J7565">
        <v>2</v>
      </c>
    </row>
    <row r="7566" spans="7:10">
      <c r="G7566">
        <v>3</v>
      </c>
      <c r="H7566">
        <v>1</v>
      </c>
      <c r="I7566">
        <v>5</v>
      </c>
      <c r="J7566">
        <v>1</v>
      </c>
    </row>
    <row r="7567" spans="7:10">
      <c r="G7567">
        <v>3</v>
      </c>
      <c r="H7567">
        <v>1</v>
      </c>
      <c r="I7567">
        <v>5</v>
      </c>
      <c r="J7567">
        <v>2</v>
      </c>
    </row>
    <row r="7568" spans="7:10">
      <c r="G7568">
        <v>3</v>
      </c>
      <c r="H7568">
        <v>2</v>
      </c>
      <c r="I7568">
        <v>1</v>
      </c>
      <c r="J7568">
        <v>1</v>
      </c>
    </row>
    <row r="7569" spans="7:10">
      <c r="G7569">
        <v>3</v>
      </c>
      <c r="H7569">
        <v>2</v>
      </c>
      <c r="I7569">
        <v>1</v>
      </c>
      <c r="J7569">
        <v>2</v>
      </c>
    </row>
    <row r="7570" spans="7:10">
      <c r="G7570">
        <v>3</v>
      </c>
      <c r="H7570">
        <v>2</v>
      </c>
      <c r="I7570">
        <v>2</v>
      </c>
      <c r="J7570">
        <v>1</v>
      </c>
    </row>
    <row r="7571" spans="7:10">
      <c r="G7571">
        <v>3</v>
      </c>
      <c r="H7571">
        <v>2</v>
      </c>
      <c r="I7571">
        <v>2</v>
      </c>
      <c r="J7571">
        <v>2</v>
      </c>
    </row>
    <row r="7572" spans="7:10">
      <c r="G7572">
        <v>3</v>
      </c>
      <c r="H7572">
        <v>2</v>
      </c>
      <c r="I7572">
        <v>3</v>
      </c>
      <c r="J7572">
        <v>1</v>
      </c>
    </row>
    <row r="7573" spans="7:10">
      <c r="G7573">
        <v>3</v>
      </c>
      <c r="H7573">
        <v>2</v>
      </c>
      <c r="I7573">
        <v>3</v>
      </c>
      <c r="J7573">
        <v>2</v>
      </c>
    </row>
    <row r="7574" spans="7:10">
      <c r="G7574">
        <v>3</v>
      </c>
      <c r="H7574">
        <v>2</v>
      </c>
      <c r="I7574">
        <v>4</v>
      </c>
      <c r="J7574">
        <v>1</v>
      </c>
    </row>
    <row r="7575" spans="7:10">
      <c r="G7575">
        <v>3</v>
      </c>
      <c r="H7575">
        <v>2</v>
      </c>
      <c r="I7575">
        <v>4</v>
      </c>
      <c r="J7575">
        <v>2</v>
      </c>
    </row>
    <row r="7576" spans="7:10">
      <c r="G7576">
        <v>3</v>
      </c>
      <c r="H7576">
        <v>2</v>
      </c>
      <c r="I7576">
        <v>5</v>
      </c>
      <c r="J7576">
        <v>1</v>
      </c>
    </row>
    <row r="7577" spans="7:10">
      <c r="G7577">
        <v>3</v>
      </c>
      <c r="H7577">
        <v>2</v>
      </c>
      <c r="I7577">
        <v>5</v>
      </c>
      <c r="J7577">
        <v>2</v>
      </c>
    </row>
    <row r="7578" spans="7:10">
      <c r="G7578">
        <v>3</v>
      </c>
      <c r="H7578">
        <v>3</v>
      </c>
      <c r="I7578">
        <v>1</v>
      </c>
      <c r="J7578">
        <v>1</v>
      </c>
    </row>
    <row r="7579" spans="7:10">
      <c r="G7579">
        <v>3</v>
      </c>
      <c r="H7579">
        <v>3</v>
      </c>
      <c r="I7579">
        <v>1</v>
      </c>
      <c r="J7579">
        <v>2</v>
      </c>
    </row>
    <row r="7580" spans="7:10">
      <c r="G7580">
        <v>3</v>
      </c>
      <c r="H7580">
        <v>3</v>
      </c>
      <c r="I7580">
        <v>2</v>
      </c>
      <c r="J7580">
        <v>1</v>
      </c>
    </row>
    <row r="7581" spans="7:10">
      <c r="G7581">
        <v>3</v>
      </c>
      <c r="H7581">
        <v>3</v>
      </c>
      <c r="I7581">
        <v>2</v>
      </c>
      <c r="J7581">
        <v>2</v>
      </c>
    </row>
    <row r="7582" spans="7:10">
      <c r="G7582">
        <v>3</v>
      </c>
      <c r="H7582">
        <v>3</v>
      </c>
      <c r="I7582">
        <v>3</v>
      </c>
      <c r="J7582">
        <v>1</v>
      </c>
    </row>
    <row r="7583" spans="7:10">
      <c r="G7583">
        <v>3</v>
      </c>
      <c r="H7583">
        <v>3</v>
      </c>
      <c r="I7583">
        <v>3</v>
      </c>
      <c r="J7583">
        <v>2</v>
      </c>
    </row>
    <row r="7584" spans="7:10">
      <c r="G7584">
        <v>3</v>
      </c>
      <c r="H7584">
        <v>3</v>
      </c>
      <c r="I7584">
        <v>4</v>
      </c>
      <c r="J7584">
        <v>1</v>
      </c>
    </row>
    <row r="7585" spans="7:10">
      <c r="G7585">
        <v>3</v>
      </c>
      <c r="H7585">
        <v>3</v>
      </c>
      <c r="I7585">
        <v>4</v>
      </c>
      <c r="J7585">
        <v>2</v>
      </c>
    </row>
    <row r="7586" spans="7:10">
      <c r="G7586">
        <v>3</v>
      </c>
      <c r="H7586">
        <v>3</v>
      </c>
      <c r="I7586">
        <v>5</v>
      </c>
      <c r="J7586">
        <v>1</v>
      </c>
    </row>
    <row r="7587" spans="7:10">
      <c r="G7587">
        <v>3</v>
      </c>
      <c r="H7587">
        <v>3</v>
      </c>
      <c r="I7587">
        <v>5</v>
      </c>
      <c r="J7587">
        <v>2</v>
      </c>
    </row>
    <row r="7588" spans="7:10">
      <c r="G7588">
        <v>4</v>
      </c>
      <c r="H7588">
        <v>1</v>
      </c>
      <c r="I7588">
        <v>3</v>
      </c>
      <c r="J7588">
        <v>1</v>
      </c>
    </row>
    <row r="7589" spans="7:10">
      <c r="G7589">
        <v>4</v>
      </c>
      <c r="H7589">
        <v>1</v>
      </c>
      <c r="I7589">
        <v>3</v>
      </c>
      <c r="J7589">
        <v>2</v>
      </c>
    </row>
    <row r="7590" spans="7:10">
      <c r="G7590">
        <v>4</v>
      </c>
      <c r="H7590">
        <v>1</v>
      </c>
      <c r="I7590">
        <v>4</v>
      </c>
      <c r="J7590">
        <v>1</v>
      </c>
    </row>
    <row r="7591" spans="7:10">
      <c r="G7591">
        <v>4</v>
      </c>
      <c r="H7591">
        <v>1</v>
      </c>
      <c r="I7591">
        <v>4</v>
      </c>
      <c r="J7591">
        <v>2</v>
      </c>
    </row>
    <row r="7592" spans="7:10">
      <c r="G7592">
        <v>4</v>
      </c>
      <c r="H7592">
        <v>1</v>
      </c>
      <c r="I7592">
        <v>5</v>
      </c>
      <c r="J7592">
        <v>1</v>
      </c>
    </row>
    <row r="7593" spans="7:10">
      <c r="G7593">
        <v>4</v>
      </c>
      <c r="H7593">
        <v>1</v>
      </c>
      <c r="I7593">
        <v>5</v>
      </c>
      <c r="J7593">
        <v>2</v>
      </c>
    </row>
    <row r="7594" spans="7:10">
      <c r="G7594">
        <v>4</v>
      </c>
      <c r="H7594">
        <v>2</v>
      </c>
      <c r="I7594">
        <v>1</v>
      </c>
      <c r="J7594">
        <v>1</v>
      </c>
    </row>
    <row r="7595" spans="7:10">
      <c r="G7595">
        <v>4</v>
      </c>
      <c r="H7595">
        <v>2</v>
      </c>
      <c r="I7595">
        <v>1</v>
      </c>
      <c r="J7595">
        <v>2</v>
      </c>
    </row>
    <row r="7596" spans="7:10">
      <c r="G7596">
        <v>4</v>
      </c>
      <c r="H7596">
        <v>2</v>
      </c>
      <c r="I7596">
        <v>2</v>
      </c>
      <c r="J7596">
        <v>1</v>
      </c>
    </row>
    <row r="7597" spans="7:10">
      <c r="G7597">
        <v>4</v>
      </c>
      <c r="H7597">
        <v>2</v>
      </c>
      <c r="I7597">
        <v>2</v>
      </c>
      <c r="J7597">
        <v>2</v>
      </c>
    </row>
    <row r="7598" spans="7:10">
      <c r="G7598">
        <v>4</v>
      </c>
      <c r="H7598">
        <v>2</v>
      </c>
      <c r="I7598">
        <v>3</v>
      </c>
      <c r="J7598">
        <v>1</v>
      </c>
    </row>
    <row r="7599" spans="7:10">
      <c r="G7599">
        <v>4</v>
      </c>
      <c r="H7599">
        <v>2</v>
      </c>
      <c r="I7599">
        <v>3</v>
      </c>
      <c r="J7599">
        <v>2</v>
      </c>
    </row>
    <row r="7600" spans="7:10">
      <c r="G7600">
        <v>4</v>
      </c>
      <c r="H7600">
        <v>2</v>
      </c>
      <c r="I7600">
        <v>4</v>
      </c>
      <c r="J7600">
        <v>1</v>
      </c>
    </row>
    <row r="7601" spans="7:10">
      <c r="G7601">
        <v>4</v>
      </c>
      <c r="H7601">
        <v>2</v>
      </c>
      <c r="I7601">
        <v>4</v>
      </c>
      <c r="J7601">
        <v>2</v>
      </c>
    </row>
    <row r="7602" spans="7:10">
      <c r="G7602">
        <v>4</v>
      </c>
      <c r="H7602">
        <v>2</v>
      </c>
      <c r="I7602">
        <v>5</v>
      </c>
      <c r="J7602">
        <v>1</v>
      </c>
    </row>
    <row r="7603" spans="7:10">
      <c r="G7603">
        <v>4</v>
      </c>
      <c r="H7603">
        <v>2</v>
      </c>
      <c r="I7603">
        <v>5</v>
      </c>
      <c r="J7603">
        <v>2</v>
      </c>
    </row>
    <row r="7604" spans="7:10">
      <c r="G7604">
        <v>4</v>
      </c>
      <c r="H7604">
        <v>3</v>
      </c>
      <c r="I7604">
        <v>1</v>
      </c>
      <c r="J7604">
        <v>1</v>
      </c>
    </row>
    <row r="7605" spans="7:10">
      <c r="G7605">
        <v>4</v>
      </c>
      <c r="H7605">
        <v>3</v>
      </c>
      <c r="I7605">
        <v>1</v>
      </c>
      <c r="J7605">
        <v>2</v>
      </c>
    </row>
    <row r="7606" spans="7:10">
      <c r="G7606">
        <v>4</v>
      </c>
      <c r="H7606">
        <v>3</v>
      </c>
      <c r="I7606">
        <v>2</v>
      </c>
      <c r="J7606">
        <v>1</v>
      </c>
    </row>
    <row r="7607" spans="7:10">
      <c r="G7607">
        <v>4</v>
      </c>
      <c r="H7607">
        <v>3</v>
      </c>
      <c r="I7607">
        <v>2</v>
      </c>
      <c r="J7607">
        <v>2</v>
      </c>
    </row>
    <row r="7608" spans="7:10">
      <c r="G7608">
        <v>4</v>
      </c>
      <c r="H7608">
        <v>3</v>
      </c>
      <c r="I7608">
        <v>3</v>
      </c>
      <c r="J7608">
        <v>1</v>
      </c>
    </row>
    <row r="7609" spans="7:10">
      <c r="G7609">
        <v>4</v>
      </c>
      <c r="H7609">
        <v>3</v>
      </c>
      <c r="I7609">
        <v>3</v>
      </c>
      <c r="J7609">
        <v>2</v>
      </c>
    </row>
    <row r="7610" spans="7:10">
      <c r="G7610">
        <v>4</v>
      </c>
      <c r="H7610">
        <v>3</v>
      </c>
      <c r="I7610">
        <v>4</v>
      </c>
      <c r="J7610">
        <v>1</v>
      </c>
    </row>
    <row r="7611" spans="7:10">
      <c r="G7611">
        <v>4</v>
      </c>
      <c r="H7611">
        <v>3</v>
      </c>
      <c r="I7611">
        <v>4</v>
      </c>
      <c r="J7611">
        <v>2</v>
      </c>
    </row>
    <row r="7612" spans="7:10">
      <c r="G7612">
        <v>4</v>
      </c>
      <c r="H7612">
        <v>3</v>
      </c>
      <c r="I7612">
        <v>5</v>
      </c>
      <c r="J7612">
        <v>1</v>
      </c>
    </row>
    <row r="7613" spans="7:10">
      <c r="G7613">
        <v>4</v>
      </c>
      <c r="H7613">
        <v>3</v>
      </c>
      <c r="I7613">
        <v>5</v>
      </c>
      <c r="J7613">
        <v>2</v>
      </c>
    </row>
    <row r="7614" spans="7:10">
      <c r="G7614">
        <v>1</v>
      </c>
      <c r="H7614">
        <v>1</v>
      </c>
      <c r="I7614">
        <v>1</v>
      </c>
      <c r="J7614">
        <v>1</v>
      </c>
    </row>
    <row r="7615" spans="7:10">
      <c r="G7615">
        <v>1</v>
      </c>
      <c r="H7615">
        <v>1</v>
      </c>
      <c r="I7615">
        <v>1</v>
      </c>
      <c r="J7615">
        <v>2</v>
      </c>
    </row>
    <row r="7616" spans="7:10">
      <c r="G7616">
        <v>1</v>
      </c>
      <c r="H7616">
        <v>1</v>
      </c>
      <c r="I7616">
        <v>2</v>
      </c>
      <c r="J7616">
        <v>1</v>
      </c>
    </row>
    <row r="7617" spans="7:10">
      <c r="G7617">
        <v>1</v>
      </c>
      <c r="H7617">
        <v>1</v>
      </c>
      <c r="I7617">
        <v>2</v>
      </c>
      <c r="J7617">
        <v>2</v>
      </c>
    </row>
    <row r="7618" spans="7:10">
      <c r="G7618">
        <v>1</v>
      </c>
      <c r="H7618">
        <v>1</v>
      </c>
      <c r="I7618">
        <v>3</v>
      </c>
      <c r="J7618">
        <v>1</v>
      </c>
    </row>
    <row r="7619" spans="7:10">
      <c r="G7619">
        <v>1</v>
      </c>
      <c r="H7619">
        <v>1</v>
      </c>
      <c r="I7619">
        <v>3</v>
      </c>
      <c r="J7619">
        <v>2</v>
      </c>
    </row>
    <row r="7620" spans="7:10">
      <c r="G7620">
        <v>1</v>
      </c>
      <c r="H7620">
        <v>1</v>
      </c>
      <c r="I7620">
        <v>4</v>
      </c>
      <c r="J7620">
        <v>1</v>
      </c>
    </row>
    <row r="7621" spans="7:10">
      <c r="G7621">
        <v>1</v>
      </c>
      <c r="H7621">
        <v>1</v>
      </c>
      <c r="I7621">
        <v>4</v>
      </c>
      <c r="J7621">
        <v>2</v>
      </c>
    </row>
    <row r="7622" spans="7:10">
      <c r="G7622">
        <v>1</v>
      </c>
      <c r="H7622">
        <v>1</v>
      </c>
      <c r="I7622">
        <v>5</v>
      </c>
      <c r="J7622">
        <v>1</v>
      </c>
    </row>
    <row r="7623" spans="7:10">
      <c r="G7623">
        <v>1</v>
      </c>
      <c r="H7623">
        <v>1</v>
      </c>
      <c r="I7623">
        <v>5</v>
      </c>
      <c r="J7623">
        <v>2</v>
      </c>
    </row>
    <row r="7624" spans="7:10">
      <c r="G7624">
        <v>1</v>
      </c>
      <c r="H7624">
        <v>2</v>
      </c>
      <c r="I7624">
        <v>1</v>
      </c>
      <c r="J7624">
        <v>1</v>
      </c>
    </row>
    <row r="7625" spans="7:10">
      <c r="G7625">
        <v>1</v>
      </c>
      <c r="H7625">
        <v>2</v>
      </c>
      <c r="I7625">
        <v>1</v>
      </c>
      <c r="J7625">
        <v>2</v>
      </c>
    </row>
    <row r="7626" spans="7:10">
      <c r="G7626">
        <v>1</v>
      </c>
      <c r="H7626">
        <v>2</v>
      </c>
      <c r="I7626">
        <v>2</v>
      </c>
      <c r="J7626">
        <v>1</v>
      </c>
    </row>
    <row r="7627" spans="7:10">
      <c r="G7627">
        <v>1</v>
      </c>
      <c r="H7627">
        <v>2</v>
      </c>
      <c r="I7627">
        <v>2</v>
      </c>
      <c r="J7627">
        <v>2</v>
      </c>
    </row>
    <row r="7628" spans="7:10">
      <c r="G7628">
        <v>1</v>
      </c>
      <c r="H7628">
        <v>2</v>
      </c>
      <c r="I7628">
        <v>3</v>
      </c>
      <c r="J7628">
        <v>1</v>
      </c>
    </row>
    <row r="7629" spans="7:10">
      <c r="G7629">
        <v>1</v>
      </c>
      <c r="H7629">
        <v>2</v>
      </c>
      <c r="I7629">
        <v>3</v>
      </c>
      <c r="J7629">
        <v>2</v>
      </c>
    </row>
    <row r="7630" spans="7:10">
      <c r="G7630">
        <v>1</v>
      </c>
      <c r="H7630">
        <v>2</v>
      </c>
      <c r="I7630">
        <v>4</v>
      </c>
      <c r="J7630">
        <v>1</v>
      </c>
    </row>
    <row r="7631" spans="7:10">
      <c r="G7631">
        <v>1</v>
      </c>
      <c r="H7631">
        <v>2</v>
      </c>
      <c r="I7631">
        <v>4</v>
      </c>
      <c r="J7631">
        <v>2</v>
      </c>
    </row>
    <row r="7632" spans="7:10">
      <c r="G7632">
        <v>1</v>
      </c>
      <c r="H7632">
        <v>2</v>
      </c>
      <c r="I7632">
        <v>5</v>
      </c>
      <c r="J7632">
        <v>1</v>
      </c>
    </row>
    <row r="7633" spans="7:10">
      <c r="G7633">
        <v>1</v>
      </c>
      <c r="H7633">
        <v>2</v>
      </c>
      <c r="I7633">
        <v>5</v>
      </c>
      <c r="J7633">
        <v>2</v>
      </c>
    </row>
    <row r="7634" spans="7:10">
      <c r="G7634">
        <v>1</v>
      </c>
      <c r="H7634">
        <v>3</v>
      </c>
      <c r="I7634">
        <v>1</v>
      </c>
      <c r="J7634">
        <v>1</v>
      </c>
    </row>
    <row r="7635" spans="7:10">
      <c r="G7635">
        <v>1</v>
      </c>
      <c r="H7635">
        <v>3</v>
      </c>
      <c r="I7635">
        <v>1</v>
      </c>
      <c r="J7635">
        <v>2</v>
      </c>
    </row>
    <row r="7636" spans="7:10">
      <c r="G7636">
        <v>1</v>
      </c>
      <c r="H7636">
        <v>3</v>
      </c>
      <c r="I7636">
        <v>2</v>
      </c>
      <c r="J7636">
        <v>1</v>
      </c>
    </row>
    <row r="7637" spans="7:10">
      <c r="G7637">
        <v>1</v>
      </c>
      <c r="H7637">
        <v>3</v>
      </c>
      <c r="I7637">
        <v>2</v>
      </c>
      <c r="J7637">
        <v>2</v>
      </c>
    </row>
    <row r="7638" spans="7:10">
      <c r="G7638">
        <v>1</v>
      </c>
      <c r="H7638">
        <v>3</v>
      </c>
      <c r="I7638">
        <v>3</v>
      </c>
      <c r="J7638">
        <v>1</v>
      </c>
    </row>
    <row r="7639" spans="7:10">
      <c r="G7639">
        <v>1</v>
      </c>
      <c r="H7639">
        <v>3</v>
      </c>
      <c r="I7639">
        <v>3</v>
      </c>
      <c r="J7639">
        <v>2</v>
      </c>
    </row>
    <row r="7640" spans="7:10">
      <c r="G7640">
        <v>1</v>
      </c>
      <c r="H7640">
        <v>3</v>
      </c>
      <c r="I7640">
        <v>4</v>
      </c>
      <c r="J7640">
        <v>1</v>
      </c>
    </row>
    <row r="7641" spans="7:10">
      <c r="G7641">
        <v>1</v>
      </c>
      <c r="H7641">
        <v>3</v>
      </c>
      <c r="I7641">
        <v>4</v>
      </c>
      <c r="J7641">
        <v>2</v>
      </c>
    </row>
    <row r="7642" spans="7:10">
      <c r="G7642">
        <v>1</v>
      </c>
      <c r="H7642">
        <v>3</v>
      </c>
      <c r="I7642">
        <v>5</v>
      </c>
      <c r="J7642">
        <v>1</v>
      </c>
    </row>
    <row r="7643" spans="7:10">
      <c r="G7643">
        <v>1</v>
      </c>
      <c r="H7643">
        <v>3</v>
      </c>
      <c r="I7643">
        <v>5</v>
      </c>
      <c r="J7643">
        <v>2</v>
      </c>
    </row>
    <row r="7644" spans="7:10">
      <c r="G7644">
        <v>2</v>
      </c>
      <c r="H7644">
        <v>1</v>
      </c>
      <c r="I7644">
        <v>3</v>
      </c>
      <c r="J7644">
        <v>1</v>
      </c>
    </row>
    <row r="7645" spans="7:10">
      <c r="G7645">
        <v>2</v>
      </c>
      <c r="H7645">
        <v>1</v>
      </c>
      <c r="I7645">
        <v>3</v>
      </c>
      <c r="J7645">
        <v>2</v>
      </c>
    </row>
    <row r="7646" spans="7:10">
      <c r="G7646">
        <v>2</v>
      </c>
      <c r="H7646">
        <v>1</v>
      </c>
      <c r="I7646">
        <v>4</v>
      </c>
      <c r="J7646">
        <v>1</v>
      </c>
    </row>
    <row r="7647" spans="7:10">
      <c r="G7647">
        <v>2</v>
      </c>
      <c r="H7647">
        <v>1</v>
      </c>
      <c r="I7647">
        <v>4</v>
      </c>
      <c r="J7647">
        <v>2</v>
      </c>
    </row>
    <row r="7648" spans="7:10">
      <c r="G7648">
        <v>2</v>
      </c>
      <c r="H7648">
        <v>1</v>
      </c>
      <c r="I7648">
        <v>5</v>
      </c>
      <c r="J7648">
        <v>1</v>
      </c>
    </row>
    <row r="7649" spans="7:10">
      <c r="G7649">
        <v>2</v>
      </c>
      <c r="H7649">
        <v>1</v>
      </c>
      <c r="I7649">
        <v>5</v>
      </c>
      <c r="J7649">
        <v>2</v>
      </c>
    </row>
    <row r="7650" spans="7:10">
      <c r="G7650">
        <v>2</v>
      </c>
      <c r="H7650">
        <v>2</v>
      </c>
      <c r="I7650">
        <v>1</v>
      </c>
      <c r="J7650">
        <v>1</v>
      </c>
    </row>
    <row r="7651" spans="7:10">
      <c r="G7651">
        <v>2</v>
      </c>
      <c r="H7651">
        <v>2</v>
      </c>
      <c r="I7651">
        <v>1</v>
      </c>
      <c r="J7651">
        <v>2</v>
      </c>
    </row>
    <row r="7652" spans="7:10">
      <c r="G7652">
        <v>2</v>
      </c>
      <c r="H7652">
        <v>2</v>
      </c>
      <c r="I7652">
        <v>2</v>
      </c>
      <c r="J7652">
        <v>1</v>
      </c>
    </row>
    <row r="7653" spans="7:10">
      <c r="G7653">
        <v>2</v>
      </c>
      <c r="H7653">
        <v>2</v>
      </c>
      <c r="I7653">
        <v>2</v>
      </c>
      <c r="J7653">
        <v>2</v>
      </c>
    </row>
    <row r="7654" spans="7:10">
      <c r="G7654">
        <v>2</v>
      </c>
      <c r="H7654">
        <v>2</v>
      </c>
      <c r="I7654">
        <v>3</v>
      </c>
      <c r="J7654">
        <v>1</v>
      </c>
    </row>
    <row r="7655" spans="7:10">
      <c r="G7655">
        <v>2</v>
      </c>
      <c r="H7655">
        <v>2</v>
      </c>
      <c r="I7655">
        <v>3</v>
      </c>
      <c r="J7655">
        <v>2</v>
      </c>
    </row>
    <row r="7656" spans="7:10">
      <c r="G7656">
        <v>2</v>
      </c>
      <c r="H7656">
        <v>2</v>
      </c>
      <c r="I7656">
        <v>4</v>
      </c>
      <c r="J7656">
        <v>1</v>
      </c>
    </row>
    <row r="7657" spans="7:10">
      <c r="G7657">
        <v>2</v>
      </c>
      <c r="H7657">
        <v>2</v>
      </c>
      <c r="I7657">
        <v>4</v>
      </c>
      <c r="J7657">
        <v>2</v>
      </c>
    </row>
    <row r="7658" spans="7:10">
      <c r="G7658">
        <v>2</v>
      </c>
      <c r="H7658">
        <v>2</v>
      </c>
      <c r="I7658">
        <v>5</v>
      </c>
      <c r="J7658">
        <v>1</v>
      </c>
    </row>
    <row r="7659" spans="7:10">
      <c r="G7659">
        <v>2</v>
      </c>
      <c r="H7659">
        <v>2</v>
      </c>
      <c r="I7659">
        <v>5</v>
      </c>
      <c r="J7659">
        <v>2</v>
      </c>
    </row>
    <row r="7660" spans="7:10">
      <c r="G7660">
        <v>2</v>
      </c>
      <c r="H7660">
        <v>3</v>
      </c>
      <c r="I7660">
        <v>1</v>
      </c>
      <c r="J7660">
        <v>1</v>
      </c>
    </row>
    <row r="7661" spans="7:10">
      <c r="G7661">
        <v>2</v>
      </c>
      <c r="H7661">
        <v>3</v>
      </c>
      <c r="I7661">
        <v>1</v>
      </c>
      <c r="J7661">
        <v>2</v>
      </c>
    </row>
    <row r="7662" spans="7:10">
      <c r="G7662">
        <v>2</v>
      </c>
      <c r="H7662">
        <v>3</v>
      </c>
      <c r="I7662">
        <v>2</v>
      </c>
      <c r="J7662">
        <v>1</v>
      </c>
    </row>
    <row r="7663" spans="7:10">
      <c r="G7663">
        <v>2</v>
      </c>
      <c r="H7663">
        <v>3</v>
      </c>
      <c r="I7663">
        <v>2</v>
      </c>
      <c r="J7663">
        <v>2</v>
      </c>
    </row>
    <row r="7664" spans="7:10">
      <c r="G7664">
        <v>2</v>
      </c>
      <c r="H7664">
        <v>3</v>
      </c>
      <c r="I7664">
        <v>3</v>
      </c>
      <c r="J7664">
        <v>1</v>
      </c>
    </row>
    <row r="7665" spans="7:10">
      <c r="G7665">
        <v>2</v>
      </c>
      <c r="H7665">
        <v>3</v>
      </c>
      <c r="I7665">
        <v>3</v>
      </c>
      <c r="J7665">
        <v>2</v>
      </c>
    </row>
    <row r="7666" spans="7:10">
      <c r="G7666">
        <v>2</v>
      </c>
      <c r="H7666">
        <v>3</v>
      </c>
      <c r="I7666">
        <v>4</v>
      </c>
      <c r="J7666">
        <v>1</v>
      </c>
    </row>
    <row r="7667" spans="7:10">
      <c r="G7667">
        <v>2</v>
      </c>
      <c r="H7667">
        <v>3</v>
      </c>
      <c r="I7667">
        <v>4</v>
      </c>
      <c r="J7667">
        <v>2</v>
      </c>
    </row>
    <row r="7668" spans="7:10">
      <c r="G7668">
        <v>2</v>
      </c>
      <c r="H7668">
        <v>3</v>
      </c>
      <c r="I7668">
        <v>5</v>
      </c>
      <c r="J7668">
        <v>1</v>
      </c>
    </row>
    <row r="7669" spans="7:10">
      <c r="G7669">
        <v>2</v>
      </c>
      <c r="H7669">
        <v>3</v>
      </c>
      <c r="I7669">
        <v>5</v>
      </c>
      <c r="J7669">
        <v>2</v>
      </c>
    </row>
    <row r="7670" spans="7:10">
      <c r="G7670">
        <v>3</v>
      </c>
      <c r="H7670">
        <v>1</v>
      </c>
      <c r="I7670">
        <v>3</v>
      </c>
      <c r="J7670">
        <v>1</v>
      </c>
    </row>
    <row r="7671" spans="7:10">
      <c r="G7671">
        <v>3</v>
      </c>
      <c r="H7671">
        <v>1</v>
      </c>
      <c r="I7671">
        <v>3</v>
      </c>
      <c r="J7671">
        <v>2</v>
      </c>
    </row>
    <row r="7672" spans="7:10">
      <c r="G7672">
        <v>3</v>
      </c>
      <c r="H7672">
        <v>1</v>
      </c>
      <c r="I7672">
        <v>4</v>
      </c>
      <c r="J7672">
        <v>1</v>
      </c>
    </row>
    <row r="7673" spans="7:10">
      <c r="G7673">
        <v>3</v>
      </c>
      <c r="H7673">
        <v>1</v>
      </c>
      <c r="I7673">
        <v>4</v>
      </c>
      <c r="J7673">
        <v>2</v>
      </c>
    </row>
    <row r="7674" spans="7:10">
      <c r="G7674">
        <v>3</v>
      </c>
      <c r="H7674">
        <v>1</v>
      </c>
      <c r="I7674">
        <v>5</v>
      </c>
      <c r="J7674">
        <v>1</v>
      </c>
    </row>
    <row r="7675" spans="7:10">
      <c r="G7675">
        <v>3</v>
      </c>
      <c r="H7675">
        <v>1</v>
      </c>
      <c r="I7675">
        <v>5</v>
      </c>
      <c r="J7675">
        <v>2</v>
      </c>
    </row>
    <row r="7676" spans="7:10">
      <c r="G7676">
        <v>3</v>
      </c>
      <c r="H7676">
        <v>2</v>
      </c>
      <c r="I7676">
        <v>1</v>
      </c>
      <c r="J7676">
        <v>1</v>
      </c>
    </row>
    <row r="7677" spans="7:10">
      <c r="G7677">
        <v>3</v>
      </c>
      <c r="H7677">
        <v>2</v>
      </c>
      <c r="I7677">
        <v>1</v>
      </c>
      <c r="J7677">
        <v>2</v>
      </c>
    </row>
    <row r="7678" spans="7:10">
      <c r="G7678">
        <v>3</v>
      </c>
      <c r="H7678">
        <v>2</v>
      </c>
      <c r="I7678">
        <v>2</v>
      </c>
      <c r="J7678">
        <v>1</v>
      </c>
    </row>
    <row r="7679" spans="7:10">
      <c r="G7679">
        <v>3</v>
      </c>
      <c r="H7679">
        <v>2</v>
      </c>
      <c r="I7679">
        <v>2</v>
      </c>
      <c r="J7679">
        <v>2</v>
      </c>
    </row>
    <row r="7680" spans="7:10">
      <c r="G7680">
        <v>3</v>
      </c>
      <c r="H7680">
        <v>2</v>
      </c>
      <c r="I7680">
        <v>3</v>
      </c>
      <c r="J7680">
        <v>1</v>
      </c>
    </row>
    <row r="7681" spans="7:10">
      <c r="G7681">
        <v>3</v>
      </c>
      <c r="H7681">
        <v>2</v>
      </c>
      <c r="I7681">
        <v>3</v>
      </c>
      <c r="J7681">
        <v>2</v>
      </c>
    </row>
    <row r="7682" spans="7:10">
      <c r="G7682">
        <v>3</v>
      </c>
      <c r="H7682">
        <v>2</v>
      </c>
      <c r="I7682">
        <v>4</v>
      </c>
      <c r="J7682">
        <v>1</v>
      </c>
    </row>
    <row r="7683" spans="7:10">
      <c r="G7683">
        <v>3</v>
      </c>
      <c r="H7683">
        <v>2</v>
      </c>
      <c r="I7683">
        <v>4</v>
      </c>
      <c r="J7683">
        <v>2</v>
      </c>
    </row>
    <row r="7684" spans="7:10">
      <c r="G7684">
        <v>3</v>
      </c>
      <c r="H7684">
        <v>2</v>
      </c>
      <c r="I7684">
        <v>5</v>
      </c>
      <c r="J7684">
        <v>1</v>
      </c>
    </row>
    <row r="7685" spans="7:10">
      <c r="G7685">
        <v>3</v>
      </c>
      <c r="H7685">
        <v>2</v>
      </c>
      <c r="I7685">
        <v>5</v>
      </c>
      <c r="J7685">
        <v>2</v>
      </c>
    </row>
    <row r="7686" spans="7:10">
      <c r="G7686">
        <v>3</v>
      </c>
      <c r="H7686">
        <v>3</v>
      </c>
      <c r="I7686">
        <v>1</v>
      </c>
      <c r="J7686">
        <v>1</v>
      </c>
    </row>
    <row r="7687" spans="7:10">
      <c r="G7687">
        <v>3</v>
      </c>
      <c r="H7687">
        <v>3</v>
      </c>
      <c r="I7687">
        <v>1</v>
      </c>
      <c r="J7687">
        <v>2</v>
      </c>
    </row>
    <row r="7688" spans="7:10">
      <c r="G7688">
        <v>3</v>
      </c>
      <c r="H7688">
        <v>3</v>
      </c>
      <c r="I7688">
        <v>2</v>
      </c>
      <c r="J7688">
        <v>1</v>
      </c>
    </row>
    <row r="7689" spans="7:10">
      <c r="G7689">
        <v>3</v>
      </c>
      <c r="H7689">
        <v>3</v>
      </c>
      <c r="I7689">
        <v>2</v>
      </c>
      <c r="J7689">
        <v>2</v>
      </c>
    </row>
    <row r="7690" spans="7:10">
      <c r="G7690">
        <v>3</v>
      </c>
      <c r="H7690">
        <v>3</v>
      </c>
      <c r="I7690">
        <v>3</v>
      </c>
      <c r="J7690">
        <v>1</v>
      </c>
    </row>
    <row r="7691" spans="7:10">
      <c r="G7691">
        <v>3</v>
      </c>
      <c r="H7691">
        <v>3</v>
      </c>
      <c r="I7691">
        <v>3</v>
      </c>
      <c r="J7691">
        <v>2</v>
      </c>
    </row>
    <row r="7692" spans="7:10">
      <c r="G7692">
        <v>3</v>
      </c>
      <c r="H7692">
        <v>3</v>
      </c>
      <c r="I7692">
        <v>4</v>
      </c>
      <c r="J7692">
        <v>1</v>
      </c>
    </row>
    <row r="7693" spans="7:10">
      <c r="G7693">
        <v>3</v>
      </c>
      <c r="H7693">
        <v>3</v>
      </c>
      <c r="I7693">
        <v>4</v>
      </c>
      <c r="J7693">
        <v>2</v>
      </c>
    </row>
    <row r="7694" spans="7:10">
      <c r="G7694">
        <v>3</v>
      </c>
      <c r="H7694">
        <v>3</v>
      </c>
      <c r="I7694">
        <v>5</v>
      </c>
      <c r="J7694">
        <v>1</v>
      </c>
    </row>
    <row r="7695" spans="7:10">
      <c r="G7695">
        <v>3</v>
      </c>
      <c r="H7695">
        <v>3</v>
      </c>
      <c r="I7695">
        <v>5</v>
      </c>
      <c r="J7695">
        <v>2</v>
      </c>
    </row>
    <row r="7696" spans="7:10">
      <c r="G7696">
        <v>4</v>
      </c>
      <c r="H7696">
        <v>1</v>
      </c>
      <c r="I7696">
        <v>3</v>
      </c>
      <c r="J7696">
        <v>1</v>
      </c>
    </row>
    <row r="7697" spans="7:10">
      <c r="G7697">
        <v>4</v>
      </c>
      <c r="H7697">
        <v>1</v>
      </c>
      <c r="I7697">
        <v>3</v>
      </c>
      <c r="J7697">
        <v>2</v>
      </c>
    </row>
    <row r="7698" spans="7:10">
      <c r="G7698">
        <v>4</v>
      </c>
      <c r="H7698">
        <v>1</v>
      </c>
      <c r="I7698">
        <v>4</v>
      </c>
      <c r="J7698">
        <v>1</v>
      </c>
    </row>
    <row r="7699" spans="7:10">
      <c r="G7699">
        <v>4</v>
      </c>
      <c r="H7699">
        <v>1</v>
      </c>
      <c r="I7699">
        <v>4</v>
      </c>
      <c r="J7699">
        <v>2</v>
      </c>
    </row>
    <row r="7700" spans="7:10">
      <c r="G7700">
        <v>4</v>
      </c>
      <c r="H7700">
        <v>1</v>
      </c>
      <c r="I7700">
        <v>5</v>
      </c>
      <c r="J7700">
        <v>1</v>
      </c>
    </row>
    <row r="7701" spans="7:10">
      <c r="G7701">
        <v>4</v>
      </c>
      <c r="H7701">
        <v>1</v>
      </c>
      <c r="I7701">
        <v>5</v>
      </c>
      <c r="J7701">
        <v>2</v>
      </c>
    </row>
    <row r="7702" spans="7:10">
      <c r="G7702">
        <v>4</v>
      </c>
      <c r="H7702">
        <v>2</v>
      </c>
      <c r="I7702">
        <v>1</v>
      </c>
      <c r="J7702">
        <v>1</v>
      </c>
    </row>
    <row r="7703" spans="7:10">
      <c r="G7703">
        <v>4</v>
      </c>
      <c r="H7703">
        <v>2</v>
      </c>
      <c r="I7703">
        <v>1</v>
      </c>
      <c r="J7703">
        <v>2</v>
      </c>
    </row>
    <row r="7704" spans="7:10">
      <c r="G7704">
        <v>4</v>
      </c>
      <c r="H7704">
        <v>2</v>
      </c>
      <c r="I7704">
        <v>2</v>
      </c>
      <c r="J7704">
        <v>1</v>
      </c>
    </row>
    <row r="7705" spans="7:10">
      <c r="G7705">
        <v>4</v>
      </c>
      <c r="H7705">
        <v>2</v>
      </c>
      <c r="I7705">
        <v>2</v>
      </c>
      <c r="J7705">
        <v>2</v>
      </c>
    </row>
    <row r="7706" spans="7:10">
      <c r="G7706">
        <v>4</v>
      </c>
      <c r="H7706">
        <v>2</v>
      </c>
      <c r="I7706">
        <v>3</v>
      </c>
      <c r="J7706">
        <v>1</v>
      </c>
    </row>
    <row r="7707" spans="7:10">
      <c r="G7707">
        <v>4</v>
      </c>
      <c r="H7707">
        <v>2</v>
      </c>
      <c r="I7707">
        <v>3</v>
      </c>
      <c r="J7707">
        <v>2</v>
      </c>
    </row>
    <row r="7708" spans="7:10">
      <c r="G7708">
        <v>4</v>
      </c>
      <c r="H7708">
        <v>2</v>
      </c>
      <c r="I7708">
        <v>4</v>
      </c>
      <c r="J7708">
        <v>1</v>
      </c>
    </row>
    <row r="7709" spans="7:10">
      <c r="G7709">
        <v>4</v>
      </c>
      <c r="H7709">
        <v>2</v>
      </c>
      <c r="I7709">
        <v>4</v>
      </c>
      <c r="J7709">
        <v>2</v>
      </c>
    </row>
    <row r="7710" spans="7:10">
      <c r="G7710">
        <v>4</v>
      </c>
      <c r="H7710">
        <v>2</v>
      </c>
      <c r="I7710">
        <v>5</v>
      </c>
      <c r="J7710">
        <v>1</v>
      </c>
    </row>
    <row r="7711" spans="7:10">
      <c r="G7711">
        <v>4</v>
      </c>
      <c r="H7711">
        <v>2</v>
      </c>
      <c r="I7711">
        <v>5</v>
      </c>
      <c r="J7711">
        <v>2</v>
      </c>
    </row>
    <row r="7712" spans="7:10">
      <c r="G7712">
        <v>4</v>
      </c>
      <c r="H7712">
        <v>3</v>
      </c>
      <c r="I7712">
        <v>1</v>
      </c>
      <c r="J7712">
        <v>1</v>
      </c>
    </row>
    <row r="7713" spans="7:10">
      <c r="G7713">
        <v>4</v>
      </c>
      <c r="H7713">
        <v>3</v>
      </c>
      <c r="I7713">
        <v>1</v>
      </c>
      <c r="J7713">
        <v>2</v>
      </c>
    </row>
    <row r="7714" spans="7:10">
      <c r="G7714">
        <v>4</v>
      </c>
      <c r="H7714">
        <v>3</v>
      </c>
      <c r="I7714">
        <v>2</v>
      </c>
      <c r="J7714">
        <v>1</v>
      </c>
    </row>
    <row r="7715" spans="7:10">
      <c r="G7715">
        <v>4</v>
      </c>
      <c r="H7715">
        <v>3</v>
      </c>
      <c r="I7715">
        <v>2</v>
      </c>
      <c r="J7715">
        <v>2</v>
      </c>
    </row>
    <row r="7716" spans="7:10">
      <c r="G7716">
        <v>4</v>
      </c>
      <c r="H7716">
        <v>3</v>
      </c>
      <c r="I7716">
        <v>3</v>
      </c>
      <c r="J7716">
        <v>1</v>
      </c>
    </row>
    <row r="7717" spans="7:10">
      <c r="G7717">
        <v>4</v>
      </c>
      <c r="H7717">
        <v>3</v>
      </c>
      <c r="I7717">
        <v>3</v>
      </c>
      <c r="J7717">
        <v>2</v>
      </c>
    </row>
    <row r="7718" spans="7:10">
      <c r="G7718">
        <v>4</v>
      </c>
      <c r="H7718">
        <v>3</v>
      </c>
      <c r="I7718">
        <v>4</v>
      </c>
      <c r="J7718">
        <v>1</v>
      </c>
    </row>
    <row r="7719" spans="7:10">
      <c r="G7719">
        <v>4</v>
      </c>
      <c r="H7719">
        <v>3</v>
      </c>
      <c r="I7719">
        <v>4</v>
      </c>
      <c r="J7719">
        <v>2</v>
      </c>
    </row>
    <row r="7720" spans="7:10">
      <c r="G7720">
        <v>4</v>
      </c>
      <c r="H7720">
        <v>3</v>
      </c>
      <c r="I7720">
        <v>5</v>
      </c>
      <c r="J7720">
        <v>1</v>
      </c>
    </row>
    <row r="7721" spans="7:10">
      <c r="G7721">
        <v>4</v>
      </c>
      <c r="H7721">
        <v>3</v>
      </c>
      <c r="I7721">
        <v>5</v>
      </c>
      <c r="J7721">
        <v>2</v>
      </c>
    </row>
    <row r="7722" spans="7:10">
      <c r="G7722">
        <v>1</v>
      </c>
      <c r="H7722">
        <v>2</v>
      </c>
      <c r="I7722">
        <v>1</v>
      </c>
      <c r="J7722">
        <v>1</v>
      </c>
    </row>
    <row r="7723" spans="7:10">
      <c r="G7723">
        <v>1</v>
      </c>
      <c r="H7723">
        <v>2</v>
      </c>
      <c r="I7723">
        <v>1</v>
      </c>
      <c r="J7723">
        <v>2</v>
      </c>
    </row>
    <row r="7724" spans="7:10">
      <c r="G7724">
        <v>1</v>
      </c>
      <c r="H7724">
        <v>2</v>
      </c>
      <c r="I7724">
        <v>2</v>
      </c>
      <c r="J7724">
        <v>1</v>
      </c>
    </row>
    <row r="7725" spans="7:10">
      <c r="G7725">
        <v>1</v>
      </c>
      <c r="H7725">
        <v>2</v>
      </c>
      <c r="I7725">
        <v>2</v>
      </c>
      <c r="J7725">
        <v>2</v>
      </c>
    </row>
    <row r="7726" spans="7:10">
      <c r="G7726">
        <v>1</v>
      </c>
      <c r="H7726">
        <v>2</v>
      </c>
      <c r="I7726">
        <v>3</v>
      </c>
      <c r="J7726">
        <v>1</v>
      </c>
    </row>
    <row r="7727" spans="7:10">
      <c r="G7727">
        <v>1</v>
      </c>
      <c r="H7727">
        <v>2</v>
      </c>
      <c r="I7727">
        <v>3</v>
      </c>
      <c r="J7727">
        <v>2</v>
      </c>
    </row>
    <row r="7728" spans="7:10">
      <c r="G7728">
        <v>1</v>
      </c>
      <c r="H7728">
        <v>2</v>
      </c>
      <c r="I7728">
        <v>4</v>
      </c>
      <c r="J7728">
        <v>1</v>
      </c>
    </row>
    <row r="7729" spans="7:10">
      <c r="G7729">
        <v>1</v>
      </c>
      <c r="H7729">
        <v>2</v>
      </c>
      <c r="I7729">
        <v>4</v>
      </c>
      <c r="J7729">
        <v>2</v>
      </c>
    </row>
    <row r="7730" spans="7:10">
      <c r="G7730">
        <v>1</v>
      </c>
      <c r="H7730">
        <v>2</v>
      </c>
      <c r="I7730">
        <v>5</v>
      </c>
      <c r="J7730">
        <v>1</v>
      </c>
    </row>
    <row r="7731" spans="7:10">
      <c r="G7731">
        <v>1</v>
      </c>
      <c r="H7731">
        <v>2</v>
      </c>
      <c r="I7731">
        <v>5</v>
      </c>
      <c r="J7731">
        <v>2</v>
      </c>
    </row>
    <row r="7732" spans="7:10">
      <c r="G7732">
        <v>1</v>
      </c>
      <c r="H7732">
        <v>3</v>
      </c>
      <c r="I7732">
        <v>1</v>
      </c>
      <c r="J7732">
        <v>1</v>
      </c>
    </row>
    <row r="7733" spans="7:10">
      <c r="G7733">
        <v>1</v>
      </c>
      <c r="H7733">
        <v>3</v>
      </c>
      <c r="I7733">
        <v>1</v>
      </c>
      <c r="J7733">
        <v>2</v>
      </c>
    </row>
    <row r="7734" spans="7:10">
      <c r="G7734">
        <v>1</v>
      </c>
      <c r="H7734">
        <v>3</v>
      </c>
      <c r="I7734">
        <v>2</v>
      </c>
      <c r="J7734">
        <v>1</v>
      </c>
    </row>
    <row r="7735" spans="7:10">
      <c r="G7735">
        <v>1</v>
      </c>
      <c r="H7735">
        <v>3</v>
      </c>
      <c r="I7735">
        <v>2</v>
      </c>
      <c r="J7735">
        <v>2</v>
      </c>
    </row>
    <row r="7736" spans="7:10">
      <c r="G7736">
        <v>1</v>
      </c>
      <c r="H7736">
        <v>3</v>
      </c>
      <c r="I7736">
        <v>3</v>
      </c>
      <c r="J7736">
        <v>1</v>
      </c>
    </row>
    <row r="7737" spans="7:10">
      <c r="G7737">
        <v>1</v>
      </c>
      <c r="H7737">
        <v>3</v>
      </c>
      <c r="I7737">
        <v>3</v>
      </c>
      <c r="J7737">
        <v>2</v>
      </c>
    </row>
    <row r="7738" spans="7:10">
      <c r="G7738">
        <v>1</v>
      </c>
      <c r="H7738">
        <v>3</v>
      </c>
      <c r="I7738">
        <v>4</v>
      </c>
      <c r="J7738">
        <v>1</v>
      </c>
    </row>
    <row r="7739" spans="7:10">
      <c r="G7739">
        <v>1</v>
      </c>
      <c r="H7739">
        <v>3</v>
      </c>
      <c r="I7739">
        <v>4</v>
      </c>
      <c r="J7739">
        <v>2</v>
      </c>
    </row>
    <row r="7740" spans="7:10">
      <c r="G7740">
        <v>1</v>
      </c>
      <c r="H7740">
        <v>3</v>
      </c>
      <c r="I7740">
        <v>5</v>
      </c>
      <c r="J7740">
        <v>1</v>
      </c>
    </row>
    <row r="7741" spans="7:10">
      <c r="G7741">
        <v>1</v>
      </c>
      <c r="H7741">
        <v>3</v>
      </c>
      <c r="I7741">
        <v>5</v>
      </c>
      <c r="J7741">
        <v>2</v>
      </c>
    </row>
    <row r="7742" spans="7:10">
      <c r="G7742">
        <v>2</v>
      </c>
      <c r="H7742">
        <v>1</v>
      </c>
      <c r="I7742">
        <v>3</v>
      </c>
      <c r="J7742">
        <v>1</v>
      </c>
    </row>
    <row r="7743" spans="7:10">
      <c r="G7743">
        <v>2</v>
      </c>
      <c r="H7743">
        <v>1</v>
      </c>
      <c r="I7743">
        <v>3</v>
      </c>
      <c r="J7743">
        <v>2</v>
      </c>
    </row>
    <row r="7744" spans="7:10">
      <c r="G7744">
        <v>2</v>
      </c>
      <c r="H7744">
        <v>1</v>
      </c>
      <c r="I7744">
        <v>4</v>
      </c>
      <c r="J7744">
        <v>1</v>
      </c>
    </row>
    <row r="7745" spans="7:10">
      <c r="G7745">
        <v>2</v>
      </c>
      <c r="H7745">
        <v>1</v>
      </c>
      <c r="I7745">
        <v>4</v>
      </c>
      <c r="J7745">
        <v>2</v>
      </c>
    </row>
    <row r="7746" spans="7:10">
      <c r="G7746">
        <v>2</v>
      </c>
      <c r="H7746">
        <v>1</v>
      </c>
      <c r="I7746">
        <v>5</v>
      </c>
      <c r="J7746">
        <v>1</v>
      </c>
    </row>
    <row r="7747" spans="7:10">
      <c r="G7747">
        <v>2</v>
      </c>
      <c r="H7747">
        <v>1</v>
      </c>
      <c r="I7747">
        <v>5</v>
      </c>
      <c r="J7747">
        <v>2</v>
      </c>
    </row>
    <row r="7748" spans="7:10">
      <c r="G7748">
        <v>2</v>
      </c>
      <c r="H7748">
        <v>2</v>
      </c>
      <c r="I7748">
        <v>1</v>
      </c>
      <c r="J7748">
        <v>1</v>
      </c>
    </row>
    <row r="7749" spans="7:10">
      <c r="G7749">
        <v>2</v>
      </c>
      <c r="H7749">
        <v>2</v>
      </c>
      <c r="I7749">
        <v>1</v>
      </c>
      <c r="J7749">
        <v>2</v>
      </c>
    </row>
    <row r="7750" spans="7:10">
      <c r="G7750">
        <v>2</v>
      </c>
      <c r="H7750">
        <v>2</v>
      </c>
      <c r="I7750">
        <v>2</v>
      </c>
      <c r="J7750">
        <v>1</v>
      </c>
    </row>
    <row r="7751" spans="7:10">
      <c r="G7751">
        <v>2</v>
      </c>
      <c r="H7751">
        <v>2</v>
      </c>
      <c r="I7751">
        <v>2</v>
      </c>
      <c r="J7751">
        <v>2</v>
      </c>
    </row>
    <row r="7752" spans="7:10">
      <c r="G7752">
        <v>2</v>
      </c>
      <c r="H7752">
        <v>2</v>
      </c>
      <c r="I7752">
        <v>3</v>
      </c>
      <c r="J7752">
        <v>1</v>
      </c>
    </row>
    <row r="7753" spans="7:10">
      <c r="G7753">
        <v>2</v>
      </c>
      <c r="H7753">
        <v>2</v>
      </c>
      <c r="I7753">
        <v>3</v>
      </c>
      <c r="J7753">
        <v>2</v>
      </c>
    </row>
    <row r="7754" spans="7:10">
      <c r="G7754">
        <v>2</v>
      </c>
      <c r="H7754">
        <v>2</v>
      </c>
      <c r="I7754">
        <v>4</v>
      </c>
      <c r="J7754">
        <v>1</v>
      </c>
    </row>
    <row r="7755" spans="7:10">
      <c r="G7755">
        <v>2</v>
      </c>
      <c r="H7755">
        <v>2</v>
      </c>
      <c r="I7755">
        <v>4</v>
      </c>
      <c r="J7755">
        <v>2</v>
      </c>
    </row>
    <row r="7756" spans="7:10">
      <c r="G7756">
        <v>2</v>
      </c>
      <c r="H7756">
        <v>2</v>
      </c>
      <c r="I7756">
        <v>5</v>
      </c>
      <c r="J7756">
        <v>1</v>
      </c>
    </row>
    <row r="7757" spans="7:10">
      <c r="G7757">
        <v>2</v>
      </c>
      <c r="H7757">
        <v>2</v>
      </c>
      <c r="I7757">
        <v>5</v>
      </c>
      <c r="J7757">
        <v>2</v>
      </c>
    </row>
    <row r="7758" spans="7:10">
      <c r="G7758">
        <v>2</v>
      </c>
      <c r="H7758">
        <v>3</v>
      </c>
      <c r="I7758">
        <v>1</v>
      </c>
      <c r="J7758">
        <v>1</v>
      </c>
    </row>
    <row r="7759" spans="7:10">
      <c r="G7759">
        <v>2</v>
      </c>
      <c r="H7759">
        <v>3</v>
      </c>
      <c r="I7759">
        <v>1</v>
      </c>
      <c r="J7759">
        <v>2</v>
      </c>
    </row>
    <row r="7760" spans="7:10">
      <c r="G7760">
        <v>2</v>
      </c>
      <c r="H7760">
        <v>3</v>
      </c>
      <c r="I7760">
        <v>2</v>
      </c>
      <c r="J7760">
        <v>1</v>
      </c>
    </row>
    <row r="7761" spans="7:10">
      <c r="G7761">
        <v>2</v>
      </c>
      <c r="H7761">
        <v>3</v>
      </c>
      <c r="I7761">
        <v>2</v>
      </c>
      <c r="J7761">
        <v>2</v>
      </c>
    </row>
    <row r="7762" spans="7:10">
      <c r="G7762">
        <v>2</v>
      </c>
      <c r="H7762">
        <v>3</v>
      </c>
      <c r="I7762">
        <v>3</v>
      </c>
      <c r="J7762">
        <v>1</v>
      </c>
    </row>
    <row r="7763" spans="7:10">
      <c r="G7763">
        <v>2</v>
      </c>
      <c r="H7763">
        <v>3</v>
      </c>
      <c r="I7763">
        <v>3</v>
      </c>
      <c r="J7763">
        <v>2</v>
      </c>
    </row>
    <row r="7764" spans="7:10">
      <c r="G7764">
        <v>2</v>
      </c>
      <c r="H7764">
        <v>3</v>
      </c>
      <c r="I7764">
        <v>4</v>
      </c>
      <c r="J7764">
        <v>1</v>
      </c>
    </row>
    <row r="7765" spans="7:10">
      <c r="G7765">
        <v>2</v>
      </c>
      <c r="H7765">
        <v>3</v>
      </c>
      <c r="I7765">
        <v>4</v>
      </c>
      <c r="J7765">
        <v>2</v>
      </c>
    </row>
    <row r="7766" spans="7:10">
      <c r="G7766">
        <v>2</v>
      </c>
      <c r="H7766">
        <v>3</v>
      </c>
      <c r="I7766">
        <v>5</v>
      </c>
      <c r="J7766">
        <v>1</v>
      </c>
    </row>
    <row r="7767" spans="7:10">
      <c r="G7767">
        <v>2</v>
      </c>
      <c r="H7767">
        <v>3</v>
      </c>
      <c r="I7767">
        <v>5</v>
      </c>
      <c r="J7767">
        <v>2</v>
      </c>
    </row>
    <row r="7768" spans="7:10">
      <c r="G7768">
        <v>3</v>
      </c>
      <c r="H7768">
        <v>1</v>
      </c>
      <c r="I7768">
        <v>3</v>
      </c>
      <c r="J7768">
        <v>1</v>
      </c>
    </row>
    <row r="7769" spans="7:10">
      <c r="G7769">
        <v>3</v>
      </c>
      <c r="H7769">
        <v>1</v>
      </c>
      <c r="I7769">
        <v>3</v>
      </c>
      <c r="J7769">
        <v>2</v>
      </c>
    </row>
    <row r="7770" spans="7:10">
      <c r="G7770">
        <v>3</v>
      </c>
      <c r="H7770">
        <v>1</v>
      </c>
      <c r="I7770">
        <v>4</v>
      </c>
      <c r="J7770">
        <v>1</v>
      </c>
    </row>
    <row r="7771" spans="7:10">
      <c r="G7771">
        <v>3</v>
      </c>
      <c r="H7771">
        <v>1</v>
      </c>
      <c r="I7771">
        <v>4</v>
      </c>
      <c r="J7771">
        <v>2</v>
      </c>
    </row>
    <row r="7772" spans="7:10">
      <c r="G7772">
        <v>3</v>
      </c>
      <c r="H7772">
        <v>1</v>
      </c>
      <c r="I7772">
        <v>5</v>
      </c>
      <c r="J7772">
        <v>1</v>
      </c>
    </row>
    <row r="7773" spans="7:10">
      <c r="G7773">
        <v>3</v>
      </c>
      <c r="H7773">
        <v>1</v>
      </c>
      <c r="I7773">
        <v>5</v>
      </c>
      <c r="J7773">
        <v>2</v>
      </c>
    </row>
    <row r="7774" spans="7:10">
      <c r="G7774">
        <v>3</v>
      </c>
      <c r="H7774">
        <v>2</v>
      </c>
      <c r="I7774">
        <v>1</v>
      </c>
      <c r="J7774">
        <v>1</v>
      </c>
    </row>
    <row r="7775" spans="7:10">
      <c r="G7775">
        <v>3</v>
      </c>
      <c r="H7775">
        <v>2</v>
      </c>
      <c r="I7775">
        <v>1</v>
      </c>
      <c r="J7775">
        <v>2</v>
      </c>
    </row>
    <row r="7776" spans="7:10">
      <c r="G7776">
        <v>3</v>
      </c>
      <c r="H7776">
        <v>2</v>
      </c>
      <c r="I7776">
        <v>2</v>
      </c>
      <c r="J7776">
        <v>1</v>
      </c>
    </row>
    <row r="7777" spans="7:10">
      <c r="G7777">
        <v>3</v>
      </c>
      <c r="H7777">
        <v>2</v>
      </c>
      <c r="I7777">
        <v>2</v>
      </c>
      <c r="J7777">
        <v>2</v>
      </c>
    </row>
    <row r="7778" spans="7:10">
      <c r="G7778">
        <v>3</v>
      </c>
      <c r="H7778">
        <v>2</v>
      </c>
      <c r="I7778">
        <v>3</v>
      </c>
      <c r="J7778">
        <v>1</v>
      </c>
    </row>
    <row r="7779" spans="7:10">
      <c r="G7779">
        <v>3</v>
      </c>
      <c r="H7779">
        <v>2</v>
      </c>
      <c r="I7779">
        <v>3</v>
      </c>
      <c r="J7779">
        <v>2</v>
      </c>
    </row>
    <row r="7780" spans="7:10">
      <c r="G7780">
        <v>3</v>
      </c>
      <c r="H7780">
        <v>2</v>
      </c>
      <c r="I7780">
        <v>4</v>
      </c>
      <c r="J7780">
        <v>1</v>
      </c>
    </row>
    <row r="7781" spans="7:10">
      <c r="G7781">
        <v>3</v>
      </c>
      <c r="H7781">
        <v>2</v>
      </c>
      <c r="I7781">
        <v>4</v>
      </c>
      <c r="J7781">
        <v>2</v>
      </c>
    </row>
    <row r="7782" spans="7:10">
      <c r="G7782">
        <v>3</v>
      </c>
      <c r="H7782">
        <v>2</v>
      </c>
      <c r="I7782">
        <v>5</v>
      </c>
      <c r="J7782">
        <v>1</v>
      </c>
    </row>
    <row r="7783" spans="7:10">
      <c r="G7783">
        <v>3</v>
      </c>
      <c r="H7783">
        <v>2</v>
      </c>
      <c r="I7783">
        <v>5</v>
      </c>
      <c r="J7783">
        <v>2</v>
      </c>
    </row>
    <row r="7784" spans="7:10">
      <c r="G7784">
        <v>3</v>
      </c>
      <c r="H7784">
        <v>3</v>
      </c>
      <c r="I7784">
        <v>1</v>
      </c>
      <c r="J7784">
        <v>1</v>
      </c>
    </row>
    <row r="7785" spans="7:10">
      <c r="G7785">
        <v>3</v>
      </c>
      <c r="H7785">
        <v>3</v>
      </c>
      <c r="I7785">
        <v>1</v>
      </c>
      <c r="J7785">
        <v>2</v>
      </c>
    </row>
    <row r="7786" spans="7:10">
      <c r="G7786">
        <v>3</v>
      </c>
      <c r="H7786">
        <v>3</v>
      </c>
      <c r="I7786">
        <v>2</v>
      </c>
      <c r="J7786">
        <v>1</v>
      </c>
    </row>
    <row r="7787" spans="7:10">
      <c r="G7787">
        <v>3</v>
      </c>
      <c r="H7787">
        <v>3</v>
      </c>
      <c r="I7787">
        <v>2</v>
      </c>
      <c r="J7787">
        <v>2</v>
      </c>
    </row>
    <row r="7788" spans="7:10">
      <c r="G7788">
        <v>3</v>
      </c>
      <c r="H7788">
        <v>3</v>
      </c>
      <c r="I7788">
        <v>3</v>
      </c>
      <c r="J7788">
        <v>1</v>
      </c>
    </row>
    <row r="7789" spans="7:10">
      <c r="G7789">
        <v>3</v>
      </c>
      <c r="H7789">
        <v>3</v>
      </c>
      <c r="I7789">
        <v>3</v>
      </c>
      <c r="J7789">
        <v>2</v>
      </c>
    </row>
    <row r="7790" spans="7:10">
      <c r="G7790">
        <v>3</v>
      </c>
      <c r="H7790">
        <v>3</v>
      </c>
      <c r="I7790">
        <v>4</v>
      </c>
      <c r="J7790">
        <v>1</v>
      </c>
    </row>
    <row r="7791" spans="7:10">
      <c r="G7791">
        <v>3</v>
      </c>
      <c r="H7791">
        <v>3</v>
      </c>
      <c r="I7791">
        <v>4</v>
      </c>
      <c r="J7791">
        <v>2</v>
      </c>
    </row>
    <row r="7792" spans="7:10">
      <c r="G7792">
        <v>3</v>
      </c>
      <c r="H7792">
        <v>3</v>
      </c>
      <c r="I7792">
        <v>5</v>
      </c>
      <c r="J7792">
        <v>1</v>
      </c>
    </row>
    <row r="7793" spans="7:10">
      <c r="G7793">
        <v>3</v>
      </c>
      <c r="H7793">
        <v>3</v>
      </c>
      <c r="I7793">
        <v>5</v>
      </c>
      <c r="J7793">
        <v>2</v>
      </c>
    </row>
    <row r="7794" spans="7:10">
      <c r="G7794">
        <v>4</v>
      </c>
      <c r="H7794">
        <v>1</v>
      </c>
      <c r="I7794">
        <v>3</v>
      </c>
      <c r="J7794">
        <v>1</v>
      </c>
    </row>
    <row r="7795" spans="7:10">
      <c r="G7795">
        <v>4</v>
      </c>
      <c r="H7795">
        <v>1</v>
      </c>
      <c r="I7795">
        <v>3</v>
      </c>
      <c r="J7795">
        <v>2</v>
      </c>
    </row>
    <row r="7796" spans="7:10">
      <c r="G7796">
        <v>4</v>
      </c>
      <c r="H7796">
        <v>1</v>
      </c>
      <c r="I7796">
        <v>4</v>
      </c>
      <c r="J7796">
        <v>1</v>
      </c>
    </row>
    <row r="7797" spans="7:10">
      <c r="G7797">
        <v>4</v>
      </c>
      <c r="H7797">
        <v>1</v>
      </c>
      <c r="I7797">
        <v>4</v>
      </c>
      <c r="J7797">
        <v>2</v>
      </c>
    </row>
    <row r="7798" spans="7:10">
      <c r="G7798">
        <v>4</v>
      </c>
      <c r="H7798">
        <v>1</v>
      </c>
      <c r="I7798">
        <v>5</v>
      </c>
      <c r="J7798">
        <v>1</v>
      </c>
    </row>
    <row r="7799" spans="7:10">
      <c r="G7799">
        <v>4</v>
      </c>
      <c r="H7799">
        <v>1</v>
      </c>
      <c r="I7799">
        <v>5</v>
      </c>
      <c r="J7799">
        <v>2</v>
      </c>
    </row>
    <row r="7800" spans="7:10">
      <c r="G7800">
        <v>4</v>
      </c>
      <c r="H7800">
        <v>2</v>
      </c>
      <c r="I7800">
        <v>1</v>
      </c>
      <c r="J7800">
        <v>1</v>
      </c>
    </row>
    <row r="7801" spans="7:10">
      <c r="G7801">
        <v>4</v>
      </c>
      <c r="H7801">
        <v>2</v>
      </c>
      <c r="I7801">
        <v>1</v>
      </c>
      <c r="J7801">
        <v>2</v>
      </c>
    </row>
    <row r="7802" spans="7:10">
      <c r="G7802">
        <v>4</v>
      </c>
      <c r="H7802">
        <v>2</v>
      </c>
      <c r="I7802">
        <v>2</v>
      </c>
      <c r="J7802">
        <v>1</v>
      </c>
    </row>
    <row r="7803" spans="7:10">
      <c r="G7803">
        <v>4</v>
      </c>
      <c r="H7803">
        <v>2</v>
      </c>
      <c r="I7803">
        <v>2</v>
      </c>
      <c r="J7803">
        <v>2</v>
      </c>
    </row>
    <row r="7804" spans="7:10">
      <c r="G7804">
        <v>4</v>
      </c>
      <c r="H7804">
        <v>2</v>
      </c>
      <c r="I7804">
        <v>3</v>
      </c>
      <c r="J7804">
        <v>1</v>
      </c>
    </row>
    <row r="7805" spans="7:10">
      <c r="G7805">
        <v>4</v>
      </c>
      <c r="H7805">
        <v>2</v>
      </c>
      <c r="I7805">
        <v>3</v>
      </c>
      <c r="J7805">
        <v>2</v>
      </c>
    </row>
    <row r="7806" spans="7:10">
      <c r="G7806">
        <v>4</v>
      </c>
      <c r="H7806">
        <v>2</v>
      </c>
      <c r="I7806">
        <v>4</v>
      </c>
      <c r="J7806">
        <v>1</v>
      </c>
    </row>
    <row r="7807" spans="7:10">
      <c r="G7807">
        <v>4</v>
      </c>
      <c r="H7807">
        <v>2</v>
      </c>
      <c r="I7807">
        <v>4</v>
      </c>
      <c r="J7807">
        <v>2</v>
      </c>
    </row>
    <row r="7808" spans="7:10">
      <c r="G7808">
        <v>4</v>
      </c>
      <c r="H7808">
        <v>2</v>
      </c>
      <c r="I7808">
        <v>5</v>
      </c>
      <c r="J7808">
        <v>1</v>
      </c>
    </row>
    <row r="7809" spans="7:10">
      <c r="G7809">
        <v>4</v>
      </c>
      <c r="H7809">
        <v>2</v>
      </c>
      <c r="I7809">
        <v>5</v>
      </c>
      <c r="J7809">
        <v>2</v>
      </c>
    </row>
    <row r="7810" spans="7:10">
      <c r="G7810">
        <v>4</v>
      </c>
      <c r="H7810">
        <v>3</v>
      </c>
      <c r="I7810">
        <v>1</v>
      </c>
      <c r="J7810">
        <v>1</v>
      </c>
    </row>
    <row r="7811" spans="7:10">
      <c r="G7811">
        <v>4</v>
      </c>
      <c r="H7811">
        <v>3</v>
      </c>
      <c r="I7811">
        <v>1</v>
      </c>
      <c r="J7811">
        <v>2</v>
      </c>
    </row>
    <row r="7812" spans="7:10">
      <c r="G7812">
        <v>4</v>
      </c>
      <c r="H7812">
        <v>3</v>
      </c>
      <c r="I7812">
        <v>2</v>
      </c>
      <c r="J7812">
        <v>1</v>
      </c>
    </row>
    <row r="7813" spans="7:10">
      <c r="G7813">
        <v>4</v>
      </c>
      <c r="H7813">
        <v>3</v>
      </c>
      <c r="I7813">
        <v>2</v>
      </c>
      <c r="J7813">
        <v>2</v>
      </c>
    </row>
    <row r="7814" spans="7:10">
      <c r="G7814">
        <v>4</v>
      </c>
      <c r="H7814">
        <v>3</v>
      </c>
      <c r="I7814">
        <v>3</v>
      </c>
      <c r="J7814">
        <v>1</v>
      </c>
    </row>
    <row r="7815" spans="7:10">
      <c r="G7815">
        <v>4</v>
      </c>
      <c r="H7815">
        <v>3</v>
      </c>
      <c r="I7815">
        <v>3</v>
      </c>
      <c r="J7815">
        <v>2</v>
      </c>
    </row>
    <row r="7816" spans="7:10">
      <c r="G7816">
        <v>4</v>
      </c>
      <c r="H7816">
        <v>3</v>
      </c>
      <c r="I7816">
        <v>4</v>
      </c>
      <c r="J7816">
        <v>1</v>
      </c>
    </row>
    <row r="7817" spans="7:10">
      <c r="G7817">
        <v>4</v>
      </c>
      <c r="H7817">
        <v>3</v>
      </c>
      <c r="I7817">
        <v>4</v>
      </c>
      <c r="J7817">
        <v>2</v>
      </c>
    </row>
    <row r="7818" spans="7:10">
      <c r="G7818">
        <v>4</v>
      </c>
      <c r="H7818">
        <v>3</v>
      </c>
      <c r="I7818">
        <v>5</v>
      </c>
      <c r="J7818">
        <v>1</v>
      </c>
    </row>
    <row r="7819" spans="7:10">
      <c r="G7819">
        <v>4</v>
      </c>
      <c r="H7819">
        <v>3</v>
      </c>
      <c r="I7819">
        <v>5</v>
      </c>
      <c r="J7819">
        <v>2</v>
      </c>
    </row>
    <row r="7820" spans="7:10">
      <c r="G7820">
        <v>1</v>
      </c>
      <c r="H7820">
        <v>2</v>
      </c>
      <c r="I7820">
        <v>1</v>
      </c>
      <c r="J7820">
        <v>1</v>
      </c>
    </row>
    <row r="7821" spans="7:10">
      <c r="G7821">
        <v>1</v>
      </c>
      <c r="H7821">
        <v>2</v>
      </c>
      <c r="I7821">
        <v>1</v>
      </c>
      <c r="J7821">
        <v>2</v>
      </c>
    </row>
    <row r="7822" spans="7:10">
      <c r="G7822">
        <v>1</v>
      </c>
      <c r="H7822">
        <v>2</v>
      </c>
      <c r="I7822">
        <v>2</v>
      </c>
      <c r="J7822">
        <v>1</v>
      </c>
    </row>
    <row r="7823" spans="7:10">
      <c r="G7823">
        <v>1</v>
      </c>
      <c r="H7823">
        <v>2</v>
      </c>
      <c r="I7823">
        <v>2</v>
      </c>
      <c r="J7823">
        <v>2</v>
      </c>
    </row>
    <row r="7824" spans="7:10">
      <c r="G7824">
        <v>1</v>
      </c>
      <c r="H7824">
        <v>2</v>
      </c>
      <c r="I7824">
        <v>3</v>
      </c>
      <c r="J7824">
        <v>1</v>
      </c>
    </row>
    <row r="7825" spans="7:10">
      <c r="G7825">
        <v>1</v>
      </c>
      <c r="H7825">
        <v>2</v>
      </c>
      <c r="I7825">
        <v>3</v>
      </c>
      <c r="J7825">
        <v>2</v>
      </c>
    </row>
    <row r="7826" spans="7:10">
      <c r="G7826">
        <v>1</v>
      </c>
      <c r="H7826">
        <v>2</v>
      </c>
      <c r="I7826">
        <v>4</v>
      </c>
      <c r="J7826">
        <v>1</v>
      </c>
    </row>
    <row r="7827" spans="7:10">
      <c r="G7827">
        <v>1</v>
      </c>
      <c r="H7827">
        <v>2</v>
      </c>
      <c r="I7827">
        <v>4</v>
      </c>
      <c r="J7827">
        <v>2</v>
      </c>
    </row>
    <row r="7828" spans="7:10">
      <c r="G7828">
        <v>1</v>
      </c>
      <c r="H7828">
        <v>2</v>
      </c>
      <c r="I7828">
        <v>5</v>
      </c>
      <c r="J7828">
        <v>1</v>
      </c>
    </row>
    <row r="7829" spans="7:10">
      <c r="G7829">
        <v>1</v>
      </c>
      <c r="H7829">
        <v>2</v>
      </c>
      <c r="I7829">
        <v>5</v>
      </c>
      <c r="J7829">
        <v>2</v>
      </c>
    </row>
    <row r="7830" spans="7:10">
      <c r="G7830">
        <v>1</v>
      </c>
      <c r="H7830">
        <v>3</v>
      </c>
      <c r="I7830">
        <v>1</v>
      </c>
      <c r="J7830">
        <v>1</v>
      </c>
    </row>
    <row r="7831" spans="7:10">
      <c r="G7831">
        <v>1</v>
      </c>
      <c r="H7831">
        <v>3</v>
      </c>
      <c r="I7831">
        <v>1</v>
      </c>
      <c r="J7831">
        <v>2</v>
      </c>
    </row>
    <row r="7832" spans="7:10">
      <c r="G7832">
        <v>1</v>
      </c>
      <c r="H7832">
        <v>3</v>
      </c>
      <c r="I7832">
        <v>2</v>
      </c>
      <c r="J7832">
        <v>1</v>
      </c>
    </row>
    <row r="7833" spans="7:10">
      <c r="G7833">
        <v>1</v>
      </c>
      <c r="H7833">
        <v>3</v>
      </c>
      <c r="I7833">
        <v>2</v>
      </c>
      <c r="J7833">
        <v>2</v>
      </c>
    </row>
    <row r="7834" spans="7:10">
      <c r="G7834">
        <v>1</v>
      </c>
      <c r="H7834">
        <v>3</v>
      </c>
      <c r="I7834">
        <v>3</v>
      </c>
      <c r="J7834">
        <v>1</v>
      </c>
    </row>
    <row r="7835" spans="7:10">
      <c r="G7835">
        <v>1</v>
      </c>
      <c r="H7835">
        <v>3</v>
      </c>
      <c r="I7835">
        <v>3</v>
      </c>
      <c r="J7835">
        <v>2</v>
      </c>
    </row>
    <row r="7836" spans="7:10">
      <c r="G7836">
        <v>1</v>
      </c>
      <c r="H7836">
        <v>3</v>
      </c>
      <c r="I7836">
        <v>4</v>
      </c>
      <c r="J7836">
        <v>1</v>
      </c>
    </row>
    <row r="7837" spans="7:10">
      <c r="G7837">
        <v>1</v>
      </c>
      <c r="H7837">
        <v>3</v>
      </c>
      <c r="I7837">
        <v>4</v>
      </c>
      <c r="J7837">
        <v>2</v>
      </c>
    </row>
    <row r="7838" spans="7:10">
      <c r="G7838">
        <v>1</v>
      </c>
      <c r="H7838">
        <v>3</v>
      </c>
      <c r="I7838">
        <v>5</v>
      </c>
      <c r="J7838">
        <v>1</v>
      </c>
    </row>
    <row r="7839" spans="7:10">
      <c r="G7839">
        <v>1</v>
      </c>
      <c r="H7839">
        <v>3</v>
      </c>
      <c r="I7839">
        <v>5</v>
      </c>
      <c r="J7839">
        <v>2</v>
      </c>
    </row>
    <row r="7840" spans="7:10">
      <c r="G7840">
        <v>2</v>
      </c>
      <c r="H7840">
        <v>1</v>
      </c>
      <c r="I7840">
        <v>3</v>
      </c>
      <c r="J7840">
        <v>1</v>
      </c>
    </row>
    <row r="7841" spans="7:10">
      <c r="G7841">
        <v>2</v>
      </c>
      <c r="H7841">
        <v>1</v>
      </c>
      <c r="I7841">
        <v>3</v>
      </c>
      <c r="J7841">
        <v>2</v>
      </c>
    </row>
    <row r="7842" spans="7:10">
      <c r="G7842">
        <v>2</v>
      </c>
      <c r="H7842">
        <v>1</v>
      </c>
      <c r="I7842">
        <v>4</v>
      </c>
      <c r="J7842">
        <v>1</v>
      </c>
    </row>
    <row r="7843" spans="7:10">
      <c r="G7843">
        <v>2</v>
      </c>
      <c r="H7843">
        <v>1</v>
      </c>
      <c r="I7843">
        <v>4</v>
      </c>
      <c r="J7843">
        <v>2</v>
      </c>
    </row>
    <row r="7844" spans="7:10">
      <c r="G7844">
        <v>2</v>
      </c>
      <c r="H7844">
        <v>1</v>
      </c>
      <c r="I7844">
        <v>5</v>
      </c>
      <c r="J7844">
        <v>1</v>
      </c>
    </row>
    <row r="7845" spans="7:10">
      <c r="G7845">
        <v>2</v>
      </c>
      <c r="H7845">
        <v>1</v>
      </c>
      <c r="I7845">
        <v>5</v>
      </c>
      <c r="J7845">
        <v>2</v>
      </c>
    </row>
    <row r="7846" spans="7:10">
      <c r="G7846">
        <v>2</v>
      </c>
      <c r="H7846">
        <v>2</v>
      </c>
      <c r="I7846">
        <v>1</v>
      </c>
      <c r="J7846">
        <v>1</v>
      </c>
    </row>
    <row r="7847" spans="7:10">
      <c r="G7847">
        <v>2</v>
      </c>
      <c r="H7847">
        <v>2</v>
      </c>
      <c r="I7847">
        <v>1</v>
      </c>
      <c r="J7847">
        <v>2</v>
      </c>
    </row>
    <row r="7848" spans="7:10">
      <c r="G7848">
        <v>2</v>
      </c>
      <c r="H7848">
        <v>2</v>
      </c>
      <c r="I7848">
        <v>2</v>
      </c>
      <c r="J7848">
        <v>1</v>
      </c>
    </row>
    <row r="7849" spans="7:10">
      <c r="G7849">
        <v>2</v>
      </c>
      <c r="H7849">
        <v>2</v>
      </c>
      <c r="I7849">
        <v>2</v>
      </c>
      <c r="J7849">
        <v>2</v>
      </c>
    </row>
    <row r="7850" spans="7:10">
      <c r="G7850">
        <v>2</v>
      </c>
      <c r="H7850">
        <v>2</v>
      </c>
      <c r="I7850">
        <v>3</v>
      </c>
      <c r="J7850">
        <v>1</v>
      </c>
    </row>
    <row r="7851" spans="7:10">
      <c r="G7851">
        <v>2</v>
      </c>
      <c r="H7851">
        <v>2</v>
      </c>
      <c r="I7851">
        <v>3</v>
      </c>
      <c r="J7851">
        <v>2</v>
      </c>
    </row>
    <row r="7852" spans="7:10">
      <c r="G7852">
        <v>2</v>
      </c>
      <c r="H7852">
        <v>2</v>
      </c>
      <c r="I7852">
        <v>4</v>
      </c>
      <c r="J7852">
        <v>1</v>
      </c>
    </row>
    <row r="7853" spans="7:10">
      <c r="G7853">
        <v>2</v>
      </c>
      <c r="H7853">
        <v>2</v>
      </c>
      <c r="I7853">
        <v>4</v>
      </c>
      <c r="J7853">
        <v>2</v>
      </c>
    </row>
    <row r="7854" spans="7:10">
      <c r="G7854">
        <v>2</v>
      </c>
      <c r="H7854">
        <v>2</v>
      </c>
      <c r="I7854">
        <v>5</v>
      </c>
      <c r="J7854">
        <v>1</v>
      </c>
    </row>
    <row r="7855" spans="7:10">
      <c r="G7855">
        <v>2</v>
      </c>
      <c r="H7855">
        <v>2</v>
      </c>
      <c r="I7855">
        <v>5</v>
      </c>
      <c r="J7855">
        <v>2</v>
      </c>
    </row>
    <row r="7856" spans="7:10">
      <c r="G7856">
        <v>2</v>
      </c>
      <c r="H7856">
        <v>3</v>
      </c>
      <c r="I7856">
        <v>1</v>
      </c>
      <c r="J7856">
        <v>1</v>
      </c>
    </row>
    <row r="7857" spans="7:10">
      <c r="G7857">
        <v>2</v>
      </c>
      <c r="H7857">
        <v>3</v>
      </c>
      <c r="I7857">
        <v>1</v>
      </c>
      <c r="J7857">
        <v>2</v>
      </c>
    </row>
    <row r="7858" spans="7:10">
      <c r="G7858">
        <v>2</v>
      </c>
      <c r="H7858">
        <v>3</v>
      </c>
      <c r="I7858">
        <v>2</v>
      </c>
      <c r="J7858">
        <v>1</v>
      </c>
    </row>
    <row r="7859" spans="7:10">
      <c r="G7859">
        <v>2</v>
      </c>
      <c r="H7859">
        <v>3</v>
      </c>
      <c r="I7859">
        <v>2</v>
      </c>
      <c r="J7859">
        <v>2</v>
      </c>
    </row>
    <row r="7860" spans="7:10">
      <c r="G7860">
        <v>2</v>
      </c>
      <c r="H7860">
        <v>3</v>
      </c>
      <c r="I7860">
        <v>3</v>
      </c>
      <c r="J7860">
        <v>1</v>
      </c>
    </row>
    <row r="7861" spans="7:10">
      <c r="G7861">
        <v>2</v>
      </c>
      <c r="H7861">
        <v>3</v>
      </c>
      <c r="I7861">
        <v>3</v>
      </c>
      <c r="J7861">
        <v>2</v>
      </c>
    </row>
    <row r="7862" spans="7:10">
      <c r="G7862">
        <v>2</v>
      </c>
      <c r="H7862">
        <v>3</v>
      </c>
      <c r="I7862">
        <v>4</v>
      </c>
      <c r="J7862">
        <v>1</v>
      </c>
    </row>
    <row r="7863" spans="7:10">
      <c r="G7863">
        <v>2</v>
      </c>
      <c r="H7863">
        <v>3</v>
      </c>
      <c r="I7863">
        <v>4</v>
      </c>
      <c r="J7863">
        <v>2</v>
      </c>
    </row>
    <row r="7864" spans="7:10">
      <c r="G7864">
        <v>2</v>
      </c>
      <c r="H7864">
        <v>3</v>
      </c>
      <c r="I7864">
        <v>5</v>
      </c>
      <c r="J7864">
        <v>1</v>
      </c>
    </row>
    <row r="7865" spans="7:10">
      <c r="G7865">
        <v>2</v>
      </c>
      <c r="H7865">
        <v>3</v>
      </c>
      <c r="I7865">
        <v>5</v>
      </c>
      <c r="J7865">
        <v>2</v>
      </c>
    </row>
    <row r="7866" spans="7:10">
      <c r="G7866">
        <v>3</v>
      </c>
      <c r="H7866">
        <v>1</v>
      </c>
      <c r="I7866">
        <v>3</v>
      </c>
      <c r="J7866">
        <v>1</v>
      </c>
    </row>
    <row r="7867" spans="7:10">
      <c r="G7867">
        <v>3</v>
      </c>
      <c r="H7867">
        <v>1</v>
      </c>
      <c r="I7867">
        <v>3</v>
      </c>
      <c r="J7867">
        <v>2</v>
      </c>
    </row>
    <row r="7868" spans="7:10">
      <c r="G7868">
        <v>3</v>
      </c>
      <c r="H7868">
        <v>1</v>
      </c>
      <c r="I7868">
        <v>4</v>
      </c>
      <c r="J7868">
        <v>1</v>
      </c>
    </row>
    <row r="7869" spans="7:10">
      <c r="G7869">
        <v>3</v>
      </c>
      <c r="H7869">
        <v>1</v>
      </c>
      <c r="I7869">
        <v>4</v>
      </c>
      <c r="J7869">
        <v>2</v>
      </c>
    </row>
    <row r="7870" spans="7:10">
      <c r="G7870">
        <v>3</v>
      </c>
      <c r="H7870">
        <v>1</v>
      </c>
      <c r="I7870">
        <v>5</v>
      </c>
      <c r="J7870">
        <v>1</v>
      </c>
    </row>
    <row r="7871" spans="7:10">
      <c r="G7871">
        <v>3</v>
      </c>
      <c r="H7871">
        <v>1</v>
      </c>
      <c r="I7871">
        <v>5</v>
      </c>
      <c r="J7871">
        <v>2</v>
      </c>
    </row>
    <row r="7872" spans="7:10">
      <c r="G7872">
        <v>3</v>
      </c>
      <c r="H7872">
        <v>2</v>
      </c>
      <c r="I7872">
        <v>1</v>
      </c>
      <c r="J7872">
        <v>1</v>
      </c>
    </row>
    <row r="7873" spans="7:10">
      <c r="G7873">
        <v>3</v>
      </c>
      <c r="H7873">
        <v>2</v>
      </c>
      <c r="I7873">
        <v>1</v>
      </c>
      <c r="J7873">
        <v>2</v>
      </c>
    </row>
    <row r="7874" spans="7:10">
      <c r="G7874">
        <v>3</v>
      </c>
      <c r="H7874">
        <v>2</v>
      </c>
      <c r="I7874">
        <v>2</v>
      </c>
      <c r="J7874">
        <v>1</v>
      </c>
    </row>
    <row r="7875" spans="7:10">
      <c r="G7875">
        <v>3</v>
      </c>
      <c r="H7875">
        <v>2</v>
      </c>
      <c r="I7875">
        <v>2</v>
      </c>
      <c r="J7875">
        <v>2</v>
      </c>
    </row>
    <row r="7876" spans="7:10">
      <c r="G7876">
        <v>3</v>
      </c>
      <c r="H7876">
        <v>2</v>
      </c>
      <c r="I7876">
        <v>3</v>
      </c>
      <c r="J7876">
        <v>1</v>
      </c>
    </row>
    <row r="7877" spans="7:10">
      <c r="G7877">
        <v>3</v>
      </c>
      <c r="H7877">
        <v>2</v>
      </c>
      <c r="I7877">
        <v>3</v>
      </c>
      <c r="J7877">
        <v>2</v>
      </c>
    </row>
    <row r="7878" spans="7:10">
      <c r="G7878">
        <v>3</v>
      </c>
      <c r="H7878">
        <v>2</v>
      </c>
      <c r="I7878">
        <v>4</v>
      </c>
      <c r="J7878">
        <v>1</v>
      </c>
    </row>
    <row r="7879" spans="7:10">
      <c r="G7879">
        <v>3</v>
      </c>
      <c r="H7879">
        <v>2</v>
      </c>
      <c r="I7879">
        <v>4</v>
      </c>
      <c r="J7879">
        <v>2</v>
      </c>
    </row>
    <row r="7880" spans="7:10">
      <c r="G7880">
        <v>3</v>
      </c>
      <c r="H7880">
        <v>2</v>
      </c>
      <c r="I7880">
        <v>5</v>
      </c>
      <c r="J7880">
        <v>1</v>
      </c>
    </row>
    <row r="7881" spans="7:10">
      <c r="G7881">
        <v>3</v>
      </c>
      <c r="H7881">
        <v>2</v>
      </c>
      <c r="I7881">
        <v>5</v>
      </c>
      <c r="J7881">
        <v>2</v>
      </c>
    </row>
    <row r="7882" spans="7:10">
      <c r="G7882">
        <v>3</v>
      </c>
      <c r="H7882">
        <v>3</v>
      </c>
      <c r="I7882">
        <v>1</v>
      </c>
      <c r="J7882">
        <v>1</v>
      </c>
    </row>
    <row r="7883" spans="7:10">
      <c r="G7883">
        <v>3</v>
      </c>
      <c r="H7883">
        <v>3</v>
      </c>
      <c r="I7883">
        <v>1</v>
      </c>
      <c r="J7883">
        <v>2</v>
      </c>
    </row>
    <row r="7884" spans="7:10">
      <c r="G7884">
        <v>3</v>
      </c>
      <c r="H7884">
        <v>3</v>
      </c>
      <c r="I7884">
        <v>2</v>
      </c>
      <c r="J7884">
        <v>1</v>
      </c>
    </row>
    <row r="7885" spans="7:10">
      <c r="G7885">
        <v>3</v>
      </c>
      <c r="H7885">
        <v>3</v>
      </c>
      <c r="I7885">
        <v>2</v>
      </c>
      <c r="J7885">
        <v>2</v>
      </c>
    </row>
    <row r="7886" spans="7:10">
      <c r="G7886">
        <v>3</v>
      </c>
      <c r="H7886">
        <v>3</v>
      </c>
      <c r="I7886">
        <v>3</v>
      </c>
      <c r="J7886">
        <v>1</v>
      </c>
    </row>
    <row r="7887" spans="7:10">
      <c r="G7887">
        <v>3</v>
      </c>
      <c r="H7887">
        <v>3</v>
      </c>
      <c r="I7887">
        <v>3</v>
      </c>
      <c r="J7887">
        <v>2</v>
      </c>
    </row>
    <row r="7888" spans="7:10">
      <c r="G7888">
        <v>3</v>
      </c>
      <c r="H7888">
        <v>3</v>
      </c>
      <c r="I7888">
        <v>4</v>
      </c>
      <c r="J7888">
        <v>1</v>
      </c>
    </row>
    <row r="7889" spans="7:10">
      <c r="G7889">
        <v>3</v>
      </c>
      <c r="H7889">
        <v>3</v>
      </c>
      <c r="I7889">
        <v>4</v>
      </c>
      <c r="J7889">
        <v>2</v>
      </c>
    </row>
    <row r="7890" spans="7:10">
      <c r="G7890">
        <v>3</v>
      </c>
      <c r="H7890">
        <v>3</v>
      </c>
      <c r="I7890">
        <v>5</v>
      </c>
      <c r="J7890">
        <v>1</v>
      </c>
    </row>
    <row r="7891" spans="7:10">
      <c r="G7891">
        <v>3</v>
      </c>
      <c r="H7891">
        <v>3</v>
      </c>
      <c r="I7891">
        <v>5</v>
      </c>
      <c r="J7891">
        <v>2</v>
      </c>
    </row>
    <row r="7892" spans="7:10">
      <c r="G7892">
        <v>4</v>
      </c>
      <c r="H7892">
        <v>1</v>
      </c>
      <c r="I7892">
        <v>3</v>
      </c>
      <c r="J7892">
        <v>1</v>
      </c>
    </row>
    <row r="7893" spans="7:10">
      <c r="G7893">
        <v>4</v>
      </c>
      <c r="H7893">
        <v>1</v>
      </c>
      <c r="I7893">
        <v>3</v>
      </c>
      <c r="J7893">
        <v>2</v>
      </c>
    </row>
    <row r="7894" spans="7:10">
      <c r="G7894">
        <v>4</v>
      </c>
      <c r="H7894">
        <v>1</v>
      </c>
      <c r="I7894">
        <v>4</v>
      </c>
      <c r="J7894">
        <v>1</v>
      </c>
    </row>
    <row r="7895" spans="7:10">
      <c r="G7895">
        <v>4</v>
      </c>
      <c r="H7895">
        <v>1</v>
      </c>
      <c r="I7895">
        <v>4</v>
      </c>
      <c r="J7895">
        <v>2</v>
      </c>
    </row>
    <row r="7896" spans="7:10">
      <c r="G7896">
        <v>4</v>
      </c>
      <c r="H7896">
        <v>1</v>
      </c>
      <c r="I7896">
        <v>5</v>
      </c>
      <c r="J7896">
        <v>1</v>
      </c>
    </row>
    <row r="7897" spans="7:10">
      <c r="G7897">
        <v>4</v>
      </c>
      <c r="H7897">
        <v>1</v>
      </c>
      <c r="I7897">
        <v>5</v>
      </c>
      <c r="J7897">
        <v>2</v>
      </c>
    </row>
    <row r="7898" spans="7:10">
      <c r="G7898">
        <v>4</v>
      </c>
      <c r="H7898">
        <v>2</v>
      </c>
      <c r="I7898">
        <v>1</v>
      </c>
      <c r="J7898">
        <v>1</v>
      </c>
    </row>
    <row r="7899" spans="7:10">
      <c r="G7899">
        <v>4</v>
      </c>
      <c r="H7899">
        <v>2</v>
      </c>
      <c r="I7899">
        <v>1</v>
      </c>
      <c r="J7899">
        <v>2</v>
      </c>
    </row>
    <row r="7900" spans="7:10">
      <c r="G7900">
        <v>4</v>
      </c>
      <c r="H7900">
        <v>2</v>
      </c>
      <c r="I7900">
        <v>2</v>
      </c>
      <c r="J7900">
        <v>1</v>
      </c>
    </row>
    <row r="7901" spans="7:10">
      <c r="G7901">
        <v>4</v>
      </c>
      <c r="H7901">
        <v>2</v>
      </c>
      <c r="I7901">
        <v>2</v>
      </c>
      <c r="J7901">
        <v>2</v>
      </c>
    </row>
    <row r="7902" spans="7:10">
      <c r="G7902">
        <v>4</v>
      </c>
      <c r="H7902">
        <v>2</v>
      </c>
      <c r="I7902">
        <v>3</v>
      </c>
      <c r="J7902">
        <v>1</v>
      </c>
    </row>
    <row r="7903" spans="7:10">
      <c r="G7903">
        <v>4</v>
      </c>
      <c r="H7903">
        <v>2</v>
      </c>
      <c r="I7903">
        <v>3</v>
      </c>
      <c r="J7903">
        <v>2</v>
      </c>
    </row>
    <row r="7904" spans="7:10">
      <c r="G7904">
        <v>4</v>
      </c>
      <c r="H7904">
        <v>2</v>
      </c>
      <c r="I7904">
        <v>4</v>
      </c>
      <c r="J7904">
        <v>1</v>
      </c>
    </row>
    <row r="7905" spans="7:10">
      <c r="G7905">
        <v>4</v>
      </c>
      <c r="H7905">
        <v>2</v>
      </c>
      <c r="I7905">
        <v>4</v>
      </c>
      <c r="J7905">
        <v>2</v>
      </c>
    </row>
    <row r="7906" spans="7:10">
      <c r="G7906">
        <v>4</v>
      </c>
      <c r="H7906">
        <v>2</v>
      </c>
      <c r="I7906">
        <v>5</v>
      </c>
      <c r="J7906">
        <v>1</v>
      </c>
    </row>
    <row r="7907" spans="7:10">
      <c r="G7907">
        <v>4</v>
      </c>
      <c r="H7907">
        <v>2</v>
      </c>
      <c r="I7907">
        <v>5</v>
      </c>
      <c r="J7907">
        <v>2</v>
      </c>
    </row>
    <row r="7908" spans="7:10">
      <c r="G7908">
        <v>4</v>
      </c>
      <c r="H7908">
        <v>3</v>
      </c>
      <c r="I7908">
        <v>1</v>
      </c>
      <c r="J7908">
        <v>1</v>
      </c>
    </row>
    <row r="7909" spans="7:10">
      <c r="G7909">
        <v>4</v>
      </c>
      <c r="H7909">
        <v>3</v>
      </c>
      <c r="I7909">
        <v>1</v>
      </c>
      <c r="J7909">
        <v>2</v>
      </c>
    </row>
    <row r="7910" spans="7:10">
      <c r="G7910">
        <v>4</v>
      </c>
      <c r="H7910">
        <v>3</v>
      </c>
      <c r="I7910">
        <v>2</v>
      </c>
      <c r="J7910">
        <v>1</v>
      </c>
    </row>
    <row r="7911" spans="7:10">
      <c r="G7911">
        <v>4</v>
      </c>
      <c r="H7911">
        <v>3</v>
      </c>
      <c r="I7911">
        <v>2</v>
      </c>
      <c r="J7911">
        <v>2</v>
      </c>
    </row>
    <row r="7912" spans="7:10">
      <c r="G7912">
        <v>4</v>
      </c>
      <c r="H7912">
        <v>3</v>
      </c>
      <c r="I7912">
        <v>3</v>
      </c>
      <c r="J7912">
        <v>1</v>
      </c>
    </row>
    <row r="7913" spans="7:10">
      <c r="G7913">
        <v>4</v>
      </c>
      <c r="H7913">
        <v>3</v>
      </c>
      <c r="I7913">
        <v>3</v>
      </c>
      <c r="J7913">
        <v>2</v>
      </c>
    </row>
    <row r="7914" spans="7:10">
      <c r="G7914">
        <v>4</v>
      </c>
      <c r="H7914">
        <v>3</v>
      </c>
      <c r="I7914">
        <v>4</v>
      </c>
      <c r="J7914">
        <v>1</v>
      </c>
    </row>
    <row r="7915" spans="7:10">
      <c r="G7915">
        <v>4</v>
      </c>
      <c r="H7915">
        <v>3</v>
      </c>
      <c r="I7915">
        <v>4</v>
      </c>
      <c r="J7915">
        <v>2</v>
      </c>
    </row>
    <row r="7916" spans="7:10">
      <c r="G7916">
        <v>4</v>
      </c>
      <c r="H7916">
        <v>3</v>
      </c>
      <c r="I7916">
        <v>5</v>
      </c>
      <c r="J7916">
        <v>1</v>
      </c>
    </row>
    <row r="7917" spans="7:10">
      <c r="G7917">
        <v>4</v>
      </c>
      <c r="H7917">
        <v>3</v>
      </c>
      <c r="I7917">
        <v>5</v>
      </c>
      <c r="J7917">
        <v>2</v>
      </c>
    </row>
    <row r="7918" spans="7:10">
      <c r="G7918">
        <v>1</v>
      </c>
      <c r="H7918">
        <v>2</v>
      </c>
      <c r="I7918">
        <v>1</v>
      </c>
      <c r="J7918">
        <v>1</v>
      </c>
    </row>
    <row r="7919" spans="7:10">
      <c r="G7919">
        <v>1</v>
      </c>
      <c r="H7919">
        <v>2</v>
      </c>
      <c r="I7919">
        <v>1</v>
      </c>
      <c r="J7919">
        <v>2</v>
      </c>
    </row>
    <row r="7920" spans="7:10">
      <c r="G7920">
        <v>1</v>
      </c>
      <c r="H7920">
        <v>2</v>
      </c>
      <c r="I7920">
        <v>2</v>
      </c>
      <c r="J7920">
        <v>1</v>
      </c>
    </row>
    <row r="7921" spans="7:10">
      <c r="G7921">
        <v>1</v>
      </c>
      <c r="H7921">
        <v>2</v>
      </c>
      <c r="I7921">
        <v>2</v>
      </c>
      <c r="J7921">
        <v>2</v>
      </c>
    </row>
    <row r="7922" spans="7:10">
      <c r="G7922">
        <v>1</v>
      </c>
      <c r="H7922">
        <v>2</v>
      </c>
      <c r="I7922">
        <v>3</v>
      </c>
      <c r="J7922">
        <v>1</v>
      </c>
    </row>
    <row r="7923" spans="7:10">
      <c r="G7923">
        <v>1</v>
      </c>
      <c r="H7923">
        <v>2</v>
      </c>
      <c r="I7923">
        <v>3</v>
      </c>
      <c r="J7923">
        <v>2</v>
      </c>
    </row>
    <row r="7924" spans="7:10">
      <c r="G7924">
        <v>1</v>
      </c>
      <c r="H7924">
        <v>2</v>
      </c>
      <c r="I7924">
        <v>4</v>
      </c>
      <c r="J7924">
        <v>1</v>
      </c>
    </row>
    <row r="7925" spans="7:10">
      <c r="G7925">
        <v>1</v>
      </c>
      <c r="H7925">
        <v>2</v>
      </c>
      <c r="I7925">
        <v>4</v>
      </c>
      <c r="J7925">
        <v>2</v>
      </c>
    </row>
    <row r="7926" spans="7:10">
      <c r="G7926">
        <v>1</v>
      </c>
      <c r="H7926">
        <v>2</v>
      </c>
      <c r="I7926">
        <v>5</v>
      </c>
      <c r="J7926">
        <v>1</v>
      </c>
    </row>
    <row r="7927" spans="7:10">
      <c r="G7927">
        <v>1</v>
      </c>
      <c r="H7927">
        <v>2</v>
      </c>
      <c r="I7927">
        <v>5</v>
      </c>
      <c r="J7927">
        <v>2</v>
      </c>
    </row>
    <row r="7928" spans="7:10">
      <c r="G7928">
        <v>1</v>
      </c>
      <c r="H7928">
        <v>3</v>
      </c>
      <c r="I7928">
        <v>1</v>
      </c>
      <c r="J7928">
        <v>1</v>
      </c>
    </row>
    <row r="7929" spans="7:10">
      <c r="G7929">
        <v>1</v>
      </c>
      <c r="H7929">
        <v>3</v>
      </c>
      <c r="I7929">
        <v>1</v>
      </c>
      <c r="J7929">
        <v>2</v>
      </c>
    </row>
    <row r="7930" spans="7:10">
      <c r="G7930">
        <v>1</v>
      </c>
      <c r="H7930">
        <v>3</v>
      </c>
      <c r="I7930">
        <v>2</v>
      </c>
      <c r="J7930">
        <v>1</v>
      </c>
    </row>
    <row r="7931" spans="7:10">
      <c r="G7931">
        <v>1</v>
      </c>
      <c r="H7931">
        <v>3</v>
      </c>
      <c r="I7931">
        <v>2</v>
      </c>
      <c r="J7931">
        <v>2</v>
      </c>
    </row>
    <row r="7932" spans="7:10">
      <c r="G7932">
        <v>1</v>
      </c>
      <c r="H7932">
        <v>3</v>
      </c>
      <c r="I7932">
        <v>3</v>
      </c>
      <c r="J7932">
        <v>1</v>
      </c>
    </row>
    <row r="7933" spans="7:10">
      <c r="G7933">
        <v>1</v>
      </c>
      <c r="H7933">
        <v>3</v>
      </c>
      <c r="I7933">
        <v>3</v>
      </c>
      <c r="J7933">
        <v>2</v>
      </c>
    </row>
    <row r="7934" spans="7:10">
      <c r="G7934">
        <v>1</v>
      </c>
      <c r="H7934">
        <v>3</v>
      </c>
      <c r="I7934">
        <v>4</v>
      </c>
      <c r="J7934">
        <v>1</v>
      </c>
    </row>
    <row r="7935" spans="7:10">
      <c r="G7935">
        <v>1</v>
      </c>
      <c r="H7935">
        <v>3</v>
      </c>
      <c r="I7935">
        <v>4</v>
      </c>
      <c r="J7935">
        <v>2</v>
      </c>
    </row>
    <row r="7936" spans="7:10">
      <c r="G7936">
        <v>1</v>
      </c>
      <c r="H7936">
        <v>3</v>
      </c>
      <c r="I7936">
        <v>5</v>
      </c>
      <c r="J7936">
        <v>1</v>
      </c>
    </row>
    <row r="7937" spans="7:10">
      <c r="G7937">
        <v>1</v>
      </c>
      <c r="H7937">
        <v>3</v>
      </c>
      <c r="I7937">
        <v>5</v>
      </c>
      <c r="J7937">
        <v>2</v>
      </c>
    </row>
    <row r="7938" spans="7:10">
      <c r="G7938">
        <v>2</v>
      </c>
      <c r="H7938">
        <v>1</v>
      </c>
      <c r="I7938">
        <v>3</v>
      </c>
      <c r="J7938">
        <v>1</v>
      </c>
    </row>
    <row r="7939" spans="7:10">
      <c r="G7939">
        <v>2</v>
      </c>
      <c r="H7939">
        <v>1</v>
      </c>
      <c r="I7939">
        <v>3</v>
      </c>
      <c r="J7939">
        <v>2</v>
      </c>
    </row>
    <row r="7940" spans="7:10">
      <c r="G7940">
        <v>2</v>
      </c>
      <c r="H7940">
        <v>1</v>
      </c>
      <c r="I7940">
        <v>4</v>
      </c>
      <c r="J7940">
        <v>1</v>
      </c>
    </row>
    <row r="7941" spans="7:10">
      <c r="G7941">
        <v>2</v>
      </c>
      <c r="H7941">
        <v>1</v>
      </c>
      <c r="I7941">
        <v>4</v>
      </c>
      <c r="J7941">
        <v>2</v>
      </c>
    </row>
    <row r="7942" spans="7:10">
      <c r="G7942">
        <v>2</v>
      </c>
      <c r="H7942">
        <v>1</v>
      </c>
      <c r="I7942">
        <v>5</v>
      </c>
      <c r="J7942">
        <v>1</v>
      </c>
    </row>
    <row r="7943" spans="7:10">
      <c r="G7943">
        <v>2</v>
      </c>
      <c r="H7943">
        <v>1</v>
      </c>
      <c r="I7943">
        <v>5</v>
      </c>
      <c r="J7943">
        <v>2</v>
      </c>
    </row>
    <row r="7944" spans="7:10">
      <c r="G7944">
        <v>2</v>
      </c>
      <c r="H7944">
        <v>2</v>
      </c>
      <c r="I7944">
        <v>1</v>
      </c>
      <c r="J7944">
        <v>1</v>
      </c>
    </row>
    <row r="7945" spans="7:10">
      <c r="G7945">
        <v>2</v>
      </c>
      <c r="H7945">
        <v>2</v>
      </c>
      <c r="I7945">
        <v>1</v>
      </c>
      <c r="J7945">
        <v>2</v>
      </c>
    </row>
    <row r="7946" spans="7:10">
      <c r="G7946">
        <v>2</v>
      </c>
      <c r="H7946">
        <v>2</v>
      </c>
      <c r="I7946">
        <v>2</v>
      </c>
      <c r="J7946">
        <v>1</v>
      </c>
    </row>
    <row r="7947" spans="7:10">
      <c r="G7947">
        <v>2</v>
      </c>
      <c r="H7947">
        <v>2</v>
      </c>
      <c r="I7947">
        <v>2</v>
      </c>
      <c r="J7947">
        <v>2</v>
      </c>
    </row>
    <row r="7948" spans="7:10">
      <c r="G7948">
        <v>2</v>
      </c>
      <c r="H7948">
        <v>2</v>
      </c>
      <c r="I7948">
        <v>3</v>
      </c>
      <c r="J7948">
        <v>1</v>
      </c>
    </row>
    <row r="7949" spans="7:10">
      <c r="G7949">
        <v>2</v>
      </c>
      <c r="H7949">
        <v>2</v>
      </c>
      <c r="I7949">
        <v>3</v>
      </c>
      <c r="J7949">
        <v>2</v>
      </c>
    </row>
    <row r="7950" spans="7:10">
      <c r="G7950">
        <v>2</v>
      </c>
      <c r="H7950">
        <v>2</v>
      </c>
      <c r="I7950">
        <v>4</v>
      </c>
      <c r="J7950">
        <v>1</v>
      </c>
    </row>
    <row r="7951" spans="7:10">
      <c r="G7951">
        <v>2</v>
      </c>
      <c r="H7951">
        <v>2</v>
      </c>
      <c r="I7951">
        <v>4</v>
      </c>
      <c r="J7951">
        <v>2</v>
      </c>
    </row>
    <row r="7952" spans="7:10">
      <c r="G7952">
        <v>2</v>
      </c>
      <c r="H7952">
        <v>2</v>
      </c>
      <c r="I7952">
        <v>5</v>
      </c>
      <c r="J7952">
        <v>1</v>
      </c>
    </row>
    <row r="7953" spans="7:10">
      <c r="G7953">
        <v>2</v>
      </c>
      <c r="H7953">
        <v>2</v>
      </c>
      <c r="I7953">
        <v>5</v>
      </c>
      <c r="J7953">
        <v>2</v>
      </c>
    </row>
    <row r="7954" spans="7:10">
      <c r="G7954">
        <v>2</v>
      </c>
      <c r="H7954">
        <v>3</v>
      </c>
      <c r="I7954">
        <v>1</v>
      </c>
      <c r="J7954">
        <v>1</v>
      </c>
    </row>
    <row r="7955" spans="7:10">
      <c r="G7955">
        <v>2</v>
      </c>
      <c r="H7955">
        <v>3</v>
      </c>
      <c r="I7955">
        <v>1</v>
      </c>
      <c r="J7955">
        <v>2</v>
      </c>
    </row>
    <row r="7956" spans="7:10">
      <c r="G7956">
        <v>2</v>
      </c>
      <c r="H7956">
        <v>3</v>
      </c>
      <c r="I7956">
        <v>2</v>
      </c>
      <c r="J7956">
        <v>1</v>
      </c>
    </row>
    <row r="7957" spans="7:10">
      <c r="G7957">
        <v>2</v>
      </c>
      <c r="H7957">
        <v>3</v>
      </c>
      <c r="I7957">
        <v>2</v>
      </c>
      <c r="J7957">
        <v>2</v>
      </c>
    </row>
    <row r="7958" spans="7:10">
      <c r="G7958">
        <v>2</v>
      </c>
      <c r="H7958">
        <v>3</v>
      </c>
      <c r="I7958">
        <v>3</v>
      </c>
      <c r="J7958">
        <v>1</v>
      </c>
    </row>
    <row r="7959" spans="7:10">
      <c r="G7959">
        <v>2</v>
      </c>
      <c r="H7959">
        <v>3</v>
      </c>
      <c r="I7959">
        <v>3</v>
      </c>
      <c r="J7959">
        <v>2</v>
      </c>
    </row>
    <row r="7960" spans="7:10">
      <c r="G7960">
        <v>2</v>
      </c>
      <c r="H7960">
        <v>3</v>
      </c>
      <c r="I7960">
        <v>4</v>
      </c>
      <c r="J7960">
        <v>1</v>
      </c>
    </row>
    <row r="7961" spans="7:10">
      <c r="G7961">
        <v>2</v>
      </c>
      <c r="H7961">
        <v>3</v>
      </c>
      <c r="I7961">
        <v>4</v>
      </c>
      <c r="J7961">
        <v>2</v>
      </c>
    </row>
    <row r="7962" spans="7:10">
      <c r="G7962">
        <v>2</v>
      </c>
      <c r="H7962">
        <v>3</v>
      </c>
      <c r="I7962">
        <v>5</v>
      </c>
      <c r="J7962">
        <v>1</v>
      </c>
    </row>
    <row r="7963" spans="7:10">
      <c r="G7963">
        <v>2</v>
      </c>
      <c r="H7963">
        <v>3</v>
      </c>
      <c r="I7963">
        <v>5</v>
      </c>
      <c r="J7963">
        <v>2</v>
      </c>
    </row>
    <row r="7964" spans="7:10">
      <c r="G7964">
        <v>3</v>
      </c>
      <c r="H7964">
        <v>1</v>
      </c>
      <c r="I7964">
        <v>3</v>
      </c>
      <c r="J7964">
        <v>1</v>
      </c>
    </row>
    <row r="7965" spans="7:10">
      <c r="G7965">
        <v>3</v>
      </c>
      <c r="H7965">
        <v>1</v>
      </c>
      <c r="I7965">
        <v>3</v>
      </c>
      <c r="J7965">
        <v>2</v>
      </c>
    </row>
    <row r="7966" spans="7:10">
      <c r="G7966">
        <v>3</v>
      </c>
      <c r="H7966">
        <v>1</v>
      </c>
      <c r="I7966">
        <v>4</v>
      </c>
      <c r="J7966">
        <v>1</v>
      </c>
    </row>
    <row r="7967" spans="7:10">
      <c r="G7967">
        <v>3</v>
      </c>
      <c r="H7967">
        <v>1</v>
      </c>
      <c r="I7967">
        <v>4</v>
      </c>
      <c r="J7967">
        <v>2</v>
      </c>
    </row>
    <row r="7968" spans="7:10">
      <c r="G7968">
        <v>3</v>
      </c>
      <c r="H7968">
        <v>1</v>
      </c>
      <c r="I7968">
        <v>5</v>
      </c>
      <c r="J7968">
        <v>1</v>
      </c>
    </row>
    <row r="7969" spans="7:10">
      <c r="G7969">
        <v>3</v>
      </c>
      <c r="H7969">
        <v>1</v>
      </c>
      <c r="I7969">
        <v>5</v>
      </c>
      <c r="J7969">
        <v>2</v>
      </c>
    </row>
    <row r="7970" spans="7:10">
      <c r="G7970">
        <v>3</v>
      </c>
      <c r="H7970">
        <v>2</v>
      </c>
      <c r="I7970">
        <v>1</v>
      </c>
      <c r="J7970">
        <v>1</v>
      </c>
    </row>
    <row r="7971" spans="7:10">
      <c r="G7971">
        <v>3</v>
      </c>
      <c r="H7971">
        <v>2</v>
      </c>
      <c r="I7971">
        <v>1</v>
      </c>
      <c r="J7971">
        <v>2</v>
      </c>
    </row>
    <row r="7972" spans="7:10">
      <c r="G7972">
        <v>3</v>
      </c>
      <c r="H7972">
        <v>2</v>
      </c>
      <c r="I7972">
        <v>2</v>
      </c>
      <c r="J7972">
        <v>1</v>
      </c>
    </row>
    <row r="7973" spans="7:10">
      <c r="G7973">
        <v>3</v>
      </c>
      <c r="H7973">
        <v>2</v>
      </c>
      <c r="I7973">
        <v>2</v>
      </c>
      <c r="J7973">
        <v>2</v>
      </c>
    </row>
    <row r="7974" spans="7:10">
      <c r="G7974">
        <v>3</v>
      </c>
      <c r="H7974">
        <v>2</v>
      </c>
      <c r="I7974">
        <v>3</v>
      </c>
      <c r="J7974">
        <v>1</v>
      </c>
    </row>
    <row r="7975" spans="7:10">
      <c r="G7975">
        <v>3</v>
      </c>
      <c r="H7975">
        <v>2</v>
      </c>
      <c r="I7975">
        <v>3</v>
      </c>
      <c r="J7975">
        <v>2</v>
      </c>
    </row>
    <row r="7976" spans="7:10">
      <c r="G7976">
        <v>3</v>
      </c>
      <c r="H7976">
        <v>2</v>
      </c>
      <c r="I7976">
        <v>4</v>
      </c>
      <c r="J7976">
        <v>1</v>
      </c>
    </row>
    <row r="7977" spans="7:10">
      <c r="G7977">
        <v>3</v>
      </c>
      <c r="H7977">
        <v>2</v>
      </c>
      <c r="I7977">
        <v>4</v>
      </c>
      <c r="J7977">
        <v>2</v>
      </c>
    </row>
    <row r="7978" spans="7:10">
      <c r="G7978">
        <v>3</v>
      </c>
      <c r="H7978">
        <v>2</v>
      </c>
      <c r="I7978">
        <v>5</v>
      </c>
      <c r="J7978">
        <v>1</v>
      </c>
    </row>
    <row r="7979" spans="7:10">
      <c r="G7979">
        <v>3</v>
      </c>
      <c r="H7979">
        <v>2</v>
      </c>
      <c r="I7979">
        <v>5</v>
      </c>
      <c r="J7979">
        <v>2</v>
      </c>
    </row>
    <row r="7980" spans="7:10">
      <c r="G7980">
        <v>3</v>
      </c>
      <c r="H7980">
        <v>3</v>
      </c>
      <c r="I7980">
        <v>1</v>
      </c>
      <c r="J7980">
        <v>1</v>
      </c>
    </row>
    <row r="7981" spans="7:10">
      <c r="G7981">
        <v>3</v>
      </c>
      <c r="H7981">
        <v>3</v>
      </c>
      <c r="I7981">
        <v>1</v>
      </c>
      <c r="J7981">
        <v>2</v>
      </c>
    </row>
    <row r="7982" spans="7:10">
      <c r="G7982">
        <v>3</v>
      </c>
      <c r="H7982">
        <v>3</v>
      </c>
      <c r="I7982">
        <v>2</v>
      </c>
      <c r="J7982">
        <v>1</v>
      </c>
    </row>
    <row r="7983" spans="7:10">
      <c r="G7983">
        <v>3</v>
      </c>
      <c r="H7983">
        <v>3</v>
      </c>
      <c r="I7983">
        <v>2</v>
      </c>
      <c r="J7983">
        <v>2</v>
      </c>
    </row>
    <row r="7984" spans="7:10">
      <c r="G7984">
        <v>3</v>
      </c>
      <c r="H7984">
        <v>3</v>
      </c>
      <c r="I7984">
        <v>3</v>
      </c>
      <c r="J7984">
        <v>1</v>
      </c>
    </row>
    <row r="7985" spans="7:10">
      <c r="G7985">
        <v>3</v>
      </c>
      <c r="H7985">
        <v>3</v>
      </c>
      <c r="I7985">
        <v>3</v>
      </c>
      <c r="J7985">
        <v>2</v>
      </c>
    </row>
    <row r="7986" spans="7:10">
      <c r="G7986">
        <v>3</v>
      </c>
      <c r="H7986">
        <v>3</v>
      </c>
      <c r="I7986">
        <v>4</v>
      </c>
      <c r="J7986">
        <v>1</v>
      </c>
    </row>
    <row r="7987" spans="7:10">
      <c r="G7987">
        <v>3</v>
      </c>
      <c r="H7987">
        <v>3</v>
      </c>
      <c r="I7987">
        <v>4</v>
      </c>
      <c r="J7987">
        <v>2</v>
      </c>
    </row>
    <row r="7988" spans="7:10">
      <c r="G7988">
        <v>3</v>
      </c>
      <c r="H7988">
        <v>3</v>
      </c>
      <c r="I7988">
        <v>5</v>
      </c>
      <c r="J7988">
        <v>1</v>
      </c>
    </row>
    <row r="7989" spans="7:10">
      <c r="G7989">
        <v>3</v>
      </c>
      <c r="H7989">
        <v>3</v>
      </c>
      <c r="I7989">
        <v>5</v>
      </c>
      <c r="J7989">
        <v>2</v>
      </c>
    </row>
    <row r="7990" spans="7:10">
      <c r="G7990">
        <v>4</v>
      </c>
      <c r="H7990">
        <v>1</v>
      </c>
      <c r="I7990">
        <v>3</v>
      </c>
      <c r="J7990">
        <v>1</v>
      </c>
    </row>
    <row r="7991" spans="7:10">
      <c r="G7991">
        <v>4</v>
      </c>
      <c r="H7991">
        <v>1</v>
      </c>
      <c r="I7991">
        <v>3</v>
      </c>
      <c r="J7991">
        <v>2</v>
      </c>
    </row>
    <row r="7992" spans="7:10">
      <c r="G7992">
        <v>4</v>
      </c>
      <c r="H7992">
        <v>1</v>
      </c>
      <c r="I7992">
        <v>4</v>
      </c>
      <c r="J7992">
        <v>1</v>
      </c>
    </row>
    <row r="7993" spans="7:10">
      <c r="G7993">
        <v>4</v>
      </c>
      <c r="H7993">
        <v>1</v>
      </c>
      <c r="I7993">
        <v>4</v>
      </c>
      <c r="J7993">
        <v>2</v>
      </c>
    </row>
    <row r="7994" spans="7:10">
      <c r="G7994">
        <v>4</v>
      </c>
      <c r="H7994">
        <v>1</v>
      </c>
      <c r="I7994">
        <v>5</v>
      </c>
      <c r="J7994">
        <v>1</v>
      </c>
    </row>
    <row r="7995" spans="7:10">
      <c r="G7995">
        <v>4</v>
      </c>
      <c r="H7995">
        <v>1</v>
      </c>
      <c r="I7995">
        <v>5</v>
      </c>
      <c r="J7995">
        <v>2</v>
      </c>
    </row>
    <row r="7996" spans="7:10">
      <c r="G7996">
        <v>4</v>
      </c>
      <c r="H7996">
        <v>2</v>
      </c>
      <c r="I7996">
        <v>1</v>
      </c>
      <c r="J7996">
        <v>1</v>
      </c>
    </row>
    <row r="7997" spans="7:10">
      <c r="G7997">
        <v>4</v>
      </c>
      <c r="H7997">
        <v>2</v>
      </c>
      <c r="I7997">
        <v>1</v>
      </c>
      <c r="J7997">
        <v>2</v>
      </c>
    </row>
    <row r="7998" spans="7:10">
      <c r="G7998">
        <v>4</v>
      </c>
      <c r="H7998">
        <v>2</v>
      </c>
      <c r="I7998">
        <v>2</v>
      </c>
      <c r="J7998">
        <v>1</v>
      </c>
    </row>
    <row r="7999" spans="7:10">
      <c r="G7999">
        <v>4</v>
      </c>
      <c r="H7999">
        <v>2</v>
      </c>
      <c r="I7999">
        <v>2</v>
      </c>
      <c r="J7999">
        <v>2</v>
      </c>
    </row>
    <row r="8000" spans="7:10">
      <c r="G8000">
        <v>4</v>
      </c>
      <c r="H8000">
        <v>2</v>
      </c>
      <c r="I8000">
        <v>3</v>
      </c>
      <c r="J8000">
        <v>1</v>
      </c>
    </row>
    <row r="8001" spans="7:10">
      <c r="G8001">
        <v>4</v>
      </c>
      <c r="H8001">
        <v>2</v>
      </c>
      <c r="I8001">
        <v>3</v>
      </c>
      <c r="J8001">
        <v>2</v>
      </c>
    </row>
    <row r="8002" spans="7:10">
      <c r="G8002">
        <v>4</v>
      </c>
      <c r="H8002">
        <v>2</v>
      </c>
      <c r="I8002">
        <v>4</v>
      </c>
      <c r="J8002">
        <v>1</v>
      </c>
    </row>
    <row r="8003" spans="7:10">
      <c r="G8003">
        <v>4</v>
      </c>
      <c r="H8003">
        <v>2</v>
      </c>
      <c r="I8003">
        <v>4</v>
      </c>
      <c r="J8003">
        <v>2</v>
      </c>
    </row>
    <row r="8004" spans="7:10">
      <c r="G8004">
        <v>4</v>
      </c>
      <c r="H8004">
        <v>2</v>
      </c>
      <c r="I8004">
        <v>5</v>
      </c>
      <c r="J8004">
        <v>1</v>
      </c>
    </row>
    <row r="8005" spans="7:10">
      <c r="G8005">
        <v>4</v>
      </c>
      <c r="H8005">
        <v>2</v>
      </c>
      <c r="I8005">
        <v>5</v>
      </c>
      <c r="J8005">
        <v>2</v>
      </c>
    </row>
    <row r="8006" spans="7:10">
      <c r="G8006">
        <v>4</v>
      </c>
      <c r="H8006">
        <v>3</v>
      </c>
      <c r="I8006">
        <v>1</v>
      </c>
      <c r="J8006">
        <v>1</v>
      </c>
    </row>
    <row r="8007" spans="7:10">
      <c r="G8007">
        <v>4</v>
      </c>
      <c r="H8007">
        <v>3</v>
      </c>
      <c r="I8007">
        <v>1</v>
      </c>
      <c r="J8007">
        <v>2</v>
      </c>
    </row>
    <row r="8008" spans="7:10">
      <c r="G8008">
        <v>4</v>
      </c>
      <c r="H8008">
        <v>3</v>
      </c>
      <c r="I8008">
        <v>2</v>
      </c>
      <c r="J8008">
        <v>1</v>
      </c>
    </row>
    <row r="8009" spans="7:10">
      <c r="G8009">
        <v>4</v>
      </c>
      <c r="H8009">
        <v>3</v>
      </c>
      <c r="I8009">
        <v>2</v>
      </c>
      <c r="J8009">
        <v>2</v>
      </c>
    </row>
    <row r="8010" spans="7:10">
      <c r="G8010">
        <v>4</v>
      </c>
      <c r="H8010">
        <v>3</v>
      </c>
      <c r="I8010">
        <v>3</v>
      </c>
      <c r="J8010">
        <v>1</v>
      </c>
    </row>
    <row r="8011" spans="7:10">
      <c r="G8011">
        <v>4</v>
      </c>
      <c r="H8011">
        <v>3</v>
      </c>
      <c r="I8011">
        <v>3</v>
      </c>
      <c r="J8011">
        <v>2</v>
      </c>
    </row>
    <row r="8012" spans="7:10">
      <c r="G8012">
        <v>4</v>
      </c>
      <c r="H8012">
        <v>3</v>
      </c>
      <c r="I8012">
        <v>4</v>
      </c>
      <c r="J8012">
        <v>1</v>
      </c>
    </row>
    <row r="8013" spans="7:10">
      <c r="G8013">
        <v>4</v>
      </c>
      <c r="H8013">
        <v>3</v>
      </c>
      <c r="I8013">
        <v>4</v>
      </c>
      <c r="J8013">
        <v>2</v>
      </c>
    </row>
    <row r="8014" spans="7:10">
      <c r="G8014">
        <v>4</v>
      </c>
      <c r="H8014">
        <v>3</v>
      </c>
      <c r="I8014">
        <v>5</v>
      </c>
      <c r="J8014">
        <v>1</v>
      </c>
    </row>
    <row r="8015" spans="7:10">
      <c r="G8015">
        <v>4</v>
      </c>
      <c r="H8015">
        <v>3</v>
      </c>
      <c r="I8015">
        <v>5</v>
      </c>
      <c r="J8015">
        <v>2</v>
      </c>
    </row>
    <row r="8016" spans="7:10">
      <c r="G8016">
        <v>2</v>
      </c>
      <c r="H8016">
        <v>1</v>
      </c>
      <c r="I8016">
        <v>3</v>
      </c>
      <c r="J8016">
        <v>1</v>
      </c>
    </row>
    <row r="8017" spans="7:10">
      <c r="G8017">
        <v>2</v>
      </c>
      <c r="H8017">
        <v>1</v>
      </c>
      <c r="I8017">
        <v>3</v>
      </c>
      <c r="J8017">
        <v>2</v>
      </c>
    </row>
    <row r="8018" spans="7:10">
      <c r="G8018">
        <v>2</v>
      </c>
      <c r="H8018">
        <v>1</v>
      </c>
      <c r="I8018">
        <v>4</v>
      </c>
      <c r="J8018">
        <v>1</v>
      </c>
    </row>
    <row r="8019" spans="7:10">
      <c r="G8019">
        <v>2</v>
      </c>
      <c r="H8019">
        <v>1</v>
      </c>
      <c r="I8019">
        <v>4</v>
      </c>
      <c r="J8019">
        <v>2</v>
      </c>
    </row>
    <row r="8020" spans="7:10">
      <c r="G8020">
        <v>2</v>
      </c>
      <c r="H8020">
        <v>1</v>
      </c>
      <c r="I8020">
        <v>5</v>
      </c>
      <c r="J8020">
        <v>1</v>
      </c>
    </row>
    <row r="8021" spans="7:10">
      <c r="G8021">
        <v>2</v>
      </c>
      <c r="H8021">
        <v>1</v>
      </c>
      <c r="I8021">
        <v>5</v>
      </c>
      <c r="J8021">
        <v>2</v>
      </c>
    </row>
    <row r="8022" spans="7:10">
      <c r="G8022">
        <v>2</v>
      </c>
      <c r="H8022">
        <v>2</v>
      </c>
      <c r="I8022">
        <v>1</v>
      </c>
      <c r="J8022">
        <v>1</v>
      </c>
    </row>
    <row r="8023" spans="7:10">
      <c r="G8023">
        <v>2</v>
      </c>
      <c r="H8023">
        <v>2</v>
      </c>
      <c r="I8023">
        <v>1</v>
      </c>
      <c r="J8023">
        <v>2</v>
      </c>
    </row>
    <row r="8024" spans="7:10">
      <c r="G8024">
        <v>2</v>
      </c>
      <c r="H8024">
        <v>2</v>
      </c>
      <c r="I8024">
        <v>2</v>
      </c>
      <c r="J8024">
        <v>1</v>
      </c>
    </row>
    <row r="8025" spans="7:10">
      <c r="G8025">
        <v>2</v>
      </c>
      <c r="H8025">
        <v>2</v>
      </c>
      <c r="I8025">
        <v>2</v>
      </c>
      <c r="J8025">
        <v>2</v>
      </c>
    </row>
    <row r="8026" spans="7:10">
      <c r="G8026">
        <v>2</v>
      </c>
      <c r="H8026">
        <v>2</v>
      </c>
      <c r="I8026">
        <v>3</v>
      </c>
      <c r="J8026">
        <v>1</v>
      </c>
    </row>
    <row r="8027" spans="7:10">
      <c r="G8027">
        <v>2</v>
      </c>
      <c r="H8027">
        <v>2</v>
      </c>
      <c r="I8027">
        <v>3</v>
      </c>
      <c r="J8027">
        <v>2</v>
      </c>
    </row>
    <row r="8028" spans="7:10">
      <c r="G8028">
        <v>2</v>
      </c>
      <c r="H8028">
        <v>2</v>
      </c>
      <c r="I8028">
        <v>4</v>
      </c>
      <c r="J8028">
        <v>1</v>
      </c>
    </row>
    <row r="8029" spans="7:10">
      <c r="G8029">
        <v>2</v>
      </c>
      <c r="H8029">
        <v>2</v>
      </c>
      <c r="I8029">
        <v>4</v>
      </c>
      <c r="J8029">
        <v>2</v>
      </c>
    </row>
    <row r="8030" spans="7:10">
      <c r="G8030">
        <v>2</v>
      </c>
      <c r="H8030">
        <v>2</v>
      </c>
      <c r="I8030">
        <v>5</v>
      </c>
      <c r="J8030">
        <v>1</v>
      </c>
    </row>
    <row r="8031" spans="7:10">
      <c r="G8031">
        <v>2</v>
      </c>
      <c r="H8031">
        <v>2</v>
      </c>
      <c r="I8031">
        <v>5</v>
      </c>
      <c r="J8031">
        <v>2</v>
      </c>
    </row>
    <row r="8032" spans="7:10">
      <c r="G8032">
        <v>2</v>
      </c>
      <c r="H8032">
        <v>3</v>
      </c>
      <c r="I8032">
        <v>1</v>
      </c>
      <c r="J8032">
        <v>1</v>
      </c>
    </row>
    <row r="8033" spans="7:10">
      <c r="G8033">
        <v>2</v>
      </c>
      <c r="H8033">
        <v>3</v>
      </c>
      <c r="I8033">
        <v>1</v>
      </c>
      <c r="J8033">
        <v>2</v>
      </c>
    </row>
    <row r="8034" spans="7:10">
      <c r="G8034">
        <v>2</v>
      </c>
      <c r="H8034">
        <v>3</v>
      </c>
      <c r="I8034">
        <v>2</v>
      </c>
      <c r="J8034">
        <v>1</v>
      </c>
    </row>
    <row r="8035" spans="7:10">
      <c r="G8035">
        <v>2</v>
      </c>
      <c r="H8035">
        <v>3</v>
      </c>
      <c r="I8035">
        <v>2</v>
      </c>
      <c r="J8035">
        <v>2</v>
      </c>
    </row>
    <row r="8036" spans="7:10">
      <c r="G8036">
        <v>2</v>
      </c>
      <c r="H8036">
        <v>3</v>
      </c>
      <c r="I8036">
        <v>3</v>
      </c>
      <c r="J8036">
        <v>1</v>
      </c>
    </row>
    <row r="8037" spans="7:10">
      <c r="G8037">
        <v>2</v>
      </c>
      <c r="H8037">
        <v>3</v>
      </c>
      <c r="I8037">
        <v>3</v>
      </c>
      <c r="J8037">
        <v>2</v>
      </c>
    </row>
    <row r="8038" spans="7:10">
      <c r="G8038">
        <v>2</v>
      </c>
      <c r="H8038">
        <v>3</v>
      </c>
      <c r="I8038">
        <v>4</v>
      </c>
      <c r="J8038">
        <v>1</v>
      </c>
    </row>
    <row r="8039" spans="7:10">
      <c r="G8039">
        <v>2</v>
      </c>
      <c r="H8039">
        <v>3</v>
      </c>
      <c r="I8039">
        <v>4</v>
      </c>
      <c r="J8039">
        <v>2</v>
      </c>
    </row>
    <row r="8040" spans="7:10">
      <c r="G8040">
        <v>2</v>
      </c>
      <c r="H8040">
        <v>3</v>
      </c>
      <c r="I8040">
        <v>5</v>
      </c>
      <c r="J8040">
        <v>1</v>
      </c>
    </row>
    <row r="8041" spans="7:10">
      <c r="G8041">
        <v>2</v>
      </c>
      <c r="H8041">
        <v>3</v>
      </c>
      <c r="I8041">
        <v>5</v>
      </c>
      <c r="J8041">
        <v>2</v>
      </c>
    </row>
    <row r="8042" spans="7:10">
      <c r="G8042">
        <v>3</v>
      </c>
      <c r="H8042">
        <v>1</v>
      </c>
      <c r="I8042">
        <v>3</v>
      </c>
      <c r="J8042">
        <v>1</v>
      </c>
    </row>
    <row r="8043" spans="7:10">
      <c r="G8043">
        <v>3</v>
      </c>
      <c r="H8043">
        <v>1</v>
      </c>
      <c r="I8043">
        <v>3</v>
      </c>
      <c r="J8043">
        <v>2</v>
      </c>
    </row>
    <row r="8044" spans="7:10">
      <c r="G8044">
        <v>3</v>
      </c>
      <c r="H8044">
        <v>1</v>
      </c>
      <c r="I8044">
        <v>4</v>
      </c>
      <c r="J8044">
        <v>1</v>
      </c>
    </row>
    <row r="8045" spans="7:10">
      <c r="G8045">
        <v>3</v>
      </c>
      <c r="H8045">
        <v>1</v>
      </c>
      <c r="I8045">
        <v>4</v>
      </c>
      <c r="J8045">
        <v>2</v>
      </c>
    </row>
    <row r="8046" spans="7:10">
      <c r="G8046">
        <v>3</v>
      </c>
      <c r="H8046">
        <v>1</v>
      </c>
      <c r="I8046">
        <v>5</v>
      </c>
      <c r="J8046">
        <v>1</v>
      </c>
    </row>
    <row r="8047" spans="7:10">
      <c r="G8047">
        <v>3</v>
      </c>
      <c r="H8047">
        <v>1</v>
      </c>
      <c r="I8047">
        <v>5</v>
      </c>
      <c r="J8047">
        <v>2</v>
      </c>
    </row>
    <row r="8048" spans="7:10">
      <c r="G8048">
        <v>3</v>
      </c>
      <c r="H8048">
        <v>2</v>
      </c>
      <c r="I8048">
        <v>1</v>
      </c>
      <c r="J8048">
        <v>1</v>
      </c>
    </row>
    <row r="8049" spans="7:10">
      <c r="G8049">
        <v>3</v>
      </c>
      <c r="H8049">
        <v>2</v>
      </c>
      <c r="I8049">
        <v>1</v>
      </c>
      <c r="J8049">
        <v>2</v>
      </c>
    </row>
    <row r="8050" spans="7:10">
      <c r="G8050">
        <v>3</v>
      </c>
      <c r="H8050">
        <v>2</v>
      </c>
      <c r="I8050">
        <v>2</v>
      </c>
      <c r="J8050">
        <v>1</v>
      </c>
    </row>
    <row r="8051" spans="7:10">
      <c r="G8051">
        <v>3</v>
      </c>
      <c r="H8051">
        <v>2</v>
      </c>
      <c r="I8051">
        <v>2</v>
      </c>
      <c r="J8051">
        <v>2</v>
      </c>
    </row>
    <row r="8052" spans="7:10">
      <c r="G8052">
        <v>3</v>
      </c>
      <c r="H8052">
        <v>2</v>
      </c>
      <c r="I8052">
        <v>3</v>
      </c>
      <c r="J8052">
        <v>1</v>
      </c>
    </row>
    <row r="8053" spans="7:10">
      <c r="G8053">
        <v>3</v>
      </c>
      <c r="H8053">
        <v>2</v>
      </c>
      <c r="I8053">
        <v>3</v>
      </c>
      <c r="J8053">
        <v>2</v>
      </c>
    </row>
    <row r="8054" spans="7:10">
      <c r="G8054">
        <v>3</v>
      </c>
      <c r="H8054">
        <v>2</v>
      </c>
      <c r="I8054">
        <v>4</v>
      </c>
      <c r="J8054">
        <v>1</v>
      </c>
    </row>
    <row r="8055" spans="7:10">
      <c r="G8055">
        <v>3</v>
      </c>
      <c r="H8055">
        <v>2</v>
      </c>
      <c r="I8055">
        <v>4</v>
      </c>
      <c r="J8055">
        <v>2</v>
      </c>
    </row>
    <row r="8056" spans="7:10">
      <c r="G8056">
        <v>3</v>
      </c>
      <c r="H8056">
        <v>2</v>
      </c>
      <c r="I8056">
        <v>5</v>
      </c>
      <c r="J8056">
        <v>1</v>
      </c>
    </row>
    <row r="8057" spans="7:10">
      <c r="G8057">
        <v>3</v>
      </c>
      <c r="H8057">
        <v>2</v>
      </c>
      <c r="I8057">
        <v>5</v>
      </c>
      <c r="J8057">
        <v>2</v>
      </c>
    </row>
    <row r="8058" spans="7:10">
      <c r="G8058">
        <v>3</v>
      </c>
      <c r="H8058">
        <v>3</v>
      </c>
      <c r="I8058">
        <v>1</v>
      </c>
      <c r="J8058">
        <v>1</v>
      </c>
    </row>
    <row r="8059" spans="7:10">
      <c r="G8059">
        <v>3</v>
      </c>
      <c r="H8059">
        <v>3</v>
      </c>
      <c r="I8059">
        <v>1</v>
      </c>
      <c r="J8059">
        <v>2</v>
      </c>
    </row>
    <row r="8060" spans="7:10">
      <c r="G8060">
        <v>3</v>
      </c>
      <c r="H8060">
        <v>3</v>
      </c>
      <c r="I8060">
        <v>2</v>
      </c>
      <c r="J8060">
        <v>1</v>
      </c>
    </row>
    <row r="8061" spans="7:10">
      <c r="G8061">
        <v>3</v>
      </c>
      <c r="H8061">
        <v>3</v>
      </c>
      <c r="I8061">
        <v>2</v>
      </c>
      <c r="J8061">
        <v>2</v>
      </c>
    </row>
    <row r="8062" spans="7:10">
      <c r="G8062">
        <v>3</v>
      </c>
      <c r="H8062">
        <v>3</v>
      </c>
      <c r="I8062">
        <v>3</v>
      </c>
      <c r="J8062">
        <v>1</v>
      </c>
    </row>
    <row r="8063" spans="7:10">
      <c r="G8063">
        <v>3</v>
      </c>
      <c r="H8063">
        <v>3</v>
      </c>
      <c r="I8063">
        <v>3</v>
      </c>
      <c r="J8063">
        <v>2</v>
      </c>
    </row>
    <row r="8064" spans="7:10">
      <c r="G8064">
        <v>3</v>
      </c>
      <c r="H8064">
        <v>3</v>
      </c>
      <c r="I8064">
        <v>4</v>
      </c>
      <c r="J8064">
        <v>1</v>
      </c>
    </row>
    <row r="8065" spans="7:10">
      <c r="G8065">
        <v>3</v>
      </c>
      <c r="H8065">
        <v>3</v>
      </c>
      <c r="I8065">
        <v>4</v>
      </c>
      <c r="J8065">
        <v>2</v>
      </c>
    </row>
    <row r="8066" spans="7:10">
      <c r="G8066">
        <v>3</v>
      </c>
      <c r="H8066">
        <v>3</v>
      </c>
      <c r="I8066">
        <v>5</v>
      </c>
      <c r="J8066">
        <v>1</v>
      </c>
    </row>
    <row r="8067" spans="7:10">
      <c r="G8067">
        <v>3</v>
      </c>
      <c r="H8067">
        <v>3</v>
      </c>
      <c r="I8067">
        <v>5</v>
      </c>
      <c r="J8067">
        <v>2</v>
      </c>
    </row>
    <row r="8068" spans="7:10">
      <c r="G8068">
        <v>4</v>
      </c>
      <c r="H8068">
        <v>1</v>
      </c>
      <c r="I8068">
        <v>3</v>
      </c>
      <c r="J8068">
        <v>1</v>
      </c>
    </row>
    <row r="8069" spans="7:10">
      <c r="G8069">
        <v>4</v>
      </c>
      <c r="H8069">
        <v>1</v>
      </c>
      <c r="I8069">
        <v>3</v>
      </c>
      <c r="J8069">
        <v>2</v>
      </c>
    </row>
    <row r="8070" spans="7:10">
      <c r="G8070">
        <v>4</v>
      </c>
      <c r="H8070">
        <v>1</v>
      </c>
      <c r="I8070">
        <v>4</v>
      </c>
      <c r="J8070">
        <v>1</v>
      </c>
    </row>
    <row r="8071" spans="7:10">
      <c r="G8071">
        <v>4</v>
      </c>
      <c r="H8071">
        <v>1</v>
      </c>
      <c r="I8071">
        <v>4</v>
      </c>
      <c r="J8071">
        <v>2</v>
      </c>
    </row>
    <row r="8072" spans="7:10">
      <c r="G8072">
        <v>4</v>
      </c>
      <c r="H8072">
        <v>1</v>
      </c>
      <c r="I8072">
        <v>5</v>
      </c>
      <c r="J8072">
        <v>1</v>
      </c>
    </row>
    <row r="8073" spans="7:10">
      <c r="G8073">
        <v>4</v>
      </c>
      <c r="H8073">
        <v>1</v>
      </c>
      <c r="I8073">
        <v>5</v>
      </c>
      <c r="J8073">
        <v>2</v>
      </c>
    </row>
    <row r="8074" spans="7:10">
      <c r="G8074">
        <v>4</v>
      </c>
      <c r="H8074">
        <v>2</v>
      </c>
      <c r="I8074">
        <v>1</v>
      </c>
      <c r="J8074">
        <v>1</v>
      </c>
    </row>
    <row r="8075" spans="7:10">
      <c r="G8075">
        <v>4</v>
      </c>
      <c r="H8075">
        <v>2</v>
      </c>
      <c r="I8075">
        <v>1</v>
      </c>
      <c r="J8075">
        <v>2</v>
      </c>
    </row>
    <row r="8076" spans="7:10">
      <c r="G8076">
        <v>4</v>
      </c>
      <c r="H8076">
        <v>2</v>
      </c>
      <c r="I8076">
        <v>2</v>
      </c>
      <c r="J8076">
        <v>1</v>
      </c>
    </row>
    <row r="8077" spans="7:10">
      <c r="G8077">
        <v>4</v>
      </c>
      <c r="H8077">
        <v>2</v>
      </c>
      <c r="I8077">
        <v>2</v>
      </c>
      <c r="J8077">
        <v>2</v>
      </c>
    </row>
    <row r="8078" spans="7:10">
      <c r="G8078">
        <v>4</v>
      </c>
      <c r="H8078">
        <v>2</v>
      </c>
      <c r="I8078">
        <v>3</v>
      </c>
      <c r="J8078">
        <v>1</v>
      </c>
    </row>
    <row r="8079" spans="7:10">
      <c r="G8079">
        <v>4</v>
      </c>
      <c r="H8079">
        <v>2</v>
      </c>
      <c r="I8079">
        <v>3</v>
      </c>
      <c r="J8079">
        <v>2</v>
      </c>
    </row>
    <row r="8080" spans="7:10">
      <c r="G8080">
        <v>4</v>
      </c>
      <c r="H8080">
        <v>2</v>
      </c>
      <c r="I8080">
        <v>4</v>
      </c>
      <c r="J8080">
        <v>1</v>
      </c>
    </row>
    <row r="8081" spans="7:10">
      <c r="G8081">
        <v>4</v>
      </c>
      <c r="H8081">
        <v>2</v>
      </c>
      <c r="I8081">
        <v>4</v>
      </c>
      <c r="J8081">
        <v>2</v>
      </c>
    </row>
    <row r="8082" spans="7:10">
      <c r="G8082">
        <v>4</v>
      </c>
      <c r="H8082">
        <v>2</v>
      </c>
      <c r="I8082">
        <v>5</v>
      </c>
      <c r="J8082">
        <v>1</v>
      </c>
    </row>
    <row r="8083" spans="7:10">
      <c r="G8083">
        <v>4</v>
      </c>
      <c r="H8083">
        <v>2</v>
      </c>
      <c r="I8083">
        <v>5</v>
      </c>
      <c r="J8083">
        <v>2</v>
      </c>
    </row>
    <row r="8084" spans="7:10">
      <c r="G8084">
        <v>4</v>
      </c>
      <c r="H8084">
        <v>3</v>
      </c>
      <c r="I8084">
        <v>1</v>
      </c>
      <c r="J8084">
        <v>1</v>
      </c>
    </row>
    <row r="8085" spans="7:10">
      <c r="G8085">
        <v>4</v>
      </c>
      <c r="H8085">
        <v>3</v>
      </c>
      <c r="I8085">
        <v>1</v>
      </c>
      <c r="J8085">
        <v>2</v>
      </c>
    </row>
    <row r="8086" spans="7:10">
      <c r="G8086">
        <v>4</v>
      </c>
      <c r="H8086">
        <v>3</v>
      </c>
      <c r="I8086">
        <v>2</v>
      </c>
      <c r="J8086">
        <v>1</v>
      </c>
    </row>
    <row r="8087" spans="7:10">
      <c r="G8087">
        <v>4</v>
      </c>
      <c r="H8087">
        <v>3</v>
      </c>
      <c r="I8087">
        <v>2</v>
      </c>
      <c r="J8087">
        <v>2</v>
      </c>
    </row>
    <row r="8088" spans="7:10">
      <c r="G8088">
        <v>4</v>
      </c>
      <c r="H8088">
        <v>3</v>
      </c>
      <c r="I8088">
        <v>3</v>
      </c>
      <c r="J8088">
        <v>1</v>
      </c>
    </row>
    <row r="8089" spans="7:10">
      <c r="G8089">
        <v>4</v>
      </c>
      <c r="H8089">
        <v>3</v>
      </c>
      <c r="I8089">
        <v>3</v>
      </c>
      <c r="J8089">
        <v>2</v>
      </c>
    </row>
    <row r="8090" spans="7:10">
      <c r="G8090">
        <v>4</v>
      </c>
      <c r="H8090">
        <v>3</v>
      </c>
      <c r="I8090">
        <v>4</v>
      </c>
      <c r="J8090">
        <v>1</v>
      </c>
    </row>
    <row r="8091" spans="7:10">
      <c r="G8091">
        <v>4</v>
      </c>
      <c r="H8091">
        <v>3</v>
      </c>
      <c r="I8091">
        <v>4</v>
      </c>
      <c r="J8091">
        <v>2</v>
      </c>
    </row>
    <row r="8092" spans="7:10">
      <c r="G8092">
        <v>4</v>
      </c>
      <c r="H8092">
        <v>3</v>
      </c>
      <c r="I8092">
        <v>5</v>
      </c>
      <c r="J8092">
        <v>1</v>
      </c>
    </row>
    <row r="8093" spans="7:10">
      <c r="G8093">
        <v>4</v>
      </c>
      <c r="H8093">
        <v>3</v>
      </c>
      <c r="I8093">
        <v>5</v>
      </c>
      <c r="J8093">
        <v>2</v>
      </c>
    </row>
    <row r="8094" spans="7:10">
      <c r="G8094">
        <v>1</v>
      </c>
      <c r="H8094">
        <v>2</v>
      </c>
      <c r="I8094">
        <v>1</v>
      </c>
      <c r="J8094">
        <v>1</v>
      </c>
    </row>
    <row r="8095" spans="7:10">
      <c r="G8095">
        <v>1</v>
      </c>
      <c r="H8095">
        <v>2</v>
      </c>
      <c r="I8095">
        <v>1</v>
      </c>
      <c r="J8095">
        <v>2</v>
      </c>
    </row>
    <row r="8096" spans="7:10">
      <c r="G8096">
        <v>1</v>
      </c>
      <c r="H8096">
        <v>2</v>
      </c>
      <c r="I8096">
        <v>2</v>
      </c>
      <c r="J8096">
        <v>1</v>
      </c>
    </row>
    <row r="8097" spans="7:10">
      <c r="G8097">
        <v>1</v>
      </c>
      <c r="H8097">
        <v>2</v>
      </c>
      <c r="I8097">
        <v>2</v>
      </c>
      <c r="J8097">
        <v>2</v>
      </c>
    </row>
    <row r="8098" spans="7:10">
      <c r="G8098">
        <v>1</v>
      </c>
      <c r="H8098">
        <v>2</v>
      </c>
      <c r="I8098">
        <v>3</v>
      </c>
      <c r="J8098">
        <v>1</v>
      </c>
    </row>
    <row r="8099" spans="7:10">
      <c r="G8099">
        <v>1</v>
      </c>
      <c r="H8099">
        <v>2</v>
      </c>
      <c r="I8099">
        <v>3</v>
      </c>
      <c r="J8099">
        <v>2</v>
      </c>
    </row>
    <row r="8100" spans="7:10">
      <c r="G8100">
        <v>1</v>
      </c>
      <c r="H8100">
        <v>2</v>
      </c>
      <c r="I8100">
        <v>4</v>
      </c>
      <c r="J8100">
        <v>1</v>
      </c>
    </row>
    <row r="8101" spans="7:10">
      <c r="G8101">
        <v>1</v>
      </c>
      <c r="H8101">
        <v>2</v>
      </c>
      <c r="I8101">
        <v>4</v>
      </c>
      <c r="J8101">
        <v>2</v>
      </c>
    </row>
    <row r="8102" spans="7:10">
      <c r="G8102">
        <v>1</v>
      </c>
      <c r="H8102">
        <v>2</v>
      </c>
      <c r="I8102">
        <v>5</v>
      </c>
      <c r="J8102">
        <v>1</v>
      </c>
    </row>
    <row r="8103" spans="7:10">
      <c r="G8103">
        <v>1</v>
      </c>
      <c r="H8103">
        <v>2</v>
      </c>
      <c r="I8103">
        <v>5</v>
      </c>
      <c r="J8103">
        <v>2</v>
      </c>
    </row>
    <row r="8104" spans="7:10">
      <c r="G8104">
        <v>1</v>
      </c>
      <c r="H8104">
        <v>3</v>
      </c>
      <c r="I8104">
        <v>1</v>
      </c>
      <c r="J8104">
        <v>1</v>
      </c>
    </row>
    <row r="8105" spans="7:10">
      <c r="G8105">
        <v>1</v>
      </c>
      <c r="H8105">
        <v>3</v>
      </c>
      <c r="I8105">
        <v>1</v>
      </c>
      <c r="J8105">
        <v>2</v>
      </c>
    </row>
    <row r="8106" spans="7:10">
      <c r="G8106">
        <v>1</v>
      </c>
      <c r="H8106">
        <v>3</v>
      </c>
      <c r="I8106">
        <v>2</v>
      </c>
      <c r="J8106">
        <v>1</v>
      </c>
    </row>
    <row r="8107" spans="7:10">
      <c r="G8107">
        <v>1</v>
      </c>
      <c r="H8107">
        <v>3</v>
      </c>
      <c r="I8107">
        <v>2</v>
      </c>
      <c r="J8107">
        <v>2</v>
      </c>
    </row>
    <row r="8108" spans="7:10">
      <c r="G8108">
        <v>1</v>
      </c>
      <c r="H8108">
        <v>3</v>
      </c>
      <c r="I8108">
        <v>3</v>
      </c>
      <c r="J8108">
        <v>1</v>
      </c>
    </row>
    <row r="8109" spans="7:10">
      <c r="G8109">
        <v>1</v>
      </c>
      <c r="H8109">
        <v>3</v>
      </c>
      <c r="I8109">
        <v>3</v>
      </c>
      <c r="J8109">
        <v>2</v>
      </c>
    </row>
    <row r="8110" spans="7:10">
      <c r="G8110">
        <v>1</v>
      </c>
      <c r="H8110">
        <v>3</v>
      </c>
      <c r="I8110">
        <v>4</v>
      </c>
      <c r="J8110">
        <v>1</v>
      </c>
    </row>
    <row r="8111" spans="7:10">
      <c r="G8111">
        <v>1</v>
      </c>
      <c r="H8111">
        <v>3</v>
      </c>
      <c r="I8111">
        <v>4</v>
      </c>
      <c r="J8111">
        <v>2</v>
      </c>
    </row>
    <row r="8112" spans="7:10">
      <c r="G8112">
        <v>1</v>
      </c>
      <c r="H8112">
        <v>3</v>
      </c>
      <c r="I8112">
        <v>5</v>
      </c>
      <c r="J8112">
        <v>1</v>
      </c>
    </row>
    <row r="8113" spans="7:10">
      <c r="G8113">
        <v>1</v>
      </c>
      <c r="H8113">
        <v>3</v>
      </c>
      <c r="I8113">
        <v>5</v>
      </c>
      <c r="J8113">
        <v>2</v>
      </c>
    </row>
    <row r="8114" spans="7:10">
      <c r="G8114">
        <v>2</v>
      </c>
      <c r="H8114">
        <v>1</v>
      </c>
      <c r="I8114">
        <v>3</v>
      </c>
      <c r="J8114">
        <v>1</v>
      </c>
    </row>
    <row r="8115" spans="7:10">
      <c r="G8115">
        <v>2</v>
      </c>
      <c r="H8115">
        <v>1</v>
      </c>
      <c r="I8115">
        <v>3</v>
      </c>
      <c r="J8115">
        <v>2</v>
      </c>
    </row>
    <row r="8116" spans="7:10">
      <c r="G8116">
        <v>2</v>
      </c>
      <c r="H8116">
        <v>1</v>
      </c>
      <c r="I8116">
        <v>4</v>
      </c>
      <c r="J8116">
        <v>1</v>
      </c>
    </row>
    <row r="8117" spans="7:10">
      <c r="G8117">
        <v>2</v>
      </c>
      <c r="H8117">
        <v>1</v>
      </c>
      <c r="I8117">
        <v>4</v>
      </c>
      <c r="J8117">
        <v>2</v>
      </c>
    </row>
    <row r="8118" spans="7:10">
      <c r="G8118">
        <v>2</v>
      </c>
      <c r="H8118">
        <v>1</v>
      </c>
      <c r="I8118">
        <v>5</v>
      </c>
      <c r="J8118">
        <v>1</v>
      </c>
    </row>
    <row r="8119" spans="7:10">
      <c r="G8119">
        <v>2</v>
      </c>
      <c r="H8119">
        <v>1</v>
      </c>
      <c r="I8119">
        <v>5</v>
      </c>
      <c r="J8119">
        <v>2</v>
      </c>
    </row>
    <row r="8120" spans="7:10">
      <c r="G8120">
        <v>2</v>
      </c>
      <c r="H8120">
        <v>2</v>
      </c>
      <c r="I8120">
        <v>1</v>
      </c>
      <c r="J8120">
        <v>1</v>
      </c>
    </row>
    <row r="8121" spans="7:10">
      <c r="G8121">
        <v>2</v>
      </c>
      <c r="H8121">
        <v>2</v>
      </c>
      <c r="I8121">
        <v>1</v>
      </c>
      <c r="J8121">
        <v>2</v>
      </c>
    </row>
    <row r="8122" spans="7:10">
      <c r="G8122">
        <v>2</v>
      </c>
      <c r="H8122">
        <v>2</v>
      </c>
      <c r="I8122">
        <v>2</v>
      </c>
      <c r="J8122">
        <v>1</v>
      </c>
    </row>
    <row r="8123" spans="7:10">
      <c r="G8123">
        <v>2</v>
      </c>
      <c r="H8123">
        <v>2</v>
      </c>
      <c r="I8123">
        <v>2</v>
      </c>
      <c r="J8123">
        <v>2</v>
      </c>
    </row>
    <row r="8124" spans="7:10">
      <c r="G8124">
        <v>2</v>
      </c>
      <c r="H8124">
        <v>2</v>
      </c>
      <c r="I8124">
        <v>3</v>
      </c>
      <c r="J8124">
        <v>1</v>
      </c>
    </row>
    <row r="8125" spans="7:10">
      <c r="G8125">
        <v>2</v>
      </c>
      <c r="H8125">
        <v>2</v>
      </c>
      <c r="I8125">
        <v>3</v>
      </c>
      <c r="J8125">
        <v>2</v>
      </c>
    </row>
    <row r="8126" spans="7:10">
      <c r="G8126">
        <v>2</v>
      </c>
      <c r="H8126">
        <v>2</v>
      </c>
      <c r="I8126">
        <v>4</v>
      </c>
      <c r="J8126">
        <v>1</v>
      </c>
    </row>
    <row r="8127" spans="7:10">
      <c r="G8127">
        <v>2</v>
      </c>
      <c r="H8127">
        <v>2</v>
      </c>
      <c r="I8127">
        <v>4</v>
      </c>
      <c r="J8127">
        <v>2</v>
      </c>
    </row>
    <row r="8128" spans="7:10">
      <c r="G8128">
        <v>2</v>
      </c>
      <c r="H8128">
        <v>2</v>
      </c>
      <c r="I8128">
        <v>5</v>
      </c>
      <c r="J8128">
        <v>1</v>
      </c>
    </row>
    <row r="8129" spans="7:10">
      <c r="G8129">
        <v>2</v>
      </c>
      <c r="H8129">
        <v>2</v>
      </c>
      <c r="I8129">
        <v>5</v>
      </c>
      <c r="J8129">
        <v>2</v>
      </c>
    </row>
    <row r="8130" spans="7:10">
      <c r="G8130">
        <v>2</v>
      </c>
      <c r="H8130">
        <v>3</v>
      </c>
      <c r="I8130">
        <v>1</v>
      </c>
      <c r="J8130">
        <v>1</v>
      </c>
    </row>
    <row r="8131" spans="7:10">
      <c r="G8131">
        <v>2</v>
      </c>
      <c r="H8131">
        <v>3</v>
      </c>
      <c r="I8131">
        <v>1</v>
      </c>
      <c r="J8131">
        <v>2</v>
      </c>
    </row>
    <row r="8132" spans="7:10">
      <c r="G8132">
        <v>2</v>
      </c>
      <c r="H8132">
        <v>3</v>
      </c>
      <c r="I8132">
        <v>2</v>
      </c>
      <c r="J8132">
        <v>1</v>
      </c>
    </row>
    <row r="8133" spans="7:10">
      <c r="G8133">
        <v>2</v>
      </c>
      <c r="H8133">
        <v>3</v>
      </c>
      <c r="I8133">
        <v>2</v>
      </c>
      <c r="J8133">
        <v>2</v>
      </c>
    </row>
    <row r="8134" spans="7:10">
      <c r="G8134">
        <v>2</v>
      </c>
      <c r="H8134">
        <v>3</v>
      </c>
      <c r="I8134">
        <v>3</v>
      </c>
      <c r="J8134">
        <v>1</v>
      </c>
    </row>
    <row r="8135" spans="7:10">
      <c r="G8135">
        <v>2</v>
      </c>
      <c r="H8135">
        <v>3</v>
      </c>
      <c r="I8135">
        <v>3</v>
      </c>
      <c r="J8135">
        <v>2</v>
      </c>
    </row>
    <row r="8136" spans="7:10">
      <c r="G8136">
        <v>2</v>
      </c>
      <c r="H8136">
        <v>3</v>
      </c>
      <c r="I8136">
        <v>4</v>
      </c>
      <c r="J8136">
        <v>1</v>
      </c>
    </row>
    <row r="8137" spans="7:10">
      <c r="G8137">
        <v>2</v>
      </c>
      <c r="H8137">
        <v>3</v>
      </c>
      <c r="I8137">
        <v>4</v>
      </c>
      <c r="J8137">
        <v>2</v>
      </c>
    </row>
    <row r="8138" spans="7:10">
      <c r="G8138">
        <v>2</v>
      </c>
      <c r="H8138">
        <v>3</v>
      </c>
      <c r="I8138">
        <v>5</v>
      </c>
      <c r="J8138">
        <v>1</v>
      </c>
    </row>
    <row r="8139" spans="7:10">
      <c r="G8139">
        <v>2</v>
      </c>
      <c r="H8139">
        <v>3</v>
      </c>
      <c r="I8139">
        <v>5</v>
      </c>
      <c r="J8139">
        <v>2</v>
      </c>
    </row>
    <row r="8140" spans="7:10">
      <c r="G8140">
        <v>3</v>
      </c>
      <c r="H8140">
        <v>1</v>
      </c>
      <c r="I8140">
        <v>3</v>
      </c>
      <c r="J8140">
        <v>1</v>
      </c>
    </row>
    <row r="8141" spans="7:10">
      <c r="G8141">
        <v>3</v>
      </c>
      <c r="H8141">
        <v>1</v>
      </c>
      <c r="I8141">
        <v>3</v>
      </c>
      <c r="J8141">
        <v>2</v>
      </c>
    </row>
    <row r="8142" spans="7:10">
      <c r="G8142">
        <v>3</v>
      </c>
      <c r="H8142">
        <v>1</v>
      </c>
      <c r="I8142">
        <v>4</v>
      </c>
      <c r="J8142">
        <v>1</v>
      </c>
    </row>
    <row r="8143" spans="7:10">
      <c r="G8143">
        <v>3</v>
      </c>
      <c r="H8143">
        <v>1</v>
      </c>
      <c r="I8143">
        <v>4</v>
      </c>
      <c r="J8143">
        <v>2</v>
      </c>
    </row>
    <row r="8144" spans="7:10">
      <c r="G8144">
        <v>3</v>
      </c>
      <c r="H8144">
        <v>1</v>
      </c>
      <c r="I8144">
        <v>5</v>
      </c>
      <c r="J8144">
        <v>1</v>
      </c>
    </row>
    <row r="8145" spans="7:10">
      <c r="G8145">
        <v>3</v>
      </c>
      <c r="H8145">
        <v>1</v>
      </c>
      <c r="I8145">
        <v>5</v>
      </c>
      <c r="J8145">
        <v>2</v>
      </c>
    </row>
    <row r="8146" spans="7:10">
      <c r="G8146">
        <v>3</v>
      </c>
      <c r="H8146">
        <v>2</v>
      </c>
      <c r="I8146">
        <v>1</v>
      </c>
      <c r="J8146">
        <v>1</v>
      </c>
    </row>
    <row r="8147" spans="7:10">
      <c r="G8147">
        <v>3</v>
      </c>
      <c r="H8147">
        <v>2</v>
      </c>
      <c r="I8147">
        <v>1</v>
      </c>
      <c r="J8147">
        <v>2</v>
      </c>
    </row>
    <row r="8148" spans="7:10">
      <c r="G8148">
        <v>3</v>
      </c>
      <c r="H8148">
        <v>2</v>
      </c>
      <c r="I8148">
        <v>2</v>
      </c>
      <c r="J8148">
        <v>1</v>
      </c>
    </row>
    <row r="8149" spans="7:10">
      <c r="G8149">
        <v>3</v>
      </c>
      <c r="H8149">
        <v>2</v>
      </c>
      <c r="I8149">
        <v>2</v>
      </c>
      <c r="J8149">
        <v>2</v>
      </c>
    </row>
    <row r="8150" spans="7:10">
      <c r="G8150">
        <v>3</v>
      </c>
      <c r="H8150">
        <v>2</v>
      </c>
      <c r="I8150">
        <v>3</v>
      </c>
      <c r="J8150">
        <v>1</v>
      </c>
    </row>
    <row r="8151" spans="7:10">
      <c r="G8151">
        <v>3</v>
      </c>
      <c r="H8151">
        <v>2</v>
      </c>
      <c r="I8151">
        <v>3</v>
      </c>
      <c r="J8151">
        <v>2</v>
      </c>
    </row>
    <row r="8152" spans="7:10">
      <c r="G8152">
        <v>3</v>
      </c>
      <c r="H8152">
        <v>2</v>
      </c>
      <c r="I8152">
        <v>4</v>
      </c>
      <c r="J8152">
        <v>1</v>
      </c>
    </row>
    <row r="8153" spans="7:10">
      <c r="G8153">
        <v>3</v>
      </c>
      <c r="H8153">
        <v>2</v>
      </c>
      <c r="I8153">
        <v>4</v>
      </c>
      <c r="J8153">
        <v>2</v>
      </c>
    </row>
    <row r="8154" spans="7:10">
      <c r="G8154">
        <v>3</v>
      </c>
      <c r="H8154">
        <v>2</v>
      </c>
      <c r="I8154">
        <v>5</v>
      </c>
      <c r="J8154">
        <v>1</v>
      </c>
    </row>
    <row r="8155" spans="7:10">
      <c r="G8155">
        <v>3</v>
      </c>
      <c r="H8155">
        <v>2</v>
      </c>
      <c r="I8155">
        <v>5</v>
      </c>
      <c r="J8155">
        <v>2</v>
      </c>
    </row>
    <row r="8156" spans="7:10">
      <c r="G8156">
        <v>3</v>
      </c>
      <c r="H8156">
        <v>3</v>
      </c>
      <c r="I8156">
        <v>1</v>
      </c>
      <c r="J8156">
        <v>1</v>
      </c>
    </row>
    <row r="8157" spans="7:10">
      <c r="G8157">
        <v>3</v>
      </c>
      <c r="H8157">
        <v>3</v>
      </c>
      <c r="I8157">
        <v>1</v>
      </c>
      <c r="J8157">
        <v>2</v>
      </c>
    </row>
    <row r="8158" spans="7:10">
      <c r="G8158">
        <v>3</v>
      </c>
      <c r="H8158">
        <v>3</v>
      </c>
      <c r="I8158">
        <v>2</v>
      </c>
      <c r="J8158">
        <v>1</v>
      </c>
    </row>
    <row r="8159" spans="7:10">
      <c r="G8159">
        <v>3</v>
      </c>
      <c r="H8159">
        <v>3</v>
      </c>
      <c r="I8159">
        <v>2</v>
      </c>
      <c r="J8159">
        <v>2</v>
      </c>
    </row>
    <row r="8160" spans="7:10">
      <c r="G8160">
        <v>3</v>
      </c>
      <c r="H8160">
        <v>3</v>
      </c>
      <c r="I8160">
        <v>3</v>
      </c>
      <c r="J8160">
        <v>1</v>
      </c>
    </row>
    <row r="8161" spans="7:10">
      <c r="G8161">
        <v>3</v>
      </c>
      <c r="H8161">
        <v>3</v>
      </c>
      <c r="I8161">
        <v>3</v>
      </c>
      <c r="J8161">
        <v>2</v>
      </c>
    </row>
    <row r="8162" spans="7:10">
      <c r="G8162">
        <v>3</v>
      </c>
      <c r="H8162">
        <v>3</v>
      </c>
      <c r="I8162">
        <v>4</v>
      </c>
      <c r="J8162">
        <v>1</v>
      </c>
    </row>
    <row r="8163" spans="7:10">
      <c r="G8163">
        <v>3</v>
      </c>
      <c r="H8163">
        <v>3</v>
      </c>
      <c r="I8163">
        <v>4</v>
      </c>
      <c r="J8163">
        <v>2</v>
      </c>
    </row>
    <row r="8164" spans="7:10">
      <c r="G8164">
        <v>3</v>
      </c>
      <c r="H8164">
        <v>3</v>
      </c>
      <c r="I8164">
        <v>5</v>
      </c>
      <c r="J8164">
        <v>1</v>
      </c>
    </row>
    <row r="8165" spans="7:10">
      <c r="G8165">
        <v>3</v>
      </c>
      <c r="H8165">
        <v>3</v>
      </c>
      <c r="I8165">
        <v>5</v>
      </c>
      <c r="J8165">
        <v>2</v>
      </c>
    </row>
    <row r="8166" spans="7:10">
      <c r="G8166">
        <v>4</v>
      </c>
      <c r="H8166">
        <v>1</v>
      </c>
      <c r="I8166">
        <v>3</v>
      </c>
      <c r="J8166">
        <v>1</v>
      </c>
    </row>
    <row r="8167" spans="7:10">
      <c r="G8167">
        <v>4</v>
      </c>
      <c r="H8167">
        <v>1</v>
      </c>
      <c r="I8167">
        <v>3</v>
      </c>
      <c r="J8167">
        <v>2</v>
      </c>
    </row>
    <row r="8168" spans="7:10">
      <c r="G8168">
        <v>4</v>
      </c>
      <c r="H8168">
        <v>1</v>
      </c>
      <c r="I8168">
        <v>4</v>
      </c>
      <c r="J8168">
        <v>1</v>
      </c>
    </row>
    <row r="8169" spans="7:10">
      <c r="G8169">
        <v>4</v>
      </c>
      <c r="H8169">
        <v>1</v>
      </c>
      <c r="I8169">
        <v>4</v>
      </c>
      <c r="J8169">
        <v>2</v>
      </c>
    </row>
    <row r="8170" spans="7:10">
      <c r="G8170">
        <v>4</v>
      </c>
      <c r="H8170">
        <v>1</v>
      </c>
      <c r="I8170">
        <v>5</v>
      </c>
      <c r="J8170">
        <v>1</v>
      </c>
    </row>
    <row r="8171" spans="7:10">
      <c r="G8171">
        <v>4</v>
      </c>
      <c r="H8171">
        <v>1</v>
      </c>
      <c r="I8171">
        <v>5</v>
      </c>
      <c r="J8171">
        <v>2</v>
      </c>
    </row>
    <row r="8172" spans="7:10">
      <c r="G8172">
        <v>4</v>
      </c>
      <c r="H8172">
        <v>2</v>
      </c>
      <c r="I8172">
        <v>1</v>
      </c>
      <c r="J8172">
        <v>1</v>
      </c>
    </row>
    <row r="8173" spans="7:10">
      <c r="G8173">
        <v>4</v>
      </c>
      <c r="H8173">
        <v>2</v>
      </c>
      <c r="I8173">
        <v>1</v>
      </c>
      <c r="J8173">
        <v>2</v>
      </c>
    </row>
    <row r="8174" spans="7:10">
      <c r="G8174">
        <v>4</v>
      </c>
      <c r="H8174">
        <v>2</v>
      </c>
      <c r="I8174">
        <v>2</v>
      </c>
      <c r="J8174">
        <v>1</v>
      </c>
    </row>
    <row r="8175" spans="7:10">
      <c r="G8175">
        <v>4</v>
      </c>
      <c r="H8175">
        <v>2</v>
      </c>
      <c r="I8175">
        <v>2</v>
      </c>
      <c r="J8175">
        <v>2</v>
      </c>
    </row>
    <row r="8176" spans="7:10">
      <c r="G8176">
        <v>4</v>
      </c>
      <c r="H8176">
        <v>2</v>
      </c>
      <c r="I8176">
        <v>3</v>
      </c>
      <c r="J8176">
        <v>1</v>
      </c>
    </row>
    <row r="8177" spans="7:10">
      <c r="G8177">
        <v>4</v>
      </c>
      <c r="H8177">
        <v>2</v>
      </c>
      <c r="I8177">
        <v>3</v>
      </c>
      <c r="J8177">
        <v>2</v>
      </c>
    </row>
    <row r="8178" spans="7:10">
      <c r="G8178">
        <v>4</v>
      </c>
      <c r="H8178">
        <v>2</v>
      </c>
      <c r="I8178">
        <v>4</v>
      </c>
      <c r="J8178">
        <v>1</v>
      </c>
    </row>
    <row r="8179" spans="7:10">
      <c r="G8179">
        <v>4</v>
      </c>
      <c r="H8179">
        <v>2</v>
      </c>
      <c r="I8179">
        <v>4</v>
      </c>
      <c r="J8179">
        <v>2</v>
      </c>
    </row>
    <row r="8180" spans="7:10">
      <c r="G8180">
        <v>4</v>
      </c>
      <c r="H8180">
        <v>2</v>
      </c>
      <c r="I8180">
        <v>5</v>
      </c>
      <c r="J8180">
        <v>1</v>
      </c>
    </row>
    <row r="8181" spans="7:10">
      <c r="G8181">
        <v>4</v>
      </c>
      <c r="H8181">
        <v>2</v>
      </c>
      <c r="I8181">
        <v>5</v>
      </c>
      <c r="J8181">
        <v>2</v>
      </c>
    </row>
    <row r="8182" spans="7:10">
      <c r="G8182">
        <v>4</v>
      </c>
      <c r="H8182">
        <v>3</v>
      </c>
      <c r="I8182">
        <v>1</v>
      </c>
      <c r="J8182">
        <v>1</v>
      </c>
    </row>
    <row r="8183" spans="7:10">
      <c r="G8183">
        <v>4</v>
      </c>
      <c r="H8183">
        <v>3</v>
      </c>
      <c r="I8183">
        <v>1</v>
      </c>
      <c r="J8183">
        <v>2</v>
      </c>
    </row>
    <row r="8184" spans="7:10">
      <c r="G8184">
        <v>4</v>
      </c>
      <c r="H8184">
        <v>3</v>
      </c>
      <c r="I8184">
        <v>2</v>
      </c>
      <c r="J8184">
        <v>1</v>
      </c>
    </row>
    <row r="8185" spans="7:10">
      <c r="G8185">
        <v>4</v>
      </c>
      <c r="H8185">
        <v>3</v>
      </c>
      <c r="I8185">
        <v>2</v>
      </c>
      <c r="J8185">
        <v>2</v>
      </c>
    </row>
    <row r="8186" spans="7:10">
      <c r="G8186">
        <v>4</v>
      </c>
      <c r="H8186">
        <v>3</v>
      </c>
      <c r="I8186">
        <v>3</v>
      </c>
      <c r="J8186">
        <v>1</v>
      </c>
    </row>
    <row r="8187" spans="7:10">
      <c r="G8187">
        <v>4</v>
      </c>
      <c r="H8187">
        <v>3</v>
      </c>
      <c r="I8187">
        <v>3</v>
      </c>
      <c r="J8187">
        <v>2</v>
      </c>
    </row>
    <row r="8188" spans="7:10">
      <c r="G8188">
        <v>4</v>
      </c>
      <c r="H8188">
        <v>3</v>
      </c>
      <c r="I8188">
        <v>4</v>
      </c>
      <c r="J8188">
        <v>1</v>
      </c>
    </row>
    <row r="8189" spans="7:10">
      <c r="G8189">
        <v>4</v>
      </c>
      <c r="H8189">
        <v>3</v>
      </c>
      <c r="I8189">
        <v>4</v>
      </c>
      <c r="J8189">
        <v>2</v>
      </c>
    </row>
    <row r="8190" spans="7:10">
      <c r="G8190">
        <v>4</v>
      </c>
      <c r="H8190">
        <v>3</v>
      </c>
      <c r="I8190">
        <v>5</v>
      </c>
      <c r="J8190">
        <v>1</v>
      </c>
    </row>
    <row r="8191" spans="7:10">
      <c r="G8191">
        <v>4</v>
      </c>
      <c r="H8191">
        <v>3</v>
      </c>
      <c r="I8191">
        <v>5</v>
      </c>
      <c r="J8191">
        <v>2</v>
      </c>
    </row>
    <row r="8192" spans="7:10">
      <c r="G8192">
        <v>1</v>
      </c>
      <c r="H8192">
        <v>2</v>
      </c>
      <c r="I8192">
        <v>1</v>
      </c>
      <c r="J8192">
        <v>1</v>
      </c>
    </row>
    <row r="8193" spans="7:10">
      <c r="G8193">
        <v>1</v>
      </c>
      <c r="H8193">
        <v>2</v>
      </c>
      <c r="I8193">
        <v>1</v>
      </c>
      <c r="J8193">
        <v>2</v>
      </c>
    </row>
    <row r="8194" spans="7:10">
      <c r="G8194">
        <v>1</v>
      </c>
      <c r="H8194">
        <v>2</v>
      </c>
      <c r="I8194">
        <v>2</v>
      </c>
      <c r="J8194">
        <v>1</v>
      </c>
    </row>
    <row r="8195" spans="7:10">
      <c r="G8195">
        <v>1</v>
      </c>
      <c r="H8195">
        <v>2</v>
      </c>
      <c r="I8195">
        <v>2</v>
      </c>
      <c r="J8195">
        <v>2</v>
      </c>
    </row>
    <row r="8196" spans="7:10">
      <c r="G8196">
        <v>1</v>
      </c>
      <c r="H8196">
        <v>2</v>
      </c>
      <c r="I8196">
        <v>3</v>
      </c>
      <c r="J8196">
        <v>1</v>
      </c>
    </row>
    <row r="8197" spans="7:10">
      <c r="G8197">
        <v>1</v>
      </c>
      <c r="H8197">
        <v>2</v>
      </c>
      <c r="I8197">
        <v>3</v>
      </c>
      <c r="J8197">
        <v>2</v>
      </c>
    </row>
    <row r="8198" spans="7:10">
      <c r="G8198">
        <v>1</v>
      </c>
      <c r="H8198">
        <v>2</v>
      </c>
      <c r="I8198">
        <v>4</v>
      </c>
      <c r="J8198">
        <v>1</v>
      </c>
    </row>
    <row r="8199" spans="7:10">
      <c r="G8199">
        <v>1</v>
      </c>
      <c r="H8199">
        <v>2</v>
      </c>
      <c r="I8199">
        <v>4</v>
      </c>
      <c r="J8199">
        <v>2</v>
      </c>
    </row>
    <row r="8200" spans="7:10">
      <c r="G8200">
        <v>1</v>
      </c>
      <c r="H8200">
        <v>2</v>
      </c>
      <c r="I8200">
        <v>5</v>
      </c>
      <c r="J8200">
        <v>1</v>
      </c>
    </row>
    <row r="8201" spans="7:10">
      <c r="G8201">
        <v>1</v>
      </c>
      <c r="H8201">
        <v>2</v>
      </c>
      <c r="I8201">
        <v>5</v>
      </c>
      <c r="J8201">
        <v>2</v>
      </c>
    </row>
    <row r="8202" spans="7:10">
      <c r="G8202">
        <v>1</v>
      </c>
      <c r="H8202">
        <v>3</v>
      </c>
      <c r="I8202">
        <v>1</v>
      </c>
      <c r="J8202">
        <v>1</v>
      </c>
    </row>
    <row r="8203" spans="7:10">
      <c r="G8203">
        <v>1</v>
      </c>
      <c r="H8203">
        <v>3</v>
      </c>
      <c r="I8203">
        <v>1</v>
      </c>
      <c r="J8203">
        <v>2</v>
      </c>
    </row>
    <row r="8204" spans="7:10">
      <c r="G8204">
        <v>1</v>
      </c>
      <c r="H8204">
        <v>3</v>
      </c>
      <c r="I8204">
        <v>2</v>
      </c>
      <c r="J8204">
        <v>1</v>
      </c>
    </row>
    <row r="8205" spans="7:10">
      <c r="G8205">
        <v>1</v>
      </c>
      <c r="H8205">
        <v>3</v>
      </c>
      <c r="I8205">
        <v>2</v>
      </c>
      <c r="J8205">
        <v>2</v>
      </c>
    </row>
    <row r="8206" spans="7:10">
      <c r="G8206">
        <v>1</v>
      </c>
      <c r="H8206">
        <v>3</v>
      </c>
      <c r="I8206">
        <v>3</v>
      </c>
      <c r="J8206">
        <v>1</v>
      </c>
    </row>
    <row r="8207" spans="7:10">
      <c r="G8207">
        <v>1</v>
      </c>
      <c r="H8207">
        <v>3</v>
      </c>
      <c r="I8207">
        <v>3</v>
      </c>
      <c r="J8207">
        <v>2</v>
      </c>
    </row>
    <row r="8208" spans="7:10">
      <c r="G8208">
        <v>1</v>
      </c>
      <c r="H8208">
        <v>3</v>
      </c>
      <c r="I8208">
        <v>4</v>
      </c>
      <c r="J8208">
        <v>1</v>
      </c>
    </row>
    <row r="8209" spans="7:10">
      <c r="G8209">
        <v>1</v>
      </c>
      <c r="H8209">
        <v>3</v>
      </c>
      <c r="I8209">
        <v>4</v>
      </c>
      <c r="J8209">
        <v>2</v>
      </c>
    </row>
    <row r="8210" spans="7:10">
      <c r="G8210">
        <v>1</v>
      </c>
      <c r="H8210">
        <v>3</v>
      </c>
      <c r="I8210">
        <v>5</v>
      </c>
      <c r="J8210">
        <v>1</v>
      </c>
    </row>
    <row r="8211" spans="7:10">
      <c r="G8211">
        <v>1</v>
      </c>
      <c r="H8211">
        <v>3</v>
      </c>
      <c r="I8211">
        <v>5</v>
      </c>
      <c r="J8211">
        <v>2</v>
      </c>
    </row>
    <row r="8212" spans="7:10">
      <c r="G8212">
        <v>2</v>
      </c>
      <c r="H8212">
        <v>1</v>
      </c>
      <c r="I8212">
        <v>3</v>
      </c>
      <c r="J8212">
        <v>1</v>
      </c>
    </row>
    <row r="8213" spans="7:10">
      <c r="G8213">
        <v>2</v>
      </c>
      <c r="H8213">
        <v>1</v>
      </c>
      <c r="I8213">
        <v>3</v>
      </c>
      <c r="J8213">
        <v>2</v>
      </c>
    </row>
    <row r="8214" spans="7:10">
      <c r="G8214">
        <v>2</v>
      </c>
      <c r="H8214">
        <v>1</v>
      </c>
      <c r="I8214">
        <v>4</v>
      </c>
      <c r="J8214">
        <v>1</v>
      </c>
    </row>
    <row r="8215" spans="7:10">
      <c r="G8215">
        <v>2</v>
      </c>
      <c r="H8215">
        <v>1</v>
      </c>
      <c r="I8215">
        <v>4</v>
      </c>
      <c r="J8215">
        <v>2</v>
      </c>
    </row>
    <row r="8216" spans="7:10">
      <c r="G8216">
        <v>2</v>
      </c>
      <c r="H8216">
        <v>1</v>
      </c>
      <c r="I8216">
        <v>5</v>
      </c>
      <c r="J8216">
        <v>1</v>
      </c>
    </row>
    <row r="8217" spans="7:10">
      <c r="G8217">
        <v>2</v>
      </c>
      <c r="H8217">
        <v>1</v>
      </c>
      <c r="I8217">
        <v>5</v>
      </c>
      <c r="J8217">
        <v>2</v>
      </c>
    </row>
    <row r="8218" spans="7:10">
      <c r="G8218">
        <v>2</v>
      </c>
      <c r="H8218">
        <v>2</v>
      </c>
      <c r="I8218">
        <v>1</v>
      </c>
      <c r="J8218">
        <v>1</v>
      </c>
    </row>
    <row r="8219" spans="7:10">
      <c r="G8219">
        <v>2</v>
      </c>
      <c r="H8219">
        <v>2</v>
      </c>
      <c r="I8219">
        <v>1</v>
      </c>
      <c r="J8219">
        <v>2</v>
      </c>
    </row>
    <row r="8220" spans="7:10">
      <c r="G8220">
        <v>2</v>
      </c>
      <c r="H8220">
        <v>2</v>
      </c>
      <c r="I8220">
        <v>2</v>
      </c>
      <c r="J8220">
        <v>1</v>
      </c>
    </row>
    <row r="8221" spans="7:10">
      <c r="G8221">
        <v>2</v>
      </c>
      <c r="H8221">
        <v>2</v>
      </c>
      <c r="I8221">
        <v>2</v>
      </c>
      <c r="J8221">
        <v>2</v>
      </c>
    </row>
    <row r="8222" spans="7:10">
      <c r="G8222">
        <v>2</v>
      </c>
      <c r="H8222">
        <v>2</v>
      </c>
      <c r="I8222">
        <v>3</v>
      </c>
      <c r="J8222">
        <v>1</v>
      </c>
    </row>
    <row r="8223" spans="7:10">
      <c r="G8223">
        <v>2</v>
      </c>
      <c r="H8223">
        <v>2</v>
      </c>
      <c r="I8223">
        <v>3</v>
      </c>
      <c r="J8223">
        <v>2</v>
      </c>
    </row>
    <row r="8224" spans="7:10">
      <c r="G8224">
        <v>2</v>
      </c>
      <c r="H8224">
        <v>2</v>
      </c>
      <c r="I8224">
        <v>4</v>
      </c>
      <c r="J8224">
        <v>1</v>
      </c>
    </row>
    <row r="8225" spans="7:10">
      <c r="G8225">
        <v>2</v>
      </c>
      <c r="H8225">
        <v>2</v>
      </c>
      <c r="I8225">
        <v>4</v>
      </c>
      <c r="J8225">
        <v>2</v>
      </c>
    </row>
    <row r="8226" spans="7:10">
      <c r="G8226">
        <v>2</v>
      </c>
      <c r="H8226">
        <v>2</v>
      </c>
      <c r="I8226">
        <v>5</v>
      </c>
      <c r="J8226">
        <v>1</v>
      </c>
    </row>
    <row r="8227" spans="7:10">
      <c r="G8227">
        <v>2</v>
      </c>
      <c r="H8227">
        <v>2</v>
      </c>
      <c r="I8227">
        <v>5</v>
      </c>
      <c r="J8227">
        <v>2</v>
      </c>
    </row>
    <row r="8228" spans="7:10">
      <c r="G8228">
        <v>2</v>
      </c>
      <c r="H8228">
        <v>3</v>
      </c>
      <c r="I8228">
        <v>1</v>
      </c>
      <c r="J8228">
        <v>1</v>
      </c>
    </row>
    <row r="8229" spans="7:10">
      <c r="G8229">
        <v>2</v>
      </c>
      <c r="H8229">
        <v>3</v>
      </c>
      <c r="I8229">
        <v>1</v>
      </c>
      <c r="J8229">
        <v>2</v>
      </c>
    </row>
    <row r="8230" spans="7:10">
      <c r="G8230">
        <v>2</v>
      </c>
      <c r="H8230">
        <v>3</v>
      </c>
      <c r="I8230">
        <v>2</v>
      </c>
      <c r="J8230">
        <v>1</v>
      </c>
    </row>
    <row r="8231" spans="7:10">
      <c r="G8231">
        <v>2</v>
      </c>
      <c r="H8231">
        <v>3</v>
      </c>
      <c r="I8231">
        <v>2</v>
      </c>
      <c r="J8231">
        <v>2</v>
      </c>
    </row>
    <row r="8232" spans="7:10">
      <c r="G8232">
        <v>2</v>
      </c>
      <c r="H8232">
        <v>3</v>
      </c>
      <c r="I8232">
        <v>3</v>
      </c>
      <c r="J8232">
        <v>1</v>
      </c>
    </row>
    <row r="8233" spans="7:10">
      <c r="G8233">
        <v>2</v>
      </c>
      <c r="H8233">
        <v>3</v>
      </c>
      <c r="I8233">
        <v>3</v>
      </c>
      <c r="J8233">
        <v>2</v>
      </c>
    </row>
    <row r="8234" spans="7:10">
      <c r="G8234">
        <v>2</v>
      </c>
      <c r="H8234">
        <v>3</v>
      </c>
      <c r="I8234">
        <v>4</v>
      </c>
      <c r="J8234">
        <v>1</v>
      </c>
    </row>
    <row r="8235" spans="7:10">
      <c r="G8235">
        <v>2</v>
      </c>
      <c r="H8235">
        <v>3</v>
      </c>
      <c r="I8235">
        <v>4</v>
      </c>
      <c r="J8235">
        <v>2</v>
      </c>
    </row>
    <row r="8236" spans="7:10">
      <c r="G8236">
        <v>2</v>
      </c>
      <c r="H8236">
        <v>3</v>
      </c>
      <c r="I8236">
        <v>5</v>
      </c>
      <c r="J8236">
        <v>1</v>
      </c>
    </row>
    <row r="8237" spans="7:10">
      <c r="G8237">
        <v>2</v>
      </c>
      <c r="H8237">
        <v>3</v>
      </c>
      <c r="I8237">
        <v>5</v>
      </c>
      <c r="J8237">
        <v>2</v>
      </c>
    </row>
    <row r="8238" spans="7:10">
      <c r="G8238">
        <v>3</v>
      </c>
      <c r="H8238">
        <v>1</v>
      </c>
      <c r="I8238">
        <v>3</v>
      </c>
      <c r="J8238">
        <v>1</v>
      </c>
    </row>
    <row r="8239" spans="7:10">
      <c r="G8239">
        <v>3</v>
      </c>
      <c r="H8239">
        <v>1</v>
      </c>
      <c r="I8239">
        <v>3</v>
      </c>
      <c r="J8239">
        <v>2</v>
      </c>
    </row>
    <row r="8240" spans="7:10">
      <c r="G8240">
        <v>3</v>
      </c>
      <c r="H8240">
        <v>1</v>
      </c>
      <c r="I8240">
        <v>4</v>
      </c>
      <c r="J8240">
        <v>1</v>
      </c>
    </row>
    <row r="8241" spans="7:10">
      <c r="G8241">
        <v>3</v>
      </c>
      <c r="H8241">
        <v>1</v>
      </c>
      <c r="I8241">
        <v>4</v>
      </c>
      <c r="J8241">
        <v>2</v>
      </c>
    </row>
    <row r="8242" spans="7:10">
      <c r="G8242">
        <v>3</v>
      </c>
      <c r="H8242">
        <v>1</v>
      </c>
      <c r="I8242">
        <v>5</v>
      </c>
      <c r="J8242">
        <v>1</v>
      </c>
    </row>
    <row r="8243" spans="7:10">
      <c r="G8243">
        <v>3</v>
      </c>
      <c r="H8243">
        <v>1</v>
      </c>
      <c r="I8243">
        <v>5</v>
      </c>
      <c r="J8243">
        <v>2</v>
      </c>
    </row>
    <row r="8244" spans="7:10">
      <c r="G8244">
        <v>3</v>
      </c>
      <c r="H8244">
        <v>2</v>
      </c>
      <c r="I8244">
        <v>1</v>
      </c>
      <c r="J8244">
        <v>1</v>
      </c>
    </row>
    <row r="8245" spans="7:10">
      <c r="G8245">
        <v>3</v>
      </c>
      <c r="H8245">
        <v>2</v>
      </c>
      <c r="I8245">
        <v>1</v>
      </c>
      <c r="J8245">
        <v>2</v>
      </c>
    </row>
    <row r="8246" spans="7:10">
      <c r="G8246">
        <v>3</v>
      </c>
      <c r="H8246">
        <v>2</v>
      </c>
      <c r="I8246">
        <v>2</v>
      </c>
      <c r="J8246">
        <v>1</v>
      </c>
    </row>
    <row r="8247" spans="7:10">
      <c r="G8247">
        <v>3</v>
      </c>
      <c r="H8247">
        <v>2</v>
      </c>
      <c r="I8247">
        <v>2</v>
      </c>
      <c r="J8247">
        <v>2</v>
      </c>
    </row>
    <row r="8248" spans="7:10">
      <c r="G8248">
        <v>3</v>
      </c>
      <c r="H8248">
        <v>2</v>
      </c>
      <c r="I8248">
        <v>3</v>
      </c>
      <c r="J8248">
        <v>1</v>
      </c>
    </row>
    <row r="8249" spans="7:10">
      <c r="G8249">
        <v>3</v>
      </c>
      <c r="H8249">
        <v>2</v>
      </c>
      <c r="I8249">
        <v>3</v>
      </c>
      <c r="J8249">
        <v>2</v>
      </c>
    </row>
    <row r="8250" spans="7:10">
      <c r="G8250">
        <v>3</v>
      </c>
      <c r="H8250">
        <v>2</v>
      </c>
      <c r="I8250">
        <v>4</v>
      </c>
      <c r="J8250">
        <v>1</v>
      </c>
    </row>
    <row r="8251" spans="7:10">
      <c r="G8251">
        <v>3</v>
      </c>
      <c r="H8251">
        <v>2</v>
      </c>
      <c r="I8251">
        <v>4</v>
      </c>
      <c r="J8251">
        <v>2</v>
      </c>
    </row>
    <row r="8252" spans="7:10">
      <c r="G8252">
        <v>3</v>
      </c>
      <c r="H8252">
        <v>2</v>
      </c>
      <c r="I8252">
        <v>5</v>
      </c>
      <c r="J8252">
        <v>1</v>
      </c>
    </row>
    <row r="8253" spans="7:10">
      <c r="G8253">
        <v>3</v>
      </c>
      <c r="H8253">
        <v>2</v>
      </c>
      <c r="I8253">
        <v>5</v>
      </c>
      <c r="J8253">
        <v>2</v>
      </c>
    </row>
    <row r="8254" spans="7:10">
      <c r="G8254">
        <v>3</v>
      </c>
      <c r="H8254">
        <v>3</v>
      </c>
      <c r="I8254">
        <v>1</v>
      </c>
      <c r="J8254">
        <v>1</v>
      </c>
    </row>
    <row r="8255" spans="7:10">
      <c r="G8255">
        <v>3</v>
      </c>
      <c r="H8255">
        <v>3</v>
      </c>
      <c r="I8255">
        <v>1</v>
      </c>
      <c r="J8255">
        <v>2</v>
      </c>
    </row>
    <row r="8256" spans="7:10">
      <c r="G8256">
        <v>3</v>
      </c>
      <c r="H8256">
        <v>3</v>
      </c>
      <c r="I8256">
        <v>2</v>
      </c>
      <c r="J8256">
        <v>1</v>
      </c>
    </row>
    <row r="8257" spans="7:10">
      <c r="G8257">
        <v>3</v>
      </c>
      <c r="H8257">
        <v>3</v>
      </c>
      <c r="I8257">
        <v>2</v>
      </c>
      <c r="J8257">
        <v>2</v>
      </c>
    </row>
    <row r="8258" spans="7:10">
      <c r="G8258">
        <v>3</v>
      </c>
      <c r="H8258">
        <v>3</v>
      </c>
      <c r="I8258">
        <v>3</v>
      </c>
      <c r="J8258">
        <v>1</v>
      </c>
    </row>
    <row r="8259" spans="7:10">
      <c r="G8259">
        <v>3</v>
      </c>
      <c r="H8259">
        <v>3</v>
      </c>
      <c r="I8259">
        <v>3</v>
      </c>
      <c r="J8259">
        <v>2</v>
      </c>
    </row>
    <row r="8260" spans="7:10">
      <c r="G8260">
        <v>3</v>
      </c>
      <c r="H8260">
        <v>3</v>
      </c>
      <c r="I8260">
        <v>4</v>
      </c>
      <c r="J8260">
        <v>1</v>
      </c>
    </row>
    <row r="8261" spans="7:10">
      <c r="G8261">
        <v>3</v>
      </c>
      <c r="H8261">
        <v>3</v>
      </c>
      <c r="I8261">
        <v>4</v>
      </c>
      <c r="J8261">
        <v>2</v>
      </c>
    </row>
    <row r="8262" spans="7:10">
      <c r="G8262">
        <v>3</v>
      </c>
      <c r="H8262">
        <v>3</v>
      </c>
      <c r="I8262">
        <v>5</v>
      </c>
      <c r="J8262">
        <v>1</v>
      </c>
    </row>
    <row r="8263" spans="7:10">
      <c r="G8263">
        <v>3</v>
      </c>
      <c r="H8263">
        <v>3</v>
      </c>
      <c r="I8263">
        <v>5</v>
      </c>
      <c r="J8263">
        <v>2</v>
      </c>
    </row>
    <row r="8264" spans="7:10">
      <c r="G8264">
        <v>4</v>
      </c>
      <c r="H8264">
        <v>1</v>
      </c>
      <c r="I8264">
        <v>3</v>
      </c>
      <c r="J8264">
        <v>1</v>
      </c>
    </row>
    <row r="8265" spans="7:10">
      <c r="G8265">
        <v>4</v>
      </c>
      <c r="H8265">
        <v>1</v>
      </c>
      <c r="I8265">
        <v>3</v>
      </c>
      <c r="J8265">
        <v>2</v>
      </c>
    </row>
    <row r="8266" spans="7:10">
      <c r="G8266">
        <v>4</v>
      </c>
      <c r="H8266">
        <v>1</v>
      </c>
      <c r="I8266">
        <v>4</v>
      </c>
      <c r="J8266">
        <v>1</v>
      </c>
    </row>
    <row r="8267" spans="7:10">
      <c r="G8267">
        <v>4</v>
      </c>
      <c r="H8267">
        <v>1</v>
      </c>
      <c r="I8267">
        <v>4</v>
      </c>
      <c r="J8267">
        <v>2</v>
      </c>
    </row>
    <row r="8268" spans="7:10">
      <c r="G8268">
        <v>4</v>
      </c>
      <c r="H8268">
        <v>1</v>
      </c>
      <c r="I8268">
        <v>5</v>
      </c>
      <c r="J8268">
        <v>1</v>
      </c>
    </row>
    <row r="8269" spans="7:10">
      <c r="G8269">
        <v>4</v>
      </c>
      <c r="H8269">
        <v>1</v>
      </c>
      <c r="I8269">
        <v>5</v>
      </c>
      <c r="J8269">
        <v>2</v>
      </c>
    </row>
    <row r="8270" spans="7:10">
      <c r="G8270">
        <v>4</v>
      </c>
      <c r="H8270">
        <v>2</v>
      </c>
      <c r="I8270">
        <v>1</v>
      </c>
      <c r="J8270">
        <v>1</v>
      </c>
    </row>
    <row r="8271" spans="7:10">
      <c r="G8271">
        <v>4</v>
      </c>
      <c r="H8271">
        <v>2</v>
      </c>
      <c r="I8271">
        <v>1</v>
      </c>
      <c r="J8271">
        <v>2</v>
      </c>
    </row>
    <row r="8272" spans="7:10">
      <c r="G8272">
        <v>4</v>
      </c>
      <c r="H8272">
        <v>2</v>
      </c>
      <c r="I8272">
        <v>2</v>
      </c>
      <c r="J8272">
        <v>1</v>
      </c>
    </row>
    <row r="8273" spans="7:10">
      <c r="G8273">
        <v>4</v>
      </c>
      <c r="H8273">
        <v>2</v>
      </c>
      <c r="I8273">
        <v>2</v>
      </c>
      <c r="J8273">
        <v>2</v>
      </c>
    </row>
    <row r="8274" spans="7:10">
      <c r="G8274">
        <v>4</v>
      </c>
      <c r="H8274">
        <v>2</v>
      </c>
      <c r="I8274">
        <v>3</v>
      </c>
      <c r="J8274">
        <v>1</v>
      </c>
    </row>
    <row r="8275" spans="7:10">
      <c r="G8275">
        <v>4</v>
      </c>
      <c r="H8275">
        <v>2</v>
      </c>
      <c r="I8275">
        <v>3</v>
      </c>
      <c r="J8275">
        <v>2</v>
      </c>
    </row>
    <row r="8276" spans="7:10">
      <c r="G8276">
        <v>4</v>
      </c>
      <c r="H8276">
        <v>2</v>
      </c>
      <c r="I8276">
        <v>4</v>
      </c>
      <c r="J8276">
        <v>1</v>
      </c>
    </row>
    <row r="8277" spans="7:10">
      <c r="G8277">
        <v>4</v>
      </c>
      <c r="H8277">
        <v>2</v>
      </c>
      <c r="I8277">
        <v>4</v>
      </c>
      <c r="J8277">
        <v>2</v>
      </c>
    </row>
    <row r="8278" spans="7:10">
      <c r="G8278">
        <v>4</v>
      </c>
      <c r="H8278">
        <v>2</v>
      </c>
      <c r="I8278">
        <v>5</v>
      </c>
      <c r="J8278">
        <v>1</v>
      </c>
    </row>
    <row r="8279" spans="7:10">
      <c r="G8279">
        <v>4</v>
      </c>
      <c r="H8279">
        <v>2</v>
      </c>
      <c r="I8279">
        <v>5</v>
      </c>
      <c r="J8279">
        <v>2</v>
      </c>
    </row>
    <row r="8280" spans="7:10">
      <c r="G8280">
        <v>4</v>
      </c>
      <c r="H8280">
        <v>3</v>
      </c>
      <c r="I8280">
        <v>1</v>
      </c>
      <c r="J8280">
        <v>1</v>
      </c>
    </row>
    <row r="8281" spans="7:10">
      <c r="G8281">
        <v>4</v>
      </c>
      <c r="H8281">
        <v>3</v>
      </c>
      <c r="I8281">
        <v>1</v>
      </c>
      <c r="J8281">
        <v>2</v>
      </c>
    </row>
    <row r="8282" spans="7:10">
      <c r="G8282">
        <v>4</v>
      </c>
      <c r="H8282">
        <v>3</v>
      </c>
      <c r="I8282">
        <v>2</v>
      </c>
      <c r="J8282">
        <v>1</v>
      </c>
    </row>
    <row r="8283" spans="7:10">
      <c r="G8283">
        <v>4</v>
      </c>
      <c r="H8283">
        <v>3</v>
      </c>
      <c r="I8283">
        <v>2</v>
      </c>
      <c r="J8283">
        <v>2</v>
      </c>
    </row>
    <row r="8284" spans="7:10">
      <c r="G8284">
        <v>4</v>
      </c>
      <c r="H8284">
        <v>3</v>
      </c>
      <c r="I8284">
        <v>3</v>
      </c>
      <c r="J8284">
        <v>1</v>
      </c>
    </row>
    <row r="8285" spans="7:10">
      <c r="G8285">
        <v>4</v>
      </c>
      <c r="H8285">
        <v>3</v>
      </c>
      <c r="I8285">
        <v>3</v>
      </c>
      <c r="J8285">
        <v>2</v>
      </c>
    </row>
    <row r="8286" spans="7:10">
      <c r="G8286">
        <v>4</v>
      </c>
      <c r="H8286">
        <v>3</v>
      </c>
      <c r="I8286">
        <v>4</v>
      </c>
      <c r="J8286">
        <v>1</v>
      </c>
    </row>
    <row r="8287" spans="7:10">
      <c r="G8287">
        <v>4</v>
      </c>
      <c r="H8287">
        <v>3</v>
      </c>
      <c r="I8287">
        <v>4</v>
      </c>
      <c r="J8287">
        <v>2</v>
      </c>
    </row>
    <row r="8288" spans="7:10">
      <c r="G8288">
        <v>4</v>
      </c>
      <c r="H8288">
        <v>3</v>
      </c>
      <c r="I8288">
        <v>5</v>
      </c>
      <c r="J8288">
        <v>1</v>
      </c>
    </row>
    <row r="8289" spans="7:10">
      <c r="G8289">
        <v>4</v>
      </c>
      <c r="H8289">
        <v>3</v>
      </c>
      <c r="I8289">
        <v>5</v>
      </c>
      <c r="J8289">
        <v>2</v>
      </c>
    </row>
    <row r="8290" spans="7:10">
      <c r="G8290">
        <v>1</v>
      </c>
      <c r="H8290">
        <v>2</v>
      </c>
      <c r="I8290">
        <v>1</v>
      </c>
      <c r="J8290">
        <v>1</v>
      </c>
    </row>
    <row r="8291" spans="7:10">
      <c r="G8291">
        <v>1</v>
      </c>
      <c r="H8291">
        <v>2</v>
      </c>
      <c r="I8291">
        <v>1</v>
      </c>
      <c r="J8291">
        <v>2</v>
      </c>
    </row>
    <row r="8292" spans="7:10">
      <c r="G8292">
        <v>1</v>
      </c>
      <c r="H8292">
        <v>2</v>
      </c>
      <c r="I8292">
        <v>2</v>
      </c>
      <c r="J8292">
        <v>1</v>
      </c>
    </row>
    <row r="8293" spans="7:10">
      <c r="G8293">
        <v>1</v>
      </c>
      <c r="H8293">
        <v>2</v>
      </c>
      <c r="I8293">
        <v>2</v>
      </c>
      <c r="J8293">
        <v>2</v>
      </c>
    </row>
    <row r="8294" spans="7:10">
      <c r="G8294">
        <v>1</v>
      </c>
      <c r="H8294">
        <v>2</v>
      </c>
      <c r="I8294">
        <v>3</v>
      </c>
      <c r="J8294">
        <v>1</v>
      </c>
    </row>
    <row r="8295" spans="7:10">
      <c r="G8295">
        <v>1</v>
      </c>
      <c r="H8295">
        <v>2</v>
      </c>
      <c r="I8295">
        <v>3</v>
      </c>
      <c r="J8295">
        <v>2</v>
      </c>
    </row>
    <row r="8296" spans="7:10">
      <c r="G8296">
        <v>1</v>
      </c>
      <c r="H8296">
        <v>2</v>
      </c>
      <c r="I8296">
        <v>4</v>
      </c>
      <c r="J8296">
        <v>1</v>
      </c>
    </row>
    <row r="8297" spans="7:10">
      <c r="G8297">
        <v>1</v>
      </c>
      <c r="H8297">
        <v>2</v>
      </c>
      <c r="I8297">
        <v>4</v>
      </c>
      <c r="J8297">
        <v>2</v>
      </c>
    </row>
    <row r="8298" spans="7:10">
      <c r="G8298">
        <v>1</v>
      </c>
      <c r="H8298">
        <v>2</v>
      </c>
      <c r="I8298">
        <v>5</v>
      </c>
      <c r="J8298">
        <v>1</v>
      </c>
    </row>
    <row r="8299" spans="7:10">
      <c r="G8299">
        <v>1</v>
      </c>
      <c r="H8299">
        <v>2</v>
      </c>
      <c r="I8299">
        <v>5</v>
      </c>
      <c r="J8299">
        <v>2</v>
      </c>
    </row>
    <row r="8300" spans="7:10">
      <c r="G8300">
        <v>1</v>
      </c>
      <c r="H8300">
        <v>3</v>
      </c>
      <c r="I8300">
        <v>1</v>
      </c>
      <c r="J8300">
        <v>1</v>
      </c>
    </row>
    <row r="8301" spans="7:10">
      <c r="G8301">
        <v>1</v>
      </c>
      <c r="H8301">
        <v>3</v>
      </c>
      <c r="I8301">
        <v>1</v>
      </c>
      <c r="J8301">
        <v>2</v>
      </c>
    </row>
    <row r="8302" spans="7:10">
      <c r="G8302">
        <v>1</v>
      </c>
      <c r="H8302">
        <v>3</v>
      </c>
      <c r="I8302">
        <v>2</v>
      </c>
      <c r="J8302">
        <v>1</v>
      </c>
    </row>
    <row r="8303" spans="7:10">
      <c r="G8303">
        <v>1</v>
      </c>
      <c r="H8303">
        <v>3</v>
      </c>
      <c r="I8303">
        <v>2</v>
      </c>
      <c r="J8303">
        <v>2</v>
      </c>
    </row>
    <row r="8304" spans="7:10">
      <c r="G8304">
        <v>1</v>
      </c>
      <c r="H8304">
        <v>3</v>
      </c>
      <c r="I8304">
        <v>3</v>
      </c>
      <c r="J8304">
        <v>1</v>
      </c>
    </row>
    <row r="8305" spans="7:10">
      <c r="G8305">
        <v>1</v>
      </c>
      <c r="H8305">
        <v>3</v>
      </c>
      <c r="I8305">
        <v>3</v>
      </c>
      <c r="J8305">
        <v>2</v>
      </c>
    </row>
    <row r="8306" spans="7:10">
      <c r="G8306">
        <v>1</v>
      </c>
      <c r="H8306">
        <v>3</v>
      </c>
      <c r="I8306">
        <v>4</v>
      </c>
      <c r="J8306">
        <v>1</v>
      </c>
    </row>
    <row r="8307" spans="7:10">
      <c r="G8307">
        <v>1</v>
      </c>
      <c r="H8307">
        <v>3</v>
      </c>
      <c r="I8307">
        <v>4</v>
      </c>
      <c r="J8307">
        <v>2</v>
      </c>
    </row>
    <row r="8308" spans="7:10">
      <c r="G8308">
        <v>1</v>
      </c>
      <c r="H8308">
        <v>3</v>
      </c>
      <c r="I8308">
        <v>5</v>
      </c>
      <c r="J8308">
        <v>1</v>
      </c>
    </row>
    <row r="8309" spans="7:10">
      <c r="G8309">
        <v>1</v>
      </c>
      <c r="H8309">
        <v>3</v>
      </c>
      <c r="I8309">
        <v>5</v>
      </c>
      <c r="J8309">
        <v>2</v>
      </c>
    </row>
    <row r="8310" spans="7:10">
      <c r="G8310">
        <v>2</v>
      </c>
      <c r="H8310">
        <v>1</v>
      </c>
      <c r="I8310">
        <v>3</v>
      </c>
      <c r="J8310">
        <v>1</v>
      </c>
    </row>
    <row r="8311" spans="7:10">
      <c r="G8311">
        <v>2</v>
      </c>
      <c r="H8311">
        <v>1</v>
      </c>
      <c r="I8311">
        <v>3</v>
      </c>
      <c r="J8311">
        <v>2</v>
      </c>
    </row>
    <row r="8312" spans="7:10">
      <c r="G8312">
        <v>2</v>
      </c>
      <c r="H8312">
        <v>1</v>
      </c>
      <c r="I8312">
        <v>4</v>
      </c>
      <c r="J8312">
        <v>1</v>
      </c>
    </row>
    <row r="8313" spans="7:10">
      <c r="G8313">
        <v>2</v>
      </c>
      <c r="H8313">
        <v>1</v>
      </c>
      <c r="I8313">
        <v>4</v>
      </c>
      <c r="J8313">
        <v>2</v>
      </c>
    </row>
    <row r="8314" spans="7:10">
      <c r="G8314">
        <v>2</v>
      </c>
      <c r="H8314">
        <v>1</v>
      </c>
      <c r="I8314">
        <v>5</v>
      </c>
      <c r="J8314">
        <v>1</v>
      </c>
    </row>
    <row r="8315" spans="7:10">
      <c r="G8315">
        <v>2</v>
      </c>
      <c r="H8315">
        <v>1</v>
      </c>
      <c r="I8315">
        <v>5</v>
      </c>
      <c r="J8315">
        <v>2</v>
      </c>
    </row>
    <row r="8316" spans="7:10">
      <c r="G8316">
        <v>2</v>
      </c>
      <c r="H8316">
        <v>2</v>
      </c>
      <c r="I8316">
        <v>1</v>
      </c>
      <c r="J8316">
        <v>1</v>
      </c>
    </row>
    <row r="8317" spans="7:10">
      <c r="G8317">
        <v>2</v>
      </c>
      <c r="H8317">
        <v>2</v>
      </c>
      <c r="I8317">
        <v>1</v>
      </c>
      <c r="J8317">
        <v>2</v>
      </c>
    </row>
    <row r="8318" spans="7:10">
      <c r="G8318">
        <v>2</v>
      </c>
      <c r="H8318">
        <v>2</v>
      </c>
      <c r="I8318">
        <v>2</v>
      </c>
      <c r="J8318">
        <v>1</v>
      </c>
    </row>
    <row r="8319" spans="7:10">
      <c r="G8319">
        <v>2</v>
      </c>
      <c r="H8319">
        <v>2</v>
      </c>
      <c r="I8319">
        <v>2</v>
      </c>
      <c r="J8319">
        <v>2</v>
      </c>
    </row>
    <row r="8320" spans="7:10">
      <c r="G8320">
        <v>2</v>
      </c>
      <c r="H8320">
        <v>2</v>
      </c>
      <c r="I8320">
        <v>3</v>
      </c>
      <c r="J8320">
        <v>1</v>
      </c>
    </row>
    <row r="8321" spans="7:10">
      <c r="G8321">
        <v>2</v>
      </c>
      <c r="H8321">
        <v>2</v>
      </c>
      <c r="I8321">
        <v>3</v>
      </c>
      <c r="J8321">
        <v>2</v>
      </c>
    </row>
    <row r="8322" spans="7:10">
      <c r="G8322">
        <v>2</v>
      </c>
      <c r="H8322">
        <v>2</v>
      </c>
      <c r="I8322">
        <v>4</v>
      </c>
      <c r="J8322">
        <v>1</v>
      </c>
    </row>
    <row r="8323" spans="7:10">
      <c r="G8323">
        <v>2</v>
      </c>
      <c r="H8323">
        <v>2</v>
      </c>
      <c r="I8323">
        <v>4</v>
      </c>
      <c r="J8323">
        <v>2</v>
      </c>
    </row>
    <row r="8324" spans="7:10">
      <c r="G8324">
        <v>2</v>
      </c>
      <c r="H8324">
        <v>2</v>
      </c>
      <c r="I8324">
        <v>5</v>
      </c>
      <c r="J8324">
        <v>1</v>
      </c>
    </row>
    <row r="8325" spans="7:10">
      <c r="G8325">
        <v>2</v>
      </c>
      <c r="H8325">
        <v>2</v>
      </c>
      <c r="I8325">
        <v>5</v>
      </c>
      <c r="J8325">
        <v>2</v>
      </c>
    </row>
    <row r="8326" spans="7:10">
      <c r="G8326">
        <v>2</v>
      </c>
      <c r="H8326">
        <v>3</v>
      </c>
      <c r="I8326">
        <v>1</v>
      </c>
      <c r="J8326">
        <v>1</v>
      </c>
    </row>
    <row r="8327" spans="7:10">
      <c r="G8327">
        <v>2</v>
      </c>
      <c r="H8327">
        <v>3</v>
      </c>
      <c r="I8327">
        <v>1</v>
      </c>
      <c r="J8327">
        <v>2</v>
      </c>
    </row>
    <row r="8328" spans="7:10">
      <c r="G8328">
        <v>2</v>
      </c>
      <c r="H8328">
        <v>3</v>
      </c>
      <c r="I8328">
        <v>2</v>
      </c>
      <c r="J8328">
        <v>1</v>
      </c>
    </row>
    <row r="8329" spans="7:10">
      <c r="G8329">
        <v>2</v>
      </c>
      <c r="H8329">
        <v>3</v>
      </c>
      <c r="I8329">
        <v>2</v>
      </c>
      <c r="J8329">
        <v>2</v>
      </c>
    </row>
    <row r="8330" spans="7:10">
      <c r="G8330">
        <v>2</v>
      </c>
      <c r="H8330">
        <v>3</v>
      </c>
      <c r="I8330">
        <v>3</v>
      </c>
      <c r="J8330">
        <v>1</v>
      </c>
    </row>
    <row r="8331" spans="7:10">
      <c r="G8331">
        <v>2</v>
      </c>
      <c r="H8331">
        <v>3</v>
      </c>
      <c r="I8331">
        <v>3</v>
      </c>
      <c r="J8331">
        <v>2</v>
      </c>
    </row>
    <row r="8332" spans="7:10">
      <c r="G8332">
        <v>2</v>
      </c>
      <c r="H8332">
        <v>3</v>
      </c>
      <c r="I8332">
        <v>4</v>
      </c>
      <c r="J8332">
        <v>1</v>
      </c>
    </row>
    <row r="8333" spans="7:10">
      <c r="G8333">
        <v>2</v>
      </c>
      <c r="H8333">
        <v>3</v>
      </c>
      <c r="I8333">
        <v>4</v>
      </c>
      <c r="J8333">
        <v>2</v>
      </c>
    </row>
    <row r="8334" spans="7:10">
      <c r="G8334">
        <v>2</v>
      </c>
      <c r="H8334">
        <v>3</v>
      </c>
      <c r="I8334">
        <v>5</v>
      </c>
      <c r="J8334">
        <v>1</v>
      </c>
    </row>
    <row r="8335" spans="7:10">
      <c r="G8335">
        <v>2</v>
      </c>
      <c r="H8335">
        <v>3</v>
      </c>
      <c r="I8335">
        <v>5</v>
      </c>
      <c r="J8335">
        <v>2</v>
      </c>
    </row>
    <row r="8336" spans="7:10">
      <c r="G8336">
        <v>3</v>
      </c>
      <c r="H8336">
        <v>1</v>
      </c>
      <c r="I8336">
        <v>3</v>
      </c>
      <c r="J8336">
        <v>1</v>
      </c>
    </row>
    <row r="8337" spans="7:10">
      <c r="G8337">
        <v>3</v>
      </c>
      <c r="H8337">
        <v>1</v>
      </c>
      <c r="I8337">
        <v>3</v>
      </c>
      <c r="J8337">
        <v>2</v>
      </c>
    </row>
    <row r="8338" spans="7:10">
      <c r="G8338">
        <v>3</v>
      </c>
      <c r="H8338">
        <v>1</v>
      </c>
      <c r="I8338">
        <v>4</v>
      </c>
      <c r="J8338">
        <v>1</v>
      </c>
    </row>
    <row r="8339" spans="7:10">
      <c r="G8339">
        <v>3</v>
      </c>
      <c r="H8339">
        <v>1</v>
      </c>
      <c r="I8339">
        <v>4</v>
      </c>
      <c r="J8339">
        <v>2</v>
      </c>
    </row>
    <row r="8340" spans="7:10">
      <c r="G8340">
        <v>3</v>
      </c>
      <c r="H8340">
        <v>1</v>
      </c>
      <c r="I8340">
        <v>5</v>
      </c>
      <c r="J8340">
        <v>1</v>
      </c>
    </row>
    <row r="8341" spans="7:10">
      <c r="G8341">
        <v>3</v>
      </c>
      <c r="H8341">
        <v>1</v>
      </c>
      <c r="I8341">
        <v>5</v>
      </c>
      <c r="J8341">
        <v>2</v>
      </c>
    </row>
    <row r="8342" spans="7:10">
      <c r="G8342">
        <v>3</v>
      </c>
      <c r="H8342">
        <v>2</v>
      </c>
      <c r="I8342">
        <v>1</v>
      </c>
      <c r="J8342">
        <v>1</v>
      </c>
    </row>
    <row r="8343" spans="7:10">
      <c r="G8343">
        <v>3</v>
      </c>
      <c r="H8343">
        <v>2</v>
      </c>
      <c r="I8343">
        <v>1</v>
      </c>
      <c r="J8343">
        <v>2</v>
      </c>
    </row>
    <row r="8344" spans="7:10">
      <c r="G8344">
        <v>3</v>
      </c>
      <c r="H8344">
        <v>2</v>
      </c>
      <c r="I8344">
        <v>2</v>
      </c>
      <c r="J8344">
        <v>1</v>
      </c>
    </row>
    <row r="8345" spans="7:10">
      <c r="G8345">
        <v>3</v>
      </c>
      <c r="H8345">
        <v>2</v>
      </c>
      <c r="I8345">
        <v>2</v>
      </c>
      <c r="J8345">
        <v>2</v>
      </c>
    </row>
    <row r="8346" spans="7:10">
      <c r="G8346">
        <v>3</v>
      </c>
      <c r="H8346">
        <v>2</v>
      </c>
      <c r="I8346">
        <v>3</v>
      </c>
      <c r="J8346">
        <v>1</v>
      </c>
    </row>
    <row r="8347" spans="7:10">
      <c r="G8347">
        <v>3</v>
      </c>
      <c r="H8347">
        <v>2</v>
      </c>
      <c r="I8347">
        <v>3</v>
      </c>
      <c r="J8347">
        <v>2</v>
      </c>
    </row>
    <row r="8348" spans="7:10">
      <c r="G8348">
        <v>3</v>
      </c>
      <c r="H8348">
        <v>2</v>
      </c>
      <c r="I8348">
        <v>4</v>
      </c>
      <c r="J8348">
        <v>1</v>
      </c>
    </row>
    <row r="8349" spans="7:10">
      <c r="G8349">
        <v>3</v>
      </c>
      <c r="H8349">
        <v>2</v>
      </c>
      <c r="I8349">
        <v>4</v>
      </c>
      <c r="J8349">
        <v>2</v>
      </c>
    </row>
    <row r="8350" spans="7:10">
      <c r="G8350">
        <v>3</v>
      </c>
      <c r="H8350">
        <v>2</v>
      </c>
      <c r="I8350">
        <v>5</v>
      </c>
      <c r="J8350">
        <v>1</v>
      </c>
    </row>
    <row r="8351" spans="7:10">
      <c r="G8351">
        <v>3</v>
      </c>
      <c r="H8351">
        <v>2</v>
      </c>
      <c r="I8351">
        <v>5</v>
      </c>
      <c r="J8351">
        <v>2</v>
      </c>
    </row>
    <row r="8352" spans="7:10">
      <c r="G8352">
        <v>3</v>
      </c>
      <c r="H8352">
        <v>3</v>
      </c>
      <c r="I8352">
        <v>1</v>
      </c>
      <c r="J8352">
        <v>1</v>
      </c>
    </row>
    <row r="8353" spans="7:10">
      <c r="G8353">
        <v>3</v>
      </c>
      <c r="H8353">
        <v>3</v>
      </c>
      <c r="I8353">
        <v>1</v>
      </c>
      <c r="J8353">
        <v>2</v>
      </c>
    </row>
    <row r="8354" spans="7:10">
      <c r="G8354">
        <v>3</v>
      </c>
      <c r="H8354">
        <v>3</v>
      </c>
      <c r="I8354">
        <v>2</v>
      </c>
      <c r="J8354">
        <v>1</v>
      </c>
    </row>
    <row r="8355" spans="7:10">
      <c r="G8355">
        <v>3</v>
      </c>
      <c r="H8355">
        <v>3</v>
      </c>
      <c r="I8355">
        <v>2</v>
      </c>
      <c r="J8355">
        <v>2</v>
      </c>
    </row>
    <row r="8356" spans="7:10">
      <c r="G8356">
        <v>3</v>
      </c>
      <c r="H8356">
        <v>3</v>
      </c>
      <c r="I8356">
        <v>3</v>
      </c>
      <c r="J8356">
        <v>1</v>
      </c>
    </row>
    <row r="8357" spans="7:10">
      <c r="G8357">
        <v>3</v>
      </c>
      <c r="H8357">
        <v>3</v>
      </c>
      <c r="I8357">
        <v>3</v>
      </c>
      <c r="J8357">
        <v>2</v>
      </c>
    </row>
    <row r="8358" spans="7:10">
      <c r="G8358">
        <v>3</v>
      </c>
      <c r="H8358">
        <v>3</v>
      </c>
      <c r="I8358">
        <v>4</v>
      </c>
      <c r="J8358">
        <v>1</v>
      </c>
    </row>
    <row r="8359" spans="7:10">
      <c r="G8359">
        <v>3</v>
      </c>
      <c r="H8359">
        <v>3</v>
      </c>
      <c r="I8359">
        <v>4</v>
      </c>
      <c r="J8359">
        <v>2</v>
      </c>
    </row>
    <row r="8360" spans="7:10">
      <c r="G8360">
        <v>3</v>
      </c>
      <c r="H8360">
        <v>3</v>
      </c>
      <c r="I8360">
        <v>5</v>
      </c>
      <c r="J8360">
        <v>1</v>
      </c>
    </row>
    <row r="8361" spans="7:10">
      <c r="G8361">
        <v>3</v>
      </c>
      <c r="H8361">
        <v>3</v>
      </c>
      <c r="I8361">
        <v>5</v>
      </c>
      <c r="J8361">
        <v>2</v>
      </c>
    </row>
    <row r="8362" spans="7:10">
      <c r="G8362">
        <v>4</v>
      </c>
      <c r="H8362">
        <v>1</v>
      </c>
      <c r="I8362">
        <v>3</v>
      </c>
      <c r="J8362">
        <v>1</v>
      </c>
    </row>
    <row r="8363" spans="7:10">
      <c r="G8363">
        <v>4</v>
      </c>
      <c r="H8363">
        <v>1</v>
      </c>
      <c r="I8363">
        <v>3</v>
      </c>
      <c r="J8363">
        <v>2</v>
      </c>
    </row>
    <row r="8364" spans="7:10">
      <c r="G8364">
        <v>4</v>
      </c>
      <c r="H8364">
        <v>1</v>
      </c>
      <c r="I8364">
        <v>4</v>
      </c>
      <c r="J8364">
        <v>1</v>
      </c>
    </row>
    <row r="8365" spans="7:10">
      <c r="G8365">
        <v>4</v>
      </c>
      <c r="H8365">
        <v>1</v>
      </c>
      <c r="I8365">
        <v>4</v>
      </c>
      <c r="J8365">
        <v>2</v>
      </c>
    </row>
    <row r="8366" spans="7:10">
      <c r="G8366">
        <v>4</v>
      </c>
      <c r="H8366">
        <v>1</v>
      </c>
      <c r="I8366">
        <v>5</v>
      </c>
      <c r="J8366">
        <v>1</v>
      </c>
    </row>
    <row r="8367" spans="7:10">
      <c r="G8367">
        <v>4</v>
      </c>
      <c r="H8367">
        <v>1</v>
      </c>
      <c r="I8367">
        <v>5</v>
      </c>
      <c r="J8367">
        <v>2</v>
      </c>
    </row>
    <row r="8368" spans="7:10">
      <c r="G8368">
        <v>4</v>
      </c>
      <c r="H8368">
        <v>2</v>
      </c>
      <c r="I8368">
        <v>1</v>
      </c>
      <c r="J8368">
        <v>1</v>
      </c>
    </row>
    <row r="8369" spans="7:10">
      <c r="G8369">
        <v>4</v>
      </c>
      <c r="H8369">
        <v>2</v>
      </c>
      <c r="I8369">
        <v>1</v>
      </c>
      <c r="J8369">
        <v>2</v>
      </c>
    </row>
    <row r="8370" spans="7:10">
      <c r="G8370">
        <v>4</v>
      </c>
      <c r="H8370">
        <v>2</v>
      </c>
      <c r="I8370">
        <v>2</v>
      </c>
      <c r="J8370">
        <v>1</v>
      </c>
    </row>
    <row r="8371" spans="7:10">
      <c r="G8371">
        <v>4</v>
      </c>
      <c r="H8371">
        <v>2</v>
      </c>
      <c r="I8371">
        <v>2</v>
      </c>
      <c r="J8371">
        <v>2</v>
      </c>
    </row>
    <row r="8372" spans="7:10">
      <c r="G8372">
        <v>4</v>
      </c>
      <c r="H8372">
        <v>2</v>
      </c>
      <c r="I8372">
        <v>3</v>
      </c>
      <c r="J8372">
        <v>1</v>
      </c>
    </row>
    <row r="8373" spans="7:10">
      <c r="G8373">
        <v>4</v>
      </c>
      <c r="H8373">
        <v>2</v>
      </c>
      <c r="I8373">
        <v>3</v>
      </c>
      <c r="J8373">
        <v>2</v>
      </c>
    </row>
    <row r="8374" spans="7:10">
      <c r="G8374">
        <v>4</v>
      </c>
      <c r="H8374">
        <v>2</v>
      </c>
      <c r="I8374">
        <v>4</v>
      </c>
      <c r="J8374">
        <v>1</v>
      </c>
    </row>
    <row r="8375" spans="7:10">
      <c r="G8375">
        <v>4</v>
      </c>
      <c r="H8375">
        <v>2</v>
      </c>
      <c r="I8375">
        <v>4</v>
      </c>
      <c r="J8375">
        <v>2</v>
      </c>
    </row>
    <row r="8376" spans="7:10">
      <c r="G8376">
        <v>4</v>
      </c>
      <c r="H8376">
        <v>2</v>
      </c>
      <c r="I8376">
        <v>5</v>
      </c>
      <c r="J8376">
        <v>1</v>
      </c>
    </row>
    <row r="8377" spans="7:10">
      <c r="G8377">
        <v>4</v>
      </c>
      <c r="H8377">
        <v>2</v>
      </c>
      <c r="I8377">
        <v>5</v>
      </c>
      <c r="J8377">
        <v>2</v>
      </c>
    </row>
    <row r="8378" spans="7:10">
      <c r="G8378">
        <v>4</v>
      </c>
      <c r="H8378">
        <v>3</v>
      </c>
      <c r="I8378">
        <v>1</v>
      </c>
      <c r="J8378">
        <v>1</v>
      </c>
    </row>
    <row r="8379" spans="7:10">
      <c r="G8379">
        <v>4</v>
      </c>
      <c r="H8379">
        <v>3</v>
      </c>
      <c r="I8379">
        <v>1</v>
      </c>
      <c r="J8379">
        <v>2</v>
      </c>
    </row>
    <row r="8380" spans="7:10">
      <c r="G8380">
        <v>4</v>
      </c>
      <c r="H8380">
        <v>3</v>
      </c>
      <c r="I8380">
        <v>2</v>
      </c>
      <c r="J8380">
        <v>1</v>
      </c>
    </row>
    <row r="8381" spans="7:10">
      <c r="G8381">
        <v>4</v>
      </c>
      <c r="H8381">
        <v>3</v>
      </c>
      <c r="I8381">
        <v>2</v>
      </c>
      <c r="J8381">
        <v>2</v>
      </c>
    </row>
    <row r="8382" spans="7:10">
      <c r="G8382">
        <v>4</v>
      </c>
      <c r="H8382">
        <v>3</v>
      </c>
      <c r="I8382">
        <v>3</v>
      </c>
      <c r="J8382">
        <v>1</v>
      </c>
    </row>
    <row r="8383" spans="7:10">
      <c r="G8383">
        <v>4</v>
      </c>
      <c r="H8383">
        <v>3</v>
      </c>
      <c r="I8383">
        <v>3</v>
      </c>
      <c r="J8383">
        <v>2</v>
      </c>
    </row>
    <row r="8384" spans="7:10">
      <c r="G8384">
        <v>4</v>
      </c>
      <c r="H8384">
        <v>3</v>
      </c>
      <c r="I8384">
        <v>4</v>
      </c>
      <c r="J8384">
        <v>1</v>
      </c>
    </row>
    <row r="8385" spans="7:10">
      <c r="G8385">
        <v>4</v>
      </c>
      <c r="H8385">
        <v>3</v>
      </c>
      <c r="I8385">
        <v>4</v>
      </c>
      <c r="J8385">
        <v>2</v>
      </c>
    </row>
    <row r="8386" spans="7:10">
      <c r="G8386">
        <v>4</v>
      </c>
      <c r="H8386">
        <v>3</v>
      </c>
      <c r="I8386">
        <v>5</v>
      </c>
      <c r="J8386">
        <v>1</v>
      </c>
    </row>
    <row r="8387" spans="7:10">
      <c r="G8387">
        <v>4</v>
      </c>
      <c r="H8387">
        <v>3</v>
      </c>
      <c r="I8387">
        <v>5</v>
      </c>
      <c r="J8387">
        <v>2</v>
      </c>
    </row>
    <row r="8388" spans="7:10">
      <c r="G8388">
        <v>2</v>
      </c>
      <c r="H8388">
        <v>1</v>
      </c>
      <c r="I8388">
        <v>3</v>
      </c>
      <c r="J8388">
        <v>1</v>
      </c>
    </row>
    <row r="8389" spans="7:10">
      <c r="G8389">
        <v>2</v>
      </c>
      <c r="H8389">
        <v>1</v>
      </c>
      <c r="I8389">
        <v>3</v>
      </c>
      <c r="J8389">
        <v>2</v>
      </c>
    </row>
    <row r="8390" spans="7:10">
      <c r="G8390">
        <v>2</v>
      </c>
      <c r="H8390">
        <v>1</v>
      </c>
      <c r="I8390">
        <v>4</v>
      </c>
      <c r="J8390">
        <v>1</v>
      </c>
    </row>
    <row r="8391" spans="7:10">
      <c r="G8391">
        <v>2</v>
      </c>
      <c r="H8391">
        <v>1</v>
      </c>
      <c r="I8391">
        <v>4</v>
      </c>
      <c r="J8391">
        <v>2</v>
      </c>
    </row>
    <row r="8392" spans="7:10">
      <c r="G8392">
        <v>2</v>
      </c>
      <c r="H8392">
        <v>1</v>
      </c>
      <c r="I8392">
        <v>5</v>
      </c>
      <c r="J8392">
        <v>1</v>
      </c>
    </row>
    <row r="8393" spans="7:10">
      <c r="G8393">
        <v>2</v>
      </c>
      <c r="H8393">
        <v>1</v>
      </c>
      <c r="I8393">
        <v>5</v>
      </c>
      <c r="J8393">
        <v>2</v>
      </c>
    </row>
    <row r="8394" spans="7:10">
      <c r="G8394">
        <v>2</v>
      </c>
      <c r="H8394">
        <v>2</v>
      </c>
      <c r="I8394">
        <v>1</v>
      </c>
      <c r="J8394">
        <v>1</v>
      </c>
    </row>
    <row r="8395" spans="7:10">
      <c r="G8395">
        <v>2</v>
      </c>
      <c r="H8395">
        <v>2</v>
      </c>
      <c r="I8395">
        <v>1</v>
      </c>
      <c r="J8395">
        <v>2</v>
      </c>
    </row>
    <row r="8396" spans="7:10">
      <c r="G8396">
        <v>2</v>
      </c>
      <c r="H8396">
        <v>2</v>
      </c>
      <c r="I8396">
        <v>2</v>
      </c>
      <c r="J8396">
        <v>1</v>
      </c>
    </row>
    <row r="8397" spans="7:10">
      <c r="G8397">
        <v>2</v>
      </c>
      <c r="H8397">
        <v>2</v>
      </c>
      <c r="I8397">
        <v>2</v>
      </c>
      <c r="J8397">
        <v>2</v>
      </c>
    </row>
    <row r="8398" spans="7:10">
      <c r="G8398">
        <v>2</v>
      </c>
      <c r="H8398">
        <v>2</v>
      </c>
      <c r="I8398">
        <v>3</v>
      </c>
      <c r="J8398">
        <v>1</v>
      </c>
    </row>
    <row r="8399" spans="7:10">
      <c r="G8399">
        <v>2</v>
      </c>
      <c r="H8399">
        <v>2</v>
      </c>
      <c r="I8399">
        <v>3</v>
      </c>
      <c r="J8399">
        <v>2</v>
      </c>
    </row>
    <row r="8400" spans="7:10">
      <c r="G8400">
        <v>2</v>
      </c>
      <c r="H8400">
        <v>2</v>
      </c>
      <c r="I8400">
        <v>4</v>
      </c>
      <c r="J8400">
        <v>1</v>
      </c>
    </row>
    <row r="8401" spans="7:10">
      <c r="G8401">
        <v>2</v>
      </c>
      <c r="H8401">
        <v>2</v>
      </c>
      <c r="I8401">
        <v>4</v>
      </c>
      <c r="J8401">
        <v>2</v>
      </c>
    </row>
    <row r="8402" spans="7:10">
      <c r="G8402">
        <v>2</v>
      </c>
      <c r="H8402">
        <v>2</v>
      </c>
      <c r="I8402">
        <v>5</v>
      </c>
      <c r="J8402">
        <v>1</v>
      </c>
    </row>
    <row r="8403" spans="7:10">
      <c r="G8403">
        <v>2</v>
      </c>
      <c r="H8403">
        <v>2</v>
      </c>
      <c r="I8403">
        <v>5</v>
      </c>
      <c r="J8403">
        <v>2</v>
      </c>
    </row>
    <row r="8404" spans="7:10">
      <c r="G8404">
        <v>2</v>
      </c>
      <c r="H8404">
        <v>3</v>
      </c>
      <c r="I8404">
        <v>1</v>
      </c>
      <c r="J8404">
        <v>1</v>
      </c>
    </row>
    <row r="8405" spans="7:10">
      <c r="G8405">
        <v>2</v>
      </c>
      <c r="H8405">
        <v>3</v>
      </c>
      <c r="I8405">
        <v>1</v>
      </c>
      <c r="J8405">
        <v>2</v>
      </c>
    </row>
    <row r="8406" spans="7:10">
      <c r="G8406">
        <v>2</v>
      </c>
      <c r="H8406">
        <v>3</v>
      </c>
      <c r="I8406">
        <v>2</v>
      </c>
      <c r="J8406">
        <v>1</v>
      </c>
    </row>
    <row r="8407" spans="7:10">
      <c r="G8407">
        <v>2</v>
      </c>
      <c r="H8407">
        <v>3</v>
      </c>
      <c r="I8407">
        <v>2</v>
      </c>
      <c r="J8407">
        <v>2</v>
      </c>
    </row>
    <row r="8408" spans="7:10">
      <c r="G8408">
        <v>2</v>
      </c>
      <c r="H8408">
        <v>3</v>
      </c>
      <c r="I8408">
        <v>3</v>
      </c>
      <c r="J8408">
        <v>1</v>
      </c>
    </row>
    <row r="8409" spans="7:10">
      <c r="G8409">
        <v>2</v>
      </c>
      <c r="H8409">
        <v>3</v>
      </c>
      <c r="I8409">
        <v>3</v>
      </c>
      <c r="J8409">
        <v>2</v>
      </c>
    </row>
    <row r="8410" spans="7:10">
      <c r="G8410">
        <v>2</v>
      </c>
      <c r="H8410">
        <v>3</v>
      </c>
      <c r="I8410">
        <v>4</v>
      </c>
      <c r="J8410">
        <v>1</v>
      </c>
    </row>
    <row r="8411" spans="7:10">
      <c r="G8411">
        <v>2</v>
      </c>
      <c r="H8411">
        <v>3</v>
      </c>
      <c r="I8411">
        <v>4</v>
      </c>
      <c r="J8411">
        <v>2</v>
      </c>
    </row>
    <row r="8412" spans="7:10">
      <c r="G8412">
        <v>2</v>
      </c>
      <c r="H8412">
        <v>3</v>
      </c>
      <c r="I8412">
        <v>5</v>
      </c>
      <c r="J8412">
        <v>1</v>
      </c>
    </row>
    <row r="8413" spans="7:10">
      <c r="G8413">
        <v>2</v>
      </c>
      <c r="H8413">
        <v>3</v>
      </c>
      <c r="I8413">
        <v>5</v>
      </c>
      <c r="J8413">
        <v>2</v>
      </c>
    </row>
    <row r="8414" spans="7:10">
      <c r="G8414">
        <v>3</v>
      </c>
      <c r="H8414">
        <v>1</v>
      </c>
      <c r="I8414">
        <v>3</v>
      </c>
      <c r="J8414">
        <v>1</v>
      </c>
    </row>
    <row r="8415" spans="7:10">
      <c r="G8415">
        <v>3</v>
      </c>
      <c r="H8415">
        <v>1</v>
      </c>
      <c r="I8415">
        <v>3</v>
      </c>
      <c r="J8415">
        <v>2</v>
      </c>
    </row>
    <row r="8416" spans="7:10">
      <c r="G8416">
        <v>3</v>
      </c>
      <c r="H8416">
        <v>1</v>
      </c>
      <c r="I8416">
        <v>4</v>
      </c>
      <c r="J8416">
        <v>1</v>
      </c>
    </row>
    <row r="8417" spans="7:10">
      <c r="G8417">
        <v>3</v>
      </c>
      <c r="H8417">
        <v>1</v>
      </c>
      <c r="I8417">
        <v>4</v>
      </c>
      <c r="J8417">
        <v>2</v>
      </c>
    </row>
    <row r="8418" spans="7:10">
      <c r="G8418">
        <v>3</v>
      </c>
      <c r="H8418">
        <v>1</v>
      </c>
      <c r="I8418">
        <v>5</v>
      </c>
      <c r="J8418">
        <v>1</v>
      </c>
    </row>
    <row r="8419" spans="7:10">
      <c r="G8419">
        <v>3</v>
      </c>
      <c r="H8419">
        <v>1</v>
      </c>
      <c r="I8419">
        <v>5</v>
      </c>
      <c r="J8419">
        <v>2</v>
      </c>
    </row>
    <row r="8420" spans="7:10">
      <c r="G8420">
        <v>3</v>
      </c>
      <c r="H8420">
        <v>2</v>
      </c>
      <c r="I8420">
        <v>1</v>
      </c>
      <c r="J8420">
        <v>1</v>
      </c>
    </row>
    <row r="8421" spans="7:10">
      <c r="G8421">
        <v>3</v>
      </c>
      <c r="H8421">
        <v>2</v>
      </c>
      <c r="I8421">
        <v>1</v>
      </c>
      <c r="J8421">
        <v>2</v>
      </c>
    </row>
    <row r="8422" spans="7:10">
      <c r="G8422">
        <v>3</v>
      </c>
      <c r="H8422">
        <v>2</v>
      </c>
      <c r="I8422">
        <v>2</v>
      </c>
      <c r="J8422">
        <v>1</v>
      </c>
    </row>
    <row r="8423" spans="7:10">
      <c r="G8423">
        <v>3</v>
      </c>
      <c r="H8423">
        <v>2</v>
      </c>
      <c r="I8423">
        <v>2</v>
      </c>
      <c r="J8423">
        <v>2</v>
      </c>
    </row>
    <row r="8424" spans="7:10">
      <c r="G8424">
        <v>3</v>
      </c>
      <c r="H8424">
        <v>2</v>
      </c>
      <c r="I8424">
        <v>3</v>
      </c>
      <c r="J8424">
        <v>1</v>
      </c>
    </row>
    <row r="8425" spans="7:10">
      <c r="G8425">
        <v>3</v>
      </c>
      <c r="H8425">
        <v>2</v>
      </c>
      <c r="I8425">
        <v>3</v>
      </c>
      <c r="J8425">
        <v>2</v>
      </c>
    </row>
    <row r="8426" spans="7:10">
      <c r="G8426">
        <v>3</v>
      </c>
      <c r="H8426">
        <v>2</v>
      </c>
      <c r="I8426">
        <v>4</v>
      </c>
      <c r="J8426">
        <v>1</v>
      </c>
    </row>
    <row r="8427" spans="7:10">
      <c r="G8427">
        <v>3</v>
      </c>
      <c r="H8427">
        <v>2</v>
      </c>
      <c r="I8427">
        <v>4</v>
      </c>
      <c r="J8427">
        <v>2</v>
      </c>
    </row>
    <row r="8428" spans="7:10">
      <c r="G8428">
        <v>3</v>
      </c>
      <c r="H8428">
        <v>2</v>
      </c>
      <c r="I8428">
        <v>5</v>
      </c>
      <c r="J8428">
        <v>1</v>
      </c>
    </row>
    <row r="8429" spans="7:10">
      <c r="G8429">
        <v>3</v>
      </c>
      <c r="H8429">
        <v>2</v>
      </c>
      <c r="I8429">
        <v>5</v>
      </c>
      <c r="J8429">
        <v>2</v>
      </c>
    </row>
    <row r="8430" spans="7:10">
      <c r="G8430">
        <v>3</v>
      </c>
      <c r="H8430">
        <v>3</v>
      </c>
      <c r="I8430">
        <v>1</v>
      </c>
      <c r="J8430">
        <v>1</v>
      </c>
    </row>
    <row r="8431" spans="7:10">
      <c r="G8431">
        <v>3</v>
      </c>
      <c r="H8431">
        <v>3</v>
      </c>
      <c r="I8431">
        <v>1</v>
      </c>
      <c r="J8431">
        <v>2</v>
      </c>
    </row>
    <row r="8432" spans="7:10">
      <c r="G8432">
        <v>3</v>
      </c>
      <c r="H8432">
        <v>3</v>
      </c>
      <c r="I8432">
        <v>2</v>
      </c>
      <c r="J8432">
        <v>1</v>
      </c>
    </row>
    <row r="8433" spans="7:10">
      <c r="G8433">
        <v>3</v>
      </c>
      <c r="H8433">
        <v>3</v>
      </c>
      <c r="I8433">
        <v>2</v>
      </c>
      <c r="J8433">
        <v>2</v>
      </c>
    </row>
    <row r="8434" spans="7:10">
      <c r="G8434">
        <v>3</v>
      </c>
      <c r="H8434">
        <v>3</v>
      </c>
      <c r="I8434">
        <v>3</v>
      </c>
      <c r="J8434">
        <v>1</v>
      </c>
    </row>
    <row r="8435" spans="7:10">
      <c r="G8435">
        <v>3</v>
      </c>
      <c r="H8435">
        <v>3</v>
      </c>
      <c r="I8435">
        <v>3</v>
      </c>
      <c r="J8435">
        <v>2</v>
      </c>
    </row>
    <row r="8436" spans="7:10">
      <c r="G8436">
        <v>3</v>
      </c>
      <c r="H8436">
        <v>3</v>
      </c>
      <c r="I8436">
        <v>4</v>
      </c>
      <c r="J8436">
        <v>1</v>
      </c>
    </row>
    <row r="8437" spans="7:10">
      <c r="G8437">
        <v>3</v>
      </c>
      <c r="H8437">
        <v>3</v>
      </c>
      <c r="I8437">
        <v>4</v>
      </c>
      <c r="J8437">
        <v>2</v>
      </c>
    </row>
    <row r="8438" spans="7:10">
      <c r="G8438">
        <v>3</v>
      </c>
      <c r="H8438">
        <v>3</v>
      </c>
      <c r="I8438">
        <v>5</v>
      </c>
      <c r="J8438">
        <v>1</v>
      </c>
    </row>
    <row r="8439" spans="7:10">
      <c r="G8439">
        <v>3</v>
      </c>
      <c r="H8439">
        <v>3</v>
      </c>
      <c r="I8439">
        <v>5</v>
      </c>
      <c r="J8439">
        <v>2</v>
      </c>
    </row>
    <row r="8440" spans="7:10">
      <c r="G8440">
        <v>4</v>
      </c>
      <c r="H8440">
        <v>1</v>
      </c>
      <c r="I8440">
        <v>3</v>
      </c>
      <c r="J8440">
        <v>1</v>
      </c>
    </row>
    <row r="8441" spans="7:10">
      <c r="G8441">
        <v>4</v>
      </c>
      <c r="H8441">
        <v>1</v>
      </c>
      <c r="I8441">
        <v>3</v>
      </c>
      <c r="J8441">
        <v>2</v>
      </c>
    </row>
    <row r="8442" spans="7:10">
      <c r="G8442">
        <v>4</v>
      </c>
      <c r="H8442">
        <v>1</v>
      </c>
      <c r="I8442">
        <v>4</v>
      </c>
      <c r="J8442">
        <v>1</v>
      </c>
    </row>
    <row r="8443" spans="7:10">
      <c r="G8443">
        <v>4</v>
      </c>
      <c r="H8443">
        <v>1</v>
      </c>
      <c r="I8443">
        <v>4</v>
      </c>
      <c r="J8443">
        <v>2</v>
      </c>
    </row>
    <row r="8444" spans="7:10">
      <c r="G8444">
        <v>4</v>
      </c>
      <c r="H8444">
        <v>1</v>
      </c>
      <c r="I8444">
        <v>5</v>
      </c>
      <c r="J8444">
        <v>1</v>
      </c>
    </row>
    <row r="8445" spans="7:10">
      <c r="G8445">
        <v>4</v>
      </c>
      <c r="H8445">
        <v>1</v>
      </c>
      <c r="I8445">
        <v>5</v>
      </c>
      <c r="J8445">
        <v>2</v>
      </c>
    </row>
    <row r="8446" spans="7:10">
      <c r="G8446">
        <v>4</v>
      </c>
      <c r="H8446">
        <v>2</v>
      </c>
      <c r="I8446">
        <v>1</v>
      </c>
      <c r="J8446">
        <v>1</v>
      </c>
    </row>
    <row r="8447" spans="7:10">
      <c r="G8447">
        <v>4</v>
      </c>
      <c r="H8447">
        <v>2</v>
      </c>
      <c r="I8447">
        <v>1</v>
      </c>
      <c r="J8447">
        <v>2</v>
      </c>
    </row>
    <row r="8448" spans="7:10">
      <c r="G8448">
        <v>4</v>
      </c>
      <c r="H8448">
        <v>2</v>
      </c>
      <c r="I8448">
        <v>2</v>
      </c>
      <c r="J8448">
        <v>1</v>
      </c>
    </row>
    <row r="8449" spans="7:10">
      <c r="G8449">
        <v>4</v>
      </c>
      <c r="H8449">
        <v>2</v>
      </c>
      <c r="I8449">
        <v>2</v>
      </c>
      <c r="J8449">
        <v>2</v>
      </c>
    </row>
    <row r="8450" spans="7:10">
      <c r="G8450">
        <v>4</v>
      </c>
      <c r="H8450">
        <v>2</v>
      </c>
      <c r="I8450">
        <v>3</v>
      </c>
      <c r="J8450">
        <v>1</v>
      </c>
    </row>
    <row r="8451" spans="7:10">
      <c r="G8451">
        <v>4</v>
      </c>
      <c r="H8451">
        <v>2</v>
      </c>
      <c r="I8451">
        <v>3</v>
      </c>
      <c r="J8451">
        <v>2</v>
      </c>
    </row>
    <row r="8452" spans="7:10">
      <c r="G8452">
        <v>4</v>
      </c>
      <c r="H8452">
        <v>2</v>
      </c>
      <c r="I8452">
        <v>4</v>
      </c>
      <c r="J8452">
        <v>1</v>
      </c>
    </row>
    <row r="8453" spans="7:10">
      <c r="G8453">
        <v>4</v>
      </c>
      <c r="H8453">
        <v>2</v>
      </c>
      <c r="I8453">
        <v>4</v>
      </c>
      <c r="J8453">
        <v>2</v>
      </c>
    </row>
    <row r="8454" spans="7:10">
      <c r="G8454">
        <v>4</v>
      </c>
      <c r="H8454">
        <v>2</v>
      </c>
      <c r="I8454">
        <v>5</v>
      </c>
      <c r="J8454">
        <v>1</v>
      </c>
    </row>
    <row r="8455" spans="7:10">
      <c r="G8455">
        <v>4</v>
      </c>
      <c r="H8455">
        <v>2</v>
      </c>
      <c r="I8455">
        <v>5</v>
      </c>
      <c r="J8455">
        <v>2</v>
      </c>
    </row>
    <row r="8456" spans="7:10">
      <c r="G8456">
        <v>4</v>
      </c>
      <c r="H8456">
        <v>3</v>
      </c>
      <c r="I8456">
        <v>1</v>
      </c>
      <c r="J8456">
        <v>1</v>
      </c>
    </row>
    <row r="8457" spans="7:10">
      <c r="G8457">
        <v>4</v>
      </c>
      <c r="H8457">
        <v>3</v>
      </c>
      <c r="I8457">
        <v>1</v>
      </c>
      <c r="J8457">
        <v>2</v>
      </c>
    </row>
    <row r="8458" spans="7:10">
      <c r="G8458">
        <v>4</v>
      </c>
      <c r="H8458">
        <v>3</v>
      </c>
      <c r="I8458">
        <v>2</v>
      </c>
      <c r="J8458">
        <v>1</v>
      </c>
    </row>
    <row r="8459" spans="7:10">
      <c r="G8459">
        <v>4</v>
      </c>
      <c r="H8459">
        <v>3</v>
      </c>
      <c r="I8459">
        <v>2</v>
      </c>
      <c r="J8459">
        <v>2</v>
      </c>
    </row>
    <row r="8460" spans="7:10">
      <c r="G8460">
        <v>4</v>
      </c>
      <c r="H8460">
        <v>3</v>
      </c>
      <c r="I8460">
        <v>3</v>
      </c>
      <c r="J8460">
        <v>1</v>
      </c>
    </row>
    <row r="8461" spans="7:10">
      <c r="G8461">
        <v>4</v>
      </c>
      <c r="H8461">
        <v>3</v>
      </c>
      <c r="I8461">
        <v>3</v>
      </c>
      <c r="J8461">
        <v>2</v>
      </c>
    </row>
    <row r="8462" spans="7:10">
      <c r="G8462">
        <v>4</v>
      </c>
      <c r="H8462">
        <v>3</v>
      </c>
      <c r="I8462">
        <v>4</v>
      </c>
      <c r="J8462">
        <v>1</v>
      </c>
    </row>
    <row r="8463" spans="7:10">
      <c r="G8463">
        <v>4</v>
      </c>
      <c r="H8463">
        <v>3</v>
      </c>
      <c r="I8463">
        <v>4</v>
      </c>
      <c r="J8463">
        <v>2</v>
      </c>
    </row>
    <row r="8464" spans="7:10">
      <c r="G8464">
        <v>4</v>
      </c>
      <c r="H8464">
        <v>3</v>
      </c>
      <c r="I8464">
        <v>5</v>
      </c>
      <c r="J8464">
        <v>1</v>
      </c>
    </row>
    <row r="8465" spans="7:10">
      <c r="G8465">
        <v>4</v>
      </c>
      <c r="H8465">
        <v>3</v>
      </c>
      <c r="I8465">
        <v>5</v>
      </c>
      <c r="J8465">
        <v>2</v>
      </c>
    </row>
    <row r="8466" spans="7:10">
      <c r="G8466">
        <v>1</v>
      </c>
      <c r="H8466">
        <v>2</v>
      </c>
      <c r="I8466">
        <v>1</v>
      </c>
      <c r="J8466">
        <v>1</v>
      </c>
    </row>
    <row r="8467" spans="7:10">
      <c r="G8467">
        <v>1</v>
      </c>
      <c r="H8467">
        <v>2</v>
      </c>
      <c r="I8467">
        <v>1</v>
      </c>
      <c r="J8467">
        <v>2</v>
      </c>
    </row>
    <row r="8468" spans="7:10">
      <c r="G8468">
        <v>1</v>
      </c>
      <c r="H8468">
        <v>2</v>
      </c>
      <c r="I8468">
        <v>2</v>
      </c>
      <c r="J8468">
        <v>1</v>
      </c>
    </row>
    <row r="8469" spans="7:10">
      <c r="G8469">
        <v>1</v>
      </c>
      <c r="H8469">
        <v>2</v>
      </c>
      <c r="I8469">
        <v>2</v>
      </c>
      <c r="J8469">
        <v>2</v>
      </c>
    </row>
    <row r="8470" spans="7:10">
      <c r="G8470">
        <v>1</v>
      </c>
      <c r="H8470">
        <v>2</v>
      </c>
      <c r="I8470">
        <v>3</v>
      </c>
      <c r="J8470">
        <v>1</v>
      </c>
    </row>
    <row r="8471" spans="7:10">
      <c r="G8471">
        <v>1</v>
      </c>
      <c r="H8471">
        <v>2</v>
      </c>
      <c r="I8471">
        <v>3</v>
      </c>
      <c r="J8471">
        <v>2</v>
      </c>
    </row>
    <row r="8472" spans="7:10">
      <c r="G8472">
        <v>1</v>
      </c>
      <c r="H8472">
        <v>2</v>
      </c>
      <c r="I8472">
        <v>4</v>
      </c>
      <c r="J8472">
        <v>1</v>
      </c>
    </row>
    <row r="8473" spans="7:10">
      <c r="G8473">
        <v>1</v>
      </c>
      <c r="H8473">
        <v>2</v>
      </c>
      <c r="I8473">
        <v>4</v>
      </c>
      <c r="J8473">
        <v>2</v>
      </c>
    </row>
    <row r="8474" spans="7:10">
      <c r="G8474">
        <v>1</v>
      </c>
      <c r="H8474">
        <v>2</v>
      </c>
      <c r="I8474">
        <v>5</v>
      </c>
      <c r="J8474">
        <v>1</v>
      </c>
    </row>
    <row r="8475" spans="7:10">
      <c r="G8475">
        <v>1</v>
      </c>
      <c r="H8475">
        <v>2</v>
      </c>
      <c r="I8475">
        <v>5</v>
      </c>
      <c r="J8475">
        <v>2</v>
      </c>
    </row>
    <row r="8476" spans="7:10">
      <c r="G8476">
        <v>1</v>
      </c>
      <c r="H8476">
        <v>3</v>
      </c>
      <c r="I8476">
        <v>1</v>
      </c>
      <c r="J8476">
        <v>1</v>
      </c>
    </row>
    <row r="8477" spans="7:10">
      <c r="G8477">
        <v>1</v>
      </c>
      <c r="H8477">
        <v>3</v>
      </c>
      <c r="I8477">
        <v>1</v>
      </c>
      <c r="J8477">
        <v>2</v>
      </c>
    </row>
    <row r="8478" spans="7:10">
      <c r="G8478">
        <v>1</v>
      </c>
      <c r="H8478">
        <v>3</v>
      </c>
      <c r="I8478">
        <v>2</v>
      </c>
      <c r="J8478">
        <v>1</v>
      </c>
    </row>
    <row r="8479" spans="7:10">
      <c r="G8479">
        <v>1</v>
      </c>
      <c r="H8479">
        <v>3</v>
      </c>
      <c r="I8479">
        <v>2</v>
      </c>
      <c r="J8479">
        <v>2</v>
      </c>
    </row>
    <row r="8480" spans="7:10">
      <c r="G8480">
        <v>1</v>
      </c>
      <c r="H8480">
        <v>3</v>
      </c>
      <c r="I8480">
        <v>3</v>
      </c>
      <c r="J8480">
        <v>1</v>
      </c>
    </row>
    <row r="8481" spans="7:10">
      <c r="G8481">
        <v>1</v>
      </c>
      <c r="H8481">
        <v>3</v>
      </c>
      <c r="I8481">
        <v>3</v>
      </c>
      <c r="J8481">
        <v>2</v>
      </c>
    </row>
    <row r="8482" spans="7:10">
      <c r="G8482">
        <v>1</v>
      </c>
      <c r="H8482">
        <v>3</v>
      </c>
      <c r="I8482">
        <v>4</v>
      </c>
      <c r="J8482">
        <v>1</v>
      </c>
    </row>
    <row r="8483" spans="7:10">
      <c r="G8483">
        <v>1</v>
      </c>
      <c r="H8483">
        <v>3</v>
      </c>
      <c r="I8483">
        <v>4</v>
      </c>
      <c r="J8483">
        <v>2</v>
      </c>
    </row>
    <row r="8484" spans="7:10">
      <c r="G8484">
        <v>1</v>
      </c>
      <c r="H8484">
        <v>3</v>
      </c>
      <c r="I8484">
        <v>5</v>
      </c>
      <c r="J8484">
        <v>1</v>
      </c>
    </row>
    <row r="8485" spans="7:10">
      <c r="G8485">
        <v>1</v>
      </c>
      <c r="H8485">
        <v>3</v>
      </c>
      <c r="I8485">
        <v>5</v>
      </c>
      <c r="J8485">
        <v>2</v>
      </c>
    </row>
    <row r="8486" spans="7:10">
      <c r="G8486">
        <v>2</v>
      </c>
      <c r="H8486">
        <v>1</v>
      </c>
      <c r="I8486">
        <v>3</v>
      </c>
      <c r="J8486">
        <v>1</v>
      </c>
    </row>
    <row r="8487" spans="7:10">
      <c r="G8487">
        <v>2</v>
      </c>
      <c r="H8487">
        <v>1</v>
      </c>
      <c r="I8487">
        <v>3</v>
      </c>
      <c r="J8487">
        <v>2</v>
      </c>
    </row>
    <row r="8488" spans="7:10">
      <c r="G8488">
        <v>2</v>
      </c>
      <c r="H8488">
        <v>1</v>
      </c>
      <c r="I8488">
        <v>4</v>
      </c>
      <c r="J8488">
        <v>1</v>
      </c>
    </row>
    <row r="8489" spans="7:10">
      <c r="G8489">
        <v>2</v>
      </c>
      <c r="H8489">
        <v>1</v>
      </c>
      <c r="I8489">
        <v>4</v>
      </c>
      <c r="J8489">
        <v>2</v>
      </c>
    </row>
    <row r="8490" spans="7:10">
      <c r="G8490">
        <v>2</v>
      </c>
      <c r="H8490">
        <v>1</v>
      </c>
      <c r="I8490">
        <v>5</v>
      </c>
      <c r="J8490">
        <v>1</v>
      </c>
    </row>
    <row r="8491" spans="7:10">
      <c r="G8491">
        <v>2</v>
      </c>
      <c r="H8491">
        <v>1</v>
      </c>
      <c r="I8491">
        <v>5</v>
      </c>
      <c r="J8491">
        <v>2</v>
      </c>
    </row>
    <row r="8492" spans="7:10">
      <c r="G8492">
        <v>2</v>
      </c>
      <c r="H8492">
        <v>2</v>
      </c>
      <c r="I8492">
        <v>1</v>
      </c>
      <c r="J8492">
        <v>1</v>
      </c>
    </row>
    <row r="8493" spans="7:10">
      <c r="G8493">
        <v>2</v>
      </c>
      <c r="H8493">
        <v>2</v>
      </c>
      <c r="I8493">
        <v>1</v>
      </c>
      <c r="J8493">
        <v>2</v>
      </c>
    </row>
    <row r="8494" spans="7:10">
      <c r="G8494">
        <v>2</v>
      </c>
      <c r="H8494">
        <v>2</v>
      </c>
      <c r="I8494">
        <v>2</v>
      </c>
      <c r="J8494">
        <v>1</v>
      </c>
    </row>
    <row r="8495" spans="7:10">
      <c r="G8495">
        <v>2</v>
      </c>
      <c r="H8495">
        <v>2</v>
      </c>
      <c r="I8495">
        <v>2</v>
      </c>
      <c r="J8495">
        <v>2</v>
      </c>
    </row>
    <row r="8496" spans="7:10">
      <c r="G8496">
        <v>2</v>
      </c>
      <c r="H8496">
        <v>2</v>
      </c>
      <c r="I8496">
        <v>3</v>
      </c>
      <c r="J8496">
        <v>1</v>
      </c>
    </row>
    <row r="8497" spans="7:10">
      <c r="G8497">
        <v>2</v>
      </c>
      <c r="H8497">
        <v>2</v>
      </c>
      <c r="I8497">
        <v>3</v>
      </c>
      <c r="J8497">
        <v>2</v>
      </c>
    </row>
    <row r="8498" spans="7:10">
      <c r="G8498">
        <v>2</v>
      </c>
      <c r="H8498">
        <v>2</v>
      </c>
      <c r="I8498">
        <v>4</v>
      </c>
      <c r="J8498">
        <v>1</v>
      </c>
    </row>
    <row r="8499" spans="7:10">
      <c r="G8499">
        <v>2</v>
      </c>
      <c r="H8499">
        <v>2</v>
      </c>
      <c r="I8499">
        <v>4</v>
      </c>
      <c r="J8499">
        <v>2</v>
      </c>
    </row>
    <row r="8500" spans="7:10">
      <c r="G8500">
        <v>2</v>
      </c>
      <c r="H8500">
        <v>2</v>
      </c>
      <c r="I8500">
        <v>5</v>
      </c>
      <c r="J8500">
        <v>1</v>
      </c>
    </row>
    <row r="8501" spans="7:10">
      <c r="G8501">
        <v>2</v>
      </c>
      <c r="H8501">
        <v>2</v>
      </c>
      <c r="I8501">
        <v>5</v>
      </c>
      <c r="J8501">
        <v>2</v>
      </c>
    </row>
    <row r="8502" spans="7:10">
      <c r="G8502">
        <v>2</v>
      </c>
      <c r="H8502">
        <v>3</v>
      </c>
      <c r="I8502">
        <v>1</v>
      </c>
      <c r="J8502">
        <v>1</v>
      </c>
    </row>
    <row r="8503" spans="7:10">
      <c r="G8503">
        <v>2</v>
      </c>
      <c r="H8503">
        <v>3</v>
      </c>
      <c r="I8503">
        <v>1</v>
      </c>
      <c r="J8503">
        <v>2</v>
      </c>
    </row>
    <row r="8504" spans="7:10">
      <c r="G8504">
        <v>2</v>
      </c>
      <c r="H8504">
        <v>3</v>
      </c>
      <c r="I8504">
        <v>2</v>
      </c>
      <c r="J8504">
        <v>1</v>
      </c>
    </row>
    <row r="8505" spans="7:10">
      <c r="G8505">
        <v>2</v>
      </c>
      <c r="H8505">
        <v>3</v>
      </c>
      <c r="I8505">
        <v>2</v>
      </c>
      <c r="J8505">
        <v>2</v>
      </c>
    </row>
    <row r="8506" spans="7:10">
      <c r="G8506">
        <v>2</v>
      </c>
      <c r="H8506">
        <v>3</v>
      </c>
      <c r="I8506">
        <v>3</v>
      </c>
      <c r="J8506">
        <v>1</v>
      </c>
    </row>
    <row r="8507" spans="7:10">
      <c r="G8507">
        <v>2</v>
      </c>
      <c r="H8507">
        <v>3</v>
      </c>
      <c r="I8507">
        <v>3</v>
      </c>
      <c r="J8507">
        <v>2</v>
      </c>
    </row>
    <row r="8508" spans="7:10">
      <c r="G8508">
        <v>2</v>
      </c>
      <c r="H8508">
        <v>3</v>
      </c>
      <c r="I8508">
        <v>4</v>
      </c>
      <c r="J8508">
        <v>1</v>
      </c>
    </row>
    <row r="8509" spans="7:10">
      <c r="G8509">
        <v>2</v>
      </c>
      <c r="H8509">
        <v>3</v>
      </c>
      <c r="I8509">
        <v>4</v>
      </c>
      <c r="J8509">
        <v>2</v>
      </c>
    </row>
    <row r="8510" spans="7:10">
      <c r="G8510">
        <v>2</v>
      </c>
      <c r="H8510">
        <v>3</v>
      </c>
      <c r="I8510">
        <v>5</v>
      </c>
      <c r="J8510">
        <v>1</v>
      </c>
    </row>
    <row r="8511" spans="7:10">
      <c r="G8511">
        <v>2</v>
      </c>
      <c r="H8511">
        <v>3</v>
      </c>
      <c r="I8511">
        <v>5</v>
      </c>
      <c r="J8511">
        <v>2</v>
      </c>
    </row>
    <row r="8512" spans="7:10">
      <c r="G8512">
        <v>3</v>
      </c>
      <c r="H8512">
        <v>1</v>
      </c>
      <c r="I8512">
        <v>3</v>
      </c>
      <c r="J8512">
        <v>1</v>
      </c>
    </row>
    <row r="8513" spans="7:10">
      <c r="G8513">
        <v>3</v>
      </c>
      <c r="H8513">
        <v>1</v>
      </c>
      <c r="I8513">
        <v>3</v>
      </c>
      <c r="J8513">
        <v>2</v>
      </c>
    </row>
    <row r="8514" spans="7:10">
      <c r="G8514">
        <v>3</v>
      </c>
      <c r="H8514">
        <v>1</v>
      </c>
      <c r="I8514">
        <v>4</v>
      </c>
      <c r="J8514">
        <v>1</v>
      </c>
    </row>
    <row r="8515" spans="7:10">
      <c r="G8515">
        <v>3</v>
      </c>
      <c r="H8515">
        <v>1</v>
      </c>
      <c r="I8515">
        <v>4</v>
      </c>
      <c r="J8515">
        <v>2</v>
      </c>
    </row>
    <row r="8516" spans="7:10">
      <c r="G8516">
        <v>3</v>
      </c>
      <c r="H8516">
        <v>1</v>
      </c>
      <c r="I8516">
        <v>5</v>
      </c>
      <c r="J8516">
        <v>1</v>
      </c>
    </row>
    <row r="8517" spans="7:10">
      <c r="G8517">
        <v>3</v>
      </c>
      <c r="H8517">
        <v>1</v>
      </c>
      <c r="I8517">
        <v>5</v>
      </c>
      <c r="J8517">
        <v>2</v>
      </c>
    </row>
    <row r="8518" spans="7:10">
      <c r="G8518">
        <v>3</v>
      </c>
      <c r="H8518">
        <v>2</v>
      </c>
      <c r="I8518">
        <v>1</v>
      </c>
      <c r="J8518">
        <v>1</v>
      </c>
    </row>
    <row r="8519" spans="7:10">
      <c r="G8519">
        <v>3</v>
      </c>
      <c r="H8519">
        <v>2</v>
      </c>
      <c r="I8519">
        <v>1</v>
      </c>
      <c r="J8519">
        <v>2</v>
      </c>
    </row>
    <row r="8520" spans="7:10">
      <c r="G8520">
        <v>3</v>
      </c>
      <c r="H8520">
        <v>2</v>
      </c>
      <c r="I8520">
        <v>2</v>
      </c>
      <c r="J8520">
        <v>1</v>
      </c>
    </row>
    <row r="8521" spans="7:10">
      <c r="G8521">
        <v>3</v>
      </c>
      <c r="H8521">
        <v>2</v>
      </c>
      <c r="I8521">
        <v>2</v>
      </c>
      <c r="J8521">
        <v>2</v>
      </c>
    </row>
    <row r="8522" spans="7:10">
      <c r="G8522">
        <v>3</v>
      </c>
      <c r="H8522">
        <v>2</v>
      </c>
      <c r="I8522">
        <v>3</v>
      </c>
      <c r="J8522">
        <v>1</v>
      </c>
    </row>
    <row r="8523" spans="7:10">
      <c r="G8523">
        <v>3</v>
      </c>
      <c r="H8523">
        <v>2</v>
      </c>
      <c r="I8523">
        <v>3</v>
      </c>
      <c r="J8523">
        <v>2</v>
      </c>
    </row>
    <row r="8524" spans="7:10">
      <c r="G8524">
        <v>3</v>
      </c>
      <c r="H8524">
        <v>2</v>
      </c>
      <c r="I8524">
        <v>4</v>
      </c>
      <c r="J8524">
        <v>1</v>
      </c>
    </row>
    <row r="8525" spans="7:10">
      <c r="G8525">
        <v>3</v>
      </c>
      <c r="H8525">
        <v>2</v>
      </c>
      <c r="I8525">
        <v>4</v>
      </c>
      <c r="J8525">
        <v>2</v>
      </c>
    </row>
    <row r="8526" spans="7:10">
      <c r="G8526">
        <v>3</v>
      </c>
      <c r="H8526">
        <v>2</v>
      </c>
      <c r="I8526">
        <v>5</v>
      </c>
      <c r="J8526">
        <v>1</v>
      </c>
    </row>
    <row r="8527" spans="7:10">
      <c r="G8527">
        <v>3</v>
      </c>
      <c r="H8527">
        <v>2</v>
      </c>
      <c r="I8527">
        <v>5</v>
      </c>
      <c r="J8527">
        <v>2</v>
      </c>
    </row>
    <row r="8528" spans="7:10">
      <c r="G8528">
        <v>3</v>
      </c>
      <c r="H8528">
        <v>3</v>
      </c>
      <c r="I8528">
        <v>1</v>
      </c>
      <c r="J8528">
        <v>1</v>
      </c>
    </row>
    <row r="8529" spans="7:10">
      <c r="G8529">
        <v>3</v>
      </c>
      <c r="H8529">
        <v>3</v>
      </c>
      <c r="I8529">
        <v>1</v>
      </c>
      <c r="J8529">
        <v>2</v>
      </c>
    </row>
    <row r="8530" spans="7:10">
      <c r="G8530">
        <v>3</v>
      </c>
      <c r="H8530">
        <v>3</v>
      </c>
      <c r="I8530">
        <v>2</v>
      </c>
      <c r="J8530">
        <v>1</v>
      </c>
    </row>
    <row r="8531" spans="7:10">
      <c r="G8531">
        <v>3</v>
      </c>
      <c r="H8531">
        <v>3</v>
      </c>
      <c r="I8531">
        <v>2</v>
      </c>
      <c r="J8531">
        <v>2</v>
      </c>
    </row>
    <row r="8532" spans="7:10">
      <c r="G8532">
        <v>3</v>
      </c>
      <c r="H8532">
        <v>3</v>
      </c>
      <c r="I8532">
        <v>3</v>
      </c>
      <c r="J8532">
        <v>1</v>
      </c>
    </row>
    <row r="8533" spans="7:10">
      <c r="G8533">
        <v>3</v>
      </c>
      <c r="H8533">
        <v>3</v>
      </c>
      <c r="I8533">
        <v>3</v>
      </c>
      <c r="J8533">
        <v>2</v>
      </c>
    </row>
    <row r="8534" spans="7:10">
      <c r="G8534">
        <v>3</v>
      </c>
      <c r="H8534">
        <v>3</v>
      </c>
      <c r="I8534">
        <v>4</v>
      </c>
      <c r="J8534">
        <v>1</v>
      </c>
    </row>
    <row r="8535" spans="7:10">
      <c r="G8535">
        <v>3</v>
      </c>
      <c r="H8535">
        <v>3</v>
      </c>
      <c r="I8535">
        <v>4</v>
      </c>
      <c r="J8535">
        <v>2</v>
      </c>
    </row>
    <row r="8536" spans="7:10">
      <c r="G8536">
        <v>3</v>
      </c>
      <c r="H8536">
        <v>3</v>
      </c>
      <c r="I8536">
        <v>5</v>
      </c>
      <c r="J8536">
        <v>1</v>
      </c>
    </row>
    <row r="8537" spans="7:10">
      <c r="G8537">
        <v>3</v>
      </c>
      <c r="H8537">
        <v>3</v>
      </c>
      <c r="I8537">
        <v>5</v>
      </c>
      <c r="J8537">
        <v>2</v>
      </c>
    </row>
    <row r="8538" spans="7:10">
      <c r="G8538">
        <v>4</v>
      </c>
      <c r="H8538">
        <v>1</v>
      </c>
      <c r="I8538">
        <v>3</v>
      </c>
      <c r="J8538">
        <v>1</v>
      </c>
    </row>
    <row r="8539" spans="7:10">
      <c r="G8539">
        <v>4</v>
      </c>
      <c r="H8539">
        <v>1</v>
      </c>
      <c r="I8539">
        <v>3</v>
      </c>
      <c r="J8539">
        <v>2</v>
      </c>
    </row>
    <row r="8540" spans="7:10">
      <c r="G8540">
        <v>4</v>
      </c>
      <c r="H8540">
        <v>1</v>
      </c>
      <c r="I8540">
        <v>4</v>
      </c>
      <c r="J8540">
        <v>1</v>
      </c>
    </row>
    <row r="8541" spans="7:10">
      <c r="G8541">
        <v>4</v>
      </c>
      <c r="H8541">
        <v>1</v>
      </c>
      <c r="I8541">
        <v>4</v>
      </c>
      <c r="J8541">
        <v>2</v>
      </c>
    </row>
    <row r="8542" spans="7:10">
      <c r="G8542">
        <v>4</v>
      </c>
      <c r="H8542">
        <v>1</v>
      </c>
      <c r="I8542">
        <v>5</v>
      </c>
      <c r="J8542">
        <v>1</v>
      </c>
    </row>
    <row r="8543" spans="7:10">
      <c r="G8543">
        <v>4</v>
      </c>
      <c r="H8543">
        <v>1</v>
      </c>
      <c r="I8543">
        <v>5</v>
      </c>
      <c r="J8543">
        <v>2</v>
      </c>
    </row>
    <row r="8544" spans="7:10">
      <c r="G8544">
        <v>4</v>
      </c>
      <c r="H8544">
        <v>2</v>
      </c>
      <c r="I8544">
        <v>1</v>
      </c>
      <c r="J8544">
        <v>1</v>
      </c>
    </row>
    <row r="8545" spans="7:10">
      <c r="G8545">
        <v>4</v>
      </c>
      <c r="H8545">
        <v>2</v>
      </c>
      <c r="I8545">
        <v>1</v>
      </c>
      <c r="J8545">
        <v>2</v>
      </c>
    </row>
    <row r="8546" spans="7:10">
      <c r="G8546">
        <v>4</v>
      </c>
      <c r="H8546">
        <v>2</v>
      </c>
      <c r="I8546">
        <v>2</v>
      </c>
      <c r="J8546">
        <v>1</v>
      </c>
    </row>
    <row r="8547" spans="7:10">
      <c r="G8547">
        <v>4</v>
      </c>
      <c r="H8547">
        <v>2</v>
      </c>
      <c r="I8547">
        <v>2</v>
      </c>
      <c r="J8547">
        <v>2</v>
      </c>
    </row>
    <row r="8548" spans="7:10">
      <c r="G8548">
        <v>4</v>
      </c>
      <c r="H8548">
        <v>2</v>
      </c>
      <c r="I8548">
        <v>3</v>
      </c>
      <c r="J8548">
        <v>1</v>
      </c>
    </row>
    <row r="8549" spans="7:10">
      <c r="G8549">
        <v>4</v>
      </c>
      <c r="H8549">
        <v>2</v>
      </c>
      <c r="I8549">
        <v>3</v>
      </c>
      <c r="J8549">
        <v>2</v>
      </c>
    </row>
    <row r="8550" spans="7:10">
      <c r="G8550">
        <v>4</v>
      </c>
      <c r="H8550">
        <v>2</v>
      </c>
      <c r="I8550">
        <v>4</v>
      </c>
      <c r="J8550">
        <v>1</v>
      </c>
    </row>
    <row r="8551" spans="7:10">
      <c r="G8551">
        <v>4</v>
      </c>
      <c r="H8551">
        <v>2</v>
      </c>
      <c r="I8551">
        <v>4</v>
      </c>
      <c r="J8551">
        <v>2</v>
      </c>
    </row>
    <row r="8552" spans="7:10">
      <c r="G8552">
        <v>4</v>
      </c>
      <c r="H8552">
        <v>2</v>
      </c>
      <c r="I8552">
        <v>5</v>
      </c>
      <c r="J8552">
        <v>1</v>
      </c>
    </row>
    <row r="8553" spans="7:10">
      <c r="G8553">
        <v>4</v>
      </c>
      <c r="H8553">
        <v>2</v>
      </c>
      <c r="I8553">
        <v>5</v>
      </c>
      <c r="J8553">
        <v>2</v>
      </c>
    </row>
    <row r="8554" spans="7:10">
      <c r="G8554">
        <v>4</v>
      </c>
      <c r="H8554">
        <v>3</v>
      </c>
      <c r="I8554">
        <v>1</v>
      </c>
      <c r="J8554">
        <v>1</v>
      </c>
    </row>
    <row r="8555" spans="7:10">
      <c r="G8555">
        <v>4</v>
      </c>
      <c r="H8555">
        <v>3</v>
      </c>
      <c r="I8555">
        <v>1</v>
      </c>
      <c r="J8555">
        <v>2</v>
      </c>
    </row>
    <row r="8556" spans="7:10">
      <c r="G8556">
        <v>4</v>
      </c>
      <c r="H8556">
        <v>3</v>
      </c>
      <c r="I8556">
        <v>2</v>
      </c>
      <c r="J8556">
        <v>1</v>
      </c>
    </row>
    <row r="8557" spans="7:10">
      <c r="G8557">
        <v>4</v>
      </c>
      <c r="H8557">
        <v>3</v>
      </c>
      <c r="I8557">
        <v>2</v>
      </c>
      <c r="J8557">
        <v>2</v>
      </c>
    </row>
    <row r="8558" spans="7:10">
      <c r="G8558">
        <v>4</v>
      </c>
      <c r="H8558">
        <v>3</v>
      </c>
      <c r="I8558">
        <v>3</v>
      </c>
      <c r="J8558">
        <v>1</v>
      </c>
    </row>
    <row r="8559" spans="7:10">
      <c r="G8559">
        <v>4</v>
      </c>
      <c r="H8559">
        <v>3</v>
      </c>
      <c r="I8559">
        <v>3</v>
      </c>
      <c r="J8559">
        <v>2</v>
      </c>
    </row>
    <row r="8560" spans="7:10">
      <c r="G8560">
        <v>4</v>
      </c>
      <c r="H8560">
        <v>3</v>
      </c>
      <c r="I8560">
        <v>4</v>
      </c>
      <c r="J8560">
        <v>1</v>
      </c>
    </row>
    <row r="8561" spans="7:10">
      <c r="G8561">
        <v>4</v>
      </c>
      <c r="H8561">
        <v>3</v>
      </c>
      <c r="I8561">
        <v>4</v>
      </c>
      <c r="J8561">
        <v>2</v>
      </c>
    </row>
    <row r="8562" spans="7:10">
      <c r="G8562">
        <v>4</v>
      </c>
      <c r="H8562">
        <v>3</v>
      </c>
      <c r="I8562">
        <v>5</v>
      </c>
      <c r="J8562">
        <v>1</v>
      </c>
    </row>
    <row r="8563" spans="7:10">
      <c r="G8563">
        <v>4</v>
      </c>
      <c r="H8563">
        <v>3</v>
      </c>
      <c r="I8563">
        <v>5</v>
      </c>
      <c r="J8563">
        <v>2</v>
      </c>
    </row>
    <row r="8564" spans="7:10">
      <c r="G8564">
        <v>1</v>
      </c>
      <c r="H8564">
        <v>2</v>
      </c>
      <c r="I8564">
        <v>1</v>
      </c>
      <c r="J8564">
        <v>1</v>
      </c>
    </row>
    <row r="8565" spans="7:10">
      <c r="G8565">
        <v>1</v>
      </c>
      <c r="H8565">
        <v>2</v>
      </c>
      <c r="I8565">
        <v>1</v>
      </c>
      <c r="J8565">
        <v>2</v>
      </c>
    </row>
    <row r="8566" spans="7:10">
      <c r="G8566">
        <v>1</v>
      </c>
      <c r="H8566">
        <v>2</v>
      </c>
      <c r="I8566">
        <v>2</v>
      </c>
      <c r="J8566">
        <v>1</v>
      </c>
    </row>
    <row r="8567" spans="7:10">
      <c r="G8567">
        <v>1</v>
      </c>
      <c r="H8567">
        <v>2</v>
      </c>
      <c r="I8567">
        <v>2</v>
      </c>
      <c r="J8567">
        <v>2</v>
      </c>
    </row>
    <row r="8568" spans="7:10">
      <c r="G8568">
        <v>1</v>
      </c>
      <c r="H8568">
        <v>2</v>
      </c>
      <c r="I8568">
        <v>3</v>
      </c>
      <c r="J8568">
        <v>1</v>
      </c>
    </row>
    <row r="8569" spans="7:10">
      <c r="G8569">
        <v>1</v>
      </c>
      <c r="H8569">
        <v>2</v>
      </c>
      <c r="I8569">
        <v>3</v>
      </c>
      <c r="J8569">
        <v>2</v>
      </c>
    </row>
    <row r="8570" spans="7:10">
      <c r="G8570">
        <v>1</v>
      </c>
      <c r="H8570">
        <v>2</v>
      </c>
      <c r="I8570">
        <v>4</v>
      </c>
      <c r="J8570">
        <v>1</v>
      </c>
    </row>
    <row r="8571" spans="7:10">
      <c r="G8571">
        <v>1</v>
      </c>
      <c r="H8571">
        <v>2</v>
      </c>
      <c r="I8571">
        <v>4</v>
      </c>
      <c r="J8571">
        <v>2</v>
      </c>
    </row>
    <row r="8572" spans="7:10">
      <c r="G8572">
        <v>1</v>
      </c>
      <c r="H8572">
        <v>2</v>
      </c>
      <c r="I8572">
        <v>5</v>
      </c>
      <c r="J8572">
        <v>1</v>
      </c>
    </row>
    <row r="8573" spans="7:10">
      <c r="G8573">
        <v>1</v>
      </c>
      <c r="H8573">
        <v>2</v>
      </c>
      <c r="I8573">
        <v>5</v>
      </c>
      <c r="J8573">
        <v>2</v>
      </c>
    </row>
    <row r="8574" spans="7:10">
      <c r="G8574">
        <v>1</v>
      </c>
      <c r="H8574">
        <v>3</v>
      </c>
      <c r="I8574">
        <v>1</v>
      </c>
      <c r="J8574">
        <v>1</v>
      </c>
    </row>
    <row r="8575" spans="7:10">
      <c r="G8575">
        <v>1</v>
      </c>
      <c r="H8575">
        <v>3</v>
      </c>
      <c r="I8575">
        <v>1</v>
      </c>
      <c r="J8575">
        <v>2</v>
      </c>
    </row>
    <row r="8576" spans="7:10">
      <c r="G8576">
        <v>1</v>
      </c>
      <c r="H8576">
        <v>3</v>
      </c>
      <c r="I8576">
        <v>2</v>
      </c>
      <c r="J8576">
        <v>1</v>
      </c>
    </row>
    <row r="8577" spans="7:10">
      <c r="G8577">
        <v>1</v>
      </c>
      <c r="H8577">
        <v>3</v>
      </c>
      <c r="I8577">
        <v>2</v>
      </c>
      <c r="J8577">
        <v>2</v>
      </c>
    </row>
    <row r="8578" spans="7:10">
      <c r="G8578">
        <v>1</v>
      </c>
      <c r="H8578">
        <v>3</v>
      </c>
      <c r="I8578">
        <v>3</v>
      </c>
      <c r="J8578">
        <v>1</v>
      </c>
    </row>
    <row r="8579" spans="7:10">
      <c r="G8579">
        <v>1</v>
      </c>
      <c r="H8579">
        <v>3</v>
      </c>
      <c r="I8579">
        <v>3</v>
      </c>
      <c r="J8579">
        <v>2</v>
      </c>
    </row>
    <row r="8580" spans="7:10">
      <c r="G8580">
        <v>1</v>
      </c>
      <c r="H8580">
        <v>3</v>
      </c>
      <c r="I8580">
        <v>4</v>
      </c>
      <c r="J8580">
        <v>1</v>
      </c>
    </row>
    <row r="8581" spans="7:10">
      <c r="G8581">
        <v>1</v>
      </c>
      <c r="H8581">
        <v>3</v>
      </c>
      <c r="I8581">
        <v>4</v>
      </c>
      <c r="J8581">
        <v>2</v>
      </c>
    </row>
    <row r="8582" spans="7:10">
      <c r="G8582">
        <v>1</v>
      </c>
      <c r="H8582">
        <v>3</v>
      </c>
      <c r="I8582">
        <v>5</v>
      </c>
      <c r="J8582">
        <v>1</v>
      </c>
    </row>
    <row r="8583" spans="7:10">
      <c r="G8583">
        <v>1</v>
      </c>
      <c r="H8583">
        <v>3</v>
      </c>
      <c r="I8583">
        <v>5</v>
      </c>
      <c r="J8583">
        <v>2</v>
      </c>
    </row>
    <row r="8584" spans="7:10">
      <c r="G8584">
        <v>2</v>
      </c>
      <c r="H8584">
        <v>1</v>
      </c>
      <c r="I8584">
        <v>3</v>
      </c>
      <c r="J8584">
        <v>1</v>
      </c>
    </row>
    <row r="8585" spans="7:10">
      <c r="G8585">
        <v>2</v>
      </c>
      <c r="H8585">
        <v>1</v>
      </c>
      <c r="I8585">
        <v>3</v>
      </c>
      <c r="J8585">
        <v>2</v>
      </c>
    </row>
    <row r="8586" spans="7:10">
      <c r="G8586">
        <v>2</v>
      </c>
      <c r="H8586">
        <v>1</v>
      </c>
      <c r="I8586">
        <v>4</v>
      </c>
      <c r="J8586">
        <v>1</v>
      </c>
    </row>
    <row r="8587" spans="7:10">
      <c r="G8587">
        <v>2</v>
      </c>
      <c r="H8587">
        <v>1</v>
      </c>
      <c r="I8587">
        <v>4</v>
      </c>
      <c r="J8587">
        <v>2</v>
      </c>
    </row>
    <row r="8588" spans="7:10">
      <c r="G8588">
        <v>2</v>
      </c>
      <c r="H8588">
        <v>1</v>
      </c>
      <c r="I8588">
        <v>5</v>
      </c>
      <c r="J8588">
        <v>1</v>
      </c>
    </row>
    <row r="8589" spans="7:10">
      <c r="G8589">
        <v>2</v>
      </c>
      <c r="H8589">
        <v>1</v>
      </c>
      <c r="I8589">
        <v>5</v>
      </c>
      <c r="J8589">
        <v>2</v>
      </c>
    </row>
    <row r="8590" spans="7:10">
      <c r="G8590">
        <v>2</v>
      </c>
      <c r="H8590">
        <v>2</v>
      </c>
      <c r="I8590">
        <v>1</v>
      </c>
      <c r="J8590">
        <v>1</v>
      </c>
    </row>
    <row r="8591" spans="7:10">
      <c r="G8591">
        <v>2</v>
      </c>
      <c r="H8591">
        <v>2</v>
      </c>
      <c r="I8591">
        <v>1</v>
      </c>
      <c r="J8591">
        <v>2</v>
      </c>
    </row>
    <row r="8592" spans="7:10">
      <c r="G8592">
        <v>2</v>
      </c>
      <c r="H8592">
        <v>2</v>
      </c>
      <c r="I8592">
        <v>2</v>
      </c>
      <c r="J8592">
        <v>1</v>
      </c>
    </row>
    <row r="8593" spans="7:10">
      <c r="G8593">
        <v>2</v>
      </c>
      <c r="H8593">
        <v>2</v>
      </c>
      <c r="I8593">
        <v>2</v>
      </c>
      <c r="J8593">
        <v>2</v>
      </c>
    </row>
    <row r="8594" spans="7:10">
      <c r="G8594">
        <v>2</v>
      </c>
      <c r="H8594">
        <v>2</v>
      </c>
      <c r="I8594">
        <v>3</v>
      </c>
      <c r="J8594">
        <v>1</v>
      </c>
    </row>
    <row r="8595" spans="7:10">
      <c r="G8595">
        <v>2</v>
      </c>
      <c r="H8595">
        <v>2</v>
      </c>
      <c r="I8595">
        <v>3</v>
      </c>
      <c r="J8595">
        <v>2</v>
      </c>
    </row>
    <row r="8596" spans="7:10">
      <c r="G8596">
        <v>2</v>
      </c>
      <c r="H8596">
        <v>2</v>
      </c>
      <c r="I8596">
        <v>4</v>
      </c>
      <c r="J8596">
        <v>1</v>
      </c>
    </row>
    <row r="8597" spans="7:10">
      <c r="G8597">
        <v>2</v>
      </c>
      <c r="H8597">
        <v>2</v>
      </c>
      <c r="I8597">
        <v>4</v>
      </c>
      <c r="J8597">
        <v>2</v>
      </c>
    </row>
    <row r="8598" spans="7:10">
      <c r="G8598">
        <v>2</v>
      </c>
      <c r="H8598">
        <v>2</v>
      </c>
      <c r="I8598">
        <v>5</v>
      </c>
      <c r="J8598">
        <v>1</v>
      </c>
    </row>
    <row r="8599" spans="7:10">
      <c r="G8599">
        <v>2</v>
      </c>
      <c r="H8599">
        <v>2</v>
      </c>
      <c r="I8599">
        <v>5</v>
      </c>
      <c r="J8599">
        <v>2</v>
      </c>
    </row>
    <row r="8600" spans="7:10">
      <c r="G8600">
        <v>2</v>
      </c>
      <c r="H8600">
        <v>3</v>
      </c>
      <c r="I8600">
        <v>1</v>
      </c>
      <c r="J8600">
        <v>1</v>
      </c>
    </row>
    <row r="8601" spans="7:10">
      <c r="G8601">
        <v>2</v>
      </c>
      <c r="H8601">
        <v>3</v>
      </c>
      <c r="I8601">
        <v>1</v>
      </c>
      <c r="J8601">
        <v>2</v>
      </c>
    </row>
    <row r="8602" spans="7:10">
      <c r="G8602">
        <v>2</v>
      </c>
      <c r="H8602">
        <v>3</v>
      </c>
      <c r="I8602">
        <v>2</v>
      </c>
      <c r="J8602">
        <v>1</v>
      </c>
    </row>
    <row r="8603" spans="7:10">
      <c r="G8603">
        <v>2</v>
      </c>
      <c r="H8603">
        <v>3</v>
      </c>
      <c r="I8603">
        <v>2</v>
      </c>
      <c r="J8603">
        <v>2</v>
      </c>
    </row>
    <row r="8604" spans="7:10">
      <c r="G8604">
        <v>2</v>
      </c>
      <c r="H8604">
        <v>3</v>
      </c>
      <c r="I8604">
        <v>3</v>
      </c>
      <c r="J8604">
        <v>1</v>
      </c>
    </row>
    <row r="8605" spans="7:10">
      <c r="G8605">
        <v>2</v>
      </c>
      <c r="H8605">
        <v>3</v>
      </c>
      <c r="I8605">
        <v>3</v>
      </c>
      <c r="J8605">
        <v>2</v>
      </c>
    </row>
    <row r="8606" spans="7:10">
      <c r="G8606">
        <v>2</v>
      </c>
      <c r="H8606">
        <v>3</v>
      </c>
      <c r="I8606">
        <v>4</v>
      </c>
      <c r="J8606">
        <v>1</v>
      </c>
    </row>
    <row r="8607" spans="7:10">
      <c r="G8607">
        <v>2</v>
      </c>
      <c r="H8607">
        <v>3</v>
      </c>
      <c r="I8607">
        <v>4</v>
      </c>
      <c r="J8607">
        <v>2</v>
      </c>
    </row>
    <row r="8608" spans="7:10">
      <c r="G8608">
        <v>2</v>
      </c>
      <c r="H8608">
        <v>3</v>
      </c>
      <c r="I8608">
        <v>5</v>
      </c>
      <c r="J8608">
        <v>1</v>
      </c>
    </row>
    <row r="8609" spans="7:10">
      <c r="G8609">
        <v>2</v>
      </c>
      <c r="H8609">
        <v>3</v>
      </c>
      <c r="I8609">
        <v>5</v>
      </c>
      <c r="J8609">
        <v>2</v>
      </c>
    </row>
    <row r="8610" spans="7:10">
      <c r="G8610">
        <v>3</v>
      </c>
      <c r="H8610">
        <v>1</v>
      </c>
      <c r="I8610">
        <v>3</v>
      </c>
      <c r="J8610">
        <v>1</v>
      </c>
    </row>
    <row r="8611" spans="7:10">
      <c r="G8611">
        <v>3</v>
      </c>
      <c r="H8611">
        <v>1</v>
      </c>
      <c r="I8611">
        <v>3</v>
      </c>
      <c r="J8611">
        <v>2</v>
      </c>
    </row>
    <row r="8612" spans="7:10">
      <c r="G8612">
        <v>3</v>
      </c>
      <c r="H8612">
        <v>1</v>
      </c>
      <c r="I8612">
        <v>4</v>
      </c>
      <c r="J8612">
        <v>1</v>
      </c>
    </row>
    <row r="8613" spans="7:10">
      <c r="G8613">
        <v>3</v>
      </c>
      <c r="H8613">
        <v>1</v>
      </c>
      <c r="I8613">
        <v>4</v>
      </c>
      <c r="J8613">
        <v>2</v>
      </c>
    </row>
    <row r="8614" spans="7:10">
      <c r="G8614">
        <v>3</v>
      </c>
      <c r="H8614">
        <v>1</v>
      </c>
      <c r="I8614">
        <v>5</v>
      </c>
      <c r="J8614">
        <v>1</v>
      </c>
    </row>
    <row r="8615" spans="7:10">
      <c r="G8615">
        <v>3</v>
      </c>
      <c r="H8615">
        <v>1</v>
      </c>
      <c r="I8615">
        <v>5</v>
      </c>
      <c r="J8615">
        <v>2</v>
      </c>
    </row>
    <row r="8616" spans="7:10">
      <c r="G8616">
        <v>3</v>
      </c>
      <c r="H8616">
        <v>2</v>
      </c>
      <c r="I8616">
        <v>1</v>
      </c>
      <c r="J8616">
        <v>1</v>
      </c>
    </row>
    <row r="8617" spans="7:10">
      <c r="G8617">
        <v>3</v>
      </c>
      <c r="H8617">
        <v>2</v>
      </c>
      <c r="I8617">
        <v>1</v>
      </c>
      <c r="J8617">
        <v>2</v>
      </c>
    </row>
    <row r="8618" spans="7:10">
      <c r="G8618">
        <v>3</v>
      </c>
      <c r="H8618">
        <v>2</v>
      </c>
      <c r="I8618">
        <v>2</v>
      </c>
      <c r="J8618">
        <v>1</v>
      </c>
    </row>
    <row r="8619" spans="7:10">
      <c r="G8619">
        <v>3</v>
      </c>
      <c r="H8619">
        <v>2</v>
      </c>
      <c r="I8619">
        <v>2</v>
      </c>
      <c r="J8619">
        <v>2</v>
      </c>
    </row>
    <row r="8620" spans="7:10">
      <c r="G8620">
        <v>3</v>
      </c>
      <c r="H8620">
        <v>2</v>
      </c>
      <c r="I8620">
        <v>3</v>
      </c>
      <c r="J8620">
        <v>1</v>
      </c>
    </row>
    <row r="8621" spans="7:10">
      <c r="G8621">
        <v>3</v>
      </c>
      <c r="H8621">
        <v>2</v>
      </c>
      <c r="I8621">
        <v>3</v>
      </c>
      <c r="J8621">
        <v>2</v>
      </c>
    </row>
    <row r="8622" spans="7:10">
      <c r="G8622">
        <v>3</v>
      </c>
      <c r="H8622">
        <v>2</v>
      </c>
      <c r="I8622">
        <v>4</v>
      </c>
      <c r="J8622">
        <v>1</v>
      </c>
    </row>
    <row r="8623" spans="7:10">
      <c r="G8623">
        <v>3</v>
      </c>
      <c r="H8623">
        <v>2</v>
      </c>
      <c r="I8623">
        <v>4</v>
      </c>
      <c r="J8623">
        <v>2</v>
      </c>
    </row>
    <row r="8624" spans="7:10">
      <c r="G8624">
        <v>3</v>
      </c>
      <c r="H8624">
        <v>2</v>
      </c>
      <c r="I8624">
        <v>5</v>
      </c>
      <c r="J8624">
        <v>1</v>
      </c>
    </row>
    <row r="8625" spans="7:10">
      <c r="G8625">
        <v>3</v>
      </c>
      <c r="H8625">
        <v>2</v>
      </c>
      <c r="I8625">
        <v>5</v>
      </c>
      <c r="J8625">
        <v>2</v>
      </c>
    </row>
    <row r="8626" spans="7:10">
      <c r="G8626">
        <v>3</v>
      </c>
      <c r="H8626">
        <v>3</v>
      </c>
      <c r="I8626">
        <v>1</v>
      </c>
      <c r="J8626">
        <v>1</v>
      </c>
    </row>
    <row r="8627" spans="7:10">
      <c r="G8627">
        <v>3</v>
      </c>
      <c r="H8627">
        <v>3</v>
      </c>
      <c r="I8627">
        <v>1</v>
      </c>
      <c r="J8627">
        <v>2</v>
      </c>
    </row>
    <row r="8628" spans="7:10">
      <c r="G8628">
        <v>3</v>
      </c>
      <c r="H8628">
        <v>3</v>
      </c>
      <c r="I8628">
        <v>2</v>
      </c>
      <c r="J8628">
        <v>1</v>
      </c>
    </row>
    <row r="8629" spans="7:10">
      <c r="G8629">
        <v>3</v>
      </c>
      <c r="H8629">
        <v>3</v>
      </c>
      <c r="I8629">
        <v>2</v>
      </c>
      <c r="J8629">
        <v>2</v>
      </c>
    </row>
    <row r="8630" spans="7:10">
      <c r="G8630">
        <v>3</v>
      </c>
      <c r="H8630">
        <v>3</v>
      </c>
      <c r="I8630">
        <v>3</v>
      </c>
      <c r="J8630">
        <v>1</v>
      </c>
    </row>
    <row r="8631" spans="7:10">
      <c r="G8631">
        <v>3</v>
      </c>
      <c r="H8631">
        <v>3</v>
      </c>
      <c r="I8631">
        <v>3</v>
      </c>
      <c r="J8631">
        <v>2</v>
      </c>
    </row>
    <row r="8632" spans="7:10">
      <c r="G8632">
        <v>3</v>
      </c>
      <c r="H8632">
        <v>3</v>
      </c>
      <c r="I8632">
        <v>4</v>
      </c>
      <c r="J8632">
        <v>1</v>
      </c>
    </row>
    <row r="8633" spans="7:10">
      <c r="G8633">
        <v>3</v>
      </c>
      <c r="H8633">
        <v>3</v>
      </c>
      <c r="I8633">
        <v>4</v>
      </c>
      <c r="J8633">
        <v>2</v>
      </c>
    </row>
    <row r="8634" spans="7:10">
      <c r="G8634">
        <v>3</v>
      </c>
      <c r="H8634">
        <v>3</v>
      </c>
      <c r="I8634">
        <v>5</v>
      </c>
      <c r="J8634">
        <v>1</v>
      </c>
    </row>
    <row r="8635" spans="7:10">
      <c r="G8635">
        <v>3</v>
      </c>
      <c r="H8635">
        <v>3</v>
      </c>
      <c r="I8635">
        <v>5</v>
      </c>
      <c r="J8635">
        <v>2</v>
      </c>
    </row>
    <row r="8636" spans="7:10">
      <c r="G8636">
        <v>4</v>
      </c>
      <c r="H8636">
        <v>1</v>
      </c>
      <c r="I8636">
        <v>3</v>
      </c>
      <c r="J8636">
        <v>1</v>
      </c>
    </row>
    <row r="8637" spans="7:10">
      <c r="G8637">
        <v>4</v>
      </c>
      <c r="H8637">
        <v>1</v>
      </c>
      <c r="I8637">
        <v>3</v>
      </c>
      <c r="J8637">
        <v>2</v>
      </c>
    </row>
    <row r="8638" spans="7:10">
      <c r="G8638">
        <v>4</v>
      </c>
      <c r="H8638">
        <v>1</v>
      </c>
      <c r="I8638">
        <v>4</v>
      </c>
      <c r="J8638">
        <v>1</v>
      </c>
    </row>
    <row r="8639" spans="7:10">
      <c r="G8639">
        <v>4</v>
      </c>
      <c r="H8639">
        <v>1</v>
      </c>
      <c r="I8639">
        <v>4</v>
      </c>
      <c r="J8639">
        <v>2</v>
      </c>
    </row>
    <row r="8640" spans="7:10">
      <c r="G8640">
        <v>4</v>
      </c>
      <c r="H8640">
        <v>1</v>
      </c>
      <c r="I8640">
        <v>5</v>
      </c>
      <c r="J8640">
        <v>1</v>
      </c>
    </row>
    <row r="8641" spans="7:10">
      <c r="G8641">
        <v>4</v>
      </c>
      <c r="H8641">
        <v>1</v>
      </c>
      <c r="I8641">
        <v>5</v>
      </c>
      <c r="J8641">
        <v>2</v>
      </c>
    </row>
    <row r="8642" spans="7:10">
      <c r="G8642">
        <v>4</v>
      </c>
      <c r="H8642">
        <v>2</v>
      </c>
      <c r="I8642">
        <v>1</v>
      </c>
      <c r="J8642">
        <v>1</v>
      </c>
    </row>
    <row r="8643" spans="7:10">
      <c r="G8643">
        <v>4</v>
      </c>
      <c r="H8643">
        <v>2</v>
      </c>
      <c r="I8643">
        <v>1</v>
      </c>
      <c r="J8643">
        <v>2</v>
      </c>
    </row>
    <row r="8644" spans="7:10">
      <c r="G8644">
        <v>4</v>
      </c>
      <c r="H8644">
        <v>2</v>
      </c>
      <c r="I8644">
        <v>2</v>
      </c>
      <c r="J8644">
        <v>1</v>
      </c>
    </row>
    <row r="8645" spans="7:10">
      <c r="G8645">
        <v>4</v>
      </c>
      <c r="H8645">
        <v>2</v>
      </c>
      <c r="I8645">
        <v>2</v>
      </c>
      <c r="J8645">
        <v>2</v>
      </c>
    </row>
    <row r="8646" spans="7:10">
      <c r="G8646">
        <v>4</v>
      </c>
      <c r="H8646">
        <v>2</v>
      </c>
      <c r="I8646">
        <v>3</v>
      </c>
      <c r="J8646">
        <v>1</v>
      </c>
    </row>
    <row r="8647" spans="7:10">
      <c r="G8647">
        <v>4</v>
      </c>
      <c r="H8647">
        <v>2</v>
      </c>
      <c r="I8647">
        <v>3</v>
      </c>
      <c r="J8647">
        <v>2</v>
      </c>
    </row>
    <row r="8648" spans="7:10">
      <c r="G8648">
        <v>4</v>
      </c>
      <c r="H8648">
        <v>2</v>
      </c>
      <c r="I8648">
        <v>4</v>
      </c>
      <c r="J8648">
        <v>1</v>
      </c>
    </row>
    <row r="8649" spans="7:10">
      <c r="G8649">
        <v>4</v>
      </c>
      <c r="H8649">
        <v>2</v>
      </c>
      <c r="I8649">
        <v>4</v>
      </c>
      <c r="J8649">
        <v>2</v>
      </c>
    </row>
    <row r="8650" spans="7:10">
      <c r="G8650">
        <v>4</v>
      </c>
      <c r="H8650">
        <v>2</v>
      </c>
      <c r="I8650">
        <v>5</v>
      </c>
      <c r="J8650">
        <v>1</v>
      </c>
    </row>
    <row r="8651" spans="7:10">
      <c r="G8651">
        <v>4</v>
      </c>
      <c r="H8651">
        <v>2</v>
      </c>
      <c r="I8651">
        <v>5</v>
      </c>
      <c r="J8651">
        <v>2</v>
      </c>
    </row>
    <row r="8652" spans="7:10">
      <c r="G8652">
        <v>4</v>
      </c>
      <c r="H8652">
        <v>3</v>
      </c>
      <c r="I8652">
        <v>1</v>
      </c>
      <c r="J8652">
        <v>1</v>
      </c>
    </row>
    <row r="8653" spans="7:10">
      <c r="G8653">
        <v>4</v>
      </c>
      <c r="H8653">
        <v>3</v>
      </c>
      <c r="I8653">
        <v>1</v>
      </c>
      <c r="J8653">
        <v>2</v>
      </c>
    </row>
    <row r="8654" spans="7:10">
      <c r="G8654">
        <v>4</v>
      </c>
      <c r="H8654">
        <v>3</v>
      </c>
      <c r="I8654">
        <v>2</v>
      </c>
      <c r="J8654">
        <v>1</v>
      </c>
    </row>
    <row r="8655" spans="7:10">
      <c r="G8655">
        <v>4</v>
      </c>
      <c r="H8655">
        <v>3</v>
      </c>
      <c r="I8655">
        <v>2</v>
      </c>
      <c r="J8655">
        <v>2</v>
      </c>
    </row>
    <row r="8656" spans="7:10">
      <c r="G8656">
        <v>4</v>
      </c>
      <c r="H8656">
        <v>3</v>
      </c>
      <c r="I8656">
        <v>3</v>
      </c>
      <c r="J8656">
        <v>1</v>
      </c>
    </row>
    <row r="8657" spans="7:10">
      <c r="G8657">
        <v>4</v>
      </c>
      <c r="H8657">
        <v>3</v>
      </c>
      <c r="I8657">
        <v>3</v>
      </c>
      <c r="J8657">
        <v>2</v>
      </c>
    </row>
    <row r="8658" spans="7:10">
      <c r="G8658">
        <v>4</v>
      </c>
      <c r="H8658">
        <v>3</v>
      </c>
      <c r="I8658">
        <v>4</v>
      </c>
      <c r="J8658">
        <v>1</v>
      </c>
    </row>
    <row r="8659" spans="7:10">
      <c r="G8659">
        <v>4</v>
      </c>
      <c r="H8659">
        <v>3</v>
      </c>
      <c r="I8659">
        <v>4</v>
      </c>
      <c r="J8659">
        <v>2</v>
      </c>
    </row>
    <row r="8660" spans="7:10">
      <c r="G8660">
        <v>4</v>
      </c>
      <c r="H8660">
        <v>3</v>
      </c>
      <c r="I8660">
        <v>5</v>
      </c>
      <c r="J8660">
        <v>1</v>
      </c>
    </row>
    <row r="8661" spans="7:10">
      <c r="G8661">
        <v>4</v>
      </c>
      <c r="H8661">
        <v>3</v>
      </c>
      <c r="I8661">
        <v>5</v>
      </c>
      <c r="J8661">
        <v>2</v>
      </c>
    </row>
    <row r="8662" spans="7:10">
      <c r="G8662">
        <v>1</v>
      </c>
      <c r="H8662">
        <v>2</v>
      </c>
      <c r="I8662">
        <v>1</v>
      </c>
      <c r="J8662">
        <v>1</v>
      </c>
    </row>
    <row r="8663" spans="7:10">
      <c r="G8663">
        <v>1</v>
      </c>
      <c r="H8663">
        <v>2</v>
      </c>
      <c r="I8663">
        <v>1</v>
      </c>
      <c r="J8663">
        <v>2</v>
      </c>
    </row>
    <row r="8664" spans="7:10">
      <c r="G8664">
        <v>1</v>
      </c>
      <c r="H8664">
        <v>2</v>
      </c>
      <c r="I8664">
        <v>2</v>
      </c>
      <c r="J8664">
        <v>1</v>
      </c>
    </row>
    <row r="8665" spans="7:10">
      <c r="G8665">
        <v>1</v>
      </c>
      <c r="H8665">
        <v>2</v>
      </c>
      <c r="I8665">
        <v>2</v>
      </c>
      <c r="J8665">
        <v>2</v>
      </c>
    </row>
    <row r="8666" spans="7:10">
      <c r="G8666">
        <v>1</v>
      </c>
      <c r="H8666">
        <v>2</v>
      </c>
      <c r="I8666">
        <v>3</v>
      </c>
      <c r="J8666">
        <v>1</v>
      </c>
    </row>
    <row r="8667" spans="7:10">
      <c r="G8667">
        <v>1</v>
      </c>
      <c r="H8667">
        <v>2</v>
      </c>
      <c r="I8667">
        <v>3</v>
      </c>
      <c r="J8667">
        <v>2</v>
      </c>
    </row>
    <row r="8668" spans="7:10">
      <c r="G8668">
        <v>1</v>
      </c>
      <c r="H8668">
        <v>2</v>
      </c>
      <c r="I8668">
        <v>4</v>
      </c>
      <c r="J8668">
        <v>1</v>
      </c>
    </row>
    <row r="8669" spans="7:10">
      <c r="G8669">
        <v>1</v>
      </c>
      <c r="H8669">
        <v>2</v>
      </c>
      <c r="I8669">
        <v>4</v>
      </c>
      <c r="J8669">
        <v>2</v>
      </c>
    </row>
    <row r="8670" spans="7:10">
      <c r="G8670">
        <v>1</v>
      </c>
      <c r="H8670">
        <v>2</v>
      </c>
      <c r="I8670">
        <v>5</v>
      </c>
      <c r="J8670">
        <v>1</v>
      </c>
    </row>
    <row r="8671" spans="7:10">
      <c r="G8671">
        <v>1</v>
      </c>
      <c r="H8671">
        <v>2</v>
      </c>
      <c r="I8671">
        <v>5</v>
      </c>
      <c r="J8671">
        <v>2</v>
      </c>
    </row>
    <row r="8672" spans="7:10">
      <c r="G8672">
        <v>1</v>
      </c>
      <c r="H8672">
        <v>3</v>
      </c>
      <c r="I8672">
        <v>1</v>
      </c>
      <c r="J8672">
        <v>1</v>
      </c>
    </row>
    <row r="8673" spans="7:10">
      <c r="G8673">
        <v>1</v>
      </c>
      <c r="H8673">
        <v>3</v>
      </c>
      <c r="I8673">
        <v>1</v>
      </c>
      <c r="J8673">
        <v>2</v>
      </c>
    </row>
    <row r="8674" spans="7:10">
      <c r="G8674">
        <v>1</v>
      </c>
      <c r="H8674">
        <v>3</v>
      </c>
      <c r="I8674">
        <v>2</v>
      </c>
      <c r="J8674">
        <v>1</v>
      </c>
    </row>
    <row r="8675" spans="7:10">
      <c r="G8675">
        <v>1</v>
      </c>
      <c r="H8675">
        <v>3</v>
      </c>
      <c r="I8675">
        <v>2</v>
      </c>
      <c r="J8675">
        <v>2</v>
      </c>
    </row>
    <row r="8676" spans="7:10">
      <c r="G8676">
        <v>1</v>
      </c>
      <c r="H8676">
        <v>3</v>
      </c>
      <c r="I8676">
        <v>3</v>
      </c>
      <c r="J8676">
        <v>1</v>
      </c>
    </row>
    <row r="8677" spans="7:10">
      <c r="G8677">
        <v>1</v>
      </c>
      <c r="H8677">
        <v>3</v>
      </c>
      <c r="I8677">
        <v>3</v>
      </c>
      <c r="J8677">
        <v>2</v>
      </c>
    </row>
    <row r="8678" spans="7:10">
      <c r="G8678">
        <v>1</v>
      </c>
      <c r="H8678">
        <v>3</v>
      </c>
      <c r="I8678">
        <v>4</v>
      </c>
      <c r="J8678">
        <v>1</v>
      </c>
    </row>
    <row r="8679" spans="7:10">
      <c r="G8679">
        <v>1</v>
      </c>
      <c r="H8679">
        <v>3</v>
      </c>
      <c r="I8679">
        <v>4</v>
      </c>
      <c r="J8679">
        <v>2</v>
      </c>
    </row>
    <row r="8680" spans="7:10">
      <c r="G8680">
        <v>1</v>
      </c>
      <c r="H8680">
        <v>3</v>
      </c>
      <c r="I8680">
        <v>5</v>
      </c>
      <c r="J8680">
        <v>1</v>
      </c>
    </row>
    <row r="8681" spans="7:10">
      <c r="G8681">
        <v>1</v>
      </c>
      <c r="H8681">
        <v>3</v>
      </c>
      <c r="I8681">
        <v>5</v>
      </c>
      <c r="J8681">
        <v>2</v>
      </c>
    </row>
    <row r="8682" spans="7:10">
      <c r="G8682">
        <v>2</v>
      </c>
      <c r="H8682">
        <v>1</v>
      </c>
      <c r="I8682">
        <v>3</v>
      </c>
      <c r="J8682">
        <v>1</v>
      </c>
    </row>
    <row r="8683" spans="7:10">
      <c r="G8683">
        <v>2</v>
      </c>
      <c r="H8683">
        <v>1</v>
      </c>
      <c r="I8683">
        <v>3</v>
      </c>
      <c r="J8683">
        <v>2</v>
      </c>
    </row>
    <row r="8684" spans="7:10">
      <c r="G8684">
        <v>2</v>
      </c>
      <c r="H8684">
        <v>1</v>
      </c>
      <c r="I8684">
        <v>4</v>
      </c>
      <c r="J8684">
        <v>1</v>
      </c>
    </row>
    <row r="8685" spans="7:10">
      <c r="G8685">
        <v>2</v>
      </c>
      <c r="H8685">
        <v>1</v>
      </c>
      <c r="I8685">
        <v>4</v>
      </c>
      <c r="J8685">
        <v>2</v>
      </c>
    </row>
    <row r="8686" spans="7:10">
      <c r="G8686">
        <v>2</v>
      </c>
      <c r="H8686">
        <v>1</v>
      </c>
      <c r="I8686">
        <v>5</v>
      </c>
      <c r="J8686">
        <v>1</v>
      </c>
    </row>
    <row r="8687" spans="7:10">
      <c r="G8687">
        <v>2</v>
      </c>
      <c r="H8687">
        <v>1</v>
      </c>
      <c r="I8687">
        <v>5</v>
      </c>
      <c r="J8687">
        <v>2</v>
      </c>
    </row>
    <row r="8688" spans="7:10">
      <c r="G8688">
        <v>2</v>
      </c>
      <c r="H8688">
        <v>2</v>
      </c>
      <c r="I8688">
        <v>1</v>
      </c>
      <c r="J8688">
        <v>1</v>
      </c>
    </row>
    <row r="8689" spans="7:10">
      <c r="G8689">
        <v>2</v>
      </c>
      <c r="H8689">
        <v>2</v>
      </c>
      <c r="I8689">
        <v>1</v>
      </c>
      <c r="J8689">
        <v>2</v>
      </c>
    </row>
    <row r="8690" spans="7:10">
      <c r="G8690">
        <v>2</v>
      </c>
      <c r="H8690">
        <v>2</v>
      </c>
      <c r="I8690">
        <v>2</v>
      </c>
      <c r="J8690">
        <v>1</v>
      </c>
    </row>
    <row r="8691" spans="7:10">
      <c r="G8691">
        <v>2</v>
      </c>
      <c r="H8691">
        <v>2</v>
      </c>
      <c r="I8691">
        <v>2</v>
      </c>
      <c r="J8691">
        <v>2</v>
      </c>
    </row>
    <row r="8692" spans="7:10">
      <c r="G8692">
        <v>2</v>
      </c>
      <c r="H8692">
        <v>2</v>
      </c>
      <c r="I8692">
        <v>3</v>
      </c>
      <c r="J8692">
        <v>1</v>
      </c>
    </row>
    <row r="8693" spans="7:10">
      <c r="G8693">
        <v>2</v>
      </c>
      <c r="H8693">
        <v>2</v>
      </c>
      <c r="I8693">
        <v>3</v>
      </c>
      <c r="J8693">
        <v>2</v>
      </c>
    </row>
    <row r="8694" spans="7:10">
      <c r="G8694">
        <v>2</v>
      </c>
      <c r="H8694">
        <v>2</v>
      </c>
      <c r="I8694">
        <v>4</v>
      </c>
      <c r="J8694">
        <v>1</v>
      </c>
    </row>
    <row r="8695" spans="7:10">
      <c r="G8695">
        <v>2</v>
      </c>
      <c r="H8695">
        <v>2</v>
      </c>
      <c r="I8695">
        <v>4</v>
      </c>
      <c r="J8695">
        <v>2</v>
      </c>
    </row>
    <row r="8696" spans="7:10">
      <c r="G8696">
        <v>2</v>
      </c>
      <c r="H8696">
        <v>2</v>
      </c>
      <c r="I8696">
        <v>5</v>
      </c>
      <c r="J8696">
        <v>1</v>
      </c>
    </row>
    <row r="8697" spans="7:10">
      <c r="G8697">
        <v>2</v>
      </c>
      <c r="H8697">
        <v>2</v>
      </c>
      <c r="I8697">
        <v>5</v>
      </c>
      <c r="J8697">
        <v>2</v>
      </c>
    </row>
    <row r="8698" spans="7:10">
      <c r="G8698">
        <v>2</v>
      </c>
      <c r="H8698">
        <v>3</v>
      </c>
      <c r="I8698">
        <v>1</v>
      </c>
      <c r="J8698">
        <v>1</v>
      </c>
    </row>
    <row r="8699" spans="7:10">
      <c r="G8699">
        <v>2</v>
      </c>
      <c r="H8699">
        <v>3</v>
      </c>
      <c r="I8699">
        <v>1</v>
      </c>
      <c r="J8699">
        <v>2</v>
      </c>
    </row>
    <row r="8700" spans="7:10">
      <c r="G8700">
        <v>2</v>
      </c>
      <c r="H8700">
        <v>3</v>
      </c>
      <c r="I8700">
        <v>2</v>
      </c>
      <c r="J8700">
        <v>1</v>
      </c>
    </row>
    <row r="8701" spans="7:10">
      <c r="G8701">
        <v>2</v>
      </c>
      <c r="H8701">
        <v>3</v>
      </c>
      <c r="I8701">
        <v>2</v>
      </c>
      <c r="J8701">
        <v>2</v>
      </c>
    </row>
    <row r="8702" spans="7:10">
      <c r="G8702">
        <v>2</v>
      </c>
      <c r="H8702">
        <v>3</v>
      </c>
      <c r="I8702">
        <v>3</v>
      </c>
      <c r="J8702">
        <v>1</v>
      </c>
    </row>
    <row r="8703" spans="7:10">
      <c r="G8703">
        <v>2</v>
      </c>
      <c r="H8703">
        <v>3</v>
      </c>
      <c r="I8703">
        <v>3</v>
      </c>
      <c r="J8703">
        <v>2</v>
      </c>
    </row>
    <row r="8704" spans="7:10">
      <c r="G8704">
        <v>2</v>
      </c>
      <c r="H8704">
        <v>3</v>
      </c>
      <c r="I8704">
        <v>4</v>
      </c>
      <c r="J8704">
        <v>1</v>
      </c>
    </row>
    <row r="8705" spans="7:10">
      <c r="G8705">
        <v>2</v>
      </c>
      <c r="H8705">
        <v>3</v>
      </c>
      <c r="I8705">
        <v>4</v>
      </c>
      <c r="J8705">
        <v>2</v>
      </c>
    </row>
    <row r="8706" spans="7:10">
      <c r="G8706">
        <v>2</v>
      </c>
      <c r="H8706">
        <v>3</v>
      </c>
      <c r="I8706">
        <v>5</v>
      </c>
      <c r="J8706">
        <v>1</v>
      </c>
    </row>
    <row r="8707" spans="7:10">
      <c r="G8707">
        <v>2</v>
      </c>
      <c r="H8707">
        <v>3</v>
      </c>
      <c r="I8707">
        <v>5</v>
      </c>
      <c r="J8707">
        <v>2</v>
      </c>
    </row>
    <row r="8708" spans="7:10">
      <c r="G8708">
        <v>3</v>
      </c>
      <c r="H8708">
        <v>1</v>
      </c>
      <c r="I8708">
        <v>3</v>
      </c>
      <c r="J8708">
        <v>1</v>
      </c>
    </row>
    <row r="8709" spans="7:10">
      <c r="G8709">
        <v>3</v>
      </c>
      <c r="H8709">
        <v>1</v>
      </c>
      <c r="I8709">
        <v>3</v>
      </c>
      <c r="J8709">
        <v>2</v>
      </c>
    </row>
    <row r="8710" spans="7:10">
      <c r="G8710">
        <v>3</v>
      </c>
      <c r="H8710">
        <v>1</v>
      </c>
      <c r="I8710">
        <v>4</v>
      </c>
      <c r="J8710">
        <v>1</v>
      </c>
    </row>
    <row r="8711" spans="7:10">
      <c r="G8711">
        <v>3</v>
      </c>
      <c r="H8711">
        <v>1</v>
      </c>
      <c r="I8711">
        <v>4</v>
      </c>
      <c r="J8711">
        <v>2</v>
      </c>
    </row>
    <row r="8712" spans="7:10">
      <c r="G8712">
        <v>3</v>
      </c>
      <c r="H8712">
        <v>1</v>
      </c>
      <c r="I8712">
        <v>5</v>
      </c>
      <c r="J8712">
        <v>1</v>
      </c>
    </row>
    <row r="8713" spans="7:10">
      <c r="G8713">
        <v>3</v>
      </c>
      <c r="H8713">
        <v>1</v>
      </c>
      <c r="I8713">
        <v>5</v>
      </c>
      <c r="J8713">
        <v>2</v>
      </c>
    </row>
    <row r="8714" spans="7:10">
      <c r="G8714">
        <v>3</v>
      </c>
      <c r="H8714">
        <v>2</v>
      </c>
      <c r="I8714">
        <v>1</v>
      </c>
      <c r="J8714">
        <v>1</v>
      </c>
    </row>
    <row r="8715" spans="7:10">
      <c r="G8715">
        <v>3</v>
      </c>
      <c r="H8715">
        <v>2</v>
      </c>
      <c r="I8715">
        <v>1</v>
      </c>
      <c r="J8715">
        <v>2</v>
      </c>
    </row>
    <row r="8716" spans="7:10">
      <c r="G8716">
        <v>3</v>
      </c>
      <c r="H8716">
        <v>2</v>
      </c>
      <c r="I8716">
        <v>2</v>
      </c>
      <c r="J8716">
        <v>1</v>
      </c>
    </row>
    <row r="8717" spans="7:10">
      <c r="G8717">
        <v>3</v>
      </c>
      <c r="H8717">
        <v>2</v>
      </c>
      <c r="I8717">
        <v>2</v>
      </c>
      <c r="J8717">
        <v>2</v>
      </c>
    </row>
    <row r="8718" spans="7:10">
      <c r="G8718">
        <v>3</v>
      </c>
      <c r="H8718">
        <v>2</v>
      </c>
      <c r="I8718">
        <v>3</v>
      </c>
      <c r="J8718">
        <v>1</v>
      </c>
    </row>
    <row r="8719" spans="7:10">
      <c r="G8719">
        <v>3</v>
      </c>
      <c r="H8719">
        <v>2</v>
      </c>
      <c r="I8719">
        <v>3</v>
      </c>
      <c r="J8719">
        <v>2</v>
      </c>
    </row>
    <row r="8720" spans="7:10">
      <c r="G8720">
        <v>3</v>
      </c>
      <c r="H8720">
        <v>2</v>
      </c>
      <c r="I8720">
        <v>4</v>
      </c>
      <c r="J8720">
        <v>1</v>
      </c>
    </row>
    <row r="8721" spans="7:10">
      <c r="G8721">
        <v>3</v>
      </c>
      <c r="H8721">
        <v>2</v>
      </c>
      <c r="I8721">
        <v>4</v>
      </c>
      <c r="J8721">
        <v>2</v>
      </c>
    </row>
    <row r="8722" spans="7:10">
      <c r="G8722">
        <v>3</v>
      </c>
      <c r="H8722">
        <v>2</v>
      </c>
      <c r="I8722">
        <v>5</v>
      </c>
      <c r="J8722">
        <v>1</v>
      </c>
    </row>
    <row r="8723" spans="7:10">
      <c r="G8723">
        <v>3</v>
      </c>
      <c r="H8723">
        <v>2</v>
      </c>
      <c r="I8723">
        <v>5</v>
      </c>
      <c r="J8723">
        <v>2</v>
      </c>
    </row>
    <row r="8724" spans="7:10">
      <c r="G8724">
        <v>3</v>
      </c>
      <c r="H8724">
        <v>3</v>
      </c>
      <c r="I8724">
        <v>1</v>
      </c>
      <c r="J8724">
        <v>1</v>
      </c>
    </row>
    <row r="8725" spans="7:10">
      <c r="G8725">
        <v>3</v>
      </c>
      <c r="H8725">
        <v>3</v>
      </c>
      <c r="I8725">
        <v>1</v>
      </c>
      <c r="J8725">
        <v>2</v>
      </c>
    </row>
    <row r="8726" spans="7:10">
      <c r="G8726">
        <v>3</v>
      </c>
      <c r="H8726">
        <v>3</v>
      </c>
      <c r="I8726">
        <v>2</v>
      </c>
      <c r="J8726">
        <v>1</v>
      </c>
    </row>
    <row r="8727" spans="7:10">
      <c r="G8727">
        <v>3</v>
      </c>
      <c r="H8727">
        <v>3</v>
      </c>
      <c r="I8727">
        <v>2</v>
      </c>
      <c r="J8727">
        <v>2</v>
      </c>
    </row>
    <row r="8728" spans="7:10">
      <c r="G8728">
        <v>3</v>
      </c>
      <c r="H8728">
        <v>3</v>
      </c>
      <c r="I8728">
        <v>3</v>
      </c>
      <c r="J8728">
        <v>1</v>
      </c>
    </row>
    <row r="8729" spans="7:10">
      <c r="G8729">
        <v>3</v>
      </c>
      <c r="H8729">
        <v>3</v>
      </c>
      <c r="I8729">
        <v>3</v>
      </c>
      <c r="J8729">
        <v>2</v>
      </c>
    </row>
    <row r="8730" spans="7:10">
      <c r="G8730">
        <v>3</v>
      </c>
      <c r="H8730">
        <v>3</v>
      </c>
      <c r="I8730">
        <v>4</v>
      </c>
      <c r="J8730">
        <v>1</v>
      </c>
    </row>
    <row r="8731" spans="7:10">
      <c r="G8731">
        <v>3</v>
      </c>
      <c r="H8731">
        <v>3</v>
      </c>
      <c r="I8731">
        <v>4</v>
      </c>
      <c r="J8731">
        <v>2</v>
      </c>
    </row>
    <row r="8732" spans="7:10">
      <c r="G8732">
        <v>3</v>
      </c>
      <c r="H8732">
        <v>3</v>
      </c>
      <c r="I8732">
        <v>5</v>
      </c>
      <c r="J8732">
        <v>1</v>
      </c>
    </row>
    <row r="8733" spans="7:10">
      <c r="G8733">
        <v>3</v>
      </c>
      <c r="H8733">
        <v>3</v>
      </c>
      <c r="I8733">
        <v>5</v>
      </c>
      <c r="J8733">
        <v>2</v>
      </c>
    </row>
    <row r="8734" spans="7:10">
      <c r="G8734">
        <v>4</v>
      </c>
      <c r="H8734">
        <v>1</v>
      </c>
      <c r="I8734">
        <v>3</v>
      </c>
      <c r="J8734">
        <v>1</v>
      </c>
    </row>
    <row r="8735" spans="7:10">
      <c r="G8735">
        <v>4</v>
      </c>
      <c r="H8735">
        <v>1</v>
      </c>
      <c r="I8735">
        <v>3</v>
      </c>
      <c r="J8735">
        <v>2</v>
      </c>
    </row>
    <row r="8736" spans="7:10">
      <c r="G8736">
        <v>4</v>
      </c>
      <c r="H8736">
        <v>1</v>
      </c>
      <c r="I8736">
        <v>4</v>
      </c>
      <c r="J8736">
        <v>1</v>
      </c>
    </row>
    <row r="8737" spans="7:10">
      <c r="G8737">
        <v>4</v>
      </c>
      <c r="H8737">
        <v>1</v>
      </c>
      <c r="I8737">
        <v>4</v>
      </c>
      <c r="J8737">
        <v>2</v>
      </c>
    </row>
    <row r="8738" spans="7:10">
      <c r="G8738">
        <v>4</v>
      </c>
      <c r="H8738">
        <v>1</v>
      </c>
      <c r="I8738">
        <v>5</v>
      </c>
      <c r="J8738">
        <v>1</v>
      </c>
    </row>
    <row r="8739" spans="7:10">
      <c r="G8739">
        <v>4</v>
      </c>
      <c r="H8739">
        <v>1</v>
      </c>
      <c r="I8739">
        <v>5</v>
      </c>
      <c r="J8739">
        <v>2</v>
      </c>
    </row>
    <row r="8740" spans="7:10">
      <c r="G8740">
        <v>4</v>
      </c>
      <c r="H8740">
        <v>2</v>
      </c>
      <c r="I8740">
        <v>1</v>
      </c>
      <c r="J8740">
        <v>1</v>
      </c>
    </row>
    <row r="8741" spans="7:10">
      <c r="G8741">
        <v>4</v>
      </c>
      <c r="H8741">
        <v>2</v>
      </c>
      <c r="I8741">
        <v>1</v>
      </c>
      <c r="J8741">
        <v>2</v>
      </c>
    </row>
    <row r="8742" spans="7:10">
      <c r="G8742">
        <v>4</v>
      </c>
      <c r="H8742">
        <v>2</v>
      </c>
      <c r="I8742">
        <v>2</v>
      </c>
      <c r="J8742">
        <v>1</v>
      </c>
    </row>
    <row r="8743" spans="7:10">
      <c r="G8743">
        <v>4</v>
      </c>
      <c r="H8743">
        <v>2</v>
      </c>
      <c r="I8743">
        <v>2</v>
      </c>
      <c r="J8743">
        <v>2</v>
      </c>
    </row>
    <row r="8744" spans="7:10">
      <c r="G8744">
        <v>4</v>
      </c>
      <c r="H8744">
        <v>2</v>
      </c>
      <c r="I8744">
        <v>3</v>
      </c>
      <c r="J8744">
        <v>1</v>
      </c>
    </row>
    <row r="8745" spans="7:10">
      <c r="G8745">
        <v>4</v>
      </c>
      <c r="H8745">
        <v>2</v>
      </c>
      <c r="I8745">
        <v>3</v>
      </c>
      <c r="J8745">
        <v>2</v>
      </c>
    </row>
    <row r="8746" spans="7:10">
      <c r="G8746">
        <v>4</v>
      </c>
      <c r="H8746">
        <v>2</v>
      </c>
      <c r="I8746">
        <v>4</v>
      </c>
      <c r="J8746">
        <v>1</v>
      </c>
    </row>
    <row r="8747" spans="7:10">
      <c r="G8747">
        <v>4</v>
      </c>
      <c r="H8747">
        <v>2</v>
      </c>
      <c r="I8747">
        <v>4</v>
      </c>
      <c r="J8747">
        <v>2</v>
      </c>
    </row>
    <row r="8748" spans="7:10">
      <c r="G8748">
        <v>4</v>
      </c>
      <c r="H8748">
        <v>2</v>
      </c>
      <c r="I8748">
        <v>5</v>
      </c>
      <c r="J8748">
        <v>1</v>
      </c>
    </row>
    <row r="8749" spans="7:10">
      <c r="G8749">
        <v>4</v>
      </c>
      <c r="H8749">
        <v>2</v>
      </c>
      <c r="I8749">
        <v>5</v>
      </c>
      <c r="J8749">
        <v>2</v>
      </c>
    </row>
    <row r="8750" spans="7:10">
      <c r="G8750">
        <v>4</v>
      </c>
      <c r="H8750">
        <v>3</v>
      </c>
      <c r="I8750">
        <v>1</v>
      </c>
      <c r="J8750">
        <v>1</v>
      </c>
    </row>
    <row r="8751" spans="7:10">
      <c r="G8751">
        <v>4</v>
      </c>
      <c r="H8751">
        <v>3</v>
      </c>
      <c r="I8751">
        <v>1</v>
      </c>
      <c r="J8751">
        <v>2</v>
      </c>
    </row>
    <row r="8752" spans="7:10">
      <c r="G8752">
        <v>4</v>
      </c>
      <c r="H8752">
        <v>3</v>
      </c>
      <c r="I8752">
        <v>2</v>
      </c>
      <c r="J8752">
        <v>1</v>
      </c>
    </row>
    <row r="8753" spans="7:10">
      <c r="G8753">
        <v>4</v>
      </c>
      <c r="H8753">
        <v>3</v>
      </c>
      <c r="I8753">
        <v>2</v>
      </c>
      <c r="J8753">
        <v>2</v>
      </c>
    </row>
    <row r="8754" spans="7:10">
      <c r="G8754">
        <v>4</v>
      </c>
      <c r="H8754">
        <v>3</v>
      </c>
      <c r="I8754">
        <v>3</v>
      </c>
      <c r="J8754">
        <v>1</v>
      </c>
    </row>
    <row r="8755" spans="7:10">
      <c r="G8755">
        <v>4</v>
      </c>
      <c r="H8755">
        <v>3</v>
      </c>
      <c r="I8755">
        <v>3</v>
      </c>
      <c r="J8755">
        <v>2</v>
      </c>
    </row>
    <row r="8756" spans="7:10">
      <c r="G8756">
        <v>4</v>
      </c>
      <c r="H8756">
        <v>3</v>
      </c>
      <c r="I8756">
        <v>4</v>
      </c>
      <c r="J8756">
        <v>1</v>
      </c>
    </row>
    <row r="8757" spans="7:10">
      <c r="G8757">
        <v>4</v>
      </c>
      <c r="H8757">
        <v>3</v>
      </c>
      <c r="I8757">
        <v>4</v>
      </c>
      <c r="J8757">
        <v>2</v>
      </c>
    </row>
    <row r="8758" spans="7:10">
      <c r="G8758">
        <v>4</v>
      </c>
      <c r="H8758">
        <v>3</v>
      </c>
      <c r="I8758">
        <v>5</v>
      </c>
      <c r="J8758">
        <v>1</v>
      </c>
    </row>
    <row r="8759" spans="7:10">
      <c r="G8759">
        <v>4</v>
      </c>
      <c r="H8759">
        <v>3</v>
      </c>
      <c r="I8759">
        <v>5</v>
      </c>
      <c r="J8759">
        <v>2</v>
      </c>
    </row>
    <row r="8760" spans="7:10">
      <c r="G8760">
        <v>2</v>
      </c>
      <c r="H8760">
        <v>1</v>
      </c>
      <c r="I8760">
        <v>3</v>
      </c>
      <c r="J8760">
        <v>1</v>
      </c>
    </row>
    <row r="8761" spans="7:10">
      <c r="G8761">
        <v>2</v>
      </c>
      <c r="H8761">
        <v>1</v>
      </c>
      <c r="I8761">
        <v>3</v>
      </c>
      <c r="J8761">
        <v>2</v>
      </c>
    </row>
    <row r="8762" spans="7:10">
      <c r="G8762">
        <v>2</v>
      </c>
      <c r="H8762">
        <v>1</v>
      </c>
      <c r="I8762">
        <v>4</v>
      </c>
      <c r="J8762">
        <v>1</v>
      </c>
    </row>
    <row r="8763" spans="7:10">
      <c r="G8763">
        <v>2</v>
      </c>
      <c r="H8763">
        <v>1</v>
      </c>
      <c r="I8763">
        <v>4</v>
      </c>
      <c r="J8763">
        <v>2</v>
      </c>
    </row>
    <row r="8764" spans="7:10">
      <c r="G8764">
        <v>2</v>
      </c>
      <c r="H8764">
        <v>1</v>
      </c>
      <c r="I8764">
        <v>5</v>
      </c>
      <c r="J8764">
        <v>1</v>
      </c>
    </row>
    <row r="8765" spans="7:10">
      <c r="G8765">
        <v>2</v>
      </c>
      <c r="H8765">
        <v>1</v>
      </c>
      <c r="I8765">
        <v>5</v>
      </c>
      <c r="J8765">
        <v>2</v>
      </c>
    </row>
    <row r="8766" spans="7:10">
      <c r="G8766">
        <v>2</v>
      </c>
      <c r="H8766">
        <v>2</v>
      </c>
      <c r="I8766">
        <v>1</v>
      </c>
      <c r="J8766">
        <v>1</v>
      </c>
    </row>
    <row r="8767" spans="7:10">
      <c r="G8767">
        <v>2</v>
      </c>
      <c r="H8767">
        <v>2</v>
      </c>
      <c r="I8767">
        <v>1</v>
      </c>
      <c r="J8767">
        <v>2</v>
      </c>
    </row>
    <row r="8768" spans="7:10">
      <c r="G8768">
        <v>2</v>
      </c>
      <c r="H8768">
        <v>2</v>
      </c>
      <c r="I8768">
        <v>2</v>
      </c>
      <c r="J8768">
        <v>1</v>
      </c>
    </row>
    <row r="8769" spans="7:10">
      <c r="G8769">
        <v>2</v>
      </c>
      <c r="H8769">
        <v>2</v>
      </c>
      <c r="I8769">
        <v>2</v>
      </c>
      <c r="J8769">
        <v>2</v>
      </c>
    </row>
    <row r="8770" spans="7:10">
      <c r="G8770">
        <v>2</v>
      </c>
      <c r="H8770">
        <v>2</v>
      </c>
      <c r="I8770">
        <v>3</v>
      </c>
      <c r="J8770">
        <v>1</v>
      </c>
    </row>
    <row r="8771" spans="7:10">
      <c r="G8771">
        <v>2</v>
      </c>
      <c r="H8771">
        <v>2</v>
      </c>
      <c r="I8771">
        <v>3</v>
      </c>
      <c r="J8771">
        <v>2</v>
      </c>
    </row>
    <row r="8772" spans="7:10">
      <c r="G8772">
        <v>2</v>
      </c>
      <c r="H8772">
        <v>2</v>
      </c>
      <c r="I8772">
        <v>4</v>
      </c>
      <c r="J8772">
        <v>1</v>
      </c>
    </row>
    <row r="8773" spans="7:10">
      <c r="G8773">
        <v>2</v>
      </c>
      <c r="H8773">
        <v>2</v>
      </c>
      <c r="I8773">
        <v>4</v>
      </c>
      <c r="J8773">
        <v>2</v>
      </c>
    </row>
    <row r="8774" spans="7:10">
      <c r="G8774">
        <v>2</v>
      </c>
      <c r="H8774">
        <v>2</v>
      </c>
      <c r="I8774">
        <v>5</v>
      </c>
      <c r="J8774">
        <v>1</v>
      </c>
    </row>
    <row r="8775" spans="7:10">
      <c r="G8775">
        <v>2</v>
      </c>
      <c r="H8775">
        <v>2</v>
      </c>
      <c r="I8775">
        <v>5</v>
      </c>
      <c r="J8775">
        <v>2</v>
      </c>
    </row>
    <row r="8776" spans="7:10">
      <c r="G8776">
        <v>2</v>
      </c>
      <c r="H8776">
        <v>3</v>
      </c>
      <c r="I8776">
        <v>1</v>
      </c>
      <c r="J8776">
        <v>1</v>
      </c>
    </row>
    <row r="8777" spans="7:10">
      <c r="G8777">
        <v>2</v>
      </c>
      <c r="H8777">
        <v>3</v>
      </c>
      <c r="I8777">
        <v>1</v>
      </c>
      <c r="J8777">
        <v>2</v>
      </c>
    </row>
    <row r="8778" spans="7:10">
      <c r="G8778">
        <v>2</v>
      </c>
      <c r="H8778">
        <v>3</v>
      </c>
      <c r="I8778">
        <v>2</v>
      </c>
      <c r="J8778">
        <v>1</v>
      </c>
    </row>
    <row r="8779" spans="7:10">
      <c r="G8779">
        <v>2</v>
      </c>
      <c r="H8779">
        <v>3</v>
      </c>
      <c r="I8779">
        <v>2</v>
      </c>
      <c r="J8779">
        <v>2</v>
      </c>
    </row>
    <row r="8780" spans="7:10">
      <c r="G8780">
        <v>2</v>
      </c>
      <c r="H8780">
        <v>3</v>
      </c>
      <c r="I8780">
        <v>3</v>
      </c>
      <c r="J8780">
        <v>1</v>
      </c>
    </row>
    <row r="8781" spans="7:10">
      <c r="G8781">
        <v>2</v>
      </c>
      <c r="H8781">
        <v>3</v>
      </c>
      <c r="I8781">
        <v>3</v>
      </c>
      <c r="J8781">
        <v>2</v>
      </c>
    </row>
    <row r="8782" spans="7:10">
      <c r="G8782">
        <v>2</v>
      </c>
      <c r="H8782">
        <v>3</v>
      </c>
      <c r="I8782">
        <v>4</v>
      </c>
      <c r="J8782">
        <v>1</v>
      </c>
    </row>
    <row r="8783" spans="7:10">
      <c r="G8783">
        <v>2</v>
      </c>
      <c r="H8783">
        <v>3</v>
      </c>
      <c r="I8783">
        <v>4</v>
      </c>
      <c r="J8783">
        <v>2</v>
      </c>
    </row>
    <row r="8784" spans="7:10">
      <c r="G8784">
        <v>2</v>
      </c>
      <c r="H8784">
        <v>3</v>
      </c>
      <c r="I8784">
        <v>5</v>
      </c>
      <c r="J8784">
        <v>1</v>
      </c>
    </row>
    <row r="8785" spans="7:10">
      <c r="G8785">
        <v>2</v>
      </c>
      <c r="H8785">
        <v>3</v>
      </c>
      <c r="I8785">
        <v>5</v>
      </c>
      <c r="J8785">
        <v>2</v>
      </c>
    </row>
    <row r="8786" spans="7:10">
      <c r="G8786">
        <v>3</v>
      </c>
      <c r="H8786">
        <v>1</v>
      </c>
      <c r="I8786">
        <v>3</v>
      </c>
      <c r="J8786">
        <v>1</v>
      </c>
    </row>
    <row r="8787" spans="7:10">
      <c r="G8787">
        <v>3</v>
      </c>
      <c r="H8787">
        <v>1</v>
      </c>
      <c r="I8787">
        <v>3</v>
      </c>
      <c r="J8787">
        <v>2</v>
      </c>
    </row>
    <row r="8788" spans="7:10">
      <c r="G8788">
        <v>3</v>
      </c>
      <c r="H8788">
        <v>1</v>
      </c>
      <c r="I8788">
        <v>4</v>
      </c>
      <c r="J8788">
        <v>1</v>
      </c>
    </row>
    <row r="8789" spans="7:10">
      <c r="G8789">
        <v>3</v>
      </c>
      <c r="H8789">
        <v>1</v>
      </c>
      <c r="I8789">
        <v>4</v>
      </c>
      <c r="J8789">
        <v>2</v>
      </c>
    </row>
    <row r="8790" spans="7:10">
      <c r="G8790">
        <v>3</v>
      </c>
      <c r="H8790">
        <v>1</v>
      </c>
      <c r="I8790">
        <v>5</v>
      </c>
      <c r="J8790">
        <v>1</v>
      </c>
    </row>
    <row r="8791" spans="7:10">
      <c r="G8791">
        <v>3</v>
      </c>
      <c r="H8791">
        <v>1</v>
      </c>
      <c r="I8791">
        <v>5</v>
      </c>
      <c r="J8791">
        <v>2</v>
      </c>
    </row>
    <row r="8792" spans="7:10">
      <c r="G8792">
        <v>3</v>
      </c>
      <c r="H8792">
        <v>2</v>
      </c>
      <c r="I8792">
        <v>1</v>
      </c>
      <c r="J8792">
        <v>1</v>
      </c>
    </row>
    <row r="8793" spans="7:10">
      <c r="G8793">
        <v>3</v>
      </c>
      <c r="H8793">
        <v>2</v>
      </c>
      <c r="I8793">
        <v>1</v>
      </c>
      <c r="J8793">
        <v>2</v>
      </c>
    </row>
    <row r="8794" spans="7:10">
      <c r="G8794">
        <v>3</v>
      </c>
      <c r="H8794">
        <v>2</v>
      </c>
      <c r="I8794">
        <v>2</v>
      </c>
      <c r="J8794">
        <v>1</v>
      </c>
    </row>
    <row r="8795" spans="7:10">
      <c r="G8795">
        <v>3</v>
      </c>
      <c r="H8795">
        <v>2</v>
      </c>
      <c r="I8795">
        <v>2</v>
      </c>
      <c r="J8795">
        <v>2</v>
      </c>
    </row>
    <row r="8796" spans="7:10">
      <c r="G8796">
        <v>3</v>
      </c>
      <c r="H8796">
        <v>2</v>
      </c>
      <c r="I8796">
        <v>3</v>
      </c>
      <c r="J8796">
        <v>1</v>
      </c>
    </row>
    <row r="8797" spans="7:10">
      <c r="G8797">
        <v>3</v>
      </c>
      <c r="H8797">
        <v>2</v>
      </c>
      <c r="I8797">
        <v>3</v>
      </c>
      <c r="J8797">
        <v>2</v>
      </c>
    </row>
    <row r="8798" spans="7:10">
      <c r="G8798">
        <v>3</v>
      </c>
      <c r="H8798">
        <v>2</v>
      </c>
      <c r="I8798">
        <v>4</v>
      </c>
      <c r="J8798">
        <v>1</v>
      </c>
    </row>
    <row r="8799" spans="7:10">
      <c r="G8799">
        <v>3</v>
      </c>
      <c r="H8799">
        <v>2</v>
      </c>
      <c r="I8799">
        <v>4</v>
      </c>
      <c r="J8799">
        <v>2</v>
      </c>
    </row>
    <row r="8800" spans="7:10">
      <c r="G8800">
        <v>3</v>
      </c>
      <c r="H8800">
        <v>2</v>
      </c>
      <c r="I8800">
        <v>5</v>
      </c>
      <c r="J8800">
        <v>1</v>
      </c>
    </row>
    <row r="8801" spans="7:10">
      <c r="G8801">
        <v>3</v>
      </c>
      <c r="H8801">
        <v>2</v>
      </c>
      <c r="I8801">
        <v>5</v>
      </c>
      <c r="J8801">
        <v>2</v>
      </c>
    </row>
    <row r="8802" spans="7:10">
      <c r="G8802">
        <v>3</v>
      </c>
      <c r="H8802">
        <v>3</v>
      </c>
      <c r="I8802">
        <v>1</v>
      </c>
      <c r="J8802">
        <v>1</v>
      </c>
    </row>
    <row r="8803" spans="7:10">
      <c r="G8803">
        <v>3</v>
      </c>
      <c r="H8803">
        <v>3</v>
      </c>
      <c r="I8803">
        <v>1</v>
      </c>
      <c r="J8803">
        <v>2</v>
      </c>
    </row>
    <row r="8804" spans="7:10">
      <c r="G8804">
        <v>3</v>
      </c>
      <c r="H8804">
        <v>3</v>
      </c>
      <c r="I8804">
        <v>2</v>
      </c>
      <c r="J8804">
        <v>1</v>
      </c>
    </row>
    <row r="8805" spans="7:10">
      <c r="G8805">
        <v>3</v>
      </c>
      <c r="H8805">
        <v>3</v>
      </c>
      <c r="I8805">
        <v>2</v>
      </c>
      <c r="J8805">
        <v>2</v>
      </c>
    </row>
    <row r="8806" spans="7:10">
      <c r="G8806">
        <v>3</v>
      </c>
      <c r="H8806">
        <v>3</v>
      </c>
      <c r="I8806">
        <v>3</v>
      </c>
      <c r="J8806">
        <v>1</v>
      </c>
    </row>
    <row r="8807" spans="7:10">
      <c r="G8807">
        <v>3</v>
      </c>
      <c r="H8807">
        <v>3</v>
      </c>
      <c r="I8807">
        <v>3</v>
      </c>
      <c r="J8807">
        <v>2</v>
      </c>
    </row>
    <row r="8808" spans="7:10">
      <c r="G8808">
        <v>3</v>
      </c>
      <c r="H8808">
        <v>3</v>
      </c>
      <c r="I8808">
        <v>4</v>
      </c>
      <c r="J8808">
        <v>1</v>
      </c>
    </row>
    <row r="8809" spans="7:10">
      <c r="G8809">
        <v>3</v>
      </c>
      <c r="H8809">
        <v>3</v>
      </c>
      <c r="I8809">
        <v>4</v>
      </c>
      <c r="J8809">
        <v>2</v>
      </c>
    </row>
    <row r="8810" spans="7:10">
      <c r="G8810">
        <v>3</v>
      </c>
      <c r="H8810">
        <v>3</v>
      </c>
      <c r="I8810">
        <v>5</v>
      </c>
      <c r="J8810">
        <v>1</v>
      </c>
    </row>
    <row r="8811" spans="7:10">
      <c r="G8811">
        <v>3</v>
      </c>
      <c r="H8811">
        <v>3</v>
      </c>
      <c r="I8811">
        <v>5</v>
      </c>
      <c r="J8811">
        <v>2</v>
      </c>
    </row>
    <row r="8812" spans="7:10">
      <c r="G8812">
        <v>4</v>
      </c>
      <c r="H8812">
        <v>1</v>
      </c>
      <c r="I8812">
        <v>3</v>
      </c>
      <c r="J8812">
        <v>1</v>
      </c>
    </row>
    <row r="8813" spans="7:10">
      <c r="G8813">
        <v>4</v>
      </c>
      <c r="H8813">
        <v>1</v>
      </c>
      <c r="I8813">
        <v>3</v>
      </c>
      <c r="J8813">
        <v>2</v>
      </c>
    </row>
    <row r="8814" spans="7:10">
      <c r="G8814">
        <v>4</v>
      </c>
      <c r="H8814">
        <v>1</v>
      </c>
      <c r="I8814">
        <v>4</v>
      </c>
      <c r="J8814">
        <v>1</v>
      </c>
    </row>
    <row r="8815" spans="7:10">
      <c r="G8815">
        <v>4</v>
      </c>
      <c r="H8815">
        <v>1</v>
      </c>
      <c r="I8815">
        <v>4</v>
      </c>
      <c r="J8815">
        <v>2</v>
      </c>
    </row>
    <row r="8816" spans="7:10">
      <c r="G8816">
        <v>4</v>
      </c>
      <c r="H8816">
        <v>1</v>
      </c>
      <c r="I8816">
        <v>5</v>
      </c>
      <c r="J8816">
        <v>1</v>
      </c>
    </row>
    <row r="8817" spans="7:10">
      <c r="G8817">
        <v>4</v>
      </c>
      <c r="H8817">
        <v>1</v>
      </c>
      <c r="I8817">
        <v>5</v>
      </c>
      <c r="J8817">
        <v>2</v>
      </c>
    </row>
    <row r="8818" spans="7:10">
      <c r="G8818">
        <v>4</v>
      </c>
      <c r="H8818">
        <v>2</v>
      </c>
      <c r="I8818">
        <v>1</v>
      </c>
      <c r="J8818">
        <v>1</v>
      </c>
    </row>
    <row r="8819" spans="7:10">
      <c r="G8819">
        <v>4</v>
      </c>
      <c r="H8819">
        <v>2</v>
      </c>
      <c r="I8819">
        <v>1</v>
      </c>
      <c r="J8819">
        <v>2</v>
      </c>
    </row>
    <row r="8820" spans="7:10">
      <c r="G8820">
        <v>4</v>
      </c>
      <c r="H8820">
        <v>2</v>
      </c>
      <c r="I8820">
        <v>2</v>
      </c>
      <c r="J8820">
        <v>1</v>
      </c>
    </row>
    <row r="8821" spans="7:10">
      <c r="G8821">
        <v>4</v>
      </c>
      <c r="H8821">
        <v>2</v>
      </c>
      <c r="I8821">
        <v>2</v>
      </c>
      <c r="J8821">
        <v>2</v>
      </c>
    </row>
    <row r="8822" spans="7:10">
      <c r="G8822">
        <v>4</v>
      </c>
      <c r="H8822">
        <v>2</v>
      </c>
      <c r="I8822">
        <v>3</v>
      </c>
      <c r="J8822">
        <v>1</v>
      </c>
    </row>
    <row r="8823" spans="7:10">
      <c r="G8823">
        <v>4</v>
      </c>
      <c r="H8823">
        <v>2</v>
      </c>
      <c r="I8823">
        <v>3</v>
      </c>
      <c r="J8823">
        <v>2</v>
      </c>
    </row>
    <row r="8824" spans="7:10">
      <c r="G8824">
        <v>4</v>
      </c>
      <c r="H8824">
        <v>2</v>
      </c>
      <c r="I8824">
        <v>4</v>
      </c>
      <c r="J8824">
        <v>1</v>
      </c>
    </row>
    <row r="8825" spans="7:10">
      <c r="G8825">
        <v>4</v>
      </c>
      <c r="H8825">
        <v>2</v>
      </c>
      <c r="I8825">
        <v>4</v>
      </c>
      <c r="J8825">
        <v>2</v>
      </c>
    </row>
    <row r="8826" spans="7:10">
      <c r="G8826">
        <v>4</v>
      </c>
      <c r="H8826">
        <v>2</v>
      </c>
      <c r="I8826">
        <v>5</v>
      </c>
      <c r="J8826">
        <v>1</v>
      </c>
    </row>
    <row r="8827" spans="7:10">
      <c r="G8827">
        <v>4</v>
      </c>
      <c r="H8827">
        <v>2</v>
      </c>
      <c r="I8827">
        <v>5</v>
      </c>
      <c r="J8827">
        <v>2</v>
      </c>
    </row>
    <row r="8828" spans="7:10">
      <c r="G8828">
        <v>4</v>
      </c>
      <c r="H8828">
        <v>3</v>
      </c>
      <c r="I8828">
        <v>1</v>
      </c>
      <c r="J8828">
        <v>1</v>
      </c>
    </row>
    <row r="8829" spans="7:10">
      <c r="G8829">
        <v>4</v>
      </c>
      <c r="H8829">
        <v>3</v>
      </c>
      <c r="I8829">
        <v>1</v>
      </c>
      <c r="J8829">
        <v>2</v>
      </c>
    </row>
    <row r="8830" spans="7:10">
      <c r="G8830">
        <v>4</v>
      </c>
      <c r="H8830">
        <v>3</v>
      </c>
      <c r="I8830">
        <v>2</v>
      </c>
      <c r="J8830">
        <v>1</v>
      </c>
    </row>
    <row r="8831" spans="7:10">
      <c r="G8831">
        <v>4</v>
      </c>
      <c r="H8831">
        <v>3</v>
      </c>
      <c r="I8831">
        <v>2</v>
      </c>
      <c r="J8831">
        <v>2</v>
      </c>
    </row>
    <row r="8832" spans="7:10">
      <c r="G8832">
        <v>4</v>
      </c>
      <c r="H8832">
        <v>3</v>
      </c>
      <c r="I8832">
        <v>3</v>
      </c>
      <c r="J8832">
        <v>1</v>
      </c>
    </row>
    <row r="8833" spans="7:10">
      <c r="G8833">
        <v>4</v>
      </c>
      <c r="H8833">
        <v>3</v>
      </c>
      <c r="I8833">
        <v>3</v>
      </c>
      <c r="J8833">
        <v>2</v>
      </c>
    </row>
    <row r="8834" spans="7:10">
      <c r="G8834">
        <v>4</v>
      </c>
      <c r="H8834">
        <v>3</v>
      </c>
      <c r="I8834">
        <v>4</v>
      </c>
      <c r="J8834">
        <v>1</v>
      </c>
    </row>
    <row r="8835" spans="7:10">
      <c r="G8835">
        <v>4</v>
      </c>
      <c r="H8835">
        <v>3</v>
      </c>
      <c r="I8835">
        <v>4</v>
      </c>
      <c r="J8835">
        <v>2</v>
      </c>
    </row>
    <row r="8836" spans="7:10">
      <c r="G8836">
        <v>4</v>
      </c>
      <c r="H8836">
        <v>3</v>
      </c>
      <c r="I8836">
        <v>5</v>
      </c>
      <c r="J8836">
        <v>1</v>
      </c>
    </row>
    <row r="8837" spans="7:10">
      <c r="G8837">
        <v>4</v>
      </c>
      <c r="H8837">
        <v>3</v>
      </c>
      <c r="I8837">
        <v>5</v>
      </c>
      <c r="J8837">
        <v>2</v>
      </c>
    </row>
    <row r="8838" spans="7:10">
      <c r="G8838">
        <v>1</v>
      </c>
      <c r="H8838">
        <v>2</v>
      </c>
      <c r="I8838">
        <v>1</v>
      </c>
      <c r="J8838">
        <v>1</v>
      </c>
    </row>
    <row r="8839" spans="7:10">
      <c r="G8839">
        <v>1</v>
      </c>
      <c r="H8839">
        <v>2</v>
      </c>
      <c r="I8839">
        <v>1</v>
      </c>
      <c r="J8839">
        <v>2</v>
      </c>
    </row>
    <row r="8840" spans="7:10">
      <c r="G8840">
        <v>1</v>
      </c>
      <c r="H8840">
        <v>2</v>
      </c>
      <c r="I8840">
        <v>2</v>
      </c>
      <c r="J8840">
        <v>1</v>
      </c>
    </row>
    <row r="8841" spans="7:10">
      <c r="G8841">
        <v>1</v>
      </c>
      <c r="H8841">
        <v>2</v>
      </c>
      <c r="I8841">
        <v>2</v>
      </c>
      <c r="J8841">
        <v>2</v>
      </c>
    </row>
    <row r="8842" spans="7:10">
      <c r="G8842">
        <v>1</v>
      </c>
      <c r="H8842">
        <v>2</v>
      </c>
      <c r="I8842">
        <v>3</v>
      </c>
      <c r="J8842">
        <v>1</v>
      </c>
    </row>
    <row r="8843" spans="7:10">
      <c r="G8843">
        <v>1</v>
      </c>
      <c r="H8843">
        <v>2</v>
      </c>
      <c r="I8843">
        <v>3</v>
      </c>
      <c r="J8843">
        <v>2</v>
      </c>
    </row>
    <row r="8844" spans="7:10">
      <c r="G8844">
        <v>1</v>
      </c>
      <c r="H8844">
        <v>2</v>
      </c>
      <c r="I8844">
        <v>4</v>
      </c>
      <c r="J8844">
        <v>1</v>
      </c>
    </row>
    <row r="8845" spans="7:10">
      <c r="G8845">
        <v>1</v>
      </c>
      <c r="H8845">
        <v>2</v>
      </c>
      <c r="I8845">
        <v>4</v>
      </c>
      <c r="J8845">
        <v>2</v>
      </c>
    </row>
    <row r="8846" spans="7:10">
      <c r="G8846">
        <v>1</v>
      </c>
      <c r="H8846">
        <v>2</v>
      </c>
      <c r="I8846">
        <v>5</v>
      </c>
      <c r="J8846">
        <v>1</v>
      </c>
    </row>
    <row r="8847" spans="7:10">
      <c r="G8847">
        <v>1</v>
      </c>
      <c r="H8847">
        <v>2</v>
      </c>
      <c r="I8847">
        <v>5</v>
      </c>
      <c r="J8847">
        <v>2</v>
      </c>
    </row>
    <row r="8848" spans="7:10">
      <c r="G8848">
        <v>1</v>
      </c>
      <c r="H8848">
        <v>3</v>
      </c>
      <c r="I8848">
        <v>1</v>
      </c>
      <c r="J8848">
        <v>1</v>
      </c>
    </row>
    <row r="8849" spans="7:10">
      <c r="G8849">
        <v>1</v>
      </c>
      <c r="H8849">
        <v>3</v>
      </c>
      <c r="I8849">
        <v>1</v>
      </c>
      <c r="J8849">
        <v>2</v>
      </c>
    </row>
    <row r="8850" spans="7:10">
      <c r="G8850">
        <v>1</v>
      </c>
      <c r="H8850">
        <v>3</v>
      </c>
      <c r="I8850">
        <v>2</v>
      </c>
      <c r="J8850">
        <v>1</v>
      </c>
    </row>
    <row r="8851" spans="7:10">
      <c r="G8851">
        <v>1</v>
      </c>
      <c r="H8851">
        <v>3</v>
      </c>
      <c r="I8851">
        <v>2</v>
      </c>
      <c r="J8851">
        <v>2</v>
      </c>
    </row>
    <row r="8852" spans="7:10">
      <c r="G8852">
        <v>1</v>
      </c>
      <c r="H8852">
        <v>3</v>
      </c>
      <c r="I8852">
        <v>3</v>
      </c>
      <c r="J8852">
        <v>1</v>
      </c>
    </row>
    <row r="8853" spans="7:10">
      <c r="G8853">
        <v>1</v>
      </c>
      <c r="H8853">
        <v>3</v>
      </c>
      <c r="I8853">
        <v>3</v>
      </c>
      <c r="J8853">
        <v>2</v>
      </c>
    </row>
    <row r="8854" spans="7:10">
      <c r="G8854">
        <v>1</v>
      </c>
      <c r="H8854">
        <v>3</v>
      </c>
      <c r="I8854">
        <v>4</v>
      </c>
      <c r="J8854">
        <v>1</v>
      </c>
    </row>
    <row r="8855" spans="7:10">
      <c r="G8855">
        <v>1</v>
      </c>
      <c r="H8855">
        <v>3</v>
      </c>
      <c r="I8855">
        <v>4</v>
      </c>
      <c r="J8855">
        <v>2</v>
      </c>
    </row>
    <row r="8856" spans="7:10">
      <c r="G8856">
        <v>1</v>
      </c>
      <c r="H8856">
        <v>3</v>
      </c>
      <c r="I8856">
        <v>5</v>
      </c>
      <c r="J8856">
        <v>1</v>
      </c>
    </row>
    <row r="8857" spans="7:10">
      <c r="G8857">
        <v>1</v>
      </c>
      <c r="H8857">
        <v>3</v>
      </c>
      <c r="I8857">
        <v>5</v>
      </c>
      <c r="J8857">
        <v>2</v>
      </c>
    </row>
    <row r="8858" spans="7:10">
      <c r="G8858">
        <v>2</v>
      </c>
      <c r="H8858">
        <v>1</v>
      </c>
      <c r="I8858">
        <v>3</v>
      </c>
      <c r="J8858">
        <v>1</v>
      </c>
    </row>
    <row r="8859" spans="7:10">
      <c r="G8859">
        <v>2</v>
      </c>
      <c r="H8859">
        <v>1</v>
      </c>
      <c r="I8859">
        <v>3</v>
      </c>
      <c r="J8859">
        <v>2</v>
      </c>
    </row>
    <row r="8860" spans="7:10">
      <c r="G8860">
        <v>2</v>
      </c>
      <c r="H8860">
        <v>1</v>
      </c>
      <c r="I8860">
        <v>4</v>
      </c>
      <c r="J8860">
        <v>1</v>
      </c>
    </row>
    <row r="8861" spans="7:10">
      <c r="G8861">
        <v>2</v>
      </c>
      <c r="H8861">
        <v>1</v>
      </c>
      <c r="I8861">
        <v>4</v>
      </c>
      <c r="J8861">
        <v>2</v>
      </c>
    </row>
    <row r="8862" spans="7:10">
      <c r="G8862">
        <v>2</v>
      </c>
      <c r="H8862">
        <v>1</v>
      </c>
      <c r="I8862">
        <v>5</v>
      </c>
      <c r="J8862">
        <v>1</v>
      </c>
    </row>
    <row r="8863" spans="7:10">
      <c r="G8863">
        <v>2</v>
      </c>
      <c r="H8863">
        <v>1</v>
      </c>
      <c r="I8863">
        <v>5</v>
      </c>
      <c r="J8863">
        <v>2</v>
      </c>
    </row>
    <row r="8864" spans="7:10">
      <c r="G8864">
        <v>2</v>
      </c>
      <c r="H8864">
        <v>2</v>
      </c>
      <c r="I8864">
        <v>1</v>
      </c>
      <c r="J8864">
        <v>1</v>
      </c>
    </row>
    <row r="8865" spans="7:10">
      <c r="G8865">
        <v>2</v>
      </c>
      <c r="H8865">
        <v>2</v>
      </c>
      <c r="I8865">
        <v>1</v>
      </c>
      <c r="J8865">
        <v>2</v>
      </c>
    </row>
    <row r="8866" spans="7:10">
      <c r="G8866">
        <v>2</v>
      </c>
      <c r="H8866">
        <v>2</v>
      </c>
      <c r="I8866">
        <v>2</v>
      </c>
      <c r="J8866">
        <v>1</v>
      </c>
    </row>
    <row r="8867" spans="7:10">
      <c r="G8867">
        <v>2</v>
      </c>
      <c r="H8867">
        <v>2</v>
      </c>
      <c r="I8867">
        <v>2</v>
      </c>
      <c r="J8867">
        <v>2</v>
      </c>
    </row>
    <row r="8868" spans="7:10">
      <c r="G8868">
        <v>2</v>
      </c>
      <c r="H8868">
        <v>2</v>
      </c>
      <c r="I8868">
        <v>3</v>
      </c>
      <c r="J8868">
        <v>1</v>
      </c>
    </row>
    <row r="8869" spans="7:10">
      <c r="G8869">
        <v>2</v>
      </c>
      <c r="H8869">
        <v>2</v>
      </c>
      <c r="I8869">
        <v>3</v>
      </c>
      <c r="J8869">
        <v>2</v>
      </c>
    </row>
    <row r="8870" spans="7:10">
      <c r="G8870">
        <v>2</v>
      </c>
      <c r="H8870">
        <v>2</v>
      </c>
      <c r="I8870">
        <v>4</v>
      </c>
      <c r="J8870">
        <v>1</v>
      </c>
    </row>
    <row r="8871" spans="7:10">
      <c r="G8871">
        <v>2</v>
      </c>
      <c r="H8871">
        <v>2</v>
      </c>
      <c r="I8871">
        <v>4</v>
      </c>
      <c r="J8871">
        <v>2</v>
      </c>
    </row>
    <row r="8872" spans="7:10">
      <c r="G8872">
        <v>2</v>
      </c>
      <c r="H8872">
        <v>2</v>
      </c>
      <c r="I8872">
        <v>5</v>
      </c>
      <c r="J8872">
        <v>1</v>
      </c>
    </row>
    <row r="8873" spans="7:10">
      <c r="G8873">
        <v>2</v>
      </c>
      <c r="H8873">
        <v>2</v>
      </c>
      <c r="I8873">
        <v>5</v>
      </c>
      <c r="J8873">
        <v>2</v>
      </c>
    </row>
    <row r="8874" spans="7:10">
      <c r="G8874">
        <v>2</v>
      </c>
      <c r="H8874">
        <v>3</v>
      </c>
      <c r="I8874">
        <v>1</v>
      </c>
      <c r="J8874">
        <v>1</v>
      </c>
    </row>
    <row r="8875" spans="7:10">
      <c r="G8875">
        <v>2</v>
      </c>
      <c r="H8875">
        <v>3</v>
      </c>
      <c r="I8875">
        <v>1</v>
      </c>
      <c r="J8875">
        <v>2</v>
      </c>
    </row>
    <row r="8876" spans="7:10">
      <c r="G8876">
        <v>2</v>
      </c>
      <c r="H8876">
        <v>3</v>
      </c>
      <c r="I8876">
        <v>2</v>
      </c>
      <c r="J8876">
        <v>1</v>
      </c>
    </row>
    <row r="8877" spans="7:10">
      <c r="G8877">
        <v>2</v>
      </c>
      <c r="H8877">
        <v>3</v>
      </c>
      <c r="I8877">
        <v>2</v>
      </c>
      <c r="J8877">
        <v>2</v>
      </c>
    </row>
    <row r="8878" spans="7:10">
      <c r="G8878">
        <v>2</v>
      </c>
      <c r="H8878">
        <v>3</v>
      </c>
      <c r="I8878">
        <v>3</v>
      </c>
      <c r="J8878">
        <v>1</v>
      </c>
    </row>
    <row r="8879" spans="7:10">
      <c r="G8879">
        <v>2</v>
      </c>
      <c r="H8879">
        <v>3</v>
      </c>
      <c r="I8879">
        <v>3</v>
      </c>
      <c r="J8879">
        <v>2</v>
      </c>
    </row>
    <row r="8880" spans="7:10">
      <c r="G8880">
        <v>2</v>
      </c>
      <c r="H8880">
        <v>3</v>
      </c>
      <c r="I8880">
        <v>4</v>
      </c>
      <c r="J8880">
        <v>1</v>
      </c>
    </row>
    <row r="8881" spans="7:10">
      <c r="G8881">
        <v>2</v>
      </c>
      <c r="H8881">
        <v>3</v>
      </c>
      <c r="I8881">
        <v>4</v>
      </c>
      <c r="J8881">
        <v>2</v>
      </c>
    </row>
    <row r="8882" spans="7:10">
      <c r="G8882">
        <v>2</v>
      </c>
      <c r="H8882">
        <v>3</v>
      </c>
      <c r="I8882">
        <v>5</v>
      </c>
      <c r="J8882">
        <v>1</v>
      </c>
    </row>
    <row r="8883" spans="7:10">
      <c r="G8883">
        <v>2</v>
      </c>
      <c r="H8883">
        <v>3</v>
      </c>
      <c r="I8883">
        <v>5</v>
      </c>
      <c r="J8883">
        <v>2</v>
      </c>
    </row>
    <row r="8884" spans="7:10">
      <c r="G8884">
        <v>3</v>
      </c>
      <c r="H8884">
        <v>1</v>
      </c>
      <c r="I8884">
        <v>3</v>
      </c>
      <c r="J8884">
        <v>1</v>
      </c>
    </row>
    <row r="8885" spans="7:10">
      <c r="G8885">
        <v>3</v>
      </c>
      <c r="H8885">
        <v>1</v>
      </c>
      <c r="I8885">
        <v>3</v>
      </c>
      <c r="J8885">
        <v>2</v>
      </c>
    </row>
    <row r="8886" spans="7:10">
      <c r="G8886">
        <v>3</v>
      </c>
      <c r="H8886">
        <v>1</v>
      </c>
      <c r="I8886">
        <v>4</v>
      </c>
      <c r="J8886">
        <v>1</v>
      </c>
    </row>
    <row r="8887" spans="7:10">
      <c r="G8887">
        <v>3</v>
      </c>
      <c r="H8887">
        <v>1</v>
      </c>
      <c r="I8887">
        <v>4</v>
      </c>
      <c r="J8887">
        <v>2</v>
      </c>
    </row>
    <row r="8888" spans="7:10">
      <c r="G8888">
        <v>3</v>
      </c>
      <c r="H8888">
        <v>1</v>
      </c>
      <c r="I8888">
        <v>5</v>
      </c>
      <c r="J8888">
        <v>1</v>
      </c>
    </row>
    <row r="8889" spans="7:10">
      <c r="G8889">
        <v>3</v>
      </c>
      <c r="H8889">
        <v>1</v>
      </c>
      <c r="I8889">
        <v>5</v>
      </c>
      <c r="J8889">
        <v>2</v>
      </c>
    </row>
    <row r="8890" spans="7:10">
      <c r="G8890">
        <v>3</v>
      </c>
      <c r="H8890">
        <v>2</v>
      </c>
      <c r="I8890">
        <v>1</v>
      </c>
      <c r="J8890">
        <v>1</v>
      </c>
    </row>
    <row r="8891" spans="7:10">
      <c r="G8891">
        <v>3</v>
      </c>
      <c r="H8891">
        <v>2</v>
      </c>
      <c r="I8891">
        <v>1</v>
      </c>
      <c r="J8891">
        <v>2</v>
      </c>
    </row>
    <row r="8892" spans="7:10">
      <c r="G8892">
        <v>3</v>
      </c>
      <c r="H8892">
        <v>2</v>
      </c>
      <c r="I8892">
        <v>2</v>
      </c>
      <c r="J8892">
        <v>1</v>
      </c>
    </row>
    <row r="8893" spans="7:10">
      <c r="G8893">
        <v>3</v>
      </c>
      <c r="H8893">
        <v>2</v>
      </c>
      <c r="I8893">
        <v>2</v>
      </c>
      <c r="J8893">
        <v>2</v>
      </c>
    </row>
    <row r="8894" spans="7:10">
      <c r="G8894">
        <v>3</v>
      </c>
      <c r="H8894">
        <v>2</v>
      </c>
      <c r="I8894">
        <v>3</v>
      </c>
      <c r="J8894">
        <v>1</v>
      </c>
    </row>
    <row r="8895" spans="7:10">
      <c r="G8895">
        <v>3</v>
      </c>
      <c r="H8895">
        <v>2</v>
      </c>
      <c r="I8895">
        <v>3</v>
      </c>
      <c r="J8895">
        <v>2</v>
      </c>
    </row>
    <row r="8896" spans="7:10">
      <c r="G8896">
        <v>3</v>
      </c>
      <c r="H8896">
        <v>2</v>
      </c>
      <c r="I8896">
        <v>4</v>
      </c>
      <c r="J8896">
        <v>1</v>
      </c>
    </row>
    <row r="8897" spans="7:10">
      <c r="G8897">
        <v>3</v>
      </c>
      <c r="H8897">
        <v>2</v>
      </c>
      <c r="I8897">
        <v>4</v>
      </c>
      <c r="J8897">
        <v>2</v>
      </c>
    </row>
    <row r="8898" spans="7:10">
      <c r="G8898">
        <v>3</v>
      </c>
      <c r="H8898">
        <v>2</v>
      </c>
      <c r="I8898">
        <v>5</v>
      </c>
      <c r="J8898">
        <v>1</v>
      </c>
    </row>
    <row r="8899" spans="7:10">
      <c r="G8899">
        <v>3</v>
      </c>
      <c r="H8899">
        <v>2</v>
      </c>
      <c r="I8899">
        <v>5</v>
      </c>
      <c r="J8899">
        <v>2</v>
      </c>
    </row>
    <row r="8900" spans="7:10">
      <c r="G8900">
        <v>3</v>
      </c>
      <c r="H8900">
        <v>3</v>
      </c>
      <c r="I8900">
        <v>1</v>
      </c>
      <c r="J8900">
        <v>1</v>
      </c>
    </row>
    <row r="8901" spans="7:10">
      <c r="G8901">
        <v>3</v>
      </c>
      <c r="H8901">
        <v>3</v>
      </c>
      <c r="I8901">
        <v>1</v>
      </c>
      <c r="J8901">
        <v>2</v>
      </c>
    </row>
    <row r="8902" spans="7:10">
      <c r="G8902">
        <v>3</v>
      </c>
      <c r="H8902">
        <v>3</v>
      </c>
      <c r="I8902">
        <v>2</v>
      </c>
      <c r="J8902">
        <v>1</v>
      </c>
    </row>
    <row r="8903" spans="7:10">
      <c r="G8903">
        <v>3</v>
      </c>
      <c r="H8903">
        <v>3</v>
      </c>
      <c r="I8903">
        <v>2</v>
      </c>
      <c r="J8903">
        <v>2</v>
      </c>
    </row>
    <row r="8904" spans="7:10">
      <c r="G8904">
        <v>3</v>
      </c>
      <c r="H8904">
        <v>3</v>
      </c>
      <c r="I8904">
        <v>3</v>
      </c>
      <c r="J8904">
        <v>1</v>
      </c>
    </row>
    <row r="8905" spans="7:10">
      <c r="G8905">
        <v>3</v>
      </c>
      <c r="H8905">
        <v>3</v>
      </c>
      <c r="I8905">
        <v>3</v>
      </c>
      <c r="J8905">
        <v>2</v>
      </c>
    </row>
    <row r="8906" spans="7:10">
      <c r="G8906">
        <v>3</v>
      </c>
      <c r="H8906">
        <v>3</v>
      </c>
      <c r="I8906">
        <v>4</v>
      </c>
      <c r="J8906">
        <v>1</v>
      </c>
    </row>
    <row r="8907" spans="7:10">
      <c r="G8907">
        <v>3</v>
      </c>
      <c r="H8907">
        <v>3</v>
      </c>
      <c r="I8907">
        <v>4</v>
      </c>
      <c r="J8907">
        <v>2</v>
      </c>
    </row>
    <row r="8908" spans="7:10">
      <c r="G8908">
        <v>3</v>
      </c>
      <c r="H8908">
        <v>3</v>
      </c>
      <c r="I8908">
        <v>5</v>
      </c>
      <c r="J8908">
        <v>1</v>
      </c>
    </row>
    <row r="8909" spans="7:10">
      <c r="G8909">
        <v>3</v>
      </c>
      <c r="H8909">
        <v>3</v>
      </c>
      <c r="I8909">
        <v>5</v>
      </c>
      <c r="J8909">
        <v>2</v>
      </c>
    </row>
    <row r="8910" spans="7:10">
      <c r="G8910">
        <v>4</v>
      </c>
      <c r="H8910">
        <v>1</v>
      </c>
      <c r="I8910">
        <v>3</v>
      </c>
      <c r="J8910">
        <v>1</v>
      </c>
    </row>
    <row r="8911" spans="7:10">
      <c r="G8911">
        <v>4</v>
      </c>
      <c r="H8911">
        <v>1</v>
      </c>
      <c r="I8911">
        <v>3</v>
      </c>
      <c r="J8911">
        <v>2</v>
      </c>
    </row>
    <row r="8912" spans="7:10">
      <c r="G8912">
        <v>4</v>
      </c>
      <c r="H8912">
        <v>1</v>
      </c>
      <c r="I8912">
        <v>4</v>
      </c>
      <c r="J8912">
        <v>1</v>
      </c>
    </row>
    <row r="8913" spans="7:10">
      <c r="G8913">
        <v>4</v>
      </c>
      <c r="H8913">
        <v>1</v>
      </c>
      <c r="I8913">
        <v>4</v>
      </c>
      <c r="J8913">
        <v>2</v>
      </c>
    </row>
    <row r="8914" spans="7:10">
      <c r="G8914">
        <v>4</v>
      </c>
      <c r="H8914">
        <v>1</v>
      </c>
      <c r="I8914">
        <v>5</v>
      </c>
      <c r="J8914">
        <v>1</v>
      </c>
    </row>
    <row r="8915" spans="7:10">
      <c r="G8915">
        <v>4</v>
      </c>
      <c r="H8915">
        <v>1</v>
      </c>
      <c r="I8915">
        <v>5</v>
      </c>
      <c r="J8915">
        <v>2</v>
      </c>
    </row>
    <row r="8916" spans="7:10">
      <c r="G8916">
        <v>4</v>
      </c>
      <c r="H8916">
        <v>2</v>
      </c>
      <c r="I8916">
        <v>1</v>
      </c>
      <c r="J8916">
        <v>1</v>
      </c>
    </row>
    <row r="8917" spans="7:10">
      <c r="G8917">
        <v>4</v>
      </c>
      <c r="H8917">
        <v>2</v>
      </c>
      <c r="I8917">
        <v>1</v>
      </c>
      <c r="J8917">
        <v>2</v>
      </c>
    </row>
    <row r="8918" spans="7:10">
      <c r="G8918">
        <v>4</v>
      </c>
      <c r="H8918">
        <v>2</v>
      </c>
      <c r="I8918">
        <v>2</v>
      </c>
      <c r="J8918">
        <v>1</v>
      </c>
    </row>
    <row r="8919" spans="7:10">
      <c r="G8919">
        <v>4</v>
      </c>
      <c r="H8919">
        <v>2</v>
      </c>
      <c r="I8919">
        <v>2</v>
      </c>
      <c r="J8919">
        <v>2</v>
      </c>
    </row>
    <row r="8920" spans="7:10">
      <c r="G8920">
        <v>4</v>
      </c>
      <c r="H8920">
        <v>2</v>
      </c>
      <c r="I8920">
        <v>3</v>
      </c>
      <c r="J8920">
        <v>1</v>
      </c>
    </row>
    <row r="8921" spans="7:10">
      <c r="G8921">
        <v>4</v>
      </c>
      <c r="H8921">
        <v>2</v>
      </c>
      <c r="I8921">
        <v>3</v>
      </c>
      <c r="J8921">
        <v>2</v>
      </c>
    </row>
    <row r="8922" spans="7:10">
      <c r="G8922">
        <v>4</v>
      </c>
      <c r="H8922">
        <v>2</v>
      </c>
      <c r="I8922">
        <v>4</v>
      </c>
      <c r="J8922">
        <v>1</v>
      </c>
    </row>
    <row r="8923" spans="7:10">
      <c r="G8923">
        <v>4</v>
      </c>
      <c r="H8923">
        <v>2</v>
      </c>
      <c r="I8923">
        <v>4</v>
      </c>
      <c r="J8923">
        <v>2</v>
      </c>
    </row>
    <row r="8924" spans="7:10">
      <c r="G8924">
        <v>4</v>
      </c>
      <c r="H8924">
        <v>2</v>
      </c>
      <c r="I8924">
        <v>5</v>
      </c>
      <c r="J8924">
        <v>1</v>
      </c>
    </row>
    <row r="8925" spans="7:10">
      <c r="G8925">
        <v>4</v>
      </c>
      <c r="H8925">
        <v>2</v>
      </c>
      <c r="I8925">
        <v>5</v>
      </c>
      <c r="J8925">
        <v>2</v>
      </c>
    </row>
    <row r="8926" spans="7:10">
      <c r="G8926">
        <v>4</v>
      </c>
      <c r="H8926">
        <v>3</v>
      </c>
      <c r="I8926">
        <v>1</v>
      </c>
      <c r="J8926">
        <v>1</v>
      </c>
    </row>
    <row r="8927" spans="7:10">
      <c r="G8927">
        <v>4</v>
      </c>
      <c r="H8927">
        <v>3</v>
      </c>
      <c r="I8927">
        <v>1</v>
      </c>
      <c r="J8927">
        <v>2</v>
      </c>
    </row>
    <row r="8928" spans="7:10">
      <c r="G8928">
        <v>4</v>
      </c>
      <c r="H8928">
        <v>3</v>
      </c>
      <c r="I8928">
        <v>2</v>
      </c>
      <c r="J8928">
        <v>1</v>
      </c>
    </row>
    <row r="8929" spans="7:10">
      <c r="G8929">
        <v>4</v>
      </c>
      <c r="H8929">
        <v>3</v>
      </c>
      <c r="I8929">
        <v>2</v>
      </c>
      <c r="J8929">
        <v>2</v>
      </c>
    </row>
    <row r="8930" spans="7:10">
      <c r="G8930">
        <v>4</v>
      </c>
      <c r="H8930">
        <v>3</v>
      </c>
      <c r="I8930">
        <v>3</v>
      </c>
      <c r="J8930">
        <v>1</v>
      </c>
    </row>
    <row r="8931" spans="7:10">
      <c r="G8931">
        <v>4</v>
      </c>
      <c r="H8931">
        <v>3</v>
      </c>
      <c r="I8931">
        <v>3</v>
      </c>
      <c r="J8931">
        <v>2</v>
      </c>
    </row>
    <row r="8932" spans="7:10">
      <c r="G8932">
        <v>4</v>
      </c>
      <c r="H8932">
        <v>3</v>
      </c>
      <c r="I8932">
        <v>4</v>
      </c>
      <c r="J8932">
        <v>1</v>
      </c>
    </row>
    <row r="8933" spans="7:10">
      <c r="G8933">
        <v>4</v>
      </c>
      <c r="H8933">
        <v>3</v>
      </c>
      <c r="I8933">
        <v>4</v>
      </c>
      <c r="J8933">
        <v>2</v>
      </c>
    </row>
    <row r="8934" spans="7:10">
      <c r="G8934">
        <v>4</v>
      </c>
      <c r="H8934">
        <v>3</v>
      </c>
      <c r="I8934">
        <v>5</v>
      </c>
      <c r="J8934">
        <v>1</v>
      </c>
    </row>
    <row r="8935" spans="7:10">
      <c r="G8935">
        <v>4</v>
      </c>
      <c r="H8935">
        <v>3</v>
      </c>
      <c r="I8935">
        <v>5</v>
      </c>
      <c r="J8935">
        <v>2</v>
      </c>
    </row>
    <row r="8936" spans="7:10">
      <c r="G8936">
        <v>1</v>
      </c>
      <c r="H8936">
        <v>2</v>
      </c>
      <c r="I8936">
        <v>1</v>
      </c>
      <c r="J8936">
        <v>1</v>
      </c>
    </row>
    <row r="8937" spans="7:10">
      <c r="G8937">
        <v>1</v>
      </c>
      <c r="H8937">
        <v>2</v>
      </c>
      <c r="I8937">
        <v>1</v>
      </c>
      <c r="J8937">
        <v>2</v>
      </c>
    </row>
    <row r="8938" spans="7:10">
      <c r="G8938">
        <v>1</v>
      </c>
      <c r="H8938">
        <v>2</v>
      </c>
      <c r="I8938">
        <v>2</v>
      </c>
      <c r="J8938">
        <v>1</v>
      </c>
    </row>
    <row r="8939" spans="7:10">
      <c r="G8939">
        <v>1</v>
      </c>
      <c r="H8939">
        <v>2</v>
      </c>
      <c r="I8939">
        <v>2</v>
      </c>
      <c r="J8939">
        <v>2</v>
      </c>
    </row>
    <row r="8940" spans="7:10">
      <c r="G8940">
        <v>1</v>
      </c>
      <c r="H8940">
        <v>2</v>
      </c>
      <c r="I8940">
        <v>3</v>
      </c>
      <c r="J8940">
        <v>1</v>
      </c>
    </row>
    <row r="8941" spans="7:10">
      <c r="G8941">
        <v>1</v>
      </c>
      <c r="H8941">
        <v>2</v>
      </c>
      <c r="I8941">
        <v>3</v>
      </c>
      <c r="J8941">
        <v>2</v>
      </c>
    </row>
    <row r="8942" spans="7:10">
      <c r="G8942">
        <v>1</v>
      </c>
      <c r="H8942">
        <v>2</v>
      </c>
      <c r="I8942">
        <v>4</v>
      </c>
      <c r="J8942">
        <v>1</v>
      </c>
    </row>
    <row r="8943" spans="7:10">
      <c r="G8943">
        <v>1</v>
      </c>
      <c r="H8943">
        <v>2</v>
      </c>
      <c r="I8943">
        <v>4</v>
      </c>
      <c r="J8943">
        <v>2</v>
      </c>
    </row>
    <row r="8944" spans="7:10">
      <c r="G8944">
        <v>1</v>
      </c>
      <c r="H8944">
        <v>2</v>
      </c>
      <c r="I8944">
        <v>5</v>
      </c>
      <c r="J8944">
        <v>1</v>
      </c>
    </row>
    <row r="8945" spans="7:10">
      <c r="G8945">
        <v>1</v>
      </c>
      <c r="H8945">
        <v>2</v>
      </c>
      <c r="I8945">
        <v>5</v>
      </c>
      <c r="J8945">
        <v>2</v>
      </c>
    </row>
    <row r="8946" spans="7:10">
      <c r="G8946">
        <v>1</v>
      </c>
      <c r="H8946">
        <v>3</v>
      </c>
      <c r="I8946">
        <v>1</v>
      </c>
      <c r="J8946">
        <v>1</v>
      </c>
    </row>
    <row r="8947" spans="7:10">
      <c r="G8947">
        <v>1</v>
      </c>
      <c r="H8947">
        <v>3</v>
      </c>
      <c r="I8947">
        <v>1</v>
      </c>
      <c r="J8947">
        <v>2</v>
      </c>
    </row>
    <row r="8948" spans="7:10">
      <c r="G8948">
        <v>1</v>
      </c>
      <c r="H8948">
        <v>3</v>
      </c>
      <c r="I8948">
        <v>2</v>
      </c>
      <c r="J8948">
        <v>1</v>
      </c>
    </row>
    <row r="8949" spans="7:10">
      <c r="G8949">
        <v>1</v>
      </c>
      <c r="H8949">
        <v>3</v>
      </c>
      <c r="I8949">
        <v>2</v>
      </c>
      <c r="J8949">
        <v>2</v>
      </c>
    </row>
    <row r="8950" spans="7:10">
      <c r="G8950">
        <v>1</v>
      </c>
      <c r="H8950">
        <v>3</v>
      </c>
      <c r="I8950">
        <v>3</v>
      </c>
      <c r="J8950">
        <v>1</v>
      </c>
    </row>
    <row r="8951" spans="7:10">
      <c r="G8951">
        <v>1</v>
      </c>
      <c r="H8951">
        <v>3</v>
      </c>
      <c r="I8951">
        <v>3</v>
      </c>
      <c r="J8951">
        <v>2</v>
      </c>
    </row>
    <row r="8952" spans="7:10">
      <c r="G8952">
        <v>1</v>
      </c>
      <c r="H8952">
        <v>3</v>
      </c>
      <c r="I8952">
        <v>4</v>
      </c>
      <c r="J8952">
        <v>1</v>
      </c>
    </row>
    <row r="8953" spans="7:10">
      <c r="G8953">
        <v>1</v>
      </c>
      <c r="H8953">
        <v>3</v>
      </c>
      <c r="I8953">
        <v>4</v>
      </c>
      <c r="J8953">
        <v>2</v>
      </c>
    </row>
    <row r="8954" spans="7:10">
      <c r="G8954">
        <v>1</v>
      </c>
      <c r="H8954">
        <v>3</v>
      </c>
      <c r="I8954">
        <v>5</v>
      </c>
      <c r="J8954">
        <v>1</v>
      </c>
    </row>
    <row r="8955" spans="7:10">
      <c r="G8955">
        <v>1</v>
      </c>
      <c r="H8955">
        <v>3</v>
      </c>
      <c r="I8955">
        <v>5</v>
      </c>
      <c r="J8955">
        <v>2</v>
      </c>
    </row>
    <row r="8956" spans="7:10">
      <c r="G8956">
        <v>2</v>
      </c>
      <c r="H8956">
        <v>1</v>
      </c>
      <c r="I8956">
        <v>3</v>
      </c>
      <c r="J8956">
        <v>1</v>
      </c>
    </row>
    <row r="8957" spans="7:10">
      <c r="G8957">
        <v>2</v>
      </c>
      <c r="H8957">
        <v>1</v>
      </c>
      <c r="I8957">
        <v>3</v>
      </c>
      <c r="J8957">
        <v>2</v>
      </c>
    </row>
    <row r="8958" spans="7:10">
      <c r="G8958">
        <v>2</v>
      </c>
      <c r="H8958">
        <v>1</v>
      </c>
      <c r="I8958">
        <v>4</v>
      </c>
      <c r="J8958">
        <v>1</v>
      </c>
    </row>
    <row r="8959" spans="7:10">
      <c r="G8959">
        <v>2</v>
      </c>
      <c r="H8959">
        <v>1</v>
      </c>
      <c r="I8959">
        <v>4</v>
      </c>
      <c r="J8959">
        <v>2</v>
      </c>
    </row>
    <row r="8960" spans="7:10">
      <c r="G8960">
        <v>2</v>
      </c>
      <c r="H8960">
        <v>1</v>
      </c>
      <c r="I8960">
        <v>5</v>
      </c>
      <c r="J8960">
        <v>1</v>
      </c>
    </row>
    <row r="8961" spans="7:10">
      <c r="G8961">
        <v>2</v>
      </c>
      <c r="H8961">
        <v>1</v>
      </c>
      <c r="I8961">
        <v>5</v>
      </c>
      <c r="J8961">
        <v>2</v>
      </c>
    </row>
    <row r="8962" spans="7:10">
      <c r="G8962">
        <v>2</v>
      </c>
      <c r="H8962">
        <v>2</v>
      </c>
      <c r="I8962">
        <v>1</v>
      </c>
      <c r="J8962">
        <v>1</v>
      </c>
    </row>
    <row r="8963" spans="7:10">
      <c r="G8963">
        <v>2</v>
      </c>
      <c r="H8963">
        <v>2</v>
      </c>
      <c r="I8963">
        <v>1</v>
      </c>
      <c r="J8963">
        <v>2</v>
      </c>
    </row>
    <row r="8964" spans="7:10">
      <c r="G8964">
        <v>2</v>
      </c>
      <c r="H8964">
        <v>2</v>
      </c>
      <c r="I8964">
        <v>2</v>
      </c>
      <c r="J8964">
        <v>1</v>
      </c>
    </row>
    <row r="8965" spans="7:10">
      <c r="G8965">
        <v>2</v>
      </c>
      <c r="H8965">
        <v>2</v>
      </c>
      <c r="I8965">
        <v>2</v>
      </c>
      <c r="J8965">
        <v>2</v>
      </c>
    </row>
    <row r="8966" spans="7:10">
      <c r="G8966">
        <v>2</v>
      </c>
      <c r="H8966">
        <v>2</v>
      </c>
      <c r="I8966">
        <v>3</v>
      </c>
      <c r="J8966">
        <v>1</v>
      </c>
    </row>
    <row r="8967" spans="7:10">
      <c r="G8967">
        <v>2</v>
      </c>
      <c r="H8967">
        <v>2</v>
      </c>
      <c r="I8967">
        <v>3</v>
      </c>
      <c r="J8967">
        <v>2</v>
      </c>
    </row>
    <row r="8968" spans="7:10">
      <c r="G8968">
        <v>2</v>
      </c>
      <c r="H8968">
        <v>2</v>
      </c>
      <c r="I8968">
        <v>4</v>
      </c>
      <c r="J8968">
        <v>1</v>
      </c>
    </row>
    <row r="8969" spans="7:10">
      <c r="G8969">
        <v>2</v>
      </c>
      <c r="H8969">
        <v>2</v>
      </c>
      <c r="I8969">
        <v>4</v>
      </c>
      <c r="J8969">
        <v>2</v>
      </c>
    </row>
    <row r="8970" spans="7:10">
      <c r="G8970">
        <v>2</v>
      </c>
      <c r="H8970">
        <v>2</v>
      </c>
      <c r="I8970">
        <v>5</v>
      </c>
      <c r="J8970">
        <v>1</v>
      </c>
    </row>
    <row r="8971" spans="7:10">
      <c r="G8971">
        <v>2</v>
      </c>
      <c r="H8971">
        <v>2</v>
      </c>
      <c r="I8971">
        <v>5</v>
      </c>
      <c r="J8971">
        <v>2</v>
      </c>
    </row>
    <row r="8972" spans="7:10">
      <c r="G8972">
        <v>2</v>
      </c>
      <c r="H8972">
        <v>3</v>
      </c>
      <c r="I8972">
        <v>1</v>
      </c>
      <c r="J8972">
        <v>1</v>
      </c>
    </row>
    <row r="8973" spans="7:10">
      <c r="G8973">
        <v>2</v>
      </c>
      <c r="H8973">
        <v>3</v>
      </c>
      <c r="I8973">
        <v>1</v>
      </c>
      <c r="J8973">
        <v>2</v>
      </c>
    </row>
    <row r="8974" spans="7:10">
      <c r="G8974">
        <v>2</v>
      </c>
      <c r="H8974">
        <v>3</v>
      </c>
      <c r="I8974">
        <v>2</v>
      </c>
      <c r="J8974">
        <v>1</v>
      </c>
    </row>
    <row r="8975" spans="7:10">
      <c r="G8975">
        <v>2</v>
      </c>
      <c r="H8975">
        <v>3</v>
      </c>
      <c r="I8975">
        <v>2</v>
      </c>
      <c r="J8975">
        <v>2</v>
      </c>
    </row>
    <row r="8976" spans="7:10">
      <c r="G8976">
        <v>2</v>
      </c>
      <c r="H8976">
        <v>3</v>
      </c>
      <c r="I8976">
        <v>3</v>
      </c>
      <c r="J8976">
        <v>1</v>
      </c>
    </row>
    <row r="8977" spans="7:10">
      <c r="G8977">
        <v>2</v>
      </c>
      <c r="H8977">
        <v>3</v>
      </c>
      <c r="I8977">
        <v>3</v>
      </c>
      <c r="J8977">
        <v>2</v>
      </c>
    </row>
    <row r="8978" spans="7:10">
      <c r="G8978">
        <v>2</v>
      </c>
      <c r="H8978">
        <v>3</v>
      </c>
      <c r="I8978">
        <v>4</v>
      </c>
      <c r="J8978">
        <v>1</v>
      </c>
    </row>
    <row r="8979" spans="7:10">
      <c r="G8979">
        <v>2</v>
      </c>
      <c r="H8979">
        <v>3</v>
      </c>
      <c r="I8979">
        <v>4</v>
      </c>
      <c r="J8979">
        <v>2</v>
      </c>
    </row>
    <row r="8980" spans="7:10">
      <c r="G8980">
        <v>2</v>
      </c>
      <c r="H8980">
        <v>3</v>
      </c>
      <c r="I8980">
        <v>5</v>
      </c>
      <c r="J8980">
        <v>1</v>
      </c>
    </row>
    <row r="8981" spans="7:10">
      <c r="G8981">
        <v>2</v>
      </c>
      <c r="H8981">
        <v>3</v>
      </c>
      <c r="I8981">
        <v>5</v>
      </c>
      <c r="J8981">
        <v>2</v>
      </c>
    </row>
    <row r="8982" spans="7:10">
      <c r="G8982">
        <v>3</v>
      </c>
      <c r="H8982">
        <v>1</v>
      </c>
      <c r="I8982">
        <v>3</v>
      </c>
      <c r="J8982">
        <v>1</v>
      </c>
    </row>
    <row r="8983" spans="7:10">
      <c r="G8983">
        <v>3</v>
      </c>
      <c r="H8983">
        <v>1</v>
      </c>
      <c r="I8983">
        <v>3</v>
      </c>
      <c r="J8983">
        <v>2</v>
      </c>
    </row>
    <row r="8984" spans="7:10">
      <c r="G8984">
        <v>3</v>
      </c>
      <c r="H8984">
        <v>1</v>
      </c>
      <c r="I8984">
        <v>4</v>
      </c>
      <c r="J8984">
        <v>1</v>
      </c>
    </row>
    <row r="8985" spans="7:10">
      <c r="G8985">
        <v>3</v>
      </c>
      <c r="H8985">
        <v>1</v>
      </c>
      <c r="I8985">
        <v>4</v>
      </c>
      <c r="J8985">
        <v>2</v>
      </c>
    </row>
    <row r="8986" spans="7:10">
      <c r="G8986">
        <v>3</v>
      </c>
      <c r="H8986">
        <v>1</v>
      </c>
      <c r="I8986">
        <v>5</v>
      </c>
      <c r="J8986">
        <v>1</v>
      </c>
    </row>
    <row r="8987" spans="7:10">
      <c r="G8987">
        <v>3</v>
      </c>
      <c r="H8987">
        <v>1</v>
      </c>
      <c r="I8987">
        <v>5</v>
      </c>
      <c r="J8987">
        <v>2</v>
      </c>
    </row>
    <row r="8988" spans="7:10">
      <c r="G8988">
        <v>3</v>
      </c>
      <c r="H8988">
        <v>2</v>
      </c>
      <c r="I8988">
        <v>1</v>
      </c>
      <c r="J8988">
        <v>1</v>
      </c>
    </row>
    <row r="8989" spans="7:10">
      <c r="G8989">
        <v>3</v>
      </c>
      <c r="H8989">
        <v>2</v>
      </c>
      <c r="I8989">
        <v>1</v>
      </c>
      <c r="J8989">
        <v>2</v>
      </c>
    </row>
    <row r="8990" spans="7:10">
      <c r="G8990">
        <v>3</v>
      </c>
      <c r="H8990">
        <v>2</v>
      </c>
      <c r="I8990">
        <v>2</v>
      </c>
      <c r="J8990">
        <v>1</v>
      </c>
    </row>
    <row r="8991" spans="7:10">
      <c r="G8991">
        <v>3</v>
      </c>
      <c r="H8991">
        <v>2</v>
      </c>
      <c r="I8991">
        <v>2</v>
      </c>
      <c r="J8991">
        <v>2</v>
      </c>
    </row>
    <row r="8992" spans="7:10">
      <c r="G8992">
        <v>3</v>
      </c>
      <c r="H8992">
        <v>2</v>
      </c>
      <c r="I8992">
        <v>3</v>
      </c>
      <c r="J8992">
        <v>1</v>
      </c>
    </row>
    <row r="8993" spans="7:10">
      <c r="G8993">
        <v>3</v>
      </c>
      <c r="H8993">
        <v>2</v>
      </c>
      <c r="I8993">
        <v>3</v>
      </c>
      <c r="J8993">
        <v>2</v>
      </c>
    </row>
    <row r="8994" spans="7:10">
      <c r="G8994">
        <v>3</v>
      </c>
      <c r="H8994">
        <v>2</v>
      </c>
      <c r="I8994">
        <v>4</v>
      </c>
      <c r="J8994">
        <v>1</v>
      </c>
    </row>
    <row r="8995" spans="7:10">
      <c r="G8995">
        <v>3</v>
      </c>
      <c r="H8995">
        <v>2</v>
      </c>
      <c r="I8995">
        <v>4</v>
      </c>
      <c r="J8995">
        <v>2</v>
      </c>
    </row>
    <row r="8996" spans="7:10">
      <c r="G8996">
        <v>3</v>
      </c>
      <c r="H8996">
        <v>2</v>
      </c>
      <c r="I8996">
        <v>5</v>
      </c>
      <c r="J8996">
        <v>1</v>
      </c>
    </row>
    <row r="8997" spans="7:10">
      <c r="G8997">
        <v>3</v>
      </c>
      <c r="H8997">
        <v>2</v>
      </c>
      <c r="I8997">
        <v>5</v>
      </c>
      <c r="J8997">
        <v>2</v>
      </c>
    </row>
    <row r="8998" spans="7:10">
      <c r="G8998">
        <v>3</v>
      </c>
      <c r="H8998">
        <v>3</v>
      </c>
      <c r="I8998">
        <v>1</v>
      </c>
      <c r="J8998">
        <v>1</v>
      </c>
    </row>
    <row r="8999" spans="7:10">
      <c r="G8999">
        <v>3</v>
      </c>
      <c r="H8999">
        <v>3</v>
      </c>
      <c r="I8999">
        <v>1</v>
      </c>
      <c r="J8999">
        <v>2</v>
      </c>
    </row>
    <row r="9000" spans="7:10">
      <c r="G9000">
        <v>3</v>
      </c>
      <c r="H9000">
        <v>3</v>
      </c>
      <c r="I9000">
        <v>2</v>
      </c>
      <c r="J9000">
        <v>1</v>
      </c>
    </row>
    <row r="9001" spans="7:10">
      <c r="G9001">
        <v>3</v>
      </c>
      <c r="H9001">
        <v>3</v>
      </c>
      <c r="I9001">
        <v>2</v>
      </c>
      <c r="J9001">
        <v>2</v>
      </c>
    </row>
    <row r="9002" spans="7:10">
      <c r="G9002">
        <v>3</v>
      </c>
      <c r="H9002">
        <v>3</v>
      </c>
      <c r="I9002">
        <v>3</v>
      </c>
      <c r="J9002">
        <v>1</v>
      </c>
    </row>
    <row r="9003" spans="7:10">
      <c r="G9003">
        <v>3</v>
      </c>
      <c r="H9003">
        <v>3</v>
      </c>
      <c r="I9003">
        <v>3</v>
      </c>
      <c r="J9003">
        <v>2</v>
      </c>
    </row>
    <row r="9004" spans="7:10">
      <c r="G9004">
        <v>3</v>
      </c>
      <c r="H9004">
        <v>3</v>
      </c>
      <c r="I9004">
        <v>4</v>
      </c>
      <c r="J9004">
        <v>1</v>
      </c>
    </row>
    <row r="9005" spans="7:10">
      <c r="G9005">
        <v>3</v>
      </c>
      <c r="H9005">
        <v>3</v>
      </c>
      <c r="I9005">
        <v>4</v>
      </c>
      <c r="J9005">
        <v>2</v>
      </c>
    </row>
    <row r="9006" spans="7:10">
      <c r="G9006">
        <v>3</v>
      </c>
      <c r="H9006">
        <v>3</v>
      </c>
      <c r="I9006">
        <v>5</v>
      </c>
      <c r="J9006">
        <v>1</v>
      </c>
    </row>
    <row r="9007" spans="7:10">
      <c r="G9007">
        <v>3</v>
      </c>
      <c r="H9007">
        <v>3</v>
      </c>
      <c r="I9007">
        <v>5</v>
      </c>
      <c r="J9007">
        <v>2</v>
      </c>
    </row>
    <row r="9008" spans="7:10">
      <c r="G9008">
        <v>4</v>
      </c>
      <c r="H9008">
        <v>1</v>
      </c>
      <c r="I9008">
        <v>3</v>
      </c>
      <c r="J9008">
        <v>1</v>
      </c>
    </row>
    <row r="9009" spans="7:10">
      <c r="G9009">
        <v>4</v>
      </c>
      <c r="H9009">
        <v>1</v>
      </c>
      <c r="I9009">
        <v>3</v>
      </c>
      <c r="J9009">
        <v>2</v>
      </c>
    </row>
    <row r="9010" spans="7:10">
      <c r="G9010">
        <v>4</v>
      </c>
      <c r="H9010">
        <v>1</v>
      </c>
      <c r="I9010">
        <v>4</v>
      </c>
      <c r="J9010">
        <v>1</v>
      </c>
    </row>
    <row r="9011" spans="7:10">
      <c r="G9011">
        <v>4</v>
      </c>
      <c r="H9011">
        <v>1</v>
      </c>
      <c r="I9011">
        <v>4</v>
      </c>
      <c r="J9011">
        <v>2</v>
      </c>
    </row>
    <row r="9012" spans="7:10">
      <c r="G9012">
        <v>4</v>
      </c>
      <c r="H9012">
        <v>1</v>
      </c>
      <c r="I9012">
        <v>5</v>
      </c>
      <c r="J9012">
        <v>1</v>
      </c>
    </row>
    <row r="9013" spans="7:10">
      <c r="G9013">
        <v>4</v>
      </c>
      <c r="H9013">
        <v>1</v>
      </c>
      <c r="I9013">
        <v>5</v>
      </c>
      <c r="J9013">
        <v>2</v>
      </c>
    </row>
    <row r="9014" spans="7:10">
      <c r="G9014">
        <v>4</v>
      </c>
      <c r="H9014">
        <v>2</v>
      </c>
      <c r="I9014">
        <v>1</v>
      </c>
      <c r="J9014">
        <v>1</v>
      </c>
    </row>
    <row r="9015" spans="7:10">
      <c r="G9015">
        <v>4</v>
      </c>
      <c r="H9015">
        <v>2</v>
      </c>
      <c r="I9015">
        <v>1</v>
      </c>
      <c r="J9015">
        <v>2</v>
      </c>
    </row>
    <row r="9016" spans="7:10">
      <c r="G9016">
        <v>4</v>
      </c>
      <c r="H9016">
        <v>2</v>
      </c>
      <c r="I9016">
        <v>2</v>
      </c>
      <c r="J9016">
        <v>1</v>
      </c>
    </row>
    <row r="9017" spans="7:10">
      <c r="G9017">
        <v>4</v>
      </c>
      <c r="H9017">
        <v>2</v>
      </c>
      <c r="I9017">
        <v>2</v>
      </c>
      <c r="J9017">
        <v>2</v>
      </c>
    </row>
    <row r="9018" spans="7:10">
      <c r="G9018">
        <v>4</v>
      </c>
      <c r="H9018">
        <v>2</v>
      </c>
      <c r="I9018">
        <v>3</v>
      </c>
      <c r="J9018">
        <v>1</v>
      </c>
    </row>
    <row r="9019" spans="7:10">
      <c r="G9019">
        <v>4</v>
      </c>
      <c r="H9019">
        <v>2</v>
      </c>
      <c r="I9019">
        <v>3</v>
      </c>
      <c r="J9019">
        <v>2</v>
      </c>
    </row>
    <row r="9020" spans="7:10">
      <c r="G9020">
        <v>4</v>
      </c>
      <c r="H9020">
        <v>2</v>
      </c>
      <c r="I9020">
        <v>4</v>
      </c>
      <c r="J9020">
        <v>1</v>
      </c>
    </row>
    <row r="9021" spans="7:10">
      <c r="G9021">
        <v>4</v>
      </c>
      <c r="H9021">
        <v>2</v>
      </c>
      <c r="I9021">
        <v>4</v>
      </c>
      <c r="J9021">
        <v>2</v>
      </c>
    </row>
    <row r="9022" spans="7:10">
      <c r="G9022">
        <v>4</v>
      </c>
      <c r="H9022">
        <v>2</v>
      </c>
      <c r="I9022">
        <v>5</v>
      </c>
      <c r="J9022">
        <v>1</v>
      </c>
    </row>
    <row r="9023" spans="7:10">
      <c r="G9023">
        <v>4</v>
      </c>
      <c r="H9023">
        <v>2</v>
      </c>
      <c r="I9023">
        <v>5</v>
      </c>
      <c r="J9023">
        <v>2</v>
      </c>
    </row>
    <row r="9024" spans="7:10">
      <c r="G9024">
        <v>4</v>
      </c>
      <c r="H9024">
        <v>3</v>
      </c>
      <c r="I9024">
        <v>1</v>
      </c>
      <c r="J9024">
        <v>1</v>
      </c>
    </row>
    <row r="9025" spans="7:10">
      <c r="G9025">
        <v>4</v>
      </c>
      <c r="H9025">
        <v>3</v>
      </c>
      <c r="I9025">
        <v>1</v>
      </c>
      <c r="J9025">
        <v>2</v>
      </c>
    </row>
    <row r="9026" spans="7:10">
      <c r="G9026">
        <v>4</v>
      </c>
      <c r="H9026">
        <v>3</v>
      </c>
      <c r="I9026">
        <v>2</v>
      </c>
      <c r="J9026">
        <v>1</v>
      </c>
    </row>
    <row r="9027" spans="7:10">
      <c r="G9027">
        <v>4</v>
      </c>
      <c r="H9027">
        <v>3</v>
      </c>
      <c r="I9027">
        <v>2</v>
      </c>
      <c r="J9027">
        <v>2</v>
      </c>
    </row>
    <row r="9028" spans="7:10">
      <c r="G9028">
        <v>4</v>
      </c>
      <c r="H9028">
        <v>3</v>
      </c>
      <c r="I9028">
        <v>3</v>
      </c>
      <c r="J9028">
        <v>1</v>
      </c>
    </row>
    <row r="9029" spans="7:10">
      <c r="G9029">
        <v>4</v>
      </c>
      <c r="H9029">
        <v>3</v>
      </c>
      <c r="I9029">
        <v>3</v>
      </c>
      <c r="J9029">
        <v>2</v>
      </c>
    </row>
    <row r="9030" spans="7:10">
      <c r="G9030">
        <v>4</v>
      </c>
      <c r="H9030">
        <v>3</v>
      </c>
      <c r="I9030">
        <v>4</v>
      </c>
      <c r="J9030">
        <v>1</v>
      </c>
    </row>
    <row r="9031" spans="7:10">
      <c r="G9031">
        <v>4</v>
      </c>
      <c r="H9031">
        <v>3</v>
      </c>
      <c r="I9031">
        <v>4</v>
      </c>
      <c r="J9031">
        <v>2</v>
      </c>
    </row>
    <row r="9032" spans="7:10">
      <c r="G9032">
        <v>4</v>
      </c>
      <c r="H9032">
        <v>3</v>
      </c>
      <c r="I9032">
        <v>5</v>
      </c>
      <c r="J9032">
        <v>1</v>
      </c>
    </row>
    <row r="9033" spans="7:10">
      <c r="G9033">
        <v>4</v>
      </c>
      <c r="H9033">
        <v>3</v>
      </c>
      <c r="I9033">
        <v>5</v>
      </c>
      <c r="J9033">
        <v>2</v>
      </c>
    </row>
    <row r="9034" spans="7:10">
      <c r="G9034">
        <v>1</v>
      </c>
      <c r="H9034">
        <v>2</v>
      </c>
      <c r="I9034">
        <v>1</v>
      </c>
      <c r="J9034">
        <v>1</v>
      </c>
    </row>
    <row r="9035" spans="7:10">
      <c r="G9035">
        <v>1</v>
      </c>
      <c r="H9035">
        <v>2</v>
      </c>
      <c r="I9035">
        <v>1</v>
      </c>
      <c r="J9035">
        <v>2</v>
      </c>
    </row>
    <row r="9036" spans="7:10">
      <c r="G9036">
        <v>1</v>
      </c>
      <c r="H9036">
        <v>2</v>
      </c>
      <c r="I9036">
        <v>2</v>
      </c>
      <c r="J9036">
        <v>1</v>
      </c>
    </row>
    <row r="9037" spans="7:10">
      <c r="G9037">
        <v>1</v>
      </c>
      <c r="H9037">
        <v>2</v>
      </c>
      <c r="I9037">
        <v>2</v>
      </c>
      <c r="J9037">
        <v>2</v>
      </c>
    </row>
    <row r="9038" spans="7:10">
      <c r="G9038">
        <v>1</v>
      </c>
      <c r="H9038">
        <v>2</v>
      </c>
      <c r="I9038">
        <v>3</v>
      </c>
      <c r="J9038">
        <v>1</v>
      </c>
    </row>
    <row r="9039" spans="7:10">
      <c r="G9039">
        <v>1</v>
      </c>
      <c r="H9039">
        <v>2</v>
      </c>
      <c r="I9039">
        <v>3</v>
      </c>
      <c r="J9039">
        <v>2</v>
      </c>
    </row>
    <row r="9040" spans="7:10">
      <c r="G9040">
        <v>1</v>
      </c>
      <c r="H9040">
        <v>2</v>
      </c>
      <c r="I9040">
        <v>4</v>
      </c>
      <c r="J9040">
        <v>1</v>
      </c>
    </row>
    <row r="9041" spans="7:10">
      <c r="G9041">
        <v>1</v>
      </c>
      <c r="H9041">
        <v>2</v>
      </c>
      <c r="I9041">
        <v>4</v>
      </c>
      <c r="J9041">
        <v>2</v>
      </c>
    </row>
    <row r="9042" spans="7:10">
      <c r="G9042">
        <v>1</v>
      </c>
      <c r="H9042">
        <v>2</v>
      </c>
      <c r="I9042">
        <v>5</v>
      </c>
      <c r="J9042">
        <v>1</v>
      </c>
    </row>
    <row r="9043" spans="7:10">
      <c r="G9043">
        <v>1</v>
      </c>
      <c r="H9043">
        <v>2</v>
      </c>
      <c r="I9043">
        <v>5</v>
      </c>
      <c r="J9043">
        <v>2</v>
      </c>
    </row>
    <row r="9044" spans="7:10">
      <c r="G9044">
        <v>1</v>
      </c>
      <c r="H9044">
        <v>3</v>
      </c>
      <c r="I9044">
        <v>1</v>
      </c>
      <c r="J9044">
        <v>1</v>
      </c>
    </row>
    <row r="9045" spans="7:10">
      <c r="G9045">
        <v>1</v>
      </c>
      <c r="H9045">
        <v>3</v>
      </c>
      <c r="I9045">
        <v>1</v>
      </c>
      <c r="J9045">
        <v>2</v>
      </c>
    </row>
    <row r="9046" spans="7:10">
      <c r="G9046">
        <v>1</v>
      </c>
      <c r="H9046">
        <v>3</v>
      </c>
      <c r="I9046">
        <v>2</v>
      </c>
      <c r="J9046">
        <v>1</v>
      </c>
    </row>
    <row r="9047" spans="7:10">
      <c r="G9047">
        <v>1</v>
      </c>
      <c r="H9047">
        <v>3</v>
      </c>
      <c r="I9047">
        <v>2</v>
      </c>
      <c r="J9047">
        <v>2</v>
      </c>
    </row>
    <row r="9048" spans="7:10">
      <c r="G9048">
        <v>1</v>
      </c>
      <c r="H9048">
        <v>3</v>
      </c>
      <c r="I9048">
        <v>3</v>
      </c>
      <c r="J9048">
        <v>1</v>
      </c>
    </row>
    <row r="9049" spans="7:10">
      <c r="G9049">
        <v>1</v>
      </c>
      <c r="H9049">
        <v>3</v>
      </c>
      <c r="I9049">
        <v>3</v>
      </c>
      <c r="J9049">
        <v>2</v>
      </c>
    </row>
    <row r="9050" spans="7:10">
      <c r="G9050">
        <v>1</v>
      </c>
      <c r="H9050">
        <v>3</v>
      </c>
      <c r="I9050">
        <v>4</v>
      </c>
      <c r="J9050">
        <v>1</v>
      </c>
    </row>
    <row r="9051" spans="7:10">
      <c r="G9051">
        <v>1</v>
      </c>
      <c r="H9051">
        <v>3</v>
      </c>
      <c r="I9051">
        <v>4</v>
      </c>
      <c r="J9051">
        <v>2</v>
      </c>
    </row>
    <row r="9052" spans="7:10">
      <c r="G9052">
        <v>1</v>
      </c>
      <c r="H9052">
        <v>3</v>
      </c>
      <c r="I9052">
        <v>5</v>
      </c>
      <c r="J9052">
        <v>1</v>
      </c>
    </row>
    <row r="9053" spans="7:10">
      <c r="G9053">
        <v>1</v>
      </c>
      <c r="H9053">
        <v>3</v>
      </c>
      <c r="I9053">
        <v>5</v>
      </c>
      <c r="J9053">
        <v>2</v>
      </c>
    </row>
    <row r="9054" spans="7:10">
      <c r="G9054">
        <v>2</v>
      </c>
      <c r="H9054">
        <v>1</v>
      </c>
      <c r="I9054">
        <v>3</v>
      </c>
      <c r="J9054">
        <v>1</v>
      </c>
    </row>
    <row r="9055" spans="7:10">
      <c r="G9055">
        <v>2</v>
      </c>
      <c r="H9055">
        <v>1</v>
      </c>
      <c r="I9055">
        <v>3</v>
      </c>
      <c r="J9055">
        <v>2</v>
      </c>
    </row>
    <row r="9056" spans="7:10">
      <c r="G9056">
        <v>2</v>
      </c>
      <c r="H9056">
        <v>1</v>
      </c>
      <c r="I9056">
        <v>4</v>
      </c>
      <c r="J9056">
        <v>1</v>
      </c>
    </row>
    <row r="9057" spans="7:10">
      <c r="G9057">
        <v>2</v>
      </c>
      <c r="H9057">
        <v>1</v>
      </c>
      <c r="I9057">
        <v>4</v>
      </c>
      <c r="J9057">
        <v>2</v>
      </c>
    </row>
    <row r="9058" spans="7:10">
      <c r="G9058">
        <v>2</v>
      </c>
      <c r="H9058">
        <v>1</v>
      </c>
      <c r="I9058">
        <v>5</v>
      </c>
      <c r="J9058">
        <v>1</v>
      </c>
    </row>
    <row r="9059" spans="7:10">
      <c r="G9059">
        <v>2</v>
      </c>
      <c r="H9059">
        <v>1</v>
      </c>
      <c r="I9059">
        <v>5</v>
      </c>
      <c r="J9059">
        <v>2</v>
      </c>
    </row>
    <row r="9060" spans="7:10">
      <c r="G9060">
        <v>2</v>
      </c>
      <c r="H9060">
        <v>2</v>
      </c>
      <c r="I9060">
        <v>1</v>
      </c>
      <c r="J9060">
        <v>1</v>
      </c>
    </row>
    <row r="9061" spans="7:10">
      <c r="G9061">
        <v>2</v>
      </c>
      <c r="H9061">
        <v>2</v>
      </c>
      <c r="I9061">
        <v>1</v>
      </c>
      <c r="J9061">
        <v>2</v>
      </c>
    </row>
    <row r="9062" spans="7:10">
      <c r="G9062">
        <v>2</v>
      </c>
      <c r="H9062">
        <v>2</v>
      </c>
      <c r="I9062">
        <v>2</v>
      </c>
      <c r="J9062">
        <v>1</v>
      </c>
    </row>
    <row r="9063" spans="7:10">
      <c r="G9063">
        <v>2</v>
      </c>
      <c r="H9063">
        <v>2</v>
      </c>
      <c r="I9063">
        <v>2</v>
      </c>
      <c r="J9063">
        <v>2</v>
      </c>
    </row>
    <row r="9064" spans="7:10">
      <c r="G9064">
        <v>2</v>
      </c>
      <c r="H9064">
        <v>2</v>
      </c>
      <c r="I9064">
        <v>3</v>
      </c>
      <c r="J9064">
        <v>1</v>
      </c>
    </row>
    <row r="9065" spans="7:10">
      <c r="G9065">
        <v>2</v>
      </c>
      <c r="H9065">
        <v>2</v>
      </c>
      <c r="I9065">
        <v>3</v>
      </c>
      <c r="J9065">
        <v>2</v>
      </c>
    </row>
    <row r="9066" spans="7:10">
      <c r="G9066">
        <v>2</v>
      </c>
      <c r="H9066">
        <v>2</v>
      </c>
      <c r="I9066">
        <v>4</v>
      </c>
      <c r="J9066">
        <v>1</v>
      </c>
    </row>
    <row r="9067" spans="7:10">
      <c r="G9067">
        <v>2</v>
      </c>
      <c r="H9067">
        <v>2</v>
      </c>
      <c r="I9067">
        <v>4</v>
      </c>
      <c r="J9067">
        <v>2</v>
      </c>
    </row>
    <row r="9068" spans="7:10">
      <c r="G9068">
        <v>2</v>
      </c>
      <c r="H9068">
        <v>2</v>
      </c>
      <c r="I9068">
        <v>5</v>
      </c>
      <c r="J9068">
        <v>1</v>
      </c>
    </row>
    <row r="9069" spans="7:10">
      <c r="G9069">
        <v>2</v>
      </c>
      <c r="H9069">
        <v>2</v>
      </c>
      <c r="I9069">
        <v>5</v>
      </c>
      <c r="J9069">
        <v>2</v>
      </c>
    </row>
    <row r="9070" spans="7:10">
      <c r="G9070">
        <v>2</v>
      </c>
      <c r="H9070">
        <v>3</v>
      </c>
      <c r="I9070">
        <v>1</v>
      </c>
      <c r="J9070">
        <v>1</v>
      </c>
    </row>
    <row r="9071" spans="7:10">
      <c r="G9071">
        <v>2</v>
      </c>
      <c r="H9071">
        <v>3</v>
      </c>
      <c r="I9071">
        <v>1</v>
      </c>
      <c r="J9071">
        <v>2</v>
      </c>
    </row>
    <row r="9072" spans="7:10">
      <c r="G9072">
        <v>2</v>
      </c>
      <c r="H9072">
        <v>3</v>
      </c>
      <c r="I9072">
        <v>2</v>
      </c>
      <c r="J9072">
        <v>1</v>
      </c>
    </row>
    <row r="9073" spans="7:10">
      <c r="G9073">
        <v>2</v>
      </c>
      <c r="H9073">
        <v>3</v>
      </c>
      <c r="I9073">
        <v>2</v>
      </c>
      <c r="J9073">
        <v>2</v>
      </c>
    </row>
    <row r="9074" spans="7:10">
      <c r="G9074">
        <v>2</v>
      </c>
      <c r="H9074">
        <v>3</v>
      </c>
      <c r="I9074">
        <v>3</v>
      </c>
      <c r="J9074">
        <v>1</v>
      </c>
    </row>
    <row r="9075" spans="7:10">
      <c r="G9075">
        <v>2</v>
      </c>
      <c r="H9075">
        <v>3</v>
      </c>
      <c r="I9075">
        <v>3</v>
      </c>
      <c r="J9075">
        <v>2</v>
      </c>
    </row>
    <row r="9076" spans="7:10">
      <c r="G9076">
        <v>2</v>
      </c>
      <c r="H9076">
        <v>3</v>
      </c>
      <c r="I9076">
        <v>4</v>
      </c>
      <c r="J9076">
        <v>1</v>
      </c>
    </row>
    <row r="9077" spans="7:10">
      <c r="G9077">
        <v>2</v>
      </c>
      <c r="H9077">
        <v>3</v>
      </c>
      <c r="I9077">
        <v>4</v>
      </c>
      <c r="J9077">
        <v>2</v>
      </c>
    </row>
    <row r="9078" spans="7:10">
      <c r="G9078">
        <v>2</v>
      </c>
      <c r="H9078">
        <v>3</v>
      </c>
      <c r="I9078">
        <v>5</v>
      </c>
      <c r="J9078">
        <v>1</v>
      </c>
    </row>
    <row r="9079" spans="7:10">
      <c r="G9079">
        <v>2</v>
      </c>
      <c r="H9079">
        <v>3</v>
      </c>
      <c r="I9079">
        <v>5</v>
      </c>
      <c r="J9079">
        <v>2</v>
      </c>
    </row>
    <row r="9080" spans="7:10">
      <c r="G9080">
        <v>3</v>
      </c>
      <c r="H9080">
        <v>1</v>
      </c>
      <c r="I9080">
        <v>3</v>
      </c>
      <c r="J9080">
        <v>1</v>
      </c>
    </row>
    <row r="9081" spans="7:10">
      <c r="G9081">
        <v>3</v>
      </c>
      <c r="H9081">
        <v>1</v>
      </c>
      <c r="I9081">
        <v>3</v>
      </c>
      <c r="J9081">
        <v>2</v>
      </c>
    </row>
    <row r="9082" spans="7:10">
      <c r="G9082">
        <v>3</v>
      </c>
      <c r="H9082">
        <v>1</v>
      </c>
      <c r="I9082">
        <v>4</v>
      </c>
      <c r="J9082">
        <v>1</v>
      </c>
    </row>
    <row r="9083" spans="7:10">
      <c r="G9083">
        <v>3</v>
      </c>
      <c r="H9083">
        <v>1</v>
      </c>
      <c r="I9083">
        <v>4</v>
      </c>
      <c r="J9083">
        <v>2</v>
      </c>
    </row>
    <row r="9084" spans="7:10">
      <c r="G9084">
        <v>3</v>
      </c>
      <c r="H9084">
        <v>1</v>
      </c>
      <c r="I9084">
        <v>5</v>
      </c>
      <c r="J9084">
        <v>1</v>
      </c>
    </row>
    <row r="9085" spans="7:10">
      <c r="G9085">
        <v>3</v>
      </c>
      <c r="H9085">
        <v>1</v>
      </c>
      <c r="I9085">
        <v>5</v>
      </c>
      <c r="J9085">
        <v>2</v>
      </c>
    </row>
    <row r="9086" spans="7:10">
      <c r="G9086">
        <v>3</v>
      </c>
      <c r="H9086">
        <v>2</v>
      </c>
      <c r="I9086">
        <v>1</v>
      </c>
      <c r="J9086">
        <v>1</v>
      </c>
    </row>
    <row r="9087" spans="7:10">
      <c r="G9087">
        <v>3</v>
      </c>
      <c r="H9087">
        <v>2</v>
      </c>
      <c r="I9087">
        <v>1</v>
      </c>
      <c r="J9087">
        <v>2</v>
      </c>
    </row>
    <row r="9088" spans="7:10">
      <c r="G9088">
        <v>3</v>
      </c>
      <c r="H9088">
        <v>2</v>
      </c>
      <c r="I9088">
        <v>2</v>
      </c>
      <c r="J9088">
        <v>1</v>
      </c>
    </row>
    <row r="9089" spans="7:10">
      <c r="G9089">
        <v>3</v>
      </c>
      <c r="H9089">
        <v>2</v>
      </c>
      <c r="I9089">
        <v>2</v>
      </c>
      <c r="J9089">
        <v>2</v>
      </c>
    </row>
    <row r="9090" spans="7:10">
      <c r="G9090">
        <v>3</v>
      </c>
      <c r="H9090">
        <v>2</v>
      </c>
      <c r="I9090">
        <v>3</v>
      </c>
      <c r="J9090">
        <v>1</v>
      </c>
    </row>
    <row r="9091" spans="7:10">
      <c r="G9091">
        <v>3</v>
      </c>
      <c r="H9091">
        <v>2</v>
      </c>
      <c r="I9091">
        <v>3</v>
      </c>
      <c r="J9091">
        <v>2</v>
      </c>
    </row>
    <row r="9092" spans="7:10">
      <c r="G9092">
        <v>3</v>
      </c>
      <c r="H9092">
        <v>2</v>
      </c>
      <c r="I9092">
        <v>4</v>
      </c>
      <c r="J9092">
        <v>1</v>
      </c>
    </row>
    <row r="9093" spans="7:10">
      <c r="G9093">
        <v>3</v>
      </c>
      <c r="H9093">
        <v>2</v>
      </c>
      <c r="I9093">
        <v>4</v>
      </c>
      <c r="J9093">
        <v>2</v>
      </c>
    </row>
    <row r="9094" spans="7:10">
      <c r="G9094">
        <v>3</v>
      </c>
      <c r="H9094">
        <v>2</v>
      </c>
      <c r="I9094">
        <v>5</v>
      </c>
      <c r="J9094">
        <v>1</v>
      </c>
    </row>
    <row r="9095" spans="7:10">
      <c r="G9095">
        <v>3</v>
      </c>
      <c r="H9095">
        <v>2</v>
      </c>
      <c r="I9095">
        <v>5</v>
      </c>
      <c r="J9095">
        <v>2</v>
      </c>
    </row>
    <row r="9096" spans="7:10">
      <c r="G9096">
        <v>3</v>
      </c>
      <c r="H9096">
        <v>3</v>
      </c>
      <c r="I9096">
        <v>1</v>
      </c>
      <c r="J9096">
        <v>1</v>
      </c>
    </row>
    <row r="9097" spans="7:10">
      <c r="G9097">
        <v>3</v>
      </c>
      <c r="H9097">
        <v>3</v>
      </c>
      <c r="I9097">
        <v>1</v>
      </c>
      <c r="J9097">
        <v>2</v>
      </c>
    </row>
    <row r="9098" spans="7:10">
      <c r="G9098">
        <v>3</v>
      </c>
      <c r="H9098">
        <v>3</v>
      </c>
      <c r="I9098">
        <v>2</v>
      </c>
      <c r="J9098">
        <v>1</v>
      </c>
    </row>
    <row r="9099" spans="7:10">
      <c r="G9099">
        <v>3</v>
      </c>
      <c r="H9099">
        <v>3</v>
      </c>
      <c r="I9099">
        <v>2</v>
      </c>
      <c r="J9099">
        <v>2</v>
      </c>
    </row>
    <row r="9100" spans="7:10">
      <c r="G9100">
        <v>3</v>
      </c>
      <c r="H9100">
        <v>3</v>
      </c>
      <c r="I9100">
        <v>3</v>
      </c>
      <c r="J9100">
        <v>1</v>
      </c>
    </row>
    <row r="9101" spans="7:10">
      <c r="G9101">
        <v>3</v>
      </c>
      <c r="H9101">
        <v>3</v>
      </c>
      <c r="I9101">
        <v>3</v>
      </c>
      <c r="J9101">
        <v>2</v>
      </c>
    </row>
    <row r="9102" spans="7:10">
      <c r="G9102">
        <v>3</v>
      </c>
      <c r="H9102">
        <v>3</v>
      </c>
      <c r="I9102">
        <v>4</v>
      </c>
      <c r="J9102">
        <v>1</v>
      </c>
    </row>
    <row r="9103" spans="7:10">
      <c r="G9103">
        <v>3</v>
      </c>
      <c r="H9103">
        <v>3</v>
      </c>
      <c r="I9103">
        <v>4</v>
      </c>
      <c r="J9103">
        <v>2</v>
      </c>
    </row>
    <row r="9104" spans="7:10">
      <c r="G9104">
        <v>3</v>
      </c>
      <c r="H9104">
        <v>3</v>
      </c>
      <c r="I9104">
        <v>5</v>
      </c>
      <c r="J9104">
        <v>1</v>
      </c>
    </row>
    <row r="9105" spans="7:10">
      <c r="G9105">
        <v>3</v>
      </c>
      <c r="H9105">
        <v>3</v>
      </c>
      <c r="I9105">
        <v>5</v>
      </c>
      <c r="J9105">
        <v>2</v>
      </c>
    </row>
    <row r="9106" spans="7:10">
      <c r="G9106">
        <v>4</v>
      </c>
      <c r="H9106">
        <v>1</v>
      </c>
      <c r="I9106">
        <v>3</v>
      </c>
      <c r="J9106">
        <v>1</v>
      </c>
    </row>
    <row r="9107" spans="7:10">
      <c r="G9107">
        <v>4</v>
      </c>
      <c r="H9107">
        <v>1</v>
      </c>
      <c r="I9107">
        <v>3</v>
      </c>
      <c r="J9107">
        <v>2</v>
      </c>
    </row>
    <row r="9108" spans="7:10">
      <c r="G9108">
        <v>4</v>
      </c>
      <c r="H9108">
        <v>1</v>
      </c>
      <c r="I9108">
        <v>4</v>
      </c>
      <c r="J9108">
        <v>1</v>
      </c>
    </row>
    <row r="9109" spans="7:10">
      <c r="G9109">
        <v>4</v>
      </c>
      <c r="H9109">
        <v>1</v>
      </c>
      <c r="I9109">
        <v>4</v>
      </c>
      <c r="J9109">
        <v>2</v>
      </c>
    </row>
    <row r="9110" spans="7:10">
      <c r="G9110">
        <v>4</v>
      </c>
      <c r="H9110">
        <v>1</v>
      </c>
      <c r="I9110">
        <v>5</v>
      </c>
      <c r="J9110">
        <v>1</v>
      </c>
    </row>
    <row r="9111" spans="7:10">
      <c r="G9111">
        <v>4</v>
      </c>
      <c r="H9111">
        <v>1</v>
      </c>
      <c r="I9111">
        <v>5</v>
      </c>
      <c r="J9111">
        <v>2</v>
      </c>
    </row>
    <row r="9112" spans="7:10">
      <c r="G9112">
        <v>4</v>
      </c>
      <c r="H9112">
        <v>2</v>
      </c>
      <c r="I9112">
        <v>1</v>
      </c>
      <c r="J9112">
        <v>1</v>
      </c>
    </row>
    <row r="9113" spans="7:10">
      <c r="G9113">
        <v>4</v>
      </c>
      <c r="H9113">
        <v>2</v>
      </c>
      <c r="I9113">
        <v>1</v>
      </c>
      <c r="J9113">
        <v>2</v>
      </c>
    </row>
    <row r="9114" spans="7:10">
      <c r="G9114">
        <v>4</v>
      </c>
      <c r="H9114">
        <v>2</v>
      </c>
      <c r="I9114">
        <v>2</v>
      </c>
      <c r="J9114">
        <v>1</v>
      </c>
    </row>
    <row r="9115" spans="7:10">
      <c r="G9115">
        <v>4</v>
      </c>
      <c r="H9115">
        <v>2</v>
      </c>
      <c r="I9115">
        <v>2</v>
      </c>
      <c r="J9115">
        <v>2</v>
      </c>
    </row>
    <row r="9116" spans="7:10">
      <c r="G9116">
        <v>4</v>
      </c>
      <c r="H9116">
        <v>2</v>
      </c>
      <c r="I9116">
        <v>3</v>
      </c>
      <c r="J9116">
        <v>1</v>
      </c>
    </row>
    <row r="9117" spans="7:10">
      <c r="G9117">
        <v>4</v>
      </c>
      <c r="H9117">
        <v>2</v>
      </c>
      <c r="I9117">
        <v>3</v>
      </c>
      <c r="J9117">
        <v>2</v>
      </c>
    </row>
    <row r="9118" spans="7:10">
      <c r="G9118">
        <v>4</v>
      </c>
      <c r="H9118">
        <v>2</v>
      </c>
      <c r="I9118">
        <v>4</v>
      </c>
      <c r="J9118">
        <v>1</v>
      </c>
    </row>
    <row r="9119" spans="7:10">
      <c r="G9119">
        <v>4</v>
      </c>
      <c r="H9119">
        <v>2</v>
      </c>
      <c r="I9119">
        <v>4</v>
      </c>
      <c r="J9119">
        <v>2</v>
      </c>
    </row>
    <row r="9120" spans="7:10">
      <c r="G9120">
        <v>4</v>
      </c>
      <c r="H9120">
        <v>2</v>
      </c>
      <c r="I9120">
        <v>5</v>
      </c>
      <c r="J9120">
        <v>1</v>
      </c>
    </row>
    <row r="9121" spans="7:10">
      <c r="G9121">
        <v>4</v>
      </c>
      <c r="H9121">
        <v>2</v>
      </c>
      <c r="I9121">
        <v>5</v>
      </c>
      <c r="J9121">
        <v>2</v>
      </c>
    </row>
    <row r="9122" spans="7:10">
      <c r="G9122">
        <v>4</v>
      </c>
      <c r="H9122">
        <v>3</v>
      </c>
      <c r="I9122">
        <v>1</v>
      </c>
      <c r="J9122">
        <v>1</v>
      </c>
    </row>
    <row r="9123" spans="7:10">
      <c r="G9123">
        <v>4</v>
      </c>
      <c r="H9123">
        <v>3</v>
      </c>
      <c r="I9123">
        <v>1</v>
      </c>
      <c r="J9123">
        <v>2</v>
      </c>
    </row>
    <row r="9124" spans="7:10">
      <c r="G9124">
        <v>4</v>
      </c>
      <c r="H9124">
        <v>3</v>
      </c>
      <c r="I9124">
        <v>2</v>
      </c>
      <c r="J9124">
        <v>1</v>
      </c>
    </row>
    <row r="9125" spans="7:10">
      <c r="G9125">
        <v>4</v>
      </c>
      <c r="H9125">
        <v>3</v>
      </c>
      <c r="I9125">
        <v>2</v>
      </c>
      <c r="J9125">
        <v>2</v>
      </c>
    </row>
    <row r="9126" spans="7:10">
      <c r="G9126">
        <v>4</v>
      </c>
      <c r="H9126">
        <v>3</v>
      </c>
      <c r="I9126">
        <v>3</v>
      </c>
      <c r="J9126">
        <v>1</v>
      </c>
    </row>
    <row r="9127" spans="7:10">
      <c r="G9127">
        <v>4</v>
      </c>
      <c r="H9127">
        <v>3</v>
      </c>
      <c r="I9127">
        <v>3</v>
      </c>
      <c r="J9127">
        <v>2</v>
      </c>
    </row>
    <row r="9128" spans="7:10">
      <c r="G9128">
        <v>4</v>
      </c>
      <c r="H9128">
        <v>3</v>
      </c>
      <c r="I9128">
        <v>4</v>
      </c>
      <c r="J9128">
        <v>1</v>
      </c>
    </row>
    <row r="9129" spans="7:10">
      <c r="G9129">
        <v>4</v>
      </c>
      <c r="H9129">
        <v>3</v>
      </c>
      <c r="I9129">
        <v>4</v>
      </c>
      <c r="J9129">
        <v>2</v>
      </c>
    </row>
    <row r="9130" spans="7:10">
      <c r="G9130">
        <v>4</v>
      </c>
      <c r="H9130">
        <v>3</v>
      </c>
      <c r="I9130">
        <v>5</v>
      </c>
      <c r="J9130">
        <v>1</v>
      </c>
    </row>
    <row r="9131" spans="7:10">
      <c r="G9131">
        <v>4</v>
      </c>
      <c r="H9131">
        <v>3</v>
      </c>
      <c r="I9131">
        <v>5</v>
      </c>
      <c r="J9131">
        <v>2</v>
      </c>
    </row>
    <row r="9132" spans="7:10">
      <c r="G9132">
        <v>2</v>
      </c>
      <c r="H9132">
        <v>1</v>
      </c>
      <c r="I9132">
        <v>3</v>
      </c>
      <c r="J9132">
        <v>1</v>
      </c>
    </row>
    <row r="9133" spans="7:10">
      <c r="G9133">
        <v>2</v>
      </c>
      <c r="H9133">
        <v>1</v>
      </c>
      <c r="I9133">
        <v>3</v>
      </c>
      <c r="J9133">
        <v>2</v>
      </c>
    </row>
    <row r="9134" spans="7:10">
      <c r="G9134">
        <v>2</v>
      </c>
      <c r="H9134">
        <v>1</v>
      </c>
      <c r="I9134">
        <v>4</v>
      </c>
      <c r="J9134">
        <v>1</v>
      </c>
    </row>
    <row r="9135" spans="7:10">
      <c r="G9135">
        <v>2</v>
      </c>
      <c r="H9135">
        <v>1</v>
      </c>
      <c r="I9135">
        <v>4</v>
      </c>
      <c r="J9135">
        <v>2</v>
      </c>
    </row>
    <row r="9136" spans="7:10">
      <c r="G9136">
        <v>2</v>
      </c>
      <c r="H9136">
        <v>1</v>
      </c>
      <c r="I9136">
        <v>5</v>
      </c>
      <c r="J9136">
        <v>1</v>
      </c>
    </row>
    <row r="9137" spans="7:10">
      <c r="G9137">
        <v>2</v>
      </c>
      <c r="H9137">
        <v>1</v>
      </c>
      <c r="I9137">
        <v>5</v>
      </c>
      <c r="J9137">
        <v>2</v>
      </c>
    </row>
    <row r="9138" spans="7:10">
      <c r="G9138">
        <v>2</v>
      </c>
      <c r="H9138">
        <v>2</v>
      </c>
      <c r="I9138">
        <v>1</v>
      </c>
      <c r="J9138">
        <v>1</v>
      </c>
    </row>
    <row r="9139" spans="7:10">
      <c r="G9139">
        <v>2</v>
      </c>
      <c r="H9139">
        <v>2</v>
      </c>
      <c r="I9139">
        <v>1</v>
      </c>
      <c r="J9139">
        <v>2</v>
      </c>
    </row>
    <row r="9140" spans="7:10">
      <c r="G9140">
        <v>2</v>
      </c>
      <c r="H9140">
        <v>2</v>
      </c>
      <c r="I9140">
        <v>2</v>
      </c>
      <c r="J9140">
        <v>1</v>
      </c>
    </row>
    <row r="9141" spans="7:10">
      <c r="G9141">
        <v>2</v>
      </c>
      <c r="H9141">
        <v>2</v>
      </c>
      <c r="I9141">
        <v>2</v>
      </c>
      <c r="J9141">
        <v>2</v>
      </c>
    </row>
    <row r="9142" spans="7:10">
      <c r="G9142">
        <v>2</v>
      </c>
      <c r="H9142">
        <v>2</v>
      </c>
      <c r="I9142">
        <v>3</v>
      </c>
      <c r="J9142">
        <v>1</v>
      </c>
    </row>
    <row r="9143" spans="7:10">
      <c r="G9143">
        <v>2</v>
      </c>
      <c r="H9143">
        <v>2</v>
      </c>
      <c r="I9143">
        <v>3</v>
      </c>
      <c r="J9143">
        <v>2</v>
      </c>
    </row>
    <row r="9144" spans="7:10">
      <c r="G9144">
        <v>2</v>
      </c>
      <c r="H9144">
        <v>2</v>
      </c>
      <c r="I9144">
        <v>4</v>
      </c>
      <c r="J9144">
        <v>1</v>
      </c>
    </row>
    <row r="9145" spans="7:10">
      <c r="G9145">
        <v>2</v>
      </c>
      <c r="H9145">
        <v>2</v>
      </c>
      <c r="I9145">
        <v>4</v>
      </c>
      <c r="J9145">
        <v>2</v>
      </c>
    </row>
    <row r="9146" spans="7:10">
      <c r="G9146">
        <v>2</v>
      </c>
      <c r="H9146">
        <v>2</v>
      </c>
      <c r="I9146">
        <v>5</v>
      </c>
      <c r="J9146">
        <v>1</v>
      </c>
    </row>
    <row r="9147" spans="7:10">
      <c r="G9147">
        <v>2</v>
      </c>
      <c r="H9147">
        <v>2</v>
      </c>
      <c r="I9147">
        <v>5</v>
      </c>
      <c r="J9147">
        <v>2</v>
      </c>
    </row>
    <row r="9148" spans="7:10">
      <c r="G9148">
        <v>2</v>
      </c>
      <c r="H9148">
        <v>3</v>
      </c>
      <c r="I9148">
        <v>1</v>
      </c>
      <c r="J9148">
        <v>1</v>
      </c>
    </row>
    <row r="9149" spans="7:10">
      <c r="G9149">
        <v>2</v>
      </c>
      <c r="H9149">
        <v>3</v>
      </c>
      <c r="I9149">
        <v>1</v>
      </c>
      <c r="J9149">
        <v>2</v>
      </c>
    </row>
    <row r="9150" spans="7:10">
      <c r="G9150">
        <v>2</v>
      </c>
      <c r="H9150">
        <v>3</v>
      </c>
      <c r="I9150">
        <v>2</v>
      </c>
      <c r="J9150">
        <v>1</v>
      </c>
    </row>
    <row r="9151" spans="7:10">
      <c r="G9151">
        <v>2</v>
      </c>
      <c r="H9151">
        <v>3</v>
      </c>
      <c r="I9151">
        <v>2</v>
      </c>
      <c r="J9151">
        <v>2</v>
      </c>
    </row>
    <row r="9152" spans="7:10">
      <c r="G9152">
        <v>2</v>
      </c>
      <c r="H9152">
        <v>3</v>
      </c>
      <c r="I9152">
        <v>3</v>
      </c>
      <c r="J9152">
        <v>1</v>
      </c>
    </row>
    <row r="9153" spans="7:10">
      <c r="G9153">
        <v>2</v>
      </c>
      <c r="H9153">
        <v>3</v>
      </c>
      <c r="I9153">
        <v>3</v>
      </c>
      <c r="J9153">
        <v>2</v>
      </c>
    </row>
    <row r="9154" spans="7:10">
      <c r="G9154">
        <v>2</v>
      </c>
      <c r="H9154">
        <v>3</v>
      </c>
      <c r="I9154">
        <v>4</v>
      </c>
      <c r="J9154">
        <v>1</v>
      </c>
    </row>
    <row r="9155" spans="7:10">
      <c r="G9155">
        <v>2</v>
      </c>
      <c r="H9155">
        <v>3</v>
      </c>
      <c r="I9155">
        <v>4</v>
      </c>
      <c r="J9155">
        <v>2</v>
      </c>
    </row>
    <row r="9156" spans="7:10">
      <c r="G9156">
        <v>2</v>
      </c>
      <c r="H9156">
        <v>3</v>
      </c>
      <c r="I9156">
        <v>5</v>
      </c>
      <c r="J9156">
        <v>1</v>
      </c>
    </row>
    <row r="9157" spans="7:10">
      <c r="G9157">
        <v>2</v>
      </c>
      <c r="H9157">
        <v>3</v>
      </c>
      <c r="I9157">
        <v>5</v>
      </c>
      <c r="J9157">
        <v>2</v>
      </c>
    </row>
    <row r="9158" spans="7:10">
      <c r="G9158">
        <v>3</v>
      </c>
      <c r="H9158">
        <v>1</v>
      </c>
      <c r="I9158">
        <v>3</v>
      </c>
      <c r="J9158">
        <v>1</v>
      </c>
    </row>
    <row r="9159" spans="7:10">
      <c r="G9159">
        <v>3</v>
      </c>
      <c r="H9159">
        <v>1</v>
      </c>
      <c r="I9159">
        <v>3</v>
      </c>
      <c r="J9159">
        <v>2</v>
      </c>
    </row>
    <row r="9160" spans="7:10">
      <c r="G9160">
        <v>3</v>
      </c>
      <c r="H9160">
        <v>1</v>
      </c>
      <c r="I9160">
        <v>4</v>
      </c>
      <c r="J9160">
        <v>1</v>
      </c>
    </row>
    <row r="9161" spans="7:10">
      <c r="G9161">
        <v>3</v>
      </c>
      <c r="H9161">
        <v>1</v>
      </c>
      <c r="I9161">
        <v>4</v>
      </c>
      <c r="J9161">
        <v>2</v>
      </c>
    </row>
    <row r="9162" spans="7:10">
      <c r="G9162">
        <v>3</v>
      </c>
      <c r="H9162">
        <v>1</v>
      </c>
      <c r="I9162">
        <v>5</v>
      </c>
      <c r="J9162">
        <v>1</v>
      </c>
    </row>
    <row r="9163" spans="7:10">
      <c r="G9163">
        <v>3</v>
      </c>
      <c r="H9163">
        <v>1</v>
      </c>
      <c r="I9163">
        <v>5</v>
      </c>
      <c r="J9163">
        <v>2</v>
      </c>
    </row>
    <row r="9164" spans="7:10">
      <c r="G9164">
        <v>3</v>
      </c>
      <c r="H9164">
        <v>2</v>
      </c>
      <c r="I9164">
        <v>1</v>
      </c>
      <c r="J9164">
        <v>1</v>
      </c>
    </row>
    <row r="9165" spans="7:10">
      <c r="G9165">
        <v>3</v>
      </c>
      <c r="H9165">
        <v>2</v>
      </c>
      <c r="I9165">
        <v>1</v>
      </c>
      <c r="J9165">
        <v>2</v>
      </c>
    </row>
    <row r="9166" spans="7:10">
      <c r="G9166">
        <v>3</v>
      </c>
      <c r="H9166">
        <v>2</v>
      </c>
      <c r="I9166">
        <v>2</v>
      </c>
      <c r="J9166">
        <v>1</v>
      </c>
    </row>
    <row r="9167" spans="7:10">
      <c r="G9167">
        <v>3</v>
      </c>
      <c r="H9167">
        <v>2</v>
      </c>
      <c r="I9167">
        <v>2</v>
      </c>
      <c r="J9167">
        <v>2</v>
      </c>
    </row>
    <row r="9168" spans="7:10">
      <c r="G9168">
        <v>3</v>
      </c>
      <c r="H9168">
        <v>2</v>
      </c>
      <c r="I9168">
        <v>3</v>
      </c>
      <c r="J9168">
        <v>1</v>
      </c>
    </row>
    <row r="9169" spans="7:10">
      <c r="G9169">
        <v>3</v>
      </c>
      <c r="H9169">
        <v>2</v>
      </c>
      <c r="I9169">
        <v>3</v>
      </c>
      <c r="J9169">
        <v>2</v>
      </c>
    </row>
    <row r="9170" spans="7:10">
      <c r="G9170">
        <v>3</v>
      </c>
      <c r="H9170">
        <v>2</v>
      </c>
      <c r="I9170">
        <v>4</v>
      </c>
      <c r="J9170">
        <v>1</v>
      </c>
    </row>
    <row r="9171" spans="7:10">
      <c r="G9171">
        <v>3</v>
      </c>
      <c r="H9171">
        <v>2</v>
      </c>
      <c r="I9171">
        <v>4</v>
      </c>
      <c r="J9171">
        <v>2</v>
      </c>
    </row>
    <row r="9172" spans="7:10">
      <c r="G9172">
        <v>3</v>
      </c>
      <c r="H9172">
        <v>2</v>
      </c>
      <c r="I9172">
        <v>5</v>
      </c>
      <c r="J9172">
        <v>1</v>
      </c>
    </row>
    <row r="9173" spans="7:10">
      <c r="G9173">
        <v>3</v>
      </c>
      <c r="H9173">
        <v>2</v>
      </c>
      <c r="I9173">
        <v>5</v>
      </c>
      <c r="J9173">
        <v>2</v>
      </c>
    </row>
    <row r="9174" spans="7:10">
      <c r="G9174">
        <v>3</v>
      </c>
      <c r="H9174">
        <v>3</v>
      </c>
      <c r="I9174">
        <v>1</v>
      </c>
      <c r="J9174">
        <v>1</v>
      </c>
    </row>
    <row r="9175" spans="7:10">
      <c r="G9175">
        <v>3</v>
      </c>
      <c r="H9175">
        <v>3</v>
      </c>
      <c r="I9175">
        <v>1</v>
      </c>
      <c r="J9175">
        <v>2</v>
      </c>
    </row>
    <row r="9176" spans="7:10">
      <c r="G9176">
        <v>3</v>
      </c>
      <c r="H9176">
        <v>3</v>
      </c>
      <c r="I9176">
        <v>2</v>
      </c>
      <c r="J9176">
        <v>1</v>
      </c>
    </row>
    <row r="9177" spans="7:10">
      <c r="G9177">
        <v>3</v>
      </c>
      <c r="H9177">
        <v>3</v>
      </c>
      <c r="I9177">
        <v>2</v>
      </c>
      <c r="J9177">
        <v>2</v>
      </c>
    </row>
    <row r="9178" spans="7:10">
      <c r="G9178">
        <v>3</v>
      </c>
      <c r="H9178">
        <v>3</v>
      </c>
      <c r="I9178">
        <v>3</v>
      </c>
      <c r="J9178">
        <v>1</v>
      </c>
    </row>
    <row r="9179" spans="7:10">
      <c r="G9179">
        <v>3</v>
      </c>
      <c r="H9179">
        <v>3</v>
      </c>
      <c r="I9179">
        <v>3</v>
      </c>
      <c r="J9179">
        <v>2</v>
      </c>
    </row>
    <row r="9180" spans="7:10">
      <c r="G9180">
        <v>3</v>
      </c>
      <c r="H9180">
        <v>3</v>
      </c>
      <c r="I9180">
        <v>4</v>
      </c>
      <c r="J9180">
        <v>1</v>
      </c>
    </row>
    <row r="9181" spans="7:10">
      <c r="G9181">
        <v>3</v>
      </c>
      <c r="H9181">
        <v>3</v>
      </c>
      <c r="I9181">
        <v>4</v>
      </c>
      <c r="J9181">
        <v>2</v>
      </c>
    </row>
    <row r="9182" spans="7:10">
      <c r="G9182">
        <v>3</v>
      </c>
      <c r="H9182">
        <v>3</v>
      </c>
      <c r="I9182">
        <v>5</v>
      </c>
      <c r="J9182">
        <v>1</v>
      </c>
    </row>
    <row r="9183" spans="7:10">
      <c r="G9183">
        <v>3</v>
      </c>
      <c r="H9183">
        <v>3</v>
      </c>
      <c r="I9183">
        <v>5</v>
      </c>
      <c r="J9183">
        <v>2</v>
      </c>
    </row>
    <row r="9184" spans="7:10">
      <c r="G9184">
        <v>4</v>
      </c>
      <c r="H9184">
        <v>1</v>
      </c>
      <c r="I9184">
        <v>3</v>
      </c>
      <c r="J9184">
        <v>1</v>
      </c>
    </row>
    <row r="9185" spans="7:10">
      <c r="G9185">
        <v>4</v>
      </c>
      <c r="H9185">
        <v>1</v>
      </c>
      <c r="I9185">
        <v>3</v>
      </c>
      <c r="J9185">
        <v>2</v>
      </c>
    </row>
    <row r="9186" spans="7:10">
      <c r="G9186">
        <v>4</v>
      </c>
      <c r="H9186">
        <v>1</v>
      </c>
      <c r="I9186">
        <v>4</v>
      </c>
      <c r="J9186">
        <v>1</v>
      </c>
    </row>
    <row r="9187" spans="7:10">
      <c r="G9187">
        <v>4</v>
      </c>
      <c r="H9187">
        <v>1</v>
      </c>
      <c r="I9187">
        <v>4</v>
      </c>
      <c r="J9187">
        <v>2</v>
      </c>
    </row>
    <row r="9188" spans="7:10">
      <c r="G9188">
        <v>4</v>
      </c>
      <c r="H9188">
        <v>1</v>
      </c>
      <c r="I9188">
        <v>5</v>
      </c>
      <c r="J9188">
        <v>1</v>
      </c>
    </row>
    <row r="9189" spans="7:10">
      <c r="G9189">
        <v>4</v>
      </c>
      <c r="H9189">
        <v>1</v>
      </c>
      <c r="I9189">
        <v>5</v>
      </c>
      <c r="J9189">
        <v>2</v>
      </c>
    </row>
    <row r="9190" spans="7:10">
      <c r="G9190">
        <v>4</v>
      </c>
      <c r="H9190">
        <v>2</v>
      </c>
      <c r="I9190">
        <v>1</v>
      </c>
      <c r="J9190">
        <v>1</v>
      </c>
    </row>
    <row r="9191" spans="7:10">
      <c r="G9191">
        <v>4</v>
      </c>
      <c r="H9191">
        <v>2</v>
      </c>
      <c r="I9191">
        <v>1</v>
      </c>
      <c r="J9191">
        <v>2</v>
      </c>
    </row>
    <row r="9192" spans="7:10">
      <c r="G9192">
        <v>4</v>
      </c>
      <c r="H9192">
        <v>2</v>
      </c>
      <c r="I9192">
        <v>2</v>
      </c>
      <c r="J9192">
        <v>1</v>
      </c>
    </row>
    <row r="9193" spans="7:10">
      <c r="G9193">
        <v>4</v>
      </c>
      <c r="H9193">
        <v>2</v>
      </c>
      <c r="I9193">
        <v>2</v>
      </c>
      <c r="J9193">
        <v>2</v>
      </c>
    </row>
    <row r="9194" spans="7:10">
      <c r="G9194">
        <v>4</v>
      </c>
      <c r="H9194">
        <v>2</v>
      </c>
      <c r="I9194">
        <v>3</v>
      </c>
      <c r="J9194">
        <v>1</v>
      </c>
    </row>
    <row r="9195" spans="7:10">
      <c r="G9195">
        <v>4</v>
      </c>
      <c r="H9195">
        <v>2</v>
      </c>
      <c r="I9195">
        <v>3</v>
      </c>
      <c r="J9195">
        <v>2</v>
      </c>
    </row>
    <row r="9196" spans="7:10">
      <c r="G9196">
        <v>4</v>
      </c>
      <c r="H9196">
        <v>2</v>
      </c>
      <c r="I9196">
        <v>4</v>
      </c>
      <c r="J9196">
        <v>1</v>
      </c>
    </row>
    <row r="9197" spans="7:10">
      <c r="G9197">
        <v>4</v>
      </c>
      <c r="H9197">
        <v>2</v>
      </c>
      <c r="I9197">
        <v>4</v>
      </c>
      <c r="J9197">
        <v>2</v>
      </c>
    </row>
    <row r="9198" spans="7:10">
      <c r="G9198">
        <v>4</v>
      </c>
      <c r="H9198">
        <v>2</v>
      </c>
      <c r="I9198">
        <v>5</v>
      </c>
      <c r="J9198">
        <v>1</v>
      </c>
    </row>
    <row r="9199" spans="7:10">
      <c r="G9199">
        <v>4</v>
      </c>
      <c r="H9199">
        <v>2</v>
      </c>
      <c r="I9199">
        <v>5</v>
      </c>
      <c r="J9199">
        <v>2</v>
      </c>
    </row>
    <row r="9200" spans="7:10">
      <c r="G9200">
        <v>4</v>
      </c>
      <c r="H9200">
        <v>3</v>
      </c>
      <c r="I9200">
        <v>1</v>
      </c>
      <c r="J9200">
        <v>1</v>
      </c>
    </row>
    <row r="9201" spans="7:10">
      <c r="G9201">
        <v>4</v>
      </c>
      <c r="H9201">
        <v>3</v>
      </c>
      <c r="I9201">
        <v>1</v>
      </c>
      <c r="J9201">
        <v>2</v>
      </c>
    </row>
    <row r="9202" spans="7:10">
      <c r="G9202">
        <v>4</v>
      </c>
      <c r="H9202">
        <v>3</v>
      </c>
      <c r="I9202">
        <v>2</v>
      </c>
      <c r="J9202">
        <v>1</v>
      </c>
    </row>
    <row r="9203" spans="7:10">
      <c r="G9203">
        <v>4</v>
      </c>
      <c r="H9203">
        <v>3</v>
      </c>
      <c r="I9203">
        <v>2</v>
      </c>
      <c r="J9203">
        <v>2</v>
      </c>
    </row>
    <row r="9204" spans="7:10">
      <c r="G9204">
        <v>4</v>
      </c>
      <c r="H9204">
        <v>3</v>
      </c>
      <c r="I9204">
        <v>3</v>
      </c>
      <c r="J9204">
        <v>1</v>
      </c>
    </row>
    <row r="9205" spans="7:10">
      <c r="G9205">
        <v>4</v>
      </c>
      <c r="H9205">
        <v>3</v>
      </c>
      <c r="I9205">
        <v>3</v>
      </c>
      <c r="J9205">
        <v>2</v>
      </c>
    </row>
    <row r="9206" spans="7:10">
      <c r="G9206">
        <v>4</v>
      </c>
      <c r="H9206">
        <v>3</v>
      </c>
      <c r="I9206">
        <v>4</v>
      </c>
      <c r="J9206">
        <v>1</v>
      </c>
    </row>
    <row r="9207" spans="7:10">
      <c r="G9207">
        <v>4</v>
      </c>
      <c r="H9207">
        <v>3</v>
      </c>
      <c r="I9207">
        <v>4</v>
      </c>
      <c r="J9207">
        <v>2</v>
      </c>
    </row>
    <row r="9208" spans="7:10">
      <c r="G9208">
        <v>4</v>
      </c>
      <c r="H9208">
        <v>3</v>
      </c>
      <c r="I9208">
        <v>5</v>
      </c>
      <c r="J9208">
        <v>1</v>
      </c>
    </row>
    <row r="9209" spans="7:10">
      <c r="G9209">
        <v>4</v>
      </c>
      <c r="H9209">
        <v>3</v>
      </c>
      <c r="I9209">
        <v>5</v>
      </c>
      <c r="J9209">
        <v>2</v>
      </c>
    </row>
    <row r="9210" spans="7:10">
      <c r="G9210">
        <v>1</v>
      </c>
      <c r="H9210">
        <v>2</v>
      </c>
      <c r="I9210">
        <v>1</v>
      </c>
      <c r="J9210">
        <v>1</v>
      </c>
    </row>
    <row r="9211" spans="7:10">
      <c r="G9211">
        <v>1</v>
      </c>
      <c r="H9211">
        <v>2</v>
      </c>
      <c r="I9211">
        <v>1</v>
      </c>
      <c r="J9211">
        <v>2</v>
      </c>
    </row>
    <row r="9212" spans="7:10">
      <c r="G9212">
        <v>1</v>
      </c>
      <c r="H9212">
        <v>2</v>
      </c>
      <c r="I9212">
        <v>2</v>
      </c>
      <c r="J9212">
        <v>1</v>
      </c>
    </row>
    <row r="9213" spans="7:10">
      <c r="G9213">
        <v>1</v>
      </c>
      <c r="H9213">
        <v>2</v>
      </c>
      <c r="I9213">
        <v>2</v>
      </c>
      <c r="J9213">
        <v>2</v>
      </c>
    </row>
    <row r="9214" spans="7:10">
      <c r="G9214">
        <v>1</v>
      </c>
      <c r="H9214">
        <v>2</v>
      </c>
      <c r="I9214">
        <v>3</v>
      </c>
      <c r="J9214">
        <v>1</v>
      </c>
    </row>
    <row r="9215" spans="7:10">
      <c r="G9215">
        <v>1</v>
      </c>
      <c r="H9215">
        <v>2</v>
      </c>
      <c r="I9215">
        <v>3</v>
      </c>
      <c r="J9215">
        <v>2</v>
      </c>
    </row>
    <row r="9216" spans="7:10">
      <c r="G9216">
        <v>1</v>
      </c>
      <c r="H9216">
        <v>2</v>
      </c>
      <c r="I9216">
        <v>4</v>
      </c>
      <c r="J9216">
        <v>1</v>
      </c>
    </row>
    <row r="9217" spans="7:10">
      <c r="G9217">
        <v>1</v>
      </c>
      <c r="H9217">
        <v>2</v>
      </c>
      <c r="I9217">
        <v>4</v>
      </c>
      <c r="J9217">
        <v>2</v>
      </c>
    </row>
    <row r="9218" spans="7:10">
      <c r="G9218">
        <v>1</v>
      </c>
      <c r="H9218">
        <v>2</v>
      </c>
      <c r="I9218">
        <v>5</v>
      </c>
      <c r="J9218">
        <v>1</v>
      </c>
    </row>
    <row r="9219" spans="7:10">
      <c r="G9219">
        <v>1</v>
      </c>
      <c r="H9219">
        <v>2</v>
      </c>
      <c r="I9219">
        <v>5</v>
      </c>
      <c r="J9219">
        <v>2</v>
      </c>
    </row>
    <row r="9220" spans="7:10">
      <c r="G9220">
        <v>1</v>
      </c>
      <c r="H9220">
        <v>3</v>
      </c>
      <c r="I9220">
        <v>1</v>
      </c>
      <c r="J9220">
        <v>1</v>
      </c>
    </row>
    <row r="9221" spans="7:10">
      <c r="G9221">
        <v>1</v>
      </c>
      <c r="H9221">
        <v>3</v>
      </c>
      <c r="I9221">
        <v>1</v>
      </c>
      <c r="J9221">
        <v>2</v>
      </c>
    </row>
    <row r="9222" spans="7:10">
      <c r="G9222">
        <v>1</v>
      </c>
      <c r="H9222">
        <v>3</v>
      </c>
      <c r="I9222">
        <v>2</v>
      </c>
      <c r="J9222">
        <v>1</v>
      </c>
    </row>
    <row r="9223" spans="7:10">
      <c r="G9223">
        <v>1</v>
      </c>
      <c r="H9223">
        <v>3</v>
      </c>
      <c r="I9223">
        <v>2</v>
      </c>
      <c r="J9223">
        <v>2</v>
      </c>
    </row>
    <row r="9224" spans="7:10">
      <c r="G9224">
        <v>1</v>
      </c>
      <c r="H9224">
        <v>3</v>
      </c>
      <c r="I9224">
        <v>3</v>
      </c>
      <c r="J9224">
        <v>1</v>
      </c>
    </row>
    <row r="9225" spans="7:10">
      <c r="G9225">
        <v>1</v>
      </c>
      <c r="H9225">
        <v>3</v>
      </c>
      <c r="I9225">
        <v>3</v>
      </c>
      <c r="J9225">
        <v>2</v>
      </c>
    </row>
    <row r="9226" spans="7:10">
      <c r="G9226">
        <v>1</v>
      </c>
      <c r="H9226">
        <v>3</v>
      </c>
      <c r="I9226">
        <v>4</v>
      </c>
      <c r="J9226">
        <v>1</v>
      </c>
    </row>
    <row r="9227" spans="7:10">
      <c r="G9227">
        <v>1</v>
      </c>
      <c r="H9227">
        <v>3</v>
      </c>
      <c r="I9227">
        <v>4</v>
      </c>
      <c r="J9227">
        <v>2</v>
      </c>
    </row>
    <row r="9228" spans="7:10">
      <c r="G9228">
        <v>1</v>
      </c>
      <c r="H9228">
        <v>3</v>
      </c>
      <c r="I9228">
        <v>5</v>
      </c>
      <c r="J9228">
        <v>1</v>
      </c>
    </row>
    <row r="9229" spans="7:10">
      <c r="G9229">
        <v>1</v>
      </c>
      <c r="H9229">
        <v>3</v>
      </c>
      <c r="I9229">
        <v>5</v>
      </c>
      <c r="J9229">
        <v>2</v>
      </c>
    </row>
    <row r="9230" spans="7:10">
      <c r="G9230">
        <v>2</v>
      </c>
      <c r="H9230">
        <v>1</v>
      </c>
      <c r="I9230">
        <v>3</v>
      </c>
      <c r="J9230">
        <v>1</v>
      </c>
    </row>
    <row r="9231" spans="7:10">
      <c r="G9231">
        <v>2</v>
      </c>
      <c r="H9231">
        <v>1</v>
      </c>
      <c r="I9231">
        <v>3</v>
      </c>
      <c r="J9231">
        <v>2</v>
      </c>
    </row>
    <row r="9232" spans="7:10">
      <c r="G9232">
        <v>2</v>
      </c>
      <c r="H9232">
        <v>1</v>
      </c>
      <c r="I9232">
        <v>4</v>
      </c>
      <c r="J9232">
        <v>1</v>
      </c>
    </row>
    <row r="9233" spans="7:10">
      <c r="G9233">
        <v>2</v>
      </c>
      <c r="H9233">
        <v>1</v>
      </c>
      <c r="I9233">
        <v>4</v>
      </c>
      <c r="J9233">
        <v>2</v>
      </c>
    </row>
    <row r="9234" spans="7:10">
      <c r="G9234">
        <v>2</v>
      </c>
      <c r="H9234">
        <v>1</v>
      </c>
      <c r="I9234">
        <v>5</v>
      </c>
      <c r="J9234">
        <v>1</v>
      </c>
    </row>
    <row r="9235" spans="7:10">
      <c r="G9235">
        <v>2</v>
      </c>
      <c r="H9235">
        <v>1</v>
      </c>
      <c r="I9235">
        <v>5</v>
      </c>
      <c r="J9235">
        <v>2</v>
      </c>
    </row>
    <row r="9236" spans="7:10">
      <c r="G9236">
        <v>2</v>
      </c>
      <c r="H9236">
        <v>2</v>
      </c>
      <c r="I9236">
        <v>1</v>
      </c>
      <c r="J9236">
        <v>1</v>
      </c>
    </row>
    <row r="9237" spans="7:10">
      <c r="G9237">
        <v>2</v>
      </c>
      <c r="H9237">
        <v>2</v>
      </c>
      <c r="I9237">
        <v>1</v>
      </c>
      <c r="J9237">
        <v>2</v>
      </c>
    </row>
    <row r="9238" spans="7:10">
      <c r="G9238">
        <v>2</v>
      </c>
      <c r="H9238">
        <v>2</v>
      </c>
      <c r="I9238">
        <v>2</v>
      </c>
      <c r="J9238">
        <v>1</v>
      </c>
    </row>
    <row r="9239" spans="7:10">
      <c r="G9239">
        <v>2</v>
      </c>
      <c r="H9239">
        <v>2</v>
      </c>
      <c r="I9239">
        <v>2</v>
      </c>
      <c r="J9239">
        <v>2</v>
      </c>
    </row>
    <row r="9240" spans="7:10">
      <c r="G9240">
        <v>2</v>
      </c>
      <c r="H9240">
        <v>2</v>
      </c>
      <c r="I9240">
        <v>3</v>
      </c>
      <c r="J9240">
        <v>1</v>
      </c>
    </row>
    <row r="9241" spans="7:10">
      <c r="G9241">
        <v>2</v>
      </c>
      <c r="H9241">
        <v>2</v>
      </c>
      <c r="I9241">
        <v>3</v>
      </c>
      <c r="J9241">
        <v>2</v>
      </c>
    </row>
    <row r="9242" spans="7:10">
      <c r="G9242">
        <v>2</v>
      </c>
      <c r="H9242">
        <v>2</v>
      </c>
      <c r="I9242">
        <v>4</v>
      </c>
      <c r="J9242">
        <v>1</v>
      </c>
    </row>
    <row r="9243" spans="7:10">
      <c r="G9243">
        <v>2</v>
      </c>
      <c r="H9243">
        <v>2</v>
      </c>
      <c r="I9243">
        <v>4</v>
      </c>
      <c r="J9243">
        <v>2</v>
      </c>
    </row>
    <row r="9244" spans="7:10">
      <c r="G9244">
        <v>2</v>
      </c>
      <c r="H9244">
        <v>2</v>
      </c>
      <c r="I9244">
        <v>5</v>
      </c>
      <c r="J9244">
        <v>1</v>
      </c>
    </row>
    <row r="9245" spans="7:10">
      <c r="G9245">
        <v>2</v>
      </c>
      <c r="H9245">
        <v>2</v>
      </c>
      <c r="I9245">
        <v>5</v>
      </c>
      <c r="J9245">
        <v>2</v>
      </c>
    </row>
    <row r="9246" spans="7:10">
      <c r="G9246">
        <v>2</v>
      </c>
      <c r="H9246">
        <v>3</v>
      </c>
      <c r="I9246">
        <v>1</v>
      </c>
      <c r="J9246">
        <v>1</v>
      </c>
    </row>
    <row r="9247" spans="7:10">
      <c r="G9247">
        <v>2</v>
      </c>
      <c r="H9247">
        <v>3</v>
      </c>
      <c r="I9247">
        <v>1</v>
      </c>
      <c r="J9247">
        <v>2</v>
      </c>
    </row>
    <row r="9248" spans="7:10">
      <c r="G9248">
        <v>2</v>
      </c>
      <c r="H9248">
        <v>3</v>
      </c>
      <c r="I9248">
        <v>2</v>
      </c>
      <c r="J9248">
        <v>1</v>
      </c>
    </row>
    <row r="9249" spans="7:10">
      <c r="G9249">
        <v>2</v>
      </c>
      <c r="H9249">
        <v>3</v>
      </c>
      <c r="I9249">
        <v>2</v>
      </c>
      <c r="J9249">
        <v>2</v>
      </c>
    </row>
    <row r="9250" spans="7:10">
      <c r="G9250">
        <v>2</v>
      </c>
      <c r="H9250">
        <v>3</v>
      </c>
      <c r="I9250">
        <v>3</v>
      </c>
      <c r="J9250">
        <v>1</v>
      </c>
    </row>
    <row r="9251" spans="7:10">
      <c r="G9251">
        <v>2</v>
      </c>
      <c r="H9251">
        <v>3</v>
      </c>
      <c r="I9251">
        <v>3</v>
      </c>
      <c r="J9251">
        <v>2</v>
      </c>
    </row>
    <row r="9252" spans="7:10">
      <c r="G9252">
        <v>2</v>
      </c>
      <c r="H9252">
        <v>3</v>
      </c>
      <c r="I9252">
        <v>4</v>
      </c>
      <c r="J9252">
        <v>1</v>
      </c>
    </row>
    <row r="9253" spans="7:10">
      <c r="G9253">
        <v>2</v>
      </c>
      <c r="H9253">
        <v>3</v>
      </c>
      <c r="I9253">
        <v>4</v>
      </c>
      <c r="J9253">
        <v>2</v>
      </c>
    </row>
    <row r="9254" spans="7:10">
      <c r="G9254">
        <v>2</v>
      </c>
      <c r="H9254">
        <v>3</v>
      </c>
      <c r="I9254">
        <v>5</v>
      </c>
      <c r="J9254">
        <v>1</v>
      </c>
    </row>
    <row r="9255" spans="7:10">
      <c r="G9255">
        <v>2</v>
      </c>
      <c r="H9255">
        <v>3</v>
      </c>
      <c r="I9255">
        <v>5</v>
      </c>
      <c r="J9255">
        <v>2</v>
      </c>
    </row>
    <row r="9256" spans="7:10">
      <c r="G9256">
        <v>3</v>
      </c>
      <c r="H9256">
        <v>1</v>
      </c>
      <c r="I9256">
        <v>3</v>
      </c>
      <c r="J9256">
        <v>1</v>
      </c>
    </row>
    <row r="9257" spans="7:10">
      <c r="G9257">
        <v>3</v>
      </c>
      <c r="H9257">
        <v>1</v>
      </c>
      <c r="I9257">
        <v>3</v>
      </c>
      <c r="J9257">
        <v>2</v>
      </c>
    </row>
    <row r="9258" spans="7:10">
      <c r="G9258">
        <v>3</v>
      </c>
      <c r="H9258">
        <v>1</v>
      </c>
      <c r="I9258">
        <v>4</v>
      </c>
      <c r="J9258">
        <v>1</v>
      </c>
    </row>
    <row r="9259" spans="7:10">
      <c r="G9259">
        <v>3</v>
      </c>
      <c r="H9259">
        <v>1</v>
      </c>
      <c r="I9259">
        <v>4</v>
      </c>
      <c r="J9259">
        <v>2</v>
      </c>
    </row>
    <row r="9260" spans="7:10">
      <c r="G9260">
        <v>3</v>
      </c>
      <c r="H9260">
        <v>1</v>
      </c>
      <c r="I9260">
        <v>5</v>
      </c>
      <c r="J9260">
        <v>1</v>
      </c>
    </row>
    <row r="9261" spans="7:10">
      <c r="G9261">
        <v>3</v>
      </c>
      <c r="H9261">
        <v>1</v>
      </c>
      <c r="I9261">
        <v>5</v>
      </c>
      <c r="J9261">
        <v>2</v>
      </c>
    </row>
    <row r="9262" spans="7:10">
      <c r="G9262">
        <v>3</v>
      </c>
      <c r="H9262">
        <v>2</v>
      </c>
      <c r="I9262">
        <v>1</v>
      </c>
      <c r="J9262">
        <v>1</v>
      </c>
    </row>
    <row r="9263" spans="7:10">
      <c r="G9263">
        <v>3</v>
      </c>
      <c r="H9263">
        <v>2</v>
      </c>
      <c r="I9263">
        <v>1</v>
      </c>
      <c r="J9263">
        <v>2</v>
      </c>
    </row>
    <row r="9264" spans="7:10">
      <c r="G9264">
        <v>3</v>
      </c>
      <c r="H9264">
        <v>2</v>
      </c>
      <c r="I9264">
        <v>2</v>
      </c>
      <c r="J9264">
        <v>1</v>
      </c>
    </row>
    <row r="9265" spans="7:10">
      <c r="G9265">
        <v>3</v>
      </c>
      <c r="H9265">
        <v>2</v>
      </c>
      <c r="I9265">
        <v>2</v>
      </c>
      <c r="J9265">
        <v>2</v>
      </c>
    </row>
    <row r="9266" spans="7:10">
      <c r="G9266">
        <v>3</v>
      </c>
      <c r="H9266">
        <v>2</v>
      </c>
      <c r="I9266">
        <v>3</v>
      </c>
      <c r="J9266">
        <v>1</v>
      </c>
    </row>
    <row r="9267" spans="7:10">
      <c r="G9267">
        <v>3</v>
      </c>
      <c r="H9267">
        <v>2</v>
      </c>
      <c r="I9267">
        <v>3</v>
      </c>
      <c r="J9267">
        <v>2</v>
      </c>
    </row>
    <row r="9268" spans="7:10">
      <c r="G9268">
        <v>3</v>
      </c>
      <c r="H9268">
        <v>2</v>
      </c>
      <c r="I9268">
        <v>4</v>
      </c>
      <c r="J9268">
        <v>1</v>
      </c>
    </row>
    <row r="9269" spans="7:10">
      <c r="G9269">
        <v>3</v>
      </c>
      <c r="H9269">
        <v>2</v>
      </c>
      <c r="I9269">
        <v>4</v>
      </c>
      <c r="J9269">
        <v>2</v>
      </c>
    </row>
    <row r="9270" spans="7:10">
      <c r="G9270">
        <v>3</v>
      </c>
      <c r="H9270">
        <v>2</v>
      </c>
      <c r="I9270">
        <v>5</v>
      </c>
      <c r="J9270">
        <v>1</v>
      </c>
    </row>
    <row r="9271" spans="7:10">
      <c r="G9271">
        <v>3</v>
      </c>
      <c r="H9271">
        <v>2</v>
      </c>
      <c r="I9271">
        <v>5</v>
      </c>
      <c r="J9271">
        <v>2</v>
      </c>
    </row>
    <row r="9272" spans="7:10">
      <c r="G9272">
        <v>3</v>
      </c>
      <c r="H9272">
        <v>3</v>
      </c>
      <c r="I9272">
        <v>1</v>
      </c>
      <c r="J9272">
        <v>1</v>
      </c>
    </row>
    <row r="9273" spans="7:10">
      <c r="G9273">
        <v>3</v>
      </c>
      <c r="H9273">
        <v>3</v>
      </c>
      <c r="I9273">
        <v>1</v>
      </c>
      <c r="J9273">
        <v>2</v>
      </c>
    </row>
    <row r="9274" spans="7:10">
      <c r="G9274">
        <v>3</v>
      </c>
      <c r="H9274">
        <v>3</v>
      </c>
      <c r="I9274">
        <v>2</v>
      </c>
      <c r="J9274">
        <v>1</v>
      </c>
    </row>
    <row r="9275" spans="7:10">
      <c r="G9275">
        <v>3</v>
      </c>
      <c r="H9275">
        <v>3</v>
      </c>
      <c r="I9275">
        <v>2</v>
      </c>
      <c r="J9275">
        <v>2</v>
      </c>
    </row>
    <row r="9276" spans="7:10">
      <c r="G9276">
        <v>3</v>
      </c>
      <c r="H9276">
        <v>3</v>
      </c>
      <c r="I9276">
        <v>3</v>
      </c>
      <c r="J9276">
        <v>1</v>
      </c>
    </row>
    <row r="9277" spans="7:10">
      <c r="G9277">
        <v>3</v>
      </c>
      <c r="H9277">
        <v>3</v>
      </c>
      <c r="I9277">
        <v>3</v>
      </c>
      <c r="J9277">
        <v>2</v>
      </c>
    </row>
    <row r="9278" spans="7:10">
      <c r="G9278">
        <v>3</v>
      </c>
      <c r="H9278">
        <v>3</v>
      </c>
      <c r="I9278">
        <v>4</v>
      </c>
      <c r="J9278">
        <v>1</v>
      </c>
    </row>
    <row r="9279" spans="7:10">
      <c r="G9279">
        <v>3</v>
      </c>
      <c r="H9279">
        <v>3</v>
      </c>
      <c r="I9279">
        <v>4</v>
      </c>
      <c r="J9279">
        <v>2</v>
      </c>
    </row>
    <row r="9280" spans="7:10">
      <c r="G9280">
        <v>3</v>
      </c>
      <c r="H9280">
        <v>3</v>
      </c>
      <c r="I9280">
        <v>5</v>
      </c>
      <c r="J9280">
        <v>1</v>
      </c>
    </row>
    <row r="9281" spans="7:10">
      <c r="G9281">
        <v>3</v>
      </c>
      <c r="H9281">
        <v>3</v>
      </c>
      <c r="I9281">
        <v>5</v>
      </c>
      <c r="J9281">
        <v>2</v>
      </c>
    </row>
    <row r="9282" spans="7:10">
      <c r="G9282">
        <v>4</v>
      </c>
      <c r="H9282">
        <v>1</v>
      </c>
      <c r="I9282">
        <v>3</v>
      </c>
      <c r="J9282">
        <v>1</v>
      </c>
    </row>
    <row r="9283" spans="7:10">
      <c r="G9283">
        <v>4</v>
      </c>
      <c r="H9283">
        <v>1</v>
      </c>
      <c r="I9283">
        <v>3</v>
      </c>
      <c r="J9283">
        <v>2</v>
      </c>
    </row>
    <row r="9284" spans="7:10">
      <c r="G9284">
        <v>4</v>
      </c>
      <c r="H9284">
        <v>1</v>
      </c>
      <c r="I9284">
        <v>4</v>
      </c>
      <c r="J9284">
        <v>1</v>
      </c>
    </row>
    <row r="9285" spans="7:10">
      <c r="G9285">
        <v>4</v>
      </c>
      <c r="H9285">
        <v>1</v>
      </c>
      <c r="I9285">
        <v>4</v>
      </c>
      <c r="J9285">
        <v>2</v>
      </c>
    </row>
    <row r="9286" spans="7:10">
      <c r="G9286">
        <v>4</v>
      </c>
      <c r="H9286">
        <v>1</v>
      </c>
      <c r="I9286">
        <v>5</v>
      </c>
      <c r="J9286">
        <v>1</v>
      </c>
    </row>
    <row r="9287" spans="7:10">
      <c r="G9287">
        <v>4</v>
      </c>
      <c r="H9287">
        <v>1</v>
      </c>
      <c r="I9287">
        <v>5</v>
      </c>
      <c r="J9287">
        <v>2</v>
      </c>
    </row>
    <row r="9288" spans="7:10">
      <c r="G9288">
        <v>4</v>
      </c>
      <c r="H9288">
        <v>2</v>
      </c>
      <c r="I9288">
        <v>1</v>
      </c>
      <c r="J9288">
        <v>1</v>
      </c>
    </row>
    <row r="9289" spans="7:10">
      <c r="G9289">
        <v>4</v>
      </c>
      <c r="H9289">
        <v>2</v>
      </c>
      <c r="I9289">
        <v>1</v>
      </c>
      <c r="J9289">
        <v>2</v>
      </c>
    </row>
    <row r="9290" spans="7:10">
      <c r="G9290">
        <v>4</v>
      </c>
      <c r="H9290">
        <v>2</v>
      </c>
      <c r="I9290">
        <v>2</v>
      </c>
      <c r="J9290">
        <v>1</v>
      </c>
    </row>
    <row r="9291" spans="7:10">
      <c r="G9291">
        <v>4</v>
      </c>
      <c r="H9291">
        <v>2</v>
      </c>
      <c r="I9291">
        <v>2</v>
      </c>
      <c r="J9291">
        <v>2</v>
      </c>
    </row>
    <row r="9292" spans="7:10">
      <c r="G9292">
        <v>4</v>
      </c>
      <c r="H9292">
        <v>2</v>
      </c>
      <c r="I9292">
        <v>3</v>
      </c>
      <c r="J9292">
        <v>1</v>
      </c>
    </row>
    <row r="9293" spans="7:10">
      <c r="G9293">
        <v>4</v>
      </c>
      <c r="H9293">
        <v>2</v>
      </c>
      <c r="I9293">
        <v>3</v>
      </c>
      <c r="J9293">
        <v>2</v>
      </c>
    </row>
    <row r="9294" spans="7:10">
      <c r="G9294">
        <v>4</v>
      </c>
      <c r="H9294">
        <v>2</v>
      </c>
      <c r="I9294">
        <v>4</v>
      </c>
      <c r="J9294">
        <v>1</v>
      </c>
    </row>
    <row r="9295" spans="7:10">
      <c r="G9295">
        <v>4</v>
      </c>
      <c r="H9295">
        <v>2</v>
      </c>
      <c r="I9295">
        <v>4</v>
      </c>
      <c r="J9295">
        <v>2</v>
      </c>
    </row>
    <row r="9296" spans="7:10">
      <c r="G9296">
        <v>4</v>
      </c>
      <c r="H9296">
        <v>2</v>
      </c>
      <c r="I9296">
        <v>5</v>
      </c>
      <c r="J9296">
        <v>1</v>
      </c>
    </row>
    <row r="9297" spans="7:10">
      <c r="G9297">
        <v>4</v>
      </c>
      <c r="H9297">
        <v>2</v>
      </c>
      <c r="I9297">
        <v>5</v>
      </c>
      <c r="J9297">
        <v>2</v>
      </c>
    </row>
    <row r="9298" spans="7:10">
      <c r="G9298">
        <v>4</v>
      </c>
      <c r="H9298">
        <v>3</v>
      </c>
      <c r="I9298">
        <v>1</v>
      </c>
      <c r="J9298">
        <v>1</v>
      </c>
    </row>
    <row r="9299" spans="7:10">
      <c r="G9299">
        <v>4</v>
      </c>
      <c r="H9299">
        <v>3</v>
      </c>
      <c r="I9299">
        <v>1</v>
      </c>
      <c r="J9299">
        <v>2</v>
      </c>
    </row>
    <row r="9300" spans="7:10">
      <c r="G9300">
        <v>4</v>
      </c>
      <c r="H9300">
        <v>3</v>
      </c>
      <c r="I9300">
        <v>2</v>
      </c>
      <c r="J9300">
        <v>1</v>
      </c>
    </row>
    <row r="9301" spans="7:10">
      <c r="G9301">
        <v>4</v>
      </c>
      <c r="H9301">
        <v>3</v>
      </c>
      <c r="I9301">
        <v>2</v>
      </c>
      <c r="J9301">
        <v>2</v>
      </c>
    </row>
    <row r="9302" spans="7:10">
      <c r="G9302">
        <v>4</v>
      </c>
      <c r="H9302">
        <v>3</v>
      </c>
      <c r="I9302">
        <v>3</v>
      </c>
      <c r="J9302">
        <v>1</v>
      </c>
    </row>
    <row r="9303" spans="7:10">
      <c r="G9303">
        <v>4</v>
      </c>
      <c r="H9303">
        <v>3</v>
      </c>
      <c r="I9303">
        <v>3</v>
      </c>
      <c r="J9303">
        <v>2</v>
      </c>
    </row>
    <row r="9304" spans="7:10">
      <c r="G9304">
        <v>4</v>
      </c>
      <c r="H9304">
        <v>3</v>
      </c>
      <c r="I9304">
        <v>4</v>
      </c>
      <c r="J9304">
        <v>1</v>
      </c>
    </row>
    <row r="9305" spans="7:10">
      <c r="G9305">
        <v>4</v>
      </c>
      <c r="H9305">
        <v>3</v>
      </c>
      <c r="I9305">
        <v>4</v>
      </c>
      <c r="J9305">
        <v>2</v>
      </c>
    </row>
    <row r="9306" spans="7:10">
      <c r="G9306">
        <v>4</v>
      </c>
      <c r="H9306">
        <v>3</v>
      </c>
      <c r="I9306">
        <v>5</v>
      </c>
      <c r="J9306">
        <v>1</v>
      </c>
    </row>
    <row r="9307" spans="7:10">
      <c r="G9307">
        <v>4</v>
      </c>
      <c r="H9307">
        <v>3</v>
      </c>
      <c r="I9307">
        <v>5</v>
      </c>
      <c r="J9307">
        <v>2</v>
      </c>
    </row>
    <row r="9308" spans="7:10">
      <c r="G9308">
        <v>1</v>
      </c>
      <c r="H9308">
        <v>2</v>
      </c>
      <c r="I9308">
        <v>1</v>
      </c>
      <c r="J9308">
        <v>1</v>
      </c>
    </row>
    <row r="9309" spans="7:10">
      <c r="G9309">
        <v>1</v>
      </c>
      <c r="H9309">
        <v>2</v>
      </c>
      <c r="I9309">
        <v>1</v>
      </c>
      <c r="J9309">
        <v>2</v>
      </c>
    </row>
    <row r="9310" spans="7:10">
      <c r="G9310">
        <v>1</v>
      </c>
      <c r="H9310">
        <v>2</v>
      </c>
      <c r="I9310">
        <v>2</v>
      </c>
      <c r="J9310">
        <v>1</v>
      </c>
    </row>
    <row r="9311" spans="7:10">
      <c r="G9311">
        <v>1</v>
      </c>
      <c r="H9311">
        <v>2</v>
      </c>
      <c r="I9311">
        <v>2</v>
      </c>
      <c r="J9311">
        <v>2</v>
      </c>
    </row>
    <row r="9312" spans="7:10">
      <c r="G9312">
        <v>1</v>
      </c>
      <c r="H9312">
        <v>2</v>
      </c>
      <c r="I9312">
        <v>3</v>
      </c>
      <c r="J9312">
        <v>1</v>
      </c>
    </row>
    <row r="9313" spans="7:10">
      <c r="G9313">
        <v>1</v>
      </c>
      <c r="H9313">
        <v>2</v>
      </c>
      <c r="I9313">
        <v>3</v>
      </c>
      <c r="J9313">
        <v>2</v>
      </c>
    </row>
    <row r="9314" spans="7:10">
      <c r="G9314">
        <v>1</v>
      </c>
      <c r="H9314">
        <v>2</v>
      </c>
      <c r="I9314">
        <v>4</v>
      </c>
      <c r="J9314">
        <v>1</v>
      </c>
    </row>
    <row r="9315" spans="7:10">
      <c r="G9315">
        <v>1</v>
      </c>
      <c r="H9315">
        <v>2</v>
      </c>
      <c r="I9315">
        <v>4</v>
      </c>
      <c r="J9315">
        <v>2</v>
      </c>
    </row>
    <row r="9316" spans="7:10">
      <c r="G9316">
        <v>1</v>
      </c>
      <c r="H9316">
        <v>2</v>
      </c>
      <c r="I9316">
        <v>5</v>
      </c>
      <c r="J9316">
        <v>1</v>
      </c>
    </row>
    <row r="9317" spans="7:10">
      <c r="G9317">
        <v>1</v>
      </c>
      <c r="H9317">
        <v>2</v>
      </c>
      <c r="I9317">
        <v>5</v>
      </c>
      <c r="J9317">
        <v>2</v>
      </c>
    </row>
    <row r="9318" spans="7:10">
      <c r="G9318">
        <v>1</v>
      </c>
      <c r="H9318">
        <v>3</v>
      </c>
      <c r="I9318">
        <v>1</v>
      </c>
      <c r="J9318">
        <v>1</v>
      </c>
    </row>
    <row r="9319" spans="7:10">
      <c r="G9319">
        <v>1</v>
      </c>
      <c r="H9319">
        <v>3</v>
      </c>
      <c r="I9319">
        <v>1</v>
      </c>
      <c r="J9319">
        <v>2</v>
      </c>
    </row>
    <row r="9320" spans="7:10">
      <c r="G9320">
        <v>1</v>
      </c>
      <c r="H9320">
        <v>3</v>
      </c>
      <c r="I9320">
        <v>2</v>
      </c>
      <c r="J9320">
        <v>1</v>
      </c>
    </row>
    <row r="9321" spans="7:10">
      <c r="G9321">
        <v>1</v>
      </c>
      <c r="H9321">
        <v>3</v>
      </c>
      <c r="I9321">
        <v>2</v>
      </c>
      <c r="J9321">
        <v>2</v>
      </c>
    </row>
    <row r="9322" spans="7:10">
      <c r="G9322">
        <v>1</v>
      </c>
      <c r="H9322">
        <v>3</v>
      </c>
      <c r="I9322">
        <v>3</v>
      </c>
      <c r="J9322">
        <v>1</v>
      </c>
    </row>
    <row r="9323" spans="7:10">
      <c r="G9323">
        <v>1</v>
      </c>
      <c r="H9323">
        <v>3</v>
      </c>
      <c r="I9323">
        <v>3</v>
      </c>
      <c r="J9323">
        <v>2</v>
      </c>
    </row>
    <row r="9324" spans="7:10">
      <c r="G9324">
        <v>1</v>
      </c>
      <c r="H9324">
        <v>3</v>
      </c>
      <c r="I9324">
        <v>4</v>
      </c>
      <c r="J9324">
        <v>1</v>
      </c>
    </row>
    <row r="9325" spans="7:10">
      <c r="G9325">
        <v>1</v>
      </c>
      <c r="H9325">
        <v>3</v>
      </c>
      <c r="I9325">
        <v>4</v>
      </c>
      <c r="J9325">
        <v>2</v>
      </c>
    </row>
    <row r="9326" spans="7:10">
      <c r="G9326">
        <v>1</v>
      </c>
      <c r="H9326">
        <v>3</v>
      </c>
      <c r="I9326">
        <v>5</v>
      </c>
      <c r="J9326">
        <v>1</v>
      </c>
    </row>
    <row r="9327" spans="7:10">
      <c r="G9327">
        <v>1</v>
      </c>
      <c r="H9327">
        <v>3</v>
      </c>
      <c r="I9327">
        <v>5</v>
      </c>
      <c r="J9327">
        <v>2</v>
      </c>
    </row>
    <row r="9328" spans="7:10">
      <c r="G9328">
        <v>2</v>
      </c>
      <c r="H9328">
        <v>1</v>
      </c>
      <c r="I9328">
        <v>3</v>
      </c>
      <c r="J9328">
        <v>1</v>
      </c>
    </row>
    <row r="9329" spans="7:10">
      <c r="G9329">
        <v>2</v>
      </c>
      <c r="H9329">
        <v>1</v>
      </c>
      <c r="I9329">
        <v>3</v>
      </c>
      <c r="J9329">
        <v>2</v>
      </c>
    </row>
    <row r="9330" spans="7:10">
      <c r="G9330">
        <v>2</v>
      </c>
      <c r="H9330">
        <v>1</v>
      </c>
      <c r="I9330">
        <v>4</v>
      </c>
      <c r="J9330">
        <v>1</v>
      </c>
    </row>
    <row r="9331" spans="7:10">
      <c r="G9331">
        <v>2</v>
      </c>
      <c r="H9331">
        <v>1</v>
      </c>
      <c r="I9331">
        <v>4</v>
      </c>
      <c r="J9331">
        <v>2</v>
      </c>
    </row>
    <row r="9332" spans="7:10">
      <c r="G9332">
        <v>2</v>
      </c>
      <c r="H9332">
        <v>1</v>
      </c>
      <c r="I9332">
        <v>5</v>
      </c>
      <c r="J9332">
        <v>1</v>
      </c>
    </row>
    <row r="9333" spans="7:10">
      <c r="G9333">
        <v>2</v>
      </c>
      <c r="H9333">
        <v>1</v>
      </c>
      <c r="I9333">
        <v>5</v>
      </c>
      <c r="J9333">
        <v>2</v>
      </c>
    </row>
    <row r="9334" spans="7:10">
      <c r="G9334">
        <v>2</v>
      </c>
      <c r="H9334">
        <v>2</v>
      </c>
      <c r="I9334">
        <v>1</v>
      </c>
      <c r="J9334">
        <v>1</v>
      </c>
    </row>
    <row r="9335" spans="7:10">
      <c r="G9335">
        <v>2</v>
      </c>
      <c r="H9335">
        <v>2</v>
      </c>
      <c r="I9335">
        <v>1</v>
      </c>
      <c r="J9335">
        <v>2</v>
      </c>
    </row>
    <row r="9336" spans="7:10">
      <c r="G9336">
        <v>2</v>
      </c>
      <c r="H9336">
        <v>2</v>
      </c>
      <c r="I9336">
        <v>2</v>
      </c>
      <c r="J9336">
        <v>1</v>
      </c>
    </row>
    <row r="9337" spans="7:10">
      <c r="G9337">
        <v>2</v>
      </c>
      <c r="H9337">
        <v>2</v>
      </c>
      <c r="I9337">
        <v>2</v>
      </c>
      <c r="J9337">
        <v>2</v>
      </c>
    </row>
    <row r="9338" spans="7:10">
      <c r="G9338">
        <v>2</v>
      </c>
      <c r="H9338">
        <v>2</v>
      </c>
      <c r="I9338">
        <v>3</v>
      </c>
      <c r="J9338">
        <v>1</v>
      </c>
    </row>
    <row r="9339" spans="7:10">
      <c r="G9339">
        <v>2</v>
      </c>
      <c r="H9339">
        <v>2</v>
      </c>
      <c r="I9339">
        <v>3</v>
      </c>
      <c r="J9339">
        <v>2</v>
      </c>
    </row>
    <row r="9340" spans="7:10">
      <c r="G9340">
        <v>2</v>
      </c>
      <c r="H9340">
        <v>2</v>
      </c>
      <c r="I9340">
        <v>4</v>
      </c>
      <c r="J9340">
        <v>1</v>
      </c>
    </row>
    <row r="9341" spans="7:10">
      <c r="G9341">
        <v>2</v>
      </c>
      <c r="H9341">
        <v>2</v>
      </c>
      <c r="I9341">
        <v>4</v>
      </c>
      <c r="J9341">
        <v>2</v>
      </c>
    </row>
    <row r="9342" spans="7:10">
      <c r="G9342">
        <v>2</v>
      </c>
      <c r="H9342">
        <v>2</v>
      </c>
      <c r="I9342">
        <v>5</v>
      </c>
      <c r="J9342">
        <v>1</v>
      </c>
    </row>
    <row r="9343" spans="7:10">
      <c r="G9343">
        <v>2</v>
      </c>
      <c r="H9343">
        <v>2</v>
      </c>
      <c r="I9343">
        <v>5</v>
      </c>
      <c r="J9343">
        <v>2</v>
      </c>
    </row>
    <row r="9344" spans="7:10">
      <c r="G9344">
        <v>2</v>
      </c>
      <c r="H9344">
        <v>3</v>
      </c>
      <c r="I9344">
        <v>1</v>
      </c>
      <c r="J9344">
        <v>1</v>
      </c>
    </row>
    <row r="9345" spans="7:10">
      <c r="G9345">
        <v>2</v>
      </c>
      <c r="H9345">
        <v>3</v>
      </c>
      <c r="I9345">
        <v>1</v>
      </c>
      <c r="J9345">
        <v>2</v>
      </c>
    </row>
    <row r="9346" spans="7:10">
      <c r="G9346">
        <v>2</v>
      </c>
      <c r="H9346">
        <v>3</v>
      </c>
      <c r="I9346">
        <v>2</v>
      </c>
      <c r="J9346">
        <v>1</v>
      </c>
    </row>
    <row r="9347" spans="7:10">
      <c r="G9347">
        <v>2</v>
      </c>
      <c r="H9347">
        <v>3</v>
      </c>
      <c r="I9347">
        <v>2</v>
      </c>
      <c r="J9347">
        <v>2</v>
      </c>
    </row>
    <row r="9348" spans="7:10">
      <c r="G9348">
        <v>2</v>
      </c>
      <c r="H9348">
        <v>3</v>
      </c>
      <c r="I9348">
        <v>3</v>
      </c>
      <c r="J9348">
        <v>1</v>
      </c>
    </row>
    <row r="9349" spans="7:10">
      <c r="G9349">
        <v>2</v>
      </c>
      <c r="H9349">
        <v>3</v>
      </c>
      <c r="I9349">
        <v>3</v>
      </c>
      <c r="J9349">
        <v>2</v>
      </c>
    </row>
    <row r="9350" spans="7:10">
      <c r="G9350">
        <v>2</v>
      </c>
      <c r="H9350">
        <v>3</v>
      </c>
      <c r="I9350">
        <v>4</v>
      </c>
      <c r="J9350">
        <v>1</v>
      </c>
    </row>
    <row r="9351" spans="7:10">
      <c r="G9351">
        <v>2</v>
      </c>
      <c r="H9351">
        <v>3</v>
      </c>
      <c r="I9351">
        <v>4</v>
      </c>
      <c r="J9351">
        <v>2</v>
      </c>
    </row>
    <row r="9352" spans="7:10">
      <c r="G9352">
        <v>2</v>
      </c>
      <c r="H9352">
        <v>3</v>
      </c>
      <c r="I9352">
        <v>5</v>
      </c>
      <c r="J9352">
        <v>1</v>
      </c>
    </row>
    <row r="9353" spans="7:10">
      <c r="G9353">
        <v>2</v>
      </c>
      <c r="H9353">
        <v>3</v>
      </c>
      <c r="I9353">
        <v>5</v>
      </c>
      <c r="J9353">
        <v>2</v>
      </c>
    </row>
    <row r="9354" spans="7:10">
      <c r="G9354">
        <v>3</v>
      </c>
      <c r="H9354">
        <v>1</v>
      </c>
      <c r="I9354">
        <v>3</v>
      </c>
      <c r="J9354">
        <v>1</v>
      </c>
    </row>
    <row r="9355" spans="7:10">
      <c r="G9355">
        <v>3</v>
      </c>
      <c r="H9355">
        <v>1</v>
      </c>
      <c r="I9355">
        <v>3</v>
      </c>
      <c r="J9355">
        <v>2</v>
      </c>
    </row>
    <row r="9356" spans="7:10">
      <c r="G9356">
        <v>3</v>
      </c>
      <c r="H9356">
        <v>1</v>
      </c>
      <c r="I9356">
        <v>4</v>
      </c>
      <c r="J9356">
        <v>1</v>
      </c>
    </row>
    <row r="9357" spans="7:10">
      <c r="G9357">
        <v>3</v>
      </c>
      <c r="H9357">
        <v>1</v>
      </c>
      <c r="I9357">
        <v>4</v>
      </c>
      <c r="J9357">
        <v>2</v>
      </c>
    </row>
    <row r="9358" spans="7:10">
      <c r="G9358">
        <v>3</v>
      </c>
      <c r="H9358">
        <v>1</v>
      </c>
      <c r="I9358">
        <v>5</v>
      </c>
      <c r="J9358">
        <v>1</v>
      </c>
    </row>
    <row r="9359" spans="7:10">
      <c r="G9359">
        <v>3</v>
      </c>
      <c r="H9359">
        <v>1</v>
      </c>
      <c r="I9359">
        <v>5</v>
      </c>
      <c r="J9359">
        <v>2</v>
      </c>
    </row>
    <row r="9360" spans="7:10">
      <c r="G9360">
        <v>3</v>
      </c>
      <c r="H9360">
        <v>2</v>
      </c>
      <c r="I9360">
        <v>1</v>
      </c>
      <c r="J9360">
        <v>1</v>
      </c>
    </row>
    <row r="9361" spans="7:10">
      <c r="G9361">
        <v>3</v>
      </c>
      <c r="H9361">
        <v>2</v>
      </c>
      <c r="I9361">
        <v>1</v>
      </c>
      <c r="J9361">
        <v>2</v>
      </c>
    </row>
    <row r="9362" spans="7:10">
      <c r="G9362">
        <v>3</v>
      </c>
      <c r="H9362">
        <v>2</v>
      </c>
      <c r="I9362">
        <v>2</v>
      </c>
      <c r="J9362">
        <v>1</v>
      </c>
    </row>
    <row r="9363" spans="7:10">
      <c r="G9363">
        <v>3</v>
      </c>
      <c r="H9363">
        <v>2</v>
      </c>
      <c r="I9363">
        <v>2</v>
      </c>
      <c r="J9363">
        <v>2</v>
      </c>
    </row>
    <row r="9364" spans="7:10">
      <c r="G9364">
        <v>3</v>
      </c>
      <c r="H9364">
        <v>2</v>
      </c>
      <c r="I9364">
        <v>3</v>
      </c>
      <c r="J9364">
        <v>1</v>
      </c>
    </row>
    <row r="9365" spans="7:10">
      <c r="G9365">
        <v>3</v>
      </c>
      <c r="H9365">
        <v>2</v>
      </c>
      <c r="I9365">
        <v>3</v>
      </c>
      <c r="J9365">
        <v>2</v>
      </c>
    </row>
    <row r="9366" spans="7:10">
      <c r="G9366">
        <v>3</v>
      </c>
      <c r="H9366">
        <v>2</v>
      </c>
      <c r="I9366">
        <v>4</v>
      </c>
      <c r="J9366">
        <v>1</v>
      </c>
    </row>
    <row r="9367" spans="7:10">
      <c r="G9367">
        <v>3</v>
      </c>
      <c r="H9367">
        <v>2</v>
      </c>
      <c r="I9367">
        <v>4</v>
      </c>
      <c r="J9367">
        <v>2</v>
      </c>
    </row>
    <row r="9368" spans="7:10">
      <c r="G9368">
        <v>3</v>
      </c>
      <c r="H9368">
        <v>2</v>
      </c>
      <c r="I9368">
        <v>5</v>
      </c>
      <c r="J9368">
        <v>1</v>
      </c>
    </row>
    <row r="9369" spans="7:10">
      <c r="G9369">
        <v>3</v>
      </c>
      <c r="H9369">
        <v>2</v>
      </c>
      <c r="I9369">
        <v>5</v>
      </c>
      <c r="J9369">
        <v>2</v>
      </c>
    </row>
    <row r="9370" spans="7:10">
      <c r="G9370">
        <v>3</v>
      </c>
      <c r="H9370">
        <v>3</v>
      </c>
      <c r="I9370">
        <v>1</v>
      </c>
      <c r="J9370">
        <v>1</v>
      </c>
    </row>
    <row r="9371" spans="7:10">
      <c r="G9371">
        <v>3</v>
      </c>
      <c r="H9371">
        <v>3</v>
      </c>
      <c r="I9371">
        <v>1</v>
      </c>
      <c r="J9371">
        <v>2</v>
      </c>
    </row>
    <row r="9372" spans="7:10">
      <c r="G9372">
        <v>3</v>
      </c>
      <c r="H9372">
        <v>3</v>
      </c>
      <c r="I9372">
        <v>2</v>
      </c>
      <c r="J9372">
        <v>1</v>
      </c>
    </row>
    <row r="9373" spans="7:10">
      <c r="G9373">
        <v>3</v>
      </c>
      <c r="H9373">
        <v>3</v>
      </c>
      <c r="I9373">
        <v>2</v>
      </c>
      <c r="J9373">
        <v>2</v>
      </c>
    </row>
    <row r="9374" spans="7:10">
      <c r="G9374">
        <v>3</v>
      </c>
      <c r="H9374">
        <v>3</v>
      </c>
      <c r="I9374">
        <v>3</v>
      </c>
      <c r="J9374">
        <v>1</v>
      </c>
    </row>
    <row r="9375" spans="7:10">
      <c r="G9375">
        <v>3</v>
      </c>
      <c r="H9375">
        <v>3</v>
      </c>
      <c r="I9375">
        <v>3</v>
      </c>
      <c r="J9375">
        <v>2</v>
      </c>
    </row>
    <row r="9376" spans="7:10">
      <c r="G9376">
        <v>3</v>
      </c>
      <c r="H9376">
        <v>3</v>
      </c>
      <c r="I9376">
        <v>4</v>
      </c>
      <c r="J9376">
        <v>1</v>
      </c>
    </row>
    <row r="9377" spans="7:10">
      <c r="G9377">
        <v>3</v>
      </c>
      <c r="H9377">
        <v>3</v>
      </c>
      <c r="I9377">
        <v>4</v>
      </c>
      <c r="J9377">
        <v>2</v>
      </c>
    </row>
    <row r="9378" spans="7:10">
      <c r="G9378">
        <v>3</v>
      </c>
      <c r="H9378">
        <v>3</v>
      </c>
      <c r="I9378">
        <v>5</v>
      </c>
      <c r="J9378">
        <v>1</v>
      </c>
    </row>
    <row r="9379" spans="7:10">
      <c r="G9379">
        <v>3</v>
      </c>
      <c r="H9379">
        <v>3</v>
      </c>
      <c r="I9379">
        <v>5</v>
      </c>
      <c r="J9379">
        <v>2</v>
      </c>
    </row>
    <row r="9380" spans="7:10">
      <c r="G9380">
        <v>4</v>
      </c>
      <c r="H9380">
        <v>1</v>
      </c>
      <c r="I9380">
        <v>3</v>
      </c>
      <c r="J9380">
        <v>1</v>
      </c>
    </row>
    <row r="9381" spans="7:10">
      <c r="G9381">
        <v>4</v>
      </c>
      <c r="H9381">
        <v>1</v>
      </c>
      <c r="I9381">
        <v>3</v>
      </c>
      <c r="J9381">
        <v>2</v>
      </c>
    </row>
    <row r="9382" spans="7:10">
      <c r="G9382">
        <v>4</v>
      </c>
      <c r="H9382">
        <v>1</v>
      </c>
      <c r="I9382">
        <v>4</v>
      </c>
      <c r="J9382">
        <v>1</v>
      </c>
    </row>
    <row r="9383" spans="7:10">
      <c r="G9383">
        <v>4</v>
      </c>
      <c r="H9383">
        <v>1</v>
      </c>
      <c r="I9383">
        <v>4</v>
      </c>
      <c r="J9383">
        <v>2</v>
      </c>
    </row>
    <row r="9384" spans="7:10">
      <c r="G9384">
        <v>4</v>
      </c>
      <c r="H9384">
        <v>1</v>
      </c>
      <c r="I9384">
        <v>5</v>
      </c>
      <c r="J9384">
        <v>1</v>
      </c>
    </row>
    <row r="9385" spans="7:10">
      <c r="G9385">
        <v>4</v>
      </c>
      <c r="H9385">
        <v>1</v>
      </c>
      <c r="I9385">
        <v>5</v>
      </c>
      <c r="J9385">
        <v>2</v>
      </c>
    </row>
    <row r="9386" spans="7:10">
      <c r="G9386">
        <v>4</v>
      </c>
      <c r="H9386">
        <v>2</v>
      </c>
      <c r="I9386">
        <v>1</v>
      </c>
      <c r="J9386">
        <v>1</v>
      </c>
    </row>
    <row r="9387" spans="7:10">
      <c r="G9387">
        <v>4</v>
      </c>
      <c r="H9387">
        <v>2</v>
      </c>
      <c r="I9387">
        <v>1</v>
      </c>
      <c r="J9387">
        <v>2</v>
      </c>
    </row>
    <row r="9388" spans="7:10">
      <c r="G9388">
        <v>4</v>
      </c>
      <c r="H9388">
        <v>2</v>
      </c>
      <c r="I9388">
        <v>2</v>
      </c>
      <c r="J9388">
        <v>1</v>
      </c>
    </row>
    <row r="9389" spans="7:10">
      <c r="G9389">
        <v>4</v>
      </c>
      <c r="H9389">
        <v>2</v>
      </c>
      <c r="I9389">
        <v>2</v>
      </c>
      <c r="J9389">
        <v>2</v>
      </c>
    </row>
    <row r="9390" spans="7:10">
      <c r="G9390">
        <v>4</v>
      </c>
      <c r="H9390">
        <v>2</v>
      </c>
      <c r="I9390">
        <v>3</v>
      </c>
      <c r="J9390">
        <v>1</v>
      </c>
    </row>
    <row r="9391" spans="7:10">
      <c r="G9391">
        <v>4</v>
      </c>
      <c r="H9391">
        <v>2</v>
      </c>
      <c r="I9391">
        <v>3</v>
      </c>
      <c r="J9391">
        <v>2</v>
      </c>
    </row>
    <row r="9392" spans="7:10">
      <c r="G9392">
        <v>4</v>
      </c>
      <c r="H9392">
        <v>2</v>
      </c>
      <c r="I9392">
        <v>4</v>
      </c>
      <c r="J9392">
        <v>1</v>
      </c>
    </row>
    <row r="9393" spans="7:10">
      <c r="G9393">
        <v>4</v>
      </c>
      <c r="H9393">
        <v>2</v>
      </c>
      <c r="I9393">
        <v>4</v>
      </c>
      <c r="J9393">
        <v>2</v>
      </c>
    </row>
    <row r="9394" spans="7:10">
      <c r="G9394">
        <v>4</v>
      </c>
      <c r="H9394">
        <v>2</v>
      </c>
      <c r="I9394">
        <v>5</v>
      </c>
      <c r="J9394">
        <v>1</v>
      </c>
    </row>
    <row r="9395" spans="7:10">
      <c r="G9395">
        <v>4</v>
      </c>
      <c r="H9395">
        <v>2</v>
      </c>
      <c r="I9395">
        <v>5</v>
      </c>
      <c r="J9395">
        <v>2</v>
      </c>
    </row>
    <row r="9396" spans="7:10">
      <c r="G9396">
        <v>4</v>
      </c>
      <c r="H9396">
        <v>3</v>
      </c>
      <c r="I9396">
        <v>1</v>
      </c>
      <c r="J9396">
        <v>1</v>
      </c>
    </row>
    <row r="9397" spans="7:10">
      <c r="G9397">
        <v>4</v>
      </c>
      <c r="H9397">
        <v>3</v>
      </c>
      <c r="I9397">
        <v>1</v>
      </c>
      <c r="J9397">
        <v>2</v>
      </c>
    </row>
    <row r="9398" spans="7:10">
      <c r="G9398">
        <v>4</v>
      </c>
      <c r="H9398">
        <v>3</v>
      </c>
      <c r="I9398">
        <v>2</v>
      </c>
      <c r="J9398">
        <v>1</v>
      </c>
    </row>
    <row r="9399" spans="7:10">
      <c r="G9399">
        <v>4</v>
      </c>
      <c r="H9399">
        <v>3</v>
      </c>
      <c r="I9399">
        <v>2</v>
      </c>
      <c r="J9399">
        <v>2</v>
      </c>
    </row>
    <row r="9400" spans="7:10">
      <c r="G9400">
        <v>4</v>
      </c>
      <c r="H9400">
        <v>3</v>
      </c>
      <c r="I9400">
        <v>3</v>
      </c>
      <c r="J9400">
        <v>1</v>
      </c>
    </row>
    <row r="9401" spans="7:10">
      <c r="G9401">
        <v>4</v>
      </c>
      <c r="H9401">
        <v>3</v>
      </c>
      <c r="I9401">
        <v>3</v>
      </c>
      <c r="J9401">
        <v>2</v>
      </c>
    </row>
    <row r="9402" spans="7:10">
      <c r="G9402">
        <v>4</v>
      </c>
      <c r="H9402">
        <v>3</v>
      </c>
      <c r="I9402">
        <v>4</v>
      </c>
      <c r="J9402">
        <v>1</v>
      </c>
    </row>
    <row r="9403" spans="7:10">
      <c r="G9403">
        <v>4</v>
      </c>
      <c r="H9403">
        <v>3</v>
      </c>
      <c r="I9403">
        <v>4</v>
      </c>
      <c r="J9403">
        <v>2</v>
      </c>
    </row>
    <row r="9404" spans="7:10">
      <c r="G9404">
        <v>4</v>
      </c>
      <c r="H9404">
        <v>3</v>
      </c>
      <c r="I9404">
        <v>5</v>
      </c>
      <c r="J9404">
        <v>1</v>
      </c>
    </row>
    <row r="9405" spans="7:10">
      <c r="G9405">
        <v>4</v>
      </c>
      <c r="H9405">
        <v>3</v>
      </c>
      <c r="I9405">
        <v>5</v>
      </c>
      <c r="J9405">
        <v>2</v>
      </c>
    </row>
    <row r="9406" spans="7:10">
      <c r="G9406">
        <v>1</v>
      </c>
      <c r="H9406">
        <v>2</v>
      </c>
      <c r="I9406">
        <v>1</v>
      </c>
      <c r="J9406">
        <v>1</v>
      </c>
    </row>
    <row r="9407" spans="7:10">
      <c r="G9407">
        <v>1</v>
      </c>
      <c r="H9407">
        <v>2</v>
      </c>
      <c r="I9407">
        <v>1</v>
      </c>
      <c r="J9407">
        <v>2</v>
      </c>
    </row>
    <row r="9408" spans="7:10">
      <c r="G9408">
        <v>1</v>
      </c>
      <c r="H9408">
        <v>2</v>
      </c>
      <c r="I9408">
        <v>2</v>
      </c>
      <c r="J9408">
        <v>1</v>
      </c>
    </row>
    <row r="9409" spans="7:10">
      <c r="G9409">
        <v>1</v>
      </c>
      <c r="H9409">
        <v>2</v>
      </c>
      <c r="I9409">
        <v>2</v>
      </c>
      <c r="J9409">
        <v>2</v>
      </c>
    </row>
    <row r="9410" spans="7:10">
      <c r="G9410">
        <v>1</v>
      </c>
      <c r="H9410">
        <v>2</v>
      </c>
      <c r="I9410">
        <v>3</v>
      </c>
      <c r="J9410">
        <v>1</v>
      </c>
    </row>
    <row r="9411" spans="7:10">
      <c r="G9411">
        <v>1</v>
      </c>
      <c r="H9411">
        <v>2</v>
      </c>
      <c r="I9411">
        <v>3</v>
      </c>
      <c r="J9411">
        <v>2</v>
      </c>
    </row>
    <row r="9412" spans="7:10">
      <c r="G9412">
        <v>1</v>
      </c>
      <c r="H9412">
        <v>2</v>
      </c>
      <c r="I9412">
        <v>4</v>
      </c>
      <c r="J9412">
        <v>1</v>
      </c>
    </row>
    <row r="9413" spans="7:10">
      <c r="G9413">
        <v>1</v>
      </c>
      <c r="H9413">
        <v>2</v>
      </c>
      <c r="I9413">
        <v>4</v>
      </c>
      <c r="J9413">
        <v>2</v>
      </c>
    </row>
    <row r="9414" spans="7:10">
      <c r="G9414">
        <v>1</v>
      </c>
      <c r="H9414">
        <v>2</v>
      </c>
      <c r="I9414">
        <v>5</v>
      </c>
      <c r="J9414">
        <v>1</v>
      </c>
    </row>
    <row r="9415" spans="7:10">
      <c r="G9415">
        <v>1</v>
      </c>
      <c r="H9415">
        <v>2</v>
      </c>
      <c r="I9415">
        <v>5</v>
      </c>
      <c r="J9415">
        <v>2</v>
      </c>
    </row>
    <row r="9416" spans="7:10">
      <c r="G9416">
        <v>1</v>
      </c>
      <c r="H9416">
        <v>3</v>
      </c>
      <c r="I9416">
        <v>1</v>
      </c>
      <c r="J9416">
        <v>1</v>
      </c>
    </row>
    <row r="9417" spans="7:10">
      <c r="G9417">
        <v>1</v>
      </c>
      <c r="H9417">
        <v>3</v>
      </c>
      <c r="I9417">
        <v>1</v>
      </c>
      <c r="J9417">
        <v>2</v>
      </c>
    </row>
    <row r="9418" spans="7:10">
      <c r="G9418">
        <v>1</v>
      </c>
      <c r="H9418">
        <v>3</v>
      </c>
      <c r="I9418">
        <v>2</v>
      </c>
      <c r="J9418">
        <v>1</v>
      </c>
    </row>
    <row r="9419" spans="7:10">
      <c r="G9419">
        <v>1</v>
      </c>
      <c r="H9419">
        <v>3</v>
      </c>
      <c r="I9419">
        <v>2</v>
      </c>
      <c r="J9419">
        <v>2</v>
      </c>
    </row>
    <row r="9420" spans="7:10">
      <c r="G9420">
        <v>1</v>
      </c>
      <c r="H9420">
        <v>3</v>
      </c>
      <c r="I9420">
        <v>3</v>
      </c>
      <c r="J9420">
        <v>1</v>
      </c>
    </row>
    <row r="9421" spans="7:10">
      <c r="G9421">
        <v>1</v>
      </c>
      <c r="H9421">
        <v>3</v>
      </c>
      <c r="I9421">
        <v>3</v>
      </c>
      <c r="J9421">
        <v>2</v>
      </c>
    </row>
    <row r="9422" spans="7:10">
      <c r="G9422">
        <v>1</v>
      </c>
      <c r="H9422">
        <v>3</v>
      </c>
      <c r="I9422">
        <v>4</v>
      </c>
      <c r="J9422">
        <v>1</v>
      </c>
    </row>
    <row r="9423" spans="7:10">
      <c r="G9423">
        <v>1</v>
      </c>
      <c r="H9423">
        <v>3</v>
      </c>
      <c r="I9423">
        <v>4</v>
      </c>
      <c r="J9423">
        <v>2</v>
      </c>
    </row>
    <row r="9424" spans="7:10">
      <c r="G9424">
        <v>1</v>
      </c>
      <c r="H9424">
        <v>3</v>
      </c>
      <c r="I9424">
        <v>5</v>
      </c>
      <c r="J9424">
        <v>1</v>
      </c>
    </row>
    <row r="9425" spans="7:10">
      <c r="G9425">
        <v>1</v>
      </c>
      <c r="H9425">
        <v>3</v>
      </c>
      <c r="I9425">
        <v>5</v>
      </c>
      <c r="J9425">
        <v>2</v>
      </c>
    </row>
    <row r="9426" spans="7:10">
      <c r="G9426">
        <v>2</v>
      </c>
      <c r="H9426">
        <v>1</v>
      </c>
      <c r="I9426">
        <v>3</v>
      </c>
      <c r="J9426">
        <v>1</v>
      </c>
    </row>
    <row r="9427" spans="7:10">
      <c r="G9427">
        <v>2</v>
      </c>
      <c r="H9427">
        <v>1</v>
      </c>
      <c r="I9427">
        <v>3</v>
      </c>
      <c r="J9427">
        <v>2</v>
      </c>
    </row>
    <row r="9428" spans="7:10">
      <c r="G9428">
        <v>2</v>
      </c>
      <c r="H9428">
        <v>1</v>
      </c>
      <c r="I9428">
        <v>4</v>
      </c>
      <c r="J9428">
        <v>1</v>
      </c>
    </row>
    <row r="9429" spans="7:10">
      <c r="G9429">
        <v>2</v>
      </c>
      <c r="H9429">
        <v>1</v>
      </c>
      <c r="I9429">
        <v>4</v>
      </c>
      <c r="J9429">
        <v>2</v>
      </c>
    </row>
    <row r="9430" spans="7:10">
      <c r="G9430">
        <v>2</v>
      </c>
      <c r="H9430">
        <v>1</v>
      </c>
      <c r="I9430">
        <v>5</v>
      </c>
      <c r="J9430">
        <v>1</v>
      </c>
    </row>
    <row r="9431" spans="7:10">
      <c r="G9431">
        <v>2</v>
      </c>
      <c r="H9431">
        <v>1</v>
      </c>
      <c r="I9431">
        <v>5</v>
      </c>
      <c r="J9431">
        <v>2</v>
      </c>
    </row>
    <row r="9432" spans="7:10">
      <c r="G9432">
        <v>2</v>
      </c>
      <c r="H9432">
        <v>2</v>
      </c>
      <c r="I9432">
        <v>1</v>
      </c>
      <c r="J9432">
        <v>1</v>
      </c>
    </row>
    <row r="9433" spans="7:10">
      <c r="G9433">
        <v>2</v>
      </c>
      <c r="H9433">
        <v>2</v>
      </c>
      <c r="I9433">
        <v>1</v>
      </c>
      <c r="J9433">
        <v>2</v>
      </c>
    </row>
    <row r="9434" spans="7:10">
      <c r="G9434">
        <v>2</v>
      </c>
      <c r="H9434">
        <v>2</v>
      </c>
      <c r="I9434">
        <v>2</v>
      </c>
      <c r="J9434">
        <v>1</v>
      </c>
    </row>
    <row r="9435" spans="7:10">
      <c r="G9435">
        <v>2</v>
      </c>
      <c r="H9435">
        <v>2</v>
      </c>
      <c r="I9435">
        <v>2</v>
      </c>
      <c r="J9435">
        <v>2</v>
      </c>
    </row>
    <row r="9436" spans="7:10">
      <c r="G9436">
        <v>2</v>
      </c>
      <c r="H9436">
        <v>2</v>
      </c>
      <c r="I9436">
        <v>3</v>
      </c>
      <c r="J9436">
        <v>1</v>
      </c>
    </row>
    <row r="9437" spans="7:10">
      <c r="G9437">
        <v>2</v>
      </c>
      <c r="H9437">
        <v>2</v>
      </c>
      <c r="I9437">
        <v>3</v>
      </c>
      <c r="J9437">
        <v>2</v>
      </c>
    </row>
    <row r="9438" spans="7:10">
      <c r="G9438">
        <v>2</v>
      </c>
      <c r="H9438">
        <v>2</v>
      </c>
      <c r="I9438">
        <v>4</v>
      </c>
      <c r="J9438">
        <v>1</v>
      </c>
    </row>
    <row r="9439" spans="7:10">
      <c r="G9439">
        <v>2</v>
      </c>
      <c r="H9439">
        <v>2</v>
      </c>
      <c r="I9439">
        <v>4</v>
      </c>
      <c r="J9439">
        <v>2</v>
      </c>
    </row>
    <row r="9440" spans="7:10">
      <c r="G9440">
        <v>2</v>
      </c>
      <c r="H9440">
        <v>2</v>
      </c>
      <c r="I9440">
        <v>5</v>
      </c>
      <c r="J9440">
        <v>1</v>
      </c>
    </row>
    <row r="9441" spans="7:10">
      <c r="G9441">
        <v>2</v>
      </c>
      <c r="H9441">
        <v>2</v>
      </c>
      <c r="I9441">
        <v>5</v>
      </c>
      <c r="J9441">
        <v>2</v>
      </c>
    </row>
    <row r="9442" spans="7:10">
      <c r="G9442">
        <v>2</v>
      </c>
      <c r="H9442">
        <v>3</v>
      </c>
      <c r="I9442">
        <v>1</v>
      </c>
      <c r="J9442">
        <v>1</v>
      </c>
    </row>
    <row r="9443" spans="7:10">
      <c r="G9443">
        <v>2</v>
      </c>
      <c r="H9443">
        <v>3</v>
      </c>
      <c r="I9443">
        <v>1</v>
      </c>
      <c r="J9443">
        <v>2</v>
      </c>
    </row>
    <row r="9444" spans="7:10">
      <c r="G9444">
        <v>2</v>
      </c>
      <c r="H9444">
        <v>3</v>
      </c>
      <c r="I9444">
        <v>2</v>
      </c>
      <c r="J9444">
        <v>1</v>
      </c>
    </row>
    <row r="9445" spans="7:10">
      <c r="G9445">
        <v>2</v>
      </c>
      <c r="H9445">
        <v>3</v>
      </c>
      <c r="I9445">
        <v>2</v>
      </c>
      <c r="J9445">
        <v>2</v>
      </c>
    </row>
    <row r="9446" spans="7:10">
      <c r="G9446">
        <v>2</v>
      </c>
      <c r="H9446">
        <v>3</v>
      </c>
      <c r="I9446">
        <v>3</v>
      </c>
      <c r="J9446">
        <v>1</v>
      </c>
    </row>
    <row r="9447" spans="7:10">
      <c r="G9447">
        <v>2</v>
      </c>
      <c r="H9447">
        <v>3</v>
      </c>
      <c r="I9447">
        <v>3</v>
      </c>
      <c r="J9447">
        <v>2</v>
      </c>
    </row>
    <row r="9448" spans="7:10">
      <c r="G9448">
        <v>2</v>
      </c>
      <c r="H9448">
        <v>3</v>
      </c>
      <c r="I9448">
        <v>4</v>
      </c>
      <c r="J9448">
        <v>1</v>
      </c>
    </row>
    <row r="9449" spans="7:10">
      <c r="G9449">
        <v>2</v>
      </c>
      <c r="H9449">
        <v>3</v>
      </c>
      <c r="I9449">
        <v>4</v>
      </c>
      <c r="J9449">
        <v>2</v>
      </c>
    </row>
    <row r="9450" spans="7:10">
      <c r="G9450">
        <v>2</v>
      </c>
      <c r="H9450">
        <v>3</v>
      </c>
      <c r="I9450">
        <v>5</v>
      </c>
      <c r="J9450">
        <v>1</v>
      </c>
    </row>
    <row r="9451" spans="7:10">
      <c r="G9451">
        <v>2</v>
      </c>
      <c r="H9451">
        <v>3</v>
      </c>
      <c r="I9451">
        <v>5</v>
      </c>
      <c r="J9451">
        <v>2</v>
      </c>
    </row>
    <row r="9452" spans="7:10">
      <c r="G9452">
        <v>3</v>
      </c>
      <c r="H9452">
        <v>1</v>
      </c>
      <c r="I9452">
        <v>3</v>
      </c>
      <c r="J9452">
        <v>1</v>
      </c>
    </row>
    <row r="9453" spans="7:10">
      <c r="G9453">
        <v>3</v>
      </c>
      <c r="H9453">
        <v>1</v>
      </c>
      <c r="I9453">
        <v>3</v>
      </c>
      <c r="J9453">
        <v>2</v>
      </c>
    </row>
    <row r="9454" spans="7:10">
      <c r="G9454">
        <v>3</v>
      </c>
      <c r="H9454">
        <v>1</v>
      </c>
      <c r="I9454">
        <v>4</v>
      </c>
      <c r="J9454">
        <v>1</v>
      </c>
    </row>
    <row r="9455" spans="7:10">
      <c r="G9455">
        <v>3</v>
      </c>
      <c r="H9455">
        <v>1</v>
      </c>
      <c r="I9455">
        <v>4</v>
      </c>
      <c r="J9455">
        <v>2</v>
      </c>
    </row>
    <row r="9456" spans="7:10">
      <c r="G9456">
        <v>3</v>
      </c>
      <c r="H9456">
        <v>1</v>
      </c>
      <c r="I9456">
        <v>5</v>
      </c>
      <c r="J9456">
        <v>1</v>
      </c>
    </row>
    <row r="9457" spans="7:10">
      <c r="G9457">
        <v>3</v>
      </c>
      <c r="H9457">
        <v>1</v>
      </c>
      <c r="I9457">
        <v>5</v>
      </c>
      <c r="J9457">
        <v>2</v>
      </c>
    </row>
    <row r="9458" spans="7:10">
      <c r="G9458">
        <v>3</v>
      </c>
      <c r="H9458">
        <v>2</v>
      </c>
      <c r="I9458">
        <v>1</v>
      </c>
      <c r="J9458">
        <v>1</v>
      </c>
    </row>
    <row r="9459" spans="7:10">
      <c r="G9459">
        <v>3</v>
      </c>
      <c r="H9459">
        <v>2</v>
      </c>
      <c r="I9459">
        <v>1</v>
      </c>
      <c r="J9459">
        <v>2</v>
      </c>
    </row>
    <row r="9460" spans="7:10">
      <c r="G9460">
        <v>3</v>
      </c>
      <c r="H9460">
        <v>2</v>
      </c>
      <c r="I9460">
        <v>2</v>
      </c>
      <c r="J9460">
        <v>1</v>
      </c>
    </row>
    <row r="9461" spans="7:10">
      <c r="G9461">
        <v>3</v>
      </c>
      <c r="H9461">
        <v>2</v>
      </c>
      <c r="I9461">
        <v>2</v>
      </c>
      <c r="J9461">
        <v>2</v>
      </c>
    </row>
    <row r="9462" spans="7:10">
      <c r="G9462">
        <v>3</v>
      </c>
      <c r="H9462">
        <v>2</v>
      </c>
      <c r="I9462">
        <v>3</v>
      </c>
      <c r="J9462">
        <v>1</v>
      </c>
    </row>
    <row r="9463" spans="7:10">
      <c r="G9463">
        <v>3</v>
      </c>
      <c r="H9463">
        <v>2</v>
      </c>
      <c r="I9463">
        <v>3</v>
      </c>
      <c r="J9463">
        <v>2</v>
      </c>
    </row>
    <row r="9464" spans="7:10">
      <c r="G9464">
        <v>3</v>
      </c>
      <c r="H9464">
        <v>2</v>
      </c>
      <c r="I9464">
        <v>4</v>
      </c>
      <c r="J9464">
        <v>1</v>
      </c>
    </row>
    <row r="9465" spans="7:10">
      <c r="G9465">
        <v>3</v>
      </c>
      <c r="H9465">
        <v>2</v>
      </c>
      <c r="I9465">
        <v>4</v>
      </c>
      <c r="J9465">
        <v>2</v>
      </c>
    </row>
    <row r="9466" spans="7:10">
      <c r="G9466">
        <v>3</v>
      </c>
      <c r="H9466">
        <v>2</v>
      </c>
      <c r="I9466">
        <v>5</v>
      </c>
      <c r="J9466">
        <v>1</v>
      </c>
    </row>
    <row r="9467" spans="7:10">
      <c r="G9467">
        <v>3</v>
      </c>
      <c r="H9467">
        <v>2</v>
      </c>
      <c r="I9467">
        <v>5</v>
      </c>
      <c r="J9467">
        <v>2</v>
      </c>
    </row>
    <row r="9468" spans="7:10">
      <c r="G9468">
        <v>3</v>
      </c>
      <c r="H9468">
        <v>3</v>
      </c>
      <c r="I9468">
        <v>1</v>
      </c>
      <c r="J9468">
        <v>1</v>
      </c>
    </row>
    <row r="9469" spans="7:10">
      <c r="G9469">
        <v>3</v>
      </c>
      <c r="H9469">
        <v>3</v>
      </c>
      <c r="I9469">
        <v>1</v>
      </c>
      <c r="J9469">
        <v>2</v>
      </c>
    </row>
    <row r="9470" spans="7:10">
      <c r="G9470">
        <v>3</v>
      </c>
      <c r="H9470">
        <v>3</v>
      </c>
      <c r="I9470">
        <v>2</v>
      </c>
      <c r="J9470">
        <v>1</v>
      </c>
    </row>
    <row r="9471" spans="7:10">
      <c r="G9471">
        <v>3</v>
      </c>
      <c r="H9471">
        <v>3</v>
      </c>
      <c r="I9471">
        <v>2</v>
      </c>
      <c r="J9471">
        <v>2</v>
      </c>
    </row>
    <row r="9472" spans="7:10">
      <c r="G9472">
        <v>3</v>
      </c>
      <c r="H9472">
        <v>3</v>
      </c>
      <c r="I9472">
        <v>3</v>
      </c>
      <c r="J9472">
        <v>1</v>
      </c>
    </row>
    <row r="9473" spans="7:10">
      <c r="G9473">
        <v>3</v>
      </c>
      <c r="H9473">
        <v>3</v>
      </c>
      <c r="I9473">
        <v>3</v>
      </c>
      <c r="J9473">
        <v>2</v>
      </c>
    </row>
    <row r="9474" spans="7:10">
      <c r="G9474">
        <v>3</v>
      </c>
      <c r="H9474">
        <v>3</v>
      </c>
      <c r="I9474">
        <v>4</v>
      </c>
      <c r="J9474">
        <v>1</v>
      </c>
    </row>
    <row r="9475" spans="7:10">
      <c r="G9475">
        <v>3</v>
      </c>
      <c r="H9475">
        <v>3</v>
      </c>
      <c r="I9475">
        <v>4</v>
      </c>
      <c r="J9475">
        <v>2</v>
      </c>
    </row>
    <row r="9476" spans="7:10">
      <c r="G9476">
        <v>3</v>
      </c>
      <c r="H9476">
        <v>3</v>
      </c>
      <c r="I9476">
        <v>5</v>
      </c>
      <c r="J9476">
        <v>1</v>
      </c>
    </row>
    <row r="9477" spans="7:10">
      <c r="G9477">
        <v>3</v>
      </c>
      <c r="H9477">
        <v>3</v>
      </c>
      <c r="I9477">
        <v>5</v>
      </c>
      <c r="J9477">
        <v>2</v>
      </c>
    </row>
    <row r="9478" spans="7:10">
      <c r="G9478">
        <v>4</v>
      </c>
      <c r="H9478">
        <v>1</v>
      </c>
      <c r="I9478">
        <v>3</v>
      </c>
      <c r="J9478">
        <v>1</v>
      </c>
    </row>
    <row r="9479" spans="7:10">
      <c r="G9479">
        <v>4</v>
      </c>
      <c r="H9479">
        <v>1</v>
      </c>
      <c r="I9479">
        <v>3</v>
      </c>
      <c r="J9479">
        <v>2</v>
      </c>
    </row>
    <row r="9480" spans="7:10">
      <c r="G9480">
        <v>4</v>
      </c>
      <c r="H9480">
        <v>1</v>
      </c>
      <c r="I9480">
        <v>4</v>
      </c>
      <c r="J9480">
        <v>1</v>
      </c>
    </row>
    <row r="9481" spans="7:10">
      <c r="G9481">
        <v>4</v>
      </c>
      <c r="H9481">
        <v>1</v>
      </c>
      <c r="I9481">
        <v>4</v>
      </c>
      <c r="J9481">
        <v>2</v>
      </c>
    </row>
    <row r="9482" spans="7:10">
      <c r="G9482">
        <v>4</v>
      </c>
      <c r="H9482">
        <v>1</v>
      </c>
      <c r="I9482">
        <v>5</v>
      </c>
      <c r="J9482">
        <v>1</v>
      </c>
    </row>
    <row r="9483" spans="7:10">
      <c r="G9483">
        <v>4</v>
      </c>
      <c r="H9483">
        <v>1</v>
      </c>
      <c r="I9483">
        <v>5</v>
      </c>
      <c r="J9483">
        <v>2</v>
      </c>
    </row>
    <row r="9484" spans="7:10">
      <c r="G9484">
        <v>4</v>
      </c>
      <c r="H9484">
        <v>2</v>
      </c>
      <c r="I9484">
        <v>1</v>
      </c>
      <c r="J9484">
        <v>1</v>
      </c>
    </row>
    <row r="9485" spans="7:10">
      <c r="G9485">
        <v>4</v>
      </c>
      <c r="H9485">
        <v>2</v>
      </c>
      <c r="I9485">
        <v>1</v>
      </c>
      <c r="J9485">
        <v>2</v>
      </c>
    </row>
    <row r="9486" spans="7:10">
      <c r="G9486">
        <v>4</v>
      </c>
      <c r="H9486">
        <v>2</v>
      </c>
      <c r="I9486">
        <v>2</v>
      </c>
      <c r="J9486">
        <v>1</v>
      </c>
    </row>
    <row r="9487" spans="7:10">
      <c r="G9487">
        <v>4</v>
      </c>
      <c r="H9487">
        <v>2</v>
      </c>
      <c r="I9487">
        <v>2</v>
      </c>
      <c r="J9487">
        <v>2</v>
      </c>
    </row>
    <row r="9488" spans="7:10">
      <c r="G9488">
        <v>4</v>
      </c>
      <c r="H9488">
        <v>2</v>
      </c>
      <c r="I9488">
        <v>3</v>
      </c>
      <c r="J9488">
        <v>1</v>
      </c>
    </row>
    <row r="9489" spans="7:10">
      <c r="G9489">
        <v>4</v>
      </c>
      <c r="H9489">
        <v>2</v>
      </c>
      <c r="I9489">
        <v>3</v>
      </c>
      <c r="J9489">
        <v>2</v>
      </c>
    </row>
    <row r="9490" spans="7:10">
      <c r="G9490">
        <v>4</v>
      </c>
      <c r="H9490">
        <v>2</v>
      </c>
      <c r="I9490">
        <v>4</v>
      </c>
      <c r="J9490">
        <v>1</v>
      </c>
    </row>
    <row r="9491" spans="7:10">
      <c r="G9491">
        <v>4</v>
      </c>
      <c r="H9491">
        <v>2</v>
      </c>
      <c r="I9491">
        <v>4</v>
      </c>
      <c r="J9491">
        <v>2</v>
      </c>
    </row>
    <row r="9492" spans="7:10">
      <c r="G9492">
        <v>4</v>
      </c>
      <c r="H9492">
        <v>2</v>
      </c>
      <c r="I9492">
        <v>5</v>
      </c>
      <c r="J9492">
        <v>1</v>
      </c>
    </row>
    <row r="9493" spans="7:10">
      <c r="G9493">
        <v>4</v>
      </c>
      <c r="H9493">
        <v>2</v>
      </c>
      <c r="I9493">
        <v>5</v>
      </c>
      <c r="J9493">
        <v>2</v>
      </c>
    </row>
    <row r="9494" spans="7:10">
      <c r="G9494">
        <v>4</v>
      </c>
      <c r="H9494">
        <v>3</v>
      </c>
      <c r="I9494">
        <v>1</v>
      </c>
      <c r="J9494">
        <v>1</v>
      </c>
    </row>
    <row r="9495" spans="7:10">
      <c r="G9495">
        <v>4</v>
      </c>
      <c r="H9495">
        <v>3</v>
      </c>
      <c r="I9495">
        <v>1</v>
      </c>
      <c r="J9495">
        <v>2</v>
      </c>
    </row>
    <row r="9496" spans="7:10">
      <c r="G9496">
        <v>4</v>
      </c>
      <c r="H9496">
        <v>3</v>
      </c>
      <c r="I9496">
        <v>2</v>
      </c>
      <c r="J9496">
        <v>1</v>
      </c>
    </row>
    <row r="9497" spans="7:10">
      <c r="G9497">
        <v>4</v>
      </c>
      <c r="H9497">
        <v>3</v>
      </c>
      <c r="I9497">
        <v>2</v>
      </c>
      <c r="J9497">
        <v>2</v>
      </c>
    </row>
    <row r="9498" spans="7:10">
      <c r="G9498">
        <v>4</v>
      </c>
      <c r="H9498">
        <v>3</v>
      </c>
      <c r="I9498">
        <v>3</v>
      </c>
      <c r="J9498">
        <v>1</v>
      </c>
    </row>
    <row r="9499" spans="7:10">
      <c r="G9499">
        <v>4</v>
      </c>
      <c r="H9499">
        <v>3</v>
      </c>
      <c r="I9499">
        <v>3</v>
      </c>
      <c r="J9499">
        <v>2</v>
      </c>
    </row>
    <row r="9500" spans="7:10">
      <c r="G9500">
        <v>4</v>
      </c>
      <c r="H9500">
        <v>3</v>
      </c>
      <c r="I9500">
        <v>4</v>
      </c>
      <c r="J9500">
        <v>1</v>
      </c>
    </row>
    <row r="9501" spans="7:10">
      <c r="G9501">
        <v>4</v>
      </c>
      <c r="H9501">
        <v>3</v>
      </c>
      <c r="I9501">
        <v>4</v>
      </c>
      <c r="J9501">
        <v>2</v>
      </c>
    </row>
    <row r="9502" spans="7:10">
      <c r="G9502">
        <v>4</v>
      </c>
      <c r="H9502">
        <v>3</v>
      </c>
      <c r="I9502">
        <v>5</v>
      </c>
      <c r="J9502">
        <v>1</v>
      </c>
    </row>
    <row r="9503" spans="7:10">
      <c r="G9503">
        <v>4</v>
      </c>
      <c r="H9503">
        <v>3</v>
      </c>
      <c r="I9503">
        <v>5</v>
      </c>
      <c r="J9503">
        <v>2</v>
      </c>
    </row>
  </sheetData>
  <conditionalFormatting sqref="K1356:K1427">
    <cfRule type="colorScale" priority="3058">
      <colorScale>
        <cfvo type="min"/>
        <cfvo type="percentile" val="50"/>
        <cfvo type="max"/>
        <color rgb="FFF8696B"/>
        <color rgb="FFFFEB84"/>
        <color rgb="FF63BE7B"/>
      </colorScale>
    </cfRule>
  </conditionalFormatting>
  <conditionalFormatting sqref="K1428:K1505">
    <cfRule type="colorScale" priority="3057">
      <colorScale>
        <cfvo type="min"/>
        <cfvo type="percentile" val="50"/>
        <cfvo type="max"/>
        <color rgb="FFF8696B"/>
        <color rgb="FFFFEB84"/>
        <color rgb="FF63BE7B"/>
      </colorScale>
    </cfRule>
  </conditionalFormatting>
  <conditionalFormatting sqref="K1506:K1577">
    <cfRule type="colorScale" priority="3056">
      <colorScale>
        <cfvo type="min"/>
        <cfvo type="percentile" val="50"/>
        <cfvo type="max"/>
        <color rgb="FFF8696B"/>
        <color rgb="FFFFEB84"/>
        <color rgb="FF63BE7B"/>
      </colorScale>
    </cfRule>
  </conditionalFormatting>
  <conditionalFormatting sqref="K1578:K1649">
    <cfRule type="colorScale" priority="3055">
      <colorScale>
        <cfvo type="min"/>
        <cfvo type="percentile" val="50"/>
        <cfvo type="max"/>
        <color rgb="FFF8696B"/>
        <color rgb="FFFFEB84"/>
        <color rgb="FF63BE7B"/>
      </colorScale>
    </cfRule>
  </conditionalFormatting>
  <conditionalFormatting sqref="K1650:K1721">
    <cfRule type="colorScale" priority="3054">
      <colorScale>
        <cfvo type="min"/>
        <cfvo type="percentile" val="50"/>
        <cfvo type="max"/>
        <color rgb="FFF8696B"/>
        <color rgb="FFFFEB84"/>
        <color rgb="FF63BE7B"/>
      </colorScale>
    </cfRule>
  </conditionalFormatting>
  <conditionalFormatting sqref="K1722:K1799">
    <cfRule type="colorScale" priority="3053">
      <colorScale>
        <cfvo type="min"/>
        <cfvo type="percentile" val="50"/>
        <cfvo type="max"/>
        <color rgb="FFF8696B"/>
        <color rgb="FFFFEB84"/>
        <color rgb="FF63BE7B"/>
      </colorScale>
    </cfRule>
  </conditionalFormatting>
  <conditionalFormatting sqref="K1800:K1871">
    <cfRule type="colorScale" priority="3052">
      <colorScale>
        <cfvo type="min"/>
        <cfvo type="percentile" val="50"/>
        <cfvo type="max"/>
        <color rgb="FFF8696B"/>
        <color rgb="FFFFEB84"/>
        <color rgb="FF63BE7B"/>
      </colorScale>
    </cfRule>
  </conditionalFormatting>
  <conditionalFormatting sqref="K1872:K1943">
    <cfRule type="colorScale" priority="3051">
      <colorScale>
        <cfvo type="min"/>
        <cfvo type="percentile" val="50"/>
        <cfvo type="max"/>
        <color rgb="FFF8696B"/>
        <color rgb="FFFFEB84"/>
        <color rgb="FF63BE7B"/>
      </colorScale>
    </cfRule>
  </conditionalFormatting>
  <conditionalFormatting sqref="K1944:K2015">
    <cfRule type="colorScale" priority="3050">
      <colorScale>
        <cfvo type="min"/>
        <cfvo type="percentile" val="50"/>
        <cfvo type="max"/>
        <color rgb="FFF8696B"/>
        <color rgb="FFFFEB84"/>
        <color rgb="FF63BE7B"/>
      </colorScale>
    </cfRule>
  </conditionalFormatting>
  <conditionalFormatting sqref="K2016:K2093">
    <cfRule type="colorScale" priority="3049">
      <colorScale>
        <cfvo type="min"/>
        <cfvo type="percentile" val="50"/>
        <cfvo type="max"/>
        <color rgb="FFF8696B"/>
        <color rgb="FFFFEB84"/>
        <color rgb="FF63BE7B"/>
      </colorScale>
    </cfRule>
  </conditionalFormatting>
  <conditionalFormatting sqref="K2094:K2165">
    <cfRule type="colorScale" priority="3048">
      <colorScale>
        <cfvo type="min"/>
        <cfvo type="percentile" val="50"/>
        <cfvo type="max"/>
        <color rgb="FFF8696B"/>
        <color rgb="FFFFEB84"/>
        <color rgb="FF63BE7B"/>
      </colorScale>
    </cfRule>
  </conditionalFormatting>
  <conditionalFormatting sqref="K2166:K2237">
    <cfRule type="colorScale" priority="3047">
      <colorScale>
        <cfvo type="min"/>
        <cfvo type="percentile" val="50"/>
        <cfvo type="max"/>
        <color rgb="FFF8696B"/>
        <color rgb="FFFFEB84"/>
        <color rgb="FF63BE7B"/>
      </colorScale>
    </cfRule>
  </conditionalFormatting>
  <conditionalFormatting sqref="K2238:K2309">
    <cfRule type="colorScale" priority="3046">
      <colorScale>
        <cfvo type="min"/>
        <cfvo type="percentile" val="50"/>
        <cfvo type="max"/>
        <color rgb="FFF8696B"/>
        <color rgb="FFFFEB84"/>
        <color rgb="FF63BE7B"/>
      </colorScale>
    </cfRule>
  </conditionalFormatting>
  <conditionalFormatting sqref="K2310:K2381">
    <cfRule type="colorScale" priority="3045">
      <colorScale>
        <cfvo type="min"/>
        <cfvo type="percentile" val="50"/>
        <cfvo type="max"/>
        <color rgb="FFF8696B"/>
        <color rgb="FFFFEB84"/>
        <color rgb="FF63BE7B"/>
      </colorScale>
    </cfRule>
  </conditionalFormatting>
  <conditionalFormatting sqref="K2382:K2453">
    <cfRule type="colorScale" priority="3044">
      <colorScale>
        <cfvo type="min"/>
        <cfvo type="percentile" val="50"/>
        <cfvo type="max"/>
        <color rgb="FFF8696B"/>
        <color rgb="FFFFEB84"/>
        <color rgb="FF63BE7B"/>
      </colorScale>
    </cfRule>
  </conditionalFormatting>
  <conditionalFormatting sqref="K2454:K2525">
    <cfRule type="colorScale" priority="3043">
      <colorScale>
        <cfvo type="min"/>
        <cfvo type="percentile" val="50"/>
        <cfvo type="max"/>
        <color rgb="FFF8696B"/>
        <color rgb="FFFFEB84"/>
        <color rgb="FF63BE7B"/>
      </colorScale>
    </cfRule>
  </conditionalFormatting>
  <conditionalFormatting sqref="K2526:K2603">
    <cfRule type="colorScale" priority="3042">
      <colorScale>
        <cfvo type="min"/>
        <cfvo type="percentile" val="50"/>
        <cfvo type="max"/>
        <color rgb="FFF8696B"/>
        <color rgb="FFFFEB84"/>
        <color rgb="FF63BE7B"/>
      </colorScale>
    </cfRule>
  </conditionalFormatting>
  <conditionalFormatting sqref="K2604:K2675">
    <cfRule type="colorScale" priority="3041">
      <colorScale>
        <cfvo type="min"/>
        <cfvo type="percentile" val="50"/>
        <cfvo type="max"/>
        <color rgb="FFF8696B"/>
        <color rgb="FFFFEB84"/>
        <color rgb="FF63BE7B"/>
      </colorScale>
    </cfRule>
  </conditionalFormatting>
  <conditionalFormatting sqref="K2676:K2747">
    <cfRule type="colorScale" priority="3040">
      <colorScale>
        <cfvo type="min"/>
        <cfvo type="percentile" val="50"/>
        <cfvo type="max"/>
        <color rgb="FFF8696B"/>
        <color rgb="FFFFEB84"/>
        <color rgb="FF63BE7B"/>
      </colorScale>
    </cfRule>
  </conditionalFormatting>
  <conditionalFormatting sqref="K2748:K2819">
    <cfRule type="colorScale" priority="3039">
      <colorScale>
        <cfvo type="min"/>
        <cfvo type="percentile" val="50"/>
        <cfvo type="max"/>
        <color rgb="FFF8696B"/>
        <color rgb="FFFFEB84"/>
        <color rgb="FF63BE7B"/>
      </colorScale>
    </cfRule>
  </conditionalFormatting>
  <conditionalFormatting sqref="K2820:K2897">
    <cfRule type="colorScale" priority="3038">
      <colorScale>
        <cfvo type="min"/>
        <cfvo type="percentile" val="50"/>
        <cfvo type="max"/>
        <color rgb="FFF8696B"/>
        <color rgb="FFFFEB84"/>
        <color rgb="FF63BE7B"/>
      </colorScale>
    </cfRule>
  </conditionalFormatting>
  <conditionalFormatting sqref="K2898:K2969">
    <cfRule type="colorScale" priority="3037">
      <colorScale>
        <cfvo type="min"/>
        <cfvo type="percentile" val="50"/>
        <cfvo type="max"/>
        <color rgb="FFF8696B"/>
        <color rgb="FFFFEB84"/>
        <color rgb="FF63BE7B"/>
      </colorScale>
    </cfRule>
  </conditionalFormatting>
  <conditionalFormatting sqref="K2970:K3041">
    <cfRule type="colorScale" priority="3036">
      <colorScale>
        <cfvo type="min"/>
        <cfvo type="percentile" val="50"/>
        <cfvo type="max"/>
        <color rgb="FFF8696B"/>
        <color rgb="FFFFEB84"/>
        <color rgb="FF63BE7B"/>
      </colorScale>
    </cfRule>
  </conditionalFormatting>
  <conditionalFormatting sqref="K3042:K3113">
    <cfRule type="colorScale" priority="3035">
      <colorScale>
        <cfvo type="min"/>
        <cfvo type="percentile" val="50"/>
        <cfvo type="max"/>
        <color rgb="FFF8696B"/>
        <color rgb="FFFFEB84"/>
        <color rgb="FF63BE7B"/>
      </colorScale>
    </cfRule>
  </conditionalFormatting>
  <conditionalFormatting sqref="K3114:K3191">
    <cfRule type="colorScale" priority="3034">
      <colorScale>
        <cfvo type="min"/>
        <cfvo type="percentile" val="50"/>
        <cfvo type="max"/>
        <color rgb="FFF8696B"/>
        <color rgb="FFFFEB84"/>
        <color rgb="FF63BE7B"/>
      </colorScale>
    </cfRule>
  </conditionalFormatting>
  <conditionalFormatting sqref="K3192:K3263">
    <cfRule type="colorScale" priority="3033">
      <colorScale>
        <cfvo type="min"/>
        <cfvo type="percentile" val="50"/>
        <cfvo type="max"/>
        <color rgb="FFF8696B"/>
        <color rgb="FFFFEB84"/>
        <color rgb="FF63BE7B"/>
      </colorScale>
    </cfRule>
  </conditionalFormatting>
  <conditionalFormatting sqref="K3264:K3335">
    <cfRule type="colorScale" priority="3032">
      <colorScale>
        <cfvo type="min"/>
        <cfvo type="percentile" val="50"/>
        <cfvo type="max"/>
        <color rgb="FFF8696B"/>
        <color rgb="FFFFEB84"/>
        <color rgb="FF63BE7B"/>
      </colorScale>
    </cfRule>
  </conditionalFormatting>
  <conditionalFormatting sqref="K3336:K3407">
    <cfRule type="colorScale" priority="3031">
      <colorScale>
        <cfvo type="min"/>
        <cfvo type="percentile" val="50"/>
        <cfvo type="max"/>
        <color rgb="FFF8696B"/>
        <color rgb="FFFFEB84"/>
        <color rgb="FF63BE7B"/>
      </colorScale>
    </cfRule>
  </conditionalFormatting>
  <conditionalFormatting sqref="K3408:K3479">
    <cfRule type="colorScale" priority="3030">
      <colorScale>
        <cfvo type="min"/>
        <cfvo type="percentile" val="50"/>
        <cfvo type="max"/>
        <color rgb="FFF8696B"/>
        <color rgb="FFFFEB84"/>
        <color rgb="FF63BE7B"/>
      </colorScale>
    </cfRule>
  </conditionalFormatting>
  <conditionalFormatting sqref="K3480:K3551">
    <cfRule type="colorScale" priority="3029">
      <colorScale>
        <cfvo type="min"/>
        <cfvo type="percentile" val="50"/>
        <cfvo type="max"/>
        <color rgb="FFF8696B"/>
        <color rgb="FFFFEB84"/>
        <color rgb="FF63BE7B"/>
      </colorScale>
    </cfRule>
  </conditionalFormatting>
  <conditionalFormatting sqref="K3552:K3623">
    <cfRule type="colorScale" priority="3028">
      <colorScale>
        <cfvo type="min"/>
        <cfvo type="percentile" val="50"/>
        <cfvo type="max"/>
        <color rgb="FFF8696B"/>
        <color rgb="FFFFEB84"/>
        <color rgb="FF63BE7B"/>
      </colorScale>
    </cfRule>
  </conditionalFormatting>
  <conditionalFormatting sqref="K3624:K3701">
    <cfRule type="colorScale" priority="3027">
      <colorScale>
        <cfvo type="min"/>
        <cfvo type="percentile" val="50"/>
        <cfvo type="max"/>
        <color rgb="FFF8696B"/>
        <color rgb="FFFFEB84"/>
        <color rgb="FF63BE7B"/>
      </colorScale>
    </cfRule>
  </conditionalFormatting>
  <conditionalFormatting sqref="K3702:K3773">
    <cfRule type="colorScale" priority="3026">
      <colorScale>
        <cfvo type="min"/>
        <cfvo type="percentile" val="50"/>
        <cfvo type="max"/>
        <color rgb="FFF8696B"/>
        <color rgb="FFFFEB84"/>
        <color rgb="FF63BE7B"/>
      </colorScale>
    </cfRule>
  </conditionalFormatting>
  <conditionalFormatting sqref="K3774:K3845">
    <cfRule type="colorScale" priority="3025">
      <colorScale>
        <cfvo type="min"/>
        <cfvo type="percentile" val="50"/>
        <cfvo type="max"/>
        <color rgb="FFF8696B"/>
        <color rgb="FFFFEB84"/>
        <color rgb="FF63BE7B"/>
      </colorScale>
    </cfRule>
  </conditionalFormatting>
  <conditionalFormatting sqref="K3846:K3917">
    <cfRule type="colorScale" priority="3024">
      <colorScale>
        <cfvo type="min"/>
        <cfvo type="percentile" val="50"/>
        <cfvo type="max"/>
        <color rgb="FFF8696B"/>
        <color rgb="FFFFEB84"/>
        <color rgb="FF63BE7B"/>
      </colorScale>
    </cfRule>
  </conditionalFormatting>
  <conditionalFormatting sqref="K3918:K3995">
    <cfRule type="colorScale" priority="3023">
      <colorScale>
        <cfvo type="min"/>
        <cfvo type="percentile" val="50"/>
        <cfvo type="max"/>
        <color rgb="FFF8696B"/>
        <color rgb="FFFFEB84"/>
        <color rgb="FF63BE7B"/>
      </colorScale>
    </cfRule>
  </conditionalFormatting>
  <conditionalFormatting sqref="K3996:K4067">
    <cfRule type="colorScale" priority="3022">
      <colorScale>
        <cfvo type="min"/>
        <cfvo type="percentile" val="50"/>
        <cfvo type="max"/>
        <color rgb="FFF8696B"/>
        <color rgb="FFFFEB84"/>
        <color rgb="FF63BE7B"/>
      </colorScale>
    </cfRule>
  </conditionalFormatting>
  <conditionalFormatting sqref="K4068:K4139">
    <cfRule type="colorScale" priority="3021">
      <colorScale>
        <cfvo type="min"/>
        <cfvo type="percentile" val="50"/>
        <cfvo type="max"/>
        <color rgb="FFF8696B"/>
        <color rgb="FFFFEB84"/>
        <color rgb="FF63BE7B"/>
      </colorScale>
    </cfRule>
  </conditionalFormatting>
  <conditionalFormatting sqref="K4140:K4211">
    <cfRule type="colorScale" priority="3020">
      <colorScale>
        <cfvo type="min"/>
        <cfvo type="percentile" val="50"/>
        <cfvo type="max"/>
        <color rgb="FFF8696B"/>
        <color rgb="FFFFEB84"/>
        <color rgb="FF63BE7B"/>
      </colorScale>
    </cfRule>
  </conditionalFormatting>
  <conditionalFormatting sqref="K4212:K4289">
    <cfRule type="colorScale" priority="3019">
      <colorScale>
        <cfvo type="min"/>
        <cfvo type="percentile" val="50"/>
        <cfvo type="max"/>
        <color rgb="FFF8696B"/>
        <color rgb="FFFFEB84"/>
        <color rgb="FF63BE7B"/>
      </colorScale>
    </cfRule>
  </conditionalFormatting>
  <conditionalFormatting sqref="K4290:K4361">
    <cfRule type="colorScale" priority="3018">
      <colorScale>
        <cfvo type="min"/>
        <cfvo type="percentile" val="50"/>
        <cfvo type="max"/>
        <color rgb="FFF8696B"/>
        <color rgb="FFFFEB84"/>
        <color rgb="FF63BE7B"/>
      </colorScale>
    </cfRule>
  </conditionalFormatting>
  <conditionalFormatting sqref="K4362:K4433">
    <cfRule type="colorScale" priority="3017">
      <colorScale>
        <cfvo type="min"/>
        <cfvo type="percentile" val="50"/>
        <cfvo type="max"/>
        <color rgb="FFF8696B"/>
        <color rgb="FFFFEB84"/>
        <color rgb="FF63BE7B"/>
      </colorScale>
    </cfRule>
  </conditionalFormatting>
  <conditionalFormatting sqref="K4434:K4505">
    <cfRule type="colorScale" priority="3016">
      <colorScale>
        <cfvo type="min"/>
        <cfvo type="percentile" val="50"/>
        <cfvo type="max"/>
        <color rgb="FFF8696B"/>
        <color rgb="FFFFEB84"/>
        <color rgb="FF63BE7B"/>
      </colorScale>
    </cfRule>
  </conditionalFormatting>
  <conditionalFormatting sqref="D456:J533 E534:E827">
    <cfRule type="colorScale" priority="2914">
      <colorScale>
        <cfvo type="min"/>
        <cfvo type="percentile" val="50"/>
        <cfvo type="max"/>
        <color rgb="FFF8696B"/>
        <color rgb="FFFFEB84"/>
        <color rgb="FF63BE7B"/>
      </colorScale>
    </cfRule>
  </conditionalFormatting>
  <conditionalFormatting sqref="D486:J631">
    <cfRule type="colorScale" priority="2913">
      <colorScale>
        <cfvo type="min"/>
        <cfvo type="percentile" val="50"/>
        <cfvo type="max"/>
        <color rgb="FFF8696B"/>
        <color rgb="FFFFEB84"/>
        <color rgb="FF63BE7B"/>
      </colorScale>
    </cfRule>
  </conditionalFormatting>
  <conditionalFormatting sqref="D584:J729">
    <cfRule type="colorScale" priority="2912">
      <colorScale>
        <cfvo type="min"/>
        <cfvo type="percentile" val="50"/>
        <cfvo type="max"/>
        <color rgb="FFF8696B"/>
        <color rgb="FFFFEB84"/>
        <color rgb="FF63BE7B"/>
      </colorScale>
    </cfRule>
  </conditionalFormatting>
  <conditionalFormatting sqref="D682:J827">
    <cfRule type="colorScale" priority="2911">
      <colorScale>
        <cfvo type="min"/>
        <cfvo type="percentile" val="50"/>
        <cfvo type="max"/>
        <color rgb="FFF8696B"/>
        <color rgb="FFFFEB84"/>
        <color rgb="FF63BE7B"/>
      </colorScale>
    </cfRule>
  </conditionalFormatting>
  <conditionalFormatting sqref="D780:J905 E906:E1199">
    <cfRule type="colorScale" priority="2910">
      <colorScale>
        <cfvo type="min"/>
        <cfvo type="percentile" val="50"/>
        <cfvo type="max"/>
        <color rgb="FFF8696B"/>
        <color rgb="FFFFEB84"/>
        <color rgb="FF63BE7B"/>
      </colorScale>
    </cfRule>
  </conditionalFormatting>
  <conditionalFormatting sqref="D858:J1003">
    <cfRule type="colorScale" priority="2909">
      <colorScale>
        <cfvo type="min"/>
        <cfvo type="percentile" val="50"/>
        <cfvo type="max"/>
        <color rgb="FFF8696B"/>
        <color rgb="FFFFEB84"/>
        <color rgb="FF63BE7B"/>
      </colorScale>
    </cfRule>
  </conditionalFormatting>
  <conditionalFormatting sqref="D956:J1101">
    <cfRule type="colorScale" priority="2908">
      <colorScale>
        <cfvo type="min"/>
        <cfvo type="percentile" val="50"/>
        <cfvo type="max"/>
        <color rgb="FFF8696B"/>
        <color rgb="FFFFEB84"/>
        <color rgb="FF63BE7B"/>
      </colorScale>
    </cfRule>
  </conditionalFormatting>
  <conditionalFormatting sqref="D1054:J1199">
    <cfRule type="colorScale" priority="2907">
      <colorScale>
        <cfvo type="min"/>
        <cfvo type="percentile" val="50"/>
        <cfvo type="max"/>
        <color rgb="FFF8696B"/>
        <color rgb="FFFFEB84"/>
        <color rgb="FF63BE7B"/>
      </colorScale>
    </cfRule>
  </conditionalFormatting>
  <conditionalFormatting sqref="D1152:J1277 E1278:E1571">
    <cfRule type="colorScale" priority="2906">
      <colorScale>
        <cfvo type="min"/>
        <cfvo type="percentile" val="50"/>
        <cfvo type="max"/>
        <color rgb="FFF8696B"/>
        <color rgb="FFFFEB84"/>
        <color rgb="FF63BE7B"/>
      </colorScale>
    </cfRule>
  </conditionalFormatting>
  <conditionalFormatting sqref="D1230:J1375">
    <cfRule type="colorScale" priority="2905">
      <colorScale>
        <cfvo type="min"/>
        <cfvo type="percentile" val="50"/>
        <cfvo type="max"/>
        <color rgb="FFF8696B"/>
        <color rgb="FFFFEB84"/>
        <color rgb="FF63BE7B"/>
      </colorScale>
    </cfRule>
  </conditionalFormatting>
  <conditionalFormatting sqref="D1328:J1473">
    <cfRule type="colorScale" priority="2904">
      <colorScale>
        <cfvo type="min"/>
        <cfvo type="percentile" val="50"/>
        <cfvo type="max"/>
        <color rgb="FFF8696B"/>
        <color rgb="FFFFEB84"/>
        <color rgb="FF63BE7B"/>
      </colorScale>
    </cfRule>
  </conditionalFormatting>
  <conditionalFormatting sqref="D1426:J1571">
    <cfRule type="colorScale" priority="2903">
      <colorScale>
        <cfvo type="min"/>
        <cfvo type="percentile" val="50"/>
        <cfvo type="max"/>
        <color rgb="FFF8696B"/>
        <color rgb="FFFFEB84"/>
        <color rgb="FF63BE7B"/>
      </colorScale>
    </cfRule>
  </conditionalFormatting>
  <conditionalFormatting sqref="D1524:J1649 E1650:E1943">
    <cfRule type="colorScale" priority="2902">
      <colorScale>
        <cfvo type="min"/>
        <cfvo type="percentile" val="50"/>
        <cfvo type="max"/>
        <color rgb="FFF8696B"/>
        <color rgb="FFFFEB84"/>
        <color rgb="FF63BE7B"/>
      </colorScale>
    </cfRule>
  </conditionalFormatting>
  <conditionalFormatting sqref="D1602:J1747">
    <cfRule type="colorScale" priority="2901">
      <colorScale>
        <cfvo type="min"/>
        <cfvo type="percentile" val="50"/>
        <cfvo type="max"/>
        <color rgb="FFF8696B"/>
        <color rgb="FFFFEB84"/>
        <color rgb="FF63BE7B"/>
      </colorScale>
    </cfRule>
  </conditionalFormatting>
  <conditionalFormatting sqref="D1700:J1845">
    <cfRule type="colorScale" priority="2900">
      <colorScale>
        <cfvo type="min"/>
        <cfvo type="percentile" val="50"/>
        <cfvo type="max"/>
        <color rgb="FFF8696B"/>
        <color rgb="FFFFEB84"/>
        <color rgb="FF63BE7B"/>
      </colorScale>
    </cfRule>
  </conditionalFormatting>
  <conditionalFormatting sqref="D1798:J1943">
    <cfRule type="colorScale" priority="2899">
      <colorScale>
        <cfvo type="min"/>
        <cfvo type="percentile" val="50"/>
        <cfvo type="max"/>
        <color rgb="FFF8696B"/>
        <color rgb="FFFFEB84"/>
        <color rgb="FF63BE7B"/>
      </colorScale>
    </cfRule>
  </conditionalFormatting>
  <conditionalFormatting sqref="D1896:J2051 D2052:D3833">
    <cfRule type="colorScale" priority="2898">
      <colorScale>
        <cfvo type="min"/>
        <cfvo type="percentile" val="50"/>
        <cfvo type="max"/>
        <color rgb="FFF8696B"/>
        <color rgb="FFFFEB84"/>
        <color rgb="FF63BE7B"/>
      </colorScale>
    </cfRule>
  </conditionalFormatting>
  <conditionalFormatting sqref="D2004:J2149">
    <cfRule type="colorScale" priority="2897">
      <colorScale>
        <cfvo type="min"/>
        <cfvo type="percentile" val="50"/>
        <cfvo type="max"/>
        <color rgb="FFF8696B"/>
        <color rgb="FFFFEB84"/>
        <color rgb="FF63BE7B"/>
      </colorScale>
    </cfRule>
  </conditionalFormatting>
  <conditionalFormatting sqref="D2102:J2247">
    <cfRule type="colorScale" priority="2896">
      <colorScale>
        <cfvo type="min"/>
        <cfvo type="percentile" val="50"/>
        <cfvo type="max"/>
        <color rgb="FFF8696B"/>
        <color rgb="FFFFEB84"/>
        <color rgb="FF63BE7B"/>
      </colorScale>
    </cfRule>
  </conditionalFormatting>
  <conditionalFormatting sqref="D2200:J2345">
    <cfRule type="colorScale" priority="2895">
      <colorScale>
        <cfvo type="min"/>
        <cfvo type="percentile" val="50"/>
        <cfvo type="max"/>
        <color rgb="FFF8696B"/>
        <color rgb="FFFFEB84"/>
        <color rgb="FF63BE7B"/>
      </colorScale>
    </cfRule>
  </conditionalFormatting>
  <conditionalFormatting sqref="D2298:J2423 E2424:E2717">
    <cfRule type="colorScale" priority="2894">
      <colorScale>
        <cfvo type="min"/>
        <cfvo type="percentile" val="50"/>
        <cfvo type="max"/>
        <color rgb="FFF8696B"/>
        <color rgb="FFFFEB84"/>
        <color rgb="FF63BE7B"/>
      </colorScale>
    </cfRule>
  </conditionalFormatting>
  <conditionalFormatting sqref="D2376:J2521">
    <cfRule type="colorScale" priority="2893">
      <colorScale>
        <cfvo type="min"/>
        <cfvo type="percentile" val="50"/>
        <cfvo type="max"/>
        <color rgb="FFF8696B"/>
        <color rgb="FFFFEB84"/>
        <color rgb="FF63BE7B"/>
      </colorScale>
    </cfRule>
  </conditionalFormatting>
  <conditionalFormatting sqref="D2474:J2619">
    <cfRule type="colorScale" priority="2892">
      <colorScale>
        <cfvo type="min"/>
        <cfvo type="percentile" val="50"/>
        <cfvo type="max"/>
        <color rgb="FFF8696B"/>
        <color rgb="FFFFEB84"/>
        <color rgb="FF63BE7B"/>
      </colorScale>
    </cfRule>
  </conditionalFormatting>
  <conditionalFormatting sqref="D2572:J2717">
    <cfRule type="colorScale" priority="2891">
      <colorScale>
        <cfvo type="min"/>
        <cfvo type="percentile" val="50"/>
        <cfvo type="max"/>
        <color rgb="FFF8696B"/>
        <color rgb="FFFFEB84"/>
        <color rgb="FF63BE7B"/>
      </colorScale>
    </cfRule>
  </conditionalFormatting>
  <conditionalFormatting sqref="D2670:J2795 E2796:E3089">
    <cfRule type="colorScale" priority="2890">
      <colorScale>
        <cfvo type="min"/>
        <cfvo type="percentile" val="50"/>
        <cfvo type="max"/>
        <color rgb="FFF8696B"/>
        <color rgb="FFFFEB84"/>
        <color rgb="FF63BE7B"/>
      </colorScale>
    </cfRule>
  </conditionalFormatting>
  <conditionalFormatting sqref="D2748:J2893">
    <cfRule type="colorScale" priority="2889">
      <colorScale>
        <cfvo type="min"/>
        <cfvo type="percentile" val="50"/>
        <cfvo type="max"/>
        <color rgb="FFF8696B"/>
        <color rgb="FFFFEB84"/>
        <color rgb="FF63BE7B"/>
      </colorScale>
    </cfRule>
  </conditionalFormatting>
  <conditionalFormatting sqref="D2846:J2991">
    <cfRule type="colorScale" priority="2888">
      <colorScale>
        <cfvo type="min"/>
        <cfvo type="percentile" val="50"/>
        <cfvo type="max"/>
        <color rgb="FFF8696B"/>
        <color rgb="FFFFEB84"/>
        <color rgb="FF63BE7B"/>
      </colorScale>
    </cfRule>
  </conditionalFormatting>
  <conditionalFormatting sqref="D2944:J3089">
    <cfRule type="colorScale" priority="2887">
      <colorScale>
        <cfvo type="min"/>
        <cfvo type="percentile" val="50"/>
        <cfvo type="max"/>
        <color rgb="FFF8696B"/>
        <color rgb="FFFFEB84"/>
        <color rgb="FF63BE7B"/>
      </colorScale>
    </cfRule>
  </conditionalFormatting>
  <conditionalFormatting sqref="D3042:J3167 E3168:E3461">
    <cfRule type="colorScale" priority="2886">
      <colorScale>
        <cfvo type="min"/>
        <cfvo type="percentile" val="50"/>
        <cfvo type="max"/>
        <color rgb="FFF8696B"/>
        <color rgb="FFFFEB84"/>
        <color rgb="FF63BE7B"/>
      </colorScale>
    </cfRule>
  </conditionalFormatting>
  <conditionalFormatting sqref="D3120:J3265">
    <cfRule type="colorScale" priority="2885">
      <colorScale>
        <cfvo type="min"/>
        <cfvo type="percentile" val="50"/>
        <cfvo type="max"/>
        <color rgb="FFF8696B"/>
        <color rgb="FFFFEB84"/>
        <color rgb="FF63BE7B"/>
      </colorScale>
    </cfRule>
  </conditionalFormatting>
  <conditionalFormatting sqref="D3218:J3363">
    <cfRule type="colorScale" priority="2884">
      <colorScale>
        <cfvo type="min"/>
        <cfvo type="percentile" val="50"/>
        <cfvo type="max"/>
        <color rgb="FFF8696B"/>
        <color rgb="FFFFEB84"/>
        <color rgb="FF63BE7B"/>
      </colorScale>
    </cfRule>
  </conditionalFormatting>
  <conditionalFormatting sqref="D3316:J3461">
    <cfRule type="colorScale" priority="2883">
      <colorScale>
        <cfvo type="min"/>
        <cfvo type="percentile" val="50"/>
        <cfvo type="max"/>
        <color rgb="FFF8696B"/>
        <color rgb="FFFFEB84"/>
        <color rgb="FF63BE7B"/>
      </colorScale>
    </cfRule>
  </conditionalFormatting>
  <conditionalFormatting sqref="D3414:J3539 E3540:E3833">
    <cfRule type="colorScale" priority="2882">
      <colorScale>
        <cfvo type="min"/>
        <cfvo type="percentile" val="50"/>
        <cfvo type="max"/>
        <color rgb="FFF8696B"/>
        <color rgb="FFFFEB84"/>
        <color rgb="FF63BE7B"/>
      </colorScale>
    </cfRule>
  </conditionalFormatting>
  <conditionalFormatting sqref="D3492:J3637">
    <cfRule type="colorScale" priority="2881">
      <colorScale>
        <cfvo type="min"/>
        <cfvo type="percentile" val="50"/>
        <cfvo type="max"/>
        <color rgb="FFF8696B"/>
        <color rgb="FFFFEB84"/>
        <color rgb="FF63BE7B"/>
      </colorScale>
    </cfRule>
  </conditionalFormatting>
  <conditionalFormatting sqref="D3590:J3735">
    <cfRule type="colorScale" priority="2880">
      <colorScale>
        <cfvo type="min"/>
        <cfvo type="percentile" val="50"/>
        <cfvo type="max"/>
        <color rgb="FFF8696B"/>
        <color rgb="FFFFEB84"/>
        <color rgb="FF63BE7B"/>
      </colorScale>
    </cfRule>
  </conditionalFormatting>
  <conditionalFormatting sqref="D3688:J3833">
    <cfRule type="colorScale" priority="2879">
      <colorScale>
        <cfvo type="min"/>
        <cfvo type="percentile" val="50"/>
        <cfvo type="max"/>
        <color rgb="FFF8696B"/>
        <color rgb="FFFFEB84"/>
        <color rgb="FF63BE7B"/>
      </colorScale>
    </cfRule>
  </conditionalFormatting>
  <conditionalFormatting sqref="D3786:J3941 D3942:D5723">
    <cfRule type="colorScale" priority="2878">
      <colorScale>
        <cfvo type="min"/>
        <cfvo type="percentile" val="50"/>
        <cfvo type="max"/>
        <color rgb="FFF8696B"/>
        <color rgb="FFFFEB84"/>
        <color rgb="FF63BE7B"/>
      </colorScale>
    </cfRule>
  </conditionalFormatting>
  <conditionalFormatting sqref="D3894:J4039">
    <cfRule type="colorScale" priority="2877">
      <colorScale>
        <cfvo type="min"/>
        <cfvo type="percentile" val="50"/>
        <cfvo type="max"/>
        <color rgb="FFF8696B"/>
        <color rgb="FFFFEB84"/>
        <color rgb="FF63BE7B"/>
      </colorScale>
    </cfRule>
  </conditionalFormatting>
  <conditionalFormatting sqref="D3992:J4137">
    <cfRule type="colorScale" priority="2876">
      <colorScale>
        <cfvo type="min"/>
        <cfvo type="percentile" val="50"/>
        <cfvo type="max"/>
        <color rgb="FFF8696B"/>
        <color rgb="FFFFEB84"/>
        <color rgb="FF63BE7B"/>
      </colorScale>
    </cfRule>
  </conditionalFormatting>
  <conditionalFormatting sqref="D4090:J4235">
    <cfRule type="colorScale" priority="2875">
      <colorScale>
        <cfvo type="min"/>
        <cfvo type="percentile" val="50"/>
        <cfvo type="max"/>
        <color rgb="FFF8696B"/>
        <color rgb="FFFFEB84"/>
        <color rgb="FF63BE7B"/>
      </colorScale>
    </cfRule>
  </conditionalFormatting>
  <conditionalFormatting sqref="D4188:J4313 E4314:E4607">
    <cfRule type="colorScale" priority="2874">
      <colorScale>
        <cfvo type="min"/>
        <cfvo type="percentile" val="50"/>
        <cfvo type="max"/>
        <color rgb="FFF8696B"/>
        <color rgb="FFFFEB84"/>
        <color rgb="FF63BE7B"/>
      </colorScale>
    </cfRule>
  </conditionalFormatting>
  <conditionalFormatting sqref="D4266:J4411">
    <cfRule type="colorScale" priority="2873">
      <colorScale>
        <cfvo type="min"/>
        <cfvo type="percentile" val="50"/>
        <cfvo type="max"/>
        <color rgb="FFF8696B"/>
        <color rgb="FFFFEB84"/>
        <color rgb="FF63BE7B"/>
      </colorScale>
    </cfRule>
  </conditionalFormatting>
  <conditionalFormatting sqref="D4364:J4509">
    <cfRule type="colorScale" priority="2872">
      <colorScale>
        <cfvo type="min"/>
        <cfvo type="percentile" val="50"/>
        <cfvo type="max"/>
        <color rgb="FFF8696B"/>
        <color rgb="FFFFEB84"/>
        <color rgb="FF63BE7B"/>
      </colorScale>
    </cfRule>
  </conditionalFormatting>
  <conditionalFormatting sqref="D4462:J4607">
    <cfRule type="colorScale" priority="2871">
      <colorScale>
        <cfvo type="min"/>
        <cfvo type="percentile" val="50"/>
        <cfvo type="max"/>
        <color rgb="FFF8696B"/>
        <color rgb="FFFFEB84"/>
        <color rgb="FF63BE7B"/>
      </colorScale>
    </cfRule>
  </conditionalFormatting>
  <conditionalFormatting sqref="D4560:J4685 E4686:E4979">
    <cfRule type="colorScale" priority="2870">
      <colorScale>
        <cfvo type="min"/>
        <cfvo type="percentile" val="50"/>
        <cfvo type="max"/>
        <color rgb="FFF8696B"/>
        <color rgb="FFFFEB84"/>
        <color rgb="FF63BE7B"/>
      </colorScale>
    </cfRule>
  </conditionalFormatting>
  <conditionalFormatting sqref="D4638:J4783">
    <cfRule type="colorScale" priority="2869">
      <colorScale>
        <cfvo type="min"/>
        <cfvo type="percentile" val="50"/>
        <cfvo type="max"/>
        <color rgb="FFF8696B"/>
        <color rgb="FFFFEB84"/>
        <color rgb="FF63BE7B"/>
      </colorScale>
    </cfRule>
  </conditionalFormatting>
  <conditionalFormatting sqref="D4736:J4881">
    <cfRule type="colorScale" priority="2868">
      <colorScale>
        <cfvo type="min"/>
        <cfvo type="percentile" val="50"/>
        <cfvo type="max"/>
        <color rgb="FFF8696B"/>
        <color rgb="FFFFEB84"/>
        <color rgb="FF63BE7B"/>
      </colorScale>
    </cfRule>
  </conditionalFormatting>
  <conditionalFormatting sqref="D4834:J4979">
    <cfRule type="colorScale" priority="2867">
      <colorScale>
        <cfvo type="min"/>
        <cfvo type="percentile" val="50"/>
        <cfvo type="max"/>
        <color rgb="FFF8696B"/>
        <color rgb="FFFFEB84"/>
        <color rgb="FF63BE7B"/>
      </colorScale>
    </cfRule>
  </conditionalFormatting>
  <conditionalFormatting sqref="D4932:J5057 E5058:E5351">
    <cfRule type="colorScale" priority="2866">
      <colorScale>
        <cfvo type="min"/>
        <cfvo type="percentile" val="50"/>
        <cfvo type="max"/>
        <color rgb="FFF8696B"/>
        <color rgb="FFFFEB84"/>
        <color rgb="FF63BE7B"/>
      </colorScale>
    </cfRule>
  </conditionalFormatting>
  <conditionalFormatting sqref="D5010:J5155">
    <cfRule type="colorScale" priority="2865">
      <colorScale>
        <cfvo type="min"/>
        <cfvo type="percentile" val="50"/>
        <cfvo type="max"/>
        <color rgb="FFF8696B"/>
        <color rgb="FFFFEB84"/>
        <color rgb="FF63BE7B"/>
      </colorScale>
    </cfRule>
  </conditionalFormatting>
  <conditionalFormatting sqref="D5108:J5253">
    <cfRule type="colorScale" priority="2864">
      <colorScale>
        <cfvo type="min"/>
        <cfvo type="percentile" val="50"/>
        <cfvo type="max"/>
        <color rgb="FFF8696B"/>
        <color rgb="FFFFEB84"/>
        <color rgb="FF63BE7B"/>
      </colorScale>
    </cfRule>
  </conditionalFormatting>
  <conditionalFormatting sqref="D5206:J5351">
    <cfRule type="colorScale" priority="2863">
      <colorScale>
        <cfvo type="min"/>
        <cfvo type="percentile" val="50"/>
        <cfvo type="max"/>
        <color rgb="FFF8696B"/>
        <color rgb="FFFFEB84"/>
        <color rgb="FF63BE7B"/>
      </colorScale>
    </cfRule>
  </conditionalFormatting>
  <conditionalFormatting sqref="D5304:J5429 E5430:E5723">
    <cfRule type="colorScale" priority="2862">
      <colorScale>
        <cfvo type="min"/>
        <cfvo type="percentile" val="50"/>
        <cfvo type="max"/>
        <color rgb="FFF8696B"/>
        <color rgb="FFFFEB84"/>
        <color rgb="FF63BE7B"/>
      </colorScale>
    </cfRule>
  </conditionalFormatting>
  <conditionalFormatting sqref="D5382:J5527">
    <cfRule type="colorScale" priority="2861">
      <colorScale>
        <cfvo type="min"/>
        <cfvo type="percentile" val="50"/>
        <cfvo type="max"/>
        <color rgb="FFF8696B"/>
        <color rgb="FFFFEB84"/>
        <color rgb="FF63BE7B"/>
      </colorScale>
    </cfRule>
  </conditionalFormatting>
  <conditionalFormatting sqref="D5480:J5625">
    <cfRule type="colorScale" priority="2860">
      <colorScale>
        <cfvo type="min"/>
        <cfvo type="percentile" val="50"/>
        <cfvo type="max"/>
        <color rgb="FFF8696B"/>
        <color rgb="FFFFEB84"/>
        <color rgb="FF63BE7B"/>
      </colorScale>
    </cfRule>
  </conditionalFormatting>
  <conditionalFormatting sqref="D5578:J5723">
    <cfRule type="colorScale" priority="2859">
      <colorScale>
        <cfvo type="min"/>
        <cfvo type="percentile" val="50"/>
        <cfvo type="max"/>
        <color rgb="FFF8696B"/>
        <color rgb="FFFFEB84"/>
        <color rgb="FF63BE7B"/>
      </colorScale>
    </cfRule>
  </conditionalFormatting>
  <conditionalFormatting sqref="D5676:J5831 D5832:D7613">
    <cfRule type="colorScale" priority="2858">
      <colorScale>
        <cfvo type="min"/>
        <cfvo type="percentile" val="50"/>
        <cfvo type="max"/>
        <color rgb="FFF8696B"/>
        <color rgb="FFFFEB84"/>
        <color rgb="FF63BE7B"/>
      </colorScale>
    </cfRule>
  </conditionalFormatting>
  <conditionalFormatting sqref="D5784:J5929">
    <cfRule type="colorScale" priority="2857">
      <colorScale>
        <cfvo type="min"/>
        <cfvo type="percentile" val="50"/>
        <cfvo type="max"/>
        <color rgb="FFF8696B"/>
        <color rgb="FFFFEB84"/>
        <color rgb="FF63BE7B"/>
      </colorScale>
    </cfRule>
  </conditionalFormatting>
  <conditionalFormatting sqref="D5882:J6027">
    <cfRule type="colorScale" priority="2856">
      <colorScale>
        <cfvo type="min"/>
        <cfvo type="percentile" val="50"/>
        <cfvo type="max"/>
        <color rgb="FFF8696B"/>
        <color rgb="FFFFEB84"/>
        <color rgb="FF63BE7B"/>
      </colorScale>
    </cfRule>
  </conditionalFormatting>
  <conditionalFormatting sqref="D5980:J6125">
    <cfRule type="colorScale" priority="2855">
      <colorScale>
        <cfvo type="min"/>
        <cfvo type="percentile" val="50"/>
        <cfvo type="max"/>
        <color rgb="FFF8696B"/>
        <color rgb="FFFFEB84"/>
        <color rgb="FF63BE7B"/>
      </colorScale>
    </cfRule>
  </conditionalFormatting>
  <conditionalFormatting sqref="D6078:J6203 E6204:E6497">
    <cfRule type="colorScale" priority="2854">
      <colorScale>
        <cfvo type="min"/>
        <cfvo type="percentile" val="50"/>
        <cfvo type="max"/>
        <color rgb="FFF8696B"/>
        <color rgb="FFFFEB84"/>
        <color rgb="FF63BE7B"/>
      </colorScale>
    </cfRule>
  </conditionalFormatting>
  <conditionalFormatting sqref="D6156:J6301">
    <cfRule type="colorScale" priority="2853">
      <colorScale>
        <cfvo type="min"/>
        <cfvo type="percentile" val="50"/>
        <cfvo type="max"/>
        <color rgb="FFF8696B"/>
        <color rgb="FFFFEB84"/>
        <color rgb="FF63BE7B"/>
      </colorScale>
    </cfRule>
  </conditionalFormatting>
  <conditionalFormatting sqref="D6254:J6399">
    <cfRule type="colorScale" priority="2852">
      <colorScale>
        <cfvo type="min"/>
        <cfvo type="percentile" val="50"/>
        <cfvo type="max"/>
        <color rgb="FFF8696B"/>
        <color rgb="FFFFEB84"/>
        <color rgb="FF63BE7B"/>
      </colorScale>
    </cfRule>
  </conditionalFormatting>
  <conditionalFormatting sqref="D6352:J6497">
    <cfRule type="colorScale" priority="2851">
      <colorScale>
        <cfvo type="min"/>
        <cfvo type="percentile" val="50"/>
        <cfvo type="max"/>
        <color rgb="FFF8696B"/>
        <color rgb="FFFFEB84"/>
        <color rgb="FF63BE7B"/>
      </colorScale>
    </cfRule>
  </conditionalFormatting>
  <conditionalFormatting sqref="D6450:J6575 E6576:E6869">
    <cfRule type="colorScale" priority="2850">
      <colorScale>
        <cfvo type="min"/>
        <cfvo type="percentile" val="50"/>
        <cfvo type="max"/>
        <color rgb="FFF8696B"/>
        <color rgb="FFFFEB84"/>
        <color rgb="FF63BE7B"/>
      </colorScale>
    </cfRule>
  </conditionalFormatting>
  <conditionalFormatting sqref="D6528:J6673">
    <cfRule type="colorScale" priority="2849">
      <colorScale>
        <cfvo type="min"/>
        <cfvo type="percentile" val="50"/>
        <cfvo type="max"/>
        <color rgb="FFF8696B"/>
        <color rgb="FFFFEB84"/>
        <color rgb="FF63BE7B"/>
      </colorScale>
    </cfRule>
  </conditionalFormatting>
  <conditionalFormatting sqref="D6626:J6771">
    <cfRule type="colorScale" priority="2848">
      <colorScale>
        <cfvo type="min"/>
        <cfvo type="percentile" val="50"/>
        <cfvo type="max"/>
        <color rgb="FFF8696B"/>
        <color rgb="FFFFEB84"/>
        <color rgb="FF63BE7B"/>
      </colorScale>
    </cfRule>
  </conditionalFormatting>
  <conditionalFormatting sqref="D6724:J6869">
    <cfRule type="colorScale" priority="2847">
      <colorScale>
        <cfvo type="min"/>
        <cfvo type="percentile" val="50"/>
        <cfvo type="max"/>
        <color rgb="FFF8696B"/>
        <color rgb="FFFFEB84"/>
        <color rgb="FF63BE7B"/>
      </colorScale>
    </cfRule>
  </conditionalFormatting>
  <conditionalFormatting sqref="D6822:J6947 E6948:E7241">
    <cfRule type="colorScale" priority="2846">
      <colorScale>
        <cfvo type="min"/>
        <cfvo type="percentile" val="50"/>
        <cfvo type="max"/>
        <color rgb="FFF8696B"/>
        <color rgb="FFFFEB84"/>
        <color rgb="FF63BE7B"/>
      </colorScale>
    </cfRule>
  </conditionalFormatting>
  <conditionalFormatting sqref="D6900:J7045">
    <cfRule type="colorScale" priority="2845">
      <colorScale>
        <cfvo type="min"/>
        <cfvo type="percentile" val="50"/>
        <cfvo type="max"/>
        <color rgb="FFF8696B"/>
        <color rgb="FFFFEB84"/>
        <color rgb="FF63BE7B"/>
      </colorScale>
    </cfRule>
  </conditionalFormatting>
  <conditionalFormatting sqref="D6998:J7143">
    <cfRule type="colorScale" priority="2844">
      <colorScale>
        <cfvo type="min"/>
        <cfvo type="percentile" val="50"/>
        <cfvo type="max"/>
        <color rgb="FFF8696B"/>
        <color rgb="FFFFEB84"/>
        <color rgb="FF63BE7B"/>
      </colorScale>
    </cfRule>
  </conditionalFormatting>
  <conditionalFormatting sqref="D7096:J7241">
    <cfRule type="colorScale" priority="2843">
      <colorScale>
        <cfvo type="min"/>
        <cfvo type="percentile" val="50"/>
        <cfvo type="max"/>
        <color rgb="FFF8696B"/>
        <color rgb="FFFFEB84"/>
        <color rgb="FF63BE7B"/>
      </colorScale>
    </cfRule>
  </conditionalFormatting>
  <conditionalFormatting sqref="D7194:J7319 E7320:E7613">
    <cfRule type="colorScale" priority="2842">
      <colorScale>
        <cfvo type="min"/>
        <cfvo type="percentile" val="50"/>
        <cfvo type="max"/>
        <color rgb="FFF8696B"/>
        <color rgb="FFFFEB84"/>
        <color rgb="FF63BE7B"/>
      </colorScale>
    </cfRule>
  </conditionalFormatting>
  <conditionalFormatting sqref="D7272:J7417">
    <cfRule type="colorScale" priority="2841">
      <colorScale>
        <cfvo type="min"/>
        <cfvo type="percentile" val="50"/>
        <cfvo type="max"/>
        <color rgb="FFF8696B"/>
        <color rgb="FFFFEB84"/>
        <color rgb="FF63BE7B"/>
      </colorScale>
    </cfRule>
  </conditionalFormatting>
  <conditionalFormatting sqref="D7370:J7515">
    <cfRule type="colorScale" priority="2840">
      <colorScale>
        <cfvo type="min"/>
        <cfvo type="percentile" val="50"/>
        <cfvo type="max"/>
        <color rgb="FFF8696B"/>
        <color rgb="FFFFEB84"/>
        <color rgb="FF63BE7B"/>
      </colorScale>
    </cfRule>
  </conditionalFormatting>
  <conditionalFormatting sqref="D7468:J7613">
    <cfRule type="colorScale" priority="2839">
      <colorScale>
        <cfvo type="min"/>
        <cfvo type="percentile" val="50"/>
        <cfvo type="max"/>
        <color rgb="FFF8696B"/>
        <color rgb="FFFFEB84"/>
        <color rgb="FF63BE7B"/>
      </colorScale>
    </cfRule>
  </conditionalFormatting>
  <conditionalFormatting sqref="D7566:J7721 D7722:D9503">
    <cfRule type="colorScale" priority="2838">
      <colorScale>
        <cfvo type="min"/>
        <cfvo type="percentile" val="50"/>
        <cfvo type="max"/>
        <color rgb="FFF8696B"/>
        <color rgb="FFFFEB84"/>
        <color rgb="FF63BE7B"/>
      </colorScale>
    </cfRule>
  </conditionalFormatting>
  <conditionalFormatting sqref="D7674:J7819">
    <cfRule type="colorScale" priority="2837">
      <colorScale>
        <cfvo type="min"/>
        <cfvo type="percentile" val="50"/>
        <cfvo type="max"/>
        <color rgb="FFF8696B"/>
        <color rgb="FFFFEB84"/>
        <color rgb="FF63BE7B"/>
      </colorScale>
    </cfRule>
  </conditionalFormatting>
  <conditionalFormatting sqref="D7772:J7917">
    <cfRule type="colorScale" priority="2836">
      <colorScale>
        <cfvo type="min"/>
        <cfvo type="percentile" val="50"/>
        <cfvo type="max"/>
        <color rgb="FFF8696B"/>
        <color rgb="FFFFEB84"/>
        <color rgb="FF63BE7B"/>
      </colorScale>
    </cfRule>
  </conditionalFormatting>
  <conditionalFormatting sqref="D7870:J8015">
    <cfRule type="colorScale" priority="2835">
      <colorScale>
        <cfvo type="min"/>
        <cfvo type="percentile" val="50"/>
        <cfvo type="max"/>
        <color rgb="FFF8696B"/>
        <color rgb="FFFFEB84"/>
        <color rgb="FF63BE7B"/>
      </colorScale>
    </cfRule>
  </conditionalFormatting>
  <conditionalFormatting sqref="D7968:J8093 E8094:E8387">
    <cfRule type="colorScale" priority="2834">
      <colorScale>
        <cfvo type="min"/>
        <cfvo type="percentile" val="50"/>
        <cfvo type="max"/>
        <color rgb="FFF8696B"/>
        <color rgb="FFFFEB84"/>
        <color rgb="FF63BE7B"/>
      </colorScale>
    </cfRule>
  </conditionalFormatting>
  <conditionalFormatting sqref="D8046:J8191">
    <cfRule type="colorScale" priority="2833">
      <colorScale>
        <cfvo type="min"/>
        <cfvo type="percentile" val="50"/>
        <cfvo type="max"/>
        <color rgb="FFF8696B"/>
        <color rgb="FFFFEB84"/>
        <color rgb="FF63BE7B"/>
      </colorScale>
    </cfRule>
  </conditionalFormatting>
  <conditionalFormatting sqref="D8144:J8289">
    <cfRule type="colorScale" priority="2832">
      <colorScale>
        <cfvo type="min"/>
        <cfvo type="percentile" val="50"/>
        <cfvo type="max"/>
        <color rgb="FFF8696B"/>
        <color rgb="FFFFEB84"/>
        <color rgb="FF63BE7B"/>
      </colorScale>
    </cfRule>
  </conditionalFormatting>
  <conditionalFormatting sqref="D8242:J8387">
    <cfRule type="colorScale" priority="2831">
      <colorScale>
        <cfvo type="min"/>
        <cfvo type="percentile" val="50"/>
        <cfvo type="max"/>
        <color rgb="FFF8696B"/>
        <color rgb="FFFFEB84"/>
        <color rgb="FF63BE7B"/>
      </colorScale>
    </cfRule>
  </conditionalFormatting>
  <conditionalFormatting sqref="D8340:J8465 E8466:E8759">
    <cfRule type="colorScale" priority="2830">
      <colorScale>
        <cfvo type="min"/>
        <cfvo type="percentile" val="50"/>
        <cfvo type="max"/>
        <color rgb="FFF8696B"/>
        <color rgb="FFFFEB84"/>
        <color rgb="FF63BE7B"/>
      </colorScale>
    </cfRule>
  </conditionalFormatting>
  <conditionalFormatting sqref="D8418:J8563">
    <cfRule type="colorScale" priority="2829">
      <colorScale>
        <cfvo type="min"/>
        <cfvo type="percentile" val="50"/>
        <cfvo type="max"/>
        <color rgb="FFF8696B"/>
        <color rgb="FFFFEB84"/>
        <color rgb="FF63BE7B"/>
      </colorScale>
    </cfRule>
  </conditionalFormatting>
  <conditionalFormatting sqref="D8516:J8661">
    <cfRule type="colorScale" priority="2828">
      <colorScale>
        <cfvo type="min"/>
        <cfvo type="percentile" val="50"/>
        <cfvo type="max"/>
        <color rgb="FFF8696B"/>
        <color rgb="FFFFEB84"/>
        <color rgb="FF63BE7B"/>
      </colorScale>
    </cfRule>
  </conditionalFormatting>
  <conditionalFormatting sqref="D8614:J8759">
    <cfRule type="colorScale" priority="2827">
      <colorScale>
        <cfvo type="min"/>
        <cfvo type="percentile" val="50"/>
        <cfvo type="max"/>
        <color rgb="FFF8696B"/>
        <color rgb="FFFFEB84"/>
        <color rgb="FF63BE7B"/>
      </colorScale>
    </cfRule>
  </conditionalFormatting>
  <conditionalFormatting sqref="D8712:J8837 E8838:E9131">
    <cfRule type="colorScale" priority="2826">
      <colorScale>
        <cfvo type="min"/>
        <cfvo type="percentile" val="50"/>
        <cfvo type="max"/>
        <color rgb="FFF8696B"/>
        <color rgb="FFFFEB84"/>
        <color rgb="FF63BE7B"/>
      </colorScale>
    </cfRule>
  </conditionalFormatting>
  <conditionalFormatting sqref="D8790:J8935">
    <cfRule type="colorScale" priority="2825">
      <colorScale>
        <cfvo type="min"/>
        <cfvo type="percentile" val="50"/>
        <cfvo type="max"/>
        <color rgb="FFF8696B"/>
        <color rgb="FFFFEB84"/>
        <color rgb="FF63BE7B"/>
      </colorScale>
    </cfRule>
  </conditionalFormatting>
  <conditionalFormatting sqref="D8888:J9033">
    <cfRule type="colorScale" priority="2824">
      <colorScale>
        <cfvo type="min"/>
        <cfvo type="percentile" val="50"/>
        <cfvo type="max"/>
        <color rgb="FFF8696B"/>
        <color rgb="FFFFEB84"/>
        <color rgb="FF63BE7B"/>
      </colorScale>
    </cfRule>
  </conditionalFormatting>
  <conditionalFormatting sqref="D8986:J9131">
    <cfRule type="colorScale" priority="2823">
      <colorScale>
        <cfvo type="min"/>
        <cfvo type="percentile" val="50"/>
        <cfvo type="max"/>
        <color rgb="FFF8696B"/>
        <color rgb="FFFFEB84"/>
        <color rgb="FF63BE7B"/>
      </colorScale>
    </cfRule>
  </conditionalFormatting>
  <conditionalFormatting sqref="D9084:J9209 E9210:E9503">
    <cfRule type="colorScale" priority="2822">
      <colorScale>
        <cfvo type="min"/>
        <cfvo type="percentile" val="50"/>
        <cfvo type="max"/>
        <color rgb="FFF8696B"/>
        <color rgb="FFFFEB84"/>
        <color rgb="FF63BE7B"/>
      </colorScale>
    </cfRule>
  </conditionalFormatting>
  <conditionalFormatting sqref="D9162:J9307">
    <cfRule type="colorScale" priority="2821">
      <colorScale>
        <cfvo type="min"/>
        <cfvo type="percentile" val="50"/>
        <cfvo type="max"/>
        <color rgb="FFF8696B"/>
        <color rgb="FFFFEB84"/>
        <color rgb="FF63BE7B"/>
      </colorScale>
    </cfRule>
  </conditionalFormatting>
  <conditionalFormatting sqref="D9260:J9405">
    <cfRule type="colorScale" priority="2820">
      <colorScale>
        <cfvo type="min"/>
        <cfvo type="percentile" val="50"/>
        <cfvo type="max"/>
        <color rgb="FFF8696B"/>
        <color rgb="FFFFEB84"/>
        <color rgb="FF63BE7B"/>
      </colorScale>
    </cfRule>
  </conditionalFormatting>
  <conditionalFormatting sqref="D9358:J9503">
    <cfRule type="colorScale" priority="2819">
      <colorScale>
        <cfvo type="min"/>
        <cfvo type="percentile" val="50"/>
        <cfvo type="max"/>
        <color rgb="FFF8696B"/>
        <color rgb="FFFFEB84"/>
        <color rgb="FF63BE7B"/>
      </colorScale>
    </cfRule>
  </conditionalFormatting>
  <printOptions heading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838CA-18CF-4728-9363-8DAA04328C47}">
  <sheetPr codeName="Sheet27"/>
  <dimension ref="B1:D7"/>
  <sheetViews>
    <sheetView workbookViewId="0">
      <selection activeCell="C7" sqref="C7"/>
    </sheetView>
  </sheetViews>
  <sheetFormatPr defaultRowHeight="15"/>
  <cols>
    <col min="2" max="2" width="18.42578125" bestFit="1" customWidth="1"/>
    <col min="3" max="3" width="19.85546875" bestFit="1" customWidth="1"/>
    <col min="4" max="4" width="5.5703125" bestFit="1" customWidth="1"/>
  </cols>
  <sheetData>
    <row r="1" spans="2:4">
      <c r="B1" s="179"/>
    </row>
    <row r="2" spans="2:4">
      <c r="B2" t="s">
        <v>108</v>
      </c>
      <c r="C2" s="35" t="s">
        <v>109</v>
      </c>
      <c r="D2" t="s">
        <v>11</v>
      </c>
    </row>
    <row r="3" spans="2:4">
      <c r="B3" t="s">
        <v>110</v>
      </c>
      <c r="C3" t="s">
        <v>110</v>
      </c>
    </row>
    <row r="4" spans="2:4">
      <c r="B4" t="s">
        <v>111</v>
      </c>
      <c r="C4" t="s">
        <v>112</v>
      </c>
    </row>
    <row r="5" spans="2:4">
      <c r="B5" t="s">
        <v>113</v>
      </c>
      <c r="C5" t="s">
        <v>114</v>
      </c>
    </row>
    <row r="6" spans="2:4">
      <c r="B6" t="s">
        <v>115</v>
      </c>
      <c r="C6" t="s">
        <v>116</v>
      </c>
      <c r="D6" t="s">
        <v>117</v>
      </c>
    </row>
    <row r="7" spans="2:4">
      <c r="B7" t="s">
        <v>22</v>
      </c>
      <c r="D7" t="s">
        <v>118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7" tint="-0.499984740745262"/>
    <pageSetUpPr autoPageBreaks="0"/>
  </sheetPr>
  <dimension ref="A1:AR166"/>
  <sheetViews>
    <sheetView showGridLines="0" zoomScale="90" zoomScaleNormal="90" zoomScaleSheetLayoutView="55" workbookViewId="0">
      <pane ySplit="21" topLeftCell="A56" activePane="bottomLeft" state="frozen"/>
      <selection activeCell="V22" sqref="V22:BB22"/>
      <selection pane="bottomLeft" activeCell="I29" sqref="I29:M29"/>
    </sheetView>
  </sheetViews>
  <sheetFormatPr defaultColWidth="6.140625" defaultRowHeight="31.5" customHeight="1" zeroHeight="1"/>
  <cols>
    <col min="1" max="1" width="2.140625" style="412" customWidth="1"/>
    <col min="2" max="2" width="5.140625" style="412" customWidth="1"/>
    <col min="3" max="3" width="12.85546875" style="412" customWidth="1"/>
    <col min="4" max="4" width="6.140625" style="412"/>
    <col min="5" max="5" width="10" style="412" bestFit="1" customWidth="1"/>
    <col min="6" max="8" width="6.140625" style="412"/>
    <col min="9" max="9" width="8" style="412" bestFit="1" customWidth="1"/>
    <col min="10" max="10" width="7.85546875" style="412" bestFit="1" customWidth="1"/>
    <col min="11" max="11" width="7.5703125" style="412" bestFit="1" customWidth="1"/>
    <col min="12" max="12" width="6.140625" style="412"/>
    <col min="13" max="13" width="10" style="412" bestFit="1" customWidth="1"/>
    <col min="14" max="43" width="6.140625" style="412"/>
    <col min="44" max="44" width="10.5703125" style="412" bestFit="1" customWidth="1"/>
    <col min="45" max="16384" width="6.140625" style="412"/>
  </cols>
  <sheetData>
    <row r="1" spans="1:33" s="544" customFormat="1" ht="13.5" customHeight="1">
      <c r="A1" s="544" t="s">
        <v>119</v>
      </c>
    </row>
    <row r="2" spans="1:33" s="384" customFormat="1" ht="10.5" customHeight="1">
      <c r="A2" s="383"/>
      <c r="F2" s="385"/>
    </row>
    <row r="3" spans="1:33" s="384" customFormat="1" ht="10.5" customHeight="1">
      <c r="A3" s="383"/>
      <c r="B3" s="386" t="s">
        <v>120</v>
      </c>
      <c r="F3" s="385"/>
    </row>
    <row r="4" spans="1:33" s="384" customFormat="1" ht="10.5" customHeight="1">
      <c r="A4" s="383"/>
      <c r="C4" s="387"/>
      <c r="D4" s="387"/>
      <c r="F4" s="385"/>
      <c r="I4" s="383" t="s">
        <v>7</v>
      </c>
    </row>
    <row r="5" spans="1:33" s="388" customFormat="1" ht="10.5" customHeight="1">
      <c r="C5" s="588" t="s">
        <v>121</v>
      </c>
      <c r="D5" s="664" t="s">
        <v>660</v>
      </c>
      <c r="E5" s="664"/>
      <c r="F5" s="664"/>
      <c r="G5" s="384"/>
      <c r="H5" s="642" t="s">
        <v>123</v>
      </c>
      <c r="K5" s="389"/>
      <c r="L5" s="389"/>
      <c r="M5" s="389"/>
      <c r="N5" s="389"/>
      <c r="P5" s="390" t="s">
        <v>124</v>
      </c>
      <c r="Q5" s="391"/>
      <c r="R5" s="391"/>
      <c r="AA5" s="389"/>
      <c r="AB5" s="384"/>
      <c r="AC5" s="384"/>
      <c r="AD5" s="384"/>
      <c r="AE5" s="384"/>
      <c r="AF5" s="384"/>
    </row>
    <row r="6" spans="1:33" s="384" customFormat="1" ht="10.5" customHeight="1">
      <c r="A6" s="648" t="s">
        <v>125</v>
      </c>
      <c r="B6" s="648"/>
      <c r="C6" s="670"/>
      <c r="D6" s="671" t="s">
        <v>110</v>
      </c>
      <c r="E6" s="672"/>
      <c r="F6" s="673"/>
      <c r="H6" s="649" t="s">
        <v>126</v>
      </c>
      <c r="I6" s="650"/>
      <c r="J6" s="650"/>
      <c r="K6" s="650"/>
      <c r="L6" s="650"/>
      <c r="M6" s="650"/>
      <c r="N6" s="320"/>
      <c r="O6" s="669" t="s">
        <v>127</v>
      </c>
      <c r="P6" s="669"/>
      <c r="Q6" s="669"/>
      <c r="R6" s="669"/>
      <c r="S6" s="392"/>
      <c r="AA6" s="389"/>
    </row>
    <row r="7" spans="1:33" s="392" customFormat="1" ht="10.5" customHeight="1">
      <c r="A7" s="648"/>
      <c r="B7" s="648"/>
      <c r="C7" s="670"/>
      <c r="D7" s="674"/>
      <c r="E7" s="664"/>
      <c r="F7" s="675"/>
      <c r="G7" s="384"/>
      <c r="H7" s="649"/>
      <c r="I7" s="650"/>
      <c r="J7" s="650"/>
      <c r="K7" s="650"/>
      <c r="L7" s="650"/>
      <c r="M7" s="650"/>
      <c r="N7" s="320"/>
      <c r="P7" s="682">
        <f ca="1">SUM('Main graph Results'!Y18:Y29)</f>
        <v>3561.7722569324974</v>
      </c>
      <c r="Q7" s="682"/>
      <c r="R7" s="393"/>
      <c r="AB7" s="384"/>
      <c r="AC7" s="384"/>
      <c r="AD7" s="384"/>
      <c r="AE7" s="384"/>
      <c r="AF7" s="384"/>
      <c r="AG7" s="384"/>
    </row>
    <row r="8" spans="1:33" s="392" customFormat="1" ht="10.5" customHeight="1">
      <c r="A8" s="648"/>
      <c r="B8" s="648"/>
      <c r="C8" s="670"/>
      <c r="D8" s="676"/>
      <c r="E8" s="677"/>
      <c r="F8" s="678"/>
      <c r="G8" s="384"/>
      <c r="H8" s="649"/>
      <c r="I8" s="650"/>
      <c r="J8" s="650"/>
      <c r="K8" s="650"/>
      <c r="L8" s="650"/>
      <c r="M8" s="650"/>
      <c r="N8" s="320"/>
      <c r="O8" s="684" t="s">
        <v>128</v>
      </c>
      <c r="P8" s="684"/>
      <c r="Q8" s="684"/>
      <c r="R8" s="684"/>
      <c r="AB8" s="384"/>
      <c r="AC8" s="384"/>
      <c r="AD8" s="384"/>
      <c r="AE8" s="384"/>
      <c r="AF8" s="384"/>
      <c r="AG8" s="384"/>
    </row>
    <row r="9" spans="1:33" s="384" customFormat="1" ht="10.5" customHeight="1">
      <c r="A9" s="648" t="s">
        <v>19</v>
      </c>
      <c r="B9" s="648"/>
      <c r="C9" s="648"/>
      <c r="D9" s="667" t="s">
        <v>73</v>
      </c>
      <c r="E9" s="667"/>
      <c r="F9" s="667"/>
      <c r="H9" s="649" t="s">
        <v>129</v>
      </c>
      <c r="I9" s="650"/>
      <c r="J9" s="650"/>
      <c r="K9" s="650"/>
      <c r="L9" s="650"/>
      <c r="M9" s="650"/>
      <c r="N9" s="320"/>
      <c r="O9" s="392"/>
      <c r="P9" s="683">
        <f ca="1">P7/'3.4 Popn &amp; baseline emissions'!AX6*1000</f>
        <v>0.94367862208770725</v>
      </c>
      <c r="Q9" s="683"/>
      <c r="R9" s="393"/>
      <c r="S9" s="392"/>
      <c r="AA9" s="389"/>
    </row>
    <row r="10" spans="1:33" s="392" customFormat="1" ht="10.5" customHeight="1">
      <c r="A10" s="648"/>
      <c r="B10" s="648"/>
      <c r="C10" s="648"/>
      <c r="D10" s="668"/>
      <c r="E10" s="668"/>
      <c r="F10" s="668"/>
      <c r="G10" s="384"/>
      <c r="H10" s="649"/>
      <c r="I10" s="650"/>
      <c r="J10" s="650"/>
      <c r="K10" s="650"/>
      <c r="L10" s="650"/>
      <c r="M10" s="650"/>
      <c r="N10" s="320"/>
      <c r="O10" s="685" t="s">
        <v>130</v>
      </c>
      <c r="P10" s="685"/>
      <c r="Q10" s="685"/>
      <c r="R10" s="685"/>
      <c r="AB10" s="384"/>
      <c r="AC10" s="384"/>
      <c r="AD10" s="384"/>
      <c r="AE10" s="384"/>
      <c r="AF10" s="384"/>
      <c r="AG10" s="384"/>
    </row>
    <row r="11" spans="1:33" s="392" customFormat="1" ht="10.5" customHeight="1">
      <c r="A11" s="648"/>
      <c r="B11" s="648"/>
      <c r="C11" s="648"/>
      <c r="D11" s="668"/>
      <c r="E11" s="668"/>
      <c r="F11" s="668"/>
      <c r="G11" s="384"/>
      <c r="H11" s="649"/>
      <c r="I11" s="650"/>
      <c r="J11" s="650"/>
      <c r="K11" s="650"/>
      <c r="L11" s="650"/>
      <c r="M11" s="650"/>
      <c r="N11" s="320"/>
      <c r="O11" s="384"/>
      <c r="P11" s="680" t="str">
        <f ca="1">IFERROR(('3.4 Popn &amp; baseline emissions'!I50-(P7/1000))/'3.4 Popn &amp; baseline emissions'!I50,"no data")</f>
        <v>no data</v>
      </c>
      <c r="Q11" s="680"/>
      <c r="R11" s="393"/>
      <c r="AB11" s="384"/>
      <c r="AC11" s="384"/>
      <c r="AD11" s="384"/>
      <c r="AE11" s="384"/>
      <c r="AF11" s="384"/>
      <c r="AG11" s="384"/>
    </row>
    <row r="12" spans="1:33" s="384" customFormat="1" ht="10.5" customHeight="1">
      <c r="A12" s="648" t="s">
        <v>82</v>
      </c>
      <c r="B12" s="648"/>
      <c r="C12" s="648"/>
      <c r="D12" s="667" t="s">
        <v>131</v>
      </c>
      <c r="E12" s="667"/>
      <c r="F12" s="667"/>
      <c r="H12" s="649" t="s">
        <v>132</v>
      </c>
      <c r="I12" s="650"/>
      <c r="J12" s="650"/>
      <c r="K12" s="650"/>
      <c r="L12" s="650"/>
      <c r="M12" s="650"/>
      <c r="N12" s="320"/>
      <c r="O12" s="687" t="s">
        <v>133</v>
      </c>
      <c r="P12" s="687"/>
      <c r="Q12" s="687"/>
      <c r="R12" s="687"/>
      <c r="S12" s="392"/>
      <c r="AA12" s="389"/>
    </row>
    <row r="13" spans="1:33" s="392" customFormat="1" ht="10.5" customHeight="1">
      <c r="A13" s="648"/>
      <c r="B13" s="648"/>
      <c r="C13" s="648"/>
      <c r="D13" s="668"/>
      <c r="E13" s="668"/>
      <c r="F13" s="668"/>
      <c r="G13" s="384"/>
      <c r="H13" s="649"/>
      <c r="I13" s="650"/>
      <c r="J13" s="650"/>
      <c r="K13" s="650"/>
      <c r="L13" s="650"/>
      <c r="M13" s="650"/>
      <c r="N13" s="320"/>
      <c r="O13" s="384"/>
      <c r="P13" s="688" t="str">
        <f>IFERROR(('3.4 Popn &amp; baseline emissions'!I51-('Carbon Budgets Results'!AQ32/1000))/'3.4 Popn &amp; baseline emissions'!I51,"no data")</f>
        <v>no data</v>
      </c>
      <c r="Q13" s="688"/>
      <c r="R13" s="393"/>
      <c r="AB13" s="384"/>
      <c r="AC13" s="384"/>
      <c r="AD13" s="384"/>
      <c r="AE13" s="384"/>
      <c r="AF13" s="384"/>
      <c r="AG13" s="384"/>
    </row>
    <row r="14" spans="1:33" s="384" customFormat="1" ht="10.5" customHeight="1">
      <c r="A14" s="648"/>
      <c r="B14" s="648"/>
      <c r="C14" s="648"/>
      <c r="D14" s="668"/>
      <c r="E14" s="668"/>
      <c r="F14" s="668"/>
      <c r="H14" s="649"/>
      <c r="I14" s="650"/>
      <c r="J14" s="650"/>
      <c r="K14" s="650"/>
      <c r="L14" s="650"/>
      <c r="M14" s="650"/>
      <c r="N14" s="324"/>
      <c r="O14" s="687" t="s">
        <v>134</v>
      </c>
      <c r="P14" s="687"/>
      <c r="Q14" s="687"/>
      <c r="R14" s="687"/>
      <c r="S14" s="392"/>
      <c r="AA14" s="389"/>
    </row>
    <row r="15" spans="1:33" s="384" customFormat="1" ht="10.5" customHeight="1">
      <c r="A15" s="648" t="s">
        <v>135</v>
      </c>
      <c r="B15" s="648"/>
      <c r="C15" s="648"/>
      <c r="D15" s="654">
        <v>3.5000000000000003E-2</v>
      </c>
      <c r="E15" s="654"/>
      <c r="F15" s="654"/>
      <c r="H15" s="662" t="s">
        <v>136</v>
      </c>
      <c r="I15" s="663"/>
      <c r="J15" s="663"/>
      <c r="K15" s="663"/>
      <c r="L15" s="663"/>
      <c r="M15" s="663"/>
      <c r="N15" s="324"/>
      <c r="P15" s="688" t="str">
        <f>IFERROR(('3.4 Popn &amp; baseline emissions'!I52-(('Carbon Budgets Results'!AQ37)/1000))/'3.4 Popn &amp; baseline emissions'!I52,"no data")</f>
        <v>no data</v>
      </c>
      <c r="Q15" s="688"/>
      <c r="R15" s="393"/>
      <c r="S15" s="392"/>
      <c r="AA15" s="392"/>
    </row>
    <row r="16" spans="1:33" s="384" customFormat="1" ht="10.5" customHeight="1">
      <c r="A16" s="648"/>
      <c r="B16" s="648"/>
      <c r="C16" s="648"/>
      <c r="D16" s="655"/>
      <c r="E16" s="655"/>
      <c r="F16" s="655"/>
      <c r="H16" s="662"/>
      <c r="I16" s="663"/>
      <c r="J16" s="663"/>
      <c r="K16" s="663"/>
      <c r="L16" s="663"/>
      <c r="M16" s="663"/>
      <c r="N16" s="324"/>
      <c r="O16" s="687" t="s">
        <v>137</v>
      </c>
      <c r="P16" s="687"/>
      <c r="Q16" s="687"/>
      <c r="R16" s="687"/>
      <c r="S16" s="392"/>
      <c r="AA16" s="389"/>
    </row>
    <row r="17" spans="1:27" s="384" customFormat="1" ht="10.5" customHeight="1">
      <c r="A17" s="648" t="s">
        <v>138</v>
      </c>
      <c r="B17" s="648"/>
      <c r="C17" s="648"/>
      <c r="D17" s="656" t="s">
        <v>56</v>
      </c>
      <c r="E17" s="657"/>
      <c r="F17" s="658"/>
      <c r="H17" s="663" t="s">
        <v>139</v>
      </c>
      <c r="I17" s="663"/>
      <c r="J17" s="663"/>
      <c r="K17" s="663"/>
      <c r="L17" s="663"/>
      <c r="M17" s="663"/>
      <c r="N17" s="324"/>
      <c r="O17" s="394"/>
      <c r="P17" s="688" t="str">
        <f ca="1">IFERROR(('3.4 Popn &amp; baseline emissions'!I53-(('Carbon Budgets Results'!AQ42)/1000))/'3.4 Popn &amp; baseline emissions'!I53,"no data")</f>
        <v>no data</v>
      </c>
      <c r="Q17" s="688"/>
      <c r="R17" s="393"/>
      <c r="S17" s="392"/>
      <c r="AA17" s="392"/>
    </row>
    <row r="18" spans="1:27" s="384" customFormat="1" ht="10.5" customHeight="1">
      <c r="A18" s="648"/>
      <c r="B18" s="648"/>
      <c r="C18" s="648"/>
      <c r="D18" s="659"/>
      <c r="E18" s="660"/>
      <c r="F18" s="661"/>
      <c r="H18" s="663"/>
      <c r="I18" s="663"/>
      <c r="J18" s="663"/>
      <c r="K18" s="663"/>
      <c r="L18" s="663"/>
      <c r="M18" s="663"/>
      <c r="N18" s="324"/>
      <c r="O18" s="394"/>
      <c r="R18" s="393"/>
      <c r="S18" s="392"/>
      <c r="AA18" s="392"/>
    </row>
    <row r="19" spans="1:27" s="384" customFormat="1" ht="10.5" customHeight="1">
      <c r="N19" s="324"/>
      <c r="O19" s="394"/>
      <c r="R19" s="393"/>
      <c r="S19" s="392"/>
      <c r="AA19" s="392"/>
    </row>
    <row r="20" spans="1:27" s="384" customFormat="1" ht="10.5" customHeight="1">
      <c r="N20" s="324"/>
      <c r="O20" s="394"/>
      <c r="R20" s="393"/>
      <c r="S20" s="392"/>
      <c r="AA20" s="392"/>
    </row>
    <row r="21" spans="1:27" s="384" customFormat="1" ht="10.5" customHeight="1">
      <c r="N21" s="324"/>
      <c r="O21" s="394"/>
      <c r="R21" s="393"/>
      <c r="S21" s="392"/>
      <c r="AA21" s="392"/>
    </row>
    <row r="22" spans="1:27" s="384" customFormat="1" ht="10.5" customHeight="1">
      <c r="C22" s="392"/>
      <c r="D22" s="392"/>
      <c r="E22" s="392"/>
      <c r="F22" s="392"/>
      <c r="G22" s="392"/>
      <c r="H22" s="392"/>
      <c r="I22" s="392"/>
      <c r="J22" s="392"/>
      <c r="K22" s="392"/>
      <c r="L22" s="392"/>
      <c r="M22" s="392"/>
    </row>
    <row r="23" spans="1:27" s="514" customFormat="1" ht="15">
      <c r="D23" s="515"/>
      <c r="E23" s="516"/>
      <c r="F23" s="515"/>
      <c r="G23" s="515"/>
      <c r="H23" s="515"/>
      <c r="I23" s="515"/>
      <c r="J23" s="515"/>
      <c r="K23" s="515"/>
      <c r="L23" s="515"/>
      <c r="M23" s="515"/>
    </row>
    <row r="24" spans="1:27" s="384" customFormat="1" ht="15">
      <c r="C24" s="392"/>
      <c r="E24" s="517"/>
      <c r="F24" s="392"/>
      <c r="G24" s="392"/>
      <c r="I24" s="392"/>
      <c r="J24" s="392"/>
      <c r="K24" s="392"/>
      <c r="L24" s="392"/>
      <c r="M24" s="392"/>
    </row>
    <row r="25" spans="1:27" s="384" customFormat="1" ht="15">
      <c r="C25" s="392"/>
      <c r="E25" s="517"/>
      <c r="F25" s="392"/>
      <c r="G25" s="392"/>
      <c r="I25" s="392"/>
      <c r="J25" s="392"/>
      <c r="K25" s="392"/>
      <c r="L25" s="392"/>
      <c r="M25" s="392"/>
    </row>
    <row r="26" spans="1:27" s="512" customFormat="1" ht="15">
      <c r="C26" s="513"/>
      <c r="E26" s="540"/>
      <c r="F26" s="513"/>
      <c r="G26" s="513"/>
      <c r="I26" s="513"/>
      <c r="J26" s="513"/>
      <c r="K26" s="513"/>
      <c r="L26" s="513"/>
      <c r="M26" s="513"/>
    </row>
    <row r="27" spans="1:27" s="384" customFormat="1" ht="10.5" customHeight="1">
      <c r="C27" s="392"/>
      <c r="D27" s="517"/>
      <c r="E27" s="392"/>
      <c r="F27" s="392"/>
      <c r="G27" s="392"/>
      <c r="I27" s="392"/>
      <c r="J27" s="392"/>
      <c r="K27" s="392"/>
      <c r="L27" s="392"/>
      <c r="M27" s="392"/>
    </row>
    <row r="28" spans="1:27" s="522" customFormat="1" ht="11.25">
      <c r="C28" s="522" t="s">
        <v>140</v>
      </c>
      <c r="I28" s="521"/>
      <c r="J28" s="521"/>
      <c r="K28" s="521"/>
      <c r="L28" s="521"/>
      <c r="M28" s="521"/>
    </row>
    <row r="29" spans="1:27" s="395" customFormat="1" ht="11.25">
      <c r="C29" s="396" t="s">
        <v>141</v>
      </c>
      <c r="D29" s="664" t="s">
        <v>90</v>
      </c>
      <c r="E29" s="664"/>
      <c r="F29" s="664"/>
      <c r="H29" s="395" t="s">
        <v>143</v>
      </c>
      <c r="I29" s="690" t="s">
        <v>168</v>
      </c>
      <c r="J29" s="690"/>
      <c r="K29" s="690"/>
      <c r="L29" s="690"/>
      <c r="M29" s="690"/>
    </row>
    <row r="30" spans="1:27" s="395" customFormat="1" ht="11.25">
      <c r="C30" s="691" t="s">
        <v>145</v>
      </c>
      <c r="D30" s="691"/>
      <c r="E30" s="691"/>
      <c r="F30" s="691"/>
      <c r="G30" s="691"/>
      <c r="H30" s="691"/>
      <c r="I30" s="691"/>
      <c r="J30" s="691"/>
      <c r="K30" s="691"/>
      <c r="L30" s="691"/>
      <c r="M30" s="691"/>
      <c r="N30" s="397"/>
    </row>
    <row r="31" spans="1:27" s="395" customFormat="1" ht="14.25" customHeight="1">
      <c r="C31" s="398"/>
      <c r="D31" s="542"/>
      <c r="E31" s="551"/>
      <c r="F31" s="551"/>
      <c r="G31" s="542"/>
      <c r="H31" s="542"/>
      <c r="I31" s="542"/>
      <c r="J31" s="542"/>
      <c r="K31" s="542"/>
      <c r="L31" s="542"/>
      <c r="M31" s="542"/>
    </row>
    <row r="32" spans="1:27" s="395" customFormat="1" ht="11.25">
      <c r="D32" s="398"/>
      <c r="E32" s="587">
        <f>'Main graph Results'!J407</f>
        <v>2015</v>
      </c>
      <c r="F32" s="681">
        <f>'Main graph Results'!O407</f>
        <v>2020</v>
      </c>
      <c r="G32" s="681"/>
      <c r="H32" s="587">
        <f>'Main graph Results'!T407</f>
        <v>2025</v>
      </c>
      <c r="I32" s="587">
        <f>'Main graph Results'!Y407</f>
        <v>2030</v>
      </c>
      <c r="J32" s="587">
        <f>'Main graph Results'!AD407</f>
        <v>2035</v>
      </c>
      <c r="K32" s="587">
        <f>'Main graph Results'!AI407</f>
        <v>2040</v>
      </c>
      <c r="L32" s="587">
        <f>'Main graph Results'!AN407</f>
        <v>2045</v>
      </c>
      <c r="M32" s="587">
        <f>'Main graph Results'!AS407</f>
        <v>2050</v>
      </c>
    </row>
    <row r="33" spans="3:44" s="395" customFormat="1" ht="11.25">
      <c r="C33" s="399" t="str">
        <f>'Main graph Results'!E408</f>
        <v>Electricity (Cars, LGVs, Motorcycles, Taxis)</v>
      </c>
      <c r="D33" s="399"/>
      <c r="E33" s="590">
        <f ca="1">'Main graph Results'!J408</f>
        <v>34.498859784172332</v>
      </c>
      <c r="F33" s="666">
        <f ca="1">'Main graph Results'!O408</f>
        <v>142.29974396087692</v>
      </c>
      <c r="G33" s="666">
        <f ca="1">'Main graph Results'!L408</f>
        <v>66.562622716919904</v>
      </c>
      <c r="H33" s="590">
        <f ca="1">'Main graph Results'!T408</f>
        <v>1311.9217346802754</v>
      </c>
      <c r="I33" s="590">
        <f ca="1">'Main graph Results'!Y408</f>
        <v>3277.8111924120844</v>
      </c>
      <c r="J33" s="590">
        <f ca="1">'Main graph Results'!AD408</f>
        <v>4634.930795735163</v>
      </c>
      <c r="K33" s="590">
        <f ca="1">'Main graph Results'!AI408</f>
        <v>4963.3157934520441</v>
      </c>
      <c r="L33" s="590">
        <f ca="1">'Main graph Results'!AN408</f>
        <v>5057.3259707511124</v>
      </c>
      <c r="M33" s="590">
        <f ca="1">'Main graph Results'!AS408</f>
        <v>4967.4958265901887</v>
      </c>
      <c r="N33" s="550"/>
      <c r="AQ33" s="575"/>
      <c r="AR33" s="402"/>
    </row>
    <row r="34" spans="3:44" s="395" customFormat="1" ht="11.25">
      <c r="C34" s="400" t="str">
        <f>'Main graph Results'!E409</f>
        <v>Hydrogen (Cars, LGVs, Motorcycles, Taxis)</v>
      </c>
      <c r="D34" s="400"/>
      <c r="E34" s="589">
        <f ca="1">'Main graph Results'!J409</f>
        <v>0</v>
      </c>
      <c r="F34" s="665">
        <f ca="1">'Main graph Results'!O409</f>
        <v>0</v>
      </c>
      <c r="G34" s="665">
        <f ca="1">'Main graph Results'!L409</f>
        <v>0</v>
      </c>
      <c r="H34" s="589">
        <f ca="1">'Main graph Results'!T409</f>
        <v>2.3030122886747364</v>
      </c>
      <c r="I34" s="589">
        <f ca="1">'Main graph Results'!Y409</f>
        <v>22.899012704199716</v>
      </c>
      <c r="J34" s="589">
        <f ca="1">'Main graph Results'!AD409</f>
        <v>112.61152086611655</v>
      </c>
      <c r="K34" s="589">
        <f ca="1">'Main graph Results'!AI409</f>
        <v>274.27399815114507</v>
      </c>
      <c r="L34" s="589">
        <f ca="1">'Main graph Results'!AN409</f>
        <v>457.31023265407845</v>
      </c>
      <c r="M34" s="589">
        <f ca="1">'Main graph Results'!AS409</f>
        <v>619.20971941476773</v>
      </c>
      <c r="N34" s="550"/>
      <c r="AQ34" s="575"/>
      <c r="AR34" s="402"/>
    </row>
    <row r="35" spans="3:44" s="395" customFormat="1" ht="11.25">
      <c r="C35" s="401" t="str">
        <f>'Main graph Results'!E410</f>
        <v>Petrol (Cars, LGVs, Motorcycles, Taxis)</v>
      </c>
      <c r="D35" s="401"/>
      <c r="E35" s="590">
        <f ca="1">'Main graph Results'!J410</f>
        <v>3648.0498602697835</v>
      </c>
      <c r="F35" s="666">
        <f ca="1">'Main graph Results'!O410</f>
        <v>3527.6491536405151</v>
      </c>
      <c r="G35" s="666">
        <f ca="1">'Main graph Results'!L410</f>
        <v>3509.9409533162807</v>
      </c>
      <c r="H35" s="590">
        <f ca="1">'Main graph Results'!T410</f>
        <v>2880.6552821357814</v>
      </c>
      <c r="I35" s="590">
        <f ca="1">'Main graph Results'!Y410</f>
        <v>1788.514820107833</v>
      </c>
      <c r="J35" s="590">
        <f ca="1">'Main graph Results'!AD410</f>
        <v>806.3671784277775</v>
      </c>
      <c r="K35" s="590">
        <f ca="1">'Main graph Results'!AI410</f>
        <v>264.84896985133025</v>
      </c>
      <c r="L35" s="590">
        <f ca="1">'Main graph Results'!AN410</f>
        <v>78.479652890099004</v>
      </c>
      <c r="M35" s="590">
        <f ca="1">'Main graph Results'!AS410</f>
        <v>10.883221901220139</v>
      </c>
      <c r="N35" s="550"/>
      <c r="AQ35" s="575"/>
      <c r="AR35" s="402"/>
    </row>
    <row r="36" spans="3:44" s="395" customFormat="1" ht="11.25">
      <c r="C36" s="400" t="str">
        <f>'Main graph Results'!E411</f>
        <v>Diesel (Cars, LGVs, Motorcycles, Taxis)</v>
      </c>
      <c r="D36" s="400"/>
      <c r="E36" s="589">
        <f ca="1">'Main graph Results'!J411</f>
        <v>3662.5203548250729</v>
      </c>
      <c r="F36" s="665">
        <f ca="1">'Main graph Results'!O411</f>
        <v>3396.9372157710304</v>
      </c>
      <c r="G36" s="665">
        <f ca="1">'Main graph Results'!L411</f>
        <v>3793.0874571565405</v>
      </c>
      <c r="H36" s="589">
        <f ca="1">'Main graph Results'!T411</f>
        <v>2615.3907017234778</v>
      </c>
      <c r="I36" s="589">
        <f ca="1">'Main graph Results'!Y411</f>
        <v>1382.2428015397106</v>
      </c>
      <c r="J36" s="589">
        <f ca="1">'Main graph Results'!AD411</f>
        <v>504.61901023305637</v>
      </c>
      <c r="K36" s="589">
        <f ca="1">'Main graph Results'!AI411</f>
        <v>131.34750929183494</v>
      </c>
      <c r="L36" s="589">
        <f ca="1">'Main graph Results'!AN411</f>
        <v>23.437313538378433</v>
      </c>
      <c r="M36" s="589">
        <f ca="1">'Main graph Results'!AS411</f>
        <v>1.7313010148072796</v>
      </c>
      <c r="N36" s="550"/>
      <c r="R36" s="689"/>
      <c r="S36" s="689"/>
      <c r="T36" s="689"/>
      <c r="U36" s="689"/>
      <c r="V36" s="689"/>
      <c r="W36" s="689"/>
      <c r="X36" s="689"/>
      <c r="Y36" s="689"/>
      <c r="AQ36" s="575"/>
      <c r="AR36" s="402"/>
    </row>
    <row r="37" spans="3:44" s="395" customFormat="1" ht="11.25">
      <c r="C37" s="401" t="str">
        <f>'Main graph Results'!E412</f>
        <v>HGVs - hydrogen</v>
      </c>
      <c r="D37" s="401"/>
      <c r="E37" s="590">
        <f ca="1">'Main graph Results'!J412</f>
        <v>0</v>
      </c>
      <c r="F37" s="666">
        <f ca="1">'Main graph Results'!O412</f>
        <v>0</v>
      </c>
      <c r="G37" s="666">
        <f ca="1">'Main graph Results'!L412</f>
        <v>0</v>
      </c>
      <c r="H37" s="590">
        <f ca="1">'Main graph Results'!T412</f>
        <v>0</v>
      </c>
      <c r="I37" s="590">
        <f ca="1">'Main graph Results'!Y412</f>
        <v>5.3769467648462381</v>
      </c>
      <c r="J37" s="590">
        <f ca="1">'Main graph Results'!AD412</f>
        <v>24.1199900703635</v>
      </c>
      <c r="K37" s="590">
        <f ca="1">'Main graph Results'!AI412</f>
        <v>46.990587959186186</v>
      </c>
      <c r="L37" s="590">
        <f ca="1">'Main graph Results'!AN412</f>
        <v>56.263980064741801</v>
      </c>
      <c r="M37" s="590">
        <f ca="1">'Main graph Results'!AS412</f>
        <v>54.813060084372431</v>
      </c>
      <c r="N37" s="578"/>
      <c r="R37" s="689"/>
      <c r="S37" s="689"/>
      <c r="T37" s="689"/>
      <c r="U37" s="689"/>
      <c r="V37" s="689"/>
      <c r="W37" s="689"/>
      <c r="X37" s="689"/>
      <c r="Y37" s="689"/>
      <c r="AQ37" s="575"/>
      <c r="AR37" s="402"/>
    </row>
    <row r="38" spans="3:44" s="395" customFormat="1" ht="11.25">
      <c r="C38" s="400" t="str">
        <f>'Main graph Results'!E413</f>
        <v>HGVs - diesel</v>
      </c>
      <c r="D38" s="400"/>
      <c r="E38" s="589">
        <f ca="1">'Main graph Results'!J413</f>
        <v>395.47956789801282</v>
      </c>
      <c r="F38" s="665">
        <f ca="1">'Main graph Results'!O413</f>
        <v>392.26903646626772</v>
      </c>
      <c r="G38" s="665">
        <f ca="1">'Main graph Results'!L413</f>
        <v>396.80404991922705</v>
      </c>
      <c r="H38" s="589">
        <f ca="1">'Main graph Results'!T413</f>
        <v>399.72879323694036</v>
      </c>
      <c r="I38" s="589">
        <f ca="1">'Main graph Results'!Y413</f>
        <v>380.67899142053056</v>
      </c>
      <c r="J38" s="589">
        <f ca="1">'Main graph Results'!AD413</f>
        <v>263.21291017601544</v>
      </c>
      <c r="K38" s="589">
        <f ca="1">'Main graph Results'!AI413</f>
        <v>115.64321944873699</v>
      </c>
      <c r="L38" s="589">
        <f ca="1">'Main graph Results'!AN413</f>
        <v>30.441257027073174</v>
      </c>
      <c r="M38" s="589">
        <f ca="1">'Main graph Results'!AS413</f>
        <v>2.7804375921433313</v>
      </c>
      <c r="N38" s="550"/>
      <c r="R38" s="689"/>
      <c r="S38" s="689"/>
      <c r="T38" s="689"/>
      <c r="U38" s="689"/>
      <c r="V38" s="689"/>
      <c r="W38" s="689"/>
      <c r="X38" s="689"/>
      <c r="Y38" s="689"/>
      <c r="AQ38" s="575"/>
      <c r="AR38" s="402"/>
    </row>
    <row r="39" spans="3:44" s="395" customFormat="1" ht="11.25">
      <c r="C39" s="401" t="str">
        <f>'Main graph Results'!E414</f>
        <v>HGVs - electricity</v>
      </c>
      <c r="D39" s="401"/>
      <c r="E39" s="590">
        <f ca="1">'Main graph Results'!J414</f>
        <v>0</v>
      </c>
      <c r="F39" s="666">
        <f ca="1">'Main graph Results'!O414</f>
        <v>0</v>
      </c>
      <c r="G39" s="666">
        <f ca="1">'Main graph Results'!L414</f>
        <v>0</v>
      </c>
      <c r="H39" s="590">
        <f ca="1">'Main graph Results'!T414</f>
        <v>0</v>
      </c>
      <c r="I39" s="590">
        <f ca="1">'Main graph Results'!Y414</f>
        <v>22.941371665447491</v>
      </c>
      <c r="J39" s="590">
        <f ca="1">'Main graph Results'!AD414</f>
        <v>120.90179848201142</v>
      </c>
      <c r="K39" s="590">
        <f ca="1">'Main graph Results'!AI414</f>
        <v>247.58631885702368</v>
      </c>
      <c r="L39" s="590">
        <f ca="1">'Main graph Results'!AN414</f>
        <v>323.62565976267217</v>
      </c>
      <c r="M39" s="590">
        <f ca="1">'Main graph Results'!AS414</f>
        <v>352.84816976751154</v>
      </c>
      <c r="R39" s="689"/>
      <c r="S39" s="689"/>
      <c r="T39" s="689"/>
      <c r="U39" s="689"/>
      <c r="V39" s="689"/>
      <c r="W39" s="689"/>
      <c r="X39" s="689"/>
      <c r="Y39" s="689"/>
      <c r="AQ39" s="575"/>
      <c r="AR39" s="402"/>
    </row>
    <row r="40" spans="3:44" s="395" customFormat="1" ht="11.25">
      <c r="C40" s="400" t="str">
        <f>'Main graph Results'!E415</f>
        <v>Buses - hydrogen</v>
      </c>
      <c r="D40" s="400"/>
      <c r="E40" s="589">
        <f ca="1">'Main graph Results'!J415</f>
        <v>0</v>
      </c>
      <c r="F40" s="665">
        <f ca="1">'Main graph Results'!O415</f>
        <v>0</v>
      </c>
      <c r="G40" s="665">
        <f ca="1">'Main graph Results'!L415</f>
        <v>0</v>
      </c>
      <c r="H40" s="589">
        <f ca="1">'Main graph Results'!T415</f>
        <v>0.30551647294403628</v>
      </c>
      <c r="I40" s="589">
        <f ca="1">'Main graph Results'!Y415</f>
        <v>6.6495258285633616</v>
      </c>
      <c r="J40" s="589">
        <f ca="1">'Main graph Results'!AD415</f>
        <v>16.232413909658572</v>
      </c>
      <c r="K40" s="589">
        <f ca="1">'Main graph Results'!AI415</f>
        <v>23.99408732135354</v>
      </c>
      <c r="L40" s="589">
        <f ca="1">'Main graph Results'!AN415</f>
        <v>27.848198655838925</v>
      </c>
      <c r="M40" s="589">
        <f ca="1">'Main graph Results'!AS415</f>
        <v>26.902454087221273</v>
      </c>
      <c r="N40" s="552"/>
      <c r="AQ40" s="575"/>
      <c r="AR40" s="402"/>
    </row>
    <row r="41" spans="3:44" s="395" customFormat="1" ht="11.25">
      <c r="C41" s="401" t="str">
        <f>'Main graph Results'!E416</f>
        <v>Buses - diesel</v>
      </c>
      <c r="D41" s="401"/>
      <c r="E41" s="590">
        <f ca="1">'Main graph Results'!J416</f>
        <v>229.96252713769371</v>
      </c>
      <c r="F41" s="666">
        <f ca="1">'Main graph Results'!O416</f>
        <v>222.92581401861105</v>
      </c>
      <c r="G41" s="666">
        <f ca="1">'Main graph Results'!L416</f>
        <v>230.73268382205984</v>
      </c>
      <c r="H41" s="590">
        <f ca="1">'Main graph Results'!T416</f>
        <v>163.78141055700067</v>
      </c>
      <c r="I41" s="590">
        <f ca="1">'Main graph Results'!Y416</f>
        <v>74.094716375420305</v>
      </c>
      <c r="J41" s="590">
        <f ca="1">'Main graph Results'!AD416</f>
        <v>45.832698097859492</v>
      </c>
      <c r="K41" s="590">
        <f ca="1">'Main graph Results'!AI416</f>
        <v>20.155033349936975</v>
      </c>
      <c r="L41" s="590">
        <f ca="1">'Main graph Results'!AN416</f>
        <v>5.7616962736218476</v>
      </c>
      <c r="M41" s="590">
        <f ca="1">'Main graph Results'!AS416</f>
        <v>0.96080193168647399</v>
      </c>
      <c r="AQ41" s="575"/>
      <c r="AR41" s="402"/>
    </row>
    <row r="42" spans="3:44" s="395" customFormat="1" ht="11.25">
      <c r="C42" s="400" t="str">
        <f>'Main graph Results'!E417</f>
        <v>Buses - electricity</v>
      </c>
      <c r="D42" s="400"/>
      <c r="E42" s="589">
        <f ca="1">'Main graph Results'!J417</f>
        <v>2.7561701530568303</v>
      </c>
      <c r="F42" s="665">
        <f ca="1">'Main graph Results'!O417</f>
        <v>5.1698608682238065</v>
      </c>
      <c r="G42" s="665">
        <f ca="1">'Main graph Results'!L417</f>
        <v>2.7654007128921547</v>
      </c>
      <c r="H42" s="589">
        <f ca="1">'Main graph Results'!T417</f>
        <v>68.190427176707274</v>
      </c>
      <c r="I42" s="589">
        <f ca="1">'Main graph Results'!Y417</f>
        <v>150.58699779349263</v>
      </c>
      <c r="J42" s="589">
        <f ca="1">'Main graph Results'!AD417</f>
        <v>169.75277395678407</v>
      </c>
      <c r="K42" s="589">
        <f ca="1">'Main graph Results'!AI417</f>
        <v>189.11517475269159</v>
      </c>
      <c r="L42" s="589">
        <f ca="1">'Main graph Results'!AN417</f>
        <v>199.70632243613795</v>
      </c>
      <c r="M42" s="589">
        <f ca="1">'Main graph Results'!AS417</f>
        <v>205.50488328830758</v>
      </c>
      <c r="AC42" s="402"/>
      <c r="AD42" s="402"/>
    </row>
    <row r="43" spans="3:44" s="395" customFormat="1" ht="11.25">
      <c r="C43" s="401" t="str">
        <f>'Main graph Results'!E418</f>
        <v/>
      </c>
      <c r="D43" s="401"/>
      <c r="E43" s="590" t="str">
        <f>'Main graph Results'!J418</f>
        <v/>
      </c>
      <c r="F43" s="666" t="str">
        <f>'Main graph Results'!O418</f>
        <v/>
      </c>
      <c r="G43" s="666" t="str">
        <f>'Main graph Results'!L418</f>
        <v/>
      </c>
      <c r="H43" s="590" t="str">
        <f>'Main graph Results'!T418</f>
        <v/>
      </c>
      <c r="I43" s="590" t="str">
        <f>'Main graph Results'!Y418</f>
        <v/>
      </c>
      <c r="J43" s="590" t="str">
        <f>'Main graph Results'!AD418</f>
        <v/>
      </c>
      <c r="K43" s="590" t="str">
        <f>'Main graph Results'!AI418</f>
        <v/>
      </c>
      <c r="L43" s="590" t="str">
        <f>'Main graph Results'!AN418</f>
        <v/>
      </c>
      <c r="M43" s="590" t="str">
        <f>'Main graph Results'!AS418</f>
        <v/>
      </c>
      <c r="AP43" s="395" t="s">
        <v>146</v>
      </c>
    </row>
    <row r="44" spans="3:44" s="395" customFormat="1" ht="11.25">
      <c r="C44" s="400" t="str">
        <f>'Main graph Results'!E419</f>
        <v/>
      </c>
      <c r="D44" s="400"/>
      <c r="E44" s="589" t="str">
        <f>'Main graph Results'!J419</f>
        <v/>
      </c>
      <c r="F44" s="665" t="str">
        <f>'Main graph Results'!O419</f>
        <v/>
      </c>
      <c r="G44" s="665" t="str">
        <f>'Main graph Results'!L419</f>
        <v/>
      </c>
      <c r="H44" s="589" t="str">
        <f>'Main graph Results'!T419</f>
        <v/>
      </c>
      <c r="I44" s="589" t="str">
        <f>'Main graph Results'!Y419</f>
        <v/>
      </c>
      <c r="J44" s="589" t="str">
        <f>'Main graph Results'!AD419</f>
        <v/>
      </c>
      <c r="K44" s="589" t="str">
        <f>'Main graph Results'!AI419</f>
        <v/>
      </c>
      <c r="L44" s="589" t="str">
        <f>'Main graph Results'!AN419</f>
        <v/>
      </c>
      <c r="M44" s="589" t="str">
        <f>'Main graph Results'!AS419</f>
        <v/>
      </c>
      <c r="AP44" s="395" t="s">
        <v>146</v>
      </c>
    </row>
    <row r="45" spans="3:44" s="395" customFormat="1" ht="11.25">
      <c r="C45" s="401" t="str">
        <f>'Main graph Results'!E420</f>
        <v/>
      </c>
      <c r="D45" s="401"/>
      <c r="E45" s="590" t="str">
        <f>'Main graph Results'!J420</f>
        <v/>
      </c>
      <c r="F45" s="666" t="str">
        <f>'Main graph Results'!O420</f>
        <v/>
      </c>
      <c r="G45" s="666" t="str">
        <f>'Main graph Results'!L420</f>
        <v/>
      </c>
      <c r="H45" s="590" t="str">
        <f>'Main graph Results'!T420</f>
        <v/>
      </c>
      <c r="I45" s="590" t="str">
        <f>'Main graph Results'!Y420</f>
        <v/>
      </c>
      <c r="J45" s="590" t="str">
        <f>'Main graph Results'!AD420</f>
        <v/>
      </c>
      <c r="K45" s="590" t="str">
        <f>'Main graph Results'!AI420</f>
        <v/>
      </c>
      <c r="L45" s="590" t="str">
        <f>'Main graph Results'!AN420</f>
        <v/>
      </c>
      <c r="M45" s="590" t="str">
        <f>'Main graph Results'!AS420</f>
        <v/>
      </c>
      <c r="AP45" s="395" t="s">
        <v>146</v>
      </c>
    </row>
    <row r="46" spans="3:44" s="395" customFormat="1" ht="11.25">
      <c r="C46" s="403"/>
      <c r="D46" s="403"/>
      <c r="E46" s="511"/>
      <c r="F46" s="679"/>
      <c r="G46" s="679"/>
      <c r="H46" s="404"/>
      <c r="I46" s="511"/>
      <c r="J46" s="404"/>
      <c r="K46" s="511"/>
      <c r="L46" s="511"/>
      <c r="M46" s="511"/>
    </row>
    <row r="47" spans="3:44" s="395" customFormat="1" ht="11.25">
      <c r="C47" s="652" t="str">
        <f>IF('Main graph Results'!E422="","",'Main graph Results'!E422)</f>
        <v>This is based on the Mayor's Transport Strategy, reflecting significant modal shift and uptake of electric vehicles, with some hydrogen fuel cell vehicles if available</v>
      </c>
      <c r="D47" s="652"/>
      <c r="E47" s="652"/>
      <c r="F47" s="652"/>
      <c r="G47" s="652"/>
      <c r="H47" s="652"/>
      <c r="I47" s="652"/>
      <c r="J47" s="652"/>
      <c r="K47" s="652"/>
      <c r="L47" s="652"/>
      <c r="M47" s="405"/>
    </row>
    <row r="48" spans="3:44" s="395" customFormat="1" ht="11.25">
      <c r="C48" s="652"/>
      <c r="D48" s="652"/>
      <c r="E48" s="652"/>
      <c r="F48" s="652"/>
      <c r="G48" s="652"/>
      <c r="H48" s="652"/>
      <c r="I48" s="652"/>
      <c r="J48" s="652"/>
      <c r="K48" s="652"/>
      <c r="L48" s="652"/>
      <c r="M48" s="545"/>
    </row>
    <row r="49" spans="1:13" s="395" customFormat="1" ht="11.25">
      <c r="C49" s="652"/>
      <c r="D49" s="652"/>
      <c r="E49" s="652"/>
      <c r="F49" s="652"/>
      <c r="G49" s="652"/>
      <c r="H49" s="652"/>
      <c r="I49" s="652"/>
      <c r="J49" s="652"/>
      <c r="K49" s="652"/>
      <c r="L49" s="652"/>
    </row>
    <row r="50" spans="1:13" s="395" customFormat="1" ht="11.25">
      <c r="C50" s="652"/>
      <c r="D50" s="652"/>
      <c r="E50" s="652"/>
      <c r="F50" s="652"/>
      <c r="G50" s="652"/>
      <c r="H50" s="652"/>
      <c r="I50" s="652"/>
      <c r="J50" s="652"/>
      <c r="K50" s="652"/>
      <c r="L50" s="652"/>
    </row>
    <row r="51" spans="1:13" s="395" customFormat="1" ht="11.25">
      <c r="C51" s="652"/>
      <c r="D51" s="652"/>
      <c r="E51" s="652"/>
      <c r="F51" s="652"/>
      <c r="G51" s="652"/>
      <c r="H51" s="652"/>
      <c r="I51" s="652"/>
      <c r="J51" s="652"/>
      <c r="K51" s="652"/>
      <c r="L51" s="652"/>
    </row>
    <row r="52" spans="1:13" s="395" customFormat="1" ht="11.25"/>
    <row r="53" spans="1:13" s="522" customFormat="1" ht="11.25">
      <c r="C53" s="522" t="s">
        <v>147</v>
      </c>
      <c r="I53" s="521"/>
      <c r="J53" s="521"/>
      <c r="K53" s="521"/>
      <c r="L53" s="521"/>
      <c r="M53" s="521"/>
    </row>
    <row r="54" spans="1:13" s="395" customFormat="1" ht="16.5" customHeight="1">
      <c r="A54" s="541" t="s">
        <v>148</v>
      </c>
      <c r="C54" s="407"/>
    </row>
    <row r="55" spans="1:13" s="395" customFormat="1" ht="11.25" customHeight="1">
      <c r="C55" s="396" t="s">
        <v>149</v>
      </c>
      <c r="D55" s="668" t="s">
        <v>150</v>
      </c>
      <c r="E55" s="668"/>
      <c r="F55" s="668"/>
      <c r="G55" s="668"/>
      <c r="H55" s="668"/>
      <c r="I55" s="668"/>
      <c r="J55" s="668"/>
    </row>
    <row r="56" spans="1:13" s="395" customFormat="1" ht="156.75" customHeight="1">
      <c r="C56" s="686" t="str">
        <f>IF($D$55='Retrofit and HP Results'!$B$3,'Retrofit and HP Results'!E33,"")</f>
        <v/>
      </c>
      <c r="D56" s="686"/>
      <c r="E56" s="686"/>
      <c r="F56" s="686"/>
      <c r="G56" s="686"/>
      <c r="H56" s="686"/>
    </row>
    <row r="57" spans="1:13" s="395" customFormat="1" ht="11.25">
      <c r="C57" s="686"/>
      <c r="D57" s="686"/>
      <c r="E57" s="686"/>
      <c r="F57" s="686"/>
      <c r="G57" s="686"/>
      <c r="H57" s="686"/>
    </row>
    <row r="58" spans="1:13" s="395" customFormat="1" ht="11.25">
      <c r="C58" s="686"/>
      <c r="D58" s="686"/>
      <c r="E58" s="686"/>
      <c r="F58" s="686"/>
      <c r="G58" s="686"/>
      <c r="H58" s="686"/>
    </row>
    <row r="59" spans="1:13" s="395" customFormat="1" ht="11.25">
      <c r="C59" s="686"/>
      <c r="D59" s="686"/>
      <c r="E59" s="686"/>
      <c r="F59" s="686"/>
      <c r="G59" s="686"/>
      <c r="H59" s="686"/>
    </row>
    <row r="60" spans="1:13" s="395" customFormat="1" ht="11.25">
      <c r="C60" s="686"/>
      <c r="D60" s="686"/>
      <c r="E60" s="686"/>
      <c r="F60" s="686"/>
      <c r="G60" s="686"/>
      <c r="H60" s="686"/>
    </row>
    <row r="61" spans="1:13" s="395" customFormat="1" ht="11.25">
      <c r="C61" s="686"/>
      <c r="D61" s="686"/>
      <c r="E61" s="686"/>
      <c r="F61" s="686"/>
      <c r="G61" s="686"/>
      <c r="H61" s="686"/>
    </row>
    <row r="62" spans="1:13" s="395" customFormat="1" ht="11.25"/>
    <row r="63" spans="1:13" s="395" customFormat="1" ht="11.25"/>
    <row r="64" spans="1:13" s="395" customFormat="1" ht="11.25"/>
    <row r="65" spans="1:22" s="395" customFormat="1" ht="11.25"/>
    <row r="66" spans="1:22" s="395" customFormat="1" ht="11.25"/>
    <row r="67" spans="1:22" s="395" customFormat="1" ht="11.25"/>
    <row r="68" spans="1:22" s="395" customFormat="1" ht="11.25"/>
    <row r="69" spans="1:22" s="395" customFormat="1" ht="11.25"/>
    <row r="70" spans="1:22" s="522" customFormat="1" ht="11.25">
      <c r="C70" s="522" t="s">
        <v>151</v>
      </c>
      <c r="I70" s="521"/>
      <c r="J70" s="521"/>
      <c r="K70" s="521"/>
      <c r="L70" s="521"/>
      <c r="M70" s="521"/>
    </row>
    <row r="71" spans="1:22" s="395" customFormat="1" ht="20.25" customHeight="1">
      <c r="A71" s="541" t="s">
        <v>148</v>
      </c>
      <c r="D71" s="653"/>
      <c r="E71" s="653"/>
      <c r="F71" s="653"/>
      <c r="G71" s="653"/>
      <c r="H71" s="653"/>
      <c r="I71" s="653"/>
    </row>
    <row r="72" spans="1:22" s="395" customFormat="1" ht="15" customHeight="1">
      <c r="D72" s="653"/>
      <c r="E72" s="653"/>
      <c r="F72" s="653"/>
      <c r="G72" s="653"/>
      <c r="H72" s="653"/>
      <c r="I72" s="653"/>
    </row>
    <row r="73" spans="1:22" s="395" customFormat="1" ht="11.25">
      <c r="D73" s="653"/>
      <c r="E73" s="653"/>
      <c r="F73" s="653"/>
      <c r="G73" s="653"/>
      <c r="H73" s="653"/>
      <c r="I73" s="653"/>
    </row>
    <row r="74" spans="1:22" s="395" customFormat="1" ht="15.75" customHeight="1">
      <c r="D74" s="396" t="s">
        <v>149</v>
      </c>
      <c r="E74" s="664" t="s">
        <v>152</v>
      </c>
      <c r="F74" s="664"/>
      <c r="G74" s="664"/>
      <c r="H74" s="664"/>
      <c r="I74" s="664"/>
      <c r="P74" s="651"/>
      <c r="Q74" s="651"/>
      <c r="R74" s="651"/>
      <c r="S74" s="651"/>
      <c r="T74" s="651"/>
      <c r="U74" s="651"/>
      <c r="V74" s="651"/>
    </row>
    <row r="75" spans="1:22" s="395" customFormat="1" ht="11.25">
      <c r="D75" s="406"/>
      <c r="E75" s="406"/>
      <c r="F75" s="406"/>
      <c r="G75" s="406"/>
      <c r="H75" s="406"/>
      <c r="I75" s="406"/>
      <c r="P75" s="651"/>
      <c r="Q75" s="651"/>
      <c r="R75" s="651"/>
      <c r="S75" s="651"/>
      <c r="T75" s="651"/>
      <c r="U75" s="651"/>
      <c r="V75" s="651"/>
    </row>
    <row r="76" spans="1:22" s="395" customFormat="1" ht="15" customHeight="1">
      <c r="D76" s="652"/>
      <c r="E76" s="652"/>
      <c r="F76" s="652"/>
      <c r="G76" s="652"/>
      <c r="H76" s="652"/>
      <c r="I76" s="652"/>
      <c r="P76" s="651"/>
      <c r="Q76" s="651"/>
      <c r="R76" s="651"/>
      <c r="S76" s="651"/>
      <c r="T76" s="651"/>
      <c r="U76" s="651"/>
      <c r="V76" s="651"/>
    </row>
    <row r="77" spans="1:22" s="395" customFormat="1" ht="11.25">
      <c r="D77" s="652"/>
      <c r="E77" s="652"/>
      <c r="F77" s="652"/>
      <c r="G77" s="652"/>
      <c r="H77" s="652"/>
      <c r="I77" s="652"/>
    </row>
    <row r="78" spans="1:22" s="395" customFormat="1" ht="11.25">
      <c r="D78" s="652"/>
      <c r="E78" s="652"/>
      <c r="F78" s="652"/>
      <c r="G78" s="652"/>
      <c r="H78" s="652"/>
      <c r="I78" s="652"/>
    </row>
    <row r="79" spans="1:22" s="395" customFormat="1" ht="11.25">
      <c r="D79" s="652"/>
      <c r="E79" s="652"/>
      <c r="F79" s="652"/>
      <c r="G79" s="652"/>
      <c r="H79" s="652"/>
      <c r="I79" s="652"/>
    </row>
    <row r="80" spans="1:22" s="395" customFormat="1" ht="11.25">
      <c r="D80" s="652"/>
      <c r="E80" s="652"/>
      <c r="F80" s="652"/>
      <c r="G80" s="652"/>
      <c r="H80" s="652"/>
      <c r="I80" s="652"/>
    </row>
    <row r="81" spans="1:22" s="395" customFormat="1" ht="11.25">
      <c r="D81" s="652"/>
      <c r="E81" s="652"/>
      <c r="F81" s="652"/>
      <c r="G81" s="652"/>
      <c r="H81" s="652"/>
      <c r="I81" s="652"/>
    </row>
    <row r="82" spans="1:22" s="395" customFormat="1" ht="11.25"/>
    <row r="83" spans="1:22" s="395" customFormat="1" ht="11.25"/>
    <row r="84" spans="1:22" s="395" customFormat="1" ht="11.25"/>
    <row r="85" spans="1:22" s="395" customFormat="1" ht="11.25"/>
    <row r="86" spans="1:22" s="395" customFormat="1" ht="11.25"/>
    <row r="87" spans="1:22" s="395" customFormat="1" ht="11.25"/>
    <row r="88" spans="1:22" s="395" customFormat="1" ht="11.25"/>
    <row r="89" spans="1:22" s="522" customFormat="1" ht="11.25">
      <c r="C89" s="522" t="s">
        <v>153</v>
      </c>
      <c r="I89" s="521"/>
      <c r="J89" s="521"/>
      <c r="K89" s="521"/>
      <c r="L89" s="521"/>
      <c r="M89" s="521"/>
    </row>
    <row r="90" spans="1:22" s="395" customFormat="1" ht="20.25" customHeight="1">
      <c r="A90" s="541" t="s">
        <v>148</v>
      </c>
      <c r="D90" s="635"/>
      <c r="E90" s="635"/>
      <c r="F90" s="635"/>
      <c r="G90" s="635"/>
      <c r="H90" s="635"/>
      <c r="I90" s="635"/>
    </row>
    <row r="91" spans="1:22" s="395" customFormat="1" ht="15" customHeight="1">
      <c r="D91" s="634"/>
      <c r="E91" s="634"/>
      <c r="F91" s="634"/>
      <c r="G91" s="634"/>
      <c r="H91" s="634"/>
      <c r="I91" s="634"/>
    </row>
    <row r="92" spans="1:22" s="395" customFormat="1" ht="11.25">
      <c r="D92" s="634"/>
      <c r="E92" s="634"/>
      <c r="F92" s="634"/>
      <c r="G92" s="634"/>
      <c r="H92" s="634"/>
      <c r="I92" s="634"/>
    </row>
    <row r="93" spans="1:22" s="395" customFormat="1" ht="15.75" customHeight="1">
      <c r="D93" s="634"/>
      <c r="E93" s="634"/>
      <c r="F93" s="634"/>
      <c r="G93" s="634"/>
      <c r="H93" s="634"/>
      <c r="I93" s="634"/>
      <c r="P93" s="651"/>
      <c r="Q93" s="651"/>
      <c r="R93" s="651"/>
      <c r="S93" s="651"/>
      <c r="T93" s="651"/>
      <c r="U93" s="651"/>
      <c r="V93" s="651"/>
    </row>
    <row r="94" spans="1:22" s="395" customFormat="1" ht="11.25">
      <c r="D94" s="634"/>
      <c r="E94" s="634"/>
      <c r="F94" s="634"/>
      <c r="G94" s="634"/>
      <c r="H94" s="634"/>
      <c r="I94" s="634"/>
      <c r="P94" s="651"/>
      <c r="Q94" s="651"/>
      <c r="R94" s="651"/>
      <c r="S94" s="651"/>
      <c r="T94" s="651"/>
      <c r="U94" s="651"/>
      <c r="V94" s="651"/>
    </row>
    <row r="95" spans="1:22" s="395" customFormat="1" ht="15" customHeight="1">
      <c r="D95" s="634"/>
      <c r="E95" s="634"/>
      <c r="F95" s="634"/>
      <c r="G95" s="634"/>
      <c r="H95" s="634"/>
      <c r="I95" s="634"/>
      <c r="P95" s="651"/>
      <c r="Q95" s="651"/>
      <c r="R95" s="651"/>
      <c r="S95" s="651"/>
      <c r="T95" s="651"/>
      <c r="U95" s="651"/>
      <c r="V95" s="651"/>
    </row>
    <row r="96" spans="1:22" s="395" customFormat="1" ht="11.25">
      <c r="D96" s="634"/>
      <c r="E96" s="634"/>
      <c r="F96" s="634"/>
      <c r="G96" s="634"/>
      <c r="H96" s="634"/>
      <c r="I96" s="634"/>
    </row>
    <row r="97" spans="1:9" s="395" customFormat="1" ht="11.25">
      <c r="D97" s="634"/>
      <c r="E97" s="634"/>
      <c r="F97" s="634"/>
      <c r="G97" s="634"/>
      <c r="H97" s="634"/>
      <c r="I97" s="634"/>
    </row>
    <row r="98" spans="1:9" s="395" customFormat="1" ht="11.25">
      <c r="D98" s="634"/>
      <c r="E98" s="634"/>
      <c r="F98" s="634"/>
      <c r="G98" s="634"/>
      <c r="H98" s="634"/>
      <c r="I98" s="634"/>
    </row>
    <row r="99" spans="1:9" s="395" customFormat="1" ht="11.25">
      <c r="D99" s="634"/>
      <c r="E99" s="634"/>
      <c r="F99" s="634"/>
      <c r="G99" s="634"/>
      <c r="H99" s="634"/>
      <c r="I99" s="634"/>
    </row>
    <row r="100" spans="1:9" s="395" customFormat="1" ht="11.25">
      <c r="D100" s="634"/>
      <c r="E100" s="634"/>
      <c r="F100" s="634"/>
      <c r="G100" s="634"/>
      <c r="H100" s="634"/>
      <c r="I100" s="634"/>
    </row>
    <row r="101" spans="1:9" s="395" customFormat="1" ht="11.25"/>
    <row r="102" spans="1:9" s="395" customFormat="1" ht="11.25"/>
    <row r="103" spans="1:9" s="395" customFormat="1" ht="11.25"/>
    <row r="104" spans="1:9" s="395" customFormat="1" ht="11.25"/>
    <row r="105" spans="1:9" s="395" customFormat="1" ht="11.25"/>
    <row r="106" spans="1:9" s="395" customFormat="1" ht="11.25"/>
    <row r="107" spans="1:9" s="395" customFormat="1" ht="9.9499999999999993" customHeight="1"/>
    <row r="108" spans="1:9" s="395" customFormat="1" ht="11.25"/>
    <row r="109" spans="1:9" s="395" customFormat="1" ht="11.25"/>
    <row r="110" spans="1:9" s="384" customFormat="1" ht="11.25" hidden="1"/>
    <row r="111" spans="1:9" s="409" customFormat="1" ht="20.100000000000001" hidden="1" customHeight="1">
      <c r="A111" s="408" t="str">
        <f>D5&amp;" Context Data"</f>
        <v>Inner London Context Data</v>
      </c>
    </row>
    <row r="112" spans="1:9" s="410" customFormat="1" ht="11.25" hidden="1"/>
    <row r="113" spans="28:28" s="410" customFormat="1" ht="15" hidden="1" customHeight="1"/>
    <row r="114" spans="28:28" s="410" customFormat="1" ht="15" hidden="1" customHeight="1"/>
    <row r="115" spans="28:28" s="410" customFormat="1" ht="15" hidden="1" customHeight="1"/>
    <row r="116" spans="28:28" s="410" customFormat="1" ht="15" hidden="1" customHeight="1"/>
    <row r="117" spans="28:28" s="410" customFormat="1" ht="15" hidden="1" customHeight="1"/>
    <row r="118" spans="28:28" s="410" customFormat="1" ht="15" hidden="1" customHeight="1"/>
    <row r="119" spans="28:28" s="410" customFormat="1" ht="15" hidden="1" customHeight="1"/>
    <row r="120" spans="28:28" s="410" customFormat="1" ht="15" hidden="1" customHeight="1"/>
    <row r="121" spans="28:28" s="410" customFormat="1" ht="15" hidden="1" customHeight="1"/>
    <row r="122" spans="28:28" s="410" customFormat="1" ht="15" hidden="1" customHeight="1"/>
    <row r="123" spans="28:28" s="410" customFormat="1" ht="15" hidden="1" customHeight="1"/>
    <row r="124" spans="28:28" s="410" customFormat="1" ht="15" hidden="1" customHeight="1"/>
    <row r="125" spans="28:28" s="410" customFormat="1" ht="15" hidden="1" customHeight="1"/>
    <row r="126" spans="28:28" s="410" customFormat="1" ht="15" hidden="1" customHeight="1"/>
    <row r="127" spans="28:28" s="410" customFormat="1" ht="15" hidden="1" customHeight="1">
      <c r="AB127" s="510"/>
    </row>
    <row r="128" spans="28:28" s="410" customFormat="1" ht="15" hidden="1" customHeight="1"/>
    <row r="129" spans="1:1" s="410" customFormat="1" ht="15" hidden="1" customHeight="1"/>
    <row r="130" spans="1:1" s="410" customFormat="1" ht="15" hidden="1" customHeight="1"/>
    <row r="131" spans="1:1" s="411" customFormat="1" ht="11.25">
      <c r="A131" s="411" t="s">
        <v>154</v>
      </c>
    </row>
    <row r="132" spans="1:1" ht="31.5" customHeight="1"/>
    <row r="133" spans="1:1" ht="31.5" customHeight="1"/>
    <row r="134" spans="1:1" ht="31.5" customHeight="1"/>
    <row r="135" spans="1:1" ht="31.5" customHeight="1"/>
    <row r="136" spans="1:1" ht="31.5" customHeight="1"/>
    <row r="137" spans="1:1" ht="31.5" customHeight="1"/>
    <row r="138" spans="1:1" ht="31.5" customHeight="1"/>
    <row r="139" spans="1:1" ht="31.5" customHeight="1"/>
    <row r="140" spans="1:1" ht="31.5" customHeight="1"/>
    <row r="141" spans="1:1" ht="31.5" customHeight="1"/>
    <row r="142" spans="1:1" ht="31.5" customHeight="1"/>
    <row r="143" spans="1:1" ht="31.5" customHeight="1"/>
    <row r="144" spans="1:1" ht="31.5" customHeight="1"/>
    <row r="145" ht="31.5" customHeight="1"/>
    <row r="146" ht="31.5" customHeight="1"/>
    <row r="147" ht="31.5" customHeight="1"/>
    <row r="148" ht="31.5" customHeight="1"/>
    <row r="149" ht="31.5" customHeight="1"/>
    <row r="150" ht="31.5" customHeight="1"/>
    <row r="151" ht="31.5" customHeight="1"/>
    <row r="152" ht="31.5" customHeight="1"/>
    <row r="153" ht="31.5" customHeight="1"/>
    <row r="154" ht="31.5" customHeight="1"/>
    <row r="155" ht="31.5" customHeight="1"/>
    <row r="156" ht="31.5" customHeight="1"/>
    <row r="157" ht="31.5" customHeight="1"/>
    <row r="158" ht="31.5" customHeight="1"/>
    <row r="159" ht="31.5" customHeight="1"/>
    <row r="160" ht="31.5" customHeight="1"/>
    <row r="161" ht="31.5" customHeight="1"/>
    <row r="162" ht="31.5" customHeight="1"/>
    <row r="163" ht="31.5" customHeight="1"/>
    <row r="164" ht="31.5" customHeight="1"/>
    <row r="165" ht="31.5" customHeight="1"/>
    <row r="166" ht="31.5" customHeight="1"/>
  </sheetData>
  <sheetProtection algorithmName="SHA-512" hashValue="dZppBFrRxnIU3qMpMWilLbt5rH1TivBgukUVhD0u/y9h29QisVuPrHDjVxg/v7VTP4s+cPW7LBleQoKmUKHJvA==" saltValue="1W6QChp3Pz0FanFk0m7rFQ==" spinCount="100000" sheet="1" objects="1" scenarios="1"/>
  <mergeCells count="55">
    <mergeCell ref="C56:H61"/>
    <mergeCell ref="F36:G36"/>
    <mergeCell ref="O12:R12"/>
    <mergeCell ref="O14:R14"/>
    <mergeCell ref="O16:R16"/>
    <mergeCell ref="P13:Q13"/>
    <mergeCell ref="P15:Q15"/>
    <mergeCell ref="P17:Q17"/>
    <mergeCell ref="F44:G44"/>
    <mergeCell ref="R36:Y39"/>
    <mergeCell ref="F35:G35"/>
    <mergeCell ref="F33:G33"/>
    <mergeCell ref="D29:F29"/>
    <mergeCell ref="I29:M29"/>
    <mergeCell ref="F34:G34"/>
    <mergeCell ref="C30:M30"/>
    <mergeCell ref="D55:J55"/>
    <mergeCell ref="F45:G45"/>
    <mergeCell ref="F46:G46"/>
    <mergeCell ref="D5:F5"/>
    <mergeCell ref="P11:Q11"/>
    <mergeCell ref="C47:L51"/>
    <mergeCell ref="F32:G32"/>
    <mergeCell ref="P7:Q7"/>
    <mergeCell ref="P9:Q9"/>
    <mergeCell ref="O8:R8"/>
    <mergeCell ref="O10:R10"/>
    <mergeCell ref="F38:G38"/>
    <mergeCell ref="F39:G39"/>
    <mergeCell ref="F41:G41"/>
    <mergeCell ref="F42:G42"/>
    <mergeCell ref="F43:G43"/>
    <mergeCell ref="A9:C11"/>
    <mergeCell ref="D9:F11"/>
    <mergeCell ref="H9:M11"/>
    <mergeCell ref="O6:R6"/>
    <mergeCell ref="A6:C8"/>
    <mergeCell ref="H6:M8"/>
    <mergeCell ref="D6:F8"/>
    <mergeCell ref="A12:C14"/>
    <mergeCell ref="H12:M14"/>
    <mergeCell ref="P93:V95"/>
    <mergeCell ref="P74:V76"/>
    <mergeCell ref="D76:I81"/>
    <mergeCell ref="D71:I73"/>
    <mergeCell ref="A17:C18"/>
    <mergeCell ref="D15:F16"/>
    <mergeCell ref="A15:C16"/>
    <mergeCell ref="D17:F18"/>
    <mergeCell ref="H15:M16"/>
    <mergeCell ref="E74:I74"/>
    <mergeCell ref="H17:M18"/>
    <mergeCell ref="F40:G40"/>
    <mergeCell ref="F37:G37"/>
    <mergeCell ref="D12:F14"/>
  </mergeCells>
  <dataValidations count="2">
    <dataValidation type="decimal" allowBlank="1" showInputMessage="1" showErrorMessage="1" sqref="D15" xr:uid="{5A196F0C-0763-45D0-9EFD-1024B29C29E8}">
      <formula1>0</formula1>
      <formula2>1</formula2>
    </dataValidation>
    <dataValidation type="list" allowBlank="1" showInputMessage="1" showErrorMessage="1" sqref="D17:F18" xr:uid="{07B8B874-7D92-4F74-BBD0-5BBF58A6843B}">
      <formula1>"Yes,No"</formula1>
    </dataValidation>
  </dataValidations>
  <hyperlinks>
    <hyperlink ref="A54" location="Dashboard!A20" display="Back to top" xr:uid="{00000000-0004-0000-0200-000005000000}"/>
    <hyperlink ref="A90" location="Dashboard!A20" display="Back to top" xr:uid="{00000000-0004-0000-0200-000006000000}"/>
    <hyperlink ref="A71" location="Dashboard!A20" display="Back to top" xr:uid="{00000000-0004-0000-0200-000007000000}"/>
  </hyperlinks>
  <pageMargins left="0.7" right="0.7" top="0.75" bottom="0.75" header="0.3" footer="0.3"/>
  <pageSetup paperSize="9" scale="26" orientation="portrait" r:id="rId1"/>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200-000002000000}">
          <x14:formula1>
            <xm:f>'2.5 Emission factors'!$E$21:$E$26</xm:f>
          </x14:formula1>
          <xm:sqref>D9</xm:sqref>
        </x14:dataValidation>
        <x14:dataValidation type="list" allowBlank="1" showInputMessage="1" showErrorMessage="1" xr:uid="{00000000-0002-0000-0200-000003000000}">
          <x14:formula1>
            <xm:f>'3.1 Building Energy'!$C$46:$AL$46</xm:f>
          </x14:formula1>
          <xm:sqref>D5:F5</xm:sqref>
        </x14:dataValidation>
        <x14:dataValidation type="list" allowBlank="1" showInputMessage="1" showErrorMessage="1" xr:uid="{00000000-0002-0000-0200-000005000000}">
          <x14:formula1>
            <xm:f>'Cost Results'!$C$2:$C$4</xm:f>
          </x14:formula1>
          <xm:sqref>E74:I74</xm:sqref>
        </x14:dataValidation>
        <x14:dataValidation type="list" allowBlank="1" showInputMessage="1" showErrorMessage="1" xr:uid="{00000000-0002-0000-0200-000006000000}">
          <x14:formula1>
            <xm:f>'Main graph Results'!$A$8:$A$11</xm:f>
          </x14:formula1>
          <xm:sqref>I29</xm:sqref>
        </x14:dataValidation>
        <x14:dataValidation type="list" allowBlank="1" showInputMessage="1" showErrorMessage="1" xr:uid="{00000000-0002-0000-0200-000008000000}">
          <x14:formula1>
            <xm:f>'Main graph Results'!$A$2:$H$2</xm:f>
          </x14:formula1>
          <xm:sqref>D29</xm:sqref>
        </x14:dataValidation>
        <x14:dataValidation type="list" allowBlank="1" showInputMessage="1" showErrorMessage="1" xr:uid="{8F58248D-E436-4EE5-AA87-F8DA481E8988}">
          <x14:formula1>
            <xm:f>'Scenario names'!$C$3:$C$6</xm:f>
          </x14:formula1>
          <xm:sqref>D6:F8</xm:sqref>
        </x14:dataValidation>
        <x14:dataValidation type="list" allowBlank="1" showInputMessage="1" showErrorMessage="1" xr:uid="{6D9041FC-EB87-4B9D-A6FD-4703EFDC336E}">
          <x14:formula1>
            <xm:f>'Carbon costs'!$B$5:$B$11</xm:f>
          </x14:formula1>
          <xm:sqref>D12:F14</xm:sqref>
        </x14:dataValidation>
        <x14:dataValidation type="list" allowBlank="1" showInputMessage="1" showErrorMessage="1" xr:uid="{3B1ECB4F-5F22-4DF3-8560-A968E5567EB9}">
          <x14:formula1>
            <xm:f>'Retrofit and HP Results'!$B$2:$B$4</xm:f>
          </x14:formula1>
          <xm:sqref>D55:J55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1575B0-1AD2-4FF7-9D63-CF96F5B2AFB1}">
  <dimension ref="A2:I11"/>
  <sheetViews>
    <sheetView workbookViewId="0">
      <selection activeCell="A4" sqref="A4"/>
    </sheetView>
  </sheetViews>
  <sheetFormatPr defaultRowHeight="15"/>
  <cols>
    <col min="1" max="1" width="23.7109375" bestFit="1" customWidth="1"/>
  </cols>
  <sheetData>
    <row r="2" spans="1:9">
      <c r="A2" t="s">
        <v>141</v>
      </c>
      <c r="B2">
        <v>2015</v>
      </c>
      <c r="C2">
        <v>2020</v>
      </c>
      <c r="D2">
        <v>2025</v>
      </c>
      <c r="E2">
        <v>2030</v>
      </c>
      <c r="F2">
        <v>2035</v>
      </c>
      <c r="G2">
        <v>2040</v>
      </c>
      <c r="H2">
        <v>2045</v>
      </c>
      <c r="I2">
        <v>2050</v>
      </c>
    </row>
    <row r="3" spans="1:9">
      <c r="A3" t="s">
        <v>1394</v>
      </c>
      <c r="B3">
        <v>34</v>
      </c>
      <c r="C3">
        <v>142</v>
      </c>
      <c r="D3">
        <v>1312</v>
      </c>
      <c r="E3">
        <v>3278</v>
      </c>
      <c r="F3">
        <v>4635</v>
      </c>
      <c r="G3">
        <v>4963</v>
      </c>
      <c r="H3">
        <v>5057</v>
      </c>
      <c r="I3">
        <v>4967</v>
      </c>
    </row>
    <row r="4" spans="1:9">
      <c r="A4" t="s">
        <v>1395</v>
      </c>
      <c r="B4">
        <v>0</v>
      </c>
      <c r="C4">
        <v>0</v>
      </c>
      <c r="D4">
        <v>2</v>
      </c>
      <c r="E4">
        <v>23</v>
      </c>
      <c r="F4">
        <v>113</v>
      </c>
      <c r="G4">
        <v>274</v>
      </c>
      <c r="H4">
        <v>457</v>
      </c>
      <c r="I4">
        <v>619</v>
      </c>
    </row>
    <row r="5" spans="1:9">
      <c r="A5" t="s">
        <v>1396</v>
      </c>
      <c r="B5">
        <v>3648</v>
      </c>
      <c r="C5">
        <v>3528</v>
      </c>
      <c r="D5">
        <v>2881</v>
      </c>
      <c r="E5">
        <v>1789</v>
      </c>
      <c r="F5">
        <v>806</v>
      </c>
      <c r="G5">
        <v>265</v>
      </c>
      <c r="H5">
        <v>78</v>
      </c>
      <c r="I5">
        <v>11</v>
      </c>
    </row>
    <row r="6" spans="1:9">
      <c r="A6" t="s">
        <v>1397</v>
      </c>
      <c r="B6">
        <v>3663</v>
      </c>
      <c r="C6">
        <v>3397</v>
      </c>
      <c r="D6">
        <v>2615</v>
      </c>
      <c r="E6">
        <v>1382</v>
      </c>
      <c r="F6">
        <v>505</v>
      </c>
      <c r="G6">
        <v>131</v>
      </c>
      <c r="H6">
        <v>23</v>
      </c>
      <c r="I6">
        <v>2</v>
      </c>
    </row>
    <row r="7" spans="1:9">
      <c r="A7" t="s">
        <v>256</v>
      </c>
      <c r="B7">
        <v>0</v>
      </c>
      <c r="C7">
        <v>0</v>
      </c>
      <c r="D7">
        <v>0</v>
      </c>
      <c r="E7">
        <v>5</v>
      </c>
      <c r="F7">
        <v>24</v>
      </c>
      <c r="G7">
        <v>47</v>
      </c>
      <c r="H7">
        <v>56</v>
      </c>
      <c r="I7">
        <v>55</v>
      </c>
    </row>
    <row r="8" spans="1:9">
      <c r="A8" t="s">
        <v>257</v>
      </c>
      <c r="B8">
        <v>395</v>
      </c>
      <c r="C8">
        <v>392</v>
      </c>
      <c r="D8">
        <v>400</v>
      </c>
      <c r="E8">
        <v>381</v>
      </c>
      <c r="F8">
        <v>263</v>
      </c>
      <c r="G8">
        <v>116</v>
      </c>
      <c r="H8">
        <v>30</v>
      </c>
      <c r="I8">
        <v>3</v>
      </c>
    </row>
    <row r="9" spans="1:9">
      <c r="A9" t="s">
        <v>259</v>
      </c>
      <c r="B9">
        <v>0</v>
      </c>
      <c r="C9">
        <v>0</v>
      </c>
      <c r="D9">
        <v>0</v>
      </c>
      <c r="E9">
        <v>7</v>
      </c>
      <c r="F9">
        <v>16</v>
      </c>
      <c r="G9">
        <v>24</v>
      </c>
      <c r="H9">
        <v>28</v>
      </c>
      <c r="I9">
        <v>27</v>
      </c>
    </row>
    <row r="10" spans="1:9">
      <c r="A10" t="s">
        <v>260</v>
      </c>
      <c r="B10">
        <v>230</v>
      </c>
      <c r="C10">
        <v>223</v>
      </c>
      <c r="D10">
        <v>164</v>
      </c>
      <c r="E10">
        <v>74</v>
      </c>
      <c r="F10">
        <v>46</v>
      </c>
      <c r="G10">
        <v>20</v>
      </c>
      <c r="H10">
        <v>6</v>
      </c>
      <c r="I10">
        <v>1</v>
      </c>
    </row>
    <row r="11" spans="1:9">
      <c r="A11" t="s">
        <v>1398</v>
      </c>
      <c r="B11">
        <v>3</v>
      </c>
      <c r="C11">
        <v>5</v>
      </c>
      <c r="D11">
        <v>68</v>
      </c>
      <c r="E11">
        <v>151</v>
      </c>
      <c r="F11">
        <v>170</v>
      </c>
      <c r="G11">
        <v>189</v>
      </c>
      <c r="H11">
        <v>200</v>
      </c>
      <c r="I11">
        <v>206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F1354-AD38-46FE-BC3F-780A999A4BF7}">
  <dimension ref="A1"/>
  <sheetViews>
    <sheetView workbookViewId="0">
      <selection sqref="A1:M15"/>
    </sheetView>
  </sheetViews>
  <sheetFormatPr defaultRowHeight="1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0" tint="-0.249977111117893"/>
  </sheetPr>
  <dimension ref="A1:AX434"/>
  <sheetViews>
    <sheetView topLeftCell="A347" zoomScale="80" zoomScaleNormal="80" workbookViewId="0"/>
  </sheetViews>
  <sheetFormatPr defaultRowHeight="15" outlineLevelRow="1"/>
  <cols>
    <col min="1" max="1" width="4.140625" customWidth="1"/>
    <col min="2" max="2" width="12.85546875" customWidth="1"/>
    <col min="3" max="3" width="22.140625" bestFit="1" customWidth="1"/>
    <col min="4" max="4" width="8.5703125" customWidth="1"/>
    <col min="5" max="5" width="34.5703125" bestFit="1" customWidth="1"/>
    <col min="6" max="6" width="4.85546875" customWidth="1"/>
    <col min="7" max="7" width="18" bestFit="1" customWidth="1"/>
    <col min="10" max="10" width="12.140625" bestFit="1" customWidth="1"/>
    <col min="47" max="47" width="9.5703125" bestFit="1" customWidth="1"/>
  </cols>
  <sheetData>
    <row r="1" spans="1:46">
      <c r="A1" t="s">
        <v>155</v>
      </c>
      <c r="B1" s="229"/>
      <c r="C1" s="229"/>
      <c r="D1" s="229"/>
      <c r="E1" s="229"/>
      <c r="F1" s="229"/>
      <c r="G1" s="229"/>
      <c r="H1" s="229"/>
    </row>
    <row r="2" spans="1:46">
      <c r="A2" t="s">
        <v>142</v>
      </c>
      <c r="B2" t="s">
        <v>156</v>
      </c>
      <c r="C2" s="229" t="s">
        <v>157</v>
      </c>
      <c r="D2" s="229" t="s">
        <v>158</v>
      </c>
      <c r="E2" s="229" t="s">
        <v>159</v>
      </c>
      <c r="F2" s="229" t="s">
        <v>90</v>
      </c>
      <c r="G2" s="229" t="s">
        <v>160</v>
      </c>
      <c r="H2" s="229" t="s">
        <v>161</v>
      </c>
    </row>
    <row r="3" spans="1:46">
      <c r="A3" s="229" t="s">
        <v>144</v>
      </c>
      <c r="B3" s="229" t="s">
        <v>144</v>
      </c>
      <c r="C3" s="229" t="s">
        <v>144</v>
      </c>
      <c r="D3" s="229" t="s">
        <v>144</v>
      </c>
      <c r="E3" s="229" t="s">
        <v>144</v>
      </c>
      <c r="F3" s="229" t="s">
        <v>144</v>
      </c>
      <c r="G3" s="229" t="s">
        <v>162</v>
      </c>
      <c r="H3" s="229" t="s">
        <v>163</v>
      </c>
    </row>
    <row r="4" spans="1:46">
      <c r="A4" s="229" t="s">
        <v>164</v>
      </c>
      <c r="B4" s="229" t="s">
        <v>165</v>
      </c>
      <c r="C4" s="229" t="s">
        <v>164</v>
      </c>
      <c r="D4" s="229" t="s">
        <v>164</v>
      </c>
      <c r="E4" s="229" t="s">
        <v>164</v>
      </c>
      <c r="F4" s="229" t="s">
        <v>166</v>
      </c>
      <c r="G4" s="229"/>
    </row>
    <row r="5" spans="1:46">
      <c r="A5" s="229" t="s">
        <v>167</v>
      </c>
      <c r="B5" s="229" t="s">
        <v>167</v>
      </c>
      <c r="C5" s="229" t="s">
        <v>167</v>
      </c>
      <c r="D5" s="229" t="s">
        <v>167</v>
      </c>
      <c r="E5" s="229"/>
      <c r="F5" s="229" t="s">
        <v>168</v>
      </c>
      <c r="G5" s="229"/>
    </row>
    <row r="6" spans="1:46">
      <c r="A6" s="229"/>
      <c r="B6" s="229" t="s">
        <v>169</v>
      </c>
      <c r="C6" s="229" t="s">
        <v>169</v>
      </c>
      <c r="D6" s="229" t="s">
        <v>169</v>
      </c>
      <c r="E6" s="229"/>
      <c r="F6" s="229"/>
      <c r="G6" s="229"/>
      <c r="J6" s="230"/>
      <c r="K6" s="230"/>
      <c r="L6" s="230"/>
      <c r="M6" s="230"/>
      <c r="N6" s="230"/>
      <c r="O6" s="230"/>
      <c r="P6" s="230"/>
      <c r="Q6" s="230"/>
      <c r="R6" s="230"/>
      <c r="S6" s="230"/>
      <c r="T6" s="230"/>
      <c r="U6" s="230"/>
      <c r="V6" s="230"/>
      <c r="W6" s="230"/>
      <c r="X6" s="230"/>
      <c r="Y6" s="230"/>
      <c r="Z6" s="230"/>
      <c r="AA6" s="230"/>
      <c r="AB6" s="230"/>
      <c r="AC6" s="230"/>
      <c r="AD6" s="230"/>
      <c r="AE6" s="230"/>
      <c r="AF6" s="230"/>
      <c r="AG6" s="230"/>
      <c r="AH6" s="230"/>
      <c r="AI6" s="230"/>
      <c r="AJ6" s="230"/>
      <c r="AK6" s="230"/>
      <c r="AL6" s="230"/>
      <c r="AM6" s="230"/>
      <c r="AN6" s="230"/>
      <c r="AO6" s="230"/>
      <c r="AP6" s="230"/>
      <c r="AQ6" s="230"/>
      <c r="AR6" s="230"/>
      <c r="AS6" s="230"/>
    </row>
    <row r="7" spans="1:46">
      <c r="A7" s="229" t="s">
        <v>170</v>
      </c>
      <c r="C7" s="229"/>
      <c r="D7" s="229"/>
      <c r="E7" s="229"/>
      <c r="F7" s="229"/>
      <c r="H7" s="569"/>
      <c r="I7" s="313" t="s">
        <v>171</v>
      </c>
      <c r="J7" s="159"/>
      <c r="K7" s="159"/>
      <c r="L7" s="159"/>
      <c r="M7" s="159"/>
      <c r="N7" s="159"/>
      <c r="O7" s="159"/>
      <c r="P7" s="159"/>
      <c r="Q7" s="159"/>
      <c r="R7" s="159"/>
      <c r="S7" s="159"/>
      <c r="T7" s="159"/>
      <c r="U7" s="159"/>
      <c r="V7" s="159"/>
      <c r="W7" s="159"/>
      <c r="X7" s="159"/>
      <c r="Y7" s="159"/>
      <c r="Z7" s="159"/>
      <c r="AA7" s="159"/>
      <c r="AB7" s="159"/>
      <c r="AC7" s="159"/>
      <c r="AD7" s="159"/>
      <c r="AE7" s="159"/>
      <c r="AF7" s="159"/>
      <c r="AG7" s="159"/>
      <c r="AH7" s="159"/>
      <c r="AI7" s="159"/>
      <c r="AJ7" s="159"/>
      <c r="AK7" s="159"/>
      <c r="AL7" s="159"/>
      <c r="AM7" s="159"/>
      <c r="AN7" s="159"/>
      <c r="AO7" s="159"/>
      <c r="AP7" s="159"/>
      <c r="AQ7" s="159"/>
      <c r="AR7" s="159"/>
      <c r="AS7" s="159"/>
    </row>
    <row r="8" spans="1:46">
      <c r="A8" s="229" t="str">
        <f ca="1">OFFSET($A2,1,MATCH(Dashboard!$D$29,$A$2:$H$2,0)-1,1,1)</f>
        <v>Carbon Emissions</v>
      </c>
      <c r="B8" s="229"/>
      <c r="C8" s="229"/>
      <c r="D8" s="229"/>
      <c r="E8" s="229"/>
      <c r="F8" s="229"/>
      <c r="G8" s="229"/>
      <c r="H8" s="570"/>
      <c r="I8" s="313" t="s">
        <v>172</v>
      </c>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59"/>
      <c r="AL8" s="159"/>
      <c r="AM8" s="159"/>
      <c r="AN8" s="159"/>
      <c r="AO8" s="159"/>
      <c r="AP8" s="159"/>
      <c r="AQ8" s="159"/>
      <c r="AR8" s="159"/>
      <c r="AS8" s="159"/>
    </row>
    <row r="9" spans="1:46">
      <c r="A9" s="229" t="str">
        <f ca="1">OFFSET($A3,1,MATCH(Dashboard!$D$29,$A$2:$H$2,0)-1,1,1)</f>
        <v>Transport Energy Supply by fuel</v>
      </c>
      <c r="B9" s="229"/>
      <c r="C9" s="229"/>
      <c r="D9" s="229"/>
      <c r="E9" s="229"/>
      <c r="F9" s="229"/>
      <c r="G9" s="229"/>
      <c r="H9" s="237"/>
      <c r="I9" s="313"/>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9"/>
      <c r="AO9" s="159"/>
      <c r="AP9" s="159"/>
      <c r="AQ9" s="159"/>
      <c r="AR9" s="159"/>
      <c r="AS9" s="159"/>
    </row>
    <row r="10" spans="1:46">
      <c r="A10" s="229" t="str">
        <f ca="1">OFFSET($A4,1,MATCH(Dashboard!$D$29,$A$2:$H$2,0)-1,1,1)</f>
        <v>Road Transport Vehicle Kilometres</v>
      </c>
      <c r="B10" s="229"/>
      <c r="C10" s="229"/>
      <c r="D10" s="229"/>
      <c r="E10" s="229"/>
      <c r="F10" s="229"/>
      <c r="G10" s="229"/>
      <c r="H10" s="229"/>
      <c r="I10" s="313"/>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9"/>
      <c r="AO10" s="159"/>
      <c r="AP10" s="159"/>
      <c r="AQ10" s="159"/>
      <c r="AR10" s="159"/>
      <c r="AS10" s="159"/>
    </row>
    <row r="11" spans="1:46">
      <c r="A11" s="229">
        <f ca="1">OFFSET($A5,1,MATCH(Dashboard!$D$29,$A$2:$H$2,0)-1,1,1)</f>
        <v>0</v>
      </c>
      <c r="B11" s="229"/>
      <c r="C11" s="229"/>
      <c r="D11" s="229"/>
      <c r="E11" s="229"/>
      <c r="F11" s="229"/>
      <c r="G11" s="229"/>
      <c r="H11" s="229"/>
    </row>
    <row r="12" spans="1:46" ht="18.75">
      <c r="B12" t="s">
        <v>173</v>
      </c>
      <c r="C12" s="518" t="str">
        <f>Dashboard!D5</f>
        <v>Inner London</v>
      </c>
      <c r="E12" s="518"/>
    </row>
    <row r="13" spans="1:46" s="49" customFormat="1">
      <c r="A13" s="49" t="s">
        <v>174</v>
      </c>
    </row>
    <row r="14" spans="1:46" s="298" customFormat="1" outlineLevel="1">
      <c r="A14" s="298" t="s">
        <v>144</v>
      </c>
    </row>
    <row r="15" spans="1:46" outlineLevel="1">
      <c r="A15" s="229" t="s">
        <v>175</v>
      </c>
      <c r="B15" s="229" t="s">
        <v>176</v>
      </c>
      <c r="C15" s="229" t="s">
        <v>177</v>
      </c>
      <c r="D15" s="230"/>
      <c r="E15" s="230" t="s">
        <v>178</v>
      </c>
      <c r="F15" s="230"/>
      <c r="G15" s="230" t="s">
        <v>179</v>
      </c>
      <c r="H15" s="230" t="s">
        <v>180</v>
      </c>
      <c r="I15" s="230"/>
      <c r="J15" s="230">
        <v>2015</v>
      </c>
      <c r="K15" s="230">
        <v>2016</v>
      </c>
      <c r="L15" s="230">
        <v>2017</v>
      </c>
      <c r="M15" s="230">
        <v>2018</v>
      </c>
      <c r="N15" s="230">
        <v>2019</v>
      </c>
      <c r="O15" s="230">
        <v>2020</v>
      </c>
      <c r="P15" s="230">
        <v>2021</v>
      </c>
      <c r="Q15" s="230">
        <v>2022</v>
      </c>
      <c r="R15" s="230">
        <v>2023</v>
      </c>
      <c r="S15" s="230">
        <v>2024</v>
      </c>
      <c r="T15" s="230">
        <v>2025</v>
      </c>
      <c r="U15" s="230">
        <v>2026</v>
      </c>
      <c r="V15" s="230">
        <v>2027</v>
      </c>
      <c r="W15" s="230">
        <v>2028</v>
      </c>
      <c r="X15" s="230">
        <v>2029</v>
      </c>
      <c r="Y15" s="230">
        <v>2030</v>
      </c>
      <c r="Z15" s="230">
        <v>2031</v>
      </c>
      <c r="AA15" s="230">
        <v>2032</v>
      </c>
      <c r="AB15" s="230">
        <v>2033</v>
      </c>
      <c r="AC15" s="230">
        <v>2034</v>
      </c>
      <c r="AD15" s="230">
        <v>2035</v>
      </c>
      <c r="AE15" s="230">
        <v>2036</v>
      </c>
      <c r="AF15" s="230">
        <v>2037</v>
      </c>
      <c r="AG15" s="230">
        <v>2038</v>
      </c>
      <c r="AH15" s="230">
        <v>2039</v>
      </c>
      <c r="AI15" s="230">
        <v>2040</v>
      </c>
      <c r="AJ15" s="230">
        <v>2041</v>
      </c>
      <c r="AK15" s="230">
        <v>2042</v>
      </c>
      <c r="AL15" s="230">
        <v>2043</v>
      </c>
      <c r="AM15" s="230">
        <v>2044</v>
      </c>
      <c r="AN15" s="230">
        <v>2045</v>
      </c>
      <c r="AO15" s="230">
        <v>2046</v>
      </c>
      <c r="AP15" s="230">
        <v>2047</v>
      </c>
      <c r="AQ15" s="230">
        <v>2048</v>
      </c>
      <c r="AR15" s="230">
        <v>2049</v>
      </c>
      <c r="AS15" s="230">
        <v>2050</v>
      </c>
    </row>
    <row r="16" spans="1:46" outlineLevel="1">
      <c r="K16" s="237"/>
      <c r="L16" s="237"/>
      <c r="M16" s="237"/>
      <c r="N16" s="237"/>
      <c r="O16" s="237"/>
      <c r="P16" s="237"/>
      <c r="Q16" s="237"/>
      <c r="R16" s="237"/>
      <c r="S16" s="237"/>
      <c r="T16" s="237"/>
      <c r="U16" s="237"/>
      <c r="V16" s="237"/>
      <c r="W16" s="237"/>
      <c r="X16" s="237"/>
      <c r="Y16" s="237"/>
      <c r="Z16" s="237"/>
      <c r="AA16" s="237"/>
      <c r="AB16" s="237"/>
      <c r="AC16" s="237"/>
      <c r="AD16" s="237"/>
      <c r="AE16" s="237"/>
      <c r="AF16" s="237"/>
      <c r="AG16" s="237"/>
      <c r="AH16" s="237"/>
      <c r="AI16" s="237"/>
      <c r="AJ16" s="237"/>
      <c r="AK16" s="237"/>
      <c r="AL16" s="237"/>
      <c r="AM16" s="237"/>
      <c r="AN16" s="237"/>
      <c r="AO16" s="237"/>
      <c r="AP16" s="237"/>
      <c r="AQ16" s="237"/>
      <c r="AR16" s="237"/>
      <c r="AS16" s="237"/>
      <c r="AT16" s="237"/>
    </row>
    <row r="17" spans="1:46" s="229" customFormat="1" outlineLevel="1">
      <c r="A17" s="229">
        <v>0</v>
      </c>
      <c r="B17" s="229" t="str">
        <f t="shared" ref="B17:B28" si="0">A17&amp;C17</f>
        <v>0TotalCarbon Emissions</v>
      </c>
      <c r="C17" s="234" t="s">
        <v>181</v>
      </c>
      <c r="E17" s="248" t="s">
        <v>182</v>
      </c>
      <c r="G17" s="234"/>
      <c r="J17" s="237"/>
      <c r="K17" s="237"/>
      <c r="L17" s="237"/>
      <c r="M17" s="237"/>
      <c r="N17" s="237"/>
      <c r="O17" s="237"/>
      <c r="P17" s="237"/>
      <c r="Q17" s="237"/>
      <c r="R17" s="237"/>
      <c r="S17" s="237"/>
      <c r="T17" s="237"/>
      <c r="U17" s="237"/>
      <c r="V17" s="237"/>
      <c r="W17" s="237"/>
      <c r="X17" s="237"/>
      <c r="Y17" s="237"/>
      <c r="Z17" s="237"/>
      <c r="AA17" s="237"/>
      <c r="AB17" s="237"/>
      <c r="AC17" s="237"/>
      <c r="AD17" s="237"/>
      <c r="AE17" s="237"/>
      <c r="AF17" s="237"/>
      <c r="AG17" s="237"/>
      <c r="AH17" s="237"/>
      <c r="AI17" s="237"/>
      <c r="AJ17" s="237"/>
      <c r="AK17" s="237"/>
      <c r="AL17" s="237"/>
      <c r="AM17" s="237"/>
      <c r="AN17" s="237"/>
      <c r="AO17" s="237"/>
      <c r="AP17" s="237"/>
      <c r="AQ17" s="237"/>
      <c r="AR17" s="237"/>
      <c r="AS17" s="237"/>
      <c r="AT17" s="237"/>
    </row>
    <row r="18" spans="1:46" s="229" customFormat="1" ht="18" outlineLevel="1">
      <c r="A18" s="229">
        <v>1</v>
      </c>
      <c r="B18" s="229" t="str">
        <f t="shared" si="0"/>
        <v>1TotalCarbon Emissions</v>
      </c>
      <c r="C18" s="234" t="s">
        <v>181</v>
      </c>
      <c r="E18" s="313" t="s">
        <v>183</v>
      </c>
      <c r="F18" s="313"/>
      <c r="G18" s="234" t="s">
        <v>184</v>
      </c>
      <c r="I18" s="313"/>
      <c r="J18" s="571">
        <f>'Carbon Emissions'!Q23+'Carbon Emissions'!Q24+'Carbon Emissions'!Q26</f>
        <v>2328.1165129773453</v>
      </c>
      <c r="K18" s="571">
        <f>'Carbon Emissions'!R23+'Carbon Emissions'!R24+'Carbon Emissions'!R26</f>
        <v>2266.637479939071</v>
      </c>
      <c r="L18" s="571">
        <f>'Carbon Emissions'!S23+'Carbon Emissions'!S24+'Carbon Emissions'!S26</f>
        <v>2238.5094047894236</v>
      </c>
      <c r="M18" s="571">
        <f>'Carbon Emissions'!T23+'Carbon Emissions'!T24+'Carbon Emissions'!T26</f>
        <v>2218.341876328619</v>
      </c>
      <c r="N18" s="571">
        <f>'Carbon Emissions'!U23+'Carbon Emissions'!U24+'Carbon Emissions'!U26</f>
        <v>2191.9477092577804</v>
      </c>
      <c r="O18" s="571">
        <f>'Carbon Emissions'!V23+'Carbon Emissions'!V24+'Carbon Emissions'!V26</f>
        <v>2124.5391856733677</v>
      </c>
      <c r="P18" s="571">
        <f>'Carbon Emissions'!W23+'Carbon Emissions'!W24+'Carbon Emissions'!W26</f>
        <v>2091.8386772841886</v>
      </c>
      <c r="Q18" s="571">
        <f>'Carbon Emissions'!X23+'Carbon Emissions'!X24+'Carbon Emissions'!X26</f>
        <v>1991.8262395813319</v>
      </c>
      <c r="R18" s="571">
        <f>'Carbon Emissions'!Y23+'Carbon Emissions'!Y24+'Carbon Emissions'!Y26</f>
        <v>1832.9804257494502</v>
      </c>
      <c r="S18" s="571">
        <f>'Carbon Emissions'!Z23+'Carbon Emissions'!Z24+'Carbon Emissions'!Z26</f>
        <v>1665.2801171591018</v>
      </c>
      <c r="T18" s="571">
        <f>'Carbon Emissions'!AA23+'Carbon Emissions'!AA24+'Carbon Emissions'!AA26</f>
        <v>1479.1218718308692</v>
      </c>
      <c r="U18" s="571">
        <f>'Carbon Emissions'!AB23+'Carbon Emissions'!AB24+'Carbon Emissions'!AB26</f>
        <v>1289.8693114871965</v>
      </c>
      <c r="V18" s="571">
        <f>'Carbon Emissions'!AC23+'Carbon Emissions'!AC24+'Carbon Emissions'!AC26</f>
        <v>1110.2522029210743</v>
      </c>
      <c r="W18" s="571">
        <f>'Carbon Emissions'!AD23+'Carbon Emissions'!AD24+'Carbon Emissions'!AD26</f>
        <v>964.95709148444973</v>
      </c>
      <c r="X18" s="571">
        <f>'Carbon Emissions'!AE23+'Carbon Emissions'!AE24+'Carbon Emissions'!AE26</f>
        <v>852.2186474964027</v>
      </c>
      <c r="Y18" s="571">
        <f>'Carbon Emissions'!AF23+'Carbon Emissions'!AF24+'Carbon Emissions'!AF26</f>
        <v>752.62958537570137</v>
      </c>
      <c r="Z18" s="571">
        <f>'Carbon Emissions'!AG23+'Carbon Emissions'!AG24+'Carbon Emissions'!AG26</f>
        <v>662.97290602266344</v>
      </c>
      <c r="AA18" s="571">
        <f>'Carbon Emissions'!AH23+'Carbon Emissions'!AH24+'Carbon Emissions'!AH26</f>
        <v>582.15920753977639</v>
      </c>
      <c r="AB18" s="571">
        <f>'Carbon Emissions'!AI23+'Carbon Emissions'!AI24+'Carbon Emissions'!AI26</f>
        <v>504.84320580565077</v>
      </c>
      <c r="AC18" s="571">
        <f>'Carbon Emissions'!AJ23+'Carbon Emissions'!AJ24+'Carbon Emissions'!AJ26</f>
        <v>432.95198975579359</v>
      </c>
      <c r="AD18" s="571">
        <f>'Carbon Emissions'!AK23+'Carbon Emissions'!AK24+'Carbon Emissions'!AK26</f>
        <v>369.54802018642295</v>
      </c>
      <c r="AE18" s="571">
        <f>'Carbon Emissions'!AL23+'Carbon Emissions'!AL24+'Carbon Emissions'!AL26</f>
        <v>285.73441305758399</v>
      </c>
      <c r="AF18" s="571">
        <f>'Carbon Emissions'!AM23+'Carbon Emissions'!AM24+'Carbon Emissions'!AM26</f>
        <v>225.06203255964675</v>
      </c>
      <c r="AG18" s="571">
        <f>'Carbon Emissions'!AN23+'Carbon Emissions'!AN24+'Carbon Emissions'!AN26</f>
        <v>185.35797678602063</v>
      </c>
      <c r="AH18" s="571">
        <f>'Carbon Emissions'!AO23+'Carbon Emissions'!AO24+'Carbon Emissions'!AO26</f>
        <v>169.60146084958151</v>
      </c>
      <c r="AI18" s="571">
        <f>'Carbon Emissions'!AP23+'Carbon Emissions'!AP24+'Carbon Emissions'!AP26</f>
        <v>152.43886684574164</v>
      </c>
      <c r="AJ18" s="571">
        <f>'Carbon Emissions'!AQ23+'Carbon Emissions'!AQ24+'Carbon Emissions'!AQ26</f>
        <v>132.24703960784569</v>
      </c>
      <c r="AK18" s="571">
        <f>'Carbon Emissions'!AR23+'Carbon Emissions'!AR24+'Carbon Emissions'!AR26</f>
        <v>116.49710965157682</v>
      </c>
      <c r="AL18" s="571">
        <f>'Carbon Emissions'!AS23+'Carbon Emissions'!AS24+'Carbon Emissions'!AS26</f>
        <v>101.63983823291929</v>
      </c>
      <c r="AM18" s="571">
        <f>'Carbon Emissions'!AT23+'Carbon Emissions'!AT24+'Carbon Emissions'!AT26</f>
        <v>85.344209743643916</v>
      </c>
      <c r="AN18" s="571">
        <f>'Carbon Emissions'!AU23+'Carbon Emissions'!AU24+'Carbon Emissions'!AU26</f>
        <v>65.778556094967797</v>
      </c>
      <c r="AO18" s="571">
        <f>'Carbon Emissions'!AV23+'Carbon Emissions'!AV24+'Carbon Emissions'!AV26</f>
        <v>47.898306642621193</v>
      </c>
      <c r="AP18" s="571">
        <f>'Carbon Emissions'!AW23+'Carbon Emissions'!AW24+'Carbon Emissions'!AW26</f>
        <v>37.866007515266944</v>
      </c>
      <c r="AQ18" s="571">
        <f>'Carbon Emissions'!AX23+'Carbon Emissions'!AX24+'Carbon Emissions'!AX26</f>
        <v>32.466782670616652</v>
      </c>
      <c r="AR18" s="571">
        <f>'Carbon Emissions'!AY23+'Carbon Emissions'!AY24+'Carbon Emissions'!AY26</f>
        <v>26.43395923005777</v>
      </c>
      <c r="AS18" s="571">
        <f>'Carbon Emissions'!AZ23+'Carbon Emissions'!AZ24+'Carbon Emissions'!AZ26</f>
        <v>21.346250020397719</v>
      </c>
    </row>
    <row r="19" spans="1:46" s="229" customFormat="1" ht="18" outlineLevel="1">
      <c r="A19" s="229">
        <v>2</v>
      </c>
      <c r="B19" s="229" t="str">
        <f t="shared" si="0"/>
        <v>2TotalCarbon Emissions</v>
      </c>
      <c r="C19" s="234" t="s">
        <v>181</v>
      </c>
      <c r="E19" s="313" t="s">
        <v>185</v>
      </c>
      <c r="G19" s="234" t="s">
        <v>184</v>
      </c>
      <c r="J19" s="572">
        <f>'Carbon Emissions'!Q64+'Carbon Emissions'!Q86</f>
        <v>1255.9035851191368</v>
      </c>
      <c r="K19" s="572">
        <f>'Carbon Emissions'!R64+'Carbon Emissions'!R86</f>
        <v>1011.3881736494008</v>
      </c>
      <c r="L19" s="572">
        <f>'Carbon Emissions'!S64+'Carbon Emissions'!S86</f>
        <v>912.04047753116754</v>
      </c>
      <c r="M19" s="572">
        <f>'Carbon Emissions'!T64+'Carbon Emissions'!T86</f>
        <v>855.2450179827274</v>
      </c>
      <c r="N19" s="572">
        <f>'Carbon Emissions'!U64+'Carbon Emissions'!U86</f>
        <v>764.61326198135941</v>
      </c>
      <c r="O19" s="572">
        <f>'Carbon Emissions'!V64+'Carbon Emissions'!V86</f>
        <v>570.46268312961058</v>
      </c>
      <c r="P19" s="572">
        <f>'Carbon Emissions'!W64+'Carbon Emissions'!W86</f>
        <v>525.86412319320698</v>
      </c>
      <c r="Q19" s="572">
        <f>'Carbon Emissions'!X64+'Carbon Emissions'!X86</f>
        <v>482.19700435851001</v>
      </c>
      <c r="R19" s="572">
        <f>'Carbon Emissions'!Y64+'Carbon Emissions'!Y86</f>
        <v>450.49927426124157</v>
      </c>
      <c r="S19" s="572">
        <f>'Carbon Emissions'!Z64+'Carbon Emissions'!Z86</f>
        <v>475.15430199614207</v>
      </c>
      <c r="T19" s="572">
        <f>'Carbon Emissions'!AA64+'Carbon Emissions'!AA86</f>
        <v>385.22025621940463</v>
      </c>
      <c r="U19" s="572">
        <f>'Carbon Emissions'!AB64+'Carbon Emissions'!AB86</f>
        <v>269.40830409193222</v>
      </c>
      <c r="V19" s="572">
        <f>'Carbon Emissions'!AC64+'Carbon Emissions'!AC86</f>
        <v>215.01979734587613</v>
      </c>
      <c r="W19" s="572">
        <f>'Carbon Emissions'!AD64+'Carbon Emissions'!AD86</f>
        <v>190.68941426994357</v>
      </c>
      <c r="X19" s="572">
        <f>'Carbon Emissions'!AE64+'Carbon Emissions'!AE86</f>
        <v>170.07285026559467</v>
      </c>
      <c r="Y19" s="572">
        <f>'Carbon Emissions'!AF64+'Carbon Emissions'!AF86</f>
        <v>127.62470919642492</v>
      </c>
      <c r="Z19" s="572">
        <f>'Carbon Emissions'!AG64+'Carbon Emissions'!AG86</f>
        <v>101.15367240025957</v>
      </c>
      <c r="AA19" s="572">
        <f>'Carbon Emissions'!AH64+'Carbon Emissions'!AH86</f>
        <v>87.501525855697238</v>
      </c>
      <c r="AB19" s="572">
        <f>'Carbon Emissions'!AI64+'Carbon Emissions'!AI86</f>
        <v>76.052104860058364</v>
      </c>
      <c r="AC19" s="572">
        <f>'Carbon Emissions'!AJ64+'Carbon Emissions'!AJ86</f>
        <v>69.09787423618522</v>
      </c>
      <c r="AD19" s="572">
        <f>'Carbon Emissions'!AK64+'Carbon Emissions'!AK86</f>
        <v>61.6981887477219</v>
      </c>
      <c r="AE19" s="572">
        <f>'Carbon Emissions'!AL64+'Carbon Emissions'!AL86</f>
        <v>51.115731502540847</v>
      </c>
      <c r="AF19" s="572">
        <f>'Carbon Emissions'!AM64+'Carbon Emissions'!AM86</f>
        <v>45.510383862407551</v>
      </c>
      <c r="AG19" s="572">
        <f>'Carbon Emissions'!AN64+'Carbon Emissions'!AN86</f>
        <v>44.489370920683577</v>
      </c>
      <c r="AH19" s="572">
        <f>'Carbon Emissions'!AO64+'Carbon Emissions'!AO86</f>
        <v>42.129480866989162</v>
      </c>
      <c r="AI19" s="572">
        <f>'Carbon Emissions'!AP64+'Carbon Emissions'!AP86</f>
        <v>38.180593961880483</v>
      </c>
      <c r="AJ19" s="572">
        <f>'Carbon Emissions'!AQ64+'Carbon Emissions'!AQ86</f>
        <v>31.69937229910057</v>
      </c>
      <c r="AK19" s="572">
        <f>'Carbon Emissions'!AR64+'Carbon Emissions'!AR86</f>
        <v>30.086884231251002</v>
      </c>
      <c r="AL19" s="572">
        <f>'Carbon Emissions'!AS64+'Carbon Emissions'!AS86</f>
        <v>29.476007210779617</v>
      </c>
      <c r="AM19" s="572">
        <f>'Carbon Emissions'!AT64+'Carbon Emissions'!AT86</f>
        <v>27.70748867835886</v>
      </c>
      <c r="AN19" s="572">
        <f>'Carbon Emissions'!AU64+'Carbon Emissions'!AU86</f>
        <v>23.532546785747449</v>
      </c>
      <c r="AO19" s="572">
        <f>'Carbon Emissions'!AV64+'Carbon Emissions'!AV86</f>
        <v>21.36723703354863</v>
      </c>
      <c r="AP19" s="572">
        <f>'Carbon Emissions'!AW64+'Carbon Emissions'!AW86</f>
        <v>19.703265424979715</v>
      </c>
      <c r="AQ19" s="572">
        <f>'Carbon Emissions'!AX64+'Carbon Emissions'!AX86</f>
        <v>18.702366483215741</v>
      </c>
      <c r="AR19" s="572">
        <f>'Carbon Emissions'!AY64+'Carbon Emissions'!AY86</f>
        <v>17.405327743035212</v>
      </c>
      <c r="AS19" s="572">
        <f>'Carbon Emissions'!AZ64+'Carbon Emissions'!AZ86</f>
        <v>17.108707418126102</v>
      </c>
    </row>
    <row r="20" spans="1:46" s="229" customFormat="1" ht="18" outlineLevel="1">
      <c r="A20" s="229">
        <v>3</v>
      </c>
      <c r="B20" s="229" t="str">
        <f t="shared" si="0"/>
        <v>3TotalCarbon Emissions</v>
      </c>
      <c r="C20" s="234" t="s">
        <v>181</v>
      </c>
      <c r="E20" s="313" t="s">
        <v>186</v>
      </c>
      <c r="F20" s="313"/>
      <c r="G20" s="234" t="s">
        <v>184</v>
      </c>
      <c r="I20" s="313"/>
      <c r="J20" s="571">
        <f>'Carbon Emissions'!Q43+'Carbon Emissions'!Q44+'Carbon Emissions'!Q46</f>
        <v>2761.9669751682368</v>
      </c>
      <c r="K20" s="571">
        <f>'Carbon Emissions'!R43+'Carbon Emissions'!R44+'Carbon Emissions'!R46</f>
        <v>2610.2052446279863</v>
      </c>
      <c r="L20" s="571">
        <f>'Carbon Emissions'!S43+'Carbon Emissions'!S44+'Carbon Emissions'!S46</f>
        <v>2536.7894242542211</v>
      </c>
      <c r="M20" s="571">
        <f>'Carbon Emissions'!T43+'Carbon Emissions'!T44+'Carbon Emissions'!T46</f>
        <v>2484.5591231578251</v>
      </c>
      <c r="N20" s="571">
        <f>'Carbon Emissions'!U43+'Carbon Emissions'!U44+'Carbon Emissions'!U46</f>
        <v>2413.9494095868195</v>
      </c>
      <c r="O20" s="571">
        <f>'Carbon Emissions'!V43+'Carbon Emissions'!V44+'Carbon Emissions'!V46</f>
        <v>2266.3478678241177</v>
      </c>
      <c r="P20" s="571">
        <f>'Carbon Emissions'!W43+'Carbon Emissions'!W44+'Carbon Emissions'!W46</f>
        <v>2208.812008581634</v>
      </c>
      <c r="Q20" s="571">
        <f>'Carbon Emissions'!X43+'Carbon Emissions'!X44+'Carbon Emissions'!X46</f>
        <v>2129.1645552544496</v>
      </c>
      <c r="R20" s="571">
        <f>'Carbon Emissions'!Y43+'Carbon Emissions'!Y44+'Carbon Emissions'!Y46</f>
        <v>2022.7150816173234</v>
      </c>
      <c r="S20" s="571">
        <f>'Carbon Emissions'!Z43+'Carbon Emissions'!Z44+'Carbon Emissions'!Z46</f>
        <v>1903.7409872835328</v>
      </c>
      <c r="T20" s="571">
        <f>'Carbon Emissions'!AA43+'Carbon Emissions'!AA44+'Carbon Emissions'!AA46</f>
        <v>1712.8737166090598</v>
      </c>
      <c r="U20" s="571">
        <f>'Carbon Emissions'!AB43+'Carbon Emissions'!AB44+'Carbon Emissions'!AB46</f>
        <v>1486.6056123658514</v>
      </c>
      <c r="V20" s="571">
        <f>'Carbon Emissions'!AC43+'Carbon Emissions'!AC44+'Carbon Emissions'!AC46</f>
        <v>1261.2922468548666</v>
      </c>
      <c r="W20" s="571">
        <f>'Carbon Emissions'!AD43+'Carbon Emissions'!AD44+'Carbon Emissions'!AD46</f>
        <v>1089.1380784326677</v>
      </c>
      <c r="X20" s="571">
        <f>'Carbon Emissions'!AE43+'Carbon Emissions'!AE44+'Carbon Emissions'!AE46</f>
        <v>926.089221497891</v>
      </c>
      <c r="Y20" s="571">
        <f>'Carbon Emissions'!AF43+'Carbon Emissions'!AF44+'Carbon Emissions'!AF46</f>
        <v>766.2292224981818</v>
      </c>
      <c r="Z20" s="571">
        <f>'Carbon Emissions'!AG43+'Carbon Emissions'!AG44+'Carbon Emissions'!AG46</f>
        <v>632.13394423149896</v>
      </c>
      <c r="AA20" s="571">
        <f>'Carbon Emissions'!AH43+'Carbon Emissions'!AH44+'Carbon Emissions'!AH46</f>
        <v>525.54736637380495</v>
      </c>
      <c r="AB20" s="571">
        <f>'Carbon Emissions'!AI43+'Carbon Emissions'!AI44+'Carbon Emissions'!AI46</f>
        <v>436.31455699590344</v>
      </c>
      <c r="AC20" s="571">
        <f>'Carbon Emissions'!AJ43+'Carbon Emissions'!AJ44+'Carbon Emissions'!AJ46</f>
        <v>362.73909045999386</v>
      </c>
      <c r="AD20" s="571">
        <f>'Carbon Emissions'!AK43+'Carbon Emissions'!AK44+'Carbon Emissions'!AK46</f>
        <v>312.94166412948601</v>
      </c>
      <c r="AE20" s="571">
        <f>'Carbon Emissions'!AL43+'Carbon Emissions'!AL44+'Carbon Emissions'!AL46</f>
        <v>245.85642670734751</v>
      </c>
      <c r="AF20" s="571">
        <f>'Carbon Emissions'!AM43+'Carbon Emissions'!AM44+'Carbon Emissions'!AM46</f>
        <v>197.57875231412683</v>
      </c>
      <c r="AG20" s="571">
        <f>'Carbon Emissions'!AN43+'Carbon Emissions'!AN44+'Carbon Emissions'!AN46</f>
        <v>165.61610826089563</v>
      </c>
      <c r="AH20" s="571">
        <f>'Carbon Emissions'!AO43+'Carbon Emissions'!AO44+'Carbon Emissions'!AO46</f>
        <v>151.86758049787184</v>
      </c>
      <c r="AI20" s="571">
        <f>'Carbon Emissions'!AP43+'Carbon Emissions'!AP44+'Carbon Emissions'!AP46</f>
        <v>136.83609719881449</v>
      </c>
      <c r="AJ20" s="571">
        <f>'Carbon Emissions'!AQ43+'Carbon Emissions'!AQ44+'Carbon Emissions'!AQ46</f>
        <v>118.44965701041902</v>
      </c>
      <c r="AK20" s="571">
        <f>'Carbon Emissions'!AR43+'Carbon Emissions'!AR44+'Carbon Emissions'!AR46</f>
        <v>104.05210963846353</v>
      </c>
      <c r="AL20" s="571">
        <f>'Carbon Emissions'!AS43+'Carbon Emissions'!AS44+'Carbon Emissions'!AS46</f>
        <v>90.496449610566401</v>
      </c>
      <c r="AM20" s="571">
        <f>'Carbon Emissions'!AT43+'Carbon Emissions'!AT44+'Carbon Emissions'!AT46</f>
        <v>75.733502451493067</v>
      </c>
      <c r="AN20" s="571">
        <f>'Carbon Emissions'!AU43+'Carbon Emissions'!AU44+'Carbon Emissions'!AU46</f>
        <v>58.16869181381027</v>
      </c>
      <c r="AO20" s="571">
        <f>'Carbon Emissions'!AV43+'Carbon Emissions'!AV44+'Carbon Emissions'!AV46</f>
        <v>42.011997401652849</v>
      </c>
      <c r="AP20" s="571">
        <f>'Carbon Emissions'!AW43+'Carbon Emissions'!AW44+'Carbon Emissions'!AW46</f>
        <v>32.985951950911236</v>
      </c>
      <c r="AQ20" s="571">
        <f>'Carbon Emissions'!AX43+'Carbon Emissions'!AX44+'Carbon Emissions'!AX46</f>
        <v>28.118700920018046</v>
      </c>
      <c r="AR20" s="571">
        <f>'Carbon Emissions'!AY43+'Carbon Emissions'!AY44+'Carbon Emissions'!AY46</f>
        <v>22.774851647216899</v>
      </c>
      <c r="AS20" s="571">
        <f>'Carbon Emissions'!AZ43+'Carbon Emissions'!AZ44+'Carbon Emissions'!AZ46</f>
        <v>18.310238252372869</v>
      </c>
    </row>
    <row r="21" spans="1:46" s="229" customFormat="1" ht="18" outlineLevel="1">
      <c r="A21" s="229">
        <v>4</v>
      </c>
      <c r="B21" s="229" t="str">
        <f t="shared" si="0"/>
        <v>4TotalCarbon Emissions</v>
      </c>
      <c r="C21" s="234" t="s">
        <v>181</v>
      </c>
      <c r="E21" s="313" t="s">
        <v>187</v>
      </c>
      <c r="G21" s="234" t="s">
        <v>184</v>
      </c>
      <c r="J21" s="572">
        <f>'Carbon Emissions'!Q87+'Carbon Emissions'!Q79</f>
        <v>4428.8056180820131</v>
      </c>
      <c r="K21" s="572">
        <f>'Carbon Emissions'!R87+'Carbon Emissions'!R79</f>
        <v>3552.3605172713069</v>
      </c>
      <c r="L21" s="572">
        <f>'Carbon Emissions'!S87+'Carbon Emissions'!S79</f>
        <v>3189.2042441949716</v>
      </c>
      <c r="M21" s="572">
        <f>'Carbon Emissions'!T87+'Carbon Emissions'!T79</f>
        <v>2977.4619854144403</v>
      </c>
      <c r="N21" s="572">
        <f>'Carbon Emissions'!U87+'Carbon Emissions'!U79</f>
        <v>2660.9167734598468</v>
      </c>
      <c r="O21" s="572">
        <f>'Carbon Emissions'!V87+'Carbon Emissions'!V79</f>
        <v>2006.2529291797528</v>
      </c>
      <c r="P21" s="572">
        <f>'Carbon Emissions'!W87+'Carbon Emissions'!W79</f>
        <v>1876.2324160734629</v>
      </c>
      <c r="Q21" s="572">
        <f>'Carbon Emissions'!X87+'Carbon Emissions'!X79</f>
        <v>1757.3274178569936</v>
      </c>
      <c r="R21" s="572">
        <f>'Carbon Emissions'!Y87+'Carbon Emissions'!Y79</f>
        <v>1682.8363542135207</v>
      </c>
      <c r="S21" s="572">
        <f>'Carbon Emissions'!Z87+'Carbon Emissions'!Z79</f>
        <v>1826.1523629179503</v>
      </c>
      <c r="T21" s="572">
        <f>'Carbon Emissions'!AA87+'Carbon Emissions'!AA79</f>
        <v>1531.1271501301367</v>
      </c>
      <c r="U21" s="572">
        <f>'Carbon Emissions'!AB87+'Carbon Emissions'!AB79</f>
        <v>1115.6628508121505</v>
      </c>
      <c r="V21" s="572">
        <f>'Carbon Emissions'!AC87+'Carbon Emissions'!AC79</f>
        <v>910.06972646368502</v>
      </c>
      <c r="W21" s="572">
        <f>'Carbon Emissions'!AD87+'Carbon Emissions'!AD79</f>
        <v>827.24650466672551</v>
      </c>
      <c r="X21" s="572">
        <f>'Carbon Emissions'!AE87+'Carbon Emissions'!AE79</f>
        <v>759.00739059936996</v>
      </c>
      <c r="Y21" s="572">
        <f>'Carbon Emissions'!AF87+'Carbon Emissions'!AF79</f>
        <v>588.41263911549015</v>
      </c>
      <c r="Z21" s="572">
        <f>'Carbon Emissions'!AG87+'Carbon Emissions'!AG79</f>
        <v>468.69124343678629</v>
      </c>
      <c r="AA21" s="572">
        <f>'Carbon Emissions'!AH87+'Carbon Emissions'!AH79</f>
        <v>407.4038462872337</v>
      </c>
      <c r="AB21" s="572">
        <f>'Carbon Emissions'!AI87+'Carbon Emissions'!AI79</f>
        <v>355.77899277834291</v>
      </c>
      <c r="AC21" s="572">
        <f>'Carbon Emissions'!AJ87+'Carbon Emissions'!AJ79</f>
        <v>324.76084687087996</v>
      </c>
      <c r="AD21" s="572">
        <f>'Carbon Emissions'!AK87+'Carbon Emissions'!AK79</f>
        <v>291.30635250341641</v>
      </c>
      <c r="AE21" s="572">
        <f>'Carbon Emissions'!AL87+'Carbon Emissions'!AL79</f>
        <v>242.44059314989298</v>
      </c>
      <c r="AF21" s="572">
        <f>'Carbon Emissions'!AM87+'Carbon Emissions'!AM79</f>
        <v>216.91273258913691</v>
      </c>
      <c r="AG21" s="572">
        <f>'Carbon Emissions'!AN87+'Carbon Emissions'!AN79</f>
        <v>213.09772690344434</v>
      </c>
      <c r="AH21" s="572">
        <f>'Carbon Emissions'!AO87+'Carbon Emissions'!AO79</f>
        <v>202.89767835538939</v>
      </c>
      <c r="AI21" s="572">
        <f>'Carbon Emissions'!AP87+'Carbon Emissions'!AP79</f>
        <v>184.86469716497734</v>
      </c>
      <c r="AJ21" s="572">
        <f>'Carbon Emissions'!AQ87+'Carbon Emissions'!AQ79</f>
        <v>154.2881820944333</v>
      </c>
      <c r="AK21" s="572">
        <f>'Carbon Emissions'!AR87+'Carbon Emissions'!AR79</f>
        <v>147.19617392974749</v>
      </c>
      <c r="AL21" s="572">
        <f>'Carbon Emissions'!AS87+'Carbon Emissions'!AS79</f>
        <v>144.94289260824527</v>
      </c>
      <c r="AM21" s="572">
        <f>'Carbon Emissions'!AT87+'Carbon Emissions'!AT79</f>
        <v>136.93374632597497</v>
      </c>
      <c r="AN21" s="572">
        <f>'Carbon Emissions'!AU87+'Carbon Emissions'!AU79</f>
        <v>116.88191386290815</v>
      </c>
      <c r="AO21" s="572">
        <f>'Carbon Emissions'!AV87+'Carbon Emissions'!AV79</f>
        <v>106.65611254319685</v>
      </c>
      <c r="AP21" s="572">
        <f>'Carbon Emissions'!AW87+'Carbon Emissions'!AW79</f>
        <v>98.836017869432553</v>
      </c>
      <c r="AQ21" s="572">
        <f>'Carbon Emissions'!AX87+'Carbon Emissions'!AX79</f>
        <v>94.275149764390022</v>
      </c>
      <c r="AR21" s="572">
        <f>'Carbon Emissions'!AY87+'Carbon Emissions'!AY79</f>
        <v>88.164454887083565</v>
      </c>
      <c r="AS21" s="572">
        <f>'Carbon Emissions'!AZ87+'Carbon Emissions'!AZ79</f>
        <v>87.082110542219084</v>
      </c>
    </row>
    <row r="22" spans="1:46" s="229" customFormat="1" ht="18" outlineLevel="1">
      <c r="A22" s="229">
        <v>5</v>
      </c>
      <c r="B22" s="229" t="str">
        <f t="shared" si="0"/>
        <v>5TotalCarbon Emissions</v>
      </c>
      <c r="C22" s="234" t="s">
        <v>181</v>
      </c>
      <c r="E22" s="313" t="s">
        <v>188</v>
      </c>
      <c r="G22" s="234" t="s">
        <v>184</v>
      </c>
      <c r="J22" s="572">
        <f>'Carbon Emissions'!Q25+'Carbon Emissions'!Q45</f>
        <v>58.285145777549801</v>
      </c>
      <c r="K22" s="572">
        <f>'Carbon Emissions'!R25+'Carbon Emissions'!R45</f>
        <v>76.012524339376</v>
      </c>
      <c r="L22" s="572">
        <f>'Carbon Emissions'!S25+'Carbon Emissions'!S45</f>
        <v>85.561097285227817</v>
      </c>
      <c r="M22" s="572">
        <f>'Carbon Emissions'!T25+'Carbon Emissions'!T45</f>
        <v>92.801818301251245</v>
      </c>
      <c r="N22" s="572">
        <f>'Carbon Emissions'!U25+'Carbon Emissions'!U45</f>
        <v>102.41122319751844</v>
      </c>
      <c r="O22" s="572">
        <f>'Carbon Emissions'!V25+'Carbon Emissions'!V45</f>
        <v>141.28171088235183</v>
      </c>
      <c r="P22" s="572">
        <f>'Carbon Emissions'!W25+'Carbon Emissions'!W45</f>
        <v>158.3072095595889</v>
      </c>
      <c r="Q22" s="572">
        <f>'Carbon Emissions'!X25+'Carbon Emissions'!X45</f>
        <v>176.99834482540609</v>
      </c>
      <c r="R22" s="572">
        <f>'Carbon Emissions'!Y25+'Carbon Emissions'!Y45</f>
        <v>193.4390821820343</v>
      </c>
      <c r="S22" s="572">
        <f>'Carbon Emissions'!Z25+'Carbon Emissions'!Z45</f>
        <v>202.15103479614874</v>
      </c>
      <c r="T22" s="572">
        <f>'Carbon Emissions'!AA25+'Carbon Emissions'!AA45</f>
        <v>223.18798944704324</v>
      </c>
      <c r="U22" s="572">
        <f>'Carbon Emissions'!AB25+'Carbon Emissions'!AB45</f>
        <v>233.40376003559069</v>
      </c>
      <c r="V22" s="572">
        <f>'Carbon Emissions'!AC25+'Carbon Emissions'!AC45</f>
        <v>233.65112287719677</v>
      </c>
      <c r="W22" s="572">
        <f>'Carbon Emissions'!AD25+'Carbon Emissions'!AD45</f>
        <v>229.68216469792409</v>
      </c>
      <c r="X22" s="572">
        <f>'Carbon Emissions'!AE25+'Carbon Emissions'!AE45</f>
        <v>224.78434391261982</v>
      </c>
      <c r="Y22" s="572">
        <f>'Carbon Emissions'!AF25+'Carbon Emissions'!AF45</f>
        <v>221.33290613895321</v>
      </c>
      <c r="Z22" s="572">
        <f>'Carbon Emissions'!AG25+'Carbon Emissions'!AG45</f>
        <v>216.52364551533421</v>
      </c>
      <c r="AA22" s="572">
        <f>'Carbon Emissions'!AH25+'Carbon Emissions'!AH45</f>
        <v>209.74373464809207</v>
      </c>
      <c r="AB22" s="572">
        <f>'Carbon Emissions'!AI25+'Carbon Emissions'!AI45</f>
        <v>193.90002842309087</v>
      </c>
      <c r="AC22" s="572">
        <f>'Carbon Emissions'!AJ25+'Carbon Emissions'!AJ45</f>
        <v>176.87885337087798</v>
      </c>
      <c r="AD22" s="572">
        <f>'Carbon Emissions'!AK25+'Carbon Emissions'!AK45</f>
        <v>161.12384338309749</v>
      </c>
      <c r="AE22" s="572">
        <f>'Carbon Emissions'!AL25+'Carbon Emissions'!AL45</f>
        <v>144.06959995054086</v>
      </c>
      <c r="AF22" s="572">
        <f>'Carbon Emissions'!AM25+'Carbon Emissions'!AM45</f>
        <v>127.25707451595316</v>
      </c>
      <c r="AG22" s="572">
        <f>'Carbon Emissions'!AN25+'Carbon Emissions'!AN45</f>
        <v>111.34078817331391</v>
      </c>
      <c r="AH22" s="572">
        <f>'Carbon Emissions'!AO25+'Carbon Emissions'!AO45</f>
        <v>95.655806451836781</v>
      </c>
      <c r="AI22" s="572">
        <f>'Carbon Emissions'!AP25+'Carbon Emissions'!AP45</f>
        <v>80.21927998888097</v>
      </c>
      <c r="AJ22" s="572">
        <f>'Carbon Emissions'!AQ25+'Carbon Emissions'!AQ45</f>
        <v>67.243641748369782</v>
      </c>
      <c r="AK22" s="572">
        <f>'Carbon Emissions'!AR25+'Carbon Emissions'!AR45</f>
        <v>54.874709791490488</v>
      </c>
      <c r="AL22" s="572">
        <f>'Carbon Emissions'!AS25+'Carbon Emissions'!AS45</f>
        <v>42.869924327887063</v>
      </c>
      <c r="AM22" s="572">
        <f>'Carbon Emissions'!AT25+'Carbon Emissions'!AT45</f>
        <v>31.106948504076406</v>
      </c>
      <c r="AN22" s="572">
        <f>'Carbon Emissions'!AU25+'Carbon Emissions'!AU45</f>
        <v>19.632870286069977</v>
      </c>
      <c r="AO22" s="572">
        <f>'Carbon Emissions'!AV25+'Carbon Emissions'!AV45</f>
        <v>9.7998375921895615</v>
      </c>
      <c r="AP22" s="572">
        <f>'Carbon Emissions'!AW25+'Carbon Emissions'!AW45</f>
        <v>7.0332046945385809</v>
      </c>
      <c r="AQ22" s="572">
        <f>'Carbon Emissions'!AX25+'Carbon Emissions'!AX45</f>
        <v>5.4900049018348351</v>
      </c>
      <c r="AR22" s="572">
        <f>'Carbon Emissions'!AY25+'Carbon Emissions'!AY45</f>
        <v>3.9813956953472318</v>
      </c>
      <c r="AS22" s="572">
        <f>'Carbon Emissions'!AZ25+'Carbon Emissions'!AZ45</f>
        <v>2.7231199721521051</v>
      </c>
    </row>
    <row r="23" spans="1:46" s="229" customFormat="1" ht="18" outlineLevel="1">
      <c r="A23" s="229">
        <v>6</v>
      </c>
      <c r="B23" s="229" t="str">
        <f t="shared" si="0"/>
        <v>6TotalCarbon Emissions</v>
      </c>
      <c r="C23" s="234" t="s">
        <v>181</v>
      </c>
      <c r="E23" s="313" t="s">
        <v>189</v>
      </c>
      <c r="F23" s="313"/>
      <c r="G23" s="234" t="s">
        <v>184</v>
      </c>
      <c r="I23" s="313"/>
      <c r="J23" s="571">
        <f>'Industrial and Other Transport'!O22</f>
        <v>130.59794958060394</v>
      </c>
      <c r="K23" s="571">
        <f>'Industrial and Other Transport'!P22</f>
        <v>111.88649364534403</v>
      </c>
      <c r="L23" s="571">
        <f>'Industrial and Other Transport'!Q22</f>
        <v>106.00556118514028</v>
      </c>
      <c r="M23" s="571">
        <f>'Industrial and Other Transport'!R22</f>
        <v>100.33653323393737</v>
      </c>
      <c r="N23" s="571">
        <f>'Industrial and Other Transport'!S22</f>
        <v>94.530752244339681</v>
      </c>
      <c r="O23" s="571">
        <f>'Industrial and Other Transport'!T22</f>
        <v>88.24669912500535</v>
      </c>
      <c r="P23" s="571">
        <f>'Industrial and Other Transport'!U22</f>
        <v>82.618411456213366</v>
      </c>
      <c r="Q23" s="571">
        <f>'Industrial and Other Transport'!V22</f>
        <v>76.988286206126503</v>
      </c>
      <c r="R23" s="571">
        <f>'Industrial and Other Transport'!W22</f>
        <v>71.417455087018965</v>
      </c>
      <c r="S23" s="571">
        <f>'Industrial and Other Transport'!X22</f>
        <v>66.193083047512431</v>
      </c>
      <c r="T23" s="571">
        <f>'Industrial and Other Transport'!Y22</f>
        <v>60.267387980949159</v>
      </c>
      <c r="U23" s="571">
        <f>'Industrial and Other Transport'!Z22</f>
        <v>53.496533260006473</v>
      </c>
      <c r="V23" s="571">
        <f>'Industrial and Other Transport'!AA22</f>
        <v>46.840944733440587</v>
      </c>
      <c r="W23" s="571">
        <f>'Industrial and Other Transport'!AB22</f>
        <v>40.403982947332821</v>
      </c>
      <c r="X23" s="571">
        <f>'Industrial and Other Transport'!AC22</f>
        <v>39.322729519145284</v>
      </c>
      <c r="Y23" s="571">
        <f>'Industrial and Other Transport'!AD22</f>
        <v>37.786909775075756</v>
      </c>
      <c r="Z23" s="571">
        <f>'Industrial and Other Transport'!AE22</f>
        <v>36.366575935096911</v>
      </c>
      <c r="AA23" s="571">
        <f>'Industrial and Other Transport'!AF22</f>
        <v>35.203039570152526</v>
      </c>
      <c r="AB23" s="571">
        <f>'Industrial and Other Transport'!AG22</f>
        <v>34.090295831828833</v>
      </c>
      <c r="AC23" s="571">
        <f>'Industrial and Other Transport'!AH22</f>
        <v>33.08314252057275</v>
      </c>
      <c r="AD23" s="571">
        <f>'Industrial and Other Transport'!AI22</f>
        <v>32.086707357978995</v>
      </c>
      <c r="AE23" s="571">
        <f>'Industrial and Other Transport'!AJ22</f>
        <v>31.494439737952405</v>
      </c>
      <c r="AF23" s="571">
        <f>'Industrial and Other Transport'!AK22</f>
        <v>31.036316130215692</v>
      </c>
      <c r="AG23" s="571">
        <f>'Industrial and Other Transport'!AL22</f>
        <v>30.714509531559852</v>
      </c>
      <c r="AH23" s="571">
        <f>'Industrial and Other Transport'!AM22</f>
        <v>30.371055295945268</v>
      </c>
      <c r="AI23" s="571">
        <f>'Industrial and Other Transport'!AN22</f>
        <v>29.986921178018225</v>
      </c>
      <c r="AJ23" s="571">
        <f>'Industrial and Other Transport'!AO22</f>
        <v>29.790964354235069</v>
      </c>
      <c r="AK23" s="571">
        <f>'Industrial and Other Transport'!AP22</f>
        <v>29.740528966922252</v>
      </c>
      <c r="AL23" s="571">
        <f>'Industrial and Other Transport'!AQ22</f>
        <v>29.720099287687308</v>
      </c>
      <c r="AM23" s="571">
        <f>'Industrial and Other Transport'!AR22</f>
        <v>29.66386087885256</v>
      </c>
      <c r="AN23" s="571">
        <f>'Industrial and Other Transport'!AS22</f>
        <v>29.532628387778139</v>
      </c>
      <c r="AO23" s="571">
        <f>'Industrial and Other Transport'!AT22</f>
        <v>29.462415200784072</v>
      </c>
      <c r="AP23" s="571">
        <f>'Industrial and Other Transport'!AU22</f>
        <v>29.407118079020282</v>
      </c>
      <c r="AQ23" s="571">
        <f>'Industrial and Other Transport'!AV22</f>
        <v>29.372083455592364</v>
      </c>
      <c r="AR23" s="571">
        <f>'Industrial and Other Transport'!AW22</f>
        <v>29.327369003808439</v>
      </c>
      <c r="AS23" s="571">
        <f>'Industrial and Other Transport'!AX22</f>
        <v>29.313976215851632</v>
      </c>
    </row>
    <row r="24" spans="1:46" s="229" customFormat="1" ht="18" outlineLevel="1">
      <c r="A24" s="229">
        <v>7</v>
      </c>
      <c r="B24" s="229" t="str">
        <f t="shared" si="0"/>
        <v>7TotalCarbon Emissions</v>
      </c>
      <c r="C24" s="234" t="s">
        <v>181</v>
      </c>
      <c r="E24" s="313" t="s">
        <v>190</v>
      </c>
      <c r="F24" s="313"/>
      <c r="G24" s="234" t="s">
        <v>184</v>
      </c>
      <c r="I24" s="313"/>
      <c r="J24" s="571">
        <f>'Industrial and Other Transport'!O48</f>
        <v>35.669665846182461</v>
      </c>
      <c r="K24" s="571">
        <f>'Industrial and Other Transport'!P48</f>
        <v>36.154921498175057</v>
      </c>
      <c r="L24" s="571">
        <f>'Industrial and Other Transport'!Q48</f>
        <v>38.654439918140291</v>
      </c>
      <c r="M24" s="571">
        <f>'Industrial and Other Transport'!R48</f>
        <v>39.294453433870459</v>
      </c>
      <c r="N24" s="571">
        <f>'Industrial and Other Transport'!S48</f>
        <v>39.774450506864333</v>
      </c>
      <c r="O24" s="571">
        <f>'Industrial and Other Transport'!T48</f>
        <v>15.716954880528526</v>
      </c>
      <c r="P24" s="571">
        <f>'Industrial and Other Transport'!U48</f>
        <v>16.092170145668693</v>
      </c>
      <c r="Q24" s="571">
        <f>'Industrial and Other Transport'!V48</f>
        <v>19.237471717934746</v>
      </c>
      <c r="R24" s="571">
        <f>'Industrial and Other Transport'!W48</f>
        <v>22.524510418702924</v>
      </c>
      <c r="S24" s="571">
        <f>'Industrial and Other Transport'!X48</f>
        <v>25.960298930647074</v>
      </c>
      <c r="T24" s="571">
        <f>'Industrial and Other Transport'!Y48</f>
        <v>29.552328189275698</v>
      </c>
      <c r="U24" s="571">
        <f>'Industrial and Other Transport'!Z48</f>
        <v>33.113079703456386</v>
      </c>
      <c r="V24" s="571">
        <f>'Industrial and Other Transport'!AA48</f>
        <v>36.80014494050387</v>
      </c>
      <c r="W24" s="571">
        <f>'Industrial and Other Transport'!AB48</f>
        <v>40.619382645427926</v>
      </c>
      <c r="X24" s="571">
        <f>'Industrial and Other Transport'!AC48</f>
        <v>44.577080371744742</v>
      </c>
      <c r="Y24" s="571">
        <f>'Industrial and Other Transport'!AD48</f>
        <v>48.679994443957185</v>
      </c>
      <c r="Z24" s="571">
        <f>'Industrial and Other Transport'!AE48</f>
        <v>48.951680278562876</v>
      </c>
      <c r="AA24" s="571">
        <f>'Industrial and Other Transport'!AF48</f>
        <v>48.745305969372374</v>
      </c>
      <c r="AB24" s="571">
        <f>'Industrial and Other Transport'!AG48</f>
        <v>48.519158098205658</v>
      </c>
      <c r="AC24" s="571">
        <f>'Industrial and Other Transport'!AH48</f>
        <v>48.273236665062718</v>
      </c>
      <c r="AD24" s="571">
        <f>'Industrial and Other Transport'!AI48</f>
        <v>49.955259642678556</v>
      </c>
      <c r="AE24" s="571">
        <f>'Industrial and Other Transport'!AJ48</f>
        <v>50.002756635907446</v>
      </c>
      <c r="AF24" s="571">
        <f>'Industrial and Other Transport'!AK48</f>
        <v>50.03769056067717</v>
      </c>
      <c r="AG24" s="571">
        <f>'Industrial and Other Transport'!AL48</f>
        <v>50.060061416987736</v>
      </c>
      <c r="AH24" s="571">
        <f>'Industrial and Other Transport'!AM48</f>
        <v>50.069869204839165</v>
      </c>
      <c r="AI24" s="571">
        <f>'Industrial and Other Transport'!AN48</f>
        <v>50.067113924231414</v>
      </c>
      <c r="AJ24" s="571">
        <f>'Industrial and Other Transport'!AO48</f>
        <v>49.649246550592892</v>
      </c>
      <c r="AK24" s="571">
        <f>'Industrial and Other Transport'!AP48</f>
        <v>49.209968877185958</v>
      </c>
      <c r="AL24" s="571">
        <f>'Industrial and Other Transport'!AQ48</f>
        <v>48.749280904010583</v>
      </c>
      <c r="AM24" s="571">
        <f>'Industrial and Other Transport'!AR48</f>
        <v>48.267182631066788</v>
      </c>
      <c r="AN24" s="571">
        <f>'Industrial and Other Transport'!AS48</f>
        <v>47.763674058354582</v>
      </c>
      <c r="AO24" s="571">
        <f>'Industrial and Other Transport'!AT48</f>
        <v>46.499834426924018</v>
      </c>
      <c r="AP24" s="571">
        <f>'Industrial and Other Transport'!AU48</f>
        <v>45.199190313246909</v>
      </c>
      <c r="AQ24" s="571">
        <f>'Industrial and Other Transport'!AV48</f>
        <v>43.861741717323255</v>
      </c>
      <c r="AR24" s="571">
        <f>'Industrial and Other Transport'!AW48</f>
        <v>42.48748863915305</v>
      </c>
      <c r="AS24" s="571">
        <f>'Industrial and Other Transport'!AX48</f>
        <v>41.076431078736327</v>
      </c>
    </row>
    <row r="25" spans="1:46" s="229" customFormat="1" ht="18" outlineLevel="1">
      <c r="A25" s="229">
        <v>8</v>
      </c>
      <c r="B25" s="229" t="str">
        <f t="shared" si="0"/>
        <v>8TotalCarbon Emissions</v>
      </c>
      <c r="C25" s="234" t="s">
        <v>181</v>
      </c>
      <c r="E25" s="313" t="s">
        <v>191</v>
      </c>
      <c r="F25" s="313"/>
      <c r="G25" s="234" t="s">
        <v>184</v>
      </c>
      <c r="I25" s="313"/>
      <c r="J25" s="571">
        <f>'Industrial and Other Transport'!O60</f>
        <v>30.526977819431661</v>
      </c>
      <c r="K25" s="571">
        <f>'Industrial and Other Transport'!P60</f>
        <v>30.526977819431661</v>
      </c>
      <c r="L25" s="571">
        <f>'Industrial and Other Transport'!Q60</f>
        <v>30.526977819431647</v>
      </c>
      <c r="M25" s="571">
        <f>'Industrial and Other Transport'!R60</f>
        <v>30.526977819431664</v>
      </c>
      <c r="N25" s="571">
        <f>'Industrial and Other Transport'!S60</f>
        <v>29.320863718239792</v>
      </c>
      <c r="O25" s="571">
        <f>'Industrial and Other Transport'!T60</f>
        <v>28.114749617047906</v>
      </c>
      <c r="P25" s="571">
        <f>'Industrial and Other Transport'!U60</f>
        <v>26.616718898913724</v>
      </c>
      <c r="Q25" s="571">
        <f>'Industrial and Other Transport'!V60</f>
        <v>25.118688180779536</v>
      </c>
      <c r="R25" s="571">
        <f>'Industrial and Other Transport'!W60</f>
        <v>23.620657462645337</v>
      </c>
      <c r="S25" s="571">
        <f>'Industrial and Other Transport'!X60</f>
        <v>22.122626744511159</v>
      </c>
      <c r="T25" s="571">
        <f>'Industrial and Other Transport'!Y60</f>
        <v>20.62459602637697</v>
      </c>
      <c r="U25" s="571">
        <f>'Industrial and Other Transport'!Z60</f>
        <v>19.126565308242778</v>
      </c>
      <c r="V25" s="571">
        <f>'Industrial and Other Transport'!AA60</f>
        <v>17.6285345901086</v>
      </c>
      <c r="W25" s="571">
        <f>'Industrial and Other Transport'!AB60</f>
        <v>16.130503871974412</v>
      </c>
      <c r="X25" s="571">
        <f>'Industrial and Other Transport'!AC60</f>
        <v>14.632473153840222</v>
      </c>
      <c r="Y25" s="571">
        <f>'Industrial and Other Transport'!AD60</f>
        <v>13.13444243570604</v>
      </c>
      <c r="Z25" s="571">
        <f>'Industrial and Other Transport'!AE60</f>
        <v>12.839880336114769</v>
      </c>
      <c r="AA25" s="571">
        <f>'Industrial and Other Transport'!AF60</f>
        <v>12.545318236523499</v>
      </c>
      <c r="AB25" s="571">
        <f>'Industrial and Other Transport'!AG60</f>
        <v>12.250756136932226</v>
      </c>
      <c r="AC25" s="571">
        <f>'Industrial and Other Transport'!AH60</f>
        <v>11.956194037340957</v>
      </c>
      <c r="AD25" s="571">
        <f>'Industrial and Other Transport'!AI60</f>
        <v>11.661631937749686</v>
      </c>
      <c r="AE25" s="571">
        <f>'Industrial and Other Transport'!AJ60</f>
        <v>11.367069838158415</v>
      </c>
      <c r="AF25" s="571">
        <f>'Industrial and Other Transport'!AK60</f>
        <v>11.072507738567145</v>
      </c>
      <c r="AG25" s="571">
        <f>'Industrial and Other Transport'!AL60</f>
        <v>10.777945638975874</v>
      </c>
      <c r="AH25" s="571">
        <f>'Industrial and Other Transport'!AM60</f>
        <v>10.483383539384603</v>
      </c>
      <c r="AI25" s="571">
        <f>'Industrial and Other Transport'!AN60</f>
        <v>10.188821439793333</v>
      </c>
      <c r="AJ25" s="571">
        <f>'Industrial and Other Transport'!AO60</f>
        <v>9.8942593402020602</v>
      </c>
      <c r="AK25" s="571">
        <f>'Industrial and Other Transport'!AP60</f>
        <v>9.5996972406107925</v>
      </c>
      <c r="AL25" s="571">
        <f>'Industrial and Other Transport'!AQ60</f>
        <v>9.3051351410195213</v>
      </c>
      <c r="AM25" s="571">
        <f>'Industrial and Other Transport'!AR60</f>
        <v>9.0105730414282501</v>
      </c>
      <c r="AN25" s="571">
        <f>'Industrial and Other Transport'!AS60</f>
        <v>8.7160109418369807</v>
      </c>
      <c r="AO25" s="571">
        <f>'Industrial and Other Transport'!AT60</f>
        <v>8.4214488422457094</v>
      </c>
      <c r="AP25" s="571">
        <f>'Industrial and Other Transport'!AU60</f>
        <v>8.12688674265444</v>
      </c>
      <c r="AQ25" s="571">
        <f>'Industrial and Other Transport'!AV60</f>
        <v>7.8323246430631688</v>
      </c>
      <c r="AR25" s="571">
        <f>'Industrial and Other Transport'!AW60</f>
        <v>7.5377625434718984</v>
      </c>
      <c r="AS25" s="571">
        <f>'Industrial and Other Transport'!AX60</f>
        <v>7.2432004438806183</v>
      </c>
    </row>
    <row r="26" spans="1:46" s="229" customFormat="1" ht="18" outlineLevel="1">
      <c r="A26" s="229">
        <v>9</v>
      </c>
      <c r="B26" s="229" t="str">
        <f t="shared" si="0"/>
        <v>9TotalCarbon Emissions</v>
      </c>
      <c r="C26" s="234" t="s">
        <v>181</v>
      </c>
      <c r="E26" s="313" t="s">
        <v>192</v>
      </c>
      <c r="F26" s="313"/>
      <c r="G26" s="234" t="s">
        <v>184</v>
      </c>
      <c r="I26" s="313"/>
      <c r="J26" s="571">
        <f ca="1">Transport!O57+Transport!O58+Transport!O62+Transport!O63</f>
        <v>1856.1418694547501</v>
      </c>
      <c r="K26" s="571">
        <f ca="1">Transport!P57+Transport!P58+Transport!P62+Transport!P63</f>
        <v>1839.6055140414985</v>
      </c>
      <c r="L26" s="571">
        <f ca="1">Transport!Q57+Transport!Q58+Transport!Q62+Transport!Q63</f>
        <v>1805.9958494396424</v>
      </c>
      <c r="M26" s="571">
        <f ca="1">Transport!R57+Transport!R58+Transport!R62+Transport!R63</f>
        <v>1771.2548778461767</v>
      </c>
      <c r="N26" s="571">
        <f ca="1">Transport!S57+Transport!S58+Transport!S62+Transport!S63</f>
        <v>1733.578436494111</v>
      </c>
      <c r="O26" s="571">
        <f ca="1">Transport!T57+Transport!T58+Transport!T62+Transport!T63</f>
        <v>1660.1505908326726</v>
      </c>
      <c r="P26" s="571">
        <f ca="1">Transport!U57+Transport!U58+Transport!U62+Transport!U63</f>
        <v>1624.0643810709705</v>
      </c>
      <c r="Q26" s="571">
        <f ca="1">Transport!V57+Transport!V58+Transport!V62+Transport!V63</f>
        <v>1565.3989381449067</v>
      </c>
      <c r="R26" s="571">
        <f ca="1">Transport!W57+Transport!W58+Transport!W62+Transport!W63</f>
        <v>1496.8536513456841</v>
      </c>
      <c r="S26" s="571">
        <f ca="1">Transport!X57+Transport!X58+Transport!X62+Transport!X63</f>
        <v>1431.8875894597013</v>
      </c>
      <c r="T26" s="571">
        <f ca="1">Transport!Y57+Transport!Y58+Transport!Y62+Transport!Y63</f>
        <v>1352.103050134994</v>
      </c>
      <c r="U26" s="571">
        <f ca="1">Transport!Z57+Transport!Z58+Transport!Z62+Transport!Z63</f>
        <v>1262.4901908562131</v>
      </c>
      <c r="V26" s="571">
        <f ca="1">Transport!AA57+Transport!AA58+Transport!AA62+Transport!AA63</f>
        <v>1165.7787428132531</v>
      </c>
      <c r="W26" s="571">
        <f ca="1">Transport!AB57+Transport!AB58+Transport!AB62+Transport!AB63</f>
        <v>1072.4878782625358</v>
      </c>
      <c r="X26" s="571">
        <f ca="1">Transport!AC57+Transport!AC58+Transport!AC62+Transport!AC63</f>
        <v>979.35037748350442</v>
      </c>
      <c r="Y26" s="571">
        <f ca="1">Transport!AD57+Transport!AD58+Transport!AD62+Transport!AD63</f>
        <v>876.69806332160033</v>
      </c>
      <c r="Z26" s="571">
        <f ca="1">Transport!AE57+Transport!AE58+Transport!AE62+Transport!AE63</f>
        <v>778.41529104895199</v>
      </c>
      <c r="AA26" s="571">
        <f ca="1">Transport!AF57+Transport!AF58+Transport!AF62+Transport!AF63</f>
        <v>689.45547586361295</v>
      </c>
      <c r="AB26" s="571">
        <f ca="1">Transport!AG57+Transport!AG58+Transport!AG62+Transport!AG63</f>
        <v>605.5462121309306</v>
      </c>
      <c r="AC26" s="571">
        <f ca="1">Transport!AH57+Transport!AH58+Transport!AH62+Transport!AH63</f>
        <v>530.94945695499143</v>
      </c>
      <c r="AD26" s="571">
        <f ca="1">Transport!AI57+Transport!AI58+Transport!AI62+Transport!AI63</f>
        <v>460.52246966945455</v>
      </c>
      <c r="AE26" s="571">
        <f ca="1">Transport!AJ57+Transport!AJ58+Transport!AJ62+Transport!AJ63</f>
        <v>390.39464911584105</v>
      </c>
      <c r="AF26" s="571">
        <f ca="1">Transport!AK57+Transport!AK58+Transport!AK62+Transport!AK63</f>
        <v>328.18150925732215</v>
      </c>
      <c r="AG26" s="571">
        <f ca="1">Transport!AL57+Transport!AL58+Transport!AL62+Transport!AL63</f>
        <v>274.46002841237561</v>
      </c>
      <c r="AH26" s="571">
        <f ca="1">Transport!AM57+Transport!AM58+Transport!AM62+Transport!AM63</f>
        <v>224.66171583307289</v>
      </c>
      <c r="AI26" s="571">
        <f ca="1">Transport!AN57+Transport!AN58+Transport!AN62+Transport!AN63</f>
        <v>178.52588375114681</v>
      </c>
      <c r="AJ26" s="571">
        <f ca="1">Transport!AO57+Transport!AO58+Transport!AO62+Transport!AO63</f>
        <v>146.78256695119194</v>
      </c>
      <c r="AK26" s="571">
        <f ca="1">Transport!AP57+Transport!AP58+Transport!AP62+Transport!AP63</f>
        <v>121.21809751993516</v>
      </c>
      <c r="AL26" s="571">
        <f ca="1">Transport!AQ57+Transport!AQ58+Transport!AQ62+Transport!AQ63</f>
        <v>98.913861664428367</v>
      </c>
      <c r="AM26" s="571">
        <f ca="1">Transport!AR57+Transport!AR58+Transport!AR62+Transport!AR63</f>
        <v>77.889641755947054</v>
      </c>
      <c r="AN26" s="571">
        <f ca="1">Transport!AS57+Transport!AS58+Transport!AS62+Transport!AS63</f>
        <v>56.62907539539529</v>
      </c>
      <c r="AO26" s="571">
        <f ca="1">Transport!AT57+Transport!AT58+Transport!AT62+Transport!AT63</f>
        <v>47.079826317802976</v>
      </c>
      <c r="AP26" s="571">
        <f ca="1">Transport!AU57+Transport!AU58+Transport!AU62+Transport!AU63</f>
        <v>38.850146805407654</v>
      </c>
      <c r="AQ26" s="571">
        <f ca="1">Transport!AV57+Transport!AV58+Transport!AV62+Transport!AV63</f>
        <v>31.827771575550464</v>
      </c>
      <c r="AR26" s="571">
        <f ca="1">Transport!AW57+Transport!AW58+Transport!AW62+Transport!AW63</f>
        <v>25.126049463854706</v>
      </c>
      <c r="AS26" s="571">
        <f ca="1">Transport!AX57+Transport!AX58+Transport!AX62+Transport!AX63</f>
        <v>19.668183448271197</v>
      </c>
    </row>
    <row r="27" spans="1:46" s="229" customFormat="1" ht="18" outlineLevel="1">
      <c r="A27" s="229">
        <v>10</v>
      </c>
      <c r="B27" s="229" t="str">
        <f t="shared" si="0"/>
        <v>10TotalCarbon Emissions</v>
      </c>
      <c r="C27" s="234" t="s">
        <v>181</v>
      </c>
      <c r="E27" s="313" t="s">
        <v>193</v>
      </c>
      <c r="F27" s="313"/>
      <c r="G27" s="234" t="s">
        <v>184</v>
      </c>
      <c r="I27" s="313"/>
      <c r="J27" s="571">
        <f>'Industrial and Other Transport'!O118+'Industrial and Other Transport'!O52</f>
        <v>229.98875369117781</v>
      </c>
      <c r="K27" s="571">
        <f>'Industrial and Other Transport'!P118+'Industrial and Other Transport'!P52</f>
        <v>194.51036466123628</v>
      </c>
      <c r="L27" s="571">
        <f>'Industrial and Other Transport'!Q118+'Industrial and Other Transport'!Q52</f>
        <v>179.11855828326276</v>
      </c>
      <c r="M27" s="571">
        <f>'Industrial and Other Transport'!R118+'Industrial and Other Transport'!R52</f>
        <v>171.07097791533417</v>
      </c>
      <c r="N27" s="571">
        <f>'Industrial and Other Transport'!S118+'Industrial and Other Transport'!S52</f>
        <v>159.26597277448263</v>
      </c>
      <c r="O27" s="571">
        <f>'Industrial and Other Transport'!T118+'Industrial and Other Transport'!T52</f>
        <v>131.94826753392471</v>
      </c>
      <c r="P27" s="571">
        <f>'Industrial and Other Transport'!U118+'Industrial and Other Transport'!U52</f>
        <v>126.4816162420849</v>
      </c>
      <c r="Q27" s="571">
        <f>'Industrial and Other Transport'!V118+'Industrial and Other Transport'!V52</f>
        <v>121.48140922121979</v>
      </c>
      <c r="R27" s="571">
        <f>'Industrial and Other Transport'!W118+'Industrial and Other Transport'!W52</f>
        <v>118.68353821676256</v>
      </c>
      <c r="S27" s="571">
        <f>'Industrial and Other Transport'!X118+'Industrial and Other Transport'!X52</f>
        <v>125.60246452757254</v>
      </c>
      <c r="T27" s="571">
        <f>'Industrial and Other Transport'!Y118+'Industrial and Other Transport'!Y52</f>
        <v>113.60273080339405</v>
      </c>
      <c r="U27" s="571">
        <f>'Industrial and Other Transport'!Z118+'Industrial and Other Transport'!Z52</f>
        <v>95.913185445972545</v>
      </c>
      <c r="V27" s="571">
        <f>'Industrial and Other Transport'!AA118+'Industrial and Other Transport'!AA52</f>
        <v>86.299544373257874</v>
      </c>
      <c r="W27" s="571">
        <f>'Industrial and Other Transport'!AB118+'Industrial and Other Transport'!AB52</f>
        <v>82.171192659027753</v>
      </c>
      <c r="X27" s="571">
        <f>'Industrial and Other Transport'!AC118+'Industrial and Other Transport'!AC52</f>
        <v>78.727959847408641</v>
      </c>
      <c r="Y27" s="571">
        <f>'Industrial and Other Transport'!AD118+'Industrial and Other Transport'!AD52</f>
        <v>70.373782671754356</v>
      </c>
      <c r="Z27" s="571">
        <f>'Industrial and Other Transport'!AE118+'Industrial and Other Transport'!AE52</f>
        <v>61.991480343189195</v>
      </c>
      <c r="AA27" s="571">
        <f>'Industrial and Other Transport'!AF118+'Industrial and Other Transport'!AF52</f>
        <v>56.124699543604962</v>
      </c>
      <c r="AB27" s="571">
        <f>'Industrial and Other Transport'!AG118+'Industrial and Other Transport'!AG52</f>
        <v>50.61248809235483</v>
      </c>
      <c r="AC27" s="571">
        <f>'Industrial and Other Transport'!AH118+'Industrial and Other Transport'!AH52</f>
        <v>46.063163870040363</v>
      </c>
      <c r="AD27" s="571">
        <f>'Industrial and Other Transport'!AI118+'Industrial and Other Transport'!AI52</f>
        <v>41.31059415669214</v>
      </c>
      <c r="AE27" s="571">
        <f>'Industrial and Other Transport'!AJ118+'Industrial and Other Transport'!AJ52</f>
        <v>35.630314746917165</v>
      </c>
      <c r="AF27" s="571">
        <f>'Industrial and Other Transport'!AK118+'Industrial and Other Transport'!AK52</f>
        <v>31.146099281643519</v>
      </c>
      <c r="AG27" s="571">
        <f>'Industrial and Other Transport'!AL118+'Industrial and Other Transport'!AL52</f>
        <v>27.839427021526493</v>
      </c>
      <c r="AH27" s="571">
        <f>'Industrial and Other Transport'!AM118+'Industrial and Other Transport'!AM52</f>
        <v>24.154606172549933</v>
      </c>
      <c r="AI27" s="571">
        <f>'Industrial and Other Transport'!AN118+'Industrial and Other Transport'!AN52</f>
        <v>19.98664147667618</v>
      </c>
      <c r="AJ27" s="571">
        <f>'Industrial and Other Transport'!AO118+'Industrial and Other Transport'!AO52</f>
        <v>17.06531572102125</v>
      </c>
      <c r="AK27" s="571">
        <f>'Industrial and Other Transport'!AP118+'Industrial and Other Transport'!AP52</f>
        <v>16.088077061658382</v>
      </c>
      <c r="AL27" s="571">
        <f>'Industrial and Other Transport'!AQ118+'Industrial and Other Transport'!AQ52</f>
        <v>15.396156911574302</v>
      </c>
      <c r="AM27" s="571">
        <f>'Industrial and Other Transport'!AR118+'Industrial and Other Transport'!AR52</f>
        <v>14.374800869292597</v>
      </c>
      <c r="AN27" s="571">
        <f>'Industrial and Other Transport'!AS118+'Industrial and Other Transport'!AS52</f>
        <v>12.668663607920163</v>
      </c>
      <c r="AO27" s="571">
        <f>'Industrial and Other Transport'!AT118+'Industrial and Other Transport'!AT52</f>
        <v>11.534866940600565</v>
      </c>
      <c r="AP27" s="571">
        <f>'Industrial and Other Transport'!AU118+'Industrial and Other Transport'!AU52</f>
        <v>10.543767040087284</v>
      </c>
      <c r="AQ27" s="571">
        <f>'Industrial and Other Transport'!AV118+'Industrial and Other Transport'!AV52</f>
        <v>9.7413627956961708</v>
      </c>
      <c r="AR27" s="571">
        <f>'Industrial and Other Transport'!AW118+'Industrial and Other Transport'!AW52</f>
        <v>8.8546969940095455</v>
      </c>
      <c r="AS27" s="571">
        <f>'Industrial and Other Transport'!AX118+'Industrial and Other Transport'!AX52</f>
        <v>8.2526527819293261</v>
      </c>
    </row>
    <row r="28" spans="1:46" s="229" customFormat="1" ht="18" outlineLevel="1">
      <c r="A28" s="229">
        <v>11</v>
      </c>
      <c r="B28" s="229" t="str">
        <f t="shared" si="0"/>
        <v>11TotalCarbon Emissions</v>
      </c>
      <c r="C28" s="234" t="s">
        <v>181</v>
      </c>
      <c r="E28" s="313" t="s">
        <v>194</v>
      </c>
      <c r="F28" s="313"/>
      <c r="G28" s="234" t="s">
        <v>184</v>
      </c>
      <c r="I28" s="313"/>
      <c r="J28" s="571">
        <f>'Industrial and Other Transport'!O56</f>
        <v>99.30668187487683</v>
      </c>
      <c r="K28" s="571">
        <f>'Industrial and Other Transport'!P56</f>
        <v>91.557132385413581</v>
      </c>
      <c r="L28" s="571">
        <f>'Industrial and Other Transport'!Q56</f>
        <v>83.807582895950276</v>
      </c>
      <c r="M28" s="571">
        <f>'Industrial and Other Transport'!R56</f>
        <v>76.058033406486999</v>
      </c>
      <c r="N28" s="571">
        <f>'Industrial and Other Transport'!S56</f>
        <v>68.308483917023707</v>
      </c>
      <c r="O28" s="571">
        <f>'Industrial and Other Transport'!T56</f>
        <v>60.558934427560445</v>
      </c>
      <c r="P28" s="571">
        <f>'Industrial and Other Transport'!U56</f>
        <v>60.221147933978749</v>
      </c>
      <c r="Q28" s="571">
        <f>'Industrial and Other Transport'!V56</f>
        <v>59.883361440397053</v>
      </c>
      <c r="R28" s="571">
        <f>'Industrial and Other Transport'!W56</f>
        <v>59.545574946815378</v>
      </c>
      <c r="S28" s="571">
        <f>'Industrial and Other Transport'!X56</f>
        <v>59.207788453233668</v>
      </c>
      <c r="T28" s="571">
        <f>'Industrial and Other Transport'!Y56</f>
        <v>58.870001959651994</v>
      </c>
      <c r="U28" s="571">
        <f>'Industrial and Other Transport'!Z56</f>
        <v>58.870001959651994</v>
      </c>
      <c r="V28" s="571">
        <f>'Industrial and Other Transport'!AA56</f>
        <v>58.870001959651994</v>
      </c>
      <c r="W28" s="571">
        <f>'Industrial and Other Transport'!AB56</f>
        <v>58.870001959651994</v>
      </c>
      <c r="X28" s="571">
        <f>'Industrial and Other Transport'!AC56</f>
        <v>58.870001959651994</v>
      </c>
      <c r="Y28" s="571">
        <f>'Industrial and Other Transport'!AD56</f>
        <v>58.870001959651994</v>
      </c>
      <c r="Z28" s="571">
        <f>'Industrial and Other Transport'!AE56</f>
        <v>58.870001959651994</v>
      </c>
      <c r="AA28" s="571">
        <f>'Industrial and Other Transport'!AF56</f>
        <v>58.870001959651994</v>
      </c>
      <c r="AB28" s="571">
        <f>'Industrial and Other Transport'!AG56</f>
        <v>58.870001959651994</v>
      </c>
      <c r="AC28" s="571">
        <f>'Industrial and Other Transport'!AH56</f>
        <v>58.870001959651994</v>
      </c>
      <c r="AD28" s="571">
        <f>'Industrial and Other Transport'!AI56</f>
        <v>58.870001959651994</v>
      </c>
      <c r="AE28" s="571">
        <f>'Industrial and Other Transport'!AJ56</f>
        <v>58.870001959651994</v>
      </c>
      <c r="AF28" s="571">
        <f>'Industrial and Other Transport'!AK56</f>
        <v>58.870001959651994</v>
      </c>
      <c r="AG28" s="571">
        <f>'Industrial and Other Transport'!AL56</f>
        <v>58.870001959651994</v>
      </c>
      <c r="AH28" s="571">
        <f>'Industrial and Other Transport'!AM56</f>
        <v>58.870001959651994</v>
      </c>
      <c r="AI28" s="571">
        <f>'Industrial and Other Transport'!AN56</f>
        <v>58.870001959651994</v>
      </c>
      <c r="AJ28" s="571">
        <f>'Industrial and Other Transport'!AO56</f>
        <v>58.870001959651994</v>
      </c>
      <c r="AK28" s="571">
        <f>'Industrial and Other Transport'!AP56</f>
        <v>58.870001959651994</v>
      </c>
      <c r="AL28" s="571">
        <f>'Industrial and Other Transport'!AQ56</f>
        <v>58.870001959651994</v>
      </c>
      <c r="AM28" s="571">
        <f>'Industrial and Other Transport'!AR56</f>
        <v>58.870001959651994</v>
      </c>
      <c r="AN28" s="571">
        <f>'Industrial and Other Transport'!AS56</f>
        <v>58.870001959651994</v>
      </c>
      <c r="AO28" s="571">
        <f>'Industrial and Other Transport'!AT56</f>
        <v>58.870001959651994</v>
      </c>
      <c r="AP28" s="571">
        <f>'Industrial and Other Transport'!AU56</f>
        <v>58.870001959651994</v>
      </c>
      <c r="AQ28" s="571">
        <f>'Industrial and Other Transport'!AV56</f>
        <v>58.870001959651994</v>
      </c>
      <c r="AR28" s="571">
        <f>'Industrial and Other Transport'!AW56</f>
        <v>58.870001959651994</v>
      </c>
      <c r="AS28" s="571">
        <f>'Industrial and Other Transport'!AX56</f>
        <v>58.870001959651994</v>
      </c>
    </row>
    <row r="29" spans="1:46" s="238" customFormat="1" ht="18" outlineLevel="1">
      <c r="A29" s="229">
        <v>12</v>
      </c>
      <c r="B29" s="229" t="str">
        <f>A29&amp;C29</f>
        <v>12TotalCarbon Emissions</v>
      </c>
      <c r="C29" s="234" t="s">
        <v>181</v>
      </c>
      <c r="E29" s="236" t="s">
        <v>195</v>
      </c>
      <c r="G29" s="234" t="s">
        <v>184</v>
      </c>
      <c r="J29" s="571">
        <f>'Industrial and Other Transport'!O64</f>
        <v>0</v>
      </c>
      <c r="K29" s="571">
        <f>'Industrial and Other Transport'!P64</f>
        <v>0</v>
      </c>
      <c r="L29" s="571">
        <f>'Industrial and Other Transport'!Q64</f>
        <v>0</v>
      </c>
      <c r="M29" s="571">
        <f>'Industrial and Other Transport'!R64</f>
        <v>0</v>
      </c>
      <c r="N29" s="571">
        <f>'Industrial and Other Transport'!S64</f>
        <v>0</v>
      </c>
      <c r="O29" s="571">
        <f>'Industrial and Other Transport'!T64</f>
        <v>0</v>
      </c>
      <c r="P29" s="571">
        <f>'Industrial and Other Transport'!U64</f>
        <v>0</v>
      </c>
      <c r="Q29" s="571">
        <f>'Industrial and Other Transport'!V64</f>
        <v>0</v>
      </c>
      <c r="R29" s="571">
        <f>'Industrial and Other Transport'!W64</f>
        <v>0</v>
      </c>
      <c r="S29" s="571">
        <f>'Industrial and Other Transport'!X64</f>
        <v>0</v>
      </c>
      <c r="T29" s="571">
        <f>'Industrial and Other Transport'!Y64</f>
        <v>0</v>
      </c>
      <c r="U29" s="571">
        <f>'Industrial and Other Transport'!Z64</f>
        <v>0</v>
      </c>
      <c r="V29" s="571">
        <f>'Industrial and Other Transport'!AA64</f>
        <v>0</v>
      </c>
      <c r="W29" s="571">
        <f>'Industrial and Other Transport'!AB64</f>
        <v>0</v>
      </c>
      <c r="X29" s="571">
        <f>'Industrial and Other Transport'!AC64</f>
        <v>0</v>
      </c>
      <c r="Y29" s="571">
        <f>'Industrial and Other Transport'!AD64</f>
        <v>0</v>
      </c>
      <c r="Z29" s="571">
        <f>'Industrial and Other Transport'!AE64</f>
        <v>0</v>
      </c>
      <c r="AA29" s="571">
        <f>'Industrial and Other Transport'!AF64</f>
        <v>0</v>
      </c>
      <c r="AB29" s="571">
        <f>'Industrial and Other Transport'!AG64</f>
        <v>0</v>
      </c>
      <c r="AC29" s="571">
        <f>'Industrial and Other Transport'!AH64</f>
        <v>0</v>
      </c>
      <c r="AD29" s="571">
        <f>'Industrial and Other Transport'!AI64</f>
        <v>0</v>
      </c>
      <c r="AE29" s="571">
        <f>'Industrial and Other Transport'!AJ64</f>
        <v>0</v>
      </c>
      <c r="AF29" s="571">
        <f>'Industrial and Other Transport'!AK64</f>
        <v>0</v>
      </c>
      <c r="AG29" s="571">
        <f>'Industrial and Other Transport'!AL64</f>
        <v>0</v>
      </c>
      <c r="AH29" s="571">
        <f>'Industrial and Other Transport'!AM64</f>
        <v>0</v>
      </c>
      <c r="AI29" s="571">
        <f>'Industrial and Other Transport'!AN64</f>
        <v>0</v>
      </c>
      <c r="AJ29" s="571">
        <f>'Industrial and Other Transport'!AO64</f>
        <v>0</v>
      </c>
      <c r="AK29" s="571">
        <f>'Industrial and Other Transport'!AP64</f>
        <v>0</v>
      </c>
      <c r="AL29" s="571">
        <f>'Industrial and Other Transport'!AQ64</f>
        <v>0</v>
      </c>
      <c r="AM29" s="571">
        <f>'Industrial and Other Transport'!AR64</f>
        <v>0</v>
      </c>
      <c r="AN29" s="571">
        <f>'Industrial and Other Transport'!AS64</f>
        <v>0</v>
      </c>
      <c r="AO29" s="571">
        <f>'Industrial and Other Transport'!AT64</f>
        <v>0</v>
      </c>
      <c r="AP29" s="571">
        <f>'Industrial and Other Transport'!AU64</f>
        <v>0</v>
      </c>
      <c r="AQ29" s="571">
        <f>'Industrial and Other Transport'!AV64</f>
        <v>0</v>
      </c>
      <c r="AR29" s="571">
        <f>'Industrial and Other Transport'!AW64</f>
        <v>0</v>
      </c>
      <c r="AS29" s="571">
        <f>'Industrial and Other Transport'!AX64</f>
        <v>0</v>
      </c>
    </row>
    <row r="30" spans="1:46" outlineLevel="1"/>
    <row r="31" spans="1:46" outlineLevel="1"/>
    <row r="32" spans="1:46" s="298" customFormat="1" outlineLevel="1">
      <c r="A32" s="298" t="s">
        <v>142</v>
      </c>
      <c r="B32" s="298" t="s">
        <v>164</v>
      </c>
    </row>
    <row r="33" spans="1:45" outlineLevel="1">
      <c r="A33" s="229" t="s">
        <v>175</v>
      </c>
      <c r="B33" s="229" t="s">
        <v>176</v>
      </c>
      <c r="C33" s="229" t="s">
        <v>177</v>
      </c>
      <c r="D33" s="230"/>
      <c r="E33" s="230" t="s">
        <v>178</v>
      </c>
      <c r="F33" s="230"/>
      <c r="G33" s="230" t="s">
        <v>179</v>
      </c>
      <c r="H33" s="230" t="s">
        <v>180</v>
      </c>
      <c r="I33" s="230"/>
      <c r="J33" s="230">
        <v>2015</v>
      </c>
      <c r="K33" s="230">
        <v>2016</v>
      </c>
      <c r="L33" s="230">
        <v>2017</v>
      </c>
      <c r="M33" s="230">
        <v>2018</v>
      </c>
      <c r="N33" s="230">
        <v>2019</v>
      </c>
      <c r="O33" s="230">
        <v>2020</v>
      </c>
      <c r="P33" s="230">
        <v>2021</v>
      </c>
      <c r="Q33" s="230">
        <v>2022</v>
      </c>
      <c r="R33" s="230">
        <v>2023</v>
      </c>
      <c r="S33" s="230">
        <v>2024</v>
      </c>
      <c r="T33" s="230">
        <v>2025</v>
      </c>
      <c r="U33" s="230">
        <v>2026</v>
      </c>
      <c r="V33" s="230">
        <v>2027</v>
      </c>
      <c r="W33" s="230">
        <v>2028</v>
      </c>
      <c r="X33" s="230">
        <v>2029</v>
      </c>
      <c r="Y33" s="230">
        <v>2030</v>
      </c>
      <c r="Z33" s="230">
        <v>2031</v>
      </c>
      <c r="AA33" s="230">
        <v>2032</v>
      </c>
      <c r="AB33" s="230">
        <v>2033</v>
      </c>
      <c r="AC33" s="230">
        <v>2034</v>
      </c>
      <c r="AD33" s="230">
        <v>2035</v>
      </c>
      <c r="AE33" s="230">
        <v>2036</v>
      </c>
      <c r="AF33" s="230">
        <v>2037</v>
      </c>
      <c r="AG33" s="230">
        <v>2038</v>
      </c>
      <c r="AH33" s="230">
        <v>2039</v>
      </c>
      <c r="AI33" s="230">
        <v>2040</v>
      </c>
      <c r="AJ33" s="230">
        <v>2041</v>
      </c>
      <c r="AK33" s="230">
        <v>2042</v>
      </c>
      <c r="AL33" s="230">
        <v>2043</v>
      </c>
      <c r="AM33" s="230">
        <v>2044</v>
      </c>
      <c r="AN33" s="230">
        <v>2045</v>
      </c>
      <c r="AO33" s="230">
        <v>2046</v>
      </c>
      <c r="AP33" s="230">
        <v>2047</v>
      </c>
      <c r="AQ33" s="230">
        <v>2048</v>
      </c>
      <c r="AR33" s="230">
        <v>2049</v>
      </c>
      <c r="AS33" s="230">
        <v>2050</v>
      </c>
    </row>
    <row r="34" spans="1:45" outlineLevel="1"/>
    <row r="35" spans="1:45" s="229" customFormat="1" outlineLevel="1">
      <c r="A35" s="229">
        <v>0</v>
      </c>
      <c r="B35" s="229" t="str">
        <f t="shared" ref="B35:B46" si="1">A35&amp;C35</f>
        <v>0TotalEnergy Demand</v>
      </c>
      <c r="C35" s="234" t="str">
        <f>$A$32&amp;$B$32</f>
        <v>TotalEnergy Demand</v>
      </c>
      <c r="E35" s="248" t="s">
        <v>196</v>
      </c>
      <c r="G35" s="234"/>
      <c r="J35" s="237"/>
      <c r="K35" s="237"/>
      <c r="L35" s="237"/>
      <c r="M35" s="237"/>
      <c r="N35" s="237"/>
      <c r="O35" s="237"/>
      <c r="P35" s="237"/>
      <c r="Q35" s="237"/>
      <c r="R35" s="237"/>
      <c r="S35" s="237"/>
      <c r="T35" s="237"/>
      <c r="U35" s="237"/>
      <c r="V35" s="237"/>
      <c r="W35" s="237"/>
      <c r="X35" s="237"/>
      <c r="Y35" s="237"/>
      <c r="Z35" s="237"/>
      <c r="AA35" s="237"/>
      <c r="AB35" s="237"/>
      <c r="AC35" s="237"/>
      <c r="AD35" s="237"/>
      <c r="AE35" s="237"/>
      <c r="AF35" s="237"/>
      <c r="AG35" s="237"/>
      <c r="AH35" s="237"/>
      <c r="AI35" s="237"/>
      <c r="AJ35" s="237"/>
      <c r="AK35" s="237"/>
      <c r="AL35" s="237"/>
      <c r="AM35" s="237"/>
      <c r="AN35" s="237"/>
      <c r="AO35" s="237"/>
      <c r="AP35" s="237"/>
      <c r="AQ35" s="237"/>
      <c r="AR35" s="237"/>
      <c r="AS35" s="237"/>
    </row>
    <row r="36" spans="1:45" s="229" customFormat="1" outlineLevel="1">
      <c r="A36" s="229">
        <v>1</v>
      </c>
      <c r="B36" s="229" t="str">
        <f t="shared" si="1"/>
        <v>1TotalEnergy Demand</v>
      </c>
      <c r="C36" s="234" t="str">
        <f t="shared" ref="C36:C47" si="2">$A$32&amp;$B$32</f>
        <v>TotalEnergy Demand</v>
      </c>
      <c r="E36" s="313" t="s">
        <v>197</v>
      </c>
      <c r="F36" s="313"/>
      <c r="G36" s="234" t="s">
        <v>198</v>
      </c>
      <c r="I36" s="313"/>
      <c r="J36" s="571">
        <f>'Energy demand'!O12+'Energy demand'!O133</f>
        <v>10197.916391695011</v>
      </c>
      <c r="K36" s="571">
        <f>'Energy demand'!P12+'Energy demand'!P133</f>
        <v>10197.73990309112</v>
      </c>
      <c r="L36" s="571">
        <f>'Energy demand'!Q12+'Energy demand'!Q133</f>
        <v>10197.569937413626</v>
      </c>
      <c r="M36" s="571">
        <f>'Energy demand'!R12+'Energy demand'!R133</f>
        <v>10197.406494662528</v>
      </c>
      <c r="N36" s="571">
        <f>'Energy demand'!S12+'Energy demand'!S133</f>
        <v>10197.230185601906</v>
      </c>
      <c r="O36" s="571">
        <f>'Energy demand'!T12+'Energy demand'!T133</f>
        <v>10167.153621893154</v>
      </c>
      <c r="P36" s="571">
        <f>'Energy demand'!U12+'Energy demand'!U133</f>
        <v>10076.193141217915</v>
      </c>
      <c r="Q36" s="571">
        <f>'Energy demand'!V12+'Energy demand'!V133</f>
        <v>9739.6733365052096</v>
      </c>
      <c r="R36" s="571">
        <f>'Energy demand'!W12+'Energy demand'!W133</f>
        <v>9160.195845229664</v>
      </c>
      <c r="S36" s="571">
        <f>'Energy demand'!X12+'Energy demand'!X133</f>
        <v>8519.8507282208502</v>
      </c>
      <c r="T36" s="571">
        <f>'Energy demand'!Y12+'Energy demand'!Y133</f>
        <v>7939.7168199263597</v>
      </c>
      <c r="U36" s="571">
        <f>'Energy demand'!Z12+'Energy demand'!Z133</f>
        <v>7440.250720064746</v>
      </c>
      <c r="V36" s="571">
        <f>'Energy demand'!AA12+'Energy demand'!AA133</f>
        <v>7021.6464580570246</v>
      </c>
      <c r="W36" s="571">
        <f>'Energy demand'!AB12+'Energy demand'!AB133</f>
        <v>6700.123279658399</v>
      </c>
      <c r="X36" s="571">
        <f>'Energy demand'!AC12+'Energy demand'!AC133</f>
        <v>6517.8754612271177</v>
      </c>
      <c r="Y36" s="571">
        <f>'Energy demand'!AD12+'Energy demand'!AD133</f>
        <v>6448.897243702213</v>
      </c>
      <c r="Z36" s="571">
        <f>'Energy demand'!AE12+'Energy demand'!AE133</f>
        <v>6429.1211977981548</v>
      </c>
      <c r="AA36" s="571">
        <f>'Energy demand'!AF12+'Energy demand'!AF133</f>
        <v>6409.9443373828299</v>
      </c>
      <c r="AB36" s="571">
        <f>'Energy demand'!AG12+'Energy demand'!AG133</f>
        <v>6391.3194554619686</v>
      </c>
      <c r="AC36" s="571">
        <f>'Energy demand'!AH12+'Energy demand'!AH133</f>
        <v>6373.3926870740925</v>
      </c>
      <c r="AD36" s="571">
        <f>'Energy demand'!AI12+'Energy demand'!AI133</f>
        <v>6357.2660492234909</v>
      </c>
      <c r="AE36" s="571">
        <f>'Energy demand'!AJ12+'Energy demand'!AJ133</f>
        <v>6336.4265332659206</v>
      </c>
      <c r="AF36" s="571">
        <f>'Energy demand'!AK12+'Energy demand'!AK133</f>
        <v>6321.1032793541772</v>
      </c>
      <c r="AG36" s="571">
        <f>'Energy demand'!AL12+'Energy demand'!AL133</f>
        <v>6310.6739962749016</v>
      </c>
      <c r="AH36" s="571">
        <f>'Energy demand'!AM12+'Energy demand'!AM133</f>
        <v>6306.9720689241185</v>
      </c>
      <c r="AI36" s="571">
        <f>'Energy demand'!AN12+'Energy demand'!AN133</f>
        <v>6303.3487519241107</v>
      </c>
      <c r="AJ36" s="571">
        <f>'Energy demand'!AO12+'Energy demand'!AO133</f>
        <v>6299.5907481490376</v>
      </c>
      <c r="AK36" s="571">
        <f>'Energy demand'!AP12+'Energy demand'!AP133</f>
        <v>6295.9328190215301</v>
      </c>
      <c r="AL36" s="571">
        <f>'Energy demand'!AQ12+'Energy demand'!AQ133</f>
        <v>6292.3576363199682</v>
      </c>
      <c r="AM36" s="571">
        <f>'Energy demand'!AR12+'Energy demand'!AR133</f>
        <v>6288.8479048012668</v>
      </c>
      <c r="AN36" s="571">
        <f>'Energy demand'!AS12+'Energy demand'!AS133</f>
        <v>6285.386369061257</v>
      </c>
      <c r="AO36" s="571">
        <f>'Energy demand'!AT12+'Energy demand'!AT133</f>
        <v>6282.2079475241908</v>
      </c>
      <c r="AP36" s="571">
        <f>'Energy demand'!AU12+'Energy demand'!AU133</f>
        <v>6278.9022220644802</v>
      </c>
      <c r="AQ36" s="571">
        <f>'Energy demand'!AV12+'Energy demand'!AV133</f>
        <v>6275.4670342338295</v>
      </c>
      <c r="AR36" s="571">
        <f>'Energy demand'!AW12+'Energy demand'!AW133</f>
        <v>6271.900173525738</v>
      </c>
      <c r="AS36" s="571">
        <f>'Energy demand'!AX12+'Energy demand'!AX133</f>
        <v>6268.1993776429044</v>
      </c>
    </row>
    <row r="37" spans="1:45" s="229" customFormat="1" outlineLevel="1">
      <c r="A37" s="229">
        <v>2</v>
      </c>
      <c r="B37" s="229" t="str">
        <f t="shared" si="1"/>
        <v>2TotalEnergy Demand</v>
      </c>
      <c r="C37" s="234" t="str">
        <f t="shared" si="2"/>
        <v>TotalEnergy Demand</v>
      </c>
      <c r="E37" s="313" t="s">
        <v>199</v>
      </c>
      <c r="G37" s="234" t="s">
        <v>198</v>
      </c>
      <c r="J37" s="571">
        <f>'Energy demand'!O13</f>
        <v>0</v>
      </c>
      <c r="K37" s="571">
        <f>'Energy demand'!P13</f>
        <v>85.95496008223806</v>
      </c>
      <c r="L37" s="571">
        <f>'Energy demand'!Q13</f>
        <v>171.90992016447763</v>
      </c>
      <c r="M37" s="571">
        <f>'Energy demand'!R13</f>
        <v>257.86488024671422</v>
      </c>
      <c r="N37" s="571">
        <f>'Energy demand'!S13</f>
        <v>343.81725245069589</v>
      </c>
      <c r="O37" s="571">
        <f>'Energy demand'!T13</f>
        <v>426.08367547196923</v>
      </c>
      <c r="P37" s="571">
        <f>'Energy demand'!U13</f>
        <v>487.05907810974924</v>
      </c>
      <c r="Q37" s="571">
        <f>'Energy demand'!V13</f>
        <v>515.46276657104386</v>
      </c>
      <c r="R37" s="571">
        <f>'Energy demand'!W13</f>
        <v>511.7155508007782</v>
      </c>
      <c r="S37" s="571">
        <f>'Energy demand'!X13</f>
        <v>500.29117868309481</v>
      </c>
      <c r="T37" s="571">
        <f>'Energy demand'!Y13</f>
        <v>497.27172282243509</v>
      </c>
      <c r="U37" s="571">
        <f>'Energy demand'!Z13</f>
        <v>491.68743644741494</v>
      </c>
      <c r="V37" s="571">
        <f>'Energy demand'!AA13</f>
        <v>497.57968123671071</v>
      </c>
      <c r="W37" s="571">
        <f>'Energy demand'!AB13</f>
        <v>516.45357390359311</v>
      </c>
      <c r="X37" s="571">
        <f>'Energy demand'!AC13</f>
        <v>553.79994107540892</v>
      </c>
      <c r="Y37" s="571">
        <f>'Energy demand'!AD13</f>
        <v>606.09712156585113</v>
      </c>
      <c r="Z37" s="571">
        <f>'Energy demand'!AE13</f>
        <v>633.20684704990936</v>
      </c>
      <c r="AA37" s="571">
        <f>'Energy demand'!AF13</f>
        <v>660.32370565774477</v>
      </c>
      <c r="AB37" s="571">
        <f>'Energy demand'!AG13</f>
        <v>687.44769738935008</v>
      </c>
      <c r="AC37" s="571">
        <f>'Energy demand'!AH13</f>
        <v>714.57882224473099</v>
      </c>
      <c r="AD37" s="571">
        <f>'Energy demand'!AI13</f>
        <v>741.73828699578746</v>
      </c>
      <c r="AE37" s="571">
        <f>'Energy demand'!AJ13</f>
        <v>768.91008731498334</v>
      </c>
      <c r="AF37" s="571">
        <f>'Energy demand'!AK13</f>
        <v>796.08210282293339</v>
      </c>
      <c r="AG37" s="571">
        <f>'Energy demand'!AL13</f>
        <v>823.2759145728246</v>
      </c>
      <c r="AH37" s="571">
        <f>'Energy demand'!AM13</f>
        <v>850.46994151147146</v>
      </c>
      <c r="AI37" s="571">
        <f>'Energy demand'!AN13</f>
        <v>877.66418363887703</v>
      </c>
      <c r="AJ37" s="571">
        <f>'Energy demand'!AO13</f>
        <v>904.85864095503814</v>
      </c>
      <c r="AK37" s="571">
        <f>'Energy demand'!AP13</f>
        <v>932.0533134599566</v>
      </c>
      <c r="AL37" s="571">
        <f>'Energy demand'!AQ13</f>
        <v>959.24820115363218</v>
      </c>
      <c r="AM37" s="571">
        <f>'Energy demand'!AR13</f>
        <v>986.443304036065</v>
      </c>
      <c r="AN37" s="571">
        <f>'Energy demand'!AS13</f>
        <v>1013.6386221072548</v>
      </c>
      <c r="AO37" s="571">
        <f>'Energy demand'!AT13</f>
        <v>1040.8341553672021</v>
      </c>
      <c r="AP37" s="571">
        <f>'Energy demand'!AU13</f>
        <v>1068.0299038159064</v>
      </c>
      <c r="AQ37" s="571">
        <f>'Energy demand'!AV13</f>
        <v>1095.2258674533693</v>
      </c>
      <c r="AR37" s="571">
        <f>'Energy demand'!AW13</f>
        <v>1122.4220462795879</v>
      </c>
      <c r="AS37" s="571">
        <f>'Energy demand'!AX13</f>
        <v>1149.618440294561</v>
      </c>
    </row>
    <row r="38" spans="1:45" s="229" customFormat="1" outlineLevel="1">
      <c r="A38" s="229">
        <v>3</v>
      </c>
      <c r="B38" s="229" t="str">
        <f t="shared" si="1"/>
        <v>3TotalEnergy Demand</v>
      </c>
      <c r="C38" s="234" t="str">
        <f t="shared" si="2"/>
        <v>TotalEnergy Demand</v>
      </c>
      <c r="E38" s="313" t="s">
        <v>200</v>
      </c>
      <c r="F38" s="313"/>
      <c r="G38" s="234" t="s">
        <v>198</v>
      </c>
      <c r="I38" s="313"/>
      <c r="J38" s="571">
        <f>'Energy demand'!O19+'Energy demand'!O137+'Energy demand'!O138</f>
        <v>11792.814922671761</v>
      </c>
      <c r="K38" s="571">
        <f>'Energy demand'!P19+'Energy demand'!P137+'Energy demand'!P138</f>
        <v>11788.973624376045</v>
      </c>
      <c r="L38" s="571">
        <f>'Energy demand'!Q19+'Energy demand'!Q137+'Energy demand'!Q138</f>
        <v>11785.132326080329</v>
      </c>
      <c r="M38" s="571">
        <f>'Energy demand'!R19+'Energy demand'!R137+'Energy demand'!R138</f>
        <v>11781.291027784613</v>
      </c>
      <c r="N38" s="571">
        <f>'Energy demand'!S19+'Energy demand'!S137+'Energy demand'!S138</f>
        <v>11754.333903272942</v>
      </c>
      <c r="O38" s="571">
        <f>'Energy demand'!T19+'Energy demand'!T137+'Energy demand'!T138</f>
        <v>11704.35924195203</v>
      </c>
      <c r="P38" s="571">
        <f>'Energy demand'!U19+'Energy demand'!U137+'Energy demand'!U138</f>
        <v>11605.637453693447</v>
      </c>
      <c r="Q38" s="571">
        <f>'Energy demand'!V19+'Energy demand'!V137+'Energy demand'!V138</f>
        <v>11458.59935731386</v>
      </c>
      <c r="R38" s="571">
        <f>'Energy demand'!W19+'Energy demand'!W137+'Energy demand'!W138</f>
        <v>11167.1962593438</v>
      </c>
      <c r="S38" s="571">
        <f>'Energy demand'!X19+'Energy demand'!X137+'Energy demand'!X138</f>
        <v>10709.316155788292</v>
      </c>
      <c r="T38" s="571">
        <f>'Energy demand'!Y19+'Energy demand'!Y137+'Energy demand'!Y138</f>
        <v>10208.713815899007</v>
      </c>
      <c r="U38" s="571">
        <f>'Energy demand'!Z19+'Energy demand'!Z137+'Energy demand'!Z138</f>
        <v>9664.4381877111828</v>
      </c>
      <c r="V38" s="571">
        <f>'Energy demand'!AA19+'Energy demand'!AA137+'Energy demand'!AA138</f>
        <v>9068.844371334093</v>
      </c>
      <c r="W38" s="571">
        <f>'Energy demand'!AB19+'Energy demand'!AB137+'Energy demand'!AB138</f>
        <v>8625.0216637955418</v>
      </c>
      <c r="X38" s="571">
        <f>'Energy demand'!AC19+'Energy demand'!AC137+'Energy demand'!AC138</f>
        <v>8128.5545326952351</v>
      </c>
      <c r="Y38" s="571">
        <f>'Energy demand'!AD19+'Energy demand'!AD137+'Energy demand'!AD138</f>
        <v>7638.2464629819206</v>
      </c>
      <c r="Z38" s="571">
        <f>'Energy demand'!AE19+'Energy demand'!AE137+'Energy demand'!AE138</f>
        <v>7225.3268148113284</v>
      </c>
      <c r="AA38" s="571">
        <f>'Energy demand'!AF19+'Energy demand'!AF137+'Energy demand'!AF138</f>
        <v>6887.3890292320812</v>
      </c>
      <c r="AB38" s="571">
        <f>'Energy demand'!AG19+'Energy demand'!AG137+'Energy demand'!AG138</f>
        <v>6622.622560971552</v>
      </c>
      <c r="AC38" s="571">
        <f>'Energy demand'!AH19+'Energy demand'!AH137+'Energy demand'!AH138</f>
        <v>6429.8160179357383</v>
      </c>
      <c r="AD38" s="571">
        <f>'Energy demand'!AI19+'Energy demand'!AI137+'Energy demand'!AI138</f>
        <v>6436.0204848485764</v>
      </c>
      <c r="AE38" s="571">
        <f>'Energy demand'!AJ19+'Energy demand'!AJ137+'Energy demand'!AJ138</f>
        <v>6442.2405815202101</v>
      </c>
      <c r="AF38" s="571">
        <f>'Energy demand'!AK19+'Energy demand'!AK137+'Energy demand'!AK138</f>
        <v>6448.1200465716602</v>
      </c>
      <c r="AG38" s="571">
        <f>'Energy demand'!AL19+'Energy demand'!AL137+'Energy demand'!AL138</f>
        <v>6454.0152671800461</v>
      </c>
      <c r="AH38" s="571">
        <f>'Energy demand'!AM19+'Energy demand'!AM137+'Energy demand'!AM138</f>
        <v>6459.9263066334379</v>
      </c>
      <c r="AI38" s="571">
        <f>'Energy demand'!AN19+'Energy demand'!AN137+'Energy demand'!AN138</f>
        <v>6465.8532284808743</v>
      </c>
      <c r="AJ38" s="571">
        <f>'Energy demand'!AO19+'Energy demand'!AO137+'Energy demand'!AO138</f>
        <v>6471.764588147782</v>
      </c>
      <c r="AK38" s="571">
        <f>'Energy demand'!AP19+'Energy demand'!AP137+'Energy demand'!AP138</f>
        <v>6477.6603232353518</v>
      </c>
      <c r="AL38" s="571">
        <f>'Energy demand'!AQ19+'Energy demand'!AQ137+'Energy demand'!AQ138</f>
        <v>6483.5403710873334</v>
      </c>
      <c r="AM38" s="571">
        <f>'Energy demand'!AR19+'Energy demand'!AR137+'Energy demand'!AR138</f>
        <v>6489.4046687888076</v>
      </c>
      <c r="AN38" s="571">
        <f>'Energy demand'!AS19+'Energy demand'!AS137+'Energy demand'!AS138</f>
        <v>6495.2531531649929</v>
      </c>
      <c r="AO38" s="571">
        <f>'Energy demand'!AT19+'Energy demand'!AT137+'Energy demand'!AT138</f>
        <v>6501.0857607799971</v>
      </c>
      <c r="AP38" s="571">
        <f>'Energy demand'!AU19+'Energy demand'!AU137+'Energy demand'!AU138</f>
        <v>6506.9024279356126</v>
      </c>
      <c r="AQ38" s="571">
        <f>'Energy demand'!AV19+'Energy demand'!AV137+'Energy demand'!AV138</f>
        <v>6512.7030906700675</v>
      </c>
      <c r="AR38" s="571">
        <f>'Energy demand'!AW19+'Energy demand'!AW137+'Energy demand'!AW138</f>
        <v>6518.4876847567848</v>
      </c>
      <c r="AS38" s="571">
        <f>'Energy demand'!AX19+'Energy demand'!AX137+'Energy demand'!AX138</f>
        <v>6524.2561457031397</v>
      </c>
    </row>
    <row r="39" spans="1:45" s="229" customFormat="1" outlineLevel="1">
      <c r="A39" s="229">
        <v>4</v>
      </c>
      <c r="B39" s="229" t="str">
        <f t="shared" si="1"/>
        <v>4TotalEnergy Demand</v>
      </c>
      <c r="C39" s="234" t="str">
        <f t="shared" si="2"/>
        <v>TotalEnergy Demand</v>
      </c>
      <c r="E39" s="313" t="s">
        <v>201</v>
      </c>
      <c r="G39" s="234" t="s">
        <v>198</v>
      </c>
      <c r="J39" s="571">
        <f>'Energy demand'!O20</f>
        <v>0</v>
      </c>
      <c r="K39" s="571">
        <f>'Energy demand'!P20</f>
        <v>27.366553513897742</v>
      </c>
      <c r="L39" s="571">
        <f>'Energy demand'!Q20</f>
        <v>54.733107027793189</v>
      </c>
      <c r="M39" s="571">
        <f>'Energy demand'!R20</f>
        <v>82.099660541690938</v>
      </c>
      <c r="N39" s="571">
        <f>'Energy demand'!S20</f>
        <v>109.46621405558638</v>
      </c>
      <c r="O39" s="571">
        <f>'Energy demand'!T20</f>
        <v>136.91105511386766</v>
      </c>
      <c r="P39" s="571">
        <f>'Energy demand'!U20</f>
        <v>164.35589617214893</v>
      </c>
      <c r="Q39" s="571">
        <f>'Energy demand'!V20</f>
        <v>191.80073723043026</v>
      </c>
      <c r="R39" s="571">
        <f>'Energy demand'!W20</f>
        <v>219.24557828871153</v>
      </c>
      <c r="S39" s="571">
        <f>'Energy demand'!X20</f>
        <v>246.69041934699166</v>
      </c>
      <c r="T39" s="571">
        <f>'Energy demand'!Y20</f>
        <v>274.13526040527182</v>
      </c>
      <c r="U39" s="571">
        <f>'Energy demand'!Z20</f>
        <v>294.68065003036492</v>
      </c>
      <c r="V39" s="571">
        <f>'Energy demand'!AA20</f>
        <v>315.22603965545807</v>
      </c>
      <c r="W39" s="571">
        <f>'Energy demand'!AB20</f>
        <v>335.77142928055127</v>
      </c>
      <c r="X39" s="571">
        <f>'Energy demand'!AC20</f>
        <v>356.31681890564437</v>
      </c>
      <c r="Y39" s="571">
        <f>'Energy demand'!AD20</f>
        <v>376.86220853073752</v>
      </c>
      <c r="Z39" s="571">
        <f>'Energy demand'!AE20</f>
        <v>397.40759815583067</v>
      </c>
      <c r="AA39" s="571">
        <f>'Energy demand'!AF20</f>
        <v>417.95298778092263</v>
      </c>
      <c r="AB39" s="571">
        <f>'Energy demand'!AG20</f>
        <v>438.49837740601583</v>
      </c>
      <c r="AC39" s="571">
        <f>'Energy demand'!AH20</f>
        <v>459.04376703110893</v>
      </c>
      <c r="AD39" s="571">
        <f>'Energy demand'!AI20</f>
        <v>479.58915665620208</v>
      </c>
      <c r="AE39" s="571">
        <f>'Energy demand'!AJ20</f>
        <v>500.13454628129523</v>
      </c>
      <c r="AF39" s="571">
        <f>'Energy demand'!AK20</f>
        <v>520.67993590638832</v>
      </c>
      <c r="AG39" s="571">
        <f>'Energy demand'!AL20</f>
        <v>541.22532553148153</v>
      </c>
      <c r="AH39" s="571">
        <f>'Energy demand'!AM20</f>
        <v>561.77071515657462</v>
      </c>
      <c r="AI39" s="571">
        <f>'Energy demand'!AN20</f>
        <v>582.31610478166783</v>
      </c>
      <c r="AJ39" s="571">
        <f>'Energy demand'!AO20</f>
        <v>602.86149440676093</v>
      </c>
      <c r="AK39" s="571">
        <f>'Energy demand'!AP20</f>
        <v>623.40688403185402</v>
      </c>
      <c r="AL39" s="571">
        <f>'Energy demand'!AQ20</f>
        <v>643.95227365694723</v>
      </c>
      <c r="AM39" s="571">
        <f>'Energy demand'!AR20</f>
        <v>664.49766328203918</v>
      </c>
      <c r="AN39" s="571">
        <f>'Energy demand'!AS20</f>
        <v>685.04305290713239</v>
      </c>
      <c r="AO39" s="571">
        <f>'Energy demand'!AT20</f>
        <v>705.58844253222549</v>
      </c>
      <c r="AP39" s="571">
        <f>'Energy demand'!AU20</f>
        <v>726.13383215731858</v>
      </c>
      <c r="AQ39" s="571">
        <f>'Energy demand'!AV20</f>
        <v>746.67922178241179</v>
      </c>
      <c r="AR39" s="571">
        <f>'Energy demand'!AW20</f>
        <v>767.22461140750488</v>
      </c>
      <c r="AS39" s="571">
        <f>'Energy demand'!AX20</f>
        <v>787.77000103259797</v>
      </c>
    </row>
    <row r="40" spans="1:45" s="229" customFormat="1" outlineLevel="1">
      <c r="A40" s="229">
        <v>5</v>
      </c>
      <c r="B40" s="229" t="str">
        <f t="shared" si="1"/>
        <v>5TotalEnergy Demand</v>
      </c>
      <c r="C40" s="234" t="str">
        <f t="shared" si="2"/>
        <v>TotalEnergy Demand</v>
      </c>
      <c r="E40" s="313" t="s">
        <v>202</v>
      </c>
      <c r="G40" s="234" t="s">
        <v>198</v>
      </c>
      <c r="J40" s="571">
        <f>'Energy demand'!O79+'Energy demand'!O134</f>
        <v>3428.0605239193087</v>
      </c>
      <c r="K40" s="571">
        <f>'Energy demand'!P79+'Energy demand'!P134</f>
        <v>3428.2451474633285</v>
      </c>
      <c r="L40" s="571">
        <f>'Energy demand'!Q79+'Energy demand'!Q134</f>
        <v>3428.4229474178233</v>
      </c>
      <c r="M40" s="571">
        <f>'Energy demand'!R79+'Energy demand'!R134</f>
        <v>3428.5939237827956</v>
      </c>
      <c r="N40" s="571">
        <f>'Energy demand'!S79+'Energy demand'!S134</f>
        <v>3406.2407018789845</v>
      </c>
      <c r="O40" s="571">
        <f>'Energy demand'!T79+'Energy demand'!T134</f>
        <v>3362.4441018438738</v>
      </c>
      <c r="P40" s="571">
        <f>'Energy demand'!U79+'Energy demand'!U134</f>
        <v>3295.9642942336773</v>
      </c>
      <c r="Q40" s="571">
        <f>'Energy demand'!V79+'Energy demand'!V134</f>
        <v>3208.0597307769062</v>
      </c>
      <c r="R40" s="571">
        <f>'Energy demand'!W79+'Energy demand'!W134</f>
        <v>3097.7109495288842</v>
      </c>
      <c r="S40" s="571">
        <f>'Energy demand'!X79+'Energy demand'!X134</f>
        <v>2968.1886764723658</v>
      </c>
      <c r="T40" s="571">
        <f>'Energy demand'!Y79+'Energy demand'!Y134</f>
        <v>2818.5083122728774</v>
      </c>
      <c r="U40" s="571">
        <f>'Energy demand'!Z79+'Energy demand'!Z134</f>
        <v>2660.2281170706269</v>
      </c>
      <c r="V40" s="571">
        <f>'Energy demand'!AA79+'Energy demand'!AA134</f>
        <v>2559.8676350824835</v>
      </c>
      <c r="W40" s="571">
        <f>'Energy demand'!AB79+'Energy demand'!AB134</f>
        <v>2448.3537138097286</v>
      </c>
      <c r="X40" s="571">
        <f>'Energy demand'!AC79+'Energy demand'!AC134</f>
        <v>2323.2088670871262</v>
      </c>
      <c r="Y40" s="571">
        <f>'Energy demand'!AD79+'Energy demand'!AD134</f>
        <v>2184.9305499141524</v>
      </c>
      <c r="Z40" s="571">
        <f>'Energy demand'!AE79+'Energy demand'!AE134</f>
        <v>2203.0203686575824</v>
      </c>
      <c r="AA40" s="571">
        <f>'Energy demand'!AF79+'Energy demand'!AF134</f>
        <v>2220.6665367203582</v>
      </c>
      <c r="AB40" s="571">
        <f>'Energy demand'!AG79+'Energy demand'!AG134</f>
        <v>2237.9184370223625</v>
      </c>
      <c r="AC40" s="571">
        <f>'Energy demand'!AH79+'Energy demand'!AH134</f>
        <v>2254.623198680586</v>
      </c>
      <c r="AD40" s="571">
        <f>'Energy demand'!AI79+'Energy demand'!AI134</f>
        <v>2270.2680178222076</v>
      </c>
      <c r="AE40" s="571">
        <f>'Energy demand'!AJ79+'Energy demand'!AJ134</f>
        <v>2291.2894133435807</v>
      </c>
      <c r="AF40" s="571">
        <f>'Energy demand'!AK79+'Energy demand'!AK134</f>
        <v>2306.5419697889697</v>
      </c>
      <c r="AG40" s="571">
        <f>'Energy demand'!AL79+'Energy demand'!AL134</f>
        <v>2317.4317452912683</v>
      </c>
      <c r="AH40" s="571">
        <f>'Energy demand'!AM79+'Energy demand'!AM134</f>
        <v>2321.2857647444494</v>
      </c>
      <c r="AI40" s="571">
        <f>'Energy demand'!AN79+'Energy demand'!AN134</f>
        <v>2325.0592360648111</v>
      </c>
      <c r="AJ40" s="571">
        <f>'Energy demand'!AO79+'Energy demand'!AO134</f>
        <v>2328.975287944143</v>
      </c>
      <c r="AK40" s="571">
        <f>'Energy demand'!AP79+'Energy demand'!AP134</f>
        <v>2332.7883380338435</v>
      </c>
      <c r="AL40" s="571">
        <f>'Energy demand'!AQ79+'Energy demand'!AQ134</f>
        <v>2336.5165132702477</v>
      </c>
      <c r="AM40" s="571">
        <f>'Energy demand'!AR79+'Energy demand'!AR134</f>
        <v>2340.1779060910699</v>
      </c>
      <c r="AN40" s="571">
        <f>'Energy demand'!AS79+'Energy demand'!AS134</f>
        <v>2343.7905672587995</v>
      </c>
      <c r="AO40" s="571">
        <f>'Energy demand'!AT79+'Energy demand'!AT134</f>
        <v>2347.1087501864954</v>
      </c>
      <c r="AP40" s="571">
        <f>'Energy demand'!AU79+'Energy demand'!AU134</f>
        <v>2350.5617905207946</v>
      </c>
      <c r="AQ40" s="571">
        <f>'Energy demand'!AV79+'Energy demand'!AV134</f>
        <v>2354.1519461999715</v>
      </c>
      <c r="AR40" s="571">
        <f>'Energy demand'!AW79+'Energy demand'!AW134</f>
        <v>2357.881529620041</v>
      </c>
      <c r="AS40" s="571">
        <f>'Energy demand'!AX79+'Energy demand'!AX134</f>
        <v>2361.7529073550281</v>
      </c>
    </row>
    <row r="41" spans="1:45" s="229" customFormat="1" outlineLevel="1">
      <c r="A41" s="229">
        <v>6</v>
      </c>
      <c r="B41" s="229" t="str">
        <f t="shared" si="1"/>
        <v>6TotalEnergy Demand</v>
      </c>
      <c r="C41" s="234" t="str">
        <f t="shared" si="2"/>
        <v>TotalEnergy Demand</v>
      </c>
      <c r="E41" s="313" t="s">
        <v>203</v>
      </c>
      <c r="F41" s="313"/>
      <c r="G41" s="234" t="s">
        <v>198</v>
      </c>
      <c r="I41" s="313"/>
      <c r="J41" s="571">
        <f>'Energy demand'!O80</f>
        <v>0</v>
      </c>
      <c r="K41" s="571">
        <f>'Energy demand'!P80</f>
        <v>38.026877282661644</v>
      </c>
      <c r="L41" s="571">
        <f>'Energy demand'!Q80</f>
        <v>76.053754565322379</v>
      </c>
      <c r="M41" s="571">
        <f>'Energy demand'!R80</f>
        <v>114.08063184798311</v>
      </c>
      <c r="N41" s="571">
        <f>'Energy demand'!S80</f>
        <v>152.10750913064476</v>
      </c>
      <c r="O41" s="571">
        <f>'Energy demand'!T80</f>
        <v>190.1343864133064</v>
      </c>
      <c r="P41" s="571">
        <f>'Energy demand'!U80</f>
        <v>222.31738975826238</v>
      </c>
      <c r="Q41" s="571">
        <f>'Energy demand'!V80</f>
        <v>254.50039310321927</v>
      </c>
      <c r="R41" s="571">
        <f>'Energy demand'!W80</f>
        <v>286.68339644817479</v>
      </c>
      <c r="S41" s="571">
        <f>'Energy demand'!X80</f>
        <v>318.86639979313213</v>
      </c>
      <c r="T41" s="571">
        <f>'Energy demand'!Y80</f>
        <v>351.04940313808902</v>
      </c>
      <c r="U41" s="571">
        <f>'Energy demand'!Z80</f>
        <v>377.10325575150137</v>
      </c>
      <c r="V41" s="571">
        <f>'Energy demand'!AA80</f>
        <v>403.15710836491598</v>
      </c>
      <c r="W41" s="571">
        <f>'Energy demand'!AB80</f>
        <v>429.21096097832924</v>
      </c>
      <c r="X41" s="571">
        <f>'Energy demand'!AC80</f>
        <v>455.26481359174204</v>
      </c>
      <c r="Y41" s="571">
        <f>'Energy demand'!AD80</f>
        <v>481.31866620515575</v>
      </c>
      <c r="Z41" s="571">
        <f>'Energy demand'!AE80</f>
        <v>493.32917607135369</v>
      </c>
      <c r="AA41" s="571">
        <f>'Energy demand'!AF80</f>
        <v>505.33968593755208</v>
      </c>
      <c r="AB41" s="571">
        <f>'Energy demand'!AG80</f>
        <v>517.35019580375047</v>
      </c>
      <c r="AC41" s="571">
        <f>'Energy demand'!AH80</f>
        <v>529.36070566994886</v>
      </c>
      <c r="AD41" s="571">
        <f>'Energy demand'!AI80</f>
        <v>541.37121553614816</v>
      </c>
      <c r="AE41" s="571">
        <f>'Energy demand'!AJ80</f>
        <v>553.381725402347</v>
      </c>
      <c r="AF41" s="571">
        <f>'Energy demand'!AK80</f>
        <v>565.39223526854403</v>
      </c>
      <c r="AG41" s="571">
        <f>'Energy demand'!AL80</f>
        <v>577.40274513474333</v>
      </c>
      <c r="AH41" s="571">
        <f>'Energy demand'!AM80</f>
        <v>589.41325500094126</v>
      </c>
      <c r="AI41" s="571">
        <f>'Energy demand'!AN80</f>
        <v>601.42376486714102</v>
      </c>
      <c r="AJ41" s="571">
        <f>'Energy demand'!AO80</f>
        <v>613.43427473334032</v>
      </c>
      <c r="AK41" s="571">
        <f>'Energy demand'!AP80</f>
        <v>625.44478459953825</v>
      </c>
      <c r="AL41" s="571">
        <f>'Energy demand'!AQ80</f>
        <v>637.45529446573755</v>
      </c>
      <c r="AM41" s="571">
        <f>'Energy demand'!AR80</f>
        <v>649.4658043319364</v>
      </c>
      <c r="AN41" s="571">
        <f>'Energy demand'!AS80</f>
        <v>661.47631419813479</v>
      </c>
      <c r="AO41" s="571">
        <f>'Energy demand'!AT80</f>
        <v>673.48682406433409</v>
      </c>
      <c r="AP41" s="571">
        <f>'Energy demand'!AU80</f>
        <v>685.49733393053248</v>
      </c>
      <c r="AQ41" s="571">
        <f>'Energy demand'!AV80</f>
        <v>697.50784379673178</v>
      </c>
      <c r="AR41" s="571">
        <f>'Energy demand'!AW80</f>
        <v>709.51835366293108</v>
      </c>
      <c r="AS41" s="571">
        <f>'Energy demand'!AX80</f>
        <v>721.52886352912719</v>
      </c>
    </row>
    <row r="42" spans="1:45" s="229" customFormat="1" outlineLevel="1">
      <c r="A42" s="229">
        <v>7</v>
      </c>
      <c r="B42" s="229" t="str">
        <f t="shared" si="1"/>
        <v>7TotalEnergy Demand</v>
      </c>
      <c r="C42" s="234" t="str">
        <f t="shared" si="2"/>
        <v>TotalEnergy Demand</v>
      </c>
      <c r="E42" s="313" t="s">
        <v>204</v>
      </c>
      <c r="F42" s="313"/>
      <c r="G42" s="234" t="s">
        <v>198</v>
      </c>
      <c r="I42" s="313"/>
      <c r="J42" s="571">
        <f>'Energy demand'!O86</f>
        <v>11259.794976610974</v>
      </c>
      <c r="K42" s="571">
        <f>'Energy demand'!P86</f>
        <v>11259.794976610974</v>
      </c>
      <c r="L42" s="571">
        <f>'Energy demand'!Q86</f>
        <v>11259.794976610974</v>
      </c>
      <c r="M42" s="571">
        <f>'Energy demand'!R86</f>
        <v>11259.794976610974</v>
      </c>
      <c r="N42" s="571">
        <f>'Energy demand'!S86</f>
        <v>11230.479140438794</v>
      </c>
      <c r="O42" s="571">
        <f>'Energy demand'!T86</f>
        <v>11171.853015867429</v>
      </c>
      <c r="P42" s="571">
        <f>'Energy demand'!U86</f>
        <v>11083.625288128176</v>
      </c>
      <c r="Q42" s="571">
        <f>'Energy demand'!V86</f>
        <v>10965.827889987955</v>
      </c>
      <c r="R42" s="571">
        <f>'Energy demand'!W86</f>
        <v>10816.47096781732</v>
      </c>
      <c r="S42" s="571">
        <f>'Energy demand'!X86</f>
        <v>10634.861006727637</v>
      </c>
      <c r="T42" s="571">
        <f>'Energy demand'!Y86</f>
        <v>10423.962711603719</v>
      </c>
      <c r="U42" s="571">
        <f>'Energy demand'!Z86</f>
        <v>10183.89284445834</v>
      </c>
      <c r="V42" s="571">
        <f>'Energy demand'!AA86</f>
        <v>9914.7567490532965</v>
      </c>
      <c r="W42" s="571">
        <f>'Energy demand'!AB86</f>
        <v>9621.1837696409366</v>
      </c>
      <c r="X42" s="571">
        <f>'Energy demand'!AC86</f>
        <v>9298.6234076791825</v>
      </c>
      <c r="Y42" s="571">
        <f>'Energy demand'!AD86</f>
        <v>8947.95945396362</v>
      </c>
      <c r="Z42" s="571">
        <f>'Energy demand'!AE86</f>
        <v>8941.9610127591623</v>
      </c>
      <c r="AA42" s="571">
        <f>'Energy demand'!AF86</f>
        <v>8936.9417484824171</v>
      </c>
      <c r="AB42" s="571">
        <f>'Energy demand'!AG86</f>
        <v>8932.902549681623</v>
      </c>
      <c r="AC42" s="571">
        <f>'Energy demand'!AH86</f>
        <v>8929.844306714067</v>
      </c>
      <c r="AD42" s="571">
        <f>'Energy demand'!AI86</f>
        <v>8929.8031613296571</v>
      </c>
      <c r="AE42" s="571">
        <f>'Energy demand'!AJ86</f>
        <v>8929.7619629437268</v>
      </c>
      <c r="AF42" s="571">
        <f>'Energy demand'!AK86</f>
        <v>8929.7207114503854</v>
      </c>
      <c r="AG42" s="571">
        <f>'Energy demand'!AL86</f>
        <v>8929.6794067434512</v>
      </c>
      <c r="AH42" s="571">
        <f>'Energy demand'!AM86</f>
        <v>8929.6380487164497</v>
      </c>
      <c r="AI42" s="571">
        <f>'Energy demand'!AN86</f>
        <v>8929.5966372626135</v>
      </c>
      <c r="AJ42" s="571">
        <f>'Energy demand'!AO86</f>
        <v>8929.555172274886</v>
      </c>
      <c r="AK42" s="571">
        <f>'Energy demand'!AP86</f>
        <v>8929.5136536459086</v>
      </c>
      <c r="AL42" s="571">
        <f>'Energy demand'!AQ86</f>
        <v>8929.4720812680316</v>
      </c>
      <c r="AM42" s="571">
        <f>'Energy demand'!AR86</f>
        <v>8929.4304550333072</v>
      </c>
      <c r="AN42" s="571">
        <f>'Energy demand'!AS86</f>
        <v>8929.388774833491</v>
      </c>
      <c r="AO42" s="571">
        <f>'Energy demand'!AT86</f>
        <v>8929.3470405600365</v>
      </c>
      <c r="AP42" s="571">
        <f>'Energy demand'!AU86</f>
        <v>8929.3052521040991</v>
      </c>
      <c r="AQ42" s="571">
        <f>'Energy demand'!AV86</f>
        <v>8929.2634093565321</v>
      </c>
      <c r="AR42" s="571">
        <f>'Energy demand'!AW86</f>
        <v>8929.2215122078869</v>
      </c>
      <c r="AS42" s="571">
        <f>'Energy demand'!AX86</f>
        <v>8929.1795605484112</v>
      </c>
    </row>
    <row r="43" spans="1:45" s="229" customFormat="1" outlineLevel="1">
      <c r="A43" s="229">
        <v>8</v>
      </c>
      <c r="B43" s="229" t="str">
        <f t="shared" si="1"/>
        <v>8TotalEnergy Demand</v>
      </c>
      <c r="C43" s="234" t="str">
        <f t="shared" si="2"/>
        <v>TotalEnergy Demand</v>
      </c>
      <c r="E43" s="313" t="s">
        <v>205</v>
      </c>
      <c r="F43" s="313"/>
      <c r="G43" s="234" t="s">
        <v>198</v>
      </c>
      <c r="I43" s="313"/>
      <c r="J43" s="571">
        <f>'Energy demand'!O87</f>
        <v>0</v>
      </c>
      <c r="K43" s="571">
        <f>'Energy demand'!P87</f>
        <v>47.164809820067603</v>
      </c>
      <c r="L43" s="571">
        <f>'Energy demand'!Q87</f>
        <v>94.329619640138844</v>
      </c>
      <c r="M43" s="571">
        <f>'Energy demand'!R87</f>
        <v>141.49442946020827</v>
      </c>
      <c r="N43" s="571">
        <f>'Energy demand'!S87</f>
        <v>188.65923928027769</v>
      </c>
      <c r="O43" s="571">
        <f>'Energy demand'!T87</f>
        <v>235.82404910034893</v>
      </c>
      <c r="P43" s="571">
        <f>'Energy demand'!U87</f>
        <v>282.98885892041471</v>
      </c>
      <c r="Q43" s="571">
        <f>'Energy demand'!V87</f>
        <v>330.15366874048595</v>
      </c>
      <c r="R43" s="571">
        <f>'Energy demand'!W87</f>
        <v>377.3184785605572</v>
      </c>
      <c r="S43" s="571">
        <f>'Energy demand'!X87</f>
        <v>424.48328838062844</v>
      </c>
      <c r="T43" s="571">
        <f>'Energy demand'!Y87</f>
        <v>471.64809820069786</v>
      </c>
      <c r="U43" s="571">
        <f>'Energy demand'!Z87</f>
        <v>506.5098685941266</v>
      </c>
      <c r="V43" s="571">
        <f>'Energy demand'!AA87</f>
        <v>541.37163898755898</v>
      </c>
      <c r="W43" s="571">
        <f>'Energy demand'!AB87</f>
        <v>576.23340938099318</v>
      </c>
      <c r="X43" s="571">
        <f>'Energy demand'!AC87</f>
        <v>611.09517977442192</v>
      </c>
      <c r="Y43" s="571">
        <f>'Energy demand'!AD87</f>
        <v>645.95695016785612</v>
      </c>
      <c r="Z43" s="571">
        <f>'Energy demand'!AE87</f>
        <v>680.81872056128668</v>
      </c>
      <c r="AA43" s="571">
        <f>'Energy demand'!AF87</f>
        <v>715.68049095471906</v>
      </c>
      <c r="AB43" s="571">
        <f>'Energy demand'!AG87</f>
        <v>750.54226134814962</v>
      </c>
      <c r="AC43" s="571">
        <f>'Energy demand'!AH87</f>
        <v>785.404031741582</v>
      </c>
      <c r="AD43" s="571">
        <f>'Energy demand'!AI87</f>
        <v>820.26580213501256</v>
      </c>
      <c r="AE43" s="571">
        <f>'Energy demand'!AJ87</f>
        <v>855.12757252844494</v>
      </c>
      <c r="AF43" s="571">
        <f>'Energy demand'!AK87</f>
        <v>889.98934292187732</v>
      </c>
      <c r="AG43" s="571">
        <f>'Energy demand'!AL87</f>
        <v>924.85111331530607</v>
      </c>
      <c r="AH43" s="571">
        <f>'Energy demand'!AM87</f>
        <v>959.71288370874026</v>
      </c>
      <c r="AI43" s="571">
        <f>'Energy demand'!AN87</f>
        <v>994.57465410217083</v>
      </c>
      <c r="AJ43" s="571">
        <f>'Energy demand'!AO87</f>
        <v>1029.4364244956014</v>
      </c>
      <c r="AK43" s="571">
        <f>'Energy demand'!AP87</f>
        <v>1064.2981948890338</v>
      </c>
      <c r="AL43" s="571">
        <f>'Energy demand'!AQ87</f>
        <v>1099.1599652824661</v>
      </c>
      <c r="AM43" s="571">
        <f>'Energy demand'!AR87</f>
        <v>1134.0217356758985</v>
      </c>
      <c r="AN43" s="571">
        <f>'Energy demand'!AS87</f>
        <v>1168.8835060693291</v>
      </c>
      <c r="AO43" s="571">
        <f>'Energy demand'!AT87</f>
        <v>1203.7452764627596</v>
      </c>
      <c r="AP43" s="571">
        <f>'Energy demand'!AU87</f>
        <v>1238.607046856192</v>
      </c>
      <c r="AQ43" s="571">
        <f>'Energy demand'!AV87</f>
        <v>1273.4688172496226</v>
      </c>
      <c r="AR43" s="571">
        <f>'Energy demand'!AW87</f>
        <v>1308.3305876430531</v>
      </c>
      <c r="AS43" s="571">
        <f>'Energy demand'!AX87</f>
        <v>1343.1923580364892</v>
      </c>
    </row>
    <row r="44" spans="1:45" s="229" customFormat="1" outlineLevel="1">
      <c r="A44" s="229">
        <v>9</v>
      </c>
      <c r="B44" s="229" t="str">
        <f t="shared" si="1"/>
        <v>9TotalEnergy Demand</v>
      </c>
      <c r="C44" s="234" t="str">
        <f t="shared" si="2"/>
        <v>TotalEnergy Demand</v>
      </c>
      <c r="E44" s="313" t="s">
        <v>206</v>
      </c>
      <c r="F44" s="313"/>
      <c r="G44" s="234" t="s">
        <v>198</v>
      </c>
      <c r="I44" s="313"/>
      <c r="J44" s="571">
        <f>'Energy demand'!O121</f>
        <v>0</v>
      </c>
      <c r="K44" s="571">
        <f>'Energy demand'!P121</f>
        <v>2.3324787543619094E-2</v>
      </c>
      <c r="L44" s="571">
        <f>'Energy demand'!Q121</f>
        <v>9.3464876388352144E-2</v>
      </c>
      <c r="M44" s="571">
        <f>'Energy demand'!R121</f>
        <v>0.21072325319846272</v>
      </c>
      <c r="N44" s="571">
        <f>'Energy demand'!S121</f>
        <v>0.37547543442948061</v>
      </c>
      <c r="O44" s="571">
        <f>'Energy demand'!T121</f>
        <v>0.58816946632820266</v>
      </c>
      <c r="P44" s="571">
        <f>'Energy demand'!U121</f>
        <v>0.84932592493269354</v>
      </c>
      <c r="Q44" s="571">
        <f>'Energy demand'!V121</f>
        <v>1.1595379160722805</v>
      </c>
      <c r="R44" s="571">
        <f>'Energy demand'!W121</f>
        <v>1.519471075367562</v>
      </c>
      <c r="S44" s="571">
        <f>'Energy demand'!X121</f>
        <v>1.929863568230398</v>
      </c>
      <c r="T44" s="571">
        <f>'Energy demand'!Y121</f>
        <v>2.3915260898639223</v>
      </c>
      <c r="U44" s="571">
        <f>'Energy demand'!Z121</f>
        <v>3.5776637682040531</v>
      </c>
      <c r="V44" s="571">
        <f>'Energy demand'!AA121</f>
        <v>4.8037803796747296</v>
      </c>
      <c r="W44" s="571">
        <f>'Energy demand'!AB121</f>
        <v>6.0694536031067372</v>
      </c>
      <c r="X44" s="571">
        <f>'Energy demand'!AC121</f>
        <v>7.3742609623573481</v>
      </c>
      <c r="Y44" s="571">
        <f>'Energy demand'!AD121</f>
        <v>8.7177798263103519</v>
      </c>
      <c r="Z44" s="571">
        <f>'Energy demand'!AE121</f>
        <v>10.099587408876005</v>
      </c>
      <c r="AA44" s="571">
        <f>'Energy demand'!AF121</f>
        <v>11.51926076899109</v>
      </c>
      <c r="AB44" s="571">
        <f>'Energy demand'!AG121</f>
        <v>12.976376810618845</v>
      </c>
      <c r="AC44" s="571">
        <f>'Energy demand'!AH121</f>
        <v>14.470512282749104</v>
      </c>
      <c r="AD44" s="571">
        <f>'Energy demand'!AI121</f>
        <v>16.001243779398042</v>
      </c>
      <c r="AE44" s="571">
        <f>'Energy demand'!AJ121</f>
        <v>17.568147739608492</v>
      </c>
      <c r="AF44" s="571">
        <f>'Energy demand'!AK121</f>
        <v>19.170800447449622</v>
      </c>
      <c r="AG44" s="571">
        <f>'Energy demand'!AL121</f>
        <v>20.808778032017262</v>
      </c>
      <c r="AH44" s="571">
        <f>'Energy demand'!AM121</f>
        <v>22.481656467433616</v>
      </c>
      <c r="AI44" s="571">
        <f>'Energy demand'!AN121</f>
        <v>24.189011572847434</v>
      </c>
      <c r="AJ44" s="571">
        <f>'Energy demand'!AO121</f>
        <v>25.930419012433955</v>
      </c>
      <c r="AK44" s="571">
        <f>'Energy demand'!AP121</f>
        <v>27.705454295394944</v>
      </c>
      <c r="AL44" s="571">
        <f>'Energy demand'!AQ121</f>
        <v>29.513692775958564</v>
      </c>
      <c r="AM44" s="571">
        <f>'Energy demand'!AR121</f>
        <v>31.354709653379683</v>
      </c>
      <c r="AN44" s="571">
        <f>'Energy demand'!AS121</f>
        <v>33.228079971939373</v>
      </c>
      <c r="AO44" s="571">
        <f>'Energy demand'!AT121</f>
        <v>35.13337862094545</v>
      </c>
      <c r="AP44" s="571">
        <f>'Energy demand'!AU121</f>
        <v>37.070180334732107</v>
      </c>
      <c r="AQ44" s="571">
        <f>'Energy demand'!AV121</f>
        <v>39.038059692660092</v>
      </c>
      <c r="AR44" s="571">
        <f>'Energy demand'!AW121</f>
        <v>41.036591119116586</v>
      </c>
      <c r="AS44" s="571">
        <f>'Energy demand'!AX121</f>
        <v>43.065348883515419</v>
      </c>
    </row>
    <row r="45" spans="1:45" s="229" customFormat="1" outlineLevel="1">
      <c r="A45" s="229">
        <v>10</v>
      </c>
      <c r="B45" s="229" t="str">
        <f t="shared" si="1"/>
        <v>10TotalEnergy Demand</v>
      </c>
      <c r="C45" s="234" t="str">
        <f t="shared" si="2"/>
        <v>TotalEnergy Demand</v>
      </c>
      <c r="E45" s="313" t="s">
        <v>207</v>
      </c>
      <c r="F45" s="313"/>
      <c r="G45" s="234" t="s">
        <v>198</v>
      </c>
      <c r="I45" s="313"/>
      <c r="J45" s="571">
        <f>'Energy demand'!O124</f>
        <v>1649.8613566893455</v>
      </c>
      <c r="K45" s="571">
        <f>'Energy demand'!P124</f>
        <v>1788.1530317636502</v>
      </c>
      <c r="L45" s="571">
        <f>'Energy demand'!Q124</f>
        <v>1929.0724901951066</v>
      </c>
      <c r="M45" s="571">
        <f>'Energy demand'!R124</f>
        <v>2072.6299834797601</v>
      </c>
      <c r="N45" s="571">
        <f>'Energy demand'!S124</f>
        <v>2218.8357082547568</v>
      </c>
      <c r="O45" s="571">
        <f>'Energy demand'!T124</f>
        <v>2367.6998062983462</v>
      </c>
      <c r="P45" s="571">
        <f>'Energy demand'!U124</f>
        <v>2519.2323645298784</v>
      </c>
      <c r="Q45" s="571">
        <f>'Energy demand'!V124</f>
        <v>2673.4434150098045</v>
      </c>
      <c r="R45" s="571">
        <f>'Energy demand'!W124</f>
        <v>2830.3429349396774</v>
      </c>
      <c r="S45" s="571">
        <f>'Energy demand'!X124</f>
        <v>2989.9408466621526</v>
      </c>
      <c r="T45" s="571">
        <f>'Energy demand'!Y124</f>
        <v>3152.2470176609877</v>
      </c>
      <c r="U45" s="571">
        <f>'Energy demand'!Z124</f>
        <v>3230.5037940928692</v>
      </c>
      <c r="V45" s="571">
        <f>'Energy demand'!AA124</f>
        <v>3309.2881169176148</v>
      </c>
      <c r="W45" s="571">
        <f>'Energy demand'!AB124</f>
        <v>3388.6013440470683</v>
      </c>
      <c r="X45" s="571">
        <f>'Energy demand'!AC124</f>
        <v>3468.4448333930745</v>
      </c>
      <c r="Y45" s="571">
        <f>'Energy demand'!AD124</f>
        <v>3548.8199428674757</v>
      </c>
      <c r="Z45" s="571">
        <f>'Energy demand'!AE124</f>
        <v>3629.7280303821171</v>
      </c>
      <c r="AA45" s="571">
        <f>'Energy demand'!AF124</f>
        <v>3711.1704538488425</v>
      </c>
      <c r="AB45" s="571">
        <f>'Energy demand'!AG124</f>
        <v>3793.1485711794971</v>
      </c>
      <c r="AC45" s="571">
        <f>'Energy demand'!AH124</f>
        <v>3875.6637402859242</v>
      </c>
      <c r="AD45" s="571">
        <f>'Energy demand'!AI124</f>
        <v>3958.7173190799676</v>
      </c>
      <c r="AE45" s="571">
        <f>'Energy demand'!AJ124</f>
        <v>4042.3106654734715</v>
      </c>
      <c r="AF45" s="571">
        <f>'Energy demand'!AK124</f>
        <v>4126.4451373782804</v>
      </c>
      <c r="AG45" s="571">
        <f>'Energy demand'!AL124</f>
        <v>4211.1220927062377</v>
      </c>
      <c r="AH45" s="571">
        <f>'Energy demand'!AM124</f>
        <v>4296.3428893691898</v>
      </c>
      <c r="AI45" s="571">
        <f>'Energy demand'!AN124</f>
        <v>4382.1088852789762</v>
      </c>
      <c r="AJ45" s="571">
        <f>'Energy demand'!AO124</f>
        <v>4468.4214383474446</v>
      </c>
      <c r="AK45" s="571">
        <f>'Energy demand'!AP124</f>
        <v>4555.2819064864398</v>
      </c>
      <c r="AL45" s="571">
        <f>'Energy demand'!AQ124</f>
        <v>4642.691647607804</v>
      </c>
      <c r="AM45" s="571">
        <f>'Energy demand'!AR124</f>
        <v>4730.6520196233823</v>
      </c>
      <c r="AN45" s="571">
        <f>'Energy demand'!AS124</f>
        <v>4819.1643804450177</v>
      </c>
      <c r="AO45" s="571">
        <f>'Energy demand'!AT124</f>
        <v>4908.2300879845561</v>
      </c>
      <c r="AP45" s="571">
        <f>'Energy demand'!AU124</f>
        <v>4997.8505001538397</v>
      </c>
      <c r="AQ45" s="571">
        <f>'Energy demand'!AV124</f>
        <v>5088.0269748647133</v>
      </c>
      <c r="AR45" s="571">
        <f>'Energy demand'!AW124</f>
        <v>5178.7608700290202</v>
      </c>
      <c r="AS45" s="571">
        <f>'Energy demand'!AX124</f>
        <v>5270.0535435586162</v>
      </c>
    </row>
    <row r="46" spans="1:45" s="229" customFormat="1" outlineLevel="1">
      <c r="A46" s="229">
        <v>11</v>
      </c>
      <c r="B46" s="229" t="str">
        <f t="shared" si="1"/>
        <v>11TotalEnergy Demand</v>
      </c>
      <c r="C46" s="234" t="str">
        <f t="shared" si="2"/>
        <v>TotalEnergy Demand</v>
      </c>
      <c r="E46" s="313" t="s">
        <v>189</v>
      </c>
      <c r="F46" s="313"/>
      <c r="G46" s="234" t="s">
        <v>198</v>
      </c>
      <c r="I46" s="313"/>
      <c r="J46" s="571">
        <f>SUM('Industrial and Other Transport'!O10:O11)/1000</f>
        <v>93.800869421180778</v>
      </c>
      <c r="K46" s="571">
        <f>SUM('Industrial and Other Transport'!P10:P11)/1000</f>
        <v>93.800869421180778</v>
      </c>
      <c r="L46" s="571">
        <f>SUM('Industrial and Other Transport'!Q10:Q11)/1000</f>
        <v>93.800869421180778</v>
      </c>
      <c r="M46" s="571">
        <f>SUM('Industrial and Other Transport'!R10:R11)/1000</f>
        <v>93.800869421180778</v>
      </c>
      <c r="N46" s="571">
        <f>SUM('Industrial and Other Transport'!S10:S11)/1000</f>
        <v>93.800869421180778</v>
      </c>
      <c r="O46" s="571">
        <f>SUM('Industrial and Other Transport'!T10:T11)/1000</f>
        <v>93.800869421180778</v>
      </c>
      <c r="P46" s="571">
        <f>SUM('Industrial and Other Transport'!U10:U11)/1000</f>
        <v>93.424965888296015</v>
      </c>
      <c r="Q46" s="571">
        <f>SUM('Industrial and Other Transport'!V10:V11)/1000</f>
        <v>93.049062355411237</v>
      </c>
      <c r="R46" s="571">
        <f>SUM('Industrial and Other Transport'!W10:W11)/1000</f>
        <v>92.67315882252646</v>
      </c>
      <c r="S46" s="571">
        <f>SUM('Industrial and Other Transport'!X10:X11)/1000</f>
        <v>92.297255289641683</v>
      </c>
      <c r="T46" s="571">
        <f>SUM('Industrial and Other Transport'!Y10:Y11)/1000</f>
        <v>91.921351756756906</v>
      </c>
      <c r="U46" s="571">
        <f>SUM('Industrial and Other Transport'!Z10:Z11)/1000</f>
        <v>90.417791519122687</v>
      </c>
      <c r="V46" s="571">
        <f>SUM('Industrial and Other Transport'!AA10:AA11)/1000</f>
        <v>88.914231281488469</v>
      </c>
      <c r="W46" s="571">
        <f>SUM('Industrial and Other Transport'!AB10:AB11)/1000</f>
        <v>87.410671043854236</v>
      </c>
      <c r="X46" s="571">
        <f>SUM('Industrial and Other Transport'!AC10:AC11)/1000</f>
        <v>85.907110806220018</v>
      </c>
      <c r="Y46" s="571">
        <f>SUM('Industrial and Other Transport'!AD10:AD11)/1000</f>
        <v>84.4035505685858</v>
      </c>
      <c r="Z46" s="571">
        <f>SUM('Industrial and Other Transport'!AE10:AE11)/1000</f>
        <v>80.72397468021191</v>
      </c>
      <c r="AA46" s="571">
        <f>SUM('Industrial and Other Transport'!AF10:AF11)/1000</f>
        <v>77.04439879183802</v>
      </c>
      <c r="AB46" s="571">
        <f>SUM('Industrial and Other Transport'!AG10:AG11)/1000</f>
        <v>73.36482290346413</v>
      </c>
      <c r="AC46" s="571">
        <f>SUM('Industrial and Other Transport'!AH10:AH11)/1000</f>
        <v>69.685247015090226</v>
      </c>
      <c r="AD46" s="571">
        <f>SUM('Industrial and Other Transport'!AI10:AI11)/1000</f>
        <v>66.005671126716337</v>
      </c>
      <c r="AE46" s="571">
        <f>SUM('Industrial and Other Transport'!AJ10:AJ11)/1000</f>
        <v>64.792400212356469</v>
      </c>
      <c r="AF46" s="571">
        <f>SUM('Industrial and Other Transport'!AK10:AK11)/1000</f>
        <v>63.579129297996609</v>
      </c>
      <c r="AG46" s="571">
        <f>SUM('Industrial and Other Transport'!AL10:AL11)/1000</f>
        <v>62.365858383636755</v>
      </c>
      <c r="AH46" s="571">
        <f>SUM('Industrial and Other Transport'!AM10:AM11)/1000</f>
        <v>61.152587469276888</v>
      </c>
      <c r="AI46" s="571">
        <f>SUM('Industrial and Other Transport'!AN10:AN11)/1000</f>
        <v>59.939316554917021</v>
      </c>
      <c r="AJ46" s="571">
        <f>SUM('Industrial and Other Transport'!AO10:AO11)/1000</f>
        <v>59.659182719629989</v>
      </c>
      <c r="AK46" s="571">
        <f>SUM('Industrial and Other Transport'!AP10:AP11)/1000</f>
        <v>59.379048884342957</v>
      </c>
      <c r="AL46" s="571">
        <f>SUM('Industrial and Other Transport'!AQ10:AQ11)/1000</f>
        <v>59.098915049055925</v>
      </c>
      <c r="AM46" s="571">
        <f>SUM('Industrial and Other Transport'!AR10:AR11)/1000</f>
        <v>58.818781213768894</v>
      </c>
      <c r="AN46" s="571">
        <f>SUM('Industrial and Other Transport'!AS10:AS11)/1000</f>
        <v>58.538647378481869</v>
      </c>
      <c r="AO46" s="571">
        <f>SUM('Industrial and Other Transport'!AT10:AT11)/1000</f>
        <v>58.25851354319483</v>
      </c>
      <c r="AP46" s="571">
        <f>SUM('Industrial and Other Transport'!AU10:AU11)/1000</f>
        <v>57.978379707907813</v>
      </c>
      <c r="AQ46" s="571">
        <f>SUM('Industrial and Other Transport'!AV10:AV11)/1000</f>
        <v>57.698245872620774</v>
      </c>
      <c r="AR46" s="571">
        <f>SUM('Industrial and Other Transport'!AW10:AW11)/1000</f>
        <v>57.418112037333763</v>
      </c>
      <c r="AS46" s="571">
        <f>SUM('Industrial and Other Transport'!AX10:AX11)/1000</f>
        <v>57.137978202046732</v>
      </c>
    </row>
    <row r="47" spans="1:45" s="238" customFormat="1" outlineLevel="1">
      <c r="A47" s="229" t="s">
        <v>208</v>
      </c>
      <c r="B47" s="229" t="str">
        <f>A47&amp;C47</f>
        <v>NTotalEnergy Demand</v>
      </c>
      <c r="C47" s="234" t="str">
        <f t="shared" si="2"/>
        <v>TotalEnergy Demand</v>
      </c>
      <c r="E47" s="236" t="str">
        <f>""</f>
        <v/>
      </c>
      <c r="J47" s="238">
        <v>1</v>
      </c>
      <c r="K47" s="238">
        <v>1</v>
      </c>
      <c r="L47" s="238">
        <v>1</v>
      </c>
      <c r="M47" s="238">
        <v>1</v>
      </c>
      <c r="N47" s="238">
        <v>1</v>
      </c>
      <c r="O47" s="238">
        <v>1</v>
      </c>
      <c r="P47" s="238">
        <v>1</v>
      </c>
      <c r="Q47" s="238">
        <v>1</v>
      </c>
      <c r="R47" s="238">
        <v>1</v>
      </c>
      <c r="S47" s="238">
        <v>1</v>
      </c>
      <c r="T47" s="238">
        <v>1</v>
      </c>
      <c r="U47" s="238">
        <v>1</v>
      </c>
      <c r="V47" s="238">
        <v>1</v>
      </c>
      <c r="W47" s="238">
        <v>1</v>
      </c>
      <c r="X47" s="238">
        <v>1</v>
      </c>
      <c r="Y47" s="238">
        <v>1</v>
      </c>
      <c r="Z47" s="238">
        <v>1</v>
      </c>
      <c r="AA47" s="238">
        <v>1</v>
      </c>
      <c r="AB47" s="238">
        <v>1</v>
      </c>
      <c r="AC47" s="238">
        <v>1</v>
      </c>
      <c r="AD47" s="238">
        <v>1</v>
      </c>
      <c r="AE47" s="238">
        <v>1</v>
      </c>
      <c r="AF47" s="238">
        <v>1</v>
      </c>
      <c r="AG47" s="238">
        <v>1</v>
      </c>
      <c r="AH47" s="238">
        <v>1</v>
      </c>
      <c r="AI47" s="238">
        <v>1</v>
      </c>
      <c r="AJ47" s="238">
        <v>1</v>
      </c>
      <c r="AK47" s="238">
        <v>1</v>
      </c>
      <c r="AL47" s="238">
        <v>1</v>
      </c>
      <c r="AM47" s="238">
        <v>1</v>
      </c>
      <c r="AN47" s="238">
        <v>1</v>
      </c>
      <c r="AO47" s="238">
        <v>1</v>
      </c>
      <c r="AP47" s="238">
        <v>1</v>
      </c>
      <c r="AQ47" s="238">
        <v>1</v>
      </c>
      <c r="AR47" s="238">
        <v>1</v>
      </c>
      <c r="AS47" s="238">
        <v>1</v>
      </c>
    </row>
    <row r="48" spans="1:45" outlineLevel="1">
      <c r="Z48" s="202"/>
    </row>
    <row r="49" spans="1:45" outlineLevel="1"/>
    <row r="50" spans="1:45" s="298" customFormat="1" outlineLevel="1">
      <c r="A50" s="298" t="s">
        <v>142</v>
      </c>
      <c r="B50" s="298" t="s">
        <v>167</v>
      </c>
    </row>
    <row r="51" spans="1:45" outlineLevel="1">
      <c r="A51" s="229" t="s">
        <v>175</v>
      </c>
      <c r="B51" s="229" t="s">
        <v>176</v>
      </c>
      <c r="C51" s="229" t="s">
        <v>177</v>
      </c>
      <c r="D51" s="230"/>
      <c r="E51" s="230" t="s">
        <v>178</v>
      </c>
      <c r="F51" s="230"/>
      <c r="G51" s="230" t="s">
        <v>179</v>
      </c>
      <c r="H51" s="230" t="s">
        <v>180</v>
      </c>
      <c r="I51" s="230"/>
      <c r="J51" s="230">
        <v>2015</v>
      </c>
      <c r="K51" s="230">
        <v>2016</v>
      </c>
      <c r="L51" s="230">
        <v>2017</v>
      </c>
      <c r="M51" s="230">
        <v>2018</v>
      </c>
      <c r="N51" s="230">
        <v>2019</v>
      </c>
      <c r="O51" s="230">
        <v>2020</v>
      </c>
      <c r="P51" s="230">
        <v>2021</v>
      </c>
      <c r="Q51" s="230">
        <v>2022</v>
      </c>
      <c r="R51" s="230">
        <v>2023</v>
      </c>
      <c r="S51" s="230">
        <v>2024</v>
      </c>
      <c r="T51" s="230">
        <v>2025</v>
      </c>
      <c r="U51" s="230">
        <v>2026</v>
      </c>
      <c r="V51" s="230">
        <v>2027</v>
      </c>
      <c r="W51" s="230">
        <v>2028</v>
      </c>
      <c r="X51" s="230">
        <v>2029</v>
      </c>
      <c r="Y51" s="230">
        <v>2030</v>
      </c>
      <c r="Z51" s="230">
        <v>2031</v>
      </c>
      <c r="AA51" s="230">
        <v>2032</v>
      </c>
      <c r="AB51" s="230">
        <v>2033</v>
      </c>
      <c r="AC51" s="230">
        <v>2034</v>
      </c>
      <c r="AD51" s="230">
        <v>2035</v>
      </c>
      <c r="AE51" s="230">
        <v>2036</v>
      </c>
      <c r="AF51" s="230">
        <v>2037</v>
      </c>
      <c r="AG51" s="230">
        <v>2038</v>
      </c>
      <c r="AH51" s="230">
        <v>2039</v>
      </c>
      <c r="AI51" s="230">
        <v>2040</v>
      </c>
      <c r="AJ51" s="230">
        <v>2041</v>
      </c>
      <c r="AK51" s="230">
        <v>2042</v>
      </c>
      <c r="AL51" s="230">
        <v>2043</v>
      </c>
      <c r="AM51" s="230">
        <v>2044</v>
      </c>
      <c r="AN51" s="230">
        <v>2045</v>
      </c>
      <c r="AO51" s="230">
        <v>2046</v>
      </c>
      <c r="AP51" s="230">
        <v>2047</v>
      </c>
      <c r="AQ51" s="230">
        <v>2048</v>
      </c>
      <c r="AR51" s="230">
        <v>2049</v>
      </c>
      <c r="AS51" s="230">
        <v>2050</v>
      </c>
    </row>
    <row r="52" spans="1:45" outlineLevel="1"/>
    <row r="53" spans="1:45" s="229" customFormat="1" outlineLevel="1">
      <c r="A53" s="229">
        <v>0</v>
      </c>
      <c r="B53" s="229" t="str">
        <f t="shared" ref="B53:B64" si="3">A53&amp;C53</f>
        <v>0TotalEnergy use by fuel</v>
      </c>
      <c r="C53" s="234" t="str">
        <f t="shared" ref="C53:C60" si="4">$A$50&amp;$B$50</f>
        <v>TotalEnergy use by fuel</v>
      </c>
      <c r="E53" s="248" t="s">
        <v>196</v>
      </c>
      <c r="G53" s="234"/>
      <c r="J53" s="237"/>
      <c r="K53" s="237"/>
      <c r="L53" s="237"/>
      <c r="M53" s="237"/>
      <c r="N53" s="237"/>
      <c r="O53" s="237"/>
      <c r="P53" s="237"/>
      <c r="Q53" s="237"/>
      <c r="R53" s="237"/>
      <c r="S53" s="237"/>
      <c r="T53" s="237"/>
      <c r="U53" s="237"/>
      <c r="V53" s="237"/>
      <c r="W53" s="237"/>
      <c r="X53" s="237"/>
      <c r="Y53" s="237"/>
      <c r="Z53" s="237"/>
      <c r="AA53" s="237"/>
      <c r="AB53" s="237"/>
      <c r="AC53" s="237"/>
      <c r="AD53" s="237"/>
      <c r="AE53" s="237"/>
      <c r="AF53" s="237"/>
      <c r="AG53" s="237"/>
      <c r="AH53" s="237"/>
      <c r="AI53" s="237"/>
      <c r="AJ53" s="237"/>
      <c r="AK53" s="237"/>
      <c r="AL53" s="237"/>
      <c r="AM53" s="237"/>
      <c r="AN53" s="237"/>
      <c r="AO53" s="237"/>
      <c r="AP53" s="237"/>
      <c r="AQ53" s="237"/>
      <c r="AR53" s="237"/>
      <c r="AS53" s="237"/>
    </row>
    <row r="54" spans="1:45" s="247" customFormat="1" outlineLevel="1">
      <c r="A54" s="229">
        <v>1</v>
      </c>
      <c r="B54" s="229" t="str">
        <f t="shared" si="3"/>
        <v>1TotalEnergy use by fuel</v>
      </c>
      <c r="C54" s="234" t="str">
        <f t="shared" si="4"/>
        <v>TotalEnergy use by fuel</v>
      </c>
      <c r="D54" s="229"/>
      <c r="E54" s="313" t="s">
        <v>209</v>
      </c>
      <c r="F54" s="313"/>
      <c r="G54" s="234" t="s">
        <v>198</v>
      </c>
      <c r="H54" s="229"/>
      <c r="I54" s="313"/>
      <c r="J54" s="571">
        <f>'Fuel Consumption'!Q24+'Fuel Consumption'!Q45+('Industrial and Other Transport'!O11)/1000</f>
        <v>23022.491220522836</v>
      </c>
      <c r="K54" s="571">
        <f>'Fuel Consumption'!R24+'Fuel Consumption'!R45+('Industrial and Other Transport'!P11)/1000</f>
        <v>22857.150368722228</v>
      </c>
      <c r="L54" s="571">
        <f>'Fuel Consumption'!S24+'Fuel Consumption'!S45+('Industrial and Other Transport'!Q11)/1000</f>
        <v>22700.504027657673</v>
      </c>
      <c r="M54" s="571">
        <f>'Fuel Consumption'!T24+'Fuel Consumption'!T45+('Industrial and Other Transport'!R11)/1000</f>
        <v>22546.46367872092</v>
      </c>
      <c r="N54" s="571">
        <f>'Fuel Consumption'!U24+'Fuel Consumption'!U45+('Industrial and Other Transport'!S11)/1000</f>
        <v>22372.410732629512</v>
      </c>
      <c r="O54" s="571">
        <f>'Fuel Consumption'!V24+'Fuel Consumption'!V45+('Industrial and Other Transport'!T11)/1000</f>
        <v>21925.495437428985</v>
      </c>
      <c r="P54" s="571">
        <f>'Fuel Consumption'!W24+'Fuel Consumption'!W45+('Industrial and Other Transport'!U11)/1000</f>
        <v>21583.595412783448</v>
      </c>
      <c r="Q54" s="571">
        <f>'Fuel Consumption'!X24+'Fuel Consumption'!X45+('Industrial and Other Transport'!V11)/1000</f>
        <v>20748.310624092504</v>
      </c>
      <c r="R54" s="571">
        <f>'Fuel Consumption'!Y24+'Fuel Consumption'!Y45+('Industrial and Other Transport'!W11)/1000</f>
        <v>19415.707191187699</v>
      </c>
      <c r="S54" s="571">
        <f>'Fuel Consumption'!Z24+'Fuel Consumption'!Z45+('Industrial and Other Transport'!X11)/1000</f>
        <v>17726.064032148552</v>
      </c>
      <c r="T54" s="571">
        <f>'Fuel Consumption'!AA24+'Fuel Consumption'!AA45+('Industrial and Other Transport'!Y11)/1000</f>
        <v>15991.962658518109</v>
      </c>
      <c r="U54" s="571">
        <f>'Fuel Consumption'!AB24+'Fuel Consumption'!AB45+('Industrial and Other Transport'!Z11)/1000</f>
        <v>14163.37944253981</v>
      </c>
      <c r="V54" s="571">
        <f>'Fuel Consumption'!AC24+'Fuel Consumption'!AC45+('Industrial and Other Transport'!AA11)/1000</f>
        <v>12229.094150095676</v>
      </c>
      <c r="W54" s="571">
        <f>'Fuel Consumption'!AD24+'Fuel Consumption'!AD45+('Industrial and Other Transport'!AB11)/1000</f>
        <v>10610.707765162191</v>
      </c>
      <c r="X54" s="571">
        <f>'Fuel Consumption'!AE24+'Fuel Consumption'!AE45+('Industrial and Other Transport'!AC11)/1000</f>
        <v>9194.811202893181</v>
      </c>
      <c r="Y54" s="571">
        <f>'Fuel Consumption'!AF24+'Fuel Consumption'!AF45+('Industrial and Other Transport'!AD11)/1000</f>
        <v>7989.7008722779856</v>
      </c>
      <c r="Z54" s="571">
        <f>'Fuel Consumption'!AG24+'Fuel Consumption'!AG45+('Industrial and Other Transport'!AE11)/1000</f>
        <v>6922.8371869765206</v>
      </c>
      <c r="AA54" s="571">
        <f>'Fuel Consumption'!AH24+'Fuel Consumption'!AH45+('Industrial and Other Transport'!AF11)/1000</f>
        <v>5964.3708428367381</v>
      </c>
      <c r="AB54" s="571">
        <f>'Fuel Consumption'!AI24+'Fuel Consumption'!AI45+('Industrial and Other Transport'!AG11)/1000</f>
        <v>5098.4686373566283</v>
      </c>
      <c r="AC54" s="571">
        <f>'Fuel Consumption'!AJ24+'Fuel Consumption'!AJ45+('Industrial and Other Transport'!AH11)/1000</f>
        <v>4314.716505770295</v>
      </c>
      <c r="AD54" s="571">
        <f>'Fuel Consumption'!AK24+'Fuel Consumption'!AK45+('Industrial and Other Transport'!AI11)/1000</f>
        <v>3687.3182240952351</v>
      </c>
      <c r="AE54" s="571">
        <f>'Fuel Consumption'!AL24+'Fuel Consumption'!AL45+('Industrial and Other Transport'!AJ11)/1000</f>
        <v>2863.9455435562309</v>
      </c>
      <c r="AF54" s="571">
        <f>'Fuel Consumption'!AM24+'Fuel Consumption'!AM45+('Industrial and Other Transport'!AK11)/1000</f>
        <v>2260.3672791725789</v>
      </c>
      <c r="AG54" s="571">
        <f>'Fuel Consumption'!AN24+'Fuel Consumption'!AN45+('Industrial and Other Transport'!AL11)/1000</f>
        <v>1841.2507002983614</v>
      </c>
      <c r="AH54" s="571">
        <f>'Fuel Consumption'!AO24+'Fuel Consumption'!AO45+('Industrial and Other Transport'!AM11)/1000</f>
        <v>1684.1530315613204</v>
      </c>
      <c r="AI54" s="571">
        <f>'Fuel Consumption'!AP24+'Fuel Consumption'!AP45+('Industrial and Other Transport'!AN11)/1000</f>
        <v>1530.2425312504242</v>
      </c>
      <c r="AJ54" s="571">
        <f>'Fuel Consumption'!AQ24+'Fuel Consumption'!AQ45+('Industrial and Other Transport'!AO11)/1000</f>
        <v>1368.3994468115666</v>
      </c>
      <c r="AK54" s="571">
        <f>'Fuel Consumption'!AR24+'Fuel Consumption'!AR45+('Industrial and Other Transport'!AP11)/1000</f>
        <v>1210.88360213443</v>
      </c>
      <c r="AL54" s="571">
        <f>'Fuel Consumption'!AS24+'Fuel Consumption'!AS45+('Industrial and Other Transport'!AQ11)/1000</f>
        <v>1056.7923790612883</v>
      </c>
      <c r="AM54" s="571">
        <f>'Fuel Consumption'!AT24+'Fuel Consumption'!AT45+('Industrial and Other Transport'!AR11)/1000</f>
        <v>905.23324419498749</v>
      </c>
      <c r="AN54" s="571">
        <f>'Fuel Consumption'!AU24+'Fuel Consumption'!AU45+('Industrial and Other Transport'!AS11)/1000</f>
        <v>755.32236560933723</v>
      </c>
      <c r="AO54" s="571">
        <f>'Fuel Consumption'!AV24+'Fuel Consumption'!AV45+('Industrial and Other Transport'!AT11)/1000</f>
        <v>615.14322702129084</v>
      </c>
      <c r="AP54" s="571">
        <f>'Fuel Consumption'!AW24+'Fuel Consumption'!AW45+('Industrial and Other Transport'!AU11)/1000</f>
        <v>469.855139361017</v>
      </c>
      <c r="AQ54" s="571">
        <f>'Fuel Consumption'!AX24+'Fuel Consumption'!AX45+('Industrial and Other Transport'!AV11)/1000</f>
        <v>319.12295661959263</v>
      </c>
      <c r="AR54" s="571">
        <f>'Fuel Consumption'!AY24+'Fuel Consumption'!AY45+('Industrial and Other Transport'!AW11)/1000</f>
        <v>162.61450570960335</v>
      </c>
      <c r="AS54" s="571">
        <f>'Fuel Consumption'!AZ24+'Fuel Consumption'!AZ45+('Industrial and Other Transport'!AX11)/1000</f>
        <v>0</v>
      </c>
    </row>
    <row r="55" spans="1:45" s="247" customFormat="1" outlineLevel="1">
      <c r="A55" s="229">
        <v>2</v>
      </c>
      <c r="B55" s="229" t="str">
        <f t="shared" si="3"/>
        <v>2TotalEnergy use by fuel</v>
      </c>
      <c r="C55" s="234" t="str">
        <f t="shared" si="4"/>
        <v>TotalEnergy use by fuel</v>
      </c>
      <c r="D55" s="229"/>
      <c r="E55" s="313" t="s">
        <v>210</v>
      </c>
      <c r="F55" s="229"/>
      <c r="G55" s="234" t="s">
        <v>198</v>
      </c>
      <c r="H55" s="229"/>
      <c r="I55" s="229"/>
      <c r="J55" s="571">
        <f ca="1">'Fuel Consumption'!Q25+'Fuel Consumption'!Q46+'Fuel Consumption'!Q84+'Fuel Consumption'!Q85+'Fuel Consumption'!Q62+'Fuel Consumption'!Q77+('Industrial and Other Transport'!O10+'Industrial and Other Transport'!O112+'Industrial and Other Transport'!O113)/1000+Transport!O59</f>
        <v>18369.417903225429</v>
      </c>
      <c r="K55" s="571">
        <f ca="1">'Fuel Consumption'!R25+'Fuel Consumption'!R46+'Fuel Consumption'!R84+'Fuel Consumption'!R85+'Fuel Consumption'!R62+'Fuel Consumption'!R77+('Industrial and Other Transport'!P10+'Industrial and Other Transport'!P112+'Industrial and Other Transport'!P113)/1000+Transport!P59</f>
        <v>18490.192307900485</v>
      </c>
      <c r="L55" s="571">
        <f ca="1">'Fuel Consumption'!S25+'Fuel Consumption'!S46+'Fuel Consumption'!S84+'Fuel Consumption'!S85+'Fuel Consumption'!S62+'Fuel Consumption'!S77+('Industrial and Other Transport'!Q10+'Industrial and Other Transport'!Q112+'Industrial and Other Transport'!Q113)/1000+Transport!Q59</f>
        <v>18605.335036448763</v>
      </c>
      <c r="M55" s="571">
        <f ca="1">'Fuel Consumption'!T25+'Fuel Consumption'!T46+'Fuel Consumption'!T84+'Fuel Consumption'!T85+'Fuel Consumption'!T62+'Fuel Consumption'!T77+('Industrial and Other Transport'!R10+'Industrial and Other Transport'!R112+'Industrial and Other Transport'!R113)/1000+Transport!R59</f>
        <v>18726.295865602191</v>
      </c>
      <c r="N55" s="571">
        <f ca="1">'Fuel Consumption'!U25+'Fuel Consumption'!U46+'Fuel Consumption'!U84+'Fuel Consumption'!U85+'Fuel Consumption'!U62+'Fuel Consumption'!U77+('Industrial and Other Transport'!S10+'Industrial and Other Transport'!S112+'Industrial and Other Transport'!S113)/1000+Transport!S59</f>
        <v>18792.699264965926</v>
      </c>
      <c r="O55" s="571">
        <f ca="1">'Fuel Consumption'!V25+'Fuel Consumption'!V46+'Fuel Consumption'!V84+'Fuel Consumption'!V85+'Fuel Consumption'!V62+'Fuel Consumption'!V77+('Industrial and Other Transport'!T10+'Industrial and Other Transport'!T112+'Industrial and Other Transport'!T113)/1000+Transport!T59</f>
        <v>18891.581594398824</v>
      </c>
      <c r="P55" s="571">
        <f ca="1">'Fuel Consumption'!W25+'Fuel Consumption'!W46+'Fuel Consumption'!W84+'Fuel Consumption'!W85+'Fuel Consumption'!W62+'Fuel Consumption'!W77+('Industrial and Other Transport'!U10+'Industrial and Other Transport'!U112+'Industrial and Other Transport'!U113)/1000+Transport!U59</f>
        <v>18915.407070934063</v>
      </c>
      <c r="Q55" s="571">
        <f ca="1">'Fuel Consumption'!X25+'Fuel Consumption'!X46+'Fuel Consumption'!X84+'Fuel Consumption'!X85+'Fuel Consumption'!X62+'Fuel Consumption'!X77+('Industrial and Other Transport'!V10+'Industrial and Other Transport'!V112+'Industrial and Other Transport'!V113)/1000+Transport!V59</f>
        <v>18942.554583356305</v>
      </c>
      <c r="R55" s="571">
        <f ca="1">'Fuel Consumption'!Y25+'Fuel Consumption'!Y46+'Fuel Consumption'!Y84+'Fuel Consumption'!Y85+'Fuel Consumption'!Y62+'Fuel Consumption'!Y77+('Industrial and Other Transport'!W10+'Industrial and Other Transport'!W112+'Industrial and Other Transport'!W113)/1000+Transport!W59</f>
        <v>18879.550623058967</v>
      </c>
      <c r="S55" s="571">
        <f ca="1">'Fuel Consumption'!Z25+'Fuel Consumption'!Z46+'Fuel Consumption'!Z84+'Fuel Consumption'!Z85+'Fuel Consumption'!Z62+'Fuel Consumption'!Z77+('Industrial and Other Transport'!X10+'Industrial and Other Transport'!X112+'Industrial and Other Transport'!X113)/1000+Transport!X59</f>
        <v>18747.505870432138</v>
      </c>
      <c r="T55" s="571">
        <f ca="1">'Fuel Consumption'!AA25+'Fuel Consumption'!AA46+'Fuel Consumption'!AA84+'Fuel Consumption'!AA85+'Fuel Consumption'!AA62+'Fuel Consumption'!AA77+('Industrial and Other Transport'!Y10+'Industrial and Other Transport'!Y112+'Industrial and Other Transport'!Y113)/1000+Transport!Y59</f>
        <v>18577.23959422611</v>
      </c>
      <c r="U55" s="571">
        <f ca="1">'Fuel Consumption'!AB25+'Fuel Consumption'!AB46+'Fuel Consumption'!AB84+'Fuel Consumption'!AB85+'Fuel Consumption'!AB62+'Fuel Consumption'!AB77+('Industrial and Other Transport'!Z10+'Industrial and Other Transport'!Z112+'Industrial and Other Transport'!Z113)/1000+Transport!Z59</f>
        <v>18387.85427727169</v>
      </c>
      <c r="V55" s="571">
        <f ca="1">'Fuel Consumption'!AC25+'Fuel Consumption'!AC46+'Fuel Consumption'!AC84+'Fuel Consumption'!AC85+'Fuel Consumption'!AC62+'Fuel Consumption'!AC77+('Industrial and Other Transport'!AA10+'Industrial and Other Transport'!AA112+'Industrial and Other Transport'!AA113)/1000+Transport!AA59</f>
        <v>18242.957639333166</v>
      </c>
      <c r="W55" s="571">
        <f ca="1">'Fuel Consumption'!AD25+'Fuel Consumption'!AD46+'Fuel Consumption'!AD84+'Fuel Consumption'!AD85+'Fuel Consumption'!AD62+'Fuel Consumption'!AD77+('Industrial and Other Transport'!AB10+'Industrial and Other Transport'!AB112+'Industrial and Other Transport'!AB113)/1000+Transport!AB59</f>
        <v>18077.112942572545</v>
      </c>
      <c r="X55" s="571">
        <f ca="1">'Fuel Consumption'!AE25+'Fuel Consumption'!AE46+'Fuel Consumption'!AE84+'Fuel Consumption'!AE85+'Fuel Consumption'!AE62+'Fuel Consumption'!AE77+('Industrial and Other Transport'!AC10+'Industrial and Other Transport'!AC112+'Industrial and Other Transport'!AC113)/1000+Transport!AC59</f>
        <v>17850.447376066335</v>
      </c>
      <c r="Y55" s="571">
        <f ca="1">'Fuel Consumption'!AF25+'Fuel Consumption'!AF46+'Fuel Consumption'!AF84+'Fuel Consumption'!AF85+'Fuel Consumption'!AF62+'Fuel Consumption'!AF77+('Industrial and Other Transport'!AD10+'Industrial and Other Transport'!AD112+'Industrial and Other Transport'!AD113)/1000+Transport!AD59</f>
        <v>17578.931366868295</v>
      </c>
      <c r="Z55" s="571">
        <f ca="1">'Fuel Consumption'!AG25+'Fuel Consumption'!AG46+'Fuel Consumption'!AG84+'Fuel Consumption'!AG85+'Fuel Consumption'!AG62+'Fuel Consumption'!AG77+('Industrial and Other Transport'!AE10+'Industrial and Other Transport'!AE112+'Industrial and Other Transport'!AE113)/1000+Transport!AE59</f>
        <v>17836.6431637676</v>
      </c>
      <c r="AA55" s="571">
        <f ca="1">'Fuel Consumption'!AH25+'Fuel Consumption'!AH46+'Fuel Consumption'!AH84+'Fuel Consumption'!AH85+'Fuel Consumption'!AH62+'Fuel Consumption'!AH77+('Industrial and Other Transport'!AF10+'Industrial and Other Transport'!AF112+'Industrial and Other Transport'!AF113)/1000+Transport!AF59</f>
        <v>18098.547895329317</v>
      </c>
      <c r="AB55" s="571">
        <f ca="1">'Fuel Consumption'!AI25+'Fuel Consumption'!AI46+'Fuel Consumption'!AI84+'Fuel Consumption'!AI85+'Fuel Consumption'!AI62+'Fuel Consumption'!AI77+('Industrial and Other Transport'!AG10+'Industrial and Other Transport'!AG112+'Industrial and Other Transport'!AG113)/1000+Transport!AG59</f>
        <v>18370.263653406153</v>
      </c>
      <c r="AC55" s="571">
        <f ca="1">'Fuel Consumption'!AJ25+'Fuel Consumption'!AJ46+'Fuel Consumption'!AJ84+'Fuel Consumption'!AJ85+'Fuel Consumption'!AJ62+'Fuel Consumption'!AJ77+('Industrial and Other Transport'!AH10+'Industrial and Other Transport'!AH112+'Industrial and Other Transport'!AH113)/1000+Transport!AH59</f>
        <v>18647.090684130988</v>
      </c>
      <c r="AD55" s="571">
        <f ca="1">'Fuel Consumption'!AK25+'Fuel Consumption'!AK46+'Fuel Consumption'!AK84+'Fuel Consumption'!AK85+'Fuel Consumption'!AK62+'Fuel Consumption'!AK77+('Industrial and Other Transport'!AI10+'Industrial and Other Transport'!AI112+'Industrial and Other Transport'!AI113)/1000+Transport!AI59</f>
        <v>18970.786275600094</v>
      </c>
      <c r="AE55" s="571">
        <f ca="1">'Fuel Consumption'!AL25+'Fuel Consumption'!AL46+'Fuel Consumption'!AL84+'Fuel Consumption'!AL85+'Fuel Consumption'!AL62+'Fuel Consumption'!AL77+('Industrial and Other Transport'!AJ10+'Industrial and Other Transport'!AJ112+'Industrial and Other Transport'!AJ113)/1000+Transport!AJ59</f>
        <v>19484.11481710065</v>
      </c>
      <c r="AF55" s="571">
        <f ca="1">'Fuel Consumption'!AM25+'Fuel Consumption'!AM46+'Fuel Consumption'!AM84+'Fuel Consumption'!AM85+'Fuel Consumption'!AM62+'Fuel Consumption'!AM77+('Industrial and Other Transport'!AK10+'Industrial and Other Transport'!AK112+'Industrial and Other Transport'!AK113)/1000+Transport!AK59</f>
        <v>19897.048174089821</v>
      </c>
      <c r="AG55" s="571">
        <f ca="1">'Fuel Consumption'!AN25+'Fuel Consumption'!AN46+'Fuel Consumption'!AN84+'Fuel Consumption'!AN85+'Fuel Consumption'!AN62+'Fuel Consumption'!AN77+('Industrial and Other Transport'!AL10+'Industrial and Other Transport'!AL112+'Industrial and Other Transport'!AL113)/1000+Transport!AL59</f>
        <v>20242.824847739594</v>
      </c>
      <c r="AH55" s="571">
        <f ca="1">'Fuel Consumption'!AO25+'Fuel Consumption'!AO46+'Fuel Consumption'!AO84+'Fuel Consumption'!AO85+'Fuel Consumption'!AO62+'Fuel Consumption'!AO77+('Industrial and Other Transport'!AM10+'Industrial and Other Transport'!AM112+'Industrial and Other Transport'!AM113)/1000+Transport!AM59</f>
        <v>20552.407074642251</v>
      </c>
      <c r="AI55" s="571">
        <f ca="1">'Fuel Consumption'!AP25+'Fuel Consumption'!AP46+'Fuel Consumption'!AP84+'Fuel Consumption'!AP85+'Fuel Consumption'!AP62+'Fuel Consumption'!AP77+('Industrial and Other Transport'!AN10+'Industrial and Other Transport'!AN112+'Industrial and Other Transport'!AN113)/1000+Transport!AN59</f>
        <v>20859.534462834446</v>
      </c>
      <c r="AJ55" s="571">
        <f ca="1">'Fuel Consumption'!AQ25+'Fuel Consumption'!AQ46+'Fuel Consumption'!AQ84+'Fuel Consumption'!AQ85+'Fuel Consumption'!AQ62+'Fuel Consumption'!AQ77+('Industrial and Other Transport'!AO10+'Industrial and Other Transport'!AO112+'Industrial and Other Transport'!AO113)/1000+Transport!AO59</f>
        <v>21121.697465305126</v>
      </c>
      <c r="AK55" s="571">
        <f ca="1">'Fuel Consumption'!AR25+'Fuel Consumption'!AR46+'Fuel Consumption'!AR84+'Fuel Consumption'!AR85+'Fuel Consumption'!AR62+'Fuel Consumption'!AR77+('Industrial and Other Transport'!AP10+'Industrial and Other Transport'!AP112+'Industrial and Other Transport'!AP113)/1000+Transport!AP59</f>
        <v>21380.904229582778</v>
      </c>
      <c r="AL55" s="571">
        <f ca="1">'Fuel Consumption'!AS25+'Fuel Consumption'!AS46+'Fuel Consumption'!AS84+'Fuel Consumption'!AS85+'Fuel Consumption'!AS62+'Fuel Consumption'!AS77+('Industrial and Other Transport'!AQ10+'Industrial and Other Transport'!AQ112+'Industrial and Other Transport'!AQ113)/1000+Transport!AQ59</f>
        <v>21638.323793286967</v>
      </c>
      <c r="AM55" s="571">
        <f ca="1">'Fuel Consumption'!AT25+'Fuel Consumption'!AT46+'Fuel Consumption'!AT84+'Fuel Consumption'!AT85+'Fuel Consumption'!AT62+'Fuel Consumption'!AT77+('Industrial and Other Transport'!AR10+'Industrial and Other Transport'!AR112+'Industrial and Other Transport'!AR113)/1000+Transport!AR59</f>
        <v>21895.338895845689</v>
      </c>
      <c r="AN55" s="571">
        <f ca="1">'Fuel Consumption'!AU25+'Fuel Consumption'!AU46+'Fuel Consumption'!AU84+'Fuel Consumption'!AU85+'Fuel Consumption'!AU62+'Fuel Consumption'!AU77+('Industrial and Other Transport'!AS10+'Industrial and Other Transport'!AS112+'Industrial and Other Transport'!AS113)/1000+Transport!AS59</f>
        <v>22153.104012310672</v>
      </c>
      <c r="AO55" s="571">
        <f ca="1">'Fuel Consumption'!AV25+'Fuel Consumption'!AV46+'Fuel Consumption'!AV84+'Fuel Consumption'!AV85+'Fuel Consumption'!AV62+'Fuel Consumption'!AV77+('Industrial and Other Transport'!AT10+'Industrial and Other Transport'!AT112+'Industrial and Other Transport'!AT113)/1000+Transport!AT59</f>
        <v>22420.870182561921</v>
      </c>
      <c r="AP55" s="571">
        <f ca="1">'Fuel Consumption'!AW25+'Fuel Consumption'!AW46+'Fuel Consumption'!AW84+'Fuel Consumption'!AW85+'Fuel Consumption'!AW62+'Fuel Consumption'!AW77+('Industrial and Other Transport'!AU10+'Industrial and Other Transport'!AU112+'Industrial and Other Transport'!AU113)/1000+Transport!AU59</f>
        <v>22693.510734602256</v>
      </c>
      <c r="AQ55" s="571">
        <f ca="1">'Fuel Consumption'!AX25+'Fuel Consumption'!AX46+'Fuel Consumption'!AX84+'Fuel Consumption'!AX85+'Fuel Consumption'!AX62+'Fuel Consumption'!AX77+('Industrial and Other Transport'!AV10+'Industrial and Other Transport'!AV112+'Industrial and Other Transport'!AV113)/1000+Transport!AV59</f>
        <v>22971.716991050656</v>
      </c>
      <c r="AR55" s="571">
        <f ca="1">'Fuel Consumption'!AY25+'Fuel Consumption'!AY46+'Fuel Consumption'!AY84+'Fuel Consumption'!AY85+'Fuel Consumption'!AY62+'Fuel Consumption'!AY77+('Industrial and Other Transport'!AW10+'Industrial and Other Transport'!AW112+'Industrial and Other Transport'!AW113)/1000+Transport!AW59</f>
        <v>23255.803597664064</v>
      </c>
      <c r="AS55" s="571">
        <f ca="1">'Fuel Consumption'!AZ25+'Fuel Consumption'!AZ46+'Fuel Consumption'!AZ84+'Fuel Consumption'!AZ85+'Fuel Consumption'!AZ62+'Fuel Consumption'!AZ77+('Industrial and Other Transport'!AX10+'Industrial and Other Transport'!AX112+'Industrial and Other Transport'!AX113)/1000+Transport!AX59</f>
        <v>23546.275332340902</v>
      </c>
    </row>
    <row r="56" spans="1:45" s="247" customFormat="1" outlineLevel="1">
      <c r="A56" s="229">
        <v>3</v>
      </c>
      <c r="B56" s="229" t="str">
        <f t="shared" si="3"/>
        <v>3TotalEnergy use by fuel</v>
      </c>
      <c r="C56" s="234" t="str">
        <f t="shared" si="4"/>
        <v>TotalEnergy use by fuel</v>
      </c>
      <c r="D56" s="229"/>
      <c r="E56" s="313" t="s">
        <v>160</v>
      </c>
      <c r="F56" s="313"/>
      <c r="G56" s="234" t="s">
        <v>198</v>
      </c>
      <c r="H56" s="229"/>
      <c r="I56" s="313"/>
      <c r="J56" s="571">
        <f>'Fuel Consumption'!Q47+'Fuel Consumption'!Q26</f>
        <v>739.56657927182334</v>
      </c>
      <c r="K56" s="571">
        <f>'Fuel Consumption'!R47+'Fuel Consumption'!R26</f>
        <v>762.86966259856035</v>
      </c>
      <c r="L56" s="571">
        <f>'Fuel Consumption'!S47+'Fuel Consumption'!S26</f>
        <v>788.32971793643105</v>
      </c>
      <c r="M56" s="571">
        <f>'Fuel Consumption'!T47+'Fuel Consumption'!T26</f>
        <v>815.82168099275123</v>
      </c>
      <c r="N56" s="571">
        <f>'Fuel Consumption'!U47+'Fuel Consumption'!U26</f>
        <v>845.22048747483814</v>
      </c>
      <c r="O56" s="571">
        <f>'Fuel Consumption'!V47+'Fuel Consumption'!V26</f>
        <v>1034.0493678672949</v>
      </c>
      <c r="P56" s="571">
        <f>'Fuel Consumption'!W47+'Fuel Consumption'!W26</f>
        <v>1129.19246953526</v>
      </c>
      <c r="Q56" s="571">
        <f>'Fuel Consumption'!X47+'Fuel Consumption'!X26</f>
        <v>1236.1364863339136</v>
      </c>
      <c r="R56" s="571">
        <f>'Fuel Consumption'!Y47+'Fuel Consumption'!Y26</f>
        <v>1336.0528920332908</v>
      </c>
      <c r="S56" s="571">
        <f>'Fuel Consumption'!Z47+'Fuel Consumption'!Z26</f>
        <v>1429.1604364249142</v>
      </c>
      <c r="T56" s="571">
        <f>'Fuel Consumption'!AA47+'Fuel Consumption'!AA26</f>
        <v>1515.0586166910157</v>
      </c>
      <c r="U56" s="571">
        <f>'Fuel Consumption'!AB47+'Fuel Consumption'!AB26</f>
        <v>1513.8210966696399</v>
      </c>
      <c r="V56" s="571">
        <f>'Fuel Consumption'!AC47+'Fuel Consumption'!AC26</f>
        <v>1509.2928453324575</v>
      </c>
      <c r="W56" s="571">
        <f>'Fuel Consumption'!AD47+'Fuel Consumption'!AD26</f>
        <v>1501.7687482195295</v>
      </c>
      <c r="X56" s="571">
        <f>'Fuel Consumption'!AE47+'Fuel Consumption'!AE26</f>
        <v>1491.5616370924172</v>
      </c>
      <c r="Y56" s="571">
        <f>'Fuel Consumption'!AF47+'Fuel Consumption'!AF26</f>
        <v>1478.9138320213729</v>
      </c>
      <c r="Z56" s="571">
        <f>'Fuel Consumption'!AG47+'Fuel Consumption'!AG26</f>
        <v>1467.2910550050206</v>
      </c>
      <c r="AA56" s="571">
        <f>'Fuel Consumption'!AH47+'Fuel Consumption'!AH26</f>
        <v>1450.1326642464805</v>
      </c>
      <c r="AB56" s="571">
        <f>'Fuel Consumption'!AI47+'Fuel Consumption'!AI26</f>
        <v>1383.1365193767042</v>
      </c>
      <c r="AC56" s="571">
        <f>'Fuel Consumption'!AJ47+'Fuel Consumption'!AJ26</f>
        <v>1309.4560302206119</v>
      </c>
      <c r="AD56" s="571">
        <f>'Fuel Consumption'!AK47+'Fuel Consumption'!AK26</f>
        <v>1234.1964464798082</v>
      </c>
      <c r="AE56" s="571">
        <f>'Fuel Consumption'!AL47+'Fuel Consumption'!AL26</f>
        <v>1159.9331586825081</v>
      </c>
      <c r="AF56" s="571">
        <f>'Fuel Consumption'!AM47+'Fuel Consumption'!AM26</f>
        <v>1086.1728856686652</v>
      </c>
      <c r="AG56" s="571">
        <f>'Fuel Consumption'!AN47+'Fuel Consumption'!AN26</f>
        <v>1013.5318255772004</v>
      </c>
      <c r="AH56" s="571">
        <f>'Fuel Consumption'!AO47+'Fuel Consumption'!AO26</f>
        <v>934.77289291941929</v>
      </c>
      <c r="AI56" s="571">
        <f>'Fuel Consumption'!AP47+'Fuel Consumption'!AP26</f>
        <v>857.04445130979786</v>
      </c>
      <c r="AJ56" s="571">
        <f>'Fuel Consumption'!AQ47+'Fuel Consumption'!AQ26</f>
        <v>800.67698087706412</v>
      </c>
      <c r="AK56" s="571">
        <f>'Fuel Consumption'!AR47+'Fuel Consumption'!AR26</f>
        <v>743.37437347921707</v>
      </c>
      <c r="AL56" s="571">
        <f>'Fuel Consumption'!AS47+'Fuel Consumption'!AS26</f>
        <v>685.42353829683861</v>
      </c>
      <c r="AM56" s="571">
        <f>'Fuel Consumption'!AT47+'Fuel Consumption'!AT26</f>
        <v>627.11081314898047</v>
      </c>
      <c r="AN56" s="571">
        <f>'Fuel Consumption'!AU47+'Fuel Consumption'!AU26</f>
        <v>568.7217784305758</v>
      </c>
      <c r="AO56" s="571">
        <f>'Fuel Consumption'!AV47+'Fuel Consumption'!AV26</f>
        <v>497.29449537298933</v>
      </c>
      <c r="AP56" s="571">
        <f>'Fuel Consumption'!AW47+'Fuel Consumption'!AW26</f>
        <v>467.71465756249108</v>
      </c>
      <c r="AQ56" s="571">
        <f>'Fuel Consumption'!AX47+'Fuel Consumption'!AX26</f>
        <v>438.71128847642399</v>
      </c>
      <c r="AR56" s="571">
        <f>'Fuel Consumption'!AY47+'Fuel Consumption'!AY26</f>
        <v>410.3143403790549</v>
      </c>
      <c r="AS56" s="571">
        <f>'Fuel Consumption'!AZ47+'Fuel Consumption'!AZ26</f>
        <v>382.55397788603932</v>
      </c>
    </row>
    <row r="57" spans="1:45" s="247" customFormat="1" outlineLevel="1">
      <c r="A57" s="229">
        <v>4</v>
      </c>
      <c r="B57" s="229" t="str">
        <f t="shared" si="3"/>
        <v>4TotalEnergy use by fuel</v>
      </c>
      <c r="C57" s="234" t="str">
        <f t="shared" si="4"/>
        <v>TotalEnergy use by fuel</v>
      </c>
      <c r="D57" s="229"/>
      <c r="E57" s="313" t="s">
        <v>211</v>
      </c>
      <c r="F57" s="229"/>
      <c r="G57" s="234" t="s">
        <v>198</v>
      </c>
      <c r="H57" s="229"/>
      <c r="I57" s="229"/>
      <c r="J57" s="571">
        <f ca="1">'Fuel Consumption'!Q48+'Fuel Consumption'!Q20+('Industrial and Other Transport'!O12)/1000+Transport!O60</f>
        <v>0</v>
      </c>
      <c r="K57" s="571">
        <f ca="1">'Fuel Consumption'!R48+'Fuel Consumption'!R20+('Industrial and Other Transport'!P12)/1000+Transport!P60</f>
        <v>0</v>
      </c>
      <c r="L57" s="571">
        <f ca="1">'Fuel Consumption'!S48+'Fuel Consumption'!S20+('Industrial and Other Transport'!Q12)/1000+Transport!Q60</f>
        <v>0</v>
      </c>
      <c r="M57" s="571">
        <f ca="1">'Fuel Consumption'!T48+'Fuel Consumption'!T20+('Industrial and Other Transport'!R12)/1000+Transport!R60</f>
        <v>0</v>
      </c>
      <c r="N57" s="571">
        <f ca="1">'Fuel Consumption'!U48+'Fuel Consumption'!U20+('Industrial and Other Transport'!S12)/1000+Transport!S60</f>
        <v>0</v>
      </c>
      <c r="O57" s="571">
        <f ca="1">'Fuel Consumption'!V48+'Fuel Consumption'!V20+('Industrial and Other Transport'!T12)/1000+Transport!T60</f>
        <v>0</v>
      </c>
      <c r="P57" s="571">
        <f ca="1">'Fuel Consumption'!W48+'Fuel Consumption'!W20+('Industrial and Other Transport'!U12)/1000+Transport!U60</f>
        <v>1.0760534122777656</v>
      </c>
      <c r="Q57" s="571">
        <f ca="1">'Fuel Consumption'!X48+'Fuel Consumption'!X20+('Industrial and Other Transport'!V12)/1000+Transport!V60</f>
        <v>1.1094068587070165</v>
      </c>
      <c r="R57" s="571">
        <f ca="1">'Fuel Consumption'!Y48+'Fuel Consumption'!Y20+('Industrial and Other Transport'!W12)/1000+Transport!W60</f>
        <v>1.2310635397140486</v>
      </c>
      <c r="S57" s="571">
        <f ca="1">'Fuel Consumption'!Z48+'Fuel Consumption'!Z20+('Industrial and Other Transport'!X12)/1000+Transport!X60</f>
        <v>1.3895924299599325</v>
      </c>
      <c r="T57" s="571">
        <f ca="1">'Fuel Consumption'!AA48+'Fuel Consumption'!AA20+('Industrial and Other Transport'!Y12)/1000+Transport!Y60</f>
        <v>1.6196337930077838</v>
      </c>
      <c r="U57" s="571">
        <f ca="1">'Fuel Consumption'!AB48+'Fuel Consumption'!AB20+('Industrial and Other Transport'!Z12)/1000+Transport!Z60</f>
        <v>9.7095961761249683</v>
      </c>
      <c r="V57" s="571">
        <f ca="1">'Fuel Consumption'!AC48+'Fuel Consumption'!AC20+('Industrial and Other Transport'!AA12)/1000+Transport!AA60</f>
        <v>93.22220389570117</v>
      </c>
      <c r="W57" s="571">
        <f ca="1">'Fuel Consumption'!AD48+'Fuel Consumption'!AD20+('Industrial and Other Transport'!AB12)/1000+Transport!AB60</f>
        <v>158.06008637335844</v>
      </c>
      <c r="X57" s="571">
        <f ca="1">'Fuel Consumption'!AE48+'Fuel Consumption'!AE20+('Industrial and Other Transport'!AC12)/1000+Transport!AC60</f>
        <v>206.89288994262006</v>
      </c>
      <c r="Y57" s="571">
        <f ca="1">'Fuel Consumption'!AF48+'Fuel Consumption'!AF20+('Industrial and Other Transport'!AD12)/1000+Transport!AD60</f>
        <v>245.73529742348884</v>
      </c>
      <c r="Z57" s="571">
        <f ca="1">'Fuel Consumption'!AG48+'Fuel Consumption'!AG20+('Industrial and Other Transport'!AE12)/1000+Transport!AE60</f>
        <v>326.39103862749772</v>
      </c>
      <c r="AA57" s="571">
        <f ca="1">'Fuel Consumption'!AH48+'Fuel Consumption'!AH20+('Industrial and Other Transport'!AF12)/1000+Transport!AF60</f>
        <v>387.86323950185209</v>
      </c>
      <c r="AB57" s="571">
        <f ca="1">'Fuel Consumption'!AI48+'Fuel Consumption'!AI20+('Industrial and Other Transport'!AG12)/1000+Transport!AG60</f>
        <v>432.62839504065414</v>
      </c>
      <c r="AC57" s="571">
        <f ca="1">'Fuel Consumption'!AJ48+'Fuel Consumption'!AJ20+('Industrial and Other Transport'!AH12)/1000+Transport!AH60</f>
        <v>462.06411964818369</v>
      </c>
      <c r="AD57" s="571">
        <f ca="1">'Fuel Consumption'!AK48+'Fuel Consumption'!AK20+('Industrial and Other Transport'!AI12)/1000+Transport!AI60</f>
        <v>436.11994217789504</v>
      </c>
      <c r="AE57" s="571">
        <f ca="1">'Fuel Consumption'!AL48+'Fuel Consumption'!AL20+('Industrial and Other Transport'!AJ12)/1000+Transport!AJ60</f>
        <v>393.24597802156563</v>
      </c>
      <c r="AF57" s="571">
        <f ca="1">'Fuel Consumption'!AM48+'Fuel Consumption'!AM20+('Industrial and Other Transport'!AK12)/1000+Transport!AK60</f>
        <v>368.25868956316947</v>
      </c>
      <c r="AG57" s="571">
        <f ca="1">'Fuel Consumption'!AN48+'Fuel Consumption'!AN20+('Industrial and Other Transport'!AL12)/1000+Transport!AL60</f>
        <v>358.17874890038081</v>
      </c>
      <c r="AH57" s="571">
        <f ca="1">'Fuel Consumption'!AO48+'Fuel Consumption'!AO20+('Industrial and Other Transport'!AM12)/1000+Transport!AM60</f>
        <v>369.18562152392991</v>
      </c>
      <c r="AI57" s="571">
        <f ca="1">'Fuel Consumption'!AP48+'Fuel Consumption'!AP20+('Industrial and Other Transport'!AN12)/1000+Transport!AN60</f>
        <v>380.81073862452502</v>
      </c>
      <c r="AJ57" s="571">
        <f ca="1">'Fuel Consumption'!AQ48+'Fuel Consumption'!AQ20+('Industrial and Other Transport'!AO12)/1000+Transport!AO60</f>
        <v>383.91002267311671</v>
      </c>
      <c r="AK57" s="571">
        <f ca="1">'Fuel Consumption'!AR48+'Fuel Consumption'!AR20+('Industrial and Other Transport'!AP12)/1000+Transport!AP60</f>
        <v>387.05729818144732</v>
      </c>
      <c r="AL57" s="571">
        <f ca="1">'Fuel Consumption'!AS48+'Fuel Consumption'!AS20+('Industrial and Other Transport'!AQ12)/1000+Transport!AQ60</f>
        <v>390.20399742794325</v>
      </c>
      <c r="AM57" s="571">
        <f ca="1">'Fuel Consumption'!AT48+'Fuel Consumption'!AT20+('Industrial and Other Transport'!AR12)/1000+Transport!AR60</f>
        <v>393.04296908833834</v>
      </c>
      <c r="AN57" s="571">
        <f ca="1">'Fuel Consumption'!AU48+'Fuel Consumption'!AU20+('Industrial and Other Transport'!AS12)/1000+Transport!AS60</f>
        <v>395.73267811568962</v>
      </c>
      <c r="AO57" s="571">
        <f ca="1">'Fuel Consumption'!AV48+'Fuel Consumption'!AV20+('Industrial and Other Transport'!AT12)/1000+Transport!AT60</f>
        <v>391.59250735340942</v>
      </c>
      <c r="AP57" s="571">
        <f ca="1">'Fuel Consumption'!AW48+'Fuel Consumption'!AW20+('Industrial and Other Transport'!AU12)/1000+Transport!AU60</f>
        <v>386.68746245045224</v>
      </c>
      <c r="AQ57" s="571">
        <f ca="1">'Fuel Consumption'!AX48+'Fuel Consumption'!AX20+('Industrial and Other Transport'!AV12)/1000+Transport!AV60</f>
        <v>380.82216628980905</v>
      </c>
      <c r="AR57" s="571">
        <f ca="1">'Fuel Consumption'!AY48+'Fuel Consumption'!AY20+('Industrial and Other Transport'!AW12)/1000+Transport!AW60</f>
        <v>374.18906325763783</v>
      </c>
      <c r="AS57" s="571">
        <f ca="1">'Fuel Consumption'!AZ48+'Fuel Consumption'!AZ20+('Industrial and Other Transport'!AX12)/1000+Transport!AX60</f>
        <v>366.73224702612265</v>
      </c>
    </row>
    <row r="58" spans="1:45" s="235" customFormat="1" outlineLevel="1">
      <c r="A58" s="229">
        <v>5</v>
      </c>
      <c r="B58" s="229" t="str">
        <f t="shared" si="3"/>
        <v>5TotalEnergy use by fuel</v>
      </c>
      <c r="C58" s="234" t="str">
        <f t="shared" si="4"/>
        <v>TotalEnergy use by fuel</v>
      </c>
      <c r="D58" s="229"/>
      <c r="E58" s="313" t="s">
        <v>97</v>
      </c>
      <c r="F58" s="229"/>
      <c r="G58" s="234" t="s">
        <v>198</v>
      </c>
      <c r="H58" s="229"/>
      <c r="I58" s="229"/>
      <c r="J58" s="571">
        <f>'Fuel Consumption'!Q59+'Fuel Consumption'!Q74</f>
        <v>9.6303681590198291</v>
      </c>
      <c r="K58" s="571">
        <f>'Fuel Consumption'!R59+'Fuel Consumption'!R74</f>
        <v>16.99338499831552</v>
      </c>
      <c r="L58" s="571">
        <f>'Fuel Consumption'!S59+'Fuel Consumption'!S74</f>
        <v>24.356401837611216</v>
      </c>
      <c r="M58" s="571">
        <f>'Fuel Consumption'!T59+'Fuel Consumption'!T74</f>
        <v>31.719418676906919</v>
      </c>
      <c r="N58" s="571">
        <f>'Fuel Consumption'!U59+'Fuel Consumption'!U74</f>
        <v>39.082435516202608</v>
      </c>
      <c r="O58" s="571">
        <f>'Fuel Consumption'!V59+'Fuel Consumption'!V74</f>
        <v>46.445452355498304</v>
      </c>
      <c r="P58" s="571">
        <f>'Fuel Consumption'!W59+'Fuel Consumption'!W74</f>
        <v>53.808469194793993</v>
      </c>
      <c r="Q58" s="571">
        <f>'Fuel Consumption'!X59+'Fuel Consumption'!X74</f>
        <v>61.171486034089696</v>
      </c>
      <c r="R58" s="571">
        <f>'Fuel Consumption'!Y59+'Fuel Consumption'!Y74</f>
        <v>68.534502873385364</v>
      </c>
      <c r="S58" s="571">
        <f>'Fuel Consumption'!Z59+'Fuel Consumption'!Z74</f>
        <v>75.897519712681088</v>
      </c>
      <c r="T58" s="571">
        <f>'Fuel Consumption'!AA59+'Fuel Consumption'!AA74</f>
        <v>83.260536551976756</v>
      </c>
      <c r="U58" s="571">
        <f>'Fuel Consumption'!AB59+'Fuel Consumption'!AB74</f>
        <v>98.609239611667334</v>
      </c>
      <c r="V58" s="571">
        <f>'Fuel Consumption'!AC59+'Fuel Consumption'!AC74</f>
        <v>113.95794267135783</v>
      </c>
      <c r="W58" s="571">
        <f>'Fuel Consumption'!AD59+'Fuel Consumption'!AD74</f>
        <v>129.30664573104835</v>
      </c>
      <c r="X58" s="571">
        <f>'Fuel Consumption'!AE59+'Fuel Consumption'!AE74</f>
        <v>144.65534879073888</v>
      </c>
      <c r="Y58" s="571">
        <f>'Fuel Consumption'!AF59+'Fuel Consumption'!AF74</f>
        <v>160.00405185042945</v>
      </c>
      <c r="Z58" s="571">
        <f>'Fuel Consumption'!AG59+'Fuel Consumption'!AG74</f>
        <v>175.35275491011993</v>
      </c>
      <c r="AA58" s="571">
        <f>'Fuel Consumption'!AH59+'Fuel Consumption'!AH74</f>
        <v>190.70145796981046</v>
      </c>
      <c r="AB58" s="571">
        <f>'Fuel Consumption'!AI59+'Fuel Consumption'!AI74</f>
        <v>206.050161029501</v>
      </c>
      <c r="AC58" s="571">
        <f>'Fuel Consumption'!AJ59+'Fuel Consumption'!AJ74</f>
        <v>221.39886408919156</v>
      </c>
      <c r="AD58" s="571">
        <f>'Fuel Consumption'!AK59+'Fuel Consumption'!AK74</f>
        <v>236.74756714888207</v>
      </c>
      <c r="AE58" s="571">
        <f>'Fuel Consumption'!AL59+'Fuel Consumption'!AL74</f>
        <v>252.09627020857255</v>
      </c>
      <c r="AF58" s="571">
        <f>'Fuel Consumption'!AM59+'Fuel Consumption'!AM74</f>
        <v>267.44497326826308</v>
      </c>
      <c r="AG58" s="571">
        <f>'Fuel Consumption'!AN59+'Fuel Consumption'!AN74</f>
        <v>282.79367632795356</v>
      </c>
      <c r="AH58" s="571">
        <f>'Fuel Consumption'!AO59+'Fuel Consumption'!AO74</f>
        <v>298.14237938764416</v>
      </c>
      <c r="AI58" s="571">
        <f>'Fuel Consumption'!AP59+'Fuel Consumption'!AP74</f>
        <v>313.49108244733469</v>
      </c>
      <c r="AJ58" s="571">
        <f>'Fuel Consumption'!AQ59+'Fuel Consumption'!AQ74</f>
        <v>328.83978550702523</v>
      </c>
      <c r="AK58" s="571">
        <f>'Fuel Consumption'!AR59+'Fuel Consumption'!AR74</f>
        <v>344.18848856671576</v>
      </c>
      <c r="AL58" s="571">
        <f>'Fuel Consumption'!AS59+'Fuel Consumption'!AS74</f>
        <v>359.5371916264063</v>
      </c>
      <c r="AM58" s="571">
        <f>'Fuel Consumption'!AT59+'Fuel Consumption'!AT74</f>
        <v>374.88589468609678</v>
      </c>
      <c r="AN58" s="571">
        <f>'Fuel Consumption'!AU59+'Fuel Consumption'!AU74</f>
        <v>390.23459774578731</v>
      </c>
      <c r="AO58" s="571">
        <f>'Fuel Consumption'!AV59+'Fuel Consumption'!AV74</f>
        <v>405.58330080547785</v>
      </c>
      <c r="AP58" s="571">
        <f>'Fuel Consumption'!AW59+'Fuel Consumption'!AW74</f>
        <v>420.93200386516844</v>
      </c>
      <c r="AQ58" s="571">
        <f>'Fuel Consumption'!AX59+'Fuel Consumption'!AX74</f>
        <v>436.28070692485892</v>
      </c>
      <c r="AR58" s="571">
        <f>'Fuel Consumption'!AY59+'Fuel Consumption'!AY74</f>
        <v>451.6294099845494</v>
      </c>
      <c r="AS58" s="571">
        <f>'Fuel Consumption'!AZ59+'Fuel Consumption'!AZ74</f>
        <v>466.97811304423999</v>
      </c>
    </row>
    <row r="59" spans="1:45" s="229" customFormat="1" outlineLevel="1">
      <c r="A59" s="229">
        <v>6</v>
      </c>
      <c r="B59" s="229" t="str">
        <f t="shared" si="3"/>
        <v>6TotalEnergy use by fuel</v>
      </c>
      <c r="C59" s="234" t="str">
        <f t="shared" si="4"/>
        <v>TotalEnergy use by fuel</v>
      </c>
      <c r="E59" s="313" t="s">
        <v>212</v>
      </c>
      <c r="F59" s="313"/>
      <c r="G59" s="234" t="s">
        <v>198</v>
      </c>
      <c r="I59" s="313"/>
      <c r="J59" s="571">
        <f ca="1">Transport!O92</f>
        <v>2991.8719603295758</v>
      </c>
      <c r="K59" s="571">
        <f ca="1">Transport!P92</f>
        <v>2910.161136525081</v>
      </c>
      <c r="L59" s="571">
        <f ca="1">Transport!Q92</f>
        <v>2819.0898211755516</v>
      </c>
      <c r="M59" s="571">
        <f ca="1">Transport!R92</f>
        <v>2762.9475349788408</v>
      </c>
      <c r="N59" s="571">
        <f ca="1">Transport!S92</f>
        <v>2752.0052796076347</v>
      </c>
      <c r="O59" s="571">
        <f ca="1">Transport!T92</f>
        <v>2585.8679893988683</v>
      </c>
      <c r="P59" s="571">
        <f ca="1">Transport!U92</f>
        <v>2538.6070128333331</v>
      </c>
      <c r="Q59" s="571">
        <f ca="1">Transport!V92</f>
        <v>2467.9655892462652</v>
      </c>
      <c r="R59" s="571">
        <f ca="1">Transport!W92</f>
        <v>2415.677464006038</v>
      </c>
      <c r="S59" s="571">
        <f ca="1">Transport!X92</f>
        <v>2305.231043722159</v>
      </c>
      <c r="T59" s="571">
        <f ca="1">Transport!Y92</f>
        <v>2170.9709113384424</v>
      </c>
      <c r="U59" s="571">
        <f ca="1">Transport!Z92</f>
        <v>2035.1768317347539</v>
      </c>
      <c r="V59" s="571">
        <f ca="1">Transport!AA92</f>
        <v>1862.1851155500462</v>
      </c>
      <c r="W59" s="571">
        <f ca="1">Transport!AB92</f>
        <v>1688.5512687908574</v>
      </c>
      <c r="X59" s="571">
        <f ca="1">Transport!AC92</f>
        <v>1510.8643432475353</v>
      </c>
      <c r="Y59" s="571">
        <f ca="1">Transport!AD92</f>
        <v>1314.3702192127676</v>
      </c>
      <c r="Z59" s="571">
        <f ca="1">Transport!AE92</f>
        <v>1142.540597409323</v>
      </c>
      <c r="AA59" s="571">
        <f ca="1">Transport!AF92</f>
        <v>983.95577444163405</v>
      </c>
      <c r="AB59" s="571">
        <f ca="1">Transport!AG92</f>
        <v>834.90234354862048</v>
      </c>
      <c r="AC59" s="571">
        <f ca="1">Transport!AH92</f>
        <v>705.34493693971467</v>
      </c>
      <c r="AD59" s="571">
        <f ca="1">Transport!AI92</f>
        <v>583.51124802231709</v>
      </c>
      <c r="AE59" s="571">
        <f ca="1">Transport!AJ92</f>
        <v>475.51511606636382</v>
      </c>
      <c r="AF59" s="571">
        <f ca="1">Transport!AK92</f>
        <v>381.02125469155595</v>
      </c>
      <c r="AG59" s="571">
        <f ca="1">Transport!AL92</f>
        <v>301.59406652829881</v>
      </c>
      <c r="AH59" s="571">
        <f ca="1">Transport!AM92</f>
        <v>234.18767490073938</v>
      </c>
      <c r="AI59" s="571">
        <f ca="1">Transport!AN92</f>
        <v>179.30054027136168</v>
      </c>
      <c r="AJ59" s="571">
        <f ca="1">Transport!AO92</f>
        <v>137.84088407660155</v>
      </c>
      <c r="AK59" s="571">
        <f ca="1">Transport!AP92</f>
        <v>104.58004814385869</v>
      </c>
      <c r="AL59" s="571">
        <f ca="1">Transport!AQ92</f>
        <v>78.483328726299774</v>
      </c>
      <c r="AM59" s="571">
        <f ca="1">Transport!AR92</f>
        <v>58.471834251550824</v>
      </c>
      <c r="AN59" s="571">
        <f ca="1">Transport!AS92</f>
        <v>42.941745940594878</v>
      </c>
      <c r="AO59" s="571">
        <f ca="1">Transport!AT92</f>
        <v>31.102785889184798</v>
      </c>
      <c r="AP59" s="571">
        <f ca="1">Transport!AU92</f>
        <v>22.099985143925313</v>
      </c>
      <c r="AQ59" s="571">
        <f ca="1">Transport!AV92</f>
        <v>15.116102787126142</v>
      </c>
      <c r="AR59" s="571">
        <f ca="1">Transport!AW92</f>
        <v>9.8024982891012176</v>
      </c>
      <c r="AS59" s="571">
        <f ca="1">Transport!AX92</f>
        <v>5.6756508197748268</v>
      </c>
    </row>
    <row r="60" spans="1:45" s="229" customFormat="1" outlineLevel="1">
      <c r="A60" s="229">
        <v>7</v>
      </c>
      <c r="B60" s="229" t="str">
        <f t="shared" si="3"/>
        <v>7TotalEnergy use by fuel</v>
      </c>
      <c r="C60" s="234" t="str">
        <f t="shared" si="4"/>
        <v>TotalEnergy use by fuel</v>
      </c>
      <c r="E60" s="313" t="s">
        <v>213</v>
      </c>
      <c r="F60" s="313"/>
      <c r="G60" s="234" t="s">
        <v>198</v>
      </c>
      <c r="I60" s="313"/>
      <c r="J60" s="571">
        <f ca="1">Transport!O91</f>
        <v>3217.2240771529487</v>
      </c>
      <c r="K60" s="571">
        <f ca="1">Transport!P91</f>
        <v>3241.2150620104098</v>
      </c>
      <c r="L60" s="571">
        <f ca="1">Transport!Q91</f>
        <v>3216.8477972060673</v>
      </c>
      <c r="M60" s="571">
        <f ca="1">Transport!R91</f>
        <v>3154.4482629424215</v>
      </c>
      <c r="N60" s="571">
        <f ca="1">Transport!S91</f>
        <v>3038.8345046500403</v>
      </c>
      <c r="O60" s="571">
        <f ca="1">Transport!T91</f>
        <v>2959.366628576357</v>
      </c>
      <c r="P60" s="571">
        <f ca="1">Transport!U91</f>
        <v>2906.9922208088619</v>
      </c>
      <c r="Q60" s="571">
        <f ca="1">Transport!V91</f>
        <v>2781.5690581124145</v>
      </c>
      <c r="R60" s="571">
        <f ca="1">Transport!W91</f>
        <v>2639.4600348688928</v>
      </c>
      <c r="S60" s="571">
        <f ca="1">Transport!X91</f>
        <v>2496.5304444423878</v>
      </c>
      <c r="T60" s="571">
        <f ca="1">Transport!Y91</f>
        <v>2347.1057938971744</v>
      </c>
      <c r="U60" s="571">
        <f ca="1">Transport!Z91</f>
        <v>2183.4003639506859</v>
      </c>
      <c r="V60" s="571">
        <f ca="1">Transport!AA91</f>
        <v>2020.3732434783678</v>
      </c>
      <c r="W60" s="571">
        <f ca="1">Transport!AB91</f>
        <v>1861.6141169875443</v>
      </c>
      <c r="X60" s="571">
        <f ca="1">Transport!AC91</f>
        <v>1708.0607851237969</v>
      </c>
      <c r="Y60" s="571">
        <f ca="1">Transport!AD91</f>
        <v>1562.1997828915287</v>
      </c>
      <c r="Z60" s="571">
        <f ca="1">Transport!AE91</f>
        <v>1405.882168765037</v>
      </c>
      <c r="AA60" s="571">
        <f ca="1">Transport!AF91</f>
        <v>1260.9901628065193</v>
      </c>
      <c r="AB60" s="571">
        <f ca="1">Transport!AG91</f>
        <v>1124.7302532708313</v>
      </c>
      <c r="AC60" s="571">
        <f ca="1">Transport!AH91</f>
        <v>998.61150638465608</v>
      </c>
      <c r="AD60" s="571">
        <f ca="1">Transport!AI91</f>
        <v>881.61067833229197</v>
      </c>
      <c r="AE60" s="571">
        <f ca="1">Transport!AJ91</f>
        <v>759.90629800116403</v>
      </c>
      <c r="AF60" s="571">
        <f ca="1">Transport!AK91</f>
        <v>645.81480904431896</v>
      </c>
      <c r="AG60" s="571">
        <f ca="1">Transport!AL91</f>
        <v>538.84400867603517</v>
      </c>
      <c r="AH60" s="571">
        <f ca="1">Transport!AM91</f>
        <v>436.72670847241181</v>
      </c>
      <c r="AI60" s="571">
        <f ca="1">Transport!AN91</f>
        <v>339.02260528647776</v>
      </c>
      <c r="AJ60" s="571">
        <f ca="1">Transport!AO91</f>
        <v>283.53785996666591</v>
      </c>
      <c r="AK60" s="571">
        <f ca="1">Transport!AP91</f>
        <v>231.23716706800968</v>
      </c>
      <c r="AL60" s="571">
        <f ca="1">Transport!AQ91</f>
        <v>181.13064085689089</v>
      </c>
      <c r="AM60" s="571">
        <f ca="1">Transport!AR91</f>
        <v>132.46232723444035</v>
      </c>
      <c r="AN60" s="571">
        <f ca="1">Transport!AS91</f>
        <v>84.869635785164192</v>
      </c>
      <c r="AO60" s="571">
        <f ca="1">Transport!AT91</f>
        <v>68.905530807876104</v>
      </c>
      <c r="AP60" s="571">
        <f ca="1">Transport!AU91</f>
        <v>53.626644574897853</v>
      </c>
      <c r="AQ60" s="571">
        <f ca="1">Transport!AV91</f>
        <v>38.963871654602258</v>
      </c>
      <c r="AR60" s="571">
        <f ca="1">Transport!AW91</f>
        <v>24.640399353618076</v>
      </c>
      <c r="AS60" s="571">
        <f ca="1">Transport!AX91</f>
        <v>10.892121005535763</v>
      </c>
    </row>
    <row r="61" spans="1:45" s="229" customFormat="1" outlineLevel="1">
      <c r="A61" s="229">
        <v>8</v>
      </c>
      <c r="B61" s="229" t="str">
        <f t="shared" si="3"/>
        <v>8</v>
      </c>
      <c r="C61" s="234"/>
      <c r="E61" s="313"/>
      <c r="F61" s="313"/>
      <c r="G61" s="234"/>
      <c r="I61" s="313"/>
      <c r="J61" s="571"/>
      <c r="K61" s="571"/>
      <c r="L61" s="571"/>
      <c r="M61" s="571"/>
      <c r="N61" s="571"/>
      <c r="O61" s="571"/>
      <c r="P61" s="571"/>
      <c r="Q61" s="571"/>
      <c r="R61" s="571"/>
      <c r="S61" s="571"/>
      <c r="T61" s="571"/>
      <c r="U61" s="571"/>
      <c r="V61" s="571"/>
      <c r="W61" s="571"/>
      <c r="X61" s="571"/>
      <c r="Y61" s="571"/>
      <c r="Z61" s="571"/>
      <c r="AA61" s="571"/>
      <c r="AB61" s="571"/>
      <c r="AC61" s="571"/>
      <c r="AD61" s="571"/>
      <c r="AE61" s="571"/>
      <c r="AF61" s="571"/>
      <c r="AG61" s="571"/>
      <c r="AH61" s="571"/>
      <c r="AI61" s="571"/>
      <c r="AJ61" s="571"/>
      <c r="AK61" s="571"/>
      <c r="AL61" s="571"/>
      <c r="AM61" s="571"/>
      <c r="AN61" s="571"/>
      <c r="AO61" s="571"/>
      <c r="AP61" s="571"/>
      <c r="AQ61" s="571"/>
      <c r="AR61" s="571"/>
      <c r="AS61" s="571"/>
    </row>
    <row r="62" spans="1:45" s="229" customFormat="1" outlineLevel="1">
      <c r="A62" s="229">
        <v>9</v>
      </c>
      <c r="B62" s="229" t="str">
        <f t="shared" si="3"/>
        <v>9</v>
      </c>
      <c r="C62" s="234"/>
      <c r="E62" s="313"/>
      <c r="F62" s="313"/>
      <c r="G62" s="234"/>
      <c r="I62" s="313"/>
      <c r="J62" s="247"/>
      <c r="K62" s="247"/>
      <c r="L62" s="247"/>
      <c r="M62" s="247"/>
      <c r="N62" s="247"/>
      <c r="O62" s="247"/>
      <c r="P62" s="247"/>
      <c r="Q62" s="247"/>
      <c r="R62" s="247"/>
      <c r="S62" s="247"/>
      <c r="T62" s="247"/>
      <c r="U62" s="247"/>
      <c r="V62" s="247"/>
      <c r="W62" s="247"/>
      <c r="X62" s="247"/>
      <c r="Y62" s="247"/>
      <c r="Z62" s="247"/>
      <c r="AA62" s="247"/>
      <c r="AB62" s="247"/>
      <c r="AC62" s="247"/>
      <c r="AD62" s="247"/>
      <c r="AE62" s="247"/>
      <c r="AF62" s="247"/>
      <c r="AG62" s="247"/>
      <c r="AH62" s="247"/>
      <c r="AI62" s="247"/>
      <c r="AJ62" s="247"/>
      <c r="AK62" s="247"/>
      <c r="AL62" s="247"/>
      <c r="AM62" s="247"/>
      <c r="AN62" s="247"/>
      <c r="AO62" s="247"/>
      <c r="AP62" s="247"/>
      <c r="AQ62" s="247"/>
      <c r="AR62" s="247"/>
      <c r="AS62" s="247"/>
    </row>
    <row r="63" spans="1:45" s="229" customFormat="1" outlineLevel="1">
      <c r="A63" s="229">
        <v>10</v>
      </c>
      <c r="B63" s="229" t="str">
        <f t="shared" si="3"/>
        <v>10</v>
      </c>
      <c r="C63" s="234"/>
      <c r="E63" s="313"/>
      <c r="F63" s="313"/>
      <c r="G63" s="234"/>
      <c r="I63" s="313"/>
      <c r="J63" s="247"/>
      <c r="K63" s="247"/>
      <c r="L63" s="247"/>
      <c r="M63" s="247"/>
      <c r="N63" s="247"/>
      <c r="O63" s="247"/>
      <c r="P63" s="247"/>
      <c r="Q63" s="247"/>
      <c r="R63" s="247"/>
      <c r="S63" s="247"/>
      <c r="T63" s="247"/>
      <c r="U63" s="247"/>
      <c r="V63" s="247"/>
      <c r="W63" s="247"/>
      <c r="X63" s="247"/>
      <c r="Y63" s="247"/>
      <c r="Z63" s="247"/>
      <c r="AA63" s="247"/>
      <c r="AB63" s="247"/>
      <c r="AC63" s="247"/>
      <c r="AD63" s="247"/>
      <c r="AE63" s="247"/>
      <c r="AF63" s="247"/>
      <c r="AG63" s="247"/>
      <c r="AH63" s="247"/>
      <c r="AI63" s="247"/>
      <c r="AJ63" s="247"/>
      <c r="AK63" s="247"/>
      <c r="AL63" s="247"/>
      <c r="AM63" s="247"/>
      <c r="AN63" s="247"/>
      <c r="AO63" s="247"/>
      <c r="AP63" s="247"/>
      <c r="AQ63" s="247"/>
      <c r="AR63" s="247"/>
      <c r="AS63" s="247"/>
    </row>
    <row r="64" spans="1:45" s="229" customFormat="1" outlineLevel="1">
      <c r="A64" s="229">
        <v>11</v>
      </c>
      <c r="B64" s="229" t="str">
        <f t="shared" si="3"/>
        <v>11</v>
      </c>
      <c r="C64" s="234"/>
      <c r="E64" s="313"/>
      <c r="F64" s="313"/>
      <c r="G64" s="234"/>
      <c r="I64" s="313"/>
      <c r="J64" s="247"/>
      <c r="K64" s="247"/>
      <c r="L64" s="247"/>
      <c r="M64" s="247"/>
      <c r="N64" s="247"/>
      <c r="O64" s="247"/>
      <c r="P64" s="247"/>
      <c r="Q64" s="247"/>
      <c r="R64" s="247"/>
      <c r="S64" s="247"/>
      <c r="T64" s="247"/>
      <c r="U64" s="247"/>
      <c r="V64" s="247"/>
      <c r="W64" s="247"/>
      <c r="X64" s="247"/>
      <c r="Y64" s="247"/>
      <c r="Z64" s="247"/>
      <c r="AA64" s="247"/>
      <c r="AB64" s="247"/>
      <c r="AC64" s="247"/>
      <c r="AD64" s="247"/>
      <c r="AE64" s="247"/>
      <c r="AF64" s="247"/>
      <c r="AG64" s="247"/>
      <c r="AH64" s="247"/>
      <c r="AI64" s="247"/>
      <c r="AJ64" s="247"/>
      <c r="AK64" s="247"/>
      <c r="AL64" s="247"/>
      <c r="AM64" s="247"/>
      <c r="AN64" s="247"/>
      <c r="AO64" s="247"/>
      <c r="AP64" s="247"/>
      <c r="AQ64" s="247"/>
      <c r="AR64" s="247"/>
      <c r="AS64" s="247"/>
    </row>
    <row r="65" spans="1:45" s="238" customFormat="1" outlineLevel="1">
      <c r="A65" s="229" t="s">
        <v>208</v>
      </c>
      <c r="B65" s="229" t="str">
        <f>A65&amp;C65</f>
        <v>NTotalEnergy use by fuel</v>
      </c>
      <c r="C65" s="234" t="str">
        <f t="shared" ref="C65" si="5">$A$50&amp;$B$50</f>
        <v>TotalEnergy use by fuel</v>
      </c>
      <c r="E65" s="236" t="s">
        <v>214</v>
      </c>
    </row>
    <row r="66" spans="1:45" outlineLevel="1"/>
    <row r="67" spans="1:45" s="49" customFormat="1">
      <c r="A67" s="49" t="s">
        <v>156</v>
      </c>
    </row>
    <row r="68" spans="1:45" s="298" customFormat="1" outlineLevel="1">
      <c r="A68" s="298" t="s">
        <v>144</v>
      </c>
    </row>
    <row r="69" spans="1:45" outlineLevel="1">
      <c r="A69" s="229" t="s">
        <v>175</v>
      </c>
      <c r="B69" s="229" t="s">
        <v>176</v>
      </c>
      <c r="C69" s="229" t="s">
        <v>177</v>
      </c>
      <c r="D69" s="230"/>
      <c r="E69" s="230" t="s">
        <v>178</v>
      </c>
      <c r="F69" s="230"/>
      <c r="G69" s="230" t="s">
        <v>179</v>
      </c>
      <c r="H69" s="230" t="s">
        <v>180</v>
      </c>
      <c r="I69" s="230"/>
      <c r="J69" s="230">
        <v>2015</v>
      </c>
      <c r="K69" s="230">
        <v>2016</v>
      </c>
      <c r="L69" s="230">
        <v>2017</v>
      </c>
      <c r="M69" s="230">
        <v>2018</v>
      </c>
      <c r="N69" s="230">
        <v>2019</v>
      </c>
      <c r="O69" s="230">
        <v>2020</v>
      </c>
      <c r="P69" s="230">
        <v>2021</v>
      </c>
      <c r="Q69" s="230">
        <v>2022</v>
      </c>
      <c r="R69" s="230">
        <v>2023</v>
      </c>
      <c r="S69" s="230">
        <v>2024</v>
      </c>
      <c r="T69" s="230">
        <v>2025</v>
      </c>
      <c r="U69" s="230">
        <v>2026</v>
      </c>
      <c r="V69" s="230">
        <v>2027</v>
      </c>
      <c r="W69" s="230">
        <v>2028</v>
      </c>
      <c r="X69" s="230">
        <v>2029</v>
      </c>
      <c r="Y69" s="230">
        <v>2030</v>
      </c>
      <c r="Z69" s="230">
        <v>2031</v>
      </c>
      <c r="AA69" s="230">
        <v>2032</v>
      </c>
      <c r="AB69" s="230">
        <v>2033</v>
      </c>
      <c r="AC69" s="230">
        <v>2034</v>
      </c>
      <c r="AD69" s="230">
        <v>2035</v>
      </c>
      <c r="AE69" s="230">
        <v>2036</v>
      </c>
      <c r="AF69" s="230">
        <v>2037</v>
      </c>
      <c r="AG69" s="230">
        <v>2038</v>
      </c>
      <c r="AH69" s="230">
        <v>2039</v>
      </c>
      <c r="AI69" s="230">
        <v>2040</v>
      </c>
      <c r="AJ69" s="230">
        <v>2041</v>
      </c>
      <c r="AK69" s="230">
        <v>2042</v>
      </c>
      <c r="AL69" s="230">
        <v>2043</v>
      </c>
      <c r="AM69" s="230">
        <v>2044</v>
      </c>
      <c r="AN69" s="230">
        <v>2045</v>
      </c>
      <c r="AO69" s="230">
        <v>2046</v>
      </c>
      <c r="AP69" s="230">
        <v>2047</v>
      </c>
      <c r="AQ69" s="230">
        <v>2048</v>
      </c>
      <c r="AR69" s="230">
        <v>2049</v>
      </c>
      <c r="AS69" s="230">
        <v>2050</v>
      </c>
    </row>
    <row r="70" spans="1:45" outlineLevel="1"/>
    <row r="71" spans="1:45" s="229" customFormat="1" outlineLevel="1">
      <c r="A71" s="229">
        <v>0</v>
      </c>
      <c r="B71" s="229" t="str">
        <f>A71&amp;C71</f>
        <v>0BuildingsCarbon Emissions</v>
      </c>
      <c r="C71" s="234" t="s">
        <v>215</v>
      </c>
      <c r="E71" s="248" t="s">
        <v>182</v>
      </c>
      <c r="G71" s="234"/>
      <c r="J71" s="237"/>
      <c r="K71" s="237"/>
      <c r="L71" s="237"/>
      <c r="M71" s="237"/>
      <c r="N71" s="237"/>
      <c r="O71" s="237"/>
      <c r="P71" s="237"/>
      <c r="Q71" s="237"/>
      <c r="R71" s="237"/>
      <c r="S71" s="237"/>
      <c r="T71" s="237"/>
      <c r="U71" s="237"/>
      <c r="V71" s="237"/>
      <c r="W71" s="237"/>
      <c r="X71" s="237"/>
      <c r="Y71" s="237"/>
      <c r="Z71" s="237"/>
      <c r="AA71" s="237"/>
      <c r="AB71" s="237"/>
      <c r="AC71" s="237"/>
      <c r="AD71" s="237"/>
      <c r="AE71" s="237"/>
      <c r="AF71" s="237"/>
      <c r="AG71" s="237"/>
      <c r="AH71" s="237"/>
      <c r="AI71" s="237"/>
      <c r="AJ71" s="237"/>
      <c r="AK71" s="237"/>
      <c r="AL71" s="237"/>
      <c r="AM71" s="237"/>
      <c r="AN71" s="237"/>
      <c r="AO71" s="237"/>
      <c r="AP71" s="237"/>
      <c r="AQ71" s="237"/>
      <c r="AR71" s="237"/>
      <c r="AS71" s="237"/>
    </row>
    <row r="72" spans="1:45" s="229" customFormat="1" ht="18" outlineLevel="1">
      <c r="A72" s="229">
        <v>1</v>
      </c>
      <c r="B72" s="229" t="str">
        <f t="shared" ref="B72:B82" si="6">A72&amp;C72</f>
        <v>1BuildingsCarbon Emissions</v>
      </c>
      <c r="C72" s="234" t="s">
        <v>215</v>
      </c>
      <c r="E72" s="313" t="s">
        <v>183</v>
      </c>
      <c r="F72" s="313"/>
      <c r="G72" s="234" t="s">
        <v>184</v>
      </c>
      <c r="I72" s="313"/>
      <c r="J72" s="573">
        <f>J18</f>
        <v>2328.1165129773453</v>
      </c>
      <c r="K72" s="573">
        <f t="shared" ref="K72:AS72" si="7">K18</f>
        <v>2266.637479939071</v>
      </c>
      <c r="L72" s="573">
        <f t="shared" si="7"/>
        <v>2238.5094047894236</v>
      </c>
      <c r="M72" s="573">
        <f t="shared" si="7"/>
        <v>2218.341876328619</v>
      </c>
      <c r="N72" s="573">
        <f t="shared" si="7"/>
        <v>2191.9477092577804</v>
      </c>
      <c r="O72" s="573">
        <f t="shared" si="7"/>
        <v>2124.5391856733677</v>
      </c>
      <c r="P72" s="573">
        <f t="shared" si="7"/>
        <v>2091.8386772841886</v>
      </c>
      <c r="Q72" s="573">
        <f t="shared" si="7"/>
        <v>1991.8262395813319</v>
      </c>
      <c r="R72" s="573">
        <f t="shared" si="7"/>
        <v>1832.9804257494502</v>
      </c>
      <c r="S72" s="573">
        <f t="shared" si="7"/>
        <v>1665.2801171591018</v>
      </c>
      <c r="T72" s="573">
        <f t="shared" si="7"/>
        <v>1479.1218718308692</v>
      </c>
      <c r="U72" s="573">
        <f t="shared" si="7"/>
        <v>1289.8693114871965</v>
      </c>
      <c r="V72" s="573">
        <f t="shared" si="7"/>
        <v>1110.2522029210743</v>
      </c>
      <c r="W72" s="573">
        <f t="shared" si="7"/>
        <v>964.95709148444973</v>
      </c>
      <c r="X72" s="573">
        <f t="shared" si="7"/>
        <v>852.2186474964027</v>
      </c>
      <c r="Y72" s="573">
        <f t="shared" si="7"/>
        <v>752.62958537570137</v>
      </c>
      <c r="Z72" s="573">
        <f t="shared" si="7"/>
        <v>662.97290602266344</v>
      </c>
      <c r="AA72" s="573">
        <f t="shared" si="7"/>
        <v>582.15920753977639</v>
      </c>
      <c r="AB72" s="573">
        <f t="shared" si="7"/>
        <v>504.84320580565077</v>
      </c>
      <c r="AC72" s="573">
        <f t="shared" si="7"/>
        <v>432.95198975579359</v>
      </c>
      <c r="AD72" s="573">
        <f t="shared" si="7"/>
        <v>369.54802018642295</v>
      </c>
      <c r="AE72" s="573">
        <f t="shared" si="7"/>
        <v>285.73441305758399</v>
      </c>
      <c r="AF72" s="573">
        <f t="shared" si="7"/>
        <v>225.06203255964675</v>
      </c>
      <c r="AG72" s="573">
        <f t="shared" si="7"/>
        <v>185.35797678602063</v>
      </c>
      <c r="AH72" s="573">
        <f t="shared" si="7"/>
        <v>169.60146084958151</v>
      </c>
      <c r="AI72" s="573">
        <f t="shared" si="7"/>
        <v>152.43886684574164</v>
      </c>
      <c r="AJ72" s="573">
        <f t="shared" si="7"/>
        <v>132.24703960784569</v>
      </c>
      <c r="AK72" s="573">
        <f t="shared" si="7"/>
        <v>116.49710965157682</v>
      </c>
      <c r="AL72" s="573">
        <f t="shared" si="7"/>
        <v>101.63983823291929</v>
      </c>
      <c r="AM72" s="573">
        <f t="shared" si="7"/>
        <v>85.344209743643916</v>
      </c>
      <c r="AN72" s="573">
        <f t="shared" si="7"/>
        <v>65.778556094967797</v>
      </c>
      <c r="AO72" s="573">
        <f t="shared" si="7"/>
        <v>47.898306642621193</v>
      </c>
      <c r="AP72" s="573">
        <f t="shared" si="7"/>
        <v>37.866007515266944</v>
      </c>
      <c r="AQ72" s="573">
        <f t="shared" si="7"/>
        <v>32.466782670616652</v>
      </c>
      <c r="AR72" s="573">
        <f t="shared" si="7"/>
        <v>26.43395923005777</v>
      </c>
      <c r="AS72" s="573">
        <f t="shared" si="7"/>
        <v>21.346250020397719</v>
      </c>
    </row>
    <row r="73" spans="1:45" s="229" customFormat="1" ht="18" outlineLevel="1">
      <c r="A73" s="229">
        <v>2</v>
      </c>
      <c r="B73" s="229" t="str">
        <f t="shared" si="6"/>
        <v>2BuildingsCarbon Emissions</v>
      </c>
      <c r="C73" s="234" t="s">
        <v>215</v>
      </c>
      <c r="E73" s="313" t="s">
        <v>185</v>
      </c>
      <c r="G73" s="234" t="s">
        <v>184</v>
      </c>
      <c r="J73" s="573">
        <f>J19</f>
        <v>1255.9035851191368</v>
      </c>
      <c r="K73" s="573">
        <f t="shared" ref="K73:AS73" si="8">K19</f>
        <v>1011.3881736494008</v>
      </c>
      <c r="L73" s="573">
        <f t="shared" si="8"/>
        <v>912.04047753116754</v>
      </c>
      <c r="M73" s="573">
        <f t="shared" si="8"/>
        <v>855.2450179827274</v>
      </c>
      <c r="N73" s="573">
        <f t="shared" si="8"/>
        <v>764.61326198135941</v>
      </c>
      <c r="O73" s="573">
        <f t="shared" si="8"/>
        <v>570.46268312961058</v>
      </c>
      <c r="P73" s="573">
        <f t="shared" si="8"/>
        <v>525.86412319320698</v>
      </c>
      <c r="Q73" s="573">
        <f t="shared" si="8"/>
        <v>482.19700435851001</v>
      </c>
      <c r="R73" s="573">
        <f t="shared" si="8"/>
        <v>450.49927426124157</v>
      </c>
      <c r="S73" s="573">
        <f t="shared" si="8"/>
        <v>475.15430199614207</v>
      </c>
      <c r="T73" s="573">
        <f t="shared" si="8"/>
        <v>385.22025621940463</v>
      </c>
      <c r="U73" s="573">
        <f t="shared" si="8"/>
        <v>269.40830409193222</v>
      </c>
      <c r="V73" s="573">
        <f t="shared" si="8"/>
        <v>215.01979734587613</v>
      </c>
      <c r="W73" s="573">
        <f t="shared" si="8"/>
        <v>190.68941426994357</v>
      </c>
      <c r="X73" s="573">
        <f t="shared" si="8"/>
        <v>170.07285026559467</v>
      </c>
      <c r="Y73" s="573">
        <f t="shared" si="8"/>
        <v>127.62470919642492</v>
      </c>
      <c r="Z73" s="573">
        <f t="shared" si="8"/>
        <v>101.15367240025957</v>
      </c>
      <c r="AA73" s="573">
        <f t="shared" si="8"/>
        <v>87.501525855697238</v>
      </c>
      <c r="AB73" s="573">
        <f t="shared" si="8"/>
        <v>76.052104860058364</v>
      </c>
      <c r="AC73" s="573">
        <f t="shared" si="8"/>
        <v>69.09787423618522</v>
      </c>
      <c r="AD73" s="573">
        <f t="shared" si="8"/>
        <v>61.6981887477219</v>
      </c>
      <c r="AE73" s="573">
        <f t="shared" si="8"/>
        <v>51.115731502540847</v>
      </c>
      <c r="AF73" s="573">
        <f t="shared" si="8"/>
        <v>45.510383862407551</v>
      </c>
      <c r="AG73" s="573">
        <f t="shared" si="8"/>
        <v>44.489370920683577</v>
      </c>
      <c r="AH73" s="573">
        <f t="shared" si="8"/>
        <v>42.129480866989162</v>
      </c>
      <c r="AI73" s="573">
        <f t="shared" si="8"/>
        <v>38.180593961880483</v>
      </c>
      <c r="AJ73" s="573">
        <f t="shared" si="8"/>
        <v>31.69937229910057</v>
      </c>
      <c r="AK73" s="573">
        <f t="shared" si="8"/>
        <v>30.086884231251002</v>
      </c>
      <c r="AL73" s="573">
        <f t="shared" si="8"/>
        <v>29.476007210779617</v>
      </c>
      <c r="AM73" s="573">
        <f t="shared" si="8"/>
        <v>27.70748867835886</v>
      </c>
      <c r="AN73" s="573">
        <f t="shared" si="8"/>
        <v>23.532546785747449</v>
      </c>
      <c r="AO73" s="573">
        <f t="shared" si="8"/>
        <v>21.36723703354863</v>
      </c>
      <c r="AP73" s="573">
        <f t="shared" si="8"/>
        <v>19.703265424979715</v>
      </c>
      <c r="AQ73" s="573">
        <f t="shared" si="8"/>
        <v>18.702366483215741</v>
      </c>
      <c r="AR73" s="573">
        <f t="shared" si="8"/>
        <v>17.405327743035212</v>
      </c>
      <c r="AS73" s="573">
        <f t="shared" si="8"/>
        <v>17.108707418126102</v>
      </c>
    </row>
    <row r="74" spans="1:45" s="229" customFormat="1" ht="18" outlineLevel="1">
      <c r="A74" s="229">
        <v>3</v>
      </c>
      <c r="B74" s="229" t="str">
        <f t="shared" si="6"/>
        <v>3BuildingsCarbon Emissions</v>
      </c>
      <c r="C74" s="234" t="s">
        <v>215</v>
      </c>
      <c r="E74" s="313" t="s">
        <v>186</v>
      </c>
      <c r="F74" s="313"/>
      <c r="G74" s="234" t="s">
        <v>184</v>
      </c>
      <c r="I74" s="313"/>
      <c r="J74" s="573">
        <f>J20</f>
        <v>2761.9669751682368</v>
      </c>
      <c r="K74" s="573">
        <f t="shared" ref="K74:AS74" si="9">K20</f>
        <v>2610.2052446279863</v>
      </c>
      <c r="L74" s="573">
        <f t="shared" si="9"/>
        <v>2536.7894242542211</v>
      </c>
      <c r="M74" s="573">
        <f t="shared" si="9"/>
        <v>2484.5591231578251</v>
      </c>
      <c r="N74" s="573">
        <f t="shared" si="9"/>
        <v>2413.9494095868195</v>
      </c>
      <c r="O74" s="573">
        <f t="shared" si="9"/>
        <v>2266.3478678241177</v>
      </c>
      <c r="P74" s="573">
        <f t="shared" si="9"/>
        <v>2208.812008581634</v>
      </c>
      <c r="Q74" s="573">
        <f t="shared" si="9"/>
        <v>2129.1645552544496</v>
      </c>
      <c r="R74" s="573">
        <f t="shared" si="9"/>
        <v>2022.7150816173234</v>
      </c>
      <c r="S74" s="573">
        <f t="shared" si="9"/>
        <v>1903.7409872835328</v>
      </c>
      <c r="T74" s="573">
        <f t="shared" si="9"/>
        <v>1712.8737166090598</v>
      </c>
      <c r="U74" s="573">
        <f t="shared" si="9"/>
        <v>1486.6056123658514</v>
      </c>
      <c r="V74" s="573">
        <f t="shared" si="9"/>
        <v>1261.2922468548666</v>
      </c>
      <c r="W74" s="573">
        <f t="shared" si="9"/>
        <v>1089.1380784326677</v>
      </c>
      <c r="X74" s="573">
        <f t="shared" si="9"/>
        <v>926.089221497891</v>
      </c>
      <c r="Y74" s="573">
        <f t="shared" si="9"/>
        <v>766.2292224981818</v>
      </c>
      <c r="Z74" s="573">
        <f t="shared" si="9"/>
        <v>632.13394423149896</v>
      </c>
      <c r="AA74" s="573">
        <f t="shared" si="9"/>
        <v>525.54736637380495</v>
      </c>
      <c r="AB74" s="573">
        <f t="shared" si="9"/>
        <v>436.31455699590344</v>
      </c>
      <c r="AC74" s="573">
        <f t="shared" si="9"/>
        <v>362.73909045999386</v>
      </c>
      <c r="AD74" s="573">
        <f t="shared" si="9"/>
        <v>312.94166412948601</v>
      </c>
      <c r="AE74" s="573">
        <f t="shared" si="9"/>
        <v>245.85642670734751</v>
      </c>
      <c r="AF74" s="573">
        <f t="shared" si="9"/>
        <v>197.57875231412683</v>
      </c>
      <c r="AG74" s="573">
        <f t="shared" si="9"/>
        <v>165.61610826089563</v>
      </c>
      <c r="AH74" s="573">
        <f t="shared" si="9"/>
        <v>151.86758049787184</v>
      </c>
      <c r="AI74" s="573">
        <f t="shared" si="9"/>
        <v>136.83609719881449</v>
      </c>
      <c r="AJ74" s="573">
        <f t="shared" si="9"/>
        <v>118.44965701041902</v>
      </c>
      <c r="AK74" s="573">
        <f t="shared" si="9"/>
        <v>104.05210963846353</v>
      </c>
      <c r="AL74" s="573">
        <f t="shared" si="9"/>
        <v>90.496449610566401</v>
      </c>
      <c r="AM74" s="573">
        <f t="shared" si="9"/>
        <v>75.733502451493067</v>
      </c>
      <c r="AN74" s="573">
        <f t="shared" si="9"/>
        <v>58.16869181381027</v>
      </c>
      <c r="AO74" s="573">
        <f t="shared" si="9"/>
        <v>42.011997401652849</v>
      </c>
      <c r="AP74" s="573">
        <f t="shared" si="9"/>
        <v>32.985951950911236</v>
      </c>
      <c r="AQ74" s="573">
        <f t="shared" si="9"/>
        <v>28.118700920018046</v>
      </c>
      <c r="AR74" s="573">
        <f t="shared" si="9"/>
        <v>22.774851647216899</v>
      </c>
      <c r="AS74" s="573">
        <f t="shared" si="9"/>
        <v>18.310238252372869</v>
      </c>
    </row>
    <row r="75" spans="1:45" s="229" customFormat="1" ht="18" outlineLevel="1">
      <c r="A75" s="229">
        <v>4</v>
      </c>
      <c r="B75" s="229" t="str">
        <f t="shared" si="6"/>
        <v>4BuildingsCarbon Emissions</v>
      </c>
      <c r="C75" s="234" t="s">
        <v>215</v>
      </c>
      <c r="E75" s="313" t="s">
        <v>187</v>
      </c>
      <c r="G75" s="234" t="s">
        <v>184</v>
      </c>
      <c r="J75" s="573">
        <f>J21</f>
        <v>4428.8056180820131</v>
      </c>
      <c r="K75" s="573">
        <f t="shared" ref="K75:AS75" si="10">K21</f>
        <v>3552.3605172713069</v>
      </c>
      <c r="L75" s="573">
        <f t="shared" si="10"/>
        <v>3189.2042441949716</v>
      </c>
      <c r="M75" s="573">
        <f t="shared" si="10"/>
        <v>2977.4619854144403</v>
      </c>
      <c r="N75" s="573">
        <f t="shared" si="10"/>
        <v>2660.9167734598468</v>
      </c>
      <c r="O75" s="573">
        <f t="shared" si="10"/>
        <v>2006.2529291797528</v>
      </c>
      <c r="P75" s="573">
        <f t="shared" si="10"/>
        <v>1876.2324160734629</v>
      </c>
      <c r="Q75" s="573">
        <f t="shared" si="10"/>
        <v>1757.3274178569936</v>
      </c>
      <c r="R75" s="573">
        <f t="shared" si="10"/>
        <v>1682.8363542135207</v>
      </c>
      <c r="S75" s="573">
        <f t="shared" si="10"/>
        <v>1826.1523629179503</v>
      </c>
      <c r="T75" s="573">
        <f t="shared" si="10"/>
        <v>1531.1271501301367</v>
      </c>
      <c r="U75" s="573">
        <f t="shared" si="10"/>
        <v>1115.6628508121505</v>
      </c>
      <c r="V75" s="573">
        <f t="shared" si="10"/>
        <v>910.06972646368502</v>
      </c>
      <c r="W75" s="573">
        <f t="shared" si="10"/>
        <v>827.24650466672551</v>
      </c>
      <c r="X75" s="573">
        <f t="shared" si="10"/>
        <v>759.00739059936996</v>
      </c>
      <c r="Y75" s="573">
        <f t="shared" si="10"/>
        <v>588.41263911549015</v>
      </c>
      <c r="Z75" s="573">
        <f t="shared" si="10"/>
        <v>468.69124343678629</v>
      </c>
      <c r="AA75" s="573">
        <f t="shared" si="10"/>
        <v>407.4038462872337</v>
      </c>
      <c r="AB75" s="573">
        <f t="shared" si="10"/>
        <v>355.77899277834291</v>
      </c>
      <c r="AC75" s="573">
        <f t="shared" si="10"/>
        <v>324.76084687087996</v>
      </c>
      <c r="AD75" s="573">
        <f t="shared" si="10"/>
        <v>291.30635250341641</v>
      </c>
      <c r="AE75" s="573">
        <f t="shared" si="10"/>
        <v>242.44059314989298</v>
      </c>
      <c r="AF75" s="573">
        <f t="shared" si="10"/>
        <v>216.91273258913691</v>
      </c>
      <c r="AG75" s="573">
        <f t="shared" si="10"/>
        <v>213.09772690344434</v>
      </c>
      <c r="AH75" s="573">
        <f t="shared" si="10"/>
        <v>202.89767835538939</v>
      </c>
      <c r="AI75" s="573">
        <f t="shared" si="10"/>
        <v>184.86469716497734</v>
      </c>
      <c r="AJ75" s="573">
        <f t="shared" si="10"/>
        <v>154.2881820944333</v>
      </c>
      <c r="AK75" s="573">
        <f t="shared" si="10"/>
        <v>147.19617392974749</v>
      </c>
      <c r="AL75" s="573">
        <f t="shared" si="10"/>
        <v>144.94289260824527</v>
      </c>
      <c r="AM75" s="573">
        <f t="shared" si="10"/>
        <v>136.93374632597497</v>
      </c>
      <c r="AN75" s="573">
        <f t="shared" si="10"/>
        <v>116.88191386290815</v>
      </c>
      <c r="AO75" s="573">
        <f t="shared" si="10"/>
        <v>106.65611254319685</v>
      </c>
      <c r="AP75" s="573">
        <f t="shared" si="10"/>
        <v>98.836017869432553</v>
      </c>
      <c r="AQ75" s="573">
        <f t="shared" si="10"/>
        <v>94.275149764390022</v>
      </c>
      <c r="AR75" s="573">
        <f t="shared" si="10"/>
        <v>88.164454887083565</v>
      </c>
      <c r="AS75" s="573">
        <f t="shared" si="10"/>
        <v>87.082110542219084</v>
      </c>
    </row>
    <row r="76" spans="1:45" s="229" customFormat="1" ht="18" outlineLevel="1">
      <c r="A76" s="229">
        <v>5</v>
      </c>
      <c r="B76" s="229" t="str">
        <f t="shared" si="6"/>
        <v>5BuildingsCarbon Emissions</v>
      </c>
      <c r="C76" s="234" t="s">
        <v>215</v>
      </c>
      <c r="E76" s="313" t="s">
        <v>188</v>
      </c>
      <c r="G76" s="234" t="s">
        <v>184</v>
      </c>
      <c r="J76" s="573">
        <f>J22</f>
        <v>58.285145777549801</v>
      </c>
      <c r="K76" s="573">
        <f t="shared" ref="K76:AS76" si="11">K22</f>
        <v>76.012524339376</v>
      </c>
      <c r="L76" s="573">
        <f t="shared" si="11"/>
        <v>85.561097285227817</v>
      </c>
      <c r="M76" s="573">
        <f t="shared" si="11"/>
        <v>92.801818301251245</v>
      </c>
      <c r="N76" s="573">
        <f t="shared" si="11"/>
        <v>102.41122319751844</v>
      </c>
      <c r="O76" s="573">
        <f t="shared" si="11"/>
        <v>141.28171088235183</v>
      </c>
      <c r="P76" s="573">
        <f t="shared" si="11"/>
        <v>158.3072095595889</v>
      </c>
      <c r="Q76" s="573">
        <f t="shared" si="11"/>
        <v>176.99834482540609</v>
      </c>
      <c r="R76" s="573">
        <f t="shared" si="11"/>
        <v>193.4390821820343</v>
      </c>
      <c r="S76" s="573">
        <f t="shared" si="11"/>
        <v>202.15103479614874</v>
      </c>
      <c r="T76" s="573">
        <f t="shared" si="11"/>
        <v>223.18798944704324</v>
      </c>
      <c r="U76" s="573">
        <f t="shared" si="11"/>
        <v>233.40376003559069</v>
      </c>
      <c r="V76" s="573">
        <f t="shared" si="11"/>
        <v>233.65112287719677</v>
      </c>
      <c r="W76" s="573">
        <f t="shared" si="11"/>
        <v>229.68216469792409</v>
      </c>
      <c r="X76" s="573">
        <f t="shared" si="11"/>
        <v>224.78434391261982</v>
      </c>
      <c r="Y76" s="573">
        <f t="shared" si="11"/>
        <v>221.33290613895321</v>
      </c>
      <c r="Z76" s="573">
        <f t="shared" si="11"/>
        <v>216.52364551533421</v>
      </c>
      <c r="AA76" s="573">
        <f t="shared" si="11"/>
        <v>209.74373464809207</v>
      </c>
      <c r="AB76" s="573">
        <f t="shared" si="11"/>
        <v>193.90002842309087</v>
      </c>
      <c r="AC76" s="573">
        <f t="shared" si="11"/>
        <v>176.87885337087798</v>
      </c>
      <c r="AD76" s="573">
        <f t="shared" si="11"/>
        <v>161.12384338309749</v>
      </c>
      <c r="AE76" s="573">
        <f t="shared" si="11"/>
        <v>144.06959995054086</v>
      </c>
      <c r="AF76" s="573">
        <f t="shared" si="11"/>
        <v>127.25707451595316</v>
      </c>
      <c r="AG76" s="573">
        <f t="shared" si="11"/>
        <v>111.34078817331391</v>
      </c>
      <c r="AH76" s="573">
        <f t="shared" si="11"/>
        <v>95.655806451836781</v>
      </c>
      <c r="AI76" s="573">
        <f t="shared" si="11"/>
        <v>80.21927998888097</v>
      </c>
      <c r="AJ76" s="573">
        <f t="shared" si="11"/>
        <v>67.243641748369782</v>
      </c>
      <c r="AK76" s="573">
        <f t="shared" si="11"/>
        <v>54.874709791490488</v>
      </c>
      <c r="AL76" s="573">
        <f t="shared" si="11"/>
        <v>42.869924327887063</v>
      </c>
      <c r="AM76" s="573">
        <f t="shared" si="11"/>
        <v>31.106948504076406</v>
      </c>
      <c r="AN76" s="573">
        <f t="shared" si="11"/>
        <v>19.632870286069977</v>
      </c>
      <c r="AO76" s="573">
        <f t="shared" si="11"/>
        <v>9.7998375921895615</v>
      </c>
      <c r="AP76" s="573">
        <f t="shared" si="11"/>
        <v>7.0332046945385809</v>
      </c>
      <c r="AQ76" s="573">
        <f t="shared" si="11"/>
        <v>5.4900049018348351</v>
      </c>
      <c r="AR76" s="573">
        <f t="shared" si="11"/>
        <v>3.9813956953472318</v>
      </c>
      <c r="AS76" s="573">
        <f t="shared" si="11"/>
        <v>2.7231199721521051</v>
      </c>
    </row>
    <row r="77" spans="1:45" s="229" customFormat="1" outlineLevel="1">
      <c r="A77" s="229">
        <v>6</v>
      </c>
      <c r="B77" s="229" t="str">
        <f t="shared" si="6"/>
        <v>6</v>
      </c>
      <c r="C77" s="234"/>
      <c r="E77" s="313"/>
      <c r="F77" s="313"/>
      <c r="G77" s="234"/>
      <c r="I77" s="313"/>
      <c r="J77" s="247"/>
      <c r="K77" s="247"/>
      <c r="L77" s="247"/>
      <c r="M77" s="247"/>
      <c r="N77" s="247"/>
      <c r="O77" s="247"/>
      <c r="P77" s="247"/>
      <c r="Q77" s="247"/>
      <c r="R77" s="247"/>
      <c r="S77" s="247"/>
      <c r="T77" s="247"/>
      <c r="U77" s="247"/>
      <c r="V77" s="247"/>
      <c r="W77" s="247"/>
      <c r="X77" s="247"/>
      <c r="Y77" s="247"/>
      <c r="Z77" s="247"/>
      <c r="AA77" s="247"/>
      <c r="AB77" s="247"/>
      <c r="AC77" s="247"/>
      <c r="AD77" s="247"/>
      <c r="AE77" s="247"/>
      <c r="AF77" s="247"/>
      <c r="AG77" s="247"/>
      <c r="AH77" s="247"/>
      <c r="AI77" s="247"/>
      <c r="AJ77" s="247"/>
      <c r="AK77" s="247"/>
      <c r="AL77" s="247"/>
      <c r="AM77" s="247"/>
      <c r="AN77" s="247"/>
      <c r="AO77" s="247"/>
      <c r="AP77" s="247"/>
      <c r="AQ77" s="247"/>
      <c r="AR77" s="247"/>
      <c r="AS77" s="247"/>
    </row>
    <row r="78" spans="1:45" s="229" customFormat="1" outlineLevel="1">
      <c r="A78" s="229">
        <v>7</v>
      </c>
      <c r="B78" s="229" t="str">
        <f t="shared" si="6"/>
        <v>7</v>
      </c>
      <c r="C78" s="234"/>
      <c r="E78" s="313"/>
      <c r="F78" s="313"/>
      <c r="G78" s="234"/>
      <c r="I78" s="313"/>
      <c r="J78" s="247"/>
      <c r="K78" s="247"/>
      <c r="L78" s="247"/>
      <c r="M78" s="247"/>
      <c r="N78" s="247"/>
      <c r="O78" s="247"/>
      <c r="P78" s="247"/>
      <c r="Q78" s="247"/>
      <c r="R78" s="247"/>
      <c r="S78" s="247"/>
      <c r="T78" s="247"/>
      <c r="U78" s="247"/>
      <c r="V78" s="247"/>
      <c r="W78" s="247"/>
      <c r="X78" s="247"/>
      <c r="Y78" s="247"/>
      <c r="Z78" s="247"/>
      <c r="AA78" s="247"/>
      <c r="AB78" s="247"/>
      <c r="AC78" s="247"/>
      <c r="AD78" s="247"/>
      <c r="AE78" s="247"/>
      <c r="AF78" s="247"/>
      <c r="AG78" s="247"/>
      <c r="AH78" s="247"/>
      <c r="AI78" s="247"/>
      <c r="AJ78" s="247"/>
      <c r="AK78" s="247"/>
      <c r="AL78" s="247"/>
      <c r="AM78" s="247"/>
      <c r="AN78" s="247"/>
      <c r="AO78" s="247"/>
      <c r="AP78" s="247"/>
      <c r="AQ78" s="247"/>
      <c r="AR78" s="247"/>
      <c r="AS78" s="247"/>
    </row>
    <row r="79" spans="1:45" s="229" customFormat="1" outlineLevel="1">
      <c r="A79" s="229">
        <v>8</v>
      </c>
      <c r="B79" s="229" t="str">
        <f t="shared" si="6"/>
        <v>8</v>
      </c>
      <c r="C79" s="234"/>
      <c r="E79" s="313"/>
      <c r="F79" s="313"/>
      <c r="G79" s="234"/>
      <c r="I79" s="313"/>
      <c r="J79" s="247"/>
      <c r="K79" s="247"/>
      <c r="L79" s="247"/>
      <c r="M79" s="247"/>
      <c r="N79" s="247"/>
      <c r="O79" s="247"/>
      <c r="P79" s="247"/>
      <c r="Q79" s="247"/>
      <c r="R79" s="247"/>
      <c r="S79" s="247"/>
      <c r="T79" s="247"/>
      <c r="U79" s="247"/>
      <c r="V79" s="247"/>
      <c r="W79" s="247"/>
      <c r="X79" s="247"/>
      <c r="Y79" s="247"/>
      <c r="Z79" s="247"/>
      <c r="AA79" s="247"/>
      <c r="AB79" s="247"/>
      <c r="AC79" s="247"/>
      <c r="AD79" s="247"/>
      <c r="AE79" s="247"/>
      <c r="AF79" s="247"/>
      <c r="AG79" s="247"/>
      <c r="AH79" s="247"/>
      <c r="AI79" s="247"/>
      <c r="AJ79" s="247"/>
      <c r="AK79" s="247"/>
      <c r="AL79" s="247"/>
      <c r="AM79" s="247"/>
      <c r="AN79" s="247"/>
      <c r="AO79" s="247"/>
      <c r="AP79" s="247"/>
      <c r="AQ79" s="247"/>
      <c r="AR79" s="247"/>
      <c r="AS79" s="247"/>
    </row>
    <row r="80" spans="1:45" s="229" customFormat="1" outlineLevel="1">
      <c r="A80" s="229">
        <v>9</v>
      </c>
      <c r="B80" s="229" t="str">
        <f t="shared" si="6"/>
        <v>9</v>
      </c>
      <c r="C80" s="234"/>
      <c r="E80" s="313"/>
      <c r="F80" s="313"/>
      <c r="G80" s="234"/>
      <c r="I80" s="313"/>
      <c r="J80" s="247"/>
      <c r="K80" s="247"/>
      <c r="L80" s="247"/>
      <c r="M80" s="247"/>
      <c r="N80" s="247"/>
      <c r="O80" s="247"/>
      <c r="P80" s="247"/>
      <c r="Q80" s="247"/>
      <c r="R80" s="247"/>
      <c r="S80" s="247"/>
      <c r="T80" s="247"/>
      <c r="U80" s="247"/>
      <c r="V80" s="247"/>
      <c r="W80" s="247"/>
      <c r="X80" s="247"/>
      <c r="Y80" s="247"/>
      <c r="Z80" s="247"/>
      <c r="AA80" s="247"/>
      <c r="AB80" s="247"/>
      <c r="AC80" s="247"/>
      <c r="AD80" s="247"/>
      <c r="AE80" s="247"/>
      <c r="AF80" s="247"/>
      <c r="AG80" s="247"/>
      <c r="AH80" s="247"/>
      <c r="AI80" s="247"/>
      <c r="AJ80" s="247"/>
      <c r="AK80" s="247"/>
      <c r="AL80" s="247"/>
      <c r="AM80" s="247"/>
      <c r="AN80" s="247"/>
      <c r="AO80" s="247"/>
      <c r="AP80" s="247"/>
      <c r="AQ80" s="247"/>
      <c r="AR80" s="247"/>
      <c r="AS80" s="247"/>
    </row>
    <row r="81" spans="1:45" s="229" customFormat="1" outlineLevel="1">
      <c r="A81" s="229">
        <v>10</v>
      </c>
      <c r="B81" s="229" t="str">
        <f t="shared" si="6"/>
        <v>10</v>
      </c>
      <c r="C81" s="234"/>
      <c r="E81" s="313"/>
      <c r="F81" s="313"/>
      <c r="G81" s="234"/>
      <c r="I81" s="313"/>
      <c r="J81" s="247"/>
      <c r="K81" s="247"/>
      <c r="L81" s="247"/>
      <c r="M81" s="247"/>
      <c r="N81" s="247"/>
      <c r="O81" s="247"/>
      <c r="P81" s="247"/>
      <c r="Q81" s="247"/>
      <c r="R81" s="247"/>
      <c r="S81" s="247"/>
      <c r="T81" s="247"/>
      <c r="U81" s="247"/>
      <c r="V81" s="247"/>
      <c r="W81" s="247"/>
      <c r="X81" s="247"/>
      <c r="Y81" s="247"/>
      <c r="Z81" s="247"/>
      <c r="AA81" s="247"/>
      <c r="AB81" s="247"/>
      <c r="AC81" s="247"/>
      <c r="AD81" s="247"/>
      <c r="AE81" s="247"/>
      <c r="AF81" s="247"/>
      <c r="AG81" s="247"/>
      <c r="AH81" s="247"/>
      <c r="AI81" s="247"/>
      <c r="AJ81" s="247"/>
      <c r="AK81" s="247"/>
      <c r="AL81" s="247"/>
      <c r="AM81" s="247"/>
      <c r="AN81" s="247"/>
      <c r="AO81" s="247"/>
      <c r="AP81" s="247"/>
      <c r="AQ81" s="247"/>
      <c r="AR81" s="247"/>
      <c r="AS81" s="247"/>
    </row>
    <row r="82" spans="1:45" s="229" customFormat="1" outlineLevel="1">
      <c r="A82" s="229">
        <v>11</v>
      </c>
      <c r="B82" s="229" t="str">
        <f t="shared" si="6"/>
        <v>11</v>
      </c>
      <c r="C82" s="234"/>
      <c r="E82" s="313"/>
      <c r="F82" s="313"/>
      <c r="G82" s="234"/>
      <c r="I82" s="313"/>
      <c r="J82" s="247"/>
      <c r="K82" s="247"/>
      <c r="L82" s="247"/>
      <c r="M82" s="247"/>
      <c r="N82" s="247"/>
      <c r="O82" s="247"/>
      <c r="P82" s="247"/>
      <c r="Q82" s="247"/>
      <c r="R82" s="247"/>
      <c r="S82" s="247"/>
      <c r="T82" s="247"/>
      <c r="U82" s="247"/>
      <c r="V82" s="247"/>
      <c r="W82" s="247"/>
      <c r="X82" s="247"/>
      <c r="Y82" s="247"/>
      <c r="Z82" s="247"/>
      <c r="AA82" s="247"/>
      <c r="AB82" s="247"/>
      <c r="AC82" s="247"/>
      <c r="AD82" s="247"/>
      <c r="AE82" s="247"/>
      <c r="AF82" s="247"/>
      <c r="AG82" s="247"/>
      <c r="AH82" s="247"/>
      <c r="AI82" s="247"/>
      <c r="AJ82" s="247"/>
      <c r="AK82" s="247"/>
      <c r="AL82" s="247"/>
      <c r="AM82" s="247"/>
      <c r="AN82" s="247"/>
      <c r="AO82" s="247"/>
      <c r="AP82" s="247"/>
      <c r="AQ82" s="247"/>
      <c r="AR82" s="247"/>
      <c r="AS82" s="247"/>
    </row>
    <row r="83" spans="1:45" s="238" customFormat="1" outlineLevel="1">
      <c r="A83" s="229" t="s">
        <v>208</v>
      </c>
      <c r="B83" s="229" t="str">
        <f>A83&amp;C83</f>
        <v>NBuildingsCarbon Emissions</v>
      </c>
      <c r="C83" s="234" t="s">
        <v>215</v>
      </c>
      <c r="E83" s="236" t="str">
        <f>""</f>
        <v/>
      </c>
      <c r="J83" s="238">
        <v>1</v>
      </c>
      <c r="K83" s="238">
        <v>1</v>
      </c>
      <c r="L83" s="238">
        <v>1</v>
      </c>
      <c r="M83" s="238">
        <v>1</v>
      </c>
      <c r="N83" s="238">
        <v>1</v>
      </c>
      <c r="O83" s="238">
        <v>1</v>
      </c>
      <c r="P83" s="238">
        <v>1</v>
      </c>
      <c r="Q83" s="238">
        <v>1</v>
      </c>
      <c r="R83" s="238">
        <v>1</v>
      </c>
      <c r="S83" s="238">
        <v>1</v>
      </c>
      <c r="T83" s="238">
        <v>1</v>
      </c>
      <c r="U83" s="238">
        <v>1</v>
      </c>
      <c r="V83" s="238">
        <v>1</v>
      </c>
      <c r="W83" s="238">
        <v>1</v>
      </c>
      <c r="X83" s="238">
        <v>1</v>
      </c>
      <c r="Y83" s="238">
        <v>1</v>
      </c>
      <c r="Z83" s="238">
        <v>1</v>
      </c>
      <c r="AA83" s="238">
        <v>1</v>
      </c>
      <c r="AB83" s="238">
        <v>1</v>
      </c>
      <c r="AC83" s="238">
        <v>1</v>
      </c>
      <c r="AD83" s="238">
        <v>1</v>
      </c>
      <c r="AE83" s="238">
        <v>1</v>
      </c>
      <c r="AF83" s="238">
        <v>1</v>
      </c>
      <c r="AG83" s="238">
        <v>1</v>
      </c>
      <c r="AH83" s="238">
        <v>1</v>
      </c>
      <c r="AI83" s="238">
        <v>1</v>
      </c>
      <c r="AJ83" s="238">
        <v>1</v>
      </c>
      <c r="AK83" s="238">
        <v>1</v>
      </c>
      <c r="AL83" s="238">
        <v>1</v>
      </c>
      <c r="AM83" s="238">
        <v>1</v>
      </c>
      <c r="AN83" s="238">
        <v>1</v>
      </c>
      <c r="AO83" s="238">
        <v>1</v>
      </c>
      <c r="AP83" s="238">
        <v>1</v>
      </c>
      <c r="AQ83" s="238">
        <v>1</v>
      </c>
      <c r="AR83" s="238">
        <v>1</v>
      </c>
      <c r="AS83" s="238">
        <v>1</v>
      </c>
    </row>
    <row r="84" spans="1:45" outlineLevel="1"/>
    <row r="85" spans="1:45" outlineLevel="1"/>
    <row r="86" spans="1:45" s="298" customFormat="1" outlineLevel="1">
      <c r="A86" s="298" t="s">
        <v>156</v>
      </c>
      <c r="B86" s="298" t="s">
        <v>169</v>
      </c>
    </row>
    <row r="87" spans="1:45" outlineLevel="1">
      <c r="A87" s="229" t="s">
        <v>175</v>
      </c>
      <c r="B87" s="229" t="s">
        <v>176</v>
      </c>
      <c r="C87" s="229" t="s">
        <v>177</v>
      </c>
      <c r="D87" s="230"/>
      <c r="E87" s="230" t="s">
        <v>178</v>
      </c>
      <c r="F87" s="230"/>
      <c r="G87" s="230" t="s">
        <v>179</v>
      </c>
      <c r="H87" s="230" t="s">
        <v>180</v>
      </c>
      <c r="I87" s="230"/>
      <c r="J87" s="230">
        <v>2015</v>
      </c>
      <c r="K87" s="230">
        <v>2016</v>
      </c>
      <c r="L87" s="230">
        <v>2017</v>
      </c>
      <c r="M87" s="230">
        <v>2018</v>
      </c>
      <c r="N87" s="230">
        <v>2019</v>
      </c>
      <c r="O87" s="230">
        <v>2020</v>
      </c>
      <c r="P87" s="230">
        <v>2021</v>
      </c>
      <c r="Q87" s="230">
        <v>2022</v>
      </c>
      <c r="R87" s="230">
        <v>2023</v>
      </c>
      <c r="S87" s="230">
        <v>2024</v>
      </c>
      <c r="T87" s="230">
        <v>2025</v>
      </c>
      <c r="U87" s="230">
        <v>2026</v>
      </c>
      <c r="V87" s="230">
        <v>2027</v>
      </c>
      <c r="W87" s="230">
        <v>2028</v>
      </c>
      <c r="X87" s="230">
        <v>2029</v>
      </c>
      <c r="Y87" s="230">
        <v>2030</v>
      </c>
      <c r="Z87" s="230">
        <v>2031</v>
      </c>
      <c r="AA87" s="230">
        <v>2032</v>
      </c>
      <c r="AB87" s="230">
        <v>2033</v>
      </c>
      <c r="AC87" s="230">
        <v>2034</v>
      </c>
      <c r="AD87" s="230">
        <v>2035</v>
      </c>
      <c r="AE87" s="230">
        <v>2036</v>
      </c>
      <c r="AF87" s="230">
        <v>2037</v>
      </c>
      <c r="AG87" s="230">
        <v>2038</v>
      </c>
      <c r="AH87" s="230">
        <v>2039</v>
      </c>
      <c r="AI87" s="230">
        <v>2040</v>
      </c>
      <c r="AJ87" s="230">
        <v>2041</v>
      </c>
      <c r="AK87" s="230">
        <v>2042</v>
      </c>
      <c r="AL87" s="230">
        <v>2043</v>
      </c>
      <c r="AM87" s="230">
        <v>2044</v>
      </c>
      <c r="AN87" s="230">
        <v>2045</v>
      </c>
      <c r="AO87" s="230">
        <v>2046</v>
      </c>
      <c r="AP87" s="230">
        <v>2047</v>
      </c>
      <c r="AQ87" s="230">
        <v>2048</v>
      </c>
      <c r="AR87" s="230">
        <v>2049</v>
      </c>
      <c r="AS87" s="230">
        <v>2050</v>
      </c>
    </row>
    <row r="88" spans="1:45" outlineLevel="1"/>
    <row r="89" spans="1:45" s="229" customFormat="1" outlineLevel="1">
      <c r="A89" s="229">
        <v>0</v>
      </c>
      <c r="B89" s="229" t="str">
        <f t="shared" ref="B89:B100" si="12">A89&amp;C89</f>
        <v>0BuildingsEnergy Demand by Building Type</v>
      </c>
      <c r="C89" s="234" t="str">
        <f>$A$86&amp;$B$86</f>
        <v>BuildingsEnergy Demand by Building Type</v>
      </c>
      <c r="E89" s="248" t="s">
        <v>196</v>
      </c>
      <c r="G89" s="234"/>
      <c r="J89" s="237"/>
      <c r="K89" s="237"/>
      <c r="L89" s="237"/>
      <c r="M89" s="237"/>
      <c r="N89" s="237"/>
      <c r="O89" s="237"/>
      <c r="P89" s="237"/>
      <c r="Q89" s="237"/>
      <c r="R89" s="237"/>
      <c r="S89" s="237"/>
      <c r="T89" s="237"/>
      <c r="U89" s="237"/>
      <c r="V89" s="237"/>
      <c r="W89" s="237"/>
      <c r="X89" s="237"/>
      <c r="Y89" s="237"/>
      <c r="Z89" s="237"/>
      <c r="AA89" s="237"/>
      <c r="AB89" s="237"/>
      <c r="AC89" s="237"/>
      <c r="AD89" s="237"/>
      <c r="AE89" s="237"/>
      <c r="AF89" s="237"/>
      <c r="AG89" s="237"/>
      <c r="AH89" s="237"/>
      <c r="AI89" s="237"/>
      <c r="AJ89" s="237"/>
      <c r="AK89" s="237"/>
      <c r="AL89" s="237"/>
      <c r="AM89" s="237"/>
      <c r="AN89" s="237"/>
      <c r="AO89" s="237"/>
      <c r="AP89" s="237"/>
      <c r="AQ89" s="237"/>
      <c r="AR89" s="237"/>
      <c r="AS89" s="237"/>
    </row>
    <row r="90" spans="1:45" s="229" customFormat="1" outlineLevel="1">
      <c r="A90" s="229">
        <v>1</v>
      </c>
      <c r="B90" s="229" t="str">
        <f t="shared" si="12"/>
        <v>1BuildingsEnergy Demand by Building Type</v>
      </c>
      <c r="C90" s="234" t="str">
        <f t="shared" ref="C90:C101" si="13">$A$86&amp;$B$86</f>
        <v>BuildingsEnergy Demand by Building Type</v>
      </c>
      <c r="E90" s="313" t="s">
        <v>197</v>
      </c>
      <c r="F90" s="313"/>
      <c r="G90" s="234" t="s">
        <v>198</v>
      </c>
      <c r="I90" s="313"/>
      <c r="J90" s="573">
        <f t="shared" ref="J90:AS90" si="14">J36</f>
        <v>10197.916391695011</v>
      </c>
      <c r="K90" s="573">
        <f t="shared" si="14"/>
        <v>10197.73990309112</v>
      </c>
      <c r="L90" s="573">
        <f t="shared" si="14"/>
        <v>10197.569937413626</v>
      </c>
      <c r="M90" s="573">
        <f t="shared" si="14"/>
        <v>10197.406494662528</v>
      </c>
      <c r="N90" s="573">
        <f t="shared" si="14"/>
        <v>10197.230185601906</v>
      </c>
      <c r="O90" s="573">
        <f t="shared" si="14"/>
        <v>10167.153621893154</v>
      </c>
      <c r="P90" s="573">
        <f t="shared" si="14"/>
        <v>10076.193141217915</v>
      </c>
      <c r="Q90" s="573">
        <f t="shared" si="14"/>
        <v>9739.6733365052096</v>
      </c>
      <c r="R90" s="573">
        <f t="shared" si="14"/>
        <v>9160.195845229664</v>
      </c>
      <c r="S90" s="573">
        <f t="shared" si="14"/>
        <v>8519.8507282208502</v>
      </c>
      <c r="T90" s="573">
        <f t="shared" si="14"/>
        <v>7939.7168199263597</v>
      </c>
      <c r="U90" s="573">
        <f t="shared" si="14"/>
        <v>7440.250720064746</v>
      </c>
      <c r="V90" s="573">
        <f t="shared" si="14"/>
        <v>7021.6464580570246</v>
      </c>
      <c r="W90" s="573">
        <f t="shared" si="14"/>
        <v>6700.123279658399</v>
      </c>
      <c r="X90" s="573">
        <f t="shared" si="14"/>
        <v>6517.8754612271177</v>
      </c>
      <c r="Y90" s="573">
        <f t="shared" si="14"/>
        <v>6448.897243702213</v>
      </c>
      <c r="Z90" s="573">
        <f t="shared" si="14"/>
        <v>6429.1211977981548</v>
      </c>
      <c r="AA90" s="573">
        <f t="shared" si="14"/>
        <v>6409.9443373828299</v>
      </c>
      <c r="AB90" s="573">
        <f t="shared" si="14"/>
        <v>6391.3194554619686</v>
      </c>
      <c r="AC90" s="573">
        <f t="shared" si="14"/>
        <v>6373.3926870740925</v>
      </c>
      <c r="AD90" s="573">
        <f t="shared" si="14"/>
        <v>6357.2660492234909</v>
      </c>
      <c r="AE90" s="573">
        <f t="shared" si="14"/>
        <v>6336.4265332659206</v>
      </c>
      <c r="AF90" s="573">
        <f t="shared" si="14"/>
        <v>6321.1032793541772</v>
      </c>
      <c r="AG90" s="573">
        <f t="shared" si="14"/>
        <v>6310.6739962749016</v>
      </c>
      <c r="AH90" s="573">
        <f t="shared" si="14"/>
        <v>6306.9720689241185</v>
      </c>
      <c r="AI90" s="573">
        <f t="shared" si="14"/>
        <v>6303.3487519241107</v>
      </c>
      <c r="AJ90" s="573">
        <f t="shared" si="14"/>
        <v>6299.5907481490376</v>
      </c>
      <c r="AK90" s="573">
        <f t="shared" si="14"/>
        <v>6295.9328190215301</v>
      </c>
      <c r="AL90" s="573">
        <f t="shared" si="14"/>
        <v>6292.3576363199682</v>
      </c>
      <c r="AM90" s="573">
        <f t="shared" si="14"/>
        <v>6288.8479048012668</v>
      </c>
      <c r="AN90" s="573">
        <f t="shared" si="14"/>
        <v>6285.386369061257</v>
      </c>
      <c r="AO90" s="573">
        <f t="shared" si="14"/>
        <v>6282.2079475241908</v>
      </c>
      <c r="AP90" s="573">
        <f t="shared" si="14"/>
        <v>6278.9022220644802</v>
      </c>
      <c r="AQ90" s="573">
        <f t="shared" si="14"/>
        <v>6275.4670342338295</v>
      </c>
      <c r="AR90" s="573">
        <f t="shared" si="14"/>
        <v>6271.900173525738</v>
      </c>
      <c r="AS90" s="573">
        <f t="shared" si="14"/>
        <v>6268.1993776429044</v>
      </c>
    </row>
    <row r="91" spans="1:45" s="229" customFormat="1" outlineLevel="1">
      <c r="A91" s="229">
        <v>2</v>
      </c>
      <c r="B91" s="229" t="str">
        <f t="shared" si="12"/>
        <v>2BuildingsEnergy Demand by Building Type</v>
      </c>
      <c r="C91" s="234" t="str">
        <f t="shared" si="13"/>
        <v>BuildingsEnergy Demand by Building Type</v>
      </c>
      <c r="E91" s="313" t="s">
        <v>199</v>
      </c>
      <c r="G91" s="234" t="s">
        <v>198</v>
      </c>
      <c r="J91" s="573">
        <f t="shared" ref="J91:AS91" si="15">J37</f>
        <v>0</v>
      </c>
      <c r="K91" s="573">
        <f t="shared" si="15"/>
        <v>85.95496008223806</v>
      </c>
      <c r="L91" s="573">
        <f t="shared" si="15"/>
        <v>171.90992016447763</v>
      </c>
      <c r="M91" s="573">
        <f t="shared" si="15"/>
        <v>257.86488024671422</v>
      </c>
      <c r="N91" s="573">
        <f t="shared" si="15"/>
        <v>343.81725245069589</v>
      </c>
      <c r="O91" s="573">
        <f t="shared" si="15"/>
        <v>426.08367547196923</v>
      </c>
      <c r="P91" s="573">
        <f t="shared" si="15"/>
        <v>487.05907810974924</v>
      </c>
      <c r="Q91" s="573">
        <f t="shared" si="15"/>
        <v>515.46276657104386</v>
      </c>
      <c r="R91" s="573">
        <f t="shared" si="15"/>
        <v>511.7155508007782</v>
      </c>
      <c r="S91" s="573">
        <f t="shared" si="15"/>
        <v>500.29117868309481</v>
      </c>
      <c r="T91" s="573">
        <f t="shared" si="15"/>
        <v>497.27172282243509</v>
      </c>
      <c r="U91" s="573">
        <f t="shared" si="15"/>
        <v>491.68743644741494</v>
      </c>
      <c r="V91" s="573">
        <f t="shared" si="15"/>
        <v>497.57968123671071</v>
      </c>
      <c r="W91" s="573">
        <f t="shared" si="15"/>
        <v>516.45357390359311</v>
      </c>
      <c r="X91" s="573">
        <f t="shared" si="15"/>
        <v>553.79994107540892</v>
      </c>
      <c r="Y91" s="573">
        <f t="shared" si="15"/>
        <v>606.09712156585113</v>
      </c>
      <c r="Z91" s="573">
        <f t="shared" si="15"/>
        <v>633.20684704990936</v>
      </c>
      <c r="AA91" s="573">
        <f t="shared" si="15"/>
        <v>660.32370565774477</v>
      </c>
      <c r="AB91" s="573">
        <f t="shared" si="15"/>
        <v>687.44769738935008</v>
      </c>
      <c r="AC91" s="573">
        <f t="shared" si="15"/>
        <v>714.57882224473099</v>
      </c>
      <c r="AD91" s="573">
        <f t="shared" si="15"/>
        <v>741.73828699578746</v>
      </c>
      <c r="AE91" s="573">
        <f t="shared" si="15"/>
        <v>768.91008731498334</v>
      </c>
      <c r="AF91" s="573">
        <f t="shared" si="15"/>
        <v>796.08210282293339</v>
      </c>
      <c r="AG91" s="573">
        <f t="shared" si="15"/>
        <v>823.2759145728246</v>
      </c>
      <c r="AH91" s="573">
        <f t="shared" si="15"/>
        <v>850.46994151147146</v>
      </c>
      <c r="AI91" s="573">
        <f t="shared" si="15"/>
        <v>877.66418363887703</v>
      </c>
      <c r="AJ91" s="573">
        <f t="shared" si="15"/>
        <v>904.85864095503814</v>
      </c>
      <c r="AK91" s="573">
        <f t="shared" si="15"/>
        <v>932.0533134599566</v>
      </c>
      <c r="AL91" s="573">
        <f t="shared" si="15"/>
        <v>959.24820115363218</v>
      </c>
      <c r="AM91" s="573">
        <f t="shared" si="15"/>
        <v>986.443304036065</v>
      </c>
      <c r="AN91" s="573">
        <f t="shared" si="15"/>
        <v>1013.6386221072548</v>
      </c>
      <c r="AO91" s="573">
        <f t="shared" si="15"/>
        <v>1040.8341553672021</v>
      </c>
      <c r="AP91" s="573">
        <f t="shared" si="15"/>
        <v>1068.0299038159064</v>
      </c>
      <c r="AQ91" s="573">
        <f t="shared" si="15"/>
        <v>1095.2258674533693</v>
      </c>
      <c r="AR91" s="573">
        <f t="shared" si="15"/>
        <v>1122.4220462795879</v>
      </c>
      <c r="AS91" s="573">
        <f t="shared" si="15"/>
        <v>1149.618440294561</v>
      </c>
    </row>
    <row r="92" spans="1:45" s="229" customFormat="1" outlineLevel="1">
      <c r="A92" s="229">
        <v>3</v>
      </c>
      <c r="B92" s="229" t="str">
        <f t="shared" si="12"/>
        <v>3BuildingsEnergy Demand by Building Type</v>
      </c>
      <c r="C92" s="234" t="str">
        <f t="shared" si="13"/>
        <v>BuildingsEnergy Demand by Building Type</v>
      </c>
      <c r="E92" s="313" t="s">
        <v>200</v>
      </c>
      <c r="F92" s="313"/>
      <c r="G92" s="234" t="s">
        <v>198</v>
      </c>
      <c r="I92" s="313"/>
      <c r="J92" s="573">
        <f t="shared" ref="J92:AS92" si="16">J38</f>
        <v>11792.814922671761</v>
      </c>
      <c r="K92" s="573">
        <f t="shared" si="16"/>
        <v>11788.973624376045</v>
      </c>
      <c r="L92" s="573">
        <f t="shared" si="16"/>
        <v>11785.132326080329</v>
      </c>
      <c r="M92" s="573">
        <f t="shared" si="16"/>
        <v>11781.291027784613</v>
      </c>
      <c r="N92" s="573">
        <f t="shared" si="16"/>
        <v>11754.333903272942</v>
      </c>
      <c r="O92" s="573">
        <f t="shared" si="16"/>
        <v>11704.35924195203</v>
      </c>
      <c r="P92" s="573">
        <f t="shared" si="16"/>
        <v>11605.637453693447</v>
      </c>
      <c r="Q92" s="573">
        <f t="shared" si="16"/>
        <v>11458.59935731386</v>
      </c>
      <c r="R92" s="573">
        <f t="shared" si="16"/>
        <v>11167.1962593438</v>
      </c>
      <c r="S92" s="573">
        <f t="shared" si="16"/>
        <v>10709.316155788292</v>
      </c>
      <c r="T92" s="573">
        <f t="shared" si="16"/>
        <v>10208.713815899007</v>
      </c>
      <c r="U92" s="573">
        <f t="shared" si="16"/>
        <v>9664.4381877111828</v>
      </c>
      <c r="V92" s="573">
        <f t="shared" si="16"/>
        <v>9068.844371334093</v>
      </c>
      <c r="W92" s="573">
        <f t="shared" si="16"/>
        <v>8625.0216637955418</v>
      </c>
      <c r="X92" s="573">
        <f t="shared" si="16"/>
        <v>8128.5545326952351</v>
      </c>
      <c r="Y92" s="573">
        <f t="shared" si="16"/>
        <v>7638.2464629819206</v>
      </c>
      <c r="Z92" s="573">
        <f t="shared" si="16"/>
        <v>7225.3268148113284</v>
      </c>
      <c r="AA92" s="573">
        <f t="shared" si="16"/>
        <v>6887.3890292320812</v>
      </c>
      <c r="AB92" s="573">
        <f t="shared" si="16"/>
        <v>6622.622560971552</v>
      </c>
      <c r="AC92" s="573">
        <f t="shared" si="16"/>
        <v>6429.8160179357383</v>
      </c>
      <c r="AD92" s="573">
        <f t="shared" si="16"/>
        <v>6436.0204848485764</v>
      </c>
      <c r="AE92" s="573">
        <f t="shared" si="16"/>
        <v>6442.2405815202101</v>
      </c>
      <c r="AF92" s="573">
        <f t="shared" si="16"/>
        <v>6448.1200465716602</v>
      </c>
      <c r="AG92" s="573">
        <f t="shared" si="16"/>
        <v>6454.0152671800461</v>
      </c>
      <c r="AH92" s="573">
        <f t="shared" si="16"/>
        <v>6459.9263066334379</v>
      </c>
      <c r="AI92" s="573">
        <f t="shared" si="16"/>
        <v>6465.8532284808743</v>
      </c>
      <c r="AJ92" s="573">
        <f t="shared" si="16"/>
        <v>6471.764588147782</v>
      </c>
      <c r="AK92" s="573">
        <f t="shared" si="16"/>
        <v>6477.6603232353518</v>
      </c>
      <c r="AL92" s="573">
        <f t="shared" si="16"/>
        <v>6483.5403710873334</v>
      </c>
      <c r="AM92" s="573">
        <f t="shared" si="16"/>
        <v>6489.4046687888076</v>
      </c>
      <c r="AN92" s="573">
        <f t="shared" si="16"/>
        <v>6495.2531531649929</v>
      </c>
      <c r="AO92" s="573">
        <f t="shared" si="16"/>
        <v>6501.0857607799971</v>
      </c>
      <c r="AP92" s="573">
        <f t="shared" si="16"/>
        <v>6506.9024279356126</v>
      </c>
      <c r="AQ92" s="573">
        <f t="shared" si="16"/>
        <v>6512.7030906700675</v>
      </c>
      <c r="AR92" s="573">
        <f t="shared" si="16"/>
        <v>6518.4876847567848</v>
      </c>
      <c r="AS92" s="573">
        <f t="shared" si="16"/>
        <v>6524.2561457031397</v>
      </c>
    </row>
    <row r="93" spans="1:45" s="229" customFormat="1" outlineLevel="1">
      <c r="A93" s="229">
        <v>4</v>
      </c>
      <c r="B93" s="229" t="str">
        <f t="shared" si="12"/>
        <v>4BuildingsEnergy Demand by Building Type</v>
      </c>
      <c r="C93" s="234" t="str">
        <f t="shared" si="13"/>
        <v>BuildingsEnergy Demand by Building Type</v>
      </c>
      <c r="E93" s="313" t="s">
        <v>201</v>
      </c>
      <c r="G93" s="234" t="s">
        <v>198</v>
      </c>
      <c r="J93" s="573">
        <f t="shared" ref="J93:AS93" si="17">J39</f>
        <v>0</v>
      </c>
      <c r="K93" s="573">
        <f t="shared" si="17"/>
        <v>27.366553513897742</v>
      </c>
      <c r="L93" s="573">
        <f t="shared" si="17"/>
        <v>54.733107027793189</v>
      </c>
      <c r="M93" s="573">
        <f t="shared" si="17"/>
        <v>82.099660541690938</v>
      </c>
      <c r="N93" s="573">
        <f t="shared" si="17"/>
        <v>109.46621405558638</v>
      </c>
      <c r="O93" s="573">
        <f t="shared" si="17"/>
        <v>136.91105511386766</v>
      </c>
      <c r="P93" s="573">
        <f t="shared" si="17"/>
        <v>164.35589617214893</v>
      </c>
      <c r="Q93" s="573">
        <f t="shared" si="17"/>
        <v>191.80073723043026</v>
      </c>
      <c r="R93" s="573">
        <f t="shared" si="17"/>
        <v>219.24557828871153</v>
      </c>
      <c r="S93" s="573">
        <f t="shared" si="17"/>
        <v>246.69041934699166</v>
      </c>
      <c r="T93" s="573">
        <f t="shared" si="17"/>
        <v>274.13526040527182</v>
      </c>
      <c r="U93" s="573">
        <f t="shared" si="17"/>
        <v>294.68065003036492</v>
      </c>
      <c r="V93" s="573">
        <f t="shared" si="17"/>
        <v>315.22603965545807</v>
      </c>
      <c r="W93" s="573">
        <f t="shared" si="17"/>
        <v>335.77142928055127</v>
      </c>
      <c r="X93" s="573">
        <f t="shared" si="17"/>
        <v>356.31681890564437</v>
      </c>
      <c r="Y93" s="573">
        <f t="shared" si="17"/>
        <v>376.86220853073752</v>
      </c>
      <c r="Z93" s="573">
        <f t="shared" si="17"/>
        <v>397.40759815583067</v>
      </c>
      <c r="AA93" s="573">
        <f t="shared" si="17"/>
        <v>417.95298778092263</v>
      </c>
      <c r="AB93" s="573">
        <f t="shared" si="17"/>
        <v>438.49837740601583</v>
      </c>
      <c r="AC93" s="573">
        <f t="shared" si="17"/>
        <v>459.04376703110893</v>
      </c>
      <c r="AD93" s="573">
        <f t="shared" si="17"/>
        <v>479.58915665620208</v>
      </c>
      <c r="AE93" s="573">
        <f t="shared" si="17"/>
        <v>500.13454628129523</v>
      </c>
      <c r="AF93" s="573">
        <f t="shared" si="17"/>
        <v>520.67993590638832</v>
      </c>
      <c r="AG93" s="573">
        <f t="shared" si="17"/>
        <v>541.22532553148153</v>
      </c>
      <c r="AH93" s="573">
        <f t="shared" si="17"/>
        <v>561.77071515657462</v>
      </c>
      <c r="AI93" s="573">
        <f t="shared" si="17"/>
        <v>582.31610478166783</v>
      </c>
      <c r="AJ93" s="573">
        <f t="shared" si="17"/>
        <v>602.86149440676093</v>
      </c>
      <c r="AK93" s="573">
        <f t="shared" si="17"/>
        <v>623.40688403185402</v>
      </c>
      <c r="AL93" s="573">
        <f t="shared" si="17"/>
        <v>643.95227365694723</v>
      </c>
      <c r="AM93" s="573">
        <f t="shared" si="17"/>
        <v>664.49766328203918</v>
      </c>
      <c r="AN93" s="573">
        <f t="shared" si="17"/>
        <v>685.04305290713239</v>
      </c>
      <c r="AO93" s="573">
        <f t="shared" si="17"/>
        <v>705.58844253222549</v>
      </c>
      <c r="AP93" s="573">
        <f t="shared" si="17"/>
        <v>726.13383215731858</v>
      </c>
      <c r="AQ93" s="573">
        <f t="shared" si="17"/>
        <v>746.67922178241179</v>
      </c>
      <c r="AR93" s="573">
        <f t="shared" si="17"/>
        <v>767.22461140750488</v>
      </c>
      <c r="AS93" s="573">
        <f t="shared" si="17"/>
        <v>787.77000103259797</v>
      </c>
    </row>
    <row r="94" spans="1:45" s="229" customFormat="1" outlineLevel="1">
      <c r="A94" s="229">
        <v>5</v>
      </c>
      <c r="B94" s="229" t="str">
        <f t="shared" si="12"/>
        <v>5BuildingsEnergy Demand by Building Type</v>
      </c>
      <c r="C94" s="234" t="str">
        <f t="shared" si="13"/>
        <v>BuildingsEnergy Demand by Building Type</v>
      </c>
      <c r="E94" s="313" t="s">
        <v>202</v>
      </c>
      <c r="G94" s="234" t="s">
        <v>198</v>
      </c>
      <c r="J94" s="573">
        <f t="shared" ref="J94:AS94" si="18">J40</f>
        <v>3428.0605239193087</v>
      </c>
      <c r="K94" s="573">
        <f t="shared" si="18"/>
        <v>3428.2451474633285</v>
      </c>
      <c r="L94" s="573">
        <f t="shared" si="18"/>
        <v>3428.4229474178233</v>
      </c>
      <c r="M94" s="573">
        <f t="shared" si="18"/>
        <v>3428.5939237827956</v>
      </c>
      <c r="N94" s="573">
        <f t="shared" si="18"/>
        <v>3406.2407018789845</v>
      </c>
      <c r="O94" s="573">
        <f t="shared" si="18"/>
        <v>3362.4441018438738</v>
      </c>
      <c r="P94" s="573">
        <f t="shared" si="18"/>
        <v>3295.9642942336773</v>
      </c>
      <c r="Q94" s="573">
        <f t="shared" si="18"/>
        <v>3208.0597307769062</v>
      </c>
      <c r="R94" s="573">
        <f t="shared" si="18"/>
        <v>3097.7109495288842</v>
      </c>
      <c r="S94" s="573">
        <f t="shared" si="18"/>
        <v>2968.1886764723658</v>
      </c>
      <c r="T94" s="573">
        <f t="shared" si="18"/>
        <v>2818.5083122728774</v>
      </c>
      <c r="U94" s="573">
        <f t="shared" si="18"/>
        <v>2660.2281170706269</v>
      </c>
      <c r="V94" s="573">
        <f t="shared" si="18"/>
        <v>2559.8676350824835</v>
      </c>
      <c r="W94" s="573">
        <f t="shared" si="18"/>
        <v>2448.3537138097286</v>
      </c>
      <c r="X94" s="573">
        <f t="shared" si="18"/>
        <v>2323.2088670871262</v>
      </c>
      <c r="Y94" s="573">
        <f t="shared" si="18"/>
        <v>2184.9305499141524</v>
      </c>
      <c r="Z94" s="573">
        <f t="shared" si="18"/>
        <v>2203.0203686575824</v>
      </c>
      <c r="AA94" s="573">
        <f t="shared" si="18"/>
        <v>2220.6665367203582</v>
      </c>
      <c r="AB94" s="573">
        <f t="shared" si="18"/>
        <v>2237.9184370223625</v>
      </c>
      <c r="AC94" s="573">
        <f t="shared" si="18"/>
        <v>2254.623198680586</v>
      </c>
      <c r="AD94" s="573">
        <f t="shared" si="18"/>
        <v>2270.2680178222076</v>
      </c>
      <c r="AE94" s="573">
        <f t="shared" si="18"/>
        <v>2291.2894133435807</v>
      </c>
      <c r="AF94" s="573">
        <f t="shared" si="18"/>
        <v>2306.5419697889697</v>
      </c>
      <c r="AG94" s="573">
        <f t="shared" si="18"/>
        <v>2317.4317452912683</v>
      </c>
      <c r="AH94" s="573">
        <f t="shared" si="18"/>
        <v>2321.2857647444494</v>
      </c>
      <c r="AI94" s="573">
        <f t="shared" si="18"/>
        <v>2325.0592360648111</v>
      </c>
      <c r="AJ94" s="573">
        <f t="shared" si="18"/>
        <v>2328.975287944143</v>
      </c>
      <c r="AK94" s="573">
        <f t="shared" si="18"/>
        <v>2332.7883380338435</v>
      </c>
      <c r="AL94" s="573">
        <f t="shared" si="18"/>
        <v>2336.5165132702477</v>
      </c>
      <c r="AM94" s="573">
        <f t="shared" si="18"/>
        <v>2340.1779060910699</v>
      </c>
      <c r="AN94" s="573">
        <f t="shared" si="18"/>
        <v>2343.7905672587995</v>
      </c>
      <c r="AO94" s="573">
        <f t="shared" si="18"/>
        <v>2347.1087501864954</v>
      </c>
      <c r="AP94" s="573">
        <f t="shared" si="18"/>
        <v>2350.5617905207946</v>
      </c>
      <c r="AQ94" s="573">
        <f t="shared" si="18"/>
        <v>2354.1519461999715</v>
      </c>
      <c r="AR94" s="573">
        <f t="shared" si="18"/>
        <v>2357.881529620041</v>
      </c>
      <c r="AS94" s="573">
        <f t="shared" si="18"/>
        <v>2361.7529073550281</v>
      </c>
    </row>
    <row r="95" spans="1:45" s="229" customFormat="1" outlineLevel="1">
      <c r="A95" s="229">
        <v>6</v>
      </c>
      <c r="B95" s="229" t="str">
        <f t="shared" si="12"/>
        <v>6BuildingsEnergy Demand by Building Type</v>
      </c>
      <c r="C95" s="234" t="str">
        <f t="shared" si="13"/>
        <v>BuildingsEnergy Demand by Building Type</v>
      </c>
      <c r="E95" s="313" t="s">
        <v>203</v>
      </c>
      <c r="F95" s="313"/>
      <c r="G95" s="234" t="s">
        <v>198</v>
      </c>
      <c r="I95" s="313"/>
      <c r="J95" s="573">
        <f t="shared" ref="J95:AS95" si="19">J41</f>
        <v>0</v>
      </c>
      <c r="K95" s="573">
        <f t="shared" si="19"/>
        <v>38.026877282661644</v>
      </c>
      <c r="L95" s="573">
        <f t="shared" si="19"/>
        <v>76.053754565322379</v>
      </c>
      <c r="M95" s="573">
        <f t="shared" si="19"/>
        <v>114.08063184798311</v>
      </c>
      <c r="N95" s="573">
        <f t="shared" si="19"/>
        <v>152.10750913064476</v>
      </c>
      <c r="O95" s="573">
        <f t="shared" si="19"/>
        <v>190.1343864133064</v>
      </c>
      <c r="P95" s="573">
        <f t="shared" si="19"/>
        <v>222.31738975826238</v>
      </c>
      <c r="Q95" s="573">
        <f t="shared" si="19"/>
        <v>254.50039310321927</v>
      </c>
      <c r="R95" s="573">
        <f t="shared" si="19"/>
        <v>286.68339644817479</v>
      </c>
      <c r="S95" s="573">
        <f t="shared" si="19"/>
        <v>318.86639979313213</v>
      </c>
      <c r="T95" s="573">
        <f t="shared" si="19"/>
        <v>351.04940313808902</v>
      </c>
      <c r="U95" s="573">
        <f t="shared" si="19"/>
        <v>377.10325575150137</v>
      </c>
      <c r="V95" s="573">
        <f t="shared" si="19"/>
        <v>403.15710836491598</v>
      </c>
      <c r="W95" s="573">
        <f t="shared" si="19"/>
        <v>429.21096097832924</v>
      </c>
      <c r="X95" s="573">
        <f t="shared" si="19"/>
        <v>455.26481359174204</v>
      </c>
      <c r="Y95" s="573">
        <f t="shared" si="19"/>
        <v>481.31866620515575</v>
      </c>
      <c r="Z95" s="573">
        <f t="shared" si="19"/>
        <v>493.32917607135369</v>
      </c>
      <c r="AA95" s="573">
        <f t="shared" si="19"/>
        <v>505.33968593755208</v>
      </c>
      <c r="AB95" s="573">
        <f t="shared" si="19"/>
        <v>517.35019580375047</v>
      </c>
      <c r="AC95" s="573">
        <f t="shared" si="19"/>
        <v>529.36070566994886</v>
      </c>
      <c r="AD95" s="573">
        <f t="shared" si="19"/>
        <v>541.37121553614816</v>
      </c>
      <c r="AE95" s="573">
        <f t="shared" si="19"/>
        <v>553.381725402347</v>
      </c>
      <c r="AF95" s="573">
        <f t="shared" si="19"/>
        <v>565.39223526854403</v>
      </c>
      <c r="AG95" s="573">
        <f t="shared" si="19"/>
        <v>577.40274513474333</v>
      </c>
      <c r="AH95" s="573">
        <f t="shared" si="19"/>
        <v>589.41325500094126</v>
      </c>
      <c r="AI95" s="573">
        <f t="shared" si="19"/>
        <v>601.42376486714102</v>
      </c>
      <c r="AJ95" s="573">
        <f t="shared" si="19"/>
        <v>613.43427473334032</v>
      </c>
      <c r="AK95" s="573">
        <f t="shared" si="19"/>
        <v>625.44478459953825</v>
      </c>
      <c r="AL95" s="573">
        <f t="shared" si="19"/>
        <v>637.45529446573755</v>
      </c>
      <c r="AM95" s="573">
        <f t="shared" si="19"/>
        <v>649.4658043319364</v>
      </c>
      <c r="AN95" s="573">
        <f t="shared" si="19"/>
        <v>661.47631419813479</v>
      </c>
      <c r="AO95" s="573">
        <f t="shared" si="19"/>
        <v>673.48682406433409</v>
      </c>
      <c r="AP95" s="573">
        <f t="shared" si="19"/>
        <v>685.49733393053248</v>
      </c>
      <c r="AQ95" s="573">
        <f t="shared" si="19"/>
        <v>697.50784379673178</v>
      </c>
      <c r="AR95" s="573">
        <f t="shared" si="19"/>
        <v>709.51835366293108</v>
      </c>
      <c r="AS95" s="573">
        <f t="shared" si="19"/>
        <v>721.52886352912719</v>
      </c>
    </row>
    <row r="96" spans="1:45" s="229" customFormat="1" outlineLevel="1">
      <c r="A96" s="229">
        <v>7</v>
      </c>
      <c r="B96" s="229" t="str">
        <f t="shared" si="12"/>
        <v>7BuildingsEnergy Demand by Building Type</v>
      </c>
      <c r="C96" s="234" t="str">
        <f t="shared" si="13"/>
        <v>BuildingsEnergy Demand by Building Type</v>
      </c>
      <c r="E96" s="313" t="s">
        <v>204</v>
      </c>
      <c r="F96" s="313"/>
      <c r="G96" s="234" t="s">
        <v>198</v>
      </c>
      <c r="I96" s="313"/>
      <c r="J96" s="573">
        <f t="shared" ref="J96:AS96" si="20">J42</f>
        <v>11259.794976610974</v>
      </c>
      <c r="K96" s="573">
        <f t="shared" si="20"/>
        <v>11259.794976610974</v>
      </c>
      <c r="L96" s="573">
        <f t="shared" si="20"/>
        <v>11259.794976610974</v>
      </c>
      <c r="M96" s="573">
        <f t="shared" si="20"/>
        <v>11259.794976610974</v>
      </c>
      <c r="N96" s="573">
        <f t="shared" si="20"/>
        <v>11230.479140438794</v>
      </c>
      <c r="O96" s="573">
        <f t="shared" si="20"/>
        <v>11171.853015867429</v>
      </c>
      <c r="P96" s="573">
        <f t="shared" si="20"/>
        <v>11083.625288128176</v>
      </c>
      <c r="Q96" s="573">
        <f t="shared" si="20"/>
        <v>10965.827889987955</v>
      </c>
      <c r="R96" s="573">
        <f t="shared" si="20"/>
        <v>10816.47096781732</v>
      </c>
      <c r="S96" s="573">
        <f t="shared" si="20"/>
        <v>10634.861006727637</v>
      </c>
      <c r="T96" s="573">
        <f t="shared" si="20"/>
        <v>10423.962711603719</v>
      </c>
      <c r="U96" s="573">
        <f t="shared" si="20"/>
        <v>10183.89284445834</v>
      </c>
      <c r="V96" s="573">
        <f t="shared" si="20"/>
        <v>9914.7567490532965</v>
      </c>
      <c r="W96" s="573">
        <f t="shared" si="20"/>
        <v>9621.1837696409366</v>
      </c>
      <c r="X96" s="573">
        <f t="shared" si="20"/>
        <v>9298.6234076791825</v>
      </c>
      <c r="Y96" s="573">
        <f t="shared" si="20"/>
        <v>8947.95945396362</v>
      </c>
      <c r="Z96" s="573">
        <f t="shared" si="20"/>
        <v>8941.9610127591623</v>
      </c>
      <c r="AA96" s="573">
        <f t="shared" si="20"/>
        <v>8936.9417484824171</v>
      </c>
      <c r="AB96" s="573">
        <f t="shared" si="20"/>
        <v>8932.902549681623</v>
      </c>
      <c r="AC96" s="573">
        <f t="shared" si="20"/>
        <v>8929.844306714067</v>
      </c>
      <c r="AD96" s="573">
        <f t="shared" si="20"/>
        <v>8929.8031613296571</v>
      </c>
      <c r="AE96" s="573">
        <f t="shared" si="20"/>
        <v>8929.7619629437268</v>
      </c>
      <c r="AF96" s="573">
        <f t="shared" si="20"/>
        <v>8929.7207114503854</v>
      </c>
      <c r="AG96" s="573">
        <f t="shared" si="20"/>
        <v>8929.6794067434512</v>
      </c>
      <c r="AH96" s="573">
        <f t="shared" si="20"/>
        <v>8929.6380487164497</v>
      </c>
      <c r="AI96" s="573">
        <f t="shared" si="20"/>
        <v>8929.5966372626135</v>
      </c>
      <c r="AJ96" s="573">
        <f t="shared" si="20"/>
        <v>8929.555172274886</v>
      </c>
      <c r="AK96" s="573">
        <f t="shared" si="20"/>
        <v>8929.5136536459086</v>
      </c>
      <c r="AL96" s="573">
        <f t="shared" si="20"/>
        <v>8929.4720812680316</v>
      </c>
      <c r="AM96" s="573">
        <f t="shared" si="20"/>
        <v>8929.4304550333072</v>
      </c>
      <c r="AN96" s="573">
        <f t="shared" si="20"/>
        <v>8929.388774833491</v>
      </c>
      <c r="AO96" s="573">
        <f t="shared" si="20"/>
        <v>8929.3470405600365</v>
      </c>
      <c r="AP96" s="573">
        <f t="shared" si="20"/>
        <v>8929.3052521040991</v>
      </c>
      <c r="AQ96" s="573">
        <f t="shared" si="20"/>
        <v>8929.2634093565321</v>
      </c>
      <c r="AR96" s="573">
        <f t="shared" si="20"/>
        <v>8929.2215122078869</v>
      </c>
      <c r="AS96" s="573">
        <f t="shared" si="20"/>
        <v>8929.1795605484112</v>
      </c>
    </row>
    <row r="97" spans="1:47" s="229" customFormat="1" outlineLevel="1">
      <c r="A97" s="229">
        <v>8</v>
      </c>
      <c r="B97" s="229" t="str">
        <f t="shared" si="12"/>
        <v>8BuildingsEnergy Demand by Building Type</v>
      </c>
      <c r="C97" s="234" t="str">
        <f t="shared" si="13"/>
        <v>BuildingsEnergy Demand by Building Type</v>
      </c>
      <c r="E97" s="313" t="s">
        <v>205</v>
      </c>
      <c r="F97" s="313"/>
      <c r="G97" s="234" t="s">
        <v>198</v>
      </c>
      <c r="I97" s="313"/>
      <c r="J97" s="573">
        <f t="shared" ref="J97:AS97" si="21">J43</f>
        <v>0</v>
      </c>
      <c r="K97" s="573">
        <f t="shared" si="21"/>
        <v>47.164809820067603</v>
      </c>
      <c r="L97" s="573">
        <f t="shared" si="21"/>
        <v>94.329619640138844</v>
      </c>
      <c r="M97" s="573">
        <f t="shared" si="21"/>
        <v>141.49442946020827</v>
      </c>
      <c r="N97" s="573">
        <f t="shared" si="21"/>
        <v>188.65923928027769</v>
      </c>
      <c r="O97" s="573">
        <f t="shared" si="21"/>
        <v>235.82404910034893</v>
      </c>
      <c r="P97" s="573">
        <f t="shared" si="21"/>
        <v>282.98885892041471</v>
      </c>
      <c r="Q97" s="573">
        <f t="shared" si="21"/>
        <v>330.15366874048595</v>
      </c>
      <c r="R97" s="573">
        <f t="shared" si="21"/>
        <v>377.3184785605572</v>
      </c>
      <c r="S97" s="573">
        <f t="shared" si="21"/>
        <v>424.48328838062844</v>
      </c>
      <c r="T97" s="573">
        <f t="shared" si="21"/>
        <v>471.64809820069786</v>
      </c>
      <c r="U97" s="573">
        <f t="shared" si="21"/>
        <v>506.5098685941266</v>
      </c>
      <c r="V97" s="573">
        <f t="shared" si="21"/>
        <v>541.37163898755898</v>
      </c>
      <c r="W97" s="573">
        <f t="shared" si="21"/>
        <v>576.23340938099318</v>
      </c>
      <c r="X97" s="573">
        <f t="shared" si="21"/>
        <v>611.09517977442192</v>
      </c>
      <c r="Y97" s="573">
        <f t="shared" si="21"/>
        <v>645.95695016785612</v>
      </c>
      <c r="Z97" s="573">
        <f t="shared" si="21"/>
        <v>680.81872056128668</v>
      </c>
      <c r="AA97" s="573">
        <f t="shared" si="21"/>
        <v>715.68049095471906</v>
      </c>
      <c r="AB97" s="573">
        <f t="shared" si="21"/>
        <v>750.54226134814962</v>
      </c>
      <c r="AC97" s="573">
        <f t="shared" si="21"/>
        <v>785.404031741582</v>
      </c>
      <c r="AD97" s="573">
        <f t="shared" si="21"/>
        <v>820.26580213501256</v>
      </c>
      <c r="AE97" s="573">
        <f t="shared" si="21"/>
        <v>855.12757252844494</v>
      </c>
      <c r="AF97" s="573">
        <f t="shared" si="21"/>
        <v>889.98934292187732</v>
      </c>
      <c r="AG97" s="573">
        <f t="shared" si="21"/>
        <v>924.85111331530607</v>
      </c>
      <c r="AH97" s="573">
        <f t="shared" si="21"/>
        <v>959.71288370874026</v>
      </c>
      <c r="AI97" s="573">
        <f t="shared" si="21"/>
        <v>994.57465410217083</v>
      </c>
      <c r="AJ97" s="573">
        <f t="shared" si="21"/>
        <v>1029.4364244956014</v>
      </c>
      <c r="AK97" s="573">
        <f t="shared" si="21"/>
        <v>1064.2981948890338</v>
      </c>
      <c r="AL97" s="573">
        <f t="shared" si="21"/>
        <v>1099.1599652824661</v>
      </c>
      <c r="AM97" s="573">
        <f t="shared" si="21"/>
        <v>1134.0217356758985</v>
      </c>
      <c r="AN97" s="573">
        <f t="shared" si="21"/>
        <v>1168.8835060693291</v>
      </c>
      <c r="AO97" s="573">
        <f t="shared" si="21"/>
        <v>1203.7452764627596</v>
      </c>
      <c r="AP97" s="573">
        <f t="shared" si="21"/>
        <v>1238.607046856192</v>
      </c>
      <c r="AQ97" s="573">
        <f t="shared" si="21"/>
        <v>1273.4688172496226</v>
      </c>
      <c r="AR97" s="573">
        <f t="shared" si="21"/>
        <v>1308.3305876430531</v>
      </c>
      <c r="AS97" s="573">
        <f t="shared" si="21"/>
        <v>1343.1923580364892</v>
      </c>
    </row>
    <row r="98" spans="1:47" s="229" customFormat="1" outlineLevel="1">
      <c r="A98" s="229">
        <v>9</v>
      </c>
      <c r="B98" s="229" t="str">
        <f t="shared" si="12"/>
        <v>9BuildingsEnergy Demand by Building Type</v>
      </c>
      <c r="C98" s="234" t="str">
        <f t="shared" si="13"/>
        <v>BuildingsEnergy Demand by Building Type</v>
      </c>
      <c r="E98" s="313" t="s">
        <v>206</v>
      </c>
      <c r="F98" s="313"/>
      <c r="G98" s="234" t="s">
        <v>198</v>
      </c>
      <c r="I98" s="313"/>
      <c r="J98" s="573">
        <f t="shared" ref="J98:AS98" si="22">J44</f>
        <v>0</v>
      </c>
      <c r="K98" s="573">
        <f t="shared" si="22"/>
        <v>2.3324787543619094E-2</v>
      </c>
      <c r="L98" s="573">
        <f t="shared" si="22"/>
        <v>9.3464876388352144E-2</v>
      </c>
      <c r="M98" s="573">
        <f t="shared" si="22"/>
        <v>0.21072325319846272</v>
      </c>
      <c r="N98" s="573">
        <f t="shared" si="22"/>
        <v>0.37547543442948061</v>
      </c>
      <c r="O98" s="573">
        <f t="shared" si="22"/>
        <v>0.58816946632820266</v>
      </c>
      <c r="P98" s="573">
        <f t="shared" si="22"/>
        <v>0.84932592493269354</v>
      </c>
      <c r="Q98" s="573">
        <f t="shared" si="22"/>
        <v>1.1595379160722805</v>
      </c>
      <c r="R98" s="573">
        <f t="shared" si="22"/>
        <v>1.519471075367562</v>
      </c>
      <c r="S98" s="573">
        <f t="shared" si="22"/>
        <v>1.929863568230398</v>
      </c>
      <c r="T98" s="573">
        <f t="shared" si="22"/>
        <v>2.3915260898639223</v>
      </c>
      <c r="U98" s="573">
        <f t="shared" si="22"/>
        <v>3.5776637682040531</v>
      </c>
      <c r="V98" s="573">
        <f t="shared" si="22"/>
        <v>4.8037803796747296</v>
      </c>
      <c r="W98" s="573">
        <f t="shared" si="22"/>
        <v>6.0694536031067372</v>
      </c>
      <c r="X98" s="573">
        <f t="shared" si="22"/>
        <v>7.3742609623573481</v>
      </c>
      <c r="Y98" s="573">
        <f t="shared" si="22"/>
        <v>8.7177798263103519</v>
      </c>
      <c r="Z98" s="573">
        <f t="shared" si="22"/>
        <v>10.099587408876005</v>
      </c>
      <c r="AA98" s="573">
        <f t="shared" si="22"/>
        <v>11.51926076899109</v>
      </c>
      <c r="AB98" s="573">
        <f t="shared" si="22"/>
        <v>12.976376810618845</v>
      </c>
      <c r="AC98" s="573">
        <f t="shared" si="22"/>
        <v>14.470512282749104</v>
      </c>
      <c r="AD98" s="573">
        <f t="shared" si="22"/>
        <v>16.001243779398042</v>
      </c>
      <c r="AE98" s="573">
        <f t="shared" si="22"/>
        <v>17.568147739608492</v>
      </c>
      <c r="AF98" s="573">
        <f t="shared" si="22"/>
        <v>19.170800447449622</v>
      </c>
      <c r="AG98" s="573">
        <f t="shared" si="22"/>
        <v>20.808778032017262</v>
      </c>
      <c r="AH98" s="573">
        <f t="shared" si="22"/>
        <v>22.481656467433616</v>
      </c>
      <c r="AI98" s="573">
        <f t="shared" si="22"/>
        <v>24.189011572847434</v>
      </c>
      <c r="AJ98" s="573">
        <f t="shared" si="22"/>
        <v>25.930419012433955</v>
      </c>
      <c r="AK98" s="573">
        <f t="shared" si="22"/>
        <v>27.705454295394944</v>
      </c>
      <c r="AL98" s="573">
        <f t="shared" si="22"/>
        <v>29.513692775958564</v>
      </c>
      <c r="AM98" s="573">
        <f t="shared" si="22"/>
        <v>31.354709653379683</v>
      </c>
      <c r="AN98" s="573">
        <f t="shared" si="22"/>
        <v>33.228079971939373</v>
      </c>
      <c r="AO98" s="573">
        <f t="shared" si="22"/>
        <v>35.13337862094545</v>
      </c>
      <c r="AP98" s="573">
        <f t="shared" si="22"/>
        <v>37.070180334732107</v>
      </c>
      <c r="AQ98" s="573">
        <f t="shared" si="22"/>
        <v>39.038059692660092</v>
      </c>
      <c r="AR98" s="573">
        <f t="shared" si="22"/>
        <v>41.036591119116586</v>
      </c>
      <c r="AS98" s="573">
        <f t="shared" si="22"/>
        <v>43.065348883515419</v>
      </c>
    </row>
    <row r="99" spans="1:47" s="229" customFormat="1" outlineLevel="1">
      <c r="A99" s="229">
        <v>10</v>
      </c>
      <c r="B99" s="229" t="str">
        <f t="shared" si="12"/>
        <v>10BuildingsEnergy Demand by Building Type</v>
      </c>
      <c r="C99" s="234" t="str">
        <f t="shared" si="13"/>
        <v>BuildingsEnergy Demand by Building Type</v>
      </c>
      <c r="E99" s="313" t="s">
        <v>207</v>
      </c>
      <c r="F99" s="313"/>
      <c r="G99" s="234" t="s">
        <v>198</v>
      </c>
      <c r="I99" s="313"/>
      <c r="J99" s="573">
        <f t="shared" ref="J99:AS99" si="23">J45</f>
        <v>1649.8613566893455</v>
      </c>
      <c r="K99" s="573">
        <f t="shared" si="23"/>
        <v>1788.1530317636502</v>
      </c>
      <c r="L99" s="573">
        <f t="shared" si="23"/>
        <v>1929.0724901951066</v>
      </c>
      <c r="M99" s="573">
        <f t="shared" si="23"/>
        <v>2072.6299834797601</v>
      </c>
      <c r="N99" s="573">
        <f t="shared" si="23"/>
        <v>2218.8357082547568</v>
      </c>
      <c r="O99" s="573">
        <f t="shared" si="23"/>
        <v>2367.6998062983462</v>
      </c>
      <c r="P99" s="573">
        <f t="shared" si="23"/>
        <v>2519.2323645298784</v>
      </c>
      <c r="Q99" s="573">
        <f t="shared" si="23"/>
        <v>2673.4434150098045</v>
      </c>
      <c r="R99" s="573">
        <f t="shared" si="23"/>
        <v>2830.3429349396774</v>
      </c>
      <c r="S99" s="573">
        <f t="shared" si="23"/>
        <v>2989.9408466621526</v>
      </c>
      <c r="T99" s="573">
        <f t="shared" si="23"/>
        <v>3152.2470176609877</v>
      </c>
      <c r="U99" s="573">
        <f t="shared" si="23"/>
        <v>3230.5037940928692</v>
      </c>
      <c r="V99" s="573">
        <f t="shared" si="23"/>
        <v>3309.2881169176148</v>
      </c>
      <c r="W99" s="573">
        <f t="shared" si="23"/>
        <v>3388.6013440470683</v>
      </c>
      <c r="X99" s="573">
        <f t="shared" si="23"/>
        <v>3468.4448333930745</v>
      </c>
      <c r="Y99" s="573">
        <f t="shared" si="23"/>
        <v>3548.8199428674757</v>
      </c>
      <c r="Z99" s="573">
        <f t="shared" si="23"/>
        <v>3629.7280303821171</v>
      </c>
      <c r="AA99" s="573">
        <f t="shared" si="23"/>
        <v>3711.1704538488425</v>
      </c>
      <c r="AB99" s="573">
        <f t="shared" si="23"/>
        <v>3793.1485711794971</v>
      </c>
      <c r="AC99" s="573">
        <f t="shared" si="23"/>
        <v>3875.6637402859242</v>
      </c>
      <c r="AD99" s="573">
        <f t="shared" si="23"/>
        <v>3958.7173190799676</v>
      </c>
      <c r="AE99" s="573">
        <f t="shared" si="23"/>
        <v>4042.3106654734715</v>
      </c>
      <c r="AF99" s="573">
        <f t="shared" si="23"/>
        <v>4126.4451373782804</v>
      </c>
      <c r="AG99" s="573">
        <f t="shared" si="23"/>
        <v>4211.1220927062377</v>
      </c>
      <c r="AH99" s="573">
        <f t="shared" si="23"/>
        <v>4296.3428893691898</v>
      </c>
      <c r="AI99" s="573">
        <f t="shared" si="23"/>
        <v>4382.1088852789762</v>
      </c>
      <c r="AJ99" s="573">
        <f t="shared" si="23"/>
        <v>4468.4214383474446</v>
      </c>
      <c r="AK99" s="573">
        <f t="shared" si="23"/>
        <v>4555.2819064864398</v>
      </c>
      <c r="AL99" s="573">
        <f t="shared" si="23"/>
        <v>4642.691647607804</v>
      </c>
      <c r="AM99" s="573">
        <f t="shared" si="23"/>
        <v>4730.6520196233823</v>
      </c>
      <c r="AN99" s="573">
        <f t="shared" si="23"/>
        <v>4819.1643804450177</v>
      </c>
      <c r="AO99" s="573">
        <f t="shared" si="23"/>
        <v>4908.2300879845561</v>
      </c>
      <c r="AP99" s="573">
        <f t="shared" si="23"/>
        <v>4997.8505001538397</v>
      </c>
      <c r="AQ99" s="573">
        <f t="shared" si="23"/>
        <v>5088.0269748647133</v>
      </c>
      <c r="AR99" s="573">
        <f t="shared" si="23"/>
        <v>5178.7608700290202</v>
      </c>
      <c r="AS99" s="573">
        <f t="shared" si="23"/>
        <v>5270.0535435586162</v>
      </c>
    </row>
    <row r="100" spans="1:47" s="229" customFormat="1" outlineLevel="1">
      <c r="A100" s="229">
        <v>11</v>
      </c>
      <c r="B100" s="229" t="str">
        <f t="shared" si="12"/>
        <v>11</v>
      </c>
      <c r="C100" s="234"/>
      <c r="E100" s="313"/>
      <c r="F100" s="313"/>
      <c r="G100" s="234"/>
      <c r="I100" s="313"/>
      <c r="J100" s="247"/>
      <c r="K100" s="247"/>
      <c r="L100" s="247"/>
      <c r="M100" s="247"/>
      <c r="N100" s="247"/>
      <c r="O100" s="247"/>
      <c r="P100" s="247"/>
      <c r="Q100" s="247"/>
      <c r="R100" s="247"/>
      <c r="S100" s="247"/>
      <c r="T100" s="247"/>
      <c r="U100" s="247"/>
      <c r="V100" s="247"/>
      <c r="W100" s="247"/>
      <c r="X100" s="247"/>
      <c r="Y100" s="247"/>
      <c r="Z100" s="247"/>
      <c r="AA100" s="247"/>
      <c r="AB100" s="247"/>
      <c r="AC100" s="247"/>
      <c r="AD100" s="247"/>
      <c r="AE100" s="247"/>
      <c r="AF100" s="247"/>
      <c r="AG100" s="247"/>
      <c r="AH100" s="247"/>
      <c r="AI100" s="247"/>
      <c r="AJ100" s="247"/>
      <c r="AK100" s="247"/>
      <c r="AL100" s="247"/>
      <c r="AM100" s="247"/>
      <c r="AN100" s="247"/>
      <c r="AO100" s="247"/>
      <c r="AP100" s="247"/>
      <c r="AQ100" s="247"/>
      <c r="AR100" s="247"/>
      <c r="AS100" s="247"/>
    </row>
    <row r="101" spans="1:47" s="238" customFormat="1" outlineLevel="1">
      <c r="A101" s="229" t="s">
        <v>208</v>
      </c>
      <c r="B101" s="229" t="str">
        <f>A101&amp;C101</f>
        <v>NBuildingsEnergy Demand by Building Type</v>
      </c>
      <c r="C101" s="234" t="str">
        <f t="shared" si="13"/>
        <v>BuildingsEnergy Demand by Building Type</v>
      </c>
      <c r="E101" s="236" t="str">
        <f>""</f>
        <v/>
      </c>
      <c r="J101" s="238">
        <v>1</v>
      </c>
      <c r="K101" s="238">
        <v>1</v>
      </c>
      <c r="L101" s="238">
        <v>1</v>
      </c>
      <c r="M101" s="238">
        <v>1</v>
      </c>
      <c r="N101" s="238">
        <v>1</v>
      </c>
      <c r="O101" s="238">
        <v>1</v>
      </c>
      <c r="P101" s="238">
        <v>1</v>
      </c>
      <c r="Q101" s="238">
        <v>1</v>
      </c>
      <c r="R101" s="238">
        <v>1</v>
      </c>
      <c r="S101" s="238">
        <v>1</v>
      </c>
      <c r="T101" s="238">
        <v>1</v>
      </c>
      <c r="U101" s="238">
        <v>1</v>
      </c>
      <c r="V101" s="238">
        <v>1</v>
      </c>
      <c r="W101" s="238">
        <v>1</v>
      </c>
      <c r="X101" s="238">
        <v>1</v>
      </c>
      <c r="Y101" s="238">
        <v>1</v>
      </c>
      <c r="Z101" s="238">
        <v>1</v>
      </c>
      <c r="AA101" s="238">
        <v>1</v>
      </c>
      <c r="AB101" s="238">
        <v>1</v>
      </c>
      <c r="AC101" s="238">
        <v>1</v>
      </c>
      <c r="AD101" s="238">
        <v>1</v>
      </c>
      <c r="AE101" s="238">
        <v>1</v>
      </c>
      <c r="AF101" s="238">
        <v>1</v>
      </c>
      <c r="AG101" s="238">
        <v>1</v>
      </c>
      <c r="AH101" s="238">
        <v>1</v>
      </c>
      <c r="AI101" s="238">
        <v>1</v>
      </c>
      <c r="AJ101" s="238">
        <v>1</v>
      </c>
      <c r="AK101" s="238">
        <v>1</v>
      </c>
      <c r="AL101" s="238">
        <v>1</v>
      </c>
      <c r="AM101" s="238">
        <v>1</v>
      </c>
      <c r="AN101" s="238">
        <v>1</v>
      </c>
      <c r="AO101" s="238">
        <v>1</v>
      </c>
      <c r="AP101" s="238">
        <v>1</v>
      </c>
      <c r="AQ101" s="238">
        <v>1</v>
      </c>
      <c r="AR101" s="238">
        <v>1</v>
      </c>
      <c r="AS101" s="238">
        <v>1</v>
      </c>
    </row>
    <row r="102" spans="1:47" outlineLevel="1">
      <c r="Z102" s="202"/>
    </row>
    <row r="103" spans="1:47" s="298" customFormat="1" outlineLevel="1">
      <c r="A103" s="298" t="s">
        <v>156</v>
      </c>
      <c r="B103" s="298" t="s">
        <v>216</v>
      </c>
    </row>
    <row r="104" spans="1:47" outlineLevel="1">
      <c r="A104" s="229" t="s">
        <v>175</v>
      </c>
      <c r="B104" s="229" t="s">
        <v>176</v>
      </c>
      <c r="C104" s="229" t="s">
        <v>177</v>
      </c>
      <c r="D104" s="230"/>
      <c r="E104" s="230" t="s">
        <v>178</v>
      </c>
      <c r="F104" s="230"/>
      <c r="G104" s="230" t="s">
        <v>179</v>
      </c>
      <c r="H104" s="230" t="s">
        <v>180</v>
      </c>
      <c r="I104" s="230"/>
      <c r="J104" s="230">
        <v>2015</v>
      </c>
      <c r="K104" s="230">
        <v>2016</v>
      </c>
      <c r="L104" s="230">
        <v>2017</v>
      </c>
      <c r="M104" s="230">
        <v>2018</v>
      </c>
      <c r="N104" s="230">
        <v>2019</v>
      </c>
      <c r="O104" s="230">
        <v>2020</v>
      </c>
      <c r="P104" s="230">
        <v>2021</v>
      </c>
      <c r="Q104" s="230">
        <v>2022</v>
      </c>
      <c r="R104" s="230">
        <v>2023</v>
      </c>
      <c r="S104" s="230">
        <v>2024</v>
      </c>
      <c r="T104" s="230">
        <v>2025</v>
      </c>
      <c r="U104" s="230">
        <v>2026</v>
      </c>
      <c r="V104" s="230">
        <v>2027</v>
      </c>
      <c r="W104" s="230">
        <v>2028</v>
      </c>
      <c r="X104" s="230">
        <v>2029</v>
      </c>
      <c r="Y104" s="230">
        <v>2030</v>
      </c>
      <c r="Z104" s="230">
        <v>2031</v>
      </c>
      <c r="AA104" s="230">
        <v>2032</v>
      </c>
      <c r="AB104" s="230">
        <v>2033</v>
      </c>
      <c r="AC104" s="230">
        <v>2034</v>
      </c>
      <c r="AD104" s="230">
        <v>2035</v>
      </c>
      <c r="AE104" s="230">
        <v>2036</v>
      </c>
      <c r="AF104" s="230">
        <v>2037</v>
      </c>
      <c r="AG104" s="230">
        <v>2038</v>
      </c>
      <c r="AH104" s="230">
        <v>2039</v>
      </c>
      <c r="AI104" s="230">
        <v>2040</v>
      </c>
      <c r="AJ104" s="230">
        <v>2041</v>
      </c>
      <c r="AK104" s="230">
        <v>2042</v>
      </c>
      <c r="AL104" s="230">
        <v>2043</v>
      </c>
      <c r="AM104" s="230">
        <v>2044</v>
      </c>
      <c r="AN104" s="230">
        <v>2045</v>
      </c>
      <c r="AO104" s="230">
        <v>2046</v>
      </c>
      <c r="AP104" s="230">
        <v>2047</v>
      </c>
      <c r="AQ104" s="230">
        <v>2048</v>
      </c>
      <c r="AR104" s="230">
        <v>2049</v>
      </c>
      <c r="AS104" s="230">
        <v>2050</v>
      </c>
    </row>
    <row r="105" spans="1:47" outlineLevel="1"/>
    <row r="106" spans="1:47" s="229" customFormat="1" outlineLevel="1">
      <c r="A106" s="229">
        <v>0</v>
      </c>
      <c r="B106" s="229" t="str">
        <f t="shared" ref="B106:B117" si="24">A106&amp;C106</f>
        <v>0BuildingsEnergy Demand by technology</v>
      </c>
      <c r="C106" s="234" t="str">
        <f>$A$103&amp;$B$103</f>
        <v>BuildingsEnergy Demand by technology</v>
      </c>
      <c r="E106" s="248" t="s">
        <v>217</v>
      </c>
      <c r="G106" s="234"/>
      <c r="J106" s="237"/>
      <c r="K106" s="237"/>
      <c r="L106" s="237"/>
      <c r="M106" s="237"/>
      <c r="N106" s="237"/>
      <c r="O106" s="237"/>
      <c r="P106" s="237"/>
      <c r="Q106" s="237"/>
      <c r="R106" s="237"/>
      <c r="S106" s="237"/>
      <c r="T106" s="237"/>
      <c r="U106" s="237"/>
      <c r="V106" s="237"/>
      <c r="W106" s="237"/>
      <c r="X106" s="237"/>
      <c r="Y106" s="237"/>
      <c r="Z106" s="237"/>
      <c r="AA106" s="237"/>
      <c r="AB106" s="237"/>
      <c r="AC106" s="237"/>
      <c r="AD106" s="237"/>
      <c r="AE106" s="237"/>
      <c r="AF106" s="237"/>
      <c r="AG106" s="237"/>
      <c r="AH106" s="237"/>
      <c r="AI106" s="237"/>
      <c r="AJ106" s="237"/>
      <c r="AK106" s="237"/>
      <c r="AL106" s="237"/>
      <c r="AM106" s="237"/>
      <c r="AN106" s="237"/>
      <c r="AO106" s="237"/>
      <c r="AP106" s="237"/>
      <c r="AQ106" s="237"/>
      <c r="AR106" s="237"/>
      <c r="AS106" s="237"/>
    </row>
    <row r="107" spans="1:47" s="247" customFormat="1" outlineLevel="1">
      <c r="A107" s="229">
        <v>1</v>
      </c>
      <c r="B107" s="229" t="str">
        <f t="shared" si="24"/>
        <v>1BuildingsEnergy Demand by technology</v>
      </c>
      <c r="C107" s="234" t="str">
        <f t="shared" ref="C107:C115" si="25">$A$103&amp;$B$103</f>
        <v>BuildingsEnergy Demand by technology</v>
      </c>
      <c r="D107" s="229"/>
      <c r="E107" s="313" t="s">
        <v>209</v>
      </c>
      <c r="F107" s="313"/>
      <c r="G107" s="234" t="s">
        <v>198</v>
      </c>
      <c r="H107" s="229"/>
      <c r="I107" s="313"/>
      <c r="J107" s="571">
        <f>'Energy supply'!O32+'Energy supply'!O22+'Energy supply'!O11</f>
        <v>19074.86985253905</v>
      </c>
      <c r="K107" s="571">
        <f>'Energy supply'!P32+'Energy supply'!P22+'Energy supply'!P11</f>
        <v>19150.57507778161</v>
      </c>
      <c r="L107" s="571">
        <f>'Energy supply'!Q32+'Energy supply'!Q22+'Energy supply'!Q11</f>
        <v>19231.530237840587</v>
      </c>
      <c r="M107" s="571">
        <f>'Energy supply'!R32+'Energy supply'!R22+'Energy supply'!R11</f>
        <v>19311.721506960363</v>
      </c>
      <c r="N107" s="571">
        <f>'Energy supply'!S32+'Energy supply'!S22+'Energy supply'!S11</f>
        <v>19371.768536139225</v>
      </c>
      <c r="O107" s="571">
        <f>'Energy supply'!T32+'Energy supply'!T22+'Energy supply'!T11</f>
        <v>19179.668434294475</v>
      </c>
      <c r="P107" s="571">
        <f>'Energy supply'!U32+'Energy supply'!U22+'Energy supply'!U11</f>
        <v>18873.661010701679</v>
      </c>
      <c r="Q107" s="571">
        <f>'Energy supply'!V32+'Energy supply'!V22+'Energy supply'!V11</f>
        <v>18134.128837844881</v>
      </c>
      <c r="R107" s="571">
        <f>'Energy supply'!W32+'Energy supply'!W22+'Energy supply'!W11</f>
        <v>16964.009821876185</v>
      </c>
      <c r="S107" s="571">
        <f>'Energy supply'!X32+'Energy supply'!X22+'Energy supply'!X11</f>
        <v>15484.277206475259</v>
      </c>
      <c r="T107" s="571">
        <f>'Energy supply'!Y32+'Energy supply'!Y22+'Energy supply'!Y11</f>
        <v>13966.543269163192</v>
      </c>
      <c r="U107" s="571">
        <f>'Energy supply'!Z32+'Energy supply'!Z22+'Energy supply'!Z11</f>
        <v>12371.870663271287</v>
      </c>
      <c r="V107" s="571">
        <f>'Energy supply'!AA32+'Energy supply'!AA22+'Energy supply'!AA11</f>
        <v>10684.409717984237</v>
      </c>
      <c r="W107" s="571">
        <f>'Energy supply'!AB32+'Energy supply'!AB22+'Energy supply'!AB11</f>
        <v>9272.3351492214897</v>
      </c>
      <c r="X107" s="571">
        <f>'Energy supply'!AC32+'Energy supply'!AC22+'Energy supply'!AC11</f>
        <v>8037.1551623925143</v>
      </c>
      <c r="Y107" s="571">
        <f>'Energy supply'!AD32+'Energy supply'!AD22+'Energy supply'!AD11</f>
        <v>6986.1073382675213</v>
      </c>
      <c r="Z107" s="571">
        <f>'Energy supply'!AE32+'Energy supply'!AE22+'Energy supply'!AE11</f>
        <v>6056.0701386473884</v>
      </c>
      <c r="AA107" s="571">
        <f>'Energy supply'!AF32+'Energy supply'!AF22+'Energy supply'!AF11</f>
        <v>5220.7383224103014</v>
      </c>
      <c r="AB107" s="571">
        <f>'Energy supply'!AG32+'Energy supply'!AG22+'Energy supply'!AG11</f>
        <v>4466.2914044704266</v>
      </c>
      <c r="AC107" s="571">
        <f>'Energy supply'!AH32+'Energy supply'!AH22+'Energy supply'!AH11</f>
        <v>3783.6761577731004</v>
      </c>
      <c r="AD107" s="571">
        <f>'Energy supply'!AI32+'Energy supply'!AI22+'Energy supply'!AI11</f>
        <v>3237.8653034225986</v>
      </c>
      <c r="AE107" s="571">
        <f>'Energy supply'!AJ32+'Energy supply'!AJ22+'Energy supply'!AJ11</f>
        <v>2516.240008593134</v>
      </c>
      <c r="AF107" s="571">
        <f>'Energy supply'!AK32+'Energy supply'!AK22+'Energy supply'!AK11</f>
        <v>1987.405966209963</v>
      </c>
      <c r="AG107" s="571">
        <f>'Energy supply'!AL32+'Energy supply'!AL22+'Energy supply'!AL11</f>
        <v>1620.399394661644</v>
      </c>
      <c r="AH107" s="571">
        <f>'Energy supply'!AM32+'Energy supply'!AM22+'Energy supply'!AM11</f>
        <v>1483.1503923907308</v>
      </c>
      <c r="AI107" s="571">
        <f>'Energy supply'!AN32+'Energy supply'!AN22+'Energy supply'!AN11</f>
        <v>1348.8327692549292</v>
      </c>
      <c r="AJ107" s="571">
        <f>'Energy supply'!AO32+'Energy supply'!AO22+'Energy supply'!AO11</f>
        <v>1205.9851933215962</v>
      </c>
      <c r="AK107" s="571">
        <f>'Energy supply'!AP32+'Energy supply'!AP22+'Energy supply'!AP11</f>
        <v>1067.0217026939542</v>
      </c>
      <c r="AL107" s="571">
        <f>'Energy supply'!AQ32+'Energy supply'!AQ22+'Energy supply'!AQ11</f>
        <v>931.13390380721876</v>
      </c>
      <c r="AM107" s="571">
        <f>'Energy supply'!AR32+'Energy supply'!AR22+'Energy supply'!AR11</f>
        <v>797.52396063008177</v>
      </c>
      <c r="AN107" s="571">
        <f>'Energy supply'!AS32+'Energy supply'!AS22+'Energy supply'!AS11</f>
        <v>665.40314881599215</v>
      </c>
      <c r="AO107" s="571">
        <f>'Energy supply'!AT32+'Energy supply'!AT22+'Energy supply'!AT11</f>
        <v>541.84694005271876</v>
      </c>
      <c r="AP107" s="571">
        <f>'Energy supply'!AU32+'Energy supply'!AU22+'Energy supply'!AU11</f>
        <v>413.83105120527097</v>
      </c>
      <c r="AQ107" s="571">
        <f>'Energy supply'!AV32+'Energy supply'!AV22+'Energy supply'!AV11</f>
        <v>281.05128175621167</v>
      </c>
      <c r="AR107" s="571">
        <f>'Energy supply'!AW32+'Energy supply'!AW22+'Energy supply'!AW11</f>
        <v>143.20689439126969</v>
      </c>
      <c r="AS107" s="571">
        <f>'Energy supply'!AX32+'Energy supply'!AX22+'Energy supply'!AX11</f>
        <v>0</v>
      </c>
    </row>
    <row r="108" spans="1:47" s="247" customFormat="1" outlineLevel="1">
      <c r="A108" s="229">
        <v>2</v>
      </c>
      <c r="B108" s="229" t="str">
        <f t="shared" si="24"/>
        <v>2BuildingsEnergy Demand by technology</v>
      </c>
      <c r="C108" s="234" t="str">
        <f t="shared" si="25"/>
        <v>BuildingsEnergy Demand by technology</v>
      </c>
      <c r="D108" s="229"/>
      <c r="E108" s="313" t="s">
        <v>218</v>
      </c>
      <c r="F108" s="229"/>
      <c r="G108" s="234" t="s">
        <v>198</v>
      </c>
      <c r="H108" s="229"/>
      <c r="I108" s="229"/>
      <c r="J108" s="571">
        <f>'Energy supply'!O33</f>
        <v>2364.0632944029212</v>
      </c>
      <c r="K108" s="571">
        <f>'Energy supply'!P33</f>
        <v>2372.9270869681623</v>
      </c>
      <c r="L108" s="571">
        <f>'Energy supply'!Q33</f>
        <v>2381.7016307540598</v>
      </c>
      <c r="M108" s="571">
        <f>'Energy supply'!R33</f>
        <v>2390.3927459061188</v>
      </c>
      <c r="N108" s="571">
        <f>'Energy supply'!S33</f>
        <v>2395.3061827434635</v>
      </c>
      <c r="O108" s="571">
        <f>'Energy supply'!T33</f>
        <v>2380.5863684674428</v>
      </c>
      <c r="P108" s="571">
        <f>'Energy supply'!U33</f>
        <v>2349.6749262199946</v>
      </c>
      <c r="Q108" s="571">
        <f>'Energy supply'!V33</f>
        <v>2278.4848807646977</v>
      </c>
      <c r="R108" s="571">
        <f>'Energy supply'!W33</f>
        <v>2154.2877929112346</v>
      </c>
      <c r="S108" s="571">
        <f>'Energy supply'!X33</f>
        <v>1981.9940322061111</v>
      </c>
      <c r="T108" s="571">
        <f>'Energy supply'!Y33</f>
        <v>1797.2740829303598</v>
      </c>
      <c r="U108" s="571">
        <f>'Energy supply'!Z33</f>
        <v>1594.1800090756867</v>
      </c>
      <c r="V108" s="571">
        <f>'Energy supply'!AA33</f>
        <v>1380.5391824281824</v>
      </c>
      <c r="W108" s="571">
        <f>'Energy supply'!AB33</f>
        <v>1202.9357602798852</v>
      </c>
      <c r="X108" s="571">
        <f>'Energy supply'!AC33</f>
        <v>1039.6636294061227</v>
      </c>
      <c r="Y108" s="571">
        <f>'Energy supply'!AD33</f>
        <v>896.69098404355088</v>
      </c>
      <c r="Z108" s="571">
        <f>'Energy supply'!AE33</f>
        <v>773.60647344063557</v>
      </c>
      <c r="AA108" s="571">
        <f>'Energy supply'!AF33</f>
        <v>664.66469398362074</v>
      </c>
      <c r="AB108" s="571">
        <f>'Energy supply'!AG33</f>
        <v>567.7612687765494</v>
      </c>
      <c r="AC108" s="571">
        <f>'Energy supply'!AH33</f>
        <v>481.16995142957762</v>
      </c>
      <c r="AD108" s="571">
        <f>'Energy supply'!AI33</f>
        <v>410.84692897694731</v>
      </c>
      <c r="AE108" s="571">
        <f>'Energy supply'!AJ33</f>
        <v>520.15847517403836</v>
      </c>
      <c r="AF108" s="571">
        <f>'Energy supply'!AK33</f>
        <v>592.67298391449822</v>
      </c>
      <c r="AG108" s="571">
        <f>'Energy supply'!AL33</f>
        <v>655.62145787161501</v>
      </c>
      <c r="AH108" s="571">
        <f>'Energy supply'!AM33</f>
        <v>790.12307185692953</v>
      </c>
      <c r="AI108" s="571">
        <f>'Energy supply'!AN33</f>
        <v>926.3191046469758</v>
      </c>
      <c r="AJ108" s="571">
        <f>'Energy supply'!AO33</f>
        <v>1054.533947080846</v>
      </c>
      <c r="AK108" s="571">
        <f>'Energy supply'!AP33</f>
        <v>1183.3825376787352</v>
      </c>
      <c r="AL108" s="571">
        <f>'Energy supply'!AQ33</f>
        <v>1313.5721895826086</v>
      </c>
      <c r="AM108" s="571">
        <f>'Energy supply'!AR33</f>
        <v>1445.8126632353319</v>
      </c>
      <c r="AN108" s="571">
        <f>'Energy supply'!AS33</f>
        <v>1580.816304693964</v>
      </c>
      <c r="AO108" s="571">
        <f>'Energy supply'!AT33</f>
        <v>1745.4465204921021</v>
      </c>
      <c r="AP108" s="571">
        <f>'Energy supply'!AU33</f>
        <v>1916.1385231679224</v>
      </c>
      <c r="AQ108" s="571">
        <f>'Energy supply'!AV33</f>
        <v>2093.1317957039078</v>
      </c>
      <c r="AR108" s="571">
        <f>'Energy supply'!AW33</f>
        <v>2276.6687029687487</v>
      </c>
      <c r="AS108" s="571">
        <f>'Energy supply'!AX33</f>
        <v>2466.9943459628739</v>
      </c>
    </row>
    <row r="109" spans="1:47" s="247" customFormat="1" outlineLevel="1">
      <c r="A109" s="229">
        <v>3</v>
      </c>
      <c r="B109" s="229" t="str">
        <f t="shared" si="24"/>
        <v>3BuildingsEnergy Demand by technology</v>
      </c>
      <c r="C109" s="234" t="str">
        <f t="shared" si="25"/>
        <v>BuildingsEnergy Demand by technology</v>
      </c>
      <c r="D109" s="229"/>
      <c r="E109" s="313" t="s">
        <v>95</v>
      </c>
      <c r="F109" s="313"/>
      <c r="G109" s="234" t="s">
        <v>198</v>
      </c>
      <c r="H109" s="229"/>
      <c r="I109" s="313"/>
      <c r="J109" s="571">
        <f>'Energy supply'!O34</f>
        <v>0</v>
      </c>
      <c r="K109" s="576">
        <f>'Energy supply'!P34</f>
        <v>0</v>
      </c>
      <c r="L109" s="576">
        <f>'Energy supply'!Q34</f>
        <v>0</v>
      </c>
      <c r="M109" s="576">
        <f>'Energy supply'!R34</f>
        <v>0</v>
      </c>
      <c r="N109" s="571">
        <f>'Energy supply'!S34</f>
        <v>0</v>
      </c>
      <c r="O109" s="571">
        <f>'Energy supply'!T34</f>
        <v>44.517567737536773</v>
      </c>
      <c r="P109" s="571">
        <f>'Energy supply'!U34</f>
        <v>134.76435653026721</v>
      </c>
      <c r="Q109" s="571">
        <f>'Energy supply'!V34</f>
        <v>337.49508383169007</v>
      </c>
      <c r="R109" s="571">
        <f>'Energy supply'!W34</f>
        <v>629.38382328585703</v>
      </c>
      <c r="S109" s="571">
        <f>'Energy supply'!X34</f>
        <v>1062.7243889242495</v>
      </c>
      <c r="T109" s="571">
        <f>'Energy supply'!Y34</f>
        <v>1587.319018163967</v>
      </c>
      <c r="U109" s="571">
        <f>'Energy supply'!Z34</f>
        <v>2231.2210516999121</v>
      </c>
      <c r="V109" s="571">
        <f>'Energy supply'!AA34</f>
        <v>2971.2609895727005</v>
      </c>
      <c r="W109" s="571">
        <f>'Energy supply'!AB34</f>
        <v>3688.9321088338343</v>
      </c>
      <c r="X109" s="571">
        <f>'Energy supply'!AC34</f>
        <v>4343.5752494361213</v>
      </c>
      <c r="Y109" s="571">
        <f>'Energy supply'!AD34</f>
        <v>4947.2157269726276</v>
      </c>
      <c r="Z109" s="571">
        <f>'Energy supply'!AE34</f>
        <v>5497.3661830341171</v>
      </c>
      <c r="AA109" s="571">
        <f>'Energy supply'!AF34</f>
        <v>6037.3693275648657</v>
      </c>
      <c r="AB109" s="571">
        <f>'Energy supply'!AG34</f>
        <v>6578.1684953628755</v>
      </c>
      <c r="AC109" s="571">
        <f>'Energy supply'!AH34</f>
        <v>7130.6597747755914</v>
      </c>
      <c r="AD109" s="571">
        <f>'Energy supply'!AI34</f>
        <v>7783.4660481584469</v>
      </c>
      <c r="AE109" s="571">
        <f>'Energy supply'!AJ34</f>
        <v>8436.7073248734723</v>
      </c>
      <c r="AF109" s="571">
        <f>'Energy supply'!AK34</f>
        <v>8936.4703735079438</v>
      </c>
      <c r="AG109" s="571">
        <f>'Energy supply'!AL34</f>
        <v>9283.093278030623</v>
      </c>
      <c r="AH109" s="571">
        <f>'Energy supply'!AM34</f>
        <v>9322.86095451457</v>
      </c>
      <c r="AI109" s="571">
        <f>'Energy supply'!AN34</f>
        <v>9362.9192814932012</v>
      </c>
      <c r="AJ109" s="571">
        <f>'Energy supply'!AO34</f>
        <v>9403.2291196571095</v>
      </c>
      <c r="AK109" s="571">
        <f>'Energy supply'!AP34</f>
        <v>9443.7753632768326</v>
      </c>
      <c r="AL109" s="571">
        <f>'Energy supply'!AQ34</f>
        <v>9484.5440414708391</v>
      </c>
      <c r="AM109" s="571">
        <f>'Energy supply'!AR34</f>
        <v>9525.5222132541967</v>
      </c>
      <c r="AN109" s="571">
        <f>'Energy supply'!AS34</f>
        <v>9566.6978740208251</v>
      </c>
      <c r="AO109" s="571">
        <f>'Energy supply'!AT34</f>
        <v>9608.0598720320468</v>
      </c>
      <c r="AP109" s="571">
        <f>'Energy supply'!AU34</f>
        <v>9649.5978336841908</v>
      </c>
      <c r="AQ109" s="571">
        <f>'Energy supply'!AV34</f>
        <v>9691.3020964970765</v>
      </c>
      <c r="AR109" s="571">
        <f>'Energy supply'!AW34</f>
        <v>9733.1636489085286</v>
      </c>
      <c r="AS109" s="571">
        <f>'Energy supply'!AX34</f>
        <v>9775.174076081832</v>
      </c>
      <c r="AU109" s="577">
        <f>AS109/3</f>
        <v>3258.3913586939439</v>
      </c>
    </row>
    <row r="110" spans="1:47" s="247" customFormat="1" outlineLevel="1">
      <c r="A110" s="229">
        <v>4</v>
      </c>
      <c r="B110" s="229" t="str">
        <f t="shared" si="24"/>
        <v>4BuildingsEnergy Demand by technology</v>
      </c>
      <c r="C110" s="234" t="str">
        <f t="shared" si="25"/>
        <v>BuildingsEnergy Demand by technology</v>
      </c>
      <c r="D110" s="229"/>
      <c r="E110" s="313" t="s">
        <v>219</v>
      </c>
      <c r="F110" s="229"/>
      <c r="G110" s="234" t="s">
        <v>198</v>
      </c>
      <c r="H110" s="229"/>
      <c r="I110" s="229"/>
      <c r="J110" s="571">
        <f>'Energy supply'!O35</f>
        <v>0</v>
      </c>
      <c r="K110" s="571">
        <f>'Energy supply'!P35</f>
        <v>0</v>
      </c>
      <c r="L110" s="571">
        <f>'Energy supply'!Q35</f>
        <v>0</v>
      </c>
      <c r="M110" s="571">
        <f>'Energy supply'!R35</f>
        <v>0</v>
      </c>
      <c r="N110" s="571">
        <f>'Energy supply'!S35</f>
        <v>0</v>
      </c>
      <c r="O110" s="571">
        <f>'Energy supply'!T35</f>
        <v>2.449729343535727</v>
      </c>
      <c r="P110" s="571">
        <f>'Energy supply'!U35</f>
        <v>6.4869302172908707</v>
      </c>
      <c r="Q110" s="571">
        <f>'Energy supply'!V35</f>
        <v>10.179582797989056</v>
      </c>
      <c r="R110" s="571">
        <f>'Energy supply'!W35</f>
        <v>13.354495904581771</v>
      </c>
      <c r="S110" s="571">
        <f>'Energy supply'!X35</f>
        <v>16.137392631672078</v>
      </c>
      <c r="T110" s="571">
        <f>'Energy supply'!Y35</f>
        <v>18.776372390844021</v>
      </c>
      <c r="U110" s="571">
        <f>'Energy supply'!Z35</f>
        <v>20.909786881960795</v>
      </c>
      <c r="V110" s="571">
        <f>'Energy supply'!AA35</f>
        <v>21.44746787588246</v>
      </c>
      <c r="W110" s="571">
        <f>'Energy supply'!AB35</f>
        <v>22.21403286055471</v>
      </c>
      <c r="X110" s="571">
        <f>'Energy supply'!AC35</f>
        <v>23.241795450424455</v>
      </c>
      <c r="Y110" s="571">
        <f>'Energy supply'!AD35</f>
        <v>24.52512237682695</v>
      </c>
      <c r="Z110" s="571">
        <f>'Energy supply'!AE35</f>
        <v>27.002065369499999</v>
      </c>
      <c r="AA110" s="571">
        <f>'Energy supply'!AF35</f>
        <v>30.971822140056332</v>
      </c>
      <c r="AB110" s="571">
        <f>'Energy supply'!AG35</f>
        <v>36.389208810234273</v>
      </c>
      <c r="AC110" s="571">
        <f>'Energy supply'!AH35</f>
        <v>43.289796371603472</v>
      </c>
      <c r="AD110" s="571">
        <f>'Energy supply'!AI35</f>
        <v>51.876737004269444</v>
      </c>
      <c r="AE110" s="571">
        <f>'Energy supply'!AJ35</f>
        <v>60.935882446143466</v>
      </c>
      <c r="AF110" s="571">
        <f>'Energy supply'!AK35</f>
        <v>65.429501581923461</v>
      </c>
      <c r="AG110" s="571">
        <f>'Energy supply'!AL35</f>
        <v>70.368915323210842</v>
      </c>
      <c r="AH110" s="571">
        <f>'Energy supply'!AM35</f>
        <v>75.794688015997238</v>
      </c>
      <c r="AI110" s="571">
        <f>'Energy supply'!AN35</f>
        <v>81.707118784444773</v>
      </c>
      <c r="AJ110" s="571">
        <f>'Energy supply'!AO35</f>
        <v>87.196686254306925</v>
      </c>
      <c r="AK110" s="571">
        <f>'Energy supply'!AP35</f>
        <v>92.201889348548775</v>
      </c>
      <c r="AL110" s="571">
        <f>'Energy supply'!AQ35</f>
        <v>96.722215167804563</v>
      </c>
      <c r="AM110" s="571">
        <f>'Energy supply'!AR35</f>
        <v>100.75716023428703</v>
      </c>
      <c r="AN110" s="571">
        <f>'Energy supply'!AS35</f>
        <v>104.30622984421736</v>
      </c>
      <c r="AO110" s="571">
        <f>'Energy supply'!AT35</f>
        <v>107.36893749367913</v>
      </c>
      <c r="AP110" s="571">
        <f>'Energy supply'!AU35</f>
        <v>109.9448043688366</v>
      </c>
      <c r="AQ110" s="571">
        <f>'Energy supply'!AV35</f>
        <v>112.03335889272387</v>
      </c>
      <c r="AR110" s="571">
        <f>'Energy supply'!AW35</f>
        <v>113.63413632188279</v>
      </c>
      <c r="AS110" s="571">
        <f>'Energy supply'!AX35</f>
        <v>114.74667838703459</v>
      </c>
    </row>
    <row r="111" spans="1:47" s="247" customFormat="1" outlineLevel="1">
      <c r="A111" s="229">
        <v>5</v>
      </c>
      <c r="B111" s="229" t="str">
        <f t="shared" si="24"/>
        <v>5BuildingsEnergy Demand by technology</v>
      </c>
      <c r="C111" s="234" t="str">
        <f t="shared" si="25"/>
        <v>BuildingsEnergy Demand by technology</v>
      </c>
      <c r="D111" s="229"/>
      <c r="E111" s="313" t="s">
        <v>220</v>
      </c>
      <c r="F111" s="229"/>
      <c r="G111" s="234" t="s">
        <v>198</v>
      </c>
      <c r="H111" s="229"/>
      <c r="I111" s="229"/>
      <c r="J111" s="571">
        <f>'Energy supply'!O36</f>
        <v>0</v>
      </c>
      <c r="K111" s="571">
        <f>'Energy supply'!P36</f>
        <v>0</v>
      </c>
      <c r="L111" s="571">
        <f>'Energy supply'!Q36</f>
        <v>0</v>
      </c>
      <c r="M111" s="571">
        <f>'Energy supply'!R36</f>
        <v>0</v>
      </c>
      <c r="N111" s="571">
        <f>'Energy supply'!S36</f>
        <v>0</v>
      </c>
      <c r="O111" s="571">
        <f>'Energy supply'!T36</f>
        <v>0</v>
      </c>
      <c r="P111" s="571">
        <f>'Energy supply'!U36</f>
        <v>0</v>
      </c>
      <c r="Q111" s="571">
        <f>'Energy supply'!V36</f>
        <v>0</v>
      </c>
      <c r="R111" s="571">
        <f>'Energy supply'!W36</f>
        <v>0</v>
      </c>
      <c r="S111" s="571">
        <f>'Energy supply'!X36</f>
        <v>0</v>
      </c>
      <c r="T111" s="571">
        <f>'Energy supply'!Y36</f>
        <v>0</v>
      </c>
      <c r="U111" s="571">
        <f>'Energy supply'!Z36</f>
        <v>0</v>
      </c>
      <c r="V111" s="571">
        <f>'Energy supply'!AA36</f>
        <v>0</v>
      </c>
      <c r="W111" s="571">
        <f>'Energy supply'!AB36</f>
        <v>0</v>
      </c>
      <c r="X111" s="571">
        <f>'Energy supply'!AC36</f>
        <v>0</v>
      </c>
      <c r="Y111" s="571">
        <f>'Energy supply'!AD36</f>
        <v>0</v>
      </c>
      <c r="Z111" s="571">
        <f>'Energy supply'!AE36</f>
        <v>0</v>
      </c>
      <c r="AA111" s="571">
        <f>'Energy supply'!AF36</f>
        <v>0</v>
      </c>
      <c r="AB111" s="571">
        <f>'Energy supply'!AG36</f>
        <v>0</v>
      </c>
      <c r="AC111" s="571">
        <f>'Energy supply'!AH36</f>
        <v>0</v>
      </c>
      <c r="AD111" s="571">
        <f>'Energy supply'!AI36</f>
        <v>0</v>
      </c>
      <c r="AE111" s="571">
        <f>'Energy supply'!AJ36</f>
        <v>0</v>
      </c>
      <c r="AF111" s="571">
        <f>'Energy supply'!AK36</f>
        <v>0</v>
      </c>
      <c r="AG111" s="571">
        <f>'Energy supply'!AL36</f>
        <v>0</v>
      </c>
      <c r="AH111" s="571">
        <f>'Energy supply'!AM36</f>
        <v>0</v>
      </c>
      <c r="AI111" s="571">
        <f>'Energy supply'!AN36</f>
        <v>0</v>
      </c>
      <c r="AJ111" s="571">
        <f>'Energy supply'!AO36</f>
        <v>0</v>
      </c>
      <c r="AK111" s="571">
        <f>'Energy supply'!AP36</f>
        <v>0</v>
      </c>
      <c r="AL111" s="571">
        <f>'Energy supply'!AQ36</f>
        <v>0</v>
      </c>
      <c r="AM111" s="571">
        <f>'Energy supply'!AR36</f>
        <v>0</v>
      </c>
      <c r="AN111" s="571">
        <f>'Energy supply'!AS36</f>
        <v>0</v>
      </c>
      <c r="AO111" s="571">
        <f>'Energy supply'!AT36</f>
        <v>0</v>
      </c>
      <c r="AP111" s="571">
        <f>'Energy supply'!AU36</f>
        <v>0</v>
      </c>
      <c r="AQ111" s="571">
        <f>'Energy supply'!AV36</f>
        <v>0</v>
      </c>
      <c r="AR111" s="571">
        <f>'Energy supply'!AW36</f>
        <v>0</v>
      </c>
      <c r="AS111" s="571">
        <f>'Energy supply'!AX36</f>
        <v>0</v>
      </c>
    </row>
    <row r="112" spans="1:47" s="247" customFormat="1" outlineLevel="1">
      <c r="A112" s="229">
        <v>6</v>
      </c>
      <c r="B112" s="229" t="str">
        <f t="shared" si="24"/>
        <v>6BuildingsEnergy Demand by technology</v>
      </c>
      <c r="C112" s="234" t="str">
        <f t="shared" si="25"/>
        <v>BuildingsEnergy Demand by technology</v>
      </c>
      <c r="D112" s="229"/>
      <c r="E112" s="313" t="s">
        <v>211</v>
      </c>
      <c r="F112" s="313"/>
      <c r="G112" s="234" t="s">
        <v>198</v>
      </c>
      <c r="H112" s="229"/>
      <c r="I112" s="313"/>
      <c r="J112" s="571">
        <f>'Energy supply'!O38</f>
        <v>0</v>
      </c>
      <c r="K112" s="571">
        <f>'Energy supply'!P38</f>
        <v>0</v>
      </c>
      <c r="L112" s="571">
        <f>'Energy supply'!Q38</f>
        <v>0</v>
      </c>
      <c r="M112" s="571">
        <f>'Energy supply'!R38</f>
        <v>0</v>
      </c>
      <c r="N112" s="571">
        <f>'Energy supply'!S38</f>
        <v>0</v>
      </c>
      <c r="O112" s="571">
        <f>'Energy supply'!T38</f>
        <v>0</v>
      </c>
      <c r="P112" s="571">
        <f>'Energy supply'!U38</f>
        <v>0</v>
      </c>
      <c r="Q112" s="571">
        <f>'Energy supply'!V38</f>
        <v>0</v>
      </c>
      <c r="R112" s="571">
        <f>'Energy supply'!W38</f>
        <v>0</v>
      </c>
      <c r="S112" s="571">
        <f>'Energy supply'!X38</f>
        <v>0</v>
      </c>
      <c r="T112" s="571">
        <f>'Energy supply'!Y38</f>
        <v>0</v>
      </c>
      <c r="U112" s="571">
        <f>'Energy supply'!Z38</f>
        <v>0</v>
      </c>
      <c r="V112" s="571">
        <f>'Energy supply'!AA38</f>
        <v>60.777121312662402</v>
      </c>
      <c r="W112" s="571">
        <f>'Energy supply'!AB38</f>
        <v>105.97885331833436</v>
      </c>
      <c r="X112" s="571">
        <f>'Energy supply'!AC38</f>
        <v>138.45028688446803</v>
      </c>
      <c r="Y112" s="571">
        <f>'Energy supply'!AD38</f>
        <v>161.28637298077001</v>
      </c>
      <c r="Z112" s="571">
        <f>'Energy supply'!AE38</f>
        <v>209.65028106966034</v>
      </c>
      <c r="AA112" s="571">
        <f>'Energy supply'!AF38</f>
        <v>242.04135402089932</v>
      </c>
      <c r="AB112" s="571">
        <f>'Energy supply'!AG38</f>
        <v>260.42262611491037</v>
      </c>
      <c r="AC112" s="571">
        <f>'Energy supply'!AH38</f>
        <v>266.52449570189708</v>
      </c>
      <c r="AD112" s="571">
        <f>'Energy supply'!AI38</f>
        <v>227.24369298118944</v>
      </c>
      <c r="AE112" s="571">
        <f>'Energy supply'!AJ38</f>
        <v>175.62986622778016</v>
      </c>
      <c r="AF112" s="571">
        <f>'Energy supply'!AK38</f>
        <v>137.97925005668532</v>
      </c>
      <c r="AG112" s="571">
        <f>'Energy supply'!AL38</f>
        <v>112.03977605200501</v>
      </c>
      <c r="AH112" s="571">
        <f>'Energy supply'!AM38</f>
        <v>102.79147968641414</v>
      </c>
      <c r="AI112" s="571">
        <f>'Energy supply'!AN38</f>
        <v>93.677072227972872</v>
      </c>
      <c r="AJ112" s="571">
        <f>'Energy supply'!AO38</f>
        <v>83.863476115449288</v>
      </c>
      <c r="AK112" s="571">
        <f>'Energy supply'!AP38</f>
        <v>74.279554446766838</v>
      </c>
      <c r="AL112" s="571">
        <f>'Energy supply'!AQ38</f>
        <v>64.876709494541501</v>
      </c>
      <c r="AM112" s="571">
        <f>'Energy supply'!AR38</f>
        <v>55.606107544798789</v>
      </c>
      <c r="AN112" s="571">
        <f>'Energy supply'!AS38</f>
        <v>46.418710858623555</v>
      </c>
      <c r="AO112" s="571">
        <f>'Energy supply'!AT38</f>
        <v>37.837660724205492</v>
      </c>
      <c r="AP112" s="571">
        <f>'Energy supply'!AU38</f>
        <v>28.92111759041093</v>
      </c>
      <c r="AQ112" s="571">
        <f>'Energy supply'!AV38</f>
        <v>19.653352186216953</v>
      </c>
      <c r="AR112" s="571">
        <f>'Energy supply'!AW38</f>
        <v>10.018384865929807</v>
      </c>
      <c r="AS112" s="571">
        <f>'Energy supply'!AX38</f>
        <v>0</v>
      </c>
    </row>
    <row r="113" spans="1:45" s="247" customFormat="1" outlineLevel="1">
      <c r="A113" s="229">
        <v>7</v>
      </c>
      <c r="B113" s="229" t="str">
        <f t="shared" si="24"/>
        <v>7BuildingsEnergy Demand by technology</v>
      </c>
      <c r="C113" s="234" t="str">
        <f t="shared" si="25"/>
        <v>BuildingsEnergy Demand by technology</v>
      </c>
      <c r="D113" s="229"/>
      <c r="E113" s="313" t="s">
        <v>160</v>
      </c>
      <c r="F113" s="313"/>
      <c r="G113" s="234" t="s">
        <v>198</v>
      </c>
      <c r="H113" s="229"/>
      <c r="I113" s="313"/>
      <c r="J113" s="571">
        <f>'Energy supply'!O37</f>
        <v>384.27273379629673</v>
      </c>
      <c r="K113" s="571">
        <f>'Energy supply'!P37</f>
        <v>394.7683738345828</v>
      </c>
      <c r="L113" s="571">
        <f>'Energy supply'!Q37</f>
        <v>404.83752263503135</v>
      </c>
      <c r="M113" s="571">
        <f>'Energy supply'!R37</f>
        <v>414.48041268586172</v>
      </c>
      <c r="N113" s="571">
        <f>'Energy supply'!S37</f>
        <v>423.69727647529407</v>
      </c>
      <c r="O113" s="571">
        <f>'Energy supply'!T37</f>
        <v>506.75447431464261</v>
      </c>
      <c r="P113" s="571">
        <f>'Energy supply'!U37</f>
        <v>568.79080225998644</v>
      </c>
      <c r="Q113" s="571">
        <f>'Energy supply'!V37</f>
        <v>623.51867458361176</v>
      </c>
      <c r="R113" s="571">
        <f>'Energy supply'!W37</f>
        <v>671.18674736582841</v>
      </c>
      <c r="S113" s="571">
        <f>'Energy supply'!X37</f>
        <v>712.06276511634883</v>
      </c>
      <c r="T113" s="571">
        <f>'Energy supply'!Y37</f>
        <v>746.09249651167477</v>
      </c>
      <c r="U113" s="571">
        <f>'Energy supply'!Z37</f>
        <v>791.46919371447211</v>
      </c>
      <c r="V113" s="571">
        <f>'Energy supply'!AA37</f>
        <v>828.02911538090507</v>
      </c>
      <c r="W113" s="571">
        <f>'Energy supply'!AB37</f>
        <v>856.39146763137705</v>
      </c>
      <c r="X113" s="571">
        <f>'Energy supply'!AC37</f>
        <v>877.28248234761281</v>
      </c>
      <c r="Y113" s="571">
        <f>'Energy supply'!AD37</f>
        <v>891.28157585858435</v>
      </c>
      <c r="Z113" s="571">
        <f>'Energy supply'!AE37</f>
        <v>921.80094434032412</v>
      </c>
      <c r="AA113" s="571">
        <f>'Energy supply'!AF37</f>
        <v>946.75088086562005</v>
      </c>
      <c r="AB113" s="571">
        <f>'Energy supply'!AG37</f>
        <v>967.07508236804642</v>
      </c>
      <c r="AC113" s="571">
        <f>'Energy supply'!AH37</f>
        <v>979.60655834581087</v>
      </c>
      <c r="AD113" s="571">
        <f>'Energy supply'!AI37</f>
        <v>987.29995352966716</v>
      </c>
      <c r="AE113" s="571">
        <f>'Energy supply'!AJ37</f>
        <v>991.76790211682351</v>
      </c>
      <c r="AF113" s="571">
        <f>'Energy supply'!AK37</f>
        <v>992.27344947431152</v>
      </c>
      <c r="AG113" s="571">
        <f>'Energy supply'!AL37</f>
        <v>988.94825552690156</v>
      </c>
      <c r="AH113" s="571">
        <f>'Energy supply'!AM37</f>
        <v>983.02125894299434</v>
      </c>
      <c r="AI113" s="571">
        <f>'Energy supply'!AN37</f>
        <v>973.73782701354071</v>
      </c>
      <c r="AJ113" s="571">
        <f>'Energy supply'!AO37</f>
        <v>983.59194672425792</v>
      </c>
      <c r="AK113" s="571">
        <f>'Energy supply'!AP37</f>
        <v>990.77579637220492</v>
      </c>
      <c r="AL113" s="571">
        <f>'Energy supply'!AQ37</f>
        <v>995.2907754405486</v>
      </c>
      <c r="AM113" s="571">
        <f>'Energy supply'!AR37</f>
        <v>997.13816197534402</v>
      </c>
      <c r="AN113" s="571">
        <f>'Energy supply'!AS37</f>
        <v>996.31861280435317</v>
      </c>
      <c r="AO113" s="571">
        <f>'Energy supply'!AT37</f>
        <v>958.50687280048476</v>
      </c>
      <c r="AP113" s="571">
        <f>'Energy supply'!AU37</f>
        <v>920.73338904414413</v>
      </c>
      <c r="AQ113" s="571">
        <f>'Energy supply'!AV37</f>
        <v>882.99346981363738</v>
      </c>
      <c r="AR113" s="571">
        <f>'Energy supply'!AW37</f>
        <v>845.28245782937734</v>
      </c>
      <c r="AS113" s="571">
        <f>'Energy supply'!AX37</f>
        <v>807.59572534077006</v>
      </c>
    </row>
    <row r="114" spans="1:45" s="247" customFormat="1" outlineLevel="1">
      <c r="A114" s="229">
        <v>8</v>
      </c>
      <c r="B114" s="229" t="str">
        <f t="shared" si="24"/>
        <v>8BuildingsEnergy Demand by technology</v>
      </c>
      <c r="C114" s="234" t="str">
        <f t="shared" si="25"/>
        <v>BuildingsEnergy Demand by technology</v>
      </c>
      <c r="D114" s="229"/>
      <c r="E114" s="313" t="s">
        <v>221</v>
      </c>
      <c r="F114" s="313"/>
      <c r="G114" s="234" t="s">
        <v>198</v>
      </c>
      <c r="H114" s="229"/>
      <c r="I114" s="313"/>
      <c r="J114" s="571">
        <f>'Energy supply'!O69</f>
        <v>14855.380934158789</v>
      </c>
      <c r="K114" s="571">
        <f>'Energy supply'!P69</f>
        <v>14951.936362027503</v>
      </c>
      <c r="L114" s="571">
        <f>'Energy supply'!Q69</f>
        <v>15042.215351551713</v>
      </c>
      <c r="M114" s="571">
        <f>'Energy supply'!R69</f>
        <v>15132.290890723098</v>
      </c>
      <c r="N114" s="571">
        <f>'Energy supply'!S69</f>
        <v>15170.331537542141</v>
      </c>
      <c r="O114" s="571">
        <f>'Energy supply'!T69</f>
        <v>15242.124214844258</v>
      </c>
      <c r="P114" s="571">
        <f>'Energy supply'!U69</f>
        <v>15230.440683662244</v>
      </c>
      <c r="Q114" s="571">
        <f>'Energy supply'!V69</f>
        <v>15196.237024253556</v>
      </c>
      <c r="R114" s="571">
        <f>'Energy supply'!W69</f>
        <v>15086.104613122738</v>
      </c>
      <c r="S114" s="571">
        <f>'Energy supply'!X69</f>
        <v>14907.704738502505</v>
      </c>
      <c r="T114" s="571">
        <f>'Energy supply'!Y69</f>
        <v>14667.339444558082</v>
      </c>
      <c r="U114" s="571">
        <f>'Energy supply'!Z69</f>
        <v>14367.517692656922</v>
      </c>
      <c r="V114" s="571">
        <f>'Energy supply'!AA69</f>
        <v>14089.304929702957</v>
      </c>
      <c r="W114" s="571">
        <f>'Energy supply'!AB69</f>
        <v>13770.897800039393</v>
      </c>
      <c r="X114" s="571">
        <f>'Energy supply'!AC69</f>
        <v>13406.820793917143</v>
      </c>
      <c r="Y114" s="571">
        <f>'Energy supply'!AD69</f>
        <v>12999.281767389082</v>
      </c>
      <c r="Z114" s="571">
        <f>'Energy supply'!AE69</f>
        <v>13065.176784553558</v>
      </c>
      <c r="AA114" s="571">
        <f>'Energy supply'!AF69</f>
        <v>13129.996224863451</v>
      </c>
      <c r="AB114" s="571">
        <f>'Energy supply'!AG69</f>
        <v>13194.014535205539</v>
      </c>
      <c r="AC114" s="571">
        <f>'Energy supply'!AH69</f>
        <v>13257.417678114783</v>
      </c>
      <c r="AD114" s="571">
        <f>'Energy supply'!AI69</f>
        <v>13321.062568100047</v>
      </c>
      <c r="AE114" s="571">
        <f>'Energy supply'!AJ69</f>
        <v>13393.340695191664</v>
      </c>
      <c r="AF114" s="571">
        <f>'Energy supply'!AK69</f>
        <v>13462.55967795534</v>
      </c>
      <c r="AG114" s="571">
        <f>'Energy supply'!AL69</f>
        <v>13529.748999851525</v>
      </c>
      <c r="AH114" s="571">
        <f>'Energy supply'!AM69</f>
        <v>13594.082827051041</v>
      </c>
      <c r="AI114" s="571">
        <f>'Energy supply'!AN69</f>
        <v>13657.322966783593</v>
      </c>
      <c r="AJ114" s="571">
        <f>'Energy supply'!AO69</f>
        <v>13719.699461975242</v>
      </c>
      <c r="AK114" s="571">
        <f>'Energy supply'!AP69</f>
        <v>13781.318571443706</v>
      </c>
      <c r="AL114" s="571">
        <f>'Energy supply'!AQ69</f>
        <v>13842.329770037471</v>
      </c>
      <c r="AM114" s="571">
        <f>'Energy supply'!AR69</f>
        <v>13902.868865062728</v>
      </c>
      <c r="AN114" s="571">
        <f>'Energy supply'!AS69</f>
        <v>13963.059872016402</v>
      </c>
      <c r="AO114" s="571">
        <f>'Energy supply'!AT69</f>
        <v>14022.957432256517</v>
      </c>
      <c r="AP114" s="571">
        <f>'Energy supply'!AU69</f>
        <v>14082.758682012891</v>
      </c>
      <c r="AQ114" s="571">
        <f>'Energy supply'!AV69</f>
        <v>14142.557195008429</v>
      </c>
      <c r="AR114" s="571">
        <f>'Energy supply'!AW69</f>
        <v>14202.439715510673</v>
      </c>
      <c r="AS114" s="571">
        <f>'Energy supply'!AX69</f>
        <v>14262.486964728079</v>
      </c>
    </row>
    <row r="115" spans="1:45" s="229" customFormat="1" outlineLevel="1">
      <c r="A115" s="229">
        <v>9</v>
      </c>
      <c r="B115" s="229" t="str">
        <f t="shared" si="24"/>
        <v>9BuildingsEnergy Demand by technology</v>
      </c>
      <c r="C115" s="234" t="str">
        <f t="shared" si="25"/>
        <v>BuildingsEnergy Demand by technology</v>
      </c>
      <c r="E115" s="313" t="s">
        <v>222</v>
      </c>
      <c r="F115" s="313"/>
      <c r="G115" s="234" t="s">
        <v>198</v>
      </c>
      <c r="I115" s="313"/>
      <c r="J115" s="571">
        <f>'Energy supply'!O75+'Energy supply'!O76</f>
        <v>1649.8613566893455</v>
      </c>
      <c r="K115" s="571">
        <f>'Energy supply'!P75+'Energy supply'!P76</f>
        <v>1788.1763565511937</v>
      </c>
      <c r="L115" s="571">
        <f>'Energy supply'!Q75+'Energy supply'!Q76</f>
        <v>1929.1659550714951</v>
      </c>
      <c r="M115" s="571">
        <f>'Energy supply'!R75+'Energy supply'!R76</f>
        <v>2072.8407067329586</v>
      </c>
      <c r="N115" s="571">
        <f>'Energy supply'!S75+'Energy supply'!S76</f>
        <v>2219.2111836891863</v>
      </c>
      <c r="O115" s="571">
        <f>'Energy supply'!T75+'Energy supply'!T76</f>
        <v>2368.2879757646742</v>
      </c>
      <c r="P115" s="571">
        <f>'Energy supply'!U75+'Energy supply'!U76</f>
        <v>2520.081690454811</v>
      </c>
      <c r="Q115" s="571">
        <f>'Energy supply'!V75+'Energy supply'!V76</f>
        <v>2674.6029529258767</v>
      </c>
      <c r="R115" s="571">
        <f>'Energy supply'!W75+'Energy supply'!W76</f>
        <v>2831.8624060150451</v>
      </c>
      <c r="S115" s="571">
        <f>'Energy supply'!X75+'Energy supply'!X76</f>
        <v>2991.8707102303829</v>
      </c>
      <c r="T115" s="571">
        <f>'Energy supply'!Y75+'Energy supply'!Y76</f>
        <v>3154.6385437508516</v>
      </c>
      <c r="U115" s="571">
        <f>'Energy supply'!Z75+'Energy supply'!Z76</f>
        <v>3234.0814578610734</v>
      </c>
      <c r="V115" s="571">
        <f>'Energy supply'!AA75+'Energy supply'!AA76</f>
        <v>3314.0918972972895</v>
      </c>
      <c r="W115" s="571">
        <f>'Energy supply'!AB75+'Energy supply'!AB76</f>
        <v>3394.6707976501752</v>
      </c>
      <c r="X115" s="571">
        <f>'Energy supply'!AC75+'Energy supply'!AC76</f>
        <v>3475.8190943554318</v>
      </c>
      <c r="Y115" s="571">
        <f>'Energy supply'!AD75+'Energy supply'!AD76</f>
        <v>3557.5377226937862</v>
      </c>
      <c r="Z115" s="571">
        <f>'Energy supply'!AE75+'Energy supply'!AE76</f>
        <v>3639.8276177909929</v>
      </c>
      <c r="AA115" s="571">
        <f>'Energy supply'!AF75+'Energy supply'!AF76</f>
        <v>3722.6897146178335</v>
      </c>
      <c r="AB115" s="571">
        <f>'Energy supply'!AG75+'Energy supply'!AG76</f>
        <v>3806.1249479901162</v>
      </c>
      <c r="AC115" s="571">
        <f>'Energy supply'!AH75+'Energy supply'!AH76</f>
        <v>3890.1342525686732</v>
      </c>
      <c r="AD115" s="571">
        <f>'Energy supply'!AI75+'Energy supply'!AI76</f>
        <v>3974.7185628593656</v>
      </c>
      <c r="AE115" s="571">
        <f>'Energy supply'!AJ75+'Energy supply'!AJ76</f>
        <v>4059.8788132130799</v>
      </c>
      <c r="AF115" s="571">
        <f>'Energy supply'!AK75+'Energy supply'!AK76</f>
        <v>4145.6159378257298</v>
      </c>
      <c r="AG115" s="571">
        <f>'Energy supply'!AL75+'Energy supply'!AL76</f>
        <v>4231.9308707382552</v>
      </c>
      <c r="AH115" s="571">
        <f>'Energy supply'!AM75+'Energy supply'!AM76</f>
        <v>4318.8245458366237</v>
      </c>
      <c r="AI115" s="571">
        <f>'Energy supply'!AN75+'Energy supply'!AN76</f>
        <v>4406.2978968518237</v>
      </c>
      <c r="AJ115" s="571">
        <f>'Energy supply'!AO75+'Energy supply'!AO76</f>
        <v>4494.3518573598785</v>
      </c>
      <c r="AK115" s="571">
        <f>'Energy supply'!AP75+'Energy supply'!AP76</f>
        <v>4582.9873607818345</v>
      </c>
      <c r="AL115" s="571">
        <f>'Energy supply'!AQ75+'Energy supply'!AQ76</f>
        <v>4672.2053403837626</v>
      </c>
      <c r="AM115" s="571">
        <f>'Energy supply'!AR75+'Energy supply'!AR76</f>
        <v>4762.0067292767617</v>
      </c>
      <c r="AN115" s="571">
        <f>'Energy supply'!AS75+'Energy supply'!AS76</f>
        <v>4852.392460416957</v>
      </c>
      <c r="AO115" s="571">
        <f>'Energy supply'!AT75+'Energy supply'!AT76</f>
        <v>4943.3634666055013</v>
      </c>
      <c r="AP115" s="571">
        <f>'Energy supply'!AU75+'Energy supply'!AU76</f>
        <v>5034.9206804885716</v>
      </c>
      <c r="AQ115" s="571">
        <f>'Energy supply'!AV75+'Energy supply'!AV76</f>
        <v>5127.0650345573731</v>
      </c>
      <c r="AR115" s="571">
        <f>'Energy supply'!AW75+'Energy supply'!AW76</f>
        <v>5219.7974611481368</v>
      </c>
      <c r="AS115" s="571">
        <f>'Energy supply'!AX75+'Energy supply'!AX76</f>
        <v>5313.1188924421313</v>
      </c>
    </row>
    <row r="116" spans="1:45" s="229" customFormat="1" outlineLevel="1">
      <c r="A116" s="229">
        <v>10</v>
      </c>
      <c r="B116" s="229" t="str">
        <f t="shared" si="24"/>
        <v>10</v>
      </c>
      <c r="C116" s="234"/>
      <c r="E116" s="313"/>
      <c r="F116" s="313"/>
      <c r="G116" s="234"/>
      <c r="I116" s="313"/>
      <c r="J116" s="247"/>
      <c r="K116" s="247"/>
      <c r="L116" s="247"/>
      <c r="M116" s="247"/>
      <c r="N116" s="247"/>
      <c r="O116" s="247"/>
      <c r="P116" s="247"/>
      <c r="Q116" s="247"/>
      <c r="R116" s="247"/>
      <c r="S116" s="247"/>
      <c r="T116" s="247"/>
      <c r="U116" s="247"/>
      <c r="V116" s="247"/>
      <c r="W116" s="247"/>
      <c r="X116" s="247"/>
      <c r="Y116" s="247"/>
      <c r="Z116" s="247"/>
      <c r="AA116" s="247"/>
      <c r="AB116" s="247"/>
      <c r="AC116" s="247"/>
      <c r="AD116" s="247"/>
      <c r="AE116" s="247"/>
      <c r="AF116" s="247"/>
      <c r="AG116" s="247"/>
      <c r="AH116" s="247"/>
      <c r="AI116" s="247"/>
      <c r="AJ116" s="247"/>
      <c r="AK116" s="247"/>
      <c r="AL116" s="247"/>
      <c r="AM116" s="247"/>
      <c r="AN116" s="247"/>
      <c r="AO116" s="247"/>
      <c r="AP116" s="247"/>
      <c r="AQ116" s="247"/>
      <c r="AR116" s="247"/>
      <c r="AS116" s="247"/>
    </row>
    <row r="117" spans="1:45" s="229" customFormat="1" outlineLevel="1">
      <c r="A117" s="229">
        <v>11</v>
      </c>
      <c r="B117" s="229" t="str">
        <f t="shared" si="24"/>
        <v>11</v>
      </c>
      <c r="C117" s="234"/>
      <c r="E117" s="313"/>
      <c r="F117" s="313"/>
      <c r="G117" s="234"/>
      <c r="I117" s="313"/>
      <c r="J117" s="247"/>
      <c r="K117" s="247"/>
      <c r="L117" s="247"/>
      <c r="M117" s="247"/>
      <c r="N117" s="247"/>
      <c r="O117" s="247"/>
      <c r="P117" s="247"/>
      <c r="Q117" s="247"/>
      <c r="R117" s="247"/>
      <c r="S117" s="247"/>
      <c r="T117" s="247"/>
      <c r="U117" s="247"/>
      <c r="V117" s="247"/>
      <c r="W117" s="247"/>
      <c r="X117" s="247"/>
      <c r="Y117" s="247"/>
      <c r="Z117" s="247"/>
      <c r="AA117" s="247"/>
      <c r="AB117" s="247"/>
      <c r="AC117" s="247"/>
      <c r="AD117" s="247"/>
      <c r="AE117" s="247"/>
      <c r="AF117" s="247"/>
      <c r="AG117" s="247"/>
      <c r="AH117" s="247"/>
      <c r="AI117" s="247"/>
      <c r="AJ117" s="247"/>
      <c r="AK117" s="247"/>
      <c r="AL117" s="247"/>
      <c r="AM117" s="247"/>
      <c r="AN117" s="247"/>
      <c r="AO117" s="247"/>
      <c r="AP117" s="247"/>
      <c r="AQ117" s="247"/>
      <c r="AR117" s="247"/>
      <c r="AS117" s="247"/>
    </row>
    <row r="118" spans="1:45" s="238" customFormat="1" outlineLevel="1">
      <c r="A118" s="229" t="s">
        <v>208</v>
      </c>
      <c r="B118" s="229" t="str">
        <f>A118&amp;C118</f>
        <v>NBuildingsEnergy Demand by technology</v>
      </c>
      <c r="C118" s="234" t="str">
        <f t="shared" ref="C118" si="26">$A$103&amp;$B$103</f>
        <v>BuildingsEnergy Demand by technology</v>
      </c>
      <c r="E118" s="236" t="s">
        <v>223</v>
      </c>
    </row>
    <row r="119" spans="1:45" s="238" customFormat="1" outlineLevel="1">
      <c r="A119" s="229"/>
      <c r="B119" s="229"/>
      <c r="C119" s="234"/>
      <c r="E119" s="236"/>
    </row>
    <row r="120" spans="1:45" outlineLevel="1"/>
    <row r="121" spans="1:45" s="298" customFormat="1" outlineLevel="1">
      <c r="A121" s="298" t="s">
        <v>156</v>
      </c>
      <c r="B121" s="298" t="s">
        <v>167</v>
      </c>
    </row>
    <row r="122" spans="1:45" outlineLevel="1">
      <c r="A122" s="229" t="s">
        <v>175</v>
      </c>
      <c r="B122" s="229" t="s">
        <v>176</v>
      </c>
      <c r="C122" s="229" t="s">
        <v>177</v>
      </c>
      <c r="D122" s="230"/>
      <c r="E122" s="230" t="s">
        <v>178</v>
      </c>
      <c r="F122" s="230"/>
      <c r="G122" s="230" t="s">
        <v>179</v>
      </c>
      <c r="H122" s="230" t="s">
        <v>180</v>
      </c>
      <c r="I122" s="230"/>
      <c r="J122" s="230">
        <v>2015</v>
      </c>
      <c r="K122" s="230">
        <v>2016</v>
      </c>
      <c r="L122" s="230">
        <v>2017</v>
      </c>
      <c r="M122" s="230">
        <v>2018</v>
      </c>
      <c r="N122" s="230">
        <v>2019</v>
      </c>
      <c r="O122" s="230">
        <v>2020</v>
      </c>
      <c r="P122" s="230">
        <v>2021</v>
      </c>
      <c r="Q122" s="230">
        <v>2022</v>
      </c>
      <c r="R122" s="230">
        <v>2023</v>
      </c>
      <c r="S122" s="230">
        <v>2024</v>
      </c>
      <c r="T122" s="230">
        <v>2025</v>
      </c>
      <c r="U122" s="230">
        <v>2026</v>
      </c>
      <c r="V122" s="230">
        <v>2027</v>
      </c>
      <c r="W122" s="230">
        <v>2028</v>
      </c>
      <c r="X122" s="230">
        <v>2029</v>
      </c>
      <c r="Y122" s="230">
        <v>2030</v>
      </c>
      <c r="Z122" s="230">
        <v>2031</v>
      </c>
      <c r="AA122" s="230">
        <v>2032</v>
      </c>
      <c r="AB122" s="230">
        <v>2033</v>
      </c>
      <c r="AC122" s="230">
        <v>2034</v>
      </c>
      <c r="AD122" s="230">
        <v>2035</v>
      </c>
      <c r="AE122" s="230">
        <v>2036</v>
      </c>
      <c r="AF122" s="230">
        <v>2037</v>
      </c>
      <c r="AG122" s="230">
        <v>2038</v>
      </c>
      <c r="AH122" s="230">
        <v>2039</v>
      </c>
      <c r="AI122" s="230">
        <v>2040</v>
      </c>
      <c r="AJ122" s="230">
        <v>2041</v>
      </c>
      <c r="AK122" s="230">
        <v>2042</v>
      </c>
      <c r="AL122" s="230">
        <v>2043</v>
      </c>
      <c r="AM122" s="230">
        <v>2044</v>
      </c>
      <c r="AN122" s="230">
        <v>2045</v>
      </c>
      <c r="AO122" s="230">
        <v>2046</v>
      </c>
      <c r="AP122" s="230">
        <v>2047</v>
      </c>
      <c r="AQ122" s="230">
        <v>2048</v>
      </c>
      <c r="AR122" s="230">
        <v>2049</v>
      </c>
      <c r="AS122" s="230">
        <v>2050</v>
      </c>
    </row>
    <row r="123" spans="1:45" outlineLevel="1"/>
    <row r="124" spans="1:45" s="229" customFormat="1" outlineLevel="1">
      <c r="A124" s="229">
        <v>0</v>
      </c>
      <c r="B124" s="229" t="str">
        <f t="shared" ref="B124:B135" si="27">A124&amp;C124</f>
        <v>0BuildingsEnergy use by fuel</v>
      </c>
      <c r="C124" s="234" t="str">
        <f>$A$121&amp;$B$121</f>
        <v>BuildingsEnergy use by fuel</v>
      </c>
      <c r="E124" s="248" t="s">
        <v>196</v>
      </c>
      <c r="G124" s="234"/>
      <c r="J124" s="237"/>
      <c r="K124" s="237"/>
      <c r="L124" s="237"/>
      <c r="M124" s="237"/>
      <c r="N124" s="237"/>
      <c r="O124" s="237"/>
      <c r="P124" s="237"/>
      <c r="Q124" s="237"/>
      <c r="R124" s="237"/>
      <c r="S124" s="237"/>
      <c r="T124" s="237"/>
      <c r="U124" s="237"/>
      <c r="V124" s="237"/>
      <c r="W124" s="237"/>
      <c r="X124" s="237"/>
      <c r="Y124" s="237"/>
      <c r="Z124" s="237"/>
      <c r="AA124" s="237"/>
      <c r="AB124" s="237"/>
      <c r="AC124" s="237"/>
      <c r="AD124" s="237"/>
      <c r="AE124" s="237"/>
      <c r="AF124" s="237"/>
      <c r="AG124" s="237"/>
      <c r="AH124" s="237"/>
      <c r="AI124" s="237"/>
      <c r="AJ124" s="237"/>
      <c r="AK124" s="237"/>
      <c r="AL124" s="237"/>
      <c r="AM124" s="237"/>
      <c r="AN124" s="237"/>
      <c r="AO124" s="237"/>
      <c r="AP124" s="237"/>
      <c r="AQ124" s="237"/>
      <c r="AR124" s="237"/>
      <c r="AS124" s="237"/>
    </row>
    <row r="125" spans="1:45" s="247" customFormat="1" outlineLevel="1">
      <c r="A125" s="229">
        <v>1</v>
      </c>
      <c r="B125" s="229" t="str">
        <f t="shared" si="27"/>
        <v>1BuildingsEnergy use by fuel</v>
      </c>
      <c r="C125" s="234" t="str">
        <f t="shared" ref="C125:C129" si="28">$A$121&amp;$B$121</f>
        <v>BuildingsEnergy use by fuel</v>
      </c>
      <c r="D125" s="229"/>
      <c r="E125" s="313" t="s">
        <v>209</v>
      </c>
      <c r="F125" s="313"/>
      <c r="G125" s="234" t="s">
        <v>198</v>
      </c>
      <c r="H125" s="229"/>
      <c r="I125" s="313"/>
      <c r="J125" s="573">
        <f t="shared" ref="J125:AS125" si="29">J54</f>
        <v>23022.491220522836</v>
      </c>
      <c r="K125" s="573">
        <f t="shared" si="29"/>
        <v>22857.150368722228</v>
      </c>
      <c r="L125" s="573">
        <f t="shared" si="29"/>
        <v>22700.504027657673</v>
      </c>
      <c r="M125" s="573">
        <f t="shared" si="29"/>
        <v>22546.46367872092</v>
      </c>
      <c r="N125" s="573">
        <f t="shared" si="29"/>
        <v>22372.410732629512</v>
      </c>
      <c r="O125" s="573">
        <f t="shared" si="29"/>
        <v>21925.495437428985</v>
      </c>
      <c r="P125" s="573">
        <f t="shared" si="29"/>
        <v>21583.595412783448</v>
      </c>
      <c r="Q125" s="573">
        <f t="shared" si="29"/>
        <v>20748.310624092504</v>
      </c>
      <c r="R125" s="573">
        <f t="shared" si="29"/>
        <v>19415.707191187699</v>
      </c>
      <c r="S125" s="573">
        <f t="shared" si="29"/>
        <v>17726.064032148552</v>
      </c>
      <c r="T125" s="573">
        <f t="shared" si="29"/>
        <v>15991.962658518109</v>
      </c>
      <c r="U125" s="573">
        <f t="shared" si="29"/>
        <v>14163.37944253981</v>
      </c>
      <c r="V125" s="573">
        <f t="shared" si="29"/>
        <v>12229.094150095676</v>
      </c>
      <c r="W125" s="573">
        <f t="shared" si="29"/>
        <v>10610.707765162191</v>
      </c>
      <c r="X125" s="573">
        <f t="shared" si="29"/>
        <v>9194.811202893181</v>
      </c>
      <c r="Y125" s="573">
        <f t="shared" si="29"/>
        <v>7989.7008722779856</v>
      </c>
      <c r="Z125" s="573">
        <f t="shared" si="29"/>
        <v>6922.8371869765206</v>
      </c>
      <c r="AA125" s="573">
        <f t="shared" si="29"/>
        <v>5964.3708428367381</v>
      </c>
      <c r="AB125" s="573">
        <f t="shared" si="29"/>
        <v>5098.4686373566283</v>
      </c>
      <c r="AC125" s="573">
        <f>AC54</f>
        <v>4314.716505770295</v>
      </c>
      <c r="AD125" s="573">
        <f t="shared" si="29"/>
        <v>3687.3182240952351</v>
      </c>
      <c r="AE125" s="573">
        <f>AE54</f>
        <v>2863.9455435562309</v>
      </c>
      <c r="AF125" s="573">
        <f t="shared" si="29"/>
        <v>2260.3672791725789</v>
      </c>
      <c r="AG125" s="573">
        <f t="shared" si="29"/>
        <v>1841.2507002983614</v>
      </c>
      <c r="AH125" s="573">
        <f t="shared" si="29"/>
        <v>1684.1530315613204</v>
      </c>
      <c r="AI125" s="573">
        <f t="shared" si="29"/>
        <v>1530.2425312504242</v>
      </c>
      <c r="AJ125" s="573">
        <f t="shared" si="29"/>
        <v>1368.3994468115666</v>
      </c>
      <c r="AK125" s="573">
        <f t="shared" si="29"/>
        <v>1210.88360213443</v>
      </c>
      <c r="AL125" s="573">
        <f t="shared" si="29"/>
        <v>1056.7923790612883</v>
      </c>
      <c r="AM125" s="573">
        <f t="shared" si="29"/>
        <v>905.23324419498749</v>
      </c>
      <c r="AN125" s="573">
        <f t="shared" si="29"/>
        <v>755.32236560933723</v>
      </c>
      <c r="AO125" s="573">
        <f t="shared" si="29"/>
        <v>615.14322702129084</v>
      </c>
      <c r="AP125" s="573">
        <f t="shared" si="29"/>
        <v>469.855139361017</v>
      </c>
      <c r="AQ125" s="573">
        <f t="shared" si="29"/>
        <v>319.12295661959263</v>
      </c>
      <c r="AR125" s="573">
        <f t="shared" si="29"/>
        <v>162.61450570960335</v>
      </c>
      <c r="AS125" s="573">
        <f t="shared" si="29"/>
        <v>0</v>
      </c>
    </row>
    <row r="126" spans="1:45" s="247" customFormat="1" outlineLevel="1">
      <c r="A126" s="229">
        <v>2</v>
      </c>
      <c r="B126" s="229" t="str">
        <f t="shared" si="27"/>
        <v>2BuildingsEnergy use by fuel</v>
      </c>
      <c r="C126" s="234" t="str">
        <f t="shared" si="28"/>
        <v>BuildingsEnergy use by fuel</v>
      </c>
      <c r="D126" s="229"/>
      <c r="E126" s="313" t="s">
        <v>210</v>
      </c>
      <c r="F126" s="229"/>
      <c r="G126" s="234" t="s">
        <v>198</v>
      </c>
      <c r="H126" s="229"/>
      <c r="I126" s="229"/>
      <c r="J126" s="573">
        <f ca="1">J55</f>
        <v>18369.417903225429</v>
      </c>
      <c r="K126" s="573">
        <f t="shared" ref="K126:AS126" ca="1" si="30">K55</f>
        <v>18490.192307900485</v>
      </c>
      <c r="L126" s="573">
        <f t="shared" ca="1" si="30"/>
        <v>18605.335036448763</v>
      </c>
      <c r="M126" s="573">
        <f t="shared" ca="1" si="30"/>
        <v>18726.295865602191</v>
      </c>
      <c r="N126" s="573">
        <f t="shared" ca="1" si="30"/>
        <v>18792.699264965926</v>
      </c>
      <c r="O126" s="573">
        <f t="shared" ca="1" si="30"/>
        <v>18891.581594398824</v>
      </c>
      <c r="P126" s="573">
        <f t="shared" ca="1" si="30"/>
        <v>18915.407070934063</v>
      </c>
      <c r="Q126" s="573">
        <f t="shared" ca="1" si="30"/>
        <v>18942.554583356305</v>
      </c>
      <c r="R126" s="573">
        <f t="shared" ca="1" si="30"/>
        <v>18879.550623058967</v>
      </c>
      <c r="S126" s="573">
        <f t="shared" ca="1" si="30"/>
        <v>18747.505870432138</v>
      </c>
      <c r="T126" s="573">
        <f t="shared" ca="1" si="30"/>
        <v>18577.23959422611</v>
      </c>
      <c r="U126" s="573">
        <f t="shared" ca="1" si="30"/>
        <v>18387.85427727169</v>
      </c>
      <c r="V126" s="573">
        <f t="shared" ca="1" si="30"/>
        <v>18242.957639333166</v>
      </c>
      <c r="W126" s="573">
        <f t="shared" ca="1" si="30"/>
        <v>18077.112942572545</v>
      </c>
      <c r="X126" s="573">
        <f t="shared" ca="1" si="30"/>
        <v>17850.447376066335</v>
      </c>
      <c r="Y126" s="573">
        <f t="shared" ca="1" si="30"/>
        <v>17578.931366868295</v>
      </c>
      <c r="Z126" s="573">
        <f t="shared" ca="1" si="30"/>
        <v>17836.6431637676</v>
      </c>
      <c r="AA126" s="573">
        <f t="shared" ca="1" si="30"/>
        <v>18098.547895329317</v>
      </c>
      <c r="AB126" s="573">
        <f t="shared" ca="1" si="30"/>
        <v>18370.263653406153</v>
      </c>
      <c r="AC126" s="573">
        <f t="shared" ca="1" si="30"/>
        <v>18647.090684130988</v>
      </c>
      <c r="AD126" s="573">
        <f t="shared" ca="1" si="30"/>
        <v>18970.786275600094</v>
      </c>
      <c r="AE126" s="573">
        <f t="shared" ca="1" si="30"/>
        <v>19484.11481710065</v>
      </c>
      <c r="AF126" s="573">
        <f t="shared" ca="1" si="30"/>
        <v>19897.048174089821</v>
      </c>
      <c r="AG126" s="573">
        <f t="shared" ca="1" si="30"/>
        <v>20242.824847739594</v>
      </c>
      <c r="AH126" s="573">
        <f t="shared" ca="1" si="30"/>
        <v>20552.407074642251</v>
      </c>
      <c r="AI126" s="573">
        <f t="shared" ca="1" si="30"/>
        <v>20859.534462834446</v>
      </c>
      <c r="AJ126" s="573">
        <f t="shared" ca="1" si="30"/>
        <v>21121.697465305126</v>
      </c>
      <c r="AK126" s="573">
        <f t="shared" ca="1" si="30"/>
        <v>21380.904229582778</v>
      </c>
      <c r="AL126" s="573">
        <f t="shared" ca="1" si="30"/>
        <v>21638.323793286967</v>
      </c>
      <c r="AM126" s="573">
        <f t="shared" ca="1" si="30"/>
        <v>21895.338895845689</v>
      </c>
      <c r="AN126" s="573">
        <f t="shared" ca="1" si="30"/>
        <v>22153.104012310672</v>
      </c>
      <c r="AO126" s="573">
        <f t="shared" ca="1" si="30"/>
        <v>22420.870182561921</v>
      </c>
      <c r="AP126" s="573">
        <f t="shared" ca="1" si="30"/>
        <v>22693.510734602256</v>
      </c>
      <c r="AQ126" s="573">
        <f t="shared" ca="1" si="30"/>
        <v>22971.716991050656</v>
      </c>
      <c r="AR126" s="573">
        <f t="shared" ca="1" si="30"/>
        <v>23255.803597664064</v>
      </c>
      <c r="AS126" s="573">
        <f t="shared" ca="1" si="30"/>
        <v>23546.275332340902</v>
      </c>
    </row>
    <row r="127" spans="1:45" s="247" customFormat="1" outlineLevel="1">
      <c r="A127" s="229">
        <v>3</v>
      </c>
      <c r="B127" s="229" t="str">
        <f t="shared" si="27"/>
        <v>3BuildingsEnergy use by fuel</v>
      </c>
      <c r="C127" s="234" t="str">
        <f t="shared" si="28"/>
        <v>BuildingsEnergy use by fuel</v>
      </c>
      <c r="D127" s="229"/>
      <c r="E127" s="313" t="s">
        <v>160</v>
      </c>
      <c r="F127" s="313"/>
      <c r="G127" s="234" t="s">
        <v>198</v>
      </c>
      <c r="H127" s="229"/>
      <c r="I127" s="313"/>
      <c r="J127" s="573">
        <f t="shared" ref="J127:AS127" si="31">J56</f>
        <v>739.56657927182334</v>
      </c>
      <c r="K127" s="573">
        <f t="shared" si="31"/>
        <v>762.86966259856035</v>
      </c>
      <c r="L127" s="573">
        <f t="shared" si="31"/>
        <v>788.32971793643105</v>
      </c>
      <c r="M127" s="573">
        <f t="shared" si="31"/>
        <v>815.82168099275123</v>
      </c>
      <c r="N127" s="573">
        <f t="shared" si="31"/>
        <v>845.22048747483814</v>
      </c>
      <c r="O127" s="573">
        <f t="shared" si="31"/>
        <v>1034.0493678672949</v>
      </c>
      <c r="P127" s="573">
        <f t="shared" si="31"/>
        <v>1129.19246953526</v>
      </c>
      <c r="Q127" s="573">
        <f t="shared" si="31"/>
        <v>1236.1364863339136</v>
      </c>
      <c r="R127" s="573">
        <f t="shared" si="31"/>
        <v>1336.0528920332908</v>
      </c>
      <c r="S127" s="573">
        <f t="shared" si="31"/>
        <v>1429.1604364249142</v>
      </c>
      <c r="T127" s="573">
        <f t="shared" si="31"/>
        <v>1515.0586166910157</v>
      </c>
      <c r="U127" s="573">
        <f t="shared" si="31"/>
        <v>1513.8210966696399</v>
      </c>
      <c r="V127" s="573">
        <f t="shared" si="31"/>
        <v>1509.2928453324575</v>
      </c>
      <c r="W127" s="573">
        <f t="shared" si="31"/>
        <v>1501.7687482195295</v>
      </c>
      <c r="X127" s="573">
        <f t="shared" si="31"/>
        <v>1491.5616370924172</v>
      </c>
      <c r="Y127" s="573">
        <f t="shared" si="31"/>
        <v>1478.9138320213729</v>
      </c>
      <c r="Z127" s="573">
        <f t="shared" si="31"/>
        <v>1467.2910550050206</v>
      </c>
      <c r="AA127" s="573">
        <f t="shared" si="31"/>
        <v>1450.1326642464805</v>
      </c>
      <c r="AB127" s="573">
        <f t="shared" si="31"/>
        <v>1383.1365193767042</v>
      </c>
      <c r="AC127" s="573">
        <f t="shared" si="31"/>
        <v>1309.4560302206119</v>
      </c>
      <c r="AD127" s="573">
        <f t="shared" si="31"/>
        <v>1234.1964464798082</v>
      </c>
      <c r="AE127" s="573">
        <f t="shared" si="31"/>
        <v>1159.9331586825081</v>
      </c>
      <c r="AF127" s="573">
        <f t="shared" si="31"/>
        <v>1086.1728856686652</v>
      </c>
      <c r="AG127" s="573">
        <f t="shared" si="31"/>
        <v>1013.5318255772004</v>
      </c>
      <c r="AH127" s="573">
        <f t="shared" si="31"/>
        <v>934.77289291941929</v>
      </c>
      <c r="AI127" s="573">
        <f t="shared" si="31"/>
        <v>857.04445130979786</v>
      </c>
      <c r="AJ127" s="573">
        <f t="shared" si="31"/>
        <v>800.67698087706412</v>
      </c>
      <c r="AK127" s="573">
        <f t="shared" si="31"/>
        <v>743.37437347921707</v>
      </c>
      <c r="AL127" s="573">
        <f t="shared" si="31"/>
        <v>685.42353829683861</v>
      </c>
      <c r="AM127" s="573">
        <f t="shared" si="31"/>
        <v>627.11081314898047</v>
      </c>
      <c r="AN127" s="573">
        <f t="shared" si="31"/>
        <v>568.7217784305758</v>
      </c>
      <c r="AO127" s="573">
        <f t="shared" si="31"/>
        <v>497.29449537298933</v>
      </c>
      <c r="AP127" s="573">
        <f t="shared" si="31"/>
        <v>467.71465756249108</v>
      </c>
      <c r="AQ127" s="573">
        <f t="shared" si="31"/>
        <v>438.71128847642399</v>
      </c>
      <c r="AR127" s="573">
        <f t="shared" si="31"/>
        <v>410.3143403790549</v>
      </c>
      <c r="AS127" s="573">
        <f t="shared" si="31"/>
        <v>382.55397788603932</v>
      </c>
    </row>
    <row r="128" spans="1:45" s="247" customFormat="1" outlineLevel="1">
      <c r="A128" s="229">
        <v>4</v>
      </c>
      <c r="B128" s="229" t="str">
        <f t="shared" si="27"/>
        <v>4BuildingsEnergy use by fuel</v>
      </c>
      <c r="C128" s="234" t="str">
        <f t="shared" si="28"/>
        <v>BuildingsEnergy use by fuel</v>
      </c>
      <c r="D128" s="229"/>
      <c r="E128" s="313" t="s">
        <v>211</v>
      </c>
      <c r="F128" s="229"/>
      <c r="G128" s="234" t="s">
        <v>198</v>
      </c>
      <c r="H128" s="229"/>
      <c r="I128" s="229"/>
      <c r="J128" s="573">
        <f t="shared" ref="J128:AS128" ca="1" si="32">J57</f>
        <v>0</v>
      </c>
      <c r="K128" s="573">
        <f t="shared" ca="1" si="32"/>
        <v>0</v>
      </c>
      <c r="L128" s="573">
        <f t="shared" ca="1" si="32"/>
        <v>0</v>
      </c>
      <c r="M128" s="573">
        <f t="shared" ca="1" si="32"/>
        <v>0</v>
      </c>
      <c r="N128" s="573">
        <f t="shared" ca="1" si="32"/>
        <v>0</v>
      </c>
      <c r="O128" s="573">
        <f t="shared" ca="1" si="32"/>
        <v>0</v>
      </c>
      <c r="P128" s="573">
        <f t="shared" ca="1" si="32"/>
        <v>1.0760534122777656</v>
      </c>
      <c r="Q128" s="573">
        <f t="shared" ca="1" si="32"/>
        <v>1.1094068587070165</v>
      </c>
      <c r="R128" s="573">
        <f t="shared" ca="1" si="32"/>
        <v>1.2310635397140486</v>
      </c>
      <c r="S128" s="573">
        <f t="shared" ca="1" si="32"/>
        <v>1.3895924299599325</v>
      </c>
      <c r="T128" s="573">
        <f t="shared" ca="1" si="32"/>
        <v>1.6196337930077838</v>
      </c>
      <c r="U128" s="573">
        <f t="shared" ca="1" si="32"/>
        <v>9.7095961761249683</v>
      </c>
      <c r="V128" s="573">
        <f t="shared" ca="1" si="32"/>
        <v>93.22220389570117</v>
      </c>
      <c r="W128" s="573">
        <f t="shared" ca="1" si="32"/>
        <v>158.06008637335844</v>
      </c>
      <c r="X128" s="573">
        <f t="shared" ca="1" si="32"/>
        <v>206.89288994262006</v>
      </c>
      <c r="Y128" s="573">
        <f t="shared" ca="1" si="32"/>
        <v>245.73529742348884</v>
      </c>
      <c r="Z128" s="573">
        <f t="shared" ca="1" si="32"/>
        <v>326.39103862749772</v>
      </c>
      <c r="AA128" s="573">
        <f t="shared" ca="1" si="32"/>
        <v>387.86323950185209</v>
      </c>
      <c r="AB128" s="573">
        <f t="shared" ca="1" si="32"/>
        <v>432.62839504065414</v>
      </c>
      <c r="AC128" s="573">
        <f t="shared" ca="1" si="32"/>
        <v>462.06411964818369</v>
      </c>
      <c r="AD128" s="573">
        <f t="shared" ca="1" si="32"/>
        <v>436.11994217789504</v>
      </c>
      <c r="AE128" s="573">
        <f t="shared" ca="1" si="32"/>
        <v>393.24597802156563</v>
      </c>
      <c r="AF128" s="573">
        <f t="shared" ca="1" si="32"/>
        <v>368.25868956316947</v>
      </c>
      <c r="AG128" s="573">
        <f t="shared" ca="1" si="32"/>
        <v>358.17874890038081</v>
      </c>
      <c r="AH128" s="573">
        <f t="shared" ca="1" si="32"/>
        <v>369.18562152392991</v>
      </c>
      <c r="AI128" s="573">
        <f t="shared" ca="1" si="32"/>
        <v>380.81073862452502</v>
      </c>
      <c r="AJ128" s="573">
        <f t="shared" ca="1" si="32"/>
        <v>383.91002267311671</v>
      </c>
      <c r="AK128" s="573">
        <f t="shared" ca="1" si="32"/>
        <v>387.05729818144732</v>
      </c>
      <c r="AL128" s="573">
        <f t="shared" ca="1" si="32"/>
        <v>390.20399742794325</v>
      </c>
      <c r="AM128" s="573">
        <f t="shared" ca="1" si="32"/>
        <v>393.04296908833834</v>
      </c>
      <c r="AN128" s="573">
        <f t="shared" ca="1" si="32"/>
        <v>395.73267811568962</v>
      </c>
      <c r="AO128" s="573">
        <f t="shared" ca="1" si="32"/>
        <v>391.59250735340942</v>
      </c>
      <c r="AP128" s="573">
        <f t="shared" ca="1" si="32"/>
        <v>386.68746245045224</v>
      </c>
      <c r="AQ128" s="573">
        <f t="shared" ca="1" si="32"/>
        <v>380.82216628980905</v>
      </c>
      <c r="AR128" s="573">
        <f t="shared" ca="1" si="32"/>
        <v>374.18906325763783</v>
      </c>
      <c r="AS128" s="573">
        <f t="shared" ca="1" si="32"/>
        <v>366.73224702612265</v>
      </c>
    </row>
    <row r="129" spans="1:45" s="235" customFormat="1" outlineLevel="1">
      <c r="A129" s="229">
        <v>5</v>
      </c>
      <c r="B129" s="229" t="str">
        <f t="shared" si="27"/>
        <v>5BuildingsEnergy use by fuel</v>
      </c>
      <c r="C129" s="234" t="str">
        <f t="shared" si="28"/>
        <v>BuildingsEnergy use by fuel</v>
      </c>
      <c r="D129" s="229"/>
      <c r="E129" s="313" t="s">
        <v>97</v>
      </c>
      <c r="F129" s="229"/>
      <c r="G129" s="234" t="s">
        <v>198</v>
      </c>
      <c r="H129" s="229"/>
      <c r="I129" s="229"/>
      <c r="J129" s="573">
        <f t="shared" ref="J129:AS129" si="33">J58</f>
        <v>9.6303681590198291</v>
      </c>
      <c r="K129" s="573">
        <f t="shared" si="33"/>
        <v>16.99338499831552</v>
      </c>
      <c r="L129" s="573">
        <f t="shared" si="33"/>
        <v>24.356401837611216</v>
      </c>
      <c r="M129" s="573">
        <f t="shared" si="33"/>
        <v>31.719418676906919</v>
      </c>
      <c r="N129" s="573">
        <f t="shared" si="33"/>
        <v>39.082435516202608</v>
      </c>
      <c r="O129" s="573">
        <f t="shared" si="33"/>
        <v>46.445452355498304</v>
      </c>
      <c r="P129" s="573">
        <f t="shared" si="33"/>
        <v>53.808469194793993</v>
      </c>
      <c r="Q129" s="573">
        <f t="shared" si="33"/>
        <v>61.171486034089696</v>
      </c>
      <c r="R129" s="573">
        <f t="shared" si="33"/>
        <v>68.534502873385364</v>
      </c>
      <c r="S129" s="573">
        <f t="shared" si="33"/>
        <v>75.897519712681088</v>
      </c>
      <c r="T129" s="573">
        <f t="shared" si="33"/>
        <v>83.260536551976756</v>
      </c>
      <c r="U129" s="573">
        <f t="shared" si="33"/>
        <v>98.609239611667334</v>
      </c>
      <c r="V129" s="573">
        <f t="shared" si="33"/>
        <v>113.95794267135783</v>
      </c>
      <c r="W129" s="573">
        <f t="shared" si="33"/>
        <v>129.30664573104835</v>
      </c>
      <c r="X129" s="573">
        <f t="shared" si="33"/>
        <v>144.65534879073888</v>
      </c>
      <c r="Y129" s="573">
        <f t="shared" si="33"/>
        <v>160.00405185042945</v>
      </c>
      <c r="Z129" s="573">
        <f t="shared" si="33"/>
        <v>175.35275491011993</v>
      </c>
      <c r="AA129" s="573">
        <f t="shared" si="33"/>
        <v>190.70145796981046</v>
      </c>
      <c r="AB129" s="573">
        <f t="shared" si="33"/>
        <v>206.050161029501</v>
      </c>
      <c r="AC129" s="573">
        <f t="shared" si="33"/>
        <v>221.39886408919156</v>
      </c>
      <c r="AD129" s="573">
        <f t="shared" si="33"/>
        <v>236.74756714888207</v>
      </c>
      <c r="AE129" s="573">
        <f t="shared" si="33"/>
        <v>252.09627020857255</v>
      </c>
      <c r="AF129" s="573">
        <f t="shared" si="33"/>
        <v>267.44497326826308</v>
      </c>
      <c r="AG129" s="573">
        <f t="shared" si="33"/>
        <v>282.79367632795356</v>
      </c>
      <c r="AH129" s="573">
        <f t="shared" si="33"/>
        <v>298.14237938764416</v>
      </c>
      <c r="AI129" s="573">
        <f t="shared" si="33"/>
        <v>313.49108244733469</v>
      </c>
      <c r="AJ129" s="573">
        <f t="shared" si="33"/>
        <v>328.83978550702523</v>
      </c>
      <c r="AK129" s="573">
        <f t="shared" si="33"/>
        <v>344.18848856671576</v>
      </c>
      <c r="AL129" s="573">
        <f t="shared" si="33"/>
        <v>359.5371916264063</v>
      </c>
      <c r="AM129" s="573">
        <f t="shared" si="33"/>
        <v>374.88589468609678</v>
      </c>
      <c r="AN129" s="573">
        <f t="shared" si="33"/>
        <v>390.23459774578731</v>
      </c>
      <c r="AO129" s="573">
        <f t="shared" si="33"/>
        <v>405.58330080547785</v>
      </c>
      <c r="AP129" s="573">
        <f t="shared" si="33"/>
        <v>420.93200386516844</v>
      </c>
      <c r="AQ129" s="573">
        <f t="shared" si="33"/>
        <v>436.28070692485892</v>
      </c>
      <c r="AR129" s="573">
        <f t="shared" si="33"/>
        <v>451.6294099845494</v>
      </c>
      <c r="AS129" s="573">
        <f t="shared" si="33"/>
        <v>466.97811304423999</v>
      </c>
    </row>
    <row r="130" spans="1:45" s="229" customFormat="1" outlineLevel="1">
      <c r="A130" s="229">
        <v>6</v>
      </c>
      <c r="B130" s="229" t="str">
        <f t="shared" si="27"/>
        <v>6</v>
      </c>
      <c r="C130" s="234"/>
      <c r="E130" s="313"/>
      <c r="F130" s="313"/>
      <c r="G130" s="234"/>
      <c r="I130" s="313"/>
      <c r="J130" s="235"/>
      <c r="K130" s="235"/>
      <c r="L130" s="235"/>
      <c r="M130" s="235"/>
      <c r="N130" s="235"/>
      <c r="O130" s="235"/>
      <c r="P130" s="235"/>
      <c r="Q130" s="235"/>
      <c r="R130" s="235"/>
      <c r="S130" s="235"/>
      <c r="T130" s="235"/>
      <c r="U130" s="235"/>
      <c r="V130" s="235"/>
      <c r="W130" s="235"/>
      <c r="X130" s="235"/>
      <c r="Y130" s="235"/>
      <c r="Z130" s="235"/>
      <c r="AA130" s="235"/>
      <c r="AB130" s="235"/>
      <c r="AC130" s="235"/>
      <c r="AD130" s="235"/>
      <c r="AE130" s="235"/>
      <c r="AF130" s="235"/>
      <c r="AG130" s="235"/>
      <c r="AH130" s="235"/>
      <c r="AI130" s="235"/>
      <c r="AJ130" s="235"/>
      <c r="AK130" s="235"/>
      <c r="AL130" s="235"/>
      <c r="AM130" s="235"/>
      <c r="AN130" s="235"/>
      <c r="AO130" s="235"/>
      <c r="AP130" s="235"/>
      <c r="AQ130" s="235"/>
      <c r="AR130" s="235"/>
      <c r="AS130" s="235"/>
    </row>
    <row r="131" spans="1:45" s="229" customFormat="1" outlineLevel="1">
      <c r="A131" s="229">
        <v>7</v>
      </c>
      <c r="B131" s="229" t="str">
        <f t="shared" si="27"/>
        <v>7</v>
      </c>
      <c r="C131" s="234"/>
      <c r="E131" s="313"/>
      <c r="F131" s="313"/>
      <c r="G131" s="234"/>
      <c r="I131" s="313"/>
      <c r="J131" s="247"/>
      <c r="K131" s="247"/>
      <c r="L131" s="247"/>
      <c r="M131" s="247"/>
      <c r="N131" s="247"/>
      <c r="O131" s="247"/>
      <c r="P131" s="247"/>
      <c r="Q131" s="247"/>
      <c r="R131" s="247"/>
      <c r="S131" s="247"/>
      <c r="T131" s="247"/>
      <c r="U131" s="247"/>
      <c r="V131" s="247"/>
      <c r="W131" s="247"/>
      <c r="X131" s="247"/>
      <c r="Y131" s="247"/>
      <c r="Z131" s="247"/>
      <c r="AA131" s="247"/>
      <c r="AB131" s="247"/>
      <c r="AC131" s="247"/>
      <c r="AD131" s="247"/>
      <c r="AE131" s="247"/>
      <c r="AF131" s="247"/>
      <c r="AG131" s="247"/>
      <c r="AH131" s="247"/>
      <c r="AI131" s="247"/>
      <c r="AJ131" s="247"/>
      <c r="AK131" s="247"/>
      <c r="AL131" s="247"/>
      <c r="AM131" s="247"/>
      <c r="AN131" s="247"/>
      <c r="AO131" s="247"/>
      <c r="AP131" s="247"/>
      <c r="AQ131" s="247"/>
      <c r="AR131" s="247"/>
      <c r="AS131" s="247"/>
    </row>
    <row r="132" spans="1:45" s="229" customFormat="1" outlineLevel="1">
      <c r="A132" s="229">
        <v>8</v>
      </c>
      <c r="B132" s="229" t="str">
        <f t="shared" si="27"/>
        <v>8</v>
      </c>
      <c r="C132" s="234"/>
      <c r="E132" s="313"/>
      <c r="F132" s="313"/>
      <c r="G132" s="234"/>
      <c r="I132" s="313"/>
      <c r="J132" s="247"/>
      <c r="K132" s="247"/>
      <c r="L132" s="247"/>
      <c r="M132" s="247"/>
      <c r="N132" s="247"/>
      <c r="O132" s="247"/>
      <c r="P132" s="247"/>
      <c r="Q132" s="247"/>
      <c r="R132" s="247"/>
      <c r="S132" s="247"/>
      <c r="T132" s="247"/>
      <c r="U132" s="247"/>
      <c r="V132" s="247"/>
      <c r="W132" s="247"/>
      <c r="X132" s="247"/>
      <c r="Y132" s="247"/>
      <c r="Z132" s="247"/>
      <c r="AA132" s="247"/>
      <c r="AB132" s="247"/>
      <c r="AC132" s="247"/>
      <c r="AD132" s="247"/>
      <c r="AE132" s="247"/>
      <c r="AF132" s="247"/>
      <c r="AG132" s="247"/>
      <c r="AH132" s="247"/>
      <c r="AI132" s="247"/>
      <c r="AJ132" s="247"/>
      <c r="AK132" s="247"/>
      <c r="AL132" s="247"/>
      <c r="AM132" s="247"/>
      <c r="AN132" s="247"/>
      <c r="AO132" s="247"/>
      <c r="AP132" s="247"/>
      <c r="AQ132" s="247"/>
      <c r="AR132" s="247"/>
      <c r="AS132" s="247"/>
    </row>
    <row r="133" spans="1:45" s="229" customFormat="1" outlineLevel="1">
      <c r="A133" s="229">
        <v>9</v>
      </c>
      <c r="B133" s="229" t="str">
        <f t="shared" si="27"/>
        <v>9</v>
      </c>
      <c r="C133" s="234"/>
      <c r="E133" s="313"/>
      <c r="F133" s="313"/>
      <c r="G133" s="234"/>
      <c r="I133" s="313"/>
      <c r="J133" s="247"/>
      <c r="K133" s="247"/>
      <c r="L133" s="247"/>
      <c r="M133" s="247"/>
      <c r="N133" s="247"/>
      <c r="O133" s="247"/>
      <c r="P133" s="247"/>
      <c r="Q133" s="247"/>
      <c r="R133" s="247"/>
      <c r="S133" s="247"/>
      <c r="T133" s="247"/>
      <c r="U133" s="247"/>
      <c r="V133" s="247"/>
      <c r="W133" s="247"/>
      <c r="X133" s="247"/>
      <c r="Y133" s="247"/>
      <c r="Z133" s="247"/>
      <c r="AA133" s="247"/>
      <c r="AB133" s="247"/>
      <c r="AC133" s="247"/>
      <c r="AD133" s="247"/>
      <c r="AE133" s="247"/>
      <c r="AF133" s="247"/>
      <c r="AG133" s="247"/>
      <c r="AH133" s="247"/>
      <c r="AI133" s="247"/>
      <c r="AJ133" s="247"/>
      <c r="AK133" s="247"/>
      <c r="AL133" s="247"/>
      <c r="AM133" s="247"/>
      <c r="AN133" s="247"/>
      <c r="AO133" s="247"/>
      <c r="AP133" s="247"/>
      <c r="AQ133" s="247"/>
      <c r="AR133" s="247"/>
      <c r="AS133" s="247"/>
    </row>
    <row r="134" spans="1:45" s="229" customFormat="1" outlineLevel="1">
      <c r="A134" s="229">
        <v>10</v>
      </c>
      <c r="B134" s="229" t="str">
        <f t="shared" si="27"/>
        <v>10</v>
      </c>
      <c r="C134" s="234"/>
      <c r="E134" s="313"/>
      <c r="F134" s="313"/>
      <c r="G134" s="234"/>
      <c r="I134" s="313"/>
      <c r="J134" s="247"/>
      <c r="K134" s="247"/>
      <c r="L134" s="247"/>
      <c r="M134" s="247"/>
      <c r="N134" s="247"/>
      <c r="O134" s="247"/>
      <c r="P134" s="247"/>
      <c r="Q134" s="247"/>
      <c r="R134" s="247"/>
      <c r="S134" s="247"/>
      <c r="T134" s="247"/>
      <c r="U134" s="247"/>
      <c r="V134" s="247"/>
      <c r="W134" s="247"/>
      <c r="X134" s="247"/>
      <c r="Y134" s="247"/>
      <c r="Z134" s="247"/>
      <c r="AA134" s="247"/>
      <c r="AB134" s="247"/>
      <c r="AC134" s="247"/>
      <c r="AD134" s="247"/>
      <c r="AE134" s="247"/>
      <c r="AF134" s="247"/>
      <c r="AG134" s="247"/>
      <c r="AH134" s="247"/>
      <c r="AI134" s="247"/>
      <c r="AJ134" s="247"/>
      <c r="AK134" s="247"/>
      <c r="AL134" s="247"/>
      <c r="AM134" s="247"/>
      <c r="AN134" s="247"/>
      <c r="AO134" s="247"/>
      <c r="AP134" s="247"/>
      <c r="AQ134" s="247"/>
      <c r="AR134" s="247"/>
      <c r="AS134" s="247"/>
    </row>
    <row r="135" spans="1:45" s="229" customFormat="1" outlineLevel="1">
      <c r="A135" s="229">
        <v>11</v>
      </c>
      <c r="B135" s="229" t="str">
        <f t="shared" si="27"/>
        <v>11</v>
      </c>
      <c r="C135" s="234"/>
      <c r="E135" s="313"/>
      <c r="F135" s="313"/>
      <c r="G135" s="234"/>
      <c r="I135" s="313"/>
      <c r="J135" s="247"/>
      <c r="K135" s="247"/>
      <c r="L135" s="247"/>
      <c r="M135" s="247"/>
      <c r="N135" s="247"/>
      <c r="O135" s="247"/>
      <c r="P135" s="247"/>
      <c r="Q135" s="247"/>
      <c r="R135" s="247"/>
      <c r="S135" s="247"/>
      <c r="T135" s="247"/>
      <c r="U135" s="247"/>
      <c r="V135" s="247"/>
      <c r="W135" s="247"/>
      <c r="X135" s="247"/>
      <c r="Y135" s="247"/>
      <c r="Z135" s="247"/>
      <c r="AA135" s="247"/>
      <c r="AB135" s="247"/>
      <c r="AC135" s="247"/>
      <c r="AD135" s="247"/>
      <c r="AE135" s="247"/>
      <c r="AF135" s="247"/>
      <c r="AG135" s="247"/>
      <c r="AH135" s="247"/>
      <c r="AI135" s="247"/>
      <c r="AJ135" s="247"/>
      <c r="AK135" s="247"/>
      <c r="AL135" s="247"/>
      <c r="AM135" s="247"/>
      <c r="AN135" s="247"/>
      <c r="AO135" s="247"/>
      <c r="AP135" s="247"/>
      <c r="AQ135" s="247"/>
      <c r="AR135" s="247"/>
      <c r="AS135" s="247"/>
    </row>
    <row r="136" spans="1:45" s="238" customFormat="1" outlineLevel="1">
      <c r="A136" s="229" t="s">
        <v>208</v>
      </c>
      <c r="B136" s="229" t="str">
        <f>A136&amp;C136</f>
        <v>NBuildingsEnergy use by fuel</v>
      </c>
      <c r="C136" s="234" t="str">
        <f t="shared" ref="C136" si="34">$A$121&amp;$B$121</f>
        <v>BuildingsEnergy use by fuel</v>
      </c>
      <c r="E136" s="236" t="str">
        <f>""</f>
        <v/>
      </c>
    </row>
    <row r="137" spans="1:45" outlineLevel="1"/>
    <row r="138" spans="1:45" s="49" customFormat="1">
      <c r="A138" s="49" t="s">
        <v>157</v>
      </c>
    </row>
    <row r="139" spans="1:45" s="298" customFormat="1" outlineLevel="1">
      <c r="A139" s="298" t="s">
        <v>144</v>
      </c>
    </row>
    <row r="140" spans="1:45" outlineLevel="1">
      <c r="A140" s="229" t="s">
        <v>175</v>
      </c>
      <c r="B140" s="229" t="s">
        <v>176</v>
      </c>
      <c r="C140" s="229" t="s">
        <v>177</v>
      </c>
      <c r="D140" s="230"/>
      <c r="E140" s="230" t="s">
        <v>178</v>
      </c>
      <c r="F140" s="230"/>
      <c r="G140" s="230" t="s">
        <v>179</v>
      </c>
      <c r="H140" s="230" t="s">
        <v>180</v>
      </c>
      <c r="I140" s="230"/>
      <c r="J140" s="230">
        <v>2015</v>
      </c>
      <c r="K140" s="230">
        <v>2016</v>
      </c>
      <c r="L140" s="230">
        <v>2017</v>
      </c>
      <c r="M140" s="230">
        <v>2018</v>
      </c>
      <c r="N140" s="230">
        <v>2019</v>
      </c>
      <c r="O140" s="230">
        <v>2020</v>
      </c>
      <c r="P140" s="230">
        <v>2021</v>
      </c>
      <c r="Q140" s="230">
        <v>2022</v>
      </c>
      <c r="R140" s="230">
        <v>2023</v>
      </c>
      <c r="S140" s="230">
        <v>2024</v>
      </c>
      <c r="T140" s="230">
        <v>2025</v>
      </c>
      <c r="U140" s="230">
        <v>2026</v>
      </c>
      <c r="V140" s="230">
        <v>2027</v>
      </c>
      <c r="W140" s="230">
        <v>2028</v>
      </c>
      <c r="X140" s="230">
        <v>2029</v>
      </c>
      <c r="Y140" s="230">
        <v>2030</v>
      </c>
      <c r="Z140" s="230">
        <v>2031</v>
      </c>
      <c r="AA140" s="230">
        <v>2032</v>
      </c>
      <c r="AB140" s="230">
        <v>2033</v>
      </c>
      <c r="AC140" s="230">
        <v>2034</v>
      </c>
      <c r="AD140" s="230">
        <v>2035</v>
      </c>
      <c r="AE140" s="230">
        <v>2036</v>
      </c>
      <c r="AF140" s="230">
        <v>2037</v>
      </c>
      <c r="AG140" s="230">
        <v>2038</v>
      </c>
      <c r="AH140" s="230">
        <v>2039</v>
      </c>
      <c r="AI140" s="230">
        <v>2040</v>
      </c>
      <c r="AJ140" s="230">
        <v>2041</v>
      </c>
      <c r="AK140" s="230">
        <v>2042</v>
      </c>
      <c r="AL140" s="230">
        <v>2043</v>
      </c>
      <c r="AM140" s="230">
        <v>2044</v>
      </c>
      <c r="AN140" s="230">
        <v>2045</v>
      </c>
      <c r="AO140" s="230">
        <v>2046</v>
      </c>
      <c r="AP140" s="230">
        <v>2047</v>
      </c>
      <c r="AQ140" s="230">
        <v>2048</v>
      </c>
      <c r="AR140" s="230">
        <v>2049</v>
      </c>
      <c r="AS140" s="230">
        <v>2050</v>
      </c>
    </row>
    <row r="141" spans="1:45" outlineLevel="1"/>
    <row r="142" spans="1:45" s="229" customFormat="1" outlineLevel="1">
      <c r="A142" s="229">
        <v>0</v>
      </c>
      <c r="B142" s="229" t="str">
        <f t="shared" ref="B142:B153" si="35">A142&amp;C142</f>
        <v>0DomesticCarbon Emissions</v>
      </c>
      <c r="C142" s="234" t="str">
        <f>$A$138&amp;$A$139</f>
        <v>DomesticCarbon Emissions</v>
      </c>
      <c r="E142" s="248" t="s">
        <v>182</v>
      </c>
      <c r="G142" s="234"/>
      <c r="J142" s="237"/>
      <c r="K142" s="237"/>
      <c r="L142" s="237"/>
      <c r="M142" s="237"/>
      <c r="N142" s="237"/>
      <c r="O142" s="237"/>
      <c r="P142" s="237"/>
      <c r="Q142" s="237"/>
      <c r="R142" s="237"/>
      <c r="S142" s="237"/>
      <c r="T142" s="237"/>
      <c r="U142" s="237"/>
      <c r="V142" s="237"/>
      <c r="W142" s="237"/>
      <c r="X142" s="237"/>
      <c r="Y142" s="237"/>
      <c r="Z142" s="237"/>
      <c r="AA142" s="237"/>
      <c r="AB142" s="237"/>
      <c r="AC142" s="237"/>
      <c r="AD142" s="237"/>
      <c r="AE142" s="237"/>
      <c r="AF142" s="237"/>
      <c r="AG142" s="237"/>
      <c r="AH142" s="237"/>
      <c r="AI142" s="237"/>
      <c r="AJ142" s="237"/>
      <c r="AK142" s="237"/>
      <c r="AL142" s="237"/>
      <c r="AM142" s="237"/>
      <c r="AN142" s="237"/>
      <c r="AO142" s="237"/>
      <c r="AP142" s="237"/>
      <c r="AQ142" s="237"/>
      <c r="AR142" s="237"/>
      <c r="AS142" s="237"/>
    </row>
    <row r="143" spans="1:45" s="229" customFormat="1" ht="18" outlineLevel="1">
      <c r="A143" s="229">
        <v>1</v>
      </c>
      <c r="B143" s="229" t="str">
        <f t="shared" si="35"/>
        <v>1DomesticCarbon Emissions</v>
      </c>
      <c r="C143" s="234" t="str">
        <f t="shared" ref="C143:C149" si="36">$A$138&amp;$A$139</f>
        <v>DomesticCarbon Emissions</v>
      </c>
      <c r="D143" s="55"/>
      <c r="E143" s="313" t="s">
        <v>224</v>
      </c>
      <c r="F143" s="313"/>
      <c r="G143" s="234" t="s">
        <v>184</v>
      </c>
      <c r="I143" s="313"/>
      <c r="J143" s="571">
        <f>'Carbon Emissions'!Q11</f>
        <v>2077.9119644179882</v>
      </c>
      <c r="K143" s="571">
        <f>'Carbon Emissions'!R11</f>
        <v>2065.3929865410082</v>
      </c>
      <c r="L143" s="571">
        <f>'Carbon Emissions'!S11</f>
        <v>2057.2709524064453</v>
      </c>
      <c r="M143" s="571">
        <f>'Carbon Emissions'!T11</f>
        <v>2048.6258624067796</v>
      </c>
      <c r="N143" s="571">
        <f>'Carbon Emissions'!U11</f>
        <v>2039.4712738385281</v>
      </c>
      <c r="O143" s="571">
        <f>'Carbon Emissions'!V11</f>
        <v>2008.5819513559375</v>
      </c>
      <c r="P143" s="571">
        <f>'Carbon Emissions'!W11</f>
        <v>1981.8172738494393</v>
      </c>
      <c r="Q143" s="571">
        <f>'Carbon Emissions'!X11</f>
        <v>1887.7744505608243</v>
      </c>
      <c r="R143" s="571">
        <f>'Carbon Emissions'!Y11</f>
        <v>1733.4874998462906</v>
      </c>
      <c r="S143" s="571">
        <f>'Carbon Emissions'!Z11</f>
        <v>1555.5455307295351</v>
      </c>
      <c r="T143" s="571">
        <f>'Carbon Emissions'!AA11</f>
        <v>1383.6505736310255</v>
      </c>
      <c r="U143" s="571">
        <f>'Carbon Emissions'!AB11</f>
        <v>1215.8143949354705</v>
      </c>
      <c r="V143" s="571">
        <f>'Carbon Emissions'!AC11</f>
        <v>1044.0260936803666</v>
      </c>
      <c r="W143" s="571">
        <f>'Carbon Emissions'!AD11</f>
        <v>899.01875817580458</v>
      </c>
      <c r="X143" s="571">
        <f>'Carbon Emissions'!AE11</f>
        <v>785.46265224015156</v>
      </c>
      <c r="Y143" s="571">
        <f>'Carbon Emissions'!AF11</f>
        <v>694.991493943823</v>
      </c>
      <c r="Z143" s="571">
        <f>'Carbon Emissions'!AG11</f>
        <v>612.54381777066681</v>
      </c>
      <c r="AA143" s="571">
        <f>'Carbon Emissions'!AH11</f>
        <v>534.37010814341534</v>
      </c>
      <c r="AB143" s="571">
        <f>'Carbon Emissions'!AI11</f>
        <v>459.65710933861038</v>
      </c>
      <c r="AC143" s="571">
        <f>'Carbon Emissions'!AJ11</f>
        <v>388.74282038220178</v>
      </c>
      <c r="AD143" s="571">
        <f>'Carbon Emissions'!AK11</f>
        <v>327.85613490508507</v>
      </c>
      <c r="AE143" s="571">
        <f>'Carbon Emissions'!AL11</f>
        <v>247.57532558851619</v>
      </c>
      <c r="AF143" s="571">
        <f>'Carbon Emissions'!AM11</f>
        <v>188.83390542878499</v>
      </c>
      <c r="AG143" s="571">
        <f>'Carbon Emissions'!AN11</f>
        <v>148.3813079774238</v>
      </c>
      <c r="AH143" s="571">
        <f>'Carbon Emissions'!AO11</f>
        <v>133.28443941775976</v>
      </c>
      <c r="AI143" s="571">
        <f>'Carbon Emissions'!AP11</f>
        <v>118.32535542526328</v>
      </c>
      <c r="AJ143" s="571">
        <f>'Carbon Emissions'!AQ11</f>
        <v>102.93071255685213</v>
      </c>
      <c r="AK143" s="571">
        <f>'Carbon Emissions'!AR11</f>
        <v>87.780362240940974</v>
      </c>
      <c r="AL143" s="571">
        <f>'Carbon Emissions'!AS11</f>
        <v>72.635866918116832</v>
      </c>
      <c r="AM143" s="571">
        <f>'Carbon Emissions'!AT11</f>
        <v>57.239853917997443</v>
      </c>
      <c r="AN143" s="571">
        <f>'Carbon Emissions'!AU11</f>
        <v>41.164397779062369</v>
      </c>
      <c r="AO143" s="571">
        <f>'Carbon Emissions'!AV11</f>
        <v>24.734174254516834</v>
      </c>
      <c r="AP143" s="571">
        <f>'Carbon Emissions'!AW11</f>
        <v>15.734779897537647</v>
      </c>
      <c r="AQ143" s="571">
        <f>'Carbon Emissions'!AX11</f>
        <v>10.708470562703519</v>
      </c>
      <c r="AR143" s="571">
        <f>'Carbon Emissions'!AY11</f>
        <v>5.4621502729580147</v>
      </c>
      <c r="AS143" s="571">
        <f>'Carbon Emissions'!AZ11</f>
        <v>0</v>
      </c>
    </row>
    <row r="144" spans="1:45" s="229" customFormat="1" ht="18" outlineLevel="1">
      <c r="A144" s="229">
        <v>2</v>
      </c>
      <c r="B144" s="229" t="str">
        <f t="shared" si="35"/>
        <v>2DomesticCarbon Emissions</v>
      </c>
      <c r="C144" s="234" t="str">
        <f t="shared" si="36"/>
        <v>DomesticCarbon Emissions</v>
      </c>
      <c r="D144" s="55"/>
      <c r="E144" s="313" t="s">
        <v>218</v>
      </c>
      <c r="G144" s="234" t="s">
        <v>184</v>
      </c>
      <c r="J144" s="571">
        <f>'Carbon Emissions'!Q12</f>
        <v>250.20454855935697</v>
      </c>
      <c r="K144" s="571">
        <f>'Carbon Emissions'!R12</f>
        <v>201.24449339806273</v>
      </c>
      <c r="L144" s="571">
        <f>'Carbon Emissions'!S12</f>
        <v>181.23845238297847</v>
      </c>
      <c r="M144" s="571">
        <f>'Carbon Emissions'!T12</f>
        <v>169.71601392183953</v>
      </c>
      <c r="N144" s="571">
        <f>'Carbon Emissions'!U12</f>
        <v>152.47643541925225</v>
      </c>
      <c r="O144" s="571">
        <f>'Carbon Emissions'!V12</f>
        <v>113.77814789998875</v>
      </c>
      <c r="P144" s="571">
        <f>'Carbon Emissions'!W12</f>
        <v>104.77083033062385</v>
      </c>
      <c r="Q144" s="571">
        <f>'Carbon Emissions'!X12</f>
        <v>93.249541759522003</v>
      </c>
      <c r="R144" s="571">
        <f>'Carbon Emissions'!Y12</f>
        <v>82.122072932173822</v>
      </c>
      <c r="S144" s="571">
        <f>'Carbon Emissions'!Z12</f>
        <v>80.358846445986771</v>
      </c>
      <c r="T144" s="571">
        <f>'Carbon Emissions'!AA12</f>
        <v>60.453986479587577</v>
      </c>
      <c r="U144" s="571">
        <f>'Carbon Emissions'!AB12</f>
        <v>39.18592831444937</v>
      </c>
      <c r="V144" s="571">
        <f>'Carbon Emissions'!AC12</f>
        <v>28.219286666993256</v>
      </c>
      <c r="W144" s="571">
        <f>'Carbon Emissions'!AD12</f>
        <v>22.783222052691222</v>
      </c>
      <c r="X144" s="571">
        <f>'Carbon Emissions'!AE12</f>
        <v>18.924955145814312</v>
      </c>
      <c r="Y144" s="571">
        <f>'Carbon Emissions'!AF12</f>
        <v>13.523512589347423</v>
      </c>
      <c r="Z144" s="571">
        <f>'Carbon Emissions'!AG12</f>
        <v>9.6752978731965786</v>
      </c>
      <c r="AA144" s="571">
        <f>'Carbon Emissions'!AH12</f>
        <v>7.4769400021505845</v>
      </c>
      <c r="AB144" s="571">
        <f>'Carbon Emissions'!AI12</f>
        <v>5.7294785671050512</v>
      </c>
      <c r="AC144" s="571">
        <f>'Carbon Emissions'!AJ12</f>
        <v>4.5192633850070534</v>
      </c>
      <c r="AD144" s="571">
        <f>'Carbon Emissions'!AK12</f>
        <v>3.4276380876594632</v>
      </c>
      <c r="AE144" s="571">
        <f>'Carbon Emissions'!AL12</f>
        <v>4.4086874644809919</v>
      </c>
      <c r="AF144" s="571">
        <f>'Carbon Emissions'!AM12</f>
        <v>4.8435667021151767</v>
      </c>
      <c r="AG144" s="571">
        <f>'Carbon Emissions'!AN12</f>
        <v>5.4537076566259124</v>
      </c>
      <c r="AH144" s="571">
        <f>'Carbon Emissions'!AO12</f>
        <v>6.3973052978948592</v>
      </c>
      <c r="AI144" s="571">
        <f>'Carbon Emissions'!AP12</f>
        <v>6.9208000064695581</v>
      </c>
      <c r="AJ144" s="571">
        <f>'Carbon Emissions'!AQ12</f>
        <v>6.6474040921316222</v>
      </c>
      <c r="AK144" s="571">
        <f>'Carbon Emissions'!AR12</f>
        <v>7.1697084481349238</v>
      </c>
      <c r="AL144" s="571">
        <f>'Carbon Emissions'!AS12</f>
        <v>7.8771403837404481</v>
      </c>
      <c r="AM144" s="571">
        <f>'Carbon Emissions'!AT12</f>
        <v>8.2207139557843956</v>
      </c>
      <c r="AN144" s="571">
        <f>'Carbon Emissions'!AU12</f>
        <v>7.6916319361165844</v>
      </c>
      <c r="AO144" s="571">
        <f>'Carbon Emissions'!AV12</f>
        <v>7.7804153472877511</v>
      </c>
      <c r="AP144" s="571">
        <f>'Carbon Emissions'!AW12</f>
        <v>7.9393997119838033</v>
      </c>
      <c r="AQ144" s="571">
        <f>'Carbon Emissions'!AX12</f>
        <v>8.2920419151005937</v>
      </c>
      <c r="AR144" s="571">
        <f>'Carbon Emissions'!AY12</f>
        <v>8.4493606049823882</v>
      </c>
      <c r="AS144" s="571">
        <f>'Carbon Emissions'!AZ12</f>
        <v>9.054640015233721</v>
      </c>
    </row>
    <row r="145" spans="1:45" s="229" customFormat="1" ht="18" outlineLevel="1">
      <c r="A145" s="229">
        <v>3</v>
      </c>
      <c r="B145" s="229" t="str">
        <f t="shared" si="35"/>
        <v>3DomesticCarbon Emissions</v>
      </c>
      <c r="C145" s="234" t="str">
        <f t="shared" si="36"/>
        <v>DomesticCarbon Emissions</v>
      </c>
      <c r="D145" s="55"/>
      <c r="E145" s="313" t="s">
        <v>95</v>
      </c>
      <c r="F145" s="313"/>
      <c r="G145" s="234" t="s">
        <v>184</v>
      </c>
      <c r="I145" s="313"/>
      <c r="J145" s="571">
        <f>'Carbon Emissions'!Q13</f>
        <v>0</v>
      </c>
      <c r="K145" s="571">
        <f>'Carbon Emissions'!R13</f>
        <v>0</v>
      </c>
      <c r="L145" s="571">
        <f>'Carbon Emissions'!S13</f>
        <v>0</v>
      </c>
      <c r="M145" s="571">
        <f>'Carbon Emissions'!T13</f>
        <v>0</v>
      </c>
      <c r="N145" s="571">
        <f>'Carbon Emissions'!U13</f>
        <v>0</v>
      </c>
      <c r="O145" s="571">
        <f>'Carbon Emissions'!V13</f>
        <v>2.1790864174415971</v>
      </c>
      <c r="P145" s="571">
        <f>'Carbon Emissions'!W13</f>
        <v>5.2505731041255395</v>
      </c>
      <c r="Q145" s="571">
        <f>'Carbon Emissions'!X13</f>
        <v>10.802247260985576</v>
      </c>
      <c r="R145" s="571">
        <f>'Carbon Emissions'!Y13</f>
        <v>17.370852970985894</v>
      </c>
      <c r="S145" s="571">
        <f>'Carbon Emissions'!Z13</f>
        <v>29.375739983579944</v>
      </c>
      <c r="T145" s="571">
        <f>'Carbon Emissions'!AA13</f>
        <v>35.017311720256089</v>
      </c>
      <c r="U145" s="571">
        <f>'Carbon Emissions'!AB13</f>
        <v>34.868988237276618</v>
      </c>
      <c r="V145" s="571">
        <f>'Carbon Emissions'!AC13</f>
        <v>37.564189231976499</v>
      </c>
      <c r="W145" s="571">
        <f>'Carbon Emissions'!AD13</f>
        <v>42.393657413953612</v>
      </c>
      <c r="X145" s="571">
        <f>'Carbon Emissions'!AE13</f>
        <v>46.833025923674768</v>
      </c>
      <c r="Y145" s="571">
        <f>'Carbon Emissions'!AF13</f>
        <v>42.934830190793768</v>
      </c>
      <c r="Z145" s="571">
        <f>'Carbon Emissions'!AG13</f>
        <v>38.826513237370285</v>
      </c>
      <c r="AA145" s="571">
        <f>'Carbon Emissions'!AH13</f>
        <v>37.731457419772426</v>
      </c>
      <c r="AB145" s="571">
        <f>'Carbon Emissions'!AI13</f>
        <v>36.3930763879982</v>
      </c>
      <c r="AC145" s="571">
        <f>'Carbon Emissions'!AJ13</f>
        <v>36.331664537507727</v>
      </c>
      <c r="AD145" s="571">
        <f>'Carbon Emissions'!AK13</f>
        <v>35.351875361200641</v>
      </c>
      <c r="AE145" s="571">
        <f>'Carbon Emissions'!AL13</f>
        <v>31.678030137989268</v>
      </c>
      <c r="AF145" s="571">
        <f>'Carbon Emissions'!AM13</f>
        <v>29.836169994776355</v>
      </c>
      <c r="AG145" s="571">
        <f>'Carbon Emissions'!AN13</f>
        <v>30.272766840544371</v>
      </c>
      <c r="AH145" s="571">
        <f>'Carbon Emissions'!AO13</f>
        <v>28.796231966144354</v>
      </c>
      <c r="AI145" s="571">
        <f>'Carbon Emissions'!AP13</f>
        <v>26.215163169270422</v>
      </c>
      <c r="AJ145" s="571">
        <f>'Carbon Emissions'!AQ13</f>
        <v>21.863405147662107</v>
      </c>
      <c r="AK145" s="571">
        <f>'Carbon Emissions'!AR13</f>
        <v>20.845271177797031</v>
      </c>
      <c r="AL145" s="571">
        <f>'Carbon Emissions'!AS13</f>
        <v>20.51477270532299</v>
      </c>
      <c r="AM145" s="571">
        <f>'Carbon Emissions'!AT13</f>
        <v>19.371627791581179</v>
      </c>
      <c r="AN145" s="571">
        <f>'Carbon Emissions'!AU13</f>
        <v>16.527632811981871</v>
      </c>
      <c r="AO145" s="571">
        <f>'Carbon Emissions'!AV13</f>
        <v>15.075578248904581</v>
      </c>
      <c r="AP145" s="571">
        <f>'Carbon Emissions'!AW13</f>
        <v>13.965010480860828</v>
      </c>
      <c r="AQ145" s="571">
        <f>'Carbon Emissions'!AX13</f>
        <v>13.315886738619179</v>
      </c>
      <c r="AR145" s="571">
        <f>'Carbon Emissions'!AY13</f>
        <v>12.448548905555343</v>
      </c>
      <c r="AS145" s="571">
        <f>'Carbon Emissions'!AZ13</f>
        <v>12.291610005163998</v>
      </c>
    </row>
    <row r="146" spans="1:45" s="229" customFormat="1" ht="18" outlineLevel="1">
      <c r="A146" s="229">
        <v>4</v>
      </c>
      <c r="B146" s="229" t="str">
        <f t="shared" si="35"/>
        <v>4DomesticCarbon Emissions</v>
      </c>
      <c r="C146" s="234" t="str">
        <f t="shared" si="36"/>
        <v>DomesticCarbon Emissions</v>
      </c>
      <c r="D146" s="55"/>
      <c r="E146" s="313" t="s">
        <v>220</v>
      </c>
      <c r="G146" s="234" t="s">
        <v>184</v>
      </c>
      <c r="J146" s="571">
        <f>'Carbon Emissions'!Q16+'Carbon Emissions'!Q15</f>
        <v>0</v>
      </c>
      <c r="K146" s="571">
        <f>'Carbon Emissions'!R16+'Carbon Emissions'!R15</f>
        <v>0</v>
      </c>
      <c r="L146" s="571">
        <f>'Carbon Emissions'!S16+'Carbon Emissions'!S15</f>
        <v>0</v>
      </c>
      <c r="M146" s="571">
        <f>'Carbon Emissions'!T16+'Carbon Emissions'!T15</f>
        <v>0</v>
      </c>
      <c r="N146" s="571">
        <f>'Carbon Emissions'!U16+'Carbon Emissions'!U15</f>
        <v>0</v>
      </c>
      <c r="O146" s="571">
        <f>'Carbon Emissions'!V16+'Carbon Emissions'!V15</f>
        <v>0</v>
      </c>
      <c r="P146" s="571">
        <f>'Carbon Emissions'!W16+'Carbon Emissions'!W15</f>
        <v>0</v>
      </c>
      <c r="Q146" s="571">
        <f>'Carbon Emissions'!X16+'Carbon Emissions'!X15</f>
        <v>0</v>
      </c>
      <c r="R146" s="571">
        <f>'Carbon Emissions'!Y16+'Carbon Emissions'!Y15</f>
        <v>0</v>
      </c>
      <c r="S146" s="571">
        <f>'Carbon Emissions'!Z16+'Carbon Emissions'!Z15</f>
        <v>0</v>
      </c>
      <c r="T146" s="571">
        <f>'Carbon Emissions'!AA16+'Carbon Emissions'!AA15</f>
        <v>0</v>
      </c>
      <c r="U146" s="571">
        <f>'Carbon Emissions'!AB16+'Carbon Emissions'!AB15</f>
        <v>0</v>
      </c>
      <c r="V146" s="571">
        <f>'Carbon Emissions'!AC16+'Carbon Emissions'!AC15</f>
        <v>0</v>
      </c>
      <c r="W146" s="571">
        <f>'Carbon Emissions'!AD16+'Carbon Emissions'!AD15</f>
        <v>0</v>
      </c>
      <c r="X146" s="571">
        <f>'Carbon Emissions'!AE16+'Carbon Emissions'!AE15</f>
        <v>0</v>
      </c>
      <c r="Y146" s="571">
        <f>'Carbon Emissions'!AF16+'Carbon Emissions'!AF15</f>
        <v>0</v>
      </c>
      <c r="Z146" s="571">
        <f>'Carbon Emissions'!AG16+'Carbon Emissions'!AG15</f>
        <v>0</v>
      </c>
      <c r="AA146" s="571">
        <f>'Carbon Emissions'!AH16+'Carbon Emissions'!AH15</f>
        <v>0</v>
      </c>
      <c r="AB146" s="571">
        <f>'Carbon Emissions'!AI16+'Carbon Emissions'!AI15</f>
        <v>0</v>
      </c>
      <c r="AC146" s="571">
        <f>'Carbon Emissions'!AJ16+'Carbon Emissions'!AJ15</f>
        <v>0</v>
      </c>
      <c r="AD146" s="571">
        <f>'Carbon Emissions'!AK16+'Carbon Emissions'!AK15</f>
        <v>0</v>
      </c>
      <c r="AE146" s="571">
        <f>'Carbon Emissions'!AL16+'Carbon Emissions'!AL15</f>
        <v>0</v>
      </c>
      <c r="AF146" s="571">
        <f>'Carbon Emissions'!AM16+'Carbon Emissions'!AM15</f>
        <v>0</v>
      </c>
      <c r="AG146" s="571">
        <f>'Carbon Emissions'!AN16+'Carbon Emissions'!AN15</f>
        <v>0</v>
      </c>
      <c r="AH146" s="571">
        <f>'Carbon Emissions'!AO16+'Carbon Emissions'!AO15</f>
        <v>0</v>
      </c>
      <c r="AI146" s="571">
        <f>'Carbon Emissions'!AP16+'Carbon Emissions'!AP15</f>
        <v>0</v>
      </c>
      <c r="AJ146" s="571">
        <f>'Carbon Emissions'!AQ16+'Carbon Emissions'!AQ15</f>
        <v>0</v>
      </c>
      <c r="AK146" s="571">
        <f>'Carbon Emissions'!AR16+'Carbon Emissions'!AR15</f>
        <v>0</v>
      </c>
      <c r="AL146" s="571">
        <f>'Carbon Emissions'!AS16+'Carbon Emissions'!AS15</f>
        <v>0</v>
      </c>
      <c r="AM146" s="571">
        <f>'Carbon Emissions'!AT16+'Carbon Emissions'!AT15</f>
        <v>0</v>
      </c>
      <c r="AN146" s="571">
        <f>'Carbon Emissions'!AU16+'Carbon Emissions'!AU15</f>
        <v>0</v>
      </c>
      <c r="AO146" s="571">
        <f>'Carbon Emissions'!AV16+'Carbon Emissions'!AV15</f>
        <v>0</v>
      </c>
      <c r="AP146" s="571">
        <f>'Carbon Emissions'!AW16+'Carbon Emissions'!AW15</f>
        <v>0</v>
      </c>
      <c r="AQ146" s="571">
        <f>'Carbon Emissions'!AX16+'Carbon Emissions'!AX15</f>
        <v>0</v>
      </c>
      <c r="AR146" s="571">
        <f>'Carbon Emissions'!AY16+'Carbon Emissions'!AY15</f>
        <v>0</v>
      </c>
      <c r="AS146" s="571">
        <f>'Carbon Emissions'!AZ16+'Carbon Emissions'!AZ15</f>
        <v>0</v>
      </c>
    </row>
    <row r="147" spans="1:45" s="229" customFormat="1" ht="18" outlineLevel="1">
      <c r="A147" s="229">
        <v>5</v>
      </c>
      <c r="B147" s="229" t="str">
        <f t="shared" si="35"/>
        <v>5DomesticCarbon Emissions</v>
      </c>
      <c r="C147" s="234" t="str">
        <f t="shared" si="36"/>
        <v>DomesticCarbon Emissions</v>
      </c>
      <c r="D147" s="55"/>
      <c r="E147" s="313" t="s">
        <v>188</v>
      </c>
      <c r="G147" s="234" t="s">
        <v>184</v>
      </c>
      <c r="J147" s="571">
        <f>'Carbon Emissions'!Q18</f>
        <v>23.537521382273059</v>
      </c>
      <c r="K147" s="571">
        <f>'Carbon Emissions'!R18</f>
        <v>31.06762836631308</v>
      </c>
      <c r="L147" s="571">
        <f>'Carbon Emissions'!S18</f>
        <v>35.47563234537715</v>
      </c>
      <c r="M147" s="571">
        <f>'Carbon Emissions'!T18</f>
        <v>39.102462377187351</v>
      </c>
      <c r="N147" s="571">
        <f>'Carbon Emissions'!U18</f>
        <v>43.906675023591447</v>
      </c>
      <c r="O147" s="571">
        <f>'Carbon Emissions'!V18</f>
        <v>63.33581103838479</v>
      </c>
      <c r="P147" s="571">
        <f>'Carbon Emissions'!W18</f>
        <v>73.613505223603795</v>
      </c>
      <c r="Q147" s="571">
        <f>'Carbon Emissions'!X18</f>
        <v>85.652243813410024</v>
      </c>
      <c r="R147" s="571">
        <f>'Carbon Emissions'!Y18</f>
        <v>96.856872675750438</v>
      </c>
      <c r="S147" s="571">
        <f>'Carbon Emissions'!Z18</f>
        <v>104.3389053933164</v>
      </c>
      <c r="T147" s="571">
        <f>'Carbon Emissions'!AA18</f>
        <v>118.48692027051001</v>
      </c>
      <c r="U147" s="571">
        <f>'Carbon Emissions'!AB18</f>
        <v>126.73128585072044</v>
      </c>
      <c r="V147" s="571">
        <f>'Carbon Emissions'!AC18</f>
        <v>129.62823906333756</v>
      </c>
      <c r="W147" s="571">
        <f>'Carbon Emissions'!AD18</f>
        <v>130.12287675404343</v>
      </c>
      <c r="X147" s="571">
        <f>'Carbon Emissions'!AE18</f>
        <v>130.00186231974928</v>
      </c>
      <c r="Y147" s="571">
        <f>'Carbon Emissions'!AF18</f>
        <v>130.65470405637126</v>
      </c>
      <c r="Z147" s="571">
        <f>'Carbon Emissions'!AG18</f>
        <v>128.2584637062817</v>
      </c>
      <c r="AA147" s="571">
        <f>'Carbon Emissions'!AH18</f>
        <v>124.66487276492222</v>
      </c>
      <c r="AB147" s="571">
        <f>'Carbon Emissions'!AI18</f>
        <v>115.68654291365462</v>
      </c>
      <c r="AC147" s="571">
        <f>'Carbon Emissions'!AJ18</f>
        <v>105.7996043365185</v>
      </c>
      <c r="AD147" s="571">
        <f>'Carbon Emissions'!AK18</f>
        <v>96.69333712122787</v>
      </c>
      <c r="AE147" s="571">
        <f>'Carbon Emissions'!AL18</f>
        <v>86.810207723996257</v>
      </c>
      <c r="AF147" s="571">
        <f>'Carbon Emissions'!AM18</f>
        <v>77.013035999768917</v>
      </c>
      <c r="AG147" s="571">
        <f>'Carbon Emissions'!AN18</f>
        <v>67.689352270141853</v>
      </c>
      <c r="AH147" s="571">
        <f>'Carbon Emissions'!AO18</f>
        <v>58.461008980279566</v>
      </c>
      <c r="AI147" s="571">
        <f>'Carbon Emissions'!AP18</f>
        <v>49.297873415599099</v>
      </c>
      <c r="AJ147" s="571">
        <f>'Carbon Emissions'!AQ18</f>
        <v>41.256332832037849</v>
      </c>
      <c r="AK147" s="571">
        <f>'Carbon Emissions'!AR18</f>
        <v>33.616565327937593</v>
      </c>
      <c r="AL147" s="571">
        <f>'Carbon Emissions'!AS18</f>
        <v>26.225398530454147</v>
      </c>
      <c r="AM147" s="571">
        <f>'Carbon Emissions'!AT18</f>
        <v>19.004537609441289</v>
      </c>
      <c r="AN147" s="571">
        <f>'Carbon Emissions'!AU18</f>
        <v>11.979887039774274</v>
      </c>
      <c r="AO147" s="571">
        <f>'Carbon Emissions'!AV18</f>
        <v>5.9772936571522282</v>
      </c>
      <c r="AP147" s="571">
        <f>'Carbon Emissions'!AW18</f>
        <v>4.2881013971399113</v>
      </c>
      <c r="AQ147" s="571">
        <f>'Carbon Emissions'!AX18</f>
        <v>3.3459515762388126</v>
      </c>
      <c r="AR147" s="571">
        <f>'Carbon Emissions'!AY18</f>
        <v>2.4256393055162002</v>
      </c>
      <c r="AS147" s="571">
        <f>'Carbon Emissions'!AZ18</f>
        <v>1.6584799319480912</v>
      </c>
    </row>
    <row r="148" spans="1:45" s="229" customFormat="1" ht="18" outlineLevel="1">
      <c r="A148" s="229">
        <v>6</v>
      </c>
      <c r="B148" s="229" t="str">
        <f t="shared" si="35"/>
        <v>6DomesticCarbon Emissions</v>
      </c>
      <c r="C148" s="234" t="str">
        <f t="shared" si="36"/>
        <v>DomesticCarbon Emissions</v>
      </c>
      <c r="D148" s="55"/>
      <c r="E148" s="313" t="s">
        <v>211</v>
      </c>
      <c r="G148" s="234" t="s">
        <v>184</v>
      </c>
      <c r="I148" s="313"/>
      <c r="J148" s="571">
        <f>'Carbon Emissions'!Q19</f>
        <v>0</v>
      </c>
      <c r="K148" s="571">
        <f>'Carbon Emissions'!R19</f>
        <v>0</v>
      </c>
      <c r="L148" s="571">
        <f>'Carbon Emissions'!S19</f>
        <v>0</v>
      </c>
      <c r="M148" s="571">
        <f>'Carbon Emissions'!T19</f>
        <v>0</v>
      </c>
      <c r="N148" s="571">
        <f>'Carbon Emissions'!U19</f>
        <v>0</v>
      </c>
      <c r="O148" s="571">
        <f>'Carbon Emissions'!V19</f>
        <v>0</v>
      </c>
      <c r="P148" s="571">
        <f>'Carbon Emissions'!W19</f>
        <v>0</v>
      </c>
      <c r="Q148" s="571">
        <f>'Carbon Emissions'!X19</f>
        <v>0</v>
      </c>
      <c r="R148" s="571">
        <f>'Carbon Emissions'!Y19</f>
        <v>0</v>
      </c>
      <c r="S148" s="571">
        <f>'Carbon Emissions'!Z19</f>
        <v>0</v>
      </c>
      <c r="T148" s="571">
        <f>'Carbon Emissions'!AA19</f>
        <v>0</v>
      </c>
      <c r="U148" s="571">
        <f>'Carbon Emissions'!AB19</f>
        <v>0</v>
      </c>
      <c r="V148" s="571">
        <f>'Carbon Emissions'!AC19</f>
        <v>0.4426333417379909</v>
      </c>
      <c r="W148" s="571">
        <f>'Carbon Emissions'!AD19</f>
        <v>0.76145384200032962</v>
      </c>
      <c r="X148" s="571">
        <f>'Carbon Emissions'!AE19</f>
        <v>0.9980141867620036</v>
      </c>
      <c r="Y148" s="571">
        <f>'Carbon Emissions'!AF19</f>
        <v>1.1797486517372209</v>
      </c>
      <c r="Z148" s="571">
        <f>'Carbon Emissions'!AG19</f>
        <v>1.9272771414297647</v>
      </c>
      <c r="AA148" s="571">
        <f>'Carbon Emissions'!AH19</f>
        <v>2.5807019744381083</v>
      </c>
      <c r="AB148" s="571">
        <f>'Carbon Emissions'!AI19</f>
        <v>3.0635415119371689</v>
      </c>
      <c r="AC148" s="571">
        <f>'Carbon Emissions'!AJ19</f>
        <v>3.3582414510770562</v>
      </c>
      <c r="AD148" s="571">
        <f>'Carbon Emissions'!AK19</f>
        <v>2.9123718324778118</v>
      </c>
      <c r="AE148" s="571">
        <f>'Carbon Emissions'!AL19</f>
        <v>2.0723698665975498</v>
      </c>
      <c r="AF148" s="571">
        <f>'Carbon Emissions'!AM19</f>
        <v>1.5483904339702295</v>
      </c>
      <c r="AG148" s="571">
        <f>'Carbon Emissions'!AN19</f>
        <v>1.2501943114265217</v>
      </c>
      <c r="AH148" s="571">
        <f>'Carbon Emissions'!AO19</f>
        <v>1.1234841677825489</v>
      </c>
      <c r="AI148" s="571">
        <f>'Carbon Emissions'!AP19</f>
        <v>0.97754824473839019</v>
      </c>
      <c r="AJ148" s="571">
        <f>'Carbon Emissions'!AQ19</f>
        <v>0.80551781119981491</v>
      </c>
      <c r="AK148" s="571">
        <f>'Carbon Emissions'!AR19</f>
        <v>0.7017677847038869</v>
      </c>
      <c r="AL148" s="571">
        <f>'Carbon Emissions'!AS19</f>
        <v>0.61205822573902235</v>
      </c>
      <c r="AM148" s="571">
        <f>'Carbon Emissions'!AT19</f>
        <v>0.5120140782809024</v>
      </c>
      <c r="AN148" s="571">
        <f>'Carbon Emissions'!AU19</f>
        <v>0.39489356780697088</v>
      </c>
      <c r="AO148" s="571">
        <f>'Carbon Emissions'!AV19</f>
        <v>0.30813879191202748</v>
      </c>
      <c r="AP148" s="571">
        <f>'Carbon Emissions'!AW19</f>
        <v>0.22681742488466197</v>
      </c>
      <c r="AQ148" s="571">
        <f>'Carbon Emissions'!AX19</f>
        <v>0.15038345419336344</v>
      </c>
      <c r="AR148" s="571">
        <f>'Carbon Emissions'!AY19</f>
        <v>7.3899446562026586E-2</v>
      </c>
      <c r="AS148" s="571">
        <f>'Carbon Emissions'!AZ19</f>
        <v>0</v>
      </c>
    </row>
    <row r="149" spans="1:45" s="229" customFormat="1" ht="18" outlineLevel="1">
      <c r="A149" s="229">
        <v>7</v>
      </c>
      <c r="B149" s="229" t="str">
        <f t="shared" si="35"/>
        <v>7DomesticCarbon Emissions</v>
      </c>
      <c r="C149" s="234" t="str">
        <f t="shared" si="36"/>
        <v>DomesticCarbon Emissions</v>
      </c>
      <c r="D149" s="55"/>
      <c r="E149" s="313" t="s">
        <v>221</v>
      </c>
      <c r="F149" s="313"/>
      <c r="G149" s="234" t="s">
        <v>184</v>
      </c>
      <c r="I149" s="313"/>
      <c r="J149" s="571">
        <f>'Carbon Emissions'!Q64+'Carbon Emissions'!Q86</f>
        <v>1255.9035851191368</v>
      </c>
      <c r="K149" s="571">
        <f>'Carbon Emissions'!R64+'Carbon Emissions'!R86</f>
        <v>1011.3881736494008</v>
      </c>
      <c r="L149" s="571">
        <f>'Carbon Emissions'!S64+'Carbon Emissions'!S86</f>
        <v>912.04047753116754</v>
      </c>
      <c r="M149" s="571">
        <f>'Carbon Emissions'!T64+'Carbon Emissions'!T86</f>
        <v>855.2450179827274</v>
      </c>
      <c r="N149" s="571">
        <f>'Carbon Emissions'!U64+'Carbon Emissions'!U86</f>
        <v>764.61326198135941</v>
      </c>
      <c r="O149" s="571">
        <f>'Carbon Emissions'!V64+'Carbon Emissions'!V86</f>
        <v>570.46268312961058</v>
      </c>
      <c r="P149" s="571">
        <f>'Carbon Emissions'!W64+'Carbon Emissions'!W86</f>
        <v>525.86412319320698</v>
      </c>
      <c r="Q149" s="571">
        <f>'Carbon Emissions'!X64+'Carbon Emissions'!X86</f>
        <v>482.19700435851001</v>
      </c>
      <c r="R149" s="571">
        <f>'Carbon Emissions'!Y64+'Carbon Emissions'!Y86</f>
        <v>450.49927426124157</v>
      </c>
      <c r="S149" s="571">
        <f>'Carbon Emissions'!Z64+'Carbon Emissions'!Z86</f>
        <v>475.15430199614207</v>
      </c>
      <c r="T149" s="571">
        <f>'Carbon Emissions'!AA64+'Carbon Emissions'!AA86</f>
        <v>385.22025621940463</v>
      </c>
      <c r="U149" s="571">
        <f>'Carbon Emissions'!AB64+'Carbon Emissions'!AB86</f>
        <v>269.40830409193222</v>
      </c>
      <c r="V149" s="571">
        <f>'Carbon Emissions'!AC64+'Carbon Emissions'!AC86</f>
        <v>215.01979734587613</v>
      </c>
      <c r="W149" s="571">
        <f>'Carbon Emissions'!AD64+'Carbon Emissions'!AD86</f>
        <v>190.68941426994357</v>
      </c>
      <c r="X149" s="571">
        <f>'Carbon Emissions'!AE64+'Carbon Emissions'!AE86</f>
        <v>170.07285026559467</v>
      </c>
      <c r="Y149" s="571">
        <f>'Carbon Emissions'!AF64+'Carbon Emissions'!AF86</f>
        <v>127.62470919642492</v>
      </c>
      <c r="Z149" s="571">
        <f>'Carbon Emissions'!AG64+'Carbon Emissions'!AG86</f>
        <v>101.15367240025957</v>
      </c>
      <c r="AA149" s="571">
        <f>'Carbon Emissions'!AH64+'Carbon Emissions'!AH86</f>
        <v>87.501525855697238</v>
      </c>
      <c r="AB149" s="571">
        <f>'Carbon Emissions'!AI64+'Carbon Emissions'!AI86</f>
        <v>76.052104860058364</v>
      </c>
      <c r="AC149" s="571">
        <f>'Carbon Emissions'!AJ64+'Carbon Emissions'!AJ86</f>
        <v>69.09787423618522</v>
      </c>
      <c r="AD149" s="571">
        <f>'Carbon Emissions'!AK64+'Carbon Emissions'!AK86</f>
        <v>61.6981887477219</v>
      </c>
      <c r="AE149" s="571">
        <f>'Carbon Emissions'!AL64+'Carbon Emissions'!AL86</f>
        <v>51.115731502540847</v>
      </c>
      <c r="AF149" s="571">
        <f>'Carbon Emissions'!AM64+'Carbon Emissions'!AM86</f>
        <v>45.510383862407551</v>
      </c>
      <c r="AG149" s="571">
        <f>'Carbon Emissions'!AN64+'Carbon Emissions'!AN86</f>
        <v>44.489370920683577</v>
      </c>
      <c r="AH149" s="571">
        <f>'Carbon Emissions'!AO64+'Carbon Emissions'!AO86</f>
        <v>42.129480866989162</v>
      </c>
      <c r="AI149" s="571">
        <f>'Carbon Emissions'!AP64+'Carbon Emissions'!AP86</f>
        <v>38.180593961880483</v>
      </c>
      <c r="AJ149" s="571">
        <f>'Carbon Emissions'!AQ64+'Carbon Emissions'!AQ86</f>
        <v>31.69937229910057</v>
      </c>
      <c r="AK149" s="571">
        <f>'Carbon Emissions'!AR64+'Carbon Emissions'!AR86</f>
        <v>30.086884231251002</v>
      </c>
      <c r="AL149" s="571">
        <f>'Carbon Emissions'!AS64+'Carbon Emissions'!AS86</f>
        <v>29.476007210779617</v>
      </c>
      <c r="AM149" s="571">
        <f>'Carbon Emissions'!AT64+'Carbon Emissions'!AT86</f>
        <v>27.70748867835886</v>
      </c>
      <c r="AN149" s="571">
        <f>'Carbon Emissions'!AU64+'Carbon Emissions'!AU86</f>
        <v>23.532546785747449</v>
      </c>
      <c r="AO149" s="571">
        <f>'Carbon Emissions'!AV64+'Carbon Emissions'!AV86</f>
        <v>21.36723703354863</v>
      </c>
      <c r="AP149" s="571">
        <f>'Carbon Emissions'!AW64+'Carbon Emissions'!AW86</f>
        <v>19.703265424979715</v>
      </c>
      <c r="AQ149" s="571">
        <f>'Carbon Emissions'!AX64+'Carbon Emissions'!AX86</f>
        <v>18.702366483215741</v>
      </c>
      <c r="AR149" s="571">
        <f>'Carbon Emissions'!AY64+'Carbon Emissions'!AY86</f>
        <v>17.405327743035212</v>
      </c>
      <c r="AS149" s="571">
        <f>'Carbon Emissions'!AZ64+'Carbon Emissions'!AZ86</f>
        <v>17.108707418126102</v>
      </c>
    </row>
    <row r="150" spans="1:45" s="313" customFormat="1" outlineLevel="1">
      <c r="A150" s="229">
        <v>8</v>
      </c>
      <c r="B150" s="229" t="str">
        <f t="shared" si="35"/>
        <v>8</v>
      </c>
      <c r="C150" s="234"/>
      <c r="D150" s="55"/>
      <c r="G150" s="234"/>
      <c r="H150" s="229"/>
    </row>
    <row r="151" spans="1:45" s="229" customFormat="1" outlineLevel="1">
      <c r="A151" s="229">
        <v>9</v>
      </c>
      <c r="B151" s="229" t="str">
        <f t="shared" si="35"/>
        <v>9</v>
      </c>
      <c r="C151" s="234"/>
      <c r="E151" s="313"/>
      <c r="F151" s="313"/>
      <c r="G151" s="234"/>
      <c r="I151" s="313"/>
      <c r="J151" s="247"/>
      <c r="K151" s="247"/>
      <c r="L151" s="247"/>
      <c r="M151" s="247"/>
      <c r="N151" s="247"/>
      <c r="O151" s="247"/>
      <c r="P151" s="247"/>
      <c r="Q151" s="247"/>
      <c r="R151" s="247"/>
      <c r="S151" s="247"/>
      <c r="T151" s="247"/>
      <c r="U151" s="247"/>
      <c r="V151" s="247"/>
      <c r="W151" s="247"/>
      <c r="X151" s="247"/>
      <c r="Y151" s="247"/>
      <c r="Z151" s="247"/>
      <c r="AA151" s="247"/>
      <c r="AB151" s="247"/>
      <c r="AC151" s="247"/>
      <c r="AD151" s="247"/>
      <c r="AE151" s="247"/>
      <c r="AF151" s="247"/>
      <c r="AG151" s="247"/>
      <c r="AH151" s="247"/>
      <c r="AI151" s="247"/>
      <c r="AJ151" s="247"/>
      <c r="AK151" s="247"/>
      <c r="AL151" s="247"/>
      <c r="AM151" s="247"/>
      <c r="AN151" s="247"/>
      <c r="AO151" s="247"/>
      <c r="AP151" s="247"/>
      <c r="AQ151" s="247"/>
      <c r="AR151" s="247"/>
      <c r="AS151" s="247"/>
    </row>
    <row r="152" spans="1:45" s="229" customFormat="1" outlineLevel="1">
      <c r="A152" s="229">
        <v>10</v>
      </c>
      <c r="B152" s="229" t="str">
        <f t="shared" si="35"/>
        <v>10</v>
      </c>
      <c r="C152" s="234"/>
      <c r="E152" s="313"/>
      <c r="F152" s="313"/>
      <c r="G152" s="234"/>
      <c r="I152" s="313"/>
      <c r="J152" s="247"/>
      <c r="K152" s="247"/>
      <c r="L152" s="247"/>
      <c r="M152" s="247"/>
      <c r="N152" s="247"/>
      <c r="O152" s="247"/>
      <c r="P152" s="247"/>
      <c r="Q152" s="247"/>
      <c r="R152" s="247"/>
      <c r="S152" s="247"/>
      <c r="T152" s="247"/>
      <c r="U152" s="247"/>
      <c r="V152" s="247"/>
      <c r="W152" s="247"/>
      <c r="X152" s="247"/>
      <c r="Y152" s="247"/>
      <c r="Z152" s="247"/>
      <c r="AA152" s="247"/>
      <c r="AB152" s="247"/>
      <c r="AC152" s="247"/>
      <c r="AD152" s="247"/>
      <c r="AE152" s="247"/>
      <c r="AF152" s="247"/>
      <c r="AG152" s="247"/>
      <c r="AH152" s="247"/>
      <c r="AI152" s="247"/>
      <c r="AJ152" s="247"/>
      <c r="AK152" s="247"/>
      <c r="AL152" s="247"/>
      <c r="AM152" s="247"/>
      <c r="AN152" s="247"/>
      <c r="AO152" s="247"/>
      <c r="AP152" s="247"/>
      <c r="AQ152" s="247"/>
      <c r="AR152" s="247"/>
      <c r="AS152" s="247"/>
    </row>
    <row r="153" spans="1:45" s="229" customFormat="1" ht="18" outlineLevel="1">
      <c r="A153" s="229">
        <v>11</v>
      </c>
      <c r="B153" s="229" t="str">
        <f t="shared" si="35"/>
        <v>11</v>
      </c>
      <c r="C153" s="234"/>
      <c r="E153" s="313"/>
      <c r="F153" s="313"/>
      <c r="G153" s="234" t="s">
        <v>184</v>
      </c>
      <c r="I153" s="313"/>
      <c r="J153" s="247"/>
      <c r="K153" s="247"/>
      <c r="L153" s="247"/>
      <c r="M153" s="247"/>
      <c r="N153" s="247"/>
      <c r="O153" s="247"/>
      <c r="P153" s="247"/>
      <c r="Q153" s="247"/>
      <c r="R153" s="247"/>
      <c r="S153" s="247"/>
      <c r="T153" s="247"/>
      <c r="U153" s="247"/>
      <c r="V153" s="247"/>
      <c r="W153" s="247"/>
      <c r="X153" s="247"/>
      <c r="Y153" s="247"/>
      <c r="Z153" s="247"/>
      <c r="AA153" s="247"/>
      <c r="AB153" s="247"/>
      <c r="AC153" s="247"/>
      <c r="AD153" s="247"/>
      <c r="AE153" s="247"/>
      <c r="AF153" s="247"/>
      <c r="AG153" s="247"/>
      <c r="AH153" s="247"/>
      <c r="AI153" s="247"/>
      <c r="AJ153" s="247"/>
      <c r="AK153" s="247"/>
      <c r="AL153" s="247"/>
      <c r="AM153" s="247"/>
      <c r="AN153" s="247"/>
      <c r="AO153" s="247"/>
      <c r="AP153" s="247"/>
      <c r="AQ153" s="247"/>
      <c r="AR153" s="247"/>
      <c r="AS153" s="247"/>
    </row>
    <row r="154" spans="1:45" s="238" customFormat="1" outlineLevel="1">
      <c r="A154" s="229" t="s">
        <v>208</v>
      </c>
      <c r="B154" s="229" t="str">
        <f>A154&amp;C154</f>
        <v>NDomesticCarbon Emissions</v>
      </c>
      <c r="C154" s="234" t="str">
        <f t="shared" ref="C154" si="37">$A$138&amp;$A$139</f>
        <v>DomesticCarbon Emissions</v>
      </c>
      <c r="E154" s="236" t="str">
        <f>""</f>
        <v/>
      </c>
    </row>
    <row r="155" spans="1:45" outlineLevel="1"/>
    <row r="156" spans="1:45" outlineLevel="1">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159"/>
      <c r="AK156" s="159"/>
      <c r="AL156" s="159"/>
      <c r="AM156" s="159"/>
      <c r="AN156" s="159"/>
      <c r="AO156" s="159"/>
      <c r="AP156" s="159"/>
      <c r="AQ156" s="159"/>
      <c r="AR156" s="159"/>
      <c r="AS156" s="159"/>
    </row>
    <row r="157" spans="1:45" s="298" customFormat="1" outlineLevel="1">
      <c r="A157" s="298" t="s">
        <v>164</v>
      </c>
    </row>
    <row r="158" spans="1:45" outlineLevel="1">
      <c r="A158" s="229" t="s">
        <v>175</v>
      </c>
      <c r="B158" s="229" t="s">
        <v>176</v>
      </c>
      <c r="C158" s="229" t="s">
        <v>177</v>
      </c>
      <c r="D158" s="230"/>
      <c r="E158" s="230" t="s">
        <v>178</v>
      </c>
      <c r="F158" s="230"/>
      <c r="G158" s="230" t="s">
        <v>179</v>
      </c>
      <c r="H158" s="230" t="s">
        <v>180</v>
      </c>
      <c r="I158" s="230"/>
      <c r="J158" s="230">
        <v>2015</v>
      </c>
      <c r="K158" s="230">
        <v>2016</v>
      </c>
      <c r="L158" s="230">
        <v>2017</v>
      </c>
      <c r="M158" s="230">
        <v>2018</v>
      </c>
      <c r="N158" s="230">
        <v>2019</v>
      </c>
      <c r="O158" s="230">
        <v>2020</v>
      </c>
      <c r="P158" s="230">
        <v>2021</v>
      </c>
      <c r="Q158" s="230">
        <v>2022</v>
      </c>
      <c r="R158" s="230">
        <v>2023</v>
      </c>
      <c r="S158" s="230">
        <v>2024</v>
      </c>
      <c r="T158" s="230">
        <v>2025</v>
      </c>
      <c r="U158" s="230">
        <v>2026</v>
      </c>
      <c r="V158" s="230">
        <v>2027</v>
      </c>
      <c r="W158" s="230">
        <v>2028</v>
      </c>
      <c r="X158" s="230">
        <v>2029</v>
      </c>
      <c r="Y158" s="230">
        <v>2030</v>
      </c>
      <c r="Z158" s="230">
        <v>2031</v>
      </c>
      <c r="AA158" s="230">
        <v>2032</v>
      </c>
      <c r="AB158" s="230">
        <v>2033</v>
      </c>
      <c r="AC158" s="230">
        <v>2034</v>
      </c>
      <c r="AD158" s="230">
        <v>2035</v>
      </c>
      <c r="AE158" s="230">
        <v>2036</v>
      </c>
      <c r="AF158" s="230">
        <v>2037</v>
      </c>
      <c r="AG158" s="230">
        <v>2038</v>
      </c>
      <c r="AH158" s="230">
        <v>2039</v>
      </c>
      <c r="AI158" s="230">
        <v>2040</v>
      </c>
      <c r="AJ158" s="230">
        <v>2041</v>
      </c>
      <c r="AK158" s="230">
        <v>2042</v>
      </c>
      <c r="AL158" s="230">
        <v>2043</v>
      </c>
      <c r="AM158" s="230">
        <v>2044</v>
      </c>
      <c r="AN158" s="230">
        <v>2045</v>
      </c>
      <c r="AO158" s="230">
        <v>2046</v>
      </c>
      <c r="AP158" s="230">
        <v>2047</v>
      </c>
      <c r="AQ158" s="230">
        <v>2048</v>
      </c>
      <c r="AR158" s="230">
        <v>2049</v>
      </c>
      <c r="AS158" s="230">
        <v>2050</v>
      </c>
    </row>
    <row r="159" spans="1:45" outlineLevel="1"/>
    <row r="160" spans="1:45" s="229" customFormat="1" outlineLevel="1">
      <c r="A160" s="229">
        <v>0</v>
      </c>
      <c r="B160" s="229" t="str">
        <f t="shared" ref="B160:B171" si="38">A160&amp;C160</f>
        <v>0DomesticEnergy Demand</v>
      </c>
      <c r="C160" s="234" t="str">
        <f>$A$138&amp;$A$157</f>
        <v>DomesticEnergy Demand</v>
      </c>
      <c r="E160" s="248" t="s">
        <v>196</v>
      </c>
      <c r="G160" s="234"/>
      <c r="J160" s="237"/>
      <c r="K160" s="237"/>
      <c r="L160" s="237"/>
      <c r="M160" s="237"/>
      <c r="N160" s="237"/>
      <c r="O160" s="237"/>
      <c r="P160" s="237"/>
      <c r="Q160" s="237"/>
      <c r="R160" s="237"/>
      <c r="S160" s="237"/>
      <c r="T160" s="237"/>
      <c r="U160" s="237"/>
      <c r="V160" s="237"/>
      <c r="W160" s="237"/>
      <c r="X160" s="237"/>
      <c r="Y160" s="237"/>
      <c r="Z160" s="237"/>
      <c r="AA160" s="237"/>
      <c r="AB160" s="237"/>
      <c r="AC160" s="237"/>
      <c r="AD160" s="237"/>
      <c r="AE160" s="237"/>
      <c r="AF160" s="237"/>
      <c r="AG160" s="237"/>
      <c r="AH160" s="237"/>
      <c r="AI160" s="237"/>
      <c r="AJ160" s="237"/>
      <c r="AK160" s="237"/>
      <c r="AL160" s="237"/>
      <c r="AM160" s="237"/>
      <c r="AN160" s="237"/>
      <c r="AO160" s="237"/>
      <c r="AP160" s="237"/>
      <c r="AQ160" s="237"/>
      <c r="AR160" s="237"/>
      <c r="AS160" s="237"/>
    </row>
    <row r="161" spans="1:45" s="229" customFormat="1" outlineLevel="1">
      <c r="A161" s="229">
        <v>1</v>
      </c>
      <c r="B161" s="229" t="str">
        <f t="shared" si="38"/>
        <v>1DomesticEnergy Demand</v>
      </c>
      <c r="C161" s="234" t="str">
        <f t="shared" ref="C161:C172" si="39">$A$138&amp;$A$157</f>
        <v>DomesticEnergy Demand</v>
      </c>
      <c r="E161" s="313" t="s">
        <v>209</v>
      </c>
      <c r="F161" s="313"/>
      <c r="G161" s="234" t="s">
        <v>198</v>
      </c>
      <c r="I161" s="313"/>
      <c r="J161" s="571">
        <f>'Energy supply'!O10</f>
        <v>9052.7900156878513</v>
      </c>
      <c r="K161" s="571">
        <f>'Energy supply'!P10</f>
        <v>9126.3806071678664</v>
      </c>
      <c r="L161" s="571">
        <f>'Energy supply'!Q10</f>
        <v>9199.0404710000439</v>
      </c>
      <c r="M161" s="571">
        <f>'Energy supply'!R10</f>
        <v>9270.816903218396</v>
      </c>
      <c r="N161" s="571">
        <f>'Energy supply'!S10</f>
        <v>9341.7367713199219</v>
      </c>
      <c r="O161" s="571">
        <f>'Energy supply'!T10</f>
        <v>9309.3740506586601</v>
      </c>
      <c r="P161" s="571">
        <f>'Energy supply'!U10</f>
        <v>9188.946044266846</v>
      </c>
      <c r="Q161" s="571">
        <f>'Energy supply'!V10</f>
        <v>8753.4218549481866</v>
      </c>
      <c r="R161" s="571">
        <f>'Energy supply'!W10</f>
        <v>8036.4603630115644</v>
      </c>
      <c r="S161" s="571">
        <f>'Energy supply'!X10</f>
        <v>7207.3638980761043</v>
      </c>
      <c r="T161" s="571">
        <f>'Energy supply'!Y10</f>
        <v>6410.7631511833197</v>
      </c>
      <c r="U161" s="571">
        <f>'Energy supply'!Z10</f>
        <v>5637.0235648018934</v>
      </c>
      <c r="V161" s="571">
        <f>'Energy supply'!AA10</f>
        <v>4875.9428817735843</v>
      </c>
      <c r="W161" s="571">
        <f>'Energy supply'!AB10</f>
        <v>4231.785712488846</v>
      </c>
      <c r="X161" s="571">
        <f>'Energy supply'!AC10</f>
        <v>3731.6786995582211</v>
      </c>
      <c r="Y161" s="571">
        <f>'Energy supply'!AD10</f>
        <v>3339.5115548418612</v>
      </c>
      <c r="Z161" s="571">
        <f>'Energy supply'!AE10</f>
        <v>2981.2715625898168</v>
      </c>
      <c r="AA161" s="571">
        <f>'Energy supply'!AF10</f>
        <v>2633.631912697439</v>
      </c>
      <c r="AB161" s="571">
        <f>'Energy supply'!AG10</f>
        <v>2295.7066988974361</v>
      </c>
      <c r="AC161" s="571">
        <f>'Energy supply'!AH10</f>
        <v>1970.2046068118334</v>
      </c>
      <c r="AD161" s="571">
        <f>'Energy supply'!AI10</f>
        <v>1675.0492837818733</v>
      </c>
      <c r="AE161" s="571">
        <f>'Energy supply'!AJ10</f>
        <v>1289.0790831615654</v>
      </c>
      <c r="AF161" s="571">
        <f>'Energy supply'!AK10</f>
        <v>1005.9941236693276</v>
      </c>
      <c r="AG161" s="571">
        <f>'Energy supply'!AL10</f>
        <v>811.16817903893957</v>
      </c>
      <c r="AH161" s="571">
        <f>'Energy supply'!AM10</f>
        <v>741.59290125840482</v>
      </c>
      <c r="AI161" s="571">
        <f>'Energy supply'!AN10</f>
        <v>673.55156655698431</v>
      </c>
      <c r="AJ161" s="571">
        <f>'Energy supply'!AO10</f>
        <v>603.00368096297393</v>
      </c>
      <c r="AK161" s="571">
        <f>'Energy supply'!AP10</f>
        <v>534.23880053753828</v>
      </c>
      <c r="AL161" s="571">
        <f>'Energy supply'!AQ10</f>
        <v>466.85633848622757</v>
      </c>
      <c r="AM161" s="571">
        <f>'Energy supply'!AR10</f>
        <v>400.45440702911202</v>
      </c>
      <c r="AN161" s="571">
        <f>'Energy supply'!AS10</f>
        <v>334.63011837216919</v>
      </c>
      <c r="AO161" s="571">
        <f>'Energy supply'!AT10</f>
        <v>273.66853896018256</v>
      </c>
      <c r="AP161" s="571">
        <f>'Energy supply'!AU10</f>
        <v>209.85230735131498</v>
      </c>
      <c r="AQ161" s="571">
        <f>'Energy supply'!AV10</f>
        <v>143.05493542619578</v>
      </c>
      <c r="AR161" s="571">
        <f>'Energy supply'!AW10</f>
        <v>73.147750269434624</v>
      </c>
      <c r="AS161" s="571">
        <f>'Energy supply'!AX10</f>
        <v>0</v>
      </c>
    </row>
    <row r="162" spans="1:45" s="229" customFormat="1" outlineLevel="1">
      <c r="A162" s="229">
        <v>2</v>
      </c>
      <c r="B162" s="229" t="str">
        <f t="shared" si="38"/>
        <v>2DomesticEnergy Demand</v>
      </c>
      <c r="C162" s="234" t="str">
        <f t="shared" si="39"/>
        <v>DomesticEnergy Demand</v>
      </c>
      <c r="E162" s="313" t="s">
        <v>218</v>
      </c>
      <c r="G162" s="234" t="s">
        <v>198</v>
      </c>
      <c r="J162" s="571">
        <f>'Energy supply'!O12</f>
        <v>681.39279687973078</v>
      </c>
      <c r="K162" s="571">
        <f>'Energy supply'!P12</f>
        <v>686.93187365779659</v>
      </c>
      <c r="L162" s="571">
        <f>'Energy supply'!Q12</f>
        <v>692.40089566666984</v>
      </c>
      <c r="M162" s="571">
        <f>'Energy supply'!R12</f>
        <v>697.80342282288996</v>
      </c>
      <c r="N162" s="571">
        <f>'Energy supply'!S12</f>
        <v>703.14147741117711</v>
      </c>
      <c r="O162" s="571">
        <f>'Energy supply'!T12</f>
        <v>700.70557370549056</v>
      </c>
      <c r="P162" s="571">
        <f>'Energy supply'!U12</f>
        <v>691.64110010610671</v>
      </c>
      <c r="Q162" s="571">
        <f>'Energy supply'!V12</f>
        <v>658.85970951222907</v>
      </c>
      <c r="R162" s="571">
        <f>'Energy supply'!W12</f>
        <v>604.89486603312855</v>
      </c>
      <c r="S162" s="571">
        <f>'Energy supply'!X12</f>
        <v>542.48975576916916</v>
      </c>
      <c r="T162" s="571">
        <f>'Energy supply'!Y12</f>
        <v>482.53055976648636</v>
      </c>
      <c r="U162" s="571">
        <f>'Energy supply'!Z12</f>
        <v>424.29209627541132</v>
      </c>
      <c r="V162" s="571">
        <f>'Energy supply'!AA12</f>
        <v>369.20321258168997</v>
      </c>
      <c r="W162" s="571">
        <f>'Energy supply'!AB12</f>
        <v>322.35756020756594</v>
      </c>
      <c r="X162" s="571">
        <f>'Energy supply'!AC12</f>
        <v>285.98385369060912</v>
      </c>
      <c r="Y162" s="571">
        <f>'Energy supply'!AD12</f>
        <v>257.48933084720682</v>
      </c>
      <c r="Z162" s="571">
        <f>'Energy supply'!AE12</f>
        <v>232.61989766335344</v>
      </c>
      <c r="AA162" s="571">
        <f>'Energy supply'!AF12</f>
        <v>207.98484841069916</v>
      </c>
      <c r="AB162" s="571">
        <f>'Energy supply'!AG12</f>
        <v>183.52198807710744</v>
      </c>
      <c r="AC162" s="571">
        <f>'Energy supply'!AH12</f>
        <v>159.4569574249374</v>
      </c>
      <c r="AD162" s="571">
        <f>'Energy supply'!AI12</f>
        <v>135.56879392384221</v>
      </c>
      <c r="AE162" s="571">
        <f>'Energy supply'!AJ12</f>
        <v>210.7903956411063</v>
      </c>
      <c r="AF162" s="571">
        <f>'Energy supply'!AK12</f>
        <v>260.36294990774775</v>
      </c>
      <c r="AG162" s="571">
        <f>'Energy supply'!AL12</f>
        <v>300.12003386803178</v>
      </c>
      <c r="AH162" s="571">
        <f>'Energy supply'!AM12</f>
        <v>371.81367672590522</v>
      </c>
      <c r="AI162" s="571">
        <f>'Energy supply'!AN12</f>
        <v>443.89454611802626</v>
      </c>
      <c r="AJ162" s="571">
        <f>'Energy supply'!AO12</f>
        <v>513.60008283353466</v>
      </c>
      <c r="AK162" s="571">
        <f>'Energy supply'!AP12</f>
        <v>583.71565095152482</v>
      </c>
      <c r="AL162" s="571">
        <f>'Energy supply'!AQ12</f>
        <v>654.67689307567707</v>
      </c>
      <c r="AM162" s="571">
        <f>'Energy supply'!AR12</f>
        <v>726.92035962042519</v>
      </c>
      <c r="AN162" s="571">
        <f>'Energy supply'!AS12</f>
        <v>800.88373803953073</v>
      </c>
      <c r="AO162" s="571">
        <f>'Energy supply'!AT12</f>
        <v>892.29423039393589</v>
      </c>
      <c r="AP162" s="571">
        <f>'Energy supply'!AU12</f>
        <v>987.51172496225183</v>
      </c>
      <c r="AQ162" s="571">
        <f>'Energy supply'!AV12</f>
        <v>1086.681611458094</v>
      </c>
      <c r="AR162" s="571">
        <f>'Energy supply'!AW12</f>
        <v>1189.9512617538978</v>
      </c>
      <c r="AS162" s="571">
        <f>'Energy supply'!AX12</f>
        <v>1297.469947489883</v>
      </c>
    </row>
    <row r="163" spans="1:45" s="229" customFormat="1" outlineLevel="1">
      <c r="A163" s="229">
        <v>3</v>
      </c>
      <c r="B163" s="229" t="str">
        <f t="shared" si="38"/>
        <v>3DomesticEnergy Demand</v>
      </c>
      <c r="C163" s="234" t="str">
        <f t="shared" si="39"/>
        <v>DomesticEnergy Demand</v>
      </c>
      <c r="E163" s="313" t="s">
        <v>95</v>
      </c>
      <c r="F163" s="313"/>
      <c r="G163" s="234" t="s">
        <v>198</v>
      </c>
      <c r="I163" s="313"/>
      <c r="J163" s="571">
        <f>'Energy supply'!O13</f>
        <v>0</v>
      </c>
      <c r="K163" s="571">
        <f>'Energy supply'!P13</f>
        <v>0</v>
      </c>
      <c r="L163" s="571">
        <f>'Energy supply'!Q13</f>
        <v>0</v>
      </c>
      <c r="M163" s="571">
        <f>'Energy supply'!R13</f>
        <v>0</v>
      </c>
      <c r="N163" s="571">
        <f>'Energy supply'!S13</f>
        <v>0</v>
      </c>
      <c r="O163" s="571">
        <f>'Energy supply'!T13</f>
        <v>34.086694037757447</v>
      </c>
      <c r="P163" s="571">
        <f>'Energy supply'!U13</f>
        <v>89.773236112994226</v>
      </c>
      <c r="Q163" s="571">
        <f>'Energy supply'!V13</f>
        <v>201.49500518221311</v>
      </c>
      <c r="R163" s="571">
        <f>'Energy supply'!W13</f>
        <v>344.18617310847145</v>
      </c>
      <c r="S163" s="571">
        <f>'Energy supply'!X13</f>
        <v>543.37196309359604</v>
      </c>
      <c r="T163" s="571">
        <f>'Energy supply'!Y13</f>
        <v>779.80656012086831</v>
      </c>
      <c r="U163" s="571">
        <f>'Energy supply'!Z13</f>
        <v>1072.2411940111056</v>
      </c>
      <c r="V163" s="571">
        <f>'Energy supply'!AA13</f>
        <v>1420.3366786951949</v>
      </c>
      <c r="W163" s="571">
        <f>'Energy supply'!AB13</f>
        <v>1763.4816035000747</v>
      </c>
      <c r="X163" s="571">
        <f>'Energy supply'!AC13</f>
        <v>2116.0701571044351</v>
      </c>
      <c r="Y163" s="571">
        <f>'Energy supply'!AD13</f>
        <v>2485.1526031709941</v>
      </c>
      <c r="Z163" s="571">
        <f>'Energy supply'!AE13</f>
        <v>2837.8176826167846</v>
      </c>
      <c r="AA163" s="571">
        <f>'Energy supply'!AF13</f>
        <v>3190.692610413771</v>
      </c>
      <c r="AB163" s="571">
        <f>'Energy supply'!AG13</f>
        <v>3543.7686247249767</v>
      </c>
      <c r="AC163" s="571">
        <f>'Energy supply'!AH13</f>
        <v>3897.038526642395</v>
      </c>
      <c r="AD163" s="571">
        <f>'Energy supply'!AI13</f>
        <v>4250.6056323954408</v>
      </c>
      <c r="AE163" s="571">
        <f>'Energy supply'!AJ13</f>
        <v>4604.4022538529771</v>
      </c>
      <c r="AF163" s="571">
        <f>'Energy supply'!AK13</f>
        <v>4875.6279170070584</v>
      </c>
      <c r="AG163" s="571">
        <f>'Energy supply'!AL13</f>
        <v>5064.4097043250586</v>
      </c>
      <c r="AH163" s="571">
        <f>'Energy supply'!AM13</f>
        <v>5087.8878604700349</v>
      </c>
      <c r="AI163" s="571">
        <f>'Energy supply'!AN13</f>
        <v>5111.5152228771194</v>
      </c>
      <c r="AJ163" s="571">
        <f>'Energy supply'!AO13</f>
        <v>5135.2831089038209</v>
      </c>
      <c r="AK163" s="571">
        <f>'Energy supply'!AP13</f>
        <v>5159.1835028439937</v>
      </c>
      <c r="AL163" s="571">
        <f>'Energy supply'!AQ13</f>
        <v>5183.2089930979655</v>
      </c>
      <c r="AM163" s="571">
        <f>'Energy supply'!AR13</f>
        <v>5207.3527163141134</v>
      </c>
      <c r="AN163" s="571">
        <f>'Energy supply'!AS13</f>
        <v>5231.6083076158257</v>
      </c>
      <c r="AO163" s="571">
        <f>'Energy supply'!AT13</f>
        <v>5255.9698561541591</v>
      </c>
      <c r="AP163" s="571">
        <f>'Energy supply'!AU13</f>
        <v>5280.4318653330411</v>
      </c>
      <c r="AQ163" s="571">
        <f>'Energy supply'!AV13</f>
        <v>5304.9892171438041</v>
      </c>
      <c r="AR163" s="571">
        <f>'Energy supply'!AW13</f>
        <v>5329.6371401221249</v>
      </c>
      <c r="AS163" s="571">
        <f>'Energy supply'!AX13</f>
        <v>5354.371180505289</v>
      </c>
    </row>
    <row r="164" spans="1:45" s="229" customFormat="1" outlineLevel="1">
      <c r="A164" s="229">
        <v>4</v>
      </c>
      <c r="B164" s="229" t="str">
        <f t="shared" si="38"/>
        <v>4DomesticEnergy Demand</v>
      </c>
      <c r="C164" s="234" t="str">
        <f t="shared" si="39"/>
        <v>DomesticEnergy Demand</v>
      </c>
      <c r="E164" s="313" t="s">
        <v>220</v>
      </c>
      <c r="G164" s="234" t="s">
        <v>198</v>
      </c>
      <c r="J164" s="571">
        <f>'Energy supply'!O15</f>
        <v>0</v>
      </c>
      <c r="K164" s="571">
        <f>'Energy supply'!P15</f>
        <v>0</v>
      </c>
      <c r="L164" s="571">
        <f>'Energy supply'!Q15</f>
        <v>0</v>
      </c>
      <c r="M164" s="571">
        <f>'Energy supply'!R15</f>
        <v>0</v>
      </c>
      <c r="N164" s="571">
        <f>'Energy supply'!S15</f>
        <v>0</v>
      </c>
      <c r="O164" s="571">
        <f>'Energy supply'!T15</f>
        <v>0</v>
      </c>
      <c r="P164" s="571">
        <f>'Energy supply'!U15</f>
        <v>0</v>
      </c>
      <c r="Q164" s="571">
        <f>'Energy supply'!V15</f>
        <v>0</v>
      </c>
      <c r="R164" s="571">
        <f>'Energy supply'!W15</f>
        <v>0</v>
      </c>
      <c r="S164" s="571">
        <f>'Energy supply'!X15</f>
        <v>0</v>
      </c>
      <c r="T164" s="571">
        <f>'Energy supply'!Y15</f>
        <v>0</v>
      </c>
      <c r="U164" s="571">
        <f>'Energy supply'!Z15</f>
        <v>0</v>
      </c>
      <c r="V164" s="571">
        <f>'Energy supply'!AA15</f>
        <v>0</v>
      </c>
      <c r="W164" s="571">
        <f>'Energy supply'!AB15</f>
        <v>0</v>
      </c>
      <c r="X164" s="571">
        <f>'Energy supply'!AC15</f>
        <v>0</v>
      </c>
      <c r="Y164" s="571">
        <f>'Energy supply'!AD15</f>
        <v>0</v>
      </c>
      <c r="Z164" s="571">
        <f>'Energy supply'!AE15</f>
        <v>0</v>
      </c>
      <c r="AA164" s="571">
        <f>'Energy supply'!AF15</f>
        <v>0</v>
      </c>
      <c r="AB164" s="571">
        <f>'Energy supply'!AG15</f>
        <v>0</v>
      </c>
      <c r="AC164" s="571">
        <f>'Energy supply'!AH15</f>
        <v>0</v>
      </c>
      <c r="AD164" s="571">
        <f>'Energy supply'!AI15</f>
        <v>0</v>
      </c>
      <c r="AE164" s="571">
        <f>'Energy supply'!AJ15</f>
        <v>0</v>
      </c>
      <c r="AF164" s="571">
        <f>'Energy supply'!AK15</f>
        <v>0</v>
      </c>
      <c r="AG164" s="571">
        <f>'Energy supply'!AL15</f>
        <v>0</v>
      </c>
      <c r="AH164" s="571">
        <f>'Energy supply'!AM15</f>
        <v>0</v>
      </c>
      <c r="AI164" s="571">
        <f>'Energy supply'!AN15</f>
        <v>0</v>
      </c>
      <c r="AJ164" s="571">
        <f>'Energy supply'!AO15</f>
        <v>0</v>
      </c>
      <c r="AK164" s="571">
        <f>'Energy supply'!AP15</f>
        <v>0</v>
      </c>
      <c r="AL164" s="571">
        <f>'Energy supply'!AQ15</f>
        <v>0</v>
      </c>
      <c r="AM164" s="571">
        <f>'Energy supply'!AR15</f>
        <v>0</v>
      </c>
      <c r="AN164" s="571">
        <f>'Energy supply'!AS15</f>
        <v>0</v>
      </c>
      <c r="AO164" s="571">
        <f>'Energy supply'!AT15</f>
        <v>0</v>
      </c>
      <c r="AP164" s="571">
        <f>'Energy supply'!AU15</f>
        <v>0</v>
      </c>
      <c r="AQ164" s="571">
        <f>'Energy supply'!AV15</f>
        <v>0</v>
      </c>
      <c r="AR164" s="571">
        <f>'Energy supply'!AW15</f>
        <v>0</v>
      </c>
      <c r="AS164" s="571">
        <f>'Energy supply'!AX15</f>
        <v>0</v>
      </c>
    </row>
    <row r="165" spans="1:45" s="229" customFormat="1" outlineLevel="1">
      <c r="A165" s="229">
        <v>5</v>
      </c>
      <c r="B165" s="229" t="str">
        <f t="shared" si="38"/>
        <v>5DomesticEnergy Demand</v>
      </c>
      <c r="C165" s="234" t="str">
        <f t="shared" si="39"/>
        <v>DomesticEnergy Demand</v>
      </c>
      <c r="E165" s="313" t="s">
        <v>188</v>
      </c>
      <c r="G165" s="234" t="s">
        <v>198</v>
      </c>
      <c r="J165" s="571">
        <f>'Energy supply'!O16</f>
        <v>155.18238082264065</v>
      </c>
      <c r="K165" s="571">
        <f>'Energy supply'!P16</f>
        <v>160.75024879412993</v>
      </c>
      <c r="L165" s="571">
        <f>'Energy supply'!Q16</f>
        <v>166.11233128054965</v>
      </c>
      <c r="M165" s="571">
        <f>'Energy supply'!R16</f>
        <v>171.26862828189968</v>
      </c>
      <c r="N165" s="571">
        <f>'Energy supply'!S16</f>
        <v>176.21913979818027</v>
      </c>
      <c r="O165" s="571">
        <f>'Energy supply'!T16</f>
        <v>217.06667476481945</v>
      </c>
      <c r="P165" s="571">
        <f>'Energy supply'!U16</f>
        <v>251.25969777227968</v>
      </c>
      <c r="Q165" s="571">
        <f>'Energy supply'!V16</f>
        <v>282.56354815239109</v>
      </c>
      <c r="R165" s="571">
        <f>'Energy supply'!W16</f>
        <v>311.07717401347611</v>
      </c>
      <c r="S165" s="571">
        <f>'Energy supply'!X16</f>
        <v>336.90513647005201</v>
      </c>
      <c r="T165" s="571">
        <f>'Energy supply'!Y16</f>
        <v>360.16740619834155</v>
      </c>
      <c r="U165" s="571">
        <f>'Energy supply'!Z16</f>
        <v>390.00400103387699</v>
      </c>
      <c r="V165" s="571">
        <f>'Energy supply'!AA16</f>
        <v>416.19933079170528</v>
      </c>
      <c r="W165" s="571">
        <f>'Energy supply'!AB16</f>
        <v>439.00296647189509</v>
      </c>
      <c r="X165" s="571">
        <f>'Energy supply'!AC16</f>
        <v>458.75995121048265</v>
      </c>
      <c r="Y165" s="571">
        <f>'Energy supply'!AD16</f>
        <v>475.72308618459641</v>
      </c>
      <c r="Z165" s="571">
        <f>'Energy supply'!AE16</f>
        <v>497.35027798687963</v>
      </c>
      <c r="AA165" s="571">
        <f>'Energy supply'!AF16</f>
        <v>515.8105448424792</v>
      </c>
      <c r="AB165" s="571">
        <f>'Energy supply'!AG16</f>
        <v>531.98570021445823</v>
      </c>
      <c r="AC165" s="571">
        <f>'Energy supply'!AH16</f>
        <v>542.64711694774894</v>
      </c>
      <c r="AD165" s="571">
        <f>'Energy supply'!AI16</f>
        <v>551.08233425833077</v>
      </c>
      <c r="AE165" s="571">
        <f>'Energy supply'!AJ16</f>
        <v>558.27160471189336</v>
      </c>
      <c r="AF165" s="571">
        <f>'Energy supply'!AK16</f>
        <v>563.36231436091475</v>
      </c>
      <c r="AG165" s="571">
        <f>'Energy supply'!AL16</f>
        <v>566.35997638178242</v>
      </c>
      <c r="AH165" s="571">
        <f>'Energy supply'!AM16</f>
        <v>568.37299189639305</v>
      </c>
      <c r="AI165" s="571">
        <f>'Energy supply'!AN16</f>
        <v>568.52669070186823</v>
      </c>
      <c r="AJ165" s="571">
        <f>'Energy supply'!AO16</f>
        <v>574.43468292135753</v>
      </c>
      <c r="AK165" s="571">
        <f>'Energy supply'!AP16</f>
        <v>578.76825283133621</v>
      </c>
      <c r="AL165" s="571">
        <f>'Energy supply'!AQ16</f>
        <v>581.52998248883307</v>
      </c>
      <c r="AM165" s="571">
        <f>'Energy supply'!AR16</f>
        <v>582.72239146438164</v>
      </c>
      <c r="AN165" s="571">
        <f>'Energy supply'!AS16</f>
        <v>582.34743428524757</v>
      </c>
      <c r="AO165" s="571">
        <f>'Energy supply'!AT16</f>
        <v>560.07628148932668</v>
      </c>
      <c r="AP165" s="571">
        <f>'Energy supply'!AU16</f>
        <v>537.85283565483587</v>
      </c>
      <c r="AQ165" s="571">
        <f>'Energy supply'!AV16</f>
        <v>515.67288640766265</v>
      </c>
      <c r="AR165" s="571">
        <f>'Energy supply'!AW16</f>
        <v>493.53224069995309</v>
      </c>
      <c r="AS165" s="571">
        <f>'Energy supply'!AX16</f>
        <v>471.42672055142566</v>
      </c>
    </row>
    <row r="166" spans="1:45" s="229" customFormat="1" outlineLevel="1">
      <c r="A166" s="229">
        <v>6</v>
      </c>
      <c r="B166" s="229" t="str">
        <f t="shared" si="38"/>
        <v>6DomesticEnergy Demand</v>
      </c>
      <c r="C166" s="234" t="str">
        <f t="shared" si="39"/>
        <v>DomesticEnergy Demand</v>
      </c>
      <c r="E166" s="313" t="s">
        <v>211</v>
      </c>
      <c r="F166" s="313"/>
      <c r="G166" s="234" t="s">
        <v>198</v>
      </c>
      <c r="I166" s="313"/>
      <c r="J166" s="571">
        <f>'Energy supply'!O17</f>
        <v>0</v>
      </c>
      <c r="K166" s="571">
        <f>'Energy supply'!P17</f>
        <v>0</v>
      </c>
      <c r="L166" s="571">
        <f>'Energy supply'!Q17</f>
        <v>0</v>
      </c>
      <c r="M166" s="571">
        <f>'Energy supply'!R17</f>
        <v>0</v>
      </c>
      <c r="N166" s="571">
        <f>'Energy supply'!S17</f>
        <v>0</v>
      </c>
      <c r="O166" s="571">
        <f>'Energy supply'!T17</f>
        <v>0</v>
      </c>
      <c r="P166" s="571">
        <f>'Energy supply'!U17</f>
        <v>0</v>
      </c>
      <c r="Q166" s="571">
        <f>'Energy supply'!V17</f>
        <v>0</v>
      </c>
      <c r="R166" s="571">
        <f>'Energy supply'!W17</f>
        <v>0</v>
      </c>
      <c r="S166" s="571">
        <f>'Energy supply'!X17</f>
        <v>0</v>
      </c>
      <c r="T166" s="571">
        <f>'Energy supply'!Y17</f>
        <v>0</v>
      </c>
      <c r="U166" s="571">
        <f>'Energy supply'!Z17</f>
        <v>0</v>
      </c>
      <c r="V166" s="571">
        <f>'Energy supply'!AA17</f>
        <v>29.185513954582596</v>
      </c>
      <c r="W166" s="571">
        <f>'Energy supply'!AB17</f>
        <v>50.96473026881619</v>
      </c>
      <c r="X166" s="571">
        <f>'Energy supply'!AC17</f>
        <v>67.821070902727953</v>
      </c>
      <c r="Y166" s="571">
        <f>'Energy supply'!AD17</f>
        <v>81.41812641388681</v>
      </c>
      <c r="Z166" s="571">
        <f>'Energy supply'!AE17</f>
        <v>109.24993493759396</v>
      </c>
      <c r="AA166" s="571">
        <f>'Energy supply'!AF17</f>
        <v>129.59535904470667</v>
      </c>
      <c r="AB166" s="571">
        <f>'Energy supply'!AG17</f>
        <v>142.51399984127787</v>
      </c>
      <c r="AC166" s="571">
        <f>'Energy supply'!AH17</f>
        <v>148.2949704051918</v>
      </c>
      <c r="AD166" s="571">
        <f>'Energy supply'!AI17</f>
        <v>126.07897834917327</v>
      </c>
      <c r="AE166" s="571">
        <f>'Energy supply'!AJ17</f>
        <v>97.027457872375919</v>
      </c>
      <c r="AF166" s="571">
        <f>'Energy supply'!AK17</f>
        <v>75.719987803067681</v>
      </c>
      <c r="AG166" s="571">
        <f>'Energy supply'!AL17</f>
        <v>61.055669390027703</v>
      </c>
      <c r="AH166" s="571">
        <f>'Energy supply'!AM17</f>
        <v>55.818820524826165</v>
      </c>
      <c r="AI166" s="571">
        <f>'Energy supply'!AN17</f>
        <v>50.697429740848293</v>
      </c>
      <c r="AJ166" s="571">
        <f>'Energy supply'!AO17</f>
        <v>45.387373835922773</v>
      </c>
      <c r="AK166" s="571">
        <f>'Energy supply'!AP17</f>
        <v>40.21152262110504</v>
      </c>
      <c r="AL166" s="571">
        <f>'Energy supply'!AQ17</f>
        <v>35.139724402189188</v>
      </c>
      <c r="AM166" s="571">
        <f>'Energy supply'!AR17</f>
        <v>30.141729561331008</v>
      </c>
      <c r="AN166" s="571">
        <f>'Energy supply'!AS17</f>
        <v>25.187213210808437</v>
      </c>
      <c r="AO166" s="571">
        <f>'Energy supply'!AT17</f>
        <v>20.598707233562138</v>
      </c>
      <c r="AP166" s="571">
        <f>'Energy supply'!AU17</f>
        <v>15.795334961926935</v>
      </c>
      <c r="AQ166" s="571">
        <f>'Energy supply'!AV17</f>
        <v>10.767575784767427</v>
      </c>
      <c r="AR166" s="571">
        <f>'Energy supply'!AW17</f>
        <v>5.505744643935941</v>
      </c>
      <c r="AS166" s="571">
        <f>'Energy supply'!AX17</f>
        <v>0</v>
      </c>
    </row>
    <row r="167" spans="1:45" s="229" customFormat="1" outlineLevel="1">
      <c r="A167" s="229">
        <v>7</v>
      </c>
      <c r="B167" s="229" t="str">
        <f t="shared" si="38"/>
        <v>7DomesticEnergy Demand</v>
      </c>
      <c r="C167" s="234" t="str">
        <f t="shared" si="39"/>
        <v>DomesticEnergy Demand</v>
      </c>
      <c r="E167" s="313" t="s">
        <v>221</v>
      </c>
      <c r="F167" s="313"/>
      <c r="G167" s="234" t="s">
        <v>198</v>
      </c>
      <c r="I167" s="313"/>
      <c r="J167" s="571">
        <f>'Energy demand'!O134+'Energy demand'!O77</f>
        <v>3428.0605239193087</v>
      </c>
      <c r="K167" s="571">
        <f>'Energy demand'!P134+'Energy demand'!P77</f>
        <v>3466.2720247459902</v>
      </c>
      <c r="L167" s="571">
        <f>'Energy demand'!Q134+'Energy demand'!Q77</f>
        <v>3504.4767019831456</v>
      </c>
      <c r="M167" s="571">
        <f>'Energy demand'!R134+'Energy demand'!R77</f>
        <v>3542.6745556307787</v>
      </c>
      <c r="N167" s="571">
        <f>'Energy demand'!S134+'Energy demand'!S77</f>
        <v>3558.3482110096293</v>
      </c>
      <c r="O167" s="571">
        <f>'Energy demand'!T134+'Energy demand'!T77</f>
        <v>3552.5784882571802</v>
      </c>
      <c r="P167" s="571">
        <f>'Energy demand'!U134+'Energy demand'!U77</f>
        <v>3518.2816839919396</v>
      </c>
      <c r="Q167" s="571">
        <f>'Energy demand'!V134+'Energy demand'!V77</f>
        <v>3462.5601238801255</v>
      </c>
      <c r="R167" s="571">
        <f>'Energy demand'!W134+'Energy demand'!W77</f>
        <v>3384.3943459770589</v>
      </c>
      <c r="S167" s="571">
        <f>'Energy demand'!X134+'Energy demand'!X77</f>
        <v>3287.055076265498</v>
      </c>
      <c r="T167" s="571">
        <f>'Energy demand'!Y134+'Energy demand'!Y77</f>
        <v>3169.5577154109665</v>
      </c>
      <c r="U167" s="571">
        <f>'Energy demand'!Z134+'Energy demand'!Z77</f>
        <v>3037.3313728221283</v>
      </c>
      <c r="V167" s="571">
        <f>'Energy demand'!AA134+'Energy demand'!AA77</f>
        <v>2963.0247434473995</v>
      </c>
      <c r="W167" s="571">
        <f>'Energy demand'!AB134+'Energy demand'!AB77</f>
        <v>2877.5646747880578</v>
      </c>
      <c r="X167" s="571">
        <f>'Energy demand'!AC134+'Energy demand'!AC77</f>
        <v>2778.4736806788683</v>
      </c>
      <c r="Y167" s="571">
        <f>'Energy demand'!AD134+'Energy demand'!AD77</f>
        <v>2666.2492161193081</v>
      </c>
      <c r="Z167" s="571">
        <f>'Energy demand'!AE134+'Energy demand'!AE77</f>
        <v>2696.3495447289361</v>
      </c>
      <c r="AA167" s="571">
        <f>'Energy demand'!AF134+'Energy demand'!AF77</f>
        <v>2726.0062226579103</v>
      </c>
      <c r="AB167" s="571">
        <f>'Energy demand'!AG134+'Energy demand'!AG77</f>
        <v>2755.2686328261129</v>
      </c>
      <c r="AC167" s="571">
        <f>'Energy demand'!AH134+'Energy demand'!AH77</f>
        <v>2783.9839043505349</v>
      </c>
      <c r="AD167" s="571">
        <f>'Energy demand'!AI134+'Energy demand'!AI77</f>
        <v>2811.6392333583558</v>
      </c>
      <c r="AE167" s="571">
        <f>'Energy demand'!AJ134+'Energy demand'!AJ77</f>
        <v>2844.6711387459277</v>
      </c>
      <c r="AF167" s="571">
        <f>'Energy demand'!AK134+'Energy demand'!AK77</f>
        <v>2871.9342050575137</v>
      </c>
      <c r="AG167" s="571">
        <f>'Energy demand'!AL134+'Energy demand'!AL77</f>
        <v>2894.8344904260116</v>
      </c>
      <c r="AH167" s="571">
        <f>'Energy demand'!AM134+'Energy demand'!AM77</f>
        <v>2910.6990197453906</v>
      </c>
      <c r="AI167" s="571">
        <f>'Energy demand'!AN134+'Energy demand'!AN77</f>
        <v>2926.4830009319521</v>
      </c>
      <c r="AJ167" s="571">
        <f>'Energy demand'!AO134+'Energy demand'!AO77</f>
        <v>2942.4095626774833</v>
      </c>
      <c r="AK167" s="571">
        <f>'Energy demand'!AP134+'Energy demand'!AP77</f>
        <v>2958.2331226333818</v>
      </c>
      <c r="AL167" s="571">
        <f>'Energy demand'!AQ134+'Energy demand'!AQ77</f>
        <v>2973.9718077359853</v>
      </c>
      <c r="AM167" s="571">
        <f>'Energy demand'!AR134+'Energy demand'!AR77</f>
        <v>2989.6437104230063</v>
      </c>
      <c r="AN167" s="571">
        <f>'Energy demand'!AS134+'Energy demand'!AS77</f>
        <v>3005.2668814569342</v>
      </c>
      <c r="AO167" s="571">
        <f>'Energy demand'!AT134+'Energy demand'!AT77</f>
        <v>3020.5955742508295</v>
      </c>
      <c r="AP167" s="571">
        <f>'Energy demand'!AU134+'Energy demand'!AU77</f>
        <v>3036.0591244513271</v>
      </c>
      <c r="AQ167" s="571">
        <f>'Energy demand'!AV134+'Energy demand'!AV77</f>
        <v>3051.6597899967032</v>
      </c>
      <c r="AR167" s="571">
        <f>'Energy demand'!AW134+'Energy demand'!AW77</f>
        <v>3067.399883282972</v>
      </c>
      <c r="AS167" s="571">
        <f>'Energy demand'!AX134+'Energy demand'!AX77</f>
        <v>3083.2817708841553</v>
      </c>
    </row>
    <row r="168" spans="1:45" s="229" customFormat="1" outlineLevel="1">
      <c r="A168" s="229">
        <v>8</v>
      </c>
      <c r="B168" s="229" t="str">
        <f t="shared" si="38"/>
        <v>8DomesticEnergy Demand</v>
      </c>
      <c r="C168" s="234" t="str">
        <f t="shared" si="39"/>
        <v>DomesticEnergy Demand</v>
      </c>
      <c r="E168" s="313" t="s">
        <v>222</v>
      </c>
      <c r="F168" s="313"/>
      <c r="G168" s="234" t="s">
        <v>198</v>
      </c>
      <c r="I168" s="313"/>
      <c r="J168" s="571">
        <f>'Energy demand'!O121</f>
        <v>0</v>
      </c>
      <c r="K168" s="571">
        <f>'Energy demand'!P121</f>
        <v>2.3324787543619094E-2</v>
      </c>
      <c r="L168" s="571">
        <f>'Energy demand'!Q121</f>
        <v>9.3464876388352144E-2</v>
      </c>
      <c r="M168" s="571">
        <f>'Energy demand'!R121</f>
        <v>0.21072325319846272</v>
      </c>
      <c r="N168" s="571">
        <f>'Energy demand'!S121</f>
        <v>0.37547543442948061</v>
      </c>
      <c r="O168" s="571">
        <f>'Energy demand'!T121</f>
        <v>0.58816946632820266</v>
      </c>
      <c r="P168" s="571">
        <f>'Energy demand'!U121</f>
        <v>0.84932592493269354</v>
      </c>
      <c r="Q168" s="571">
        <f>'Energy demand'!V121</f>
        <v>1.1595379160722805</v>
      </c>
      <c r="R168" s="571">
        <f>'Energy demand'!W121</f>
        <v>1.519471075367562</v>
      </c>
      <c r="S168" s="571">
        <f>'Energy demand'!X121</f>
        <v>1.929863568230398</v>
      </c>
      <c r="T168" s="571">
        <f>'Energy demand'!Y121</f>
        <v>2.3915260898639223</v>
      </c>
      <c r="U168" s="571">
        <f>'Energy demand'!Z121</f>
        <v>3.5776637682040531</v>
      </c>
      <c r="V168" s="571">
        <f>'Energy demand'!AA121</f>
        <v>4.8037803796747296</v>
      </c>
      <c r="W168" s="571">
        <f>'Energy demand'!AB121</f>
        <v>6.0694536031067372</v>
      </c>
      <c r="X168" s="571">
        <f>'Energy demand'!AC121</f>
        <v>7.3742609623573481</v>
      </c>
      <c r="Y168" s="571">
        <f>'Energy demand'!AD121</f>
        <v>8.7177798263103519</v>
      </c>
      <c r="Z168" s="571">
        <f>'Energy demand'!AE121</f>
        <v>10.099587408876005</v>
      </c>
      <c r="AA168" s="571">
        <f>'Energy demand'!AF121</f>
        <v>11.51926076899109</v>
      </c>
      <c r="AB168" s="571">
        <f>'Energy demand'!AG121</f>
        <v>12.976376810618845</v>
      </c>
      <c r="AC168" s="571">
        <f>'Energy demand'!AH121</f>
        <v>14.470512282749104</v>
      </c>
      <c r="AD168" s="571">
        <f>'Energy demand'!AI121</f>
        <v>16.001243779398042</v>
      </c>
      <c r="AE168" s="571">
        <f>'Energy demand'!AJ121</f>
        <v>17.568147739608492</v>
      </c>
      <c r="AF168" s="571">
        <f>'Energy demand'!AK121</f>
        <v>19.170800447449622</v>
      </c>
      <c r="AG168" s="571">
        <f>'Energy demand'!AL121</f>
        <v>20.808778032017262</v>
      </c>
      <c r="AH168" s="571">
        <f>'Energy demand'!AM121</f>
        <v>22.481656467433616</v>
      </c>
      <c r="AI168" s="571">
        <f>'Energy demand'!AN121</f>
        <v>24.189011572847434</v>
      </c>
      <c r="AJ168" s="571">
        <f>'Energy demand'!AO121</f>
        <v>25.930419012433955</v>
      </c>
      <c r="AK168" s="571">
        <f>'Energy demand'!AP121</f>
        <v>27.705454295394944</v>
      </c>
      <c r="AL168" s="571">
        <f>'Energy demand'!AQ121</f>
        <v>29.513692775958564</v>
      </c>
      <c r="AM168" s="571">
        <f>'Energy demand'!AR121</f>
        <v>31.354709653379683</v>
      </c>
      <c r="AN168" s="571">
        <f>'Energy demand'!AS121</f>
        <v>33.228079971939373</v>
      </c>
      <c r="AO168" s="571">
        <f>'Energy demand'!AT121</f>
        <v>35.13337862094545</v>
      </c>
      <c r="AP168" s="571">
        <f>'Energy demand'!AU121</f>
        <v>37.070180334732107</v>
      </c>
      <c r="AQ168" s="571">
        <f>'Energy demand'!AV121</f>
        <v>39.038059692660092</v>
      </c>
      <c r="AR168" s="571">
        <f>'Energy demand'!AW121</f>
        <v>41.036591119116586</v>
      </c>
      <c r="AS168" s="571">
        <f>'Energy demand'!AX121</f>
        <v>43.065348883515419</v>
      </c>
    </row>
    <row r="169" spans="1:45" s="229" customFormat="1" outlineLevel="1">
      <c r="A169" s="229">
        <v>9</v>
      </c>
      <c r="B169" s="229" t="str">
        <f t="shared" si="38"/>
        <v>9</v>
      </c>
      <c r="C169" s="234"/>
      <c r="E169" s="313"/>
      <c r="F169" s="313"/>
      <c r="G169" s="234"/>
      <c r="I169" s="313"/>
      <c r="J169" s="247"/>
      <c r="K169" s="247"/>
      <c r="L169" s="247"/>
      <c r="M169" s="247"/>
      <c r="N169" s="247"/>
      <c r="O169" s="247"/>
      <c r="P169" s="247"/>
      <c r="Q169" s="247"/>
      <c r="R169" s="247"/>
      <c r="S169" s="247"/>
      <c r="T169" s="247"/>
      <c r="U169" s="247"/>
      <c r="V169" s="247"/>
      <c r="W169" s="247"/>
      <c r="X169" s="247"/>
      <c r="Y169" s="247"/>
      <c r="Z169" s="247"/>
      <c r="AA169" s="247"/>
      <c r="AB169" s="247"/>
      <c r="AC169" s="247"/>
      <c r="AD169" s="247"/>
      <c r="AE169" s="247"/>
      <c r="AF169" s="247"/>
      <c r="AG169" s="247"/>
      <c r="AH169" s="247"/>
      <c r="AI169" s="247"/>
      <c r="AJ169" s="247"/>
      <c r="AK169" s="247"/>
      <c r="AL169" s="247"/>
      <c r="AM169" s="247"/>
      <c r="AN169" s="247"/>
      <c r="AO169" s="247"/>
      <c r="AP169" s="247"/>
      <c r="AQ169" s="247"/>
      <c r="AR169" s="247"/>
      <c r="AS169" s="247"/>
    </row>
    <row r="170" spans="1:45" s="229" customFormat="1" outlineLevel="1">
      <c r="A170" s="229">
        <v>10</v>
      </c>
      <c r="B170" s="229" t="str">
        <f t="shared" si="38"/>
        <v>10</v>
      </c>
      <c r="C170" s="234"/>
      <c r="E170" s="313"/>
      <c r="F170" s="313"/>
      <c r="G170" s="234"/>
      <c r="I170" s="313"/>
      <c r="J170" s="247"/>
      <c r="K170" s="247"/>
      <c r="L170" s="247"/>
      <c r="M170" s="247"/>
      <c r="N170" s="247"/>
      <c r="O170" s="247"/>
      <c r="P170" s="247"/>
      <c r="Q170" s="247"/>
      <c r="R170" s="247"/>
      <c r="S170" s="247"/>
      <c r="T170" s="247"/>
      <c r="U170" s="247"/>
      <c r="V170" s="247"/>
      <c r="W170" s="247"/>
      <c r="X170" s="247"/>
      <c r="Y170" s="247"/>
      <c r="Z170" s="247"/>
      <c r="AA170" s="247"/>
      <c r="AB170" s="247"/>
      <c r="AC170" s="247"/>
      <c r="AD170" s="247"/>
      <c r="AE170" s="247"/>
      <c r="AF170" s="247"/>
      <c r="AG170" s="247"/>
      <c r="AH170" s="247"/>
      <c r="AI170" s="247"/>
      <c r="AJ170" s="247"/>
      <c r="AK170" s="247"/>
      <c r="AL170" s="247"/>
      <c r="AM170" s="247"/>
      <c r="AN170" s="247"/>
      <c r="AO170" s="247"/>
      <c r="AP170" s="247"/>
      <c r="AQ170" s="247"/>
      <c r="AR170" s="247"/>
      <c r="AS170" s="247"/>
    </row>
    <row r="171" spans="1:45" s="229" customFormat="1" outlineLevel="1">
      <c r="A171" s="229">
        <v>11</v>
      </c>
      <c r="B171" s="229" t="str">
        <f t="shared" si="38"/>
        <v>11</v>
      </c>
      <c r="C171" s="234"/>
      <c r="E171" s="313"/>
      <c r="F171" s="313"/>
      <c r="G171" s="234"/>
      <c r="I171" s="313"/>
      <c r="J171" s="247"/>
      <c r="K171" s="247"/>
      <c r="L171" s="247"/>
      <c r="M171" s="247"/>
      <c r="N171" s="247"/>
      <c r="O171" s="247"/>
      <c r="P171" s="247"/>
      <c r="Q171" s="247"/>
      <c r="R171" s="247"/>
      <c r="S171" s="247"/>
      <c r="T171" s="247"/>
      <c r="U171" s="247"/>
      <c r="V171" s="247"/>
      <c r="W171" s="247"/>
      <c r="X171" s="247"/>
      <c r="Y171" s="247"/>
      <c r="Z171" s="247"/>
      <c r="AA171" s="247"/>
      <c r="AB171" s="247"/>
      <c r="AC171" s="247"/>
      <c r="AD171" s="247"/>
      <c r="AE171" s="247"/>
      <c r="AF171" s="247"/>
      <c r="AG171" s="247"/>
      <c r="AH171" s="247"/>
      <c r="AI171" s="247"/>
      <c r="AJ171" s="247"/>
      <c r="AK171" s="247"/>
      <c r="AL171" s="247"/>
      <c r="AM171" s="247"/>
      <c r="AN171" s="247"/>
      <c r="AO171" s="247"/>
      <c r="AP171" s="247"/>
      <c r="AQ171" s="247"/>
      <c r="AR171" s="247"/>
      <c r="AS171" s="247"/>
    </row>
    <row r="172" spans="1:45" s="238" customFormat="1" outlineLevel="1">
      <c r="A172" s="229" t="s">
        <v>208</v>
      </c>
      <c r="B172" s="229" t="str">
        <f>A172&amp;C172</f>
        <v>NDomesticEnergy Demand</v>
      </c>
      <c r="C172" s="234" t="str">
        <f t="shared" si="39"/>
        <v>DomesticEnergy Demand</v>
      </c>
      <c r="E172" s="236" t="str">
        <f>""</f>
        <v/>
      </c>
    </row>
    <row r="173" spans="1:45" outlineLevel="1"/>
    <row r="174" spans="1:45" outlineLevel="1"/>
    <row r="175" spans="1:45" s="298" customFormat="1" outlineLevel="1">
      <c r="A175" s="298" t="s">
        <v>169</v>
      </c>
    </row>
    <row r="176" spans="1:45" outlineLevel="1">
      <c r="A176" s="229" t="s">
        <v>175</v>
      </c>
      <c r="B176" s="229" t="s">
        <v>176</v>
      </c>
      <c r="C176" s="229" t="s">
        <v>177</v>
      </c>
      <c r="D176" s="230"/>
      <c r="E176" s="230" t="s">
        <v>178</v>
      </c>
      <c r="F176" s="230"/>
      <c r="G176" s="230" t="s">
        <v>179</v>
      </c>
      <c r="H176" s="230" t="s">
        <v>180</v>
      </c>
      <c r="I176" s="230"/>
      <c r="J176" s="230">
        <v>2015</v>
      </c>
      <c r="K176" s="230">
        <v>2016</v>
      </c>
      <c r="L176" s="230">
        <v>2017</v>
      </c>
      <c r="M176" s="230">
        <v>2018</v>
      </c>
      <c r="N176" s="230">
        <v>2019</v>
      </c>
      <c r="O176" s="230">
        <v>2020</v>
      </c>
      <c r="P176" s="230">
        <v>2021</v>
      </c>
      <c r="Q176" s="230">
        <v>2022</v>
      </c>
      <c r="R176" s="230">
        <v>2023</v>
      </c>
      <c r="S176" s="230">
        <v>2024</v>
      </c>
      <c r="T176" s="230">
        <v>2025</v>
      </c>
      <c r="U176" s="230">
        <v>2026</v>
      </c>
      <c r="V176" s="230">
        <v>2027</v>
      </c>
      <c r="W176" s="230">
        <v>2028</v>
      </c>
      <c r="X176" s="230">
        <v>2029</v>
      </c>
      <c r="Y176" s="230">
        <v>2030</v>
      </c>
      <c r="Z176" s="230">
        <v>2031</v>
      </c>
      <c r="AA176" s="230">
        <v>2032</v>
      </c>
      <c r="AB176" s="230">
        <v>2033</v>
      </c>
      <c r="AC176" s="230">
        <v>2034</v>
      </c>
      <c r="AD176" s="230">
        <v>2035</v>
      </c>
      <c r="AE176" s="230">
        <v>2036</v>
      </c>
      <c r="AF176" s="230">
        <v>2037</v>
      </c>
      <c r="AG176" s="230">
        <v>2038</v>
      </c>
      <c r="AH176" s="230">
        <v>2039</v>
      </c>
      <c r="AI176" s="230">
        <v>2040</v>
      </c>
      <c r="AJ176" s="230">
        <v>2041</v>
      </c>
      <c r="AK176" s="230">
        <v>2042</v>
      </c>
      <c r="AL176" s="230">
        <v>2043</v>
      </c>
      <c r="AM176" s="230">
        <v>2044</v>
      </c>
      <c r="AN176" s="230">
        <v>2045</v>
      </c>
      <c r="AO176" s="230">
        <v>2046</v>
      </c>
      <c r="AP176" s="230">
        <v>2047</v>
      </c>
      <c r="AQ176" s="230">
        <v>2048</v>
      </c>
      <c r="AR176" s="230">
        <v>2049</v>
      </c>
      <c r="AS176" s="230">
        <v>2050</v>
      </c>
    </row>
    <row r="177" spans="1:45" outlineLevel="1"/>
    <row r="178" spans="1:45" s="229" customFormat="1" outlineLevel="1">
      <c r="A178" s="229">
        <v>0</v>
      </c>
      <c r="B178" s="229" t="str">
        <f t="shared" ref="B178:B189" si="40">A178&amp;C178</f>
        <v>0DomesticEnergy Demand by Building Type</v>
      </c>
      <c r="C178" s="234" t="str">
        <f>$A$138&amp;$A$175</f>
        <v>DomesticEnergy Demand by Building Type</v>
      </c>
      <c r="E178" s="248" t="s">
        <v>182</v>
      </c>
      <c r="G178" s="234"/>
      <c r="J178" s="237"/>
      <c r="K178" s="237"/>
      <c r="L178" s="237"/>
      <c r="M178" s="237"/>
      <c r="N178" s="237"/>
      <c r="O178" s="237"/>
      <c r="P178" s="237"/>
      <c r="Q178" s="237"/>
      <c r="R178" s="237"/>
      <c r="S178" s="237"/>
      <c r="T178" s="237"/>
      <c r="U178" s="237"/>
      <c r="V178" s="237"/>
      <c r="W178" s="237"/>
      <c r="X178" s="237"/>
      <c r="Y178" s="237"/>
      <c r="Z178" s="237"/>
      <c r="AA178" s="237"/>
      <c r="AB178" s="237"/>
      <c r="AC178" s="237"/>
      <c r="AD178" s="237"/>
      <c r="AE178" s="237"/>
      <c r="AF178" s="237"/>
      <c r="AG178" s="237"/>
      <c r="AH178" s="237"/>
      <c r="AI178" s="237"/>
      <c r="AJ178" s="237"/>
      <c r="AK178" s="237"/>
      <c r="AL178" s="237"/>
      <c r="AM178" s="237"/>
      <c r="AN178" s="237"/>
      <c r="AO178" s="237"/>
      <c r="AP178" s="237"/>
      <c r="AQ178" s="237"/>
      <c r="AR178" s="237"/>
      <c r="AS178" s="237"/>
    </row>
    <row r="179" spans="1:45" s="247" customFormat="1" outlineLevel="1">
      <c r="A179" s="229">
        <v>1</v>
      </c>
      <c r="B179" s="229" t="str">
        <f t="shared" si="40"/>
        <v>1DomesticEnergy Demand by Building Type</v>
      </c>
      <c r="C179" s="234" t="str">
        <f>$A$138&amp;$A$175</f>
        <v>DomesticEnergy Demand by Building Type</v>
      </c>
      <c r="D179" s="229"/>
      <c r="E179" s="313" t="s">
        <v>225</v>
      </c>
      <c r="F179" s="313"/>
      <c r="G179" s="234" t="s">
        <v>198</v>
      </c>
      <c r="H179" s="229"/>
      <c r="I179" s="313"/>
      <c r="J179" s="573">
        <f>J90</f>
        <v>10197.916391695011</v>
      </c>
      <c r="K179" s="573">
        <f t="shared" ref="K179:AS179" si="41">K36</f>
        <v>10197.73990309112</v>
      </c>
      <c r="L179" s="573">
        <f t="shared" si="41"/>
        <v>10197.569937413626</v>
      </c>
      <c r="M179" s="573">
        <f t="shared" si="41"/>
        <v>10197.406494662528</v>
      </c>
      <c r="N179" s="573">
        <f t="shared" si="41"/>
        <v>10197.230185601906</v>
      </c>
      <c r="O179" s="573">
        <f t="shared" si="41"/>
        <v>10167.153621893154</v>
      </c>
      <c r="P179" s="573">
        <f t="shared" si="41"/>
        <v>10076.193141217915</v>
      </c>
      <c r="Q179" s="573">
        <f t="shared" si="41"/>
        <v>9739.6733365052096</v>
      </c>
      <c r="R179" s="573">
        <f t="shared" si="41"/>
        <v>9160.195845229664</v>
      </c>
      <c r="S179" s="573">
        <f t="shared" si="41"/>
        <v>8519.8507282208502</v>
      </c>
      <c r="T179" s="573">
        <f t="shared" si="41"/>
        <v>7939.7168199263597</v>
      </c>
      <c r="U179" s="573">
        <f t="shared" si="41"/>
        <v>7440.250720064746</v>
      </c>
      <c r="V179" s="573">
        <f t="shared" si="41"/>
        <v>7021.6464580570246</v>
      </c>
      <c r="W179" s="573">
        <f t="shared" si="41"/>
        <v>6700.123279658399</v>
      </c>
      <c r="X179" s="573">
        <f t="shared" si="41"/>
        <v>6517.8754612271177</v>
      </c>
      <c r="Y179" s="573">
        <f t="shared" si="41"/>
        <v>6448.897243702213</v>
      </c>
      <c r="Z179" s="573">
        <f t="shared" si="41"/>
        <v>6429.1211977981548</v>
      </c>
      <c r="AA179" s="573">
        <f t="shared" si="41"/>
        <v>6409.9443373828299</v>
      </c>
      <c r="AB179" s="573">
        <f t="shared" si="41"/>
        <v>6391.3194554619686</v>
      </c>
      <c r="AC179" s="573">
        <f t="shared" si="41"/>
        <v>6373.3926870740925</v>
      </c>
      <c r="AD179" s="573">
        <f t="shared" si="41"/>
        <v>6357.2660492234909</v>
      </c>
      <c r="AE179" s="573">
        <f t="shared" si="41"/>
        <v>6336.4265332659206</v>
      </c>
      <c r="AF179" s="573">
        <f t="shared" si="41"/>
        <v>6321.1032793541772</v>
      </c>
      <c r="AG179" s="573">
        <f t="shared" si="41"/>
        <v>6310.6739962749016</v>
      </c>
      <c r="AH179" s="573">
        <f t="shared" si="41"/>
        <v>6306.9720689241185</v>
      </c>
      <c r="AI179" s="573">
        <f t="shared" si="41"/>
        <v>6303.3487519241107</v>
      </c>
      <c r="AJ179" s="573">
        <f t="shared" si="41"/>
        <v>6299.5907481490376</v>
      </c>
      <c r="AK179" s="573">
        <f t="shared" si="41"/>
        <v>6295.9328190215301</v>
      </c>
      <c r="AL179" s="573">
        <f t="shared" si="41"/>
        <v>6292.3576363199682</v>
      </c>
      <c r="AM179" s="573">
        <f t="shared" si="41"/>
        <v>6288.8479048012668</v>
      </c>
      <c r="AN179" s="573">
        <f t="shared" si="41"/>
        <v>6285.386369061257</v>
      </c>
      <c r="AO179" s="573">
        <f t="shared" si="41"/>
        <v>6282.2079475241908</v>
      </c>
      <c r="AP179" s="573">
        <f t="shared" si="41"/>
        <v>6278.9022220644802</v>
      </c>
      <c r="AQ179" s="573">
        <f t="shared" si="41"/>
        <v>6275.4670342338295</v>
      </c>
      <c r="AR179" s="573">
        <f t="shared" si="41"/>
        <v>6271.900173525738</v>
      </c>
      <c r="AS179" s="573">
        <f t="shared" si="41"/>
        <v>6268.1993776429044</v>
      </c>
    </row>
    <row r="180" spans="1:45" s="247" customFormat="1" outlineLevel="1">
      <c r="A180" s="229">
        <v>2</v>
      </c>
      <c r="B180" s="229" t="str">
        <f t="shared" si="40"/>
        <v>2DomesticEnergy Demand by Building Type</v>
      </c>
      <c r="C180" s="234" t="str">
        <f>$A$138&amp;$A$175</f>
        <v>DomesticEnergy Demand by Building Type</v>
      </c>
      <c r="D180" s="229"/>
      <c r="E180" s="313" t="s">
        <v>226</v>
      </c>
      <c r="F180" s="229"/>
      <c r="G180" s="234" t="s">
        <v>198</v>
      </c>
      <c r="H180" s="229"/>
      <c r="I180" s="229"/>
      <c r="J180" s="573">
        <f>J91</f>
        <v>0</v>
      </c>
      <c r="K180" s="573">
        <f t="shared" ref="K180:AS180" si="42">K37</f>
        <v>85.95496008223806</v>
      </c>
      <c r="L180" s="573">
        <f t="shared" si="42"/>
        <v>171.90992016447763</v>
      </c>
      <c r="M180" s="573">
        <f t="shared" si="42"/>
        <v>257.86488024671422</v>
      </c>
      <c r="N180" s="573">
        <f t="shared" si="42"/>
        <v>343.81725245069589</v>
      </c>
      <c r="O180" s="573">
        <f t="shared" si="42"/>
        <v>426.08367547196923</v>
      </c>
      <c r="P180" s="573">
        <f t="shared" si="42"/>
        <v>487.05907810974924</v>
      </c>
      <c r="Q180" s="573">
        <f t="shared" si="42"/>
        <v>515.46276657104386</v>
      </c>
      <c r="R180" s="573">
        <f t="shared" si="42"/>
        <v>511.7155508007782</v>
      </c>
      <c r="S180" s="573">
        <f t="shared" si="42"/>
        <v>500.29117868309481</v>
      </c>
      <c r="T180" s="573">
        <f t="shared" si="42"/>
        <v>497.27172282243509</v>
      </c>
      <c r="U180" s="573">
        <f t="shared" si="42"/>
        <v>491.68743644741494</v>
      </c>
      <c r="V180" s="573">
        <f t="shared" si="42"/>
        <v>497.57968123671071</v>
      </c>
      <c r="W180" s="573">
        <f t="shared" si="42"/>
        <v>516.45357390359311</v>
      </c>
      <c r="X180" s="573">
        <f t="shared" si="42"/>
        <v>553.79994107540892</v>
      </c>
      <c r="Y180" s="573">
        <f t="shared" si="42"/>
        <v>606.09712156585113</v>
      </c>
      <c r="Z180" s="573">
        <f t="shared" si="42"/>
        <v>633.20684704990936</v>
      </c>
      <c r="AA180" s="573">
        <f t="shared" si="42"/>
        <v>660.32370565774477</v>
      </c>
      <c r="AB180" s="573">
        <f t="shared" si="42"/>
        <v>687.44769738935008</v>
      </c>
      <c r="AC180" s="573">
        <f t="shared" si="42"/>
        <v>714.57882224473099</v>
      </c>
      <c r="AD180" s="573">
        <f t="shared" si="42"/>
        <v>741.73828699578746</v>
      </c>
      <c r="AE180" s="573">
        <f t="shared" si="42"/>
        <v>768.91008731498334</v>
      </c>
      <c r="AF180" s="573">
        <f t="shared" si="42"/>
        <v>796.08210282293339</v>
      </c>
      <c r="AG180" s="573">
        <f t="shared" si="42"/>
        <v>823.2759145728246</v>
      </c>
      <c r="AH180" s="573">
        <f t="shared" si="42"/>
        <v>850.46994151147146</v>
      </c>
      <c r="AI180" s="573">
        <f t="shared" si="42"/>
        <v>877.66418363887703</v>
      </c>
      <c r="AJ180" s="573">
        <f t="shared" si="42"/>
        <v>904.85864095503814</v>
      </c>
      <c r="AK180" s="573">
        <f t="shared" si="42"/>
        <v>932.0533134599566</v>
      </c>
      <c r="AL180" s="573">
        <f t="shared" si="42"/>
        <v>959.24820115363218</v>
      </c>
      <c r="AM180" s="573">
        <f t="shared" si="42"/>
        <v>986.443304036065</v>
      </c>
      <c r="AN180" s="573">
        <f t="shared" si="42"/>
        <v>1013.6386221072548</v>
      </c>
      <c r="AO180" s="573">
        <f t="shared" si="42"/>
        <v>1040.8341553672021</v>
      </c>
      <c r="AP180" s="573">
        <f t="shared" si="42"/>
        <v>1068.0299038159064</v>
      </c>
      <c r="AQ180" s="573">
        <f t="shared" si="42"/>
        <v>1095.2258674533693</v>
      </c>
      <c r="AR180" s="573">
        <f t="shared" si="42"/>
        <v>1122.4220462795879</v>
      </c>
      <c r="AS180" s="573">
        <f t="shared" si="42"/>
        <v>1149.618440294561</v>
      </c>
    </row>
    <row r="181" spans="1:45" s="247" customFormat="1" outlineLevel="1">
      <c r="A181" s="229">
        <v>3</v>
      </c>
      <c r="B181" s="229" t="str">
        <f t="shared" si="40"/>
        <v>3DomesticEnergy Demand by Building Type</v>
      </c>
      <c r="C181" s="234" t="str">
        <f>$A$138&amp;$A$175</f>
        <v>DomesticEnergy Demand by Building Type</v>
      </c>
      <c r="D181" s="229"/>
      <c r="E181" s="313" t="s">
        <v>227</v>
      </c>
      <c r="F181" s="313"/>
      <c r="G181" s="234" t="s">
        <v>198</v>
      </c>
      <c r="H181" s="229"/>
      <c r="I181" s="313"/>
      <c r="J181" s="573">
        <f>J94</f>
        <v>3428.0605239193087</v>
      </c>
      <c r="K181" s="573">
        <f t="shared" ref="K181:AS181" si="43">K40</f>
        <v>3428.2451474633285</v>
      </c>
      <c r="L181" s="573">
        <f t="shared" si="43"/>
        <v>3428.4229474178233</v>
      </c>
      <c r="M181" s="573">
        <f t="shared" si="43"/>
        <v>3428.5939237827956</v>
      </c>
      <c r="N181" s="573">
        <f t="shared" si="43"/>
        <v>3406.2407018789845</v>
      </c>
      <c r="O181" s="573">
        <f t="shared" si="43"/>
        <v>3362.4441018438738</v>
      </c>
      <c r="P181" s="573">
        <f t="shared" si="43"/>
        <v>3295.9642942336773</v>
      </c>
      <c r="Q181" s="573">
        <f t="shared" si="43"/>
        <v>3208.0597307769062</v>
      </c>
      <c r="R181" s="573">
        <f t="shared" si="43"/>
        <v>3097.7109495288842</v>
      </c>
      <c r="S181" s="573">
        <f t="shared" si="43"/>
        <v>2968.1886764723658</v>
      </c>
      <c r="T181" s="573">
        <f t="shared" si="43"/>
        <v>2818.5083122728774</v>
      </c>
      <c r="U181" s="573">
        <f t="shared" si="43"/>
        <v>2660.2281170706269</v>
      </c>
      <c r="V181" s="573">
        <f t="shared" si="43"/>
        <v>2559.8676350824835</v>
      </c>
      <c r="W181" s="573">
        <f t="shared" si="43"/>
        <v>2448.3537138097286</v>
      </c>
      <c r="X181" s="573">
        <f t="shared" si="43"/>
        <v>2323.2088670871262</v>
      </c>
      <c r="Y181" s="573">
        <f t="shared" si="43"/>
        <v>2184.9305499141524</v>
      </c>
      <c r="Z181" s="573">
        <f t="shared" si="43"/>
        <v>2203.0203686575824</v>
      </c>
      <c r="AA181" s="573">
        <f t="shared" si="43"/>
        <v>2220.6665367203582</v>
      </c>
      <c r="AB181" s="573">
        <f t="shared" si="43"/>
        <v>2237.9184370223625</v>
      </c>
      <c r="AC181" s="573">
        <f t="shared" si="43"/>
        <v>2254.623198680586</v>
      </c>
      <c r="AD181" s="573">
        <f t="shared" si="43"/>
        <v>2270.2680178222076</v>
      </c>
      <c r="AE181" s="573">
        <f t="shared" si="43"/>
        <v>2291.2894133435807</v>
      </c>
      <c r="AF181" s="573">
        <f t="shared" si="43"/>
        <v>2306.5419697889697</v>
      </c>
      <c r="AG181" s="573">
        <f t="shared" si="43"/>
        <v>2317.4317452912683</v>
      </c>
      <c r="AH181" s="573">
        <f t="shared" si="43"/>
        <v>2321.2857647444494</v>
      </c>
      <c r="AI181" s="573">
        <f t="shared" si="43"/>
        <v>2325.0592360648111</v>
      </c>
      <c r="AJ181" s="573">
        <f t="shared" si="43"/>
        <v>2328.975287944143</v>
      </c>
      <c r="AK181" s="573">
        <f t="shared" si="43"/>
        <v>2332.7883380338435</v>
      </c>
      <c r="AL181" s="573">
        <f t="shared" si="43"/>
        <v>2336.5165132702477</v>
      </c>
      <c r="AM181" s="573">
        <f t="shared" si="43"/>
        <v>2340.1779060910699</v>
      </c>
      <c r="AN181" s="573">
        <f t="shared" si="43"/>
        <v>2343.7905672587995</v>
      </c>
      <c r="AO181" s="573">
        <f t="shared" si="43"/>
        <v>2347.1087501864954</v>
      </c>
      <c r="AP181" s="573">
        <f t="shared" si="43"/>
        <v>2350.5617905207946</v>
      </c>
      <c r="AQ181" s="573">
        <f t="shared" si="43"/>
        <v>2354.1519461999715</v>
      </c>
      <c r="AR181" s="573">
        <f t="shared" si="43"/>
        <v>2357.881529620041</v>
      </c>
      <c r="AS181" s="573">
        <f t="shared" si="43"/>
        <v>2361.7529073550281</v>
      </c>
    </row>
    <row r="182" spans="1:45" s="247" customFormat="1" outlineLevel="1">
      <c r="A182" s="229">
        <v>4</v>
      </c>
      <c r="B182" s="229" t="str">
        <f t="shared" si="40"/>
        <v>4DomesticEnergy Demand by Building Type</v>
      </c>
      <c r="C182" s="234" t="str">
        <f>$A$138&amp;$A$175</f>
        <v>DomesticEnergy Demand by Building Type</v>
      </c>
      <c r="D182" s="229"/>
      <c r="E182" s="313" t="s">
        <v>228</v>
      </c>
      <c r="F182" s="229"/>
      <c r="G182" s="234" t="s">
        <v>198</v>
      </c>
      <c r="H182" s="229"/>
      <c r="I182" s="229"/>
      <c r="J182" s="573">
        <f>J95</f>
        <v>0</v>
      </c>
      <c r="K182" s="573">
        <f t="shared" ref="K182:AS182" si="44">K41</f>
        <v>38.026877282661644</v>
      </c>
      <c r="L182" s="573">
        <f t="shared" si="44"/>
        <v>76.053754565322379</v>
      </c>
      <c r="M182" s="573">
        <f t="shared" si="44"/>
        <v>114.08063184798311</v>
      </c>
      <c r="N182" s="573">
        <f t="shared" si="44"/>
        <v>152.10750913064476</v>
      </c>
      <c r="O182" s="573">
        <f t="shared" si="44"/>
        <v>190.1343864133064</v>
      </c>
      <c r="P182" s="573">
        <f t="shared" si="44"/>
        <v>222.31738975826238</v>
      </c>
      <c r="Q182" s="573">
        <f t="shared" si="44"/>
        <v>254.50039310321927</v>
      </c>
      <c r="R182" s="573">
        <f t="shared" si="44"/>
        <v>286.68339644817479</v>
      </c>
      <c r="S182" s="573">
        <f t="shared" si="44"/>
        <v>318.86639979313213</v>
      </c>
      <c r="T182" s="573">
        <f t="shared" si="44"/>
        <v>351.04940313808902</v>
      </c>
      <c r="U182" s="573">
        <f t="shared" si="44"/>
        <v>377.10325575150137</v>
      </c>
      <c r="V182" s="573">
        <f t="shared" si="44"/>
        <v>403.15710836491598</v>
      </c>
      <c r="W182" s="573">
        <f t="shared" si="44"/>
        <v>429.21096097832924</v>
      </c>
      <c r="X182" s="573">
        <f t="shared" si="44"/>
        <v>455.26481359174204</v>
      </c>
      <c r="Y182" s="573">
        <f t="shared" si="44"/>
        <v>481.31866620515575</v>
      </c>
      <c r="Z182" s="573">
        <f t="shared" si="44"/>
        <v>493.32917607135369</v>
      </c>
      <c r="AA182" s="573">
        <f t="shared" si="44"/>
        <v>505.33968593755208</v>
      </c>
      <c r="AB182" s="573">
        <f t="shared" si="44"/>
        <v>517.35019580375047</v>
      </c>
      <c r="AC182" s="573">
        <f t="shared" si="44"/>
        <v>529.36070566994886</v>
      </c>
      <c r="AD182" s="573">
        <f t="shared" si="44"/>
        <v>541.37121553614816</v>
      </c>
      <c r="AE182" s="573">
        <f t="shared" si="44"/>
        <v>553.381725402347</v>
      </c>
      <c r="AF182" s="573">
        <f t="shared" si="44"/>
        <v>565.39223526854403</v>
      </c>
      <c r="AG182" s="573">
        <f t="shared" si="44"/>
        <v>577.40274513474333</v>
      </c>
      <c r="AH182" s="573">
        <f t="shared" si="44"/>
        <v>589.41325500094126</v>
      </c>
      <c r="AI182" s="573">
        <f t="shared" si="44"/>
        <v>601.42376486714102</v>
      </c>
      <c r="AJ182" s="573">
        <f t="shared" si="44"/>
        <v>613.43427473334032</v>
      </c>
      <c r="AK182" s="573">
        <f t="shared" si="44"/>
        <v>625.44478459953825</v>
      </c>
      <c r="AL182" s="573">
        <f t="shared" si="44"/>
        <v>637.45529446573755</v>
      </c>
      <c r="AM182" s="573">
        <f t="shared" si="44"/>
        <v>649.4658043319364</v>
      </c>
      <c r="AN182" s="573">
        <f t="shared" si="44"/>
        <v>661.47631419813479</v>
      </c>
      <c r="AO182" s="573">
        <f t="shared" si="44"/>
        <v>673.48682406433409</v>
      </c>
      <c r="AP182" s="573">
        <f t="shared" si="44"/>
        <v>685.49733393053248</v>
      </c>
      <c r="AQ182" s="573">
        <f t="shared" si="44"/>
        <v>697.50784379673178</v>
      </c>
      <c r="AR182" s="573">
        <f t="shared" si="44"/>
        <v>709.51835366293108</v>
      </c>
      <c r="AS182" s="573">
        <f t="shared" si="44"/>
        <v>721.52886352912719</v>
      </c>
    </row>
    <row r="183" spans="1:45" s="235" customFormat="1" outlineLevel="1">
      <c r="A183" s="229">
        <v>5</v>
      </c>
      <c r="B183" s="229" t="str">
        <f t="shared" si="40"/>
        <v>5</v>
      </c>
      <c r="C183" s="234"/>
      <c r="D183" s="229"/>
      <c r="E183" s="313"/>
      <c r="F183" s="229"/>
      <c r="G183" s="234"/>
      <c r="H183" s="229"/>
      <c r="I183" s="229"/>
    </row>
    <row r="184" spans="1:45" s="229" customFormat="1" outlineLevel="1">
      <c r="A184" s="229">
        <v>6</v>
      </c>
      <c r="B184" s="229" t="str">
        <f t="shared" si="40"/>
        <v>6</v>
      </c>
      <c r="C184" s="234"/>
      <c r="E184" s="313"/>
      <c r="F184" s="313"/>
      <c r="G184" s="234"/>
      <c r="I184" s="313"/>
      <c r="J184" s="235"/>
      <c r="K184" s="235"/>
      <c r="L184" s="235"/>
      <c r="M184" s="235"/>
      <c r="N184" s="235"/>
      <c r="O184" s="235"/>
      <c r="P184" s="235"/>
      <c r="Q184" s="235"/>
      <c r="R184" s="235"/>
      <c r="S184" s="235"/>
      <c r="T184" s="235"/>
      <c r="U184" s="235"/>
      <c r="V184" s="235"/>
      <c r="W184" s="235"/>
      <c r="X184" s="235"/>
      <c r="Y184" s="235"/>
      <c r="Z184" s="235"/>
      <c r="AA184" s="235"/>
      <c r="AB184" s="235"/>
      <c r="AC184" s="235"/>
      <c r="AD184" s="235"/>
      <c r="AE184" s="235"/>
      <c r="AF184" s="235"/>
      <c r="AG184" s="235"/>
      <c r="AH184" s="235"/>
      <c r="AI184" s="235"/>
      <c r="AJ184" s="235"/>
      <c r="AK184" s="235"/>
      <c r="AL184" s="235"/>
      <c r="AM184" s="235"/>
      <c r="AN184" s="235"/>
      <c r="AO184" s="235"/>
      <c r="AP184" s="235"/>
      <c r="AQ184" s="235"/>
      <c r="AR184" s="235"/>
      <c r="AS184" s="235"/>
    </row>
    <row r="185" spans="1:45" s="229" customFormat="1" outlineLevel="1">
      <c r="A185" s="229">
        <v>7</v>
      </c>
      <c r="B185" s="229" t="str">
        <f t="shared" si="40"/>
        <v>7</v>
      </c>
      <c r="C185" s="234"/>
      <c r="E185" s="313"/>
      <c r="F185" s="313"/>
      <c r="G185" s="234"/>
      <c r="I185" s="313"/>
      <c r="J185" s="247"/>
      <c r="K185" s="247"/>
      <c r="L185" s="247"/>
      <c r="M185" s="247"/>
      <c r="N185" s="247"/>
      <c r="O185" s="247"/>
      <c r="P185" s="247"/>
      <c r="Q185" s="247"/>
      <c r="R185" s="247"/>
      <c r="S185" s="247"/>
      <c r="T185" s="247"/>
      <c r="U185" s="247"/>
      <c r="V185" s="247"/>
      <c r="W185" s="247"/>
      <c r="X185" s="247"/>
      <c r="Y185" s="247"/>
      <c r="Z185" s="247"/>
      <c r="AA185" s="247"/>
      <c r="AB185" s="247"/>
      <c r="AC185" s="247"/>
      <c r="AD185" s="247"/>
      <c r="AE185" s="247"/>
      <c r="AF185" s="247"/>
      <c r="AG185" s="247"/>
      <c r="AH185" s="247"/>
      <c r="AI185" s="247"/>
      <c r="AJ185" s="247"/>
      <c r="AK185" s="247"/>
      <c r="AL185" s="247"/>
      <c r="AM185" s="247"/>
      <c r="AN185" s="247"/>
      <c r="AO185" s="247"/>
      <c r="AP185" s="247"/>
      <c r="AQ185" s="247"/>
      <c r="AR185" s="247"/>
      <c r="AS185" s="247"/>
    </row>
    <row r="186" spans="1:45" s="229" customFormat="1" outlineLevel="1">
      <c r="A186" s="229">
        <v>8</v>
      </c>
      <c r="B186" s="229" t="str">
        <f t="shared" si="40"/>
        <v>8</v>
      </c>
      <c r="C186" s="234"/>
      <c r="E186" s="313"/>
      <c r="F186" s="313"/>
      <c r="G186" s="234"/>
      <c r="I186" s="313"/>
      <c r="J186" s="247"/>
      <c r="K186" s="247"/>
      <c r="L186" s="247"/>
      <c r="M186" s="247"/>
      <c r="N186" s="247"/>
      <c r="O186" s="247"/>
      <c r="P186" s="247"/>
      <c r="Q186" s="247"/>
      <c r="R186" s="247"/>
      <c r="S186" s="247"/>
      <c r="T186" s="247"/>
      <c r="U186" s="247"/>
      <c r="V186" s="247"/>
      <c r="W186" s="247"/>
      <c r="X186" s="247"/>
      <c r="Y186" s="247"/>
      <c r="Z186" s="247"/>
      <c r="AA186" s="247"/>
      <c r="AB186" s="247"/>
      <c r="AC186" s="247"/>
      <c r="AD186" s="247"/>
      <c r="AE186" s="247"/>
      <c r="AF186" s="247"/>
      <c r="AG186" s="247"/>
      <c r="AH186" s="247"/>
      <c r="AI186" s="247"/>
      <c r="AJ186" s="247"/>
      <c r="AK186" s="247"/>
      <c r="AL186" s="247"/>
      <c r="AM186" s="247"/>
      <c r="AN186" s="247"/>
      <c r="AO186" s="247"/>
      <c r="AP186" s="247"/>
      <c r="AQ186" s="247"/>
      <c r="AR186" s="247"/>
      <c r="AS186" s="247"/>
    </row>
    <row r="187" spans="1:45" s="229" customFormat="1" outlineLevel="1">
      <c r="A187" s="229">
        <v>9</v>
      </c>
      <c r="B187" s="229" t="str">
        <f t="shared" si="40"/>
        <v>9</v>
      </c>
      <c r="C187" s="234"/>
      <c r="E187" s="313"/>
      <c r="F187" s="313"/>
      <c r="G187" s="234"/>
      <c r="I187" s="313"/>
      <c r="J187" s="247"/>
      <c r="K187" s="247"/>
      <c r="L187" s="247"/>
      <c r="M187" s="247"/>
      <c r="N187" s="247"/>
      <c r="O187" s="247"/>
      <c r="P187" s="247"/>
      <c r="Q187" s="247"/>
      <c r="R187" s="247"/>
      <c r="S187" s="247"/>
      <c r="T187" s="247"/>
      <c r="U187" s="247"/>
      <c r="V187" s="247"/>
      <c r="W187" s="247"/>
      <c r="X187" s="247"/>
      <c r="Y187" s="247"/>
      <c r="Z187" s="247"/>
      <c r="AA187" s="247"/>
      <c r="AB187" s="247"/>
      <c r="AC187" s="247"/>
      <c r="AD187" s="247"/>
      <c r="AE187" s="247"/>
      <c r="AF187" s="247"/>
      <c r="AG187" s="247"/>
      <c r="AH187" s="247"/>
      <c r="AI187" s="247"/>
      <c r="AJ187" s="247"/>
      <c r="AK187" s="247"/>
      <c r="AL187" s="247"/>
      <c r="AM187" s="247"/>
      <c r="AN187" s="247"/>
      <c r="AO187" s="247"/>
      <c r="AP187" s="247"/>
      <c r="AQ187" s="247"/>
      <c r="AR187" s="247"/>
      <c r="AS187" s="247"/>
    </row>
    <row r="188" spans="1:45" s="229" customFormat="1" outlineLevel="1">
      <c r="A188" s="229">
        <v>10</v>
      </c>
      <c r="B188" s="229" t="str">
        <f t="shared" si="40"/>
        <v>10</v>
      </c>
      <c r="C188" s="234"/>
      <c r="E188" s="313"/>
      <c r="F188" s="313"/>
      <c r="G188" s="234"/>
      <c r="I188" s="313"/>
      <c r="J188" s="247"/>
      <c r="K188" s="247"/>
      <c r="L188" s="247"/>
      <c r="M188" s="247"/>
      <c r="N188" s="247"/>
      <c r="O188" s="247"/>
      <c r="P188" s="247"/>
      <c r="Q188" s="247"/>
      <c r="R188" s="247"/>
      <c r="S188" s="247"/>
      <c r="T188" s="247"/>
      <c r="U188" s="247"/>
      <c r="V188" s="247"/>
      <c r="W188" s="247"/>
      <c r="X188" s="247"/>
      <c r="Y188" s="247"/>
      <c r="Z188" s="247"/>
      <c r="AA188" s="247"/>
      <c r="AB188" s="247"/>
      <c r="AC188" s="247"/>
      <c r="AD188" s="247"/>
      <c r="AE188" s="247"/>
      <c r="AF188" s="247"/>
      <c r="AG188" s="247"/>
      <c r="AH188" s="247"/>
      <c r="AI188" s="247"/>
      <c r="AJ188" s="247"/>
      <c r="AK188" s="247"/>
      <c r="AL188" s="247"/>
      <c r="AM188" s="247"/>
      <c r="AN188" s="247"/>
      <c r="AO188" s="247"/>
      <c r="AP188" s="247"/>
      <c r="AQ188" s="247"/>
      <c r="AR188" s="247"/>
      <c r="AS188" s="247"/>
    </row>
    <row r="189" spans="1:45" s="229" customFormat="1" outlineLevel="1">
      <c r="A189" s="229">
        <v>11</v>
      </c>
      <c r="B189" s="229" t="str">
        <f t="shared" si="40"/>
        <v>11</v>
      </c>
      <c r="C189" s="234"/>
      <c r="E189" s="313"/>
      <c r="F189" s="313"/>
      <c r="G189" s="234"/>
      <c r="I189" s="313"/>
      <c r="J189" s="247"/>
      <c r="K189" s="247"/>
      <c r="L189" s="247"/>
      <c r="M189" s="247"/>
      <c r="N189" s="247"/>
      <c r="O189" s="247"/>
      <c r="P189" s="247"/>
      <c r="Q189" s="247"/>
      <c r="R189" s="247"/>
      <c r="S189" s="247"/>
      <c r="T189" s="247"/>
      <c r="U189" s="247"/>
      <c r="V189" s="247"/>
      <c r="W189" s="247"/>
      <c r="X189" s="247"/>
      <c r="Y189" s="247"/>
      <c r="Z189" s="247"/>
      <c r="AA189" s="247"/>
      <c r="AB189" s="247"/>
      <c r="AC189" s="247"/>
      <c r="AD189" s="247"/>
      <c r="AE189" s="247"/>
      <c r="AF189" s="247"/>
      <c r="AG189" s="247"/>
      <c r="AH189" s="247"/>
      <c r="AI189" s="247"/>
      <c r="AJ189" s="247"/>
      <c r="AK189" s="247"/>
      <c r="AL189" s="247"/>
      <c r="AM189" s="247"/>
      <c r="AN189" s="247"/>
      <c r="AO189" s="247"/>
      <c r="AP189" s="247"/>
      <c r="AQ189" s="247"/>
      <c r="AR189" s="247"/>
      <c r="AS189" s="247"/>
    </row>
    <row r="190" spans="1:45" s="238" customFormat="1" outlineLevel="1">
      <c r="A190" s="229" t="s">
        <v>208</v>
      </c>
      <c r="B190" s="229" t="str">
        <f>A190&amp;C190</f>
        <v>NDomesticEnergy Demand by Building Type</v>
      </c>
      <c r="C190" s="234" t="str">
        <f>$A$138&amp;$A$175</f>
        <v>DomesticEnergy Demand by Building Type</v>
      </c>
      <c r="E190" s="236" t="str">
        <f>""</f>
        <v/>
      </c>
    </row>
    <row r="191" spans="1:45" s="238" customFormat="1" outlineLevel="1">
      <c r="A191" s="229"/>
      <c r="B191" s="229"/>
      <c r="C191" s="234"/>
      <c r="E191" s="236"/>
    </row>
    <row r="192" spans="1:45" s="298" customFormat="1" outlineLevel="1">
      <c r="A192" s="298" t="s">
        <v>157</v>
      </c>
      <c r="B192" s="298" t="s">
        <v>167</v>
      </c>
    </row>
    <row r="193" spans="1:45" outlineLevel="1">
      <c r="A193" s="229" t="s">
        <v>175</v>
      </c>
      <c r="B193" s="229" t="s">
        <v>176</v>
      </c>
      <c r="C193" s="229" t="s">
        <v>177</v>
      </c>
      <c r="D193" s="230"/>
      <c r="E193" s="230" t="s">
        <v>178</v>
      </c>
      <c r="F193" s="230"/>
      <c r="G193" s="230" t="s">
        <v>179</v>
      </c>
      <c r="H193" s="230" t="s">
        <v>180</v>
      </c>
      <c r="I193" s="230"/>
      <c r="J193" s="230">
        <v>2015</v>
      </c>
      <c r="K193" s="230">
        <v>2016</v>
      </c>
      <c r="L193" s="230">
        <v>2017</v>
      </c>
      <c r="M193" s="230">
        <v>2018</v>
      </c>
      <c r="N193" s="230">
        <v>2019</v>
      </c>
      <c r="O193" s="230">
        <v>2020</v>
      </c>
      <c r="P193" s="230">
        <v>2021</v>
      </c>
      <c r="Q193" s="230">
        <v>2022</v>
      </c>
      <c r="R193" s="230">
        <v>2023</v>
      </c>
      <c r="S193" s="230">
        <v>2024</v>
      </c>
      <c r="T193" s="230">
        <v>2025</v>
      </c>
      <c r="U193" s="230">
        <v>2026</v>
      </c>
      <c r="V193" s="230">
        <v>2027</v>
      </c>
      <c r="W193" s="230">
        <v>2028</v>
      </c>
      <c r="X193" s="230">
        <v>2029</v>
      </c>
      <c r="Y193" s="230">
        <v>2030</v>
      </c>
      <c r="Z193" s="230">
        <v>2031</v>
      </c>
      <c r="AA193" s="230">
        <v>2032</v>
      </c>
      <c r="AB193" s="230">
        <v>2033</v>
      </c>
      <c r="AC193" s="230">
        <v>2034</v>
      </c>
      <c r="AD193" s="230">
        <v>2035</v>
      </c>
      <c r="AE193" s="230">
        <v>2036</v>
      </c>
      <c r="AF193" s="230">
        <v>2037</v>
      </c>
      <c r="AG193" s="230">
        <v>2038</v>
      </c>
      <c r="AH193" s="230">
        <v>2039</v>
      </c>
      <c r="AI193" s="230">
        <v>2040</v>
      </c>
      <c r="AJ193" s="230">
        <v>2041</v>
      </c>
      <c r="AK193" s="230">
        <v>2042</v>
      </c>
      <c r="AL193" s="230">
        <v>2043</v>
      </c>
      <c r="AM193" s="230">
        <v>2044</v>
      </c>
      <c r="AN193" s="230">
        <v>2045</v>
      </c>
      <c r="AO193" s="230">
        <v>2046</v>
      </c>
      <c r="AP193" s="230">
        <v>2047</v>
      </c>
      <c r="AQ193" s="230">
        <v>2048</v>
      </c>
      <c r="AR193" s="230">
        <v>2049</v>
      </c>
      <c r="AS193" s="230">
        <v>2050</v>
      </c>
    </row>
    <row r="194" spans="1:45" outlineLevel="1"/>
    <row r="195" spans="1:45" s="229" customFormat="1" outlineLevel="1">
      <c r="A195" s="229">
        <v>0</v>
      </c>
      <c r="B195" s="229" t="str">
        <f t="shared" ref="B195:B206" si="45">A195&amp;C195</f>
        <v>0DomesticEnergy use by fuel</v>
      </c>
      <c r="C195" s="234" t="str">
        <f t="shared" ref="C195:C200" si="46">$A$192&amp;$B$192</f>
        <v>DomesticEnergy use by fuel</v>
      </c>
      <c r="E195" s="248" t="s">
        <v>196</v>
      </c>
      <c r="G195" s="234"/>
      <c r="J195" s="237"/>
      <c r="K195" s="237"/>
      <c r="L195" s="237"/>
      <c r="M195" s="237"/>
      <c r="N195" s="237"/>
      <c r="O195" s="237"/>
      <c r="P195" s="237"/>
      <c r="Q195" s="237"/>
      <c r="R195" s="237"/>
      <c r="S195" s="237"/>
      <c r="T195" s="237"/>
      <c r="U195" s="237"/>
      <c r="V195" s="237"/>
      <c r="W195" s="237"/>
      <c r="X195" s="237"/>
      <c r="Y195" s="237"/>
      <c r="Z195" s="237"/>
      <c r="AA195" s="237"/>
      <c r="AB195" s="237"/>
      <c r="AC195" s="237"/>
      <c r="AD195" s="237"/>
      <c r="AE195" s="237"/>
      <c r="AF195" s="237"/>
      <c r="AG195" s="237"/>
      <c r="AH195" s="237"/>
      <c r="AI195" s="237"/>
      <c r="AJ195" s="237"/>
      <c r="AK195" s="237"/>
      <c r="AL195" s="237"/>
      <c r="AM195" s="237"/>
      <c r="AN195" s="237"/>
      <c r="AO195" s="237"/>
      <c r="AP195" s="237"/>
      <c r="AQ195" s="237"/>
      <c r="AR195" s="237"/>
      <c r="AS195" s="237"/>
    </row>
    <row r="196" spans="1:45" s="247" customFormat="1" outlineLevel="1">
      <c r="A196" s="229">
        <v>1</v>
      </c>
      <c r="B196" s="229" t="str">
        <f t="shared" si="45"/>
        <v>1DomesticEnergy use by fuel</v>
      </c>
      <c r="C196" s="234" t="str">
        <f t="shared" si="46"/>
        <v>DomesticEnergy use by fuel</v>
      </c>
      <c r="D196" s="229"/>
      <c r="E196" s="313" t="s">
        <v>209</v>
      </c>
      <c r="F196" s="313"/>
      <c r="G196" s="234" t="s">
        <v>198</v>
      </c>
      <c r="H196" s="229"/>
      <c r="I196" s="313"/>
      <c r="J196" s="571">
        <f>'Fuel Consumption'!Q24</f>
        <v>11292.999806619502</v>
      </c>
      <c r="K196" s="571">
        <f>'Fuel Consumption'!R24</f>
        <v>11251.590294796162</v>
      </c>
      <c r="L196" s="571">
        <f>'Fuel Consumption'!S24</f>
        <v>11210.130640932093</v>
      </c>
      <c r="M196" s="571">
        <f>'Fuel Consumption'!T24</f>
        <v>11168.678521632515</v>
      </c>
      <c r="N196" s="571">
        <f>'Fuel Consumption'!U24</f>
        <v>11127.265176445821</v>
      </c>
      <c r="O196" s="571">
        <f>'Fuel Consumption'!V24</f>
        <v>10967.145430654682</v>
      </c>
      <c r="P196" s="571">
        <f>'Fuel Consumption'!W24</f>
        <v>10827.106176128831</v>
      </c>
      <c r="Q196" s="571">
        <f>'Fuel Consumption'!X24</f>
        <v>10323.444002833709</v>
      </c>
      <c r="R196" s="571">
        <f>'Fuel Consumption'!Y24</f>
        <v>9494.3692753794148</v>
      </c>
      <c r="S196" s="571">
        <f>'Fuel Consumption'!Z24</f>
        <v>8533.4629020586362</v>
      </c>
      <c r="T196" s="571">
        <f>'Fuel Consumption'!AA24</f>
        <v>7607.5366195138777</v>
      </c>
      <c r="U196" s="571">
        <f>'Fuel Consumption'!AB24</f>
        <v>6704.362372393347</v>
      </c>
      <c r="V196" s="571">
        <f>'Fuel Consumption'!AC24</f>
        <v>5811.3228407282731</v>
      </c>
      <c r="W196" s="571">
        <f>'Fuel Consumption'!AD24</f>
        <v>5052.5678442949775</v>
      </c>
      <c r="X196" s="571">
        <f>'Fuel Consumption'!AE24</f>
        <v>4460.2156563487151</v>
      </c>
      <c r="Y196" s="571">
        <f>'Fuel Consumption'!AF24</f>
        <v>3993.0775669865011</v>
      </c>
      <c r="Z196" s="571">
        <f>'Fuel Consumption'!AG24</f>
        <v>3564.6669158813038</v>
      </c>
      <c r="AA196" s="571">
        <f>'Fuel Consumption'!AH24</f>
        <v>3148.9153879321329</v>
      </c>
      <c r="AB196" s="571">
        <f>'Fuel Consumption'!AI24</f>
        <v>2744.7636299881128</v>
      </c>
      <c r="AC196" s="571">
        <f>'Fuel Consumption'!AJ24</f>
        <v>2355.4522112822165</v>
      </c>
      <c r="AD196" s="571">
        <f>'Fuel Consumption'!AK24</f>
        <v>2002.4036254749988</v>
      </c>
      <c r="AE196" s="571">
        <f>'Fuel Consumption'!AL24</f>
        <v>1540.7895570746182</v>
      </c>
      <c r="AF196" s="571">
        <f>'Fuel Consumption'!AM24</f>
        <v>1202.2321326237122</v>
      </c>
      <c r="AG196" s="571">
        <f>'Fuel Consumption'!AN24</f>
        <v>969.23761149848929</v>
      </c>
      <c r="AH196" s="571">
        <f>'Fuel Consumption'!AO24</f>
        <v>886.06077171376864</v>
      </c>
      <c r="AI196" s="571">
        <f>'Fuel Consumption'!AP24</f>
        <v>804.71407401997237</v>
      </c>
      <c r="AJ196" s="571">
        <f>'Fuel Consumption'!AQ24</f>
        <v>720.36770397313035</v>
      </c>
      <c r="AK196" s="571">
        <f>'Fuel Consumption'!AR24</f>
        <v>638.15642821916674</v>
      </c>
      <c r="AL196" s="571">
        <f>'Fuel Consumption'!AS24</f>
        <v>557.60472661395215</v>
      </c>
      <c r="AM196" s="571">
        <f>'Fuel Consumption'!AT24</f>
        <v>478.23561231907098</v>
      </c>
      <c r="AN196" s="571">
        <f>'Fuel Consumption'!AU24</f>
        <v>399.57098371448075</v>
      </c>
      <c r="AO196" s="571">
        <f>'Fuel Consumption'!AV24</f>
        <v>326.74058355891367</v>
      </c>
      <c r="AP196" s="571">
        <f>'Fuel Consumption'!AW24</f>
        <v>250.51681769019407</v>
      </c>
      <c r="AQ196" s="571">
        <f>'Fuel Consumption'!AX24</f>
        <v>170.75241961535016</v>
      </c>
      <c r="AR196" s="571">
        <f>'Fuel Consumption'!AY24</f>
        <v>87.297566290978565</v>
      </c>
      <c r="AS196" s="571">
        <f>'Fuel Consumption'!AZ24</f>
        <v>0</v>
      </c>
    </row>
    <row r="197" spans="1:45" s="247" customFormat="1" outlineLevel="1">
      <c r="A197" s="229">
        <v>2</v>
      </c>
      <c r="B197" s="229" t="str">
        <f t="shared" si="45"/>
        <v>2DomesticEnergy use by fuel</v>
      </c>
      <c r="C197" s="234" t="str">
        <f t="shared" si="46"/>
        <v>DomesticEnergy use by fuel</v>
      </c>
      <c r="D197" s="229"/>
      <c r="E197" s="313" t="s">
        <v>210</v>
      </c>
      <c r="F197" s="229"/>
      <c r="G197" s="234" t="s">
        <v>198</v>
      </c>
      <c r="H197" s="229"/>
      <c r="I197" s="229"/>
      <c r="J197" s="571">
        <f>'Fuel Consumption'!Q25+'Fuel Consumption'!Q62</f>
        <v>4109.4533207990398</v>
      </c>
      <c r="K197" s="571">
        <f>'Fuel Consumption'!R25+'Fuel Consumption'!R62</f>
        <v>4153.0606784052343</v>
      </c>
      <c r="L197" s="571">
        <f>'Fuel Consumption'!S25+'Fuel Consumption'!S62</f>
        <v>4196.5964509888727</v>
      </c>
      <c r="M197" s="571">
        <f>'Fuel Consumption'!T25+'Fuel Consumption'!T62</f>
        <v>4240.0641984664962</v>
      </c>
      <c r="N197" s="571">
        <f>'Fuel Consumption'!U25+'Fuel Consumption'!U62</f>
        <v>4260.9485595614642</v>
      </c>
      <c r="O197" s="571">
        <f>'Fuel Consumption'!V25+'Fuel Consumption'!V62</f>
        <v>4266.7360901630664</v>
      </c>
      <c r="P197" s="571">
        <f>'Fuel Consumption'!W25+'Fuel Consumption'!W62</f>
        <v>4244.9895640478153</v>
      </c>
      <c r="Q197" s="571">
        <f>'Fuel Consumption'!X25+'Fuel Consumption'!X62</f>
        <v>4196.8554357257035</v>
      </c>
      <c r="R197" s="571">
        <f>'Fuel Consumption'!Y25+'Fuel Consumption'!Y62</f>
        <v>4112.8129126588883</v>
      </c>
      <c r="S197" s="571">
        <f>'Fuel Consumption'!Z25+'Fuel Consumption'!Z62</f>
        <v>4016.8696975927551</v>
      </c>
      <c r="T197" s="571">
        <f>'Fuel Consumption'!AA25+'Fuel Consumption'!AA62</f>
        <v>3911.7828458050881</v>
      </c>
      <c r="U197" s="571">
        <f>'Fuel Consumption'!AB25+'Fuel Consumption'!AB62</f>
        <v>3807.0851929640503</v>
      </c>
      <c r="V197" s="571">
        <f>'Fuel Consumption'!AC25+'Fuel Consumption'!AC62</f>
        <v>3774.8608721994901</v>
      </c>
      <c r="W197" s="571">
        <f>'Fuel Consumption'!AD25+'Fuel Consumption'!AD62</f>
        <v>3734.2091849746857</v>
      </c>
      <c r="X197" s="571">
        <f>'Fuel Consumption'!AE25+'Fuel Consumption'!AE62</f>
        <v>3690.9957278728284</v>
      </c>
      <c r="Y197" s="571">
        <f>'Fuel Consumption'!AF25+'Fuel Consumption'!AF62</f>
        <v>3645.7251448897428</v>
      </c>
      <c r="Z197" s="571">
        <f>'Fuel Consumption'!AG25+'Fuel Consumption'!AG62</f>
        <v>3752.2201360966992</v>
      </c>
      <c r="AA197" s="571">
        <f>'Fuel Consumption'!AH25+'Fuel Consumption'!AH62</f>
        <v>3859.2903263239696</v>
      </c>
      <c r="AB197" s="571">
        <f>'Fuel Consumption'!AI25+'Fuel Consumption'!AI62</f>
        <v>3966.8971092091242</v>
      </c>
      <c r="AC197" s="571">
        <f>'Fuel Consumption'!AJ25+'Fuel Consumption'!AJ62</f>
        <v>4075.2418137959712</v>
      </c>
      <c r="AD197" s="571">
        <f>'Fuel Consumption'!AK25+'Fuel Consumption'!AK62</f>
        <v>4184.3357924796346</v>
      </c>
      <c r="AE197" s="571">
        <f>'Fuel Consumption'!AL25+'Fuel Consumption'!AL62</f>
        <v>4394.35702396332</v>
      </c>
      <c r="AF197" s="571">
        <f>'Fuel Consumption'!AM25+'Fuel Consumption'!AM62</f>
        <v>4550.5681383984247</v>
      </c>
      <c r="AG197" s="571">
        <f>'Fuel Consumption'!AN25+'Fuel Consumption'!AN62</f>
        <v>4669.5585493348935</v>
      </c>
      <c r="AH197" s="571">
        <f>'Fuel Consumption'!AO25+'Fuel Consumption'!AO62</f>
        <v>4764.809880364659</v>
      </c>
      <c r="AI197" s="571">
        <f>'Fuel Consumption'!AP25+'Fuel Consumption'!AP62</f>
        <v>4860.757716945398</v>
      </c>
      <c r="AJ197" s="571">
        <f>'Fuel Consumption'!AQ25+'Fuel Consumption'!AQ62</f>
        <v>4954.188905488124</v>
      </c>
      <c r="AK197" s="571">
        <f>'Fuel Consumption'!AR25+'Fuel Consumption'!AR62</f>
        <v>5047.7700168348147</v>
      </c>
      <c r="AL197" s="571">
        <f>'Fuel Consumption'!AS25+'Fuel Consumption'!AS62</f>
        <v>5141.9382240773666</v>
      </c>
      <c r="AM197" s="571">
        <f>'Fuel Consumption'!AT25+'Fuel Consumption'!AT62</f>
        <v>5237.1317876958519</v>
      </c>
      <c r="AN197" s="571">
        <f>'Fuel Consumption'!AU25+'Fuel Consumption'!AU62</f>
        <v>5333.7902661327162</v>
      </c>
      <c r="AO197" s="571">
        <f>'Fuel Consumption'!AV25+'Fuel Consumption'!AV62</f>
        <v>5447.5837284784311</v>
      </c>
      <c r="AP197" s="571">
        <f>'Fuel Consumption'!AW25+'Fuel Consumption'!AW62</f>
        <v>5564.9664649325205</v>
      </c>
      <c r="AQ197" s="571">
        <f>'Fuel Consumption'!AX25+'Fuel Consumption'!AX62</f>
        <v>5686.0826201976924</v>
      </c>
      <c r="AR197" s="571">
        <f>'Fuel Consumption'!AY25+'Fuel Consumption'!AY62</f>
        <v>5811.0784515880077</v>
      </c>
      <c r="AS197" s="571">
        <f>'Fuel Consumption'!AZ25+'Fuel Consumption'!AZ62</f>
        <v>5940.1022366978013</v>
      </c>
    </row>
    <row r="198" spans="1:45" s="247" customFormat="1" outlineLevel="1">
      <c r="A198" s="229">
        <v>3</v>
      </c>
      <c r="B198" s="229" t="str">
        <f t="shared" si="45"/>
        <v>3DomesticEnergy use by fuel</v>
      </c>
      <c r="C198" s="234" t="str">
        <f t="shared" si="46"/>
        <v>DomesticEnergy use by fuel</v>
      </c>
      <c r="D198" s="229"/>
      <c r="E198" s="313" t="s">
        <v>160</v>
      </c>
      <c r="F198" s="313"/>
      <c r="G198" s="234" t="s">
        <v>198</v>
      </c>
      <c r="H198" s="229"/>
      <c r="I198" s="313"/>
      <c r="J198" s="571">
        <f>'Fuel Consumption'!Q26</f>
        <v>298.66210234186474</v>
      </c>
      <c r="K198" s="571">
        <f>'Fuel Consumption'!R26</f>
        <v>311.79797507750129</v>
      </c>
      <c r="L198" s="571">
        <f>'Fuel Consumption'!S26</f>
        <v>326.85994134949141</v>
      </c>
      <c r="M198" s="571">
        <f>'Fuel Consumption'!T26</f>
        <v>343.75012442059744</v>
      </c>
      <c r="N198" s="571">
        <f>'Fuel Consumption'!U26</f>
        <v>362.37064755358284</v>
      </c>
      <c r="O198" s="571">
        <f>'Fuel Consumption'!V26</f>
        <v>463.55862311252065</v>
      </c>
      <c r="P198" s="571">
        <f>'Fuel Consumption'!W26</f>
        <v>525.07915454917452</v>
      </c>
      <c r="Q198" s="571">
        <f>'Fuel Consumption'!X26</f>
        <v>598.18561477828462</v>
      </c>
      <c r="R198" s="571">
        <f>'Fuel Consumption'!Y26</f>
        <v>668.97497337151458</v>
      </c>
      <c r="S198" s="571">
        <f>'Fuel Consumption'!Z26</f>
        <v>737.65160647523317</v>
      </c>
      <c r="T198" s="571">
        <f>'Fuel Consumption'!AA26</f>
        <v>804.32029503815102</v>
      </c>
      <c r="U198" s="571">
        <f>'Fuel Consumption'!AB26</f>
        <v>821.95974092121367</v>
      </c>
      <c r="V198" s="571">
        <f>'Fuel Consumption'!AC26</f>
        <v>837.34660190000307</v>
      </c>
      <c r="W198" s="571">
        <f>'Fuel Consumption'!AD26</f>
        <v>850.80384885196145</v>
      </c>
      <c r="X198" s="571">
        <f>'Fuel Consumption'!AE26</f>
        <v>862.63032029528279</v>
      </c>
      <c r="Y198" s="571">
        <f>'Fuel Consumption'!AF26</f>
        <v>873.01546082044456</v>
      </c>
      <c r="Z198" s="571">
        <f>'Fuel Consumption'!AG26</f>
        <v>869.15447999689911</v>
      </c>
      <c r="AA198" s="571">
        <f>'Fuel Consumption'!AH26</f>
        <v>861.91182007824341</v>
      </c>
      <c r="AB198" s="571">
        <f>'Fuel Consumption'!AI26</f>
        <v>825.22052010829361</v>
      </c>
      <c r="AC198" s="571">
        <f>'Fuel Consumption'!AJ26</f>
        <v>783.24755759762684</v>
      </c>
      <c r="AD198" s="571">
        <f>'Fuel Consumption'!AK26</f>
        <v>740.66364460750344</v>
      </c>
      <c r="AE198" s="571">
        <f>'Fuel Consumption'!AL26</f>
        <v>698.92634175251362</v>
      </c>
      <c r="AF198" s="571">
        <f>'Fuel Consumption'!AM26</f>
        <v>657.32668980605376</v>
      </c>
      <c r="AG198" s="571">
        <f>'Fuel Consumption'!AN26</f>
        <v>616.17412544002786</v>
      </c>
      <c r="AH198" s="571">
        <f>'Fuel Consumption'!AO26</f>
        <v>571.29586289149654</v>
      </c>
      <c r="AI198" s="571">
        <f>'Fuel Consumption'!AP26</f>
        <v>526.68721132959877</v>
      </c>
      <c r="AJ198" s="571">
        <f>'Fuel Consumption'!AQ26</f>
        <v>491.24341209280504</v>
      </c>
      <c r="AK198" s="571">
        <f>'Fuel Consumption'!AR26</f>
        <v>455.39545054785827</v>
      </c>
      <c r="AL198" s="571">
        <f>'Fuel Consumption'!AS26</f>
        <v>419.30340992683887</v>
      </c>
      <c r="AM198" s="571">
        <f>'Fuel Consumption'!AT26</f>
        <v>383.12825934100618</v>
      </c>
      <c r="AN198" s="571">
        <f>'Fuel Consumption'!AU26</f>
        <v>347.03141025140815</v>
      </c>
      <c r="AO198" s="571">
        <f>'Fuel Consumption'!AV26</f>
        <v>303.3188259465382</v>
      </c>
      <c r="AP198" s="571">
        <f>'Fuel Consumption'!AW26</f>
        <v>285.16273358486586</v>
      </c>
      <c r="AQ198" s="571">
        <f>'Fuel Consumption'!AX26</f>
        <v>267.37803580118054</v>
      </c>
      <c r="AR198" s="571">
        <f>'Fuel Consumption'!AY26</f>
        <v>249.98133011584196</v>
      </c>
      <c r="AS198" s="571">
        <f>'Fuel Consumption'!AZ26</f>
        <v>232.98940248655015</v>
      </c>
    </row>
    <row r="199" spans="1:45" s="247" customFormat="1" outlineLevel="1">
      <c r="A199" s="229">
        <v>4</v>
      </c>
      <c r="B199" s="229" t="str">
        <f t="shared" si="45"/>
        <v>4DomesticEnergy use by fuel</v>
      </c>
      <c r="C199" s="234" t="str">
        <f t="shared" si="46"/>
        <v>DomesticEnergy use by fuel</v>
      </c>
      <c r="D199" s="229"/>
      <c r="E199" s="313" t="s">
        <v>211</v>
      </c>
      <c r="F199" s="229"/>
      <c r="G199" s="234" t="s">
        <v>198</v>
      </c>
      <c r="H199" s="229"/>
      <c r="I199" s="229"/>
      <c r="J199" s="571">
        <f>'Fuel Consumption'!Q27</f>
        <v>0</v>
      </c>
      <c r="K199" s="571">
        <f>'Fuel Consumption'!R27</f>
        <v>0</v>
      </c>
      <c r="L199" s="571">
        <f>'Fuel Consumption'!S27</f>
        <v>0</v>
      </c>
      <c r="M199" s="571">
        <f>'Fuel Consumption'!T27</f>
        <v>0</v>
      </c>
      <c r="N199" s="571">
        <f>'Fuel Consumption'!U27</f>
        <v>0</v>
      </c>
      <c r="O199" s="571">
        <f>'Fuel Consumption'!V27</f>
        <v>0</v>
      </c>
      <c r="P199" s="571">
        <f>'Fuel Consumption'!W27</f>
        <v>0</v>
      </c>
      <c r="Q199" s="571">
        <f>'Fuel Consumption'!X27</f>
        <v>0</v>
      </c>
      <c r="R199" s="571">
        <f>'Fuel Consumption'!Y27</f>
        <v>0</v>
      </c>
      <c r="S199" s="571">
        <f>'Fuel Consumption'!Z27</f>
        <v>0</v>
      </c>
      <c r="T199" s="571">
        <f>'Fuel Consumption'!AA27</f>
        <v>0</v>
      </c>
      <c r="U199" s="571">
        <f>'Fuel Consumption'!AB27</f>
        <v>0</v>
      </c>
      <c r="V199" s="571">
        <f>'Fuel Consumption'!AC27</f>
        <v>36.48189244322824</v>
      </c>
      <c r="W199" s="571">
        <f>'Fuel Consumption'!AD27</f>
        <v>63.705912836020232</v>
      </c>
      <c r="X199" s="571">
        <f>'Fuel Consumption'!AE27</f>
        <v>84.776338628409931</v>
      </c>
      <c r="Y199" s="571">
        <f>'Fuel Consumption'!AF27</f>
        <v>101.77265801735851</v>
      </c>
      <c r="Z199" s="571">
        <f>'Fuel Consumption'!AG27</f>
        <v>136.56241867199245</v>
      </c>
      <c r="AA199" s="571">
        <f>'Fuel Consumption'!AH27</f>
        <v>161.99419880588331</v>
      </c>
      <c r="AB199" s="571">
        <f>'Fuel Consumption'!AI27</f>
        <v>178.14249980159732</v>
      </c>
      <c r="AC199" s="571">
        <f>'Fuel Consumption'!AJ27</f>
        <v>185.36871300648974</v>
      </c>
      <c r="AD199" s="571">
        <f>'Fuel Consumption'!AK27</f>
        <v>157.59872293646657</v>
      </c>
      <c r="AE199" s="571">
        <f>'Fuel Consumption'!AL27</f>
        <v>121.2843223404699</v>
      </c>
      <c r="AF199" s="571">
        <f>'Fuel Consumption'!AM27</f>
        <v>94.649984753834602</v>
      </c>
      <c r="AG199" s="571">
        <f>'Fuel Consumption'!AN27</f>
        <v>76.319586737534621</v>
      </c>
      <c r="AH199" s="571">
        <f>'Fuel Consumption'!AO27</f>
        <v>69.773525656032703</v>
      </c>
      <c r="AI199" s="571">
        <f>'Fuel Consumption'!AP27</f>
        <v>63.371787176060366</v>
      </c>
      <c r="AJ199" s="571">
        <f>'Fuel Consumption'!AQ27</f>
        <v>56.734217294903466</v>
      </c>
      <c r="AK199" s="571">
        <f>'Fuel Consumption'!AR27</f>
        <v>50.264403276381294</v>
      </c>
      <c r="AL199" s="571">
        <f>'Fuel Consumption'!AS27</f>
        <v>43.924655502736485</v>
      </c>
      <c r="AM199" s="571">
        <f>'Fuel Consumption'!AT27</f>
        <v>37.677161951663756</v>
      </c>
      <c r="AN199" s="571">
        <f>'Fuel Consumption'!AU27</f>
        <v>31.484016513510547</v>
      </c>
      <c r="AO199" s="571">
        <f>'Fuel Consumption'!AV27</f>
        <v>25.748384041952672</v>
      </c>
      <c r="AP199" s="571">
        <f>'Fuel Consumption'!AW27</f>
        <v>19.744168702408668</v>
      </c>
      <c r="AQ199" s="571">
        <f>'Fuel Consumption'!AX27</f>
        <v>13.459469730959283</v>
      </c>
      <c r="AR199" s="571">
        <f>'Fuel Consumption'!AY27</f>
        <v>6.8821808049199262</v>
      </c>
      <c r="AS199" s="571">
        <f>'Fuel Consumption'!AZ27</f>
        <v>0</v>
      </c>
    </row>
    <row r="200" spans="1:45" s="235" customFormat="1" outlineLevel="1">
      <c r="A200" s="229">
        <v>5</v>
      </c>
      <c r="B200" s="229" t="str">
        <f t="shared" si="45"/>
        <v>5DomesticEnergy use by fuel</v>
      </c>
      <c r="C200" s="234" t="str">
        <f t="shared" si="46"/>
        <v>DomesticEnergy use by fuel</v>
      </c>
      <c r="D200" s="229"/>
      <c r="E200" s="313" t="s">
        <v>97</v>
      </c>
      <c r="F200" s="229"/>
      <c r="G200" s="234" t="s">
        <v>198</v>
      </c>
      <c r="H200" s="229"/>
      <c r="I200" s="229"/>
      <c r="J200" s="571">
        <f>'Fuel Consumption'!Q59</f>
        <v>7.8043319236876467</v>
      </c>
      <c r="K200" s="571">
        <f>'Fuel Consumption'!R59</f>
        <v>13.846942334089363</v>
      </c>
      <c r="L200" s="571">
        <f>'Fuel Consumption'!S59</f>
        <v>19.889552744491084</v>
      </c>
      <c r="M200" s="571">
        <f>'Fuel Consumption'!T59</f>
        <v>25.932163154892805</v>
      </c>
      <c r="N200" s="571">
        <f>'Fuel Consumption'!U59</f>
        <v>31.97477356529452</v>
      </c>
      <c r="O200" s="571">
        <f>'Fuel Consumption'!V59</f>
        <v>38.017383975696241</v>
      </c>
      <c r="P200" s="571">
        <f>'Fuel Consumption'!W59</f>
        <v>44.059994386097955</v>
      </c>
      <c r="Q200" s="571">
        <f>'Fuel Consumption'!X59</f>
        <v>50.102604796499676</v>
      </c>
      <c r="R200" s="571">
        <f>'Fuel Consumption'!Y59</f>
        <v>56.145215206901376</v>
      </c>
      <c r="S200" s="571">
        <f>'Fuel Consumption'!Z59</f>
        <v>62.187825617303112</v>
      </c>
      <c r="T200" s="571">
        <f>'Fuel Consumption'!AA59</f>
        <v>68.230436027704812</v>
      </c>
      <c r="U200" s="571">
        <f>'Fuel Consumption'!AB59</f>
        <v>81.276667825572389</v>
      </c>
      <c r="V200" s="571">
        <f>'Fuel Consumption'!AC59</f>
        <v>94.322899623439895</v>
      </c>
      <c r="W200" s="571">
        <f>'Fuel Consumption'!AD59</f>
        <v>107.36913142130743</v>
      </c>
      <c r="X200" s="571">
        <f>'Fuel Consumption'!AE59</f>
        <v>120.41536321917496</v>
      </c>
      <c r="Y200" s="571">
        <f>'Fuel Consumption'!AF59</f>
        <v>133.46159501704253</v>
      </c>
      <c r="Z200" s="571">
        <f>'Fuel Consumption'!AG59</f>
        <v>146.50782681491003</v>
      </c>
      <c r="AA200" s="571">
        <f>'Fuel Consumption'!AH59</f>
        <v>159.55405861277757</v>
      </c>
      <c r="AB200" s="571">
        <f>'Fuel Consumption'!AI59</f>
        <v>172.6002904106451</v>
      </c>
      <c r="AC200" s="571">
        <f>'Fuel Consumption'!AJ59</f>
        <v>185.64652220851266</v>
      </c>
      <c r="AD200" s="571">
        <f>'Fuel Consumption'!AK59</f>
        <v>198.69275400638017</v>
      </c>
      <c r="AE200" s="571">
        <f>'Fuel Consumption'!AL59</f>
        <v>211.73898580424768</v>
      </c>
      <c r="AF200" s="571">
        <f>'Fuel Consumption'!AM59</f>
        <v>224.78521760211521</v>
      </c>
      <c r="AG200" s="571">
        <f>'Fuel Consumption'!AN59</f>
        <v>237.83144939998272</v>
      </c>
      <c r="AH200" s="571">
        <f>'Fuel Consumption'!AO59</f>
        <v>250.87768119785028</v>
      </c>
      <c r="AI200" s="571">
        <f>'Fuel Consumption'!AP59</f>
        <v>263.92391299571784</v>
      </c>
      <c r="AJ200" s="571">
        <f>'Fuel Consumption'!AQ59</f>
        <v>276.97014479358535</v>
      </c>
      <c r="AK200" s="571">
        <f>'Fuel Consumption'!AR59</f>
        <v>290.01637659145291</v>
      </c>
      <c r="AL200" s="571">
        <f>'Fuel Consumption'!AS59</f>
        <v>303.06260838932047</v>
      </c>
      <c r="AM200" s="571">
        <f>'Fuel Consumption'!AT59</f>
        <v>316.10884018718792</v>
      </c>
      <c r="AN200" s="571">
        <f>'Fuel Consumption'!AU59</f>
        <v>329.15507198505549</v>
      </c>
      <c r="AO200" s="571">
        <f>'Fuel Consumption'!AV59</f>
        <v>342.20130378292305</v>
      </c>
      <c r="AP200" s="571">
        <f>'Fuel Consumption'!AW59</f>
        <v>355.24753558079061</v>
      </c>
      <c r="AQ200" s="571">
        <f>'Fuel Consumption'!AX59</f>
        <v>368.29376737865812</v>
      </c>
      <c r="AR200" s="571">
        <f>'Fuel Consumption'!AY59</f>
        <v>381.33999917652562</v>
      </c>
      <c r="AS200" s="571">
        <f>'Fuel Consumption'!AZ59</f>
        <v>394.38623097439319</v>
      </c>
    </row>
    <row r="201" spans="1:45" s="229" customFormat="1" outlineLevel="1">
      <c r="A201" s="229">
        <v>6</v>
      </c>
      <c r="B201" s="229" t="str">
        <f t="shared" si="45"/>
        <v>6</v>
      </c>
      <c r="C201" s="234"/>
      <c r="E201" s="313"/>
      <c r="F201" s="313"/>
      <c r="G201" s="234"/>
      <c r="I201" s="313"/>
      <c r="J201" s="235"/>
      <c r="K201" s="235"/>
      <c r="L201" s="235"/>
      <c r="M201" s="235"/>
      <c r="N201" s="235"/>
      <c r="O201" s="235"/>
      <c r="P201" s="235"/>
      <c r="Q201" s="235"/>
      <c r="R201" s="235"/>
      <c r="S201" s="235"/>
      <c r="T201" s="235"/>
      <c r="U201" s="235"/>
      <c r="V201" s="235"/>
      <c r="W201" s="235"/>
      <c r="X201" s="235"/>
      <c r="Y201" s="235"/>
      <c r="Z201" s="235"/>
      <c r="AA201" s="235"/>
      <c r="AB201" s="235"/>
      <c r="AC201" s="235"/>
      <c r="AD201" s="235"/>
      <c r="AE201" s="235"/>
      <c r="AF201" s="235"/>
      <c r="AG201" s="235"/>
      <c r="AH201" s="235"/>
      <c r="AI201" s="235"/>
      <c r="AJ201" s="235"/>
      <c r="AK201" s="235"/>
      <c r="AL201" s="235"/>
      <c r="AM201" s="235"/>
      <c r="AN201" s="235"/>
      <c r="AO201" s="235"/>
      <c r="AP201" s="235"/>
      <c r="AQ201" s="235"/>
      <c r="AR201" s="235"/>
      <c r="AS201" s="235"/>
    </row>
    <row r="202" spans="1:45" s="229" customFormat="1" outlineLevel="1">
      <c r="A202" s="229">
        <v>7</v>
      </c>
      <c r="B202" s="229" t="str">
        <f t="shared" si="45"/>
        <v>7</v>
      </c>
      <c r="C202" s="234"/>
      <c r="E202" s="313"/>
      <c r="F202" s="313"/>
      <c r="G202" s="234"/>
      <c r="I202" s="313"/>
      <c r="J202" s="247"/>
      <c r="K202" s="247"/>
      <c r="L202" s="247"/>
      <c r="M202" s="247"/>
      <c r="N202" s="247"/>
      <c r="O202" s="247"/>
      <c r="P202" s="247"/>
      <c r="Q202" s="247"/>
      <c r="R202" s="247"/>
      <c r="S202" s="247"/>
      <c r="T202" s="247"/>
      <c r="U202" s="247"/>
      <c r="V202" s="247"/>
      <c r="W202" s="247"/>
      <c r="X202" s="247"/>
      <c r="Y202" s="247"/>
      <c r="Z202" s="247"/>
      <c r="AA202" s="247"/>
      <c r="AB202" s="247"/>
      <c r="AC202" s="247"/>
      <c r="AD202" s="247"/>
      <c r="AE202" s="247"/>
      <c r="AF202" s="247"/>
      <c r="AG202" s="247"/>
      <c r="AH202" s="247"/>
      <c r="AI202" s="247"/>
      <c r="AJ202" s="247"/>
      <c r="AK202" s="247"/>
      <c r="AL202" s="247"/>
      <c r="AM202" s="247"/>
      <c r="AN202" s="247"/>
      <c r="AO202" s="247"/>
      <c r="AP202" s="247"/>
      <c r="AQ202" s="247"/>
      <c r="AR202" s="247"/>
      <c r="AS202" s="247"/>
    </row>
    <row r="203" spans="1:45" s="229" customFormat="1" outlineLevel="1">
      <c r="A203" s="229">
        <v>8</v>
      </c>
      <c r="B203" s="229" t="str">
        <f t="shared" si="45"/>
        <v>8</v>
      </c>
      <c r="C203" s="234"/>
      <c r="E203" s="313"/>
      <c r="F203" s="313"/>
      <c r="G203" s="234"/>
      <c r="I203" s="313"/>
      <c r="J203" s="247"/>
      <c r="K203" s="247"/>
      <c r="L203" s="247"/>
      <c r="M203" s="247"/>
      <c r="N203" s="247"/>
      <c r="O203" s="247"/>
      <c r="P203" s="247"/>
      <c r="Q203" s="247"/>
      <c r="R203" s="247"/>
      <c r="S203" s="247"/>
      <c r="T203" s="247"/>
      <c r="U203" s="247"/>
      <c r="V203" s="247"/>
      <c r="W203" s="247"/>
      <c r="X203" s="247"/>
      <c r="Y203" s="247"/>
      <c r="Z203" s="247"/>
      <c r="AA203" s="247"/>
      <c r="AB203" s="247"/>
      <c r="AC203" s="247"/>
      <c r="AD203" s="247"/>
      <c r="AE203" s="247"/>
      <c r="AF203" s="247"/>
      <c r="AG203" s="247"/>
      <c r="AH203" s="247"/>
      <c r="AI203" s="247"/>
      <c r="AJ203" s="247"/>
      <c r="AK203" s="247"/>
      <c r="AL203" s="247"/>
      <c r="AM203" s="247"/>
      <c r="AN203" s="247"/>
      <c r="AO203" s="247"/>
      <c r="AP203" s="247"/>
      <c r="AQ203" s="247"/>
      <c r="AR203" s="247"/>
      <c r="AS203" s="247"/>
    </row>
    <row r="204" spans="1:45" s="229" customFormat="1" outlineLevel="1">
      <c r="A204" s="229">
        <v>9</v>
      </c>
      <c r="B204" s="229" t="str">
        <f t="shared" si="45"/>
        <v>9</v>
      </c>
      <c r="C204" s="234"/>
      <c r="E204" s="313"/>
      <c r="F204" s="313"/>
      <c r="G204" s="234"/>
      <c r="I204" s="313"/>
      <c r="J204" s="247"/>
      <c r="K204" s="247"/>
      <c r="L204" s="247"/>
      <c r="M204" s="247"/>
      <c r="N204" s="247"/>
      <c r="O204" s="247"/>
      <c r="P204" s="247"/>
      <c r="Q204" s="247"/>
      <c r="R204" s="247"/>
      <c r="S204" s="247"/>
      <c r="T204" s="247"/>
      <c r="U204" s="247"/>
      <c r="V204" s="247"/>
      <c r="W204" s="247"/>
      <c r="X204" s="247"/>
      <c r="Y204" s="247"/>
      <c r="Z204" s="247"/>
      <c r="AA204" s="247"/>
      <c r="AB204" s="247"/>
      <c r="AC204" s="247"/>
      <c r="AD204" s="247"/>
      <c r="AE204" s="247"/>
      <c r="AF204" s="247"/>
      <c r="AG204" s="247"/>
      <c r="AH204" s="247"/>
      <c r="AI204" s="247"/>
      <c r="AJ204" s="247"/>
      <c r="AK204" s="247"/>
      <c r="AL204" s="247"/>
      <c r="AM204" s="247"/>
      <c r="AN204" s="247"/>
      <c r="AO204" s="247"/>
      <c r="AP204" s="247"/>
      <c r="AQ204" s="247"/>
      <c r="AR204" s="247"/>
      <c r="AS204" s="247"/>
    </row>
    <row r="205" spans="1:45" s="229" customFormat="1" outlineLevel="1">
      <c r="A205" s="229">
        <v>10</v>
      </c>
      <c r="B205" s="229" t="str">
        <f t="shared" si="45"/>
        <v>10</v>
      </c>
      <c r="C205" s="234"/>
      <c r="E205" s="313"/>
      <c r="F205" s="313"/>
      <c r="G205" s="234"/>
      <c r="I205" s="313"/>
      <c r="J205" s="247"/>
      <c r="K205" s="247"/>
      <c r="L205" s="247"/>
      <c r="M205" s="247"/>
      <c r="N205" s="247"/>
      <c r="O205" s="247"/>
      <c r="P205" s="247"/>
      <c r="Q205" s="247"/>
      <c r="R205" s="247"/>
      <c r="S205" s="247"/>
      <c r="T205" s="247"/>
      <c r="U205" s="247"/>
      <c r="V205" s="247"/>
      <c r="W205" s="247"/>
      <c r="X205" s="247"/>
      <c r="Y205" s="247"/>
      <c r="Z205" s="247"/>
      <c r="AA205" s="247"/>
      <c r="AB205" s="247"/>
      <c r="AC205" s="247"/>
      <c r="AD205" s="247"/>
      <c r="AE205" s="247"/>
      <c r="AF205" s="247"/>
      <c r="AG205" s="247"/>
      <c r="AH205" s="247"/>
      <c r="AI205" s="247"/>
      <c r="AJ205" s="247"/>
      <c r="AK205" s="247"/>
      <c r="AL205" s="247"/>
      <c r="AM205" s="247"/>
      <c r="AN205" s="247"/>
      <c r="AO205" s="247"/>
      <c r="AP205" s="247"/>
      <c r="AQ205" s="247"/>
      <c r="AR205" s="247"/>
      <c r="AS205" s="247"/>
    </row>
    <row r="206" spans="1:45" s="229" customFormat="1" outlineLevel="1">
      <c r="A206" s="229">
        <v>11</v>
      </c>
      <c r="B206" s="229" t="str">
        <f t="shared" si="45"/>
        <v>11</v>
      </c>
      <c r="C206" s="234"/>
      <c r="E206" s="313"/>
      <c r="F206" s="313"/>
      <c r="G206" s="234"/>
      <c r="I206" s="313"/>
      <c r="J206" s="247"/>
      <c r="K206" s="247"/>
      <c r="L206" s="247"/>
      <c r="M206" s="247"/>
      <c r="N206" s="247"/>
      <c r="O206" s="247"/>
      <c r="P206" s="247"/>
      <c r="Q206" s="247"/>
      <c r="R206" s="247"/>
      <c r="S206" s="247"/>
      <c r="T206" s="247"/>
      <c r="U206" s="247"/>
      <c r="V206" s="247"/>
      <c r="W206" s="247"/>
      <c r="X206" s="247"/>
      <c r="Y206" s="247"/>
      <c r="Z206" s="247"/>
      <c r="AA206" s="247"/>
      <c r="AB206" s="247"/>
      <c r="AC206" s="247"/>
      <c r="AD206" s="247"/>
      <c r="AE206" s="247"/>
      <c r="AF206" s="247"/>
      <c r="AG206" s="247"/>
      <c r="AH206" s="247"/>
      <c r="AI206" s="247"/>
      <c r="AJ206" s="247"/>
      <c r="AK206" s="247"/>
      <c r="AL206" s="247"/>
      <c r="AM206" s="247"/>
      <c r="AN206" s="247"/>
      <c r="AO206" s="247"/>
      <c r="AP206" s="247"/>
      <c r="AQ206" s="247"/>
      <c r="AR206" s="247"/>
      <c r="AS206" s="247"/>
    </row>
    <row r="207" spans="1:45" s="238" customFormat="1" outlineLevel="1">
      <c r="A207" s="229" t="s">
        <v>208</v>
      </c>
      <c r="B207" s="229" t="str">
        <f>A207&amp;C207</f>
        <v>NTotalEnergy use by fuel</v>
      </c>
      <c r="C207" s="234" t="str">
        <f t="shared" ref="C207" si="47">$A$50&amp;$B$50</f>
        <v>TotalEnergy use by fuel</v>
      </c>
      <c r="E207" s="236" t="str">
        <f>""</f>
        <v/>
      </c>
    </row>
    <row r="208" spans="1:45" outlineLevel="1"/>
    <row r="209" spans="1:45" outlineLevel="1"/>
    <row r="210" spans="1:45" s="49" customFormat="1">
      <c r="A210" s="49" t="s">
        <v>158</v>
      </c>
    </row>
    <row r="211" spans="1:45" s="298" customFormat="1" outlineLevel="1">
      <c r="A211" s="298" t="s">
        <v>144</v>
      </c>
    </row>
    <row r="212" spans="1:45" outlineLevel="1">
      <c r="A212" s="229" t="s">
        <v>175</v>
      </c>
      <c r="B212" s="229" t="s">
        <v>176</v>
      </c>
      <c r="C212" s="229" t="s">
        <v>177</v>
      </c>
      <c r="D212" s="230"/>
      <c r="E212" s="230" t="s">
        <v>178</v>
      </c>
      <c r="F212" s="230"/>
      <c r="G212" s="230" t="s">
        <v>179</v>
      </c>
      <c r="H212" s="230" t="s">
        <v>180</v>
      </c>
      <c r="I212" s="230"/>
      <c r="J212" s="230">
        <v>2015</v>
      </c>
      <c r="K212" s="230">
        <v>2016</v>
      </c>
      <c r="L212" s="230">
        <v>2017</v>
      </c>
      <c r="M212" s="230">
        <v>2018</v>
      </c>
      <c r="N212" s="230">
        <v>2019</v>
      </c>
      <c r="O212" s="230">
        <v>2020</v>
      </c>
      <c r="P212" s="230">
        <v>2021</v>
      </c>
      <c r="Q212" s="230">
        <v>2022</v>
      </c>
      <c r="R212" s="230">
        <v>2023</v>
      </c>
      <c r="S212" s="230">
        <v>2024</v>
      </c>
      <c r="T212" s="230">
        <v>2025</v>
      </c>
      <c r="U212" s="230">
        <v>2026</v>
      </c>
      <c r="V212" s="230">
        <v>2027</v>
      </c>
      <c r="W212" s="230">
        <v>2028</v>
      </c>
      <c r="X212" s="230">
        <v>2029</v>
      </c>
      <c r="Y212" s="230">
        <v>2030</v>
      </c>
      <c r="Z212" s="230">
        <v>2031</v>
      </c>
      <c r="AA212" s="230">
        <v>2032</v>
      </c>
      <c r="AB212" s="230">
        <v>2033</v>
      </c>
      <c r="AC212" s="230">
        <v>2034</v>
      </c>
      <c r="AD212" s="230">
        <v>2035</v>
      </c>
      <c r="AE212" s="230">
        <v>2036</v>
      </c>
      <c r="AF212" s="230">
        <v>2037</v>
      </c>
      <c r="AG212" s="230">
        <v>2038</v>
      </c>
      <c r="AH212" s="230">
        <v>2039</v>
      </c>
      <c r="AI212" s="230">
        <v>2040</v>
      </c>
      <c r="AJ212" s="230">
        <v>2041</v>
      </c>
      <c r="AK212" s="230">
        <v>2042</v>
      </c>
      <c r="AL212" s="230">
        <v>2043</v>
      </c>
      <c r="AM212" s="230">
        <v>2044</v>
      </c>
      <c r="AN212" s="230">
        <v>2045</v>
      </c>
      <c r="AO212" s="230">
        <v>2046</v>
      </c>
      <c r="AP212" s="230">
        <v>2047</v>
      </c>
      <c r="AQ212" s="230">
        <v>2048</v>
      </c>
      <c r="AR212" s="230">
        <v>2049</v>
      </c>
      <c r="AS212" s="230">
        <v>2050</v>
      </c>
    </row>
    <row r="213" spans="1:45" outlineLevel="1"/>
    <row r="214" spans="1:45" s="229" customFormat="1" outlineLevel="1">
      <c r="A214" s="229">
        <v>0</v>
      </c>
      <c r="B214" s="229" t="str">
        <f t="shared" ref="B214:B225" si="48">A214&amp;C214</f>
        <v>0Non-DomesticCarbon Emissions</v>
      </c>
      <c r="C214" s="234" t="str">
        <f>$A$210&amp;$A$211</f>
        <v>Non-DomesticCarbon Emissions</v>
      </c>
      <c r="E214" s="248" t="s">
        <v>182</v>
      </c>
      <c r="G214" s="234"/>
      <c r="J214" s="237"/>
      <c r="K214" s="237"/>
      <c r="L214" s="237"/>
      <c r="M214" s="237"/>
      <c r="N214" s="237"/>
      <c r="O214" s="237"/>
      <c r="P214" s="237"/>
      <c r="Q214" s="237"/>
      <c r="R214" s="237"/>
      <c r="S214" s="237"/>
      <c r="T214" s="237"/>
      <c r="U214" s="237"/>
      <c r="V214" s="237"/>
      <c r="W214" s="237"/>
      <c r="X214" s="237"/>
      <c r="Y214" s="237"/>
      <c r="Z214" s="237"/>
      <c r="AA214" s="237"/>
      <c r="AB214" s="237"/>
      <c r="AC214" s="237"/>
      <c r="AD214" s="237"/>
      <c r="AE214" s="237"/>
      <c r="AF214" s="237"/>
      <c r="AG214" s="237"/>
      <c r="AH214" s="237"/>
      <c r="AI214" s="237"/>
      <c r="AJ214" s="237"/>
      <c r="AK214" s="237"/>
      <c r="AL214" s="237"/>
      <c r="AM214" s="237"/>
      <c r="AN214" s="237"/>
      <c r="AO214" s="237"/>
      <c r="AP214" s="237"/>
      <c r="AQ214" s="237"/>
      <c r="AR214" s="237"/>
      <c r="AS214" s="237"/>
    </row>
    <row r="215" spans="1:45" s="229" customFormat="1" ht="18" outlineLevel="1">
      <c r="A215" s="229">
        <v>1</v>
      </c>
      <c r="B215" s="229" t="str">
        <f t="shared" si="48"/>
        <v>1Non-DomesticCarbon Emissions</v>
      </c>
      <c r="C215" s="234" t="str">
        <f t="shared" ref="C215:C221" si="49">$A$210&amp;$A$211</f>
        <v>Non-DomesticCarbon Emissions</v>
      </c>
      <c r="D215" s="55"/>
      <c r="E215" s="313" t="s">
        <v>224</v>
      </c>
      <c r="F215" s="313"/>
      <c r="G215" s="234" t="s">
        <v>184</v>
      </c>
      <c r="I215" s="313"/>
      <c r="J215" s="571">
        <f>'Carbon Emissions'!Q31</f>
        <v>2144.0974964551397</v>
      </c>
      <c r="K215" s="571">
        <f>'Carbon Emissions'!R31</f>
        <v>2116.2738002075921</v>
      </c>
      <c r="L215" s="571">
        <f>'Carbon Emissions'!S31</f>
        <v>2094.6088136386356</v>
      </c>
      <c r="M215" s="571">
        <f>'Carbon Emissions'!T31</f>
        <v>2072.8966065736095</v>
      </c>
      <c r="N215" s="571">
        <f>'Carbon Emissions'!U31</f>
        <v>2047.002997377863</v>
      </c>
      <c r="O215" s="571">
        <f>'Carbon Emissions'!V31</f>
        <v>1992.9078111628519</v>
      </c>
      <c r="P215" s="571">
        <f>'Carbon Emissions'!W31</f>
        <v>1955.0191613002764</v>
      </c>
      <c r="Q215" s="571">
        <f>'Carbon Emissions'!X31</f>
        <v>1892.6452024360046</v>
      </c>
      <c r="R215" s="571">
        <f>'Carbon Emissions'!Y31</f>
        <v>1797.9717976377469</v>
      </c>
      <c r="S215" s="571">
        <f>'Carbon Emissions'!Z31</f>
        <v>1662.4304489216527</v>
      </c>
      <c r="T215" s="571">
        <f>'Carbon Emissions'!AA31</f>
        <v>1511.894229861663</v>
      </c>
      <c r="U215" s="571">
        <f>'Carbon Emissions'!AB31</f>
        <v>1340.8697180077304</v>
      </c>
      <c r="V215" s="571">
        <f>'Carbon Emissions'!AC31</f>
        <v>1142.4958511582511</v>
      </c>
      <c r="W215" s="571">
        <f>'Carbon Emissions'!AD31</f>
        <v>979.79226669630282</v>
      </c>
      <c r="X215" s="571">
        <f>'Carbon Emissions'!AE31</f>
        <v>825.87588227659307</v>
      </c>
      <c r="Y215" s="571">
        <f>'Carbon Emissions'!AF31</f>
        <v>688.96470753050028</v>
      </c>
      <c r="Z215" s="571">
        <f>'Carbon Emissions'!AG31</f>
        <v>571.47420484124279</v>
      </c>
      <c r="AA215" s="571">
        <f>'Carbon Emissions'!AH31</f>
        <v>473.22747572233243</v>
      </c>
      <c r="AB215" s="571">
        <f>'Carbon Emissions'!AI31</f>
        <v>390.62209135763072</v>
      </c>
      <c r="AC215" s="571">
        <f>'Carbon Emissions'!AJ31</f>
        <v>320.79714683328467</v>
      </c>
      <c r="AD215" s="571">
        <f>'Carbon Emissions'!AK31</f>
        <v>274.26238026417889</v>
      </c>
      <c r="AE215" s="571">
        <f>'Carbon Emissions'!AL31</f>
        <v>211.3411025871246</v>
      </c>
      <c r="AF215" s="571">
        <f>'Carbon Emissions'!AM31</f>
        <v>165.27348134941485</v>
      </c>
      <c r="AG215" s="571">
        <f>'Carbon Emissions'!AN31</f>
        <v>132.89466177209511</v>
      </c>
      <c r="AH215" s="571">
        <f>'Carbon Emissions'!AO31</f>
        <v>119.75591268907885</v>
      </c>
      <c r="AI215" s="571">
        <f>'Carbon Emissions'!AP31</f>
        <v>106.6818828507347</v>
      </c>
      <c r="AJ215" s="571">
        <f>'Carbon Emissions'!AQ31</f>
        <v>92.594891028467003</v>
      </c>
      <c r="AK215" s="571">
        <f>'Carbon Emissions'!AR31</f>
        <v>78.780368838102774</v>
      </c>
      <c r="AL215" s="571">
        <f>'Carbon Emissions'!AS31</f>
        <v>65.026220474338089</v>
      </c>
      <c r="AM215" s="571">
        <f>'Carbon Emissions'!AT31</f>
        <v>51.107197879695931</v>
      </c>
      <c r="AN215" s="571">
        <f>'Carbon Emissions'!AU31</f>
        <v>36.650037143926575</v>
      </c>
      <c r="AO215" s="571">
        <f>'Carbon Emissions'!AV31</f>
        <v>21.832002505362247</v>
      </c>
      <c r="AP215" s="571">
        <f>'Carbon Emissions'!AW31</f>
        <v>13.776481141692239</v>
      </c>
      <c r="AQ215" s="571">
        <f>'Carbon Emissions'!AX31</f>
        <v>9.3048258493879246</v>
      </c>
      <c r="AR215" s="571">
        <f>'Carbon Emissions'!AY31</f>
        <v>4.7125304711537819</v>
      </c>
      <c r="AS215" s="571">
        <f>'Carbon Emissions'!AZ31</f>
        <v>0</v>
      </c>
    </row>
    <row r="216" spans="1:45" s="229" customFormat="1" ht="18" outlineLevel="1">
      <c r="A216" s="229">
        <v>2</v>
      </c>
      <c r="B216" s="229" t="str">
        <f t="shared" si="48"/>
        <v>2Non-DomesticCarbon Emissions</v>
      </c>
      <c r="C216" s="234" t="str">
        <f t="shared" si="49"/>
        <v>Non-DomesticCarbon Emissions</v>
      </c>
      <c r="D216" s="55"/>
      <c r="E216" s="313" t="s">
        <v>218</v>
      </c>
      <c r="G216" s="234" t="s">
        <v>184</v>
      </c>
      <c r="J216" s="571">
        <f>'Carbon Emissions'!Q32</f>
        <v>617.86947871309701</v>
      </c>
      <c r="K216" s="571">
        <f>'Carbon Emissions'!R32</f>
        <v>493.9314444203942</v>
      </c>
      <c r="L216" s="571">
        <f>'Carbon Emissions'!S32</f>
        <v>442.18061061558564</v>
      </c>
      <c r="M216" s="571">
        <f>'Carbon Emissions'!T32</f>
        <v>411.66251658421544</v>
      </c>
      <c r="N216" s="571">
        <f>'Carbon Emissions'!U32</f>
        <v>366.94641220895636</v>
      </c>
      <c r="O216" s="571">
        <f>'Carbon Emissions'!V32</f>
        <v>272.77323414172008</v>
      </c>
      <c r="P216" s="571">
        <f>'Carbon Emissions'!W32</f>
        <v>251.16144869291796</v>
      </c>
      <c r="Q216" s="571">
        <f>'Carbon Emissions'!X32</f>
        <v>229.22832108415156</v>
      </c>
      <c r="R216" s="571">
        <f>'Carbon Emissions'!Y32</f>
        <v>210.34954351011061</v>
      </c>
      <c r="S216" s="571">
        <f>'Carbon Emissions'!Z32</f>
        <v>213.2333410508831</v>
      </c>
      <c r="T216" s="571">
        <f>'Carbon Emissions'!AA32</f>
        <v>164.71803819417789</v>
      </c>
      <c r="U216" s="571">
        <f>'Carbon Emissions'!AB32</f>
        <v>108.04618867369909</v>
      </c>
      <c r="V216" s="571">
        <f>'Carbon Emissions'!AC32</f>
        <v>77.299380604455678</v>
      </c>
      <c r="W216" s="571">
        <f>'Carbon Emissions'!AD32</f>
        <v>62.236507355647653</v>
      </c>
      <c r="X216" s="571">
        <f>'Carbon Emissions'!AE32</f>
        <v>49.874689656970148</v>
      </c>
      <c r="Y216" s="571">
        <f>'Carbon Emissions'!AF32</f>
        <v>33.571300122186074</v>
      </c>
      <c r="Z216" s="571">
        <f>'Carbon Emissions'!AG32</f>
        <v>22.50111154988452</v>
      </c>
      <c r="AA216" s="571">
        <f>'Carbon Emissions'!AH32</f>
        <v>16.417387283892534</v>
      </c>
      <c r="AB216" s="571">
        <f>'Carbon Emissions'!AI32</f>
        <v>11.995787243119608</v>
      </c>
      <c r="AC216" s="571">
        <f>'Carbon Emissions'!AJ32</f>
        <v>9.1178571180914094</v>
      </c>
      <c r="AD216" s="571">
        <f>'Carbon Emissions'!AK32</f>
        <v>6.9599632267728531</v>
      </c>
      <c r="AE216" s="571">
        <f>'Carbon Emissions'!AL32</f>
        <v>6.4704426878613441</v>
      </c>
      <c r="AF216" s="571">
        <f>'Carbon Emissions'!AM32</f>
        <v>6.1820079088217534</v>
      </c>
      <c r="AG216" s="571">
        <f>'Carbon Emissions'!AN32</f>
        <v>6.4600846969192425</v>
      </c>
      <c r="AH216" s="571">
        <f>'Carbon Emissions'!AO32</f>
        <v>7.1972955196148884</v>
      </c>
      <c r="AI216" s="571">
        <f>'Carbon Emissions'!AP32</f>
        <v>7.5215249139386584</v>
      </c>
      <c r="AJ216" s="571">
        <f>'Carbon Emissions'!AQ32</f>
        <v>7.0011787438430035</v>
      </c>
      <c r="AK216" s="571">
        <f>'Carbon Emissions'!AR32</f>
        <v>7.3656355398836117</v>
      </c>
      <c r="AL216" s="571">
        <f>'Carbon Emissions'!AS32</f>
        <v>7.9278966520228602</v>
      </c>
      <c r="AM216" s="571">
        <f>'Carbon Emissions'!AT32</f>
        <v>8.1299249839679426</v>
      </c>
      <c r="AN216" s="571">
        <f>'Carbon Emissions'!AU32</f>
        <v>7.490418337599599</v>
      </c>
      <c r="AO216" s="571">
        <f>'Carbon Emissions'!AV32</f>
        <v>7.4391147508854001</v>
      </c>
      <c r="AP216" s="571">
        <f>'Carbon Emissions'!AW32</f>
        <v>7.4659765021993731</v>
      </c>
      <c r="AQ216" s="571">
        <f>'Carbon Emissions'!AX32</f>
        <v>7.6798273065733493</v>
      </c>
      <c r="AR216" s="571">
        <f>'Carbon Emissions'!AY32</f>
        <v>7.7163391742737044</v>
      </c>
      <c r="AS216" s="571">
        <f>'Carbon Emissions'!AZ32</f>
        <v>8.1617477442869735</v>
      </c>
    </row>
    <row r="217" spans="1:45" s="229" customFormat="1" ht="18" outlineLevel="1">
      <c r="A217" s="229">
        <v>3</v>
      </c>
      <c r="B217" s="229" t="str">
        <f t="shared" si="48"/>
        <v>3Non-DomesticCarbon Emissions</v>
      </c>
      <c r="C217" s="234" t="str">
        <f t="shared" si="49"/>
        <v>Non-DomesticCarbon Emissions</v>
      </c>
      <c r="D217" s="55"/>
      <c r="E217" s="313" t="s">
        <v>95</v>
      </c>
      <c r="F217" s="313"/>
      <c r="G217" s="234" t="s">
        <v>184</v>
      </c>
      <c r="I217" s="313"/>
      <c r="J217" s="571">
        <f>'Carbon Emissions'!Q33</f>
        <v>0</v>
      </c>
      <c r="K217" s="571">
        <f>'Carbon Emissions'!R33</f>
        <v>0</v>
      </c>
      <c r="L217" s="571">
        <f>'Carbon Emissions'!S33</f>
        <v>0</v>
      </c>
      <c r="M217" s="571">
        <f>'Carbon Emissions'!T33</f>
        <v>0</v>
      </c>
      <c r="N217" s="571">
        <f>'Carbon Emissions'!U33</f>
        <v>0</v>
      </c>
      <c r="O217" s="571">
        <f>'Carbon Emissions'!V33</f>
        <v>0.666822519545615</v>
      </c>
      <c r="P217" s="571">
        <f>'Carbon Emissions'!W33</f>
        <v>2.6313985884398114</v>
      </c>
      <c r="Q217" s="571">
        <f>'Carbon Emissions'!X33</f>
        <v>7.2910317342934343</v>
      </c>
      <c r="R217" s="571">
        <f>'Carbon Emissions'!Y33</f>
        <v>14.393740469465996</v>
      </c>
      <c r="S217" s="571">
        <f>'Carbon Emissions'!Z33</f>
        <v>28.077197310997168</v>
      </c>
      <c r="T217" s="571">
        <f>'Carbon Emissions'!AA33</f>
        <v>36.261448553218813</v>
      </c>
      <c r="U217" s="571">
        <f>'Carbon Emissions'!AB33</f>
        <v>37.689705684421746</v>
      </c>
      <c r="V217" s="571">
        <f>'Carbon Emissions'!AC33</f>
        <v>41.017890456645617</v>
      </c>
      <c r="W217" s="571">
        <f>'Carbon Emissions'!AD33</f>
        <v>46.28734937105898</v>
      </c>
      <c r="X217" s="571">
        <f>'Carbon Emissions'!AE33</f>
        <v>49.299312399470146</v>
      </c>
      <c r="Y217" s="571">
        <f>'Carbon Emissions'!AF33</f>
        <v>42.535923952741264</v>
      </c>
      <c r="Z217" s="571">
        <f>'Carbon Emissions'!AG33</f>
        <v>36.387466217231996</v>
      </c>
      <c r="AA217" s="571">
        <f>'Carbon Emissions'!AH33</f>
        <v>33.663305888659437</v>
      </c>
      <c r="AB217" s="571">
        <f>'Carbon Emissions'!AI33</f>
        <v>31.162064451210384</v>
      </c>
      <c r="AC217" s="571">
        <f>'Carbon Emissions'!AJ33</f>
        <v>30.146697710415769</v>
      </c>
      <c r="AD217" s="571">
        <f>'Carbon Emissions'!AK33</f>
        <v>29.382457910165925</v>
      </c>
      <c r="AE217" s="571">
        <f>'Carbon Emissions'!AL33</f>
        <v>26.366044677388597</v>
      </c>
      <c r="AF217" s="571">
        <f>'Carbon Emissions'!AM33</f>
        <v>24.850129648232187</v>
      </c>
      <c r="AG217" s="571">
        <f>'Carbon Emissions'!AN33</f>
        <v>25.217395838207228</v>
      </c>
      <c r="AH217" s="571">
        <f>'Carbon Emissions'!AO33</f>
        <v>23.968937785358392</v>
      </c>
      <c r="AI217" s="571">
        <f>'Carbon Emissions'!AP33</f>
        <v>21.803955624803269</v>
      </c>
      <c r="AJ217" s="571">
        <f>'Carbon Emissions'!AQ33</f>
        <v>18.170728040224017</v>
      </c>
      <c r="AK217" s="571">
        <f>'Carbon Emissions'!AR33</f>
        <v>17.3115531106173</v>
      </c>
      <c r="AL217" s="571">
        <f>'Carbon Emissions'!AS33</f>
        <v>17.024378327077265</v>
      </c>
      <c r="AM217" s="571">
        <f>'Carbon Emissions'!AT33</f>
        <v>16.063819140504091</v>
      </c>
      <c r="AN217" s="571">
        <f>'Carbon Emissions'!AU33</f>
        <v>13.695361798453842</v>
      </c>
      <c r="AO217" s="571">
        <f>'Carbon Emissions'!AV33</f>
        <v>12.483000355076447</v>
      </c>
      <c r="AP217" s="571">
        <f>'Carbon Emissions'!AW33</f>
        <v>11.555011047717771</v>
      </c>
      <c r="AQ217" s="571">
        <f>'Carbon Emissions'!AX33</f>
        <v>11.009946130118868</v>
      </c>
      <c r="AR217" s="571">
        <f>'Carbon Emissions'!AY33</f>
        <v>10.285412244834518</v>
      </c>
      <c r="AS217" s="571">
        <f>'Carbon Emissions'!AZ33</f>
        <v>10.148490508085898</v>
      </c>
    </row>
    <row r="218" spans="1:45" s="229" customFormat="1" ht="18" outlineLevel="1">
      <c r="A218" s="229">
        <v>4</v>
      </c>
      <c r="B218" s="229" t="str">
        <f t="shared" si="48"/>
        <v>4Non-DomesticCarbon Emissions</v>
      </c>
      <c r="C218" s="234" t="str">
        <f t="shared" si="49"/>
        <v>Non-DomesticCarbon Emissions</v>
      </c>
      <c r="D218" s="55"/>
      <c r="E218" s="313" t="s">
        <v>220</v>
      </c>
      <c r="G218" s="234" t="s">
        <v>184</v>
      </c>
      <c r="J218" s="571">
        <f>'Carbon Emissions'!Q36+'Carbon Emissions'!Q35</f>
        <v>0</v>
      </c>
      <c r="K218" s="571">
        <f>'Carbon Emissions'!R36+'Carbon Emissions'!R35</f>
        <v>0</v>
      </c>
      <c r="L218" s="571">
        <f>'Carbon Emissions'!S36+'Carbon Emissions'!S35</f>
        <v>0</v>
      </c>
      <c r="M218" s="571">
        <f>'Carbon Emissions'!T36+'Carbon Emissions'!T35</f>
        <v>0</v>
      </c>
      <c r="N218" s="571">
        <f>'Carbon Emissions'!U36+'Carbon Emissions'!U35</f>
        <v>0</v>
      </c>
      <c r="O218" s="571">
        <f>'Carbon Emissions'!V36+'Carbon Emissions'!V35</f>
        <v>0</v>
      </c>
      <c r="P218" s="571">
        <f>'Carbon Emissions'!W36+'Carbon Emissions'!W35</f>
        <v>0</v>
      </c>
      <c r="Q218" s="571">
        <f>'Carbon Emissions'!X36+'Carbon Emissions'!X35</f>
        <v>0</v>
      </c>
      <c r="R218" s="571">
        <f>'Carbon Emissions'!Y36+'Carbon Emissions'!Y35</f>
        <v>0</v>
      </c>
      <c r="S218" s="571">
        <f>'Carbon Emissions'!Z36+'Carbon Emissions'!Z35</f>
        <v>0</v>
      </c>
      <c r="T218" s="571">
        <f>'Carbon Emissions'!AA36+'Carbon Emissions'!AA35</f>
        <v>0</v>
      </c>
      <c r="U218" s="571">
        <f>'Carbon Emissions'!AB36+'Carbon Emissions'!AB35</f>
        <v>0</v>
      </c>
      <c r="V218" s="571">
        <f>'Carbon Emissions'!AC36+'Carbon Emissions'!AC35</f>
        <v>0</v>
      </c>
      <c r="W218" s="571">
        <f>'Carbon Emissions'!AD36+'Carbon Emissions'!AD35</f>
        <v>0</v>
      </c>
      <c r="X218" s="571">
        <f>'Carbon Emissions'!AE36+'Carbon Emissions'!AE35</f>
        <v>0</v>
      </c>
      <c r="Y218" s="571">
        <f>'Carbon Emissions'!AF36+'Carbon Emissions'!AF35</f>
        <v>0</v>
      </c>
      <c r="Z218" s="571">
        <f>'Carbon Emissions'!AG36+'Carbon Emissions'!AG35</f>
        <v>0</v>
      </c>
      <c r="AA218" s="571">
        <f>'Carbon Emissions'!AH36+'Carbon Emissions'!AH35</f>
        <v>0</v>
      </c>
      <c r="AB218" s="571">
        <f>'Carbon Emissions'!AI36+'Carbon Emissions'!AI35</f>
        <v>0</v>
      </c>
      <c r="AC218" s="571">
        <f>'Carbon Emissions'!AJ36+'Carbon Emissions'!AJ35</f>
        <v>0</v>
      </c>
      <c r="AD218" s="571">
        <f>'Carbon Emissions'!AK36+'Carbon Emissions'!AK35</f>
        <v>0</v>
      </c>
      <c r="AE218" s="571">
        <f>'Carbon Emissions'!AL36+'Carbon Emissions'!AL35</f>
        <v>0</v>
      </c>
      <c r="AF218" s="571">
        <f>'Carbon Emissions'!AM36+'Carbon Emissions'!AM35</f>
        <v>0</v>
      </c>
      <c r="AG218" s="571">
        <f>'Carbon Emissions'!AN36+'Carbon Emissions'!AN35</f>
        <v>0</v>
      </c>
      <c r="AH218" s="571">
        <f>'Carbon Emissions'!AO36+'Carbon Emissions'!AO35</f>
        <v>0</v>
      </c>
      <c r="AI218" s="571">
        <f>'Carbon Emissions'!AP36+'Carbon Emissions'!AP35</f>
        <v>0</v>
      </c>
      <c r="AJ218" s="571">
        <f>'Carbon Emissions'!AQ36+'Carbon Emissions'!AQ35</f>
        <v>0</v>
      </c>
      <c r="AK218" s="571">
        <f>'Carbon Emissions'!AR36+'Carbon Emissions'!AR35</f>
        <v>0</v>
      </c>
      <c r="AL218" s="571">
        <f>'Carbon Emissions'!AS36+'Carbon Emissions'!AS35</f>
        <v>0</v>
      </c>
      <c r="AM218" s="571">
        <f>'Carbon Emissions'!AT36+'Carbon Emissions'!AT35</f>
        <v>0</v>
      </c>
      <c r="AN218" s="571">
        <f>'Carbon Emissions'!AU36+'Carbon Emissions'!AU35</f>
        <v>0</v>
      </c>
      <c r="AO218" s="571">
        <f>'Carbon Emissions'!AV36+'Carbon Emissions'!AV35</f>
        <v>0</v>
      </c>
      <c r="AP218" s="571">
        <f>'Carbon Emissions'!AW36+'Carbon Emissions'!AW35</f>
        <v>0</v>
      </c>
      <c r="AQ218" s="571">
        <f>'Carbon Emissions'!AX36+'Carbon Emissions'!AX35</f>
        <v>0</v>
      </c>
      <c r="AR218" s="571">
        <f>'Carbon Emissions'!AY36+'Carbon Emissions'!AY35</f>
        <v>0</v>
      </c>
      <c r="AS218" s="571">
        <f>'Carbon Emissions'!AZ36+'Carbon Emissions'!AZ35</f>
        <v>0</v>
      </c>
    </row>
    <row r="219" spans="1:45" s="229" customFormat="1" ht="18" outlineLevel="1">
      <c r="A219" s="229">
        <v>5</v>
      </c>
      <c r="B219" s="229" t="str">
        <f t="shared" si="48"/>
        <v>5Non-DomesticCarbon Emissions</v>
      </c>
      <c r="C219" s="234" t="str">
        <f t="shared" si="49"/>
        <v>Non-DomesticCarbon Emissions</v>
      </c>
      <c r="D219" s="55"/>
      <c r="E219" s="313" t="s">
        <v>188</v>
      </c>
      <c r="G219" s="234" t="s">
        <v>184</v>
      </c>
      <c r="J219" s="571">
        <f>'Carbon Emissions'!Q38</f>
        <v>34.747624395276738</v>
      </c>
      <c r="K219" s="571">
        <f>'Carbon Emissions'!R38</f>
        <v>44.944895973062927</v>
      </c>
      <c r="L219" s="571">
        <f>'Carbon Emissions'!S38</f>
        <v>50.085464939850674</v>
      </c>
      <c r="M219" s="571">
        <f>'Carbon Emissions'!T38</f>
        <v>53.699355924063894</v>
      </c>
      <c r="N219" s="571">
        <f>'Carbon Emissions'!U38</f>
        <v>58.504548173926999</v>
      </c>
      <c r="O219" s="571">
        <f>'Carbon Emissions'!V38</f>
        <v>77.945899843967041</v>
      </c>
      <c r="P219" s="571">
        <f>'Carbon Emissions'!W38</f>
        <v>84.693704335985103</v>
      </c>
      <c r="Q219" s="571">
        <f>'Carbon Emissions'!X38</f>
        <v>91.346101011996055</v>
      </c>
      <c r="R219" s="571">
        <f>'Carbon Emissions'!Y38</f>
        <v>96.58220950628386</v>
      </c>
      <c r="S219" s="571">
        <f>'Carbon Emissions'!Z38</f>
        <v>97.812129402832326</v>
      </c>
      <c r="T219" s="571">
        <f>'Carbon Emissions'!AA38</f>
        <v>104.70106917653322</v>
      </c>
      <c r="U219" s="571">
        <f>'Carbon Emissions'!AB38</f>
        <v>106.67247418487025</v>
      </c>
      <c r="V219" s="571">
        <f>'Carbon Emissions'!AC38</f>
        <v>104.0228838138592</v>
      </c>
      <c r="W219" s="571">
        <f>'Carbon Emissions'!AD38</f>
        <v>99.559287943880662</v>
      </c>
      <c r="X219" s="571">
        <f>'Carbon Emissions'!AE38</f>
        <v>94.782481592870525</v>
      </c>
      <c r="Y219" s="571">
        <f>'Carbon Emissions'!AF38</f>
        <v>90.678202082581933</v>
      </c>
      <c r="Z219" s="571">
        <f>'Carbon Emissions'!AG38</f>
        <v>88.265181809052507</v>
      </c>
      <c r="AA219" s="571">
        <f>'Carbon Emissions'!AH38</f>
        <v>85.078861883169864</v>
      </c>
      <c r="AB219" s="571">
        <f>'Carbon Emissions'!AI38</f>
        <v>78.213485509436268</v>
      </c>
      <c r="AC219" s="571">
        <f>'Carbon Emissions'!AJ38</f>
        <v>71.079249034359478</v>
      </c>
      <c r="AD219" s="571">
        <f>'Carbon Emissions'!AK38</f>
        <v>64.430506261869638</v>
      </c>
      <c r="AE219" s="571">
        <f>'Carbon Emissions'!AL38</f>
        <v>57.259392226544598</v>
      </c>
      <c r="AF219" s="571">
        <f>'Carbon Emissions'!AM38</f>
        <v>50.244038516184247</v>
      </c>
      <c r="AG219" s="571">
        <f>'Carbon Emissions'!AN38</f>
        <v>43.65143590317205</v>
      </c>
      <c r="AH219" s="571">
        <f>'Carbon Emissions'!AO38</f>
        <v>37.194797471557223</v>
      </c>
      <c r="AI219" s="571">
        <f>'Carbon Emissions'!AP38</f>
        <v>30.921406573281871</v>
      </c>
      <c r="AJ219" s="571">
        <f>'Carbon Emissions'!AQ38</f>
        <v>25.987308916331934</v>
      </c>
      <c r="AK219" s="571">
        <f>'Carbon Emissions'!AR38</f>
        <v>21.258144463552899</v>
      </c>
      <c r="AL219" s="571">
        <f>'Carbon Emissions'!AS38</f>
        <v>16.644525797432919</v>
      </c>
      <c r="AM219" s="571">
        <f>'Carbon Emissions'!AT38</f>
        <v>12.102410894635115</v>
      </c>
      <c r="AN219" s="571">
        <f>'Carbon Emissions'!AU38</f>
        <v>7.6529832462957037</v>
      </c>
      <c r="AO219" s="571">
        <f>'Carbon Emissions'!AV38</f>
        <v>3.8225439350373329</v>
      </c>
      <c r="AP219" s="571">
        <f>'Carbon Emissions'!AW38</f>
        <v>2.7451032973986691</v>
      </c>
      <c r="AQ219" s="571">
        <f>'Carbon Emissions'!AX38</f>
        <v>2.144053325596023</v>
      </c>
      <c r="AR219" s="571">
        <f>'Carbon Emissions'!AY38</f>
        <v>1.5557563898310316</v>
      </c>
      <c r="AS219" s="571">
        <f>'Carbon Emissions'!AZ38</f>
        <v>1.0646400402040139</v>
      </c>
    </row>
    <row r="220" spans="1:45" s="229" customFormat="1" ht="18" outlineLevel="1">
      <c r="A220" s="229">
        <v>6</v>
      </c>
      <c r="B220" s="229" t="str">
        <f t="shared" si="48"/>
        <v>6Non-DomesticCarbon Emissions</v>
      </c>
      <c r="C220" s="234" t="str">
        <f t="shared" si="49"/>
        <v>Non-DomesticCarbon Emissions</v>
      </c>
      <c r="D220" s="55"/>
      <c r="E220" s="313" t="s">
        <v>211</v>
      </c>
      <c r="G220" s="234" t="s">
        <v>184</v>
      </c>
      <c r="I220" s="313"/>
      <c r="J220" s="571">
        <f>'Carbon Emissions'!Q39</f>
        <v>0</v>
      </c>
      <c r="K220" s="571">
        <f>'Carbon Emissions'!R39</f>
        <v>0</v>
      </c>
      <c r="L220" s="571">
        <f>'Carbon Emissions'!S39</f>
        <v>0</v>
      </c>
      <c r="M220" s="571">
        <f>'Carbon Emissions'!T39</f>
        <v>0</v>
      </c>
      <c r="N220" s="571">
        <f>'Carbon Emissions'!U39</f>
        <v>0</v>
      </c>
      <c r="O220" s="571">
        <f>'Carbon Emissions'!V39</f>
        <v>0</v>
      </c>
      <c r="P220" s="571">
        <f>'Carbon Emissions'!W39</f>
        <v>0</v>
      </c>
      <c r="Q220" s="571">
        <f>'Carbon Emissions'!X39</f>
        <v>0</v>
      </c>
      <c r="R220" s="571">
        <f>'Carbon Emissions'!Y39</f>
        <v>0</v>
      </c>
      <c r="S220" s="571">
        <f>'Carbon Emissions'!Z39</f>
        <v>0</v>
      </c>
      <c r="T220" s="571">
        <f>'Carbon Emissions'!AA39</f>
        <v>0</v>
      </c>
      <c r="U220" s="571">
        <f>'Carbon Emissions'!AB39</f>
        <v>0</v>
      </c>
      <c r="V220" s="571">
        <f>'Carbon Emissions'!AC39</f>
        <v>0.47912463551411039</v>
      </c>
      <c r="W220" s="571">
        <f>'Carbon Emissions'!AD39</f>
        <v>0.82195500965824175</v>
      </c>
      <c r="X220" s="571">
        <f>'Carbon Emissions'!AE39</f>
        <v>1.0393371648576988</v>
      </c>
      <c r="Y220" s="571">
        <f>'Carbon Emissions'!AF39</f>
        <v>1.1572908927541388</v>
      </c>
      <c r="Z220" s="571">
        <f>'Carbon Emissions'!AG39</f>
        <v>1.7711616231396294</v>
      </c>
      <c r="AA220" s="571">
        <f>'Carbon Emissions'!AH39</f>
        <v>2.2391974789206066</v>
      </c>
      <c r="AB220" s="571">
        <f>'Carbon Emissions'!AI39</f>
        <v>2.5346139439427571</v>
      </c>
      <c r="AC220" s="571">
        <f>'Carbon Emissions'!AJ39</f>
        <v>2.6773887982020095</v>
      </c>
      <c r="AD220" s="571">
        <f>'Carbon Emissions'!AK39</f>
        <v>2.3368627283683234</v>
      </c>
      <c r="AE220" s="571">
        <f>'Carbon Emissions'!AL39</f>
        <v>1.6788367549729599</v>
      </c>
      <c r="AF220" s="571">
        <f>'Carbon Emissions'!AM39</f>
        <v>1.2731334076580476</v>
      </c>
      <c r="AG220" s="571">
        <f>'Carbon Emissions'!AN39</f>
        <v>1.0439659536740382</v>
      </c>
      <c r="AH220" s="571">
        <f>'Carbon Emissions'!AO39</f>
        <v>0.94543450381970107</v>
      </c>
      <c r="AI220" s="571">
        <f>'Carbon Emissions'!AP39</f>
        <v>0.828733809337869</v>
      </c>
      <c r="AJ220" s="571">
        <f>'Carbon Emissions'!AQ39</f>
        <v>0.68285919788499005</v>
      </c>
      <c r="AK220" s="571">
        <f>'Carbon Emissions'!AR39</f>
        <v>0.59455214985985505</v>
      </c>
      <c r="AL220" s="571">
        <f>'Carbon Emissions'!AS39</f>
        <v>0.51795415712819337</v>
      </c>
      <c r="AM220" s="571">
        <f>'Carbon Emissions'!AT39</f>
        <v>0.43256044732510757</v>
      </c>
      <c r="AN220" s="571">
        <f>'Carbon Emissions'!AU39</f>
        <v>0.33287453383025201</v>
      </c>
      <c r="AO220" s="571">
        <f>'Carbon Emissions'!AV39</f>
        <v>0.25787979032875791</v>
      </c>
      <c r="AP220" s="571">
        <f>'Carbon Emissions'!AW39</f>
        <v>0.18848325930185744</v>
      </c>
      <c r="AQ220" s="571">
        <f>'Carbon Emissions'!AX39</f>
        <v>0.12410163393790474</v>
      </c>
      <c r="AR220" s="571">
        <f>'Carbon Emissions'!AY39</f>
        <v>6.0569756954890031E-2</v>
      </c>
      <c r="AS220" s="571">
        <f>'Carbon Emissions'!AZ39</f>
        <v>0</v>
      </c>
    </row>
    <row r="221" spans="1:45" s="229" customFormat="1" ht="18" outlineLevel="1">
      <c r="A221" s="229">
        <v>7</v>
      </c>
      <c r="B221" s="229" t="str">
        <f t="shared" si="48"/>
        <v>7Non-DomesticCarbon Emissions</v>
      </c>
      <c r="C221" s="234" t="str">
        <f t="shared" si="49"/>
        <v>Non-DomesticCarbon Emissions</v>
      </c>
      <c r="D221" s="55"/>
      <c r="E221" s="313" t="s">
        <v>221</v>
      </c>
      <c r="F221" s="313"/>
      <c r="G221" s="234" t="s">
        <v>184</v>
      </c>
      <c r="I221" s="313"/>
      <c r="J221" s="571">
        <f>'Carbon Emissions'!Q74</f>
        <v>4195.3931344826906</v>
      </c>
      <c r="K221" s="571">
        <f>'Carbon Emissions'!R74</f>
        <v>3363.9759741643065</v>
      </c>
      <c r="L221" s="571">
        <f>'Carbon Emissions'!S74</f>
        <v>3018.949426117505</v>
      </c>
      <c r="M221" s="571">
        <f>'Carbon Emissions'!T74</f>
        <v>2817.4575505423209</v>
      </c>
      <c r="N221" s="571">
        <f>'Carbon Emissions'!U74</f>
        <v>2516.638032410965</v>
      </c>
      <c r="O221" s="571">
        <f>'Carbon Emissions'!V74</f>
        <v>1897.000611293819</v>
      </c>
      <c r="P221" s="571">
        <f>'Carbon Emissions'!W74</f>
        <v>1773.1706536569584</v>
      </c>
      <c r="Q221" s="571">
        <f>'Carbon Emissions'!X74</f>
        <v>1659.965654784781</v>
      </c>
      <c r="R221" s="571">
        <f>'Carbon Emissions'!Y74</f>
        <v>1588.41330708078</v>
      </c>
      <c r="S221" s="571">
        <f>'Carbon Emissions'!Z74</f>
        <v>1721.9996374352588</v>
      </c>
      <c r="T221" s="571">
        <f>'Carbon Emissions'!AA74</f>
        <v>1442.0786232282348</v>
      </c>
      <c r="U221" s="571">
        <f>'Carbon Emissions'!AB74</f>
        <v>1048.5500954384759</v>
      </c>
      <c r="V221" s="571">
        <f>'Carbon Emissions'!AC74</f>
        <v>853.30867059938885</v>
      </c>
      <c r="W221" s="571">
        <f>'Carbon Emissions'!AD74</f>
        <v>773.62965977524277</v>
      </c>
      <c r="X221" s="571">
        <f>'Carbon Emissions'!AE74</f>
        <v>707.74460036280459</v>
      </c>
      <c r="Y221" s="571">
        <f>'Carbon Emissions'!AF74</f>
        <v>546.88269106870428</v>
      </c>
      <c r="Z221" s="571">
        <f>'Carbon Emissions'!AG74</f>
        <v>435.13184320828987</v>
      </c>
      <c r="AA221" s="571">
        <f>'Carbon Emissions'!AH74</f>
        <v>377.81666441546741</v>
      </c>
      <c r="AB221" s="571">
        <f>'Carbon Emissions'!AI74</f>
        <v>329.57861039592649</v>
      </c>
      <c r="AC221" s="571">
        <f>'Carbon Emissions'!AJ74</f>
        <v>300.5152030411225</v>
      </c>
      <c r="AD221" s="571">
        <f>'Carbon Emissions'!AK74</f>
        <v>269.26500118654138</v>
      </c>
      <c r="AE221" s="571">
        <f>'Carbon Emissions'!AL74</f>
        <v>223.86579546483955</v>
      </c>
      <c r="AF221" s="571">
        <f>'Carbon Emissions'!AM74</f>
        <v>200.08646246561068</v>
      </c>
      <c r="AG221" s="571">
        <f>'Carbon Emissions'!AN74</f>
        <v>196.3632364447009</v>
      </c>
      <c r="AH221" s="571">
        <f>'Carbon Emissions'!AO74</f>
        <v>186.7695901188759</v>
      </c>
      <c r="AI221" s="571">
        <f>'Carbon Emissions'!AP74</f>
        <v>169.99272157278588</v>
      </c>
      <c r="AJ221" s="571">
        <f>'Carbon Emissions'!AQ74</f>
        <v>141.72819443713425</v>
      </c>
      <c r="AK221" s="571">
        <f>'Carbon Emissions'!AR74</f>
        <v>135.07276120298872</v>
      </c>
      <c r="AL221" s="571">
        <f>'Carbon Emissions'!AS74</f>
        <v>132.86685210160678</v>
      </c>
      <c r="AM221" s="571">
        <f>'Carbon Emissions'!AT74</f>
        <v>125.39488882318793</v>
      </c>
      <c r="AN221" s="571">
        <f>'Carbon Emissions'!AU74</f>
        <v>106.92217191210797</v>
      </c>
      <c r="AO221" s="571">
        <f>'Carbon Emissions'!AV74</f>
        <v>97.467341669792418</v>
      </c>
      <c r="AP221" s="571">
        <f>'Carbon Emissions'!AW74</f>
        <v>90.228474628110007</v>
      </c>
      <c r="AQ221" s="571">
        <f>'Carbon Emissions'!AX74</f>
        <v>85.977137077270143</v>
      </c>
      <c r="AR221" s="571">
        <f>'Carbon Emissions'!AY74</f>
        <v>80.322880792717896</v>
      </c>
      <c r="AS221" s="571">
        <f>'Carbon Emissions'!AZ74</f>
        <v>79.256989733596157</v>
      </c>
    </row>
    <row r="222" spans="1:45" s="229" customFormat="1" outlineLevel="1">
      <c r="A222" s="229">
        <v>8</v>
      </c>
      <c r="B222" s="229" t="str">
        <f t="shared" si="48"/>
        <v>8</v>
      </c>
      <c r="C222" s="234"/>
      <c r="D222" s="55"/>
      <c r="E222" s="313"/>
      <c r="F222" s="313"/>
      <c r="G222" s="234"/>
      <c r="I222" s="313"/>
      <c r="J222" s="247"/>
      <c r="K222" s="247"/>
      <c r="L222" s="247"/>
      <c r="M222" s="247"/>
      <c r="N222" s="247"/>
      <c r="O222" s="247"/>
      <c r="P222" s="247"/>
      <c r="Q222" s="247"/>
      <c r="R222" s="247"/>
      <c r="S222" s="247"/>
      <c r="T222" s="247"/>
      <c r="U222" s="247"/>
      <c r="V222" s="247"/>
      <c r="W222" s="247"/>
      <c r="X222" s="247"/>
      <c r="Y222" s="247"/>
      <c r="Z222" s="247"/>
      <c r="AA222" s="247"/>
      <c r="AB222" s="247"/>
      <c r="AC222" s="247"/>
      <c r="AD222" s="247"/>
      <c r="AE222" s="247"/>
      <c r="AF222" s="247"/>
      <c r="AG222" s="247"/>
      <c r="AH222" s="247"/>
      <c r="AI222" s="247"/>
      <c r="AJ222" s="247"/>
      <c r="AK222" s="247"/>
      <c r="AL222" s="247"/>
      <c r="AM222" s="247"/>
      <c r="AN222" s="247"/>
      <c r="AO222" s="247"/>
      <c r="AP222" s="247"/>
      <c r="AQ222" s="247"/>
      <c r="AR222" s="247"/>
      <c r="AS222" s="247"/>
    </row>
    <row r="223" spans="1:45" s="229" customFormat="1" outlineLevel="1">
      <c r="A223" s="229">
        <v>9</v>
      </c>
      <c r="B223" s="229" t="str">
        <f t="shared" si="48"/>
        <v>9</v>
      </c>
      <c r="C223" s="234"/>
      <c r="E223" s="313"/>
      <c r="F223" s="313"/>
      <c r="G223" s="234"/>
      <c r="I223" s="313"/>
      <c r="J223" s="247"/>
      <c r="K223" s="247"/>
      <c r="L223" s="247"/>
      <c r="M223" s="247"/>
      <c r="N223" s="247"/>
      <c r="O223" s="247"/>
      <c r="P223" s="247"/>
      <c r="Q223" s="247"/>
      <c r="R223" s="247"/>
      <c r="S223" s="247"/>
      <c r="T223" s="247"/>
      <c r="U223" s="247"/>
      <c r="V223" s="247"/>
      <c r="W223" s="247"/>
      <c r="X223" s="247"/>
      <c r="Y223" s="247"/>
      <c r="Z223" s="247"/>
      <c r="AA223" s="247"/>
      <c r="AB223" s="247"/>
      <c r="AC223" s="247"/>
      <c r="AD223" s="247"/>
      <c r="AE223" s="247"/>
      <c r="AF223" s="247"/>
      <c r="AG223" s="247"/>
      <c r="AH223" s="247"/>
      <c r="AI223" s="247"/>
      <c r="AJ223" s="247"/>
      <c r="AK223" s="247"/>
      <c r="AL223" s="247"/>
      <c r="AM223" s="247"/>
      <c r="AN223" s="247"/>
      <c r="AO223" s="247"/>
      <c r="AP223" s="247"/>
      <c r="AQ223" s="247"/>
      <c r="AR223" s="247"/>
      <c r="AS223" s="247"/>
    </row>
    <row r="224" spans="1:45" s="229" customFormat="1" ht="18" outlineLevel="1">
      <c r="A224" s="229">
        <v>10</v>
      </c>
      <c r="B224" s="229" t="str">
        <f t="shared" si="48"/>
        <v>10</v>
      </c>
      <c r="C224" s="234"/>
      <c r="E224" s="313"/>
      <c r="F224" s="313"/>
      <c r="G224" s="234" t="s">
        <v>184</v>
      </c>
      <c r="I224" s="313"/>
      <c r="J224" s="247"/>
      <c r="K224" s="247"/>
      <c r="L224" s="247"/>
      <c r="M224" s="247"/>
      <c r="N224" s="247"/>
      <c r="O224" s="247"/>
      <c r="P224" s="247"/>
      <c r="Q224" s="247"/>
      <c r="R224" s="247"/>
      <c r="S224" s="247"/>
      <c r="T224" s="247"/>
      <c r="U224" s="247"/>
      <c r="V224" s="247"/>
      <c r="W224" s="247"/>
      <c r="X224" s="247"/>
      <c r="Y224" s="247"/>
      <c r="Z224" s="247"/>
      <c r="AA224" s="247"/>
      <c r="AB224" s="247"/>
      <c r="AC224" s="247"/>
      <c r="AD224" s="247"/>
      <c r="AE224" s="247"/>
      <c r="AF224" s="247"/>
      <c r="AG224" s="247"/>
      <c r="AH224" s="247"/>
      <c r="AI224" s="247"/>
      <c r="AJ224" s="247"/>
      <c r="AK224" s="247"/>
      <c r="AL224" s="247"/>
      <c r="AM224" s="247"/>
      <c r="AN224" s="247"/>
      <c r="AO224" s="247"/>
      <c r="AP224" s="247"/>
      <c r="AQ224" s="247"/>
      <c r="AR224" s="247"/>
      <c r="AS224" s="247"/>
    </row>
    <row r="225" spans="1:45" s="229" customFormat="1" ht="18" outlineLevel="1">
      <c r="A225" s="229">
        <v>11</v>
      </c>
      <c r="B225" s="229" t="str">
        <f t="shared" si="48"/>
        <v>11</v>
      </c>
      <c r="C225" s="234"/>
      <c r="E225" s="313"/>
      <c r="F225" s="313"/>
      <c r="G225" s="234" t="s">
        <v>184</v>
      </c>
      <c r="I225" s="313"/>
      <c r="J225" s="247"/>
      <c r="K225" s="247"/>
      <c r="L225" s="247"/>
      <c r="M225" s="247"/>
      <c r="N225" s="247"/>
      <c r="O225" s="247"/>
      <c r="P225" s="247"/>
      <c r="Q225" s="247"/>
      <c r="R225" s="247"/>
      <c r="S225" s="247"/>
      <c r="T225" s="247"/>
      <c r="U225" s="247"/>
      <c r="V225" s="247"/>
      <c r="W225" s="247"/>
      <c r="X225" s="247"/>
      <c r="Y225" s="247"/>
      <c r="Z225" s="247"/>
      <c r="AA225" s="247"/>
      <c r="AB225" s="247"/>
      <c r="AC225" s="247"/>
      <c r="AD225" s="247"/>
      <c r="AE225" s="247"/>
      <c r="AF225" s="247"/>
      <c r="AG225" s="247"/>
      <c r="AH225" s="247"/>
      <c r="AI225" s="247"/>
      <c r="AJ225" s="247"/>
      <c r="AK225" s="247"/>
      <c r="AL225" s="247"/>
      <c r="AM225" s="247"/>
      <c r="AN225" s="247"/>
      <c r="AO225" s="247"/>
      <c r="AP225" s="247"/>
      <c r="AQ225" s="247"/>
      <c r="AR225" s="247"/>
      <c r="AS225" s="247"/>
    </row>
    <row r="226" spans="1:45" s="238" customFormat="1" outlineLevel="1">
      <c r="A226" s="229" t="s">
        <v>208</v>
      </c>
      <c r="B226" s="229" t="str">
        <f>A226&amp;C226</f>
        <v>N</v>
      </c>
      <c r="C226" s="234"/>
      <c r="E226" s="239"/>
    </row>
    <row r="227" spans="1:45" outlineLevel="1"/>
    <row r="228" spans="1:45" outlineLevel="1">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159"/>
      <c r="AK228" s="159"/>
      <c r="AL228" s="159"/>
      <c r="AM228" s="159"/>
      <c r="AN228" s="159"/>
      <c r="AO228" s="159"/>
      <c r="AP228" s="159"/>
      <c r="AQ228" s="159"/>
      <c r="AR228" s="159"/>
      <c r="AS228" s="159"/>
    </row>
    <row r="229" spans="1:45" s="298" customFormat="1" outlineLevel="1">
      <c r="A229" s="298" t="s">
        <v>164</v>
      </c>
    </row>
    <row r="230" spans="1:45" outlineLevel="1">
      <c r="A230" s="229" t="s">
        <v>175</v>
      </c>
      <c r="B230" s="229" t="s">
        <v>176</v>
      </c>
      <c r="C230" s="229" t="s">
        <v>177</v>
      </c>
      <c r="D230" s="230"/>
      <c r="E230" s="230" t="s">
        <v>178</v>
      </c>
      <c r="F230" s="230"/>
      <c r="G230" s="230" t="s">
        <v>179</v>
      </c>
      <c r="H230" s="230" t="s">
        <v>180</v>
      </c>
      <c r="I230" s="230"/>
      <c r="J230" s="230">
        <v>2015</v>
      </c>
      <c r="K230" s="230">
        <v>2016</v>
      </c>
      <c r="L230" s="230">
        <v>2017</v>
      </c>
      <c r="M230" s="230">
        <v>2018</v>
      </c>
      <c r="N230" s="230">
        <v>2019</v>
      </c>
      <c r="O230" s="230">
        <v>2020</v>
      </c>
      <c r="P230" s="230">
        <v>2021</v>
      </c>
      <c r="Q230" s="230">
        <v>2022</v>
      </c>
      <c r="R230" s="230">
        <v>2023</v>
      </c>
      <c r="S230" s="230">
        <v>2024</v>
      </c>
      <c r="T230" s="230">
        <v>2025</v>
      </c>
      <c r="U230" s="230">
        <v>2026</v>
      </c>
      <c r="V230" s="230">
        <v>2027</v>
      </c>
      <c r="W230" s="230">
        <v>2028</v>
      </c>
      <c r="X230" s="230">
        <v>2029</v>
      </c>
      <c r="Y230" s="230">
        <v>2030</v>
      </c>
      <c r="Z230" s="230">
        <v>2031</v>
      </c>
      <c r="AA230" s="230">
        <v>2032</v>
      </c>
      <c r="AB230" s="230">
        <v>2033</v>
      </c>
      <c r="AC230" s="230">
        <v>2034</v>
      </c>
      <c r="AD230" s="230">
        <v>2035</v>
      </c>
      <c r="AE230" s="230">
        <v>2036</v>
      </c>
      <c r="AF230" s="230">
        <v>2037</v>
      </c>
      <c r="AG230" s="230">
        <v>2038</v>
      </c>
      <c r="AH230" s="230">
        <v>2039</v>
      </c>
      <c r="AI230" s="230">
        <v>2040</v>
      </c>
      <c r="AJ230" s="230">
        <v>2041</v>
      </c>
      <c r="AK230" s="230">
        <v>2042</v>
      </c>
      <c r="AL230" s="230">
        <v>2043</v>
      </c>
      <c r="AM230" s="230">
        <v>2044</v>
      </c>
      <c r="AN230" s="230">
        <v>2045</v>
      </c>
      <c r="AO230" s="230">
        <v>2046</v>
      </c>
      <c r="AP230" s="230">
        <v>2047</v>
      </c>
      <c r="AQ230" s="230">
        <v>2048</v>
      </c>
      <c r="AR230" s="230">
        <v>2049</v>
      </c>
      <c r="AS230" s="230">
        <v>2050</v>
      </c>
    </row>
    <row r="231" spans="1:45" outlineLevel="1"/>
    <row r="232" spans="1:45" s="229" customFormat="1" outlineLevel="1">
      <c r="A232" s="229">
        <v>0</v>
      </c>
      <c r="B232" s="229" t="str">
        <f t="shared" ref="B232:B243" si="50">A232&amp;C232</f>
        <v>0Non-DomesticEnergy Demand</v>
      </c>
      <c r="C232" s="234" t="str">
        <f>$A$210&amp;$A$229</f>
        <v>Non-DomesticEnergy Demand</v>
      </c>
      <c r="E232" s="248" t="s">
        <v>196</v>
      </c>
      <c r="G232" s="234"/>
      <c r="J232" s="237"/>
      <c r="K232" s="237"/>
      <c r="L232" s="237"/>
      <c r="M232" s="237"/>
      <c r="N232" s="237"/>
      <c r="O232" s="237"/>
      <c r="P232" s="237"/>
      <c r="Q232" s="237"/>
      <c r="R232" s="237"/>
      <c r="S232" s="237"/>
      <c r="T232" s="237"/>
      <c r="U232" s="237"/>
      <c r="V232" s="237"/>
      <c r="W232" s="237"/>
      <c r="X232" s="237"/>
      <c r="Y232" s="237"/>
      <c r="Z232" s="237"/>
      <c r="AA232" s="237"/>
      <c r="AB232" s="237"/>
      <c r="AC232" s="237"/>
      <c r="AD232" s="237"/>
      <c r="AE232" s="237"/>
      <c r="AF232" s="237"/>
      <c r="AG232" s="237"/>
      <c r="AH232" s="237"/>
      <c r="AI232" s="237"/>
      <c r="AJ232" s="237"/>
      <c r="AK232" s="237"/>
      <c r="AL232" s="237"/>
      <c r="AM232" s="237"/>
      <c r="AN232" s="237"/>
      <c r="AO232" s="237"/>
      <c r="AP232" s="237"/>
      <c r="AQ232" s="237"/>
      <c r="AR232" s="237"/>
      <c r="AS232" s="237"/>
    </row>
    <row r="233" spans="1:45" s="229" customFormat="1" outlineLevel="1">
      <c r="A233" s="229">
        <v>1</v>
      </c>
      <c r="B233" s="229" t="str">
        <f t="shared" si="50"/>
        <v>1Non-DomesticEnergy Demand</v>
      </c>
      <c r="C233" s="234" t="str">
        <f t="shared" ref="C233:C240" si="51">$A$210&amp;$A$229</f>
        <v>Non-DomesticEnergy Demand</v>
      </c>
      <c r="E233" s="313" t="s">
        <v>209</v>
      </c>
      <c r="F233" s="313"/>
      <c r="G233" s="234" t="s">
        <v>198</v>
      </c>
      <c r="I233" s="313"/>
      <c r="J233" s="571">
        <f>'Energy supply'!O21</f>
        <v>8834.0201119967496</v>
      </c>
      <c r="K233" s="571">
        <f>'Energy supply'!P21</f>
        <v>8851.4748698794174</v>
      </c>
      <c r="L233" s="571">
        <f>'Energy supply'!Q21</f>
        <v>8868.8288592087993</v>
      </c>
      <c r="M233" s="571">
        <f>'Energy supply'!R21</f>
        <v>8886.0939461869511</v>
      </c>
      <c r="N233" s="571">
        <f>'Energy supply'!S21</f>
        <v>8883.8647029945041</v>
      </c>
      <c r="O233" s="571">
        <f>'Energy supply'!T21</f>
        <v>8819.3741725002492</v>
      </c>
      <c r="P233" s="571">
        <f>'Energy supply'!U21</f>
        <v>8704.6775870979163</v>
      </c>
      <c r="Q233" s="571">
        <f>'Energy supply'!V21</f>
        <v>8503.0321490754613</v>
      </c>
      <c r="R233" s="571">
        <f>'Energy supply'!W21</f>
        <v>8134.3128661100573</v>
      </c>
      <c r="S233" s="571">
        <f>'Energy supply'!X21</f>
        <v>7557.3974512939458</v>
      </c>
      <c r="T233" s="571">
        <f>'Energy supply'!Y21</f>
        <v>6902.4034966103336</v>
      </c>
      <c r="U233" s="571">
        <f>'Energy supply'!Z21</f>
        <v>6141.9115422014474</v>
      </c>
      <c r="V233" s="571">
        <f>'Energy supply'!AA21</f>
        <v>5277.9222343360043</v>
      </c>
      <c r="W233" s="571">
        <f>'Energy supply'!AB21</f>
        <v>4568.0214273301581</v>
      </c>
      <c r="X233" s="571">
        <f>'Energy supply'!AC21</f>
        <v>3886.1896065247061</v>
      </c>
      <c r="Y233" s="571">
        <f>'Energy supply'!AD21</f>
        <v>3275.9404327139232</v>
      </c>
      <c r="Z233" s="571">
        <f>'Energy supply'!AE21</f>
        <v>2739.7791766986647</v>
      </c>
      <c r="AA233" s="571">
        <f>'Energy supply'!AF21</f>
        <v>2285.1231942816453</v>
      </c>
      <c r="AB233" s="571">
        <f>'Energy supply'!AG21</f>
        <v>1899.3475973984378</v>
      </c>
      <c r="AC233" s="571">
        <f>'Energy supply'!AH21</f>
        <v>1570.7636932276557</v>
      </c>
      <c r="AD233" s="571">
        <f>'Energy supply'!AI21</f>
        <v>1344.0454943967859</v>
      </c>
      <c r="AE233" s="571">
        <f>'Energy supply'!AJ21</f>
        <v>1044.2891395789416</v>
      </c>
      <c r="AF233" s="571">
        <f>'Energy supply'!AK21</f>
        <v>827.15876994092014</v>
      </c>
      <c r="AG233" s="571">
        <f>'Energy supply'!AL21</f>
        <v>677.36027422341272</v>
      </c>
      <c r="AH233" s="571">
        <f>'Energy supply'!AM21</f>
        <v>624.06532886109687</v>
      </c>
      <c r="AI233" s="571">
        <f>'Energy supply'!AN21</f>
        <v>571.01525018608379</v>
      </c>
      <c r="AJ233" s="571">
        <f>'Energy supply'!AO21</f>
        <v>511.18250171370926</v>
      </c>
      <c r="AK233" s="571">
        <f>'Energy supply'!AP21</f>
        <v>452.61813711236385</v>
      </c>
      <c r="AL233" s="571">
        <f>'Energy supply'!AQ21</f>
        <v>395.07708765553781</v>
      </c>
      <c r="AM233" s="571">
        <f>'Energy supply'!AR21</f>
        <v>338.31245035178614</v>
      </c>
      <c r="AN233" s="571">
        <f>'Energy supply'!AS21</f>
        <v>282.07561160668661</v>
      </c>
      <c r="AO233" s="571">
        <f>'Energy supply'!AT21</f>
        <v>229.03181066140459</v>
      </c>
      <c r="AP233" s="571">
        <f>'Energy supply'!AU21</f>
        <v>174.38539777843016</v>
      </c>
      <c r="AQ233" s="571">
        <f>'Energy supply'!AV21</f>
        <v>118.05388647640081</v>
      </c>
      <c r="AR233" s="571">
        <f>'Energy supply'!AW21</f>
        <v>59.953648663632791</v>
      </c>
      <c r="AS233" s="571">
        <f>'Energy supply'!AX21</f>
        <v>0</v>
      </c>
    </row>
    <row r="234" spans="1:45" s="229" customFormat="1" outlineLevel="1">
      <c r="A234" s="229">
        <v>2</v>
      </c>
      <c r="B234" s="229" t="str">
        <f t="shared" si="50"/>
        <v>2Non-DomesticEnergy Demand</v>
      </c>
      <c r="C234" s="234" t="str">
        <f t="shared" si="51"/>
        <v>Non-DomesticEnergy Demand</v>
      </c>
      <c r="E234" s="313" t="s">
        <v>218</v>
      </c>
      <c r="G234" s="234" t="s">
        <v>198</v>
      </c>
      <c r="J234" s="571">
        <f>'Energy supply'!O23</f>
        <v>1682.6704975231905</v>
      </c>
      <c r="K234" s="571">
        <f>'Energy supply'!P23</f>
        <v>1685.9952133103654</v>
      </c>
      <c r="L234" s="571">
        <f>'Energy supply'!Q23</f>
        <v>1689.3007350873902</v>
      </c>
      <c r="M234" s="571">
        <f>'Energy supply'!R23</f>
        <v>1692.5893230832289</v>
      </c>
      <c r="N234" s="571">
        <f>'Energy supply'!S23</f>
        <v>1692.1647053322863</v>
      </c>
      <c r="O234" s="571">
        <f>'Energy supply'!T23</f>
        <v>1679.8807947619523</v>
      </c>
      <c r="P234" s="571">
        <f>'Energy supply'!U23</f>
        <v>1658.0338261138882</v>
      </c>
      <c r="Q234" s="571">
        <f>'Energy supply'!V23</f>
        <v>1619.6251712524688</v>
      </c>
      <c r="R234" s="571">
        <f>'Energy supply'!W23</f>
        <v>1549.3929268781062</v>
      </c>
      <c r="S234" s="571">
        <f>'Energy supply'!X23</f>
        <v>1439.5042764369421</v>
      </c>
      <c r="T234" s="571">
        <f>'Energy supply'!Y23</f>
        <v>1314.7435231638733</v>
      </c>
      <c r="U234" s="571">
        <f>'Energy supply'!Z23</f>
        <v>1169.8879128002754</v>
      </c>
      <c r="V234" s="571">
        <f>'Energy supply'!AA23</f>
        <v>1011.3359698464923</v>
      </c>
      <c r="W234" s="571">
        <f>'Energy supply'!AB23</f>
        <v>880.57820007231931</v>
      </c>
      <c r="X234" s="571">
        <f>'Energy supply'!AC23</f>
        <v>753.67977571551364</v>
      </c>
      <c r="Y234" s="571">
        <f>'Energy supply'!AD23</f>
        <v>639.20165319634407</v>
      </c>
      <c r="Z234" s="571">
        <f>'Energy supply'!AE23</f>
        <v>540.98657577728216</v>
      </c>
      <c r="AA234" s="571">
        <f>'Energy supply'!AF23</f>
        <v>456.67984557292152</v>
      </c>
      <c r="AB234" s="571">
        <f>'Energy supply'!AG23</f>
        <v>384.23928069944196</v>
      </c>
      <c r="AC234" s="571">
        <f>'Energy supply'!AH23</f>
        <v>321.71299400464022</v>
      </c>
      <c r="AD234" s="571">
        <f>'Energy supply'!AI23</f>
        <v>275.27813505310513</v>
      </c>
      <c r="AE234" s="571">
        <f>'Energy supply'!AJ23</f>
        <v>309.36807953293203</v>
      </c>
      <c r="AF234" s="571">
        <f>'Energy supply'!AK23</f>
        <v>332.31003400675047</v>
      </c>
      <c r="AG234" s="571">
        <f>'Energy supply'!AL23</f>
        <v>355.50142400358322</v>
      </c>
      <c r="AH234" s="571">
        <f>'Energy supply'!AM23</f>
        <v>418.30939513102436</v>
      </c>
      <c r="AI234" s="571">
        <f>'Energy supply'!AN23</f>
        <v>482.42455852894949</v>
      </c>
      <c r="AJ234" s="571">
        <f>'Energy supply'!AO23</f>
        <v>540.93386424731136</v>
      </c>
      <c r="AK234" s="571">
        <f>'Energy supply'!AP23</f>
        <v>599.66688672721034</v>
      </c>
      <c r="AL234" s="571">
        <f>'Energy supply'!AQ23</f>
        <v>658.89529650693169</v>
      </c>
      <c r="AM234" s="571">
        <f>'Energy supply'!AR23</f>
        <v>718.89230361490672</v>
      </c>
      <c r="AN234" s="571">
        <f>'Energy supply'!AS23</f>
        <v>779.93256665443312</v>
      </c>
      <c r="AO234" s="571">
        <f>'Energy supply'!AT23</f>
        <v>853.1522900981663</v>
      </c>
      <c r="AP234" s="571">
        <f>'Energy supply'!AU23</f>
        <v>928.62679820567064</v>
      </c>
      <c r="AQ234" s="571">
        <f>'Energy supply'!AV23</f>
        <v>1006.4501842458136</v>
      </c>
      <c r="AR234" s="571">
        <f>'Energy supply'!AW23</f>
        <v>1086.7174412148509</v>
      </c>
      <c r="AS234" s="571">
        <f>'Energy supply'!AX23</f>
        <v>1169.5243984729907</v>
      </c>
    </row>
    <row r="235" spans="1:45" s="229" customFormat="1" outlineLevel="1">
      <c r="A235" s="229">
        <v>3</v>
      </c>
      <c r="B235" s="229" t="str">
        <f t="shared" si="50"/>
        <v>3Non-DomesticEnergy Demand</v>
      </c>
      <c r="C235" s="234" t="str">
        <f t="shared" si="51"/>
        <v>Non-DomesticEnergy Demand</v>
      </c>
      <c r="E235" s="313" t="s">
        <v>95</v>
      </c>
      <c r="F235" s="313"/>
      <c r="G235" s="234" t="s">
        <v>198</v>
      </c>
      <c r="I235" s="313"/>
      <c r="J235" s="571">
        <f>'Energy supply'!O24</f>
        <v>0</v>
      </c>
      <c r="K235" s="571">
        <f>'Energy supply'!P24</f>
        <v>0</v>
      </c>
      <c r="L235" s="571">
        <f>'Energy supply'!Q24</f>
        <v>0</v>
      </c>
      <c r="M235" s="571">
        <f>'Energy supply'!R24</f>
        <v>0</v>
      </c>
      <c r="N235" s="571">
        <f>'Energy supply'!S24</f>
        <v>0</v>
      </c>
      <c r="O235" s="571">
        <f>'Energy supply'!T24</f>
        <v>10.430873699779326</v>
      </c>
      <c r="P235" s="571">
        <f>'Energy supply'!U24</f>
        <v>44.991120417272981</v>
      </c>
      <c r="Q235" s="571">
        <f>'Energy supply'!V24</f>
        <v>136.00007864947699</v>
      </c>
      <c r="R235" s="571">
        <f>'Energy supply'!W24</f>
        <v>285.19765017738558</v>
      </c>
      <c r="S235" s="571">
        <f>'Energy supply'!X24</f>
        <v>519.35242583065349</v>
      </c>
      <c r="T235" s="571">
        <f>'Energy supply'!Y24</f>
        <v>807.5124580430986</v>
      </c>
      <c r="U235" s="571">
        <f>'Energy supply'!Z24</f>
        <v>1158.9798576888065</v>
      </c>
      <c r="V235" s="571">
        <f>'Energy supply'!AA24</f>
        <v>1550.9243108775056</v>
      </c>
      <c r="W235" s="571">
        <f>'Energy supply'!AB24</f>
        <v>1925.4505053337596</v>
      </c>
      <c r="X235" s="571">
        <f>'Energy supply'!AC24</f>
        <v>2227.5050923316862</v>
      </c>
      <c r="Y235" s="571">
        <f>'Energy supply'!AD24</f>
        <v>2462.0631238016335</v>
      </c>
      <c r="Z235" s="571">
        <f>'Energy supply'!AE24</f>
        <v>2659.5485004173324</v>
      </c>
      <c r="AA235" s="571">
        <f>'Energy supply'!AF24</f>
        <v>2846.6767171510942</v>
      </c>
      <c r="AB235" s="571">
        <f>'Energy supply'!AG24</f>
        <v>3034.3998706378989</v>
      </c>
      <c r="AC235" s="571">
        <f>'Energy supply'!AH24</f>
        <v>3233.6212481331963</v>
      </c>
      <c r="AD235" s="571">
        <f>'Energy supply'!AI24</f>
        <v>3532.8604157630057</v>
      </c>
      <c r="AE235" s="571">
        <f>'Energy supply'!AJ24</f>
        <v>3832.3050710204957</v>
      </c>
      <c r="AF235" s="571">
        <f>'Energy supply'!AK24</f>
        <v>4060.8424565008859</v>
      </c>
      <c r="AG235" s="571">
        <f>'Energy supply'!AL24</f>
        <v>4218.6835737055644</v>
      </c>
      <c r="AH235" s="571">
        <f>'Energy supply'!AM24</f>
        <v>4234.9730940445343</v>
      </c>
      <c r="AI235" s="571">
        <f>'Energy supply'!AN24</f>
        <v>4251.4040586160818</v>
      </c>
      <c r="AJ235" s="571">
        <f>'Energy supply'!AO24</f>
        <v>4267.9460107532886</v>
      </c>
      <c r="AK235" s="571">
        <f>'Energy supply'!AP24</f>
        <v>4284.5918604328381</v>
      </c>
      <c r="AL235" s="571">
        <f>'Energy supply'!AQ24</f>
        <v>4301.3350483728746</v>
      </c>
      <c r="AM235" s="571">
        <f>'Energy supply'!AR24</f>
        <v>4318.1694969400824</v>
      </c>
      <c r="AN235" s="571">
        <f>'Energy supply'!AS24</f>
        <v>4335.0895664049995</v>
      </c>
      <c r="AO235" s="571">
        <f>'Energy supply'!AT24</f>
        <v>4352.0900158778877</v>
      </c>
      <c r="AP235" s="571">
        <f>'Energy supply'!AU24</f>
        <v>4369.1659683511489</v>
      </c>
      <c r="AQ235" s="571">
        <f>'Energy supply'!AV24</f>
        <v>4386.3128793532724</v>
      </c>
      <c r="AR235" s="571">
        <f>'Energy supply'!AW24</f>
        <v>4403.5265087864036</v>
      </c>
      <c r="AS235" s="571">
        <f>'Energy supply'!AX24</f>
        <v>4420.8028955765431</v>
      </c>
    </row>
    <row r="236" spans="1:45" s="229" customFormat="1" outlineLevel="1">
      <c r="A236" s="229">
        <v>4</v>
      </c>
      <c r="B236" s="229" t="str">
        <f t="shared" si="50"/>
        <v>4Non-DomesticEnergy Demand</v>
      </c>
      <c r="C236" s="234" t="str">
        <f t="shared" si="51"/>
        <v>Non-DomesticEnergy Demand</v>
      </c>
      <c r="E236" s="313" t="s">
        <v>220</v>
      </c>
      <c r="G236" s="234" t="s">
        <v>198</v>
      </c>
      <c r="J236" s="571">
        <f>'Energy supply'!O26</f>
        <v>0</v>
      </c>
      <c r="K236" s="571">
        <f>'Energy supply'!P26</f>
        <v>0</v>
      </c>
      <c r="L236" s="571">
        <f>'Energy supply'!Q26</f>
        <v>0</v>
      </c>
      <c r="M236" s="571">
        <f>'Energy supply'!R26</f>
        <v>0</v>
      </c>
      <c r="N236" s="571">
        <f>'Energy supply'!S26</f>
        <v>0</v>
      </c>
      <c r="O236" s="571">
        <f>'Energy supply'!T26</f>
        <v>0</v>
      </c>
      <c r="P236" s="571">
        <f>'Energy supply'!U26</f>
        <v>0</v>
      </c>
      <c r="Q236" s="571">
        <f>'Energy supply'!V26</f>
        <v>0</v>
      </c>
      <c r="R236" s="571">
        <f>'Energy supply'!W26</f>
        <v>0</v>
      </c>
      <c r="S236" s="571">
        <f>'Energy supply'!X26</f>
        <v>0</v>
      </c>
      <c r="T236" s="571">
        <f>'Energy supply'!Y26</f>
        <v>0</v>
      </c>
      <c r="U236" s="571">
        <f>'Energy supply'!Z26</f>
        <v>0</v>
      </c>
      <c r="V236" s="571">
        <f>'Energy supply'!AA26</f>
        <v>0</v>
      </c>
      <c r="W236" s="571">
        <f>'Energy supply'!AB26</f>
        <v>0</v>
      </c>
      <c r="X236" s="571">
        <f>'Energy supply'!AC26</f>
        <v>0</v>
      </c>
      <c r="Y236" s="571">
        <f>'Energy supply'!AD26</f>
        <v>0</v>
      </c>
      <c r="Z236" s="571">
        <f>'Energy supply'!AE26</f>
        <v>0</v>
      </c>
      <c r="AA236" s="571">
        <f>'Energy supply'!AF26</f>
        <v>0</v>
      </c>
      <c r="AB236" s="571">
        <f>'Energy supply'!AG26</f>
        <v>0</v>
      </c>
      <c r="AC236" s="571">
        <f>'Energy supply'!AH26</f>
        <v>0</v>
      </c>
      <c r="AD236" s="571">
        <f>'Energy supply'!AI26</f>
        <v>0</v>
      </c>
      <c r="AE236" s="571">
        <f>'Energy supply'!AJ26</f>
        <v>0</v>
      </c>
      <c r="AF236" s="571">
        <f>'Energy supply'!AK26</f>
        <v>0</v>
      </c>
      <c r="AG236" s="571">
        <f>'Energy supply'!AL26</f>
        <v>0</v>
      </c>
      <c r="AH236" s="571">
        <f>'Energy supply'!AM26</f>
        <v>0</v>
      </c>
      <c r="AI236" s="571">
        <f>'Energy supply'!AN26</f>
        <v>0</v>
      </c>
      <c r="AJ236" s="571">
        <f>'Energy supply'!AO26</f>
        <v>0</v>
      </c>
      <c r="AK236" s="571">
        <f>'Energy supply'!AP26</f>
        <v>0</v>
      </c>
      <c r="AL236" s="571">
        <f>'Energy supply'!AQ26</f>
        <v>0</v>
      </c>
      <c r="AM236" s="571">
        <f>'Energy supply'!AR26</f>
        <v>0</v>
      </c>
      <c r="AN236" s="571">
        <f>'Energy supply'!AS26</f>
        <v>0</v>
      </c>
      <c r="AO236" s="571">
        <f>'Energy supply'!AT26</f>
        <v>0</v>
      </c>
      <c r="AP236" s="571">
        <f>'Energy supply'!AU26</f>
        <v>0</v>
      </c>
      <c r="AQ236" s="571">
        <f>'Energy supply'!AV26</f>
        <v>0</v>
      </c>
      <c r="AR236" s="571">
        <f>'Energy supply'!AW26</f>
        <v>0</v>
      </c>
      <c r="AS236" s="571">
        <f>'Energy supply'!AX26</f>
        <v>0</v>
      </c>
    </row>
    <row r="237" spans="1:45" s="229" customFormat="1" outlineLevel="1">
      <c r="A237" s="229">
        <v>5</v>
      </c>
      <c r="B237" s="229" t="str">
        <f t="shared" si="50"/>
        <v>5Non-DomesticEnergy Demand</v>
      </c>
      <c r="C237" s="234" t="str">
        <f t="shared" si="51"/>
        <v>Non-DomesticEnergy Demand</v>
      </c>
      <c r="E237" s="313" t="s">
        <v>188</v>
      </c>
      <c r="G237" s="234" t="s">
        <v>198</v>
      </c>
      <c r="J237" s="571">
        <f>'Energy supply'!O27</f>
        <v>229.09035297365611</v>
      </c>
      <c r="K237" s="571">
        <f>'Energy supply'!P27</f>
        <v>234.0181250404529</v>
      </c>
      <c r="L237" s="571">
        <f>'Energy supply'!Q27</f>
        <v>238.72519135448169</v>
      </c>
      <c r="M237" s="571">
        <f>'Energy supply'!R27</f>
        <v>243.21178440396204</v>
      </c>
      <c r="N237" s="571">
        <f>'Energy supply'!S27</f>
        <v>247.47813667711378</v>
      </c>
      <c r="O237" s="571">
        <f>'Energy supply'!T27</f>
        <v>289.68779954982318</v>
      </c>
      <c r="P237" s="571">
        <f>'Energy supply'!U27</f>
        <v>317.53110448770673</v>
      </c>
      <c r="Q237" s="571">
        <f>'Energy supply'!V27</f>
        <v>340.95512643122072</v>
      </c>
      <c r="R237" s="571">
        <f>'Energy supply'!W27</f>
        <v>360.1095733523523</v>
      </c>
      <c r="S237" s="571">
        <f>'Energy supply'!X27</f>
        <v>375.15762864629676</v>
      </c>
      <c r="T237" s="571">
        <f>'Energy supply'!Y27</f>
        <v>385.92509031333321</v>
      </c>
      <c r="U237" s="571">
        <f>'Energy supply'!Z27</f>
        <v>401.46519268059512</v>
      </c>
      <c r="V237" s="571">
        <f>'Energy supply'!AA27</f>
        <v>411.82978458919973</v>
      </c>
      <c r="W237" s="571">
        <f>'Energy supply'!AB27</f>
        <v>417.3885011594819</v>
      </c>
      <c r="X237" s="571">
        <f>'Energy supply'!AC27</f>
        <v>418.52253113713016</v>
      </c>
      <c r="Y237" s="571">
        <f>'Energy supply'!AD27</f>
        <v>415.55848967398794</v>
      </c>
      <c r="Z237" s="571">
        <f>'Energy supply'!AE27</f>
        <v>424.45066635344443</v>
      </c>
      <c r="AA237" s="571">
        <f>'Energy supply'!AF27</f>
        <v>430.9403360231409</v>
      </c>
      <c r="AB237" s="571">
        <f>'Energy supply'!AG27</f>
        <v>435.08938215358813</v>
      </c>
      <c r="AC237" s="571">
        <f>'Energy supply'!AH27</f>
        <v>436.95944139806193</v>
      </c>
      <c r="AD237" s="571">
        <f>'Energy supply'!AI27</f>
        <v>436.21761927133639</v>
      </c>
      <c r="AE237" s="571">
        <f>'Energy supply'!AJ27</f>
        <v>433.49629740493009</v>
      </c>
      <c r="AF237" s="571">
        <f>'Energy supply'!AK27</f>
        <v>428.91113511339677</v>
      </c>
      <c r="AG237" s="571">
        <f>'Energy supply'!AL27</f>
        <v>422.58827914511915</v>
      </c>
      <c r="AH237" s="571">
        <f>'Energy supply'!AM27</f>
        <v>414.64826704660123</v>
      </c>
      <c r="AI237" s="571">
        <f>'Energy supply'!AN27</f>
        <v>405.21113631167248</v>
      </c>
      <c r="AJ237" s="571">
        <f>'Energy supply'!AO27</f>
        <v>409.15726380290045</v>
      </c>
      <c r="AK237" s="571">
        <f>'Energy supply'!AP27</f>
        <v>412.00754354086871</v>
      </c>
      <c r="AL237" s="571">
        <f>'Energy supply'!AQ27</f>
        <v>413.76079295171553</v>
      </c>
      <c r="AM237" s="571">
        <f>'Energy supply'!AR27</f>
        <v>414.41577051096237</v>
      </c>
      <c r="AN237" s="571">
        <f>'Energy supply'!AS27</f>
        <v>413.97117851910559</v>
      </c>
      <c r="AO237" s="571">
        <f>'Energy supply'!AT27</f>
        <v>398.43059131115808</v>
      </c>
      <c r="AP237" s="571">
        <f>'Energy supply'!AU27</f>
        <v>382.88055338930832</v>
      </c>
      <c r="AQ237" s="571">
        <f>'Energy supply'!AV27</f>
        <v>367.32058340597467</v>
      </c>
      <c r="AR237" s="571">
        <f>'Energy supply'!AW27</f>
        <v>351.7502171294243</v>
      </c>
      <c r="AS237" s="571">
        <f>'Energy supply'!AX27</f>
        <v>336.16900478934434</v>
      </c>
    </row>
    <row r="238" spans="1:45" s="229" customFormat="1" outlineLevel="1">
      <c r="A238" s="229">
        <v>6</v>
      </c>
      <c r="B238" s="229" t="str">
        <f t="shared" si="50"/>
        <v>6Non-DomesticEnergy Demand</v>
      </c>
      <c r="C238" s="234" t="str">
        <f t="shared" si="51"/>
        <v>Non-DomesticEnergy Demand</v>
      </c>
      <c r="E238" s="313" t="s">
        <v>211</v>
      </c>
      <c r="F238" s="313"/>
      <c r="G238" s="234" t="s">
        <v>198</v>
      </c>
      <c r="I238" s="313"/>
      <c r="J238" s="571">
        <f>'Energy supply'!O28</f>
        <v>0</v>
      </c>
      <c r="K238" s="571">
        <f>'Energy supply'!P28</f>
        <v>0</v>
      </c>
      <c r="L238" s="571">
        <f>'Energy supply'!Q28</f>
        <v>0</v>
      </c>
      <c r="M238" s="571">
        <f>'Energy supply'!R28</f>
        <v>0</v>
      </c>
      <c r="N238" s="571">
        <f>'Energy supply'!S28</f>
        <v>0</v>
      </c>
      <c r="O238" s="571">
        <f>'Energy supply'!T28</f>
        <v>0</v>
      </c>
      <c r="P238" s="571">
        <f>'Energy supply'!U28</f>
        <v>0</v>
      </c>
      <c r="Q238" s="571">
        <f>'Energy supply'!V28</f>
        <v>0</v>
      </c>
      <c r="R238" s="571">
        <f>'Energy supply'!W28</f>
        <v>0</v>
      </c>
      <c r="S238" s="571">
        <f>'Energy supply'!X28</f>
        <v>0</v>
      </c>
      <c r="T238" s="571">
        <f>'Energy supply'!Y28</f>
        <v>0</v>
      </c>
      <c r="U238" s="571">
        <f>'Energy supply'!Z28</f>
        <v>0</v>
      </c>
      <c r="V238" s="571">
        <f>'Energy supply'!AA28</f>
        <v>31.591607358079809</v>
      </c>
      <c r="W238" s="571">
        <f>'Energy supply'!AB28</f>
        <v>55.014123049518162</v>
      </c>
      <c r="X238" s="571">
        <f>'Energy supply'!AC28</f>
        <v>70.629215981740089</v>
      </c>
      <c r="Y238" s="571">
        <f>'Energy supply'!AD28</f>
        <v>79.868246566883215</v>
      </c>
      <c r="Z238" s="571">
        <f>'Energy supply'!AE28</f>
        <v>100.40034613206637</v>
      </c>
      <c r="AA238" s="571">
        <f>'Energy supply'!AF28</f>
        <v>112.44599497619265</v>
      </c>
      <c r="AB238" s="571">
        <f>'Energy supply'!AG28</f>
        <v>117.90862627363252</v>
      </c>
      <c r="AC238" s="571">
        <f>'Energy supply'!AH28</f>
        <v>118.22952529670528</v>
      </c>
      <c r="AD238" s="571">
        <f>'Energy supply'!AI28</f>
        <v>101.16471463201616</v>
      </c>
      <c r="AE238" s="571">
        <f>'Energy supply'!AJ28</f>
        <v>78.602408355404222</v>
      </c>
      <c r="AF238" s="571">
        <f>'Energy supply'!AK28</f>
        <v>62.259262253617649</v>
      </c>
      <c r="AG238" s="571">
        <f>'Energy supply'!AL28</f>
        <v>50.9841066619773</v>
      </c>
      <c r="AH238" s="571">
        <f>'Energy supply'!AM28</f>
        <v>46.972659161587963</v>
      </c>
      <c r="AI238" s="571">
        <f>'Energy supply'!AN28</f>
        <v>42.979642487124586</v>
      </c>
      <c r="AJ238" s="571">
        <f>'Energy supply'!AO28</f>
        <v>38.476102279526515</v>
      </c>
      <c r="AK238" s="571">
        <f>'Energy supply'!AP28</f>
        <v>34.068031825661798</v>
      </c>
      <c r="AL238" s="571">
        <f>'Energy supply'!AQ28</f>
        <v>29.736985092352306</v>
      </c>
      <c r="AM238" s="571">
        <f>'Energy supply'!AR28</f>
        <v>25.464377983467777</v>
      </c>
      <c r="AN238" s="571">
        <f>'Energy supply'!AS28</f>
        <v>21.231497647815122</v>
      </c>
      <c r="AO238" s="571">
        <f>'Energy supply'!AT28</f>
        <v>17.238953490643357</v>
      </c>
      <c r="AP238" s="571">
        <f>'Energy supply'!AU28</f>
        <v>13.125782628483993</v>
      </c>
      <c r="AQ238" s="571">
        <f>'Energy supply'!AV28</f>
        <v>8.885776401449526</v>
      </c>
      <c r="AR238" s="571">
        <f>'Energy supply'!AW28</f>
        <v>4.5126402219938662</v>
      </c>
      <c r="AS238" s="571">
        <f>'Energy supply'!AX28</f>
        <v>0</v>
      </c>
    </row>
    <row r="239" spans="1:45" s="229" customFormat="1" outlineLevel="1">
      <c r="A239" s="229">
        <v>7</v>
      </c>
      <c r="B239" s="229" t="str">
        <f t="shared" si="50"/>
        <v>7Non-DomesticEnergy Demand</v>
      </c>
      <c r="C239" s="234" t="str">
        <f t="shared" si="51"/>
        <v>Non-DomesticEnergy Demand</v>
      </c>
      <c r="E239" s="313" t="s">
        <v>221</v>
      </c>
      <c r="F239" s="313"/>
      <c r="G239" s="234" t="s">
        <v>198</v>
      </c>
      <c r="I239" s="313"/>
      <c r="J239" s="571">
        <f>'Energy supply'!O60</f>
        <v>11427.320410239481</v>
      </c>
      <c r="K239" s="571">
        <f>'Energy supply'!P60</f>
        <v>11485.807557280064</v>
      </c>
      <c r="L239" s="571">
        <f>'Energy supply'!Q60</f>
        <v>11538.01979622951</v>
      </c>
      <c r="M239" s="571">
        <f>'Energy supply'!R60</f>
        <v>11590.030115079491</v>
      </c>
      <c r="N239" s="571">
        <f>'Energy supply'!S60</f>
        <v>11612.524455391853</v>
      </c>
      <c r="O239" s="571">
        <f>'Energy supply'!T60</f>
        <v>11691.153848243135</v>
      </c>
      <c r="P239" s="571">
        <f>'Energy supply'!U60</f>
        <v>11715.274695237005</v>
      </c>
      <c r="Q239" s="571">
        <f>'Energy supply'!V60</f>
        <v>11739.646507197864</v>
      </c>
      <c r="R239" s="571">
        <f>'Energy supply'!W60</f>
        <v>11712.325982949726</v>
      </c>
      <c r="S239" s="571">
        <f>'Energy supply'!X60</f>
        <v>11638.65460137142</v>
      </c>
      <c r="T239" s="571">
        <f>'Energy supply'!Y60</f>
        <v>11525.38774300263</v>
      </c>
      <c r="U239" s="571">
        <f>'Energy supply'!Z60</f>
        <v>11370.681520758799</v>
      </c>
      <c r="V239" s="571">
        <f>'Energy supply'!AA60</f>
        <v>11183.783386939176</v>
      </c>
      <c r="W239" s="571">
        <f>'Energy supply'!AB60</f>
        <v>10967.947216212217</v>
      </c>
      <c r="X239" s="571">
        <f>'Energy supply'!AC60</f>
        <v>10719.299851287604</v>
      </c>
      <c r="Y239" s="571">
        <f>'Energy supply'!AD60</f>
        <v>10439.255666130995</v>
      </c>
      <c r="Z239" s="571">
        <f>'Energy supply'!AE60</f>
        <v>10490.571911983616</v>
      </c>
      <c r="AA239" s="571">
        <f>'Energy supply'!AF60</f>
        <v>10540.813339285007</v>
      </c>
      <c r="AB239" s="571">
        <f>'Energy supply'!AG60</f>
        <v>10590.243320343241</v>
      </c>
      <c r="AC239" s="571">
        <f>'Energy supply'!AH60</f>
        <v>10639.082100409436</v>
      </c>
      <c r="AD239" s="571">
        <f>'Energy supply'!AI60</f>
        <v>10687.933978678264</v>
      </c>
      <c r="AE239" s="571">
        <f>'Energy supply'!AJ60</f>
        <v>10743.941962775205</v>
      </c>
      <c r="AF239" s="571">
        <f>'Energy supply'!AK60</f>
        <v>10798.184518317275</v>
      </c>
      <c r="AG239" s="571">
        <f>'Energy supply'!AL60</f>
        <v>10850.921196991325</v>
      </c>
      <c r="AH239" s="571">
        <f>'Energy supply'!AM60</f>
        <v>10902.380214646559</v>
      </c>
      <c r="AI239" s="571">
        <f>'Energy supply'!AN60</f>
        <v>10952.763608502151</v>
      </c>
      <c r="AJ239" s="571">
        <f>'Energy supply'!AO60</f>
        <v>11002.251382801482</v>
      </c>
      <c r="AK239" s="571">
        <f>'Energy supply'!AP60</f>
        <v>11051.004870486155</v>
      </c>
      <c r="AL239" s="571">
        <f>'Energy supply'!AQ60</f>
        <v>11099.16948127073</v>
      </c>
      <c r="AM239" s="571">
        <f>'Energy supply'!AR60</f>
        <v>11146.876965064104</v>
      </c>
      <c r="AN239" s="571">
        <f>'Energy supply'!AS60</f>
        <v>11194.24728931197</v>
      </c>
      <c r="AO239" s="571">
        <f>'Energy supply'!AT60</f>
        <v>11241.390206328213</v>
      </c>
      <c r="AP239" s="571">
        <f>'Energy supply'!AU60</f>
        <v>11288.406569834046</v>
      </c>
      <c r="AQ239" s="571">
        <f>'Energy supply'!AV60</f>
        <v>11335.389447188727</v>
      </c>
      <c r="AR239" s="571">
        <f>'Energy supply'!AW60</f>
        <v>11382.425064083507</v>
      </c>
      <c r="AS239" s="571">
        <f>'Energy supply'!AX60</f>
        <v>11429.593611000626</v>
      </c>
    </row>
    <row r="240" spans="1:45" s="229" customFormat="1" outlineLevel="1">
      <c r="A240" s="229">
        <v>8</v>
      </c>
      <c r="B240" s="229" t="str">
        <f t="shared" si="50"/>
        <v>8Non-DomesticEnergy Demand</v>
      </c>
      <c r="C240" s="234" t="str">
        <f t="shared" si="51"/>
        <v>Non-DomesticEnergy Demand</v>
      </c>
      <c r="E240" s="313" t="s">
        <v>222</v>
      </c>
      <c r="F240" s="313"/>
      <c r="G240" s="234" t="s">
        <v>198</v>
      </c>
      <c r="I240" s="313"/>
      <c r="J240" s="571">
        <f>'Energy demand'!O126</f>
        <v>1649.8613566893455</v>
      </c>
      <c r="K240" s="571">
        <f>'Energy demand'!P126</f>
        <v>1788.1763565511937</v>
      </c>
      <c r="L240" s="571">
        <f>'Energy demand'!Q126</f>
        <v>1929.1659550714951</v>
      </c>
      <c r="M240" s="571">
        <f>'Energy demand'!R126</f>
        <v>2072.8407067329586</v>
      </c>
      <c r="N240" s="571">
        <f>'Energy demand'!S126</f>
        <v>2219.2111836891863</v>
      </c>
      <c r="O240" s="571">
        <f>'Energy demand'!T126</f>
        <v>2368.2879757646742</v>
      </c>
      <c r="P240" s="571">
        <f>'Energy demand'!U126</f>
        <v>2520.081690454811</v>
      </c>
      <c r="Q240" s="571">
        <f>'Energy demand'!V126</f>
        <v>2674.6029529258767</v>
      </c>
      <c r="R240" s="571">
        <f>'Energy demand'!W126</f>
        <v>2831.8624060150451</v>
      </c>
      <c r="S240" s="571">
        <f>'Energy demand'!X126</f>
        <v>2991.8707102303829</v>
      </c>
      <c r="T240" s="571">
        <f>'Energy demand'!Y126</f>
        <v>3154.6385437508516</v>
      </c>
      <c r="U240" s="571">
        <f>'Energy demand'!Z126</f>
        <v>3234.0814578610734</v>
      </c>
      <c r="V240" s="571">
        <f>'Energy demand'!AA126</f>
        <v>3314.0918972972895</v>
      </c>
      <c r="W240" s="571">
        <f>'Energy demand'!AB126</f>
        <v>3394.6707976501752</v>
      </c>
      <c r="X240" s="571">
        <f>'Energy demand'!AC126</f>
        <v>3475.8190943554318</v>
      </c>
      <c r="Y240" s="571">
        <f>'Energy demand'!AD126</f>
        <v>3557.5377226937862</v>
      </c>
      <c r="Z240" s="571">
        <f>'Energy demand'!AE126</f>
        <v>3639.8276177909929</v>
      </c>
      <c r="AA240" s="571">
        <f>'Energy demand'!AF126</f>
        <v>3722.6897146178335</v>
      </c>
      <c r="AB240" s="571">
        <f>'Energy demand'!AG126</f>
        <v>3806.1249479901162</v>
      </c>
      <c r="AC240" s="571">
        <f>'Energy demand'!AH126</f>
        <v>3890.1342525686732</v>
      </c>
      <c r="AD240" s="571">
        <f>'Energy demand'!AI126</f>
        <v>3974.7185628593656</v>
      </c>
      <c r="AE240" s="571">
        <f>'Energy demand'!AJ126</f>
        <v>4059.8788132130799</v>
      </c>
      <c r="AF240" s="571">
        <f>'Energy demand'!AK126</f>
        <v>4145.6159378257298</v>
      </c>
      <c r="AG240" s="571">
        <f>'Energy demand'!AL126</f>
        <v>4231.9308707382552</v>
      </c>
      <c r="AH240" s="571">
        <f>'Energy demand'!AM126</f>
        <v>4318.8245458366237</v>
      </c>
      <c r="AI240" s="571">
        <f>'Energy demand'!AN126</f>
        <v>4406.2978968518237</v>
      </c>
      <c r="AJ240" s="571">
        <f>'Energy demand'!AO126</f>
        <v>4494.3518573598785</v>
      </c>
      <c r="AK240" s="571">
        <f>'Energy demand'!AP126</f>
        <v>4582.9873607818345</v>
      </c>
      <c r="AL240" s="571">
        <f>'Energy demand'!AQ126</f>
        <v>4672.2053403837626</v>
      </c>
      <c r="AM240" s="571">
        <f>'Energy demand'!AR126</f>
        <v>4762.0067292767617</v>
      </c>
      <c r="AN240" s="571">
        <f>'Energy demand'!AS126</f>
        <v>4852.392460416957</v>
      </c>
      <c r="AO240" s="571">
        <f>'Energy demand'!AT126</f>
        <v>4943.3634666055013</v>
      </c>
      <c r="AP240" s="571">
        <f>'Energy demand'!AU126</f>
        <v>5034.9206804885716</v>
      </c>
      <c r="AQ240" s="571">
        <f>'Energy demand'!AV126</f>
        <v>5127.0650345573731</v>
      </c>
      <c r="AR240" s="571">
        <f>'Energy demand'!AW126</f>
        <v>5219.7974611481368</v>
      </c>
      <c r="AS240" s="571">
        <f>'Energy demand'!AX126</f>
        <v>5313.1188924421313</v>
      </c>
    </row>
    <row r="241" spans="1:45" s="229" customFormat="1" outlineLevel="1">
      <c r="A241" s="229">
        <v>9</v>
      </c>
      <c r="B241" s="229" t="str">
        <f t="shared" si="50"/>
        <v>9</v>
      </c>
      <c r="C241" s="234"/>
      <c r="E241" s="313"/>
      <c r="F241" s="313"/>
      <c r="G241" s="234"/>
      <c r="I241" s="313"/>
      <c r="J241" s="247"/>
      <c r="K241" s="247"/>
      <c r="L241" s="247"/>
      <c r="M241" s="247"/>
      <c r="N241" s="247"/>
      <c r="O241" s="247"/>
      <c r="P241" s="247"/>
      <c r="Q241" s="247"/>
      <c r="R241" s="247"/>
      <c r="S241" s="247"/>
      <c r="T241" s="247"/>
      <c r="U241" s="247"/>
      <c r="V241" s="247"/>
      <c r="W241" s="247"/>
      <c r="X241" s="247"/>
      <c r="Y241" s="247"/>
      <c r="Z241" s="247"/>
      <c r="AA241" s="247"/>
      <c r="AB241" s="247"/>
      <c r="AC241" s="247"/>
      <c r="AD241" s="247"/>
      <c r="AE241" s="247"/>
      <c r="AF241" s="247"/>
      <c r="AG241" s="247"/>
      <c r="AH241" s="247"/>
      <c r="AI241" s="247"/>
      <c r="AJ241" s="247"/>
      <c r="AK241" s="247"/>
      <c r="AL241" s="247"/>
      <c r="AM241" s="247"/>
      <c r="AN241" s="247"/>
      <c r="AO241" s="247"/>
      <c r="AP241" s="247"/>
      <c r="AQ241" s="247"/>
      <c r="AR241" s="247"/>
      <c r="AS241" s="247"/>
    </row>
    <row r="242" spans="1:45" s="229" customFormat="1" outlineLevel="1">
      <c r="A242" s="229">
        <v>10</v>
      </c>
      <c r="B242" s="229" t="str">
        <f t="shared" si="50"/>
        <v>10</v>
      </c>
      <c r="C242" s="234"/>
      <c r="E242" s="313"/>
      <c r="F242" s="313"/>
      <c r="G242" s="234"/>
      <c r="I242" s="313"/>
      <c r="J242" s="247"/>
      <c r="K242" s="247"/>
      <c r="L242" s="247"/>
      <c r="M242" s="247"/>
      <c r="N242" s="247"/>
      <c r="O242" s="247"/>
      <c r="P242" s="247"/>
      <c r="Q242" s="247"/>
      <c r="R242" s="247"/>
      <c r="S242" s="247"/>
      <c r="T242" s="247"/>
      <c r="U242" s="247"/>
      <c r="V242" s="247"/>
      <c r="W242" s="247"/>
      <c r="X242" s="247"/>
      <c r="Y242" s="247"/>
      <c r="Z242" s="247"/>
      <c r="AA242" s="247"/>
      <c r="AB242" s="247"/>
      <c r="AC242" s="247"/>
      <c r="AD242" s="247"/>
      <c r="AE242" s="247"/>
      <c r="AF242" s="247"/>
      <c r="AG242" s="247"/>
      <c r="AH242" s="247"/>
      <c r="AI242" s="247"/>
      <c r="AJ242" s="247"/>
      <c r="AK242" s="247"/>
      <c r="AL242" s="247"/>
      <c r="AM242" s="247"/>
      <c r="AN242" s="247"/>
      <c r="AO242" s="247"/>
      <c r="AP242" s="247"/>
      <c r="AQ242" s="247"/>
      <c r="AR242" s="247"/>
      <c r="AS242" s="247"/>
    </row>
    <row r="243" spans="1:45" s="229" customFormat="1" outlineLevel="1">
      <c r="A243" s="229">
        <v>11</v>
      </c>
      <c r="B243" s="229" t="str">
        <f t="shared" si="50"/>
        <v>11</v>
      </c>
      <c r="C243" s="234"/>
      <c r="E243" s="313"/>
      <c r="F243" s="313"/>
      <c r="G243" s="234"/>
      <c r="I243" s="313"/>
      <c r="J243" s="247"/>
      <c r="K243" s="247"/>
      <c r="L243" s="247"/>
      <c r="M243" s="247"/>
      <c r="N243" s="247"/>
      <c r="O243" s="247"/>
      <c r="P243" s="247"/>
      <c r="Q243" s="247"/>
      <c r="R243" s="247"/>
      <c r="S243" s="247"/>
      <c r="T243" s="247"/>
      <c r="U243" s="247"/>
      <c r="V243" s="247"/>
      <c r="W243" s="247"/>
      <c r="X243" s="247"/>
      <c r="Y243" s="247"/>
      <c r="Z243" s="247"/>
      <c r="AA243" s="247"/>
      <c r="AB243" s="247"/>
      <c r="AC243" s="247"/>
      <c r="AD243" s="247"/>
      <c r="AE243" s="247"/>
      <c r="AF243" s="247"/>
      <c r="AG243" s="247"/>
      <c r="AH243" s="247"/>
      <c r="AI243" s="247"/>
      <c r="AJ243" s="247"/>
      <c r="AK243" s="247"/>
      <c r="AL243" s="247"/>
      <c r="AM243" s="247"/>
      <c r="AN243" s="247"/>
      <c r="AO243" s="247"/>
      <c r="AP243" s="247"/>
      <c r="AQ243" s="247"/>
      <c r="AR243" s="247"/>
      <c r="AS243" s="247"/>
    </row>
    <row r="244" spans="1:45" s="238" customFormat="1" outlineLevel="1">
      <c r="A244" s="229" t="s">
        <v>208</v>
      </c>
      <c r="B244" s="229" t="str">
        <f>A244&amp;C244</f>
        <v>NDomesticEnergy Demand</v>
      </c>
      <c r="C244" s="234" t="str">
        <f>$A$138&amp;$A$157</f>
        <v>DomesticEnergy Demand</v>
      </c>
      <c r="E244" s="239" t="s">
        <v>229</v>
      </c>
    </row>
    <row r="245" spans="1:45" outlineLevel="1"/>
    <row r="246" spans="1:45" outlineLevel="1"/>
    <row r="247" spans="1:45" s="298" customFormat="1" outlineLevel="1">
      <c r="A247" s="298" t="s">
        <v>167</v>
      </c>
    </row>
    <row r="248" spans="1:45" outlineLevel="1">
      <c r="A248" s="229" t="s">
        <v>175</v>
      </c>
      <c r="B248" s="229" t="s">
        <v>176</v>
      </c>
      <c r="C248" s="229" t="s">
        <v>177</v>
      </c>
      <c r="D248" s="230"/>
      <c r="E248" s="230" t="s">
        <v>178</v>
      </c>
      <c r="F248" s="230"/>
      <c r="G248" s="230" t="s">
        <v>179</v>
      </c>
      <c r="H248" s="230" t="s">
        <v>180</v>
      </c>
      <c r="I248" s="230"/>
      <c r="J248" s="230">
        <v>2015</v>
      </c>
      <c r="K248" s="230">
        <v>2016</v>
      </c>
      <c r="L248" s="230">
        <v>2017</v>
      </c>
      <c r="M248" s="230">
        <v>2018</v>
      </c>
      <c r="N248" s="230">
        <v>2019</v>
      </c>
      <c r="O248" s="230">
        <v>2020</v>
      </c>
      <c r="P248" s="230">
        <v>2021</v>
      </c>
      <c r="Q248" s="230">
        <v>2022</v>
      </c>
      <c r="R248" s="230">
        <v>2023</v>
      </c>
      <c r="S248" s="230">
        <v>2024</v>
      </c>
      <c r="T248" s="230">
        <v>2025</v>
      </c>
      <c r="U248" s="230">
        <v>2026</v>
      </c>
      <c r="V248" s="230">
        <v>2027</v>
      </c>
      <c r="W248" s="230">
        <v>2028</v>
      </c>
      <c r="X248" s="230">
        <v>2029</v>
      </c>
      <c r="Y248" s="230">
        <v>2030</v>
      </c>
      <c r="Z248" s="230">
        <v>2031</v>
      </c>
      <c r="AA248" s="230">
        <v>2032</v>
      </c>
      <c r="AB248" s="230">
        <v>2033</v>
      </c>
      <c r="AC248" s="230">
        <v>2034</v>
      </c>
      <c r="AD248" s="230">
        <v>2035</v>
      </c>
      <c r="AE248" s="230">
        <v>2036</v>
      </c>
      <c r="AF248" s="230">
        <v>2037</v>
      </c>
      <c r="AG248" s="230">
        <v>2038</v>
      </c>
      <c r="AH248" s="230">
        <v>2039</v>
      </c>
      <c r="AI248" s="230">
        <v>2040</v>
      </c>
      <c r="AJ248" s="230">
        <v>2041</v>
      </c>
      <c r="AK248" s="230">
        <v>2042</v>
      </c>
      <c r="AL248" s="230">
        <v>2043</v>
      </c>
      <c r="AM248" s="230">
        <v>2044</v>
      </c>
      <c r="AN248" s="230">
        <v>2045</v>
      </c>
      <c r="AO248" s="230">
        <v>2046</v>
      </c>
      <c r="AP248" s="230">
        <v>2047</v>
      </c>
      <c r="AQ248" s="230">
        <v>2048</v>
      </c>
      <c r="AR248" s="230">
        <v>2049</v>
      </c>
      <c r="AS248" s="230">
        <v>2050</v>
      </c>
    </row>
    <row r="249" spans="1:45" outlineLevel="1"/>
    <row r="250" spans="1:45" s="229" customFormat="1" outlineLevel="1">
      <c r="A250" s="229">
        <v>0</v>
      </c>
      <c r="B250" s="229" t="str">
        <f t="shared" ref="B250:B261" si="52">A250&amp;C250</f>
        <v>0Non-DomesticEnergy use by fuel</v>
      </c>
      <c r="C250" s="234" t="str">
        <f t="shared" ref="C250:C255" si="53">$A$210&amp;$A$247</f>
        <v>Non-DomesticEnergy use by fuel</v>
      </c>
      <c r="E250" s="248" t="s">
        <v>182</v>
      </c>
      <c r="G250" s="234"/>
      <c r="J250" s="237"/>
      <c r="K250" s="237"/>
      <c r="L250" s="237"/>
      <c r="M250" s="237"/>
      <c r="N250" s="237"/>
      <c r="O250" s="237"/>
      <c r="P250" s="237"/>
      <c r="Q250" s="237"/>
      <c r="R250" s="237"/>
      <c r="S250" s="237"/>
      <c r="T250" s="237"/>
      <c r="U250" s="237"/>
      <c r="V250" s="237"/>
      <c r="W250" s="237"/>
      <c r="X250" s="237"/>
      <c r="Y250" s="237"/>
      <c r="Z250" s="237"/>
      <c r="AA250" s="237"/>
      <c r="AB250" s="237"/>
      <c r="AC250" s="237"/>
      <c r="AD250" s="237"/>
      <c r="AE250" s="237"/>
      <c r="AF250" s="237"/>
      <c r="AG250" s="237"/>
      <c r="AH250" s="237"/>
      <c r="AI250" s="237"/>
      <c r="AJ250" s="237"/>
      <c r="AK250" s="237"/>
      <c r="AL250" s="237"/>
      <c r="AM250" s="237"/>
      <c r="AN250" s="237"/>
      <c r="AO250" s="237"/>
      <c r="AP250" s="237"/>
      <c r="AQ250" s="237"/>
      <c r="AR250" s="237"/>
      <c r="AS250" s="237"/>
    </row>
    <row r="251" spans="1:45" s="247" customFormat="1" outlineLevel="1">
      <c r="A251" s="229">
        <v>1</v>
      </c>
      <c r="B251" s="229" t="str">
        <f t="shared" si="52"/>
        <v>1Non-DomesticEnergy use by fuel</v>
      </c>
      <c r="C251" s="234" t="str">
        <f t="shared" si="53"/>
        <v>Non-DomesticEnergy use by fuel</v>
      </c>
      <c r="D251" s="229"/>
      <c r="E251" s="313" t="s">
        <v>209</v>
      </c>
      <c r="F251" s="313"/>
      <c r="G251" s="234" t="s">
        <v>198</v>
      </c>
      <c r="H251" s="229"/>
      <c r="I251" s="313"/>
      <c r="J251" s="571">
        <f>'Fuel Consumption'!Q45</f>
        <v>11652.703785082282</v>
      </c>
      <c r="K251" s="571">
        <f>'Fuel Consumption'!R45</f>
        <v>11528.772445105016</v>
      </c>
      <c r="L251" s="571">
        <f>'Fuel Consumption'!S45</f>
        <v>11413.585757904528</v>
      </c>
      <c r="M251" s="571">
        <f>'Fuel Consumption'!T45</f>
        <v>11300.997528267357</v>
      </c>
      <c r="N251" s="571">
        <f>'Fuel Consumption'!U45</f>
        <v>11168.357927362642</v>
      </c>
      <c r="O251" s="571">
        <f>'Fuel Consumption'!V45</f>
        <v>10881.562377953251</v>
      </c>
      <c r="P251" s="571">
        <f>'Fuel Consumption'!W45</f>
        <v>10680.702159109611</v>
      </c>
      <c r="Q251" s="571">
        <f>'Fuel Consumption'!X45</f>
        <v>10350.080094989837</v>
      </c>
      <c r="R251" s="571">
        <f>'Fuel Consumption'!Y45</f>
        <v>9847.5519408153687</v>
      </c>
      <c r="S251" s="571">
        <f>'Fuel Consumption'!Z45</f>
        <v>9119.8157063730432</v>
      </c>
      <c r="T251" s="571">
        <f>'Fuel Consumption'!AA45</f>
        <v>8312.6411665634059</v>
      </c>
      <c r="U251" s="571">
        <f>'Fuel Consumption'!AB45</f>
        <v>7393.9546374344691</v>
      </c>
      <c r="V251" s="571">
        <f>'Fuel Consumption'!AC45</f>
        <v>6359.4313163842435</v>
      </c>
      <c r="W251" s="571">
        <f>'Fuel Consumption'!AD45</f>
        <v>5506.5223676128862</v>
      </c>
      <c r="X251" s="571">
        <f>'Fuel Consumption'!AE45</f>
        <v>4689.700433018972</v>
      </c>
      <c r="Y251" s="571">
        <f>'Fuel Consumption'!AF45</f>
        <v>3958.450631494823</v>
      </c>
      <c r="Z251" s="571">
        <f>'Fuel Consumption'!AG45</f>
        <v>3325.6644376742997</v>
      </c>
      <c r="AA251" s="571">
        <f>'Fuel Consumption'!AH45</f>
        <v>2788.6164618594312</v>
      </c>
      <c r="AB251" s="571">
        <f>'Fuel Consumption'!AI45</f>
        <v>2332.5328546990859</v>
      </c>
      <c r="AC251" s="571">
        <f>'Fuel Consumption'!AJ45</f>
        <v>1943.758982194393</v>
      </c>
      <c r="AD251" s="571">
        <f>'Fuel Consumption'!AK45</f>
        <v>1675.0761267022935</v>
      </c>
      <c r="AE251" s="571">
        <f>'Fuel Consumption'!AL45</f>
        <v>1315.2852089472588</v>
      </c>
      <c r="AF251" s="571">
        <f>'Fuel Consumption'!AM45</f>
        <v>1052.2320633981012</v>
      </c>
      <c r="AG251" s="571">
        <f>'Fuel Consumption'!AN45</f>
        <v>868.07770003269513</v>
      </c>
      <c r="AH251" s="571">
        <f>'Fuel Consumption'!AO45</f>
        <v>796.12456546396311</v>
      </c>
      <c r="AI251" s="571">
        <f>'Fuel Consumption'!AP45</f>
        <v>725.52845723045175</v>
      </c>
      <c r="AJ251" s="571">
        <f>'Fuel Consumption'!AQ45</f>
        <v>648.03174283843612</v>
      </c>
      <c r="AK251" s="571">
        <f>'Fuel Consumption'!AR45</f>
        <v>572.72717391526328</v>
      </c>
      <c r="AL251" s="571">
        <f>'Fuel Consumption'!AS45</f>
        <v>499.18765244733618</v>
      </c>
      <c r="AM251" s="571">
        <f>'Fuel Consumption'!AT45</f>
        <v>426.99763187591651</v>
      </c>
      <c r="AN251" s="571">
        <f>'Fuel Consumption'!AU45</f>
        <v>355.75138189485648</v>
      </c>
      <c r="AO251" s="571">
        <f>'Fuel Consumption'!AV45</f>
        <v>288.40264346237711</v>
      </c>
      <c r="AP251" s="571">
        <f>'Fuel Consumption'!AW45</f>
        <v>219.33832167082295</v>
      </c>
      <c r="AQ251" s="571">
        <f>'Fuel Consumption'!AX45</f>
        <v>148.37053700424246</v>
      </c>
      <c r="AR251" s="571">
        <f>'Fuel Consumption'!AY45</f>
        <v>75.316939418624798</v>
      </c>
      <c r="AS251" s="571">
        <f>'Fuel Consumption'!AZ45</f>
        <v>0</v>
      </c>
    </row>
    <row r="252" spans="1:45" s="247" customFormat="1" outlineLevel="1">
      <c r="A252" s="229">
        <v>2</v>
      </c>
      <c r="B252" s="229" t="str">
        <f t="shared" si="52"/>
        <v>2Non-DomesticEnergy use by fuel</v>
      </c>
      <c r="C252" s="234" t="str">
        <f t="shared" si="53"/>
        <v>Non-DomesticEnergy use by fuel</v>
      </c>
      <c r="D252" s="229"/>
      <c r="E252" s="313" t="s">
        <v>210</v>
      </c>
      <c r="F252" s="229"/>
      <c r="G252" s="234" t="s">
        <v>198</v>
      </c>
      <c r="H252" s="229"/>
      <c r="I252" s="229"/>
      <c r="J252" s="571">
        <f>'Fuel Consumption'!Q46+'Fuel Consumption'!Q77+'Fuel Consumption'!Q85</f>
        <v>13745.653152682475</v>
      </c>
      <c r="K252" s="571">
        <f>'Fuel Consumption'!R46+'Fuel Consumption'!R77+'Fuel Consumption'!R85</f>
        <v>13814.838239435241</v>
      </c>
      <c r="L252" s="571">
        <f>'Fuel Consumption'!S46+'Fuel Consumption'!S77+'Fuel Consumption'!S85</f>
        <v>13877.759701252535</v>
      </c>
      <c r="M252" s="571">
        <f>'Fuel Consumption'!T46+'Fuel Consumption'!T77+'Fuel Consumption'!T85</f>
        <v>13940.492786354995</v>
      </c>
      <c r="N252" s="571">
        <f>'Fuel Consumption'!U46+'Fuel Consumption'!U77+'Fuel Consumption'!U85</f>
        <v>13970.027164338868</v>
      </c>
      <c r="O252" s="571">
        <f>'Fuel Consumption'!V46+'Fuel Consumption'!V77+'Fuel Consumption'!V85</f>
        <v>14048.783960166636</v>
      </c>
      <c r="P252" s="571">
        <f>'Fuel Consumption'!W46+'Fuel Consumption'!W77+'Fuel Consumption'!W85</f>
        <v>14074.004292097701</v>
      </c>
      <c r="Q252" s="571">
        <f>'Fuel Consumption'!X46+'Fuel Consumption'!X77+'Fuel Consumption'!X85</f>
        <v>14103.799931873462</v>
      </c>
      <c r="R252" s="571">
        <f>'Fuel Consumption'!Y46+'Fuel Consumption'!Y77+'Fuel Consumption'!Y85</f>
        <v>14070.407067761265</v>
      </c>
      <c r="S252" s="571">
        <f>'Fuel Consumption'!Z46+'Fuel Consumption'!Z77+'Fuel Consumption'!Z85</f>
        <v>13979.940520357466</v>
      </c>
      <c r="T252" s="571">
        <f>'Fuel Consumption'!AA46+'Fuel Consumption'!AA77+'Fuel Consumption'!AA85</f>
        <v>13851.304558434782</v>
      </c>
      <c r="U252" s="571">
        <f>'Fuel Consumption'!AB46+'Fuel Consumption'!AB77+'Fuel Consumption'!AB85</f>
        <v>13687.837929359946</v>
      </c>
      <c r="V252" s="571">
        <f>'Fuel Consumption'!AC46+'Fuel Consumption'!AC77+'Fuel Consumption'!AC85</f>
        <v>13487.174278922073</v>
      </c>
      <c r="W252" s="571">
        <f>'Fuel Consumption'!AD46+'Fuel Consumption'!AD77+'Fuel Consumption'!AD85</f>
        <v>13275.196667327882</v>
      </c>
      <c r="X252" s="571">
        <f>'Fuel Consumption'!AE46+'Fuel Consumption'!AE77+'Fuel Consumption'!AE85</f>
        <v>13006.087256396377</v>
      </c>
      <c r="Y252" s="571">
        <f>'Fuel Consumption'!AF46+'Fuel Consumption'!AF77+'Fuel Consumption'!AF85</f>
        <v>12692.881604706194</v>
      </c>
      <c r="Z252" s="571">
        <f>'Fuel Consumption'!AG46+'Fuel Consumption'!AG77+'Fuel Consumption'!AG85</f>
        <v>12728.766577652694</v>
      </c>
      <c r="AA252" s="571">
        <f>'Fuel Consumption'!AH46+'Fuel Consumption'!AH77+'Fuel Consumption'!AH85</f>
        <v>12775.341089853819</v>
      </c>
      <c r="AB252" s="571">
        <f>'Fuel Consumption'!AI46+'Fuel Consumption'!AI77+'Fuel Consumption'!AI85</f>
        <v>12834.368414968105</v>
      </c>
      <c r="AC252" s="571">
        <f>'Fuel Consumption'!AJ46+'Fuel Consumption'!AJ77+'Fuel Consumption'!AJ85</f>
        <v>12907.726750676406</v>
      </c>
      <c r="AD252" s="571">
        <f>'Fuel Consumption'!AK46+'Fuel Consumption'!AK77+'Fuel Consumption'!AK85</f>
        <v>13031.573262239517</v>
      </c>
      <c r="AE252" s="571">
        <f>'Fuel Consumption'!AL46+'Fuel Consumption'!AL77+'Fuel Consumption'!AL85</f>
        <v>13243.418326399578</v>
      </c>
      <c r="AF252" s="571">
        <f>'Fuel Consumption'!AM46+'Fuel Consumption'!AM77+'Fuel Consumption'!AM85</f>
        <v>13414.208241910848</v>
      </c>
      <c r="AG252" s="571">
        <f>'Fuel Consumption'!AN46+'Fuel Consumption'!AN77+'Fuel Consumption'!AN85</f>
        <v>13560.736614100551</v>
      </c>
      <c r="AH252" s="571">
        <f>'Fuel Consumption'!AO46+'Fuel Consumption'!AO77+'Fuel Consumption'!AO85</f>
        <v>13699.291552360719</v>
      </c>
      <c r="AI252" s="571">
        <f>'Fuel Consumption'!AP46+'Fuel Consumption'!AP77+'Fuel Consumption'!AP85</f>
        <v>13838.37568482902</v>
      </c>
      <c r="AJ252" s="571">
        <f>'Fuel Consumption'!AQ46+'Fuel Consumption'!AQ77+'Fuel Consumption'!AQ85</f>
        <v>13970.834202712511</v>
      </c>
      <c r="AK252" s="571">
        <f>'Fuel Consumption'!AR46+'Fuel Consumption'!AR77+'Fuel Consumption'!AR85</f>
        <v>14102.655262440137</v>
      </c>
      <c r="AL252" s="571">
        <f>'Fuel Consumption'!AS46+'Fuel Consumption'!AS77+'Fuel Consumption'!AS85</f>
        <v>14234.25337032638</v>
      </c>
      <c r="AM252" s="571">
        <f>'Fuel Consumption'!AT46+'Fuel Consumption'!AT77+'Fuel Consumption'!AT85</f>
        <v>14366.031073259492</v>
      </c>
      <c r="AN252" s="571">
        <f>'Fuel Consumption'!AU46+'Fuel Consumption'!AU77+'Fuel Consumption'!AU85</f>
        <v>14498.380730763656</v>
      </c>
      <c r="AO252" s="571">
        <f>'Fuel Consumption'!AV46+'Fuel Consumption'!AV77+'Fuel Consumption'!AV85</f>
        <v>14642.546166801014</v>
      </c>
      <c r="AP252" s="571">
        <f>'Fuel Consumption'!AW46+'Fuel Consumption'!AW77+'Fuel Consumption'!AW85</f>
        <v>14788.701548756573</v>
      </c>
      <c r="AQ252" s="571">
        <f>'Fuel Consumption'!AX46+'Fuel Consumption'!AX77+'Fuel Consumption'!AX85</f>
        <v>14937.032138608616</v>
      </c>
      <c r="AR252" s="571">
        <f>'Fuel Consumption'!AY46+'Fuel Consumption'!AY77+'Fuel Consumption'!AY85</f>
        <v>15087.717359106198</v>
      </c>
      <c r="AS252" s="571">
        <f>'Fuel Consumption'!AZ46+'Fuel Consumption'!AZ77+'Fuel Consumption'!AZ85</f>
        <v>15240.931528556193</v>
      </c>
    </row>
    <row r="253" spans="1:45" s="247" customFormat="1" outlineLevel="1">
      <c r="A253" s="229">
        <v>3</v>
      </c>
      <c r="B253" s="229" t="str">
        <f t="shared" si="52"/>
        <v>3Non-DomesticEnergy use by fuel</v>
      </c>
      <c r="C253" s="234" t="str">
        <f t="shared" si="53"/>
        <v>Non-DomesticEnergy use by fuel</v>
      </c>
      <c r="D253" s="229"/>
      <c r="E253" s="313" t="s">
        <v>160</v>
      </c>
      <c r="F253" s="313"/>
      <c r="G253" s="234" t="s">
        <v>198</v>
      </c>
      <c r="H253" s="229"/>
      <c r="I253" s="313"/>
      <c r="J253" s="571">
        <f>'Fuel Consumption'!Q47</f>
        <v>440.90447692995861</v>
      </c>
      <c r="K253" s="571">
        <f>'Fuel Consumption'!R47</f>
        <v>451.071687521059</v>
      </c>
      <c r="L253" s="571">
        <f>'Fuel Consumption'!S47</f>
        <v>461.46977658693959</v>
      </c>
      <c r="M253" s="571">
        <f>'Fuel Consumption'!T47</f>
        <v>472.07155657215372</v>
      </c>
      <c r="N253" s="571">
        <f>'Fuel Consumption'!U47</f>
        <v>482.84983992125535</v>
      </c>
      <c r="O253" s="571">
        <f>'Fuel Consumption'!V47</f>
        <v>570.49074475477425</v>
      </c>
      <c r="P253" s="571">
        <f>'Fuel Consumption'!W47</f>
        <v>604.11331498608558</v>
      </c>
      <c r="Q253" s="571">
        <f>'Fuel Consumption'!X47</f>
        <v>637.95087155562885</v>
      </c>
      <c r="R253" s="571">
        <f>'Fuel Consumption'!Y47</f>
        <v>667.07791866177638</v>
      </c>
      <c r="S253" s="571">
        <f>'Fuel Consumption'!Z47</f>
        <v>691.50882994968094</v>
      </c>
      <c r="T253" s="571">
        <f>'Fuel Consumption'!AA47</f>
        <v>710.73832165286456</v>
      </c>
      <c r="U253" s="571">
        <f>'Fuel Consumption'!AB47</f>
        <v>691.86135574842626</v>
      </c>
      <c r="V253" s="571">
        <f>'Fuel Consumption'!AC47</f>
        <v>671.94624343245459</v>
      </c>
      <c r="W253" s="571">
        <f>'Fuel Consumption'!AD47</f>
        <v>650.96489936756802</v>
      </c>
      <c r="X253" s="571">
        <f>'Fuel Consumption'!AE47</f>
        <v>628.93131679713429</v>
      </c>
      <c r="Y253" s="571">
        <f>'Fuel Consumption'!AF47</f>
        <v>605.89837120092841</v>
      </c>
      <c r="Z253" s="571">
        <f>'Fuel Consumption'!AG47</f>
        <v>598.13657500812144</v>
      </c>
      <c r="AA253" s="571">
        <f>'Fuel Consumption'!AH47</f>
        <v>588.22084416823714</v>
      </c>
      <c r="AB253" s="571">
        <f>'Fuel Consumption'!AI47</f>
        <v>557.9159992684107</v>
      </c>
      <c r="AC253" s="571">
        <f>'Fuel Consumption'!AJ47</f>
        <v>526.20847262298514</v>
      </c>
      <c r="AD253" s="571">
        <f>'Fuel Consumption'!AK47</f>
        <v>493.53280187230479</v>
      </c>
      <c r="AE253" s="571">
        <f>'Fuel Consumption'!AL47</f>
        <v>461.00681692999444</v>
      </c>
      <c r="AF253" s="571">
        <f>'Fuel Consumption'!AM47</f>
        <v>428.84619586261152</v>
      </c>
      <c r="AG253" s="571">
        <f>'Fuel Consumption'!AN47</f>
        <v>397.35770013717251</v>
      </c>
      <c r="AH253" s="571">
        <f>'Fuel Consumption'!AO47</f>
        <v>363.47703002792269</v>
      </c>
      <c r="AI253" s="571">
        <f>'Fuel Consumption'!AP47</f>
        <v>330.3572399801991</v>
      </c>
      <c r="AJ253" s="571">
        <f>'Fuel Consumption'!AQ47</f>
        <v>309.43356878425914</v>
      </c>
      <c r="AK253" s="571">
        <f>'Fuel Consumption'!AR47</f>
        <v>287.9789229313588</v>
      </c>
      <c r="AL253" s="571">
        <f>'Fuel Consumption'!AS47</f>
        <v>266.12012836999975</v>
      </c>
      <c r="AM253" s="571">
        <f>'Fuel Consumption'!AT47</f>
        <v>243.98255380797428</v>
      </c>
      <c r="AN253" s="571">
        <f>'Fuel Consumption'!AU47</f>
        <v>221.69036817916759</v>
      </c>
      <c r="AO253" s="571">
        <f>'Fuel Consumption'!AV47</f>
        <v>193.97566942645116</v>
      </c>
      <c r="AP253" s="571">
        <f>'Fuel Consumption'!AW47</f>
        <v>182.55192397762519</v>
      </c>
      <c r="AQ253" s="571">
        <f>'Fuel Consumption'!AX47</f>
        <v>171.33325267524347</v>
      </c>
      <c r="AR253" s="571">
        <f>'Fuel Consumption'!AY47</f>
        <v>160.33301026321294</v>
      </c>
      <c r="AS253" s="571">
        <f>'Fuel Consumption'!AZ47</f>
        <v>149.56457539948917</v>
      </c>
    </row>
    <row r="254" spans="1:45" s="247" customFormat="1" outlineLevel="1">
      <c r="A254" s="229">
        <v>4</v>
      </c>
      <c r="B254" s="229" t="str">
        <f t="shared" si="52"/>
        <v>4Non-DomesticEnergy use by fuel</v>
      </c>
      <c r="C254" s="234" t="str">
        <f t="shared" si="53"/>
        <v>Non-DomesticEnergy use by fuel</v>
      </c>
      <c r="D254" s="229"/>
      <c r="E254" s="313" t="s">
        <v>211</v>
      </c>
      <c r="F254" s="229"/>
      <c r="G254" s="234" t="s">
        <v>198</v>
      </c>
      <c r="H254" s="229"/>
      <c r="I254" s="229"/>
      <c r="J254" s="571">
        <f>'Fuel Consumption'!Q48</f>
        <v>0</v>
      </c>
      <c r="K254" s="571">
        <f>'Fuel Consumption'!R48</f>
        <v>0</v>
      </c>
      <c r="L254" s="571">
        <f>'Fuel Consumption'!S48</f>
        <v>0</v>
      </c>
      <c r="M254" s="571">
        <f>'Fuel Consumption'!T48</f>
        <v>0</v>
      </c>
      <c r="N254" s="571">
        <f>'Fuel Consumption'!U48</f>
        <v>0</v>
      </c>
      <c r="O254" s="571">
        <f>'Fuel Consumption'!V48</f>
        <v>0</v>
      </c>
      <c r="P254" s="571">
        <f>'Fuel Consumption'!W48</f>
        <v>0</v>
      </c>
      <c r="Q254" s="571">
        <f>'Fuel Consumption'!X48</f>
        <v>0</v>
      </c>
      <c r="R254" s="571">
        <f>'Fuel Consumption'!Y48</f>
        <v>0</v>
      </c>
      <c r="S254" s="571">
        <f>'Fuel Consumption'!Z48</f>
        <v>0</v>
      </c>
      <c r="T254" s="571">
        <f>'Fuel Consumption'!AA48</f>
        <v>0</v>
      </c>
      <c r="U254" s="571">
        <f>'Fuel Consumption'!AB48</f>
        <v>0</v>
      </c>
      <c r="V254" s="571">
        <f>'Fuel Consumption'!AC48</f>
        <v>39.489509197599759</v>
      </c>
      <c r="W254" s="571">
        <f>'Fuel Consumption'!AD48</f>
        <v>68.767653811897702</v>
      </c>
      <c r="X254" s="571">
        <f>'Fuel Consumption'!AE48</f>
        <v>88.286519977175104</v>
      </c>
      <c r="Y254" s="571">
        <f>'Fuel Consumption'!AF48</f>
        <v>99.835308208604019</v>
      </c>
      <c r="Z254" s="571">
        <f>'Fuel Consumption'!AG48</f>
        <v>125.50043266508297</v>
      </c>
      <c r="AA254" s="571">
        <f>'Fuel Consumption'!AH48</f>
        <v>140.55749372024081</v>
      </c>
      <c r="AB254" s="571">
        <f>'Fuel Consumption'!AI48</f>
        <v>147.38578284204064</v>
      </c>
      <c r="AC254" s="571">
        <f>'Fuel Consumption'!AJ48</f>
        <v>147.78690662088158</v>
      </c>
      <c r="AD254" s="571">
        <f>'Fuel Consumption'!AK48</f>
        <v>126.45589329002019</v>
      </c>
      <c r="AE254" s="571">
        <f>'Fuel Consumption'!AL48</f>
        <v>98.253010444255267</v>
      </c>
      <c r="AF254" s="571">
        <f>'Fuel Consumption'!AM48</f>
        <v>77.824077817022058</v>
      </c>
      <c r="AG254" s="571">
        <f>'Fuel Consumption'!AN48</f>
        <v>63.73013332747162</v>
      </c>
      <c r="AH254" s="571">
        <f>'Fuel Consumption'!AO48</f>
        <v>58.715823951984952</v>
      </c>
      <c r="AI254" s="571">
        <f>'Fuel Consumption'!AP48</f>
        <v>53.724553108905731</v>
      </c>
      <c r="AJ254" s="571">
        <f>'Fuel Consumption'!AQ48</f>
        <v>48.095127849408144</v>
      </c>
      <c r="AK254" s="571">
        <f>'Fuel Consumption'!AR48</f>
        <v>42.585039782077246</v>
      </c>
      <c r="AL254" s="571">
        <f>'Fuel Consumption'!AS48</f>
        <v>37.171231365440377</v>
      </c>
      <c r="AM254" s="571">
        <f>'Fuel Consumption'!AT48</f>
        <v>31.83047247933472</v>
      </c>
      <c r="AN254" s="571">
        <f>'Fuel Consumption'!AU48</f>
        <v>26.539372059768901</v>
      </c>
      <c r="AO254" s="571">
        <f>'Fuel Consumption'!AV48</f>
        <v>21.548691863304196</v>
      </c>
      <c r="AP254" s="571">
        <f>'Fuel Consumption'!AW48</f>
        <v>16.40722828560499</v>
      </c>
      <c r="AQ254" s="571">
        <f>'Fuel Consumption'!AX48</f>
        <v>11.107220501811907</v>
      </c>
      <c r="AR254" s="571">
        <f>'Fuel Consumption'!AY48</f>
        <v>5.6408002774923327</v>
      </c>
      <c r="AS254" s="571">
        <f>'Fuel Consumption'!AZ48</f>
        <v>0</v>
      </c>
    </row>
    <row r="255" spans="1:45" s="235" customFormat="1" outlineLevel="1">
      <c r="A255" s="229">
        <v>5</v>
      </c>
      <c r="B255" s="229" t="str">
        <f t="shared" si="52"/>
        <v>5Non-DomesticEnergy use by fuel</v>
      </c>
      <c r="C255" s="234" t="str">
        <f t="shared" si="53"/>
        <v>Non-DomesticEnergy use by fuel</v>
      </c>
      <c r="D255" s="229"/>
      <c r="E255" s="313" t="s">
        <v>97</v>
      </c>
      <c r="F255" s="229"/>
      <c r="G255" s="234" t="s">
        <v>198</v>
      </c>
      <c r="H255" s="229"/>
      <c r="I255" s="229"/>
      <c r="J255" s="571">
        <f>'Fuel Consumption'!Q74</f>
        <v>1.8260362353321824</v>
      </c>
      <c r="K255" s="571">
        <f>'Fuel Consumption'!R74</f>
        <v>3.146442664226158</v>
      </c>
      <c r="L255" s="571">
        <f>'Fuel Consumption'!S74</f>
        <v>4.4668490931201328</v>
      </c>
      <c r="M255" s="571">
        <f>'Fuel Consumption'!T74</f>
        <v>5.7872555220141129</v>
      </c>
      <c r="N255" s="571">
        <f>'Fuel Consumption'!U74</f>
        <v>7.1076619509080885</v>
      </c>
      <c r="O255" s="571">
        <f>'Fuel Consumption'!V74</f>
        <v>8.428068379802065</v>
      </c>
      <c r="P255" s="571">
        <f>'Fuel Consumption'!W74</f>
        <v>9.748474808696038</v>
      </c>
      <c r="Q255" s="571">
        <f>'Fuel Consumption'!X74</f>
        <v>11.068881237590016</v>
      </c>
      <c r="R255" s="571">
        <f>'Fuel Consumption'!Y74</f>
        <v>12.389287666483989</v>
      </c>
      <c r="S255" s="571">
        <f>'Fuel Consumption'!Z74</f>
        <v>13.709694095377971</v>
      </c>
      <c r="T255" s="571">
        <f>'Fuel Consumption'!AA74</f>
        <v>15.030100524271949</v>
      </c>
      <c r="U255" s="571">
        <f>'Fuel Consumption'!AB74</f>
        <v>17.332571786094938</v>
      </c>
      <c r="V255" s="571">
        <f>'Fuel Consumption'!AC74</f>
        <v>19.635043047917932</v>
      </c>
      <c r="W255" s="571">
        <f>'Fuel Consumption'!AD74</f>
        <v>21.937514309740926</v>
      </c>
      <c r="X255" s="571">
        <f>'Fuel Consumption'!AE74</f>
        <v>24.239985571563921</v>
      </c>
      <c r="Y255" s="571">
        <f>'Fuel Consumption'!AF74</f>
        <v>26.542456833386918</v>
      </c>
      <c r="Z255" s="571">
        <f>'Fuel Consumption'!AG74</f>
        <v>28.844928095209902</v>
      </c>
      <c r="AA255" s="571">
        <f>'Fuel Consumption'!AH74</f>
        <v>31.147399357032899</v>
      </c>
      <c r="AB255" s="571">
        <f>'Fuel Consumption'!AI74</f>
        <v>33.449870618855897</v>
      </c>
      <c r="AC255" s="571">
        <f>'Fuel Consumption'!AJ74</f>
        <v>35.752341880678891</v>
      </c>
      <c r="AD255" s="571">
        <f>'Fuel Consumption'!AK74</f>
        <v>38.054813142501885</v>
      </c>
      <c r="AE255" s="571">
        <f>'Fuel Consumption'!AL74</f>
        <v>40.357284404324879</v>
      </c>
      <c r="AF255" s="571">
        <f>'Fuel Consumption'!AM74</f>
        <v>42.659755666147873</v>
      </c>
      <c r="AG255" s="571">
        <f>'Fuel Consumption'!AN74</f>
        <v>44.962226927970875</v>
      </c>
      <c r="AH255" s="571">
        <f>'Fuel Consumption'!AO74</f>
        <v>47.264698189793869</v>
      </c>
      <c r="AI255" s="571">
        <f>'Fuel Consumption'!AP74</f>
        <v>49.567169451616849</v>
      </c>
      <c r="AJ255" s="571">
        <f>'Fuel Consumption'!AQ74</f>
        <v>51.869640713439857</v>
      </c>
      <c r="AK255" s="571">
        <f>'Fuel Consumption'!AR74</f>
        <v>54.172111975262837</v>
      </c>
      <c r="AL255" s="571">
        <f>'Fuel Consumption'!AS74</f>
        <v>56.474583237085845</v>
      </c>
      <c r="AM255" s="571">
        <f>'Fuel Consumption'!AT74</f>
        <v>58.777054498908832</v>
      </c>
      <c r="AN255" s="571">
        <f>'Fuel Consumption'!AU74</f>
        <v>61.079525760731826</v>
      </c>
      <c r="AO255" s="571">
        <f>'Fuel Consumption'!AV74</f>
        <v>63.381997022554827</v>
      </c>
      <c r="AP255" s="571">
        <f>'Fuel Consumption'!AW74</f>
        <v>65.684468284377814</v>
      </c>
      <c r="AQ255" s="571">
        <f>'Fuel Consumption'!AX74</f>
        <v>67.986939546200787</v>
      </c>
      <c r="AR255" s="571">
        <f>'Fuel Consumption'!AY74</f>
        <v>70.289410808023788</v>
      </c>
      <c r="AS255" s="571">
        <f>'Fuel Consumption'!AZ74</f>
        <v>72.59188206984679</v>
      </c>
    </row>
    <row r="256" spans="1:45" s="229" customFormat="1" outlineLevel="1">
      <c r="A256" s="229">
        <v>6</v>
      </c>
      <c r="B256" s="229" t="str">
        <f t="shared" si="52"/>
        <v>6</v>
      </c>
      <c r="C256" s="234"/>
      <c r="E256" s="313"/>
      <c r="F256" s="313"/>
      <c r="G256" s="234"/>
      <c r="I256" s="313"/>
      <c r="J256" s="235"/>
      <c r="K256" s="235"/>
      <c r="L256" s="235"/>
      <c r="M256" s="235"/>
      <c r="N256" s="235"/>
      <c r="O256" s="235"/>
      <c r="P256" s="235"/>
      <c r="Q256" s="235"/>
      <c r="R256" s="235"/>
      <c r="S256" s="235"/>
      <c r="T256" s="235"/>
      <c r="U256" s="235"/>
      <c r="V256" s="235"/>
      <c r="W256" s="235"/>
      <c r="X256" s="235"/>
      <c r="Y256" s="235"/>
      <c r="Z256" s="235"/>
      <c r="AA256" s="235"/>
      <c r="AB256" s="235"/>
      <c r="AC256" s="235"/>
      <c r="AD256" s="235"/>
      <c r="AE256" s="235"/>
      <c r="AF256" s="235"/>
      <c r="AG256" s="235"/>
      <c r="AH256" s="235"/>
      <c r="AI256" s="235"/>
      <c r="AJ256" s="235"/>
      <c r="AK256" s="235"/>
      <c r="AL256" s="235"/>
      <c r="AM256" s="235"/>
      <c r="AN256" s="235"/>
      <c r="AO256" s="235"/>
      <c r="AP256" s="235"/>
      <c r="AQ256" s="235"/>
      <c r="AR256" s="235"/>
      <c r="AS256" s="235"/>
    </row>
    <row r="257" spans="1:45" s="229" customFormat="1" outlineLevel="1">
      <c r="A257" s="229">
        <v>7</v>
      </c>
      <c r="B257" s="229" t="str">
        <f t="shared" si="52"/>
        <v>7</v>
      </c>
      <c r="C257" s="234"/>
      <c r="E257" s="313"/>
      <c r="F257" s="313"/>
      <c r="G257" s="234"/>
      <c r="I257" s="313"/>
      <c r="J257" s="247"/>
      <c r="K257" s="247"/>
      <c r="L257" s="247"/>
      <c r="M257" s="247"/>
      <c r="N257" s="247"/>
      <c r="O257" s="247"/>
      <c r="P257" s="247"/>
      <c r="Q257" s="247"/>
      <c r="R257" s="247"/>
      <c r="S257" s="247"/>
      <c r="T257" s="247"/>
      <c r="U257" s="247"/>
      <c r="V257" s="247"/>
      <c r="W257" s="247"/>
      <c r="X257" s="247"/>
      <c r="Y257" s="247"/>
      <c r="Z257" s="247"/>
      <c r="AA257" s="247"/>
      <c r="AB257" s="247"/>
      <c r="AC257" s="247"/>
      <c r="AD257" s="247"/>
      <c r="AE257" s="247"/>
      <c r="AF257" s="247"/>
      <c r="AG257" s="247"/>
      <c r="AH257" s="247"/>
      <c r="AI257" s="247"/>
      <c r="AJ257" s="247"/>
      <c r="AK257" s="247"/>
      <c r="AL257" s="247"/>
      <c r="AM257" s="247"/>
      <c r="AN257" s="247"/>
      <c r="AO257" s="247"/>
      <c r="AP257" s="247"/>
      <c r="AQ257" s="247"/>
      <c r="AR257" s="247"/>
      <c r="AS257" s="247"/>
    </row>
    <row r="258" spans="1:45" s="229" customFormat="1" outlineLevel="1">
      <c r="A258" s="229">
        <v>8</v>
      </c>
      <c r="B258" s="229" t="str">
        <f t="shared" si="52"/>
        <v>8</v>
      </c>
      <c r="C258" s="234"/>
      <c r="E258" s="313"/>
      <c r="F258" s="313"/>
      <c r="G258" s="234"/>
      <c r="I258" s="313"/>
      <c r="J258" s="247"/>
      <c r="K258" s="247"/>
      <c r="L258" s="247"/>
      <c r="M258" s="247"/>
      <c r="N258" s="247"/>
      <c r="O258" s="247"/>
      <c r="P258" s="247"/>
      <c r="Q258" s="247"/>
      <c r="R258" s="247"/>
      <c r="S258" s="247"/>
      <c r="T258" s="247"/>
      <c r="U258" s="247"/>
      <c r="V258" s="247"/>
      <c r="W258" s="247"/>
      <c r="X258" s="247"/>
      <c r="Y258" s="247"/>
      <c r="Z258" s="247"/>
      <c r="AA258" s="247"/>
      <c r="AB258" s="247"/>
      <c r="AC258" s="247"/>
      <c r="AD258" s="247"/>
      <c r="AE258" s="247"/>
      <c r="AF258" s="247"/>
      <c r="AG258" s="247"/>
      <c r="AH258" s="247"/>
      <c r="AI258" s="247"/>
      <c r="AJ258" s="247"/>
      <c r="AK258" s="247"/>
      <c r="AL258" s="247"/>
      <c r="AM258" s="247"/>
      <c r="AN258" s="247"/>
      <c r="AO258" s="247"/>
      <c r="AP258" s="247"/>
      <c r="AQ258" s="247"/>
      <c r="AR258" s="247"/>
      <c r="AS258" s="247"/>
    </row>
    <row r="259" spans="1:45" s="229" customFormat="1" outlineLevel="1">
      <c r="A259" s="229">
        <v>9</v>
      </c>
      <c r="B259" s="229" t="str">
        <f t="shared" si="52"/>
        <v>9</v>
      </c>
      <c r="C259" s="234"/>
      <c r="E259" s="313"/>
      <c r="F259" s="313"/>
      <c r="G259" s="234"/>
      <c r="I259" s="313"/>
      <c r="J259" s="247"/>
      <c r="K259" s="247"/>
      <c r="L259" s="247"/>
      <c r="M259" s="247"/>
      <c r="N259" s="247"/>
      <c r="O259" s="247"/>
      <c r="P259" s="247"/>
      <c r="Q259" s="247"/>
      <c r="R259" s="247"/>
      <c r="S259" s="247"/>
      <c r="T259" s="247"/>
      <c r="U259" s="247"/>
      <c r="V259" s="247"/>
      <c r="W259" s="247"/>
      <c r="X259" s="247"/>
      <c r="Y259" s="247"/>
      <c r="Z259" s="247"/>
      <c r="AA259" s="247"/>
      <c r="AB259" s="247"/>
      <c r="AC259" s="247"/>
      <c r="AD259" s="247"/>
      <c r="AE259" s="247"/>
      <c r="AF259" s="247"/>
      <c r="AG259" s="247"/>
      <c r="AH259" s="247"/>
      <c r="AI259" s="247"/>
      <c r="AJ259" s="247"/>
      <c r="AK259" s="247"/>
      <c r="AL259" s="247"/>
      <c r="AM259" s="247"/>
      <c r="AN259" s="247"/>
      <c r="AO259" s="247"/>
      <c r="AP259" s="247"/>
      <c r="AQ259" s="247"/>
      <c r="AR259" s="247"/>
      <c r="AS259" s="247"/>
    </row>
    <row r="260" spans="1:45" s="229" customFormat="1" outlineLevel="1">
      <c r="A260" s="229">
        <v>10</v>
      </c>
      <c r="B260" s="229" t="str">
        <f t="shared" si="52"/>
        <v>10</v>
      </c>
      <c r="C260" s="234"/>
      <c r="E260" s="313"/>
      <c r="F260" s="313"/>
      <c r="G260" s="234"/>
      <c r="I260" s="313"/>
      <c r="J260" s="247"/>
      <c r="K260" s="247"/>
      <c r="L260" s="247"/>
      <c r="M260" s="247"/>
      <c r="N260" s="247"/>
      <c r="O260" s="247"/>
      <c r="P260" s="247"/>
      <c r="Q260" s="247"/>
      <c r="R260" s="247"/>
      <c r="S260" s="247"/>
      <c r="T260" s="247"/>
      <c r="U260" s="247"/>
      <c r="V260" s="247"/>
      <c r="W260" s="247"/>
      <c r="X260" s="247"/>
      <c r="Y260" s="247"/>
      <c r="Z260" s="247"/>
      <c r="AA260" s="247"/>
      <c r="AB260" s="247"/>
      <c r="AC260" s="247"/>
      <c r="AD260" s="247"/>
      <c r="AE260" s="247"/>
      <c r="AF260" s="247"/>
      <c r="AG260" s="247"/>
      <c r="AH260" s="247"/>
      <c r="AI260" s="247"/>
      <c r="AJ260" s="247"/>
      <c r="AK260" s="247"/>
      <c r="AL260" s="247"/>
      <c r="AM260" s="247"/>
      <c r="AN260" s="247"/>
      <c r="AO260" s="247"/>
      <c r="AP260" s="247"/>
      <c r="AQ260" s="247"/>
      <c r="AR260" s="247"/>
      <c r="AS260" s="247"/>
    </row>
    <row r="261" spans="1:45" s="229" customFormat="1" outlineLevel="1">
      <c r="A261" s="229">
        <v>11</v>
      </c>
      <c r="B261" s="229" t="str">
        <f t="shared" si="52"/>
        <v>11</v>
      </c>
      <c r="C261" s="234"/>
      <c r="E261" s="313"/>
      <c r="F261" s="313"/>
      <c r="G261" s="234"/>
      <c r="I261" s="313"/>
      <c r="J261" s="247"/>
      <c r="K261" s="247"/>
      <c r="L261" s="247"/>
      <c r="M261" s="247"/>
      <c r="N261" s="247"/>
      <c r="O261" s="247"/>
      <c r="P261" s="247"/>
      <c r="Q261" s="247"/>
      <c r="R261" s="247"/>
      <c r="S261" s="247"/>
      <c r="T261" s="247"/>
      <c r="U261" s="247"/>
      <c r="V261" s="247"/>
      <c r="W261" s="247"/>
      <c r="X261" s="247"/>
      <c r="Y261" s="247"/>
      <c r="Z261" s="247"/>
      <c r="AA261" s="247"/>
      <c r="AB261" s="247"/>
      <c r="AC261" s="247"/>
      <c r="AD261" s="247"/>
      <c r="AE261" s="247"/>
      <c r="AF261" s="247"/>
      <c r="AG261" s="247"/>
      <c r="AH261" s="247"/>
      <c r="AI261" s="247"/>
      <c r="AJ261" s="247"/>
      <c r="AK261" s="247"/>
      <c r="AL261" s="247"/>
      <c r="AM261" s="247"/>
      <c r="AN261" s="247"/>
      <c r="AO261" s="247"/>
      <c r="AP261" s="247"/>
      <c r="AQ261" s="247"/>
      <c r="AR261" s="247"/>
      <c r="AS261" s="247"/>
    </row>
    <row r="262" spans="1:45" s="238" customFormat="1" outlineLevel="1">
      <c r="A262" s="229" t="s">
        <v>208</v>
      </c>
      <c r="B262" s="229" t="str">
        <f>A262&amp;C262</f>
        <v>N</v>
      </c>
      <c r="C262" s="234"/>
      <c r="E262" s="239"/>
    </row>
    <row r="263" spans="1:45" outlineLevel="1"/>
    <row r="264" spans="1:45" s="298" customFormat="1" outlineLevel="1">
      <c r="A264" s="298" t="s">
        <v>169</v>
      </c>
    </row>
    <row r="265" spans="1:45" outlineLevel="1">
      <c r="A265" s="229" t="s">
        <v>175</v>
      </c>
      <c r="B265" s="229" t="s">
        <v>176</v>
      </c>
      <c r="C265" s="229" t="s">
        <v>177</v>
      </c>
      <c r="D265" s="230"/>
      <c r="E265" s="230" t="s">
        <v>178</v>
      </c>
      <c r="F265" s="230"/>
      <c r="G265" s="230" t="s">
        <v>179</v>
      </c>
      <c r="H265" s="230" t="s">
        <v>180</v>
      </c>
      <c r="I265" s="230"/>
      <c r="J265" s="230">
        <v>2015</v>
      </c>
      <c r="K265" s="230">
        <v>2016</v>
      </c>
      <c r="L265" s="230">
        <v>2017</v>
      </c>
      <c r="M265" s="230">
        <v>2018</v>
      </c>
      <c r="N265" s="230">
        <v>2019</v>
      </c>
      <c r="O265" s="230">
        <v>2020</v>
      </c>
      <c r="P265" s="230">
        <v>2021</v>
      </c>
      <c r="Q265" s="230">
        <v>2022</v>
      </c>
      <c r="R265" s="230">
        <v>2023</v>
      </c>
      <c r="S265" s="230">
        <v>2024</v>
      </c>
      <c r="T265" s="230">
        <v>2025</v>
      </c>
      <c r="U265" s="230">
        <v>2026</v>
      </c>
      <c r="V265" s="230">
        <v>2027</v>
      </c>
      <c r="W265" s="230">
        <v>2028</v>
      </c>
      <c r="X265" s="230">
        <v>2029</v>
      </c>
      <c r="Y265" s="230">
        <v>2030</v>
      </c>
      <c r="Z265" s="230">
        <v>2031</v>
      </c>
      <c r="AA265" s="230">
        <v>2032</v>
      </c>
      <c r="AB265" s="230">
        <v>2033</v>
      </c>
      <c r="AC265" s="230">
        <v>2034</v>
      </c>
      <c r="AD265" s="230">
        <v>2035</v>
      </c>
      <c r="AE265" s="230">
        <v>2036</v>
      </c>
      <c r="AF265" s="230">
        <v>2037</v>
      </c>
      <c r="AG265" s="230">
        <v>2038</v>
      </c>
      <c r="AH265" s="230">
        <v>2039</v>
      </c>
      <c r="AI265" s="230">
        <v>2040</v>
      </c>
      <c r="AJ265" s="230">
        <v>2041</v>
      </c>
      <c r="AK265" s="230">
        <v>2042</v>
      </c>
      <c r="AL265" s="230">
        <v>2043</v>
      </c>
      <c r="AM265" s="230">
        <v>2044</v>
      </c>
      <c r="AN265" s="230">
        <v>2045</v>
      </c>
      <c r="AO265" s="230">
        <v>2046</v>
      </c>
      <c r="AP265" s="230">
        <v>2047</v>
      </c>
      <c r="AQ265" s="230">
        <v>2048</v>
      </c>
      <c r="AR265" s="230">
        <v>2049</v>
      </c>
      <c r="AS265" s="230">
        <v>2050</v>
      </c>
    </row>
    <row r="266" spans="1:45" outlineLevel="1"/>
    <row r="267" spans="1:45" s="229" customFormat="1" outlineLevel="1">
      <c r="A267" s="229">
        <v>0</v>
      </c>
      <c r="B267" s="229" t="str">
        <f t="shared" ref="B267:B278" si="54">A267&amp;C267</f>
        <v>0Non-DomesticEnergy Demand by Building Type</v>
      </c>
      <c r="C267" s="234" t="str">
        <f>$A$210&amp;$A$264</f>
        <v>Non-DomesticEnergy Demand by Building Type</v>
      </c>
      <c r="E267" s="248" t="s">
        <v>182</v>
      </c>
      <c r="G267" s="234"/>
      <c r="J267" s="237"/>
      <c r="K267" s="237"/>
      <c r="L267" s="237"/>
      <c r="M267" s="237"/>
      <c r="N267" s="237"/>
      <c r="O267" s="237"/>
      <c r="P267" s="237"/>
      <c r="Q267" s="237"/>
      <c r="R267" s="237"/>
      <c r="S267" s="237"/>
      <c r="T267" s="237"/>
      <c r="U267" s="237"/>
      <c r="V267" s="237"/>
      <c r="W267" s="237"/>
      <c r="X267" s="237"/>
      <c r="Y267" s="237"/>
      <c r="Z267" s="237"/>
      <c r="AA267" s="237"/>
      <c r="AB267" s="237"/>
      <c r="AC267" s="237"/>
      <c r="AD267" s="237"/>
      <c r="AE267" s="237"/>
      <c r="AF267" s="237"/>
      <c r="AG267" s="237"/>
      <c r="AH267" s="237"/>
      <c r="AI267" s="237"/>
      <c r="AJ267" s="237"/>
      <c r="AK267" s="237"/>
      <c r="AL267" s="237"/>
      <c r="AM267" s="237"/>
      <c r="AN267" s="237"/>
      <c r="AO267" s="237"/>
      <c r="AP267" s="237"/>
      <c r="AQ267" s="237"/>
      <c r="AR267" s="237"/>
      <c r="AS267" s="237"/>
    </row>
    <row r="268" spans="1:45" s="247" customFormat="1" outlineLevel="1">
      <c r="A268" s="229">
        <v>1</v>
      </c>
      <c r="B268" s="229" t="str">
        <f t="shared" si="54"/>
        <v>1Non-DomesticEnergy Demand by Building Type</v>
      </c>
      <c r="C268" s="234" t="str">
        <f t="shared" ref="C268:C271" si="55">$A$210&amp;$A$264</f>
        <v>Non-DomesticEnergy Demand by Building Type</v>
      </c>
      <c r="D268" s="229"/>
      <c r="E268" s="313" t="s">
        <v>225</v>
      </c>
      <c r="F268" s="313"/>
      <c r="G268" s="234" t="s">
        <v>198</v>
      </c>
      <c r="H268" s="229"/>
      <c r="I268" s="313"/>
      <c r="J268" s="573">
        <f>J38</f>
        <v>11792.814922671761</v>
      </c>
      <c r="K268" s="573">
        <f t="shared" ref="K268:AS268" si="56">K38</f>
        <v>11788.973624376045</v>
      </c>
      <c r="L268" s="573">
        <f t="shared" si="56"/>
        <v>11785.132326080329</v>
      </c>
      <c r="M268" s="573">
        <f t="shared" si="56"/>
        <v>11781.291027784613</v>
      </c>
      <c r="N268" s="573">
        <f t="shared" si="56"/>
        <v>11754.333903272942</v>
      </c>
      <c r="O268" s="573">
        <f t="shared" si="56"/>
        <v>11704.35924195203</v>
      </c>
      <c r="P268" s="573">
        <f t="shared" si="56"/>
        <v>11605.637453693447</v>
      </c>
      <c r="Q268" s="573">
        <f t="shared" si="56"/>
        <v>11458.59935731386</v>
      </c>
      <c r="R268" s="573">
        <f t="shared" si="56"/>
        <v>11167.1962593438</v>
      </c>
      <c r="S268" s="573">
        <f t="shared" si="56"/>
        <v>10709.316155788292</v>
      </c>
      <c r="T268" s="573">
        <f t="shared" si="56"/>
        <v>10208.713815899007</v>
      </c>
      <c r="U268" s="573">
        <f t="shared" si="56"/>
        <v>9664.4381877111828</v>
      </c>
      <c r="V268" s="573">
        <f t="shared" si="56"/>
        <v>9068.844371334093</v>
      </c>
      <c r="W268" s="573">
        <f t="shared" si="56"/>
        <v>8625.0216637955418</v>
      </c>
      <c r="X268" s="573">
        <f t="shared" si="56"/>
        <v>8128.5545326952351</v>
      </c>
      <c r="Y268" s="573">
        <f t="shared" si="56"/>
        <v>7638.2464629819206</v>
      </c>
      <c r="Z268" s="573">
        <f t="shared" si="56"/>
        <v>7225.3268148113284</v>
      </c>
      <c r="AA268" s="573">
        <f t="shared" si="56"/>
        <v>6887.3890292320812</v>
      </c>
      <c r="AB268" s="573">
        <f t="shared" si="56"/>
        <v>6622.622560971552</v>
      </c>
      <c r="AC268" s="573">
        <f t="shared" si="56"/>
        <v>6429.8160179357383</v>
      </c>
      <c r="AD268" s="573">
        <f t="shared" si="56"/>
        <v>6436.0204848485764</v>
      </c>
      <c r="AE268" s="573">
        <f t="shared" si="56"/>
        <v>6442.2405815202101</v>
      </c>
      <c r="AF268" s="573">
        <f t="shared" si="56"/>
        <v>6448.1200465716602</v>
      </c>
      <c r="AG268" s="573">
        <f t="shared" si="56"/>
        <v>6454.0152671800461</v>
      </c>
      <c r="AH268" s="573">
        <f t="shared" si="56"/>
        <v>6459.9263066334379</v>
      </c>
      <c r="AI268" s="573">
        <f t="shared" si="56"/>
        <v>6465.8532284808743</v>
      </c>
      <c r="AJ268" s="573">
        <f t="shared" si="56"/>
        <v>6471.764588147782</v>
      </c>
      <c r="AK268" s="573">
        <f t="shared" si="56"/>
        <v>6477.6603232353518</v>
      </c>
      <c r="AL268" s="573">
        <f t="shared" si="56"/>
        <v>6483.5403710873334</v>
      </c>
      <c r="AM268" s="573">
        <f t="shared" si="56"/>
        <v>6489.4046687888076</v>
      </c>
      <c r="AN268" s="573">
        <f t="shared" si="56"/>
        <v>6495.2531531649929</v>
      </c>
      <c r="AO268" s="573">
        <f t="shared" si="56"/>
        <v>6501.0857607799971</v>
      </c>
      <c r="AP268" s="573">
        <f t="shared" si="56"/>
        <v>6506.9024279356126</v>
      </c>
      <c r="AQ268" s="573">
        <f t="shared" si="56"/>
        <v>6512.7030906700675</v>
      </c>
      <c r="AR268" s="573">
        <f t="shared" si="56"/>
        <v>6518.4876847567848</v>
      </c>
      <c r="AS268" s="573">
        <f t="shared" si="56"/>
        <v>6524.2561457031397</v>
      </c>
    </row>
    <row r="269" spans="1:45" s="247" customFormat="1" outlineLevel="1">
      <c r="A269" s="229">
        <v>2</v>
      </c>
      <c r="B269" s="229" t="str">
        <f t="shared" si="54"/>
        <v>2Non-DomesticEnergy Demand by Building Type</v>
      </c>
      <c r="C269" s="234" t="str">
        <f t="shared" si="55"/>
        <v>Non-DomesticEnergy Demand by Building Type</v>
      </c>
      <c r="D269" s="229"/>
      <c r="E269" s="313" t="s">
        <v>226</v>
      </c>
      <c r="F269" s="229"/>
      <c r="G269" s="234" t="s">
        <v>198</v>
      </c>
      <c r="H269" s="229"/>
      <c r="I269" s="229"/>
      <c r="J269" s="573">
        <f t="shared" ref="J269:AS269" si="57">J39</f>
        <v>0</v>
      </c>
      <c r="K269" s="573">
        <f t="shared" si="57"/>
        <v>27.366553513897742</v>
      </c>
      <c r="L269" s="573">
        <f t="shared" si="57"/>
        <v>54.733107027793189</v>
      </c>
      <c r="M269" s="573">
        <f t="shared" si="57"/>
        <v>82.099660541690938</v>
      </c>
      <c r="N269" s="573">
        <f t="shared" si="57"/>
        <v>109.46621405558638</v>
      </c>
      <c r="O269" s="573">
        <f t="shared" si="57"/>
        <v>136.91105511386766</v>
      </c>
      <c r="P269" s="573">
        <f t="shared" si="57"/>
        <v>164.35589617214893</v>
      </c>
      <c r="Q269" s="573">
        <f t="shared" si="57"/>
        <v>191.80073723043026</v>
      </c>
      <c r="R269" s="573">
        <f t="shared" si="57"/>
        <v>219.24557828871153</v>
      </c>
      <c r="S269" s="573">
        <f t="shared" si="57"/>
        <v>246.69041934699166</v>
      </c>
      <c r="T269" s="573">
        <f t="shared" si="57"/>
        <v>274.13526040527182</v>
      </c>
      <c r="U269" s="573">
        <f t="shared" si="57"/>
        <v>294.68065003036492</v>
      </c>
      <c r="V269" s="573">
        <f t="shared" si="57"/>
        <v>315.22603965545807</v>
      </c>
      <c r="W269" s="573">
        <f t="shared" si="57"/>
        <v>335.77142928055127</v>
      </c>
      <c r="X269" s="573">
        <f t="shared" si="57"/>
        <v>356.31681890564437</v>
      </c>
      <c r="Y269" s="573">
        <f t="shared" si="57"/>
        <v>376.86220853073752</v>
      </c>
      <c r="Z269" s="573">
        <f t="shared" si="57"/>
        <v>397.40759815583067</v>
      </c>
      <c r="AA269" s="573">
        <f t="shared" si="57"/>
        <v>417.95298778092263</v>
      </c>
      <c r="AB269" s="573">
        <f t="shared" si="57"/>
        <v>438.49837740601583</v>
      </c>
      <c r="AC269" s="573">
        <f t="shared" si="57"/>
        <v>459.04376703110893</v>
      </c>
      <c r="AD269" s="573">
        <f t="shared" si="57"/>
        <v>479.58915665620208</v>
      </c>
      <c r="AE269" s="573">
        <f t="shared" si="57"/>
        <v>500.13454628129523</v>
      </c>
      <c r="AF269" s="573">
        <f t="shared" si="57"/>
        <v>520.67993590638832</v>
      </c>
      <c r="AG269" s="573">
        <f t="shared" si="57"/>
        <v>541.22532553148153</v>
      </c>
      <c r="AH269" s="573">
        <f t="shared" si="57"/>
        <v>561.77071515657462</v>
      </c>
      <c r="AI269" s="573">
        <f t="shared" si="57"/>
        <v>582.31610478166783</v>
      </c>
      <c r="AJ269" s="573">
        <f t="shared" si="57"/>
        <v>602.86149440676093</v>
      </c>
      <c r="AK269" s="573">
        <f t="shared" si="57"/>
        <v>623.40688403185402</v>
      </c>
      <c r="AL269" s="573">
        <f t="shared" si="57"/>
        <v>643.95227365694723</v>
      </c>
      <c r="AM269" s="573">
        <f t="shared" si="57"/>
        <v>664.49766328203918</v>
      </c>
      <c r="AN269" s="573">
        <f t="shared" si="57"/>
        <v>685.04305290713239</v>
      </c>
      <c r="AO269" s="573">
        <f t="shared" si="57"/>
        <v>705.58844253222549</v>
      </c>
      <c r="AP269" s="573">
        <f t="shared" si="57"/>
        <v>726.13383215731858</v>
      </c>
      <c r="AQ269" s="573">
        <f t="shared" si="57"/>
        <v>746.67922178241179</v>
      </c>
      <c r="AR269" s="573">
        <f t="shared" si="57"/>
        <v>767.22461140750488</v>
      </c>
      <c r="AS269" s="573">
        <f t="shared" si="57"/>
        <v>787.77000103259797</v>
      </c>
    </row>
    <row r="270" spans="1:45" s="247" customFormat="1" outlineLevel="1">
      <c r="A270" s="229">
        <v>3</v>
      </c>
      <c r="B270" s="229" t="str">
        <f t="shared" si="54"/>
        <v>3Non-DomesticEnergy Demand by Building Type</v>
      </c>
      <c r="C270" s="234" t="str">
        <f t="shared" si="55"/>
        <v>Non-DomesticEnergy Demand by Building Type</v>
      </c>
      <c r="D270" s="229"/>
      <c r="E270" s="313" t="s">
        <v>227</v>
      </c>
      <c r="F270" s="313"/>
      <c r="G270" s="234" t="s">
        <v>198</v>
      </c>
      <c r="H270" s="229"/>
      <c r="I270" s="313"/>
      <c r="J270" s="573">
        <f t="shared" ref="J270:AS270" si="58">J42</f>
        <v>11259.794976610974</v>
      </c>
      <c r="K270" s="573">
        <f t="shared" si="58"/>
        <v>11259.794976610974</v>
      </c>
      <c r="L270" s="573">
        <f t="shared" si="58"/>
        <v>11259.794976610974</v>
      </c>
      <c r="M270" s="573">
        <f t="shared" si="58"/>
        <v>11259.794976610974</v>
      </c>
      <c r="N270" s="573">
        <f t="shared" si="58"/>
        <v>11230.479140438794</v>
      </c>
      <c r="O270" s="573">
        <f t="shared" si="58"/>
        <v>11171.853015867429</v>
      </c>
      <c r="P270" s="573">
        <f t="shared" si="58"/>
        <v>11083.625288128176</v>
      </c>
      <c r="Q270" s="573">
        <f t="shared" si="58"/>
        <v>10965.827889987955</v>
      </c>
      <c r="R270" s="573">
        <f t="shared" si="58"/>
        <v>10816.47096781732</v>
      </c>
      <c r="S270" s="573">
        <f t="shared" si="58"/>
        <v>10634.861006727637</v>
      </c>
      <c r="T270" s="573">
        <f t="shared" si="58"/>
        <v>10423.962711603719</v>
      </c>
      <c r="U270" s="573">
        <f t="shared" si="58"/>
        <v>10183.89284445834</v>
      </c>
      <c r="V270" s="573">
        <f t="shared" si="58"/>
        <v>9914.7567490532965</v>
      </c>
      <c r="W270" s="573">
        <f t="shared" si="58"/>
        <v>9621.1837696409366</v>
      </c>
      <c r="X270" s="573">
        <f t="shared" si="58"/>
        <v>9298.6234076791825</v>
      </c>
      <c r="Y270" s="573">
        <f t="shared" si="58"/>
        <v>8947.95945396362</v>
      </c>
      <c r="Z270" s="573">
        <f t="shared" si="58"/>
        <v>8941.9610127591623</v>
      </c>
      <c r="AA270" s="573">
        <f t="shared" si="58"/>
        <v>8936.9417484824171</v>
      </c>
      <c r="AB270" s="573">
        <f t="shared" si="58"/>
        <v>8932.902549681623</v>
      </c>
      <c r="AC270" s="573">
        <f t="shared" si="58"/>
        <v>8929.844306714067</v>
      </c>
      <c r="AD270" s="573">
        <f t="shared" si="58"/>
        <v>8929.8031613296571</v>
      </c>
      <c r="AE270" s="573">
        <f t="shared" si="58"/>
        <v>8929.7619629437268</v>
      </c>
      <c r="AF270" s="573">
        <f t="shared" si="58"/>
        <v>8929.7207114503854</v>
      </c>
      <c r="AG270" s="573">
        <f t="shared" si="58"/>
        <v>8929.6794067434512</v>
      </c>
      <c r="AH270" s="573">
        <f t="shared" si="58"/>
        <v>8929.6380487164497</v>
      </c>
      <c r="AI270" s="573">
        <f t="shared" si="58"/>
        <v>8929.5966372626135</v>
      </c>
      <c r="AJ270" s="573">
        <f t="shared" si="58"/>
        <v>8929.555172274886</v>
      </c>
      <c r="AK270" s="573">
        <f t="shared" si="58"/>
        <v>8929.5136536459086</v>
      </c>
      <c r="AL270" s="573">
        <f t="shared" si="58"/>
        <v>8929.4720812680316</v>
      </c>
      <c r="AM270" s="573">
        <f t="shared" si="58"/>
        <v>8929.4304550333072</v>
      </c>
      <c r="AN270" s="573">
        <f t="shared" si="58"/>
        <v>8929.388774833491</v>
      </c>
      <c r="AO270" s="573">
        <f t="shared" si="58"/>
        <v>8929.3470405600365</v>
      </c>
      <c r="AP270" s="573">
        <f t="shared" si="58"/>
        <v>8929.3052521040991</v>
      </c>
      <c r="AQ270" s="573">
        <f t="shared" si="58"/>
        <v>8929.2634093565321</v>
      </c>
      <c r="AR270" s="573">
        <f t="shared" si="58"/>
        <v>8929.2215122078869</v>
      </c>
      <c r="AS270" s="573">
        <f t="shared" si="58"/>
        <v>8929.1795605484112</v>
      </c>
    </row>
    <row r="271" spans="1:45" s="247" customFormat="1" outlineLevel="1">
      <c r="A271" s="229">
        <v>4</v>
      </c>
      <c r="B271" s="229" t="str">
        <f t="shared" si="54"/>
        <v>4Non-DomesticEnergy Demand by Building Type</v>
      </c>
      <c r="C271" s="234" t="str">
        <f t="shared" si="55"/>
        <v>Non-DomesticEnergy Demand by Building Type</v>
      </c>
      <c r="D271" s="229"/>
      <c r="E271" s="313" t="s">
        <v>228</v>
      </c>
      <c r="F271" s="229"/>
      <c r="G271" s="234" t="s">
        <v>198</v>
      </c>
      <c r="H271" s="229"/>
      <c r="I271" s="229"/>
      <c r="J271" s="573">
        <f t="shared" ref="J271:AS271" si="59">J43</f>
        <v>0</v>
      </c>
      <c r="K271" s="573">
        <f t="shared" si="59"/>
        <v>47.164809820067603</v>
      </c>
      <c r="L271" s="573">
        <f t="shared" si="59"/>
        <v>94.329619640138844</v>
      </c>
      <c r="M271" s="573">
        <f t="shared" si="59"/>
        <v>141.49442946020827</v>
      </c>
      <c r="N271" s="573">
        <f t="shared" si="59"/>
        <v>188.65923928027769</v>
      </c>
      <c r="O271" s="573">
        <f t="shared" si="59"/>
        <v>235.82404910034893</v>
      </c>
      <c r="P271" s="573">
        <f t="shared" si="59"/>
        <v>282.98885892041471</v>
      </c>
      <c r="Q271" s="573">
        <f t="shared" si="59"/>
        <v>330.15366874048595</v>
      </c>
      <c r="R271" s="573">
        <f t="shared" si="59"/>
        <v>377.3184785605572</v>
      </c>
      <c r="S271" s="573">
        <f t="shared" si="59"/>
        <v>424.48328838062844</v>
      </c>
      <c r="T271" s="573">
        <f t="shared" si="59"/>
        <v>471.64809820069786</v>
      </c>
      <c r="U271" s="573">
        <f t="shared" si="59"/>
        <v>506.5098685941266</v>
      </c>
      <c r="V271" s="573">
        <f t="shared" si="59"/>
        <v>541.37163898755898</v>
      </c>
      <c r="W271" s="573">
        <f t="shared" si="59"/>
        <v>576.23340938099318</v>
      </c>
      <c r="X271" s="573">
        <f t="shared" si="59"/>
        <v>611.09517977442192</v>
      </c>
      <c r="Y271" s="573">
        <f t="shared" si="59"/>
        <v>645.95695016785612</v>
      </c>
      <c r="Z271" s="573">
        <f t="shared" si="59"/>
        <v>680.81872056128668</v>
      </c>
      <c r="AA271" s="573">
        <f t="shared" si="59"/>
        <v>715.68049095471906</v>
      </c>
      <c r="AB271" s="573">
        <f t="shared" si="59"/>
        <v>750.54226134814962</v>
      </c>
      <c r="AC271" s="573">
        <f t="shared" si="59"/>
        <v>785.404031741582</v>
      </c>
      <c r="AD271" s="573">
        <f t="shared" si="59"/>
        <v>820.26580213501256</v>
      </c>
      <c r="AE271" s="573">
        <f t="shared" si="59"/>
        <v>855.12757252844494</v>
      </c>
      <c r="AF271" s="573">
        <f t="shared" si="59"/>
        <v>889.98934292187732</v>
      </c>
      <c r="AG271" s="573">
        <f t="shared" si="59"/>
        <v>924.85111331530607</v>
      </c>
      <c r="AH271" s="573">
        <f t="shared" si="59"/>
        <v>959.71288370874026</v>
      </c>
      <c r="AI271" s="573">
        <f t="shared" si="59"/>
        <v>994.57465410217083</v>
      </c>
      <c r="AJ271" s="573">
        <f t="shared" si="59"/>
        <v>1029.4364244956014</v>
      </c>
      <c r="AK271" s="573">
        <f t="shared" si="59"/>
        <v>1064.2981948890338</v>
      </c>
      <c r="AL271" s="573">
        <f t="shared" si="59"/>
        <v>1099.1599652824661</v>
      </c>
      <c r="AM271" s="573">
        <f t="shared" si="59"/>
        <v>1134.0217356758985</v>
      </c>
      <c r="AN271" s="573">
        <f t="shared" si="59"/>
        <v>1168.8835060693291</v>
      </c>
      <c r="AO271" s="573">
        <f t="shared" si="59"/>
        <v>1203.7452764627596</v>
      </c>
      <c r="AP271" s="573">
        <f t="shared" si="59"/>
        <v>1238.607046856192</v>
      </c>
      <c r="AQ271" s="573">
        <f t="shared" si="59"/>
        <v>1273.4688172496226</v>
      </c>
      <c r="AR271" s="573">
        <f t="shared" si="59"/>
        <v>1308.3305876430531</v>
      </c>
      <c r="AS271" s="573">
        <f t="shared" si="59"/>
        <v>1343.1923580364892</v>
      </c>
    </row>
    <row r="272" spans="1:45" s="235" customFormat="1" outlineLevel="1">
      <c r="A272" s="229">
        <v>5</v>
      </c>
      <c r="B272" s="229" t="str">
        <f t="shared" si="54"/>
        <v>5</v>
      </c>
      <c r="C272" s="234"/>
      <c r="D272" s="229"/>
      <c r="E272" s="313"/>
      <c r="F272" s="229"/>
      <c r="G272" s="234"/>
      <c r="H272" s="229"/>
      <c r="I272" s="229"/>
    </row>
    <row r="273" spans="1:45" s="229" customFormat="1" outlineLevel="1">
      <c r="A273" s="229">
        <v>6</v>
      </c>
      <c r="B273" s="229" t="str">
        <f t="shared" si="54"/>
        <v>6</v>
      </c>
      <c r="C273" s="234"/>
      <c r="E273" s="313"/>
      <c r="F273" s="313"/>
      <c r="G273" s="234"/>
      <c r="I273" s="313"/>
      <c r="J273" s="235"/>
      <c r="K273" s="235"/>
      <c r="L273" s="235"/>
      <c r="M273" s="235"/>
      <c r="N273" s="235"/>
      <c r="O273" s="235"/>
      <c r="P273" s="235"/>
      <c r="Q273" s="235"/>
      <c r="R273" s="235"/>
      <c r="S273" s="235"/>
      <c r="T273" s="235"/>
      <c r="U273" s="235"/>
      <c r="V273" s="235"/>
      <c r="W273" s="235"/>
      <c r="X273" s="235"/>
      <c r="Y273" s="235"/>
      <c r="Z273" s="235"/>
      <c r="AA273" s="235"/>
      <c r="AB273" s="235"/>
      <c r="AC273" s="235"/>
      <c r="AD273" s="235"/>
      <c r="AE273" s="235"/>
      <c r="AF273" s="235"/>
      <c r="AG273" s="235"/>
      <c r="AH273" s="235"/>
      <c r="AI273" s="235"/>
      <c r="AJ273" s="235"/>
      <c r="AK273" s="235"/>
      <c r="AL273" s="235"/>
      <c r="AM273" s="235"/>
      <c r="AN273" s="235"/>
      <c r="AO273" s="235"/>
      <c r="AP273" s="235"/>
      <c r="AQ273" s="235"/>
      <c r="AR273" s="235"/>
      <c r="AS273" s="235"/>
    </row>
    <row r="274" spans="1:45" s="229" customFormat="1" outlineLevel="1">
      <c r="A274" s="229">
        <v>7</v>
      </c>
      <c r="B274" s="229" t="str">
        <f t="shared" si="54"/>
        <v>7</v>
      </c>
      <c r="C274" s="234"/>
      <c r="E274" s="313"/>
      <c r="F274" s="313"/>
      <c r="G274" s="234"/>
      <c r="I274" s="313"/>
      <c r="J274" s="247"/>
      <c r="K274" s="247"/>
      <c r="L274" s="247"/>
      <c r="M274" s="247"/>
      <c r="N274" s="247"/>
      <c r="O274" s="247"/>
      <c r="P274" s="247"/>
      <c r="Q274" s="247"/>
      <c r="R274" s="247"/>
      <c r="S274" s="247"/>
      <c r="T274" s="247"/>
      <c r="U274" s="247"/>
      <c r="V274" s="247"/>
      <c r="W274" s="247"/>
      <c r="X274" s="247"/>
      <c r="Y274" s="247"/>
      <c r="Z274" s="247"/>
      <c r="AA274" s="247"/>
      <c r="AB274" s="247"/>
      <c r="AC274" s="247"/>
      <c r="AD274" s="247"/>
      <c r="AE274" s="247"/>
      <c r="AF274" s="247"/>
      <c r="AG274" s="247"/>
      <c r="AH274" s="247"/>
      <c r="AI274" s="247"/>
      <c r="AJ274" s="247"/>
      <c r="AK274" s="247"/>
      <c r="AL274" s="247"/>
      <c r="AM274" s="247"/>
      <c r="AN274" s="247"/>
      <c r="AO274" s="247"/>
      <c r="AP274" s="247"/>
      <c r="AQ274" s="247"/>
      <c r="AR274" s="247"/>
      <c r="AS274" s="247"/>
    </row>
    <row r="275" spans="1:45" s="229" customFormat="1" outlineLevel="1">
      <c r="A275" s="229">
        <v>8</v>
      </c>
      <c r="B275" s="229" t="str">
        <f t="shared" si="54"/>
        <v>8</v>
      </c>
      <c r="C275" s="234"/>
      <c r="E275" s="313"/>
      <c r="F275" s="313"/>
      <c r="G275" s="234"/>
      <c r="I275" s="313"/>
      <c r="J275" s="247"/>
      <c r="K275" s="247"/>
      <c r="L275" s="247"/>
      <c r="M275" s="247"/>
      <c r="N275" s="247"/>
      <c r="O275" s="247"/>
      <c r="P275" s="247"/>
      <c r="Q275" s="247"/>
      <c r="R275" s="247"/>
      <c r="S275" s="247"/>
      <c r="T275" s="247"/>
      <c r="U275" s="247"/>
      <c r="V275" s="247"/>
      <c r="W275" s="247"/>
      <c r="X275" s="247"/>
      <c r="Y275" s="247"/>
      <c r="Z275" s="247"/>
      <c r="AA275" s="247"/>
      <c r="AB275" s="247"/>
      <c r="AC275" s="247"/>
      <c r="AD275" s="247"/>
      <c r="AE275" s="247"/>
      <c r="AF275" s="247"/>
      <c r="AG275" s="247"/>
      <c r="AH275" s="247"/>
      <c r="AI275" s="247"/>
      <c r="AJ275" s="247"/>
      <c r="AK275" s="247"/>
      <c r="AL275" s="247"/>
      <c r="AM275" s="247"/>
      <c r="AN275" s="247"/>
      <c r="AO275" s="247"/>
      <c r="AP275" s="247"/>
      <c r="AQ275" s="247"/>
      <c r="AR275" s="247"/>
      <c r="AS275" s="247"/>
    </row>
    <row r="276" spans="1:45" s="229" customFormat="1" outlineLevel="1">
      <c r="A276" s="229">
        <v>9</v>
      </c>
      <c r="B276" s="229" t="str">
        <f t="shared" si="54"/>
        <v>9</v>
      </c>
      <c r="C276" s="234"/>
      <c r="E276" s="313"/>
      <c r="F276" s="313"/>
      <c r="G276" s="234"/>
      <c r="I276" s="313"/>
      <c r="J276" s="247"/>
      <c r="K276" s="247"/>
      <c r="L276" s="247"/>
      <c r="M276" s="247"/>
      <c r="N276" s="247"/>
      <c r="O276" s="247"/>
      <c r="P276" s="247"/>
      <c r="Q276" s="247"/>
      <c r="R276" s="247"/>
      <c r="S276" s="247"/>
      <c r="T276" s="247"/>
      <c r="U276" s="247"/>
      <c r="V276" s="247"/>
      <c r="W276" s="247"/>
      <c r="X276" s="247"/>
      <c r="Y276" s="247"/>
      <c r="Z276" s="247"/>
      <c r="AA276" s="247"/>
      <c r="AB276" s="247"/>
      <c r="AC276" s="247"/>
      <c r="AD276" s="247"/>
      <c r="AE276" s="247"/>
      <c r="AF276" s="247"/>
      <c r="AG276" s="247"/>
      <c r="AH276" s="247"/>
      <c r="AI276" s="247"/>
      <c r="AJ276" s="247"/>
      <c r="AK276" s="247"/>
      <c r="AL276" s="247"/>
      <c r="AM276" s="247"/>
      <c r="AN276" s="247"/>
      <c r="AO276" s="247"/>
      <c r="AP276" s="247"/>
      <c r="AQ276" s="247"/>
      <c r="AR276" s="247"/>
      <c r="AS276" s="247"/>
    </row>
    <row r="277" spans="1:45" s="229" customFormat="1" outlineLevel="1">
      <c r="A277" s="229">
        <v>10</v>
      </c>
      <c r="B277" s="229" t="str">
        <f t="shared" si="54"/>
        <v>10</v>
      </c>
      <c r="C277" s="234"/>
      <c r="E277" s="313"/>
      <c r="F277" s="313"/>
      <c r="G277" s="234"/>
      <c r="I277" s="313"/>
      <c r="J277" s="247"/>
      <c r="K277" s="247"/>
      <c r="L277" s="247"/>
      <c r="M277" s="247"/>
      <c r="N277" s="247"/>
      <c r="O277" s="247"/>
      <c r="P277" s="247"/>
      <c r="Q277" s="247"/>
      <c r="R277" s="247"/>
      <c r="S277" s="247"/>
      <c r="T277" s="247"/>
      <c r="U277" s="247"/>
      <c r="V277" s="247"/>
      <c r="W277" s="247"/>
      <c r="X277" s="247"/>
      <c r="Y277" s="247"/>
      <c r="Z277" s="247"/>
      <c r="AA277" s="247"/>
      <c r="AB277" s="247"/>
      <c r="AC277" s="247"/>
      <c r="AD277" s="247"/>
      <c r="AE277" s="247"/>
      <c r="AF277" s="247"/>
      <c r="AG277" s="247"/>
      <c r="AH277" s="247"/>
      <c r="AI277" s="247"/>
      <c r="AJ277" s="247"/>
      <c r="AK277" s="247"/>
      <c r="AL277" s="247"/>
      <c r="AM277" s="247"/>
      <c r="AN277" s="247"/>
      <c r="AO277" s="247"/>
      <c r="AP277" s="247"/>
      <c r="AQ277" s="247"/>
      <c r="AR277" s="247"/>
      <c r="AS277" s="247"/>
    </row>
    <row r="278" spans="1:45" s="229" customFormat="1" outlineLevel="1">
      <c r="A278" s="229">
        <v>11</v>
      </c>
      <c r="B278" s="229" t="str">
        <f t="shared" si="54"/>
        <v>11</v>
      </c>
      <c r="C278" s="234"/>
      <c r="E278" s="313"/>
      <c r="F278" s="313"/>
      <c r="G278" s="234"/>
      <c r="I278" s="313"/>
      <c r="J278" s="247"/>
      <c r="K278" s="247"/>
      <c r="L278" s="247"/>
      <c r="M278" s="247"/>
      <c r="N278" s="247"/>
      <c r="O278" s="247"/>
      <c r="P278" s="247"/>
      <c r="Q278" s="247"/>
      <c r="R278" s="247"/>
      <c r="S278" s="247"/>
      <c r="T278" s="247"/>
      <c r="U278" s="247"/>
      <c r="V278" s="247"/>
      <c r="W278" s="247"/>
      <c r="X278" s="247"/>
      <c r="Y278" s="247"/>
      <c r="Z278" s="247"/>
      <c r="AA278" s="247"/>
      <c r="AB278" s="247"/>
      <c r="AC278" s="247"/>
      <c r="AD278" s="247"/>
      <c r="AE278" s="247"/>
      <c r="AF278" s="247"/>
      <c r="AG278" s="247"/>
      <c r="AH278" s="247"/>
      <c r="AI278" s="247"/>
      <c r="AJ278" s="247"/>
      <c r="AK278" s="247"/>
      <c r="AL278" s="247"/>
      <c r="AM278" s="247"/>
      <c r="AN278" s="247"/>
      <c r="AO278" s="247"/>
      <c r="AP278" s="247"/>
      <c r="AQ278" s="247"/>
      <c r="AR278" s="247"/>
      <c r="AS278" s="247"/>
    </row>
    <row r="279" spans="1:45" s="238" customFormat="1" outlineLevel="1">
      <c r="A279" s="229" t="s">
        <v>208</v>
      </c>
      <c r="B279" s="229" t="str">
        <f>A279&amp;C279</f>
        <v>NDomesticEnergy Demand by Building Type</v>
      </c>
      <c r="C279" s="234" t="str">
        <f>$A$138&amp;$A$175</f>
        <v>DomesticEnergy Demand by Building Type</v>
      </c>
      <c r="E279" s="236" t="str">
        <f>""</f>
        <v/>
      </c>
    </row>
    <row r="280" spans="1:45" s="49" customFormat="1">
      <c r="A280" s="49" t="s">
        <v>159</v>
      </c>
    </row>
    <row r="281" spans="1:45" s="298" customFormat="1" outlineLevel="1">
      <c r="A281" s="298" t="s">
        <v>144</v>
      </c>
    </row>
    <row r="282" spans="1:45" outlineLevel="1">
      <c r="A282" s="229" t="s">
        <v>175</v>
      </c>
      <c r="B282" s="229" t="s">
        <v>176</v>
      </c>
      <c r="C282" s="229" t="s">
        <v>177</v>
      </c>
      <c r="D282" s="230"/>
      <c r="E282" s="230" t="s">
        <v>178</v>
      </c>
      <c r="F282" s="230"/>
      <c r="G282" s="230" t="s">
        <v>179</v>
      </c>
      <c r="H282" s="230" t="s">
        <v>180</v>
      </c>
      <c r="I282" s="230"/>
      <c r="J282" s="230">
        <v>2015</v>
      </c>
      <c r="K282" s="230">
        <v>2016</v>
      </c>
      <c r="L282" s="230">
        <v>2017</v>
      </c>
      <c r="M282" s="230">
        <v>2018</v>
      </c>
      <c r="N282" s="230">
        <v>2019</v>
      </c>
      <c r="O282" s="230">
        <v>2020</v>
      </c>
      <c r="P282" s="230">
        <v>2021</v>
      </c>
      <c r="Q282" s="230">
        <v>2022</v>
      </c>
      <c r="R282" s="230">
        <v>2023</v>
      </c>
      <c r="S282" s="230">
        <v>2024</v>
      </c>
      <c r="T282" s="230">
        <v>2025</v>
      </c>
      <c r="U282" s="230">
        <v>2026</v>
      </c>
      <c r="V282" s="230">
        <v>2027</v>
      </c>
      <c r="W282" s="230">
        <v>2028</v>
      </c>
      <c r="X282" s="230">
        <v>2029</v>
      </c>
      <c r="Y282" s="230">
        <v>2030</v>
      </c>
      <c r="Z282" s="230">
        <v>2031</v>
      </c>
      <c r="AA282" s="230">
        <v>2032</v>
      </c>
      <c r="AB282" s="230">
        <v>2033</v>
      </c>
      <c r="AC282" s="230">
        <v>2034</v>
      </c>
      <c r="AD282" s="230">
        <v>2035</v>
      </c>
      <c r="AE282" s="230">
        <v>2036</v>
      </c>
      <c r="AF282" s="230">
        <v>2037</v>
      </c>
      <c r="AG282" s="230">
        <v>2038</v>
      </c>
      <c r="AH282" s="230">
        <v>2039</v>
      </c>
      <c r="AI282" s="230">
        <v>2040</v>
      </c>
      <c r="AJ282" s="230">
        <v>2041</v>
      </c>
      <c r="AK282" s="230">
        <v>2042</v>
      </c>
      <c r="AL282" s="230">
        <v>2043</v>
      </c>
      <c r="AM282" s="230">
        <v>2044</v>
      </c>
      <c r="AN282" s="230">
        <v>2045</v>
      </c>
      <c r="AO282" s="230">
        <v>2046</v>
      </c>
      <c r="AP282" s="230">
        <v>2047</v>
      </c>
      <c r="AQ282" s="230">
        <v>2048</v>
      </c>
      <c r="AR282" s="230">
        <v>2049</v>
      </c>
      <c r="AS282" s="230">
        <v>2050</v>
      </c>
    </row>
    <row r="283" spans="1:45" outlineLevel="1"/>
    <row r="284" spans="1:45" s="229" customFormat="1" outlineLevel="1">
      <c r="A284" s="229">
        <v>0</v>
      </c>
      <c r="B284" s="229" t="str">
        <f t="shared" ref="B284:B295" si="60">A284&amp;C284</f>
        <v>0IndustrialCarbon Emissions</v>
      </c>
      <c r="C284" s="234" t="str">
        <f>$A$280&amp;$A$281</f>
        <v>IndustrialCarbon Emissions</v>
      </c>
      <c r="E284" s="248" t="s">
        <v>182</v>
      </c>
      <c r="G284" s="234"/>
      <c r="J284" s="237"/>
      <c r="K284" s="237"/>
      <c r="L284" s="237"/>
      <c r="M284" s="237"/>
      <c r="N284" s="237"/>
      <c r="O284" s="237"/>
      <c r="P284" s="237"/>
      <c r="Q284" s="237"/>
      <c r="R284" s="237"/>
      <c r="S284" s="237"/>
      <c r="T284" s="237"/>
      <c r="U284" s="237"/>
      <c r="V284" s="237"/>
      <c r="W284" s="237"/>
      <c r="X284" s="237"/>
      <c r="Y284" s="237"/>
      <c r="Z284" s="237"/>
      <c r="AA284" s="237"/>
      <c r="AB284" s="237"/>
      <c r="AC284" s="237"/>
      <c r="AD284" s="237"/>
      <c r="AE284" s="237"/>
      <c r="AF284" s="237"/>
      <c r="AG284" s="237"/>
      <c r="AH284" s="237"/>
      <c r="AI284" s="237"/>
      <c r="AJ284" s="237"/>
      <c r="AK284" s="237"/>
      <c r="AL284" s="237"/>
      <c r="AM284" s="237"/>
      <c r="AN284" s="237"/>
      <c r="AO284" s="237"/>
      <c r="AP284" s="237"/>
      <c r="AQ284" s="237"/>
      <c r="AR284" s="237"/>
      <c r="AS284" s="237"/>
    </row>
    <row r="285" spans="1:45" s="247" customFormat="1" ht="18" outlineLevel="1">
      <c r="A285" s="229">
        <v>1</v>
      </c>
      <c r="B285" s="229" t="str">
        <f t="shared" si="60"/>
        <v>1IndustrialCarbon Emissions</v>
      </c>
      <c r="C285" s="234" t="str">
        <f>$A$280&amp;$A$281</f>
        <v>IndustrialCarbon Emissions</v>
      </c>
      <c r="D285" s="55"/>
      <c r="E285" s="313" t="s">
        <v>189</v>
      </c>
      <c r="F285" s="313"/>
      <c r="G285" s="234" t="s">
        <v>184</v>
      </c>
      <c r="H285" s="229"/>
      <c r="I285" s="313"/>
      <c r="J285" s="573">
        <f t="shared" ref="J285:AS285" si="61">J23</f>
        <v>130.59794958060394</v>
      </c>
      <c r="K285" s="573">
        <f t="shared" si="61"/>
        <v>111.88649364534403</v>
      </c>
      <c r="L285" s="573">
        <f t="shared" si="61"/>
        <v>106.00556118514028</v>
      </c>
      <c r="M285" s="573">
        <f t="shared" si="61"/>
        <v>100.33653323393737</v>
      </c>
      <c r="N285" s="573">
        <f t="shared" si="61"/>
        <v>94.530752244339681</v>
      </c>
      <c r="O285" s="573">
        <f t="shared" si="61"/>
        <v>88.24669912500535</v>
      </c>
      <c r="P285" s="573">
        <f t="shared" si="61"/>
        <v>82.618411456213366</v>
      </c>
      <c r="Q285" s="573">
        <f t="shared" si="61"/>
        <v>76.988286206126503</v>
      </c>
      <c r="R285" s="573">
        <f t="shared" si="61"/>
        <v>71.417455087018965</v>
      </c>
      <c r="S285" s="573">
        <f t="shared" si="61"/>
        <v>66.193083047512431</v>
      </c>
      <c r="T285" s="573">
        <f t="shared" si="61"/>
        <v>60.267387980949159</v>
      </c>
      <c r="U285" s="573">
        <f t="shared" si="61"/>
        <v>53.496533260006473</v>
      </c>
      <c r="V285" s="573">
        <f t="shared" si="61"/>
        <v>46.840944733440587</v>
      </c>
      <c r="W285" s="573">
        <f t="shared" si="61"/>
        <v>40.403982947332821</v>
      </c>
      <c r="X285" s="573">
        <f t="shared" si="61"/>
        <v>39.322729519145284</v>
      </c>
      <c r="Y285" s="573">
        <f t="shared" si="61"/>
        <v>37.786909775075756</v>
      </c>
      <c r="Z285" s="573">
        <f t="shared" si="61"/>
        <v>36.366575935096911</v>
      </c>
      <c r="AA285" s="573">
        <f t="shared" si="61"/>
        <v>35.203039570152526</v>
      </c>
      <c r="AB285" s="573">
        <f t="shared" si="61"/>
        <v>34.090295831828833</v>
      </c>
      <c r="AC285" s="573">
        <f t="shared" si="61"/>
        <v>33.08314252057275</v>
      </c>
      <c r="AD285" s="573">
        <f t="shared" si="61"/>
        <v>32.086707357978995</v>
      </c>
      <c r="AE285" s="573">
        <f t="shared" si="61"/>
        <v>31.494439737952405</v>
      </c>
      <c r="AF285" s="573">
        <f t="shared" si="61"/>
        <v>31.036316130215692</v>
      </c>
      <c r="AG285" s="573">
        <f t="shared" si="61"/>
        <v>30.714509531559852</v>
      </c>
      <c r="AH285" s="573">
        <f t="shared" si="61"/>
        <v>30.371055295945268</v>
      </c>
      <c r="AI285" s="573">
        <f t="shared" si="61"/>
        <v>29.986921178018225</v>
      </c>
      <c r="AJ285" s="573">
        <f t="shared" si="61"/>
        <v>29.790964354235069</v>
      </c>
      <c r="AK285" s="573">
        <f t="shared" si="61"/>
        <v>29.740528966922252</v>
      </c>
      <c r="AL285" s="573">
        <f t="shared" si="61"/>
        <v>29.720099287687308</v>
      </c>
      <c r="AM285" s="573">
        <f t="shared" si="61"/>
        <v>29.66386087885256</v>
      </c>
      <c r="AN285" s="573">
        <f t="shared" si="61"/>
        <v>29.532628387778139</v>
      </c>
      <c r="AO285" s="573">
        <f t="shared" si="61"/>
        <v>29.462415200784072</v>
      </c>
      <c r="AP285" s="573">
        <f t="shared" si="61"/>
        <v>29.407118079020282</v>
      </c>
      <c r="AQ285" s="573">
        <f t="shared" si="61"/>
        <v>29.372083455592364</v>
      </c>
      <c r="AR285" s="573">
        <f t="shared" si="61"/>
        <v>29.327369003808439</v>
      </c>
      <c r="AS285" s="573">
        <f t="shared" si="61"/>
        <v>29.313976215851632</v>
      </c>
    </row>
    <row r="286" spans="1:45" s="247" customFormat="1" ht="18" outlineLevel="1">
      <c r="A286" s="229">
        <v>2</v>
      </c>
      <c r="B286" s="229" t="str">
        <f t="shared" si="60"/>
        <v>2IndustrialCarbon Emissions</v>
      </c>
      <c r="C286" s="234" t="str">
        <f>$A$280&amp;$A$281</f>
        <v>IndustrialCarbon Emissions</v>
      </c>
      <c r="D286" s="55"/>
      <c r="E286" s="313" t="s">
        <v>230</v>
      </c>
      <c r="F286" s="229"/>
      <c r="G286" s="234" t="s">
        <v>184</v>
      </c>
      <c r="H286" s="229"/>
      <c r="I286" s="229"/>
      <c r="J286" s="573">
        <f t="shared" ref="J286:AS286" si="62">J25</f>
        <v>30.526977819431661</v>
      </c>
      <c r="K286" s="573">
        <f t="shared" si="62"/>
        <v>30.526977819431661</v>
      </c>
      <c r="L286" s="573">
        <f t="shared" si="62"/>
        <v>30.526977819431647</v>
      </c>
      <c r="M286" s="573">
        <f t="shared" si="62"/>
        <v>30.526977819431664</v>
      </c>
      <c r="N286" s="573">
        <f t="shared" si="62"/>
        <v>29.320863718239792</v>
      </c>
      <c r="O286" s="573">
        <f t="shared" si="62"/>
        <v>28.114749617047906</v>
      </c>
      <c r="P286" s="573">
        <f t="shared" si="62"/>
        <v>26.616718898913724</v>
      </c>
      <c r="Q286" s="573">
        <f t="shared" si="62"/>
        <v>25.118688180779536</v>
      </c>
      <c r="R286" s="573">
        <f t="shared" si="62"/>
        <v>23.620657462645337</v>
      </c>
      <c r="S286" s="573">
        <f t="shared" si="62"/>
        <v>22.122626744511159</v>
      </c>
      <c r="T286" s="573">
        <f t="shared" si="62"/>
        <v>20.62459602637697</v>
      </c>
      <c r="U286" s="573">
        <f t="shared" si="62"/>
        <v>19.126565308242778</v>
      </c>
      <c r="V286" s="573">
        <f t="shared" si="62"/>
        <v>17.6285345901086</v>
      </c>
      <c r="W286" s="573">
        <f t="shared" si="62"/>
        <v>16.130503871974412</v>
      </c>
      <c r="X286" s="573">
        <f t="shared" si="62"/>
        <v>14.632473153840222</v>
      </c>
      <c r="Y286" s="573">
        <f t="shared" si="62"/>
        <v>13.13444243570604</v>
      </c>
      <c r="Z286" s="573">
        <f t="shared" si="62"/>
        <v>12.839880336114769</v>
      </c>
      <c r="AA286" s="573">
        <f t="shared" si="62"/>
        <v>12.545318236523499</v>
      </c>
      <c r="AB286" s="573">
        <f t="shared" si="62"/>
        <v>12.250756136932226</v>
      </c>
      <c r="AC286" s="573">
        <f t="shared" si="62"/>
        <v>11.956194037340957</v>
      </c>
      <c r="AD286" s="573">
        <f t="shared" si="62"/>
        <v>11.661631937749686</v>
      </c>
      <c r="AE286" s="573">
        <f t="shared" si="62"/>
        <v>11.367069838158415</v>
      </c>
      <c r="AF286" s="573">
        <f t="shared" si="62"/>
        <v>11.072507738567145</v>
      </c>
      <c r="AG286" s="573">
        <f t="shared" si="62"/>
        <v>10.777945638975874</v>
      </c>
      <c r="AH286" s="573">
        <f t="shared" si="62"/>
        <v>10.483383539384603</v>
      </c>
      <c r="AI286" s="573">
        <f t="shared" si="62"/>
        <v>10.188821439793333</v>
      </c>
      <c r="AJ286" s="573">
        <f t="shared" si="62"/>
        <v>9.8942593402020602</v>
      </c>
      <c r="AK286" s="573">
        <f t="shared" si="62"/>
        <v>9.5996972406107925</v>
      </c>
      <c r="AL286" s="573">
        <f t="shared" si="62"/>
        <v>9.3051351410195213</v>
      </c>
      <c r="AM286" s="573">
        <f t="shared" si="62"/>
        <v>9.0105730414282501</v>
      </c>
      <c r="AN286" s="573">
        <f t="shared" si="62"/>
        <v>8.7160109418369807</v>
      </c>
      <c r="AO286" s="573">
        <f t="shared" si="62"/>
        <v>8.4214488422457094</v>
      </c>
      <c r="AP286" s="573">
        <f t="shared" si="62"/>
        <v>8.12688674265444</v>
      </c>
      <c r="AQ286" s="573">
        <f t="shared" si="62"/>
        <v>7.8323246430631688</v>
      </c>
      <c r="AR286" s="573">
        <f t="shared" si="62"/>
        <v>7.5377625434718984</v>
      </c>
      <c r="AS286" s="573">
        <f t="shared" si="62"/>
        <v>7.2432004438806183</v>
      </c>
    </row>
    <row r="287" spans="1:45" s="247" customFormat="1" ht="18" outlineLevel="1">
      <c r="A287" s="229">
        <v>3</v>
      </c>
      <c r="B287" s="229" t="str">
        <f t="shared" si="60"/>
        <v>3IndustrialCarbon Emissions</v>
      </c>
      <c r="C287" s="234" t="str">
        <f>$A$280&amp;$A$281</f>
        <v>IndustrialCarbon Emissions</v>
      </c>
      <c r="D287" s="55"/>
      <c r="E287" s="313" t="s">
        <v>231</v>
      </c>
      <c r="F287" s="313"/>
      <c r="G287" s="234" t="s">
        <v>184</v>
      </c>
      <c r="H287" s="229"/>
      <c r="I287" s="313"/>
      <c r="J287" s="573">
        <f t="shared" ref="J287:AS287" si="63">J28</f>
        <v>99.30668187487683</v>
      </c>
      <c r="K287" s="573">
        <f t="shared" si="63"/>
        <v>91.557132385413581</v>
      </c>
      <c r="L287" s="573">
        <f t="shared" si="63"/>
        <v>83.807582895950276</v>
      </c>
      <c r="M287" s="573">
        <f t="shared" si="63"/>
        <v>76.058033406486999</v>
      </c>
      <c r="N287" s="573">
        <f t="shared" si="63"/>
        <v>68.308483917023707</v>
      </c>
      <c r="O287" s="573">
        <f t="shared" si="63"/>
        <v>60.558934427560445</v>
      </c>
      <c r="P287" s="573">
        <f t="shared" si="63"/>
        <v>60.221147933978749</v>
      </c>
      <c r="Q287" s="573">
        <f t="shared" si="63"/>
        <v>59.883361440397053</v>
      </c>
      <c r="R287" s="573">
        <f t="shared" si="63"/>
        <v>59.545574946815378</v>
      </c>
      <c r="S287" s="573">
        <f t="shared" si="63"/>
        <v>59.207788453233668</v>
      </c>
      <c r="T287" s="573">
        <f t="shared" si="63"/>
        <v>58.870001959651994</v>
      </c>
      <c r="U287" s="573">
        <f t="shared" si="63"/>
        <v>58.870001959651994</v>
      </c>
      <c r="V287" s="573">
        <f t="shared" si="63"/>
        <v>58.870001959651994</v>
      </c>
      <c r="W287" s="573">
        <f t="shared" si="63"/>
        <v>58.870001959651994</v>
      </c>
      <c r="X287" s="573">
        <f t="shared" si="63"/>
        <v>58.870001959651994</v>
      </c>
      <c r="Y287" s="573">
        <f t="shared" si="63"/>
        <v>58.870001959651994</v>
      </c>
      <c r="Z287" s="573">
        <f t="shared" si="63"/>
        <v>58.870001959651994</v>
      </c>
      <c r="AA287" s="573">
        <f t="shared" si="63"/>
        <v>58.870001959651994</v>
      </c>
      <c r="AB287" s="573">
        <f t="shared" si="63"/>
        <v>58.870001959651994</v>
      </c>
      <c r="AC287" s="573">
        <f t="shared" si="63"/>
        <v>58.870001959651994</v>
      </c>
      <c r="AD287" s="573">
        <f t="shared" si="63"/>
        <v>58.870001959651994</v>
      </c>
      <c r="AE287" s="573">
        <f t="shared" si="63"/>
        <v>58.870001959651994</v>
      </c>
      <c r="AF287" s="573">
        <f t="shared" si="63"/>
        <v>58.870001959651994</v>
      </c>
      <c r="AG287" s="573">
        <f t="shared" si="63"/>
        <v>58.870001959651994</v>
      </c>
      <c r="AH287" s="573">
        <f t="shared" si="63"/>
        <v>58.870001959651994</v>
      </c>
      <c r="AI287" s="573">
        <f t="shared" si="63"/>
        <v>58.870001959651994</v>
      </c>
      <c r="AJ287" s="573">
        <f t="shared" si="63"/>
        <v>58.870001959651994</v>
      </c>
      <c r="AK287" s="573">
        <f t="shared" si="63"/>
        <v>58.870001959651994</v>
      </c>
      <c r="AL287" s="573">
        <f t="shared" si="63"/>
        <v>58.870001959651994</v>
      </c>
      <c r="AM287" s="573">
        <f t="shared" si="63"/>
        <v>58.870001959651994</v>
      </c>
      <c r="AN287" s="573">
        <f t="shared" si="63"/>
        <v>58.870001959651994</v>
      </c>
      <c r="AO287" s="573">
        <f t="shared" si="63"/>
        <v>58.870001959651994</v>
      </c>
      <c r="AP287" s="573">
        <f t="shared" si="63"/>
        <v>58.870001959651994</v>
      </c>
      <c r="AQ287" s="573">
        <f t="shared" si="63"/>
        <v>58.870001959651994</v>
      </c>
      <c r="AR287" s="573">
        <f t="shared" si="63"/>
        <v>58.870001959651994</v>
      </c>
      <c r="AS287" s="573">
        <f t="shared" si="63"/>
        <v>58.870001959651994</v>
      </c>
    </row>
    <row r="288" spans="1:45" s="229" customFormat="1" outlineLevel="1">
      <c r="A288" s="229">
        <v>4</v>
      </c>
      <c r="B288" s="229" t="str">
        <f t="shared" si="60"/>
        <v>4</v>
      </c>
      <c r="C288" s="234"/>
      <c r="D288" s="55"/>
      <c r="E288" s="313"/>
      <c r="G288" s="234"/>
      <c r="J288" s="247"/>
      <c r="K288" s="247"/>
      <c r="L288" s="247"/>
      <c r="M288" s="247"/>
      <c r="N288" s="247"/>
      <c r="O288" s="247"/>
      <c r="P288" s="247"/>
      <c r="Q288" s="247"/>
      <c r="R288" s="247"/>
      <c r="S288" s="247"/>
      <c r="T288" s="247"/>
      <c r="U288" s="247"/>
      <c r="V288" s="247"/>
      <c r="W288" s="247"/>
      <c r="X288" s="247"/>
      <c r="Y288" s="247"/>
      <c r="Z288" s="247"/>
      <c r="AA288" s="247"/>
      <c r="AB288" s="247"/>
      <c r="AC288" s="247"/>
      <c r="AD288" s="247"/>
      <c r="AE288" s="247"/>
      <c r="AF288" s="247"/>
      <c r="AG288" s="247"/>
      <c r="AH288" s="247"/>
      <c r="AI288" s="247"/>
      <c r="AJ288" s="247"/>
      <c r="AK288" s="247"/>
      <c r="AL288" s="247"/>
      <c r="AM288" s="247"/>
      <c r="AN288" s="247"/>
      <c r="AO288" s="247"/>
      <c r="AP288" s="247"/>
      <c r="AQ288" s="247"/>
      <c r="AR288" s="247"/>
      <c r="AS288" s="247"/>
    </row>
    <row r="289" spans="1:45" s="229" customFormat="1" outlineLevel="1">
      <c r="A289" s="229">
        <v>5</v>
      </c>
      <c r="B289" s="229" t="str">
        <f t="shared" si="60"/>
        <v>5</v>
      </c>
      <c r="C289" s="234"/>
      <c r="D289" s="55"/>
      <c r="E289" s="313"/>
      <c r="G289" s="234"/>
      <c r="J289" s="247"/>
      <c r="K289" s="247"/>
      <c r="L289" s="247"/>
      <c r="M289" s="247"/>
      <c r="N289" s="247"/>
      <c r="O289" s="247"/>
      <c r="P289" s="247"/>
      <c r="Q289" s="247"/>
      <c r="R289" s="247"/>
      <c r="S289" s="247"/>
      <c r="T289" s="247"/>
      <c r="U289" s="247"/>
      <c r="V289" s="247"/>
      <c r="W289" s="247"/>
      <c r="X289" s="247"/>
      <c r="Y289" s="247"/>
      <c r="Z289" s="247"/>
      <c r="AA289" s="247"/>
      <c r="AB289" s="247"/>
      <c r="AC289" s="247"/>
      <c r="AD289" s="247"/>
      <c r="AE289" s="247"/>
      <c r="AF289" s="247"/>
      <c r="AG289" s="247"/>
      <c r="AH289" s="247"/>
      <c r="AI289" s="247"/>
      <c r="AJ289" s="247"/>
      <c r="AK289" s="247"/>
      <c r="AL289" s="247"/>
      <c r="AM289" s="247"/>
      <c r="AN289" s="247"/>
      <c r="AO289" s="247"/>
      <c r="AP289" s="247"/>
      <c r="AQ289" s="247"/>
      <c r="AR289" s="247"/>
      <c r="AS289" s="247"/>
    </row>
    <row r="290" spans="1:45" s="229" customFormat="1" outlineLevel="1">
      <c r="A290" s="229">
        <v>6</v>
      </c>
      <c r="B290" s="229" t="str">
        <f t="shared" si="60"/>
        <v>6</v>
      </c>
      <c r="C290" s="234"/>
      <c r="D290" s="55"/>
      <c r="E290" s="313"/>
      <c r="G290" s="234"/>
      <c r="I290" s="313"/>
      <c r="J290" s="247"/>
      <c r="K290" s="247"/>
      <c r="L290" s="247"/>
      <c r="M290" s="247"/>
      <c r="N290" s="247"/>
      <c r="O290" s="247"/>
      <c r="P290" s="247"/>
      <c r="Q290" s="247"/>
      <c r="R290" s="247"/>
      <c r="S290" s="247"/>
      <c r="T290" s="247"/>
      <c r="U290" s="247"/>
      <c r="V290" s="247"/>
      <c r="W290" s="247"/>
      <c r="X290" s="247"/>
      <c r="Y290" s="247"/>
      <c r="Z290" s="247"/>
      <c r="AA290" s="247"/>
      <c r="AB290" s="247"/>
      <c r="AC290" s="247"/>
      <c r="AD290" s="247"/>
      <c r="AE290" s="247"/>
      <c r="AF290" s="247"/>
      <c r="AG290" s="247"/>
      <c r="AH290" s="247"/>
      <c r="AI290" s="247"/>
      <c r="AJ290" s="247"/>
      <c r="AK290" s="247"/>
      <c r="AL290" s="247"/>
      <c r="AM290" s="247"/>
      <c r="AN290" s="247"/>
      <c r="AO290" s="247"/>
      <c r="AP290" s="247"/>
      <c r="AQ290" s="247"/>
      <c r="AR290" s="247"/>
      <c r="AS290" s="247"/>
    </row>
    <row r="291" spans="1:45" s="229" customFormat="1" outlineLevel="1">
      <c r="A291" s="229">
        <v>7</v>
      </c>
      <c r="B291" s="229" t="str">
        <f t="shared" si="60"/>
        <v>7</v>
      </c>
      <c r="C291" s="234"/>
      <c r="D291" s="55"/>
      <c r="E291" s="313"/>
      <c r="F291" s="313"/>
      <c r="G291" s="234"/>
      <c r="I291" s="313"/>
      <c r="J291" s="247"/>
      <c r="K291" s="247"/>
      <c r="L291" s="247"/>
      <c r="M291" s="247"/>
      <c r="N291" s="247"/>
      <c r="O291" s="247"/>
      <c r="P291" s="247"/>
      <c r="Q291" s="247"/>
      <c r="R291" s="247"/>
      <c r="S291" s="247"/>
      <c r="T291" s="247"/>
      <c r="U291" s="247"/>
      <c r="V291" s="247"/>
      <c r="W291" s="247"/>
      <c r="X291" s="247"/>
      <c r="Y291" s="247"/>
      <c r="Z291" s="247"/>
      <c r="AA291" s="247"/>
      <c r="AB291" s="247"/>
      <c r="AC291" s="247"/>
      <c r="AD291" s="247"/>
      <c r="AE291" s="247"/>
      <c r="AF291" s="247"/>
      <c r="AG291" s="247"/>
      <c r="AH291" s="247"/>
      <c r="AI291" s="247"/>
      <c r="AJ291" s="247"/>
      <c r="AK291" s="247"/>
      <c r="AL291" s="247"/>
      <c r="AM291" s="247"/>
      <c r="AN291" s="247"/>
      <c r="AO291" s="247"/>
      <c r="AP291" s="247"/>
      <c r="AQ291" s="247"/>
      <c r="AR291" s="247"/>
      <c r="AS291" s="247"/>
    </row>
    <row r="292" spans="1:45" s="229" customFormat="1" outlineLevel="1">
      <c r="A292" s="229">
        <v>8</v>
      </c>
      <c r="B292" s="229" t="str">
        <f t="shared" si="60"/>
        <v>8</v>
      </c>
      <c r="C292" s="234"/>
      <c r="D292" s="55"/>
      <c r="E292" s="313"/>
      <c r="F292" s="313"/>
      <c r="G292" s="234"/>
      <c r="I292" s="313"/>
      <c r="J292" s="247"/>
      <c r="K292" s="247"/>
      <c r="L292" s="247"/>
      <c r="M292" s="247"/>
      <c r="N292" s="247"/>
      <c r="O292" s="247"/>
      <c r="P292" s="247"/>
      <c r="Q292" s="247"/>
      <c r="R292" s="247"/>
      <c r="S292" s="247"/>
      <c r="T292" s="247"/>
      <c r="U292" s="247"/>
      <c r="V292" s="247"/>
      <c r="W292" s="247"/>
      <c r="X292" s="247"/>
      <c r="Y292" s="247"/>
      <c r="Z292" s="247"/>
      <c r="AA292" s="247"/>
      <c r="AB292" s="247"/>
      <c r="AC292" s="247"/>
      <c r="AD292" s="247"/>
      <c r="AE292" s="247"/>
      <c r="AF292" s="247"/>
      <c r="AG292" s="247"/>
      <c r="AH292" s="247"/>
      <c r="AI292" s="247"/>
      <c r="AJ292" s="247"/>
      <c r="AK292" s="247"/>
      <c r="AL292" s="247"/>
      <c r="AM292" s="247"/>
      <c r="AN292" s="247"/>
      <c r="AO292" s="247"/>
      <c r="AP292" s="247"/>
      <c r="AQ292" s="247"/>
      <c r="AR292" s="247"/>
      <c r="AS292" s="247"/>
    </row>
    <row r="293" spans="1:45" s="229" customFormat="1" outlineLevel="1">
      <c r="A293" s="229">
        <v>9</v>
      </c>
      <c r="B293" s="229" t="str">
        <f t="shared" si="60"/>
        <v>9</v>
      </c>
      <c r="C293" s="234"/>
      <c r="E293" s="313"/>
      <c r="F293" s="313"/>
      <c r="G293" s="234"/>
      <c r="I293" s="313"/>
      <c r="J293" s="247"/>
      <c r="K293" s="247"/>
      <c r="L293" s="247"/>
      <c r="M293" s="247"/>
      <c r="N293" s="247"/>
      <c r="O293" s="247"/>
      <c r="P293" s="247"/>
      <c r="Q293" s="247"/>
      <c r="R293" s="247"/>
      <c r="S293" s="247"/>
      <c r="T293" s="247"/>
      <c r="U293" s="247"/>
      <c r="V293" s="247"/>
      <c r="W293" s="247"/>
      <c r="X293" s="247"/>
      <c r="Y293" s="247"/>
      <c r="Z293" s="247"/>
      <c r="AA293" s="247"/>
      <c r="AB293" s="247"/>
      <c r="AC293" s="247"/>
      <c r="AD293" s="247"/>
      <c r="AE293" s="247"/>
      <c r="AF293" s="247"/>
      <c r="AG293" s="247"/>
      <c r="AH293" s="247"/>
      <c r="AI293" s="247"/>
      <c r="AJ293" s="247"/>
      <c r="AK293" s="247"/>
      <c r="AL293" s="247"/>
      <c r="AM293" s="247"/>
      <c r="AN293" s="247"/>
      <c r="AO293" s="247"/>
      <c r="AP293" s="247"/>
      <c r="AQ293" s="247"/>
      <c r="AR293" s="247"/>
      <c r="AS293" s="247"/>
    </row>
    <row r="294" spans="1:45" s="229" customFormat="1" outlineLevel="1">
      <c r="A294" s="229">
        <v>10</v>
      </c>
      <c r="B294" s="229" t="str">
        <f t="shared" si="60"/>
        <v>10</v>
      </c>
      <c r="C294" s="234"/>
      <c r="E294" s="313"/>
      <c r="F294" s="313"/>
      <c r="G294" s="234"/>
      <c r="I294" s="313"/>
      <c r="J294" s="247"/>
      <c r="K294" s="247"/>
      <c r="L294" s="247"/>
      <c r="M294" s="247"/>
      <c r="N294" s="247"/>
      <c r="O294" s="247"/>
      <c r="P294" s="247"/>
      <c r="Q294" s="247"/>
      <c r="R294" s="247"/>
      <c r="S294" s="247"/>
      <c r="T294" s="247"/>
      <c r="U294" s="247"/>
      <c r="V294" s="247"/>
      <c r="W294" s="247"/>
      <c r="X294" s="247"/>
      <c r="Y294" s="247"/>
      <c r="Z294" s="247"/>
      <c r="AA294" s="247"/>
      <c r="AB294" s="247"/>
      <c r="AC294" s="247"/>
      <c r="AD294" s="247"/>
      <c r="AE294" s="247"/>
      <c r="AF294" s="247"/>
      <c r="AG294" s="247"/>
      <c r="AH294" s="247"/>
      <c r="AI294" s="247"/>
      <c r="AJ294" s="247"/>
      <c r="AK294" s="247"/>
      <c r="AL294" s="247"/>
      <c r="AM294" s="247"/>
      <c r="AN294" s="247"/>
      <c r="AO294" s="247"/>
      <c r="AP294" s="247"/>
      <c r="AQ294" s="247"/>
      <c r="AR294" s="247"/>
      <c r="AS294" s="247"/>
    </row>
    <row r="295" spans="1:45" s="229" customFormat="1" outlineLevel="1">
      <c r="A295" s="229">
        <v>11</v>
      </c>
      <c r="B295" s="229" t="str">
        <f t="shared" si="60"/>
        <v>11</v>
      </c>
      <c r="C295" s="234"/>
      <c r="E295" s="313"/>
      <c r="F295" s="313"/>
      <c r="G295" s="234"/>
      <c r="I295" s="313"/>
      <c r="J295" s="247"/>
      <c r="K295" s="247"/>
      <c r="L295" s="247"/>
      <c r="M295" s="247"/>
      <c r="N295" s="247"/>
      <c r="O295" s="247"/>
      <c r="P295" s="247"/>
      <c r="Q295" s="247"/>
      <c r="R295" s="247"/>
      <c r="S295" s="247"/>
      <c r="T295" s="247"/>
      <c r="U295" s="247"/>
      <c r="V295" s="247"/>
      <c r="W295" s="247"/>
      <c r="X295" s="247"/>
      <c r="Y295" s="247"/>
      <c r="Z295" s="247"/>
      <c r="AA295" s="247"/>
      <c r="AB295" s="247"/>
      <c r="AC295" s="247"/>
      <c r="AD295" s="247"/>
      <c r="AE295" s="247"/>
      <c r="AF295" s="247"/>
      <c r="AG295" s="247"/>
      <c r="AH295" s="247"/>
      <c r="AI295" s="247"/>
      <c r="AJ295" s="247"/>
      <c r="AK295" s="247"/>
      <c r="AL295" s="247"/>
      <c r="AM295" s="247"/>
      <c r="AN295" s="247"/>
      <c r="AO295" s="247"/>
      <c r="AP295" s="247"/>
      <c r="AQ295" s="247"/>
      <c r="AR295" s="247"/>
      <c r="AS295" s="247"/>
    </row>
    <row r="296" spans="1:45" s="238" customFormat="1" outlineLevel="1">
      <c r="A296" s="229" t="s">
        <v>208</v>
      </c>
      <c r="B296" s="229" t="str">
        <f>A296&amp;C296</f>
        <v>NIndustrialCarbon Emissions</v>
      </c>
      <c r="C296" s="234" t="str">
        <f>$A$280&amp;$A$281</f>
        <v>IndustrialCarbon Emissions</v>
      </c>
      <c r="E296" s="236" t="s">
        <v>232</v>
      </c>
    </row>
    <row r="298" spans="1:45" s="298" customFormat="1" outlineLevel="1">
      <c r="A298" s="298" t="s">
        <v>164</v>
      </c>
    </row>
    <row r="299" spans="1:45" outlineLevel="1">
      <c r="A299" s="229" t="s">
        <v>175</v>
      </c>
      <c r="B299" s="229" t="s">
        <v>176</v>
      </c>
      <c r="C299" s="229" t="s">
        <v>177</v>
      </c>
      <c r="D299" s="230"/>
      <c r="E299" s="230" t="s">
        <v>178</v>
      </c>
      <c r="F299" s="230"/>
      <c r="G299" s="230" t="s">
        <v>179</v>
      </c>
      <c r="H299" s="230" t="s">
        <v>180</v>
      </c>
      <c r="I299" s="230"/>
      <c r="J299" s="230">
        <v>2015</v>
      </c>
      <c r="K299" s="230">
        <v>2016</v>
      </c>
      <c r="L299" s="230">
        <v>2017</v>
      </c>
      <c r="M299" s="230">
        <v>2018</v>
      </c>
      <c r="N299" s="230">
        <v>2019</v>
      </c>
      <c r="O299" s="230">
        <v>2020</v>
      </c>
      <c r="P299" s="230">
        <v>2021</v>
      </c>
      <c r="Q299" s="230">
        <v>2022</v>
      </c>
      <c r="R299" s="230">
        <v>2023</v>
      </c>
      <c r="S299" s="230">
        <v>2024</v>
      </c>
      <c r="T299" s="230">
        <v>2025</v>
      </c>
      <c r="U299" s="230">
        <v>2026</v>
      </c>
      <c r="V299" s="230">
        <v>2027</v>
      </c>
      <c r="W299" s="230">
        <v>2028</v>
      </c>
      <c r="X299" s="230">
        <v>2029</v>
      </c>
      <c r="Y299" s="230">
        <v>2030</v>
      </c>
      <c r="Z299" s="230">
        <v>2031</v>
      </c>
      <c r="AA299" s="230">
        <v>2032</v>
      </c>
      <c r="AB299" s="230">
        <v>2033</v>
      </c>
      <c r="AC299" s="230">
        <v>2034</v>
      </c>
      <c r="AD299" s="230">
        <v>2035</v>
      </c>
      <c r="AE299" s="230">
        <v>2036</v>
      </c>
      <c r="AF299" s="230">
        <v>2037</v>
      </c>
      <c r="AG299" s="230">
        <v>2038</v>
      </c>
      <c r="AH299" s="230">
        <v>2039</v>
      </c>
      <c r="AI299" s="230">
        <v>2040</v>
      </c>
      <c r="AJ299" s="230">
        <v>2041</v>
      </c>
      <c r="AK299" s="230">
        <v>2042</v>
      </c>
      <c r="AL299" s="230">
        <v>2043</v>
      </c>
      <c r="AM299" s="230">
        <v>2044</v>
      </c>
      <c r="AN299" s="230">
        <v>2045</v>
      </c>
      <c r="AO299" s="230">
        <v>2046</v>
      </c>
      <c r="AP299" s="230">
        <v>2047</v>
      </c>
      <c r="AQ299" s="230">
        <v>2048</v>
      </c>
      <c r="AR299" s="230">
        <v>2049</v>
      </c>
      <c r="AS299" s="230">
        <v>2050</v>
      </c>
    </row>
    <row r="300" spans="1:45" outlineLevel="1"/>
    <row r="301" spans="1:45" s="229" customFormat="1" outlineLevel="1">
      <c r="A301" s="229">
        <v>0</v>
      </c>
      <c r="B301" s="229" t="str">
        <f t="shared" ref="B301:B312" si="64">A301&amp;C301</f>
        <v>0IndustrialEnergy Demand</v>
      </c>
      <c r="C301" s="234" t="str">
        <f>$A$280&amp;$A$298</f>
        <v>IndustrialEnergy Demand</v>
      </c>
      <c r="E301" s="248" t="s">
        <v>182</v>
      </c>
      <c r="G301" s="234"/>
      <c r="J301" s="237"/>
      <c r="K301" s="237"/>
      <c r="L301" s="237"/>
      <c r="M301" s="237"/>
      <c r="N301" s="237"/>
      <c r="O301" s="237"/>
      <c r="P301" s="237"/>
      <c r="Q301" s="237"/>
      <c r="R301" s="237"/>
      <c r="S301" s="237"/>
      <c r="T301" s="237"/>
      <c r="U301" s="237"/>
      <c r="V301" s="237"/>
      <c r="W301" s="237"/>
      <c r="X301" s="237"/>
      <c r="Y301" s="237"/>
      <c r="Z301" s="237"/>
      <c r="AA301" s="237"/>
      <c r="AB301" s="237"/>
      <c r="AC301" s="237"/>
      <c r="AD301" s="237"/>
      <c r="AE301" s="237"/>
      <c r="AF301" s="237"/>
      <c r="AG301" s="237"/>
      <c r="AH301" s="237"/>
      <c r="AI301" s="237"/>
      <c r="AJ301" s="237"/>
      <c r="AK301" s="237"/>
      <c r="AL301" s="237"/>
      <c r="AM301" s="237"/>
      <c r="AN301" s="237"/>
      <c r="AO301" s="237"/>
      <c r="AP301" s="237"/>
      <c r="AQ301" s="237"/>
      <c r="AR301" s="237"/>
      <c r="AS301" s="237"/>
    </row>
    <row r="302" spans="1:45" s="247" customFormat="1" outlineLevel="1">
      <c r="A302" s="229">
        <v>1</v>
      </c>
      <c r="B302" s="229" t="str">
        <f t="shared" si="64"/>
        <v>1IndustrialEnergy Demand</v>
      </c>
      <c r="C302" s="234" t="str">
        <f>$A$280&amp;$A$298</f>
        <v>IndustrialEnergy Demand</v>
      </c>
      <c r="D302" s="55"/>
      <c r="E302" s="313" t="s">
        <v>210</v>
      </c>
      <c r="F302" s="313"/>
      <c r="G302" s="234" t="s">
        <v>198</v>
      </c>
      <c r="H302" s="229"/>
      <c r="I302" s="313"/>
      <c r="J302" s="573">
        <f>('Industrial and Other Transport'!O10)/1000</f>
        <v>17.013240600130874</v>
      </c>
      <c r="K302" s="573">
        <f>('Industrial and Other Transport'!P10)/1000</f>
        <v>17.013240600130874</v>
      </c>
      <c r="L302" s="573">
        <f>('Industrial and Other Transport'!Q10)/1000</f>
        <v>17.013240600130874</v>
      </c>
      <c r="M302" s="573">
        <f>('Industrial and Other Transport'!R10)/1000</f>
        <v>17.013240600130874</v>
      </c>
      <c r="N302" s="573">
        <f>('Industrial and Other Transport'!S10)/1000</f>
        <v>17.013240600130874</v>
      </c>
      <c r="O302" s="573">
        <f>('Industrial and Other Transport'!T10)/1000</f>
        <v>17.013240600130874</v>
      </c>
      <c r="P302" s="573">
        <f>('Industrial and Other Transport'!U10)/1000</f>
        <v>17.63788834329096</v>
      </c>
      <c r="Q302" s="573">
        <f>('Industrial and Other Transport'!V10)/1000</f>
        <v>18.262536086451046</v>
      </c>
      <c r="R302" s="573">
        <f>('Industrial and Other Transport'!W10)/1000</f>
        <v>18.887183829611132</v>
      </c>
      <c r="S302" s="573">
        <f>('Industrial and Other Transport'!X10)/1000</f>
        <v>19.511831572771214</v>
      </c>
      <c r="T302" s="573">
        <f>('Industrial and Other Transport'!Y10)/1000</f>
        <v>20.1364793159313</v>
      </c>
      <c r="U302" s="573">
        <f>('Industrial and Other Transport'!Z10)/1000</f>
        <v>25.35535880713001</v>
      </c>
      <c r="V302" s="573">
        <f>('Industrial and Other Transport'!AA10)/1000</f>
        <v>30.574238298328719</v>
      </c>
      <c r="W302" s="573">
        <f>('Industrial and Other Transport'!AB10)/1000</f>
        <v>35.793117789527429</v>
      </c>
      <c r="X302" s="573">
        <f>('Industrial and Other Transport'!AC10)/1000</f>
        <v>41.011997280726142</v>
      </c>
      <c r="Y302" s="573">
        <f>('Industrial and Other Transport'!AD10)/1000</f>
        <v>46.230876771924848</v>
      </c>
      <c r="Z302" s="573">
        <f>('Industrial and Other Transport'!AE10)/1000</f>
        <v>48.218141259294612</v>
      </c>
      <c r="AA302" s="573">
        <f>('Industrial and Other Transport'!AF10)/1000</f>
        <v>50.205405746664368</v>
      </c>
      <c r="AB302" s="573">
        <f>('Industrial and Other Transport'!AG10)/1000</f>
        <v>52.192670234034132</v>
      </c>
      <c r="AC302" s="573">
        <f>('Industrial and Other Transport'!AH10)/1000</f>
        <v>54.179934721403889</v>
      </c>
      <c r="AD302" s="573">
        <f>('Industrial and Other Transport'!AI10)/1000</f>
        <v>56.167199208773646</v>
      </c>
      <c r="AE302" s="573">
        <f>('Industrial and Other Transport'!AJ10)/1000</f>
        <v>56.921622678002315</v>
      </c>
      <c r="AF302" s="573">
        <f>('Industrial and Other Transport'!AK10)/1000</f>
        <v>57.676046147230991</v>
      </c>
      <c r="AG302" s="573">
        <f>('Industrial and Other Transport'!AL10)/1000</f>
        <v>58.430469616459675</v>
      </c>
      <c r="AH302" s="573">
        <f>('Industrial and Other Transport'!AM10)/1000</f>
        <v>59.184893085688344</v>
      </c>
      <c r="AI302" s="573">
        <f>('Industrial and Other Transport'!AN10)/1000</f>
        <v>59.939316554917021</v>
      </c>
      <c r="AJ302" s="573">
        <f>('Industrial and Other Transport'!AO10)/1000</f>
        <v>59.659182719629989</v>
      </c>
      <c r="AK302" s="573">
        <f>('Industrial and Other Transport'!AP10)/1000</f>
        <v>59.379048884342957</v>
      </c>
      <c r="AL302" s="573">
        <f>('Industrial and Other Transport'!AQ10)/1000</f>
        <v>59.098915049055925</v>
      </c>
      <c r="AM302" s="573">
        <f>('Industrial and Other Transport'!AR10)/1000</f>
        <v>58.818781213768894</v>
      </c>
      <c r="AN302" s="573">
        <f>('Industrial and Other Transport'!AS10)/1000</f>
        <v>58.538647378481869</v>
      </c>
      <c r="AO302" s="573">
        <f>('Industrial and Other Transport'!AT10)/1000</f>
        <v>58.25851354319483</v>
      </c>
      <c r="AP302" s="573">
        <f>('Industrial and Other Transport'!AU10)/1000</f>
        <v>57.978379707907813</v>
      </c>
      <c r="AQ302" s="573">
        <f>('Industrial and Other Transport'!AV10)/1000</f>
        <v>57.698245872620774</v>
      </c>
      <c r="AR302" s="573">
        <f>('Industrial and Other Transport'!AW10)/1000</f>
        <v>57.418112037333763</v>
      </c>
      <c r="AS302" s="573">
        <f>('Industrial and Other Transport'!AX10)/1000</f>
        <v>57.137978202046732</v>
      </c>
    </row>
    <row r="303" spans="1:45" s="247" customFormat="1" outlineLevel="1">
      <c r="A303" s="229">
        <v>2</v>
      </c>
      <c r="B303" s="229" t="str">
        <f t="shared" si="64"/>
        <v>2IndustrialEnergy Demand</v>
      </c>
      <c r="C303" s="234" t="str">
        <f>$A$280&amp;$A$298</f>
        <v>IndustrialEnergy Demand</v>
      </c>
      <c r="D303" s="55"/>
      <c r="E303" s="313" t="s">
        <v>209</v>
      </c>
      <c r="F303" s="229"/>
      <c r="G303" s="234" t="s">
        <v>198</v>
      </c>
      <c r="H303" s="229"/>
      <c r="I303" s="229"/>
      <c r="J303" s="573">
        <f>('Industrial and Other Transport'!O11)/1000</f>
        <v>76.787628821049907</v>
      </c>
      <c r="K303" s="573">
        <f>('Industrial and Other Transport'!P11)/1000</f>
        <v>76.787628821049907</v>
      </c>
      <c r="L303" s="573">
        <f>('Industrial and Other Transport'!Q11)/1000</f>
        <v>76.787628821049907</v>
      </c>
      <c r="M303" s="573">
        <f>('Industrial and Other Transport'!R11)/1000</f>
        <v>76.787628821049907</v>
      </c>
      <c r="N303" s="573">
        <f>('Industrial and Other Transport'!S11)/1000</f>
        <v>76.787628821049907</v>
      </c>
      <c r="O303" s="573">
        <f>('Industrial and Other Transport'!T11)/1000</f>
        <v>76.787628821049907</v>
      </c>
      <c r="P303" s="573">
        <f>('Industrial and Other Transport'!U11)/1000</f>
        <v>75.787077545005062</v>
      </c>
      <c r="Q303" s="573">
        <f>('Industrial and Other Transport'!V11)/1000</f>
        <v>74.786526268960202</v>
      </c>
      <c r="R303" s="573">
        <f>('Industrial and Other Transport'!W11)/1000</f>
        <v>73.785974992915328</v>
      </c>
      <c r="S303" s="573">
        <f>('Industrial and Other Transport'!X11)/1000</f>
        <v>72.785423716870469</v>
      </c>
      <c r="T303" s="573">
        <f>('Industrial and Other Transport'!Y11)/1000</f>
        <v>71.784872440825609</v>
      </c>
      <c r="U303" s="573">
        <f>('Industrial and Other Transport'!Z11)/1000</f>
        <v>65.06243271199267</v>
      </c>
      <c r="V303" s="573">
        <f>('Industrial and Other Transport'!AA11)/1000</f>
        <v>58.339992983159746</v>
      </c>
      <c r="W303" s="573">
        <f>('Industrial and Other Transport'!AB11)/1000</f>
        <v>51.617553254326815</v>
      </c>
      <c r="X303" s="573">
        <f>('Industrial and Other Transport'!AC11)/1000</f>
        <v>44.895113525493876</v>
      </c>
      <c r="Y303" s="573">
        <f>('Industrial and Other Transport'!AD11)/1000</f>
        <v>38.172673796660945</v>
      </c>
      <c r="Z303" s="573">
        <f>('Industrial and Other Transport'!AE11)/1000</f>
        <v>32.505833420917291</v>
      </c>
      <c r="AA303" s="573">
        <f>('Industrial and Other Transport'!AF11)/1000</f>
        <v>26.838993045173641</v>
      </c>
      <c r="AB303" s="573">
        <f>('Industrial and Other Transport'!AG11)/1000</f>
        <v>21.172152669429995</v>
      </c>
      <c r="AC303" s="573">
        <f>('Industrial and Other Transport'!AH11)/1000</f>
        <v>15.505312293686343</v>
      </c>
      <c r="AD303" s="573">
        <f>('Industrial and Other Transport'!AI11)/1000</f>
        <v>9.8384719179426927</v>
      </c>
      <c r="AE303" s="573">
        <f>('Industrial and Other Transport'!AJ11)/1000</f>
        <v>7.8707775343541533</v>
      </c>
      <c r="AF303" s="573">
        <f>('Industrial and Other Transport'!AK11)/1000</f>
        <v>5.9030831507656156</v>
      </c>
      <c r="AG303" s="573">
        <f>('Industrial and Other Transport'!AL11)/1000</f>
        <v>3.9353887671770766</v>
      </c>
      <c r="AH303" s="573">
        <f>('Industrial and Other Transport'!AM11)/1000</f>
        <v>1.9676943835885383</v>
      </c>
      <c r="AI303" s="573">
        <f>('Industrial and Other Transport'!AN11)/1000</f>
        <v>0</v>
      </c>
      <c r="AJ303" s="573">
        <f>('Industrial and Other Transport'!AO11)/1000</f>
        <v>0</v>
      </c>
      <c r="AK303" s="573">
        <f>('Industrial and Other Transport'!AP11)/1000</f>
        <v>0</v>
      </c>
      <c r="AL303" s="573">
        <f>('Industrial and Other Transport'!AQ11)/1000</f>
        <v>0</v>
      </c>
      <c r="AM303" s="573">
        <f>('Industrial and Other Transport'!AR11)/1000</f>
        <v>0</v>
      </c>
      <c r="AN303" s="573">
        <f>('Industrial and Other Transport'!AS11)/1000</f>
        <v>0</v>
      </c>
      <c r="AO303" s="573">
        <f>('Industrial and Other Transport'!AT11)/1000</f>
        <v>0</v>
      </c>
      <c r="AP303" s="573">
        <f>('Industrial and Other Transport'!AU11)/1000</f>
        <v>0</v>
      </c>
      <c r="AQ303" s="573">
        <f>('Industrial and Other Transport'!AV11)/1000</f>
        <v>0</v>
      </c>
      <c r="AR303" s="573">
        <f>('Industrial and Other Transport'!AW11)/1000</f>
        <v>0</v>
      </c>
      <c r="AS303" s="573">
        <f>('Industrial and Other Transport'!AX11)/1000</f>
        <v>0</v>
      </c>
    </row>
    <row r="304" spans="1:45" s="247" customFormat="1" outlineLevel="1">
      <c r="A304" s="229">
        <v>3</v>
      </c>
      <c r="B304" s="229" t="str">
        <f t="shared" si="64"/>
        <v>3IndustrialEnergy Demand</v>
      </c>
      <c r="C304" s="234" t="str">
        <f>$A$280&amp;$A$298</f>
        <v>IndustrialEnergy Demand</v>
      </c>
      <c r="D304" s="55"/>
      <c r="E304" s="313" t="s">
        <v>211</v>
      </c>
      <c r="F304" s="313"/>
      <c r="G304" s="234" t="s">
        <v>198</v>
      </c>
      <c r="H304" s="229"/>
      <c r="I304" s="313"/>
      <c r="J304" s="573">
        <f>('Industrial and Other Transport'!O12)/1000</f>
        <v>0</v>
      </c>
      <c r="K304" s="573">
        <f>('Industrial and Other Transport'!P12)/1000</f>
        <v>0</v>
      </c>
      <c r="L304" s="573">
        <f>('Industrial and Other Transport'!Q12)/1000</f>
        <v>0</v>
      </c>
      <c r="M304" s="573">
        <f>('Industrial and Other Transport'!R12)/1000</f>
        <v>0</v>
      </c>
      <c r="N304" s="573">
        <f>('Industrial and Other Transport'!S12)/1000</f>
        <v>0</v>
      </c>
      <c r="O304" s="573">
        <f>('Industrial and Other Transport'!T12)/1000</f>
        <v>0</v>
      </c>
      <c r="P304" s="573">
        <f>('Industrial and Other Transport'!U12)/1000</f>
        <v>0</v>
      </c>
      <c r="Q304" s="573">
        <f>('Industrial and Other Transport'!V12)/1000</f>
        <v>0</v>
      </c>
      <c r="R304" s="573">
        <f>('Industrial and Other Transport'!W12)/1000</f>
        <v>0</v>
      </c>
      <c r="S304" s="573">
        <f>('Industrial and Other Transport'!X12)/1000</f>
        <v>0</v>
      </c>
      <c r="T304" s="573">
        <f>('Industrial and Other Transport'!Y12)/1000</f>
        <v>0</v>
      </c>
      <c r="U304" s="573">
        <f>('Industrial and Other Transport'!Z12)/1000</f>
        <v>1.1376659858347569</v>
      </c>
      <c r="V304" s="573">
        <f>('Industrial and Other Transport'!AA12)/1000</f>
        <v>2.2753319716695137</v>
      </c>
      <c r="W304" s="573">
        <f>('Industrial and Other Transport'!AB12)/1000</f>
        <v>3.4129979575042708</v>
      </c>
      <c r="X304" s="573">
        <f>('Industrial and Other Transport'!AC12)/1000</f>
        <v>4.5506639433390275</v>
      </c>
      <c r="Y304" s="573">
        <f>('Industrial and Other Transport'!AD12)/1000</f>
        <v>5.6883299291737845</v>
      </c>
      <c r="Z304" s="573">
        <f>('Industrial and Other Transport'!AE12)/1000</f>
        <v>8.9530121914554019</v>
      </c>
      <c r="AA304" s="573">
        <f>('Industrial and Other Transport'!AF12)/1000</f>
        <v>12.217694453737016</v>
      </c>
      <c r="AB304" s="573">
        <f>('Industrial and Other Transport'!AG12)/1000</f>
        <v>15.482376716018635</v>
      </c>
      <c r="AC304" s="573">
        <f>('Industrial and Other Transport'!AH12)/1000</f>
        <v>18.747058978300245</v>
      </c>
      <c r="AD304" s="573">
        <f>('Industrial and Other Transport'!AI12)/1000</f>
        <v>22.011741240581866</v>
      </c>
      <c r="AE304" s="573">
        <f>('Industrial and Other Transport'!AJ12)/1000</f>
        <v>22.840005325102791</v>
      </c>
      <c r="AF304" s="573">
        <f>('Industrial and Other Transport'!AK12)/1000</f>
        <v>23.668269409623719</v>
      </c>
      <c r="AG304" s="573">
        <f>('Industrial and Other Transport'!AL12)/1000</f>
        <v>24.496533494144643</v>
      </c>
      <c r="AH304" s="573">
        <f>('Industrial and Other Transport'!AM12)/1000</f>
        <v>25.324797578665571</v>
      </c>
      <c r="AI304" s="573">
        <f>('Industrial and Other Transport'!AN12)/1000</f>
        <v>26.153061663186495</v>
      </c>
      <c r="AJ304" s="573">
        <f>('Industrial and Other Transport'!AO12)/1000</f>
        <v>26.048188668634587</v>
      </c>
      <c r="AK304" s="573">
        <f>('Industrial and Other Transport'!AP12)/1000</f>
        <v>25.943315674082676</v>
      </c>
      <c r="AL304" s="573">
        <f>('Industrial and Other Transport'!AQ12)/1000</f>
        <v>25.838442679530761</v>
      </c>
      <c r="AM304" s="573">
        <f>('Industrial and Other Transport'!AR12)/1000</f>
        <v>25.733569684978853</v>
      </c>
      <c r="AN304" s="573">
        <f>('Industrial and Other Transport'!AS12)/1000</f>
        <v>25.628696690426946</v>
      </c>
      <c r="AO304" s="573">
        <f>('Industrial and Other Transport'!AT12)/1000</f>
        <v>25.523823695875034</v>
      </c>
      <c r="AP304" s="573">
        <f>('Industrial and Other Transport'!AU12)/1000</f>
        <v>25.418950701323126</v>
      </c>
      <c r="AQ304" s="573">
        <f>('Industrial and Other Transport'!AV12)/1000</f>
        <v>25.314077706771215</v>
      </c>
      <c r="AR304" s="573">
        <f>('Industrial and Other Transport'!AW12)/1000</f>
        <v>25.209204712219307</v>
      </c>
      <c r="AS304" s="573">
        <f>('Industrial and Other Transport'!AX12)/1000</f>
        <v>25.104331717667396</v>
      </c>
    </row>
    <row r="305" spans="1:45" s="229" customFormat="1" outlineLevel="1">
      <c r="A305" s="229">
        <v>4</v>
      </c>
      <c r="B305" s="229" t="str">
        <f t="shared" si="64"/>
        <v>4</v>
      </c>
      <c r="C305" s="234"/>
      <c r="D305" s="55"/>
      <c r="E305" s="313"/>
      <c r="G305" s="234"/>
      <c r="J305" s="247"/>
      <c r="K305" s="247"/>
      <c r="L305" s="247"/>
      <c r="M305" s="247"/>
      <c r="N305" s="247"/>
      <c r="O305" s="247"/>
      <c r="P305" s="247"/>
      <c r="Q305" s="247"/>
      <c r="R305" s="247"/>
      <c r="S305" s="247"/>
      <c r="T305" s="247"/>
      <c r="U305" s="247"/>
      <c r="V305" s="247"/>
      <c r="W305" s="247"/>
      <c r="X305" s="247"/>
      <c r="Y305" s="247"/>
      <c r="Z305" s="247"/>
      <c r="AA305" s="247"/>
      <c r="AB305" s="247"/>
      <c r="AC305" s="247"/>
      <c r="AD305" s="247"/>
      <c r="AE305" s="247"/>
      <c r="AF305" s="247"/>
      <c r="AG305" s="247"/>
      <c r="AH305" s="247"/>
      <c r="AI305" s="247"/>
      <c r="AJ305" s="247"/>
      <c r="AK305" s="247"/>
      <c r="AL305" s="247"/>
      <c r="AM305" s="247"/>
      <c r="AN305" s="247"/>
      <c r="AO305" s="247"/>
      <c r="AP305" s="247"/>
      <c r="AQ305" s="247"/>
      <c r="AR305" s="247"/>
      <c r="AS305" s="247"/>
    </row>
    <row r="306" spans="1:45" s="229" customFormat="1" outlineLevel="1">
      <c r="A306" s="229">
        <v>5</v>
      </c>
      <c r="B306" s="229" t="str">
        <f t="shared" si="64"/>
        <v>5</v>
      </c>
      <c r="C306" s="234"/>
      <c r="D306" s="55"/>
      <c r="E306" s="313"/>
      <c r="G306" s="234"/>
      <c r="J306" s="247"/>
      <c r="K306" s="247"/>
      <c r="L306" s="247"/>
      <c r="M306" s="247"/>
      <c r="N306" s="247"/>
      <c r="O306" s="247"/>
      <c r="P306" s="247"/>
      <c r="Q306" s="247"/>
      <c r="R306" s="247"/>
      <c r="S306" s="247"/>
      <c r="T306" s="247"/>
      <c r="U306" s="247"/>
      <c r="V306" s="247"/>
      <c r="W306" s="247"/>
      <c r="X306" s="247"/>
      <c r="Y306" s="247"/>
      <c r="Z306" s="247"/>
      <c r="AA306" s="247"/>
      <c r="AB306" s="247"/>
      <c r="AC306" s="247"/>
      <c r="AD306" s="247"/>
      <c r="AE306" s="247"/>
      <c r="AF306" s="247"/>
      <c r="AG306" s="247"/>
      <c r="AH306" s="247"/>
      <c r="AI306" s="247"/>
      <c r="AJ306" s="247"/>
      <c r="AK306" s="247"/>
      <c r="AL306" s="247"/>
      <c r="AM306" s="247"/>
      <c r="AN306" s="247"/>
      <c r="AO306" s="247"/>
      <c r="AP306" s="247"/>
      <c r="AQ306" s="247"/>
      <c r="AR306" s="247"/>
      <c r="AS306" s="247"/>
    </row>
    <row r="307" spans="1:45" s="229" customFormat="1" outlineLevel="1">
      <c r="A307" s="229">
        <v>6</v>
      </c>
      <c r="B307" s="229" t="str">
        <f t="shared" si="64"/>
        <v>6</v>
      </c>
      <c r="C307" s="234"/>
      <c r="D307" s="55"/>
      <c r="E307" s="313"/>
      <c r="G307" s="234"/>
      <c r="I307" s="313"/>
      <c r="J307" s="247"/>
      <c r="K307" s="247"/>
      <c r="L307" s="247"/>
      <c r="M307" s="247"/>
      <c r="N307" s="247"/>
      <c r="O307" s="247"/>
      <c r="P307" s="247"/>
      <c r="Q307" s="247"/>
      <c r="R307" s="247"/>
      <c r="S307" s="247"/>
      <c r="T307" s="247"/>
      <c r="U307" s="247"/>
      <c r="V307" s="247"/>
      <c r="W307" s="247"/>
      <c r="X307" s="247"/>
      <c r="Y307" s="247"/>
      <c r="Z307" s="247"/>
      <c r="AA307" s="247"/>
      <c r="AB307" s="247"/>
      <c r="AC307" s="247"/>
      <c r="AD307" s="247"/>
      <c r="AE307" s="247"/>
      <c r="AF307" s="247"/>
      <c r="AG307" s="247"/>
      <c r="AH307" s="247"/>
      <c r="AI307" s="247"/>
      <c r="AJ307" s="247"/>
      <c r="AK307" s="247"/>
      <c r="AL307" s="247"/>
      <c r="AM307" s="247"/>
      <c r="AN307" s="247"/>
      <c r="AO307" s="247"/>
      <c r="AP307" s="247"/>
      <c r="AQ307" s="247"/>
      <c r="AR307" s="247"/>
      <c r="AS307" s="247"/>
    </row>
    <row r="308" spans="1:45" s="229" customFormat="1" outlineLevel="1">
      <c r="A308" s="229">
        <v>7</v>
      </c>
      <c r="B308" s="229" t="str">
        <f t="shared" si="64"/>
        <v>7</v>
      </c>
      <c r="C308" s="234"/>
      <c r="D308" s="55"/>
      <c r="E308" s="313"/>
      <c r="F308" s="313"/>
      <c r="G308" s="234"/>
      <c r="I308" s="313"/>
      <c r="J308" s="247"/>
      <c r="K308" s="247"/>
      <c r="L308" s="247"/>
      <c r="M308" s="247"/>
      <c r="N308" s="247"/>
      <c r="O308" s="247"/>
      <c r="P308" s="247"/>
      <c r="Q308" s="247"/>
      <c r="R308" s="247"/>
      <c r="S308" s="247"/>
      <c r="T308" s="247"/>
      <c r="U308" s="247"/>
      <c r="V308" s="247"/>
      <c r="W308" s="247"/>
      <c r="X308" s="247"/>
      <c r="Y308" s="247"/>
      <c r="Z308" s="247"/>
      <c r="AA308" s="247"/>
      <c r="AB308" s="247"/>
      <c r="AC308" s="247"/>
      <c r="AD308" s="247"/>
      <c r="AE308" s="247"/>
      <c r="AF308" s="247"/>
      <c r="AG308" s="247"/>
      <c r="AH308" s="247"/>
      <c r="AI308" s="247"/>
      <c r="AJ308" s="247"/>
      <c r="AK308" s="247"/>
      <c r="AL308" s="247"/>
      <c r="AM308" s="247"/>
      <c r="AN308" s="247"/>
      <c r="AO308" s="247"/>
      <c r="AP308" s="247"/>
      <c r="AQ308" s="247"/>
      <c r="AR308" s="247"/>
      <c r="AS308" s="247"/>
    </row>
    <row r="309" spans="1:45" s="229" customFormat="1" outlineLevel="1">
      <c r="A309" s="229">
        <v>8</v>
      </c>
      <c r="B309" s="229" t="str">
        <f t="shared" si="64"/>
        <v>8</v>
      </c>
      <c r="C309" s="234"/>
      <c r="D309" s="55"/>
      <c r="E309" s="313"/>
      <c r="F309" s="313"/>
      <c r="G309" s="234"/>
      <c r="I309" s="313"/>
      <c r="J309" s="247"/>
      <c r="K309" s="247"/>
      <c r="L309" s="247"/>
      <c r="M309" s="247"/>
      <c r="N309" s="247"/>
      <c r="O309" s="247"/>
      <c r="P309" s="247"/>
      <c r="Q309" s="247"/>
      <c r="R309" s="247"/>
      <c r="S309" s="247"/>
      <c r="T309" s="247"/>
      <c r="U309" s="247"/>
      <c r="V309" s="247"/>
      <c r="W309" s="247"/>
      <c r="X309" s="247"/>
      <c r="Y309" s="247"/>
      <c r="Z309" s="247"/>
      <c r="AA309" s="247"/>
      <c r="AB309" s="247"/>
      <c r="AC309" s="247"/>
      <c r="AD309" s="247"/>
      <c r="AE309" s="247"/>
      <c r="AF309" s="247"/>
      <c r="AG309" s="247"/>
      <c r="AH309" s="247"/>
      <c r="AI309" s="247"/>
      <c r="AJ309" s="247"/>
      <c r="AK309" s="247"/>
      <c r="AL309" s="247"/>
      <c r="AM309" s="247"/>
      <c r="AN309" s="247"/>
      <c r="AO309" s="247"/>
      <c r="AP309" s="247"/>
      <c r="AQ309" s="247"/>
      <c r="AR309" s="247"/>
      <c r="AS309" s="247"/>
    </row>
    <row r="310" spans="1:45" s="229" customFormat="1" outlineLevel="1">
      <c r="A310" s="229">
        <v>9</v>
      </c>
      <c r="B310" s="229" t="str">
        <f t="shared" si="64"/>
        <v>9</v>
      </c>
      <c r="C310" s="234"/>
      <c r="E310" s="313"/>
      <c r="F310" s="313"/>
      <c r="G310" s="234"/>
      <c r="I310" s="313"/>
      <c r="J310" s="247"/>
      <c r="K310" s="247"/>
      <c r="L310" s="247"/>
      <c r="M310" s="247"/>
      <c r="N310" s="247"/>
      <c r="O310" s="247"/>
      <c r="P310" s="247"/>
      <c r="Q310" s="247"/>
      <c r="R310" s="247"/>
      <c r="S310" s="247"/>
      <c r="T310" s="247"/>
      <c r="U310" s="247"/>
      <c r="V310" s="247"/>
      <c r="W310" s="247"/>
      <c r="X310" s="247"/>
      <c r="Y310" s="247"/>
      <c r="Z310" s="247"/>
      <c r="AA310" s="247"/>
      <c r="AB310" s="247"/>
      <c r="AC310" s="247"/>
      <c r="AD310" s="247"/>
      <c r="AE310" s="247"/>
      <c r="AF310" s="247"/>
      <c r="AG310" s="247"/>
      <c r="AH310" s="247"/>
      <c r="AI310" s="247"/>
      <c r="AJ310" s="247"/>
      <c r="AK310" s="247"/>
      <c r="AL310" s="247"/>
      <c r="AM310" s="247"/>
      <c r="AN310" s="247"/>
      <c r="AO310" s="247"/>
      <c r="AP310" s="247"/>
      <c r="AQ310" s="247"/>
      <c r="AR310" s="247"/>
      <c r="AS310" s="247"/>
    </row>
    <row r="311" spans="1:45" s="229" customFormat="1" outlineLevel="1">
      <c r="A311" s="229">
        <v>10</v>
      </c>
      <c r="B311" s="229" t="str">
        <f t="shared" si="64"/>
        <v>10</v>
      </c>
      <c r="C311" s="234"/>
      <c r="E311" s="313"/>
      <c r="F311" s="313"/>
      <c r="G311" s="234"/>
      <c r="I311" s="313"/>
      <c r="J311" s="247"/>
      <c r="K311" s="247"/>
      <c r="L311" s="247"/>
      <c r="M311" s="247"/>
      <c r="N311" s="247"/>
      <c r="O311" s="247"/>
      <c r="P311" s="247"/>
      <c r="Q311" s="247"/>
      <c r="R311" s="247"/>
      <c r="S311" s="247"/>
      <c r="T311" s="247"/>
      <c r="U311" s="247"/>
      <c r="V311" s="247"/>
      <c r="W311" s="247"/>
      <c r="X311" s="247"/>
      <c r="Y311" s="247"/>
      <c r="Z311" s="247"/>
      <c r="AA311" s="247"/>
      <c r="AB311" s="247"/>
      <c r="AC311" s="247"/>
      <c r="AD311" s="247"/>
      <c r="AE311" s="247"/>
      <c r="AF311" s="247"/>
      <c r="AG311" s="247"/>
      <c r="AH311" s="247"/>
      <c r="AI311" s="247"/>
      <c r="AJ311" s="247"/>
      <c r="AK311" s="247"/>
      <c r="AL311" s="247"/>
      <c r="AM311" s="247"/>
      <c r="AN311" s="247"/>
      <c r="AO311" s="247"/>
      <c r="AP311" s="247"/>
      <c r="AQ311" s="247"/>
      <c r="AR311" s="247"/>
      <c r="AS311" s="247"/>
    </row>
    <row r="312" spans="1:45" s="229" customFormat="1" outlineLevel="1">
      <c r="A312" s="229">
        <v>11</v>
      </c>
      <c r="B312" s="229" t="str">
        <f t="shared" si="64"/>
        <v>11</v>
      </c>
      <c r="C312" s="234"/>
      <c r="E312" s="313"/>
      <c r="F312" s="313"/>
      <c r="G312" s="234"/>
      <c r="I312" s="313"/>
      <c r="J312" s="247"/>
      <c r="K312" s="247"/>
      <c r="L312" s="247"/>
      <c r="M312" s="247"/>
      <c r="N312" s="247"/>
      <c r="O312" s="247"/>
      <c r="P312" s="247"/>
      <c r="Q312" s="247"/>
      <c r="R312" s="247"/>
      <c r="S312" s="247"/>
      <c r="T312" s="247"/>
      <c r="U312" s="247"/>
      <c r="V312" s="247"/>
      <c r="W312" s="247"/>
      <c r="X312" s="247"/>
      <c r="Y312" s="247"/>
      <c r="Z312" s="247"/>
      <c r="AA312" s="247"/>
      <c r="AB312" s="247"/>
      <c r="AC312" s="247"/>
      <c r="AD312" s="247"/>
      <c r="AE312" s="247"/>
      <c r="AF312" s="247"/>
      <c r="AG312" s="247"/>
      <c r="AH312" s="247"/>
      <c r="AI312" s="247"/>
      <c r="AJ312" s="247"/>
      <c r="AK312" s="247"/>
      <c r="AL312" s="247"/>
      <c r="AM312" s="247"/>
      <c r="AN312" s="247"/>
      <c r="AO312" s="247"/>
      <c r="AP312" s="247"/>
      <c r="AQ312" s="247"/>
      <c r="AR312" s="247"/>
      <c r="AS312" s="247"/>
    </row>
    <row r="313" spans="1:45" s="238" customFormat="1" outlineLevel="1">
      <c r="A313" s="229" t="s">
        <v>208</v>
      </c>
      <c r="B313" s="229" t="str">
        <f>A313&amp;C313</f>
        <v>NIndustrialCarbon Emissions</v>
      </c>
      <c r="C313" s="234" t="str">
        <f>$A$280&amp;$A$281</f>
        <v>IndustrialCarbon Emissions</v>
      </c>
      <c r="E313" s="236"/>
    </row>
    <row r="315" spans="1:45" s="49" customFormat="1" collapsed="1">
      <c r="A315" s="49" t="s">
        <v>90</v>
      </c>
    </row>
    <row r="316" spans="1:45" s="298" customFormat="1" outlineLevel="1">
      <c r="A316" s="298" t="s">
        <v>144</v>
      </c>
    </row>
    <row r="317" spans="1:45" outlineLevel="1">
      <c r="A317" s="229" t="s">
        <v>175</v>
      </c>
      <c r="B317" s="229" t="s">
        <v>176</v>
      </c>
      <c r="C317" s="229" t="s">
        <v>177</v>
      </c>
      <c r="D317" s="230"/>
      <c r="E317" s="230" t="s">
        <v>178</v>
      </c>
      <c r="F317" s="230"/>
      <c r="G317" s="230" t="s">
        <v>179</v>
      </c>
      <c r="H317" s="230" t="s">
        <v>180</v>
      </c>
      <c r="I317" s="230"/>
      <c r="J317" s="230">
        <v>2015</v>
      </c>
      <c r="K317" s="230">
        <v>2016</v>
      </c>
      <c r="L317" s="230">
        <v>2017</v>
      </c>
      <c r="M317" s="230">
        <v>2018</v>
      </c>
      <c r="N317" s="230">
        <v>2019</v>
      </c>
      <c r="O317" s="230">
        <v>2020</v>
      </c>
      <c r="P317" s="230">
        <v>2021</v>
      </c>
      <c r="Q317" s="230">
        <v>2022</v>
      </c>
      <c r="R317" s="230">
        <v>2023</v>
      </c>
      <c r="S317" s="230">
        <v>2024</v>
      </c>
      <c r="T317" s="230">
        <v>2025</v>
      </c>
      <c r="U317" s="230">
        <v>2026</v>
      </c>
      <c r="V317" s="230">
        <v>2027</v>
      </c>
      <c r="W317" s="230">
        <v>2028</v>
      </c>
      <c r="X317" s="230">
        <v>2029</v>
      </c>
      <c r="Y317" s="230">
        <v>2030</v>
      </c>
      <c r="Z317" s="230">
        <v>2031</v>
      </c>
      <c r="AA317" s="230">
        <v>2032</v>
      </c>
      <c r="AB317" s="230">
        <v>2033</v>
      </c>
      <c r="AC317" s="230">
        <v>2034</v>
      </c>
      <c r="AD317" s="230">
        <v>2035</v>
      </c>
      <c r="AE317" s="230">
        <v>2036</v>
      </c>
      <c r="AF317" s="230">
        <v>2037</v>
      </c>
      <c r="AG317" s="230">
        <v>2038</v>
      </c>
      <c r="AH317" s="230">
        <v>2039</v>
      </c>
      <c r="AI317" s="230">
        <v>2040</v>
      </c>
      <c r="AJ317" s="230">
        <v>2041</v>
      </c>
      <c r="AK317" s="230">
        <v>2042</v>
      </c>
      <c r="AL317" s="230">
        <v>2043</v>
      </c>
      <c r="AM317" s="230">
        <v>2044</v>
      </c>
      <c r="AN317" s="230">
        <v>2045</v>
      </c>
      <c r="AO317" s="230">
        <v>2046</v>
      </c>
      <c r="AP317" s="230">
        <v>2047</v>
      </c>
      <c r="AQ317" s="230">
        <v>2048</v>
      </c>
      <c r="AR317" s="230">
        <v>2049</v>
      </c>
      <c r="AS317" s="230">
        <v>2050</v>
      </c>
    </row>
    <row r="318" spans="1:45" outlineLevel="1"/>
    <row r="319" spans="1:45" s="229" customFormat="1" outlineLevel="1">
      <c r="A319" s="229">
        <v>0</v>
      </c>
      <c r="B319" s="229" t="str">
        <f t="shared" ref="B319:B330" si="65">A319&amp;C319</f>
        <v>0TransportCarbon Emissions</v>
      </c>
      <c r="C319" s="234" t="str">
        <f>$A$315&amp;$A$316</f>
        <v>TransportCarbon Emissions</v>
      </c>
      <c r="E319" s="248" t="s">
        <v>182</v>
      </c>
      <c r="G319" s="234"/>
      <c r="J319" s="237"/>
      <c r="K319" s="237"/>
      <c r="L319" s="237"/>
      <c r="M319" s="237"/>
      <c r="N319" s="237"/>
      <c r="O319" s="237"/>
      <c r="P319" s="237"/>
      <c r="Q319" s="237"/>
      <c r="R319" s="237"/>
      <c r="S319" s="237"/>
      <c r="T319" s="237"/>
      <c r="U319" s="237"/>
      <c r="V319" s="237"/>
      <c r="W319" s="237"/>
      <c r="X319" s="237"/>
      <c r="Y319" s="237"/>
      <c r="Z319" s="237"/>
      <c r="AA319" s="237"/>
      <c r="AB319" s="237"/>
      <c r="AC319" s="237"/>
      <c r="AD319" s="237"/>
      <c r="AE319" s="237"/>
      <c r="AF319" s="237"/>
      <c r="AG319" s="237"/>
      <c r="AH319" s="237"/>
      <c r="AI319" s="237"/>
      <c r="AJ319" s="237"/>
      <c r="AK319" s="237"/>
      <c r="AL319" s="237"/>
      <c r="AM319" s="237"/>
      <c r="AN319" s="237"/>
      <c r="AO319" s="237"/>
      <c r="AP319" s="237"/>
      <c r="AQ319" s="237"/>
      <c r="AR319" s="237"/>
      <c r="AS319" s="237"/>
    </row>
    <row r="320" spans="1:45" s="247" customFormat="1" ht="18" outlineLevel="1">
      <c r="A320" s="229">
        <v>1</v>
      </c>
      <c r="B320" s="229" t="str">
        <f t="shared" si="65"/>
        <v>1TransportCarbon Emissions</v>
      </c>
      <c r="C320" s="234" t="str">
        <f t="shared" ref="C320:C331" si="66">$A$315&amp;$A$316</f>
        <v>TransportCarbon Emissions</v>
      </c>
      <c r="D320" s="55"/>
      <c r="E320" s="313" t="s">
        <v>233</v>
      </c>
      <c r="F320" s="313"/>
      <c r="G320" s="234" t="s">
        <v>184</v>
      </c>
      <c r="H320" s="229"/>
      <c r="I320" s="313"/>
      <c r="J320" s="571">
        <f ca="1">SUM(Transport!O37:O40)</f>
        <v>993.51907458834592</v>
      </c>
      <c r="K320" s="571">
        <f ca="1">SUM(Transport!P37:P40)</f>
        <v>978.24304947008625</v>
      </c>
      <c r="L320" s="571">
        <f ca="1">SUM(Transport!Q37:Q40)</f>
        <v>954.05822563188497</v>
      </c>
      <c r="M320" s="571">
        <f ca="1">SUM(Transport!R37:R40)</f>
        <v>929.35131252948747</v>
      </c>
      <c r="N320" s="571">
        <f ca="1">SUM(Transport!S37:S40)</f>
        <v>899.67529066223744</v>
      </c>
      <c r="O320" s="571">
        <f ca="1">SUM(Transport!T37:T40)</f>
        <v>867.60938949736817</v>
      </c>
      <c r="P320" s="571">
        <f ca="1">SUM(Transport!U37:U40)</f>
        <v>835.63285940068374</v>
      </c>
      <c r="Q320" s="571">
        <f ca="1">SUM(Transport!V37:V40)</f>
        <v>789.92156753148345</v>
      </c>
      <c r="R320" s="571">
        <f ca="1">SUM(Transport!W37:W40)</f>
        <v>737.38278123136479</v>
      </c>
      <c r="S320" s="571">
        <f ca="1">SUM(Transport!X37:X40)</f>
        <v>687.20138614171253</v>
      </c>
      <c r="T320" s="571">
        <f ca="1">SUM(Transport!Y37:Y40)</f>
        <v>626.36742516105005</v>
      </c>
      <c r="U320" s="571">
        <f ca="1">SUM(Transport!Z37:Z40)</f>
        <v>567.41144431082955</v>
      </c>
      <c r="V320" s="571">
        <f ca="1">SUM(Transport!AA37:AA40)</f>
        <v>507.31800902585593</v>
      </c>
      <c r="W320" s="571">
        <f ca="1">SUM(Transport!AB37:AB40)</f>
        <v>449.83352537981375</v>
      </c>
      <c r="X320" s="571">
        <f ca="1">SUM(Transport!AC37:AC40)</f>
        <v>394.08861753876209</v>
      </c>
      <c r="Y320" s="571">
        <f ca="1">SUM(Transport!AD37:AD40)</f>
        <v>336.89082511026777</v>
      </c>
      <c r="Z320" s="571">
        <f ca="1">SUM(Transport!AE37:AE40)</f>
        <v>286.11398850161817</v>
      </c>
      <c r="AA320" s="571">
        <f ca="1">SUM(Transport!AF37:AF40)</f>
        <v>242.31484349734905</v>
      </c>
      <c r="AB320" s="571">
        <f ca="1">SUM(Transport!AG37:AG40)</f>
        <v>202.1347021373704</v>
      </c>
      <c r="AC320" s="571">
        <f ca="1">SUM(Transport!AH37:AH40)</f>
        <v>167.67135954141273</v>
      </c>
      <c r="AD320" s="571">
        <f ca="1">SUM(Transport!AI37:AI40)</f>
        <v>136.22523477598418</v>
      </c>
      <c r="AE320" s="571">
        <f ca="1">SUM(Transport!AJ37:AJ40)</f>
        <v>108.58252473733288</v>
      </c>
      <c r="AF320" s="571">
        <f ca="1">SUM(Transport!AK37:AK40)</f>
        <v>86.036440812132454</v>
      </c>
      <c r="AG320" s="571">
        <f ca="1">SUM(Transport!AL37:AL40)</f>
        <v>68.761904519666672</v>
      </c>
      <c r="AH320" s="571">
        <f ca="1">SUM(Transport!AM37:AM40)</f>
        <v>54.266498567054995</v>
      </c>
      <c r="AI320" s="571">
        <f ca="1">SUM(Transport!AN37:AN40)</f>
        <v>42.436863297861322</v>
      </c>
      <c r="AJ320" s="571">
        <f ca="1">SUM(Transport!AO37:AO40)</f>
        <v>33.272440479183651</v>
      </c>
      <c r="AK320" s="571">
        <f ca="1">SUM(Transport!AP37:AP40)</f>
        <v>26.717640815309593</v>
      </c>
      <c r="AL320" s="571">
        <f ca="1">SUM(Transport!AQ37:AQ40)</f>
        <v>21.735409986786603</v>
      </c>
      <c r="AM320" s="571">
        <f ca="1">SUM(Transport!AR37:AR40)</f>
        <v>17.619304141676984</v>
      </c>
      <c r="AN320" s="571">
        <f ca="1">SUM(Transport!AS37:AS40)</f>
        <v>13.780834041904743</v>
      </c>
      <c r="AO320" s="571">
        <f ca="1">SUM(Transport!AT37:AT40)</f>
        <v>11.064380076630332</v>
      </c>
      <c r="AP320" s="571">
        <f ca="1">SUM(Transport!AU37:AU40)</f>
        <v>9.0162291389728839</v>
      </c>
      <c r="AQ320" s="571">
        <f ca="1">SUM(Transport!AV37:AV40)</f>
        <v>7.5199869051254282</v>
      </c>
      <c r="AR320" s="571">
        <f ca="1">SUM(Transport!AW37:AW40)</f>
        <v>6.3083450843071454</v>
      </c>
      <c r="AS320" s="571">
        <f ca="1">SUM(Transport!AX37:AX40)</f>
        <v>5.5918094275604577</v>
      </c>
    </row>
    <row r="321" spans="1:45" s="247" customFormat="1" ht="18" outlineLevel="1">
      <c r="A321" s="229">
        <v>2</v>
      </c>
      <c r="B321" s="229" t="str">
        <f t="shared" si="65"/>
        <v>2TransportCarbon Emissions</v>
      </c>
      <c r="C321" s="234" t="str">
        <f t="shared" si="66"/>
        <v>TransportCarbon Emissions</v>
      </c>
      <c r="D321" s="55"/>
      <c r="E321" s="313" t="s">
        <v>234</v>
      </c>
      <c r="F321" s="229"/>
      <c r="G321" s="234" t="s">
        <v>184</v>
      </c>
      <c r="H321" s="229"/>
      <c r="I321" s="229"/>
      <c r="J321" s="571">
        <f ca="1">SUM(Transport!O41:O44)</f>
        <v>246.2636022610433</v>
      </c>
      <c r="K321" s="571">
        <f ca="1">SUM(Transport!P41:P44)</f>
        <v>247.69372175862051</v>
      </c>
      <c r="L321" s="571">
        <f ca="1">SUM(Transport!Q41:Q44)</f>
        <v>246.32451672201753</v>
      </c>
      <c r="M321" s="571">
        <f ca="1">SUM(Transport!R41:R44)</f>
        <v>244.66581149056913</v>
      </c>
      <c r="N321" s="571">
        <f ca="1">SUM(Transport!S41:S44)</f>
        <v>246.25267004191895</v>
      </c>
      <c r="O321" s="571">
        <f ca="1">SUM(Transport!T41:T44)</f>
        <v>213.74794269639776</v>
      </c>
      <c r="P321" s="571">
        <f ca="1">SUM(Transport!U41:U44)</f>
        <v>213.16830151145459</v>
      </c>
      <c r="Q321" s="571">
        <f ca="1">SUM(Transport!V41:V44)</f>
        <v>212.51593075137535</v>
      </c>
      <c r="R321" s="571">
        <f ca="1">SUM(Transport!W41:W44)</f>
        <v>211.25642446820871</v>
      </c>
      <c r="S321" s="571">
        <f ca="1">SUM(Transport!X41:X44)</f>
        <v>210.19925504326611</v>
      </c>
      <c r="T321" s="571">
        <f ca="1">SUM(Transport!Y41:Y44)</f>
        <v>207.39368429538453</v>
      </c>
      <c r="U321" s="571">
        <f ca="1">SUM(Transport!Z41:Z44)</f>
        <v>201.48584504641693</v>
      </c>
      <c r="V321" s="571">
        <f ca="1">SUM(Transport!AA41:AA44)</f>
        <v>188.87895836522662</v>
      </c>
      <c r="W321" s="571">
        <f ca="1">SUM(Transport!AB41:AB44)</f>
        <v>176.03088045532951</v>
      </c>
      <c r="X321" s="571">
        <f ca="1">SUM(Transport!AC41:AC44)</f>
        <v>162.02348307908304</v>
      </c>
      <c r="Y321" s="571">
        <f ca="1">SUM(Transport!AD41:AD44)</f>
        <v>141.79653713860182</v>
      </c>
      <c r="Z321" s="571">
        <f ca="1">SUM(Transport!AE41:AE44)</f>
        <v>124.09607576719026</v>
      </c>
      <c r="AA321" s="571">
        <f ca="1">SUM(Transport!AF41:AF44)</f>
        <v>107.43754884242333</v>
      </c>
      <c r="AB321" s="571">
        <f ca="1">SUM(Transport!AG41:AG44)</f>
        <v>91.814460057301289</v>
      </c>
      <c r="AC321" s="571">
        <f ca="1">SUM(Transport!AH41:AH44)</f>
        <v>78.949992073956636</v>
      </c>
      <c r="AD321" s="571">
        <f ca="1">SUM(Transport!AI41:AI44)</f>
        <v>66.843274138853445</v>
      </c>
      <c r="AE321" s="571">
        <f ca="1">SUM(Transport!AJ41:AJ44)</f>
        <v>55.186553352609764</v>
      </c>
      <c r="AF321" s="571">
        <f ca="1">SUM(Transport!AK41:AK44)</f>
        <v>45.059435034059121</v>
      </c>
      <c r="AG321" s="571">
        <f ca="1">SUM(Transport!AL41:AL44)</f>
        <v>36.5980001252763</v>
      </c>
      <c r="AH321" s="571">
        <f ca="1">SUM(Transport!AM41:AM44)</f>
        <v>29.155419545891267</v>
      </c>
      <c r="AI321" s="571">
        <f ca="1">SUM(Transport!AN41:AN44)</f>
        <v>22.7090103400948</v>
      </c>
      <c r="AJ321" s="571">
        <f ca="1">SUM(Transport!AO41:AO44)</f>
        <v>17.120813401744591</v>
      </c>
      <c r="AK321" s="571">
        <f ca="1">SUM(Transport!AP41:AP44)</f>
        <v>13.276456941681818</v>
      </c>
      <c r="AL321" s="571">
        <f ca="1">SUM(Transport!AQ41:AQ44)</f>
        <v>10.508546463685503</v>
      </c>
      <c r="AM321" s="571">
        <f ca="1">SUM(Transport!AR41:AR44)</f>
        <v>8.3509567726895853</v>
      </c>
      <c r="AN321" s="571">
        <f ca="1">SUM(Transport!AS41:AS44)</f>
        <v>6.4597694292302164</v>
      </c>
      <c r="AO321" s="571">
        <f ca="1">SUM(Transport!AT41:AT44)</f>
        <v>5.2873019338167486</v>
      </c>
      <c r="AP321" s="571">
        <f ca="1">SUM(Transport!AU41:AU44)</f>
        <v>4.4938560721241902</v>
      </c>
      <c r="AQ321" s="571">
        <f ca="1">SUM(Transport!AV41:AV44)</f>
        <v>4.0020654571625807</v>
      </c>
      <c r="AR321" s="571">
        <f ca="1">SUM(Transport!AW41:AW44)</f>
        <v>3.6027068475636237</v>
      </c>
      <c r="AS321" s="571">
        <f ca="1">SUM(Transport!AX41:AX44)</f>
        <v>3.4321650135814856</v>
      </c>
    </row>
    <row r="322" spans="1:45" s="247" customFormat="1" ht="18" outlineLevel="1">
      <c r="A322" s="229">
        <v>3</v>
      </c>
      <c r="B322" s="229" t="str">
        <f t="shared" si="65"/>
        <v>3TransportCarbon Emissions</v>
      </c>
      <c r="C322" s="234" t="str">
        <f t="shared" si="66"/>
        <v>TransportCarbon Emissions</v>
      </c>
      <c r="D322" s="55"/>
      <c r="E322" s="313" t="s">
        <v>235</v>
      </c>
      <c r="F322" s="313"/>
      <c r="G322" s="234" t="s">
        <v>184</v>
      </c>
      <c r="H322" s="229"/>
      <c r="I322" s="313"/>
      <c r="J322" s="571">
        <f ca="1">SUM(Transport!O45:O47)</f>
        <v>308.04365612309687</v>
      </c>
      <c r="K322" s="571">
        <f ca="1">SUM(Transport!P45:P47)</f>
        <v>309.95528864631029</v>
      </c>
      <c r="L322" s="571">
        <f ca="1">SUM(Transport!Q45:Q47)</f>
        <v>308.93349802908688</v>
      </c>
      <c r="M322" s="571">
        <f ca="1">SUM(Transport!R45:R47)</f>
        <v>307.71539809269592</v>
      </c>
      <c r="N322" s="571">
        <f ca="1">SUM(Transport!S45:S47)</f>
        <v>306.46863953093373</v>
      </c>
      <c r="O322" s="571">
        <f ca="1">SUM(Transport!T45:T47)</f>
        <v>305.1924560290006</v>
      </c>
      <c r="P322" s="571">
        <f ca="1">SUM(Transport!U45:U47)</f>
        <v>306.49376374359036</v>
      </c>
      <c r="Q322" s="571">
        <f ca="1">SUM(Transport!V45:V47)</f>
        <v>307.28154059646528</v>
      </c>
      <c r="R322" s="571">
        <f ca="1">SUM(Transport!W45:W47)</f>
        <v>308.56876165907227</v>
      </c>
      <c r="S322" s="571">
        <f ca="1">SUM(Transport!X45:X47)</f>
        <v>309.36734948990988</v>
      </c>
      <c r="T322" s="571">
        <f ca="1">SUM(Transport!Y45:Y47)</f>
        <v>310.27079254414383</v>
      </c>
      <c r="U322" s="571">
        <f ca="1">SUM(Transport!Z45:Z47)</f>
        <v>308.28864505179683</v>
      </c>
      <c r="V322" s="571">
        <f ca="1">SUM(Transport!AA45:AA47)</f>
        <v>305.39481405779742</v>
      </c>
      <c r="W322" s="571">
        <f ca="1">SUM(Transport!AB45:AB47)</f>
        <v>302.9334853500099</v>
      </c>
      <c r="X322" s="571">
        <f ca="1">SUM(Transport!AC45:AC47)</f>
        <v>299.88501665120685</v>
      </c>
      <c r="Y322" s="571">
        <f ca="1">SUM(Transport!AD45:AD47)</f>
        <v>296.59301126019903</v>
      </c>
      <c r="Z322" s="571">
        <f ca="1">SUM(Transport!AE45:AE47)</f>
        <v>276.28973225954974</v>
      </c>
      <c r="AA322" s="571">
        <f ca="1">SUM(Transport!AF45:AF47)</f>
        <v>255.8047148664937</v>
      </c>
      <c r="AB322" s="571">
        <f ca="1">SUM(Transport!AG45:AG47)</f>
        <v>235.59863857103554</v>
      </c>
      <c r="AC322" s="571">
        <f ca="1">SUM(Transport!AH45:AH47)</f>
        <v>215.77824224562534</v>
      </c>
      <c r="AD322" s="571">
        <f ca="1">SUM(Transport!AI45:AI47)</f>
        <v>196.28068902056242</v>
      </c>
      <c r="AE322" s="571">
        <f ca="1">SUM(Transport!AJ45:AJ47)</f>
        <v>172.537940143264</v>
      </c>
      <c r="AF322" s="571">
        <f ca="1">SUM(Transport!AK45:AK47)</f>
        <v>149.51470177401293</v>
      </c>
      <c r="AG322" s="571">
        <f ca="1">SUM(Transport!AL45:AL47)</f>
        <v>127.44933370156127</v>
      </c>
      <c r="AH322" s="571">
        <f ca="1">SUM(Transport!AM45:AM47)</f>
        <v>105.52022619671669</v>
      </c>
      <c r="AI322" s="571">
        <f ca="1">SUM(Transport!AN45:AN47)</f>
        <v>83.694163011112551</v>
      </c>
      <c r="AJ322" s="571">
        <f ca="1">SUM(Transport!AO45:AO47)</f>
        <v>70.828008833597238</v>
      </c>
      <c r="AK322" s="571">
        <f ca="1">SUM(Transport!AP45:AP47)</f>
        <v>59.176372766895163</v>
      </c>
      <c r="AL322" s="571">
        <f ca="1">SUM(Transport!AQ45:AQ47)</f>
        <v>47.953907789026267</v>
      </c>
      <c r="AM322" s="571">
        <f ca="1">SUM(Transport!AR45:AR47)</f>
        <v>36.651483049078465</v>
      </c>
      <c r="AN322" s="571">
        <f ca="1">SUM(Transport!AS45:AS47)</f>
        <v>24.905190268255421</v>
      </c>
      <c r="AO322" s="571">
        <f ca="1">SUM(Transport!AT45:AT47)</f>
        <v>21.005571671433991</v>
      </c>
      <c r="AP322" s="571">
        <f ca="1">SUM(Transport!AU45:AU47)</f>
        <v>17.289894317228519</v>
      </c>
      <c r="AQ322" s="571">
        <f ca="1">SUM(Transport!AV45:AV47)</f>
        <v>13.810730326660444</v>
      </c>
      <c r="AR322" s="571">
        <f ca="1">SUM(Transport!AW45:AW47)</f>
        <v>10.305665613116217</v>
      </c>
      <c r="AS322" s="571">
        <f ca="1">SUM(Transport!AX45:AX47)</f>
        <v>7.1446857741623244</v>
      </c>
    </row>
    <row r="323" spans="1:45" s="247" customFormat="1" ht="18" outlineLevel="1">
      <c r="A323" s="229">
        <v>4</v>
      </c>
      <c r="B323" s="229" t="str">
        <f t="shared" si="65"/>
        <v>4TransportCarbon Emissions</v>
      </c>
      <c r="C323" s="234" t="str">
        <f t="shared" si="66"/>
        <v>TransportCarbon Emissions</v>
      </c>
      <c r="D323" s="55"/>
      <c r="E323" s="313" t="s">
        <v>236</v>
      </c>
      <c r="F323" s="229"/>
      <c r="G323" s="234" t="s">
        <v>184</v>
      </c>
      <c r="H323" s="229"/>
      <c r="I323" s="229"/>
      <c r="J323" s="571">
        <f ca="1">SUM(Transport!O48:O50)</f>
        <v>256.56991868189436</v>
      </c>
      <c r="K323" s="571">
        <f ca="1">SUM(Transport!P48:P50)</f>
        <v>254.93240022240539</v>
      </c>
      <c r="L323" s="571">
        <f ca="1">SUM(Transport!Q48:Q50)</f>
        <v>251.01267372892278</v>
      </c>
      <c r="M323" s="571">
        <f ca="1">SUM(Transport!R48:R50)</f>
        <v>246.93374482807997</v>
      </c>
      <c r="N323" s="571">
        <f ca="1">SUM(Transport!S48:S50)</f>
        <v>242.84305800140604</v>
      </c>
      <c r="O323" s="571">
        <f ca="1">SUM(Transport!T48:T50)</f>
        <v>236.67984269221128</v>
      </c>
      <c r="P323" s="571">
        <f ca="1">SUM(Transport!U48:U50)</f>
        <v>234.71446441798656</v>
      </c>
      <c r="Q323" s="571">
        <f ca="1">SUM(Transport!V48:V50)</f>
        <v>224.45502395859069</v>
      </c>
      <c r="R323" s="571">
        <f ca="1">SUM(Transport!W48:W50)</f>
        <v>211.07447205520657</v>
      </c>
      <c r="S323" s="571">
        <f ca="1">SUM(Transport!X48:X50)</f>
        <v>198.39382084000104</v>
      </c>
      <c r="T323" s="571">
        <f ca="1">SUM(Transport!Y48:Y50)</f>
        <v>183.55304848615151</v>
      </c>
      <c r="U323" s="571">
        <f ca="1">SUM(Transport!Z48:Z50)</f>
        <v>164.58127203311997</v>
      </c>
      <c r="V323" s="571">
        <f ca="1">SUM(Transport!AA48:AA50)</f>
        <v>146.08944691180008</v>
      </c>
      <c r="W323" s="571">
        <f ca="1">SUM(Transport!AB48:AB50)</f>
        <v>128.02175784604935</v>
      </c>
      <c r="X323" s="571">
        <f ca="1">SUM(Transport!AC48:AC50)</f>
        <v>109.80113857259263</v>
      </c>
      <c r="Y323" s="571">
        <f ca="1">SUM(Transport!AD48:AD50)</f>
        <v>89.534692342244711</v>
      </c>
      <c r="Z323" s="571">
        <f ca="1">SUM(Transport!AE48:AE50)</f>
        <v>81.439239119669935</v>
      </c>
      <c r="AA323" s="571">
        <f ca="1">SUM(Transport!AF48:AF50)</f>
        <v>73.842582478482498</v>
      </c>
      <c r="AB323" s="571">
        <f ca="1">SUM(Transport!AG48:AG50)</f>
        <v>66.7822992996294</v>
      </c>
      <c r="AC323" s="571">
        <f ca="1">SUM(Transport!AH48:AH50)</f>
        <v>60.152687480624373</v>
      </c>
      <c r="AD323" s="571">
        <f ca="1">SUM(Transport!AI48:AI50)</f>
        <v>53.49333931677733</v>
      </c>
      <c r="AE323" s="571">
        <f ca="1">SUM(Transport!AJ48:AJ50)</f>
        <v>47.019727671241746</v>
      </c>
      <c r="AF323" s="571">
        <f ca="1">SUM(Transport!AK48:AK50)</f>
        <v>41.079421926816252</v>
      </c>
      <c r="AG323" s="571">
        <f ca="1">SUM(Transport!AL48:AL50)</f>
        <v>35.694176550103599</v>
      </c>
      <c r="AH323" s="571">
        <f ca="1">SUM(Transport!AM48:AM50)</f>
        <v>30.244185948629127</v>
      </c>
      <c r="AI323" s="571">
        <f ca="1">SUM(Transport!AN48:AN50)</f>
        <v>24.689799557685394</v>
      </c>
      <c r="AJ323" s="571">
        <f ca="1">SUM(Transport!AO48:AO50)</f>
        <v>21.058160208637311</v>
      </c>
      <c r="AK323" s="571">
        <f ca="1">SUM(Transport!AP48:AP50)</f>
        <v>18.073104945199788</v>
      </c>
      <c r="AL323" s="571">
        <f ca="1">SUM(Transport!AQ48:AQ50)</f>
        <v>15.26325788880423</v>
      </c>
      <c r="AM323" s="571">
        <f ca="1">SUM(Transport!AR48:AR50)</f>
        <v>12.353345246804896</v>
      </c>
      <c r="AN323" s="571">
        <f ca="1">SUM(Transport!AS48:AS50)</f>
        <v>9.1677101655042872</v>
      </c>
      <c r="AO323" s="571">
        <f ca="1">SUM(Transport!AT48:AT50)</f>
        <v>7.9659593142199103</v>
      </c>
      <c r="AP323" s="571">
        <f ca="1">SUM(Transport!AU48:AU50)</f>
        <v>6.84362468633572</v>
      </c>
      <c r="AQ323" s="571">
        <f ca="1">SUM(Transport!AV48:AV50)</f>
        <v>5.826812061990875</v>
      </c>
      <c r="AR323" s="571">
        <f ca="1">SUM(Transport!AW48:AW50)</f>
        <v>4.7816844134155794</v>
      </c>
      <c r="AS323" s="571">
        <f ca="1">SUM(Transport!AX48:AX50)</f>
        <v>3.8955689366665425</v>
      </c>
    </row>
    <row r="324" spans="1:45" s="247" customFormat="1" ht="18" outlineLevel="1">
      <c r="A324" s="229">
        <v>5</v>
      </c>
      <c r="B324" s="229" t="str">
        <f t="shared" si="65"/>
        <v>5TransportCarbon Emissions</v>
      </c>
      <c r="C324" s="234" t="str">
        <f t="shared" si="66"/>
        <v>TransportCarbon Emissions</v>
      </c>
      <c r="D324" s="55"/>
      <c r="E324" s="313" t="s">
        <v>237</v>
      </c>
      <c r="F324" s="229"/>
      <c r="G324" s="234" t="s">
        <v>184</v>
      </c>
      <c r="H324" s="229"/>
      <c r="I324" s="229"/>
      <c r="J324" s="571">
        <f ca="1">SUM(Transport!O51:O53)</f>
        <v>32.404175925997293</v>
      </c>
      <c r="K324" s="571">
        <f ca="1">SUM(Transport!P51:P53)</f>
        <v>29.414023138457672</v>
      </c>
      <c r="L324" s="571">
        <f ca="1">SUM(Transport!Q51:Q53)</f>
        <v>26.457919892688619</v>
      </c>
      <c r="M324" s="571">
        <f ca="1">SUM(Transport!R51:R53)</f>
        <v>23.71312077299633</v>
      </c>
      <c r="N324" s="571">
        <f ca="1">SUM(Transport!S51:S53)</f>
        <v>20.126593031351327</v>
      </c>
      <c r="O324" s="571">
        <f ca="1">SUM(Transport!T51:T53)</f>
        <v>19.385248397503609</v>
      </c>
      <c r="P324" s="571">
        <f ca="1">SUM(Transport!U51:U53)</f>
        <v>17.075265689404286</v>
      </c>
      <c r="Q324" s="571">
        <f ca="1">SUM(Transport!V51:V53)</f>
        <v>14.755029557553499</v>
      </c>
      <c r="R324" s="571">
        <f ca="1">SUM(Transport!W51:W53)</f>
        <v>12.607318764678542</v>
      </c>
      <c r="S324" s="571">
        <f ca="1">SUM(Transport!X51:X53)</f>
        <v>11.275441079415273</v>
      </c>
      <c r="T324" s="571">
        <f ca="1">SUM(Transport!Y51:Y53)</f>
        <v>9.5331515457501101</v>
      </c>
      <c r="U324" s="571">
        <f ca="1">SUM(Transport!Z51:Z53)</f>
        <v>7.9168871659720539</v>
      </c>
      <c r="V324" s="571">
        <f ca="1">SUM(Transport!AA51:AA53)</f>
        <v>6.6238401021815303</v>
      </c>
      <c r="W324" s="571">
        <f ca="1">SUM(Transport!AB51:AB53)</f>
        <v>5.5847996437402418</v>
      </c>
      <c r="X324" s="571">
        <f ca="1">SUM(Transport!AC51:AC53)</f>
        <v>4.7102010680681721</v>
      </c>
      <c r="Y324" s="571">
        <f ca="1">SUM(Transport!AD51:AD53)</f>
        <v>3.7478335618964986</v>
      </c>
      <c r="Z324" s="571">
        <f ca="1">SUM(Transport!AE51:AE53)</f>
        <v>3.1975947709839225</v>
      </c>
      <c r="AA324" s="571">
        <f ca="1">SUM(Transport!AF51:AF53)</f>
        <v>2.7575520228629773</v>
      </c>
      <c r="AB324" s="571">
        <f ca="1">SUM(Transport!AG51:AG53)</f>
        <v>2.5339795230174351</v>
      </c>
      <c r="AC324" s="571">
        <f ca="1">SUM(Transport!AH51:AH53)</f>
        <v>2.3791841935173212</v>
      </c>
      <c r="AD324" s="571">
        <f ca="1">SUM(Transport!AI51:AI53)</f>
        <v>2.2210832642964125</v>
      </c>
      <c r="AE324" s="571">
        <f ca="1">SUM(Transport!AJ51:AJ53)</f>
        <v>2.0332563450809551</v>
      </c>
      <c r="AF324" s="571">
        <f ca="1">SUM(Transport!AK51:AK53)</f>
        <v>1.8999262420089045</v>
      </c>
      <c r="AG324" s="571">
        <f ca="1">SUM(Transport!AL51:AL53)</f>
        <v>1.8164874089485195</v>
      </c>
      <c r="AH324" s="571">
        <f ca="1">SUM(Transport!AM51:AM53)</f>
        <v>1.7195530604759897</v>
      </c>
      <c r="AI324" s="571">
        <f ca="1">SUM(Transport!AN51:AN53)</f>
        <v>1.6064746129707277</v>
      </c>
      <c r="AJ324" s="571">
        <f ca="1">SUM(Transport!AO51:AO53)</f>
        <v>1.4183389662885029</v>
      </c>
      <c r="AK324" s="571">
        <f ca="1">SUM(Transport!AP51:AP53)</f>
        <v>1.283174043290741</v>
      </c>
      <c r="AL324" s="571">
        <f ca="1">SUM(Transport!AQ51:AQ53)</f>
        <v>1.1594876948993129</v>
      </c>
      <c r="AM324" s="571">
        <f ca="1">SUM(Transport!AR51:AR53)</f>
        <v>1.0241311656727503</v>
      </c>
      <c r="AN324" s="571">
        <f ca="1">SUM(Transport!AS51:AS53)</f>
        <v>0.86364292512929774</v>
      </c>
      <c r="AO324" s="571">
        <f ca="1">SUM(Transport!AT51:AT53)</f>
        <v>0.72168083850485909</v>
      </c>
      <c r="AP324" s="571">
        <f ca="1">SUM(Transport!AU51:AU53)</f>
        <v>0.5854017861727806</v>
      </c>
      <c r="AQ324" s="571">
        <f ca="1">SUM(Transport!AV51:AV53)</f>
        <v>0.45658477736236525</v>
      </c>
      <c r="AR324" s="571">
        <f ca="1">SUM(Transport!AW51:AW53)</f>
        <v>0.32481319716856316</v>
      </c>
      <c r="AS324" s="571">
        <f ca="1">SUM(Transport!AX51:AX53)</f>
        <v>0.20441524988221599</v>
      </c>
    </row>
    <row r="325" spans="1:45" s="247" customFormat="1" ht="18" outlineLevel="1">
      <c r="A325" s="229">
        <v>6</v>
      </c>
      <c r="B325" s="229" t="str">
        <f t="shared" si="65"/>
        <v>6TransportCarbon Emissions</v>
      </c>
      <c r="C325" s="234" t="str">
        <f t="shared" si="66"/>
        <v>TransportCarbon Emissions</v>
      </c>
      <c r="D325" s="55"/>
      <c r="E325" s="313" t="s">
        <v>238</v>
      </c>
      <c r="F325" s="229"/>
      <c r="G325" s="234" t="s">
        <v>184</v>
      </c>
      <c r="H325" s="229"/>
      <c r="I325" s="313"/>
      <c r="J325" s="571">
        <f ca="1">Transport!O54+Transport!O55</f>
        <v>19.341441874372425</v>
      </c>
      <c r="K325" s="571">
        <f ca="1">Transport!P54+Transport!P55</f>
        <v>19.367030805618398</v>
      </c>
      <c r="L325" s="571">
        <f ca="1">Transport!Q54+Transport!Q55</f>
        <v>19.2090154350417</v>
      </c>
      <c r="M325" s="571">
        <f ca="1">Transport!R54+Transport!R55</f>
        <v>18.875490132347849</v>
      </c>
      <c r="N325" s="571">
        <f ca="1">Transport!S54+Transport!S55</f>
        <v>18.212185226263497</v>
      </c>
      <c r="O325" s="571">
        <f ca="1">Transport!T54+Transport!T55</f>
        <v>17.535711520191281</v>
      </c>
      <c r="P325" s="571">
        <f ca="1">Transport!U54+Transport!U55</f>
        <v>16.998698719485805</v>
      </c>
      <c r="Q325" s="571">
        <f ca="1">Transport!V54+Transport!V55</f>
        <v>16.466872548555315</v>
      </c>
      <c r="R325" s="571">
        <f ca="1">Transport!W54+Transport!W55</f>
        <v>15.94476155841461</v>
      </c>
      <c r="S325" s="571">
        <f ca="1">Transport!X54+Transport!X55</f>
        <v>15.453578423805411</v>
      </c>
      <c r="T325" s="571">
        <f ca="1">Transport!Y54+Transport!Y55</f>
        <v>14.921855883972556</v>
      </c>
      <c r="U325" s="571">
        <f ca="1">Transport!Z54+Transport!Z55</f>
        <v>14.112038507627172</v>
      </c>
      <c r="V325" s="571">
        <f ca="1">Transport!AA54+Transport!AA55</f>
        <v>13.335044198288644</v>
      </c>
      <c r="W325" s="571">
        <f ca="1">Transport!AB54+Transport!AB55</f>
        <v>12.592163208026554</v>
      </c>
      <c r="X325" s="571">
        <f ca="1">Transport!AC54+Transport!AC55</f>
        <v>11.868082288010434</v>
      </c>
      <c r="Y325" s="571">
        <f ca="1">Transport!AD54+Transport!AD55</f>
        <v>11.130738066229171</v>
      </c>
      <c r="Z325" s="571">
        <f ca="1">Transport!AE54+Transport!AE55</f>
        <v>10.325044460916624</v>
      </c>
      <c r="AA325" s="571">
        <f ca="1">Transport!AF54+Transport!AF55</f>
        <v>9.5515463125605073</v>
      </c>
      <c r="AB325" s="571">
        <f ca="1">Transport!AG54+Transport!AG55</f>
        <v>8.7975614863103146</v>
      </c>
      <c r="AC325" s="571">
        <f ca="1">Transport!AH54+Transport!AH55</f>
        <v>8.0688083342065529</v>
      </c>
      <c r="AD325" s="571">
        <f ca="1">Transport!AI54+Transport!AI55</f>
        <v>7.3571005532563376</v>
      </c>
      <c r="AE325" s="571">
        <f ca="1">Transport!AJ54+Transport!AJ55</f>
        <v>6.6563314051034785</v>
      </c>
      <c r="AF325" s="571">
        <f ca="1">Transport!AK54+Transport!AK55</f>
        <v>5.9846388898342058</v>
      </c>
      <c r="AG325" s="571">
        <f ca="1">Transport!AL54+Transport!AL55</f>
        <v>5.3429502021237862</v>
      </c>
      <c r="AH325" s="571">
        <f ca="1">Transport!AM54+Transport!AM55</f>
        <v>4.7178181620861572</v>
      </c>
      <c r="AI325" s="571">
        <f ca="1">Transport!AN54+Transport!AN55</f>
        <v>4.1081285812177519</v>
      </c>
      <c r="AJ325" s="571">
        <f ca="1">Transport!AO54+Transport!AO55</f>
        <v>3.6873502356224348</v>
      </c>
      <c r="AK325" s="571">
        <f ca="1">Transport!AP54+Transport!AP55</f>
        <v>3.2805101703343773</v>
      </c>
      <c r="AL325" s="571">
        <f ca="1">Transport!AQ54+Transport!AQ55</f>
        <v>2.8776951591828936</v>
      </c>
      <c r="AM325" s="571">
        <f ca="1">Transport!AR54+Transport!AR55</f>
        <v>2.4725693855167581</v>
      </c>
      <c r="AN325" s="571">
        <f ca="1">Transport!AS54+Transport!AS55</f>
        <v>2.0607788274361352</v>
      </c>
      <c r="AO325" s="571">
        <f ca="1">Transport!AT54+Transport!AT55</f>
        <v>1.6561343450619659</v>
      </c>
      <c r="AP325" s="571">
        <f ca="1">Transport!AU54+Transport!AU55</f>
        <v>1.254143598481815</v>
      </c>
      <c r="AQ325" s="571">
        <f ca="1">Transport!AV54+Transport!AV55</f>
        <v>0.85553581060523909</v>
      </c>
      <c r="AR325" s="571">
        <f ca="1">Transport!AW54+Transport!AW55</f>
        <v>0.45705947160005744</v>
      </c>
      <c r="AS325" s="571">
        <f ca="1">Transport!AX54+Transport!AX55</f>
        <v>6.3594219404497637E-2</v>
      </c>
    </row>
    <row r="326" spans="1:45" s="247" customFormat="1" ht="18" outlineLevel="1">
      <c r="A326" s="229">
        <v>7</v>
      </c>
      <c r="B326" s="229" t="str">
        <f t="shared" si="65"/>
        <v>7TransportCarbon Emissions</v>
      </c>
      <c r="C326" s="234" t="str">
        <f t="shared" si="66"/>
        <v>TransportCarbon Emissions</v>
      </c>
      <c r="D326" s="55"/>
      <c r="E326" s="313" t="s">
        <v>239</v>
      </c>
      <c r="F326" s="313"/>
      <c r="G326" s="234" t="s">
        <v>184</v>
      </c>
      <c r="H326" s="229"/>
      <c r="I326" s="313"/>
      <c r="J326" s="571">
        <f>'Industrial and Other Transport'!O115+'Industrial and Other Transport'!O114</f>
        <v>103.33117010918731</v>
      </c>
      <c r="K326" s="571">
        <f>'Industrial and Other Transport'!P115+'Industrial and Other Transport'!P114</f>
        <v>86.623785373902479</v>
      </c>
      <c r="L326" s="571">
        <f>'Industrial and Other Transport'!Q115+'Industrial and Other Transport'!Q114</f>
        <v>79.129901132656215</v>
      </c>
      <c r="M326" s="571">
        <f>'Industrial and Other Transport'!R115+'Industrial and Other Transport'!R114</f>
        <v>75.6561519683749</v>
      </c>
      <c r="N326" s="571">
        <f>'Industrial and Other Transport'!S115+'Industrial and Other Transport'!S114</f>
        <v>70.269366316696591</v>
      </c>
      <c r="O326" s="571">
        <f>'Industrial and Other Transport'!T115+'Industrial and Other Transport'!T114</f>
        <v>58.378710393227252</v>
      </c>
      <c r="P326" s="571">
        <f>'Industrial and Other Transport'!U115+'Industrial and Other Transport'!U114</f>
        <v>55.983170752332299</v>
      </c>
      <c r="Q326" s="571">
        <f>'Industrial and Other Transport'!V115+'Industrial and Other Transport'!V114</f>
        <v>53.794715152766003</v>
      </c>
      <c r="R326" s="571">
        <f>'Industrial and Other Transport'!W115+'Industrial and Other Transport'!W114</f>
        <v>52.531132849080535</v>
      </c>
      <c r="S326" s="571">
        <f>'Industrial and Other Transport'!X115+'Industrial and Other Transport'!X114</f>
        <v>55.290168757947853</v>
      </c>
      <c r="T326" s="571">
        <f>'Industrial and Other Transport'!Y115+'Industrial and Other Transport'!Y114</f>
        <v>50.235644189793533</v>
      </c>
      <c r="U326" s="571">
        <f>'Industrial and Other Transport'!Z115+'Industrial and Other Transport'!Z114</f>
        <v>42.918385281638734</v>
      </c>
      <c r="V326" s="571">
        <f>'Industrial and Other Transport'!AA115+'Industrial and Other Transport'!AA114</f>
        <v>39.378799429050318</v>
      </c>
      <c r="W326" s="571">
        <f>'Industrial and Other Transport'!AB115+'Industrial and Other Transport'!AB114</f>
        <v>38.09621233369225</v>
      </c>
      <c r="X326" s="571">
        <f>'Industrial and Other Transport'!AC115+'Industrial and Other Transport'!AC114</f>
        <v>37.092547652921667</v>
      </c>
      <c r="Y326" s="571">
        <f>'Industrial and Other Transport'!AD115+'Industrial and Other Transport'!AD114</f>
        <v>34.061729411459055</v>
      </c>
      <c r="Z326" s="571">
        <f>'Industrial and Other Transport'!AE115+'Industrial and Other Transport'!AE114</f>
        <v>29.731758106007256</v>
      </c>
      <c r="AA326" s="571">
        <f>'Industrial and Other Transport'!AF115+'Industrial and Other Transport'!AF114</f>
        <v>26.482133455535958</v>
      </c>
      <c r="AB326" s="571">
        <f>'Industrial and Other Transport'!AG115+'Industrial and Other Transport'!AG114</f>
        <v>23.366305859415682</v>
      </c>
      <c r="AC326" s="571">
        <f>'Industrial and Other Transport'!AH115+'Industrial and Other Transport'!AH114</f>
        <v>20.644333330241338</v>
      </c>
      <c r="AD326" s="571">
        <f>'Industrial and Other Transport'!AI115+'Industrial and Other Transport'!AI114</f>
        <v>17.829001778288603</v>
      </c>
      <c r="AE326" s="571">
        <f>'Industrial and Other Transport'!AJ115+'Industrial and Other Transport'!AJ114</f>
        <v>14.611196890019212</v>
      </c>
      <c r="AF326" s="571">
        <f>'Industrial and Other Transport'!AK115+'Industrial and Other Transport'!AK114</f>
        <v>11.894460440330764</v>
      </c>
      <c r="AG326" s="571">
        <f>'Industrial and Other Transport'!AL115+'Industrial and Other Transport'!AL114</f>
        <v>9.6780266490048099</v>
      </c>
      <c r="AH326" s="571">
        <f>'Industrial and Other Transport'!AM115+'Industrial and Other Transport'!AM114</f>
        <v>7.2975707632273723</v>
      </c>
      <c r="AI326" s="571">
        <f>'Industrial and Other Transport'!AN115+'Industrial and Other Transport'!AN114</f>
        <v>4.7058690174596478</v>
      </c>
      <c r="AJ326" s="571">
        <f>'Industrial and Other Transport'!AO115+'Industrial and Other Transport'!AO114</f>
        <v>3.9065225864517616</v>
      </c>
      <c r="AK326" s="571">
        <f>'Industrial and Other Transport'!AP115+'Industrial and Other Transport'!AP114</f>
        <v>3.7073492646331196</v>
      </c>
      <c r="AL326" s="571">
        <f>'Industrial and Other Transport'!AQ115+'Industrial and Other Transport'!AQ114</f>
        <v>3.6316577813938924</v>
      </c>
      <c r="AM326" s="571">
        <f>'Industrial and Other Transport'!AR115+'Industrial and Other Transport'!AR114</f>
        <v>3.4133910766401541</v>
      </c>
      <c r="AN326" s="571">
        <f>'Industrial and Other Transport'!AS115+'Industrial and Other Transport'!AS114</f>
        <v>2.898760689867621</v>
      </c>
      <c r="AO326" s="571">
        <f>'Industrial and Other Transport'!AT115+'Industrial and Other Transport'!AT114</f>
        <v>2.6318312637720624</v>
      </c>
      <c r="AP326" s="571">
        <f>'Industrial and Other Transport'!AU115+'Industrial and Other Transport'!AU114</f>
        <v>2.4266589917045476</v>
      </c>
      <c r="AQ326" s="571">
        <f>'Industrial and Other Transport'!AV115+'Industrial and Other Transport'!AV114</f>
        <v>2.3031515461104788</v>
      </c>
      <c r="AR326" s="571">
        <f>'Industrial and Other Transport'!AW115+'Industrial and Other Transport'!AW114</f>
        <v>2.1431768834307907</v>
      </c>
      <c r="AS326" s="571">
        <f>'Industrial and Other Transport'!AX115+'Industrial and Other Transport'!AX114</f>
        <v>2.1063824422966095</v>
      </c>
    </row>
    <row r="327" spans="1:45" s="247" customFormat="1" ht="18" outlineLevel="1">
      <c r="A327" s="229">
        <v>8</v>
      </c>
      <c r="B327" s="229" t="str">
        <f t="shared" si="65"/>
        <v>8TransportCarbon Emissions</v>
      </c>
      <c r="C327" s="234" t="str">
        <f t="shared" si="66"/>
        <v>TransportCarbon Emissions</v>
      </c>
      <c r="D327" s="55"/>
      <c r="E327" s="313" t="s">
        <v>240</v>
      </c>
      <c r="F327" s="313"/>
      <c r="G327" s="234" t="s">
        <v>184</v>
      </c>
      <c r="H327" s="229"/>
      <c r="I327" s="313"/>
      <c r="J327" s="571">
        <f>'Industrial and Other Transport'!O116</f>
        <v>102.03833404659385</v>
      </c>
      <c r="K327" s="571">
        <f>'Industrial and Other Transport'!P116</f>
        <v>83.291423343529871</v>
      </c>
      <c r="L327" s="571">
        <f>'Industrial and Other Transport'!Q116</f>
        <v>76.051790717208135</v>
      </c>
      <c r="M327" s="571">
        <f>'Industrial and Other Transport'!R116</f>
        <v>72.134196237568304</v>
      </c>
      <c r="N327" s="571">
        <f>'Industrial and Other Transport'!S116</f>
        <v>65.577743086836591</v>
      </c>
      <c r="O327" s="571">
        <f>'Industrial and Other Transport'!T116</f>
        <v>50.011963972488168</v>
      </c>
      <c r="P327" s="571">
        <f>'Industrial and Other Transport'!U116</f>
        <v>46.91885121740529</v>
      </c>
      <c r="Q327" s="571">
        <f>'Industrial and Other Transport'!V116</f>
        <v>44.082385494381519</v>
      </c>
      <c r="R327" s="571">
        <f>'Industrial and Other Transport'!W116</f>
        <v>42.520801538622045</v>
      </c>
      <c r="S327" s="571">
        <f>'Industrial and Other Transport'!X116</f>
        <v>46.650939519720737</v>
      </c>
      <c r="T327" s="571">
        <f>'Industrial and Other Transport'!Y116</f>
        <v>39.673636772863951</v>
      </c>
      <c r="U327" s="571">
        <f>'Industrial and Other Transport'!Z116</f>
        <v>29.235253551539881</v>
      </c>
      <c r="V327" s="571">
        <f>'Industrial and Other Transport'!AA116</f>
        <v>24.185882736906191</v>
      </c>
      <c r="W327" s="571">
        <f>'Industrial and Other Transport'!AB116</f>
        <v>22.356217313864747</v>
      </c>
      <c r="X327" s="571">
        <f>'Industrial and Other Transport'!AC116</f>
        <v>20.924446661119067</v>
      </c>
      <c r="Y327" s="571">
        <f>'Industrial and Other Transport'!AD116</f>
        <v>16.600854633554672</v>
      </c>
      <c r="Z327" s="571">
        <f>'Industrial and Other Transport'!AE116</f>
        <v>13.477391004724964</v>
      </c>
      <c r="AA327" s="571">
        <f>'Industrial and Other Transport'!AF116</f>
        <v>11.934581859441749</v>
      </c>
      <c r="AB327" s="571">
        <f>'Industrial and Other Transport'!AG116</f>
        <v>10.61254500814162</v>
      </c>
      <c r="AC327" s="571">
        <f>'Industrial and Other Transport'!AH116</f>
        <v>9.8595403188312112</v>
      </c>
      <c r="AD327" s="571">
        <f>'Industrial and Other Transport'!AI116</f>
        <v>8.9966491612654398</v>
      </c>
      <c r="AE327" s="571">
        <f>'Industrial and Other Transport'!AJ116</f>
        <v>7.6085216435895768</v>
      </c>
      <c r="AF327" s="571">
        <f>'Industrial and Other Transport'!AK116</f>
        <v>6.9153896318340999</v>
      </c>
      <c r="AG327" s="571">
        <f>'Industrial and Other Transport'!AL116</f>
        <v>6.8994981668727426</v>
      </c>
      <c r="AH327" s="571">
        <f>'Industrial and Other Transport'!AM116</f>
        <v>6.6694802075033373</v>
      </c>
      <c r="AI327" s="571">
        <f>'Industrial and Other Transport'!AN116</f>
        <v>6.1675642612270272</v>
      </c>
      <c r="AJ327" s="571">
        <f>'Industrial and Other Transport'!AO116</f>
        <v>5.1199319404096988</v>
      </c>
      <c r="AK327" s="571">
        <f>'Industrial and Other Transport'!AP116</f>
        <v>4.8588931701250013</v>
      </c>
      <c r="AL327" s="571">
        <f>'Industrial and Other Transport'!AQ116</f>
        <v>4.7596910705396764</v>
      </c>
      <c r="AM327" s="571">
        <f>'Industrial and Other Transport'!AR116</f>
        <v>4.4736283002712334</v>
      </c>
      <c r="AN327" s="571">
        <f>'Industrial and Other Transport'!AS116</f>
        <v>3.7991479929308603</v>
      </c>
      <c r="AO327" s="571">
        <f>'Industrial and Other Transport'!AT116</f>
        <v>3.4493073189663468</v>
      </c>
      <c r="AP327" s="571">
        <f>'Industrial and Other Transport'!AU116</f>
        <v>3.1804062577801058</v>
      </c>
      <c r="AQ327" s="571">
        <f>'Industrial and Other Transport'!AV116</f>
        <v>3.0185360262425887</v>
      </c>
      <c r="AR327" s="571">
        <f>'Industrial and Other Transport'!AW116</f>
        <v>2.8088714544951769</v>
      </c>
      <c r="AS327" s="571">
        <f>'Industrial and Other Transport'!AX116</f>
        <v>2.7606482508086656</v>
      </c>
    </row>
    <row r="328" spans="1:45" s="247" customFormat="1" ht="18" outlineLevel="1">
      <c r="A328" s="229">
        <v>9</v>
      </c>
      <c r="B328" s="229" t="str">
        <f t="shared" si="65"/>
        <v>9TransportCarbon Emissions</v>
      </c>
      <c r="C328" s="234" t="str">
        <f t="shared" si="66"/>
        <v>TransportCarbon Emissions</v>
      </c>
      <c r="D328" s="229"/>
      <c r="E328" s="313" t="s">
        <v>241</v>
      </c>
      <c r="F328" s="313"/>
      <c r="G328" s="234" t="s">
        <v>184</v>
      </c>
      <c r="H328" s="229"/>
      <c r="I328" s="313"/>
      <c r="J328" s="571">
        <f>'Industrial and Other Transport'!O52</f>
        <v>24.619249535396659</v>
      </c>
      <c r="K328" s="571">
        <f>'Industrial and Other Transport'!P52</f>
        <v>24.595155943803949</v>
      </c>
      <c r="L328" s="571">
        <f>'Industrial and Other Transport'!Q52</f>
        <v>23.936866433398407</v>
      </c>
      <c r="M328" s="571">
        <f>'Industrial and Other Transport'!R52</f>
        <v>23.280629709390976</v>
      </c>
      <c r="N328" s="571">
        <f>'Industrial and Other Transport'!S52</f>
        <v>23.418863370949456</v>
      </c>
      <c r="O328" s="571">
        <f>'Industrial and Other Transport'!T52</f>
        <v>23.55759316820928</v>
      </c>
      <c r="P328" s="571">
        <f>'Industrial and Other Transport'!U52</f>
        <v>23.579594272347315</v>
      </c>
      <c r="Q328" s="571">
        <f>'Industrial and Other Transport'!V52</f>
        <v>23.60430857407227</v>
      </c>
      <c r="R328" s="571">
        <f>'Industrial and Other Transport'!W52</f>
        <v>23.631603829059987</v>
      </c>
      <c r="S328" s="571">
        <f>'Industrial and Other Transport'!X52</f>
        <v>23.661356249903942</v>
      </c>
      <c r="T328" s="571">
        <f>'Industrial and Other Transport'!Y52</f>
        <v>23.693449840736584</v>
      </c>
      <c r="U328" s="571">
        <f>'Industrial and Other Transport'!Z52</f>
        <v>23.75954661279393</v>
      </c>
      <c r="V328" s="571">
        <f>'Industrial and Other Transport'!AA52</f>
        <v>22.734862207301358</v>
      </c>
      <c r="W328" s="571">
        <f>'Industrial and Other Transport'!AB52</f>
        <v>21.718763011470759</v>
      </c>
      <c r="X328" s="571">
        <f>'Industrial and Other Transport'!AC52</f>
        <v>20.710965533367911</v>
      </c>
      <c r="Y328" s="571">
        <f>'Industrial and Other Transport'!AD52</f>
        <v>19.711198626740625</v>
      </c>
      <c r="Z328" s="571">
        <f>'Industrial and Other Transport'!AE52</f>
        <v>18.782331232456972</v>
      </c>
      <c r="AA328" s="571">
        <f>'Industrial and Other Transport'!AF52</f>
        <v>17.707984228627254</v>
      </c>
      <c r="AB328" s="571">
        <f>'Industrial and Other Transport'!AG52</f>
        <v>16.633637224797532</v>
      </c>
      <c r="AC328" s="571">
        <f>'Industrial and Other Transport'!AH52</f>
        <v>15.559290220967814</v>
      </c>
      <c r="AD328" s="571">
        <f>'Industrial and Other Transport'!AI52</f>
        <v>14.484943217138094</v>
      </c>
      <c r="AE328" s="571">
        <f>'Industrial and Other Transport'!AJ52</f>
        <v>13.410596213308375</v>
      </c>
      <c r="AF328" s="571">
        <f>'Industrial and Other Transport'!AK52</f>
        <v>12.336249209478655</v>
      </c>
      <c r="AG328" s="571">
        <f>'Industrial and Other Transport'!AL52</f>
        <v>11.261902205648941</v>
      </c>
      <c r="AH328" s="571">
        <f>'Industrial and Other Transport'!AM52</f>
        <v>10.187555201819222</v>
      </c>
      <c r="AI328" s="571">
        <f>'Industrial and Other Transport'!AN52</f>
        <v>9.1132081979895041</v>
      </c>
      <c r="AJ328" s="571">
        <f>'Industrial and Other Transport'!AO52</f>
        <v>8.0388611941597876</v>
      </c>
      <c r="AK328" s="571">
        <f>'Industrial and Other Transport'!AP52</f>
        <v>7.5218346269002616</v>
      </c>
      <c r="AL328" s="571">
        <f>'Industrial and Other Transport'!AQ52</f>
        <v>7.0048080596407347</v>
      </c>
      <c r="AM328" s="571">
        <f>'Industrial and Other Transport'!AR52</f>
        <v>6.4877814923812096</v>
      </c>
      <c r="AN328" s="571">
        <f>'Industrial and Other Transport'!AS52</f>
        <v>5.9707549251216818</v>
      </c>
      <c r="AO328" s="571">
        <f>'Industrial and Other Transport'!AT52</f>
        <v>5.4537283578621567</v>
      </c>
      <c r="AP328" s="571">
        <f>'Industrial and Other Transport'!AU52</f>
        <v>4.9367017906026298</v>
      </c>
      <c r="AQ328" s="571">
        <f>'Industrial and Other Transport'!AV52</f>
        <v>4.4196752233431038</v>
      </c>
      <c r="AR328" s="571">
        <f>'Industrial and Other Transport'!AW52</f>
        <v>3.9026486560835774</v>
      </c>
      <c r="AS328" s="571">
        <f>'Industrial and Other Transport'!AX52</f>
        <v>3.3856220888240509</v>
      </c>
    </row>
    <row r="329" spans="1:45" s="247" customFormat="1" ht="18" outlineLevel="1">
      <c r="A329" s="229">
        <v>10</v>
      </c>
      <c r="B329" s="229" t="str">
        <f t="shared" si="65"/>
        <v>10TransportCarbon Emissions</v>
      </c>
      <c r="C329" s="234" t="str">
        <f t="shared" si="66"/>
        <v>TransportCarbon Emissions</v>
      </c>
      <c r="D329" s="229"/>
      <c r="E329" s="313" t="s">
        <v>190</v>
      </c>
      <c r="F329" s="313"/>
      <c r="G329" s="234" t="s">
        <v>184</v>
      </c>
      <c r="H329" s="229"/>
      <c r="I329" s="313"/>
      <c r="J329" s="571">
        <f>'Industrial and Other Transport'!O48</f>
        <v>35.669665846182461</v>
      </c>
      <c r="K329" s="571">
        <f>'Industrial and Other Transport'!P48</f>
        <v>36.154921498175057</v>
      </c>
      <c r="L329" s="571">
        <f>'Industrial and Other Transport'!Q48</f>
        <v>38.654439918140291</v>
      </c>
      <c r="M329" s="571">
        <f>'Industrial and Other Transport'!R48</f>
        <v>39.294453433870459</v>
      </c>
      <c r="N329" s="571">
        <f>'Industrial and Other Transport'!S48</f>
        <v>39.774450506864333</v>
      </c>
      <c r="O329" s="571">
        <f>'Industrial and Other Transport'!T48</f>
        <v>15.716954880528526</v>
      </c>
      <c r="P329" s="571">
        <f>'Industrial and Other Transport'!U48</f>
        <v>16.092170145668693</v>
      </c>
      <c r="Q329" s="571">
        <f>'Industrial and Other Transport'!V48</f>
        <v>19.237471717934746</v>
      </c>
      <c r="R329" s="571">
        <f>'Industrial and Other Transport'!W48</f>
        <v>22.524510418702924</v>
      </c>
      <c r="S329" s="571">
        <f>'Industrial and Other Transport'!X48</f>
        <v>25.960298930647074</v>
      </c>
      <c r="T329" s="571">
        <f>'Industrial and Other Transport'!Y48</f>
        <v>29.552328189275698</v>
      </c>
      <c r="U329" s="571">
        <f>'Industrial and Other Transport'!Z48</f>
        <v>33.113079703456386</v>
      </c>
      <c r="V329" s="571">
        <f>'Industrial and Other Transport'!AA48</f>
        <v>36.80014494050387</v>
      </c>
      <c r="W329" s="571">
        <f>'Industrial and Other Transport'!AB48</f>
        <v>40.619382645427926</v>
      </c>
      <c r="X329" s="571">
        <f>'Industrial and Other Transport'!AC48</f>
        <v>44.577080371744742</v>
      </c>
      <c r="Y329" s="571">
        <f>'Industrial and Other Transport'!AD48</f>
        <v>48.679994443957185</v>
      </c>
      <c r="Z329" s="571">
        <f>'Industrial and Other Transport'!AE48</f>
        <v>48.951680278562876</v>
      </c>
      <c r="AA329" s="571">
        <f>'Industrial and Other Transport'!AF48</f>
        <v>48.745305969372374</v>
      </c>
      <c r="AB329" s="571">
        <f>'Industrial and Other Transport'!AG48</f>
        <v>48.519158098205658</v>
      </c>
      <c r="AC329" s="571">
        <f>'Industrial and Other Transport'!AH48</f>
        <v>48.273236665062718</v>
      </c>
      <c r="AD329" s="571">
        <f>'Industrial and Other Transport'!AI48</f>
        <v>49.955259642678556</v>
      </c>
      <c r="AE329" s="571">
        <f>'Industrial and Other Transport'!AJ48</f>
        <v>50.002756635907446</v>
      </c>
      <c r="AF329" s="571">
        <f>'Industrial and Other Transport'!AK48</f>
        <v>50.03769056067717</v>
      </c>
      <c r="AG329" s="571">
        <f>'Industrial and Other Transport'!AL48</f>
        <v>50.060061416987736</v>
      </c>
      <c r="AH329" s="571">
        <f>'Industrial and Other Transport'!AM48</f>
        <v>50.069869204839165</v>
      </c>
      <c r="AI329" s="571">
        <f>'Industrial and Other Transport'!AN48</f>
        <v>50.067113924231414</v>
      </c>
      <c r="AJ329" s="571">
        <f>'Industrial and Other Transport'!AO48</f>
        <v>49.649246550592892</v>
      </c>
      <c r="AK329" s="571">
        <f>'Industrial and Other Transport'!AP48</f>
        <v>49.209968877185958</v>
      </c>
      <c r="AL329" s="571">
        <f>'Industrial and Other Transport'!AQ48</f>
        <v>48.749280904010583</v>
      </c>
      <c r="AM329" s="571">
        <f>'Industrial and Other Transport'!AR48</f>
        <v>48.267182631066788</v>
      </c>
      <c r="AN329" s="571">
        <f>'Industrial and Other Transport'!AS48</f>
        <v>47.763674058354582</v>
      </c>
      <c r="AO329" s="571">
        <f>'Industrial and Other Transport'!AT48</f>
        <v>46.499834426924018</v>
      </c>
      <c r="AP329" s="571">
        <f>'Industrial and Other Transport'!AU48</f>
        <v>45.199190313246909</v>
      </c>
      <c r="AQ329" s="571">
        <f>'Industrial and Other Transport'!AV48</f>
        <v>43.861741717323255</v>
      </c>
      <c r="AR329" s="571">
        <f>'Industrial and Other Transport'!AW48</f>
        <v>42.48748863915305</v>
      </c>
      <c r="AS329" s="571">
        <f>'Industrial and Other Transport'!AX48</f>
        <v>41.076431078736327</v>
      </c>
    </row>
    <row r="330" spans="1:45" s="229" customFormat="1" outlineLevel="1">
      <c r="A330" s="229">
        <v>11</v>
      </c>
      <c r="B330" s="229" t="str">
        <f t="shared" si="65"/>
        <v>11</v>
      </c>
      <c r="C330" s="234"/>
      <c r="E330" s="313"/>
      <c r="F330" s="313"/>
      <c r="G330" s="234"/>
      <c r="I330" s="313"/>
      <c r="J330" s="247"/>
      <c r="K330" s="247"/>
      <c r="L330" s="247"/>
      <c r="M330" s="247"/>
      <c r="N330" s="247"/>
      <c r="O330" s="247"/>
      <c r="P330" s="247"/>
      <c r="Q330" s="247"/>
      <c r="R330" s="247"/>
      <c r="S330" s="247"/>
      <c r="T330" s="247"/>
      <c r="U330" s="247"/>
      <c r="V330" s="247"/>
      <c r="W330" s="247"/>
      <c r="X330" s="247"/>
      <c r="Y330" s="247"/>
      <c r="Z330" s="247"/>
      <c r="AA330" s="247"/>
      <c r="AB330" s="247"/>
      <c r="AC330" s="247"/>
      <c r="AD330" s="247"/>
      <c r="AE330" s="247"/>
      <c r="AF330" s="247"/>
      <c r="AG330" s="247"/>
      <c r="AH330" s="247"/>
      <c r="AI330" s="247"/>
      <c r="AJ330" s="247"/>
      <c r="AK330" s="247"/>
      <c r="AL330" s="247"/>
      <c r="AM330" s="247"/>
      <c r="AN330" s="247"/>
      <c r="AO330" s="247"/>
      <c r="AP330" s="247"/>
      <c r="AQ330" s="247"/>
      <c r="AR330" s="247"/>
      <c r="AS330" s="247"/>
    </row>
    <row r="331" spans="1:45" s="238" customFormat="1" outlineLevel="1">
      <c r="A331" s="229" t="s">
        <v>208</v>
      </c>
      <c r="B331" s="229" t="str">
        <f>A331&amp;C331</f>
        <v>NTransportCarbon Emissions</v>
      </c>
      <c r="C331" s="234" t="str">
        <f t="shared" si="66"/>
        <v>TransportCarbon Emissions</v>
      </c>
      <c r="E331" s="236" t="str">
        <f>""</f>
        <v/>
      </c>
    </row>
    <row r="332" spans="1:45" outlineLevel="1"/>
    <row r="333" spans="1:45" s="298" customFormat="1" outlineLevel="1">
      <c r="A333" s="298" t="s">
        <v>166</v>
      </c>
    </row>
    <row r="334" spans="1:45" outlineLevel="1">
      <c r="A334" s="229" t="s">
        <v>175</v>
      </c>
      <c r="B334" s="229" t="s">
        <v>176</v>
      </c>
      <c r="C334" s="229" t="s">
        <v>177</v>
      </c>
      <c r="D334" s="230"/>
      <c r="E334" s="230" t="s">
        <v>178</v>
      </c>
      <c r="F334" s="230"/>
      <c r="G334" s="230" t="s">
        <v>179</v>
      </c>
      <c r="H334" s="230" t="s">
        <v>180</v>
      </c>
      <c r="I334" s="230"/>
      <c r="J334" s="230">
        <v>2015</v>
      </c>
      <c r="K334" s="230">
        <v>2016</v>
      </c>
      <c r="L334" s="230">
        <v>2017</v>
      </c>
      <c r="M334" s="230">
        <v>2018</v>
      </c>
      <c r="N334" s="230">
        <v>2019</v>
      </c>
      <c r="O334" s="230">
        <v>2020</v>
      </c>
      <c r="P334" s="230">
        <v>2021</v>
      </c>
      <c r="Q334" s="230">
        <v>2022</v>
      </c>
      <c r="R334" s="230">
        <v>2023</v>
      </c>
      <c r="S334" s="230">
        <v>2024</v>
      </c>
      <c r="T334" s="230">
        <v>2025</v>
      </c>
      <c r="U334" s="230">
        <v>2026</v>
      </c>
      <c r="V334" s="230">
        <v>2027</v>
      </c>
      <c r="W334" s="230">
        <v>2028</v>
      </c>
      <c r="X334" s="230">
        <v>2029</v>
      </c>
      <c r="Y334" s="230">
        <v>2030</v>
      </c>
      <c r="Z334" s="230">
        <v>2031</v>
      </c>
      <c r="AA334" s="230">
        <v>2032</v>
      </c>
      <c r="AB334" s="230">
        <v>2033</v>
      </c>
      <c r="AC334" s="230">
        <v>2034</v>
      </c>
      <c r="AD334" s="230">
        <v>2035</v>
      </c>
      <c r="AE334" s="230">
        <v>2036</v>
      </c>
      <c r="AF334" s="230">
        <v>2037</v>
      </c>
      <c r="AG334" s="230">
        <v>2038</v>
      </c>
      <c r="AH334" s="230">
        <v>2039</v>
      </c>
      <c r="AI334" s="230">
        <v>2040</v>
      </c>
      <c r="AJ334" s="230">
        <v>2041</v>
      </c>
      <c r="AK334" s="230">
        <v>2042</v>
      </c>
      <c r="AL334" s="230">
        <v>2043</v>
      </c>
      <c r="AM334" s="230">
        <v>2044</v>
      </c>
      <c r="AN334" s="230">
        <v>2045</v>
      </c>
      <c r="AO334" s="230">
        <v>2046</v>
      </c>
      <c r="AP334" s="230">
        <v>2047</v>
      </c>
      <c r="AQ334" s="230">
        <v>2048</v>
      </c>
      <c r="AR334" s="230">
        <v>2049</v>
      </c>
      <c r="AS334" s="230">
        <v>2050</v>
      </c>
    </row>
    <row r="335" spans="1:45" outlineLevel="1"/>
    <row r="336" spans="1:45" s="229" customFormat="1" outlineLevel="1">
      <c r="A336" s="229">
        <v>0</v>
      </c>
      <c r="B336" s="229" t="str">
        <f t="shared" ref="B336:B347" si="67">A336&amp;C336</f>
        <v>0TransportTransport Energy Supply by fuel</v>
      </c>
      <c r="C336" s="234" t="str">
        <f t="shared" ref="C336:C343" si="68">$A$315&amp;$A$333</f>
        <v>TransportTransport Energy Supply by fuel</v>
      </c>
      <c r="E336" s="248" t="s">
        <v>196</v>
      </c>
      <c r="G336" s="234"/>
      <c r="J336" s="237"/>
      <c r="K336" s="237"/>
      <c r="L336" s="237"/>
      <c r="M336" s="237"/>
      <c r="N336" s="237"/>
      <c r="O336" s="237"/>
      <c r="P336" s="237"/>
      <c r="Q336" s="237"/>
      <c r="R336" s="237"/>
      <c r="S336" s="237"/>
      <c r="T336" s="237"/>
      <c r="U336" s="237"/>
      <c r="V336" s="237"/>
      <c r="W336" s="237"/>
      <c r="X336" s="237"/>
      <c r="Y336" s="237"/>
      <c r="Z336" s="237"/>
      <c r="AA336" s="237"/>
      <c r="AB336" s="237"/>
      <c r="AC336" s="237"/>
      <c r="AD336" s="237"/>
      <c r="AE336" s="237"/>
      <c r="AF336" s="237"/>
      <c r="AG336" s="237"/>
      <c r="AH336" s="237"/>
      <c r="AI336" s="237"/>
      <c r="AJ336" s="237"/>
      <c r="AK336" s="237"/>
      <c r="AL336" s="237"/>
      <c r="AM336" s="237"/>
      <c r="AN336" s="237"/>
      <c r="AO336" s="237"/>
      <c r="AP336" s="237"/>
      <c r="AQ336" s="237"/>
      <c r="AR336" s="237"/>
      <c r="AS336" s="237"/>
    </row>
    <row r="337" spans="1:45" s="247" customFormat="1" outlineLevel="1">
      <c r="A337" s="229">
        <v>1</v>
      </c>
      <c r="B337" s="229" t="str">
        <f t="shared" si="67"/>
        <v>1TransportTransport Energy Supply by fuel</v>
      </c>
      <c r="C337" s="234" t="str">
        <f t="shared" si="68"/>
        <v>TransportTransport Energy Supply by fuel</v>
      </c>
      <c r="D337" s="55"/>
      <c r="E337" t="s">
        <v>242</v>
      </c>
      <c r="F337" s="313"/>
      <c r="G337" s="234" t="s">
        <v>198</v>
      </c>
      <c r="H337" s="229"/>
      <c r="I337" s="313"/>
      <c r="J337" s="571">
        <f ca="1">Transport!O59</f>
        <v>10.030342240521822</v>
      </c>
      <c r="K337" s="571">
        <f ca="1">Transport!P59</f>
        <v>12.80621277555384</v>
      </c>
      <c r="L337" s="571">
        <f ca="1">Transport!Q59</f>
        <v>15.961212057542916</v>
      </c>
      <c r="M337" s="571">
        <f ca="1">Transport!R59</f>
        <v>19.79555972613241</v>
      </c>
      <c r="N337" s="571">
        <f ca="1">Transport!S59</f>
        <v>25.211098702272867</v>
      </c>
      <c r="O337" s="571">
        <f ca="1">Transport!T59</f>
        <v>29.368379447361139</v>
      </c>
      <c r="P337" s="571">
        <f ca="1">Transport!U59</f>
        <v>47.138116962613324</v>
      </c>
      <c r="Q337" s="571">
        <f ca="1">Transport!V59</f>
        <v>90.021725517539423</v>
      </c>
      <c r="R337" s="571">
        <f ca="1">Transport!W59</f>
        <v>141.83030077605375</v>
      </c>
      <c r="S337" s="571">
        <f ca="1">Transport!X59</f>
        <v>193.55199978650541</v>
      </c>
      <c r="T337" s="571">
        <f ca="1">Transport!Y59</f>
        <v>254.34476724867955</v>
      </c>
      <c r="U337" s="571">
        <f ca="1">Transport!Z59</f>
        <v>327.62319640410169</v>
      </c>
      <c r="V337" s="571">
        <f ca="1">Transport!AA59</f>
        <v>410.1139079032634</v>
      </c>
      <c r="W337" s="571">
        <f ca="1">Transport!AB59</f>
        <v>491.39780223816041</v>
      </c>
      <c r="X337" s="571">
        <f ca="1">Transport!AC59</f>
        <v>571.55431008312053</v>
      </c>
      <c r="Y337" s="571">
        <f ca="1">Transport!AD59</f>
        <v>653.01365591743365</v>
      </c>
      <c r="Z337" s="571">
        <f ca="1">Transport!AE59</f>
        <v>749.90157859877957</v>
      </c>
      <c r="AA337" s="571">
        <f ca="1">Transport!AF59</f>
        <v>839.71761170887999</v>
      </c>
      <c r="AB337" s="571">
        <f ca="1">Transport!AG59</f>
        <v>926.3551798043311</v>
      </c>
      <c r="AC337" s="571">
        <f ca="1">Transport!AH59</f>
        <v>1003.0350022933549</v>
      </c>
      <c r="AD337" s="571">
        <f ca="1">Transport!AI59</f>
        <v>1075.3458496162996</v>
      </c>
      <c r="AE337" s="571">
        <f ca="1">Transport!AJ59</f>
        <v>1149.5965966331444</v>
      </c>
      <c r="AF337" s="571">
        <f ca="1">Transport!AK59</f>
        <v>1218.3173388772532</v>
      </c>
      <c r="AG337" s="571">
        <f ca="1">Transport!AL59</f>
        <v>1281.3635586434507</v>
      </c>
      <c r="AH337" s="571">
        <f ca="1">Transport!AM59</f>
        <v>1339.9277595400499</v>
      </c>
      <c r="AI337" s="571">
        <f ca="1">Transport!AN59</f>
        <v>1394.8113360083539</v>
      </c>
      <c r="AJ337" s="571">
        <f ca="1">Transport!AO59</f>
        <v>1430.8831326937768</v>
      </c>
      <c r="AK337" s="571">
        <f ca="1">Transport!AP59</f>
        <v>1464.4861405793481</v>
      </c>
      <c r="AL337" s="571">
        <f ca="1">Transport!AQ59</f>
        <v>1495.9377178782579</v>
      </c>
      <c r="AM337" s="571">
        <f ca="1">Transport!AR59</f>
        <v>1525.7797966501762</v>
      </c>
      <c r="AN337" s="571">
        <f ca="1">Transport!AS59</f>
        <v>1554.3349339802039</v>
      </c>
      <c r="AO337" s="571">
        <f ca="1">Transport!AT59</f>
        <v>1563.9402766957326</v>
      </c>
      <c r="AP337" s="571">
        <f ca="1">Transport!AU59</f>
        <v>1572.8406952150478</v>
      </c>
      <c r="AQ337" s="571">
        <f ca="1">Transport!AV59</f>
        <v>1581.3981054761459</v>
      </c>
      <c r="AR337" s="571">
        <f ca="1">Transport!AW59</f>
        <v>1589.6014731728453</v>
      </c>
      <c r="AS337" s="571">
        <f ca="1">Transport!AX59</f>
        <v>1597.6329803023655</v>
      </c>
    </row>
    <row r="338" spans="1:45" s="247" customFormat="1" outlineLevel="1">
      <c r="A338" s="229">
        <v>2</v>
      </c>
      <c r="B338" s="229" t="str">
        <f t="shared" si="67"/>
        <v>2TransportTransport Energy Supply by fuel</v>
      </c>
      <c r="C338" s="234" t="str">
        <f t="shared" si="68"/>
        <v>TransportTransport Energy Supply by fuel</v>
      </c>
      <c r="D338" s="55"/>
      <c r="E338" t="s">
        <v>243</v>
      </c>
      <c r="F338" s="229"/>
      <c r="G338" s="234" t="s">
        <v>198</v>
      </c>
      <c r="H338" s="229"/>
      <c r="I338" s="229"/>
      <c r="J338" s="571">
        <f ca="1">Transport!O60</f>
        <v>0</v>
      </c>
      <c r="K338" s="571">
        <f ca="1">Transport!P60</f>
        <v>0</v>
      </c>
      <c r="L338" s="571">
        <f ca="1">Transport!Q60</f>
        <v>0</v>
      </c>
      <c r="M338" s="571">
        <f ca="1">Transport!R60</f>
        <v>0</v>
      </c>
      <c r="N338" s="571">
        <f ca="1">Transport!S60</f>
        <v>0</v>
      </c>
      <c r="O338" s="571">
        <f ca="1">Transport!T60</f>
        <v>0</v>
      </c>
      <c r="P338" s="571">
        <f ca="1">Transport!U60</f>
        <v>1.0760534122777656</v>
      </c>
      <c r="Q338" s="571">
        <f ca="1">Transport!V60</f>
        <v>1.1094068587070165</v>
      </c>
      <c r="R338" s="571">
        <f ca="1">Transport!W60</f>
        <v>1.2310635397140486</v>
      </c>
      <c r="S338" s="571">
        <f ca="1">Transport!X60</f>
        <v>1.3895924299599325</v>
      </c>
      <c r="T338" s="571">
        <f ca="1">Transport!Y60</f>
        <v>1.6196337930077838</v>
      </c>
      <c r="U338" s="571">
        <f ca="1">Transport!Z60</f>
        <v>8.5719301902902121</v>
      </c>
      <c r="V338" s="571">
        <f ca="1">Transport!AA60</f>
        <v>14.975470283203657</v>
      </c>
      <c r="W338" s="571">
        <f ca="1">Transport!AB60</f>
        <v>22.173521767936208</v>
      </c>
      <c r="X338" s="571">
        <f ca="1">Transport!AC60</f>
        <v>29.279367393695981</v>
      </c>
      <c r="Y338" s="571">
        <f ca="1">Transport!AD60</f>
        <v>38.439001268352541</v>
      </c>
      <c r="Z338" s="571">
        <f ca="1">Transport!AE60</f>
        <v>55.375175098966913</v>
      </c>
      <c r="AA338" s="571">
        <f ca="1">Transport!AF60</f>
        <v>73.093852521990925</v>
      </c>
      <c r="AB338" s="571">
        <f ca="1">Transport!AG60</f>
        <v>91.617735680997583</v>
      </c>
      <c r="AC338" s="571">
        <f ca="1">Transport!AH60</f>
        <v>110.16144104251211</v>
      </c>
      <c r="AD338" s="571">
        <f ca="1">Transport!AI60</f>
        <v>130.05358471082641</v>
      </c>
      <c r="AE338" s="571">
        <f ca="1">Transport!AJ60</f>
        <v>150.86863991173769</v>
      </c>
      <c r="AF338" s="571">
        <f ca="1">Transport!AK60</f>
        <v>172.11635758268906</v>
      </c>
      <c r="AG338" s="571">
        <f ca="1">Transport!AL60</f>
        <v>193.63249534122991</v>
      </c>
      <c r="AH338" s="571">
        <f ca="1">Transport!AM60</f>
        <v>215.3714743372467</v>
      </c>
      <c r="AI338" s="571">
        <f ca="1">Transport!AN60</f>
        <v>237.56133667637243</v>
      </c>
      <c r="AJ338" s="571">
        <f ca="1">Transport!AO60</f>
        <v>253.0324888601705</v>
      </c>
      <c r="AK338" s="571">
        <f ca="1">Transport!AP60</f>
        <v>268.26453944890608</v>
      </c>
      <c r="AL338" s="571">
        <f ca="1">Transport!AQ60</f>
        <v>283.2696678802356</v>
      </c>
      <c r="AM338" s="571">
        <f ca="1">Transport!AR60</f>
        <v>297.80176497236101</v>
      </c>
      <c r="AN338" s="571">
        <f ca="1">Transport!AS60</f>
        <v>312.08059285198323</v>
      </c>
      <c r="AO338" s="571">
        <f ca="1">Transport!AT60</f>
        <v>318.77160775227753</v>
      </c>
      <c r="AP338" s="571">
        <f ca="1">Transport!AU60</f>
        <v>325.11711476111543</v>
      </c>
      <c r="AQ338" s="571">
        <f ca="1">Transport!AV60</f>
        <v>330.94139835026664</v>
      </c>
      <c r="AR338" s="571">
        <f ca="1">Transport!AW60</f>
        <v>336.45687746300626</v>
      </c>
      <c r="AS338" s="571">
        <f ca="1">Transport!AX60</f>
        <v>341.62791530845527</v>
      </c>
    </row>
    <row r="339" spans="1:45" s="247" customFormat="1" outlineLevel="1">
      <c r="A339" s="229">
        <v>3</v>
      </c>
      <c r="B339" s="229" t="str">
        <f t="shared" si="67"/>
        <v>3TransportTransport Energy Supply by fuel</v>
      </c>
      <c r="C339" s="234" t="str">
        <f t="shared" si="68"/>
        <v>TransportTransport Energy Supply by fuel</v>
      </c>
      <c r="D339" s="55"/>
      <c r="E339" t="s">
        <v>244</v>
      </c>
      <c r="F339" s="313"/>
      <c r="G339" s="234" t="s">
        <v>198</v>
      </c>
      <c r="H339" s="229"/>
      <c r="I339" s="313"/>
      <c r="J339" s="571">
        <f ca="1">Transport!O91</f>
        <v>3217.2240771529487</v>
      </c>
      <c r="K339" s="571">
        <f ca="1">Transport!P91</f>
        <v>3241.2150620104098</v>
      </c>
      <c r="L339" s="571">
        <f ca="1">Transport!Q91</f>
        <v>3216.8477972060673</v>
      </c>
      <c r="M339" s="571">
        <f ca="1">Transport!R91</f>
        <v>3154.4482629424215</v>
      </c>
      <c r="N339" s="571">
        <f ca="1">Transport!S91</f>
        <v>3038.8345046500403</v>
      </c>
      <c r="O339" s="571">
        <f ca="1">Transport!T91</f>
        <v>2959.366628576357</v>
      </c>
      <c r="P339" s="571">
        <f ca="1">Transport!U91</f>
        <v>2906.9922208088619</v>
      </c>
      <c r="Q339" s="571">
        <f ca="1">Transport!V91</f>
        <v>2781.5690581124145</v>
      </c>
      <c r="R339" s="571">
        <f ca="1">Transport!W91</f>
        <v>2639.4600348688928</v>
      </c>
      <c r="S339" s="571">
        <f ca="1">Transport!X91</f>
        <v>2496.5304444423878</v>
      </c>
      <c r="T339" s="571">
        <f ca="1">Transport!Y91</f>
        <v>2347.1057938971744</v>
      </c>
      <c r="U339" s="571">
        <f ca="1">Transport!Z91</f>
        <v>2183.4003639506859</v>
      </c>
      <c r="V339" s="571">
        <f ca="1">Transport!AA91</f>
        <v>2020.3732434783678</v>
      </c>
      <c r="W339" s="571">
        <f ca="1">Transport!AB91</f>
        <v>1861.6141169875443</v>
      </c>
      <c r="X339" s="571">
        <f ca="1">Transport!AC91</f>
        <v>1708.0607851237969</v>
      </c>
      <c r="Y339" s="571">
        <f ca="1">Transport!AD91</f>
        <v>1562.1997828915287</v>
      </c>
      <c r="Z339" s="571">
        <f ca="1">Transport!AE91</f>
        <v>1405.882168765037</v>
      </c>
      <c r="AA339" s="571">
        <f ca="1">Transport!AF91</f>
        <v>1260.9901628065193</v>
      </c>
      <c r="AB339" s="571">
        <f ca="1">Transport!AG91</f>
        <v>1124.7302532708313</v>
      </c>
      <c r="AC339" s="571">
        <f ca="1">Transport!AH91</f>
        <v>998.61150638465608</v>
      </c>
      <c r="AD339" s="571">
        <f ca="1">Transport!AI91</f>
        <v>881.61067833229197</v>
      </c>
      <c r="AE339" s="571">
        <f ca="1">Transport!AJ91</f>
        <v>759.90629800116403</v>
      </c>
      <c r="AF339" s="571">
        <f ca="1">Transport!AK91</f>
        <v>645.81480904431896</v>
      </c>
      <c r="AG339" s="571">
        <f ca="1">Transport!AL91</f>
        <v>538.84400867603517</v>
      </c>
      <c r="AH339" s="571">
        <f ca="1">Transport!AM91</f>
        <v>436.72670847241181</v>
      </c>
      <c r="AI339" s="571">
        <f ca="1">Transport!AN91</f>
        <v>339.02260528647776</v>
      </c>
      <c r="AJ339" s="571">
        <f ca="1">Transport!AO91</f>
        <v>283.53785996666591</v>
      </c>
      <c r="AK339" s="571">
        <f ca="1">Transport!AP91</f>
        <v>231.23716706800968</v>
      </c>
      <c r="AL339" s="571">
        <f ca="1">Transport!AQ91</f>
        <v>181.13064085689089</v>
      </c>
      <c r="AM339" s="571">
        <f ca="1">Transport!AR91</f>
        <v>132.46232723444035</v>
      </c>
      <c r="AN339" s="571">
        <f ca="1">Transport!AS91</f>
        <v>84.869635785164192</v>
      </c>
      <c r="AO339" s="571">
        <f ca="1">Transport!AT91</f>
        <v>68.905530807876104</v>
      </c>
      <c r="AP339" s="571">
        <f ca="1">Transport!AU91</f>
        <v>53.626644574897853</v>
      </c>
      <c r="AQ339" s="571">
        <f ca="1">Transport!AV91</f>
        <v>38.963871654602258</v>
      </c>
      <c r="AR339" s="571">
        <f ca="1">Transport!AW91</f>
        <v>24.640399353618076</v>
      </c>
      <c r="AS339" s="571">
        <f ca="1">Transport!AX91</f>
        <v>10.892121005535763</v>
      </c>
    </row>
    <row r="340" spans="1:45" s="247" customFormat="1" outlineLevel="1">
      <c r="A340" s="229">
        <v>4</v>
      </c>
      <c r="B340" s="229" t="str">
        <f t="shared" si="67"/>
        <v>4TransportTransport Energy Supply by fuel</v>
      </c>
      <c r="C340" s="234" t="str">
        <f t="shared" si="68"/>
        <v>TransportTransport Energy Supply by fuel</v>
      </c>
      <c r="D340" s="55"/>
      <c r="E340" t="s">
        <v>245</v>
      </c>
      <c r="F340" s="229"/>
      <c r="G340" s="234" t="s">
        <v>198</v>
      </c>
      <c r="H340" s="229"/>
      <c r="I340" s="229"/>
      <c r="J340" s="571">
        <f ca="1">Transport!O92</f>
        <v>2991.8719603295758</v>
      </c>
      <c r="K340" s="571">
        <f ca="1">Transport!P92</f>
        <v>2910.161136525081</v>
      </c>
      <c r="L340" s="571">
        <f ca="1">Transport!Q92</f>
        <v>2819.0898211755516</v>
      </c>
      <c r="M340" s="571">
        <f ca="1">Transport!R92</f>
        <v>2762.9475349788408</v>
      </c>
      <c r="N340" s="571">
        <f ca="1">Transport!S92</f>
        <v>2752.0052796076347</v>
      </c>
      <c r="O340" s="571">
        <f ca="1">Transport!T92</f>
        <v>2585.8679893988683</v>
      </c>
      <c r="P340" s="571">
        <f ca="1">Transport!U92</f>
        <v>2538.6070128333331</v>
      </c>
      <c r="Q340" s="571">
        <f ca="1">Transport!V92</f>
        <v>2467.9655892462652</v>
      </c>
      <c r="R340" s="571">
        <f ca="1">Transport!W92</f>
        <v>2415.677464006038</v>
      </c>
      <c r="S340" s="571">
        <f ca="1">Transport!X92</f>
        <v>2305.231043722159</v>
      </c>
      <c r="T340" s="571">
        <f ca="1">Transport!Y92</f>
        <v>2170.9709113384424</v>
      </c>
      <c r="U340" s="571">
        <f ca="1">Transport!Z92</f>
        <v>2035.1768317347539</v>
      </c>
      <c r="V340" s="571">
        <f ca="1">Transport!AA92</f>
        <v>1862.1851155500462</v>
      </c>
      <c r="W340" s="571">
        <f ca="1">Transport!AB92</f>
        <v>1688.5512687908574</v>
      </c>
      <c r="X340" s="571">
        <f ca="1">Transport!AC92</f>
        <v>1510.8643432475353</v>
      </c>
      <c r="Y340" s="571">
        <f ca="1">Transport!AD92</f>
        <v>1314.3702192127676</v>
      </c>
      <c r="Z340" s="571">
        <f ca="1">Transport!AE92</f>
        <v>1142.540597409323</v>
      </c>
      <c r="AA340" s="571">
        <f ca="1">Transport!AF92</f>
        <v>983.95577444163405</v>
      </c>
      <c r="AB340" s="571">
        <f ca="1">Transport!AG92</f>
        <v>834.90234354862048</v>
      </c>
      <c r="AC340" s="571">
        <f ca="1">Transport!AH92</f>
        <v>705.34493693971467</v>
      </c>
      <c r="AD340" s="571">
        <f ca="1">Transport!AI92</f>
        <v>583.51124802231709</v>
      </c>
      <c r="AE340" s="571">
        <f ca="1">Transport!AJ92</f>
        <v>475.51511606636382</v>
      </c>
      <c r="AF340" s="571">
        <f ca="1">Transport!AK92</f>
        <v>381.02125469155595</v>
      </c>
      <c r="AG340" s="571">
        <f ca="1">Transport!AL92</f>
        <v>301.59406652829881</v>
      </c>
      <c r="AH340" s="571">
        <f ca="1">Transport!AM92</f>
        <v>234.18767490073938</v>
      </c>
      <c r="AI340" s="571">
        <f ca="1">Transport!AN92</f>
        <v>179.30054027136168</v>
      </c>
      <c r="AJ340" s="571">
        <f ca="1">Transport!AO92</f>
        <v>137.84088407660155</v>
      </c>
      <c r="AK340" s="571">
        <f ca="1">Transport!AP92</f>
        <v>104.58004814385869</v>
      </c>
      <c r="AL340" s="571">
        <f ca="1">Transport!AQ92</f>
        <v>78.483328726299774</v>
      </c>
      <c r="AM340" s="571">
        <f ca="1">Transport!AR92</f>
        <v>58.471834251550824</v>
      </c>
      <c r="AN340" s="571">
        <f ca="1">Transport!AS92</f>
        <v>42.941745940594878</v>
      </c>
      <c r="AO340" s="571">
        <f ca="1">Transport!AT92</f>
        <v>31.102785889184798</v>
      </c>
      <c r="AP340" s="571">
        <f ca="1">Transport!AU92</f>
        <v>22.099985143925313</v>
      </c>
      <c r="AQ340" s="571">
        <f ca="1">Transport!AV92</f>
        <v>15.116102787126142</v>
      </c>
      <c r="AR340" s="571">
        <f ca="1">Transport!AW92</f>
        <v>9.8024982891012176</v>
      </c>
      <c r="AS340" s="571">
        <f ca="1">Transport!AX92</f>
        <v>5.6756508197748268</v>
      </c>
    </row>
    <row r="341" spans="1:45" s="247" customFormat="1" outlineLevel="1">
      <c r="A341" s="229">
        <v>5</v>
      </c>
      <c r="B341" s="229" t="str">
        <f t="shared" si="67"/>
        <v>5TransportTransport Energy Supply by fuel</v>
      </c>
      <c r="C341" s="234" t="str">
        <f t="shared" si="68"/>
        <v>TransportTransport Energy Supply by fuel</v>
      </c>
      <c r="D341" s="55"/>
      <c r="E341" t="s">
        <v>246</v>
      </c>
      <c r="F341" s="229"/>
      <c r="G341" s="234" t="s">
        <v>198</v>
      </c>
      <c r="H341" s="229"/>
      <c r="I341" s="229"/>
      <c r="J341" s="571">
        <f>'Industrial and Other Transport'!O112/1000</f>
        <v>209.38246781926688</v>
      </c>
      <c r="K341" s="571">
        <f>'Industrial and Other Transport'!P112/1000</f>
        <v>208.15514026665528</v>
      </c>
      <c r="L341" s="571">
        <f>'Industrial and Other Transport'!Q112/1000</f>
        <v>207.41629581957142</v>
      </c>
      <c r="M341" s="571">
        <f>'Industrial and Other Transport'!R112/1000</f>
        <v>212.25145229613369</v>
      </c>
      <c r="N341" s="571">
        <f>'Industrial and Other Transport'!S112/1000</f>
        <v>216.92531609230707</v>
      </c>
      <c r="O341" s="571">
        <f>'Industrial and Other Transport'!T112/1000</f>
        <v>221.42425110142045</v>
      </c>
      <c r="P341" s="571">
        <f>'Industrial and Other Transport'!U112/1000</f>
        <v>221.53573104832216</v>
      </c>
      <c r="Q341" s="571">
        <f>'Industrial and Other Transport'!V112/1000</f>
        <v>221.64721099522384</v>
      </c>
      <c r="R341" s="571">
        <f>'Industrial and Other Transport'!W112/1000</f>
        <v>221.7586909421255</v>
      </c>
      <c r="S341" s="571">
        <f>'Industrial and Other Transport'!X112/1000</f>
        <v>221.87017088902718</v>
      </c>
      <c r="T341" s="571">
        <f>'Industrial and Other Transport'!Y112/1000</f>
        <v>221.98165083592883</v>
      </c>
      <c r="U341" s="571">
        <f>'Industrial and Other Transport'!Z112/1000</f>
        <v>221.89976994038443</v>
      </c>
      <c r="V341" s="571">
        <f>'Industrial and Other Transport'!AA112/1000</f>
        <v>221.81788904484006</v>
      </c>
      <c r="W341" s="571">
        <f>'Industrial and Other Transport'!AB112/1000</f>
        <v>221.73600814929563</v>
      </c>
      <c r="X341" s="571">
        <f>'Industrial and Other Transport'!AC112/1000</f>
        <v>221.6541272537512</v>
      </c>
      <c r="Y341" s="571">
        <f>'Industrial and Other Transport'!AD112/1000</f>
        <v>221.57224635820685</v>
      </c>
      <c r="Z341" s="571">
        <f>'Industrial and Other Transport'!AE112/1000</f>
        <v>229.59808711429778</v>
      </c>
      <c r="AA341" s="571">
        <f>'Industrial and Other Transport'!AF112/1000</f>
        <v>237.62392787038877</v>
      </c>
      <c r="AB341" s="571">
        <f>'Industrial and Other Transport'!AG112/1000</f>
        <v>245.64976862647976</v>
      </c>
      <c r="AC341" s="571">
        <f>'Industrial and Other Transport'!AH112/1000</f>
        <v>253.67560938257068</v>
      </c>
      <c r="AD341" s="571">
        <f>'Industrial and Other Transport'!AI112/1000</f>
        <v>261.7014501386617</v>
      </c>
      <c r="AE341" s="571">
        <f>'Industrial and Other Transport'!AJ112/1000</f>
        <v>269.72729089475268</v>
      </c>
      <c r="AF341" s="571">
        <f>'Industrial and Other Transport'!AK112/1000</f>
        <v>277.75313165084361</v>
      </c>
      <c r="AG341" s="571">
        <f>'Industrial and Other Transport'!AL112/1000</f>
        <v>285.77897240693454</v>
      </c>
      <c r="AH341" s="571">
        <f>'Industrial and Other Transport'!AM112/1000</f>
        <v>293.80481316302553</v>
      </c>
      <c r="AI341" s="571">
        <f>'Industrial and Other Transport'!AN112/1000</f>
        <v>301.83065391911651</v>
      </c>
      <c r="AJ341" s="571">
        <f>'Industrial and Other Transport'!AO112/1000</f>
        <v>301.83065391911651</v>
      </c>
      <c r="AK341" s="571">
        <f>'Industrial and Other Transport'!AP112/1000</f>
        <v>301.83065391911651</v>
      </c>
      <c r="AL341" s="571">
        <f>'Industrial and Other Transport'!AQ112/1000</f>
        <v>301.83065391911651</v>
      </c>
      <c r="AM341" s="571">
        <f>'Industrial and Other Transport'!AR112/1000</f>
        <v>301.83065391911651</v>
      </c>
      <c r="AN341" s="571">
        <f>'Industrial and Other Transport'!AS112/1000</f>
        <v>301.83065391911651</v>
      </c>
      <c r="AO341" s="571">
        <f>'Industrial and Other Transport'!AT112/1000</f>
        <v>301.83065391911651</v>
      </c>
      <c r="AP341" s="571">
        <f>'Industrial and Other Transport'!AU112/1000</f>
        <v>301.83065391911651</v>
      </c>
      <c r="AQ341" s="571">
        <f>'Industrial and Other Transport'!AV112/1000</f>
        <v>301.83065391911651</v>
      </c>
      <c r="AR341" s="571">
        <f>'Industrial and Other Transport'!AW112/1000</f>
        <v>301.83065391911651</v>
      </c>
      <c r="AS341" s="571">
        <f>'Industrial and Other Transport'!AX112/1000</f>
        <v>301.83065391911651</v>
      </c>
    </row>
    <row r="342" spans="1:45" s="247" customFormat="1" outlineLevel="1">
      <c r="A342" s="229">
        <v>6</v>
      </c>
      <c r="B342" s="229" t="str">
        <f t="shared" si="67"/>
        <v>6TransportTransport Energy Supply by fuel</v>
      </c>
      <c r="C342" s="234" t="str">
        <f t="shared" si="68"/>
        <v>TransportTransport Energy Supply by fuel</v>
      </c>
      <c r="D342" s="55"/>
      <c r="E342" t="s">
        <v>247</v>
      </c>
      <c r="F342" s="229"/>
      <c r="G342" s="234" t="s">
        <v>198</v>
      </c>
      <c r="H342" s="229"/>
      <c r="I342" s="313"/>
      <c r="J342" s="571">
        <f>'Industrial and Other Transport'!O113/1000</f>
        <v>277.88537908399542</v>
      </c>
      <c r="K342" s="571">
        <f>'Industrial and Other Transport'!P113/1000</f>
        <v>284.3085668129217</v>
      </c>
      <c r="L342" s="571">
        <f>'Industrial and Other Transport'!Q113/1000</f>
        <v>290.54721731112397</v>
      </c>
      <c r="M342" s="571">
        <f>'Industrial and Other Transport'!R113/1000</f>
        <v>296.58656171558766</v>
      </c>
      <c r="N342" s="571">
        <f>'Industrial and Other Transport'!S113/1000</f>
        <v>302.41021199494025</v>
      </c>
      <c r="O342" s="571">
        <f>'Industrial and Other Transport'!T113/1000</f>
        <v>307.99993280154382</v>
      </c>
      <c r="P342" s="571">
        <f>'Industrial and Other Transport'!U113/1000</f>
        <v>309.73321266344601</v>
      </c>
      <c r="Q342" s="571">
        <f>'Industrial and Other Transport'!V113/1000</f>
        <v>311.4664925253482</v>
      </c>
      <c r="R342" s="571">
        <f>'Industrial and Other Transport'!W113/1000</f>
        <v>313.1997723872505</v>
      </c>
      <c r="S342" s="571">
        <f>'Industrial and Other Transport'!X113/1000</f>
        <v>314.93305224915264</v>
      </c>
      <c r="T342" s="571">
        <f>'Industrial and Other Transport'!Y113/1000</f>
        <v>316.66633211105488</v>
      </c>
      <c r="U342" s="571">
        <f>'Industrial and Other Transport'!Z113/1000</f>
        <v>316.54952550791245</v>
      </c>
      <c r="V342" s="571">
        <f>'Industrial and Other Transport'!AA113/1000</f>
        <v>316.43271890477001</v>
      </c>
      <c r="W342" s="571">
        <f>'Industrial and Other Transport'!AB113/1000</f>
        <v>316.31591230162752</v>
      </c>
      <c r="X342" s="571">
        <f>'Industrial and Other Transport'!AC113/1000</f>
        <v>316.19910569848508</v>
      </c>
      <c r="Y342" s="571">
        <f>'Industrial and Other Transport'!AD113/1000</f>
        <v>316.08229909534276</v>
      </c>
      <c r="Z342" s="571">
        <f>'Industrial and Other Transport'!AE113/1000</f>
        <v>324.03233030926077</v>
      </c>
      <c r="AA342" s="571">
        <f>'Industrial and Other Transport'!AF113/1000</f>
        <v>331.98236152317878</v>
      </c>
      <c r="AB342" s="571">
        <f>'Industrial and Other Transport'!AG113/1000</f>
        <v>339.93239273709673</v>
      </c>
      <c r="AC342" s="571">
        <f>'Industrial and Other Transport'!AH113/1000</f>
        <v>347.88242395101486</v>
      </c>
      <c r="AD342" s="571">
        <f>'Industrial and Other Transport'!AI113/1000</f>
        <v>355.83245516493287</v>
      </c>
      <c r="AE342" s="571">
        <f>'Industrial and Other Transport'!AJ113/1000</f>
        <v>363.78248637885093</v>
      </c>
      <c r="AF342" s="571">
        <f>'Industrial and Other Transport'!AK113/1000</f>
        <v>371.732517592769</v>
      </c>
      <c r="AG342" s="571">
        <f>'Industrial and Other Transport'!AL113/1000</f>
        <v>379.68254880668701</v>
      </c>
      <c r="AH342" s="571">
        <f>'Industrial and Other Transport'!AM113/1000</f>
        <v>387.63258002060502</v>
      </c>
      <c r="AI342" s="571">
        <f>'Industrial and Other Transport'!AN113/1000</f>
        <v>395.58261123452303</v>
      </c>
      <c r="AJ342" s="571">
        <f>'Industrial and Other Transport'!AO113/1000</f>
        <v>395.58261123452303</v>
      </c>
      <c r="AK342" s="571">
        <f>'Industrial and Other Transport'!AP113/1000</f>
        <v>395.58261123452303</v>
      </c>
      <c r="AL342" s="571">
        <f>'Industrial and Other Transport'!AQ113/1000</f>
        <v>395.58261123452303</v>
      </c>
      <c r="AM342" s="571">
        <f>'Industrial and Other Transport'!AR113/1000</f>
        <v>395.58261123452303</v>
      </c>
      <c r="AN342" s="571">
        <f>'Industrial and Other Transport'!AS113/1000</f>
        <v>395.58261123452303</v>
      </c>
      <c r="AO342" s="571">
        <f>'Industrial and Other Transport'!AT113/1000</f>
        <v>395.58261123452303</v>
      </c>
      <c r="AP342" s="571">
        <f>'Industrial and Other Transport'!AU113/1000</f>
        <v>395.58261123452303</v>
      </c>
      <c r="AQ342" s="571">
        <f>'Industrial and Other Transport'!AV113/1000</f>
        <v>395.58261123452303</v>
      </c>
      <c r="AR342" s="571">
        <f>'Industrial and Other Transport'!AW113/1000</f>
        <v>395.58261123452303</v>
      </c>
      <c r="AS342" s="571">
        <f>'Industrial and Other Transport'!AX113/1000</f>
        <v>395.58261123452303</v>
      </c>
    </row>
    <row r="343" spans="1:45" s="247" customFormat="1" outlineLevel="1">
      <c r="A343" s="229">
        <v>7</v>
      </c>
      <c r="B343" s="229" t="str">
        <f t="shared" ref="B343" si="69">A343&amp;C343</f>
        <v>7TransportTransport Energy Supply by fuel</v>
      </c>
      <c r="C343" s="234" t="str">
        <f t="shared" si="68"/>
        <v>TransportTransport Energy Supply by fuel</v>
      </c>
      <c r="D343" s="55"/>
      <c r="E343" t="s">
        <v>248</v>
      </c>
      <c r="F343" s="313"/>
      <c r="G343" s="234" t="s">
        <v>198</v>
      </c>
      <c r="H343" s="229"/>
      <c r="I343" s="313"/>
      <c r="J343" s="571">
        <f>('Industrial and Other Transport'!O107)/(Transport!$O$270*1000)</f>
        <v>342.94872503029529</v>
      </c>
      <c r="K343" s="571">
        <f>('Industrial and Other Transport'!P107)/(Transport!$O$270*1000)</f>
        <v>334.47773007976093</v>
      </c>
      <c r="L343" s="571">
        <f>('Industrial and Other Transport'!Q107)/(Transport!$O$270*1000)</f>
        <v>326.00673512922634</v>
      </c>
      <c r="M343" s="571">
        <f>('Industrial and Other Transport'!R107)/(Transport!$O$270*1000)</f>
        <v>317.53574017869187</v>
      </c>
      <c r="N343" s="571">
        <f>('Industrial and Other Transport'!S107)/(Transport!$O$270*1000)</f>
        <v>309.06474522815739</v>
      </c>
      <c r="O343" s="571">
        <f>('Industrial and Other Transport'!T107)/(Transport!$O$270*1000)</f>
        <v>300.59375027762292</v>
      </c>
      <c r="P343" s="571">
        <f>('Industrial and Other Transport'!U107)/(Transport!$O$270*1000)</f>
        <v>300.59375027762292</v>
      </c>
      <c r="Q343" s="571">
        <f>('Industrial and Other Transport'!V107)/(Transport!$O$270*1000)</f>
        <v>300.59375027762292</v>
      </c>
      <c r="R343" s="571">
        <f>('Industrial and Other Transport'!W107)/(Transport!$O$270*1000)</f>
        <v>300.59375027762292</v>
      </c>
      <c r="S343" s="571">
        <f>('Industrial and Other Transport'!X107)/(Transport!$O$270*1000)</f>
        <v>300.59375027762292</v>
      </c>
      <c r="T343" s="571">
        <f>('Industrial and Other Transport'!Y107)/(Transport!$O$270*1000)</f>
        <v>300.59375027762292</v>
      </c>
      <c r="U343" s="571">
        <f>('Industrial and Other Transport'!Z107)/(Transport!$O$270*1000)</f>
        <v>300.59375027762292</v>
      </c>
      <c r="V343" s="571">
        <f>('Industrial and Other Transport'!AA107)/(Transport!$O$270*1000)</f>
        <v>300.59375027762292</v>
      </c>
      <c r="W343" s="571">
        <f>('Industrial and Other Transport'!AB107)/(Transport!$O$270*1000)</f>
        <v>300.59375027762292</v>
      </c>
      <c r="X343" s="571">
        <f>('Industrial and Other Transport'!AC107)/(Transport!$O$270*1000)</f>
        <v>300.59375027762292</v>
      </c>
      <c r="Y343" s="571">
        <f>('Industrial and Other Transport'!AD107)/(Transport!$O$270*1000)</f>
        <v>300.59375027762292</v>
      </c>
      <c r="Z343" s="571">
        <f>('Industrial and Other Transport'!AE107)/(Transport!$O$270*1000)</f>
        <v>270.5343752498606</v>
      </c>
      <c r="AA343" s="571">
        <f>('Industrial and Other Transport'!AF107)/(Transport!$O$270*1000)</f>
        <v>240.47500022209832</v>
      </c>
      <c r="AB343" s="571">
        <f>('Industrial and Other Transport'!AG107)/(Transport!$O$270*1000)</f>
        <v>210.41562519433606</v>
      </c>
      <c r="AC343" s="571">
        <f>('Industrial and Other Transport'!AH107)/(Transport!$O$270*1000)</f>
        <v>180.35625016657372</v>
      </c>
      <c r="AD343" s="571">
        <f>('Industrial and Other Transport'!AI107)/(Transport!$O$270*1000)</f>
        <v>150.29687513881146</v>
      </c>
      <c r="AE343" s="571">
        <f>('Industrial and Other Transport'!AJ107)/(Transport!$O$270*1000)</f>
        <v>120.23750011104916</v>
      </c>
      <c r="AF343" s="571">
        <f>('Industrial and Other Transport'!AK107)/(Transport!$O$270*1000)</f>
        <v>90.178125083286858</v>
      </c>
      <c r="AG343" s="571">
        <f>('Industrial and Other Transport'!AL107)/(Transport!$O$270*1000)</f>
        <v>60.118750055524579</v>
      </c>
      <c r="AH343" s="571">
        <f>('Industrial and Other Transport'!AM107)/(Transport!$O$270*1000)</f>
        <v>30.05937502776229</v>
      </c>
      <c r="AI343" s="571">
        <f>('Industrial and Other Transport'!AN107)/(Transport!$O$270*1000)</f>
        <v>0</v>
      </c>
      <c r="AJ343" s="571">
        <f>('Industrial and Other Transport'!AO107)/(Transport!$O$270*1000)</f>
        <v>0</v>
      </c>
      <c r="AK343" s="571">
        <f>('Industrial and Other Transport'!AP107)/(Transport!$O$270*1000)</f>
        <v>0</v>
      </c>
      <c r="AL343" s="571">
        <f>('Industrial and Other Transport'!AQ107)/(Transport!$O$270*1000)</f>
        <v>0</v>
      </c>
      <c r="AM343" s="571">
        <f>('Industrial and Other Transport'!AR107)/(Transport!$O$270*1000)</f>
        <v>0</v>
      </c>
      <c r="AN343" s="571">
        <f>('Industrial and Other Transport'!AS107)/(Transport!$O$270*1000)</f>
        <v>0</v>
      </c>
      <c r="AO343" s="571">
        <f>('Industrial and Other Transport'!AT107)/(Transport!$O$270*1000)</f>
        <v>0</v>
      </c>
      <c r="AP343" s="571">
        <f>('Industrial and Other Transport'!AU107)/(Transport!$O$270*1000)</f>
        <v>0</v>
      </c>
      <c r="AQ343" s="571">
        <f>('Industrial and Other Transport'!AV107)/(Transport!$O$270*1000)</f>
        <v>0</v>
      </c>
      <c r="AR343" s="571">
        <f>('Industrial and Other Transport'!AW107)/(Transport!$O$270*1000)</f>
        <v>0</v>
      </c>
      <c r="AS343" s="571">
        <f>('Industrial and Other Transport'!AX107)/(Transport!$O$270*1000)</f>
        <v>0</v>
      </c>
    </row>
    <row r="344" spans="1:45" s="247" customFormat="1" outlineLevel="1">
      <c r="A344" s="229">
        <v>8</v>
      </c>
      <c r="B344" s="229" t="str">
        <f t="shared" si="67"/>
        <v>8</v>
      </c>
      <c r="C344" s="234"/>
      <c r="D344" s="55"/>
      <c r="E344"/>
      <c r="F344" s="313"/>
      <c r="G344" s="234"/>
      <c r="H344" s="229"/>
      <c r="I344" s="313"/>
    </row>
    <row r="345" spans="1:45" s="247" customFormat="1" outlineLevel="1">
      <c r="A345" s="229">
        <v>9</v>
      </c>
      <c r="B345" s="229" t="str">
        <f t="shared" si="67"/>
        <v>9</v>
      </c>
      <c r="C345" s="234"/>
      <c r="D345" s="229"/>
      <c r="E345"/>
      <c r="F345" s="313"/>
      <c r="G345" s="234"/>
      <c r="H345" s="229"/>
      <c r="I345" s="313"/>
    </row>
    <row r="346" spans="1:45" s="247" customFormat="1" outlineLevel="1">
      <c r="A346" s="229">
        <v>10</v>
      </c>
      <c r="B346" s="229" t="str">
        <f t="shared" si="67"/>
        <v>10</v>
      </c>
      <c r="C346" s="234"/>
      <c r="D346" s="229"/>
      <c r="E346"/>
      <c r="F346" s="313"/>
      <c r="G346" s="234"/>
      <c r="H346" s="229"/>
      <c r="I346" s="313"/>
    </row>
    <row r="347" spans="1:45" s="229" customFormat="1" outlineLevel="1">
      <c r="A347" s="229">
        <v>11</v>
      </c>
      <c r="B347" s="229" t="str">
        <f t="shared" si="67"/>
        <v>11</v>
      </c>
      <c r="C347" s="234"/>
      <c r="E347" s="313"/>
      <c r="F347" s="313"/>
      <c r="G347" s="234"/>
      <c r="I347" s="313"/>
      <c r="J347" s="247"/>
      <c r="K347" s="247"/>
      <c r="L347" s="247"/>
      <c r="M347" s="247"/>
      <c r="N347" s="247"/>
      <c r="O347" s="247"/>
      <c r="P347" s="247"/>
      <c r="Q347" s="247"/>
      <c r="R347" s="247"/>
      <c r="S347" s="247"/>
      <c r="T347" s="247"/>
      <c r="U347" s="247"/>
      <c r="V347" s="247"/>
      <c r="W347" s="247"/>
      <c r="X347" s="247"/>
      <c r="Y347" s="247"/>
      <c r="Z347" s="247"/>
      <c r="AA347" s="247"/>
      <c r="AB347" s="247"/>
      <c r="AC347" s="247"/>
      <c r="AD347" s="247"/>
      <c r="AE347" s="247"/>
      <c r="AF347" s="247"/>
      <c r="AG347" s="247"/>
      <c r="AH347" s="247"/>
      <c r="AI347" s="247"/>
      <c r="AJ347" s="247"/>
      <c r="AK347" s="247"/>
      <c r="AL347" s="247"/>
      <c r="AM347" s="247"/>
      <c r="AN347" s="247"/>
      <c r="AO347" s="247"/>
      <c r="AP347" s="247"/>
      <c r="AQ347" s="247"/>
      <c r="AR347" s="247"/>
      <c r="AS347" s="247"/>
    </row>
    <row r="348" spans="1:45" s="238" customFormat="1" outlineLevel="1">
      <c r="A348" s="229" t="s">
        <v>208</v>
      </c>
      <c r="B348" s="229" t="str">
        <f>A348&amp;C348</f>
        <v>NTransportTransport Energy Supply by fuel</v>
      </c>
      <c r="C348" s="234" t="str">
        <f>$A$315&amp;$A$333</f>
        <v>TransportTransport Energy Supply by fuel</v>
      </c>
      <c r="E348" s="543" t="s">
        <v>249</v>
      </c>
    </row>
    <row r="349" spans="1:45" outlineLevel="1"/>
    <row r="350" spans="1:45" s="298" customFormat="1" outlineLevel="1">
      <c r="A350" s="298" t="s">
        <v>168</v>
      </c>
    </row>
    <row r="351" spans="1:45" outlineLevel="1">
      <c r="A351" s="229" t="s">
        <v>175</v>
      </c>
      <c r="B351" s="229" t="s">
        <v>176</v>
      </c>
      <c r="C351" s="229" t="s">
        <v>177</v>
      </c>
      <c r="D351" s="230"/>
      <c r="E351" s="230" t="s">
        <v>178</v>
      </c>
      <c r="F351" s="230"/>
      <c r="G351" s="230" t="s">
        <v>179</v>
      </c>
      <c r="H351" s="230" t="s">
        <v>180</v>
      </c>
      <c r="I351" s="230"/>
      <c r="J351" s="230">
        <v>2015</v>
      </c>
      <c r="K351" s="230">
        <v>2016</v>
      </c>
      <c r="L351" s="230">
        <v>2017</v>
      </c>
      <c r="M351" s="230">
        <v>2018</v>
      </c>
      <c r="N351" s="230">
        <v>2019</v>
      </c>
      <c r="O351" s="230">
        <v>2020</v>
      </c>
      <c r="P351" s="230">
        <v>2021</v>
      </c>
      <c r="Q351" s="230">
        <v>2022</v>
      </c>
      <c r="R351" s="230">
        <v>2023</v>
      </c>
      <c r="S351" s="230">
        <v>2024</v>
      </c>
      <c r="T351" s="230">
        <v>2025</v>
      </c>
      <c r="U351" s="230">
        <v>2026</v>
      </c>
      <c r="V351" s="230">
        <v>2027</v>
      </c>
      <c r="W351" s="230">
        <v>2028</v>
      </c>
      <c r="X351" s="230">
        <v>2029</v>
      </c>
      <c r="Y351" s="230">
        <v>2030</v>
      </c>
      <c r="Z351" s="230">
        <v>2031</v>
      </c>
      <c r="AA351" s="230">
        <v>2032</v>
      </c>
      <c r="AB351" s="230">
        <v>2033</v>
      </c>
      <c r="AC351" s="230">
        <v>2034</v>
      </c>
      <c r="AD351" s="230">
        <v>2035</v>
      </c>
      <c r="AE351" s="230">
        <v>2036</v>
      </c>
      <c r="AF351" s="230">
        <v>2037</v>
      </c>
      <c r="AG351" s="230">
        <v>2038</v>
      </c>
      <c r="AH351" s="230">
        <v>2039</v>
      </c>
      <c r="AI351" s="230">
        <v>2040</v>
      </c>
      <c r="AJ351" s="230">
        <v>2041</v>
      </c>
      <c r="AK351" s="230">
        <v>2042</v>
      </c>
      <c r="AL351" s="230">
        <v>2043</v>
      </c>
      <c r="AM351" s="230">
        <v>2044</v>
      </c>
      <c r="AN351" s="230">
        <v>2045</v>
      </c>
      <c r="AO351" s="230">
        <v>2046</v>
      </c>
      <c r="AP351" s="230">
        <v>2047</v>
      </c>
      <c r="AQ351" s="230">
        <v>2048</v>
      </c>
      <c r="AR351" s="230">
        <v>2049</v>
      </c>
      <c r="AS351" s="230">
        <v>2050</v>
      </c>
    </row>
    <row r="352" spans="1:45" outlineLevel="1"/>
    <row r="353" spans="1:45" s="229" customFormat="1" outlineLevel="1">
      <c r="A353" s="229">
        <v>0</v>
      </c>
      <c r="B353" s="229" t="str">
        <f t="shared" ref="B353:B364" si="70">A353&amp;C353</f>
        <v>0TransportRoad Transport Vehicle Kilometres</v>
      </c>
      <c r="C353" s="234" t="str">
        <f>$A$315&amp;$A$350</f>
        <v>TransportRoad Transport Vehicle Kilometres</v>
      </c>
      <c r="E353" s="248" t="s">
        <v>250</v>
      </c>
      <c r="G353" s="234"/>
      <c r="J353" s="237"/>
      <c r="K353" s="237"/>
      <c r="L353" s="237"/>
      <c r="M353" s="237"/>
      <c r="N353" s="237"/>
      <c r="O353" s="237"/>
      <c r="P353" s="237"/>
      <c r="Q353" s="237"/>
      <c r="R353" s="237"/>
      <c r="S353" s="237"/>
      <c r="T353" s="237"/>
      <c r="U353" s="237"/>
      <c r="V353" s="237"/>
      <c r="W353" s="237"/>
      <c r="X353" s="237"/>
      <c r="Y353" s="237"/>
      <c r="Z353" s="237"/>
      <c r="AA353" s="237"/>
      <c r="AB353" s="237"/>
      <c r="AC353" s="237"/>
      <c r="AD353" s="237"/>
      <c r="AE353" s="237"/>
      <c r="AF353" s="237"/>
      <c r="AG353" s="237"/>
      <c r="AH353" s="237"/>
      <c r="AI353" s="237"/>
      <c r="AJ353" s="237"/>
      <c r="AK353" s="237"/>
      <c r="AL353" s="237"/>
      <c r="AM353" s="237"/>
      <c r="AN353" s="237"/>
      <c r="AO353" s="237"/>
      <c r="AP353" s="237"/>
      <c r="AQ353" s="237"/>
      <c r="AR353" s="237"/>
      <c r="AS353" s="237"/>
    </row>
    <row r="354" spans="1:45" s="247" customFormat="1" outlineLevel="1">
      <c r="A354" s="229">
        <v>1</v>
      </c>
      <c r="B354" s="229" t="str">
        <f t="shared" si="70"/>
        <v>1TransportRoad Transport Vehicle Kilometres</v>
      </c>
      <c r="C354" s="234" t="str">
        <f t="shared" ref="C354:C365" si="71">$A$315&amp;$A$350</f>
        <v>TransportRoad Transport Vehicle Kilometres</v>
      </c>
      <c r="D354" s="55"/>
      <c r="E354" t="s">
        <v>251</v>
      </c>
      <c r="F354" s="313"/>
      <c r="G354" s="234" t="s">
        <v>252</v>
      </c>
      <c r="H354" s="229"/>
      <c r="I354" s="313"/>
      <c r="J354" s="571">
        <f ca="1">Transport!O76</f>
        <v>34.498859784172332</v>
      </c>
      <c r="K354" s="571">
        <f ca="1">Transport!P76</f>
        <v>49.183321094739142</v>
      </c>
      <c r="L354" s="571">
        <f ca="1">Transport!Q76</f>
        <v>66.562622716919904</v>
      </c>
      <c r="M354" s="571">
        <f ca="1">Transport!R76</f>
        <v>91.453732912869981</v>
      </c>
      <c r="N354" s="571">
        <f ca="1">Transport!S76</f>
        <v>124.6743785488252</v>
      </c>
      <c r="O354" s="571">
        <f ca="1">Transport!T76</f>
        <v>142.29974396087692</v>
      </c>
      <c r="P354" s="571">
        <f ca="1">Transport!U76</f>
        <v>238.78932757504629</v>
      </c>
      <c r="Q354" s="571">
        <f ca="1">Transport!V76</f>
        <v>439.03716008427256</v>
      </c>
      <c r="R354" s="571">
        <f ca="1">Transport!W76</f>
        <v>704.56932692183022</v>
      </c>
      <c r="S354" s="571">
        <f ca="1">Transport!X76</f>
        <v>974.15311405431976</v>
      </c>
      <c r="T354" s="571">
        <f ca="1">Transport!Y76</f>
        <v>1311.9217346802754</v>
      </c>
      <c r="U354" s="571">
        <f ca="1">Transport!Z76</f>
        <v>1656.1253787019257</v>
      </c>
      <c r="V354" s="571">
        <f ca="1">Transport!AA76</f>
        <v>2061.3094039787634</v>
      </c>
      <c r="W354" s="571">
        <f ca="1">Transport!AB76</f>
        <v>2465.1165433387541</v>
      </c>
      <c r="X354" s="571">
        <f ca="1">Transport!AC76</f>
        <v>2866.907701137784</v>
      </c>
      <c r="Y354" s="571">
        <f ca="1">Transport!AD76</f>
        <v>3277.8111924120844</v>
      </c>
      <c r="Z354" s="571">
        <f ca="1">Transport!AE76</f>
        <v>3637.6508740367958</v>
      </c>
      <c r="AA354" s="571">
        <f ca="1">Transport!AF76</f>
        <v>3947.2867741546261</v>
      </c>
      <c r="AB354" s="571">
        <f ca="1">Transport!AG76</f>
        <v>4232.5073374089534</v>
      </c>
      <c r="AC354" s="571">
        <f ca="1">Transport!AH76</f>
        <v>4450.5632119296779</v>
      </c>
      <c r="AD354" s="571">
        <f ca="1">Transport!AI76</f>
        <v>4634.930795735163</v>
      </c>
      <c r="AE354" s="571">
        <f ca="1">Transport!AJ76</f>
        <v>4775.8764830620639</v>
      </c>
      <c r="AF354" s="571">
        <f ca="1">Transport!AK76</f>
        <v>4877.0668600194222</v>
      </c>
      <c r="AG354" s="571">
        <f ca="1">Transport!AL76</f>
        <v>4937.3511664653097</v>
      </c>
      <c r="AH354" s="571">
        <f ca="1">Transport!AM76</f>
        <v>4965.8437357935363</v>
      </c>
      <c r="AI354" s="571">
        <f ca="1">Transport!AN76</f>
        <v>4963.3157934520441</v>
      </c>
      <c r="AJ354" s="571">
        <f ca="1">Transport!AO76</f>
        <v>5010.6075714627641</v>
      </c>
      <c r="AK354" s="571">
        <f ca="1">Transport!AP76</f>
        <v>5041.1040694297762</v>
      </c>
      <c r="AL354" s="571">
        <f ca="1">Transport!AQ76</f>
        <v>5056.8614170462097</v>
      </c>
      <c r="AM354" s="571">
        <f ca="1">Transport!AR76</f>
        <v>5061.5854023550573</v>
      </c>
      <c r="AN354" s="571">
        <f ca="1">Transport!AS76</f>
        <v>5057.3259707511124</v>
      </c>
      <c r="AO354" s="571">
        <f ca="1">Transport!AT76</f>
        <v>5046.6595808353195</v>
      </c>
      <c r="AP354" s="571">
        <f ca="1">Transport!AU76</f>
        <v>5030.7683101465673</v>
      </c>
      <c r="AQ354" s="571">
        <f ca="1">Transport!AV76</f>
        <v>5012.2234408563145</v>
      </c>
      <c r="AR354" s="571">
        <f ca="1">Transport!AW76</f>
        <v>4990.7465292490679</v>
      </c>
      <c r="AS354" s="571">
        <f ca="1">Transport!AX76</f>
        <v>4967.4958265901887</v>
      </c>
    </row>
    <row r="355" spans="1:45" s="247" customFormat="1" outlineLevel="1">
      <c r="A355" s="229">
        <v>2</v>
      </c>
      <c r="B355" s="229" t="str">
        <f t="shared" si="70"/>
        <v>2TransportRoad Transport Vehicle Kilometres</v>
      </c>
      <c r="C355" s="234" t="str">
        <f t="shared" si="71"/>
        <v>TransportRoad Transport Vehicle Kilometres</v>
      </c>
      <c r="D355" s="55"/>
      <c r="E355" t="s">
        <v>253</v>
      </c>
      <c r="F355" s="229"/>
      <c r="G355" s="234" t="s">
        <v>252</v>
      </c>
      <c r="H355" s="229"/>
      <c r="I355" s="229"/>
      <c r="J355" s="571">
        <f ca="1">Transport!O77</f>
        <v>0</v>
      </c>
      <c r="K355" s="571">
        <f ca="1">Transport!P77</f>
        <v>0</v>
      </c>
      <c r="L355" s="571">
        <f ca="1">Transport!Q77</f>
        <v>0</v>
      </c>
      <c r="M355" s="571">
        <f ca="1">Transport!R77</f>
        <v>0</v>
      </c>
      <c r="N355" s="571">
        <f ca="1">Transport!S77</f>
        <v>0</v>
      </c>
      <c r="O355" s="571">
        <f ca="1">Transport!T77</f>
        <v>0</v>
      </c>
      <c r="P355" s="571">
        <f ca="1">Transport!U77</f>
        <v>9.0108374194819013E-2</v>
      </c>
      <c r="Q355" s="571">
        <f ca="1">Transport!V77</f>
        <v>0.20462591910290473</v>
      </c>
      <c r="R355" s="571">
        <f ca="1">Transport!W77</f>
        <v>0.68331193395136236</v>
      </c>
      <c r="S355" s="571">
        <f ca="1">Transport!X77</f>
        <v>1.3309015545882945</v>
      </c>
      <c r="T355" s="571">
        <f ca="1">Transport!Y77</f>
        <v>2.3030122886747364</v>
      </c>
      <c r="U355" s="571">
        <f ca="1">Transport!Z77</f>
        <v>3.5607453728641807</v>
      </c>
      <c r="V355" s="571">
        <f ca="1">Transport!AA77</f>
        <v>6.5979598912102011</v>
      </c>
      <c r="W355" s="571">
        <f ca="1">Transport!AB77</f>
        <v>9.6026076316532318</v>
      </c>
      <c r="X355" s="571">
        <f ca="1">Transport!AC77</f>
        <v>12.641728105619224</v>
      </c>
      <c r="Y355" s="571">
        <f ca="1">Transport!AD77</f>
        <v>22.899012704199716</v>
      </c>
      <c r="Z355" s="571">
        <f ca="1">Transport!AE77</f>
        <v>34.504689076674261</v>
      </c>
      <c r="AA355" s="571">
        <f ca="1">Transport!AF77</f>
        <v>49.431837854702962</v>
      </c>
      <c r="AB355" s="571">
        <f ca="1">Transport!AG77</f>
        <v>67.9183039815222</v>
      </c>
      <c r="AC355" s="571">
        <f ca="1">Transport!AH77</f>
        <v>87.624450183877471</v>
      </c>
      <c r="AD355" s="571">
        <f ca="1">Transport!AI77</f>
        <v>112.61152086611655</v>
      </c>
      <c r="AE355" s="571">
        <f ca="1">Transport!AJ77</f>
        <v>140.54493391353165</v>
      </c>
      <c r="AF355" s="571">
        <f ca="1">Transport!AK77</f>
        <v>171.03787040832415</v>
      </c>
      <c r="AG355" s="571">
        <f ca="1">Transport!AL77</f>
        <v>203.48236704920924</v>
      </c>
      <c r="AH355" s="571">
        <f ca="1">Transport!AM77</f>
        <v>237.94197398733701</v>
      </c>
      <c r="AI355" s="571">
        <f ca="1">Transport!AN77</f>
        <v>274.27399815114507</v>
      </c>
      <c r="AJ355" s="571">
        <f ca="1">Transport!AO77</f>
        <v>311.9706859989704</v>
      </c>
      <c r="AK355" s="571">
        <f ca="1">Transport!AP77</f>
        <v>349.24678379486022</v>
      </c>
      <c r="AL355" s="571">
        <f ca="1">Transport!AQ77</f>
        <v>386.30336722561617</v>
      </c>
      <c r="AM355" s="571">
        <f ca="1">Transport!AR77</f>
        <v>421.95360790598863</v>
      </c>
      <c r="AN355" s="571">
        <f ca="1">Transport!AS77</f>
        <v>457.31023265407845</v>
      </c>
      <c r="AO355" s="571">
        <f ca="1">Transport!AT77</f>
        <v>491.62856252624209</v>
      </c>
      <c r="AP355" s="571">
        <f ca="1">Transport!AU77</f>
        <v>525.23438172136775</v>
      </c>
      <c r="AQ355" s="571">
        <f ca="1">Transport!AV77</f>
        <v>557.21766774257833</v>
      </c>
      <c r="AR355" s="571">
        <f ca="1">Transport!AW77</f>
        <v>588.63246364006193</v>
      </c>
      <c r="AS355" s="571">
        <f ca="1">Transport!AX77</f>
        <v>619.20971941476773</v>
      </c>
    </row>
    <row r="356" spans="1:45" s="247" customFormat="1" outlineLevel="1">
      <c r="A356" s="229">
        <v>3</v>
      </c>
      <c r="B356" s="229" t="str">
        <f t="shared" si="70"/>
        <v>3TransportRoad Transport Vehicle Kilometres</v>
      </c>
      <c r="C356" s="234" t="str">
        <f t="shared" si="71"/>
        <v>TransportRoad Transport Vehicle Kilometres</v>
      </c>
      <c r="D356" s="55"/>
      <c r="E356" t="s">
        <v>254</v>
      </c>
      <c r="F356" s="313"/>
      <c r="G356" s="234" t="s">
        <v>252</v>
      </c>
      <c r="H356" s="229"/>
      <c r="I356" s="313"/>
      <c r="J356" s="571">
        <f ca="1">Transport!O78</f>
        <v>3648.0498602697835</v>
      </c>
      <c r="K356" s="571">
        <f ca="1">Transport!P78</f>
        <v>3580.0733139973204</v>
      </c>
      <c r="L356" s="571">
        <f ca="1">Transport!Q78</f>
        <v>3509.9409533162807</v>
      </c>
      <c r="M356" s="571">
        <f ca="1">Transport!R78</f>
        <v>3500.0348783280756</v>
      </c>
      <c r="N356" s="571">
        <f ca="1">Transport!S78</f>
        <v>3551.2205744062207</v>
      </c>
      <c r="O356" s="571">
        <f ca="1">Transport!T78</f>
        <v>3527.6491536405151</v>
      </c>
      <c r="P356" s="571">
        <f ca="1">Transport!U78</f>
        <v>3447.5530225293678</v>
      </c>
      <c r="Q356" s="571">
        <f ca="1">Transport!V78</f>
        <v>3343.8621317084248</v>
      </c>
      <c r="R356" s="571">
        <f ca="1">Transport!W78</f>
        <v>3202.7409543394238</v>
      </c>
      <c r="S356" s="571">
        <f ca="1">Transport!X78</f>
        <v>3063.1918152773746</v>
      </c>
      <c r="T356" s="571">
        <f ca="1">Transport!Y78</f>
        <v>2880.6552821357814</v>
      </c>
      <c r="U356" s="571">
        <f ca="1">Transport!Z78</f>
        <v>2685.4242092208801</v>
      </c>
      <c r="V356" s="571">
        <f ca="1">Transport!AA78</f>
        <v>2467.7285708906938</v>
      </c>
      <c r="W356" s="571">
        <f ca="1">Transport!AB78</f>
        <v>2247.1942454613604</v>
      </c>
      <c r="X356" s="571">
        <f ca="1">Transport!AC78</f>
        <v>2021.2770683609376</v>
      </c>
      <c r="Y356" s="571">
        <f ca="1">Transport!AD78</f>
        <v>1788.514820107833</v>
      </c>
      <c r="Z356" s="571">
        <f ca="1">Transport!AE78</f>
        <v>1558.3817901576022</v>
      </c>
      <c r="AA356" s="571">
        <f ca="1">Transport!AF78</f>
        <v>1349.6124340539725</v>
      </c>
      <c r="AB356" s="571">
        <f ca="1">Transport!AG78</f>
        <v>1152.0747843030301</v>
      </c>
      <c r="AC356" s="571">
        <f ca="1">Transport!AH78</f>
        <v>975.46928131922209</v>
      </c>
      <c r="AD356" s="571">
        <f ca="1">Transport!AI78</f>
        <v>806.3671784277775</v>
      </c>
      <c r="AE356" s="571">
        <f ca="1">Transport!AJ78</f>
        <v>658.70299394704296</v>
      </c>
      <c r="AF356" s="571">
        <f ca="1">Transport!AK78</f>
        <v>531.06458729983603</v>
      </c>
      <c r="AG356" s="571">
        <f ca="1">Transport!AL78</f>
        <v>426.08021679942277</v>
      </c>
      <c r="AH356" s="571">
        <f ca="1">Transport!AM78</f>
        <v>337.0948869969875</v>
      </c>
      <c r="AI356" s="571">
        <f ca="1">Transport!AN78</f>
        <v>264.84896985133025</v>
      </c>
      <c r="AJ356" s="571">
        <f ca="1">Transport!AO78</f>
        <v>211.95900252493146</v>
      </c>
      <c r="AK356" s="571">
        <f ca="1">Transport!AP78</f>
        <v>167.94045430491957</v>
      </c>
      <c r="AL356" s="571">
        <f ca="1">Transport!AQ78</f>
        <v>131.80889783045271</v>
      </c>
      <c r="AM356" s="571">
        <f ca="1">Transport!AR78</f>
        <v>102.65769063199424</v>
      </c>
      <c r="AN356" s="571">
        <f ca="1">Transport!AS78</f>
        <v>78.479652890099004</v>
      </c>
      <c r="AO356" s="571">
        <f ca="1">Transport!AT78</f>
        <v>58.843600167319565</v>
      </c>
      <c r="AP356" s="571">
        <f ca="1">Transport!AU78</f>
        <v>42.961602700731994</v>
      </c>
      <c r="AQ356" s="571">
        <f ca="1">Transport!AV78</f>
        <v>29.881578859110352</v>
      </c>
      <c r="AR356" s="571">
        <f ca="1">Transport!AW78</f>
        <v>19.40952816043475</v>
      </c>
      <c r="AS356" s="571">
        <f ca="1">Transport!AX78</f>
        <v>10.883221901220139</v>
      </c>
    </row>
    <row r="357" spans="1:45" s="247" customFormat="1" outlineLevel="1">
      <c r="A357" s="229">
        <v>4</v>
      </c>
      <c r="B357" s="229" t="str">
        <f t="shared" si="70"/>
        <v>4TransportRoad Transport Vehicle Kilometres</v>
      </c>
      <c r="C357" s="234" t="str">
        <f t="shared" si="71"/>
        <v>TransportRoad Transport Vehicle Kilometres</v>
      </c>
      <c r="D357" s="55"/>
      <c r="E357" t="s">
        <v>255</v>
      </c>
      <c r="F357" s="229"/>
      <c r="G357" s="234" t="s">
        <v>252</v>
      </c>
      <c r="H357" s="229"/>
      <c r="I357" s="229"/>
      <c r="J357" s="571">
        <f ca="1">Transport!O79</f>
        <v>3662.5203548250729</v>
      </c>
      <c r="K357" s="571">
        <f ca="1">Transport!P79</f>
        <v>3763.2810063631214</v>
      </c>
      <c r="L357" s="571">
        <f ca="1">Transport!Q79</f>
        <v>3793.0874571565405</v>
      </c>
      <c r="M357" s="571">
        <f ca="1">Transport!R79</f>
        <v>3748.649686274252</v>
      </c>
      <c r="N357" s="571">
        <f ca="1">Transport!S79</f>
        <v>3610.3609754888193</v>
      </c>
      <c r="O357" s="571">
        <f ca="1">Transport!T79</f>
        <v>3396.9372157710304</v>
      </c>
      <c r="P357" s="571">
        <f ca="1">Transport!U79</f>
        <v>3336.7055585586841</v>
      </c>
      <c r="Q357" s="571">
        <f ca="1">Transport!V79</f>
        <v>3186.5241597185263</v>
      </c>
      <c r="R357" s="571">
        <f ca="1">Transport!W79</f>
        <v>3008.1922764101569</v>
      </c>
      <c r="S357" s="571">
        <f ca="1">Transport!X79</f>
        <v>2824.5295417679367</v>
      </c>
      <c r="T357" s="571">
        <f ca="1">Transport!Y79</f>
        <v>2615.3907017234778</v>
      </c>
      <c r="U357" s="571">
        <f ca="1">Transport!Z79</f>
        <v>2397.464937030697</v>
      </c>
      <c r="V357" s="571">
        <f ca="1">Transport!AA79</f>
        <v>2139.1638410029859</v>
      </c>
      <c r="W357" s="571">
        <f ca="1">Transport!AB79</f>
        <v>1884.9456777968962</v>
      </c>
      <c r="X357" s="571">
        <f ca="1">Transport!AC79</f>
        <v>1638.2545210235262</v>
      </c>
      <c r="Y357" s="571">
        <f ca="1">Transport!AD79</f>
        <v>1382.2428015397106</v>
      </c>
      <c r="Z357" s="571">
        <f ca="1">Transport!AE79</f>
        <v>1155.5289416098913</v>
      </c>
      <c r="AA357" s="571">
        <f ca="1">Transport!AF79</f>
        <v>954.3310053252502</v>
      </c>
      <c r="AB357" s="571">
        <f ca="1">Transport!AG79</f>
        <v>775.92497337491091</v>
      </c>
      <c r="AC357" s="571">
        <f ca="1">Transport!AH79</f>
        <v>629.82000873248774</v>
      </c>
      <c r="AD357" s="571">
        <f ca="1">Transport!AI79</f>
        <v>504.61901023305637</v>
      </c>
      <c r="AE357" s="571">
        <f ca="1">Transport!AJ79</f>
        <v>398.4556474363232</v>
      </c>
      <c r="AF357" s="571">
        <f ca="1">Transport!AK79</f>
        <v>309.46229372822893</v>
      </c>
      <c r="AG357" s="571">
        <f ca="1">Transport!AL79</f>
        <v>236.76941423871583</v>
      </c>
      <c r="AH357" s="571">
        <f ca="1">Transport!AM79</f>
        <v>177.85412087164491</v>
      </c>
      <c r="AI357" s="571">
        <f ca="1">Transport!AN79</f>
        <v>131.34750929183494</v>
      </c>
      <c r="AJ357" s="571">
        <f ca="1">Transport!AO79</f>
        <v>95.802390577152423</v>
      </c>
      <c r="AK357" s="571">
        <f ca="1">Transport!AP79</f>
        <v>68.601722851724503</v>
      </c>
      <c r="AL357" s="571">
        <f ca="1">Transport!AQ79</f>
        <v>48.47272809646455</v>
      </c>
      <c r="AM357" s="571">
        <f ca="1">Transport!AR79</f>
        <v>33.803089123166771</v>
      </c>
      <c r="AN357" s="571">
        <f ca="1">Transport!AS79</f>
        <v>23.437313538378433</v>
      </c>
      <c r="AO357" s="571">
        <f ca="1">Transport!AT79</f>
        <v>15.974806122251627</v>
      </c>
      <c r="AP357" s="571">
        <f ca="1">Transport!AU79</f>
        <v>10.695634899927109</v>
      </c>
      <c r="AQ357" s="571">
        <f ca="1">Transport!AV79</f>
        <v>6.890621828053721</v>
      </c>
      <c r="AR357" s="571">
        <f ca="1">Transport!AW79</f>
        <v>3.9781680539554176</v>
      </c>
      <c r="AS357" s="571">
        <f ca="1">Transport!AX79</f>
        <v>1.7313010148072796</v>
      </c>
    </row>
    <row r="358" spans="1:45" s="247" customFormat="1" outlineLevel="1">
      <c r="A358" s="229">
        <v>5</v>
      </c>
      <c r="B358" s="229" t="str">
        <f t="shared" si="70"/>
        <v>5TransportRoad Transport Vehicle Kilometres</v>
      </c>
      <c r="C358" s="234" t="str">
        <f t="shared" si="71"/>
        <v>TransportRoad Transport Vehicle Kilometres</v>
      </c>
      <c r="D358" s="55"/>
      <c r="E358" t="s">
        <v>256</v>
      </c>
      <c r="F358" s="229"/>
      <c r="G358" s="234" t="s">
        <v>252</v>
      </c>
      <c r="H358" s="229"/>
      <c r="I358" s="229"/>
      <c r="J358" s="571">
        <f ca="1">Transport!O80</f>
        <v>0</v>
      </c>
      <c r="K358" s="571">
        <f ca="1">Transport!P80</f>
        <v>0</v>
      </c>
      <c r="L358" s="571">
        <f ca="1">Transport!Q80</f>
        <v>0</v>
      </c>
      <c r="M358" s="571">
        <f ca="1">Transport!R80</f>
        <v>0</v>
      </c>
      <c r="N358" s="571">
        <f ca="1">Transport!S80</f>
        <v>0</v>
      </c>
      <c r="O358" s="571">
        <f ca="1">Transport!T80</f>
        <v>0</v>
      </c>
      <c r="P358" s="571">
        <f ca="1">Transport!U80</f>
        <v>0</v>
      </c>
      <c r="Q358" s="571">
        <f ca="1">Transport!V80</f>
        <v>0</v>
      </c>
      <c r="R358" s="571">
        <f ca="1">Transport!W80</f>
        <v>0</v>
      </c>
      <c r="S358" s="571">
        <f ca="1">Transport!X80</f>
        <v>0</v>
      </c>
      <c r="T358" s="571">
        <f ca="1">Transport!Y80</f>
        <v>0</v>
      </c>
      <c r="U358" s="571">
        <f ca="1">Transport!Z80</f>
        <v>1.063737153327859</v>
      </c>
      <c r="V358" s="571">
        <f ca="1">Transport!AA80</f>
        <v>2.1314071167792341</v>
      </c>
      <c r="W358" s="571">
        <f ca="1">Transport!AB80</f>
        <v>3.2087165737292498</v>
      </c>
      <c r="X358" s="571">
        <f ca="1">Transport!AC80</f>
        <v>4.2861210334478637</v>
      </c>
      <c r="Y358" s="571">
        <f ca="1">Transport!AD80</f>
        <v>5.3769467648462381</v>
      </c>
      <c r="Z358" s="571">
        <f ca="1">Transport!AE80</f>
        <v>9.1092960272889041</v>
      </c>
      <c r="AA358" s="571">
        <f ca="1">Transport!AF80</f>
        <v>12.844059971440538</v>
      </c>
      <c r="AB358" s="571">
        <f ca="1">Transport!AG80</f>
        <v>16.581238597301141</v>
      </c>
      <c r="AC358" s="571">
        <f ca="1">Transport!AH80</f>
        <v>20.320831904870705</v>
      </c>
      <c r="AD358" s="571">
        <f ca="1">Transport!AI80</f>
        <v>24.1199900703635</v>
      </c>
      <c r="AE358" s="571">
        <f ca="1">Transport!AJ80</f>
        <v>28.665467711287498</v>
      </c>
      <c r="AF358" s="571">
        <f ca="1">Transport!AK80</f>
        <v>33.213360033920466</v>
      </c>
      <c r="AG358" s="571">
        <f ca="1">Transport!AL80</f>
        <v>37.763667038262398</v>
      </c>
      <c r="AH358" s="571">
        <f ca="1">Transport!AM80</f>
        <v>42.316388724313292</v>
      </c>
      <c r="AI358" s="571">
        <f ca="1">Transport!AN80</f>
        <v>46.990587959186186</v>
      </c>
      <c r="AJ358" s="571">
        <f ca="1">Transport!AO80</f>
        <v>48.845266380297311</v>
      </c>
      <c r="AK358" s="571">
        <f ca="1">Transport!AP80</f>
        <v>50.699944801408435</v>
      </c>
      <c r="AL358" s="571">
        <f ca="1">Transport!AQ80</f>
        <v>52.554623222519567</v>
      </c>
      <c r="AM358" s="571">
        <f ca="1">Transport!AR80</f>
        <v>54.409301643630684</v>
      </c>
      <c r="AN358" s="571">
        <f ca="1">Transport!AS80</f>
        <v>56.263980064741801</v>
      </c>
      <c r="AO358" s="571">
        <f ca="1">Transport!AT80</f>
        <v>55.973973301611196</v>
      </c>
      <c r="AP358" s="571">
        <f ca="1">Transport!AU80</f>
        <v>55.683877922008939</v>
      </c>
      <c r="AQ358" s="571">
        <f ca="1">Transport!AV80</f>
        <v>55.393693925935068</v>
      </c>
      <c r="AR358" s="571">
        <f ca="1">Transport!AW80</f>
        <v>55.103421313389561</v>
      </c>
      <c r="AS358" s="571">
        <f ca="1">Transport!AX80</f>
        <v>54.813060084372431</v>
      </c>
    </row>
    <row r="359" spans="1:45" s="247" customFormat="1" outlineLevel="1">
      <c r="A359" s="229">
        <v>6</v>
      </c>
      <c r="B359" s="229" t="str">
        <f t="shared" si="70"/>
        <v>6TransportRoad Transport Vehicle Kilometres</v>
      </c>
      <c r="C359" s="234" t="str">
        <f t="shared" si="71"/>
        <v>TransportRoad Transport Vehicle Kilometres</v>
      </c>
      <c r="D359" s="55"/>
      <c r="E359" t="s">
        <v>257</v>
      </c>
      <c r="F359" s="229"/>
      <c r="G359" s="234" t="s">
        <v>252</v>
      </c>
      <c r="H359" s="229"/>
      <c r="I359" s="313"/>
      <c r="J359" s="571">
        <f ca="1">Transport!O81</f>
        <v>395.47956789801282</v>
      </c>
      <c r="K359" s="571">
        <f ca="1">Transport!P81</f>
        <v>398.02511583206137</v>
      </c>
      <c r="L359" s="571">
        <f ca="1">Transport!Q81</f>
        <v>396.80404991922705</v>
      </c>
      <c r="M359" s="571">
        <f ca="1">Transport!R81</f>
        <v>395.33021951653359</v>
      </c>
      <c r="N359" s="571">
        <f ca="1">Transport!S81</f>
        <v>393.81888529847419</v>
      </c>
      <c r="O359" s="571">
        <f ca="1">Transport!T81</f>
        <v>392.26903646626772</v>
      </c>
      <c r="P359" s="571">
        <f ca="1">Transport!U81</f>
        <v>394.03124674523542</v>
      </c>
      <c r="Q359" s="571">
        <f ca="1">Transport!V81</f>
        <v>395.32549729500107</v>
      </c>
      <c r="R359" s="571">
        <f ca="1">Transport!W81</f>
        <v>397.10300110672546</v>
      </c>
      <c r="S359" s="571">
        <f ca="1">Transport!X81</f>
        <v>398.41213393879764</v>
      </c>
      <c r="T359" s="571">
        <f ca="1">Transport!Y81</f>
        <v>399.72879323694036</v>
      </c>
      <c r="U359" s="571">
        <f ca="1">Transport!Z81</f>
        <v>396.16976196217388</v>
      </c>
      <c r="V359" s="571">
        <f ca="1">Transport!AA81</f>
        <v>392.11239704634903</v>
      </c>
      <c r="W359" s="571">
        <f ca="1">Transport!AB81</f>
        <v>388.48445242087138</v>
      </c>
      <c r="X359" s="571">
        <f ca="1">Transport!AC81</f>
        <v>384.37567538322605</v>
      </c>
      <c r="Y359" s="571">
        <f ca="1">Transport!AD81</f>
        <v>380.67899142053056</v>
      </c>
      <c r="Z359" s="571">
        <f ca="1">Transport!AE81</f>
        <v>357.19616923453088</v>
      </c>
      <c r="AA359" s="571">
        <f ca="1">Transport!AF81</f>
        <v>333.68195618631472</v>
      </c>
      <c r="AB359" s="571">
        <f ca="1">Transport!AG81</f>
        <v>310.1363522758819</v>
      </c>
      <c r="AC359" s="571">
        <f ca="1">Transport!AH81</f>
        <v>286.5593575032326</v>
      </c>
      <c r="AD359" s="571">
        <f ca="1">Transport!AI81</f>
        <v>263.21291017601544</v>
      </c>
      <c r="AE359" s="571">
        <f ca="1">Transport!AJ81</f>
        <v>233.76824584338317</v>
      </c>
      <c r="AF359" s="571">
        <f ca="1">Transport!AK81</f>
        <v>204.28132458084391</v>
      </c>
      <c r="AG359" s="571">
        <f ca="1">Transport!AL81</f>
        <v>174.75214638839779</v>
      </c>
      <c r="AH359" s="571">
        <f ca="1">Transport!AM81</f>
        <v>145.18071126604465</v>
      </c>
      <c r="AI359" s="571">
        <f ca="1">Transport!AN81</f>
        <v>115.64321944873699</v>
      </c>
      <c r="AJ359" s="571">
        <f ca="1">Transport!AO81</f>
        <v>98.607080555042572</v>
      </c>
      <c r="AK359" s="571">
        <f ca="1">Transport!AP81</f>
        <v>81.568814866028973</v>
      </c>
      <c r="AL359" s="571">
        <f ca="1">Transport!AQ81</f>
        <v>64.528422381696231</v>
      </c>
      <c r="AM359" s="571">
        <f ca="1">Transport!AR81</f>
        <v>47.485903102044304</v>
      </c>
      <c r="AN359" s="571">
        <f ca="1">Transport!AS81</f>
        <v>30.441257027073174</v>
      </c>
      <c r="AO359" s="571">
        <f ca="1">Transport!AT81</f>
        <v>24.910688236576583</v>
      </c>
      <c r="AP359" s="571">
        <f ca="1">Transport!AU81</f>
        <v>19.379321897835307</v>
      </c>
      <c r="AQ359" s="571">
        <f ca="1">Transport!AV81</f>
        <v>13.847158010849334</v>
      </c>
      <c r="AR359" s="571">
        <f ca="1">Transport!AW81</f>
        <v>8.3141965756186771</v>
      </c>
      <c r="AS359" s="571">
        <f ca="1">Transport!AX81</f>
        <v>2.7804375921433313</v>
      </c>
    </row>
    <row r="360" spans="1:45" s="247" customFormat="1" outlineLevel="1">
      <c r="A360" s="229">
        <v>7</v>
      </c>
      <c r="B360" s="229" t="str">
        <f t="shared" si="70"/>
        <v>7TransportRoad Transport Vehicle Kilometres</v>
      </c>
      <c r="C360" s="234" t="str">
        <f t="shared" si="71"/>
        <v>TransportRoad Transport Vehicle Kilometres</v>
      </c>
      <c r="D360" s="55"/>
      <c r="E360" t="s">
        <v>258</v>
      </c>
      <c r="F360" s="313"/>
      <c r="G360" s="234" t="s">
        <v>252</v>
      </c>
      <c r="H360" s="229"/>
      <c r="I360" s="313"/>
      <c r="J360" s="571">
        <f ca="1">Transport!O82</f>
        <v>0</v>
      </c>
      <c r="K360" s="571">
        <f ca="1">Transport!P82</f>
        <v>0</v>
      </c>
      <c r="L360" s="571">
        <f ca="1">Transport!Q82</f>
        <v>0</v>
      </c>
      <c r="M360" s="571">
        <f ca="1">Transport!R82</f>
        <v>0</v>
      </c>
      <c r="N360" s="571">
        <f ca="1">Transport!S82</f>
        <v>0</v>
      </c>
      <c r="O360" s="571">
        <f ca="1">Transport!T82</f>
        <v>0</v>
      </c>
      <c r="P360" s="571">
        <f ca="1">Transport!U82</f>
        <v>0</v>
      </c>
      <c r="Q360" s="571">
        <f ca="1">Transport!V82</f>
        <v>0</v>
      </c>
      <c r="R360" s="571">
        <f ca="1">Transport!W82</f>
        <v>0</v>
      </c>
      <c r="S360" s="571">
        <f ca="1">Transport!X82</f>
        <v>0</v>
      </c>
      <c r="T360" s="571">
        <f ca="1">Transport!Y82</f>
        <v>0</v>
      </c>
      <c r="U360" s="571">
        <f ca="1">Transport!Z82</f>
        <v>4.5348372960874928</v>
      </c>
      <c r="V360" s="571">
        <f ca="1">Transport!AA82</f>
        <v>9.0897783963713099</v>
      </c>
      <c r="W360" s="571">
        <f ca="1">Transport!AB82</f>
        <v>13.684784995430523</v>
      </c>
      <c r="X360" s="571">
        <f ca="1">Transport!AC82</f>
        <v>18.286439474565508</v>
      </c>
      <c r="Y360" s="571">
        <f ca="1">Transport!AD82</f>
        <v>22.941371665447491</v>
      </c>
      <c r="Z360" s="571">
        <f ca="1">Transport!AE82</f>
        <v>42.446486752536188</v>
      </c>
      <c r="AA360" s="571">
        <f ca="1">Transport!AF82</f>
        <v>61.97937067927802</v>
      </c>
      <c r="AB360" s="571">
        <f ca="1">Transport!AG82</f>
        <v>81.540023445672958</v>
      </c>
      <c r="AC360" s="571">
        <f ca="1">Transport!AH82</f>
        <v>101.12844505172103</v>
      </c>
      <c r="AD360" s="571">
        <f ca="1">Transport!AI82</f>
        <v>120.90179848201142</v>
      </c>
      <c r="AE360" s="571">
        <f ca="1">Transport!AJ82</f>
        <v>146.10282038734059</v>
      </c>
      <c r="AF360" s="571">
        <f ca="1">Transport!AK82</f>
        <v>171.34368454086777</v>
      </c>
      <c r="AG360" s="571">
        <f ca="1">Transport!AL82</f>
        <v>196.6243909425929</v>
      </c>
      <c r="AH360" s="571">
        <f ca="1">Transport!AM82</f>
        <v>221.94493959251594</v>
      </c>
      <c r="AI360" s="571">
        <f ca="1">Transport!AN82</f>
        <v>247.58631885702368</v>
      </c>
      <c r="AJ360" s="571">
        <f ca="1">Transport!AO82</f>
        <v>262.78993344751507</v>
      </c>
      <c r="AK360" s="571">
        <f ca="1">Transport!AP82</f>
        <v>277.99567483332555</v>
      </c>
      <c r="AL360" s="571">
        <f ca="1">Transport!AQ82</f>
        <v>293.20354301445531</v>
      </c>
      <c r="AM360" s="571">
        <f ca="1">Transport!AR82</f>
        <v>308.41353799090416</v>
      </c>
      <c r="AN360" s="571">
        <f ca="1">Transport!AS82</f>
        <v>323.62565976267217</v>
      </c>
      <c r="AO360" s="571">
        <f ca="1">Transport!AT82</f>
        <v>329.46838943420732</v>
      </c>
      <c r="AP360" s="571">
        <f ca="1">Transport!AU82</f>
        <v>335.31200527045894</v>
      </c>
      <c r="AQ360" s="571">
        <f ca="1">Transport!AV82</f>
        <v>341.15650727142679</v>
      </c>
      <c r="AR360" s="571">
        <f ca="1">Transport!AW82</f>
        <v>347.00189543711105</v>
      </c>
      <c r="AS360" s="571">
        <f ca="1">Transport!AX82</f>
        <v>352.84816976751154</v>
      </c>
    </row>
    <row r="361" spans="1:45" s="247" customFormat="1" outlineLevel="1">
      <c r="A361" s="229">
        <v>8</v>
      </c>
      <c r="B361" s="229" t="str">
        <f t="shared" si="70"/>
        <v>8TransportRoad Transport Vehicle Kilometres</v>
      </c>
      <c r="C361" s="234" t="str">
        <f t="shared" si="71"/>
        <v>TransportRoad Transport Vehicle Kilometres</v>
      </c>
      <c r="D361" s="55"/>
      <c r="E361" t="s">
        <v>259</v>
      </c>
      <c r="F361" s="313"/>
      <c r="G361" s="234" t="s">
        <v>252</v>
      </c>
      <c r="H361" s="229"/>
      <c r="I361" s="313"/>
      <c r="J361" s="571">
        <f ca="1">Transport!O83</f>
        <v>0</v>
      </c>
      <c r="K361" s="571">
        <f ca="1">Transport!P83</f>
        <v>0</v>
      </c>
      <c r="L361" s="571">
        <f ca="1">Transport!Q83</f>
        <v>0</v>
      </c>
      <c r="M361" s="571">
        <f ca="1">Transport!R83</f>
        <v>0</v>
      </c>
      <c r="N361" s="571">
        <f ca="1">Transport!S83</f>
        <v>0</v>
      </c>
      <c r="O361" s="571">
        <f ca="1">Transport!T83</f>
        <v>0</v>
      </c>
      <c r="P361" s="571">
        <f ca="1">Transport!U83</f>
        <v>0.30448440345502226</v>
      </c>
      <c r="Q361" s="571">
        <f ca="1">Transport!V83</f>
        <v>0.30473591194506272</v>
      </c>
      <c r="R361" s="571">
        <f ca="1">Transport!W83</f>
        <v>0.30499168609484339</v>
      </c>
      <c r="S361" s="571">
        <f ca="1">Transport!X83</f>
        <v>0.30525183535281453</v>
      </c>
      <c r="T361" s="571">
        <f ca="1">Transport!Y83</f>
        <v>0.30551647294403628</v>
      </c>
      <c r="U361" s="571">
        <f ca="1">Transport!Z83</f>
        <v>1.6331234266385004</v>
      </c>
      <c r="V361" s="571">
        <f ca="1">Transport!AA83</f>
        <v>2.6565018037022394</v>
      </c>
      <c r="W361" s="571">
        <f ca="1">Transport!AB83</f>
        <v>3.9864184448358353</v>
      </c>
      <c r="X361" s="571">
        <f ca="1">Transport!AC83</f>
        <v>5.3174303449444791</v>
      </c>
      <c r="Y361" s="571">
        <f ca="1">Transport!AD83</f>
        <v>6.6495258285633616</v>
      </c>
      <c r="Z361" s="571">
        <f ca="1">Transport!AE83</f>
        <v>8.5582384594777619</v>
      </c>
      <c r="AA361" s="571">
        <f ca="1">Transport!AF83</f>
        <v>10.470883583044483</v>
      </c>
      <c r="AB361" s="571">
        <f ca="1">Transport!AG83</f>
        <v>12.387461199263521</v>
      </c>
      <c r="AC361" s="571">
        <f ca="1">Transport!AH83</f>
        <v>14.307971308134885</v>
      </c>
      <c r="AD361" s="571">
        <f ca="1">Transport!AI83</f>
        <v>16.232413909658572</v>
      </c>
      <c r="AE361" s="571">
        <f ca="1">Transport!AJ83</f>
        <v>17.778456603753849</v>
      </c>
      <c r="AF361" s="571">
        <f ca="1">Transport!AK83</f>
        <v>19.327645291970985</v>
      </c>
      <c r="AG361" s="571">
        <f ca="1">Transport!AL83</f>
        <v>20.879979974309975</v>
      </c>
      <c r="AH361" s="571">
        <f ca="1">Transport!AM83</f>
        <v>22.435460650770825</v>
      </c>
      <c r="AI361" s="571">
        <f ca="1">Transport!AN83</f>
        <v>23.99408732135354</v>
      </c>
      <c r="AJ361" s="571">
        <f ca="1">Transport!AO83</f>
        <v>24.76457728782427</v>
      </c>
      <c r="AK361" s="571">
        <f ca="1">Transport!AP83</f>
        <v>25.535233404508176</v>
      </c>
      <c r="AL361" s="571">
        <f ca="1">Transport!AQ83</f>
        <v>26.306055671405254</v>
      </c>
      <c r="AM361" s="571">
        <f ca="1">Transport!AR83</f>
        <v>27.077044088515507</v>
      </c>
      <c r="AN361" s="571">
        <f ca="1">Transport!AS83</f>
        <v>27.848198655838925</v>
      </c>
      <c r="AO361" s="571">
        <f ca="1">Transport!AT83</f>
        <v>27.659132817221977</v>
      </c>
      <c r="AP361" s="571">
        <f ca="1">Transport!AU83</f>
        <v>27.470025441051746</v>
      </c>
      <c r="AQ361" s="571">
        <f ca="1">Transport!AV83</f>
        <v>27.280876527328211</v>
      </c>
      <c r="AR361" s="571">
        <f ca="1">Transport!AW83</f>
        <v>27.091686076051385</v>
      </c>
      <c r="AS361" s="571">
        <f ca="1">Transport!AX83</f>
        <v>26.902454087221273</v>
      </c>
    </row>
    <row r="362" spans="1:45" s="247" customFormat="1" outlineLevel="1">
      <c r="A362" s="229">
        <v>9</v>
      </c>
      <c r="B362" s="229" t="str">
        <f t="shared" si="70"/>
        <v>9TransportRoad Transport Vehicle Kilometres</v>
      </c>
      <c r="C362" s="234" t="str">
        <f t="shared" si="71"/>
        <v>TransportRoad Transport Vehicle Kilometres</v>
      </c>
      <c r="D362" s="229"/>
      <c r="E362" t="s">
        <v>260</v>
      </c>
      <c r="F362" s="313"/>
      <c r="G362" s="234" t="s">
        <v>252</v>
      </c>
      <c r="H362" s="229"/>
      <c r="I362" s="313"/>
      <c r="J362" s="571">
        <f ca="1">Transport!O84</f>
        <v>229.96252713769371</v>
      </c>
      <c r="K362" s="571">
        <f ca="1">Transport!P84</f>
        <v>231.44270635143985</v>
      </c>
      <c r="L362" s="571">
        <f ca="1">Transport!Q84</f>
        <v>230.73268382205984</v>
      </c>
      <c r="M362" s="571">
        <f ca="1">Transport!R84</f>
        <v>229.87568439279178</v>
      </c>
      <c r="N362" s="571">
        <f ca="1">Transport!S84</f>
        <v>228.9968773333479</v>
      </c>
      <c r="O362" s="571">
        <f ca="1">Transport!T84</f>
        <v>222.92581401861105</v>
      </c>
      <c r="P362" s="571">
        <f ca="1">Transport!U84</f>
        <v>219.89489176462078</v>
      </c>
      <c r="Q362" s="571">
        <f ca="1">Transport!V84</f>
        <v>207.95421338874547</v>
      </c>
      <c r="R362" s="571">
        <f ca="1">Transport!W84</f>
        <v>193.2536724666989</v>
      </c>
      <c r="S362" s="571">
        <f ca="1">Transport!X84</f>
        <v>178.52959899645094</v>
      </c>
      <c r="T362" s="571">
        <f ca="1">Transport!Y84</f>
        <v>163.78141055700067</v>
      </c>
      <c r="U362" s="571">
        <f ca="1">Transport!Z84</f>
        <v>145.77353713010535</v>
      </c>
      <c r="V362" s="571">
        <f ca="1">Transport!AA84</f>
        <v>128.07563692730005</v>
      </c>
      <c r="W362" s="571">
        <f ca="1">Transport!AB84</f>
        <v>110.07706217210028</v>
      </c>
      <c r="X362" s="571">
        <f ca="1">Transport!AC84</f>
        <v>92.083377009389807</v>
      </c>
      <c r="Y362" s="571">
        <f ca="1">Transport!AD84</f>
        <v>74.094716375420305</v>
      </c>
      <c r="Z362" s="571">
        <f ca="1">Transport!AE84</f>
        <v>68.465907675822066</v>
      </c>
      <c r="AA362" s="571">
        <f ca="1">Transport!AF84</f>
        <v>62.825301498266874</v>
      </c>
      <c r="AB362" s="571">
        <f ca="1">Transport!AG84</f>
        <v>57.172897842754708</v>
      </c>
      <c r="AC362" s="571">
        <f ca="1">Transport!AH84</f>
        <v>51.508696709285566</v>
      </c>
      <c r="AD362" s="571">
        <f ca="1">Transport!AI84</f>
        <v>45.832698097859492</v>
      </c>
      <c r="AE362" s="571">
        <f ca="1">Transport!AJ84</f>
        <v>40.718400608597527</v>
      </c>
      <c r="AF362" s="571">
        <f ca="1">Transport!AK84</f>
        <v>35.59348538917429</v>
      </c>
      <c r="AG362" s="571">
        <f ca="1">Transport!AL84</f>
        <v>30.457952439589789</v>
      </c>
      <c r="AH362" s="571">
        <f ca="1">Transport!AM84</f>
        <v>25.311801759844013</v>
      </c>
      <c r="AI362" s="571">
        <f ca="1">Transport!AN84</f>
        <v>20.155033349936975</v>
      </c>
      <c r="AJ362" s="571">
        <f ca="1">Transport!AO84</f>
        <v>17.277612061272745</v>
      </c>
      <c r="AK362" s="571">
        <f ca="1">Transport!AP84</f>
        <v>14.399567709309121</v>
      </c>
      <c r="AL362" s="571">
        <f ca="1">Transport!AQ84</f>
        <v>11.520900294046093</v>
      </c>
      <c r="AM362" s="571">
        <f ca="1">Transport!AR84</f>
        <v>8.6416098154836707</v>
      </c>
      <c r="AN362" s="571">
        <f ca="1">Transport!AS84</f>
        <v>5.7616962736218476</v>
      </c>
      <c r="AO362" s="571">
        <f ca="1">Transport!AT84</f>
        <v>4.8019327807677055</v>
      </c>
      <c r="AP362" s="571">
        <f ca="1">Transport!AU84</f>
        <v>3.8419616001470982</v>
      </c>
      <c r="AQ362" s="571">
        <f ca="1">Transport!AV84</f>
        <v>2.8817827317600235</v>
      </c>
      <c r="AR362" s="571">
        <f ca="1">Transport!AW84</f>
        <v>1.9213961756064823</v>
      </c>
      <c r="AS362" s="571">
        <f ca="1">Transport!AX84</f>
        <v>0.96080193168647399</v>
      </c>
    </row>
    <row r="363" spans="1:45" s="247" customFormat="1" outlineLevel="1">
      <c r="A363" s="229">
        <v>10</v>
      </c>
      <c r="B363" s="229" t="str">
        <f t="shared" si="70"/>
        <v>10TransportRoad Transport Vehicle Kilometres</v>
      </c>
      <c r="C363" s="234" t="str">
        <f t="shared" si="71"/>
        <v>TransportRoad Transport Vehicle Kilometres</v>
      </c>
      <c r="D363" s="229"/>
      <c r="E363" t="s">
        <v>261</v>
      </c>
      <c r="F363" s="313"/>
      <c r="G363" s="234" t="s">
        <v>252</v>
      </c>
      <c r="H363" s="229"/>
      <c r="I363" s="313"/>
      <c r="J363" s="571">
        <f ca="1">Transport!O85</f>
        <v>2.7561701530568303</v>
      </c>
      <c r="K363" s="571">
        <f ca="1">Transport!P85</f>
        <v>2.7739105467674081</v>
      </c>
      <c r="L363" s="571">
        <f ca="1">Transport!Q85</f>
        <v>2.7654007128921547</v>
      </c>
      <c r="M363" s="571">
        <f ca="1">Transport!R85</f>
        <v>2.75512931660192</v>
      </c>
      <c r="N363" s="571">
        <f ca="1">Transport!S85</f>
        <v>2.7445965492955113</v>
      </c>
      <c r="O363" s="571">
        <f ca="1">Transport!T85</f>
        <v>5.1698608682238065</v>
      </c>
      <c r="P363" s="571">
        <f ca="1">Transport!U85</f>
        <v>8.1766798913578818</v>
      </c>
      <c r="Q363" s="571">
        <f ca="1">Transport!V85</f>
        <v>23.139917225397582</v>
      </c>
      <c r="R363" s="571">
        <f ca="1">Transport!W85</f>
        <v>38.129517111155813</v>
      </c>
      <c r="S363" s="571">
        <f ca="1">Transport!X85</f>
        <v>53.146129600705585</v>
      </c>
      <c r="T363" s="571">
        <f ca="1">Transport!Y85</f>
        <v>68.190427176707274</v>
      </c>
      <c r="U363" s="571">
        <f ca="1">Transport!Z85</f>
        <v>84.682993348888658</v>
      </c>
      <c r="V363" s="571">
        <f ca="1">Transport!AA85</f>
        <v>101.16905979596137</v>
      </c>
      <c r="W363" s="571">
        <f ca="1">Transport!AB85</f>
        <v>117.64850131469377</v>
      </c>
      <c r="X363" s="571">
        <f ca="1">Transport!AC85</f>
        <v>134.12119051926413</v>
      </c>
      <c r="Y363" s="571">
        <f ca="1">Transport!AD85</f>
        <v>150.58699779349263</v>
      </c>
      <c r="Z363" s="571">
        <f ca="1">Transport!AE85</f>
        <v>154.40442305554166</v>
      </c>
      <c r="AA363" s="571">
        <f ca="1">Transport!AF85</f>
        <v>158.22971330289525</v>
      </c>
      <c r="AB363" s="571">
        <f ca="1">Transport!AG85</f>
        <v>162.06286853555358</v>
      </c>
      <c r="AC363" s="571">
        <f ca="1">Transport!AH85</f>
        <v>165.90388875351653</v>
      </c>
      <c r="AD363" s="571">
        <f ca="1">Transport!AI85</f>
        <v>169.75277395678407</v>
      </c>
      <c r="AE363" s="571">
        <f ca="1">Transport!AJ85</f>
        <v>173.60952414535626</v>
      </c>
      <c r="AF363" s="571">
        <f ca="1">Transport!AK85</f>
        <v>177.4741393192331</v>
      </c>
      <c r="AG363" s="571">
        <f ca="1">Transport!AL85</f>
        <v>181.34661947841465</v>
      </c>
      <c r="AH363" s="571">
        <f ca="1">Transport!AM85</f>
        <v>185.22696462290077</v>
      </c>
      <c r="AI363" s="571">
        <f ca="1">Transport!AN85</f>
        <v>189.11517475269159</v>
      </c>
      <c r="AJ363" s="571">
        <f ca="1">Transport!AO85</f>
        <v>191.23249046320842</v>
      </c>
      <c r="AK363" s="571">
        <f ca="1">Transport!AP85</f>
        <v>193.35026308681145</v>
      </c>
      <c r="AL363" s="571">
        <f ca="1">Transport!AQ85</f>
        <v>195.46849262350074</v>
      </c>
      <c r="AM363" s="571">
        <f ca="1">Transport!AR85</f>
        <v>197.58717907327622</v>
      </c>
      <c r="AN363" s="571">
        <f ca="1">Transport!AS85</f>
        <v>199.70632243613795</v>
      </c>
      <c r="AO363" s="571">
        <f ca="1">Transport!AT85</f>
        <v>200.86553615593235</v>
      </c>
      <c r="AP363" s="571">
        <f ca="1">Transport!AU85</f>
        <v>202.02499910104655</v>
      </c>
      <c r="AQ363" s="571">
        <f ca="1">Transport!AV85</f>
        <v>203.18471127148047</v>
      </c>
      <c r="AR363" s="571">
        <f ca="1">Transport!AW85</f>
        <v>204.34467266723414</v>
      </c>
      <c r="AS363" s="571">
        <f ca="1">Transport!AX85</f>
        <v>205.50488328830758</v>
      </c>
    </row>
    <row r="364" spans="1:45" s="229" customFormat="1" outlineLevel="1">
      <c r="A364" s="229">
        <v>11</v>
      </c>
      <c r="B364" s="229" t="str">
        <f t="shared" si="70"/>
        <v>11</v>
      </c>
      <c r="C364" s="234"/>
      <c r="E364" s="313"/>
      <c r="F364" s="313"/>
      <c r="G364" s="234"/>
      <c r="I364" s="313"/>
      <c r="J364" s="247"/>
      <c r="K364" s="247"/>
      <c r="L364" s="247"/>
      <c r="M364" s="247"/>
      <c r="N364" s="247"/>
      <c r="O364" s="247"/>
      <c r="P364" s="247"/>
      <c r="Q364" s="247"/>
      <c r="R364" s="247"/>
      <c r="S364" s="247"/>
      <c r="T364" s="247"/>
      <c r="U364" s="247"/>
      <c r="V364" s="247"/>
      <c r="W364" s="247"/>
      <c r="X364" s="247"/>
      <c r="Y364" s="247"/>
      <c r="Z364" s="247"/>
      <c r="AA364" s="247"/>
      <c r="AB364" s="247"/>
      <c r="AC364" s="247"/>
      <c r="AD364" s="247"/>
      <c r="AE364" s="247"/>
      <c r="AF364" s="247"/>
      <c r="AG364" s="247"/>
      <c r="AH364" s="247"/>
      <c r="AI364" s="247"/>
      <c r="AJ364" s="247"/>
      <c r="AK364" s="247"/>
      <c r="AL364" s="247"/>
      <c r="AM364" s="247"/>
      <c r="AN364" s="247"/>
      <c r="AO364" s="247"/>
      <c r="AP364" s="247"/>
      <c r="AQ364" s="247"/>
      <c r="AR364" s="247"/>
      <c r="AS364" s="247"/>
    </row>
    <row r="365" spans="1:45" s="238" customFormat="1" outlineLevel="1">
      <c r="A365" s="229" t="s">
        <v>208</v>
      </c>
      <c r="B365" s="229" t="str">
        <f>A365&amp;C365</f>
        <v>NTransportRoad Transport Vehicle Kilometres</v>
      </c>
      <c r="C365" s="234" t="str">
        <f t="shared" si="71"/>
        <v>TransportRoad Transport Vehicle Kilometres</v>
      </c>
      <c r="E365" s="543" t="str">
        <f>IF(Dashboard!$D$6="Baseline","This is based on the Baseline in the Mayor's Transport Strategy, represeting limited change in behaviour or fuel supply","This is based on the Mayor's Transport Strategy, reflecting significant modal shift and uptake of electric vehicles, with some hydrogen fuel cell vehicles if available")</f>
        <v>This is based on the Mayor's Transport Strategy, reflecting significant modal shift and uptake of electric vehicles, with some hydrogen fuel cell vehicles if available</v>
      </c>
    </row>
    <row r="366" spans="1:45" outlineLevel="1"/>
    <row r="367" spans="1:45" s="49" customFormat="1">
      <c r="A367" s="49" t="s">
        <v>160</v>
      </c>
    </row>
    <row r="368" spans="1:45" s="298" customFormat="1" outlineLevel="1">
      <c r="A368" s="298" t="s">
        <v>162</v>
      </c>
    </row>
    <row r="369" spans="1:45" outlineLevel="1">
      <c r="A369" s="229" t="s">
        <v>175</v>
      </c>
      <c r="B369" s="229" t="s">
        <v>176</v>
      </c>
      <c r="C369" s="229" t="s">
        <v>177</v>
      </c>
      <c r="D369" s="230"/>
      <c r="E369" s="230" t="s">
        <v>178</v>
      </c>
      <c r="F369" s="230"/>
      <c r="G369" s="230" t="s">
        <v>179</v>
      </c>
      <c r="H369" s="230" t="s">
        <v>180</v>
      </c>
      <c r="I369" s="230"/>
      <c r="J369" s="230">
        <v>2015</v>
      </c>
      <c r="K369" s="230">
        <v>2016</v>
      </c>
      <c r="L369" s="230">
        <v>2017</v>
      </c>
      <c r="M369" s="230">
        <v>2018</v>
      </c>
      <c r="N369" s="230">
        <v>2019</v>
      </c>
      <c r="O369" s="230">
        <v>2020</v>
      </c>
      <c r="P369" s="230">
        <v>2021</v>
      </c>
      <c r="Q369" s="230">
        <v>2022</v>
      </c>
      <c r="R369" s="230">
        <v>2023</v>
      </c>
      <c r="S369" s="230">
        <v>2024</v>
      </c>
      <c r="T369" s="230">
        <v>2025</v>
      </c>
      <c r="U369" s="230">
        <v>2026</v>
      </c>
      <c r="V369" s="230">
        <v>2027</v>
      </c>
      <c r="W369" s="230">
        <v>2028</v>
      </c>
      <c r="X369" s="230">
        <v>2029</v>
      </c>
      <c r="Y369" s="230">
        <v>2030</v>
      </c>
      <c r="Z369" s="230">
        <v>2031</v>
      </c>
      <c r="AA369" s="230">
        <v>2032</v>
      </c>
      <c r="AB369" s="230">
        <v>2033</v>
      </c>
      <c r="AC369" s="230">
        <v>2034</v>
      </c>
      <c r="AD369" s="230">
        <v>2035</v>
      </c>
      <c r="AE369" s="230">
        <v>2036</v>
      </c>
      <c r="AF369" s="230">
        <v>2037</v>
      </c>
      <c r="AG369" s="230">
        <v>2038</v>
      </c>
      <c r="AH369" s="230">
        <v>2039</v>
      </c>
      <c r="AI369" s="230">
        <v>2040</v>
      </c>
      <c r="AJ369" s="230">
        <v>2041</v>
      </c>
      <c r="AK369" s="230">
        <v>2042</v>
      </c>
      <c r="AL369" s="230">
        <v>2043</v>
      </c>
      <c r="AM369" s="230">
        <v>2044</v>
      </c>
      <c r="AN369" s="230">
        <v>2045</v>
      </c>
      <c r="AO369" s="230">
        <v>2046</v>
      </c>
      <c r="AP369" s="230">
        <v>2047</v>
      </c>
      <c r="AQ369" s="230">
        <v>2048</v>
      </c>
      <c r="AR369" s="230">
        <v>2049</v>
      </c>
      <c r="AS369" s="230">
        <v>2050</v>
      </c>
    </row>
    <row r="370" spans="1:45" outlineLevel="1"/>
    <row r="371" spans="1:45" s="229" customFormat="1" outlineLevel="1">
      <c r="A371" s="229">
        <v>0</v>
      </c>
      <c r="B371" s="229" t="str">
        <f t="shared" ref="B371:B382" si="72">A371&amp;C371</f>
        <v>0District HeatingEnergy Supply by Fuel</v>
      </c>
      <c r="C371" s="234" t="str">
        <f>$A$367&amp;$A$368</f>
        <v>District HeatingEnergy Supply by Fuel</v>
      </c>
      <c r="E371" s="248" t="s">
        <v>262</v>
      </c>
      <c r="G371" s="234"/>
      <c r="J371" s="237"/>
      <c r="K371" s="237"/>
      <c r="L371" s="237"/>
      <c r="M371" s="237"/>
      <c r="N371" s="237"/>
      <c r="O371" s="237"/>
      <c r="P371" s="237"/>
      <c r="Q371" s="237"/>
      <c r="R371" s="237"/>
      <c r="S371" s="237"/>
      <c r="T371" s="237"/>
      <c r="U371" s="237"/>
      <c r="V371" s="237"/>
      <c r="W371" s="237"/>
      <c r="X371" s="237"/>
      <c r="Y371" s="237"/>
      <c r="Z371" s="237"/>
      <c r="AA371" s="237"/>
      <c r="AB371" s="237"/>
      <c r="AC371" s="237"/>
      <c r="AD371" s="237"/>
      <c r="AE371" s="237"/>
      <c r="AF371" s="237"/>
      <c r="AG371" s="237"/>
      <c r="AH371" s="237"/>
      <c r="AI371" s="237"/>
      <c r="AJ371" s="237"/>
      <c r="AK371" s="237"/>
      <c r="AL371" s="237"/>
      <c r="AM371" s="237"/>
      <c r="AN371" s="237"/>
      <c r="AO371" s="237"/>
      <c r="AP371" s="237"/>
      <c r="AQ371" s="237"/>
      <c r="AR371" s="237"/>
      <c r="AS371" s="237"/>
    </row>
    <row r="372" spans="1:45" s="247" customFormat="1" outlineLevel="1">
      <c r="A372" s="229">
        <v>1</v>
      </c>
      <c r="B372" s="229" t="str">
        <f t="shared" si="72"/>
        <v>1District HeatingEnergy Supply by Fuel</v>
      </c>
      <c r="C372" s="234" t="str">
        <f t="shared" ref="C372:C383" si="73">$A$367&amp;$A$368</f>
        <v>District HeatingEnergy Supply by Fuel</v>
      </c>
      <c r="D372" s="55"/>
      <c r="E372" s="313" t="s">
        <v>263</v>
      </c>
      <c r="F372" s="313"/>
      <c r="G372" s="234" t="s">
        <v>198</v>
      </c>
      <c r="H372" s="229"/>
      <c r="I372" s="313"/>
      <c r="J372" s="571">
        <f>'Heat Networks'!K45/1000000</f>
        <v>0</v>
      </c>
      <c r="K372" s="571">
        <f>'Heat Networks'!L45/1000000</f>
        <v>0</v>
      </c>
      <c r="L372" s="571">
        <f>'Heat Networks'!M45/1000000</f>
        <v>0</v>
      </c>
      <c r="M372" s="571">
        <f>'Heat Networks'!N45/1000000</f>
        <v>0</v>
      </c>
      <c r="N372" s="571">
        <f>'Heat Networks'!O45/1000000</f>
        <v>0</v>
      </c>
      <c r="O372" s="571">
        <f>'Heat Networks'!P45/1000000</f>
        <v>0</v>
      </c>
      <c r="P372" s="571">
        <f>'Heat Networks'!Q45/1000000</f>
        <v>23.349049505859796</v>
      </c>
      <c r="Q372" s="571">
        <f>'Heat Networks'!R45/1000000</f>
        <v>46.023033137147124</v>
      </c>
      <c r="R372" s="571">
        <f>'Heat Networks'!S45/1000000</f>
        <v>68.02195089386197</v>
      </c>
      <c r="S372" s="571">
        <f>'Heat Networks'!T45/1000000</f>
        <v>89.345802776004334</v>
      </c>
      <c r="T372" s="571">
        <f>'Heat Networks'!U45/1000000</f>
        <v>109.99458878357409</v>
      </c>
      <c r="U372" s="571">
        <f>'Heat Networks'!V45/1000000</f>
        <v>129.72553427859623</v>
      </c>
      <c r="V372" s="571">
        <f>'Heat Networks'!W45/1000000</f>
        <v>148.48180345620847</v>
      </c>
      <c r="W372" s="571">
        <f>'Heat Networks'!X45/1000000</f>
        <v>166.26339631641096</v>
      </c>
      <c r="X372" s="571">
        <f>'Heat Networks'!Y45/1000000</f>
        <v>183.07031285920371</v>
      </c>
      <c r="Y372" s="571">
        <f>'Heat Networks'!Z45/1000000</f>
        <v>198.90255308458666</v>
      </c>
      <c r="Z372" s="571">
        <f>'Heat Networks'!AA45/1000000</f>
        <v>213.76011699255994</v>
      </c>
      <c r="AA372" s="571">
        <f>'Heat Networks'!AB45/1000000</f>
        <v>227.64300458312343</v>
      </c>
      <c r="AB372" s="571">
        <f>'Heat Networks'!AC45/1000000</f>
        <v>240.55121585627711</v>
      </c>
      <c r="AC372" s="571">
        <f>'Heat Networks'!AD45/1000000</f>
        <v>252.48475081202102</v>
      </c>
      <c r="AD372" s="571">
        <f>'Heat Networks'!AE45/1000000</f>
        <v>263.44360945035527</v>
      </c>
      <c r="AE372" s="571">
        <f>'Heat Networks'!AF45/1000000</f>
        <v>273.42779177127971</v>
      </c>
      <c r="AF372" s="571">
        <f>'Heat Networks'!AG45/1000000</f>
        <v>282.43729777479427</v>
      </c>
      <c r="AG372" s="571">
        <f>'Heat Networks'!AH45/1000000</f>
        <v>290.4721274608994</v>
      </c>
      <c r="AH372" s="571">
        <f>'Heat Networks'!AI45/1000000</f>
        <v>297.53228082959464</v>
      </c>
      <c r="AI372" s="571">
        <f>'Heat Networks'!AJ45/1000000</f>
        <v>303.61775788087999</v>
      </c>
      <c r="AJ372" s="571">
        <f>'Heat Networks'!AK45/1000000</f>
        <v>308.72855861475568</v>
      </c>
      <c r="AK372" s="571">
        <f>'Heat Networks'!AL45/1000000</f>
        <v>312.8646830312216</v>
      </c>
      <c r="AL372" s="571">
        <f>'Heat Networks'!AM45/1000000</f>
        <v>316.02613113027786</v>
      </c>
      <c r="AM372" s="571">
        <f>'Heat Networks'!AN45/1000000</f>
        <v>318.21290291192435</v>
      </c>
      <c r="AN372" s="571">
        <f>'Heat Networks'!AO45/1000000</f>
        <v>319.424998376161</v>
      </c>
      <c r="AO372" s="571">
        <f>'Heat Networks'!AP45/1000000</f>
        <v>319.66241752298788</v>
      </c>
      <c r="AP372" s="571">
        <f>'Heat Networks'!AQ45/1000000</f>
        <v>309.93136346168347</v>
      </c>
      <c r="AQ372" s="571">
        <f>'Heat Networks'!AR45/1000000</f>
        <v>299.96415799432901</v>
      </c>
      <c r="AR372" s="571">
        <f>'Heat Networks'!AS45/1000000</f>
        <v>289.7608011209245</v>
      </c>
      <c r="AS372" s="571">
        <f>'Heat Networks'!AT45/1000000</f>
        <v>279.3212928414701</v>
      </c>
    </row>
    <row r="373" spans="1:45" s="247" customFormat="1" outlineLevel="1">
      <c r="A373" s="229">
        <v>2</v>
      </c>
      <c r="B373" s="229" t="str">
        <f t="shared" si="72"/>
        <v>2District HeatingEnergy Supply by Fuel</v>
      </c>
      <c r="C373" s="234" t="str">
        <f t="shared" si="73"/>
        <v>District HeatingEnergy Supply by Fuel</v>
      </c>
      <c r="D373" s="55"/>
      <c r="E373" s="313" t="s">
        <v>264</v>
      </c>
      <c r="F373" s="229"/>
      <c r="G373" s="234" t="s">
        <v>198</v>
      </c>
      <c r="H373" s="229"/>
      <c r="I373" s="229"/>
      <c r="J373" s="571">
        <f>'Heat Networks'!K46/1000000</f>
        <v>115.28182013888905</v>
      </c>
      <c r="K373" s="571">
        <f>'Heat Networks'!L46/1000000</f>
        <v>118.91424747680293</v>
      </c>
      <c r="L373" s="571">
        <f>'Heat Networks'!M46/1000000</f>
        <v>122.88289830885708</v>
      </c>
      <c r="M373" s="571">
        <f>'Heat Networks'!N46/1000000</f>
        <v>127.16827792058079</v>
      </c>
      <c r="N373" s="571">
        <f>'Heat Networks'!O46/1000000</f>
        <v>131.7508915975034</v>
      </c>
      <c r="O373" s="571">
        <f>'Heat Networks'!P46/1000000</f>
        <v>161.185073233813</v>
      </c>
      <c r="P373" s="571">
        <f>'Heat Networks'!Q46/1000000</f>
        <v>183.64939553090352</v>
      </c>
      <c r="Q373" s="571">
        <f>'Heat Networks'!R46/1000000</f>
        <v>207.73251199398547</v>
      </c>
      <c r="R373" s="571">
        <f>'Heat Networks'!S46/1000000</f>
        <v>230.49947824460904</v>
      </c>
      <c r="S373" s="571">
        <f>'Heat Networks'!T46/1000000</f>
        <v>251.98439246247639</v>
      </c>
      <c r="T373" s="571">
        <f>'Heat Networks'!U46/1000000</f>
        <v>272.12482525299805</v>
      </c>
      <c r="U373" s="571">
        <f>'Heat Networks'!V46/1000000</f>
        <v>266.25451329580716</v>
      </c>
      <c r="V373" s="571">
        <f>'Heat Networks'!W46/1000000</f>
        <v>260.38420133861598</v>
      </c>
      <c r="W373" s="571">
        <f>'Heat Networks'!X46/1000000</f>
        <v>254.51388938142469</v>
      </c>
      <c r="X373" s="571">
        <f>'Heat Networks'!Y46/1000000</f>
        <v>248.64357742423348</v>
      </c>
      <c r="Y373" s="571">
        <f>'Heat Networks'!Z46/1000000</f>
        <v>242.77326546704214</v>
      </c>
      <c r="Z373" s="571">
        <f>'Heat Networks'!AA46/1000000</f>
        <v>236.90295350985096</v>
      </c>
      <c r="AA373" s="571">
        <f>'Heat Networks'!AB46/1000000</f>
        <v>231.0326415526597</v>
      </c>
      <c r="AB373" s="571">
        <f>'Heat Networks'!AC46/1000000</f>
        <v>225.16232959546841</v>
      </c>
      <c r="AC373" s="571">
        <f>'Heat Networks'!AD46/1000000</f>
        <v>219.29201763827714</v>
      </c>
      <c r="AD373" s="571">
        <f>'Heat Networks'!AE46/1000000</f>
        <v>213.42170568108585</v>
      </c>
      <c r="AE373" s="571">
        <f>'Heat Networks'!AF46/1000000</f>
        <v>207.55139372389462</v>
      </c>
      <c r="AF373" s="571">
        <f>'Heat Networks'!AG46/1000000</f>
        <v>201.68108176670333</v>
      </c>
      <c r="AG373" s="571">
        <f>'Heat Networks'!AH46/1000000</f>
        <v>195.81076980951218</v>
      </c>
      <c r="AH373" s="571">
        <f>'Heat Networks'!AI46/1000000</f>
        <v>180.12922807270593</v>
      </c>
      <c r="AI373" s="571">
        <f>'Heat Networks'!AJ46/1000000</f>
        <v>163.1257943657636</v>
      </c>
      <c r="AJ373" s="571">
        <f>'Heat Networks'!AK46/1000000</f>
        <v>148.20570987323626</v>
      </c>
      <c r="AK373" s="571">
        <f>'Heat Networks'!AL46/1000000</f>
        <v>132.62283958652745</v>
      </c>
      <c r="AL373" s="571">
        <f>'Heat Networks'!AM46/1000000</f>
        <v>116.50980127652355</v>
      </c>
      <c r="AM373" s="571">
        <f>'Heat Networks'!AN46/1000000</f>
        <v>99.999139048888978</v>
      </c>
      <c r="AN373" s="571">
        <f>'Heat Networks'!AO46/1000000</f>
        <v>83.223300237859732</v>
      </c>
      <c r="AO373" s="571">
        <f>'Heat Networks'!AP46/1000000</f>
        <v>64.667058396306814</v>
      </c>
      <c r="AP373" s="571">
        <f>'Heat Networks'!AQ46/1000000</f>
        <v>47.031605856805001</v>
      </c>
      <c r="AQ373" s="571">
        <f>'Heat Networks'!AR46/1000000</f>
        <v>30.351831197925101</v>
      </c>
      <c r="AR373" s="571">
        <f>'Heat Networks'!AS46/1000000</f>
        <v>14.662849473516964</v>
      </c>
      <c r="AS373" s="571">
        <f>'Heat Networks'!AT46/1000000</f>
        <v>0</v>
      </c>
    </row>
    <row r="374" spans="1:45" s="247" customFormat="1" outlineLevel="1">
      <c r="A374" s="229">
        <v>3</v>
      </c>
      <c r="B374" s="229" t="str">
        <f t="shared" si="72"/>
        <v>3District HeatingEnergy Supply by Fuel</v>
      </c>
      <c r="C374" s="234" t="str">
        <f t="shared" si="73"/>
        <v>District HeatingEnergy Supply by Fuel</v>
      </c>
      <c r="D374" s="55"/>
      <c r="E374" s="313" t="s">
        <v>265</v>
      </c>
      <c r="F374" s="313"/>
      <c r="G374" s="234" t="s">
        <v>198</v>
      </c>
      <c r="H374" s="229"/>
      <c r="I374" s="313"/>
      <c r="J374" s="571">
        <f>'Heat Networks'!K47/1000000</f>
        <v>268.99091365740776</v>
      </c>
      <c r="K374" s="571">
        <f>'Heat Networks'!L47/1000000</f>
        <v>277.4665774458735</v>
      </c>
      <c r="L374" s="571">
        <f>'Heat Networks'!M47/1000000</f>
        <v>286.7267627206665</v>
      </c>
      <c r="M374" s="571">
        <f>'Heat Networks'!N47/1000000</f>
        <v>296.72598181468845</v>
      </c>
      <c r="N374" s="571">
        <f>'Heat Networks'!O47/1000000</f>
        <v>307.41874706084127</v>
      </c>
      <c r="O374" s="571">
        <f>'Heat Networks'!P47/1000000</f>
        <v>376.09850421223024</v>
      </c>
      <c r="P374" s="571">
        <f>'Heat Networks'!Q47/1000000</f>
        <v>405.16620673291504</v>
      </c>
      <c r="Q374" s="571">
        <f>'Heat Networks'!R47/1000000</f>
        <v>438.68616151548559</v>
      </c>
      <c r="R374" s="571">
        <f>'Heat Networks'!S47/1000000</f>
        <v>469.81016501022583</v>
      </c>
      <c r="S374" s="571">
        <f>'Heat Networks'!T47/1000000</f>
        <v>498.61777963644067</v>
      </c>
      <c r="T374" s="571">
        <f>'Heat Networks'!U47/1000000</f>
        <v>524.9633368067532</v>
      </c>
      <c r="U374" s="571">
        <f>'Heat Networks'!V47/1000000</f>
        <v>513.63875974812413</v>
      </c>
      <c r="V374" s="571">
        <f>'Heat Networks'!W47/1000000</f>
        <v>502.3141826894946</v>
      </c>
      <c r="W374" s="571">
        <f>'Heat Networks'!X47/1000000</f>
        <v>490.98960563086484</v>
      </c>
      <c r="X374" s="571">
        <f>'Heat Networks'!Y47/1000000</f>
        <v>479.66502857223537</v>
      </c>
      <c r="Y374" s="571">
        <f>'Heat Networks'!Z47/1000000</f>
        <v>468.34045151360567</v>
      </c>
      <c r="Z374" s="571">
        <f>'Heat Networks'!AA47/1000000</f>
        <v>457.01587445497603</v>
      </c>
      <c r="AA374" s="571">
        <f>'Heat Networks'!AB47/1000000</f>
        <v>443.92281930089729</v>
      </c>
      <c r="AB374" s="571">
        <f>'Heat Networks'!AC47/1000000</f>
        <v>405.25587313857619</v>
      </c>
      <c r="AC374" s="571">
        <f>'Heat Networks'!AD47/1000000</f>
        <v>364.61430372005753</v>
      </c>
      <c r="AD374" s="571">
        <f>'Heat Networks'!AE47/1000000</f>
        <v>324.18123153658257</v>
      </c>
      <c r="AE374" s="571">
        <f>'Heat Networks'!AF47/1000000</f>
        <v>285.03562720955148</v>
      </c>
      <c r="AF374" s="571">
        <f>'Heat Networks'!AG47/1000000</f>
        <v>247.04913310898576</v>
      </c>
      <c r="AG374" s="571">
        <f>'Heat Networks'!AH47/1000000</f>
        <v>210.52640007210414</v>
      </c>
      <c r="AH374" s="571">
        <f>'Heat Networks'!AI47/1000000</f>
        <v>176.08510097817091</v>
      </c>
      <c r="AI374" s="571">
        <f>'Heat Networks'!AJ47/1000000</f>
        <v>143.60717368101879</v>
      </c>
      <c r="AJ374" s="571">
        <f>'Heat Networks'!AK47/1000000</f>
        <v>118.19226577247582</v>
      </c>
      <c r="AK374" s="571">
        <f>'Heat Networks'!AL47/1000000</f>
        <v>93.250771479220262</v>
      </c>
      <c r="AL374" s="571">
        <f>'Heat Networks'!AM47/1000000</f>
        <v>68.871922939869876</v>
      </c>
      <c r="AM374" s="571">
        <f>'Heat Networks'!AN47/1000000</f>
        <v>45.14470395904975</v>
      </c>
      <c r="AN374" s="571">
        <f>'Heat Networks'!AO47/1000000</f>
        <v>22.157853396244857</v>
      </c>
      <c r="AO374" s="571">
        <f>'Heat Networks'!AP47/1000000</f>
        <v>0</v>
      </c>
      <c r="AP374" s="571">
        <f>'Heat Networks'!AQ47/1000000</f>
        <v>0</v>
      </c>
      <c r="AQ374" s="571">
        <f>'Heat Networks'!AR47/1000000</f>
        <v>0</v>
      </c>
      <c r="AR374" s="571">
        <f>'Heat Networks'!AS47/1000000</f>
        <v>0</v>
      </c>
      <c r="AS374" s="571">
        <f>'Heat Networks'!AT47/1000000</f>
        <v>0</v>
      </c>
    </row>
    <row r="375" spans="1:45" s="229" customFormat="1" outlineLevel="1">
      <c r="A375" s="229">
        <v>4</v>
      </c>
      <c r="B375" s="229" t="str">
        <f t="shared" si="72"/>
        <v>4District HeatingEnergy Supply by Fuel</v>
      </c>
      <c r="C375" s="234" t="str">
        <f t="shared" si="73"/>
        <v>District HeatingEnergy Supply by Fuel</v>
      </c>
      <c r="D375" s="55"/>
      <c r="E375" s="313" t="s">
        <v>266</v>
      </c>
      <c r="G375" s="234" t="s">
        <v>198</v>
      </c>
      <c r="J375" s="571">
        <f>'Heat Networks'!K48/1000000</f>
        <v>0</v>
      </c>
      <c r="K375" s="571">
        <f>'Heat Networks'!L48/1000000</f>
        <v>0</v>
      </c>
      <c r="L375" s="571">
        <f>'Heat Networks'!M48/1000000</f>
        <v>0</v>
      </c>
      <c r="M375" s="571">
        <f>'Heat Networks'!N48/1000000</f>
        <v>0</v>
      </c>
      <c r="N375" s="571">
        <f>'Heat Networks'!O48/1000000</f>
        <v>0</v>
      </c>
      <c r="O375" s="571">
        <f>'Heat Networks'!P48/1000000</f>
        <v>0</v>
      </c>
      <c r="P375" s="571">
        <f>'Heat Networks'!Q48/1000000</f>
        <v>0</v>
      </c>
      <c r="Q375" s="571">
        <f>'Heat Networks'!R48/1000000</f>
        <v>0</v>
      </c>
      <c r="R375" s="571">
        <f>'Heat Networks'!S48/1000000</f>
        <v>0</v>
      </c>
      <c r="S375" s="571">
        <f>'Heat Networks'!T48/1000000</f>
        <v>0</v>
      </c>
      <c r="T375" s="571">
        <f>'Heat Networks'!U48/1000000</f>
        <v>0</v>
      </c>
      <c r="U375" s="571">
        <f>'Heat Networks'!V48/1000000</f>
        <v>0</v>
      </c>
      <c r="V375" s="571">
        <f>'Heat Networks'!W48/1000000</f>
        <v>0</v>
      </c>
      <c r="W375" s="571">
        <f>'Heat Networks'!X48/1000000</f>
        <v>0</v>
      </c>
      <c r="X375" s="571">
        <f>'Heat Networks'!Y48/1000000</f>
        <v>0</v>
      </c>
      <c r="Y375" s="571">
        <f>'Heat Networks'!Z48/1000000</f>
        <v>0</v>
      </c>
      <c r="Z375" s="571">
        <f>'Heat Networks'!AA48/1000000</f>
        <v>0</v>
      </c>
      <c r="AA375" s="571">
        <f>'Heat Networks'!AB48/1000000</f>
        <v>0</v>
      </c>
      <c r="AB375" s="571">
        <f>'Heat Networks'!AC48/1000000</f>
        <v>0</v>
      </c>
      <c r="AC375" s="571">
        <f>'Heat Networks'!AD48/1000000</f>
        <v>0</v>
      </c>
      <c r="AD375" s="571">
        <f>'Heat Networks'!AE48/1000000</f>
        <v>0</v>
      </c>
      <c r="AE375" s="571">
        <f>'Heat Networks'!AF48/1000000</f>
        <v>0</v>
      </c>
      <c r="AF375" s="571">
        <f>'Heat Networks'!AG48/1000000</f>
        <v>0</v>
      </c>
      <c r="AG375" s="571">
        <f>'Heat Networks'!AH48/1000000</f>
        <v>0</v>
      </c>
      <c r="AH375" s="571">
        <f>'Heat Networks'!AI48/1000000</f>
        <v>0</v>
      </c>
      <c r="AI375" s="571">
        <f>'Heat Networks'!AJ48/1000000</f>
        <v>0</v>
      </c>
      <c r="AJ375" s="571">
        <f>'Heat Networks'!AK48/1000000</f>
        <v>0</v>
      </c>
      <c r="AK375" s="571">
        <f>'Heat Networks'!AL48/1000000</f>
        <v>0</v>
      </c>
      <c r="AL375" s="571">
        <f>'Heat Networks'!AM48/1000000</f>
        <v>0</v>
      </c>
      <c r="AM375" s="571">
        <f>'Heat Networks'!AN48/1000000</f>
        <v>0</v>
      </c>
      <c r="AN375" s="571">
        <f>'Heat Networks'!AO48/1000000</f>
        <v>0</v>
      </c>
      <c r="AO375" s="571">
        <f>'Heat Networks'!AP48/1000000</f>
        <v>0</v>
      </c>
      <c r="AP375" s="571">
        <f>'Heat Networks'!AQ48/1000000</f>
        <v>0</v>
      </c>
      <c r="AQ375" s="571">
        <f>'Heat Networks'!AR48/1000000</f>
        <v>0</v>
      </c>
      <c r="AR375" s="571">
        <f>'Heat Networks'!AS48/1000000</f>
        <v>0</v>
      </c>
      <c r="AS375" s="571">
        <f>'Heat Networks'!AT48/1000000</f>
        <v>0</v>
      </c>
    </row>
    <row r="376" spans="1:45" s="229" customFormat="1" outlineLevel="1">
      <c r="A376" s="229">
        <v>5</v>
      </c>
      <c r="B376" s="229" t="str">
        <f t="shared" si="72"/>
        <v>5District HeatingEnergy Supply by Fuel</v>
      </c>
      <c r="C376" s="234" t="str">
        <f t="shared" si="73"/>
        <v>District HeatingEnergy Supply by Fuel</v>
      </c>
      <c r="D376" s="55"/>
      <c r="E376" s="313" t="s">
        <v>267</v>
      </c>
      <c r="G376" s="234" t="s">
        <v>198</v>
      </c>
      <c r="J376" s="571">
        <f>'Heat Networks'!K49/1000000</f>
        <v>0</v>
      </c>
      <c r="K376" s="571">
        <f>'Heat Networks'!L49/1000000</f>
        <v>0</v>
      </c>
      <c r="L376" s="571">
        <f>'Heat Networks'!M49/1000000</f>
        <v>0</v>
      </c>
      <c r="M376" s="571">
        <f>'Heat Networks'!N49/1000000</f>
        <v>0</v>
      </c>
      <c r="N376" s="571">
        <f>'Heat Networks'!O49/1000000</f>
        <v>0</v>
      </c>
      <c r="O376" s="571">
        <f>'Heat Networks'!P49/1000000</f>
        <v>0</v>
      </c>
      <c r="P376" s="571">
        <f>'Heat Networks'!Q49/1000000</f>
        <v>0</v>
      </c>
      <c r="Q376" s="571">
        <f>'Heat Networks'!R49/1000000</f>
        <v>0</v>
      </c>
      <c r="R376" s="571">
        <f>'Heat Networks'!S49/1000000</f>
        <v>0</v>
      </c>
      <c r="S376" s="571">
        <f>'Heat Networks'!T49/1000000</f>
        <v>0</v>
      </c>
      <c r="T376" s="571">
        <f>'Heat Networks'!U49/1000000</f>
        <v>0</v>
      </c>
      <c r="U376" s="571">
        <f>'Heat Networks'!V49/1000000</f>
        <v>0</v>
      </c>
      <c r="V376" s="571">
        <f>'Heat Networks'!W49/1000000</f>
        <v>0</v>
      </c>
      <c r="W376" s="571">
        <f>'Heat Networks'!X49/1000000</f>
        <v>0</v>
      </c>
      <c r="X376" s="571">
        <f>'Heat Networks'!Y49/1000000</f>
        <v>0</v>
      </c>
      <c r="Y376" s="571">
        <f>'Heat Networks'!Z49/1000000</f>
        <v>0</v>
      </c>
      <c r="Z376" s="571">
        <f>'Heat Networks'!AA49/1000000</f>
        <v>0</v>
      </c>
      <c r="AA376" s="571">
        <f>'Heat Networks'!AB49/1000000</f>
        <v>0</v>
      </c>
      <c r="AB376" s="571">
        <f>'Heat Networks'!AC49/1000000</f>
        <v>0</v>
      </c>
      <c r="AC376" s="571">
        <f>'Heat Networks'!AD49/1000000</f>
        <v>0</v>
      </c>
      <c r="AD376" s="571">
        <f>'Heat Networks'!AE49/1000000</f>
        <v>0</v>
      </c>
      <c r="AE376" s="571">
        <f>'Heat Networks'!AF49/1000000</f>
        <v>0</v>
      </c>
      <c r="AF376" s="571">
        <f>'Heat Networks'!AG49/1000000</f>
        <v>0</v>
      </c>
      <c r="AG376" s="571">
        <f>'Heat Networks'!AH49/1000000</f>
        <v>0</v>
      </c>
      <c r="AH376" s="571">
        <f>'Heat Networks'!AI49/1000000</f>
        <v>0</v>
      </c>
      <c r="AI376" s="571">
        <f>'Heat Networks'!AJ49/1000000</f>
        <v>0</v>
      </c>
      <c r="AJ376" s="571">
        <f>'Heat Networks'!AK49/1000000</f>
        <v>0</v>
      </c>
      <c r="AK376" s="571">
        <f>'Heat Networks'!AL49/1000000</f>
        <v>0</v>
      </c>
      <c r="AL376" s="571">
        <f>'Heat Networks'!AM49/1000000</f>
        <v>0</v>
      </c>
      <c r="AM376" s="571">
        <f>'Heat Networks'!AN49/1000000</f>
        <v>0</v>
      </c>
      <c r="AN376" s="571">
        <f>'Heat Networks'!AO49/1000000</f>
        <v>0</v>
      </c>
      <c r="AO376" s="571">
        <f>'Heat Networks'!AP49/1000000</f>
        <v>0</v>
      </c>
      <c r="AP376" s="571">
        <f>'Heat Networks'!AQ49/1000000</f>
        <v>0</v>
      </c>
      <c r="AQ376" s="571">
        <f>'Heat Networks'!AR49/1000000</f>
        <v>0</v>
      </c>
      <c r="AR376" s="571">
        <f>'Heat Networks'!AS49/1000000</f>
        <v>0</v>
      </c>
      <c r="AS376" s="571">
        <f>'Heat Networks'!AT49/1000000</f>
        <v>0</v>
      </c>
    </row>
    <row r="377" spans="1:45" s="229" customFormat="1" outlineLevel="1">
      <c r="A377" s="229">
        <v>6</v>
      </c>
      <c r="B377" s="229" t="str">
        <f t="shared" si="72"/>
        <v>6District HeatingEnergy Supply by Fuel</v>
      </c>
      <c r="C377" s="234" t="str">
        <f t="shared" si="73"/>
        <v>District HeatingEnergy Supply by Fuel</v>
      </c>
      <c r="D377" s="55"/>
      <c r="E377" s="313" t="s">
        <v>268</v>
      </c>
      <c r="G377" s="234" t="s">
        <v>198</v>
      </c>
      <c r="I377" s="313"/>
      <c r="J377" s="571">
        <f>'Heat Networks'!K50/1000000</f>
        <v>0</v>
      </c>
      <c r="K377" s="571">
        <f>'Heat Networks'!L50/1000000</f>
        <v>0</v>
      </c>
      <c r="L377" s="571">
        <f>'Heat Networks'!M50/1000000</f>
        <v>0</v>
      </c>
      <c r="M377" s="571">
        <f>'Heat Networks'!N50/1000000</f>
        <v>0</v>
      </c>
      <c r="N377" s="571">
        <f>'Heat Networks'!O50/1000000</f>
        <v>0</v>
      </c>
      <c r="O377" s="571">
        <f>'Heat Networks'!P50/1000000</f>
        <v>0</v>
      </c>
      <c r="P377" s="571">
        <f>'Heat Networks'!Q50/1000000</f>
        <v>0</v>
      </c>
      <c r="Q377" s="571">
        <f>'Heat Networks'!R50/1000000</f>
        <v>0</v>
      </c>
      <c r="R377" s="571">
        <f>'Heat Networks'!S50/1000000</f>
        <v>0</v>
      </c>
      <c r="S377" s="571">
        <f>'Heat Networks'!T50/1000000</f>
        <v>0</v>
      </c>
      <c r="T377" s="571">
        <f>'Heat Networks'!U50/1000000</f>
        <v>0</v>
      </c>
      <c r="U377" s="571">
        <f>'Heat Networks'!V50/1000000</f>
        <v>0</v>
      </c>
      <c r="V377" s="571">
        <f>'Heat Networks'!W50/1000000</f>
        <v>0</v>
      </c>
      <c r="W377" s="571">
        <f>'Heat Networks'!X50/1000000</f>
        <v>0</v>
      </c>
      <c r="X377" s="571">
        <f>'Heat Networks'!Y50/1000000</f>
        <v>0</v>
      </c>
      <c r="Y377" s="571">
        <f>'Heat Networks'!Z50/1000000</f>
        <v>0</v>
      </c>
      <c r="Z377" s="571">
        <f>'Heat Networks'!AA50/1000000</f>
        <v>0</v>
      </c>
      <c r="AA377" s="571">
        <f>'Heat Networks'!AB50/1000000</f>
        <v>0</v>
      </c>
      <c r="AB377" s="571">
        <f>'Heat Networks'!AC50/1000000</f>
        <v>0</v>
      </c>
      <c r="AC377" s="571">
        <f>'Heat Networks'!AD50/1000000</f>
        <v>0</v>
      </c>
      <c r="AD377" s="571">
        <f>'Heat Networks'!AE50/1000000</f>
        <v>0</v>
      </c>
      <c r="AE377" s="571">
        <f>'Heat Networks'!AF50/1000000</f>
        <v>0</v>
      </c>
      <c r="AF377" s="571">
        <f>'Heat Networks'!AG50/1000000</f>
        <v>0</v>
      </c>
      <c r="AG377" s="571">
        <f>'Heat Networks'!AH50/1000000</f>
        <v>0</v>
      </c>
      <c r="AH377" s="571">
        <f>'Heat Networks'!AI50/1000000</f>
        <v>0</v>
      </c>
      <c r="AI377" s="571">
        <f>'Heat Networks'!AJ50/1000000</f>
        <v>0</v>
      </c>
      <c r="AJ377" s="571">
        <f>'Heat Networks'!AK50/1000000</f>
        <v>0</v>
      </c>
      <c r="AK377" s="571">
        <f>'Heat Networks'!AL50/1000000</f>
        <v>0</v>
      </c>
      <c r="AL377" s="571">
        <f>'Heat Networks'!AM50/1000000</f>
        <v>0</v>
      </c>
      <c r="AM377" s="571">
        <f>'Heat Networks'!AN50/1000000</f>
        <v>0</v>
      </c>
      <c r="AN377" s="571">
        <f>'Heat Networks'!AO50/1000000</f>
        <v>0</v>
      </c>
      <c r="AO377" s="571">
        <f>'Heat Networks'!AP50/1000000</f>
        <v>0</v>
      </c>
      <c r="AP377" s="571">
        <f>'Heat Networks'!AQ50/1000000</f>
        <v>0</v>
      </c>
      <c r="AQ377" s="571">
        <f>'Heat Networks'!AR50/1000000</f>
        <v>0</v>
      </c>
      <c r="AR377" s="571">
        <f>'Heat Networks'!AS50/1000000</f>
        <v>0</v>
      </c>
      <c r="AS377" s="571">
        <f>'Heat Networks'!AT50/1000000</f>
        <v>0</v>
      </c>
    </row>
    <row r="378" spans="1:45" s="229" customFormat="1" outlineLevel="1">
      <c r="A378" s="229">
        <v>7</v>
      </c>
      <c r="B378" s="229" t="str">
        <f t="shared" si="72"/>
        <v>7District HeatingEnergy Supply by Fuel</v>
      </c>
      <c r="C378" s="234" t="str">
        <f t="shared" si="73"/>
        <v>District HeatingEnergy Supply by Fuel</v>
      </c>
      <c r="D378" s="55"/>
      <c r="E378" s="313" t="s">
        <v>269</v>
      </c>
      <c r="F378" s="313"/>
      <c r="G378" s="234" t="s">
        <v>198</v>
      </c>
      <c r="I378" s="313"/>
      <c r="J378" s="571">
        <f>'Heat Networks'!K51/1000000</f>
        <v>0</v>
      </c>
      <c r="K378" s="571">
        <f>'Heat Networks'!L51/1000000</f>
        <v>0</v>
      </c>
      <c r="L378" s="571">
        <f>'Heat Networks'!M51/1000000</f>
        <v>0</v>
      </c>
      <c r="M378" s="571">
        <f>'Heat Networks'!N51/1000000</f>
        <v>0</v>
      </c>
      <c r="N378" s="571">
        <f>'Heat Networks'!O51/1000000</f>
        <v>0</v>
      </c>
      <c r="O378" s="571">
        <f>'Heat Networks'!P51/1000000</f>
        <v>0</v>
      </c>
      <c r="P378" s="571">
        <f>'Heat Networks'!Q51/1000000</f>
        <v>0</v>
      </c>
      <c r="Q378" s="571">
        <f>'Heat Networks'!R51/1000000</f>
        <v>0</v>
      </c>
      <c r="R378" s="571">
        <f>'Heat Networks'!S51/1000000</f>
        <v>0</v>
      </c>
      <c r="S378" s="571">
        <f>'Heat Networks'!T51/1000000</f>
        <v>0</v>
      </c>
      <c r="T378" s="571">
        <f>'Heat Networks'!U51/1000000</f>
        <v>0</v>
      </c>
      <c r="U378" s="571">
        <f>'Heat Networks'!V51/1000000</f>
        <v>32.534428119371753</v>
      </c>
      <c r="V378" s="571">
        <f>'Heat Networks'!W51/1000000</f>
        <v>60.766232116866789</v>
      </c>
      <c r="W378" s="571">
        <f>'Heat Networks'!X51/1000000</f>
        <v>85.044065954161951</v>
      </c>
      <c r="X378" s="571">
        <f>'Heat Networks'!Y51/1000000</f>
        <v>105.79684916676833</v>
      </c>
      <c r="Y378" s="571">
        <f>'Heat Networks'!Z51/1000000</f>
        <v>123.34338667752054</v>
      </c>
      <c r="Z378" s="571">
        <f>'Heat Networks'!AA51/1000000</f>
        <v>142.89958478887087</v>
      </c>
      <c r="AA378" s="571">
        <f>'Heat Networks'!AB51/1000000</f>
        <v>160.42431549765359</v>
      </c>
      <c r="AB378" s="571">
        <f>'Heat Networks'!AC51/1000000</f>
        <v>194.47921905462417</v>
      </c>
      <c r="AC378" s="571">
        <f>'Heat Networks'!AD51/1000000</f>
        <v>224.98944750024461</v>
      </c>
      <c r="AD378" s="571">
        <f>'Heat Networks'!AE51/1000000</f>
        <v>252.53351910256001</v>
      </c>
      <c r="AE378" s="571">
        <f>'Heat Networks'!AF51/1000000</f>
        <v>277.51157963828797</v>
      </c>
      <c r="AF378" s="571">
        <f>'Heat Networks'!AG51/1000000</f>
        <v>299.46709765414016</v>
      </c>
      <c r="AG378" s="571">
        <f>'Heat Networks'!AH51/1000000</f>
        <v>318.27026079539706</v>
      </c>
      <c r="AH378" s="571">
        <f>'Heat Networks'!AI51/1000000</f>
        <v>341.73788325939063</v>
      </c>
      <c r="AI378" s="571">
        <f>'Heat Networks'!AJ51/1000000</f>
        <v>363.02548576275763</v>
      </c>
      <c r="AJ378" s="571">
        <f>'Heat Networks'!AK51/1000000</f>
        <v>392.62485168889998</v>
      </c>
      <c r="AK378" s="571">
        <f>'Heat Networks'!AL51/1000000</f>
        <v>421.18188641927378</v>
      </c>
      <c r="AL378" s="571">
        <f>'Heat Networks'!AM51/1000000</f>
        <v>448.53122344501526</v>
      </c>
      <c r="AM378" s="571">
        <f>'Heat Networks'!AN51/1000000</f>
        <v>474.50765102612263</v>
      </c>
      <c r="AN378" s="571">
        <f>'Heat Networks'!AO51/1000000</f>
        <v>498.94575142133402</v>
      </c>
      <c r="AO378" s="571">
        <f>'Heat Networks'!AP51/1000000</f>
        <v>497.17151387881864</v>
      </c>
      <c r="AP378" s="571">
        <f>'Heat Networks'!AQ51/1000000</f>
        <v>495.97249370132067</v>
      </c>
      <c r="AQ378" s="571">
        <f>'Heat Networks'!AR51/1000000</f>
        <v>493.50109701180548</v>
      </c>
      <c r="AR378" s="571">
        <f>'Heat Networks'!AS51/1000000</f>
        <v>489.72748341723474</v>
      </c>
      <c r="AS378" s="571">
        <f>'Heat Networks'!AT51/1000000</f>
        <v>484.62166802803034</v>
      </c>
    </row>
    <row r="379" spans="1:45" s="229" customFormat="1" outlineLevel="1">
      <c r="A379" s="229">
        <v>8</v>
      </c>
      <c r="B379" s="229" t="str">
        <f t="shared" si="72"/>
        <v>8District HeatingEnergy Supply by Fuel</v>
      </c>
      <c r="C379" s="234" t="str">
        <f t="shared" si="73"/>
        <v>District HeatingEnergy Supply by Fuel</v>
      </c>
      <c r="D379" s="55"/>
      <c r="E379" s="313" t="s">
        <v>270</v>
      </c>
      <c r="F379" s="313"/>
      <c r="G379" s="234" t="s">
        <v>198</v>
      </c>
      <c r="I379" s="313"/>
      <c r="J379" s="571">
        <f>'Heat Networks'!K52/1000000</f>
        <v>0</v>
      </c>
      <c r="K379" s="571">
        <f>'Heat Networks'!L52/1000000</f>
        <v>0</v>
      </c>
      <c r="L379" s="571">
        <f>'Heat Networks'!M52/1000000</f>
        <v>0</v>
      </c>
      <c r="M379" s="571">
        <f>'Heat Networks'!N52/1000000</f>
        <v>0</v>
      </c>
      <c r="N379" s="571">
        <f>'Heat Networks'!O52/1000000</f>
        <v>0</v>
      </c>
      <c r="O379" s="571">
        <f>'Heat Networks'!P52/1000000</f>
        <v>0</v>
      </c>
      <c r="P379" s="571">
        <f>'Heat Networks'!Q52/1000000</f>
        <v>0</v>
      </c>
      <c r="Q379" s="571">
        <f>'Heat Networks'!R52/1000000</f>
        <v>0</v>
      </c>
      <c r="R379" s="571">
        <f>'Heat Networks'!S52/1000000</f>
        <v>0</v>
      </c>
      <c r="S379" s="571">
        <f>'Heat Networks'!T52/1000000</f>
        <v>0</v>
      </c>
      <c r="T379" s="571">
        <f>'Heat Networks'!U52/1000000</f>
        <v>0</v>
      </c>
      <c r="U379" s="571">
        <f>'Heat Networks'!V52/1000000</f>
        <v>10.844809373123915</v>
      </c>
      <c r="V379" s="571">
        <f>'Heat Networks'!W52/1000000</f>
        <v>20.255410705622268</v>
      </c>
      <c r="W379" s="571">
        <f>'Heat Networks'!X52/1000000</f>
        <v>28.348021984720656</v>
      </c>
      <c r="X379" s="571">
        <f>'Heat Networks'!Y52/1000000</f>
        <v>35.265616388922773</v>
      </c>
      <c r="Y379" s="571">
        <f>'Heat Networks'!Z52/1000000</f>
        <v>41.114462225840171</v>
      </c>
      <c r="Z379" s="571">
        <f>'Heat Networks'!AA52/1000000</f>
        <v>47.633194929623635</v>
      </c>
      <c r="AA379" s="571">
        <f>'Heat Networks'!AB52/1000000</f>
        <v>53.474771832551198</v>
      </c>
      <c r="AB379" s="571">
        <f>'Heat Networks'!AC52/1000000</f>
        <v>64.826406351541365</v>
      </c>
      <c r="AC379" s="571">
        <f>'Heat Networks'!AD52/1000000</f>
        <v>74.996482500081555</v>
      </c>
      <c r="AD379" s="571">
        <f>'Heat Networks'!AE52/1000000</f>
        <v>84.177839700853326</v>
      </c>
      <c r="AE379" s="571">
        <f>'Heat Networks'!AF52/1000000</f>
        <v>92.503859879429299</v>
      </c>
      <c r="AF379" s="571">
        <f>'Heat Networks'!AG52/1000000</f>
        <v>99.822365884713378</v>
      </c>
      <c r="AG379" s="571">
        <f>'Heat Networks'!AH52/1000000</f>
        <v>106.09008693179901</v>
      </c>
      <c r="AH379" s="571">
        <f>'Heat Networks'!AI52/1000000</f>
        <v>113.91262775313018</v>
      </c>
      <c r="AI379" s="571">
        <f>'Heat Networks'!AJ52/1000000</f>
        <v>121.00849525425251</v>
      </c>
      <c r="AJ379" s="571">
        <f>'Heat Networks'!AK52/1000000</f>
        <v>130.87495056296669</v>
      </c>
      <c r="AK379" s="571">
        <f>'Heat Networks'!AL52/1000000</f>
        <v>140.39396213975789</v>
      </c>
      <c r="AL379" s="571">
        <f>'Heat Networks'!AM52/1000000</f>
        <v>149.51040781500507</v>
      </c>
      <c r="AM379" s="571">
        <f>'Heat Networks'!AN52/1000000</f>
        <v>158.16921700870756</v>
      </c>
      <c r="AN379" s="571">
        <f>'Heat Networks'!AO52/1000000</f>
        <v>166.31525047377801</v>
      </c>
      <c r="AO379" s="571">
        <f>'Heat Networks'!AP52/1000000</f>
        <v>165.72383795960621</v>
      </c>
      <c r="AP379" s="571">
        <f>'Heat Networks'!AQ52/1000000</f>
        <v>165.32416456710683</v>
      </c>
      <c r="AQ379" s="571">
        <f>'Heat Networks'!AR52/1000000</f>
        <v>164.50036567060181</v>
      </c>
      <c r="AR379" s="571">
        <f>'Heat Networks'!AS52/1000000</f>
        <v>163.24249447241155</v>
      </c>
      <c r="AS379" s="571">
        <f>'Heat Networks'!AT52/1000000</f>
        <v>161.5405560093435</v>
      </c>
    </row>
    <row r="380" spans="1:45" s="229" customFormat="1" outlineLevel="1">
      <c r="A380" s="229">
        <v>9</v>
      </c>
      <c r="B380" s="229" t="str">
        <f t="shared" si="72"/>
        <v>9District HeatingEnergy Supply by Fuel</v>
      </c>
      <c r="C380" s="234" t="str">
        <f t="shared" si="73"/>
        <v>District HeatingEnergy Supply by Fuel</v>
      </c>
      <c r="E380" s="313" t="s">
        <v>271</v>
      </c>
      <c r="F380" s="313"/>
      <c r="G380" s="234" t="s">
        <v>198</v>
      </c>
      <c r="I380" s="313"/>
      <c r="J380" s="571">
        <f>'Heat Networks'!K53/1000000</f>
        <v>0</v>
      </c>
      <c r="K380" s="571">
        <f>'Heat Networks'!L53/1000000</f>
        <v>0</v>
      </c>
      <c r="L380" s="571">
        <f>'Heat Networks'!M53/1000000</f>
        <v>0</v>
      </c>
      <c r="M380" s="571">
        <f>'Heat Networks'!N53/1000000</f>
        <v>0</v>
      </c>
      <c r="N380" s="571">
        <f>'Heat Networks'!O53/1000000</f>
        <v>0</v>
      </c>
      <c r="O380" s="571">
        <f>'Heat Networks'!P53/1000000</f>
        <v>0</v>
      </c>
      <c r="P380" s="571">
        <f>'Heat Networks'!Q53/1000000</f>
        <v>0</v>
      </c>
      <c r="Q380" s="571">
        <f>'Heat Networks'!R53/1000000</f>
        <v>0</v>
      </c>
      <c r="R380" s="571">
        <f>'Heat Networks'!S53/1000000</f>
        <v>0</v>
      </c>
      <c r="S380" s="571">
        <f>'Heat Networks'!T53/1000000</f>
        <v>0</v>
      </c>
      <c r="T380" s="571">
        <f>'Heat Networks'!U53/1000000</f>
        <v>0</v>
      </c>
      <c r="U380" s="571">
        <f>'Heat Networks'!V53/1000000</f>
        <v>8.799246971848083</v>
      </c>
      <c r="V380" s="571">
        <f>'Heat Networks'!W53/1000000</f>
        <v>17.210486814173969</v>
      </c>
      <c r="W380" s="571">
        <f>'Heat Networks'!X53/1000000</f>
        <v>25.233719526977648</v>
      </c>
      <c r="X380" s="571">
        <f>'Heat Networks'!Y53/1000000</f>
        <v>32.868945110259126</v>
      </c>
      <c r="Y380" s="571">
        <f>'Heat Networks'!Z53/1000000</f>
        <v>40.1161635640184</v>
      </c>
      <c r="Z380" s="571">
        <f>'Heat Networks'!AA53/1000000</f>
        <v>46.975374888255459</v>
      </c>
      <c r="AA380" s="571">
        <f>'Heat Networks'!AB53/1000000</f>
        <v>53.446579082970338</v>
      </c>
      <c r="AB380" s="571">
        <f>'Heat Networks'!AC53/1000000</f>
        <v>59.529776148162995</v>
      </c>
      <c r="AC380" s="571">
        <f>'Heat Networks'!AD53/1000000</f>
        <v>65.224966083833436</v>
      </c>
      <c r="AD380" s="571">
        <f>'Heat Networks'!AE53/1000000</f>
        <v>70.532148889981698</v>
      </c>
      <c r="AE380" s="571">
        <f>'Heat Networks'!AF53/1000000</f>
        <v>75.451324566607752</v>
      </c>
      <c r="AF380" s="571">
        <f>'Heat Networks'!AG53/1000000</f>
        <v>79.98249311371157</v>
      </c>
      <c r="AG380" s="571">
        <f>'Heat Networks'!AH53/1000000</f>
        <v>84.12565453129325</v>
      </c>
      <c r="AH380" s="571">
        <f>'Heat Networks'!AI53/1000000</f>
        <v>87.88080881935268</v>
      </c>
      <c r="AI380" s="571">
        <f>'Heat Networks'!AJ53/1000000</f>
        <v>91.24795597788993</v>
      </c>
      <c r="AJ380" s="571">
        <f>'Heat Networks'!AK53/1000000</f>
        <v>94.227096006904929</v>
      </c>
      <c r="AK380" s="571">
        <f>'Heat Networks'!AL53/1000000</f>
        <v>96.818228906397792</v>
      </c>
      <c r="AL380" s="571">
        <f>'Heat Networks'!AM53/1000000</f>
        <v>99.021354676368404</v>
      </c>
      <c r="AM380" s="571">
        <f>'Heat Networks'!AN53/1000000</f>
        <v>100.83647331681684</v>
      </c>
      <c r="AN380" s="571">
        <f>'Heat Networks'!AO53/1000000</f>
        <v>102.26358482774306</v>
      </c>
      <c r="AO380" s="571">
        <f>'Heat Networks'!AP53/1000000</f>
        <v>103.30268920914705</v>
      </c>
      <c r="AP380" s="571">
        <f>'Heat Networks'!AQ53/1000000</f>
        <v>99.228614349163905</v>
      </c>
      <c r="AQ380" s="571">
        <f>'Heat Networks'!AR53/1000000</f>
        <v>95.154539489180792</v>
      </c>
      <c r="AR380" s="571">
        <f>'Heat Networks'!AS53/1000000</f>
        <v>91.080464629197607</v>
      </c>
      <c r="AS380" s="571">
        <f>'Heat Networks'!AT53/1000000</f>
        <v>87.006389769214508</v>
      </c>
    </row>
    <row r="381" spans="1:45" s="229" customFormat="1" outlineLevel="1">
      <c r="A381" s="229">
        <v>10</v>
      </c>
      <c r="B381" s="229" t="str">
        <f t="shared" si="72"/>
        <v>10District HeatingEnergy Supply by Fuel</v>
      </c>
      <c r="C381" s="234" t="str">
        <f t="shared" si="73"/>
        <v>District HeatingEnergy Supply by Fuel</v>
      </c>
      <c r="E381" s="313" t="s">
        <v>272</v>
      </c>
      <c r="F381" s="313"/>
      <c r="G381" s="234" t="s">
        <v>198</v>
      </c>
      <c r="I381" s="313"/>
      <c r="J381" s="571">
        <f>'Heat Networks'!K54/1000000</f>
        <v>0</v>
      </c>
      <c r="K381" s="571">
        <f>'Heat Networks'!L54/1000000</f>
        <v>0</v>
      </c>
      <c r="L381" s="571">
        <f>'Heat Networks'!M54/1000000</f>
        <v>0</v>
      </c>
      <c r="M381" s="571">
        <f>'Heat Networks'!N54/1000000</f>
        <v>0</v>
      </c>
      <c r="N381" s="571">
        <f>'Heat Networks'!O54/1000000</f>
        <v>0</v>
      </c>
      <c r="O381" s="571">
        <f>'Heat Networks'!P54/1000000</f>
        <v>0</v>
      </c>
      <c r="P381" s="571">
        <f>'Heat Networks'!Q54/1000000</f>
        <v>0</v>
      </c>
      <c r="Q381" s="571">
        <f>'Heat Networks'!R54/1000000</f>
        <v>0</v>
      </c>
      <c r="R381" s="571">
        <f>'Heat Networks'!S54/1000000</f>
        <v>0</v>
      </c>
      <c r="S381" s="571">
        <f>'Heat Networks'!T54/1000000</f>
        <v>0</v>
      </c>
      <c r="T381" s="571">
        <f>'Heat Networks'!U54/1000000</f>
        <v>0</v>
      </c>
      <c r="U381" s="571">
        <f>'Heat Networks'!V54/1000000</f>
        <v>16.755005254971483</v>
      </c>
      <c r="V381" s="571">
        <f>'Heat Networks'!W54/1000000</f>
        <v>32.771190300110227</v>
      </c>
      <c r="W381" s="571">
        <f>'Heat Networks'!X54/1000000</f>
        <v>48.048555135416215</v>
      </c>
      <c r="X381" s="571">
        <f>'Heat Networks'!Y54/1000000</f>
        <v>62.587099760889501</v>
      </c>
      <c r="Y381" s="571">
        <f>'Heat Networks'!Z54/1000000</f>
        <v>76.386824176529998</v>
      </c>
      <c r="Z381" s="571">
        <f>'Heat Networks'!AA54/1000000</f>
        <v>89.447728382337758</v>
      </c>
      <c r="AA381" s="571">
        <f>'Heat Networks'!AB54/1000000</f>
        <v>101.76981237831284</v>
      </c>
      <c r="AB381" s="571">
        <f>'Heat Networks'!AC54/1000000</f>
        <v>113.3530761644551</v>
      </c>
      <c r="AC381" s="571">
        <f>'Heat Networks'!AD54/1000000</f>
        <v>124.19751974076462</v>
      </c>
      <c r="AD381" s="571">
        <f>'Heat Networks'!AE54/1000000</f>
        <v>134.30314310724145</v>
      </c>
      <c r="AE381" s="571">
        <f>'Heat Networks'!AF54/1000000</f>
        <v>143.66994626388549</v>
      </c>
      <c r="AF381" s="571">
        <f>'Heat Networks'!AG54/1000000</f>
        <v>152.29792921069679</v>
      </c>
      <c r="AG381" s="571">
        <f>'Heat Networks'!AH54/1000000</f>
        <v>160.18709194767541</v>
      </c>
      <c r="AH381" s="571">
        <f>'Heat Networks'!AI54/1000000</f>
        <v>167.33743447482126</v>
      </c>
      <c r="AI381" s="571">
        <f>'Heat Networks'!AJ54/1000000</f>
        <v>173.74895679213435</v>
      </c>
      <c r="AJ381" s="571">
        <f>'Heat Networks'!AK54/1000000</f>
        <v>179.4216588996147</v>
      </c>
      <c r="AK381" s="571">
        <f>'Heat Networks'!AL54/1000000</f>
        <v>184.35554079726231</v>
      </c>
      <c r="AL381" s="571">
        <f>'Heat Networks'!AM54/1000000</f>
        <v>188.55060248507718</v>
      </c>
      <c r="AM381" s="571">
        <f>'Heat Networks'!AN54/1000000</f>
        <v>192.00684396305931</v>
      </c>
      <c r="AN381" s="571">
        <f>'Heat Networks'!AO54/1000000</f>
        <v>194.7242652312087</v>
      </c>
      <c r="AO381" s="571">
        <f>'Heat Networks'!AP54/1000000</f>
        <v>196.7028662895253</v>
      </c>
      <c r="AP381" s="571">
        <f>'Heat Networks'!AQ54/1000000</f>
        <v>188.94525408628147</v>
      </c>
      <c r="AQ381" s="571">
        <f>'Heat Networks'!AR54/1000000</f>
        <v>181.18764188303774</v>
      </c>
      <c r="AR381" s="571">
        <f>'Heat Networks'!AS54/1000000</f>
        <v>173.4300296797939</v>
      </c>
      <c r="AS381" s="571">
        <f>'Heat Networks'!AT54/1000000</f>
        <v>165.67241747655015</v>
      </c>
    </row>
    <row r="382" spans="1:45" s="229" customFormat="1" outlineLevel="1">
      <c r="A382" s="229">
        <v>11</v>
      </c>
      <c r="B382" s="229" t="str">
        <f t="shared" si="72"/>
        <v>11District HeatingEnergy Supply by Fuel</v>
      </c>
      <c r="C382" s="234" t="str">
        <f t="shared" si="73"/>
        <v>District HeatingEnergy Supply by Fuel</v>
      </c>
      <c r="E382" s="313" t="s">
        <v>211</v>
      </c>
      <c r="F382" s="313"/>
      <c r="G382" s="234" t="s">
        <v>198</v>
      </c>
      <c r="I382" s="313"/>
      <c r="J382" s="571">
        <f>'Heat Networks'!K55/1000000</f>
        <v>0</v>
      </c>
      <c r="K382" s="571">
        <f>'Heat Networks'!L55/1000000</f>
        <v>0</v>
      </c>
      <c r="L382" s="571">
        <f>'Heat Networks'!M55/1000000</f>
        <v>0</v>
      </c>
      <c r="M382" s="571">
        <f>'Heat Networks'!N55/1000000</f>
        <v>0</v>
      </c>
      <c r="N382" s="571">
        <f>'Heat Networks'!O55/1000000</f>
        <v>0</v>
      </c>
      <c r="O382" s="571">
        <f>'Heat Networks'!P55/1000000</f>
        <v>0</v>
      </c>
      <c r="P382" s="571">
        <f>'Heat Networks'!Q55/1000000</f>
        <v>0</v>
      </c>
      <c r="Q382" s="571">
        <f>'Heat Networks'!R55/1000000</f>
        <v>0</v>
      </c>
      <c r="R382" s="571">
        <f>'Heat Networks'!S55/1000000</f>
        <v>0</v>
      </c>
      <c r="S382" s="571">
        <f>'Heat Networks'!T55/1000000</f>
        <v>0</v>
      </c>
      <c r="T382" s="571">
        <f>'Heat Networks'!U55/1000000</f>
        <v>0</v>
      </c>
      <c r="U382" s="571">
        <f>'Heat Networks'!V55/1000000</f>
        <v>0</v>
      </c>
      <c r="V382" s="571">
        <f>'Heat Networks'!W55/1000000</f>
        <v>0</v>
      </c>
      <c r="W382" s="571">
        <f>'Heat Networks'!X55/1000000</f>
        <v>0</v>
      </c>
      <c r="X382" s="571">
        <f>'Heat Networks'!Y55/1000000</f>
        <v>0</v>
      </c>
      <c r="Y382" s="571">
        <f>'Heat Networks'!Z55/1000000</f>
        <v>0</v>
      </c>
      <c r="Z382" s="571">
        <f>'Heat Networks'!AA55/1000000</f>
        <v>0</v>
      </c>
      <c r="AA382" s="571">
        <f>'Heat Networks'!AB55/1000000</f>
        <v>0</v>
      </c>
      <c r="AB382" s="571">
        <f>'Heat Networks'!AC55/1000000</f>
        <v>0</v>
      </c>
      <c r="AC382" s="571">
        <f>'Heat Networks'!AD55/1000000</f>
        <v>0</v>
      </c>
      <c r="AD382" s="571">
        <f>'Heat Networks'!AE55/1000000</f>
        <v>0</v>
      </c>
      <c r="AE382" s="571">
        <f>'Heat Networks'!AF55/1000000</f>
        <v>0</v>
      </c>
      <c r="AF382" s="571">
        <f>'Heat Networks'!AG55/1000000</f>
        <v>0</v>
      </c>
      <c r="AG382" s="571">
        <f>'Heat Networks'!AH55/1000000</f>
        <v>0</v>
      </c>
      <c r="AH382" s="571">
        <f>'Heat Networks'!AI55/1000000</f>
        <v>0</v>
      </c>
      <c r="AI382" s="571">
        <f>'Heat Networks'!AJ55/1000000</f>
        <v>0</v>
      </c>
      <c r="AJ382" s="571">
        <f>'Heat Networks'!AK55/1000000</f>
        <v>0</v>
      </c>
      <c r="AK382" s="571">
        <f>'Heat Networks'!AL55/1000000</f>
        <v>0</v>
      </c>
      <c r="AL382" s="571">
        <f>'Heat Networks'!AM55/1000000</f>
        <v>0</v>
      </c>
      <c r="AM382" s="571">
        <f>'Heat Networks'!AN55/1000000</f>
        <v>0</v>
      </c>
      <c r="AN382" s="571">
        <f>'Heat Networks'!AO55/1000000</f>
        <v>0</v>
      </c>
      <c r="AO382" s="571">
        <f>'Heat Networks'!AP55/1000000</f>
        <v>0</v>
      </c>
      <c r="AP382" s="571">
        <f>'Heat Networks'!AQ55/1000000</f>
        <v>0</v>
      </c>
      <c r="AQ382" s="571">
        <f>'Heat Networks'!AR55/1000000</f>
        <v>0</v>
      </c>
      <c r="AR382" s="571">
        <f>'Heat Networks'!AS55/1000000</f>
        <v>0</v>
      </c>
      <c r="AS382" s="571">
        <f>'Heat Networks'!AT55/1000000</f>
        <v>0</v>
      </c>
    </row>
    <row r="383" spans="1:45" s="238" customFormat="1" outlineLevel="1">
      <c r="A383" s="229" t="s">
        <v>208</v>
      </c>
      <c r="B383" s="229" t="str">
        <f>A383&amp;C383</f>
        <v>NDistrict HeatingEnergy Supply by Fuel</v>
      </c>
      <c r="C383" s="234" t="str">
        <f t="shared" si="73"/>
        <v>District HeatingEnergy Supply by Fuel</v>
      </c>
      <c r="E383" s="236" t="s">
        <v>273</v>
      </c>
    </row>
    <row r="385" spans="1:45" s="49" customFormat="1" collapsed="1">
      <c r="A385" s="49" t="s">
        <v>161</v>
      </c>
    </row>
    <row r="386" spans="1:45" s="298" customFormat="1" outlineLevel="1">
      <c r="A386" s="298" t="s">
        <v>163</v>
      </c>
    </row>
    <row r="387" spans="1:45" outlineLevel="1">
      <c r="A387" s="229" t="s">
        <v>175</v>
      </c>
      <c r="B387" s="229" t="s">
        <v>176</v>
      </c>
      <c r="C387" s="229" t="s">
        <v>177</v>
      </c>
      <c r="D387" s="230"/>
      <c r="E387" s="230" t="s">
        <v>178</v>
      </c>
      <c r="F387" s="230"/>
      <c r="G387" s="230" t="s">
        <v>179</v>
      </c>
      <c r="H387" s="230" t="s">
        <v>180</v>
      </c>
      <c r="I387" s="230"/>
      <c r="J387" s="230">
        <v>2015</v>
      </c>
      <c r="K387" s="230">
        <v>2016</v>
      </c>
      <c r="L387" s="230">
        <v>2017</v>
      </c>
      <c r="M387" s="230">
        <v>2018</v>
      </c>
      <c r="N387" s="230">
        <v>2019</v>
      </c>
      <c r="O387" s="230">
        <v>2020</v>
      </c>
      <c r="P387" s="230">
        <v>2021</v>
      </c>
      <c r="Q387" s="230">
        <v>2022</v>
      </c>
      <c r="R387" s="230">
        <v>2023</v>
      </c>
      <c r="S387" s="230">
        <v>2024</v>
      </c>
      <c r="T387" s="230">
        <v>2025</v>
      </c>
      <c r="U387" s="230">
        <v>2026</v>
      </c>
      <c r="V387" s="230">
        <v>2027</v>
      </c>
      <c r="W387" s="230">
        <v>2028</v>
      </c>
      <c r="X387" s="230">
        <v>2029</v>
      </c>
      <c r="Y387" s="230">
        <v>2030</v>
      </c>
      <c r="Z387" s="230">
        <v>2031</v>
      </c>
      <c r="AA387" s="230">
        <v>2032</v>
      </c>
      <c r="AB387" s="230">
        <v>2033</v>
      </c>
      <c r="AC387" s="230">
        <v>2034</v>
      </c>
      <c r="AD387" s="230">
        <v>2035</v>
      </c>
      <c r="AE387" s="230">
        <v>2036</v>
      </c>
      <c r="AF387" s="230">
        <v>2037</v>
      </c>
      <c r="AG387" s="230">
        <v>2038</v>
      </c>
      <c r="AH387" s="230">
        <v>2039</v>
      </c>
      <c r="AI387" s="230">
        <v>2040</v>
      </c>
      <c r="AJ387" s="230">
        <v>2041</v>
      </c>
      <c r="AK387" s="230">
        <v>2042</v>
      </c>
      <c r="AL387" s="230">
        <v>2043</v>
      </c>
      <c r="AM387" s="230">
        <v>2044</v>
      </c>
      <c r="AN387" s="230">
        <v>2045</v>
      </c>
      <c r="AO387" s="230">
        <v>2046</v>
      </c>
      <c r="AP387" s="230">
        <v>2047</v>
      </c>
      <c r="AQ387" s="230">
        <v>2048</v>
      </c>
      <c r="AR387" s="230">
        <v>2049</v>
      </c>
      <c r="AS387" s="230">
        <v>2050</v>
      </c>
    </row>
    <row r="388" spans="1:45" outlineLevel="1"/>
    <row r="389" spans="1:45" s="229" customFormat="1" outlineLevel="1">
      <c r="A389" s="229">
        <v>0</v>
      </c>
      <c r="B389" s="229" t="str">
        <f t="shared" ref="B389:B400" si="74">A389&amp;C389</f>
        <v>0Population GrowthProjection</v>
      </c>
      <c r="C389" s="234" t="str">
        <f>$A$385&amp;$A$386</f>
        <v>Population GrowthProjection</v>
      </c>
      <c r="E389" s="248" t="s">
        <v>274</v>
      </c>
      <c r="G389" s="234"/>
      <c r="J389" s="237"/>
      <c r="K389" s="237"/>
      <c r="L389" s="237"/>
      <c r="M389" s="237"/>
      <c r="N389" s="237"/>
      <c r="O389" s="237"/>
      <c r="P389" s="237"/>
      <c r="Q389" s="237"/>
      <c r="R389" s="237"/>
      <c r="S389" s="237"/>
      <c r="T389" s="237"/>
      <c r="U389" s="237"/>
      <c r="V389" s="237"/>
      <c r="W389" s="237"/>
      <c r="X389" s="237"/>
      <c r="Y389" s="237"/>
      <c r="Z389" s="237"/>
      <c r="AA389" s="237"/>
      <c r="AB389" s="237"/>
      <c r="AC389" s="237"/>
      <c r="AD389" s="237"/>
      <c r="AE389" s="237"/>
      <c r="AF389" s="237"/>
      <c r="AG389" s="237"/>
      <c r="AH389" s="237"/>
      <c r="AI389" s="237"/>
      <c r="AJ389" s="237"/>
      <c r="AK389" s="237"/>
      <c r="AL389" s="237"/>
      <c r="AM389" s="237"/>
      <c r="AN389" s="237"/>
      <c r="AO389" s="237"/>
      <c r="AP389" s="237"/>
      <c r="AQ389" s="237"/>
      <c r="AR389" s="237"/>
      <c r="AS389" s="237"/>
    </row>
    <row r="390" spans="1:45" s="247" customFormat="1" outlineLevel="1">
      <c r="A390" s="229">
        <v>1</v>
      </c>
      <c r="B390" s="229" t="str">
        <f t="shared" si="74"/>
        <v>1Population GrowthProjection</v>
      </c>
      <c r="C390" s="234" t="str">
        <f>$A$385&amp;$A$386</f>
        <v>Population GrowthProjection</v>
      </c>
      <c r="D390" s="55"/>
      <c r="E390" s="313" t="str">
        <f>Dashboard!$D$5</f>
        <v>Inner London</v>
      </c>
      <c r="F390" s="313"/>
      <c r="G390" s="234" t="s">
        <v>275</v>
      </c>
      <c r="H390" s="229"/>
      <c r="I390" s="313"/>
      <c r="J390" s="571">
        <f>'3.4 Popn &amp; baseline emissions'!O6</f>
        <v>2828758.412</v>
      </c>
      <c r="K390" s="571">
        <f>'3.4 Popn &amp; baseline emissions'!P6</f>
        <v>2859931.5879999995</v>
      </c>
      <c r="L390" s="571">
        <f>'3.4 Popn &amp; baseline emissions'!Q6</f>
        <v>2902010.53</v>
      </c>
      <c r="M390" s="571">
        <f>'3.4 Popn &amp; baseline emissions'!R6</f>
        <v>2943655.7769999998</v>
      </c>
      <c r="N390" s="571">
        <f>'3.4 Popn &amp; baseline emissions'!S6</f>
        <v>2984127.301</v>
      </c>
      <c r="O390" s="571">
        <f>'3.4 Popn &amp; baseline emissions'!T6</f>
        <v>3023725.6529999999</v>
      </c>
      <c r="P390" s="571">
        <f>'3.4 Popn &amp; baseline emissions'!U6</f>
        <v>3058048.6980000003</v>
      </c>
      <c r="Q390" s="571">
        <f>'3.4 Popn &amp; baseline emissions'!V6</f>
        <v>3091107.2369999993</v>
      </c>
      <c r="R390" s="571">
        <f>'3.4 Popn &amp; baseline emissions'!W6</f>
        <v>3123050.1030000006</v>
      </c>
      <c r="S390" s="571">
        <f>'3.4 Popn &amp; baseline emissions'!X6</f>
        <v>3153942.6859999998</v>
      </c>
      <c r="T390" s="571">
        <f>'3.4 Popn &amp; baseline emissions'!Y6</f>
        <v>3183544.645</v>
      </c>
      <c r="U390" s="571">
        <f>'3.4 Popn &amp; baseline emissions'!Z6</f>
        <v>3210831.3130000001</v>
      </c>
      <c r="V390" s="571">
        <f>'3.4 Popn &amp; baseline emissions'!AA6</f>
        <v>3239130.517</v>
      </c>
      <c r="W390" s="571">
        <f>'3.4 Popn &amp; baseline emissions'!AB6</f>
        <v>3268145.9080000008</v>
      </c>
      <c r="X390" s="571">
        <f>'3.4 Popn &amp; baseline emissions'!AC6</f>
        <v>3297770.5449999999</v>
      </c>
      <c r="Y390" s="571">
        <f>'3.4 Popn &amp; baseline emissions'!AD6</f>
        <v>3327317.426</v>
      </c>
      <c r="Z390" s="571">
        <f>'3.4 Popn &amp; baseline emissions'!AE6</f>
        <v>3356342.0010000002</v>
      </c>
      <c r="AA390" s="571">
        <f>'3.4 Popn &amp; baseline emissions'!AF6</f>
        <v>3385786.8160000001</v>
      </c>
      <c r="AB390" s="571">
        <f>'3.4 Popn &amp; baseline emissions'!AG6</f>
        <v>3415363.3669999996</v>
      </c>
      <c r="AC390" s="571">
        <f>'3.4 Popn &amp; baseline emissions'!AH6</f>
        <v>3444439.0769999996</v>
      </c>
      <c r="AD390" s="571">
        <f>'3.4 Popn &amp; baseline emissions'!AI6</f>
        <v>3472892.8869999996</v>
      </c>
      <c r="AE390" s="571">
        <f>'3.4 Popn &amp; baseline emissions'!AJ6</f>
        <v>3500216.71</v>
      </c>
      <c r="AF390" s="571">
        <f>'3.4 Popn &amp; baseline emissions'!AK6</f>
        <v>3527028.4519999996</v>
      </c>
      <c r="AG390" s="571">
        <f>'3.4 Popn &amp; baseline emissions'!AL6</f>
        <v>3553417.807</v>
      </c>
      <c r="AH390" s="571">
        <f>'3.4 Popn &amp; baseline emissions'!AM6</f>
        <v>3579068.1550000007</v>
      </c>
      <c r="AI390" s="571">
        <f>'3.4 Popn &amp; baseline emissions'!AN6</f>
        <v>3601970.1269999994</v>
      </c>
      <c r="AJ390" s="571">
        <f>'3.4 Popn &amp; baseline emissions'!AO6</f>
        <v>3624058.0140000004</v>
      </c>
      <c r="AK390" s="571">
        <f>'3.4 Popn &amp; baseline emissions'!AP6</f>
        <v>3644141.372</v>
      </c>
      <c r="AL390" s="571">
        <f>'3.4 Popn &amp; baseline emissions'!AQ6</f>
        <v>3663661.9519999996</v>
      </c>
      <c r="AM390" s="571">
        <f>'3.4 Popn &amp; baseline emissions'!AR6</f>
        <v>3682493.963</v>
      </c>
      <c r="AN390" s="571">
        <f>'3.4 Popn &amp; baseline emissions'!AS6</f>
        <v>3699540.51</v>
      </c>
      <c r="AO390" s="571">
        <f>'3.4 Popn &amp; baseline emissions'!AT6</f>
        <v>3715867.3170000003</v>
      </c>
      <c r="AP390" s="571">
        <f>'3.4 Popn &amp; baseline emissions'!AU6</f>
        <v>3731513.1020000004</v>
      </c>
      <c r="AQ390" s="571">
        <f>'3.4 Popn &amp; baseline emissions'!AV6</f>
        <v>3746474.9269999997</v>
      </c>
      <c r="AR390" s="571">
        <f>'3.4 Popn &amp; baseline emissions'!AW6</f>
        <v>3760759.3719999995</v>
      </c>
      <c r="AS390" s="571">
        <f>'3.4 Popn &amp; baseline emissions'!AX6</f>
        <v>3774348.7809999995</v>
      </c>
    </row>
    <row r="391" spans="1:45" s="247" customFormat="1" outlineLevel="1">
      <c r="A391" s="229">
        <v>2</v>
      </c>
      <c r="B391" s="229" t="str">
        <f t="shared" si="74"/>
        <v>2</v>
      </c>
      <c r="C391" s="234"/>
      <c r="D391" s="55"/>
      <c r="E391" s="313"/>
      <c r="F391" s="229"/>
      <c r="G391" s="234"/>
      <c r="H391" s="229"/>
      <c r="I391" s="229"/>
    </row>
    <row r="392" spans="1:45" s="247" customFormat="1" outlineLevel="1">
      <c r="A392" s="229">
        <v>3</v>
      </c>
      <c r="B392" s="229" t="str">
        <f t="shared" si="74"/>
        <v>3</v>
      </c>
      <c r="C392" s="234"/>
      <c r="D392" s="55"/>
      <c r="E392" s="313"/>
      <c r="F392" s="313"/>
      <c r="G392" s="234"/>
      <c r="H392" s="229"/>
      <c r="I392" s="313"/>
    </row>
    <row r="393" spans="1:45" s="229" customFormat="1" outlineLevel="1">
      <c r="A393" s="229">
        <v>4</v>
      </c>
      <c r="B393" s="229" t="str">
        <f t="shared" si="74"/>
        <v>4</v>
      </c>
      <c r="C393" s="234"/>
      <c r="D393" s="55"/>
      <c r="E393" s="313"/>
      <c r="G393" s="234"/>
      <c r="J393" s="247"/>
      <c r="K393" s="247"/>
      <c r="L393" s="247"/>
      <c r="M393" s="247"/>
      <c r="N393" s="247"/>
      <c r="O393" s="247"/>
      <c r="P393" s="247"/>
      <c r="Q393" s="247"/>
      <c r="R393" s="247"/>
      <c r="S393" s="247"/>
      <c r="T393" s="247"/>
      <c r="U393" s="247"/>
      <c r="V393" s="247"/>
      <c r="W393" s="247"/>
      <c r="X393" s="247"/>
      <c r="Y393" s="247"/>
      <c r="Z393" s="247"/>
      <c r="AA393" s="247"/>
      <c r="AB393" s="247"/>
      <c r="AC393" s="247"/>
      <c r="AD393" s="247"/>
      <c r="AE393" s="247"/>
      <c r="AF393" s="247"/>
      <c r="AG393" s="247"/>
      <c r="AH393" s="247"/>
      <c r="AI393" s="247"/>
      <c r="AJ393" s="247"/>
      <c r="AK393" s="247"/>
      <c r="AL393" s="247"/>
      <c r="AM393" s="247"/>
      <c r="AN393" s="247"/>
      <c r="AO393" s="247"/>
      <c r="AP393" s="247"/>
      <c r="AQ393" s="247"/>
      <c r="AR393" s="247"/>
      <c r="AS393" s="247"/>
    </row>
    <row r="394" spans="1:45" s="229" customFormat="1" outlineLevel="1">
      <c r="A394" s="229">
        <v>5</v>
      </c>
      <c r="B394" s="229" t="str">
        <f t="shared" si="74"/>
        <v>5</v>
      </c>
      <c r="C394" s="234"/>
      <c r="D394" s="55"/>
      <c r="E394" s="313"/>
      <c r="G394" s="234"/>
      <c r="J394" s="247"/>
      <c r="K394" s="247"/>
      <c r="L394" s="247"/>
      <c r="M394" s="247"/>
      <c r="N394" s="247"/>
      <c r="O394" s="247"/>
      <c r="P394" s="247"/>
      <c r="Q394" s="247"/>
      <c r="R394" s="247"/>
      <c r="S394" s="247"/>
      <c r="T394" s="247"/>
      <c r="U394" s="247"/>
      <c r="V394" s="247"/>
      <c r="W394" s="247"/>
      <c r="X394" s="247"/>
      <c r="Y394" s="247"/>
      <c r="Z394" s="247"/>
      <c r="AA394" s="247"/>
      <c r="AB394" s="247"/>
      <c r="AC394" s="247"/>
      <c r="AD394" s="247"/>
      <c r="AE394" s="247"/>
      <c r="AF394" s="247"/>
      <c r="AG394" s="247"/>
      <c r="AH394" s="247"/>
      <c r="AI394" s="247"/>
      <c r="AJ394" s="247"/>
      <c r="AK394" s="247"/>
      <c r="AL394" s="247"/>
      <c r="AM394" s="247"/>
      <c r="AN394" s="247"/>
      <c r="AO394" s="247"/>
      <c r="AP394" s="247"/>
      <c r="AQ394" s="247"/>
      <c r="AR394" s="247"/>
      <c r="AS394" s="247"/>
    </row>
    <row r="395" spans="1:45" s="229" customFormat="1" outlineLevel="1">
      <c r="A395" s="229">
        <v>6</v>
      </c>
      <c r="B395" s="229" t="str">
        <f t="shared" si="74"/>
        <v>6</v>
      </c>
      <c r="C395" s="234"/>
      <c r="D395" s="55"/>
      <c r="E395" s="313"/>
      <c r="G395" s="234"/>
      <c r="I395" s="313"/>
      <c r="J395" s="247"/>
      <c r="K395" s="247"/>
      <c r="L395" s="247"/>
      <c r="M395" s="247"/>
      <c r="N395" s="247"/>
      <c r="O395" s="247"/>
      <c r="P395" s="247"/>
      <c r="Q395" s="247"/>
      <c r="R395" s="247"/>
      <c r="S395" s="247"/>
      <c r="T395" s="247"/>
      <c r="U395" s="247"/>
      <c r="V395" s="247"/>
      <c r="W395" s="247"/>
      <c r="X395" s="247"/>
      <c r="Y395" s="247"/>
      <c r="Z395" s="247"/>
      <c r="AA395" s="247"/>
      <c r="AB395" s="247"/>
      <c r="AC395" s="247"/>
      <c r="AD395" s="247"/>
      <c r="AE395" s="247"/>
      <c r="AF395" s="247"/>
      <c r="AG395" s="247"/>
      <c r="AH395" s="247"/>
      <c r="AI395" s="247"/>
      <c r="AJ395" s="247"/>
      <c r="AK395" s="247"/>
      <c r="AL395" s="247"/>
      <c r="AM395" s="247"/>
      <c r="AN395" s="247"/>
      <c r="AO395" s="247"/>
      <c r="AP395" s="247"/>
      <c r="AQ395" s="247"/>
      <c r="AR395" s="247"/>
      <c r="AS395" s="247"/>
    </row>
    <row r="396" spans="1:45" s="229" customFormat="1" outlineLevel="1">
      <c r="A396" s="229">
        <v>7</v>
      </c>
      <c r="B396" s="229" t="str">
        <f t="shared" si="74"/>
        <v>7</v>
      </c>
      <c r="C396" s="234"/>
      <c r="D396" s="55"/>
      <c r="E396" s="313"/>
      <c r="F396" s="313"/>
      <c r="G396" s="234"/>
      <c r="I396" s="313"/>
      <c r="J396" s="247"/>
      <c r="K396" s="247"/>
      <c r="L396" s="247"/>
      <c r="M396" s="247"/>
      <c r="N396" s="247"/>
      <c r="O396" s="247"/>
      <c r="P396" s="247"/>
      <c r="Q396" s="247"/>
      <c r="R396" s="247"/>
      <c r="S396" s="247"/>
      <c r="T396" s="247"/>
      <c r="U396" s="247"/>
      <c r="V396" s="247"/>
      <c r="W396" s="247"/>
      <c r="X396" s="247"/>
      <c r="Y396" s="247"/>
      <c r="Z396" s="247"/>
      <c r="AA396" s="247"/>
      <c r="AB396" s="247"/>
      <c r="AC396" s="247"/>
      <c r="AD396" s="247"/>
      <c r="AE396" s="247"/>
      <c r="AF396" s="247"/>
      <c r="AG396" s="247"/>
      <c r="AH396" s="247"/>
      <c r="AI396" s="247"/>
      <c r="AJ396" s="247"/>
      <c r="AK396" s="247"/>
      <c r="AL396" s="247"/>
      <c r="AM396" s="247"/>
      <c r="AN396" s="247"/>
      <c r="AO396" s="247"/>
      <c r="AP396" s="247"/>
      <c r="AQ396" s="247"/>
      <c r="AR396" s="247"/>
      <c r="AS396" s="247"/>
    </row>
    <row r="397" spans="1:45" s="229" customFormat="1" outlineLevel="1">
      <c r="A397" s="229">
        <v>8</v>
      </c>
      <c r="B397" s="229" t="str">
        <f t="shared" si="74"/>
        <v>8</v>
      </c>
      <c r="C397" s="234"/>
      <c r="D397" s="55"/>
      <c r="E397" s="313"/>
      <c r="F397" s="313"/>
      <c r="G397" s="234"/>
      <c r="I397" s="313"/>
      <c r="J397" s="247"/>
      <c r="K397" s="247"/>
      <c r="L397" s="247"/>
      <c r="M397" s="247"/>
      <c r="N397" s="247"/>
      <c r="O397" s="247"/>
      <c r="P397" s="247"/>
      <c r="Q397" s="247"/>
      <c r="R397" s="247"/>
      <c r="S397" s="247"/>
      <c r="T397" s="247"/>
      <c r="U397" s="247"/>
      <c r="V397" s="247"/>
      <c r="W397" s="247"/>
      <c r="X397" s="247"/>
      <c r="Y397" s="247"/>
      <c r="Z397" s="247"/>
      <c r="AA397" s="247"/>
      <c r="AB397" s="247"/>
      <c r="AC397" s="247"/>
      <c r="AD397" s="247"/>
      <c r="AE397" s="247"/>
      <c r="AF397" s="247"/>
      <c r="AG397" s="247"/>
      <c r="AH397" s="247"/>
      <c r="AI397" s="247"/>
      <c r="AJ397" s="247"/>
      <c r="AK397" s="247"/>
      <c r="AL397" s="247"/>
      <c r="AM397" s="247"/>
      <c r="AN397" s="247"/>
      <c r="AO397" s="247"/>
      <c r="AP397" s="247"/>
      <c r="AQ397" s="247"/>
      <c r="AR397" s="247"/>
      <c r="AS397" s="247"/>
    </row>
    <row r="398" spans="1:45" s="229" customFormat="1" outlineLevel="1">
      <c r="A398" s="229">
        <v>9</v>
      </c>
      <c r="B398" s="229" t="str">
        <f t="shared" si="74"/>
        <v>9</v>
      </c>
      <c r="C398" s="234"/>
      <c r="E398" s="313"/>
      <c r="F398" s="313"/>
      <c r="G398" s="234"/>
      <c r="I398" s="313"/>
      <c r="J398" s="247"/>
      <c r="K398" s="247"/>
      <c r="L398" s="247"/>
      <c r="M398" s="247"/>
      <c r="N398" s="247"/>
      <c r="O398" s="247"/>
      <c r="P398" s="247"/>
      <c r="Q398" s="247"/>
      <c r="R398" s="247"/>
      <c r="S398" s="247"/>
      <c r="T398" s="247"/>
      <c r="U398" s="247"/>
      <c r="V398" s="247"/>
      <c r="W398" s="247"/>
      <c r="X398" s="247"/>
      <c r="Y398" s="247"/>
      <c r="Z398" s="247"/>
      <c r="AA398" s="247"/>
      <c r="AB398" s="247"/>
      <c r="AC398" s="247"/>
      <c r="AD398" s="247"/>
      <c r="AE398" s="247"/>
      <c r="AF398" s="247"/>
      <c r="AG398" s="247"/>
      <c r="AH398" s="247"/>
      <c r="AI398" s="247"/>
      <c r="AJ398" s="247"/>
      <c r="AK398" s="247"/>
      <c r="AL398" s="247"/>
      <c r="AM398" s="247"/>
      <c r="AN398" s="247"/>
      <c r="AO398" s="247"/>
      <c r="AP398" s="247"/>
      <c r="AQ398" s="247"/>
      <c r="AR398" s="247"/>
      <c r="AS398" s="247"/>
    </row>
    <row r="399" spans="1:45" s="229" customFormat="1" outlineLevel="1">
      <c r="A399" s="229">
        <v>10</v>
      </c>
      <c r="B399" s="229" t="str">
        <f t="shared" si="74"/>
        <v>10</v>
      </c>
      <c r="C399" s="234"/>
      <c r="E399" s="313"/>
      <c r="F399" s="313"/>
      <c r="G399" s="234"/>
      <c r="I399" s="313"/>
      <c r="J399" s="247"/>
      <c r="K399" s="247"/>
      <c r="L399" s="247"/>
      <c r="M399" s="247"/>
      <c r="N399" s="247"/>
      <c r="O399" s="247"/>
      <c r="P399" s="247"/>
      <c r="Q399" s="247"/>
      <c r="R399" s="247"/>
      <c r="S399" s="247"/>
      <c r="T399" s="247"/>
      <c r="U399" s="247"/>
      <c r="V399" s="247"/>
      <c r="W399" s="247"/>
      <c r="X399" s="247"/>
      <c r="Y399" s="247"/>
      <c r="Z399" s="247"/>
      <c r="AA399" s="247"/>
      <c r="AB399" s="247"/>
      <c r="AC399" s="247"/>
      <c r="AD399" s="247"/>
      <c r="AE399" s="247"/>
      <c r="AF399" s="247"/>
      <c r="AG399" s="247"/>
      <c r="AH399" s="247"/>
      <c r="AI399" s="247"/>
      <c r="AJ399" s="247"/>
      <c r="AK399" s="247"/>
      <c r="AL399" s="247"/>
      <c r="AM399" s="247"/>
      <c r="AN399" s="247"/>
      <c r="AO399" s="247"/>
      <c r="AP399" s="247"/>
      <c r="AQ399" s="247"/>
      <c r="AR399" s="247"/>
      <c r="AS399" s="247"/>
    </row>
    <row r="400" spans="1:45" s="229" customFormat="1" outlineLevel="1">
      <c r="A400" s="229">
        <v>11</v>
      </c>
      <c r="B400" s="229" t="str">
        <f t="shared" si="74"/>
        <v>11</v>
      </c>
      <c r="C400" s="234"/>
      <c r="E400" s="313"/>
      <c r="F400" s="313"/>
      <c r="G400" s="234"/>
      <c r="I400" s="313"/>
      <c r="J400" s="247"/>
      <c r="K400" s="247"/>
      <c r="L400" s="247"/>
      <c r="M400" s="247"/>
      <c r="N400" s="247"/>
      <c r="O400" s="247"/>
      <c r="P400" s="247"/>
      <c r="Q400" s="247"/>
      <c r="R400" s="247"/>
      <c r="S400" s="247"/>
      <c r="T400" s="247"/>
      <c r="U400" s="247"/>
      <c r="V400" s="247"/>
      <c r="W400" s="247"/>
      <c r="X400" s="247"/>
      <c r="Y400" s="247"/>
      <c r="Z400" s="247"/>
      <c r="AA400" s="247"/>
      <c r="AB400" s="247"/>
      <c r="AC400" s="247"/>
      <c r="AD400" s="247"/>
      <c r="AE400" s="247"/>
      <c r="AF400" s="247"/>
      <c r="AG400" s="247"/>
      <c r="AH400" s="247"/>
      <c r="AI400" s="247"/>
      <c r="AJ400" s="247"/>
      <c r="AK400" s="247"/>
      <c r="AL400" s="247"/>
      <c r="AM400" s="247"/>
      <c r="AN400" s="247"/>
      <c r="AO400" s="247"/>
      <c r="AP400" s="247"/>
      <c r="AQ400" s="247"/>
      <c r="AR400" s="247"/>
      <c r="AS400" s="247"/>
    </row>
    <row r="401" spans="1:45" s="238" customFormat="1" outlineLevel="1">
      <c r="A401" s="229" t="s">
        <v>208</v>
      </c>
      <c r="B401" s="229" t="str">
        <f>A401&amp;C401</f>
        <v>NPopulation GrowthProjection</v>
      </c>
      <c r="C401" s="234" t="str">
        <f>$A$385&amp;$A$386</f>
        <v>Population GrowthProjection</v>
      </c>
      <c r="E401" s="239"/>
    </row>
    <row r="403" spans="1:45" s="231" customFormat="1">
      <c r="B403" s="232" t="s">
        <v>276</v>
      </c>
      <c r="C403" s="232"/>
      <c r="D403" s="233"/>
      <c r="E403" s="233"/>
      <c r="F403" s="232"/>
      <c r="G403" s="232"/>
      <c r="H403" s="232"/>
      <c r="I403" s="232"/>
    </row>
    <row r="404" spans="1:45" s="500" customFormat="1">
      <c r="B404" s="501"/>
      <c r="C404" s="502" t="s">
        <v>277</v>
      </c>
      <c r="D404" s="501"/>
      <c r="E404" s="503"/>
      <c r="F404" s="501"/>
      <c r="G404" s="501"/>
      <c r="H404" s="501"/>
      <c r="I404" s="501"/>
    </row>
    <row r="405" spans="1:45" s="505" customFormat="1">
      <c r="B405" s="506"/>
      <c r="C405" s="506" t="s">
        <v>278</v>
      </c>
      <c r="D405" s="506"/>
      <c r="F405" s="506"/>
      <c r="G405" s="506"/>
      <c r="H405" s="506"/>
      <c r="I405" s="506"/>
    </row>
    <row r="406" spans="1:45" s="500" customFormat="1">
      <c r="B406" s="501"/>
      <c r="C406" s="501"/>
      <c r="D406" s="501"/>
      <c r="E406" s="503" t="str">
        <f>Dashboard!$D$29&amp;Dashboard!$I$29</f>
        <v>TransportRoad Transport Vehicle Kilometres</v>
      </c>
      <c r="F406" s="501"/>
      <c r="G406" s="501"/>
      <c r="H406" s="501"/>
      <c r="I406" s="501"/>
    </row>
    <row r="407" spans="1:45" s="500" customFormat="1">
      <c r="B407" s="501">
        <v>0</v>
      </c>
      <c r="C407" s="501" t="str">
        <f>B407&amp;$E$406</f>
        <v>0TransportRoad Transport Vehicle Kilometres</v>
      </c>
      <c r="E407" s="504" t="str">
        <f t="shared" ref="E407:E421" si="75">IFERROR(INDEX(E$1:E$404,MATCH($C407,$B$1:$B$404,0)),"")</f>
        <v>MILLIONS OF KM</v>
      </c>
      <c r="I407" s="501"/>
      <c r="J407" s="500">
        <f t="shared" ref="J407:AS407" si="76">J15</f>
        <v>2015</v>
      </c>
      <c r="K407" s="500">
        <f t="shared" si="76"/>
        <v>2016</v>
      </c>
      <c r="L407" s="500">
        <f t="shared" si="76"/>
        <v>2017</v>
      </c>
      <c r="M407" s="500">
        <f t="shared" si="76"/>
        <v>2018</v>
      </c>
      <c r="N407" s="500">
        <f t="shared" si="76"/>
        <v>2019</v>
      </c>
      <c r="O407" s="500">
        <f t="shared" si="76"/>
        <v>2020</v>
      </c>
      <c r="P407" s="500">
        <f t="shared" si="76"/>
        <v>2021</v>
      </c>
      <c r="Q407" s="500">
        <f t="shared" si="76"/>
        <v>2022</v>
      </c>
      <c r="R407" s="500">
        <f t="shared" si="76"/>
        <v>2023</v>
      </c>
      <c r="S407" s="500">
        <f t="shared" si="76"/>
        <v>2024</v>
      </c>
      <c r="T407" s="500">
        <f t="shared" si="76"/>
        <v>2025</v>
      </c>
      <c r="U407" s="500">
        <f t="shared" si="76"/>
        <v>2026</v>
      </c>
      <c r="V407" s="500">
        <f t="shared" si="76"/>
        <v>2027</v>
      </c>
      <c r="W407" s="500">
        <f t="shared" si="76"/>
        <v>2028</v>
      </c>
      <c r="X407" s="500">
        <f t="shared" si="76"/>
        <v>2029</v>
      </c>
      <c r="Y407" s="500">
        <f t="shared" si="76"/>
        <v>2030</v>
      </c>
      <c r="Z407" s="500">
        <f t="shared" si="76"/>
        <v>2031</v>
      </c>
      <c r="AA407" s="500">
        <f t="shared" si="76"/>
        <v>2032</v>
      </c>
      <c r="AB407" s="500">
        <f t="shared" si="76"/>
        <v>2033</v>
      </c>
      <c r="AC407" s="500">
        <f t="shared" si="76"/>
        <v>2034</v>
      </c>
      <c r="AD407" s="500">
        <f t="shared" si="76"/>
        <v>2035</v>
      </c>
      <c r="AE407" s="500">
        <f t="shared" si="76"/>
        <v>2036</v>
      </c>
      <c r="AF407" s="500">
        <f t="shared" si="76"/>
        <v>2037</v>
      </c>
      <c r="AG407" s="500">
        <f t="shared" si="76"/>
        <v>2038</v>
      </c>
      <c r="AH407" s="500">
        <f t="shared" si="76"/>
        <v>2039</v>
      </c>
      <c r="AI407" s="500">
        <f t="shared" si="76"/>
        <v>2040</v>
      </c>
      <c r="AJ407" s="500">
        <f t="shared" si="76"/>
        <v>2041</v>
      </c>
      <c r="AK407" s="500">
        <f t="shared" si="76"/>
        <v>2042</v>
      </c>
      <c r="AL407" s="500">
        <f t="shared" si="76"/>
        <v>2043</v>
      </c>
      <c r="AM407" s="500">
        <f t="shared" si="76"/>
        <v>2044</v>
      </c>
      <c r="AN407" s="500">
        <f t="shared" si="76"/>
        <v>2045</v>
      </c>
      <c r="AO407" s="500">
        <f t="shared" si="76"/>
        <v>2046</v>
      </c>
      <c r="AP407" s="500">
        <f t="shared" si="76"/>
        <v>2047</v>
      </c>
      <c r="AQ407" s="500">
        <f t="shared" si="76"/>
        <v>2048</v>
      </c>
      <c r="AR407" s="500">
        <f t="shared" si="76"/>
        <v>2049</v>
      </c>
      <c r="AS407" s="500">
        <f t="shared" si="76"/>
        <v>2050</v>
      </c>
    </row>
    <row r="408" spans="1:45" s="500" customFormat="1">
      <c r="B408" s="501">
        <v>1</v>
      </c>
      <c r="C408" s="501" t="str">
        <f t="shared" ref="C408:C422" si="77">B408&amp;$E$406</f>
        <v>1TransportRoad Transport Vehicle Kilometres</v>
      </c>
      <c r="D408" s="500" t="s">
        <v>279</v>
      </c>
      <c r="E408" s="504" t="str">
        <f t="shared" si="75"/>
        <v>Electricity (Cars, LGVs, Motorcycles, Taxis)</v>
      </c>
      <c r="F408" s="504">
        <f t="shared" ref="F408:O422" si="78">IFERROR(INDEX(F$1:F$404,MATCH($C408,$B$1:$B$404,0)),"")</f>
        <v>0</v>
      </c>
      <c r="G408" s="504" t="str">
        <f t="shared" si="78"/>
        <v>000 000 km</v>
      </c>
      <c r="H408" s="504">
        <f t="shared" si="78"/>
        <v>0</v>
      </c>
      <c r="I408" s="504">
        <f t="shared" si="78"/>
        <v>0</v>
      </c>
      <c r="J408" s="504">
        <f ca="1">IFERROR(INDEX(J$1:J$404,MATCH($C408,$B$1:$B$404,0)),"")</f>
        <v>34.498859784172332</v>
      </c>
      <c r="K408" s="504">
        <f t="shared" ca="1" si="78"/>
        <v>49.183321094739142</v>
      </c>
      <c r="L408" s="504">
        <f t="shared" ca="1" si="78"/>
        <v>66.562622716919904</v>
      </c>
      <c r="M408" s="504">
        <f t="shared" ca="1" si="78"/>
        <v>91.453732912869981</v>
      </c>
      <c r="N408" s="504">
        <f t="shared" ca="1" si="78"/>
        <v>124.6743785488252</v>
      </c>
      <c r="O408" s="504">
        <f t="shared" ca="1" si="78"/>
        <v>142.29974396087692</v>
      </c>
      <c r="P408" s="504">
        <f t="shared" ref="P408:Y422" ca="1" si="79">IFERROR(INDEX(P$1:P$404,MATCH($C408,$B$1:$B$404,0)),"")</f>
        <v>238.78932757504629</v>
      </c>
      <c r="Q408" s="504">
        <f t="shared" ca="1" si="79"/>
        <v>439.03716008427256</v>
      </c>
      <c r="R408" s="504">
        <f t="shared" ca="1" si="79"/>
        <v>704.56932692183022</v>
      </c>
      <c r="S408" s="504">
        <f t="shared" ca="1" si="79"/>
        <v>974.15311405431976</v>
      </c>
      <c r="T408" s="504">
        <f t="shared" ca="1" si="79"/>
        <v>1311.9217346802754</v>
      </c>
      <c r="U408" s="504">
        <f t="shared" ca="1" si="79"/>
        <v>1656.1253787019257</v>
      </c>
      <c r="V408" s="504">
        <f t="shared" ca="1" si="79"/>
        <v>2061.3094039787634</v>
      </c>
      <c r="W408" s="504">
        <f t="shared" ca="1" si="79"/>
        <v>2465.1165433387541</v>
      </c>
      <c r="X408" s="504">
        <f t="shared" ca="1" si="79"/>
        <v>2866.907701137784</v>
      </c>
      <c r="Y408" s="504">
        <f t="shared" ca="1" si="79"/>
        <v>3277.8111924120844</v>
      </c>
      <c r="Z408" s="504">
        <f t="shared" ref="Z408:AI422" ca="1" si="80">IFERROR(INDEX(Z$1:Z$404,MATCH($C408,$B$1:$B$404,0)),"")</f>
        <v>3637.6508740367958</v>
      </c>
      <c r="AA408" s="504">
        <f t="shared" ca="1" si="80"/>
        <v>3947.2867741546261</v>
      </c>
      <c r="AB408" s="504">
        <f t="shared" ca="1" si="80"/>
        <v>4232.5073374089534</v>
      </c>
      <c r="AC408" s="504">
        <f t="shared" ca="1" si="80"/>
        <v>4450.5632119296779</v>
      </c>
      <c r="AD408" s="504">
        <f ca="1">IFERROR(INDEX(AD$1:AD$404,MATCH($C408,$B$1:$B$404,0)),"")</f>
        <v>4634.930795735163</v>
      </c>
      <c r="AE408" s="504">
        <f t="shared" ca="1" si="80"/>
        <v>4775.8764830620639</v>
      </c>
      <c r="AF408" s="504">
        <f t="shared" ca="1" si="80"/>
        <v>4877.0668600194222</v>
      </c>
      <c r="AG408" s="504">
        <f t="shared" ca="1" si="80"/>
        <v>4937.3511664653097</v>
      </c>
      <c r="AH408" s="504">
        <f t="shared" ca="1" si="80"/>
        <v>4965.8437357935363</v>
      </c>
      <c r="AI408" s="504">
        <f t="shared" ca="1" si="80"/>
        <v>4963.3157934520441</v>
      </c>
      <c r="AJ408" s="504">
        <f t="shared" ref="AJ408:AS422" ca="1" si="81">IFERROR(INDEX(AJ$1:AJ$404,MATCH($C408,$B$1:$B$404,0)),"")</f>
        <v>5010.6075714627641</v>
      </c>
      <c r="AK408" s="504">
        <f t="shared" ca="1" si="81"/>
        <v>5041.1040694297762</v>
      </c>
      <c r="AL408" s="504">
        <f t="shared" ca="1" si="81"/>
        <v>5056.8614170462097</v>
      </c>
      <c r="AM408" s="504">
        <f t="shared" ca="1" si="81"/>
        <v>5061.5854023550573</v>
      </c>
      <c r="AN408" s="504">
        <f t="shared" ca="1" si="81"/>
        <v>5057.3259707511124</v>
      </c>
      <c r="AO408" s="504">
        <f t="shared" ca="1" si="81"/>
        <v>5046.6595808353195</v>
      </c>
      <c r="AP408" s="504">
        <f t="shared" ca="1" si="81"/>
        <v>5030.7683101465673</v>
      </c>
      <c r="AQ408" s="504">
        <f t="shared" ca="1" si="81"/>
        <v>5012.2234408563145</v>
      </c>
      <c r="AR408" s="504">
        <f t="shared" ca="1" si="81"/>
        <v>4990.7465292490679</v>
      </c>
      <c r="AS408" s="504">
        <f t="shared" ca="1" si="81"/>
        <v>4967.4958265901887</v>
      </c>
    </row>
    <row r="409" spans="1:45" s="500" customFormat="1">
      <c r="B409" s="501">
        <v>2</v>
      </c>
      <c r="C409" s="501" t="str">
        <f t="shared" si="77"/>
        <v>2TransportRoad Transport Vehicle Kilometres</v>
      </c>
      <c r="D409" s="500" t="s">
        <v>279</v>
      </c>
      <c r="E409" s="504" t="str">
        <f t="shared" si="75"/>
        <v>Hydrogen (Cars, LGVs, Motorcycles, Taxis)</v>
      </c>
      <c r="F409" s="504">
        <f t="shared" si="78"/>
        <v>0</v>
      </c>
      <c r="G409" s="504" t="str">
        <f t="shared" si="78"/>
        <v>000 000 km</v>
      </c>
      <c r="H409" s="504">
        <f t="shared" si="78"/>
        <v>0</v>
      </c>
      <c r="I409" s="504">
        <f t="shared" si="78"/>
        <v>0</v>
      </c>
      <c r="J409" s="504">
        <f t="shared" ca="1" si="78"/>
        <v>0</v>
      </c>
      <c r="K409" s="504">
        <f t="shared" ca="1" si="78"/>
        <v>0</v>
      </c>
      <c r="L409" s="504">
        <f t="shared" ca="1" si="78"/>
        <v>0</v>
      </c>
      <c r="M409" s="504">
        <f t="shared" ca="1" si="78"/>
        <v>0</v>
      </c>
      <c r="N409" s="504">
        <f t="shared" ca="1" si="78"/>
        <v>0</v>
      </c>
      <c r="O409" s="504">
        <f t="shared" ca="1" si="78"/>
        <v>0</v>
      </c>
      <c r="P409" s="504">
        <f t="shared" ca="1" si="79"/>
        <v>9.0108374194819013E-2</v>
      </c>
      <c r="Q409" s="504">
        <f t="shared" ca="1" si="79"/>
        <v>0.20462591910290473</v>
      </c>
      <c r="R409" s="504">
        <f t="shared" ca="1" si="79"/>
        <v>0.68331193395136236</v>
      </c>
      <c r="S409" s="504">
        <f t="shared" ca="1" si="79"/>
        <v>1.3309015545882945</v>
      </c>
      <c r="T409" s="504">
        <f t="shared" ca="1" si="79"/>
        <v>2.3030122886747364</v>
      </c>
      <c r="U409" s="504">
        <f t="shared" ca="1" si="79"/>
        <v>3.5607453728641807</v>
      </c>
      <c r="V409" s="504">
        <f t="shared" ca="1" si="79"/>
        <v>6.5979598912102011</v>
      </c>
      <c r="W409" s="504">
        <f t="shared" ca="1" si="79"/>
        <v>9.6026076316532318</v>
      </c>
      <c r="X409" s="504">
        <f t="shared" ca="1" si="79"/>
        <v>12.641728105619224</v>
      </c>
      <c r="Y409" s="504">
        <f t="shared" ca="1" si="79"/>
        <v>22.899012704199716</v>
      </c>
      <c r="Z409" s="504">
        <f t="shared" ca="1" si="80"/>
        <v>34.504689076674261</v>
      </c>
      <c r="AA409" s="504">
        <f t="shared" ca="1" si="80"/>
        <v>49.431837854702962</v>
      </c>
      <c r="AB409" s="504">
        <f t="shared" ca="1" si="80"/>
        <v>67.9183039815222</v>
      </c>
      <c r="AC409" s="504">
        <f t="shared" ca="1" si="80"/>
        <v>87.624450183877471</v>
      </c>
      <c r="AD409" s="504">
        <f t="shared" ca="1" si="80"/>
        <v>112.61152086611655</v>
      </c>
      <c r="AE409" s="504">
        <f t="shared" ca="1" si="80"/>
        <v>140.54493391353165</v>
      </c>
      <c r="AF409" s="504">
        <f t="shared" ca="1" si="80"/>
        <v>171.03787040832415</v>
      </c>
      <c r="AG409" s="504">
        <f t="shared" ca="1" si="80"/>
        <v>203.48236704920924</v>
      </c>
      <c r="AH409" s="504">
        <f t="shared" ca="1" si="80"/>
        <v>237.94197398733701</v>
      </c>
      <c r="AI409" s="504">
        <f t="shared" ca="1" si="80"/>
        <v>274.27399815114507</v>
      </c>
      <c r="AJ409" s="504">
        <f t="shared" ca="1" si="81"/>
        <v>311.9706859989704</v>
      </c>
      <c r="AK409" s="504">
        <f t="shared" ca="1" si="81"/>
        <v>349.24678379486022</v>
      </c>
      <c r="AL409" s="504">
        <f t="shared" ca="1" si="81"/>
        <v>386.30336722561617</v>
      </c>
      <c r="AM409" s="504">
        <f t="shared" ca="1" si="81"/>
        <v>421.95360790598863</v>
      </c>
      <c r="AN409" s="504">
        <f t="shared" ca="1" si="81"/>
        <v>457.31023265407845</v>
      </c>
      <c r="AO409" s="504">
        <f t="shared" ca="1" si="81"/>
        <v>491.62856252624209</v>
      </c>
      <c r="AP409" s="504">
        <f t="shared" ca="1" si="81"/>
        <v>525.23438172136775</v>
      </c>
      <c r="AQ409" s="504">
        <f t="shared" ca="1" si="81"/>
        <v>557.21766774257833</v>
      </c>
      <c r="AR409" s="504">
        <f t="shared" ca="1" si="81"/>
        <v>588.63246364006193</v>
      </c>
      <c r="AS409" s="504">
        <f t="shared" ca="1" si="81"/>
        <v>619.20971941476773</v>
      </c>
    </row>
    <row r="410" spans="1:45" s="500" customFormat="1">
      <c r="B410" s="501">
        <v>3</v>
      </c>
      <c r="C410" s="501" t="str">
        <f t="shared" si="77"/>
        <v>3TransportRoad Transport Vehicle Kilometres</v>
      </c>
      <c r="D410" s="500" t="s">
        <v>279</v>
      </c>
      <c r="E410" s="504" t="str">
        <f t="shared" si="75"/>
        <v>Petrol (Cars, LGVs, Motorcycles, Taxis)</v>
      </c>
      <c r="F410" s="504">
        <f t="shared" si="78"/>
        <v>0</v>
      </c>
      <c r="G410" s="504" t="str">
        <f t="shared" si="78"/>
        <v>000 000 km</v>
      </c>
      <c r="H410" s="504">
        <f t="shared" si="78"/>
        <v>0</v>
      </c>
      <c r="I410" s="504">
        <f t="shared" si="78"/>
        <v>0</v>
      </c>
      <c r="J410" s="504">
        <f ca="1">IFERROR(INDEX(J$1:J$404,MATCH($C410,$B$1:$B$404,0)),"")</f>
        <v>3648.0498602697835</v>
      </c>
      <c r="K410" s="504">
        <f t="shared" ca="1" si="78"/>
        <v>3580.0733139973204</v>
      </c>
      <c r="L410" s="504">
        <f t="shared" ca="1" si="78"/>
        <v>3509.9409533162807</v>
      </c>
      <c r="M410" s="504">
        <f t="shared" ca="1" si="78"/>
        <v>3500.0348783280756</v>
      </c>
      <c r="N410" s="504">
        <f t="shared" ca="1" si="78"/>
        <v>3551.2205744062207</v>
      </c>
      <c r="O410" s="504">
        <f t="shared" ca="1" si="78"/>
        <v>3527.6491536405151</v>
      </c>
      <c r="P410" s="504">
        <f t="shared" ca="1" si="79"/>
        <v>3447.5530225293678</v>
      </c>
      <c r="Q410" s="504">
        <f t="shared" ca="1" si="79"/>
        <v>3343.8621317084248</v>
      </c>
      <c r="R410" s="504">
        <f t="shared" ca="1" si="79"/>
        <v>3202.7409543394238</v>
      </c>
      <c r="S410" s="504">
        <f t="shared" ca="1" si="79"/>
        <v>3063.1918152773746</v>
      </c>
      <c r="T410" s="504">
        <f t="shared" ca="1" si="79"/>
        <v>2880.6552821357814</v>
      </c>
      <c r="U410" s="504">
        <f t="shared" ca="1" si="79"/>
        <v>2685.4242092208801</v>
      </c>
      <c r="V410" s="504">
        <f t="shared" ca="1" si="79"/>
        <v>2467.7285708906938</v>
      </c>
      <c r="W410" s="504">
        <f t="shared" ca="1" si="79"/>
        <v>2247.1942454613604</v>
      </c>
      <c r="X410" s="504">
        <f t="shared" ca="1" si="79"/>
        <v>2021.2770683609376</v>
      </c>
      <c r="Y410" s="504">
        <f t="shared" ca="1" si="79"/>
        <v>1788.514820107833</v>
      </c>
      <c r="Z410" s="504">
        <f t="shared" ca="1" si="80"/>
        <v>1558.3817901576022</v>
      </c>
      <c r="AA410" s="504">
        <f t="shared" ca="1" si="80"/>
        <v>1349.6124340539725</v>
      </c>
      <c r="AB410" s="504">
        <f t="shared" ca="1" si="80"/>
        <v>1152.0747843030301</v>
      </c>
      <c r="AC410" s="504">
        <f t="shared" ca="1" si="80"/>
        <v>975.46928131922209</v>
      </c>
      <c r="AD410" s="504">
        <f t="shared" ca="1" si="80"/>
        <v>806.3671784277775</v>
      </c>
      <c r="AE410" s="504">
        <f t="shared" ca="1" si="80"/>
        <v>658.70299394704296</v>
      </c>
      <c r="AF410" s="504">
        <f t="shared" ca="1" si="80"/>
        <v>531.06458729983603</v>
      </c>
      <c r="AG410" s="504">
        <f t="shared" ca="1" si="80"/>
        <v>426.08021679942277</v>
      </c>
      <c r="AH410" s="504">
        <f t="shared" ca="1" si="80"/>
        <v>337.0948869969875</v>
      </c>
      <c r="AI410" s="504">
        <f t="shared" ca="1" si="80"/>
        <v>264.84896985133025</v>
      </c>
      <c r="AJ410" s="504">
        <f t="shared" ca="1" si="81"/>
        <v>211.95900252493146</v>
      </c>
      <c r="AK410" s="504">
        <f t="shared" ca="1" si="81"/>
        <v>167.94045430491957</v>
      </c>
      <c r="AL410" s="504">
        <f t="shared" ca="1" si="81"/>
        <v>131.80889783045271</v>
      </c>
      <c r="AM410" s="504">
        <f t="shared" ca="1" si="81"/>
        <v>102.65769063199424</v>
      </c>
      <c r="AN410" s="504">
        <f t="shared" ca="1" si="81"/>
        <v>78.479652890099004</v>
      </c>
      <c r="AO410" s="504">
        <f t="shared" ca="1" si="81"/>
        <v>58.843600167319565</v>
      </c>
      <c r="AP410" s="504">
        <f t="shared" ca="1" si="81"/>
        <v>42.961602700731994</v>
      </c>
      <c r="AQ410" s="504">
        <f t="shared" ca="1" si="81"/>
        <v>29.881578859110352</v>
      </c>
      <c r="AR410" s="504">
        <f t="shared" ca="1" si="81"/>
        <v>19.40952816043475</v>
      </c>
      <c r="AS410" s="504">
        <f t="shared" ca="1" si="81"/>
        <v>10.883221901220139</v>
      </c>
    </row>
    <row r="411" spans="1:45" s="500" customFormat="1">
      <c r="B411" s="501">
        <v>4</v>
      </c>
      <c r="C411" s="501" t="str">
        <f t="shared" si="77"/>
        <v>4TransportRoad Transport Vehicle Kilometres</v>
      </c>
      <c r="D411" s="500" t="s">
        <v>279</v>
      </c>
      <c r="E411" s="504" t="str">
        <f t="shared" si="75"/>
        <v>Diesel (Cars, LGVs, Motorcycles, Taxis)</v>
      </c>
      <c r="F411" s="504">
        <f t="shared" si="78"/>
        <v>0</v>
      </c>
      <c r="G411" s="504" t="str">
        <f t="shared" si="78"/>
        <v>000 000 km</v>
      </c>
      <c r="H411" s="504">
        <f t="shared" si="78"/>
        <v>0</v>
      </c>
      <c r="I411" s="504">
        <f t="shared" si="78"/>
        <v>0</v>
      </c>
      <c r="J411" s="504">
        <f t="shared" ca="1" si="78"/>
        <v>3662.5203548250729</v>
      </c>
      <c r="K411" s="504">
        <f t="shared" ca="1" si="78"/>
        <v>3763.2810063631214</v>
      </c>
      <c r="L411" s="504">
        <f t="shared" ca="1" si="78"/>
        <v>3793.0874571565405</v>
      </c>
      <c r="M411" s="504">
        <f t="shared" ca="1" si="78"/>
        <v>3748.649686274252</v>
      </c>
      <c r="N411" s="504">
        <f t="shared" ca="1" si="78"/>
        <v>3610.3609754888193</v>
      </c>
      <c r="O411" s="504">
        <f t="shared" ca="1" si="78"/>
        <v>3396.9372157710304</v>
      </c>
      <c r="P411" s="504">
        <f t="shared" ca="1" si="79"/>
        <v>3336.7055585586841</v>
      </c>
      <c r="Q411" s="504">
        <f t="shared" ca="1" si="79"/>
        <v>3186.5241597185263</v>
      </c>
      <c r="R411" s="504">
        <f t="shared" ca="1" si="79"/>
        <v>3008.1922764101569</v>
      </c>
      <c r="S411" s="504">
        <f t="shared" ca="1" si="79"/>
        <v>2824.5295417679367</v>
      </c>
      <c r="T411" s="504">
        <f t="shared" ca="1" si="79"/>
        <v>2615.3907017234778</v>
      </c>
      <c r="U411" s="504">
        <f t="shared" ca="1" si="79"/>
        <v>2397.464937030697</v>
      </c>
      <c r="V411" s="504">
        <f t="shared" ca="1" si="79"/>
        <v>2139.1638410029859</v>
      </c>
      <c r="W411" s="504">
        <f t="shared" ca="1" si="79"/>
        <v>1884.9456777968962</v>
      </c>
      <c r="X411" s="504">
        <f t="shared" ca="1" si="79"/>
        <v>1638.2545210235262</v>
      </c>
      <c r="Y411" s="504">
        <f t="shared" ca="1" si="79"/>
        <v>1382.2428015397106</v>
      </c>
      <c r="Z411" s="504">
        <f t="shared" ca="1" si="80"/>
        <v>1155.5289416098913</v>
      </c>
      <c r="AA411" s="504">
        <f t="shared" ca="1" si="80"/>
        <v>954.3310053252502</v>
      </c>
      <c r="AB411" s="504">
        <f t="shared" ca="1" si="80"/>
        <v>775.92497337491091</v>
      </c>
      <c r="AC411" s="504">
        <f t="shared" ca="1" si="80"/>
        <v>629.82000873248774</v>
      </c>
      <c r="AD411" s="504">
        <f t="shared" ca="1" si="80"/>
        <v>504.61901023305637</v>
      </c>
      <c r="AE411" s="504">
        <f t="shared" ca="1" si="80"/>
        <v>398.4556474363232</v>
      </c>
      <c r="AF411" s="504">
        <f t="shared" ca="1" si="80"/>
        <v>309.46229372822893</v>
      </c>
      <c r="AG411" s="504">
        <f t="shared" ca="1" si="80"/>
        <v>236.76941423871583</v>
      </c>
      <c r="AH411" s="504">
        <f t="shared" ca="1" si="80"/>
        <v>177.85412087164491</v>
      </c>
      <c r="AI411" s="504">
        <f t="shared" ca="1" si="80"/>
        <v>131.34750929183494</v>
      </c>
      <c r="AJ411" s="504">
        <f t="shared" ca="1" si="81"/>
        <v>95.802390577152423</v>
      </c>
      <c r="AK411" s="504">
        <f t="shared" ca="1" si="81"/>
        <v>68.601722851724503</v>
      </c>
      <c r="AL411" s="504">
        <f t="shared" ca="1" si="81"/>
        <v>48.47272809646455</v>
      </c>
      <c r="AM411" s="504">
        <f t="shared" ca="1" si="81"/>
        <v>33.803089123166771</v>
      </c>
      <c r="AN411" s="504">
        <f t="shared" ca="1" si="81"/>
        <v>23.437313538378433</v>
      </c>
      <c r="AO411" s="504">
        <f t="shared" ca="1" si="81"/>
        <v>15.974806122251627</v>
      </c>
      <c r="AP411" s="504">
        <f t="shared" ca="1" si="81"/>
        <v>10.695634899927109</v>
      </c>
      <c r="AQ411" s="504">
        <f t="shared" ca="1" si="81"/>
        <v>6.890621828053721</v>
      </c>
      <c r="AR411" s="504">
        <f t="shared" ca="1" si="81"/>
        <v>3.9781680539554176</v>
      </c>
      <c r="AS411" s="504">
        <f t="shared" ca="1" si="81"/>
        <v>1.7313010148072796</v>
      </c>
    </row>
    <row r="412" spans="1:45" s="500" customFormat="1">
      <c r="B412" s="501">
        <v>5</v>
      </c>
      <c r="C412" s="501" t="str">
        <f t="shared" si="77"/>
        <v>5TransportRoad Transport Vehicle Kilometres</v>
      </c>
      <c r="D412" s="500" t="s">
        <v>279</v>
      </c>
      <c r="E412" s="504" t="str">
        <f t="shared" si="75"/>
        <v>HGVs - hydrogen</v>
      </c>
      <c r="F412" s="504">
        <f t="shared" si="78"/>
        <v>0</v>
      </c>
      <c r="G412" s="504" t="str">
        <f t="shared" si="78"/>
        <v>000 000 km</v>
      </c>
      <c r="H412" s="504">
        <f t="shared" si="78"/>
        <v>0</v>
      </c>
      <c r="I412" s="504">
        <f t="shared" si="78"/>
        <v>0</v>
      </c>
      <c r="J412" s="504">
        <f t="shared" ca="1" si="78"/>
        <v>0</v>
      </c>
      <c r="K412" s="504">
        <f t="shared" ca="1" si="78"/>
        <v>0</v>
      </c>
      <c r="L412" s="504">
        <f t="shared" ca="1" si="78"/>
        <v>0</v>
      </c>
      <c r="M412" s="504">
        <f t="shared" ca="1" si="78"/>
        <v>0</v>
      </c>
      <c r="N412" s="504">
        <f t="shared" ca="1" si="78"/>
        <v>0</v>
      </c>
      <c r="O412" s="504">
        <f t="shared" ca="1" si="78"/>
        <v>0</v>
      </c>
      <c r="P412" s="504">
        <f t="shared" ca="1" si="79"/>
        <v>0</v>
      </c>
      <c r="Q412" s="504">
        <f t="shared" ca="1" si="79"/>
        <v>0</v>
      </c>
      <c r="R412" s="504">
        <f t="shared" ca="1" si="79"/>
        <v>0</v>
      </c>
      <c r="S412" s="504">
        <f t="shared" ca="1" si="79"/>
        <v>0</v>
      </c>
      <c r="T412" s="504">
        <f t="shared" ca="1" si="79"/>
        <v>0</v>
      </c>
      <c r="U412" s="504">
        <f t="shared" ca="1" si="79"/>
        <v>1.063737153327859</v>
      </c>
      <c r="V412" s="504">
        <f t="shared" ca="1" si="79"/>
        <v>2.1314071167792341</v>
      </c>
      <c r="W412" s="504">
        <f t="shared" ca="1" si="79"/>
        <v>3.2087165737292498</v>
      </c>
      <c r="X412" s="504">
        <f t="shared" ca="1" si="79"/>
        <v>4.2861210334478637</v>
      </c>
      <c r="Y412" s="504">
        <f t="shared" ca="1" si="79"/>
        <v>5.3769467648462381</v>
      </c>
      <c r="Z412" s="504">
        <f t="shared" ca="1" si="80"/>
        <v>9.1092960272889041</v>
      </c>
      <c r="AA412" s="504">
        <f t="shared" ca="1" si="80"/>
        <v>12.844059971440538</v>
      </c>
      <c r="AB412" s="504">
        <f t="shared" ca="1" si="80"/>
        <v>16.581238597301141</v>
      </c>
      <c r="AC412" s="504">
        <f t="shared" ca="1" si="80"/>
        <v>20.320831904870705</v>
      </c>
      <c r="AD412" s="504">
        <f t="shared" ca="1" si="80"/>
        <v>24.1199900703635</v>
      </c>
      <c r="AE412" s="504">
        <f t="shared" ca="1" si="80"/>
        <v>28.665467711287498</v>
      </c>
      <c r="AF412" s="504">
        <f t="shared" ca="1" si="80"/>
        <v>33.213360033920466</v>
      </c>
      <c r="AG412" s="504">
        <f t="shared" ca="1" si="80"/>
        <v>37.763667038262398</v>
      </c>
      <c r="AH412" s="504">
        <f t="shared" ca="1" si="80"/>
        <v>42.316388724313292</v>
      </c>
      <c r="AI412" s="504">
        <f t="shared" ca="1" si="80"/>
        <v>46.990587959186186</v>
      </c>
      <c r="AJ412" s="504">
        <f t="shared" ca="1" si="81"/>
        <v>48.845266380297311</v>
      </c>
      <c r="AK412" s="504">
        <f t="shared" ca="1" si="81"/>
        <v>50.699944801408435</v>
      </c>
      <c r="AL412" s="504">
        <f t="shared" ca="1" si="81"/>
        <v>52.554623222519567</v>
      </c>
      <c r="AM412" s="504">
        <f t="shared" ca="1" si="81"/>
        <v>54.409301643630684</v>
      </c>
      <c r="AN412" s="504">
        <f t="shared" ca="1" si="81"/>
        <v>56.263980064741801</v>
      </c>
      <c r="AO412" s="504">
        <f t="shared" ca="1" si="81"/>
        <v>55.973973301611196</v>
      </c>
      <c r="AP412" s="504">
        <f t="shared" ca="1" si="81"/>
        <v>55.683877922008939</v>
      </c>
      <c r="AQ412" s="504">
        <f t="shared" ca="1" si="81"/>
        <v>55.393693925935068</v>
      </c>
      <c r="AR412" s="504">
        <f t="shared" ca="1" si="81"/>
        <v>55.103421313389561</v>
      </c>
      <c r="AS412" s="504">
        <f t="shared" ca="1" si="81"/>
        <v>54.813060084372431</v>
      </c>
    </row>
    <row r="413" spans="1:45" s="500" customFormat="1">
      <c r="B413" s="501">
        <v>6</v>
      </c>
      <c r="C413" s="501" t="str">
        <f t="shared" si="77"/>
        <v>6TransportRoad Transport Vehicle Kilometres</v>
      </c>
      <c r="D413" s="500" t="s">
        <v>279</v>
      </c>
      <c r="E413" s="504" t="str">
        <f t="shared" si="75"/>
        <v>HGVs - diesel</v>
      </c>
      <c r="F413" s="504">
        <f t="shared" si="78"/>
        <v>0</v>
      </c>
      <c r="G413" s="504" t="str">
        <f t="shared" si="78"/>
        <v>000 000 km</v>
      </c>
      <c r="H413" s="504">
        <f t="shared" si="78"/>
        <v>0</v>
      </c>
      <c r="I413" s="504">
        <f t="shared" si="78"/>
        <v>0</v>
      </c>
      <c r="J413" s="504">
        <f t="shared" ca="1" si="78"/>
        <v>395.47956789801282</v>
      </c>
      <c r="K413" s="504">
        <f t="shared" ca="1" si="78"/>
        <v>398.02511583206137</v>
      </c>
      <c r="L413" s="504">
        <f t="shared" ca="1" si="78"/>
        <v>396.80404991922705</v>
      </c>
      <c r="M413" s="504">
        <f t="shared" ca="1" si="78"/>
        <v>395.33021951653359</v>
      </c>
      <c r="N413" s="504">
        <f t="shared" ca="1" si="78"/>
        <v>393.81888529847419</v>
      </c>
      <c r="O413" s="504">
        <f t="shared" ca="1" si="78"/>
        <v>392.26903646626772</v>
      </c>
      <c r="P413" s="504">
        <f t="shared" ca="1" si="79"/>
        <v>394.03124674523542</v>
      </c>
      <c r="Q413" s="504">
        <f t="shared" ca="1" si="79"/>
        <v>395.32549729500107</v>
      </c>
      <c r="R413" s="504">
        <f t="shared" ca="1" si="79"/>
        <v>397.10300110672546</v>
      </c>
      <c r="S413" s="504">
        <f t="shared" ca="1" si="79"/>
        <v>398.41213393879764</v>
      </c>
      <c r="T413" s="504">
        <f t="shared" ca="1" si="79"/>
        <v>399.72879323694036</v>
      </c>
      <c r="U413" s="504">
        <f t="shared" ca="1" si="79"/>
        <v>396.16976196217388</v>
      </c>
      <c r="V413" s="504">
        <f t="shared" ca="1" si="79"/>
        <v>392.11239704634903</v>
      </c>
      <c r="W413" s="504">
        <f t="shared" ca="1" si="79"/>
        <v>388.48445242087138</v>
      </c>
      <c r="X413" s="504">
        <f t="shared" ca="1" si="79"/>
        <v>384.37567538322605</v>
      </c>
      <c r="Y413" s="504">
        <f t="shared" ca="1" si="79"/>
        <v>380.67899142053056</v>
      </c>
      <c r="Z413" s="504">
        <f t="shared" ca="1" si="80"/>
        <v>357.19616923453088</v>
      </c>
      <c r="AA413" s="504">
        <f t="shared" ca="1" si="80"/>
        <v>333.68195618631472</v>
      </c>
      <c r="AB413" s="504">
        <f t="shared" ca="1" si="80"/>
        <v>310.1363522758819</v>
      </c>
      <c r="AC413" s="504">
        <f t="shared" ca="1" si="80"/>
        <v>286.5593575032326</v>
      </c>
      <c r="AD413" s="504">
        <f t="shared" ca="1" si="80"/>
        <v>263.21291017601544</v>
      </c>
      <c r="AE413" s="504">
        <f t="shared" ca="1" si="80"/>
        <v>233.76824584338317</v>
      </c>
      <c r="AF413" s="504">
        <f t="shared" ca="1" si="80"/>
        <v>204.28132458084391</v>
      </c>
      <c r="AG413" s="504">
        <f t="shared" ca="1" si="80"/>
        <v>174.75214638839779</v>
      </c>
      <c r="AH413" s="504">
        <f t="shared" ca="1" si="80"/>
        <v>145.18071126604465</v>
      </c>
      <c r="AI413" s="504">
        <f t="shared" ca="1" si="80"/>
        <v>115.64321944873699</v>
      </c>
      <c r="AJ413" s="504">
        <f t="shared" ca="1" si="81"/>
        <v>98.607080555042572</v>
      </c>
      <c r="AK413" s="504">
        <f t="shared" ca="1" si="81"/>
        <v>81.568814866028973</v>
      </c>
      <c r="AL413" s="504">
        <f t="shared" ca="1" si="81"/>
        <v>64.528422381696231</v>
      </c>
      <c r="AM413" s="504">
        <f t="shared" ca="1" si="81"/>
        <v>47.485903102044304</v>
      </c>
      <c r="AN413" s="504">
        <f t="shared" ca="1" si="81"/>
        <v>30.441257027073174</v>
      </c>
      <c r="AO413" s="504">
        <f t="shared" ca="1" si="81"/>
        <v>24.910688236576583</v>
      </c>
      <c r="AP413" s="504">
        <f t="shared" ca="1" si="81"/>
        <v>19.379321897835307</v>
      </c>
      <c r="AQ413" s="504">
        <f t="shared" ca="1" si="81"/>
        <v>13.847158010849334</v>
      </c>
      <c r="AR413" s="504">
        <f t="shared" ca="1" si="81"/>
        <v>8.3141965756186771</v>
      </c>
      <c r="AS413" s="504">
        <f t="shared" ca="1" si="81"/>
        <v>2.7804375921433313</v>
      </c>
    </row>
    <row r="414" spans="1:45" s="500" customFormat="1">
      <c r="B414" s="501">
        <v>7</v>
      </c>
      <c r="C414" s="501" t="str">
        <f t="shared" si="77"/>
        <v>7TransportRoad Transport Vehicle Kilometres</v>
      </c>
      <c r="D414" s="500" t="s">
        <v>279</v>
      </c>
      <c r="E414" s="504" t="str">
        <f t="shared" si="75"/>
        <v>HGVs - electricity</v>
      </c>
      <c r="F414" s="504">
        <f t="shared" si="78"/>
        <v>0</v>
      </c>
      <c r="G414" s="504" t="str">
        <f t="shared" si="78"/>
        <v>000 000 km</v>
      </c>
      <c r="H414" s="504">
        <f t="shared" si="78"/>
        <v>0</v>
      </c>
      <c r="I414" s="504">
        <f t="shared" si="78"/>
        <v>0</v>
      </c>
      <c r="J414" s="504">
        <f t="shared" ca="1" si="78"/>
        <v>0</v>
      </c>
      <c r="K414" s="504">
        <f t="shared" ca="1" si="78"/>
        <v>0</v>
      </c>
      <c r="L414" s="504">
        <f t="shared" ca="1" si="78"/>
        <v>0</v>
      </c>
      <c r="M414" s="504">
        <f t="shared" ca="1" si="78"/>
        <v>0</v>
      </c>
      <c r="N414" s="504">
        <f t="shared" ca="1" si="78"/>
        <v>0</v>
      </c>
      <c r="O414" s="504">
        <f t="shared" ca="1" si="78"/>
        <v>0</v>
      </c>
      <c r="P414" s="504">
        <f t="shared" ca="1" si="79"/>
        <v>0</v>
      </c>
      <c r="Q414" s="504">
        <f t="shared" ca="1" si="79"/>
        <v>0</v>
      </c>
      <c r="R414" s="504">
        <f t="shared" ca="1" si="79"/>
        <v>0</v>
      </c>
      <c r="S414" s="504">
        <f t="shared" ca="1" si="79"/>
        <v>0</v>
      </c>
      <c r="T414" s="504">
        <f t="shared" ca="1" si="79"/>
        <v>0</v>
      </c>
      <c r="U414" s="504">
        <f t="shared" ca="1" si="79"/>
        <v>4.5348372960874928</v>
      </c>
      <c r="V414" s="504">
        <f t="shared" ca="1" si="79"/>
        <v>9.0897783963713099</v>
      </c>
      <c r="W414" s="504">
        <f t="shared" ca="1" si="79"/>
        <v>13.684784995430523</v>
      </c>
      <c r="X414" s="504">
        <f t="shared" ca="1" si="79"/>
        <v>18.286439474565508</v>
      </c>
      <c r="Y414" s="504">
        <f t="shared" ca="1" si="79"/>
        <v>22.941371665447491</v>
      </c>
      <c r="Z414" s="504">
        <f t="shared" ca="1" si="80"/>
        <v>42.446486752536188</v>
      </c>
      <c r="AA414" s="504">
        <f t="shared" ca="1" si="80"/>
        <v>61.97937067927802</v>
      </c>
      <c r="AB414" s="504">
        <f t="shared" ca="1" si="80"/>
        <v>81.540023445672958</v>
      </c>
      <c r="AC414" s="504">
        <f t="shared" ca="1" si="80"/>
        <v>101.12844505172103</v>
      </c>
      <c r="AD414" s="504">
        <f t="shared" ca="1" si="80"/>
        <v>120.90179848201142</v>
      </c>
      <c r="AE414" s="504">
        <f t="shared" ca="1" si="80"/>
        <v>146.10282038734059</v>
      </c>
      <c r="AF414" s="504">
        <f t="shared" ca="1" si="80"/>
        <v>171.34368454086777</v>
      </c>
      <c r="AG414" s="504">
        <f t="shared" ca="1" si="80"/>
        <v>196.6243909425929</v>
      </c>
      <c r="AH414" s="504">
        <f t="shared" ca="1" si="80"/>
        <v>221.94493959251594</v>
      </c>
      <c r="AI414" s="504">
        <f t="shared" ca="1" si="80"/>
        <v>247.58631885702368</v>
      </c>
      <c r="AJ414" s="504">
        <f t="shared" ca="1" si="81"/>
        <v>262.78993344751507</v>
      </c>
      <c r="AK414" s="504">
        <f t="shared" ca="1" si="81"/>
        <v>277.99567483332555</v>
      </c>
      <c r="AL414" s="504">
        <f t="shared" ca="1" si="81"/>
        <v>293.20354301445531</v>
      </c>
      <c r="AM414" s="504">
        <f t="shared" ca="1" si="81"/>
        <v>308.41353799090416</v>
      </c>
      <c r="AN414" s="504">
        <f t="shared" ca="1" si="81"/>
        <v>323.62565976267217</v>
      </c>
      <c r="AO414" s="504">
        <f t="shared" ca="1" si="81"/>
        <v>329.46838943420732</v>
      </c>
      <c r="AP414" s="504">
        <f t="shared" ca="1" si="81"/>
        <v>335.31200527045894</v>
      </c>
      <c r="AQ414" s="504">
        <f t="shared" ca="1" si="81"/>
        <v>341.15650727142679</v>
      </c>
      <c r="AR414" s="504">
        <f t="shared" ca="1" si="81"/>
        <v>347.00189543711105</v>
      </c>
      <c r="AS414" s="504">
        <f t="shared" ca="1" si="81"/>
        <v>352.84816976751154</v>
      </c>
    </row>
    <row r="415" spans="1:45" s="500" customFormat="1">
      <c r="B415" s="501">
        <v>8</v>
      </c>
      <c r="C415" s="501" t="str">
        <f t="shared" si="77"/>
        <v>8TransportRoad Transport Vehicle Kilometres</v>
      </c>
      <c r="D415" s="500" t="s">
        <v>279</v>
      </c>
      <c r="E415" s="504" t="str">
        <f t="shared" si="75"/>
        <v>Buses - hydrogen</v>
      </c>
      <c r="F415" s="504">
        <f t="shared" si="78"/>
        <v>0</v>
      </c>
      <c r="G415" s="504" t="str">
        <f t="shared" si="78"/>
        <v>000 000 km</v>
      </c>
      <c r="H415" s="504">
        <f t="shared" si="78"/>
        <v>0</v>
      </c>
      <c r="I415" s="504">
        <f t="shared" si="78"/>
        <v>0</v>
      </c>
      <c r="J415" s="504">
        <f t="shared" ca="1" si="78"/>
        <v>0</v>
      </c>
      <c r="K415" s="504">
        <f t="shared" ca="1" si="78"/>
        <v>0</v>
      </c>
      <c r="L415" s="504">
        <f t="shared" ca="1" si="78"/>
        <v>0</v>
      </c>
      <c r="M415" s="504">
        <f t="shared" ca="1" si="78"/>
        <v>0</v>
      </c>
      <c r="N415" s="504">
        <f t="shared" ca="1" si="78"/>
        <v>0</v>
      </c>
      <c r="O415" s="504">
        <f t="shared" ca="1" si="78"/>
        <v>0</v>
      </c>
      <c r="P415" s="504">
        <f t="shared" ca="1" si="79"/>
        <v>0.30448440345502226</v>
      </c>
      <c r="Q415" s="504">
        <f t="shared" ca="1" si="79"/>
        <v>0.30473591194506272</v>
      </c>
      <c r="R415" s="504">
        <f t="shared" ca="1" si="79"/>
        <v>0.30499168609484339</v>
      </c>
      <c r="S415" s="504">
        <f t="shared" ca="1" si="79"/>
        <v>0.30525183535281453</v>
      </c>
      <c r="T415" s="504">
        <f t="shared" ca="1" si="79"/>
        <v>0.30551647294403628</v>
      </c>
      <c r="U415" s="504">
        <f t="shared" ca="1" si="79"/>
        <v>1.6331234266385004</v>
      </c>
      <c r="V415" s="504">
        <f t="shared" ca="1" si="79"/>
        <v>2.6565018037022394</v>
      </c>
      <c r="W415" s="504">
        <f t="shared" ca="1" si="79"/>
        <v>3.9864184448358353</v>
      </c>
      <c r="X415" s="504">
        <f t="shared" ca="1" si="79"/>
        <v>5.3174303449444791</v>
      </c>
      <c r="Y415" s="504">
        <f t="shared" ca="1" si="79"/>
        <v>6.6495258285633616</v>
      </c>
      <c r="Z415" s="504">
        <f t="shared" ca="1" si="80"/>
        <v>8.5582384594777619</v>
      </c>
      <c r="AA415" s="504">
        <f t="shared" ca="1" si="80"/>
        <v>10.470883583044483</v>
      </c>
      <c r="AB415" s="504">
        <f t="shared" ca="1" si="80"/>
        <v>12.387461199263521</v>
      </c>
      <c r="AC415" s="504">
        <f t="shared" ca="1" si="80"/>
        <v>14.307971308134885</v>
      </c>
      <c r="AD415" s="504">
        <f t="shared" ca="1" si="80"/>
        <v>16.232413909658572</v>
      </c>
      <c r="AE415" s="504">
        <f t="shared" ca="1" si="80"/>
        <v>17.778456603753849</v>
      </c>
      <c r="AF415" s="504">
        <f t="shared" ca="1" si="80"/>
        <v>19.327645291970985</v>
      </c>
      <c r="AG415" s="504">
        <f t="shared" ca="1" si="80"/>
        <v>20.879979974309975</v>
      </c>
      <c r="AH415" s="504">
        <f t="shared" ca="1" si="80"/>
        <v>22.435460650770825</v>
      </c>
      <c r="AI415" s="504">
        <f t="shared" ca="1" si="80"/>
        <v>23.99408732135354</v>
      </c>
      <c r="AJ415" s="504">
        <f t="shared" ca="1" si="81"/>
        <v>24.76457728782427</v>
      </c>
      <c r="AK415" s="504">
        <f t="shared" ca="1" si="81"/>
        <v>25.535233404508176</v>
      </c>
      <c r="AL415" s="504">
        <f t="shared" ca="1" si="81"/>
        <v>26.306055671405254</v>
      </c>
      <c r="AM415" s="504">
        <f t="shared" ca="1" si="81"/>
        <v>27.077044088515507</v>
      </c>
      <c r="AN415" s="504">
        <f t="shared" ca="1" si="81"/>
        <v>27.848198655838925</v>
      </c>
      <c r="AO415" s="504">
        <f t="shared" ca="1" si="81"/>
        <v>27.659132817221977</v>
      </c>
      <c r="AP415" s="504">
        <f t="shared" ca="1" si="81"/>
        <v>27.470025441051746</v>
      </c>
      <c r="AQ415" s="504">
        <f t="shared" ca="1" si="81"/>
        <v>27.280876527328211</v>
      </c>
      <c r="AR415" s="504">
        <f t="shared" ca="1" si="81"/>
        <v>27.091686076051385</v>
      </c>
      <c r="AS415" s="504">
        <f t="shared" ca="1" si="81"/>
        <v>26.902454087221273</v>
      </c>
    </row>
    <row r="416" spans="1:45" s="500" customFormat="1">
      <c r="B416" s="501">
        <v>9</v>
      </c>
      <c r="C416" s="501" t="str">
        <f t="shared" si="77"/>
        <v>9TransportRoad Transport Vehicle Kilometres</v>
      </c>
      <c r="D416" s="500" t="s">
        <v>279</v>
      </c>
      <c r="E416" s="504" t="str">
        <f t="shared" si="75"/>
        <v>Buses - diesel</v>
      </c>
      <c r="F416" s="504">
        <f t="shared" si="78"/>
        <v>0</v>
      </c>
      <c r="G416" s="504" t="str">
        <f t="shared" si="78"/>
        <v>000 000 km</v>
      </c>
      <c r="H416" s="504">
        <f t="shared" si="78"/>
        <v>0</v>
      </c>
      <c r="I416" s="504">
        <f t="shared" si="78"/>
        <v>0</v>
      </c>
      <c r="J416" s="504">
        <f t="shared" ca="1" si="78"/>
        <v>229.96252713769371</v>
      </c>
      <c r="K416" s="504">
        <f t="shared" ca="1" si="78"/>
        <v>231.44270635143985</v>
      </c>
      <c r="L416" s="504">
        <f t="shared" ca="1" si="78"/>
        <v>230.73268382205984</v>
      </c>
      <c r="M416" s="504">
        <f t="shared" ca="1" si="78"/>
        <v>229.87568439279178</v>
      </c>
      <c r="N416" s="504">
        <f t="shared" ca="1" si="78"/>
        <v>228.9968773333479</v>
      </c>
      <c r="O416" s="504">
        <f t="shared" ca="1" si="78"/>
        <v>222.92581401861105</v>
      </c>
      <c r="P416" s="504">
        <f t="shared" ca="1" si="79"/>
        <v>219.89489176462078</v>
      </c>
      <c r="Q416" s="504">
        <f t="shared" ca="1" si="79"/>
        <v>207.95421338874547</v>
      </c>
      <c r="R416" s="504">
        <f t="shared" ca="1" si="79"/>
        <v>193.2536724666989</v>
      </c>
      <c r="S416" s="504">
        <f t="shared" ca="1" si="79"/>
        <v>178.52959899645094</v>
      </c>
      <c r="T416" s="504">
        <f t="shared" ca="1" si="79"/>
        <v>163.78141055700067</v>
      </c>
      <c r="U416" s="504">
        <f t="shared" ca="1" si="79"/>
        <v>145.77353713010535</v>
      </c>
      <c r="V416" s="504">
        <f t="shared" ca="1" si="79"/>
        <v>128.07563692730005</v>
      </c>
      <c r="W416" s="504">
        <f t="shared" ca="1" si="79"/>
        <v>110.07706217210028</v>
      </c>
      <c r="X416" s="504">
        <f t="shared" ca="1" si="79"/>
        <v>92.083377009389807</v>
      </c>
      <c r="Y416" s="504">
        <f t="shared" ca="1" si="79"/>
        <v>74.094716375420305</v>
      </c>
      <c r="Z416" s="504">
        <f t="shared" ca="1" si="80"/>
        <v>68.465907675822066</v>
      </c>
      <c r="AA416" s="504">
        <f t="shared" ca="1" si="80"/>
        <v>62.825301498266874</v>
      </c>
      <c r="AB416" s="504">
        <f t="shared" ca="1" si="80"/>
        <v>57.172897842754708</v>
      </c>
      <c r="AC416" s="504">
        <f t="shared" ca="1" si="80"/>
        <v>51.508696709285566</v>
      </c>
      <c r="AD416" s="504">
        <f t="shared" ca="1" si="80"/>
        <v>45.832698097859492</v>
      </c>
      <c r="AE416" s="504">
        <f t="shared" ca="1" si="80"/>
        <v>40.718400608597527</v>
      </c>
      <c r="AF416" s="504">
        <f t="shared" ca="1" si="80"/>
        <v>35.59348538917429</v>
      </c>
      <c r="AG416" s="504">
        <f t="shared" ca="1" si="80"/>
        <v>30.457952439589789</v>
      </c>
      <c r="AH416" s="504">
        <f t="shared" ca="1" si="80"/>
        <v>25.311801759844013</v>
      </c>
      <c r="AI416" s="504">
        <f t="shared" ca="1" si="80"/>
        <v>20.155033349936975</v>
      </c>
      <c r="AJ416" s="504">
        <f t="shared" ca="1" si="81"/>
        <v>17.277612061272745</v>
      </c>
      <c r="AK416" s="504">
        <f t="shared" ca="1" si="81"/>
        <v>14.399567709309121</v>
      </c>
      <c r="AL416" s="504">
        <f t="shared" ca="1" si="81"/>
        <v>11.520900294046093</v>
      </c>
      <c r="AM416" s="504">
        <f t="shared" ca="1" si="81"/>
        <v>8.6416098154836707</v>
      </c>
      <c r="AN416" s="504">
        <f t="shared" ca="1" si="81"/>
        <v>5.7616962736218476</v>
      </c>
      <c r="AO416" s="504">
        <f t="shared" ca="1" si="81"/>
        <v>4.8019327807677055</v>
      </c>
      <c r="AP416" s="504">
        <f t="shared" ca="1" si="81"/>
        <v>3.8419616001470982</v>
      </c>
      <c r="AQ416" s="504">
        <f t="shared" ca="1" si="81"/>
        <v>2.8817827317600235</v>
      </c>
      <c r="AR416" s="504">
        <f t="shared" ca="1" si="81"/>
        <v>1.9213961756064823</v>
      </c>
      <c r="AS416" s="504">
        <f t="shared" ca="1" si="81"/>
        <v>0.96080193168647399</v>
      </c>
    </row>
    <row r="417" spans="2:50" s="500" customFormat="1">
      <c r="B417" s="501">
        <v>10</v>
      </c>
      <c r="C417" s="501" t="str">
        <f t="shared" si="77"/>
        <v>10TransportRoad Transport Vehicle Kilometres</v>
      </c>
      <c r="D417" s="500" t="s">
        <v>279</v>
      </c>
      <c r="E417" s="504" t="str">
        <f t="shared" si="75"/>
        <v>Buses - electricity</v>
      </c>
      <c r="F417" s="504">
        <f t="shared" si="78"/>
        <v>0</v>
      </c>
      <c r="G417" s="504" t="str">
        <f t="shared" si="78"/>
        <v>000 000 km</v>
      </c>
      <c r="H417" s="504">
        <f t="shared" si="78"/>
        <v>0</v>
      </c>
      <c r="I417" s="504">
        <f t="shared" si="78"/>
        <v>0</v>
      </c>
      <c r="J417" s="504">
        <f t="shared" ca="1" si="78"/>
        <v>2.7561701530568303</v>
      </c>
      <c r="K417" s="504">
        <f t="shared" ca="1" si="78"/>
        <v>2.7739105467674081</v>
      </c>
      <c r="L417" s="504">
        <f t="shared" ca="1" si="78"/>
        <v>2.7654007128921547</v>
      </c>
      <c r="M417" s="504">
        <f t="shared" ca="1" si="78"/>
        <v>2.75512931660192</v>
      </c>
      <c r="N417" s="504">
        <f t="shared" ca="1" si="78"/>
        <v>2.7445965492955113</v>
      </c>
      <c r="O417" s="504">
        <f t="shared" ca="1" si="78"/>
        <v>5.1698608682238065</v>
      </c>
      <c r="P417" s="504">
        <f t="shared" ca="1" si="79"/>
        <v>8.1766798913578818</v>
      </c>
      <c r="Q417" s="504">
        <f t="shared" ca="1" si="79"/>
        <v>23.139917225397582</v>
      </c>
      <c r="R417" s="504">
        <f t="shared" ca="1" si="79"/>
        <v>38.129517111155813</v>
      </c>
      <c r="S417" s="504">
        <f t="shared" ca="1" si="79"/>
        <v>53.146129600705585</v>
      </c>
      <c r="T417" s="504">
        <f t="shared" ca="1" si="79"/>
        <v>68.190427176707274</v>
      </c>
      <c r="U417" s="504">
        <f t="shared" ca="1" si="79"/>
        <v>84.682993348888658</v>
      </c>
      <c r="V417" s="504">
        <f t="shared" ca="1" si="79"/>
        <v>101.16905979596137</v>
      </c>
      <c r="W417" s="504">
        <f t="shared" ca="1" si="79"/>
        <v>117.64850131469377</v>
      </c>
      <c r="X417" s="504">
        <f t="shared" ca="1" si="79"/>
        <v>134.12119051926413</v>
      </c>
      <c r="Y417" s="504">
        <f t="shared" ca="1" si="79"/>
        <v>150.58699779349263</v>
      </c>
      <c r="Z417" s="504">
        <f t="shared" ca="1" si="80"/>
        <v>154.40442305554166</v>
      </c>
      <c r="AA417" s="504">
        <f t="shared" ca="1" si="80"/>
        <v>158.22971330289525</v>
      </c>
      <c r="AB417" s="504">
        <f t="shared" ca="1" si="80"/>
        <v>162.06286853555358</v>
      </c>
      <c r="AC417" s="504">
        <f t="shared" ca="1" si="80"/>
        <v>165.90388875351653</v>
      </c>
      <c r="AD417" s="504">
        <f t="shared" ca="1" si="80"/>
        <v>169.75277395678407</v>
      </c>
      <c r="AE417" s="504">
        <f t="shared" ca="1" si="80"/>
        <v>173.60952414535626</v>
      </c>
      <c r="AF417" s="504">
        <f t="shared" ca="1" si="80"/>
        <v>177.4741393192331</v>
      </c>
      <c r="AG417" s="504">
        <f t="shared" ca="1" si="80"/>
        <v>181.34661947841465</v>
      </c>
      <c r="AH417" s="504">
        <f t="shared" ca="1" si="80"/>
        <v>185.22696462290077</v>
      </c>
      <c r="AI417" s="504">
        <f t="shared" ca="1" si="80"/>
        <v>189.11517475269159</v>
      </c>
      <c r="AJ417" s="504">
        <f t="shared" ca="1" si="81"/>
        <v>191.23249046320842</v>
      </c>
      <c r="AK417" s="504">
        <f t="shared" ca="1" si="81"/>
        <v>193.35026308681145</v>
      </c>
      <c r="AL417" s="504">
        <f t="shared" ca="1" si="81"/>
        <v>195.46849262350074</v>
      </c>
      <c r="AM417" s="504">
        <f t="shared" ca="1" si="81"/>
        <v>197.58717907327622</v>
      </c>
      <c r="AN417" s="504">
        <f t="shared" ca="1" si="81"/>
        <v>199.70632243613795</v>
      </c>
      <c r="AO417" s="504">
        <f t="shared" ca="1" si="81"/>
        <v>200.86553615593235</v>
      </c>
      <c r="AP417" s="504">
        <f t="shared" ca="1" si="81"/>
        <v>202.02499910104655</v>
      </c>
      <c r="AQ417" s="504">
        <f t="shared" ca="1" si="81"/>
        <v>203.18471127148047</v>
      </c>
      <c r="AR417" s="504">
        <f t="shared" ca="1" si="81"/>
        <v>204.34467266723414</v>
      </c>
      <c r="AS417" s="504">
        <f t="shared" ca="1" si="81"/>
        <v>205.50488328830758</v>
      </c>
    </row>
    <row r="418" spans="2:50" s="500" customFormat="1">
      <c r="B418" s="501">
        <v>11</v>
      </c>
      <c r="C418" s="501" t="str">
        <f t="shared" si="77"/>
        <v>11TransportRoad Transport Vehicle Kilometres</v>
      </c>
      <c r="D418" s="500" t="s">
        <v>279</v>
      </c>
      <c r="E418" s="504" t="str">
        <f t="shared" si="75"/>
        <v/>
      </c>
      <c r="F418" s="504" t="str">
        <f t="shared" si="78"/>
        <v/>
      </c>
      <c r="G418" s="504" t="str">
        <f t="shared" si="78"/>
        <v/>
      </c>
      <c r="H418" s="504" t="str">
        <f t="shared" si="78"/>
        <v/>
      </c>
      <c r="I418" s="504" t="str">
        <f t="shared" si="78"/>
        <v/>
      </c>
      <c r="J418" s="504" t="str">
        <f t="shared" si="78"/>
        <v/>
      </c>
      <c r="K418" s="504" t="str">
        <f t="shared" si="78"/>
        <v/>
      </c>
      <c r="L418" s="504" t="str">
        <f t="shared" si="78"/>
        <v/>
      </c>
      <c r="M418" s="504" t="str">
        <f t="shared" si="78"/>
        <v/>
      </c>
      <c r="N418" s="504" t="str">
        <f t="shared" si="78"/>
        <v/>
      </c>
      <c r="O418" s="504" t="str">
        <f t="shared" si="78"/>
        <v/>
      </c>
      <c r="P418" s="504" t="str">
        <f t="shared" si="79"/>
        <v/>
      </c>
      <c r="Q418" s="504" t="str">
        <f t="shared" si="79"/>
        <v/>
      </c>
      <c r="R418" s="504" t="str">
        <f t="shared" si="79"/>
        <v/>
      </c>
      <c r="S418" s="504" t="str">
        <f t="shared" si="79"/>
        <v/>
      </c>
      <c r="T418" s="504" t="str">
        <f t="shared" si="79"/>
        <v/>
      </c>
      <c r="U418" s="504" t="str">
        <f t="shared" si="79"/>
        <v/>
      </c>
      <c r="V418" s="504" t="str">
        <f t="shared" si="79"/>
        <v/>
      </c>
      <c r="W418" s="504" t="str">
        <f t="shared" si="79"/>
        <v/>
      </c>
      <c r="X418" s="504" t="str">
        <f t="shared" si="79"/>
        <v/>
      </c>
      <c r="Y418" s="504" t="str">
        <f t="shared" si="79"/>
        <v/>
      </c>
      <c r="Z418" s="504" t="str">
        <f t="shared" si="80"/>
        <v/>
      </c>
      <c r="AA418" s="504" t="str">
        <f t="shared" si="80"/>
        <v/>
      </c>
      <c r="AB418" s="504" t="str">
        <f t="shared" si="80"/>
        <v/>
      </c>
      <c r="AC418" s="504" t="str">
        <f t="shared" si="80"/>
        <v/>
      </c>
      <c r="AD418" s="504" t="str">
        <f t="shared" si="80"/>
        <v/>
      </c>
      <c r="AE418" s="504" t="str">
        <f t="shared" si="80"/>
        <v/>
      </c>
      <c r="AF418" s="504" t="str">
        <f t="shared" si="80"/>
        <v/>
      </c>
      <c r="AG418" s="504" t="str">
        <f t="shared" si="80"/>
        <v/>
      </c>
      <c r="AH418" s="504" t="str">
        <f t="shared" si="80"/>
        <v/>
      </c>
      <c r="AI418" s="504" t="str">
        <f t="shared" si="80"/>
        <v/>
      </c>
      <c r="AJ418" s="504" t="str">
        <f t="shared" si="81"/>
        <v/>
      </c>
      <c r="AK418" s="504" t="str">
        <f t="shared" si="81"/>
        <v/>
      </c>
      <c r="AL418" s="504" t="str">
        <f t="shared" si="81"/>
        <v/>
      </c>
      <c r="AM418" s="504" t="str">
        <f t="shared" si="81"/>
        <v/>
      </c>
      <c r="AN418" s="504" t="str">
        <f t="shared" si="81"/>
        <v/>
      </c>
      <c r="AO418" s="504" t="str">
        <f t="shared" si="81"/>
        <v/>
      </c>
      <c r="AP418" s="504" t="str">
        <f t="shared" si="81"/>
        <v/>
      </c>
      <c r="AQ418" s="504" t="str">
        <f t="shared" si="81"/>
        <v/>
      </c>
      <c r="AR418" s="504" t="str">
        <f t="shared" si="81"/>
        <v/>
      </c>
      <c r="AS418" s="504" t="str">
        <f t="shared" si="81"/>
        <v/>
      </c>
    </row>
    <row r="419" spans="2:50" s="500" customFormat="1">
      <c r="B419" s="500">
        <v>12</v>
      </c>
      <c r="C419" s="501" t="str">
        <f t="shared" si="77"/>
        <v>12TransportRoad Transport Vehicle Kilometres</v>
      </c>
      <c r="D419" s="501" t="s">
        <v>279</v>
      </c>
      <c r="E419" s="504" t="str">
        <f t="shared" si="75"/>
        <v/>
      </c>
      <c r="F419" s="504" t="str">
        <f t="shared" si="78"/>
        <v/>
      </c>
      <c r="G419" s="504" t="str">
        <f t="shared" si="78"/>
        <v/>
      </c>
      <c r="H419" s="504" t="str">
        <f t="shared" si="78"/>
        <v/>
      </c>
      <c r="I419" s="504" t="str">
        <f t="shared" si="78"/>
        <v/>
      </c>
      <c r="J419" s="504" t="str">
        <f t="shared" si="78"/>
        <v/>
      </c>
      <c r="K419" s="504" t="str">
        <f t="shared" si="78"/>
        <v/>
      </c>
      <c r="L419" s="504" t="str">
        <f t="shared" si="78"/>
        <v/>
      </c>
      <c r="M419" s="504" t="str">
        <f t="shared" si="78"/>
        <v/>
      </c>
      <c r="N419" s="504" t="str">
        <f t="shared" si="78"/>
        <v/>
      </c>
      <c r="O419" s="504" t="str">
        <f t="shared" si="78"/>
        <v/>
      </c>
      <c r="P419" s="504" t="str">
        <f t="shared" si="79"/>
        <v/>
      </c>
      <c r="Q419" s="504" t="str">
        <f t="shared" si="79"/>
        <v/>
      </c>
      <c r="R419" s="504" t="str">
        <f t="shared" si="79"/>
        <v/>
      </c>
      <c r="S419" s="504" t="str">
        <f t="shared" si="79"/>
        <v/>
      </c>
      <c r="T419" s="504" t="str">
        <f t="shared" si="79"/>
        <v/>
      </c>
      <c r="U419" s="504" t="str">
        <f t="shared" si="79"/>
        <v/>
      </c>
      <c r="V419" s="504" t="str">
        <f t="shared" si="79"/>
        <v/>
      </c>
      <c r="W419" s="504" t="str">
        <f t="shared" si="79"/>
        <v/>
      </c>
      <c r="X419" s="504" t="str">
        <f t="shared" si="79"/>
        <v/>
      </c>
      <c r="Y419" s="504" t="str">
        <f t="shared" si="79"/>
        <v/>
      </c>
      <c r="Z419" s="504" t="str">
        <f t="shared" si="80"/>
        <v/>
      </c>
      <c r="AA419" s="504" t="str">
        <f t="shared" si="80"/>
        <v/>
      </c>
      <c r="AB419" s="504" t="str">
        <f t="shared" si="80"/>
        <v/>
      </c>
      <c r="AC419" s="504" t="str">
        <f t="shared" si="80"/>
        <v/>
      </c>
      <c r="AD419" s="504" t="str">
        <f t="shared" si="80"/>
        <v/>
      </c>
      <c r="AE419" s="504" t="str">
        <f t="shared" si="80"/>
        <v/>
      </c>
      <c r="AF419" s="504" t="str">
        <f t="shared" si="80"/>
        <v/>
      </c>
      <c r="AG419" s="504" t="str">
        <f t="shared" si="80"/>
        <v/>
      </c>
      <c r="AH419" s="504" t="str">
        <f t="shared" si="80"/>
        <v/>
      </c>
      <c r="AI419" s="504" t="str">
        <f t="shared" si="80"/>
        <v/>
      </c>
      <c r="AJ419" s="504" t="str">
        <f t="shared" si="81"/>
        <v/>
      </c>
      <c r="AK419" s="504" t="str">
        <f t="shared" si="81"/>
        <v/>
      </c>
      <c r="AL419" s="504" t="str">
        <f t="shared" si="81"/>
        <v/>
      </c>
      <c r="AM419" s="504" t="str">
        <f t="shared" si="81"/>
        <v/>
      </c>
      <c r="AN419" s="504" t="str">
        <f t="shared" si="81"/>
        <v/>
      </c>
      <c r="AO419" s="504" t="str">
        <f t="shared" si="81"/>
        <v/>
      </c>
      <c r="AP419" s="504" t="str">
        <f t="shared" si="81"/>
        <v/>
      </c>
      <c r="AQ419" s="504" t="str">
        <f t="shared" si="81"/>
        <v/>
      </c>
      <c r="AR419" s="504" t="str">
        <f t="shared" si="81"/>
        <v/>
      </c>
      <c r="AS419" s="504" t="str">
        <f t="shared" si="81"/>
        <v/>
      </c>
    </row>
    <row r="420" spans="2:50" s="500" customFormat="1">
      <c r="B420" s="500">
        <v>13</v>
      </c>
      <c r="C420" s="501" t="str">
        <f t="shared" si="77"/>
        <v>13TransportRoad Transport Vehicle Kilometres</v>
      </c>
      <c r="D420" s="501" t="s">
        <v>279</v>
      </c>
      <c r="E420" s="504" t="str">
        <f t="shared" si="75"/>
        <v/>
      </c>
      <c r="F420" s="504" t="str">
        <f t="shared" si="78"/>
        <v/>
      </c>
      <c r="G420" s="504" t="str">
        <f t="shared" si="78"/>
        <v/>
      </c>
      <c r="H420" s="504" t="str">
        <f t="shared" si="78"/>
        <v/>
      </c>
      <c r="I420" s="504" t="str">
        <f t="shared" si="78"/>
        <v/>
      </c>
      <c r="J420" s="504" t="str">
        <f t="shared" si="78"/>
        <v/>
      </c>
      <c r="K420" s="504" t="str">
        <f t="shared" si="78"/>
        <v/>
      </c>
      <c r="L420" s="504" t="str">
        <f t="shared" si="78"/>
        <v/>
      </c>
      <c r="M420" s="504" t="str">
        <f t="shared" si="78"/>
        <v/>
      </c>
      <c r="N420" s="504" t="str">
        <f t="shared" si="78"/>
        <v/>
      </c>
      <c r="O420" s="504" t="str">
        <f t="shared" si="78"/>
        <v/>
      </c>
      <c r="P420" s="504" t="str">
        <f t="shared" si="79"/>
        <v/>
      </c>
      <c r="Q420" s="504" t="str">
        <f t="shared" si="79"/>
        <v/>
      </c>
      <c r="R420" s="504" t="str">
        <f t="shared" si="79"/>
        <v/>
      </c>
      <c r="S420" s="504" t="str">
        <f t="shared" si="79"/>
        <v/>
      </c>
      <c r="T420" s="504" t="str">
        <f t="shared" si="79"/>
        <v/>
      </c>
      <c r="U420" s="504" t="str">
        <f t="shared" si="79"/>
        <v/>
      </c>
      <c r="V420" s="504" t="str">
        <f t="shared" si="79"/>
        <v/>
      </c>
      <c r="W420" s="504" t="str">
        <f t="shared" si="79"/>
        <v/>
      </c>
      <c r="X420" s="504" t="str">
        <f t="shared" si="79"/>
        <v/>
      </c>
      <c r="Y420" s="504" t="str">
        <f t="shared" si="79"/>
        <v/>
      </c>
      <c r="Z420" s="504" t="str">
        <f t="shared" si="80"/>
        <v/>
      </c>
      <c r="AA420" s="504" t="str">
        <f t="shared" si="80"/>
        <v/>
      </c>
      <c r="AB420" s="504" t="str">
        <f t="shared" si="80"/>
        <v/>
      </c>
      <c r="AC420" s="504" t="str">
        <f t="shared" si="80"/>
        <v/>
      </c>
      <c r="AD420" s="504" t="str">
        <f t="shared" si="80"/>
        <v/>
      </c>
      <c r="AE420" s="504" t="str">
        <f t="shared" si="80"/>
        <v/>
      </c>
      <c r="AF420" s="504" t="str">
        <f t="shared" si="80"/>
        <v/>
      </c>
      <c r="AG420" s="504" t="str">
        <f t="shared" si="80"/>
        <v/>
      </c>
      <c r="AH420" s="504" t="str">
        <f t="shared" si="80"/>
        <v/>
      </c>
      <c r="AI420" s="504" t="str">
        <f t="shared" si="80"/>
        <v/>
      </c>
      <c r="AJ420" s="504" t="str">
        <f t="shared" si="81"/>
        <v/>
      </c>
      <c r="AK420" s="504" t="str">
        <f t="shared" si="81"/>
        <v/>
      </c>
      <c r="AL420" s="504" t="str">
        <f t="shared" si="81"/>
        <v/>
      </c>
      <c r="AM420" s="504" t="str">
        <f t="shared" si="81"/>
        <v/>
      </c>
      <c r="AN420" s="504" t="str">
        <f t="shared" si="81"/>
        <v/>
      </c>
      <c r="AO420" s="504" t="str">
        <f t="shared" si="81"/>
        <v/>
      </c>
      <c r="AP420" s="504" t="str">
        <f t="shared" si="81"/>
        <v/>
      </c>
      <c r="AQ420" s="504" t="str">
        <f t="shared" si="81"/>
        <v/>
      </c>
      <c r="AR420" s="504" t="str">
        <f t="shared" si="81"/>
        <v/>
      </c>
      <c r="AS420" s="504" t="str">
        <f t="shared" si="81"/>
        <v/>
      </c>
    </row>
    <row r="421" spans="2:50" s="500" customFormat="1">
      <c r="B421" s="500">
        <v>14</v>
      </c>
      <c r="C421" s="501" t="str">
        <f t="shared" si="77"/>
        <v>14TransportRoad Transport Vehicle Kilometres</v>
      </c>
      <c r="D421" s="501" t="s">
        <v>279</v>
      </c>
      <c r="E421" s="504" t="str">
        <f t="shared" si="75"/>
        <v/>
      </c>
      <c r="F421" s="504" t="str">
        <f t="shared" si="78"/>
        <v/>
      </c>
      <c r="G421" s="504" t="str">
        <f t="shared" si="78"/>
        <v/>
      </c>
      <c r="H421" s="504" t="str">
        <f t="shared" si="78"/>
        <v/>
      </c>
      <c r="I421" s="504" t="str">
        <f t="shared" si="78"/>
        <v/>
      </c>
      <c r="J421" s="504" t="str">
        <f t="shared" si="78"/>
        <v/>
      </c>
      <c r="K421" s="504" t="str">
        <f t="shared" si="78"/>
        <v/>
      </c>
      <c r="L421" s="504" t="str">
        <f t="shared" si="78"/>
        <v/>
      </c>
      <c r="M421" s="504" t="str">
        <f t="shared" si="78"/>
        <v/>
      </c>
      <c r="N421" s="504" t="str">
        <f t="shared" si="78"/>
        <v/>
      </c>
      <c r="O421" s="504" t="str">
        <f t="shared" si="78"/>
        <v/>
      </c>
      <c r="P421" s="504" t="str">
        <f t="shared" si="79"/>
        <v/>
      </c>
      <c r="Q421" s="504" t="str">
        <f t="shared" si="79"/>
        <v/>
      </c>
      <c r="R421" s="504" t="str">
        <f t="shared" si="79"/>
        <v/>
      </c>
      <c r="S421" s="504" t="str">
        <f t="shared" si="79"/>
        <v/>
      </c>
      <c r="T421" s="504" t="str">
        <f t="shared" si="79"/>
        <v/>
      </c>
      <c r="U421" s="504" t="str">
        <f t="shared" si="79"/>
        <v/>
      </c>
      <c r="V421" s="504" t="str">
        <f t="shared" si="79"/>
        <v/>
      </c>
      <c r="W421" s="504" t="str">
        <f t="shared" si="79"/>
        <v/>
      </c>
      <c r="X421" s="504" t="str">
        <f t="shared" si="79"/>
        <v/>
      </c>
      <c r="Y421" s="504" t="str">
        <f t="shared" si="79"/>
        <v/>
      </c>
      <c r="Z421" s="504" t="str">
        <f t="shared" si="80"/>
        <v/>
      </c>
      <c r="AA421" s="504" t="str">
        <f t="shared" si="80"/>
        <v/>
      </c>
      <c r="AB421" s="504" t="str">
        <f t="shared" si="80"/>
        <v/>
      </c>
      <c r="AC421" s="504" t="str">
        <f t="shared" si="80"/>
        <v/>
      </c>
      <c r="AD421" s="504" t="str">
        <f t="shared" si="80"/>
        <v/>
      </c>
      <c r="AE421" s="504" t="str">
        <f t="shared" si="80"/>
        <v/>
      </c>
      <c r="AF421" s="504" t="str">
        <f t="shared" si="80"/>
        <v/>
      </c>
      <c r="AG421" s="504" t="str">
        <f t="shared" si="80"/>
        <v/>
      </c>
      <c r="AH421" s="504" t="str">
        <f t="shared" si="80"/>
        <v/>
      </c>
      <c r="AI421" s="504" t="str">
        <f t="shared" si="80"/>
        <v/>
      </c>
      <c r="AJ421" s="504" t="str">
        <f t="shared" si="81"/>
        <v/>
      </c>
      <c r="AK421" s="504" t="str">
        <f t="shared" si="81"/>
        <v/>
      </c>
      <c r="AL421" s="504" t="str">
        <f t="shared" si="81"/>
        <v/>
      </c>
      <c r="AM421" s="504" t="str">
        <f t="shared" si="81"/>
        <v/>
      </c>
      <c r="AN421" s="504" t="str">
        <f t="shared" si="81"/>
        <v/>
      </c>
      <c r="AO421" s="504" t="str">
        <f t="shared" si="81"/>
        <v/>
      </c>
      <c r="AP421" s="504" t="str">
        <f t="shared" si="81"/>
        <v/>
      </c>
      <c r="AQ421" s="504" t="str">
        <f t="shared" si="81"/>
        <v/>
      </c>
      <c r="AR421" s="504" t="str">
        <f t="shared" si="81"/>
        <v/>
      </c>
      <c r="AS421" s="504" t="str">
        <f t="shared" si="81"/>
        <v/>
      </c>
    </row>
    <row r="422" spans="2:50" s="500" customFormat="1">
      <c r="B422" s="500" t="s">
        <v>208</v>
      </c>
      <c r="C422" s="501" t="str">
        <f t="shared" si="77"/>
        <v>NTransportRoad Transport Vehicle Kilometres</v>
      </c>
      <c r="D422" s="501" t="s">
        <v>279</v>
      </c>
      <c r="E422" s="504" t="str">
        <f>IFERROR(INDEX(E$1:E$404,MATCH($C422,$B$1:$B$404,0)),"")</f>
        <v>This is based on the Mayor's Transport Strategy, reflecting significant modal shift and uptake of electric vehicles, with some hydrogen fuel cell vehicles if available</v>
      </c>
      <c r="F422" s="504">
        <f t="shared" si="78"/>
        <v>0</v>
      </c>
      <c r="G422" s="504">
        <f t="shared" si="78"/>
        <v>0</v>
      </c>
      <c r="H422" s="504">
        <f t="shared" si="78"/>
        <v>0</v>
      </c>
      <c r="I422" s="504">
        <f t="shared" si="78"/>
        <v>0</v>
      </c>
      <c r="J422" s="504">
        <f t="shared" si="78"/>
        <v>0</v>
      </c>
      <c r="K422" s="504">
        <f t="shared" si="78"/>
        <v>0</v>
      </c>
      <c r="L422" s="504">
        <f t="shared" si="78"/>
        <v>0</v>
      </c>
      <c r="M422" s="504">
        <f t="shared" si="78"/>
        <v>0</v>
      </c>
      <c r="N422" s="504">
        <f t="shared" si="78"/>
        <v>0</v>
      </c>
      <c r="O422" s="504">
        <f t="shared" si="78"/>
        <v>0</v>
      </c>
      <c r="P422" s="504">
        <f t="shared" si="79"/>
        <v>0</v>
      </c>
      <c r="Q422" s="504">
        <f t="shared" si="79"/>
        <v>0</v>
      </c>
      <c r="R422" s="504">
        <f t="shared" si="79"/>
        <v>0</v>
      </c>
      <c r="S422" s="504">
        <f t="shared" si="79"/>
        <v>0</v>
      </c>
      <c r="T422" s="504">
        <f t="shared" si="79"/>
        <v>0</v>
      </c>
      <c r="U422" s="504">
        <f t="shared" si="79"/>
        <v>0</v>
      </c>
      <c r="V422" s="504">
        <f t="shared" si="79"/>
        <v>0</v>
      </c>
      <c r="W422" s="504">
        <f t="shared" si="79"/>
        <v>0</v>
      </c>
      <c r="X422" s="504">
        <f t="shared" si="79"/>
        <v>0</v>
      </c>
      <c r="Y422" s="504">
        <f t="shared" si="79"/>
        <v>0</v>
      </c>
      <c r="Z422" s="504">
        <f t="shared" si="80"/>
        <v>0</v>
      </c>
      <c r="AA422" s="504">
        <f t="shared" si="80"/>
        <v>0</v>
      </c>
      <c r="AB422" s="504">
        <f t="shared" si="80"/>
        <v>0</v>
      </c>
      <c r="AC422" s="504">
        <f t="shared" si="80"/>
        <v>0</v>
      </c>
      <c r="AD422" s="504">
        <f t="shared" si="80"/>
        <v>0</v>
      </c>
      <c r="AE422" s="504">
        <f t="shared" si="80"/>
        <v>0</v>
      </c>
      <c r="AF422" s="504">
        <f t="shared" si="80"/>
        <v>0</v>
      </c>
      <c r="AG422" s="504">
        <f t="shared" si="80"/>
        <v>0</v>
      </c>
      <c r="AH422" s="504">
        <f t="shared" si="80"/>
        <v>0</v>
      </c>
      <c r="AI422" s="504">
        <f t="shared" si="80"/>
        <v>0</v>
      </c>
      <c r="AJ422" s="504">
        <f t="shared" si="81"/>
        <v>0</v>
      </c>
      <c r="AK422" s="504">
        <f t="shared" si="81"/>
        <v>0</v>
      </c>
      <c r="AL422" s="504">
        <f t="shared" si="81"/>
        <v>0</v>
      </c>
      <c r="AM422" s="504">
        <f t="shared" si="81"/>
        <v>0</v>
      </c>
      <c r="AN422" s="504">
        <f t="shared" si="81"/>
        <v>0</v>
      </c>
      <c r="AO422" s="504">
        <f t="shared" si="81"/>
        <v>0</v>
      </c>
      <c r="AP422" s="504">
        <f t="shared" si="81"/>
        <v>0</v>
      </c>
      <c r="AQ422" s="504">
        <f t="shared" si="81"/>
        <v>0</v>
      </c>
      <c r="AR422" s="504">
        <f t="shared" si="81"/>
        <v>0</v>
      </c>
      <c r="AS422" s="504">
        <f t="shared" si="81"/>
        <v>0</v>
      </c>
      <c r="AT422" s="500">
        <f>SUM(AT408:AT418)</f>
        <v>0</v>
      </c>
      <c r="AU422" s="500">
        <f>SUM(AU408:AU418)</f>
        <v>0</v>
      </c>
      <c r="AV422" s="500">
        <f>SUM(AV408:AV418)</f>
        <v>0</v>
      </c>
      <c r="AW422" s="500">
        <f>SUM(AW408:AW418)</f>
        <v>0</v>
      </c>
      <c r="AX422" s="500">
        <f>SUM(AX408:AX418)</f>
        <v>0</v>
      </c>
    </row>
    <row r="425" spans="2:50">
      <c r="D425" s="692"/>
      <c r="E425" s="692"/>
      <c r="F425" s="693"/>
      <c r="G425" s="693"/>
      <c r="H425" s="693"/>
      <c r="I425" s="693"/>
    </row>
    <row r="427" spans="2:50">
      <c r="E427" s="568"/>
      <c r="G427" s="568"/>
      <c r="I427" s="568"/>
      <c r="J427" s="180"/>
    </row>
    <row r="428" spans="2:50">
      <c r="E428" s="568"/>
      <c r="G428" s="184"/>
      <c r="I428" s="568"/>
      <c r="J428" s="180"/>
    </row>
    <row r="429" spans="2:50">
      <c r="E429" s="184"/>
      <c r="G429" s="568"/>
      <c r="I429" s="184"/>
      <c r="J429" s="180"/>
    </row>
    <row r="430" spans="2:50">
      <c r="E430" s="184"/>
      <c r="G430" s="568"/>
      <c r="I430" s="184"/>
      <c r="J430" s="180"/>
    </row>
    <row r="431" spans="2:50">
      <c r="E431" s="184"/>
      <c r="G431" s="184"/>
      <c r="I431" s="184"/>
      <c r="J431" s="180"/>
      <c r="K431" s="39"/>
      <c r="L431" s="39"/>
      <c r="M431" s="39"/>
      <c r="N431" s="39"/>
      <c r="O431" s="39"/>
      <c r="P431" s="39"/>
      <c r="Q431" s="39"/>
      <c r="R431" s="39"/>
      <c r="S431" s="39"/>
      <c r="T431" s="39"/>
      <c r="U431" s="39"/>
      <c r="V431" s="39"/>
      <c r="W431" s="39"/>
      <c r="X431" s="39"/>
      <c r="Y431" s="39"/>
      <c r="Z431" s="39"/>
      <c r="AA431" s="39"/>
      <c r="AB431" s="39"/>
      <c r="AC431" s="39"/>
      <c r="AD431" s="39"/>
      <c r="AE431" s="39"/>
      <c r="AF431" s="39"/>
      <c r="AG431" s="39"/>
      <c r="AH431" s="39"/>
      <c r="AI431" s="39"/>
      <c r="AJ431" s="39"/>
      <c r="AK431" s="39"/>
      <c r="AL431" s="39"/>
      <c r="AM431" s="39"/>
      <c r="AN431" s="39"/>
      <c r="AO431" s="39"/>
      <c r="AP431" s="39"/>
      <c r="AQ431" s="39"/>
      <c r="AR431" s="39"/>
      <c r="AS431" s="39"/>
    </row>
    <row r="432" spans="2:50">
      <c r="J432" s="39"/>
      <c r="K432" s="39"/>
      <c r="L432" s="39"/>
      <c r="M432" s="39"/>
      <c r="N432" s="39"/>
      <c r="O432" s="39"/>
      <c r="P432" s="39"/>
      <c r="Q432" s="39"/>
      <c r="R432" s="39"/>
      <c r="S432" s="39"/>
      <c r="T432" s="39"/>
      <c r="U432" s="39"/>
      <c r="V432" s="39"/>
      <c r="W432" s="39"/>
      <c r="X432" s="39"/>
      <c r="Y432" s="39"/>
      <c r="Z432" s="39"/>
      <c r="AA432" s="39"/>
      <c r="AB432" s="39"/>
      <c r="AC432" s="39"/>
      <c r="AD432" s="39"/>
      <c r="AE432" s="39"/>
      <c r="AF432" s="39"/>
      <c r="AG432" s="39"/>
      <c r="AH432" s="39"/>
      <c r="AI432" s="39"/>
      <c r="AJ432" s="39"/>
      <c r="AK432" s="39"/>
      <c r="AL432" s="39"/>
      <c r="AM432" s="39"/>
      <c r="AN432" s="39"/>
      <c r="AO432" s="39"/>
      <c r="AP432" s="39"/>
      <c r="AQ432" s="39"/>
      <c r="AR432" s="39"/>
      <c r="AS432" s="39"/>
    </row>
    <row r="433" spans="10:45">
      <c r="J433" s="39"/>
      <c r="K433" s="39"/>
      <c r="L433" s="39"/>
      <c r="M433" s="39"/>
      <c r="N433" s="39"/>
      <c r="O433" s="39"/>
      <c r="P433" s="39"/>
      <c r="Q433" s="39"/>
      <c r="R433" s="39"/>
      <c r="S433" s="39"/>
      <c r="T433" s="39"/>
      <c r="U433" s="39"/>
      <c r="V433" s="39"/>
      <c r="W433" s="39"/>
      <c r="X433" s="39"/>
      <c r="Y433" s="39"/>
      <c r="Z433" s="39"/>
      <c r="AA433" s="39"/>
      <c r="AB433" s="39"/>
      <c r="AC433" s="39"/>
      <c r="AD433" s="39"/>
      <c r="AE433" s="39"/>
      <c r="AF433" s="39"/>
      <c r="AG433" s="39"/>
      <c r="AH433" s="39"/>
      <c r="AI433" s="39"/>
      <c r="AJ433" s="39"/>
      <c r="AK433" s="39"/>
      <c r="AL433" s="39"/>
      <c r="AM433" s="39"/>
      <c r="AN433" s="39"/>
      <c r="AO433" s="39"/>
      <c r="AP433" s="39"/>
      <c r="AQ433" s="39"/>
      <c r="AR433" s="39"/>
      <c r="AS433" s="39"/>
    </row>
    <row r="434" spans="10:45">
      <c r="J434" s="39"/>
      <c r="K434" s="39"/>
      <c r="L434" s="39"/>
      <c r="M434" s="39"/>
      <c r="N434" s="39"/>
      <c r="O434" s="39"/>
      <c r="P434" s="39"/>
      <c r="Q434" s="39"/>
      <c r="R434" s="39"/>
      <c r="S434" s="39"/>
      <c r="T434" s="39"/>
      <c r="U434" s="39"/>
      <c r="V434" s="39"/>
      <c r="W434" s="39"/>
      <c r="X434" s="39"/>
      <c r="Y434" s="39"/>
      <c r="Z434" s="39"/>
      <c r="AA434" s="39"/>
      <c r="AB434" s="39"/>
      <c r="AC434" s="39"/>
      <c r="AD434" s="39"/>
      <c r="AE434" s="39"/>
      <c r="AF434" s="39"/>
      <c r="AG434" s="39"/>
      <c r="AH434" s="39"/>
      <c r="AI434" s="39"/>
      <c r="AJ434" s="39"/>
      <c r="AK434" s="39"/>
      <c r="AL434" s="39"/>
      <c r="AM434" s="39"/>
      <c r="AN434" s="39"/>
      <c r="AO434" s="39"/>
      <c r="AP434" s="39"/>
      <c r="AQ434" s="39"/>
      <c r="AR434" s="39"/>
      <c r="AS434" s="39"/>
    </row>
  </sheetData>
  <sheetProtection algorithmName="SHA-512" hashValue="/HtpHTV6mL89Q1ZfPhTCKazXFVilgL7C1jLy72b8IPhUNmZh9GxtZIy8ojmkrFH6P09mMZ9UNy3zkB5Wx0DIxg==" saltValue="AxoXNOQQTrLv6Y0WlDwo6g==" spinCount="100000" sheet="1" objects="1" scenarios="1"/>
  <mergeCells count="3">
    <mergeCell ref="D425:E425"/>
    <mergeCell ref="F425:G425"/>
    <mergeCell ref="H425:I425"/>
  </mergeCells>
  <conditionalFormatting sqref="J19:AS19 J21:AS22">
    <cfRule type="cellIs" dxfId="448" priority="74" operator="lessThan">
      <formula>0</formula>
    </cfRule>
  </conditionalFormatting>
  <conditionalFormatting sqref="J17:AS17">
    <cfRule type="cellIs" dxfId="447" priority="73" operator="lessThan">
      <formula>0</formula>
    </cfRule>
  </conditionalFormatting>
  <conditionalFormatting sqref="J47:AS47">
    <cfRule type="cellIs" dxfId="446" priority="72" operator="lessThan">
      <formula>0</formula>
    </cfRule>
  </conditionalFormatting>
  <conditionalFormatting sqref="J35:AS35">
    <cfRule type="cellIs" dxfId="445" priority="71" operator="lessThan">
      <formula>0</formula>
    </cfRule>
  </conditionalFormatting>
  <conditionalFormatting sqref="J65:AS65 AT58:XFD58">
    <cfRule type="cellIs" dxfId="444" priority="69" operator="lessThan">
      <formula>0</formula>
    </cfRule>
  </conditionalFormatting>
  <conditionalFormatting sqref="J53:AS53">
    <cfRule type="cellIs" dxfId="443" priority="68" operator="lessThan">
      <formula>0</formula>
    </cfRule>
  </conditionalFormatting>
  <conditionalFormatting sqref="K59:AS59">
    <cfRule type="cellIs" dxfId="442" priority="67" operator="lessThan">
      <formula>0</formula>
    </cfRule>
  </conditionalFormatting>
  <conditionalFormatting sqref="J154:AS154">
    <cfRule type="cellIs" dxfId="441" priority="66" operator="lessThan">
      <formula>0</formula>
    </cfRule>
  </conditionalFormatting>
  <conditionalFormatting sqref="J142:AS142">
    <cfRule type="cellIs" dxfId="440" priority="65" operator="lessThan">
      <formula>0</formula>
    </cfRule>
  </conditionalFormatting>
  <conditionalFormatting sqref="J172:AS172">
    <cfRule type="cellIs" dxfId="439" priority="64" operator="lessThan">
      <formula>0</formula>
    </cfRule>
  </conditionalFormatting>
  <conditionalFormatting sqref="J160:AS160">
    <cfRule type="cellIs" dxfId="438" priority="63" operator="lessThan">
      <formula>0</formula>
    </cfRule>
  </conditionalFormatting>
  <conditionalFormatting sqref="J190:AS191 J183:XFD183">
    <cfRule type="cellIs" dxfId="437" priority="61" operator="lessThan">
      <formula>0</formula>
    </cfRule>
  </conditionalFormatting>
  <conditionalFormatting sqref="J178:AS178">
    <cfRule type="cellIs" dxfId="436" priority="60" operator="lessThan">
      <formula>0</formula>
    </cfRule>
  </conditionalFormatting>
  <conditionalFormatting sqref="J184:AS184">
    <cfRule type="cellIs" dxfId="435" priority="59" operator="lessThan">
      <formula>0</formula>
    </cfRule>
  </conditionalFormatting>
  <conditionalFormatting sqref="J226:AS226">
    <cfRule type="cellIs" dxfId="434" priority="57" operator="lessThan">
      <formula>0</formula>
    </cfRule>
  </conditionalFormatting>
  <conditionalFormatting sqref="J214:AS214">
    <cfRule type="cellIs" dxfId="433" priority="56" operator="lessThan">
      <formula>0</formula>
    </cfRule>
  </conditionalFormatting>
  <conditionalFormatting sqref="J244:AS244">
    <cfRule type="cellIs" dxfId="432" priority="55" operator="lessThan">
      <formula>0</formula>
    </cfRule>
  </conditionalFormatting>
  <conditionalFormatting sqref="J232:AS232">
    <cfRule type="cellIs" dxfId="431" priority="54" operator="lessThan">
      <formula>0</formula>
    </cfRule>
  </conditionalFormatting>
  <conditionalFormatting sqref="J262:AS262 AT255:XFD255">
    <cfRule type="cellIs" dxfId="430" priority="52" operator="lessThan">
      <formula>0</formula>
    </cfRule>
  </conditionalFormatting>
  <conditionalFormatting sqref="J250:AS250">
    <cfRule type="cellIs" dxfId="429" priority="51" operator="lessThan">
      <formula>0</formula>
    </cfRule>
  </conditionalFormatting>
  <conditionalFormatting sqref="J256:AS256">
    <cfRule type="cellIs" dxfId="428" priority="50" operator="lessThan">
      <formula>0</formula>
    </cfRule>
  </conditionalFormatting>
  <conditionalFormatting sqref="J296:AS296 K288:AS289">
    <cfRule type="cellIs" dxfId="427" priority="48" operator="lessThan">
      <formula>0</formula>
    </cfRule>
  </conditionalFormatting>
  <conditionalFormatting sqref="J284:AS284">
    <cfRule type="cellIs" dxfId="426" priority="47" operator="lessThan">
      <formula>0</formula>
    </cfRule>
  </conditionalFormatting>
  <conditionalFormatting sqref="K290:AS290">
    <cfRule type="cellIs" dxfId="425" priority="46" operator="lessThan">
      <formula>0</formula>
    </cfRule>
  </conditionalFormatting>
  <conditionalFormatting sqref="J331:AS331">
    <cfRule type="cellIs" dxfId="424" priority="45" operator="lessThan">
      <formula>0</formula>
    </cfRule>
  </conditionalFormatting>
  <conditionalFormatting sqref="J319:AS319">
    <cfRule type="cellIs" dxfId="423" priority="44" operator="lessThan">
      <formula>0</formula>
    </cfRule>
  </conditionalFormatting>
  <conditionalFormatting sqref="J348:AS348 K341:AS341">
    <cfRule type="cellIs" dxfId="422" priority="42" operator="lessThan">
      <formula>0</formula>
    </cfRule>
  </conditionalFormatting>
  <conditionalFormatting sqref="J336:AS336">
    <cfRule type="cellIs" dxfId="421" priority="41" operator="lessThan">
      <formula>0</formula>
    </cfRule>
  </conditionalFormatting>
  <conditionalFormatting sqref="K342:AS342">
    <cfRule type="cellIs" dxfId="420" priority="40" operator="lessThan">
      <formula>0</formula>
    </cfRule>
  </conditionalFormatting>
  <conditionalFormatting sqref="J365:AS365">
    <cfRule type="cellIs" dxfId="419" priority="39" operator="lessThan">
      <formula>0</formula>
    </cfRule>
  </conditionalFormatting>
  <conditionalFormatting sqref="J353:AS353">
    <cfRule type="cellIs" dxfId="418" priority="38" operator="lessThan">
      <formula>0</formula>
    </cfRule>
  </conditionalFormatting>
  <conditionalFormatting sqref="J383:AS383">
    <cfRule type="cellIs" dxfId="417" priority="36" operator="lessThan">
      <formula>0</formula>
    </cfRule>
  </conditionalFormatting>
  <conditionalFormatting sqref="J371:AS371">
    <cfRule type="cellIs" dxfId="416" priority="35" operator="lessThan">
      <formula>0</formula>
    </cfRule>
  </conditionalFormatting>
  <conditionalFormatting sqref="J401:AS401 K391:AS391 K393:AS394">
    <cfRule type="cellIs" dxfId="415" priority="33" operator="lessThan">
      <formula>0</formula>
    </cfRule>
  </conditionalFormatting>
  <conditionalFormatting sqref="J389:AS389">
    <cfRule type="cellIs" dxfId="414" priority="32" operator="lessThan">
      <formula>0</formula>
    </cfRule>
  </conditionalFormatting>
  <conditionalFormatting sqref="K395:AS395">
    <cfRule type="cellIs" dxfId="413" priority="31" operator="lessThan">
      <formula>0</formula>
    </cfRule>
  </conditionalFormatting>
  <conditionalFormatting sqref="J279:AS279 J272:XFD272">
    <cfRule type="cellIs" dxfId="412" priority="27" operator="lessThan">
      <formula>0</formula>
    </cfRule>
  </conditionalFormatting>
  <conditionalFormatting sqref="J267:AS267">
    <cfRule type="cellIs" dxfId="411" priority="26" operator="lessThan">
      <formula>0</formula>
    </cfRule>
  </conditionalFormatting>
  <conditionalFormatting sqref="J273:AS273">
    <cfRule type="cellIs" dxfId="410" priority="25" operator="lessThan">
      <formula>0</formula>
    </cfRule>
  </conditionalFormatting>
  <conditionalFormatting sqref="J207:AS207 AT200:XFD200">
    <cfRule type="cellIs" dxfId="409" priority="24" operator="lessThan">
      <formula>0</formula>
    </cfRule>
  </conditionalFormatting>
  <conditionalFormatting sqref="J195:AS195">
    <cfRule type="cellIs" dxfId="408" priority="23" operator="lessThan">
      <formula>0</formula>
    </cfRule>
  </conditionalFormatting>
  <conditionalFormatting sqref="J201:AS201">
    <cfRule type="cellIs" dxfId="407" priority="22" operator="lessThan">
      <formula>0</formula>
    </cfRule>
  </conditionalFormatting>
  <conditionalFormatting sqref="J83:AS83">
    <cfRule type="cellIs" dxfId="406" priority="21" operator="lessThan">
      <formula>0</formula>
    </cfRule>
  </conditionalFormatting>
  <conditionalFormatting sqref="J71:AS71">
    <cfRule type="cellIs" dxfId="405" priority="20" operator="lessThan">
      <formula>0</formula>
    </cfRule>
  </conditionalFormatting>
  <conditionalFormatting sqref="J101:AS101">
    <cfRule type="cellIs" dxfId="404" priority="19" operator="lessThan">
      <formula>0</formula>
    </cfRule>
  </conditionalFormatting>
  <conditionalFormatting sqref="J89:AS89">
    <cfRule type="cellIs" dxfId="403" priority="18" operator="lessThan">
      <formula>0</formula>
    </cfRule>
  </conditionalFormatting>
  <conditionalFormatting sqref="J136:AS136 AT129:XFD129">
    <cfRule type="cellIs" dxfId="402" priority="16" operator="lessThan">
      <formula>0</formula>
    </cfRule>
  </conditionalFormatting>
  <conditionalFormatting sqref="J124:AS124">
    <cfRule type="cellIs" dxfId="401" priority="15" operator="lessThan">
      <formula>0</formula>
    </cfRule>
  </conditionalFormatting>
  <conditionalFormatting sqref="J130:AS130">
    <cfRule type="cellIs" dxfId="400" priority="14" operator="lessThan">
      <formula>0</formula>
    </cfRule>
  </conditionalFormatting>
  <conditionalFormatting sqref="J118:AS119 AT111:XFD111">
    <cfRule type="cellIs" dxfId="399" priority="13" operator="lessThan">
      <formula>0</formula>
    </cfRule>
  </conditionalFormatting>
  <conditionalFormatting sqref="J106:AS106">
    <cfRule type="cellIs" dxfId="398" priority="12" operator="lessThan">
      <formula>0</formula>
    </cfRule>
  </conditionalFormatting>
  <conditionalFormatting sqref="K16:AS16">
    <cfRule type="cellIs" dxfId="397" priority="7" operator="lessThan">
      <formula>0</formula>
    </cfRule>
  </conditionalFormatting>
  <conditionalFormatting sqref="J313:AS313 K305:AS306">
    <cfRule type="cellIs" dxfId="396" priority="6" operator="lessThan">
      <formula>0</formula>
    </cfRule>
  </conditionalFormatting>
  <conditionalFormatting sqref="J301:AS301">
    <cfRule type="cellIs" dxfId="395" priority="5" operator="lessThan">
      <formula>0</formula>
    </cfRule>
  </conditionalFormatting>
  <conditionalFormatting sqref="K307:AS307">
    <cfRule type="cellIs" dxfId="394" priority="4" operator="lessThan">
      <formula>0</formula>
    </cfRule>
  </conditionalFormatting>
  <conditionalFormatting sqref="K343:AS343">
    <cfRule type="cellIs" dxfId="393" priority="1" operator="lessThan">
      <formula>0</formula>
    </cfRule>
  </conditionalFormatting>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0" tint="-0.249977111117893"/>
  </sheetPr>
  <dimension ref="A1:AX63"/>
  <sheetViews>
    <sheetView zoomScaleNormal="100" workbookViewId="0"/>
  </sheetViews>
  <sheetFormatPr defaultRowHeight="15"/>
  <cols>
    <col min="2" max="2" width="12" customWidth="1"/>
    <col min="5" max="5" width="38.42578125" customWidth="1"/>
    <col min="46" max="46" width="10.5703125" bestFit="1" customWidth="1"/>
  </cols>
  <sheetData>
    <row r="1" spans="1:46">
      <c r="B1" t="s">
        <v>155</v>
      </c>
    </row>
    <row r="2" spans="1:46">
      <c r="B2" s="229" t="s">
        <v>150</v>
      </c>
    </row>
    <row r="3" spans="1:46">
      <c r="B3" s="229" t="s">
        <v>280</v>
      </c>
    </row>
    <row r="4" spans="1:46">
      <c r="B4" s="229" t="s">
        <v>281</v>
      </c>
    </row>
    <row r="6" spans="1:46" s="240" customFormat="1">
      <c r="D6" s="241" t="s">
        <v>282</v>
      </c>
      <c r="E6" s="242"/>
    </row>
    <row r="7" spans="1:46" s="229" customFormat="1">
      <c r="A7" s="229">
        <v>0</v>
      </c>
      <c r="B7" s="229" t="str">
        <f>A7&amp;C7</f>
        <v>0Annual Heat Pump Installations</v>
      </c>
      <c r="C7" s="234" t="str">
        <f>$B$2</f>
        <v>Annual Heat Pump Installations</v>
      </c>
      <c r="E7" s="313" t="s">
        <v>283</v>
      </c>
      <c r="F7" s="313"/>
      <c r="G7" s="313"/>
    </row>
    <row r="8" spans="1:46" s="229" customFormat="1">
      <c r="A8" s="229">
        <v>1</v>
      </c>
      <c r="B8" s="229" t="str">
        <f t="shared" ref="B8:B13" si="0">A8&amp;C8</f>
        <v>1Annual Heat Pump Installations</v>
      </c>
      <c r="C8" s="234" t="str">
        <f t="shared" ref="C8:C14" si="1">$B$2</f>
        <v>Annual Heat Pump Installations</v>
      </c>
      <c r="E8" s="313" t="s">
        <v>284</v>
      </c>
      <c r="F8" s="313"/>
      <c r="G8" s="313"/>
      <c r="H8" s="313"/>
      <c r="I8" s="313"/>
      <c r="J8" s="302">
        <f>'3.3 Retrofits and Heat Pumps'!J86</f>
        <v>0</v>
      </c>
      <c r="K8" s="302">
        <f>'3.3 Retrofits and Heat Pumps'!K86</f>
        <v>0</v>
      </c>
      <c r="L8" s="302">
        <f>'3.3 Retrofits and Heat Pumps'!L86</f>
        <v>0</v>
      </c>
      <c r="M8" s="302">
        <f>'3.3 Retrofits and Heat Pumps'!M86</f>
        <v>0</v>
      </c>
      <c r="N8" s="302">
        <f>'3.3 Retrofits and Heat Pumps'!N86</f>
        <v>0</v>
      </c>
      <c r="O8" s="302">
        <f>'3.3 Retrofits and Heat Pumps'!O86</f>
        <v>0</v>
      </c>
      <c r="P8" s="302">
        <f>'3.3 Retrofits and Heat Pumps'!P86</f>
        <v>3846.3824216201342</v>
      </c>
      <c r="Q8" s="302">
        <f>'3.3 Retrofits and Heat Pumps'!Q86</f>
        <v>11539.147264860401</v>
      </c>
      <c r="R8" s="302">
        <f>'3.3 Retrofits and Heat Pumps'!R86</f>
        <v>19231.912108100671</v>
      </c>
      <c r="S8" s="302">
        <f>'3.3 Retrofits and Heat Pumps'!S86</f>
        <v>30771.059372961074</v>
      </c>
      <c r="T8" s="302">
        <f>'3.3 Retrofits and Heat Pumps'!T86</f>
        <v>38463.824216201341</v>
      </c>
      <c r="U8" s="302">
        <f>'3.3 Retrofits and Heat Pumps'!U86</f>
        <v>50002.971481061744</v>
      </c>
      <c r="V8" s="302">
        <f>'3.3 Retrofits and Heat Pumps'!V86</f>
        <v>61542.118745922147</v>
      </c>
      <c r="W8" s="302">
        <f>'3.3 Retrofits and Heat Pumps'!W86</f>
        <v>61542.118745922147</v>
      </c>
      <c r="X8" s="302">
        <f>'3.3 Retrofits and Heat Pumps'!X86</f>
        <v>61542.118745922147</v>
      </c>
      <c r="Y8" s="302">
        <f>'3.3 Retrofits and Heat Pumps'!Y86</f>
        <v>61542.118745922147</v>
      </c>
      <c r="Z8" s="302">
        <f>'3.3 Retrofits and Heat Pumps'!Z86</f>
        <v>61542.118745922147</v>
      </c>
      <c r="AA8" s="302">
        <f>'3.3 Retrofits and Heat Pumps'!AA86</f>
        <v>61542.118745922147</v>
      </c>
      <c r="AB8" s="302">
        <f>'3.3 Retrofits and Heat Pumps'!AB86</f>
        <v>61542.118745922147</v>
      </c>
      <c r="AC8" s="302">
        <f>'3.3 Retrofits and Heat Pumps'!AC86</f>
        <v>61542.118745922147</v>
      </c>
      <c r="AD8" s="302">
        <f>'3.3 Retrofits and Heat Pumps'!AD86</f>
        <v>61542.118745922147</v>
      </c>
      <c r="AE8" s="302">
        <f>'3.3 Retrofits and Heat Pumps'!AE86</f>
        <v>61542.118745922147</v>
      </c>
      <c r="AF8" s="302">
        <f>'3.3 Retrofits and Heat Pumps'!AF86</f>
        <v>46156.589059441605</v>
      </c>
      <c r="AG8" s="302">
        <f>'3.3 Retrofits and Heat Pumps'!AG86</f>
        <v>30771.059372961074</v>
      </c>
      <c r="AH8" s="302">
        <f>'3.3 Retrofits and Heat Pumps'!AH86</f>
        <v>0</v>
      </c>
      <c r="AI8" s="302">
        <f>'3.3 Retrofits and Heat Pumps'!AI86</f>
        <v>0</v>
      </c>
      <c r="AJ8" s="302">
        <f>'3.3 Retrofits and Heat Pumps'!AJ86</f>
        <v>0</v>
      </c>
      <c r="AK8" s="302">
        <f>'3.3 Retrofits and Heat Pumps'!AK86</f>
        <v>0</v>
      </c>
      <c r="AL8" s="302">
        <f>'3.3 Retrofits and Heat Pumps'!AL86</f>
        <v>0</v>
      </c>
      <c r="AM8" s="302">
        <f>'3.3 Retrofits and Heat Pumps'!AM86</f>
        <v>0</v>
      </c>
      <c r="AN8" s="302">
        <f>'3.3 Retrofits and Heat Pumps'!AN86</f>
        <v>0</v>
      </c>
      <c r="AO8" s="302">
        <f>'3.3 Retrofits and Heat Pumps'!AO86</f>
        <v>0</v>
      </c>
      <c r="AP8" s="302">
        <f>'3.3 Retrofits and Heat Pumps'!AP86</f>
        <v>0</v>
      </c>
      <c r="AQ8" s="302">
        <f>'3.3 Retrofits and Heat Pumps'!AQ86</f>
        <v>0</v>
      </c>
      <c r="AR8" s="302">
        <f>'3.3 Retrofits and Heat Pumps'!AR86</f>
        <v>0</v>
      </c>
      <c r="AS8" s="302">
        <f>'3.3 Retrofits and Heat Pumps'!AS86</f>
        <v>0</v>
      </c>
    </row>
    <row r="9" spans="1:46" s="229" customFormat="1">
      <c r="A9" s="229">
        <v>2</v>
      </c>
      <c r="B9" s="229" t="str">
        <f t="shared" si="0"/>
        <v>2Annual Heat Pump Installations</v>
      </c>
      <c r="C9" s="234" t="str">
        <f t="shared" si="1"/>
        <v>Annual Heat Pump Installations</v>
      </c>
      <c r="E9" s="313" t="s">
        <v>285</v>
      </c>
      <c r="F9" s="313"/>
      <c r="G9" s="313"/>
      <c r="H9" s="313"/>
      <c r="I9" s="313"/>
      <c r="J9" s="302">
        <f>'3.3 Retrofits and Heat Pumps'!J87</f>
        <v>0</v>
      </c>
      <c r="K9" s="302">
        <f>'3.3 Retrofits and Heat Pumps'!K87</f>
        <v>0</v>
      </c>
      <c r="L9" s="302">
        <f>'3.3 Retrofits and Heat Pumps'!L87</f>
        <v>0</v>
      </c>
      <c r="M9" s="302">
        <f>'3.3 Retrofits and Heat Pumps'!M87</f>
        <v>0</v>
      </c>
      <c r="N9" s="302">
        <f>'3.3 Retrofits and Heat Pumps'!N87</f>
        <v>0</v>
      </c>
      <c r="O9" s="302">
        <f>'3.3 Retrofits and Heat Pumps'!O87</f>
        <v>12320.937140095093</v>
      </c>
      <c r="P9" s="302">
        <f>'3.3 Retrofits and Heat Pumps'!P87</f>
        <v>13034.358509286532</v>
      </c>
      <c r="Q9" s="302">
        <f>'3.3 Retrofits and Heat Pumps'!Q87</f>
        <v>20854.97361485842</v>
      </c>
      <c r="R9" s="302">
        <f>'3.3 Retrofits and Heat Pumps'!R87</f>
        <v>20854.973614858452</v>
      </c>
      <c r="S9" s="302">
        <f>'3.3 Retrofits and Heat Pumps'!S87</f>
        <v>20854.97361485842</v>
      </c>
      <c r="T9" s="302">
        <f>'3.3 Retrofits and Heat Pumps'!T87</f>
        <v>20854.97361485862</v>
      </c>
      <c r="U9" s="302">
        <f>'3.3 Retrofits and Heat Pumps'!U87</f>
        <v>21104.012690882737</v>
      </c>
      <c r="V9" s="302">
        <f>'3.3 Retrofits and Heat Pumps'!V87</f>
        <v>21104.012690882737</v>
      </c>
      <c r="W9" s="302">
        <f>'3.3 Retrofits and Heat Pumps'!W87</f>
        <v>21104.012690882784</v>
      </c>
      <c r="X9" s="302">
        <f>'3.3 Retrofits and Heat Pumps'!X87</f>
        <v>21104.012690882784</v>
      </c>
      <c r="Y9" s="302">
        <f>'3.3 Retrofits and Heat Pumps'!Y87</f>
        <v>21104.012690882693</v>
      </c>
      <c r="Z9" s="302">
        <f>'3.3 Retrofits and Heat Pumps'!Z87</f>
        <v>9728.6937329848461</v>
      </c>
      <c r="AA9" s="302">
        <f>'3.3 Retrofits and Heat Pumps'!AA87</f>
        <v>9728.6937329848461</v>
      </c>
      <c r="AB9" s="302">
        <f>'3.3 Retrofits and Heat Pumps'!AB87</f>
        <v>9728.6937329847569</v>
      </c>
      <c r="AC9" s="302">
        <f>'3.3 Retrofits and Heat Pumps'!AC87</f>
        <v>6531.1663042148093</v>
      </c>
      <c r="AD9" s="302">
        <f>'3.3 Retrofits and Heat Pumps'!AD87</f>
        <v>4432.4246350088806</v>
      </c>
      <c r="AE9" s="302">
        <f>'3.3 Retrofits and Heat Pumps'!AE87</f>
        <v>4468.5632376358089</v>
      </c>
      <c r="AF9" s="302">
        <f>'3.3 Retrofits and Heat Pumps'!AF87</f>
        <v>4498.3731545229784</v>
      </c>
      <c r="AG9" s="302">
        <f>'3.3 Retrofits and Heat Pumps'!AG87</f>
        <v>4530.2981588299199</v>
      </c>
      <c r="AH9" s="302">
        <f>'3.3 Retrofits and Heat Pumps'!AH87</f>
        <v>4554.5188629350359</v>
      </c>
      <c r="AI9" s="302">
        <f>'3.3 Retrofits and Heat Pumps'!AI87</f>
        <v>4576.4918236226049</v>
      </c>
      <c r="AJ9" s="302">
        <f>'3.3 Retrofits and Heat Pumps'!AJ87</f>
        <v>4596.487220100732</v>
      </c>
      <c r="AK9" s="302">
        <f>'3.3 Retrofits and Heat Pumps'!AK87</f>
        <v>4614.7358213902862</v>
      </c>
      <c r="AL9" s="302">
        <f>'3.3 Retrofits and Heat Pumps'!AL87</f>
        <v>4631.4356891428197</v>
      </c>
      <c r="AM9" s="302">
        <f>'3.3 Retrofits and Heat Pumps'!AM87</f>
        <v>4646.7575871169256</v>
      </c>
      <c r="AN9" s="302">
        <f>'3.3 Retrofits and Heat Pumps'!AN87</f>
        <v>4660.8493748712153</v>
      </c>
      <c r="AO9" s="302">
        <f>'3.3 Retrofits and Heat Pumps'!AO87</f>
        <v>4673.8395979660054</v>
      </c>
      <c r="AP9" s="302">
        <f>'3.3 Retrofits and Heat Pumps'!AP87</f>
        <v>4685.8404383272737</v>
      </c>
      <c r="AQ9" s="302">
        <f>'3.3 Retrofits and Heat Pumps'!AQ87</f>
        <v>4696.9501518620036</v>
      </c>
      <c r="AR9" s="302">
        <f>'3.3 Retrofits and Heat Pumps'!AR87</f>
        <v>4707.2550926930371</v>
      </c>
      <c r="AS9" s="302">
        <f>'3.3 Retrofits and Heat Pumps'!AS87</f>
        <v>4716.8314022419818</v>
      </c>
    </row>
    <row r="10" spans="1:46" s="229" customFormat="1">
      <c r="A10" s="229">
        <v>3</v>
      </c>
      <c r="B10" s="229" t="str">
        <f t="shared" si="0"/>
        <v>3Annual Heat Pump Installations</v>
      </c>
      <c r="C10" s="234" t="str">
        <f t="shared" si="1"/>
        <v>Annual Heat Pump Installations</v>
      </c>
      <c r="E10" s="313" t="s">
        <v>286</v>
      </c>
      <c r="F10" s="313"/>
      <c r="G10" s="313"/>
      <c r="H10" s="313"/>
      <c r="I10" s="313"/>
      <c r="J10" s="302">
        <f>'3.3 Retrofits and Heat Pumps'!J88</f>
        <v>0</v>
      </c>
      <c r="K10" s="302">
        <f>'3.3 Retrofits and Heat Pumps'!K88</f>
        <v>0</v>
      </c>
      <c r="L10" s="302">
        <f>'3.3 Retrofits and Heat Pumps'!L88</f>
        <v>0</v>
      </c>
      <c r="M10" s="302">
        <f>'3.3 Retrofits and Heat Pumps'!M88</f>
        <v>0</v>
      </c>
      <c r="N10" s="302">
        <f>'3.3 Retrofits and Heat Pumps'!N88</f>
        <v>0</v>
      </c>
      <c r="O10" s="302">
        <f>'3.3 Retrofits and Heat Pumps'!O88</f>
        <v>0</v>
      </c>
      <c r="P10" s="302">
        <f>'3.3 Retrofits and Heat Pumps'!P88</f>
        <v>332.10700486560756</v>
      </c>
      <c r="Q10" s="302">
        <f>'3.3 Retrofits and Heat Pumps'!Q88</f>
        <v>1062.1301561397906</v>
      </c>
      <c r="R10" s="302">
        <f>'3.3 Retrofits and Heat Pumps'!R88</f>
        <v>1997.9167228519393</v>
      </c>
      <c r="S10" s="302">
        <f>'3.3 Retrofits and Heat Pumps'!S88</f>
        <v>3545.4252796474675</v>
      </c>
      <c r="T10" s="302">
        <f>'3.3 Retrofits and Heat Pumps'!T88</f>
        <v>4839.0202827512921</v>
      </c>
      <c r="U10" s="302">
        <f>'3.3 Retrofits and Heat Pumps'!U88</f>
        <v>6625.8869678626661</v>
      </c>
      <c r="V10" s="302">
        <f>'3.3 Retrofits and Heat Pumps'!V88</f>
        <v>8461.1706748939996</v>
      </c>
      <c r="W10" s="302">
        <f>'3.3 Retrofits and Heat Pumps'!W88</f>
        <v>8744.0530098924828</v>
      </c>
      <c r="X10" s="302">
        <f>'3.3 Retrofits and Heat Pumps'!X88</f>
        <v>8617.6489326936462</v>
      </c>
      <c r="Y10" s="302">
        <f>'3.3 Retrofits and Heat Pumps'!Y88</f>
        <v>8314.3528842304859</v>
      </c>
      <c r="Z10" s="302">
        <f>'3.3 Retrofits and Heat Pumps'!Z88</f>
        <v>8083.032602435278</v>
      </c>
      <c r="AA10" s="302">
        <f>'3.3 Retrofits and Heat Pumps'!AA88</f>
        <v>8083.0326024352989</v>
      </c>
      <c r="AB10" s="302">
        <f>'3.3 Retrofits and Heat Pumps'!AB88</f>
        <v>8083.0326024352926</v>
      </c>
      <c r="AC10" s="302">
        <f>'3.3 Retrofits and Heat Pumps'!AC88</f>
        <v>8083.0326024352926</v>
      </c>
      <c r="AD10" s="302">
        <f>'3.3 Retrofits and Heat Pumps'!AD88</f>
        <v>8083.0326024352926</v>
      </c>
      <c r="AE10" s="302">
        <f>'3.3 Retrofits and Heat Pumps'!AE88</f>
        <v>8083.0326024352926</v>
      </c>
      <c r="AF10" s="302">
        <f>'3.3 Retrofits and Heat Pumps'!AF88</f>
        <v>6062.2744518264417</v>
      </c>
      <c r="AG10" s="302">
        <f>'3.3 Retrofits and Heat Pumps'!AG88</f>
        <v>4041.5163012176599</v>
      </c>
      <c r="AH10" s="302">
        <f>'3.3 Retrofits and Heat Pumps'!AH88</f>
        <v>0</v>
      </c>
      <c r="AI10" s="302">
        <f>'3.3 Retrofits and Heat Pumps'!AI88</f>
        <v>0</v>
      </c>
      <c r="AJ10" s="302">
        <f>'3.3 Retrofits and Heat Pumps'!AJ88</f>
        <v>0</v>
      </c>
      <c r="AK10" s="302">
        <f>'3.3 Retrofits and Heat Pumps'!AK88</f>
        <v>0</v>
      </c>
      <c r="AL10" s="302">
        <f>'3.3 Retrofits and Heat Pumps'!AL88</f>
        <v>0</v>
      </c>
      <c r="AM10" s="302">
        <f>'3.3 Retrofits and Heat Pumps'!AM88</f>
        <v>0</v>
      </c>
      <c r="AN10" s="302">
        <f>'3.3 Retrofits and Heat Pumps'!AN88</f>
        <v>0</v>
      </c>
      <c r="AO10" s="302">
        <f>'3.3 Retrofits and Heat Pumps'!AO88</f>
        <v>0</v>
      </c>
      <c r="AP10" s="302">
        <f>'3.3 Retrofits and Heat Pumps'!AP88</f>
        <v>0</v>
      </c>
      <c r="AQ10" s="302">
        <f>'3.3 Retrofits and Heat Pumps'!AQ88</f>
        <v>0</v>
      </c>
      <c r="AR10" s="302">
        <f>'3.3 Retrofits and Heat Pumps'!AR88</f>
        <v>0</v>
      </c>
      <c r="AS10" s="302">
        <f>'3.3 Retrofits and Heat Pumps'!AS88</f>
        <v>0</v>
      </c>
    </row>
    <row r="11" spans="1:46" s="229" customFormat="1">
      <c r="A11" s="229">
        <v>4</v>
      </c>
      <c r="B11" s="229" t="str">
        <f t="shared" si="0"/>
        <v>4Annual Heat Pump Installations</v>
      </c>
      <c r="C11" s="234" t="str">
        <f t="shared" si="1"/>
        <v>Annual Heat Pump Installations</v>
      </c>
      <c r="E11" s="313" t="s">
        <v>287</v>
      </c>
      <c r="F11" s="313"/>
      <c r="G11" s="313"/>
      <c r="H11" s="313"/>
      <c r="I11" s="313"/>
      <c r="J11" s="302">
        <f>'3.3 Retrofits and Heat Pumps'!J89</f>
        <v>0</v>
      </c>
      <c r="K11" s="302">
        <f>'3.3 Retrofits and Heat Pumps'!K89</f>
        <v>0</v>
      </c>
      <c r="L11" s="302">
        <f>'3.3 Retrofits and Heat Pumps'!L89</f>
        <v>0</v>
      </c>
      <c r="M11" s="302">
        <f>'3.3 Retrofits and Heat Pumps'!M89</f>
        <v>0</v>
      </c>
      <c r="N11" s="302">
        <f>'3.3 Retrofits and Heat Pumps'!N89</f>
        <v>0</v>
      </c>
      <c r="O11" s="302">
        <f>'3.3 Retrofits and Heat Pumps'!O89</f>
        <v>733.66869517667226</v>
      </c>
      <c r="P11" s="302">
        <f>'3.3 Retrofits and Heat Pumps'!P89</f>
        <v>815.83781231003616</v>
      </c>
      <c r="Q11" s="302">
        <f>'3.3 Retrofits and Heat Pumps'!Q89</f>
        <v>1328.5213385472432</v>
      </c>
      <c r="R11" s="302">
        <f>'3.3 Retrofits and Heat Pumps'!R89</f>
        <v>1359.6882461181704</v>
      </c>
      <c r="S11" s="302">
        <f>'3.3 Retrofits and Heat Pumps'!S89</f>
        <v>1381.4181792265163</v>
      </c>
      <c r="T11" s="302">
        <f>'3.3 Retrofits and Heat Pumps'!T89</f>
        <v>1397.1717354745779</v>
      </c>
      <c r="U11" s="302">
        <f>'3.3 Retrofits and Heat Pumps'!U89</f>
        <v>1355.0326318546406</v>
      </c>
      <c r="V11" s="302">
        <f>'3.3 Retrofits and Heat Pumps'!V89</f>
        <v>1353.9430953922795</v>
      </c>
      <c r="W11" s="302">
        <f>'3.3 Retrofits and Heat Pumps'!W89</f>
        <v>1353.051969210557</v>
      </c>
      <c r="X11" s="302">
        <f>'3.3 Retrofits and Heat Pumps'!X89</f>
        <v>1352.3138348887805</v>
      </c>
      <c r="Y11" s="302">
        <f>'3.3 Retrofits and Heat Pumps'!Y89</f>
        <v>1351.6955665363321</v>
      </c>
      <c r="Z11" s="302">
        <f>'3.3 Retrofits and Heat Pumps'!Z89</f>
        <v>1029.8481215335778</v>
      </c>
      <c r="AA11" s="302">
        <f>'3.3 Retrofits and Heat Pumps'!AA89</f>
        <v>1044.9048701270544</v>
      </c>
      <c r="AB11" s="302">
        <f>'3.3 Retrofits and Heat Pumps'!AB89</f>
        <v>1058.9129718136576</v>
      </c>
      <c r="AC11" s="302">
        <f>'3.3 Retrofits and Heat Pumps'!AC89</f>
        <v>1071.9675963623931</v>
      </c>
      <c r="AD11" s="302">
        <f>'3.3 Retrofits and Heat Pumps'!AD89</f>
        <v>705.50224929989008</v>
      </c>
      <c r="AE11" s="302">
        <f>'3.3 Retrofits and Heat Pumps'!AE89</f>
        <v>401.75400656261161</v>
      </c>
      <c r="AF11" s="302">
        <f>'3.3 Retrofits and Heat Pumps'!AF89</f>
        <v>402.01812003078072</v>
      </c>
      <c r="AG11" s="302">
        <f>'3.3 Retrofits and Heat Pumps'!AG89</f>
        <v>402.25221686983235</v>
      </c>
      <c r="AH11" s="302">
        <f>'3.3 Retrofits and Heat Pumps'!AH89</f>
        <v>402.46067683183941</v>
      </c>
      <c r="AI11" s="302">
        <f>'3.3 Retrofits and Heat Pumps'!AI89</f>
        <v>402.6471094417696</v>
      </c>
      <c r="AJ11" s="302">
        <f>'3.3 Retrofits and Heat Pumps'!AJ89</f>
        <v>402.81451092295498</v>
      </c>
      <c r="AK11" s="302">
        <f>'3.3 Retrofits and Heat Pumps'!AK89</f>
        <v>402.96538506803506</v>
      </c>
      <c r="AL11" s="302">
        <f>'3.3 Retrofits and Heat Pumps'!AL89</f>
        <v>403.10183721691459</v>
      </c>
      <c r="AM11" s="302">
        <f>'3.3 Retrofits and Heat Pumps'!AM89</f>
        <v>403.22564796630132</v>
      </c>
      <c r="AN11" s="302">
        <f>'3.3 Retrofits and Heat Pumps'!AN89</f>
        <v>403.33833145385194</v>
      </c>
      <c r="AO11" s="302">
        <f>'3.3 Retrofits and Heat Pumps'!AO89</f>
        <v>403.44118179739763</v>
      </c>
      <c r="AP11" s="302">
        <f>'3.3 Retrofits and Heat Pumps'!AP89</f>
        <v>403.53531036295874</v>
      </c>
      <c r="AQ11" s="302">
        <f>'3.3 Retrofits and Heat Pumps'!AQ89</f>
        <v>403.62167587220426</v>
      </c>
      <c r="AR11" s="302">
        <f>'3.3 Retrofits and Heat Pumps'!AR89</f>
        <v>403.7011088800719</v>
      </c>
      <c r="AS11" s="302">
        <f>'3.3 Retrofits and Heat Pumps'!AS89</f>
        <v>403.774331793827</v>
      </c>
    </row>
    <row r="12" spans="1:46" s="229" customFormat="1">
      <c r="A12" s="229">
        <v>5</v>
      </c>
      <c r="B12" s="229" t="str">
        <f t="shared" si="0"/>
        <v>5Annual Heat Pump Installations</v>
      </c>
      <c r="C12" s="234" t="str">
        <f t="shared" si="1"/>
        <v>Annual Heat Pump Installations</v>
      </c>
      <c r="E12" s="313" t="s">
        <v>288</v>
      </c>
      <c r="F12" s="313"/>
      <c r="G12" s="313"/>
      <c r="H12" s="313"/>
      <c r="I12" s="313"/>
      <c r="J12" s="302">
        <f>'3.3 Retrofits and Heat Pumps'!J90</f>
        <v>0</v>
      </c>
      <c r="K12" s="302">
        <f>'3.3 Retrofits and Heat Pumps'!K90</f>
        <v>0</v>
      </c>
      <c r="L12" s="302">
        <f>'3.3 Retrofits and Heat Pumps'!L90</f>
        <v>0</v>
      </c>
      <c r="M12" s="302">
        <f>'3.3 Retrofits and Heat Pumps'!M90</f>
        <v>0</v>
      </c>
      <c r="N12" s="302">
        <f>'3.3 Retrofits and Heat Pumps'!N90</f>
        <v>0</v>
      </c>
      <c r="O12" s="302">
        <f>'3.3 Retrofits and Heat Pumps'!O90</f>
        <v>0</v>
      </c>
      <c r="P12" s="302">
        <f>'3.3 Retrofits and Heat Pumps'!P90</f>
        <v>0</v>
      </c>
      <c r="Q12" s="302">
        <f>'3.3 Retrofits and Heat Pumps'!Q90</f>
        <v>0</v>
      </c>
      <c r="R12" s="302">
        <f>'3.3 Retrofits and Heat Pumps'!R90</f>
        <v>0</v>
      </c>
      <c r="S12" s="302">
        <f>'3.3 Retrofits and Heat Pumps'!S90</f>
        <v>0</v>
      </c>
      <c r="T12" s="302">
        <f>'3.3 Retrofits and Heat Pumps'!T90</f>
        <v>0</v>
      </c>
      <c r="U12" s="302">
        <f>'3.3 Retrofits and Heat Pumps'!U90</f>
        <v>0</v>
      </c>
      <c r="V12" s="302">
        <f>'3.3 Retrofits and Heat Pumps'!V90</f>
        <v>0</v>
      </c>
      <c r="W12" s="302">
        <f>'3.3 Retrofits and Heat Pumps'!W90</f>
        <v>0</v>
      </c>
      <c r="X12" s="302">
        <f>'3.3 Retrofits and Heat Pumps'!X90</f>
        <v>0</v>
      </c>
      <c r="Y12" s="302">
        <f>'3.3 Retrofits and Heat Pumps'!Y90</f>
        <v>0</v>
      </c>
      <c r="Z12" s="302">
        <f>'3.3 Retrofits and Heat Pumps'!Z90</f>
        <v>0</v>
      </c>
      <c r="AA12" s="302">
        <f>'3.3 Retrofits and Heat Pumps'!AA90</f>
        <v>0</v>
      </c>
      <c r="AB12" s="302">
        <f>'3.3 Retrofits and Heat Pumps'!AB90</f>
        <v>0</v>
      </c>
      <c r="AC12" s="302">
        <f>'3.3 Retrofits and Heat Pumps'!AC90</f>
        <v>0</v>
      </c>
      <c r="AD12" s="302">
        <f>'3.3 Retrofits and Heat Pumps'!AD90</f>
        <v>0</v>
      </c>
      <c r="AE12" s="302">
        <f>'3.3 Retrofits and Heat Pumps'!AE90</f>
        <v>0</v>
      </c>
      <c r="AF12" s="302">
        <f>'3.3 Retrofits and Heat Pumps'!AF90</f>
        <v>0</v>
      </c>
      <c r="AG12" s="302">
        <f>'3.3 Retrofits and Heat Pumps'!AG90</f>
        <v>0</v>
      </c>
      <c r="AH12" s="302">
        <f>'3.3 Retrofits and Heat Pumps'!AH90</f>
        <v>0</v>
      </c>
      <c r="AI12" s="302">
        <f>'3.3 Retrofits and Heat Pumps'!AI90</f>
        <v>0</v>
      </c>
      <c r="AJ12" s="302">
        <f>'3.3 Retrofits and Heat Pumps'!AJ90</f>
        <v>0</v>
      </c>
      <c r="AK12" s="302">
        <f>'3.3 Retrofits and Heat Pumps'!AK90</f>
        <v>0</v>
      </c>
      <c r="AL12" s="302">
        <f>'3.3 Retrofits and Heat Pumps'!AL90</f>
        <v>0</v>
      </c>
      <c r="AM12" s="302">
        <f>'3.3 Retrofits and Heat Pumps'!AM90</f>
        <v>0</v>
      </c>
      <c r="AN12" s="302">
        <f>'3.3 Retrofits and Heat Pumps'!AN90</f>
        <v>0</v>
      </c>
      <c r="AO12" s="302">
        <f>'3.3 Retrofits and Heat Pumps'!AO90</f>
        <v>0</v>
      </c>
      <c r="AP12" s="302">
        <f>'3.3 Retrofits and Heat Pumps'!AP90</f>
        <v>0</v>
      </c>
      <c r="AQ12" s="302">
        <f>'3.3 Retrofits and Heat Pumps'!AQ90</f>
        <v>0</v>
      </c>
      <c r="AR12" s="302">
        <f>'3.3 Retrofits and Heat Pumps'!AR90</f>
        <v>0</v>
      </c>
      <c r="AS12" s="302">
        <f>'3.3 Retrofits and Heat Pumps'!AS90</f>
        <v>0</v>
      </c>
      <c r="AT12" s="302">
        <f>'3.3 Retrofits and Heat Pumps'!AT90</f>
        <v>0</v>
      </c>
    </row>
    <row r="13" spans="1:46" s="229" customFormat="1">
      <c r="A13" s="229">
        <v>6</v>
      </c>
      <c r="B13" s="229" t="str">
        <f t="shared" si="0"/>
        <v>6Annual Heat Pump Installations</v>
      </c>
      <c r="C13" s="234" t="str">
        <f t="shared" si="1"/>
        <v>Annual Heat Pump Installations</v>
      </c>
      <c r="E13" s="313" t="s">
        <v>289</v>
      </c>
      <c r="F13" s="313"/>
      <c r="G13" s="313"/>
      <c r="H13" s="313"/>
      <c r="I13" s="313"/>
      <c r="J13" s="302">
        <f>'3.3 Retrofits and Heat Pumps'!J91</f>
        <v>0</v>
      </c>
      <c r="K13" s="302">
        <f>'3.3 Retrofits and Heat Pumps'!K91</f>
        <v>0</v>
      </c>
      <c r="L13" s="302">
        <f>'3.3 Retrofits and Heat Pumps'!L91</f>
        <v>0</v>
      </c>
      <c r="M13" s="302">
        <f>'3.3 Retrofits and Heat Pumps'!M91</f>
        <v>0</v>
      </c>
      <c r="N13" s="302">
        <f>'3.3 Retrofits and Heat Pumps'!N91</f>
        <v>0</v>
      </c>
      <c r="O13" s="302">
        <f>'3.3 Retrofits and Heat Pumps'!O91</f>
        <v>0</v>
      </c>
      <c r="P13" s="302">
        <f>'3.3 Retrofits and Heat Pumps'!P91</f>
        <v>0</v>
      </c>
      <c r="Q13" s="302">
        <f>'3.3 Retrofits and Heat Pumps'!Q91</f>
        <v>0</v>
      </c>
      <c r="R13" s="302">
        <f>'3.3 Retrofits and Heat Pumps'!R91</f>
        <v>0</v>
      </c>
      <c r="S13" s="302">
        <f>'3.3 Retrofits and Heat Pumps'!S91</f>
        <v>0</v>
      </c>
      <c r="T13" s="302">
        <f>'3.3 Retrofits and Heat Pumps'!T91</f>
        <v>0</v>
      </c>
      <c r="U13" s="302">
        <f>'3.3 Retrofits and Heat Pumps'!U91</f>
        <v>0</v>
      </c>
      <c r="V13" s="302">
        <f>'3.3 Retrofits and Heat Pumps'!V91</f>
        <v>0</v>
      </c>
      <c r="W13" s="302">
        <f>'3.3 Retrofits and Heat Pumps'!W91</f>
        <v>0</v>
      </c>
      <c r="X13" s="302">
        <f>'3.3 Retrofits and Heat Pumps'!X91</f>
        <v>0</v>
      </c>
      <c r="Y13" s="302">
        <f>'3.3 Retrofits and Heat Pumps'!Y91</f>
        <v>0</v>
      </c>
      <c r="Z13" s="302">
        <f>'3.3 Retrofits and Heat Pumps'!Z91</f>
        <v>0</v>
      </c>
      <c r="AA13" s="302">
        <f>'3.3 Retrofits and Heat Pumps'!AA91</f>
        <v>0</v>
      </c>
      <c r="AB13" s="302">
        <f>'3.3 Retrofits and Heat Pumps'!AB91</f>
        <v>0</v>
      </c>
      <c r="AC13" s="302">
        <f>'3.3 Retrofits and Heat Pumps'!AC91</f>
        <v>0</v>
      </c>
      <c r="AD13" s="302">
        <f>'3.3 Retrofits and Heat Pumps'!AD91</f>
        <v>0</v>
      </c>
      <c r="AE13" s="302">
        <f>'3.3 Retrofits and Heat Pumps'!AE91</f>
        <v>0</v>
      </c>
      <c r="AF13" s="302">
        <f>'3.3 Retrofits and Heat Pumps'!AF91</f>
        <v>0</v>
      </c>
      <c r="AG13" s="302">
        <f>'3.3 Retrofits and Heat Pumps'!AG91</f>
        <v>0</v>
      </c>
      <c r="AH13" s="302">
        <f>'3.3 Retrofits and Heat Pumps'!AH91</f>
        <v>0</v>
      </c>
      <c r="AI13" s="302">
        <f>'3.3 Retrofits and Heat Pumps'!AI91</f>
        <v>0</v>
      </c>
      <c r="AJ13" s="302">
        <f>'3.3 Retrofits and Heat Pumps'!AJ91</f>
        <v>0</v>
      </c>
      <c r="AK13" s="302">
        <f>'3.3 Retrofits and Heat Pumps'!AK91</f>
        <v>0</v>
      </c>
      <c r="AL13" s="302">
        <f>'3.3 Retrofits and Heat Pumps'!AL91</f>
        <v>0</v>
      </c>
      <c r="AM13" s="302">
        <f>'3.3 Retrofits and Heat Pumps'!AM91</f>
        <v>0</v>
      </c>
      <c r="AN13" s="302">
        <f>'3.3 Retrofits and Heat Pumps'!AN91</f>
        <v>0</v>
      </c>
      <c r="AO13" s="302">
        <f>'3.3 Retrofits and Heat Pumps'!AO91</f>
        <v>0</v>
      </c>
      <c r="AP13" s="302">
        <f>'3.3 Retrofits and Heat Pumps'!AP91</f>
        <v>0</v>
      </c>
      <c r="AQ13" s="302">
        <f>'3.3 Retrofits and Heat Pumps'!AQ91</f>
        <v>0</v>
      </c>
      <c r="AR13" s="302">
        <f>'3.3 Retrofits and Heat Pumps'!AR91</f>
        <v>0</v>
      </c>
      <c r="AS13" s="302">
        <f>'3.3 Retrofits and Heat Pumps'!AS91</f>
        <v>0</v>
      </c>
      <c r="AT13" s="302">
        <f>'3.3 Retrofits and Heat Pumps'!AT91</f>
        <v>0</v>
      </c>
    </row>
    <row r="14" spans="1:46" s="229" customFormat="1">
      <c r="A14" s="229" t="s">
        <v>208</v>
      </c>
      <c r="B14" s="229" t="str">
        <f>A14&amp;C14</f>
        <v>NAnnual Heat Pump Installations</v>
      </c>
      <c r="C14" s="234" t="str">
        <f t="shared" si="1"/>
        <v>Annual Heat Pump Installations</v>
      </c>
      <c r="E14" s="313"/>
      <c r="F14" s="313"/>
      <c r="G14" s="313"/>
      <c r="H14" s="313"/>
      <c r="I14" s="313"/>
      <c r="J14" s="302"/>
      <c r="K14" s="302"/>
      <c r="L14" s="302"/>
      <c r="M14" s="302"/>
      <c r="N14" s="302"/>
      <c r="O14" s="302"/>
      <c r="P14" s="302"/>
      <c r="Q14" s="302"/>
      <c r="R14" s="302"/>
      <c r="S14" s="302"/>
      <c r="T14" s="302"/>
      <c r="U14" s="302"/>
      <c r="V14" s="302"/>
      <c r="W14" s="302"/>
      <c r="X14" s="302"/>
      <c r="Y14" s="302"/>
      <c r="Z14" s="302"/>
      <c r="AA14" s="302"/>
      <c r="AB14" s="302"/>
      <c r="AC14" s="302"/>
      <c r="AD14" s="302"/>
      <c r="AE14" s="302"/>
      <c r="AF14" s="302"/>
      <c r="AG14" s="302"/>
      <c r="AH14" s="302"/>
      <c r="AI14" s="302"/>
      <c r="AJ14" s="302"/>
      <c r="AK14" s="302"/>
      <c r="AL14" s="302"/>
      <c r="AM14" s="302"/>
      <c r="AN14" s="302"/>
      <c r="AO14" s="302"/>
      <c r="AP14" s="302"/>
      <c r="AQ14" s="302"/>
      <c r="AR14" s="302"/>
      <c r="AS14" s="302"/>
    </row>
    <row r="15" spans="1:46" s="229" customFormat="1">
      <c r="C15" s="234"/>
      <c r="E15" s="313"/>
      <c r="F15" s="313"/>
      <c r="G15" s="313"/>
      <c r="H15" s="313"/>
      <c r="I15" s="313"/>
      <c r="J15" s="302"/>
      <c r="K15" s="302"/>
      <c r="L15" s="302"/>
      <c r="M15" s="302"/>
      <c r="N15" s="302"/>
      <c r="O15" s="302"/>
      <c r="P15" s="302"/>
      <c r="Q15" s="302"/>
      <c r="R15" s="302"/>
      <c r="S15" s="302"/>
      <c r="T15" s="302"/>
      <c r="U15" s="302"/>
      <c r="V15" s="302"/>
      <c r="W15" s="302"/>
      <c r="X15" s="302"/>
      <c r="Y15" s="302"/>
      <c r="Z15" s="302"/>
      <c r="AA15" s="302"/>
      <c r="AB15" s="302"/>
      <c r="AC15" s="302"/>
      <c r="AD15" s="302"/>
      <c r="AE15" s="302"/>
      <c r="AF15" s="302"/>
      <c r="AG15" s="302"/>
      <c r="AH15" s="302"/>
      <c r="AI15" s="302"/>
      <c r="AJ15" s="302"/>
      <c r="AK15" s="302"/>
      <c r="AL15" s="302"/>
      <c r="AM15" s="302"/>
      <c r="AN15" s="302"/>
      <c r="AO15" s="302"/>
      <c r="AP15" s="302"/>
      <c r="AQ15" s="302"/>
      <c r="AR15" s="302"/>
      <c r="AS15" s="302"/>
    </row>
    <row r="17" spans="1:46" s="240" customFormat="1">
      <c r="D17" s="241" t="s">
        <v>290</v>
      </c>
      <c r="E17" s="242"/>
    </row>
    <row r="18" spans="1:46" s="229" customFormat="1">
      <c r="A18" s="229">
        <v>0</v>
      </c>
      <c r="B18" s="229" t="str">
        <f>A18&amp;C18</f>
        <v>0Annual Heat Pump Installations</v>
      </c>
      <c r="C18" s="234" t="str">
        <f>$B$2</f>
        <v>Annual Heat Pump Installations</v>
      </c>
      <c r="E18" s="313" t="s">
        <v>291</v>
      </c>
      <c r="F18" s="313"/>
      <c r="G18" s="313"/>
    </row>
    <row r="19" spans="1:46" s="229" customFormat="1">
      <c r="A19" s="229">
        <v>1</v>
      </c>
      <c r="B19" s="229" t="str">
        <f t="shared" ref="B19:B24" si="2">A19&amp;C19</f>
        <v>1Annual Heat Pump Installations</v>
      </c>
      <c r="C19" s="234" t="str">
        <f t="shared" ref="C19:C25" si="3">$B$2</f>
        <v>Annual Heat Pump Installations</v>
      </c>
      <c r="E19" s="313" t="s">
        <v>284</v>
      </c>
      <c r="F19" s="313"/>
      <c r="G19" s="313"/>
      <c r="H19" s="313"/>
      <c r="I19" s="313"/>
      <c r="J19" s="302">
        <f>'3.3 Retrofits and Heat Pumps'!J97</f>
        <v>0</v>
      </c>
      <c r="K19" s="302">
        <f t="shared" ref="K19:K24" si="4">K8+J19</f>
        <v>0</v>
      </c>
      <c r="L19" s="302">
        <f t="shared" ref="L19:AR19" si="5">L8+K19</f>
        <v>0</v>
      </c>
      <c r="M19" s="302">
        <f t="shared" si="5"/>
        <v>0</v>
      </c>
      <c r="N19" s="302">
        <f t="shared" si="5"/>
        <v>0</v>
      </c>
      <c r="O19" s="302">
        <f t="shared" si="5"/>
        <v>0</v>
      </c>
      <c r="P19" s="302">
        <f t="shared" si="5"/>
        <v>3846.3824216201342</v>
      </c>
      <c r="Q19" s="302">
        <f t="shared" si="5"/>
        <v>15385.529686480535</v>
      </c>
      <c r="R19" s="302">
        <f t="shared" si="5"/>
        <v>34617.441794581202</v>
      </c>
      <c r="S19" s="302">
        <f t="shared" si="5"/>
        <v>65388.501167542272</v>
      </c>
      <c r="T19" s="302">
        <f t="shared" si="5"/>
        <v>103852.32538374362</v>
      </c>
      <c r="U19" s="302">
        <f t="shared" si="5"/>
        <v>153855.29686480536</v>
      </c>
      <c r="V19" s="302">
        <f t="shared" si="5"/>
        <v>215397.4156107275</v>
      </c>
      <c r="W19" s="302">
        <f t="shared" si="5"/>
        <v>276939.53435664967</v>
      </c>
      <c r="X19" s="302">
        <f t="shared" si="5"/>
        <v>338481.65310257184</v>
      </c>
      <c r="Y19" s="302">
        <f t="shared" si="5"/>
        <v>400023.77184849401</v>
      </c>
      <c r="Z19" s="302">
        <f t="shared" si="5"/>
        <v>461565.89059441618</v>
      </c>
      <c r="AA19" s="302">
        <f t="shared" si="5"/>
        <v>523108.00934033835</v>
      </c>
      <c r="AB19" s="302">
        <f t="shared" si="5"/>
        <v>584650.12808626052</v>
      </c>
      <c r="AC19" s="302">
        <f t="shared" si="5"/>
        <v>646192.24683218263</v>
      </c>
      <c r="AD19" s="302">
        <f t="shared" si="5"/>
        <v>707734.36557810474</v>
      </c>
      <c r="AE19" s="302">
        <f t="shared" si="5"/>
        <v>769276.48432402685</v>
      </c>
      <c r="AF19" s="302">
        <f t="shared" si="5"/>
        <v>815433.07338346844</v>
      </c>
      <c r="AG19" s="302">
        <f t="shared" si="5"/>
        <v>846204.13275642949</v>
      </c>
      <c r="AH19" s="302">
        <f t="shared" si="5"/>
        <v>846204.13275642949</v>
      </c>
      <c r="AI19" s="302">
        <f t="shared" si="5"/>
        <v>846204.13275642949</v>
      </c>
      <c r="AJ19" s="302">
        <f t="shared" si="5"/>
        <v>846204.13275642949</v>
      </c>
      <c r="AK19" s="302">
        <f t="shared" si="5"/>
        <v>846204.13275642949</v>
      </c>
      <c r="AL19" s="302">
        <f t="shared" si="5"/>
        <v>846204.13275642949</v>
      </c>
      <c r="AM19" s="302">
        <f t="shared" si="5"/>
        <v>846204.13275642949</v>
      </c>
      <c r="AN19" s="302">
        <f t="shared" si="5"/>
        <v>846204.13275642949</v>
      </c>
      <c r="AO19" s="302">
        <f t="shared" si="5"/>
        <v>846204.13275642949</v>
      </c>
      <c r="AP19" s="302">
        <f t="shared" si="5"/>
        <v>846204.13275642949</v>
      </c>
      <c r="AQ19" s="302">
        <f t="shared" si="5"/>
        <v>846204.13275642949</v>
      </c>
      <c r="AR19" s="302">
        <f t="shared" si="5"/>
        <v>846204.13275642949</v>
      </c>
      <c r="AS19" s="302">
        <f>AS8+AR19</f>
        <v>846204.13275642949</v>
      </c>
      <c r="AT19" s="302">
        <f>AT8+AS19</f>
        <v>846204.13275642949</v>
      </c>
    </row>
    <row r="20" spans="1:46" s="229" customFormat="1">
      <c r="A20" s="229">
        <v>2</v>
      </c>
      <c r="B20" s="229" t="str">
        <f t="shared" si="2"/>
        <v>2Annual Heat Pump Installations</v>
      </c>
      <c r="C20" s="234" t="str">
        <f t="shared" si="3"/>
        <v>Annual Heat Pump Installations</v>
      </c>
      <c r="E20" s="313" t="s">
        <v>285</v>
      </c>
      <c r="F20" s="313"/>
      <c r="G20" s="313"/>
      <c r="H20" s="313"/>
      <c r="I20" s="313"/>
      <c r="J20" s="302">
        <f>'3.3 Retrofits and Heat Pumps'!J98</f>
        <v>0</v>
      </c>
      <c r="K20" s="302">
        <f t="shared" si="4"/>
        <v>0</v>
      </c>
      <c r="L20" s="302">
        <f>L9+K20</f>
        <v>0</v>
      </c>
      <c r="M20" s="302">
        <f>M9+L20</f>
        <v>0</v>
      </c>
      <c r="N20" s="302">
        <f t="shared" ref="N20:AS20" si="6">N9+M20</f>
        <v>0</v>
      </c>
      <c r="O20" s="302">
        <f t="shared" si="6"/>
        <v>12320.937140095093</v>
      </c>
      <c r="P20" s="302">
        <f t="shared" si="6"/>
        <v>25355.295649381624</v>
      </c>
      <c r="Q20" s="302">
        <f t="shared" si="6"/>
        <v>46210.269264240043</v>
      </c>
      <c r="R20" s="302">
        <f t="shared" si="6"/>
        <v>67065.2428790985</v>
      </c>
      <c r="S20" s="302">
        <f t="shared" si="6"/>
        <v>87920.216493956919</v>
      </c>
      <c r="T20" s="302">
        <f t="shared" si="6"/>
        <v>108775.19010881554</v>
      </c>
      <c r="U20" s="302">
        <f t="shared" si="6"/>
        <v>129879.20279969828</v>
      </c>
      <c r="V20" s="302">
        <f t="shared" si="6"/>
        <v>150983.215490581</v>
      </c>
      <c r="W20" s="302">
        <f t="shared" si="6"/>
        <v>172087.22818146378</v>
      </c>
      <c r="X20" s="302">
        <f t="shared" si="6"/>
        <v>193191.24087234656</v>
      </c>
      <c r="Y20" s="302">
        <f t="shared" si="6"/>
        <v>214295.25356322926</v>
      </c>
      <c r="Z20" s="302">
        <f t="shared" si="6"/>
        <v>224023.94729621412</v>
      </c>
      <c r="AA20" s="302">
        <f t="shared" si="6"/>
        <v>233752.64102919897</v>
      </c>
      <c r="AB20" s="302">
        <f t="shared" si="6"/>
        <v>243481.33476218372</v>
      </c>
      <c r="AC20" s="302">
        <f t="shared" si="6"/>
        <v>250012.50106639852</v>
      </c>
      <c r="AD20" s="302">
        <f t="shared" si="6"/>
        <v>254444.9257014074</v>
      </c>
      <c r="AE20" s="302">
        <f t="shared" si="6"/>
        <v>258913.48893904319</v>
      </c>
      <c r="AF20" s="302">
        <f t="shared" si="6"/>
        <v>263411.86209356616</v>
      </c>
      <c r="AG20" s="302">
        <f t="shared" si="6"/>
        <v>267942.16025239608</v>
      </c>
      <c r="AH20" s="302">
        <f t="shared" si="6"/>
        <v>272496.67911533109</v>
      </c>
      <c r="AI20" s="302">
        <f t="shared" si="6"/>
        <v>277073.1709389537</v>
      </c>
      <c r="AJ20" s="302">
        <f t="shared" si="6"/>
        <v>281669.65815905441</v>
      </c>
      <c r="AK20" s="302">
        <f t="shared" si="6"/>
        <v>286284.3939804447</v>
      </c>
      <c r="AL20" s="302">
        <f t="shared" si="6"/>
        <v>290915.82966958755</v>
      </c>
      <c r="AM20" s="302">
        <f t="shared" si="6"/>
        <v>295562.58725670446</v>
      </c>
      <c r="AN20" s="302">
        <f t="shared" si="6"/>
        <v>300223.43663157569</v>
      </c>
      <c r="AO20" s="302">
        <f t="shared" si="6"/>
        <v>304897.27622954169</v>
      </c>
      <c r="AP20" s="302">
        <f t="shared" si="6"/>
        <v>309583.11666786898</v>
      </c>
      <c r="AQ20" s="302">
        <f t="shared" si="6"/>
        <v>314280.06681973097</v>
      </c>
      <c r="AR20" s="302">
        <f t="shared" si="6"/>
        <v>318987.321912424</v>
      </c>
      <c r="AS20" s="302">
        <f t="shared" si="6"/>
        <v>323704.15331466601</v>
      </c>
      <c r="AT20" s="302">
        <f>AT9+AS20</f>
        <v>323704.15331466601</v>
      </c>
    </row>
    <row r="21" spans="1:46" s="229" customFormat="1">
      <c r="A21" s="229">
        <v>3</v>
      </c>
      <c r="B21" s="229" t="str">
        <f t="shared" si="2"/>
        <v>3Annual Heat Pump Installations</v>
      </c>
      <c r="C21" s="234" t="str">
        <f t="shared" si="3"/>
        <v>Annual Heat Pump Installations</v>
      </c>
      <c r="E21" s="313" t="s">
        <v>286</v>
      </c>
      <c r="F21" s="313"/>
      <c r="G21" s="313"/>
      <c r="H21" s="313"/>
      <c r="I21" s="313"/>
      <c r="J21" s="302">
        <f>'3.3 Retrofits and Heat Pumps'!J99</f>
        <v>0</v>
      </c>
      <c r="K21" s="302">
        <f t="shared" si="4"/>
        <v>0</v>
      </c>
      <c r="L21" s="302">
        <f t="shared" ref="L21:AT21" si="7">L10+K21</f>
        <v>0</v>
      </c>
      <c r="M21" s="302">
        <f t="shared" si="7"/>
        <v>0</v>
      </c>
      <c r="N21" s="302">
        <f t="shared" si="7"/>
        <v>0</v>
      </c>
      <c r="O21" s="302">
        <f t="shared" si="7"/>
        <v>0</v>
      </c>
      <c r="P21" s="302">
        <f t="shared" si="7"/>
        <v>332.10700486560756</v>
      </c>
      <c r="Q21" s="302">
        <f t="shared" si="7"/>
        <v>1394.2371610053983</v>
      </c>
      <c r="R21" s="302">
        <f t="shared" si="7"/>
        <v>3392.1538838573379</v>
      </c>
      <c r="S21" s="302">
        <f t="shared" si="7"/>
        <v>6937.5791635048054</v>
      </c>
      <c r="T21" s="302">
        <f t="shared" si="7"/>
        <v>11776.599446256098</v>
      </c>
      <c r="U21" s="302">
        <f t="shared" si="7"/>
        <v>18402.486414118765</v>
      </c>
      <c r="V21" s="302">
        <f t="shared" si="7"/>
        <v>26863.657089012762</v>
      </c>
      <c r="W21" s="302">
        <f t="shared" si="7"/>
        <v>35607.710098905241</v>
      </c>
      <c r="X21" s="302">
        <f t="shared" si="7"/>
        <v>44225.359031598884</v>
      </c>
      <c r="Y21" s="302">
        <f t="shared" si="7"/>
        <v>52539.711915829372</v>
      </c>
      <c r="Z21" s="302">
        <f t="shared" si="7"/>
        <v>60622.744518264648</v>
      </c>
      <c r="AA21" s="302">
        <f t="shared" si="7"/>
        <v>68705.777120699946</v>
      </c>
      <c r="AB21" s="302">
        <f t="shared" si="7"/>
        <v>76788.809723135244</v>
      </c>
      <c r="AC21" s="302">
        <f t="shared" si="7"/>
        <v>84871.842325570542</v>
      </c>
      <c r="AD21" s="302">
        <f t="shared" si="7"/>
        <v>92954.87492800584</v>
      </c>
      <c r="AE21" s="302">
        <f t="shared" si="7"/>
        <v>101037.90753044114</v>
      </c>
      <c r="AF21" s="302">
        <f t="shared" si="7"/>
        <v>107100.18198226758</v>
      </c>
      <c r="AG21" s="302">
        <f t="shared" si="7"/>
        <v>111141.69828348524</v>
      </c>
      <c r="AH21" s="302">
        <f t="shared" si="7"/>
        <v>111141.69828348524</v>
      </c>
      <c r="AI21" s="302">
        <f t="shared" si="7"/>
        <v>111141.69828348524</v>
      </c>
      <c r="AJ21" s="302">
        <f t="shared" si="7"/>
        <v>111141.69828348524</v>
      </c>
      <c r="AK21" s="302">
        <f t="shared" si="7"/>
        <v>111141.69828348524</v>
      </c>
      <c r="AL21" s="302">
        <f t="shared" si="7"/>
        <v>111141.69828348524</v>
      </c>
      <c r="AM21" s="302">
        <f t="shared" si="7"/>
        <v>111141.69828348524</v>
      </c>
      <c r="AN21" s="302">
        <f t="shared" si="7"/>
        <v>111141.69828348524</v>
      </c>
      <c r="AO21" s="302">
        <f t="shared" si="7"/>
        <v>111141.69828348524</v>
      </c>
      <c r="AP21" s="302">
        <f t="shared" si="7"/>
        <v>111141.69828348524</v>
      </c>
      <c r="AQ21" s="302">
        <f t="shared" si="7"/>
        <v>111141.69828348524</v>
      </c>
      <c r="AR21" s="302">
        <f t="shared" si="7"/>
        <v>111141.69828348524</v>
      </c>
      <c r="AS21" s="302">
        <f t="shared" si="7"/>
        <v>111141.69828348524</v>
      </c>
      <c r="AT21" s="302">
        <f t="shared" si="7"/>
        <v>111141.69828348524</v>
      </c>
    </row>
    <row r="22" spans="1:46" s="229" customFormat="1">
      <c r="A22" s="229">
        <v>4</v>
      </c>
      <c r="B22" s="229" t="str">
        <f t="shared" si="2"/>
        <v>4Annual Heat Pump Installations</v>
      </c>
      <c r="C22" s="234" t="str">
        <f t="shared" si="3"/>
        <v>Annual Heat Pump Installations</v>
      </c>
      <c r="E22" s="313" t="s">
        <v>287</v>
      </c>
      <c r="F22" s="313"/>
      <c r="G22" s="313"/>
      <c r="H22" s="313"/>
      <c r="I22" s="313"/>
      <c r="J22" s="302">
        <f>'3.3 Retrofits and Heat Pumps'!J100</f>
        <v>0</v>
      </c>
      <c r="K22" s="302">
        <f t="shared" si="4"/>
        <v>0</v>
      </c>
      <c r="L22" s="302">
        <f t="shared" ref="L22:AT22" si="8">L11+K22</f>
        <v>0</v>
      </c>
      <c r="M22" s="302">
        <f t="shared" si="8"/>
        <v>0</v>
      </c>
      <c r="N22" s="302">
        <f t="shared" si="8"/>
        <v>0</v>
      </c>
      <c r="O22" s="302">
        <f t="shared" si="8"/>
        <v>733.66869517667226</v>
      </c>
      <c r="P22" s="302">
        <f t="shared" si="8"/>
        <v>1549.5065074867084</v>
      </c>
      <c r="Q22" s="302">
        <f t="shared" si="8"/>
        <v>2878.0278460339514</v>
      </c>
      <c r="R22" s="302">
        <f t="shared" si="8"/>
        <v>4237.7160921521217</v>
      </c>
      <c r="S22" s="302">
        <f t="shared" si="8"/>
        <v>5619.134271378638</v>
      </c>
      <c r="T22" s="302">
        <f t="shared" si="8"/>
        <v>7016.3060068532159</v>
      </c>
      <c r="U22" s="302">
        <f t="shared" si="8"/>
        <v>8371.3386387078572</v>
      </c>
      <c r="V22" s="302">
        <f t="shared" si="8"/>
        <v>9725.2817341001373</v>
      </c>
      <c r="W22" s="302">
        <f t="shared" si="8"/>
        <v>11078.333703310695</v>
      </c>
      <c r="X22" s="302">
        <f t="shared" si="8"/>
        <v>12430.647538199475</v>
      </c>
      <c r="Y22" s="302">
        <f t="shared" si="8"/>
        <v>13782.343104735806</v>
      </c>
      <c r="Z22" s="302">
        <f t="shared" si="8"/>
        <v>14812.191226269384</v>
      </c>
      <c r="AA22" s="302">
        <f t="shared" si="8"/>
        <v>15857.096096396439</v>
      </c>
      <c r="AB22" s="302">
        <f t="shared" si="8"/>
        <v>16916.009068210096</v>
      </c>
      <c r="AC22" s="302">
        <f t="shared" si="8"/>
        <v>17987.976664572489</v>
      </c>
      <c r="AD22" s="302">
        <f t="shared" si="8"/>
        <v>18693.478913872379</v>
      </c>
      <c r="AE22" s="302">
        <f t="shared" si="8"/>
        <v>19095.232920434992</v>
      </c>
      <c r="AF22" s="302">
        <f t="shared" si="8"/>
        <v>19497.251040465773</v>
      </c>
      <c r="AG22" s="302">
        <f t="shared" si="8"/>
        <v>19899.503257335604</v>
      </c>
      <c r="AH22" s="302">
        <f t="shared" si="8"/>
        <v>20301.963934167445</v>
      </c>
      <c r="AI22" s="302">
        <f t="shared" si="8"/>
        <v>20704.611043609213</v>
      </c>
      <c r="AJ22" s="302">
        <f t="shared" si="8"/>
        <v>21107.425554532168</v>
      </c>
      <c r="AK22" s="302">
        <f t="shared" si="8"/>
        <v>21510.390939600202</v>
      </c>
      <c r="AL22" s="302">
        <f t="shared" si="8"/>
        <v>21913.492776817115</v>
      </c>
      <c r="AM22" s="302">
        <f t="shared" si="8"/>
        <v>22316.718424783416</v>
      </c>
      <c r="AN22" s="302">
        <f t="shared" si="8"/>
        <v>22720.056756237267</v>
      </c>
      <c r="AO22" s="302">
        <f t="shared" si="8"/>
        <v>23123.497938034663</v>
      </c>
      <c r="AP22" s="302">
        <f t="shared" si="8"/>
        <v>23527.033248397624</v>
      </c>
      <c r="AQ22" s="302">
        <f t="shared" si="8"/>
        <v>23930.654924269827</v>
      </c>
      <c r="AR22" s="302">
        <f t="shared" si="8"/>
        <v>24334.356033149899</v>
      </c>
      <c r="AS22" s="302">
        <f t="shared" si="8"/>
        <v>24738.130364943725</v>
      </c>
      <c r="AT22" s="302">
        <f t="shared" si="8"/>
        <v>24738.130364943725</v>
      </c>
    </row>
    <row r="23" spans="1:46" s="229" customFormat="1">
      <c r="A23" s="229">
        <v>5</v>
      </c>
      <c r="B23" s="229" t="str">
        <f t="shared" si="2"/>
        <v>5Annual Heat Pump Installations</v>
      </c>
      <c r="C23" s="234" t="str">
        <f t="shared" si="3"/>
        <v>Annual Heat Pump Installations</v>
      </c>
      <c r="E23" s="313" t="s">
        <v>288</v>
      </c>
      <c r="F23" s="313"/>
      <c r="G23" s="313"/>
      <c r="H23" s="313"/>
      <c r="I23" s="313"/>
      <c r="J23" s="302">
        <f>'3.3 Retrofits and Heat Pumps'!J101</f>
        <v>0</v>
      </c>
      <c r="K23" s="302">
        <f t="shared" si="4"/>
        <v>0</v>
      </c>
      <c r="L23" s="302">
        <f t="shared" ref="L23:AT23" si="9">L12+K23</f>
        <v>0</v>
      </c>
      <c r="M23" s="302">
        <f t="shared" si="9"/>
        <v>0</v>
      </c>
      <c r="N23" s="302">
        <f t="shared" si="9"/>
        <v>0</v>
      </c>
      <c r="O23" s="302">
        <f t="shared" si="9"/>
        <v>0</v>
      </c>
      <c r="P23" s="302">
        <f t="shared" si="9"/>
        <v>0</v>
      </c>
      <c r="Q23" s="302">
        <f t="shared" si="9"/>
        <v>0</v>
      </c>
      <c r="R23" s="302">
        <f t="shared" si="9"/>
        <v>0</v>
      </c>
      <c r="S23" s="302">
        <f t="shared" si="9"/>
        <v>0</v>
      </c>
      <c r="T23" s="302">
        <f t="shared" si="9"/>
        <v>0</v>
      </c>
      <c r="U23" s="302">
        <f t="shared" si="9"/>
        <v>0</v>
      </c>
      <c r="V23" s="302">
        <f t="shared" si="9"/>
        <v>0</v>
      </c>
      <c r="W23" s="302">
        <f t="shared" si="9"/>
        <v>0</v>
      </c>
      <c r="X23" s="302">
        <f t="shared" si="9"/>
        <v>0</v>
      </c>
      <c r="Y23" s="302">
        <f t="shared" si="9"/>
        <v>0</v>
      </c>
      <c r="Z23" s="302">
        <f t="shared" si="9"/>
        <v>0</v>
      </c>
      <c r="AA23" s="302">
        <f t="shared" si="9"/>
        <v>0</v>
      </c>
      <c r="AB23" s="302">
        <f t="shared" si="9"/>
        <v>0</v>
      </c>
      <c r="AC23" s="302">
        <f t="shared" si="9"/>
        <v>0</v>
      </c>
      <c r="AD23" s="302">
        <f t="shared" si="9"/>
        <v>0</v>
      </c>
      <c r="AE23" s="302">
        <f t="shared" si="9"/>
        <v>0</v>
      </c>
      <c r="AF23" s="302">
        <f t="shared" si="9"/>
        <v>0</v>
      </c>
      <c r="AG23" s="302">
        <f t="shared" si="9"/>
        <v>0</v>
      </c>
      <c r="AH23" s="302">
        <f t="shared" si="9"/>
        <v>0</v>
      </c>
      <c r="AI23" s="302">
        <f t="shared" si="9"/>
        <v>0</v>
      </c>
      <c r="AJ23" s="302">
        <f t="shared" si="9"/>
        <v>0</v>
      </c>
      <c r="AK23" s="302">
        <f t="shared" si="9"/>
        <v>0</v>
      </c>
      <c r="AL23" s="302">
        <f t="shared" si="9"/>
        <v>0</v>
      </c>
      <c r="AM23" s="302">
        <f t="shared" si="9"/>
        <v>0</v>
      </c>
      <c r="AN23" s="302">
        <f t="shared" si="9"/>
        <v>0</v>
      </c>
      <c r="AO23" s="302">
        <f t="shared" si="9"/>
        <v>0</v>
      </c>
      <c r="AP23" s="302">
        <f t="shared" si="9"/>
        <v>0</v>
      </c>
      <c r="AQ23" s="302">
        <f t="shared" si="9"/>
        <v>0</v>
      </c>
      <c r="AR23" s="302">
        <f t="shared" si="9"/>
        <v>0</v>
      </c>
      <c r="AS23" s="302">
        <f t="shared" si="9"/>
        <v>0</v>
      </c>
      <c r="AT23" s="302">
        <f t="shared" si="9"/>
        <v>0</v>
      </c>
    </row>
    <row r="24" spans="1:46" s="229" customFormat="1">
      <c r="A24" s="229">
        <v>6</v>
      </c>
      <c r="B24" s="229" t="str">
        <f t="shared" si="2"/>
        <v>6Annual Heat Pump Installations</v>
      </c>
      <c r="C24" s="234" t="str">
        <f t="shared" si="3"/>
        <v>Annual Heat Pump Installations</v>
      </c>
      <c r="E24" s="313" t="s">
        <v>289</v>
      </c>
      <c r="F24" s="313"/>
      <c r="G24" s="313"/>
      <c r="H24" s="313"/>
      <c r="I24" s="313"/>
      <c r="J24" s="302">
        <f>'3.3 Retrofits and Heat Pumps'!J102</f>
        <v>0</v>
      </c>
      <c r="K24" s="302">
        <f t="shared" si="4"/>
        <v>0</v>
      </c>
      <c r="L24" s="302">
        <f t="shared" ref="L24:AT24" si="10">L13+K24</f>
        <v>0</v>
      </c>
      <c r="M24" s="302">
        <f t="shared" si="10"/>
        <v>0</v>
      </c>
      <c r="N24" s="302">
        <f t="shared" si="10"/>
        <v>0</v>
      </c>
      <c r="O24" s="302">
        <f t="shared" si="10"/>
        <v>0</v>
      </c>
      <c r="P24" s="302">
        <f t="shared" si="10"/>
        <v>0</v>
      </c>
      <c r="Q24" s="302">
        <f t="shared" si="10"/>
        <v>0</v>
      </c>
      <c r="R24" s="302">
        <f t="shared" si="10"/>
        <v>0</v>
      </c>
      <c r="S24" s="302">
        <f t="shared" si="10"/>
        <v>0</v>
      </c>
      <c r="T24" s="302">
        <f t="shared" si="10"/>
        <v>0</v>
      </c>
      <c r="U24" s="302">
        <f t="shared" si="10"/>
        <v>0</v>
      </c>
      <c r="V24" s="302">
        <f t="shared" si="10"/>
        <v>0</v>
      </c>
      <c r="W24" s="302">
        <f t="shared" si="10"/>
        <v>0</v>
      </c>
      <c r="X24" s="302">
        <f t="shared" si="10"/>
        <v>0</v>
      </c>
      <c r="Y24" s="302">
        <f t="shared" si="10"/>
        <v>0</v>
      </c>
      <c r="Z24" s="302">
        <f t="shared" si="10"/>
        <v>0</v>
      </c>
      <c r="AA24" s="302">
        <f t="shared" si="10"/>
        <v>0</v>
      </c>
      <c r="AB24" s="302">
        <f t="shared" si="10"/>
        <v>0</v>
      </c>
      <c r="AC24" s="302">
        <f t="shared" si="10"/>
        <v>0</v>
      </c>
      <c r="AD24" s="302">
        <f t="shared" si="10"/>
        <v>0</v>
      </c>
      <c r="AE24" s="302">
        <f t="shared" si="10"/>
        <v>0</v>
      </c>
      <c r="AF24" s="302">
        <f t="shared" si="10"/>
        <v>0</v>
      </c>
      <c r="AG24" s="302">
        <f t="shared" si="10"/>
        <v>0</v>
      </c>
      <c r="AH24" s="302">
        <f t="shared" si="10"/>
        <v>0</v>
      </c>
      <c r="AI24" s="302">
        <f t="shared" si="10"/>
        <v>0</v>
      </c>
      <c r="AJ24" s="302">
        <f t="shared" si="10"/>
        <v>0</v>
      </c>
      <c r="AK24" s="302">
        <f t="shared" si="10"/>
        <v>0</v>
      </c>
      <c r="AL24" s="302">
        <f t="shared" si="10"/>
        <v>0</v>
      </c>
      <c r="AM24" s="302">
        <f t="shared" si="10"/>
        <v>0</v>
      </c>
      <c r="AN24" s="302">
        <f t="shared" si="10"/>
        <v>0</v>
      </c>
      <c r="AO24" s="302">
        <f t="shared" si="10"/>
        <v>0</v>
      </c>
      <c r="AP24" s="302">
        <f t="shared" si="10"/>
        <v>0</v>
      </c>
      <c r="AQ24" s="302">
        <f t="shared" si="10"/>
        <v>0</v>
      </c>
      <c r="AR24" s="302">
        <f t="shared" si="10"/>
        <v>0</v>
      </c>
      <c r="AS24" s="302">
        <f t="shared" si="10"/>
        <v>0</v>
      </c>
      <c r="AT24" s="302">
        <f t="shared" si="10"/>
        <v>0</v>
      </c>
    </row>
    <row r="25" spans="1:46" s="229" customFormat="1">
      <c r="A25" s="229" t="s">
        <v>208</v>
      </c>
      <c r="B25" s="229" t="str">
        <f>A25&amp;C25</f>
        <v>NAnnual Heat Pump Installations</v>
      </c>
      <c r="C25" s="234" t="str">
        <f t="shared" si="3"/>
        <v>Annual Heat Pump Installations</v>
      </c>
      <c r="E25" s="313"/>
      <c r="F25" s="313"/>
      <c r="G25" s="313"/>
      <c r="H25" s="313"/>
      <c r="I25" s="313"/>
      <c r="J25" s="302"/>
      <c r="K25" s="302"/>
      <c r="L25" s="302"/>
      <c r="M25" s="302"/>
      <c r="N25" s="302"/>
      <c r="O25" s="302"/>
      <c r="P25" s="302"/>
      <c r="Q25" s="302"/>
      <c r="R25" s="302"/>
      <c r="S25" s="302"/>
      <c r="T25" s="302"/>
      <c r="U25" s="302"/>
      <c r="V25" s="302"/>
      <c r="W25" s="302"/>
      <c r="X25" s="302"/>
      <c r="Y25" s="302"/>
      <c r="Z25" s="302"/>
      <c r="AA25" s="302"/>
      <c r="AB25" s="302"/>
      <c r="AC25" s="302"/>
      <c r="AD25" s="302"/>
      <c r="AE25" s="302"/>
      <c r="AF25" s="302"/>
      <c r="AG25" s="302"/>
      <c r="AH25" s="302"/>
      <c r="AI25" s="302"/>
      <c r="AJ25" s="302"/>
      <c r="AK25" s="302"/>
      <c r="AL25" s="302"/>
      <c r="AM25" s="302"/>
      <c r="AN25" s="302"/>
      <c r="AO25" s="302"/>
      <c r="AP25" s="302"/>
      <c r="AQ25" s="302"/>
      <c r="AR25" s="302"/>
      <c r="AS25" s="302"/>
    </row>
    <row r="26" spans="1:46" s="229" customFormat="1">
      <c r="C26" s="234"/>
      <c r="E26" s="313"/>
      <c r="F26" s="313"/>
      <c r="G26" s="313"/>
      <c r="H26" s="313"/>
      <c r="I26" s="313"/>
      <c r="J26" s="302"/>
      <c r="K26" s="302"/>
      <c r="L26" s="302"/>
      <c r="M26" s="302"/>
      <c r="N26" s="302"/>
      <c r="O26" s="302"/>
      <c r="P26" s="302"/>
      <c r="Q26" s="302"/>
      <c r="R26" s="302"/>
      <c r="S26" s="302"/>
      <c r="T26" s="302"/>
      <c r="U26" s="302"/>
      <c r="V26" s="302"/>
      <c r="W26" s="302"/>
      <c r="X26" s="302"/>
      <c r="Y26" s="302"/>
      <c r="Z26" s="302"/>
      <c r="AA26" s="302"/>
      <c r="AB26" s="302"/>
      <c r="AC26" s="302"/>
      <c r="AD26" s="302"/>
      <c r="AE26" s="302"/>
      <c r="AF26" s="302"/>
      <c r="AG26" s="302"/>
      <c r="AH26" s="302"/>
      <c r="AI26" s="302"/>
      <c r="AJ26" s="302"/>
      <c r="AK26" s="302"/>
      <c r="AL26" s="302"/>
      <c r="AM26" s="302"/>
      <c r="AN26" s="302"/>
      <c r="AO26" s="302"/>
      <c r="AP26" s="302"/>
      <c r="AQ26" s="302"/>
      <c r="AR26" s="302"/>
      <c r="AS26" s="302"/>
    </row>
    <row r="27" spans="1:46" s="229" customFormat="1">
      <c r="C27" s="234"/>
      <c r="E27" s="313"/>
      <c r="F27" s="313"/>
      <c r="G27" s="313"/>
      <c r="H27" s="313"/>
      <c r="I27" s="313"/>
      <c r="J27" s="302"/>
      <c r="K27" s="302"/>
      <c r="L27" s="302"/>
      <c r="M27" s="302"/>
      <c r="N27" s="302"/>
      <c r="O27" s="302"/>
      <c r="P27" s="302"/>
      <c r="Q27" s="302"/>
      <c r="R27" s="302"/>
      <c r="S27" s="302"/>
      <c r="T27" s="302"/>
      <c r="U27" s="302"/>
      <c r="V27" s="302"/>
      <c r="W27" s="302"/>
      <c r="X27" s="302"/>
      <c r="Y27" s="302"/>
      <c r="Z27" s="302"/>
      <c r="AA27" s="302"/>
      <c r="AB27" s="302"/>
      <c r="AC27" s="302"/>
      <c r="AD27" s="302"/>
      <c r="AE27" s="302"/>
      <c r="AF27" s="302"/>
      <c r="AG27" s="302"/>
      <c r="AH27" s="302"/>
      <c r="AI27" s="302"/>
      <c r="AJ27" s="302"/>
      <c r="AK27" s="302"/>
      <c r="AL27" s="302"/>
      <c r="AM27" s="302"/>
      <c r="AN27" s="302"/>
      <c r="AO27" s="302"/>
      <c r="AP27" s="302"/>
      <c r="AQ27" s="302"/>
      <c r="AR27" s="302"/>
      <c r="AS27" s="302"/>
    </row>
    <row r="28" spans="1:46" s="240" customFormat="1">
      <c r="D28" s="241" t="s">
        <v>292</v>
      </c>
      <c r="E28" s="242"/>
    </row>
    <row r="29" spans="1:46" s="229" customFormat="1">
      <c r="A29" s="229">
        <v>0</v>
      </c>
      <c r="B29" s="229" t="str">
        <f>A29&amp;C29</f>
        <v>0Annual Building Retrofits</v>
      </c>
      <c r="C29" s="234" t="str">
        <f>$B$3</f>
        <v>Annual Building Retrofits</v>
      </c>
      <c r="E29" s="313" t="s">
        <v>293</v>
      </c>
      <c r="F29" s="313"/>
      <c r="G29" s="313"/>
      <c r="H29" s="313"/>
      <c r="I29" s="313"/>
      <c r="J29" s="302"/>
      <c r="K29" s="302"/>
      <c r="L29" s="302"/>
      <c r="M29" s="302"/>
      <c r="N29" s="302"/>
      <c r="O29" s="302"/>
      <c r="P29" s="302"/>
      <c r="Q29" s="302"/>
      <c r="R29" s="302"/>
      <c r="S29" s="302"/>
      <c r="T29" s="302"/>
      <c r="U29" s="302"/>
      <c r="V29" s="302"/>
      <c r="W29" s="302"/>
      <c r="X29" s="302"/>
      <c r="Y29" s="302"/>
      <c r="Z29" s="302"/>
      <c r="AA29" s="302"/>
      <c r="AB29" s="302"/>
      <c r="AC29" s="302"/>
      <c r="AD29" s="302"/>
      <c r="AE29" s="302"/>
      <c r="AF29" s="302"/>
      <c r="AG29" s="302"/>
      <c r="AH29" s="302"/>
      <c r="AI29" s="302"/>
      <c r="AJ29" s="302"/>
      <c r="AK29" s="302"/>
      <c r="AL29" s="302"/>
      <c r="AM29" s="302"/>
      <c r="AN29" s="302"/>
      <c r="AO29" s="302"/>
      <c r="AP29" s="302"/>
      <c r="AQ29" s="302"/>
      <c r="AR29" s="302"/>
      <c r="AS29" s="302"/>
    </row>
    <row r="30" spans="1:46" s="229" customFormat="1">
      <c r="A30" s="229">
        <v>1</v>
      </c>
      <c r="B30" s="229" t="str">
        <f t="shared" ref="B30:B31" si="11">A30&amp;C30</f>
        <v>1Annual Building Retrofits</v>
      </c>
      <c r="C30" s="234" t="str">
        <f t="shared" ref="C30:C31" si="12">$B$3</f>
        <v>Annual Building Retrofits</v>
      </c>
      <c r="E30" s="313" t="s">
        <v>294</v>
      </c>
      <c r="F30" s="313"/>
      <c r="G30" s="313"/>
      <c r="H30" s="313"/>
      <c r="I30" s="313"/>
      <c r="J30" s="302">
        <v>0</v>
      </c>
      <c r="K30" s="302">
        <v>0</v>
      </c>
      <c r="L30" s="302">
        <v>0</v>
      </c>
      <c r="M30" s="302">
        <v>0</v>
      </c>
      <c r="N30" s="302">
        <v>17.477831735042855</v>
      </c>
      <c r="O30" s="302">
        <v>25828.451337961946</v>
      </c>
      <c r="P30" s="302">
        <v>78612.561727247899</v>
      </c>
      <c r="Q30" s="302">
        <v>276220.09641384333</v>
      </c>
      <c r="R30" s="302">
        <v>419349.85489396052</v>
      </c>
      <c r="S30" s="302">
        <v>394061.44516463741</v>
      </c>
      <c r="T30" s="302">
        <v>306567.66868695524</v>
      </c>
      <c r="U30" s="302">
        <v>231398.28931289352</v>
      </c>
      <c r="V30" s="302">
        <v>173007.24763868051</v>
      </c>
      <c r="W30" s="302">
        <v>121598.29922970431</v>
      </c>
      <c r="X30" s="302">
        <v>62629.910568777472</v>
      </c>
      <c r="Y30" s="302">
        <v>20122.027319219429</v>
      </c>
      <c r="Z30" s="302">
        <v>0</v>
      </c>
      <c r="AA30" s="302">
        <v>0</v>
      </c>
      <c r="AB30" s="302">
        <v>0</v>
      </c>
      <c r="AC30" s="302">
        <v>0</v>
      </c>
      <c r="AD30" s="302">
        <v>0</v>
      </c>
      <c r="AE30" s="302">
        <v>0</v>
      </c>
      <c r="AF30" s="302">
        <v>0</v>
      </c>
      <c r="AG30" s="302">
        <v>0</v>
      </c>
      <c r="AH30" s="302">
        <v>0</v>
      </c>
      <c r="AI30" s="302">
        <v>0</v>
      </c>
      <c r="AJ30" s="302">
        <v>0</v>
      </c>
      <c r="AK30" s="302">
        <v>0</v>
      </c>
      <c r="AL30" s="302">
        <v>0</v>
      </c>
      <c r="AM30" s="302">
        <v>0</v>
      </c>
      <c r="AN30" s="302">
        <v>0</v>
      </c>
      <c r="AO30" s="302">
        <v>0</v>
      </c>
      <c r="AP30" s="302">
        <v>0</v>
      </c>
      <c r="AQ30" s="302">
        <v>0</v>
      </c>
      <c r="AR30" s="302">
        <v>0</v>
      </c>
      <c r="AS30" s="302">
        <v>0</v>
      </c>
    </row>
    <row r="31" spans="1:46" s="229" customFormat="1">
      <c r="A31" s="229">
        <v>2</v>
      </c>
      <c r="B31" s="229" t="str">
        <f t="shared" si="11"/>
        <v>2Annual Building Retrofits</v>
      </c>
      <c r="C31" s="234" t="str">
        <f t="shared" si="12"/>
        <v>Annual Building Retrofits</v>
      </c>
      <c r="E31" s="313" t="s">
        <v>295</v>
      </c>
      <c r="F31" s="313"/>
      <c r="G31" s="313"/>
      <c r="H31" s="313"/>
      <c r="I31" s="313"/>
      <c r="J31" s="302">
        <v>0</v>
      </c>
      <c r="K31" s="302">
        <v>0</v>
      </c>
      <c r="L31" s="302">
        <v>0</v>
      </c>
      <c r="M31" s="302">
        <v>0</v>
      </c>
      <c r="N31" s="302">
        <v>1.4165229373393231</v>
      </c>
      <c r="O31" s="302">
        <v>2102.4369704498822</v>
      </c>
      <c r="P31" s="302">
        <v>6513.2698289316322</v>
      </c>
      <c r="Q31" s="302">
        <v>24341.998880289975</v>
      </c>
      <c r="R31" s="302">
        <v>41940.38983984373</v>
      </c>
      <c r="S31" s="302">
        <v>46142.623092335882</v>
      </c>
      <c r="T31" s="302">
        <v>41542.037018359872</v>
      </c>
      <c r="U31" s="302">
        <v>35349.15731156827</v>
      </c>
      <c r="V31" s="302">
        <v>29067.266113906109</v>
      </c>
      <c r="W31" s="302">
        <v>21961.521497716021</v>
      </c>
      <c r="X31" s="302">
        <v>11850.271562506794</v>
      </c>
      <c r="Y31" s="302">
        <v>3889.2068711724714</v>
      </c>
      <c r="Z31" s="302">
        <v>0</v>
      </c>
      <c r="AA31" s="302">
        <v>0</v>
      </c>
      <c r="AB31" s="302">
        <v>0</v>
      </c>
      <c r="AC31" s="302">
        <v>0</v>
      </c>
      <c r="AD31" s="302">
        <v>0</v>
      </c>
      <c r="AE31" s="302">
        <v>0</v>
      </c>
      <c r="AF31" s="302">
        <v>0</v>
      </c>
      <c r="AG31" s="302">
        <v>0</v>
      </c>
      <c r="AH31" s="302">
        <v>0</v>
      </c>
      <c r="AI31" s="302">
        <v>0</v>
      </c>
      <c r="AJ31" s="302">
        <v>0</v>
      </c>
      <c r="AK31" s="302">
        <v>0</v>
      </c>
      <c r="AL31" s="302">
        <v>0</v>
      </c>
      <c r="AM31" s="302">
        <v>0</v>
      </c>
      <c r="AN31" s="302">
        <v>0</v>
      </c>
      <c r="AO31" s="302">
        <v>0</v>
      </c>
      <c r="AP31" s="302">
        <v>0</v>
      </c>
      <c r="AQ31" s="302">
        <v>0</v>
      </c>
      <c r="AR31" s="302">
        <v>0</v>
      </c>
      <c r="AS31" s="302">
        <v>0</v>
      </c>
    </row>
    <row r="32" spans="1:46" s="229" customFormat="1">
      <c r="C32" s="234"/>
      <c r="E32" s="313"/>
      <c r="F32" s="313"/>
      <c r="G32" s="313"/>
      <c r="H32" s="313"/>
      <c r="I32" s="313"/>
      <c r="J32" s="302"/>
      <c r="K32" s="302"/>
      <c r="L32" s="302"/>
      <c r="M32" s="302"/>
      <c r="N32" s="302"/>
      <c r="O32" s="302"/>
      <c r="P32" s="302"/>
      <c r="Q32" s="302"/>
      <c r="R32" s="302"/>
      <c r="S32" s="302"/>
      <c r="T32" s="302"/>
      <c r="U32" s="302"/>
      <c r="V32" s="302"/>
      <c r="W32" s="302"/>
      <c r="X32" s="302"/>
      <c r="Y32" s="302"/>
      <c r="Z32" s="302"/>
      <c r="AA32" s="302"/>
      <c r="AB32" s="302"/>
      <c r="AC32" s="302"/>
      <c r="AD32" s="302"/>
      <c r="AE32" s="302"/>
      <c r="AF32" s="302"/>
      <c r="AG32" s="302"/>
      <c r="AH32" s="302"/>
      <c r="AI32" s="302"/>
      <c r="AJ32" s="302"/>
      <c r="AK32" s="302"/>
      <c r="AL32" s="302"/>
      <c r="AM32" s="302"/>
      <c r="AN32" s="302"/>
      <c r="AO32" s="302"/>
      <c r="AP32" s="302"/>
      <c r="AQ32" s="302"/>
      <c r="AR32" s="302"/>
      <c r="AS32" s="302"/>
    </row>
    <row r="33" spans="1:45" s="229" customFormat="1">
      <c r="C33" s="234"/>
      <c r="E33" s="313" t="s">
        <v>296</v>
      </c>
      <c r="F33" s="313"/>
      <c r="G33" s="313"/>
      <c r="H33" s="313"/>
      <c r="I33" s="313"/>
      <c r="J33" s="302"/>
      <c r="K33" s="302"/>
      <c r="L33" s="302"/>
      <c r="M33" s="302"/>
      <c r="N33" s="302"/>
      <c r="O33" s="302"/>
      <c r="P33" s="302"/>
      <c r="Q33" s="302"/>
      <c r="R33" s="302"/>
      <c r="S33" s="302"/>
      <c r="T33" s="302"/>
      <c r="U33" s="302"/>
      <c r="V33" s="302"/>
      <c r="W33" s="302"/>
      <c r="X33" s="302"/>
      <c r="Y33" s="302"/>
      <c r="Z33" s="302"/>
      <c r="AA33" s="302"/>
      <c r="AB33" s="302"/>
      <c r="AC33" s="302"/>
      <c r="AD33" s="302"/>
      <c r="AE33" s="302"/>
      <c r="AF33" s="302"/>
      <c r="AG33" s="302"/>
      <c r="AH33" s="302"/>
      <c r="AI33" s="302"/>
      <c r="AJ33" s="302"/>
      <c r="AK33" s="302"/>
      <c r="AL33" s="302"/>
      <c r="AM33" s="302"/>
      <c r="AN33" s="302"/>
      <c r="AO33" s="302"/>
      <c r="AP33" s="302"/>
      <c r="AQ33" s="302"/>
      <c r="AR33" s="302"/>
      <c r="AS33" s="302"/>
    </row>
    <row r="34" spans="1:45" s="229" customFormat="1">
      <c r="C34" s="234"/>
      <c r="E34" s="313"/>
      <c r="F34" s="313"/>
      <c r="G34" s="313"/>
      <c r="H34" s="313"/>
      <c r="I34" s="313"/>
      <c r="J34" s="302"/>
      <c r="K34" s="302"/>
      <c r="L34" s="302"/>
      <c r="M34" s="302"/>
      <c r="N34" s="302"/>
      <c r="O34" s="302"/>
      <c r="P34" s="302"/>
      <c r="Q34" s="302"/>
      <c r="R34" s="302"/>
      <c r="S34" s="302"/>
      <c r="T34" s="302"/>
      <c r="U34" s="302"/>
      <c r="V34" s="302"/>
      <c r="W34" s="302"/>
      <c r="X34" s="302"/>
      <c r="Y34" s="302"/>
      <c r="Z34" s="302"/>
      <c r="AA34" s="302"/>
      <c r="AB34" s="302"/>
      <c r="AC34" s="302"/>
      <c r="AD34" s="302"/>
      <c r="AE34" s="302"/>
      <c r="AF34" s="302"/>
      <c r="AG34" s="302"/>
      <c r="AH34" s="302"/>
      <c r="AI34" s="302"/>
      <c r="AJ34" s="302"/>
      <c r="AK34" s="302"/>
      <c r="AL34" s="302"/>
      <c r="AM34" s="302"/>
      <c r="AN34" s="302"/>
      <c r="AO34" s="302"/>
      <c r="AP34" s="302"/>
      <c r="AQ34" s="302"/>
      <c r="AR34" s="302"/>
      <c r="AS34" s="302"/>
    </row>
    <row r="35" spans="1:45" s="229" customFormat="1">
      <c r="C35" s="234"/>
      <c r="E35" s="313"/>
      <c r="F35" s="313"/>
      <c r="G35" s="313"/>
      <c r="H35" s="313"/>
      <c r="I35" s="313"/>
      <c r="J35" s="302"/>
      <c r="K35" s="302"/>
      <c r="L35" s="302"/>
      <c r="M35" s="302"/>
      <c r="N35" s="302"/>
      <c r="O35" s="302"/>
      <c r="P35" s="302"/>
      <c r="Q35" s="302"/>
      <c r="R35" s="302"/>
      <c r="S35" s="302"/>
      <c r="T35" s="302"/>
      <c r="U35" s="302"/>
      <c r="V35" s="302"/>
      <c r="W35" s="302"/>
      <c r="X35" s="302"/>
      <c r="Y35" s="302"/>
      <c r="Z35" s="302"/>
      <c r="AA35" s="302"/>
      <c r="AB35" s="302"/>
      <c r="AC35" s="302"/>
      <c r="AD35" s="302"/>
      <c r="AE35" s="302"/>
      <c r="AF35" s="302"/>
      <c r="AG35" s="302"/>
      <c r="AH35" s="302"/>
      <c r="AI35" s="302"/>
      <c r="AJ35" s="302"/>
      <c r="AK35" s="302"/>
      <c r="AL35" s="302"/>
      <c r="AM35" s="302"/>
      <c r="AN35" s="302"/>
      <c r="AO35" s="302"/>
      <c r="AP35" s="302"/>
      <c r="AQ35" s="302"/>
      <c r="AR35" s="302"/>
      <c r="AS35" s="302"/>
    </row>
    <row r="36" spans="1:45" s="240" customFormat="1">
      <c r="D36" s="241" t="s">
        <v>297</v>
      </c>
      <c r="E36" s="242"/>
    </row>
    <row r="37" spans="1:45" s="229" customFormat="1">
      <c r="A37" s="229">
        <v>0</v>
      </c>
      <c r="B37" s="229" t="str">
        <f>A37&amp;C37</f>
        <v>0Annual District Heating Connections</v>
      </c>
      <c r="C37" s="234" t="str">
        <f>$B$4</f>
        <v>Annual District Heating Connections</v>
      </c>
      <c r="E37" s="313" t="s">
        <v>298</v>
      </c>
      <c r="F37" s="313"/>
      <c r="G37" s="313"/>
      <c r="H37" s="313"/>
      <c r="I37" s="313"/>
      <c r="J37" s="302"/>
      <c r="K37" s="302"/>
      <c r="L37" s="302"/>
      <c r="M37" s="302"/>
      <c r="N37" s="302"/>
      <c r="O37" s="302"/>
      <c r="P37" s="302"/>
      <c r="Q37" s="302"/>
      <c r="R37" s="302"/>
      <c r="S37" s="302"/>
      <c r="T37" s="302"/>
      <c r="U37" s="302"/>
      <c r="V37" s="302"/>
      <c r="W37" s="302"/>
      <c r="X37" s="302"/>
      <c r="Y37" s="302"/>
      <c r="Z37" s="302"/>
      <c r="AA37" s="302"/>
      <c r="AB37" s="302"/>
      <c r="AC37" s="302"/>
      <c r="AD37" s="302"/>
      <c r="AE37" s="302"/>
      <c r="AF37" s="302"/>
      <c r="AG37" s="302"/>
      <c r="AH37" s="302"/>
      <c r="AI37" s="302"/>
      <c r="AJ37" s="302"/>
      <c r="AK37" s="302"/>
      <c r="AL37" s="302"/>
      <c r="AM37" s="302"/>
      <c r="AN37" s="302"/>
      <c r="AO37" s="302"/>
      <c r="AP37" s="302"/>
      <c r="AQ37" s="302"/>
      <c r="AR37" s="302"/>
      <c r="AS37" s="302"/>
    </row>
    <row r="38" spans="1:45" s="229" customFormat="1">
      <c r="A38" s="229">
        <v>1</v>
      </c>
      <c r="B38" s="229" t="str">
        <f t="shared" ref="B38:B41" si="13">A38&amp;C38</f>
        <v>1Annual District Heating Connections</v>
      </c>
      <c r="C38" s="234" t="str">
        <f t="shared" ref="C38:C41" si="14">$B$4</f>
        <v>Annual District Heating Connections</v>
      </c>
      <c r="E38" s="313" t="s">
        <v>299</v>
      </c>
      <c r="F38" s="313"/>
      <c r="G38" s="313"/>
      <c r="H38" s="313"/>
      <c r="I38" s="313"/>
      <c r="J38" s="302">
        <f>'2.2 Energy Systems inputs'!F32</f>
        <v>1642.7368508572181</v>
      </c>
      <c r="K38" s="302">
        <f>'2.2 Energy Systems inputs'!G32</f>
        <v>1642.7368508572181</v>
      </c>
      <c r="L38" s="302">
        <f>'2.2 Energy Systems inputs'!H32</f>
        <v>1642.7368508572181</v>
      </c>
      <c r="M38" s="302">
        <f>'2.2 Energy Systems inputs'!I32</f>
        <v>1642.7368508572108</v>
      </c>
      <c r="N38" s="302">
        <f>'2.2 Energy Systems inputs'!J32</f>
        <v>1642.7368508572108</v>
      </c>
      <c r="O38" s="302">
        <f>'2.2 Energy Systems inputs'!K32</f>
        <v>9856.421105143294</v>
      </c>
      <c r="P38" s="302">
        <f>'2.2 Energy Systems inputs'!L32</f>
        <v>9856.4211051432867</v>
      </c>
      <c r="Q38" s="302">
        <f>'2.2 Energy Systems inputs'!M32</f>
        <v>9856.4211051432867</v>
      </c>
      <c r="R38" s="302">
        <f>'2.2 Energy Systems inputs'!N32</f>
        <v>9856.421105143294</v>
      </c>
      <c r="S38" s="302">
        <f>'2.2 Energy Systems inputs'!O32</f>
        <v>9856.421105143294</v>
      </c>
      <c r="T38" s="302">
        <f>'2.2 Energy Systems inputs'!P32</f>
        <v>9856.4211051432649</v>
      </c>
      <c r="U38" s="302">
        <f>'2.2 Energy Systems inputs'!Q32</f>
        <v>13141.89480685773</v>
      </c>
      <c r="V38" s="302">
        <f>'2.2 Energy Systems inputs'!R32</f>
        <v>13141.894806857701</v>
      </c>
      <c r="W38" s="302">
        <f>'2.2 Energy Systems inputs'!S32</f>
        <v>13141.894806857745</v>
      </c>
      <c r="X38" s="302">
        <f>'2.2 Energy Systems inputs'!T32</f>
        <v>13141.894806857686</v>
      </c>
      <c r="Y38" s="302">
        <f>'2.2 Energy Systems inputs'!U32</f>
        <v>13141.894806857716</v>
      </c>
      <c r="Z38" s="302">
        <f>'2.2 Energy Systems inputs'!V32</f>
        <v>13141.894806857716</v>
      </c>
      <c r="AA38" s="302">
        <f>'2.2 Energy Systems inputs'!W32</f>
        <v>13141.894806857716</v>
      </c>
      <c r="AB38" s="302">
        <f>'2.2 Energy Systems inputs'!X32</f>
        <v>13141.894806857716</v>
      </c>
      <c r="AC38" s="302">
        <f>'2.2 Energy Systems inputs'!Y32</f>
        <v>13141.894806857745</v>
      </c>
      <c r="AD38" s="302">
        <f>'2.2 Energy Systems inputs'!Z32</f>
        <v>13141.894806857745</v>
      </c>
      <c r="AE38" s="302">
        <f>'2.2 Energy Systems inputs'!AA32</f>
        <v>13141.894806857686</v>
      </c>
      <c r="AF38" s="302">
        <f>'2.2 Energy Systems inputs'!AB32</f>
        <v>13141.894806857745</v>
      </c>
      <c r="AG38" s="302">
        <f>'2.2 Energy Systems inputs'!AC32</f>
        <v>13141.894806857628</v>
      </c>
      <c r="AH38" s="302">
        <f>'2.2 Energy Systems inputs'!AD32</f>
        <v>13141.894806857745</v>
      </c>
      <c r="AI38" s="302">
        <f>'2.2 Energy Systems inputs'!AE32</f>
        <v>13141.894806857745</v>
      </c>
      <c r="AJ38" s="302">
        <f>'2.2 Energy Systems inputs'!AF32</f>
        <v>13141.894806857686</v>
      </c>
      <c r="AK38" s="302">
        <f>'2.2 Energy Systems inputs'!AG32</f>
        <v>13141.894806857745</v>
      </c>
      <c r="AL38" s="302">
        <f>'2.2 Energy Systems inputs'!AH32</f>
        <v>13141.894806857628</v>
      </c>
      <c r="AM38" s="302">
        <f>'2.2 Energy Systems inputs'!AI32</f>
        <v>13141.894806857803</v>
      </c>
      <c r="AN38" s="302">
        <f>'2.2 Energy Systems inputs'!AJ32</f>
        <v>13141.894806857686</v>
      </c>
      <c r="AO38" s="302">
        <f>'2.2 Energy Systems inputs'!AK32</f>
        <v>0</v>
      </c>
      <c r="AP38" s="302">
        <f>'2.2 Energy Systems inputs'!AL32</f>
        <v>0</v>
      </c>
      <c r="AQ38" s="302">
        <f>'2.2 Energy Systems inputs'!AM32</f>
        <v>0</v>
      </c>
      <c r="AR38" s="302">
        <f>'2.2 Energy Systems inputs'!AN32</f>
        <v>0</v>
      </c>
      <c r="AS38" s="302">
        <f>'2.2 Energy Systems inputs'!AO32</f>
        <v>0</v>
      </c>
    </row>
    <row r="39" spans="1:45" s="229" customFormat="1">
      <c r="A39" s="229">
        <v>2</v>
      </c>
      <c r="B39" s="229" t="str">
        <f t="shared" si="13"/>
        <v>2Annual District Heating Connections</v>
      </c>
      <c r="C39" s="234" t="str">
        <f t="shared" si="14"/>
        <v>Annual District Heating Connections</v>
      </c>
      <c r="E39" s="313" t="s">
        <v>300</v>
      </c>
      <c r="F39" s="313"/>
      <c r="G39" s="313"/>
      <c r="H39" s="313"/>
      <c r="I39" s="313"/>
      <c r="J39" s="302">
        <f>'2.2 Energy Systems inputs'!F33</f>
        <v>0</v>
      </c>
      <c r="K39" s="302">
        <f>'2.2 Energy Systems inputs'!G33</f>
        <v>913.90426917801619</v>
      </c>
      <c r="L39" s="302">
        <f>'2.2 Energy Systems inputs'!H33</f>
        <v>1827.8085383560217</v>
      </c>
      <c r="M39" s="302">
        <f>'2.2 Energy Systems inputs'!I33</f>
        <v>2741.7128075340652</v>
      </c>
      <c r="N39" s="302">
        <f>'2.2 Energy Systems inputs'!J33</f>
        <v>3655.6170767120457</v>
      </c>
      <c r="O39" s="302">
        <f>'2.2 Energy Systems inputs'!K33</f>
        <v>9139.0426917802142</v>
      </c>
      <c r="P39" s="302">
        <f>'2.2 Energy Systems inputs'!L33</f>
        <v>7759.7461714632082</v>
      </c>
      <c r="Q39" s="302">
        <f>'2.2 Energy Systems inputs'!M33</f>
        <v>15519.492342926416</v>
      </c>
      <c r="R39" s="302">
        <f>'2.2 Energy Systems inputs'!N33</f>
        <v>17588.757988650061</v>
      </c>
      <c r="S39" s="302">
        <f>'2.2 Energy Systems inputs'!O33</f>
        <v>19658.023634373589</v>
      </c>
      <c r="T39" s="302">
        <f>'2.2 Energy Systems inputs'!P33</f>
        <v>21727.289280097131</v>
      </c>
      <c r="U39" s="302">
        <f>'2.2 Energy Systems inputs'!Q33</f>
        <v>19103.9613151706</v>
      </c>
      <c r="V39" s="302">
        <f>'2.2 Energy Systems inputs'!R33</f>
        <v>20612.168787421251</v>
      </c>
      <c r="W39" s="302">
        <f>'2.2 Energy Systems inputs'!S33</f>
        <v>22120.376259671204</v>
      </c>
      <c r="X39" s="302">
        <f>'2.2 Energy Systems inputs'!T33</f>
        <v>23628.583731921943</v>
      </c>
      <c r="Y39" s="302">
        <f>'2.2 Energy Systems inputs'!U33</f>
        <v>25136.79120417143</v>
      </c>
      <c r="Z39" s="302">
        <f>'2.2 Energy Systems inputs'!V33</f>
        <v>11585.598736463551</v>
      </c>
      <c r="AA39" s="302">
        <f>'2.2 Energy Systems inputs'!W33</f>
        <v>11585.598736463959</v>
      </c>
      <c r="AB39" s="302">
        <f>'2.2 Energy Systems inputs'!X33</f>
        <v>11585.59873646358</v>
      </c>
      <c r="AC39" s="302">
        <f>'2.2 Energy Systems inputs'!Y33</f>
        <v>11585.598736463959</v>
      </c>
      <c r="AD39" s="302">
        <f>'2.2 Energy Systems inputs'!Z33</f>
        <v>11585.598736463551</v>
      </c>
      <c r="AE39" s="302">
        <f>'2.2 Energy Systems inputs'!AA33</f>
        <v>11585.59873646358</v>
      </c>
      <c r="AF39" s="302">
        <f>'2.2 Energy Systems inputs'!AB33</f>
        <v>11585.59873646393</v>
      </c>
      <c r="AG39" s="302">
        <f>'2.2 Energy Systems inputs'!AC33</f>
        <v>11585.598736463522</v>
      </c>
      <c r="AH39" s="302">
        <f>'2.2 Energy Systems inputs'!AD33</f>
        <v>11585.59873646358</v>
      </c>
      <c r="AI39" s="302">
        <f>'2.2 Energy Systems inputs'!AE33</f>
        <v>11585.59873646358</v>
      </c>
      <c r="AJ39" s="302">
        <f>'2.2 Energy Systems inputs'!AF33</f>
        <v>11585.59873646393</v>
      </c>
      <c r="AK39" s="302">
        <f>'2.2 Energy Systems inputs'!AG33</f>
        <v>11585.598736464046</v>
      </c>
      <c r="AL39" s="302">
        <f>'2.2 Energy Systems inputs'!AH33</f>
        <v>11585.598736463988</v>
      </c>
      <c r="AM39" s="302">
        <f>'2.2 Energy Systems inputs'!AI33</f>
        <v>11585.59873646393</v>
      </c>
      <c r="AN39" s="302">
        <f>'2.2 Energy Systems inputs'!AJ33</f>
        <v>11585.598736464395</v>
      </c>
      <c r="AO39" s="302">
        <f>'2.2 Energy Systems inputs'!AK33</f>
        <v>11585.598736464453</v>
      </c>
      <c r="AP39" s="302">
        <f>'2.2 Energy Systems inputs'!AL33</f>
        <v>11585.59873646393</v>
      </c>
      <c r="AQ39" s="302">
        <f>'2.2 Energy Systems inputs'!AM33</f>
        <v>11585.598736463988</v>
      </c>
      <c r="AR39" s="302">
        <f>'2.2 Energy Systems inputs'!AN33</f>
        <v>11585.598736464453</v>
      </c>
      <c r="AS39" s="302">
        <f>'2.2 Energy Systems inputs'!AO33</f>
        <v>11585.598736463522</v>
      </c>
    </row>
    <row r="40" spans="1:45" s="229" customFormat="1">
      <c r="A40" s="229">
        <v>3</v>
      </c>
      <c r="B40" s="229" t="str">
        <f t="shared" si="13"/>
        <v>3Annual District Heating Connections</v>
      </c>
      <c r="C40" s="234" t="str">
        <f t="shared" si="14"/>
        <v>Annual District Heating Connections</v>
      </c>
      <c r="E40" s="313" t="s">
        <v>301</v>
      </c>
      <c r="F40" s="313"/>
      <c r="G40" s="313"/>
      <c r="H40" s="313"/>
      <c r="I40" s="313"/>
      <c r="J40" s="302">
        <f>'2.2 Energy Systems inputs'!F34</f>
        <v>277.45592191778633</v>
      </c>
      <c r="K40" s="302">
        <f>'2.2 Energy Systems inputs'!G34</f>
        <v>277.45592191778633</v>
      </c>
      <c r="L40" s="302">
        <f>'2.2 Energy Systems inputs'!H34</f>
        <v>277.20295273433658</v>
      </c>
      <c r="M40" s="302">
        <f>'2.2 Energy Systems inputs'!I34</f>
        <v>276.94998355088865</v>
      </c>
      <c r="N40" s="302">
        <f>'2.2 Energy Systems inputs'!J34</f>
        <v>276.69701436744072</v>
      </c>
      <c r="O40" s="302">
        <f>'2.2 Energy Systems inputs'!K34</f>
        <v>1684.0811281626939</v>
      </c>
      <c r="P40" s="302">
        <f>'2.2 Energy Systems inputs'!L34</f>
        <v>1682.563313061999</v>
      </c>
      <c r="Q40" s="302">
        <f>'2.2 Energy Systems inputs'!M34</f>
        <v>1681.0454979613078</v>
      </c>
      <c r="R40" s="302">
        <f>'2.2 Energy Systems inputs'!N34</f>
        <v>1679.5276828606111</v>
      </c>
      <c r="S40" s="302">
        <f>'2.2 Energy Systems inputs'!O34</f>
        <v>1678.0098677599199</v>
      </c>
      <c r="T40" s="302">
        <f>'2.2 Energy Systems inputs'!P34</f>
        <v>1637.9447858039057</v>
      </c>
      <c r="U40" s="302">
        <f>'2.2 Energy Systems inputs'!Q34</f>
        <v>2232.4637487141408</v>
      </c>
      <c r="V40" s="302">
        <f>'2.2 Energy Systems inputs'!R34</f>
        <v>2230.4399952465465</v>
      </c>
      <c r="W40" s="302">
        <f>'2.2 Energy Systems inputs'!S34</f>
        <v>2228.4162417789557</v>
      </c>
      <c r="X40" s="302">
        <f>'2.2 Energy Systems inputs'!T34</f>
        <v>2226.3924883113577</v>
      </c>
      <c r="Y40" s="302">
        <f>'2.2 Energy Systems inputs'!U34</f>
        <v>2224.3687348437779</v>
      </c>
      <c r="Z40" s="302">
        <f>'2.2 Energy Systems inputs'!V34</f>
        <v>2222.3449813761836</v>
      </c>
      <c r="AA40" s="302">
        <f>'2.2 Energy Systems inputs'!W34</f>
        <v>2220.3212279085856</v>
      </c>
      <c r="AB40" s="302">
        <f>'2.2 Energy Systems inputs'!X34</f>
        <v>2218.2974744409948</v>
      </c>
      <c r="AC40" s="302">
        <f>'2.2 Energy Systems inputs'!Y34</f>
        <v>2216.2737209734114</v>
      </c>
      <c r="AD40" s="302">
        <f>'2.2 Energy Systems inputs'!Z34</f>
        <v>2214.249967505828</v>
      </c>
      <c r="AE40" s="302">
        <f>'2.2 Energy Systems inputs'!AA34</f>
        <v>2212.2262140382154</v>
      </c>
      <c r="AF40" s="302">
        <f>'2.2 Energy Systems inputs'!AB34</f>
        <v>2210.2024605706392</v>
      </c>
      <c r="AG40" s="302">
        <f>'2.2 Energy Systems inputs'!AC34</f>
        <v>2208.1787071030267</v>
      </c>
      <c r="AH40" s="302">
        <f>'2.2 Energy Systems inputs'!AD34</f>
        <v>2206.1549536354578</v>
      </c>
      <c r="AI40" s="302">
        <f>'2.2 Energy Systems inputs'!AE34</f>
        <v>2204.1312001678525</v>
      </c>
      <c r="AJ40" s="302">
        <f>'2.2 Energy Systems inputs'!AF34</f>
        <v>2202.1074467002691</v>
      </c>
      <c r="AK40" s="302">
        <f>'2.2 Energy Systems inputs'!AG34</f>
        <v>2200.0836932326856</v>
      </c>
      <c r="AL40" s="302">
        <f>'2.2 Energy Systems inputs'!AH34</f>
        <v>2198.0599397650731</v>
      </c>
      <c r="AM40" s="302">
        <f>'2.2 Energy Systems inputs'!AI34</f>
        <v>2196.0361862974896</v>
      </c>
      <c r="AN40" s="302">
        <f>'2.2 Energy Systems inputs'!AJ34</f>
        <v>2194.0124328299062</v>
      </c>
      <c r="AO40" s="302">
        <f>'2.2 Energy Systems inputs'!AK34</f>
        <v>0</v>
      </c>
      <c r="AP40" s="302">
        <f>'2.2 Energy Systems inputs'!AL34</f>
        <v>0</v>
      </c>
      <c r="AQ40" s="302">
        <f>'2.2 Energy Systems inputs'!AM34</f>
        <v>0</v>
      </c>
      <c r="AR40" s="302">
        <f>'2.2 Energy Systems inputs'!AN34</f>
        <v>0</v>
      </c>
      <c r="AS40" s="302">
        <f>'2.2 Energy Systems inputs'!AO34</f>
        <v>0</v>
      </c>
    </row>
    <row r="41" spans="1:45" s="229" customFormat="1">
      <c r="A41" s="229">
        <v>4</v>
      </c>
      <c r="B41" s="229" t="str">
        <f t="shared" si="13"/>
        <v>4Annual District Heating Connections</v>
      </c>
      <c r="C41" s="234" t="str">
        <f t="shared" si="14"/>
        <v>Annual District Heating Connections</v>
      </c>
      <c r="E41" s="313" t="s">
        <v>302</v>
      </c>
      <c r="F41" s="313"/>
      <c r="G41" s="313"/>
      <c r="H41" s="313"/>
      <c r="I41" s="313"/>
      <c r="J41" s="302">
        <f>'2.2 Energy Systems inputs'!F35</f>
        <v>0</v>
      </c>
      <c r="K41" s="302">
        <f>'2.2 Energy Systems inputs'!G35</f>
        <v>61.451163266303546</v>
      </c>
      <c r="L41" s="302">
        <f>'2.2 Energy Systems inputs'!H35</f>
        <v>122.90232653260719</v>
      </c>
      <c r="M41" s="302">
        <f>'2.2 Energy Systems inputs'!I35</f>
        <v>184.3534897989108</v>
      </c>
      <c r="N41" s="302">
        <f>'2.2 Energy Systems inputs'!J35</f>
        <v>245.8046530652145</v>
      </c>
      <c r="O41" s="302">
        <f>'2.2 Energy Systems inputs'!K35</f>
        <v>614.51163266303718</v>
      </c>
      <c r="P41" s="302">
        <f>'2.2 Energy Systems inputs'!L35</f>
        <v>614.51163266303706</v>
      </c>
      <c r="Q41" s="302">
        <f>'2.2 Energy Systems inputs'!M35</f>
        <v>1229.0232653260744</v>
      </c>
      <c r="R41" s="302">
        <f>'2.2 Energy Systems inputs'!N35</f>
        <v>1392.8930340362181</v>
      </c>
      <c r="S41" s="302">
        <f>'2.2 Energy Systems inputs'!O35</f>
        <v>1556.7628027463606</v>
      </c>
      <c r="T41" s="302">
        <f>'2.2 Energy Systems inputs'!P35</f>
        <v>1720.6325714565064</v>
      </c>
      <c r="U41" s="302">
        <f>'2.2 Energy Systems inputs'!Q35</f>
        <v>1373.0750824052593</v>
      </c>
      <c r="V41" s="302">
        <f>'2.2 Energy Systems inputs'!R35</f>
        <v>1481.4757468056705</v>
      </c>
      <c r="W41" s="302">
        <f>'2.2 Energy Systems inputs'!S35</f>
        <v>1589.8764112060926</v>
      </c>
      <c r="X41" s="302">
        <f>'2.2 Energy Systems inputs'!T35</f>
        <v>1698.2770756065074</v>
      </c>
      <c r="Y41" s="302">
        <f>'2.2 Energy Systems inputs'!U35</f>
        <v>1806.6777400069204</v>
      </c>
      <c r="Z41" s="302">
        <f>'2.2 Energy Systems inputs'!V35</f>
        <v>1806.6777400069204</v>
      </c>
      <c r="AA41" s="302">
        <f>'2.2 Energy Systems inputs'!W35</f>
        <v>1806.6777400069222</v>
      </c>
      <c r="AB41" s="302">
        <f>'2.2 Energy Systems inputs'!X35</f>
        <v>1806.6777400069186</v>
      </c>
      <c r="AC41" s="302">
        <f>'2.2 Energy Systems inputs'!Y35</f>
        <v>1806.6777400069222</v>
      </c>
      <c r="AD41" s="302">
        <f>'2.2 Energy Systems inputs'!Z35</f>
        <v>1806.6777400069222</v>
      </c>
      <c r="AE41" s="302">
        <f>'2.2 Energy Systems inputs'!AA35</f>
        <v>1806.677740006915</v>
      </c>
      <c r="AF41" s="302">
        <f>'2.2 Energy Systems inputs'!AB35</f>
        <v>1806.6777400069259</v>
      </c>
      <c r="AG41" s="302">
        <f>'2.2 Energy Systems inputs'!AC35</f>
        <v>1806.6777400069259</v>
      </c>
      <c r="AH41" s="302">
        <f>'2.2 Energy Systems inputs'!AD35</f>
        <v>1806.6777400069222</v>
      </c>
      <c r="AI41" s="302">
        <f>'2.2 Energy Systems inputs'!AE35</f>
        <v>1806.677740006915</v>
      </c>
      <c r="AJ41" s="302">
        <f>'2.2 Energy Systems inputs'!AF35</f>
        <v>1806.6777400069259</v>
      </c>
      <c r="AK41" s="302">
        <f>'2.2 Energy Systems inputs'!AG35</f>
        <v>1806.6777400069259</v>
      </c>
      <c r="AL41" s="302">
        <f>'2.2 Energy Systems inputs'!AH35</f>
        <v>1806.6777400069186</v>
      </c>
      <c r="AM41" s="302">
        <f>'2.2 Energy Systems inputs'!AI35</f>
        <v>1806.6777400069259</v>
      </c>
      <c r="AN41" s="302">
        <f>'2.2 Energy Systems inputs'!AJ35</f>
        <v>1806.6777400069186</v>
      </c>
      <c r="AO41" s="302">
        <f>'2.2 Energy Systems inputs'!AK35</f>
        <v>1806.6777400069259</v>
      </c>
      <c r="AP41" s="302">
        <f>'2.2 Energy Systems inputs'!AL35</f>
        <v>1806.6777400069259</v>
      </c>
      <c r="AQ41" s="302">
        <f>'2.2 Energy Systems inputs'!AM35</f>
        <v>1806.6777400069113</v>
      </c>
      <c r="AR41" s="302">
        <f>'2.2 Energy Systems inputs'!AN35</f>
        <v>1806.6777400069259</v>
      </c>
      <c r="AS41" s="302">
        <f>'2.2 Energy Systems inputs'!AO35</f>
        <v>1806.6777400068459</v>
      </c>
    </row>
    <row r="42" spans="1:45" s="229" customFormat="1">
      <c r="C42" s="234"/>
      <c r="E42" s="313"/>
      <c r="F42" s="313"/>
      <c r="G42" s="313"/>
      <c r="H42" s="313"/>
      <c r="I42" s="313"/>
      <c r="J42" s="302"/>
      <c r="K42" s="302"/>
      <c r="L42" s="302"/>
      <c r="M42" s="302"/>
      <c r="N42" s="302"/>
      <c r="O42" s="302"/>
      <c r="P42" s="302"/>
      <c r="Q42" s="302"/>
      <c r="R42" s="302"/>
      <c r="S42" s="302"/>
      <c r="T42" s="302"/>
      <c r="U42" s="302"/>
      <c r="V42" s="302"/>
      <c r="W42" s="302"/>
      <c r="X42" s="302"/>
      <c r="Y42" s="302"/>
      <c r="Z42" s="302"/>
      <c r="AA42" s="302"/>
      <c r="AB42" s="302"/>
      <c r="AC42" s="302"/>
      <c r="AD42" s="302"/>
      <c r="AE42" s="302"/>
      <c r="AF42" s="302"/>
      <c r="AG42" s="302"/>
      <c r="AH42" s="302"/>
      <c r="AI42" s="302"/>
      <c r="AJ42" s="302"/>
      <c r="AK42" s="302"/>
      <c r="AL42" s="302"/>
      <c r="AM42" s="302"/>
      <c r="AN42" s="302"/>
      <c r="AO42" s="302"/>
      <c r="AP42" s="302"/>
      <c r="AQ42" s="302"/>
      <c r="AR42" s="302"/>
      <c r="AS42" s="302"/>
    </row>
    <row r="43" spans="1:45" s="229" customFormat="1">
      <c r="C43" s="234"/>
      <c r="E43" s="313"/>
      <c r="F43" s="313"/>
      <c r="G43" s="313"/>
      <c r="H43" s="313"/>
      <c r="I43" s="313"/>
      <c r="J43" s="302"/>
      <c r="K43" s="302"/>
      <c r="L43" s="302"/>
      <c r="M43" s="302"/>
      <c r="N43" s="302"/>
      <c r="O43" s="302"/>
      <c r="P43" s="302"/>
      <c r="Q43" s="302"/>
      <c r="R43" s="302"/>
      <c r="S43" s="302"/>
      <c r="T43" s="302"/>
      <c r="U43" s="302"/>
      <c r="V43" s="302"/>
      <c r="W43" s="302"/>
      <c r="X43" s="302"/>
      <c r="Y43" s="302"/>
      <c r="Z43" s="302"/>
      <c r="AA43" s="302"/>
      <c r="AB43" s="302"/>
      <c r="AC43" s="302"/>
      <c r="AD43" s="302"/>
      <c r="AE43" s="302"/>
      <c r="AF43" s="302"/>
      <c r="AG43" s="302"/>
      <c r="AH43" s="302"/>
      <c r="AI43" s="302"/>
      <c r="AJ43" s="302"/>
      <c r="AK43" s="302"/>
      <c r="AL43" s="302"/>
      <c r="AM43" s="302"/>
      <c r="AN43" s="302"/>
      <c r="AO43" s="302"/>
      <c r="AP43" s="302"/>
      <c r="AQ43" s="302"/>
      <c r="AR43" s="302"/>
      <c r="AS43" s="302"/>
    </row>
    <row r="44" spans="1:45" s="231" customFormat="1">
      <c r="B44" s="232" t="s">
        <v>276</v>
      </c>
      <c r="C44" s="232"/>
      <c r="D44" s="233"/>
      <c r="E44" s="233"/>
      <c r="F44" s="232"/>
      <c r="G44" s="232"/>
      <c r="H44" s="232"/>
      <c r="I44" s="232"/>
    </row>
    <row r="45" spans="1:45" s="500" customFormat="1" ht="15.75" customHeight="1">
      <c r="B45" s="501"/>
      <c r="C45" s="502" t="s">
        <v>277</v>
      </c>
      <c r="D45" s="501"/>
      <c r="E45" s="503"/>
      <c r="F45" s="501"/>
      <c r="G45" s="501"/>
      <c r="H45" s="501"/>
      <c r="I45" s="501"/>
    </row>
    <row r="46" spans="1:45" s="505" customFormat="1">
      <c r="B46" s="506"/>
      <c r="C46" s="506" t="s">
        <v>278</v>
      </c>
      <c r="D46" s="506"/>
      <c r="F46" s="506"/>
      <c r="G46" s="506"/>
      <c r="H46" s="506"/>
      <c r="I46" s="506"/>
    </row>
    <row r="47" spans="1:45" s="500" customFormat="1">
      <c r="B47" s="501"/>
      <c r="C47" s="501"/>
      <c r="D47" s="501"/>
      <c r="E47" s="503" t="str">
        <f>Dashboard!$D$55</f>
        <v>Annual Heat Pump Installations</v>
      </c>
      <c r="F47" s="501"/>
      <c r="G47" s="501"/>
      <c r="H47" s="501"/>
      <c r="I47" s="501"/>
    </row>
    <row r="48" spans="1:45" s="500" customFormat="1">
      <c r="B48" s="501">
        <v>0</v>
      </c>
      <c r="C48" s="501" t="str">
        <f>B48&amp;$E$47</f>
        <v>0Annual Heat Pump Installations</v>
      </c>
      <c r="E48" s="504" t="str">
        <f>IFERROR(INDEX(E$1:E$249,MATCH($C48,$B$1:$B$249,0)),"")</f>
        <v>NUMBER OF HEAT PUMPS PER YEAR</v>
      </c>
      <c r="I48" s="501"/>
      <c r="J48" s="500">
        <v>2015</v>
      </c>
      <c r="K48" s="500">
        <v>2016</v>
      </c>
      <c r="L48" s="500">
        <v>2017</v>
      </c>
      <c r="M48" s="500">
        <v>2018</v>
      </c>
      <c r="N48" s="500">
        <v>2019</v>
      </c>
      <c r="O48" s="500">
        <v>2020</v>
      </c>
      <c r="P48" s="500">
        <v>2021</v>
      </c>
      <c r="Q48" s="500">
        <v>2022</v>
      </c>
      <c r="R48" s="500">
        <v>2023</v>
      </c>
      <c r="S48" s="500">
        <v>2024</v>
      </c>
      <c r="T48" s="500">
        <v>2025</v>
      </c>
      <c r="U48" s="500">
        <v>2026</v>
      </c>
      <c r="V48" s="500">
        <v>2027</v>
      </c>
      <c r="W48" s="500">
        <v>2028</v>
      </c>
      <c r="X48" s="500">
        <v>2029</v>
      </c>
      <c r="Y48" s="500">
        <v>2030</v>
      </c>
      <c r="Z48" s="500">
        <v>2031</v>
      </c>
      <c r="AA48" s="500">
        <v>2032</v>
      </c>
      <c r="AB48" s="500">
        <v>2033</v>
      </c>
      <c r="AC48" s="500">
        <v>2034</v>
      </c>
      <c r="AD48" s="500">
        <v>2035</v>
      </c>
      <c r="AE48" s="500">
        <v>2036</v>
      </c>
      <c r="AF48" s="500">
        <v>2037</v>
      </c>
      <c r="AG48" s="500">
        <v>2038</v>
      </c>
      <c r="AH48" s="500">
        <v>2039</v>
      </c>
      <c r="AI48" s="500">
        <v>2040</v>
      </c>
      <c r="AJ48" s="500">
        <v>2041</v>
      </c>
      <c r="AK48" s="500">
        <v>2042</v>
      </c>
      <c r="AL48" s="500">
        <v>2043</v>
      </c>
      <c r="AM48" s="500">
        <v>2044</v>
      </c>
      <c r="AN48" s="500">
        <v>2045</v>
      </c>
      <c r="AO48" s="500">
        <v>2046</v>
      </c>
      <c r="AP48" s="500">
        <v>2047</v>
      </c>
      <c r="AQ48" s="500">
        <v>2048</v>
      </c>
      <c r="AR48" s="500">
        <v>2049</v>
      </c>
      <c r="AS48" s="500">
        <v>2050</v>
      </c>
    </row>
    <row r="49" spans="2:50" s="500" customFormat="1">
      <c r="B49" s="501">
        <v>1</v>
      </c>
      <c r="C49" s="501" t="str">
        <f>B49&amp;$E$47</f>
        <v>1Annual Heat Pump Installations</v>
      </c>
      <c r="D49" s="500" t="s">
        <v>279</v>
      </c>
      <c r="E49" s="504" t="str">
        <f t="shared" ref="E49:E63" si="15">IFERROR(INDEX(E$1:E$45,MATCH($C49,$B$1:$B$45,0)),"")</f>
        <v xml:space="preserve">Heat pumps (domestic retrofit) </v>
      </c>
      <c r="F49" s="504"/>
      <c r="G49" s="504"/>
      <c r="H49" s="504"/>
      <c r="I49" s="504"/>
      <c r="J49" s="504">
        <f t="shared" ref="J49:S54" si="16">IFERROR(INDEX(J$1:J$45,MATCH($C49,$B$1:$B$45,0)),"")</f>
        <v>0</v>
      </c>
      <c r="K49" s="504">
        <f t="shared" si="16"/>
        <v>0</v>
      </c>
      <c r="L49" s="504">
        <f t="shared" si="16"/>
        <v>0</v>
      </c>
      <c r="M49" s="504">
        <f t="shared" si="16"/>
        <v>0</v>
      </c>
      <c r="N49" s="504">
        <f t="shared" si="16"/>
        <v>0</v>
      </c>
      <c r="O49" s="504">
        <f t="shared" si="16"/>
        <v>0</v>
      </c>
      <c r="P49" s="504">
        <f t="shared" si="16"/>
        <v>3846.3824216201342</v>
      </c>
      <c r="Q49" s="504">
        <f t="shared" si="16"/>
        <v>11539.147264860401</v>
      </c>
      <c r="R49" s="504">
        <f t="shared" si="16"/>
        <v>19231.912108100671</v>
      </c>
      <c r="S49" s="504">
        <f t="shared" si="16"/>
        <v>30771.059372961074</v>
      </c>
      <c r="T49" s="504">
        <f t="shared" ref="T49:AC54" si="17">IFERROR(INDEX(T$1:T$45,MATCH($C49,$B$1:$B$45,0)),"")</f>
        <v>38463.824216201341</v>
      </c>
      <c r="U49" s="504">
        <f t="shared" si="17"/>
        <v>50002.971481061744</v>
      </c>
      <c r="V49" s="504">
        <f t="shared" si="17"/>
        <v>61542.118745922147</v>
      </c>
      <c r="W49" s="504">
        <f t="shared" si="17"/>
        <v>61542.118745922147</v>
      </c>
      <c r="X49" s="504">
        <f t="shared" si="17"/>
        <v>61542.118745922147</v>
      </c>
      <c r="Y49" s="504">
        <f t="shared" si="17"/>
        <v>61542.118745922147</v>
      </c>
      <c r="Z49" s="504">
        <f t="shared" si="17"/>
        <v>61542.118745922147</v>
      </c>
      <c r="AA49" s="504">
        <f t="shared" si="17"/>
        <v>61542.118745922147</v>
      </c>
      <c r="AB49" s="504">
        <f t="shared" si="17"/>
        <v>61542.118745922147</v>
      </c>
      <c r="AC49" s="504">
        <f t="shared" si="17"/>
        <v>61542.118745922147</v>
      </c>
      <c r="AD49" s="504">
        <f t="shared" ref="AD49:AM54" si="18">IFERROR(INDEX(AD$1:AD$45,MATCH($C49,$B$1:$B$45,0)),"")</f>
        <v>61542.118745922147</v>
      </c>
      <c r="AE49" s="504">
        <f t="shared" si="18"/>
        <v>61542.118745922147</v>
      </c>
      <c r="AF49" s="504">
        <f t="shared" si="18"/>
        <v>46156.589059441605</v>
      </c>
      <c r="AG49" s="504">
        <f t="shared" si="18"/>
        <v>30771.059372961074</v>
      </c>
      <c r="AH49" s="504">
        <f t="shared" si="18"/>
        <v>0</v>
      </c>
      <c r="AI49" s="504">
        <f t="shared" si="18"/>
        <v>0</v>
      </c>
      <c r="AJ49" s="504">
        <f t="shared" si="18"/>
        <v>0</v>
      </c>
      <c r="AK49" s="504">
        <f t="shared" si="18"/>
        <v>0</v>
      </c>
      <c r="AL49" s="504">
        <f t="shared" si="18"/>
        <v>0</v>
      </c>
      <c r="AM49" s="504">
        <f t="shared" si="18"/>
        <v>0</v>
      </c>
      <c r="AN49" s="504">
        <f t="shared" ref="AN49:AS54" si="19">IFERROR(INDEX(AN$1:AN$45,MATCH($C49,$B$1:$B$45,0)),"")</f>
        <v>0</v>
      </c>
      <c r="AO49" s="504">
        <f t="shared" si="19"/>
        <v>0</v>
      </c>
      <c r="AP49" s="504">
        <f t="shared" si="19"/>
        <v>0</v>
      </c>
      <c r="AQ49" s="504">
        <f t="shared" si="19"/>
        <v>0</v>
      </c>
      <c r="AR49" s="504">
        <f t="shared" si="19"/>
        <v>0</v>
      </c>
      <c r="AS49" s="504">
        <f t="shared" si="19"/>
        <v>0</v>
      </c>
    </row>
    <row r="50" spans="2:50" s="500" customFormat="1">
      <c r="B50" s="501">
        <v>2</v>
      </c>
      <c r="C50" s="501" t="str">
        <f>B50&amp;$E$47</f>
        <v>2Annual Heat Pump Installations</v>
      </c>
      <c r="D50" s="500" t="s">
        <v>279</v>
      </c>
      <c r="E50" s="504" t="str">
        <f t="shared" si="15"/>
        <v xml:space="preserve">Heat pumps (domestic new) </v>
      </c>
      <c r="F50" s="504"/>
      <c r="G50" s="504"/>
      <c r="H50" s="504"/>
      <c r="I50" s="504"/>
      <c r="J50" s="504">
        <f t="shared" si="16"/>
        <v>0</v>
      </c>
      <c r="K50" s="504">
        <f t="shared" si="16"/>
        <v>0</v>
      </c>
      <c r="L50" s="504">
        <f t="shared" si="16"/>
        <v>0</v>
      </c>
      <c r="M50" s="504">
        <f t="shared" si="16"/>
        <v>0</v>
      </c>
      <c r="N50" s="504">
        <f t="shared" si="16"/>
        <v>0</v>
      </c>
      <c r="O50" s="504">
        <f t="shared" si="16"/>
        <v>12320.937140095093</v>
      </c>
      <c r="P50" s="504">
        <f t="shared" si="16"/>
        <v>13034.358509286532</v>
      </c>
      <c r="Q50" s="504">
        <f t="shared" si="16"/>
        <v>20854.97361485842</v>
      </c>
      <c r="R50" s="504">
        <f t="shared" si="16"/>
        <v>20854.973614858452</v>
      </c>
      <c r="S50" s="504">
        <f t="shared" si="16"/>
        <v>20854.97361485842</v>
      </c>
      <c r="T50" s="504">
        <f t="shared" si="17"/>
        <v>20854.97361485862</v>
      </c>
      <c r="U50" s="504">
        <f t="shared" si="17"/>
        <v>21104.012690882737</v>
      </c>
      <c r="V50" s="504">
        <f t="shared" si="17"/>
        <v>21104.012690882737</v>
      </c>
      <c r="W50" s="504">
        <f t="shared" si="17"/>
        <v>21104.012690882784</v>
      </c>
      <c r="X50" s="504">
        <f t="shared" si="17"/>
        <v>21104.012690882784</v>
      </c>
      <c r="Y50" s="504">
        <f t="shared" si="17"/>
        <v>21104.012690882693</v>
      </c>
      <c r="Z50" s="504">
        <f t="shared" si="17"/>
        <v>9728.6937329848461</v>
      </c>
      <c r="AA50" s="504">
        <f t="shared" si="17"/>
        <v>9728.6937329848461</v>
      </c>
      <c r="AB50" s="504">
        <f t="shared" si="17"/>
        <v>9728.6937329847569</v>
      </c>
      <c r="AC50" s="504">
        <f t="shared" si="17"/>
        <v>6531.1663042148093</v>
      </c>
      <c r="AD50" s="504">
        <f t="shared" si="18"/>
        <v>4432.4246350088806</v>
      </c>
      <c r="AE50" s="504">
        <f t="shared" si="18"/>
        <v>4468.5632376358089</v>
      </c>
      <c r="AF50" s="504">
        <f t="shared" si="18"/>
        <v>4498.3731545229784</v>
      </c>
      <c r="AG50" s="504">
        <f t="shared" si="18"/>
        <v>4530.2981588299199</v>
      </c>
      <c r="AH50" s="504">
        <f t="shared" si="18"/>
        <v>4554.5188629350359</v>
      </c>
      <c r="AI50" s="504">
        <f t="shared" si="18"/>
        <v>4576.4918236226049</v>
      </c>
      <c r="AJ50" s="504">
        <f t="shared" si="18"/>
        <v>4596.487220100732</v>
      </c>
      <c r="AK50" s="504">
        <f t="shared" si="18"/>
        <v>4614.7358213902862</v>
      </c>
      <c r="AL50" s="504">
        <f t="shared" si="18"/>
        <v>4631.4356891428197</v>
      </c>
      <c r="AM50" s="504">
        <f t="shared" si="18"/>
        <v>4646.7575871169256</v>
      </c>
      <c r="AN50" s="504">
        <f t="shared" si="19"/>
        <v>4660.8493748712153</v>
      </c>
      <c r="AO50" s="504">
        <f t="shared" si="19"/>
        <v>4673.8395979660054</v>
      </c>
      <c r="AP50" s="504">
        <f t="shared" si="19"/>
        <v>4685.8404383272737</v>
      </c>
      <c r="AQ50" s="504">
        <f t="shared" si="19"/>
        <v>4696.9501518620036</v>
      </c>
      <c r="AR50" s="504">
        <f t="shared" si="19"/>
        <v>4707.2550926930371</v>
      </c>
      <c r="AS50" s="504">
        <f t="shared" si="19"/>
        <v>4716.8314022419818</v>
      </c>
    </row>
    <row r="51" spans="2:50" s="500" customFormat="1">
      <c r="B51" s="501">
        <v>3</v>
      </c>
      <c r="C51" s="501" t="str">
        <f t="shared" ref="C51:C63" si="20">B51&amp;$E$47</f>
        <v>3Annual Heat Pump Installations</v>
      </c>
      <c r="D51" s="500" t="s">
        <v>279</v>
      </c>
      <c r="E51" s="504" t="str">
        <f t="shared" si="15"/>
        <v xml:space="preserve">Heat pumps (non-domestic retrofit) </v>
      </c>
      <c r="F51" s="504"/>
      <c r="G51" s="504"/>
      <c r="H51" s="504"/>
      <c r="I51" s="504"/>
      <c r="J51" s="504">
        <f t="shared" si="16"/>
        <v>0</v>
      </c>
      <c r="K51" s="504">
        <f t="shared" si="16"/>
        <v>0</v>
      </c>
      <c r="L51" s="504">
        <f t="shared" si="16"/>
        <v>0</v>
      </c>
      <c r="M51" s="504">
        <f t="shared" si="16"/>
        <v>0</v>
      </c>
      <c r="N51" s="504">
        <f t="shared" si="16"/>
        <v>0</v>
      </c>
      <c r="O51" s="504">
        <f t="shared" si="16"/>
        <v>0</v>
      </c>
      <c r="P51" s="504">
        <f t="shared" si="16"/>
        <v>332.10700486560756</v>
      </c>
      <c r="Q51" s="504">
        <f t="shared" si="16"/>
        <v>1062.1301561397906</v>
      </c>
      <c r="R51" s="504">
        <f t="shared" si="16"/>
        <v>1997.9167228519393</v>
      </c>
      <c r="S51" s="504">
        <f t="shared" si="16"/>
        <v>3545.4252796474675</v>
      </c>
      <c r="T51" s="504">
        <f t="shared" si="17"/>
        <v>4839.0202827512921</v>
      </c>
      <c r="U51" s="504">
        <f t="shared" si="17"/>
        <v>6625.8869678626661</v>
      </c>
      <c r="V51" s="504">
        <f t="shared" si="17"/>
        <v>8461.1706748939996</v>
      </c>
      <c r="W51" s="504">
        <f t="shared" si="17"/>
        <v>8744.0530098924828</v>
      </c>
      <c r="X51" s="504">
        <f t="shared" si="17"/>
        <v>8617.6489326936462</v>
      </c>
      <c r="Y51" s="504">
        <f t="shared" si="17"/>
        <v>8314.3528842304859</v>
      </c>
      <c r="Z51" s="504">
        <f t="shared" si="17"/>
        <v>8083.032602435278</v>
      </c>
      <c r="AA51" s="504">
        <f t="shared" si="17"/>
        <v>8083.0326024352989</v>
      </c>
      <c r="AB51" s="504">
        <f t="shared" si="17"/>
        <v>8083.0326024352926</v>
      </c>
      <c r="AC51" s="504">
        <f t="shared" si="17"/>
        <v>8083.0326024352926</v>
      </c>
      <c r="AD51" s="504">
        <f t="shared" si="18"/>
        <v>8083.0326024352926</v>
      </c>
      <c r="AE51" s="504">
        <f t="shared" si="18"/>
        <v>8083.0326024352926</v>
      </c>
      <c r="AF51" s="504">
        <f t="shared" si="18"/>
        <v>6062.2744518264417</v>
      </c>
      <c r="AG51" s="504">
        <f t="shared" si="18"/>
        <v>4041.5163012176599</v>
      </c>
      <c r="AH51" s="504">
        <f t="shared" si="18"/>
        <v>0</v>
      </c>
      <c r="AI51" s="504">
        <f t="shared" si="18"/>
        <v>0</v>
      </c>
      <c r="AJ51" s="504">
        <f t="shared" si="18"/>
        <v>0</v>
      </c>
      <c r="AK51" s="504">
        <f t="shared" si="18"/>
        <v>0</v>
      </c>
      <c r="AL51" s="504">
        <f t="shared" si="18"/>
        <v>0</v>
      </c>
      <c r="AM51" s="504">
        <f t="shared" si="18"/>
        <v>0</v>
      </c>
      <c r="AN51" s="504">
        <f t="shared" si="19"/>
        <v>0</v>
      </c>
      <c r="AO51" s="504">
        <f t="shared" si="19"/>
        <v>0</v>
      </c>
      <c r="AP51" s="504">
        <f t="shared" si="19"/>
        <v>0</v>
      </c>
      <c r="AQ51" s="504">
        <f t="shared" si="19"/>
        <v>0</v>
      </c>
      <c r="AR51" s="504">
        <f t="shared" si="19"/>
        <v>0</v>
      </c>
      <c r="AS51" s="504">
        <f t="shared" si="19"/>
        <v>0</v>
      </c>
    </row>
    <row r="52" spans="2:50" s="500" customFormat="1">
      <c r="B52" s="501">
        <v>4</v>
      </c>
      <c r="C52" s="501" t="str">
        <f t="shared" si="20"/>
        <v>4Annual Heat Pump Installations</v>
      </c>
      <c r="D52" s="500" t="s">
        <v>279</v>
      </c>
      <c r="E52" s="504" t="str">
        <f t="shared" si="15"/>
        <v xml:space="preserve">Heat pumps (non-domestic new) </v>
      </c>
      <c r="F52" s="504"/>
      <c r="G52" s="504"/>
      <c r="H52" s="504"/>
      <c r="I52" s="504"/>
      <c r="J52" s="504">
        <f t="shared" si="16"/>
        <v>0</v>
      </c>
      <c r="K52" s="504">
        <f t="shared" si="16"/>
        <v>0</v>
      </c>
      <c r="L52" s="504">
        <f t="shared" si="16"/>
        <v>0</v>
      </c>
      <c r="M52" s="504">
        <f t="shared" si="16"/>
        <v>0</v>
      </c>
      <c r="N52" s="504">
        <f t="shared" si="16"/>
        <v>0</v>
      </c>
      <c r="O52" s="504">
        <f t="shared" si="16"/>
        <v>733.66869517667226</v>
      </c>
      <c r="P52" s="504">
        <f t="shared" si="16"/>
        <v>815.83781231003616</v>
      </c>
      <c r="Q52" s="504">
        <f t="shared" si="16"/>
        <v>1328.5213385472432</v>
      </c>
      <c r="R52" s="504">
        <f t="shared" si="16"/>
        <v>1359.6882461181704</v>
      </c>
      <c r="S52" s="504">
        <f t="shared" si="16"/>
        <v>1381.4181792265163</v>
      </c>
      <c r="T52" s="504">
        <f t="shared" si="17"/>
        <v>1397.1717354745779</v>
      </c>
      <c r="U52" s="504">
        <f t="shared" si="17"/>
        <v>1355.0326318546406</v>
      </c>
      <c r="V52" s="504">
        <f t="shared" si="17"/>
        <v>1353.9430953922795</v>
      </c>
      <c r="W52" s="504">
        <f t="shared" si="17"/>
        <v>1353.051969210557</v>
      </c>
      <c r="X52" s="504">
        <f t="shared" si="17"/>
        <v>1352.3138348887805</v>
      </c>
      <c r="Y52" s="504">
        <f t="shared" si="17"/>
        <v>1351.6955665363321</v>
      </c>
      <c r="Z52" s="504">
        <f t="shared" si="17"/>
        <v>1029.8481215335778</v>
      </c>
      <c r="AA52" s="504">
        <f t="shared" si="17"/>
        <v>1044.9048701270544</v>
      </c>
      <c r="AB52" s="504">
        <f t="shared" si="17"/>
        <v>1058.9129718136576</v>
      </c>
      <c r="AC52" s="504">
        <f t="shared" si="17"/>
        <v>1071.9675963623931</v>
      </c>
      <c r="AD52" s="504">
        <f t="shared" si="18"/>
        <v>705.50224929989008</v>
      </c>
      <c r="AE52" s="504">
        <f t="shared" si="18"/>
        <v>401.75400656261161</v>
      </c>
      <c r="AF52" s="504">
        <f t="shared" si="18"/>
        <v>402.01812003078072</v>
      </c>
      <c r="AG52" s="504">
        <f t="shared" si="18"/>
        <v>402.25221686983235</v>
      </c>
      <c r="AH52" s="504">
        <f t="shared" si="18"/>
        <v>402.46067683183941</v>
      </c>
      <c r="AI52" s="504">
        <f t="shared" si="18"/>
        <v>402.6471094417696</v>
      </c>
      <c r="AJ52" s="504">
        <f t="shared" si="18"/>
        <v>402.81451092295498</v>
      </c>
      <c r="AK52" s="504">
        <f t="shared" si="18"/>
        <v>402.96538506803506</v>
      </c>
      <c r="AL52" s="504">
        <f t="shared" si="18"/>
        <v>403.10183721691459</v>
      </c>
      <c r="AM52" s="504">
        <f t="shared" si="18"/>
        <v>403.22564796630132</v>
      </c>
      <c r="AN52" s="504">
        <f t="shared" si="19"/>
        <v>403.33833145385194</v>
      </c>
      <c r="AO52" s="504">
        <f t="shared" si="19"/>
        <v>403.44118179739763</v>
      </c>
      <c r="AP52" s="504">
        <f t="shared" si="19"/>
        <v>403.53531036295874</v>
      </c>
      <c r="AQ52" s="504">
        <f t="shared" si="19"/>
        <v>403.62167587220426</v>
      </c>
      <c r="AR52" s="504">
        <f t="shared" si="19"/>
        <v>403.7011088800719</v>
      </c>
      <c r="AS52" s="504">
        <f t="shared" si="19"/>
        <v>403.774331793827</v>
      </c>
    </row>
    <row r="53" spans="2:50" s="500" customFormat="1">
      <c r="B53" s="501">
        <v>5</v>
      </c>
      <c r="C53" s="501" t="str">
        <f t="shared" si="20"/>
        <v>5Annual Heat Pump Installations</v>
      </c>
      <c r="D53" s="500" t="s">
        <v>279</v>
      </c>
      <c r="E53" s="504" t="str">
        <f t="shared" si="15"/>
        <v xml:space="preserve">Hybrid heat pumps (domestic) </v>
      </c>
      <c r="F53" s="504"/>
      <c r="G53" s="504"/>
      <c r="H53" s="504"/>
      <c r="I53" s="504"/>
      <c r="J53" s="504">
        <f t="shared" si="16"/>
        <v>0</v>
      </c>
      <c r="K53" s="504">
        <f t="shared" si="16"/>
        <v>0</v>
      </c>
      <c r="L53" s="504">
        <f t="shared" si="16"/>
        <v>0</v>
      </c>
      <c r="M53" s="504">
        <f t="shared" si="16"/>
        <v>0</v>
      </c>
      <c r="N53" s="504">
        <f t="shared" si="16"/>
        <v>0</v>
      </c>
      <c r="O53" s="504">
        <f t="shared" si="16"/>
        <v>0</v>
      </c>
      <c r="P53" s="504">
        <f t="shared" si="16"/>
        <v>0</v>
      </c>
      <c r="Q53" s="504">
        <f t="shared" si="16"/>
        <v>0</v>
      </c>
      <c r="R53" s="504">
        <f t="shared" si="16"/>
        <v>0</v>
      </c>
      <c r="S53" s="504">
        <f t="shared" si="16"/>
        <v>0</v>
      </c>
      <c r="T53" s="504">
        <f t="shared" si="17"/>
        <v>0</v>
      </c>
      <c r="U53" s="504">
        <f t="shared" si="17"/>
        <v>0</v>
      </c>
      <c r="V53" s="504">
        <f t="shared" si="17"/>
        <v>0</v>
      </c>
      <c r="W53" s="504">
        <f t="shared" si="17"/>
        <v>0</v>
      </c>
      <c r="X53" s="504">
        <f t="shared" si="17"/>
        <v>0</v>
      </c>
      <c r="Y53" s="504">
        <f t="shared" si="17"/>
        <v>0</v>
      </c>
      <c r="Z53" s="504">
        <f t="shared" si="17"/>
        <v>0</v>
      </c>
      <c r="AA53" s="504">
        <f t="shared" si="17"/>
        <v>0</v>
      </c>
      <c r="AB53" s="504">
        <f t="shared" si="17"/>
        <v>0</v>
      </c>
      <c r="AC53" s="504">
        <f t="shared" si="17"/>
        <v>0</v>
      </c>
      <c r="AD53" s="504">
        <f t="shared" si="18"/>
        <v>0</v>
      </c>
      <c r="AE53" s="504">
        <f t="shared" si="18"/>
        <v>0</v>
      </c>
      <c r="AF53" s="504">
        <f t="shared" si="18"/>
        <v>0</v>
      </c>
      <c r="AG53" s="504">
        <f t="shared" si="18"/>
        <v>0</v>
      </c>
      <c r="AH53" s="504">
        <f t="shared" si="18"/>
        <v>0</v>
      </c>
      <c r="AI53" s="504">
        <f t="shared" si="18"/>
        <v>0</v>
      </c>
      <c r="AJ53" s="504">
        <f t="shared" si="18"/>
        <v>0</v>
      </c>
      <c r="AK53" s="504">
        <f t="shared" si="18"/>
        <v>0</v>
      </c>
      <c r="AL53" s="504">
        <f t="shared" si="18"/>
        <v>0</v>
      </c>
      <c r="AM53" s="504">
        <f t="shared" si="18"/>
        <v>0</v>
      </c>
      <c r="AN53" s="504">
        <f t="shared" si="19"/>
        <v>0</v>
      </c>
      <c r="AO53" s="504">
        <f t="shared" si="19"/>
        <v>0</v>
      </c>
      <c r="AP53" s="504">
        <f t="shared" si="19"/>
        <v>0</v>
      </c>
      <c r="AQ53" s="504">
        <f t="shared" si="19"/>
        <v>0</v>
      </c>
      <c r="AR53" s="504">
        <f t="shared" si="19"/>
        <v>0</v>
      </c>
      <c r="AS53" s="504">
        <f t="shared" si="19"/>
        <v>0</v>
      </c>
    </row>
    <row r="54" spans="2:50" s="500" customFormat="1">
      <c r="B54" s="501">
        <v>6</v>
      </c>
      <c r="C54" s="501" t="str">
        <f t="shared" si="20"/>
        <v>6Annual Heat Pump Installations</v>
      </c>
      <c r="D54" s="500" t="s">
        <v>279</v>
      </c>
      <c r="E54" s="504" t="str">
        <f t="shared" si="15"/>
        <v xml:space="preserve">Hybrid heat pumps (non-domestic) </v>
      </c>
      <c r="F54" s="504"/>
      <c r="G54" s="504"/>
      <c r="H54" s="504"/>
      <c r="I54" s="504"/>
      <c r="J54" s="504">
        <f t="shared" si="16"/>
        <v>0</v>
      </c>
      <c r="K54" s="504">
        <f t="shared" si="16"/>
        <v>0</v>
      </c>
      <c r="L54" s="504">
        <f t="shared" si="16"/>
        <v>0</v>
      </c>
      <c r="M54" s="504">
        <f t="shared" si="16"/>
        <v>0</v>
      </c>
      <c r="N54" s="504">
        <f t="shared" si="16"/>
        <v>0</v>
      </c>
      <c r="O54" s="504">
        <f t="shared" si="16"/>
        <v>0</v>
      </c>
      <c r="P54" s="504">
        <f t="shared" si="16"/>
        <v>0</v>
      </c>
      <c r="Q54" s="504">
        <f t="shared" si="16"/>
        <v>0</v>
      </c>
      <c r="R54" s="504">
        <f t="shared" si="16"/>
        <v>0</v>
      </c>
      <c r="S54" s="504">
        <f t="shared" si="16"/>
        <v>0</v>
      </c>
      <c r="T54" s="504">
        <f t="shared" si="17"/>
        <v>0</v>
      </c>
      <c r="U54" s="504">
        <f t="shared" si="17"/>
        <v>0</v>
      </c>
      <c r="V54" s="504">
        <f t="shared" si="17"/>
        <v>0</v>
      </c>
      <c r="W54" s="504">
        <f t="shared" si="17"/>
        <v>0</v>
      </c>
      <c r="X54" s="504">
        <f t="shared" si="17"/>
        <v>0</v>
      </c>
      <c r="Y54" s="504">
        <f t="shared" si="17"/>
        <v>0</v>
      </c>
      <c r="Z54" s="504">
        <f t="shared" si="17"/>
        <v>0</v>
      </c>
      <c r="AA54" s="504">
        <f t="shared" si="17"/>
        <v>0</v>
      </c>
      <c r="AB54" s="504">
        <f t="shared" si="17"/>
        <v>0</v>
      </c>
      <c r="AC54" s="504">
        <f t="shared" si="17"/>
        <v>0</v>
      </c>
      <c r="AD54" s="504">
        <f t="shared" si="18"/>
        <v>0</v>
      </c>
      <c r="AE54" s="504">
        <f t="shared" si="18"/>
        <v>0</v>
      </c>
      <c r="AF54" s="504">
        <f t="shared" si="18"/>
        <v>0</v>
      </c>
      <c r="AG54" s="504">
        <f t="shared" si="18"/>
        <v>0</v>
      </c>
      <c r="AH54" s="504">
        <f t="shared" si="18"/>
        <v>0</v>
      </c>
      <c r="AI54" s="504">
        <f t="shared" si="18"/>
        <v>0</v>
      </c>
      <c r="AJ54" s="504">
        <f t="shared" si="18"/>
        <v>0</v>
      </c>
      <c r="AK54" s="504">
        <f t="shared" si="18"/>
        <v>0</v>
      </c>
      <c r="AL54" s="504">
        <f t="shared" si="18"/>
        <v>0</v>
      </c>
      <c r="AM54" s="504">
        <f t="shared" si="18"/>
        <v>0</v>
      </c>
      <c r="AN54" s="504">
        <f t="shared" si="19"/>
        <v>0</v>
      </c>
      <c r="AO54" s="504">
        <f t="shared" si="19"/>
        <v>0</v>
      </c>
      <c r="AP54" s="504">
        <f t="shared" si="19"/>
        <v>0</v>
      </c>
      <c r="AQ54" s="504">
        <f t="shared" si="19"/>
        <v>0</v>
      </c>
      <c r="AR54" s="504">
        <f t="shared" si="19"/>
        <v>0</v>
      </c>
      <c r="AS54" s="504">
        <f t="shared" si="19"/>
        <v>0</v>
      </c>
    </row>
    <row r="55" spans="2:50" s="500" customFormat="1">
      <c r="B55" s="501">
        <v>7</v>
      </c>
      <c r="C55" s="501" t="str">
        <f t="shared" si="20"/>
        <v>7Annual Heat Pump Installations</v>
      </c>
      <c r="D55" s="500" t="s">
        <v>279</v>
      </c>
      <c r="E55" s="504" t="str">
        <f t="shared" si="15"/>
        <v/>
      </c>
      <c r="F55" s="504" t="str">
        <f t="shared" ref="F55:O63" si="21">IFERROR(INDEX(F$1:F$249,MATCH($C55,$B$1:$B$249,0)),"")</f>
        <v/>
      </c>
      <c r="G55" s="504" t="str">
        <f t="shared" si="21"/>
        <v/>
      </c>
      <c r="H55" s="504" t="str">
        <f t="shared" si="21"/>
        <v/>
      </c>
      <c r="I55" s="504" t="str">
        <f t="shared" si="21"/>
        <v/>
      </c>
      <c r="J55" s="504" t="str">
        <f t="shared" si="21"/>
        <v/>
      </c>
      <c r="K55" s="504" t="str">
        <f t="shared" si="21"/>
        <v/>
      </c>
      <c r="L55" s="504" t="str">
        <f t="shared" si="21"/>
        <v/>
      </c>
      <c r="M55" s="504" t="str">
        <f t="shared" si="21"/>
        <v/>
      </c>
      <c r="N55" s="504" t="str">
        <f t="shared" si="21"/>
        <v/>
      </c>
      <c r="O55" s="504" t="str">
        <f t="shared" si="21"/>
        <v/>
      </c>
      <c r="P55" s="504" t="str">
        <f t="shared" ref="P55:Y63" si="22">IFERROR(INDEX(P$1:P$249,MATCH($C55,$B$1:$B$249,0)),"")</f>
        <v/>
      </c>
      <c r="Q55" s="504" t="str">
        <f t="shared" si="22"/>
        <v/>
      </c>
      <c r="R55" s="504" t="str">
        <f t="shared" si="22"/>
        <v/>
      </c>
      <c r="S55" s="504" t="str">
        <f t="shared" si="22"/>
        <v/>
      </c>
      <c r="T55" s="504" t="str">
        <f t="shared" si="22"/>
        <v/>
      </c>
      <c r="U55" s="504" t="str">
        <f t="shared" si="22"/>
        <v/>
      </c>
      <c r="V55" s="504" t="str">
        <f t="shared" si="22"/>
        <v/>
      </c>
      <c r="W55" s="504" t="str">
        <f t="shared" si="22"/>
        <v/>
      </c>
      <c r="X55" s="504" t="str">
        <f t="shared" si="22"/>
        <v/>
      </c>
      <c r="Y55" s="504" t="str">
        <f t="shared" si="22"/>
        <v/>
      </c>
      <c r="Z55" s="504" t="str">
        <f t="shared" ref="Z55:AI63" si="23">IFERROR(INDEX(Z$1:Z$249,MATCH($C55,$B$1:$B$249,0)),"")</f>
        <v/>
      </c>
      <c r="AA55" s="504" t="str">
        <f t="shared" si="23"/>
        <v/>
      </c>
      <c r="AB55" s="504" t="str">
        <f t="shared" si="23"/>
        <v/>
      </c>
      <c r="AC55" s="504" t="str">
        <f t="shared" si="23"/>
        <v/>
      </c>
      <c r="AD55" s="504" t="str">
        <f t="shared" si="23"/>
        <v/>
      </c>
      <c r="AE55" s="504" t="str">
        <f t="shared" si="23"/>
        <v/>
      </c>
      <c r="AF55" s="504" t="str">
        <f t="shared" si="23"/>
        <v/>
      </c>
      <c r="AG55" s="504" t="str">
        <f t="shared" si="23"/>
        <v/>
      </c>
      <c r="AH55" s="504" t="str">
        <f t="shared" si="23"/>
        <v/>
      </c>
      <c r="AI55" s="504" t="str">
        <f t="shared" si="23"/>
        <v/>
      </c>
      <c r="AJ55" s="504" t="str">
        <f t="shared" ref="AJ55:AS63" si="24">IFERROR(INDEX(AJ$1:AJ$249,MATCH($C55,$B$1:$B$249,0)),"")</f>
        <v/>
      </c>
      <c r="AK55" s="504" t="str">
        <f t="shared" si="24"/>
        <v/>
      </c>
      <c r="AL55" s="504" t="str">
        <f t="shared" si="24"/>
        <v/>
      </c>
      <c r="AM55" s="504" t="str">
        <f t="shared" si="24"/>
        <v/>
      </c>
      <c r="AN55" s="504" t="str">
        <f t="shared" si="24"/>
        <v/>
      </c>
      <c r="AO55" s="504" t="str">
        <f t="shared" si="24"/>
        <v/>
      </c>
      <c r="AP55" s="504" t="str">
        <f t="shared" si="24"/>
        <v/>
      </c>
      <c r="AQ55" s="504" t="str">
        <f t="shared" si="24"/>
        <v/>
      </c>
      <c r="AR55" s="504" t="str">
        <f t="shared" si="24"/>
        <v/>
      </c>
      <c r="AS55" s="504" t="str">
        <f t="shared" si="24"/>
        <v/>
      </c>
    </row>
    <row r="56" spans="2:50" s="500" customFormat="1">
      <c r="B56" s="501">
        <v>8</v>
      </c>
      <c r="C56" s="501" t="str">
        <f t="shared" si="20"/>
        <v>8Annual Heat Pump Installations</v>
      </c>
      <c r="D56" s="500" t="s">
        <v>279</v>
      </c>
      <c r="E56" s="504" t="str">
        <f t="shared" si="15"/>
        <v/>
      </c>
      <c r="F56" s="504" t="str">
        <f t="shared" si="21"/>
        <v/>
      </c>
      <c r="G56" s="504" t="str">
        <f t="shared" si="21"/>
        <v/>
      </c>
      <c r="H56" s="504" t="str">
        <f t="shared" si="21"/>
        <v/>
      </c>
      <c r="I56" s="504" t="str">
        <f t="shared" si="21"/>
        <v/>
      </c>
      <c r="J56" s="504" t="str">
        <f t="shared" si="21"/>
        <v/>
      </c>
      <c r="K56" s="504" t="str">
        <f t="shared" si="21"/>
        <v/>
      </c>
      <c r="L56" s="504" t="str">
        <f t="shared" si="21"/>
        <v/>
      </c>
      <c r="M56" s="504" t="str">
        <f t="shared" si="21"/>
        <v/>
      </c>
      <c r="N56" s="504" t="str">
        <f t="shared" si="21"/>
        <v/>
      </c>
      <c r="O56" s="504" t="str">
        <f t="shared" si="21"/>
        <v/>
      </c>
      <c r="P56" s="504" t="str">
        <f t="shared" si="22"/>
        <v/>
      </c>
      <c r="Q56" s="504" t="str">
        <f t="shared" si="22"/>
        <v/>
      </c>
      <c r="R56" s="504" t="str">
        <f t="shared" si="22"/>
        <v/>
      </c>
      <c r="S56" s="504" t="str">
        <f t="shared" si="22"/>
        <v/>
      </c>
      <c r="T56" s="504" t="str">
        <f t="shared" si="22"/>
        <v/>
      </c>
      <c r="U56" s="504" t="str">
        <f t="shared" si="22"/>
        <v/>
      </c>
      <c r="V56" s="504" t="str">
        <f t="shared" si="22"/>
        <v/>
      </c>
      <c r="W56" s="504" t="str">
        <f t="shared" si="22"/>
        <v/>
      </c>
      <c r="X56" s="504" t="str">
        <f t="shared" si="22"/>
        <v/>
      </c>
      <c r="Y56" s="504" t="str">
        <f t="shared" si="22"/>
        <v/>
      </c>
      <c r="Z56" s="504" t="str">
        <f t="shared" si="23"/>
        <v/>
      </c>
      <c r="AA56" s="504" t="str">
        <f t="shared" si="23"/>
        <v/>
      </c>
      <c r="AB56" s="504" t="str">
        <f t="shared" si="23"/>
        <v/>
      </c>
      <c r="AC56" s="504" t="str">
        <f t="shared" si="23"/>
        <v/>
      </c>
      <c r="AD56" s="504" t="str">
        <f t="shared" si="23"/>
        <v/>
      </c>
      <c r="AE56" s="504" t="str">
        <f t="shared" si="23"/>
        <v/>
      </c>
      <c r="AF56" s="504" t="str">
        <f t="shared" si="23"/>
        <v/>
      </c>
      <c r="AG56" s="504" t="str">
        <f t="shared" si="23"/>
        <v/>
      </c>
      <c r="AH56" s="504" t="str">
        <f t="shared" si="23"/>
        <v/>
      </c>
      <c r="AI56" s="504" t="str">
        <f t="shared" si="23"/>
        <v/>
      </c>
      <c r="AJ56" s="504" t="str">
        <f t="shared" si="24"/>
        <v/>
      </c>
      <c r="AK56" s="504" t="str">
        <f t="shared" si="24"/>
        <v/>
      </c>
      <c r="AL56" s="504" t="str">
        <f t="shared" si="24"/>
        <v/>
      </c>
      <c r="AM56" s="504" t="str">
        <f t="shared" si="24"/>
        <v/>
      </c>
      <c r="AN56" s="504" t="str">
        <f t="shared" si="24"/>
        <v/>
      </c>
      <c r="AO56" s="504" t="str">
        <f t="shared" si="24"/>
        <v/>
      </c>
      <c r="AP56" s="504" t="str">
        <f t="shared" si="24"/>
        <v/>
      </c>
      <c r="AQ56" s="504" t="str">
        <f t="shared" si="24"/>
        <v/>
      </c>
      <c r="AR56" s="504" t="str">
        <f t="shared" si="24"/>
        <v/>
      </c>
      <c r="AS56" s="504" t="str">
        <f t="shared" si="24"/>
        <v/>
      </c>
    </row>
    <row r="57" spans="2:50" s="500" customFormat="1">
      <c r="B57" s="501">
        <v>9</v>
      </c>
      <c r="C57" s="501" t="str">
        <f t="shared" si="20"/>
        <v>9Annual Heat Pump Installations</v>
      </c>
      <c r="D57" s="500" t="s">
        <v>279</v>
      </c>
      <c r="E57" s="504" t="str">
        <f t="shared" si="15"/>
        <v/>
      </c>
      <c r="F57" s="504" t="str">
        <f t="shared" si="21"/>
        <v/>
      </c>
      <c r="G57" s="504" t="str">
        <f t="shared" si="21"/>
        <v/>
      </c>
      <c r="H57" s="504" t="str">
        <f t="shared" si="21"/>
        <v/>
      </c>
      <c r="I57" s="504" t="str">
        <f t="shared" si="21"/>
        <v/>
      </c>
      <c r="J57" s="504" t="str">
        <f t="shared" si="21"/>
        <v/>
      </c>
      <c r="K57" s="504" t="str">
        <f t="shared" si="21"/>
        <v/>
      </c>
      <c r="L57" s="504" t="str">
        <f t="shared" si="21"/>
        <v/>
      </c>
      <c r="M57" s="504" t="str">
        <f t="shared" si="21"/>
        <v/>
      </c>
      <c r="N57" s="504" t="str">
        <f t="shared" si="21"/>
        <v/>
      </c>
      <c r="O57" s="504" t="str">
        <f t="shared" si="21"/>
        <v/>
      </c>
      <c r="P57" s="504" t="str">
        <f t="shared" si="22"/>
        <v/>
      </c>
      <c r="Q57" s="504" t="str">
        <f t="shared" si="22"/>
        <v/>
      </c>
      <c r="R57" s="504" t="str">
        <f t="shared" si="22"/>
        <v/>
      </c>
      <c r="S57" s="504" t="str">
        <f t="shared" si="22"/>
        <v/>
      </c>
      <c r="T57" s="504" t="str">
        <f t="shared" si="22"/>
        <v/>
      </c>
      <c r="U57" s="504" t="str">
        <f t="shared" si="22"/>
        <v/>
      </c>
      <c r="V57" s="504" t="str">
        <f t="shared" si="22"/>
        <v/>
      </c>
      <c r="W57" s="504" t="str">
        <f t="shared" si="22"/>
        <v/>
      </c>
      <c r="X57" s="504" t="str">
        <f t="shared" si="22"/>
        <v/>
      </c>
      <c r="Y57" s="504" t="str">
        <f t="shared" si="22"/>
        <v/>
      </c>
      <c r="Z57" s="504" t="str">
        <f t="shared" si="23"/>
        <v/>
      </c>
      <c r="AA57" s="504" t="str">
        <f t="shared" si="23"/>
        <v/>
      </c>
      <c r="AB57" s="504" t="str">
        <f t="shared" si="23"/>
        <v/>
      </c>
      <c r="AC57" s="504" t="str">
        <f t="shared" si="23"/>
        <v/>
      </c>
      <c r="AD57" s="504" t="str">
        <f t="shared" si="23"/>
        <v/>
      </c>
      <c r="AE57" s="504" t="str">
        <f t="shared" si="23"/>
        <v/>
      </c>
      <c r="AF57" s="504" t="str">
        <f t="shared" si="23"/>
        <v/>
      </c>
      <c r="AG57" s="504" t="str">
        <f t="shared" si="23"/>
        <v/>
      </c>
      <c r="AH57" s="504" t="str">
        <f t="shared" si="23"/>
        <v/>
      </c>
      <c r="AI57" s="504" t="str">
        <f t="shared" si="23"/>
        <v/>
      </c>
      <c r="AJ57" s="504" t="str">
        <f t="shared" si="24"/>
        <v/>
      </c>
      <c r="AK57" s="504" t="str">
        <f t="shared" si="24"/>
        <v/>
      </c>
      <c r="AL57" s="504" t="str">
        <f t="shared" si="24"/>
        <v/>
      </c>
      <c r="AM57" s="504" t="str">
        <f t="shared" si="24"/>
        <v/>
      </c>
      <c r="AN57" s="504" t="str">
        <f t="shared" si="24"/>
        <v/>
      </c>
      <c r="AO57" s="504" t="str">
        <f t="shared" si="24"/>
        <v/>
      </c>
      <c r="AP57" s="504" t="str">
        <f t="shared" si="24"/>
        <v/>
      </c>
      <c r="AQ57" s="504" t="str">
        <f t="shared" si="24"/>
        <v/>
      </c>
      <c r="AR57" s="504" t="str">
        <f t="shared" si="24"/>
        <v/>
      </c>
      <c r="AS57" s="504" t="str">
        <f t="shared" si="24"/>
        <v/>
      </c>
    </row>
    <row r="58" spans="2:50" s="500" customFormat="1">
      <c r="B58" s="501">
        <v>10</v>
      </c>
      <c r="C58" s="501" t="str">
        <f t="shared" si="20"/>
        <v>10Annual Heat Pump Installations</v>
      </c>
      <c r="D58" s="500" t="s">
        <v>279</v>
      </c>
      <c r="E58" s="504" t="str">
        <f t="shared" si="15"/>
        <v/>
      </c>
      <c r="F58" s="504" t="str">
        <f t="shared" si="21"/>
        <v/>
      </c>
      <c r="G58" s="504" t="str">
        <f t="shared" si="21"/>
        <v/>
      </c>
      <c r="H58" s="504" t="str">
        <f t="shared" si="21"/>
        <v/>
      </c>
      <c r="I58" s="504" t="str">
        <f t="shared" si="21"/>
        <v/>
      </c>
      <c r="J58" s="504" t="str">
        <f t="shared" si="21"/>
        <v/>
      </c>
      <c r="K58" s="504" t="str">
        <f t="shared" si="21"/>
        <v/>
      </c>
      <c r="L58" s="504" t="str">
        <f t="shared" si="21"/>
        <v/>
      </c>
      <c r="M58" s="504" t="str">
        <f t="shared" si="21"/>
        <v/>
      </c>
      <c r="N58" s="504" t="str">
        <f t="shared" si="21"/>
        <v/>
      </c>
      <c r="O58" s="504" t="str">
        <f t="shared" si="21"/>
        <v/>
      </c>
      <c r="P58" s="504" t="str">
        <f t="shared" si="22"/>
        <v/>
      </c>
      <c r="Q58" s="504" t="str">
        <f t="shared" si="22"/>
        <v/>
      </c>
      <c r="R58" s="504" t="str">
        <f t="shared" si="22"/>
        <v/>
      </c>
      <c r="S58" s="504" t="str">
        <f t="shared" si="22"/>
        <v/>
      </c>
      <c r="T58" s="504" t="str">
        <f t="shared" si="22"/>
        <v/>
      </c>
      <c r="U58" s="504" t="str">
        <f t="shared" si="22"/>
        <v/>
      </c>
      <c r="V58" s="504" t="str">
        <f t="shared" si="22"/>
        <v/>
      </c>
      <c r="W58" s="504" t="str">
        <f t="shared" si="22"/>
        <v/>
      </c>
      <c r="X58" s="504" t="str">
        <f t="shared" si="22"/>
        <v/>
      </c>
      <c r="Y58" s="504" t="str">
        <f t="shared" si="22"/>
        <v/>
      </c>
      <c r="Z58" s="504" t="str">
        <f t="shared" si="23"/>
        <v/>
      </c>
      <c r="AA58" s="504" t="str">
        <f t="shared" si="23"/>
        <v/>
      </c>
      <c r="AB58" s="504" t="str">
        <f t="shared" si="23"/>
        <v/>
      </c>
      <c r="AC58" s="504" t="str">
        <f t="shared" si="23"/>
        <v/>
      </c>
      <c r="AD58" s="504" t="str">
        <f t="shared" si="23"/>
        <v/>
      </c>
      <c r="AE58" s="504" t="str">
        <f t="shared" si="23"/>
        <v/>
      </c>
      <c r="AF58" s="504" t="str">
        <f t="shared" si="23"/>
        <v/>
      </c>
      <c r="AG58" s="504" t="str">
        <f t="shared" si="23"/>
        <v/>
      </c>
      <c r="AH58" s="504" t="str">
        <f t="shared" si="23"/>
        <v/>
      </c>
      <c r="AI58" s="504" t="str">
        <f t="shared" si="23"/>
        <v/>
      </c>
      <c r="AJ58" s="504" t="str">
        <f t="shared" si="24"/>
        <v/>
      </c>
      <c r="AK58" s="504" t="str">
        <f t="shared" si="24"/>
        <v/>
      </c>
      <c r="AL58" s="504" t="str">
        <f t="shared" si="24"/>
        <v/>
      </c>
      <c r="AM58" s="504" t="str">
        <f t="shared" si="24"/>
        <v/>
      </c>
      <c r="AN58" s="504" t="str">
        <f t="shared" si="24"/>
        <v/>
      </c>
      <c r="AO58" s="504" t="str">
        <f t="shared" si="24"/>
        <v/>
      </c>
      <c r="AP58" s="504" t="str">
        <f t="shared" si="24"/>
        <v/>
      </c>
      <c r="AQ58" s="504" t="str">
        <f t="shared" si="24"/>
        <v/>
      </c>
      <c r="AR58" s="504" t="str">
        <f t="shared" si="24"/>
        <v/>
      </c>
      <c r="AS58" s="504" t="str">
        <f t="shared" si="24"/>
        <v/>
      </c>
    </row>
    <row r="59" spans="2:50" s="500" customFormat="1">
      <c r="B59" s="501">
        <v>11</v>
      </c>
      <c r="C59" s="501" t="str">
        <f t="shared" si="20"/>
        <v>11Annual Heat Pump Installations</v>
      </c>
      <c r="D59" s="500" t="s">
        <v>279</v>
      </c>
      <c r="E59" s="504" t="str">
        <f t="shared" si="15"/>
        <v/>
      </c>
      <c r="F59" s="504" t="str">
        <f t="shared" si="21"/>
        <v/>
      </c>
      <c r="G59" s="504" t="str">
        <f t="shared" si="21"/>
        <v/>
      </c>
      <c r="H59" s="504" t="str">
        <f t="shared" si="21"/>
        <v/>
      </c>
      <c r="I59" s="504" t="str">
        <f t="shared" si="21"/>
        <v/>
      </c>
      <c r="J59" s="504" t="str">
        <f t="shared" si="21"/>
        <v/>
      </c>
      <c r="K59" s="504" t="str">
        <f t="shared" si="21"/>
        <v/>
      </c>
      <c r="L59" s="504" t="str">
        <f t="shared" si="21"/>
        <v/>
      </c>
      <c r="M59" s="504" t="str">
        <f t="shared" si="21"/>
        <v/>
      </c>
      <c r="N59" s="504" t="str">
        <f t="shared" si="21"/>
        <v/>
      </c>
      <c r="O59" s="504" t="str">
        <f t="shared" si="21"/>
        <v/>
      </c>
      <c r="P59" s="504" t="str">
        <f t="shared" si="22"/>
        <v/>
      </c>
      <c r="Q59" s="504" t="str">
        <f t="shared" si="22"/>
        <v/>
      </c>
      <c r="R59" s="504" t="str">
        <f t="shared" si="22"/>
        <v/>
      </c>
      <c r="S59" s="504" t="str">
        <f t="shared" si="22"/>
        <v/>
      </c>
      <c r="T59" s="504" t="str">
        <f t="shared" si="22"/>
        <v/>
      </c>
      <c r="U59" s="504" t="str">
        <f t="shared" si="22"/>
        <v/>
      </c>
      <c r="V59" s="504" t="str">
        <f t="shared" si="22"/>
        <v/>
      </c>
      <c r="W59" s="504" t="str">
        <f t="shared" si="22"/>
        <v/>
      </c>
      <c r="X59" s="504" t="str">
        <f t="shared" si="22"/>
        <v/>
      </c>
      <c r="Y59" s="504" t="str">
        <f t="shared" si="22"/>
        <v/>
      </c>
      <c r="Z59" s="504" t="str">
        <f t="shared" si="23"/>
        <v/>
      </c>
      <c r="AA59" s="504" t="str">
        <f t="shared" si="23"/>
        <v/>
      </c>
      <c r="AB59" s="504" t="str">
        <f t="shared" si="23"/>
        <v/>
      </c>
      <c r="AC59" s="504" t="str">
        <f t="shared" si="23"/>
        <v/>
      </c>
      <c r="AD59" s="504" t="str">
        <f t="shared" si="23"/>
        <v/>
      </c>
      <c r="AE59" s="504" t="str">
        <f t="shared" si="23"/>
        <v/>
      </c>
      <c r="AF59" s="504" t="str">
        <f t="shared" si="23"/>
        <v/>
      </c>
      <c r="AG59" s="504" t="str">
        <f t="shared" si="23"/>
        <v/>
      </c>
      <c r="AH59" s="504" t="str">
        <f t="shared" si="23"/>
        <v/>
      </c>
      <c r="AI59" s="504" t="str">
        <f t="shared" si="23"/>
        <v/>
      </c>
      <c r="AJ59" s="504" t="str">
        <f t="shared" si="24"/>
        <v/>
      </c>
      <c r="AK59" s="504" t="str">
        <f t="shared" si="24"/>
        <v/>
      </c>
      <c r="AL59" s="504" t="str">
        <f t="shared" si="24"/>
        <v/>
      </c>
      <c r="AM59" s="504" t="str">
        <f t="shared" si="24"/>
        <v/>
      </c>
      <c r="AN59" s="504" t="str">
        <f t="shared" si="24"/>
        <v/>
      </c>
      <c r="AO59" s="504" t="str">
        <f t="shared" si="24"/>
        <v/>
      </c>
      <c r="AP59" s="504" t="str">
        <f t="shared" si="24"/>
        <v/>
      </c>
      <c r="AQ59" s="504" t="str">
        <f t="shared" si="24"/>
        <v/>
      </c>
      <c r="AR59" s="504" t="str">
        <f t="shared" si="24"/>
        <v/>
      </c>
      <c r="AS59" s="504" t="str">
        <f t="shared" si="24"/>
        <v/>
      </c>
    </row>
    <row r="60" spans="2:50" s="500" customFormat="1">
      <c r="B60" s="500">
        <v>12</v>
      </c>
      <c r="C60" s="501" t="str">
        <f t="shared" si="20"/>
        <v>12Annual Heat Pump Installations</v>
      </c>
      <c r="D60" s="501" t="s">
        <v>279</v>
      </c>
      <c r="E60" s="504" t="str">
        <f t="shared" si="15"/>
        <v/>
      </c>
      <c r="F60" s="504" t="str">
        <f t="shared" si="21"/>
        <v/>
      </c>
      <c r="G60" s="504" t="str">
        <f t="shared" si="21"/>
        <v/>
      </c>
      <c r="H60" s="504" t="str">
        <f t="shared" si="21"/>
        <v/>
      </c>
      <c r="I60" s="504" t="str">
        <f t="shared" si="21"/>
        <v/>
      </c>
      <c r="J60" s="504" t="str">
        <f t="shared" si="21"/>
        <v/>
      </c>
      <c r="K60" s="504" t="str">
        <f t="shared" si="21"/>
        <v/>
      </c>
      <c r="L60" s="504" t="str">
        <f t="shared" si="21"/>
        <v/>
      </c>
      <c r="M60" s="504" t="str">
        <f t="shared" si="21"/>
        <v/>
      </c>
      <c r="N60" s="504" t="str">
        <f t="shared" si="21"/>
        <v/>
      </c>
      <c r="O60" s="504" t="str">
        <f t="shared" si="21"/>
        <v/>
      </c>
      <c r="P60" s="504" t="str">
        <f t="shared" si="22"/>
        <v/>
      </c>
      <c r="Q60" s="504" t="str">
        <f t="shared" si="22"/>
        <v/>
      </c>
      <c r="R60" s="504" t="str">
        <f t="shared" si="22"/>
        <v/>
      </c>
      <c r="S60" s="504" t="str">
        <f t="shared" si="22"/>
        <v/>
      </c>
      <c r="T60" s="504" t="str">
        <f t="shared" si="22"/>
        <v/>
      </c>
      <c r="U60" s="504" t="str">
        <f t="shared" si="22"/>
        <v/>
      </c>
      <c r="V60" s="504" t="str">
        <f t="shared" si="22"/>
        <v/>
      </c>
      <c r="W60" s="504" t="str">
        <f t="shared" si="22"/>
        <v/>
      </c>
      <c r="X60" s="504" t="str">
        <f t="shared" si="22"/>
        <v/>
      </c>
      <c r="Y60" s="504" t="str">
        <f t="shared" si="22"/>
        <v/>
      </c>
      <c r="Z60" s="504" t="str">
        <f t="shared" si="23"/>
        <v/>
      </c>
      <c r="AA60" s="504" t="str">
        <f t="shared" si="23"/>
        <v/>
      </c>
      <c r="AB60" s="504" t="str">
        <f t="shared" si="23"/>
        <v/>
      </c>
      <c r="AC60" s="504" t="str">
        <f t="shared" si="23"/>
        <v/>
      </c>
      <c r="AD60" s="504" t="str">
        <f t="shared" si="23"/>
        <v/>
      </c>
      <c r="AE60" s="504" t="str">
        <f t="shared" si="23"/>
        <v/>
      </c>
      <c r="AF60" s="504" t="str">
        <f t="shared" si="23"/>
        <v/>
      </c>
      <c r="AG60" s="504" t="str">
        <f t="shared" si="23"/>
        <v/>
      </c>
      <c r="AH60" s="504" t="str">
        <f t="shared" si="23"/>
        <v/>
      </c>
      <c r="AI60" s="504" t="str">
        <f t="shared" si="23"/>
        <v/>
      </c>
      <c r="AJ60" s="504" t="str">
        <f t="shared" si="24"/>
        <v/>
      </c>
      <c r="AK60" s="504" t="str">
        <f t="shared" si="24"/>
        <v/>
      </c>
      <c r="AL60" s="504" t="str">
        <f t="shared" si="24"/>
        <v/>
      </c>
      <c r="AM60" s="504" t="str">
        <f t="shared" si="24"/>
        <v/>
      </c>
      <c r="AN60" s="504" t="str">
        <f t="shared" si="24"/>
        <v/>
      </c>
      <c r="AO60" s="504" t="str">
        <f t="shared" si="24"/>
        <v/>
      </c>
      <c r="AP60" s="504" t="str">
        <f t="shared" si="24"/>
        <v/>
      </c>
      <c r="AQ60" s="504" t="str">
        <f t="shared" si="24"/>
        <v/>
      </c>
      <c r="AR60" s="504" t="str">
        <f t="shared" si="24"/>
        <v/>
      </c>
      <c r="AS60" s="504" t="str">
        <f t="shared" si="24"/>
        <v/>
      </c>
    </row>
    <row r="61" spans="2:50" s="500" customFormat="1">
      <c r="B61" s="500">
        <v>13</v>
      </c>
      <c r="C61" s="501" t="str">
        <f t="shared" si="20"/>
        <v>13Annual Heat Pump Installations</v>
      </c>
      <c r="D61" s="501" t="s">
        <v>279</v>
      </c>
      <c r="E61" s="504" t="str">
        <f t="shared" si="15"/>
        <v/>
      </c>
      <c r="F61" s="504" t="str">
        <f t="shared" si="21"/>
        <v/>
      </c>
      <c r="G61" s="504" t="str">
        <f t="shared" si="21"/>
        <v/>
      </c>
      <c r="H61" s="504" t="str">
        <f t="shared" si="21"/>
        <v/>
      </c>
      <c r="I61" s="504" t="str">
        <f t="shared" si="21"/>
        <v/>
      </c>
      <c r="J61" s="504" t="str">
        <f t="shared" si="21"/>
        <v/>
      </c>
      <c r="K61" s="504" t="str">
        <f t="shared" si="21"/>
        <v/>
      </c>
      <c r="L61" s="504" t="str">
        <f t="shared" si="21"/>
        <v/>
      </c>
      <c r="M61" s="504" t="str">
        <f t="shared" si="21"/>
        <v/>
      </c>
      <c r="N61" s="504" t="str">
        <f t="shared" si="21"/>
        <v/>
      </c>
      <c r="O61" s="504" t="str">
        <f t="shared" si="21"/>
        <v/>
      </c>
      <c r="P61" s="504" t="str">
        <f t="shared" si="22"/>
        <v/>
      </c>
      <c r="Q61" s="504" t="str">
        <f t="shared" si="22"/>
        <v/>
      </c>
      <c r="R61" s="504" t="str">
        <f t="shared" si="22"/>
        <v/>
      </c>
      <c r="S61" s="504" t="str">
        <f t="shared" si="22"/>
        <v/>
      </c>
      <c r="T61" s="504" t="str">
        <f t="shared" si="22"/>
        <v/>
      </c>
      <c r="U61" s="504" t="str">
        <f t="shared" si="22"/>
        <v/>
      </c>
      <c r="V61" s="504" t="str">
        <f t="shared" si="22"/>
        <v/>
      </c>
      <c r="W61" s="504" t="str">
        <f t="shared" si="22"/>
        <v/>
      </c>
      <c r="X61" s="504" t="str">
        <f t="shared" si="22"/>
        <v/>
      </c>
      <c r="Y61" s="504" t="str">
        <f t="shared" si="22"/>
        <v/>
      </c>
      <c r="Z61" s="504" t="str">
        <f t="shared" si="23"/>
        <v/>
      </c>
      <c r="AA61" s="504" t="str">
        <f t="shared" si="23"/>
        <v/>
      </c>
      <c r="AB61" s="504" t="str">
        <f t="shared" si="23"/>
        <v/>
      </c>
      <c r="AC61" s="504" t="str">
        <f t="shared" si="23"/>
        <v/>
      </c>
      <c r="AD61" s="504" t="str">
        <f t="shared" si="23"/>
        <v/>
      </c>
      <c r="AE61" s="504" t="str">
        <f t="shared" si="23"/>
        <v/>
      </c>
      <c r="AF61" s="504" t="str">
        <f t="shared" si="23"/>
        <v/>
      </c>
      <c r="AG61" s="504" t="str">
        <f t="shared" si="23"/>
        <v/>
      </c>
      <c r="AH61" s="504" t="str">
        <f t="shared" si="23"/>
        <v/>
      </c>
      <c r="AI61" s="504" t="str">
        <f t="shared" si="23"/>
        <v/>
      </c>
      <c r="AJ61" s="504" t="str">
        <f t="shared" si="24"/>
        <v/>
      </c>
      <c r="AK61" s="504" t="str">
        <f t="shared" si="24"/>
        <v/>
      </c>
      <c r="AL61" s="504" t="str">
        <f t="shared" si="24"/>
        <v/>
      </c>
      <c r="AM61" s="504" t="str">
        <f t="shared" si="24"/>
        <v/>
      </c>
      <c r="AN61" s="504" t="str">
        <f t="shared" si="24"/>
        <v/>
      </c>
      <c r="AO61" s="504" t="str">
        <f t="shared" si="24"/>
        <v/>
      </c>
      <c r="AP61" s="504" t="str">
        <f t="shared" si="24"/>
        <v/>
      </c>
      <c r="AQ61" s="504" t="str">
        <f t="shared" si="24"/>
        <v/>
      </c>
      <c r="AR61" s="504" t="str">
        <f t="shared" si="24"/>
        <v/>
      </c>
      <c r="AS61" s="504" t="str">
        <f t="shared" si="24"/>
        <v/>
      </c>
    </row>
    <row r="62" spans="2:50" s="500" customFormat="1">
      <c r="B62" s="500">
        <v>14</v>
      </c>
      <c r="C62" s="501" t="str">
        <f t="shared" si="20"/>
        <v>14Annual Heat Pump Installations</v>
      </c>
      <c r="D62" s="501" t="s">
        <v>279</v>
      </c>
      <c r="E62" s="504" t="str">
        <f t="shared" si="15"/>
        <v/>
      </c>
      <c r="F62" s="504" t="str">
        <f t="shared" si="21"/>
        <v/>
      </c>
      <c r="G62" s="504" t="str">
        <f t="shared" si="21"/>
        <v/>
      </c>
      <c r="H62" s="504" t="str">
        <f t="shared" si="21"/>
        <v/>
      </c>
      <c r="I62" s="504" t="str">
        <f t="shared" si="21"/>
        <v/>
      </c>
      <c r="J62" s="504" t="str">
        <f t="shared" si="21"/>
        <v/>
      </c>
      <c r="K62" s="504" t="str">
        <f t="shared" si="21"/>
        <v/>
      </c>
      <c r="L62" s="504" t="str">
        <f t="shared" si="21"/>
        <v/>
      </c>
      <c r="M62" s="504" t="str">
        <f t="shared" si="21"/>
        <v/>
      </c>
      <c r="N62" s="504" t="str">
        <f t="shared" si="21"/>
        <v/>
      </c>
      <c r="O62" s="504" t="str">
        <f t="shared" si="21"/>
        <v/>
      </c>
      <c r="P62" s="504" t="str">
        <f t="shared" si="22"/>
        <v/>
      </c>
      <c r="Q62" s="504" t="str">
        <f t="shared" si="22"/>
        <v/>
      </c>
      <c r="R62" s="504" t="str">
        <f t="shared" si="22"/>
        <v/>
      </c>
      <c r="S62" s="504" t="str">
        <f t="shared" si="22"/>
        <v/>
      </c>
      <c r="T62" s="504" t="str">
        <f t="shared" si="22"/>
        <v/>
      </c>
      <c r="U62" s="504" t="str">
        <f t="shared" si="22"/>
        <v/>
      </c>
      <c r="V62" s="504" t="str">
        <f t="shared" si="22"/>
        <v/>
      </c>
      <c r="W62" s="504" t="str">
        <f t="shared" si="22"/>
        <v/>
      </c>
      <c r="X62" s="504" t="str">
        <f t="shared" si="22"/>
        <v/>
      </c>
      <c r="Y62" s="504" t="str">
        <f t="shared" si="22"/>
        <v/>
      </c>
      <c r="Z62" s="504" t="str">
        <f t="shared" si="23"/>
        <v/>
      </c>
      <c r="AA62" s="504" t="str">
        <f t="shared" si="23"/>
        <v/>
      </c>
      <c r="AB62" s="504" t="str">
        <f t="shared" si="23"/>
        <v/>
      </c>
      <c r="AC62" s="504" t="str">
        <f t="shared" si="23"/>
        <v/>
      </c>
      <c r="AD62" s="504" t="str">
        <f t="shared" si="23"/>
        <v/>
      </c>
      <c r="AE62" s="504" t="str">
        <f t="shared" si="23"/>
        <v/>
      </c>
      <c r="AF62" s="504" t="str">
        <f t="shared" si="23"/>
        <v/>
      </c>
      <c r="AG62" s="504" t="str">
        <f t="shared" si="23"/>
        <v/>
      </c>
      <c r="AH62" s="504" t="str">
        <f t="shared" si="23"/>
        <v/>
      </c>
      <c r="AI62" s="504" t="str">
        <f t="shared" si="23"/>
        <v/>
      </c>
      <c r="AJ62" s="504" t="str">
        <f t="shared" si="24"/>
        <v/>
      </c>
      <c r="AK62" s="504" t="str">
        <f t="shared" si="24"/>
        <v/>
      </c>
      <c r="AL62" s="504" t="str">
        <f t="shared" si="24"/>
        <v/>
      </c>
      <c r="AM62" s="504" t="str">
        <f t="shared" si="24"/>
        <v/>
      </c>
      <c r="AN62" s="504" t="str">
        <f t="shared" si="24"/>
        <v/>
      </c>
      <c r="AO62" s="504" t="str">
        <f t="shared" si="24"/>
        <v/>
      </c>
      <c r="AP62" s="504" t="str">
        <f t="shared" si="24"/>
        <v/>
      </c>
      <c r="AQ62" s="504" t="str">
        <f t="shared" si="24"/>
        <v/>
      </c>
      <c r="AR62" s="504" t="str">
        <f t="shared" si="24"/>
        <v/>
      </c>
      <c r="AS62" s="504" t="str">
        <f t="shared" si="24"/>
        <v/>
      </c>
    </row>
    <row r="63" spans="2:50" s="500" customFormat="1">
      <c r="B63" s="500" t="s">
        <v>208</v>
      </c>
      <c r="C63" s="501" t="str">
        <f t="shared" si="20"/>
        <v>NAnnual Heat Pump Installations</v>
      </c>
      <c r="D63" s="501" t="s">
        <v>279</v>
      </c>
      <c r="E63" s="504">
        <f t="shared" si="15"/>
        <v>0</v>
      </c>
      <c r="F63" s="504">
        <f t="shared" si="21"/>
        <v>0</v>
      </c>
      <c r="G63" s="504">
        <f t="shared" si="21"/>
        <v>0</v>
      </c>
      <c r="H63" s="504">
        <f t="shared" si="21"/>
        <v>0</v>
      </c>
      <c r="I63" s="504">
        <f t="shared" si="21"/>
        <v>0</v>
      </c>
      <c r="J63" s="504">
        <f t="shared" si="21"/>
        <v>0</v>
      </c>
      <c r="K63" s="504">
        <f t="shared" si="21"/>
        <v>0</v>
      </c>
      <c r="L63" s="504">
        <f t="shared" si="21"/>
        <v>0</v>
      </c>
      <c r="M63" s="504">
        <f t="shared" si="21"/>
        <v>0</v>
      </c>
      <c r="N63" s="504">
        <f t="shared" si="21"/>
        <v>0</v>
      </c>
      <c r="O63" s="504">
        <f t="shared" si="21"/>
        <v>0</v>
      </c>
      <c r="P63" s="504">
        <f t="shared" si="22"/>
        <v>0</v>
      </c>
      <c r="Q63" s="504">
        <f t="shared" si="22"/>
        <v>0</v>
      </c>
      <c r="R63" s="504">
        <f t="shared" si="22"/>
        <v>0</v>
      </c>
      <c r="S63" s="504">
        <f t="shared" si="22"/>
        <v>0</v>
      </c>
      <c r="T63" s="504">
        <f t="shared" si="22"/>
        <v>0</v>
      </c>
      <c r="U63" s="504">
        <f t="shared" si="22"/>
        <v>0</v>
      </c>
      <c r="V63" s="504">
        <f t="shared" si="22"/>
        <v>0</v>
      </c>
      <c r="W63" s="504">
        <f t="shared" si="22"/>
        <v>0</v>
      </c>
      <c r="X63" s="504">
        <f t="shared" si="22"/>
        <v>0</v>
      </c>
      <c r="Y63" s="504">
        <f t="shared" si="22"/>
        <v>0</v>
      </c>
      <c r="Z63" s="504">
        <f t="shared" si="23"/>
        <v>0</v>
      </c>
      <c r="AA63" s="504">
        <f t="shared" si="23"/>
        <v>0</v>
      </c>
      <c r="AB63" s="504">
        <f t="shared" si="23"/>
        <v>0</v>
      </c>
      <c r="AC63" s="504">
        <f t="shared" si="23"/>
        <v>0</v>
      </c>
      <c r="AD63" s="504">
        <f t="shared" si="23"/>
        <v>0</v>
      </c>
      <c r="AE63" s="504">
        <f t="shared" si="23"/>
        <v>0</v>
      </c>
      <c r="AF63" s="504">
        <f t="shared" si="23"/>
        <v>0</v>
      </c>
      <c r="AG63" s="504">
        <f t="shared" si="23"/>
        <v>0</v>
      </c>
      <c r="AH63" s="504">
        <f t="shared" si="23"/>
        <v>0</v>
      </c>
      <c r="AI63" s="504">
        <f t="shared" si="23"/>
        <v>0</v>
      </c>
      <c r="AJ63" s="504">
        <f t="shared" si="24"/>
        <v>0</v>
      </c>
      <c r="AK63" s="504">
        <f t="shared" si="24"/>
        <v>0</v>
      </c>
      <c r="AL63" s="504">
        <f t="shared" si="24"/>
        <v>0</v>
      </c>
      <c r="AM63" s="504">
        <f t="shared" si="24"/>
        <v>0</v>
      </c>
      <c r="AN63" s="504">
        <f t="shared" si="24"/>
        <v>0</v>
      </c>
      <c r="AO63" s="504">
        <f t="shared" si="24"/>
        <v>0</v>
      </c>
      <c r="AP63" s="504">
        <f t="shared" si="24"/>
        <v>0</v>
      </c>
      <c r="AQ63" s="504">
        <f t="shared" si="24"/>
        <v>0</v>
      </c>
      <c r="AR63" s="504">
        <f t="shared" si="24"/>
        <v>0</v>
      </c>
      <c r="AS63" s="504">
        <f t="shared" si="24"/>
        <v>0</v>
      </c>
      <c r="AT63" s="500">
        <f>SUM(AT49:AT59)</f>
        <v>0</v>
      </c>
      <c r="AU63" s="500">
        <f>SUM(AU49:AU59)</f>
        <v>0</v>
      </c>
      <c r="AV63" s="500">
        <f>SUM(AV49:AV59)</f>
        <v>0</v>
      </c>
      <c r="AW63" s="500">
        <f>SUM(AW49:AW59)</f>
        <v>0</v>
      </c>
      <c r="AX63" s="500">
        <f>SUM(AX49:AX59)</f>
        <v>0</v>
      </c>
    </row>
  </sheetData>
  <sheetProtection algorithmName="SHA-512" hashValue="FcxeLu/3785mR7i9fPJXMsw3KTbU+prsTbY362HnTRzJ07MlLSrbRIiZqBLsPe8cvsp70Ws+zcRKiRdtuSZPcA==" saltValue="LbZFUw12N1y+obkFSlgu8A==" spinCount="100000" sheet="1" objects="1" scenarios="1"/>
  <conditionalFormatting sqref="AB14:AS15">
    <cfRule type="cellIs" dxfId="392" priority="4" operator="lessThan">
      <formula>0</formula>
    </cfRule>
  </conditionalFormatting>
  <conditionalFormatting sqref="AB25:AS27 AB29:AS35 AB37:AS37 AB42:AS43">
    <cfRule type="cellIs" dxfId="391" priority="1" operator="lessThan">
      <formula>0</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0" tint="-0.249977111117893"/>
  </sheetPr>
  <dimension ref="A1:AX58"/>
  <sheetViews>
    <sheetView zoomScaleNormal="100" workbookViewId="0"/>
  </sheetViews>
  <sheetFormatPr defaultRowHeight="15"/>
  <sheetData>
    <row r="1" spans="1:47">
      <c r="C1" t="s">
        <v>155</v>
      </c>
    </row>
    <row r="2" spans="1:47">
      <c r="C2" t="s">
        <v>303</v>
      </c>
      <c r="G2" s="72" t="s">
        <v>304</v>
      </c>
      <c r="H2" s="72" t="s">
        <v>305</v>
      </c>
    </row>
    <row r="3" spans="1:47">
      <c r="C3" t="s">
        <v>306</v>
      </c>
      <c r="G3" s="72" t="s">
        <v>307</v>
      </c>
      <c r="H3" s="72"/>
      <c r="I3" s="72"/>
    </row>
    <row r="4" spans="1:47">
      <c r="C4" t="s">
        <v>152</v>
      </c>
      <c r="G4" s="72"/>
      <c r="H4" s="72"/>
      <c r="I4" s="72"/>
    </row>
    <row r="6" spans="1:47" s="240" customFormat="1">
      <c r="D6" s="241" t="s">
        <v>308</v>
      </c>
      <c r="E6" s="242"/>
    </row>
    <row r="7" spans="1:47" s="229" customFormat="1">
      <c r="A7" s="229">
        <v>0</v>
      </c>
      <c r="B7" s="229" t="str">
        <f>A7&amp;C7</f>
        <v>0Capital and Maintenance Costs</v>
      </c>
      <c r="C7" s="234" t="s">
        <v>306</v>
      </c>
      <c r="E7" s="229" t="s">
        <v>309</v>
      </c>
      <c r="F7" s="313"/>
      <c r="G7" s="234"/>
      <c r="H7" s="234"/>
      <c r="I7" s="313"/>
      <c r="J7" s="313">
        <v>2015</v>
      </c>
      <c r="K7" s="313">
        <f>J7+1</f>
        <v>2016</v>
      </c>
      <c r="L7" s="313">
        <f t="shared" ref="L7:AS7" si="0">K7+1</f>
        <v>2017</v>
      </c>
      <c r="M7" s="313">
        <f t="shared" si="0"/>
        <v>2018</v>
      </c>
      <c r="N7" s="313">
        <f t="shared" si="0"/>
        <v>2019</v>
      </c>
      <c r="O7" s="313">
        <f t="shared" si="0"/>
        <v>2020</v>
      </c>
      <c r="P7" s="313">
        <f t="shared" si="0"/>
        <v>2021</v>
      </c>
      <c r="Q7" s="313">
        <f t="shared" si="0"/>
        <v>2022</v>
      </c>
      <c r="R7" s="313">
        <f t="shared" si="0"/>
        <v>2023</v>
      </c>
      <c r="S7" s="313">
        <f t="shared" si="0"/>
        <v>2024</v>
      </c>
      <c r="T7" s="313">
        <f t="shared" si="0"/>
        <v>2025</v>
      </c>
      <c r="U7" s="313">
        <f t="shared" si="0"/>
        <v>2026</v>
      </c>
      <c r="V7" s="313">
        <f t="shared" si="0"/>
        <v>2027</v>
      </c>
      <c r="W7" s="313">
        <f t="shared" si="0"/>
        <v>2028</v>
      </c>
      <c r="X7" s="313">
        <f t="shared" si="0"/>
        <v>2029</v>
      </c>
      <c r="Y7" s="313">
        <f t="shared" si="0"/>
        <v>2030</v>
      </c>
      <c r="Z7" s="313">
        <f t="shared" si="0"/>
        <v>2031</v>
      </c>
      <c r="AA7" s="313">
        <f t="shared" si="0"/>
        <v>2032</v>
      </c>
      <c r="AB7" s="313">
        <f t="shared" si="0"/>
        <v>2033</v>
      </c>
      <c r="AC7" s="313">
        <f t="shared" si="0"/>
        <v>2034</v>
      </c>
      <c r="AD7" s="313">
        <f t="shared" si="0"/>
        <v>2035</v>
      </c>
      <c r="AE7" s="313">
        <f t="shared" si="0"/>
        <v>2036</v>
      </c>
      <c r="AF7" s="313">
        <f t="shared" si="0"/>
        <v>2037</v>
      </c>
      <c r="AG7" s="313">
        <f t="shared" si="0"/>
        <v>2038</v>
      </c>
      <c r="AH7" s="313">
        <f t="shared" si="0"/>
        <v>2039</v>
      </c>
      <c r="AI7" s="313">
        <f t="shared" si="0"/>
        <v>2040</v>
      </c>
      <c r="AJ7" s="313">
        <f t="shared" si="0"/>
        <v>2041</v>
      </c>
      <c r="AK7" s="313">
        <f t="shared" si="0"/>
        <v>2042</v>
      </c>
      <c r="AL7" s="313">
        <f t="shared" si="0"/>
        <v>2043</v>
      </c>
      <c r="AM7" s="313">
        <f t="shared" si="0"/>
        <v>2044</v>
      </c>
      <c r="AN7" s="313">
        <f t="shared" si="0"/>
        <v>2045</v>
      </c>
      <c r="AO7" s="313">
        <f t="shared" si="0"/>
        <v>2046</v>
      </c>
      <c r="AP7" s="313">
        <f t="shared" si="0"/>
        <v>2047</v>
      </c>
      <c r="AQ7" s="313">
        <f t="shared" si="0"/>
        <v>2048</v>
      </c>
      <c r="AR7" s="313">
        <f t="shared" si="0"/>
        <v>2049</v>
      </c>
      <c r="AS7" s="313">
        <f t="shared" si="0"/>
        <v>2050</v>
      </c>
      <c r="AT7" s="313"/>
      <c r="AU7" s="313"/>
    </row>
    <row r="8" spans="1:47" s="229" customFormat="1">
      <c r="A8" s="229">
        <v>1</v>
      </c>
      <c r="B8" s="229" t="str">
        <f>A8&amp;C8</f>
        <v>1Capital and Maintenance Costs</v>
      </c>
      <c r="C8" s="234" t="s">
        <v>306</v>
      </c>
      <c r="E8" t="str">
        <f ca="1">IF(SUM(J8:AS8)=0,"",'2.8 Costs'!$E4)</f>
        <v>Energy Efficiency</v>
      </c>
      <c r="F8" s="313"/>
      <c r="G8" s="234"/>
      <c r="H8" s="234"/>
      <c r="I8" s="313"/>
      <c r="J8" s="247">
        <f ca="1">'3.5 Costs and Peak Demand'!G4*MIN(1/(1+Dashboard!$D$15)^(J$7-2020),1)</f>
        <v>0</v>
      </c>
      <c r="K8" s="247">
        <f ca="1">'3.5 Costs and Peak Demand'!H4*MIN(1/(1+Dashboard!$D$15)^(K$7-2020),1)</f>
        <v>2.0264251355557659</v>
      </c>
      <c r="L8" s="247">
        <f ca="1">'3.5 Costs and Peak Demand'!I4*MIN(1/(1+Dashboard!$D$15)^(L$7-2020),1)</f>
        <v>1.994869504707693</v>
      </c>
      <c r="M8" s="247">
        <f ca="1">'3.5 Costs and Peak Demand'!J4*MIN(1/(1+Dashboard!$D$15)^(M$7-2020),1)</f>
        <v>1.9633138738596203</v>
      </c>
      <c r="N8" s="247">
        <f ca="1">'3.5 Costs and Peak Demand'!K4*MIN(1/(1+Dashboard!$D$15)^(N$7-2020),1)</f>
        <v>29.098219694063669</v>
      </c>
      <c r="O8" s="247">
        <f ca="1">'3.5 Costs and Peak Demand'!L4*MIN(1/(1+Dashboard!$D$15)^(O$7-2020),1)</f>
        <v>173.80766526253362</v>
      </c>
      <c r="P8" s="247">
        <f ca="1">'3.5 Costs and Peak Demand'!M4*MIN(1/(1+Dashboard!$D$15)^(P$7-2020),1)</f>
        <v>438.41591380861178</v>
      </c>
      <c r="Q8" s="247">
        <f ca="1">'3.5 Costs and Peak Demand'!N4*MIN(1/(1+Dashboard!$D$15)^(Q$7-2020),1)</f>
        <v>1390.6217223026763</v>
      </c>
      <c r="R8" s="247">
        <f ca="1">'3.5 Costs and Peak Demand'!O4*MIN(1/(1+Dashboard!$D$15)^(R$7-2020),1)</f>
        <v>2372.8441664132206</v>
      </c>
      <c r="S8" s="247">
        <f ca="1">'3.5 Costs and Peak Demand'!P4*MIN(1/(1+Dashboard!$D$15)^(S$7-2020),1)</f>
        <v>2697.3619984531138</v>
      </c>
      <c r="T8" s="247">
        <f ca="1">'3.5 Costs and Peak Demand'!Q4*MIN(1/(1+Dashboard!$D$15)^(T$7-2020),1)</f>
        <v>2405.364198709427</v>
      </c>
      <c r="U8" s="247">
        <f ca="1">'3.5 Costs and Peak Demand'!R4*MIN(1/(1+Dashboard!$D$15)^(U$7-2020),1)</f>
        <v>2058.4560009624352</v>
      </c>
      <c r="V8" s="247">
        <f ca="1">'3.5 Costs and Peak Demand'!S4*MIN(1/(1+Dashboard!$D$15)^(V$7-2020),1)</f>
        <v>1704.4035902488447</v>
      </c>
      <c r="W8" s="247">
        <f ca="1">'3.5 Costs and Peak Demand'!T4*MIN(1/(1+Dashboard!$D$15)^(W$7-2020),1)</f>
        <v>1133.7955323190915</v>
      </c>
      <c r="X8" s="247">
        <f ca="1">'3.5 Costs and Peak Demand'!U4*MIN(1/(1+Dashboard!$D$15)^(X$7-2020),1)</f>
        <v>695.9873185148615</v>
      </c>
      <c r="Y8" s="247">
        <f ca="1">'3.5 Costs and Peak Demand'!V4*MIN(1/(1+Dashboard!$D$15)^(Y$7-2020),1)</f>
        <v>341.25562355629188</v>
      </c>
      <c r="Z8" s="247">
        <f ca="1">'3.5 Costs and Peak Demand'!W4*MIN(1/(1+Dashboard!$D$15)^(Z$7-2020),1)</f>
        <v>166.31048601854968</v>
      </c>
      <c r="AA8" s="247">
        <f ca="1">'3.5 Costs and Peak Demand'!X4*MIN(1/(1+Dashboard!$D$15)^(AA$7-2020),1)</f>
        <v>137.79521473026529</v>
      </c>
      <c r="AB8" s="247">
        <f ca="1">'3.5 Costs and Peak Demand'!Y4*MIN(1/(1+Dashboard!$D$15)^(AB$7-2020),1)</f>
        <v>111.0183508780282</v>
      </c>
      <c r="AC8" s="247">
        <f ca="1">'3.5 Costs and Peak Demand'!Z4*MIN(1/(1+Dashboard!$D$15)^(AC$7-2020),1)</f>
        <v>85.894884797972807</v>
      </c>
      <c r="AD8" s="247">
        <f ca="1">'3.5 Costs and Peak Demand'!AA4*MIN(1/(1+Dashboard!$D$15)^(AD$7-2020),1)</f>
        <v>1.3649767741179992</v>
      </c>
      <c r="AE8" s="247">
        <f ca="1">'3.5 Costs and Peak Demand'!AB4*MIN(1/(1+Dashboard!$D$15)^(AE$7-2020),1)</f>
        <v>1.0991202969273202</v>
      </c>
      <c r="AF8" s="247">
        <f ca="1">'3.5 Costs and Peak Demand'!AC4*MIN(1/(1+Dashboard!$D$15)^(AF$7-2020),1)</f>
        <v>1.0582490446315962</v>
      </c>
      <c r="AG8" s="247">
        <f ca="1">'3.5 Costs and Peak Demand'!AD4*MIN(1/(1+Dashboard!$D$15)^(AG$7-2020),1)</f>
        <v>0.66008006248894191</v>
      </c>
      <c r="AH8" s="247">
        <f ca="1">'3.5 Costs and Peak Demand'!AE4*MIN(1/(1+Dashboard!$D$15)^(AH$7-2020),1)</f>
        <v>0.63430178683528626</v>
      </c>
      <c r="AI8" s="247">
        <f ca="1">'3.5 Costs and Peak Demand'!AF4*MIN(1/(1+Dashboard!$D$15)^(AI$7-2020),1)</f>
        <v>0.60951213448393127</v>
      </c>
      <c r="AJ8" s="247">
        <f ca="1">'3.5 Costs and Peak Demand'!AG4*MIN(1/(1+Dashboard!$D$15)^(AJ$7-2020),1)</f>
        <v>0.5856737207792202</v>
      </c>
      <c r="AK8" s="247">
        <f ca="1">'3.5 Costs and Peak Demand'!AH4*MIN(1/(1+Dashboard!$D$15)^(AK$7-2020),1)</f>
        <v>0.56275055897092185</v>
      </c>
      <c r="AL8" s="247">
        <f ca="1">'3.5 Costs and Peak Demand'!AI4*MIN(1/(1+Dashboard!$D$15)^(AL$7-2020),1)</f>
        <v>0.54070800839281019</v>
      </c>
      <c r="AM8" s="247">
        <f ca="1">'3.5 Costs and Peak Demand'!AJ4*MIN(1/(1+Dashboard!$D$15)^(AM$7-2020),1)</f>
        <v>0.51951272458907116</v>
      </c>
      <c r="AN8" s="247">
        <f ca="1">'3.5 Costs and Peak Demand'!AK4*MIN(1/(1+Dashboard!$D$15)^(AN$7-2020),1)</f>
        <v>0.49913261127471065</v>
      </c>
      <c r="AO8" s="247">
        <f ca="1">'3.5 Costs and Peak Demand'!AL4*MIN(1/(1+Dashboard!$D$15)^(AO$7-2020),1)</f>
        <v>0.47953677401628608</v>
      </c>
      <c r="AP8" s="247">
        <f ca="1">'3.5 Costs and Peak Demand'!AM4*MIN(1/(1+Dashboard!$D$15)^(AP$7-2020),1)</f>
        <v>0.46069547568165137</v>
      </c>
      <c r="AQ8" s="247">
        <f ca="1">'3.5 Costs and Peak Demand'!AN4*MIN(1/(1+Dashboard!$D$15)^(AQ$7-2020),1)</f>
        <v>0.44258009349138661</v>
      </c>
      <c r="AR8" s="247">
        <f ca="1">'3.5 Costs and Peak Demand'!AO4*MIN(1/(1+Dashboard!$D$15)^(AR$7-2020),1)</f>
        <v>0.42516307763553812</v>
      </c>
      <c r="AS8" s="247">
        <f ca="1">'3.5 Costs and Peak Demand'!AP4*MIN(1/(1+Dashboard!$D$15)^(AS$7-2020),1)</f>
        <v>0.4084179114729854</v>
      </c>
      <c r="AT8" s="313"/>
      <c r="AU8" s="313"/>
    </row>
    <row r="9" spans="1:47" s="229" customFormat="1">
      <c r="A9" s="229">
        <v>2</v>
      </c>
      <c r="B9" s="229" t="str">
        <f t="shared" ref="B9:B21" si="1">A9&amp;C9</f>
        <v>2Capital and Maintenance Costs</v>
      </c>
      <c r="C9" s="234" t="s">
        <v>306</v>
      </c>
      <c r="E9" t="str">
        <f ca="1">IF(SUM(J9:AS9)=0,"",'2.8 Costs'!$E5)</f>
        <v>District Heating</v>
      </c>
      <c r="F9" s="313"/>
      <c r="G9" s="234"/>
      <c r="H9" s="234"/>
      <c r="I9" s="313"/>
      <c r="J9" s="247">
        <f ca="1">'3.5 Costs and Peak Demand'!G5*MIN(1/(1+Dashboard!$D$15)^(J$7-2020),1)</f>
        <v>17.350253818456508</v>
      </c>
      <c r="K9" s="247">
        <f ca="1">'3.5 Costs and Peak Demand'!H5*MIN(1/(1+Dashboard!$D$15)^(K$7-2020),1)</f>
        <v>17.440609716451135</v>
      </c>
      <c r="L9" s="247">
        <f ca="1">'3.5 Costs and Peak Demand'!I5*MIN(1/(1+Dashboard!$D$15)^(L$7-2020),1)</f>
        <v>19.161346191586915</v>
      </c>
      <c r="M9" s="247">
        <f ca="1">'3.5 Costs and Peak Demand'!J5*MIN(1/(1+Dashboard!$D$15)^(M$7-2020),1)</f>
        <v>20.878117757189667</v>
      </c>
      <c r="N9" s="247">
        <f ca="1">'3.5 Costs and Peak Demand'!K5*MIN(1/(1+Dashboard!$D$15)^(N$7-2020),1)</f>
        <v>22.588867274268615</v>
      </c>
      <c r="O9" s="247">
        <f ca="1">'3.5 Costs and Peak Demand'!L5*MIN(1/(1+Dashboard!$D$15)^(O$7-2020),1)</f>
        <v>83.081151742492892</v>
      </c>
      <c r="P9" s="247">
        <f ca="1">'3.5 Costs and Peak Demand'!M5*MIN(1/(1+Dashboard!$D$15)^(P$7-2020),1)</f>
        <v>78.409838308934923</v>
      </c>
      <c r="Q9" s="247">
        <f ca="1">'3.5 Costs and Peak Demand'!N5*MIN(1/(1+Dashboard!$D$15)^(Q$7-2020),1)</f>
        <v>89.600563248647077</v>
      </c>
      <c r="R9" s="247">
        <f ca="1">'3.5 Costs and Peak Demand'!O5*MIN(1/(1+Dashboard!$D$15)^(R$7-2020),1)</f>
        <v>90.092916042323324</v>
      </c>
      <c r="S9" s="247">
        <f ca="1">'3.5 Costs and Peak Demand'!P5*MIN(1/(1+Dashboard!$D$15)^(S$7-2020),1)</f>
        <v>90.402965837031473</v>
      </c>
      <c r="T9" s="247">
        <f ca="1">'3.5 Costs and Peak Demand'!Q5*MIN(1/(1+Dashboard!$D$15)^(T$7-2020),1)</f>
        <v>90.153823443356174</v>
      </c>
      <c r="U9" s="247">
        <f ca="1">'3.5 Costs and Peak Demand'!R5*MIN(1/(1+Dashboard!$D$15)^(U$7-2020),1)</f>
        <v>96.948330499364275</v>
      </c>
      <c r="V9" s="247">
        <f ca="1">'3.5 Costs and Peak Demand'!S5*MIN(1/(1+Dashboard!$D$15)^(V$7-2020),1)</f>
        <v>94.898644225128422</v>
      </c>
      <c r="W9" s="247">
        <f ca="1">'3.5 Costs and Peak Demand'!T5*MIN(1/(1+Dashboard!$D$15)^(W$7-2020),1)</f>
        <v>92.785916639523123</v>
      </c>
      <c r="X9" s="247">
        <f ca="1">'3.5 Costs and Peak Demand'!U5*MIN(1/(1+Dashboard!$D$15)^(X$7-2020),1)</f>
        <v>90.616302874025237</v>
      </c>
      <c r="Y9" s="247">
        <f ca="1">'3.5 Costs and Peak Demand'!V5*MIN(1/(1+Dashboard!$D$15)^(Y$7-2020),1)</f>
        <v>88.963137167454633</v>
      </c>
      <c r="Z9" s="247">
        <f ca="1">'3.5 Costs and Peak Demand'!W5*MIN(1/(1+Dashboard!$D$15)^(Z$7-2020),1)</f>
        <v>75.103136562204583</v>
      </c>
      <c r="AA9" s="247">
        <f ca="1">'3.5 Costs and Peak Demand'!X5*MIN(1/(1+Dashboard!$D$15)^(AA$7-2020),1)</f>
        <v>72.048466140864548</v>
      </c>
      <c r="AB9" s="247">
        <f ca="1">'3.5 Costs and Peak Demand'!Y5*MIN(1/(1+Dashboard!$D$15)^(AB$7-2020),1)</f>
        <v>69.051254677371162</v>
      </c>
      <c r="AC9" s="247">
        <f ca="1">'3.5 Costs and Peak Demand'!Z5*MIN(1/(1+Dashboard!$D$15)^(AC$7-2020),1)</f>
        <v>66.113395665463884</v>
      </c>
      <c r="AD9" s="247">
        <f ca="1">'3.5 Costs and Peak Demand'!AA5*MIN(1/(1+Dashboard!$D$15)^(AD$7-2020),1)</f>
        <v>70.244675995208908</v>
      </c>
      <c r="AE9" s="247">
        <f ca="1">'3.5 Costs and Peak Demand'!AB5*MIN(1/(1+Dashboard!$D$15)^(AE$7-2020),1)</f>
        <v>56.882516855320517</v>
      </c>
      <c r="AF9" s="247">
        <f ca="1">'3.5 Costs and Peak Demand'!AC5*MIN(1/(1+Dashboard!$D$15)^(AF$7-2020),1)</f>
        <v>57.232567281736181</v>
      </c>
      <c r="AG9" s="247">
        <f ca="1">'3.5 Costs and Peak Demand'!AD5*MIN(1/(1+Dashboard!$D$15)^(AG$7-2020),1)</f>
        <v>55.039150231072213</v>
      </c>
      <c r="AH9" s="247">
        <f ca="1">'3.5 Costs and Peak Demand'!AE5*MIN(1/(1+Dashboard!$D$15)^(AH$7-2020),1)</f>
        <v>52.850265094482566</v>
      </c>
      <c r="AI9" s="247">
        <f ca="1">'3.5 Costs and Peak Demand'!AF5*MIN(1/(1+Dashboard!$D$15)^(AI$7-2020),1)</f>
        <v>50.633255368701427</v>
      </c>
      <c r="AJ9" s="247">
        <f ca="1">'3.5 Costs and Peak Demand'!AG5*MIN(1/(1+Dashboard!$D$15)^(AJ$7-2020),1)</f>
        <v>48.194023978289707</v>
      </c>
      <c r="AK9" s="247">
        <f ca="1">'3.5 Costs and Peak Demand'!AH5*MIN(1/(1+Dashboard!$D$15)^(AK$7-2020),1)</f>
        <v>45.887524938300785</v>
      </c>
      <c r="AL9" s="247">
        <f ca="1">'3.5 Costs and Peak Demand'!AI5*MIN(1/(1+Dashboard!$D$15)^(AL$7-2020),1)</f>
        <v>43.625431334504206</v>
      </c>
      <c r="AM9" s="247">
        <f ca="1">'3.5 Costs and Peak Demand'!AJ5*MIN(1/(1+Dashboard!$D$15)^(AM$7-2020),1)</f>
        <v>41.409292780354896</v>
      </c>
      <c r="AN9" s="247">
        <f ca="1">'3.5 Costs and Peak Demand'!AK5*MIN(1/(1+Dashboard!$D$15)^(AN$7-2020),1)</f>
        <v>39.240438352240403</v>
      </c>
      <c r="AO9" s="247">
        <f ca="1">'3.5 Costs and Peak Demand'!AL5*MIN(1/(1+Dashboard!$D$15)^(AO$7-2020),1)</f>
        <v>21.024988864460312</v>
      </c>
      <c r="AP9" s="247">
        <f ca="1">'3.5 Costs and Peak Demand'!AM5*MIN(1/(1+Dashboard!$D$15)^(AP$7-2020),1)</f>
        <v>19.6475748632283</v>
      </c>
      <c r="AQ9" s="247">
        <f ca="1">'3.5 Costs and Peak Demand'!AN5*MIN(1/(1+Dashboard!$D$15)^(AQ$7-2020),1)</f>
        <v>18.328587206086418</v>
      </c>
      <c r="AR9" s="247">
        <f ca="1">'3.5 Costs and Peak Demand'!AO5*MIN(1/(1+Dashboard!$D$15)^(AR$7-2020),1)</f>
        <v>17.066010981972255</v>
      </c>
      <c r="AS9" s="247">
        <f ca="1">'3.5 Costs and Peak Demand'!AP5*MIN(1/(1+Dashboard!$D$15)^(AS$7-2020),1)</f>
        <v>15.857888515675935</v>
      </c>
      <c r="AT9" s="313"/>
      <c r="AU9" s="313"/>
    </row>
    <row r="10" spans="1:47" s="229" customFormat="1">
      <c r="A10" s="229">
        <v>3</v>
      </c>
      <c r="B10" s="229" t="str">
        <f t="shared" si="1"/>
        <v>3Capital and Maintenance Costs</v>
      </c>
      <c r="C10" s="234" t="s">
        <v>306</v>
      </c>
      <c r="E10" t="str">
        <f ca="1">IF(SUM(J10:AS10)=0,"",'2.8 Costs'!$E6)</f>
        <v>Heat Pumps &amp; HHP</v>
      </c>
      <c r="F10" s="313"/>
      <c r="G10" s="234"/>
      <c r="H10" s="234"/>
      <c r="I10" s="313"/>
      <c r="J10" s="247">
        <f ca="1">'3.5 Costs and Peak Demand'!G6*MIN(1/(1+Dashboard!$D$15)^(J$7-2020),1)</f>
        <v>0</v>
      </c>
      <c r="K10" s="247">
        <f ca="1">'3.5 Costs and Peak Demand'!H6*MIN(1/(1+Dashboard!$D$15)^(K$7-2020),1)</f>
        <v>0</v>
      </c>
      <c r="L10" s="247">
        <f ca="1">'3.5 Costs and Peak Demand'!I6*MIN(1/(1+Dashboard!$D$15)^(L$7-2020),1)</f>
        <v>0</v>
      </c>
      <c r="M10" s="247">
        <f ca="1">'3.5 Costs and Peak Demand'!J6*MIN(1/(1+Dashboard!$D$15)^(M$7-2020),1)</f>
        <v>0</v>
      </c>
      <c r="N10" s="247">
        <f ca="1">'3.5 Costs and Peak Demand'!K6*MIN(1/(1+Dashboard!$D$15)^(N$7-2020),1)</f>
        <v>0</v>
      </c>
      <c r="O10" s="247">
        <f ca="1">'3.5 Costs and Peak Demand'!L6*MIN(1/(1+Dashboard!$D$15)^(O$7-2020),1)</f>
        <v>0</v>
      </c>
      <c r="P10" s="247">
        <f ca="1">'3.5 Costs and Peak Demand'!M6*MIN(1/(1+Dashboard!$D$15)^(P$7-2020),1)</f>
        <v>168.47890002757669</v>
      </c>
      <c r="Q10" s="247">
        <f ca="1">'3.5 Costs and Peak Demand'!N6*MIN(1/(1+Dashboard!$D$15)^(Q$7-2020),1)</f>
        <v>325.15281416296909</v>
      </c>
      <c r="R10" s="247">
        <f ca="1">'3.5 Costs and Peak Demand'!O6*MIN(1/(1+Dashboard!$D$15)^(R$7-2020),1)</f>
        <v>410.01870112541604</v>
      </c>
      <c r="S10" s="247">
        <f ca="1">'3.5 Costs and Peak Demand'!P6*MIN(1/(1+Dashboard!$D$15)^(S$7-2020),1)</f>
        <v>535.62795769846082</v>
      </c>
      <c r="T10" s="247">
        <f ca="1">'3.5 Costs and Peak Demand'!Q6*MIN(1/(1+Dashboard!$D$15)^(T$7-2020),1)</f>
        <v>606.5513526989572</v>
      </c>
      <c r="U10" s="247">
        <f ca="1">'3.5 Costs and Peak Demand'!R6*MIN(1/(1+Dashboard!$D$15)^(U$7-2020),1)</f>
        <v>716.1356291815805</v>
      </c>
      <c r="V10" s="247">
        <f ca="1">'3.5 Costs and Peak Demand'!S6*MIN(1/(1+Dashboard!$D$15)^(V$7-2020),1)</f>
        <v>813.56486804963686</v>
      </c>
      <c r="W10" s="247">
        <f ca="1">'3.5 Costs and Peak Demand'!T6*MIN(1/(1+Dashboard!$D$15)^(W$7-2020),1)</f>
        <v>783.63049382994859</v>
      </c>
      <c r="X10" s="247">
        <f ca="1">'3.5 Costs and Peak Demand'!U6*MIN(1/(1+Dashboard!$D$15)^(X$7-2020),1)</f>
        <v>751.2808434624169</v>
      </c>
      <c r="Y10" s="247">
        <f ca="1">'3.5 Costs and Peak Demand'!V6*MIN(1/(1+Dashboard!$D$15)^(Y$7-2020),1)</f>
        <v>717.43473096710409</v>
      </c>
      <c r="Z10" s="247">
        <f ca="1">'3.5 Costs and Peak Demand'!W6*MIN(1/(1+Dashboard!$D$15)^(Z$7-2020),1)</f>
        <v>643.78956451130853</v>
      </c>
      <c r="AA10" s="247">
        <f ca="1">'3.5 Costs and Peak Demand'!X6*MIN(1/(1+Dashboard!$D$15)^(AA$7-2020),1)</f>
        <v>623.91969761246628</v>
      </c>
      <c r="AB10" s="247">
        <f ca="1">'3.5 Costs and Peak Demand'!Y6*MIN(1/(1+Dashboard!$D$15)^(AB$7-2020),1)</f>
        <v>608.2559910985708</v>
      </c>
      <c r="AC10" s="247">
        <f ca="1">'3.5 Costs and Peak Demand'!Z6*MIN(1/(1+Dashboard!$D$15)^(AC$7-2020),1)</f>
        <v>580.07184398876745</v>
      </c>
      <c r="AD10" s="247">
        <f ca="1">'3.5 Costs and Peak Demand'!AA6*MIN(1/(1+Dashboard!$D$15)^(AD$7-2020),1)</f>
        <v>605.0174403905512</v>
      </c>
      <c r="AE10" s="247">
        <f ca="1">'3.5 Costs and Peak Demand'!AB6*MIN(1/(1+Dashboard!$D$15)^(AE$7-2020),1)</f>
        <v>606.29919343274787</v>
      </c>
      <c r="AF10" s="247">
        <f ca="1">'3.5 Costs and Peak Demand'!AC6*MIN(1/(1+Dashboard!$D$15)^(AF$7-2020),1)</f>
        <v>542.44702469565334</v>
      </c>
      <c r="AG10" s="247">
        <f ca="1">'3.5 Costs and Peak Demand'!AD6*MIN(1/(1+Dashboard!$D$15)^(AG$7-2020),1)</f>
        <v>454.29459748539512</v>
      </c>
      <c r="AH10" s="247">
        <f ca="1">'3.5 Costs and Peak Demand'!AE6*MIN(1/(1+Dashboard!$D$15)^(AH$7-2020),1)</f>
        <v>284.00608284842673</v>
      </c>
      <c r="AI10" s="247">
        <f ca="1">'3.5 Costs and Peak Demand'!AF6*MIN(1/(1+Dashboard!$D$15)^(AI$7-2020),1)</f>
        <v>323.83888822089625</v>
      </c>
      <c r="AJ10" s="247">
        <f ca="1">'3.5 Costs and Peak Demand'!AG6*MIN(1/(1+Dashboard!$D$15)^(AJ$7-2020),1)</f>
        <v>361.88635669403033</v>
      </c>
      <c r="AK10" s="247">
        <f ca="1">'3.5 Costs and Peak Demand'!AH6*MIN(1/(1+Dashboard!$D$15)^(AK$7-2020),1)</f>
        <v>396.53752406293404</v>
      </c>
      <c r="AL10" s="247">
        <f ca="1">'3.5 Costs and Peak Demand'!AI6*MIN(1/(1+Dashboard!$D$15)^(AL$7-2020),1)</f>
        <v>384.4502312668364</v>
      </c>
      <c r="AM10" s="247">
        <f ca="1">'3.5 Costs and Peak Demand'!AJ6*MIN(1/(1+Dashboard!$D$15)^(AM$7-2020),1)</f>
        <v>371.24907008303865</v>
      </c>
      <c r="AN10" s="247">
        <f ca="1">'3.5 Costs and Peak Demand'!AK6*MIN(1/(1+Dashboard!$D$15)^(AN$7-2020),1)</f>
        <v>357.88348288150246</v>
      </c>
      <c r="AO10" s="247">
        <f ca="1">'3.5 Costs and Peak Demand'!AL6*MIN(1/(1+Dashboard!$D$15)^(AO$7-2020),1)</f>
        <v>312.7046402197019</v>
      </c>
      <c r="AP10" s="247">
        <f ca="1">'3.5 Costs and Peak Demand'!AM6*MIN(1/(1+Dashboard!$D$15)^(AP$7-2020),1)</f>
        <v>302.40948094180851</v>
      </c>
      <c r="AQ10" s="247">
        <f ca="1">'3.5 Costs and Peak Demand'!AN6*MIN(1/(1+Dashboard!$D$15)^(AQ$7-2020),1)</f>
        <v>292.44866210398112</v>
      </c>
      <c r="AR10" s="247">
        <f ca="1">'3.5 Costs and Peak Demand'!AO6*MIN(1/(1+Dashboard!$D$15)^(AR$7-2020),1)</f>
        <v>274.83862707191116</v>
      </c>
      <c r="AS10" s="247">
        <f ca="1">'3.5 Costs and Peak Demand'!AP6*MIN(1/(1+Dashboard!$D$15)^(AS$7-2020),1)</f>
        <v>259.61833586703318</v>
      </c>
      <c r="AT10" s="313"/>
      <c r="AU10" s="313"/>
    </row>
    <row r="11" spans="1:47" s="229" customFormat="1">
      <c r="A11" s="229">
        <v>4</v>
      </c>
      <c r="B11" s="229" t="str">
        <f t="shared" si="1"/>
        <v>4Capital and Maintenance Costs</v>
      </c>
      <c r="C11" s="234" t="s">
        <v>306</v>
      </c>
      <c r="E11" t="str">
        <f ca="1">IF(SUM(J11:AS11)=0,"",'2.8 Costs'!$E7)</f>
        <v>PV &amp; Solar thermal</v>
      </c>
      <c r="F11" s="313"/>
      <c r="G11" s="234"/>
      <c r="H11" s="234"/>
      <c r="I11" s="313"/>
      <c r="J11" s="247">
        <f ca="1">'3.5 Costs and Peak Demand'!G7*MIN(1/(1+Dashboard!$D$15)^(J$7-2020),1)</f>
        <v>9.8661712669309463</v>
      </c>
      <c r="K11" s="247">
        <f ca="1">'3.5 Costs and Peak Demand'!H7*MIN(1/(1+Dashboard!$D$15)^(K$7-2020),1)</f>
        <v>9.8408059262440961</v>
      </c>
      <c r="L11" s="247">
        <f ca="1">'3.5 Costs and Peak Demand'!I7*MIN(1/(1+Dashboard!$D$15)^(L$7-2020),1)</f>
        <v>9.7432370559858317</v>
      </c>
      <c r="M11" s="247">
        <f ca="1">'3.5 Costs and Peak Demand'!J7*MIN(1/(1+Dashboard!$D$15)^(M$7-2020),1)</f>
        <v>9.6209455478922745</v>
      </c>
      <c r="N11" s="247">
        <f ca="1">'3.5 Costs and Peak Demand'!K7*MIN(1/(1+Dashboard!$D$15)^(N$7-2020),1)</f>
        <v>9.4858659917852233</v>
      </c>
      <c r="O11" s="247">
        <f ca="1">'3.5 Costs and Peak Demand'!L7*MIN(1/(1+Dashboard!$D$15)^(O$7-2020),1)</f>
        <v>15.403611439993904</v>
      </c>
      <c r="P11" s="247">
        <f ca="1">'3.5 Costs and Peak Demand'!M7*MIN(1/(1+Dashboard!$D$15)^(P$7-2020),1)</f>
        <v>17.062971926073686</v>
      </c>
      <c r="Q11" s="247">
        <f ca="1">'3.5 Costs and Peak Demand'!N7*MIN(1/(1+Dashboard!$D$15)^(Q$7-2020),1)</f>
        <v>15.980029241668088</v>
      </c>
      <c r="R11" s="247">
        <f ca="1">'3.5 Costs and Peak Demand'!O7*MIN(1/(1+Dashboard!$D$15)^(R$7-2020),1)</f>
        <v>14.736486282660401</v>
      </c>
      <c r="S11" s="247">
        <f ca="1">'3.5 Costs and Peak Demand'!P7*MIN(1/(1+Dashboard!$D$15)^(S$7-2020),1)</f>
        <v>13.71129077881238</v>
      </c>
      <c r="T11" s="247">
        <f ca="1">'3.5 Costs and Peak Demand'!Q7*MIN(1/(1+Dashboard!$D$15)^(T$7-2020),1)</f>
        <v>13.024910756807438</v>
      </c>
      <c r="U11" s="247">
        <f ca="1">'3.5 Costs and Peak Demand'!R7*MIN(1/(1+Dashboard!$D$15)^(U$7-2020),1)</f>
        <v>14.82849720727619</v>
      </c>
      <c r="V11" s="247">
        <f ca="1">'3.5 Costs and Peak Demand'!S7*MIN(1/(1+Dashboard!$D$15)^(V$7-2020),1)</f>
        <v>13.359964922934429</v>
      </c>
      <c r="W11" s="247">
        <f ca="1">'3.5 Costs and Peak Demand'!T7*MIN(1/(1+Dashboard!$D$15)^(W$7-2020),1)</f>
        <v>13.566444683732907</v>
      </c>
      <c r="X11" s="247">
        <f ca="1">'3.5 Costs and Peak Demand'!U7*MIN(1/(1+Dashboard!$D$15)^(X$7-2020),1)</f>
        <v>13.838366523107966</v>
      </c>
      <c r="Y11" s="247">
        <f ca="1">'3.5 Costs and Peak Demand'!V7*MIN(1/(1+Dashboard!$D$15)^(Y$7-2020),1)</f>
        <v>14.049540246904765</v>
      </c>
      <c r="Z11" s="247">
        <f ca="1">'3.5 Costs and Peak Demand'!W7*MIN(1/(1+Dashboard!$D$15)^(Z$7-2020),1)</f>
        <v>15.341728659439504</v>
      </c>
      <c r="AA11" s="247">
        <f ca="1">'3.5 Costs and Peak Demand'!X7*MIN(1/(1+Dashboard!$D$15)^(AA$7-2020),1)</f>
        <v>17.129698696411058</v>
      </c>
      <c r="AB11" s="247">
        <f ca="1">'3.5 Costs and Peak Demand'!Y7*MIN(1/(1+Dashboard!$D$15)^(AB$7-2020),1)</f>
        <v>18.874360717589447</v>
      </c>
      <c r="AC11" s="247">
        <f ca="1">'3.5 Costs and Peak Demand'!Z7*MIN(1/(1+Dashboard!$D$15)^(AC$7-2020),1)</f>
        <v>20.650792769446412</v>
      </c>
      <c r="AD11" s="247">
        <f ca="1">'3.5 Costs and Peak Demand'!AA7*MIN(1/(1+Dashboard!$D$15)^(AD$7-2020),1)</f>
        <v>27.326444037985301</v>
      </c>
      <c r="AE11" s="247">
        <f ca="1">'3.5 Costs and Peak Demand'!AB7*MIN(1/(1+Dashboard!$D$15)^(AE$7-2020),1)</f>
        <v>28.27939099093058</v>
      </c>
      <c r="AF11" s="247">
        <f ca="1">'3.5 Costs and Peak Demand'!AC7*MIN(1/(1+Dashboard!$D$15)^(AF$7-2020),1)</f>
        <v>22.765117755567619</v>
      </c>
      <c r="AG11" s="247">
        <f ca="1">'3.5 Costs and Peak Demand'!AD7*MIN(1/(1+Dashboard!$D$15)^(AG$7-2020),1)</f>
        <v>22.833628185687697</v>
      </c>
      <c r="AH11" s="247">
        <f ca="1">'3.5 Costs and Peak Demand'!AE7*MIN(1/(1+Dashboard!$D$15)^(AH$7-2020),1)</f>
        <v>22.936204932424484</v>
      </c>
      <c r="AI11" s="247">
        <f ca="1">'3.5 Costs and Peak Demand'!AF7*MIN(1/(1+Dashboard!$D$15)^(AI$7-2020),1)</f>
        <v>25.246956547904201</v>
      </c>
      <c r="AJ11" s="247">
        <f ca="1">'3.5 Costs and Peak Demand'!AG7*MIN(1/(1+Dashboard!$D$15)^(AJ$7-2020),1)</f>
        <v>25.313142156577349</v>
      </c>
      <c r="AK11" s="247">
        <f ca="1">'3.5 Costs and Peak Demand'!AH7*MIN(1/(1+Dashboard!$D$15)^(AK$7-2020),1)</f>
        <v>24.231171888854981</v>
      </c>
      <c r="AL11" s="247">
        <f ca="1">'3.5 Costs and Peak Demand'!AI7*MIN(1/(1+Dashboard!$D$15)^(AL$7-2020),1)</f>
        <v>23.145325551446007</v>
      </c>
      <c r="AM11" s="247">
        <f ca="1">'3.5 Costs and Peak Demand'!AJ7*MIN(1/(1+Dashboard!$D$15)^(AM$7-2020),1)</f>
        <v>22.049709813625906</v>
      </c>
      <c r="AN11" s="247">
        <f ca="1">'3.5 Costs and Peak Demand'!AK7*MIN(1/(1+Dashboard!$D$15)^(AN$7-2020),1)</f>
        <v>22.201184567553483</v>
      </c>
      <c r="AO11" s="247">
        <f ca="1">'3.5 Costs and Peak Demand'!AL7*MIN(1/(1+Dashboard!$D$15)^(AO$7-2020),1)</f>
        <v>22.493881669141185</v>
      </c>
      <c r="AP11" s="247">
        <f ca="1">'3.5 Costs and Peak Demand'!AM7*MIN(1/(1+Dashboard!$D$15)^(AP$7-2020),1)</f>
        <v>20.505246280574323</v>
      </c>
      <c r="AQ11" s="247">
        <f ca="1">'3.5 Costs and Peak Demand'!AN7*MIN(1/(1+Dashboard!$D$15)^(AQ$7-2020),1)</f>
        <v>19.200681834749705</v>
      </c>
      <c r="AR11" s="247">
        <f ca="1">'3.5 Costs and Peak Demand'!AO7*MIN(1/(1+Dashboard!$D$15)^(AR$7-2020),1)</f>
        <v>18.054955813326849</v>
      </c>
      <c r="AS11" s="247">
        <f ca="1">'3.5 Costs and Peak Demand'!AP7*MIN(1/(1+Dashboard!$D$15)^(AS$7-2020),1)</f>
        <v>17.10360572919268</v>
      </c>
      <c r="AT11" s="313"/>
      <c r="AU11" s="313"/>
    </row>
    <row r="12" spans="1:47" s="229" customFormat="1">
      <c r="A12" s="229">
        <v>5</v>
      </c>
      <c r="B12" s="229" t="str">
        <f t="shared" si="1"/>
        <v>5Capital and Maintenance Costs</v>
      </c>
      <c r="C12" s="234" t="s">
        <v>306</v>
      </c>
      <c r="E12" t="str">
        <f ca="1">IF(SUM(J8:AS12)=0,"",'2.8 Costs'!$E8)</f>
        <v>Hydrogen Heating</v>
      </c>
      <c r="F12" s="313"/>
      <c r="G12" s="234"/>
      <c r="H12" s="234"/>
      <c r="I12" s="313"/>
      <c r="J12" s="247">
        <f ca="1">'3.5 Costs and Peak Demand'!G8*MIN(1/(1+Dashboard!$D$15)^(J$7-2020),1)</f>
        <v>0</v>
      </c>
      <c r="K12" s="247">
        <f ca="1">'3.5 Costs and Peak Demand'!H8*MIN(1/(1+Dashboard!$D$15)^(K$7-2020),1)</f>
        <v>0</v>
      </c>
      <c r="L12" s="247">
        <f ca="1">'3.5 Costs and Peak Demand'!I8*MIN(1/(1+Dashboard!$D$15)^(L$7-2020),1)</f>
        <v>0</v>
      </c>
      <c r="M12" s="247">
        <f ca="1">'3.5 Costs and Peak Demand'!J8*MIN(1/(1+Dashboard!$D$15)^(M$7-2020),1)</f>
        <v>0</v>
      </c>
      <c r="N12" s="247">
        <f ca="1">'3.5 Costs and Peak Demand'!K8*MIN(1/(1+Dashboard!$D$15)^(N$7-2020),1)</f>
        <v>0</v>
      </c>
      <c r="O12" s="247">
        <f ca="1">'3.5 Costs and Peak Demand'!L8*MIN(1/(1+Dashboard!$D$15)^(O$7-2020),1)</f>
        <v>0</v>
      </c>
      <c r="P12" s="247">
        <f ca="1">'3.5 Costs and Peak Demand'!M8*MIN(1/(1+Dashboard!$D$15)^(P$7-2020),1)</f>
        <v>0</v>
      </c>
      <c r="Q12" s="247">
        <f ca="1">'3.5 Costs and Peak Demand'!N8*MIN(1/(1+Dashboard!$D$15)^(Q$7-2020),1)</f>
        <v>0</v>
      </c>
      <c r="R12" s="247">
        <f ca="1">'3.5 Costs and Peak Demand'!O8*MIN(1/(1+Dashboard!$D$15)^(R$7-2020),1)</f>
        <v>0</v>
      </c>
      <c r="S12" s="247">
        <f ca="1">'3.5 Costs and Peak Demand'!P8*MIN(1/(1+Dashboard!$D$15)^(S$7-2020),1)</f>
        <v>0</v>
      </c>
      <c r="T12" s="247">
        <f ca="1">'3.5 Costs and Peak Demand'!Q8*MIN(1/(1+Dashboard!$D$15)^(T$7-2020),1)</f>
        <v>0</v>
      </c>
      <c r="U12" s="247">
        <f ca="1">'3.5 Costs and Peak Demand'!R8*MIN(1/(1+Dashboard!$D$15)^(U$7-2020),1)</f>
        <v>0</v>
      </c>
      <c r="V12" s="247">
        <f ca="1">'3.5 Costs and Peak Demand'!S8*MIN(1/(1+Dashboard!$D$15)^(V$7-2020),1)</f>
        <v>0</v>
      </c>
      <c r="W12" s="247">
        <f ca="1">'3.5 Costs and Peak Demand'!T8*MIN(1/(1+Dashboard!$D$15)^(W$7-2020),1)</f>
        <v>0</v>
      </c>
      <c r="X12" s="247">
        <f ca="1">'3.5 Costs and Peak Demand'!U8*MIN(1/(1+Dashboard!$D$15)^(X$7-2020),1)</f>
        <v>0</v>
      </c>
      <c r="Y12" s="247">
        <f ca="1">'3.5 Costs and Peak Demand'!V8*MIN(1/(1+Dashboard!$D$15)^(Y$7-2020),1)</f>
        <v>0</v>
      </c>
      <c r="Z12" s="247">
        <f ca="1">'3.5 Costs and Peak Demand'!W8*MIN(1/(1+Dashboard!$D$15)^(Z$7-2020),1)</f>
        <v>0</v>
      </c>
      <c r="AA12" s="247">
        <f ca="1">'3.5 Costs and Peak Demand'!X8*MIN(1/(1+Dashboard!$D$15)^(AA$7-2020),1)</f>
        <v>0</v>
      </c>
      <c r="AB12" s="247">
        <f ca="1">'3.5 Costs and Peak Demand'!Y8*MIN(1/(1+Dashboard!$D$15)^(AB$7-2020),1)</f>
        <v>0</v>
      </c>
      <c r="AC12" s="247">
        <f ca="1">'3.5 Costs and Peak Demand'!Z8*MIN(1/(1+Dashboard!$D$15)^(AC$7-2020),1)</f>
        <v>0</v>
      </c>
      <c r="AD12" s="247">
        <f ca="1">'3.5 Costs and Peak Demand'!AA8*MIN(1/(1+Dashboard!$D$15)^(AD$7-2020),1)</f>
        <v>0</v>
      </c>
      <c r="AE12" s="247">
        <f ca="1">'3.5 Costs and Peak Demand'!AB8*MIN(1/(1+Dashboard!$D$15)^(AE$7-2020),1)</f>
        <v>0</v>
      </c>
      <c r="AF12" s="247">
        <f ca="1">'3.5 Costs and Peak Demand'!AC8*MIN(1/(1+Dashboard!$D$15)^(AF$7-2020),1)</f>
        <v>0</v>
      </c>
      <c r="AG12" s="247">
        <f ca="1">'3.5 Costs and Peak Demand'!AD8*MIN(1/(1+Dashboard!$D$15)^(AG$7-2020),1)</f>
        <v>0</v>
      </c>
      <c r="AH12" s="247">
        <f ca="1">'3.5 Costs and Peak Demand'!AE8*MIN(1/(1+Dashboard!$D$15)^(AH$7-2020),1)</f>
        <v>0</v>
      </c>
      <c r="AI12" s="247">
        <f ca="1">'3.5 Costs and Peak Demand'!AF8*MIN(1/(1+Dashboard!$D$15)^(AI$7-2020),1)</f>
        <v>0</v>
      </c>
      <c r="AJ12" s="247">
        <f ca="1">'3.5 Costs and Peak Demand'!AG8*MIN(1/(1+Dashboard!$D$15)^(AJ$7-2020),1)</f>
        <v>0</v>
      </c>
      <c r="AK12" s="247">
        <f ca="1">'3.5 Costs and Peak Demand'!AH8*MIN(1/(1+Dashboard!$D$15)^(AK$7-2020),1)</f>
        <v>0</v>
      </c>
      <c r="AL12" s="247">
        <f ca="1">'3.5 Costs and Peak Demand'!AI8*MIN(1/(1+Dashboard!$D$15)^(AL$7-2020),1)</f>
        <v>0</v>
      </c>
      <c r="AM12" s="247">
        <f ca="1">'3.5 Costs and Peak Demand'!AJ8*MIN(1/(1+Dashboard!$D$15)^(AM$7-2020),1)</f>
        <v>0</v>
      </c>
      <c r="AN12" s="247">
        <f ca="1">'3.5 Costs and Peak Demand'!AK8*MIN(1/(1+Dashboard!$D$15)^(AN$7-2020),1)</f>
        <v>0</v>
      </c>
      <c r="AO12" s="247">
        <f ca="1">'3.5 Costs and Peak Demand'!AL8*MIN(1/(1+Dashboard!$D$15)^(AO$7-2020),1)</f>
        <v>0</v>
      </c>
      <c r="AP12" s="247">
        <f ca="1">'3.5 Costs and Peak Demand'!AM8*MIN(1/(1+Dashboard!$D$15)^(AP$7-2020),1)</f>
        <v>0</v>
      </c>
      <c r="AQ12" s="247">
        <f ca="1">'3.5 Costs and Peak Demand'!AN8*MIN(1/(1+Dashboard!$D$15)^(AQ$7-2020),1)</f>
        <v>0</v>
      </c>
      <c r="AR12" s="247">
        <f ca="1">'3.5 Costs and Peak Demand'!AO8*MIN(1/(1+Dashboard!$D$15)^(AR$7-2020),1)</f>
        <v>0</v>
      </c>
      <c r="AS12" s="247">
        <f ca="1">'3.5 Costs and Peak Demand'!AP8*MIN(1/(1+Dashboard!$D$15)^(AS$7-2020),1)</f>
        <v>0</v>
      </c>
      <c r="AT12" s="313"/>
      <c r="AU12" s="313"/>
    </row>
    <row r="13" spans="1:47" s="229" customFormat="1">
      <c r="A13" s="229">
        <v>6</v>
      </c>
      <c r="B13" s="229" t="str">
        <f t="shared" si="1"/>
        <v>6Capital and Maintenance Costs</v>
      </c>
      <c r="C13" s="234" t="s">
        <v>306</v>
      </c>
      <c r="E13" t="str">
        <f ca="1">IF(SUM(J13:AS13)=0,"",'2.8 Costs'!$E9)</f>
        <v>Gas Boilers</v>
      </c>
      <c r="F13" s="313"/>
      <c r="G13" s="234"/>
      <c r="H13" s="234"/>
      <c r="I13" s="313"/>
      <c r="J13" s="247">
        <f ca="1">'3.5 Costs and Peak Demand'!G9*MIN(1/(1+Dashboard!$D$15)^(J$7-2020),1)</f>
        <v>314.52959516653345</v>
      </c>
      <c r="K13" s="247">
        <f ca="1">'3.5 Costs and Peak Demand'!H9*MIN(1/(1+Dashboard!$D$15)^(K$7-2020),1)</f>
        <v>317.09875875721252</v>
      </c>
      <c r="L13" s="247">
        <f ca="1">'3.5 Costs and Peak Demand'!I9*MIN(1/(1+Dashboard!$D$15)^(L$7-2020),1)</f>
        <v>318.86244426300686</v>
      </c>
      <c r="M13" s="247">
        <f ca="1">'3.5 Costs and Peak Demand'!J9*MIN(1/(1+Dashboard!$D$15)^(M$7-2020),1)</f>
        <v>320.59254518955424</v>
      </c>
      <c r="N13" s="247">
        <f ca="1">'3.5 Costs and Peak Demand'!K9*MIN(1/(1+Dashboard!$D$15)^(N$7-2020),1)</f>
        <v>322.29705848129834</v>
      </c>
      <c r="O13" s="247">
        <f ca="1">'3.5 Costs and Peak Demand'!L9*MIN(1/(1+Dashboard!$D$15)^(O$7-2020),1)</f>
        <v>291.71246620121099</v>
      </c>
      <c r="P13" s="247">
        <f ca="1">'3.5 Costs and Peak Demand'!M9*MIN(1/(1+Dashboard!$D$15)^(P$7-2020),1)</f>
        <v>272.26310585002824</v>
      </c>
      <c r="Q13" s="247">
        <f ca="1">'3.5 Costs and Peak Demand'!N9*MIN(1/(1+Dashboard!$D$15)^(Q$7-2020),1)</f>
        <v>242.91443148739549</v>
      </c>
      <c r="R13" s="247">
        <f ca="1">'3.5 Costs and Peak Demand'!O9*MIN(1/(1+Dashboard!$D$15)^(R$7-2020),1)</f>
        <v>230.42363634447676</v>
      </c>
      <c r="S13" s="247">
        <f ca="1">'3.5 Costs and Peak Demand'!P9*MIN(1/(1+Dashboard!$D$15)^(S$7-2020),1)</f>
        <v>215.6319073556952</v>
      </c>
      <c r="T13" s="247">
        <f ca="1">'3.5 Costs and Peak Demand'!Q9*MIN(1/(1+Dashboard!$D$15)^(T$7-2020),1)</f>
        <v>199.43677389772435</v>
      </c>
      <c r="U13" s="247">
        <f ca="1">'3.5 Costs and Peak Demand'!R9*MIN(1/(1+Dashboard!$D$15)^(U$7-2020),1)</f>
        <v>179.90023592938576</v>
      </c>
      <c r="V13" s="247">
        <f ca="1">'3.5 Costs and Peak Demand'!S9*MIN(1/(1+Dashboard!$D$15)^(V$7-2020),1)</f>
        <v>159.27175011324198</v>
      </c>
      <c r="W13" s="247">
        <f ca="1">'3.5 Costs and Peak Demand'!T9*MIN(1/(1+Dashboard!$D$15)^(W$7-2020),1)</f>
        <v>139.97380860957131</v>
      </c>
      <c r="X13" s="247">
        <f ca="1">'3.5 Costs and Peak Demand'!U9*MIN(1/(1+Dashboard!$D$15)^(X$7-2020),1)</f>
        <v>122.38515155268215</v>
      </c>
      <c r="Y13" s="247">
        <f ca="1">'3.5 Costs and Peak Demand'!V9*MIN(1/(1+Dashboard!$D$15)^(Y$7-2020),1)</f>
        <v>133.9555538936709</v>
      </c>
      <c r="Z13" s="247">
        <f ca="1">'3.5 Costs and Peak Demand'!W9*MIN(1/(1+Dashboard!$D$15)^(Z$7-2020),1)</f>
        <v>111.18409652688756</v>
      </c>
      <c r="AA13" s="247">
        <f ca="1">'3.5 Costs and Peak Demand'!X9*MIN(1/(1+Dashboard!$D$15)^(AA$7-2020),1)</f>
        <v>89.857970958729467</v>
      </c>
      <c r="AB13" s="247">
        <f ca="1">'3.5 Costs and Peak Demand'!Y9*MIN(1/(1+Dashboard!$D$15)^(AB$7-2020),1)</f>
        <v>69.654411879324442</v>
      </c>
      <c r="AC13" s="247">
        <f ca="1">'3.5 Costs and Peak Demand'!Z9*MIN(1/(1+Dashboard!$D$15)^(AC$7-2020),1)</f>
        <v>54.802611010769795</v>
      </c>
      <c r="AD13" s="247">
        <f ca="1">'3.5 Costs and Peak Demand'!AA9*MIN(1/(1+Dashboard!$D$15)^(AD$7-2020),1)</f>
        <v>44.537177470027991</v>
      </c>
      <c r="AE13" s="247">
        <f ca="1">'3.5 Costs and Peak Demand'!AB9*MIN(1/(1+Dashboard!$D$15)^(AE$7-2020),1)</f>
        <v>32.935052790198142</v>
      </c>
      <c r="AF13" s="247">
        <f ca="1">'3.5 Costs and Peak Demand'!AC9*MIN(1/(1+Dashboard!$D$15)^(AF$7-2020),1)</f>
        <v>24.590923372176139</v>
      </c>
      <c r="AG13" s="247">
        <f ca="1">'3.5 Costs and Peak Demand'!AD9*MIN(1/(1+Dashboard!$D$15)^(AG$7-2020),1)</f>
        <v>18.87630020410619</v>
      </c>
      <c r="AH13" s="247">
        <f ca="1">'3.5 Costs and Peak Demand'!AE9*MIN(1/(1+Dashboard!$D$15)^(AH$7-2020),1)</f>
        <v>16.420582530932958</v>
      </c>
      <c r="AI13" s="247">
        <f ca="1">'3.5 Costs and Peak Demand'!AF9*MIN(1/(1+Dashboard!$D$15)^(AI$7-2020),1)</f>
        <v>14.167684024787938</v>
      </c>
      <c r="AJ13" s="247">
        <f ca="1">'3.5 Costs and Peak Demand'!AG9*MIN(1/(1+Dashboard!$D$15)^(AJ$7-2020),1)</f>
        <v>12.008278440859096</v>
      </c>
      <c r="AK13" s="247">
        <f ca="1">'3.5 Costs and Peak Demand'!AH9*MIN(1/(1+Dashboard!$D$15)^(AK$7-2020),1)</f>
        <v>10.047238133369763</v>
      </c>
      <c r="AL13" s="247">
        <f ca="1">'3.5 Costs and Peak Demand'!AI9*MIN(1/(1+Dashboard!$D$15)^(AL$7-2020),1)</f>
        <v>8.2706750605511559</v>
      </c>
      <c r="AM13" s="247">
        <f ca="1">'3.5 Costs and Peak Demand'!AJ9*MIN(1/(1+Dashboard!$D$15)^(AM$7-2020),1)</f>
        <v>6.6655440206572578</v>
      </c>
      <c r="AN13" s="247">
        <f ca="1">'3.5 Costs and Peak Demand'!AK9*MIN(1/(1+Dashboard!$D$15)^(AN$7-2020),1)</f>
        <v>5.2196070037120208</v>
      </c>
      <c r="AO13" s="247">
        <f ca="1">'3.5 Costs and Peak Demand'!AL9*MIN(1/(1+Dashboard!$D$15)^(AO$7-2020),1)</f>
        <v>4.0328731720535096</v>
      </c>
      <c r="AP13" s="247">
        <f ca="1">'3.5 Costs and Peak Demand'!AM9*MIN(1/(1+Dashboard!$D$15)^(AP$7-2020),1)</f>
        <v>2.9219231329267084</v>
      </c>
      <c r="AQ13" s="247">
        <f ca="1">'3.5 Costs and Peak Demand'!AN9*MIN(1/(1+Dashboard!$D$15)^(AQ$7-2020),1)</f>
        <v>1.8822491096155347</v>
      </c>
      <c r="AR13" s="247">
        <f ca="1">'3.5 Costs and Peak Demand'!AO9*MIN(1/(1+Dashboard!$D$15)^(AR$7-2020),1)</f>
        <v>0.90960648154034462</v>
      </c>
      <c r="AS13" s="247">
        <f ca="1">'3.5 Costs and Peak Demand'!AP9*MIN(1/(1+Dashboard!$D$15)^(AS$7-2020),1)</f>
        <v>0</v>
      </c>
      <c r="AT13" s="313"/>
      <c r="AU13" s="313"/>
    </row>
    <row r="14" spans="1:47" s="229" customFormat="1">
      <c r="A14" s="229">
        <v>7</v>
      </c>
      <c r="B14" s="229" t="str">
        <f t="shared" si="1"/>
        <v>7Capital and Maintenance Costs</v>
      </c>
      <c r="C14" s="234" t="s">
        <v>306</v>
      </c>
      <c r="E14" t="str">
        <f ca="1">IF(SUM(J14:AS14)=0,"",'2.8 Costs'!$E10)</f>
        <v>Electric heating</v>
      </c>
      <c r="F14" s="313"/>
      <c r="G14" s="234"/>
      <c r="H14" s="234"/>
      <c r="I14" s="313"/>
      <c r="J14" s="247">
        <f ca="1">'3.5 Costs and Peak Demand'!G10*MIN(1/(1+Dashboard!$D$15)^(J$7-2020),1)</f>
        <v>12.79995359614284</v>
      </c>
      <c r="K14" s="247">
        <f ca="1">'3.5 Costs and Peak Demand'!H10*MIN(1/(1+Dashboard!$D$15)^(K$7-2020),1)</f>
        <v>13.024033297291856</v>
      </c>
      <c r="L14" s="247">
        <f ca="1">'3.5 Costs and Peak Demand'!I10*MIN(1/(1+Dashboard!$D$15)^(L$7-2020),1)</f>
        <v>13.221582562047457</v>
      </c>
      <c r="M14" s="247">
        <f ca="1">'3.5 Costs and Peak Demand'!J10*MIN(1/(1+Dashboard!$D$15)^(M$7-2020),1)</f>
        <v>13.416305753670585</v>
      </c>
      <c r="N14" s="247">
        <f ca="1">'3.5 Costs and Peak Demand'!K10*MIN(1/(1+Dashboard!$D$15)^(N$7-2020),1)</f>
        <v>13.608951429489894</v>
      </c>
      <c r="O14" s="247">
        <f ca="1">'3.5 Costs and Peak Demand'!L10*MIN(1/(1+Dashboard!$D$15)^(O$7-2020),1)</f>
        <v>12.782195479149998</v>
      </c>
      <c r="P14" s="247">
        <f ca="1">'3.5 Costs and Peak Demand'!M10*MIN(1/(1+Dashboard!$D$15)^(P$7-2020),1)</f>
        <v>12.149983973512146</v>
      </c>
      <c r="Q14" s="247">
        <f ca="1">'3.5 Costs and Peak Demand'!N10*MIN(1/(1+Dashboard!$D$15)^(Q$7-2020),1)</f>
        <v>11.112954951634672</v>
      </c>
      <c r="R14" s="247">
        <f ca="1">'3.5 Costs and Peak Demand'!O10*MIN(1/(1+Dashboard!$D$15)^(R$7-2020),1)</f>
        <v>10.544623935355348</v>
      </c>
      <c r="S14" s="247">
        <f ca="1">'3.5 Costs and Peak Demand'!P10*MIN(1/(1+Dashboard!$D$15)^(S$7-2020),1)</f>
        <v>9.8556732609703683</v>
      </c>
      <c r="T14" s="247">
        <f ca="1">'3.5 Costs and Peak Demand'!Q10*MIN(1/(1+Dashboard!$D$15)^(T$7-2020),1)</f>
        <v>9.097049242437679</v>
      </c>
      <c r="U14" s="247">
        <f ca="1">'3.5 Costs and Peak Demand'!R10*MIN(1/(1+Dashboard!$D$15)^(U$7-2020),1)</f>
        <v>8.1231299529360044</v>
      </c>
      <c r="V14" s="247">
        <f ca="1">'3.5 Costs and Peak Demand'!S10*MIN(1/(1+Dashboard!$D$15)^(V$7-2020),1)</f>
        <v>7.2069539324647129</v>
      </c>
      <c r="W14" s="247">
        <f ca="1">'3.5 Costs and Peak Demand'!T10*MIN(1/(1+Dashboard!$D$15)^(W$7-2020),1)</f>
        <v>6.355753890767887</v>
      </c>
      <c r="X14" s="247">
        <f ca="1">'3.5 Costs and Peak Demand'!U10*MIN(1/(1+Dashboard!$D$15)^(X$7-2020),1)</f>
        <v>5.5757486085346768</v>
      </c>
      <c r="Y14" s="247">
        <f ca="1">'3.5 Costs and Peak Demand'!V10*MIN(1/(1+Dashboard!$D$15)^(Y$7-2020),1)</f>
        <v>5.7581189593496447</v>
      </c>
      <c r="Z14" s="247">
        <f ca="1">'3.5 Costs and Peak Demand'!W10*MIN(1/(1+Dashboard!$D$15)^(Z$7-2020),1)</f>
        <v>4.9317932206652664</v>
      </c>
      <c r="AA14" s="247">
        <f ca="1">'3.5 Costs and Peak Demand'!X10*MIN(1/(1+Dashboard!$D$15)^(AA$7-2020),1)</f>
        <v>4.129434330131363</v>
      </c>
      <c r="AB14" s="247">
        <f ca="1">'3.5 Costs and Peak Demand'!Y10*MIN(1/(1+Dashboard!$D$15)^(AB$7-2020),1)</f>
        <v>3.3049295227540703</v>
      </c>
      <c r="AC14" s="247">
        <f ca="1">'3.5 Costs and Peak Demand'!Z10*MIN(1/(1+Dashboard!$D$15)^(AC$7-2020),1)</f>
        <v>2.6333146044445379</v>
      </c>
      <c r="AD14" s="247">
        <f ca="1">'3.5 Costs and Peak Demand'!AA10*MIN(1/(1+Dashboard!$D$15)^(AD$7-2020),1)</f>
        <v>2.1208542400848787</v>
      </c>
      <c r="AE14" s="247">
        <f ca="1">'3.5 Costs and Peak Demand'!AB10*MIN(1/(1+Dashboard!$D$15)^(AE$7-2020),1)</f>
        <v>8.8958109812527351</v>
      </c>
      <c r="AF14" s="247">
        <f ca="1">'3.5 Costs and Peak Demand'!AC10*MIN(1/(1+Dashboard!$D$15)^(AF$7-2020),1)</f>
        <v>7.1628173438657221</v>
      </c>
      <c r="AG14" s="247">
        <f ca="1">'3.5 Costs and Peak Demand'!AD10*MIN(1/(1+Dashboard!$D$15)^(AG$7-2020),1)</f>
        <v>6.522697909001054</v>
      </c>
      <c r="AH14" s="247">
        <f ca="1">'3.5 Costs and Peak Demand'!AE10*MIN(1/(1+Dashboard!$D$15)^(AH$7-2020),1)</f>
        <v>9.3395876611311799</v>
      </c>
      <c r="AI14" s="247">
        <f ca="1">'3.5 Costs and Peak Demand'!AF10*MIN(1/(1+Dashboard!$D$15)^(AI$7-2020),1)</f>
        <v>9.6562182567701207</v>
      </c>
      <c r="AJ14" s="247">
        <f ca="1">'3.5 Costs and Peak Demand'!AG10*MIN(1/(1+Dashboard!$D$15)^(AJ$7-2020),1)</f>
        <v>9.5830772762938423</v>
      </c>
      <c r="AK14" s="247">
        <f ca="1">'3.5 Costs and Peak Demand'!AH10*MIN(1/(1+Dashboard!$D$15)^(AK$7-2020),1)</f>
        <v>9.659457041929512</v>
      </c>
      <c r="AL14" s="247">
        <f ca="1">'3.5 Costs and Peak Demand'!AI10*MIN(1/(1+Dashboard!$D$15)^(AL$7-2020),1)</f>
        <v>9.6823949405847358</v>
      </c>
      <c r="AM14" s="247">
        <f ca="1">'3.5 Costs and Peak Demand'!AJ10*MIN(1/(1+Dashboard!$D$15)^(AM$7-2020),1)</f>
        <v>9.6569086788581942</v>
      </c>
      <c r="AN14" s="247">
        <f ca="1">'3.5 Costs and Peak Demand'!AK10*MIN(1/(1+Dashboard!$D$15)^(AN$7-2020),1)</f>
        <v>9.5877499384445706</v>
      </c>
      <c r="AO14" s="247">
        <f ca="1">'3.5 Costs and Peak Demand'!AL10*MIN(1/(1+Dashboard!$D$15)^(AO$7-2020),1)</f>
        <v>10.868732649540803</v>
      </c>
      <c r="AP14" s="247">
        <f ca="1">'3.5 Costs and Peak Demand'!AM10*MIN(1/(1+Dashboard!$D$15)^(AP$7-2020),1)</f>
        <v>11.107143413074718</v>
      </c>
      <c r="AQ14" s="247">
        <f ca="1">'3.5 Costs and Peak Demand'!AN10*MIN(1/(1+Dashboard!$D$15)^(AQ$7-2020),1)</f>
        <v>11.321258730160054</v>
      </c>
      <c r="AR14" s="247">
        <f ca="1">'3.5 Costs and Peak Demand'!AO10*MIN(1/(1+Dashboard!$D$15)^(AR$7-2020),1)</f>
        <v>11.512720840170321</v>
      </c>
      <c r="AS14" s="247">
        <f ca="1">'3.5 Costs and Peak Demand'!AP10*MIN(1/(1+Dashboard!$D$15)^(AS$7-2020),1)</f>
        <v>11.683141631544764</v>
      </c>
      <c r="AT14" s="313"/>
      <c r="AU14" s="313"/>
    </row>
    <row r="15" spans="1:47" s="229" customFormat="1">
      <c r="A15" s="229">
        <v>8</v>
      </c>
      <c r="B15" s="229" t="str">
        <f t="shared" si="1"/>
        <v>8Capital and Maintenance Costs</v>
      </c>
      <c r="C15" s="234" t="s">
        <v>306</v>
      </c>
      <c r="E15" t="str">
        <f ca="1">IF(SUM(J8:AS15)=0,"",'2.8 Costs'!$E11)</f>
        <v>Smart and storage</v>
      </c>
      <c r="F15" s="313"/>
      <c r="G15" s="234"/>
      <c r="H15" s="234"/>
      <c r="I15" s="313"/>
      <c r="J15" s="247">
        <f ca="1">'3.5 Costs and Peak Demand'!G11*MIN(1/(1+Dashboard!$D$15)^(J$7-2020),1)</f>
        <v>0</v>
      </c>
      <c r="K15" s="247">
        <f ca="1">'3.5 Costs and Peak Demand'!H11*MIN(1/(1+Dashboard!$D$15)^(K$7-2020),1)</f>
        <v>0</v>
      </c>
      <c r="L15" s="247">
        <f ca="1">'3.5 Costs and Peak Demand'!I11*MIN(1/(1+Dashboard!$D$15)^(L$7-2020),1)</f>
        <v>0</v>
      </c>
      <c r="M15" s="247">
        <f ca="1">'3.5 Costs and Peak Demand'!J11*MIN(1/(1+Dashboard!$D$15)^(M$7-2020),1)</f>
        <v>0</v>
      </c>
      <c r="N15" s="247">
        <f ca="1">'3.5 Costs and Peak Demand'!K11*MIN(1/(1+Dashboard!$D$15)^(N$7-2020),1)</f>
        <v>0</v>
      </c>
      <c r="O15" s="247">
        <f ca="1">'3.5 Costs and Peak Demand'!L11*MIN(1/(1+Dashboard!$D$15)^(O$7-2020),1)</f>
        <v>0</v>
      </c>
      <c r="P15" s="247">
        <f ca="1">'3.5 Costs and Peak Demand'!M11*MIN(1/(1+Dashboard!$D$15)^(P$7-2020),1)</f>
        <v>4.0233749427032865</v>
      </c>
      <c r="Q15" s="247">
        <f ca="1">'3.5 Costs and Peak Demand'!N11*MIN(1/(1+Dashboard!$D$15)^(Q$7-2020),1)</f>
        <v>4.7704730315537809</v>
      </c>
      <c r="R15" s="247">
        <f ca="1">'3.5 Costs and Peak Demand'!O11*MIN(1/(1+Dashboard!$D$15)^(R$7-2020),1)</f>
        <v>5.4871278928399301</v>
      </c>
      <c r="S15" s="247">
        <f ca="1">'3.5 Costs and Peak Demand'!P11*MIN(1/(1+Dashboard!$D$15)^(S$7-2020),1)</f>
        <v>6.1601274143947382</v>
      </c>
      <c r="T15" s="247">
        <f ca="1">'3.5 Costs and Peak Demand'!Q11*MIN(1/(1+Dashboard!$D$15)^(T$7-2020),1)</f>
        <v>6.7691989752228778</v>
      </c>
      <c r="U15" s="247">
        <f ca="1">'3.5 Costs and Peak Demand'!R11*MIN(1/(1+Dashboard!$D$15)^(U$7-2020),1)</f>
        <v>3.8828771001969331</v>
      </c>
      <c r="V15" s="247">
        <f ca="1">'3.5 Costs and Peak Demand'!S11*MIN(1/(1+Dashboard!$D$15)^(V$7-2020),1)</f>
        <v>3.7812586528677969</v>
      </c>
      <c r="W15" s="247">
        <f ca="1">'3.5 Costs and Peak Demand'!T11*MIN(1/(1+Dashboard!$D$15)^(W$7-2020),1)</f>
        <v>3.6612310670015975</v>
      </c>
      <c r="X15" s="247">
        <f ca="1">'3.5 Costs and Peak Demand'!U11*MIN(1/(1+Dashboard!$D$15)^(X$7-2020),1)</f>
        <v>11.814648794978117</v>
      </c>
      <c r="Y15" s="247">
        <f ca="1">'3.5 Costs and Peak Demand'!V11*MIN(1/(1+Dashboard!$D$15)^(Y$7-2020),1)</f>
        <v>18.06756109347279</v>
      </c>
      <c r="Z15" s="247">
        <f ca="1">'3.5 Costs and Peak Demand'!W11*MIN(1/(1+Dashboard!$D$15)^(Z$7-2020),1)</f>
        <v>18.697063743422916</v>
      </c>
      <c r="AA15" s="247">
        <f ca="1">'3.5 Costs and Peak Demand'!X11*MIN(1/(1+Dashboard!$D$15)^(AA$7-2020),1)</f>
        <v>18.280856047359048</v>
      </c>
      <c r="AB15" s="247">
        <f ca="1">'3.5 Costs and Peak Demand'!Y11*MIN(1/(1+Dashboard!$D$15)^(AB$7-2020),1)</f>
        <v>17.855785456257646</v>
      </c>
      <c r="AC15" s="247">
        <f ca="1">'3.5 Costs and Peak Demand'!Z11*MIN(1/(1+Dashboard!$D$15)^(AC$7-2020),1)</f>
        <v>17.452700664146558</v>
      </c>
      <c r="AD15" s="247">
        <f ca="1">'3.5 Costs and Peak Demand'!AA11*MIN(1/(1+Dashboard!$D$15)^(AD$7-2020),1)</f>
        <v>12.68191503263453</v>
      </c>
      <c r="AE15" s="247">
        <f ca="1">'3.5 Costs and Peak Demand'!AB11*MIN(1/(1+Dashboard!$D$15)^(AE$7-2020),1)</f>
        <v>16.477905044078039</v>
      </c>
      <c r="AF15" s="247">
        <f ca="1">'3.5 Costs and Peak Demand'!AC11*MIN(1/(1+Dashboard!$D$15)^(AF$7-2020),1)</f>
        <v>15.92250603436684</v>
      </c>
      <c r="AG15" s="247">
        <f ca="1">'3.5 Costs and Peak Demand'!AD11*MIN(1/(1+Dashboard!$D$15)^(AG$7-2020),1)</f>
        <v>15.354828218368967</v>
      </c>
      <c r="AH15" s="247">
        <f ca="1">'3.5 Costs and Peak Demand'!AE11*MIN(1/(1+Dashboard!$D$15)^(AH$7-2020),1)</f>
        <v>14.777400259081938</v>
      </c>
      <c r="AI15" s="247">
        <f ca="1">'3.5 Costs and Peak Demand'!AF11*MIN(1/(1+Dashboard!$D$15)^(AI$7-2020),1)</f>
        <v>13.873044629317183</v>
      </c>
      <c r="AJ15" s="247">
        <f ca="1">'3.5 Costs and Peak Demand'!AG11*MIN(1/(1+Dashboard!$D$15)^(AJ$7-2020),1)</f>
        <v>13.101024347888174</v>
      </c>
      <c r="AK15" s="247">
        <f ca="1">'3.5 Costs and Peak Demand'!AH11*MIN(1/(1+Dashboard!$D$15)^(AK$7-2020),1)</f>
        <v>12.411070025167453</v>
      </c>
      <c r="AL15" s="247">
        <f ca="1">'3.5 Costs and Peak Demand'!AI11*MIN(1/(1+Dashboard!$D$15)^(AL$7-2020),1)</f>
        <v>11.738265974728309</v>
      </c>
      <c r="AM15" s="247">
        <f ca="1">'3.5 Costs and Peak Demand'!AJ11*MIN(1/(1+Dashboard!$D$15)^(AM$7-2020),1)</f>
        <v>10.305837997065863</v>
      </c>
      <c r="AN15" s="247">
        <f ca="1">'3.5 Costs and Peak Demand'!AK11*MIN(1/(1+Dashboard!$D$15)^(AN$7-2020),1)</f>
        <v>4.2542704553908202</v>
      </c>
      <c r="AO15" s="247">
        <f ca="1">'3.5 Costs and Peak Demand'!AL11*MIN(1/(1+Dashboard!$D$15)^(AO$7-2020),1)</f>
        <v>3.7991070313238433</v>
      </c>
      <c r="AP15" s="247">
        <f ca="1">'3.5 Costs and Peak Demand'!AM11*MIN(1/(1+Dashboard!$D$15)^(AP$7-2020),1)</f>
        <v>3.3854905495611263</v>
      </c>
      <c r="AQ15" s="247">
        <f ca="1">'3.5 Costs and Peak Demand'!AN11*MIN(1/(1+Dashboard!$D$15)^(AQ$7-2020),1)</f>
        <v>2.7830554221859143</v>
      </c>
      <c r="AR15" s="247">
        <f ca="1">'3.5 Costs and Peak Demand'!AO11*MIN(1/(1+Dashboard!$D$15)^(AR$7-2020),1)</f>
        <v>2.3462943146409585</v>
      </c>
      <c r="AS15" s="247">
        <f ca="1">'3.5 Costs and Peak Demand'!AP11*MIN(1/(1+Dashboard!$D$15)^(AS$7-2020),1)</f>
        <v>1.9616606530973306</v>
      </c>
      <c r="AT15" s="313"/>
      <c r="AU15" s="313"/>
    </row>
    <row r="16" spans="1:47" s="229" customFormat="1">
      <c r="A16" s="229">
        <v>9</v>
      </c>
      <c r="B16" s="229" t="str">
        <f t="shared" si="1"/>
        <v>9Capital and Maintenance Costs</v>
      </c>
      <c r="C16" s="234" t="s">
        <v>306</v>
      </c>
      <c r="E16" t="str">
        <f ca="1">IF(SUM(J16:AS16)=0,"",'2.8 Costs'!$E12)</f>
        <v>Electricity grid</v>
      </c>
      <c r="F16" s="313"/>
      <c r="G16" s="234"/>
      <c r="H16" s="234"/>
      <c r="I16" s="313"/>
      <c r="J16" s="247">
        <f ca="1">'3.5 Costs and Peak Demand'!G12*MIN(1/(1+Dashboard!$D$15)^(J$7-2020),1)</f>
        <v>0</v>
      </c>
      <c r="K16" s="247">
        <f ca="1">'3.5 Costs and Peak Demand'!H12*MIN(1/(1+Dashboard!$D$15)^(K$7-2020),1)</f>
        <v>1.0015569591829988E-2</v>
      </c>
      <c r="L16" s="247">
        <f ca="1">'3.5 Costs and Peak Demand'!I12*MIN(1/(1+Dashboard!$D$15)^(L$7-2020),1)</f>
        <v>1.0015569591829988E-2</v>
      </c>
      <c r="M16" s="247">
        <f ca="1">'3.5 Costs and Peak Demand'!J12*MIN(1/(1+Dashboard!$D$15)^(M$7-2020),1)</f>
        <v>1.0015569591829991E-2</v>
      </c>
      <c r="N16" s="247">
        <f ca="1">'3.5 Costs and Peak Demand'!K12*MIN(1/(1+Dashboard!$D$15)^(N$7-2020),1)</f>
        <v>1.0015569591829983E-2</v>
      </c>
      <c r="O16" s="247">
        <f ca="1">'3.5 Costs and Peak Demand'!L12*MIN(1/(1+Dashboard!$D$15)^(O$7-2020),1)</f>
        <v>0</v>
      </c>
      <c r="P16" s="247">
        <f ca="1">'3.5 Costs and Peak Demand'!M12*MIN(1/(1+Dashboard!$D$15)^(P$7-2020),1)</f>
        <v>0</v>
      </c>
      <c r="Q16" s="247">
        <f ca="1">'3.5 Costs and Peak Demand'!N12*MIN(1/(1+Dashboard!$D$15)^(Q$7-2020),1)</f>
        <v>0</v>
      </c>
      <c r="R16" s="247">
        <f ca="1">'3.5 Costs and Peak Demand'!O12*MIN(1/(1+Dashboard!$D$15)^(R$7-2020),1)</f>
        <v>0</v>
      </c>
      <c r="S16" s="247">
        <f ca="1">'3.5 Costs and Peak Demand'!P12*MIN(1/(1+Dashboard!$D$15)^(S$7-2020),1)</f>
        <v>0</v>
      </c>
      <c r="T16" s="247">
        <f ca="1">'3.5 Costs and Peak Demand'!Q12*MIN(1/(1+Dashboard!$D$15)^(T$7-2020),1)</f>
        <v>0</v>
      </c>
      <c r="U16" s="247">
        <f ca="1">'3.5 Costs and Peak Demand'!R12*MIN(1/(1+Dashboard!$D$15)^(U$7-2020),1)</f>
        <v>0</v>
      </c>
      <c r="V16" s="247">
        <f ca="1">'3.5 Costs and Peak Demand'!S12*MIN(1/(1+Dashboard!$D$15)^(V$7-2020),1)</f>
        <v>0</v>
      </c>
      <c r="W16" s="247">
        <f ca="1">'3.5 Costs and Peak Demand'!T12*MIN(1/(1+Dashboard!$D$15)^(W$7-2020),1)</f>
        <v>0</v>
      </c>
      <c r="X16" s="247">
        <f ca="1">'3.5 Costs and Peak Demand'!U12*MIN(1/(1+Dashboard!$D$15)^(X$7-2020),1)</f>
        <v>0</v>
      </c>
      <c r="Y16" s="247">
        <f ca="1">'3.5 Costs and Peak Demand'!V12*MIN(1/(1+Dashboard!$D$15)^(Y$7-2020),1)</f>
        <v>0</v>
      </c>
      <c r="Z16" s="247">
        <f ca="1">'3.5 Costs and Peak Demand'!W12*MIN(1/(1+Dashboard!$D$15)^(Z$7-2020),1)</f>
        <v>0</v>
      </c>
      <c r="AA16" s="247">
        <f ca="1">'3.5 Costs and Peak Demand'!X12*MIN(1/(1+Dashboard!$D$15)^(AA$7-2020),1)</f>
        <v>0</v>
      </c>
      <c r="AB16" s="247">
        <f ca="1">'3.5 Costs and Peak Demand'!Y12*MIN(1/(1+Dashboard!$D$15)^(AB$7-2020),1)</f>
        <v>0.25987145752273244</v>
      </c>
      <c r="AC16" s="247">
        <f ca="1">'3.5 Costs and Peak Demand'!Z12*MIN(1/(1+Dashboard!$D$15)^(AC$7-2020),1)</f>
        <v>8.7109486844314503</v>
      </c>
      <c r="AD16" s="247">
        <f ca="1">'3.5 Costs and Peak Demand'!AA12*MIN(1/(1+Dashboard!$D$15)^(AD$7-2020),1)</f>
        <v>18.258656961580254</v>
      </c>
      <c r="AE16" s="247">
        <f ca="1">'3.5 Costs and Peak Demand'!AB12*MIN(1/(1+Dashboard!$D$15)^(AE$7-2020),1)</f>
        <v>17.641214455633101</v>
      </c>
      <c r="AF16" s="247">
        <f ca="1">'3.5 Costs and Peak Demand'!AC12*MIN(1/(1+Dashboard!$D$15)^(AF$7-2020),1)</f>
        <v>17.044651647954616</v>
      </c>
      <c r="AG16" s="247">
        <f ca="1">'3.5 Costs and Peak Demand'!AD12*MIN(1/(1+Dashboard!$D$15)^(AG$7-2020),1)</f>
        <v>16.468262461791973</v>
      </c>
      <c r="AH16" s="247">
        <f ca="1">'3.5 Costs and Peak Demand'!AE12*MIN(1/(1+Dashboard!$D$15)^(AH$7-2020),1)</f>
        <v>15.911364697383547</v>
      </c>
      <c r="AI16" s="247">
        <f ca="1">'3.5 Costs and Peak Demand'!AF12*MIN(1/(1+Dashboard!$D$15)^(AI$7-2020),1)</f>
        <v>11.853317665834602</v>
      </c>
      <c r="AJ16" s="247">
        <f ca="1">'3.5 Costs and Peak Demand'!AG12*MIN(1/(1+Dashboard!$D$15)^(AJ$7-2020),1)</f>
        <v>11.452480836555168</v>
      </c>
      <c r="AK16" s="247">
        <f ca="1">'3.5 Costs and Peak Demand'!AH12*MIN(1/(1+Dashboard!$D$15)^(AK$7-2020),1)</f>
        <v>11.065198875898716</v>
      </c>
      <c r="AL16" s="247">
        <f ca="1">'3.5 Costs and Peak Demand'!AI12*MIN(1/(1+Dashboard!$D$15)^(AL$7-2020),1)</f>
        <v>10.691013406665423</v>
      </c>
      <c r="AM16" s="247">
        <f ca="1">'3.5 Costs and Peak Demand'!AJ12*MIN(1/(1+Dashboard!$D$15)^(AM$7-2020),1)</f>
        <v>10.329481552333752</v>
      </c>
      <c r="AN16" s="247">
        <f ca="1">'3.5 Costs and Peak Demand'!AK12*MIN(1/(1+Dashboard!$D$15)^(AN$7-2020),1)</f>
        <v>10.820680983873805</v>
      </c>
      <c r="AO16" s="247">
        <f ca="1">'3.5 Costs and Peak Demand'!AL12*MIN(1/(1+Dashboard!$D$15)^(AO$7-2020),1)</f>
        <v>10.454764235626865</v>
      </c>
      <c r="AP16" s="247">
        <f ca="1">'3.5 Costs and Peak Demand'!AM12*MIN(1/(1+Dashboard!$D$15)^(AP$7-2020),1)</f>
        <v>10.101221483697413</v>
      </c>
      <c r="AQ16" s="247">
        <f ca="1">'3.5 Costs and Peak Demand'!AN12*MIN(1/(1+Dashboard!$D$15)^(AQ$7-2020),1)</f>
        <v>9.7596342837656493</v>
      </c>
      <c r="AR16" s="247">
        <f ca="1">'3.5 Costs and Peak Demand'!AO12*MIN(1/(1+Dashboard!$D$15)^(AR$7-2020),1)</f>
        <v>9.4295983418025724</v>
      </c>
      <c r="AS16" s="247">
        <f ca="1">'3.5 Costs and Peak Demand'!AP12*MIN(1/(1+Dashboard!$D$15)^(AS$7-2020),1)</f>
        <v>0</v>
      </c>
      <c r="AT16" s="313"/>
      <c r="AU16" s="313"/>
    </row>
    <row r="17" spans="1:47" s="229" customFormat="1">
      <c r="A17" s="229">
        <v>10</v>
      </c>
      <c r="B17" s="229" t="str">
        <f t="shared" si="1"/>
        <v>10Capital and Maintenance Costs</v>
      </c>
      <c r="C17" s="234" t="s">
        <v>306</v>
      </c>
      <c r="E17" t="str">
        <f ca="1">IF(SUM(J17:AS17)=0,"",'2.8 Costs'!$E13)</f>
        <v>EV charging</v>
      </c>
      <c r="F17" s="313"/>
      <c r="G17" s="234"/>
      <c r="H17" s="234"/>
      <c r="I17" s="313"/>
      <c r="J17" s="247">
        <f ca="1">'3.5 Costs and Peak Demand'!G13*MIN(1/(1+Dashboard!$D$15)^(J$7-2020),1)</f>
        <v>0</v>
      </c>
      <c r="K17" s="247">
        <f ca="1">'3.5 Costs and Peak Demand'!H13*MIN(1/(1+Dashboard!$D$15)^(K$7-2020),1)</f>
        <v>0</v>
      </c>
      <c r="L17" s="247">
        <f ca="1">'3.5 Costs and Peak Demand'!I13*MIN(1/(1+Dashboard!$D$15)^(L$7-2020),1)</f>
        <v>0</v>
      </c>
      <c r="M17" s="247">
        <f ca="1">'3.5 Costs and Peak Demand'!J13*MIN(1/(1+Dashboard!$D$15)^(M$7-2020),1)</f>
        <v>10.344136072243892</v>
      </c>
      <c r="N17" s="247">
        <f ca="1">'3.5 Costs and Peak Demand'!K13*MIN(1/(1+Dashboard!$D$15)^(N$7-2020),1)</f>
        <v>3.9545137064952383</v>
      </c>
      <c r="O17" s="247">
        <f ca="1">'3.5 Costs and Peak Demand'!L13*MIN(1/(1+Dashboard!$D$15)^(O$7-2020),1)</f>
        <v>8.9887687406738976</v>
      </c>
      <c r="P17" s="247">
        <f ca="1">'3.5 Costs and Peak Demand'!M13*MIN(1/(1+Dashboard!$D$15)^(P$7-2020),1)</f>
        <v>15.691396120536394</v>
      </c>
      <c r="Q17" s="247">
        <f ca="1">'3.5 Costs and Peak Demand'!N13*MIN(1/(1+Dashboard!$D$15)^(Q$7-2020),1)</f>
        <v>34.053773858959644</v>
      </c>
      <c r="R17" s="247">
        <f ca="1">'3.5 Costs and Peak Demand'!O13*MIN(1/(1+Dashboard!$D$15)^(R$7-2020),1)</f>
        <v>38.792954534202337</v>
      </c>
      <c r="S17" s="247">
        <f ca="1">'3.5 Costs and Peak Demand'!P13*MIN(1/(1+Dashboard!$D$15)^(S$7-2020),1)</f>
        <v>36.303349535286266</v>
      </c>
      <c r="T17" s="247">
        <f ca="1">'3.5 Costs and Peak Demand'!Q13*MIN(1/(1+Dashboard!$D$15)^(T$7-2020),1)</f>
        <v>40.285077547122121</v>
      </c>
      <c r="U17" s="247">
        <f ca="1">'3.5 Costs and Peak Demand'!R13*MIN(1/(1+Dashboard!$D$15)^(U$7-2020),1)</f>
        <v>39.246526313140059</v>
      </c>
      <c r="V17" s="247">
        <f ca="1">'3.5 Costs and Peak Demand'!S13*MIN(1/(1+Dashboard!$D$15)^(V$7-2020),1)</f>
        <v>39.934085355985935</v>
      </c>
      <c r="W17" s="247">
        <f ca="1">'3.5 Costs and Peak Demand'!T13*MIN(1/(1+Dashboard!$D$15)^(W$7-2020),1)</f>
        <v>37.041525217857945</v>
      </c>
      <c r="X17" s="247">
        <f ca="1">'3.5 Costs and Peak Demand'!U13*MIN(1/(1+Dashboard!$D$15)^(X$7-2020),1)</f>
        <v>34.264716207092505</v>
      </c>
      <c r="Y17" s="247">
        <f ca="1">'3.5 Costs and Peak Demand'!V13*MIN(1/(1+Dashboard!$D$15)^(Y$7-2020),1)</f>
        <v>31.789391420743378</v>
      </c>
      <c r="Z17" s="247">
        <f ca="1">'3.5 Costs and Peak Demand'!W13*MIN(1/(1+Dashboard!$D$15)^(Z$7-2020),1)</f>
        <v>27.235471277422793</v>
      </c>
      <c r="AA17" s="247">
        <f ca="1">'3.5 Costs and Peak Demand'!X13*MIN(1/(1+Dashboard!$D$15)^(AA$7-2020),1)</f>
        <v>23.338017123071502</v>
      </c>
      <c r="AB17" s="247">
        <f ca="1">'3.5 Costs and Peak Demand'!Y13*MIN(1/(1+Dashboard!$D$15)^(AB$7-2020),1)</f>
        <v>25.732979572215342</v>
      </c>
      <c r="AC17" s="247">
        <f ca="1">'3.5 Costs and Peak Demand'!Z13*MIN(1/(1+Dashboard!$D$15)^(AC$7-2020),1)</f>
        <v>19.039337697340457</v>
      </c>
      <c r="AD17" s="247">
        <f ca="1">'3.5 Costs and Peak Demand'!AA13*MIN(1/(1+Dashboard!$D$15)^(AD$7-2020),1)</f>
        <v>18.279932131987493</v>
      </c>
      <c r="AE17" s="247">
        <f ca="1">'3.5 Costs and Peak Demand'!AB13*MIN(1/(1+Dashboard!$D$15)^(AE$7-2020),1)</f>
        <v>15.852740778769254</v>
      </c>
      <c r="AF17" s="247">
        <f ca="1">'3.5 Costs and Peak Demand'!AC13*MIN(1/(1+Dashboard!$D$15)^(AF$7-2020),1)</f>
        <v>26.113585291551058</v>
      </c>
      <c r="AG17" s="247">
        <f ca="1">'3.5 Costs and Peak Demand'!AD13*MIN(1/(1+Dashboard!$D$15)^(AG$7-2020),1)</f>
        <v>26.531071788917583</v>
      </c>
      <c r="AH17" s="247">
        <f ca="1">'3.5 Costs and Peak Demand'!AE13*MIN(1/(1+Dashboard!$D$15)^(AH$7-2020),1)</f>
        <v>24.470957164200097</v>
      </c>
      <c r="AI17" s="247">
        <f ca="1">'3.5 Costs and Peak Demand'!AF13*MIN(1/(1+Dashboard!$D$15)^(AI$7-2020),1)</f>
        <v>25.310485982199776</v>
      </c>
      <c r="AJ17" s="247">
        <f ca="1">'3.5 Costs and Peak Demand'!AG13*MIN(1/(1+Dashboard!$D$15)^(AJ$7-2020),1)</f>
        <v>25.763775948285616</v>
      </c>
      <c r="AK17" s="247">
        <f ca="1">'3.5 Costs and Peak Demand'!AH13*MIN(1/(1+Dashboard!$D$15)^(AK$7-2020),1)</f>
        <v>25.664261678392815</v>
      </c>
      <c r="AL17" s="247">
        <f ca="1">'3.5 Costs and Peak Demand'!AI13*MIN(1/(1+Dashboard!$D$15)^(AL$7-2020),1)</f>
        <v>23.888866704489498</v>
      </c>
      <c r="AM17" s="247">
        <f ca="1">'3.5 Costs and Peak Demand'!AJ13*MIN(1/(1+Dashboard!$D$15)^(AM$7-2020),1)</f>
        <v>22.301262954969296</v>
      </c>
      <c r="AN17" s="247">
        <f ca="1">'3.5 Costs and Peak Demand'!AK13*MIN(1/(1+Dashboard!$D$15)^(AN$7-2020),1)</f>
        <v>20.898362603885804</v>
      </c>
      <c r="AO17" s="247">
        <f ca="1">'3.5 Costs and Peak Demand'!AL13*MIN(1/(1+Dashboard!$D$15)^(AO$7-2020),1)</f>
        <v>16.515321570694269</v>
      </c>
      <c r="AP17" s="247">
        <f ca="1">'3.5 Costs and Peak Demand'!AM13*MIN(1/(1+Dashboard!$D$15)^(AP$7-2020),1)</f>
        <v>14.290507569369474</v>
      </c>
      <c r="AQ17" s="247">
        <f ca="1">'3.5 Costs and Peak Demand'!AN13*MIN(1/(1+Dashboard!$D$15)^(AQ$7-2020),1)</f>
        <v>12.84563864832127</v>
      </c>
      <c r="AR17" s="247">
        <f ca="1">'3.5 Costs and Peak Demand'!AO13*MIN(1/(1+Dashboard!$D$15)^(AR$7-2020),1)</f>
        <v>10.85250497141447</v>
      </c>
      <c r="AS17" s="247">
        <f ca="1">'3.5 Costs and Peak Demand'!AP13*MIN(1/(1+Dashboard!$D$15)^(AS$7-2020),1)</f>
        <v>9.3903634592062772</v>
      </c>
      <c r="AT17" s="313"/>
      <c r="AU17" s="313"/>
    </row>
    <row r="18" spans="1:47" s="229" customFormat="1">
      <c r="A18" s="229">
        <v>11</v>
      </c>
      <c r="B18" s="229" t="str">
        <f t="shared" si="1"/>
        <v>11Capital and Maintenance Costs</v>
      </c>
      <c r="C18" s="234" t="s">
        <v>306</v>
      </c>
      <c r="E18" t="str">
        <f ca="1">IF(SUM(J18:AS18)=0,"",'2.8 Costs'!$E14)</f>
        <v>Hydrogen Refuelling</v>
      </c>
      <c r="F18" s="313"/>
      <c r="G18" s="234"/>
      <c r="H18" s="234"/>
      <c r="I18" s="313"/>
      <c r="J18" s="247">
        <f ca="1">'3.5 Costs and Peak Demand'!G14*MIN(1/(1+Dashboard!$D$15)^(J$7-2020),1)</f>
        <v>0</v>
      </c>
      <c r="K18" s="247">
        <f ca="1">'3.5 Costs and Peak Demand'!H14*MIN(1/(1+Dashboard!$D$15)^(K$7-2020),1)</f>
        <v>0</v>
      </c>
      <c r="L18" s="247">
        <f ca="1">'3.5 Costs and Peak Demand'!I14*MIN(1/(1+Dashboard!$D$15)^(L$7-2020),1)</f>
        <v>0</v>
      </c>
      <c r="M18" s="247">
        <f ca="1">'3.5 Costs and Peak Demand'!J14*MIN(1/(1+Dashboard!$D$15)^(M$7-2020),1)</f>
        <v>0</v>
      </c>
      <c r="N18" s="247">
        <f ca="1">'3.5 Costs and Peak Demand'!K14*MIN(1/(1+Dashboard!$D$15)^(N$7-2020),1)</f>
        <v>0</v>
      </c>
      <c r="O18" s="247">
        <f ca="1">'3.5 Costs and Peak Demand'!L14*MIN(1/(1+Dashboard!$D$15)^(O$7-2020),1)</f>
        <v>0.24107485067850767</v>
      </c>
      <c r="P18" s="247">
        <f ca="1">'3.5 Costs and Peak Demand'!M14*MIN(1/(1+Dashboard!$D$15)^(P$7-2020),1)</f>
        <v>0</v>
      </c>
      <c r="Q18" s="247">
        <f ca="1">'3.5 Costs and Peak Demand'!N14*MIN(1/(1+Dashboard!$D$15)^(Q$7-2020),1)</f>
        <v>0</v>
      </c>
      <c r="R18" s="247">
        <f ca="1">'3.5 Costs and Peak Demand'!O14*MIN(1/(1+Dashboard!$D$15)^(R$7-2020),1)</f>
        <v>0</v>
      </c>
      <c r="S18" s="247">
        <f ca="1">'3.5 Costs and Peak Demand'!P14*MIN(1/(1+Dashboard!$D$15)^(S$7-2020),1)</f>
        <v>0</v>
      </c>
      <c r="T18" s="247">
        <f ca="1">'3.5 Costs and Peak Demand'!Q14*MIN(1/(1+Dashboard!$D$15)^(T$7-2020),1)</f>
        <v>0.18854473681429235</v>
      </c>
      <c r="U18" s="247">
        <f ca="1">'3.5 Costs and Peak Demand'!R14*MIN(1/(1+Dashboard!$D$15)^(U$7-2020),1)</f>
        <v>1.1750724347625832</v>
      </c>
      <c r="V18" s="247">
        <f ca="1">'3.5 Costs and Peak Demand'!S14*MIN(1/(1+Dashboard!$D$15)^(V$7-2020),1)</f>
        <v>0.78129501015620528</v>
      </c>
      <c r="W18" s="247">
        <f ca="1">'3.5 Costs and Peak Demand'!T14*MIN(1/(1+Dashboard!$D$15)^(W$7-2020),1)</f>
        <v>0.16164741614480255</v>
      </c>
      <c r="X18" s="247">
        <f ca="1">'3.5 Costs and Peak Demand'!U14*MIN(1/(1+Dashboard!$D$15)^(X$7-2020),1)</f>
        <v>0.15347506041823505</v>
      </c>
      <c r="Y18" s="247">
        <f ca="1">'3.5 Costs and Peak Demand'!V14*MIN(1/(1+Dashboard!$D$15)^(Y$7-2020),1)</f>
        <v>0</v>
      </c>
      <c r="Z18" s="247">
        <f ca="1">'3.5 Costs and Peak Demand'!W14*MIN(1/(1+Dashboard!$D$15)^(Z$7-2020),1)</f>
        <v>0.14736890321114535</v>
      </c>
      <c r="AA18" s="247">
        <f ca="1">'3.5 Costs and Peak Demand'!X14*MIN(1/(1+Dashboard!$D$15)^(AA$7-2020),1)</f>
        <v>0.95803519013849581</v>
      </c>
      <c r="AB18" s="247">
        <f ca="1">'3.5 Costs and Peak Demand'!Y14*MIN(1/(1+Dashboard!$D$15)^(AB$7-2020),1)</f>
        <v>0.14993633101954948</v>
      </c>
      <c r="AC18" s="247">
        <f ca="1">'3.5 Costs and Peak Demand'!Z14*MIN(1/(1+Dashboard!$D$15)^(AC$7-2020),1)</f>
        <v>0.1508398768163205</v>
      </c>
      <c r="AD18" s="247">
        <f ca="1">'3.5 Costs and Peak Demand'!AA14*MIN(1/(1+Dashboard!$D$15)^(AD$7-2020),1)</f>
        <v>0.30302170690608227</v>
      </c>
      <c r="AE18" s="247">
        <f ca="1">'3.5 Costs and Peak Demand'!AB14*MIN(1/(1+Dashboard!$D$15)^(AE$7-2020),1)</f>
        <v>0.15196395699453863</v>
      </c>
      <c r="AF18" s="247">
        <f ca="1">'3.5 Costs and Peak Demand'!AC14*MIN(1/(1+Dashboard!$D$15)^(AF$7-2020),1)</f>
        <v>0.4566394665704791</v>
      </c>
      <c r="AG18" s="247">
        <f ca="1">'3.5 Costs and Peak Demand'!AD14*MIN(1/(1+Dashboard!$D$15)^(AG$7-2020),1)</f>
        <v>0.15227172157025082</v>
      </c>
      <c r="AH18" s="247">
        <f ca="1">'3.5 Costs and Peak Demand'!AE14*MIN(1/(1+Dashboard!$D$15)^(AH$7-2020),1)</f>
        <v>0.30430452636360467</v>
      </c>
      <c r="AI18" s="247">
        <f ca="1">'3.5 Costs and Peak Demand'!AF14*MIN(1/(1+Dashboard!$D$15)^(AI$7-2020),1)</f>
        <v>1.2220211446509588</v>
      </c>
      <c r="AJ18" s="247">
        <f ca="1">'3.5 Costs and Peak Demand'!AG14*MIN(1/(1+Dashboard!$D$15)^(AJ$7-2020),1)</f>
        <v>0.58692465192222143</v>
      </c>
      <c r="AK18" s="247">
        <f ca="1">'3.5 Costs and Peak Demand'!AH14*MIN(1/(1+Dashboard!$D$15)^(AK$7-2020),1)</f>
        <v>0.70884619797369741</v>
      </c>
      <c r="AL18" s="247">
        <f ca="1">'3.5 Costs and Peak Demand'!AI14*MIN(1/(1+Dashboard!$D$15)^(AL$7-2020),1)</f>
        <v>0.54790044287822026</v>
      </c>
      <c r="AM18" s="247">
        <f ca="1">'3.5 Costs and Peak Demand'!AJ14*MIN(1/(1+Dashboard!$D$15)^(AM$7-2020),1)</f>
        <v>0.66171551072248835</v>
      </c>
      <c r="AN18" s="247">
        <f ca="1">'3.5 Costs and Peak Demand'!AK14*MIN(1/(1+Dashboard!$D$15)^(AN$7-2020),1)</f>
        <v>0.63933865770288734</v>
      </c>
      <c r="AO18" s="247">
        <f ca="1">'3.5 Costs and Peak Demand'!AL14*MIN(1/(1+Dashboard!$D$15)^(AO$7-2020),1)</f>
        <v>1.2412023924743976</v>
      </c>
      <c r="AP18" s="247">
        <f ca="1">'3.5 Costs and Peak Demand'!AM14*MIN(1/(1+Dashboard!$D$15)^(AP$7-2020),1)</f>
        <v>0.86977949278536981</v>
      </c>
      <c r="AQ18" s="247">
        <f ca="1">'3.5 Costs and Peak Demand'!AN14*MIN(1/(1+Dashboard!$D$15)^(AQ$7-2020),1)</f>
        <v>0.69197620652004432</v>
      </c>
      <c r="AR18" s="247">
        <f ca="1">'3.5 Costs and Peak Demand'!AO14*MIN(1/(1+Dashboard!$D$15)^(AR$7-2020),1)</f>
        <v>0.44571736329793538</v>
      </c>
      <c r="AS18" s="247">
        <f ca="1">'3.5 Costs and Peak Demand'!AP14*MIN(1/(1+Dashboard!$D$15)^(AS$7-2020),1)</f>
        <v>0.43064479545694234</v>
      </c>
      <c r="AT18" s="313"/>
      <c r="AU18" s="313"/>
    </row>
    <row r="19" spans="1:47" s="229" customFormat="1">
      <c r="A19" s="229">
        <v>12</v>
      </c>
      <c r="B19" s="229" t="str">
        <f t="shared" si="1"/>
        <v>12</v>
      </c>
      <c r="C19" s="234"/>
      <c r="F19" s="313"/>
      <c r="G19" s="234"/>
      <c r="H19" s="234"/>
      <c r="I19" s="313"/>
      <c r="J19" s="247"/>
      <c r="K19" s="247"/>
      <c r="L19" s="247"/>
      <c r="M19" s="247"/>
      <c r="N19" s="247"/>
      <c r="O19" s="247"/>
      <c r="P19" s="247"/>
      <c r="Q19" s="247"/>
      <c r="R19" s="247"/>
      <c r="S19" s="247"/>
      <c r="T19" s="247"/>
      <c r="U19" s="247"/>
      <c r="V19" s="247"/>
      <c r="W19" s="247"/>
      <c r="X19" s="247"/>
      <c r="Y19" s="247"/>
      <c r="Z19" s="247"/>
      <c r="AA19" s="247"/>
      <c r="AB19" s="247"/>
      <c r="AC19" s="247"/>
      <c r="AD19" s="247"/>
      <c r="AE19" s="247"/>
      <c r="AF19" s="247"/>
      <c r="AG19" s="247"/>
      <c r="AH19" s="247"/>
      <c r="AI19" s="247"/>
      <c r="AJ19" s="247"/>
      <c r="AK19" s="247"/>
      <c r="AL19" s="247"/>
      <c r="AM19" s="247"/>
      <c r="AN19" s="247"/>
      <c r="AO19" s="247"/>
      <c r="AP19" s="247"/>
      <c r="AQ19" s="247"/>
      <c r="AR19" s="247"/>
      <c r="AS19" s="247"/>
      <c r="AT19" s="313"/>
      <c r="AU19" s="313"/>
    </row>
    <row r="20" spans="1:47" s="229" customFormat="1">
      <c r="A20" s="229">
        <v>13</v>
      </c>
      <c r="B20" s="229" t="str">
        <f t="shared" si="1"/>
        <v>13</v>
      </c>
      <c r="C20" s="234"/>
      <c r="E20"/>
      <c r="F20" s="313"/>
      <c r="G20" s="234"/>
      <c r="H20" s="234"/>
      <c r="I20" s="313"/>
      <c r="J20" s="247"/>
      <c r="K20" s="247"/>
      <c r="L20" s="247"/>
      <c r="M20" s="247"/>
      <c r="N20" s="247"/>
      <c r="O20" s="247"/>
      <c r="P20" s="247"/>
      <c r="Q20" s="247"/>
      <c r="R20" s="247"/>
      <c r="S20" s="247"/>
      <c r="T20" s="247"/>
      <c r="U20" s="247"/>
      <c r="V20" s="247"/>
      <c r="W20" s="247"/>
      <c r="X20" s="247"/>
      <c r="Y20" s="247"/>
      <c r="Z20" s="247"/>
      <c r="AA20" s="247"/>
      <c r="AB20" s="247"/>
      <c r="AC20" s="247"/>
      <c r="AD20" s="247"/>
      <c r="AE20" s="247"/>
      <c r="AF20" s="247"/>
      <c r="AG20" s="247"/>
      <c r="AH20" s="247"/>
      <c r="AI20" s="247"/>
      <c r="AJ20" s="247"/>
      <c r="AK20" s="247"/>
      <c r="AL20" s="247"/>
      <c r="AM20" s="247"/>
      <c r="AN20" s="247"/>
      <c r="AO20" s="247"/>
      <c r="AP20" s="247"/>
      <c r="AQ20" s="247"/>
      <c r="AR20" s="247"/>
      <c r="AS20" s="247"/>
      <c r="AT20" s="313"/>
      <c r="AU20" s="313"/>
    </row>
    <row r="21" spans="1:47" s="229" customFormat="1">
      <c r="A21" s="229" t="s">
        <v>208</v>
      </c>
      <c r="B21" s="229" t="str">
        <f t="shared" si="1"/>
        <v>NCapital and Maintenance Costs</v>
      </c>
      <c r="C21" s="234" t="s">
        <v>306</v>
      </c>
      <c r="E21" s="299"/>
      <c r="F21" s="313"/>
      <c r="G21" s="234"/>
      <c r="H21" s="234"/>
      <c r="I21" s="313"/>
      <c r="J21" s="313"/>
      <c r="K21" s="313"/>
      <c r="L21" s="313"/>
      <c r="M21" s="313"/>
      <c r="N21" s="313"/>
      <c r="O21" s="313"/>
      <c r="P21" s="313"/>
      <c r="Q21" s="313"/>
      <c r="R21" s="313"/>
      <c r="S21" s="313"/>
      <c r="T21" s="313"/>
      <c r="U21" s="313"/>
      <c r="V21" s="313"/>
      <c r="W21" s="313"/>
      <c r="X21" s="313"/>
      <c r="Y21" s="313"/>
      <c r="Z21" s="313"/>
      <c r="AA21" s="313"/>
      <c r="AB21" s="313"/>
      <c r="AC21" s="313"/>
      <c r="AD21" s="313"/>
      <c r="AE21" s="313"/>
      <c r="AF21" s="313"/>
      <c r="AG21" s="313"/>
      <c r="AH21" s="313"/>
      <c r="AI21" s="313"/>
      <c r="AJ21" s="313"/>
      <c r="AK21" s="313"/>
      <c r="AL21" s="313"/>
      <c r="AM21" s="313"/>
      <c r="AN21" s="313"/>
      <c r="AO21" s="313"/>
      <c r="AP21" s="313"/>
      <c r="AQ21" s="313"/>
      <c r="AR21" s="313"/>
      <c r="AS21" s="313"/>
      <c r="AT21" s="313"/>
      <c r="AU21" s="313"/>
    </row>
    <row r="22" spans="1:47" s="240" customFormat="1">
      <c r="D22" s="241" t="s">
        <v>310</v>
      </c>
      <c r="E22" s="242"/>
    </row>
    <row r="23" spans="1:47" s="229" customFormat="1">
      <c r="A23" s="229">
        <v>0</v>
      </c>
      <c r="B23" s="229" t="str">
        <f>A23&amp;C23</f>
        <v>0Fuel Costs</v>
      </c>
      <c r="C23" s="234" t="s">
        <v>303</v>
      </c>
      <c r="E23" s="229" t="s">
        <v>309</v>
      </c>
      <c r="F23" s="313"/>
      <c r="G23" s="234"/>
      <c r="H23" s="234"/>
      <c r="I23" s="313"/>
      <c r="AT23" s="313"/>
      <c r="AU23" s="313"/>
    </row>
    <row r="24" spans="1:47" s="229" customFormat="1">
      <c r="A24" s="229">
        <v>1</v>
      </c>
      <c r="B24" s="229" t="str">
        <f t="shared" ref="B24:B29" si="2">A24&amp;C24</f>
        <v>1Fuel Costs</v>
      </c>
      <c r="C24" s="234" t="s">
        <v>303</v>
      </c>
      <c r="E24" t="str">
        <f ca="1">IF(SUM(J24:AS24)=0,"",'2.8 Costs'!$E15)</f>
        <v>Gas (including bio gas) Fuel Cost</v>
      </c>
      <c r="F24" s="313"/>
      <c r="G24" s="234"/>
      <c r="H24" s="234"/>
      <c r="I24" s="313"/>
      <c r="J24" s="247">
        <f ca="1">'3.5 Costs and Peak Demand'!G15*MIN(1/(1+Dashboard!$D$15)^(J$7-2020),1)</f>
        <v>808.74728579924101</v>
      </c>
      <c r="K24" s="247">
        <f ca="1">'3.5 Costs and Peak Demand'!H15*MIN(1/(1+Dashboard!$D$15)^(K$7-2020),1)</f>
        <v>711.82590710974671</v>
      </c>
      <c r="L24" s="247">
        <f ca="1">'3.5 Costs and Peak Demand'!I15*MIN(1/(1+Dashboard!$D$15)^(L$7-2020),1)</f>
        <v>670.1906807325131</v>
      </c>
      <c r="M24" s="247">
        <f ca="1">'3.5 Costs and Peak Demand'!J15*MIN(1/(1+Dashboard!$D$15)^(M$7-2020),1)</f>
        <v>684.68116758467465</v>
      </c>
      <c r="N24" s="247">
        <f ca="1">'3.5 Costs and Peak Demand'!K15*MIN(1/(1+Dashboard!$D$15)^(N$7-2020),1)</f>
        <v>689.0534618584868</v>
      </c>
      <c r="O24" s="247">
        <f ca="1">'3.5 Costs and Peak Demand'!L15*MIN(1/(1+Dashboard!$D$15)^(O$7-2020),1)</f>
        <v>612.34857083685961</v>
      </c>
      <c r="P24" s="247">
        <f ca="1">'3.5 Costs and Peak Demand'!M15*MIN(1/(1+Dashboard!$D$15)^(P$7-2020),1)</f>
        <v>625.37390167085221</v>
      </c>
      <c r="Q24" s="247">
        <f ca="1">'3.5 Costs and Peak Demand'!N15*MIN(1/(1+Dashboard!$D$15)^(Q$7-2020),1)</f>
        <v>603.71800859383347</v>
      </c>
      <c r="R24" s="247">
        <f ca="1">'3.5 Costs and Peak Demand'!O15*MIN(1/(1+Dashboard!$D$15)^(R$7-2020),1)</f>
        <v>554.55911144622462</v>
      </c>
      <c r="S24" s="247">
        <f ca="1">'3.5 Costs and Peak Demand'!P15*MIN(1/(1+Dashboard!$D$15)^(S$7-2020),1)</f>
        <v>497.99938815106833</v>
      </c>
      <c r="T24" s="247">
        <f ca="1">'3.5 Costs and Peak Demand'!Q15*MIN(1/(1+Dashboard!$D$15)^(T$7-2020),1)</f>
        <v>442.97027612888866</v>
      </c>
      <c r="U24" s="247">
        <f ca="1">'3.5 Costs and Peak Demand'!R15*MIN(1/(1+Dashboard!$D$15)^(U$7-2020),1)</f>
        <v>384.5940482895154</v>
      </c>
      <c r="V24" s="247">
        <f ca="1">'3.5 Costs and Peak Demand'!S15*MIN(1/(1+Dashboard!$D$15)^(V$7-2020),1)</f>
        <v>328.65077786637949</v>
      </c>
      <c r="W24" s="247">
        <f ca="1">'3.5 Costs and Peak Demand'!T15*MIN(1/(1+Dashboard!$D$15)^(W$7-2020),1)</f>
        <v>280.98316040522025</v>
      </c>
      <c r="X24" s="247">
        <f ca="1">'3.5 Costs and Peak Demand'!U15*MIN(1/(1+Dashboard!$D$15)^(X$7-2020),1)</f>
        <v>240.89225849791234</v>
      </c>
      <c r="Y24" s="247">
        <f ca="1">'3.5 Costs and Peak Demand'!V15*MIN(1/(1+Dashboard!$D$15)^(Y$7-2020),1)</f>
        <v>208.26160595533258</v>
      </c>
      <c r="Z24" s="247">
        <f ca="1">'3.5 Costs and Peak Demand'!W15*MIN(1/(1+Dashboard!$D$15)^(Z$7-2020),1)</f>
        <v>179.12401573807512</v>
      </c>
      <c r="AA24" s="247">
        <f ca="1">'3.5 Costs and Peak Demand'!X15*MIN(1/(1+Dashboard!$D$15)^(AA$7-2020),1)</f>
        <v>152.79734526710561</v>
      </c>
      <c r="AB24" s="247">
        <f ca="1">'3.5 Costs and Peak Demand'!Y15*MIN(1/(1+Dashboard!$D$15)^(AB$7-2020),1)</f>
        <v>129.0420991470279</v>
      </c>
      <c r="AC24" s="247">
        <f ca="1">'3.5 Costs and Peak Demand'!Z15*MIN(1/(1+Dashboard!$D$15)^(AC$7-2020),1)</f>
        <v>107.7867513538158</v>
      </c>
      <c r="AD24" s="247">
        <f ca="1">'3.5 Costs and Peak Demand'!AA15*MIN(1/(1+Dashboard!$D$15)^(AD$7-2020),1)</f>
        <v>90.239249966124831</v>
      </c>
      <c r="AE24" s="247">
        <f ca="1">'3.5 Costs and Peak Demand'!AB15*MIN(1/(1+Dashboard!$D$15)^(AE$7-2020),1)</f>
        <v>70.176096497262535</v>
      </c>
      <c r="AF24" s="247">
        <f ca="1">'3.5 Costs and Peak Demand'!AC15*MIN(1/(1+Dashboard!$D$15)^(AF$7-2020),1)</f>
        <v>55.324575572746191</v>
      </c>
      <c r="AG24" s="247">
        <f ca="1">'3.5 Costs and Peak Demand'!AD15*MIN(1/(1+Dashboard!$D$15)^(AG$7-2020),1)</f>
        <v>45.073463213374843</v>
      </c>
      <c r="AH24" s="247">
        <f ca="1">'3.5 Costs and Peak Demand'!AE15*MIN(1/(1+Dashboard!$D$15)^(AH$7-2020),1)</f>
        <v>40.49684974273196</v>
      </c>
      <c r="AI24" s="247">
        <f ca="1">'3.5 Costs and Peak Demand'!AF15*MIN(1/(1+Dashboard!$D$15)^(AI$7-2020),1)</f>
        <v>36.277882162446673</v>
      </c>
      <c r="AJ24" s="247">
        <f ca="1">'3.5 Costs and Peak Demand'!AG15*MIN(1/(1+Dashboard!$D$15)^(AJ$7-2020),1)</f>
        <v>32.256977217312233</v>
      </c>
      <c r="AK24" s="247">
        <f ca="1">'3.5 Costs and Peak Demand'!AH15*MIN(1/(1+Dashboard!$D$15)^(AK$7-2020),1)</f>
        <v>28.602130637187589</v>
      </c>
      <c r="AL24" s="247">
        <f ca="1">'3.5 Costs and Peak Demand'!AI15*MIN(1/(1+Dashboard!$D$15)^(AL$7-2020),1)</f>
        <v>25.287088251242398</v>
      </c>
      <c r="AM24" s="247">
        <f ca="1">'3.5 Costs and Peak Demand'!AJ15*MIN(1/(1+Dashboard!$D$15)^(AM$7-2020),1)</f>
        <v>22.28721298374326</v>
      </c>
      <c r="AN24" s="247">
        <f ca="1">'3.5 Costs and Peak Demand'!AK15*MIN(1/(1+Dashboard!$D$15)^(AN$7-2020),1)</f>
        <v>19.579419733170553</v>
      </c>
      <c r="AO24" s="247">
        <f ca="1">'3.5 Costs and Peak Demand'!AL15*MIN(1/(1+Dashboard!$D$15)^(AO$7-2020),1)</f>
        <v>17.355468753089852</v>
      </c>
      <c r="AP24" s="247">
        <f ca="1">'3.5 Costs and Peak Demand'!AM15*MIN(1/(1+Dashboard!$D$15)^(AP$7-2020),1)</f>
        <v>13.621659011406265</v>
      </c>
      <c r="AQ24" s="247">
        <f ca="1">'3.5 Costs and Peak Demand'!AN15*MIN(1/(1+Dashboard!$D$15)^(AQ$7-2020),1)</f>
        <v>8.7982291382224087</v>
      </c>
      <c r="AR24" s="247">
        <f ca="1">'3.5 Costs and Peak Demand'!AO15*MIN(1/(1+Dashboard!$D$15)^(AR$7-2020),1)</f>
        <v>4.263003301933554</v>
      </c>
      <c r="AS24" s="247">
        <f ca="1">'3.5 Costs and Peak Demand'!AP15*MIN(1/(1+Dashboard!$D$15)^(AS$7-2020),1)</f>
        <v>0</v>
      </c>
      <c r="AT24" s="313"/>
      <c r="AU24" s="313"/>
    </row>
    <row r="25" spans="1:47" s="229" customFormat="1">
      <c r="A25" s="229">
        <v>2</v>
      </c>
      <c r="B25" s="229" t="str">
        <f t="shared" si="2"/>
        <v>2Fuel Costs</v>
      </c>
      <c r="C25" s="234" t="s">
        <v>303</v>
      </c>
      <c r="E25" t="str">
        <f ca="1">IF(SUM(J25:AS25)=0,"",'2.8 Costs'!$E16)</f>
        <v>Petrol and diesel costs</v>
      </c>
      <c r="F25" s="313"/>
      <c r="G25" s="234"/>
      <c r="H25" s="234"/>
      <c r="I25" s="313"/>
      <c r="J25" s="247">
        <f ca="1">'3.5 Costs and Peak Demand'!G16*MIN(1/(1+Dashboard!$D$15)^(J$7-2020),1)</f>
        <v>797.55293905763608</v>
      </c>
      <c r="K25" s="247">
        <f ca="1">'3.5 Costs and Peak Demand'!H16*MIN(1/(1+Dashboard!$D$15)^(K$7-2020),1)</f>
        <v>760.86967397812555</v>
      </c>
      <c r="L25" s="247">
        <f ca="1">'3.5 Costs and Peak Demand'!I16*MIN(1/(1+Dashboard!$D$15)^(L$7-2020),1)</f>
        <v>795.70842568132582</v>
      </c>
      <c r="M25" s="247">
        <f ca="1">'3.5 Costs and Peak Demand'!J16*MIN(1/(1+Dashboard!$D$15)^(M$7-2020),1)</f>
        <v>820.47114442704174</v>
      </c>
      <c r="N25" s="247">
        <f ca="1">'3.5 Costs and Peak Demand'!K16*MIN(1/(1+Dashboard!$D$15)^(N$7-2020),1)</f>
        <v>753.36120460029815</v>
      </c>
      <c r="O25" s="247">
        <f ca="1">'3.5 Costs and Peak Demand'!L16*MIN(1/(1+Dashboard!$D$15)^(O$7-2020),1)</f>
        <v>695.64723417978848</v>
      </c>
      <c r="P25" s="247">
        <f ca="1">'3.5 Costs and Peak Demand'!M16*MIN(1/(1+Dashboard!$D$15)^(P$7-2020),1)</f>
        <v>669.17514414296841</v>
      </c>
      <c r="Q25" s="247">
        <f ca="1">'3.5 Costs and Peak Demand'!N16*MIN(1/(1+Dashboard!$D$15)^(Q$7-2020),1)</f>
        <v>629.42524947832214</v>
      </c>
      <c r="R25" s="247">
        <f ca="1">'3.5 Costs and Peak Demand'!O16*MIN(1/(1+Dashboard!$D$15)^(R$7-2020),1)</f>
        <v>590.08234446767676</v>
      </c>
      <c r="S25" s="247">
        <f ca="1">'3.5 Costs and Peak Demand'!P16*MIN(1/(1+Dashboard!$D$15)^(S$7-2020),1)</f>
        <v>546.84135363663324</v>
      </c>
      <c r="T25" s="247">
        <f ca="1">'3.5 Costs and Peak Demand'!Q16*MIN(1/(1+Dashboard!$D$15)^(T$7-2020),1)</f>
        <v>501.64579036433565</v>
      </c>
      <c r="U25" s="247">
        <f ca="1">'3.5 Costs and Peak Demand'!R16*MIN(1/(1+Dashboard!$D$15)^(U$7-2020),1)</f>
        <v>458.91829203709386</v>
      </c>
      <c r="V25" s="247">
        <f ca="1">'3.5 Costs and Peak Demand'!S16*MIN(1/(1+Dashboard!$D$15)^(V$7-2020),1)</f>
        <v>411.93265478243484</v>
      </c>
      <c r="W25" s="247">
        <f ca="1">'3.5 Costs and Peak Demand'!T16*MIN(1/(1+Dashboard!$D$15)^(W$7-2020),1)</f>
        <v>367.40835807617219</v>
      </c>
      <c r="X25" s="247">
        <f ca="1">'3.5 Costs and Peak Demand'!U16*MIN(1/(1+Dashboard!$D$15)^(X$7-2020),1)</f>
        <v>324.96416096404283</v>
      </c>
      <c r="Y25" s="247">
        <f ca="1">'3.5 Costs and Peak Demand'!V16*MIN(1/(1+Dashboard!$D$15)^(Y$7-2020),1)</f>
        <v>283.52099076224886</v>
      </c>
      <c r="Z25" s="247">
        <f ca="1">'3.5 Costs and Peak Demand'!W16*MIN(1/(1+Dashboard!$D$15)^(Z$7-2020),1)</f>
        <v>246.60430702409886</v>
      </c>
      <c r="AA25" s="247">
        <f ca="1">'3.5 Costs and Peak Demand'!X16*MIN(1/(1+Dashboard!$D$15)^(AA$7-2020),1)</f>
        <v>212.38265933988896</v>
      </c>
      <c r="AB25" s="247">
        <f ca="1">'3.5 Costs and Peak Demand'!Y16*MIN(1/(1+Dashboard!$D$15)^(AB$7-2020),1)</f>
        <v>181.32536705484017</v>
      </c>
      <c r="AC25" s="247">
        <f ca="1">'3.5 Costs and Peak Demand'!Z16*MIN(1/(1+Dashboard!$D$15)^(AC$7-2020),1)</f>
        <v>154.24799743455847</v>
      </c>
      <c r="AD25" s="247">
        <f ca="1">'3.5 Costs and Peak Demand'!AA16*MIN(1/(1+Dashboard!$D$15)^(AD$7-2020),1)</f>
        <v>129.74027023973804</v>
      </c>
      <c r="AE25" s="247">
        <f ca="1">'3.5 Costs and Peak Demand'!AB16*MIN(1/(1+Dashboard!$D$15)^(AE$7-2020),1)</f>
        <v>106.56427083766911</v>
      </c>
      <c r="AF25" s="247">
        <f ca="1">'3.5 Costs and Peak Demand'!AC16*MIN(1/(1+Dashboard!$D$15)^(AF$7-2020),1)</f>
        <v>86.290358551327415</v>
      </c>
      <c r="AG25" s="247">
        <f ca="1">'3.5 Costs and Peak Demand'!AD16*MIN(1/(1+Dashboard!$D$15)^(AG$7-2020),1)</f>
        <v>68.781948633738452</v>
      </c>
      <c r="AH25" s="247">
        <f ca="1">'3.5 Costs and Peak Demand'!AE16*MIN(1/(1+Dashboard!$D$15)^(AH$7-2020),1)</f>
        <v>53.51000568285815</v>
      </c>
      <c r="AI25" s="247">
        <f ca="1">'3.5 Costs and Peak Demand'!AF16*MIN(1/(1+Dashboard!$D$15)^(AI$7-2020),1)</f>
        <v>40.292136636745852</v>
      </c>
      <c r="AJ25" s="247">
        <f ca="1">'3.5 Costs and Peak Demand'!AG16*MIN(1/(1+Dashboard!$D$15)^(AJ$7-2020),1)</f>
        <v>31.994651172161554</v>
      </c>
      <c r="AK25" s="247">
        <f ca="1">'3.5 Costs and Peak Demand'!AH16*MIN(1/(1+Dashboard!$D$15)^(AK$7-2020),1)</f>
        <v>24.84731853379845</v>
      </c>
      <c r="AL25" s="247">
        <f ca="1">'3.5 Costs and Peak Demand'!AI16*MIN(1/(1+Dashboard!$D$15)^(AL$7-2020),1)</f>
        <v>18.691854561213919</v>
      </c>
      <c r="AM25" s="247">
        <f ca="1">'3.5 Costs and Peak Demand'!AJ16*MIN(1/(1+Dashboard!$D$15)^(AM$7-2020),1)</f>
        <v>13.368699678559258</v>
      </c>
      <c r="AN25" s="247">
        <f ca="1">'3.5 Costs and Peak Demand'!AK16*MIN(1/(1+Dashboard!$D$15)^(AN$7-2020),1)</f>
        <v>8.7079797797303176</v>
      </c>
      <c r="AO25" s="247">
        <f ca="1">'3.5 Costs and Peak Demand'!AL16*MIN(1/(1+Dashboard!$D$15)^(AO$7-2020),1)</f>
        <v>6.6171473083200123</v>
      </c>
      <c r="AP25" s="247">
        <f ca="1">'3.5 Costs and Peak Demand'!AM16*MIN(1/(1+Dashboard!$D$15)^(AP$7-2020),1)</f>
        <v>4.8492775625521274</v>
      </c>
      <c r="AQ25" s="247">
        <f ca="1">'3.5 Costs and Peak Demand'!AN16*MIN(1/(1+Dashboard!$D$15)^(AQ$7-2020),1)</f>
        <v>3.3266625880615082</v>
      </c>
      <c r="AR25" s="247">
        <f ca="1">'3.5 Costs and Peak Demand'!AO16*MIN(1/(1+Dashboard!$D$15)^(AR$7-2020),1)</f>
        <v>2.0063087706691753</v>
      </c>
      <c r="AS25" s="247">
        <f ca="1">'3.5 Costs and Peak Demand'!AP16*MIN(1/(1+Dashboard!$D$15)^(AS$7-2020),1)</f>
        <v>0.84595975578991989</v>
      </c>
      <c r="AT25" s="313"/>
      <c r="AU25" s="313"/>
    </row>
    <row r="26" spans="1:47" s="229" customFormat="1">
      <c r="A26" s="229">
        <v>3</v>
      </c>
      <c r="B26" s="229" t="str">
        <f t="shared" si="2"/>
        <v>3Fuel Costs</v>
      </c>
      <c r="C26" s="234" t="s">
        <v>303</v>
      </c>
      <c r="E26" t="str">
        <f ca="1">IF(SUM(J26:AS26)=0,"",'2.8 Costs'!$E17)</f>
        <v>Electricity cost</v>
      </c>
      <c r="F26" s="313"/>
      <c r="G26" s="234"/>
      <c r="H26" s="234"/>
      <c r="I26" s="313"/>
      <c r="J26" s="247">
        <f ca="1">'3.5 Costs and Peak Demand'!G17*MIN(1/(1+Dashboard!$D$15)^(J$7-2020),1)</f>
        <v>1535.1394857739504</v>
      </c>
      <c r="K26" s="247">
        <f ca="1">'3.5 Costs and Peak Demand'!H17*MIN(1/(1+Dashboard!$D$15)^(K$7-2020),1)</f>
        <v>1505.5119083059994</v>
      </c>
      <c r="L26" s="247">
        <f ca="1">'3.5 Costs and Peak Demand'!I17*MIN(1/(1+Dashboard!$D$15)^(L$7-2020),1)</f>
        <v>1568.5172045521449</v>
      </c>
      <c r="M26" s="247">
        <f ca="1">'3.5 Costs and Peak Demand'!J17*MIN(1/(1+Dashboard!$D$15)^(M$7-2020),1)</f>
        <v>1691.8314574336366</v>
      </c>
      <c r="N26" s="247">
        <f ca="1">'3.5 Costs and Peak Demand'!K17*MIN(1/(1+Dashboard!$D$15)^(N$7-2020),1)</f>
        <v>1785.6842635534854</v>
      </c>
      <c r="O26" s="247">
        <f ca="1">'3.5 Costs and Peak Demand'!L17*MIN(1/(1+Dashboard!$D$15)^(O$7-2020),1)</f>
        <v>1835.5705055356595</v>
      </c>
      <c r="P26" s="247">
        <f ca="1">'3.5 Costs and Peak Demand'!M17*MIN(1/(1+Dashboard!$D$15)^(P$7-2020),1)</f>
        <v>1884.9319104387896</v>
      </c>
      <c r="Q26" s="247">
        <f ca="1">'3.5 Costs and Peak Demand'!N17*MIN(1/(1+Dashboard!$D$15)^(Q$7-2020),1)</f>
        <v>1848.7765166143874</v>
      </c>
      <c r="R26" s="247">
        <f ca="1">'3.5 Costs and Peak Demand'!O17*MIN(1/(1+Dashboard!$D$15)^(R$7-2020),1)</f>
        <v>1752.1810338212611</v>
      </c>
      <c r="S26" s="247">
        <f ca="1">'3.5 Costs and Peak Demand'!P17*MIN(1/(1+Dashboard!$D$15)^(S$7-2020),1)</f>
        <v>1667.8096976711877</v>
      </c>
      <c r="T26" s="247">
        <f ca="1">'3.5 Costs and Peak Demand'!Q17*MIN(1/(1+Dashboard!$D$15)^(T$7-2020),1)</f>
        <v>1610.4594632176224</v>
      </c>
      <c r="U26" s="247">
        <f ca="1">'3.5 Costs and Peak Demand'!R17*MIN(1/(1+Dashboard!$D$15)^(U$7-2020),1)</f>
        <v>1556.2519657456728</v>
      </c>
      <c r="V26" s="247">
        <f ca="1">'3.5 Costs and Peak Demand'!S17*MIN(1/(1+Dashboard!$D$15)^(V$7-2020),1)</f>
        <v>1485.477466242023</v>
      </c>
      <c r="W26" s="247">
        <f ca="1">'3.5 Costs and Peak Demand'!T17*MIN(1/(1+Dashboard!$D$15)^(W$7-2020),1)</f>
        <v>1416.6305739196207</v>
      </c>
      <c r="X26" s="247">
        <f ca="1">'3.5 Costs and Peak Demand'!U17*MIN(1/(1+Dashboard!$D$15)^(X$7-2020),1)</f>
        <v>1354.2023416210473</v>
      </c>
      <c r="Y26" s="247">
        <f ca="1">'3.5 Costs and Peak Demand'!V17*MIN(1/(1+Dashboard!$D$15)^(Y$7-2020),1)</f>
        <v>1323.4892864813005</v>
      </c>
      <c r="Z26" s="247">
        <f ca="1">'3.5 Costs and Peak Demand'!W17*MIN(1/(1+Dashboard!$D$15)^(Z$7-2020),1)</f>
        <v>1315.3044014632746</v>
      </c>
      <c r="AA26" s="247">
        <f ca="1">'3.5 Costs and Peak Demand'!X17*MIN(1/(1+Dashboard!$D$15)^(AA$7-2020),1)</f>
        <v>1279.8569946480575</v>
      </c>
      <c r="AB26" s="247">
        <f ca="1">'3.5 Costs and Peak Demand'!Y17*MIN(1/(1+Dashboard!$D$15)^(AB$7-2020),1)</f>
        <v>1238.4105297846852</v>
      </c>
      <c r="AC26" s="247">
        <f ca="1">'3.5 Costs and Peak Demand'!Z17*MIN(1/(1+Dashboard!$D$15)^(AC$7-2020),1)</f>
        <v>1205.231596145316</v>
      </c>
      <c r="AD26" s="247">
        <f ca="1">'3.5 Costs and Peak Demand'!AA17*MIN(1/(1+Dashboard!$D$15)^(AD$7-2020),1)</f>
        <v>1179.3369182615697</v>
      </c>
      <c r="AE26" s="247">
        <f ca="1">'3.5 Costs and Peak Demand'!AB17*MIN(1/(1+Dashboard!$D$15)^(AE$7-2020),1)</f>
        <v>1173.1564495763787</v>
      </c>
      <c r="AF26" s="247">
        <f ca="1">'3.5 Costs and Peak Demand'!AC17*MIN(1/(1+Dashboard!$D$15)^(AF$7-2020),1)</f>
        <v>1156.2609639041054</v>
      </c>
      <c r="AG26" s="247">
        <f ca="1">'3.5 Costs and Peak Demand'!AD17*MIN(1/(1+Dashboard!$D$15)^(AG$7-2020),1)</f>
        <v>1140.0393226574595</v>
      </c>
      <c r="AH26" s="247">
        <f ca="1">'3.5 Costs and Peak Demand'!AE17*MIN(1/(1+Dashboard!$D$15)^(AH$7-2020),1)</f>
        <v>1128.2161439419149</v>
      </c>
      <c r="AI26" s="247">
        <f ca="1">'3.5 Costs and Peak Demand'!AF17*MIN(1/(1+Dashboard!$D$15)^(AI$7-2020),1)</f>
        <v>1094.468646770458</v>
      </c>
      <c r="AJ26" s="247">
        <f ca="1">'3.5 Costs and Peak Demand'!AG17*MIN(1/(1+Dashboard!$D$15)^(AJ$7-2020),1)</f>
        <v>1071.5631996122779</v>
      </c>
      <c r="AK26" s="247">
        <f ca="1">'3.5 Costs and Peak Demand'!AH17*MIN(1/(1+Dashboard!$D$15)^(AK$7-2020),1)</f>
        <v>1048.3146319160157</v>
      </c>
      <c r="AL26" s="247">
        <f ca="1">'3.5 Costs and Peak Demand'!AI17*MIN(1/(1+Dashboard!$D$15)^(AL$7-2020),1)</f>
        <v>1024.8292112917054</v>
      </c>
      <c r="AM26" s="247">
        <f ca="1">'3.5 Costs and Peak Demand'!AJ17*MIN(1/(1+Dashboard!$D$15)^(AM$7-2020),1)</f>
        <v>1001.2235978583029</v>
      </c>
      <c r="AN26" s="247">
        <f ca="1">'3.5 Costs and Peak Demand'!AK17*MIN(1/(1+Dashboard!$D$15)^(AN$7-2020),1)</f>
        <v>977.58318552476362</v>
      </c>
      <c r="AO26" s="247">
        <f ca="1">'3.5 Costs and Peak Demand'!AL17*MIN(1/(1+Dashboard!$D$15)^(AO$7-2020),1)</f>
        <v>954.72528730366366</v>
      </c>
      <c r="AP26" s="247">
        <f ca="1">'3.5 Costs and Peak Demand'!AM17*MIN(1/(1+Dashboard!$D$15)^(AP$7-2020),1)</f>
        <v>931.21489296246318</v>
      </c>
      <c r="AQ26" s="247">
        <f ca="1">'3.5 Costs and Peak Demand'!AN17*MIN(1/(1+Dashboard!$D$15)^(AQ$7-2020),1)</f>
        <v>908.18568115703613</v>
      </c>
      <c r="AR26" s="247">
        <f ca="1">'3.5 Costs and Peak Demand'!AO17*MIN(1/(1+Dashboard!$D$15)^(AR$7-2020),1)</f>
        <v>885.63581433386821</v>
      </c>
      <c r="AS26" s="247">
        <f ca="1">'3.5 Costs and Peak Demand'!AP17*MIN(1/(1+Dashboard!$D$15)^(AS$7-2020),1)</f>
        <v>863.57706092016906</v>
      </c>
      <c r="AT26" s="313"/>
      <c r="AU26" s="313"/>
    </row>
    <row r="27" spans="1:47" s="229" customFormat="1">
      <c r="A27" s="229">
        <v>4</v>
      </c>
      <c r="B27" s="229" t="str">
        <f t="shared" si="2"/>
        <v>4Fuel Costs</v>
      </c>
      <c r="C27" s="234" t="s">
        <v>303</v>
      </c>
      <c r="E27" t="str">
        <f ca="1">IF(SUM(J27:AS27)=0,"",'2.8 Costs'!$E18)</f>
        <v>Hydrogen Fuel Cost</v>
      </c>
      <c r="F27" s="313"/>
      <c r="G27" s="234"/>
      <c r="H27" s="234"/>
      <c r="I27" s="313"/>
      <c r="J27" s="247">
        <f ca="1">'3.5 Costs and Peak Demand'!G18*MIN(1/(1+Dashboard!$D$15)^(J$7-2020),1)</f>
        <v>0</v>
      </c>
      <c r="K27" s="247">
        <f ca="1">'3.5 Costs and Peak Demand'!H18*MIN(1/(1+Dashboard!$D$15)^(K$7-2020),1)</f>
        <v>0</v>
      </c>
      <c r="L27" s="247">
        <f ca="1">'3.5 Costs and Peak Demand'!I18*MIN(1/(1+Dashboard!$D$15)^(L$7-2020),1)</f>
        <v>0</v>
      </c>
      <c r="M27" s="247">
        <f ca="1">'3.5 Costs and Peak Demand'!J18*MIN(1/(1+Dashboard!$D$15)^(M$7-2020),1)</f>
        <v>0</v>
      </c>
      <c r="N27" s="247">
        <f ca="1">'3.5 Costs and Peak Demand'!K18*MIN(1/(1+Dashboard!$D$15)^(N$7-2020),1)</f>
        <v>0</v>
      </c>
      <c r="O27" s="247">
        <f ca="1">'3.5 Costs and Peak Demand'!L18*MIN(1/(1+Dashboard!$D$15)^(O$7-2020),1)</f>
        <v>0</v>
      </c>
      <c r="P27" s="247">
        <f ca="1">'3.5 Costs and Peak Demand'!M18*MIN(1/(1+Dashboard!$D$15)^(P$7-2020),1)</f>
        <v>6.7382382131889101E-2</v>
      </c>
      <c r="Q27" s="247">
        <f ca="1">'3.5 Costs and Peak Demand'!N18*MIN(1/(1+Dashboard!$D$15)^(Q$7-2020),1)</f>
        <v>6.7463143942276663E-2</v>
      </c>
      <c r="R27" s="247">
        <f ca="1">'3.5 Costs and Peak Demand'!O18*MIN(1/(1+Dashboard!$D$15)^(R$7-2020),1)</f>
        <v>7.9470268634194555E-2</v>
      </c>
      <c r="S27" s="247">
        <f ca="1">'3.5 Costs and Peak Demand'!P18*MIN(1/(1+Dashboard!$D$15)^(S$7-2020),1)</f>
        <v>9.3599978664311093E-2</v>
      </c>
      <c r="T27" s="247">
        <f ca="1">'3.5 Costs and Peak Demand'!Q18*MIN(1/(1+Dashboard!$D$15)^(T$7-2020),1)</f>
        <v>0.11668693108438453</v>
      </c>
      <c r="U27" s="247">
        <f ca="1">'3.5 Costs and Peak Demand'!R18*MIN(1/(1+Dashboard!$D$15)^(U$7-2020),1)</f>
        <v>0.24163906402065807</v>
      </c>
      <c r="V27" s="247">
        <f ca="1">'3.5 Costs and Peak Demand'!S18*MIN(1/(1+Dashboard!$D$15)^(V$7-2020),1)</f>
        <v>4.6094292225564235</v>
      </c>
      <c r="W27" s="247">
        <f ca="1">'3.5 Costs and Peak Demand'!T18*MIN(1/(1+Dashboard!$D$15)^(W$7-2020),1)</f>
        <v>7.8323681981782762</v>
      </c>
      <c r="X27" s="247">
        <f ca="1">'3.5 Costs and Peak Demand'!U18*MIN(1/(1+Dashboard!$D$15)^(X$7-2020),1)</f>
        <v>10.206185043278552</v>
      </c>
      <c r="Y27" s="247">
        <f ca="1">'3.5 Costs and Peak Demand'!V18*MIN(1/(1+Dashboard!$D$15)^(Y$7-2020),1)</f>
        <v>11.7419553807492</v>
      </c>
      <c r="Z27" s="247">
        <f ca="1">'3.5 Costs and Peak Demand'!W18*MIN(1/(1+Dashboard!$D$15)^(Z$7-2020),1)</f>
        <v>15.878646506236942</v>
      </c>
      <c r="AA27" s="247">
        <f ca="1">'3.5 Costs and Peak Demand'!X18*MIN(1/(1+Dashboard!$D$15)^(AA$7-2020),1)</f>
        <v>19.141603564207607</v>
      </c>
      <c r="AB27" s="247">
        <f ca="1">'3.5 Costs and Peak Demand'!Y18*MIN(1/(1+Dashboard!$D$15)^(AB$7-2020),1)</f>
        <v>21.515851255789148</v>
      </c>
      <c r="AC27" s="247">
        <f ca="1">'3.5 Costs and Peak Demand'!Z18*MIN(1/(1+Dashboard!$D$15)^(AC$7-2020),1)</f>
        <v>37.174831987395869</v>
      </c>
      <c r="AD27" s="247">
        <f ca="1">'3.5 Costs and Peak Demand'!AA18*MIN(1/(1+Dashboard!$D$15)^(AD$7-2020),1)</f>
        <v>45.264234790068791</v>
      </c>
      <c r="AE27" s="247">
        <f ca="1">'3.5 Costs and Peak Demand'!AB18*MIN(1/(1+Dashboard!$D$15)^(AE$7-2020),1)</f>
        <v>46.310070762278421</v>
      </c>
      <c r="AF27" s="247">
        <f ca="1">'3.5 Costs and Peak Demand'!AC18*MIN(1/(1+Dashboard!$D$15)^(AF$7-2020),1)</f>
        <v>45.509124373239658</v>
      </c>
      <c r="AG27" s="247">
        <f ca="1">'3.5 Costs and Peak Demand'!AD18*MIN(1/(1+Dashboard!$D$15)^(AG$7-2020),1)</f>
        <v>44.130711744702502</v>
      </c>
      <c r="AH27" s="247">
        <f ca="1">'3.5 Costs and Peak Demand'!AE18*MIN(1/(1+Dashboard!$D$15)^(AH$7-2020),1)</f>
        <v>39.934224095364236</v>
      </c>
      <c r="AI27" s="247">
        <f ca="1">'3.5 Costs and Peak Demand'!AF18*MIN(1/(1+Dashboard!$D$15)^(AI$7-2020),1)</f>
        <v>42.625978241667291</v>
      </c>
      <c r="AJ27" s="247">
        <f ca="1">'3.5 Costs and Peak Demand'!AG18*MIN(1/(1+Dashboard!$D$15)^(AJ$7-2020),1)</f>
        <v>43.65189471347886</v>
      </c>
      <c r="AK27" s="247">
        <f ca="1">'3.5 Costs and Peak Demand'!AH18*MIN(1/(1+Dashboard!$D$15)^(AK$7-2020),1)</f>
        <v>43.110562761028483</v>
      </c>
      <c r="AL27" s="247">
        <f ca="1">'3.5 Costs and Peak Demand'!AI18*MIN(1/(1+Dashboard!$D$15)^(AL$7-2020),1)</f>
        <v>41.163343909642656</v>
      </c>
      <c r="AM27" s="247">
        <f ca="1">'3.5 Costs and Peak Demand'!AJ18*MIN(1/(1+Dashboard!$D$15)^(AM$7-2020),1)</f>
        <v>37.962014438066369</v>
      </c>
      <c r="AN27" s="247">
        <f ca="1">'3.5 Costs and Peak Demand'!AK18*MIN(1/(1+Dashboard!$D$15)^(AN$7-2020),1)</f>
        <v>33.654306694999747</v>
      </c>
      <c r="AO27" s="247">
        <f ca="1">'3.5 Costs and Peak Demand'!AL18*MIN(1/(1+Dashboard!$D$15)^(AO$7-2020),1)</f>
        <v>27.08683293115789</v>
      </c>
      <c r="AP27" s="247">
        <f ca="1">'3.5 Costs and Peak Demand'!AM18*MIN(1/(1+Dashboard!$D$15)^(AP$7-2020),1)</f>
        <v>22.781584754127344</v>
      </c>
      <c r="AQ27" s="247">
        <f ca="1">'3.5 Costs and Peak Demand'!AN18*MIN(1/(1+Dashboard!$D$15)^(AQ$7-2020),1)</f>
        <v>18.667937700931169</v>
      </c>
      <c r="AR27" s="247">
        <f ca="1">'3.5 Costs and Peak Demand'!AO18*MIN(1/(1+Dashboard!$D$15)^(AR$7-2020),1)</f>
        <v>14.735243199309004</v>
      </c>
      <c r="AS27" s="247">
        <f ca="1">'3.5 Costs and Peak Demand'!AP18*MIN(1/(1+Dashboard!$D$15)^(AS$7-2020),1)</f>
        <v>10.975216973949447</v>
      </c>
      <c r="AT27" s="313"/>
      <c r="AU27" s="313"/>
    </row>
    <row r="28" spans="1:47" s="229" customFormat="1">
      <c r="A28" s="229">
        <v>5</v>
      </c>
      <c r="B28" s="229" t="str">
        <f>A28&amp;C28</f>
        <v>5Fuel Costs</v>
      </c>
      <c r="C28" s="234" t="s">
        <v>303</v>
      </c>
      <c r="E28" t="str">
        <f>IF(Dashboard!$D$17="Yes","Carbon cost","")</f>
        <v/>
      </c>
      <c r="F28" s="313"/>
      <c r="G28" s="234"/>
      <c r="H28" s="234"/>
      <c r="I28" s="313"/>
      <c r="J28" s="247">
        <f>IF(Dashboard!$D$17="Yes",'Carbon costs'!F32*MIN(1/(1+Dashboard!$D$15)^(J$7-2020),1),0)</f>
        <v>0</v>
      </c>
      <c r="K28" s="247">
        <f>IF(Dashboard!$D$17="Yes",'Carbon costs'!G32*MIN(1/(1+Dashboard!$D$15)^(K$7-2020),1),0)</f>
        <v>0</v>
      </c>
      <c r="L28" s="247">
        <f>IF(Dashboard!$D$17="Yes",'Carbon costs'!H32*MIN(1/(1+Dashboard!$D$15)^(L$7-2020),1),0)</f>
        <v>0</v>
      </c>
      <c r="M28" s="247">
        <f>IF(Dashboard!$D$17="Yes",'Carbon costs'!I32*MIN(1/(1+Dashboard!$D$15)^(M$7-2020),1),0)</f>
        <v>0</v>
      </c>
      <c r="N28" s="247">
        <f>IF(Dashboard!$D$17="Yes",'Carbon costs'!J32*MIN(1/(1+Dashboard!$D$15)^(N$7-2020),1),0)</f>
        <v>0</v>
      </c>
      <c r="O28" s="247">
        <f>IF(Dashboard!$D$17="Yes",'Carbon costs'!K32*MIN(1/(1+Dashboard!$D$15)^(O$7-2020),1),0)</f>
        <v>0</v>
      </c>
      <c r="P28" s="247">
        <f>IF(Dashboard!$D$17="Yes",'Carbon costs'!L32*MIN(1/(1+Dashboard!$D$15)^(P$7-2020),1),0)</f>
        <v>0</v>
      </c>
      <c r="Q28" s="247">
        <f>IF(Dashboard!$D$17="Yes",'Carbon costs'!M32*MIN(1/(1+Dashboard!$D$15)^(Q$7-2020),1),0)</f>
        <v>0</v>
      </c>
      <c r="R28" s="247">
        <f>IF(Dashboard!$D$17="Yes",'Carbon costs'!N32*MIN(1/(1+Dashboard!$D$15)^(R$7-2020),1),0)</f>
        <v>0</v>
      </c>
      <c r="S28" s="247">
        <f>IF(Dashboard!$D$17="Yes",'Carbon costs'!O32*MIN(1/(1+Dashboard!$D$15)^(S$7-2020),1),0)</f>
        <v>0</v>
      </c>
      <c r="T28" s="247">
        <f>IF(Dashboard!$D$17="Yes",'Carbon costs'!P32*MIN(1/(1+Dashboard!$D$15)^(T$7-2020),1),0)</f>
        <v>0</v>
      </c>
      <c r="U28" s="247">
        <f>IF(Dashboard!$D$17="Yes",'Carbon costs'!Q32*MIN(1/(1+Dashboard!$D$15)^(U$7-2020),1),0)</f>
        <v>0</v>
      </c>
      <c r="V28" s="247">
        <f>IF(Dashboard!$D$17="Yes",'Carbon costs'!R32*MIN(1/(1+Dashboard!$D$15)^(V$7-2020),1),0)</f>
        <v>0</v>
      </c>
      <c r="W28" s="247">
        <f>IF(Dashboard!$D$17="Yes",'Carbon costs'!S32*MIN(1/(1+Dashboard!$D$15)^(W$7-2020),1),0)</f>
        <v>0</v>
      </c>
      <c r="X28" s="247">
        <f>IF(Dashboard!$D$17="Yes",'Carbon costs'!T32*MIN(1/(1+Dashboard!$D$15)^(X$7-2020),1),0)</f>
        <v>0</v>
      </c>
      <c r="Y28" s="247">
        <f>IF(Dashboard!$D$17="Yes",'Carbon costs'!U32*MIN(1/(1+Dashboard!$D$15)^(Y$7-2020),1),0)</f>
        <v>0</v>
      </c>
      <c r="Z28" s="247">
        <f>IF(Dashboard!$D$17="Yes",'Carbon costs'!V32*MIN(1/(1+Dashboard!$D$15)^(Z$7-2020),1),0)</f>
        <v>0</v>
      </c>
      <c r="AA28" s="247">
        <f>IF(Dashboard!$D$17="Yes",'Carbon costs'!W32*MIN(1/(1+Dashboard!$D$15)^(AA$7-2020),1),0)</f>
        <v>0</v>
      </c>
      <c r="AB28" s="247">
        <f>IF(Dashboard!$D$17="Yes",'Carbon costs'!X32*MIN(1/(1+Dashboard!$D$15)^(AB$7-2020),1),0)</f>
        <v>0</v>
      </c>
      <c r="AC28" s="247">
        <f>IF(Dashboard!$D$17="Yes",'Carbon costs'!Y32*MIN(1/(1+Dashboard!$D$15)^(AC$7-2020),1),0)</f>
        <v>0</v>
      </c>
      <c r="AD28" s="247">
        <f>IF(Dashboard!$D$17="Yes",'Carbon costs'!Z32*MIN(1/(1+Dashboard!$D$15)^(AD$7-2020),1),0)</f>
        <v>0</v>
      </c>
      <c r="AE28" s="247">
        <f>IF(Dashboard!$D$17="Yes",'Carbon costs'!AA32*MIN(1/(1+Dashboard!$D$15)^(AE$7-2020),1),0)</f>
        <v>0</v>
      </c>
      <c r="AF28" s="247">
        <f>IF(Dashboard!$D$17="Yes",'Carbon costs'!AB32*MIN(1/(1+Dashboard!$D$15)^(AF$7-2020),1),0)</f>
        <v>0</v>
      </c>
      <c r="AG28" s="247">
        <f>IF(Dashboard!$D$17="Yes",'Carbon costs'!AC32*MIN(1/(1+Dashboard!$D$15)^(AG$7-2020),1),0)</f>
        <v>0</v>
      </c>
      <c r="AH28" s="247">
        <f>IF(Dashboard!$D$17="Yes",'Carbon costs'!AD32*MIN(1/(1+Dashboard!$D$15)^(AH$7-2020),1),0)</f>
        <v>0</v>
      </c>
      <c r="AI28" s="247">
        <f>IF(Dashboard!$D$17="Yes",'Carbon costs'!AE32*MIN(1/(1+Dashboard!$D$15)^(AI$7-2020),1),0)</f>
        <v>0</v>
      </c>
      <c r="AJ28" s="247">
        <f>IF(Dashboard!$D$17="Yes",'Carbon costs'!AF32*MIN(1/(1+Dashboard!$D$15)^(AJ$7-2020),1),0)</f>
        <v>0</v>
      </c>
      <c r="AK28" s="247">
        <f>IF(Dashboard!$D$17="Yes",'Carbon costs'!AG32*MIN(1/(1+Dashboard!$D$15)^(AK$7-2020),1),0)</f>
        <v>0</v>
      </c>
      <c r="AL28" s="247">
        <f>IF(Dashboard!$D$17="Yes",'Carbon costs'!AH32*MIN(1/(1+Dashboard!$D$15)^(AL$7-2020),1),0)</f>
        <v>0</v>
      </c>
      <c r="AM28" s="247">
        <f>IF(Dashboard!$D$17="Yes",'Carbon costs'!AI32*MIN(1/(1+Dashboard!$D$15)^(AM$7-2020),1),0)</f>
        <v>0</v>
      </c>
      <c r="AN28" s="247">
        <f>IF(Dashboard!$D$17="Yes",'Carbon costs'!AJ32*MIN(1/(1+Dashboard!$D$15)^(AN$7-2020),1),0)</f>
        <v>0</v>
      </c>
      <c r="AO28" s="247">
        <f>IF(Dashboard!$D$17="Yes",'Carbon costs'!AK32*MIN(1/(1+Dashboard!$D$15)^(AO$7-2020),1),0)</f>
        <v>0</v>
      </c>
      <c r="AP28" s="247">
        <f>IF(Dashboard!$D$17="Yes",'Carbon costs'!AL32*MIN(1/(1+Dashboard!$D$15)^(AP$7-2020),1),0)</f>
        <v>0</v>
      </c>
      <c r="AQ28" s="247">
        <f>IF(Dashboard!$D$17="Yes",'Carbon costs'!AM32*MIN(1/(1+Dashboard!$D$15)^(AQ$7-2020),1),0)</f>
        <v>0</v>
      </c>
      <c r="AR28" s="247">
        <f>IF(Dashboard!$D$17="Yes",'Carbon costs'!AN32*MIN(1/(1+Dashboard!$D$15)^(AR$7-2020),1),0)</f>
        <v>0</v>
      </c>
      <c r="AS28" s="247">
        <f>IF(Dashboard!$D$17="Yes",'Carbon costs'!AO32*MIN(1/(1+Dashboard!$D$15)^(AS$7-2020),1),0)</f>
        <v>0</v>
      </c>
      <c r="AT28" s="313"/>
      <c r="AU28" s="313"/>
    </row>
    <row r="29" spans="1:47" s="229" customFormat="1">
      <c r="A29" s="229">
        <v>6</v>
      </c>
      <c r="B29" s="229" t="str">
        <f t="shared" si="2"/>
        <v>6</v>
      </c>
      <c r="C29" s="234"/>
      <c r="E29"/>
      <c r="F29" s="313"/>
      <c r="G29" s="234"/>
      <c r="H29" s="234"/>
      <c r="I29" s="313"/>
      <c r="J29" s="247"/>
      <c r="K29" s="247"/>
      <c r="L29" s="247"/>
      <c r="M29" s="247"/>
      <c r="N29" s="247"/>
      <c r="O29" s="247"/>
      <c r="P29" s="247"/>
      <c r="Q29" s="247"/>
      <c r="R29" s="247"/>
      <c r="S29" s="247"/>
      <c r="T29" s="247"/>
      <c r="U29" s="247"/>
      <c r="V29" s="247"/>
      <c r="W29" s="247"/>
      <c r="X29" s="247"/>
      <c r="Y29" s="247"/>
      <c r="Z29" s="247"/>
      <c r="AA29" s="247"/>
      <c r="AB29" s="247"/>
      <c r="AC29" s="247"/>
      <c r="AD29" s="247"/>
      <c r="AE29" s="247"/>
      <c r="AF29" s="247"/>
      <c r="AG29" s="247"/>
      <c r="AH29" s="247"/>
      <c r="AI29" s="247"/>
      <c r="AJ29" s="247"/>
      <c r="AK29" s="247"/>
      <c r="AL29" s="247"/>
      <c r="AM29" s="247"/>
      <c r="AN29" s="247"/>
      <c r="AO29" s="247"/>
      <c r="AP29" s="247"/>
      <c r="AQ29" s="247"/>
      <c r="AR29" s="247"/>
      <c r="AS29" s="247"/>
      <c r="AT29" s="313"/>
      <c r="AU29" s="313"/>
    </row>
    <row r="30" spans="1:47" s="229" customFormat="1">
      <c r="A30" s="229">
        <v>7</v>
      </c>
      <c r="B30" s="229" t="str">
        <f>A30&amp;C30</f>
        <v>7</v>
      </c>
      <c r="C30" s="234"/>
      <c r="E30"/>
      <c r="F30" s="313"/>
      <c r="G30" s="234"/>
      <c r="H30" s="234"/>
      <c r="I30" s="313"/>
      <c r="J30" s="247"/>
      <c r="K30" s="247"/>
      <c r="L30" s="247"/>
      <c r="M30" s="247"/>
      <c r="N30" s="247"/>
      <c r="O30" s="247"/>
      <c r="P30" s="247"/>
      <c r="Q30" s="247"/>
      <c r="R30" s="247"/>
      <c r="S30" s="247"/>
      <c r="T30" s="247"/>
      <c r="U30" s="247"/>
      <c r="V30" s="247"/>
      <c r="W30" s="247"/>
      <c r="X30" s="247"/>
      <c r="Y30" s="247"/>
      <c r="Z30" s="247"/>
      <c r="AA30" s="247"/>
      <c r="AB30" s="247"/>
      <c r="AC30" s="247"/>
      <c r="AD30" s="247"/>
      <c r="AE30" s="247"/>
      <c r="AF30" s="247"/>
      <c r="AG30" s="247"/>
      <c r="AH30" s="247"/>
      <c r="AI30" s="247"/>
      <c r="AJ30" s="247"/>
      <c r="AK30" s="247"/>
      <c r="AL30" s="247"/>
      <c r="AM30" s="247"/>
      <c r="AN30" s="247"/>
      <c r="AO30" s="247"/>
      <c r="AP30" s="247"/>
      <c r="AQ30" s="247"/>
      <c r="AR30" s="247"/>
      <c r="AS30" s="247"/>
      <c r="AT30" s="313"/>
      <c r="AU30" s="313"/>
    </row>
    <row r="31" spans="1:47" s="229" customFormat="1">
      <c r="A31" s="229">
        <v>8</v>
      </c>
      <c r="B31" s="229" t="str">
        <f>A31&amp;C31</f>
        <v>8</v>
      </c>
      <c r="C31" s="234"/>
      <c r="E31"/>
      <c r="F31" s="313"/>
      <c r="G31" s="234"/>
      <c r="H31" s="234"/>
      <c r="I31" s="313"/>
      <c r="J31" s="247"/>
      <c r="K31" s="247"/>
      <c r="L31" s="247"/>
      <c r="M31" s="247"/>
      <c r="N31" s="247"/>
      <c r="O31" s="247"/>
      <c r="P31" s="247"/>
      <c r="Q31" s="247"/>
      <c r="R31" s="247"/>
      <c r="S31" s="247"/>
      <c r="T31" s="247"/>
      <c r="U31" s="247"/>
      <c r="V31" s="247"/>
      <c r="W31" s="247"/>
      <c r="X31" s="247"/>
      <c r="Y31" s="247"/>
      <c r="Z31" s="247"/>
      <c r="AA31" s="247"/>
      <c r="AB31" s="247"/>
      <c r="AC31" s="247"/>
      <c r="AD31" s="247"/>
      <c r="AE31" s="247"/>
      <c r="AF31" s="247"/>
      <c r="AG31" s="247"/>
      <c r="AH31" s="247"/>
      <c r="AI31" s="247"/>
      <c r="AJ31" s="247"/>
      <c r="AK31" s="247"/>
      <c r="AL31" s="247"/>
      <c r="AM31" s="247"/>
      <c r="AN31" s="247"/>
      <c r="AO31" s="247"/>
      <c r="AP31" s="247"/>
      <c r="AQ31" s="247"/>
      <c r="AR31" s="247"/>
      <c r="AS31" s="247"/>
      <c r="AT31" s="313"/>
      <c r="AU31" s="313"/>
    </row>
    <row r="32" spans="1:47" s="229" customFormat="1">
      <c r="A32" s="229">
        <v>9</v>
      </c>
      <c r="B32" s="229" t="str">
        <f>A32&amp;C32</f>
        <v>9</v>
      </c>
      <c r="C32" s="234"/>
      <c r="E32"/>
      <c r="F32" s="313"/>
      <c r="G32" s="234"/>
      <c r="H32" s="234"/>
      <c r="I32" s="313"/>
      <c r="J32" s="247"/>
      <c r="K32" s="247"/>
      <c r="L32" s="247"/>
      <c r="M32" s="247"/>
      <c r="N32" s="247"/>
      <c r="O32" s="247"/>
      <c r="P32" s="247"/>
      <c r="Q32" s="247"/>
      <c r="R32" s="247"/>
      <c r="S32" s="247"/>
      <c r="T32" s="247"/>
      <c r="U32" s="247"/>
      <c r="V32" s="247"/>
      <c r="W32" s="247"/>
      <c r="X32" s="247"/>
      <c r="Y32" s="247"/>
      <c r="Z32" s="247"/>
      <c r="AA32" s="247"/>
      <c r="AB32" s="247"/>
      <c r="AC32" s="247"/>
      <c r="AD32" s="247"/>
      <c r="AE32" s="247"/>
      <c r="AF32" s="247"/>
      <c r="AG32" s="247"/>
      <c r="AH32" s="247"/>
      <c r="AI32" s="247"/>
      <c r="AJ32" s="247"/>
      <c r="AK32" s="247"/>
      <c r="AL32" s="247"/>
      <c r="AM32" s="247"/>
      <c r="AN32" s="247"/>
      <c r="AO32" s="247"/>
      <c r="AP32" s="247"/>
      <c r="AQ32" s="247"/>
      <c r="AR32" s="247"/>
      <c r="AS32" s="247"/>
      <c r="AT32" s="313"/>
      <c r="AU32" s="313"/>
    </row>
    <row r="33" spans="1:47" s="229" customFormat="1">
      <c r="A33" s="229" t="s">
        <v>208</v>
      </c>
      <c r="B33" s="229" t="str">
        <f>A33&amp;C33</f>
        <v>NFuel Costs</v>
      </c>
      <c r="C33" s="234" t="s">
        <v>303</v>
      </c>
      <c r="E33" s="299"/>
      <c r="F33" s="313"/>
      <c r="G33" s="234"/>
      <c r="H33" s="234"/>
      <c r="I33" s="313"/>
      <c r="J33" s="313"/>
      <c r="K33" s="313"/>
      <c r="L33" s="313"/>
      <c r="M33" s="313"/>
      <c r="N33" s="313"/>
      <c r="O33" s="313"/>
      <c r="P33" s="313"/>
      <c r="Q33" s="313"/>
      <c r="R33" s="313"/>
      <c r="S33" s="313"/>
      <c r="T33" s="313"/>
      <c r="U33" s="313"/>
      <c r="V33" s="313"/>
      <c r="W33" s="313"/>
      <c r="X33" s="313"/>
      <c r="Y33" s="313"/>
      <c r="Z33" s="313"/>
      <c r="AA33" s="313"/>
      <c r="AB33" s="313"/>
      <c r="AC33" s="313"/>
      <c r="AD33" s="313"/>
      <c r="AE33" s="313"/>
      <c r="AF33" s="313"/>
      <c r="AG33" s="313"/>
      <c r="AH33" s="313"/>
      <c r="AI33" s="313"/>
      <c r="AJ33" s="313"/>
      <c r="AK33" s="313"/>
      <c r="AL33" s="313"/>
      <c r="AM33" s="313"/>
      <c r="AN33" s="313"/>
      <c r="AO33" s="313"/>
      <c r="AP33" s="313"/>
      <c r="AQ33" s="313"/>
      <c r="AR33" s="313"/>
      <c r="AS33" s="313"/>
      <c r="AT33" s="313"/>
      <c r="AU33" s="313"/>
    </row>
    <row r="37" spans="1:47" s="231" customFormat="1">
      <c r="B37" s="232" t="s">
        <v>276</v>
      </c>
      <c r="C37" s="232"/>
      <c r="D37" s="233"/>
      <c r="E37" s="233"/>
      <c r="F37" s="232"/>
      <c r="G37" s="232"/>
      <c r="H37" s="232"/>
      <c r="I37" s="232"/>
    </row>
    <row r="38" spans="1:47" s="500" customFormat="1" ht="15.75" customHeight="1">
      <c r="B38" s="501"/>
      <c r="C38" s="502" t="s">
        <v>277</v>
      </c>
      <c r="D38" s="501"/>
      <c r="E38" s="503"/>
      <c r="F38" s="501"/>
      <c r="G38" s="501"/>
      <c r="H38" s="501"/>
      <c r="I38" s="501"/>
    </row>
    <row r="39" spans="1:47" s="505" customFormat="1">
      <c r="B39" s="506"/>
      <c r="C39" s="506" t="s">
        <v>278</v>
      </c>
      <c r="D39" s="506"/>
      <c r="F39" s="506"/>
      <c r="G39" s="506"/>
      <c r="H39" s="506"/>
      <c r="I39" s="506"/>
    </row>
    <row r="40" spans="1:47" s="500" customFormat="1">
      <c r="B40" s="501"/>
      <c r="C40" s="501"/>
      <c r="D40" s="501"/>
      <c r="E40" s="503" t="str">
        <f>Dashboard!$E$74</f>
        <v>All Costs</v>
      </c>
      <c r="F40" s="501"/>
      <c r="G40" s="501"/>
      <c r="H40" s="501"/>
      <c r="I40" s="501"/>
    </row>
    <row r="41" spans="1:47" s="500" customFormat="1">
      <c r="B41" s="501">
        <v>0</v>
      </c>
      <c r="C41" s="501" t="str">
        <f>IF($E$40=$C$4,B7,B41&amp;$E$40)</f>
        <v>0Capital and Maintenance Costs</v>
      </c>
      <c r="E41" s="504" t="str">
        <f>IFERROR(INDEX(E$1:E$221,MATCH($C41,$B$1:$B$221,0)),"")</f>
        <v>COST (£million/year)</v>
      </c>
      <c r="I41" s="501"/>
      <c r="J41" s="500">
        <v>2015</v>
      </c>
      <c r="K41" s="500">
        <f>J41+1</f>
        <v>2016</v>
      </c>
      <c r="L41" s="500">
        <f t="shared" ref="L41:AS41" si="3">K41+1</f>
        <v>2017</v>
      </c>
      <c r="M41" s="500">
        <f t="shared" si="3"/>
        <v>2018</v>
      </c>
      <c r="N41" s="500">
        <f t="shared" si="3"/>
        <v>2019</v>
      </c>
      <c r="O41" s="500">
        <f t="shared" si="3"/>
        <v>2020</v>
      </c>
      <c r="P41" s="500">
        <f t="shared" si="3"/>
        <v>2021</v>
      </c>
      <c r="Q41" s="500">
        <f t="shared" si="3"/>
        <v>2022</v>
      </c>
      <c r="R41" s="500">
        <f t="shared" si="3"/>
        <v>2023</v>
      </c>
      <c r="S41" s="500">
        <f t="shared" si="3"/>
        <v>2024</v>
      </c>
      <c r="T41" s="500">
        <f t="shared" si="3"/>
        <v>2025</v>
      </c>
      <c r="U41" s="500">
        <f t="shared" si="3"/>
        <v>2026</v>
      </c>
      <c r="V41" s="500">
        <f t="shared" si="3"/>
        <v>2027</v>
      </c>
      <c r="W41" s="500">
        <f t="shared" si="3"/>
        <v>2028</v>
      </c>
      <c r="X41" s="500">
        <f t="shared" si="3"/>
        <v>2029</v>
      </c>
      <c r="Y41" s="500">
        <f t="shared" si="3"/>
        <v>2030</v>
      </c>
      <c r="Z41" s="500">
        <f t="shared" si="3"/>
        <v>2031</v>
      </c>
      <c r="AA41" s="500">
        <f t="shared" si="3"/>
        <v>2032</v>
      </c>
      <c r="AB41" s="500">
        <f t="shared" si="3"/>
        <v>2033</v>
      </c>
      <c r="AC41" s="500">
        <f t="shared" si="3"/>
        <v>2034</v>
      </c>
      <c r="AD41" s="500">
        <f t="shared" si="3"/>
        <v>2035</v>
      </c>
      <c r="AE41" s="500">
        <f t="shared" si="3"/>
        <v>2036</v>
      </c>
      <c r="AF41" s="500">
        <f t="shared" si="3"/>
        <v>2037</v>
      </c>
      <c r="AG41" s="500">
        <f t="shared" si="3"/>
        <v>2038</v>
      </c>
      <c r="AH41" s="500">
        <f t="shared" si="3"/>
        <v>2039</v>
      </c>
      <c r="AI41" s="500">
        <f t="shared" si="3"/>
        <v>2040</v>
      </c>
      <c r="AJ41" s="500">
        <f t="shared" si="3"/>
        <v>2041</v>
      </c>
      <c r="AK41" s="500">
        <f t="shared" si="3"/>
        <v>2042</v>
      </c>
      <c r="AL41" s="500">
        <f t="shared" si="3"/>
        <v>2043</v>
      </c>
      <c r="AM41" s="500">
        <f t="shared" si="3"/>
        <v>2044</v>
      </c>
      <c r="AN41" s="500">
        <f t="shared" si="3"/>
        <v>2045</v>
      </c>
      <c r="AO41" s="500">
        <f t="shared" si="3"/>
        <v>2046</v>
      </c>
      <c r="AP41" s="500">
        <f t="shared" si="3"/>
        <v>2047</v>
      </c>
      <c r="AQ41" s="500">
        <f t="shared" si="3"/>
        <v>2048</v>
      </c>
      <c r="AR41" s="500">
        <f t="shared" si="3"/>
        <v>2049</v>
      </c>
      <c r="AS41" s="500">
        <f t="shared" si="3"/>
        <v>2050</v>
      </c>
    </row>
    <row r="42" spans="1:47" s="500" customFormat="1">
      <c r="B42" s="501">
        <v>1</v>
      </c>
      <c r="C42" s="501" t="str">
        <f t="shared" ref="C42:C51" si="4">IF($E$40=$C$4,B8,B42&amp;$E$40)</f>
        <v>1Capital and Maintenance Costs</v>
      </c>
      <c r="D42" s="500" t="s">
        <v>279</v>
      </c>
      <c r="E42" s="504" t="str">
        <f t="shared" ref="E42:E53" ca="1" si="5">IFERROR(INDEX(E$1:E$39,MATCH($C42,$B$1:$B$39,0)),"")</f>
        <v>Energy Efficiency</v>
      </c>
      <c r="F42" s="504"/>
      <c r="G42" s="504"/>
      <c r="H42" s="504"/>
      <c r="I42" s="504"/>
      <c r="J42" s="504">
        <f t="shared" ref="J42:Z42" ca="1" si="6">IFERROR(INDEX(J$1:J$39,MATCH($C42,$B$1:$B$39,0)),"")</f>
        <v>0</v>
      </c>
      <c r="K42" s="504">
        <f t="shared" ca="1" si="6"/>
        <v>2.0264251355557659</v>
      </c>
      <c r="L42" s="504">
        <f t="shared" ca="1" si="6"/>
        <v>1.994869504707693</v>
      </c>
      <c r="M42" s="504">
        <f t="shared" ca="1" si="6"/>
        <v>1.9633138738596203</v>
      </c>
      <c r="N42" s="504">
        <f t="shared" ca="1" si="6"/>
        <v>29.098219694063669</v>
      </c>
      <c r="O42" s="504">
        <f t="shared" ca="1" si="6"/>
        <v>173.80766526253362</v>
      </c>
      <c r="P42" s="504">
        <f t="shared" ca="1" si="6"/>
        <v>438.41591380861178</v>
      </c>
      <c r="Q42" s="504">
        <f t="shared" ca="1" si="6"/>
        <v>1390.6217223026763</v>
      </c>
      <c r="R42" s="504">
        <f t="shared" ca="1" si="6"/>
        <v>2372.8441664132206</v>
      </c>
      <c r="S42" s="504">
        <f t="shared" ca="1" si="6"/>
        <v>2697.3619984531138</v>
      </c>
      <c r="T42" s="504">
        <f t="shared" ca="1" si="6"/>
        <v>2405.364198709427</v>
      </c>
      <c r="U42" s="504">
        <f t="shared" ca="1" si="6"/>
        <v>2058.4560009624352</v>
      </c>
      <c r="V42" s="504">
        <f t="shared" ca="1" si="6"/>
        <v>1704.4035902488447</v>
      </c>
      <c r="W42" s="504">
        <f t="shared" ca="1" si="6"/>
        <v>1133.7955323190915</v>
      </c>
      <c r="X42" s="504">
        <f t="shared" ca="1" si="6"/>
        <v>695.9873185148615</v>
      </c>
      <c r="Y42" s="504">
        <f t="shared" ca="1" si="6"/>
        <v>341.25562355629188</v>
      </c>
      <c r="Z42" s="504">
        <f t="shared" ca="1" si="6"/>
        <v>166.31048601854968</v>
      </c>
      <c r="AA42" s="504">
        <f t="shared" ref="AA42:AP58" ca="1" si="7">IFERROR(INDEX(AA$1:AA$39,MATCH($C42,$B$1:$B$39,0)),"")</f>
        <v>137.79521473026529</v>
      </c>
      <c r="AB42" s="504">
        <f t="shared" ca="1" si="7"/>
        <v>111.0183508780282</v>
      </c>
      <c r="AC42" s="504">
        <f t="shared" ca="1" si="7"/>
        <v>85.894884797972807</v>
      </c>
      <c r="AD42" s="504">
        <f t="shared" ca="1" si="7"/>
        <v>1.3649767741179992</v>
      </c>
      <c r="AE42" s="504">
        <f t="shared" ca="1" si="7"/>
        <v>1.0991202969273202</v>
      </c>
      <c r="AF42" s="504">
        <f t="shared" ca="1" si="7"/>
        <v>1.0582490446315962</v>
      </c>
      <c r="AG42" s="504">
        <f t="shared" ca="1" si="7"/>
        <v>0.66008006248894191</v>
      </c>
      <c r="AH42" s="504">
        <f t="shared" ca="1" si="7"/>
        <v>0.63430178683528626</v>
      </c>
      <c r="AI42" s="504">
        <f t="shared" ca="1" si="7"/>
        <v>0.60951213448393127</v>
      </c>
      <c r="AJ42" s="504">
        <f t="shared" ca="1" si="7"/>
        <v>0.5856737207792202</v>
      </c>
      <c r="AK42" s="504">
        <f t="shared" ca="1" si="7"/>
        <v>0.56275055897092185</v>
      </c>
      <c r="AL42" s="504">
        <f t="shared" ca="1" si="7"/>
        <v>0.54070800839281019</v>
      </c>
      <c r="AM42" s="504">
        <f t="shared" ca="1" si="7"/>
        <v>0.51951272458907116</v>
      </c>
      <c r="AN42" s="504">
        <f t="shared" ca="1" si="7"/>
        <v>0.49913261127471065</v>
      </c>
      <c r="AO42" s="504">
        <f t="shared" ca="1" si="7"/>
        <v>0.47953677401628608</v>
      </c>
      <c r="AP42" s="504">
        <f t="shared" ca="1" si="7"/>
        <v>0.46069547568165137</v>
      </c>
      <c r="AQ42" s="504">
        <f t="shared" ref="AQ42:AS58" ca="1" si="8">IFERROR(INDEX(AQ$1:AQ$39,MATCH($C42,$B$1:$B$39,0)),"")</f>
        <v>0.44258009349138661</v>
      </c>
      <c r="AR42" s="504">
        <f t="shared" ca="1" si="8"/>
        <v>0.42516307763553812</v>
      </c>
      <c r="AS42" s="504">
        <f t="shared" ca="1" si="8"/>
        <v>0.4084179114729854</v>
      </c>
    </row>
    <row r="43" spans="1:47" s="500" customFormat="1">
      <c r="B43" s="501">
        <v>2</v>
      </c>
      <c r="C43" s="501" t="str">
        <f t="shared" si="4"/>
        <v>2Capital and Maintenance Costs</v>
      </c>
      <c r="D43" s="500" t="s">
        <v>279</v>
      </c>
      <c r="E43" s="504" t="str">
        <f t="shared" ca="1" si="5"/>
        <v>District Heating</v>
      </c>
      <c r="F43" s="504"/>
      <c r="G43" s="504"/>
      <c r="H43" s="504"/>
      <c r="I43" s="504"/>
      <c r="J43" s="504">
        <f t="shared" ref="J43:J58" ca="1" si="9">IFERROR(INDEX(J$1:J$39,MATCH($C43,$B$1:$B$39,0)),"")</f>
        <v>17.350253818456508</v>
      </c>
      <c r="K43" s="504">
        <f t="shared" ref="K43:Z45" ca="1" si="10">IFERROR(INDEX(K$1:K$39,MATCH($C43,$B$1:$B$39,0)),"")</f>
        <v>17.440609716451135</v>
      </c>
      <c r="L43" s="504">
        <f t="shared" ca="1" si="10"/>
        <v>19.161346191586915</v>
      </c>
      <c r="M43" s="504">
        <f t="shared" ca="1" si="10"/>
        <v>20.878117757189667</v>
      </c>
      <c r="N43" s="504">
        <f t="shared" ca="1" si="10"/>
        <v>22.588867274268615</v>
      </c>
      <c r="O43" s="504">
        <f t="shared" ca="1" si="10"/>
        <v>83.081151742492892</v>
      </c>
      <c r="P43" s="504">
        <f t="shared" ca="1" si="10"/>
        <v>78.409838308934923</v>
      </c>
      <c r="Q43" s="504">
        <f t="shared" ca="1" si="10"/>
        <v>89.600563248647077</v>
      </c>
      <c r="R43" s="504">
        <f t="shared" ca="1" si="10"/>
        <v>90.092916042323324</v>
      </c>
      <c r="S43" s="504">
        <f t="shared" ca="1" si="10"/>
        <v>90.402965837031473</v>
      </c>
      <c r="T43" s="504">
        <f t="shared" ca="1" si="10"/>
        <v>90.153823443356174</v>
      </c>
      <c r="U43" s="504">
        <f t="shared" ca="1" si="10"/>
        <v>96.948330499364275</v>
      </c>
      <c r="V43" s="504">
        <f t="shared" ca="1" si="10"/>
        <v>94.898644225128422</v>
      </c>
      <c r="W43" s="504">
        <f t="shared" ca="1" si="10"/>
        <v>92.785916639523123</v>
      </c>
      <c r="X43" s="504">
        <f t="shared" ca="1" si="10"/>
        <v>90.616302874025237</v>
      </c>
      <c r="Y43" s="504">
        <f t="shared" ca="1" si="10"/>
        <v>88.963137167454633</v>
      </c>
      <c r="Z43" s="504">
        <f t="shared" ca="1" si="10"/>
        <v>75.103136562204583</v>
      </c>
      <c r="AA43" s="504">
        <f t="shared" ca="1" si="7"/>
        <v>72.048466140864548</v>
      </c>
      <c r="AB43" s="504">
        <f t="shared" ca="1" si="7"/>
        <v>69.051254677371162</v>
      </c>
      <c r="AC43" s="504">
        <f t="shared" ca="1" si="7"/>
        <v>66.113395665463884</v>
      </c>
      <c r="AD43" s="504">
        <f t="shared" ca="1" si="7"/>
        <v>70.244675995208908</v>
      </c>
      <c r="AE43" s="504">
        <f t="shared" ca="1" si="7"/>
        <v>56.882516855320517</v>
      </c>
      <c r="AF43" s="504">
        <f t="shared" ca="1" si="7"/>
        <v>57.232567281736181</v>
      </c>
      <c r="AG43" s="504">
        <f t="shared" ca="1" si="7"/>
        <v>55.039150231072213</v>
      </c>
      <c r="AH43" s="504">
        <f t="shared" ca="1" si="7"/>
        <v>52.850265094482566</v>
      </c>
      <c r="AI43" s="504">
        <f t="shared" ca="1" si="7"/>
        <v>50.633255368701427</v>
      </c>
      <c r="AJ43" s="504">
        <f t="shared" ca="1" si="7"/>
        <v>48.194023978289707</v>
      </c>
      <c r="AK43" s="504">
        <f t="shared" ca="1" si="7"/>
        <v>45.887524938300785</v>
      </c>
      <c r="AL43" s="504">
        <f t="shared" ca="1" si="7"/>
        <v>43.625431334504206</v>
      </c>
      <c r="AM43" s="504">
        <f t="shared" ca="1" si="7"/>
        <v>41.409292780354896</v>
      </c>
      <c r="AN43" s="504">
        <f t="shared" ca="1" si="7"/>
        <v>39.240438352240403</v>
      </c>
      <c r="AO43" s="504">
        <f t="shared" ca="1" si="7"/>
        <v>21.024988864460312</v>
      </c>
      <c r="AP43" s="504">
        <f t="shared" ca="1" si="7"/>
        <v>19.6475748632283</v>
      </c>
      <c r="AQ43" s="504">
        <f t="shared" ca="1" si="8"/>
        <v>18.328587206086418</v>
      </c>
      <c r="AR43" s="504">
        <f t="shared" ca="1" si="8"/>
        <v>17.066010981972255</v>
      </c>
      <c r="AS43" s="504">
        <f t="shared" ca="1" si="8"/>
        <v>15.857888515675935</v>
      </c>
    </row>
    <row r="44" spans="1:47" s="500" customFormat="1">
      <c r="B44" s="501">
        <v>3</v>
      </c>
      <c r="C44" s="501" t="str">
        <f t="shared" si="4"/>
        <v>3Capital and Maintenance Costs</v>
      </c>
      <c r="D44" s="500" t="s">
        <v>279</v>
      </c>
      <c r="E44" s="504" t="str">
        <f t="shared" ca="1" si="5"/>
        <v>Heat Pumps &amp; HHP</v>
      </c>
      <c r="F44" s="504"/>
      <c r="G44" s="504"/>
      <c r="H44" s="504"/>
      <c r="I44" s="504"/>
      <c r="J44" s="504">
        <f t="shared" ca="1" si="9"/>
        <v>0</v>
      </c>
      <c r="K44" s="504">
        <f t="shared" ca="1" si="10"/>
        <v>0</v>
      </c>
      <c r="L44" s="504">
        <f t="shared" ca="1" si="10"/>
        <v>0</v>
      </c>
      <c r="M44" s="504">
        <f t="shared" ca="1" si="10"/>
        <v>0</v>
      </c>
      <c r="N44" s="504">
        <f t="shared" ca="1" si="10"/>
        <v>0</v>
      </c>
      <c r="O44" s="504">
        <f t="shared" ca="1" si="10"/>
        <v>0</v>
      </c>
      <c r="P44" s="504">
        <f t="shared" ca="1" si="10"/>
        <v>168.47890002757669</v>
      </c>
      <c r="Q44" s="504">
        <f t="shared" ca="1" si="10"/>
        <v>325.15281416296909</v>
      </c>
      <c r="R44" s="504">
        <f t="shared" ca="1" si="10"/>
        <v>410.01870112541604</v>
      </c>
      <c r="S44" s="504">
        <f t="shared" ca="1" si="10"/>
        <v>535.62795769846082</v>
      </c>
      <c r="T44" s="504">
        <f t="shared" ca="1" si="10"/>
        <v>606.5513526989572</v>
      </c>
      <c r="U44" s="504">
        <f t="shared" ca="1" si="10"/>
        <v>716.1356291815805</v>
      </c>
      <c r="V44" s="504">
        <f t="shared" ca="1" si="10"/>
        <v>813.56486804963686</v>
      </c>
      <c r="W44" s="504">
        <f t="shared" ca="1" si="10"/>
        <v>783.63049382994859</v>
      </c>
      <c r="X44" s="504">
        <f t="shared" ca="1" si="10"/>
        <v>751.2808434624169</v>
      </c>
      <c r="Y44" s="504">
        <f t="shared" ca="1" si="10"/>
        <v>717.43473096710409</v>
      </c>
      <c r="Z44" s="504">
        <f t="shared" ca="1" si="10"/>
        <v>643.78956451130853</v>
      </c>
      <c r="AA44" s="504">
        <f t="shared" ca="1" si="7"/>
        <v>623.91969761246628</v>
      </c>
      <c r="AB44" s="504">
        <f t="shared" ca="1" si="7"/>
        <v>608.2559910985708</v>
      </c>
      <c r="AC44" s="504">
        <f t="shared" ca="1" si="7"/>
        <v>580.07184398876745</v>
      </c>
      <c r="AD44" s="504">
        <f t="shared" ca="1" si="7"/>
        <v>605.0174403905512</v>
      </c>
      <c r="AE44" s="504">
        <f t="shared" ca="1" si="7"/>
        <v>606.29919343274787</v>
      </c>
      <c r="AF44" s="504">
        <f t="shared" ca="1" si="7"/>
        <v>542.44702469565334</v>
      </c>
      <c r="AG44" s="504">
        <f t="shared" ca="1" si="7"/>
        <v>454.29459748539512</v>
      </c>
      <c r="AH44" s="504">
        <f t="shared" ca="1" si="7"/>
        <v>284.00608284842673</v>
      </c>
      <c r="AI44" s="504">
        <f t="shared" ca="1" si="7"/>
        <v>323.83888822089625</v>
      </c>
      <c r="AJ44" s="504">
        <f t="shared" ca="1" si="7"/>
        <v>361.88635669403033</v>
      </c>
      <c r="AK44" s="504">
        <f t="shared" ca="1" si="7"/>
        <v>396.53752406293404</v>
      </c>
      <c r="AL44" s="504">
        <f t="shared" ca="1" si="7"/>
        <v>384.4502312668364</v>
      </c>
      <c r="AM44" s="504">
        <f t="shared" ca="1" si="7"/>
        <v>371.24907008303865</v>
      </c>
      <c r="AN44" s="504">
        <f t="shared" ca="1" si="7"/>
        <v>357.88348288150246</v>
      </c>
      <c r="AO44" s="504">
        <f t="shared" ca="1" si="7"/>
        <v>312.7046402197019</v>
      </c>
      <c r="AP44" s="504">
        <f t="shared" ca="1" si="7"/>
        <v>302.40948094180851</v>
      </c>
      <c r="AQ44" s="504">
        <f t="shared" ca="1" si="8"/>
        <v>292.44866210398112</v>
      </c>
      <c r="AR44" s="504">
        <f t="shared" ca="1" si="8"/>
        <v>274.83862707191116</v>
      </c>
      <c r="AS44" s="504">
        <f t="shared" ca="1" si="8"/>
        <v>259.61833586703318</v>
      </c>
    </row>
    <row r="45" spans="1:47" s="500" customFormat="1">
      <c r="B45" s="501">
        <v>4</v>
      </c>
      <c r="C45" s="501" t="str">
        <f t="shared" si="4"/>
        <v>4Capital and Maintenance Costs</v>
      </c>
      <c r="D45" s="500" t="s">
        <v>279</v>
      </c>
      <c r="E45" s="504" t="str">
        <f t="shared" ca="1" si="5"/>
        <v>PV &amp; Solar thermal</v>
      </c>
      <c r="F45" s="504"/>
      <c r="G45" s="504"/>
      <c r="H45" s="504"/>
      <c r="I45" s="504"/>
      <c r="J45" s="504">
        <f t="shared" ca="1" si="9"/>
        <v>9.8661712669309463</v>
      </c>
      <c r="K45" s="504">
        <f t="shared" ca="1" si="10"/>
        <v>9.8408059262440961</v>
      </c>
      <c r="L45" s="504">
        <f t="shared" ca="1" si="10"/>
        <v>9.7432370559858317</v>
      </c>
      <c r="M45" s="504">
        <f t="shared" ca="1" si="10"/>
        <v>9.6209455478922745</v>
      </c>
      <c r="N45" s="504">
        <f t="shared" ca="1" si="10"/>
        <v>9.4858659917852233</v>
      </c>
      <c r="O45" s="504">
        <f t="shared" ca="1" si="10"/>
        <v>15.403611439993904</v>
      </c>
      <c r="P45" s="504">
        <f t="shared" ca="1" si="10"/>
        <v>17.062971926073686</v>
      </c>
      <c r="Q45" s="504">
        <f t="shared" ca="1" si="10"/>
        <v>15.980029241668088</v>
      </c>
      <c r="R45" s="504">
        <f t="shared" ca="1" si="10"/>
        <v>14.736486282660401</v>
      </c>
      <c r="S45" s="504">
        <f t="shared" ca="1" si="10"/>
        <v>13.71129077881238</v>
      </c>
      <c r="T45" s="504">
        <f t="shared" ca="1" si="10"/>
        <v>13.024910756807438</v>
      </c>
      <c r="U45" s="504">
        <f t="shared" ca="1" si="10"/>
        <v>14.82849720727619</v>
      </c>
      <c r="V45" s="504">
        <f t="shared" ca="1" si="10"/>
        <v>13.359964922934429</v>
      </c>
      <c r="W45" s="504">
        <f t="shared" ca="1" si="10"/>
        <v>13.566444683732907</v>
      </c>
      <c r="X45" s="504">
        <f t="shared" ca="1" si="10"/>
        <v>13.838366523107966</v>
      </c>
      <c r="Y45" s="504">
        <f t="shared" ca="1" si="10"/>
        <v>14.049540246904765</v>
      </c>
      <c r="Z45" s="504">
        <f t="shared" ca="1" si="10"/>
        <v>15.341728659439504</v>
      </c>
      <c r="AA45" s="504">
        <f t="shared" ca="1" si="7"/>
        <v>17.129698696411058</v>
      </c>
      <c r="AB45" s="504">
        <f t="shared" ca="1" si="7"/>
        <v>18.874360717589447</v>
      </c>
      <c r="AC45" s="504">
        <f t="shared" ca="1" si="7"/>
        <v>20.650792769446412</v>
      </c>
      <c r="AD45" s="504">
        <f t="shared" ca="1" si="7"/>
        <v>27.326444037985301</v>
      </c>
      <c r="AE45" s="504">
        <f t="shared" ca="1" si="7"/>
        <v>28.27939099093058</v>
      </c>
      <c r="AF45" s="504">
        <f t="shared" ca="1" si="7"/>
        <v>22.765117755567619</v>
      </c>
      <c r="AG45" s="504">
        <f t="shared" ca="1" si="7"/>
        <v>22.833628185687697</v>
      </c>
      <c r="AH45" s="504">
        <f t="shared" ca="1" si="7"/>
        <v>22.936204932424484</v>
      </c>
      <c r="AI45" s="504">
        <f t="shared" ca="1" si="7"/>
        <v>25.246956547904201</v>
      </c>
      <c r="AJ45" s="504">
        <f t="shared" ca="1" si="7"/>
        <v>25.313142156577349</v>
      </c>
      <c r="AK45" s="504">
        <f t="shared" ca="1" si="7"/>
        <v>24.231171888854981</v>
      </c>
      <c r="AL45" s="504">
        <f t="shared" ca="1" si="7"/>
        <v>23.145325551446007</v>
      </c>
      <c r="AM45" s="504">
        <f t="shared" ca="1" si="7"/>
        <v>22.049709813625906</v>
      </c>
      <c r="AN45" s="504">
        <f t="shared" ca="1" si="7"/>
        <v>22.201184567553483</v>
      </c>
      <c r="AO45" s="504">
        <f t="shared" ca="1" si="7"/>
        <v>22.493881669141185</v>
      </c>
      <c r="AP45" s="504">
        <f t="shared" ca="1" si="7"/>
        <v>20.505246280574323</v>
      </c>
      <c r="AQ45" s="504">
        <f t="shared" ca="1" si="8"/>
        <v>19.200681834749705</v>
      </c>
      <c r="AR45" s="504">
        <f t="shared" ca="1" si="8"/>
        <v>18.054955813326849</v>
      </c>
      <c r="AS45" s="504">
        <f t="shared" ca="1" si="8"/>
        <v>17.10360572919268</v>
      </c>
    </row>
    <row r="46" spans="1:47" s="500" customFormat="1">
      <c r="B46" s="501">
        <v>5</v>
      </c>
      <c r="C46" s="501" t="str">
        <f t="shared" si="4"/>
        <v>5Capital and Maintenance Costs</v>
      </c>
      <c r="D46" s="500" t="s">
        <v>279</v>
      </c>
      <c r="E46" s="504" t="str">
        <f t="shared" ca="1" si="5"/>
        <v>Hydrogen Heating</v>
      </c>
      <c r="F46" s="504"/>
      <c r="G46" s="504"/>
      <c r="H46" s="504"/>
      <c r="I46" s="504"/>
      <c r="J46" s="504">
        <f ca="1">IFERROR(INDEX(J$1:J$39,MATCH($C46,$B$1:$B$39,0)),"")</f>
        <v>0</v>
      </c>
      <c r="K46" s="504">
        <f ca="1">IFERROR(INDEX(K$1:K$39,MATCH($C46,$B$1:$B$39,0)),"")</f>
        <v>0</v>
      </c>
      <c r="L46" s="504">
        <f t="shared" ref="K46:AS54" ca="1" si="11">IFERROR(INDEX(L$1:L$39,MATCH($C46,$B$1:$B$39,0)),"")</f>
        <v>0</v>
      </c>
      <c r="M46" s="504">
        <f t="shared" ca="1" si="11"/>
        <v>0</v>
      </c>
      <c r="N46" s="504">
        <f t="shared" ca="1" si="11"/>
        <v>0</v>
      </c>
      <c r="O46" s="504">
        <f t="shared" ca="1" si="11"/>
        <v>0</v>
      </c>
      <c r="P46" s="504">
        <f t="shared" ca="1" si="11"/>
        <v>0</v>
      </c>
      <c r="Q46" s="504">
        <f t="shared" ca="1" si="11"/>
        <v>0</v>
      </c>
      <c r="R46" s="504">
        <f t="shared" ca="1" si="11"/>
        <v>0</v>
      </c>
      <c r="S46" s="504">
        <f t="shared" ca="1" si="11"/>
        <v>0</v>
      </c>
      <c r="T46" s="504">
        <f t="shared" ca="1" si="11"/>
        <v>0</v>
      </c>
      <c r="U46" s="504">
        <f t="shared" ca="1" si="11"/>
        <v>0</v>
      </c>
      <c r="V46" s="504">
        <f t="shared" ca="1" si="11"/>
        <v>0</v>
      </c>
      <c r="W46" s="504">
        <f t="shared" ca="1" si="11"/>
        <v>0</v>
      </c>
      <c r="X46" s="504">
        <f t="shared" ca="1" si="11"/>
        <v>0</v>
      </c>
      <c r="Y46" s="504">
        <f t="shared" ca="1" si="11"/>
        <v>0</v>
      </c>
      <c r="Z46" s="504">
        <f t="shared" ca="1" si="11"/>
        <v>0</v>
      </c>
      <c r="AA46" s="504">
        <f t="shared" ca="1" si="7"/>
        <v>0</v>
      </c>
      <c r="AB46" s="504">
        <f t="shared" ca="1" si="7"/>
        <v>0</v>
      </c>
      <c r="AC46" s="504">
        <f t="shared" ca="1" si="7"/>
        <v>0</v>
      </c>
      <c r="AD46" s="504">
        <f t="shared" ca="1" si="7"/>
        <v>0</v>
      </c>
      <c r="AE46" s="504">
        <f t="shared" ca="1" si="7"/>
        <v>0</v>
      </c>
      <c r="AF46" s="504">
        <f t="shared" ca="1" si="7"/>
        <v>0</v>
      </c>
      <c r="AG46" s="504">
        <f t="shared" ca="1" si="7"/>
        <v>0</v>
      </c>
      <c r="AH46" s="504">
        <f t="shared" ca="1" si="7"/>
        <v>0</v>
      </c>
      <c r="AI46" s="504">
        <f t="shared" ca="1" si="7"/>
        <v>0</v>
      </c>
      <c r="AJ46" s="504">
        <f t="shared" ca="1" si="7"/>
        <v>0</v>
      </c>
      <c r="AK46" s="504">
        <f t="shared" ca="1" si="7"/>
        <v>0</v>
      </c>
      <c r="AL46" s="504">
        <f t="shared" ca="1" si="7"/>
        <v>0</v>
      </c>
      <c r="AM46" s="504">
        <f t="shared" ca="1" si="7"/>
        <v>0</v>
      </c>
      <c r="AN46" s="504">
        <f t="shared" ca="1" si="7"/>
        <v>0</v>
      </c>
      <c r="AO46" s="504">
        <f t="shared" ca="1" si="7"/>
        <v>0</v>
      </c>
      <c r="AP46" s="504">
        <f t="shared" ref="AP46" ca="1" si="12">IFERROR(INDEX(AP$1:AP$39,MATCH($C46,$B$1:$B$39,0)),"")</f>
        <v>0</v>
      </c>
      <c r="AQ46" s="504">
        <f t="shared" ca="1" si="8"/>
        <v>0</v>
      </c>
      <c r="AR46" s="504">
        <f t="shared" ca="1" si="8"/>
        <v>0</v>
      </c>
      <c r="AS46" s="504">
        <f t="shared" ca="1" si="8"/>
        <v>0</v>
      </c>
    </row>
    <row r="47" spans="1:47" s="500" customFormat="1">
      <c r="B47" s="501">
        <v>6</v>
      </c>
      <c r="C47" s="501" t="str">
        <f t="shared" si="4"/>
        <v>6Capital and Maintenance Costs</v>
      </c>
      <c r="D47" s="500" t="s">
        <v>279</v>
      </c>
      <c r="E47" s="504" t="str">
        <f t="shared" ca="1" si="5"/>
        <v>Gas Boilers</v>
      </c>
      <c r="F47" s="504"/>
      <c r="G47" s="504"/>
      <c r="H47" s="504"/>
      <c r="I47" s="504"/>
      <c r="J47" s="504">
        <f t="shared" ref="J47:Y57" ca="1" si="13">IFERROR(INDEX(J$1:J$39,MATCH($C47,$B$1:$B$39,0)),"")</f>
        <v>314.52959516653345</v>
      </c>
      <c r="K47" s="504">
        <f t="shared" ca="1" si="13"/>
        <v>317.09875875721252</v>
      </c>
      <c r="L47" s="504">
        <f t="shared" ca="1" si="13"/>
        <v>318.86244426300686</v>
      </c>
      <c r="M47" s="504">
        <f t="shared" ca="1" si="13"/>
        <v>320.59254518955424</v>
      </c>
      <c r="N47" s="504">
        <f t="shared" ca="1" si="13"/>
        <v>322.29705848129834</v>
      </c>
      <c r="O47" s="504">
        <f t="shared" ca="1" si="13"/>
        <v>291.71246620121099</v>
      </c>
      <c r="P47" s="504">
        <f t="shared" ca="1" si="13"/>
        <v>272.26310585002824</v>
      </c>
      <c r="Q47" s="504">
        <f t="shared" ca="1" si="13"/>
        <v>242.91443148739549</v>
      </c>
      <c r="R47" s="504">
        <f t="shared" ca="1" si="13"/>
        <v>230.42363634447676</v>
      </c>
      <c r="S47" s="504">
        <f t="shared" ca="1" si="13"/>
        <v>215.6319073556952</v>
      </c>
      <c r="T47" s="504">
        <f t="shared" ca="1" si="13"/>
        <v>199.43677389772435</v>
      </c>
      <c r="U47" s="504">
        <f t="shared" ca="1" si="13"/>
        <v>179.90023592938576</v>
      </c>
      <c r="V47" s="504">
        <f t="shared" ca="1" si="13"/>
        <v>159.27175011324198</v>
      </c>
      <c r="W47" s="504">
        <f t="shared" ca="1" si="13"/>
        <v>139.97380860957131</v>
      </c>
      <c r="X47" s="504">
        <f t="shared" ca="1" si="13"/>
        <v>122.38515155268215</v>
      </c>
      <c r="Y47" s="504">
        <f t="shared" ca="1" si="13"/>
        <v>133.9555538936709</v>
      </c>
      <c r="Z47" s="504">
        <f t="shared" ca="1" si="11"/>
        <v>111.18409652688756</v>
      </c>
      <c r="AA47" s="504">
        <f t="shared" ca="1" si="11"/>
        <v>89.857970958729467</v>
      </c>
      <c r="AB47" s="504">
        <f t="shared" ca="1" si="11"/>
        <v>69.654411879324442</v>
      </c>
      <c r="AC47" s="504">
        <f t="shared" ca="1" si="11"/>
        <v>54.802611010769795</v>
      </c>
      <c r="AD47" s="504">
        <f t="shared" ca="1" si="11"/>
        <v>44.537177470027991</v>
      </c>
      <c r="AE47" s="504">
        <f t="shared" ca="1" si="11"/>
        <v>32.935052790198142</v>
      </c>
      <c r="AF47" s="504">
        <f t="shared" ca="1" si="11"/>
        <v>24.590923372176139</v>
      </c>
      <c r="AG47" s="504">
        <f t="shared" ca="1" si="11"/>
        <v>18.87630020410619</v>
      </c>
      <c r="AH47" s="504">
        <f t="shared" ca="1" si="11"/>
        <v>16.420582530932958</v>
      </c>
      <c r="AI47" s="504">
        <f t="shared" ca="1" si="11"/>
        <v>14.167684024787938</v>
      </c>
      <c r="AJ47" s="504">
        <f t="shared" ca="1" si="11"/>
        <v>12.008278440859096</v>
      </c>
      <c r="AK47" s="504">
        <f t="shared" ca="1" si="11"/>
        <v>10.047238133369763</v>
      </c>
      <c r="AL47" s="504">
        <f t="shared" ca="1" si="11"/>
        <v>8.2706750605511559</v>
      </c>
      <c r="AM47" s="504">
        <f t="shared" ca="1" si="11"/>
        <v>6.6655440206572578</v>
      </c>
      <c r="AN47" s="504">
        <f t="shared" ca="1" si="11"/>
        <v>5.2196070037120208</v>
      </c>
      <c r="AO47" s="504">
        <f t="shared" ca="1" si="11"/>
        <v>4.0328731720535096</v>
      </c>
      <c r="AP47" s="504">
        <f t="shared" ca="1" si="11"/>
        <v>2.9219231329267084</v>
      </c>
      <c r="AQ47" s="504">
        <f t="shared" ca="1" si="11"/>
        <v>1.8822491096155347</v>
      </c>
      <c r="AR47" s="504">
        <f t="shared" ca="1" si="11"/>
        <v>0.90960648154034462</v>
      </c>
      <c r="AS47" s="504">
        <f t="shared" ca="1" si="11"/>
        <v>0</v>
      </c>
    </row>
    <row r="48" spans="1:47" s="500" customFormat="1">
      <c r="B48" s="501">
        <v>7</v>
      </c>
      <c r="C48" s="501" t="str">
        <f t="shared" si="4"/>
        <v>7Capital and Maintenance Costs</v>
      </c>
      <c r="D48" s="500" t="s">
        <v>279</v>
      </c>
      <c r="E48" s="504" t="str">
        <f t="shared" ca="1" si="5"/>
        <v>Electric heating</v>
      </c>
      <c r="F48" s="504"/>
      <c r="G48" s="504"/>
      <c r="H48" s="504"/>
      <c r="I48" s="504"/>
      <c r="J48" s="504">
        <f t="shared" ca="1" si="13"/>
        <v>12.79995359614284</v>
      </c>
      <c r="K48" s="504">
        <f t="shared" ca="1" si="11"/>
        <v>13.024033297291856</v>
      </c>
      <c r="L48" s="504">
        <f t="shared" ca="1" si="11"/>
        <v>13.221582562047457</v>
      </c>
      <c r="M48" s="504">
        <f t="shared" ca="1" si="11"/>
        <v>13.416305753670585</v>
      </c>
      <c r="N48" s="504">
        <f t="shared" ca="1" si="11"/>
        <v>13.608951429489894</v>
      </c>
      <c r="O48" s="504">
        <f t="shared" ca="1" si="11"/>
        <v>12.782195479149998</v>
      </c>
      <c r="P48" s="504">
        <f t="shared" ca="1" si="11"/>
        <v>12.149983973512146</v>
      </c>
      <c r="Q48" s="504">
        <f t="shared" ca="1" si="11"/>
        <v>11.112954951634672</v>
      </c>
      <c r="R48" s="504">
        <f t="shared" ca="1" si="11"/>
        <v>10.544623935355348</v>
      </c>
      <c r="S48" s="504">
        <f t="shared" ca="1" si="11"/>
        <v>9.8556732609703683</v>
      </c>
      <c r="T48" s="504">
        <f t="shared" ca="1" si="11"/>
        <v>9.097049242437679</v>
      </c>
      <c r="U48" s="504">
        <f t="shared" ca="1" si="11"/>
        <v>8.1231299529360044</v>
      </c>
      <c r="V48" s="504">
        <f t="shared" ca="1" si="11"/>
        <v>7.2069539324647129</v>
      </c>
      <c r="W48" s="504">
        <f t="shared" ca="1" si="11"/>
        <v>6.355753890767887</v>
      </c>
      <c r="X48" s="504">
        <f t="shared" ca="1" si="11"/>
        <v>5.5757486085346768</v>
      </c>
      <c r="Y48" s="504">
        <f t="shared" ca="1" si="11"/>
        <v>5.7581189593496447</v>
      </c>
      <c r="Z48" s="504">
        <f t="shared" ca="1" si="11"/>
        <v>4.9317932206652664</v>
      </c>
      <c r="AA48" s="504">
        <f t="shared" ca="1" si="11"/>
        <v>4.129434330131363</v>
      </c>
      <c r="AB48" s="504">
        <f t="shared" ca="1" si="11"/>
        <v>3.3049295227540703</v>
      </c>
      <c r="AC48" s="504">
        <f t="shared" ca="1" si="11"/>
        <v>2.6333146044445379</v>
      </c>
      <c r="AD48" s="504">
        <f t="shared" ca="1" si="11"/>
        <v>2.1208542400848787</v>
      </c>
      <c r="AE48" s="504">
        <f t="shared" ca="1" si="11"/>
        <v>8.8958109812527351</v>
      </c>
      <c r="AF48" s="504">
        <f t="shared" ca="1" si="11"/>
        <v>7.1628173438657221</v>
      </c>
      <c r="AG48" s="504">
        <f t="shared" ca="1" si="11"/>
        <v>6.522697909001054</v>
      </c>
      <c r="AH48" s="504">
        <f t="shared" ca="1" si="11"/>
        <v>9.3395876611311799</v>
      </c>
      <c r="AI48" s="504">
        <f t="shared" ca="1" si="11"/>
        <v>9.6562182567701207</v>
      </c>
      <c r="AJ48" s="504">
        <f t="shared" ca="1" si="11"/>
        <v>9.5830772762938423</v>
      </c>
      <c r="AK48" s="504">
        <f t="shared" ca="1" si="11"/>
        <v>9.659457041929512</v>
      </c>
      <c r="AL48" s="504">
        <f t="shared" ca="1" si="11"/>
        <v>9.6823949405847358</v>
      </c>
      <c r="AM48" s="504">
        <f t="shared" ca="1" si="11"/>
        <v>9.6569086788581942</v>
      </c>
      <c r="AN48" s="504">
        <f t="shared" ca="1" si="11"/>
        <v>9.5877499384445706</v>
      </c>
      <c r="AO48" s="504">
        <f t="shared" ca="1" si="11"/>
        <v>10.868732649540803</v>
      </c>
      <c r="AP48" s="504">
        <f t="shared" ca="1" si="11"/>
        <v>11.107143413074718</v>
      </c>
      <c r="AQ48" s="504">
        <f t="shared" ca="1" si="11"/>
        <v>11.321258730160054</v>
      </c>
      <c r="AR48" s="504">
        <f t="shared" ca="1" si="11"/>
        <v>11.512720840170321</v>
      </c>
      <c r="AS48" s="504">
        <f t="shared" ca="1" si="11"/>
        <v>11.683141631544764</v>
      </c>
    </row>
    <row r="49" spans="2:50" s="500" customFormat="1">
      <c r="B49" s="501">
        <v>8</v>
      </c>
      <c r="C49" s="501" t="str">
        <f t="shared" si="4"/>
        <v>8Capital and Maintenance Costs</v>
      </c>
      <c r="D49" s="500" t="s">
        <v>279</v>
      </c>
      <c r="E49" s="504" t="str">
        <f t="shared" ca="1" si="5"/>
        <v>Smart and storage</v>
      </c>
      <c r="F49" s="504"/>
      <c r="G49" s="504"/>
      <c r="H49" s="504"/>
      <c r="I49" s="504"/>
      <c r="J49" s="504">
        <f t="shared" ca="1" si="13"/>
        <v>0</v>
      </c>
      <c r="K49" s="504">
        <f t="shared" ca="1" si="11"/>
        <v>0</v>
      </c>
      <c r="L49" s="504">
        <f t="shared" ca="1" si="11"/>
        <v>0</v>
      </c>
      <c r="M49" s="504">
        <f t="shared" ca="1" si="11"/>
        <v>0</v>
      </c>
      <c r="N49" s="504">
        <f t="shared" ca="1" si="11"/>
        <v>0</v>
      </c>
      <c r="O49" s="504">
        <f t="shared" ca="1" si="11"/>
        <v>0</v>
      </c>
      <c r="P49" s="504">
        <f t="shared" ca="1" si="11"/>
        <v>4.0233749427032865</v>
      </c>
      <c r="Q49" s="504">
        <f t="shared" ca="1" si="11"/>
        <v>4.7704730315537809</v>
      </c>
      <c r="R49" s="504">
        <f t="shared" ca="1" si="11"/>
        <v>5.4871278928399301</v>
      </c>
      <c r="S49" s="504">
        <f t="shared" ca="1" si="11"/>
        <v>6.1601274143947382</v>
      </c>
      <c r="T49" s="504">
        <f t="shared" ca="1" si="11"/>
        <v>6.7691989752228778</v>
      </c>
      <c r="U49" s="504">
        <f t="shared" ca="1" si="11"/>
        <v>3.8828771001969331</v>
      </c>
      <c r="V49" s="504">
        <f t="shared" ca="1" si="11"/>
        <v>3.7812586528677969</v>
      </c>
      <c r="W49" s="504">
        <f t="shared" ca="1" si="11"/>
        <v>3.6612310670015975</v>
      </c>
      <c r="X49" s="504">
        <f t="shared" ca="1" si="11"/>
        <v>11.814648794978117</v>
      </c>
      <c r="Y49" s="504">
        <f t="shared" ca="1" si="11"/>
        <v>18.06756109347279</v>
      </c>
      <c r="Z49" s="504">
        <f t="shared" ca="1" si="11"/>
        <v>18.697063743422916</v>
      </c>
      <c r="AA49" s="504">
        <f t="shared" ca="1" si="11"/>
        <v>18.280856047359048</v>
      </c>
      <c r="AB49" s="504">
        <f t="shared" ca="1" si="11"/>
        <v>17.855785456257646</v>
      </c>
      <c r="AC49" s="504">
        <f t="shared" ca="1" si="11"/>
        <v>17.452700664146558</v>
      </c>
      <c r="AD49" s="504">
        <f t="shared" ca="1" si="11"/>
        <v>12.68191503263453</v>
      </c>
      <c r="AE49" s="504">
        <f t="shared" ca="1" si="11"/>
        <v>16.477905044078039</v>
      </c>
      <c r="AF49" s="504">
        <f t="shared" ca="1" si="11"/>
        <v>15.92250603436684</v>
      </c>
      <c r="AG49" s="504">
        <f t="shared" ca="1" si="11"/>
        <v>15.354828218368967</v>
      </c>
      <c r="AH49" s="504">
        <f t="shared" ca="1" si="11"/>
        <v>14.777400259081938</v>
      </c>
      <c r="AI49" s="504">
        <f t="shared" ca="1" si="11"/>
        <v>13.873044629317183</v>
      </c>
      <c r="AJ49" s="504">
        <f t="shared" ca="1" si="11"/>
        <v>13.101024347888174</v>
      </c>
      <c r="AK49" s="504">
        <f t="shared" ca="1" si="11"/>
        <v>12.411070025167453</v>
      </c>
      <c r="AL49" s="504">
        <f t="shared" ca="1" si="11"/>
        <v>11.738265974728309</v>
      </c>
      <c r="AM49" s="504">
        <f t="shared" ca="1" si="11"/>
        <v>10.305837997065863</v>
      </c>
      <c r="AN49" s="504">
        <f t="shared" ca="1" si="11"/>
        <v>4.2542704553908202</v>
      </c>
      <c r="AO49" s="504">
        <f t="shared" ca="1" si="11"/>
        <v>3.7991070313238433</v>
      </c>
      <c r="AP49" s="504">
        <f t="shared" ca="1" si="11"/>
        <v>3.3854905495611263</v>
      </c>
      <c r="AQ49" s="504">
        <f t="shared" ca="1" si="11"/>
        <v>2.7830554221859143</v>
      </c>
      <c r="AR49" s="504">
        <f t="shared" ca="1" si="11"/>
        <v>2.3462943146409585</v>
      </c>
      <c r="AS49" s="504">
        <f t="shared" ca="1" si="11"/>
        <v>1.9616606530973306</v>
      </c>
    </row>
    <row r="50" spans="2:50" s="500" customFormat="1">
      <c r="B50" s="501">
        <v>9</v>
      </c>
      <c r="C50" s="501" t="str">
        <f t="shared" si="4"/>
        <v>9Capital and Maintenance Costs</v>
      </c>
      <c r="D50" s="500" t="s">
        <v>279</v>
      </c>
      <c r="E50" s="504" t="str">
        <f t="shared" ca="1" si="5"/>
        <v>Electricity grid</v>
      </c>
      <c r="F50" s="504"/>
      <c r="G50" s="504"/>
      <c r="H50" s="504"/>
      <c r="I50" s="504"/>
      <c r="J50" s="504">
        <f t="shared" ca="1" si="13"/>
        <v>0</v>
      </c>
      <c r="K50" s="504">
        <f t="shared" ca="1" si="11"/>
        <v>1.0015569591829988E-2</v>
      </c>
      <c r="L50" s="504">
        <f t="shared" ca="1" si="11"/>
        <v>1.0015569591829988E-2</v>
      </c>
      <c r="M50" s="504">
        <f t="shared" ca="1" si="11"/>
        <v>1.0015569591829991E-2</v>
      </c>
      <c r="N50" s="504">
        <f t="shared" ca="1" si="11"/>
        <v>1.0015569591829983E-2</v>
      </c>
      <c r="O50" s="504">
        <f t="shared" ca="1" si="11"/>
        <v>0</v>
      </c>
      <c r="P50" s="504">
        <f t="shared" ca="1" si="11"/>
        <v>0</v>
      </c>
      <c r="Q50" s="504">
        <f t="shared" ca="1" si="11"/>
        <v>0</v>
      </c>
      <c r="R50" s="504">
        <f t="shared" ca="1" si="11"/>
        <v>0</v>
      </c>
      <c r="S50" s="504">
        <f t="shared" ca="1" si="11"/>
        <v>0</v>
      </c>
      <c r="T50" s="504">
        <f t="shared" ca="1" si="11"/>
        <v>0</v>
      </c>
      <c r="U50" s="504">
        <f t="shared" ca="1" si="11"/>
        <v>0</v>
      </c>
      <c r="V50" s="504">
        <f t="shared" ca="1" si="11"/>
        <v>0</v>
      </c>
      <c r="W50" s="504">
        <f t="shared" ca="1" si="11"/>
        <v>0</v>
      </c>
      <c r="X50" s="504">
        <f t="shared" ca="1" si="11"/>
        <v>0</v>
      </c>
      <c r="Y50" s="504">
        <f t="shared" ca="1" si="11"/>
        <v>0</v>
      </c>
      <c r="Z50" s="504">
        <f t="shared" ca="1" si="11"/>
        <v>0</v>
      </c>
      <c r="AA50" s="504">
        <f t="shared" ca="1" si="11"/>
        <v>0</v>
      </c>
      <c r="AB50" s="504">
        <f t="shared" ca="1" si="11"/>
        <v>0.25987145752273244</v>
      </c>
      <c r="AC50" s="504">
        <f t="shared" ca="1" si="11"/>
        <v>8.7109486844314503</v>
      </c>
      <c r="AD50" s="504">
        <f t="shared" ca="1" si="11"/>
        <v>18.258656961580254</v>
      </c>
      <c r="AE50" s="504">
        <f t="shared" ca="1" si="11"/>
        <v>17.641214455633101</v>
      </c>
      <c r="AF50" s="504">
        <f t="shared" ca="1" si="11"/>
        <v>17.044651647954616</v>
      </c>
      <c r="AG50" s="504">
        <f t="shared" ca="1" si="11"/>
        <v>16.468262461791973</v>
      </c>
      <c r="AH50" s="504">
        <f t="shared" ca="1" si="11"/>
        <v>15.911364697383547</v>
      </c>
      <c r="AI50" s="504">
        <f t="shared" ca="1" si="11"/>
        <v>11.853317665834602</v>
      </c>
      <c r="AJ50" s="504">
        <f t="shared" ca="1" si="11"/>
        <v>11.452480836555168</v>
      </c>
      <c r="AK50" s="504">
        <f t="shared" ca="1" si="11"/>
        <v>11.065198875898716</v>
      </c>
      <c r="AL50" s="504">
        <f t="shared" ca="1" si="11"/>
        <v>10.691013406665423</v>
      </c>
      <c r="AM50" s="504">
        <f t="shared" ca="1" si="11"/>
        <v>10.329481552333752</v>
      </c>
      <c r="AN50" s="504">
        <f t="shared" ca="1" si="11"/>
        <v>10.820680983873805</v>
      </c>
      <c r="AO50" s="504">
        <f t="shared" ca="1" si="11"/>
        <v>10.454764235626865</v>
      </c>
      <c r="AP50" s="504">
        <f t="shared" ca="1" si="11"/>
        <v>10.101221483697413</v>
      </c>
      <c r="AQ50" s="504">
        <f t="shared" ca="1" si="11"/>
        <v>9.7596342837656493</v>
      </c>
      <c r="AR50" s="504">
        <f t="shared" ca="1" si="11"/>
        <v>9.4295983418025724</v>
      </c>
      <c r="AS50" s="504">
        <f t="shared" ca="1" si="11"/>
        <v>0</v>
      </c>
    </row>
    <row r="51" spans="2:50" s="500" customFormat="1">
      <c r="B51" s="501">
        <v>10</v>
      </c>
      <c r="C51" s="501" t="str">
        <f t="shared" si="4"/>
        <v>10Capital and Maintenance Costs</v>
      </c>
      <c r="D51" s="500" t="s">
        <v>279</v>
      </c>
      <c r="E51" s="504" t="str">
        <f t="shared" ca="1" si="5"/>
        <v>EV charging</v>
      </c>
      <c r="F51" s="504"/>
      <c r="G51" s="504"/>
      <c r="H51" s="504"/>
      <c r="I51" s="504"/>
      <c r="J51" s="504">
        <f t="shared" ca="1" si="13"/>
        <v>0</v>
      </c>
      <c r="K51" s="504">
        <f t="shared" ca="1" si="11"/>
        <v>0</v>
      </c>
      <c r="L51" s="504">
        <f t="shared" ca="1" si="11"/>
        <v>0</v>
      </c>
      <c r="M51" s="504">
        <f t="shared" ca="1" si="11"/>
        <v>10.344136072243892</v>
      </c>
      <c r="N51" s="504">
        <f t="shared" ca="1" si="11"/>
        <v>3.9545137064952383</v>
      </c>
      <c r="O51" s="504">
        <f t="shared" ca="1" si="11"/>
        <v>8.9887687406738976</v>
      </c>
      <c r="P51" s="504">
        <f t="shared" ca="1" si="11"/>
        <v>15.691396120536394</v>
      </c>
      <c r="Q51" s="504">
        <f t="shared" ca="1" si="11"/>
        <v>34.053773858959644</v>
      </c>
      <c r="R51" s="504">
        <f t="shared" ca="1" si="11"/>
        <v>38.792954534202337</v>
      </c>
      <c r="S51" s="504">
        <f t="shared" ca="1" si="11"/>
        <v>36.303349535286266</v>
      </c>
      <c r="T51" s="504">
        <f t="shared" ca="1" si="11"/>
        <v>40.285077547122121</v>
      </c>
      <c r="U51" s="504">
        <f t="shared" ca="1" si="11"/>
        <v>39.246526313140059</v>
      </c>
      <c r="V51" s="504">
        <f t="shared" ca="1" si="11"/>
        <v>39.934085355985935</v>
      </c>
      <c r="W51" s="504">
        <f t="shared" ca="1" si="11"/>
        <v>37.041525217857945</v>
      </c>
      <c r="X51" s="504">
        <f t="shared" ca="1" si="11"/>
        <v>34.264716207092505</v>
      </c>
      <c r="Y51" s="504">
        <f t="shared" ca="1" si="11"/>
        <v>31.789391420743378</v>
      </c>
      <c r="Z51" s="504">
        <f t="shared" ca="1" si="11"/>
        <v>27.235471277422793</v>
      </c>
      <c r="AA51" s="504">
        <f t="shared" ca="1" si="11"/>
        <v>23.338017123071502</v>
      </c>
      <c r="AB51" s="504">
        <f t="shared" ca="1" si="11"/>
        <v>25.732979572215342</v>
      </c>
      <c r="AC51" s="504">
        <f t="shared" ca="1" si="11"/>
        <v>19.039337697340457</v>
      </c>
      <c r="AD51" s="504">
        <f t="shared" ca="1" si="11"/>
        <v>18.279932131987493</v>
      </c>
      <c r="AE51" s="504">
        <f t="shared" ca="1" si="11"/>
        <v>15.852740778769254</v>
      </c>
      <c r="AF51" s="504">
        <f t="shared" ca="1" si="11"/>
        <v>26.113585291551058</v>
      </c>
      <c r="AG51" s="504">
        <f t="shared" ca="1" si="11"/>
        <v>26.531071788917583</v>
      </c>
      <c r="AH51" s="504">
        <f t="shared" ca="1" si="11"/>
        <v>24.470957164200097</v>
      </c>
      <c r="AI51" s="504">
        <f t="shared" ca="1" si="11"/>
        <v>25.310485982199776</v>
      </c>
      <c r="AJ51" s="504">
        <f t="shared" ca="1" si="11"/>
        <v>25.763775948285616</v>
      </c>
      <c r="AK51" s="504">
        <f t="shared" ca="1" si="11"/>
        <v>25.664261678392815</v>
      </c>
      <c r="AL51" s="504">
        <f t="shared" ca="1" si="11"/>
        <v>23.888866704489498</v>
      </c>
      <c r="AM51" s="504">
        <f t="shared" ca="1" si="11"/>
        <v>22.301262954969296</v>
      </c>
      <c r="AN51" s="504">
        <f t="shared" ca="1" si="11"/>
        <v>20.898362603885804</v>
      </c>
      <c r="AO51" s="504">
        <f t="shared" ca="1" si="11"/>
        <v>16.515321570694269</v>
      </c>
      <c r="AP51" s="504">
        <f t="shared" ca="1" si="11"/>
        <v>14.290507569369474</v>
      </c>
      <c r="AQ51" s="504">
        <f t="shared" ca="1" si="11"/>
        <v>12.84563864832127</v>
      </c>
      <c r="AR51" s="504">
        <f t="shared" ca="1" si="11"/>
        <v>10.85250497141447</v>
      </c>
      <c r="AS51" s="504">
        <f t="shared" ca="1" si="11"/>
        <v>9.3903634592062772</v>
      </c>
    </row>
    <row r="52" spans="2:50" s="500" customFormat="1">
      <c r="B52" s="501">
        <v>11</v>
      </c>
      <c r="C52" s="501" t="str">
        <f>IF($E$40=$C$4,B18,B52&amp;$E$40)</f>
        <v>11Capital and Maintenance Costs</v>
      </c>
      <c r="D52" s="500" t="s">
        <v>279</v>
      </c>
      <c r="E52" s="504" t="str">
        <f t="shared" ca="1" si="5"/>
        <v>Hydrogen Refuelling</v>
      </c>
      <c r="F52" s="504"/>
      <c r="G52" s="504"/>
      <c r="H52" s="504"/>
      <c r="I52" s="504"/>
      <c r="J52" s="504">
        <f t="shared" ca="1" si="13"/>
        <v>0</v>
      </c>
      <c r="K52" s="504">
        <f t="shared" ca="1" si="11"/>
        <v>0</v>
      </c>
      <c r="L52" s="504">
        <f t="shared" ca="1" si="11"/>
        <v>0</v>
      </c>
      <c r="M52" s="504">
        <f t="shared" ca="1" si="11"/>
        <v>0</v>
      </c>
      <c r="N52" s="504">
        <f t="shared" ca="1" si="11"/>
        <v>0</v>
      </c>
      <c r="O52" s="504">
        <f t="shared" ca="1" si="11"/>
        <v>0.24107485067850767</v>
      </c>
      <c r="P52" s="504">
        <f t="shared" ca="1" si="11"/>
        <v>0</v>
      </c>
      <c r="Q52" s="504">
        <f t="shared" ca="1" si="11"/>
        <v>0</v>
      </c>
      <c r="R52" s="504">
        <f t="shared" ca="1" si="11"/>
        <v>0</v>
      </c>
      <c r="S52" s="504">
        <f t="shared" ca="1" si="11"/>
        <v>0</v>
      </c>
      <c r="T52" s="504">
        <f t="shared" ca="1" si="11"/>
        <v>0.18854473681429235</v>
      </c>
      <c r="U52" s="504">
        <f t="shared" ca="1" si="11"/>
        <v>1.1750724347625832</v>
      </c>
      <c r="V52" s="504">
        <f t="shared" ca="1" si="11"/>
        <v>0.78129501015620528</v>
      </c>
      <c r="W52" s="504">
        <f t="shared" ca="1" si="11"/>
        <v>0.16164741614480255</v>
      </c>
      <c r="X52" s="504">
        <f t="shared" ca="1" si="11"/>
        <v>0.15347506041823505</v>
      </c>
      <c r="Y52" s="504">
        <f t="shared" ca="1" si="11"/>
        <v>0</v>
      </c>
      <c r="Z52" s="504">
        <f t="shared" ca="1" si="11"/>
        <v>0.14736890321114535</v>
      </c>
      <c r="AA52" s="504">
        <f t="shared" ca="1" si="11"/>
        <v>0.95803519013849581</v>
      </c>
      <c r="AB52" s="504">
        <f t="shared" ca="1" si="11"/>
        <v>0.14993633101954948</v>
      </c>
      <c r="AC52" s="504">
        <f t="shared" ca="1" si="11"/>
        <v>0.1508398768163205</v>
      </c>
      <c r="AD52" s="504">
        <f t="shared" ca="1" si="11"/>
        <v>0.30302170690608227</v>
      </c>
      <c r="AE52" s="504">
        <f t="shared" ca="1" si="11"/>
        <v>0.15196395699453863</v>
      </c>
      <c r="AF52" s="504">
        <f t="shared" ca="1" si="11"/>
        <v>0.4566394665704791</v>
      </c>
      <c r="AG52" s="504">
        <f t="shared" ca="1" si="11"/>
        <v>0.15227172157025082</v>
      </c>
      <c r="AH52" s="504">
        <f t="shared" ca="1" si="11"/>
        <v>0.30430452636360467</v>
      </c>
      <c r="AI52" s="504">
        <f t="shared" ca="1" si="11"/>
        <v>1.2220211446509588</v>
      </c>
      <c r="AJ52" s="504">
        <f t="shared" ca="1" si="11"/>
        <v>0.58692465192222143</v>
      </c>
      <c r="AK52" s="504">
        <f t="shared" ca="1" si="11"/>
        <v>0.70884619797369741</v>
      </c>
      <c r="AL52" s="504">
        <f t="shared" ca="1" si="11"/>
        <v>0.54790044287822026</v>
      </c>
      <c r="AM52" s="504">
        <f t="shared" ca="1" si="11"/>
        <v>0.66171551072248835</v>
      </c>
      <c r="AN52" s="504">
        <f t="shared" ca="1" si="11"/>
        <v>0.63933865770288734</v>
      </c>
      <c r="AO52" s="504">
        <f t="shared" ca="1" si="11"/>
        <v>1.2412023924743976</v>
      </c>
      <c r="AP52" s="504">
        <f t="shared" ca="1" si="11"/>
        <v>0.86977949278536981</v>
      </c>
      <c r="AQ52" s="504">
        <f t="shared" ca="1" si="11"/>
        <v>0.69197620652004432</v>
      </c>
      <c r="AR52" s="504">
        <f t="shared" ca="1" si="11"/>
        <v>0.44571736329793538</v>
      </c>
      <c r="AS52" s="504">
        <f t="shared" ca="1" si="11"/>
        <v>0.43064479545694234</v>
      </c>
    </row>
    <row r="53" spans="2:50" s="500" customFormat="1">
      <c r="B53" s="500">
        <v>12</v>
      </c>
      <c r="C53" s="501" t="str">
        <f>IF($E$40=$C$4,B24,B53&amp;$E$40)</f>
        <v>1Fuel Costs</v>
      </c>
      <c r="D53" s="501" t="s">
        <v>279</v>
      </c>
      <c r="E53" s="504" t="str">
        <f t="shared" ca="1" si="5"/>
        <v>Gas (including bio gas) Fuel Cost</v>
      </c>
      <c r="F53" s="504">
        <f>IFERROR(INDEX(F$1:F$221,MATCH($C53,$B$1:$B$221,0)),"")</f>
        <v>0</v>
      </c>
      <c r="G53" s="504">
        <f>IFERROR(INDEX(G$1:G$221,MATCH($C53,$B$1:$B$221,0)),"")</f>
        <v>0</v>
      </c>
      <c r="H53" s="504">
        <f>IFERROR(INDEX(H$1:H$221,MATCH($C53,$B$1:$B$221,0)),"")</f>
        <v>0</v>
      </c>
      <c r="I53" s="504">
        <f>IFERROR(INDEX(I$1:I$221,MATCH($C53,$B$1:$B$221,0)),"")</f>
        <v>0</v>
      </c>
      <c r="J53" s="504">
        <f t="shared" ca="1" si="13"/>
        <v>808.74728579924101</v>
      </c>
      <c r="K53" s="504">
        <f t="shared" ca="1" si="11"/>
        <v>711.82590710974671</v>
      </c>
      <c r="L53" s="504">
        <f t="shared" ca="1" si="11"/>
        <v>670.1906807325131</v>
      </c>
      <c r="M53" s="504">
        <f t="shared" ca="1" si="11"/>
        <v>684.68116758467465</v>
      </c>
      <c r="N53" s="504">
        <f t="shared" ca="1" si="11"/>
        <v>689.0534618584868</v>
      </c>
      <c r="O53" s="504">
        <f t="shared" ca="1" si="11"/>
        <v>612.34857083685961</v>
      </c>
      <c r="P53" s="504">
        <f t="shared" ca="1" si="11"/>
        <v>625.37390167085221</v>
      </c>
      <c r="Q53" s="504">
        <f t="shared" ca="1" si="11"/>
        <v>603.71800859383347</v>
      </c>
      <c r="R53" s="504">
        <f t="shared" ca="1" si="11"/>
        <v>554.55911144622462</v>
      </c>
      <c r="S53" s="504">
        <f t="shared" ca="1" si="11"/>
        <v>497.99938815106833</v>
      </c>
      <c r="T53" s="504">
        <f t="shared" ca="1" si="11"/>
        <v>442.97027612888866</v>
      </c>
      <c r="U53" s="504">
        <f t="shared" ca="1" si="11"/>
        <v>384.5940482895154</v>
      </c>
      <c r="V53" s="504">
        <f t="shared" ca="1" si="11"/>
        <v>328.65077786637949</v>
      </c>
      <c r="W53" s="504">
        <f t="shared" ca="1" si="11"/>
        <v>280.98316040522025</v>
      </c>
      <c r="X53" s="504">
        <f t="shared" ca="1" si="11"/>
        <v>240.89225849791234</v>
      </c>
      <c r="Y53" s="504">
        <f t="shared" ca="1" si="11"/>
        <v>208.26160595533258</v>
      </c>
      <c r="Z53" s="504">
        <f t="shared" ca="1" si="11"/>
        <v>179.12401573807512</v>
      </c>
      <c r="AA53" s="504">
        <f t="shared" ca="1" si="11"/>
        <v>152.79734526710561</v>
      </c>
      <c r="AB53" s="504">
        <f t="shared" ca="1" si="11"/>
        <v>129.0420991470279</v>
      </c>
      <c r="AC53" s="504">
        <f t="shared" ca="1" si="11"/>
        <v>107.7867513538158</v>
      </c>
      <c r="AD53" s="504">
        <f t="shared" ca="1" si="11"/>
        <v>90.239249966124831</v>
      </c>
      <c r="AE53" s="504">
        <f t="shared" ca="1" si="11"/>
        <v>70.176096497262535</v>
      </c>
      <c r="AF53" s="504">
        <f t="shared" ca="1" si="11"/>
        <v>55.324575572746191</v>
      </c>
      <c r="AG53" s="504">
        <f t="shared" ca="1" si="11"/>
        <v>45.073463213374843</v>
      </c>
      <c r="AH53" s="504">
        <f t="shared" ca="1" si="11"/>
        <v>40.49684974273196</v>
      </c>
      <c r="AI53" s="504">
        <f t="shared" ca="1" si="11"/>
        <v>36.277882162446673</v>
      </c>
      <c r="AJ53" s="504">
        <f t="shared" ca="1" si="11"/>
        <v>32.256977217312233</v>
      </c>
      <c r="AK53" s="504">
        <f t="shared" ca="1" si="11"/>
        <v>28.602130637187589</v>
      </c>
      <c r="AL53" s="504">
        <f t="shared" ca="1" si="11"/>
        <v>25.287088251242398</v>
      </c>
      <c r="AM53" s="504">
        <f t="shared" ca="1" si="11"/>
        <v>22.28721298374326</v>
      </c>
      <c r="AN53" s="504">
        <f t="shared" ca="1" si="11"/>
        <v>19.579419733170553</v>
      </c>
      <c r="AO53" s="504">
        <f t="shared" ca="1" si="11"/>
        <v>17.355468753089852</v>
      </c>
      <c r="AP53" s="504">
        <f t="shared" ca="1" si="11"/>
        <v>13.621659011406265</v>
      </c>
      <c r="AQ53" s="504">
        <f t="shared" ca="1" si="11"/>
        <v>8.7982291382224087</v>
      </c>
      <c r="AR53" s="504">
        <f t="shared" ca="1" si="11"/>
        <v>4.263003301933554</v>
      </c>
      <c r="AS53" s="504">
        <f t="shared" ca="1" si="11"/>
        <v>0</v>
      </c>
    </row>
    <row r="54" spans="2:50" s="500" customFormat="1">
      <c r="B54" s="501">
        <v>13</v>
      </c>
      <c r="C54" s="501" t="str">
        <f t="shared" ref="C54:C56" si="14">IF($E$40=$C$4,B25,B54&amp;$E$40)</f>
        <v>2Fuel Costs</v>
      </c>
      <c r="D54" s="501"/>
      <c r="E54" s="504" t="str">
        <f t="shared" ref="E54:E56" ca="1" si="15">IFERROR(INDEX(E$1:E$39,MATCH($C54,$B$1:$B$39,0)),"")</f>
        <v>Petrol and diesel costs</v>
      </c>
      <c r="F54" s="504"/>
      <c r="G54" s="504"/>
      <c r="H54" s="504"/>
      <c r="I54" s="504"/>
      <c r="J54" s="504">
        <f t="shared" ca="1" si="13"/>
        <v>797.55293905763608</v>
      </c>
      <c r="K54" s="504">
        <f t="shared" ca="1" si="11"/>
        <v>760.86967397812555</v>
      </c>
      <c r="L54" s="504">
        <f t="shared" ca="1" si="11"/>
        <v>795.70842568132582</v>
      </c>
      <c r="M54" s="504">
        <f t="shared" ca="1" si="11"/>
        <v>820.47114442704174</v>
      </c>
      <c r="N54" s="504">
        <f t="shared" ca="1" si="11"/>
        <v>753.36120460029815</v>
      </c>
      <c r="O54" s="504">
        <f t="shared" ca="1" si="11"/>
        <v>695.64723417978848</v>
      </c>
      <c r="P54" s="504">
        <f t="shared" ca="1" si="11"/>
        <v>669.17514414296841</v>
      </c>
      <c r="Q54" s="504">
        <f t="shared" ca="1" si="11"/>
        <v>629.42524947832214</v>
      </c>
      <c r="R54" s="504">
        <f t="shared" ca="1" si="11"/>
        <v>590.08234446767676</v>
      </c>
      <c r="S54" s="504">
        <f t="shared" ca="1" si="11"/>
        <v>546.84135363663324</v>
      </c>
      <c r="T54" s="504">
        <f t="shared" ref="K54:AS57" ca="1" si="16">IFERROR(INDEX(T$1:T$39,MATCH($C54,$B$1:$B$39,0)),"")</f>
        <v>501.64579036433565</v>
      </c>
      <c r="U54" s="504">
        <f t="shared" ca="1" si="16"/>
        <v>458.91829203709386</v>
      </c>
      <c r="V54" s="504">
        <f t="shared" ca="1" si="16"/>
        <v>411.93265478243484</v>
      </c>
      <c r="W54" s="504">
        <f t="shared" ca="1" si="16"/>
        <v>367.40835807617219</v>
      </c>
      <c r="X54" s="504">
        <f t="shared" ca="1" si="16"/>
        <v>324.96416096404283</v>
      </c>
      <c r="Y54" s="504">
        <f t="shared" ca="1" si="16"/>
        <v>283.52099076224886</v>
      </c>
      <c r="Z54" s="504">
        <f t="shared" ca="1" si="16"/>
        <v>246.60430702409886</v>
      </c>
      <c r="AA54" s="504">
        <f t="shared" ca="1" si="16"/>
        <v>212.38265933988896</v>
      </c>
      <c r="AB54" s="504">
        <f t="shared" ca="1" si="16"/>
        <v>181.32536705484017</v>
      </c>
      <c r="AC54" s="504">
        <f t="shared" ca="1" si="16"/>
        <v>154.24799743455847</v>
      </c>
      <c r="AD54" s="504">
        <f t="shared" ca="1" si="16"/>
        <v>129.74027023973804</v>
      </c>
      <c r="AE54" s="504">
        <f t="shared" ca="1" si="16"/>
        <v>106.56427083766911</v>
      </c>
      <c r="AF54" s="504">
        <f t="shared" ca="1" si="16"/>
        <v>86.290358551327415</v>
      </c>
      <c r="AG54" s="504">
        <f t="shared" ca="1" si="16"/>
        <v>68.781948633738452</v>
      </c>
      <c r="AH54" s="504">
        <f t="shared" ca="1" si="16"/>
        <v>53.51000568285815</v>
      </c>
      <c r="AI54" s="504">
        <f t="shared" ca="1" si="16"/>
        <v>40.292136636745852</v>
      </c>
      <c r="AJ54" s="504">
        <f t="shared" ca="1" si="16"/>
        <v>31.994651172161554</v>
      </c>
      <c r="AK54" s="504">
        <f t="shared" ca="1" si="16"/>
        <v>24.84731853379845</v>
      </c>
      <c r="AL54" s="504">
        <f t="shared" ca="1" si="16"/>
        <v>18.691854561213919</v>
      </c>
      <c r="AM54" s="504">
        <f t="shared" ca="1" si="16"/>
        <v>13.368699678559258</v>
      </c>
      <c r="AN54" s="504">
        <f t="shared" ca="1" si="16"/>
        <v>8.7079797797303176</v>
      </c>
      <c r="AO54" s="504">
        <f t="shared" ca="1" si="16"/>
        <v>6.6171473083200123</v>
      </c>
      <c r="AP54" s="504">
        <f t="shared" ca="1" si="16"/>
        <v>4.8492775625521274</v>
      </c>
      <c r="AQ54" s="504">
        <f t="shared" ca="1" si="16"/>
        <v>3.3266625880615082</v>
      </c>
      <c r="AR54" s="504">
        <f t="shared" ca="1" si="16"/>
        <v>2.0063087706691753</v>
      </c>
      <c r="AS54" s="504">
        <f t="shared" ca="1" si="16"/>
        <v>0.84595975578991989</v>
      </c>
    </row>
    <row r="55" spans="2:50" s="500" customFormat="1">
      <c r="B55" s="500">
        <v>14</v>
      </c>
      <c r="C55" s="501" t="str">
        <f t="shared" si="14"/>
        <v>3Fuel Costs</v>
      </c>
      <c r="D55" s="501"/>
      <c r="E55" s="504" t="str">
        <f t="shared" ca="1" si="15"/>
        <v>Electricity cost</v>
      </c>
      <c r="F55" s="504"/>
      <c r="G55" s="504"/>
      <c r="H55" s="504"/>
      <c r="I55" s="504"/>
      <c r="J55" s="504">
        <f t="shared" ca="1" si="13"/>
        <v>1535.1394857739504</v>
      </c>
      <c r="K55" s="504">
        <f t="shared" ca="1" si="16"/>
        <v>1505.5119083059994</v>
      </c>
      <c r="L55" s="504">
        <f t="shared" ca="1" si="16"/>
        <v>1568.5172045521449</v>
      </c>
      <c r="M55" s="504">
        <f t="shared" ca="1" si="16"/>
        <v>1691.8314574336366</v>
      </c>
      <c r="N55" s="504">
        <f t="shared" ca="1" si="16"/>
        <v>1785.6842635534854</v>
      </c>
      <c r="O55" s="504">
        <f t="shared" ca="1" si="16"/>
        <v>1835.5705055356595</v>
      </c>
      <c r="P55" s="504">
        <f t="shared" ca="1" si="16"/>
        <v>1884.9319104387896</v>
      </c>
      <c r="Q55" s="504">
        <f t="shared" ca="1" si="16"/>
        <v>1848.7765166143874</v>
      </c>
      <c r="R55" s="504">
        <f t="shared" ca="1" si="16"/>
        <v>1752.1810338212611</v>
      </c>
      <c r="S55" s="504">
        <f t="shared" ca="1" si="16"/>
        <v>1667.8096976711877</v>
      </c>
      <c r="T55" s="504">
        <f t="shared" ca="1" si="16"/>
        <v>1610.4594632176224</v>
      </c>
      <c r="U55" s="504">
        <f t="shared" ca="1" si="16"/>
        <v>1556.2519657456728</v>
      </c>
      <c r="V55" s="504">
        <f t="shared" ca="1" si="16"/>
        <v>1485.477466242023</v>
      </c>
      <c r="W55" s="504">
        <f t="shared" ca="1" si="16"/>
        <v>1416.6305739196207</v>
      </c>
      <c r="X55" s="504">
        <f t="shared" ca="1" si="16"/>
        <v>1354.2023416210473</v>
      </c>
      <c r="Y55" s="504">
        <f t="shared" ca="1" si="16"/>
        <v>1323.4892864813005</v>
      </c>
      <c r="Z55" s="504">
        <f t="shared" ca="1" si="16"/>
        <v>1315.3044014632746</v>
      </c>
      <c r="AA55" s="504">
        <f t="shared" ca="1" si="16"/>
        <v>1279.8569946480575</v>
      </c>
      <c r="AB55" s="504">
        <f t="shared" ca="1" si="16"/>
        <v>1238.4105297846852</v>
      </c>
      <c r="AC55" s="504">
        <f t="shared" ca="1" si="16"/>
        <v>1205.231596145316</v>
      </c>
      <c r="AD55" s="504">
        <f t="shared" ca="1" si="16"/>
        <v>1179.3369182615697</v>
      </c>
      <c r="AE55" s="504">
        <f t="shared" ca="1" si="16"/>
        <v>1173.1564495763787</v>
      </c>
      <c r="AF55" s="504">
        <f t="shared" ca="1" si="16"/>
        <v>1156.2609639041054</v>
      </c>
      <c r="AG55" s="504">
        <f t="shared" ca="1" si="16"/>
        <v>1140.0393226574595</v>
      </c>
      <c r="AH55" s="504">
        <f t="shared" ca="1" si="16"/>
        <v>1128.2161439419149</v>
      </c>
      <c r="AI55" s="504">
        <f t="shared" ca="1" si="16"/>
        <v>1094.468646770458</v>
      </c>
      <c r="AJ55" s="504">
        <f t="shared" ca="1" si="16"/>
        <v>1071.5631996122779</v>
      </c>
      <c r="AK55" s="504">
        <f t="shared" ca="1" si="16"/>
        <v>1048.3146319160157</v>
      </c>
      <c r="AL55" s="504">
        <f t="shared" ca="1" si="16"/>
        <v>1024.8292112917054</v>
      </c>
      <c r="AM55" s="504">
        <f t="shared" ca="1" si="16"/>
        <v>1001.2235978583029</v>
      </c>
      <c r="AN55" s="504">
        <f t="shared" ca="1" si="16"/>
        <v>977.58318552476362</v>
      </c>
      <c r="AO55" s="504">
        <f t="shared" ca="1" si="16"/>
        <v>954.72528730366366</v>
      </c>
      <c r="AP55" s="504">
        <f t="shared" ca="1" si="16"/>
        <v>931.21489296246318</v>
      </c>
      <c r="AQ55" s="504">
        <f t="shared" ca="1" si="16"/>
        <v>908.18568115703613</v>
      </c>
      <c r="AR55" s="504">
        <f t="shared" ca="1" si="16"/>
        <v>885.63581433386821</v>
      </c>
      <c r="AS55" s="504">
        <f t="shared" ca="1" si="16"/>
        <v>863.57706092016906</v>
      </c>
    </row>
    <row r="56" spans="2:50" s="500" customFormat="1">
      <c r="B56" s="501">
        <v>15</v>
      </c>
      <c r="C56" s="501" t="str">
        <f t="shared" si="14"/>
        <v>4Fuel Costs</v>
      </c>
      <c r="D56" s="501"/>
      <c r="E56" s="504" t="str">
        <f t="shared" ca="1" si="15"/>
        <v>Hydrogen Fuel Cost</v>
      </c>
      <c r="F56" s="504"/>
      <c r="G56" s="504"/>
      <c r="H56" s="504"/>
      <c r="I56" s="504"/>
      <c r="J56" s="504">
        <f t="shared" ca="1" si="13"/>
        <v>0</v>
      </c>
      <c r="K56" s="504">
        <f t="shared" ca="1" si="16"/>
        <v>0</v>
      </c>
      <c r="L56" s="504">
        <f t="shared" ca="1" si="16"/>
        <v>0</v>
      </c>
      <c r="M56" s="504">
        <f t="shared" ca="1" si="16"/>
        <v>0</v>
      </c>
      <c r="N56" s="504">
        <f t="shared" ca="1" si="16"/>
        <v>0</v>
      </c>
      <c r="O56" s="504">
        <f t="shared" ca="1" si="16"/>
        <v>0</v>
      </c>
      <c r="P56" s="504">
        <f t="shared" ca="1" si="16"/>
        <v>6.7382382131889101E-2</v>
      </c>
      <c r="Q56" s="504">
        <f t="shared" ca="1" si="16"/>
        <v>6.7463143942276663E-2</v>
      </c>
      <c r="R56" s="504">
        <f t="shared" ca="1" si="16"/>
        <v>7.9470268634194555E-2</v>
      </c>
      <c r="S56" s="504">
        <f t="shared" ca="1" si="16"/>
        <v>9.3599978664311093E-2</v>
      </c>
      <c r="T56" s="504">
        <f t="shared" ca="1" si="16"/>
        <v>0.11668693108438453</v>
      </c>
      <c r="U56" s="504">
        <f t="shared" ca="1" si="16"/>
        <v>0.24163906402065807</v>
      </c>
      <c r="V56" s="504">
        <f t="shared" ca="1" si="16"/>
        <v>4.6094292225564235</v>
      </c>
      <c r="W56" s="504">
        <f t="shared" ca="1" si="16"/>
        <v>7.8323681981782762</v>
      </c>
      <c r="X56" s="504">
        <f t="shared" ca="1" si="16"/>
        <v>10.206185043278552</v>
      </c>
      <c r="Y56" s="504">
        <f t="shared" ca="1" si="16"/>
        <v>11.7419553807492</v>
      </c>
      <c r="Z56" s="504">
        <f t="shared" ca="1" si="16"/>
        <v>15.878646506236942</v>
      </c>
      <c r="AA56" s="504">
        <f t="shared" ca="1" si="16"/>
        <v>19.141603564207607</v>
      </c>
      <c r="AB56" s="504">
        <f t="shared" ca="1" si="16"/>
        <v>21.515851255789148</v>
      </c>
      <c r="AC56" s="504">
        <f t="shared" ca="1" si="16"/>
        <v>37.174831987395869</v>
      </c>
      <c r="AD56" s="504">
        <f t="shared" ca="1" si="16"/>
        <v>45.264234790068791</v>
      </c>
      <c r="AE56" s="504">
        <f t="shared" ca="1" si="16"/>
        <v>46.310070762278421</v>
      </c>
      <c r="AF56" s="504">
        <f t="shared" ca="1" si="16"/>
        <v>45.509124373239658</v>
      </c>
      <c r="AG56" s="504">
        <f t="shared" ca="1" si="16"/>
        <v>44.130711744702502</v>
      </c>
      <c r="AH56" s="504">
        <f t="shared" ca="1" si="16"/>
        <v>39.934224095364236</v>
      </c>
      <c r="AI56" s="504">
        <f t="shared" ca="1" si="16"/>
        <v>42.625978241667291</v>
      </c>
      <c r="AJ56" s="504">
        <f t="shared" ca="1" si="16"/>
        <v>43.65189471347886</v>
      </c>
      <c r="AK56" s="504">
        <f t="shared" ca="1" si="16"/>
        <v>43.110562761028483</v>
      </c>
      <c r="AL56" s="504">
        <f t="shared" ca="1" si="16"/>
        <v>41.163343909642656</v>
      </c>
      <c r="AM56" s="504">
        <f t="shared" ca="1" si="16"/>
        <v>37.962014438066369</v>
      </c>
      <c r="AN56" s="504">
        <f t="shared" ca="1" si="16"/>
        <v>33.654306694999747</v>
      </c>
      <c r="AO56" s="504">
        <f t="shared" ca="1" si="16"/>
        <v>27.08683293115789</v>
      </c>
      <c r="AP56" s="504">
        <f t="shared" ca="1" si="16"/>
        <v>22.781584754127344</v>
      </c>
      <c r="AQ56" s="504">
        <f t="shared" ca="1" si="16"/>
        <v>18.667937700931169</v>
      </c>
      <c r="AR56" s="504">
        <f t="shared" ca="1" si="16"/>
        <v>14.735243199309004</v>
      </c>
      <c r="AS56" s="504">
        <f t="shared" ca="1" si="16"/>
        <v>10.975216973949447</v>
      </c>
    </row>
    <row r="57" spans="2:50" s="500" customFormat="1">
      <c r="B57" s="501">
        <v>16</v>
      </c>
      <c r="C57" s="501" t="str">
        <f>IF($E$40=$C$4,B28,B57&amp;$E$40)</f>
        <v>5Fuel Costs</v>
      </c>
      <c r="D57" s="501" t="s">
        <v>279</v>
      </c>
      <c r="E57" s="504" t="str">
        <f>IFERROR(INDEX(E$1:E$39,MATCH($C57,$B$1:$B$39,0)),"")</f>
        <v/>
      </c>
      <c r="F57" s="504">
        <f t="shared" ref="F57:I58" si="17">IFERROR(INDEX(F$1:F$221,MATCH($C57,$B$1:$B$221,0)),"")</f>
        <v>0</v>
      </c>
      <c r="G57" s="504">
        <f t="shared" si="17"/>
        <v>0</v>
      </c>
      <c r="H57" s="504">
        <f t="shared" si="17"/>
        <v>0</v>
      </c>
      <c r="I57" s="504">
        <f t="shared" si="17"/>
        <v>0</v>
      </c>
      <c r="J57" s="504">
        <f t="shared" si="13"/>
        <v>0</v>
      </c>
      <c r="K57" s="504">
        <f t="shared" si="16"/>
        <v>0</v>
      </c>
      <c r="L57" s="504">
        <f t="shared" si="16"/>
        <v>0</v>
      </c>
      <c r="M57" s="504">
        <f t="shared" si="16"/>
        <v>0</v>
      </c>
      <c r="N57" s="504">
        <f t="shared" si="16"/>
        <v>0</v>
      </c>
      <c r="O57" s="504">
        <f t="shared" si="16"/>
        <v>0</v>
      </c>
      <c r="P57" s="504">
        <f t="shared" si="16"/>
        <v>0</v>
      </c>
      <c r="Q57" s="504">
        <f t="shared" si="16"/>
        <v>0</v>
      </c>
      <c r="R57" s="504">
        <f t="shared" si="16"/>
        <v>0</v>
      </c>
      <c r="S57" s="504">
        <f t="shared" si="16"/>
        <v>0</v>
      </c>
      <c r="T57" s="504">
        <f t="shared" si="16"/>
        <v>0</v>
      </c>
      <c r="U57" s="504">
        <f t="shared" si="16"/>
        <v>0</v>
      </c>
      <c r="V57" s="504">
        <f t="shared" si="16"/>
        <v>0</v>
      </c>
      <c r="W57" s="504">
        <f t="shared" si="16"/>
        <v>0</v>
      </c>
      <c r="X57" s="504">
        <f t="shared" si="16"/>
        <v>0</v>
      </c>
      <c r="Y57" s="504">
        <f t="shared" si="16"/>
        <v>0</v>
      </c>
      <c r="Z57" s="504">
        <f t="shared" si="16"/>
        <v>0</v>
      </c>
      <c r="AA57" s="504">
        <f t="shared" si="16"/>
        <v>0</v>
      </c>
      <c r="AB57" s="504">
        <f t="shared" si="16"/>
        <v>0</v>
      </c>
      <c r="AC57" s="504">
        <f t="shared" si="16"/>
        <v>0</v>
      </c>
      <c r="AD57" s="504">
        <f t="shared" si="16"/>
        <v>0</v>
      </c>
      <c r="AE57" s="504">
        <f t="shared" si="16"/>
        <v>0</v>
      </c>
      <c r="AF57" s="504">
        <f t="shared" si="16"/>
        <v>0</v>
      </c>
      <c r="AG57" s="504">
        <f t="shared" si="16"/>
        <v>0</v>
      </c>
      <c r="AH57" s="504">
        <f t="shared" si="16"/>
        <v>0</v>
      </c>
      <c r="AI57" s="504">
        <f t="shared" si="16"/>
        <v>0</v>
      </c>
      <c r="AJ57" s="504">
        <f t="shared" si="16"/>
        <v>0</v>
      </c>
      <c r="AK57" s="504">
        <f t="shared" si="16"/>
        <v>0</v>
      </c>
      <c r="AL57" s="504">
        <f t="shared" si="16"/>
        <v>0</v>
      </c>
      <c r="AM57" s="504">
        <f t="shared" si="16"/>
        <v>0</v>
      </c>
      <c r="AN57" s="504">
        <f t="shared" si="16"/>
        <v>0</v>
      </c>
      <c r="AO57" s="504">
        <f t="shared" si="16"/>
        <v>0</v>
      </c>
      <c r="AP57" s="504">
        <f t="shared" si="16"/>
        <v>0</v>
      </c>
      <c r="AQ57" s="504">
        <f t="shared" si="16"/>
        <v>0</v>
      </c>
      <c r="AR57" s="504">
        <f t="shared" si="16"/>
        <v>0</v>
      </c>
      <c r="AS57" s="504">
        <f t="shared" si="16"/>
        <v>0</v>
      </c>
    </row>
    <row r="58" spans="2:50" s="500" customFormat="1">
      <c r="B58" s="500" t="s">
        <v>208</v>
      </c>
      <c r="C58" s="501" t="str">
        <f>B58&amp;$E$40</f>
        <v>NAll Costs</v>
      </c>
      <c r="D58" s="501" t="s">
        <v>279</v>
      </c>
      <c r="E58" s="504" t="str">
        <f>IFERROR(INDEX(E$1:E$39,MATCH($C58,$B$1:$B$39,0)),"")</f>
        <v/>
      </c>
      <c r="F58" s="504" t="str">
        <f t="shared" si="17"/>
        <v/>
      </c>
      <c r="G58" s="504" t="str">
        <f t="shared" si="17"/>
        <v/>
      </c>
      <c r="H58" s="504" t="str">
        <f t="shared" si="17"/>
        <v/>
      </c>
      <c r="I58" s="504" t="str">
        <f t="shared" si="17"/>
        <v/>
      </c>
      <c r="J58" s="504" t="str">
        <f t="shared" si="9"/>
        <v/>
      </c>
      <c r="K58" s="504" t="str">
        <f t="shared" ref="K58:Z58" si="18">IFERROR(INDEX(K$1:K$39,MATCH($C58,$B$1:$B$39,0)),"")</f>
        <v/>
      </c>
      <c r="L58" s="504" t="str">
        <f t="shared" si="18"/>
        <v/>
      </c>
      <c r="M58" s="504" t="str">
        <f t="shared" si="18"/>
        <v/>
      </c>
      <c r="N58" s="504" t="str">
        <f t="shared" si="18"/>
        <v/>
      </c>
      <c r="O58" s="504" t="str">
        <f t="shared" si="18"/>
        <v/>
      </c>
      <c r="P58" s="504" t="str">
        <f t="shared" si="18"/>
        <v/>
      </c>
      <c r="Q58" s="504" t="str">
        <f t="shared" si="18"/>
        <v/>
      </c>
      <c r="R58" s="504" t="str">
        <f t="shared" si="18"/>
        <v/>
      </c>
      <c r="S58" s="504" t="str">
        <f t="shared" si="18"/>
        <v/>
      </c>
      <c r="T58" s="504" t="str">
        <f t="shared" si="18"/>
        <v/>
      </c>
      <c r="U58" s="504" t="str">
        <f t="shared" si="18"/>
        <v/>
      </c>
      <c r="V58" s="504" t="str">
        <f t="shared" si="18"/>
        <v/>
      </c>
      <c r="W58" s="504" t="str">
        <f t="shared" si="18"/>
        <v/>
      </c>
      <c r="X58" s="504" t="str">
        <f t="shared" si="18"/>
        <v/>
      </c>
      <c r="Y58" s="504" t="str">
        <f t="shared" si="18"/>
        <v/>
      </c>
      <c r="Z58" s="504" t="str">
        <f t="shared" si="18"/>
        <v/>
      </c>
      <c r="AA58" s="504" t="str">
        <f t="shared" si="7"/>
        <v/>
      </c>
      <c r="AB58" s="504" t="str">
        <f t="shared" si="7"/>
        <v/>
      </c>
      <c r="AC58" s="504" t="str">
        <f t="shared" si="7"/>
        <v/>
      </c>
      <c r="AD58" s="504" t="str">
        <f t="shared" si="7"/>
        <v/>
      </c>
      <c r="AE58" s="504" t="str">
        <f t="shared" si="7"/>
        <v/>
      </c>
      <c r="AF58" s="504" t="str">
        <f t="shared" si="7"/>
        <v/>
      </c>
      <c r="AG58" s="504" t="str">
        <f t="shared" si="7"/>
        <v/>
      </c>
      <c r="AH58" s="504" t="str">
        <f t="shared" si="7"/>
        <v/>
      </c>
      <c r="AI58" s="504" t="str">
        <f t="shared" si="7"/>
        <v/>
      </c>
      <c r="AJ58" s="504" t="str">
        <f t="shared" si="7"/>
        <v/>
      </c>
      <c r="AK58" s="504" t="str">
        <f t="shared" si="7"/>
        <v/>
      </c>
      <c r="AL58" s="504" t="str">
        <f t="shared" si="7"/>
        <v/>
      </c>
      <c r="AM58" s="504" t="str">
        <f t="shared" si="7"/>
        <v/>
      </c>
      <c r="AN58" s="504" t="str">
        <f t="shared" si="7"/>
        <v/>
      </c>
      <c r="AO58" s="504" t="str">
        <f t="shared" si="7"/>
        <v/>
      </c>
      <c r="AP58" s="504" t="str">
        <f t="shared" si="7"/>
        <v/>
      </c>
      <c r="AQ58" s="504" t="str">
        <f t="shared" si="8"/>
        <v/>
      </c>
      <c r="AR58" s="504" t="str">
        <f t="shared" si="8"/>
        <v/>
      </c>
      <c r="AS58" s="504" t="str">
        <f t="shared" si="8"/>
        <v/>
      </c>
      <c r="AT58" s="500">
        <f>SUM(AT42:AT52)</f>
        <v>0</v>
      </c>
      <c r="AU58" s="500">
        <f>SUM(AU42:AU52)</f>
        <v>0</v>
      </c>
      <c r="AV58" s="500">
        <f>SUM(AV42:AV52)</f>
        <v>0</v>
      </c>
      <c r="AW58" s="500">
        <f>SUM(AW42:AW52)</f>
        <v>0</v>
      </c>
      <c r="AX58" s="500">
        <f>SUM(AX42:AX52)</f>
        <v>0</v>
      </c>
    </row>
  </sheetData>
  <sheetProtection algorithmName="SHA-512" hashValue="KBj0WR0GddYXky9OtohrfrFZd2MlmOwxsmzu4WgxQgFqdQGs0JeQSKku421A9K6W8MiMRn52UTg2xdukxzHqAA==" saltValue="+zbUTkulwpCZ9W3UBFypmA==" spinCount="100000" sheet="1" objects="1" scenarios="1"/>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5">
    <tabColor theme="0" tint="-0.249977111117893"/>
  </sheetPr>
  <dimension ref="A1:BB84"/>
  <sheetViews>
    <sheetView topLeftCell="P1" workbookViewId="0">
      <selection activeCell="V22" sqref="V22:BB22"/>
    </sheetView>
  </sheetViews>
  <sheetFormatPr defaultRowHeight="15"/>
  <cols>
    <col min="13" max="13" width="10.5703125" bestFit="1" customWidth="1"/>
  </cols>
  <sheetData>
    <row r="1" spans="1:26">
      <c r="D1" t="s">
        <v>311</v>
      </c>
    </row>
    <row r="2" spans="1:26">
      <c r="B2" t="s">
        <v>312</v>
      </c>
    </row>
    <row r="3" spans="1:26" ht="15" customHeight="1">
      <c r="A3" s="694"/>
      <c r="B3" s="695" t="s">
        <v>313</v>
      </c>
      <c r="C3" s="695"/>
      <c r="D3" s="697"/>
      <c r="E3" s="697"/>
      <c r="F3" s="697"/>
      <c r="G3" s="697"/>
      <c r="H3" s="697"/>
      <c r="I3" s="697"/>
      <c r="J3" s="303"/>
      <c r="K3" s="303"/>
      <c r="L3" s="705" t="s">
        <v>314</v>
      </c>
      <c r="M3" s="705"/>
      <c r="N3" s="705" t="s">
        <v>315</v>
      </c>
      <c r="O3" s="705"/>
    </row>
    <row r="4" spans="1:26">
      <c r="A4" s="694"/>
      <c r="B4" s="696"/>
      <c r="C4" s="696"/>
      <c r="D4" s="698" t="s">
        <v>142</v>
      </c>
      <c r="E4" s="698"/>
      <c r="F4" s="698" t="s">
        <v>316</v>
      </c>
      <c r="G4" s="698"/>
      <c r="H4" s="698" t="s">
        <v>317</v>
      </c>
      <c r="I4" s="698"/>
      <c r="J4" s="698" t="s">
        <v>90</v>
      </c>
      <c r="K4" s="698"/>
      <c r="L4" s="706"/>
      <c r="M4" s="706"/>
      <c r="N4" s="706"/>
      <c r="O4" s="706"/>
    </row>
    <row r="5" spans="1:26">
      <c r="A5" s="694"/>
      <c r="B5" s="702" t="s">
        <v>318</v>
      </c>
      <c r="C5" s="702"/>
      <c r="D5" s="703">
        <f>SUM(F5:K5)</f>
        <v>33.90929460069831</v>
      </c>
      <c r="E5" s="703"/>
      <c r="F5" s="703">
        <v>12.129001775718701</v>
      </c>
      <c r="G5" s="703"/>
      <c r="H5" s="703">
        <v>13.4978824540181</v>
      </c>
      <c r="I5" s="703"/>
      <c r="J5" s="704">
        <v>8.2824103709615091</v>
      </c>
      <c r="K5" s="704"/>
      <c r="L5" s="707">
        <v>0.1588</v>
      </c>
      <c r="M5" s="707"/>
      <c r="N5" s="707"/>
      <c r="O5" s="707"/>
    </row>
    <row r="6" spans="1:26">
      <c r="A6" s="694"/>
      <c r="B6" s="699" t="s">
        <v>319</v>
      </c>
      <c r="C6" s="699"/>
      <c r="D6" s="700">
        <f>SUM(F6:K6)</f>
        <v>27.224999999999998</v>
      </c>
      <c r="E6" s="700"/>
      <c r="F6" s="700">
        <v>9.5449999999999999</v>
      </c>
      <c r="G6" s="700"/>
      <c r="H6" s="700">
        <v>10.34</v>
      </c>
      <c r="I6" s="700"/>
      <c r="J6" s="701">
        <v>7.34</v>
      </c>
      <c r="K6" s="701"/>
      <c r="L6" s="708">
        <v>0.12626000000000001</v>
      </c>
      <c r="M6" s="708"/>
      <c r="N6" s="709">
        <v>0.4</v>
      </c>
      <c r="O6" s="710"/>
    </row>
    <row r="7" spans="1:26">
      <c r="A7" s="694"/>
      <c r="B7" s="702" t="s">
        <v>320</v>
      </c>
      <c r="C7" s="702"/>
      <c r="D7" s="703">
        <f>SUM(F7:K7)</f>
        <v>22.4</v>
      </c>
      <c r="E7" s="703"/>
      <c r="F7" s="703">
        <v>7.8</v>
      </c>
      <c r="G7" s="703"/>
      <c r="H7" s="703">
        <v>7.9</v>
      </c>
      <c r="I7" s="703"/>
      <c r="J7" s="704">
        <v>6.7</v>
      </c>
      <c r="K7" s="704"/>
      <c r="L7" s="711">
        <v>0.10344</v>
      </c>
      <c r="M7" s="711"/>
      <c r="N7" s="712">
        <v>0.5</v>
      </c>
      <c r="O7" s="707"/>
    </row>
    <row r="8" spans="1:26">
      <c r="A8" s="694"/>
      <c r="B8" s="699" t="s">
        <v>321</v>
      </c>
      <c r="C8" s="699"/>
      <c r="D8" s="700">
        <f>SUM(F8:K8)</f>
        <v>17.95</v>
      </c>
      <c r="E8" s="700"/>
      <c r="F8" s="700">
        <v>6.5</v>
      </c>
      <c r="G8" s="700"/>
      <c r="H8" s="700">
        <v>6</v>
      </c>
      <c r="I8" s="700"/>
      <c r="J8" s="701">
        <v>5.45</v>
      </c>
      <c r="K8" s="701"/>
      <c r="L8" s="708">
        <v>8.2570699999999997E-2</v>
      </c>
      <c r="M8" s="708"/>
      <c r="N8" s="709">
        <v>0.6</v>
      </c>
      <c r="O8" s="710"/>
    </row>
    <row r="9" spans="1:26">
      <c r="B9" s="536"/>
      <c r="C9" s="536"/>
      <c r="D9" s="537"/>
      <c r="E9" s="537"/>
      <c r="F9" s="537"/>
      <c r="G9" s="537"/>
      <c r="H9" s="537"/>
      <c r="I9" s="537"/>
      <c r="J9" s="538"/>
      <c r="K9" s="538"/>
      <c r="L9" s="539"/>
      <c r="M9" s="539"/>
      <c r="Q9" s="536"/>
      <c r="R9" s="536"/>
      <c r="S9" s="537"/>
      <c r="T9" s="537"/>
      <c r="U9" s="537"/>
      <c r="V9" s="537"/>
      <c r="W9" s="537"/>
      <c r="X9" s="537"/>
      <c r="Y9" s="538"/>
      <c r="Z9" s="538"/>
    </row>
    <row r="10" spans="1:26">
      <c r="B10" t="s">
        <v>322</v>
      </c>
      <c r="L10" s="536"/>
      <c r="M10" s="536"/>
      <c r="N10" s="536"/>
      <c r="O10" s="536"/>
    </row>
    <row r="11" spans="1:26" ht="15" customHeight="1">
      <c r="A11" s="694"/>
      <c r="B11" s="695" t="s">
        <v>313</v>
      </c>
      <c r="C11" s="695"/>
      <c r="D11" s="697"/>
      <c r="E11" s="697"/>
      <c r="F11" s="697"/>
      <c r="G11" s="697"/>
      <c r="H11" s="697"/>
      <c r="I11" s="697"/>
      <c r="J11" s="303"/>
      <c r="K11" s="303"/>
      <c r="L11" s="536"/>
      <c r="M11" s="536"/>
      <c r="N11" s="536"/>
      <c r="O11" s="536"/>
    </row>
    <row r="12" spans="1:26">
      <c r="A12" s="694"/>
      <c r="B12" s="696"/>
      <c r="C12" s="696"/>
      <c r="D12" s="698" t="s">
        <v>142</v>
      </c>
      <c r="E12" s="698"/>
      <c r="F12" s="698" t="s">
        <v>316</v>
      </c>
      <c r="G12" s="698"/>
      <c r="H12" s="698" t="s">
        <v>317</v>
      </c>
      <c r="I12" s="698"/>
      <c r="J12" s="698" t="s">
        <v>90</v>
      </c>
      <c r="K12" s="698"/>
      <c r="L12" s="536"/>
      <c r="M12" s="536"/>
      <c r="N12" s="536"/>
      <c r="O12" s="536"/>
    </row>
    <row r="13" spans="1:26">
      <c r="A13" s="694"/>
      <c r="B13" s="702" t="s">
        <v>318</v>
      </c>
      <c r="C13" s="702"/>
      <c r="D13" s="703"/>
      <c r="E13" s="703"/>
      <c r="F13" s="704"/>
      <c r="G13" s="704"/>
      <c r="H13" s="704"/>
      <c r="I13" s="704"/>
      <c r="J13" s="704"/>
      <c r="K13" s="704"/>
      <c r="L13" s="536"/>
      <c r="M13" s="536"/>
      <c r="N13" s="536"/>
      <c r="O13" s="536"/>
    </row>
    <row r="14" spans="1:26">
      <c r="A14" s="694"/>
      <c r="B14" s="699" t="s">
        <v>319</v>
      </c>
      <c r="C14" s="699"/>
      <c r="D14" s="700">
        <f ca="1">SUM(F14:K14)</f>
        <v>9.6636677444693468</v>
      </c>
      <c r="E14" s="700"/>
      <c r="F14" s="701">
        <f>IF(Dashboard!$D$5="Greater London",F6,F6*(M32/M60))</f>
        <v>2.8615046804262732</v>
      </c>
      <c r="G14" s="701"/>
      <c r="H14" s="701">
        <f>IF(Dashboard!$D$5="Greater London",H6,H6*(M37/M65))</f>
        <v>5.0041636244957832</v>
      </c>
      <c r="I14" s="701"/>
      <c r="J14" s="701">
        <f ca="1">IF(Dashboard!$D$5="Greater London",J6,J6*(M42/M70))</f>
        <v>1.7979994395472894</v>
      </c>
      <c r="K14" s="701"/>
      <c r="L14" s="536"/>
      <c r="M14" s="536"/>
      <c r="N14" s="536"/>
      <c r="O14" s="536"/>
    </row>
    <row r="15" spans="1:26">
      <c r="A15" s="694"/>
      <c r="B15" s="702" t="s">
        <v>320</v>
      </c>
      <c r="C15" s="702"/>
      <c r="D15" s="703">
        <f ca="1">SUM(F15:K15)</f>
        <v>7.0928620196064465</v>
      </c>
      <c r="E15" s="703"/>
      <c r="F15" s="704">
        <f>IF(Dashboard!$D$5="Greater London",F7,F7*(R32/R60))</f>
        <v>1.9559510104302984</v>
      </c>
      <c r="G15" s="704"/>
      <c r="H15" s="704">
        <f>IF(Dashboard!$D$5="Greater London",H7,H7*(R37/R65))</f>
        <v>3.6213261025114702</v>
      </c>
      <c r="I15" s="704"/>
      <c r="J15" s="704">
        <f ca="1">IF(Dashboard!$D$5="Greater London",J7,J7*(R42/R70))</f>
        <v>1.5155849066646778</v>
      </c>
      <c r="K15" s="704"/>
      <c r="L15" s="536"/>
      <c r="M15" s="536"/>
      <c r="N15" s="536"/>
      <c r="O15" s="536"/>
    </row>
    <row r="16" spans="1:26">
      <c r="A16" s="694"/>
      <c r="B16" s="699" t="s">
        <v>321</v>
      </c>
      <c r="C16" s="699"/>
      <c r="D16" s="700">
        <f ca="1">SUM(F16:K16)</f>
        <v>3.4738658210707332</v>
      </c>
      <c r="E16" s="700"/>
      <c r="F16" s="701">
        <f>IF(Dashboard!$D$5="Greater London",F8,F8*(W32/W60))</f>
        <v>1.0182859218640985</v>
      </c>
      <c r="G16" s="701"/>
      <c r="H16" s="701">
        <f>IF(Dashboard!$D$5="Greater London",H8,H8*(W37/W60))</f>
        <v>1.4459626694471568</v>
      </c>
      <c r="I16" s="701"/>
      <c r="J16" s="701">
        <f ca="1">IF(Dashboard!$D$5="Greater London",J8,J8*(W42/W70))</f>
        <v>1.0096172297594779</v>
      </c>
      <c r="K16" s="701"/>
      <c r="L16" s="536"/>
      <c r="M16" s="536"/>
      <c r="N16" s="536"/>
      <c r="O16" s="536"/>
    </row>
    <row r="17" spans="1:54">
      <c r="B17" s="536"/>
      <c r="C17" s="536"/>
      <c r="D17" s="537"/>
      <c r="E17" s="537"/>
      <c r="F17" s="537"/>
      <c r="G17" s="537"/>
      <c r="H17" s="537"/>
      <c r="I17" s="537"/>
      <c r="J17" s="538"/>
      <c r="K17" s="538"/>
      <c r="L17" s="539"/>
      <c r="M17" s="539"/>
    </row>
    <row r="18" spans="1:54">
      <c r="A18" t="s">
        <v>323</v>
      </c>
      <c r="B18" s="150" t="str">
        <f>Dashboard!$D$5</f>
        <v>Inner London</v>
      </c>
    </row>
    <row r="19" spans="1:54" s="240" customFormat="1">
      <c r="B19" s="241" t="s">
        <v>324</v>
      </c>
      <c r="C19" s="242"/>
    </row>
    <row r="20" spans="1:54" s="229" customFormat="1">
      <c r="A20" s="234"/>
      <c r="C20" s="229" t="s">
        <v>325</v>
      </c>
      <c r="D20" s="313"/>
      <c r="E20" s="234"/>
      <c r="F20" s="234"/>
      <c r="G20" s="313"/>
      <c r="H20" s="313">
        <v>1990</v>
      </c>
      <c r="I20" s="313">
        <v>2005</v>
      </c>
      <c r="J20" s="313">
        <f t="shared" ref="J20" si="0">I20+1</f>
        <v>2006</v>
      </c>
      <c r="K20" s="313">
        <f t="shared" ref="K20" si="1">J20+1</f>
        <v>2007</v>
      </c>
      <c r="L20" s="313">
        <f t="shared" ref="L20" si="2">K20+1</f>
        <v>2008</v>
      </c>
      <c r="M20" s="313">
        <f t="shared" ref="M20" si="3">L20+1</f>
        <v>2009</v>
      </c>
      <c r="N20" s="313">
        <f t="shared" ref="N20" si="4">M20+1</f>
        <v>2010</v>
      </c>
      <c r="O20" s="313">
        <f t="shared" ref="O20" si="5">N20+1</f>
        <v>2011</v>
      </c>
      <c r="P20" s="313">
        <f t="shared" ref="P20" si="6">O20+1</f>
        <v>2012</v>
      </c>
      <c r="Q20" s="313">
        <f t="shared" ref="Q20" si="7">P20+1</f>
        <v>2013</v>
      </c>
      <c r="R20" s="313">
        <f t="shared" ref="R20" si="8">Q20+1</f>
        <v>2014</v>
      </c>
      <c r="S20" s="313">
        <f t="shared" ref="S20" si="9">R20+1</f>
        <v>2015</v>
      </c>
      <c r="T20" s="313">
        <f t="shared" ref="T20" si="10">S20+1</f>
        <v>2016</v>
      </c>
      <c r="U20" s="313">
        <f t="shared" ref="U20" si="11">T20+1</f>
        <v>2017</v>
      </c>
      <c r="V20" s="313">
        <f t="shared" ref="V20" si="12">U20+1</f>
        <v>2018</v>
      </c>
      <c r="W20" s="313">
        <f t="shared" ref="W20" si="13">V20+1</f>
        <v>2019</v>
      </c>
      <c r="X20" s="313">
        <f t="shared" ref="X20" si="14">W20+1</f>
        <v>2020</v>
      </c>
      <c r="Y20" s="313">
        <f t="shared" ref="Y20" si="15">X20+1</f>
        <v>2021</v>
      </c>
      <c r="Z20" s="313">
        <f t="shared" ref="Z20" si="16">Y20+1</f>
        <v>2022</v>
      </c>
      <c r="AA20" s="313">
        <f t="shared" ref="AA20" si="17">Z20+1</f>
        <v>2023</v>
      </c>
      <c r="AB20" s="313">
        <f t="shared" ref="AB20" si="18">AA20+1</f>
        <v>2024</v>
      </c>
      <c r="AC20" s="313">
        <f t="shared" ref="AC20" si="19">AB20+1</f>
        <v>2025</v>
      </c>
      <c r="AD20" s="313">
        <f t="shared" ref="AD20" si="20">AC20+1</f>
        <v>2026</v>
      </c>
      <c r="AE20" s="313">
        <f t="shared" ref="AE20" si="21">AD20+1</f>
        <v>2027</v>
      </c>
      <c r="AF20" s="313">
        <f t="shared" ref="AF20" si="22">AE20+1</f>
        <v>2028</v>
      </c>
      <c r="AG20" s="313">
        <f t="shared" ref="AG20" si="23">AF20+1</f>
        <v>2029</v>
      </c>
      <c r="AH20" s="313">
        <f t="shared" ref="AH20" si="24">AG20+1</f>
        <v>2030</v>
      </c>
      <c r="AI20" s="313">
        <f t="shared" ref="AI20" si="25">AH20+1</f>
        <v>2031</v>
      </c>
      <c r="AJ20" s="313">
        <f t="shared" ref="AJ20" si="26">AI20+1</f>
        <v>2032</v>
      </c>
      <c r="AK20" s="313">
        <f t="shared" ref="AK20" si="27">AJ20+1</f>
        <v>2033</v>
      </c>
      <c r="AL20" s="313">
        <f t="shared" ref="AL20" si="28">AK20+1</f>
        <v>2034</v>
      </c>
      <c r="AM20" s="313">
        <f t="shared" ref="AM20" si="29">AL20+1</f>
        <v>2035</v>
      </c>
      <c r="AN20" s="313">
        <f t="shared" ref="AN20" si="30">AM20+1</f>
        <v>2036</v>
      </c>
      <c r="AO20" s="313">
        <f t="shared" ref="AO20" si="31">AN20+1</f>
        <v>2037</v>
      </c>
      <c r="AP20" s="313">
        <f t="shared" ref="AP20" si="32">AO20+1</f>
        <v>2038</v>
      </c>
      <c r="AQ20" s="313">
        <f t="shared" ref="AQ20" si="33">AP20+1</f>
        <v>2039</v>
      </c>
      <c r="AR20" s="313">
        <f t="shared" ref="AR20" si="34">AQ20+1</f>
        <v>2040</v>
      </c>
      <c r="AS20" s="313">
        <f t="shared" ref="AS20" si="35">AR20+1</f>
        <v>2041</v>
      </c>
      <c r="AT20" s="313">
        <f t="shared" ref="AT20" si="36">AS20+1</f>
        <v>2042</v>
      </c>
      <c r="AU20" s="313">
        <f t="shared" ref="AU20" si="37">AT20+1</f>
        <v>2043</v>
      </c>
      <c r="AV20" s="313">
        <f t="shared" ref="AV20" si="38">AU20+1</f>
        <v>2044</v>
      </c>
      <c r="AW20" s="313">
        <f t="shared" ref="AW20" si="39">AV20+1</f>
        <v>2045</v>
      </c>
      <c r="AX20" s="313">
        <f t="shared" ref="AX20" si="40">AW20+1</f>
        <v>2046</v>
      </c>
      <c r="AY20" s="313">
        <f t="shared" ref="AY20" si="41">AX20+1</f>
        <v>2047</v>
      </c>
      <c r="AZ20" s="313">
        <f t="shared" ref="AZ20" si="42">AY20+1</f>
        <v>2048</v>
      </c>
      <c r="BA20" s="313">
        <f t="shared" ref="BA20:BB20" si="43">AZ20+1</f>
        <v>2049</v>
      </c>
      <c r="BB20" s="313">
        <f t="shared" si="43"/>
        <v>2050</v>
      </c>
    </row>
    <row r="21" spans="1:54" s="229" customFormat="1">
      <c r="A21" s="234"/>
      <c r="C21" t="s">
        <v>326</v>
      </c>
      <c r="D21" s="313"/>
      <c r="E21" s="234"/>
      <c r="F21" s="234"/>
      <c r="G21" s="313"/>
      <c r="H21" s="247">
        <f>INDEX('3.4 Popn &amp; baseline emissions'!$F$58:$V$93,MATCH('Carbon Budgets Results'!$B$18,'3.4 Popn &amp; baseline emissions'!$E$58:$E$93,0),MATCH('Carbon Budgets Results'!H$20,'3.4 Popn &amp; baseline emissions'!$F$57:$V$57,0))</f>
        <v>0</v>
      </c>
      <c r="I21" s="247">
        <f>INDEX('3.4 Popn &amp; baseline emissions'!$F$58:$V$93,MATCH('Carbon Budgets Results'!$B$18,'3.4 Popn &amp; baseline emissions'!$E$58:$E$93,0),MATCH('Carbon Budgets Results'!I$20,'3.4 Popn &amp; baseline emissions'!$F$57:$V$57,0))</f>
        <v>18963.859827538843</v>
      </c>
      <c r="J21" s="247">
        <f>INDEX('3.4 Popn &amp; baseline emissions'!$F$58:$V$93,MATCH('Carbon Budgets Results'!$B$18,'3.4 Popn &amp; baseline emissions'!$E$58:$E$93,0),MATCH('Carbon Budgets Results'!J$20,'3.4 Popn &amp; baseline emissions'!$F$57:$V$57,0))</f>
        <v>19859.754454782629</v>
      </c>
      <c r="K21" s="247">
        <f>INDEX('3.4 Popn &amp; baseline emissions'!$F$58:$V$93,MATCH('Carbon Budgets Results'!$B$18,'3.4 Popn &amp; baseline emissions'!$E$58:$E$93,0),MATCH('Carbon Budgets Results'!K$20,'3.4 Popn &amp; baseline emissions'!$F$57:$V$57,0))</f>
        <v>19282.649623459874</v>
      </c>
      <c r="L21" s="247">
        <f>INDEX('3.4 Popn &amp; baseline emissions'!$F$58:$V$93,MATCH('Carbon Budgets Results'!$B$18,'3.4 Popn &amp; baseline emissions'!$E$58:$E$93,0),MATCH('Carbon Budgets Results'!L$20,'3.4 Popn &amp; baseline emissions'!$F$57:$V$57,0))</f>
        <v>19371.52043550801</v>
      </c>
      <c r="M21" s="247">
        <f>INDEX('3.4 Popn &amp; baseline emissions'!$F$58:$V$93,MATCH('Carbon Budgets Results'!$B$18,'3.4 Popn &amp; baseline emissions'!$E$58:$E$93,0),MATCH('Carbon Budgets Results'!M$20,'3.4 Popn &amp; baseline emissions'!$F$57:$V$57,0))</f>
        <v>17464.6334670496</v>
      </c>
      <c r="N21" s="247">
        <f>INDEX('3.4 Popn &amp; baseline emissions'!$F$58:$V$93,MATCH('Carbon Budgets Results'!$B$18,'3.4 Popn &amp; baseline emissions'!$E$58:$E$93,0),MATCH('Carbon Budgets Results'!N$20,'3.4 Popn &amp; baseline emissions'!$F$57:$V$57,0))</f>
        <v>18555.128481885571</v>
      </c>
      <c r="O21" s="247">
        <f>INDEX('3.4 Popn &amp; baseline emissions'!$F$58:$V$93,MATCH('Carbon Budgets Results'!$B$18,'3.4 Popn &amp; baseline emissions'!$E$58:$E$93,0),MATCH('Carbon Budgets Results'!O$20,'3.4 Popn &amp; baseline emissions'!$F$57:$V$57,0))</f>
        <v>16571.956424331576</v>
      </c>
      <c r="P21" s="247">
        <f>INDEX('3.4 Popn &amp; baseline emissions'!$F$58:$V$93,MATCH('Carbon Budgets Results'!$B$18,'3.4 Popn &amp; baseline emissions'!$E$58:$E$93,0),MATCH('Carbon Budgets Results'!P$20,'3.4 Popn &amp; baseline emissions'!$F$57:$V$57,0))</f>
        <v>17789.339922052779</v>
      </c>
      <c r="Q21" s="247">
        <f>INDEX('3.4 Popn &amp; baseline emissions'!$F$58:$V$93,MATCH('Carbon Budgets Results'!$B$18,'3.4 Popn &amp; baseline emissions'!$E$58:$E$93,0),MATCH('Carbon Budgets Results'!Q$20,'3.4 Popn &amp; baseline emissions'!$F$57:$V$57,0))</f>
        <v>16813.16908217904</v>
      </c>
      <c r="R21" s="247">
        <f>INDEX('3.4 Popn &amp; baseline emissions'!$F$58:$V$93,MATCH('Carbon Budgets Results'!$B$18,'3.4 Popn &amp; baseline emissions'!$E$58:$E$93,0),MATCH('Carbon Budgets Results'!R$20,'3.4 Popn &amp; baseline emissions'!$F$57:$V$57,0))</f>
        <v>14305.943507793443</v>
      </c>
      <c r="S21">
        <f ca="1">SUM('Main graph Results'!J18:J29)</f>
        <v>13215.309735391305</v>
      </c>
      <c r="T21">
        <f ca="1">SUM('Main graph Results'!K18:K29)</f>
        <v>11820.845343878242</v>
      </c>
      <c r="U21">
        <f ca="1">SUM('Main graph Results'!L18:L29)</f>
        <v>11206.213617596581</v>
      </c>
      <c r="V21">
        <f ca="1">SUM('Main graph Results'!M18:M29)</f>
        <v>10816.951674840104</v>
      </c>
      <c r="W21" s="247"/>
      <c r="X21" s="247"/>
      <c r="Y21" s="247"/>
      <c r="Z21" s="247"/>
      <c r="AA21" s="247"/>
      <c r="AB21" s="247"/>
      <c r="AC21" s="247"/>
      <c r="AD21" s="247"/>
      <c r="AE21" s="247"/>
      <c r="AF21" s="247"/>
      <c r="AG21" s="247"/>
      <c r="AH21" s="247"/>
      <c r="AI21" s="247"/>
      <c r="AJ21" s="247"/>
      <c r="AK21" s="247"/>
      <c r="AL21" s="247"/>
      <c r="AM21" s="247"/>
      <c r="AN21" s="247"/>
      <c r="AO21" s="247"/>
      <c r="AP21" s="247"/>
      <c r="AQ21" s="247"/>
      <c r="AR21" s="313"/>
      <c r="AS21" s="313"/>
    </row>
    <row r="22" spans="1:54">
      <c r="C22" t="s">
        <v>327</v>
      </c>
      <c r="S22" s="159"/>
      <c r="V22">
        <f ca="1">V21</f>
        <v>10816.951674840104</v>
      </c>
      <c r="W22">
        <f ca="1">SUM('Main graph Results'!N18:N29)</f>
        <v>10258.617337138387</v>
      </c>
      <c r="X22">
        <f ca="1">SUM('Main graph Results'!O18:O29)</f>
        <v>9093.6205731059417</v>
      </c>
      <c r="Y22">
        <f ca="1">SUM('Main graph Results'!P18:P29)</f>
        <v>8797.1488804399105</v>
      </c>
      <c r="Z22">
        <f ca="1">SUM('Main graph Results'!Q18:Q29)</f>
        <v>8405.6217167880568</v>
      </c>
      <c r="AA22">
        <f ca="1">SUM('Main graph Results'!R18:R29)</f>
        <v>7975.1156055012007</v>
      </c>
      <c r="AB22">
        <f ca="1">SUM('Main graph Results'!S18:S29)</f>
        <v>7803.4526553160531</v>
      </c>
      <c r="AC22">
        <f ca="1">SUM('Main graph Results'!T18:T29)</f>
        <v>6966.551079331156</v>
      </c>
      <c r="AD22">
        <f ca="1">SUM('Main graph Results'!U18:U29)</f>
        <v>5917.9593953262647</v>
      </c>
      <c r="AE22">
        <f ca="1">SUM('Main graph Results'!V18:V29)</f>
        <v>5142.5030098729148</v>
      </c>
      <c r="AF22">
        <f ca="1">SUM('Main graph Results'!W18:W29)</f>
        <v>4612.3961958976615</v>
      </c>
      <c r="AG22">
        <f ca="1">SUM('Main graph Results'!X18:X29)</f>
        <v>4147.6530761071735</v>
      </c>
      <c r="AH22">
        <f ca="1">SUM('Main graph Results'!Y18:Y29)</f>
        <v>3561.7722569324974</v>
      </c>
      <c r="AI22">
        <f ca="1">SUM('Main graph Results'!Z18:Z29)</f>
        <v>3078.9103215081104</v>
      </c>
      <c r="AJ22">
        <f ca="1">SUM('Main graph Results'!AA18:AA29)</f>
        <v>2713.299521847523</v>
      </c>
      <c r="AK22">
        <f ca="1">SUM('Main graph Results'!AB18:AB29)</f>
        <v>2376.7778011129508</v>
      </c>
      <c r="AL22">
        <f ca="1">SUM('Main graph Results'!AC18:AC29)</f>
        <v>2095.6238507013909</v>
      </c>
      <c r="AM22">
        <f ca="1">SUM('Main graph Results'!AD18:AD29)</f>
        <v>1851.0247336743505</v>
      </c>
      <c r="AN22">
        <f ca="1">SUM('Main graph Results'!AE18:AE29)</f>
        <v>1546.9759964023344</v>
      </c>
      <c r="AO22">
        <f ca="1">SUM('Main graph Results'!AF18:AF29)</f>
        <v>1322.665100769349</v>
      </c>
      <c r="AP22">
        <f ca="1">SUM('Main graph Results'!AG18:AG29)</f>
        <v>1172.6239450254357</v>
      </c>
      <c r="AQ22">
        <f ca="1">SUM('Main graph Results'!AH18:AH29)</f>
        <v>1060.7626390271125</v>
      </c>
      <c r="AR22">
        <f ca="1">SUM('Main graph Results'!AI18:AI29)</f>
        <v>940.16491888981272</v>
      </c>
      <c r="AS22">
        <f ca="1">SUM('Main graph Results'!AJ18:AJ29)</f>
        <v>815.98024763706348</v>
      </c>
      <c r="AT22">
        <f ca="1">SUM('Main graph Results'!AK18:AK29)</f>
        <v>737.43335886849377</v>
      </c>
      <c r="AU22">
        <f ca="1">SUM('Main graph Results'!AL18:AL29)</f>
        <v>670.37964785876966</v>
      </c>
      <c r="AV22">
        <f ca="1">SUM('Main graph Results'!AM18:AM29)</f>
        <v>594.90195683978641</v>
      </c>
      <c r="AW22">
        <f ca="1">SUM('Main graph Results'!AN18:AN29)</f>
        <v>498.17463319444084</v>
      </c>
      <c r="AX22">
        <f ca="1">SUM('Main graph Results'!AO18:AO29)</f>
        <v>429.6018849012184</v>
      </c>
      <c r="AY22">
        <f ca="1">SUM('Main graph Results'!AP18:AP29)</f>
        <v>387.42155839519756</v>
      </c>
      <c r="AZ22">
        <f ca="1">SUM('Main graph Results'!AQ18:AQ29)</f>
        <v>360.55829088695259</v>
      </c>
      <c r="BA22">
        <f ca="1">SUM('Main graph Results'!AR18:AR29)</f>
        <v>330.96335780669028</v>
      </c>
      <c r="BB22">
        <f ca="1">SUM('Main graph Results'!AS18:AS29)</f>
        <v>310.99487213358901</v>
      </c>
    </row>
    <row r="24" spans="1:54" s="240" customFormat="1">
      <c r="B24" s="241" t="s">
        <v>328</v>
      </c>
      <c r="C24" s="242"/>
    </row>
    <row r="25" spans="1:54">
      <c r="B25" t="s">
        <v>329</v>
      </c>
      <c r="X25">
        <v>2020</v>
      </c>
      <c r="Y25">
        <v>2021</v>
      </c>
      <c r="Z25">
        <v>2022</v>
      </c>
      <c r="AA25">
        <v>2023</v>
      </c>
      <c r="AB25">
        <v>2024</v>
      </c>
      <c r="AC25">
        <v>2025</v>
      </c>
      <c r="AD25">
        <v>2026</v>
      </c>
      <c r="AE25">
        <v>2027</v>
      </c>
      <c r="AF25">
        <v>2028</v>
      </c>
      <c r="AG25">
        <v>2029</v>
      </c>
      <c r="AH25">
        <v>2030</v>
      </c>
      <c r="AI25">
        <v>2031</v>
      </c>
      <c r="AJ25">
        <v>2032</v>
      </c>
      <c r="AK25">
        <v>2033</v>
      </c>
      <c r="AL25">
        <v>2034</v>
      </c>
      <c r="AM25">
        <v>2035</v>
      </c>
      <c r="AN25">
        <v>2036</v>
      </c>
      <c r="AO25">
        <v>2037</v>
      </c>
      <c r="AP25">
        <v>2038</v>
      </c>
      <c r="AQ25">
        <v>2039</v>
      </c>
      <c r="AR25">
        <v>2040</v>
      </c>
      <c r="AS25">
        <v>2041</v>
      </c>
      <c r="AT25">
        <v>2042</v>
      </c>
      <c r="AU25">
        <v>2043</v>
      </c>
      <c r="AV25">
        <v>2044</v>
      </c>
      <c r="AW25">
        <v>2045</v>
      </c>
      <c r="AX25">
        <v>2046</v>
      </c>
      <c r="AY25">
        <v>2047</v>
      </c>
      <c r="AZ25">
        <v>2048</v>
      </c>
      <c r="BA25">
        <v>2049</v>
      </c>
      <c r="BB25">
        <v>2050</v>
      </c>
    </row>
    <row r="26" spans="1:54">
      <c r="X26">
        <f ca="1">X22/1000</f>
        <v>9.093620573105941</v>
      </c>
      <c r="Y26">
        <f ca="1">Y22/1000+X26</f>
        <v>17.89076945354585</v>
      </c>
      <c r="Z26">
        <f t="shared" ref="Z26:BB26" ca="1" si="44">Z22/1000+Y26</f>
        <v>26.296391170333905</v>
      </c>
      <c r="AA26">
        <f t="shared" ca="1" si="44"/>
        <v>34.271506775835107</v>
      </c>
      <c r="AB26">
        <f t="shared" ca="1" si="44"/>
        <v>42.074959431151157</v>
      </c>
      <c r="AC26">
        <f t="shared" ca="1" si="44"/>
        <v>49.041510510482311</v>
      </c>
      <c r="AD26">
        <f t="shared" ca="1" si="44"/>
        <v>54.959469905808575</v>
      </c>
      <c r="AE26">
        <f t="shared" ca="1" si="44"/>
        <v>60.101972915681486</v>
      </c>
      <c r="AF26">
        <f t="shared" ca="1" si="44"/>
        <v>64.714369111579146</v>
      </c>
      <c r="AG26">
        <f t="shared" ca="1" si="44"/>
        <v>68.862022187686321</v>
      </c>
      <c r="AH26">
        <f t="shared" ca="1" si="44"/>
        <v>72.423794444618821</v>
      </c>
      <c r="AI26">
        <f t="shared" ca="1" si="44"/>
        <v>75.502704766126925</v>
      </c>
      <c r="AJ26">
        <f t="shared" ca="1" si="44"/>
        <v>78.216004287974442</v>
      </c>
      <c r="AK26">
        <f t="shared" ca="1" si="44"/>
        <v>80.592782089087393</v>
      </c>
      <c r="AL26">
        <f t="shared" ca="1" si="44"/>
        <v>82.68840593978878</v>
      </c>
      <c r="AM26">
        <f t="shared" ca="1" si="44"/>
        <v>84.53943067346313</v>
      </c>
      <c r="AN26">
        <f t="shared" ca="1" si="44"/>
        <v>86.086406669865468</v>
      </c>
      <c r="AO26">
        <f t="shared" ca="1" si="44"/>
        <v>87.409071770634824</v>
      </c>
      <c r="AP26">
        <f t="shared" ca="1" si="44"/>
        <v>88.58169571566026</v>
      </c>
      <c r="AQ26">
        <f t="shared" ca="1" si="44"/>
        <v>89.642458354687378</v>
      </c>
      <c r="AR26">
        <f t="shared" ca="1" si="44"/>
        <v>90.582623273577184</v>
      </c>
      <c r="AS26">
        <f t="shared" ca="1" si="44"/>
        <v>91.398603521214241</v>
      </c>
      <c r="AT26">
        <f t="shared" ca="1" si="44"/>
        <v>92.136036880082742</v>
      </c>
      <c r="AU26">
        <f t="shared" ca="1" si="44"/>
        <v>92.806416527941508</v>
      </c>
      <c r="AV26">
        <f t="shared" ca="1" si="44"/>
        <v>93.401318484781299</v>
      </c>
      <c r="AW26">
        <f t="shared" ca="1" si="44"/>
        <v>93.899493117975737</v>
      </c>
      <c r="AX26">
        <f t="shared" ca="1" si="44"/>
        <v>94.329095002876954</v>
      </c>
      <c r="AY26">
        <f t="shared" ca="1" si="44"/>
        <v>94.716516561272158</v>
      </c>
      <c r="AZ26">
        <f t="shared" ca="1" si="44"/>
        <v>95.077074852159114</v>
      </c>
      <c r="BA26">
        <f t="shared" ca="1" si="44"/>
        <v>95.40803820996581</v>
      </c>
      <c r="BB26">
        <f t="shared" ca="1" si="44"/>
        <v>95.719033082099401</v>
      </c>
    </row>
    <row r="29" spans="1:54" s="240" customFormat="1">
      <c r="B29" s="241" t="s">
        <v>330</v>
      </c>
      <c r="C29" s="242"/>
    </row>
    <row r="30" spans="1:54" s="240" customFormat="1">
      <c r="B30" s="241" t="s">
        <v>157</v>
      </c>
      <c r="C30" s="242"/>
    </row>
    <row r="31" spans="1:54" s="229" customFormat="1">
      <c r="A31" s="234"/>
      <c r="C31" s="229" t="s">
        <v>325</v>
      </c>
      <c r="D31" s="313"/>
      <c r="E31" s="234"/>
      <c r="F31" s="234"/>
      <c r="G31" s="313"/>
      <c r="H31" s="313">
        <v>2015</v>
      </c>
      <c r="I31" s="313">
        <f>H31+1</f>
        <v>2016</v>
      </c>
      <c r="J31" s="313">
        <f t="shared" ref="J31:Y31" si="45">I31+1</f>
        <v>2017</v>
      </c>
      <c r="K31" s="313">
        <f t="shared" si="45"/>
        <v>2018</v>
      </c>
      <c r="L31" s="313">
        <f t="shared" si="45"/>
        <v>2019</v>
      </c>
      <c r="M31" s="313">
        <f t="shared" si="45"/>
        <v>2020</v>
      </c>
      <c r="N31" s="313">
        <f t="shared" si="45"/>
        <v>2021</v>
      </c>
      <c r="O31" s="313">
        <f t="shared" si="45"/>
        <v>2022</v>
      </c>
      <c r="P31" s="313">
        <f t="shared" si="45"/>
        <v>2023</v>
      </c>
      <c r="Q31" s="313">
        <f t="shared" si="45"/>
        <v>2024</v>
      </c>
      <c r="R31" s="313">
        <f t="shared" si="45"/>
        <v>2025</v>
      </c>
      <c r="S31" s="313">
        <f t="shared" si="45"/>
        <v>2026</v>
      </c>
      <c r="T31" s="313">
        <f t="shared" si="45"/>
        <v>2027</v>
      </c>
      <c r="U31" s="313">
        <f t="shared" si="45"/>
        <v>2028</v>
      </c>
      <c r="V31" s="313">
        <f t="shared" si="45"/>
        <v>2029</v>
      </c>
      <c r="W31" s="313">
        <f t="shared" si="45"/>
        <v>2030</v>
      </c>
      <c r="X31" s="313">
        <f t="shared" si="45"/>
        <v>2031</v>
      </c>
      <c r="Y31" s="313">
        <f t="shared" si="45"/>
        <v>2032</v>
      </c>
      <c r="Z31" s="313">
        <f t="shared" ref="Z31" si="46">Y31+1</f>
        <v>2033</v>
      </c>
      <c r="AA31" s="313">
        <f t="shared" ref="AA31" si="47">Z31+1</f>
        <v>2034</v>
      </c>
      <c r="AB31" s="313">
        <f t="shared" ref="AB31" si="48">AA31+1</f>
        <v>2035</v>
      </c>
      <c r="AC31" s="313">
        <f t="shared" ref="AC31" si="49">AB31+1</f>
        <v>2036</v>
      </c>
      <c r="AD31" s="313">
        <f t="shared" ref="AD31" si="50">AC31+1</f>
        <v>2037</v>
      </c>
      <c r="AE31" s="313">
        <f t="shared" ref="AE31" si="51">AD31+1</f>
        <v>2038</v>
      </c>
      <c r="AF31" s="313">
        <f t="shared" ref="AF31" si="52">AE31+1</f>
        <v>2039</v>
      </c>
      <c r="AG31" s="313">
        <f t="shared" ref="AG31" si="53">AF31+1</f>
        <v>2040</v>
      </c>
      <c r="AH31" s="313">
        <f t="shared" ref="AH31" si="54">AG31+1</f>
        <v>2041</v>
      </c>
      <c r="AI31" s="313">
        <f t="shared" ref="AI31" si="55">AH31+1</f>
        <v>2042</v>
      </c>
      <c r="AJ31" s="313">
        <f t="shared" ref="AJ31" si="56">AI31+1</f>
        <v>2043</v>
      </c>
      <c r="AK31" s="313">
        <f t="shared" ref="AK31" si="57">AJ31+1</f>
        <v>2044</v>
      </c>
      <c r="AL31" s="313">
        <f t="shared" ref="AL31" si="58">AK31+1</f>
        <v>2045</v>
      </c>
      <c r="AM31" s="313">
        <f t="shared" ref="AM31" si="59">AL31+1</f>
        <v>2046</v>
      </c>
      <c r="AN31" s="313">
        <f t="shared" ref="AN31" si="60">AM31+1</f>
        <v>2047</v>
      </c>
      <c r="AO31" s="313">
        <f t="shared" ref="AO31" si="61">AN31+1</f>
        <v>2048</v>
      </c>
      <c r="AP31" s="313">
        <f t="shared" ref="AP31" si="62">AO31+1</f>
        <v>2049</v>
      </c>
      <c r="AQ31" s="313">
        <f t="shared" ref="AQ31" si="63">AP31+1</f>
        <v>2050</v>
      </c>
      <c r="AR31" s="313"/>
      <c r="AS31" s="313"/>
      <c r="AT31" s="313"/>
      <c r="AU31" s="313"/>
      <c r="AV31" s="313"/>
      <c r="AW31" s="313"/>
      <c r="AX31" s="313"/>
      <c r="AY31" s="313"/>
      <c r="AZ31" s="313"/>
      <c r="BA31" s="313"/>
      <c r="BB31" s="313"/>
    </row>
    <row r="32" spans="1:54" s="229" customFormat="1">
      <c r="A32" s="234"/>
      <c r="C32" t="s">
        <v>331</v>
      </c>
      <c r="D32" s="313"/>
      <c r="E32" s="234"/>
      <c r="F32" s="234"/>
      <c r="G32" s="313"/>
      <c r="H32" s="247">
        <f>SUM('Main graph Results'!J143:J149)</f>
        <v>3607.5576194787554</v>
      </c>
      <c r="I32" s="247">
        <f>SUM('Main graph Results'!K143:K149)</f>
        <v>3309.0932819547847</v>
      </c>
      <c r="J32" s="247">
        <f>SUM('Main graph Results'!L143:L149)</f>
        <v>3186.0255146659683</v>
      </c>
      <c r="K32" s="247">
        <f>SUM('Main graph Results'!M143:M149)</f>
        <v>3112.6893566885337</v>
      </c>
      <c r="L32" s="247">
        <f>SUM('Main graph Results'!N143:N149)</f>
        <v>3000.4676462627313</v>
      </c>
      <c r="M32" s="247">
        <f>SUM('Main graph Results'!O143:O149)</f>
        <v>2758.3376798413633</v>
      </c>
      <c r="N32" s="247">
        <f>SUM('Main graph Results'!P143:P149)</f>
        <v>2691.3163057009992</v>
      </c>
      <c r="O32" s="247">
        <f>SUM('Main graph Results'!Q143:Q149)</f>
        <v>2559.6754877532521</v>
      </c>
      <c r="P32" s="247">
        <f>SUM('Main graph Results'!R143:R149)</f>
        <v>2380.3365726864422</v>
      </c>
      <c r="Q32" s="247">
        <f>SUM('Main graph Results'!S143:S149)</f>
        <v>2244.7733245485606</v>
      </c>
      <c r="R32" s="247">
        <f>SUM('Main graph Results'!T143:T149)</f>
        <v>1982.8290483207838</v>
      </c>
      <c r="S32" s="247">
        <f>SUM('Main graph Results'!U143:U149)</f>
        <v>1686.0089014298492</v>
      </c>
      <c r="T32" s="247">
        <f>SUM('Main graph Results'!V143:V149)</f>
        <v>1454.9002393302881</v>
      </c>
      <c r="U32" s="247">
        <f>SUM('Main graph Results'!W143:W149)</f>
        <v>1285.7693825084368</v>
      </c>
      <c r="V32" s="247">
        <f>SUM('Main graph Results'!X143:X149)</f>
        <v>1152.2933600817466</v>
      </c>
      <c r="W32" s="247">
        <f>SUM('Main graph Results'!Y143:Y149)</f>
        <v>1010.9089986284974</v>
      </c>
      <c r="X32" s="247">
        <f>SUM('Main graph Results'!Z143:Z149)</f>
        <v>892.38504212920452</v>
      </c>
      <c r="Y32" s="247">
        <f>SUM('Main graph Results'!AA143:AA149)</f>
        <v>794.32560616039586</v>
      </c>
      <c r="Z32" s="247" t="str">
        <f>IF(Dashboard!$D$5="Greater London",SUM('Main graph Results'!AB143:AB149),"")</f>
        <v/>
      </c>
      <c r="AA32" s="247" t="str">
        <f>IF(Dashboard!$D$5="Greater London",SUM('Main graph Results'!AC143:AC149),"")</f>
        <v/>
      </c>
      <c r="AB32" s="247" t="str">
        <f>IF(Dashboard!$D$5="Greater London",SUM('Main graph Results'!AD143:AD149),"")</f>
        <v/>
      </c>
      <c r="AC32" s="247" t="str">
        <f>IF(Dashboard!$D$5="Greater London",SUM('Main graph Results'!AE143:AE149),"")</f>
        <v/>
      </c>
      <c r="AD32" s="247" t="str">
        <f>IF(Dashboard!$D$5="Greater London",SUM('Main graph Results'!AF143:AF149),"")</f>
        <v/>
      </c>
      <c r="AE32" s="247" t="str">
        <f>IF(Dashboard!$D$5="Greater London",SUM('Main graph Results'!AG143:AG149),"")</f>
        <v/>
      </c>
      <c r="AF32" s="247" t="str">
        <f>IF(Dashboard!$D$5="Greater London",SUM('Main graph Results'!AH143:AH149),"")</f>
        <v/>
      </c>
      <c r="AG32" s="247" t="str">
        <f>IF(Dashboard!$D$5="Greater London",SUM('Main graph Results'!AI143:AI149),"")</f>
        <v/>
      </c>
      <c r="AH32" s="247" t="str">
        <f>IF(Dashboard!$D$5="Greater London",SUM('Main graph Results'!AJ143:AJ149),"")</f>
        <v/>
      </c>
      <c r="AI32" s="247" t="str">
        <f>IF(Dashboard!$D$5="Greater London",SUM('Main graph Results'!AK143:AK149),"")</f>
        <v/>
      </c>
      <c r="AJ32" s="247" t="str">
        <f>IF(Dashboard!$D$5="Greater London",SUM('Main graph Results'!AL143:AL149),"")</f>
        <v/>
      </c>
      <c r="AK32" s="247" t="str">
        <f>IF(Dashboard!$D$5="Greater London",SUM('Main graph Results'!AM143:AM149),"")</f>
        <v/>
      </c>
      <c r="AL32" s="247" t="str">
        <f>IF(Dashboard!$D$5="Greater London",SUM('Main graph Results'!AN143:AN149),"")</f>
        <v/>
      </c>
      <c r="AM32" s="247" t="str">
        <f>IF(Dashboard!$D$5="Greater London",SUM('Main graph Results'!AO143:AO149),"")</f>
        <v/>
      </c>
      <c r="AN32" s="247" t="str">
        <f>IF(Dashboard!$D$5="Greater London",SUM('Main graph Results'!AP143:AP149),"")</f>
        <v/>
      </c>
      <c r="AO32" s="247" t="str">
        <f>IF(Dashboard!$D$5="Greater London",SUM('Main graph Results'!AQ143:AQ149),"")</f>
        <v/>
      </c>
      <c r="AP32" s="247" t="str">
        <f>IF(Dashboard!$D$5="Greater London",SUM('Main graph Results'!AR143:AR149),"")</f>
        <v/>
      </c>
      <c r="AQ32" s="247" t="str">
        <f>IF(Dashboard!$D$5="Greater London",SUM('Main graph Results'!AS143:AS149),"")</f>
        <v/>
      </c>
      <c r="AR32" s="247"/>
      <c r="AS32" s="247"/>
      <c r="AT32" s="247"/>
      <c r="AU32" s="247"/>
      <c r="AV32" s="247"/>
      <c r="AW32" s="247"/>
      <c r="AX32" s="247"/>
      <c r="AY32" s="247"/>
      <c r="AZ32" s="247"/>
      <c r="BA32" s="247"/>
      <c r="BB32" s="247"/>
    </row>
    <row r="33" spans="1:54" s="229" customFormat="1">
      <c r="A33" s="234"/>
      <c r="C33" t="s">
        <v>332</v>
      </c>
      <c r="D33" s="313"/>
      <c r="E33" s="234"/>
      <c r="F33" s="234"/>
      <c r="G33" s="313"/>
      <c r="H33" s="247"/>
      <c r="I33" s="247"/>
      <c r="J33" s="247"/>
      <c r="K33" s="247">
        <f>L33</f>
        <v>2861.5046804262734</v>
      </c>
      <c r="L33" s="247">
        <f>M33</f>
        <v>2861.5046804262734</v>
      </c>
      <c r="M33" s="247">
        <f>$F$14*1000</f>
        <v>2861.5046804262734</v>
      </c>
      <c r="N33" s="247">
        <f>M33</f>
        <v>2861.5046804262734</v>
      </c>
      <c r="O33" s="247">
        <f>N33</f>
        <v>2861.5046804262734</v>
      </c>
      <c r="P33" s="247">
        <f>Q33</f>
        <v>1955.9510104302983</v>
      </c>
      <c r="Q33" s="247">
        <f>R33</f>
        <v>1955.9510104302983</v>
      </c>
      <c r="R33" s="247">
        <f>$F$15*1000</f>
        <v>1955.9510104302983</v>
      </c>
      <c r="S33" s="247">
        <f>R33</f>
        <v>1955.9510104302983</v>
      </c>
      <c r="T33" s="247">
        <f>S33</f>
        <v>1955.9510104302983</v>
      </c>
      <c r="U33" s="247">
        <f>V33</f>
        <v>1018.2859218640986</v>
      </c>
      <c r="V33" s="247">
        <f>W33</f>
        <v>1018.2859218640986</v>
      </c>
      <c r="W33" s="247">
        <f>F16*1000</f>
        <v>1018.2859218640986</v>
      </c>
      <c r="X33" s="247">
        <f>W33</f>
        <v>1018.2859218640986</v>
      </c>
      <c r="Y33" s="247">
        <f>X33</f>
        <v>1018.2859218640986</v>
      </c>
      <c r="Z33" s="247"/>
      <c r="AA33" s="247"/>
      <c r="AB33" s="247"/>
      <c r="AC33" s="247"/>
      <c r="AD33" s="247"/>
      <c r="AE33" s="247"/>
      <c r="AF33" s="247"/>
      <c r="AG33" s="247"/>
      <c r="AH33" s="247"/>
      <c r="AI33" s="247"/>
      <c r="AJ33" s="247"/>
      <c r="AK33" s="247"/>
      <c r="AL33" s="247"/>
      <c r="AM33" s="247"/>
      <c r="AN33" s="247"/>
      <c r="AO33" s="247"/>
      <c r="AP33" s="247"/>
      <c r="AQ33" s="247"/>
      <c r="AR33" s="247"/>
      <c r="AS33" s="247"/>
      <c r="AT33" s="247"/>
      <c r="AU33" s="247"/>
      <c r="AV33" s="247"/>
      <c r="AW33" s="247"/>
      <c r="AX33" s="247"/>
      <c r="AY33" s="247"/>
      <c r="AZ33" s="247"/>
      <c r="BA33" s="247"/>
      <c r="BB33" s="247"/>
    </row>
    <row r="34" spans="1:54" s="229" customFormat="1">
      <c r="A34" s="312"/>
      <c r="C34"/>
      <c r="D34" s="313"/>
      <c r="E34" s="312"/>
      <c r="F34" s="312"/>
      <c r="G34" s="313"/>
      <c r="H34" s="314"/>
      <c r="I34" s="314"/>
      <c r="J34" s="314"/>
      <c r="K34" s="314"/>
      <c r="L34" s="314"/>
      <c r="M34" s="314"/>
      <c r="N34" s="314"/>
      <c r="O34" s="314"/>
      <c r="P34" s="314"/>
      <c r="Q34" s="314"/>
      <c r="R34" s="314"/>
      <c r="S34" s="314"/>
      <c r="T34" s="314"/>
      <c r="U34" s="314"/>
      <c r="V34" s="314"/>
      <c r="W34" s="314"/>
      <c r="X34" s="314"/>
      <c r="Y34" s="314"/>
      <c r="Z34" s="314"/>
      <c r="AA34" s="314"/>
      <c r="AB34" s="314"/>
      <c r="AC34" s="314"/>
      <c r="AD34" s="314"/>
      <c r="AE34" s="314"/>
      <c r="AF34" s="314"/>
      <c r="AG34" s="314"/>
      <c r="AH34" s="314"/>
      <c r="AI34" s="314"/>
      <c r="AJ34" s="314"/>
      <c r="AK34" s="314"/>
      <c r="AL34" s="314"/>
      <c r="AM34" s="314"/>
      <c r="AN34" s="314"/>
      <c r="AO34" s="314"/>
      <c r="AP34" s="314"/>
      <c r="AQ34" s="314"/>
      <c r="AR34" s="314"/>
      <c r="AS34" s="314"/>
      <c r="AT34" s="314"/>
      <c r="AU34" s="314"/>
      <c r="AV34" s="314"/>
      <c r="AW34" s="314"/>
      <c r="AX34" s="314"/>
      <c r="AY34" s="314"/>
      <c r="AZ34" s="314"/>
      <c r="BA34" s="314"/>
      <c r="BB34" s="314"/>
    </row>
    <row r="35" spans="1:54" s="240" customFormat="1">
      <c r="B35" s="241" t="s">
        <v>317</v>
      </c>
      <c r="C35" s="242"/>
    </row>
    <row r="36" spans="1:54" s="229" customFormat="1">
      <c r="A36" s="234"/>
      <c r="C36" s="229" t="s">
        <v>325</v>
      </c>
      <c r="D36" s="313"/>
      <c r="E36" s="234"/>
      <c r="F36" s="234"/>
      <c r="G36" s="313"/>
      <c r="H36" s="313">
        <v>2015</v>
      </c>
      <c r="I36" s="313">
        <f>H36+1</f>
        <v>2016</v>
      </c>
      <c r="J36" s="313">
        <f t="shared" ref="J36" si="64">I36+1</f>
        <v>2017</v>
      </c>
      <c r="K36" s="313">
        <f t="shared" ref="K36" si="65">J36+1</f>
        <v>2018</v>
      </c>
      <c r="L36" s="313">
        <f t="shared" ref="L36" si="66">K36+1</f>
        <v>2019</v>
      </c>
      <c r="M36" s="313">
        <f t="shared" ref="M36" si="67">L36+1</f>
        <v>2020</v>
      </c>
      <c r="N36" s="313">
        <f t="shared" ref="N36" si="68">M36+1</f>
        <v>2021</v>
      </c>
      <c r="O36" s="313">
        <f t="shared" ref="O36" si="69">N36+1</f>
        <v>2022</v>
      </c>
      <c r="P36" s="313">
        <f t="shared" ref="P36" si="70">O36+1</f>
        <v>2023</v>
      </c>
      <c r="Q36" s="313">
        <f t="shared" ref="Q36" si="71">P36+1</f>
        <v>2024</v>
      </c>
      <c r="R36" s="313">
        <f t="shared" ref="R36" si="72">Q36+1</f>
        <v>2025</v>
      </c>
      <c r="S36" s="313">
        <f t="shared" ref="S36" si="73">R36+1</f>
        <v>2026</v>
      </c>
      <c r="T36" s="313">
        <f t="shared" ref="T36" si="74">S36+1</f>
        <v>2027</v>
      </c>
      <c r="U36" s="313">
        <f t="shared" ref="U36" si="75">T36+1</f>
        <v>2028</v>
      </c>
      <c r="V36" s="313">
        <f t="shared" ref="V36" si="76">U36+1</f>
        <v>2029</v>
      </c>
      <c r="W36" s="313">
        <f t="shared" ref="W36" si="77">V36+1</f>
        <v>2030</v>
      </c>
      <c r="X36" s="313">
        <f t="shared" ref="X36" si="78">W36+1</f>
        <v>2031</v>
      </c>
      <c r="Y36" s="313">
        <f t="shared" ref="Y36" si="79">X36+1</f>
        <v>2032</v>
      </c>
      <c r="Z36" s="313">
        <f t="shared" ref="Z36" si="80">Y36+1</f>
        <v>2033</v>
      </c>
      <c r="AA36" s="313">
        <f t="shared" ref="AA36" si="81">Z36+1</f>
        <v>2034</v>
      </c>
      <c r="AB36" s="313">
        <f t="shared" ref="AB36" si="82">AA36+1</f>
        <v>2035</v>
      </c>
      <c r="AC36" s="313">
        <f t="shared" ref="AC36" si="83">AB36+1</f>
        <v>2036</v>
      </c>
      <c r="AD36" s="313">
        <f t="shared" ref="AD36" si="84">AC36+1</f>
        <v>2037</v>
      </c>
      <c r="AE36" s="313">
        <f t="shared" ref="AE36" si="85">AD36+1</f>
        <v>2038</v>
      </c>
      <c r="AF36" s="313">
        <f t="shared" ref="AF36" si="86">AE36+1</f>
        <v>2039</v>
      </c>
      <c r="AG36" s="313">
        <f t="shared" ref="AG36" si="87">AF36+1</f>
        <v>2040</v>
      </c>
      <c r="AH36" s="313">
        <f t="shared" ref="AH36" si="88">AG36+1</f>
        <v>2041</v>
      </c>
      <c r="AI36" s="313">
        <f t="shared" ref="AI36" si="89">AH36+1</f>
        <v>2042</v>
      </c>
      <c r="AJ36" s="313">
        <f t="shared" ref="AJ36" si="90">AI36+1</f>
        <v>2043</v>
      </c>
      <c r="AK36" s="313">
        <f t="shared" ref="AK36" si="91">AJ36+1</f>
        <v>2044</v>
      </c>
      <c r="AL36" s="313">
        <f t="shared" ref="AL36" si="92">AK36+1</f>
        <v>2045</v>
      </c>
      <c r="AM36" s="313">
        <f t="shared" ref="AM36" si="93">AL36+1</f>
        <v>2046</v>
      </c>
      <c r="AN36" s="313">
        <f t="shared" ref="AN36" si="94">AM36+1</f>
        <v>2047</v>
      </c>
      <c r="AO36" s="313">
        <f t="shared" ref="AO36" si="95">AN36+1</f>
        <v>2048</v>
      </c>
      <c r="AP36" s="313">
        <f t="shared" ref="AP36" si="96">AO36+1</f>
        <v>2049</v>
      </c>
      <c r="AQ36" s="313">
        <f t="shared" ref="AQ36" si="97">AP36+1</f>
        <v>2050</v>
      </c>
      <c r="AR36" s="313"/>
      <c r="AS36" s="313"/>
      <c r="AT36" s="313"/>
      <c r="AU36" s="313"/>
      <c r="AV36" s="313"/>
      <c r="AW36" s="313"/>
      <c r="AX36" s="313"/>
      <c r="AY36" s="313"/>
      <c r="AZ36" s="313"/>
      <c r="BA36" s="313"/>
      <c r="BB36" s="313"/>
    </row>
    <row r="37" spans="1:54" s="229" customFormat="1">
      <c r="A37" s="234"/>
      <c r="C37" t="s">
        <v>331</v>
      </c>
      <c r="D37" s="313"/>
      <c r="E37" s="234"/>
      <c r="F37" s="234"/>
      <c r="G37" s="313"/>
      <c r="H37" s="247">
        <f>SUM('Main graph Results'!J20:J21,'Main graph Results'!J23,'Main graph Results'!J219,'Main graph Results'!J25,'Main graph Results'!J28)</f>
        <v>7485.9518269204391</v>
      </c>
      <c r="I37" s="247">
        <f>SUM('Main graph Results'!K20:K21,'Main graph Results'!K23,'Main graph Results'!K219,'Main graph Results'!K25,'Main graph Results'!K28)</f>
        <v>6441.4812617225452</v>
      </c>
      <c r="J37" s="247">
        <f>SUM('Main graph Results'!L20:L21,'Main graph Results'!L23,'Main graph Results'!L219,'Main graph Results'!L25,'Main graph Results'!L28)</f>
        <v>5996.4192552895656</v>
      </c>
      <c r="K37" s="247">
        <f>SUM('Main graph Results'!M20:M21,'Main graph Results'!M23,'Main graph Results'!M219,'Main graph Results'!M25,'Main graph Results'!M28)</f>
        <v>5722.6420089561852</v>
      </c>
      <c r="L37" s="247">
        <f>SUM('Main graph Results'!N20:N21,'Main graph Results'!N23,'Main graph Results'!N219,'Main graph Results'!N25,'Main graph Results'!N28)</f>
        <v>5325.5308311001963</v>
      </c>
      <c r="M37" s="247">
        <f>SUM('Main graph Results'!O20:O21,'Main graph Results'!O23,'Main graph Results'!O219,'Main graph Results'!O25,'Main graph Results'!O28)</f>
        <v>4527.4670800174508</v>
      </c>
      <c r="N37" s="247">
        <f>SUM('Main graph Results'!P20:P21,'Main graph Results'!P23,'Main graph Results'!P219,'Main graph Results'!P25,'Main graph Results'!P28)</f>
        <v>4339.1944072801871</v>
      </c>
      <c r="O37" s="247">
        <f>SUM('Main graph Results'!Q20:Q21,'Main graph Results'!Q23,'Main graph Results'!Q219,'Main graph Results'!Q25,'Main graph Results'!Q28)</f>
        <v>4139.8284099507418</v>
      </c>
      <c r="P37" s="247">
        <f>SUM('Main graph Results'!R20:R21,'Main graph Results'!R23,'Main graph Results'!R219,'Main graph Results'!R25,'Main graph Results'!R28)</f>
        <v>3956.717332833608</v>
      </c>
      <c r="Q37" s="247">
        <f>SUM('Main graph Results'!S20:S21,'Main graph Results'!S23,'Main graph Results'!S219,'Main graph Results'!S25,'Main graph Results'!S28)</f>
        <v>3975.2289778495733</v>
      </c>
      <c r="R37" s="247">
        <f>SUM('Main graph Results'!T20:T21,'Main graph Results'!T23,'Main graph Results'!T219,'Main graph Results'!T25,'Main graph Results'!T28)</f>
        <v>3488.4639218827078</v>
      </c>
      <c r="S37" s="247">
        <f>SUM('Main graph Results'!U20:U21,'Main graph Results'!U23,'Main graph Results'!U219,'Main graph Results'!U25,'Main graph Results'!U28)</f>
        <v>2840.4340378907737</v>
      </c>
      <c r="T37" s="247">
        <f>SUM('Main graph Results'!V20:V21,'Main graph Results'!V23,'Main graph Results'!V219,'Main graph Results'!V25,'Main graph Results'!V28)</f>
        <v>2398.7243384156122</v>
      </c>
      <c r="U37" s="247">
        <f>SUM('Main graph Results'!W20:W21,'Main graph Results'!W23,'Main graph Results'!W219,'Main graph Results'!W25,'Main graph Results'!W28)</f>
        <v>2131.3483598222333</v>
      </c>
      <c r="V37" s="247">
        <f>SUM('Main graph Results'!X20:X21,'Main graph Results'!X23,'Main graph Results'!X219,'Main graph Results'!X25,'Main graph Results'!X28)</f>
        <v>1892.7042983227689</v>
      </c>
      <c r="W37" s="247">
        <f>SUM('Main graph Results'!Y20:Y21,'Main graph Results'!Y23,'Main graph Results'!Y219,'Main graph Results'!Y25,'Main graph Results'!Y28)</f>
        <v>1555.1114178666878</v>
      </c>
      <c r="X37" s="247">
        <f>SUM('Main graph Results'!Z20:Z21,'Main graph Results'!Z23,'Main graph Results'!Z219,'Main graph Results'!Z25,'Main graph Results'!Z28)</f>
        <v>1297.1668277082015</v>
      </c>
      <c r="Y37" s="247">
        <f>SUM('Main graph Results'!AA20:AA21,'Main graph Results'!AA23,'Main graph Results'!AA219,'Main graph Results'!AA25,'Main graph Results'!AA28)</f>
        <v>1124.6484343105367</v>
      </c>
      <c r="Z37" s="247">
        <f>SUM('Main graph Results'!AB20:AB21,'Main graph Results'!AB23,'Main graph Results'!AB219,'Main graph Results'!AB25,'Main graph Results'!AB28)</f>
        <v>975.51808921209567</v>
      </c>
      <c r="AA37" s="247">
        <f>SUM('Main graph Results'!AC20:AC21,'Main graph Results'!AC23,'Main graph Results'!AC219,'Main graph Results'!AC25,'Main graph Results'!AC28)</f>
        <v>862.48852488279897</v>
      </c>
      <c r="AB37" s="247">
        <f>SUM('Main graph Results'!AD20:AD21,'Main graph Results'!AD23,'Main graph Results'!AD219,'Main graph Results'!AD25,'Main graph Results'!AD28)</f>
        <v>771.2968641501526</v>
      </c>
      <c r="AC37" s="247">
        <f>SUM('Main graph Results'!AE20:AE21,'Main graph Results'!AE23,'Main graph Results'!AE219,'Main graph Results'!AE25,'Main graph Results'!AE28)</f>
        <v>647.28792361954788</v>
      </c>
      <c r="AD37" s="247">
        <f>SUM('Main graph Results'!AF20:AF21,'Main graph Results'!AF23,'Main graph Results'!AF219,'Main graph Results'!AF25,'Main graph Results'!AF28)</f>
        <v>565.71434924788286</v>
      </c>
      <c r="AE37" s="247">
        <f>SUM('Main graph Results'!AG20:AG21,'Main graph Results'!AG23,'Main graph Results'!AG219,'Main graph Results'!AG25,'Main graph Results'!AG28)</f>
        <v>522.72772819769978</v>
      </c>
      <c r="AF37" s="247">
        <f>SUM('Main graph Results'!AH20:AH21,'Main graph Results'!AH23,'Main graph Results'!AH219,'Main graph Results'!AH25,'Main graph Results'!AH28)</f>
        <v>491.68449711980031</v>
      </c>
      <c r="AG37" s="247">
        <f>SUM('Main graph Results'!AI20:AI21,'Main graph Results'!AI23,'Main graph Results'!AI219,'Main graph Results'!AI25,'Main graph Results'!AI28)</f>
        <v>451.66794551453728</v>
      </c>
      <c r="AH37" s="247">
        <f>SUM('Main graph Results'!AJ20:AJ21,'Main graph Results'!AJ23,'Main graph Results'!AJ219,'Main graph Results'!AJ25,'Main graph Results'!AJ28)</f>
        <v>397.28037367527332</v>
      </c>
      <c r="AI37" s="247">
        <f>SUM('Main graph Results'!AK20:AK21,'Main graph Results'!AK23,'Main graph Results'!AK219,'Main graph Results'!AK25,'Main graph Results'!AK28)</f>
        <v>370.71665619894895</v>
      </c>
      <c r="AJ37" s="247">
        <f>SUM('Main graph Results'!AL20:AL21,'Main graph Results'!AL23,'Main graph Results'!AL219,'Main graph Results'!AL25,'Main graph Results'!AL28)</f>
        <v>349.97910440460345</v>
      </c>
      <c r="AK37" s="247">
        <f>SUM('Main graph Results'!AM20:AM21,'Main graph Results'!AM23,'Main graph Results'!AM219,'Main graph Results'!AM25,'Main graph Results'!AM28)</f>
        <v>322.31409555203595</v>
      </c>
      <c r="AL37" s="247">
        <f>SUM('Main graph Results'!AN20:AN21,'Main graph Results'!AN23,'Main graph Results'!AN219,'Main graph Results'!AN25,'Main graph Results'!AN28)</f>
        <v>279.82223021228123</v>
      </c>
      <c r="AM37" s="247">
        <f>SUM('Main graph Results'!AO20:AO21,'Main graph Results'!AO23,'Main graph Results'!AO219,'Main graph Results'!AO25,'Main graph Results'!AO28)</f>
        <v>249.24451988256882</v>
      </c>
      <c r="AN37" s="247">
        <f>SUM('Main graph Results'!AP20:AP21,'Main graph Results'!AP23,'Main graph Results'!AP219,'Main graph Results'!AP25,'Main graph Results'!AP28)</f>
        <v>230.97107989906917</v>
      </c>
      <c r="AO37" s="247">
        <f>SUM('Main graph Results'!AQ20:AQ21,'Main graph Results'!AQ23,'Main graph Results'!AQ219,'Main graph Results'!AQ25,'Main graph Results'!AQ28)</f>
        <v>220.61231406831163</v>
      </c>
      <c r="AP37" s="247">
        <f>SUM('Main graph Results'!AR20:AR21,'Main graph Results'!AR23,'Main graph Results'!AR219,'Main graph Results'!AR25,'Main graph Results'!AR28)</f>
        <v>208.23019643106383</v>
      </c>
      <c r="AQ37" s="247">
        <f>SUM('Main graph Results'!AS20:AS21,'Main graph Results'!AS23,'Main graph Results'!AS219,'Main graph Results'!AS25,'Main graph Results'!AS28)</f>
        <v>201.88416745418021</v>
      </c>
      <c r="AR37" s="247"/>
      <c r="AS37" s="247"/>
      <c r="AT37" s="247"/>
      <c r="AU37" s="247"/>
      <c r="AV37" s="247"/>
      <c r="AW37" s="247"/>
      <c r="AX37" s="247"/>
      <c r="AY37" s="247"/>
      <c r="AZ37" s="247"/>
      <c r="BA37" s="247"/>
      <c r="BB37" s="247"/>
    </row>
    <row r="38" spans="1:54" s="229" customFormat="1">
      <c r="A38" s="234"/>
      <c r="C38" t="s">
        <v>333</v>
      </c>
      <c r="D38" s="313"/>
      <c r="E38" s="234"/>
      <c r="F38" s="234"/>
      <c r="G38" s="313"/>
      <c r="H38" s="247"/>
      <c r="I38" s="247"/>
      <c r="J38" s="247"/>
      <c r="K38" s="247">
        <f>L38</f>
        <v>5004.1636244957836</v>
      </c>
      <c r="L38" s="247">
        <f>M38</f>
        <v>5004.1636244957836</v>
      </c>
      <c r="M38" s="247">
        <f>$H$14*1000</f>
        <v>5004.1636244957836</v>
      </c>
      <c r="N38" s="247">
        <f>M38</f>
        <v>5004.1636244957836</v>
      </c>
      <c r="O38" s="247">
        <f>N38</f>
        <v>5004.1636244957836</v>
      </c>
      <c r="P38" s="247">
        <f>Q38</f>
        <v>3621.3261025114703</v>
      </c>
      <c r="Q38" s="247">
        <f>R38</f>
        <v>3621.3261025114703</v>
      </c>
      <c r="R38" s="247">
        <f>$H$15*1000</f>
        <v>3621.3261025114703</v>
      </c>
      <c r="S38" s="247">
        <f>R38</f>
        <v>3621.3261025114703</v>
      </c>
      <c r="T38" s="247">
        <f>S38</f>
        <v>3621.3261025114703</v>
      </c>
      <c r="U38" s="247">
        <f>V38</f>
        <v>1445.9626694471567</v>
      </c>
      <c r="V38" s="247">
        <f>W38</f>
        <v>1445.9626694471567</v>
      </c>
      <c r="W38" s="247">
        <f>$H$16*1000</f>
        <v>1445.9626694471567</v>
      </c>
      <c r="X38" s="247">
        <f>W38</f>
        <v>1445.9626694471567</v>
      </c>
      <c r="Y38" s="247">
        <f>X38</f>
        <v>1445.9626694471567</v>
      </c>
      <c r="Z38" s="247"/>
      <c r="AA38" s="247"/>
      <c r="AB38" s="247"/>
      <c r="AC38" s="247"/>
      <c r="AD38" s="247"/>
      <c r="AE38" s="247"/>
      <c r="AF38" s="247"/>
      <c r="AG38" s="247"/>
      <c r="AH38" s="247"/>
      <c r="AI38" s="247"/>
      <c r="AJ38" s="247"/>
      <c r="AK38" s="247"/>
      <c r="AL38" s="247"/>
      <c r="AM38" s="247"/>
      <c r="AN38" s="247"/>
      <c r="AO38" s="247"/>
      <c r="AP38" s="247"/>
      <c r="AQ38" s="247"/>
      <c r="AR38" s="247"/>
      <c r="AS38" s="247"/>
      <c r="AT38" s="247"/>
      <c r="AU38" s="247"/>
      <c r="AV38" s="247"/>
      <c r="AW38" s="247"/>
      <c r="AX38" s="247"/>
      <c r="AY38" s="247"/>
      <c r="AZ38" s="247"/>
      <c r="BA38" s="247"/>
      <c r="BB38" s="247"/>
    </row>
    <row r="39" spans="1:54" s="229" customFormat="1">
      <c r="A39" s="312"/>
      <c r="C39"/>
      <c r="D39" s="313"/>
      <c r="E39" s="312"/>
      <c r="F39" s="312"/>
      <c r="G39" s="313"/>
      <c r="H39" s="314"/>
      <c r="I39" s="314"/>
      <c r="J39" s="314"/>
      <c r="K39" s="314"/>
      <c r="L39" s="314"/>
      <c r="M39" s="314"/>
      <c r="N39" s="314"/>
      <c r="O39" s="314"/>
      <c r="P39" s="314"/>
      <c r="Q39" s="314"/>
      <c r="R39" s="314"/>
      <c r="S39" s="314"/>
      <c r="T39" s="314"/>
      <c r="U39" s="314"/>
      <c r="V39" s="314"/>
      <c r="W39" s="314"/>
      <c r="X39" s="314"/>
      <c r="Y39" s="314"/>
      <c r="Z39" s="314"/>
      <c r="AA39" s="314"/>
      <c r="AB39" s="314"/>
      <c r="AC39" s="314"/>
      <c r="AD39" s="314"/>
      <c r="AE39" s="314"/>
      <c r="AF39" s="314"/>
      <c r="AG39" s="314"/>
      <c r="AH39" s="314"/>
      <c r="AI39" s="314"/>
      <c r="AJ39" s="314"/>
      <c r="AK39" s="314"/>
      <c r="AL39" s="314"/>
      <c r="AM39" s="314"/>
      <c r="AN39" s="314"/>
      <c r="AO39" s="314"/>
      <c r="AP39" s="314"/>
      <c r="AQ39" s="314"/>
      <c r="AR39" s="314"/>
      <c r="AS39" s="314"/>
      <c r="AT39" s="314"/>
      <c r="AU39" s="314"/>
      <c r="AV39" s="314"/>
      <c r="AW39" s="314"/>
      <c r="AX39" s="314"/>
      <c r="AY39" s="314"/>
      <c r="AZ39" s="314"/>
      <c r="BA39" s="314"/>
      <c r="BB39" s="314"/>
    </row>
    <row r="40" spans="1:54" s="240" customFormat="1">
      <c r="B40" s="241" t="s">
        <v>90</v>
      </c>
      <c r="C40" s="242"/>
    </row>
    <row r="41" spans="1:54" s="229" customFormat="1">
      <c r="A41" s="234"/>
      <c r="C41" s="229" t="s">
        <v>325</v>
      </c>
      <c r="D41" s="313"/>
      <c r="E41" s="234"/>
      <c r="F41" s="234"/>
      <c r="G41" s="313"/>
      <c r="H41" s="313">
        <v>2015</v>
      </c>
      <c r="I41" s="313">
        <f>H41+1</f>
        <v>2016</v>
      </c>
      <c r="J41" s="313">
        <f t="shared" ref="J41" si="98">I41+1</f>
        <v>2017</v>
      </c>
      <c r="K41" s="313">
        <f t="shared" ref="K41" si="99">J41+1</f>
        <v>2018</v>
      </c>
      <c r="L41" s="313">
        <f t="shared" ref="L41" si="100">K41+1</f>
        <v>2019</v>
      </c>
      <c r="M41" s="313">
        <f t="shared" ref="M41" si="101">L41+1</f>
        <v>2020</v>
      </c>
      <c r="N41" s="313">
        <f t="shared" ref="N41" si="102">M41+1</f>
        <v>2021</v>
      </c>
      <c r="O41" s="313">
        <f t="shared" ref="O41" si="103">N41+1</f>
        <v>2022</v>
      </c>
      <c r="P41" s="313">
        <f t="shared" ref="P41" si="104">O41+1</f>
        <v>2023</v>
      </c>
      <c r="Q41" s="313">
        <f t="shared" ref="Q41" si="105">P41+1</f>
        <v>2024</v>
      </c>
      <c r="R41" s="313">
        <f t="shared" ref="R41" si="106">Q41+1</f>
        <v>2025</v>
      </c>
      <c r="S41" s="313">
        <f t="shared" ref="S41" si="107">R41+1</f>
        <v>2026</v>
      </c>
      <c r="T41" s="313">
        <f t="shared" ref="T41" si="108">S41+1</f>
        <v>2027</v>
      </c>
      <c r="U41" s="313">
        <f t="shared" ref="U41" si="109">T41+1</f>
        <v>2028</v>
      </c>
      <c r="V41" s="313">
        <f t="shared" ref="V41" si="110">U41+1</f>
        <v>2029</v>
      </c>
      <c r="W41" s="313">
        <f t="shared" ref="W41" si="111">V41+1</f>
        <v>2030</v>
      </c>
      <c r="X41" s="313">
        <f t="shared" ref="X41" si="112">W41+1</f>
        <v>2031</v>
      </c>
      <c r="Y41" s="313">
        <f t="shared" ref="Y41" si="113">X41+1</f>
        <v>2032</v>
      </c>
      <c r="Z41" s="313">
        <f t="shared" ref="Z41" si="114">Y41+1</f>
        <v>2033</v>
      </c>
      <c r="AA41" s="313">
        <f t="shared" ref="AA41" si="115">Z41+1</f>
        <v>2034</v>
      </c>
      <c r="AB41" s="313">
        <f t="shared" ref="AB41" si="116">AA41+1</f>
        <v>2035</v>
      </c>
      <c r="AC41" s="313">
        <f t="shared" ref="AC41" si="117">AB41+1</f>
        <v>2036</v>
      </c>
      <c r="AD41" s="313">
        <f t="shared" ref="AD41" si="118">AC41+1</f>
        <v>2037</v>
      </c>
      <c r="AE41" s="313">
        <f t="shared" ref="AE41" si="119">AD41+1</f>
        <v>2038</v>
      </c>
      <c r="AF41" s="313">
        <f t="shared" ref="AF41" si="120">AE41+1</f>
        <v>2039</v>
      </c>
      <c r="AG41" s="313">
        <f t="shared" ref="AG41" si="121">AF41+1</f>
        <v>2040</v>
      </c>
      <c r="AH41" s="313">
        <f t="shared" ref="AH41" si="122">AG41+1</f>
        <v>2041</v>
      </c>
      <c r="AI41" s="313">
        <f t="shared" ref="AI41" si="123">AH41+1</f>
        <v>2042</v>
      </c>
      <c r="AJ41" s="313">
        <f t="shared" ref="AJ41" si="124">AI41+1</f>
        <v>2043</v>
      </c>
      <c r="AK41" s="313">
        <f t="shared" ref="AK41" si="125">AJ41+1</f>
        <v>2044</v>
      </c>
      <c r="AL41" s="313">
        <f t="shared" ref="AL41" si="126">AK41+1</f>
        <v>2045</v>
      </c>
      <c r="AM41" s="313">
        <f t="shared" ref="AM41" si="127">AL41+1</f>
        <v>2046</v>
      </c>
      <c r="AN41" s="313">
        <f t="shared" ref="AN41" si="128">AM41+1</f>
        <v>2047</v>
      </c>
      <c r="AO41" s="313">
        <f t="shared" ref="AO41" si="129">AN41+1</f>
        <v>2048</v>
      </c>
      <c r="AP41" s="313">
        <f t="shared" ref="AP41" si="130">AO41+1</f>
        <v>2049</v>
      </c>
      <c r="AQ41" s="313">
        <f t="shared" ref="AQ41" si="131">AP41+1</f>
        <v>2050</v>
      </c>
      <c r="AR41" s="313"/>
      <c r="AS41" s="313"/>
      <c r="AT41" s="313"/>
      <c r="AU41" s="313"/>
      <c r="AV41" s="313"/>
      <c r="AW41" s="313"/>
      <c r="AX41" s="313"/>
      <c r="AY41" s="313"/>
      <c r="AZ41" s="313"/>
      <c r="BA41" s="313"/>
      <c r="BB41" s="313"/>
    </row>
    <row r="42" spans="1:54" s="229" customFormat="1">
      <c r="A42" s="234"/>
      <c r="C42" t="s">
        <v>331</v>
      </c>
      <c r="D42" s="313"/>
      <c r="E42" s="234"/>
      <c r="F42" s="234"/>
      <c r="G42" s="313"/>
      <c r="H42" s="247">
        <f ca="1">SUM('Main graph Results'!J27,'Main graph Results'!J26,'Main graph Results'!J24)</f>
        <v>2121.8002889921104</v>
      </c>
      <c r="I42" s="247">
        <f ca="1">SUM('Main graph Results'!K27,'Main graph Results'!K26,'Main graph Results'!K24)</f>
        <v>2070.2708002009099</v>
      </c>
      <c r="J42" s="247">
        <f ca="1">SUM('Main graph Results'!L27,'Main graph Results'!L26,'Main graph Results'!L24)</f>
        <v>2023.7688476410453</v>
      </c>
      <c r="K42" s="247">
        <f ca="1">SUM('Main graph Results'!M27,'Main graph Results'!M26,'Main graph Results'!M24)</f>
        <v>1981.6203091953814</v>
      </c>
      <c r="L42" s="247">
        <f ca="1">SUM('Main graph Results'!N27,'Main graph Results'!N26,'Main graph Results'!N24)</f>
        <v>1932.6188597754578</v>
      </c>
      <c r="M42" s="247">
        <f ca="1">SUM('Main graph Results'!O27,'Main graph Results'!O26,'Main graph Results'!O24)</f>
        <v>1807.8158132471258</v>
      </c>
      <c r="N42" s="247">
        <f ca="1">SUM('Main graph Results'!P27,'Main graph Results'!P26,'Main graph Results'!P24)</f>
        <v>1766.6381674587242</v>
      </c>
      <c r="O42" s="247">
        <f ca="1">SUM('Main graph Results'!Q27,'Main graph Results'!Q26,'Main graph Results'!Q24)</f>
        <v>1706.1178190840612</v>
      </c>
      <c r="P42" s="247">
        <f ca="1">SUM('Main graph Results'!R27,'Main graph Results'!R26,'Main graph Results'!R24)</f>
        <v>1638.0616999811496</v>
      </c>
      <c r="Q42" s="247">
        <f ca="1">SUM('Main graph Results'!S27,'Main graph Results'!S26,'Main graph Results'!S24)</f>
        <v>1583.4503529179208</v>
      </c>
      <c r="R42" s="247">
        <f ca="1">SUM('Main graph Results'!T27,'Main graph Results'!T26,'Main graph Results'!T24)</f>
        <v>1495.2581091276636</v>
      </c>
      <c r="S42" s="247">
        <f ca="1">SUM('Main graph Results'!U27,'Main graph Results'!U26,'Main graph Results'!U24)</f>
        <v>1391.5164560056421</v>
      </c>
      <c r="T42" s="247">
        <f ca="1">SUM('Main graph Results'!V27,'Main graph Results'!V26,'Main graph Results'!V24)</f>
        <v>1288.878432127015</v>
      </c>
      <c r="U42" s="247">
        <f ca="1">SUM('Main graph Results'!W27,'Main graph Results'!W26,'Main graph Results'!W24)</f>
        <v>1195.2784535669916</v>
      </c>
      <c r="V42" s="247">
        <f ca="1">SUM('Main graph Results'!X27,'Main graph Results'!X26,'Main graph Results'!X24)</f>
        <v>1102.6554177026578</v>
      </c>
      <c r="W42" s="247">
        <f ca="1">SUM('Main graph Results'!Y27,'Main graph Results'!Y26,'Main graph Results'!Y24)</f>
        <v>995.7518404373119</v>
      </c>
      <c r="X42" s="247">
        <f ca="1">SUM('Main graph Results'!Z27,'Main graph Results'!Z26,'Main graph Results'!Z24)</f>
        <v>889.35845167070408</v>
      </c>
      <c r="Y42" s="247">
        <f ca="1">SUM('Main graph Results'!AA27,'Main graph Results'!AA26,'Main graph Results'!AA24)</f>
        <v>794.32548137659023</v>
      </c>
      <c r="Z42" s="247">
        <f ca="1">SUM('Main graph Results'!AB27,'Main graph Results'!AB26,'Main graph Results'!AB24)</f>
        <v>704.67785832149116</v>
      </c>
      <c r="AA42" s="247">
        <f ca="1">SUM('Main graph Results'!AC27,'Main graph Results'!AC26,'Main graph Results'!AC24)</f>
        <v>625.2858574900946</v>
      </c>
      <c r="AB42" s="247">
        <f ca="1">SUM('Main graph Results'!AD27,'Main graph Results'!AD26,'Main graph Results'!AD24)</f>
        <v>551.7883234688253</v>
      </c>
      <c r="AC42" s="247">
        <f ca="1">SUM('Main graph Results'!AE27,'Main graph Results'!AE26,'Main graph Results'!AE24)</f>
        <v>476.02772049866564</v>
      </c>
      <c r="AD42" s="247">
        <f ca="1">SUM('Main graph Results'!AF27,'Main graph Results'!AF26,'Main graph Results'!AF24)</f>
        <v>409.36529909964281</v>
      </c>
      <c r="AE42" s="247">
        <f ca="1">SUM('Main graph Results'!AG27,'Main graph Results'!AG26,'Main graph Results'!AG24)</f>
        <v>352.3595168508898</v>
      </c>
      <c r="AF42" s="247">
        <f ca="1">SUM('Main graph Results'!AH27,'Main graph Results'!AH26,'Main graph Results'!AH24)</f>
        <v>298.88619121046202</v>
      </c>
      <c r="AG42" s="247">
        <f ca="1">SUM('Main graph Results'!AI27,'Main graph Results'!AI26,'Main graph Results'!AI24)</f>
        <v>248.5796391520544</v>
      </c>
      <c r="AH42" s="247">
        <f ca="1">SUM('Main graph Results'!AJ27,'Main graph Results'!AJ26,'Main graph Results'!AJ24)</f>
        <v>213.49712922280608</v>
      </c>
      <c r="AI42" s="247">
        <f ca="1">SUM('Main graph Results'!AK27,'Main graph Results'!AK26,'Main graph Results'!AK24)</f>
        <v>186.51614345877951</v>
      </c>
      <c r="AJ42" s="247">
        <f ca="1">SUM('Main graph Results'!AL27,'Main graph Results'!AL26,'Main graph Results'!AL24)</f>
        <v>163.05929948001327</v>
      </c>
      <c r="AK42" s="247">
        <f ca="1">SUM('Main graph Results'!AM27,'Main graph Results'!AM26,'Main graph Results'!AM24)</f>
        <v>140.53162525630643</v>
      </c>
      <c r="AL42" s="247">
        <f ca="1">SUM('Main graph Results'!AN27,'Main graph Results'!AN26,'Main graph Results'!AN24)</f>
        <v>117.06141306167004</v>
      </c>
      <c r="AM42" s="247">
        <f ca="1">SUM('Main graph Results'!AO27,'Main graph Results'!AO26,'Main graph Results'!AO24)</f>
        <v>105.11452768532756</v>
      </c>
      <c r="AN42" s="247">
        <f ca="1">SUM('Main graph Results'!AP27,'Main graph Results'!AP26,'Main graph Results'!AP24)</f>
        <v>94.593104158741852</v>
      </c>
      <c r="AO42" s="247">
        <f ca="1">SUM('Main graph Results'!AQ27,'Main graph Results'!AQ26,'Main graph Results'!AQ24)</f>
        <v>85.430876088569889</v>
      </c>
      <c r="AP42" s="247">
        <f ca="1">SUM('Main graph Results'!AR27,'Main graph Results'!AR26,'Main graph Results'!AR24)</f>
        <v>76.468235097017299</v>
      </c>
      <c r="AQ42" s="247">
        <f ca="1">SUM('Main graph Results'!AS27,'Main graph Results'!AS26,'Main graph Results'!AS24)</f>
        <v>68.997267308936841</v>
      </c>
      <c r="AR42" s="247"/>
      <c r="AS42" s="247"/>
      <c r="AT42" s="247"/>
      <c r="AU42" s="247"/>
      <c r="AV42" s="247"/>
      <c r="AW42" s="247"/>
      <c r="AX42" s="247"/>
      <c r="AY42" s="247"/>
      <c r="AZ42" s="247"/>
      <c r="BA42" s="247"/>
      <c r="BB42" s="247"/>
    </row>
    <row r="43" spans="1:54" s="229" customFormat="1">
      <c r="A43" s="234"/>
      <c r="C43" t="s">
        <v>334</v>
      </c>
      <c r="D43" s="313"/>
      <c r="E43" s="234"/>
      <c r="F43" s="234"/>
      <c r="G43" s="313"/>
      <c r="H43" s="247"/>
      <c r="I43" s="247"/>
      <c r="J43" s="247"/>
      <c r="K43" s="247">
        <f ca="1">L43</f>
        <v>1797.9994395472893</v>
      </c>
      <c r="L43" s="247">
        <f ca="1">M43</f>
        <v>1797.9994395472893</v>
      </c>
      <c r="M43" s="247">
        <f ca="1">$J$14*1000</f>
        <v>1797.9994395472893</v>
      </c>
      <c r="N43" s="247">
        <f ca="1">M43</f>
        <v>1797.9994395472893</v>
      </c>
      <c r="O43" s="247">
        <f ca="1">N43</f>
        <v>1797.9994395472893</v>
      </c>
      <c r="P43" s="247">
        <f ca="1">Q43</f>
        <v>1515.5849066646779</v>
      </c>
      <c r="Q43" s="247">
        <f ca="1">R43</f>
        <v>1515.5849066646779</v>
      </c>
      <c r="R43" s="247">
        <f ca="1">$J$15*1000</f>
        <v>1515.5849066646779</v>
      </c>
      <c r="S43" s="247">
        <f ca="1">R43</f>
        <v>1515.5849066646779</v>
      </c>
      <c r="T43" s="247">
        <f ca="1">S43</f>
        <v>1515.5849066646779</v>
      </c>
      <c r="U43" s="247">
        <f ca="1">V43</f>
        <v>1009.6172297594778</v>
      </c>
      <c r="V43" s="247">
        <f ca="1">W43</f>
        <v>1009.6172297594778</v>
      </c>
      <c r="W43" s="247">
        <f ca="1">$J$16*1000</f>
        <v>1009.6172297594778</v>
      </c>
      <c r="X43" s="247">
        <f ca="1">W43</f>
        <v>1009.6172297594778</v>
      </c>
      <c r="Y43" s="247">
        <f ca="1">X43</f>
        <v>1009.6172297594778</v>
      </c>
      <c r="Z43" s="247"/>
      <c r="AA43" s="247"/>
      <c r="AB43" s="247"/>
      <c r="AC43" s="247"/>
      <c r="AD43" s="247"/>
      <c r="AE43" s="247"/>
      <c r="AF43" s="247"/>
      <c r="AG43" s="247"/>
      <c r="AH43" s="247"/>
      <c r="AI43" s="247"/>
      <c r="AJ43" s="247"/>
      <c r="AK43" s="247"/>
      <c r="AL43" s="247"/>
      <c r="AM43" s="247"/>
      <c r="AN43" s="247"/>
      <c r="AO43" s="247"/>
      <c r="AP43" s="247"/>
      <c r="AQ43" s="247"/>
      <c r="AR43" s="247"/>
      <c r="AS43" s="247"/>
      <c r="AT43" s="247"/>
      <c r="AU43" s="247"/>
      <c r="AV43" s="247"/>
      <c r="AW43" s="247"/>
      <c r="AX43" s="247"/>
      <c r="AY43" s="247"/>
      <c r="AZ43" s="247"/>
      <c r="BA43" s="247"/>
      <c r="BB43" s="247"/>
    </row>
    <row r="45" spans="1:54" s="240" customFormat="1">
      <c r="B45" s="241" t="s">
        <v>174</v>
      </c>
      <c r="C45" s="242"/>
    </row>
    <row r="46" spans="1:54" s="229" customFormat="1">
      <c r="A46" s="234"/>
      <c r="C46" s="229" t="s">
        <v>325</v>
      </c>
      <c r="D46" s="313"/>
      <c r="E46" s="234"/>
      <c r="F46" s="234"/>
      <c r="G46" s="313"/>
      <c r="H46" s="313">
        <v>2015</v>
      </c>
      <c r="I46" s="313">
        <f>H46+1</f>
        <v>2016</v>
      </c>
      <c r="J46" s="313">
        <f t="shared" ref="J46" si="132">I46+1</f>
        <v>2017</v>
      </c>
      <c r="K46" s="313">
        <f t="shared" ref="K46" si="133">J46+1</f>
        <v>2018</v>
      </c>
      <c r="L46" s="313">
        <f t="shared" ref="L46" si="134">K46+1</f>
        <v>2019</v>
      </c>
      <c r="M46" s="313">
        <f t="shared" ref="M46" si="135">L46+1</f>
        <v>2020</v>
      </c>
      <c r="N46" s="313">
        <f t="shared" ref="N46" si="136">M46+1</f>
        <v>2021</v>
      </c>
      <c r="O46" s="313">
        <f t="shared" ref="O46" si="137">N46+1</f>
        <v>2022</v>
      </c>
      <c r="P46" s="313">
        <f t="shared" ref="P46" si="138">O46+1</f>
        <v>2023</v>
      </c>
      <c r="Q46" s="313">
        <f t="shared" ref="Q46" si="139">P46+1</f>
        <v>2024</v>
      </c>
      <c r="R46" s="313">
        <f t="shared" ref="R46" si="140">Q46+1</f>
        <v>2025</v>
      </c>
      <c r="S46" s="313">
        <f t="shared" ref="S46" si="141">R46+1</f>
        <v>2026</v>
      </c>
      <c r="T46" s="313">
        <f t="shared" ref="T46" si="142">S46+1</f>
        <v>2027</v>
      </c>
      <c r="U46" s="313">
        <f t="shared" ref="U46" si="143">T46+1</f>
        <v>2028</v>
      </c>
      <c r="V46" s="313">
        <f t="shared" ref="V46" si="144">U46+1</f>
        <v>2029</v>
      </c>
      <c r="W46" s="313">
        <f t="shared" ref="W46" si="145">V46+1</f>
        <v>2030</v>
      </c>
      <c r="X46" s="313">
        <f t="shared" ref="X46" si="146">W46+1</f>
        <v>2031</v>
      </c>
      <c r="Y46" s="313">
        <f t="shared" ref="Y46" si="147">X46+1</f>
        <v>2032</v>
      </c>
      <c r="Z46" s="313">
        <f t="shared" ref="Z46" si="148">Y46+1</f>
        <v>2033</v>
      </c>
      <c r="AA46" s="313">
        <f t="shared" ref="AA46" si="149">Z46+1</f>
        <v>2034</v>
      </c>
      <c r="AB46" s="313">
        <f t="shared" ref="AB46" si="150">AA46+1</f>
        <v>2035</v>
      </c>
      <c r="AC46" s="313">
        <f t="shared" ref="AC46" si="151">AB46+1</f>
        <v>2036</v>
      </c>
      <c r="AD46" s="313">
        <f t="shared" ref="AD46" si="152">AC46+1</f>
        <v>2037</v>
      </c>
      <c r="AE46" s="313">
        <f t="shared" ref="AE46" si="153">AD46+1</f>
        <v>2038</v>
      </c>
      <c r="AF46" s="313">
        <f t="shared" ref="AF46" si="154">AE46+1</f>
        <v>2039</v>
      </c>
      <c r="AG46" s="313">
        <f t="shared" ref="AG46" si="155">AF46+1</f>
        <v>2040</v>
      </c>
      <c r="AH46" s="313">
        <f t="shared" ref="AH46" si="156">AG46+1</f>
        <v>2041</v>
      </c>
      <c r="AI46" s="313">
        <f t="shared" ref="AI46" si="157">AH46+1</f>
        <v>2042</v>
      </c>
      <c r="AJ46" s="313">
        <f t="shared" ref="AJ46" si="158">AI46+1</f>
        <v>2043</v>
      </c>
      <c r="AK46" s="313">
        <f t="shared" ref="AK46" si="159">AJ46+1</f>
        <v>2044</v>
      </c>
      <c r="AL46" s="313">
        <f t="shared" ref="AL46" si="160">AK46+1</f>
        <v>2045</v>
      </c>
      <c r="AM46" s="313">
        <f t="shared" ref="AM46" si="161">AL46+1</f>
        <v>2046</v>
      </c>
      <c r="AN46" s="313">
        <f t="shared" ref="AN46" si="162">AM46+1</f>
        <v>2047</v>
      </c>
      <c r="AO46" s="313">
        <f t="shared" ref="AO46" si="163">AN46+1</f>
        <v>2048</v>
      </c>
      <c r="AP46" s="313">
        <f t="shared" ref="AP46" si="164">AO46+1</f>
        <v>2049</v>
      </c>
      <c r="AQ46" s="313">
        <f t="shared" ref="AQ46" si="165">AP46+1</f>
        <v>2050</v>
      </c>
      <c r="AR46" s="313"/>
      <c r="AS46" s="313"/>
      <c r="AT46" s="313"/>
      <c r="AU46" s="313"/>
      <c r="AV46" s="313"/>
      <c r="AW46" s="313"/>
      <c r="AX46" s="313"/>
      <c r="AY46" s="313"/>
      <c r="AZ46" s="313"/>
      <c r="BA46" s="313"/>
      <c r="BB46" s="313"/>
    </row>
    <row r="47" spans="1:54" s="229" customFormat="1">
      <c r="A47" s="234"/>
      <c r="C47" t="s">
        <v>331</v>
      </c>
      <c r="D47" s="313"/>
      <c r="E47" s="234"/>
      <c r="F47" s="234"/>
      <c r="G47" s="313"/>
      <c r="H47" s="247">
        <f ca="1">H42+H37+H32</f>
        <v>13215.309735391305</v>
      </c>
      <c r="I47" s="247">
        <f t="shared" ref="I47:Y47" ca="1" si="166">I42+I37+I32</f>
        <v>11820.84534387824</v>
      </c>
      <c r="J47" s="247">
        <f t="shared" ca="1" si="166"/>
        <v>11206.213617596579</v>
      </c>
      <c r="K47" s="247">
        <f t="shared" ca="1" si="166"/>
        <v>10816.9516748401</v>
      </c>
      <c r="L47" s="247">
        <f t="shared" ca="1" si="166"/>
        <v>10258.617337138385</v>
      </c>
      <c r="M47" s="247">
        <f t="shared" ca="1" si="166"/>
        <v>9093.6205731059399</v>
      </c>
      <c r="N47" s="247">
        <f t="shared" ca="1" si="166"/>
        <v>8797.1488804399105</v>
      </c>
      <c r="O47" s="247">
        <f t="shared" ca="1" si="166"/>
        <v>8405.621716788055</v>
      </c>
      <c r="P47" s="247">
        <f t="shared" ca="1" si="166"/>
        <v>7975.1156055011998</v>
      </c>
      <c r="Q47" s="247">
        <f t="shared" ca="1" si="166"/>
        <v>7803.4526553160549</v>
      </c>
      <c r="R47" s="247">
        <f t="shared" ca="1" si="166"/>
        <v>6966.5510793311551</v>
      </c>
      <c r="S47" s="247">
        <f t="shared" ca="1" si="166"/>
        <v>5917.9593953262647</v>
      </c>
      <c r="T47" s="247">
        <f t="shared" ca="1" si="166"/>
        <v>5142.5030098729148</v>
      </c>
      <c r="U47" s="247">
        <f t="shared" ca="1" si="166"/>
        <v>4612.3961958976615</v>
      </c>
      <c r="V47" s="247">
        <f t="shared" ca="1" si="166"/>
        <v>4147.6530761071735</v>
      </c>
      <c r="W47" s="247">
        <f t="shared" ca="1" si="166"/>
        <v>3561.7722569324974</v>
      </c>
      <c r="X47" s="247">
        <f t="shared" ca="1" si="166"/>
        <v>3078.91032150811</v>
      </c>
      <c r="Y47" s="247">
        <f t="shared" ca="1" si="166"/>
        <v>2713.2995218475226</v>
      </c>
      <c r="Z47" s="247" t="e">
        <f t="shared" ref="Z47:AQ47" ca="1" si="167">Z42+Z37+Z32</f>
        <v>#VALUE!</v>
      </c>
      <c r="AA47" s="247" t="e">
        <f t="shared" ca="1" si="167"/>
        <v>#VALUE!</v>
      </c>
      <c r="AB47" s="247" t="e">
        <f t="shared" ca="1" si="167"/>
        <v>#VALUE!</v>
      </c>
      <c r="AC47" s="247" t="e">
        <f t="shared" ca="1" si="167"/>
        <v>#VALUE!</v>
      </c>
      <c r="AD47" s="247" t="e">
        <f t="shared" ca="1" si="167"/>
        <v>#VALUE!</v>
      </c>
      <c r="AE47" s="247" t="e">
        <f t="shared" ca="1" si="167"/>
        <v>#VALUE!</v>
      </c>
      <c r="AF47" s="247" t="e">
        <f t="shared" ca="1" si="167"/>
        <v>#VALUE!</v>
      </c>
      <c r="AG47" s="247" t="e">
        <f t="shared" ca="1" si="167"/>
        <v>#VALUE!</v>
      </c>
      <c r="AH47" s="247" t="e">
        <f t="shared" ca="1" si="167"/>
        <v>#VALUE!</v>
      </c>
      <c r="AI47" s="247" t="e">
        <f t="shared" ca="1" si="167"/>
        <v>#VALUE!</v>
      </c>
      <c r="AJ47" s="247" t="e">
        <f t="shared" ca="1" si="167"/>
        <v>#VALUE!</v>
      </c>
      <c r="AK47" s="247" t="e">
        <f t="shared" ca="1" si="167"/>
        <v>#VALUE!</v>
      </c>
      <c r="AL47" s="247" t="e">
        <f t="shared" ca="1" si="167"/>
        <v>#VALUE!</v>
      </c>
      <c r="AM47" s="247" t="e">
        <f t="shared" ca="1" si="167"/>
        <v>#VALUE!</v>
      </c>
      <c r="AN47" s="247" t="e">
        <f t="shared" ca="1" si="167"/>
        <v>#VALUE!</v>
      </c>
      <c r="AO47" s="247" t="e">
        <f t="shared" ca="1" si="167"/>
        <v>#VALUE!</v>
      </c>
      <c r="AP47" s="247" t="e">
        <f t="shared" ca="1" si="167"/>
        <v>#VALUE!</v>
      </c>
      <c r="AQ47" s="247" t="e">
        <f t="shared" ca="1" si="167"/>
        <v>#VALUE!</v>
      </c>
      <c r="AR47" s="247"/>
      <c r="AS47" s="247"/>
      <c r="AT47" s="247"/>
      <c r="AU47" s="247"/>
      <c r="AV47" s="247"/>
      <c r="AW47" s="247"/>
      <c r="AX47" s="247"/>
      <c r="AY47" s="247"/>
      <c r="AZ47" s="247"/>
      <c r="BA47" s="247"/>
      <c r="BB47" s="247"/>
    </row>
    <row r="48" spans="1:54" s="229" customFormat="1">
      <c r="A48" s="234"/>
      <c r="C48" t="s">
        <v>335</v>
      </c>
      <c r="D48" s="313"/>
      <c r="E48" s="234"/>
      <c r="F48" s="234"/>
      <c r="G48" s="313"/>
      <c r="H48" s="247"/>
      <c r="I48" s="247"/>
      <c r="J48" s="247"/>
      <c r="K48" s="247">
        <f ca="1">K43+K38+K33</f>
        <v>9663.6677444693469</v>
      </c>
      <c r="L48" s="247">
        <f t="shared" ref="L48:Y48" ca="1" si="168">L43+L38+L33</f>
        <v>9663.6677444693469</v>
      </c>
      <c r="M48" s="247">
        <f t="shared" ca="1" si="168"/>
        <v>9663.6677444693469</v>
      </c>
      <c r="N48" s="247">
        <f t="shared" ca="1" si="168"/>
        <v>9663.6677444693469</v>
      </c>
      <c r="O48" s="247">
        <f t="shared" ca="1" si="168"/>
        <v>9663.6677444693469</v>
      </c>
      <c r="P48" s="247">
        <f t="shared" ca="1" si="168"/>
        <v>7092.8620196064467</v>
      </c>
      <c r="Q48" s="247">
        <f t="shared" ca="1" si="168"/>
        <v>7092.8620196064467</v>
      </c>
      <c r="R48" s="247">
        <f t="shared" ca="1" si="168"/>
        <v>7092.8620196064467</v>
      </c>
      <c r="S48" s="247">
        <f t="shared" ca="1" si="168"/>
        <v>7092.8620196064467</v>
      </c>
      <c r="T48" s="247">
        <f t="shared" ca="1" si="168"/>
        <v>7092.8620196064467</v>
      </c>
      <c r="U48" s="247">
        <f t="shared" ca="1" si="168"/>
        <v>3473.8658210707335</v>
      </c>
      <c r="V48" s="247">
        <f t="shared" ca="1" si="168"/>
        <v>3473.8658210707335</v>
      </c>
      <c r="W48" s="247">
        <f t="shared" ca="1" si="168"/>
        <v>3473.8658210707335</v>
      </c>
      <c r="X48" s="247">
        <f t="shared" ca="1" si="168"/>
        <v>3473.8658210707335</v>
      </c>
      <c r="Y48" s="247">
        <f t="shared" ca="1" si="168"/>
        <v>3473.8658210707335</v>
      </c>
      <c r="Z48" s="247"/>
      <c r="AA48" s="247"/>
      <c r="AB48" s="247"/>
      <c r="AC48" s="247"/>
      <c r="AD48" s="247"/>
      <c r="AE48" s="247"/>
      <c r="AF48" s="247"/>
      <c r="AG48" s="247"/>
      <c r="AH48" s="247"/>
      <c r="AI48" s="247"/>
      <c r="AJ48" s="247"/>
      <c r="AK48" s="247"/>
      <c r="AL48" s="247"/>
      <c r="AM48" s="247"/>
      <c r="AN48" s="247"/>
      <c r="AO48" s="247"/>
      <c r="AP48" s="247"/>
      <c r="AQ48" s="247"/>
      <c r="AR48" s="247"/>
      <c r="AS48" s="247"/>
      <c r="AT48" s="247"/>
      <c r="AU48" s="247"/>
      <c r="AV48" s="247"/>
      <c r="AW48" s="247"/>
      <c r="AX48" s="247"/>
      <c r="AY48" s="247"/>
      <c r="AZ48" s="247"/>
      <c r="BA48" s="247"/>
      <c r="BB48" s="247"/>
    </row>
    <row r="50" spans="1:54" s="53" customFormat="1">
      <c r="AB50" s="53" t="e">
        <f ca="1">(AB47-H54)/H54</f>
        <v>#VALUE!</v>
      </c>
    </row>
    <row r="51" spans="1:54" s="53" customFormat="1">
      <c r="A51" s="53" t="s">
        <v>122</v>
      </c>
    </row>
    <row r="52" spans="1:54" s="579" customFormat="1">
      <c r="B52" s="580" t="s">
        <v>324</v>
      </c>
      <c r="C52" s="581"/>
    </row>
    <row r="53" spans="1:54" s="582" customFormat="1">
      <c r="A53" s="299"/>
      <c r="C53" s="582" t="s">
        <v>325</v>
      </c>
      <c r="D53" s="333"/>
      <c r="E53" s="299"/>
      <c r="F53" s="299"/>
      <c r="G53" s="333"/>
      <c r="H53" s="333">
        <v>1990</v>
      </c>
      <c r="I53" s="333">
        <v>2005</v>
      </c>
      <c r="J53" s="333">
        <v>2006</v>
      </c>
      <c r="K53" s="333">
        <v>2007</v>
      </c>
      <c r="L53" s="333">
        <v>2008</v>
      </c>
      <c r="M53" s="333">
        <v>2009</v>
      </c>
      <c r="N53" s="333">
        <v>2010</v>
      </c>
      <c r="O53" s="333">
        <v>2011</v>
      </c>
      <c r="P53" s="333">
        <v>2012</v>
      </c>
      <c r="Q53" s="333">
        <v>2013</v>
      </c>
      <c r="R53" s="333">
        <v>2014</v>
      </c>
      <c r="S53" s="333">
        <v>2015</v>
      </c>
      <c r="T53" s="333">
        <v>2016</v>
      </c>
      <c r="U53" s="333">
        <v>2017</v>
      </c>
      <c r="V53" s="333">
        <v>2018</v>
      </c>
      <c r="W53" s="333">
        <v>2019</v>
      </c>
      <c r="X53" s="333">
        <v>2020</v>
      </c>
      <c r="Y53" s="333">
        <v>2021</v>
      </c>
      <c r="Z53" s="333">
        <v>2022</v>
      </c>
      <c r="AA53" s="333">
        <v>2023</v>
      </c>
      <c r="AB53" s="333">
        <v>2024</v>
      </c>
      <c r="AC53" s="333">
        <v>2025</v>
      </c>
      <c r="AD53" s="333">
        <v>2026</v>
      </c>
      <c r="AE53" s="333">
        <v>2027</v>
      </c>
      <c r="AF53" s="333">
        <v>2028</v>
      </c>
      <c r="AG53" s="333">
        <v>2029</v>
      </c>
      <c r="AH53" s="333">
        <v>2030</v>
      </c>
      <c r="AI53" s="333">
        <v>2031</v>
      </c>
      <c r="AJ53" s="333">
        <v>2032</v>
      </c>
      <c r="AK53" s="333">
        <v>2033</v>
      </c>
      <c r="AL53" s="333">
        <v>2034</v>
      </c>
      <c r="AM53" s="333">
        <v>2035</v>
      </c>
      <c r="AN53" s="333">
        <v>2036</v>
      </c>
      <c r="AO53" s="333">
        <v>2037</v>
      </c>
      <c r="AP53" s="333">
        <v>2038</v>
      </c>
      <c r="AQ53" s="333">
        <v>2039</v>
      </c>
      <c r="AR53" s="333">
        <v>2040</v>
      </c>
      <c r="AS53" s="333">
        <v>2041</v>
      </c>
      <c r="AT53" s="333">
        <v>2042</v>
      </c>
      <c r="AU53" s="333">
        <v>2043</v>
      </c>
      <c r="AV53" s="333">
        <v>2044</v>
      </c>
      <c r="AW53" s="333">
        <v>2045</v>
      </c>
      <c r="AX53" s="333">
        <v>2046</v>
      </c>
      <c r="AY53" s="333">
        <v>2047</v>
      </c>
      <c r="AZ53" s="333">
        <v>2048</v>
      </c>
      <c r="BA53" s="333">
        <v>2049</v>
      </c>
      <c r="BB53" s="333">
        <v>2050</v>
      </c>
    </row>
    <row r="54" spans="1:54" s="582" customFormat="1">
      <c r="A54" s="299"/>
      <c r="C54" s="53" t="s">
        <v>326</v>
      </c>
      <c r="D54" s="333"/>
      <c r="E54" s="299"/>
      <c r="F54" s="299"/>
      <c r="G54" s="333"/>
      <c r="H54" s="583">
        <v>45054.296744775653</v>
      </c>
      <c r="I54" s="583">
        <v>46401.043305024243</v>
      </c>
      <c r="J54" s="583">
        <v>47638.076476822076</v>
      </c>
      <c r="K54" s="583">
        <v>46479.046476822092</v>
      </c>
      <c r="L54" s="583">
        <v>46672.647491352378</v>
      </c>
      <c r="M54" s="583">
        <v>42524.657491352373</v>
      </c>
      <c r="N54" s="583">
        <v>42622.583103567973</v>
      </c>
      <c r="O54" s="583">
        <v>38640.371731036612</v>
      </c>
      <c r="P54" s="583">
        <v>42323.43326255642</v>
      </c>
      <c r="Q54" s="583">
        <v>40874.983502373398</v>
      </c>
      <c r="R54" s="583">
        <v>37832.520166452639</v>
      </c>
      <c r="S54" s="583">
        <v>33909.294600698297</v>
      </c>
      <c r="T54" s="583"/>
      <c r="U54" s="583"/>
      <c r="V54" s="583"/>
      <c r="W54" s="583"/>
      <c r="X54" s="583"/>
      <c r="Y54" s="583"/>
      <c r="Z54" s="583"/>
      <c r="AA54" s="583"/>
      <c r="AB54" s="583"/>
      <c r="AC54" s="583"/>
      <c r="AD54" s="583"/>
      <c r="AE54" s="583"/>
      <c r="AF54" s="583"/>
      <c r="AG54" s="583"/>
      <c r="AH54" s="583"/>
      <c r="AI54" s="583"/>
      <c r="AJ54" s="583"/>
      <c r="AK54" s="583"/>
      <c r="AL54" s="583"/>
      <c r="AM54" s="583"/>
      <c r="AN54" s="583"/>
      <c r="AO54" s="583"/>
      <c r="AP54" s="583"/>
      <c r="AQ54" s="583"/>
      <c r="AR54" s="333"/>
      <c r="AS54" s="333"/>
    </row>
    <row r="55" spans="1:54" s="53" customFormat="1">
      <c r="C55" s="53" t="s">
        <v>327</v>
      </c>
      <c r="S55" s="584">
        <v>33909.294600698297</v>
      </c>
      <c r="T55" s="53">
        <v>32932.897028370702</v>
      </c>
      <c r="U55" s="53">
        <v>30998.991222707871</v>
      </c>
      <c r="V55" s="53">
        <v>28072.986038659008</v>
      </c>
      <c r="W55" s="53">
        <v>26461.204228138911</v>
      </c>
      <c r="X55" s="53">
        <v>25935.955503865654</v>
      </c>
      <c r="Y55" s="53">
        <v>24477.98626966092</v>
      </c>
      <c r="Z55" s="53">
        <v>23737.286792927251</v>
      </c>
      <c r="AA55" s="53">
        <v>23469.934530445229</v>
      </c>
      <c r="AB55" s="53">
        <v>22633.031698721483</v>
      </c>
      <c r="AC55" s="53">
        <v>22127.483972729158</v>
      </c>
      <c r="AD55" s="53">
        <v>21235.867512478158</v>
      </c>
      <c r="AE55" s="53">
        <v>20771.754755845963</v>
      </c>
      <c r="AF55" s="53">
        <v>19878.71103479655</v>
      </c>
      <c r="AG55" s="53">
        <v>18836.827887779069</v>
      </c>
      <c r="AH55" s="53">
        <v>17737.393502342602</v>
      </c>
      <c r="AI55" s="53">
        <v>16685.746515266641</v>
      </c>
      <c r="AJ55" s="53">
        <v>15570.929575345093</v>
      </c>
      <c r="AK55" s="53">
        <v>14769.251240349806</v>
      </c>
      <c r="AL55" s="53">
        <v>13820.786547136593</v>
      </c>
      <c r="AM55" s="53">
        <v>12930.086663473934</v>
      </c>
      <c r="AN55" s="53">
        <v>12401.027815989995</v>
      </c>
      <c r="AO55" s="53">
        <v>11873.72417940159</v>
      </c>
      <c r="AP55" s="53">
        <v>11213.779019161879</v>
      </c>
      <c r="AQ55" s="53">
        <v>10542.366742126491</v>
      </c>
      <c r="AR55" s="53">
        <v>9812.2104472122228</v>
      </c>
      <c r="AS55" s="53">
        <v>9215.3588592316719</v>
      </c>
      <c r="AT55" s="53">
        <v>8586.7664800300317</v>
      </c>
      <c r="AU55" s="53">
        <v>8038.0321825759293</v>
      </c>
      <c r="AV55" s="53">
        <v>7575.8769131195295</v>
      </c>
      <c r="AW55" s="53">
        <v>7067.9723417148234</v>
      </c>
      <c r="AX55" s="53">
        <v>6642.1035192770596</v>
      </c>
      <c r="AY55" s="53">
        <v>6232.5135552773827</v>
      </c>
      <c r="AZ55" s="53">
        <v>5768.5025319894003</v>
      </c>
      <c r="BA55" s="53">
        <v>5396.9732910474122</v>
      </c>
      <c r="BB55" s="53">
        <v>5028.2025890002005</v>
      </c>
    </row>
    <row r="56" spans="1:54" s="53" customFormat="1"/>
    <row r="57" spans="1:54" s="579" customFormat="1">
      <c r="B57" s="580" t="s">
        <v>330</v>
      </c>
      <c r="C57" s="581"/>
    </row>
    <row r="58" spans="1:54" s="579" customFormat="1">
      <c r="B58" s="580" t="s">
        <v>157</v>
      </c>
      <c r="C58" s="581"/>
    </row>
    <row r="59" spans="1:54" s="582" customFormat="1">
      <c r="A59" s="299"/>
      <c r="C59" s="582" t="s">
        <v>325</v>
      </c>
      <c r="D59" s="333"/>
      <c r="E59" s="299"/>
      <c r="F59" s="299"/>
      <c r="G59" s="333"/>
      <c r="H59" s="333">
        <v>2015</v>
      </c>
      <c r="I59" s="333">
        <v>2016</v>
      </c>
      <c r="J59" s="333">
        <v>2017</v>
      </c>
      <c r="K59" s="333">
        <v>2018</v>
      </c>
      <c r="L59" s="333">
        <v>2019</v>
      </c>
      <c r="M59" s="333">
        <v>2020</v>
      </c>
      <c r="N59" s="333">
        <v>2021</v>
      </c>
      <c r="O59" s="333">
        <v>2022</v>
      </c>
      <c r="P59" s="333">
        <v>2023</v>
      </c>
      <c r="Q59" s="333">
        <v>2024</v>
      </c>
      <c r="R59" s="333">
        <v>2025</v>
      </c>
      <c r="S59" s="333">
        <v>2026</v>
      </c>
      <c r="T59" s="333">
        <v>2027</v>
      </c>
      <c r="U59" s="333">
        <v>2028</v>
      </c>
      <c r="V59" s="333">
        <v>2029</v>
      </c>
      <c r="W59" s="333">
        <v>2030</v>
      </c>
      <c r="X59" s="333">
        <v>2031</v>
      </c>
      <c r="Y59" s="333">
        <v>2032</v>
      </c>
      <c r="Z59" s="333">
        <v>2033</v>
      </c>
      <c r="AA59" s="333">
        <v>2034</v>
      </c>
      <c r="AB59" s="333">
        <v>2035</v>
      </c>
      <c r="AC59" s="333">
        <v>2036</v>
      </c>
      <c r="AD59" s="333">
        <v>2037</v>
      </c>
      <c r="AE59" s="333">
        <v>2038</v>
      </c>
      <c r="AF59" s="333">
        <v>2039</v>
      </c>
      <c r="AG59" s="333">
        <v>2040</v>
      </c>
      <c r="AH59" s="333">
        <v>2041</v>
      </c>
      <c r="AI59" s="333">
        <v>2042</v>
      </c>
      <c r="AJ59" s="333">
        <v>2043</v>
      </c>
      <c r="AK59" s="333">
        <v>2044</v>
      </c>
      <c r="AL59" s="333">
        <v>2045</v>
      </c>
      <c r="AM59" s="333">
        <v>2046</v>
      </c>
      <c r="AN59" s="333">
        <v>2047</v>
      </c>
      <c r="AO59" s="333">
        <v>2048</v>
      </c>
      <c r="AP59" s="333">
        <v>2049</v>
      </c>
      <c r="AQ59" s="333">
        <v>2050</v>
      </c>
      <c r="AR59" s="333"/>
      <c r="AS59" s="333"/>
      <c r="AT59" s="333"/>
      <c r="AU59" s="333"/>
      <c r="AV59" s="333"/>
      <c r="AW59" s="333"/>
      <c r="AX59" s="333"/>
      <c r="AY59" s="333"/>
      <c r="AZ59" s="333"/>
      <c r="BA59" s="333"/>
      <c r="BB59" s="333"/>
    </row>
    <row r="60" spans="1:54" s="582" customFormat="1">
      <c r="A60" s="299"/>
      <c r="C60" s="53" t="s">
        <v>331</v>
      </c>
      <c r="D60" s="333"/>
      <c r="E60" s="299"/>
      <c r="F60" s="299"/>
      <c r="G60" s="333"/>
      <c r="H60" s="583">
        <v>12412.573286253228</v>
      </c>
      <c r="I60" s="583">
        <v>11397.379748544628</v>
      </c>
      <c r="J60" s="583">
        <v>10793.572119299122</v>
      </c>
      <c r="K60" s="583">
        <v>9849.8387904345182</v>
      </c>
      <c r="L60" s="583">
        <v>9353.442450847484</v>
      </c>
      <c r="M60" s="583">
        <v>9200.8702044700931</v>
      </c>
      <c r="N60" s="583">
        <v>8723.1405675101796</v>
      </c>
      <c r="O60" s="583">
        <v>8484.5011231267254</v>
      </c>
      <c r="P60" s="583">
        <v>8392.9079515627363</v>
      </c>
      <c r="Q60" s="583">
        <v>8101.6165488291053</v>
      </c>
      <c r="R60" s="583">
        <v>7907.1850442203377</v>
      </c>
      <c r="S60" s="583">
        <v>7612.3861678921858</v>
      </c>
      <c r="T60" s="583">
        <v>7457.4701376465655</v>
      </c>
      <c r="U60" s="583">
        <v>7168.291954444021</v>
      </c>
      <c r="V60" s="583">
        <v>6823.2390484034649</v>
      </c>
      <c r="W60" s="583">
        <v>6452.911063580621</v>
      </c>
      <c r="X60" s="583">
        <v>6059.6260846408186</v>
      </c>
      <c r="Y60" s="583">
        <v>5647.5185719482988</v>
      </c>
      <c r="Z60" s="583">
        <v>5336.5468449012888</v>
      </c>
      <c r="AA60" s="583">
        <v>4979.8641209083708</v>
      </c>
      <c r="AB60" s="583">
        <v>4653.0509617079515</v>
      </c>
      <c r="AC60" s="583">
        <v>4448.3152133516251</v>
      </c>
      <c r="AD60" s="583">
        <v>4248.3193836260534</v>
      </c>
      <c r="AE60" s="583">
        <v>4053.6461646216289</v>
      </c>
      <c r="AF60" s="583">
        <v>3853.1964644361765</v>
      </c>
      <c r="AG60" s="583">
        <v>3620.093511578601</v>
      </c>
      <c r="AH60" s="583">
        <v>3351.3782145383889</v>
      </c>
      <c r="AI60" s="583">
        <v>3077.1697839092335</v>
      </c>
      <c r="AJ60" s="583">
        <v>2842.3336190636101</v>
      </c>
      <c r="AK60" s="583">
        <v>2658.8003452219714</v>
      </c>
      <c r="AL60" s="583">
        <v>2457.0838131274381</v>
      </c>
      <c r="AM60" s="583">
        <v>2291.8694463308807</v>
      </c>
      <c r="AN60" s="583">
        <v>2136.9877937686315</v>
      </c>
      <c r="AO60" s="583">
        <v>1962.1892421436621</v>
      </c>
      <c r="AP60" s="583">
        <v>1849.4324431307377</v>
      </c>
      <c r="AQ60" s="583">
        <v>1742.2960916906773</v>
      </c>
      <c r="AR60" s="583"/>
      <c r="AS60" s="583"/>
      <c r="AT60" s="583"/>
      <c r="AU60" s="583"/>
      <c r="AV60" s="583"/>
      <c r="AW60" s="583"/>
      <c r="AX60" s="583"/>
      <c r="AY60" s="583"/>
      <c r="AZ60" s="583"/>
      <c r="BA60" s="583"/>
      <c r="BB60" s="583"/>
    </row>
    <row r="61" spans="1:54" s="582" customFormat="1">
      <c r="A61" s="299"/>
      <c r="C61" s="53" t="s">
        <v>332</v>
      </c>
      <c r="D61" s="333"/>
      <c r="E61" s="299"/>
      <c r="F61" s="299"/>
      <c r="G61" s="333"/>
      <c r="H61" s="583"/>
      <c r="I61" s="583"/>
      <c r="J61" s="583"/>
      <c r="K61" s="583">
        <v>9545</v>
      </c>
      <c r="L61" s="583">
        <v>9545</v>
      </c>
      <c r="M61" s="583">
        <v>9545</v>
      </c>
      <c r="N61" s="583">
        <v>9545</v>
      </c>
      <c r="O61" s="583">
        <v>9545</v>
      </c>
      <c r="P61" s="583">
        <v>7800</v>
      </c>
      <c r="Q61" s="583">
        <v>7800</v>
      </c>
      <c r="R61" s="583">
        <v>7800</v>
      </c>
      <c r="S61" s="583">
        <v>7800</v>
      </c>
      <c r="T61" s="583">
        <v>7800</v>
      </c>
      <c r="U61" s="583">
        <v>6500</v>
      </c>
      <c r="V61" s="583">
        <v>6500</v>
      </c>
      <c r="W61" s="583">
        <v>6500</v>
      </c>
      <c r="X61" s="583">
        <v>6500</v>
      </c>
      <c r="Y61" s="583">
        <v>6500</v>
      </c>
      <c r="Z61" s="583"/>
      <c r="AA61" s="583"/>
      <c r="AB61" s="583"/>
      <c r="AC61" s="583"/>
      <c r="AD61" s="583"/>
      <c r="AE61" s="583"/>
      <c r="AF61" s="583"/>
      <c r="AG61" s="583"/>
      <c r="AH61" s="583"/>
      <c r="AI61" s="583"/>
      <c r="AJ61" s="583"/>
      <c r="AK61" s="583"/>
      <c r="AL61" s="583"/>
      <c r="AM61" s="583"/>
      <c r="AN61" s="583"/>
      <c r="AO61" s="583"/>
      <c r="AP61" s="583"/>
      <c r="AQ61" s="583"/>
      <c r="AR61" s="583"/>
      <c r="AS61" s="583"/>
      <c r="AT61" s="583"/>
      <c r="AU61" s="583"/>
      <c r="AV61" s="583"/>
      <c r="AW61" s="583"/>
      <c r="AX61" s="583"/>
      <c r="AY61" s="583"/>
      <c r="AZ61" s="583"/>
      <c r="BA61" s="583"/>
      <c r="BB61" s="583"/>
    </row>
    <row r="62" spans="1:54" s="582" customFormat="1">
      <c r="A62" s="585"/>
      <c r="C62" s="53"/>
      <c r="D62" s="333"/>
      <c r="E62" s="585"/>
      <c r="F62" s="585"/>
      <c r="G62" s="333"/>
      <c r="H62" s="586"/>
      <c r="I62" s="586"/>
      <c r="J62" s="586"/>
      <c r="K62" s="586"/>
      <c r="L62" s="586"/>
      <c r="M62" s="586"/>
      <c r="N62" s="586"/>
      <c r="O62" s="586"/>
      <c r="P62" s="586"/>
      <c r="Q62" s="586"/>
      <c r="R62" s="586"/>
      <c r="S62" s="586"/>
      <c r="T62" s="586"/>
      <c r="U62" s="586"/>
      <c r="V62" s="586"/>
      <c r="W62" s="586"/>
      <c r="X62" s="586"/>
      <c r="Y62" s="586"/>
      <c r="Z62" s="586"/>
      <c r="AA62" s="586"/>
      <c r="AB62" s="586"/>
      <c r="AC62" s="586"/>
      <c r="AD62" s="586"/>
      <c r="AE62" s="586"/>
      <c r="AF62" s="586"/>
      <c r="AG62" s="586"/>
      <c r="AH62" s="586"/>
      <c r="AI62" s="586"/>
      <c r="AJ62" s="586"/>
      <c r="AK62" s="586"/>
      <c r="AL62" s="586"/>
      <c r="AM62" s="586"/>
      <c r="AN62" s="586"/>
      <c r="AO62" s="586"/>
      <c r="AP62" s="586"/>
      <c r="AQ62" s="586"/>
      <c r="AR62" s="586"/>
      <c r="AS62" s="586"/>
      <c r="AT62" s="586"/>
      <c r="AU62" s="586"/>
      <c r="AV62" s="586"/>
      <c r="AW62" s="586"/>
      <c r="AX62" s="586"/>
      <c r="AY62" s="586"/>
      <c r="AZ62" s="586"/>
      <c r="BA62" s="586"/>
      <c r="BB62" s="586"/>
    </row>
    <row r="63" spans="1:54" s="579" customFormat="1">
      <c r="B63" s="580" t="s">
        <v>317</v>
      </c>
      <c r="C63" s="581"/>
    </row>
    <row r="64" spans="1:54" s="582" customFormat="1">
      <c r="A64" s="299"/>
      <c r="C64" s="582" t="s">
        <v>325</v>
      </c>
      <c r="D64" s="333"/>
      <c r="E64" s="299"/>
      <c r="F64" s="299"/>
      <c r="G64" s="333"/>
      <c r="H64" s="333">
        <v>2015</v>
      </c>
      <c r="I64" s="333">
        <v>2016</v>
      </c>
      <c r="J64" s="333">
        <v>2017</v>
      </c>
      <c r="K64" s="333">
        <v>2018</v>
      </c>
      <c r="L64" s="333">
        <v>2019</v>
      </c>
      <c r="M64" s="333">
        <v>2020</v>
      </c>
      <c r="N64" s="333">
        <v>2021</v>
      </c>
      <c r="O64" s="333">
        <v>2022</v>
      </c>
      <c r="P64" s="333">
        <v>2023</v>
      </c>
      <c r="Q64" s="333">
        <v>2024</v>
      </c>
      <c r="R64" s="333">
        <v>2025</v>
      </c>
      <c r="S64" s="333">
        <v>2026</v>
      </c>
      <c r="T64" s="333">
        <v>2027</v>
      </c>
      <c r="U64" s="333">
        <v>2028</v>
      </c>
      <c r="V64" s="333">
        <v>2029</v>
      </c>
      <c r="W64" s="333">
        <v>2030</v>
      </c>
      <c r="X64" s="333">
        <v>2031</v>
      </c>
      <c r="Y64" s="333">
        <v>2032</v>
      </c>
      <c r="Z64" s="333">
        <v>2033</v>
      </c>
      <c r="AA64" s="333">
        <v>2034</v>
      </c>
      <c r="AB64" s="333">
        <v>2035</v>
      </c>
      <c r="AC64" s="333">
        <v>2036</v>
      </c>
      <c r="AD64" s="333">
        <v>2037</v>
      </c>
      <c r="AE64" s="333">
        <v>2038</v>
      </c>
      <c r="AF64" s="333">
        <v>2039</v>
      </c>
      <c r="AG64" s="333">
        <v>2040</v>
      </c>
      <c r="AH64" s="333">
        <v>2041</v>
      </c>
      <c r="AI64" s="333">
        <v>2042</v>
      </c>
      <c r="AJ64" s="333">
        <v>2043</v>
      </c>
      <c r="AK64" s="333">
        <v>2044</v>
      </c>
      <c r="AL64" s="333">
        <v>2045</v>
      </c>
      <c r="AM64" s="333">
        <v>2046</v>
      </c>
      <c r="AN64" s="333">
        <v>2047</v>
      </c>
      <c r="AO64" s="333">
        <v>2048</v>
      </c>
      <c r="AP64" s="333">
        <v>2049</v>
      </c>
      <c r="AQ64" s="333">
        <v>2050</v>
      </c>
      <c r="AR64" s="333"/>
      <c r="AS64" s="333"/>
      <c r="AT64" s="333"/>
      <c r="AU64" s="333"/>
      <c r="AV64" s="333"/>
      <c r="AW64" s="333"/>
      <c r="AX64" s="333"/>
      <c r="AY64" s="333"/>
      <c r="AZ64" s="333"/>
      <c r="BA64" s="333"/>
      <c r="BB64" s="333"/>
    </row>
    <row r="65" spans="1:54" s="582" customFormat="1">
      <c r="A65" s="299"/>
      <c r="C65" s="53" t="s">
        <v>331</v>
      </c>
      <c r="D65" s="333"/>
      <c r="E65" s="299"/>
      <c r="F65" s="299"/>
      <c r="G65" s="333"/>
      <c r="H65" s="583">
        <v>15358.107082206468</v>
      </c>
      <c r="I65" s="583">
        <v>13514.931598550625</v>
      </c>
      <c r="J65" s="583">
        <v>12341.608394769188</v>
      </c>
      <c r="K65" s="583">
        <v>10583.705110232304</v>
      </c>
      <c r="L65" s="583">
        <v>9630.2738033470505</v>
      </c>
      <c r="M65" s="583">
        <v>9355.0117702431035</v>
      </c>
      <c r="N65" s="583">
        <v>8575.460112914152</v>
      </c>
      <c r="O65" s="583">
        <v>8229.9058576243006</v>
      </c>
      <c r="P65" s="583">
        <v>8175.8763915463123</v>
      </c>
      <c r="Q65" s="583">
        <v>7788.3463897504253</v>
      </c>
      <c r="R65" s="583">
        <v>7610.1583239799102</v>
      </c>
      <c r="S65" s="583">
        <v>7259.8375129603919</v>
      </c>
      <c r="T65" s="583">
        <v>7160.8319327744275</v>
      </c>
      <c r="U65" s="583">
        <v>6804.5221563271771</v>
      </c>
      <c r="V65" s="583">
        <v>6369.1858658553256</v>
      </c>
      <c r="W65" s="583">
        <v>5909.3289940488867</v>
      </c>
      <c r="X65" s="583">
        <v>5500.7285157337037</v>
      </c>
      <c r="Y65" s="583">
        <v>5066.144268734879</v>
      </c>
      <c r="Z65" s="583">
        <v>4815.1884781554872</v>
      </c>
      <c r="AA65" s="583">
        <v>4488.9392503517756</v>
      </c>
      <c r="AB65" s="583">
        <v>4198.0279446641271</v>
      </c>
      <c r="AC65" s="583">
        <v>4089.0153841438087</v>
      </c>
      <c r="AD65" s="583">
        <v>3984.0550608258841</v>
      </c>
      <c r="AE65" s="583">
        <v>3750.4239087327469</v>
      </c>
      <c r="AF65" s="583">
        <v>3522.2340718037221</v>
      </c>
      <c r="AG65" s="583">
        <v>3281.5884680932377</v>
      </c>
      <c r="AH65" s="583">
        <v>3113.0293878910461</v>
      </c>
      <c r="AI65" s="583">
        <v>2926.0697203774239</v>
      </c>
      <c r="AJ65" s="583">
        <v>2775.0711175154156</v>
      </c>
      <c r="AK65" s="583">
        <v>2658.5453580080698</v>
      </c>
      <c r="AL65" s="583">
        <v>2522.2659257963246</v>
      </c>
      <c r="AM65" s="583">
        <v>2422.72594826467</v>
      </c>
      <c r="AN65" s="583">
        <v>2329.3947539427477</v>
      </c>
      <c r="AO65" s="583">
        <v>2209.2461795660647</v>
      </c>
      <c r="AP65" s="583">
        <v>2113.9628074305056</v>
      </c>
      <c r="AQ65" s="583">
        <v>2017.0793233555257</v>
      </c>
      <c r="AR65" s="583"/>
      <c r="AS65" s="583"/>
      <c r="AT65" s="583"/>
      <c r="AU65" s="583"/>
      <c r="AV65" s="583"/>
      <c r="AW65" s="583"/>
      <c r="AX65" s="583"/>
      <c r="AY65" s="583"/>
      <c r="AZ65" s="583"/>
      <c r="BA65" s="583"/>
      <c r="BB65" s="583"/>
    </row>
    <row r="66" spans="1:54" s="582" customFormat="1">
      <c r="A66" s="299"/>
      <c r="C66" s="53" t="s">
        <v>333</v>
      </c>
      <c r="D66" s="333"/>
      <c r="E66" s="299"/>
      <c r="F66" s="299"/>
      <c r="G66" s="333"/>
      <c r="H66" s="583"/>
      <c r="I66" s="583"/>
      <c r="J66" s="583"/>
      <c r="K66" s="583">
        <v>10340</v>
      </c>
      <c r="L66" s="583">
        <v>10340</v>
      </c>
      <c r="M66" s="583">
        <v>10340</v>
      </c>
      <c r="N66" s="583">
        <v>10340</v>
      </c>
      <c r="O66" s="583">
        <v>10340</v>
      </c>
      <c r="P66" s="583">
        <v>7900</v>
      </c>
      <c r="Q66" s="583">
        <v>7900</v>
      </c>
      <c r="R66" s="583">
        <v>7900</v>
      </c>
      <c r="S66" s="583">
        <v>7900</v>
      </c>
      <c r="T66" s="583">
        <v>7900</v>
      </c>
      <c r="U66" s="583">
        <v>6000</v>
      </c>
      <c r="V66" s="583">
        <v>6000</v>
      </c>
      <c r="W66" s="583">
        <v>6000</v>
      </c>
      <c r="X66" s="583">
        <v>6000</v>
      </c>
      <c r="Y66" s="583">
        <v>6000</v>
      </c>
      <c r="Z66" s="583"/>
      <c r="AA66" s="583"/>
      <c r="AB66" s="583"/>
      <c r="AC66" s="583"/>
      <c r="AD66" s="583"/>
      <c r="AE66" s="583"/>
      <c r="AF66" s="583"/>
      <c r="AG66" s="583"/>
      <c r="AH66" s="583"/>
      <c r="AI66" s="583"/>
      <c r="AJ66" s="583"/>
      <c r="AK66" s="583"/>
      <c r="AL66" s="583"/>
      <c r="AM66" s="583"/>
      <c r="AN66" s="583"/>
      <c r="AO66" s="583"/>
      <c r="AP66" s="583"/>
      <c r="AQ66" s="583"/>
      <c r="AR66" s="583"/>
      <c r="AS66" s="583"/>
      <c r="AT66" s="583"/>
      <c r="AU66" s="583"/>
      <c r="AV66" s="583"/>
      <c r="AW66" s="583"/>
      <c r="AX66" s="583"/>
      <c r="AY66" s="583"/>
      <c r="AZ66" s="583"/>
      <c r="BA66" s="583"/>
      <c r="BB66" s="583"/>
    </row>
    <row r="67" spans="1:54" s="582" customFormat="1">
      <c r="A67" s="585"/>
      <c r="C67" s="53"/>
      <c r="D67" s="333"/>
      <c r="E67" s="585"/>
      <c r="F67" s="585"/>
      <c r="G67" s="333"/>
      <c r="H67" s="586"/>
      <c r="I67" s="586"/>
      <c r="J67" s="586"/>
      <c r="K67" s="586"/>
      <c r="L67" s="586"/>
      <c r="M67" s="586"/>
      <c r="N67" s="586"/>
      <c r="O67" s="586"/>
      <c r="P67" s="586"/>
      <c r="Q67" s="586"/>
      <c r="R67" s="586"/>
      <c r="S67" s="586"/>
      <c r="T67" s="586"/>
      <c r="U67" s="586"/>
      <c r="V67" s="586"/>
      <c r="W67" s="586"/>
      <c r="X67" s="586"/>
      <c r="Y67" s="586"/>
      <c r="Z67" s="586"/>
      <c r="AA67" s="586"/>
      <c r="AB67" s="586"/>
      <c r="AC67" s="586"/>
      <c r="AD67" s="586"/>
      <c r="AE67" s="586"/>
      <c r="AF67" s="586"/>
      <c r="AG67" s="586"/>
      <c r="AH67" s="586"/>
      <c r="AI67" s="586"/>
      <c r="AJ67" s="586"/>
      <c r="AK67" s="586"/>
      <c r="AL67" s="586"/>
      <c r="AM67" s="586"/>
      <c r="AN67" s="586"/>
      <c r="AO67" s="586"/>
      <c r="AP67" s="586"/>
      <c r="AQ67" s="586"/>
      <c r="AR67" s="586"/>
      <c r="AS67" s="586"/>
      <c r="AT67" s="586"/>
      <c r="AU67" s="586"/>
      <c r="AV67" s="586"/>
      <c r="AW67" s="586"/>
      <c r="AX67" s="586"/>
      <c r="AY67" s="586"/>
      <c r="AZ67" s="586"/>
      <c r="BA67" s="586"/>
      <c r="BB67" s="586"/>
    </row>
    <row r="68" spans="1:54" s="579" customFormat="1">
      <c r="B68" s="580" t="s">
        <v>90</v>
      </c>
      <c r="C68" s="581"/>
    </row>
    <row r="69" spans="1:54" s="582" customFormat="1">
      <c r="A69" s="299"/>
      <c r="C69" s="582" t="s">
        <v>325</v>
      </c>
      <c r="D69" s="333"/>
      <c r="E69" s="299"/>
      <c r="F69" s="299"/>
      <c r="G69" s="333"/>
      <c r="H69" s="333">
        <v>2015</v>
      </c>
      <c r="I69" s="333">
        <v>2016</v>
      </c>
      <c r="J69" s="333">
        <v>2017</v>
      </c>
      <c r="K69" s="333">
        <v>2018</v>
      </c>
      <c r="L69" s="333">
        <v>2019</v>
      </c>
      <c r="M69" s="333">
        <v>2020</v>
      </c>
      <c r="N69" s="333">
        <v>2021</v>
      </c>
      <c r="O69" s="333">
        <v>2022</v>
      </c>
      <c r="P69" s="333">
        <v>2023</v>
      </c>
      <c r="Q69" s="333">
        <v>2024</v>
      </c>
      <c r="R69" s="333">
        <v>2025</v>
      </c>
      <c r="S69" s="333">
        <v>2026</v>
      </c>
      <c r="T69" s="333">
        <v>2027</v>
      </c>
      <c r="U69" s="333">
        <v>2028</v>
      </c>
      <c r="V69" s="333">
        <v>2029</v>
      </c>
      <c r="W69" s="333">
        <v>2030</v>
      </c>
      <c r="X69" s="333">
        <v>2031</v>
      </c>
      <c r="Y69" s="333">
        <v>2032</v>
      </c>
      <c r="Z69" s="333">
        <v>2033</v>
      </c>
      <c r="AA69" s="333">
        <v>2034</v>
      </c>
      <c r="AB69" s="333">
        <v>2035</v>
      </c>
      <c r="AC69" s="333">
        <v>2036</v>
      </c>
      <c r="AD69" s="333">
        <v>2037</v>
      </c>
      <c r="AE69" s="333">
        <v>2038</v>
      </c>
      <c r="AF69" s="333">
        <v>2039</v>
      </c>
      <c r="AG69" s="333">
        <v>2040</v>
      </c>
      <c r="AH69" s="333">
        <v>2041</v>
      </c>
      <c r="AI69" s="333">
        <v>2042</v>
      </c>
      <c r="AJ69" s="333">
        <v>2043</v>
      </c>
      <c r="AK69" s="333">
        <v>2044</v>
      </c>
      <c r="AL69" s="333">
        <v>2045</v>
      </c>
      <c r="AM69" s="333">
        <v>2046</v>
      </c>
      <c r="AN69" s="333">
        <v>2047</v>
      </c>
      <c r="AO69" s="333">
        <v>2048</v>
      </c>
      <c r="AP69" s="333">
        <v>2049</v>
      </c>
      <c r="AQ69" s="333">
        <v>2050</v>
      </c>
      <c r="AR69" s="333"/>
      <c r="AS69" s="333"/>
      <c r="AT69" s="333"/>
      <c r="AU69" s="333"/>
      <c r="AV69" s="333"/>
      <c r="AW69" s="333"/>
      <c r="AX69" s="333"/>
      <c r="AY69" s="333"/>
      <c r="AZ69" s="333"/>
      <c r="BA69" s="333"/>
      <c r="BB69" s="333"/>
    </row>
    <row r="70" spans="1:54" s="582" customFormat="1">
      <c r="A70" s="299"/>
      <c r="C70" s="53" t="s">
        <v>331</v>
      </c>
      <c r="D70" s="333"/>
      <c r="E70" s="299"/>
      <c r="F70" s="299"/>
      <c r="G70" s="333"/>
      <c r="H70" s="583">
        <v>8216.8765248291566</v>
      </c>
      <c r="I70" s="583">
        <v>8020.5856812754437</v>
      </c>
      <c r="J70" s="583">
        <v>7863.810708639563</v>
      </c>
      <c r="K70" s="583">
        <v>7639.4421379921887</v>
      </c>
      <c r="L70" s="583">
        <v>7477.4879739443732</v>
      </c>
      <c r="M70" s="583">
        <v>7380.073529152457</v>
      </c>
      <c r="N70" s="583">
        <v>7179.3855892365864</v>
      </c>
      <c r="O70" s="583">
        <v>7022.8798121762256</v>
      </c>
      <c r="P70" s="583">
        <v>6901.1501873361849</v>
      </c>
      <c r="Q70" s="583">
        <v>6743.0687601419486</v>
      </c>
      <c r="R70" s="583">
        <v>6610.1406045289104</v>
      </c>
      <c r="S70" s="583">
        <v>6363.6438316255835</v>
      </c>
      <c r="T70" s="583">
        <v>6153.4526854249689</v>
      </c>
      <c r="U70" s="583">
        <v>5905.8969240253509</v>
      </c>
      <c r="V70" s="583">
        <v>5644.4029735202794</v>
      </c>
      <c r="W70" s="583">
        <v>5375.1534447130944</v>
      </c>
      <c r="X70" s="583">
        <v>5125.3919148921204</v>
      </c>
      <c r="Y70" s="583">
        <v>4857.2667346619173</v>
      </c>
      <c r="Z70" s="583">
        <v>4617.5159172930298</v>
      </c>
      <c r="AA70" s="583">
        <v>4351.9831758764485</v>
      </c>
      <c r="AB70" s="583">
        <v>4079.0077571018542</v>
      </c>
      <c r="AC70" s="583">
        <v>3863.6972184945621</v>
      </c>
      <c r="AD70" s="583">
        <v>3641.349734949652</v>
      </c>
      <c r="AE70" s="583">
        <v>3409.7089458075029</v>
      </c>
      <c r="AF70" s="583">
        <v>3166.9362058865922</v>
      </c>
      <c r="AG70" s="583">
        <v>2910.5284675403841</v>
      </c>
      <c r="AH70" s="583">
        <v>2750.9512568022351</v>
      </c>
      <c r="AI70" s="583">
        <v>2583.5269757433753</v>
      </c>
      <c r="AJ70" s="583">
        <v>2420.6274459969031</v>
      </c>
      <c r="AK70" s="583">
        <v>2258.5312098894897</v>
      </c>
      <c r="AL70" s="583">
        <v>2088.6226027910598</v>
      </c>
      <c r="AM70" s="583">
        <v>1927.5081246815098</v>
      </c>
      <c r="AN70" s="583">
        <v>1766.1310075660044</v>
      </c>
      <c r="AO70" s="583">
        <v>1597.0671102796737</v>
      </c>
      <c r="AP70" s="583">
        <v>1433.5780404861684</v>
      </c>
      <c r="AQ70" s="583">
        <v>1268.8271739539969</v>
      </c>
      <c r="AR70" s="583"/>
      <c r="AS70" s="583"/>
      <c r="AT70" s="583"/>
      <c r="AU70" s="583"/>
      <c r="AV70" s="583"/>
      <c r="AW70" s="583"/>
      <c r="AX70" s="583"/>
      <c r="AY70" s="583"/>
      <c r="AZ70" s="583"/>
      <c r="BA70" s="583"/>
      <c r="BB70" s="583"/>
    </row>
    <row r="71" spans="1:54" s="582" customFormat="1">
      <c r="A71" s="299"/>
      <c r="C71" s="53" t="s">
        <v>334</v>
      </c>
      <c r="D71" s="333"/>
      <c r="E71" s="299"/>
      <c r="F71" s="299"/>
      <c r="G71" s="333"/>
      <c r="H71" s="583"/>
      <c r="I71" s="583"/>
      <c r="J71" s="583"/>
      <c r="K71" s="583">
        <v>7340</v>
      </c>
      <c r="L71" s="583">
        <v>7340</v>
      </c>
      <c r="M71" s="583">
        <v>7340</v>
      </c>
      <c r="N71" s="583">
        <v>7340</v>
      </c>
      <c r="O71" s="583">
        <v>7340</v>
      </c>
      <c r="P71" s="583">
        <v>6700</v>
      </c>
      <c r="Q71" s="583">
        <v>6700</v>
      </c>
      <c r="R71" s="583">
        <v>6700</v>
      </c>
      <c r="S71" s="583">
        <v>6700</v>
      </c>
      <c r="T71" s="583">
        <v>6700</v>
      </c>
      <c r="U71" s="583">
        <v>5450</v>
      </c>
      <c r="V71" s="583">
        <v>5450</v>
      </c>
      <c r="W71" s="583">
        <v>5450</v>
      </c>
      <c r="X71" s="583">
        <v>5450</v>
      </c>
      <c r="Y71" s="583">
        <v>5450</v>
      </c>
      <c r="Z71" s="583"/>
      <c r="AA71" s="583"/>
      <c r="AB71" s="583"/>
      <c r="AC71" s="583"/>
      <c r="AD71" s="583"/>
      <c r="AE71" s="583"/>
      <c r="AF71" s="583"/>
      <c r="AG71" s="583"/>
      <c r="AH71" s="583"/>
      <c r="AI71" s="583"/>
      <c r="AJ71" s="583"/>
      <c r="AK71" s="583"/>
      <c r="AL71" s="583"/>
      <c r="AM71" s="583"/>
      <c r="AN71" s="583"/>
      <c r="AO71" s="583"/>
      <c r="AP71" s="583"/>
      <c r="AQ71" s="583"/>
      <c r="AR71" s="583"/>
      <c r="AS71" s="583"/>
      <c r="AT71" s="583"/>
      <c r="AU71" s="583"/>
      <c r="AV71" s="583"/>
      <c r="AW71" s="583"/>
      <c r="AX71" s="583"/>
      <c r="AY71" s="583"/>
      <c r="AZ71" s="583"/>
      <c r="BA71" s="583"/>
      <c r="BB71" s="583"/>
    </row>
    <row r="72" spans="1:54" s="53" customFormat="1"/>
    <row r="73" spans="1:54" s="579" customFormat="1">
      <c r="B73" s="580" t="s">
        <v>174</v>
      </c>
      <c r="C73" s="581"/>
    </row>
    <row r="74" spans="1:54" s="582" customFormat="1">
      <c r="A74" s="299"/>
      <c r="C74" s="582" t="s">
        <v>325</v>
      </c>
      <c r="D74" s="333"/>
      <c r="E74" s="299"/>
      <c r="F74" s="299"/>
      <c r="G74" s="333"/>
      <c r="H74" s="333">
        <v>2015</v>
      </c>
      <c r="I74" s="333">
        <v>2016</v>
      </c>
      <c r="J74" s="333">
        <v>2017</v>
      </c>
      <c r="K74" s="333">
        <v>2018</v>
      </c>
      <c r="L74" s="333">
        <v>2019</v>
      </c>
      <c r="M74" s="333">
        <v>2020</v>
      </c>
      <c r="N74" s="333">
        <v>2021</v>
      </c>
      <c r="O74" s="333">
        <v>2022</v>
      </c>
      <c r="P74" s="333">
        <v>2023</v>
      </c>
      <c r="Q74" s="333">
        <v>2024</v>
      </c>
      <c r="R74" s="333">
        <v>2025</v>
      </c>
      <c r="S74" s="333">
        <v>2026</v>
      </c>
      <c r="T74" s="333">
        <v>2027</v>
      </c>
      <c r="U74" s="333">
        <v>2028</v>
      </c>
      <c r="V74" s="333">
        <v>2029</v>
      </c>
      <c r="W74" s="333">
        <v>2030</v>
      </c>
      <c r="X74" s="333">
        <v>2031</v>
      </c>
      <c r="Y74" s="333">
        <v>2032</v>
      </c>
      <c r="Z74" s="333">
        <v>2033</v>
      </c>
      <c r="AA74" s="333">
        <v>2034</v>
      </c>
      <c r="AB74" s="333">
        <v>2035</v>
      </c>
      <c r="AC74" s="333">
        <v>2036</v>
      </c>
      <c r="AD74" s="333">
        <v>2037</v>
      </c>
      <c r="AE74" s="333">
        <v>2038</v>
      </c>
      <c r="AF74" s="333">
        <v>2039</v>
      </c>
      <c r="AG74" s="333">
        <v>2040</v>
      </c>
      <c r="AH74" s="333">
        <v>2041</v>
      </c>
      <c r="AI74" s="333">
        <v>2042</v>
      </c>
      <c r="AJ74" s="333">
        <v>2043</v>
      </c>
      <c r="AK74" s="333">
        <v>2044</v>
      </c>
      <c r="AL74" s="333">
        <v>2045</v>
      </c>
      <c r="AM74" s="333">
        <v>2046</v>
      </c>
      <c r="AN74" s="333">
        <v>2047</v>
      </c>
      <c r="AO74" s="333">
        <v>2048</v>
      </c>
      <c r="AP74" s="333">
        <v>2049</v>
      </c>
      <c r="AQ74" s="333">
        <v>2050</v>
      </c>
      <c r="AR74" s="333"/>
      <c r="AS74" s="333"/>
      <c r="AT74" s="333"/>
      <c r="AU74" s="333"/>
      <c r="AV74" s="333"/>
      <c r="AW74" s="333"/>
      <c r="AX74" s="333"/>
      <c r="AY74" s="333"/>
      <c r="AZ74" s="333"/>
      <c r="BA74" s="333"/>
      <c r="BB74" s="333"/>
    </row>
    <row r="75" spans="1:54" s="582" customFormat="1">
      <c r="A75" s="299"/>
      <c r="C75" s="53" t="s">
        <v>331</v>
      </c>
      <c r="D75" s="333"/>
      <c r="E75" s="299"/>
      <c r="F75" s="299"/>
      <c r="G75" s="333"/>
      <c r="H75" s="583">
        <v>35987.556893288856</v>
      </c>
      <c r="I75" s="583">
        <v>32932.897028370695</v>
      </c>
      <c r="J75" s="583">
        <v>30998.991222707871</v>
      </c>
      <c r="K75" s="583">
        <v>28072.986038659012</v>
      </c>
      <c r="L75" s="583">
        <v>26461.204228138908</v>
      </c>
      <c r="M75" s="583">
        <v>25935.955503865654</v>
      </c>
      <c r="N75" s="583">
        <v>24477.98626966092</v>
      </c>
      <c r="O75" s="583">
        <v>23737.286792927254</v>
      </c>
      <c r="P75" s="583">
        <v>23469.934530445236</v>
      </c>
      <c r="Q75" s="583">
        <v>22633.031698721479</v>
      </c>
      <c r="R75" s="583">
        <v>22127.483972729158</v>
      </c>
      <c r="S75" s="583">
        <v>21235.867512478162</v>
      </c>
      <c r="T75" s="583">
        <v>20771.754755845963</v>
      </c>
      <c r="U75" s="583">
        <v>19878.71103479655</v>
      </c>
      <c r="V75" s="583">
        <v>18836.827887779069</v>
      </c>
      <c r="W75" s="583">
        <v>17737.393502342602</v>
      </c>
      <c r="X75" s="583">
        <v>16685.746515266641</v>
      </c>
      <c r="Y75" s="583">
        <v>15570.929575345093</v>
      </c>
      <c r="Z75" s="583">
        <v>14769.251240349804</v>
      </c>
      <c r="AA75" s="583">
        <v>13820.786547136595</v>
      </c>
      <c r="AB75" s="583">
        <v>12930.086663473932</v>
      </c>
      <c r="AC75" s="583">
        <v>12401.027815989995</v>
      </c>
      <c r="AD75" s="583">
        <v>11873.72417940159</v>
      </c>
      <c r="AE75" s="583">
        <v>11213.779019161879</v>
      </c>
      <c r="AF75" s="583">
        <v>10542.366742126491</v>
      </c>
      <c r="AG75" s="583">
        <v>9812.2104472122228</v>
      </c>
      <c r="AH75" s="583">
        <v>9215.3588592316701</v>
      </c>
      <c r="AI75" s="583">
        <v>8586.7664800300336</v>
      </c>
      <c r="AJ75" s="583">
        <v>8038.0321825759283</v>
      </c>
      <c r="AK75" s="583">
        <v>7575.8769131195313</v>
      </c>
      <c r="AL75" s="583">
        <v>7067.9723417148216</v>
      </c>
      <c r="AM75" s="583">
        <v>6642.1035192770596</v>
      </c>
      <c r="AN75" s="583">
        <v>6232.5135552773836</v>
      </c>
      <c r="AO75" s="583">
        <v>5768.5025319894003</v>
      </c>
      <c r="AP75" s="583">
        <v>5396.9732910474122</v>
      </c>
      <c r="AQ75" s="583">
        <v>5028.2025890002005</v>
      </c>
      <c r="AR75" s="583"/>
      <c r="AS75" s="583"/>
      <c r="AT75" s="583"/>
      <c r="AU75" s="583"/>
      <c r="AV75" s="583"/>
      <c r="AW75" s="583"/>
      <c r="AX75" s="583"/>
      <c r="AY75" s="583"/>
      <c r="AZ75" s="583"/>
      <c r="BA75" s="583"/>
      <c r="BB75" s="583"/>
    </row>
    <row r="76" spans="1:54" s="582" customFormat="1">
      <c r="A76" s="299"/>
      <c r="C76" s="53" t="s">
        <v>335</v>
      </c>
      <c r="D76" s="333"/>
      <c r="E76" s="299"/>
      <c r="F76" s="299"/>
      <c r="G76" s="333"/>
      <c r="H76" s="583"/>
      <c r="I76" s="583"/>
      <c r="J76" s="583"/>
      <c r="K76" s="583">
        <v>27225</v>
      </c>
      <c r="L76" s="583">
        <v>27225</v>
      </c>
      <c r="M76" s="583">
        <v>27225</v>
      </c>
      <c r="N76" s="583">
        <v>27225</v>
      </c>
      <c r="O76" s="583">
        <v>27225</v>
      </c>
      <c r="P76" s="583">
        <v>22400</v>
      </c>
      <c r="Q76" s="583">
        <v>22400</v>
      </c>
      <c r="R76" s="583">
        <v>22400</v>
      </c>
      <c r="S76" s="583">
        <v>22400</v>
      </c>
      <c r="T76" s="583">
        <v>22400</v>
      </c>
      <c r="U76" s="583">
        <v>17950</v>
      </c>
      <c r="V76" s="583">
        <v>17950</v>
      </c>
      <c r="W76" s="583">
        <v>17950</v>
      </c>
      <c r="X76" s="583">
        <v>17950</v>
      </c>
      <c r="Y76" s="583">
        <v>17950</v>
      </c>
      <c r="Z76" s="583"/>
      <c r="AA76" s="583"/>
      <c r="AB76" s="583"/>
      <c r="AC76" s="583"/>
      <c r="AD76" s="583"/>
      <c r="AE76" s="583"/>
      <c r="AF76" s="583"/>
      <c r="AG76" s="583"/>
      <c r="AH76" s="583"/>
      <c r="AI76" s="583"/>
      <c r="AJ76" s="583"/>
      <c r="AK76" s="583"/>
      <c r="AL76" s="583"/>
      <c r="AM76" s="583"/>
      <c r="AN76" s="583"/>
      <c r="AO76" s="583"/>
      <c r="AP76" s="583"/>
      <c r="AQ76" s="583"/>
      <c r="AR76" s="583"/>
      <c r="AS76" s="583"/>
      <c r="AT76" s="583"/>
      <c r="AU76" s="583"/>
      <c r="AV76" s="583"/>
      <c r="AW76" s="583"/>
      <c r="AX76" s="583"/>
      <c r="AY76" s="583"/>
      <c r="AZ76" s="583"/>
      <c r="BA76" s="583"/>
      <c r="BB76" s="583"/>
    </row>
    <row r="78" spans="1:54" s="579" customFormat="1">
      <c r="B78" s="580" t="s">
        <v>336</v>
      </c>
      <c r="C78" s="581"/>
    </row>
    <row r="79" spans="1:54">
      <c r="G79" t="s">
        <v>337</v>
      </c>
      <c r="H79" s="333">
        <v>2015</v>
      </c>
      <c r="I79" s="333">
        <v>2016</v>
      </c>
      <c r="J79" s="333">
        <v>2017</v>
      </c>
      <c r="K79" s="333">
        <v>2018</v>
      </c>
      <c r="L79" s="333">
        <v>2019</v>
      </c>
      <c r="M79" s="333">
        <v>2020</v>
      </c>
      <c r="N79" s="333">
        <v>2021</v>
      </c>
      <c r="O79" s="333">
        <v>2022</v>
      </c>
      <c r="P79" s="333">
        <v>2023</v>
      </c>
      <c r="Q79" s="333">
        <v>2024</v>
      </c>
      <c r="R79" s="333">
        <v>2025</v>
      </c>
      <c r="S79" s="333">
        <v>2026</v>
      </c>
      <c r="T79" s="333">
        <v>2027</v>
      </c>
      <c r="U79" s="333">
        <v>2028</v>
      </c>
      <c r="V79" s="333">
        <v>2029</v>
      </c>
      <c r="W79" s="333">
        <v>2030</v>
      </c>
      <c r="X79" s="333">
        <v>2031</v>
      </c>
      <c r="Y79" s="333">
        <v>2032</v>
      </c>
      <c r="Z79" s="333">
        <v>2033</v>
      </c>
      <c r="AA79" s="333">
        <v>2034</v>
      </c>
      <c r="AB79" s="333">
        <v>2035</v>
      </c>
      <c r="AC79" s="333">
        <v>2036</v>
      </c>
      <c r="AD79" s="333">
        <v>2037</v>
      </c>
      <c r="AE79" s="333">
        <v>2038</v>
      </c>
      <c r="AF79" s="333">
        <v>2039</v>
      </c>
      <c r="AG79" s="333">
        <v>2040</v>
      </c>
      <c r="AH79" s="333">
        <v>2041</v>
      </c>
      <c r="AI79" s="333">
        <v>2042</v>
      </c>
      <c r="AJ79" s="333">
        <v>2043</v>
      </c>
      <c r="AK79" s="333">
        <v>2044</v>
      </c>
      <c r="AL79" s="333">
        <v>2045</v>
      </c>
      <c r="AM79" s="333">
        <v>2046</v>
      </c>
      <c r="AN79" s="333">
        <v>2047</v>
      </c>
      <c r="AO79" s="333">
        <v>2048</v>
      </c>
      <c r="AP79" s="333">
        <v>2049</v>
      </c>
      <c r="AQ79" s="333">
        <v>2050</v>
      </c>
    </row>
    <row r="80" spans="1:54">
      <c r="G80" t="s">
        <v>22</v>
      </c>
      <c r="H80">
        <v>33909.294600698297</v>
      </c>
      <c r="I80">
        <v>32943.886061664583</v>
      </c>
      <c r="J80">
        <v>31011.618961896533</v>
      </c>
      <c r="K80">
        <v>28074.320450837669</v>
      </c>
      <c r="L80">
        <v>26449.035709754673</v>
      </c>
      <c r="M80">
        <v>25967.472844837393</v>
      </c>
      <c r="N80">
        <v>24600.330144668049</v>
      </c>
      <c r="O80">
        <v>23944.170601116595</v>
      </c>
      <c r="P80">
        <v>23641.839328657072</v>
      </c>
      <c r="Q80">
        <v>22729.821687755575</v>
      </c>
      <c r="R80">
        <v>22116.763890704511</v>
      </c>
      <c r="S80">
        <v>21214.951980679853</v>
      </c>
      <c r="T80">
        <v>20752.499223095234</v>
      </c>
      <c r="U80">
        <v>20004.093951742536</v>
      </c>
      <c r="V80">
        <v>19114.948015019734</v>
      </c>
      <c r="W80">
        <v>18203.225418913447</v>
      </c>
      <c r="X80">
        <v>17431.552111435023</v>
      </c>
      <c r="Y80">
        <v>16628.969798560302</v>
      </c>
      <c r="Z80">
        <v>16137.378733409982</v>
      </c>
      <c r="AA80">
        <v>15543.028019983081</v>
      </c>
      <c r="AB80">
        <v>15063.564228326986</v>
      </c>
      <c r="AC80">
        <v>14886.404125761126</v>
      </c>
      <c r="AD80">
        <v>14711.326826790733</v>
      </c>
      <c r="AE80">
        <v>14559.143059522417</v>
      </c>
      <c r="AF80">
        <v>14406.748948258792</v>
      </c>
      <c r="AG80">
        <v>14254.66598428943</v>
      </c>
      <c r="AH80">
        <v>14099.864679334078</v>
      </c>
      <c r="AI80">
        <v>13907.518493229411</v>
      </c>
      <c r="AJ80">
        <v>13751.591525628923</v>
      </c>
      <c r="AK80">
        <v>13595.235839226367</v>
      </c>
      <c r="AL80">
        <v>13400.554140648721</v>
      </c>
      <c r="AM80">
        <v>13243.213978533902</v>
      </c>
      <c r="AN80">
        <v>13085.956671557629</v>
      </c>
      <c r="AO80">
        <v>12889.620763072977</v>
      </c>
      <c r="AP80">
        <v>12731.31245335359</v>
      </c>
      <c r="AQ80">
        <v>12572.611913128343</v>
      </c>
    </row>
    <row r="81" spans="7:43">
      <c r="G81" t="s">
        <v>111</v>
      </c>
      <c r="H81">
        <v>33909.294600698297</v>
      </c>
      <c r="I81">
        <v>32939.664558229888</v>
      </c>
      <c r="J81">
        <v>31014.976512369551</v>
      </c>
      <c r="K81">
        <v>28089.104142421711</v>
      </c>
      <c r="L81">
        <v>26476.99028571543</v>
      </c>
      <c r="M81">
        <v>25982.459540739899</v>
      </c>
      <c r="N81">
        <v>24548.585913973799</v>
      </c>
      <c r="O81">
        <v>23828.326246551402</v>
      </c>
      <c r="P81">
        <v>23448.053532486305</v>
      </c>
      <c r="Q81">
        <v>22457.973601558653</v>
      </c>
      <c r="R81">
        <v>21776.871839358664</v>
      </c>
      <c r="S81">
        <v>20728.813787183593</v>
      </c>
      <c r="T81">
        <v>20086.361915290778</v>
      </c>
      <c r="U81">
        <v>19175.381997980636</v>
      </c>
      <c r="V81">
        <v>18122.895986049502</v>
      </c>
      <c r="W81">
        <v>17027.576842472135</v>
      </c>
      <c r="X81">
        <v>16140.283673422891</v>
      </c>
      <c r="Y81">
        <v>15216.785640602391</v>
      </c>
      <c r="Z81">
        <v>14580.923956407174</v>
      </c>
      <c r="AA81">
        <v>13833.33534205754</v>
      </c>
      <c r="AB81">
        <v>13126.47922736184</v>
      </c>
      <c r="AC81">
        <v>12695.091990291776</v>
      </c>
      <c r="AD81">
        <v>12265.736461592931</v>
      </c>
      <c r="AE81">
        <v>11858.162529719655</v>
      </c>
      <c r="AF81">
        <v>11576.251899309435</v>
      </c>
      <c r="AG81">
        <v>11292.668322659785</v>
      </c>
      <c r="AH81">
        <v>10153.652993334517</v>
      </c>
      <c r="AI81">
        <v>8935.1328076747868</v>
      </c>
      <c r="AJ81">
        <v>7732.9288024557191</v>
      </c>
      <c r="AK81">
        <v>6536.9803273676689</v>
      </c>
      <c r="AL81">
        <v>4428.9216484229773</v>
      </c>
      <c r="AM81">
        <v>4264.9780353877886</v>
      </c>
      <c r="AN81">
        <v>4062.5684637086802</v>
      </c>
      <c r="AO81">
        <v>3814.3491813911296</v>
      </c>
      <c r="AP81">
        <v>3608.8083606586856</v>
      </c>
      <c r="AQ81">
        <v>3402.6562594147272</v>
      </c>
    </row>
    <row r="82" spans="7:43">
      <c r="G82" t="s">
        <v>110</v>
      </c>
      <c r="H82">
        <v>33909.294600698297</v>
      </c>
      <c r="I82">
        <v>32928.995538089177</v>
      </c>
      <c r="J82">
        <v>30980.52421674152</v>
      </c>
      <c r="K82">
        <v>28022.586035780128</v>
      </c>
      <c r="L82">
        <v>26376.297303191986</v>
      </c>
      <c r="M82">
        <v>25842.011038514556</v>
      </c>
      <c r="N82">
        <v>24351.730585341753</v>
      </c>
      <c r="O82">
        <v>23570.909921022299</v>
      </c>
      <c r="P82">
        <v>23146.20076433352</v>
      </c>
      <c r="Q82">
        <v>22105.500541684156</v>
      </c>
      <c r="R82">
        <v>21366.397925435649</v>
      </c>
      <c r="S82">
        <v>20230.911761615556</v>
      </c>
      <c r="T82">
        <v>19547.728422042397</v>
      </c>
      <c r="U82">
        <v>18565.685180750806</v>
      </c>
      <c r="V82">
        <v>17436.968727742988</v>
      </c>
      <c r="W82">
        <v>16281.201860303843</v>
      </c>
      <c r="X82">
        <v>15243.759008834304</v>
      </c>
      <c r="Y82">
        <v>14163.452751132083</v>
      </c>
      <c r="Z82">
        <v>13412.640810548512</v>
      </c>
      <c r="AA82">
        <v>12542.36262529996</v>
      </c>
      <c r="AB82">
        <v>11772.865959204957</v>
      </c>
      <c r="AC82">
        <v>11097.257108014222</v>
      </c>
      <c r="AD82">
        <v>10442.89758069241</v>
      </c>
      <c r="AE82">
        <v>9825.5544883677321</v>
      </c>
      <c r="AF82">
        <v>9224.4229129138002</v>
      </c>
      <c r="AG82">
        <v>8639.9041741486817</v>
      </c>
      <c r="AH82">
        <v>8104.9644301058379</v>
      </c>
      <c r="AI82">
        <v>7527.7451269090998</v>
      </c>
      <c r="AJ82">
        <v>7014.0188512257109</v>
      </c>
      <c r="AK82">
        <v>6514.1639376646681</v>
      </c>
      <c r="AL82">
        <v>5970.9176279946123</v>
      </c>
      <c r="AM82">
        <v>5495.1981818013755</v>
      </c>
      <c r="AN82">
        <v>5034.0387467091414</v>
      </c>
      <c r="AO82">
        <v>4522.2565178518016</v>
      </c>
      <c r="AP82">
        <v>4070.6295339495155</v>
      </c>
      <c r="AQ82">
        <v>3601.5319644570127</v>
      </c>
    </row>
    <row r="83" spans="7:43">
      <c r="G83" t="s">
        <v>115</v>
      </c>
      <c r="H83">
        <v>33909.294600698297</v>
      </c>
      <c r="I83">
        <v>32930.674912826878</v>
      </c>
      <c r="J83">
        <v>30994.70740899209</v>
      </c>
      <c r="K83">
        <v>28066.896614128204</v>
      </c>
      <c r="L83">
        <v>26448.277893700473</v>
      </c>
      <c r="M83">
        <v>25914.833712778549</v>
      </c>
      <c r="N83">
        <v>24441.599063183628</v>
      </c>
      <c r="O83">
        <v>23679.077611500525</v>
      </c>
      <c r="P83">
        <v>23254.208589448768</v>
      </c>
      <c r="Q83">
        <v>22219.132090361942</v>
      </c>
      <c r="R83">
        <v>21490.661628374091</v>
      </c>
      <c r="S83">
        <v>20320.56273294349</v>
      </c>
      <c r="T83">
        <v>19565.347099597166</v>
      </c>
      <c r="U83">
        <v>18540.703994148884</v>
      </c>
      <c r="V83">
        <v>17371.880045032889</v>
      </c>
      <c r="W83">
        <v>16162.731379978617</v>
      </c>
      <c r="X83">
        <v>15118.353671173883</v>
      </c>
      <c r="Y83">
        <v>14042.027959061052</v>
      </c>
      <c r="Z83">
        <v>13279.472101461788</v>
      </c>
      <c r="AA83">
        <v>12405.509996878554</v>
      </c>
      <c r="AB83">
        <v>11640.478756597358</v>
      </c>
      <c r="AC83">
        <v>11209.891657435042</v>
      </c>
      <c r="AD83">
        <v>10787.150870329622</v>
      </c>
      <c r="AE83">
        <v>10387.499588385426</v>
      </c>
      <c r="AF83">
        <v>9986.95014031143</v>
      </c>
      <c r="AG83">
        <v>9589.4656453618918</v>
      </c>
      <c r="AH83">
        <v>9205.7431948028716</v>
      </c>
      <c r="AI83">
        <v>8785.5480444462428</v>
      </c>
      <c r="AJ83">
        <v>8405.219806442803</v>
      </c>
      <c r="AK83">
        <v>8037.3126964583162</v>
      </c>
      <c r="AL83">
        <v>7622.3800311586701</v>
      </c>
      <c r="AM83">
        <v>7346.9767642316701</v>
      </c>
      <c r="AN83">
        <v>7084.4504079592871</v>
      </c>
      <c r="AO83">
        <v>6775.5309880061022</v>
      </c>
      <c r="AP83">
        <v>6510.404290368584</v>
      </c>
      <c r="AQ83">
        <v>6244.2552383879074</v>
      </c>
    </row>
    <row r="84" spans="7:43">
      <c r="G84" t="s">
        <v>113</v>
      </c>
      <c r="H84">
        <v>33909.294600698297</v>
      </c>
      <c r="I84">
        <v>32931.320525241179</v>
      </c>
      <c r="J84">
        <v>30995.963180157061</v>
      </c>
      <c r="K84">
        <v>28068.708958122763</v>
      </c>
      <c r="L84">
        <v>26450.636425723678</v>
      </c>
      <c r="M84">
        <v>25914.811955863959</v>
      </c>
      <c r="N84">
        <v>24438.527697552276</v>
      </c>
      <c r="O84">
        <v>23671.872384577338</v>
      </c>
      <c r="P84">
        <v>23242.865935598707</v>
      </c>
      <c r="Q84">
        <v>22201.452201371238</v>
      </c>
      <c r="R84">
        <v>21466.761717020239</v>
      </c>
      <c r="S84">
        <v>20327.441927303509</v>
      </c>
      <c r="T84">
        <v>19602.938716718552</v>
      </c>
      <c r="U84">
        <v>18602.867551843643</v>
      </c>
      <c r="V84">
        <v>17454.288205298948</v>
      </c>
      <c r="W84">
        <v>16260.204798972545</v>
      </c>
      <c r="X84">
        <v>15168.253082907369</v>
      </c>
      <c r="Y84">
        <v>14044.38766660592</v>
      </c>
      <c r="Z84">
        <v>13234.848274308633</v>
      </c>
      <c r="AA84">
        <v>12309.427362210759</v>
      </c>
      <c r="AB84">
        <v>11484.218194834411</v>
      </c>
      <c r="AC84">
        <v>11005.685631324128</v>
      </c>
      <c r="AD84">
        <v>10527.717823817689</v>
      </c>
      <c r="AE84">
        <v>9916.1343786941779</v>
      </c>
      <c r="AF84">
        <v>9293.2948845755709</v>
      </c>
      <c r="AG84">
        <v>8621.7985221465005</v>
      </c>
      <c r="AH84">
        <v>8095.2700848895092</v>
      </c>
      <c r="AI84">
        <v>7539.0391091891561</v>
      </c>
      <c r="AJ84">
        <v>7060.8402835131801</v>
      </c>
      <c r="AK84">
        <v>6656.4938365466778</v>
      </c>
      <c r="AL84">
        <v>6206.4430791004179</v>
      </c>
      <c r="AM84">
        <v>5827.1825347866152</v>
      </c>
      <c r="AN84">
        <v>5460.7401991228835</v>
      </c>
      <c r="AO84">
        <v>5046.6355102109819</v>
      </c>
      <c r="AP84">
        <v>4682.6186053719057</v>
      </c>
      <c r="AQ84">
        <v>4317.3948067766787</v>
      </c>
    </row>
  </sheetData>
  <mergeCells count="64">
    <mergeCell ref="B8:C8"/>
    <mergeCell ref="D8:E8"/>
    <mergeCell ref="J4:K4"/>
    <mergeCell ref="B7:C7"/>
    <mergeCell ref="D7:E7"/>
    <mergeCell ref="F7:G7"/>
    <mergeCell ref="H7:I7"/>
    <mergeCell ref="J7:K7"/>
    <mergeCell ref="F8:G8"/>
    <mergeCell ref="H8:I8"/>
    <mergeCell ref="D4:E4"/>
    <mergeCell ref="F4:G4"/>
    <mergeCell ref="H4:I4"/>
    <mergeCell ref="J6:K6"/>
    <mergeCell ref="L6:M6"/>
    <mergeCell ref="N6:O6"/>
    <mergeCell ref="J8:K8"/>
    <mergeCell ref="L8:M8"/>
    <mergeCell ref="N8:O8"/>
    <mergeCell ref="L7:M7"/>
    <mergeCell ref="N7:O7"/>
    <mergeCell ref="A3:A8"/>
    <mergeCell ref="B3:C4"/>
    <mergeCell ref="D3:I3"/>
    <mergeCell ref="L3:M4"/>
    <mergeCell ref="N3:O4"/>
    <mergeCell ref="B5:C5"/>
    <mergeCell ref="D5:E5"/>
    <mergeCell ref="F5:G5"/>
    <mergeCell ref="H5:I5"/>
    <mergeCell ref="J5:K5"/>
    <mergeCell ref="L5:M5"/>
    <mergeCell ref="N5:O5"/>
    <mergeCell ref="B6:C6"/>
    <mergeCell ref="D6:E6"/>
    <mergeCell ref="F6:G6"/>
    <mergeCell ref="H6:I6"/>
    <mergeCell ref="J16:K16"/>
    <mergeCell ref="B15:C15"/>
    <mergeCell ref="D15:E15"/>
    <mergeCell ref="F15:G15"/>
    <mergeCell ref="H15:I15"/>
    <mergeCell ref="J15:K15"/>
    <mergeCell ref="J12:K12"/>
    <mergeCell ref="H14:I14"/>
    <mergeCell ref="J14:K14"/>
    <mergeCell ref="B13:C13"/>
    <mergeCell ref="D13:E13"/>
    <mergeCell ref="F13:G13"/>
    <mergeCell ref="H13:I13"/>
    <mergeCell ref="J13:K13"/>
    <mergeCell ref="B14:C14"/>
    <mergeCell ref="D14:E14"/>
    <mergeCell ref="F14:G14"/>
    <mergeCell ref="A11:A16"/>
    <mergeCell ref="B11:C12"/>
    <mergeCell ref="D11:I11"/>
    <mergeCell ref="D12:E12"/>
    <mergeCell ref="F12:G12"/>
    <mergeCell ref="H12:I12"/>
    <mergeCell ref="B16:C16"/>
    <mergeCell ref="D16:E16"/>
    <mergeCell ref="F16:G16"/>
    <mergeCell ref="H16:I16"/>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E6449-D4CC-4564-AD0D-B9FA188B4ADF}">
  <sheetPr codeName="Sheet32">
    <tabColor theme="0" tint="-0.249977111117893"/>
  </sheetPr>
  <dimension ref="A2:AK72"/>
  <sheetViews>
    <sheetView topLeftCell="A54" workbookViewId="0"/>
  </sheetViews>
  <sheetFormatPr defaultRowHeight="15"/>
  <cols>
    <col min="2" max="2" width="15.85546875" customWidth="1"/>
    <col min="3" max="3" width="21.42578125" customWidth="1"/>
  </cols>
  <sheetData>
    <row r="2" spans="2:37" s="626" customFormat="1">
      <c r="B2" s="627" t="s">
        <v>338</v>
      </c>
    </row>
    <row r="4" spans="2:37" s="305" customFormat="1">
      <c r="B4" s="628" t="s">
        <v>339</v>
      </c>
    </row>
    <row r="6" spans="2:37">
      <c r="B6" s="35" t="s">
        <v>340</v>
      </c>
      <c r="D6" s="159"/>
      <c r="E6" s="159"/>
      <c r="F6" s="159"/>
      <c r="G6" s="159"/>
      <c r="H6" s="159"/>
      <c r="I6" s="159"/>
      <c r="J6" s="159"/>
      <c r="K6" s="159"/>
      <c r="L6" s="159"/>
      <c r="M6" s="159"/>
      <c r="N6" s="159"/>
      <c r="O6" s="159"/>
      <c r="P6" s="159"/>
      <c r="Q6" s="159"/>
      <c r="R6" s="159"/>
      <c r="S6" s="159"/>
      <c r="T6" s="159"/>
      <c r="U6" s="159"/>
      <c r="V6" s="159"/>
      <c r="W6" s="159"/>
      <c r="X6" s="159"/>
      <c r="Y6" s="159"/>
      <c r="Z6" s="159"/>
      <c r="AA6" s="159"/>
      <c r="AB6" s="159"/>
      <c r="AC6" s="159"/>
      <c r="AD6" s="159"/>
      <c r="AE6" s="159"/>
      <c r="AF6" s="159"/>
      <c r="AG6" s="159"/>
      <c r="AH6" s="159"/>
    </row>
    <row r="7" spans="2:37">
      <c r="B7" s="713" t="s">
        <v>341</v>
      </c>
      <c r="C7" t="s">
        <v>110</v>
      </c>
      <c r="D7" s="159">
        <v>17.319656446054115</v>
      </c>
      <c r="E7" s="159">
        <v>24.655018338157245</v>
      </c>
      <c r="F7" s="159">
        <v>30.679784863305958</v>
      </c>
      <c r="G7" s="159">
        <v>39.762398659518539</v>
      </c>
      <c r="H7" s="159">
        <v>47.513113492747785</v>
      </c>
      <c r="I7" s="159">
        <v>51.49169124192138</v>
      </c>
      <c r="J7" s="159">
        <v>50.609642479305535</v>
      </c>
      <c r="K7" s="159">
        <v>46.923226071333566</v>
      </c>
      <c r="L7" s="159">
        <v>42.370422578429846</v>
      </c>
      <c r="M7" s="159">
        <v>36.861107191271998</v>
      </c>
      <c r="N7" s="159">
        <v>31.621267922260543</v>
      </c>
      <c r="O7" s="159">
        <v>27.830562073003609</v>
      </c>
      <c r="P7" s="159">
        <v>25.093056839654881</v>
      </c>
      <c r="Q7" s="159">
        <v>23.107441820928816</v>
      </c>
      <c r="R7" s="159">
        <v>22.368153368182391</v>
      </c>
      <c r="S7" s="159">
        <v>21.372812565626692</v>
      </c>
      <c r="T7" s="159">
        <v>20.066177426752507</v>
      </c>
      <c r="U7" s="159">
        <v>18.001888771888069</v>
      </c>
      <c r="V7" s="159">
        <v>16.309939789161074</v>
      </c>
      <c r="W7" s="159">
        <v>14.759107974017834</v>
      </c>
      <c r="X7" s="159">
        <v>13.692792551018186</v>
      </c>
      <c r="Y7" s="159">
        <v>13.027560955071198</v>
      </c>
      <c r="Z7" s="159">
        <v>13.210551344950783</v>
      </c>
      <c r="AA7" s="159">
        <v>13.301689186066792</v>
      </c>
      <c r="AB7" s="159">
        <v>12.604736704000675</v>
      </c>
      <c r="AC7" s="159">
        <v>11.769919395388595</v>
      </c>
      <c r="AD7" s="159">
        <v>10.935926366882523</v>
      </c>
      <c r="AE7" s="159">
        <v>10.101992144536549</v>
      </c>
      <c r="AF7" s="159">
        <v>9.2489473311183481</v>
      </c>
      <c r="AG7" s="159">
        <v>9.1518523433113756</v>
      </c>
      <c r="AH7" s="159">
        <v>9.0515405176782373</v>
      </c>
    </row>
    <row r="8" spans="2:37">
      <c r="B8" s="713"/>
      <c r="C8" t="s">
        <v>112</v>
      </c>
      <c r="D8" s="159">
        <v>16.739304769692062</v>
      </c>
      <c r="E8" s="159">
        <v>23.536741035863546</v>
      </c>
      <c r="F8" s="159">
        <v>28.992648002851009</v>
      </c>
      <c r="G8" s="159">
        <v>37.037082609420956</v>
      </c>
      <c r="H8" s="159">
        <v>43.556868863578259</v>
      </c>
      <c r="I8" s="159">
        <v>46.283381953589554</v>
      </c>
      <c r="J8" s="159">
        <v>44.595291756602656</v>
      </c>
      <c r="K8" s="159">
        <v>40.259516240113697</v>
      </c>
      <c r="L8" s="159">
        <v>35.1640797065794</v>
      </c>
      <c r="M8" s="159">
        <v>29.135363696222665</v>
      </c>
      <c r="N8" s="159">
        <v>23.754165235272829</v>
      </c>
      <c r="O8" s="159">
        <v>19.477226263247886</v>
      </c>
      <c r="P8" s="159">
        <v>16.441425948158166</v>
      </c>
      <c r="Q8" s="159">
        <v>14.149498041729309</v>
      </c>
      <c r="R8" s="159">
        <v>13.278384244700405</v>
      </c>
      <c r="S8" s="159">
        <v>12.519581058325066</v>
      </c>
      <c r="T8" s="159">
        <v>11.977222688830906</v>
      </c>
      <c r="U8" s="159">
        <v>11.478930913387796</v>
      </c>
      <c r="V8" s="159">
        <v>11.47182944783879</v>
      </c>
      <c r="W8" s="159">
        <v>11.419297104828441</v>
      </c>
      <c r="X8" s="159">
        <v>11.328499063770657</v>
      </c>
      <c r="Y8" s="159">
        <v>11.276705516349029</v>
      </c>
      <c r="Z8" s="159">
        <v>11.139127872063423</v>
      </c>
      <c r="AA8" s="159">
        <v>10.895575808235581</v>
      </c>
      <c r="AB8" s="159">
        <v>9.9700249754348107</v>
      </c>
      <c r="AC8" s="159">
        <v>9.0088331524163401</v>
      </c>
      <c r="AD8" s="159">
        <v>7.9434631908283846</v>
      </c>
      <c r="AE8" s="159">
        <v>6.9488661532948113</v>
      </c>
      <c r="AF8" s="159">
        <v>5.9269999644510438</v>
      </c>
      <c r="AG8" s="159">
        <v>5.764984916421092</v>
      </c>
      <c r="AH8" s="159">
        <v>5.6289745704946688</v>
      </c>
    </row>
    <row r="9" spans="2:37">
      <c r="B9" s="713"/>
      <c r="C9" t="s">
        <v>342</v>
      </c>
      <c r="D9" s="159">
        <v>17.746599356058638</v>
      </c>
      <c r="E9" s="159">
        <v>25.48437348554668</v>
      </c>
      <c r="F9" s="159">
        <v>31.873100121112536</v>
      </c>
      <c r="G9" s="159">
        <v>41.696215022995247</v>
      </c>
      <c r="H9" s="159">
        <v>50.717177437044199</v>
      </c>
      <c r="I9" s="159">
        <v>55.693871138558379</v>
      </c>
      <c r="J9" s="159">
        <v>55.016292172224873</v>
      </c>
      <c r="K9" s="159">
        <v>51.439302361180623</v>
      </c>
      <c r="L9" s="159">
        <v>46.77673065777055</v>
      </c>
      <c r="M9" s="159">
        <v>40.714571768647801</v>
      </c>
      <c r="N9" s="159">
        <v>33.976430103648198</v>
      </c>
      <c r="O9" s="159">
        <v>28.444310130546778</v>
      </c>
      <c r="P9" s="159">
        <v>23.937883301337703</v>
      </c>
      <c r="Q9" s="159">
        <v>20.402527075623471</v>
      </c>
      <c r="R9" s="159">
        <v>17.796554619357309</v>
      </c>
      <c r="S9" s="159">
        <v>16.716772082416657</v>
      </c>
      <c r="T9" s="159">
        <v>16.651708481930449</v>
      </c>
      <c r="U9" s="159">
        <v>16.849366351227566</v>
      </c>
      <c r="V9" s="159">
        <v>17.223807133207039</v>
      </c>
      <c r="W9" s="159">
        <v>17.79149159177657</v>
      </c>
      <c r="X9" s="159">
        <v>18.239101337907321</v>
      </c>
      <c r="Y9" s="159">
        <v>18.284120892495739</v>
      </c>
      <c r="Z9" s="159">
        <v>18.167225011553334</v>
      </c>
      <c r="AA9" s="159">
        <v>17.917933988754172</v>
      </c>
      <c r="AB9" s="159">
        <v>16.102552426530966</v>
      </c>
      <c r="AC9" s="159">
        <v>13.795782599422932</v>
      </c>
      <c r="AD9" s="159">
        <v>11.398556100389627</v>
      </c>
      <c r="AE9" s="159">
        <v>8.9909585828599923</v>
      </c>
      <c r="AF9" s="159">
        <v>6.6510500993464614</v>
      </c>
      <c r="AG9" s="159">
        <v>5.8908027288934433</v>
      </c>
      <c r="AH9" s="159">
        <v>5.5069035032825138</v>
      </c>
    </row>
    <row r="10" spans="2:37">
      <c r="B10" s="713"/>
      <c r="C10" t="s">
        <v>343</v>
      </c>
      <c r="D10" s="159">
        <v>19.848804539240543</v>
      </c>
      <c r="E10" s="159">
        <v>28.698417050394887</v>
      </c>
      <c r="F10" s="159">
        <v>36.233039524797796</v>
      </c>
      <c r="G10" s="159">
        <v>48.341117628462456</v>
      </c>
      <c r="H10" s="159">
        <v>59.208295270782727</v>
      </c>
      <c r="I10" s="159">
        <v>65.094163199969444</v>
      </c>
      <c r="J10" s="159">
        <v>65.629078825628667</v>
      </c>
      <c r="K10" s="159">
        <v>62.759625063254646</v>
      </c>
      <c r="L10" s="159">
        <v>58.11697788254466</v>
      </c>
      <c r="M10" s="159">
        <v>46.302623869404748</v>
      </c>
      <c r="N10" s="159">
        <v>35.034822581898368</v>
      </c>
      <c r="O10" s="159">
        <v>25.146252631942886</v>
      </c>
      <c r="P10" s="159">
        <v>16.25502657315802</v>
      </c>
      <c r="Q10" s="159">
        <v>8.2862036349853287</v>
      </c>
      <c r="R10" s="159">
        <v>7.5484889244768123</v>
      </c>
      <c r="S10" s="159">
        <v>7.4261001858732829</v>
      </c>
      <c r="T10" s="159">
        <v>7.6929229655378606</v>
      </c>
      <c r="U10" s="159">
        <v>8.3990031759578798</v>
      </c>
      <c r="V10" s="159">
        <v>9.6875313903571474</v>
      </c>
      <c r="W10" s="159">
        <v>10.791203514027055</v>
      </c>
      <c r="X10" s="159">
        <v>11.459578871773468</v>
      </c>
      <c r="Y10" s="159">
        <v>11.833943016508481</v>
      </c>
      <c r="Z10" s="159">
        <v>11.891331350711219</v>
      </c>
      <c r="AA10" s="159">
        <v>11.536970846832325</v>
      </c>
      <c r="AB10" s="159">
        <v>10.003490591128489</v>
      </c>
      <c r="AC10" s="159">
        <v>8.4366884862555018</v>
      </c>
      <c r="AD10" s="159">
        <v>6.8679260159703794</v>
      </c>
      <c r="AE10" s="159">
        <v>5.2949562138004227</v>
      </c>
      <c r="AF10" s="159">
        <v>3.8099106903150552</v>
      </c>
      <c r="AG10" s="159">
        <v>3.6638501564102057</v>
      </c>
      <c r="AH10" s="159">
        <v>3.5393947857585641</v>
      </c>
    </row>
    <row r="12" spans="2:37">
      <c r="C12" s="92"/>
      <c r="AI12" s="35"/>
      <c r="AK12" s="35"/>
    </row>
    <row r="13" spans="2:37">
      <c r="B13" s="35"/>
      <c r="C13" s="35" t="s">
        <v>109</v>
      </c>
      <c r="D13" s="35">
        <v>2020</v>
      </c>
      <c r="E13" s="35">
        <v>2021</v>
      </c>
      <c r="F13" s="35">
        <v>2022</v>
      </c>
      <c r="G13" s="35">
        <v>2023</v>
      </c>
      <c r="H13" s="35">
        <v>2024</v>
      </c>
      <c r="I13" s="35">
        <v>2025</v>
      </c>
      <c r="J13" s="35">
        <v>2026</v>
      </c>
      <c r="K13" s="35">
        <v>2027</v>
      </c>
      <c r="L13" s="35">
        <v>2028</v>
      </c>
      <c r="M13" s="35">
        <v>2029</v>
      </c>
      <c r="N13" s="35">
        <v>2030</v>
      </c>
      <c r="O13" s="35">
        <v>2031</v>
      </c>
      <c r="P13" s="35">
        <v>2032</v>
      </c>
      <c r="Q13" s="35">
        <v>2033</v>
      </c>
      <c r="R13" s="35">
        <v>2034</v>
      </c>
      <c r="S13" s="35">
        <v>2035</v>
      </c>
      <c r="T13" s="35">
        <v>2036</v>
      </c>
      <c r="U13" s="35">
        <v>2037</v>
      </c>
      <c r="V13" s="35">
        <v>2038</v>
      </c>
      <c r="W13" s="35">
        <v>2039</v>
      </c>
      <c r="X13" s="35">
        <v>2040</v>
      </c>
      <c r="Y13" s="35">
        <v>2041</v>
      </c>
      <c r="Z13" s="35">
        <v>2042</v>
      </c>
      <c r="AA13" s="35">
        <v>2043</v>
      </c>
      <c r="AB13" s="35">
        <v>2044</v>
      </c>
      <c r="AC13" s="35">
        <v>2045</v>
      </c>
      <c r="AD13" s="35">
        <v>2046</v>
      </c>
      <c r="AE13" s="35">
        <v>2047</v>
      </c>
      <c r="AF13" s="35">
        <v>2048</v>
      </c>
      <c r="AG13" s="35">
        <v>2049</v>
      </c>
      <c r="AH13" s="35">
        <v>2050</v>
      </c>
    </row>
    <row r="14" spans="2:37">
      <c r="B14" t="s">
        <v>344</v>
      </c>
      <c r="C14" t="s">
        <v>345</v>
      </c>
      <c r="D14" s="159">
        <v>8.3566482398837874</v>
      </c>
      <c r="E14" s="159">
        <v>14.03482631586882</v>
      </c>
      <c r="F14" s="159">
        <v>18.591809237030688</v>
      </c>
      <c r="G14" s="159">
        <v>24.984144099615634</v>
      </c>
      <c r="H14" s="159">
        <v>29.959684843221396</v>
      </c>
      <c r="I14" s="159">
        <v>31.663930623833227</v>
      </c>
      <c r="J14" s="159">
        <v>29.006900514982664</v>
      </c>
      <c r="K14" s="159">
        <v>23.937573452500612</v>
      </c>
      <c r="L14" s="159">
        <v>18.326978706861507</v>
      </c>
      <c r="M14" s="159">
        <v>12.904547800025359</v>
      </c>
      <c r="N14" s="159">
        <v>8.2376345269084208</v>
      </c>
      <c r="O14" s="159">
        <v>5.1360638909807674</v>
      </c>
      <c r="P14" s="159">
        <v>3.2059486169169924</v>
      </c>
      <c r="Q14" s="159">
        <v>2.008286559671713</v>
      </c>
      <c r="R14" s="159">
        <v>1.3762659617560176</v>
      </c>
      <c r="S14" s="159">
        <v>0.83499537958868297</v>
      </c>
      <c r="T14" s="159">
        <v>0.38292019585556725</v>
      </c>
      <c r="U14" s="159">
        <v>2.1595027870864723E-2</v>
      </c>
      <c r="V14" s="159">
        <v>1.9089948455733068E-2</v>
      </c>
      <c r="W14" s="159">
        <v>1.7457922619716112E-2</v>
      </c>
      <c r="X14" s="159">
        <v>1.5825896783720376E-2</v>
      </c>
      <c r="Y14" s="159">
        <v>1.5748394541950459E-2</v>
      </c>
      <c r="Z14" s="159">
        <v>1.5670892300169933E-2</v>
      </c>
      <c r="AA14" s="159">
        <v>1.559339005840002E-2</v>
      </c>
      <c r="AB14" s="159">
        <v>1.5515887816640711E-2</v>
      </c>
      <c r="AC14" s="159">
        <v>1.5438385574860186E-2</v>
      </c>
      <c r="AD14" s="159">
        <v>1.5360883333090269E-2</v>
      </c>
      <c r="AE14" s="159">
        <v>1.5283381091320356E-2</v>
      </c>
      <c r="AF14" s="159">
        <v>1.520587884953983E-2</v>
      </c>
      <c r="AG14" s="159">
        <v>1.5167127728646916E-2</v>
      </c>
      <c r="AH14" s="159">
        <v>1.512837660777345E-2</v>
      </c>
      <c r="AK14" s="159"/>
    </row>
    <row r="15" spans="2:37">
      <c r="B15" s="639" t="s">
        <v>346</v>
      </c>
      <c r="C15" t="s">
        <v>110</v>
      </c>
      <c r="D15" s="159">
        <v>2.2948168852007638</v>
      </c>
      <c r="E15" s="159">
        <v>2.9962194660785002</v>
      </c>
      <c r="F15" s="159">
        <v>3.7877231767358523</v>
      </c>
      <c r="G15" s="159">
        <v>5.1918314133470931</v>
      </c>
      <c r="H15" s="159">
        <v>6.8259254192235446</v>
      </c>
      <c r="I15" s="159">
        <v>8.4298888934767113</v>
      </c>
      <c r="J15" s="159">
        <v>9.7842074532895342</v>
      </c>
      <c r="K15" s="159">
        <v>10.768661029264402</v>
      </c>
      <c r="L15" s="159">
        <v>11.508813677527865</v>
      </c>
      <c r="M15" s="159">
        <v>11.684758731376336</v>
      </c>
      <c r="N15" s="159">
        <v>11.49284054451652</v>
      </c>
      <c r="O15" s="159">
        <v>11.302891415086467</v>
      </c>
      <c r="P15" s="159">
        <v>11.112865814565279</v>
      </c>
      <c r="Q15" s="159">
        <v>11.000455486712763</v>
      </c>
      <c r="R15" s="159">
        <v>11.081051784711736</v>
      </c>
      <c r="S15" s="159">
        <v>10.814845717153069</v>
      </c>
      <c r="T15" s="159">
        <v>10.148149914841706</v>
      </c>
      <c r="U15" s="159">
        <v>8.6330505807916857</v>
      </c>
      <c r="V15" s="159">
        <v>7.1314708303095218</v>
      </c>
      <c r="W15" s="159">
        <v>5.7701351938319849</v>
      </c>
      <c r="X15" s="159">
        <v>4.8933159494980298</v>
      </c>
      <c r="Y15" s="159">
        <v>4.4160260086224961</v>
      </c>
      <c r="Z15" s="159">
        <v>4.7869580535735494</v>
      </c>
      <c r="AA15" s="159">
        <v>5.0660375497609973</v>
      </c>
      <c r="AB15" s="159">
        <v>5.1088604467077383</v>
      </c>
      <c r="AC15" s="159">
        <v>5.0137456865426229</v>
      </c>
      <c r="AD15" s="159">
        <v>4.9193823759175563</v>
      </c>
      <c r="AE15" s="159">
        <v>4.8250050408866354</v>
      </c>
      <c r="AF15" s="159">
        <v>4.7114442842176043</v>
      </c>
      <c r="AG15" s="159">
        <v>4.7081380475315431</v>
      </c>
      <c r="AH15" s="159">
        <v>4.7016149730192787</v>
      </c>
      <c r="AK15" s="159"/>
    </row>
    <row r="16" spans="2:37">
      <c r="B16" s="639" t="s">
        <v>346</v>
      </c>
      <c r="C16" t="s">
        <v>112</v>
      </c>
      <c r="D16" s="159">
        <v>1.7144652088387116</v>
      </c>
      <c r="E16" s="159">
        <v>1.8779421637848039</v>
      </c>
      <c r="F16" s="159">
        <v>2.1005863162809053</v>
      </c>
      <c r="G16" s="159">
        <v>2.4665153632495134</v>
      </c>
      <c r="H16" s="159">
        <v>2.8696807900540175</v>
      </c>
      <c r="I16" s="159">
        <v>3.2215796051448833</v>
      </c>
      <c r="J16" s="159">
        <v>3.7698567305866595</v>
      </c>
      <c r="K16" s="159">
        <v>4.1049511980445317</v>
      </c>
      <c r="L16" s="159">
        <v>4.3024708056774212</v>
      </c>
      <c r="M16" s="159">
        <v>3.9590152363270037</v>
      </c>
      <c r="N16" s="159">
        <v>3.6257378575288017</v>
      </c>
      <c r="O16" s="159">
        <v>2.9495556053307492</v>
      </c>
      <c r="P16" s="159">
        <v>2.4612349230685626</v>
      </c>
      <c r="Q16" s="159">
        <v>2.0425117075132571</v>
      </c>
      <c r="R16" s="159">
        <v>1.9912826612297494</v>
      </c>
      <c r="S16" s="159">
        <v>1.961614209851446</v>
      </c>
      <c r="T16" s="159">
        <v>2.0591951769201069</v>
      </c>
      <c r="U16" s="159">
        <v>2.1100927222914132</v>
      </c>
      <c r="V16" s="159">
        <v>2.2933604889872372</v>
      </c>
      <c r="W16" s="159">
        <v>2.4303243246425934</v>
      </c>
      <c r="X16" s="159">
        <v>2.5290224622505004</v>
      </c>
      <c r="Y16" s="159">
        <v>2.6651705699003267</v>
      </c>
      <c r="Z16" s="159">
        <v>2.7155345806861884</v>
      </c>
      <c r="AA16" s="159">
        <v>2.6599241719297888</v>
      </c>
      <c r="AB16" s="159">
        <v>2.4741487181418735</v>
      </c>
      <c r="AC16" s="159">
        <v>2.2526594435703684</v>
      </c>
      <c r="AD16" s="159">
        <v>1.9269191998634188</v>
      </c>
      <c r="AE16" s="159">
        <v>1.6718790496448963</v>
      </c>
      <c r="AF16" s="159">
        <v>1.3894969175503011</v>
      </c>
      <c r="AG16" s="159">
        <v>1.3212706206412594</v>
      </c>
      <c r="AH16" s="159">
        <v>1.279049025835709</v>
      </c>
      <c r="AK16" s="159"/>
    </row>
    <row r="17" spans="1:37">
      <c r="B17" s="639" t="s">
        <v>346</v>
      </c>
      <c r="C17" t="s">
        <v>342</v>
      </c>
      <c r="D17" s="159">
        <v>2.544675707567992</v>
      </c>
      <c r="E17" s="159">
        <v>3.6485297585865943</v>
      </c>
      <c r="F17" s="159">
        <v>4.8040328124170459</v>
      </c>
      <c r="G17" s="159">
        <v>6.9489298615754382</v>
      </c>
      <c r="H17" s="159">
        <v>9.2408120293520959</v>
      </c>
      <c r="I17" s="159">
        <v>11.230531022762936</v>
      </c>
      <c r="J17" s="159">
        <v>12.177057931411774</v>
      </c>
      <c r="K17" s="159">
        <v>12.658775642604597</v>
      </c>
      <c r="L17" s="159">
        <v>12.676887363023427</v>
      </c>
      <c r="M17" s="159">
        <v>12.100379489603132</v>
      </c>
      <c r="N17" s="159">
        <v>10.210580733018784</v>
      </c>
      <c r="O17" s="159">
        <v>8.0796705575753407</v>
      </c>
      <c r="P17" s="159">
        <v>5.9212076905923823</v>
      </c>
      <c r="Q17" s="159">
        <v>4.0595717367177651</v>
      </c>
      <c r="R17" s="159">
        <v>2.2742136832292177</v>
      </c>
      <c r="S17" s="159">
        <v>1.9242955333178187</v>
      </c>
      <c r="T17" s="159">
        <v>2.4999009214266534</v>
      </c>
      <c r="U17" s="159">
        <v>3.2474777635704064</v>
      </c>
      <c r="V17" s="159">
        <v>3.8130174298269344</v>
      </c>
      <c r="W17" s="159">
        <v>4.5709277190943896</v>
      </c>
      <c r="X17" s="159">
        <v>5.2087632959230588</v>
      </c>
      <c r="Y17" s="159">
        <v>5.4424541576151455</v>
      </c>
      <c r="Z17" s="159">
        <v>5.5142295837764301</v>
      </c>
      <c r="AA17" s="159">
        <v>5.4536098680809229</v>
      </c>
      <c r="AB17" s="159">
        <v>5.224030042556957</v>
      </c>
      <c r="AC17" s="159">
        <v>4.502843191175816</v>
      </c>
      <c r="AD17" s="159">
        <v>3.6909809068970105</v>
      </c>
      <c r="AE17" s="159">
        <v>2.8685288431494755</v>
      </c>
      <c r="AF17" s="159">
        <v>2.1135470524457185</v>
      </c>
      <c r="AG17" s="159">
        <v>1.4470884331136111</v>
      </c>
      <c r="AH17" s="159">
        <v>1.1569779586235536</v>
      </c>
      <c r="AK17" s="159"/>
    </row>
    <row r="18" spans="1:37">
      <c r="B18" s="639" t="s">
        <v>346</v>
      </c>
      <c r="C18" t="s">
        <v>343</v>
      </c>
      <c r="D18" s="159">
        <v>4.3304214185629304</v>
      </c>
      <c r="E18" s="159">
        <v>6.4032245855143497</v>
      </c>
      <c r="F18" s="159">
        <v>8.4145658928140019</v>
      </c>
      <c r="G18" s="159">
        <v>12.192055573577573</v>
      </c>
      <c r="H18" s="159">
        <v>15.505460529065919</v>
      </c>
      <c r="I18" s="159">
        <v>17.674758492650522</v>
      </c>
      <c r="J18" s="159">
        <v>19.072546492332002</v>
      </c>
      <c r="K18" s="159">
        <v>19.657638234454868</v>
      </c>
      <c r="L18" s="159">
        <v>19.318248579824957</v>
      </c>
      <c r="M18" s="159">
        <v>15.742088305545398</v>
      </c>
      <c r="N18" s="159">
        <v>12.079008531866387</v>
      </c>
      <c r="O18" s="159">
        <v>8.4124189433999259</v>
      </c>
      <c r="P18" s="159">
        <v>4.7369611924077422</v>
      </c>
      <c r="Q18" s="159">
        <v>1.3529170753136162</v>
      </c>
      <c r="R18" s="159">
        <v>1.4347229627207949</v>
      </c>
      <c r="S18" s="159">
        <v>2.0411048062845998</v>
      </c>
      <c r="T18" s="159">
        <v>2.9475027696822931</v>
      </c>
      <c r="U18" s="159">
        <v>4.2024081480870148</v>
      </c>
      <c r="V18" s="159">
        <v>5.6809414419014157</v>
      </c>
      <c r="W18" s="159">
        <v>6.9737455914073392</v>
      </c>
      <c r="X18" s="159">
        <v>7.8312529749897477</v>
      </c>
      <c r="Y18" s="159">
        <v>8.3931946219665328</v>
      </c>
      <c r="Z18" s="159">
        <v>8.6381604584110505</v>
      </c>
      <c r="AA18" s="159">
        <v>8.4713774567739257</v>
      </c>
      <c r="AB18" s="159">
        <v>7.1254747033118502</v>
      </c>
      <c r="AC18" s="159">
        <v>5.7462501006806415</v>
      </c>
      <c r="AD18" s="159">
        <v>4.3650651326372891</v>
      </c>
      <c r="AE18" s="159">
        <v>2.9796728327091024</v>
      </c>
      <c r="AF18" s="159">
        <v>1.6822048114655157</v>
      </c>
      <c r="AG18" s="159">
        <v>1.6299330286815588</v>
      </c>
      <c r="AH18" s="159">
        <v>1.5992664091507909</v>
      </c>
    </row>
    <row r="19" spans="1:37">
      <c r="A19" s="35"/>
      <c r="B19" s="639" t="s">
        <v>347</v>
      </c>
      <c r="C19" t="s">
        <v>110</v>
      </c>
      <c r="D19" s="159">
        <v>4.1681913209695631</v>
      </c>
      <c r="E19" s="159">
        <v>4.4989725562099236</v>
      </c>
      <c r="F19" s="159">
        <v>4.7777524495394177</v>
      </c>
      <c r="G19" s="159">
        <v>5.2689231465558102</v>
      </c>
      <c r="H19" s="159">
        <v>5.8425032303028468</v>
      </c>
      <c r="I19" s="159">
        <v>6.1728717246114417</v>
      </c>
      <c r="J19" s="159">
        <v>6.4810345110333341</v>
      </c>
      <c r="K19" s="159">
        <v>6.7669915895685504</v>
      </c>
      <c r="L19" s="159">
        <v>7.0321301940404783</v>
      </c>
      <c r="M19" s="159">
        <v>6.7768006598703012</v>
      </c>
      <c r="N19" s="159">
        <v>6.463292850835602</v>
      </c>
      <c r="O19" s="159">
        <v>6.0916067669363709</v>
      </c>
      <c r="P19" s="159">
        <v>5.6617424081726124</v>
      </c>
      <c r="Q19" s="159">
        <v>5.1736997745443389</v>
      </c>
      <c r="R19" s="159">
        <v>5.1733356217146378</v>
      </c>
      <c r="S19" s="159">
        <v>5.1729714688849384</v>
      </c>
      <c r="T19" s="159">
        <v>5.1726073160552328</v>
      </c>
      <c r="U19" s="159">
        <v>5.1722431632255184</v>
      </c>
      <c r="V19" s="159">
        <v>5.1718790103958181</v>
      </c>
      <c r="W19" s="159">
        <v>5.1715148575661321</v>
      </c>
      <c r="X19" s="159">
        <v>5.1711507047364353</v>
      </c>
      <c r="Y19" s="159">
        <v>5.1707865519067511</v>
      </c>
      <c r="Z19" s="159">
        <v>5.170422399077065</v>
      </c>
      <c r="AA19" s="159">
        <v>5.1700582462473932</v>
      </c>
      <c r="AB19" s="159">
        <v>4.6178603694762952</v>
      </c>
      <c r="AC19" s="159">
        <v>4.0657353232711113</v>
      </c>
      <c r="AD19" s="159">
        <v>3.5136831076318762</v>
      </c>
      <c r="AE19" s="159">
        <v>2.9617037225585947</v>
      </c>
      <c r="AF19" s="159">
        <v>2.4097971680512034</v>
      </c>
      <c r="AG19" s="159">
        <v>2.4097971680511856</v>
      </c>
      <c r="AH19" s="159">
        <v>2.4097971680511865</v>
      </c>
    </row>
    <row r="20" spans="1:37">
      <c r="B20" s="639" t="s">
        <v>347</v>
      </c>
      <c r="C20" t="s">
        <v>112</v>
      </c>
      <c r="D20" s="159">
        <v>4.1681913209695631</v>
      </c>
      <c r="E20" s="159">
        <v>4.4989725562099236</v>
      </c>
      <c r="F20" s="159">
        <v>4.7777524495394177</v>
      </c>
      <c r="G20" s="159">
        <v>5.2689231465558102</v>
      </c>
      <c r="H20" s="159">
        <v>5.8425032303028468</v>
      </c>
      <c r="I20" s="159">
        <v>6.1728717246114417</v>
      </c>
      <c r="J20" s="159">
        <v>6.4810345110333341</v>
      </c>
      <c r="K20" s="159">
        <v>6.7669915895685504</v>
      </c>
      <c r="L20" s="159">
        <v>7.0321301940404783</v>
      </c>
      <c r="M20" s="159">
        <v>6.7768006598703012</v>
      </c>
      <c r="N20" s="159">
        <v>6.463292850835602</v>
      </c>
      <c r="O20" s="159">
        <v>6.0916067669363709</v>
      </c>
      <c r="P20" s="159">
        <v>5.6617424081726124</v>
      </c>
      <c r="Q20" s="159">
        <v>5.1736997745443389</v>
      </c>
      <c r="R20" s="159">
        <v>5.1733356217146378</v>
      </c>
      <c r="S20" s="159">
        <v>5.1729714688849384</v>
      </c>
      <c r="T20" s="159">
        <v>5.1726073160552328</v>
      </c>
      <c r="U20" s="159">
        <v>5.1722431632255184</v>
      </c>
      <c r="V20" s="159">
        <v>5.1718790103958181</v>
      </c>
      <c r="W20" s="159">
        <v>5.1715148575661321</v>
      </c>
      <c r="X20" s="159">
        <v>5.1711507047364353</v>
      </c>
      <c r="Y20" s="159">
        <v>5.1707865519067511</v>
      </c>
      <c r="Z20" s="159">
        <v>5.170422399077065</v>
      </c>
      <c r="AA20" s="159">
        <v>5.1700582462473932</v>
      </c>
      <c r="AB20" s="159">
        <v>4.6178603694762952</v>
      </c>
      <c r="AC20" s="159">
        <v>4.0657353232711113</v>
      </c>
      <c r="AD20" s="159">
        <v>3.5136831076318762</v>
      </c>
      <c r="AE20" s="159">
        <v>2.9617037225585947</v>
      </c>
      <c r="AF20" s="159">
        <v>2.4097971680512034</v>
      </c>
      <c r="AG20" s="159">
        <v>2.4097971680511856</v>
      </c>
      <c r="AH20" s="159">
        <v>2.4097971680511865</v>
      </c>
    </row>
    <row r="21" spans="1:37">
      <c r="B21" s="639" t="s">
        <v>347</v>
      </c>
      <c r="C21" t="s">
        <v>342</v>
      </c>
      <c r="D21" s="159">
        <v>4.3452754086068612</v>
      </c>
      <c r="E21" s="159">
        <v>4.6760174110912649</v>
      </c>
      <c r="F21" s="159">
        <v>4.9547580716648012</v>
      </c>
      <c r="G21" s="159">
        <v>5.4456410618041771</v>
      </c>
      <c r="H21" s="159">
        <v>6.6316805644707033</v>
      </c>
      <c r="I21" s="159">
        <v>7.5744094919622116</v>
      </c>
      <c r="J21" s="159">
        <v>8.4948337258304356</v>
      </c>
      <c r="K21" s="159">
        <v>9.3929532660754091</v>
      </c>
      <c r="L21" s="159">
        <v>10.270364587885615</v>
      </c>
      <c r="M21" s="159">
        <v>10.214644479019311</v>
      </c>
      <c r="N21" s="159">
        <v>10.100714843720997</v>
      </c>
      <c r="O21" s="159">
        <v>9.9285756819906688</v>
      </c>
      <c r="P21" s="159">
        <v>9.6982269938283299</v>
      </c>
      <c r="Q21" s="159">
        <v>9.4096687792339928</v>
      </c>
      <c r="R21" s="159">
        <v>9.4085749743720726</v>
      </c>
      <c r="S21" s="159">
        <v>9.4074811695101559</v>
      </c>
      <c r="T21" s="159">
        <v>9.4063873646482286</v>
      </c>
      <c r="U21" s="159">
        <v>9.4052935597862959</v>
      </c>
      <c r="V21" s="159">
        <v>9.4041997549243721</v>
      </c>
      <c r="W21" s="159">
        <v>9.4031059500624643</v>
      </c>
      <c r="X21" s="159">
        <v>9.4020121452005405</v>
      </c>
      <c r="Y21" s="159">
        <v>9.4009183403386434</v>
      </c>
      <c r="Z21" s="159">
        <v>9.3998245354767356</v>
      </c>
      <c r="AA21" s="159">
        <v>9.3987307306148473</v>
      </c>
      <c r="AB21" s="159">
        <v>8.0005064961573691</v>
      </c>
      <c r="AC21" s="159">
        <v>6.6025010226722545</v>
      </c>
      <c r="AD21" s="159">
        <v>5.2047143101595239</v>
      </c>
      <c r="AE21" s="159">
        <v>3.8071463586191974</v>
      </c>
      <c r="AF21" s="159">
        <v>2.4097971680512034</v>
      </c>
      <c r="AG21" s="159">
        <v>2.4097971680511856</v>
      </c>
      <c r="AH21" s="159">
        <v>2.4097971680511865</v>
      </c>
    </row>
    <row r="22" spans="1:37">
      <c r="B22" s="639" t="s">
        <v>347</v>
      </c>
      <c r="C22" t="s">
        <v>343</v>
      </c>
      <c r="D22" s="159">
        <v>4.6617348807938255</v>
      </c>
      <c r="E22" s="159">
        <v>5.135366149011718</v>
      </c>
      <c r="F22" s="159">
        <v>5.7041643949531036</v>
      </c>
      <c r="G22" s="159">
        <v>6.8474179552692451</v>
      </c>
      <c r="H22" s="159">
        <v>8.8581498984954141</v>
      </c>
      <c r="I22" s="159">
        <v>10.530474083485698</v>
      </c>
      <c r="J22" s="159">
        <v>12.212131818313988</v>
      </c>
      <c r="K22" s="159">
        <v>13.714413376299166</v>
      </c>
      <c r="L22" s="159">
        <v>14.969250595858195</v>
      </c>
      <c r="M22" s="159">
        <v>12.16098776383399</v>
      </c>
      <c r="N22" s="159">
        <v>9.2906795231235613</v>
      </c>
      <c r="O22" s="159">
        <v>6.297769797562192</v>
      </c>
      <c r="P22" s="159">
        <v>3.1996167638332853</v>
      </c>
      <c r="Q22" s="159">
        <v>0</v>
      </c>
      <c r="R22" s="159">
        <v>0</v>
      </c>
      <c r="S22" s="159">
        <v>0</v>
      </c>
      <c r="T22" s="159">
        <v>0</v>
      </c>
      <c r="U22" s="159">
        <v>0</v>
      </c>
      <c r="V22" s="159">
        <v>0</v>
      </c>
      <c r="W22" s="159">
        <v>0</v>
      </c>
      <c r="X22" s="159">
        <v>0</v>
      </c>
      <c r="Y22" s="159">
        <v>0</v>
      </c>
      <c r="Z22" s="159">
        <v>0</v>
      </c>
      <c r="AA22" s="159">
        <v>0</v>
      </c>
      <c r="AB22" s="159">
        <v>0</v>
      </c>
      <c r="AC22" s="159">
        <v>0</v>
      </c>
      <c r="AD22" s="159">
        <v>0</v>
      </c>
      <c r="AE22" s="159">
        <v>0</v>
      </c>
      <c r="AF22" s="159">
        <v>0</v>
      </c>
      <c r="AG22" s="159">
        <v>0</v>
      </c>
      <c r="AH22" s="159">
        <v>0</v>
      </c>
    </row>
    <row r="23" spans="1:37">
      <c r="B23" s="639" t="s">
        <v>348</v>
      </c>
      <c r="C23" t="s">
        <v>112</v>
      </c>
      <c r="D23" s="159">
        <v>0</v>
      </c>
      <c r="E23" s="159">
        <v>0</v>
      </c>
      <c r="F23" s="159">
        <v>0</v>
      </c>
      <c r="G23" s="159">
        <v>0</v>
      </c>
      <c r="H23" s="159">
        <v>0</v>
      </c>
      <c r="I23" s="159">
        <v>0</v>
      </c>
      <c r="J23" s="159">
        <v>0</v>
      </c>
      <c r="K23" s="159">
        <v>0</v>
      </c>
      <c r="L23" s="159">
        <v>0</v>
      </c>
      <c r="M23" s="159">
        <v>0</v>
      </c>
      <c r="N23" s="159">
        <v>5.3076241777765674E-2</v>
      </c>
      <c r="O23" s="159">
        <v>0.10241223375835933</v>
      </c>
      <c r="P23" s="159">
        <v>0.14845494511331969</v>
      </c>
      <c r="Q23" s="159">
        <v>0.18952431928518276</v>
      </c>
      <c r="R23" s="159">
        <v>0.26873865198562419</v>
      </c>
      <c r="S23" s="159">
        <v>0.28648239850985951</v>
      </c>
      <c r="T23" s="159">
        <v>0.2994951784739972</v>
      </c>
      <c r="U23" s="159">
        <v>0.71954121813630878</v>
      </c>
      <c r="V23" s="159">
        <v>1.0197960705939531</v>
      </c>
      <c r="W23" s="159">
        <v>1.2358352385808775</v>
      </c>
      <c r="X23" s="159">
        <v>1.4150811105740746</v>
      </c>
      <c r="Y23" s="159">
        <v>1.5582509780946947</v>
      </c>
      <c r="Z23" s="159">
        <v>1.0921622270774232</v>
      </c>
      <c r="AA23" s="159">
        <v>1.0576036096020038</v>
      </c>
      <c r="AB23" s="159">
        <v>0.99287447658516292</v>
      </c>
      <c r="AC23" s="159">
        <v>1.1265379586852986</v>
      </c>
      <c r="AD23" s="159">
        <v>1.2971889740490883</v>
      </c>
      <c r="AE23" s="159">
        <v>1.6658678315639073</v>
      </c>
      <c r="AF23" s="159">
        <v>1.7199868600028414</v>
      </c>
      <c r="AG23" s="159">
        <v>1.8618281154153955</v>
      </c>
      <c r="AH23" s="159">
        <v>1.8428885832283042</v>
      </c>
    </row>
    <row r="24" spans="1:37">
      <c r="B24" s="639" t="s">
        <v>348</v>
      </c>
      <c r="C24" t="s">
        <v>343</v>
      </c>
      <c r="D24" s="159">
        <v>0</v>
      </c>
      <c r="E24" s="159">
        <v>0</v>
      </c>
      <c r="F24" s="159">
        <v>0</v>
      </c>
      <c r="G24" s="159">
        <v>0</v>
      </c>
      <c r="H24" s="159">
        <v>0</v>
      </c>
      <c r="I24" s="159">
        <v>0</v>
      </c>
      <c r="J24" s="159">
        <v>0</v>
      </c>
      <c r="K24" s="159">
        <v>0</v>
      </c>
      <c r="L24" s="159">
        <v>0</v>
      </c>
      <c r="M24" s="159">
        <v>0</v>
      </c>
      <c r="N24" s="159">
        <v>0</v>
      </c>
      <c r="O24" s="159">
        <v>0</v>
      </c>
      <c r="P24" s="159">
        <v>0</v>
      </c>
      <c r="Q24" s="159">
        <v>0</v>
      </c>
      <c r="R24" s="159">
        <v>0</v>
      </c>
      <c r="S24" s="159">
        <v>0</v>
      </c>
      <c r="T24" s="159">
        <v>0</v>
      </c>
      <c r="U24" s="159">
        <v>0</v>
      </c>
      <c r="V24" s="159">
        <v>0</v>
      </c>
      <c r="W24" s="159">
        <v>0</v>
      </c>
      <c r="X24" s="159">
        <v>0</v>
      </c>
      <c r="Y24" s="159">
        <v>0</v>
      </c>
      <c r="Z24" s="159">
        <v>0</v>
      </c>
      <c r="AA24" s="159">
        <v>0</v>
      </c>
      <c r="AB24" s="159">
        <v>0</v>
      </c>
      <c r="AC24" s="159">
        <v>0</v>
      </c>
      <c r="AD24" s="159">
        <v>0</v>
      </c>
      <c r="AE24" s="159">
        <v>0</v>
      </c>
      <c r="AF24" s="159">
        <v>0</v>
      </c>
      <c r="AG24" s="159">
        <v>0</v>
      </c>
      <c r="AH24" s="159">
        <v>0</v>
      </c>
    </row>
    <row r="25" spans="1:37">
      <c r="B25" s="629" t="s">
        <v>349</v>
      </c>
      <c r="C25" t="s">
        <v>345</v>
      </c>
      <c r="D25" s="159">
        <v>2.5</v>
      </c>
      <c r="E25" s="159">
        <v>3.125</v>
      </c>
      <c r="F25" s="159">
        <v>3.5225</v>
      </c>
      <c r="G25" s="159">
        <v>4.3174999999999999</v>
      </c>
      <c r="H25" s="159">
        <v>4.8849999999999998</v>
      </c>
      <c r="I25" s="159">
        <v>5.2249999999999996</v>
      </c>
      <c r="J25" s="159">
        <v>5.3375000000000004</v>
      </c>
      <c r="K25" s="159">
        <v>5.45</v>
      </c>
      <c r="L25" s="159">
        <v>5.5025000000000004</v>
      </c>
      <c r="M25" s="159">
        <v>5.4950000000000001</v>
      </c>
      <c r="N25" s="159">
        <v>5.4275000000000002</v>
      </c>
      <c r="O25" s="159">
        <v>5.3</v>
      </c>
      <c r="P25" s="159">
        <v>5.1124999999999998</v>
      </c>
      <c r="Q25" s="159">
        <v>4.9249999999999998</v>
      </c>
      <c r="R25" s="159">
        <v>4.7374999999999998</v>
      </c>
      <c r="S25" s="159">
        <v>4.55</v>
      </c>
      <c r="T25" s="159">
        <v>4.3624999999999998</v>
      </c>
      <c r="U25" s="159">
        <v>4.1749999999999998</v>
      </c>
      <c r="V25" s="159">
        <v>3.9874999999999998</v>
      </c>
      <c r="W25" s="159">
        <v>3.8</v>
      </c>
      <c r="X25" s="159">
        <v>3.6124999999999998</v>
      </c>
      <c r="Y25" s="159">
        <v>3.4249999999999998</v>
      </c>
      <c r="Z25" s="159">
        <v>3.2374999999999998</v>
      </c>
      <c r="AA25" s="159">
        <v>3.05</v>
      </c>
      <c r="AB25" s="159">
        <v>2.8624999999999998</v>
      </c>
      <c r="AC25" s="159">
        <v>2.6749999999999998</v>
      </c>
      <c r="AD25" s="159">
        <v>2.4874999999999998</v>
      </c>
      <c r="AE25" s="159">
        <v>2.2999999999999998</v>
      </c>
      <c r="AF25" s="159">
        <v>2.1124999999999998</v>
      </c>
      <c r="AG25" s="159">
        <v>2.0187499999999998</v>
      </c>
      <c r="AH25" s="159">
        <v>1.9249999999999998</v>
      </c>
    </row>
    <row r="26" spans="1:37">
      <c r="B26" s="629"/>
      <c r="D26" s="159"/>
      <c r="E26" s="159"/>
      <c r="F26" s="159"/>
      <c r="G26" s="159"/>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row>
    <row r="27" spans="1:37">
      <c r="B27" s="35" t="s">
        <v>350</v>
      </c>
      <c r="D27" s="35">
        <v>2020</v>
      </c>
      <c r="E27" s="35">
        <v>2021</v>
      </c>
      <c r="F27" s="35">
        <v>2022</v>
      </c>
      <c r="G27" s="35">
        <v>2023</v>
      </c>
      <c r="H27" s="35">
        <v>2024</v>
      </c>
      <c r="I27" s="35">
        <v>2025</v>
      </c>
      <c r="J27" s="35">
        <v>2026</v>
      </c>
      <c r="K27" s="35">
        <v>2027</v>
      </c>
      <c r="L27" s="35">
        <v>2028</v>
      </c>
      <c r="M27" s="35">
        <v>2029</v>
      </c>
      <c r="N27" s="35">
        <v>2030</v>
      </c>
      <c r="O27" s="35">
        <v>2031</v>
      </c>
      <c r="P27" s="35">
        <v>2032</v>
      </c>
      <c r="Q27" s="35">
        <v>2033</v>
      </c>
      <c r="R27" s="35">
        <v>2034</v>
      </c>
      <c r="S27" s="35">
        <v>2035</v>
      </c>
      <c r="T27" s="35">
        <v>2036</v>
      </c>
      <c r="U27" s="35">
        <v>2037</v>
      </c>
      <c r="V27" s="35">
        <v>2038</v>
      </c>
      <c r="W27" s="35">
        <v>2039</v>
      </c>
      <c r="X27" s="35">
        <v>2040</v>
      </c>
      <c r="Y27" s="35">
        <v>2041</v>
      </c>
      <c r="Z27" s="35">
        <v>2042</v>
      </c>
      <c r="AA27" s="35">
        <v>2043</v>
      </c>
      <c r="AB27" s="35">
        <v>2044</v>
      </c>
      <c r="AC27" s="35">
        <v>2045</v>
      </c>
      <c r="AD27" s="35">
        <v>2046</v>
      </c>
      <c r="AE27" s="35">
        <v>2047</v>
      </c>
      <c r="AF27" s="35">
        <v>2048</v>
      </c>
      <c r="AG27" s="35">
        <v>2049</v>
      </c>
      <c r="AH27" s="35">
        <v>2050</v>
      </c>
    </row>
    <row r="28" spans="1:37">
      <c r="B28" t="s">
        <v>345</v>
      </c>
      <c r="C28" t="s">
        <v>344</v>
      </c>
      <c r="D28" s="159" cm="1">
        <f t="array" ref="D28">SUMPRODUCT(D$14:D$25,--($B$14:$B$25=$C28),--($C$14:$C$25=$B28))</f>
        <v>8.3566482398837874</v>
      </c>
      <c r="E28" s="159" cm="1">
        <f t="array" ref="E28">SUMPRODUCT(E$14:E$25,--($B$14:$B$25=$C28),--($C$14:$C$25=$B28))</f>
        <v>14.03482631586882</v>
      </c>
      <c r="F28" s="159" cm="1">
        <f t="array" ref="F28">SUMPRODUCT(F$14:F$25,--($B$14:$B$25=$C28),--($C$14:$C$25=$B28))</f>
        <v>18.591809237030688</v>
      </c>
      <c r="G28" s="159" cm="1">
        <f t="array" ref="G28">SUMPRODUCT(G$14:G$25,--($B$14:$B$25=$C28),--($C$14:$C$25=$B28))</f>
        <v>24.984144099615634</v>
      </c>
      <c r="H28" s="159" cm="1">
        <f t="array" ref="H28">SUMPRODUCT(H$14:H$25,--($B$14:$B$25=$C28),--($C$14:$C$25=$B28))</f>
        <v>29.959684843221396</v>
      </c>
      <c r="I28" s="159" cm="1">
        <f t="array" ref="I28">SUMPRODUCT(I$14:I$25,--($B$14:$B$25=$C28),--($C$14:$C$25=$B28))</f>
        <v>31.663930623833227</v>
      </c>
      <c r="J28" s="159" cm="1">
        <f t="array" ref="J28">SUMPRODUCT(J$14:J$25,--($B$14:$B$25=$C28),--($C$14:$C$25=$B28))</f>
        <v>29.006900514982664</v>
      </c>
      <c r="K28" s="159" cm="1">
        <f t="array" ref="K28">SUMPRODUCT(K$14:K$25,--($B$14:$B$25=$C28),--($C$14:$C$25=$B28))</f>
        <v>23.937573452500612</v>
      </c>
      <c r="L28" s="159" cm="1">
        <f t="array" ref="L28">SUMPRODUCT(L$14:L$25,--($B$14:$B$25=$C28),--($C$14:$C$25=$B28))</f>
        <v>18.326978706861507</v>
      </c>
      <c r="M28" s="159" cm="1">
        <f t="array" ref="M28">SUMPRODUCT(M$14:M$25,--($B$14:$B$25=$C28),--($C$14:$C$25=$B28))</f>
        <v>12.904547800025359</v>
      </c>
      <c r="N28" s="159" cm="1">
        <f t="array" ref="N28">SUMPRODUCT(N$14:N$25,--($B$14:$B$25=$C28),--($C$14:$C$25=$B28))</f>
        <v>8.2376345269084208</v>
      </c>
      <c r="O28" s="159" cm="1">
        <f t="array" ref="O28">SUMPRODUCT(O$14:O$25,--($B$14:$B$25=$C28),--($C$14:$C$25=$B28))</f>
        <v>5.1360638909807674</v>
      </c>
      <c r="P28" s="159" cm="1">
        <f t="array" ref="P28">SUMPRODUCT(P$14:P$25,--($B$14:$B$25=$C28),--($C$14:$C$25=$B28))</f>
        <v>3.2059486169169924</v>
      </c>
      <c r="Q28" s="159" cm="1">
        <f t="array" ref="Q28">SUMPRODUCT(Q$14:Q$25,--($B$14:$B$25=$C28),--($C$14:$C$25=$B28))</f>
        <v>2.008286559671713</v>
      </c>
      <c r="R28" s="159" cm="1">
        <f t="array" ref="R28">SUMPRODUCT(R$14:R$25,--($B$14:$B$25=$C28),--($C$14:$C$25=$B28))</f>
        <v>1.3762659617560176</v>
      </c>
      <c r="S28" s="159" cm="1">
        <f t="array" ref="S28">SUMPRODUCT(S$14:S$25,--($B$14:$B$25=$C28),--($C$14:$C$25=$B28))</f>
        <v>0.83499537958868297</v>
      </c>
      <c r="T28" s="159" cm="1">
        <f t="array" ref="T28">SUMPRODUCT(T$14:T$25,--($B$14:$B$25=$C28),--($C$14:$C$25=$B28))</f>
        <v>0.38292019585556725</v>
      </c>
      <c r="U28" s="159" cm="1">
        <f t="array" ref="U28">SUMPRODUCT(U$14:U$25,--($B$14:$B$25=$C28),--($C$14:$C$25=$B28))</f>
        <v>2.1595027870864723E-2</v>
      </c>
      <c r="V28" s="159" cm="1">
        <f t="array" ref="V28">SUMPRODUCT(V$14:V$25,--($B$14:$B$25=$C28),--($C$14:$C$25=$B28))</f>
        <v>1.9089948455733068E-2</v>
      </c>
      <c r="W28" s="159" cm="1">
        <f t="array" ref="W28">SUMPRODUCT(W$14:W$25,--($B$14:$B$25=$C28),--($C$14:$C$25=$B28))</f>
        <v>1.7457922619716112E-2</v>
      </c>
      <c r="X28" s="159" cm="1">
        <f t="array" ref="X28">SUMPRODUCT(X$14:X$25,--($B$14:$B$25=$C28),--($C$14:$C$25=$B28))</f>
        <v>1.5825896783720376E-2</v>
      </c>
      <c r="Y28" s="159" cm="1">
        <f t="array" ref="Y28">SUMPRODUCT(Y$14:Y$25,--($B$14:$B$25=$C28),--($C$14:$C$25=$B28))</f>
        <v>1.5748394541950459E-2</v>
      </c>
      <c r="Z28" s="159" cm="1">
        <f t="array" ref="Z28">SUMPRODUCT(Z$14:Z$25,--($B$14:$B$25=$C28),--($C$14:$C$25=$B28))</f>
        <v>1.5670892300169933E-2</v>
      </c>
      <c r="AA28" s="159" cm="1">
        <f t="array" ref="AA28">SUMPRODUCT(AA$14:AA$25,--($B$14:$B$25=$C28),--($C$14:$C$25=$B28))</f>
        <v>1.559339005840002E-2</v>
      </c>
      <c r="AB28" s="159" cm="1">
        <f t="array" ref="AB28">SUMPRODUCT(AB$14:AB$25,--($B$14:$B$25=$C28),--($C$14:$C$25=$B28))</f>
        <v>1.5515887816640711E-2</v>
      </c>
      <c r="AC28" s="159" cm="1">
        <f t="array" ref="AC28">SUMPRODUCT(AC$14:AC$25,--($B$14:$B$25=$C28),--($C$14:$C$25=$B28))</f>
        <v>1.5438385574860186E-2</v>
      </c>
      <c r="AD28" s="159" cm="1">
        <f t="array" ref="AD28">SUMPRODUCT(AD$14:AD$25,--($B$14:$B$25=$C28),--($C$14:$C$25=$B28))</f>
        <v>1.5360883333090269E-2</v>
      </c>
      <c r="AE28" s="159" cm="1">
        <f t="array" ref="AE28">SUMPRODUCT(AE$14:AE$25,--($B$14:$B$25=$C28),--($C$14:$C$25=$B28))</f>
        <v>1.5283381091320356E-2</v>
      </c>
      <c r="AF28" s="159" cm="1">
        <f t="array" ref="AF28">SUMPRODUCT(AF$14:AF$25,--($B$14:$B$25=$C28),--($C$14:$C$25=$B28))</f>
        <v>1.520587884953983E-2</v>
      </c>
      <c r="AG28" s="159" cm="1">
        <f t="array" ref="AG28">SUMPRODUCT(AG$14:AG$25,--($B$14:$B$25=$C28),--($C$14:$C$25=$B28))</f>
        <v>1.5167127728646916E-2</v>
      </c>
      <c r="AH28" s="159" cm="1">
        <f t="array" ref="AH28">SUMPRODUCT(AH$14:AH$25,--($B$14:$B$25=$C28),--($C$14:$C$25=$B28))</f>
        <v>1.512837660777345E-2</v>
      </c>
    </row>
    <row r="29" spans="1:37">
      <c r="B29" t="str">
        <f>Dashboard!D$6</f>
        <v>High Electrification</v>
      </c>
      <c r="C29" t="s">
        <v>346</v>
      </c>
      <c r="D29" s="159" cm="1">
        <f t="array" ref="D29">SUMPRODUCT(D$14:D$25,--($B$14:$B$25=$C29),--($C$14:$C$25=$B29))</f>
        <v>2.2948168852007638</v>
      </c>
      <c r="E29" s="159" cm="1">
        <f t="array" ref="E29">SUMPRODUCT(E$14:E$25,--($B$14:$B$25=$C29),--($C$14:$C$25=$B29))</f>
        <v>2.9962194660785002</v>
      </c>
      <c r="F29" s="159" cm="1">
        <f t="array" ref="F29">SUMPRODUCT(F$14:F$25,--($B$14:$B$25=$C29),--($C$14:$C$25=$B29))</f>
        <v>3.7877231767358523</v>
      </c>
      <c r="G29" s="159" cm="1">
        <f t="array" ref="G29">SUMPRODUCT(G$14:G$25,--($B$14:$B$25=$C29),--($C$14:$C$25=$B29))</f>
        <v>5.1918314133470931</v>
      </c>
      <c r="H29" s="159" cm="1">
        <f t="array" ref="H29">SUMPRODUCT(H$14:H$25,--($B$14:$B$25=$C29),--($C$14:$C$25=$B29))</f>
        <v>6.8259254192235446</v>
      </c>
      <c r="I29" s="159" cm="1">
        <f t="array" ref="I29">SUMPRODUCT(I$14:I$25,--($B$14:$B$25=$C29),--($C$14:$C$25=$B29))</f>
        <v>8.4298888934767113</v>
      </c>
      <c r="J29" s="159" cm="1">
        <f t="array" ref="J29">SUMPRODUCT(J$14:J$25,--($B$14:$B$25=$C29),--($C$14:$C$25=$B29))</f>
        <v>9.7842074532895342</v>
      </c>
      <c r="K29" s="159" cm="1">
        <f t="array" ref="K29">SUMPRODUCT(K$14:K$25,--($B$14:$B$25=$C29),--($C$14:$C$25=$B29))</f>
        <v>10.768661029264402</v>
      </c>
      <c r="L29" s="159" cm="1">
        <f t="array" ref="L29">SUMPRODUCT(L$14:L$25,--($B$14:$B$25=$C29),--($C$14:$C$25=$B29))</f>
        <v>11.508813677527865</v>
      </c>
      <c r="M29" s="159" cm="1">
        <f t="array" ref="M29">SUMPRODUCT(M$14:M$25,--($B$14:$B$25=$C29),--($C$14:$C$25=$B29))</f>
        <v>11.684758731376336</v>
      </c>
      <c r="N29" s="159" cm="1">
        <f t="array" ref="N29">SUMPRODUCT(N$14:N$25,--($B$14:$B$25=$C29),--($C$14:$C$25=$B29))</f>
        <v>11.49284054451652</v>
      </c>
      <c r="O29" s="159" cm="1">
        <f t="array" ref="O29">SUMPRODUCT(O$14:O$25,--($B$14:$B$25=$C29),--($C$14:$C$25=$B29))</f>
        <v>11.302891415086467</v>
      </c>
      <c r="P29" s="159" cm="1">
        <f t="array" ref="P29">SUMPRODUCT(P$14:P$25,--($B$14:$B$25=$C29),--($C$14:$C$25=$B29))</f>
        <v>11.112865814565279</v>
      </c>
      <c r="Q29" s="159" cm="1">
        <f t="array" ref="Q29">SUMPRODUCT(Q$14:Q$25,--($B$14:$B$25=$C29),--($C$14:$C$25=$B29))</f>
        <v>11.000455486712763</v>
      </c>
      <c r="R29" s="159" cm="1">
        <f t="array" ref="R29">SUMPRODUCT(R$14:R$25,--($B$14:$B$25=$C29),--($C$14:$C$25=$B29))</f>
        <v>11.081051784711736</v>
      </c>
      <c r="S29" s="159" cm="1">
        <f t="array" ref="S29">SUMPRODUCT(S$14:S$25,--($B$14:$B$25=$C29),--($C$14:$C$25=$B29))</f>
        <v>10.814845717153069</v>
      </c>
      <c r="T29" s="159" cm="1">
        <f t="array" ref="T29">SUMPRODUCT(T$14:T$25,--($B$14:$B$25=$C29),--($C$14:$C$25=$B29))</f>
        <v>10.148149914841706</v>
      </c>
      <c r="U29" s="159" cm="1">
        <f t="array" ref="U29">SUMPRODUCT(U$14:U$25,--($B$14:$B$25=$C29),--($C$14:$C$25=$B29))</f>
        <v>8.6330505807916857</v>
      </c>
      <c r="V29" s="159" cm="1">
        <f t="array" ref="V29">SUMPRODUCT(V$14:V$25,--($B$14:$B$25=$C29),--($C$14:$C$25=$B29))</f>
        <v>7.1314708303095218</v>
      </c>
      <c r="W29" s="159" cm="1">
        <f t="array" ref="W29">SUMPRODUCT(W$14:W$25,--($B$14:$B$25=$C29),--($C$14:$C$25=$B29))</f>
        <v>5.7701351938319849</v>
      </c>
      <c r="X29" s="159" cm="1">
        <f t="array" ref="X29">SUMPRODUCT(X$14:X$25,--($B$14:$B$25=$C29),--($C$14:$C$25=$B29))</f>
        <v>4.8933159494980298</v>
      </c>
      <c r="Y29" s="159" cm="1">
        <f t="array" ref="Y29">SUMPRODUCT(Y$14:Y$25,--($B$14:$B$25=$C29),--($C$14:$C$25=$B29))</f>
        <v>4.4160260086224961</v>
      </c>
      <c r="Z29" s="159" cm="1">
        <f t="array" ref="Z29">SUMPRODUCT(Z$14:Z$25,--($B$14:$B$25=$C29),--($C$14:$C$25=$B29))</f>
        <v>4.7869580535735494</v>
      </c>
      <c r="AA29" s="159" cm="1">
        <f t="array" ref="AA29">SUMPRODUCT(AA$14:AA$25,--($B$14:$B$25=$C29),--($C$14:$C$25=$B29))</f>
        <v>5.0660375497609973</v>
      </c>
      <c r="AB29" s="159" cm="1">
        <f t="array" ref="AB29">SUMPRODUCT(AB$14:AB$25,--($B$14:$B$25=$C29),--($C$14:$C$25=$B29))</f>
        <v>5.1088604467077383</v>
      </c>
      <c r="AC29" s="159" cm="1">
        <f t="array" ref="AC29">SUMPRODUCT(AC$14:AC$25,--($B$14:$B$25=$C29),--($C$14:$C$25=$B29))</f>
        <v>5.0137456865426229</v>
      </c>
      <c r="AD29" s="159" cm="1">
        <f t="array" ref="AD29">SUMPRODUCT(AD$14:AD$25,--($B$14:$B$25=$C29),--($C$14:$C$25=$B29))</f>
        <v>4.9193823759175563</v>
      </c>
      <c r="AE29" s="159" cm="1">
        <f t="array" ref="AE29">SUMPRODUCT(AE$14:AE$25,--($B$14:$B$25=$C29),--($C$14:$C$25=$B29))</f>
        <v>4.8250050408866354</v>
      </c>
      <c r="AF29" s="159" cm="1">
        <f t="array" ref="AF29">SUMPRODUCT(AF$14:AF$25,--($B$14:$B$25=$C29),--($C$14:$C$25=$B29))</f>
        <v>4.7114442842176043</v>
      </c>
      <c r="AG29" s="159" cm="1">
        <f t="array" ref="AG29">SUMPRODUCT(AG$14:AG$25,--($B$14:$B$25=$C29),--($C$14:$C$25=$B29))</f>
        <v>4.7081380475315431</v>
      </c>
      <c r="AH29" s="159" cm="1">
        <f t="array" ref="AH29">SUMPRODUCT(AH$14:AH$25,--($B$14:$B$25=$C29),--($C$14:$C$25=$B29))</f>
        <v>4.7016149730192787</v>
      </c>
    </row>
    <row r="30" spans="1:37">
      <c r="B30" t="str">
        <f>Dashboard!D$6</f>
        <v>High Electrification</v>
      </c>
      <c r="C30" t="s">
        <v>347</v>
      </c>
      <c r="D30" s="159" cm="1">
        <f t="array" ref="D30">SUMPRODUCT(D$14:D$25,--($B$14:$B$25=$C30),--($C$14:$C$25=$B30))</f>
        <v>4.1681913209695631</v>
      </c>
      <c r="E30" s="159" cm="1">
        <f t="array" ref="E30">SUMPRODUCT(E$14:E$25,--($B$14:$B$25=$C30),--($C$14:$C$25=$B30))</f>
        <v>4.4989725562099236</v>
      </c>
      <c r="F30" s="159" cm="1">
        <f t="array" ref="F30">SUMPRODUCT(F$14:F$25,--($B$14:$B$25=$C30),--($C$14:$C$25=$B30))</f>
        <v>4.7777524495394177</v>
      </c>
      <c r="G30" s="159" cm="1">
        <f t="array" ref="G30">SUMPRODUCT(G$14:G$25,--($B$14:$B$25=$C30),--($C$14:$C$25=$B30))</f>
        <v>5.2689231465558102</v>
      </c>
      <c r="H30" s="159" cm="1">
        <f t="array" ref="H30">SUMPRODUCT(H$14:H$25,--($B$14:$B$25=$C30),--($C$14:$C$25=$B30))</f>
        <v>5.8425032303028468</v>
      </c>
      <c r="I30" s="159" cm="1">
        <f t="array" ref="I30">SUMPRODUCT(I$14:I$25,--($B$14:$B$25=$C30),--($C$14:$C$25=$B30))</f>
        <v>6.1728717246114417</v>
      </c>
      <c r="J30" s="159" cm="1">
        <f t="array" ref="J30">SUMPRODUCT(J$14:J$25,--($B$14:$B$25=$C30),--($C$14:$C$25=$B30))</f>
        <v>6.4810345110333341</v>
      </c>
      <c r="K30" s="159" cm="1">
        <f t="array" ref="K30">SUMPRODUCT(K$14:K$25,--($B$14:$B$25=$C30),--($C$14:$C$25=$B30))</f>
        <v>6.7669915895685504</v>
      </c>
      <c r="L30" s="159" cm="1">
        <f t="array" ref="L30">SUMPRODUCT(L$14:L$25,--($B$14:$B$25=$C30),--($C$14:$C$25=$B30))</f>
        <v>7.0321301940404783</v>
      </c>
      <c r="M30" s="159" cm="1">
        <f t="array" ref="M30">SUMPRODUCT(M$14:M$25,--($B$14:$B$25=$C30),--($C$14:$C$25=$B30))</f>
        <v>6.7768006598703012</v>
      </c>
      <c r="N30" s="159" cm="1">
        <f t="array" ref="N30">SUMPRODUCT(N$14:N$25,--($B$14:$B$25=$C30),--($C$14:$C$25=$B30))</f>
        <v>6.463292850835602</v>
      </c>
      <c r="O30" s="159" cm="1">
        <f t="array" ref="O30">SUMPRODUCT(O$14:O$25,--($B$14:$B$25=$C30),--($C$14:$C$25=$B30))</f>
        <v>6.0916067669363709</v>
      </c>
      <c r="P30" s="159" cm="1">
        <f t="array" ref="P30">SUMPRODUCT(P$14:P$25,--($B$14:$B$25=$C30),--($C$14:$C$25=$B30))</f>
        <v>5.6617424081726124</v>
      </c>
      <c r="Q30" s="159" cm="1">
        <f t="array" ref="Q30">SUMPRODUCT(Q$14:Q$25,--($B$14:$B$25=$C30),--($C$14:$C$25=$B30))</f>
        <v>5.1736997745443389</v>
      </c>
      <c r="R30" s="159" cm="1">
        <f t="array" ref="R30">SUMPRODUCT(R$14:R$25,--($B$14:$B$25=$C30),--($C$14:$C$25=$B30))</f>
        <v>5.1733356217146378</v>
      </c>
      <c r="S30" s="159" cm="1">
        <f t="array" ref="S30">SUMPRODUCT(S$14:S$25,--($B$14:$B$25=$C30),--($C$14:$C$25=$B30))</f>
        <v>5.1729714688849384</v>
      </c>
      <c r="T30" s="159" cm="1">
        <f t="array" ref="T30">SUMPRODUCT(T$14:T$25,--($B$14:$B$25=$C30),--($C$14:$C$25=$B30))</f>
        <v>5.1726073160552328</v>
      </c>
      <c r="U30" s="159" cm="1">
        <f t="array" ref="U30">SUMPRODUCT(U$14:U$25,--($B$14:$B$25=$C30),--($C$14:$C$25=$B30))</f>
        <v>5.1722431632255184</v>
      </c>
      <c r="V30" s="159" cm="1">
        <f t="array" ref="V30">SUMPRODUCT(V$14:V$25,--($B$14:$B$25=$C30),--($C$14:$C$25=$B30))</f>
        <v>5.1718790103958181</v>
      </c>
      <c r="W30" s="159" cm="1">
        <f t="array" ref="W30">SUMPRODUCT(W$14:W$25,--($B$14:$B$25=$C30),--($C$14:$C$25=$B30))</f>
        <v>5.1715148575661321</v>
      </c>
      <c r="X30" s="159" cm="1">
        <f t="array" ref="X30">SUMPRODUCT(X$14:X$25,--($B$14:$B$25=$C30),--($C$14:$C$25=$B30))</f>
        <v>5.1711507047364353</v>
      </c>
      <c r="Y30" s="159" cm="1">
        <f t="array" ref="Y30">SUMPRODUCT(Y$14:Y$25,--($B$14:$B$25=$C30),--($C$14:$C$25=$B30))</f>
        <v>5.1707865519067511</v>
      </c>
      <c r="Z30" s="159" cm="1">
        <f t="array" ref="Z30">SUMPRODUCT(Z$14:Z$25,--($B$14:$B$25=$C30),--($C$14:$C$25=$B30))</f>
        <v>5.170422399077065</v>
      </c>
      <c r="AA30" s="159" cm="1">
        <f t="array" ref="AA30">SUMPRODUCT(AA$14:AA$25,--($B$14:$B$25=$C30),--($C$14:$C$25=$B30))</f>
        <v>5.1700582462473932</v>
      </c>
      <c r="AB30" s="159" cm="1">
        <f t="array" ref="AB30">SUMPRODUCT(AB$14:AB$25,--($B$14:$B$25=$C30),--($C$14:$C$25=$B30))</f>
        <v>4.6178603694762952</v>
      </c>
      <c r="AC30" s="159" cm="1">
        <f t="array" ref="AC30">SUMPRODUCT(AC$14:AC$25,--($B$14:$B$25=$C30),--($C$14:$C$25=$B30))</f>
        <v>4.0657353232711113</v>
      </c>
      <c r="AD30" s="159" cm="1">
        <f t="array" ref="AD30">SUMPRODUCT(AD$14:AD$25,--($B$14:$B$25=$C30),--($C$14:$C$25=$B30))</f>
        <v>3.5136831076318762</v>
      </c>
      <c r="AE30" s="159" cm="1">
        <f t="array" ref="AE30">SUMPRODUCT(AE$14:AE$25,--($B$14:$B$25=$C30),--($C$14:$C$25=$B30))</f>
        <v>2.9617037225585947</v>
      </c>
      <c r="AF30" s="159" cm="1">
        <f t="array" ref="AF30">SUMPRODUCT(AF$14:AF$25,--($B$14:$B$25=$C30),--($C$14:$C$25=$B30))</f>
        <v>2.4097971680512034</v>
      </c>
      <c r="AG30" s="159" cm="1">
        <f t="array" ref="AG30">SUMPRODUCT(AG$14:AG$25,--($B$14:$B$25=$C30),--($C$14:$C$25=$B30))</f>
        <v>2.4097971680511856</v>
      </c>
      <c r="AH30" s="159" cm="1">
        <f t="array" ref="AH30">SUMPRODUCT(AH$14:AH$25,--($B$14:$B$25=$C30),--($C$14:$C$25=$B30))</f>
        <v>2.4097971680511865</v>
      </c>
    </row>
    <row r="31" spans="1:37">
      <c r="B31" t="str">
        <f>Dashboard!D$6</f>
        <v>High Electrification</v>
      </c>
      <c r="C31" t="s">
        <v>348</v>
      </c>
      <c r="D31" s="159" cm="1">
        <f t="array" ref="D31">SUMPRODUCT(D$14:D$25,--($B$14:$B$25=$C31),--($C$14:$C$25=$B31))</f>
        <v>0</v>
      </c>
      <c r="E31" s="159" cm="1">
        <f t="array" ref="E31">SUMPRODUCT(E$14:E$25,--($B$14:$B$25=$C31),--($C$14:$C$25=$B31))</f>
        <v>0</v>
      </c>
      <c r="F31" s="159" cm="1">
        <f t="array" ref="F31">SUMPRODUCT(F$14:F$25,--($B$14:$B$25=$C31),--($C$14:$C$25=$B31))</f>
        <v>0</v>
      </c>
      <c r="G31" s="159" cm="1">
        <f t="array" ref="G31">SUMPRODUCT(G$14:G$25,--($B$14:$B$25=$C31),--($C$14:$C$25=$B31))</f>
        <v>0</v>
      </c>
      <c r="H31" s="159" cm="1">
        <f t="array" ref="H31">SUMPRODUCT(H$14:H$25,--($B$14:$B$25=$C31),--($C$14:$C$25=$B31))</f>
        <v>0</v>
      </c>
      <c r="I31" s="159" cm="1">
        <f t="array" ref="I31">SUMPRODUCT(I$14:I$25,--($B$14:$B$25=$C31),--($C$14:$C$25=$B31))</f>
        <v>0</v>
      </c>
      <c r="J31" s="159" cm="1">
        <f t="array" ref="J31">SUMPRODUCT(J$14:J$25,--($B$14:$B$25=$C31),--($C$14:$C$25=$B31))</f>
        <v>0</v>
      </c>
      <c r="K31" s="159" cm="1">
        <f t="array" ref="K31">SUMPRODUCT(K$14:K$25,--($B$14:$B$25=$C31),--($C$14:$C$25=$B31))</f>
        <v>0</v>
      </c>
      <c r="L31" s="159" cm="1">
        <f t="array" ref="L31">SUMPRODUCT(L$14:L$25,--($B$14:$B$25=$C31),--($C$14:$C$25=$B31))</f>
        <v>0</v>
      </c>
      <c r="M31" s="159" cm="1">
        <f t="array" ref="M31">SUMPRODUCT(M$14:M$25,--($B$14:$B$25=$C31),--($C$14:$C$25=$B31))</f>
        <v>0</v>
      </c>
      <c r="N31" s="159" cm="1">
        <f t="array" ref="N31">SUMPRODUCT(N$14:N$25,--($B$14:$B$25=$C31),--($C$14:$C$25=$B31))</f>
        <v>0</v>
      </c>
      <c r="O31" s="159" cm="1">
        <f t="array" ref="O31">SUMPRODUCT(O$14:O$25,--($B$14:$B$25=$C31),--($C$14:$C$25=$B31))</f>
        <v>0</v>
      </c>
      <c r="P31" s="159" cm="1">
        <f t="array" ref="P31">SUMPRODUCT(P$14:P$25,--($B$14:$B$25=$C31),--($C$14:$C$25=$B31))</f>
        <v>0</v>
      </c>
      <c r="Q31" s="159" cm="1">
        <f t="array" ref="Q31">SUMPRODUCT(Q$14:Q$25,--($B$14:$B$25=$C31),--($C$14:$C$25=$B31))</f>
        <v>0</v>
      </c>
      <c r="R31" s="159" cm="1">
        <f t="array" ref="R31">SUMPRODUCT(R$14:R$25,--($B$14:$B$25=$C31),--($C$14:$C$25=$B31))</f>
        <v>0</v>
      </c>
      <c r="S31" s="159" cm="1">
        <f t="array" ref="S31">SUMPRODUCT(S$14:S$25,--($B$14:$B$25=$C31),--($C$14:$C$25=$B31))</f>
        <v>0</v>
      </c>
      <c r="T31" s="159" cm="1">
        <f t="array" ref="T31">SUMPRODUCT(T$14:T$25,--($B$14:$B$25=$C31),--($C$14:$C$25=$B31))</f>
        <v>0</v>
      </c>
      <c r="U31" s="159" cm="1">
        <f t="array" ref="U31">SUMPRODUCT(U$14:U$25,--($B$14:$B$25=$C31),--($C$14:$C$25=$B31))</f>
        <v>0</v>
      </c>
      <c r="V31" s="159" cm="1">
        <f t="array" ref="V31">SUMPRODUCT(V$14:V$25,--($B$14:$B$25=$C31),--($C$14:$C$25=$B31))</f>
        <v>0</v>
      </c>
      <c r="W31" s="159" cm="1">
        <f t="array" ref="W31">SUMPRODUCT(W$14:W$25,--($B$14:$B$25=$C31),--($C$14:$C$25=$B31))</f>
        <v>0</v>
      </c>
      <c r="X31" s="159" cm="1">
        <f t="array" ref="X31">SUMPRODUCT(X$14:X$25,--($B$14:$B$25=$C31),--($C$14:$C$25=$B31))</f>
        <v>0</v>
      </c>
      <c r="Y31" s="159" cm="1">
        <f t="array" ref="Y31">SUMPRODUCT(Y$14:Y$25,--($B$14:$B$25=$C31),--($C$14:$C$25=$B31))</f>
        <v>0</v>
      </c>
      <c r="Z31" s="159" cm="1">
        <f t="array" ref="Z31">SUMPRODUCT(Z$14:Z$25,--($B$14:$B$25=$C31),--($C$14:$C$25=$B31))</f>
        <v>0</v>
      </c>
      <c r="AA31" s="159" cm="1">
        <f t="array" ref="AA31">SUMPRODUCT(AA$14:AA$25,--($B$14:$B$25=$C31),--($C$14:$C$25=$B31))</f>
        <v>0</v>
      </c>
      <c r="AB31" s="159" cm="1">
        <f t="array" ref="AB31">SUMPRODUCT(AB$14:AB$25,--($B$14:$B$25=$C31),--($C$14:$C$25=$B31))</f>
        <v>0</v>
      </c>
      <c r="AC31" s="159" cm="1">
        <f t="array" ref="AC31">SUMPRODUCT(AC$14:AC$25,--($B$14:$B$25=$C31),--($C$14:$C$25=$B31))</f>
        <v>0</v>
      </c>
      <c r="AD31" s="159" cm="1">
        <f t="array" ref="AD31">SUMPRODUCT(AD$14:AD$25,--($B$14:$B$25=$C31),--($C$14:$C$25=$B31))</f>
        <v>0</v>
      </c>
      <c r="AE31" s="159" cm="1">
        <f t="array" ref="AE31">SUMPRODUCT(AE$14:AE$25,--($B$14:$B$25=$C31),--($C$14:$C$25=$B31))</f>
        <v>0</v>
      </c>
      <c r="AF31" s="159" cm="1">
        <f t="array" ref="AF31">SUMPRODUCT(AF$14:AF$25,--($B$14:$B$25=$C31),--($C$14:$C$25=$B31))</f>
        <v>0</v>
      </c>
      <c r="AG31" s="159" cm="1">
        <f t="array" ref="AG31">SUMPRODUCT(AG$14:AG$25,--($B$14:$B$25=$C31),--($C$14:$C$25=$B31))</f>
        <v>0</v>
      </c>
      <c r="AH31" s="159" cm="1">
        <f t="array" ref="AH31">SUMPRODUCT(AH$14:AH$25,--($B$14:$B$25=$C31),--($C$14:$C$25=$B31))</f>
        <v>0</v>
      </c>
    </row>
    <row r="32" spans="1:37">
      <c r="B32" t="s">
        <v>345</v>
      </c>
      <c r="C32" t="s">
        <v>349</v>
      </c>
      <c r="D32" s="159" cm="1">
        <f t="array" ref="D32">SUMPRODUCT(D$14:D$25,--($B$14:$B$25=$C32),--($C$14:$C$25=$B32))</f>
        <v>2.5</v>
      </c>
      <c r="E32" s="159" cm="1">
        <f t="array" ref="E32">SUMPRODUCT(E$14:E$25,--($B$14:$B$25=$C32),--($C$14:$C$25=$B32))</f>
        <v>3.125</v>
      </c>
      <c r="F32" s="159" cm="1">
        <f t="array" ref="F32">SUMPRODUCT(F$14:F$25,--($B$14:$B$25=$C32),--($C$14:$C$25=$B32))</f>
        <v>3.5225</v>
      </c>
      <c r="G32" s="159" cm="1">
        <f t="array" ref="G32">SUMPRODUCT(G$14:G$25,--($B$14:$B$25=$C32),--($C$14:$C$25=$B32))</f>
        <v>4.3174999999999999</v>
      </c>
      <c r="H32" s="159" cm="1">
        <f t="array" ref="H32">SUMPRODUCT(H$14:H$25,--($B$14:$B$25=$C32),--($C$14:$C$25=$B32))</f>
        <v>4.8849999999999998</v>
      </c>
      <c r="I32" s="159" cm="1">
        <f t="array" ref="I32">SUMPRODUCT(I$14:I$25,--($B$14:$B$25=$C32),--($C$14:$C$25=$B32))</f>
        <v>5.2249999999999996</v>
      </c>
      <c r="J32" s="159" cm="1">
        <f t="array" ref="J32">SUMPRODUCT(J$14:J$25,--($B$14:$B$25=$C32),--($C$14:$C$25=$B32))</f>
        <v>5.3375000000000004</v>
      </c>
      <c r="K32" s="159" cm="1">
        <f t="array" ref="K32">SUMPRODUCT(K$14:K$25,--($B$14:$B$25=$C32),--($C$14:$C$25=$B32))</f>
        <v>5.45</v>
      </c>
      <c r="L32" s="159" cm="1">
        <f t="array" ref="L32">SUMPRODUCT(L$14:L$25,--($B$14:$B$25=$C32),--($C$14:$C$25=$B32))</f>
        <v>5.5025000000000004</v>
      </c>
      <c r="M32" s="159" cm="1">
        <f t="array" ref="M32">SUMPRODUCT(M$14:M$25,--($B$14:$B$25=$C32),--($C$14:$C$25=$B32))</f>
        <v>5.4950000000000001</v>
      </c>
      <c r="N32" s="159" cm="1">
        <f t="array" ref="N32">SUMPRODUCT(N$14:N$25,--($B$14:$B$25=$C32),--($C$14:$C$25=$B32))</f>
        <v>5.4275000000000002</v>
      </c>
      <c r="O32" s="159" cm="1">
        <f t="array" ref="O32">SUMPRODUCT(O$14:O$25,--($B$14:$B$25=$C32),--($C$14:$C$25=$B32))</f>
        <v>5.3</v>
      </c>
      <c r="P32" s="159" cm="1">
        <f t="array" ref="P32">SUMPRODUCT(P$14:P$25,--($B$14:$B$25=$C32),--($C$14:$C$25=$B32))</f>
        <v>5.1124999999999998</v>
      </c>
      <c r="Q32" s="159" cm="1">
        <f t="array" ref="Q32">SUMPRODUCT(Q$14:Q$25,--($B$14:$B$25=$C32),--($C$14:$C$25=$B32))</f>
        <v>4.9249999999999998</v>
      </c>
      <c r="R32" s="159" cm="1">
        <f t="array" ref="R32">SUMPRODUCT(R$14:R$25,--($B$14:$B$25=$C32),--($C$14:$C$25=$B32))</f>
        <v>4.7374999999999998</v>
      </c>
      <c r="S32" s="159" cm="1">
        <f t="array" ref="S32">SUMPRODUCT(S$14:S$25,--($B$14:$B$25=$C32),--($C$14:$C$25=$B32))</f>
        <v>4.55</v>
      </c>
      <c r="T32" s="159" cm="1">
        <f t="array" ref="T32">SUMPRODUCT(T$14:T$25,--($B$14:$B$25=$C32),--($C$14:$C$25=$B32))</f>
        <v>4.3624999999999998</v>
      </c>
      <c r="U32" s="159" cm="1">
        <f t="array" ref="U32">SUMPRODUCT(U$14:U$25,--($B$14:$B$25=$C32),--($C$14:$C$25=$B32))</f>
        <v>4.1749999999999998</v>
      </c>
      <c r="V32" s="159" cm="1">
        <f t="array" ref="V32">SUMPRODUCT(V$14:V$25,--($B$14:$B$25=$C32),--($C$14:$C$25=$B32))</f>
        <v>3.9874999999999998</v>
      </c>
      <c r="W32" s="159" cm="1">
        <f t="array" ref="W32">SUMPRODUCT(W$14:W$25,--($B$14:$B$25=$C32),--($C$14:$C$25=$B32))</f>
        <v>3.8</v>
      </c>
      <c r="X32" s="159" cm="1">
        <f t="array" ref="X32">SUMPRODUCT(X$14:X$25,--($B$14:$B$25=$C32),--($C$14:$C$25=$B32))</f>
        <v>3.6124999999999998</v>
      </c>
      <c r="Y32" s="159" cm="1">
        <f t="array" ref="Y32">SUMPRODUCT(Y$14:Y$25,--($B$14:$B$25=$C32),--($C$14:$C$25=$B32))</f>
        <v>3.4249999999999998</v>
      </c>
      <c r="Z32" s="159" cm="1">
        <f t="array" ref="Z32">SUMPRODUCT(Z$14:Z$25,--($B$14:$B$25=$C32),--($C$14:$C$25=$B32))</f>
        <v>3.2374999999999998</v>
      </c>
      <c r="AA32" s="159" cm="1">
        <f t="array" ref="AA32">SUMPRODUCT(AA$14:AA$25,--($B$14:$B$25=$C32),--($C$14:$C$25=$B32))</f>
        <v>3.05</v>
      </c>
      <c r="AB32" s="159" cm="1">
        <f t="array" ref="AB32">SUMPRODUCT(AB$14:AB$25,--($B$14:$B$25=$C32),--($C$14:$C$25=$B32))</f>
        <v>2.8624999999999998</v>
      </c>
      <c r="AC32" s="159" cm="1">
        <f t="array" ref="AC32">SUMPRODUCT(AC$14:AC$25,--($B$14:$B$25=$C32),--($C$14:$C$25=$B32))</f>
        <v>2.6749999999999998</v>
      </c>
      <c r="AD32" s="159" cm="1">
        <f t="array" ref="AD32">SUMPRODUCT(AD$14:AD$25,--($B$14:$B$25=$C32),--($C$14:$C$25=$B32))</f>
        <v>2.4874999999999998</v>
      </c>
      <c r="AE32" s="159" cm="1">
        <f t="array" ref="AE32">SUMPRODUCT(AE$14:AE$25,--($B$14:$B$25=$C32),--($C$14:$C$25=$B32))</f>
        <v>2.2999999999999998</v>
      </c>
      <c r="AF32" s="159" cm="1">
        <f t="array" ref="AF32">SUMPRODUCT(AF$14:AF$25,--($B$14:$B$25=$C32),--($C$14:$C$25=$B32))</f>
        <v>2.1124999999999998</v>
      </c>
      <c r="AG32" s="159" cm="1">
        <f t="array" ref="AG32">SUMPRODUCT(AG$14:AG$25,--($B$14:$B$25=$C32),--($C$14:$C$25=$B32))</f>
        <v>2.0187499999999998</v>
      </c>
      <c r="AH32" s="159" cm="1">
        <f t="array" ref="AH32">SUMPRODUCT(AH$14:AH$25,--($B$14:$B$25=$C32),--($C$14:$C$25=$B32))</f>
        <v>1.9249999999999998</v>
      </c>
    </row>
    <row r="33" spans="1:37">
      <c r="AK33" s="159"/>
    </row>
    <row r="34" spans="1:37" s="305" customFormat="1">
      <c r="B34" s="628" t="s">
        <v>351</v>
      </c>
    </row>
    <row r="36" spans="1:37">
      <c r="B36" s="35" t="s">
        <v>340</v>
      </c>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159"/>
      <c r="AB36" s="159"/>
      <c r="AC36" s="159"/>
      <c r="AD36" s="159"/>
      <c r="AE36" s="159"/>
      <c r="AF36" s="159"/>
      <c r="AG36" s="159"/>
      <c r="AH36" s="159"/>
    </row>
    <row r="37" spans="1:37">
      <c r="B37" s="713" t="s">
        <v>341</v>
      </c>
      <c r="C37" t="s">
        <v>110</v>
      </c>
      <c r="D37" s="159">
        <v>8.3518124461569414</v>
      </c>
      <c r="E37" s="159">
        <v>13.365693801768156</v>
      </c>
      <c r="F37" s="159">
        <v>30.241463090237239</v>
      </c>
      <c r="G37" s="159">
        <v>46.66110401446663</v>
      </c>
      <c r="H37" s="159">
        <v>54.778850963900808</v>
      </c>
      <c r="I37" s="159">
        <v>53.764881427219841</v>
      </c>
      <c r="J37" s="159">
        <v>52.119267967914418</v>
      </c>
      <c r="K37" s="159">
        <v>50.134351836105196</v>
      </c>
      <c r="L37" s="159">
        <v>42.250860201387418</v>
      </c>
      <c r="M37" s="159">
        <v>36.346768924040958</v>
      </c>
      <c r="N37" s="159">
        <v>31.000863962701271</v>
      </c>
      <c r="O37" s="159">
        <v>24.572691032125149</v>
      </c>
      <c r="P37" s="159">
        <v>23.935155491047922</v>
      </c>
      <c r="Q37" s="159">
        <v>23.297330955102726</v>
      </c>
      <c r="R37" s="159">
        <v>22.659242757297349</v>
      </c>
      <c r="S37" s="159">
        <v>21.072788869070937</v>
      </c>
      <c r="T37" s="159">
        <v>20.876248768393022</v>
      </c>
      <c r="U37" s="159">
        <v>18.958451478269417</v>
      </c>
      <c r="V37" s="159">
        <v>16.764155260731794</v>
      </c>
      <c r="W37" s="159">
        <v>12.337799482975164</v>
      </c>
      <c r="X37" s="159">
        <v>12.613043955435966</v>
      </c>
      <c r="Y37" s="159">
        <v>13.122089692676816</v>
      </c>
      <c r="Z37" s="159">
        <v>13.626874363271181</v>
      </c>
      <c r="AA37" s="159">
        <v>13.437997280996861</v>
      </c>
      <c r="AB37" s="159">
        <v>13.252751432373106</v>
      </c>
      <c r="AC37" s="159">
        <v>13.068733161015988</v>
      </c>
      <c r="AD37" s="159">
        <v>9.6373272823462361</v>
      </c>
      <c r="AE37" s="159">
        <v>9.4527878202107836</v>
      </c>
      <c r="AF37" s="159">
        <v>9.2680321384665021</v>
      </c>
      <c r="AG37" s="159">
        <v>9.0830803206432389</v>
      </c>
      <c r="AH37" s="159">
        <v>8.8035090939249745</v>
      </c>
    </row>
    <row r="38" spans="1:37">
      <c r="B38" s="713"/>
      <c r="C38" t="s">
        <v>112</v>
      </c>
      <c r="D38" s="159">
        <v>8.3518124461569414</v>
      </c>
      <c r="E38" s="159">
        <v>13.365693801768156</v>
      </c>
      <c r="F38" s="159">
        <v>28.500408061151084</v>
      </c>
      <c r="G38" s="159">
        <v>43.929049834378006</v>
      </c>
      <c r="H38" s="159">
        <v>50.816275870800865</v>
      </c>
      <c r="I38" s="159">
        <v>48.57398547900668</v>
      </c>
      <c r="J38" s="159">
        <v>45.964625072554675</v>
      </c>
      <c r="K38" s="159">
        <v>42.132973511207531</v>
      </c>
      <c r="L38" s="159">
        <v>35.488598849443562</v>
      </c>
      <c r="M38" s="159">
        <v>29.137398288356028</v>
      </c>
      <c r="N38" s="159">
        <v>23.096802811335237</v>
      </c>
      <c r="O38" s="159">
        <v>15.821045020770978</v>
      </c>
      <c r="P38" s="159">
        <v>15.492362415347147</v>
      </c>
      <c r="Q38" s="159">
        <v>14.350583949221841</v>
      </c>
      <c r="R38" s="159">
        <v>14.188610269682231</v>
      </c>
      <c r="S38" s="159">
        <v>11.842510150050261</v>
      </c>
      <c r="T38" s="159">
        <v>11.861547699128666</v>
      </c>
      <c r="U38" s="159">
        <v>11.787065216091635</v>
      </c>
      <c r="V38" s="159">
        <v>11.703856001571728</v>
      </c>
      <c r="W38" s="159">
        <v>13.797381590778237</v>
      </c>
      <c r="X38" s="159">
        <v>13.308277084593444</v>
      </c>
      <c r="Y38" s="159">
        <v>12.679081824011549</v>
      </c>
      <c r="Z38" s="159">
        <v>12.229304370768697</v>
      </c>
      <c r="AA38" s="159">
        <v>12.160737602066693</v>
      </c>
      <c r="AB38" s="159">
        <v>10.779049614263855</v>
      </c>
      <c r="AC38" s="159">
        <v>11.917723678077138</v>
      </c>
      <c r="AD38" s="159">
        <v>7.7276819949234792</v>
      </c>
      <c r="AE38" s="159">
        <v>8.0916626661770295</v>
      </c>
      <c r="AF38" s="159">
        <v>7.6871428709458707</v>
      </c>
      <c r="AG38" s="159">
        <v>7.6494587141700725</v>
      </c>
      <c r="AH38" s="159">
        <v>7.0789878760529756</v>
      </c>
    </row>
    <row r="39" spans="1:37">
      <c r="B39" s="713"/>
      <c r="C39" t="s">
        <v>342</v>
      </c>
      <c r="D39" s="159">
        <v>8.5289749993061541</v>
      </c>
      <c r="E39" s="159">
        <v>14.166369756126713</v>
      </c>
      <c r="F39" s="159">
        <v>30.544453312743052</v>
      </c>
      <c r="G39" s="159">
        <v>48.697695874010797</v>
      </c>
      <c r="H39" s="159">
        <v>57.42800666337596</v>
      </c>
      <c r="I39" s="159">
        <v>57.644549508719727</v>
      </c>
      <c r="J39" s="159">
        <v>59.271181826371439</v>
      </c>
      <c r="K39" s="159">
        <v>55.427921820313927</v>
      </c>
      <c r="L39" s="159">
        <v>45.309801042343324</v>
      </c>
      <c r="M39" s="159">
        <v>39.543057608154662</v>
      </c>
      <c r="N39" s="159">
        <v>34.331690991669383</v>
      </c>
      <c r="O39" s="159">
        <v>28.960387380757712</v>
      </c>
      <c r="P39" s="159">
        <v>21.73721349531591</v>
      </c>
      <c r="Q39" s="159">
        <v>17.649201176836225</v>
      </c>
      <c r="R39" s="159">
        <v>17.0109234621093</v>
      </c>
      <c r="S39" s="159">
        <v>16.654909863098204</v>
      </c>
      <c r="T39" s="159">
        <v>15.930525099426905</v>
      </c>
      <c r="U39" s="159">
        <v>16.338300810612651</v>
      </c>
      <c r="V39" s="159">
        <v>17.323883174405186</v>
      </c>
      <c r="W39" s="159">
        <v>17.999212808594887</v>
      </c>
      <c r="X39" s="159">
        <v>18.52711377299557</v>
      </c>
      <c r="Y39" s="159">
        <v>18.768947392274555</v>
      </c>
      <c r="Z39" s="159">
        <v>18.576349541266413</v>
      </c>
      <c r="AA39" s="159">
        <v>17.548980947347271</v>
      </c>
      <c r="AB39" s="159">
        <v>17.414733403882867</v>
      </c>
      <c r="AC39" s="159">
        <v>17.280658658999748</v>
      </c>
      <c r="AD39" s="159">
        <v>9.6920395811585376</v>
      </c>
      <c r="AE39" s="159">
        <v>7.0425004057262317</v>
      </c>
      <c r="AF39" s="159">
        <v>5.5628484521807442</v>
      </c>
      <c r="AG39" s="159">
        <v>5.3767458162347035</v>
      </c>
      <c r="AH39" s="159">
        <v>5.5811162414320927</v>
      </c>
    </row>
    <row r="40" spans="1:37">
      <c r="B40" s="713"/>
      <c r="C40" t="s">
        <v>343</v>
      </c>
      <c r="D40" s="159">
        <v>8.527804236362833</v>
      </c>
      <c r="E40" s="159">
        <v>14.967648892744821</v>
      </c>
      <c r="F40" s="159">
        <v>36.050960488613974</v>
      </c>
      <c r="G40" s="159">
        <v>55.247254583857924</v>
      </c>
      <c r="H40" s="159">
        <v>66.371529422409409</v>
      </c>
      <c r="I40" s="159">
        <v>69.068194754686118</v>
      </c>
      <c r="J40" s="159">
        <v>69.303537104346219</v>
      </c>
      <c r="K40" s="159">
        <v>65.480300134547576</v>
      </c>
      <c r="L40" s="159">
        <v>57.921832712153957</v>
      </c>
      <c r="M40" s="159">
        <v>52.024260610539343</v>
      </c>
      <c r="N40" s="159">
        <v>45.854958851136203</v>
      </c>
      <c r="O40" s="159">
        <v>10.231767038646662</v>
      </c>
      <c r="P40" s="159">
        <v>9.1412936970156728</v>
      </c>
      <c r="Q40" s="159">
        <v>8.4789829623765378</v>
      </c>
      <c r="R40" s="159">
        <v>7.568130316615024</v>
      </c>
      <c r="S40" s="159">
        <v>6.0108441602727503</v>
      </c>
      <c r="T40" s="159">
        <v>6.5431934861040801</v>
      </c>
      <c r="U40" s="159">
        <v>8.5293500039980223</v>
      </c>
      <c r="V40" s="159">
        <v>9.8130968606994227</v>
      </c>
      <c r="W40" s="159">
        <v>11.098531368715118</v>
      </c>
      <c r="X40" s="159">
        <v>12.453485232269102</v>
      </c>
      <c r="Y40" s="159">
        <v>12.061554104453617</v>
      </c>
      <c r="Z40" s="159">
        <v>11.871226792730084</v>
      </c>
      <c r="AA40" s="159">
        <v>11.684917584374492</v>
      </c>
      <c r="AB40" s="159">
        <v>11.385473039728804</v>
      </c>
      <c r="AC40" s="159">
        <v>10.681682712874625</v>
      </c>
      <c r="AD40" s="159">
        <v>4.3941528259344542</v>
      </c>
      <c r="AE40" s="159">
        <v>4.0372162683651291</v>
      </c>
      <c r="AF40" s="159">
        <v>3.8411052329488795</v>
      </c>
      <c r="AG40" s="159">
        <v>3.5206240288790243</v>
      </c>
      <c r="AH40" s="159">
        <v>3.25645509544779</v>
      </c>
    </row>
    <row r="42" spans="1:37">
      <c r="B42" s="35" t="s">
        <v>352</v>
      </c>
      <c r="C42" s="35"/>
    </row>
    <row r="43" spans="1:37">
      <c r="A43" s="35"/>
      <c r="B43" s="35" t="s">
        <v>353</v>
      </c>
      <c r="C43" s="35" t="s">
        <v>109</v>
      </c>
      <c r="D43" s="35">
        <v>2020</v>
      </c>
      <c r="E43" s="35">
        <v>2021</v>
      </c>
      <c r="F43" s="35">
        <v>2022</v>
      </c>
      <c r="G43" s="35">
        <v>2023</v>
      </c>
      <c r="H43" s="35">
        <v>2024</v>
      </c>
      <c r="I43" s="35">
        <v>2025</v>
      </c>
      <c r="J43" s="35">
        <v>2026</v>
      </c>
      <c r="K43" s="35">
        <v>2027</v>
      </c>
      <c r="L43" s="35">
        <v>2028</v>
      </c>
      <c r="M43" s="35">
        <v>2029</v>
      </c>
      <c r="N43" s="35">
        <v>2030</v>
      </c>
      <c r="O43" s="35">
        <v>2031</v>
      </c>
      <c r="P43" s="35">
        <v>2032</v>
      </c>
      <c r="Q43" s="35">
        <v>2033</v>
      </c>
      <c r="R43" s="35">
        <v>2034</v>
      </c>
      <c r="S43" s="35">
        <v>2035</v>
      </c>
      <c r="T43" s="35">
        <v>2036</v>
      </c>
      <c r="U43" s="35">
        <v>2037</v>
      </c>
      <c r="V43" s="35">
        <v>2038</v>
      </c>
      <c r="W43" s="35">
        <v>2039</v>
      </c>
      <c r="X43" s="35">
        <v>2040</v>
      </c>
      <c r="Y43" s="35">
        <v>2041</v>
      </c>
      <c r="Z43" s="35">
        <v>2042</v>
      </c>
      <c r="AA43" s="35">
        <v>2043</v>
      </c>
      <c r="AB43" s="35">
        <v>2044</v>
      </c>
      <c r="AC43" s="35">
        <v>2045</v>
      </c>
      <c r="AD43" s="35">
        <v>2046</v>
      </c>
      <c r="AE43" s="35">
        <v>2047</v>
      </c>
      <c r="AF43" s="35">
        <v>2048</v>
      </c>
      <c r="AG43" s="35">
        <v>2049</v>
      </c>
      <c r="AH43" s="35">
        <v>2050</v>
      </c>
    </row>
    <row r="44" spans="1:37">
      <c r="B44" t="s">
        <v>344</v>
      </c>
      <c r="C44" t="s">
        <v>345</v>
      </c>
      <c r="D44" s="625">
        <v>2.1079609953565916</v>
      </c>
      <c r="E44" s="625">
        <v>5.4184623294523853</v>
      </c>
      <c r="F44" s="625">
        <v>17.543521394842383</v>
      </c>
      <c r="G44" s="625">
        <v>31.069360543823919</v>
      </c>
      <c r="H44" s="625">
        <v>36.819740921678161</v>
      </c>
      <c r="I44" s="625">
        <v>34.069635308281327</v>
      </c>
      <c r="J44" s="625">
        <v>30.296166047481204</v>
      </c>
      <c r="K44" s="625">
        <v>26.064750297901519</v>
      </c>
      <c r="L44" s="625">
        <v>17.784209999571129</v>
      </c>
      <c r="M44" s="625">
        <v>11.473105609267879</v>
      </c>
      <c r="N44" s="625">
        <v>6.0166615800858061</v>
      </c>
      <c r="O44" s="625">
        <v>3.1840115133004683</v>
      </c>
      <c r="P44" s="625">
        <v>2.7301839323168227</v>
      </c>
      <c r="Q44" s="625">
        <v>2.2763568199328601</v>
      </c>
      <c r="R44" s="625">
        <v>1.8225292389490031</v>
      </c>
      <c r="S44" s="625">
        <v>2.8351293859410483E-2</v>
      </c>
      <c r="T44" s="625">
        <v>2.3908523721992796E-2</v>
      </c>
      <c r="U44" s="625">
        <v>2.3831021480148627E-2</v>
      </c>
      <c r="V44" s="625">
        <v>1.5980901267281421E-2</v>
      </c>
      <c r="W44" s="625">
        <v>1.5903399025490289E-2</v>
      </c>
      <c r="X44" s="625">
        <v>1.5825896783752201E-2</v>
      </c>
      <c r="Y44" s="625">
        <v>1.5748394541908028E-2</v>
      </c>
      <c r="Z44" s="625">
        <v>1.5670892300169933E-2</v>
      </c>
      <c r="AA44" s="625">
        <v>1.5593390058431843E-2</v>
      </c>
      <c r="AB44" s="625">
        <v>1.551588781658767E-2</v>
      </c>
      <c r="AC44" s="625">
        <v>1.5438385574902617E-2</v>
      </c>
      <c r="AD44" s="625">
        <v>1.5360883333111487E-2</v>
      </c>
      <c r="AE44" s="625">
        <v>1.5283381091267312E-2</v>
      </c>
      <c r="AF44" s="625">
        <v>1.5205878849582265E-2</v>
      </c>
      <c r="AG44" s="625">
        <v>1.512837660773809E-2</v>
      </c>
      <c r="AH44" s="625">
        <v>1.5050874366E-2</v>
      </c>
    </row>
    <row r="45" spans="1:37">
      <c r="B45" s="713" t="s">
        <v>346</v>
      </c>
      <c r="C45" t="s">
        <v>110</v>
      </c>
      <c r="D45" s="159">
        <v>1.1622133212156616</v>
      </c>
      <c r="E45" s="159">
        <v>1.8640561399963698</v>
      </c>
      <c r="F45" s="159">
        <v>3.85818119439026</v>
      </c>
      <c r="G45" s="159">
        <v>5.1004272087117082</v>
      </c>
      <c r="H45" s="159">
        <v>6.95373801936526</v>
      </c>
      <c r="I45" s="159">
        <v>8.1827545042718661</v>
      </c>
      <c r="J45" s="159">
        <v>10.034526169378632</v>
      </c>
      <c r="K45" s="159">
        <v>11.877998565656092</v>
      </c>
      <c r="L45" s="159">
        <v>11.87202000777582</v>
      </c>
      <c r="M45" s="159">
        <v>11.876005899239601</v>
      </c>
      <c r="N45" s="159">
        <v>11.883517745589186</v>
      </c>
      <c r="O45" s="159">
        <v>10.914251438620973</v>
      </c>
      <c r="P45" s="159">
        <v>10.91840763135702</v>
      </c>
      <c r="Q45" s="159">
        <v>10.922274360625554</v>
      </c>
      <c r="R45" s="159">
        <v>10.925877896633661</v>
      </c>
      <c r="S45" s="159">
        <v>11.321466106326612</v>
      </c>
      <c r="T45" s="159">
        <v>11.317232928615828</v>
      </c>
      <c r="U45" s="159">
        <v>9.587377293563689</v>
      </c>
      <c r="V45" s="159">
        <v>7.5887953490687305</v>
      </c>
      <c r="W45" s="159">
        <v>3.3503812263835586</v>
      </c>
      <c r="X45" s="159">
        <v>3.8135673539158037</v>
      </c>
      <c r="Y45" s="159">
        <v>4.5105547462281406</v>
      </c>
      <c r="Z45" s="159">
        <v>5.2032810718939109</v>
      </c>
      <c r="AA45" s="159">
        <v>5.2023456446910643</v>
      </c>
      <c r="AB45" s="159">
        <v>5.2050414511388299</v>
      </c>
      <c r="AC45" s="159">
        <v>5.2089648348530373</v>
      </c>
      <c r="AD45" s="159">
        <v>4.7246692309618483</v>
      </c>
      <c r="AE45" s="159">
        <v>4.7277072710683354</v>
      </c>
      <c r="AF45" s="159">
        <v>4.7305290915657308</v>
      </c>
      <c r="AG45" s="159">
        <v>4.7331547759842243</v>
      </c>
      <c r="AH45" s="159">
        <v>4.6411610515078809</v>
      </c>
    </row>
    <row r="46" spans="1:37">
      <c r="B46" s="713"/>
      <c r="C46" t="s">
        <v>112</v>
      </c>
      <c r="D46" s="159">
        <v>1.1622133212156616</v>
      </c>
      <c r="E46" s="159">
        <v>1.8640561399963698</v>
      </c>
      <c r="F46" s="159">
        <v>2.1171261653041036</v>
      </c>
      <c r="G46" s="159">
        <v>2.3683730286230813</v>
      </c>
      <c r="H46" s="159">
        <v>2.9911629262653108</v>
      </c>
      <c r="I46" s="159">
        <v>2.9918585560587023</v>
      </c>
      <c r="J46" s="159">
        <v>3.8798832740188911</v>
      </c>
      <c r="K46" s="159">
        <v>3.8766202407584314</v>
      </c>
      <c r="L46" s="159">
        <v>5.1097586558319632</v>
      </c>
      <c r="M46" s="159">
        <v>4.6666352635546717</v>
      </c>
      <c r="N46" s="159">
        <v>3.9794565942231506</v>
      </c>
      <c r="O46" s="159">
        <v>2.1626054272668025</v>
      </c>
      <c r="P46" s="159">
        <v>2.2102333467674184</v>
      </c>
      <c r="Q46" s="159">
        <v>1.7288473948417027</v>
      </c>
      <c r="R46" s="159">
        <v>2.2250318522437404</v>
      </c>
      <c r="S46" s="159">
        <v>1.8858405164466221</v>
      </c>
      <c r="T46" s="159">
        <v>1.9064601958492637</v>
      </c>
      <c r="U46" s="159">
        <v>2.0618910898759002</v>
      </c>
      <c r="V46" s="159">
        <v>2.2167522301850084</v>
      </c>
      <c r="W46" s="159">
        <v>2.4795195791002707</v>
      </c>
      <c r="X46" s="159">
        <v>2.8021793499257437</v>
      </c>
      <c r="Y46" s="159">
        <v>2.5912793741260445</v>
      </c>
      <c r="Z46" s="159">
        <v>2.5553817779154362</v>
      </c>
      <c r="AA46" s="159">
        <v>2.8974927684341396</v>
      </c>
      <c r="AB46" s="159">
        <v>2.7313396330295796</v>
      </c>
      <c r="AC46" s="159">
        <v>2.524127306143745</v>
      </c>
      <c r="AD46" s="159">
        <v>1.6624021051864675</v>
      </c>
      <c r="AE46" s="159">
        <v>1.447935405057911</v>
      </c>
      <c r="AF46" s="159">
        <v>1.2687915498993925</v>
      </c>
      <c r="AG46" s="159">
        <v>1.4561388819369647</v>
      </c>
      <c r="AH46" s="159">
        <v>1.1122166456707694</v>
      </c>
    </row>
    <row r="47" spans="1:37">
      <c r="B47" s="713"/>
      <c r="C47" t="s">
        <v>342</v>
      </c>
      <c r="D47" s="159">
        <v>1.1622133212156616</v>
      </c>
      <c r="E47" s="159">
        <v>2.4876480067176305</v>
      </c>
      <c r="F47" s="159">
        <v>3.9841657947706843</v>
      </c>
      <c r="G47" s="159">
        <v>6.9600919116424018</v>
      </c>
      <c r="H47" s="159">
        <v>9.4260450277388532</v>
      </c>
      <c r="I47" s="159">
        <v>11.88669856700762</v>
      </c>
      <c r="J47" s="159">
        <v>13.947058845600914</v>
      </c>
      <c r="K47" s="159">
        <v>13.932760761824884</v>
      </c>
      <c r="L47" s="159">
        <v>11.692726454886602</v>
      </c>
      <c r="M47" s="159">
        <v>11.834633583702967</v>
      </c>
      <c r="N47" s="159">
        <v>11.977257169101771</v>
      </c>
      <c r="O47" s="159">
        <v>11.064519478499435</v>
      </c>
      <c r="P47" s="159">
        <v>4.4837669789031427</v>
      </c>
      <c r="Q47" s="159">
        <v>1.0381755776693902</v>
      </c>
      <c r="R47" s="159">
        <v>1.0423192487881801</v>
      </c>
      <c r="S47" s="159">
        <v>2.669077399728677</v>
      </c>
      <c r="T47" s="159">
        <v>2.1377292110566999</v>
      </c>
      <c r="U47" s="159">
        <v>2.7341762293461462</v>
      </c>
      <c r="V47" s="159">
        <v>3.9162025182135651</v>
      </c>
      <c r="W47" s="159">
        <v>4.7802034595069456</v>
      </c>
      <c r="X47" s="159">
        <v>5.4967757310113141</v>
      </c>
      <c r="Y47" s="159">
        <v>5.9272806573939754</v>
      </c>
      <c r="Z47" s="159">
        <v>5.9233541134894931</v>
      </c>
      <c r="AA47" s="159">
        <v>5.0846568266739975</v>
      </c>
      <c r="AB47" s="159">
        <v>5.1390805903133669</v>
      </c>
      <c r="AC47" s="159">
        <v>5.1936771525337821</v>
      </c>
      <c r="AD47" s="159">
        <v>4.7793815297741498</v>
      </c>
      <c r="AE47" s="159">
        <v>2.3174198565837831</v>
      </c>
      <c r="AF47" s="159">
        <v>1.0253454052799722</v>
      </c>
      <c r="AG47" s="159">
        <v>1.0268202715756896</v>
      </c>
      <c r="AH47" s="159">
        <v>1.418768199014999</v>
      </c>
    </row>
    <row r="48" spans="1:37">
      <c r="B48" s="713"/>
      <c r="C48" t="s">
        <v>343</v>
      </c>
      <c r="D48" s="159">
        <v>1.1622133212156616</v>
      </c>
      <c r="E48" s="159">
        <v>3.061532119302258</v>
      </c>
      <c r="F48" s="159">
        <v>8.7675188151708721</v>
      </c>
      <c r="G48" s="159">
        <v>12.621634086368607</v>
      </c>
      <c r="H48" s="159">
        <v>16.459931122012609</v>
      </c>
      <c r="I48" s="159">
        <v>20.049661725033513</v>
      </c>
      <c r="J48" s="159">
        <v>19.628556896743994</v>
      </c>
      <c r="K48" s="159">
        <v>19.61400863309391</v>
      </c>
      <c r="L48" s="159">
        <v>19.61057408477598</v>
      </c>
      <c r="M48" s="159">
        <v>19.385389832626934</v>
      </c>
      <c r="N48" s="159">
        <v>18.352713451883972</v>
      </c>
      <c r="O48" s="159">
        <v>1.747755525346194</v>
      </c>
      <c r="P48" s="159">
        <v>1.2986097646988493</v>
      </c>
      <c r="Q48" s="159">
        <v>1.277626142443677</v>
      </c>
      <c r="R48" s="159">
        <v>1.0081010776660211</v>
      </c>
      <c r="S48" s="159">
        <v>1.4324928664133401</v>
      </c>
      <c r="T48" s="159">
        <v>2.1567849623820878</v>
      </c>
      <c r="U48" s="159">
        <v>4.3305189825178738</v>
      </c>
      <c r="V48" s="159">
        <v>5.8096159594321417</v>
      </c>
      <c r="W48" s="159">
        <v>7.2826279696896288</v>
      </c>
      <c r="X48" s="159">
        <v>8.825159335485349</v>
      </c>
      <c r="Y48" s="159">
        <v>8.620805709911707</v>
      </c>
      <c r="Z48" s="159">
        <v>8.6180559004299138</v>
      </c>
      <c r="AA48" s="159">
        <v>8.6193241943160608</v>
      </c>
      <c r="AB48" s="159">
        <v>8.5074571519122166</v>
      </c>
      <c r="AC48" s="159">
        <v>7.9912443272997242</v>
      </c>
      <c r="AD48" s="159">
        <v>1.891291942601343</v>
      </c>
      <c r="AE48" s="159">
        <v>1.7219328872738617</v>
      </c>
      <c r="AF48" s="159">
        <v>1.7133993540992973</v>
      </c>
      <c r="AG48" s="159">
        <v>1.5804956522712859</v>
      </c>
      <c r="AH48" s="159">
        <v>1.5039042210817901</v>
      </c>
    </row>
    <row r="49" spans="1:34">
      <c r="B49" s="713" t="s">
        <v>347</v>
      </c>
      <c r="C49" t="s">
        <v>110</v>
      </c>
      <c r="D49" s="159">
        <v>3.8316381295846886</v>
      </c>
      <c r="E49" s="159">
        <v>3.5831753323194002</v>
      </c>
      <c r="F49" s="159">
        <v>5.0897605010045996</v>
      </c>
      <c r="G49" s="159">
        <v>5.4913162619310061</v>
      </c>
      <c r="H49" s="159">
        <v>5.892872022857393</v>
      </c>
      <c r="I49" s="159">
        <v>6.287491614666652</v>
      </c>
      <c r="J49" s="159">
        <v>6.4510757510545824</v>
      </c>
      <c r="K49" s="159">
        <v>6.7416029725475797</v>
      </c>
      <c r="L49" s="159">
        <v>7.0321301940404668</v>
      </c>
      <c r="M49" s="159">
        <v>7.3226574155334774</v>
      </c>
      <c r="N49" s="159">
        <v>7.6131846370262801</v>
      </c>
      <c r="O49" s="159">
        <v>5.1744280802037066</v>
      </c>
      <c r="P49" s="159">
        <v>5.1740639273740783</v>
      </c>
      <c r="Q49" s="159">
        <v>5.1736997745443096</v>
      </c>
      <c r="R49" s="159">
        <v>5.1733356217146849</v>
      </c>
      <c r="S49" s="159">
        <v>5.1729714688849127</v>
      </c>
      <c r="T49" s="159">
        <v>5.1726073160552026</v>
      </c>
      <c r="U49" s="159">
        <v>5.1722431632255796</v>
      </c>
      <c r="V49" s="159">
        <v>5.1718790103957808</v>
      </c>
      <c r="W49" s="159">
        <v>5.1715148575661152</v>
      </c>
      <c r="X49" s="159">
        <v>5.1711507047364114</v>
      </c>
      <c r="Y49" s="159">
        <v>5.1707865519067671</v>
      </c>
      <c r="Z49" s="159">
        <v>5.1704223990770997</v>
      </c>
      <c r="AA49" s="159">
        <v>5.170058246247363</v>
      </c>
      <c r="AB49" s="159">
        <v>5.1696940934176867</v>
      </c>
      <c r="AC49" s="159">
        <v>5.1693299405880486</v>
      </c>
      <c r="AD49" s="159">
        <v>2.4097971680512762</v>
      </c>
      <c r="AE49" s="159">
        <v>2.4097971680511816</v>
      </c>
      <c r="AF49" s="159">
        <v>2.4097971680511896</v>
      </c>
      <c r="AG49" s="159">
        <v>2.4097971680512762</v>
      </c>
      <c r="AH49" s="159">
        <v>2.4097971680510941</v>
      </c>
    </row>
    <row r="50" spans="1:34">
      <c r="B50" s="713"/>
      <c r="C50" t="s">
        <v>112</v>
      </c>
      <c r="D50" s="159">
        <v>3.8316381295846886</v>
      </c>
      <c r="E50" s="159">
        <v>3.5831753323194002</v>
      </c>
      <c r="F50" s="159">
        <v>5.0897605010045996</v>
      </c>
      <c r="G50" s="159">
        <v>5.4913162619310061</v>
      </c>
      <c r="H50" s="159">
        <v>5.892872022857393</v>
      </c>
      <c r="I50" s="159">
        <v>6.287491614666652</v>
      </c>
      <c r="J50" s="159">
        <v>6.4510757510545824</v>
      </c>
      <c r="K50" s="159">
        <v>6.7416029725475797</v>
      </c>
      <c r="L50" s="159">
        <v>7.0321301940404668</v>
      </c>
      <c r="M50" s="159">
        <v>7.3226574155334774</v>
      </c>
      <c r="N50" s="159">
        <v>7.6131846370262801</v>
      </c>
      <c r="O50" s="159">
        <v>5.1744280802037066</v>
      </c>
      <c r="P50" s="159">
        <v>5.1740639273740783</v>
      </c>
      <c r="Q50" s="159">
        <v>5.1736997745443096</v>
      </c>
      <c r="R50" s="159">
        <v>5.1733356217146849</v>
      </c>
      <c r="S50" s="159">
        <v>5.1729714688849127</v>
      </c>
      <c r="T50" s="159">
        <v>5.1726073160552026</v>
      </c>
      <c r="U50" s="159">
        <v>5.1722431632255796</v>
      </c>
      <c r="V50" s="159">
        <v>5.1718790103957808</v>
      </c>
      <c r="W50" s="159">
        <v>5.1715148575661152</v>
      </c>
      <c r="X50" s="159">
        <v>5.1711507047364114</v>
      </c>
      <c r="Y50" s="159">
        <v>5.1707865519067671</v>
      </c>
      <c r="Z50" s="159">
        <v>5.1704223990770997</v>
      </c>
      <c r="AA50" s="159">
        <v>5.170058246247363</v>
      </c>
      <c r="AB50" s="159">
        <v>5.1696940934176867</v>
      </c>
      <c r="AC50" s="159">
        <v>5.1693299405880486</v>
      </c>
      <c r="AD50" s="159">
        <v>2.4097971680512762</v>
      </c>
      <c r="AE50" s="159">
        <v>2.4097971680511816</v>
      </c>
      <c r="AF50" s="159">
        <v>2.4097971680511896</v>
      </c>
      <c r="AG50" s="159">
        <v>2.4097971680512762</v>
      </c>
      <c r="AH50" s="159">
        <v>2.4097971680510941</v>
      </c>
    </row>
    <row r="51" spans="1:34">
      <c r="B51" s="713"/>
      <c r="C51" t="s">
        <v>342</v>
      </c>
      <c r="D51" s="159">
        <v>4.0088006827339013</v>
      </c>
      <c r="E51" s="159">
        <v>3.760259419956697</v>
      </c>
      <c r="F51" s="159">
        <v>5.2667661231299849</v>
      </c>
      <c r="G51" s="159">
        <v>5.668243418544475</v>
      </c>
      <c r="H51" s="159">
        <v>6.0697207139589491</v>
      </c>
      <c r="I51" s="159">
        <v>6.4632156334307789</v>
      </c>
      <c r="J51" s="159">
        <v>9.6904569332893278</v>
      </c>
      <c r="K51" s="159">
        <v>9.980410760587521</v>
      </c>
      <c r="L51" s="159">
        <v>10.270364587885597</v>
      </c>
      <c r="M51" s="159">
        <v>10.56031841518382</v>
      </c>
      <c r="N51" s="159">
        <v>10.850272242481804</v>
      </c>
      <c r="O51" s="159">
        <v>9.4118563889578084</v>
      </c>
      <c r="P51" s="159">
        <v>9.410762584095945</v>
      </c>
      <c r="Q51" s="159">
        <v>9.409668779233975</v>
      </c>
      <c r="R51" s="159">
        <v>9.408574974372117</v>
      </c>
      <c r="S51" s="159">
        <v>9.4074811695101168</v>
      </c>
      <c r="T51" s="159">
        <v>9.4063873646482126</v>
      </c>
      <c r="U51" s="159">
        <v>9.4052935597863563</v>
      </c>
      <c r="V51" s="159">
        <v>9.4041997549243401</v>
      </c>
      <c r="W51" s="159">
        <v>9.4031059500624501</v>
      </c>
      <c r="X51" s="159">
        <v>9.4020121452005032</v>
      </c>
      <c r="Y51" s="159">
        <v>9.4009183403386718</v>
      </c>
      <c r="Z51" s="159">
        <v>9.3998245354767498</v>
      </c>
      <c r="AA51" s="159">
        <v>9.3987307306148402</v>
      </c>
      <c r="AB51" s="159">
        <v>9.3976369257529111</v>
      </c>
      <c r="AC51" s="159">
        <v>9.3965431208910637</v>
      </c>
      <c r="AD51" s="159">
        <v>2.4097971680512762</v>
      </c>
      <c r="AE51" s="159">
        <v>2.4097971680511816</v>
      </c>
      <c r="AF51" s="159">
        <v>2.4097971680511896</v>
      </c>
      <c r="AG51" s="159">
        <v>2.4097971680512762</v>
      </c>
      <c r="AH51" s="159">
        <v>2.4097971680510941</v>
      </c>
    </row>
    <row r="52" spans="1:34">
      <c r="B52" s="713"/>
      <c r="C52" t="s">
        <v>343</v>
      </c>
      <c r="D52" s="159">
        <v>4.0076299197905803</v>
      </c>
      <c r="E52" s="159">
        <v>3.9876544439901767</v>
      </c>
      <c r="F52" s="159">
        <v>5.98992027860072</v>
      </c>
      <c r="G52" s="159">
        <v>6.556259953665398</v>
      </c>
      <c r="H52" s="159">
        <v>7.9793573787186478</v>
      </c>
      <c r="I52" s="159">
        <v>9.7238977213712783</v>
      </c>
      <c r="J52" s="159">
        <v>14.041314160121026</v>
      </c>
      <c r="K52" s="159">
        <v>14.351541203552143</v>
      </c>
      <c r="L52" s="159">
        <v>14.964548627806851</v>
      </c>
      <c r="M52" s="159">
        <v>15.490765168644533</v>
      </c>
      <c r="N52" s="159">
        <v>15.998083819166427</v>
      </c>
      <c r="O52" s="159">
        <v>0</v>
      </c>
      <c r="P52" s="159">
        <v>0</v>
      </c>
      <c r="Q52" s="159">
        <v>0</v>
      </c>
      <c r="R52" s="159">
        <v>0</v>
      </c>
      <c r="S52" s="159">
        <v>0</v>
      </c>
      <c r="T52" s="159">
        <v>0</v>
      </c>
      <c r="U52" s="159">
        <v>0</v>
      </c>
      <c r="V52" s="159">
        <v>0</v>
      </c>
      <c r="W52" s="159">
        <v>0</v>
      </c>
      <c r="X52" s="159">
        <v>0</v>
      </c>
      <c r="Y52" s="159">
        <v>0</v>
      </c>
      <c r="Z52" s="159">
        <v>0</v>
      </c>
      <c r="AA52" s="159">
        <v>0</v>
      </c>
      <c r="AB52" s="159">
        <v>0</v>
      </c>
      <c r="AC52" s="159">
        <v>0</v>
      </c>
      <c r="AD52" s="159">
        <v>0</v>
      </c>
      <c r="AE52" s="159">
        <v>0</v>
      </c>
      <c r="AF52" s="159">
        <v>0</v>
      </c>
      <c r="AG52" s="159">
        <v>0</v>
      </c>
      <c r="AH52" s="159">
        <v>0</v>
      </c>
    </row>
    <row r="53" spans="1:34">
      <c r="B53" s="713" t="s">
        <v>348</v>
      </c>
      <c r="C53" t="s">
        <v>112</v>
      </c>
      <c r="D53" s="159">
        <v>0</v>
      </c>
      <c r="E53" s="159">
        <v>0</v>
      </c>
      <c r="F53" s="159">
        <v>0</v>
      </c>
      <c r="G53" s="159">
        <v>0</v>
      </c>
      <c r="H53" s="159">
        <v>0</v>
      </c>
      <c r="I53" s="159">
        <v>0</v>
      </c>
      <c r="J53" s="159">
        <v>0</v>
      </c>
      <c r="K53" s="159">
        <v>0</v>
      </c>
      <c r="L53" s="159">
        <v>0</v>
      </c>
      <c r="M53" s="159">
        <v>0</v>
      </c>
      <c r="N53" s="159">
        <v>0</v>
      </c>
      <c r="O53" s="159">
        <v>0</v>
      </c>
      <c r="P53" s="159">
        <v>0.26538120888882838</v>
      </c>
      <c r="Q53" s="159">
        <v>0.24667995990296823</v>
      </c>
      <c r="R53" s="159">
        <v>0.23021355677480176</v>
      </c>
      <c r="S53" s="159">
        <v>0.2053468708593153</v>
      </c>
      <c r="T53" s="159">
        <v>0.39607166350220696</v>
      </c>
      <c r="U53" s="159">
        <v>0.35409994151000534</v>
      </c>
      <c r="V53" s="159">
        <v>0.3117438597236567</v>
      </c>
      <c r="W53" s="159">
        <v>2.3304437550863595</v>
      </c>
      <c r="X53" s="159">
        <v>1.7066211331475369</v>
      </c>
      <c r="Y53" s="159">
        <v>1.4762675034368287</v>
      </c>
      <c r="Z53" s="159">
        <v>1.2503293014759909</v>
      </c>
      <c r="AA53" s="159">
        <v>1.0275931973267589</v>
      </c>
      <c r="AB53" s="159">
        <v>0</v>
      </c>
      <c r="AC53" s="159">
        <v>1.5338280457704407</v>
      </c>
      <c r="AD53" s="159">
        <v>1.1526218383526241</v>
      </c>
      <c r="AE53" s="159">
        <v>1.9186467119766704</v>
      </c>
      <c r="AF53" s="159">
        <v>1.8808482741457067</v>
      </c>
      <c r="AG53" s="159">
        <v>1.8433942875740936</v>
      </c>
      <c r="AH53" s="159">
        <v>1.8044231879651123</v>
      </c>
    </row>
    <row r="54" spans="1:34">
      <c r="B54" s="713"/>
      <c r="C54" t="s">
        <v>343</v>
      </c>
      <c r="D54" s="159">
        <v>0</v>
      </c>
      <c r="E54" s="159">
        <v>0</v>
      </c>
      <c r="F54" s="159">
        <v>0</v>
      </c>
      <c r="G54" s="159">
        <v>0</v>
      </c>
      <c r="H54" s="159">
        <v>0</v>
      </c>
      <c r="I54" s="159">
        <v>0</v>
      </c>
      <c r="J54" s="159">
        <v>0</v>
      </c>
      <c r="K54" s="159">
        <v>0</v>
      </c>
      <c r="L54" s="159">
        <v>0</v>
      </c>
      <c r="M54" s="159">
        <v>0</v>
      </c>
      <c r="N54" s="159">
        <v>0</v>
      </c>
      <c r="O54" s="159">
        <v>0</v>
      </c>
      <c r="P54" s="159">
        <v>0</v>
      </c>
      <c r="Q54" s="159">
        <v>0</v>
      </c>
      <c r="R54" s="159">
        <v>0</v>
      </c>
      <c r="S54" s="159">
        <v>0</v>
      </c>
      <c r="T54" s="159">
        <v>0</v>
      </c>
      <c r="U54" s="159">
        <v>0</v>
      </c>
      <c r="V54" s="159">
        <v>0</v>
      </c>
      <c r="W54" s="159">
        <v>0</v>
      </c>
      <c r="X54" s="159">
        <v>0</v>
      </c>
      <c r="Y54" s="159">
        <v>0</v>
      </c>
      <c r="Z54" s="159">
        <v>0</v>
      </c>
      <c r="AA54" s="159">
        <v>0</v>
      </c>
      <c r="AB54" s="159">
        <v>0</v>
      </c>
      <c r="AC54" s="159">
        <v>0</v>
      </c>
      <c r="AD54" s="159">
        <v>0</v>
      </c>
      <c r="AE54" s="159">
        <v>0</v>
      </c>
      <c r="AF54" s="159">
        <v>0</v>
      </c>
      <c r="AG54" s="159">
        <v>0</v>
      </c>
      <c r="AH54" s="159">
        <v>0</v>
      </c>
    </row>
    <row r="55" spans="1:34">
      <c r="B55" s="629" t="s">
        <v>349</v>
      </c>
      <c r="C55" t="s">
        <v>345</v>
      </c>
      <c r="D55" s="159">
        <v>1.25</v>
      </c>
      <c r="E55" s="159">
        <v>2.5</v>
      </c>
      <c r="F55" s="159">
        <v>3.75</v>
      </c>
      <c r="G55" s="159">
        <v>5</v>
      </c>
      <c r="H55" s="159">
        <v>5.1124999999999998</v>
      </c>
      <c r="I55" s="159">
        <v>5.2249999999999996</v>
      </c>
      <c r="J55" s="159">
        <v>5.3375000000000004</v>
      </c>
      <c r="K55" s="159">
        <v>5.45</v>
      </c>
      <c r="L55" s="159">
        <v>5.5625</v>
      </c>
      <c r="M55" s="159">
        <v>5.6749999999999998</v>
      </c>
      <c r="N55" s="159">
        <v>5.4874999999999998</v>
      </c>
      <c r="O55" s="159">
        <v>5.3</v>
      </c>
      <c r="P55" s="159">
        <v>5.1124999999999998</v>
      </c>
      <c r="Q55" s="159">
        <v>4.9249999999999998</v>
      </c>
      <c r="R55" s="159">
        <v>4.7374999999999998</v>
      </c>
      <c r="S55" s="159">
        <v>4.55</v>
      </c>
      <c r="T55" s="159">
        <v>4.3624999999999998</v>
      </c>
      <c r="U55" s="159">
        <v>4.1749999999999998</v>
      </c>
      <c r="V55" s="159">
        <v>3.9874999999999998</v>
      </c>
      <c r="W55" s="159">
        <v>3.8</v>
      </c>
      <c r="X55" s="159">
        <v>3.6124999999999998</v>
      </c>
      <c r="Y55" s="159">
        <v>3.4249999999999998</v>
      </c>
      <c r="Z55" s="159">
        <v>3.2374999999999998</v>
      </c>
      <c r="AA55" s="159">
        <v>3.05</v>
      </c>
      <c r="AB55" s="159">
        <v>2.8624999999999998</v>
      </c>
      <c r="AC55" s="159">
        <v>2.6749999999999998</v>
      </c>
      <c r="AD55" s="159">
        <v>2.4874999999999998</v>
      </c>
      <c r="AE55" s="159">
        <v>2.2999999999999998</v>
      </c>
      <c r="AF55" s="159">
        <v>2.1124999999999998</v>
      </c>
      <c r="AG55" s="159">
        <v>1.925</v>
      </c>
      <c r="AH55" s="159">
        <v>1.7375</v>
      </c>
    </row>
    <row r="56" spans="1:34">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row>
    <row r="58" spans="1:34">
      <c r="A58" s="626"/>
      <c r="B58" s="627" t="s">
        <v>11</v>
      </c>
      <c r="C58" s="626"/>
      <c r="D58" s="626"/>
      <c r="E58" s="626"/>
      <c r="F58" s="626"/>
      <c r="G58" s="626"/>
      <c r="H58" s="626"/>
      <c r="I58" s="626"/>
      <c r="J58" s="626"/>
      <c r="K58" s="626"/>
      <c r="L58" s="626"/>
      <c r="M58" s="626"/>
      <c r="N58" s="626"/>
      <c r="O58" s="626"/>
      <c r="P58" s="626"/>
      <c r="Q58" s="626"/>
      <c r="R58" s="626"/>
      <c r="S58" s="626"/>
      <c r="T58" s="626"/>
      <c r="U58" s="626"/>
      <c r="V58" s="626"/>
      <c r="W58" s="626"/>
      <c r="X58" s="626"/>
      <c r="Y58" s="626"/>
      <c r="Z58" s="626"/>
      <c r="AA58" s="626"/>
      <c r="AB58" s="626"/>
      <c r="AC58" s="626"/>
      <c r="AD58" s="626"/>
      <c r="AE58" s="626"/>
      <c r="AF58" s="626"/>
      <c r="AG58" s="626"/>
      <c r="AH58" s="626"/>
    </row>
    <row r="60" spans="1:34">
      <c r="A60" s="305"/>
      <c r="B60" s="628" t="s">
        <v>354</v>
      </c>
      <c r="C60" s="305"/>
      <c r="D60" s="305"/>
      <c r="E60" s="305"/>
      <c r="F60" s="305"/>
      <c r="G60" s="305"/>
      <c r="H60" s="305"/>
      <c r="I60" s="305"/>
      <c r="J60" s="305"/>
      <c r="K60" s="305"/>
      <c r="L60" s="305"/>
      <c r="M60" s="305"/>
      <c r="N60" s="305"/>
      <c r="O60" s="305"/>
      <c r="P60" s="305"/>
      <c r="Q60" s="305"/>
      <c r="R60" s="305"/>
      <c r="S60" s="305"/>
      <c r="T60" s="305"/>
      <c r="U60" s="305"/>
      <c r="V60" s="305"/>
      <c r="W60" s="305"/>
      <c r="X60" s="305"/>
      <c r="Y60" s="305"/>
      <c r="Z60" s="305"/>
      <c r="AA60" s="305"/>
      <c r="AB60" s="305"/>
      <c r="AC60" s="305"/>
      <c r="AD60" s="305"/>
      <c r="AE60" s="305"/>
      <c r="AF60" s="305"/>
      <c r="AG60" s="305"/>
      <c r="AH60" s="305"/>
    </row>
    <row r="61" spans="1:34">
      <c r="B61" s="53" t="s">
        <v>355</v>
      </c>
    </row>
    <row r="62" spans="1:34">
      <c r="B62" s="53" t="s">
        <v>356</v>
      </c>
    </row>
    <row r="64" spans="1:34">
      <c r="A64" s="305"/>
      <c r="B64" s="628" t="s">
        <v>357</v>
      </c>
      <c r="C64" s="305"/>
      <c r="D64" s="305"/>
      <c r="E64" s="305"/>
      <c r="F64" s="305"/>
      <c r="G64" s="305"/>
      <c r="H64" s="305"/>
      <c r="I64" s="305"/>
      <c r="J64" s="305"/>
      <c r="K64" s="305"/>
      <c r="L64" s="305"/>
      <c r="M64" s="305"/>
      <c r="N64" s="305"/>
      <c r="O64" s="305"/>
      <c r="P64" s="305"/>
      <c r="Q64" s="305"/>
      <c r="R64" s="305"/>
      <c r="S64" s="305"/>
      <c r="T64" s="305"/>
      <c r="U64" s="305"/>
      <c r="V64" s="305"/>
      <c r="W64" s="305"/>
      <c r="X64" s="305"/>
      <c r="Y64" s="305"/>
      <c r="Z64" s="305"/>
      <c r="AA64" s="305"/>
      <c r="AB64" s="305"/>
      <c r="AC64" s="305"/>
      <c r="AD64" s="305"/>
      <c r="AE64" s="305"/>
      <c r="AF64" s="305"/>
      <c r="AG64" s="305"/>
      <c r="AH64" s="305"/>
    </row>
    <row r="65" spans="1:34">
      <c r="B65" s="53" t="s">
        <v>358</v>
      </c>
    </row>
    <row r="66" spans="1:34">
      <c r="B66" s="53" t="s">
        <v>359</v>
      </c>
    </row>
    <row r="67" spans="1:34">
      <c r="B67" s="53" t="s">
        <v>360</v>
      </c>
    </row>
    <row r="69" spans="1:34">
      <c r="A69" s="305"/>
      <c r="B69" s="628" t="s">
        <v>361</v>
      </c>
      <c r="C69" s="305"/>
      <c r="D69" s="305"/>
      <c r="E69" s="305"/>
      <c r="F69" s="305"/>
      <c r="G69" s="305"/>
      <c r="H69" s="305"/>
      <c r="I69" s="305"/>
      <c r="J69" s="305"/>
      <c r="K69" s="305"/>
      <c r="L69" s="305"/>
      <c r="M69" s="305"/>
      <c r="N69" s="305"/>
      <c r="O69" s="305"/>
      <c r="P69" s="305"/>
      <c r="Q69" s="305"/>
      <c r="R69" s="305"/>
      <c r="S69" s="305"/>
      <c r="T69" s="305"/>
      <c r="U69" s="305"/>
      <c r="V69" s="305"/>
      <c r="W69" s="305"/>
      <c r="X69" s="305"/>
      <c r="Y69" s="305"/>
      <c r="Z69" s="305"/>
      <c r="AA69" s="305"/>
      <c r="AB69" s="305"/>
      <c r="AC69" s="305"/>
      <c r="AD69" s="305"/>
      <c r="AE69" s="305"/>
      <c r="AF69" s="305"/>
      <c r="AG69" s="305"/>
      <c r="AH69" s="305"/>
    </row>
    <row r="70" spans="1:34">
      <c r="B70" s="53" t="s">
        <v>362</v>
      </c>
    </row>
    <row r="71" spans="1:34">
      <c r="B71" s="53" t="s">
        <v>363</v>
      </c>
    </row>
    <row r="72" spans="1:34">
      <c r="B72" s="53" t="s">
        <v>364</v>
      </c>
    </row>
  </sheetData>
  <sheetProtection algorithmName="SHA-512" hashValue="Voskkfs55z5kHTo62iXebwAFjaXBmOygeiSmOdtCI6B1d7zld0wZ05BzeiM3F2aue0MdkEm/Cu6uldXOZwfkUg==" saltValue="L5UoNr9p3Jox8LYmPRMpKQ==" spinCount="100000" sheet="1" objects="1" scenarios="1"/>
  <mergeCells count="5">
    <mergeCell ref="B7:B10"/>
    <mergeCell ref="B45:B48"/>
    <mergeCell ref="B49:B52"/>
    <mergeCell ref="B53:B54"/>
    <mergeCell ref="B37:B40"/>
  </mergeCells>
  <conditionalFormatting sqref="D7:AH10">
    <cfRule type="colorScale" priority="4">
      <colorScale>
        <cfvo type="min"/>
        <cfvo type="max"/>
        <color rgb="FFFCFCFF"/>
        <color rgb="FF63BE7B"/>
      </colorScale>
    </cfRule>
  </conditionalFormatting>
  <conditionalFormatting sqref="D14:AH26 D28:AH32">
    <cfRule type="colorScale" priority="3">
      <colorScale>
        <cfvo type="min"/>
        <cfvo type="max"/>
        <color rgb="FFFCFCFF"/>
        <color rgb="FF63BE7B"/>
      </colorScale>
    </cfRule>
  </conditionalFormatting>
  <conditionalFormatting sqref="D37:AH40">
    <cfRule type="colorScale" priority="2">
      <colorScale>
        <cfvo type="min"/>
        <cfvo type="max"/>
        <color rgb="FFFCFCFF"/>
        <color rgb="FF63BE7B"/>
      </colorScale>
    </cfRule>
  </conditionalFormatting>
  <conditionalFormatting sqref="D44:AH55">
    <cfRule type="colorScale" priority="1">
      <colorScale>
        <cfvo type="min"/>
        <cfvo type="max"/>
        <color rgb="FFFCFCFF"/>
        <color rgb="FF63BE7B"/>
      </colorScale>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717174"/>
  </sheetPr>
  <dimension ref="A1:AB55"/>
  <sheetViews>
    <sheetView topLeftCell="A2" workbookViewId="0">
      <selection activeCell="H32" sqref="H32"/>
    </sheetView>
  </sheetViews>
  <sheetFormatPr defaultColWidth="0" defaultRowHeight="15" zeroHeight="1"/>
  <cols>
    <col min="1" max="28" width="9.140625" style="50" customWidth="1"/>
    <col min="29" max="16384" width="9.140625" style="50" hidden="1"/>
  </cols>
  <sheetData>
    <row r="1" spans="2:2"/>
    <row r="2" spans="2:2"/>
    <row r="3" spans="2:2" ht="46.5">
      <c r="B3" s="51" t="s">
        <v>365</v>
      </c>
    </row>
    <row r="4" spans="2:2"/>
    <row r="5" spans="2:2"/>
    <row r="6" spans="2:2"/>
    <row r="7" spans="2:2"/>
    <row r="8" spans="2:2"/>
    <row r="9" spans="2:2"/>
    <row r="10" spans="2:2"/>
    <row r="11" spans="2:2"/>
    <row r="12" spans="2:2"/>
    <row r="13" spans="2:2"/>
    <row r="14" spans="2:2"/>
    <row r="15" spans="2:2"/>
    <row r="16" spans="2:2"/>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8" tint="0.79998168889431442"/>
  </sheetPr>
  <dimension ref="A2:CY702"/>
  <sheetViews>
    <sheetView zoomScale="90" zoomScaleNormal="90" workbookViewId="0">
      <pane xSplit="3" ySplit="3" topLeftCell="AE15" activePane="bottomRight" state="frozen"/>
      <selection pane="topRight" activeCell="O35" sqref="O35"/>
      <selection pane="bottomLeft" activeCell="O35" sqref="O35"/>
      <selection pane="bottomRight" activeCell="O35" sqref="O35"/>
    </sheetView>
  </sheetViews>
  <sheetFormatPr defaultColWidth="9.140625" defaultRowHeight="15"/>
  <cols>
    <col min="1" max="1" width="59.42578125" customWidth="1"/>
    <col min="2" max="2" width="12.5703125" customWidth="1"/>
    <col min="3" max="3" width="54.5703125" customWidth="1"/>
    <col min="4" max="4" width="34.5703125" customWidth="1"/>
    <col min="5" max="5" width="22.85546875" customWidth="1"/>
    <col min="6" max="14" width="19" customWidth="1"/>
    <col min="15" max="15" width="19" bestFit="1" customWidth="1"/>
    <col min="16" max="39" width="19" customWidth="1"/>
    <col min="40" max="41" width="19" bestFit="1" customWidth="1"/>
    <col min="42" max="42" width="75" bestFit="1" customWidth="1"/>
    <col min="43" max="49" width="19" bestFit="1" customWidth="1"/>
    <col min="50" max="50" width="15.140625" bestFit="1" customWidth="1"/>
    <col min="51" max="51" width="16.140625" bestFit="1" customWidth="1"/>
    <col min="52" max="54" width="18" bestFit="1" customWidth="1"/>
    <col min="55" max="55" width="19" bestFit="1" customWidth="1"/>
    <col min="56" max="56" width="12.140625" bestFit="1" customWidth="1"/>
    <col min="57" max="59" width="9.42578125" bestFit="1" customWidth="1"/>
    <col min="60" max="60" width="19" bestFit="1" customWidth="1"/>
    <col min="61" max="64" width="9.42578125" bestFit="1" customWidth="1"/>
    <col min="65" max="65" width="19" bestFit="1" customWidth="1"/>
    <col min="66" max="69" width="9.42578125" bestFit="1" customWidth="1"/>
    <col min="70" max="70" width="19" bestFit="1" customWidth="1"/>
    <col min="71" max="74" width="9.42578125" bestFit="1" customWidth="1"/>
    <col min="75" max="75" width="19" bestFit="1" customWidth="1"/>
    <col min="76" max="79" width="9.42578125" bestFit="1" customWidth="1"/>
    <col min="80" max="80" width="18" bestFit="1" customWidth="1"/>
    <col min="81" max="87" width="9.42578125" bestFit="1" customWidth="1"/>
    <col min="88" max="88" width="14.140625" bestFit="1" customWidth="1"/>
    <col min="89" max="90" width="9.42578125" bestFit="1" customWidth="1"/>
    <col min="91" max="91" width="15.140625" bestFit="1" customWidth="1"/>
    <col min="92" max="93" width="9.42578125" bestFit="1" customWidth="1"/>
    <col min="94" max="94" width="18" bestFit="1" customWidth="1"/>
    <col min="95" max="96" width="9.42578125" bestFit="1" customWidth="1"/>
    <col min="97" max="97" width="16.140625" bestFit="1" customWidth="1"/>
    <col min="98" max="103" width="9.42578125" bestFit="1" customWidth="1"/>
  </cols>
  <sheetData>
    <row r="2" spans="1:103">
      <c r="E2" s="159"/>
      <c r="F2" s="159"/>
      <c r="G2" s="159"/>
      <c r="H2" s="159"/>
      <c r="I2" s="159"/>
      <c r="J2" s="159"/>
      <c r="K2" s="159"/>
      <c r="L2" s="159"/>
      <c r="M2" s="159"/>
      <c r="N2" s="159"/>
      <c r="O2" s="159"/>
      <c r="P2" s="159"/>
      <c r="Q2" s="159"/>
      <c r="R2" s="159"/>
      <c r="S2" s="159"/>
      <c r="T2" s="159"/>
      <c r="U2" s="159"/>
      <c r="V2" s="159"/>
      <c r="W2" s="159"/>
      <c r="X2" s="159"/>
      <c r="Y2" s="159"/>
      <c r="Z2" s="159"/>
      <c r="AA2" s="159"/>
      <c r="AB2" s="159"/>
      <c r="AC2" s="159"/>
      <c r="AD2" s="159"/>
      <c r="AE2" s="159"/>
      <c r="AF2" s="159"/>
      <c r="AG2" s="159"/>
      <c r="AH2" s="159"/>
      <c r="AI2" s="159"/>
      <c r="AJ2" s="159"/>
      <c r="AK2" s="159"/>
      <c r="AL2" s="159"/>
      <c r="AM2" s="159"/>
      <c r="AN2" s="159"/>
    </row>
    <row r="3" spans="1:103">
      <c r="A3" s="280" t="s">
        <v>366</v>
      </c>
      <c r="B3" s="278" t="s">
        <v>179</v>
      </c>
      <c r="C3" s="278" t="s">
        <v>367</v>
      </c>
      <c r="D3" s="279"/>
      <c r="E3" s="262">
        <v>2015</v>
      </c>
      <c r="F3" s="263">
        <v>2016</v>
      </c>
      <c r="G3" s="263">
        <v>2017</v>
      </c>
      <c r="H3" s="263">
        <v>2018</v>
      </c>
      <c r="I3" s="263">
        <v>2019</v>
      </c>
      <c r="J3" s="263">
        <v>2020</v>
      </c>
      <c r="K3" s="263">
        <v>2021</v>
      </c>
      <c r="L3" s="263">
        <v>2022</v>
      </c>
      <c r="M3" s="263">
        <v>2023</v>
      </c>
      <c r="N3" s="263">
        <v>2024</v>
      </c>
      <c r="O3" s="263">
        <v>2025</v>
      </c>
      <c r="P3" s="263">
        <v>2026</v>
      </c>
      <c r="Q3" s="263">
        <v>2027</v>
      </c>
      <c r="R3" s="263">
        <v>2028</v>
      </c>
      <c r="S3" s="263">
        <v>2029</v>
      </c>
      <c r="T3" s="263">
        <v>2030</v>
      </c>
      <c r="U3" s="263">
        <v>2031</v>
      </c>
      <c r="V3" s="263">
        <v>2032</v>
      </c>
      <c r="W3" s="263">
        <v>2033</v>
      </c>
      <c r="X3" s="263">
        <v>2034</v>
      </c>
      <c r="Y3" s="263">
        <v>2035</v>
      </c>
      <c r="Z3" s="263">
        <v>2036</v>
      </c>
      <c r="AA3" s="263">
        <v>2037</v>
      </c>
      <c r="AB3" s="263">
        <v>2038</v>
      </c>
      <c r="AC3" s="263">
        <v>2039</v>
      </c>
      <c r="AD3" s="263">
        <v>2040</v>
      </c>
      <c r="AE3" s="263">
        <v>2041</v>
      </c>
      <c r="AF3" s="263">
        <v>2042</v>
      </c>
      <c r="AG3" s="263">
        <v>2043</v>
      </c>
      <c r="AH3" s="263">
        <v>2044</v>
      </c>
      <c r="AI3" s="263">
        <v>2045</v>
      </c>
      <c r="AJ3" s="263">
        <v>2046</v>
      </c>
      <c r="AK3" s="263">
        <v>2047</v>
      </c>
      <c r="AL3" s="263">
        <v>2048</v>
      </c>
      <c r="AM3" s="263">
        <v>2049</v>
      </c>
      <c r="AN3" s="264">
        <v>2050</v>
      </c>
    </row>
    <row r="4" spans="1:103" s="255" customFormat="1">
      <c r="A4" s="298" t="s">
        <v>368</v>
      </c>
      <c r="C4" s="261" t="str">
        <f>A4&amp;$B$72</f>
        <v>Domestic Heat DemandMore Effective</v>
      </c>
      <c r="D4"/>
      <c r="E4" s="291">
        <f>INDEX(E$96:E$794,MATCH($C4,$D$96:$D$794,0))</f>
        <v>34208540661.939991</v>
      </c>
      <c r="F4" s="292">
        <f t="shared" ref="E4:N11" si="0">INDEX(F$96:F$794,MATCH($C4,$D$96:$D$794,0))</f>
        <v>34431712374.893234</v>
      </c>
      <c r="G4" s="292">
        <f t="shared" si="0"/>
        <v>34654884087.846481</v>
      </c>
      <c r="H4" s="292">
        <f t="shared" si="0"/>
        <v>34878055800.799721</v>
      </c>
      <c r="I4" s="292">
        <f t="shared" si="0"/>
        <v>35101153762.727997</v>
      </c>
      <c r="J4" s="292">
        <f t="shared" si="0"/>
        <v>35215258280.251877</v>
      </c>
      <c r="K4" s="292">
        <f t="shared" si="0"/>
        <v>35065356246.060249</v>
      </c>
      <c r="L4" s="292">
        <f t="shared" si="0"/>
        <v>33987204476.758125</v>
      </c>
      <c r="M4" s="292">
        <f t="shared" si="0"/>
        <v>31992795485.781963</v>
      </c>
      <c r="N4" s="292">
        <f t="shared" si="0"/>
        <v>29779597937.738071</v>
      </c>
      <c r="O4" s="292">
        <f t="shared" ref="O4:X11" si="1">INDEX(O$96:O$794,MATCH($C4,$D$96:$D$794,0))</f>
        <v>27805929118.422932</v>
      </c>
      <c r="P4" s="292">
        <f t="shared" si="1"/>
        <v>26118657033.550735</v>
      </c>
      <c r="Q4" s="292">
        <f t="shared" si="1"/>
        <v>24758450541.712425</v>
      </c>
      <c r="R4" s="292">
        <f t="shared" si="1"/>
        <v>23768203430.531071</v>
      </c>
      <c r="S4" s="292">
        <f t="shared" si="1"/>
        <v>23304396821.471699</v>
      </c>
      <c r="T4" s="292">
        <f t="shared" si="1"/>
        <v>23266668140.872063</v>
      </c>
      <c r="U4" s="292">
        <f t="shared" si="1"/>
        <v>23334810370.304527</v>
      </c>
      <c r="V4" s="292">
        <f t="shared" si="1"/>
        <v>23403155884.102592</v>
      </c>
      <c r="W4" s="292">
        <f t="shared" si="1"/>
        <v>23471704682.266262</v>
      </c>
      <c r="X4" s="292">
        <f t="shared" si="1"/>
        <v>23540456764.795544</v>
      </c>
      <c r="Y4" s="292">
        <f t="shared" ref="Y4:AH11" si="2">INDEX(Y$96:Y$794,MATCH($C4,$D$96:$D$794,0))</f>
        <v>23610016495.964741</v>
      </c>
      <c r="Z4" s="292">
        <f t="shared" si="2"/>
        <v>23679927774.117168</v>
      </c>
      <c r="AA4" s="292">
        <f t="shared" si="2"/>
        <v>23749845184.857697</v>
      </c>
      <c r="AB4" s="292">
        <f t="shared" si="2"/>
        <v>23820383758.970066</v>
      </c>
      <c r="AC4" s="292">
        <f t="shared" si="2"/>
        <v>23890928465.670536</v>
      </c>
      <c r="AD4" s="292">
        <f t="shared" si="2"/>
        <v>23961479304.95911</v>
      </c>
      <c r="AE4" s="292">
        <f t="shared" si="2"/>
        <v>24032036276.835789</v>
      </c>
      <c r="AF4" s="292">
        <f t="shared" si="2"/>
        <v>24102599381.300568</v>
      </c>
      <c r="AG4" s="292">
        <f t="shared" si="2"/>
        <v>24173168618.353447</v>
      </c>
      <c r="AH4" s="292">
        <f t="shared" si="2"/>
        <v>24243743987.994434</v>
      </c>
      <c r="AI4" s="292">
        <f t="shared" ref="AI4:AN11" si="3">INDEX(AI$96:AI$794,MATCH($C4,$D$96:$D$794,0))</f>
        <v>24314325490.223518</v>
      </c>
      <c r="AJ4" s="292">
        <f t="shared" si="3"/>
        <v>24384913125.040707</v>
      </c>
      <c r="AK4" s="292">
        <f t="shared" si="3"/>
        <v>24455506892.446003</v>
      </c>
      <c r="AL4" s="292">
        <f t="shared" si="3"/>
        <v>24526106792.4394</v>
      </c>
      <c r="AM4" s="292">
        <f t="shared" si="3"/>
        <v>24596712825.020901</v>
      </c>
      <c r="AN4" s="293">
        <f t="shared" si="3"/>
        <v>24667324990.190495</v>
      </c>
      <c r="AO4" s="37"/>
      <c r="AP4"/>
      <c r="AQ4" s="37"/>
      <c r="AR4" s="37"/>
      <c r="AS4" s="37"/>
      <c r="AT4" s="37"/>
      <c r="AU4" s="37"/>
      <c r="AV4" s="37"/>
      <c r="AW4" s="37"/>
      <c r="AX4" s="37"/>
      <c r="AY4" s="37"/>
      <c r="AZ4" s="37"/>
      <c r="BA4" s="37"/>
      <c r="BB4" s="37"/>
      <c r="BC4" s="37"/>
      <c r="BD4" s="37"/>
      <c r="BE4" s="37"/>
      <c r="BF4" s="37"/>
      <c r="BG4" s="37"/>
      <c r="BH4" s="37"/>
      <c r="BI4" s="37"/>
      <c r="BJ4" s="37"/>
      <c r="BK4" s="37"/>
      <c r="BL4" s="37"/>
    </row>
    <row r="5" spans="1:103" s="255" customFormat="1">
      <c r="A5" s="290" t="s">
        <v>369</v>
      </c>
      <c r="C5" s="261" t="str">
        <f t="shared" ref="C5:C41" si="4">A5&amp;$B$72</f>
        <v>Non-Domestic Heat DemandMore Effective</v>
      </c>
      <c r="D5" s="257"/>
      <c r="E5" s="294">
        <f t="shared" si="0"/>
        <v>18723008369.73642</v>
      </c>
      <c r="F5" s="295">
        <f t="shared" si="0"/>
        <v>18768418206.089264</v>
      </c>
      <c r="G5" s="295">
        <f t="shared" si="0"/>
        <v>18813828042.442108</v>
      </c>
      <c r="H5" s="295">
        <f t="shared" si="0"/>
        <v>18859237878.79496</v>
      </c>
      <c r="I5" s="295">
        <f t="shared" si="0"/>
        <v>18864371646.872704</v>
      </c>
      <c r="J5" s="295">
        <f t="shared" si="0"/>
        <v>18829530506.10265</v>
      </c>
      <c r="K5" s="295">
        <f t="shared" si="0"/>
        <v>18709754369.091724</v>
      </c>
      <c r="L5" s="295">
        <f t="shared" si="0"/>
        <v>18505793876.890442</v>
      </c>
      <c r="M5" s="295">
        <f t="shared" si="0"/>
        <v>18050297722.226875</v>
      </c>
      <c r="N5" s="295">
        <f t="shared" si="0"/>
        <v>17304738855.525513</v>
      </c>
      <c r="O5" s="295">
        <f t="shared" si="1"/>
        <v>16484742515.061838</v>
      </c>
      <c r="P5" s="295">
        <f t="shared" si="1"/>
        <v>15560153684.913815</v>
      </c>
      <c r="Q5" s="295">
        <f t="shared" si="1"/>
        <v>14546150146.766344</v>
      </c>
      <c r="R5" s="295">
        <f t="shared" si="1"/>
        <v>13796586368.836056</v>
      </c>
      <c r="S5" s="295">
        <f t="shared" si="1"/>
        <v>12955297104.744547</v>
      </c>
      <c r="T5" s="295">
        <f t="shared" si="1"/>
        <v>12124739136.805534</v>
      </c>
      <c r="U5" s="295">
        <f t="shared" si="1"/>
        <v>11429019583.061115</v>
      </c>
      <c r="V5" s="295">
        <f t="shared" si="1"/>
        <v>10863945353.81905</v>
      </c>
      <c r="W5" s="295">
        <f t="shared" si="1"/>
        <v>10426361829.195353</v>
      </c>
      <c r="X5" s="295">
        <f t="shared" si="1"/>
        <v>10114158329.250229</v>
      </c>
      <c r="Y5" s="295">
        <f t="shared" si="2"/>
        <v>10148703457.249748</v>
      </c>
      <c r="Z5" s="295">
        <f t="shared" si="2"/>
        <v>10183275817.900455</v>
      </c>
      <c r="AA5" s="295">
        <f t="shared" si="2"/>
        <v>10217254675.97579</v>
      </c>
      <c r="AB5" s="295">
        <f t="shared" si="2"/>
        <v>10251260985.887836</v>
      </c>
      <c r="AC5" s="295">
        <f t="shared" si="2"/>
        <v>10285294857.907141</v>
      </c>
      <c r="AD5" s="295">
        <f t="shared" si="2"/>
        <v>10319356402.758945</v>
      </c>
      <c r="AE5" s="295">
        <f t="shared" si="2"/>
        <v>10353390832.705156</v>
      </c>
      <c r="AF5" s="295">
        <f t="shared" si="2"/>
        <v>10387398039.024652</v>
      </c>
      <c r="AG5" s="295">
        <f t="shared" si="2"/>
        <v>10421377912.547747</v>
      </c>
      <c r="AH5" s="295">
        <f t="shared" si="2"/>
        <v>10455330343.654062</v>
      </c>
      <c r="AI5" s="295">
        <f t="shared" si="3"/>
        <v>10489255222.270447</v>
      </c>
      <c r="AJ5" s="295">
        <f t="shared" si="3"/>
        <v>10523152437.868809</v>
      </c>
      <c r="AK5" s="295">
        <f t="shared" si="3"/>
        <v>10557021879.463997</v>
      </c>
      <c r="AL5" s="295">
        <f t="shared" si="3"/>
        <v>10590863435.611641</v>
      </c>
      <c r="AM5" s="295">
        <f t="shared" si="3"/>
        <v>10624676994.405987</v>
      </c>
      <c r="AN5" s="296">
        <f t="shared" si="3"/>
        <v>10658462443.477726</v>
      </c>
      <c r="AO5" s="37"/>
      <c r="AP5"/>
      <c r="AQ5" s="37"/>
      <c r="AR5" s="37"/>
      <c r="AS5" s="37"/>
      <c r="AT5" s="37"/>
      <c r="AU5" s="37"/>
      <c r="AV5" s="37"/>
      <c r="AW5" s="37"/>
      <c r="AX5" s="37"/>
      <c r="AY5" s="37"/>
      <c r="AZ5" s="37"/>
      <c r="BA5" s="37"/>
      <c r="BB5" s="37"/>
      <c r="BC5" s="37"/>
      <c r="BD5" s="37"/>
      <c r="BE5" s="37"/>
      <c r="BF5" s="37"/>
      <c r="BG5" s="37"/>
      <c r="BH5" s="37"/>
      <c r="BI5" s="37"/>
      <c r="BJ5" s="37"/>
      <c r="BK5" s="37"/>
      <c r="BL5" s="37"/>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row>
    <row r="6" spans="1:103" s="255" customFormat="1">
      <c r="A6" s="281" t="s">
        <v>370</v>
      </c>
      <c r="C6" s="261" t="str">
        <f t="shared" si="4"/>
        <v>Total Domestic Electricity DemandMore Effective</v>
      </c>
      <c r="D6"/>
      <c r="E6" s="265">
        <f>INDEX(E$96:E$794,MATCH($C6,$D$96:$D$794,0))</f>
        <v>11858086493.000008</v>
      </c>
      <c r="F6" s="266">
        <f t="shared" si="0"/>
        <v>11983397498.940172</v>
      </c>
      <c r="G6" s="266">
        <f t="shared" si="0"/>
        <v>12108708504.880337</v>
      </c>
      <c r="H6" s="266">
        <f t="shared" si="0"/>
        <v>12234019510.820499</v>
      </c>
      <c r="I6" s="266">
        <f t="shared" si="0"/>
        <v>12281440085.581882</v>
      </c>
      <c r="J6" s="266">
        <f t="shared" si="0"/>
        <v>12250495367.232836</v>
      </c>
      <c r="K6" s="266">
        <f t="shared" si="0"/>
        <v>12119864537.745672</v>
      </c>
      <c r="L6" s="266">
        <f t="shared" si="0"/>
        <v>11909119335.53207</v>
      </c>
      <c r="M6" s="266">
        <f t="shared" si="0"/>
        <v>11612745168.588034</v>
      </c>
      <c r="N6" s="266">
        <f t="shared" si="0"/>
        <v>11237815628.537613</v>
      </c>
      <c r="O6" s="266">
        <f t="shared" si="1"/>
        <v>10783293831.599743</v>
      </c>
      <c r="P6" s="266">
        <f t="shared" si="1"/>
        <v>10264164494.363003</v>
      </c>
      <c r="Q6" s="266">
        <f t="shared" si="1"/>
        <v>9927020331.6172066</v>
      </c>
      <c r="R6" s="266">
        <f t="shared" si="1"/>
        <v>9550836237.5816994</v>
      </c>
      <c r="S6" s="266">
        <f t="shared" si="1"/>
        <v>9130944610.0877151</v>
      </c>
      <c r="T6" s="266">
        <f t="shared" si="1"/>
        <v>8670386229.168644</v>
      </c>
      <c r="U6" s="266">
        <f t="shared" si="1"/>
        <v>8703327167.4854603</v>
      </c>
      <c r="V6" s="266">
        <f t="shared" si="1"/>
        <v>8736708375.1142406</v>
      </c>
      <c r="W6" s="266">
        <f t="shared" si="1"/>
        <v>8770529852.054987</v>
      </c>
      <c r="X6" s="266">
        <f t="shared" si="1"/>
        <v>8804791598.3077011</v>
      </c>
      <c r="Y6" s="266">
        <f t="shared" si="2"/>
        <v>8841132860.7599945</v>
      </c>
      <c r="Z6" s="266">
        <f t="shared" si="2"/>
        <v>8878684258.3928757</v>
      </c>
      <c r="AA6" s="266">
        <f t="shared" si="2"/>
        <v>8916235656.0257568</v>
      </c>
      <c r="AB6" s="266">
        <f t="shared" si="2"/>
        <v>8955814216.7895107</v>
      </c>
      <c r="AC6" s="266">
        <f t="shared" si="2"/>
        <v>8995392777.5532627</v>
      </c>
      <c r="AD6" s="266">
        <f t="shared" si="2"/>
        <v>9034971338.3170204</v>
      </c>
      <c r="AE6" s="266">
        <f t="shared" si="2"/>
        <v>9074549899.0807743</v>
      </c>
      <c r="AF6" s="266">
        <f t="shared" si="2"/>
        <v>9114128459.8445282</v>
      </c>
      <c r="AG6" s="266">
        <f t="shared" si="2"/>
        <v>9153707020.608284</v>
      </c>
      <c r="AH6" s="266">
        <f t="shared" si="2"/>
        <v>9193285581.3720379</v>
      </c>
      <c r="AI6" s="266">
        <f t="shared" si="3"/>
        <v>9232864142.1357918</v>
      </c>
      <c r="AJ6" s="266">
        <f t="shared" si="3"/>
        <v>9272442702.8995457</v>
      </c>
      <c r="AK6" s="266">
        <f t="shared" si="3"/>
        <v>9312021263.6633015</v>
      </c>
      <c r="AL6" s="266">
        <f t="shared" si="3"/>
        <v>9351599824.4270554</v>
      </c>
      <c r="AM6" s="266">
        <f t="shared" si="3"/>
        <v>9391178385.1908112</v>
      </c>
      <c r="AN6" s="267">
        <f t="shared" si="3"/>
        <v>9430756945.9545593</v>
      </c>
      <c r="AO6" s="37"/>
      <c r="AP6"/>
      <c r="AQ6" s="37"/>
      <c r="AR6" s="37"/>
      <c r="AS6" s="37"/>
      <c r="AT6" s="37"/>
      <c r="AU6" s="37"/>
      <c r="AV6" s="37"/>
      <c r="AW6" s="37"/>
      <c r="AX6" s="37"/>
      <c r="AY6" s="37"/>
      <c r="AZ6" s="37"/>
      <c r="BA6" s="37"/>
      <c r="BB6" s="37"/>
      <c r="BC6" s="37"/>
      <c r="BD6" s="37"/>
      <c r="BE6" s="37"/>
      <c r="BF6" s="37"/>
      <c r="BG6" s="37"/>
      <c r="BH6" s="37"/>
      <c r="BI6" s="37"/>
      <c r="BJ6" s="37"/>
      <c r="BK6" s="37"/>
      <c r="BL6" s="37"/>
      <c r="CK6" s="256"/>
      <c r="CL6" s="256"/>
      <c r="CM6" s="256"/>
      <c r="CN6" s="256"/>
      <c r="CO6" s="256"/>
      <c r="CP6" s="256"/>
      <c r="CQ6" s="256"/>
      <c r="CR6" s="256"/>
      <c r="CS6" s="256"/>
      <c r="CT6" s="256"/>
      <c r="CU6" s="256"/>
      <c r="CV6" s="256"/>
      <c r="CW6" s="256"/>
      <c r="CX6" s="256"/>
      <c r="CY6" s="256"/>
    </row>
    <row r="7" spans="1:103" s="255" customFormat="1">
      <c r="A7" s="281" t="s">
        <v>371</v>
      </c>
      <c r="C7" s="261" t="str">
        <f t="shared" si="4"/>
        <v>Total Non-Domestic Electricity DemandMore Effective</v>
      </c>
      <c r="D7" s="257"/>
      <c r="E7" s="268">
        <f t="shared" si="0"/>
        <v>19618605322.817085</v>
      </c>
      <c r="F7" s="269">
        <f t="shared" si="0"/>
        <v>19700783354.558136</v>
      </c>
      <c r="G7" s="269">
        <f t="shared" si="0"/>
        <v>19782961386.299191</v>
      </c>
      <c r="H7" s="269">
        <f t="shared" si="0"/>
        <v>19865139418.040241</v>
      </c>
      <c r="I7" s="269">
        <f t="shared" si="0"/>
        <v>19896238738.244801</v>
      </c>
      <c r="J7" s="269">
        <f t="shared" si="0"/>
        <v>19876269013.125179</v>
      </c>
      <c r="K7" s="269">
        <f t="shared" si="0"/>
        <v>19804722667.766926</v>
      </c>
      <c r="L7" s="269">
        <f t="shared" si="0"/>
        <v>19681655340.514477</v>
      </c>
      <c r="M7" s="269">
        <f t="shared" si="0"/>
        <v>19503599991.951271</v>
      </c>
      <c r="N7" s="269">
        <f t="shared" si="0"/>
        <v>19269348270.1567</v>
      </c>
      <c r="O7" s="269">
        <f t="shared" si="1"/>
        <v>18984065755.42371</v>
      </c>
      <c r="P7" s="269">
        <f t="shared" si="1"/>
        <v>18626519577.399544</v>
      </c>
      <c r="Q7" s="269">
        <f t="shared" si="1"/>
        <v>18218329594.436325</v>
      </c>
      <c r="R7" s="269">
        <f t="shared" si="1"/>
        <v>17767561786.241402</v>
      </c>
      <c r="S7" s="269">
        <f t="shared" si="1"/>
        <v>17266287550.641762</v>
      </c>
      <c r="T7" s="269">
        <f t="shared" si="1"/>
        <v>16716046768.50049</v>
      </c>
      <c r="U7" s="269">
        <f t="shared" si="1"/>
        <v>16766337050.413904</v>
      </c>
      <c r="V7" s="269">
        <f t="shared" si="1"/>
        <v>16818333410.077927</v>
      </c>
      <c r="W7" s="269">
        <f t="shared" si="1"/>
        <v>16872037395.662596</v>
      </c>
      <c r="X7" s="269">
        <f t="shared" si="1"/>
        <v>16927450558.489958</v>
      </c>
      <c r="Y7" s="269">
        <f t="shared" si="2"/>
        <v>16988120588.5007</v>
      </c>
      <c r="Z7" s="269">
        <f t="shared" si="2"/>
        <v>17048790526.163769</v>
      </c>
      <c r="AA7" s="269">
        <f t="shared" si="2"/>
        <v>17109460371.294659</v>
      </c>
      <c r="AB7" s="269">
        <f t="shared" si="2"/>
        <v>17170130123.708363</v>
      </c>
      <c r="AC7" s="269">
        <f t="shared" si="2"/>
        <v>17230799783.219372</v>
      </c>
      <c r="AD7" s="269">
        <f t="shared" si="2"/>
        <v>17291469349.641651</v>
      </c>
      <c r="AE7" s="269">
        <f t="shared" si="2"/>
        <v>17352138822.78867</v>
      </c>
      <c r="AF7" s="269">
        <f t="shared" si="2"/>
        <v>17412808202.473377</v>
      </c>
      <c r="AG7" s="269">
        <f t="shared" si="2"/>
        <v>17473477488.508205</v>
      </c>
      <c r="AH7" s="269">
        <f t="shared" si="2"/>
        <v>17534146680.705067</v>
      </c>
      <c r="AI7" s="269">
        <f t="shared" si="3"/>
        <v>17594815778.875362</v>
      </c>
      <c r="AJ7" s="269">
        <f t="shared" si="3"/>
        <v>17655484782.829967</v>
      </c>
      <c r="AK7" s="269">
        <f t="shared" si="3"/>
        <v>17716153692.379238</v>
      </c>
      <c r="AL7" s="269">
        <f t="shared" si="3"/>
        <v>17776822507.332993</v>
      </c>
      <c r="AM7" s="269">
        <f t="shared" si="3"/>
        <v>17837491227.500542</v>
      </c>
      <c r="AN7" s="270">
        <f t="shared" si="3"/>
        <v>17898159852.690659</v>
      </c>
      <c r="AO7" s="37"/>
      <c r="AP7"/>
      <c r="AQ7" s="37"/>
      <c r="AR7" s="37"/>
      <c r="AS7" s="37"/>
      <c r="AT7" s="37"/>
      <c r="AU7" s="37"/>
      <c r="AV7" s="37"/>
      <c r="AW7" s="37"/>
      <c r="AX7" s="37"/>
      <c r="AY7" s="37"/>
      <c r="AZ7" s="37"/>
      <c r="BA7" s="37"/>
      <c r="BB7" s="37"/>
      <c r="BC7" s="37"/>
      <c r="BD7" s="37"/>
      <c r="BE7" s="37"/>
      <c r="BF7" s="37"/>
      <c r="BG7" s="37"/>
      <c r="BH7" s="37"/>
      <c r="BI7" s="37"/>
      <c r="BJ7" s="37"/>
      <c r="BK7" s="37"/>
      <c r="BL7" s="37"/>
      <c r="CK7" s="256"/>
      <c r="CL7" s="256"/>
      <c r="CM7" s="256"/>
      <c r="CN7" s="256"/>
      <c r="CO7" s="256"/>
      <c r="CP7" s="256"/>
      <c r="CQ7" s="256"/>
      <c r="CR7" s="256"/>
      <c r="CS7" s="256"/>
      <c r="CT7" s="256"/>
      <c r="CU7" s="256"/>
      <c r="CV7" s="256"/>
      <c r="CW7" s="256"/>
      <c r="CX7" s="256"/>
      <c r="CY7" s="256"/>
    </row>
    <row r="8" spans="1:103" s="255" customFormat="1">
      <c r="A8" s="15" t="s">
        <v>372</v>
      </c>
      <c r="C8" s="261" t="str">
        <f t="shared" si="4"/>
        <v>Existing domestic heat demandMore Effective</v>
      </c>
      <c r="D8" s="257"/>
      <c r="E8" s="14">
        <f t="shared" si="0"/>
        <v>34208540661.939991</v>
      </c>
      <c r="F8" s="12">
        <f t="shared" si="0"/>
        <v>34208540661.939991</v>
      </c>
      <c r="G8" s="12">
        <f t="shared" si="0"/>
        <v>34208540661.939991</v>
      </c>
      <c r="H8" s="12">
        <f t="shared" si="0"/>
        <v>34208540661.939991</v>
      </c>
      <c r="I8" s="12">
        <f t="shared" si="0"/>
        <v>34208473630.029579</v>
      </c>
      <c r="J8" s="12">
        <f t="shared" si="0"/>
        <v>34108983277.325748</v>
      </c>
      <c r="K8" s="12">
        <f t="shared" si="0"/>
        <v>33800765945.893944</v>
      </c>
      <c r="L8" s="12">
        <f t="shared" si="0"/>
        <v>32648867416.637157</v>
      </c>
      <c r="M8" s="12">
        <f t="shared" si="0"/>
        <v>30664187620.595825</v>
      </c>
      <c r="N8" s="12">
        <f t="shared" si="0"/>
        <v>28480652080.334606</v>
      </c>
      <c r="O8" s="12">
        <f t="shared" si="1"/>
        <v>26514822914.902912</v>
      </c>
      <c r="P8" s="12">
        <f t="shared" si="1"/>
        <v>24842049757.780113</v>
      </c>
      <c r="Q8" s="12">
        <f t="shared" si="1"/>
        <v>23466544761.218994</v>
      </c>
      <c r="R8" s="12">
        <f t="shared" si="1"/>
        <v>22427293858.371239</v>
      </c>
      <c r="S8" s="12">
        <f t="shared" si="1"/>
        <v>21866521899.943539</v>
      </c>
      <c r="T8" s="12">
        <f t="shared" si="1"/>
        <v>21693009881.866806</v>
      </c>
      <c r="U8" s="12">
        <f t="shared" si="1"/>
        <v>21690764970.543449</v>
      </c>
      <c r="V8" s="12">
        <f t="shared" si="1"/>
        <v>21688704823.287964</v>
      </c>
      <c r="W8" s="12">
        <f t="shared" si="1"/>
        <v>21686829440.100372</v>
      </c>
      <c r="X8" s="12">
        <f t="shared" si="1"/>
        <v>21685138820.980667</v>
      </c>
      <c r="Y8" s="12">
        <f t="shared" si="2"/>
        <v>21684182269.371216</v>
      </c>
      <c r="Z8" s="12">
        <f t="shared" si="2"/>
        <v>21683545236.926365</v>
      </c>
      <c r="AA8" s="12">
        <f t="shared" si="2"/>
        <v>21682913778.357903</v>
      </c>
      <c r="AB8" s="12">
        <f t="shared" si="2"/>
        <v>21682846891.841301</v>
      </c>
      <c r="AC8" s="12">
        <f t="shared" si="2"/>
        <v>21682785579.201084</v>
      </c>
      <c r="AD8" s="12">
        <f t="shared" si="2"/>
        <v>21682729840.437248</v>
      </c>
      <c r="AE8" s="12">
        <f t="shared" si="2"/>
        <v>21682679675.549801</v>
      </c>
      <c r="AF8" s="12">
        <f t="shared" si="2"/>
        <v>21682635084.538734</v>
      </c>
      <c r="AG8" s="12">
        <f t="shared" si="2"/>
        <v>21682596067.404049</v>
      </c>
      <c r="AH8" s="12">
        <f t="shared" si="2"/>
        <v>21682562624.145752</v>
      </c>
      <c r="AI8" s="12">
        <f t="shared" si="3"/>
        <v>21682534754.763832</v>
      </c>
      <c r="AJ8" s="12">
        <f t="shared" si="3"/>
        <v>21682512459.258297</v>
      </c>
      <c r="AK8" s="12">
        <f t="shared" si="3"/>
        <v>21682495737.62915</v>
      </c>
      <c r="AL8" s="12">
        <f t="shared" si="3"/>
        <v>21682484589.876381</v>
      </c>
      <c r="AM8" s="12">
        <f t="shared" si="3"/>
        <v>21682479016</v>
      </c>
      <c r="AN8" s="11">
        <f t="shared" si="3"/>
        <v>21682479016</v>
      </c>
      <c r="AO8" s="37"/>
      <c r="AP8"/>
      <c r="AQ8" s="37"/>
      <c r="AR8" s="37"/>
      <c r="AS8" s="37"/>
      <c r="AT8" s="37"/>
      <c r="AU8" s="37"/>
      <c r="AV8" s="37"/>
      <c r="AW8" s="37"/>
      <c r="AX8" s="37"/>
      <c r="AY8" s="37"/>
      <c r="AZ8" s="37"/>
      <c r="BA8" s="37"/>
      <c r="BB8" s="37"/>
      <c r="BC8" s="37"/>
      <c r="BD8" s="37"/>
      <c r="BE8" s="37"/>
      <c r="BF8" s="37"/>
      <c r="BG8" s="37"/>
      <c r="BH8" s="37"/>
      <c r="BI8" s="37"/>
      <c r="BJ8" s="37"/>
      <c r="BK8" s="37"/>
      <c r="BL8" s="37"/>
      <c r="CK8" s="256"/>
      <c r="CL8" s="256"/>
      <c r="CM8" s="256"/>
      <c r="CN8" s="256"/>
      <c r="CO8" s="256"/>
      <c r="CP8" s="256"/>
      <c r="CQ8" s="256"/>
      <c r="CR8" s="256"/>
      <c r="CS8" s="256"/>
      <c r="CT8" s="256"/>
      <c r="CU8" s="256"/>
      <c r="CV8" s="256"/>
      <c r="CW8" s="256"/>
      <c r="CX8" s="256"/>
      <c r="CY8" s="256"/>
    </row>
    <row r="9" spans="1:103" s="255" customFormat="1">
      <c r="A9" s="15" t="s">
        <v>373</v>
      </c>
      <c r="C9" s="261" t="str">
        <f t="shared" si="4"/>
        <v>Existing non-domestic heat demandMore Effective</v>
      </c>
      <c r="D9" s="257"/>
      <c r="E9" s="13">
        <f t="shared" si="0"/>
        <v>18723008369.73642</v>
      </c>
      <c r="F9" s="12">
        <f t="shared" si="0"/>
        <v>18723008369.736416</v>
      </c>
      <c r="G9" s="12">
        <f t="shared" si="0"/>
        <v>18723008369.736416</v>
      </c>
      <c r="H9" s="12">
        <f t="shared" si="0"/>
        <v>18723008369.73642</v>
      </c>
      <c r="I9" s="12">
        <f t="shared" si="0"/>
        <v>18682732301.461319</v>
      </c>
      <c r="J9" s="12">
        <f t="shared" si="0"/>
        <v>18602351420.345314</v>
      </c>
      <c r="K9" s="12">
        <f t="shared" si="0"/>
        <v>18437035542.988438</v>
      </c>
      <c r="L9" s="12">
        <f t="shared" si="0"/>
        <v>18187535310.441204</v>
      </c>
      <c r="M9" s="12">
        <f t="shared" si="0"/>
        <v>17686499415.431686</v>
      </c>
      <c r="N9" s="12">
        <f t="shared" si="0"/>
        <v>16895400808.384375</v>
      </c>
      <c r="O9" s="12">
        <f t="shared" si="1"/>
        <v>16029864727.574751</v>
      </c>
      <c r="P9" s="12">
        <f t="shared" si="1"/>
        <v>15071184546.456749</v>
      </c>
      <c r="Q9" s="12">
        <f t="shared" si="1"/>
        <v>14023089657.3393</v>
      </c>
      <c r="R9" s="12">
        <f t="shared" si="1"/>
        <v>13239434528.439034</v>
      </c>
      <c r="S9" s="12">
        <f t="shared" si="1"/>
        <v>12364053913.377546</v>
      </c>
      <c r="T9" s="12">
        <f t="shared" si="1"/>
        <v>11499404594.468555</v>
      </c>
      <c r="U9" s="12">
        <f t="shared" si="1"/>
        <v>10769593689.754158</v>
      </c>
      <c r="V9" s="12">
        <f t="shared" si="1"/>
        <v>10170428109.542116</v>
      </c>
      <c r="W9" s="12">
        <f t="shared" si="1"/>
        <v>9698753233.9484406</v>
      </c>
      <c r="X9" s="12">
        <f t="shared" si="1"/>
        <v>9352458383.0333385</v>
      </c>
      <c r="Y9" s="12">
        <f t="shared" si="2"/>
        <v>9352912160.0628796</v>
      </c>
      <c r="Z9" s="12">
        <f t="shared" si="2"/>
        <v>9353393169.7436085</v>
      </c>
      <c r="AA9" s="12">
        <f t="shared" si="2"/>
        <v>9353280676.8489647</v>
      </c>
      <c r="AB9" s="12">
        <f t="shared" si="2"/>
        <v>9353195635.7910328</v>
      </c>
      <c r="AC9" s="12">
        <f t="shared" si="2"/>
        <v>9353138156.8403587</v>
      </c>
      <c r="AD9" s="12">
        <f t="shared" si="2"/>
        <v>9353108350.7221851</v>
      </c>
      <c r="AE9" s="12">
        <f t="shared" si="2"/>
        <v>9353051429.6984177</v>
      </c>
      <c r="AF9" s="12">
        <f t="shared" si="2"/>
        <v>9352967285.0479355</v>
      </c>
      <c r="AG9" s="12">
        <f t="shared" si="2"/>
        <v>9352855807.6010513</v>
      </c>
      <c r="AH9" s="12">
        <f t="shared" si="2"/>
        <v>9352716887.7373905</v>
      </c>
      <c r="AI9" s="12">
        <f t="shared" si="3"/>
        <v>9352550415.3837967</v>
      </c>
      <c r="AJ9" s="12">
        <f t="shared" si="3"/>
        <v>9352356280.0121803</v>
      </c>
      <c r="AK9" s="12">
        <f t="shared" si="3"/>
        <v>9352134370.6373901</v>
      </c>
      <c r="AL9" s="12">
        <f t="shared" si="3"/>
        <v>9351884575.8150558</v>
      </c>
      <c r="AM9" s="12">
        <f t="shared" si="3"/>
        <v>9351606783.6394234</v>
      </c>
      <c r="AN9" s="11">
        <f t="shared" si="3"/>
        <v>9351300881.7411842</v>
      </c>
      <c r="AO9" s="37"/>
      <c r="AP9"/>
      <c r="AQ9" s="37"/>
      <c r="AR9" s="37"/>
      <c r="AS9" s="37"/>
      <c r="AT9" s="37"/>
      <c r="AU9" s="37"/>
      <c r="AV9" s="37"/>
      <c r="AW9" s="37"/>
      <c r="AX9" s="37"/>
      <c r="AY9" s="37"/>
      <c r="AZ9" s="37"/>
      <c r="BA9" s="37"/>
      <c r="BB9" s="37"/>
      <c r="BC9" s="37"/>
      <c r="BD9" s="37"/>
      <c r="BE9" s="37"/>
      <c r="BF9" s="37"/>
      <c r="BG9" s="37"/>
      <c r="BH9" s="37"/>
      <c r="BI9" s="37"/>
      <c r="BJ9" s="37"/>
      <c r="BK9" s="37"/>
      <c r="BL9" s="37"/>
      <c r="CK9" s="256"/>
      <c r="CL9" s="256"/>
      <c r="CM9" s="256"/>
      <c r="CN9" s="256"/>
      <c r="CO9" s="256"/>
      <c r="CP9" s="256"/>
      <c r="CQ9" s="256"/>
      <c r="CR9" s="256"/>
      <c r="CS9" s="256"/>
      <c r="CT9" s="256"/>
      <c r="CU9" s="256"/>
      <c r="CV9" s="256"/>
      <c r="CW9" s="256"/>
      <c r="CX9" s="256"/>
      <c r="CY9" s="256"/>
    </row>
    <row r="10" spans="1:103" s="255" customFormat="1">
      <c r="A10" s="15" t="s">
        <v>374</v>
      </c>
      <c r="C10" s="261" t="str">
        <f>A10&amp;$B$72</f>
        <v>Existing domestic electricity demandMore Effective</v>
      </c>
      <c r="D10" s="257"/>
      <c r="E10" s="14">
        <f t="shared" si="0"/>
        <v>11858086493.000008</v>
      </c>
      <c r="F10" s="12">
        <f>INDEX(F$96:F$794,MATCH($C10,$D$96:$D$794,0))</f>
        <v>11858086493.000008</v>
      </c>
      <c r="G10" s="12">
        <f t="shared" si="0"/>
        <v>11858086493.000008</v>
      </c>
      <c r="H10" s="12">
        <f t="shared" si="0"/>
        <v>11858086493.000008</v>
      </c>
      <c r="I10" s="12">
        <f t="shared" si="0"/>
        <v>11780196061.821226</v>
      </c>
      <c r="J10" s="12">
        <f t="shared" si="0"/>
        <v>11623940337.532015</v>
      </c>
      <c r="K10" s="12">
        <f t="shared" si="0"/>
        <v>11387255979.290573</v>
      </c>
      <c r="L10" s="12">
        <f t="shared" si="0"/>
        <v>11070457248.322691</v>
      </c>
      <c r="M10" s="12">
        <f t="shared" si="0"/>
        <v>10668029552.624376</v>
      </c>
      <c r="N10" s="12">
        <f t="shared" si="0"/>
        <v>10187046483.819675</v>
      </c>
      <c r="O10" s="12">
        <f t="shared" si="1"/>
        <v>9626471158.1275253</v>
      </c>
      <c r="P10" s="12">
        <f t="shared" si="1"/>
        <v>9021485849.7224083</v>
      </c>
      <c r="Q10" s="12">
        <f t="shared" si="1"/>
        <v>8598485715.8082333</v>
      </c>
      <c r="R10" s="12">
        <f t="shared" si="1"/>
        <v>8136445650.6043491</v>
      </c>
      <c r="S10" s="12">
        <f t="shared" si="1"/>
        <v>7630698051.9419861</v>
      </c>
      <c r="T10" s="12">
        <f t="shared" si="1"/>
        <v>7084283699.854538</v>
      </c>
      <c r="U10" s="12">
        <f t="shared" si="1"/>
        <v>7077646077.4076004</v>
      </c>
      <c r="V10" s="12">
        <f t="shared" si="1"/>
        <v>7071448724.2726288</v>
      </c>
      <c r="W10" s="12">
        <f t="shared" si="1"/>
        <v>7065691640.4496212</v>
      </c>
      <c r="X10" s="12">
        <f t="shared" si="1"/>
        <v>7060374825.9385815</v>
      </c>
      <c r="Y10" s="12">
        <f t="shared" si="2"/>
        <v>7057137527.6271219</v>
      </c>
      <c r="Z10" s="12">
        <f t="shared" si="2"/>
        <v>7055110364.4962502</v>
      </c>
      <c r="AA10" s="12">
        <f t="shared" si="2"/>
        <v>7053083201.3653793</v>
      </c>
      <c r="AB10" s="12">
        <f t="shared" si="2"/>
        <v>7053083201.3653793</v>
      </c>
      <c r="AC10" s="12">
        <f t="shared" si="2"/>
        <v>7053083201.3653793</v>
      </c>
      <c r="AD10" s="12">
        <f t="shared" si="2"/>
        <v>7053083201.3653793</v>
      </c>
      <c r="AE10" s="12">
        <f t="shared" si="2"/>
        <v>7053083201.3653793</v>
      </c>
      <c r="AF10" s="12">
        <f t="shared" si="2"/>
        <v>7053083201.3653793</v>
      </c>
      <c r="AG10" s="12">
        <f t="shared" si="2"/>
        <v>7053083201.3653793</v>
      </c>
      <c r="AH10" s="12">
        <f t="shared" si="2"/>
        <v>7053083201.3653793</v>
      </c>
      <c r="AI10" s="12">
        <f t="shared" si="3"/>
        <v>7053083201.3653793</v>
      </c>
      <c r="AJ10" s="12">
        <f t="shared" si="3"/>
        <v>7053083201.3653793</v>
      </c>
      <c r="AK10" s="12">
        <f t="shared" si="3"/>
        <v>7053083201.3653793</v>
      </c>
      <c r="AL10" s="12">
        <f t="shared" si="3"/>
        <v>7053083201.3653793</v>
      </c>
      <c r="AM10" s="12">
        <f t="shared" si="3"/>
        <v>7053083201.3653793</v>
      </c>
      <c r="AN10" s="11">
        <f t="shared" si="3"/>
        <v>7053083201.3653793</v>
      </c>
      <c r="AO10" s="37"/>
      <c r="AP10"/>
      <c r="AQ10" s="37"/>
      <c r="AR10" s="37"/>
      <c r="AS10" s="37"/>
      <c r="AT10" s="37"/>
      <c r="AU10" s="37"/>
      <c r="AV10" s="37"/>
      <c r="AW10" s="37"/>
      <c r="AX10" s="37"/>
      <c r="AY10" s="37"/>
      <c r="AZ10" s="37"/>
      <c r="BA10" s="37"/>
      <c r="BB10" s="37"/>
      <c r="BC10" s="37"/>
      <c r="BD10" s="37"/>
      <c r="BE10" s="37"/>
      <c r="BF10" s="37"/>
      <c r="BG10" s="37"/>
      <c r="BH10" s="37"/>
      <c r="BI10" s="37"/>
      <c r="BJ10" s="37"/>
      <c r="BK10" s="37"/>
      <c r="BL10" s="37"/>
      <c r="CK10" s="256"/>
      <c r="CL10" s="256"/>
      <c r="CM10" s="256"/>
      <c r="CN10" s="256"/>
      <c r="CO10" s="256"/>
      <c r="CP10" s="256"/>
      <c r="CQ10" s="256"/>
      <c r="CR10" s="256"/>
      <c r="CS10" s="256"/>
      <c r="CT10" s="256"/>
      <c r="CU10" s="256"/>
      <c r="CV10" s="256"/>
      <c r="CW10" s="256"/>
      <c r="CX10" s="256"/>
      <c r="CY10" s="256"/>
    </row>
    <row r="11" spans="1:103" s="255" customFormat="1">
      <c r="A11" s="15" t="s">
        <v>375</v>
      </c>
      <c r="C11" s="261" t="str">
        <f t="shared" si="4"/>
        <v>Existing non-domestic electricity demandMore Effective</v>
      </c>
      <c r="D11" s="257"/>
      <c r="E11" s="13">
        <f t="shared" si="0"/>
        <v>19618605322.817085</v>
      </c>
      <c r="F11" s="12">
        <f t="shared" si="0"/>
        <v>19618605322.817085</v>
      </c>
      <c r="G11" s="12">
        <f t="shared" si="0"/>
        <v>19618605322.817085</v>
      </c>
      <c r="H11" s="12">
        <f t="shared" si="0"/>
        <v>19618605322.817085</v>
      </c>
      <c r="I11" s="12">
        <f t="shared" si="0"/>
        <v>19567526611.280594</v>
      </c>
      <c r="J11" s="12">
        <f t="shared" si="0"/>
        <v>19465378854.419918</v>
      </c>
      <c r="K11" s="12">
        <f t="shared" si="0"/>
        <v>19311654477.320614</v>
      </c>
      <c r="L11" s="12">
        <f t="shared" si="0"/>
        <v>19106409118.327114</v>
      </c>
      <c r="M11" s="12">
        <f t="shared" si="0"/>
        <v>18846175738.022854</v>
      </c>
      <c r="N11" s="12">
        <f t="shared" si="0"/>
        <v>18529745984.487232</v>
      </c>
      <c r="O11" s="12">
        <f t="shared" si="1"/>
        <v>18162285438.013191</v>
      </c>
      <c r="P11" s="12">
        <f t="shared" si="1"/>
        <v>17743997539.94669</v>
      </c>
      <c r="Q11" s="12">
        <f t="shared" si="1"/>
        <v>17275065836.941135</v>
      </c>
      <c r="R11" s="12">
        <f t="shared" si="1"/>
        <v>16763556308.703873</v>
      </c>
      <c r="S11" s="12">
        <f t="shared" si="1"/>
        <v>16201540353.061899</v>
      </c>
      <c r="T11" s="12">
        <f t="shared" si="1"/>
        <v>15590557850.87829</v>
      </c>
      <c r="U11" s="12">
        <f t="shared" si="1"/>
        <v>15580106412.749369</v>
      </c>
      <c r="V11" s="12">
        <f t="shared" si="1"/>
        <v>15571361052.371056</v>
      </c>
      <c r="W11" s="12">
        <f t="shared" si="1"/>
        <v>15564323317.913387</v>
      </c>
      <c r="X11" s="12">
        <f t="shared" si="1"/>
        <v>15558994760.698414</v>
      </c>
      <c r="Y11" s="12">
        <f t="shared" si="2"/>
        <v>15558923070.666821</v>
      </c>
      <c r="Z11" s="12">
        <f t="shared" si="2"/>
        <v>15558851288.287554</v>
      </c>
      <c r="AA11" s="12">
        <f t="shared" si="2"/>
        <v>15558779413.376106</v>
      </c>
      <c r="AB11" s="12">
        <f t="shared" si="2"/>
        <v>15558707445.747475</v>
      </c>
      <c r="AC11" s="12">
        <f t="shared" si="2"/>
        <v>15558635385.216146</v>
      </c>
      <c r="AD11" s="12">
        <f t="shared" si="2"/>
        <v>15558563231.59609</v>
      </c>
      <c r="AE11" s="12">
        <f t="shared" si="2"/>
        <v>15558490984.700775</v>
      </c>
      <c r="AF11" s="12">
        <f t="shared" si="2"/>
        <v>15558418644.343145</v>
      </c>
      <c r="AG11" s="12">
        <f t="shared" si="2"/>
        <v>15558346210.335636</v>
      </c>
      <c r="AH11" s="12">
        <f t="shared" si="2"/>
        <v>15558273682.490162</v>
      </c>
      <c r="AI11" s="12">
        <f t="shared" si="3"/>
        <v>15558201060.618122</v>
      </c>
      <c r="AJ11" s="12">
        <f t="shared" si="3"/>
        <v>15558128344.530392</v>
      </c>
      <c r="AK11" s="12">
        <f t="shared" si="3"/>
        <v>15558055534.037325</v>
      </c>
      <c r="AL11" s="12">
        <f t="shared" si="3"/>
        <v>15557982628.948746</v>
      </c>
      <c r="AM11" s="12">
        <f t="shared" si="3"/>
        <v>15557909629.073959</v>
      </c>
      <c r="AN11" s="11">
        <f t="shared" si="3"/>
        <v>15557836534.221737</v>
      </c>
      <c r="AO11" s="37"/>
      <c r="AP11"/>
      <c r="AQ11" s="37"/>
      <c r="AR11" s="37"/>
      <c r="AS11" s="37"/>
      <c r="AT11" s="37"/>
      <c r="AU11" s="37"/>
      <c r="AV11" s="37"/>
      <c r="AW11" s="37"/>
      <c r="AX11" s="37"/>
      <c r="AY11" s="37"/>
      <c r="AZ11" s="37"/>
      <c r="BA11" s="37"/>
      <c r="BB11" s="37"/>
      <c r="BC11" s="37"/>
      <c r="BD11" s="37"/>
      <c r="BE11" s="37"/>
      <c r="BF11" s="37"/>
      <c r="BG11" s="37"/>
      <c r="BH11" s="37"/>
      <c r="BI11" s="37"/>
      <c r="BJ11" s="37"/>
      <c r="BK11" s="37"/>
      <c r="BL11" s="37"/>
      <c r="CK11" s="256"/>
      <c r="CL11" s="256"/>
      <c r="CM11" s="256"/>
      <c r="CN11" s="256"/>
      <c r="CO11" s="256"/>
      <c r="CP11" s="256"/>
      <c r="CQ11" s="256"/>
      <c r="CR11" s="256"/>
      <c r="CS11" s="256"/>
      <c r="CT11" s="256"/>
      <c r="CU11" s="256"/>
      <c r="CV11" s="256"/>
      <c r="CW11" s="256"/>
      <c r="CX11" s="256"/>
      <c r="CY11" s="256"/>
    </row>
    <row r="12" spans="1:103" s="255" customFormat="1">
      <c r="A12" s="282" t="s">
        <v>376</v>
      </c>
      <c r="C12" s="261" t="str">
        <f t="shared" si="4"/>
        <v>Domestic Cooling Electricity DemandMore Effective</v>
      </c>
      <c r="D12" s="257"/>
      <c r="E12" s="272">
        <f>E74</f>
        <v>0</v>
      </c>
      <c r="F12" s="273">
        <f t="shared" ref="F12:AN12" si="5">F74</f>
        <v>291397.2</v>
      </c>
      <c r="G12" s="273">
        <f t="shared" si="5"/>
        <v>582794.4</v>
      </c>
      <c r="H12" s="273">
        <f t="shared" si="5"/>
        <v>874191.60000000009</v>
      </c>
      <c r="I12" s="273">
        <f t="shared" si="5"/>
        <v>1165588.8</v>
      </c>
      <c r="J12" s="273">
        <f t="shared" si="5"/>
        <v>1456986</v>
      </c>
      <c r="K12" s="273">
        <f t="shared" si="5"/>
        <v>1748383.2000000002</v>
      </c>
      <c r="L12" s="273">
        <f t="shared" si="5"/>
        <v>2039780.3999999997</v>
      </c>
      <c r="M12" s="273">
        <f t="shared" si="5"/>
        <v>2331177.6</v>
      </c>
      <c r="N12" s="273">
        <f t="shared" si="5"/>
        <v>2622574.7999999998</v>
      </c>
      <c r="O12" s="273">
        <f t="shared" si="5"/>
        <v>2913972</v>
      </c>
      <c r="P12" s="273">
        <f t="shared" si="5"/>
        <v>4281880.5600000005</v>
      </c>
      <c r="Q12" s="273">
        <f t="shared" si="5"/>
        <v>5649789.1200000001</v>
      </c>
      <c r="R12" s="273">
        <f t="shared" si="5"/>
        <v>7017697.6800000006</v>
      </c>
      <c r="S12" s="273">
        <f t="shared" si="5"/>
        <v>8385606.2399999993</v>
      </c>
      <c r="T12" s="273">
        <f t="shared" si="5"/>
        <v>9753514.7999999989</v>
      </c>
      <c r="U12" s="273">
        <f t="shared" si="5"/>
        <v>11121423.359999999</v>
      </c>
      <c r="V12" s="273">
        <f t="shared" si="5"/>
        <v>12489331.92</v>
      </c>
      <c r="W12" s="273">
        <f t="shared" si="5"/>
        <v>13857240.479999999</v>
      </c>
      <c r="X12" s="273">
        <f t="shared" si="5"/>
        <v>15225149.039999999</v>
      </c>
      <c r="Y12" s="273">
        <f t="shared" si="5"/>
        <v>16593057.600000001</v>
      </c>
      <c r="Z12" s="273">
        <f t="shared" si="5"/>
        <v>17960966.16</v>
      </c>
      <c r="AA12" s="273">
        <f t="shared" si="5"/>
        <v>19328874.719999999</v>
      </c>
      <c r="AB12" s="273">
        <f t="shared" si="5"/>
        <v>20696783.279999997</v>
      </c>
      <c r="AC12" s="273">
        <f t="shared" si="5"/>
        <v>22064691.840000004</v>
      </c>
      <c r="AD12" s="273">
        <f t="shared" si="5"/>
        <v>23432600.400000002</v>
      </c>
      <c r="AE12" s="273">
        <f t="shared" si="5"/>
        <v>24800508.959999997</v>
      </c>
      <c r="AF12" s="273">
        <f t="shared" si="5"/>
        <v>26168417.52</v>
      </c>
      <c r="AG12" s="273">
        <f t="shared" si="5"/>
        <v>27536326.080000002</v>
      </c>
      <c r="AH12" s="273">
        <f t="shared" si="5"/>
        <v>28904234.639999997</v>
      </c>
      <c r="AI12" s="273">
        <f t="shared" si="5"/>
        <v>30272143.199999999</v>
      </c>
      <c r="AJ12" s="273">
        <f t="shared" si="5"/>
        <v>31640051.759999998</v>
      </c>
      <c r="AK12" s="273">
        <f t="shared" si="5"/>
        <v>33007960.320000004</v>
      </c>
      <c r="AL12" s="273">
        <f t="shared" si="5"/>
        <v>34375868.879999995</v>
      </c>
      <c r="AM12" s="273">
        <f t="shared" si="5"/>
        <v>35743777.440000005</v>
      </c>
      <c r="AN12" s="274">
        <f t="shared" si="5"/>
        <v>37111686.000000007</v>
      </c>
      <c r="AO12" s="37"/>
      <c r="AP12"/>
      <c r="AQ12" s="37"/>
      <c r="AR12" s="37"/>
      <c r="AS12" s="37"/>
      <c r="AT12" s="37"/>
      <c r="AU12" s="37"/>
      <c r="AV12" s="37"/>
      <c r="AW12" s="37"/>
      <c r="AX12" s="37"/>
      <c r="AY12" s="37"/>
      <c r="AZ12" s="37"/>
      <c r="BA12" s="37"/>
      <c r="BB12" s="37"/>
      <c r="BC12" s="37"/>
      <c r="BD12" s="37"/>
      <c r="BE12" s="37"/>
      <c r="BF12" s="37"/>
      <c r="BG12" s="37"/>
      <c r="BH12" s="37"/>
      <c r="BI12" s="37"/>
      <c r="BJ12" s="37"/>
      <c r="BK12" s="37"/>
      <c r="BL12" s="37"/>
      <c r="CK12" s="256"/>
      <c r="CL12" s="256"/>
      <c r="CM12" s="256"/>
      <c r="CN12" s="256"/>
      <c r="CO12" s="256"/>
      <c r="CP12" s="256"/>
      <c r="CQ12" s="256"/>
      <c r="CR12" s="256"/>
      <c r="CS12" s="256"/>
      <c r="CT12" s="256"/>
      <c r="CU12" s="256"/>
      <c r="CV12" s="256"/>
      <c r="CW12" s="256"/>
      <c r="CX12" s="256"/>
      <c r="CY12" s="256"/>
    </row>
    <row r="13" spans="1:103" s="255" customFormat="1">
      <c r="A13" s="282" t="s">
        <v>377</v>
      </c>
      <c r="C13" s="261" t="str">
        <f t="shared" si="4"/>
        <v>Non-Domestic Cooling Electricity DemandMore Effective</v>
      </c>
      <c r="D13" s="257"/>
      <c r="E13" s="275">
        <f>E75</f>
        <v>951914833.54299796</v>
      </c>
      <c r="F13" s="276">
        <f t="shared" ref="F13:AN13" si="6">F75</f>
        <v>960361914.06701791</v>
      </c>
      <c r="G13" s="276">
        <f t="shared" si="6"/>
        <v>968808994.59103811</v>
      </c>
      <c r="H13" s="276">
        <f t="shared" si="6"/>
        <v>977256075.11505818</v>
      </c>
      <c r="I13" s="276">
        <f t="shared" si="6"/>
        <v>985703155.63907826</v>
      </c>
      <c r="J13" s="276">
        <f t="shared" si="6"/>
        <v>994150236.16309834</v>
      </c>
      <c r="K13" s="276">
        <f t="shared" si="6"/>
        <v>1002597316.6871185</v>
      </c>
      <c r="L13" s="276">
        <f t="shared" si="6"/>
        <v>1011044397.2111386</v>
      </c>
      <c r="M13" s="276">
        <f t="shared" si="6"/>
        <v>1019491477.7351587</v>
      </c>
      <c r="N13" s="276">
        <f t="shared" si="6"/>
        <v>1027938558.2591788</v>
      </c>
      <c r="O13" s="276">
        <f t="shared" si="6"/>
        <v>1036385638.7831988</v>
      </c>
      <c r="P13" s="276">
        <f t="shared" si="6"/>
        <v>1058062589.1962429</v>
      </c>
      <c r="Q13" s="276">
        <f t="shared" si="6"/>
        <v>1079739539.6092868</v>
      </c>
      <c r="R13" s="276">
        <f t="shared" si="6"/>
        <v>1101416490.022331</v>
      </c>
      <c r="S13" s="276">
        <f t="shared" si="6"/>
        <v>1123093440.4353752</v>
      </c>
      <c r="T13" s="276">
        <f t="shared" si="6"/>
        <v>1144770390.8484192</v>
      </c>
      <c r="U13" s="276">
        <f t="shared" si="6"/>
        <v>1166447341.2614632</v>
      </c>
      <c r="V13" s="276">
        <f t="shared" si="6"/>
        <v>1188124291.6745071</v>
      </c>
      <c r="W13" s="276">
        <f t="shared" si="6"/>
        <v>1209801242.0875511</v>
      </c>
      <c r="X13" s="276">
        <f t="shared" si="6"/>
        <v>1231478192.5005953</v>
      </c>
      <c r="Y13" s="276">
        <f t="shared" si="6"/>
        <v>1253155142.9136393</v>
      </c>
      <c r="Z13" s="276">
        <f t="shared" si="6"/>
        <v>1274832093.3266835</v>
      </c>
      <c r="AA13" s="276">
        <f t="shared" si="6"/>
        <v>1296509043.7397273</v>
      </c>
      <c r="AB13" s="276">
        <f t="shared" si="6"/>
        <v>1318185994.1527715</v>
      </c>
      <c r="AC13" s="276">
        <f t="shared" si="6"/>
        <v>1339862944.5658157</v>
      </c>
      <c r="AD13" s="276">
        <f t="shared" si="6"/>
        <v>1361539894.9788597</v>
      </c>
      <c r="AE13" s="276">
        <f t="shared" si="6"/>
        <v>1383216845.3919034</v>
      </c>
      <c r="AF13" s="276">
        <f t="shared" si="6"/>
        <v>1404893795.8049474</v>
      </c>
      <c r="AG13" s="276">
        <f t="shared" si="6"/>
        <v>1426570746.2179916</v>
      </c>
      <c r="AH13" s="276">
        <f t="shared" si="6"/>
        <v>1448247696.6310356</v>
      </c>
      <c r="AI13" s="276">
        <f t="shared" si="6"/>
        <v>1469924647.0440795</v>
      </c>
      <c r="AJ13" s="276">
        <f t="shared" si="6"/>
        <v>1491601597.457124</v>
      </c>
      <c r="AK13" s="276">
        <f t="shared" si="6"/>
        <v>1513278547.870168</v>
      </c>
      <c r="AL13" s="276">
        <f t="shared" si="6"/>
        <v>1534955498.2832117</v>
      </c>
      <c r="AM13" s="276">
        <f t="shared" si="6"/>
        <v>1556632448.6962557</v>
      </c>
      <c r="AN13" s="277">
        <f t="shared" si="6"/>
        <v>1578309399.1092999</v>
      </c>
      <c r="AO13" s="37"/>
      <c r="AP13"/>
      <c r="AQ13" s="37"/>
      <c r="AR13" s="37"/>
      <c r="AS13" s="37"/>
      <c r="AT13" s="37"/>
      <c r="AU13" s="37"/>
      <c r="AV13" s="37"/>
      <c r="AW13" s="37"/>
      <c r="AX13" s="37"/>
      <c r="AY13" s="37"/>
      <c r="AZ13" s="37"/>
      <c r="BA13" s="37"/>
      <c r="BB13" s="37"/>
      <c r="BC13" s="37"/>
      <c r="BD13" s="37"/>
      <c r="BE13" s="37"/>
      <c r="BF13" s="37"/>
      <c r="BG13" s="37"/>
      <c r="BH13" s="37"/>
      <c r="BI13" s="37"/>
      <c r="BJ13" s="37"/>
      <c r="BK13" s="37"/>
      <c r="BL13" s="37"/>
      <c r="CK13" s="256"/>
      <c r="CL13" s="256"/>
      <c r="CM13" s="256"/>
      <c r="CN13" s="256"/>
      <c r="CO13" s="256"/>
      <c r="CP13" s="256"/>
      <c r="CQ13" s="256"/>
      <c r="CR13" s="256"/>
      <c r="CS13" s="256"/>
      <c r="CT13" s="256"/>
      <c r="CU13" s="256"/>
      <c r="CV13" s="256"/>
      <c r="CW13" s="256"/>
      <c r="CX13" s="256"/>
      <c r="CY13" s="256"/>
    </row>
    <row r="14" spans="1:103" s="255" customFormat="1">
      <c r="A14" s="432" t="s">
        <v>378</v>
      </c>
      <c r="C14" s="261" t="str">
        <f>A14&amp;Dashboard!$D$6</f>
        <v>% heat demand in EPC C + Domestic - ExistingHigh Electrification</v>
      </c>
      <c r="D14"/>
      <c r="E14" s="433">
        <f>INDEX(E$78:E$91,MATCH($C14,$D$78:$D$91,0))</f>
        <v>0.22874092048119773</v>
      </c>
      <c r="F14" s="434">
        <f t="shared" ref="F14:AN14" si="7">INDEX(F$78:F$91,MATCH($C14,$D$78:$D$91,0))</f>
        <v>0.22874092048119773</v>
      </c>
      <c r="G14" s="434">
        <f t="shared" si="7"/>
        <v>0.22874092048119773</v>
      </c>
      <c r="H14" s="434">
        <f t="shared" si="7"/>
        <v>0.22874092048119773</v>
      </c>
      <c r="I14" s="434">
        <f t="shared" si="7"/>
        <v>0.2287450477935952</v>
      </c>
      <c r="J14" s="434">
        <f t="shared" si="7"/>
        <v>0.23487090283217618</v>
      </c>
      <c r="K14" s="434">
        <f t="shared" si="7"/>
        <v>0.25384856892157187</v>
      </c>
      <c r="L14" s="434">
        <f t="shared" si="7"/>
        <v>0.32477367087982445</v>
      </c>
      <c r="M14" s="434">
        <f t="shared" si="7"/>
        <v>0.44697507431380329</v>
      </c>
      <c r="N14" s="434">
        <f t="shared" si="7"/>
        <v>0.58142049367067739</v>
      </c>
      <c r="O14" s="434">
        <f t="shared" si="7"/>
        <v>0.70246121943730255</v>
      </c>
      <c r="P14" s="434">
        <f t="shared" si="7"/>
        <v>0.80545779744188695</v>
      </c>
      <c r="Q14" s="434">
        <f t="shared" si="7"/>
        <v>0.89015087556234274</v>
      </c>
      <c r="R14" s="434">
        <f t="shared" si="7"/>
        <v>0.95413999819126116</v>
      </c>
      <c r="S14" s="434">
        <f t="shared" si="7"/>
        <v>0.98866804672733777</v>
      </c>
      <c r="T14" s="434">
        <f t="shared" si="7"/>
        <v>1</v>
      </c>
      <c r="U14" s="434">
        <f t="shared" si="7"/>
        <v>1</v>
      </c>
      <c r="V14" s="434">
        <f t="shared" si="7"/>
        <v>1</v>
      </c>
      <c r="W14" s="434">
        <f t="shared" si="7"/>
        <v>1</v>
      </c>
      <c r="X14" s="434">
        <f t="shared" si="7"/>
        <v>1</v>
      </c>
      <c r="Y14" s="434">
        <f t="shared" si="7"/>
        <v>1</v>
      </c>
      <c r="Z14" s="434">
        <f t="shared" si="7"/>
        <v>1</v>
      </c>
      <c r="AA14" s="434">
        <f t="shared" si="7"/>
        <v>1</v>
      </c>
      <c r="AB14" s="434">
        <f t="shared" si="7"/>
        <v>1</v>
      </c>
      <c r="AC14" s="434">
        <f t="shared" si="7"/>
        <v>1</v>
      </c>
      <c r="AD14" s="434">
        <f t="shared" si="7"/>
        <v>1</v>
      </c>
      <c r="AE14" s="434">
        <f t="shared" si="7"/>
        <v>1</v>
      </c>
      <c r="AF14" s="434">
        <f t="shared" si="7"/>
        <v>1</v>
      </c>
      <c r="AG14" s="434">
        <f t="shared" si="7"/>
        <v>1</v>
      </c>
      <c r="AH14" s="434">
        <f t="shared" si="7"/>
        <v>1</v>
      </c>
      <c r="AI14" s="434">
        <f t="shared" si="7"/>
        <v>1</v>
      </c>
      <c r="AJ14" s="434">
        <f t="shared" si="7"/>
        <v>1</v>
      </c>
      <c r="AK14" s="434">
        <f t="shared" si="7"/>
        <v>1</v>
      </c>
      <c r="AL14" s="434">
        <f t="shared" si="7"/>
        <v>1</v>
      </c>
      <c r="AM14" s="434">
        <f t="shared" si="7"/>
        <v>1</v>
      </c>
      <c r="AN14" s="435">
        <f t="shared" si="7"/>
        <v>1</v>
      </c>
      <c r="AO14" s="37"/>
      <c r="AP14"/>
      <c r="AQ14" s="37"/>
      <c r="AR14" s="37"/>
      <c r="AS14" s="37"/>
      <c r="AT14" s="37"/>
      <c r="AU14" s="37"/>
      <c r="AV14" s="37"/>
      <c r="AW14" s="37"/>
      <c r="AX14" s="37"/>
      <c r="AY14" s="37"/>
      <c r="AZ14" s="37"/>
      <c r="BA14" s="37"/>
      <c r="BB14" s="37"/>
      <c r="BC14" s="37"/>
      <c r="BD14" s="37"/>
      <c r="BE14" s="37"/>
      <c r="BF14" s="37"/>
      <c r="BG14" s="37"/>
      <c r="BH14" s="37"/>
      <c r="BI14" s="37"/>
      <c r="BJ14" s="37"/>
      <c r="BK14" s="37"/>
      <c r="BL14" s="37"/>
      <c r="CK14" s="256"/>
      <c r="CL14" s="256"/>
      <c r="CM14" s="256"/>
      <c r="CN14" s="256"/>
      <c r="CO14" s="256"/>
      <c r="CP14" s="256"/>
      <c r="CQ14" s="256"/>
      <c r="CR14" s="256"/>
      <c r="CS14" s="256"/>
      <c r="CT14" s="256"/>
      <c r="CU14" s="256"/>
      <c r="CV14" s="256"/>
      <c r="CW14" s="256"/>
      <c r="CX14" s="256"/>
      <c r="CY14" s="256"/>
    </row>
    <row r="15" spans="1:103" s="255" customFormat="1">
      <c r="A15" s="432" t="s">
        <v>379</v>
      </c>
      <c r="C15" s="261" t="str">
        <f>A15&amp;Dashboard!$D$6</f>
        <v>% heat demand in EPC C + Non-Domestic - ExistingHigh Electrification</v>
      </c>
      <c r="D15"/>
      <c r="E15" s="433">
        <f>INDEX(E$78:E$91,MATCH($C15,$D$78:$D$91,0))</f>
        <v>0.17816230029334498</v>
      </c>
      <c r="F15" s="434">
        <f t="shared" ref="F15:AN15" si="8">INDEX(F$78:F$91,MATCH($C15,$D$78:$D$91,0))</f>
        <v>0.17816230029334498</v>
      </c>
      <c r="G15" s="434">
        <f t="shared" si="8"/>
        <v>0.17816230029334498</v>
      </c>
      <c r="H15" s="434">
        <f t="shared" si="8"/>
        <v>0.17816230029334498</v>
      </c>
      <c r="I15" s="434">
        <f t="shared" si="8"/>
        <v>0.17816669827194487</v>
      </c>
      <c r="J15" s="434">
        <f t="shared" si="8"/>
        <v>0.18469428251352668</v>
      </c>
      <c r="K15" s="434">
        <f t="shared" si="8"/>
        <v>0.20491649040564097</v>
      </c>
      <c r="L15" s="434">
        <f t="shared" si="8"/>
        <v>0.28049280994951908</v>
      </c>
      <c r="M15" s="434">
        <f t="shared" si="8"/>
        <v>0.41070809423734284</v>
      </c>
      <c r="N15" s="434">
        <f t="shared" si="8"/>
        <v>0.55397034827691594</v>
      </c>
      <c r="O15" s="434">
        <f t="shared" si="8"/>
        <v>0.68294883848403476</v>
      </c>
      <c r="P15" s="434">
        <f t="shared" si="8"/>
        <v>0.79269985859229275</v>
      </c>
      <c r="Q15" s="434">
        <f t="shared" si="8"/>
        <v>0.88294704835246818</v>
      </c>
      <c r="R15" s="434">
        <f t="shared" si="8"/>
        <v>0.95113253199099845</v>
      </c>
      <c r="S15" s="434">
        <f t="shared" si="8"/>
        <v>0.98792490531638399</v>
      </c>
      <c r="T15" s="434">
        <f t="shared" si="8"/>
        <v>1</v>
      </c>
      <c r="U15" s="434">
        <f t="shared" si="8"/>
        <v>1</v>
      </c>
      <c r="V15" s="434">
        <f t="shared" si="8"/>
        <v>1</v>
      </c>
      <c r="W15" s="434">
        <f t="shared" si="8"/>
        <v>1</v>
      </c>
      <c r="X15" s="434">
        <f t="shared" si="8"/>
        <v>1</v>
      </c>
      <c r="Y15" s="434">
        <f t="shared" si="8"/>
        <v>1</v>
      </c>
      <c r="Z15" s="434">
        <f t="shared" si="8"/>
        <v>1</v>
      </c>
      <c r="AA15" s="434">
        <f t="shared" si="8"/>
        <v>1</v>
      </c>
      <c r="AB15" s="434">
        <f t="shared" si="8"/>
        <v>1</v>
      </c>
      <c r="AC15" s="434">
        <f t="shared" si="8"/>
        <v>1</v>
      </c>
      <c r="AD15" s="434">
        <f t="shared" si="8"/>
        <v>1</v>
      </c>
      <c r="AE15" s="434">
        <f t="shared" si="8"/>
        <v>1</v>
      </c>
      <c r="AF15" s="434">
        <f t="shared" si="8"/>
        <v>1</v>
      </c>
      <c r="AG15" s="434">
        <f t="shared" si="8"/>
        <v>1</v>
      </c>
      <c r="AH15" s="434">
        <f t="shared" si="8"/>
        <v>1</v>
      </c>
      <c r="AI15" s="434">
        <f t="shared" si="8"/>
        <v>1</v>
      </c>
      <c r="AJ15" s="434">
        <f t="shared" si="8"/>
        <v>1</v>
      </c>
      <c r="AK15" s="434">
        <f t="shared" si="8"/>
        <v>1</v>
      </c>
      <c r="AL15" s="434">
        <f t="shared" si="8"/>
        <v>1</v>
      </c>
      <c r="AM15" s="434">
        <f t="shared" si="8"/>
        <v>1</v>
      </c>
      <c r="AN15" s="435">
        <f t="shared" si="8"/>
        <v>1</v>
      </c>
      <c r="AO15" s="37"/>
      <c r="AP15"/>
      <c r="AQ15" s="37"/>
      <c r="AR15" s="37"/>
      <c r="AS15" s="37"/>
      <c r="AT15" s="37"/>
      <c r="AU15" s="37"/>
      <c r="AV15" s="37"/>
      <c r="AW15" s="37"/>
      <c r="AX15" s="37"/>
      <c r="AY15" s="37"/>
      <c r="AZ15" s="37"/>
      <c r="BA15" s="37"/>
      <c r="BB15" s="37"/>
      <c r="BC15" s="37"/>
      <c r="BD15" s="37"/>
      <c r="BE15" s="37"/>
      <c r="BF15" s="37"/>
      <c r="BG15" s="37"/>
      <c r="BH15" s="37"/>
      <c r="BI15" s="37"/>
      <c r="BJ15" s="37"/>
      <c r="BK15" s="37"/>
      <c r="BL15" s="37"/>
      <c r="CK15" s="256"/>
      <c r="CL15" s="256"/>
      <c r="CM15" s="256"/>
      <c r="CN15" s="256"/>
      <c r="CO15" s="256"/>
      <c r="CP15" s="256"/>
      <c r="CQ15" s="256"/>
      <c r="CR15" s="256"/>
      <c r="CS15" s="256"/>
      <c r="CT15" s="256"/>
      <c r="CU15" s="256"/>
      <c r="CV15" s="256"/>
      <c r="CW15" s="256"/>
      <c r="CX15" s="256"/>
      <c r="CY15" s="256"/>
    </row>
    <row r="16" spans="1:103" s="255" customFormat="1">
      <c r="A16" t="s">
        <v>380</v>
      </c>
      <c r="C16" s="261" t="str">
        <f t="shared" si="4"/>
        <v>% new domestic heat demand from solar thermalMore Effective</v>
      </c>
      <c r="D16"/>
      <c r="E16" s="605">
        <f t="shared" ref="E16:N25" si="9">INDEX(E$96:E$794,MATCH($C16,$D$96:$D$794,0))</f>
        <v>0</v>
      </c>
      <c r="F16" s="606">
        <f t="shared" si="9"/>
        <v>0</v>
      </c>
      <c r="G16" s="606">
        <f t="shared" si="9"/>
        <v>0</v>
      </c>
      <c r="H16" s="606">
        <f t="shared" si="9"/>
        <v>0</v>
      </c>
      <c r="I16" s="606">
        <f t="shared" si="9"/>
        <v>0</v>
      </c>
      <c r="J16" s="606">
        <f t="shared" si="9"/>
        <v>3.8494588464477813E-3</v>
      </c>
      <c r="K16" s="606">
        <f t="shared" si="9"/>
        <v>6.078472907222977E-3</v>
      </c>
      <c r="L16" s="606">
        <f t="shared" si="9"/>
        <v>7.7437442869030685E-3</v>
      </c>
      <c r="M16" s="606">
        <f t="shared" si="9"/>
        <v>9.0351298047125876E-3</v>
      </c>
      <c r="N16" s="606">
        <f t="shared" si="9"/>
        <v>1.0065837719198235E-2</v>
      </c>
      <c r="O16" s="606">
        <f t="shared" ref="O16:X25" si="10">INDEX(O$96:O$794,MATCH($C16,$D$96:$D$794,0))</f>
        <v>1.0907562111917202E-2</v>
      </c>
      <c r="P16" s="606">
        <f t="shared" si="10"/>
        <v>1.1483749530573156E-2</v>
      </c>
      <c r="Q16" s="606">
        <f t="shared" si="10"/>
        <v>1.1985465227054844E-2</v>
      </c>
      <c r="R16" s="606">
        <f>INDEX(R$96:R$794,MATCH($C16,$D$96:$D$794,0))</f>
        <v>1.2426270890949411E-2</v>
      </c>
      <c r="S16" s="606">
        <f t="shared" si="10"/>
        <v>1.2816623783378245E-2</v>
      </c>
      <c r="T16" s="606">
        <f t="shared" si="10"/>
        <v>1.3164716952922258E-2</v>
      </c>
      <c r="U16" s="606">
        <f t="shared" si="10"/>
        <v>1.3312802365195909E-2</v>
      </c>
      <c r="V16" s="606">
        <f t="shared" si="10"/>
        <v>1.3453848625965549E-2</v>
      </c>
      <c r="W16" s="606">
        <f t="shared" si="10"/>
        <v>1.3588345986124713E-2</v>
      </c>
      <c r="X16" s="606">
        <f t="shared" si="10"/>
        <v>1.3716740203931726E-2</v>
      </c>
      <c r="Y16" s="606">
        <f t="shared" ref="Y16:AH25" si="11">INDEX(Y$96:Y$794,MATCH($C16,$D$96:$D$794,0))</f>
        <v>1.3839437480433103E-2</v>
      </c>
      <c r="Z16" s="606">
        <f t="shared" si="11"/>
        <v>1.3956808752181062E-2</v>
      </c>
      <c r="AA16" s="606">
        <f t="shared" si="11"/>
        <v>1.4069193436815145E-2</v>
      </c>
      <c r="AB16" s="606">
        <f t="shared" si="11"/>
        <v>1.4176902711174574E-2</v>
      </c>
      <c r="AC16" s="606">
        <f t="shared" si="11"/>
        <v>1.428022238862081E-2</v>
      </c>
      <c r="AD16" s="606">
        <f t="shared" si="11"/>
        <v>1.4379415451597091E-2</v>
      </c>
      <c r="AE16" s="606">
        <f t="shared" si="11"/>
        <v>1.4474724286676075E-2</v>
      </c>
      <c r="AF16" s="606">
        <f t="shared" si="11"/>
        <v>1.456637266208784E-2</v>
      </c>
      <c r="AG16" s="606">
        <f t="shared" si="11"/>
        <v>1.4654567481692122E-2</v>
      </c>
      <c r="AH16" s="606">
        <f t="shared" si="11"/>
        <v>1.4739500344334432E-2</v>
      </c>
      <c r="AI16" s="606">
        <f t="shared" ref="AI16:AN25" si="12">INDEX(AI$96:AI$794,MATCH($C16,$D$96:$D$794,0))</f>
        <v>1.4821348933321474E-2</v>
      </c>
      <c r="AJ16" s="606">
        <f t="shared" si="12"/>
        <v>1.4900278257222878E-2</v>
      </c>
      <c r="AK16" s="606">
        <f t="shared" si="12"/>
        <v>1.4976441760233305E-2</v>
      </c>
      <c r="AL16" s="606">
        <f t="shared" si="12"/>
        <v>1.5049982317817418E-2</v>
      </c>
      <c r="AM16" s="606">
        <f t="shared" si="12"/>
        <v>1.5121033131231079E-2</v>
      </c>
      <c r="AN16" s="461">
        <f t="shared" si="12"/>
        <v>1.5189718532701735E-2</v>
      </c>
      <c r="AO16" s="37"/>
      <c r="AP16"/>
      <c r="AQ16" s="37"/>
      <c r="AR16" s="37"/>
      <c r="AS16" s="37"/>
      <c r="AT16" s="37"/>
      <c r="AU16" s="37"/>
      <c r="AV16" s="37"/>
      <c r="AW16" s="37"/>
      <c r="AX16" s="37"/>
      <c r="AY16" s="37"/>
      <c r="AZ16" s="37"/>
      <c r="BA16" s="37"/>
      <c r="BB16" s="37"/>
      <c r="BC16" s="37"/>
      <c r="BD16" s="37"/>
      <c r="BE16" s="37"/>
      <c r="BF16" s="37"/>
      <c r="BG16" s="37"/>
      <c r="BH16" s="37"/>
      <c r="BI16" s="37"/>
      <c r="BJ16" s="37"/>
      <c r="BK16" s="37"/>
      <c r="BL16" s="37"/>
      <c r="CK16" s="256"/>
      <c r="CL16" s="256"/>
      <c r="CM16" s="256"/>
      <c r="CN16" s="256"/>
      <c r="CO16" s="256"/>
      <c r="CP16" s="256"/>
      <c r="CQ16" s="256"/>
      <c r="CR16" s="256"/>
      <c r="CS16" s="256"/>
      <c r="CT16" s="256"/>
      <c r="CU16" s="256"/>
      <c r="CV16" s="256"/>
      <c r="CW16" s="256"/>
      <c r="CX16" s="256"/>
      <c r="CY16" s="256"/>
    </row>
    <row r="17" spans="1:103" s="255" customFormat="1">
      <c r="A17" t="s">
        <v>381</v>
      </c>
      <c r="C17" s="261" t="str">
        <f t="shared" si="4"/>
        <v>% new non-domestic heat demand from solar thermalMore Effective</v>
      </c>
      <c r="D17"/>
      <c r="E17" s="605">
        <f t="shared" si="9"/>
        <v>0</v>
      </c>
      <c r="F17" s="606">
        <f t="shared" si="9"/>
        <v>0</v>
      </c>
      <c r="G17" s="606">
        <f t="shared" si="9"/>
        <v>0</v>
      </c>
      <c r="H17" s="606">
        <f t="shared" si="9"/>
        <v>0</v>
      </c>
      <c r="I17" s="606">
        <f t="shared" si="9"/>
        <v>0</v>
      </c>
      <c r="J17" s="606">
        <f t="shared" si="9"/>
        <v>6.2087820672609116E-3</v>
      </c>
      <c r="K17" s="606">
        <f t="shared" si="9"/>
        <v>1.0347970112101522E-2</v>
      </c>
      <c r="L17" s="606">
        <f t="shared" si="9"/>
        <v>1.3304533001273383E-2</v>
      </c>
      <c r="M17" s="606">
        <f t="shared" si="9"/>
        <v>1.5521955168152279E-2</v>
      </c>
      <c r="N17" s="606">
        <f t="shared" si="9"/>
        <v>1.7246616853502532E-2</v>
      </c>
      <c r="O17" s="606">
        <f t="shared" si="10"/>
        <v>1.8626346201782738E-2</v>
      </c>
      <c r="P17" s="606">
        <f t="shared" si="10"/>
        <v>1.9493697003782746E-2</v>
      </c>
      <c r="Q17" s="606">
        <f t="shared" si="10"/>
        <v>2.0248098229741378E-2</v>
      </c>
      <c r="R17" s="606">
        <f t="shared" si="10"/>
        <v>2.0910264190128706E-2</v>
      </c>
      <c r="S17" s="606">
        <f t="shared" si="10"/>
        <v>2.1496135816483224E-2</v>
      </c>
      <c r="T17" s="606">
        <f t="shared" si="10"/>
        <v>2.2018180729025946E-2</v>
      </c>
      <c r="U17" s="606">
        <f t="shared" si="10"/>
        <v>2.2486290353187412E-2</v>
      </c>
      <c r="V17" s="606">
        <f t="shared" si="10"/>
        <v>2.290841263650658E-2</v>
      </c>
      <c r="W17" s="606">
        <f t="shared" si="10"/>
        <v>2.3291007021043024E-2</v>
      </c>
      <c r="X17" s="606">
        <f t="shared" si="10"/>
        <v>2.363937732031203E-2</v>
      </c>
      <c r="Y17" s="606">
        <f t="shared" si="11"/>
        <v>2.3957919090399651E-2</v>
      </c>
      <c r="Z17" s="606">
        <f t="shared" si="11"/>
        <v>2.4250306067716575E-2</v>
      </c>
      <c r="AA17" s="606">
        <f t="shared" si="11"/>
        <v>2.4519632493733311E-2</v>
      </c>
      <c r="AB17" s="606">
        <f t="shared" si="11"/>
        <v>2.4768523041881894E-2</v>
      </c>
      <c r="AC17" s="606">
        <f t="shared" si="11"/>
        <v>2.4999218636090371E-2</v>
      </c>
      <c r="AD17" s="606">
        <f t="shared" si="11"/>
        <v>2.521364411191299E-2</v>
      </c>
      <c r="AE17" s="606">
        <f t="shared" si="11"/>
        <v>2.5413462049603923E-2</v>
      </c>
      <c r="AF17" s="606">
        <f t="shared" si="11"/>
        <v>2.5600115967610922E-2</v>
      </c>
      <c r="AG17" s="606">
        <f t="shared" si="11"/>
        <v>2.5774865251532036E-2</v>
      </c>
      <c r="AH17" s="606">
        <f t="shared" si="11"/>
        <v>2.5938813606390217E-2</v>
      </c>
      <c r="AI17" s="606">
        <f t="shared" si="12"/>
        <v>2.6092932391315504E-2</v>
      </c>
      <c r="AJ17" s="606">
        <f t="shared" si="12"/>
        <v>2.6238079879272319E-2</v>
      </c>
      <c r="AK17" s="606">
        <f t="shared" si="12"/>
        <v>2.6375017248566644E-2</v>
      </c>
      <c r="AL17" s="606">
        <f t="shared" si="12"/>
        <v>2.6504421935359648E-2</v>
      </c>
      <c r="AM17" s="606">
        <f t="shared" si="12"/>
        <v>2.6626898841669681E-2</v>
      </c>
      <c r="AN17" s="461">
        <f t="shared" si="12"/>
        <v>2.6742989790215374E-2</v>
      </c>
      <c r="AO17" s="37"/>
      <c r="AP17"/>
      <c r="AQ17" s="37"/>
      <c r="AR17" s="37"/>
      <c r="AS17" s="37"/>
      <c r="AT17" s="37"/>
      <c r="AU17" s="37"/>
      <c r="AV17" s="37"/>
      <c r="AW17" s="37"/>
      <c r="AX17" s="37"/>
      <c r="AY17" s="37"/>
      <c r="AZ17" s="37"/>
      <c r="BA17" s="37"/>
      <c r="BB17" s="37"/>
      <c r="BC17" s="37"/>
      <c r="BD17" s="37"/>
      <c r="BE17" s="37"/>
      <c r="BF17" s="37"/>
      <c r="BG17" s="37"/>
      <c r="BH17" s="37"/>
      <c r="BI17" s="37"/>
      <c r="BJ17" s="37"/>
      <c r="BK17" s="37"/>
      <c r="BL17" s="37"/>
      <c r="CK17" s="256"/>
      <c r="CL17" s="256"/>
      <c r="CM17" s="256"/>
      <c r="CN17" s="256"/>
      <c r="CO17" s="256"/>
      <c r="CP17" s="256"/>
      <c r="CQ17" s="256"/>
      <c r="CR17" s="256"/>
      <c r="CS17" s="256"/>
      <c r="CT17" s="256"/>
      <c r="CU17" s="256"/>
      <c r="CV17" s="256"/>
      <c r="CW17" s="256"/>
      <c r="CX17" s="256"/>
      <c r="CY17" s="256"/>
    </row>
    <row r="18" spans="1:103" s="255" customFormat="1">
      <c r="A18" t="s">
        <v>382</v>
      </c>
      <c r="C18" s="261" t="str">
        <f t="shared" si="4"/>
        <v>% existing domestic heat demand from solar thermalMore Effective</v>
      </c>
      <c r="D18"/>
      <c r="E18" s="605">
        <f t="shared" si="9"/>
        <v>0</v>
      </c>
      <c r="F18" s="606">
        <f t="shared" si="9"/>
        <v>0</v>
      </c>
      <c r="G18" s="606">
        <f t="shared" si="9"/>
        <v>0</v>
      </c>
      <c r="H18" s="606">
        <f t="shared" si="9"/>
        <v>0</v>
      </c>
      <c r="I18" s="606">
        <f t="shared" si="9"/>
        <v>0</v>
      </c>
      <c r="J18" s="606">
        <f t="shared" si="9"/>
        <v>0</v>
      </c>
      <c r="K18" s="606">
        <f t="shared" si="9"/>
        <v>5.7352509739877284E-5</v>
      </c>
      <c r="L18" s="606">
        <f t="shared" si="9"/>
        <v>1.1545629025043539E-4</v>
      </c>
      <c r="M18" s="606">
        <f t="shared" si="9"/>
        <v>1.7662697649127435E-4</v>
      </c>
      <c r="N18" s="606">
        <f t="shared" si="9"/>
        <v>2.40848073040915E-4</v>
      </c>
      <c r="O18" s="606">
        <f t="shared" si="10"/>
        <v>3.0997338376527629E-4</v>
      </c>
      <c r="P18" s="606">
        <f t="shared" si="10"/>
        <v>3.8442585195120536E-4</v>
      </c>
      <c r="Q18" s="606">
        <f t="shared" si="10"/>
        <v>3.9894335146046302E-4</v>
      </c>
      <c r="R18" s="606">
        <f t="shared" si="10"/>
        <v>4.1023625547957182E-4</v>
      </c>
      <c r="S18" s="606">
        <f t="shared" si="10"/>
        <v>4.235315867406566E-4</v>
      </c>
      <c r="T18" s="606">
        <f t="shared" si="10"/>
        <v>4.3790464924571028E-4</v>
      </c>
      <c r="U18" s="606">
        <f t="shared" si="10"/>
        <v>4.900571014706508E-4</v>
      </c>
      <c r="V18" s="606">
        <f t="shared" si="10"/>
        <v>5.8512918453132977E-4</v>
      </c>
      <c r="W18" s="606">
        <f t="shared" si="10"/>
        <v>7.2562355589723157E-4</v>
      </c>
      <c r="X18" s="606">
        <f t="shared" si="10"/>
        <v>9.1355042094467664E-4</v>
      </c>
      <c r="Y18" s="606">
        <f t="shared" si="11"/>
        <v>1.1402110315830438E-3</v>
      </c>
      <c r="Z18" s="606">
        <f t="shared" si="11"/>
        <v>1.4086862231208301E-3</v>
      </c>
      <c r="AA18" s="606">
        <f t="shared" si="11"/>
        <v>1.7237177312228258E-3</v>
      </c>
      <c r="AB18" s="606">
        <f t="shared" si="11"/>
        <v>2.0763130874973165E-3</v>
      </c>
      <c r="AC18" s="606">
        <f t="shared" si="11"/>
        <v>2.4729828633061192E-3</v>
      </c>
      <c r="AD18" s="606">
        <f t="shared" si="11"/>
        <v>2.9137270586492327E-3</v>
      </c>
      <c r="AE18" s="606">
        <f t="shared" si="11"/>
        <v>3.3191520515210926E-3</v>
      </c>
      <c r="AF18" s="606">
        <f t="shared" si="11"/>
        <v>3.6795298229627465E-3</v>
      </c>
      <c r="AG18" s="606">
        <f t="shared" si="11"/>
        <v>3.9948603729741926E-3</v>
      </c>
      <c r="AH18" s="606">
        <f t="shared" si="11"/>
        <v>4.2651437015554326E-3</v>
      </c>
      <c r="AI18" s="606">
        <f t="shared" si="12"/>
        <v>4.4903798087064656E-3</v>
      </c>
      <c r="AJ18" s="606">
        <f t="shared" si="12"/>
        <v>4.6705686944272908E-3</v>
      </c>
      <c r="AK18" s="606">
        <f t="shared" si="12"/>
        <v>4.8057103587179116E-3</v>
      </c>
      <c r="AL18" s="606">
        <f t="shared" si="12"/>
        <v>4.8958048015783255E-3</v>
      </c>
      <c r="AM18" s="606">
        <f t="shared" si="12"/>
        <v>4.9408520230085316E-3</v>
      </c>
      <c r="AN18" s="461">
        <f>INDEX(AN$96:AN$794,MATCH($C18,$D$96:$D$794,0))</f>
        <v>4.9408520230085316E-3</v>
      </c>
      <c r="AO18" s="37"/>
      <c r="AP18"/>
      <c r="AQ18" s="37"/>
      <c r="AR18" s="37"/>
      <c r="AS18" s="37"/>
      <c r="AT18" s="37"/>
      <c r="AU18" s="37"/>
      <c r="AV18" s="37"/>
      <c r="AW18" s="37"/>
      <c r="AX18" s="37"/>
      <c r="AY18" s="37"/>
      <c r="AZ18" s="37"/>
      <c r="BA18" s="37"/>
      <c r="BB18" s="37"/>
      <c r="BC18" s="37"/>
      <c r="BD18" s="37"/>
      <c r="BE18" s="37"/>
      <c r="BF18" s="37"/>
      <c r="BG18" s="37"/>
      <c r="BH18" s="37"/>
      <c r="BI18" s="37"/>
      <c r="BJ18" s="37"/>
      <c r="BK18" s="37"/>
      <c r="BL18" s="37"/>
      <c r="CK18" s="256"/>
      <c r="CL18" s="256"/>
      <c r="CM18" s="256"/>
      <c r="CN18" s="256"/>
      <c r="CO18" s="256"/>
      <c r="CP18" s="256"/>
      <c r="CQ18" s="256"/>
      <c r="CR18" s="256"/>
      <c r="CS18" s="256"/>
      <c r="CT18" s="256"/>
      <c r="CU18" s="256"/>
      <c r="CV18" s="256"/>
      <c r="CW18" s="256"/>
      <c r="CX18" s="256"/>
      <c r="CY18" s="256"/>
    </row>
    <row r="19" spans="1:103" s="255" customFormat="1">
      <c r="A19" t="s">
        <v>383</v>
      </c>
      <c r="C19" s="261" t="str">
        <f t="shared" si="4"/>
        <v>% existing non-domestic heat demand from solar thermalMore Effective</v>
      </c>
      <c r="D19"/>
      <c r="E19" s="605">
        <f t="shared" si="9"/>
        <v>0</v>
      </c>
      <c r="F19" s="606">
        <f t="shared" si="9"/>
        <v>0</v>
      </c>
      <c r="G19" s="606">
        <f t="shared" si="9"/>
        <v>0</v>
      </c>
      <c r="H19" s="606">
        <f t="shared" si="9"/>
        <v>0</v>
      </c>
      <c r="I19" s="606">
        <f t="shared" si="9"/>
        <v>0</v>
      </c>
      <c r="J19" s="606">
        <f t="shared" si="9"/>
        <v>0</v>
      </c>
      <c r="K19" s="606">
        <f t="shared" si="9"/>
        <v>1.2722429083618565E-4</v>
      </c>
      <c r="L19" s="606">
        <f t="shared" si="9"/>
        <v>2.5559711293152767E-4</v>
      </c>
      <c r="M19" s="606">
        <f t="shared" si="9"/>
        <v>3.8660650790096874E-4</v>
      </c>
      <c r="N19" s="606">
        <f t="shared" si="9"/>
        <v>5.2251172221733826E-4</v>
      </c>
      <c r="O19" s="606">
        <f t="shared" si="10"/>
        <v>6.645112965408791E-4</v>
      </c>
      <c r="P19" s="606">
        <f t="shared" si="10"/>
        <v>8.1295294170078281E-4</v>
      </c>
      <c r="Q19" s="606">
        <f t="shared" si="10"/>
        <v>8.3232126009140817E-4</v>
      </c>
      <c r="R19" s="606">
        <f t="shared" si="10"/>
        <v>8.4887290974327147E-4</v>
      </c>
      <c r="S19" s="606">
        <f t="shared" si="10"/>
        <v>8.6980127650979891E-4</v>
      </c>
      <c r="T19" s="606">
        <f t="shared" si="10"/>
        <v>8.9356881173066269E-4</v>
      </c>
      <c r="U19" s="606">
        <f t="shared" si="10"/>
        <v>1.1307208882721331E-3</v>
      </c>
      <c r="V19" s="606">
        <f t="shared" si="10"/>
        <v>1.593386544385116E-3</v>
      </c>
      <c r="W19" s="606">
        <f t="shared" si="10"/>
        <v>2.2945234361374605E-3</v>
      </c>
      <c r="X19" s="606">
        <f t="shared" si="10"/>
        <v>3.2465972387926019E-3</v>
      </c>
      <c r="Y19" s="606">
        <f t="shared" si="11"/>
        <v>4.381835465242059E-3</v>
      </c>
      <c r="Z19" s="606">
        <f t="shared" si="11"/>
        <v>5.5555708344972336E-3</v>
      </c>
      <c r="AA19" s="606">
        <f t="shared" si="11"/>
        <v>5.8243359791699083E-3</v>
      </c>
      <c r="AB19" s="606">
        <f t="shared" si="11"/>
        <v>6.1317515858206615E-3</v>
      </c>
      <c r="AC19" s="606">
        <f t="shared" si="11"/>
        <v>6.477894628330043E-3</v>
      </c>
      <c r="AD19" s="606">
        <f t="shared" si="11"/>
        <v>6.8628422910870018E-3</v>
      </c>
      <c r="AE19" s="606">
        <f t="shared" si="11"/>
        <v>7.2099313525370379E-3</v>
      </c>
      <c r="AF19" s="606">
        <f t="shared" si="11"/>
        <v>7.51908630690075E-3</v>
      </c>
      <c r="AG19" s="606">
        <f t="shared" si="11"/>
        <v>7.7902314415701076E-3</v>
      </c>
      <c r="AH19" s="606">
        <f t="shared" si="11"/>
        <v>8.0232908363819626E-3</v>
      </c>
      <c r="AI19" s="606">
        <f t="shared" si="12"/>
        <v>8.2181883628885035E-3</v>
      </c>
      <c r="AJ19" s="606">
        <f t="shared" si="12"/>
        <v>8.3748476836245072E-3</v>
      </c>
      <c r="AK19" s="606">
        <f t="shared" si="12"/>
        <v>8.4931922513714585E-3</v>
      </c>
      <c r="AL19" s="606">
        <f t="shared" si="12"/>
        <v>8.573145308418505E-3</v>
      </c>
      <c r="AM19" s="606">
        <f t="shared" si="12"/>
        <v>8.6146298858201832E-3</v>
      </c>
      <c r="AN19" s="461">
        <f t="shared" si="12"/>
        <v>8.6175688026509829E-3</v>
      </c>
      <c r="AO19" s="37"/>
      <c r="AP19"/>
      <c r="AQ19" s="37"/>
      <c r="AR19" s="37"/>
      <c r="AS19" s="37"/>
      <c r="AT19" s="37"/>
      <c r="AU19" s="37"/>
      <c r="AV19" s="37"/>
      <c r="AW19" s="37"/>
      <c r="AX19" s="37"/>
      <c r="AY19" s="37"/>
      <c r="AZ19" s="37"/>
      <c r="BA19" s="37"/>
      <c r="BB19" s="37"/>
      <c r="BC19" s="37"/>
      <c r="BD19" s="37"/>
      <c r="BE19" s="37"/>
      <c r="BF19" s="37"/>
      <c r="BG19" s="37"/>
      <c r="BH19" s="37"/>
      <c r="BI19" s="37"/>
      <c r="BJ19" s="37"/>
      <c r="BK19" s="37"/>
      <c r="BL19" s="37"/>
      <c r="CK19" s="256"/>
      <c r="CL19" s="256"/>
      <c r="CM19" s="256"/>
      <c r="CN19" s="256"/>
      <c r="CO19" s="256"/>
      <c r="CP19" s="256"/>
      <c r="CQ19" s="256"/>
      <c r="CR19" s="256"/>
      <c r="CS19" s="256"/>
      <c r="CT19" s="256"/>
      <c r="CU19" s="256"/>
      <c r="CV19" s="256"/>
      <c r="CW19" s="256"/>
      <c r="CX19" s="256"/>
      <c r="CY19" s="256"/>
    </row>
    <row r="20" spans="1:103" s="255" customFormat="1">
      <c r="A20" s="304" t="s">
        <v>384</v>
      </c>
      <c r="C20" s="261" t="str">
        <f t="shared" si="4"/>
        <v>Fuel Poor - Extended RE:NEWMore Effective</v>
      </c>
      <c r="D20"/>
      <c r="E20" s="26">
        <f t="shared" si="9"/>
        <v>0</v>
      </c>
      <c r="F20" s="24">
        <f t="shared" si="9"/>
        <v>0</v>
      </c>
      <c r="G20" s="24">
        <f t="shared" si="9"/>
        <v>0</v>
      </c>
      <c r="H20" s="24">
        <f t="shared" si="9"/>
        <v>0</v>
      </c>
      <c r="I20" s="24">
        <f t="shared" si="9"/>
        <v>0</v>
      </c>
      <c r="J20" s="24">
        <f t="shared" si="9"/>
        <v>0</v>
      </c>
      <c r="K20" s="24">
        <f t="shared" si="9"/>
        <v>0</v>
      </c>
      <c r="L20" s="24">
        <f t="shared" si="9"/>
        <v>0</v>
      </c>
      <c r="M20" s="24">
        <f t="shared" si="9"/>
        <v>0</v>
      </c>
      <c r="N20" s="24">
        <f t="shared" si="9"/>
        <v>0</v>
      </c>
      <c r="O20" s="24">
        <f t="shared" si="10"/>
        <v>0</v>
      </c>
      <c r="P20" s="24">
        <f t="shared" si="10"/>
        <v>0</v>
      </c>
      <c r="Q20" s="24">
        <f t="shared" si="10"/>
        <v>0</v>
      </c>
      <c r="R20" s="24">
        <f t="shared" si="10"/>
        <v>0</v>
      </c>
      <c r="S20" s="24">
        <f t="shared" si="10"/>
        <v>0</v>
      </c>
      <c r="T20" s="24">
        <f t="shared" si="10"/>
        <v>0</v>
      </c>
      <c r="U20" s="24">
        <f t="shared" si="10"/>
        <v>0</v>
      </c>
      <c r="V20" s="24">
        <f t="shared" si="10"/>
        <v>0</v>
      </c>
      <c r="W20" s="24">
        <f t="shared" si="10"/>
        <v>0</v>
      </c>
      <c r="X20" s="24">
        <f t="shared" si="10"/>
        <v>0</v>
      </c>
      <c r="Y20" s="24">
        <f t="shared" si="11"/>
        <v>0</v>
      </c>
      <c r="Z20" s="24">
        <f t="shared" si="11"/>
        <v>0</v>
      </c>
      <c r="AA20" s="24">
        <f t="shared" si="11"/>
        <v>0</v>
      </c>
      <c r="AB20" s="24">
        <f t="shared" si="11"/>
        <v>0</v>
      </c>
      <c r="AC20" s="24">
        <f t="shared" si="11"/>
        <v>0</v>
      </c>
      <c r="AD20" s="24">
        <f t="shared" si="11"/>
        <v>0</v>
      </c>
      <c r="AE20" s="24">
        <f t="shared" si="11"/>
        <v>0</v>
      </c>
      <c r="AF20" s="24">
        <f t="shared" si="11"/>
        <v>0</v>
      </c>
      <c r="AG20" s="24">
        <f t="shared" si="11"/>
        <v>0</v>
      </c>
      <c r="AH20" s="24">
        <f t="shared" si="11"/>
        <v>0</v>
      </c>
      <c r="AI20" s="24">
        <f t="shared" si="12"/>
        <v>0</v>
      </c>
      <c r="AJ20" s="24">
        <f t="shared" si="12"/>
        <v>0</v>
      </c>
      <c r="AK20" s="24">
        <f t="shared" si="12"/>
        <v>0</v>
      </c>
      <c r="AL20" s="24">
        <f t="shared" si="12"/>
        <v>0</v>
      </c>
      <c r="AM20" s="24">
        <f t="shared" si="12"/>
        <v>0</v>
      </c>
      <c r="AN20" s="27">
        <f t="shared" si="12"/>
        <v>0</v>
      </c>
      <c r="AO20" s="37"/>
      <c r="AP20"/>
      <c r="AQ20" s="37"/>
      <c r="AR20" s="37"/>
      <c r="AS20" s="37"/>
      <c r="AT20" s="37"/>
      <c r="AU20" s="37"/>
      <c r="AV20" s="37"/>
      <c r="AW20" s="37"/>
      <c r="AX20" s="37"/>
      <c r="AY20" s="37"/>
      <c r="AZ20" s="37"/>
      <c r="BA20" s="37"/>
      <c r="BB20" s="37"/>
      <c r="BC20" s="37"/>
      <c r="BD20" s="37"/>
      <c r="BE20" s="37"/>
      <c r="BF20" s="37"/>
      <c r="BG20" s="37"/>
      <c r="BH20" s="37"/>
      <c r="BI20" s="37"/>
      <c r="BJ20" s="37"/>
      <c r="BK20" s="37"/>
      <c r="BL20" s="37"/>
      <c r="CK20" s="256"/>
      <c r="CL20" s="256"/>
      <c r="CM20" s="256"/>
      <c r="CN20" s="256"/>
      <c r="CO20" s="256"/>
      <c r="CP20" s="256"/>
      <c r="CQ20" s="256"/>
      <c r="CR20" s="256"/>
      <c r="CS20" s="256"/>
      <c r="CT20" s="256"/>
      <c r="CU20" s="256"/>
      <c r="CV20" s="256"/>
      <c r="CW20" s="256"/>
      <c r="CX20" s="256"/>
      <c r="CY20" s="256"/>
    </row>
    <row r="21" spans="1:103" s="255" customFormat="1">
      <c r="A21" s="304" t="s">
        <v>385</v>
      </c>
      <c r="C21" s="261" t="str">
        <f t="shared" si="4"/>
        <v>Fuel Poor - Landlord MEES - EPC CMore Effective</v>
      </c>
      <c r="D21"/>
      <c r="E21" s="26">
        <f t="shared" si="9"/>
        <v>0</v>
      </c>
      <c r="F21" s="24">
        <f t="shared" si="9"/>
        <v>0</v>
      </c>
      <c r="G21" s="24">
        <f t="shared" si="9"/>
        <v>0</v>
      </c>
      <c r="H21" s="24">
        <f t="shared" si="9"/>
        <v>0</v>
      </c>
      <c r="I21" s="24">
        <f t="shared" si="9"/>
        <v>1290.8424744962078</v>
      </c>
      <c r="J21" s="24">
        <f t="shared" si="9"/>
        <v>2581.6849489924157</v>
      </c>
      <c r="K21" s="24">
        <f t="shared" si="9"/>
        <v>3872.5274234886238</v>
      </c>
      <c r="L21" s="24">
        <f t="shared" si="9"/>
        <v>5163.3698979848314</v>
      </c>
      <c r="M21" s="24">
        <f t="shared" si="9"/>
        <v>6454.212372481039</v>
      </c>
      <c r="N21" s="24">
        <f t="shared" si="9"/>
        <v>7745.0548469772475</v>
      </c>
      <c r="O21" s="24">
        <f t="shared" si="10"/>
        <v>9035.8973214734542</v>
      </c>
      <c r="P21" s="24">
        <f t="shared" si="10"/>
        <v>10326.739795969663</v>
      </c>
      <c r="Q21" s="24">
        <f t="shared" si="10"/>
        <v>11617.582270465871</v>
      </c>
      <c r="R21" s="24">
        <f t="shared" si="10"/>
        <v>12908.424744962078</v>
      </c>
      <c r="S21" s="24">
        <f t="shared" si="10"/>
        <v>14199.267219458286</v>
      </c>
      <c r="T21" s="24">
        <f t="shared" si="10"/>
        <v>14199.267219458286</v>
      </c>
      <c r="U21" s="24">
        <f t="shared" si="10"/>
        <v>0</v>
      </c>
      <c r="V21" s="24">
        <f t="shared" si="10"/>
        <v>0</v>
      </c>
      <c r="W21" s="24">
        <f t="shared" si="10"/>
        <v>0</v>
      </c>
      <c r="X21" s="24">
        <f t="shared" si="10"/>
        <v>0</v>
      </c>
      <c r="Y21" s="24">
        <f t="shared" si="11"/>
        <v>0</v>
      </c>
      <c r="Z21" s="24">
        <f t="shared" si="11"/>
        <v>0</v>
      </c>
      <c r="AA21" s="24">
        <f t="shared" si="11"/>
        <v>0</v>
      </c>
      <c r="AB21" s="24">
        <f t="shared" si="11"/>
        <v>0</v>
      </c>
      <c r="AC21" s="24">
        <f t="shared" si="11"/>
        <v>0</v>
      </c>
      <c r="AD21" s="24">
        <f t="shared" si="11"/>
        <v>0</v>
      </c>
      <c r="AE21" s="24">
        <f t="shared" si="11"/>
        <v>0</v>
      </c>
      <c r="AF21" s="24">
        <f t="shared" si="11"/>
        <v>0</v>
      </c>
      <c r="AG21" s="24">
        <f t="shared" si="11"/>
        <v>0</v>
      </c>
      <c r="AH21" s="24">
        <f t="shared" si="11"/>
        <v>0</v>
      </c>
      <c r="AI21" s="24">
        <f t="shared" si="12"/>
        <v>0</v>
      </c>
      <c r="AJ21" s="24">
        <f t="shared" si="12"/>
        <v>0</v>
      </c>
      <c r="AK21" s="24">
        <f t="shared" si="12"/>
        <v>0</v>
      </c>
      <c r="AL21" s="24">
        <f t="shared" si="12"/>
        <v>0</v>
      </c>
      <c r="AM21" s="24">
        <f t="shared" si="12"/>
        <v>0</v>
      </c>
      <c r="AN21" s="27">
        <f t="shared" si="12"/>
        <v>0</v>
      </c>
      <c r="AO21" s="37"/>
      <c r="AP21"/>
      <c r="AQ21" s="37"/>
      <c r="AR21" s="37"/>
      <c r="AS21" s="37"/>
      <c r="AT21" s="37"/>
      <c r="AU21" s="37"/>
      <c r="AV21" s="37"/>
      <c r="AW21" s="37"/>
      <c r="AX21" s="37"/>
      <c r="AY21" s="37"/>
      <c r="AZ21" s="37"/>
      <c r="BA21" s="37"/>
      <c r="BB21" s="37"/>
      <c r="BC21" s="37"/>
      <c r="BD21" s="37"/>
      <c r="BE21" s="37"/>
      <c r="BF21" s="37"/>
      <c r="BG21" s="37"/>
      <c r="BH21" s="37"/>
      <c r="BI21" s="37"/>
      <c r="BJ21" s="37"/>
      <c r="BK21" s="37"/>
      <c r="BL21" s="37"/>
      <c r="CK21" s="256"/>
      <c r="CL21" s="256"/>
      <c r="CM21" s="256"/>
      <c r="CN21" s="256"/>
      <c r="CO21" s="256"/>
      <c r="CP21" s="256"/>
      <c r="CQ21" s="256"/>
      <c r="CR21" s="256"/>
      <c r="CS21" s="256"/>
      <c r="CT21" s="256"/>
      <c r="CU21" s="256"/>
      <c r="CV21" s="256"/>
      <c r="CW21" s="256"/>
      <c r="CX21" s="256"/>
      <c r="CY21" s="256"/>
    </row>
    <row r="22" spans="1:103" s="255" customFormat="1">
      <c r="A22" s="304" t="s">
        <v>386</v>
      </c>
      <c r="C22" s="261" t="str">
        <f t="shared" si="4"/>
        <v>Fuel Poor - All buildings MEES - EPC CMore Effective</v>
      </c>
      <c r="D22"/>
      <c r="E22" s="26">
        <f t="shared" si="9"/>
        <v>0</v>
      </c>
      <c r="F22" s="24">
        <f t="shared" si="9"/>
        <v>0</v>
      </c>
      <c r="G22" s="24">
        <f t="shared" si="9"/>
        <v>0</v>
      </c>
      <c r="H22" s="24">
        <f t="shared" si="9"/>
        <v>0</v>
      </c>
      <c r="I22" s="24">
        <f t="shared" si="9"/>
        <v>0</v>
      </c>
      <c r="J22" s="24">
        <f t="shared" si="9"/>
        <v>0</v>
      </c>
      <c r="K22" s="24">
        <f t="shared" si="9"/>
        <v>3626.2036825611308</v>
      </c>
      <c r="L22" s="24">
        <f t="shared" si="9"/>
        <v>7252.4073651222616</v>
      </c>
      <c r="M22" s="24">
        <f t="shared" si="9"/>
        <v>10878.611047683393</v>
      </c>
      <c r="N22" s="24">
        <f t="shared" si="9"/>
        <v>14504.814730244523</v>
      </c>
      <c r="O22" s="24">
        <f t="shared" si="10"/>
        <v>18131.01841280565</v>
      </c>
      <c r="P22" s="24">
        <f t="shared" si="10"/>
        <v>21757.222095366786</v>
      </c>
      <c r="Q22" s="24">
        <f t="shared" si="10"/>
        <v>25383.425777927914</v>
      </c>
      <c r="R22" s="24">
        <f t="shared" si="10"/>
        <v>29009.629460489046</v>
      </c>
      <c r="S22" s="24">
        <f t="shared" si="10"/>
        <v>32635.833143050178</v>
      </c>
      <c r="T22" s="24">
        <f t="shared" si="10"/>
        <v>32635.833143050178</v>
      </c>
      <c r="U22" s="24">
        <f t="shared" si="10"/>
        <v>0</v>
      </c>
      <c r="V22" s="24">
        <f t="shared" si="10"/>
        <v>0</v>
      </c>
      <c r="W22" s="24">
        <f t="shared" si="10"/>
        <v>0</v>
      </c>
      <c r="X22" s="24">
        <f t="shared" si="10"/>
        <v>0</v>
      </c>
      <c r="Y22" s="24">
        <f t="shared" si="11"/>
        <v>0</v>
      </c>
      <c r="Z22" s="24">
        <f t="shared" si="11"/>
        <v>0</v>
      </c>
      <c r="AA22" s="24">
        <f t="shared" si="11"/>
        <v>0</v>
      </c>
      <c r="AB22" s="24">
        <f t="shared" si="11"/>
        <v>0</v>
      </c>
      <c r="AC22" s="24">
        <f t="shared" si="11"/>
        <v>0</v>
      </c>
      <c r="AD22" s="24">
        <f t="shared" si="11"/>
        <v>0</v>
      </c>
      <c r="AE22" s="24">
        <f t="shared" si="11"/>
        <v>0</v>
      </c>
      <c r="AF22" s="24">
        <f t="shared" si="11"/>
        <v>0</v>
      </c>
      <c r="AG22" s="24">
        <f t="shared" si="11"/>
        <v>0</v>
      </c>
      <c r="AH22" s="24">
        <f t="shared" si="11"/>
        <v>0</v>
      </c>
      <c r="AI22" s="24">
        <f t="shared" si="12"/>
        <v>0</v>
      </c>
      <c r="AJ22" s="24">
        <f t="shared" si="12"/>
        <v>0</v>
      </c>
      <c r="AK22" s="24">
        <f t="shared" si="12"/>
        <v>0</v>
      </c>
      <c r="AL22" s="24">
        <f t="shared" si="12"/>
        <v>0</v>
      </c>
      <c r="AM22" s="24">
        <f t="shared" si="12"/>
        <v>0</v>
      </c>
      <c r="AN22" s="27">
        <f t="shared" si="12"/>
        <v>0</v>
      </c>
      <c r="AO22" s="37"/>
      <c r="AP22"/>
      <c r="AQ22" s="37"/>
      <c r="AR22" s="37"/>
      <c r="AS22" s="37"/>
      <c r="AT22" s="37"/>
      <c r="AU22" s="37"/>
      <c r="AV22" s="37"/>
      <c r="AW22" s="37"/>
      <c r="AX22" s="37"/>
      <c r="AY22" s="37"/>
      <c r="AZ22" s="37"/>
      <c r="BA22" s="37"/>
      <c r="BB22" s="37"/>
      <c r="BC22" s="37"/>
      <c r="BD22" s="37"/>
      <c r="BE22" s="37"/>
      <c r="BF22" s="37"/>
      <c r="BG22" s="37"/>
      <c r="BH22" s="37"/>
      <c r="BI22" s="37"/>
      <c r="BJ22" s="37"/>
      <c r="BK22" s="37"/>
      <c r="BL22" s="37"/>
      <c r="CK22" s="256"/>
      <c r="CL22" s="256"/>
      <c r="CM22" s="256"/>
      <c r="CN22" s="256"/>
      <c r="CO22" s="256"/>
      <c r="CP22" s="256"/>
      <c r="CQ22" s="256"/>
      <c r="CR22" s="256"/>
      <c r="CS22" s="256"/>
      <c r="CT22" s="256"/>
      <c r="CU22" s="256"/>
      <c r="CV22" s="256"/>
      <c r="CW22" s="256"/>
      <c r="CX22" s="256"/>
      <c r="CY22" s="256"/>
    </row>
    <row r="23" spans="1:103" s="255" customFormat="1">
      <c r="A23" s="304" t="s">
        <v>387</v>
      </c>
      <c r="C23" s="261" t="str">
        <f t="shared" si="4"/>
        <v>Fuel Poor - Extended energy LeapMore Effective</v>
      </c>
      <c r="D23"/>
      <c r="E23" s="26">
        <f t="shared" si="9"/>
        <v>0</v>
      </c>
      <c r="F23" s="24">
        <f t="shared" si="9"/>
        <v>0</v>
      </c>
      <c r="G23" s="24">
        <f t="shared" si="9"/>
        <v>0</v>
      </c>
      <c r="H23" s="24">
        <f t="shared" si="9"/>
        <v>0</v>
      </c>
      <c r="I23" s="24">
        <f t="shared" si="9"/>
        <v>0</v>
      </c>
      <c r="J23" s="24">
        <f t="shared" si="9"/>
        <v>0</v>
      </c>
      <c r="K23" s="24">
        <f t="shared" si="9"/>
        <v>0</v>
      </c>
      <c r="L23" s="24">
        <f t="shared" si="9"/>
        <v>0</v>
      </c>
      <c r="M23" s="24">
        <f t="shared" si="9"/>
        <v>0</v>
      </c>
      <c r="N23" s="24">
        <f t="shared" si="9"/>
        <v>0</v>
      </c>
      <c r="O23" s="24">
        <f t="shared" si="10"/>
        <v>385.89525411046941</v>
      </c>
      <c r="P23" s="24">
        <f t="shared" si="10"/>
        <v>771.79050822093882</v>
      </c>
      <c r="Q23" s="24">
        <f t="shared" si="10"/>
        <v>1157.6857623314081</v>
      </c>
      <c r="R23" s="24">
        <f t="shared" si="10"/>
        <v>1543.5810164418776</v>
      </c>
      <c r="S23" s="24">
        <f t="shared" si="10"/>
        <v>1929.4762705523469</v>
      </c>
      <c r="T23" s="24">
        <f t="shared" si="10"/>
        <v>2315.3715246628162</v>
      </c>
      <c r="U23" s="24">
        <f t="shared" si="10"/>
        <v>2701.2667787732858</v>
      </c>
      <c r="V23" s="24">
        <f t="shared" si="10"/>
        <v>3087.1620328837553</v>
      </c>
      <c r="W23" s="24">
        <f t="shared" si="10"/>
        <v>3473.0572869942243</v>
      </c>
      <c r="X23" s="24">
        <f t="shared" si="10"/>
        <v>3858.9525411046939</v>
      </c>
      <c r="Y23" s="24">
        <f t="shared" si="11"/>
        <v>3858.9525411046939</v>
      </c>
      <c r="Z23" s="24">
        <f t="shared" si="11"/>
        <v>3858.9525411046939</v>
      </c>
      <c r="AA23" s="24">
        <f t="shared" si="11"/>
        <v>3858.9525411046939</v>
      </c>
      <c r="AB23" s="24">
        <f t="shared" si="11"/>
        <v>0</v>
      </c>
      <c r="AC23" s="24">
        <f t="shared" si="11"/>
        <v>0</v>
      </c>
      <c r="AD23" s="24">
        <f t="shared" si="11"/>
        <v>0</v>
      </c>
      <c r="AE23" s="24">
        <f t="shared" si="11"/>
        <v>0</v>
      </c>
      <c r="AF23" s="24">
        <f t="shared" si="11"/>
        <v>0</v>
      </c>
      <c r="AG23" s="24">
        <f t="shared" si="11"/>
        <v>0</v>
      </c>
      <c r="AH23" s="24">
        <f t="shared" si="11"/>
        <v>0</v>
      </c>
      <c r="AI23" s="24">
        <f t="shared" si="12"/>
        <v>0</v>
      </c>
      <c r="AJ23" s="24">
        <f t="shared" si="12"/>
        <v>0</v>
      </c>
      <c r="AK23" s="24">
        <f t="shared" si="12"/>
        <v>0</v>
      </c>
      <c r="AL23" s="24">
        <f t="shared" si="12"/>
        <v>0</v>
      </c>
      <c r="AM23" s="24">
        <f t="shared" si="12"/>
        <v>0</v>
      </c>
      <c r="AN23" s="27">
        <f t="shared" si="12"/>
        <v>0</v>
      </c>
      <c r="AO23" s="37"/>
      <c r="AP23"/>
      <c r="AQ23" s="37"/>
      <c r="AR23" s="37"/>
      <c r="AS23" s="37"/>
      <c r="AT23" s="37"/>
      <c r="AU23" s="37"/>
      <c r="AV23" s="37"/>
      <c r="AW23" s="37"/>
      <c r="AX23" s="37"/>
      <c r="AY23" s="37"/>
      <c r="AZ23" s="37"/>
      <c r="BA23" s="37"/>
      <c r="BB23" s="37"/>
      <c r="BC23" s="37"/>
      <c r="BD23" s="37"/>
      <c r="BE23" s="37"/>
      <c r="BF23" s="37"/>
      <c r="BG23" s="37"/>
      <c r="BH23" s="37"/>
      <c r="BI23" s="37"/>
      <c r="BJ23" s="37"/>
      <c r="BK23" s="37"/>
      <c r="BL23" s="37"/>
      <c r="CK23" s="256"/>
      <c r="CL23" s="256"/>
      <c r="CM23" s="256"/>
      <c r="CN23" s="256"/>
      <c r="CO23" s="256"/>
      <c r="CP23" s="256"/>
      <c r="CQ23" s="256"/>
      <c r="CR23" s="256"/>
      <c r="CS23" s="256"/>
      <c r="CT23" s="256"/>
      <c r="CU23" s="256"/>
      <c r="CV23" s="256"/>
      <c r="CW23" s="256"/>
      <c r="CX23" s="256"/>
      <c r="CY23" s="256"/>
    </row>
    <row r="24" spans="1:103" s="255" customFormat="1">
      <c r="A24" s="304" t="s">
        <v>388</v>
      </c>
      <c r="C24" s="261" t="str">
        <f t="shared" si="4"/>
        <v>Social housing - Extended RE:NEWMore Effective</v>
      </c>
      <c r="D24"/>
      <c r="E24" s="26">
        <f t="shared" si="9"/>
        <v>0</v>
      </c>
      <c r="F24" s="24">
        <f t="shared" si="9"/>
        <v>0</v>
      </c>
      <c r="G24" s="24">
        <f t="shared" si="9"/>
        <v>0</v>
      </c>
      <c r="H24" s="24">
        <f t="shared" si="9"/>
        <v>0</v>
      </c>
      <c r="I24" s="24">
        <f t="shared" si="9"/>
        <v>0</v>
      </c>
      <c r="J24" s="24">
        <f t="shared" si="9"/>
        <v>0</v>
      </c>
      <c r="K24" s="24">
        <f t="shared" si="9"/>
        <v>0</v>
      </c>
      <c r="L24" s="24">
        <f t="shared" si="9"/>
        <v>0</v>
      </c>
      <c r="M24" s="24">
        <f t="shared" si="9"/>
        <v>0</v>
      </c>
      <c r="N24" s="24">
        <f t="shared" si="9"/>
        <v>0</v>
      </c>
      <c r="O24" s="24">
        <f t="shared" si="10"/>
        <v>0</v>
      </c>
      <c r="P24" s="24">
        <f t="shared" si="10"/>
        <v>0</v>
      </c>
      <c r="Q24" s="24">
        <f t="shared" si="10"/>
        <v>0</v>
      </c>
      <c r="R24" s="24">
        <f t="shared" si="10"/>
        <v>0</v>
      </c>
      <c r="S24" s="24">
        <f t="shared" si="10"/>
        <v>0</v>
      </c>
      <c r="T24" s="24">
        <f t="shared" si="10"/>
        <v>0</v>
      </c>
      <c r="U24" s="24">
        <f t="shared" si="10"/>
        <v>0</v>
      </c>
      <c r="V24" s="24">
        <f t="shared" si="10"/>
        <v>0</v>
      </c>
      <c r="W24" s="24">
        <f t="shared" si="10"/>
        <v>0</v>
      </c>
      <c r="X24" s="24">
        <f t="shared" si="10"/>
        <v>0</v>
      </c>
      <c r="Y24" s="24">
        <f t="shared" si="11"/>
        <v>0</v>
      </c>
      <c r="Z24" s="24">
        <f t="shared" si="11"/>
        <v>0</v>
      </c>
      <c r="AA24" s="24">
        <f t="shared" si="11"/>
        <v>0</v>
      </c>
      <c r="AB24" s="24">
        <f t="shared" si="11"/>
        <v>0</v>
      </c>
      <c r="AC24" s="24">
        <f t="shared" si="11"/>
        <v>0</v>
      </c>
      <c r="AD24" s="24">
        <f t="shared" si="11"/>
        <v>0</v>
      </c>
      <c r="AE24" s="24">
        <f t="shared" si="11"/>
        <v>0</v>
      </c>
      <c r="AF24" s="24">
        <f t="shared" si="11"/>
        <v>0</v>
      </c>
      <c r="AG24" s="24">
        <f t="shared" si="11"/>
        <v>0</v>
      </c>
      <c r="AH24" s="24">
        <f t="shared" si="11"/>
        <v>0</v>
      </c>
      <c r="AI24" s="24">
        <f t="shared" si="12"/>
        <v>0</v>
      </c>
      <c r="AJ24" s="24">
        <f t="shared" si="12"/>
        <v>0</v>
      </c>
      <c r="AK24" s="24">
        <f t="shared" si="12"/>
        <v>0</v>
      </c>
      <c r="AL24" s="24">
        <f t="shared" si="12"/>
        <v>0</v>
      </c>
      <c r="AM24" s="24">
        <f t="shared" si="12"/>
        <v>0</v>
      </c>
      <c r="AN24" s="27">
        <f t="shared" si="12"/>
        <v>0</v>
      </c>
      <c r="AO24" s="37"/>
      <c r="AP24"/>
      <c r="AQ24" s="37"/>
      <c r="AR24" s="37"/>
      <c r="AS24" s="37"/>
      <c r="AT24" s="37"/>
      <c r="AU24" s="37"/>
      <c r="AV24" s="37"/>
      <c r="AW24" s="37"/>
      <c r="AX24" s="37"/>
      <c r="AY24" s="37"/>
      <c r="AZ24" s="37"/>
      <c r="BA24" s="37"/>
      <c r="BB24" s="37"/>
      <c r="BC24" s="37"/>
      <c r="BD24" s="37"/>
      <c r="BE24" s="37"/>
      <c r="BF24" s="37"/>
      <c r="BG24" s="37"/>
      <c r="BH24" s="37"/>
      <c r="BI24" s="37"/>
      <c r="BJ24" s="37"/>
      <c r="BK24" s="37"/>
      <c r="BL24" s="37"/>
      <c r="CK24" s="256"/>
      <c r="CL24" s="256"/>
      <c r="CM24" s="256"/>
      <c r="CN24" s="256"/>
      <c r="CO24" s="256"/>
      <c r="CP24" s="256"/>
      <c r="CQ24" s="256"/>
      <c r="CR24" s="256"/>
      <c r="CS24" s="256"/>
      <c r="CT24" s="256"/>
      <c r="CU24" s="256"/>
      <c r="CV24" s="256"/>
      <c r="CW24" s="256"/>
      <c r="CX24" s="256"/>
      <c r="CY24" s="256"/>
    </row>
    <row r="25" spans="1:103" s="255" customFormat="1">
      <c r="A25" s="304" t="s">
        <v>389</v>
      </c>
      <c r="C25" s="261" t="str">
        <f t="shared" si="4"/>
        <v>Social housing - All buildings MEES - EPC CMore Effective</v>
      </c>
      <c r="D25"/>
      <c r="E25" s="26">
        <f t="shared" si="9"/>
        <v>0</v>
      </c>
      <c r="F25" s="24">
        <f t="shared" si="9"/>
        <v>0</v>
      </c>
      <c r="G25" s="24">
        <f t="shared" si="9"/>
        <v>0</v>
      </c>
      <c r="H25" s="24">
        <f t="shared" si="9"/>
        <v>0</v>
      </c>
      <c r="I25" s="24">
        <f t="shared" si="9"/>
        <v>0</v>
      </c>
      <c r="J25" s="24">
        <f t="shared" si="9"/>
        <v>0</v>
      </c>
      <c r="K25" s="24">
        <f t="shared" si="9"/>
        <v>5415.1563911432168</v>
      </c>
      <c r="L25" s="24">
        <f t="shared" si="9"/>
        <v>10830.312782286434</v>
      </c>
      <c r="M25" s="24">
        <f t="shared" si="9"/>
        <v>16245.469173429648</v>
      </c>
      <c r="N25" s="24">
        <f t="shared" si="9"/>
        <v>21660.625564572867</v>
      </c>
      <c r="O25" s="24">
        <f t="shared" si="10"/>
        <v>27075.781955716084</v>
      </c>
      <c r="P25" s="24">
        <f t="shared" si="10"/>
        <v>32490.938346859297</v>
      </c>
      <c r="Q25" s="24">
        <f t="shared" si="10"/>
        <v>37906.094738002517</v>
      </c>
      <c r="R25" s="24">
        <f t="shared" si="10"/>
        <v>43321.251129145734</v>
      </c>
      <c r="S25" s="24">
        <f t="shared" si="10"/>
        <v>48736.407520288951</v>
      </c>
      <c r="T25" s="24">
        <f t="shared" si="10"/>
        <v>48736.407520288951</v>
      </c>
      <c r="U25" s="24">
        <f t="shared" si="10"/>
        <v>38989.126016231152</v>
      </c>
      <c r="V25" s="24">
        <f t="shared" si="10"/>
        <v>29241.844512173368</v>
      </c>
      <c r="W25" s="24">
        <f t="shared" si="10"/>
        <v>19494.563008115583</v>
      </c>
      <c r="X25" s="24">
        <f t="shared" si="10"/>
        <v>9747.2815040577916</v>
      </c>
      <c r="Y25" s="24">
        <f t="shared" si="11"/>
        <v>3.637978807091713E-12</v>
      </c>
      <c r="Z25" s="24">
        <f t="shared" si="11"/>
        <v>0</v>
      </c>
      <c r="AA25" s="24">
        <f t="shared" si="11"/>
        <v>0</v>
      </c>
      <c r="AB25" s="24">
        <f t="shared" si="11"/>
        <v>0</v>
      </c>
      <c r="AC25" s="24">
        <f t="shared" si="11"/>
        <v>0</v>
      </c>
      <c r="AD25" s="24">
        <f t="shared" si="11"/>
        <v>0</v>
      </c>
      <c r="AE25" s="24">
        <f t="shared" si="11"/>
        <v>0</v>
      </c>
      <c r="AF25" s="24">
        <f t="shared" si="11"/>
        <v>0</v>
      </c>
      <c r="AG25" s="24">
        <f t="shared" si="11"/>
        <v>0</v>
      </c>
      <c r="AH25" s="24">
        <f t="shared" si="11"/>
        <v>0</v>
      </c>
      <c r="AI25" s="24">
        <f t="shared" si="12"/>
        <v>0</v>
      </c>
      <c r="AJ25" s="24">
        <f t="shared" si="12"/>
        <v>0</v>
      </c>
      <c r="AK25" s="24">
        <f t="shared" si="12"/>
        <v>0</v>
      </c>
      <c r="AL25" s="24">
        <f t="shared" si="12"/>
        <v>0</v>
      </c>
      <c r="AM25" s="24">
        <f t="shared" si="12"/>
        <v>0</v>
      </c>
      <c r="AN25" s="27">
        <f t="shared" si="12"/>
        <v>0</v>
      </c>
      <c r="AO25" s="37"/>
      <c r="AP25"/>
      <c r="AQ25" s="37"/>
      <c r="AR25" s="37"/>
      <c r="AS25" s="37"/>
      <c r="AT25" s="37"/>
      <c r="AU25" s="37"/>
      <c r="AV25" s="37"/>
      <c r="AW25" s="37"/>
      <c r="AX25" s="37"/>
      <c r="AY25" s="37"/>
      <c r="AZ25" s="37"/>
      <c r="BA25" s="37"/>
      <c r="BB25" s="37"/>
      <c r="BC25" s="37"/>
      <c r="BD25" s="37"/>
      <c r="BE25" s="37"/>
      <c r="BF25" s="37"/>
      <c r="BG25" s="37"/>
      <c r="BH25" s="37"/>
      <c r="BI25" s="37"/>
      <c r="BJ25" s="37"/>
      <c r="BK25" s="37"/>
      <c r="BL25" s="37"/>
      <c r="CK25" s="256"/>
      <c r="CL25" s="256"/>
      <c r="CM25" s="256"/>
      <c r="CN25" s="256"/>
      <c r="CO25" s="256"/>
      <c r="CP25" s="256"/>
      <c r="CQ25" s="256"/>
      <c r="CR25" s="256"/>
      <c r="CS25" s="256"/>
      <c r="CT25" s="256"/>
      <c r="CU25" s="256"/>
      <c r="CV25" s="256"/>
      <c r="CW25" s="256"/>
      <c r="CX25" s="256"/>
      <c r="CY25" s="256"/>
    </row>
    <row r="26" spans="1:103" s="255" customFormat="1">
      <c r="A26" s="304" t="s">
        <v>390</v>
      </c>
      <c r="C26" s="261" t="str">
        <f t="shared" si="4"/>
        <v>Social housing - Extended energy LeapMore Effective</v>
      </c>
      <c r="D26"/>
      <c r="E26" s="26">
        <f t="shared" ref="E26:N32" si="13">INDEX(E$96:E$794,MATCH($C26,$D$96:$D$794,0))</f>
        <v>0</v>
      </c>
      <c r="F26" s="24">
        <f t="shared" si="13"/>
        <v>0</v>
      </c>
      <c r="G26" s="24">
        <f t="shared" si="13"/>
        <v>0</v>
      </c>
      <c r="H26" s="24">
        <f t="shared" si="13"/>
        <v>0</v>
      </c>
      <c r="I26" s="24">
        <f t="shared" si="13"/>
        <v>0</v>
      </c>
      <c r="J26" s="24">
        <f t="shared" si="13"/>
        <v>0</v>
      </c>
      <c r="K26" s="24">
        <f t="shared" si="13"/>
        <v>0</v>
      </c>
      <c r="L26" s="24">
        <f t="shared" si="13"/>
        <v>0</v>
      </c>
      <c r="M26" s="24">
        <f t="shared" si="13"/>
        <v>0</v>
      </c>
      <c r="N26" s="24">
        <f t="shared" si="13"/>
        <v>0</v>
      </c>
      <c r="O26" s="24">
        <f t="shared" ref="O26:X32" si="14">INDEX(O$96:O$794,MATCH($C26,$D$96:$D$794,0))</f>
        <v>509.66177798994977</v>
      </c>
      <c r="P26" s="24">
        <f t="shared" si="14"/>
        <v>1019.3235559798995</v>
      </c>
      <c r="Q26" s="24">
        <f t="shared" si="14"/>
        <v>1528.9853339698493</v>
      </c>
      <c r="R26" s="24">
        <f t="shared" si="14"/>
        <v>2038.6471119597991</v>
      </c>
      <c r="S26" s="24">
        <f t="shared" si="14"/>
        <v>2548.3088899497488</v>
      </c>
      <c r="T26" s="24">
        <f t="shared" si="14"/>
        <v>3057.9706679396986</v>
      </c>
      <c r="U26" s="24">
        <f t="shared" si="14"/>
        <v>3567.6324459296484</v>
      </c>
      <c r="V26" s="24">
        <f t="shared" si="14"/>
        <v>4077.2942239195982</v>
      </c>
      <c r="W26" s="24">
        <f t="shared" si="14"/>
        <v>4586.9560019095479</v>
      </c>
      <c r="X26" s="24">
        <f t="shared" si="14"/>
        <v>5096.6177798994977</v>
      </c>
      <c r="Y26" s="24">
        <f t="shared" ref="Y26:AH32" si="15">INDEX(Y$96:Y$794,MATCH($C26,$D$96:$D$794,0))</f>
        <v>5096.6177798994977</v>
      </c>
      <c r="Z26" s="24">
        <f t="shared" si="15"/>
        <v>5096.6177798994977</v>
      </c>
      <c r="AA26" s="24">
        <f t="shared" si="15"/>
        <v>5096.6177798994977</v>
      </c>
      <c r="AB26" s="24">
        <f t="shared" si="15"/>
        <v>0</v>
      </c>
      <c r="AC26" s="24">
        <f t="shared" si="15"/>
        <v>0</v>
      </c>
      <c r="AD26" s="24">
        <f t="shared" si="15"/>
        <v>0</v>
      </c>
      <c r="AE26" s="24">
        <f t="shared" si="15"/>
        <v>0</v>
      </c>
      <c r="AF26" s="24">
        <f t="shared" si="15"/>
        <v>0</v>
      </c>
      <c r="AG26" s="24">
        <f t="shared" si="15"/>
        <v>0</v>
      </c>
      <c r="AH26" s="24">
        <f t="shared" si="15"/>
        <v>0</v>
      </c>
      <c r="AI26" s="24">
        <f t="shared" ref="AI26:AN32" si="16">INDEX(AI$96:AI$794,MATCH($C26,$D$96:$D$794,0))</f>
        <v>0</v>
      </c>
      <c r="AJ26" s="24">
        <f t="shared" si="16"/>
        <v>0</v>
      </c>
      <c r="AK26" s="24">
        <f t="shared" si="16"/>
        <v>0</v>
      </c>
      <c r="AL26" s="24">
        <f t="shared" si="16"/>
        <v>0</v>
      </c>
      <c r="AM26" s="24">
        <f t="shared" si="16"/>
        <v>0</v>
      </c>
      <c r="AN26" s="27">
        <f t="shared" si="16"/>
        <v>0</v>
      </c>
      <c r="AO26" s="37"/>
      <c r="AP26"/>
      <c r="AQ26" s="37"/>
      <c r="AR26" s="37"/>
      <c r="AS26" s="37"/>
      <c r="AT26" s="37"/>
      <c r="AU26" s="37"/>
      <c r="AV26" s="37"/>
      <c r="AW26" s="37"/>
      <c r="AX26" s="37"/>
      <c r="AY26" s="37"/>
      <c r="AZ26" s="37"/>
      <c r="BA26" s="37"/>
      <c r="BB26" s="37"/>
      <c r="BC26" s="37"/>
      <c r="BD26" s="37"/>
      <c r="BE26" s="37"/>
      <c r="BF26" s="37"/>
      <c r="BG26" s="37"/>
      <c r="BH26" s="37"/>
      <c r="BI26" s="37"/>
      <c r="BJ26" s="37"/>
      <c r="BK26" s="37"/>
      <c r="BL26" s="37"/>
      <c r="CK26" s="256"/>
      <c r="CL26" s="256"/>
      <c r="CM26" s="256"/>
      <c r="CN26" s="256"/>
      <c r="CO26" s="256"/>
      <c r="CP26" s="256"/>
      <c r="CQ26" s="256"/>
      <c r="CR26" s="256"/>
      <c r="CS26" s="256"/>
      <c r="CT26" s="256"/>
      <c r="CU26" s="256"/>
      <c r="CV26" s="256"/>
      <c r="CW26" s="256"/>
      <c r="CX26" s="256"/>
      <c r="CY26" s="256"/>
    </row>
    <row r="27" spans="1:103" s="255" customFormat="1">
      <c r="A27" s="304" t="s">
        <v>391</v>
      </c>
      <c r="C27" s="261" t="str">
        <f t="shared" si="4"/>
        <v>Able to pay - Building Regulations and planning policyMore Effective</v>
      </c>
      <c r="D27"/>
      <c r="E27" s="26">
        <f t="shared" si="13"/>
        <v>0</v>
      </c>
      <c r="F27" s="24">
        <f t="shared" si="13"/>
        <v>0</v>
      </c>
      <c r="G27" s="24">
        <f t="shared" si="13"/>
        <v>0</v>
      </c>
      <c r="H27" s="24">
        <f t="shared" si="13"/>
        <v>0</v>
      </c>
      <c r="I27" s="24">
        <f t="shared" si="13"/>
        <v>0</v>
      </c>
      <c r="J27" s="24">
        <f t="shared" si="13"/>
        <v>8046.9723287404267</v>
      </c>
      <c r="K27" s="24">
        <f t="shared" si="13"/>
        <v>8046.9723287404267</v>
      </c>
      <c r="L27" s="24">
        <f t="shared" si="13"/>
        <v>8046.9723287404267</v>
      </c>
      <c r="M27" s="24">
        <f t="shared" si="13"/>
        <v>8046.9723287404267</v>
      </c>
      <c r="N27" s="24">
        <f t="shared" si="13"/>
        <v>8046.9723287404267</v>
      </c>
      <c r="O27" s="24">
        <f t="shared" si="14"/>
        <v>8046.9723287404267</v>
      </c>
      <c r="P27" s="24">
        <f t="shared" si="14"/>
        <v>8046.9723287404267</v>
      </c>
      <c r="Q27" s="24">
        <f t="shared" si="14"/>
        <v>8046.9723287404267</v>
      </c>
      <c r="R27" s="24">
        <f t="shared" si="14"/>
        <v>0</v>
      </c>
      <c r="S27" s="24">
        <f t="shared" si="14"/>
        <v>0</v>
      </c>
      <c r="T27" s="24">
        <f t="shared" si="14"/>
        <v>0</v>
      </c>
      <c r="U27" s="24">
        <f t="shared" si="14"/>
        <v>0</v>
      </c>
      <c r="V27" s="24">
        <f t="shared" si="14"/>
        <v>0</v>
      </c>
      <c r="W27" s="24">
        <f t="shared" si="14"/>
        <v>0</v>
      </c>
      <c r="X27" s="24">
        <f t="shared" si="14"/>
        <v>0</v>
      </c>
      <c r="Y27" s="24">
        <f t="shared" si="15"/>
        <v>0</v>
      </c>
      <c r="Z27" s="24">
        <f t="shared" si="15"/>
        <v>0</v>
      </c>
      <c r="AA27" s="24">
        <f t="shared" si="15"/>
        <v>0</v>
      </c>
      <c r="AB27" s="24">
        <f t="shared" si="15"/>
        <v>0</v>
      </c>
      <c r="AC27" s="24">
        <f t="shared" si="15"/>
        <v>0</v>
      </c>
      <c r="AD27" s="24">
        <f t="shared" si="15"/>
        <v>0</v>
      </c>
      <c r="AE27" s="24">
        <f t="shared" si="15"/>
        <v>0</v>
      </c>
      <c r="AF27" s="24">
        <f t="shared" si="15"/>
        <v>0</v>
      </c>
      <c r="AG27" s="24">
        <f t="shared" si="15"/>
        <v>0</v>
      </c>
      <c r="AH27" s="24">
        <f t="shared" si="15"/>
        <v>0</v>
      </c>
      <c r="AI27" s="24">
        <f t="shared" si="16"/>
        <v>0</v>
      </c>
      <c r="AJ27" s="24">
        <f t="shared" si="16"/>
        <v>0</v>
      </c>
      <c r="AK27" s="24">
        <f t="shared" si="16"/>
        <v>0</v>
      </c>
      <c r="AL27" s="24">
        <f t="shared" si="16"/>
        <v>0</v>
      </c>
      <c r="AM27" s="24">
        <f t="shared" si="16"/>
        <v>0</v>
      </c>
      <c r="AN27" s="27">
        <f t="shared" si="16"/>
        <v>0</v>
      </c>
      <c r="AO27" s="37"/>
      <c r="AP27"/>
      <c r="AQ27" s="37"/>
      <c r="AR27" s="37"/>
      <c r="AS27" s="37"/>
      <c r="AT27" s="37"/>
      <c r="AU27" s="37"/>
      <c r="AV27" s="37"/>
      <c r="AW27" s="37"/>
      <c r="AX27" s="37"/>
      <c r="AY27" s="37"/>
      <c r="AZ27" s="37"/>
      <c r="BA27" s="37"/>
      <c r="BB27" s="37"/>
      <c r="BC27" s="37"/>
      <c r="BD27" s="37"/>
      <c r="BE27" s="37"/>
      <c r="BF27" s="37"/>
      <c r="BG27" s="37"/>
      <c r="BH27" s="37"/>
      <c r="BI27" s="37"/>
      <c r="BJ27" s="37"/>
      <c r="BK27" s="37"/>
      <c r="BL27" s="37"/>
      <c r="CK27" s="256"/>
      <c r="CL27" s="256"/>
      <c r="CM27" s="256"/>
      <c r="CN27" s="256"/>
      <c r="CO27" s="256"/>
      <c r="CP27" s="256"/>
      <c r="CQ27" s="256"/>
      <c r="CR27" s="256"/>
      <c r="CS27" s="256"/>
      <c r="CT27" s="256"/>
      <c r="CU27" s="256"/>
      <c r="CV27" s="256"/>
      <c r="CW27" s="256"/>
      <c r="CX27" s="256"/>
      <c r="CY27" s="256"/>
    </row>
    <row r="28" spans="1:103" s="255" customFormat="1">
      <c r="A28" s="304" t="s">
        <v>392</v>
      </c>
      <c r="C28" s="261" t="str">
        <f t="shared" si="4"/>
        <v>Able to pay - Council tax variation by EPCMore Effective</v>
      </c>
      <c r="D28"/>
      <c r="E28" s="26">
        <f t="shared" si="13"/>
        <v>0</v>
      </c>
      <c r="F28" s="24">
        <f t="shared" si="13"/>
        <v>0</v>
      </c>
      <c r="G28" s="24">
        <f t="shared" si="13"/>
        <v>0</v>
      </c>
      <c r="H28" s="24">
        <f t="shared" si="13"/>
        <v>0</v>
      </c>
      <c r="I28" s="24">
        <f t="shared" si="13"/>
        <v>0</v>
      </c>
      <c r="J28" s="24">
        <f t="shared" si="13"/>
        <v>0</v>
      </c>
      <c r="K28" s="24">
        <f t="shared" si="13"/>
        <v>0</v>
      </c>
      <c r="L28" s="24">
        <f t="shared" si="13"/>
        <v>0</v>
      </c>
      <c r="M28" s="24">
        <f t="shared" si="13"/>
        <v>102855.00280955498</v>
      </c>
      <c r="N28" s="24">
        <f t="shared" si="13"/>
        <v>102855.00280955498</v>
      </c>
      <c r="O28" s="24">
        <f t="shared" si="14"/>
        <v>102855.00280955498</v>
      </c>
      <c r="P28" s="24">
        <f t="shared" si="14"/>
        <v>102855.00280955498</v>
      </c>
      <c r="Q28" s="24">
        <f t="shared" si="14"/>
        <v>102855.00280955498</v>
      </c>
      <c r="R28" s="24">
        <f t="shared" si="14"/>
        <v>0</v>
      </c>
      <c r="S28" s="24">
        <f t="shared" si="14"/>
        <v>0</v>
      </c>
      <c r="T28" s="24">
        <f t="shared" si="14"/>
        <v>0</v>
      </c>
      <c r="U28" s="24">
        <f t="shared" si="14"/>
        <v>0</v>
      </c>
      <c r="V28" s="24">
        <f t="shared" si="14"/>
        <v>0</v>
      </c>
      <c r="W28" s="24">
        <f t="shared" si="14"/>
        <v>0</v>
      </c>
      <c r="X28" s="24">
        <f t="shared" si="14"/>
        <v>0</v>
      </c>
      <c r="Y28" s="24">
        <f t="shared" si="15"/>
        <v>0</v>
      </c>
      <c r="Z28" s="24">
        <f t="shared" si="15"/>
        <v>0</v>
      </c>
      <c r="AA28" s="24">
        <f t="shared" si="15"/>
        <v>0</v>
      </c>
      <c r="AB28" s="24">
        <f t="shared" si="15"/>
        <v>0</v>
      </c>
      <c r="AC28" s="24">
        <f t="shared" si="15"/>
        <v>0</v>
      </c>
      <c r="AD28" s="24">
        <f t="shared" si="15"/>
        <v>0</v>
      </c>
      <c r="AE28" s="24">
        <f t="shared" si="15"/>
        <v>0</v>
      </c>
      <c r="AF28" s="24">
        <f t="shared" si="15"/>
        <v>0</v>
      </c>
      <c r="AG28" s="24">
        <f t="shared" si="15"/>
        <v>0</v>
      </c>
      <c r="AH28" s="24">
        <f t="shared" si="15"/>
        <v>0</v>
      </c>
      <c r="AI28" s="24">
        <f t="shared" si="16"/>
        <v>0</v>
      </c>
      <c r="AJ28" s="24">
        <f t="shared" si="16"/>
        <v>0</v>
      </c>
      <c r="AK28" s="24">
        <f t="shared" si="16"/>
        <v>0</v>
      </c>
      <c r="AL28" s="24">
        <f t="shared" si="16"/>
        <v>0</v>
      </c>
      <c r="AM28" s="24">
        <f t="shared" si="16"/>
        <v>0</v>
      </c>
      <c r="AN28" s="27">
        <f t="shared" si="16"/>
        <v>0</v>
      </c>
      <c r="AO28" s="37"/>
      <c r="AP28"/>
      <c r="AQ28" s="37"/>
      <c r="AR28" s="37"/>
      <c r="AS28" s="37"/>
      <c r="AT28" s="37"/>
      <c r="AU28" s="37"/>
      <c r="AV28" s="37"/>
      <c r="AW28" s="37"/>
      <c r="AX28" s="37"/>
      <c r="AY28" s="37"/>
      <c r="AZ28" s="37"/>
      <c r="BA28" s="37"/>
      <c r="BB28" s="37"/>
      <c r="BC28" s="37"/>
      <c r="BD28" s="37"/>
      <c r="BE28" s="37"/>
      <c r="BF28" s="37"/>
      <c r="BG28" s="37"/>
      <c r="BH28" s="37"/>
      <c r="BI28" s="37"/>
      <c r="BJ28" s="37"/>
      <c r="BK28" s="37"/>
      <c r="BL28" s="37"/>
      <c r="CK28" s="256"/>
      <c r="CL28" s="256"/>
      <c r="CM28" s="256"/>
      <c r="CN28" s="256"/>
      <c r="CO28" s="256"/>
      <c r="CP28" s="256"/>
      <c r="CQ28" s="256"/>
      <c r="CR28" s="256"/>
      <c r="CS28" s="256"/>
      <c r="CT28" s="256"/>
      <c r="CU28" s="256"/>
      <c r="CV28" s="256"/>
      <c r="CW28" s="256"/>
      <c r="CX28" s="256"/>
      <c r="CY28" s="256"/>
    </row>
    <row r="29" spans="1:103" s="255" customFormat="1">
      <c r="A29" s="304" t="s">
        <v>393</v>
      </c>
      <c r="C29" s="261" t="str">
        <f t="shared" si="4"/>
        <v>Able to pay - Landlord MEES - EPC CMore Effective</v>
      </c>
      <c r="D29"/>
      <c r="E29" s="26">
        <f t="shared" si="13"/>
        <v>0</v>
      </c>
      <c r="F29" s="24">
        <f t="shared" si="13"/>
        <v>0</v>
      </c>
      <c r="G29" s="24">
        <f t="shared" si="13"/>
        <v>0</v>
      </c>
      <c r="H29" s="24">
        <f t="shared" si="13"/>
        <v>0</v>
      </c>
      <c r="I29" s="24">
        <f t="shared" si="13"/>
        <v>4219.5785907289428</v>
      </c>
      <c r="J29" s="24">
        <f t="shared" si="13"/>
        <v>8439.1571814578856</v>
      </c>
      <c r="K29" s="24">
        <f t="shared" si="13"/>
        <v>12658.735772186828</v>
      </c>
      <c r="L29" s="24">
        <f t="shared" si="13"/>
        <v>16878.314362915771</v>
      </c>
      <c r="M29" s="24">
        <f t="shared" si="13"/>
        <v>21097.892953644714</v>
      </c>
      <c r="N29" s="24">
        <f t="shared" si="13"/>
        <v>25317.471544373657</v>
      </c>
      <c r="O29" s="24">
        <f t="shared" si="14"/>
        <v>29537.0501351026</v>
      </c>
      <c r="P29" s="24">
        <f t="shared" si="14"/>
        <v>33756.628725831542</v>
      </c>
      <c r="Q29" s="24">
        <f t="shared" si="14"/>
        <v>37976.207316560482</v>
      </c>
      <c r="R29" s="24">
        <f t="shared" si="14"/>
        <v>42195.785907289428</v>
      </c>
      <c r="S29" s="24">
        <f t="shared" si="14"/>
        <v>46415.364498018367</v>
      </c>
      <c r="T29" s="24">
        <f t="shared" si="14"/>
        <v>46415.364498018367</v>
      </c>
      <c r="U29" s="24">
        <f t="shared" si="14"/>
        <v>37132.291598414697</v>
      </c>
      <c r="V29" s="24">
        <f t="shared" si="14"/>
        <v>27849.218698811019</v>
      </c>
      <c r="W29" s="24">
        <f t="shared" si="14"/>
        <v>18566.145799207345</v>
      </c>
      <c r="X29" s="24">
        <f t="shared" si="14"/>
        <v>9283.0728996036705</v>
      </c>
      <c r="Y29" s="24">
        <f t="shared" si="15"/>
        <v>-7.2759576141834259E-12</v>
      </c>
      <c r="Z29" s="24">
        <f t="shared" si="15"/>
        <v>0</v>
      </c>
      <c r="AA29" s="24">
        <f t="shared" si="15"/>
        <v>0</v>
      </c>
      <c r="AB29" s="24">
        <f t="shared" si="15"/>
        <v>0</v>
      </c>
      <c r="AC29" s="24">
        <f t="shared" si="15"/>
        <v>0</v>
      </c>
      <c r="AD29" s="24">
        <f t="shared" si="15"/>
        <v>0</v>
      </c>
      <c r="AE29" s="24">
        <f t="shared" si="15"/>
        <v>0</v>
      </c>
      <c r="AF29" s="24">
        <f t="shared" si="15"/>
        <v>0</v>
      </c>
      <c r="AG29" s="24">
        <f t="shared" si="15"/>
        <v>0</v>
      </c>
      <c r="AH29" s="24">
        <f t="shared" si="15"/>
        <v>0</v>
      </c>
      <c r="AI29" s="24">
        <f t="shared" si="16"/>
        <v>0</v>
      </c>
      <c r="AJ29" s="24">
        <f t="shared" si="16"/>
        <v>0</v>
      </c>
      <c r="AK29" s="24">
        <f t="shared" si="16"/>
        <v>0</v>
      </c>
      <c r="AL29" s="24">
        <f t="shared" si="16"/>
        <v>0</v>
      </c>
      <c r="AM29" s="24">
        <f t="shared" si="16"/>
        <v>0</v>
      </c>
      <c r="AN29" s="27">
        <f t="shared" si="16"/>
        <v>0</v>
      </c>
      <c r="AO29" s="37"/>
      <c r="AP29"/>
      <c r="AQ29" s="37"/>
      <c r="AR29" s="37"/>
      <c r="AS29" s="37"/>
      <c r="AT29" s="37"/>
      <c r="AU29" s="37"/>
      <c r="AV29" s="37"/>
      <c r="AW29" s="37"/>
      <c r="AX29" s="37"/>
      <c r="AY29" s="37"/>
      <c r="AZ29" s="37"/>
      <c r="BA29" s="37"/>
      <c r="BB29" s="37"/>
      <c r="BC29" s="37"/>
      <c r="BD29" s="37"/>
      <c r="BE29" s="37"/>
      <c r="BF29" s="37"/>
      <c r="BG29" s="37"/>
      <c r="BH29" s="37"/>
      <c r="BI29" s="37"/>
      <c r="BJ29" s="37"/>
      <c r="BK29" s="37"/>
      <c r="BL29" s="37"/>
      <c r="CK29" s="256"/>
      <c r="CL29" s="256"/>
      <c r="CM29" s="256"/>
      <c r="CN29" s="256"/>
      <c r="CO29" s="256"/>
      <c r="CP29" s="256"/>
      <c r="CQ29" s="256"/>
      <c r="CR29" s="256"/>
      <c r="CS29" s="256"/>
      <c r="CT29" s="256"/>
      <c r="CU29" s="256"/>
      <c r="CV29" s="256"/>
      <c r="CW29" s="256"/>
      <c r="CX29" s="256"/>
      <c r="CY29" s="256"/>
    </row>
    <row r="30" spans="1:103" s="255" customFormat="1">
      <c r="A30" s="304" t="s">
        <v>394</v>
      </c>
      <c r="C30" s="261" t="str">
        <f t="shared" si="4"/>
        <v>Able to pay - Stamp duty energy efficiency scalingMore Effective</v>
      </c>
      <c r="D30"/>
      <c r="E30" s="26">
        <f t="shared" si="13"/>
        <v>0</v>
      </c>
      <c r="F30" s="24">
        <f t="shared" si="13"/>
        <v>0</v>
      </c>
      <c r="G30" s="24">
        <f t="shared" si="13"/>
        <v>0</v>
      </c>
      <c r="H30" s="24">
        <f t="shared" si="13"/>
        <v>0</v>
      </c>
      <c r="I30" s="24">
        <f t="shared" si="13"/>
        <v>0</v>
      </c>
      <c r="J30" s="24">
        <f t="shared" si="13"/>
        <v>0</v>
      </c>
      <c r="K30" s="24">
        <f t="shared" si="13"/>
        <v>0</v>
      </c>
      <c r="L30" s="24">
        <f t="shared" si="13"/>
        <v>0</v>
      </c>
      <c r="M30" s="24">
        <f t="shared" si="13"/>
        <v>0</v>
      </c>
      <c r="N30" s="24">
        <f t="shared" si="13"/>
        <v>0</v>
      </c>
      <c r="O30" s="24">
        <f t="shared" si="14"/>
        <v>30856.500842866491</v>
      </c>
      <c r="P30" s="24">
        <f t="shared" si="14"/>
        <v>30856.500842866491</v>
      </c>
      <c r="Q30" s="24">
        <f t="shared" si="14"/>
        <v>30856.500842866491</v>
      </c>
      <c r="R30" s="24">
        <f t="shared" si="14"/>
        <v>30856.500842866491</v>
      </c>
      <c r="S30" s="24">
        <f t="shared" si="14"/>
        <v>30856.500842866491</v>
      </c>
      <c r="T30" s="24">
        <f t="shared" si="14"/>
        <v>30856.500842866491</v>
      </c>
      <c r="U30" s="24">
        <f t="shared" si="14"/>
        <v>30856.500842866491</v>
      </c>
      <c r="V30" s="24">
        <f t="shared" si="14"/>
        <v>30856.500842866491</v>
      </c>
      <c r="W30" s="24">
        <f t="shared" si="14"/>
        <v>30856.500842866491</v>
      </c>
      <c r="X30" s="24">
        <f t="shared" si="14"/>
        <v>30856.500842866491</v>
      </c>
      <c r="Y30" s="24">
        <f t="shared" si="15"/>
        <v>30856.500842866491</v>
      </c>
      <c r="Z30" s="24">
        <f t="shared" si="15"/>
        <v>0</v>
      </c>
      <c r="AA30" s="24">
        <f t="shared" si="15"/>
        <v>0</v>
      </c>
      <c r="AB30" s="24">
        <f t="shared" si="15"/>
        <v>0</v>
      </c>
      <c r="AC30" s="24">
        <f t="shared" si="15"/>
        <v>0</v>
      </c>
      <c r="AD30" s="24">
        <f t="shared" si="15"/>
        <v>0</v>
      </c>
      <c r="AE30" s="24">
        <f t="shared" si="15"/>
        <v>0</v>
      </c>
      <c r="AF30" s="24">
        <f t="shared" si="15"/>
        <v>0</v>
      </c>
      <c r="AG30" s="24">
        <f t="shared" si="15"/>
        <v>0</v>
      </c>
      <c r="AH30" s="24">
        <f t="shared" si="15"/>
        <v>0</v>
      </c>
      <c r="AI30" s="24">
        <f t="shared" si="16"/>
        <v>0</v>
      </c>
      <c r="AJ30" s="24">
        <f t="shared" si="16"/>
        <v>0</v>
      </c>
      <c r="AK30" s="24">
        <f t="shared" si="16"/>
        <v>0</v>
      </c>
      <c r="AL30" s="24">
        <f t="shared" si="16"/>
        <v>0</v>
      </c>
      <c r="AM30" s="24">
        <f t="shared" si="16"/>
        <v>0</v>
      </c>
      <c r="AN30" s="27">
        <f t="shared" si="16"/>
        <v>0</v>
      </c>
      <c r="AO30" s="37"/>
      <c r="AP30"/>
      <c r="AQ30" s="37"/>
      <c r="AR30" s="37"/>
      <c r="AS30" s="37"/>
      <c r="AT30" s="37"/>
      <c r="AU30" s="37"/>
      <c r="AV30" s="37"/>
      <c r="AW30" s="37"/>
      <c r="AX30" s="37"/>
      <c r="AY30" s="37"/>
      <c r="AZ30" s="37"/>
      <c r="BA30" s="37"/>
      <c r="BB30" s="37"/>
      <c r="BC30" s="37"/>
      <c r="BD30" s="37"/>
      <c r="BE30" s="37"/>
      <c r="BF30" s="37"/>
      <c r="BG30" s="37"/>
      <c r="BH30" s="37"/>
      <c r="BI30" s="37"/>
      <c r="BJ30" s="37"/>
      <c r="BK30" s="37"/>
      <c r="BL30" s="37"/>
      <c r="CK30" s="256"/>
      <c r="CL30" s="256"/>
      <c r="CM30" s="256"/>
      <c r="CN30" s="256"/>
      <c r="CO30" s="256"/>
      <c r="CP30" s="256"/>
      <c r="CQ30" s="256"/>
      <c r="CR30" s="256"/>
      <c r="CS30" s="256"/>
      <c r="CT30" s="256"/>
      <c r="CU30" s="256"/>
      <c r="CV30" s="256"/>
      <c r="CW30" s="256"/>
      <c r="CX30" s="256"/>
      <c r="CY30" s="256"/>
    </row>
    <row r="31" spans="1:103" s="255" customFormat="1">
      <c r="A31" s="304" t="s">
        <v>395</v>
      </c>
      <c r="C31" s="261" t="str">
        <f t="shared" si="4"/>
        <v>Able to pay - Extended Energy LeapMore Effective</v>
      </c>
      <c r="D31"/>
      <c r="E31" s="26">
        <f t="shared" si="13"/>
        <v>0</v>
      </c>
      <c r="F31" s="24">
        <f t="shared" si="13"/>
        <v>0</v>
      </c>
      <c r="G31" s="24">
        <f t="shared" si="13"/>
        <v>0</v>
      </c>
      <c r="H31" s="24">
        <f t="shared" si="13"/>
        <v>0</v>
      </c>
      <c r="I31" s="24">
        <f t="shared" si="13"/>
        <v>0</v>
      </c>
      <c r="J31" s="24">
        <f t="shared" si="13"/>
        <v>0</v>
      </c>
      <c r="K31" s="24">
        <f t="shared" si="13"/>
        <v>0</v>
      </c>
      <c r="L31" s="24">
        <f t="shared" si="13"/>
        <v>0</v>
      </c>
      <c r="M31" s="24">
        <f t="shared" si="13"/>
        <v>0</v>
      </c>
      <c r="N31" s="24">
        <f t="shared" si="13"/>
        <v>0</v>
      </c>
      <c r="O31" s="24">
        <f t="shared" si="14"/>
        <v>1687.2524179462703</v>
      </c>
      <c r="P31" s="24">
        <f t="shared" si="14"/>
        <v>3374.5048358925405</v>
      </c>
      <c r="Q31" s="24">
        <f t="shared" si="14"/>
        <v>5061.7572538388113</v>
      </c>
      <c r="R31" s="24">
        <f t="shared" si="14"/>
        <v>6749.0096717850811</v>
      </c>
      <c r="S31" s="24">
        <f t="shared" si="14"/>
        <v>8436.26208973135</v>
      </c>
      <c r="T31" s="24">
        <f t="shared" si="14"/>
        <v>10123.514507677623</v>
      </c>
      <c r="U31" s="24">
        <f t="shared" si="14"/>
        <v>11810.766925623891</v>
      </c>
      <c r="V31" s="24">
        <f t="shared" si="14"/>
        <v>13498.019343570162</v>
      </c>
      <c r="W31" s="24">
        <f t="shared" si="14"/>
        <v>15185.271761516433</v>
      </c>
      <c r="X31" s="24">
        <f t="shared" si="14"/>
        <v>16872.5241794627</v>
      </c>
      <c r="Y31" s="24">
        <f t="shared" si="15"/>
        <v>16872.5241794627</v>
      </c>
      <c r="Z31" s="24">
        <f t="shared" si="15"/>
        <v>16872.5241794627</v>
      </c>
      <c r="AA31" s="24">
        <f t="shared" si="15"/>
        <v>16872.5241794627</v>
      </c>
      <c r="AB31" s="24">
        <f t="shared" si="15"/>
        <v>0</v>
      </c>
      <c r="AC31" s="24">
        <f t="shared" si="15"/>
        <v>0</v>
      </c>
      <c r="AD31" s="24">
        <f t="shared" si="15"/>
        <v>0</v>
      </c>
      <c r="AE31" s="24">
        <f t="shared" si="15"/>
        <v>0</v>
      </c>
      <c r="AF31" s="24">
        <f t="shared" si="15"/>
        <v>0</v>
      </c>
      <c r="AG31" s="24">
        <f t="shared" si="15"/>
        <v>0</v>
      </c>
      <c r="AH31" s="24">
        <f t="shared" si="15"/>
        <v>0</v>
      </c>
      <c r="AI31" s="24">
        <f t="shared" si="16"/>
        <v>0</v>
      </c>
      <c r="AJ31" s="24">
        <f t="shared" si="16"/>
        <v>0</v>
      </c>
      <c r="AK31" s="24">
        <f t="shared" si="16"/>
        <v>0</v>
      </c>
      <c r="AL31" s="24">
        <f t="shared" si="16"/>
        <v>0</v>
      </c>
      <c r="AM31" s="24">
        <f t="shared" si="16"/>
        <v>0</v>
      </c>
      <c r="AN31" s="27">
        <f t="shared" si="16"/>
        <v>0</v>
      </c>
      <c r="AO31" s="37"/>
      <c r="AP31"/>
      <c r="AQ31" s="37"/>
      <c r="AR31" s="37"/>
      <c r="AS31" s="37"/>
      <c r="AT31" s="37"/>
      <c r="AU31" s="37"/>
      <c r="AV31" s="37"/>
      <c r="AW31" s="37"/>
      <c r="AX31" s="37"/>
      <c r="AY31" s="37"/>
      <c r="AZ31" s="37"/>
      <c r="BA31" s="37"/>
      <c r="BB31" s="37"/>
      <c r="BC31" s="37"/>
      <c r="BD31" s="37"/>
      <c r="BE31" s="37"/>
      <c r="BF31" s="37"/>
      <c r="BG31" s="37"/>
      <c r="BH31" s="37"/>
      <c r="BI31" s="37"/>
      <c r="BJ31" s="37"/>
      <c r="BK31" s="37"/>
      <c r="BL31" s="37"/>
      <c r="CK31" s="256"/>
      <c r="CL31" s="256"/>
      <c r="CM31" s="256"/>
      <c r="CN31" s="256"/>
      <c r="CO31" s="256"/>
      <c r="CP31" s="256"/>
      <c r="CQ31" s="256"/>
      <c r="CR31" s="256"/>
      <c r="CS31" s="256"/>
      <c r="CT31" s="256"/>
      <c r="CU31" s="256"/>
      <c r="CV31" s="256"/>
      <c r="CW31" s="256"/>
      <c r="CX31" s="256"/>
      <c r="CY31" s="256"/>
    </row>
    <row r="32" spans="1:103" s="255" customFormat="1">
      <c r="A32" s="304" t="s">
        <v>396</v>
      </c>
      <c r="C32" s="261" t="str">
        <f t="shared" si="4"/>
        <v>Able to pay - All buildings MEES - EPC CMore Effective</v>
      </c>
      <c r="D32"/>
      <c r="E32" s="26">
        <f t="shared" si="13"/>
        <v>0</v>
      </c>
      <c r="F32" s="24">
        <f t="shared" si="13"/>
        <v>0</v>
      </c>
      <c r="G32" s="24">
        <f t="shared" si="13"/>
        <v>0</v>
      </c>
      <c r="H32" s="24">
        <f t="shared" si="13"/>
        <v>0</v>
      </c>
      <c r="I32" s="24">
        <f t="shared" si="13"/>
        <v>0</v>
      </c>
      <c r="J32" s="24">
        <f t="shared" si="13"/>
        <v>0</v>
      </c>
      <c r="K32" s="24">
        <f t="shared" si="13"/>
        <v>4575.6286007882791</v>
      </c>
      <c r="L32" s="24">
        <f t="shared" si="13"/>
        <v>9151.2572015765581</v>
      </c>
      <c r="M32" s="24">
        <f t="shared" si="13"/>
        <v>13726.885802364837</v>
      </c>
      <c r="N32" s="24">
        <f t="shared" si="13"/>
        <v>18302.514403153116</v>
      </c>
      <c r="O32" s="24">
        <f t="shared" si="14"/>
        <v>22878.143003941397</v>
      </c>
      <c r="P32" s="24">
        <f t="shared" si="14"/>
        <v>27453.771604729674</v>
      </c>
      <c r="Q32" s="24">
        <f t="shared" si="14"/>
        <v>32029.400205517959</v>
      </c>
      <c r="R32" s="24">
        <f t="shared" si="14"/>
        <v>36605.028806306233</v>
      </c>
      <c r="S32" s="24">
        <f t="shared" si="14"/>
        <v>41180.657407094513</v>
      </c>
      <c r="T32" s="24">
        <f t="shared" si="14"/>
        <v>41180.657407094513</v>
      </c>
      <c r="U32" s="24">
        <f t="shared" si="14"/>
        <v>41180.657407094513</v>
      </c>
      <c r="V32" s="24">
        <f t="shared" si="14"/>
        <v>41180.657407094513</v>
      </c>
      <c r="W32" s="24">
        <f t="shared" si="14"/>
        <v>41180.657407094513</v>
      </c>
      <c r="X32" s="24">
        <f t="shared" si="14"/>
        <v>41180.657407094513</v>
      </c>
      <c r="Y32" s="24">
        <f t="shared" si="15"/>
        <v>0</v>
      </c>
      <c r="Z32" s="24">
        <f t="shared" si="15"/>
        <v>0</v>
      </c>
      <c r="AA32" s="24">
        <f t="shared" si="15"/>
        <v>0</v>
      </c>
      <c r="AB32" s="24">
        <f t="shared" si="15"/>
        <v>0</v>
      </c>
      <c r="AC32" s="24">
        <f t="shared" si="15"/>
        <v>0</v>
      </c>
      <c r="AD32" s="24">
        <f t="shared" si="15"/>
        <v>0</v>
      </c>
      <c r="AE32" s="24">
        <f t="shared" si="15"/>
        <v>0</v>
      </c>
      <c r="AF32" s="24">
        <f t="shared" si="15"/>
        <v>0</v>
      </c>
      <c r="AG32" s="24">
        <f t="shared" si="15"/>
        <v>0</v>
      </c>
      <c r="AH32" s="24">
        <f t="shared" si="15"/>
        <v>0</v>
      </c>
      <c r="AI32" s="24">
        <f t="shared" si="16"/>
        <v>0</v>
      </c>
      <c r="AJ32" s="24">
        <f t="shared" si="16"/>
        <v>0</v>
      </c>
      <c r="AK32" s="24">
        <f t="shared" si="16"/>
        <v>0</v>
      </c>
      <c r="AL32" s="24">
        <f t="shared" si="16"/>
        <v>0</v>
      </c>
      <c r="AM32" s="24">
        <f t="shared" si="16"/>
        <v>0</v>
      </c>
      <c r="AN32" s="27">
        <f t="shared" si="16"/>
        <v>0</v>
      </c>
      <c r="AO32" s="37"/>
      <c r="AP32"/>
      <c r="AQ32" s="37"/>
      <c r="AR32" s="37"/>
      <c r="AS32" s="37"/>
      <c r="AT32" s="37"/>
      <c r="AU32" s="37"/>
      <c r="AV32" s="37"/>
      <c r="AW32" s="37"/>
      <c r="AX32" s="37"/>
      <c r="AY32" s="37"/>
      <c r="AZ32" s="37"/>
      <c r="BA32" s="37"/>
      <c r="BB32" s="37"/>
      <c r="BC32" s="37"/>
      <c r="BD32" s="37"/>
      <c r="BE32" s="37"/>
      <c r="BF32" s="37"/>
      <c r="BG32" s="37"/>
      <c r="BH32" s="37"/>
      <c r="BI32" s="37"/>
      <c r="BJ32" s="37"/>
      <c r="BK32" s="37"/>
      <c r="BL32" s="37"/>
      <c r="CK32" s="256"/>
      <c r="CL32" s="256"/>
      <c r="CM32" s="256"/>
      <c r="CN32" s="256"/>
      <c r="CO32" s="256"/>
      <c r="CP32" s="256"/>
      <c r="CQ32" s="256"/>
      <c r="CR32" s="256"/>
      <c r="CS32" s="256"/>
      <c r="CT32" s="256"/>
      <c r="CU32" s="256"/>
      <c r="CV32" s="256"/>
      <c r="CW32" s="256"/>
      <c r="CX32" s="256"/>
      <c r="CY32" s="256"/>
    </row>
    <row r="33" spans="1:103" s="255" customFormat="1">
      <c r="A33" s="304" t="s">
        <v>397</v>
      </c>
      <c r="C33" s="261" t="str">
        <f t="shared" si="4"/>
        <v>SUM DOMESTIC BUILDINGSMore Effective</v>
      </c>
      <c r="D33"/>
      <c r="E33" s="19">
        <f t="shared" ref="E33:AN33" si="17">SUM(E20:E32)</f>
        <v>0</v>
      </c>
      <c r="F33" s="19">
        <f t="shared" si="17"/>
        <v>0</v>
      </c>
      <c r="G33" s="19">
        <f t="shared" si="17"/>
        <v>0</v>
      </c>
      <c r="H33" s="19">
        <f t="shared" si="17"/>
        <v>0</v>
      </c>
      <c r="I33" s="19">
        <f t="shared" si="17"/>
        <v>5510.4210652251504</v>
      </c>
      <c r="J33" s="19">
        <f t="shared" si="17"/>
        <v>19067.814459190726</v>
      </c>
      <c r="K33" s="19">
        <f t="shared" si="17"/>
        <v>38195.224198908509</v>
      </c>
      <c r="L33" s="19">
        <f t="shared" si="17"/>
        <v>57322.633938626284</v>
      </c>
      <c r="M33" s="19">
        <f t="shared" si="17"/>
        <v>179305.04648789906</v>
      </c>
      <c r="N33" s="19">
        <f t="shared" si="17"/>
        <v>198432.45622761684</v>
      </c>
      <c r="O33" s="19">
        <f t="shared" si="17"/>
        <v>250999.17626024774</v>
      </c>
      <c r="P33" s="19">
        <f t="shared" si="17"/>
        <v>272709.39545001223</v>
      </c>
      <c r="Q33" s="19">
        <f t="shared" si="17"/>
        <v>294419.6146397767</v>
      </c>
      <c r="R33" s="19">
        <f t="shared" si="17"/>
        <v>205227.85869124578</v>
      </c>
      <c r="S33" s="19">
        <f t="shared" si="17"/>
        <v>226938.07788101025</v>
      </c>
      <c r="T33" s="19">
        <f t="shared" si="17"/>
        <v>229520.88733105693</v>
      </c>
      <c r="U33" s="19">
        <f t="shared" si="17"/>
        <v>166238.24201493367</v>
      </c>
      <c r="V33" s="19">
        <f t="shared" si="17"/>
        <v>149790.6970613189</v>
      </c>
      <c r="W33" s="19">
        <f t="shared" si="17"/>
        <v>133343.15210770414</v>
      </c>
      <c r="X33" s="19">
        <f t="shared" si="17"/>
        <v>116895.60715408938</v>
      </c>
      <c r="Y33" s="19">
        <f t="shared" si="17"/>
        <v>56684.595343333378</v>
      </c>
      <c r="Z33" s="19">
        <f t="shared" si="17"/>
        <v>25828.09450046689</v>
      </c>
      <c r="AA33" s="19">
        <f t="shared" si="17"/>
        <v>25828.09450046689</v>
      </c>
      <c r="AB33" s="19">
        <f t="shared" si="17"/>
        <v>0</v>
      </c>
      <c r="AC33" s="19">
        <f t="shared" si="17"/>
        <v>0</v>
      </c>
      <c r="AD33" s="19">
        <f t="shared" si="17"/>
        <v>0</v>
      </c>
      <c r="AE33" s="19">
        <f t="shared" si="17"/>
        <v>0</v>
      </c>
      <c r="AF33" s="19">
        <f t="shared" si="17"/>
        <v>0</v>
      </c>
      <c r="AG33" s="19">
        <f t="shared" si="17"/>
        <v>0</v>
      </c>
      <c r="AH33" s="19">
        <f t="shared" si="17"/>
        <v>0</v>
      </c>
      <c r="AI33" s="19">
        <f t="shared" si="17"/>
        <v>0</v>
      </c>
      <c r="AJ33" s="19">
        <f t="shared" si="17"/>
        <v>0</v>
      </c>
      <c r="AK33" s="19">
        <f t="shared" si="17"/>
        <v>0</v>
      </c>
      <c r="AL33" s="19">
        <f t="shared" si="17"/>
        <v>0</v>
      </c>
      <c r="AM33" s="19">
        <f t="shared" si="17"/>
        <v>0</v>
      </c>
      <c r="AN33" s="19">
        <f t="shared" si="17"/>
        <v>0</v>
      </c>
      <c r="AO33" s="37"/>
      <c r="AP33"/>
      <c r="AQ33" s="37"/>
      <c r="AR33" s="37"/>
      <c r="AS33" s="37"/>
      <c r="AT33" s="37"/>
      <c r="AU33" s="37"/>
      <c r="AV33" s="37"/>
      <c r="AW33" s="37"/>
      <c r="AX33" s="37"/>
      <c r="AY33" s="37"/>
      <c r="AZ33" s="37"/>
      <c r="BA33" s="37"/>
      <c r="BB33" s="37"/>
      <c r="BC33" s="37"/>
      <c r="BD33" s="37"/>
      <c r="BE33" s="37"/>
      <c r="BF33" s="37"/>
      <c r="BG33" s="37"/>
      <c r="BH33" s="37"/>
      <c r="BI33" s="37"/>
      <c r="BJ33" s="37"/>
      <c r="BK33" s="37"/>
      <c r="BL33" s="37"/>
      <c r="CK33" s="256"/>
      <c r="CL33" s="256"/>
      <c r="CM33" s="256"/>
      <c r="CN33" s="256"/>
      <c r="CO33" s="256"/>
      <c r="CP33" s="256"/>
      <c r="CQ33" s="256"/>
      <c r="CR33" s="256"/>
      <c r="CS33" s="256"/>
      <c r="CT33" s="256"/>
      <c r="CU33" s="256"/>
      <c r="CV33" s="256"/>
      <c r="CW33" s="256"/>
      <c r="CX33" s="256"/>
      <c r="CY33" s="256"/>
    </row>
    <row r="34" spans="1:103" s="255" customFormat="1">
      <c r="A34" s="441" t="s">
        <v>398</v>
      </c>
      <c r="C34" s="261" t="str">
        <f t="shared" si="4"/>
        <v>Existing - Domestic ALL - Mandate on lighting efficiencyMore Effective</v>
      </c>
      <c r="D34"/>
      <c r="E34" s="442">
        <f t="shared" ref="E34:N38" si="18">INDEX(E$96:E$794,MATCH($C34,$D$96:$D$794,0))</f>
        <v>0</v>
      </c>
      <c r="F34" s="443">
        <f t="shared" si="18"/>
        <v>0</v>
      </c>
      <c r="G34" s="443">
        <f t="shared" si="18"/>
        <v>0</v>
      </c>
      <c r="H34" s="443">
        <f t="shared" si="18"/>
        <v>0</v>
      </c>
      <c r="I34" s="443">
        <f t="shared" si="18"/>
        <v>0</v>
      </c>
      <c r="J34" s="443">
        <f t="shared" si="18"/>
        <v>0</v>
      </c>
      <c r="K34" s="443">
        <f t="shared" si="18"/>
        <v>0</v>
      </c>
      <c r="L34" s="443">
        <f t="shared" si="18"/>
        <v>0</v>
      </c>
      <c r="M34" s="443">
        <f t="shared" si="18"/>
        <v>0</v>
      </c>
      <c r="N34" s="443">
        <f t="shared" si="18"/>
        <v>0</v>
      </c>
      <c r="O34" s="443">
        <f t="shared" ref="O34:X38" si="19">INDEX(O$96:O$794,MATCH($C34,$D$96:$D$794,0))</f>
        <v>0</v>
      </c>
      <c r="P34" s="443">
        <f t="shared" si="19"/>
        <v>0</v>
      </c>
      <c r="Q34" s="443">
        <f t="shared" si="19"/>
        <v>0</v>
      </c>
      <c r="R34" s="443">
        <f t="shared" si="19"/>
        <v>0</v>
      </c>
      <c r="S34" s="443">
        <f t="shared" si="19"/>
        <v>0</v>
      </c>
      <c r="T34" s="443">
        <f t="shared" si="19"/>
        <v>0</v>
      </c>
      <c r="U34" s="443">
        <f t="shared" si="19"/>
        <v>0</v>
      </c>
      <c r="V34" s="443">
        <f t="shared" si="19"/>
        <v>0</v>
      </c>
      <c r="W34" s="443">
        <f t="shared" si="19"/>
        <v>0</v>
      </c>
      <c r="X34" s="443">
        <f t="shared" si="19"/>
        <v>0</v>
      </c>
      <c r="Y34" s="443">
        <f t="shared" ref="Y34:AH38" si="20">INDEX(Y$96:Y$794,MATCH($C34,$D$96:$D$794,0))</f>
        <v>0</v>
      </c>
      <c r="Z34" s="443">
        <f t="shared" si="20"/>
        <v>0</v>
      </c>
      <c r="AA34" s="443">
        <f t="shared" si="20"/>
        <v>0</v>
      </c>
      <c r="AB34" s="443">
        <f t="shared" si="20"/>
        <v>0</v>
      </c>
      <c r="AC34" s="443">
        <f t="shared" si="20"/>
        <v>0</v>
      </c>
      <c r="AD34" s="443">
        <f t="shared" si="20"/>
        <v>0</v>
      </c>
      <c r="AE34" s="443">
        <f t="shared" si="20"/>
        <v>0</v>
      </c>
      <c r="AF34" s="443">
        <f t="shared" si="20"/>
        <v>0</v>
      </c>
      <c r="AG34" s="443">
        <f t="shared" si="20"/>
        <v>0</v>
      </c>
      <c r="AH34" s="443">
        <f t="shared" si="20"/>
        <v>0</v>
      </c>
      <c r="AI34" s="443">
        <f t="shared" ref="AI34:AN38" si="21">INDEX(AI$96:AI$794,MATCH($C34,$D$96:$D$794,0))</f>
        <v>0</v>
      </c>
      <c r="AJ34" s="443">
        <f t="shared" si="21"/>
        <v>0</v>
      </c>
      <c r="AK34" s="443">
        <f t="shared" si="21"/>
        <v>0</v>
      </c>
      <c r="AL34" s="443">
        <f t="shared" si="21"/>
        <v>0</v>
      </c>
      <c r="AM34" s="443">
        <f t="shared" si="21"/>
        <v>0</v>
      </c>
      <c r="AN34" s="444">
        <f t="shared" si="21"/>
        <v>0</v>
      </c>
      <c r="AO34" s="37"/>
      <c r="AP34"/>
      <c r="AQ34" s="37"/>
      <c r="AR34" s="37"/>
      <c r="AS34" s="37"/>
      <c r="AT34" s="37"/>
      <c r="AU34" s="37"/>
      <c r="AV34" s="37"/>
      <c r="AW34" s="37"/>
      <c r="AX34" s="37"/>
      <c r="AY34" s="37"/>
      <c r="AZ34" s="37"/>
      <c r="BA34" s="37"/>
      <c r="BB34" s="37"/>
      <c r="BC34" s="37"/>
      <c r="BD34" s="37"/>
      <c r="BE34" s="37"/>
      <c r="BF34" s="37"/>
      <c r="BG34" s="37"/>
      <c r="BH34" s="37"/>
      <c r="BI34" s="37"/>
      <c r="BJ34" s="37"/>
      <c r="BK34" s="37"/>
      <c r="BL34" s="37"/>
      <c r="CK34" s="256"/>
      <c r="CL34" s="256"/>
      <c r="CM34" s="256"/>
      <c r="CN34" s="256"/>
      <c r="CO34" s="256"/>
      <c r="CP34" s="256"/>
      <c r="CQ34" s="256"/>
      <c r="CR34" s="256"/>
      <c r="CS34" s="256"/>
      <c r="CT34" s="256"/>
      <c r="CU34" s="256"/>
      <c r="CV34" s="256"/>
      <c r="CW34" s="256"/>
      <c r="CX34" s="256"/>
      <c r="CY34" s="256"/>
    </row>
    <row r="35" spans="1:103" s="255" customFormat="1">
      <c r="A35" s="441" t="s">
        <v>399</v>
      </c>
      <c r="C35" s="261" t="str">
        <f t="shared" si="4"/>
        <v>Existing - Domestic ALL - Mandate on appliance efficiencyMore Effective</v>
      </c>
      <c r="D35"/>
      <c r="E35" s="448">
        <f t="shared" si="18"/>
        <v>0</v>
      </c>
      <c r="F35" s="449">
        <f t="shared" si="18"/>
        <v>0</v>
      </c>
      <c r="G35" s="449">
        <f t="shared" si="18"/>
        <v>0</v>
      </c>
      <c r="H35" s="449">
        <f t="shared" si="18"/>
        <v>0</v>
      </c>
      <c r="I35" s="449">
        <f t="shared" si="18"/>
        <v>0</v>
      </c>
      <c r="J35" s="449">
        <f t="shared" si="18"/>
        <v>0</v>
      </c>
      <c r="K35" s="449">
        <f t="shared" si="18"/>
        <v>0</v>
      </c>
      <c r="L35" s="449">
        <f t="shared" si="18"/>
        <v>0</v>
      </c>
      <c r="M35" s="449">
        <f t="shared" si="18"/>
        <v>0</v>
      </c>
      <c r="N35" s="449">
        <f t="shared" si="18"/>
        <v>0</v>
      </c>
      <c r="O35" s="449">
        <f t="shared" si="19"/>
        <v>0</v>
      </c>
      <c r="P35" s="449">
        <f t="shared" si="19"/>
        <v>0</v>
      </c>
      <c r="Q35" s="449">
        <f t="shared" si="19"/>
        <v>0</v>
      </c>
      <c r="R35" s="449">
        <f t="shared" si="19"/>
        <v>0</v>
      </c>
      <c r="S35" s="449">
        <f t="shared" si="19"/>
        <v>0</v>
      </c>
      <c r="T35" s="449">
        <f t="shared" si="19"/>
        <v>0</v>
      </c>
      <c r="U35" s="449">
        <f t="shared" si="19"/>
        <v>0</v>
      </c>
      <c r="V35" s="449">
        <f t="shared" si="19"/>
        <v>0</v>
      </c>
      <c r="W35" s="449">
        <f t="shared" si="19"/>
        <v>0</v>
      </c>
      <c r="X35" s="449">
        <f t="shared" si="19"/>
        <v>0</v>
      </c>
      <c r="Y35" s="449">
        <f t="shared" si="20"/>
        <v>0</v>
      </c>
      <c r="Z35" s="449">
        <f t="shared" si="20"/>
        <v>0</v>
      </c>
      <c r="AA35" s="449">
        <f t="shared" si="20"/>
        <v>0</v>
      </c>
      <c r="AB35" s="449">
        <f t="shared" si="20"/>
        <v>0</v>
      </c>
      <c r="AC35" s="449">
        <f t="shared" si="20"/>
        <v>0</v>
      </c>
      <c r="AD35" s="449">
        <f t="shared" si="20"/>
        <v>0</v>
      </c>
      <c r="AE35" s="449">
        <f t="shared" si="20"/>
        <v>0</v>
      </c>
      <c r="AF35" s="449">
        <f t="shared" si="20"/>
        <v>0</v>
      </c>
      <c r="AG35" s="449">
        <f t="shared" si="20"/>
        <v>0</v>
      </c>
      <c r="AH35" s="449">
        <f t="shared" si="20"/>
        <v>0</v>
      </c>
      <c r="AI35" s="449">
        <f t="shared" si="21"/>
        <v>0</v>
      </c>
      <c r="AJ35" s="449">
        <f t="shared" si="21"/>
        <v>0</v>
      </c>
      <c r="AK35" s="449">
        <f t="shared" si="21"/>
        <v>0</v>
      </c>
      <c r="AL35" s="449">
        <f t="shared" si="21"/>
        <v>0</v>
      </c>
      <c r="AM35" s="449">
        <f t="shared" si="21"/>
        <v>0</v>
      </c>
      <c r="AN35" s="450">
        <f t="shared" si="21"/>
        <v>0</v>
      </c>
      <c r="AO35" s="37"/>
      <c r="AP35"/>
      <c r="AQ35" s="37"/>
      <c r="AR35" s="37"/>
      <c r="AS35" s="37"/>
      <c r="AT35" s="37"/>
      <c r="AU35" s="37"/>
      <c r="AV35" s="37"/>
      <c r="AW35" s="37"/>
      <c r="AX35" s="37"/>
      <c r="AY35" s="37"/>
      <c r="AZ35" s="37"/>
      <c r="BA35" s="37"/>
      <c r="BB35" s="37"/>
      <c r="BC35" s="37"/>
      <c r="BD35" s="37"/>
      <c r="BE35" s="37"/>
      <c r="BF35" s="37"/>
      <c r="BG35" s="37"/>
      <c r="BH35" s="37"/>
      <c r="BI35" s="37"/>
      <c r="BJ35" s="37"/>
      <c r="BK35" s="37"/>
      <c r="BL35" s="37"/>
      <c r="CK35" s="256"/>
      <c r="CL35" s="256"/>
      <c r="CM35" s="256"/>
      <c r="CN35" s="256"/>
      <c r="CO35" s="256"/>
      <c r="CP35" s="256"/>
      <c r="CQ35" s="256"/>
      <c r="CR35" s="256"/>
      <c r="CS35" s="256"/>
      <c r="CT35" s="256"/>
      <c r="CU35" s="256"/>
      <c r="CV35" s="256"/>
      <c r="CW35" s="256"/>
      <c r="CX35" s="256"/>
      <c r="CY35" s="256"/>
    </row>
    <row r="36" spans="1:103" s="255" customFormat="1">
      <c r="A36" s="441" t="s">
        <v>400</v>
      </c>
      <c r="C36" s="261" t="str">
        <f t="shared" si="4"/>
        <v>New - Domestic ALL - Mandate on lighting efficiencyMore Effective</v>
      </c>
      <c r="D36"/>
      <c r="E36" s="448">
        <f t="shared" si="18"/>
        <v>0</v>
      </c>
      <c r="F36" s="449">
        <f t="shared" si="18"/>
        <v>71977.11975266278</v>
      </c>
      <c r="G36" s="449">
        <f t="shared" si="18"/>
        <v>71977.11975266278</v>
      </c>
      <c r="H36" s="449">
        <f t="shared" si="18"/>
        <v>71977.11975266278</v>
      </c>
      <c r="I36" s="449">
        <f t="shared" si="18"/>
        <v>155964.42546694851</v>
      </c>
      <c r="J36" s="449">
        <f t="shared" si="18"/>
        <v>239951.73118123403</v>
      </c>
      <c r="K36" s="449">
        <f t="shared" si="18"/>
        <v>312877.77590616618</v>
      </c>
      <c r="L36" s="449">
        <f t="shared" si="18"/>
        <v>396865.08162045194</v>
      </c>
      <c r="M36" s="449">
        <f t="shared" si="18"/>
        <v>480852.38733473764</v>
      </c>
      <c r="N36" s="449">
        <f t="shared" si="18"/>
        <v>564839.69304902339</v>
      </c>
      <c r="O36" s="449">
        <f t="shared" si="19"/>
        <v>648826.99876330968</v>
      </c>
      <c r="P36" s="449">
        <f t="shared" si="19"/>
        <v>637225.76701064175</v>
      </c>
      <c r="Q36" s="449">
        <f t="shared" si="19"/>
        <v>49314.627010641634</v>
      </c>
      <c r="R36" s="449">
        <f t="shared" si="19"/>
        <v>49314.627010641634</v>
      </c>
      <c r="S36" s="449">
        <f t="shared" si="19"/>
        <v>49314.627010641634</v>
      </c>
      <c r="T36" s="449">
        <f t="shared" si="19"/>
        <v>49314.62701064159</v>
      </c>
      <c r="U36" s="449">
        <f t="shared" si="19"/>
        <v>22733.44457142887</v>
      </c>
      <c r="V36" s="449">
        <f t="shared" si="19"/>
        <v>22733.444571428765</v>
      </c>
      <c r="W36" s="449">
        <f t="shared" si="19"/>
        <v>22733.444571428765</v>
      </c>
      <c r="X36" s="449">
        <f t="shared" si="19"/>
        <v>22733.444571428765</v>
      </c>
      <c r="Y36" s="449">
        <f t="shared" si="20"/>
        <v>22733.444571428765</v>
      </c>
      <c r="Z36" s="449">
        <f t="shared" si="20"/>
        <v>22733.444571428765</v>
      </c>
      <c r="AA36" s="449">
        <f t="shared" si="20"/>
        <v>22733.444571428765</v>
      </c>
      <c r="AB36" s="449">
        <f t="shared" si="20"/>
        <v>22733.444571428765</v>
      </c>
      <c r="AC36" s="449">
        <f t="shared" si="20"/>
        <v>22733.444571428765</v>
      </c>
      <c r="AD36" s="449">
        <f t="shared" si="20"/>
        <v>22733.444571430729</v>
      </c>
      <c r="AE36" s="449">
        <f t="shared" si="20"/>
        <v>22733.444571429187</v>
      </c>
      <c r="AF36" s="449">
        <f t="shared" si="20"/>
        <v>22733.444571429391</v>
      </c>
      <c r="AG36" s="449">
        <f t="shared" si="20"/>
        <v>22733.444571429391</v>
      </c>
      <c r="AH36" s="449">
        <f t="shared" si="20"/>
        <v>22733.444571429391</v>
      </c>
      <c r="AI36" s="449">
        <f t="shared" si="21"/>
        <v>22733.444571429391</v>
      </c>
      <c r="AJ36" s="449">
        <f t="shared" si="21"/>
        <v>22733.444571429391</v>
      </c>
      <c r="AK36" s="449">
        <f t="shared" si="21"/>
        <v>22733.444571429391</v>
      </c>
      <c r="AL36" s="449">
        <f t="shared" si="21"/>
        <v>22733.444571429391</v>
      </c>
      <c r="AM36" s="449">
        <f t="shared" si="21"/>
        <v>22733.444571429391</v>
      </c>
      <c r="AN36" s="450">
        <f t="shared" si="21"/>
        <v>22733.444571427295</v>
      </c>
      <c r="AO36" s="37"/>
      <c r="AP36"/>
      <c r="AQ36" s="37"/>
      <c r="AR36" s="37"/>
      <c r="AS36" s="37"/>
      <c r="AT36" s="37"/>
      <c r="AU36" s="37"/>
      <c r="AV36" s="37"/>
      <c r="AW36" s="37"/>
      <c r="AX36" s="37"/>
      <c r="AY36" s="37"/>
      <c r="AZ36" s="37"/>
      <c r="BA36" s="37"/>
      <c r="BB36" s="37"/>
      <c r="BC36" s="37"/>
      <c r="BD36" s="37"/>
      <c r="BE36" s="37"/>
      <c r="BF36" s="37"/>
      <c r="BG36" s="37"/>
      <c r="BH36" s="37"/>
      <c r="BI36" s="37"/>
      <c r="BJ36" s="37"/>
      <c r="BK36" s="37"/>
      <c r="BL36" s="37"/>
      <c r="CK36" s="256"/>
      <c r="CL36" s="256"/>
      <c r="CM36" s="256"/>
      <c r="CN36" s="256"/>
      <c r="CO36" s="256"/>
      <c r="CP36" s="256"/>
      <c r="CQ36" s="256"/>
      <c r="CR36" s="256"/>
      <c r="CS36" s="256"/>
      <c r="CT36" s="256"/>
      <c r="CU36" s="256"/>
      <c r="CV36" s="256"/>
      <c r="CW36" s="256"/>
      <c r="CX36" s="256"/>
      <c r="CY36" s="256"/>
    </row>
    <row r="37" spans="1:103" s="255" customFormat="1">
      <c r="A37" s="441" t="s">
        <v>401</v>
      </c>
      <c r="C37" s="261" t="str">
        <f t="shared" si="4"/>
        <v>New - Domestic ALL - Mandate on appliance efficiencyMore Effective</v>
      </c>
      <c r="D37"/>
      <c r="E37" s="448">
        <f t="shared" si="18"/>
        <v>0</v>
      </c>
      <c r="F37" s="449">
        <f t="shared" si="18"/>
        <v>71977.11975266278</v>
      </c>
      <c r="G37" s="449">
        <f t="shared" si="18"/>
        <v>71977.11975266278</v>
      </c>
      <c r="H37" s="449">
        <f t="shared" si="18"/>
        <v>71977.11975266278</v>
      </c>
      <c r="I37" s="449">
        <f t="shared" si="18"/>
        <v>90122.525308218334</v>
      </c>
      <c r="J37" s="449">
        <f t="shared" si="18"/>
        <v>108267.93086377368</v>
      </c>
      <c r="K37" s="449">
        <f t="shared" si="18"/>
        <v>115352.0754299757</v>
      </c>
      <c r="L37" s="449">
        <f t="shared" si="18"/>
        <v>133497.48098553126</v>
      </c>
      <c r="M37" s="449">
        <f t="shared" si="18"/>
        <v>151642.88654108683</v>
      </c>
      <c r="N37" s="449">
        <f t="shared" si="18"/>
        <v>169788.29209664237</v>
      </c>
      <c r="O37" s="449">
        <f t="shared" si="19"/>
        <v>187933.69765219843</v>
      </c>
      <c r="P37" s="449">
        <f t="shared" si="19"/>
        <v>194477.8714550861</v>
      </c>
      <c r="Q37" s="449">
        <f t="shared" si="19"/>
        <v>212623.27701064164</v>
      </c>
      <c r="R37" s="449">
        <f t="shared" si="19"/>
        <v>230768.68256619724</v>
      </c>
      <c r="S37" s="449">
        <f t="shared" si="19"/>
        <v>248914.08812175278</v>
      </c>
      <c r="T37" s="449">
        <f t="shared" si="19"/>
        <v>267059.49367730826</v>
      </c>
      <c r="U37" s="449">
        <f t="shared" si="19"/>
        <v>225961.98679365107</v>
      </c>
      <c r="V37" s="449">
        <f t="shared" si="19"/>
        <v>211445.66234920654</v>
      </c>
      <c r="W37" s="449">
        <f t="shared" si="19"/>
        <v>196929.33790476213</v>
      </c>
      <c r="X37" s="449">
        <f t="shared" si="19"/>
        <v>182413.01346031766</v>
      </c>
      <c r="Y37" s="449">
        <f t="shared" si="20"/>
        <v>167896.68901587318</v>
      </c>
      <c r="Z37" s="449">
        <f t="shared" si="20"/>
        <v>153380.36457142877</v>
      </c>
      <c r="AA37" s="449">
        <f t="shared" si="20"/>
        <v>138864.04012698433</v>
      </c>
      <c r="AB37" s="449">
        <f t="shared" si="20"/>
        <v>124347.71568253986</v>
      </c>
      <c r="AC37" s="449">
        <f t="shared" si="20"/>
        <v>109831.39123809541</v>
      </c>
      <c r="AD37" s="449">
        <f t="shared" si="20"/>
        <v>95315.06679365295</v>
      </c>
      <c r="AE37" s="449">
        <f t="shared" si="20"/>
        <v>80798.742349206965</v>
      </c>
      <c r="AF37" s="449">
        <f t="shared" si="20"/>
        <v>66282.417904762726</v>
      </c>
      <c r="AG37" s="449">
        <f t="shared" si="20"/>
        <v>51766.093460318276</v>
      </c>
      <c r="AH37" s="449">
        <f t="shared" si="20"/>
        <v>37249.769015873841</v>
      </c>
      <c r="AI37" s="449">
        <f t="shared" si="21"/>
        <v>22733.444571429391</v>
      </c>
      <c r="AJ37" s="449">
        <f t="shared" si="21"/>
        <v>22733.444571429391</v>
      </c>
      <c r="AK37" s="449">
        <f t="shared" si="21"/>
        <v>22733.444571429391</v>
      </c>
      <c r="AL37" s="449">
        <f t="shared" si="21"/>
        <v>22733.444571429391</v>
      </c>
      <c r="AM37" s="449">
        <f t="shared" si="21"/>
        <v>22733.444571429391</v>
      </c>
      <c r="AN37" s="450">
        <f t="shared" si="21"/>
        <v>22733.444571427295</v>
      </c>
      <c r="AO37" s="37"/>
      <c r="AP37"/>
      <c r="AQ37" s="37"/>
      <c r="AR37" s="37"/>
      <c r="AS37" s="37"/>
      <c r="AT37" s="37"/>
      <c r="AU37" s="37"/>
      <c r="AV37" s="37"/>
      <c r="AW37" s="37"/>
      <c r="AX37" s="37"/>
      <c r="AY37" s="37"/>
      <c r="AZ37" s="37"/>
      <c r="BA37" s="37"/>
      <c r="BB37" s="37"/>
      <c r="BC37" s="37"/>
      <c r="BD37" s="37"/>
      <c r="BE37" s="37"/>
      <c r="BF37" s="37"/>
      <c r="BG37" s="37"/>
      <c r="BH37" s="37"/>
      <c r="BI37" s="37"/>
      <c r="BJ37" s="37"/>
      <c r="BK37" s="37"/>
      <c r="BL37" s="37"/>
      <c r="CK37" s="256"/>
      <c r="CL37" s="256"/>
      <c r="CM37" s="256"/>
      <c r="CN37" s="256"/>
      <c r="CO37" s="256"/>
      <c r="CP37" s="256"/>
      <c r="CQ37" s="256"/>
      <c r="CR37" s="256"/>
      <c r="CS37" s="256"/>
      <c r="CT37" s="256"/>
      <c r="CU37" s="256"/>
      <c r="CV37" s="256"/>
      <c r="CW37" s="256"/>
      <c r="CX37" s="256"/>
      <c r="CY37" s="256"/>
    </row>
    <row r="38" spans="1:103" s="255" customFormat="1" ht="30">
      <c r="A38" s="441" t="s">
        <v>402</v>
      </c>
      <c r="C38" s="261" t="str">
        <f t="shared" si="4"/>
        <v>New - Domestic ALL - Stronger planning requirement for smart controls  More Effective</v>
      </c>
      <c r="D38"/>
      <c r="E38" s="448">
        <f t="shared" si="18"/>
        <v>0</v>
      </c>
      <c r="F38" s="449">
        <f t="shared" si="18"/>
        <v>44985.699845414238</v>
      </c>
      <c r="G38" s="449">
        <f t="shared" si="18"/>
        <v>44985.699845414238</v>
      </c>
      <c r="H38" s="449">
        <f t="shared" si="18"/>
        <v>44985.699845414238</v>
      </c>
      <c r="I38" s="449">
        <f t="shared" si="18"/>
        <v>44985.699845414238</v>
      </c>
      <c r="J38" s="449">
        <f t="shared" si="18"/>
        <v>44985.699845414107</v>
      </c>
      <c r="K38" s="449">
        <f t="shared" si="18"/>
        <v>38072.411727068145</v>
      </c>
      <c r="L38" s="449">
        <f t="shared" si="18"/>
        <v>38072.411727068145</v>
      </c>
      <c r="M38" s="449">
        <f t="shared" si="18"/>
        <v>38072.411727068145</v>
      </c>
      <c r="N38" s="449">
        <f t="shared" si="18"/>
        <v>38072.411727068145</v>
      </c>
      <c r="O38" s="449">
        <f t="shared" si="19"/>
        <v>38072.411727068466</v>
      </c>
      <c r="P38" s="449">
        <f t="shared" si="19"/>
        <v>30821.641881651023</v>
      </c>
      <c r="Q38" s="449">
        <f t="shared" si="19"/>
        <v>30821.641881651023</v>
      </c>
      <c r="R38" s="449">
        <f t="shared" si="19"/>
        <v>30821.641881651023</v>
      </c>
      <c r="S38" s="449">
        <f t="shared" si="19"/>
        <v>30821.641881651023</v>
      </c>
      <c r="T38" s="449">
        <f t="shared" si="19"/>
        <v>30821.64188165099</v>
      </c>
      <c r="U38" s="449">
        <f t="shared" si="19"/>
        <v>14208.402857143043</v>
      </c>
      <c r="V38" s="449">
        <f t="shared" si="19"/>
        <v>14208.402857142977</v>
      </c>
      <c r="W38" s="449">
        <f t="shared" si="19"/>
        <v>14208.402857142977</v>
      </c>
      <c r="X38" s="449">
        <f t="shared" si="19"/>
        <v>14208.402857142977</v>
      </c>
      <c r="Y38" s="449">
        <f t="shared" si="20"/>
        <v>14208.402857142977</v>
      </c>
      <c r="Z38" s="449">
        <f t="shared" si="20"/>
        <v>14208.402857142977</v>
      </c>
      <c r="AA38" s="449">
        <f t="shared" si="20"/>
        <v>14208.402857142977</v>
      </c>
      <c r="AB38" s="449">
        <f t="shared" si="20"/>
        <v>14208.402857142977</v>
      </c>
      <c r="AC38" s="449">
        <f t="shared" si="20"/>
        <v>14208.402857142977</v>
      </c>
      <c r="AD38" s="449">
        <f t="shared" si="20"/>
        <v>14208.402857144205</v>
      </c>
      <c r="AE38" s="449">
        <f t="shared" si="20"/>
        <v>14208.402857143239</v>
      </c>
      <c r="AF38" s="449">
        <f t="shared" si="20"/>
        <v>14208.40285714337</v>
      </c>
      <c r="AG38" s="449">
        <f t="shared" si="20"/>
        <v>14208.40285714337</v>
      </c>
      <c r="AH38" s="449">
        <f t="shared" si="20"/>
        <v>14208.40285714337</v>
      </c>
      <c r="AI38" s="449">
        <f t="shared" si="21"/>
        <v>14208.40285714337</v>
      </c>
      <c r="AJ38" s="449">
        <f t="shared" si="21"/>
        <v>14208.40285714337</v>
      </c>
      <c r="AK38" s="449">
        <f t="shared" si="21"/>
        <v>14208.40285714337</v>
      </c>
      <c r="AL38" s="449">
        <f t="shared" si="21"/>
        <v>14208.40285714337</v>
      </c>
      <c r="AM38" s="449">
        <f t="shared" si="21"/>
        <v>14208.40285714337</v>
      </c>
      <c r="AN38" s="450">
        <f t="shared" si="21"/>
        <v>14208.40285714206</v>
      </c>
      <c r="AO38" s="37"/>
      <c r="AP38"/>
      <c r="AQ38" s="37"/>
      <c r="AR38" s="37"/>
      <c r="AS38" s="37"/>
      <c r="AT38" s="37"/>
      <c r="AU38" s="37"/>
      <c r="AV38" s="37"/>
      <c r="AW38" s="37"/>
      <c r="AX38" s="37"/>
      <c r="AY38" s="37"/>
      <c r="AZ38" s="37"/>
      <c r="BA38" s="37"/>
      <c r="BB38" s="37"/>
      <c r="BC38" s="37"/>
      <c r="BD38" s="37"/>
      <c r="BE38" s="37"/>
      <c r="BF38" s="37"/>
      <c r="BG38" s="37"/>
      <c r="BH38" s="37"/>
      <c r="BI38" s="37"/>
      <c r="BJ38" s="37"/>
      <c r="BK38" s="37"/>
      <c r="BL38" s="37"/>
      <c r="CK38" s="256"/>
      <c r="CL38" s="256"/>
      <c r="CM38" s="256"/>
      <c r="CN38" s="256"/>
      <c r="CO38" s="256"/>
      <c r="CP38" s="256"/>
      <c r="CQ38" s="256"/>
      <c r="CR38" s="256"/>
      <c r="CS38" s="256"/>
      <c r="CT38" s="256"/>
      <c r="CU38" s="256"/>
      <c r="CV38" s="256"/>
      <c r="CW38" s="256"/>
      <c r="CX38" s="256"/>
      <c r="CY38" s="256"/>
    </row>
    <row r="39" spans="1:103" s="255" customFormat="1">
      <c r="A39" s="441" t="s">
        <v>403</v>
      </c>
      <c r="C39" s="261" t="str">
        <f t="shared" si="4"/>
        <v>ALL domestic - Mandate on lighting efficiencyMore Effective</v>
      </c>
      <c r="D39"/>
      <c r="E39" s="442">
        <f>SUM(E34,E36)</f>
        <v>0</v>
      </c>
      <c r="F39" s="443">
        <f t="shared" ref="F39:AN39" si="22">SUM(F34,F36)</f>
        <v>71977.11975266278</v>
      </c>
      <c r="G39" s="443">
        <f t="shared" si="22"/>
        <v>71977.11975266278</v>
      </c>
      <c r="H39" s="443">
        <f t="shared" si="22"/>
        <v>71977.11975266278</v>
      </c>
      <c r="I39" s="443">
        <f t="shared" si="22"/>
        <v>155964.42546694851</v>
      </c>
      <c r="J39" s="443">
        <f t="shared" si="22"/>
        <v>239951.73118123403</v>
      </c>
      <c r="K39" s="443">
        <f t="shared" si="22"/>
        <v>312877.77590616618</v>
      </c>
      <c r="L39" s="443">
        <f t="shared" si="22"/>
        <v>396865.08162045194</v>
      </c>
      <c r="M39" s="443">
        <f t="shared" si="22"/>
        <v>480852.38733473764</v>
      </c>
      <c r="N39" s="443">
        <f t="shared" si="22"/>
        <v>564839.69304902339</v>
      </c>
      <c r="O39" s="443">
        <f t="shared" si="22"/>
        <v>648826.99876330968</v>
      </c>
      <c r="P39" s="443">
        <f t="shared" si="22"/>
        <v>637225.76701064175</v>
      </c>
      <c r="Q39" s="443">
        <f t="shared" si="22"/>
        <v>49314.627010641634</v>
      </c>
      <c r="R39" s="443">
        <f t="shared" si="22"/>
        <v>49314.627010641634</v>
      </c>
      <c r="S39" s="443">
        <f t="shared" si="22"/>
        <v>49314.627010641634</v>
      </c>
      <c r="T39" s="443">
        <f t="shared" si="22"/>
        <v>49314.62701064159</v>
      </c>
      <c r="U39" s="443">
        <f t="shared" si="22"/>
        <v>22733.44457142887</v>
      </c>
      <c r="V39" s="443">
        <f t="shared" si="22"/>
        <v>22733.444571428765</v>
      </c>
      <c r="W39" s="443">
        <f t="shared" si="22"/>
        <v>22733.444571428765</v>
      </c>
      <c r="X39" s="443">
        <f t="shared" si="22"/>
        <v>22733.444571428765</v>
      </c>
      <c r="Y39" s="443">
        <f t="shared" si="22"/>
        <v>22733.444571428765</v>
      </c>
      <c r="Z39" s="443">
        <f t="shared" si="22"/>
        <v>22733.444571428765</v>
      </c>
      <c r="AA39" s="443">
        <f t="shared" si="22"/>
        <v>22733.444571428765</v>
      </c>
      <c r="AB39" s="443">
        <f t="shared" si="22"/>
        <v>22733.444571428765</v>
      </c>
      <c r="AC39" s="443">
        <f t="shared" si="22"/>
        <v>22733.444571428765</v>
      </c>
      <c r="AD39" s="443">
        <f t="shared" si="22"/>
        <v>22733.444571430729</v>
      </c>
      <c r="AE39" s="443">
        <f t="shared" si="22"/>
        <v>22733.444571429187</v>
      </c>
      <c r="AF39" s="443">
        <f t="shared" si="22"/>
        <v>22733.444571429391</v>
      </c>
      <c r="AG39" s="443">
        <f t="shared" si="22"/>
        <v>22733.444571429391</v>
      </c>
      <c r="AH39" s="443">
        <f t="shared" si="22"/>
        <v>22733.444571429391</v>
      </c>
      <c r="AI39" s="443">
        <f t="shared" si="22"/>
        <v>22733.444571429391</v>
      </c>
      <c r="AJ39" s="443">
        <f t="shared" si="22"/>
        <v>22733.444571429391</v>
      </c>
      <c r="AK39" s="443">
        <f t="shared" si="22"/>
        <v>22733.444571429391</v>
      </c>
      <c r="AL39" s="443">
        <f t="shared" si="22"/>
        <v>22733.444571429391</v>
      </c>
      <c r="AM39" s="443">
        <f t="shared" si="22"/>
        <v>22733.444571429391</v>
      </c>
      <c r="AN39" s="444">
        <f t="shared" si="22"/>
        <v>22733.444571427295</v>
      </c>
      <c r="AO39" s="37"/>
      <c r="AP39"/>
      <c r="AQ39" s="37"/>
      <c r="AR39" s="37"/>
      <c r="AS39" s="37"/>
      <c r="AT39" s="37"/>
      <c r="AU39" s="37"/>
      <c r="AV39" s="37"/>
      <c r="AW39" s="37"/>
      <c r="AX39" s="37"/>
      <c r="AY39" s="37"/>
      <c r="AZ39" s="37"/>
      <c r="BA39" s="37"/>
      <c r="BB39" s="37"/>
      <c r="BC39" s="37"/>
      <c r="BD39" s="37"/>
      <c r="BE39" s="37"/>
      <c r="BF39" s="37"/>
      <c r="BG39" s="37"/>
      <c r="BH39" s="37"/>
      <c r="BI39" s="37"/>
      <c r="BJ39" s="37"/>
      <c r="BK39" s="37"/>
      <c r="BL39" s="37"/>
      <c r="CK39" s="256"/>
      <c r="CL39" s="256"/>
      <c r="CM39" s="256"/>
      <c r="CN39" s="256"/>
      <c r="CO39" s="256"/>
      <c r="CP39" s="256"/>
      <c r="CQ39" s="256"/>
      <c r="CR39" s="256"/>
      <c r="CS39" s="256"/>
      <c r="CT39" s="256"/>
      <c r="CU39" s="256"/>
      <c r="CV39" s="256"/>
      <c r="CW39" s="256"/>
      <c r="CX39" s="256"/>
      <c r="CY39" s="256"/>
    </row>
    <row r="40" spans="1:103" s="255" customFormat="1">
      <c r="A40" s="441" t="s">
        <v>404</v>
      </c>
      <c r="C40" s="261" t="str">
        <f t="shared" si="4"/>
        <v>ALL domestic - Mandate on appliance efficiencyMore Effective</v>
      </c>
      <c r="D40"/>
      <c r="E40" s="448">
        <f>SUM(E35,E37)</f>
        <v>0</v>
      </c>
      <c r="F40" s="449">
        <f t="shared" ref="F40:AN40" si="23">SUM(F35,F37)</f>
        <v>71977.11975266278</v>
      </c>
      <c r="G40" s="449">
        <f t="shared" si="23"/>
        <v>71977.11975266278</v>
      </c>
      <c r="H40" s="449">
        <f t="shared" si="23"/>
        <v>71977.11975266278</v>
      </c>
      <c r="I40" s="449">
        <f t="shared" si="23"/>
        <v>90122.525308218334</v>
      </c>
      <c r="J40" s="449">
        <f t="shared" si="23"/>
        <v>108267.93086377368</v>
      </c>
      <c r="K40" s="449">
        <f t="shared" si="23"/>
        <v>115352.0754299757</v>
      </c>
      <c r="L40" s="449">
        <f t="shared" si="23"/>
        <v>133497.48098553126</v>
      </c>
      <c r="M40" s="449">
        <f t="shared" si="23"/>
        <v>151642.88654108683</v>
      </c>
      <c r="N40" s="449">
        <f t="shared" si="23"/>
        <v>169788.29209664237</v>
      </c>
      <c r="O40" s="449">
        <f t="shared" si="23"/>
        <v>187933.69765219843</v>
      </c>
      <c r="P40" s="449">
        <f t="shared" si="23"/>
        <v>194477.8714550861</v>
      </c>
      <c r="Q40" s="449">
        <f t="shared" si="23"/>
        <v>212623.27701064164</v>
      </c>
      <c r="R40" s="449">
        <f t="shared" si="23"/>
        <v>230768.68256619724</v>
      </c>
      <c r="S40" s="449">
        <f t="shared" si="23"/>
        <v>248914.08812175278</v>
      </c>
      <c r="T40" s="449">
        <f t="shared" si="23"/>
        <v>267059.49367730826</v>
      </c>
      <c r="U40" s="449">
        <f t="shared" si="23"/>
        <v>225961.98679365107</v>
      </c>
      <c r="V40" s="449">
        <f t="shared" si="23"/>
        <v>211445.66234920654</v>
      </c>
      <c r="W40" s="449">
        <f t="shared" si="23"/>
        <v>196929.33790476213</v>
      </c>
      <c r="X40" s="449">
        <f t="shared" si="23"/>
        <v>182413.01346031766</v>
      </c>
      <c r="Y40" s="449">
        <f t="shared" si="23"/>
        <v>167896.68901587318</v>
      </c>
      <c r="Z40" s="449">
        <f t="shared" si="23"/>
        <v>153380.36457142877</v>
      </c>
      <c r="AA40" s="449">
        <f t="shared" si="23"/>
        <v>138864.04012698433</v>
      </c>
      <c r="AB40" s="449">
        <f t="shared" si="23"/>
        <v>124347.71568253986</v>
      </c>
      <c r="AC40" s="449">
        <f t="shared" si="23"/>
        <v>109831.39123809541</v>
      </c>
      <c r="AD40" s="449">
        <f t="shared" si="23"/>
        <v>95315.06679365295</v>
      </c>
      <c r="AE40" s="449">
        <f t="shared" si="23"/>
        <v>80798.742349206965</v>
      </c>
      <c r="AF40" s="449">
        <f t="shared" si="23"/>
        <v>66282.417904762726</v>
      </c>
      <c r="AG40" s="449">
        <f t="shared" si="23"/>
        <v>51766.093460318276</v>
      </c>
      <c r="AH40" s="449">
        <f t="shared" si="23"/>
        <v>37249.769015873841</v>
      </c>
      <c r="AI40" s="449">
        <f t="shared" si="23"/>
        <v>22733.444571429391</v>
      </c>
      <c r="AJ40" s="449">
        <f t="shared" si="23"/>
        <v>22733.444571429391</v>
      </c>
      <c r="AK40" s="449">
        <f t="shared" si="23"/>
        <v>22733.444571429391</v>
      </c>
      <c r="AL40" s="449">
        <f t="shared" si="23"/>
        <v>22733.444571429391</v>
      </c>
      <c r="AM40" s="449">
        <f t="shared" si="23"/>
        <v>22733.444571429391</v>
      </c>
      <c r="AN40" s="450">
        <f t="shared" si="23"/>
        <v>22733.444571427295</v>
      </c>
      <c r="AO40" s="37"/>
      <c r="AP40"/>
      <c r="AQ40" s="37"/>
      <c r="AR40" s="37"/>
      <c r="AS40" s="37"/>
      <c r="AT40" s="37"/>
      <c r="AU40" s="37"/>
      <c r="AV40" s="37"/>
      <c r="AW40" s="37"/>
      <c r="AX40" s="37"/>
      <c r="AY40" s="37"/>
      <c r="AZ40" s="37"/>
      <c r="BA40" s="37"/>
      <c r="BB40" s="37"/>
      <c r="BC40" s="37"/>
      <c r="BD40" s="37"/>
      <c r="BE40" s="37"/>
      <c r="BF40" s="37"/>
      <c r="BG40" s="37"/>
      <c r="BH40" s="37"/>
      <c r="BI40" s="37"/>
      <c r="BJ40" s="37"/>
      <c r="BK40" s="37"/>
      <c r="BL40" s="37"/>
      <c r="CK40" s="256"/>
      <c r="CL40" s="256"/>
      <c r="CM40" s="256"/>
      <c r="CN40" s="256"/>
      <c r="CO40" s="256"/>
      <c r="CP40" s="256"/>
      <c r="CQ40" s="256"/>
      <c r="CR40" s="256"/>
      <c r="CS40" s="256"/>
      <c r="CT40" s="256"/>
      <c r="CU40" s="256"/>
      <c r="CV40" s="256"/>
      <c r="CW40" s="256"/>
      <c r="CX40" s="256"/>
      <c r="CY40" s="256"/>
    </row>
    <row r="41" spans="1:103" s="255" customFormat="1">
      <c r="A41" s="441" t="s">
        <v>405</v>
      </c>
      <c r="C41" s="261" t="str">
        <f t="shared" si="4"/>
        <v>All domestic - Stronger planning requirement for smart controls More Effective</v>
      </c>
      <c r="D41"/>
      <c r="E41" s="445">
        <f>E38</f>
        <v>0</v>
      </c>
      <c r="F41" s="446">
        <f t="shared" ref="F41:AN41" si="24">F38</f>
        <v>44985.699845414238</v>
      </c>
      <c r="G41" s="446">
        <f t="shared" si="24"/>
        <v>44985.699845414238</v>
      </c>
      <c r="H41" s="446">
        <f t="shared" si="24"/>
        <v>44985.699845414238</v>
      </c>
      <c r="I41" s="446">
        <f t="shared" si="24"/>
        <v>44985.699845414238</v>
      </c>
      <c r="J41" s="446">
        <f t="shared" si="24"/>
        <v>44985.699845414107</v>
      </c>
      <c r="K41" s="446">
        <f t="shared" si="24"/>
        <v>38072.411727068145</v>
      </c>
      <c r="L41" s="446">
        <f t="shared" si="24"/>
        <v>38072.411727068145</v>
      </c>
      <c r="M41" s="446">
        <f t="shared" si="24"/>
        <v>38072.411727068145</v>
      </c>
      <c r="N41" s="446">
        <f t="shared" si="24"/>
        <v>38072.411727068145</v>
      </c>
      <c r="O41" s="446">
        <f t="shared" si="24"/>
        <v>38072.411727068466</v>
      </c>
      <c r="P41" s="446">
        <f t="shared" si="24"/>
        <v>30821.641881651023</v>
      </c>
      <c r="Q41" s="446">
        <f t="shared" si="24"/>
        <v>30821.641881651023</v>
      </c>
      <c r="R41" s="446">
        <f t="shared" si="24"/>
        <v>30821.641881651023</v>
      </c>
      <c r="S41" s="446">
        <f t="shared" si="24"/>
        <v>30821.641881651023</v>
      </c>
      <c r="T41" s="446">
        <f t="shared" si="24"/>
        <v>30821.64188165099</v>
      </c>
      <c r="U41" s="446">
        <f t="shared" si="24"/>
        <v>14208.402857143043</v>
      </c>
      <c r="V41" s="446">
        <f t="shared" si="24"/>
        <v>14208.402857142977</v>
      </c>
      <c r="W41" s="446">
        <f t="shared" si="24"/>
        <v>14208.402857142977</v>
      </c>
      <c r="X41" s="446">
        <f t="shared" si="24"/>
        <v>14208.402857142977</v>
      </c>
      <c r="Y41" s="446">
        <f t="shared" si="24"/>
        <v>14208.402857142977</v>
      </c>
      <c r="Z41" s="446">
        <f t="shared" si="24"/>
        <v>14208.402857142977</v>
      </c>
      <c r="AA41" s="446">
        <f t="shared" si="24"/>
        <v>14208.402857142977</v>
      </c>
      <c r="AB41" s="446">
        <f t="shared" si="24"/>
        <v>14208.402857142977</v>
      </c>
      <c r="AC41" s="446">
        <f t="shared" si="24"/>
        <v>14208.402857142977</v>
      </c>
      <c r="AD41" s="446">
        <f t="shared" si="24"/>
        <v>14208.402857144205</v>
      </c>
      <c r="AE41" s="446">
        <f t="shared" si="24"/>
        <v>14208.402857143239</v>
      </c>
      <c r="AF41" s="446">
        <f t="shared" si="24"/>
        <v>14208.40285714337</v>
      </c>
      <c r="AG41" s="446">
        <f t="shared" si="24"/>
        <v>14208.40285714337</v>
      </c>
      <c r="AH41" s="446">
        <f t="shared" si="24"/>
        <v>14208.40285714337</v>
      </c>
      <c r="AI41" s="446">
        <f t="shared" si="24"/>
        <v>14208.40285714337</v>
      </c>
      <c r="AJ41" s="446">
        <f t="shared" si="24"/>
        <v>14208.40285714337</v>
      </c>
      <c r="AK41" s="446">
        <f t="shared" si="24"/>
        <v>14208.40285714337</v>
      </c>
      <c r="AL41" s="446">
        <f t="shared" si="24"/>
        <v>14208.40285714337</v>
      </c>
      <c r="AM41" s="446">
        <f t="shared" si="24"/>
        <v>14208.40285714337</v>
      </c>
      <c r="AN41" s="447">
        <f t="shared" si="24"/>
        <v>14208.40285714206</v>
      </c>
      <c r="AO41" s="37"/>
      <c r="AP41"/>
      <c r="AQ41" s="37"/>
      <c r="AR41" s="37"/>
      <c r="AS41" s="37"/>
      <c r="AT41" s="37"/>
      <c r="AU41" s="37"/>
      <c r="AV41" s="37"/>
      <c r="AW41" s="37"/>
      <c r="AX41" s="37"/>
      <c r="AY41" s="37"/>
      <c r="AZ41" s="37"/>
      <c r="BA41" s="37"/>
      <c r="BB41" s="37"/>
      <c r="BC41" s="37"/>
      <c r="BD41" s="37"/>
      <c r="BE41" s="37"/>
      <c r="BF41" s="37"/>
      <c r="BG41" s="37"/>
      <c r="BH41" s="37"/>
      <c r="BI41" s="37"/>
      <c r="BJ41" s="37"/>
      <c r="BK41" s="37"/>
      <c r="BL41" s="37"/>
      <c r="CK41" s="256"/>
      <c r="CL41" s="256"/>
      <c r="CM41" s="256"/>
      <c r="CN41" s="256"/>
      <c r="CO41" s="256"/>
      <c r="CP41" s="256"/>
      <c r="CQ41" s="256"/>
      <c r="CR41" s="256"/>
      <c r="CS41" s="256"/>
      <c r="CT41" s="256"/>
      <c r="CU41" s="256"/>
      <c r="CV41" s="256"/>
      <c r="CW41" s="256"/>
      <c r="CX41" s="256"/>
      <c r="CY41" s="256"/>
    </row>
    <row r="42" spans="1:103" s="255" customFormat="1">
      <c r="A42" s="271" t="s">
        <v>406</v>
      </c>
      <c r="C42" s="261" t="str">
        <f t="shared" ref="C42:C59" si="25">A42&amp;$B$72</f>
        <v>SME - Energy efficiency programmeMore Effective</v>
      </c>
      <c r="D42"/>
      <c r="E42" s="25">
        <f t="shared" ref="E42:N50" si="26">INDEX(E$96:E$794,MATCH($C42,$D$96:$D$794,0))</f>
        <v>0</v>
      </c>
      <c r="F42" s="1">
        <f t="shared" si="26"/>
        <v>0</v>
      </c>
      <c r="G42" s="1">
        <f t="shared" si="26"/>
        <v>0</v>
      </c>
      <c r="H42" s="1">
        <f t="shared" si="26"/>
        <v>0</v>
      </c>
      <c r="I42" s="1">
        <f t="shared" si="26"/>
        <v>0</v>
      </c>
      <c r="J42" s="1">
        <f t="shared" si="26"/>
        <v>0</v>
      </c>
      <c r="K42" s="1">
        <f t="shared" si="26"/>
        <v>0</v>
      </c>
      <c r="L42" s="1">
        <f t="shared" si="26"/>
        <v>0</v>
      </c>
      <c r="M42" s="1">
        <f t="shared" si="26"/>
        <v>0</v>
      </c>
      <c r="N42" s="1">
        <f t="shared" si="26"/>
        <v>0</v>
      </c>
      <c r="O42" s="1">
        <f t="shared" ref="O42:X50" si="27">INDEX(O$96:O$794,MATCH($C42,$D$96:$D$794,0))</f>
        <v>0</v>
      </c>
      <c r="P42" s="1">
        <f t="shared" si="27"/>
        <v>0</v>
      </c>
      <c r="Q42" s="1">
        <f t="shared" si="27"/>
        <v>0</v>
      </c>
      <c r="R42" s="1">
        <f t="shared" si="27"/>
        <v>0</v>
      </c>
      <c r="S42" s="1">
        <f t="shared" si="27"/>
        <v>0</v>
      </c>
      <c r="T42" s="1">
        <f t="shared" si="27"/>
        <v>0</v>
      </c>
      <c r="U42" s="1">
        <f t="shared" si="27"/>
        <v>0</v>
      </c>
      <c r="V42" s="1">
        <f t="shared" si="27"/>
        <v>0</v>
      </c>
      <c r="W42" s="1">
        <f t="shared" si="27"/>
        <v>0</v>
      </c>
      <c r="X42" s="1">
        <f t="shared" si="27"/>
        <v>0</v>
      </c>
      <c r="Y42" s="1">
        <f t="shared" ref="Y42:AH50" si="28">INDEX(Y$96:Y$794,MATCH($C42,$D$96:$D$794,0))</f>
        <v>0</v>
      </c>
      <c r="Z42" s="1">
        <f t="shared" si="28"/>
        <v>0</v>
      </c>
      <c r="AA42" s="1">
        <f t="shared" si="28"/>
        <v>0</v>
      </c>
      <c r="AB42" s="1">
        <f t="shared" si="28"/>
        <v>0</v>
      </c>
      <c r="AC42" s="1">
        <f t="shared" si="28"/>
        <v>0</v>
      </c>
      <c r="AD42" s="1">
        <f t="shared" si="28"/>
        <v>0</v>
      </c>
      <c r="AE42" s="1">
        <f t="shared" si="28"/>
        <v>0</v>
      </c>
      <c r="AF42" s="1">
        <f t="shared" si="28"/>
        <v>0</v>
      </c>
      <c r="AG42" s="1">
        <f t="shared" si="28"/>
        <v>0</v>
      </c>
      <c r="AH42" s="1">
        <f t="shared" si="28"/>
        <v>0</v>
      </c>
      <c r="AI42" s="1">
        <f t="shared" ref="AI42:AN50" si="29">INDEX(AI$96:AI$794,MATCH($C42,$D$96:$D$794,0))</f>
        <v>0</v>
      </c>
      <c r="AJ42" s="1">
        <f t="shared" si="29"/>
        <v>0</v>
      </c>
      <c r="AK42" s="1">
        <f t="shared" si="29"/>
        <v>0</v>
      </c>
      <c r="AL42" s="1">
        <f t="shared" si="29"/>
        <v>0</v>
      </c>
      <c r="AM42" s="1">
        <f t="shared" si="29"/>
        <v>0</v>
      </c>
      <c r="AN42" s="23">
        <f t="shared" si="29"/>
        <v>0</v>
      </c>
      <c r="AO42" s="37"/>
      <c r="AP42"/>
      <c r="AQ42" s="37"/>
      <c r="AR42" s="37"/>
      <c r="AS42" s="37"/>
      <c r="AT42" s="37"/>
      <c r="AU42" s="37"/>
      <c r="AV42" s="37"/>
      <c r="AW42" s="37"/>
      <c r="AX42" s="37"/>
      <c r="AY42" s="37"/>
      <c r="AZ42" s="37"/>
      <c r="BA42" s="37"/>
      <c r="BB42" s="37"/>
      <c r="BC42" s="37"/>
      <c r="BD42" s="37"/>
      <c r="BE42" s="37"/>
      <c r="BF42" s="37"/>
      <c r="BG42" s="37"/>
      <c r="BH42" s="37"/>
      <c r="BI42" s="37"/>
      <c r="BJ42" s="37"/>
      <c r="BK42" s="37"/>
      <c r="BL42" s="37"/>
      <c r="CK42" s="256"/>
      <c r="CL42" s="256"/>
      <c r="CM42" s="256"/>
      <c r="CN42" s="256"/>
      <c r="CO42" s="256"/>
      <c r="CP42" s="256"/>
      <c r="CQ42" s="256"/>
      <c r="CR42" s="256"/>
      <c r="CS42" s="256"/>
      <c r="CT42" s="256"/>
      <c r="CU42" s="256"/>
      <c r="CV42" s="256"/>
      <c r="CW42" s="256"/>
      <c r="CX42" s="256"/>
      <c r="CY42" s="256"/>
    </row>
    <row r="43" spans="1:103" s="255" customFormat="1">
      <c r="A43" s="271" t="s">
        <v>407</v>
      </c>
      <c r="C43" s="261" t="str">
        <f t="shared" si="25"/>
        <v>SME - Landlord MEES – EPC CMore Effective</v>
      </c>
      <c r="D43"/>
      <c r="E43" s="22">
        <f t="shared" si="26"/>
        <v>0</v>
      </c>
      <c r="F43" s="21">
        <f t="shared" si="26"/>
        <v>0</v>
      </c>
      <c r="G43" s="21">
        <f t="shared" si="26"/>
        <v>0</v>
      </c>
      <c r="H43" s="21">
        <f t="shared" si="26"/>
        <v>0</v>
      </c>
      <c r="I43" s="21">
        <f t="shared" si="26"/>
        <v>641.30422467007452</v>
      </c>
      <c r="J43" s="21">
        <f t="shared" si="26"/>
        <v>1282.608449340149</v>
      </c>
      <c r="K43" s="21">
        <f t="shared" si="26"/>
        <v>1923.9126740102236</v>
      </c>
      <c r="L43" s="21">
        <f t="shared" si="26"/>
        <v>2565.2168986802981</v>
      </c>
      <c r="M43" s="21">
        <f t="shared" si="26"/>
        <v>3206.5211233503724</v>
      </c>
      <c r="N43" s="21">
        <f t="shared" si="26"/>
        <v>3847.8253480204471</v>
      </c>
      <c r="O43" s="21">
        <f t="shared" si="27"/>
        <v>4489.1295726905219</v>
      </c>
      <c r="P43" s="21">
        <f t="shared" si="27"/>
        <v>4489.1295726905219</v>
      </c>
      <c r="Q43" s="21">
        <f t="shared" si="27"/>
        <v>4489.1295726905219</v>
      </c>
      <c r="R43" s="21">
        <f t="shared" si="27"/>
        <v>4489.1295726905219</v>
      </c>
      <c r="S43" s="21">
        <f t="shared" si="27"/>
        <v>4489.1295726905219</v>
      </c>
      <c r="T43" s="21">
        <f t="shared" si="27"/>
        <v>4489.1295726905219</v>
      </c>
      <c r="U43" s="21">
        <f t="shared" si="27"/>
        <v>3591.3036581524175</v>
      </c>
      <c r="V43" s="21">
        <f t="shared" si="27"/>
        <v>2693.4777436143131</v>
      </c>
      <c r="W43" s="21">
        <f t="shared" si="27"/>
        <v>1795.6518290762087</v>
      </c>
      <c r="X43" s="21">
        <f t="shared" si="27"/>
        <v>897.82591453810437</v>
      </c>
      <c r="Y43" s="21">
        <f t="shared" si="28"/>
        <v>0</v>
      </c>
      <c r="Z43" s="21">
        <f t="shared" si="28"/>
        <v>0</v>
      </c>
      <c r="AA43" s="21">
        <f t="shared" si="28"/>
        <v>0</v>
      </c>
      <c r="AB43" s="21">
        <f t="shared" si="28"/>
        <v>0</v>
      </c>
      <c r="AC43" s="21">
        <f t="shared" si="28"/>
        <v>0</v>
      </c>
      <c r="AD43" s="21">
        <f t="shared" si="28"/>
        <v>0</v>
      </c>
      <c r="AE43" s="21">
        <f t="shared" si="28"/>
        <v>0</v>
      </c>
      <c r="AF43" s="21">
        <f t="shared" si="28"/>
        <v>0</v>
      </c>
      <c r="AG43" s="21">
        <f t="shared" si="28"/>
        <v>0</v>
      </c>
      <c r="AH43" s="21">
        <f t="shared" si="28"/>
        <v>0</v>
      </c>
      <c r="AI43" s="21">
        <f t="shared" si="29"/>
        <v>0</v>
      </c>
      <c r="AJ43" s="21">
        <f t="shared" si="29"/>
        <v>0</v>
      </c>
      <c r="AK43" s="21">
        <f t="shared" si="29"/>
        <v>0</v>
      </c>
      <c r="AL43" s="21">
        <f t="shared" si="29"/>
        <v>0</v>
      </c>
      <c r="AM43" s="21">
        <f t="shared" si="29"/>
        <v>0</v>
      </c>
      <c r="AN43" s="20">
        <f t="shared" si="29"/>
        <v>0</v>
      </c>
      <c r="AO43" s="37"/>
      <c r="AP43"/>
      <c r="AQ43" s="37"/>
      <c r="AR43" s="37"/>
      <c r="AS43" s="37"/>
      <c r="AT43" s="37"/>
      <c r="AU43" s="37"/>
      <c r="AV43" s="37"/>
      <c r="AW43" s="37"/>
      <c r="AX43" s="37"/>
      <c r="AY43" s="37"/>
      <c r="AZ43" s="37"/>
      <c r="BA43" s="37"/>
      <c r="BB43" s="37"/>
      <c r="BC43" s="37"/>
      <c r="BD43" s="37"/>
      <c r="BE43" s="37"/>
      <c r="BF43" s="37"/>
      <c r="BG43" s="37"/>
      <c r="BH43" s="37"/>
      <c r="BI43" s="37"/>
      <c r="BJ43" s="37"/>
      <c r="BK43" s="37"/>
      <c r="BL43" s="37"/>
      <c r="CK43" s="256"/>
      <c r="CL43" s="256"/>
      <c r="CM43" s="256"/>
      <c r="CN43" s="256"/>
      <c r="CO43" s="256"/>
      <c r="CP43" s="256"/>
      <c r="CQ43" s="256"/>
      <c r="CR43" s="256"/>
      <c r="CS43" s="256"/>
      <c r="CT43" s="256"/>
      <c r="CU43" s="256"/>
      <c r="CV43" s="256"/>
      <c r="CW43" s="256"/>
      <c r="CX43" s="256"/>
      <c r="CY43" s="256"/>
    </row>
    <row r="44" spans="1:103" s="255" customFormat="1">
      <c r="A44" s="271" t="s">
        <v>408</v>
      </c>
      <c r="C44" s="261" t="str">
        <f t="shared" si="25"/>
        <v>SME - Energy performance tax grading – business ratesMore Effective</v>
      </c>
      <c r="D44"/>
      <c r="E44" s="22">
        <f t="shared" si="26"/>
        <v>0</v>
      </c>
      <c r="F44" s="21">
        <f t="shared" si="26"/>
        <v>0</v>
      </c>
      <c r="G44" s="21">
        <f t="shared" si="26"/>
        <v>0</v>
      </c>
      <c r="H44" s="21">
        <f t="shared" si="26"/>
        <v>0</v>
      </c>
      <c r="I44" s="21">
        <f t="shared" si="26"/>
        <v>0</v>
      </c>
      <c r="J44" s="21">
        <f t="shared" si="26"/>
        <v>0</v>
      </c>
      <c r="K44" s="21">
        <f t="shared" si="26"/>
        <v>0</v>
      </c>
      <c r="L44" s="21">
        <f t="shared" si="26"/>
        <v>0</v>
      </c>
      <c r="M44" s="21">
        <f t="shared" si="26"/>
        <v>0</v>
      </c>
      <c r="N44" s="21">
        <f t="shared" si="26"/>
        <v>6072.1544135001404</v>
      </c>
      <c r="O44" s="21">
        <f t="shared" si="27"/>
        <v>6072.1544135001404</v>
      </c>
      <c r="P44" s="21">
        <f t="shared" si="27"/>
        <v>6072.1544135001404</v>
      </c>
      <c r="Q44" s="21">
        <f t="shared" si="27"/>
        <v>6072.1544135001404</v>
      </c>
      <c r="R44" s="21">
        <f t="shared" si="27"/>
        <v>0</v>
      </c>
      <c r="S44" s="21">
        <f t="shared" si="27"/>
        <v>0</v>
      </c>
      <c r="T44" s="21">
        <f t="shared" si="27"/>
        <v>0</v>
      </c>
      <c r="U44" s="21">
        <f t="shared" si="27"/>
        <v>0</v>
      </c>
      <c r="V44" s="21">
        <f t="shared" si="27"/>
        <v>0</v>
      </c>
      <c r="W44" s="21">
        <f t="shared" si="27"/>
        <v>0</v>
      </c>
      <c r="X44" s="21">
        <f t="shared" si="27"/>
        <v>0</v>
      </c>
      <c r="Y44" s="21">
        <f t="shared" si="28"/>
        <v>0</v>
      </c>
      <c r="Z44" s="21">
        <f t="shared" si="28"/>
        <v>0</v>
      </c>
      <c r="AA44" s="21">
        <f t="shared" si="28"/>
        <v>0</v>
      </c>
      <c r="AB44" s="21">
        <f t="shared" si="28"/>
        <v>0</v>
      </c>
      <c r="AC44" s="21">
        <f t="shared" si="28"/>
        <v>0</v>
      </c>
      <c r="AD44" s="21">
        <f t="shared" si="28"/>
        <v>0</v>
      </c>
      <c r="AE44" s="21">
        <f t="shared" si="28"/>
        <v>0</v>
      </c>
      <c r="AF44" s="21">
        <f t="shared" si="28"/>
        <v>0</v>
      </c>
      <c r="AG44" s="21">
        <f t="shared" si="28"/>
        <v>0</v>
      </c>
      <c r="AH44" s="21">
        <f t="shared" si="28"/>
        <v>0</v>
      </c>
      <c r="AI44" s="21">
        <f t="shared" si="29"/>
        <v>0</v>
      </c>
      <c r="AJ44" s="21">
        <f t="shared" si="29"/>
        <v>0</v>
      </c>
      <c r="AK44" s="21">
        <f t="shared" si="29"/>
        <v>0</v>
      </c>
      <c r="AL44" s="21">
        <f t="shared" si="29"/>
        <v>0</v>
      </c>
      <c r="AM44" s="21">
        <f t="shared" si="29"/>
        <v>0</v>
      </c>
      <c r="AN44" s="20">
        <f t="shared" si="29"/>
        <v>0</v>
      </c>
      <c r="AO44" s="37"/>
      <c r="AP44"/>
      <c r="AQ44" s="37"/>
      <c r="AR44" s="37"/>
      <c r="AS44" s="37"/>
      <c r="AT44" s="37"/>
      <c r="AU44" s="37"/>
      <c r="AV44" s="37"/>
      <c r="AW44" s="37"/>
      <c r="AX44" s="37"/>
      <c r="AY44" s="37"/>
      <c r="AZ44" s="37"/>
      <c r="BA44" s="37"/>
      <c r="BB44" s="37"/>
      <c r="BC44" s="37"/>
      <c r="BD44" s="37"/>
      <c r="BE44" s="37"/>
      <c r="BF44" s="37"/>
      <c r="BG44" s="37"/>
      <c r="BH44" s="37"/>
      <c r="BI44" s="37"/>
      <c r="BJ44" s="37"/>
      <c r="BK44" s="37"/>
      <c r="BL44" s="37"/>
      <c r="CK44" s="256"/>
      <c r="CL44" s="256"/>
      <c r="CM44" s="256"/>
      <c r="CN44" s="256"/>
      <c r="CO44" s="256"/>
      <c r="CP44" s="256"/>
      <c r="CQ44" s="256"/>
      <c r="CR44" s="256"/>
      <c r="CS44" s="256"/>
      <c r="CT44" s="256"/>
      <c r="CU44" s="256"/>
      <c r="CV44" s="256"/>
      <c r="CW44" s="256"/>
      <c r="CX44" s="256"/>
      <c r="CY44" s="256"/>
    </row>
    <row r="45" spans="1:103" s="255" customFormat="1">
      <c r="A45" s="271" t="s">
        <v>409</v>
      </c>
      <c r="C45" s="261" t="str">
        <f t="shared" si="25"/>
        <v>SME - All buildings MEES – EPC CMore Effective</v>
      </c>
      <c r="D45"/>
      <c r="E45" s="22">
        <f t="shared" si="26"/>
        <v>0</v>
      </c>
      <c r="F45" s="21">
        <f t="shared" si="26"/>
        <v>0</v>
      </c>
      <c r="G45" s="21">
        <f t="shared" si="26"/>
        <v>0</v>
      </c>
      <c r="H45" s="21">
        <f t="shared" si="26"/>
        <v>0</v>
      </c>
      <c r="I45" s="21">
        <f t="shared" si="26"/>
        <v>0</v>
      </c>
      <c r="J45" s="21">
        <f t="shared" si="26"/>
        <v>0</v>
      </c>
      <c r="K45" s="21">
        <f t="shared" si="26"/>
        <v>0</v>
      </c>
      <c r="L45" s="21">
        <f t="shared" si="26"/>
        <v>0</v>
      </c>
      <c r="M45" s="21">
        <f t="shared" si="26"/>
        <v>0</v>
      </c>
      <c r="N45" s="21">
        <f t="shared" si="26"/>
        <v>0</v>
      </c>
      <c r="O45" s="21">
        <f t="shared" si="27"/>
        <v>0</v>
      </c>
      <c r="P45" s="21">
        <f t="shared" si="27"/>
        <v>685.98344314940948</v>
      </c>
      <c r="Q45" s="21">
        <f t="shared" si="27"/>
        <v>1371.966886298819</v>
      </c>
      <c r="R45" s="21">
        <f t="shared" si="27"/>
        <v>2057.9503294482283</v>
      </c>
      <c r="S45" s="21">
        <f t="shared" si="27"/>
        <v>2743.9337725976379</v>
      </c>
      <c r="T45" s="21">
        <f t="shared" si="27"/>
        <v>2743.9337725976379</v>
      </c>
      <c r="U45" s="21">
        <f t="shared" si="27"/>
        <v>2743.9337725976379</v>
      </c>
      <c r="V45" s="21">
        <f t="shared" si="27"/>
        <v>2743.9337725976379</v>
      </c>
      <c r="W45" s="21">
        <f t="shared" si="27"/>
        <v>2743.9337725976379</v>
      </c>
      <c r="X45" s="21">
        <f t="shared" si="27"/>
        <v>2743.9337725976379</v>
      </c>
      <c r="Y45" s="21">
        <f t="shared" si="28"/>
        <v>0</v>
      </c>
      <c r="Z45" s="21">
        <f t="shared" si="28"/>
        <v>0</v>
      </c>
      <c r="AA45" s="21">
        <f t="shared" si="28"/>
        <v>0</v>
      </c>
      <c r="AB45" s="21">
        <f t="shared" si="28"/>
        <v>0</v>
      </c>
      <c r="AC45" s="21">
        <f t="shared" si="28"/>
        <v>0</v>
      </c>
      <c r="AD45" s="21">
        <f t="shared" si="28"/>
        <v>0</v>
      </c>
      <c r="AE45" s="21">
        <f t="shared" si="28"/>
        <v>0</v>
      </c>
      <c r="AF45" s="21">
        <f t="shared" si="28"/>
        <v>0</v>
      </c>
      <c r="AG45" s="21">
        <f t="shared" si="28"/>
        <v>0</v>
      </c>
      <c r="AH45" s="21">
        <f t="shared" si="28"/>
        <v>0</v>
      </c>
      <c r="AI45" s="21">
        <f t="shared" si="29"/>
        <v>0</v>
      </c>
      <c r="AJ45" s="21">
        <f t="shared" si="29"/>
        <v>0</v>
      </c>
      <c r="AK45" s="21">
        <f t="shared" si="29"/>
        <v>0</v>
      </c>
      <c r="AL45" s="21">
        <f t="shared" si="29"/>
        <v>0</v>
      </c>
      <c r="AM45" s="21">
        <f t="shared" si="29"/>
        <v>0</v>
      </c>
      <c r="AN45" s="20">
        <f t="shared" si="29"/>
        <v>0</v>
      </c>
      <c r="AO45" s="37"/>
      <c r="AP45"/>
      <c r="AQ45" s="37"/>
      <c r="AR45" s="37"/>
      <c r="AS45" s="37"/>
      <c r="AT45" s="37"/>
      <c r="AU45" s="37"/>
      <c r="AV45" s="37"/>
      <c r="AW45" s="37"/>
      <c r="AX45" s="37"/>
      <c r="AY45" s="37"/>
      <c r="AZ45" s="37"/>
      <c r="BA45" s="37"/>
      <c r="BB45" s="37"/>
      <c r="BC45" s="37"/>
      <c r="BD45" s="37"/>
      <c r="BE45" s="37"/>
      <c r="BF45" s="37"/>
      <c r="BG45" s="37"/>
      <c r="BH45" s="37"/>
      <c r="BI45" s="37"/>
      <c r="BJ45" s="37"/>
      <c r="BK45" s="37"/>
      <c r="BL45" s="37"/>
      <c r="CK45" s="256"/>
      <c r="CL45" s="256"/>
      <c r="CM45" s="256"/>
      <c r="CN45" s="256"/>
      <c r="CO45" s="256"/>
      <c r="CP45" s="256"/>
      <c r="CQ45" s="256"/>
      <c r="CR45" s="256"/>
      <c r="CS45" s="256"/>
      <c r="CT45" s="256"/>
      <c r="CU45" s="256"/>
      <c r="CV45" s="256"/>
      <c r="CW45" s="256"/>
      <c r="CX45" s="256"/>
      <c r="CY45" s="256"/>
    </row>
    <row r="46" spans="1:103" s="255" customFormat="1">
      <c r="A46" s="271" t="s">
        <v>410</v>
      </c>
      <c r="C46" s="261" t="str">
        <f t="shared" si="25"/>
        <v>Large Enterprise - Landlord MEES – EPC CMore Effective</v>
      </c>
      <c r="D46"/>
      <c r="E46" s="22">
        <f t="shared" si="26"/>
        <v>0</v>
      </c>
      <c r="F46" s="21">
        <f t="shared" si="26"/>
        <v>0</v>
      </c>
      <c r="G46" s="21">
        <f t="shared" si="26"/>
        <v>0</v>
      </c>
      <c r="H46" s="21">
        <f t="shared" si="26"/>
        <v>0</v>
      </c>
      <c r="I46" s="21">
        <f t="shared" si="26"/>
        <v>510.07086704395289</v>
      </c>
      <c r="J46" s="21">
        <f t="shared" si="26"/>
        <v>1020.1417340879058</v>
      </c>
      <c r="K46" s="21">
        <f t="shared" si="26"/>
        <v>1530.2126011318587</v>
      </c>
      <c r="L46" s="21">
        <f t="shared" si="26"/>
        <v>2040.2834681758115</v>
      </c>
      <c r="M46" s="21">
        <f t="shared" si="26"/>
        <v>2550.3543352197644</v>
      </c>
      <c r="N46" s="21">
        <f t="shared" si="26"/>
        <v>3060.4252022637174</v>
      </c>
      <c r="O46" s="21">
        <f t="shared" si="27"/>
        <v>3570.49606930767</v>
      </c>
      <c r="P46" s="21">
        <f t="shared" si="27"/>
        <v>3570.49606930767</v>
      </c>
      <c r="Q46" s="21">
        <f t="shared" si="27"/>
        <v>3570.49606930767</v>
      </c>
      <c r="R46" s="21">
        <f t="shared" si="27"/>
        <v>3570.49606930767</v>
      </c>
      <c r="S46" s="21">
        <f t="shared" si="27"/>
        <v>3570.49606930767</v>
      </c>
      <c r="T46" s="21">
        <f t="shared" si="27"/>
        <v>3570.49606930767</v>
      </c>
      <c r="U46" s="21">
        <f t="shared" si="27"/>
        <v>2856.3968554461362</v>
      </c>
      <c r="V46" s="21">
        <f t="shared" si="27"/>
        <v>2142.2976415846019</v>
      </c>
      <c r="W46" s="21">
        <f t="shared" si="27"/>
        <v>1428.1984277230677</v>
      </c>
      <c r="X46" s="21">
        <f t="shared" si="27"/>
        <v>714.09921386153383</v>
      </c>
      <c r="Y46" s="21">
        <f t="shared" si="28"/>
        <v>0</v>
      </c>
      <c r="Z46" s="21">
        <f t="shared" si="28"/>
        <v>0</v>
      </c>
      <c r="AA46" s="21">
        <f t="shared" si="28"/>
        <v>0</v>
      </c>
      <c r="AB46" s="21">
        <f t="shared" si="28"/>
        <v>0</v>
      </c>
      <c r="AC46" s="21">
        <f t="shared" si="28"/>
        <v>0</v>
      </c>
      <c r="AD46" s="21">
        <f t="shared" si="28"/>
        <v>0</v>
      </c>
      <c r="AE46" s="21">
        <f t="shared" si="28"/>
        <v>0</v>
      </c>
      <c r="AF46" s="21">
        <f t="shared" si="28"/>
        <v>0</v>
      </c>
      <c r="AG46" s="21">
        <f t="shared" si="28"/>
        <v>0</v>
      </c>
      <c r="AH46" s="21">
        <f t="shared" si="28"/>
        <v>0</v>
      </c>
      <c r="AI46" s="21">
        <f t="shared" si="29"/>
        <v>0</v>
      </c>
      <c r="AJ46" s="21">
        <f t="shared" si="29"/>
        <v>0</v>
      </c>
      <c r="AK46" s="21">
        <f t="shared" si="29"/>
        <v>0</v>
      </c>
      <c r="AL46" s="21">
        <f t="shared" si="29"/>
        <v>0</v>
      </c>
      <c r="AM46" s="21">
        <f t="shared" si="29"/>
        <v>0</v>
      </c>
      <c r="AN46" s="20">
        <f t="shared" si="29"/>
        <v>0</v>
      </c>
      <c r="AO46" s="37"/>
      <c r="AP46"/>
      <c r="AQ46" s="37"/>
      <c r="AR46" s="37"/>
      <c r="AS46" s="37"/>
      <c r="AT46" s="37"/>
      <c r="AU46" s="37"/>
      <c r="AV46" s="37"/>
      <c r="AW46" s="37"/>
      <c r="AX46" s="37"/>
      <c r="AY46" s="37"/>
      <c r="AZ46" s="37"/>
      <c r="BA46" s="37"/>
      <c r="BB46" s="37"/>
      <c r="BC46" s="37"/>
      <c r="BD46" s="37"/>
      <c r="BE46" s="37"/>
      <c r="BF46" s="37"/>
      <c r="BG46" s="37"/>
      <c r="BH46" s="37"/>
      <c r="BI46" s="37"/>
      <c r="BJ46" s="37"/>
      <c r="BK46" s="37"/>
      <c r="BL46" s="37"/>
      <c r="CK46" s="256"/>
      <c r="CL46" s="256"/>
      <c r="CM46" s="256"/>
      <c r="CN46" s="256"/>
      <c r="CO46" s="256"/>
      <c r="CP46" s="256"/>
      <c r="CQ46" s="256"/>
      <c r="CR46" s="256"/>
      <c r="CS46" s="256"/>
      <c r="CT46" s="256"/>
      <c r="CU46" s="256"/>
      <c r="CV46" s="256"/>
      <c r="CW46" s="256"/>
      <c r="CX46" s="256"/>
      <c r="CY46" s="256"/>
    </row>
    <row r="47" spans="1:103" s="255" customFormat="1" ht="30">
      <c r="A47" s="271" t="s">
        <v>411</v>
      </c>
      <c r="C47" s="261" t="str">
        <f t="shared" si="25"/>
        <v>Large Enterprise - Energy performance tax grading – business ratesMore Effective</v>
      </c>
      <c r="D47"/>
      <c r="E47" s="22">
        <f t="shared" si="26"/>
        <v>0</v>
      </c>
      <c r="F47" s="21">
        <f t="shared" si="26"/>
        <v>0</v>
      </c>
      <c r="G47" s="21">
        <f t="shared" si="26"/>
        <v>0</v>
      </c>
      <c r="H47" s="21">
        <f t="shared" si="26"/>
        <v>0</v>
      </c>
      <c r="I47" s="21">
        <f t="shared" si="26"/>
        <v>0</v>
      </c>
      <c r="J47" s="21">
        <f t="shared" si="26"/>
        <v>0</v>
      </c>
      <c r="K47" s="21">
        <f t="shared" si="26"/>
        <v>0</v>
      </c>
      <c r="L47" s="21">
        <f t="shared" si="26"/>
        <v>0</v>
      </c>
      <c r="M47" s="21">
        <f t="shared" si="26"/>
        <v>4080.8678862442562</v>
      </c>
      <c r="N47" s="21">
        <f t="shared" si="26"/>
        <v>4080.8678862442562</v>
      </c>
      <c r="O47" s="21">
        <f t="shared" si="27"/>
        <v>4080.8678862442562</v>
      </c>
      <c r="P47" s="21">
        <f t="shared" si="27"/>
        <v>4080.8678862442562</v>
      </c>
      <c r="Q47" s="21">
        <f t="shared" si="27"/>
        <v>4080.8678862442562</v>
      </c>
      <c r="R47" s="21">
        <f t="shared" si="27"/>
        <v>0</v>
      </c>
      <c r="S47" s="21">
        <f t="shared" si="27"/>
        <v>0</v>
      </c>
      <c r="T47" s="21">
        <f t="shared" si="27"/>
        <v>0</v>
      </c>
      <c r="U47" s="21">
        <f t="shared" si="27"/>
        <v>0</v>
      </c>
      <c r="V47" s="21">
        <f t="shared" si="27"/>
        <v>0</v>
      </c>
      <c r="W47" s="21">
        <f t="shared" si="27"/>
        <v>0</v>
      </c>
      <c r="X47" s="21">
        <f t="shared" si="27"/>
        <v>0</v>
      </c>
      <c r="Y47" s="21">
        <f t="shared" si="28"/>
        <v>0</v>
      </c>
      <c r="Z47" s="21">
        <f t="shared" si="28"/>
        <v>0</v>
      </c>
      <c r="AA47" s="21">
        <f t="shared" si="28"/>
        <v>0</v>
      </c>
      <c r="AB47" s="21">
        <f t="shared" si="28"/>
        <v>0</v>
      </c>
      <c r="AC47" s="21">
        <f t="shared" si="28"/>
        <v>0</v>
      </c>
      <c r="AD47" s="21">
        <f t="shared" si="28"/>
        <v>0</v>
      </c>
      <c r="AE47" s="21">
        <f t="shared" si="28"/>
        <v>0</v>
      </c>
      <c r="AF47" s="21">
        <f t="shared" si="28"/>
        <v>0</v>
      </c>
      <c r="AG47" s="21">
        <f t="shared" si="28"/>
        <v>0</v>
      </c>
      <c r="AH47" s="21">
        <f t="shared" si="28"/>
        <v>0</v>
      </c>
      <c r="AI47" s="21">
        <f t="shared" si="29"/>
        <v>0</v>
      </c>
      <c r="AJ47" s="21">
        <f t="shared" si="29"/>
        <v>0</v>
      </c>
      <c r="AK47" s="21">
        <f t="shared" si="29"/>
        <v>0</v>
      </c>
      <c r="AL47" s="21">
        <f t="shared" si="29"/>
        <v>0</v>
      </c>
      <c r="AM47" s="21">
        <f t="shared" si="29"/>
        <v>0</v>
      </c>
      <c r="AN47" s="20">
        <f t="shared" si="29"/>
        <v>0</v>
      </c>
      <c r="AO47" s="37"/>
      <c r="AP47"/>
      <c r="AQ47" s="37"/>
      <c r="AR47" s="37"/>
      <c r="AS47" s="37"/>
      <c r="AT47" s="37"/>
      <c r="AU47" s="37"/>
      <c r="AV47" s="37"/>
      <c r="AW47" s="37"/>
      <c r="AX47" s="37"/>
      <c r="AY47" s="37"/>
      <c r="AZ47" s="37"/>
      <c r="BA47" s="37"/>
      <c r="BB47" s="37"/>
      <c r="BC47" s="37"/>
      <c r="BD47" s="37"/>
      <c r="BE47" s="37"/>
      <c r="BF47" s="37"/>
      <c r="BG47" s="37"/>
      <c r="BH47" s="37"/>
      <c r="BI47" s="37"/>
      <c r="BJ47" s="37"/>
      <c r="BK47" s="37"/>
      <c r="BL47" s="37"/>
      <c r="CK47" s="256"/>
      <c r="CL47" s="256"/>
      <c r="CM47" s="256"/>
      <c r="CN47" s="256"/>
      <c r="CO47" s="256"/>
      <c r="CP47" s="256"/>
      <c r="CQ47" s="256"/>
      <c r="CR47" s="256"/>
      <c r="CS47" s="256"/>
      <c r="CT47" s="256"/>
      <c r="CU47" s="256"/>
      <c r="CV47" s="256"/>
      <c r="CW47" s="256"/>
      <c r="CX47" s="256"/>
      <c r="CY47" s="256"/>
    </row>
    <row r="48" spans="1:103" s="255" customFormat="1">
      <c r="A48" s="271" t="s">
        <v>412</v>
      </c>
      <c r="C48" s="261" t="str">
        <f t="shared" si="25"/>
        <v>Large Enterprise - All buildings MEES – EPC CMore Effective</v>
      </c>
      <c r="D48" s="257"/>
      <c r="E48" s="22">
        <f t="shared" si="26"/>
        <v>0</v>
      </c>
      <c r="F48" s="21">
        <f t="shared" si="26"/>
        <v>0</v>
      </c>
      <c r="G48" s="21">
        <f t="shared" si="26"/>
        <v>0</v>
      </c>
      <c r="H48" s="21">
        <f t="shared" si="26"/>
        <v>0</v>
      </c>
      <c r="I48" s="21">
        <f t="shared" si="26"/>
        <v>0</v>
      </c>
      <c r="J48" s="21">
        <f t="shared" si="26"/>
        <v>0</v>
      </c>
      <c r="K48" s="21">
        <f t="shared" si="26"/>
        <v>0</v>
      </c>
      <c r="L48" s="21">
        <f t="shared" si="26"/>
        <v>0</v>
      </c>
      <c r="M48" s="21">
        <f t="shared" si="26"/>
        <v>0</v>
      </c>
      <c r="N48" s="21">
        <f t="shared" si="26"/>
        <v>0</v>
      </c>
      <c r="O48" s="21">
        <f t="shared" si="27"/>
        <v>0</v>
      </c>
      <c r="P48" s="21">
        <f t="shared" si="27"/>
        <v>649.22657739374881</v>
      </c>
      <c r="Q48" s="21">
        <f t="shared" si="27"/>
        <v>1298.4531547874976</v>
      </c>
      <c r="R48" s="21">
        <f t="shared" si="27"/>
        <v>1947.6797321812464</v>
      </c>
      <c r="S48" s="21">
        <f t="shared" si="27"/>
        <v>2596.9063095749952</v>
      </c>
      <c r="T48" s="21">
        <f t="shared" si="27"/>
        <v>2596.9063095749952</v>
      </c>
      <c r="U48" s="21">
        <f t="shared" si="27"/>
        <v>2596.9063095749952</v>
      </c>
      <c r="V48" s="21">
        <f t="shared" si="27"/>
        <v>2596.9063095749952</v>
      </c>
      <c r="W48" s="21">
        <f t="shared" si="27"/>
        <v>2596.9063095749952</v>
      </c>
      <c r="X48" s="21">
        <f t="shared" si="27"/>
        <v>2596.9063095749952</v>
      </c>
      <c r="Y48" s="21">
        <f t="shared" si="28"/>
        <v>0</v>
      </c>
      <c r="Z48" s="21">
        <f t="shared" si="28"/>
        <v>0</v>
      </c>
      <c r="AA48" s="21">
        <f t="shared" si="28"/>
        <v>0</v>
      </c>
      <c r="AB48" s="21">
        <f t="shared" si="28"/>
        <v>0</v>
      </c>
      <c r="AC48" s="21">
        <f t="shared" si="28"/>
        <v>0</v>
      </c>
      <c r="AD48" s="21">
        <f t="shared" si="28"/>
        <v>0</v>
      </c>
      <c r="AE48" s="21">
        <f t="shared" si="28"/>
        <v>0</v>
      </c>
      <c r="AF48" s="21">
        <f t="shared" si="28"/>
        <v>0</v>
      </c>
      <c r="AG48" s="21">
        <f t="shared" si="28"/>
        <v>0</v>
      </c>
      <c r="AH48" s="21">
        <f t="shared" si="28"/>
        <v>0</v>
      </c>
      <c r="AI48" s="21">
        <f t="shared" si="29"/>
        <v>0</v>
      </c>
      <c r="AJ48" s="21">
        <f t="shared" si="29"/>
        <v>0</v>
      </c>
      <c r="AK48" s="21">
        <f t="shared" si="29"/>
        <v>0</v>
      </c>
      <c r="AL48" s="21">
        <f t="shared" si="29"/>
        <v>0</v>
      </c>
      <c r="AM48" s="21">
        <f t="shared" si="29"/>
        <v>0</v>
      </c>
      <c r="AN48" s="20">
        <f t="shared" si="29"/>
        <v>0</v>
      </c>
      <c r="AO48" s="37"/>
      <c r="AP48"/>
      <c r="AQ48" s="37"/>
      <c r="AR48" s="37"/>
      <c r="AS48" s="37"/>
      <c r="AT48" s="37"/>
      <c r="AU48" s="37"/>
      <c r="AV48" s="37"/>
      <c r="AW48" s="37"/>
      <c r="AX48" s="37"/>
      <c r="AY48" s="37"/>
      <c r="AZ48" s="37"/>
      <c r="BA48" s="37"/>
      <c r="BB48" s="37"/>
      <c r="BC48" s="37"/>
      <c r="BD48" s="37"/>
      <c r="BE48" s="37"/>
      <c r="BF48" s="37"/>
      <c r="BG48" s="37"/>
      <c r="BH48" s="37"/>
      <c r="BI48" s="37"/>
      <c r="BJ48" s="37"/>
      <c r="BK48" s="37"/>
      <c r="BL48" s="37"/>
      <c r="CK48" s="256"/>
      <c r="CL48" s="256"/>
      <c r="CM48" s="256"/>
      <c r="CN48" s="256"/>
      <c r="CO48" s="256"/>
      <c r="CP48" s="256"/>
      <c r="CQ48" s="256"/>
      <c r="CR48" s="256"/>
      <c r="CS48" s="256"/>
      <c r="CT48" s="256"/>
      <c r="CU48" s="256"/>
      <c r="CV48" s="256"/>
      <c r="CW48" s="256"/>
      <c r="CX48" s="256"/>
      <c r="CY48" s="256"/>
    </row>
    <row r="49" spans="1:103" s="255" customFormat="1">
      <c r="A49" s="271" t="s">
        <v>413</v>
      </c>
      <c r="C49" s="261" t="str">
        <f t="shared" si="25"/>
        <v>Public - Extended RE:FITMore Effective</v>
      </c>
      <c r="D49"/>
      <c r="E49" s="22">
        <f t="shared" si="26"/>
        <v>0</v>
      </c>
      <c r="F49" s="21">
        <f t="shared" si="26"/>
        <v>0</v>
      </c>
      <c r="G49" s="21">
        <f t="shared" si="26"/>
        <v>0</v>
      </c>
      <c r="H49" s="21">
        <f t="shared" si="26"/>
        <v>0</v>
      </c>
      <c r="I49" s="21">
        <f t="shared" si="26"/>
        <v>0</v>
      </c>
      <c r="J49" s="21">
        <f t="shared" si="26"/>
        <v>0</v>
      </c>
      <c r="K49" s="21">
        <f t="shared" si="26"/>
        <v>0</v>
      </c>
      <c r="L49" s="21">
        <f t="shared" si="26"/>
        <v>0</v>
      </c>
      <c r="M49" s="21">
        <f t="shared" si="26"/>
        <v>0</v>
      </c>
      <c r="N49" s="21">
        <f t="shared" si="26"/>
        <v>0</v>
      </c>
      <c r="O49" s="21">
        <f t="shared" si="27"/>
        <v>0</v>
      </c>
      <c r="P49" s="21">
        <f t="shared" si="27"/>
        <v>0</v>
      </c>
      <c r="Q49" s="21">
        <f t="shared" si="27"/>
        <v>0</v>
      </c>
      <c r="R49" s="21">
        <f t="shared" si="27"/>
        <v>0</v>
      </c>
      <c r="S49" s="21">
        <f t="shared" si="27"/>
        <v>0</v>
      </c>
      <c r="T49" s="21">
        <f t="shared" si="27"/>
        <v>0</v>
      </c>
      <c r="U49" s="21">
        <f t="shared" si="27"/>
        <v>0</v>
      </c>
      <c r="V49" s="21">
        <f t="shared" si="27"/>
        <v>0</v>
      </c>
      <c r="W49" s="21">
        <f t="shared" si="27"/>
        <v>0</v>
      </c>
      <c r="X49" s="21">
        <f t="shared" si="27"/>
        <v>0</v>
      </c>
      <c r="Y49" s="21">
        <f t="shared" si="28"/>
        <v>0</v>
      </c>
      <c r="Z49" s="21">
        <f t="shared" si="28"/>
        <v>0</v>
      </c>
      <c r="AA49" s="21">
        <f t="shared" si="28"/>
        <v>0</v>
      </c>
      <c r="AB49" s="21">
        <f t="shared" si="28"/>
        <v>0</v>
      </c>
      <c r="AC49" s="21">
        <f t="shared" si="28"/>
        <v>0</v>
      </c>
      <c r="AD49" s="21">
        <f t="shared" si="28"/>
        <v>0</v>
      </c>
      <c r="AE49" s="21">
        <f t="shared" si="28"/>
        <v>0</v>
      </c>
      <c r="AF49" s="21">
        <f t="shared" si="28"/>
        <v>0</v>
      </c>
      <c r="AG49" s="21">
        <f t="shared" si="28"/>
        <v>0</v>
      </c>
      <c r="AH49" s="21">
        <f t="shared" si="28"/>
        <v>0</v>
      </c>
      <c r="AI49" s="21">
        <f t="shared" si="29"/>
        <v>0</v>
      </c>
      <c r="AJ49" s="21">
        <f t="shared" si="29"/>
        <v>0</v>
      </c>
      <c r="AK49" s="21">
        <f t="shared" si="29"/>
        <v>0</v>
      </c>
      <c r="AL49" s="21">
        <f t="shared" si="29"/>
        <v>0</v>
      </c>
      <c r="AM49" s="21">
        <f t="shared" si="29"/>
        <v>0</v>
      </c>
      <c r="AN49" s="20">
        <f t="shared" si="29"/>
        <v>0</v>
      </c>
      <c r="AO49" s="37"/>
      <c r="AP49"/>
      <c r="AQ49" s="37"/>
      <c r="AR49" s="37"/>
      <c r="AS49" s="37"/>
      <c r="AT49" s="37"/>
      <c r="AU49" s="37"/>
      <c r="AV49" s="37"/>
      <c r="AW49" s="37"/>
      <c r="AX49" s="37"/>
      <c r="AY49" s="37"/>
      <c r="AZ49" s="37"/>
      <c r="BA49" s="37"/>
      <c r="BB49" s="37"/>
      <c r="BC49" s="37"/>
      <c r="BD49" s="37"/>
      <c r="BE49" s="37"/>
      <c r="BF49" s="37"/>
      <c r="BG49" s="37"/>
      <c r="BH49" s="37"/>
      <c r="BI49" s="37"/>
      <c r="BJ49" s="37"/>
      <c r="BK49" s="37"/>
      <c r="BL49" s="37"/>
      <c r="CK49" s="256"/>
      <c r="CL49" s="256"/>
      <c r="CM49" s="256"/>
      <c r="CN49" s="256"/>
      <c r="CO49" s="256"/>
      <c r="CP49" s="256"/>
      <c r="CQ49" s="256"/>
      <c r="CR49" s="256"/>
      <c r="CS49" s="256"/>
      <c r="CT49" s="256"/>
      <c r="CU49" s="256"/>
      <c r="CV49" s="256"/>
      <c r="CW49" s="256"/>
      <c r="CX49" s="256"/>
      <c r="CY49" s="256"/>
    </row>
    <row r="50" spans="1:103" s="255" customFormat="1">
      <c r="A50" s="271" t="s">
        <v>414</v>
      </c>
      <c r="C50" s="261" t="str">
        <f t="shared" si="25"/>
        <v>Public - All buildings MEES – EPC CMore Effective</v>
      </c>
      <c r="D50"/>
      <c r="E50" s="22">
        <f t="shared" si="26"/>
        <v>0</v>
      </c>
      <c r="F50" s="21">
        <f t="shared" si="26"/>
        <v>0</v>
      </c>
      <c r="G50" s="21">
        <f t="shared" si="26"/>
        <v>0</v>
      </c>
      <c r="H50" s="21">
        <f t="shared" si="26"/>
        <v>0</v>
      </c>
      <c r="I50" s="21">
        <f t="shared" si="26"/>
        <v>0</v>
      </c>
      <c r="J50" s="21">
        <f t="shared" si="26"/>
        <v>0</v>
      </c>
      <c r="K50" s="21">
        <f t="shared" si="26"/>
        <v>469.27000861467485</v>
      </c>
      <c r="L50" s="21">
        <f t="shared" si="26"/>
        <v>938.5400172293497</v>
      </c>
      <c r="M50" s="21">
        <f t="shared" si="26"/>
        <v>1407.8100258440245</v>
      </c>
      <c r="N50" s="21">
        <f t="shared" si="26"/>
        <v>1877.0800344586994</v>
      </c>
      <c r="O50" s="21">
        <f t="shared" si="27"/>
        <v>2346.3500430733743</v>
      </c>
      <c r="P50" s="21">
        <f t="shared" si="27"/>
        <v>2815.620051688049</v>
      </c>
      <c r="Q50" s="21">
        <f t="shared" si="27"/>
        <v>3284.8900603027241</v>
      </c>
      <c r="R50" s="21">
        <f t="shared" si="27"/>
        <v>3754.1600689173988</v>
      </c>
      <c r="S50" s="21">
        <f t="shared" si="27"/>
        <v>4223.4300775320735</v>
      </c>
      <c r="T50" s="21">
        <f t="shared" si="27"/>
        <v>4223.4300775320735</v>
      </c>
      <c r="U50" s="21">
        <f t="shared" si="27"/>
        <v>3378.7440620256589</v>
      </c>
      <c r="V50" s="21">
        <f t="shared" si="27"/>
        <v>2534.0580465192443</v>
      </c>
      <c r="W50" s="21">
        <f t="shared" si="27"/>
        <v>1689.3720310128297</v>
      </c>
      <c r="X50" s="21">
        <f t="shared" si="27"/>
        <v>844.68601550641472</v>
      </c>
      <c r="Y50" s="21">
        <f t="shared" si="28"/>
        <v>0</v>
      </c>
      <c r="Z50" s="21">
        <f t="shared" si="28"/>
        <v>0</v>
      </c>
      <c r="AA50" s="21">
        <f t="shared" si="28"/>
        <v>0</v>
      </c>
      <c r="AB50" s="21">
        <f t="shared" si="28"/>
        <v>0</v>
      </c>
      <c r="AC50" s="21">
        <f t="shared" si="28"/>
        <v>0</v>
      </c>
      <c r="AD50" s="21">
        <f t="shared" si="28"/>
        <v>0</v>
      </c>
      <c r="AE50" s="21">
        <f t="shared" si="28"/>
        <v>0</v>
      </c>
      <c r="AF50" s="21">
        <f t="shared" si="28"/>
        <v>0</v>
      </c>
      <c r="AG50" s="21">
        <f t="shared" si="28"/>
        <v>0</v>
      </c>
      <c r="AH50" s="21">
        <f t="shared" si="28"/>
        <v>0</v>
      </c>
      <c r="AI50" s="21">
        <f t="shared" si="29"/>
        <v>0</v>
      </c>
      <c r="AJ50" s="21">
        <f t="shared" si="29"/>
        <v>0</v>
      </c>
      <c r="AK50" s="21">
        <f t="shared" si="29"/>
        <v>0</v>
      </c>
      <c r="AL50" s="21">
        <f t="shared" si="29"/>
        <v>0</v>
      </c>
      <c r="AM50" s="21">
        <f t="shared" si="29"/>
        <v>0</v>
      </c>
      <c r="AN50" s="20">
        <f t="shared" si="29"/>
        <v>0</v>
      </c>
      <c r="AO50" s="37"/>
      <c r="AP50"/>
      <c r="AQ50" s="37"/>
      <c r="AR50" s="37"/>
      <c r="AS50" s="37"/>
      <c r="AT50" s="37"/>
      <c r="AU50" s="37"/>
      <c r="AV50" s="37"/>
      <c r="AW50" s="37"/>
      <c r="AX50" s="37"/>
      <c r="AY50" s="37"/>
      <c r="AZ50" s="37"/>
      <c r="BA50" s="37"/>
      <c r="BB50" s="37"/>
      <c r="BC50" s="37"/>
      <c r="BD50" s="37"/>
      <c r="BE50" s="37"/>
      <c r="BF50" s="37"/>
      <c r="BG50" s="37"/>
      <c r="BH50" s="37"/>
      <c r="BI50" s="37"/>
      <c r="BJ50" s="37"/>
      <c r="BK50" s="37"/>
      <c r="BL50" s="37"/>
      <c r="CK50" s="256"/>
      <c r="CL50" s="256"/>
      <c r="CM50" s="256"/>
      <c r="CN50" s="256"/>
      <c r="CO50" s="256"/>
      <c r="CP50" s="256"/>
      <c r="CQ50" s="256"/>
      <c r="CR50" s="256"/>
      <c r="CS50" s="256"/>
      <c r="CT50" s="256"/>
      <c r="CU50" s="256"/>
      <c r="CV50" s="256"/>
      <c r="CW50" s="256"/>
      <c r="CX50" s="256"/>
      <c r="CY50" s="256"/>
    </row>
    <row r="51" spans="1:103" s="255" customFormat="1">
      <c r="A51" s="271" t="s">
        <v>415</v>
      </c>
      <c r="C51" s="261" t="str">
        <f t="shared" si="25"/>
        <v>SUM NON DOMESTIC BUILDINGSMore Effective</v>
      </c>
      <c r="D51"/>
      <c r="E51" s="18">
        <f>SUM(E42:E50)</f>
        <v>0</v>
      </c>
      <c r="F51" s="17">
        <f t="shared" ref="F51:AN51" si="30">SUM(F42:F50)</f>
        <v>0</v>
      </c>
      <c r="G51" s="17">
        <f t="shared" si="30"/>
        <v>0</v>
      </c>
      <c r="H51" s="17">
        <f t="shared" si="30"/>
        <v>0</v>
      </c>
      <c r="I51" s="17">
        <f t="shared" si="30"/>
        <v>1151.3750917140273</v>
      </c>
      <c r="J51" s="17">
        <f t="shared" si="30"/>
        <v>2302.7501834280547</v>
      </c>
      <c r="K51" s="17">
        <f t="shared" si="30"/>
        <v>3923.3952837567572</v>
      </c>
      <c r="L51" s="17">
        <f t="shared" si="30"/>
        <v>5544.0403840854588</v>
      </c>
      <c r="M51" s="17">
        <f t="shared" si="30"/>
        <v>11245.553370658417</v>
      </c>
      <c r="N51" s="17">
        <f t="shared" si="30"/>
        <v>18938.352884487264</v>
      </c>
      <c r="O51" s="17">
        <f t="shared" si="30"/>
        <v>20558.99798481596</v>
      </c>
      <c r="P51" s="17">
        <f t="shared" si="30"/>
        <v>22363.478013973792</v>
      </c>
      <c r="Q51" s="17">
        <f t="shared" si="30"/>
        <v>24167.958043131628</v>
      </c>
      <c r="R51" s="17">
        <f t="shared" si="30"/>
        <v>15819.415772545066</v>
      </c>
      <c r="S51" s="17">
        <f t="shared" si="30"/>
        <v>17623.8958017029</v>
      </c>
      <c r="T51" s="17">
        <f t="shared" si="30"/>
        <v>17623.8958017029</v>
      </c>
      <c r="U51" s="17">
        <f t="shared" si="30"/>
        <v>15167.284657796847</v>
      </c>
      <c r="V51" s="17">
        <f t="shared" si="30"/>
        <v>12710.673513890793</v>
      </c>
      <c r="W51" s="17">
        <f t="shared" si="30"/>
        <v>10254.06236998474</v>
      </c>
      <c r="X51" s="17">
        <f t="shared" si="30"/>
        <v>7797.4512260786869</v>
      </c>
      <c r="Y51" s="17">
        <f t="shared" si="30"/>
        <v>0</v>
      </c>
      <c r="Z51" s="17">
        <f t="shared" si="30"/>
        <v>0</v>
      </c>
      <c r="AA51" s="17">
        <f t="shared" si="30"/>
        <v>0</v>
      </c>
      <c r="AB51" s="17">
        <f t="shared" si="30"/>
        <v>0</v>
      </c>
      <c r="AC51" s="17">
        <f t="shared" si="30"/>
        <v>0</v>
      </c>
      <c r="AD51" s="17">
        <f t="shared" si="30"/>
        <v>0</v>
      </c>
      <c r="AE51" s="17">
        <f t="shared" si="30"/>
        <v>0</v>
      </c>
      <c r="AF51" s="17">
        <f t="shared" si="30"/>
        <v>0</v>
      </c>
      <c r="AG51" s="17">
        <f t="shared" si="30"/>
        <v>0</v>
      </c>
      <c r="AH51" s="17">
        <f t="shared" si="30"/>
        <v>0</v>
      </c>
      <c r="AI51" s="17">
        <f t="shared" si="30"/>
        <v>0</v>
      </c>
      <c r="AJ51" s="17">
        <f t="shared" si="30"/>
        <v>0</v>
      </c>
      <c r="AK51" s="17">
        <f t="shared" si="30"/>
        <v>0</v>
      </c>
      <c r="AL51" s="17">
        <f t="shared" si="30"/>
        <v>0</v>
      </c>
      <c r="AM51" s="17">
        <f t="shared" si="30"/>
        <v>0</v>
      </c>
      <c r="AN51" s="16">
        <f t="shared" si="30"/>
        <v>0</v>
      </c>
      <c r="AO51" s="37"/>
      <c r="AP51"/>
      <c r="AQ51" s="37"/>
      <c r="AR51" s="37"/>
      <c r="AS51" s="37"/>
      <c r="AT51" s="37"/>
      <c r="AU51" s="37"/>
      <c r="AV51" s="37"/>
      <c r="AW51" s="37"/>
      <c r="AX51" s="37"/>
      <c r="AY51" s="37"/>
      <c r="AZ51" s="37"/>
      <c r="BA51" s="37"/>
      <c r="BB51" s="37"/>
      <c r="BC51" s="37"/>
      <c r="BD51" s="37"/>
      <c r="BE51" s="37"/>
      <c r="BF51" s="37"/>
      <c r="BG51" s="37"/>
      <c r="BH51" s="37"/>
      <c r="BI51" s="37"/>
      <c r="BJ51" s="37"/>
      <c r="BK51" s="37"/>
      <c r="BL51" s="37"/>
      <c r="CK51" s="256"/>
      <c r="CL51" s="256"/>
      <c r="CM51" s="256"/>
      <c r="CN51" s="256"/>
      <c r="CO51" s="256"/>
      <c r="CP51" s="256"/>
      <c r="CQ51" s="256"/>
      <c r="CR51" s="256"/>
      <c r="CS51" s="256"/>
      <c r="CT51" s="256"/>
      <c r="CU51" s="256"/>
      <c r="CV51" s="256"/>
      <c r="CW51" s="256"/>
      <c r="CX51" s="256"/>
      <c r="CY51" s="256"/>
    </row>
    <row r="52" spans="1:103" s="255" customFormat="1">
      <c r="A52" s="451" t="s">
        <v>416</v>
      </c>
      <c r="C52" s="261" t="str">
        <f t="shared" si="25"/>
        <v>Existing - Non-Domestic ALL - Mandate on lighting efficiencyMore Effective</v>
      </c>
      <c r="D52"/>
      <c r="E52" s="452">
        <f t="shared" ref="E52:N56" si="31">INDEX(E$96:E$794,MATCH($C52,$D$96:$D$794,0))</f>
        <v>0</v>
      </c>
      <c r="F52" s="453">
        <f t="shared" si="31"/>
        <v>0</v>
      </c>
      <c r="G52" s="453">
        <f t="shared" si="31"/>
        <v>0</v>
      </c>
      <c r="H52" s="453">
        <f t="shared" si="31"/>
        <v>0</v>
      </c>
      <c r="I52" s="453">
        <f t="shared" si="31"/>
        <v>0</v>
      </c>
      <c r="J52" s="453">
        <f t="shared" si="31"/>
        <v>0</v>
      </c>
      <c r="K52" s="453">
        <f t="shared" si="31"/>
        <v>0</v>
      </c>
      <c r="L52" s="453">
        <f t="shared" si="31"/>
        <v>0</v>
      </c>
      <c r="M52" s="453">
        <f t="shared" si="31"/>
        <v>0</v>
      </c>
      <c r="N52" s="453">
        <f t="shared" si="31"/>
        <v>0</v>
      </c>
      <c r="O52" s="453">
        <f t="shared" ref="O52:X56" si="32">INDEX(O$96:O$794,MATCH($C52,$D$96:$D$794,0))</f>
        <v>0</v>
      </c>
      <c r="P52" s="453">
        <f t="shared" si="32"/>
        <v>0</v>
      </c>
      <c r="Q52" s="453">
        <f t="shared" si="32"/>
        <v>0</v>
      </c>
      <c r="R52" s="453">
        <f t="shared" si="32"/>
        <v>0</v>
      </c>
      <c r="S52" s="453">
        <f t="shared" si="32"/>
        <v>0</v>
      </c>
      <c r="T52" s="453">
        <f t="shared" si="32"/>
        <v>0</v>
      </c>
      <c r="U52" s="453">
        <f t="shared" si="32"/>
        <v>0</v>
      </c>
      <c r="V52" s="453">
        <f t="shared" si="32"/>
        <v>0</v>
      </c>
      <c r="W52" s="453">
        <f t="shared" si="32"/>
        <v>0</v>
      </c>
      <c r="X52" s="453">
        <f t="shared" si="32"/>
        <v>0</v>
      </c>
      <c r="Y52" s="453">
        <f t="shared" ref="Y52:AH56" si="33">INDEX(Y$96:Y$794,MATCH($C52,$D$96:$D$794,0))</f>
        <v>0</v>
      </c>
      <c r="Z52" s="453">
        <f t="shared" si="33"/>
        <v>0</v>
      </c>
      <c r="AA52" s="453">
        <f t="shared" si="33"/>
        <v>0</v>
      </c>
      <c r="AB52" s="453">
        <f t="shared" si="33"/>
        <v>0</v>
      </c>
      <c r="AC52" s="453">
        <f t="shared" si="33"/>
        <v>0</v>
      </c>
      <c r="AD52" s="453">
        <f t="shared" si="33"/>
        <v>0</v>
      </c>
      <c r="AE52" s="453">
        <f t="shared" si="33"/>
        <v>0</v>
      </c>
      <c r="AF52" s="453">
        <f t="shared" si="33"/>
        <v>0</v>
      </c>
      <c r="AG52" s="453">
        <f t="shared" si="33"/>
        <v>0</v>
      </c>
      <c r="AH52" s="453">
        <f t="shared" si="33"/>
        <v>0</v>
      </c>
      <c r="AI52" s="453">
        <f t="shared" ref="AI52:AN56" si="34">INDEX(AI$96:AI$794,MATCH($C52,$D$96:$D$794,0))</f>
        <v>0</v>
      </c>
      <c r="AJ52" s="453">
        <f t="shared" si="34"/>
        <v>0</v>
      </c>
      <c r="AK52" s="453">
        <f t="shared" si="34"/>
        <v>0</v>
      </c>
      <c r="AL52" s="453">
        <f t="shared" si="34"/>
        <v>0</v>
      </c>
      <c r="AM52" s="453">
        <f t="shared" si="34"/>
        <v>0</v>
      </c>
      <c r="AN52" s="454">
        <f t="shared" si="34"/>
        <v>0</v>
      </c>
      <c r="AO52" s="37"/>
      <c r="AP52"/>
      <c r="AQ52" s="37"/>
      <c r="AR52" s="37"/>
      <c r="AS52" s="37"/>
      <c r="AT52" s="37"/>
      <c r="AU52" s="37"/>
      <c r="AV52" s="37"/>
      <c r="AW52" s="37"/>
      <c r="AX52" s="37"/>
      <c r="AY52" s="37"/>
      <c r="AZ52" s="37"/>
      <c r="BA52" s="37"/>
      <c r="BB52" s="37"/>
      <c r="BC52" s="37"/>
      <c r="BD52" s="37"/>
      <c r="BE52" s="37"/>
      <c r="BF52" s="37"/>
      <c r="BG52" s="37"/>
      <c r="BH52" s="37"/>
      <c r="BI52" s="37"/>
      <c r="BJ52" s="37"/>
      <c r="BK52" s="37"/>
      <c r="BL52" s="37"/>
      <c r="CK52" s="256"/>
      <c r="CL52" s="256"/>
      <c r="CM52" s="256"/>
      <c r="CN52" s="256"/>
      <c r="CO52" s="256"/>
      <c r="CP52" s="256"/>
      <c r="CQ52" s="256"/>
      <c r="CR52" s="256"/>
      <c r="CS52" s="256"/>
      <c r="CT52" s="256"/>
      <c r="CU52" s="256"/>
      <c r="CV52" s="256"/>
      <c r="CW52" s="256"/>
      <c r="CX52" s="256"/>
      <c r="CY52" s="256"/>
    </row>
    <row r="53" spans="1:103" s="255" customFormat="1">
      <c r="A53" s="451" t="s">
        <v>417</v>
      </c>
      <c r="C53" s="261" t="str">
        <f>A53&amp;$B$72</f>
        <v>Existing -Non-Domestic ALL - Mandate on appliance efficiencyMore Effective</v>
      </c>
      <c r="D53"/>
      <c r="E53" s="455">
        <f t="shared" si="31"/>
        <v>0</v>
      </c>
      <c r="F53" s="456">
        <f t="shared" si="31"/>
        <v>0</v>
      </c>
      <c r="G53" s="456">
        <f t="shared" si="31"/>
        <v>0</v>
      </c>
      <c r="H53" s="456">
        <f t="shared" si="31"/>
        <v>0</v>
      </c>
      <c r="I53" s="456">
        <f t="shared" si="31"/>
        <v>0</v>
      </c>
      <c r="J53" s="456">
        <f t="shared" si="31"/>
        <v>0</v>
      </c>
      <c r="K53" s="456">
        <f t="shared" si="31"/>
        <v>0</v>
      </c>
      <c r="L53" s="456">
        <f t="shared" si="31"/>
        <v>0</v>
      </c>
      <c r="M53" s="456">
        <f t="shared" si="31"/>
        <v>0</v>
      </c>
      <c r="N53" s="456">
        <f t="shared" si="31"/>
        <v>0</v>
      </c>
      <c r="O53" s="456">
        <f t="shared" si="32"/>
        <v>0</v>
      </c>
      <c r="P53" s="456">
        <f t="shared" si="32"/>
        <v>0</v>
      </c>
      <c r="Q53" s="456">
        <f t="shared" si="32"/>
        <v>0</v>
      </c>
      <c r="R53" s="456">
        <f t="shared" si="32"/>
        <v>0</v>
      </c>
      <c r="S53" s="456">
        <f t="shared" si="32"/>
        <v>0</v>
      </c>
      <c r="T53" s="456">
        <f t="shared" si="32"/>
        <v>0</v>
      </c>
      <c r="U53" s="456">
        <f t="shared" si="32"/>
        <v>0</v>
      </c>
      <c r="V53" s="456">
        <f t="shared" si="32"/>
        <v>0</v>
      </c>
      <c r="W53" s="456">
        <f t="shared" si="32"/>
        <v>0</v>
      </c>
      <c r="X53" s="456">
        <f t="shared" si="32"/>
        <v>0</v>
      </c>
      <c r="Y53" s="456">
        <f t="shared" si="33"/>
        <v>0</v>
      </c>
      <c r="Z53" s="456">
        <f t="shared" si="33"/>
        <v>0</v>
      </c>
      <c r="AA53" s="456">
        <f t="shared" si="33"/>
        <v>0</v>
      </c>
      <c r="AB53" s="456">
        <f t="shared" si="33"/>
        <v>0</v>
      </c>
      <c r="AC53" s="456">
        <f t="shared" si="33"/>
        <v>0</v>
      </c>
      <c r="AD53" s="456">
        <f t="shared" si="33"/>
        <v>0</v>
      </c>
      <c r="AE53" s="456">
        <f t="shared" si="33"/>
        <v>0</v>
      </c>
      <c r="AF53" s="456">
        <f t="shared" si="33"/>
        <v>0</v>
      </c>
      <c r="AG53" s="456">
        <f t="shared" si="33"/>
        <v>0</v>
      </c>
      <c r="AH53" s="456">
        <f t="shared" si="33"/>
        <v>0</v>
      </c>
      <c r="AI53" s="456">
        <f t="shared" si="34"/>
        <v>0</v>
      </c>
      <c r="AJ53" s="456">
        <f t="shared" si="34"/>
        <v>0</v>
      </c>
      <c r="AK53" s="456">
        <f t="shared" si="34"/>
        <v>0</v>
      </c>
      <c r="AL53" s="456">
        <f t="shared" si="34"/>
        <v>0</v>
      </c>
      <c r="AM53" s="456">
        <f t="shared" si="34"/>
        <v>0</v>
      </c>
      <c r="AN53" s="457">
        <f t="shared" si="34"/>
        <v>0</v>
      </c>
      <c r="AO53" s="37"/>
      <c r="AP53"/>
      <c r="AQ53" s="37"/>
      <c r="AR53" s="37"/>
      <c r="AS53" s="37"/>
      <c r="AT53" s="37"/>
      <c r="AU53" s="37"/>
      <c r="AV53" s="37"/>
      <c r="AW53" s="37"/>
      <c r="AX53" s="37"/>
      <c r="AY53" s="37"/>
      <c r="AZ53" s="37"/>
      <c r="BA53" s="37"/>
      <c r="BB53" s="37"/>
      <c r="BC53" s="37"/>
      <c r="BD53" s="37"/>
      <c r="BE53" s="37"/>
      <c r="BF53" s="37"/>
      <c r="BG53" s="37"/>
      <c r="BH53" s="37"/>
      <c r="BI53" s="37"/>
      <c r="BJ53" s="37"/>
      <c r="BK53" s="37"/>
      <c r="BL53" s="37"/>
      <c r="CK53" s="256"/>
      <c r="CL53" s="256"/>
      <c r="CM53" s="256"/>
      <c r="CN53" s="256"/>
      <c r="CO53" s="256"/>
      <c r="CP53" s="256"/>
      <c r="CQ53" s="256"/>
      <c r="CR53" s="256"/>
      <c r="CS53" s="256"/>
      <c r="CT53" s="256"/>
      <c r="CU53" s="256"/>
      <c r="CV53" s="256"/>
      <c r="CW53" s="256"/>
      <c r="CX53" s="256"/>
      <c r="CY53" s="256"/>
    </row>
    <row r="54" spans="1:103" s="255" customFormat="1">
      <c r="A54" s="451" t="s">
        <v>418</v>
      </c>
      <c r="C54" s="261" t="str">
        <f>A54&amp;$B$72</f>
        <v>New - Non-Domestic ALL - Mandate on lighting efficiencyMore Effective</v>
      </c>
      <c r="D54"/>
      <c r="E54" s="455">
        <f t="shared" si="31"/>
        <v>0</v>
      </c>
      <c r="F54" s="456">
        <f t="shared" si="31"/>
        <v>3472.6107683765158</v>
      </c>
      <c r="G54" s="456">
        <f t="shared" si="31"/>
        <v>3472.6107683765158</v>
      </c>
      <c r="H54" s="456">
        <f t="shared" si="31"/>
        <v>3472.6107683765154</v>
      </c>
      <c r="I54" s="456">
        <f t="shared" si="31"/>
        <v>11591.288057345249</v>
      </c>
      <c r="J54" s="456">
        <f t="shared" si="31"/>
        <v>19709.96534631398</v>
      </c>
      <c r="K54" s="456">
        <f t="shared" si="31"/>
        <v>27828.642635282715</v>
      </c>
      <c r="L54" s="456">
        <f t="shared" si="31"/>
        <v>35947.319924251446</v>
      </c>
      <c r="M54" s="456">
        <f t="shared" si="31"/>
        <v>44065.99721322018</v>
      </c>
      <c r="N54" s="456">
        <f t="shared" si="31"/>
        <v>52184.674502188915</v>
      </c>
      <c r="O54" s="456">
        <f t="shared" si="32"/>
        <v>60303.351791157649</v>
      </c>
      <c r="P54" s="456">
        <f t="shared" si="32"/>
        <v>59380.244762667491</v>
      </c>
      <c r="Q54" s="456">
        <f t="shared" si="32"/>
        <v>2549.5037398863597</v>
      </c>
      <c r="R54" s="456">
        <f t="shared" si="32"/>
        <v>2549.5037398863587</v>
      </c>
      <c r="S54" s="456">
        <f t="shared" si="32"/>
        <v>2549.5037398863597</v>
      </c>
      <c r="T54" s="456">
        <f t="shared" si="32"/>
        <v>2549.5037398863597</v>
      </c>
      <c r="U54" s="456">
        <f t="shared" si="32"/>
        <v>2549.5037398863597</v>
      </c>
      <c r="V54" s="456">
        <f t="shared" si="32"/>
        <v>2549.5037398863601</v>
      </c>
      <c r="W54" s="456">
        <f t="shared" si="32"/>
        <v>2549.5037398863601</v>
      </c>
      <c r="X54" s="456">
        <f t="shared" si="32"/>
        <v>2549.5037398863601</v>
      </c>
      <c r="Y54" s="456">
        <f t="shared" si="33"/>
        <v>2549.5037398863601</v>
      </c>
      <c r="Z54" s="456">
        <f t="shared" si="33"/>
        <v>2549.5037398863601</v>
      </c>
      <c r="AA54" s="456">
        <f t="shared" si="33"/>
        <v>2549.5037398863601</v>
      </c>
      <c r="AB54" s="456">
        <f t="shared" si="33"/>
        <v>2549.5037398863601</v>
      </c>
      <c r="AC54" s="456">
        <f t="shared" si="33"/>
        <v>2549.5037398863587</v>
      </c>
      <c r="AD54" s="456">
        <f t="shared" si="33"/>
        <v>2549.5037398863587</v>
      </c>
      <c r="AE54" s="456">
        <f t="shared" si="33"/>
        <v>2549.5037398863587</v>
      </c>
      <c r="AF54" s="456">
        <f t="shared" si="33"/>
        <v>2549.5037398863619</v>
      </c>
      <c r="AG54" s="456">
        <f t="shared" si="33"/>
        <v>2549.5037398863606</v>
      </c>
      <c r="AH54" s="456">
        <f t="shared" si="33"/>
        <v>2549.5037398863606</v>
      </c>
      <c r="AI54" s="456">
        <f t="shared" si="34"/>
        <v>2549.5037398863606</v>
      </c>
      <c r="AJ54" s="456">
        <f t="shared" si="34"/>
        <v>2549.5037398863606</v>
      </c>
      <c r="AK54" s="456">
        <f t="shared" si="34"/>
        <v>2549.5037398863606</v>
      </c>
      <c r="AL54" s="456">
        <f t="shared" si="34"/>
        <v>2549.5037398863606</v>
      </c>
      <c r="AM54" s="456">
        <f t="shared" si="34"/>
        <v>2549.5037398863606</v>
      </c>
      <c r="AN54" s="457">
        <f t="shared" si="34"/>
        <v>2549.5037398863496</v>
      </c>
      <c r="AO54" s="37"/>
      <c r="AP54"/>
      <c r="AQ54" s="37"/>
      <c r="AR54" s="37"/>
      <c r="AS54" s="37"/>
      <c r="AT54" s="37"/>
      <c r="AU54" s="37"/>
      <c r="AV54" s="37"/>
      <c r="AW54" s="37"/>
      <c r="AX54" s="37"/>
      <c r="AY54" s="37"/>
      <c r="AZ54" s="37"/>
      <c r="BA54" s="37"/>
      <c r="BB54" s="37"/>
      <c r="BC54" s="37"/>
      <c r="BD54" s="37"/>
      <c r="BE54" s="37"/>
      <c r="BF54" s="37"/>
      <c r="BG54" s="37"/>
      <c r="BH54" s="37"/>
      <c r="BI54" s="37"/>
      <c r="BJ54" s="37"/>
      <c r="BK54" s="37"/>
      <c r="BL54" s="37"/>
      <c r="CK54" s="256"/>
      <c r="CL54" s="256"/>
      <c r="CM54" s="256"/>
      <c r="CN54" s="256"/>
      <c r="CO54" s="256"/>
      <c r="CP54" s="256"/>
      <c r="CQ54" s="256"/>
      <c r="CR54" s="256"/>
      <c r="CS54" s="256"/>
      <c r="CT54" s="256"/>
      <c r="CU54" s="256"/>
      <c r="CV54" s="256"/>
      <c r="CW54" s="256"/>
      <c r="CX54" s="256"/>
      <c r="CY54" s="256"/>
    </row>
    <row r="55" spans="1:103" s="255" customFormat="1">
      <c r="A55" s="451" t="s">
        <v>419</v>
      </c>
      <c r="C55" s="261" t="str">
        <f t="shared" si="25"/>
        <v>New -Non-Domestic ALL - Mandate on appliance efficiencyMore Effective</v>
      </c>
      <c r="D55"/>
      <c r="E55" s="455">
        <f t="shared" si="31"/>
        <v>0</v>
      </c>
      <c r="F55" s="456">
        <f t="shared" si="31"/>
        <v>3472.6107683765158</v>
      </c>
      <c r="G55" s="456">
        <f t="shared" si="31"/>
        <v>3472.6107683765158</v>
      </c>
      <c r="H55" s="456">
        <f t="shared" si="31"/>
        <v>3472.6107683765154</v>
      </c>
      <c r="I55" s="456">
        <f t="shared" si="31"/>
        <v>5226.6459851290201</v>
      </c>
      <c r="J55" s="456">
        <f t="shared" si="31"/>
        <v>6980.6812018815235</v>
      </c>
      <c r="K55" s="456">
        <f t="shared" si="31"/>
        <v>8734.7164186340269</v>
      </c>
      <c r="L55" s="456">
        <f t="shared" si="31"/>
        <v>10488.751635386532</v>
      </c>
      <c r="M55" s="456">
        <f t="shared" si="31"/>
        <v>12242.786852139034</v>
      </c>
      <c r="N55" s="456">
        <f t="shared" si="31"/>
        <v>13996.822068891539</v>
      </c>
      <c r="O55" s="456">
        <f t="shared" si="32"/>
        <v>15750.857285644042</v>
      </c>
      <c r="P55" s="456">
        <f t="shared" si="32"/>
        <v>16581.785473906391</v>
      </c>
      <c r="Q55" s="456">
        <f t="shared" si="32"/>
        <v>18335.820690658897</v>
      </c>
      <c r="R55" s="456">
        <f t="shared" si="32"/>
        <v>20089.855907411395</v>
      </c>
      <c r="S55" s="456">
        <f t="shared" si="32"/>
        <v>21843.891124163903</v>
      </c>
      <c r="T55" s="456">
        <f t="shared" si="32"/>
        <v>23597.926340916409</v>
      </c>
      <c r="U55" s="456">
        <f t="shared" si="32"/>
        <v>22194.698167514402</v>
      </c>
      <c r="V55" s="456">
        <f t="shared" si="32"/>
        <v>20791.469994112402</v>
      </c>
      <c r="W55" s="456">
        <f t="shared" si="32"/>
        <v>19388.241820710398</v>
      </c>
      <c r="X55" s="456">
        <f t="shared" si="32"/>
        <v>17985.013647308395</v>
      </c>
      <c r="Y55" s="456">
        <f t="shared" si="33"/>
        <v>16581.785473906395</v>
      </c>
      <c r="Z55" s="456">
        <f t="shared" si="33"/>
        <v>15178.55730050439</v>
      </c>
      <c r="AA55" s="456">
        <f t="shared" si="33"/>
        <v>13775.329127102386</v>
      </c>
      <c r="AB55" s="456">
        <f t="shared" si="33"/>
        <v>12372.100953700381</v>
      </c>
      <c r="AC55" s="456">
        <f t="shared" si="33"/>
        <v>10968.872780298378</v>
      </c>
      <c r="AD55" s="456">
        <f t="shared" si="33"/>
        <v>9565.644606896376</v>
      </c>
      <c r="AE55" s="456">
        <f t="shared" si="33"/>
        <v>8162.4164334943716</v>
      </c>
      <c r="AF55" s="456">
        <f t="shared" si="33"/>
        <v>6759.1882600923709</v>
      </c>
      <c r="AG55" s="456">
        <f t="shared" si="33"/>
        <v>5355.9600866903666</v>
      </c>
      <c r="AH55" s="456">
        <f t="shared" si="33"/>
        <v>3952.7319132883626</v>
      </c>
      <c r="AI55" s="456">
        <f t="shared" si="34"/>
        <v>2549.5037398863606</v>
      </c>
      <c r="AJ55" s="456">
        <f t="shared" si="34"/>
        <v>2549.5037398863606</v>
      </c>
      <c r="AK55" s="456">
        <f t="shared" si="34"/>
        <v>2549.5037398863606</v>
      </c>
      <c r="AL55" s="456">
        <f t="shared" si="34"/>
        <v>2549.5037398863606</v>
      </c>
      <c r="AM55" s="456">
        <f t="shared" si="34"/>
        <v>2549.5037398863606</v>
      </c>
      <c r="AN55" s="457">
        <f t="shared" si="34"/>
        <v>2549.5037398863496</v>
      </c>
      <c r="AO55" s="37"/>
      <c r="AP55"/>
      <c r="AQ55" s="37"/>
      <c r="AR55" s="37"/>
      <c r="AS55" s="37"/>
      <c r="AT55" s="37"/>
      <c r="AU55" s="37"/>
      <c r="AV55" s="37"/>
      <c r="AW55" s="37"/>
      <c r="AX55" s="37"/>
      <c r="AY55" s="37"/>
      <c r="AZ55" s="37"/>
      <c r="BA55" s="37"/>
      <c r="BB55" s="37"/>
      <c r="BC55" s="37"/>
      <c r="BD55" s="37"/>
      <c r="BE55" s="37"/>
      <c r="BF55" s="37"/>
      <c r="BG55" s="37"/>
      <c r="BH55" s="37"/>
      <c r="BI55" s="37"/>
      <c r="BJ55" s="37"/>
      <c r="BK55" s="37"/>
      <c r="BL55" s="37"/>
      <c r="CK55" s="256"/>
      <c r="CL55" s="256"/>
      <c r="CM55" s="256"/>
      <c r="CN55" s="256"/>
      <c r="CO55" s="256"/>
      <c r="CP55" s="256"/>
      <c r="CQ55" s="256"/>
      <c r="CR55" s="256"/>
      <c r="CS55" s="256"/>
      <c r="CT55" s="256"/>
      <c r="CU55" s="256"/>
      <c r="CV55" s="256"/>
      <c r="CW55" s="256"/>
      <c r="CX55" s="256"/>
      <c r="CY55" s="256"/>
    </row>
    <row r="56" spans="1:103" s="255" customFormat="1" ht="30">
      <c r="A56" s="451" t="s">
        <v>420</v>
      </c>
      <c r="C56" s="261" t="str">
        <f t="shared" si="25"/>
        <v>New -Non-Domestic ALL - Stronger planning requirement for smart controlsMore Effective</v>
      </c>
      <c r="D56"/>
      <c r="E56" s="455">
        <f>INDEX(E$96:E$794,MATCH($C56,$D$96:$D$794,0))</f>
        <v>0</v>
      </c>
      <c r="F56" s="456">
        <f t="shared" si="31"/>
        <v>2170.3817302353223</v>
      </c>
      <c r="G56" s="456">
        <f t="shared" si="31"/>
        <v>2170.3817302353223</v>
      </c>
      <c r="H56" s="456">
        <f t="shared" si="31"/>
        <v>2170.3817302353218</v>
      </c>
      <c r="I56" s="456">
        <f t="shared" si="31"/>
        <v>2170.3817302353218</v>
      </c>
      <c r="J56" s="456">
        <f t="shared" si="31"/>
        <v>2170.3817302353218</v>
      </c>
      <c r="K56" s="456">
        <f t="shared" si="31"/>
        <v>2170.3817302353223</v>
      </c>
      <c r="L56" s="456">
        <f t="shared" si="31"/>
        <v>2170.3817302353227</v>
      </c>
      <c r="M56" s="456">
        <f t="shared" si="31"/>
        <v>2170.3817302353218</v>
      </c>
      <c r="N56" s="456">
        <f t="shared" si="31"/>
        <v>2170.3817302353218</v>
      </c>
      <c r="O56" s="456">
        <f t="shared" si="32"/>
        <v>2170.3817302353218</v>
      </c>
      <c r="P56" s="456">
        <f t="shared" si="32"/>
        <v>1593.4398374289747</v>
      </c>
      <c r="Q56" s="456">
        <f t="shared" si="32"/>
        <v>1593.4398374289747</v>
      </c>
      <c r="R56" s="456">
        <f t="shared" si="32"/>
        <v>1593.439837428974</v>
      </c>
      <c r="S56" s="456">
        <f t="shared" si="32"/>
        <v>1593.4398374289749</v>
      </c>
      <c r="T56" s="456">
        <f t="shared" si="32"/>
        <v>1593.4398374289749</v>
      </c>
      <c r="U56" s="456">
        <f t="shared" si="32"/>
        <v>1593.4398374289749</v>
      </c>
      <c r="V56" s="456">
        <f t="shared" si="32"/>
        <v>1593.4398374289749</v>
      </c>
      <c r="W56" s="456">
        <f t="shared" si="32"/>
        <v>1593.4398374289749</v>
      </c>
      <c r="X56" s="456">
        <f t="shared" si="32"/>
        <v>1593.4398374289749</v>
      </c>
      <c r="Y56" s="456">
        <f t="shared" si="33"/>
        <v>1593.4398374289749</v>
      </c>
      <c r="Z56" s="456">
        <f t="shared" si="33"/>
        <v>1593.4398374289749</v>
      </c>
      <c r="AA56" s="456">
        <f t="shared" si="33"/>
        <v>1593.4398374289749</v>
      </c>
      <c r="AB56" s="456">
        <f t="shared" si="33"/>
        <v>1593.4398374289749</v>
      </c>
      <c r="AC56" s="456">
        <f t="shared" si="33"/>
        <v>1593.439837428974</v>
      </c>
      <c r="AD56" s="456">
        <f t="shared" si="33"/>
        <v>1593.439837428974</v>
      </c>
      <c r="AE56" s="456">
        <f t="shared" si="33"/>
        <v>1593.439837428974</v>
      </c>
      <c r="AF56" s="456">
        <f t="shared" si="33"/>
        <v>1593.439837428976</v>
      </c>
      <c r="AG56" s="456">
        <f t="shared" si="33"/>
        <v>1593.4398374289749</v>
      </c>
      <c r="AH56" s="456">
        <f t="shared" si="33"/>
        <v>1593.4398374289749</v>
      </c>
      <c r="AI56" s="456">
        <f t="shared" si="34"/>
        <v>1593.4398374289749</v>
      </c>
      <c r="AJ56" s="456">
        <f t="shared" si="34"/>
        <v>1593.4398374289749</v>
      </c>
      <c r="AK56" s="456">
        <f t="shared" si="34"/>
        <v>1593.4398374289749</v>
      </c>
      <c r="AL56" s="456">
        <f t="shared" si="34"/>
        <v>1593.4398374289749</v>
      </c>
      <c r="AM56" s="456">
        <f t="shared" si="34"/>
        <v>1593.4398374289749</v>
      </c>
      <c r="AN56" s="457">
        <f t="shared" si="34"/>
        <v>1593.4398374289683</v>
      </c>
      <c r="AO56" s="37"/>
      <c r="AP56"/>
      <c r="AQ56" s="37"/>
      <c r="AR56" s="37"/>
      <c r="AS56" s="37"/>
      <c r="AT56" s="37"/>
      <c r="AU56" s="37"/>
      <c r="AV56" s="37"/>
      <c r="AW56" s="37"/>
      <c r="AX56" s="37"/>
      <c r="AY56" s="37"/>
      <c r="AZ56" s="37"/>
      <c r="BA56" s="37"/>
      <c r="BB56" s="37"/>
      <c r="BC56" s="37"/>
      <c r="BD56" s="37"/>
      <c r="BE56" s="37"/>
      <c r="BF56" s="37"/>
      <c r="BG56" s="37"/>
      <c r="BH56" s="37"/>
      <c r="BI56" s="37"/>
      <c r="BJ56" s="37"/>
      <c r="BK56" s="37"/>
      <c r="BL56" s="37"/>
      <c r="CK56" s="256"/>
      <c r="CL56" s="256"/>
      <c r="CM56" s="256"/>
      <c r="CN56" s="256"/>
      <c r="CO56" s="256"/>
      <c r="CP56" s="256"/>
      <c r="CQ56" s="256"/>
      <c r="CR56" s="256"/>
      <c r="CS56" s="256"/>
      <c r="CT56" s="256"/>
      <c r="CU56" s="256"/>
      <c r="CV56" s="256"/>
      <c r="CW56" s="256"/>
      <c r="CX56" s="256"/>
      <c r="CY56" s="256"/>
    </row>
    <row r="57" spans="1:103" s="255" customFormat="1">
      <c r="A57" s="451" t="s">
        <v>421</v>
      </c>
      <c r="C57" s="261" t="str">
        <f t="shared" si="25"/>
        <v>ALL Non-domestic - Mandate on lighting efficiencyMore Effective</v>
      </c>
      <c r="D57"/>
      <c r="E57" s="452">
        <f>SUM(E52,E54)</f>
        <v>0</v>
      </c>
      <c r="F57" s="453">
        <f t="shared" ref="F57:AN57" si="35">SUM(F52,F54)</f>
        <v>3472.6107683765158</v>
      </c>
      <c r="G57" s="453">
        <f t="shared" si="35"/>
        <v>3472.6107683765158</v>
      </c>
      <c r="H57" s="453">
        <f t="shared" si="35"/>
        <v>3472.6107683765154</v>
      </c>
      <c r="I57" s="453">
        <f t="shared" si="35"/>
        <v>11591.288057345249</v>
      </c>
      <c r="J57" s="453">
        <f t="shared" si="35"/>
        <v>19709.96534631398</v>
      </c>
      <c r="K57" s="453">
        <f t="shared" si="35"/>
        <v>27828.642635282715</v>
      </c>
      <c r="L57" s="453">
        <f t="shared" si="35"/>
        <v>35947.319924251446</v>
      </c>
      <c r="M57" s="453">
        <f t="shared" si="35"/>
        <v>44065.99721322018</v>
      </c>
      <c r="N57" s="453">
        <f t="shared" si="35"/>
        <v>52184.674502188915</v>
      </c>
      <c r="O57" s="453">
        <f t="shared" si="35"/>
        <v>60303.351791157649</v>
      </c>
      <c r="P57" s="453">
        <f t="shared" si="35"/>
        <v>59380.244762667491</v>
      </c>
      <c r="Q57" s="453">
        <f t="shared" si="35"/>
        <v>2549.5037398863597</v>
      </c>
      <c r="R57" s="453">
        <f t="shared" si="35"/>
        <v>2549.5037398863587</v>
      </c>
      <c r="S57" s="453">
        <f t="shared" si="35"/>
        <v>2549.5037398863597</v>
      </c>
      <c r="T57" s="453">
        <f t="shared" si="35"/>
        <v>2549.5037398863597</v>
      </c>
      <c r="U57" s="453">
        <f t="shared" si="35"/>
        <v>2549.5037398863597</v>
      </c>
      <c r="V57" s="453">
        <f t="shared" si="35"/>
        <v>2549.5037398863601</v>
      </c>
      <c r="W57" s="453">
        <f t="shared" si="35"/>
        <v>2549.5037398863601</v>
      </c>
      <c r="X57" s="453">
        <f t="shared" si="35"/>
        <v>2549.5037398863601</v>
      </c>
      <c r="Y57" s="453">
        <f t="shared" si="35"/>
        <v>2549.5037398863601</v>
      </c>
      <c r="Z57" s="453">
        <f t="shared" si="35"/>
        <v>2549.5037398863601</v>
      </c>
      <c r="AA57" s="453">
        <f t="shared" si="35"/>
        <v>2549.5037398863601</v>
      </c>
      <c r="AB57" s="453">
        <f t="shared" si="35"/>
        <v>2549.5037398863601</v>
      </c>
      <c r="AC57" s="453">
        <f t="shared" si="35"/>
        <v>2549.5037398863587</v>
      </c>
      <c r="AD57" s="453">
        <f t="shared" si="35"/>
        <v>2549.5037398863587</v>
      </c>
      <c r="AE57" s="453">
        <f t="shared" si="35"/>
        <v>2549.5037398863587</v>
      </c>
      <c r="AF57" s="453">
        <f t="shared" si="35"/>
        <v>2549.5037398863619</v>
      </c>
      <c r="AG57" s="453">
        <f t="shared" si="35"/>
        <v>2549.5037398863606</v>
      </c>
      <c r="AH57" s="453">
        <f t="shared" si="35"/>
        <v>2549.5037398863606</v>
      </c>
      <c r="AI57" s="453">
        <f t="shared" si="35"/>
        <v>2549.5037398863606</v>
      </c>
      <c r="AJ57" s="453">
        <f t="shared" si="35"/>
        <v>2549.5037398863606</v>
      </c>
      <c r="AK57" s="453">
        <f t="shared" si="35"/>
        <v>2549.5037398863606</v>
      </c>
      <c r="AL57" s="453">
        <f t="shared" si="35"/>
        <v>2549.5037398863606</v>
      </c>
      <c r="AM57" s="453">
        <f t="shared" si="35"/>
        <v>2549.5037398863606</v>
      </c>
      <c r="AN57" s="454">
        <f t="shared" si="35"/>
        <v>2549.5037398863496</v>
      </c>
      <c r="AO57" s="37"/>
      <c r="AP57"/>
      <c r="AQ57" s="37"/>
      <c r="AR57" s="37"/>
      <c r="AS57" s="37"/>
      <c r="AT57" s="37"/>
      <c r="AU57" s="37"/>
      <c r="AV57" s="37"/>
      <c r="AW57" s="37"/>
      <c r="AX57" s="37"/>
      <c r="AY57" s="37"/>
      <c r="AZ57" s="37"/>
      <c r="BA57" s="37"/>
      <c r="BB57" s="37"/>
      <c r="BC57" s="37"/>
      <c r="BD57" s="37"/>
      <c r="BE57" s="37"/>
      <c r="BF57" s="37"/>
      <c r="BG57" s="37"/>
      <c r="BH57" s="37"/>
      <c r="BI57" s="37"/>
      <c r="BJ57" s="37"/>
      <c r="BK57" s="37"/>
      <c r="BL57" s="37"/>
      <c r="CK57" s="256"/>
      <c r="CL57" s="256"/>
      <c r="CM57" s="256"/>
      <c r="CN57" s="256"/>
      <c r="CO57" s="256"/>
      <c r="CP57" s="256"/>
      <c r="CQ57" s="256"/>
      <c r="CR57" s="256"/>
      <c r="CS57" s="256"/>
      <c r="CT57" s="256"/>
      <c r="CU57" s="256"/>
      <c r="CV57" s="256"/>
      <c r="CW57" s="256"/>
      <c r="CX57" s="256"/>
      <c r="CY57" s="256"/>
    </row>
    <row r="58" spans="1:103" s="255" customFormat="1">
      <c r="A58" s="451" t="s">
        <v>422</v>
      </c>
      <c r="C58" s="261" t="str">
        <f t="shared" si="25"/>
        <v>ALL Non-domestic - Mandate on appliance efficiencyMore Effective</v>
      </c>
      <c r="D58"/>
      <c r="E58" s="455">
        <f>SUM(E53,E55)</f>
        <v>0</v>
      </c>
      <c r="F58" s="456">
        <f t="shared" ref="F58:AN58" si="36">SUM(F53,F55)</f>
        <v>3472.6107683765158</v>
      </c>
      <c r="G58" s="456">
        <f t="shared" si="36"/>
        <v>3472.6107683765158</v>
      </c>
      <c r="H58" s="456">
        <f t="shared" si="36"/>
        <v>3472.6107683765154</v>
      </c>
      <c r="I58" s="456">
        <f t="shared" si="36"/>
        <v>5226.6459851290201</v>
      </c>
      <c r="J58" s="456">
        <f t="shared" si="36"/>
        <v>6980.6812018815235</v>
      </c>
      <c r="K58" s="456">
        <f t="shared" si="36"/>
        <v>8734.7164186340269</v>
      </c>
      <c r="L58" s="456">
        <f t="shared" si="36"/>
        <v>10488.751635386532</v>
      </c>
      <c r="M58" s="456">
        <f t="shared" si="36"/>
        <v>12242.786852139034</v>
      </c>
      <c r="N58" s="456">
        <f t="shared" si="36"/>
        <v>13996.822068891539</v>
      </c>
      <c r="O58" s="456">
        <f t="shared" si="36"/>
        <v>15750.857285644042</v>
      </c>
      <c r="P58" s="456">
        <f t="shared" si="36"/>
        <v>16581.785473906391</v>
      </c>
      <c r="Q58" s="456">
        <f t="shared" si="36"/>
        <v>18335.820690658897</v>
      </c>
      <c r="R58" s="456">
        <f t="shared" si="36"/>
        <v>20089.855907411395</v>
      </c>
      <c r="S58" s="456">
        <f t="shared" si="36"/>
        <v>21843.891124163903</v>
      </c>
      <c r="T58" s="456">
        <f t="shared" si="36"/>
        <v>23597.926340916409</v>
      </c>
      <c r="U58" s="456">
        <f t="shared" si="36"/>
        <v>22194.698167514402</v>
      </c>
      <c r="V58" s="456">
        <f t="shared" si="36"/>
        <v>20791.469994112402</v>
      </c>
      <c r="W58" s="456">
        <f t="shared" si="36"/>
        <v>19388.241820710398</v>
      </c>
      <c r="X58" s="456">
        <f t="shared" si="36"/>
        <v>17985.013647308395</v>
      </c>
      <c r="Y58" s="456">
        <f t="shared" si="36"/>
        <v>16581.785473906395</v>
      </c>
      <c r="Z58" s="456">
        <f t="shared" si="36"/>
        <v>15178.55730050439</v>
      </c>
      <c r="AA58" s="456">
        <f t="shared" si="36"/>
        <v>13775.329127102386</v>
      </c>
      <c r="AB58" s="456">
        <f t="shared" si="36"/>
        <v>12372.100953700381</v>
      </c>
      <c r="AC58" s="456">
        <f t="shared" si="36"/>
        <v>10968.872780298378</v>
      </c>
      <c r="AD58" s="456">
        <f t="shared" si="36"/>
        <v>9565.644606896376</v>
      </c>
      <c r="AE58" s="456">
        <f t="shared" si="36"/>
        <v>8162.4164334943716</v>
      </c>
      <c r="AF58" s="456">
        <f t="shared" si="36"/>
        <v>6759.1882600923709</v>
      </c>
      <c r="AG58" s="456">
        <f t="shared" si="36"/>
        <v>5355.9600866903666</v>
      </c>
      <c r="AH58" s="456">
        <f t="shared" si="36"/>
        <v>3952.7319132883626</v>
      </c>
      <c r="AI58" s="456">
        <f t="shared" si="36"/>
        <v>2549.5037398863606</v>
      </c>
      <c r="AJ58" s="456">
        <f t="shared" si="36"/>
        <v>2549.5037398863606</v>
      </c>
      <c r="AK58" s="456">
        <f t="shared" si="36"/>
        <v>2549.5037398863606</v>
      </c>
      <c r="AL58" s="456">
        <f t="shared" si="36"/>
        <v>2549.5037398863606</v>
      </c>
      <c r="AM58" s="456">
        <f t="shared" si="36"/>
        <v>2549.5037398863606</v>
      </c>
      <c r="AN58" s="457">
        <f t="shared" si="36"/>
        <v>2549.5037398863496</v>
      </c>
      <c r="AO58" s="37"/>
      <c r="AP58"/>
      <c r="AQ58" s="37"/>
      <c r="AR58" s="37"/>
      <c r="AS58" s="37"/>
      <c r="AT58" s="37"/>
      <c r="AU58" s="37"/>
      <c r="AV58" s="37"/>
      <c r="AW58" s="37"/>
      <c r="AX58" s="37"/>
      <c r="AY58" s="37"/>
      <c r="AZ58" s="37"/>
      <c r="BA58" s="37"/>
      <c r="BB58" s="37"/>
      <c r="BC58" s="37"/>
      <c r="BD58" s="37"/>
      <c r="BE58" s="37"/>
      <c r="BF58" s="37"/>
      <c r="BG58" s="37"/>
      <c r="BH58" s="37"/>
      <c r="BI58" s="37"/>
      <c r="BJ58" s="37"/>
      <c r="BK58" s="37"/>
      <c r="BL58" s="37"/>
      <c r="CK58" s="256"/>
      <c r="CL58" s="256"/>
      <c r="CM58" s="256"/>
      <c r="CN58" s="256"/>
      <c r="CO58" s="256"/>
      <c r="CP58" s="256"/>
      <c r="CQ58" s="256"/>
      <c r="CR58" s="256"/>
      <c r="CS58" s="256"/>
      <c r="CT58" s="256"/>
      <c r="CU58" s="256"/>
      <c r="CV58" s="256"/>
      <c r="CW58" s="256"/>
      <c r="CX58" s="256"/>
      <c r="CY58" s="256"/>
    </row>
    <row r="59" spans="1:103" s="255" customFormat="1" ht="30">
      <c r="A59" s="451" t="s">
        <v>423</v>
      </c>
      <c r="C59" s="261" t="str">
        <f t="shared" si="25"/>
        <v>All non-domestic - Stronger planning requirement for smart controls More Effective</v>
      </c>
      <c r="D59"/>
      <c r="E59" s="458">
        <f>E56</f>
        <v>0</v>
      </c>
      <c r="F59" s="459">
        <f t="shared" ref="F59:AN59" si="37">F56</f>
        <v>2170.3817302353223</v>
      </c>
      <c r="G59" s="459">
        <f t="shared" si="37"/>
        <v>2170.3817302353223</v>
      </c>
      <c r="H59" s="459">
        <f t="shared" si="37"/>
        <v>2170.3817302353218</v>
      </c>
      <c r="I59" s="459">
        <f t="shared" si="37"/>
        <v>2170.3817302353218</v>
      </c>
      <c r="J59" s="459">
        <f t="shared" si="37"/>
        <v>2170.3817302353218</v>
      </c>
      <c r="K59" s="459">
        <f t="shared" si="37"/>
        <v>2170.3817302353223</v>
      </c>
      <c r="L59" s="459">
        <f t="shared" si="37"/>
        <v>2170.3817302353227</v>
      </c>
      <c r="M59" s="459">
        <f t="shared" si="37"/>
        <v>2170.3817302353218</v>
      </c>
      <c r="N59" s="459">
        <f t="shared" si="37"/>
        <v>2170.3817302353218</v>
      </c>
      <c r="O59" s="459">
        <f t="shared" si="37"/>
        <v>2170.3817302353218</v>
      </c>
      <c r="P59" s="459">
        <f t="shared" si="37"/>
        <v>1593.4398374289747</v>
      </c>
      <c r="Q59" s="459">
        <f t="shared" si="37"/>
        <v>1593.4398374289747</v>
      </c>
      <c r="R59" s="459">
        <f t="shared" si="37"/>
        <v>1593.439837428974</v>
      </c>
      <c r="S59" s="459">
        <f t="shared" si="37"/>
        <v>1593.4398374289749</v>
      </c>
      <c r="T59" s="459">
        <f t="shared" si="37"/>
        <v>1593.4398374289749</v>
      </c>
      <c r="U59" s="459">
        <f t="shared" si="37"/>
        <v>1593.4398374289749</v>
      </c>
      <c r="V59" s="459">
        <f t="shared" si="37"/>
        <v>1593.4398374289749</v>
      </c>
      <c r="W59" s="459">
        <f t="shared" si="37"/>
        <v>1593.4398374289749</v>
      </c>
      <c r="X59" s="459">
        <f t="shared" si="37"/>
        <v>1593.4398374289749</v>
      </c>
      <c r="Y59" s="459">
        <f t="shared" si="37"/>
        <v>1593.4398374289749</v>
      </c>
      <c r="Z59" s="459">
        <f t="shared" si="37"/>
        <v>1593.4398374289749</v>
      </c>
      <c r="AA59" s="459">
        <f t="shared" si="37"/>
        <v>1593.4398374289749</v>
      </c>
      <c r="AB59" s="459">
        <f t="shared" si="37"/>
        <v>1593.4398374289749</v>
      </c>
      <c r="AC59" s="459">
        <f t="shared" si="37"/>
        <v>1593.439837428974</v>
      </c>
      <c r="AD59" s="459">
        <f t="shared" si="37"/>
        <v>1593.439837428974</v>
      </c>
      <c r="AE59" s="459">
        <f t="shared" si="37"/>
        <v>1593.439837428974</v>
      </c>
      <c r="AF59" s="459">
        <f t="shared" si="37"/>
        <v>1593.439837428976</v>
      </c>
      <c r="AG59" s="459">
        <f t="shared" si="37"/>
        <v>1593.4398374289749</v>
      </c>
      <c r="AH59" s="459">
        <f t="shared" si="37"/>
        <v>1593.4398374289749</v>
      </c>
      <c r="AI59" s="459">
        <f t="shared" si="37"/>
        <v>1593.4398374289749</v>
      </c>
      <c r="AJ59" s="459">
        <f t="shared" si="37"/>
        <v>1593.4398374289749</v>
      </c>
      <c r="AK59" s="459">
        <f t="shared" si="37"/>
        <v>1593.4398374289749</v>
      </c>
      <c r="AL59" s="459">
        <f t="shared" si="37"/>
        <v>1593.4398374289749</v>
      </c>
      <c r="AM59" s="459">
        <f t="shared" si="37"/>
        <v>1593.4398374289749</v>
      </c>
      <c r="AN59" s="460">
        <f t="shared" si="37"/>
        <v>1593.4398374289683</v>
      </c>
      <c r="AO59" s="37"/>
      <c r="AP59"/>
      <c r="AQ59" s="37"/>
      <c r="AR59" s="37"/>
      <c r="AS59" s="37"/>
      <c r="AT59" s="37"/>
      <c r="AU59" s="37"/>
      <c r="AV59" s="37"/>
      <c r="AW59" s="37"/>
      <c r="AX59" s="37"/>
      <c r="AY59" s="37"/>
      <c r="AZ59" s="37"/>
      <c r="BA59" s="37"/>
      <c r="BB59" s="37"/>
      <c r="BC59" s="37"/>
      <c r="BD59" s="37"/>
      <c r="BE59" s="37"/>
      <c r="BF59" s="37"/>
      <c r="BG59" s="37"/>
      <c r="BH59" s="37"/>
      <c r="BI59" s="37"/>
      <c r="BJ59" s="37"/>
      <c r="BK59" s="37"/>
      <c r="BL59" s="37"/>
      <c r="CK59" s="256"/>
      <c r="CL59" s="256"/>
      <c r="CM59" s="256"/>
      <c r="CN59" s="256"/>
      <c r="CO59" s="256"/>
      <c r="CP59" s="256"/>
      <c r="CQ59" s="256"/>
      <c r="CR59" s="256"/>
      <c r="CS59" s="256"/>
      <c r="CT59" s="256"/>
      <c r="CU59" s="256"/>
      <c r="CV59" s="256"/>
      <c r="CW59" s="256"/>
      <c r="CX59" s="256"/>
      <c r="CY59" s="256"/>
    </row>
    <row r="60" spans="1:103" s="255" customFormat="1">
      <c r="A60" s="382" t="s">
        <v>424</v>
      </c>
      <c r="B60" t="s">
        <v>425</v>
      </c>
      <c r="C60" s="261" t="str">
        <f>A60&amp;B60&amp;$B$72</f>
        <v>Extended Mayoral ProgramsDomestic CAPEXMore Effective</v>
      </c>
      <c r="D60"/>
      <c r="E60" s="429">
        <f t="shared" ref="E60:N69" si="38">INDEX(E$96:E$794,MATCH($C60,$D$96:$D$794,0))</f>
        <v>0</v>
      </c>
      <c r="F60" s="429">
        <f t="shared" si="38"/>
        <v>0</v>
      </c>
      <c r="G60" s="429">
        <f t="shared" si="38"/>
        <v>0</v>
      </c>
      <c r="H60" s="429">
        <f t="shared" si="38"/>
        <v>0</v>
      </c>
      <c r="I60" s="429">
        <f t="shared" si="38"/>
        <v>0</v>
      </c>
      <c r="J60" s="429">
        <f t="shared" si="38"/>
        <v>0</v>
      </c>
      <c r="K60" s="429">
        <f t="shared" si="38"/>
        <v>0</v>
      </c>
      <c r="L60" s="429">
        <f t="shared" si="38"/>
        <v>0</v>
      </c>
      <c r="M60" s="429">
        <f t="shared" si="38"/>
        <v>0</v>
      </c>
      <c r="N60" s="429">
        <f t="shared" si="38"/>
        <v>0</v>
      </c>
      <c r="O60" s="429">
        <f t="shared" ref="O60:X69" si="39">INDEX(O$96:O$794,MATCH($C60,$D$96:$D$794,0))</f>
        <v>26165821.855719127</v>
      </c>
      <c r="P60" s="429">
        <f t="shared" si="39"/>
        <v>51383905.282018512</v>
      </c>
      <c r="Q60" s="429">
        <f t="shared" si="39"/>
        <v>75654250.27889815</v>
      </c>
      <c r="R60" s="429">
        <f t="shared" si="39"/>
        <v>98976856.846358016</v>
      </c>
      <c r="S60" s="429">
        <f t="shared" si="39"/>
        <v>121351724.98439814</v>
      </c>
      <c r="T60" s="429">
        <f t="shared" si="39"/>
        <v>142778854.69301856</v>
      </c>
      <c r="U60" s="429">
        <f t="shared" si="39"/>
        <v>166575330.47518831</v>
      </c>
      <c r="V60" s="429">
        <f t="shared" si="39"/>
        <v>190371806.25735801</v>
      </c>
      <c r="W60" s="429">
        <f t="shared" si="39"/>
        <v>214168282.03952783</v>
      </c>
      <c r="X60" s="429">
        <f t="shared" si="39"/>
        <v>237964757.82169759</v>
      </c>
      <c r="Y60" s="429">
        <f t="shared" ref="Y60:AH69" si="40">INDEX(Y$96:Y$794,MATCH($C60,$D$96:$D$794,0))</f>
        <v>237964757.82169759</v>
      </c>
      <c r="Z60" s="429">
        <f t="shared" si="40"/>
        <v>237964757.82169759</v>
      </c>
      <c r="AA60" s="429">
        <f t="shared" si="40"/>
        <v>237964757.82169759</v>
      </c>
      <c r="AB60" s="429">
        <f t="shared" si="40"/>
        <v>0</v>
      </c>
      <c r="AC60" s="429">
        <f t="shared" si="40"/>
        <v>0</v>
      </c>
      <c r="AD60" s="429">
        <f t="shared" si="40"/>
        <v>0</v>
      </c>
      <c r="AE60" s="429">
        <f t="shared" si="40"/>
        <v>0</v>
      </c>
      <c r="AF60" s="429">
        <f t="shared" si="40"/>
        <v>0</v>
      </c>
      <c r="AG60" s="429">
        <f t="shared" si="40"/>
        <v>0</v>
      </c>
      <c r="AH60" s="429">
        <f t="shared" si="40"/>
        <v>0</v>
      </c>
      <c r="AI60" s="429">
        <f t="shared" ref="AI60:AN69" si="41">INDEX(AI$96:AI$794,MATCH($C60,$D$96:$D$794,0))</f>
        <v>0</v>
      </c>
      <c r="AJ60" s="429">
        <f t="shared" si="41"/>
        <v>0</v>
      </c>
      <c r="AK60" s="429">
        <f t="shared" si="41"/>
        <v>0</v>
      </c>
      <c r="AL60" s="429">
        <f t="shared" si="41"/>
        <v>0</v>
      </c>
      <c r="AM60" s="429">
        <f t="shared" si="41"/>
        <v>0</v>
      </c>
      <c r="AN60" s="429">
        <f t="shared" si="41"/>
        <v>0</v>
      </c>
      <c r="AO60" s="37"/>
      <c r="AP60"/>
      <c r="AQ60" s="37"/>
      <c r="AR60" s="37"/>
      <c r="AS60" s="37"/>
      <c r="AT60" s="37"/>
      <c r="AU60" s="37"/>
      <c r="AV60" s="37"/>
      <c r="AW60" s="37"/>
      <c r="AX60" s="37"/>
      <c r="AY60" s="37"/>
      <c r="AZ60" s="37"/>
      <c r="BA60" s="37"/>
      <c r="BB60" s="37"/>
      <c r="BC60" s="37"/>
      <c r="BD60" s="37"/>
      <c r="BE60" s="37"/>
      <c r="BF60" s="37"/>
      <c r="BG60" s="37"/>
      <c r="BH60" s="37"/>
      <c r="BI60" s="37"/>
      <c r="BJ60" s="37"/>
      <c r="BK60" s="37"/>
      <c r="BL60" s="37"/>
      <c r="CK60" s="256"/>
      <c r="CL60" s="256"/>
      <c r="CM60" s="256"/>
      <c r="CN60" s="256"/>
      <c r="CO60" s="256"/>
      <c r="CP60" s="256"/>
      <c r="CQ60" s="256"/>
      <c r="CR60" s="256"/>
      <c r="CS60" s="256"/>
      <c r="CT60" s="256"/>
      <c r="CU60" s="256"/>
      <c r="CV60" s="256"/>
      <c r="CW60" s="256"/>
      <c r="CX60" s="256"/>
      <c r="CY60" s="256"/>
    </row>
    <row r="61" spans="1:103">
      <c r="A61" s="382" t="s">
        <v>426</v>
      </c>
      <c r="B61" t="s">
        <v>425</v>
      </c>
      <c r="C61" s="261" t="str">
        <f>A61&amp;B61&amp;$B$72</f>
        <v>MEESDomestic CAPEXMore Effective</v>
      </c>
      <c r="E61" s="429">
        <f t="shared" si="38"/>
        <v>0</v>
      </c>
      <c r="F61" s="429">
        <f t="shared" si="38"/>
        <v>0</v>
      </c>
      <c r="G61" s="429">
        <f t="shared" si="38"/>
        <v>0</v>
      </c>
      <c r="H61" s="429">
        <f t="shared" si="38"/>
        <v>0</v>
      </c>
      <c r="I61" s="429">
        <f t="shared" si="38"/>
        <v>58994597.214101344</v>
      </c>
      <c r="J61" s="429">
        <f t="shared" si="38"/>
        <v>116061814.12149197</v>
      </c>
      <c r="K61" s="429">
        <f t="shared" si="38"/>
        <v>315052224.43348229</v>
      </c>
      <c r="L61" s="429">
        <f t="shared" si="38"/>
        <v>507256865.01826251</v>
      </c>
      <c r="M61" s="429">
        <f t="shared" si="38"/>
        <v>692675735.87583232</v>
      </c>
      <c r="N61" s="429">
        <f t="shared" si="38"/>
        <v>871308837.00619245</v>
      </c>
      <c r="O61" s="429">
        <f t="shared" si="39"/>
        <v>1043156168.4093418</v>
      </c>
      <c r="P61" s="429">
        <f t="shared" si="39"/>
        <v>1208217730.0852814</v>
      </c>
      <c r="Q61" s="429">
        <f t="shared" si="39"/>
        <v>1366493522.0340109</v>
      </c>
      <c r="R61" s="429">
        <f t="shared" si="39"/>
        <v>1517983544.2555299</v>
      </c>
      <c r="S61" s="429">
        <f t="shared" si="39"/>
        <v>1662687796.7498388</v>
      </c>
      <c r="T61" s="429">
        <f t="shared" si="39"/>
        <v>1630224452.6706824</v>
      </c>
      <c r="U61" s="429">
        <f t="shared" si="39"/>
        <v>1114754713.6726727</v>
      </c>
      <c r="V61" s="429">
        <f t="shared" si="39"/>
        <v>936572777.88428593</v>
      </c>
      <c r="W61" s="429">
        <f t="shared" si="39"/>
        <v>758390842.09589899</v>
      </c>
      <c r="X61" s="429">
        <f t="shared" si="39"/>
        <v>580208906.30751216</v>
      </c>
      <c r="Y61" s="429">
        <f t="shared" si="40"/>
        <v>-7.4092895374633383E-9</v>
      </c>
      <c r="Z61" s="429">
        <f t="shared" si="40"/>
        <v>0</v>
      </c>
      <c r="AA61" s="429">
        <f t="shared" si="40"/>
        <v>0</v>
      </c>
      <c r="AB61" s="429">
        <f t="shared" si="40"/>
        <v>0</v>
      </c>
      <c r="AC61" s="429">
        <f t="shared" si="40"/>
        <v>0</v>
      </c>
      <c r="AD61" s="429">
        <f t="shared" si="40"/>
        <v>0</v>
      </c>
      <c r="AE61" s="429">
        <f t="shared" si="40"/>
        <v>0</v>
      </c>
      <c r="AF61" s="429">
        <f t="shared" si="40"/>
        <v>0</v>
      </c>
      <c r="AG61" s="429">
        <f t="shared" si="40"/>
        <v>0</v>
      </c>
      <c r="AH61" s="429">
        <f t="shared" si="40"/>
        <v>0</v>
      </c>
      <c r="AI61" s="429">
        <f t="shared" si="41"/>
        <v>0</v>
      </c>
      <c r="AJ61" s="429">
        <f t="shared" si="41"/>
        <v>0</v>
      </c>
      <c r="AK61" s="429">
        <f t="shared" si="41"/>
        <v>0</v>
      </c>
      <c r="AL61" s="429">
        <f t="shared" si="41"/>
        <v>0</v>
      </c>
      <c r="AM61" s="429">
        <f t="shared" si="41"/>
        <v>0</v>
      </c>
      <c r="AN61" s="429">
        <f t="shared" si="41"/>
        <v>0</v>
      </c>
    </row>
    <row r="62" spans="1:103">
      <c r="A62" s="382" t="s">
        <v>427</v>
      </c>
      <c r="B62" t="s">
        <v>425</v>
      </c>
      <c r="C62" s="261" t="str">
        <f t="shared" ref="C62:C69" si="42">A62&amp;B62&amp;$B$72</f>
        <v>Tax mechanismsDomestic CAPEXMore Effective</v>
      </c>
      <c r="E62" s="429">
        <f t="shared" si="38"/>
        <v>0</v>
      </c>
      <c r="F62" s="429">
        <f t="shared" si="38"/>
        <v>0</v>
      </c>
      <c r="G62" s="429">
        <f t="shared" si="38"/>
        <v>0</v>
      </c>
      <c r="H62" s="429">
        <f t="shared" si="38"/>
        <v>0</v>
      </c>
      <c r="I62" s="429">
        <f t="shared" si="38"/>
        <v>0</v>
      </c>
      <c r="J62" s="429">
        <f t="shared" si="38"/>
        <v>0</v>
      </c>
      <c r="K62" s="429">
        <f t="shared" si="38"/>
        <v>0</v>
      </c>
      <c r="L62" s="429">
        <f t="shared" si="38"/>
        <v>0</v>
      </c>
      <c r="M62" s="429">
        <f t="shared" si="38"/>
        <v>874715639.10671222</v>
      </c>
      <c r="N62" s="429">
        <f t="shared" si="38"/>
        <v>859428055.74846447</v>
      </c>
      <c r="O62" s="429">
        <f t="shared" si="39"/>
        <v>1097382614.1072812</v>
      </c>
      <c r="P62" s="429">
        <f t="shared" si="39"/>
        <v>1077508755.741559</v>
      </c>
      <c r="Q62" s="429">
        <f t="shared" si="39"/>
        <v>1057634897.3758366</v>
      </c>
      <c r="R62" s="429">
        <f t="shared" si="39"/>
        <v>239483316.69464165</v>
      </c>
      <c r="S62" s="429">
        <f t="shared" si="39"/>
        <v>234897041.68716726</v>
      </c>
      <c r="T62" s="429">
        <f t="shared" si="39"/>
        <v>230310766.67969292</v>
      </c>
      <c r="U62" s="429">
        <f t="shared" si="39"/>
        <v>230310766.67969292</v>
      </c>
      <c r="V62" s="429">
        <f t="shared" si="39"/>
        <v>230310766.67969292</v>
      </c>
      <c r="W62" s="429">
        <f t="shared" si="39"/>
        <v>230310766.67969292</v>
      </c>
      <c r="X62" s="429">
        <f t="shared" si="39"/>
        <v>230310766.67969292</v>
      </c>
      <c r="Y62" s="429">
        <f t="shared" si="40"/>
        <v>230310766.67969292</v>
      </c>
      <c r="Z62" s="429">
        <f t="shared" si="40"/>
        <v>0</v>
      </c>
      <c r="AA62" s="429">
        <f t="shared" si="40"/>
        <v>0</v>
      </c>
      <c r="AB62" s="429">
        <f t="shared" si="40"/>
        <v>0</v>
      </c>
      <c r="AC62" s="429">
        <f t="shared" si="40"/>
        <v>0</v>
      </c>
      <c r="AD62" s="429">
        <f t="shared" si="40"/>
        <v>0</v>
      </c>
      <c r="AE62" s="429">
        <f t="shared" si="40"/>
        <v>0</v>
      </c>
      <c r="AF62" s="429">
        <f t="shared" si="40"/>
        <v>0</v>
      </c>
      <c r="AG62" s="429">
        <f t="shared" si="40"/>
        <v>0</v>
      </c>
      <c r="AH62" s="429">
        <f t="shared" si="40"/>
        <v>0</v>
      </c>
      <c r="AI62" s="429">
        <f t="shared" si="41"/>
        <v>0</v>
      </c>
      <c r="AJ62" s="429">
        <f t="shared" si="41"/>
        <v>0</v>
      </c>
      <c r="AK62" s="429">
        <f t="shared" si="41"/>
        <v>0</v>
      </c>
      <c r="AL62" s="429">
        <f t="shared" si="41"/>
        <v>0</v>
      </c>
      <c r="AM62" s="429">
        <f t="shared" si="41"/>
        <v>0</v>
      </c>
      <c r="AN62" s="429">
        <f t="shared" si="41"/>
        <v>0</v>
      </c>
    </row>
    <row r="63" spans="1:103">
      <c r="A63" s="382" t="s">
        <v>428</v>
      </c>
      <c r="B63" t="s">
        <v>425</v>
      </c>
      <c r="C63" s="261" t="str">
        <f t="shared" si="42"/>
        <v>Planning requirementsDomestic CAPEXMore Effective</v>
      </c>
      <c r="E63" s="429">
        <f t="shared" si="38"/>
        <v>0</v>
      </c>
      <c r="F63" s="429">
        <f>INDEX(F$96:F$794,MATCH($C63,$D$96:$D$794,0))</f>
        <v>42325208.821868561</v>
      </c>
      <c r="G63" s="429">
        <f t="shared" si="38"/>
        <v>41666116.199727073</v>
      </c>
      <c r="H63" s="429">
        <f t="shared" si="38"/>
        <v>41007023.577585578</v>
      </c>
      <c r="I63" s="429">
        <f t="shared" si="38"/>
        <v>40347930.955444098</v>
      </c>
      <c r="J63" s="429">
        <f t="shared" si="38"/>
        <v>110081747.95046915</v>
      </c>
      <c r="K63" s="429">
        <f t="shared" si="38"/>
        <v>102255683.39065857</v>
      </c>
      <c r="L63" s="429">
        <f t="shared" si="38"/>
        <v>100528898.72253439</v>
      </c>
      <c r="M63" s="429">
        <f t="shared" si="38"/>
        <v>98802114.054410189</v>
      </c>
      <c r="N63" s="429">
        <f t="shared" si="38"/>
        <v>97075329.38628602</v>
      </c>
      <c r="O63" s="429">
        <f t="shared" si="39"/>
        <v>95348544.71816209</v>
      </c>
      <c r="P63" s="429">
        <f t="shared" si="39"/>
        <v>87862128.442274719</v>
      </c>
      <c r="Q63" s="429">
        <f t="shared" si="39"/>
        <v>86241575.952962503</v>
      </c>
      <c r="R63" s="429">
        <f t="shared" si="39"/>
        <v>23579951.658439349</v>
      </c>
      <c r="S63" s="429">
        <f t="shared" si="39"/>
        <v>23128378.895621609</v>
      </c>
      <c r="T63" s="429">
        <f t="shared" si="39"/>
        <v>22676806.132803854</v>
      </c>
      <c r="U63" s="429">
        <f t="shared" si="39"/>
        <v>10453732.422347844</v>
      </c>
      <c r="V63" s="429">
        <f t="shared" si="39"/>
        <v>10453732.422347793</v>
      </c>
      <c r="W63" s="429">
        <f t="shared" si="39"/>
        <v>10453732.422347793</v>
      </c>
      <c r="X63" s="429">
        <f t="shared" si="39"/>
        <v>10453732.422347793</v>
      </c>
      <c r="Y63" s="429">
        <f t="shared" si="40"/>
        <v>10453732.422347793</v>
      </c>
      <c r="Z63" s="429">
        <f t="shared" si="40"/>
        <v>10453732.422347793</v>
      </c>
      <c r="AA63" s="429">
        <f t="shared" si="40"/>
        <v>10453732.422347793</v>
      </c>
      <c r="AB63" s="429">
        <f t="shared" si="40"/>
        <v>10453732.422347793</v>
      </c>
      <c r="AC63" s="429">
        <f t="shared" si="40"/>
        <v>10453732.422347793</v>
      </c>
      <c r="AD63" s="429">
        <f t="shared" si="40"/>
        <v>10453732.422348699</v>
      </c>
      <c r="AE63" s="429">
        <f t="shared" si="40"/>
        <v>10453732.422347985</v>
      </c>
      <c r="AF63" s="429">
        <f t="shared" si="40"/>
        <v>10453732.422348082</v>
      </c>
      <c r="AG63" s="429">
        <f t="shared" si="40"/>
        <v>10453732.422348082</v>
      </c>
      <c r="AH63" s="429">
        <f t="shared" si="40"/>
        <v>10453732.422348082</v>
      </c>
      <c r="AI63" s="429">
        <f t="shared" si="41"/>
        <v>10453732.422348082</v>
      </c>
      <c r="AJ63" s="429">
        <f t="shared" si="41"/>
        <v>10453732.422348082</v>
      </c>
      <c r="AK63" s="429">
        <f t="shared" si="41"/>
        <v>10453732.422348082</v>
      </c>
      <c r="AL63" s="429">
        <f t="shared" si="41"/>
        <v>10453732.422348082</v>
      </c>
      <c r="AM63" s="429">
        <f t="shared" si="41"/>
        <v>10453732.422348082</v>
      </c>
      <c r="AN63" s="429">
        <f t="shared" si="41"/>
        <v>10453732.422347119</v>
      </c>
    </row>
    <row r="64" spans="1:103">
      <c r="A64" s="382" t="s">
        <v>429</v>
      </c>
      <c r="B64" t="s">
        <v>425</v>
      </c>
      <c r="C64" s="261" t="str">
        <f t="shared" si="42"/>
        <v>Lighting efficiencyDomestic CAPEXMore Effective</v>
      </c>
      <c r="E64" s="430">
        <f t="shared" si="38"/>
        <v>0</v>
      </c>
      <c r="F64" s="431">
        <f t="shared" si="38"/>
        <v>6935973.9122759365</v>
      </c>
      <c r="G64" s="431">
        <f t="shared" si="38"/>
        <v>6827966.193939887</v>
      </c>
      <c r="H64" s="431">
        <f t="shared" si="38"/>
        <v>6719958.4756038357</v>
      </c>
      <c r="I64" s="431">
        <f t="shared" si="38"/>
        <v>14295679.265610643</v>
      </c>
      <c r="J64" s="431">
        <f t="shared" si="38"/>
        <v>21620369.152646001</v>
      </c>
      <c r="K64" s="431">
        <f t="shared" si="38"/>
        <v>27711117.038082451</v>
      </c>
      <c r="L64" s="431">
        <f t="shared" si="38"/>
        <v>34550343.471060753</v>
      </c>
      <c r="M64" s="431">
        <f t="shared" si="38"/>
        <v>41138539.001067623</v>
      </c>
      <c r="N64" s="431">
        <f t="shared" si="38"/>
        <v>47475703.628103063</v>
      </c>
      <c r="O64" s="430">
        <f t="shared" si="39"/>
        <v>53561837.352167122</v>
      </c>
      <c r="P64" s="431">
        <f t="shared" si="39"/>
        <v>51647969.678141102</v>
      </c>
      <c r="Q64" s="431">
        <f t="shared" si="39"/>
        <v>3938126.4994950267</v>
      </c>
      <c r="R64" s="431">
        <f t="shared" si="39"/>
        <v>3864125.7564489595</v>
      </c>
      <c r="S64" s="431">
        <f t="shared" si="39"/>
        <v>3790125.0134028923</v>
      </c>
      <c r="T64" s="431">
        <f t="shared" si="39"/>
        <v>3716124.2703568228</v>
      </c>
      <c r="U64" s="431">
        <f t="shared" si="39"/>
        <v>1713088.1898887407</v>
      </c>
      <c r="V64" s="431">
        <f t="shared" si="39"/>
        <v>1713088.1898887325</v>
      </c>
      <c r="W64" s="431">
        <f t="shared" si="39"/>
        <v>1713088.1898887325</v>
      </c>
      <c r="X64" s="431">
        <f t="shared" si="39"/>
        <v>1713088.1898887325</v>
      </c>
      <c r="Y64" s="431">
        <f t="shared" si="40"/>
        <v>1713088.1898887325</v>
      </c>
      <c r="Z64" s="431">
        <f t="shared" si="40"/>
        <v>1713088.1898887325</v>
      </c>
      <c r="AA64" s="431">
        <f t="shared" si="40"/>
        <v>1713088.1898887325</v>
      </c>
      <c r="AB64" s="431">
        <f t="shared" si="40"/>
        <v>1713088.1898887325</v>
      </c>
      <c r="AC64" s="431">
        <f t="shared" si="40"/>
        <v>1713088.1898887325</v>
      </c>
      <c r="AD64" s="431">
        <f t="shared" si="40"/>
        <v>1713088.1898888813</v>
      </c>
      <c r="AE64" s="431">
        <f t="shared" si="40"/>
        <v>1713088.1898887637</v>
      </c>
      <c r="AF64" s="431">
        <f t="shared" si="40"/>
        <v>1713088.18988878</v>
      </c>
      <c r="AG64" s="431">
        <f t="shared" si="40"/>
        <v>1713088.18988878</v>
      </c>
      <c r="AH64" s="431">
        <f t="shared" si="40"/>
        <v>1713088.18988878</v>
      </c>
      <c r="AI64" s="431">
        <f t="shared" si="41"/>
        <v>1713088.18988878</v>
      </c>
      <c r="AJ64" s="431">
        <f t="shared" si="41"/>
        <v>1713088.18988878</v>
      </c>
      <c r="AK64" s="431">
        <f t="shared" si="41"/>
        <v>1713088.18988878</v>
      </c>
      <c r="AL64" s="431">
        <f t="shared" si="41"/>
        <v>1713088.18988878</v>
      </c>
      <c r="AM64" s="431">
        <f t="shared" si="41"/>
        <v>1713088.18988878</v>
      </c>
      <c r="AN64" s="430">
        <f t="shared" si="41"/>
        <v>1713088.1898886203</v>
      </c>
    </row>
    <row r="65" spans="1:88">
      <c r="A65" s="382" t="s">
        <v>424</v>
      </c>
      <c r="B65" t="s">
        <v>430</v>
      </c>
      <c r="C65" s="261" t="str">
        <f t="shared" si="42"/>
        <v>Extended Mayoral ProgramsNon-domestic CAPEXMore Effective</v>
      </c>
      <c r="E65" s="430">
        <f t="shared" si="38"/>
        <v>0</v>
      </c>
      <c r="F65" s="431">
        <f t="shared" si="38"/>
        <v>0</v>
      </c>
      <c r="G65" s="431">
        <f t="shared" si="38"/>
        <v>0</v>
      </c>
      <c r="H65" s="431">
        <f t="shared" si="38"/>
        <v>0</v>
      </c>
      <c r="I65" s="431">
        <f t="shared" si="38"/>
        <v>0</v>
      </c>
      <c r="J65" s="431">
        <f t="shared" si="38"/>
        <v>0</v>
      </c>
      <c r="K65" s="431">
        <f t="shared" si="38"/>
        <v>0</v>
      </c>
      <c r="L65" s="431">
        <f t="shared" si="38"/>
        <v>0</v>
      </c>
      <c r="M65" s="431">
        <f t="shared" si="38"/>
        <v>0</v>
      </c>
      <c r="N65" s="431">
        <f t="shared" si="38"/>
        <v>0</v>
      </c>
      <c r="O65" s="430">
        <f t="shared" si="39"/>
        <v>0</v>
      </c>
      <c r="P65" s="431">
        <f t="shared" si="39"/>
        <v>0</v>
      </c>
      <c r="Q65" s="431">
        <f t="shared" si="39"/>
        <v>0</v>
      </c>
      <c r="R65" s="431">
        <f t="shared" si="39"/>
        <v>0</v>
      </c>
      <c r="S65" s="431">
        <f t="shared" si="39"/>
        <v>0</v>
      </c>
      <c r="T65" s="431">
        <f t="shared" si="39"/>
        <v>0</v>
      </c>
      <c r="U65" s="431">
        <f t="shared" si="39"/>
        <v>0</v>
      </c>
      <c r="V65" s="431">
        <f t="shared" si="39"/>
        <v>0</v>
      </c>
      <c r="W65" s="431">
        <f t="shared" si="39"/>
        <v>0</v>
      </c>
      <c r="X65" s="431">
        <f t="shared" si="39"/>
        <v>0</v>
      </c>
      <c r="Y65" s="431">
        <f t="shared" si="40"/>
        <v>0</v>
      </c>
      <c r="Z65" s="431">
        <f t="shared" si="40"/>
        <v>0</v>
      </c>
      <c r="AA65" s="431">
        <f t="shared" si="40"/>
        <v>0</v>
      </c>
      <c r="AB65" s="431">
        <f t="shared" si="40"/>
        <v>0</v>
      </c>
      <c r="AC65" s="431">
        <f t="shared" si="40"/>
        <v>0</v>
      </c>
      <c r="AD65" s="431">
        <f t="shared" si="40"/>
        <v>0</v>
      </c>
      <c r="AE65" s="431">
        <f t="shared" si="40"/>
        <v>0</v>
      </c>
      <c r="AF65" s="431">
        <f t="shared" si="40"/>
        <v>0</v>
      </c>
      <c r="AG65" s="431">
        <f t="shared" si="40"/>
        <v>0</v>
      </c>
      <c r="AH65" s="431">
        <f t="shared" si="40"/>
        <v>0</v>
      </c>
      <c r="AI65" s="431">
        <f t="shared" si="41"/>
        <v>0</v>
      </c>
      <c r="AJ65" s="431">
        <f t="shared" si="41"/>
        <v>0</v>
      </c>
      <c r="AK65" s="431">
        <f t="shared" si="41"/>
        <v>0</v>
      </c>
      <c r="AL65" s="431">
        <f t="shared" si="41"/>
        <v>0</v>
      </c>
      <c r="AM65" s="431">
        <f t="shared" si="41"/>
        <v>0</v>
      </c>
      <c r="AN65" s="430">
        <f t="shared" si="41"/>
        <v>0</v>
      </c>
    </row>
    <row r="66" spans="1:88">
      <c r="A66" s="382" t="s">
        <v>426</v>
      </c>
      <c r="B66" t="s">
        <v>430</v>
      </c>
      <c r="C66" s="261" t="str">
        <f t="shared" si="42"/>
        <v>MEESNon-domestic CAPEXMore Effective</v>
      </c>
      <c r="E66" s="430">
        <f t="shared" si="38"/>
        <v>0</v>
      </c>
      <c r="F66" s="431">
        <f t="shared" si="38"/>
        <v>0</v>
      </c>
      <c r="G66" s="431">
        <f t="shared" si="38"/>
        <v>0</v>
      </c>
      <c r="H66" s="431">
        <f t="shared" si="38"/>
        <v>0</v>
      </c>
      <c r="I66" s="431">
        <f t="shared" si="38"/>
        <v>20541208.363000378</v>
      </c>
      <c r="J66" s="431">
        <f t="shared" si="38"/>
        <v>40411326.11186865</v>
      </c>
      <c r="K66" s="431">
        <f t="shared" si="38"/>
        <v>64265458.534231178</v>
      </c>
      <c r="L66" s="431">
        <f t="shared" si="38"/>
        <v>87291279.459032208</v>
      </c>
      <c r="M66" s="431">
        <f t="shared" si="38"/>
        <v>109488788.88627174</v>
      </c>
      <c r="N66" s="431">
        <f t="shared" si="38"/>
        <v>130857986.8159498</v>
      </c>
      <c r="O66" s="430">
        <f t="shared" si="39"/>
        <v>151398873.24806631</v>
      </c>
      <c r="P66" s="431">
        <f t="shared" si="39"/>
        <v>178058163.19594011</v>
      </c>
      <c r="Q66" s="431">
        <f t="shared" si="39"/>
        <v>203632887.5238685</v>
      </c>
      <c r="R66" s="431">
        <f t="shared" si="39"/>
        <v>228123046.23185155</v>
      </c>
      <c r="S66" s="431">
        <f t="shared" si="39"/>
        <v>251528639.31988931</v>
      </c>
      <c r="T66" s="431">
        <f t="shared" si="39"/>
        <v>246617638.72196281</v>
      </c>
      <c r="U66" s="431">
        <f t="shared" si="39"/>
        <v>215921644.38063002</v>
      </c>
      <c r="V66" s="431">
        <f t="shared" si="39"/>
        <v>185225650.03929728</v>
      </c>
      <c r="W66" s="431">
        <f t="shared" si="39"/>
        <v>154529655.69796449</v>
      </c>
      <c r="X66" s="431">
        <f t="shared" si="39"/>
        <v>123833661.35663176</v>
      </c>
      <c r="Y66" s="431">
        <f t="shared" si="40"/>
        <v>0</v>
      </c>
      <c r="Z66" s="431">
        <f t="shared" si="40"/>
        <v>0</v>
      </c>
      <c r="AA66" s="431">
        <f t="shared" si="40"/>
        <v>0</v>
      </c>
      <c r="AB66" s="431">
        <f t="shared" si="40"/>
        <v>0</v>
      </c>
      <c r="AC66" s="431">
        <f t="shared" si="40"/>
        <v>0</v>
      </c>
      <c r="AD66" s="431">
        <f t="shared" si="40"/>
        <v>0</v>
      </c>
      <c r="AE66" s="431">
        <f t="shared" si="40"/>
        <v>0</v>
      </c>
      <c r="AF66" s="431">
        <f t="shared" si="40"/>
        <v>0</v>
      </c>
      <c r="AG66" s="431">
        <f t="shared" si="40"/>
        <v>0</v>
      </c>
      <c r="AH66" s="431">
        <f t="shared" si="40"/>
        <v>0</v>
      </c>
      <c r="AI66" s="431">
        <f t="shared" si="41"/>
        <v>0</v>
      </c>
      <c r="AJ66" s="431">
        <f t="shared" si="41"/>
        <v>0</v>
      </c>
      <c r="AK66" s="431">
        <f t="shared" si="41"/>
        <v>0</v>
      </c>
      <c r="AL66" s="431">
        <f t="shared" si="41"/>
        <v>0</v>
      </c>
      <c r="AM66" s="431">
        <f t="shared" si="41"/>
        <v>0</v>
      </c>
      <c r="AN66" s="430">
        <f t="shared" si="41"/>
        <v>0</v>
      </c>
    </row>
    <row r="67" spans="1:88">
      <c r="A67" s="382" t="s">
        <v>427</v>
      </c>
      <c r="B67" t="s">
        <v>430</v>
      </c>
      <c r="C67" s="261" t="str">
        <f t="shared" si="42"/>
        <v>Tax mechanismsNon-domestic CAPEXMore Effective</v>
      </c>
      <c r="E67" s="429">
        <f t="shared" si="38"/>
        <v>0</v>
      </c>
      <c r="F67" s="429">
        <f t="shared" si="38"/>
        <v>0</v>
      </c>
      <c r="G67" s="429">
        <f t="shared" si="38"/>
        <v>0</v>
      </c>
      <c r="H67" s="429">
        <f t="shared" si="38"/>
        <v>0</v>
      </c>
      <c r="I67" s="429">
        <f t="shared" si="38"/>
        <v>0</v>
      </c>
      <c r="J67" s="429">
        <f t="shared" si="38"/>
        <v>0</v>
      </c>
      <c r="K67" s="429">
        <f t="shared" si="38"/>
        <v>0</v>
      </c>
      <c r="L67" s="429">
        <f t="shared" si="38"/>
        <v>0</v>
      </c>
      <c r="M67" s="429">
        <f t="shared" si="38"/>
        <v>58203386.63075541</v>
      </c>
      <c r="N67" s="429">
        <f t="shared" si="38"/>
        <v>149114678.26130873</v>
      </c>
      <c r="O67" s="429">
        <f t="shared" si="39"/>
        <v>146462212.98674566</v>
      </c>
      <c r="P67" s="429">
        <f t="shared" si="39"/>
        <v>143809747.71218252</v>
      </c>
      <c r="Q67" s="429">
        <f t="shared" si="39"/>
        <v>141157282.43761945</v>
      </c>
      <c r="R67" s="429">
        <f t="shared" si="39"/>
        <v>0</v>
      </c>
      <c r="S67" s="429">
        <f t="shared" si="39"/>
        <v>0</v>
      </c>
      <c r="T67" s="429">
        <f t="shared" si="39"/>
        <v>0</v>
      </c>
      <c r="U67" s="429">
        <f t="shared" si="39"/>
        <v>0</v>
      </c>
      <c r="V67" s="429">
        <f t="shared" si="39"/>
        <v>0</v>
      </c>
      <c r="W67" s="429">
        <f t="shared" si="39"/>
        <v>0</v>
      </c>
      <c r="X67" s="429">
        <f t="shared" si="39"/>
        <v>0</v>
      </c>
      <c r="Y67" s="429">
        <f t="shared" si="40"/>
        <v>0</v>
      </c>
      <c r="Z67" s="429">
        <f t="shared" si="40"/>
        <v>0</v>
      </c>
      <c r="AA67" s="429">
        <f t="shared" si="40"/>
        <v>0</v>
      </c>
      <c r="AB67" s="429">
        <f t="shared" si="40"/>
        <v>0</v>
      </c>
      <c r="AC67" s="429">
        <f t="shared" si="40"/>
        <v>0</v>
      </c>
      <c r="AD67" s="429">
        <f t="shared" si="40"/>
        <v>0</v>
      </c>
      <c r="AE67" s="429">
        <f t="shared" si="40"/>
        <v>0</v>
      </c>
      <c r="AF67" s="429">
        <f t="shared" si="40"/>
        <v>0</v>
      </c>
      <c r="AG67" s="429">
        <f t="shared" si="40"/>
        <v>0</v>
      </c>
      <c r="AH67" s="429">
        <f t="shared" si="40"/>
        <v>0</v>
      </c>
      <c r="AI67" s="429">
        <f t="shared" si="41"/>
        <v>0</v>
      </c>
      <c r="AJ67" s="429">
        <f t="shared" si="41"/>
        <v>0</v>
      </c>
      <c r="AK67" s="429">
        <f t="shared" si="41"/>
        <v>0</v>
      </c>
      <c r="AL67" s="429">
        <f t="shared" si="41"/>
        <v>0</v>
      </c>
      <c r="AM67" s="429">
        <f t="shared" si="41"/>
        <v>0</v>
      </c>
      <c r="AN67" s="429">
        <f t="shared" si="41"/>
        <v>0</v>
      </c>
    </row>
    <row r="68" spans="1:88">
      <c r="A68" s="382" t="s">
        <v>428</v>
      </c>
      <c r="B68" t="s">
        <v>430</v>
      </c>
      <c r="C68" s="261" t="str">
        <f t="shared" si="42"/>
        <v>Planning requirementsNon-domestic CAPEXMore Effective</v>
      </c>
      <c r="E68" s="429">
        <f t="shared" si="38"/>
        <v>0</v>
      </c>
      <c r="F68" s="429">
        <f t="shared" si="38"/>
        <v>5447410.2580108885</v>
      </c>
      <c r="G68" s="429">
        <f t="shared" si="38"/>
        <v>5362582.6101204008</v>
      </c>
      <c r="H68" s="429">
        <f t="shared" si="38"/>
        <v>5277754.9622299122</v>
      </c>
      <c r="I68" s="429">
        <f t="shared" si="38"/>
        <v>5192927.3143394254</v>
      </c>
      <c r="J68" s="429">
        <f t="shared" si="38"/>
        <v>5108099.6664489377</v>
      </c>
      <c r="K68" s="429">
        <f t="shared" si="38"/>
        <v>5023272.01855845</v>
      </c>
      <c r="L68" s="429">
        <f t="shared" si="38"/>
        <v>4938444.3706679624</v>
      </c>
      <c r="M68" s="429">
        <f t="shared" si="38"/>
        <v>4853616.7227774728</v>
      </c>
      <c r="N68" s="429">
        <f t="shared" si="38"/>
        <v>4768789.0748869851</v>
      </c>
      <c r="O68" s="429">
        <f t="shared" si="39"/>
        <v>4683961.4269964984</v>
      </c>
      <c r="P68" s="429">
        <f t="shared" si="39"/>
        <v>3363447.7474205014</v>
      </c>
      <c r="Q68" s="429">
        <f t="shared" si="39"/>
        <v>3301411.4216862018</v>
      </c>
      <c r="R68" s="429">
        <f t="shared" si="39"/>
        <v>3239375.0959519004</v>
      </c>
      <c r="S68" s="429">
        <f t="shared" si="39"/>
        <v>3177338.7702176031</v>
      </c>
      <c r="T68" s="429">
        <f t="shared" si="39"/>
        <v>3115302.444483303</v>
      </c>
      <c r="U68" s="429">
        <f t="shared" si="39"/>
        <v>3115302.4444833035</v>
      </c>
      <c r="V68" s="429">
        <f t="shared" si="39"/>
        <v>3115302.4444833035</v>
      </c>
      <c r="W68" s="429">
        <f t="shared" si="39"/>
        <v>3115302.4444833035</v>
      </c>
      <c r="X68" s="429">
        <f t="shared" si="39"/>
        <v>3115302.4444833035</v>
      </c>
      <c r="Y68" s="429">
        <f t="shared" si="40"/>
        <v>3115302.4444833035</v>
      </c>
      <c r="Z68" s="429">
        <f t="shared" si="40"/>
        <v>3115302.4444833035</v>
      </c>
      <c r="AA68" s="429">
        <f t="shared" si="40"/>
        <v>3115302.4444833035</v>
      </c>
      <c r="AB68" s="429">
        <f t="shared" si="40"/>
        <v>3115302.4444833035</v>
      </c>
      <c r="AC68" s="429">
        <f t="shared" si="40"/>
        <v>3115302.4444833021</v>
      </c>
      <c r="AD68" s="429">
        <f t="shared" si="40"/>
        <v>3115302.4444833021</v>
      </c>
      <c r="AE68" s="429">
        <f t="shared" si="40"/>
        <v>3115302.4444833021</v>
      </c>
      <c r="AF68" s="429">
        <f t="shared" si="40"/>
        <v>3115302.4444833063</v>
      </c>
      <c r="AG68" s="429">
        <f t="shared" si="40"/>
        <v>3115302.4444833035</v>
      </c>
      <c r="AH68" s="429">
        <f t="shared" si="40"/>
        <v>3115302.4444833035</v>
      </c>
      <c r="AI68" s="429">
        <f t="shared" si="41"/>
        <v>3115302.4444833035</v>
      </c>
      <c r="AJ68" s="429">
        <f t="shared" si="41"/>
        <v>3115302.4444833035</v>
      </c>
      <c r="AK68" s="429">
        <f t="shared" si="41"/>
        <v>3115302.4444833035</v>
      </c>
      <c r="AL68" s="429">
        <f t="shared" si="41"/>
        <v>3115302.4444833035</v>
      </c>
      <c r="AM68" s="429">
        <f t="shared" si="41"/>
        <v>3115302.4444833035</v>
      </c>
      <c r="AN68" s="429">
        <f t="shared" si="41"/>
        <v>3115302.4444832928</v>
      </c>
    </row>
    <row r="69" spans="1:88">
      <c r="A69" s="382" t="s">
        <v>429</v>
      </c>
      <c r="B69" t="s">
        <v>430</v>
      </c>
      <c r="C69" s="261" t="str">
        <f t="shared" si="42"/>
        <v>Lighting efficiencyNon-domestic CAPEXMore Effective</v>
      </c>
      <c r="E69" s="429">
        <f t="shared" si="38"/>
        <v>0</v>
      </c>
      <c r="F69" s="429">
        <f t="shared" si="38"/>
        <v>6085102.7363829538</v>
      </c>
      <c r="G69" s="429">
        <f t="shared" si="38"/>
        <v>5990344.8738664966</v>
      </c>
      <c r="H69" s="429">
        <f t="shared" si="38"/>
        <v>5895587.0113500375</v>
      </c>
      <c r="I69" s="429">
        <f t="shared" si="38"/>
        <v>19473031.197224613</v>
      </c>
      <c r="J69" s="429">
        <f t="shared" si="38"/>
        <v>32603798.327540956</v>
      </c>
      <c r="K69" s="429">
        <f t="shared" si="38"/>
        <v>45287888.402299076</v>
      </c>
      <c r="L69" s="429">
        <f t="shared" si="38"/>
        <v>57525301.421498962</v>
      </c>
      <c r="M69" s="429">
        <f t="shared" si="38"/>
        <v>69316037.385140613</v>
      </c>
      <c r="N69" s="429">
        <f t="shared" si="38"/>
        <v>80660096.293224037</v>
      </c>
      <c r="O69" s="429">
        <f t="shared" si="39"/>
        <v>91557478.145749241</v>
      </c>
      <c r="P69" s="429">
        <f t="shared" si="39"/>
        <v>88475223.996939838</v>
      </c>
      <c r="Q69" s="429">
        <f t="shared" si="39"/>
        <v>3644906.6268806849</v>
      </c>
      <c r="R69" s="429">
        <f t="shared" si="39"/>
        <v>3576415.7343821069</v>
      </c>
      <c r="S69" s="429">
        <f t="shared" si="39"/>
        <v>3507924.8418835341</v>
      </c>
      <c r="T69" s="429">
        <f t="shared" si="39"/>
        <v>3439433.9493849594</v>
      </c>
      <c r="U69" s="429">
        <f t="shared" si="39"/>
        <v>3439433.9493849594</v>
      </c>
      <c r="V69" s="429">
        <f t="shared" si="39"/>
        <v>3439433.9493849594</v>
      </c>
      <c r="W69" s="429">
        <f t="shared" si="39"/>
        <v>3439433.9493849594</v>
      </c>
      <c r="X69" s="429">
        <f t="shared" si="39"/>
        <v>3439433.9493849594</v>
      </c>
      <c r="Y69" s="429">
        <f t="shared" si="40"/>
        <v>3439433.9493849594</v>
      </c>
      <c r="Z69" s="429">
        <f t="shared" si="40"/>
        <v>3439433.9493849594</v>
      </c>
      <c r="AA69" s="429">
        <f t="shared" si="40"/>
        <v>3439433.9493849594</v>
      </c>
      <c r="AB69" s="429">
        <f t="shared" si="40"/>
        <v>3439433.9493849594</v>
      </c>
      <c r="AC69" s="429">
        <f t="shared" si="40"/>
        <v>3439433.9493849585</v>
      </c>
      <c r="AD69" s="429">
        <f t="shared" si="40"/>
        <v>3439433.9493849585</v>
      </c>
      <c r="AE69" s="429">
        <f t="shared" si="40"/>
        <v>3439433.9493849585</v>
      </c>
      <c r="AF69" s="429">
        <f t="shared" si="40"/>
        <v>3439433.9493849636</v>
      </c>
      <c r="AG69" s="429">
        <f t="shared" si="40"/>
        <v>3439433.9493849599</v>
      </c>
      <c r="AH69" s="429">
        <f t="shared" si="40"/>
        <v>3439433.9493849599</v>
      </c>
      <c r="AI69" s="429">
        <f t="shared" si="41"/>
        <v>3439433.9493849599</v>
      </c>
      <c r="AJ69" s="429">
        <f t="shared" si="41"/>
        <v>3439433.9493849599</v>
      </c>
      <c r="AK69" s="429">
        <f t="shared" si="41"/>
        <v>3439433.9493849599</v>
      </c>
      <c r="AL69" s="429">
        <f t="shared" si="41"/>
        <v>3439433.9493849599</v>
      </c>
      <c r="AM69" s="429">
        <f t="shared" si="41"/>
        <v>3439433.9493849599</v>
      </c>
      <c r="AN69" s="429">
        <f t="shared" si="41"/>
        <v>3439433.9493849524</v>
      </c>
    </row>
    <row r="70" spans="1:88">
      <c r="D70" s="159">
        <f>SUM('2.1 Building inputs'!H404:H408)</f>
        <v>85074991402.733673</v>
      </c>
      <c r="AO70" s="37"/>
      <c r="AQ70" s="37"/>
      <c r="AR70" s="37"/>
      <c r="AS70" s="37"/>
      <c r="AT70" s="37"/>
      <c r="AU70" s="37"/>
      <c r="AV70" s="37"/>
      <c r="AW70" s="37"/>
      <c r="AX70" s="37"/>
      <c r="AY70" s="37"/>
      <c r="AZ70" s="37"/>
      <c r="BA70" s="37"/>
      <c r="BB70" s="37"/>
      <c r="BC70" s="37"/>
      <c r="BD70" s="37"/>
      <c r="BE70" s="37"/>
      <c r="BF70" s="37"/>
      <c r="BG70" s="37"/>
      <c r="BH70" s="37"/>
      <c r="BI70" s="37"/>
      <c r="BJ70" s="37"/>
      <c r="BK70" s="37"/>
      <c r="BL70" s="37"/>
      <c r="BM70" s="255"/>
      <c r="BN70" s="255"/>
      <c r="BO70" s="255"/>
      <c r="BP70" s="255"/>
      <c r="BQ70" s="255"/>
      <c r="BR70" s="255"/>
      <c r="BS70" s="255"/>
      <c r="BT70" s="255"/>
      <c r="BU70" s="255"/>
      <c r="BV70" s="255"/>
      <c r="BW70" s="255"/>
      <c r="BX70" s="255"/>
      <c r="BY70" s="255"/>
      <c r="BZ70" s="255"/>
      <c r="CA70" s="255"/>
      <c r="CB70" s="255"/>
      <c r="CC70" s="255"/>
      <c r="CD70" s="255"/>
      <c r="CE70" s="255"/>
      <c r="CF70" s="255"/>
      <c r="CG70" s="255"/>
      <c r="CH70" s="255"/>
      <c r="CI70" s="255"/>
      <c r="CJ70" s="255"/>
    </row>
    <row r="71" spans="1:88">
      <c r="A71" s="283" t="s">
        <v>431</v>
      </c>
      <c r="B71" s="284" t="s">
        <v>432</v>
      </c>
      <c r="AO71" s="37"/>
      <c r="AQ71" s="37"/>
      <c r="AR71" s="37"/>
      <c r="AS71" s="37"/>
      <c r="AT71" s="37"/>
      <c r="AU71" s="37"/>
      <c r="AV71" s="37"/>
      <c r="AW71" s="37"/>
      <c r="AX71" s="37"/>
      <c r="AY71" s="37"/>
      <c r="AZ71" s="37"/>
      <c r="BA71" s="37"/>
      <c r="BB71" s="37"/>
      <c r="BC71" s="37"/>
      <c r="BD71" s="37"/>
      <c r="BE71" s="37"/>
      <c r="BF71" s="37"/>
      <c r="BG71" s="37"/>
      <c r="BH71" s="37"/>
      <c r="BI71" s="37"/>
      <c r="BJ71" s="37"/>
      <c r="BK71" s="37"/>
      <c r="BL71" s="37"/>
      <c r="BM71" s="255"/>
      <c r="BN71" s="255"/>
      <c r="BO71" s="255"/>
      <c r="BP71" s="255"/>
      <c r="BQ71" s="255"/>
      <c r="BR71" s="255"/>
      <c r="BS71" s="255"/>
      <c r="BT71" s="255"/>
      <c r="BU71" s="255"/>
      <c r="BV71" s="255"/>
      <c r="BW71" s="255"/>
      <c r="BX71" s="255"/>
      <c r="BY71" s="255"/>
      <c r="BZ71" s="255"/>
      <c r="CA71" s="255"/>
      <c r="CB71" s="255"/>
      <c r="CC71" s="255"/>
      <c r="CD71" s="255"/>
      <c r="CE71" s="255"/>
      <c r="CF71" s="255"/>
      <c r="CG71" s="255"/>
      <c r="CH71" s="255"/>
      <c r="CI71" s="255"/>
      <c r="CJ71" s="255"/>
    </row>
    <row r="72" spans="1:88" ht="15" customHeight="1">
      <c r="A72" s="181" t="s">
        <v>15</v>
      </c>
      <c r="B72" s="181" t="str">
        <f>"More Effective"</f>
        <v>More Effective</v>
      </c>
      <c r="AO72" s="37"/>
      <c r="AQ72" s="37"/>
      <c r="AR72" s="37"/>
      <c r="AS72" s="37"/>
      <c r="AT72" s="37"/>
      <c r="AU72" s="37"/>
      <c r="AV72" s="37"/>
      <c r="AW72" s="37"/>
      <c r="AX72" s="37"/>
      <c r="AY72" s="37"/>
      <c r="AZ72" s="37"/>
      <c r="BA72" s="37"/>
      <c r="BB72" s="37"/>
      <c r="BC72" s="37"/>
      <c r="BD72" s="37"/>
      <c r="BE72" s="37"/>
      <c r="BF72" s="37"/>
      <c r="BG72" s="37"/>
      <c r="BH72" s="37"/>
      <c r="BI72" s="37"/>
      <c r="BJ72" s="37"/>
      <c r="BK72" s="37"/>
      <c r="BL72" s="37"/>
      <c r="BM72" s="37"/>
      <c r="BN72" s="37"/>
      <c r="BO72" s="37"/>
      <c r="BP72" s="37"/>
      <c r="BQ72" s="37"/>
      <c r="BR72" s="37"/>
      <c r="BS72" s="37"/>
      <c r="BT72" s="37"/>
      <c r="BU72" s="37"/>
      <c r="BV72" s="37"/>
      <c r="BW72" s="37"/>
      <c r="BX72" s="37"/>
      <c r="BY72" s="37"/>
      <c r="BZ72" s="37"/>
      <c r="CA72" s="37"/>
      <c r="CB72" s="37"/>
      <c r="CC72" s="37"/>
      <c r="CD72" s="37"/>
      <c r="CE72" s="37"/>
      <c r="CF72" s="37"/>
      <c r="CG72" s="37"/>
      <c r="CH72" s="37"/>
      <c r="CI72" s="37"/>
      <c r="CJ72" s="37"/>
    </row>
    <row r="73" spans="1:88" s="30" customFormat="1" ht="15.75" customHeight="1">
      <c r="D73"/>
      <c r="E73"/>
      <c r="F73"/>
      <c r="AP73"/>
    </row>
    <row r="74" spans="1:88">
      <c r="A74" s="29" t="s">
        <v>23</v>
      </c>
      <c r="B74" t="s">
        <v>433</v>
      </c>
      <c r="C74" t="s">
        <v>376</v>
      </c>
      <c r="D74" t="str">
        <f>C74&amp;A74</f>
        <v>Domestic Cooling Electricity DemandCentral</v>
      </c>
      <c r="E74" s="28">
        <v>0</v>
      </c>
      <c r="F74" s="28">
        <v>291397.2</v>
      </c>
      <c r="G74" s="28">
        <v>582794.4</v>
      </c>
      <c r="H74" s="28">
        <v>874191.60000000009</v>
      </c>
      <c r="I74" s="28">
        <v>1165588.8</v>
      </c>
      <c r="J74" s="28">
        <v>1456986</v>
      </c>
      <c r="K74" s="28">
        <v>1748383.2000000002</v>
      </c>
      <c r="L74" s="28">
        <v>2039780.3999999997</v>
      </c>
      <c r="M74" s="28">
        <v>2331177.6</v>
      </c>
      <c r="N74" s="28">
        <v>2622574.7999999998</v>
      </c>
      <c r="O74" s="28">
        <v>2913972</v>
      </c>
      <c r="P74" s="28">
        <v>4281880.5600000005</v>
      </c>
      <c r="Q74" s="28">
        <v>5649789.1200000001</v>
      </c>
      <c r="R74" s="28">
        <v>7017697.6800000006</v>
      </c>
      <c r="S74" s="28">
        <v>8385606.2399999993</v>
      </c>
      <c r="T74" s="28">
        <v>9753514.7999999989</v>
      </c>
      <c r="U74" s="28">
        <v>11121423.359999999</v>
      </c>
      <c r="V74" s="28">
        <v>12489331.92</v>
      </c>
      <c r="W74" s="28">
        <v>13857240.479999999</v>
      </c>
      <c r="X74" s="28">
        <v>15225149.039999999</v>
      </c>
      <c r="Y74" s="28">
        <v>16593057.600000001</v>
      </c>
      <c r="Z74" s="28">
        <v>17960966.16</v>
      </c>
      <c r="AA74" s="28">
        <v>19328874.719999999</v>
      </c>
      <c r="AB74" s="28">
        <v>20696783.279999997</v>
      </c>
      <c r="AC74" s="28">
        <v>22064691.840000004</v>
      </c>
      <c r="AD74" s="28">
        <v>23432600.400000002</v>
      </c>
      <c r="AE74" s="28">
        <v>24800508.959999997</v>
      </c>
      <c r="AF74" s="28">
        <v>26168417.52</v>
      </c>
      <c r="AG74" s="28">
        <v>27536326.080000002</v>
      </c>
      <c r="AH74" s="28">
        <v>28904234.639999997</v>
      </c>
      <c r="AI74" s="28">
        <v>30272143.199999999</v>
      </c>
      <c r="AJ74" s="28">
        <v>31640051.759999998</v>
      </c>
      <c r="AK74" s="28">
        <v>33007960.320000004</v>
      </c>
      <c r="AL74" s="28">
        <v>34375868.879999995</v>
      </c>
      <c r="AM74" s="28">
        <v>35743777.440000005</v>
      </c>
      <c r="AN74" s="28">
        <v>37111686.000000007</v>
      </c>
    </row>
    <row r="75" spans="1:88">
      <c r="A75" s="29" t="s">
        <v>23</v>
      </c>
      <c r="B75" t="s">
        <v>433</v>
      </c>
      <c r="C75" t="s">
        <v>434</v>
      </c>
      <c r="D75" t="str">
        <f>C75&amp;A75</f>
        <v>Non-domestic Cooling Electricity DemandCentral</v>
      </c>
      <c r="E75" s="28">
        <v>951914833.54299796</v>
      </c>
      <c r="F75" s="28">
        <v>960361914.06701791</v>
      </c>
      <c r="G75" s="28">
        <v>968808994.59103811</v>
      </c>
      <c r="H75" s="28">
        <v>977256075.11505818</v>
      </c>
      <c r="I75" s="28">
        <v>985703155.63907826</v>
      </c>
      <c r="J75" s="28">
        <v>994150236.16309834</v>
      </c>
      <c r="K75" s="28">
        <v>1002597316.6871185</v>
      </c>
      <c r="L75" s="28">
        <v>1011044397.2111386</v>
      </c>
      <c r="M75" s="28">
        <v>1019491477.7351587</v>
      </c>
      <c r="N75" s="28">
        <v>1027938558.2591788</v>
      </c>
      <c r="O75" s="28">
        <v>1036385638.7831988</v>
      </c>
      <c r="P75" s="28">
        <v>1058062589.1962429</v>
      </c>
      <c r="Q75" s="28">
        <v>1079739539.6092868</v>
      </c>
      <c r="R75" s="28">
        <v>1101416490.022331</v>
      </c>
      <c r="S75" s="28">
        <v>1123093440.4353752</v>
      </c>
      <c r="T75" s="28">
        <v>1144770390.8484192</v>
      </c>
      <c r="U75" s="28">
        <v>1166447341.2614632</v>
      </c>
      <c r="V75" s="28">
        <v>1188124291.6745071</v>
      </c>
      <c r="W75" s="28">
        <v>1209801242.0875511</v>
      </c>
      <c r="X75" s="28">
        <v>1231478192.5005953</v>
      </c>
      <c r="Y75" s="28">
        <v>1253155142.9136393</v>
      </c>
      <c r="Z75" s="28">
        <v>1274832093.3266835</v>
      </c>
      <c r="AA75" s="28">
        <v>1296509043.7397273</v>
      </c>
      <c r="AB75" s="28">
        <v>1318185994.1527715</v>
      </c>
      <c r="AC75" s="28">
        <v>1339862944.5658157</v>
      </c>
      <c r="AD75" s="28">
        <v>1361539894.9788597</v>
      </c>
      <c r="AE75" s="28">
        <v>1383216845.3919034</v>
      </c>
      <c r="AF75" s="28">
        <v>1404893795.8049474</v>
      </c>
      <c r="AG75" s="28">
        <v>1426570746.2179916</v>
      </c>
      <c r="AH75" s="28">
        <v>1448247696.6310356</v>
      </c>
      <c r="AI75" s="28">
        <v>1469924647.0440795</v>
      </c>
      <c r="AJ75" s="28">
        <v>1491601597.457124</v>
      </c>
      <c r="AK75" s="28">
        <v>1513278547.870168</v>
      </c>
      <c r="AL75" s="28">
        <v>1534955498.2832117</v>
      </c>
      <c r="AM75" s="28">
        <v>1556632448.6962557</v>
      </c>
      <c r="AN75" s="28">
        <v>1578309399.1092999</v>
      </c>
    </row>
    <row r="76" spans="1:88">
      <c r="A76" s="30"/>
      <c r="E76" s="381"/>
      <c r="F76" s="381"/>
      <c r="G76" s="381"/>
      <c r="H76" s="381"/>
      <c r="I76" s="381"/>
      <c r="J76" s="381"/>
      <c r="K76" s="381"/>
      <c r="L76" s="381"/>
      <c r="M76" s="381"/>
      <c r="N76" s="381"/>
      <c r="O76" s="381"/>
      <c r="P76" s="381"/>
      <c r="Q76" s="381"/>
      <c r="R76" s="381"/>
      <c r="S76" s="381"/>
      <c r="T76" s="381"/>
      <c r="U76" s="381"/>
      <c r="V76" s="381"/>
      <c r="W76" s="381"/>
      <c r="X76" s="381"/>
      <c r="Y76" s="381"/>
      <c r="Z76" s="381"/>
      <c r="AA76" s="381"/>
      <c r="AB76" s="381"/>
      <c r="AC76" s="381"/>
      <c r="AD76" s="381"/>
      <c r="AE76" s="381"/>
      <c r="AF76" s="381"/>
      <c r="AG76" s="381"/>
      <c r="AH76" s="381"/>
      <c r="AI76" s="381"/>
      <c r="AJ76" s="381"/>
      <c r="AK76" s="381"/>
      <c r="AL76" s="381"/>
      <c r="AM76" s="381"/>
      <c r="AN76" s="381"/>
    </row>
    <row r="77" spans="1:88" s="462" customFormat="1">
      <c r="A77" s="462" t="s">
        <v>435</v>
      </c>
      <c r="D77" s="462" t="s">
        <v>436</v>
      </c>
      <c r="E77" s="463"/>
      <c r="F77" s="463"/>
      <c r="G77" s="463"/>
      <c r="H77" s="463"/>
      <c r="I77" s="463"/>
      <c r="J77" s="463"/>
      <c r="K77" s="463"/>
      <c r="L77" s="463"/>
      <c r="M77" s="463"/>
      <c r="N77" s="463"/>
      <c r="O77" s="463"/>
      <c r="P77" s="463"/>
      <c r="Q77" s="463"/>
      <c r="R77" s="463"/>
      <c r="S77" s="463"/>
      <c r="T77" s="463"/>
      <c r="U77" s="463"/>
      <c r="V77" s="463"/>
      <c r="W77" s="463"/>
      <c r="X77" s="463"/>
      <c r="Y77" s="463"/>
      <c r="Z77" s="463"/>
      <c r="AA77" s="463"/>
      <c r="AB77" s="463"/>
      <c r="AC77" s="463"/>
      <c r="AD77" s="463"/>
      <c r="AE77" s="463"/>
      <c r="AF77" s="463"/>
      <c r="AG77" s="463"/>
      <c r="AH77" s="463"/>
      <c r="AI77" s="463"/>
      <c r="AJ77" s="463"/>
      <c r="AK77" s="463"/>
      <c r="AL77" s="463"/>
      <c r="AM77" s="463"/>
      <c r="AN77" s="463"/>
    </row>
    <row r="78" spans="1:88">
      <c r="A78" s="30" t="s">
        <v>22</v>
      </c>
      <c r="B78" t="s">
        <v>437</v>
      </c>
      <c r="C78" t="s">
        <v>438</v>
      </c>
      <c r="D78" t="str">
        <f>B78&amp;C78&amp;A78</f>
        <v>% heat demand in EPC C + Domestic - ExistingBaseline</v>
      </c>
      <c r="E78" s="288">
        <v>0.22874092048119773</v>
      </c>
      <c r="F78" s="288">
        <v>0.22874092048119773</v>
      </c>
      <c r="G78" s="288">
        <v>0.22874092048119773</v>
      </c>
      <c r="H78" s="288">
        <v>0.22874092048119773</v>
      </c>
      <c r="I78" s="288">
        <v>0.22874092048119773</v>
      </c>
      <c r="J78" s="288">
        <v>0.22874092048119773</v>
      </c>
      <c r="K78" s="288">
        <v>0.22874092048119773</v>
      </c>
      <c r="L78" s="288">
        <v>0.22874092048119773</v>
      </c>
      <c r="M78" s="288">
        <v>0.22874092048119773</v>
      </c>
      <c r="N78" s="288">
        <v>0.22874092048119773</v>
      </c>
      <c r="O78" s="288">
        <v>0.22874092048119773</v>
      </c>
      <c r="P78" s="288">
        <v>0.22874092048119773</v>
      </c>
      <c r="Q78" s="288">
        <v>0.22874092048119773</v>
      </c>
      <c r="R78" s="288">
        <v>0.22874092048119773</v>
      </c>
      <c r="S78" s="288">
        <v>0.22874092048119773</v>
      </c>
      <c r="T78" s="288">
        <v>0.22874092048119773</v>
      </c>
      <c r="U78" s="288">
        <v>0.22874092048119773</v>
      </c>
      <c r="V78" s="288">
        <v>0.22874092048119773</v>
      </c>
      <c r="W78" s="288">
        <v>0.22874092048119773</v>
      </c>
      <c r="X78" s="288">
        <v>0.22874092048119773</v>
      </c>
      <c r="Y78" s="288">
        <v>0.22874092048119773</v>
      </c>
      <c r="Z78" s="288">
        <v>0.22874092048119773</v>
      </c>
      <c r="AA78" s="288">
        <v>0.22874092048119773</v>
      </c>
      <c r="AB78" s="288">
        <v>0.22874092048119773</v>
      </c>
      <c r="AC78" s="288">
        <v>0.22874092048119773</v>
      </c>
      <c r="AD78" s="288">
        <v>0.22874092048119773</v>
      </c>
      <c r="AE78" s="288">
        <v>0.22874092048119773</v>
      </c>
      <c r="AF78" s="288">
        <v>0.22874092048119773</v>
      </c>
      <c r="AG78" s="288">
        <v>0.22874092048119773</v>
      </c>
      <c r="AH78" s="288">
        <v>0.22874092048119773</v>
      </c>
      <c r="AI78" s="288">
        <v>0.22874092048119773</v>
      </c>
      <c r="AJ78" s="288">
        <v>0.22874092048119773</v>
      </c>
      <c r="AK78" s="288">
        <v>0.22874092048119773</v>
      </c>
      <c r="AL78" s="288">
        <v>0.22874092048119773</v>
      </c>
      <c r="AM78" s="288">
        <v>0.22874092048119773</v>
      </c>
      <c r="AN78" s="288">
        <v>0.22874092048119773</v>
      </c>
    </row>
    <row r="79" spans="1:88">
      <c r="A79" s="30" t="s">
        <v>22</v>
      </c>
      <c r="B79" t="s">
        <v>437</v>
      </c>
      <c r="C79" t="s">
        <v>439</v>
      </c>
      <c r="D79" t="str">
        <f t="shared" ref="D79:D91" si="43">B79&amp;C79&amp;A79</f>
        <v>% heat demand in EPC C + Non-Domestic - ExistingBaseline</v>
      </c>
      <c r="E79" s="288">
        <v>0.17816230029334498</v>
      </c>
      <c r="F79" s="288">
        <v>0.17816230029334498</v>
      </c>
      <c r="G79" s="288">
        <v>0.17816230029334498</v>
      </c>
      <c r="H79" s="288">
        <v>0.17816230029334498</v>
      </c>
      <c r="I79" s="288">
        <v>0.17816230029334498</v>
      </c>
      <c r="J79" s="288">
        <v>0.17816230029334498</v>
      </c>
      <c r="K79" s="288">
        <v>0.17816230029334498</v>
      </c>
      <c r="L79" s="288">
        <v>0.17816230029334498</v>
      </c>
      <c r="M79" s="288">
        <v>0.17816230029334498</v>
      </c>
      <c r="N79" s="288">
        <v>0.17816230029334498</v>
      </c>
      <c r="O79" s="288">
        <v>0.17816230029334498</v>
      </c>
      <c r="P79" s="288">
        <v>0.17816230029334498</v>
      </c>
      <c r="Q79" s="288">
        <v>0.17816230029334498</v>
      </c>
      <c r="R79" s="288">
        <v>0.17816230029334498</v>
      </c>
      <c r="S79" s="288">
        <v>0.17816230029334498</v>
      </c>
      <c r="T79" s="288">
        <v>0.17816230029334498</v>
      </c>
      <c r="U79" s="288">
        <v>0.17816230029334498</v>
      </c>
      <c r="V79" s="288">
        <v>0.17816230029334498</v>
      </c>
      <c r="W79" s="288">
        <v>0.17816230029334498</v>
      </c>
      <c r="X79" s="288">
        <v>0.17816230029334498</v>
      </c>
      <c r="Y79" s="288">
        <v>0.17816230029334498</v>
      </c>
      <c r="Z79" s="288">
        <v>0.17816230029334498</v>
      </c>
      <c r="AA79" s="288">
        <v>0.17816230029334498</v>
      </c>
      <c r="AB79" s="288">
        <v>0.17816230029334498</v>
      </c>
      <c r="AC79" s="288">
        <v>0.17816230029334498</v>
      </c>
      <c r="AD79" s="288">
        <v>0.17816230029334498</v>
      </c>
      <c r="AE79" s="288">
        <v>0.17816230029334498</v>
      </c>
      <c r="AF79" s="288">
        <v>0.17816230029334498</v>
      </c>
      <c r="AG79" s="288">
        <v>0.17816230029334498</v>
      </c>
      <c r="AH79" s="288">
        <v>0.17816230029334498</v>
      </c>
      <c r="AI79" s="288">
        <v>0.17816230029334498</v>
      </c>
      <c r="AJ79" s="288">
        <v>0.17816230029334498</v>
      </c>
      <c r="AK79" s="288">
        <v>0.17816230029334498</v>
      </c>
      <c r="AL79" s="288">
        <v>0.17816230029334498</v>
      </c>
      <c r="AM79" s="288">
        <v>0.17816230029334498</v>
      </c>
      <c r="AN79" s="288">
        <v>0.17816230029334498</v>
      </c>
    </row>
    <row r="80" spans="1:88">
      <c r="A80" s="30" t="str">
        <f>INDEX('Scenario names'!$C$3:$C$6,1)</f>
        <v>High Electrification</v>
      </c>
      <c r="B80" t="s">
        <v>437</v>
      </c>
      <c r="C80" t="s">
        <v>438</v>
      </c>
      <c r="D80" t="str">
        <f t="shared" si="43"/>
        <v>% heat demand in EPC C + Domestic - ExistingHigh Electrification</v>
      </c>
      <c r="E80" s="288">
        <v>0.22874092048119773</v>
      </c>
      <c r="F80" s="288">
        <v>0.22874092048119773</v>
      </c>
      <c r="G80" s="288">
        <v>0.22874092048119773</v>
      </c>
      <c r="H80" s="288">
        <v>0.22874092048119773</v>
      </c>
      <c r="I80" s="288">
        <v>0.2287450477935952</v>
      </c>
      <c r="J80" s="288">
        <v>0.23487090283217618</v>
      </c>
      <c r="K80" s="288">
        <v>0.25384856892157187</v>
      </c>
      <c r="L80" s="288">
        <v>0.32477367087982445</v>
      </c>
      <c r="M80" s="288">
        <v>0.44697507431380329</v>
      </c>
      <c r="N80" s="288">
        <v>0.58142049367067739</v>
      </c>
      <c r="O80" s="288">
        <v>0.70246121943730255</v>
      </c>
      <c r="P80" s="288">
        <v>0.80545779744188695</v>
      </c>
      <c r="Q80" s="288">
        <v>0.89015087556234274</v>
      </c>
      <c r="R80" s="288">
        <v>0.95413999819126116</v>
      </c>
      <c r="S80" s="288">
        <v>0.98866804672733777</v>
      </c>
      <c r="T80" s="288">
        <v>1</v>
      </c>
      <c r="U80" s="288">
        <v>1</v>
      </c>
      <c r="V80" s="288">
        <v>1</v>
      </c>
      <c r="W80" s="288">
        <v>1</v>
      </c>
      <c r="X80" s="288">
        <v>1</v>
      </c>
      <c r="Y80" s="288">
        <v>1</v>
      </c>
      <c r="Z80" s="288">
        <v>1</v>
      </c>
      <c r="AA80" s="288">
        <v>1</v>
      </c>
      <c r="AB80" s="288">
        <v>1</v>
      </c>
      <c r="AC80" s="288">
        <v>1</v>
      </c>
      <c r="AD80" s="288">
        <v>1</v>
      </c>
      <c r="AE80" s="288">
        <v>1</v>
      </c>
      <c r="AF80" s="288">
        <v>1</v>
      </c>
      <c r="AG80" s="288">
        <v>1</v>
      </c>
      <c r="AH80" s="288">
        <v>1</v>
      </c>
      <c r="AI80" s="288">
        <v>1</v>
      </c>
      <c r="AJ80" s="288">
        <v>1</v>
      </c>
      <c r="AK80" s="288">
        <v>1</v>
      </c>
      <c r="AL80" s="288">
        <v>1</v>
      </c>
      <c r="AM80" s="288">
        <v>1</v>
      </c>
      <c r="AN80" s="288">
        <v>1</v>
      </c>
    </row>
    <row r="81" spans="1:42">
      <c r="A81" s="30" t="str">
        <f>INDEX('Scenario names'!$C$3:$C$6,1)</f>
        <v>High Electrification</v>
      </c>
      <c r="B81" t="s">
        <v>437</v>
      </c>
      <c r="C81" t="s">
        <v>439</v>
      </c>
      <c r="D81" t="str">
        <f t="shared" si="43"/>
        <v>% heat demand in EPC C + Non-Domestic - ExistingHigh Electrification</v>
      </c>
      <c r="E81" s="288">
        <v>0.17816230029334498</v>
      </c>
      <c r="F81" s="288">
        <v>0.17816230029334498</v>
      </c>
      <c r="G81" s="288">
        <v>0.17816230029334498</v>
      </c>
      <c r="H81" s="288">
        <v>0.17816230029334498</v>
      </c>
      <c r="I81" s="288">
        <v>0.17816669827194487</v>
      </c>
      <c r="J81" s="288">
        <v>0.18469428251352668</v>
      </c>
      <c r="K81" s="288">
        <v>0.20491649040564097</v>
      </c>
      <c r="L81" s="288">
        <v>0.28049280994951908</v>
      </c>
      <c r="M81" s="288">
        <v>0.41070809423734284</v>
      </c>
      <c r="N81" s="288">
        <v>0.55397034827691594</v>
      </c>
      <c r="O81" s="288">
        <v>0.68294883848403476</v>
      </c>
      <c r="P81" s="288">
        <v>0.79269985859229275</v>
      </c>
      <c r="Q81" s="288">
        <v>0.88294704835246818</v>
      </c>
      <c r="R81" s="288">
        <v>0.95113253199099845</v>
      </c>
      <c r="S81" s="288">
        <v>0.98792490531638399</v>
      </c>
      <c r="T81" s="288">
        <v>1</v>
      </c>
      <c r="U81" s="288">
        <v>1</v>
      </c>
      <c r="V81" s="288">
        <v>1</v>
      </c>
      <c r="W81" s="288">
        <v>1</v>
      </c>
      <c r="X81" s="288">
        <v>1</v>
      </c>
      <c r="Y81" s="288">
        <v>1</v>
      </c>
      <c r="Z81" s="288">
        <v>1</v>
      </c>
      <c r="AA81" s="288">
        <v>1</v>
      </c>
      <c r="AB81" s="288">
        <v>1</v>
      </c>
      <c r="AC81" s="288">
        <v>1</v>
      </c>
      <c r="AD81" s="288">
        <v>1</v>
      </c>
      <c r="AE81" s="288">
        <v>1</v>
      </c>
      <c r="AF81" s="288">
        <v>1</v>
      </c>
      <c r="AG81" s="288">
        <v>1</v>
      </c>
      <c r="AH81" s="288">
        <v>1</v>
      </c>
      <c r="AI81" s="288">
        <v>1</v>
      </c>
      <c r="AJ81" s="288">
        <v>1</v>
      </c>
      <c r="AK81" s="288">
        <v>1</v>
      </c>
      <c r="AL81" s="288">
        <v>1</v>
      </c>
      <c r="AM81" s="288">
        <v>1</v>
      </c>
      <c r="AN81" s="288">
        <v>1</v>
      </c>
    </row>
    <row r="82" spans="1:42">
      <c r="A82" s="30" t="str">
        <f>INDEX('Scenario names'!$C$3:$C$6,2)</f>
        <v>High Hydrogen</v>
      </c>
      <c r="B82" t="s">
        <v>437</v>
      </c>
      <c r="C82" t="s">
        <v>438</v>
      </c>
      <c r="D82" t="str">
        <f t="shared" si="43"/>
        <v>% heat demand in EPC C + Domestic - ExistingHigh Hydrogen</v>
      </c>
      <c r="E82" s="288">
        <v>0.01</v>
      </c>
      <c r="F82" s="288">
        <v>0.02</v>
      </c>
      <c r="G82" s="288">
        <v>0.03</v>
      </c>
      <c r="H82" s="288">
        <v>0.04</v>
      </c>
      <c r="I82" s="288">
        <v>0.05</v>
      </c>
      <c r="J82" s="288">
        <v>0.06</v>
      </c>
      <c r="K82" s="288">
        <v>7.0000000000000007E-2</v>
      </c>
      <c r="L82" s="288">
        <v>0.08</v>
      </c>
      <c r="M82" s="288">
        <v>0.09</v>
      </c>
      <c r="N82" s="288">
        <v>0.1</v>
      </c>
      <c r="O82" s="288">
        <v>0.11</v>
      </c>
      <c r="P82" s="288">
        <v>0.12</v>
      </c>
      <c r="Q82" s="288">
        <v>0.13</v>
      </c>
      <c r="R82" s="288">
        <v>0.14000000000000001</v>
      </c>
      <c r="S82" s="288">
        <v>0.15</v>
      </c>
      <c r="T82" s="288">
        <v>0.16</v>
      </c>
      <c r="U82" s="288">
        <v>0.17</v>
      </c>
      <c r="V82" s="288">
        <v>0.17404156328307185</v>
      </c>
      <c r="W82" s="288">
        <v>0.17798566991854414</v>
      </c>
      <c r="X82" s="288">
        <v>0.18137956905654917</v>
      </c>
      <c r="Y82" s="288">
        <v>0.18463850151655653</v>
      </c>
      <c r="Z82" s="288">
        <v>0.18789745682818948</v>
      </c>
      <c r="AA82" s="288">
        <v>0.19103152820232944</v>
      </c>
      <c r="AB82" s="288">
        <v>0.19402530591464412</v>
      </c>
      <c r="AC82" s="288">
        <v>0.19704741526585848</v>
      </c>
      <c r="AD82" s="288">
        <v>0.19995697420557795</v>
      </c>
      <c r="AE82" s="288">
        <v>0.20403395644333747</v>
      </c>
      <c r="AF82" s="288">
        <v>0.20811255167871437</v>
      </c>
      <c r="AG82" s="288">
        <v>0.21219339983472468</v>
      </c>
      <c r="AH82" s="288">
        <v>0.21627722310535344</v>
      </c>
      <c r="AI82" s="288">
        <v>0.22036474340483864</v>
      </c>
      <c r="AJ82" s="288">
        <v>0.22032927856976783</v>
      </c>
      <c r="AK82" s="288">
        <v>0.2203009092747315</v>
      </c>
      <c r="AL82" s="288">
        <v>0.22027962625667219</v>
      </c>
      <c r="AM82" s="288">
        <v>0.22026542256693735</v>
      </c>
      <c r="AN82" s="288">
        <v>0.22025829357128593</v>
      </c>
    </row>
    <row r="83" spans="1:42">
      <c r="A83" s="30" t="str">
        <f>INDEX('Scenario names'!$C$3:$C$6,2)</f>
        <v>High Hydrogen</v>
      </c>
      <c r="B83" t="s">
        <v>437</v>
      </c>
      <c r="C83" t="s">
        <v>439</v>
      </c>
      <c r="D83" t="str">
        <f t="shared" si="43"/>
        <v>% heat demand in EPC C + Non-Domestic - ExistingHigh Hydrogen</v>
      </c>
      <c r="E83" s="288">
        <v>0.17</v>
      </c>
      <c r="F83" s="288">
        <v>0.17</v>
      </c>
      <c r="G83" s="288">
        <v>0.17</v>
      </c>
      <c r="H83" s="288">
        <v>0.17</v>
      </c>
      <c r="I83" s="288">
        <v>0.17</v>
      </c>
      <c r="J83" s="288">
        <v>0.17</v>
      </c>
      <c r="K83" s="288">
        <v>0.17</v>
      </c>
      <c r="L83" s="288">
        <v>0.17</v>
      </c>
      <c r="M83" s="288">
        <v>0.17</v>
      </c>
      <c r="N83" s="288">
        <v>0.17</v>
      </c>
      <c r="O83" s="288">
        <v>0.17</v>
      </c>
      <c r="P83" s="288">
        <v>0.17</v>
      </c>
      <c r="Q83" s="288">
        <v>0.17</v>
      </c>
      <c r="R83" s="288">
        <v>0.17</v>
      </c>
      <c r="S83" s="288">
        <v>0.17</v>
      </c>
      <c r="T83" s="288">
        <v>0.19</v>
      </c>
      <c r="U83" s="288">
        <v>0.21</v>
      </c>
      <c r="V83" s="288">
        <v>0.23</v>
      </c>
      <c r="W83" s="288">
        <v>0.24</v>
      </c>
      <c r="X83" s="288">
        <v>0.26</v>
      </c>
      <c r="Y83" s="288">
        <v>0.27</v>
      </c>
      <c r="Z83" s="288">
        <v>0.27500000000000002</v>
      </c>
      <c r="AA83" s="288">
        <v>0.28000000000000003</v>
      </c>
      <c r="AB83" s="288">
        <v>0.28499999999999998</v>
      </c>
      <c r="AC83" s="288">
        <v>0.28999999999999998</v>
      </c>
      <c r="AD83" s="288">
        <v>0.3</v>
      </c>
      <c r="AE83" s="288">
        <v>0.30499999999999999</v>
      </c>
      <c r="AF83" s="288">
        <v>0.31</v>
      </c>
      <c r="AG83" s="288">
        <v>0.3155</v>
      </c>
      <c r="AH83" s="288">
        <v>0.32100000000000001</v>
      </c>
      <c r="AI83" s="288">
        <v>0.32650000000000001</v>
      </c>
      <c r="AJ83" s="288">
        <v>0.32540000000000002</v>
      </c>
      <c r="AK83" s="288">
        <v>0.32429999999999998</v>
      </c>
      <c r="AL83" s="288">
        <v>0.32300000000000001</v>
      </c>
      <c r="AM83" s="288">
        <v>0.32190000000000002</v>
      </c>
      <c r="AN83" s="288">
        <v>0.32079999999999997</v>
      </c>
    </row>
    <row r="84" spans="1:42">
      <c r="A84" s="30" t="str">
        <f>INDEX('Scenario names'!$C$3:$C$6,3)</f>
        <v>Accelerated Green</v>
      </c>
      <c r="B84" t="s">
        <v>437</v>
      </c>
      <c r="C84" t="s">
        <v>438</v>
      </c>
      <c r="D84" t="str">
        <f t="shared" si="43"/>
        <v>% heat demand in EPC C + Domestic - ExistingAccelerated Green</v>
      </c>
      <c r="E84" s="288">
        <v>0.65</v>
      </c>
      <c r="F84" s="288">
        <v>0.65</v>
      </c>
      <c r="G84" s="288">
        <v>0.65</v>
      </c>
      <c r="H84" s="288">
        <v>0.65</v>
      </c>
      <c r="I84" s="288">
        <v>0.65</v>
      </c>
      <c r="J84" s="288">
        <v>0.65</v>
      </c>
      <c r="K84" s="288">
        <v>0.65</v>
      </c>
      <c r="L84" s="288">
        <v>0.65</v>
      </c>
      <c r="M84" s="288">
        <v>0.65</v>
      </c>
      <c r="N84" s="288">
        <v>0.65</v>
      </c>
      <c r="O84" s="288">
        <v>0.65</v>
      </c>
      <c r="P84" s="288">
        <v>0.65</v>
      </c>
      <c r="Q84" s="288">
        <v>0.65</v>
      </c>
      <c r="R84" s="288">
        <v>0.65</v>
      </c>
      <c r="S84" s="288">
        <v>0.65</v>
      </c>
      <c r="T84" s="288">
        <v>0.65</v>
      </c>
      <c r="U84" s="288">
        <v>0.65</v>
      </c>
      <c r="V84" s="288">
        <v>0.65999999999999992</v>
      </c>
      <c r="W84" s="288">
        <v>0.66985821543402579</v>
      </c>
      <c r="X84" s="288">
        <v>0.67938623013858179</v>
      </c>
      <c r="Y84" s="288">
        <v>0.68873646338574468</v>
      </c>
      <c r="Z84" s="288">
        <v>0.69777288454044095</v>
      </c>
      <c r="AA84" s="288">
        <v>0.70648622782336357</v>
      </c>
      <c r="AB84" s="288">
        <v>0.71507441037772967</v>
      </c>
      <c r="AC84" s="288">
        <v>0.72337605224632362</v>
      </c>
      <c r="AD84" s="288">
        <v>0.73139247034255539</v>
      </c>
      <c r="AE84" s="288">
        <v>0.73139247034255539</v>
      </c>
      <c r="AF84" s="288">
        <v>0.73139247034255539</v>
      </c>
      <c r="AG84" s="288">
        <v>0.73139247034255539</v>
      </c>
      <c r="AH84" s="288">
        <v>0.73139247034255539</v>
      </c>
      <c r="AI84" s="288">
        <v>0.73139247034255539</v>
      </c>
      <c r="AJ84" s="288">
        <v>0.73139247034255539</v>
      </c>
      <c r="AK84" s="288">
        <v>0.73139247034255539</v>
      </c>
      <c r="AL84" s="288">
        <v>0.73139247034255539</v>
      </c>
      <c r="AM84" s="288">
        <v>0.73139247034255539</v>
      </c>
      <c r="AN84" s="288">
        <v>0.73139247034255539</v>
      </c>
    </row>
    <row r="85" spans="1:42">
      <c r="A85" s="30" t="str">
        <f>INDEX('Scenario names'!$C$3:$C$6,3)</f>
        <v>Accelerated Green</v>
      </c>
      <c r="B85" t="s">
        <v>437</v>
      </c>
      <c r="C85" t="s">
        <v>439</v>
      </c>
      <c r="D85" t="str">
        <f t="shared" si="43"/>
        <v>% heat demand in EPC C + Non-Domestic - ExistingAccelerated Green</v>
      </c>
      <c r="E85" s="288">
        <v>0.4</v>
      </c>
      <c r="F85" s="288">
        <v>0.4</v>
      </c>
      <c r="G85" s="288">
        <v>0.4</v>
      </c>
      <c r="H85" s="288">
        <v>0.4</v>
      </c>
      <c r="I85" s="288">
        <v>0.4</v>
      </c>
      <c r="J85" s="288">
        <v>0.4</v>
      </c>
      <c r="K85" s="288">
        <v>0.4</v>
      </c>
      <c r="L85" s="288">
        <v>0.4</v>
      </c>
      <c r="M85" s="288">
        <v>0.4</v>
      </c>
      <c r="N85" s="288">
        <v>0.4</v>
      </c>
      <c r="O85" s="288">
        <v>0.4</v>
      </c>
      <c r="P85" s="288">
        <v>0.4</v>
      </c>
      <c r="Q85" s="288">
        <v>0.4</v>
      </c>
      <c r="R85" s="288">
        <v>0.4</v>
      </c>
      <c r="S85" s="288">
        <v>0.45</v>
      </c>
      <c r="T85" s="288">
        <v>0.5</v>
      </c>
      <c r="U85" s="288">
        <v>0.55000000000000004</v>
      </c>
      <c r="V85" s="288">
        <v>0.6</v>
      </c>
      <c r="W85" s="288">
        <v>0.623</v>
      </c>
      <c r="X85" s="288">
        <v>0.64349999999999996</v>
      </c>
      <c r="Y85" s="288">
        <v>0.65500000000000003</v>
      </c>
      <c r="Z85" s="288">
        <v>0.65700000000000003</v>
      </c>
      <c r="AA85" s="288">
        <v>0.65900000000000003</v>
      </c>
      <c r="AB85" s="288">
        <v>0.66100000000000003</v>
      </c>
      <c r="AC85" s="288">
        <v>0.66300000000000003</v>
      </c>
      <c r="AD85" s="288">
        <v>0.66500000000000004</v>
      </c>
      <c r="AE85" s="288">
        <v>0.67400000000000004</v>
      </c>
      <c r="AF85" s="288">
        <v>0.68300000000000005</v>
      </c>
      <c r="AG85" s="288">
        <v>0.69199999999999995</v>
      </c>
      <c r="AH85" s="288">
        <v>0.70099999999999996</v>
      </c>
      <c r="AI85" s="288">
        <v>0.71</v>
      </c>
      <c r="AJ85" s="288">
        <v>0.71</v>
      </c>
      <c r="AK85" s="288">
        <v>0.71</v>
      </c>
      <c r="AL85" s="288">
        <v>0.71</v>
      </c>
      <c r="AM85" s="288">
        <v>0.71</v>
      </c>
      <c r="AN85" s="288">
        <v>0.71</v>
      </c>
    </row>
    <row r="86" spans="1:42">
      <c r="A86" s="30" t="str">
        <f>INDEX('Scenario names'!$C$3:$C$6,4)</f>
        <v>No Constraints</v>
      </c>
      <c r="B86" t="s">
        <v>437</v>
      </c>
      <c r="C86" t="s">
        <v>438</v>
      </c>
      <c r="D86" t="str">
        <f t="shared" si="43"/>
        <v>% heat demand in EPC C + Domestic - ExistingNo Constraints</v>
      </c>
      <c r="E86" s="288">
        <v>0.22874092048119773</v>
      </c>
      <c r="F86" s="288">
        <v>0.22874092048119773</v>
      </c>
      <c r="G86" s="288">
        <v>0.22874092048119773</v>
      </c>
      <c r="H86" s="288">
        <v>0.22874092048119773</v>
      </c>
      <c r="I86" s="288">
        <v>0.2287450477935952</v>
      </c>
      <c r="J86" s="288">
        <v>0.23487090283217618</v>
      </c>
      <c r="K86" s="288">
        <v>0.25384856892157187</v>
      </c>
      <c r="L86" s="288">
        <v>0.32477367087982445</v>
      </c>
      <c r="M86" s="288">
        <v>0.44697507431380329</v>
      </c>
      <c r="N86" s="288">
        <v>0.58142049367067739</v>
      </c>
      <c r="O86" s="288">
        <v>0.70246121943730255</v>
      </c>
      <c r="P86" s="288">
        <v>0.80545779744188695</v>
      </c>
      <c r="Q86" s="288">
        <v>0.89015087556234274</v>
      </c>
      <c r="R86" s="288">
        <v>0.95413999819126116</v>
      </c>
      <c r="S86" s="288">
        <v>0.98866804672733777</v>
      </c>
      <c r="T86" s="288">
        <v>1</v>
      </c>
      <c r="U86" s="288">
        <v>1</v>
      </c>
      <c r="V86" s="288">
        <v>1</v>
      </c>
      <c r="W86" s="288">
        <v>1</v>
      </c>
      <c r="X86" s="288">
        <v>1</v>
      </c>
      <c r="Y86" s="288">
        <v>1</v>
      </c>
      <c r="Z86" s="288">
        <v>1</v>
      </c>
      <c r="AA86" s="288">
        <v>1</v>
      </c>
      <c r="AB86" s="288">
        <v>1</v>
      </c>
      <c r="AC86" s="288">
        <v>1</v>
      </c>
      <c r="AD86" s="288">
        <v>1</v>
      </c>
      <c r="AE86" s="288">
        <v>1</v>
      </c>
      <c r="AF86" s="288">
        <v>1</v>
      </c>
      <c r="AG86" s="288">
        <v>1</v>
      </c>
      <c r="AH86" s="288">
        <v>1</v>
      </c>
      <c r="AI86" s="288">
        <v>1</v>
      </c>
      <c r="AJ86" s="288">
        <v>1</v>
      </c>
      <c r="AK86" s="288">
        <v>1</v>
      </c>
      <c r="AL86" s="288">
        <v>1</v>
      </c>
      <c r="AM86" s="288">
        <v>1</v>
      </c>
      <c r="AN86" s="288">
        <v>1</v>
      </c>
    </row>
    <row r="87" spans="1:42">
      <c r="A87" s="30" t="str">
        <f>INDEX('Scenario names'!$C$3:$C$6,4)</f>
        <v>No Constraints</v>
      </c>
      <c r="B87" t="s">
        <v>437</v>
      </c>
      <c r="C87" t="s">
        <v>439</v>
      </c>
      <c r="D87" t="str">
        <f t="shared" si="43"/>
        <v>% heat demand in EPC C + Non-Domestic - ExistingNo Constraints</v>
      </c>
      <c r="E87" s="288">
        <v>0.17816230029334498</v>
      </c>
      <c r="F87" s="288">
        <v>0.17816230029334498</v>
      </c>
      <c r="G87" s="288">
        <v>0.17816230029334498</v>
      </c>
      <c r="H87" s="288">
        <v>0.17816230029334498</v>
      </c>
      <c r="I87" s="288">
        <v>0.17816669827194487</v>
      </c>
      <c r="J87" s="288">
        <v>0.18469428251352668</v>
      </c>
      <c r="K87" s="288">
        <v>0.20491649040564097</v>
      </c>
      <c r="L87" s="288">
        <v>0.28049280994951908</v>
      </c>
      <c r="M87" s="288">
        <v>0.41070809423734284</v>
      </c>
      <c r="N87" s="288">
        <v>0.55397034827691594</v>
      </c>
      <c r="O87" s="288">
        <v>0.68294883848403476</v>
      </c>
      <c r="P87" s="288">
        <v>0.79269985859229275</v>
      </c>
      <c r="Q87" s="288">
        <v>0.88294704835246818</v>
      </c>
      <c r="R87" s="288">
        <v>0.95113253199099845</v>
      </c>
      <c r="S87" s="288">
        <v>0.98792490531638399</v>
      </c>
      <c r="T87" s="288">
        <v>1</v>
      </c>
      <c r="U87" s="288">
        <v>1</v>
      </c>
      <c r="V87" s="288">
        <v>1</v>
      </c>
      <c r="W87" s="288">
        <v>1</v>
      </c>
      <c r="X87" s="288">
        <v>1</v>
      </c>
      <c r="Y87" s="288">
        <v>1</v>
      </c>
      <c r="Z87" s="288">
        <v>1</v>
      </c>
      <c r="AA87" s="288">
        <v>1</v>
      </c>
      <c r="AB87" s="288">
        <v>1</v>
      </c>
      <c r="AC87" s="288">
        <v>1</v>
      </c>
      <c r="AD87" s="288">
        <v>1</v>
      </c>
      <c r="AE87" s="288">
        <v>1</v>
      </c>
      <c r="AF87" s="288">
        <v>1</v>
      </c>
      <c r="AG87" s="288">
        <v>1</v>
      </c>
      <c r="AH87" s="288">
        <v>1</v>
      </c>
      <c r="AI87" s="288">
        <v>1</v>
      </c>
      <c r="AJ87" s="288">
        <v>1</v>
      </c>
      <c r="AK87" s="288">
        <v>1</v>
      </c>
      <c r="AL87" s="288">
        <v>1</v>
      </c>
      <c r="AM87" s="288">
        <v>1</v>
      </c>
      <c r="AN87" s="288">
        <v>1</v>
      </c>
    </row>
    <row r="88" spans="1:42">
      <c r="A88" s="30" t="s">
        <v>440</v>
      </c>
      <c r="B88" t="s">
        <v>437</v>
      </c>
      <c r="C88" t="s">
        <v>438</v>
      </c>
      <c r="D88" t="str">
        <f t="shared" si="43"/>
        <v>% heat demand in EPC C + Domestic - ExistingN/A</v>
      </c>
      <c r="E88" s="288">
        <v>0.22874092048119773</v>
      </c>
      <c r="F88" s="288">
        <v>0.22874092048119773</v>
      </c>
      <c r="G88" s="288">
        <v>0.22874092048119773</v>
      </c>
      <c r="H88" s="288">
        <v>0.22874092048119773</v>
      </c>
      <c r="I88" s="288">
        <v>0.22874092048119773</v>
      </c>
      <c r="J88" s="288">
        <v>0.22874092048119773</v>
      </c>
      <c r="K88" s="288">
        <v>0.22874092048119773</v>
      </c>
      <c r="L88" s="288">
        <v>0.22874092048119773</v>
      </c>
      <c r="M88" s="288">
        <v>0.22874092048119773</v>
      </c>
      <c r="N88" s="288">
        <v>0.22874092048119773</v>
      </c>
      <c r="O88" s="288">
        <v>0.22874092048119773</v>
      </c>
      <c r="P88" s="288">
        <v>0.22874092048119773</v>
      </c>
      <c r="Q88" s="288">
        <v>0.22874092048119773</v>
      </c>
      <c r="R88" s="288">
        <v>0.22874092048119773</v>
      </c>
      <c r="S88" s="288">
        <v>0.22874092048119773</v>
      </c>
      <c r="T88" s="288">
        <v>0.22874092048119773</v>
      </c>
      <c r="U88" s="288">
        <v>0.22874092048119773</v>
      </c>
      <c r="V88" s="288">
        <v>0.22874092048119773</v>
      </c>
      <c r="W88" s="288">
        <v>0.22874092048119773</v>
      </c>
      <c r="X88" s="288">
        <v>0.22874092048119773</v>
      </c>
      <c r="Y88" s="288">
        <v>0.22874092048119773</v>
      </c>
      <c r="Z88" s="288">
        <v>0.22874092048119773</v>
      </c>
      <c r="AA88" s="288">
        <v>0.22874092048119773</v>
      </c>
      <c r="AB88" s="288">
        <v>0.22874092048119773</v>
      </c>
      <c r="AC88" s="288">
        <v>0.22874092048119773</v>
      </c>
      <c r="AD88" s="288">
        <v>0.22874092048119773</v>
      </c>
      <c r="AE88" s="288">
        <v>0.22874092048119773</v>
      </c>
      <c r="AF88" s="288">
        <v>0.22874092048119773</v>
      </c>
      <c r="AG88" s="288">
        <v>0.22874092048119773</v>
      </c>
      <c r="AH88" s="288">
        <v>0.22874092048119773</v>
      </c>
      <c r="AI88" s="288">
        <v>0.22874092048119773</v>
      </c>
      <c r="AJ88" s="288">
        <v>0.22874092048119773</v>
      </c>
      <c r="AK88" s="288">
        <v>0.22874092048119773</v>
      </c>
      <c r="AL88" s="288">
        <v>0.22874092048119773</v>
      </c>
      <c r="AM88" s="288">
        <v>0.22874092048119773</v>
      </c>
      <c r="AN88" s="288">
        <v>0.22874092048119773</v>
      </c>
    </row>
    <row r="89" spans="1:42">
      <c r="A89" s="30" t="s">
        <v>440</v>
      </c>
      <c r="B89" t="s">
        <v>437</v>
      </c>
      <c r="C89" t="s">
        <v>439</v>
      </c>
      <c r="D89" t="str">
        <f t="shared" si="43"/>
        <v>% heat demand in EPC C + Non-Domestic - ExistingN/A</v>
      </c>
      <c r="E89" s="288">
        <v>0.17816230029334498</v>
      </c>
      <c r="F89" s="288">
        <v>0.17816230029334498</v>
      </c>
      <c r="G89" s="288">
        <v>0.17816230029334498</v>
      </c>
      <c r="H89" s="288">
        <v>0.17816230029334498</v>
      </c>
      <c r="I89" s="288">
        <v>0.17816230029334498</v>
      </c>
      <c r="J89" s="288">
        <v>0.17816230029334498</v>
      </c>
      <c r="K89" s="288">
        <v>0.17816230029334498</v>
      </c>
      <c r="L89" s="288">
        <v>0.17816230029334498</v>
      </c>
      <c r="M89" s="288">
        <v>0.17816230029334498</v>
      </c>
      <c r="N89" s="288">
        <v>0.17816230029334498</v>
      </c>
      <c r="O89" s="288">
        <v>0.17816230029334498</v>
      </c>
      <c r="P89" s="288">
        <v>0.17816230029334498</v>
      </c>
      <c r="Q89" s="288">
        <v>0.17816230029334498</v>
      </c>
      <c r="R89" s="288">
        <v>0.17816230029334498</v>
      </c>
      <c r="S89" s="288">
        <v>0.17816230029334498</v>
      </c>
      <c r="T89" s="288">
        <v>0.17816230029334498</v>
      </c>
      <c r="U89" s="288">
        <v>0.17816230029334498</v>
      </c>
      <c r="V89" s="288">
        <v>0.17816230029334498</v>
      </c>
      <c r="W89" s="288">
        <v>0.17816230029334498</v>
      </c>
      <c r="X89" s="288">
        <v>0.17816230029334498</v>
      </c>
      <c r="Y89" s="288">
        <v>0.17816230029334498</v>
      </c>
      <c r="Z89" s="288">
        <v>0.17816230029334498</v>
      </c>
      <c r="AA89" s="288">
        <v>0.17816230029334498</v>
      </c>
      <c r="AB89" s="288">
        <v>0.17816230029334498</v>
      </c>
      <c r="AC89" s="288">
        <v>0.17816230029334498</v>
      </c>
      <c r="AD89" s="288">
        <v>0.17816230029334498</v>
      </c>
      <c r="AE89" s="288">
        <v>0.17816230029334498</v>
      </c>
      <c r="AF89" s="288">
        <v>0.17816230029334498</v>
      </c>
      <c r="AG89" s="288">
        <v>0.17816230029334498</v>
      </c>
      <c r="AH89" s="288">
        <v>0.17816230029334498</v>
      </c>
      <c r="AI89" s="288">
        <v>0.17816230029334498</v>
      </c>
      <c r="AJ89" s="288">
        <v>0.17816230029334498</v>
      </c>
      <c r="AK89" s="288">
        <v>0.17816230029334498</v>
      </c>
      <c r="AL89" s="288">
        <v>0.17816230029334498</v>
      </c>
      <c r="AM89" s="288">
        <v>0.17816230029334498</v>
      </c>
      <c r="AN89" s="288">
        <v>0.17816230029334498</v>
      </c>
    </row>
    <row r="90" spans="1:42">
      <c r="A90" s="30" t="s">
        <v>440</v>
      </c>
      <c r="B90" t="s">
        <v>437</v>
      </c>
      <c r="C90" t="s">
        <v>438</v>
      </c>
      <c r="D90" t="str">
        <f t="shared" si="43"/>
        <v>% heat demand in EPC C + Domestic - ExistingN/A</v>
      </c>
      <c r="E90" s="288">
        <f>E88</f>
        <v>0.22874092048119773</v>
      </c>
      <c r="F90" s="288">
        <f t="shared" ref="F90:AN90" si="44">F88</f>
        <v>0.22874092048119773</v>
      </c>
      <c r="G90" s="288">
        <f t="shared" si="44"/>
        <v>0.22874092048119773</v>
      </c>
      <c r="H90" s="288">
        <f t="shared" si="44"/>
        <v>0.22874092048119773</v>
      </c>
      <c r="I90" s="288">
        <f t="shared" si="44"/>
        <v>0.22874092048119773</v>
      </c>
      <c r="J90" s="288">
        <f t="shared" si="44"/>
        <v>0.22874092048119773</v>
      </c>
      <c r="K90" s="288">
        <f t="shared" si="44"/>
        <v>0.22874092048119773</v>
      </c>
      <c r="L90" s="288">
        <f t="shared" si="44"/>
        <v>0.22874092048119773</v>
      </c>
      <c r="M90" s="288">
        <f t="shared" si="44"/>
        <v>0.22874092048119773</v>
      </c>
      <c r="N90" s="288">
        <f t="shared" si="44"/>
        <v>0.22874092048119773</v>
      </c>
      <c r="O90" s="288">
        <f t="shared" si="44"/>
        <v>0.22874092048119773</v>
      </c>
      <c r="P90" s="288">
        <f t="shared" si="44"/>
        <v>0.22874092048119773</v>
      </c>
      <c r="Q90" s="288">
        <f t="shared" si="44"/>
        <v>0.22874092048119773</v>
      </c>
      <c r="R90" s="288">
        <f t="shared" si="44"/>
        <v>0.22874092048119773</v>
      </c>
      <c r="S90" s="288">
        <f t="shared" si="44"/>
        <v>0.22874092048119773</v>
      </c>
      <c r="T90" s="288">
        <f t="shared" si="44"/>
        <v>0.22874092048119773</v>
      </c>
      <c r="U90" s="288">
        <f t="shared" si="44"/>
        <v>0.22874092048119773</v>
      </c>
      <c r="V90" s="288">
        <f t="shared" si="44"/>
        <v>0.22874092048119773</v>
      </c>
      <c r="W90" s="288">
        <f t="shared" si="44"/>
        <v>0.22874092048119773</v>
      </c>
      <c r="X90" s="288">
        <f t="shared" si="44"/>
        <v>0.22874092048119773</v>
      </c>
      <c r="Y90" s="288">
        <f t="shared" si="44"/>
        <v>0.22874092048119773</v>
      </c>
      <c r="Z90" s="288">
        <f t="shared" si="44"/>
        <v>0.22874092048119773</v>
      </c>
      <c r="AA90" s="288">
        <f t="shared" si="44"/>
        <v>0.22874092048119773</v>
      </c>
      <c r="AB90" s="288">
        <f t="shared" si="44"/>
        <v>0.22874092048119773</v>
      </c>
      <c r="AC90" s="288">
        <f t="shared" si="44"/>
        <v>0.22874092048119773</v>
      </c>
      <c r="AD90" s="288">
        <f t="shared" si="44"/>
        <v>0.22874092048119773</v>
      </c>
      <c r="AE90" s="288">
        <f t="shared" si="44"/>
        <v>0.22874092048119773</v>
      </c>
      <c r="AF90" s="288">
        <f t="shared" si="44"/>
        <v>0.22874092048119773</v>
      </c>
      <c r="AG90" s="288">
        <f t="shared" si="44"/>
        <v>0.22874092048119773</v>
      </c>
      <c r="AH90" s="288">
        <f t="shared" si="44"/>
        <v>0.22874092048119773</v>
      </c>
      <c r="AI90" s="288">
        <f t="shared" si="44"/>
        <v>0.22874092048119773</v>
      </c>
      <c r="AJ90" s="288">
        <f t="shared" si="44"/>
        <v>0.22874092048119773</v>
      </c>
      <c r="AK90" s="288">
        <f t="shared" si="44"/>
        <v>0.22874092048119773</v>
      </c>
      <c r="AL90" s="288">
        <f t="shared" si="44"/>
        <v>0.22874092048119773</v>
      </c>
      <c r="AM90" s="288">
        <f t="shared" si="44"/>
        <v>0.22874092048119773</v>
      </c>
      <c r="AN90" s="288">
        <f t="shared" si="44"/>
        <v>0.22874092048119773</v>
      </c>
    </row>
    <row r="91" spans="1:42">
      <c r="A91" s="30" t="s">
        <v>440</v>
      </c>
      <c r="B91" t="s">
        <v>437</v>
      </c>
      <c r="C91" t="s">
        <v>439</v>
      </c>
      <c r="D91" t="str">
        <f t="shared" si="43"/>
        <v>% heat demand in EPC C + Non-Domestic - ExistingN/A</v>
      </c>
      <c r="E91" s="288">
        <f t="shared" ref="E91" si="45">E89</f>
        <v>0.17816230029334498</v>
      </c>
      <c r="F91" s="288">
        <f t="shared" ref="F91:AN91" si="46">F89</f>
        <v>0.17816230029334498</v>
      </c>
      <c r="G91" s="288">
        <f t="shared" si="46"/>
        <v>0.17816230029334498</v>
      </c>
      <c r="H91" s="288">
        <f t="shared" si="46"/>
        <v>0.17816230029334498</v>
      </c>
      <c r="I91" s="288">
        <f t="shared" si="46"/>
        <v>0.17816230029334498</v>
      </c>
      <c r="J91" s="288">
        <f t="shared" si="46"/>
        <v>0.17816230029334498</v>
      </c>
      <c r="K91" s="288">
        <f t="shared" si="46"/>
        <v>0.17816230029334498</v>
      </c>
      <c r="L91" s="288">
        <f t="shared" si="46"/>
        <v>0.17816230029334498</v>
      </c>
      <c r="M91" s="288">
        <f t="shared" si="46"/>
        <v>0.17816230029334498</v>
      </c>
      <c r="N91" s="288">
        <f t="shared" si="46"/>
        <v>0.17816230029334498</v>
      </c>
      <c r="O91" s="288">
        <f t="shared" si="46"/>
        <v>0.17816230029334498</v>
      </c>
      <c r="P91" s="288">
        <f t="shared" si="46"/>
        <v>0.17816230029334498</v>
      </c>
      <c r="Q91" s="288">
        <f t="shared" si="46"/>
        <v>0.17816230029334498</v>
      </c>
      <c r="R91" s="288">
        <f t="shared" si="46"/>
        <v>0.17816230029334498</v>
      </c>
      <c r="S91" s="288">
        <f t="shared" si="46"/>
        <v>0.17816230029334498</v>
      </c>
      <c r="T91" s="288">
        <f t="shared" si="46"/>
        <v>0.17816230029334498</v>
      </c>
      <c r="U91" s="288">
        <f t="shared" si="46"/>
        <v>0.17816230029334498</v>
      </c>
      <c r="V91" s="288">
        <f t="shared" si="46"/>
        <v>0.17816230029334498</v>
      </c>
      <c r="W91" s="288">
        <f t="shared" si="46"/>
        <v>0.17816230029334498</v>
      </c>
      <c r="X91" s="288">
        <f t="shared" si="46"/>
        <v>0.17816230029334498</v>
      </c>
      <c r="Y91" s="288">
        <f t="shared" si="46"/>
        <v>0.17816230029334498</v>
      </c>
      <c r="Z91" s="288">
        <f t="shared" si="46"/>
        <v>0.17816230029334498</v>
      </c>
      <c r="AA91" s="288">
        <f t="shared" si="46"/>
        <v>0.17816230029334498</v>
      </c>
      <c r="AB91" s="288">
        <f t="shared" si="46"/>
        <v>0.17816230029334498</v>
      </c>
      <c r="AC91" s="288">
        <f t="shared" si="46"/>
        <v>0.17816230029334498</v>
      </c>
      <c r="AD91" s="288">
        <f t="shared" si="46"/>
        <v>0.17816230029334498</v>
      </c>
      <c r="AE91" s="288">
        <f t="shared" si="46"/>
        <v>0.17816230029334498</v>
      </c>
      <c r="AF91" s="288">
        <f t="shared" si="46"/>
        <v>0.17816230029334498</v>
      </c>
      <c r="AG91" s="288">
        <f t="shared" si="46"/>
        <v>0.17816230029334498</v>
      </c>
      <c r="AH91" s="288">
        <f t="shared" si="46"/>
        <v>0.17816230029334498</v>
      </c>
      <c r="AI91" s="288">
        <f t="shared" si="46"/>
        <v>0.17816230029334498</v>
      </c>
      <c r="AJ91" s="288">
        <f t="shared" si="46"/>
        <v>0.17816230029334498</v>
      </c>
      <c r="AK91" s="288">
        <f t="shared" si="46"/>
        <v>0.17816230029334498</v>
      </c>
      <c r="AL91" s="288">
        <f t="shared" si="46"/>
        <v>0.17816230029334498</v>
      </c>
      <c r="AM91" s="288">
        <f t="shared" si="46"/>
        <v>0.17816230029334498</v>
      </c>
      <c r="AN91" s="288">
        <f t="shared" si="46"/>
        <v>0.17816230029334498</v>
      </c>
    </row>
    <row r="92" spans="1:42">
      <c r="A92" s="30"/>
      <c r="E92" s="381"/>
      <c r="F92" s="381"/>
      <c r="G92" s="381"/>
      <c r="H92" s="381"/>
      <c r="I92" s="381"/>
      <c r="J92" s="381"/>
      <c r="K92" s="381"/>
      <c r="L92" s="381"/>
      <c r="M92" s="381"/>
      <c r="N92" s="381"/>
      <c r="O92" s="381"/>
      <c r="P92" s="381"/>
      <c r="Q92" s="381"/>
      <c r="R92" s="381"/>
      <c r="S92" s="381"/>
      <c r="T92" s="381"/>
      <c r="U92" s="381"/>
      <c r="V92" s="381"/>
      <c r="W92" s="381"/>
      <c r="X92" s="381"/>
      <c r="Y92" s="381"/>
      <c r="Z92" s="381"/>
      <c r="AA92" s="381"/>
      <c r="AB92" s="381"/>
      <c r="AC92" s="381"/>
      <c r="AD92" s="381"/>
      <c r="AE92" s="381"/>
      <c r="AF92" s="381"/>
      <c r="AG92" s="381"/>
      <c r="AH92" s="381"/>
      <c r="AI92" s="381"/>
      <c r="AJ92" s="381"/>
      <c r="AK92" s="381"/>
      <c r="AL92" s="381"/>
      <c r="AM92" s="381"/>
      <c r="AN92" s="381"/>
    </row>
    <row r="93" spans="1:42" s="30" customFormat="1" ht="15" customHeight="1">
      <c r="D93"/>
      <c r="E93"/>
      <c r="F93"/>
      <c r="AP93"/>
    </row>
    <row r="94" spans="1:42" s="492" customFormat="1">
      <c r="A94" s="491" t="s">
        <v>441</v>
      </c>
      <c r="B94" s="462" t="s">
        <v>442</v>
      </c>
      <c r="AP94" s="462"/>
    </row>
    <row r="95" spans="1:42" s="30" customFormat="1">
      <c r="A95" s="278" t="str">
        <f>A72</f>
        <v>Building retrofit</v>
      </c>
      <c r="B95" s="278"/>
      <c r="C95" s="278"/>
      <c r="D95" s="279" t="s">
        <v>443</v>
      </c>
      <c r="E95" s="258">
        <v>2015</v>
      </c>
      <c r="F95" s="259">
        <v>2016</v>
      </c>
      <c r="G95" s="259">
        <v>2017</v>
      </c>
      <c r="H95" s="259">
        <v>2018</v>
      </c>
      <c r="I95" s="259">
        <v>2019</v>
      </c>
      <c r="J95" s="259">
        <v>2020</v>
      </c>
      <c r="K95" s="259">
        <v>2021</v>
      </c>
      <c r="L95" s="259">
        <v>2022</v>
      </c>
      <c r="M95" s="259">
        <v>2023</v>
      </c>
      <c r="N95" s="259">
        <v>2024</v>
      </c>
      <c r="O95" s="259">
        <v>2025</v>
      </c>
      <c r="P95" s="259">
        <v>2026</v>
      </c>
      <c r="Q95" s="259">
        <v>2027</v>
      </c>
      <c r="R95" s="259">
        <v>2028</v>
      </c>
      <c r="S95" s="259">
        <v>2029</v>
      </c>
      <c r="T95" s="259">
        <v>2030</v>
      </c>
      <c r="U95" s="259">
        <v>2031</v>
      </c>
      <c r="V95" s="259">
        <v>2032</v>
      </c>
      <c r="W95" s="259">
        <v>2033</v>
      </c>
      <c r="X95" s="259">
        <v>2034</v>
      </c>
      <c r="Y95" s="259">
        <v>2035</v>
      </c>
      <c r="Z95" s="259">
        <v>2036</v>
      </c>
      <c r="AA95" s="259">
        <v>2037</v>
      </c>
      <c r="AB95" s="259">
        <v>2038</v>
      </c>
      <c r="AC95" s="259">
        <v>2039</v>
      </c>
      <c r="AD95" s="259">
        <v>2040</v>
      </c>
      <c r="AE95" s="259">
        <v>2041</v>
      </c>
      <c r="AF95" s="259">
        <v>2042</v>
      </c>
      <c r="AG95" s="259">
        <v>2043</v>
      </c>
      <c r="AH95" s="259">
        <v>2044</v>
      </c>
      <c r="AI95" s="259">
        <v>2045</v>
      </c>
      <c r="AJ95" s="259">
        <v>2046</v>
      </c>
      <c r="AK95" s="259">
        <v>2047</v>
      </c>
      <c r="AL95" s="259">
        <v>2048</v>
      </c>
      <c r="AM95" s="259">
        <v>2049</v>
      </c>
      <c r="AN95" s="260">
        <v>2050</v>
      </c>
      <c r="AP95"/>
    </row>
    <row r="96" spans="1:42">
      <c r="A96" t="s">
        <v>23</v>
      </c>
      <c r="B96" t="s">
        <v>444</v>
      </c>
      <c r="C96" t="s">
        <v>445</v>
      </c>
      <c r="D96" t="str">
        <f>C96&amp;A96</f>
        <v>Carbon emissionsCentral</v>
      </c>
      <c r="E96" s="80">
        <v>24.536442456359286</v>
      </c>
      <c r="F96" s="106">
        <v>21.181286101250649</v>
      </c>
      <c r="G96" s="106">
        <v>19.520902617925778</v>
      </c>
      <c r="H96" s="106">
        <v>19.137396891769136</v>
      </c>
      <c r="I96" s="106">
        <v>18.671196929345118</v>
      </c>
      <c r="J96" s="106">
        <v>17.987381765058455</v>
      </c>
      <c r="K96" s="106">
        <v>17.42467848485045</v>
      </c>
      <c r="L96" s="106">
        <v>16.267494179431434</v>
      </c>
      <c r="M96" s="106">
        <v>15.902700671290276</v>
      </c>
      <c r="N96" s="106">
        <v>15.858691666167847</v>
      </c>
      <c r="O96" s="80">
        <v>15.172418057848381</v>
      </c>
      <c r="P96" s="106">
        <v>13.930625711778056</v>
      </c>
      <c r="Q96" s="106">
        <v>13.860224371382358</v>
      </c>
      <c r="R96" s="106">
        <v>13.164667875623321</v>
      </c>
      <c r="S96" s="106">
        <v>12.417072384680374</v>
      </c>
      <c r="T96" s="106">
        <v>12.39954098367012</v>
      </c>
      <c r="U96" s="106">
        <v>11.947497620743169</v>
      </c>
      <c r="V96" s="106">
        <v>11.22984391701403</v>
      </c>
      <c r="W96" s="106">
        <v>10.997035295816225</v>
      </c>
      <c r="X96" s="106">
        <v>10.65140476678202</v>
      </c>
      <c r="Y96" s="106">
        <v>10.21617713496126</v>
      </c>
      <c r="Z96" s="106">
        <v>10.209255946323889</v>
      </c>
      <c r="AA96" s="106">
        <v>10.035441625714816</v>
      </c>
      <c r="AB96" s="106">
        <v>9.9184995892112102</v>
      </c>
      <c r="AC96" s="106">
        <v>9.990622614743021</v>
      </c>
      <c r="AD96" s="106">
        <v>10.016021470206033</v>
      </c>
      <c r="AE96" s="106">
        <v>9.9268337947712961</v>
      </c>
      <c r="AF96" s="106">
        <v>9.8427527287694456</v>
      </c>
      <c r="AG96" s="106">
        <v>9.7888889579504728</v>
      </c>
      <c r="AH96" s="106">
        <v>9.7101879183084119</v>
      </c>
      <c r="AI96" s="106">
        <v>9.6647485654888605</v>
      </c>
      <c r="AJ96" s="106">
        <v>9.5888800303348241</v>
      </c>
      <c r="AK96" s="106">
        <v>9.5186247615957456</v>
      </c>
      <c r="AL96" s="106">
        <v>9.4792490053482918</v>
      </c>
      <c r="AM96" s="106">
        <v>9.4149496222677556</v>
      </c>
      <c r="AN96" s="80">
        <v>9.3741548482314538</v>
      </c>
      <c r="AO96" s="30"/>
    </row>
    <row r="97" spans="1:42" s="35" customFormat="1">
      <c r="A97" t="s">
        <v>23</v>
      </c>
      <c r="B97" t="s">
        <v>446</v>
      </c>
      <c r="C97" t="s">
        <v>447</v>
      </c>
      <c r="D97" t="str">
        <f t="shared" ref="D97:D153" si="47">C97&amp;A97</f>
        <v>Domestic heat demandCentral</v>
      </c>
      <c r="E97" s="59">
        <v>34208540661.939991</v>
      </c>
      <c r="F97" s="59">
        <v>34436853702.751373</v>
      </c>
      <c r="G97" s="59">
        <v>34665166743.562752</v>
      </c>
      <c r="H97" s="59">
        <v>34893479784.374138</v>
      </c>
      <c r="I97" s="59">
        <v>35105092816.294228</v>
      </c>
      <c r="J97" s="59">
        <v>35263296828.173943</v>
      </c>
      <c r="K97" s="59">
        <v>35313681216.023674</v>
      </c>
      <c r="L97" s="59">
        <v>35291789150.888206</v>
      </c>
      <c r="M97" s="59">
        <v>35185776094.14373</v>
      </c>
      <c r="N97" s="59">
        <v>35019306641.854515</v>
      </c>
      <c r="O97" s="59">
        <v>34738097375.334091</v>
      </c>
      <c r="P97" s="59">
        <v>34348560388.52758</v>
      </c>
      <c r="Q97" s="59">
        <v>33889222577.867081</v>
      </c>
      <c r="R97" s="59">
        <v>33410339559.673969</v>
      </c>
      <c r="S97" s="59">
        <v>32866525187.300907</v>
      </c>
      <c r="T97" s="59">
        <v>32318281501.101967</v>
      </c>
      <c r="U97" s="59">
        <v>31875404067.212475</v>
      </c>
      <c r="V97" s="59">
        <v>31482063829.2463</v>
      </c>
      <c r="W97" s="59">
        <v>31137326381.077168</v>
      </c>
      <c r="X97" s="59">
        <v>30840500678.506203</v>
      </c>
      <c r="Y97" s="59">
        <v>30724875694.055088</v>
      </c>
      <c r="Z97" s="59">
        <v>30650620147.236996</v>
      </c>
      <c r="AA97" s="59">
        <v>30577924536.120335</v>
      </c>
      <c r="AB97" s="59">
        <v>30635707565.60923</v>
      </c>
      <c r="AC97" s="59">
        <v>30694785327.965515</v>
      </c>
      <c r="AD97" s="59">
        <v>30755155252.63084</v>
      </c>
      <c r="AE97" s="59">
        <v>30816729743.760384</v>
      </c>
      <c r="AF97" s="59">
        <v>30879492564.394493</v>
      </c>
      <c r="AG97" s="59">
        <v>30943441177.42577</v>
      </c>
      <c r="AH97" s="59">
        <v>31008573362.901047</v>
      </c>
      <c r="AI97" s="59">
        <v>31074887218.015091</v>
      </c>
      <c r="AJ97" s="59">
        <v>31142381157.105152</v>
      </c>
      <c r="AK97" s="59">
        <v>31211053911.646465</v>
      </c>
      <c r="AL97" s="59">
        <v>31280904530.248604</v>
      </c>
      <c r="AM97" s="59">
        <v>31351932378.652809</v>
      </c>
      <c r="AN97" s="59">
        <v>31424137139.730129</v>
      </c>
      <c r="AO97" s="30"/>
      <c r="AP97"/>
    </row>
    <row r="98" spans="1:42" s="35" customFormat="1">
      <c r="A98" t="s">
        <v>23</v>
      </c>
      <c r="B98" t="s">
        <v>446</v>
      </c>
      <c r="C98" t="s">
        <v>448</v>
      </c>
      <c r="D98" t="str">
        <f t="shared" si="47"/>
        <v>Non-domestic heat demandCentral</v>
      </c>
      <c r="E98" s="381">
        <v>18723008369.73642</v>
      </c>
      <c r="F98" s="381">
        <v>18769464337.131519</v>
      </c>
      <c r="G98" s="381">
        <v>18815920304.526627</v>
      </c>
      <c r="H98" s="381">
        <v>18862376271.921734</v>
      </c>
      <c r="I98" s="381">
        <v>18882639068.063377</v>
      </c>
      <c r="J98" s="381">
        <v>18876877310.17984</v>
      </c>
      <c r="K98" s="381">
        <v>18802936789.167709</v>
      </c>
      <c r="L98" s="381">
        <v>18661226293.540539</v>
      </c>
      <c r="M98" s="381">
        <v>18448155231.739239</v>
      </c>
      <c r="N98" s="381">
        <v>18178200796.275002</v>
      </c>
      <c r="O98" s="381">
        <v>17857343935.818771</v>
      </c>
      <c r="P98" s="381">
        <v>17466756865.323486</v>
      </c>
      <c r="Q98" s="381">
        <v>17018693053.46104</v>
      </c>
      <c r="R98" s="381">
        <v>16523515036.235813</v>
      </c>
      <c r="S98" s="381">
        <v>15974700066.282475</v>
      </c>
      <c r="T98" s="381">
        <v>15432425172.647335</v>
      </c>
      <c r="U98" s="381">
        <v>14976770762.239487</v>
      </c>
      <c r="V98" s="381">
        <v>14605933086.807468</v>
      </c>
      <c r="W98" s="381">
        <v>14318520460.478245</v>
      </c>
      <c r="X98" s="381">
        <v>14113555646.149366</v>
      </c>
      <c r="Y98" s="381">
        <v>14120782598.118412</v>
      </c>
      <c r="Z98" s="381">
        <v>14129910188.001543</v>
      </c>
      <c r="AA98" s="381">
        <v>14140446338.346802</v>
      </c>
      <c r="AB98" s="381">
        <v>14152870790.815464</v>
      </c>
      <c r="AC98" s="381">
        <v>14167180671.250143</v>
      </c>
      <c r="AD98" s="381">
        <v>14183373345.083843</v>
      </c>
      <c r="AE98" s="381">
        <v>14201419613.039207</v>
      </c>
      <c r="AF98" s="381">
        <v>14221317032.962055</v>
      </c>
      <c r="AG98" s="381">
        <v>14243063448.99629</v>
      </c>
      <c r="AH98" s="381">
        <v>14266656991.82012</v>
      </c>
      <c r="AI98" s="381">
        <v>14292096078.930826</v>
      </c>
      <c r="AJ98" s="381">
        <v>14319379414.978569</v>
      </c>
      <c r="AK98" s="381">
        <v>14348505992.149754</v>
      </c>
      <c r="AL98" s="381">
        <v>14379475090.60058</v>
      </c>
      <c r="AM98" s="381">
        <v>14412286278.941185</v>
      </c>
      <c r="AN98" s="381">
        <v>14446939414.771082</v>
      </c>
      <c r="AO98" s="30"/>
      <c r="AP98"/>
    </row>
    <row r="99" spans="1:42" s="35" customFormat="1">
      <c r="A99" t="s">
        <v>23</v>
      </c>
      <c r="B99" t="s">
        <v>446</v>
      </c>
      <c r="C99" t="s">
        <v>449</v>
      </c>
      <c r="D99" t="str">
        <f t="shared" si="47"/>
        <v>Total domestic electricity demandCentral</v>
      </c>
      <c r="E99" s="381">
        <v>11858086493.000008</v>
      </c>
      <c r="F99" s="381">
        <v>11983753946.175779</v>
      </c>
      <c r="G99" s="381">
        <v>12109421399.351551</v>
      </c>
      <c r="H99" s="381">
        <v>12235088852.527323</v>
      </c>
      <c r="I99" s="381">
        <v>12283115260.608738</v>
      </c>
      <c r="J99" s="381">
        <v>12253016003.703335</v>
      </c>
      <c r="K99" s="381">
        <v>12123487687.560911</v>
      </c>
      <c r="L99" s="381">
        <v>11914120000.868156</v>
      </c>
      <c r="M99" s="381">
        <v>11625164960.338356</v>
      </c>
      <c r="N99" s="381">
        <v>11257794832.883997</v>
      </c>
      <c r="O99" s="381">
        <v>10811863126.595045</v>
      </c>
      <c r="P99" s="381">
        <v>10300779662.583212</v>
      </c>
      <c r="Q99" s="381">
        <v>9972011474.0765972</v>
      </c>
      <c r="R99" s="381">
        <v>9599205097.9059105</v>
      </c>
      <c r="S99" s="381">
        <v>9182506285.8824043</v>
      </c>
      <c r="T99" s="381">
        <v>8724183030.0315971</v>
      </c>
      <c r="U99" s="381">
        <v>8758820495.1152496</v>
      </c>
      <c r="V99" s="381">
        <v>8793722386.9199371</v>
      </c>
      <c r="W99" s="381">
        <v>8828888705.4456635</v>
      </c>
      <c r="X99" s="381">
        <v>8864319450.6924248</v>
      </c>
      <c r="Y99" s="381">
        <v>8900944696.2262344</v>
      </c>
      <c r="Z99" s="381">
        <v>8937952929.3999138</v>
      </c>
      <c r="AA99" s="381">
        <v>8975008001.552187</v>
      </c>
      <c r="AB99" s="381">
        <v>9014137075.8139248</v>
      </c>
      <c r="AC99" s="381">
        <v>9053312989.0542583</v>
      </c>
      <c r="AD99" s="381">
        <v>9092535741.2731876</v>
      </c>
      <c r="AE99" s="381">
        <v>9131805332.4707088</v>
      </c>
      <c r="AF99" s="381">
        <v>9171121762.646822</v>
      </c>
      <c r="AG99" s="381">
        <v>9210485031.8015327</v>
      </c>
      <c r="AH99" s="381">
        <v>9249895139.9348335</v>
      </c>
      <c r="AI99" s="381">
        <v>9289352087.04673</v>
      </c>
      <c r="AJ99" s="381">
        <v>9328855873.1372204</v>
      </c>
      <c r="AK99" s="381">
        <v>9368406498.2063026</v>
      </c>
      <c r="AL99" s="381">
        <v>9408003962.2539825</v>
      </c>
      <c r="AM99" s="381">
        <v>9447648265.2802525</v>
      </c>
      <c r="AN99" s="381">
        <v>9487339407.2851143</v>
      </c>
      <c r="AO99" s="30"/>
      <c r="AP99"/>
    </row>
    <row r="100" spans="1:42" s="35" customFormat="1">
      <c r="A100" t="s">
        <v>23</v>
      </c>
      <c r="B100" t="s">
        <v>446</v>
      </c>
      <c r="C100" t="s">
        <v>450</v>
      </c>
      <c r="D100" t="str">
        <f t="shared" si="47"/>
        <v>Total non-domestic electricity demandCentral</v>
      </c>
      <c r="E100" s="381">
        <v>19618605322.817085</v>
      </c>
      <c r="F100" s="381">
        <v>19701017110.02137</v>
      </c>
      <c r="G100" s="381">
        <v>19783428897.225655</v>
      </c>
      <c r="H100" s="381">
        <v>19865840684.429939</v>
      </c>
      <c r="I100" s="381">
        <v>19897479500.05381</v>
      </c>
      <c r="J100" s="381">
        <v>19878351620.279716</v>
      </c>
      <c r="K100" s="381">
        <v>19807830550.93354</v>
      </c>
      <c r="L100" s="381">
        <v>19685961560.387665</v>
      </c>
      <c r="M100" s="381">
        <v>19512721010.843521</v>
      </c>
      <c r="N100" s="381">
        <v>19288467839.674168</v>
      </c>
      <c r="O100" s="381">
        <v>19013379489.967148</v>
      </c>
      <c r="P100" s="381">
        <v>18666120242.66119</v>
      </c>
      <c r="Q100" s="381">
        <v>18268280147.257721</v>
      </c>
      <c r="R100" s="381">
        <v>17820190512.991608</v>
      </c>
      <c r="S100" s="381">
        <v>17321834254.876957</v>
      </c>
      <c r="T100" s="381">
        <v>16774078125.49081</v>
      </c>
      <c r="U100" s="381">
        <v>16828091250.388695</v>
      </c>
      <c r="V100" s="381">
        <v>16883214303.44441</v>
      </c>
      <c r="W100" s="381">
        <v>16939448330.214775</v>
      </c>
      <c r="X100" s="381">
        <v>16996794378.412342</v>
      </c>
      <c r="Y100" s="381">
        <v>17057147019.667416</v>
      </c>
      <c r="Z100" s="381">
        <v>17117534394.492079</v>
      </c>
      <c r="AA100" s="381">
        <v>17177956548.379793</v>
      </c>
      <c r="AB100" s="381">
        <v>17238413526.945835</v>
      </c>
      <c r="AC100" s="381">
        <v>17298905375.927734</v>
      </c>
      <c r="AD100" s="381">
        <v>17359432141.185688</v>
      </c>
      <c r="AE100" s="381">
        <v>17419993868.702995</v>
      </c>
      <c r="AF100" s="381">
        <v>17480590604.586487</v>
      </c>
      <c r="AG100" s="381">
        <v>17541222395.066952</v>
      </c>
      <c r="AH100" s="381">
        <v>17601889286.49958</v>
      </c>
      <c r="AI100" s="381">
        <v>17662591325.364388</v>
      </c>
      <c r="AJ100" s="381">
        <v>17723328558.266647</v>
      </c>
      <c r="AK100" s="381">
        <v>17784101031.937344</v>
      </c>
      <c r="AL100" s="381">
        <v>17844908793.233608</v>
      </c>
      <c r="AM100" s="381">
        <v>17905751889.139153</v>
      </c>
      <c r="AN100" s="381">
        <v>17966630366.764736</v>
      </c>
      <c r="AO100" s="30"/>
      <c r="AP100"/>
    </row>
    <row r="101" spans="1:42" s="35" customFormat="1">
      <c r="A101" t="s">
        <v>23</v>
      </c>
      <c r="B101" t="s">
        <v>446</v>
      </c>
      <c r="C101" t="s">
        <v>451</v>
      </c>
      <c r="D101" t="str">
        <f t="shared" si="47"/>
        <v>Estimated additional cooking electricity demandCentral</v>
      </c>
      <c r="E101" s="381">
        <v>0</v>
      </c>
      <c r="F101" s="381">
        <v>14170944.699998856</v>
      </c>
      <c r="G101" s="381">
        <v>28341889.399997711</v>
      </c>
      <c r="H101" s="381">
        <v>42512834.099996567</v>
      </c>
      <c r="I101" s="381">
        <v>56683778.799995422</v>
      </c>
      <c r="J101" s="381">
        <v>70854723.499994278</v>
      </c>
      <c r="K101" s="381">
        <v>85025668.199993134</v>
      </c>
      <c r="L101" s="381">
        <v>99196612.899991989</v>
      </c>
      <c r="M101" s="381">
        <v>113367557.59999084</v>
      </c>
      <c r="N101" s="381">
        <v>127538502.2999897</v>
      </c>
      <c r="O101" s="381">
        <v>141709447</v>
      </c>
      <c r="P101" s="381">
        <v>160285997</v>
      </c>
      <c r="Q101" s="381">
        <v>178862547</v>
      </c>
      <c r="R101" s="381">
        <v>197439097</v>
      </c>
      <c r="S101" s="381">
        <v>216015647</v>
      </c>
      <c r="T101" s="381">
        <v>234592197</v>
      </c>
      <c r="U101" s="381">
        <v>253168747</v>
      </c>
      <c r="V101" s="381">
        <v>271745297</v>
      </c>
      <c r="W101" s="381">
        <v>290321847</v>
      </c>
      <c r="X101" s="381">
        <v>308898397</v>
      </c>
      <c r="Y101" s="381">
        <v>327474947</v>
      </c>
      <c r="Z101" s="381">
        <v>346051497</v>
      </c>
      <c r="AA101" s="381">
        <v>364628047</v>
      </c>
      <c r="AB101" s="381">
        <v>383204597</v>
      </c>
      <c r="AC101" s="381">
        <v>401781147</v>
      </c>
      <c r="AD101" s="381">
        <v>420357697</v>
      </c>
      <c r="AE101" s="381">
        <v>438934247</v>
      </c>
      <c r="AF101" s="381">
        <v>457510797</v>
      </c>
      <c r="AG101" s="381">
        <v>476087347</v>
      </c>
      <c r="AH101" s="381">
        <v>494663897</v>
      </c>
      <c r="AI101" s="381">
        <v>513240447</v>
      </c>
      <c r="AJ101" s="381">
        <v>531816997</v>
      </c>
      <c r="AK101" s="381">
        <v>550393547</v>
      </c>
      <c r="AL101" s="381">
        <v>568970097</v>
      </c>
      <c r="AM101" s="381">
        <v>587546647</v>
      </c>
      <c r="AN101" s="381">
        <v>606123197</v>
      </c>
      <c r="AO101" s="30"/>
      <c r="AP101"/>
    </row>
    <row r="102" spans="1:42" s="35" customFormat="1">
      <c r="A102" t="s">
        <v>23</v>
      </c>
      <c r="B102" t="s">
        <v>446</v>
      </c>
      <c r="C102" t="s">
        <v>372</v>
      </c>
      <c r="D102" t="str">
        <f t="shared" si="47"/>
        <v>Existing domestic heat demandCentral</v>
      </c>
      <c r="E102" s="381">
        <v>34208540661.939991</v>
      </c>
      <c r="F102" s="381">
        <v>34208540661.939991</v>
      </c>
      <c r="G102" s="381">
        <v>34208540661.939991</v>
      </c>
      <c r="H102" s="381">
        <v>34208540661.939991</v>
      </c>
      <c r="I102" s="381">
        <v>34191840653.048702</v>
      </c>
      <c r="J102" s="381">
        <v>34121434754.166946</v>
      </c>
      <c r="K102" s="381">
        <v>33978341421.823196</v>
      </c>
      <c r="L102" s="381">
        <v>33762971636.49424</v>
      </c>
      <c r="M102" s="381">
        <v>33463480859.556286</v>
      </c>
      <c r="N102" s="381">
        <v>33103533687.073586</v>
      </c>
      <c r="O102" s="381">
        <v>32628846700.359676</v>
      </c>
      <c r="P102" s="381">
        <v>32082679210.431084</v>
      </c>
      <c r="Q102" s="381">
        <v>31466710896.648499</v>
      </c>
      <c r="R102" s="381">
        <v>30831197375.333305</v>
      </c>
      <c r="S102" s="381">
        <v>30130752499.838158</v>
      </c>
      <c r="T102" s="381">
        <v>29425878310.517136</v>
      </c>
      <c r="U102" s="381">
        <v>28910796115.550316</v>
      </c>
      <c r="V102" s="381">
        <v>28445251116.506813</v>
      </c>
      <c r="W102" s="381">
        <v>28028308907.260353</v>
      </c>
      <c r="X102" s="381">
        <v>27659278443.612061</v>
      </c>
      <c r="Y102" s="381">
        <v>27471448698.083618</v>
      </c>
      <c r="Z102" s="381">
        <v>27324988390.188198</v>
      </c>
      <c r="AA102" s="381">
        <v>27180088017.994209</v>
      </c>
      <c r="AB102" s="381">
        <v>27165666286.405781</v>
      </c>
      <c r="AC102" s="381">
        <v>27152539287.684738</v>
      </c>
      <c r="AD102" s="381">
        <v>27140704451.272728</v>
      </c>
      <c r="AE102" s="381">
        <v>27130074181.324944</v>
      </c>
      <c r="AF102" s="381">
        <v>27120632240.881721</v>
      </c>
      <c r="AG102" s="381">
        <v>27112376092.83567</v>
      </c>
      <c r="AH102" s="381">
        <v>27105303517.23362</v>
      </c>
      <c r="AI102" s="381">
        <v>27099412611.270332</v>
      </c>
      <c r="AJ102" s="381">
        <v>27094701789.283066</v>
      </c>
      <c r="AK102" s="381">
        <v>27091169782.747047</v>
      </c>
      <c r="AL102" s="381">
        <v>27088815640.271858</v>
      </c>
      <c r="AM102" s="381">
        <v>27087638727.598732</v>
      </c>
      <c r="AN102" s="381">
        <v>27087638727.598732</v>
      </c>
      <c r="AO102" s="30"/>
      <c r="AP102"/>
    </row>
    <row r="103" spans="1:42" s="35" customFormat="1">
      <c r="A103" t="s">
        <v>23</v>
      </c>
      <c r="B103" t="s">
        <v>446</v>
      </c>
      <c r="C103" t="s">
        <v>373</v>
      </c>
      <c r="D103" t="str">
        <f t="shared" si="47"/>
        <v>Existing non-domestic heat demandCentral</v>
      </c>
      <c r="E103" s="381">
        <v>18723008369.73642</v>
      </c>
      <c r="F103" s="381">
        <v>18723008369.736416</v>
      </c>
      <c r="G103" s="381">
        <v>18723008369.736416</v>
      </c>
      <c r="H103" s="381">
        <v>18723008369.73642</v>
      </c>
      <c r="I103" s="381">
        <v>18696815198.482956</v>
      </c>
      <c r="J103" s="381">
        <v>18644500045.209488</v>
      </c>
      <c r="K103" s="381">
        <v>18524006128.807423</v>
      </c>
      <c r="L103" s="381">
        <v>18335742237.790321</v>
      </c>
      <c r="M103" s="381">
        <v>18076117780.599087</v>
      </c>
      <c r="N103" s="381">
        <v>17759609949.744919</v>
      </c>
      <c r="O103" s="381">
        <v>17392199693.898754</v>
      </c>
      <c r="P103" s="381">
        <v>16966762474.286757</v>
      </c>
      <c r="Q103" s="381">
        <v>16483848513.307596</v>
      </c>
      <c r="R103" s="381">
        <v>15953820346.965654</v>
      </c>
      <c r="S103" s="381">
        <v>15370155227.895603</v>
      </c>
      <c r="T103" s="381">
        <v>14793030185.143749</v>
      </c>
      <c r="U103" s="381">
        <v>14302525625.619186</v>
      </c>
      <c r="V103" s="381">
        <v>13896837801.070454</v>
      </c>
      <c r="W103" s="381">
        <v>13574575025.624517</v>
      </c>
      <c r="X103" s="381">
        <v>13334760062.178925</v>
      </c>
      <c r="Y103" s="381">
        <v>13307136865.031256</v>
      </c>
      <c r="Z103" s="381">
        <v>13281414305.797672</v>
      </c>
      <c r="AA103" s="381">
        <v>13257100307.026218</v>
      </c>
      <c r="AB103" s="381">
        <v>13234674610.378166</v>
      </c>
      <c r="AC103" s="381">
        <v>13214134341.696131</v>
      </c>
      <c r="AD103" s="381">
        <v>13195476866.413116</v>
      </c>
      <c r="AE103" s="381">
        <v>13178672985.251766</v>
      </c>
      <c r="AF103" s="381">
        <v>13163720256.057901</v>
      </c>
      <c r="AG103" s="381">
        <v>13150616522.975422</v>
      </c>
      <c r="AH103" s="381">
        <v>13139359916.682537</v>
      </c>
      <c r="AI103" s="381">
        <v>13129948854.676529</v>
      </c>
      <c r="AJ103" s="381">
        <v>13122382041.607559</v>
      </c>
      <c r="AK103" s="381">
        <v>13116658469.662029</v>
      </c>
      <c r="AL103" s="381">
        <v>13112777418.996141</v>
      </c>
      <c r="AM103" s="381">
        <v>13110738458.220032</v>
      </c>
      <c r="AN103" s="381">
        <v>13110541444.933216</v>
      </c>
      <c r="AO103" s="30"/>
      <c r="AP103"/>
    </row>
    <row r="104" spans="1:42">
      <c r="A104" t="s">
        <v>23</v>
      </c>
      <c r="B104" t="s">
        <v>446</v>
      </c>
      <c r="C104" t="s">
        <v>374</v>
      </c>
      <c r="D104" t="str">
        <f t="shared" si="47"/>
        <v>Existing domestic electricity demandCentral</v>
      </c>
      <c r="E104" s="80">
        <v>11858086493.000008</v>
      </c>
      <c r="F104" s="106">
        <v>11858086493.000008</v>
      </c>
      <c r="G104" s="106">
        <v>11858086493.000008</v>
      </c>
      <c r="H104" s="106">
        <v>11858086493.000008</v>
      </c>
      <c r="I104" s="106">
        <v>11780445447.905653</v>
      </c>
      <c r="J104" s="106">
        <v>11624678737.824478</v>
      </c>
      <c r="K104" s="106">
        <v>11388795223.598196</v>
      </c>
      <c r="L104" s="106">
        <v>11073072338.821583</v>
      </c>
      <c r="M104" s="106">
        <v>10677762100.207924</v>
      </c>
      <c r="N104" s="106">
        <v>10204036774.669706</v>
      </c>
      <c r="O104" s="80">
        <v>9651749870.296896</v>
      </c>
      <c r="P104" s="106">
        <v>9054566217.7524261</v>
      </c>
      <c r="Q104" s="106">
        <v>8639697840.7131748</v>
      </c>
      <c r="R104" s="106">
        <v>8180791276.0098495</v>
      </c>
      <c r="S104" s="106">
        <v>7677992275.4537077</v>
      </c>
      <c r="T104" s="106">
        <v>7133568831.0702639</v>
      </c>
      <c r="U104" s="106">
        <v>7128515154.1490517</v>
      </c>
      <c r="V104" s="106">
        <v>7123725903.9488764</v>
      </c>
      <c r="W104" s="106">
        <v>7119201080.469738</v>
      </c>
      <c r="X104" s="106">
        <v>7114940683.7116356</v>
      </c>
      <c r="Y104" s="106">
        <v>7111874787.2405834</v>
      </c>
      <c r="Z104" s="106">
        <v>7109191878.409399</v>
      </c>
      <c r="AA104" s="106">
        <v>7106555808.5568085</v>
      </c>
      <c r="AB104" s="106">
        <v>7105993740.8136826</v>
      </c>
      <c r="AC104" s="106">
        <v>7105478512.0491524</v>
      </c>
      <c r="AD104" s="106">
        <v>7105010122.2632141</v>
      </c>
      <c r="AE104" s="106">
        <v>7104588571.4558706</v>
      </c>
      <c r="AF104" s="106">
        <v>7104213859.62712</v>
      </c>
      <c r="AG104" s="106">
        <v>7103885986.7769642</v>
      </c>
      <c r="AH104" s="106">
        <v>7103604952.9054012</v>
      </c>
      <c r="AI104" s="106">
        <v>7103370758.0124331</v>
      </c>
      <c r="AJ104" s="106">
        <v>7103183402.0980568</v>
      </c>
      <c r="AK104" s="106">
        <v>7103042885.1622753</v>
      </c>
      <c r="AL104" s="106">
        <v>7102949207.2050886</v>
      </c>
      <c r="AM104" s="106">
        <v>7102902368.2264938</v>
      </c>
      <c r="AN104" s="80">
        <v>7102902368.2264938</v>
      </c>
    </row>
    <row r="105" spans="1:42">
      <c r="A105" t="s">
        <v>23</v>
      </c>
      <c r="B105" t="s">
        <v>446</v>
      </c>
      <c r="C105" t="s">
        <v>375</v>
      </c>
      <c r="D105" t="str">
        <f t="shared" si="47"/>
        <v>Existing non-domestic electricity demandCentral</v>
      </c>
      <c r="E105" s="80">
        <v>19618605322.817085</v>
      </c>
      <c r="F105" s="106">
        <v>19618605322.817085</v>
      </c>
      <c r="G105" s="106">
        <v>19618605322.817085</v>
      </c>
      <c r="H105" s="106">
        <v>19618605322.817085</v>
      </c>
      <c r="I105" s="106">
        <v>19567832351.236671</v>
      </c>
      <c r="J105" s="106">
        <v>19466292684.258293</v>
      </c>
      <c r="K105" s="106">
        <v>19313359827.707829</v>
      </c>
      <c r="L105" s="106">
        <v>19109079049.957668</v>
      </c>
      <c r="M105" s="106">
        <v>18853426713.20924</v>
      </c>
      <c r="N105" s="106">
        <v>18546761754.835602</v>
      </c>
      <c r="O105" s="80">
        <v>18189261617.924297</v>
      </c>
      <c r="P105" s="106">
        <v>17781087870.714947</v>
      </c>
      <c r="Q105" s="106">
        <v>17322333275.408089</v>
      </c>
      <c r="R105" s="106">
        <v>16813329141.238583</v>
      </c>
      <c r="S105" s="106">
        <v>16254058383.220539</v>
      </c>
      <c r="T105" s="106">
        <v>15645387753.931</v>
      </c>
      <c r="U105" s="106">
        <v>15638486378.925493</v>
      </c>
      <c r="V105" s="106">
        <v>15632694932.077816</v>
      </c>
      <c r="W105" s="106">
        <v>15628014458.94479</v>
      </c>
      <c r="X105" s="106">
        <v>15624446007.238964</v>
      </c>
      <c r="Y105" s="106">
        <v>15623884148.590645</v>
      </c>
      <c r="Z105" s="106">
        <v>15623357023.511917</v>
      </c>
      <c r="AA105" s="106">
        <v>15622864677.496239</v>
      </c>
      <c r="AB105" s="106">
        <v>15622407156.15889</v>
      </c>
      <c r="AC105" s="106">
        <v>15621984505.237394</v>
      </c>
      <c r="AD105" s="106">
        <v>15621596770.591957</v>
      </c>
      <c r="AE105" s="106">
        <v>15621243998.205872</v>
      </c>
      <c r="AF105" s="106">
        <v>15620926234.185972</v>
      </c>
      <c r="AG105" s="106">
        <v>15620643524.763046</v>
      </c>
      <c r="AH105" s="106">
        <v>15620395916.292284</v>
      </c>
      <c r="AI105" s="106">
        <v>15620183455.253696</v>
      </c>
      <c r="AJ105" s="106">
        <v>15620006188.252565</v>
      </c>
      <c r="AK105" s="106">
        <v>15619864162.019869</v>
      </c>
      <c r="AL105" s="106">
        <v>15619757423.412741</v>
      </c>
      <c r="AM105" s="106">
        <v>15619686019.414896</v>
      </c>
      <c r="AN105" s="80">
        <v>15619649997.137085</v>
      </c>
    </row>
    <row r="106" spans="1:42">
      <c r="A106" t="s">
        <v>23</v>
      </c>
      <c r="B106" t="s">
        <v>452</v>
      </c>
      <c r="C106" t="s">
        <v>380</v>
      </c>
      <c r="D106" t="str">
        <f t="shared" si="47"/>
        <v>% new domestic heat demand from solar thermalCentral</v>
      </c>
      <c r="E106" s="80">
        <v>0</v>
      </c>
      <c r="F106" s="106">
        <v>0</v>
      </c>
      <c r="G106" s="106">
        <v>0</v>
      </c>
      <c r="H106" s="106">
        <v>0</v>
      </c>
      <c r="I106" s="106">
        <v>0</v>
      </c>
      <c r="J106" s="106">
        <v>3.8494588464477813E-3</v>
      </c>
      <c r="K106" s="106">
        <v>6.078472907222977E-3</v>
      </c>
      <c r="L106" s="106">
        <v>7.7437442869030685E-3</v>
      </c>
      <c r="M106" s="106">
        <v>9.0351298047125876E-3</v>
      </c>
      <c r="N106" s="106">
        <v>1.0065837719198235E-2</v>
      </c>
      <c r="O106" s="80">
        <v>1.0907562111917202E-2</v>
      </c>
      <c r="P106" s="106">
        <v>1.1483749530573156E-2</v>
      </c>
      <c r="Q106" s="106">
        <v>1.1985465227054844E-2</v>
      </c>
      <c r="R106" s="106">
        <v>1.2426270890949411E-2</v>
      </c>
      <c r="S106" s="106">
        <v>1.2816623783378245E-2</v>
      </c>
      <c r="T106" s="106">
        <v>1.3164716952922258E-2</v>
      </c>
      <c r="U106" s="106">
        <v>1.3312802365195909E-2</v>
      </c>
      <c r="V106" s="106">
        <v>1.3453848625965549E-2</v>
      </c>
      <c r="W106" s="106">
        <v>1.3588345986124713E-2</v>
      </c>
      <c r="X106" s="106">
        <v>1.3716740203931726E-2</v>
      </c>
      <c r="Y106" s="106">
        <v>1.3839437480433103E-2</v>
      </c>
      <c r="Z106" s="106">
        <v>1.3956808752181062E-2</v>
      </c>
      <c r="AA106" s="106">
        <v>1.4069193436815145E-2</v>
      </c>
      <c r="AB106" s="106">
        <v>1.4176902711174574E-2</v>
      </c>
      <c r="AC106" s="106">
        <v>1.428022238862081E-2</v>
      </c>
      <c r="AD106" s="106">
        <v>1.4379415451597091E-2</v>
      </c>
      <c r="AE106" s="106">
        <v>1.4474724286676075E-2</v>
      </c>
      <c r="AF106" s="106">
        <v>1.456637266208784E-2</v>
      </c>
      <c r="AG106" s="106">
        <v>1.4654567481692122E-2</v>
      </c>
      <c r="AH106" s="106">
        <v>1.4739500344334432E-2</v>
      </c>
      <c r="AI106" s="106">
        <v>1.4821348933321474E-2</v>
      </c>
      <c r="AJ106" s="106">
        <v>1.4900278257222878E-2</v>
      </c>
      <c r="AK106" s="106">
        <v>1.4976441760233305E-2</v>
      </c>
      <c r="AL106" s="106">
        <v>1.5049982317817418E-2</v>
      </c>
      <c r="AM106" s="106">
        <v>1.5121033131231079E-2</v>
      </c>
      <c r="AN106" s="80">
        <v>1.5189718532701735E-2</v>
      </c>
    </row>
    <row r="107" spans="1:42">
      <c r="A107" t="s">
        <v>23</v>
      </c>
      <c r="B107" t="s">
        <v>452</v>
      </c>
      <c r="C107" t="s">
        <v>381</v>
      </c>
      <c r="D107" t="str">
        <f t="shared" si="47"/>
        <v>% new non-domestic heat demand from solar thermalCentral</v>
      </c>
      <c r="E107" s="80">
        <v>0</v>
      </c>
      <c r="F107" s="106">
        <v>0</v>
      </c>
      <c r="G107" s="106">
        <v>0</v>
      </c>
      <c r="H107" s="106">
        <v>0</v>
      </c>
      <c r="I107" s="106">
        <v>0</v>
      </c>
      <c r="J107" s="106">
        <v>6.2087820672609116E-3</v>
      </c>
      <c r="K107" s="106">
        <v>1.0347970112101522E-2</v>
      </c>
      <c r="L107" s="106">
        <v>1.3304533001273383E-2</v>
      </c>
      <c r="M107" s="106">
        <v>1.5521955168152279E-2</v>
      </c>
      <c r="N107" s="106">
        <v>1.7246616853502532E-2</v>
      </c>
      <c r="O107" s="80">
        <v>1.8626346201782738E-2</v>
      </c>
      <c r="P107" s="106">
        <v>1.9493697003782746E-2</v>
      </c>
      <c r="Q107" s="106">
        <v>2.0248098229741378E-2</v>
      </c>
      <c r="R107" s="106">
        <v>2.0910264190128706E-2</v>
      </c>
      <c r="S107" s="106">
        <v>2.1496135816483224E-2</v>
      </c>
      <c r="T107" s="106">
        <v>2.2018180729025946E-2</v>
      </c>
      <c r="U107" s="106">
        <v>2.2486290353187412E-2</v>
      </c>
      <c r="V107" s="106">
        <v>2.290841263650658E-2</v>
      </c>
      <c r="W107" s="106">
        <v>2.3291007021043024E-2</v>
      </c>
      <c r="X107" s="106">
        <v>2.363937732031203E-2</v>
      </c>
      <c r="Y107" s="106">
        <v>2.3957919090399651E-2</v>
      </c>
      <c r="Z107" s="106">
        <v>2.4250306067716575E-2</v>
      </c>
      <c r="AA107" s="106">
        <v>2.4519632493733311E-2</v>
      </c>
      <c r="AB107" s="106">
        <v>2.4768523041881894E-2</v>
      </c>
      <c r="AC107" s="106">
        <v>2.4999218636090371E-2</v>
      </c>
      <c r="AD107" s="106">
        <v>2.521364411191299E-2</v>
      </c>
      <c r="AE107" s="106">
        <v>2.5413462049603923E-2</v>
      </c>
      <c r="AF107" s="106">
        <v>2.5600115967610922E-2</v>
      </c>
      <c r="AG107" s="106">
        <v>2.5774865251532036E-2</v>
      </c>
      <c r="AH107" s="106">
        <v>2.5938813606390217E-2</v>
      </c>
      <c r="AI107" s="106">
        <v>2.6092932391315504E-2</v>
      </c>
      <c r="AJ107" s="106">
        <v>2.6238079879272319E-2</v>
      </c>
      <c r="AK107" s="106">
        <v>2.6375017248566644E-2</v>
      </c>
      <c r="AL107" s="106">
        <v>2.6504421935359648E-2</v>
      </c>
      <c r="AM107" s="106">
        <v>2.6626898841669681E-2</v>
      </c>
      <c r="AN107" s="80">
        <v>2.6742989790215374E-2</v>
      </c>
    </row>
    <row r="108" spans="1:42">
      <c r="A108" t="s">
        <v>23</v>
      </c>
      <c r="B108" t="s">
        <v>452</v>
      </c>
      <c r="C108" t="s">
        <v>382</v>
      </c>
      <c r="D108" t="str">
        <f t="shared" si="47"/>
        <v>% existing domestic heat demand from solar thermalCentral</v>
      </c>
      <c r="E108" s="80">
        <v>0</v>
      </c>
      <c r="F108" s="106">
        <v>0</v>
      </c>
      <c r="G108" s="106">
        <v>0</v>
      </c>
      <c r="H108" s="106">
        <v>0</v>
      </c>
      <c r="I108" s="106">
        <v>0</v>
      </c>
      <c r="J108" s="106">
        <v>0</v>
      </c>
      <c r="K108" s="106">
        <v>2.602352637118459E-5</v>
      </c>
      <c r="L108" s="106">
        <v>5.2300196045783391E-5</v>
      </c>
      <c r="M108" s="106">
        <v>7.8986263689545601E-5</v>
      </c>
      <c r="N108" s="106">
        <v>1.061943353890359E-4</v>
      </c>
      <c r="O108" s="80">
        <v>1.342247710639245E-4</v>
      </c>
      <c r="P108" s="106">
        <v>1.631870501857268E-4</v>
      </c>
      <c r="Q108" s="106">
        <v>1.6566907700132536E-4</v>
      </c>
      <c r="R108" s="106">
        <v>1.6835720223672528E-4</v>
      </c>
      <c r="S108" s="106">
        <v>1.7145898664001823E-4</v>
      </c>
      <c r="T108" s="106">
        <v>1.7473545838159955E-4</v>
      </c>
      <c r="U108" s="106">
        <v>2.1057340206215809E-4</v>
      </c>
      <c r="V108" s="106">
        <v>2.8089446254247146E-4</v>
      </c>
      <c r="W108" s="106">
        <v>3.8678149611846965E-4</v>
      </c>
      <c r="X108" s="106">
        <v>5.2907638349989868E-4</v>
      </c>
      <c r="Y108" s="106">
        <v>7.055902717273936E-4</v>
      </c>
      <c r="Z108" s="106">
        <v>9.179417947546187E-4</v>
      </c>
      <c r="AA108" s="106">
        <v>1.1671347819766486E-3</v>
      </c>
      <c r="AB108" s="106">
        <v>1.4480128084943076E-3</v>
      </c>
      <c r="AC108" s="106">
        <v>1.7641297169063016E-3</v>
      </c>
      <c r="AD108" s="106">
        <v>2.115493105119656E-3</v>
      </c>
      <c r="AE108" s="106">
        <v>2.4388929380916927E-3</v>
      </c>
      <c r="AF108" s="106">
        <v>2.7265325733295308E-3</v>
      </c>
      <c r="AG108" s="106">
        <v>2.9783510251620219E-3</v>
      </c>
      <c r="AH108" s="106">
        <v>3.1942948596685827E-3</v>
      </c>
      <c r="AI108" s="106">
        <v>3.3743182231882251E-3</v>
      </c>
      <c r="AJ108" s="106">
        <v>3.5183828668088821E-3</v>
      </c>
      <c r="AK108" s="106">
        <v>3.6264581668126114E-3</v>
      </c>
      <c r="AL108" s="106">
        <v>3.6985211410563157E-3</v>
      </c>
      <c r="AM108" s="106">
        <v>3.734556461271619E-3</v>
      </c>
      <c r="AN108" s="80">
        <v>3.734556461271619E-3</v>
      </c>
    </row>
    <row r="109" spans="1:42">
      <c r="A109" t="s">
        <v>23</v>
      </c>
      <c r="B109" t="s">
        <v>452</v>
      </c>
      <c r="C109" t="s">
        <v>383</v>
      </c>
      <c r="D109" t="str">
        <f t="shared" si="47"/>
        <v>% existing non-domestic heat demand from solar thermalCentral</v>
      </c>
      <c r="E109" s="381">
        <v>0</v>
      </c>
      <c r="F109" s="381">
        <v>0</v>
      </c>
      <c r="G109" s="381">
        <v>0</v>
      </c>
      <c r="H109" s="381">
        <v>0</v>
      </c>
      <c r="I109" s="381">
        <v>0</v>
      </c>
      <c r="J109" s="381">
        <v>0</v>
      </c>
      <c r="K109" s="381">
        <v>5.7715632951342989E-5</v>
      </c>
      <c r="L109" s="381">
        <v>1.1579312782613375E-4</v>
      </c>
      <c r="M109" s="381">
        <v>1.7439304393645008E-4</v>
      </c>
      <c r="N109" s="381">
        <v>2.3368225735369107E-4</v>
      </c>
      <c r="O109" s="381">
        <v>2.942461723157286E-4</v>
      </c>
      <c r="P109" s="381">
        <v>3.5560197662953493E-4</v>
      </c>
      <c r="Q109" s="381">
        <v>3.5859483054608579E-4</v>
      </c>
      <c r="R109" s="381">
        <v>3.6207967474175185E-4</v>
      </c>
      <c r="S109" s="381">
        <v>3.6619284563941667E-4</v>
      </c>
      <c r="T109" s="381">
        <v>3.7058460576439576E-4</v>
      </c>
      <c r="U109" s="381">
        <v>5.5296453544650341E-4</v>
      </c>
      <c r="V109" s="381">
        <v>9.1667470335435254E-4</v>
      </c>
      <c r="W109" s="381">
        <v>1.4654246685967501E-3</v>
      </c>
      <c r="X109" s="381">
        <v>2.2031348817154535E-3</v>
      </c>
      <c r="Y109" s="381">
        <v>3.1126924623767387E-3</v>
      </c>
      <c r="Z109" s="381">
        <v>4.0556477953520541E-3</v>
      </c>
      <c r="AA109" s="381">
        <v>4.2904202471876537E-3</v>
      </c>
      <c r="AB109" s="381">
        <v>4.5595420169841369E-3</v>
      </c>
      <c r="AC109" s="381">
        <v>4.8631157486201792E-3</v>
      </c>
      <c r="AD109" s="381">
        <v>5.2012282821456276E-3</v>
      </c>
      <c r="AE109" s="381">
        <v>5.5065330617776499E-3</v>
      </c>
      <c r="AF109" s="381">
        <v>5.7788210803312668E-3</v>
      </c>
      <c r="AG109" s="381">
        <v>6.0178979965724959E-3</v>
      </c>
      <c r="AH109" s="381">
        <v>6.2235844140031242E-3</v>
      </c>
      <c r="AI109" s="381">
        <v>6.3957161331599094E-3</v>
      </c>
      <c r="AJ109" s="381">
        <v>6.5341443766065883E-3</v>
      </c>
      <c r="AK109" s="381">
        <v>6.6387359858869413E-3</v>
      </c>
      <c r="AL109" s="381">
        <v>6.7093735898008664E-3</v>
      </c>
      <c r="AM109" s="381">
        <v>6.7459557434625689E-3</v>
      </c>
      <c r="AN109" s="381">
        <v>6.7483970376998655E-3</v>
      </c>
    </row>
    <row r="110" spans="1:42">
      <c r="A110" t="s">
        <v>23</v>
      </c>
      <c r="B110" t="s">
        <v>453</v>
      </c>
      <c r="C110" t="s">
        <v>384</v>
      </c>
      <c r="D110" t="str">
        <f t="shared" si="47"/>
        <v>Fuel Poor - Extended RE:NEWCentral</v>
      </c>
      <c r="E110" s="381">
        <v>0</v>
      </c>
      <c r="F110" s="381">
        <v>0</v>
      </c>
      <c r="G110" s="381">
        <v>0</v>
      </c>
      <c r="H110" s="381">
        <v>0</v>
      </c>
      <c r="I110" s="381">
        <v>0</v>
      </c>
      <c r="J110" s="381">
        <v>0</v>
      </c>
      <c r="K110" s="381">
        <v>847.69524592823859</v>
      </c>
      <c r="L110" s="381">
        <v>1695.3904918564772</v>
      </c>
      <c r="M110" s="381">
        <v>2543.0857377847155</v>
      </c>
      <c r="N110" s="381">
        <v>2543.0857377847155</v>
      </c>
      <c r="O110" s="381">
        <v>2543.0857377847155</v>
      </c>
      <c r="P110" s="381">
        <v>2543.0857377847155</v>
      </c>
      <c r="Q110" s="381">
        <v>2543.0857377847155</v>
      </c>
      <c r="R110" s="381">
        <v>2543.0857377847155</v>
      </c>
      <c r="S110" s="381">
        <v>2427.4909315217742</v>
      </c>
      <c r="T110" s="381">
        <v>2311.8961252588324</v>
      </c>
      <c r="U110" s="381">
        <v>2196.3013189958911</v>
      </c>
      <c r="V110" s="381">
        <v>2080.7065127329488</v>
      </c>
      <c r="W110" s="381">
        <v>1965.1117064700074</v>
      </c>
      <c r="X110" s="381">
        <v>1849.5169002070656</v>
      </c>
      <c r="Y110" s="381">
        <v>1733.9220939441243</v>
      </c>
      <c r="Z110" s="381">
        <v>1618.3272876811827</v>
      </c>
      <c r="AA110" s="381">
        <v>1502.7324814182412</v>
      </c>
      <c r="AB110" s="381">
        <v>1387.1376751552993</v>
      </c>
      <c r="AC110" s="381">
        <v>1271.5428688923578</v>
      </c>
      <c r="AD110" s="381">
        <v>1155.9480626294162</v>
      </c>
      <c r="AE110" s="381">
        <v>1040.3532563664744</v>
      </c>
      <c r="AF110" s="381">
        <v>924.75845010353282</v>
      </c>
      <c r="AG110" s="381">
        <v>809.16364384059125</v>
      </c>
      <c r="AH110" s="381">
        <v>693.56883757764967</v>
      </c>
      <c r="AI110" s="381">
        <v>577.97403131470799</v>
      </c>
      <c r="AJ110" s="381">
        <v>462.37922505176641</v>
      </c>
      <c r="AK110" s="381">
        <v>346.78441878882484</v>
      </c>
      <c r="AL110" s="381">
        <v>231.18961252588321</v>
      </c>
      <c r="AM110" s="381">
        <v>115.59480626294156</v>
      </c>
      <c r="AN110" s="381">
        <v>0</v>
      </c>
    </row>
    <row r="111" spans="1:42">
      <c r="A111" t="s">
        <v>23</v>
      </c>
      <c r="B111" t="s">
        <v>453</v>
      </c>
      <c r="C111" t="s">
        <v>385</v>
      </c>
      <c r="D111" t="str">
        <f t="shared" si="47"/>
        <v>Fuel Poor - Landlord MEES - EPC CCentral</v>
      </c>
      <c r="E111" s="381">
        <v>0</v>
      </c>
      <c r="F111" s="381">
        <v>0</v>
      </c>
      <c r="G111" s="381">
        <v>0</v>
      </c>
      <c r="H111" s="381">
        <v>0</v>
      </c>
      <c r="I111" s="381">
        <v>903.58973214734544</v>
      </c>
      <c r="J111" s="381">
        <v>1807.1794642946909</v>
      </c>
      <c r="K111" s="381">
        <v>2710.7691964420364</v>
      </c>
      <c r="L111" s="381">
        <v>3614.3589285893818</v>
      </c>
      <c r="M111" s="381">
        <v>4517.9486607367271</v>
      </c>
      <c r="N111" s="381">
        <v>5421.5383928840729</v>
      </c>
      <c r="O111" s="381">
        <v>6325.1281250314178</v>
      </c>
      <c r="P111" s="381">
        <v>7228.7178571787636</v>
      </c>
      <c r="Q111" s="381">
        <v>8132.3075893261093</v>
      </c>
      <c r="R111" s="381">
        <v>9035.8973214734542</v>
      </c>
      <c r="S111" s="381">
        <v>9939.4870536208</v>
      </c>
      <c r="T111" s="381">
        <v>9939.4870536208</v>
      </c>
      <c r="U111" s="381">
        <v>0</v>
      </c>
      <c r="V111" s="381">
        <v>0</v>
      </c>
      <c r="W111" s="381">
        <v>0</v>
      </c>
      <c r="X111" s="381">
        <v>0</v>
      </c>
      <c r="Y111" s="381">
        <v>0</v>
      </c>
      <c r="Z111" s="381">
        <v>0</v>
      </c>
      <c r="AA111" s="381">
        <v>0</v>
      </c>
      <c r="AB111" s="381">
        <v>0</v>
      </c>
      <c r="AC111" s="381">
        <v>0</v>
      </c>
      <c r="AD111" s="381">
        <v>0</v>
      </c>
      <c r="AE111" s="381">
        <v>0</v>
      </c>
      <c r="AF111" s="381">
        <v>0</v>
      </c>
      <c r="AG111" s="381">
        <v>0</v>
      </c>
      <c r="AH111" s="381">
        <v>0</v>
      </c>
      <c r="AI111" s="381">
        <v>0</v>
      </c>
      <c r="AJ111" s="381">
        <v>0</v>
      </c>
      <c r="AK111" s="381">
        <v>0</v>
      </c>
      <c r="AL111" s="381">
        <v>0</v>
      </c>
      <c r="AM111" s="381">
        <v>0</v>
      </c>
      <c r="AN111" s="381">
        <v>0</v>
      </c>
    </row>
    <row r="112" spans="1:42">
      <c r="A112" t="s">
        <v>23</v>
      </c>
      <c r="B112" t="s">
        <v>453</v>
      </c>
      <c r="C112" t="s">
        <v>386</v>
      </c>
      <c r="D112" t="str">
        <f t="shared" si="47"/>
        <v>Fuel Poor - All buildings MEES - EPC CCentral</v>
      </c>
      <c r="E112" s="381">
        <v>0</v>
      </c>
      <c r="F112" s="381">
        <v>0</v>
      </c>
      <c r="G112" s="381">
        <v>0</v>
      </c>
      <c r="H112" s="381">
        <v>0</v>
      </c>
      <c r="I112" s="381">
        <v>0</v>
      </c>
      <c r="J112" s="381">
        <v>0</v>
      </c>
      <c r="K112" s="381">
        <v>2900.962946048905</v>
      </c>
      <c r="L112" s="381">
        <v>5801.92589209781</v>
      </c>
      <c r="M112" s="381">
        <v>8702.8888381467132</v>
      </c>
      <c r="N112" s="381">
        <v>11603.85178419562</v>
      </c>
      <c r="O112" s="381">
        <v>14504.814730244525</v>
      </c>
      <c r="P112" s="381">
        <v>17405.777676293426</v>
      </c>
      <c r="Q112" s="381">
        <v>20306.740622342335</v>
      </c>
      <c r="R112" s="381">
        <v>23207.70356839124</v>
      </c>
      <c r="S112" s="381">
        <v>26108.666514440141</v>
      </c>
      <c r="T112" s="381">
        <v>26108.666514440141</v>
      </c>
      <c r="U112" s="381">
        <v>0</v>
      </c>
      <c r="V112" s="381">
        <v>0</v>
      </c>
      <c r="W112" s="381">
        <v>0</v>
      </c>
      <c r="X112" s="381">
        <v>0</v>
      </c>
      <c r="Y112" s="381">
        <v>0</v>
      </c>
      <c r="Z112" s="381">
        <v>0</v>
      </c>
      <c r="AA112" s="381">
        <v>0</v>
      </c>
      <c r="AB112" s="381">
        <v>0</v>
      </c>
      <c r="AC112" s="381">
        <v>0</v>
      </c>
      <c r="AD112" s="381">
        <v>0</v>
      </c>
      <c r="AE112" s="381">
        <v>0</v>
      </c>
      <c r="AF112" s="381">
        <v>0</v>
      </c>
      <c r="AG112" s="381">
        <v>0</v>
      </c>
      <c r="AH112" s="381">
        <v>0</v>
      </c>
      <c r="AI112" s="381">
        <v>0</v>
      </c>
      <c r="AJ112" s="381">
        <v>0</v>
      </c>
      <c r="AK112" s="381">
        <v>0</v>
      </c>
      <c r="AL112" s="381">
        <v>0</v>
      </c>
      <c r="AM112" s="381">
        <v>0</v>
      </c>
      <c r="AN112" s="381">
        <v>0</v>
      </c>
    </row>
    <row r="113" spans="1:40">
      <c r="A113" t="s">
        <v>23</v>
      </c>
      <c r="B113" t="s">
        <v>453</v>
      </c>
      <c r="C113" t="s">
        <v>387</v>
      </c>
      <c r="D113" t="str">
        <f t="shared" si="47"/>
        <v>Fuel Poor - Extended energy LeapCentral</v>
      </c>
      <c r="E113" s="381">
        <v>0</v>
      </c>
      <c r="F113" s="381">
        <v>0</v>
      </c>
      <c r="G113" s="381">
        <v>0</v>
      </c>
      <c r="H113" s="381">
        <v>0</v>
      </c>
      <c r="I113" s="381">
        <v>0</v>
      </c>
      <c r="J113" s="381">
        <v>0</v>
      </c>
      <c r="K113" s="381">
        <v>0</v>
      </c>
      <c r="L113" s="381">
        <v>0</v>
      </c>
      <c r="M113" s="381">
        <v>0</v>
      </c>
      <c r="N113" s="381">
        <v>0</v>
      </c>
      <c r="O113" s="381">
        <v>385.89525411046941</v>
      </c>
      <c r="P113" s="381">
        <v>771.79050822093882</v>
      </c>
      <c r="Q113" s="381">
        <v>1157.6857623314081</v>
      </c>
      <c r="R113" s="381">
        <v>1543.5810164418776</v>
      </c>
      <c r="S113" s="381">
        <v>1929.4762705523469</v>
      </c>
      <c r="T113" s="381">
        <v>2315.3715246628162</v>
      </c>
      <c r="U113" s="381">
        <v>2701.2667787732858</v>
      </c>
      <c r="V113" s="381">
        <v>3087.1620328837553</v>
      </c>
      <c r="W113" s="381">
        <v>3473.0572869942243</v>
      </c>
      <c r="X113" s="381">
        <v>3858.9525411046939</v>
      </c>
      <c r="Y113" s="381">
        <v>3858.9525411046939</v>
      </c>
      <c r="Z113" s="381">
        <v>3858.9525411046939</v>
      </c>
      <c r="AA113" s="381">
        <v>3858.9525411046939</v>
      </c>
      <c r="AB113" s="381">
        <v>0</v>
      </c>
      <c r="AC113" s="381">
        <v>0</v>
      </c>
      <c r="AD113" s="381">
        <v>0</v>
      </c>
      <c r="AE113" s="381">
        <v>0</v>
      </c>
      <c r="AF113" s="381">
        <v>0</v>
      </c>
      <c r="AG113" s="381">
        <v>0</v>
      </c>
      <c r="AH113" s="381">
        <v>0</v>
      </c>
      <c r="AI113" s="381">
        <v>0</v>
      </c>
      <c r="AJ113" s="381">
        <v>0</v>
      </c>
      <c r="AK113" s="381">
        <v>0</v>
      </c>
      <c r="AL113" s="381">
        <v>0</v>
      </c>
      <c r="AM113" s="381">
        <v>0</v>
      </c>
      <c r="AN113" s="381">
        <v>0</v>
      </c>
    </row>
    <row r="114" spans="1:40">
      <c r="A114" t="s">
        <v>23</v>
      </c>
      <c r="B114" t="s">
        <v>453</v>
      </c>
      <c r="C114" t="s">
        <v>388</v>
      </c>
      <c r="D114" t="str">
        <f t="shared" si="47"/>
        <v>Social housing - Extended RE:NEWCentral</v>
      </c>
      <c r="E114" s="381">
        <v>0</v>
      </c>
      <c r="F114" s="381">
        <v>0</v>
      </c>
      <c r="G114" s="381">
        <v>0</v>
      </c>
      <c r="H114" s="381">
        <v>0</v>
      </c>
      <c r="I114" s="381">
        <v>0</v>
      </c>
      <c r="J114" s="381">
        <v>0</v>
      </c>
      <c r="K114" s="381">
        <v>1692.4717286497607</v>
      </c>
      <c r="L114" s="381">
        <v>3384.9434572995215</v>
      </c>
      <c r="M114" s="381">
        <v>5077.4151859492831</v>
      </c>
      <c r="N114" s="381">
        <v>5077.4151859492831</v>
      </c>
      <c r="O114" s="381">
        <v>5077.4151859492831</v>
      </c>
      <c r="P114" s="381">
        <v>5077.4151859492831</v>
      </c>
      <c r="Q114" s="381">
        <v>5077.4151859492831</v>
      </c>
      <c r="R114" s="381">
        <v>5077.4151859492831</v>
      </c>
      <c r="S114" s="381">
        <v>4846.6235865879516</v>
      </c>
      <c r="T114" s="381">
        <v>4615.8319872266202</v>
      </c>
      <c r="U114" s="381">
        <v>4385.0403878652896</v>
      </c>
      <c r="V114" s="381">
        <v>4154.2487885039591</v>
      </c>
      <c r="W114" s="381">
        <v>3923.4571891426276</v>
      </c>
      <c r="X114" s="381">
        <v>3692.6655897812961</v>
      </c>
      <c r="Y114" s="381">
        <v>3461.8739904199656</v>
      </c>
      <c r="Z114" s="381">
        <v>3231.0823910586341</v>
      </c>
      <c r="AA114" s="381">
        <v>3000.2907916973036</v>
      </c>
      <c r="AB114" s="381">
        <v>2769.4991923359721</v>
      </c>
      <c r="AC114" s="381">
        <v>2538.7075929746416</v>
      </c>
      <c r="AD114" s="381">
        <v>2307.9159936133101</v>
      </c>
      <c r="AE114" s="381">
        <v>2077.1243942519795</v>
      </c>
      <c r="AF114" s="381">
        <v>1846.3327948906481</v>
      </c>
      <c r="AG114" s="381">
        <v>1615.5411955293171</v>
      </c>
      <c r="AH114" s="381">
        <v>1384.7495961679861</v>
      </c>
      <c r="AI114" s="381">
        <v>1153.957996806655</v>
      </c>
      <c r="AJ114" s="381">
        <v>923.16639744532381</v>
      </c>
      <c r="AK114" s="381">
        <v>692.37479808399303</v>
      </c>
      <c r="AL114" s="381">
        <v>461.58319872266202</v>
      </c>
      <c r="AM114" s="381">
        <v>230.79159936133101</v>
      </c>
      <c r="AN114" s="381">
        <v>0</v>
      </c>
    </row>
    <row r="115" spans="1:40">
      <c r="A115" t="s">
        <v>23</v>
      </c>
      <c r="B115" t="s">
        <v>453</v>
      </c>
      <c r="C115" t="s">
        <v>389</v>
      </c>
      <c r="D115" t="str">
        <f t="shared" si="47"/>
        <v>Social housing - All buildings MEES - EPC CCentral</v>
      </c>
      <c r="E115" s="80">
        <v>0</v>
      </c>
      <c r="F115" s="106">
        <v>0</v>
      </c>
      <c r="G115" s="106">
        <v>0</v>
      </c>
      <c r="H115" s="106">
        <v>0</v>
      </c>
      <c r="I115" s="106">
        <v>0</v>
      </c>
      <c r="J115" s="106">
        <v>0</v>
      </c>
      <c r="K115" s="106">
        <v>3790.6094738002512</v>
      </c>
      <c r="L115" s="106">
        <v>7581.2189476005024</v>
      </c>
      <c r="M115" s="106">
        <v>11371.828421400753</v>
      </c>
      <c r="N115" s="106">
        <v>15162.437895201005</v>
      </c>
      <c r="O115" s="80">
        <v>18953.047369001259</v>
      </c>
      <c r="P115" s="106">
        <v>22743.656842801505</v>
      </c>
      <c r="Q115" s="106">
        <v>26534.266316601759</v>
      </c>
      <c r="R115" s="106">
        <v>30324.875790402009</v>
      </c>
      <c r="S115" s="106">
        <v>34115.48526420226</v>
      </c>
      <c r="T115" s="106">
        <v>34115.48526420226</v>
      </c>
      <c r="U115" s="106">
        <v>27292.388211361809</v>
      </c>
      <c r="V115" s="106">
        <v>20469.291158521359</v>
      </c>
      <c r="W115" s="106">
        <v>13646.194105680903</v>
      </c>
      <c r="X115" s="106">
        <v>6823.0970528404523</v>
      </c>
      <c r="Y115" s="106">
        <v>1.8189894035458565E-12</v>
      </c>
      <c r="Z115" s="106">
        <v>0</v>
      </c>
      <c r="AA115" s="106">
        <v>0</v>
      </c>
      <c r="AB115" s="106">
        <v>0</v>
      </c>
      <c r="AC115" s="106">
        <v>0</v>
      </c>
      <c r="AD115" s="106">
        <v>0</v>
      </c>
      <c r="AE115" s="106">
        <v>0</v>
      </c>
      <c r="AF115" s="106">
        <v>0</v>
      </c>
      <c r="AG115" s="106">
        <v>0</v>
      </c>
      <c r="AH115" s="106">
        <v>0</v>
      </c>
      <c r="AI115" s="106">
        <v>0</v>
      </c>
      <c r="AJ115" s="106">
        <v>0</v>
      </c>
      <c r="AK115" s="106">
        <v>0</v>
      </c>
      <c r="AL115" s="106">
        <v>0</v>
      </c>
      <c r="AM115" s="106">
        <v>0</v>
      </c>
      <c r="AN115" s="80">
        <v>0</v>
      </c>
    </row>
    <row r="116" spans="1:40">
      <c r="A116" t="s">
        <v>23</v>
      </c>
      <c r="B116" t="s">
        <v>453</v>
      </c>
      <c r="C116" t="s">
        <v>390</v>
      </c>
      <c r="D116" t="str">
        <f t="shared" si="47"/>
        <v>Social housing - Extended energy LeapCentral</v>
      </c>
      <c r="E116" s="80">
        <v>0</v>
      </c>
      <c r="F116" s="106">
        <v>0</v>
      </c>
      <c r="G116" s="106">
        <v>0</v>
      </c>
      <c r="H116" s="106">
        <v>0</v>
      </c>
      <c r="I116" s="106">
        <v>0</v>
      </c>
      <c r="J116" s="106">
        <v>0</v>
      </c>
      <c r="K116" s="106">
        <v>0</v>
      </c>
      <c r="L116" s="106">
        <v>0</v>
      </c>
      <c r="M116" s="106">
        <v>0</v>
      </c>
      <c r="N116" s="106">
        <v>0</v>
      </c>
      <c r="O116" s="80">
        <v>509.66177798994977</v>
      </c>
      <c r="P116" s="106">
        <v>1019.3235559798995</v>
      </c>
      <c r="Q116" s="106">
        <v>1528.9853339698493</v>
      </c>
      <c r="R116" s="106">
        <v>2038.6471119597991</v>
      </c>
      <c r="S116" s="106">
        <v>2548.3088899497488</v>
      </c>
      <c r="T116" s="106">
        <v>3057.9706679396986</v>
      </c>
      <c r="U116" s="106">
        <v>3567.6324459296484</v>
      </c>
      <c r="V116" s="106">
        <v>4077.2942239195982</v>
      </c>
      <c r="W116" s="106">
        <v>4586.9560019095479</v>
      </c>
      <c r="X116" s="106">
        <v>5096.6177798994977</v>
      </c>
      <c r="Y116" s="106">
        <v>5096.6177798994977</v>
      </c>
      <c r="Z116" s="106">
        <v>5096.6177798994977</v>
      </c>
      <c r="AA116" s="106">
        <v>5096.6177798994977</v>
      </c>
      <c r="AB116" s="106">
        <v>0</v>
      </c>
      <c r="AC116" s="106">
        <v>0</v>
      </c>
      <c r="AD116" s="106">
        <v>0</v>
      </c>
      <c r="AE116" s="106">
        <v>0</v>
      </c>
      <c r="AF116" s="106">
        <v>0</v>
      </c>
      <c r="AG116" s="106">
        <v>0</v>
      </c>
      <c r="AH116" s="106">
        <v>0</v>
      </c>
      <c r="AI116" s="106">
        <v>0</v>
      </c>
      <c r="AJ116" s="106">
        <v>0</v>
      </c>
      <c r="AK116" s="106">
        <v>0</v>
      </c>
      <c r="AL116" s="106">
        <v>0</v>
      </c>
      <c r="AM116" s="106">
        <v>0</v>
      </c>
      <c r="AN116" s="80">
        <v>0</v>
      </c>
    </row>
    <row r="117" spans="1:40">
      <c r="A117" t="s">
        <v>23</v>
      </c>
      <c r="B117" t="s">
        <v>453</v>
      </c>
      <c r="C117" t="s">
        <v>391</v>
      </c>
      <c r="D117" t="str">
        <f t="shared" si="47"/>
        <v>Able to pay - Building Regulations and planning policyCentral</v>
      </c>
      <c r="E117" s="381">
        <v>0</v>
      </c>
      <c r="F117" s="381">
        <v>0</v>
      </c>
      <c r="G117" s="381">
        <v>0</v>
      </c>
      <c r="H117" s="381">
        <v>0</v>
      </c>
      <c r="I117" s="381">
        <v>0</v>
      </c>
      <c r="J117" s="381">
        <v>8046.9723287404267</v>
      </c>
      <c r="K117" s="381">
        <v>8046.9723287404267</v>
      </c>
      <c r="L117" s="381">
        <v>8046.9723287404267</v>
      </c>
      <c r="M117" s="381">
        <v>8046.9723287404267</v>
      </c>
      <c r="N117" s="381">
        <v>8046.9723287404267</v>
      </c>
      <c r="O117" s="381">
        <v>8046.9723287404267</v>
      </c>
      <c r="P117" s="381">
        <v>8046.9723287404267</v>
      </c>
      <c r="Q117" s="381">
        <v>8046.9723287404267</v>
      </c>
      <c r="R117" s="381">
        <v>0</v>
      </c>
      <c r="S117" s="381">
        <v>0</v>
      </c>
      <c r="T117" s="381">
        <v>0</v>
      </c>
      <c r="U117" s="381">
        <v>0</v>
      </c>
      <c r="V117" s="381">
        <v>0</v>
      </c>
      <c r="W117" s="381">
        <v>0</v>
      </c>
      <c r="X117" s="381">
        <v>0</v>
      </c>
      <c r="Y117" s="381">
        <v>0</v>
      </c>
      <c r="Z117" s="381">
        <v>0</v>
      </c>
      <c r="AA117" s="381">
        <v>0</v>
      </c>
      <c r="AB117" s="381">
        <v>0</v>
      </c>
      <c r="AC117" s="381">
        <v>0</v>
      </c>
      <c r="AD117" s="381">
        <v>0</v>
      </c>
      <c r="AE117" s="381">
        <v>0</v>
      </c>
      <c r="AF117" s="381">
        <v>0</v>
      </c>
      <c r="AG117" s="381">
        <v>0</v>
      </c>
      <c r="AH117" s="381">
        <v>0</v>
      </c>
      <c r="AI117" s="381">
        <v>0</v>
      </c>
      <c r="AJ117" s="381">
        <v>0</v>
      </c>
      <c r="AK117" s="381">
        <v>0</v>
      </c>
      <c r="AL117" s="381">
        <v>0</v>
      </c>
      <c r="AM117" s="381">
        <v>0</v>
      </c>
      <c r="AN117" s="381">
        <v>0</v>
      </c>
    </row>
    <row r="118" spans="1:40">
      <c r="A118" t="s">
        <v>23</v>
      </c>
      <c r="B118" t="s">
        <v>453</v>
      </c>
      <c r="C118" t="s">
        <v>392</v>
      </c>
      <c r="D118" t="str">
        <f t="shared" si="47"/>
        <v>Able to pay - Council tax variation by EPCCentral</v>
      </c>
      <c r="E118" s="381">
        <v>0</v>
      </c>
      <c r="F118" s="381">
        <v>0</v>
      </c>
      <c r="G118" s="381">
        <v>0</v>
      </c>
      <c r="H118" s="381">
        <v>0</v>
      </c>
      <c r="I118" s="381">
        <v>0</v>
      </c>
      <c r="J118" s="381">
        <v>0</v>
      </c>
      <c r="K118" s="381">
        <v>0</v>
      </c>
      <c r="L118" s="381">
        <v>0</v>
      </c>
      <c r="M118" s="381">
        <v>2571.3750702388747</v>
      </c>
      <c r="N118" s="381">
        <v>2571.3750702388747</v>
      </c>
      <c r="O118" s="381">
        <v>2571.3750702388747</v>
      </c>
      <c r="P118" s="381">
        <v>2571.3750702388747</v>
      </c>
      <c r="Q118" s="381">
        <v>2571.3750702388747</v>
      </c>
      <c r="R118" s="381">
        <v>0</v>
      </c>
      <c r="S118" s="381">
        <v>0</v>
      </c>
      <c r="T118" s="381">
        <v>0</v>
      </c>
      <c r="U118" s="381">
        <v>0</v>
      </c>
      <c r="V118" s="381">
        <v>0</v>
      </c>
      <c r="W118" s="381">
        <v>0</v>
      </c>
      <c r="X118" s="381">
        <v>0</v>
      </c>
      <c r="Y118" s="381">
        <v>0</v>
      </c>
      <c r="Z118" s="381">
        <v>0</v>
      </c>
      <c r="AA118" s="381">
        <v>0</v>
      </c>
      <c r="AB118" s="381">
        <v>0</v>
      </c>
      <c r="AC118" s="381">
        <v>0</v>
      </c>
      <c r="AD118" s="381">
        <v>0</v>
      </c>
      <c r="AE118" s="381">
        <v>0</v>
      </c>
      <c r="AF118" s="381">
        <v>0</v>
      </c>
      <c r="AG118" s="381">
        <v>0</v>
      </c>
      <c r="AH118" s="381">
        <v>0</v>
      </c>
      <c r="AI118" s="381">
        <v>0</v>
      </c>
      <c r="AJ118" s="381">
        <v>0</v>
      </c>
      <c r="AK118" s="381">
        <v>0</v>
      </c>
      <c r="AL118" s="381">
        <v>0</v>
      </c>
      <c r="AM118" s="381">
        <v>0</v>
      </c>
      <c r="AN118" s="381">
        <v>0</v>
      </c>
    </row>
    <row r="119" spans="1:40">
      <c r="A119" t="s">
        <v>23</v>
      </c>
      <c r="B119" t="s">
        <v>453</v>
      </c>
      <c r="C119" t="s">
        <v>393</v>
      </c>
      <c r="D119" t="str">
        <f t="shared" si="47"/>
        <v>Able to pay - Landlord MEES - EPC CCentral</v>
      </c>
      <c r="E119" s="381">
        <v>0</v>
      </c>
      <c r="F119" s="381">
        <v>0</v>
      </c>
      <c r="G119" s="381">
        <v>0</v>
      </c>
      <c r="H119" s="381">
        <v>0</v>
      </c>
      <c r="I119" s="381">
        <v>2557.3203580175409</v>
      </c>
      <c r="J119" s="381">
        <v>5114.6407160350818</v>
      </c>
      <c r="K119" s="381">
        <v>7671.9610740526223</v>
      </c>
      <c r="L119" s="381">
        <v>10229.281432070164</v>
      </c>
      <c r="M119" s="381">
        <v>12786.601790087705</v>
      </c>
      <c r="N119" s="381">
        <v>15343.922148105245</v>
      </c>
      <c r="O119" s="381">
        <v>17901.242506122788</v>
      </c>
      <c r="P119" s="381">
        <v>20458.562864140327</v>
      </c>
      <c r="Q119" s="381">
        <v>23015.883222157867</v>
      </c>
      <c r="R119" s="381">
        <v>25573.20358017541</v>
      </c>
      <c r="S119" s="381">
        <v>28130.52393819295</v>
      </c>
      <c r="T119" s="381">
        <v>28130.52393819295</v>
      </c>
      <c r="U119" s="381">
        <v>22504.41915055436</v>
      </c>
      <c r="V119" s="381">
        <v>16878.314362915771</v>
      </c>
      <c r="W119" s="381">
        <v>11252.209575277178</v>
      </c>
      <c r="X119" s="381">
        <v>5626.1047876385892</v>
      </c>
      <c r="Y119" s="381">
        <v>0</v>
      </c>
      <c r="Z119" s="381">
        <v>0</v>
      </c>
      <c r="AA119" s="381">
        <v>0</v>
      </c>
      <c r="AB119" s="381">
        <v>0</v>
      </c>
      <c r="AC119" s="381">
        <v>0</v>
      </c>
      <c r="AD119" s="381">
        <v>0</v>
      </c>
      <c r="AE119" s="381">
        <v>0</v>
      </c>
      <c r="AF119" s="381">
        <v>0</v>
      </c>
      <c r="AG119" s="381">
        <v>0</v>
      </c>
      <c r="AH119" s="381">
        <v>0</v>
      </c>
      <c r="AI119" s="381">
        <v>0</v>
      </c>
      <c r="AJ119" s="381">
        <v>0</v>
      </c>
      <c r="AK119" s="381">
        <v>0</v>
      </c>
      <c r="AL119" s="381">
        <v>0</v>
      </c>
      <c r="AM119" s="381">
        <v>0</v>
      </c>
      <c r="AN119" s="381">
        <v>0</v>
      </c>
    </row>
    <row r="120" spans="1:40">
      <c r="A120" t="s">
        <v>23</v>
      </c>
      <c r="B120" t="s">
        <v>453</v>
      </c>
      <c r="C120" t="s">
        <v>394</v>
      </c>
      <c r="D120" t="str">
        <f t="shared" si="47"/>
        <v>Able to pay - Stamp duty energy efficiency scalingCentral</v>
      </c>
      <c r="E120" s="381">
        <v>0</v>
      </c>
      <c r="F120" s="381">
        <v>0</v>
      </c>
      <c r="G120" s="381">
        <v>0</v>
      </c>
      <c r="H120" s="381">
        <v>0</v>
      </c>
      <c r="I120" s="381">
        <v>0</v>
      </c>
      <c r="J120" s="381">
        <v>0</v>
      </c>
      <c r="K120" s="381">
        <v>0</v>
      </c>
      <c r="L120" s="381">
        <v>0</v>
      </c>
      <c r="M120" s="381">
        <v>0</v>
      </c>
      <c r="N120" s="381">
        <v>0</v>
      </c>
      <c r="O120" s="381">
        <v>8571.2502341295822</v>
      </c>
      <c r="P120" s="381">
        <v>8571.2502341295822</v>
      </c>
      <c r="Q120" s="381">
        <v>8571.2502341295822</v>
      </c>
      <c r="R120" s="381">
        <v>8571.2502341295822</v>
      </c>
      <c r="S120" s="381">
        <v>8571.2502341295822</v>
      </c>
      <c r="T120" s="381">
        <v>8571.2502341295822</v>
      </c>
      <c r="U120" s="381">
        <v>8571.2502341295822</v>
      </c>
      <c r="V120" s="381">
        <v>8571.2502341295822</v>
      </c>
      <c r="W120" s="381">
        <v>8571.2502341295822</v>
      </c>
      <c r="X120" s="381">
        <v>8571.2502341295822</v>
      </c>
      <c r="Y120" s="381">
        <v>8571.2502341295822</v>
      </c>
      <c r="Z120" s="381">
        <v>0</v>
      </c>
      <c r="AA120" s="381">
        <v>0</v>
      </c>
      <c r="AB120" s="381">
        <v>0</v>
      </c>
      <c r="AC120" s="381">
        <v>0</v>
      </c>
      <c r="AD120" s="381">
        <v>0</v>
      </c>
      <c r="AE120" s="381">
        <v>0</v>
      </c>
      <c r="AF120" s="381">
        <v>0</v>
      </c>
      <c r="AG120" s="381">
        <v>0</v>
      </c>
      <c r="AH120" s="381">
        <v>0</v>
      </c>
      <c r="AI120" s="381">
        <v>0</v>
      </c>
      <c r="AJ120" s="381">
        <v>0</v>
      </c>
      <c r="AK120" s="381">
        <v>0</v>
      </c>
      <c r="AL120" s="381">
        <v>0</v>
      </c>
      <c r="AM120" s="381">
        <v>0</v>
      </c>
      <c r="AN120" s="381">
        <v>0</v>
      </c>
    </row>
    <row r="121" spans="1:40">
      <c r="A121" t="s">
        <v>23</v>
      </c>
      <c r="B121" t="s">
        <v>453</v>
      </c>
      <c r="C121" t="s">
        <v>395</v>
      </c>
      <c r="D121" t="str">
        <f t="shared" si="47"/>
        <v>Able to pay - Extended Energy LeapCentral</v>
      </c>
      <c r="E121" s="381">
        <v>0</v>
      </c>
      <c r="F121" s="381">
        <v>0</v>
      </c>
      <c r="G121" s="381">
        <v>0</v>
      </c>
      <c r="H121" s="381">
        <v>0</v>
      </c>
      <c r="I121" s="381">
        <v>0</v>
      </c>
      <c r="J121" s="381">
        <v>0</v>
      </c>
      <c r="K121" s="381">
        <v>0</v>
      </c>
      <c r="L121" s="381">
        <v>0</v>
      </c>
      <c r="M121" s="381">
        <v>0</v>
      </c>
      <c r="N121" s="381">
        <v>0</v>
      </c>
      <c r="O121" s="381">
        <v>1687.2524179462703</v>
      </c>
      <c r="P121" s="381">
        <v>3374.5048358925405</v>
      </c>
      <c r="Q121" s="381">
        <v>5061.7572538388113</v>
      </c>
      <c r="R121" s="381">
        <v>6749.0096717850811</v>
      </c>
      <c r="S121" s="381">
        <v>8436.26208973135</v>
      </c>
      <c r="T121" s="381">
        <v>10123.514507677623</v>
      </c>
      <c r="U121" s="381">
        <v>11810.766925623891</v>
      </c>
      <c r="V121" s="381">
        <v>13498.019343570162</v>
      </c>
      <c r="W121" s="381">
        <v>15185.271761516433</v>
      </c>
      <c r="X121" s="381">
        <v>16872.5241794627</v>
      </c>
      <c r="Y121" s="381">
        <v>16872.5241794627</v>
      </c>
      <c r="Z121" s="381">
        <v>16872.5241794627</v>
      </c>
      <c r="AA121" s="381">
        <v>16872.5241794627</v>
      </c>
      <c r="AB121" s="381">
        <v>0</v>
      </c>
      <c r="AC121" s="381">
        <v>0</v>
      </c>
      <c r="AD121" s="381">
        <v>0</v>
      </c>
      <c r="AE121" s="381">
        <v>0</v>
      </c>
      <c r="AF121" s="381">
        <v>0</v>
      </c>
      <c r="AG121" s="381">
        <v>0</v>
      </c>
      <c r="AH121" s="381">
        <v>0</v>
      </c>
      <c r="AI121" s="381">
        <v>0</v>
      </c>
      <c r="AJ121" s="381">
        <v>0</v>
      </c>
      <c r="AK121" s="381">
        <v>0</v>
      </c>
      <c r="AL121" s="381">
        <v>0</v>
      </c>
      <c r="AM121" s="381">
        <v>0</v>
      </c>
      <c r="AN121" s="381">
        <v>0</v>
      </c>
    </row>
    <row r="122" spans="1:40">
      <c r="A122" t="s">
        <v>23</v>
      </c>
      <c r="B122" t="s">
        <v>453</v>
      </c>
      <c r="C122" t="s">
        <v>396</v>
      </c>
      <c r="D122" t="str">
        <f t="shared" si="47"/>
        <v>Able to pay - All buildings MEES - EPC CCentral</v>
      </c>
      <c r="E122" s="381">
        <v>0</v>
      </c>
      <c r="F122" s="381">
        <v>0</v>
      </c>
      <c r="G122" s="381">
        <v>0</v>
      </c>
      <c r="H122" s="381">
        <v>0</v>
      </c>
      <c r="I122" s="381">
        <v>0</v>
      </c>
      <c r="J122" s="381">
        <v>0</v>
      </c>
      <c r="K122" s="381">
        <v>2316.7739750826727</v>
      </c>
      <c r="L122" s="381">
        <v>4633.5479501653454</v>
      </c>
      <c r="M122" s="381">
        <v>6950.3219252480185</v>
      </c>
      <c r="N122" s="381">
        <v>9267.0959003306907</v>
      </c>
      <c r="O122" s="381">
        <v>11583.869875413364</v>
      </c>
      <c r="P122" s="381">
        <v>13900.643850496037</v>
      </c>
      <c r="Q122" s="381">
        <v>16217.41782557871</v>
      </c>
      <c r="R122" s="381">
        <v>18534.191800661381</v>
      </c>
      <c r="S122" s="381">
        <v>20850.965775744058</v>
      </c>
      <c r="T122" s="381">
        <v>20850.965775744058</v>
      </c>
      <c r="U122" s="381">
        <v>20850.965775744058</v>
      </c>
      <c r="V122" s="381">
        <v>20850.965775744058</v>
      </c>
      <c r="W122" s="381">
        <v>20850.965775744058</v>
      </c>
      <c r="X122" s="381">
        <v>20850.965775744058</v>
      </c>
      <c r="Y122" s="381">
        <v>0</v>
      </c>
      <c r="Z122" s="381">
        <v>0</v>
      </c>
      <c r="AA122" s="381">
        <v>0</v>
      </c>
      <c r="AB122" s="381">
        <v>0</v>
      </c>
      <c r="AC122" s="381">
        <v>0</v>
      </c>
      <c r="AD122" s="381">
        <v>0</v>
      </c>
      <c r="AE122" s="381">
        <v>0</v>
      </c>
      <c r="AF122" s="381">
        <v>0</v>
      </c>
      <c r="AG122" s="381">
        <v>0</v>
      </c>
      <c r="AH122" s="381">
        <v>0</v>
      </c>
      <c r="AI122" s="381">
        <v>0</v>
      </c>
      <c r="AJ122" s="381">
        <v>0</v>
      </c>
      <c r="AK122" s="381">
        <v>0</v>
      </c>
      <c r="AL122" s="381">
        <v>0</v>
      </c>
      <c r="AM122" s="381">
        <v>0</v>
      </c>
      <c r="AN122" s="381">
        <v>0</v>
      </c>
    </row>
    <row r="123" spans="1:40">
      <c r="A123" t="s">
        <v>23</v>
      </c>
      <c r="B123" t="s">
        <v>453</v>
      </c>
      <c r="C123" t="s">
        <v>398</v>
      </c>
      <c r="D123" t="str">
        <f t="shared" si="47"/>
        <v>Existing - Domestic ALL - Mandate on lighting efficiencyCentral</v>
      </c>
      <c r="E123" s="80"/>
      <c r="F123" s="106"/>
      <c r="G123" s="106"/>
      <c r="H123" s="106"/>
      <c r="I123" s="106"/>
      <c r="J123" s="106"/>
      <c r="K123" s="106"/>
      <c r="L123" s="106"/>
      <c r="M123" s="106"/>
      <c r="N123" s="106"/>
      <c r="O123" s="80"/>
      <c r="P123" s="106"/>
      <c r="Q123" s="106"/>
      <c r="R123" s="106"/>
      <c r="S123" s="106"/>
      <c r="T123" s="106"/>
      <c r="U123" s="106"/>
      <c r="V123" s="106"/>
      <c r="W123" s="106"/>
      <c r="X123" s="106"/>
      <c r="Y123" s="106"/>
      <c r="Z123" s="106"/>
      <c r="AA123" s="106"/>
      <c r="AB123" s="106"/>
      <c r="AC123" s="106"/>
      <c r="AD123" s="106"/>
      <c r="AE123" s="106"/>
      <c r="AF123" s="106"/>
      <c r="AG123" s="106"/>
      <c r="AH123" s="106"/>
      <c r="AI123" s="106"/>
      <c r="AJ123" s="106"/>
      <c r="AK123" s="106"/>
      <c r="AL123" s="106"/>
      <c r="AM123" s="106"/>
      <c r="AN123" s="80"/>
    </row>
    <row r="124" spans="1:40">
      <c r="A124" t="s">
        <v>23</v>
      </c>
      <c r="B124" t="s">
        <v>453</v>
      </c>
      <c r="C124" t="s">
        <v>399</v>
      </c>
      <c r="D124" t="str">
        <f t="shared" si="47"/>
        <v>Existing - Domestic ALL - Mandate on appliance efficiencyCentral</v>
      </c>
      <c r="E124" s="80"/>
      <c r="F124" s="106"/>
      <c r="G124" s="106"/>
      <c r="H124" s="106"/>
      <c r="I124" s="106"/>
      <c r="J124" s="106"/>
      <c r="K124" s="106"/>
      <c r="L124" s="106"/>
      <c r="M124" s="106"/>
      <c r="N124" s="106"/>
      <c r="O124" s="80"/>
      <c r="P124" s="106"/>
      <c r="Q124" s="106"/>
      <c r="R124" s="106"/>
      <c r="S124" s="106"/>
      <c r="T124" s="106"/>
      <c r="U124" s="106"/>
      <c r="V124" s="106"/>
      <c r="W124" s="106"/>
      <c r="X124" s="106"/>
      <c r="Y124" s="106"/>
      <c r="Z124" s="106"/>
      <c r="AA124" s="106"/>
      <c r="AB124" s="106"/>
      <c r="AC124" s="106"/>
      <c r="AD124" s="106"/>
      <c r="AE124" s="106"/>
      <c r="AF124" s="106"/>
      <c r="AG124" s="106"/>
      <c r="AH124" s="106"/>
      <c r="AI124" s="106"/>
      <c r="AJ124" s="106"/>
      <c r="AK124" s="106"/>
      <c r="AL124" s="106"/>
      <c r="AM124" s="106"/>
      <c r="AN124" s="80"/>
    </row>
    <row r="125" spans="1:40">
      <c r="A125" t="s">
        <v>23</v>
      </c>
      <c r="B125" t="s">
        <v>453</v>
      </c>
      <c r="C125" t="s">
        <v>400</v>
      </c>
      <c r="D125" t="str">
        <f t="shared" si="47"/>
        <v>New - Domestic ALL - Mandate on lighting efficiencyCentral</v>
      </c>
      <c r="E125" s="80">
        <v>0</v>
      </c>
      <c r="F125" s="106">
        <v>71977.11975266278</v>
      </c>
      <c r="G125" s="106">
        <v>71977.11975266278</v>
      </c>
      <c r="H125" s="106">
        <v>71977.11975266278</v>
      </c>
      <c r="I125" s="106">
        <v>155964.42546694851</v>
      </c>
      <c r="J125" s="106">
        <v>239951.73118123403</v>
      </c>
      <c r="K125" s="106">
        <v>312877.77590616618</v>
      </c>
      <c r="L125" s="106">
        <v>396865.08162045194</v>
      </c>
      <c r="M125" s="106">
        <v>480852.38733473764</v>
      </c>
      <c r="N125" s="106">
        <v>564839.69304902339</v>
      </c>
      <c r="O125" s="80">
        <v>648826.99876330968</v>
      </c>
      <c r="P125" s="106">
        <v>637225.76701064175</v>
      </c>
      <c r="Q125" s="106">
        <v>49314.627010641634</v>
      </c>
      <c r="R125" s="106">
        <v>49314.627010641634</v>
      </c>
      <c r="S125" s="106">
        <v>49314.627010641634</v>
      </c>
      <c r="T125" s="106">
        <v>49314.62701064159</v>
      </c>
      <c r="U125" s="106">
        <v>22733.44457142887</v>
      </c>
      <c r="V125" s="106">
        <v>22733.444571428765</v>
      </c>
      <c r="W125" s="106">
        <v>22733.444571428765</v>
      </c>
      <c r="X125" s="106">
        <v>22733.444571428765</v>
      </c>
      <c r="Y125" s="106">
        <v>22733.444571428765</v>
      </c>
      <c r="Z125" s="106">
        <v>22733.444571428765</v>
      </c>
      <c r="AA125" s="106">
        <v>22733.444571428765</v>
      </c>
      <c r="AB125" s="106">
        <v>22733.444571428765</v>
      </c>
      <c r="AC125" s="106">
        <v>22733.444571428765</v>
      </c>
      <c r="AD125" s="106">
        <v>22733.444571430729</v>
      </c>
      <c r="AE125" s="106">
        <v>22733.444571429187</v>
      </c>
      <c r="AF125" s="106">
        <v>22733.444571429391</v>
      </c>
      <c r="AG125" s="106">
        <v>22733.444571429391</v>
      </c>
      <c r="AH125" s="106">
        <v>22733.444571429391</v>
      </c>
      <c r="AI125" s="106">
        <v>22733.444571429391</v>
      </c>
      <c r="AJ125" s="106">
        <v>22733.444571429391</v>
      </c>
      <c r="AK125" s="106">
        <v>22733.444571429391</v>
      </c>
      <c r="AL125" s="106">
        <v>22733.444571429391</v>
      </c>
      <c r="AM125" s="106">
        <v>22733.444571429391</v>
      </c>
      <c r="AN125" s="80">
        <v>22733.444571427295</v>
      </c>
    </row>
    <row r="126" spans="1:40">
      <c r="A126" t="s">
        <v>23</v>
      </c>
      <c r="B126" t="s">
        <v>453</v>
      </c>
      <c r="C126" t="s">
        <v>401</v>
      </c>
      <c r="D126" t="str">
        <f t="shared" si="47"/>
        <v>New - Domestic ALL - Mandate on appliance efficiencyCentral</v>
      </c>
      <c r="E126" s="381">
        <v>0</v>
      </c>
      <c r="F126" s="381">
        <v>71977.11975266278</v>
      </c>
      <c r="G126" s="381">
        <v>71977.11975266278</v>
      </c>
      <c r="H126" s="381">
        <v>71977.11975266278</v>
      </c>
      <c r="I126" s="381">
        <v>90122.525308218334</v>
      </c>
      <c r="J126" s="381">
        <v>108267.93086377368</v>
      </c>
      <c r="K126" s="381">
        <v>115352.0754299757</v>
      </c>
      <c r="L126" s="381">
        <v>133497.48098553126</v>
      </c>
      <c r="M126" s="381">
        <v>151642.88654108683</v>
      </c>
      <c r="N126" s="381">
        <v>169788.29209664237</v>
      </c>
      <c r="O126" s="381">
        <v>187933.69765219843</v>
      </c>
      <c r="P126" s="381">
        <v>194477.8714550861</v>
      </c>
      <c r="Q126" s="381">
        <v>212623.27701064164</v>
      </c>
      <c r="R126" s="381">
        <v>230768.68256619724</v>
      </c>
      <c r="S126" s="381">
        <v>248914.08812175278</v>
      </c>
      <c r="T126" s="381">
        <v>267059.49367730826</v>
      </c>
      <c r="U126" s="381">
        <v>225961.98679365107</v>
      </c>
      <c r="V126" s="381">
        <v>211445.66234920654</v>
      </c>
      <c r="W126" s="381">
        <v>196929.33790476213</v>
      </c>
      <c r="X126" s="381">
        <v>182413.01346031766</v>
      </c>
      <c r="Y126" s="381">
        <v>167896.68901587318</v>
      </c>
      <c r="Z126" s="381">
        <v>153380.36457142877</v>
      </c>
      <c r="AA126" s="381">
        <v>138864.04012698433</v>
      </c>
      <c r="AB126" s="381">
        <v>124347.71568253986</v>
      </c>
      <c r="AC126" s="381">
        <v>109831.39123809541</v>
      </c>
      <c r="AD126" s="381">
        <v>95315.06679365295</v>
      </c>
      <c r="AE126" s="381">
        <v>80798.742349206965</v>
      </c>
      <c r="AF126" s="381">
        <v>66282.417904762726</v>
      </c>
      <c r="AG126" s="381">
        <v>51766.093460318276</v>
      </c>
      <c r="AH126" s="381">
        <v>37249.769015873841</v>
      </c>
      <c r="AI126" s="381">
        <v>22733.444571429391</v>
      </c>
      <c r="AJ126" s="381">
        <v>22733.444571429391</v>
      </c>
      <c r="AK126" s="381">
        <v>22733.444571429391</v>
      </c>
      <c r="AL126" s="381">
        <v>22733.444571429391</v>
      </c>
      <c r="AM126" s="381">
        <v>22733.444571429391</v>
      </c>
      <c r="AN126" s="381">
        <v>22733.444571427295</v>
      </c>
    </row>
    <row r="127" spans="1:40">
      <c r="A127" t="s">
        <v>23</v>
      </c>
      <c r="B127" t="s">
        <v>453</v>
      </c>
      <c r="C127" t="s">
        <v>402</v>
      </c>
      <c r="D127" t="str">
        <f t="shared" si="47"/>
        <v>New - Domestic ALL - Stronger planning requirement for smart controls  Central</v>
      </c>
      <c r="E127" s="381">
        <v>0</v>
      </c>
      <c r="F127" s="381">
        <v>33739.27488406068</v>
      </c>
      <c r="G127" s="381">
        <v>33739.27488406068</v>
      </c>
      <c r="H127" s="381">
        <v>33739.27488406068</v>
      </c>
      <c r="I127" s="381">
        <v>33739.27488406068</v>
      </c>
      <c r="J127" s="381">
        <v>33739.274884060578</v>
      </c>
      <c r="K127" s="381">
        <v>28554.308795301105</v>
      </c>
      <c r="L127" s="381">
        <v>28554.308795301105</v>
      </c>
      <c r="M127" s="381">
        <v>28554.308795301105</v>
      </c>
      <c r="N127" s="381">
        <v>28554.308795301105</v>
      </c>
      <c r="O127" s="381">
        <v>28554.308795301349</v>
      </c>
      <c r="P127" s="381">
        <v>23116.23141123827</v>
      </c>
      <c r="Q127" s="381">
        <v>23116.23141123827</v>
      </c>
      <c r="R127" s="381">
        <v>23116.23141123827</v>
      </c>
      <c r="S127" s="381">
        <v>23116.23141123827</v>
      </c>
      <c r="T127" s="381">
        <v>23116.231411238245</v>
      </c>
      <c r="U127" s="381">
        <v>10656.302142857283</v>
      </c>
      <c r="V127" s="381">
        <v>10656.302142857232</v>
      </c>
      <c r="W127" s="381">
        <v>10656.302142857232</v>
      </c>
      <c r="X127" s="381">
        <v>10656.302142857232</v>
      </c>
      <c r="Y127" s="381">
        <v>10656.302142857232</v>
      </c>
      <c r="Z127" s="381">
        <v>10656.302142857232</v>
      </c>
      <c r="AA127" s="381">
        <v>10656.302142857232</v>
      </c>
      <c r="AB127" s="381">
        <v>10656.302142857232</v>
      </c>
      <c r="AC127" s="381">
        <v>10656.302142857232</v>
      </c>
      <c r="AD127" s="381">
        <v>10656.302142858154</v>
      </c>
      <c r="AE127" s="381">
        <v>10656.302142857428</v>
      </c>
      <c r="AF127" s="381">
        <v>10656.302142857527</v>
      </c>
      <c r="AG127" s="381">
        <v>10656.302142857527</v>
      </c>
      <c r="AH127" s="381">
        <v>10656.302142857527</v>
      </c>
      <c r="AI127" s="381">
        <v>10656.302142857527</v>
      </c>
      <c r="AJ127" s="381">
        <v>10656.302142857527</v>
      </c>
      <c r="AK127" s="381">
        <v>10656.302142857527</v>
      </c>
      <c r="AL127" s="381">
        <v>10656.302142857527</v>
      </c>
      <c r="AM127" s="381">
        <v>10656.302142857527</v>
      </c>
      <c r="AN127" s="381">
        <v>10656.302142856544</v>
      </c>
    </row>
    <row r="128" spans="1:40">
      <c r="A128" t="s">
        <v>23</v>
      </c>
      <c r="B128" t="s">
        <v>453</v>
      </c>
      <c r="C128" t="s">
        <v>406</v>
      </c>
      <c r="D128" t="str">
        <f t="shared" si="47"/>
        <v>SME - Energy efficiency programmeCentral</v>
      </c>
      <c r="E128" s="381">
        <v>0</v>
      </c>
      <c r="F128" s="381">
        <v>0</v>
      </c>
      <c r="G128" s="381">
        <v>0</v>
      </c>
      <c r="H128" s="381">
        <v>0</v>
      </c>
      <c r="I128" s="381">
        <v>0</v>
      </c>
      <c r="J128" s="381">
        <v>0</v>
      </c>
      <c r="K128" s="381">
        <v>248.53609702764493</v>
      </c>
      <c r="L128" s="381">
        <v>497.07219405528986</v>
      </c>
      <c r="M128" s="381">
        <v>745.60829108293478</v>
      </c>
      <c r="N128" s="381">
        <v>745.60829108293478</v>
      </c>
      <c r="O128" s="381">
        <v>745.60829108293478</v>
      </c>
      <c r="P128" s="381">
        <v>745.60829108293478</v>
      </c>
      <c r="Q128" s="381">
        <v>745.60829108293478</v>
      </c>
      <c r="R128" s="381">
        <v>745.60829108293478</v>
      </c>
      <c r="S128" s="381">
        <v>711.71700512461962</v>
      </c>
      <c r="T128" s="381">
        <v>677.82571916630445</v>
      </c>
      <c r="U128" s="381">
        <v>643.93443320798917</v>
      </c>
      <c r="V128" s="381">
        <v>610.04314724967389</v>
      </c>
      <c r="W128" s="381">
        <v>576.15186129135873</v>
      </c>
      <c r="X128" s="381">
        <v>542.26057533304345</v>
      </c>
      <c r="Y128" s="381">
        <v>508.36928937472828</v>
      </c>
      <c r="Z128" s="381">
        <v>474.47800341641312</v>
      </c>
      <c r="AA128" s="381">
        <v>440.58671745809784</v>
      </c>
      <c r="AB128" s="381">
        <v>406.69543149978267</v>
      </c>
      <c r="AC128" s="381">
        <v>372.80414554146739</v>
      </c>
      <c r="AD128" s="381">
        <v>338.91285958315217</v>
      </c>
      <c r="AE128" s="381">
        <v>305.02157362483695</v>
      </c>
      <c r="AF128" s="381">
        <v>271.13028766652178</v>
      </c>
      <c r="AG128" s="381">
        <v>237.23900170820656</v>
      </c>
      <c r="AH128" s="381">
        <v>203.34771574989131</v>
      </c>
      <c r="AI128" s="381">
        <v>169.45642979157606</v>
      </c>
      <c r="AJ128" s="381">
        <v>135.56514383326089</v>
      </c>
      <c r="AK128" s="381">
        <v>101.67385787494561</v>
      </c>
      <c r="AL128" s="381">
        <v>67.782571916630445</v>
      </c>
      <c r="AM128" s="381">
        <v>33.891285958315166</v>
      </c>
      <c r="AN128" s="381">
        <v>0</v>
      </c>
    </row>
    <row r="129" spans="1:40">
      <c r="A129" t="s">
        <v>23</v>
      </c>
      <c r="B129" t="s">
        <v>453</v>
      </c>
      <c r="C129" t="s">
        <v>407</v>
      </c>
      <c r="D129" t="str">
        <f t="shared" si="47"/>
        <v>SME - Landlord MEES – EPC CCentral</v>
      </c>
      <c r="E129" s="381">
        <v>0</v>
      </c>
      <c r="F129" s="381">
        <v>0</v>
      </c>
      <c r="G129" s="381">
        <v>0</v>
      </c>
      <c r="H129" s="381">
        <v>0</v>
      </c>
      <c r="I129" s="381">
        <v>388.66922707277246</v>
      </c>
      <c r="J129" s="381">
        <v>777.33845414554492</v>
      </c>
      <c r="K129" s="381">
        <v>1166.0076812183174</v>
      </c>
      <c r="L129" s="381">
        <v>1554.6769082910898</v>
      </c>
      <c r="M129" s="381">
        <v>1943.3461353638622</v>
      </c>
      <c r="N129" s="381">
        <v>2332.0153624366349</v>
      </c>
      <c r="O129" s="381">
        <v>2720.684589509407</v>
      </c>
      <c r="P129" s="381">
        <v>2720.684589509407</v>
      </c>
      <c r="Q129" s="381">
        <v>2720.684589509407</v>
      </c>
      <c r="R129" s="381">
        <v>2720.684589509407</v>
      </c>
      <c r="S129" s="381">
        <v>2720.684589509407</v>
      </c>
      <c r="T129" s="381">
        <v>2720.684589509407</v>
      </c>
      <c r="U129" s="381">
        <v>2176.5476716075254</v>
      </c>
      <c r="V129" s="381">
        <v>1632.4107537056443</v>
      </c>
      <c r="W129" s="381">
        <v>1088.2738358037629</v>
      </c>
      <c r="X129" s="381">
        <v>544.13691790188159</v>
      </c>
      <c r="Y129" s="381">
        <v>4.5474735088646412E-13</v>
      </c>
      <c r="Z129" s="381">
        <v>0</v>
      </c>
      <c r="AA129" s="381">
        <v>0</v>
      </c>
      <c r="AB129" s="381">
        <v>0</v>
      </c>
      <c r="AC129" s="381">
        <v>0</v>
      </c>
      <c r="AD129" s="381">
        <v>0</v>
      </c>
      <c r="AE129" s="381">
        <v>0</v>
      </c>
      <c r="AF129" s="381">
        <v>0</v>
      </c>
      <c r="AG129" s="381">
        <v>0</v>
      </c>
      <c r="AH129" s="381">
        <v>0</v>
      </c>
      <c r="AI129" s="381">
        <v>0</v>
      </c>
      <c r="AJ129" s="381">
        <v>0</v>
      </c>
      <c r="AK129" s="381">
        <v>0</v>
      </c>
      <c r="AL129" s="381">
        <v>0</v>
      </c>
      <c r="AM129" s="381">
        <v>0</v>
      </c>
      <c r="AN129" s="381">
        <v>0</v>
      </c>
    </row>
    <row r="130" spans="1:40">
      <c r="A130" t="s">
        <v>23</v>
      </c>
      <c r="B130" t="s">
        <v>453</v>
      </c>
      <c r="C130" t="s">
        <v>408</v>
      </c>
      <c r="D130" t="str">
        <f t="shared" si="47"/>
        <v>SME - Energy performance tax grading – business ratesCentral</v>
      </c>
      <c r="E130" s="381">
        <v>0</v>
      </c>
      <c r="F130" s="381">
        <v>0</v>
      </c>
      <c r="G130" s="381">
        <v>0</v>
      </c>
      <c r="H130" s="381">
        <v>0</v>
      </c>
      <c r="I130" s="381">
        <v>0</v>
      </c>
      <c r="J130" s="381">
        <v>0</v>
      </c>
      <c r="K130" s="381">
        <v>0</v>
      </c>
      <c r="L130" s="381">
        <v>0</v>
      </c>
      <c r="M130" s="381">
        <v>0</v>
      </c>
      <c r="N130" s="381">
        <v>151.80386033750349</v>
      </c>
      <c r="O130" s="381">
        <v>151.80386033750349</v>
      </c>
      <c r="P130" s="381">
        <v>151.80386033750349</v>
      </c>
      <c r="Q130" s="381">
        <v>151.80386033750349</v>
      </c>
      <c r="R130" s="381">
        <v>0</v>
      </c>
      <c r="S130" s="381">
        <v>0</v>
      </c>
      <c r="T130" s="381">
        <v>0</v>
      </c>
      <c r="U130" s="381">
        <v>0</v>
      </c>
      <c r="V130" s="381">
        <v>0</v>
      </c>
      <c r="W130" s="381">
        <v>0</v>
      </c>
      <c r="X130" s="381">
        <v>0</v>
      </c>
      <c r="Y130" s="381">
        <v>0</v>
      </c>
      <c r="Z130" s="381">
        <v>0</v>
      </c>
      <c r="AA130" s="381">
        <v>0</v>
      </c>
      <c r="AB130" s="381">
        <v>0</v>
      </c>
      <c r="AC130" s="381">
        <v>0</v>
      </c>
      <c r="AD130" s="381">
        <v>0</v>
      </c>
      <c r="AE130" s="381">
        <v>0</v>
      </c>
      <c r="AF130" s="381">
        <v>0</v>
      </c>
      <c r="AG130" s="381">
        <v>0</v>
      </c>
      <c r="AH130" s="381">
        <v>0</v>
      </c>
      <c r="AI130" s="381">
        <v>0</v>
      </c>
      <c r="AJ130" s="381">
        <v>0</v>
      </c>
      <c r="AK130" s="381">
        <v>0</v>
      </c>
      <c r="AL130" s="381">
        <v>0</v>
      </c>
      <c r="AM130" s="381">
        <v>0</v>
      </c>
      <c r="AN130" s="381">
        <v>0</v>
      </c>
    </row>
    <row r="131" spans="1:40">
      <c r="A131" t="s">
        <v>23</v>
      </c>
      <c r="B131" t="s">
        <v>453</v>
      </c>
      <c r="C131" t="s">
        <v>409</v>
      </c>
      <c r="D131" t="str">
        <f t="shared" si="47"/>
        <v>SME - All buildings MEES – EPC CCentral</v>
      </c>
      <c r="E131" s="381">
        <v>0</v>
      </c>
      <c r="F131" s="381">
        <v>0</v>
      </c>
      <c r="G131" s="381">
        <v>0</v>
      </c>
      <c r="H131" s="381">
        <v>0</v>
      </c>
      <c r="I131" s="381">
        <v>0</v>
      </c>
      <c r="J131" s="381">
        <v>0</v>
      </c>
      <c r="K131" s="381">
        <v>0</v>
      </c>
      <c r="L131" s="381">
        <v>0</v>
      </c>
      <c r="M131" s="381">
        <v>0</v>
      </c>
      <c r="N131" s="381">
        <v>0</v>
      </c>
      <c r="O131" s="381">
        <v>0</v>
      </c>
      <c r="P131" s="381">
        <v>347.3333889364099</v>
      </c>
      <c r="Q131" s="381">
        <v>694.66677787281981</v>
      </c>
      <c r="R131" s="381">
        <v>1042.0001668092298</v>
      </c>
      <c r="S131" s="381">
        <v>1389.3335557456396</v>
      </c>
      <c r="T131" s="381">
        <v>1389.3335557456396</v>
      </c>
      <c r="U131" s="381">
        <v>1389.3335557456396</v>
      </c>
      <c r="V131" s="381">
        <v>1389.3335557456396</v>
      </c>
      <c r="W131" s="381">
        <v>1389.3335557456396</v>
      </c>
      <c r="X131" s="381">
        <v>1389.3335557456396</v>
      </c>
      <c r="Y131" s="381">
        <v>0</v>
      </c>
      <c r="Z131" s="381">
        <v>0</v>
      </c>
      <c r="AA131" s="381">
        <v>0</v>
      </c>
      <c r="AB131" s="381">
        <v>0</v>
      </c>
      <c r="AC131" s="381">
        <v>0</v>
      </c>
      <c r="AD131" s="381">
        <v>0</v>
      </c>
      <c r="AE131" s="381">
        <v>0</v>
      </c>
      <c r="AF131" s="381">
        <v>0</v>
      </c>
      <c r="AG131" s="381">
        <v>0</v>
      </c>
      <c r="AH131" s="381">
        <v>0</v>
      </c>
      <c r="AI131" s="381">
        <v>0</v>
      </c>
      <c r="AJ131" s="381">
        <v>0</v>
      </c>
      <c r="AK131" s="381">
        <v>0</v>
      </c>
      <c r="AL131" s="381">
        <v>0</v>
      </c>
      <c r="AM131" s="381">
        <v>0</v>
      </c>
      <c r="AN131" s="381">
        <v>0</v>
      </c>
    </row>
    <row r="132" spans="1:40">
      <c r="A132" t="s">
        <v>23</v>
      </c>
      <c r="B132" t="s">
        <v>453</v>
      </c>
      <c r="C132" t="s">
        <v>410</v>
      </c>
      <c r="D132" t="str">
        <f t="shared" si="47"/>
        <v>Large Enterprise - Landlord MEES – EPC CCentral</v>
      </c>
      <c r="E132" s="80">
        <v>0</v>
      </c>
      <c r="F132" s="106">
        <v>0</v>
      </c>
      <c r="G132" s="106">
        <v>0</v>
      </c>
      <c r="H132" s="106">
        <v>0</v>
      </c>
      <c r="I132" s="106">
        <v>357.04960693076697</v>
      </c>
      <c r="J132" s="106">
        <v>714.09921386153394</v>
      </c>
      <c r="K132" s="106">
        <v>1071.148820792301</v>
      </c>
      <c r="L132" s="106">
        <v>1428.1984277230679</v>
      </c>
      <c r="M132" s="106">
        <v>1785.2480346538348</v>
      </c>
      <c r="N132" s="106">
        <v>2142.2976415846019</v>
      </c>
      <c r="O132" s="80">
        <v>2499.3472485153688</v>
      </c>
      <c r="P132" s="106">
        <v>2499.3472485153688</v>
      </c>
      <c r="Q132" s="106">
        <v>2499.3472485153688</v>
      </c>
      <c r="R132" s="106">
        <v>2499.3472485153688</v>
      </c>
      <c r="S132" s="106">
        <v>2499.3472485153688</v>
      </c>
      <c r="T132" s="106">
        <v>2499.3472485153688</v>
      </c>
      <c r="U132" s="106">
        <v>1999.4777988122951</v>
      </c>
      <c r="V132" s="106">
        <v>1499.6083491092213</v>
      </c>
      <c r="W132" s="106">
        <v>999.73889940614754</v>
      </c>
      <c r="X132" s="106">
        <v>499.86944970307377</v>
      </c>
      <c r="Y132" s="106">
        <v>0</v>
      </c>
      <c r="Z132" s="106">
        <v>0</v>
      </c>
      <c r="AA132" s="106">
        <v>0</v>
      </c>
      <c r="AB132" s="106">
        <v>0</v>
      </c>
      <c r="AC132" s="106">
        <v>0</v>
      </c>
      <c r="AD132" s="106">
        <v>0</v>
      </c>
      <c r="AE132" s="106">
        <v>0</v>
      </c>
      <c r="AF132" s="106">
        <v>0</v>
      </c>
      <c r="AG132" s="106">
        <v>0</v>
      </c>
      <c r="AH132" s="106">
        <v>0</v>
      </c>
      <c r="AI132" s="106">
        <v>0</v>
      </c>
      <c r="AJ132" s="106">
        <v>0</v>
      </c>
      <c r="AK132" s="106">
        <v>0</v>
      </c>
      <c r="AL132" s="106">
        <v>0</v>
      </c>
      <c r="AM132" s="106">
        <v>0</v>
      </c>
      <c r="AN132" s="80">
        <v>0</v>
      </c>
    </row>
    <row r="133" spans="1:40">
      <c r="A133" t="s">
        <v>23</v>
      </c>
      <c r="B133" t="s">
        <v>453</v>
      </c>
      <c r="C133" t="s">
        <v>411</v>
      </c>
      <c r="D133" t="str">
        <f t="shared" si="47"/>
        <v>Large Enterprise - Energy performance tax grading – business ratesCentral</v>
      </c>
      <c r="E133" s="80">
        <v>0</v>
      </c>
      <c r="F133" s="106">
        <v>0</v>
      </c>
      <c r="G133" s="106">
        <v>0</v>
      </c>
      <c r="H133" s="106">
        <v>0</v>
      </c>
      <c r="I133" s="106">
        <v>0</v>
      </c>
      <c r="J133" s="106">
        <v>0</v>
      </c>
      <c r="K133" s="106">
        <v>0</v>
      </c>
      <c r="L133" s="106">
        <v>0</v>
      </c>
      <c r="M133" s="106">
        <v>102.02169715610641</v>
      </c>
      <c r="N133" s="106">
        <v>102.02169715610641</v>
      </c>
      <c r="O133" s="80">
        <v>102.02169715610641</v>
      </c>
      <c r="P133" s="106">
        <v>102.02169715610641</v>
      </c>
      <c r="Q133" s="106">
        <v>102.02169715610641</v>
      </c>
      <c r="R133" s="106">
        <v>0</v>
      </c>
      <c r="S133" s="106">
        <v>0</v>
      </c>
      <c r="T133" s="106">
        <v>0</v>
      </c>
      <c r="U133" s="106">
        <v>0</v>
      </c>
      <c r="V133" s="106">
        <v>0</v>
      </c>
      <c r="W133" s="106">
        <v>0</v>
      </c>
      <c r="X133" s="106">
        <v>0</v>
      </c>
      <c r="Y133" s="106">
        <v>0</v>
      </c>
      <c r="Z133" s="106">
        <v>0</v>
      </c>
      <c r="AA133" s="106">
        <v>0</v>
      </c>
      <c r="AB133" s="106">
        <v>0</v>
      </c>
      <c r="AC133" s="106">
        <v>0</v>
      </c>
      <c r="AD133" s="106">
        <v>0</v>
      </c>
      <c r="AE133" s="106">
        <v>0</v>
      </c>
      <c r="AF133" s="106">
        <v>0</v>
      </c>
      <c r="AG133" s="106">
        <v>0</v>
      </c>
      <c r="AH133" s="106">
        <v>0</v>
      </c>
      <c r="AI133" s="106">
        <v>0</v>
      </c>
      <c r="AJ133" s="106">
        <v>0</v>
      </c>
      <c r="AK133" s="106">
        <v>0</v>
      </c>
      <c r="AL133" s="106">
        <v>0</v>
      </c>
      <c r="AM133" s="106">
        <v>0</v>
      </c>
      <c r="AN133" s="80">
        <v>0</v>
      </c>
    </row>
    <row r="134" spans="1:40">
      <c r="A134" t="s">
        <v>23</v>
      </c>
      <c r="B134" t="s">
        <v>453</v>
      </c>
      <c r="C134" t="s">
        <v>412</v>
      </c>
      <c r="D134" t="str">
        <f t="shared" si="47"/>
        <v>Large Enterprise - All buildings MEES – EPC CCentral</v>
      </c>
      <c r="E134" s="80">
        <v>0</v>
      </c>
      <c r="F134" s="106">
        <v>0</v>
      </c>
      <c r="G134" s="106">
        <v>0</v>
      </c>
      <c r="H134" s="106">
        <v>0</v>
      </c>
      <c r="I134" s="106">
        <v>0</v>
      </c>
      <c r="J134" s="106">
        <v>0</v>
      </c>
      <c r="K134" s="106">
        <v>0</v>
      </c>
      <c r="L134" s="106">
        <v>0</v>
      </c>
      <c r="M134" s="106">
        <v>0</v>
      </c>
      <c r="N134" s="106">
        <v>0</v>
      </c>
      <c r="O134" s="80">
        <v>0</v>
      </c>
      <c r="P134" s="106">
        <v>364.73403224367905</v>
      </c>
      <c r="Q134" s="106">
        <v>729.46806448735811</v>
      </c>
      <c r="R134" s="106">
        <v>1094.2020967310373</v>
      </c>
      <c r="S134" s="106">
        <v>1458.9361289747162</v>
      </c>
      <c r="T134" s="106">
        <v>1458.9361289747162</v>
      </c>
      <c r="U134" s="106">
        <v>1458.9361289747162</v>
      </c>
      <c r="V134" s="106">
        <v>1458.9361289747162</v>
      </c>
      <c r="W134" s="106">
        <v>1458.9361289747162</v>
      </c>
      <c r="X134" s="106">
        <v>1458.9361289747162</v>
      </c>
      <c r="Y134" s="106">
        <v>0</v>
      </c>
      <c r="Z134" s="106">
        <v>0</v>
      </c>
      <c r="AA134" s="106">
        <v>0</v>
      </c>
      <c r="AB134" s="106">
        <v>0</v>
      </c>
      <c r="AC134" s="106">
        <v>0</v>
      </c>
      <c r="AD134" s="106">
        <v>0</v>
      </c>
      <c r="AE134" s="106">
        <v>0</v>
      </c>
      <c r="AF134" s="106">
        <v>0</v>
      </c>
      <c r="AG134" s="106">
        <v>0</v>
      </c>
      <c r="AH134" s="106">
        <v>0</v>
      </c>
      <c r="AI134" s="106">
        <v>0</v>
      </c>
      <c r="AJ134" s="106">
        <v>0</v>
      </c>
      <c r="AK134" s="106">
        <v>0</v>
      </c>
      <c r="AL134" s="106">
        <v>0</v>
      </c>
      <c r="AM134" s="106">
        <v>0</v>
      </c>
      <c r="AN134" s="80">
        <v>0</v>
      </c>
    </row>
    <row r="135" spans="1:40">
      <c r="A135" t="s">
        <v>23</v>
      </c>
      <c r="B135" t="s">
        <v>453</v>
      </c>
      <c r="C135" t="s">
        <v>413</v>
      </c>
      <c r="D135" t="str">
        <f t="shared" si="47"/>
        <v>Public - Extended RE:FITCentral</v>
      </c>
      <c r="E135" s="80">
        <v>0</v>
      </c>
      <c r="F135" s="106">
        <v>0</v>
      </c>
      <c r="G135" s="106">
        <v>0</v>
      </c>
      <c r="H135" s="106">
        <v>0</v>
      </c>
      <c r="I135" s="106">
        <v>0</v>
      </c>
      <c r="J135" s="106">
        <v>0</v>
      </c>
      <c r="K135" s="106">
        <v>90.917410502986542</v>
      </c>
      <c r="L135" s="106">
        <v>181.83482100597308</v>
      </c>
      <c r="M135" s="106">
        <v>272.75223150895965</v>
      </c>
      <c r="N135" s="106">
        <v>272.75223150895965</v>
      </c>
      <c r="O135" s="80">
        <v>272.75223150895965</v>
      </c>
      <c r="P135" s="106">
        <v>272.75223150895965</v>
      </c>
      <c r="Q135" s="106">
        <v>272.75223150895965</v>
      </c>
      <c r="R135" s="106">
        <v>272.75223150895965</v>
      </c>
      <c r="S135" s="106">
        <v>260.3544028040069</v>
      </c>
      <c r="T135" s="106">
        <v>247.95657409905419</v>
      </c>
      <c r="U135" s="106">
        <v>235.55874539410149</v>
      </c>
      <c r="V135" s="106">
        <v>223.16091668914876</v>
      </c>
      <c r="W135" s="106">
        <v>210.76308798419606</v>
      </c>
      <c r="X135" s="106">
        <v>198.36525927924336</v>
      </c>
      <c r="Y135" s="106">
        <v>185.96743057429066</v>
      </c>
      <c r="Z135" s="106">
        <v>173.56960186933793</v>
      </c>
      <c r="AA135" s="106">
        <v>161.17177316438523</v>
      </c>
      <c r="AB135" s="106">
        <v>148.77394445943253</v>
      </c>
      <c r="AC135" s="106">
        <v>136.37611575447983</v>
      </c>
      <c r="AD135" s="106">
        <v>123.9782870495271</v>
      </c>
      <c r="AE135" s="106">
        <v>111.58045834457438</v>
      </c>
      <c r="AF135" s="106">
        <v>99.18262963962168</v>
      </c>
      <c r="AG135" s="106">
        <v>86.784800934668965</v>
      </c>
      <c r="AH135" s="106">
        <v>74.386972229716264</v>
      </c>
      <c r="AI135" s="106">
        <v>61.989143524763556</v>
      </c>
      <c r="AJ135" s="106">
        <v>49.591314819810847</v>
      </c>
      <c r="AK135" s="106">
        <v>37.193486114858139</v>
      </c>
      <c r="AL135" s="106">
        <v>24.795657409905431</v>
      </c>
      <c r="AM135" s="106">
        <v>12.397828704952708</v>
      </c>
      <c r="AN135" s="80">
        <v>0</v>
      </c>
    </row>
    <row r="136" spans="1:40">
      <c r="A136" t="s">
        <v>23</v>
      </c>
      <c r="B136" t="s">
        <v>453</v>
      </c>
      <c r="C136" t="s">
        <v>414</v>
      </c>
      <c r="D136" t="str">
        <f t="shared" si="47"/>
        <v>Public - All buildings MEES – EPC CCentral</v>
      </c>
      <c r="E136" s="59">
        <v>0</v>
      </c>
      <c r="F136" s="59">
        <v>0</v>
      </c>
      <c r="G136" s="59">
        <v>0</v>
      </c>
      <c r="H136" s="59">
        <v>0</v>
      </c>
      <c r="I136" s="59">
        <v>0</v>
      </c>
      <c r="J136" s="59">
        <v>0</v>
      </c>
      <c r="K136" s="59">
        <v>284.40606582707568</v>
      </c>
      <c r="L136" s="59">
        <v>568.81213165415136</v>
      </c>
      <c r="M136" s="59">
        <v>853.21819748122698</v>
      </c>
      <c r="N136" s="59">
        <v>1137.6242633083027</v>
      </c>
      <c r="O136" s="59">
        <v>1422.0303291353782</v>
      </c>
      <c r="P136" s="59">
        <v>1706.436394962454</v>
      </c>
      <c r="Q136" s="59">
        <v>1990.8424607895297</v>
      </c>
      <c r="R136" s="59">
        <v>2275.2485266166054</v>
      </c>
      <c r="S136" s="59">
        <v>2559.6545924436809</v>
      </c>
      <c r="T136" s="59">
        <v>2559.6545924436809</v>
      </c>
      <c r="U136" s="59">
        <v>2047.7236739549448</v>
      </c>
      <c r="V136" s="59">
        <v>1535.7927554662087</v>
      </c>
      <c r="W136" s="59">
        <v>1023.8618369774723</v>
      </c>
      <c r="X136" s="59">
        <v>511.93091848873615</v>
      </c>
      <c r="Y136" s="59">
        <v>0</v>
      </c>
      <c r="Z136" s="59">
        <v>0</v>
      </c>
      <c r="AA136" s="59">
        <v>0</v>
      </c>
      <c r="AB136" s="59">
        <v>0</v>
      </c>
      <c r="AC136" s="59">
        <v>0</v>
      </c>
      <c r="AD136" s="59">
        <v>0</v>
      </c>
      <c r="AE136" s="59">
        <v>0</v>
      </c>
      <c r="AF136" s="59">
        <v>0</v>
      </c>
      <c r="AG136" s="59">
        <v>0</v>
      </c>
      <c r="AH136" s="59">
        <v>0</v>
      </c>
      <c r="AI136" s="59">
        <v>0</v>
      </c>
      <c r="AJ136" s="59">
        <v>0</v>
      </c>
      <c r="AK136" s="59">
        <v>0</v>
      </c>
      <c r="AL136" s="59">
        <v>0</v>
      </c>
      <c r="AM136" s="59">
        <v>0</v>
      </c>
      <c r="AN136" s="59">
        <v>0</v>
      </c>
    </row>
    <row r="137" spans="1:40">
      <c r="A137" t="s">
        <v>23</v>
      </c>
      <c r="B137" t="s">
        <v>453</v>
      </c>
      <c r="C137" t="s">
        <v>454</v>
      </c>
      <c r="D137" t="str">
        <f>C137&amp;A137</f>
        <v>Existing - Non-domestic ALL - Mandate on lighting efficiencyCentral</v>
      </c>
      <c r="E137" s="381"/>
      <c r="F137" s="381"/>
      <c r="G137" s="381"/>
      <c r="H137" s="381"/>
      <c r="I137" s="381"/>
      <c r="J137" s="381"/>
      <c r="K137" s="381"/>
      <c r="L137" s="381"/>
      <c r="M137" s="381"/>
      <c r="N137" s="381"/>
      <c r="O137" s="381"/>
      <c r="P137" s="381"/>
      <c r="Q137" s="381"/>
      <c r="R137" s="381"/>
      <c r="S137" s="381"/>
      <c r="T137" s="381"/>
      <c r="U137" s="381"/>
      <c r="V137" s="381"/>
      <c r="W137" s="381"/>
      <c r="X137" s="381"/>
      <c r="Y137" s="381"/>
      <c r="Z137" s="381"/>
      <c r="AA137" s="381"/>
      <c r="AB137" s="381"/>
      <c r="AC137" s="381"/>
      <c r="AD137" s="381"/>
      <c r="AE137" s="381"/>
      <c r="AF137" s="381"/>
      <c r="AG137" s="381"/>
      <c r="AH137" s="381"/>
      <c r="AI137" s="381"/>
      <c r="AJ137" s="381"/>
      <c r="AK137" s="381"/>
      <c r="AL137" s="381"/>
      <c r="AM137" s="381"/>
      <c r="AN137" s="381"/>
    </row>
    <row r="138" spans="1:40">
      <c r="A138" t="s">
        <v>23</v>
      </c>
      <c r="B138" t="s">
        <v>453</v>
      </c>
      <c r="C138" t="s">
        <v>455</v>
      </c>
      <c r="D138" t="str">
        <f t="shared" si="47"/>
        <v>Existing -Non-domestic ALL - Mandate on appliance efficiencyCentral</v>
      </c>
      <c r="E138" s="381"/>
      <c r="F138" s="381"/>
      <c r="G138" s="381"/>
      <c r="H138" s="381"/>
      <c r="I138" s="381"/>
      <c r="J138" s="381"/>
      <c r="K138" s="381"/>
      <c r="L138" s="381"/>
      <c r="M138" s="381"/>
      <c r="N138" s="381"/>
      <c r="O138" s="381"/>
      <c r="P138" s="381"/>
      <c r="Q138" s="381"/>
      <c r="R138" s="381"/>
      <c r="S138" s="381"/>
      <c r="T138" s="381"/>
      <c r="U138" s="381"/>
      <c r="V138" s="381"/>
      <c r="W138" s="381"/>
      <c r="X138" s="381"/>
      <c r="Y138" s="381"/>
      <c r="Z138" s="381"/>
      <c r="AA138" s="381"/>
      <c r="AB138" s="381"/>
      <c r="AC138" s="381"/>
      <c r="AD138" s="381"/>
      <c r="AE138" s="381"/>
      <c r="AF138" s="381"/>
      <c r="AG138" s="381"/>
      <c r="AH138" s="381"/>
      <c r="AI138" s="381"/>
      <c r="AJ138" s="381"/>
      <c r="AK138" s="381"/>
      <c r="AL138" s="381"/>
      <c r="AM138" s="381"/>
      <c r="AN138" s="381"/>
    </row>
    <row r="139" spans="1:40">
      <c r="A139" t="s">
        <v>23</v>
      </c>
      <c r="B139" t="s">
        <v>453</v>
      </c>
      <c r="C139" t="s">
        <v>456</v>
      </c>
      <c r="D139" t="str">
        <f t="shared" si="47"/>
        <v>New - Non-domestic ALL - Mandate on lighting efficiencyCentral</v>
      </c>
      <c r="E139" s="381">
        <v>0</v>
      </c>
      <c r="F139" s="381">
        <v>3472.6107683765158</v>
      </c>
      <c r="G139" s="381">
        <v>3472.6107683765158</v>
      </c>
      <c r="H139" s="381">
        <v>3472.6107683765154</v>
      </c>
      <c r="I139" s="381">
        <v>11591.288057345249</v>
      </c>
      <c r="J139" s="381">
        <v>19709.96534631398</v>
      </c>
      <c r="K139" s="381">
        <v>27828.642635282715</v>
      </c>
      <c r="L139" s="381">
        <v>35947.319924251446</v>
      </c>
      <c r="M139" s="381">
        <v>44065.99721322018</v>
      </c>
      <c r="N139" s="381">
        <v>52184.674502188915</v>
      </c>
      <c r="O139" s="381">
        <v>60303.351791157649</v>
      </c>
      <c r="P139" s="381">
        <v>59380.244762667491</v>
      </c>
      <c r="Q139" s="381">
        <v>2549.5037398863597</v>
      </c>
      <c r="R139" s="381">
        <v>2549.5037398863587</v>
      </c>
      <c r="S139" s="381">
        <v>2549.5037398863597</v>
      </c>
      <c r="T139" s="381">
        <v>2549.5037398863597</v>
      </c>
      <c r="U139" s="381">
        <v>2549.5037398863597</v>
      </c>
      <c r="V139" s="381">
        <v>2549.5037398863601</v>
      </c>
      <c r="W139" s="381">
        <v>2549.5037398863601</v>
      </c>
      <c r="X139" s="381">
        <v>2549.5037398863601</v>
      </c>
      <c r="Y139" s="381">
        <v>2549.5037398863601</v>
      </c>
      <c r="Z139" s="381">
        <v>2549.5037398863601</v>
      </c>
      <c r="AA139" s="381">
        <v>2549.5037398863601</v>
      </c>
      <c r="AB139" s="381">
        <v>2549.5037398863601</v>
      </c>
      <c r="AC139" s="381">
        <v>2549.5037398863587</v>
      </c>
      <c r="AD139" s="381">
        <v>2549.5037398863587</v>
      </c>
      <c r="AE139" s="381">
        <v>2549.5037398863587</v>
      </c>
      <c r="AF139" s="381">
        <v>2549.5037398863619</v>
      </c>
      <c r="AG139" s="381">
        <v>2549.5037398863606</v>
      </c>
      <c r="AH139" s="381">
        <v>2549.5037398863606</v>
      </c>
      <c r="AI139" s="381">
        <v>2549.5037398863606</v>
      </c>
      <c r="AJ139" s="381">
        <v>2549.5037398863606</v>
      </c>
      <c r="AK139" s="381">
        <v>2549.5037398863606</v>
      </c>
      <c r="AL139" s="381">
        <v>2549.5037398863606</v>
      </c>
      <c r="AM139" s="381">
        <v>2549.5037398863606</v>
      </c>
      <c r="AN139" s="381">
        <v>2549.5037398863496</v>
      </c>
    </row>
    <row r="140" spans="1:40">
      <c r="A140" t="s">
        <v>23</v>
      </c>
      <c r="B140" t="s">
        <v>453</v>
      </c>
      <c r="C140" t="s">
        <v>457</v>
      </c>
      <c r="D140" t="str">
        <f t="shared" si="47"/>
        <v>New -Non-domestic ALL - Mandate on appliance efficiencyCentral</v>
      </c>
      <c r="E140" s="381">
        <v>0</v>
      </c>
      <c r="F140" s="381">
        <v>3472.6107683765158</v>
      </c>
      <c r="G140" s="381">
        <v>3472.6107683765158</v>
      </c>
      <c r="H140" s="381">
        <v>3472.6107683765154</v>
      </c>
      <c r="I140" s="381">
        <v>5226.6459851290201</v>
      </c>
      <c r="J140" s="381">
        <v>6980.6812018815235</v>
      </c>
      <c r="K140" s="381">
        <v>8734.7164186340269</v>
      </c>
      <c r="L140" s="381">
        <v>10488.751635386532</v>
      </c>
      <c r="M140" s="381">
        <v>12242.786852139034</v>
      </c>
      <c r="N140" s="381">
        <v>13996.822068891539</v>
      </c>
      <c r="O140" s="381">
        <v>15750.857285644042</v>
      </c>
      <c r="P140" s="381">
        <v>16581.785473906391</v>
      </c>
      <c r="Q140" s="381">
        <v>18335.820690658897</v>
      </c>
      <c r="R140" s="381">
        <v>20089.855907411395</v>
      </c>
      <c r="S140" s="381">
        <v>21843.891124163903</v>
      </c>
      <c r="T140" s="381">
        <v>23597.926340916409</v>
      </c>
      <c r="U140" s="381">
        <v>22194.698167514402</v>
      </c>
      <c r="V140" s="381">
        <v>20791.469994112402</v>
      </c>
      <c r="W140" s="381">
        <v>19388.241820710398</v>
      </c>
      <c r="X140" s="381">
        <v>17985.013647308395</v>
      </c>
      <c r="Y140" s="381">
        <v>16581.785473906395</v>
      </c>
      <c r="Z140" s="381">
        <v>15178.55730050439</v>
      </c>
      <c r="AA140" s="381">
        <v>13775.329127102386</v>
      </c>
      <c r="AB140" s="381">
        <v>12372.100953700381</v>
      </c>
      <c r="AC140" s="381">
        <v>10968.872780298378</v>
      </c>
      <c r="AD140" s="381">
        <v>9565.644606896376</v>
      </c>
      <c r="AE140" s="381">
        <v>8162.4164334943716</v>
      </c>
      <c r="AF140" s="381">
        <v>6759.1882600923709</v>
      </c>
      <c r="AG140" s="381">
        <v>5355.9600866903666</v>
      </c>
      <c r="AH140" s="381">
        <v>3952.7319132883626</v>
      </c>
      <c r="AI140" s="381">
        <v>2549.5037398863606</v>
      </c>
      <c r="AJ140" s="381">
        <v>2549.5037398863606</v>
      </c>
      <c r="AK140" s="381">
        <v>2549.5037398863606</v>
      </c>
      <c r="AL140" s="381">
        <v>2549.5037398863606</v>
      </c>
      <c r="AM140" s="381">
        <v>2549.5037398863606</v>
      </c>
      <c r="AN140" s="381">
        <v>2549.5037398863496</v>
      </c>
    </row>
    <row r="141" spans="1:40">
      <c r="A141" t="s">
        <v>23</v>
      </c>
      <c r="B141" t="s">
        <v>453</v>
      </c>
      <c r="C141" t="s">
        <v>458</v>
      </c>
      <c r="D141" t="str">
        <f t="shared" si="47"/>
        <v>New -Non-domestic ALL - Stronger planning requirement for smart controlsCentral</v>
      </c>
      <c r="E141" s="381">
        <v>0</v>
      </c>
      <c r="F141" s="381">
        <v>1627.7862976764916</v>
      </c>
      <c r="G141" s="381">
        <v>1627.7862976764916</v>
      </c>
      <c r="H141" s="381">
        <v>1627.7862976764918</v>
      </c>
      <c r="I141" s="381">
        <v>1627.7862976764914</v>
      </c>
      <c r="J141" s="381">
        <v>1627.7862976764914</v>
      </c>
      <c r="K141" s="381">
        <v>1627.7862976764914</v>
      </c>
      <c r="L141" s="381">
        <v>1627.7862976764918</v>
      </c>
      <c r="M141" s="381">
        <v>1627.7862976764916</v>
      </c>
      <c r="N141" s="381">
        <v>1627.7862976764916</v>
      </c>
      <c r="O141" s="381">
        <v>1627.7862976764914</v>
      </c>
      <c r="P141" s="381">
        <v>1195.0798780717309</v>
      </c>
      <c r="Q141" s="381">
        <v>1195.0798780717309</v>
      </c>
      <c r="R141" s="381">
        <v>1195.0798780717307</v>
      </c>
      <c r="S141" s="381">
        <v>1195.0798780717309</v>
      </c>
      <c r="T141" s="381">
        <v>1195.0798780717309</v>
      </c>
      <c r="U141" s="381">
        <v>1195.0798780717309</v>
      </c>
      <c r="V141" s="381">
        <v>1195.0798780717312</v>
      </c>
      <c r="W141" s="381">
        <v>1195.0798780717312</v>
      </c>
      <c r="X141" s="381">
        <v>1195.0798780717312</v>
      </c>
      <c r="Y141" s="381">
        <v>1195.0798780717312</v>
      </c>
      <c r="Z141" s="381">
        <v>1195.0798780717312</v>
      </c>
      <c r="AA141" s="381">
        <v>1195.0798780717312</v>
      </c>
      <c r="AB141" s="381">
        <v>1195.0798780717312</v>
      </c>
      <c r="AC141" s="381">
        <v>1195.0798780717305</v>
      </c>
      <c r="AD141" s="381">
        <v>1195.0798780717305</v>
      </c>
      <c r="AE141" s="381">
        <v>1195.0798780717305</v>
      </c>
      <c r="AF141" s="381">
        <v>1195.0798780717319</v>
      </c>
      <c r="AG141" s="381">
        <v>1195.0798780717312</v>
      </c>
      <c r="AH141" s="381">
        <v>1195.0798780717312</v>
      </c>
      <c r="AI141" s="381">
        <v>1195.0798780717312</v>
      </c>
      <c r="AJ141" s="381">
        <v>1195.0798780717312</v>
      </c>
      <c r="AK141" s="381">
        <v>1195.0798780717312</v>
      </c>
      <c r="AL141" s="381">
        <v>1195.0798780717312</v>
      </c>
      <c r="AM141" s="381">
        <v>1195.0798780717312</v>
      </c>
      <c r="AN141" s="381">
        <v>1195.0798780717264</v>
      </c>
    </row>
    <row r="142" spans="1:40">
      <c r="A142" t="s">
        <v>23</v>
      </c>
      <c r="B142" t="s">
        <v>459</v>
      </c>
      <c r="C142" t="s">
        <v>460</v>
      </c>
      <c r="D142" t="str">
        <f t="shared" si="47"/>
        <v>Extended Mayoral ProgramsDomestic CAPEXCentral</v>
      </c>
      <c r="E142" s="381">
        <v>0</v>
      </c>
      <c r="F142" s="381">
        <v>0</v>
      </c>
      <c r="G142" s="381">
        <v>0</v>
      </c>
      <c r="H142" s="381">
        <v>0</v>
      </c>
      <c r="I142" s="381">
        <v>0</v>
      </c>
      <c r="J142" s="381">
        <v>0</v>
      </c>
      <c r="K142" s="381">
        <v>21166465.602692172</v>
      </c>
      <c r="L142" s="381">
        <v>41618057.917775065</v>
      </c>
      <c r="M142" s="381">
        <v>61354776.945248663</v>
      </c>
      <c r="N142" s="381">
        <v>60282467.01383476</v>
      </c>
      <c r="O142" s="381">
        <v>85375978.93813996</v>
      </c>
      <c r="P142" s="381">
        <v>109521752.43302545</v>
      </c>
      <c r="Q142" s="381">
        <v>132719787.49849114</v>
      </c>
      <c r="R142" s="381">
        <v>154970084.13453707</v>
      </c>
      <c r="S142" s="381">
        <v>173776237.00676489</v>
      </c>
      <c r="T142" s="381">
        <v>191732134.17061058</v>
      </c>
      <c r="U142" s="381">
        <v>213080945.97890073</v>
      </c>
      <c r="V142" s="381">
        <v>234429757.78719085</v>
      </c>
      <c r="W142" s="381">
        <v>255778569.59548104</v>
      </c>
      <c r="X142" s="381">
        <v>277127381.40377122</v>
      </c>
      <c r="Y142" s="381">
        <v>274679717.42989159</v>
      </c>
      <c r="Z142" s="381">
        <v>272232053.45601201</v>
      </c>
      <c r="AA142" s="381">
        <v>269784389.48213243</v>
      </c>
      <c r="AB142" s="381">
        <v>29371967.686555214</v>
      </c>
      <c r="AC142" s="381">
        <v>26924303.712675612</v>
      </c>
      <c r="AD142" s="381">
        <v>24476639.738796014</v>
      </c>
      <c r="AE142" s="381">
        <v>22028975.764916413</v>
      </c>
      <c r="AF142" s="381">
        <v>19581311.791036811</v>
      </c>
      <c r="AG142" s="381">
        <v>17133647.817157209</v>
      </c>
      <c r="AH142" s="381">
        <v>14685983.843277607</v>
      </c>
      <c r="AI142" s="381">
        <v>12238319.869398005</v>
      </c>
      <c r="AJ142" s="381">
        <v>9790655.8955184054</v>
      </c>
      <c r="AK142" s="381">
        <v>7342991.9216388036</v>
      </c>
      <c r="AL142" s="381">
        <v>4895327.9477592036</v>
      </c>
      <c r="AM142" s="381">
        <v>2447663.9738796013</v>
      </c>
      <c r="AN142" s="381">
        <v>9.5261434296389772E-10</v>
      </c>
    </row>
    <row r="143" spans="1:40">
      <c r="A143" t="s">
        <v>23</v>
      </c>
      <c r="B143" t="s">
        <v>459</v>
      </c>
      <c r="C143" t="s">
        <v>461</v>
      </c>
      <c r="D143" t="str">
        <f t="shared" si="47"/>
        <v>MEESDomestic CAPEXCentral</v>
      </c>
      <c r="E143" s="80">
        <v>0</v>
      </c>
      <c r="F143" s="106">
        <v>0</v>
      </c>
      <c r="G143" s="106">
        <v>0</v>
      </c>
      <c r="H143" s="106">
        <v>0</v>
      </c>
      <c r="I143" s="106">
        <v>36786095.890686259</v>
      </c>
      <c r="J143" s="106">
        <v>72370373.30767113</v>
      </c>
      <c r="K143" s="106">
        <v>200367256.82830137</v>
      </c>
      <c r="L143" s="106">
        <v>324000601.22136974</v>
      </c>
      <c r="M143" s="106">
        <v>443270406.48687625</v>
      </c>
      <c r="N143" s="106">
        <v>558176672.62482095</v>
      </c>
      <c r="O143" s="80">
        <v>668719399.63520384</v>
      </c>
      <c r="P143" s="106">
        <v>774898587.5180248</v>
      </c>
      <c r="Q143" s="106">
        <v>876714236.27328384</v>
      </c>
      <c r="R143" s="106">
        <v>974166345.90098095</v>
      </c>
      <c r="S143" s="106">
        <v>1067254916.4011164</v>
      </c>
      <c r="T143" s="106">
        <v>1046417171.8533864</v>
      </c>
      <c r="U143" s="106">
        <v>669909935.627388</v>
      </c>
      <c r="V143" s="106">
        <v>553321941.65967083</v>
      </c>
      <c r="W143" s="106">
        <v>436733947.69195354</v>
      </c>
      <c r="X143" s="106">
        <v>320145953.72423637</v>
      </c>
      <c r="Y143" s="106">
        <v>-2.7242094802204521E-9</v>
      </c>
      <c r="Z143" s="106">
        <v>0</v>
      </c>
      <c r="AA143" s="106">
        <v>0</v>
      </c>
      <c r="AB143" s="106">
        <v>0</v>
      </c>
      <c r="AC143" s="106">
        <v>0</v>
      </c>
      <c r="AD143" s="106">
        <v>0</v>
      </c>
      <c r="AE143" s="106">
        <v>0</v>
      </c>
      <c r="AF143" s="106">
        <v>0</v>
      </c>
      <c r="AG143" s="106">
        <v>0</v>
      </c>
      <c r="AH143" s="106">
        <v>0</v>
      </c>
      <c r="AI143" s="106">
        <v>0</v>
      </c>
      <c r="AJ143" s="106">
        <v>0</v>
      </c>
      <c r="AK143" s="106">
        <v>0</v>
      </c>
      <c r="AL143" s="106">
        <v>0</v>
      </c>
      <c r="AM143" s="106">
        <v>0</v>
      </c>
      <c r="AN143" s="80">
        <v>0</v>
      </c>
    </row>
    <row r="144" spans="1:40">
      <c r="A144" t="s">
        <v>23</v>
      </c>
      <c r="B144" t="s">
        <v>459</v>
      </c>
      <c r="C144" t="s">
        <v>462</v>
      </c>
      <c r="D144" t="str">
        <f t="shared" si="47"/>
        <v>Tax mechanismsDomestic CAPEXCentral</v>
      </c>
      <c r="E144" s="80">
        <v>0</v>
      </c>
      <c r="F144" s="106">
        <v>0</v>
      </c>
      <c r="G144" s="106">
        <v>0</v>
      </c>
      <c r="H144" s="106">
        <v>0</v>
      </c>
      <c r="I144" s="106">
        <v>0</v>
      </c>
      <c r="J144" s="106">
        <v>0</v>
      </c>
      <c r="K144" s="106">
        <v>0</v>
      </c>
      <c r="L144" s="106">
        <v>0</v>
      </c>
      <c r="M144" s="106">
        <v>21867890.977667809</v>
      </c>
      <c r="N144" s="106">
        <v>21485701.393711612</v>
      </c>
      <c r="O144" s="80">
        <v>91448551.175606787</v>
      </c>
      <c r="P144" s="106">
        <v>89792396.311796546</v>
      </c>
      <c r="Q144" s="106">
        <v>88136241.447986364</v>
      </c>
      <c r="R144" s="106">
        <v>66523143.526289351</v>
      </c>
      <c r="S144" s="106">
        <v>65249178.246435344</v>
      </c>
      <c r="T144" s="106">
        <v>63975212.96658136</v>
      </c>
      <c r="U144" s="106">
        <v>63975212.96658136</v>
      </c>
      <c r="V144" s="106">
        <v>63975212.96658136</v>
      </c>
      <c r="W144" s="106">
        <v>63975212.96658136</v>
      </c>
      <c r="X144" s="106">
        <v>63975212.96658136</v>
      </c>
      <c r="Y144" s="106">
        <v>63975212.96658136</v>
      </c>
      <c r="Z144" s="106">
        <v>0</v>
      </c>
      <c r="AA144" s="106">
        <v>0</v>
      </c>
      <c r="AB144" s="106">
        <v>0</v>
      </c>
      <c r="AC144" s="106">
        <v>0</v>
      </c>
      <c r="AD144" s="106">
        <v>0</v>
      </c>
      <c r="AE144" s="106">
        <v>0</v>
      </c>
      <c r="AF144" s="106">
        <v>0</v>
      </c>
      <c r="AG144" s="106">
        <v>0</v>
      </c>
      <c r="AH144" s="106">
        <v>0</v>
      </c>
      <c r="AI144" s="106">
        <v>0</v>
      </c>
      <c r="AJ144" s="106">
        <v>0</v>
      </c>
      <c r="AK144" s="106">
        <v>0</v>
      </c>
      <c r="AL144" s="106">
        <v>0</v>
      </c>
      <c r="AM144" s="106">
        <v>0</v>
      </c>
      <c r="AN144" s="80">
        <v>0</v>
      </c>
    </row>
    <row r="145" spans="1:40">
      <c r="A145" t="s">
        <v>23</v>
      </c>
      <c r="B145" t="s">
        <v>459</v>
      </c>
      <c r="C145" t="s">
        <v>463</v>
      </c>
      <c r="D145" t="str">
        <f t="shared" si="47"/>
        <v>Planning requirementsDomestic CAPEXCentral</v>
      </c>
      <c r="E145" s="80">
        <v>0</v>
      </c>
      <c r="F145" s="106">
        <v>31743906.616401419</v>
      </c>
      <c r="G145" s="106">
        <v>31249587.149795301</v>
      </c>
      <c r="H145" s="106">
        <v>30755267.683189187</v>
      </c>
      <c r="I145" s="106">
        <v>30260948.216583073</v>
      </c>
      <c r="J145" s="106">
        <v>100159538.36714353</v>
      </c>
      <c r="K145" s="106">
        <v>93997745.01566197</v>
      </c>
      <c r="L145" s="106">
        <v>92410411.582945228</v>
      </c>
      <c r="M145" s="106">
        <v>90823078.150228456</v>
      </c>
      <c r="N145" s="106">
        <v>89235744.717511728</v>
      </c>
      <c r="O145" s="80">
        <v>87648411.284795165</v>
      </c>
      <c r="P145" s="106">
        <v>81741354.146256</v>
      </c>
      <c r="Q145" s="106">
        <v>80233694.847648233</v>
      </c>
      <c r="R145" s="106">
        <v>17684963.743829511</v>
      </c>
      <c r="S145" s="106">
        <v>17346284.171716206</v>
      </c>
      <c r="T145" s="106">
        <v>17007604.599602889</v>
      </c>
      <c r="U145" s="106">
        <v>7840299.3167608818</v>
      </c>
      <c r="V145" s="106">
        <v>7840299.3167608446</v>
      </c>
      <c r="W145" s="106">
        <v>7840299.3167608446</v>
      </c>
      <c r="X145" s="106">
        <v>7840299.3167608446</v>
      </c>
      <c r="Y145" s="106">
        <v>7840299.3167608446</v>
      </c>
      <c r="Z145" s="106">
        <v>7840299.3167608446</v>
      </c>
      <c r="AA145" s="106">
        <v>7840299.3167608446</v>
      </c>
      <c r="AB145" s="106">
        <v>7840299.3167608446</v>
      </c>
      <c r="AC145" s="106">
        <v>7840299.3167608446</v>
      </c>
      <c r="AD145" s="106">
        <v>7840299.3167615253</v>
      </c>
      <c r="AE145" s="106">
        <v>7840299.316760987</v>
      </c>
      <c r="AF145" s="106">
        <v>7840299.3167610615</v>
      </c>
      <c r="AG145" s="106">
        <v>7840299.3167610615</v>
      </c>
      <c r="AH145" s="106">
        <v>7840299.3167610615</v>
      </c>
      <c r="AI145" s="106">
        <v>7840299.3167610615</v>
      </c>
      <c r="AJ145" s="106">
        <v>7840299.3167610615</v>
      </c>
      <c r="AK145" s="106">
        <v>7840299.3167610615</v>
      </c>
      <c r="AL145" s="106">
        <v>7840299.3167610615</v>
      </c>
      <c r="AM145" s="106">
        <v>7840299.3167610615</v>
      </c>
      <c r="AN145" s="80">
        <v>7840299.3167603388</v>
      </c>
    </row>
    <row r="146" spans="1:40">
      <c r="A146" t="s">
        <v>23</v>
      </c>
      <c r="B146" t="s">
        <v>459</v>
      </c>
      <c r="C146" t="s">
        <v>464</v>
      </c>
      <c r="D146" t="str">
        <f t="shared" si="47"/>
        <v>Lighting efficiencyDomestic CAPEXCentral</v>
      </c>
      <c r="E146" s="381">
        <v>0</v>
      </c>
      <c r="F146" s="381">
        <v>6935973.9122759365</v>
      </c>
      <c r="G146" s="381">
        <v>6827966.193939887</v>
      </c>
      <c r="H146" s="381">
        <v>6719958.4756038357</v>
      </c>
      <c r="I146" s="381">
        <v>14295679.265610643</v>
      </c>
      <c r="J146" s="381">
        <v>21620369.152646001</v>
      </c>
      <c r="K146" s="381">
        <v>27711117.038082451</v>
      </c>
      <c r="L146" s="381">
        <v>34550343.471060753</v>
      </c>
      <c r="M146" s="381">
        <v>41138539.001067623</v>
      </c>
      <c r="N146" s="381">
        <v>47475703.628103063</v>
      </c>
      <c r="O146" s="381">
        <v>53561837.352167122</v>
      </c>
      <c r="P146" s="381">
        <v>51647969.678141102</v>
      </c>
      <c r="Q146" s="381">
        <v>3938126.4994950267</v>
      </c>
      <c r="R146" s="381">
        <v>3864125.7564489595</v>
      </c>
      <c r="S146" s="381">
        <v>3790125.0134028923</v>
      </c>
      <c r="T146" s="381">
        <v>3716124.2703568228</v>
      </c>
      <c r="U146" s="381">
        <v>1713088.1898887407</v>
      </c>
      <c r="V146" s="381">
        <v>1713088.1898887325</v>
      </c>
      <c r="W146" s="381">
        <v>1713088.1898887325</v>
      </c>
      <c r="X146" s="381">
        <v>1713088.1898887325</v>
      </c>
      <c r="Y146" s="381">
        <v>1713088.1898887325</v>
      </c>
      <c r="Z146" s="381">
        <v>1713088.1898887325</v>
      </c>
      <c r="AA146" s="381">
        <v>1713088.1898887325</v>
      </c>
      <c r="AB146" s="381">
        <v>1713088.1898887325</v>
      </c>
      <c r="AC146" s="381">
        <v>1713088.1898887325</v>
      </c>
      <c r="AD146" s="381">
        <v>1713088.1898888813</v>
      </c>
      <c r="AE146" s="381">
        <v>1713088.1898887637</v>
      </c>
      <c r="AF146" s="381">
        <v>1713088.18988878</v>
      </c>
      <c r="AG146" s="381">
        <v>1713088.18988878</v>
      </c>
      <c r="AH146" s="381">
        <v>1713088.18988878</v>
      </c>
      <c r="AI146" s="381">
        <v>1713088.18988878</v>
      </c>
      <c r="AJ146" s="381">
        <v>1713088.18988878</v>
      </c>
      <c r="AK146" s="381">
        <v>1713088.18988878</v>
      </c>
      <c r="AL146" s="381">
        <v>1713088.18988878</v>
      </c>
      <c r="AM146" s="381">
        <v>1713088.18988878</v>
      </c>
      <c r="AN146" s="381">
        <v>1713088.1898886203</v>
      </c>
    </row>
    <row r="147" spans="1:40">
      <c r="A147" t="s">
        <v>23</v>
      </c>
      <c r="B147" t="s">
        <v>459</v>
      </c>
      <c r="C147" t="s">
        <v>465</v>
      </c>
      <c r="D147" t="str">
        <f t="shared" si="47"/>
        <v>Extended Mayoral ProgramsNon-domestic CAPEXCentral</v>
      </c>
      <c r="E147" s="381">
        <v>0</v>
      </c>
      <c r="F147" s="381">
        <v>0</v>
      </c>
      <c r="G147" s="381">
        <v>0</v>
      </c>
      <c r="H147" s="381">
        <v>0</v>
      </c>
      <c r="I147" s="381">
        <v>0</v>
      </c>
      <c r="J147" s="381">
        <v>0</v>
      </c>
      <c r="K147" s="381">
        <v>4274097.7583801532</v>
      </c>
      <c r="L147" s="381">
        <v>8403842.7290323414</v>
      </c>
      <c r="M147" s="381">
        <v>12389234.911956565</v>
      </c>
      <c r="N147" s="381">
        <v>12172705.730364621</v>
      </c>
      <c r="O147" s="381">
        <v>11956176.548772674</v>
      </c>
      <c r="P147" s="381">
        <v>11739647.367180727</v>
      </c>
      <c r="Q147" s="381">
        <v>11523118.185588785</v>
      </c>
      <c r="R147" s="381">
        <v>11306589.003996834</v>
      </c>
      <c r="S147" s="381">
        <v>10585966.194113759</v>
      </c>
      <c r="T147" s="381">
        <v>9885027.8552844934</v>
      </c>
      <c r="U147" s="381">
        <v>9390776.4625202697</v>
      </c>
      <c r="V147" s="381">
        <v>8896525.0697560441</v>
      </c>
      <c r="W147" s="381">
        <v>8402273.6769918203</v>
      </c>
      <c r="X147" s="381">
        <v>7908022.2842275957</v>
      </c>
      <c r="Y147" s="381">
        <v>7413770.8914633701</v>
      </c>
      <c r="Z147" s="381">
        <v>6919519.4986991463</v>
      </c>
      <c r="AA147" s="381">
        <v>6425268.1059349217</v>
      </c>
      <c r="AB147" s="381">
        <v>5931016.7131706979</v>
      </c>
      <c r="AC147" s="381">
        <v>5436765.3204064723</v>
      </c>
      <c r="AD147" s="381">
        <v>4942513.9276422467</v>
      </c>
      <c r="AE147" s="381">
        <v>4448262.534878022</v>
      </c>
      <c r="AF147" s="381">
        <v>3954011.1421137983</v>
      </c>
      <c r="AG147" s="381">
        <v>3459759.7493495732</v>
      </c>
      <c r="AH147" s="381">
        <v>2965508.3565853485</v>
      </c>
      <c r="AI147" s="381">
        <v>2471256.9638211234</v>
      </c>
      <c r="AJ147" s="381">
        <v>1977005.5710568989</v>
      </c>
      <c r="AK147" s="381">
        <v>1482754.178292674</v>
      </c>
      <c r="AL147" s="381">
        <v>988502.78552844957</v>
      </c>
      <c r="AM147" s="381">
        <v>494251.39276422444</v>
      </c>
      <c r="AN147" s="381">
        <v>0</v>
      </c>
    </row>
    <row r="148" spans="1:40">
      <c r="A148" t="s">
        <v>23</v>
      </c>
      <c r="B148" t="s">
        <v>459</v>
      </c>
      <c r="C148" t="s">
        <v>466</v>
      </c>
      <c r="D148" t="str">
        <f t="shared" si="47"/>
        <v>MEESNon-domestic CAPEXCentral</v>
      </c>
      <c r="E148" s="381">
        <v>0</v>
      </c>
      <c r="F148" s="381">
        <v>0</v>
      </c>
      <c r="G148" s="381">
        <v>0</v>
      </c>
      <c r="H148" s="381">
        <v>0</v>
      </c>
      <c r="I148" s="381">
        <v>13275972.290220978</v>
      </c>
      <c r="J148" s="381">
        <v>26118212.531187579</v>
      </c>
      <c r="K148" s="381">
        <v>41347996.654794566</v>
      </c>
      <c r="L148" s="381">
        <v>56048763.345250592</v>
      </c>
      <c r="M148" s="381">
        <v>70220512.602555633</v>
      </c>
      <c r="N148" s="381">
        <v>83863244.426709712</v>
      </c>
      <c r="O148" s="381">
        <v>96976958.817712814</v>
      </c>
      <c r="P148" s="381">
        <v>111172755.83549178</v>
      </c>
      <c r="Q148" s="381">
        <v>124780104.30323389</v>
      </c>
      <c r="R148" s="381">
        <v>137799004.22093922</v>
      </c>
      <c r="S148" s="381">
        <v>150229455.58860776</v>
      </c>
      <c r="T148" s="381">
        <v>147296282.85640237</v>
      </c>
      <c r="U148" s="381">
        <v>127743173.36150351</v>
      </c>
      <c r="V148" s="381">
        <v>108190063.86660469</v>
      </c>
      <c r="W148" s="381">
        <v>88636954.371705845</v>
      </c>
      <c r="X148" s="381">
        <v>69083844.876807004</v>
      </c>
      <c r="Y148" s="381">
        <v>2.7918332534682125E-9</v>
      </c>
      <c r="Z148" s="381">
        <v>0</v>
      </c>
      <c r="AA148" s="381">
        <v>0</v>
      </c>
      <c r="AB148" s="381">
        <v>0</v>
      </c>
      <c r="AC148" s="381">
        <v>0</v>
      </c>
      <c r="AD148" s="381">
        <v>0</v>
      </c>
      <c r="AE148" s="381">
        <v>0</v>
      </c>
      <c r="AF148" s="381">
        <v>0</v>
      </c>
      <c r="AG148" s="381">
        <v>0</v>
      </c>
      <c r="AH148" s="381">
        <v>0</v>
      </c>
      <c r="AI148" s="381">
        <v>0</v>
      </c>
      <c r="AJ148" s="381">
        <v>0</v>
      </c>
      <c r="AK148" s="381">
        <v>0</v>
      </c>
      <c r="AL148" s="381">
        <v>0</v>
      </c>
      <c r="AM148" s="381">
        <v>0</v>
      </c>
      <c r="AN148" s="381">
        <v>0</v>
      </c>
    </row>
    <row r="149" spans="1:40">
      <c r="A149" t="s">
        <v>23</v>
      </c>
      <c r="B149" t="s">
        <v>459</v>
      </c>
      <c r="C149" t="s">
        <v>467</v>
      </c>
      <c r="D149" t="str">
        <f t="shared" si="47"/>
        <v>Tax mechanismsNon-domestic CAPEXCentral</v>
      </c>
      <c r="E149" s="381">
        <v>0</v>
      </c>
      <c r="F149" s="381">
        <v>0</v>
      </c>
      <c r="G149" s="381">
        <v>0</v>
      </c>
      <c r="H149" s="381">
        <v>0</v>
      </c>
      <c r="I149" s="381">
        <v>0</v>
      </c>
      <c r="J149" s="381">
        <v>0</v>
      </c>
      <c r="K149" s="381">
        <v>0</v>
      </c>
      <c r="L149" s="381">
        <v>0</v>
      </c>
      <c r="M149" s="381">
        <v>1455084.6657688853</v>
      </c>
      <c r="N149" s="381">
        <v>3727866.9565327186</v>
      </c>
      <c r="O149" s="381">
        <v>3661555.3246686407</v>
      </c>
      <c r="P149" s="381">
        <v>3595243.6928045633</v>
      </c>
      <c r="Q149" s="381">
        <v>3528932.0609404859</v>
      </c>
      <c r="R149" s="381">
        <v>0</v>
      </c>
      <c r="S149" s="381">
        <v>0</v>
      </c>
      <c r="T149" s="381">
        <v>0</v>
      </c>
      <c r="U149" s="381">
        <v>0</v>
      </c>
      <c r="V149" s="381">
        <v>0</v>
      </c>
      <c r="W149" s="381">
        <v>0</v>
      </c>
      <c r="X149" s="381">
        <v>0</v>
      </c>
      <c r="Y149" s="381">
        <v>0</v>
      </c>
      <c r="Z149" s="381">
        <v>0</v>
      </c>
      <c r="AA149" s="381">
        <v>0</v>
      </c>
      <c r="AB149" s="381">
        <v>0</v>
      </c>
      <c r="AC149" s="381">
        <v>0</v>
      </c>
      <c r="AD149" s="381">
        <v>0</v>
      </c>
      <c r="AE149" s="381">
        <v>0</v>
      </c>
      <c r="AF149" s="381">
        <v>0</v>
      </c>
      <c r="AG149" s="381">
        <v>0</v>
      </c>
      <c r="AH149" s="381">
        <v>0</v>
      </c>
      <c r="AI149" s="381">
        <v>0</v>
      </c>
      <c r="AJ149" s="381">
        <v>0</v>
      </c>
      <c r="AK149" s="381">
        <v>0</v>
      </c>
      <c r="AL149" s="381">
        <v>0</v>
      </c>
      <c r="AM149" s="381">
        <v>0</v>
      </c>
      <c r="AN149" s="381">
        <v>0</v>
      </c>
    </row>
    <row r="150" spans="1:40">
      <c r="A150" t="s">
        <v>23</v>
      </c>
      <c r="B150" t="s">
        <v>459</v>
      </c>
      <c r="C150" t="s">
        <v>468</v>
      </c>
      <c r="D150" t="str">
        <f t="shared" si="47"/>
        <v>Planning requirementsNon-domestic CAPEXCentral</v>
      </c>
      <c r="E150" s="381">
        <v>0</v>
      </c>
      <c r="F150" s="381">
        <v>4085557.6935081659</v>
      </c>
      <c r="G150" s="381">
        <v>4021936.9575903006</v>
      </c>
      <c r="H150" s="381">
        <v>3958316.2216724344</v>
      </c>
      <c r="I150" s="381">
        <v>3894695.4857545691</v>
      </c>
      <c r="J150" s="381">
        <v>3831074.7498367028</v>
      </c>
      <c r="K150" s="381">
        <v>3767454.0139188375</v>
      </c>
      <c r="L150" s="381">
        <v>3703833.2780009722</v>
      </c>
      <c r="M150" s="381">
        <v>3640212.5420831051</v>
      </c>
      <c r="N150" s="381">
        <v>3576591.8061652393</v>
      </c>
      <c r="O150" s="381">
        <v>3512971.070247374</v>
      </c>
      <c r="P150" s="381">
        <v>2522585.8105653757</v>
      </c>
      <c r="Q150" s="381">
        <v>2476058.5662646513</v>
      </c>
      <c r="R150" s="381">
        <v>2429531.3219639254</v>
      </c>
      <c r="S150" s="381">
        <v>2383004.0776632018</v>
      </c>
      <c r="T150" s="381">
        <v>2336476.8333624769</v>
      </c>
      <c r="U150" s="381">
        <v>2336476.8333624774</v>
      </c>
      <c r="V150" s="381">
        <v>2336476.8333624774</v>
      </c>
      <c r="W150" s="381">
        <v>2336476.8333624774</v>
      </c>
      <c r="X150" s="381">
        <v>2336476.8333624774</v>
      </c>
      <c r="Y150" s="381">
        <v>2336476.8333624774</v>
      </c>
      <c r="Z150" s="381">
        <v>2336476.8333624774</v>
      </c>
      <c r="AA150" s="381">
        <v>2336476.8333624774</v>
      </c>
      <c r="AB150" s="381">
        <v>2336476.8333624774</v>
      </c>
      <c r="AC150" s="381">
        <v>2336476.8333624764</v>
      </c>
      <c r="AD150" s="381">
        <v>2336476.8333624764</v>
      </c>
      <c r="AE150" s="381">
        <v>2336476.8333624764</v>
      </c>
      <c r="AF150" s="381">
        <v>2336476.8333624797</v>
      </c>
      <c r="AG150" s="381">
        <v>2336476.8333624778</v>
      </c>
      <c r="AH150" s="381">
        <v>2336476.8333624778</v>
      </c>
      <c r="AI150" s="381">
        <v>2336476.8333624778</v>
      </c>
      <c r="AJ150" s="381">
        <v>2336476.8333624778</v>
      </c>
      <c r="AK150" s="381">
        <v>2336476.8333624778</v>
      </c>
      <c r="AL150" s="381">
        <v>2336476.8333624778</v>
      </c>
      <c r="AM150" s="381">
        <v>2336476.8333624778</v>
      </c>
      <c r="AN150" s="381">
        <v>2336476.8333624699</v>
      </c>
    </row>
    <row r="151" spans="1:40">
      <c r="A151" t="s">
        <v>23</v>
      </c>
      <c r="B151" t="s">
        <v>459</v>
      </c>
      <c r="C151" t="s">
        <v>469</v>
      </c>
      <c r="D151" t="str">
        <f t="shared" si="47"/>
        <v>Lighting efficiencyNon-domestic CAPEXCentral</v>
      </c>
      <c r="E151" s="381">
        <v>0</v>
      </c>
      <c r="F151" s="381">
        <v>6085102.7363829538</v>
      </c>
      <c r="G151" s="381">
        <v>5990344.8738664966</v>
      </c>
      <c r="H151" s="381">
        <v>5895587.0113500375</v>
      </c>
      <c r="I151" s="381">
        <v>19473031.197224613</v>
      </c>
      <c r="J151" s="381">
        <v>32603798.327540956</v>
      </c>
      <c r="K151" s="381">
        <v>45287888.402299076</v>
      </c>
      <c r="L151" s="381">
        <v>57525301.421498962</v>
      </c>
      <c r="M151" s="381">
        <v>69316037.385140613</v>
      </c>
      <c r="N151" s="381">
        <v>80660096.293224037</v>
      </c>
      <c r="O151" s="381">
        <v>91557478.145749241</v>
      </c>
      <c r="P151" s="381">
        <v>88475223.996939838</v>
      </c>
      <c r="Q151" s="381">
        <v>3644906.6268806849</v>
      </c>
      <c r="R151" s="381">
        <v>3576415.7343821069</v>
      </c>
      <c r="S151" s="381">
        <v>3507924.8418835341</v>
      </c>
      <c r="T151" s="381">
        <v>3439433.9493849594</v>
      </c>
      <c r="U151" s="381">
        <v>3439433.9493849594</v>
      </c>
      <c r="V151" s="381">
        <v>3439433.9493849594</v>
      </c>
      <c r="W151" s="381">
        <v>3439433.9493849594</v>
      </c>
      <c r="X151" s="381">
        <v>3439433.9493849594</v>
      </c>
      <c r="Y151" s="381">
        <v>3439433.9493849594</v>
      </c>
      <c r="Z151" s="381">
        <v>3439433.9493849594</v>
      </c>
      <c r="AA151" s="381">
        <v>3439433.9493849594</v>
      </c>
      <c r="AB151" s="381">
        <v>3439433.9493849594</v>
      </c>
      <c r="AC151" s="381">
        <v>3439433.9493849585</v>
      </c>
      <c r="AD151" s="381">
        <v>3439433.9493849585</v>
      </c>
      <c r="AE151" s="381">
        <v>3439433.9493849585</v>
      </c>
      <c r="AF151" s="381">
        <v>3439433.9493849636</v>
      </c>
      <c r="AG151" s="381">
        <v>3439433.9493849599</v>
      </c>
      <c r="AH151" s="381">
        <v>3439433.9493849599</v>
      </c>
      <c r="AI151" s="381">
        <v>3439433.9493849599</v>
      </c>
      <c r="AJ151" s="381">
        <v>3439433.9493849599</v>
      </c>
      <c r="AK151" s="381">
        <v>3439433.9493849599</v>
      </c>
      <c r="AL151" s="381">
        <v>3439433.9493849599</v>
      </c>
      <c r="AM151" s="381">
        <v>3439433.9493849599</v>
      </c>
      <c r="AN151" s="381">
        <v>3439433.9493849524</v>
      </c>
    </row>
    <row r="152" spans="1:40">
      <c r="A152" t="s">
        <v>23</v>
      </c>
      <c r="B152" t="s">
        <v>459</v>
      </c>
      <c r="C152" t="s">
        <v>470</v>
      </c>
      <c r="D152" t="str">
        <f t="shared" si="47"/>
        <v>AllDomestic CAPEXCentral</v>
      </c>
      <c r="E152" s="80">
        <v>0</v>
      </c>
      <c r="F152" s="106">
        <v>38679880.528677359</v>
      </c>
      <c r="G152" s="106">
        <v>38077553.343735188</v>
      </c>
      <c r="H152" s="106">
        <v>37475226.158793025</v>
      </c>
      <c r="I152" s="106">
        <v>81342723.372879982</v>
      </c>
      <c r="J152" s="106">
        <v>243168664.98519498</v>
      </c>
      <c r="K152" s="106">
        <v>397254231.17825085</v>
      </c>
      <c r="L152" s="106">
        <v>546122394.74381161</v>
      </c>
      <c r="M152" s="106">
        <v>711529005.96889746</v>
      </c>
      <c r="N152" s="106">
        <v>829261937.64293873</v>
      </c>
      <c r="O152" s="80">
        <v>1038891160.5080179</v>
      </c>
      <c r="P152" s="106">
        <v>1151770931.6335227</v>
      </c>
      <c r="Q152" s="106">
        <v>1213336480.513555</v>
      </c>
      <c r="R152" s="106">
        <v>1248518740.7560074</v>
      </c>
      <c r="S152" s="106">
        <v>1358442502.2806277</v>
      </c>
      <c r="T152" s="106">
        <v>1353589693.0490015</v>
      </c>
      <c r="U152" s="106">
        <v>983811949.15129948</v>
      </c>
      <c r="V152" s="106">
        <v>901562674.91207337</v>
      </c>
      <c r="W152" s="106">
        <v>819182274.67611635</v>
      </c>
      <c r="X152" s="106">
        <v>736670748.44342804</v>
      </c>
      <c r="Y152" s="106">
        <v>426673660.67531991</v>
      </c>
      <c r="Z152" s="106">
        <v>372716187.6681357</v>
      </c>
      <c r="AA152" s="106">
        <v>382602801.63080168</v>
      </c>
      <c r="AB152" s="106">
        <v>154393531.77503893</v>
      </c>
      <c r="AC152" s="106">
        <v>164017893.74424264</v>
      </c>
      <c r="AD152" s="106">
        <v>173511129.71671727</v>
      </c>
      <c r="AE152" s="106">
        <v>161852345.13806683</v>
      </c>
      <c r="AF152" s="106">
        <v>145796700.98091167</v>
      </c>
      <c r="AG152" s="106">
        <v>129876529.95992944</v>
      </c>
      <c r="AH152" s="106">
        <v>114091832.07512037</v>
      </c>
      <c r="AI152" s="106">
        <v>98442607.326484516</v>
      </c>
      <c r="AJ152" s="106">
        <v>82928855.714021832</v>
      </c>
      <c r="AK152" s="106">
        <v>67550577.237732306</v>
      </c>
      <c r="AL152" s="106">
        <v>52307771.897615969</v>
      </c>
      <c r="AM152" s="106">
        <v>37200439.693672799</v>
      </c>
      <c r="AN152" s="80">
        <v>22228580.625900812</v>
      </c>
    </row>
    <row r="153" spans="1:40">
      <c r="A153" t="s">
        <v>23</v>
      </c>
      <c r="B153" t="s">
        <v>459</v>
      </c>
      <c r="C153" t="s">
        <v>471</v>
      </c>
      <c r="D153" t="str">
        <f t="shared" si="47"/>
        <v>AllNon-domestic CAPEXCentral</v>
      </c>
      <c r="E153" s="80">
        <v>0</v>
      </c>
      <c r="F153" s="106">
        <v>10170660.429891121</v>
      </c>
      <c r="G153" s="106">
        <v>10012281.831456797</v>
      </c>
      <c r="H153" s="106">
        <v>9853903.2330224719</v>
      </c>
      <c r="I153" s="106">
        <v>36643698.973200165</v>
      </c>
      <c r="J153" s="106">
        <v>92614823.920677319</v>
      </c>
      <c r="K153" s="106">
        <v>130078396.89563024</v>
      </c>
      <c r="L153" s="106">
        <v>160841618.26400402</v>
      </c>
      <c r="M153" s="106">
        <v>191939877.01655921</v>
      </c>
      <c r="N153" s="106">
        <v>218678217.53595129</v>
      </c>
      <c r="O153" s="80">
        <v>242101769.63927999</v>
      </c>
      <c r="P153" s="106">
        <v>244212414.76811114</v>
      </c>
      <c r="Q153" s="106">
        <v>167150657.70154065</v>
      </c>
      <c r="R153" s="106">
        <v>176157605.19615951</v>
      </c>
      <c r="S153" s="106">
        <v>187600942.57206684</v>
      </c>
      <c r="T153" s="106">
        <v>183700340.31786934</v>
      </c>
      <c r="U153" s="106">
        <v>178310071.03412402</v>
      </c>
      <c r="V153" s="106">
        <v>172735028.15017325</v>
      </c>
      <c r="W153" s="106">
        <v>166975211.66604471</v>
      </c>
      <c r="X153" s="106">
        <v>161030621.58176497</v>
      </c>
      <c r="Y153" s="106">
        <v>105370522.5154516</v>
      </c>
      <c r="Z153" s="106">
        <v>107845300.4657774</v>
      </c>
      <c r="AA153" s="106">
        <v>56793459.513942167</v>
      </c>
      <c r="AB153" s="106">
        <v>59514709.404746138</v>
      </c>
      <c r="AC153" s="106">
        <v>62188078.83787626</v>
      </c>
      <c r="AD153" s="106">
        <v>64813567.81335412</v>
      </c>
      <c r="AE153" s="106">
        <v>60509674.561866671</v>
      </c>
      <c r="AF153" s="106">
        <v>56253661.766545974</v>
      </c>
      <c r="AG153" s="106">
        <v>52045529.427411444</v>
      </c>
      <c r="AH153" s="106">
        <v>47885277.544482008</v>
      </c>
      <c r="AI153" s="106">
        <v>43772906.117775872</v>
      </c>
      <c r="AJ153" s="106">
        <v>39708415.147310689</v>
      </c>
      <c r="AK153" s="106">
        <v>35691804.633103542</v>
      </c>
      <c r="AL153" s="106">
        <v>31723074.57517093</v>
      </c>
      <c r="AM153" s="106">
        <v>27802224.973528881</v>
      </c>
      <c r="AN153" s="80">
        <v>23929255.828192662</v>
      </c>
    </row>
    <row r="154" spans="1:40">
      <c r="A154" s="30"/>
      <c r="E154" s="381"/>
      <c r="F154" s="381"/>
      <c r="G154" s="381"/>
      <c r="H154" s="381"/>
      <c r="I154" s="381"/>
      <c r="J154" s="381"/>
      <c r="K154" s="381"/>
      <c r="L154" s="381"/>
      <c r="M154" s="381"/>
      <c r="N154" s="381"/>
      <c r="O154" s="381"/>
      <c r="P154" s="381"/>
      <c r="Q154" s="381"/>
      <c r="R154" s="381"/>
      <c r="S154" s="381"/>
      <c r="T154" s="381"/>
      <c r="U154" s="381"/>
      <c r="V154" s="381"/>
      <c r="W154" s="381"/>
      <c r="X154" s="381"/>
      <c r="Y154" s="381"/>
      <c r="Z154" s="381"/>
      <c r="AA154" s="381"/>
      <c r="AB154" s="381"/>
      <c r="AC154" s="381"/>
      <c r="AD154" s="381"/>
      <c r="AE154" s="381"/>
      <c r="AF154" s="381"/>
      <c r="AG154" s="381"/>
      <c r="AH154" s="381"/>
      <c r="AI154" s="381"/>
      <c r="AJ154" s="381"/>
      <c r="AK154" s="381"/>
      <c r="AL154" s="381"/>
      <c r="AM154" s="381"/>
      <c r="AN154" s="381"/>
    </row>
    <row r="155" spans="1:40">
      <c r="A155" s="30"/>
      <c r="E155" s="381"/>
      <c r="F155" s="381"/>
      <c r="G155" s="381"/>
      <c r="H155" s="381"/>
      <c r="I155" s="381"/>
      <c r="J155" s="381"/>
      <c r="K155" s="381"/>
      <c r="L155" s="381"/>
      <c r="M155" s="381"/>
      <c r="N155" s="381"/>
      <c r="O155" s="381"/>
      <c r="P155" s="381"/>
      <c r="Q155" s="381"/>
      <c r="R155" s="381"/>
      <c r="S155" s="381"/>
      <c r="T155" s="381"/>
      <c r="U155" s="381"/>
      <c r="V155" s="381"/>
      <c r="W155" s="381"/>
      <c r="X155" s="381"/>
      <c r="Y155" s="381"/>
      <c r="Z155" s="381"/>
      <c r="AA155" s="381"/>
      <c r="AB155" s="381"/>
      <c r="AC155" s="381"/>
      <c r="AD155" s="381"/>
      <c r="AE155" s="381"/>
      <c r="AF155" s="381"/>
      <c r="AG155" s="381"/>
      <c r="AH155" s="381"/>
      <c r="AI155" s="381"/>
      <c r="AJ155" s="381"/>
      <c r="AK155" s="381"/>
      <c r="AL155" s="381"/>
      <c r="AM155" s="381"/>
      <c r="AN155" s="381"/>
    </row>
    <row r="156" spans="1:40">
      <c r="A156" s="30" t="s">
        <v>472</v>
      </c>
      <c r="B156" t="s">
        <v>366</v>
      </c>
      <c r="D156" t="s">
        <v>473</v>
      </c>
      <c r="E156" s="381">
        <v>2015</v>
      </c>
      <c r="F156" s="381">
        <v>2016</v>
      </c>
      <c r="G156" s="381">
        <v>2017</v>
      </c>
      <c r="H156" s="381">
        <v>2018</v>
      </c>
      <c r="I156" s="381">
        <v>2019</v>
      </c>
      <c r="J156" s="381">
        <v>2020</v>
      </c>
      <c r="K156" s="381">
        <v>2021</v>
      </c>
      <c r="L156" s="381">
        <v>2022</v>
      </c>
      <c r="M156" s="381">
        <v>2023</v>
      </c>
      <c r="N156" s="381">
        <v>2024</v>
      </c>
      <c r="O156" s="381">
        <v>2025</v>
      </c>
      <c r="P156" s="381">
        <v>2026</v>
      </c>
      <c r="Q156" s="381">
        <v>2027</v>
      </c>
      <c r="R156" s="381">
        <v>2028</v>
      </c>
      <c r="S156" s="381">
        <v>2029</v>
      </c>
      <c r="T156" s="381">
        <v>2030</v>
      </c>
      <c r="U156" s="381">
        <v>2031</v>
      </c>
      <c r="V156" s="381">
        <v>2032</v>
      </c>
      <c r="W156" s="381">
        <v>2033</v>
      </c>
      <c r="X156" s="381">
        <v>2034</v>
      </c>
      <c r="Y156" s="381">
        <v>2035</v>
      </c>
      <c r="Z156" s="381">
        <v>2036</v>
      </c>
      <c r="AA156" s="381">
        <v>2037</v>
      </c>
      <c r="AB156" s="381">
        <v>2038</v>
      </c>
      <c r="AC156" s="381">
        <v>2039</v>
      </c>
      <c r="AD156" s="381">
        <v>2040</v>
      </c>
      <c r="AE156" s="381">
        <v>2041</v>
      </c>
      <c r="AF156" s="381">
        <v>2042</v>
      </c>
      <c r="AG156" s="381">
        <v>2043</v>
      </c>
      <c r="AH156" s="381">
        <v>2044</v>
      </c>
      <c r="AI156" s="381">
        <v>2045</v>
      </c>
      <c r="AJ156" s="381">
        <v>2046</v>
      </c>
      <c r="AK156" s="381">
        <v>2047</v>
      </c>
      <c r="AL156" s="381">
        <v>2048</v>
      </c>
      <c r="AM156" s="381">
        <v>2049</v>
      </c>
      <c r="AN156" s="381">
        <v>2050</v>
      </c>
    </row>
    <row r="157" spans="1:40">
      <c r="A157" s="30" t="s">
        <v>44</v>
      </c>
      <c r="B157" t="s">
        <v>444</v>
      </c>
      <c r="C157" t="s">
        <v>445</v>
      </c>
      <c r="D157" t="str">
        <f>C157&amp;A157</f>
        <v>Carbon emissionsEarly</v>
      </c>
      <c r="E157" s="381">
        <v>24.536442456359286</v>
      </c>
      <c r="F157" s="381">
        <v>21.181286101250649</v>
      </c>
      <c r="G157" s="381">
        <v>19.520902617925778</v>
      </c>
      <c r="H157" s="381">
        <v>19.13368123727582</v>
      </c>
      <c r="I157" s="381">
        <v>18.562065912935704</v>
      </c>
      <c r="J157" s="381">
        <v>17.642899608904976</v>
      </c>
      <c r="K157" s="381">
        <v>16.80154823977071</v>
      </c>
      <c r="L157" s="381">
        <v>15.445496715767836</v>
      </c>
      <c r="M157" s="381">
        <v>14.818838602986956</v>
      </c>
      <c r="N157" s="381">
        <v>14.42303244750553</v>
      </c>
      <c r="O157" s="381">
        <v>13.479549335565618</v>
      </c>
      <c r="P157" s="381">
        <v>12.445480426027327</v>
      </c>
      <c r="Q157" s="381">
        <v>12.448149044448803</v>
      </c>
      <c r="R157" s="381">
        <v>11.940491015700104</v>
      </c>
      <c r="S157" s="381">
        <v>11.423746628586265</v>
      </c>
      <c r="T157" s="381">
        <v>11.695554369919559</v>
      </c>
      <c r="U157" s="381">
        <v>11.382557352049739</v>
      </c>
      <c r="V157" s="381">
        <v>10.787648057745335</v>
      </c>
      <c r="W157" s="381">
        <v>10.678283901273675</v>
      </c>
      <c r="X157" s="381">
        <v>10.432311996971965</v>
      </c>
      <c r="Y157" s="381">
        <v>10.024287066041701</v>
      </c>
      <c r="Z157" s="381">
        <v>10.045354405857312</v>
      </c>
      <c r="AA157" s="381">
        <v>9.8929774469880662</v>
      </c>
      <c r="AB157" s="381">
        <v>9.7794605569961615</v>
      </c>
      <c r="AC157" s="381">
        <v>9.8631539442961085</v>
      </c>
      <c r="AD157" s="381">
        <v>9.9058035153665465</v>
      </c>
      <c r="AE157" s="381">
        <v>9.8336884337086801</v>
      </c>
      <c r="AF157" s="381">
        <v>9.7669447009183283</v>
      </c>
      <c r="AG157" s="381">
        <v>9.7308404821760437</v>
      </c>
      <c r="AH157" s="381">
        <v>9.6699894209340762</v>
      </c>
      <c r="AI157" s="381">
        <v>9.6427578450796023</v>
      </c>
      <c r="AJ157" s="381">
        <v>9.5815009608431723</v>
      </c>
      <c r="AK157" s="381">
        <v>9.522309305168589</v>
      </c>
      <c r="AL157" s="381">
        <v>9.4903804843700943</v>
      </c>
      <c r="AM157" s="381">
        <v>9.4298512901124063</v>
      </c>
      <c r="AN157" s="381">
        <v>9.3890640270131467</v>
      </c>
    </row>
    <row r="158" spans="1:40">
      <c r="A158" s="30" t="s">
        <v>44</v>
      </c>
      <c r="B158" t="s">
        <v>446</v>
      </c>
      <c r="C158" t="s">
        <v>447</v>
      </c>
      <c r="D158" t="str">
        <f t="shared" ref="D158:D214" si="48">C158&amp;A158</f>
        <v>Domestic heat demandEarly</v>
      </c>
      <c r="E158" s="381">
        <v>34208540661.939991</v>
      </c>
      <c r="F158" s="381">
        <v>34436853702.751373</v>
      </c>
      <c r="G158" s="381">
        <v>34665166743.562752</v>
      </c>
      <c r="H158" s="381">
        <v>34880888554.476135</v>
      </c>
      <c r="I158" s="381">
        <v>35053105489.250809</v>
      </c>
      <c r="J158" s="381">
        <v>34992083296.295753</v>
      </c>
      <c r="K158" s="381">
        <v>34687189926.880074</v>
      </c>
      <c r="L158" s="381">
        <v>34177629558.496258</v>
      </c>
      <c r="M158" s="381">
        <v>33578871346.586487</v>
      </c>
      <c r="N158" s="381">
        <v>32790506739.292629</v>
      </c>
      <c r="O158" s="381">
        <v>32006884760.624573</v>
      </c>
      <c r="P158" s="381">
        <v>31500724134.203114</v>
      </c>
      <c r="Q158" s="381">
        <v>31071351074.921467</v>
      </c>
      <c r="R158" s="381">
        <v>30716860904.326054</v>
      </c>
      <c r="S158" s="381">
        <v>30435866091.50906</v>
      </c>
      <c r="T158" s="381">
        <v>30401438436.365303</v>
      </c>
      <c r="U158" s="381">
        <v>30324181911.932583</v>
      </c>
      <c r="V158" s="381">
        <v>30248709750.003136</v>
      </c>
      <c r="W158" s="381">
        <v>30303994205.062782</v>
      </c>
      <c r="X158" s="381">
        <v>30360785162.870644</v>
      </c>
      <c r="Y158" s="381">
        <v>30419079110.664139</v>
      </c>
      <c r="Z158" s="381">
        <v>30478787888.501747</v>
      </c>
      <c r="AA158" s="381">
        <v>30539894554.117043</v>
      </c>
      <c r="AB158" s="381">
        <v>30602395773.877151</v>
      </c>
      <c r="AC158" s="381">
        <v>30666288630.87487</v>
      </c>
      <c r="AD158" s="381">
        <v>30731570624.919998</v>
      </c>
      <c r="AE158" s="381">
        <v>30798239672.531975</v>
      </c>
      <c r="AF158" s="381">
        <v>30866294106.933762</v>
      </c>
      <c r="AG158" s="381">
        <v>30935732678.046856</v>
      </c>
      <c r="AH158" s="381">
        <v>31006554552.487656</v>
      </c>
      <c r="AI158" s="381">
        <v>31078759313.564987</v>
      </c>
      <c r="AJ158" s="381">
        <v>31150964074.642315</v>
      </c>
      <c r="AK158" s="381">
        <v>31223168835.719646</v>
      </c>
      <c r="AL158" s="381">
        <v>31295373596.796974</v>
      </c>
      <c r="AM158" s="381">
        <v>31367578357.874306</v>
      </c>
      <c r="AN158" s="381">
        <v>31439783118.951626</v>
      </c>
    </row>
    <row r="159" spans="1:40">
      <c r="A159" s="30" t="s">
        <v>44</v>
      </c>
      <c r="B159" t="s">
        <v>446</v>
      </c>
      <c r="C159" t="s">
        <v>448</v>
      </c>
      <c r="D159" t="str">
        <f t="shared" si="48"/>
        <v>Non-domestic heat demandEarly</v>
      </c>
      <c r="E159" s="381">
        <v>18723008369.73642</v>
      </c>
      <c r="F159" s="381">
        <v>18769464337.131519</v>
      </c>
      <c r="G159" s="381">
        <v>18815920304.526627</v>
      </c>
      <c r="H159" s="381">
        <v>18858138342.457878</v>
      </c>
      <c r="I159" s="381">
        <v>18776609450.809898</v>
      </c>
      <c r="J159" s="381">
        <v>18526545734.257915</v>
      </c>
      <c r="K159" s="381">
        <v>18155675994.440483</v>
      </c>
      <c r="L159" s="381">
        <v>17665297210.814159</v>
      </c>
      <c r="M159" s="381">
        <v>17067128777.974478</v>
      </c>
      <c r="N159" s="381">
        <v>16357121494.474461</v>
      </c>
      <c r="O159" s="381">
        <v>15657095275.555477</v>
      </c>
      <c r="P159" s="381">
        <v>15067821696.30036</v>
      </c>
      <c r="Q159" s="381">
        <v>14597100944.010744</v>
      </c>
      <c r="R159" s="381">
        <v>14242266338.398993</v>
      </c>
      <c r="S159" s="381">
        <v>14001460308.095158</v>
      </c>
      <c r="T159" s="381">
        <v>14003976202.287361</v>
      </c>
      <c r="U159" s="381">
        <v>14008713563.813726</v>
      </c>
      <c r="V159" s="381">
        <v>14015183921.658985</v>
      </c>
      <c r="W159" s="381">
        <v>14023859873.441132</v>
      </c>
      <c r="X159" s="381">
        <v>14034737446.454269</v>
      </c>
      <c r="Y159" s="381">
        <v>14047812997.882113</v>
      </c>
      <c r="Z159" s="381">
        <v>14063056725.918697</v>
      </c>
      <c r="AA159" s="381">
        <v>14080465332.802094</v>
      </c>
      <c r="AB159" s="381">
        <v>14100035905.554163</v>
      </c>
      <c r="AC159" s="381">
        <v>14121765916.266741</v>
      </c>
      <c r="AD159" s="381">
        <v>14145653222.453117</v>
      </c>
      <c r="AE159" s="381">
        <v>14171696067.465527</v>
      </c>
      <c r="AF159" s="381">
        <v>14199893080.979317</v>
      </c>
      <c r="AG159" s="381">
        <v>14230243279.544615</v>
      </c>
      <c r="AH159" s="381">
        <v>14262746067.206141</v>
      </c>
      <c r="AI159" s="381">
        <v>14297401236.191935</v>
      </c>
      <c r="AJ159" s="381">
        <v>14332056160.529482</v>
      </c>
      <c r="AK159" s="381">
        <v>14366710839.741133</v>
      </c>
      <c r="AL159" s="381">
        <v>14401365273.347935</v>
      </c>
      <c r="AM159" s="381">
        <v>14436019460.869667</v>
      </c>
      <c r="AN159" s="381">
        <v>14470673401.824789</v>
      </c>
    </row>
    <row r="160" spans="1:40">
      <c r="A160" s="30" t="s">
        <v>44</v>
      </c>
      <c r="B160" t="s">
        <v>446</v>
      </c>
      <c r="C160" t="s">
        <v>449</v>
      </c>
      <c r="D160" t="str">
        <f t="shared" si="48"/>
        <v>Total domestic electricity demandEarly</v>
      </c>
      <c r="E160" s="80">
        <v>11858086493.000008</v>
      </c>
      <c r="F160" s="106">
        <v>11983753946.175779</v>
      </c>
      <c r="G160" s="106">
        <v>12109421399.351551</v>
      </c>
      <c r="H160" s="106">
        <v>12234923491.170496</v>
      </c>
      <c r="I160" s="106">
        <v>12006636722.371035</v>
      </c>
      <c r="J160" s="106">
        <v>11420981767.804497</v>
      </c>
      <c r="K160" s="106">
        <v>10685023438.998823</v>
      </c>
      <c r="L160" s="106">
        <v>10275572401.239511</v>
      </c>
      <c r="M160" s="106">
        <v>9739186608.6150169</v>
      </c>
      <c r="N160" s="106">
        <v>9077221926.8227234</v>
      </c>
      <c r="O160" s="80">
        <v>8298512322.0621052</v>
      </c>
      <c r="P160" s="106">
        <v>8378457621.6333933</v>
      </c>
      <c r="Q160" s="106">
        <v>8458852763.4697218</v>
      </c>
      <c r="R160" s="106">
        <v>8539697747.5710878</v>
      </c>
      <c r="S160" s="106">
        <v>8620992573.9374962</v>
      </c>
      <c r="T160" s="106">
        <v>8703909768.5525932</v>
      </c>
      <c r="U160" s="106">
        <v>8740808710.7762222</v>
      </c>
      <c r="V160" s="106">
        <v>8777762298.4748745</v>
      </c>
      <c r="W160" s="106">
        <v>8816797694.7794266</v>
      </c>
      <c r="X160" s="106">
        <v>8855887736.5590019</v>
      </c>
      <c r="Y160" s="106">
        <v>8895032423.8136044</v>
      </c>
      <c r="Z160" s="106">
        <v>8934231756.5432358</v>
      </c>
      <c r="AA160" s="106">
        <v>8973485734.7478905</v>
      </c>
      <c r="AB160" s="106">
        <v>9012794358.4275703</v>
      </c>
      <c r="AC160" s="106">
        <v>9052157627.5822792</v>
      </c>
      <c r="AD160" s="106">
        <v>9091575542.2120152</v>
      </c>
      <c r="AE160" s="106">
        <v>9131048102.3167744</v>
      </c>
      <c r="AF160" s="106">
        <v>9170575307.8965626</v>
      </c>
      <c r="AG160" s="106">
        <v>9210157158.9513741</v>
      </c>
      <c r="AH160" s="106">
        <v>9249793655.4812126</v>
      </c>
      <c r="AI160" s="106">
        <v>9289484797.4860783</v>
      </c>
      <c r="AJ160" s="106">
        <v>9329175939.4909439</v>
      </c>
      <c r="AK160" s="106">
        <v>9368867081.4958076</v>
      </c>
      <c r="AL160" s="106">
        <v>9408558223.5006733</v>
      </c>
      <c r="AM160" s="106">
        <v>9448249365.5055389</v>
      </c>
      <c r="AN160" s="80">
        <v>9487940507.5103989</v>
      </c>
    </row>
    <row r="161" spans="1:40">
      <c r="A161" s="30" t="s">
        <v>44</v>
      </c>
      <c r="B161" t="s">
        <v>446</v>
      </c>
      <c r="C161" t="s">
        <v>450</v>
      </c>
      <c r="D161" t="str">
        <f t="shared" si="48"/>
        <v>Total non-domestic electricity demandEarly</v>
      </c>
      <c r="E161" s="80">
        <v>19618605322.817085</v>
      </c>
      <c r="F161" s="106">
        <v>19701017110.02137</v>
      </c>
      <c r="G161" s="106">
        <v>19783428897.225655</v>
      </c>
      <c r="H161" s="106">
        <v>19865749115.44487</v>
      </c>
      <c r="I161" s="106">
        <v>19805536280.99086</v>
      </c>
      <c r="J161" s="106">
        <v>19601898993.143375</v>
      </c>
      <c r="K161" s="106">
        <v>19257077481.41357</v>
      </c>
      <c r="L161" s="106">
        <v>18771368305.281307</v>
      </c>
      <c r="M161" s="106">
        <v>18145357277.049446</v>
      </c>
      <c r="N161" s="106">
        <v>17379345141.789448</v>
      </c>
      <c r="O161" s="80">
        <v>16475028183.613213</v>
      </c>
      <c r="P161" s="106">
        <v>16527408560.357353</v>
      </c>
      <c r="Q161" s="106">
        <v>16581286811.764439</v>
      </c>
      <c r="R161" s="106">
        <v>16636664280.051022</v>
      </c>
      <c r="S161" s="106">
        <v>16693542310.191856</v>
      </c>
      <c r="T161" s="106">
        <v>16753808948.019024</v>
      </c>
      <c r="U161" s="106">
        <v>16814116029.645676</v>
      </c>
      <c r="V161" s="106">
        <v>16874463607.812487</v>
      </c>
      <c r="W161" s="106">
        <v>16934851735.400833</v>
      </c>
      <c r="X161" s="106">
        <v>16995280465.433281</v>
      </c>
      <c r="Y161" s="106">
        <v>17055749851.074091</v>
      </c>
      <c r="Z161" s="106">
        <v>17116259945.629681</v>
      </c>
      <c r="AA161" s="106">
        <v>17176810802.549154</v>
      </c>
      <c r="AB161" s="106">
        <v>17237402475.424759</v>
      </c>
      <c r="AC161" s="106">
        <v>17298035017.992432</v>
      </c>
      <c r="AD161" s="106">
        <v>17358708484.13224</v>
      </c>
      <c r="AE161" s="106">
        <v>17419422927.868938</v>
      </c>
      <c r="AF161" s="106">
        <v>17480178403.372444</v>
      </c>
      <c r="AG161" s="106">
        <v>17540974964.958355</v>
      </c>
      <c r="AH161" s="106">
        <v>17601812667.08844</v>
      </c>
      <c r="AI161" s="106">
        <v>17662691564.371189</v>
      </c>
      <c r="AJ161" s="106">
        <v>17723570418.373329</v>
      </c>
      <c r="AK161" s="106">
        <v>17784449229.012825</v>
      </c>
      <c r="AL161" s="106">
        <v>17845327996.207417</v>
      </c>
      <c r="AM161" s="106">
        <v>17906206719.874634</v>
      </c>
      <c r="AN161" s="80">
        <v>17967085399.931786</v>
      </c>
    </row>
    <row r="162" spans="1:40">
      <c r="A162" s="30" t="s">
        <v>44</v>
      </c>
      <c r="B162" t="s">
        <v>446</v>
      </c>
      <c r="C162" t="s">
        <v>451</v>
      </c>
      <c r="D162" t="str">
        <f t="shared" si="48"/>
        <v>Estimated additional cooking electricity demandEarly</v>
      </c>
      <c r="E162" s="80">
        <v>0</v>
      </c>
      <c r="F162" s="106">
        <v>14170944.699998856</v>
      </c>
      <c r="G162" s="106">
        <v>28341889.399997711</v>
      </c>
      <c r="H162" s="106">
        <v>42512834.099996567</v>
      </c>
      <c r="I162" s="106">
        <v>56683778.799995422</v>
      </c>
      <c r="J162" s="106">
        <v>70854723.499994278</v>
      </c>
      <c r="K162" s="106">
        <v>85025668.199993134</v>
      </c>
      <c r="L162" s="106">
        <v>99196612.899991989</v>
      </c>
      <c r="M162" s="106">
        <v>113367557.59999084</v>
      </c>
      <c r="N162" s="106">
        <v>127538502.2999897</v>
      </c>
      <c r="O162" s="80">
        <v>141709447</v>
      </c>
      <c r="P162" s="106">
        <v>160285997</v>
      </c>
      <c r="Q162" s="106">
        <v>178862547</v>
      </c>
      <c r="R162" s="106">
        <v>197439097</v>
      </c>
      <c r="S162" s="106">
        <v>216015647</v>
      </c>
      <c r="T162" s="106">
        <v>234592197</v>
      </c>
      <c r="U162" s="106">
        <v>253168747</v>
      </c>
      <c r="V162" s="106">
        <v>271745297</v>
      </c>
      <c r="W162" s="106">
        <v>290321847</v>
      </c>
      <c r="X162" s="106">
        <v>308898397</v>
      </c>
      <c r="Y162" s="106">
        <v>327474947</v>
      </c>
      <c r="Z162" s="106">
        <v>346051497</v>
      </c>
      <c r="AA162" s="106">
        <v>364628047</v>
      </c>
      <c r="AB162" s="106">
        <v>383204597</v>
      </c>
      <c r="AC162" s="106">
        <v>401781147</v>
      </c>
      <c r="AD162" s="106">
        <v>420357697</v>
      </c>
      <c r="AE162" s="106">
        <v>438934247</v>
      </c>
      <c r="AF162" s="106">
        <v>457510797</v>
      </c>
      <c r="AG162" s="106">
        <v>476087347</v>
      </c>
      <c r="AH162" s="106">
        <v>494663897</v>
      </c>
      <c r="AI162" s="106">
        <v>513240447</v>
      </c>
      <c r="AJ162" s="106">
        <v>531816997</v>
      </c>
      <c r="AK162" s="106">
        <v>550393547</v>
      </c>
      <c r="AL162" s="106">
        <v>568970097</v>
      </c>
      <c r="AM162" s="106">
        <v>587546647</v>
      </c>
      <c r="AN162" s="80">
        <v>606123197</v>
      </c>
    </row>
    <row r="163" spans="1:40">
      <c r="A163" s="30" t="s">
        <v>44</v>
      </c>
      <c r="B163" t="s">
        <v>446</v>
      </c>
      <c r="C163" t="s">
        <v>372</v>
      </c>
      <c r="D163" t="str">
        <f t="shared" si="48"/>
        <v>Existing domestic heat demandEarly</v>
      </c>
      <c r="E163" s="381">
        <v>34208540661.939991</v>
      </c>
      <c r="F163" s="381">
        <v>34208540661.939991</v>
      </c>
      <c r="G163" s="381">
        <v>34208540661.939991</v>
      </c>
      <c r="H163" s="381">
        <v>34195949432.041988</v>
      </c>
      <c r="I163" s="381">
        <v>34139853326.00528</v>
      </c>
      <c r="J163" s="381">
        <v>33850221222.288757</v>
      </c>
      <c r="K163" s="381">
        <v>33351850132.679596</v>
      </c>
      <c r="L163" s="381">
        <v>32648812044.102295</v>
      </c>
      <c r="M163" s="381">
        <v>31856576111.999039</v>
      </c>
      <c r="N163" s="381">
        <v>30874733784.5117</v>
      </c>
      <c r="O163" s="381">
        <v>29897634085.650158</v>
      </c>
      <c r="P163" s="381">
        <v>29234842956.106617</v>
      </c>
      <c r="Q163" s="381">
        <v>28648839393.702885</v>
      </c>
      <c r="R163" s="381">
        <v>28137718719.98539</v>
      </c>
      <c r="S163" s="381">
        <v>27700093404.04631</v>
      </c>
      <c r="T163" s="381">
        <v>27509035245.780468</v>
      </c>
      <c r="U163" s="381">
        <v>27359573960.270424</v>
      </c>
      <c r="V163" s="381">
        <v>27211897037.263649</v>
      </c>
      <c r="W163" s="381">
        <v>27194976731.245968</v>
      </c>
      <c r="X163" s="381">
        <v>27179562927.976501</v>
      </c>
      <c r="Y163" s="381">
        <v>27165652114.692669</v>
      </c>
      <c r="Z163" s="381">
        <v>27153156131.45295</v>
      </c>
      <c r="AA163" s="381">
        <v>27142058035.990917</v>
      </c>
      <c r="AB163" s="381">
        <v>27132354494.673702</v>
      </c>
      <c r="AC163" s="381">
        <v>27124042590.594093</v>
      </c>
      <c r="AD163" s="381">
        <v>27117119823.561886</v>
      </c>
      <c r="AE163" s="381">
        <v>27111584110.096535</v>
      </c>
      <c r="AF163" s="381">
        <v>27107433783.42099</v>
      </c>
      <c r="AG163" s="381">
        <v>27104667593.456757</v>
      </c>
      <c r="AH163" s="381">
        <v>27103284706.820229</v>
      </c>
      <c r="AI163" s="381">
        <v>27103284706.820229</v>
      </c>
      <c r="AJ163" s="381">
        <v>27103284706.820229</v>
      </c>
      <c r="AK163" s="381">
        <v>27103284706.820229</v>
      </c>
      <c r="AL163" s="381">
        <v>27103284706.820229</v>
      </c>
      <c r="AM163" s="381">
        <v>27103284706.820229</v>
      </c>
      <c r="AN163" s="381">
        <v>27103284706.820229</v>
      </c>
    </row>
    <row r="164" spans="1:40">
      <c r="A164" s="30" t="s">
        <v>44</v>
      </c>
      <c r="B164" t="s">
        <v>446</v>
      </c>
      <c r="C164" t="s">
        <v>373</v>
      </c>
      <c r="D164" t="str">
        <f t="shared" si="48"/>
        <v>Existing non-domestic heat demandEarly</v>
      </c>
      <c r="E164" s="381">
        <v>18723008369.73642</v>
      </c>
      <c r="F164" s="381">
        <v>18723008369.736416</v>
      </c>
      <c r="G164" s="381">
        <v>18723008369.736416</v>
      </c>
      <c r="H164" s="381">
        <v>18718770440.272564</v>
      </c>
      <c r="I164" s="381">
        <v>18590785581.229477</v>
      </c>
      <c r="J164" s="381">
        <v>18294168469.287563</v>
      </c>
      <c r="K164" s="381">
        <v>17876745334.080196</v>
      </c>
      <c r="L164" s="381">
        <v>17339813155.063942</v>
      </c>
      <c r="M164" s="381">
        <v>16695091326.834328</v>
      </c>
      <c r="N164" s="381">
        <v>15938530647.944378</v>
      </c>
      <c r="O164" s="381">
        <v>15191951033.635462</v>
      </c>
      <c r="P164" s="381">
        <v>14567827305.26363</v>
      </c>
      <c r="Q164" s="381">
        <v>14062256403.8573</v>
      </c>
      <c r="R164" s="381">
        <v>13672571649.128834</v>
      </c>
      <c r="S164" s="381">
        <v>13396915469.708286</v>
      </c>
      <c r="T164" s="381">
        <v>13364581214.783775</v>
      </c>
      <c r="U164" s="381">
        <v>13334468427.193426</v>
      </c>
      <c r="V164" s="381">
        <v>13306088635.92197</v>
      </c>
      <c r="W164" s="381">
        <v>13279914438.587404</v>
      </c>
      <c r="X164" s="381">
        <v>13255941862.483828</v>
      </c>
      <c r="Y164" s="381">
        <v>13234167264.794956</v>
      </c>
      <c r="Z164" s="381">
        <v>13214560843.714827</v>
      </c>
      <c r="AA164" s="381">
        <v>13197119301.481508</v>
      </c>
      <c r="AB164" s="381">
        <v>13181839725.116865</v>
      </c>
      <c r="AC164" s="381">
        <v>13168719586.712729</v>
      </c>
      <c r="AD164" s="381">
        <v>13157756743.782391</v>
      </c>
      <c r="AE164" s="381">
        <v>13148949439.678087</v>
      </c>
      <c r="AF164" s="381">
        <v>13142296304.075163</v>
      </c>
      <c r="AG164" s="381">
        <v>13137796353.523746</v>
      </c>
      <c r="AH164" s="381">
        <v>13135448992.068558</v>
      </c>
      <c r="AI164" s="381">
        <v>13135254011.937637</v>
      </c>
      <c r="AJ164" s="381">
        <v>13135058787.158472</v>
      </c>
      <c r="AK164" s="381">
        <v>13134863317.253408</v>
      </c>
      <c r="AL164" s="381">
        <v>13134667601.743496</v>
      </c>
      <c r="AM164" s="381">
        <v>13134471640.148514</v>
      </c>
      <c r="AN164" s="381">
        <v>13134275431.986923</v>
      </c>
    </row>
    <row r="165" spans="1:40">
      <c r="A165" s="30" t="s">
        <v>44</v>
      </c>
      <c r="B165" t="s">
        <v>446</v>
      </c>
      <c r="C165" t="s">
        <v>374</v>
      </c>
      <c r="D165" t="str">
        <f t="shared" si="48"/>
        <v>Existing domestic electricity demandEarly</v>
      </c>
      <c r="E165" s="381">
        <v>11858086493.000008</v>
      </c>
      <c r="F165" s="381">
        <v>11858086493.000008</v>
      </c>
      <c r="G165" s="381">
        <v>11858086493.000008</v>
      </c>
      <c r="H165" s="381">
        <v>11857921131.643181</v>
      </c>
      <c r="I165" s="381">
        <v>11503966909.66795</v>
      </c>
      <c r="J165" s="381">
        <v>10792644501.92564</v>
      </c>
      <c r="K165" s="381">
        <v>9950330975.036108</v>
      </c>
      <c r="L165" s="381">
        <v>9434524739.1929379</v>
      </c>
      <c r="M165" s="381">
        <v>8791783748.4845848</v>
      </c>
      <c r="N165" s="381">
        <v>8023463868.6084337</v>
      </c>
      <c r="O165" s="381">
        <v>7138399065.7639561</v>
      </c>
      <c r="P165" s="381">
        <v>7132244176.8026075</v>
      </c>
      <c r="Q165" s="381">
        <v>7126539130.1062984</v>
      </c>
      <c r="R165" s="381">
        <v>7121283925.6750278</v>
      </c>
      <c r="S165" s="381">
        <v>7116478563.5087986</v>
      </c>
      <c r="T165" s="381">
        <v>7113295569.5912609</v>
      </c>
      <c r="U165" s="381">
        <v>7110503369.8100243</v>
      </c>
      <c r="V165" s="381">
        <v>7107765815.5038137</v>
      </c>
      <c r="W165" s="381">
        <v>7107110069.8035021</v>
      </c>
      <c r="X165" s="381">
        <v>7106508969.5782146</v>
      </c>
      <c r="Y165" s="381">
        <v>7105962514.8279533</v>
      </c>
      <c r="Z165" s="381">
        <v>7105470705.5527201</v>
      </c>
      <c r="AA165" s="381">
        <v>7105033541.752511</v>
      </c>
      <c r="AB165" s="381">
        <v>7104651023.4273281</v>
      </c>
      <c r="AC165" s="381">
        <v>7104323150.5771723</v>
      </c>
      <c r="AD165" s="381">
        <v>7104049923.2020416</v>
      </c>
      <c r="AE165" s="381">
        <v>7103831341.3019371</v>
      </c>
      <c r="AF165" s="381">
        <v>7103667404.8768597</v>
      </c>
      <c r="AG165" s="381">
        <v>7103558113.9268064</v>
      </c>
      <c r="AH165" s="381">
        <v>7103503468.4517803</v>
      </c>
      <c r="AI165" s="381">
        <v>7103503468.4517803</v>
      </c>
      <c r="AJ165" s="381">
        <v>7103503468.4517803</v>
      </c>
      <c r="AK165" s="381">
        <v>7103503468.4517803</v>
      </c>
      <c r="AL165" s="381">
        <v>7103503468.4517803</v>
      </c>
      <c r="AM165" s="381">
        <v>7103503468.4517803</v>
      </c>
      <c r="AN165" s="381">
        <v>7103503468.4517803</v>
      </c>
    </row>
    <row r="166" spans="1:40">
      <c r="A166" s="30" t="s">
        <v>44</v>
      </c>
      <c r="B166" t="s">
        <v>446</v>
      </c>
      <c r="C166" t="s">
        <v>375</v>
      </c>
      <c r="D166" t="str">
        <f t="shared" si="48"/>
        <v>Existing non-domestic electricity demandEarly</v>
      </c>
      <c r="E166" s="381">
        <v>19618605322.817085</v>
      </c>
      <c r="F166" s="381">
        <v>19618605322.817085</v>
      </c>
      <c r="G166" s="381">
        <v>19618605322.817085</v>
      </c>
      <c r="H166" s="381">
        <v>19618513753.832016</v>
      </c>
      <c r="I166" s="381">
        <v>19475889132.173721</v>
      </c>
      <c r="J166" s="381">
        <v>19189840057.121952</v>
      </c>
      <c r="K166" s="381">
        <v>18762606758.187859</v>
      </c>
      <c r="L166" s="381">
        <v>18194485794.851311</v>
      </c>
      <c r="M166" s="381">
        <v>17486062979.415165</v>
      </c>
      <c r="N166" s="381">
        <v>16637639056.950882</v>
      </c>
      <c r="O166" s="381">
        <v>15650910311.570362</v>
      </c>
      <c r="P166" s="381">
        <v>15642376188.411112</v>
      </c>
      <c r="Q166" s="381">
        <v>15635339939.914804</v>
      </c>
      <c r="R166" s="381">
        <v>15629802908.297995</v>
      </c>
      <c r="S166" s="381">
        <v>15625766438.535439</v>
      </c>
      <c r="T166" s="381">
        <v>15625118576.459213</v>
      </c>
      <c r="U166" s="381">
        <v>15624511158.182474</v>
      </c>
      <c r="V166" s="381">
        <v>15623944236.445892</v>
      </c>
      <c r="W166" s="381">
        <v>15623417864.130846</v>
      </c>
      <c r="X166" s="381">
        <v>15622932094.259903</v>
      </c>
      <c r="Y166" s="381">
        <v>15622486979.99732</v>
      </c>
      <c r="Z166" s="381">
        <v>15622082574.649519</v>
      </c>
      <c r="AA166" s="381">
        <v>15621718931.6656</v>
      </c>
      <c r="AB166" s="381">
        <v>15621396104.637814</v>
      </c>
      <c r="AC166" s="381">
        <v>15621114147.302092</v>
      </c>
      <c r="AD166" s="381">
        <v>15620873113.538509</v>
      </c>
      <c r="AE166" s="381">
        <v>15620673057.371817</v>
      </c>
      <c r="AF166" s="381">
        <v>15620514032.97193</v>
      </c>
      <c r="AG166" s="381">
        <v>15620396094.654449</v>
      </c>
      <c r="AH166" s="381">
        <v>15620319296.881144</v>
      </c>
      <c r="AI166" s="381">
        <v>15620283694.260498</v>
      </c>
      <c r="AJ166" s="381">
        <v>15620248048.359247</v>
      </c>
      <c r="AK166" s="381">
        <v>15620212359.095352</v>
      </c>
      <c r="AL166" s="381">
        <v>15620176626.386551</v>
      </c>
      <c r="AM166" s="381">
        <v>15620140850.150377</v>
      </c>
      <c r="AN166" s="381">
        <v>15620105030.304134</v>
      </c>
    </row>
    <row r="167" spans="1:40">
      <c r="A167" s="30" t="s">
        <v>44</v>
      </c>
      <c r="B167" t="s">
        <v>452</v>
      </c>
      <c r="C167" t="s">
        <v>380</v>
      </c>
      <c r="D167" t="str">
        <f t="shared" si="48"/>
        <v>% new domestic heat demand from solar thermalEarly</v>
      </c>
      <c r="E167" s="381">
        <v>0</v>
      </c>
      <c r="F167" s="381">
        <v>0</v>
      </c>
      <c r="G167" s="381">
        <v>0</v>
      </c>
      <c r="H167" s="381">
        <v>0</v>
      </c>
      <c r="I167" s="381">
        <v>0</v>
      </c>
      <c r="J167" s="381">
        <v>3.8494588464477813E-3</v>
      </c>
      <c r="K167" s="381">
        <v>6.078472907222977E-3</v>
      </c>
      <c r="L167" s="381">
        <v>7.7437442869030685E-3</v>
      </c>
      <c r="M167" s="381">
        <v>9.0351298047125876E-3</v>
      </c>
      <c r="N167" s="381">
        <v>1.0065837719198235E-2</v>
      </c>
      <c r="O167" s="381">
        <v>1.0907562111917202E-2</v>
      </c>
      <c r="P167" s="381">
        <v>1.1483749530573156E-2</v>
      </c>
      <c r="Q167" s="381">
        <v>1.1985465227054844E-2</v>
      </c>
      <c r="R167" s="381">
        <v>1.2426270890949411E-2</v>
      </c>
      <c r="S167" s="381">
        <v>1.2816623783378245E-2</v>
      </c>
      <c r="T167" s="381">
        <v>1.3164716952922258E-2</v>
      </c>
      <c r="U167" s="381">
        <v>1.3312802365195909E-2</v>
      </c>
      <c r="V167" s="381">
        <v>1.3453848625965549E-2</v>
      </c>
      <c r="W167" s="381">
        <v>1.3588345986124713E-2</v>
      </c>
      <c r="X167" s="381">
        <v>1.3716740203931726E-2</v>
      </c>
      <c r="Y167" s="381">
        <v>1.3839437480433103E-2</v>
      </c>
      <c r="Z167" s="381">
        <v>1.3956808752181062E-2</v>
      </c>
      <c r="AA167" s="381">
        <v>1.4069193436815145E-2</v>
      </c>
      <c r="AB167" s="381">
        <v>1.4176902711174574E-2</v>
      </c>
      <c r="AC167" s="381">
        <v>1.428022238862081E-2</v>
      </c>
      <c r="AD167" s="381">
        <v>1.4379415451597091E-2</v>
      </c>
      <c r="AE167" s="381">
        <v>1.4474724286676075E-2</v>
      </c>
      <c r="AF167" s="381">
        <v>1.456637266208784E-2</v>
      </c>
      <c r="AG167" s="381">
        <v>1.4654567481692122E-2</v>
      </c>
      <c r="AH167" s="381">
        <v>1.4739500344334432E-2</v>
      </c>
      <c r="AI167" s="381">
        <v>1.4821348933321474E-2</v>
      </c>
      <c r="AJ167" s="381">
        <v>1.4900278257222878E-2</v>
      </c>
      <c r="AK167" s="381">
        <v>1.4976441760233305E-2</v>
      </c>
      <c r="AL167" s="381">
        <v>1.5049982317817418E-2</v>
      </c>
      <c r="AM167" s="381">
        <v>1.5121033131231079E-2</v>
      </c>
      <c r="AN167" s="381">
        <v>1.5189718532701735E-2</v>
      </c>
    </row>
    <row r="168" spans="1:40">
      <c r="A168" s="30" t="s">
        <v>44</v>
      </c>
      <c r="B168" t="s">
        <v>452</v>
      </c>
      <c r="C168" t="s">
        <v>381</v>
      </c>
      <c r="D168" t="str">
        <f t="shared" si="48"/>
        <v>% new non-domestic heat demand from solar thermalEarly</v>
      </c>
      <c r="E168" s="381">
        <v>0</v>
      </c>
      <c r="F168" s="381">
        <v>0</v>
      </c>
      <c r="G168" s="381">
        <v>0</v>
      </c>
      <c r="H168" s="381">
        <v>0</v>
      </c>
      <c r="I168" s="381">
        <v>0</v>
      </c>
      <c r="J168" s="381">
        <v>6.2087820672609116E-3</v>
      </c>
      <c r="K168" s="381">
        <v>1.0347970112101522E-2</v>
      </c>
      <c r="L168" s="381">
        <v>1.3304533001273383E-2</v>
      </c>
      <c r="M168" s="381">
        <v>1.5521955168152279E-2</v>
      </c>
      <c r="N168" s="381">
        <v>1.7246616853502532E-2</v>
      </c>
      <c r="O168" s="381">
        <v>1.8626346201782738E-2</v>
      </c>
      <c r="P168" s="381">
        <v>1.9493697003782746E-2</v>
      </c>
      <c r="Q168" s="381">
        <v>2.0248098229741378E-2</v>
      </c>
      <c r="R168" s="381">
        <v>2.0910264190128706E-2</v>
      </c>
      <c r="S168" s="381">
        <v>2.1496135816483224E-2</v>
      </c>
      <c r="T168" s="381">
        <v>2.2018180729025946E-2</v>
      </c>
      <c r="U168" s="381">
        <v>2.2486290353187412E-2</v>
      </c>
      <c r="V168" s="381">
        <v>2.290841263650658E-2</v>
      </c>
      <c r="W168" s="381">
        <v>2.3291007021043024E-2</v>
      </c>
      <c r="X168" s="381">
        <v>2.363937732031203E-2</v>
      </c>
      <c r="Y168" s="381">
        <v>2.3957919090399651E-2</v>
      </c>
      <c r="Z168" s="381">
        <v>2.4250306067716575E-2</v>
      </c>
      <c r="AA168" s="381">
        <v>2.4519632493733311E-2</v>
      </c>
      <c r="AB168" s="381">
        <v>2.4768523041881894E-2</v>
      </c>
      <c r="AC168" s="381">
        <v>2.4999218636090371E-2</v>
      </c>
      <c r="AD168" s="381">
        <v>2.521364411191299E-2</v>
      </c>
      <c r="AE168" s="381">
        <v>2.5413462049603923E-2</v>
      </c>
      <c r="AF168" s="381">
        <v>2.5600115967610922E-2</v>
      </c>
      <c r="AG168" s="381">
        <v>2.5774865251532036E-2</v>
      </c>
      <c r="AH168" s="381">
        <v>2.5938813606390217E-2</v>
      </c>
      <c r="AI168" s="381">
        <v>2.6092932391315504E-2</v>
      </c>
      <c r="AJ168" s="381">
        <v>2.6238079879272319E-2</v>
      </c>
      <c r="AK168" s="381">
        <v>2.6375017248566644E-2</v>
      </c>
      <c r="AL168" s="381">
        <v>2.6504421935359648E-2</v>
      </c>
      <c r="AM168" s="381">
        <v>2.6626898841669681E-2</v>
      </c>
      <c r="AN168" s="381">
        <v>2.6742989790215374E-2</v>
      </c>
    </row>
    <row r="169" spans="1:40">
      <c r="A169" s="30" t="s">
        <v>44</v>
      </c>
      <c r="B169" t="s">
        <v>452</v>
      </c>
      <c r="C169" t="s">
        <v>382</v>
      </c>
      <c r="D169" t="str">
        <f t="shared" si="48"/>
        <v>% existing domestic heat demand from solar thermalEarly</v>
      </c>
      <c r="E169" s="381">
        <v>0</v>
      </c>
      <c r="F169" s="381">
        <v>0</v>
      </c>
      <c r="G169" s="381">
        <v>0</v>
      </c>
      <c r="H169" s="381">
        <v>0</v>
      </c>
      <c r="I169" s="381">
        <v>0</v>
      </c>
      <c r="J169" s="381">
        <v>4.4732745595569752E-5</v>
      </c>
      <c r="K169" s="381">
        <v>9.0474106518970485E-5</v>
      </c>
      <c r="L169" s="381">
        <v>9.1960403399723057E-5</v>
      </c>
      <c r="M169" s="381">
        <v>9.3740099374200309E-5</v>
      </c>
      <c r="N169" s="381">
        <v>9.6083406828078829E-5</v>
      </c>
      <c r="O169" s="381">
        <v>9.8579217627385574E-5</v>
      </c>
      <c r="P169" s="381">
        <v>1.33415893125032E-4</v>
      </c>
      <c r="Q169" s="381">
        <v>2.0277974761448715E-4</v>
      </c>
      <c r="R169" s="381">
        <v>3.079588150939112E-4</v>
      </c>
      <c r="S169" s="381">
        <v>4.4986634573181914E-4</v>
      </c>
      <c r="T169" s="381">
        <v>6.258051275733475E-4</v>
      </c>
      <c r="U169" s="381">
        <v>8.3765342242438263E-4</v>
      </c>
      <c r="V169" s="381">
        <v>1.086336743529076E-3</v>
      </c>
      <c r="W169" s="381">
        <v>1.3670206275584846E-3</v>
      </c>
      <c r="X169" s="381">
        <v>1.6829486758046124E-3</v>
      </c>
      <c r="Y169" s="381">
        <v>2.0341297768656174E-3</v>
      </c>
      <c r="Z169" s="381">
        <v>2.3573961429007553E-3</v>
      </c>
      <c r="AA169" s="381">
        <v>2.6449457838061551E-3</v>
      </c>
      <c r="AB169" s="381">
        <v>2.896707645716532E-3</v>
      </c>
      <c r="AC169" s="381">
        <v>3.1126194594126829E-3</v>
      </c>
      <c r="AD169" s="381">
        <v>3.2926277790386051E-3</v>
      </c>
      <c r="AE169" s="381">
        <v>3.4366880153715576E-3</v>
      </c>
      <c r="AF169" s="381">
        <v>3.5447644636064377E-3</v>
      </c>
      <c r="AG169" s="381">
        <v>3.6168303256222034E-3</v>
      </c>
      <c r="AH169" s="381">
        <v>3.6528677267044117E-3</v>
      </c>
      <c r="AI169" s="381">
        <v>3.6528677267044117E-3</v>
      </c>
      <c r="AJ169" s="381">
        <v>3.6528677267044117E-3</v>
      </c>
      <c r="AK169" s="381">
        <v>3.6528677267044117E-3</v>
      </c>
      <c r="AL169" s="381">
        <v>3.6528677267044117E-3</v>
      </c>
      <c r="AM169" s="381">
        <v>3.6528677267044117E-3</v>
      </c>
      <c r="AN169" s="381">
        <v>3.6528677267044117E-3</v>
      </c>
    </row>
    <row r="170" spans="1:40">
      <c r="A170" s="30" t="s">
        <v>44</v>
      </c>
      <c r="B170" t="s">
        <v>452</v>
      </c>
      <c r="C170" t="s">
        <v>383</v>
      </c>
      <c r="D170" t="str">
        <f t="shared" si="48"/>
        <v>% existing non-domestic heat demand from solar thermalEarly</v>
      </c>
      <c r="E170" s="381">
        <v>0</v>
      </c>
      <c r="F170" s="381">
        <v>0</v>
      </c>
      <c r="G170" s="381">
        <v>0</v>
      </c>
      <c r="H170" s="381">
        <v>0</v>
      </c>
      <c r="I170" s="381">
        <v>0</v>
      </c>
      <c r="J170" s="381">
        <v>9.9403697421206571E-5</v>
      </c>
      <c r="K170" s="381">
        <v>2.0031828357433632E-4</v>
      </c>
      <c r="L170" s="381">
        <v>2.021526433970557E-4</v>
      </c>
      <c r="M170" s="381">
        <v>2.0433937873757355E-4</v>
      </c>
      <c r="N170" s="381">
        <v>2.0698939513961713E-4</v>
      </c>
      <c r="O170" s="381">
        <v>2.1017258695397022E-4</v>
      </c>
      <c r="P170" s="381">
        <v>3.915010696924012E-4</v>
      </c>
      <c r="Q170" s="381">
        <v>7.5405010041167575E-4</v>
      </c>
      <c r="R170" s="381">
        <v>1.3013294882318527E-3</v>
      </c>
      <c r="S170" s="381">
        <v>2.0374365228804422E-3</v>
      </c>
      <c r="T170" s="381">
        <v>2.9465940784894925E-3</v>
      </c>
      <c r="U170" s="381">
        <v>3.8889216433825135E-3</v>
      </c>
      <c r="V170" s="381">
        <v>4.1222529224856927E-3</v>
      </c>
      <c r="W170" s="381">
        <v>4.3898340541013341E-3</v>
      </c>
      <c r="X170" s="381">
        <v>4.6917729720423176E-3</v>
      </c>
      <c r="Y170" s="381">
        <v>5.0281592612890927E-3</v>
      </c>
      <c r="Z170" s="381">
        <v>5.3319715340180264E-3</v>
      </c>
      <c r="AA170" s="381">
        <v>5.6029791795315781E-3</v>
      </c>
      <c r="AB170" s="381">
        <v>5.8409684443270172E-3</v>
      </c>
      <c r="AC170" s="381">
        <v>6.045742797935464E-3</v>
      </c>
      <c r="AD170" s="381">
        <v>6.2171232635375821E-3</v>
      </c>
      <c r="AE170" s="381">
        <v>6.3549487120987307E-3</v>
      </c>
      <c r="AF170" s="381">
        <v>6.4590761189049252E-3</v>
      </c>
      <c r="AG170" s="381">
        <v>6.5293807815265011E-3</v>
      </c>
      <c r="AH170" s="381">
        <v>6.5657564983879011E-3</v>
      </c>
      <c r="AI170" s="381">
        <v>6.5681157072786846E-3</v>
      </c>
      <c r="AJ170" s="381">
        <v>6.5704781718702691E-3</v>
      </c>
      <c r="AK170" s="381">
        <v>6.572843899064369E-3</v>
      </c>
      <c r="AL170" s="381">
        <v>6.5752128957826013E-3</v>
      </c>
      <c r="AM170" s="381">
        <v>6.577585168966559E-3</v>
      </c>
      <c r="AN170" s="381">
        <v>6.5799607255778835E-3</v>
      </c>
    </row>
    <row r="171" spans="1:40">
      <c r="A171" s="30" t="s">
        <v>44</v>
      </c>
      <c r="B171" t="s">
        <v>453</v>
      </c>
      <c r="C171" t="s">
        <v>384</v>
      </c>
      <c r="D171" t="str">
        <f t="shared" si="48"/>
        <v>Fuel Poor - Extended RE:NEWEarly</v>
      </c>
      <c r="E171" s="381">
        <v>0</v>
      </c>
      <c r="F171" s="381">
        <v>0</v>
      </c>
      <c r="G171" s="381">
        <v>0</v>
      </c>
      <c r="H171" s="381">
        <v>0</v>
      </c>
      <c r="I171" s="381">
        <v>0</v>
      </c>
      <c r="J171" s="381">
        <v>2966.9333607488347</v>
      </c>
      <c r="K171" s="381">
        <v>2966.9333607488347</v>
      </c>
      <c r="L171" s="381">
        <v>2966.9333607488347</v>
      </c>
      <c r="M171" s="381">
        <v>2966.9333607488347</v>
      </c>
      <c r="N171" s="381">
        <v>2832.0727534420698</v>
      </c>
      <c r="O171" s="381">
        <v>2697.2121461353045</v>
      </c>
      <c r="P171" s="381">
        <v>2562.3515388285391</v>
      </c>
      <c r="Q171" s="381">
        <v>2427.4909315217742</v>
      </c>
      <c r="R171" s="381">
        <v>2292.6303242150088</v>
      </c>
      <c r="S171" s="381">
        <v>2157.7697169082435</v>
      </c>
      <c r="T171" s="381">
        <v>2022.9091096014786</v>
      </c>
      <c r="U171" s="381">
        <v>1888.048502294713</v>
      </c>
      <c r="V171" s="381">
        <v>1753.1878949879479</v>
      </c>
      <c r="W171" s="381">
        <v>1618.3272876811827</v>
      </c>
      <c r="X171" s="381">
        <v>1483.4666803744174</v>
      </c>
      <c r="Y171" s="381">
        <v>1348.6060730676522</v>
      </c>
      <c r="Z171" s="381">
        <v>1213.7454657608871</v>
      </c>
      <c r="AA171" s="381">
        <v>1078.884858454122</v>
      </c>
      <c r="AB171" s="381">
        <v>944.02425114735649</v>
      </c>
      <c r="AC171" s="381">
        <v>809.16364384059136</v>
      </c>
      <c r="AD171" s="381">
        <v>674.30303653382612</v>
      </c>
      <c r="AE171" s="381">
        <v>539.44242922706087</v>
      </c>
      <c r="AF171" s="381">
        <v>404.58182192029562</v>
      </c>
      <c r="AG171" s="381">
        <v>269.72121461353055</v>
      </c>
      <c r="AH171" s="381">
        <v>134.86060730676522</v>
      </c>
      <c r="AI171" s="381">
        <v>0</v>
      </c>
      <c r="AJ171" s="381">
        <v>0</v>
      </c>
      <c r="AK171" s="381">
        <v>0</v>
      </c>
      <c r="AL171" s="381">
        <v>0</v>
      </c>
      <c r="AM171" s="381">
        <v>0</v>
      </c>
      <c r="AN171" s="381">
        <v>0</v>
      </c>
    </row>
    <row r="172" spans="1:40">
      <c r="A172" s="30" t="s">
        <v>44</v>
      </c>
      <c r="B172" t="s">
        <v>453</v>
      </c>
      <c r="C172" t="s">
        <v>385</v>
      </c>
      <c r="D172" t="str">
        <f t="shared" si="48"/>
        <v>Fuel Poor - Landlord MEES - EPC CEarly</v>
      </c>
      <c r="E172" s="381">
        <v>0</v>
      </c>
      <c r="F172" s="381">
        <v>0</v>
      </c>
      <c r="G172" s="381">
        <v>0</v>
      </c>
      <c r="H172" s="381">
        <v>0</v>
      </c>
      <c r="I172" s="381">
        <v>2576.9040509387255</v>
      </c>
      <c r="J172" s="381">
        <v>5153.808101877451</v>
      </c>
      <c r="K172" s="381">
        <v>7730.712152816177</v>
      </c>
      <c r="L172" s="381">
        <v>10307.616203754902</v>
      </c>
      <c r="M172" s="381">
        <v>12884.520254693627</v>
      </c>
      <c r="N172" s="381">
        <v>15461.424305632354</v>
      </c>
      <c r="O172" s="381">
        <v>15461.424305632354</v>
      </c>
      <c r="P172" s="381">
        <v>0</v>
      </c>
      <c r="Q172" s="381">
        <v>0</v>
      </c>
      <c r="R172" s="381">
        <v>0</v>
      </c>
      <c r="S172" s="381">
        <v>0</v>
      </c>
      <c r="T172" s="381">
        <v>0</v>
      </c>
      <c r="U172" s="381">
        <v>0</v>
      </c>
      <c r="V172" s="381">
        <v>0</v>
      </c>
      <c r="W172" s="381">
        <v>0</v>
      </c>
      <c r="X172" s="381">
        <v>0</v>
      </c>
      <c r="Y172" s="381">
        <v>0</v>
      </c>
      <c r="Z172" s="381">
        <v>0</v>
      </c>
      <c r="AA172" s="381">
        <v>0</v>
      </c>
      <c r="AB172" s="381">
        <v>0</v>
      </c>
      <c r="AC172" s="381">
        <v>0</v>
      </c>
      <c r="AD172" s="381">
        <v>0</v>
      </c>
      <c r="AE172" s="381">
        <v>0</v>
      </c>
      <c r="AF172" s="381">
        <v>0</v>
      </c>
      <c r="AG172" s="381">
        <v>0</v>
      </c>
      <c r="AH172" s="381">
        <v>0</v>
      </c>
      <c r="AI172" s="381">
        <v>0</v>
      </c>
      <c r="AJ172" s="381">
        <v>0</v>
      </c>
      <c r="AK172" s="381">
        <v>0</v>
      </c>
      <c r="AL172" s="381">
        <v>0</v>
      </c>
      <c r="AM172" s="381">
        <v>0</v>
      </c>
      <c r="AN172" s="381">
        <v>0</v>
      </c>
    </row>
    <row r="173" spans="1:40">
      <c r="A173" s="30" t="s">
        <v>44</v>
      </c>
      <c r="B173" t="s">
        <v>453</v>
      </c>
      <c r="C173" t="s">
        <v>386</v>
      </c>
      <c r="D173" t="str">
        <f t="shared" si="48"/>
        <v>Fuel Poor - All buildings MEES - EPC CEarly</v>
      </c>
      <c r="E173" s="256">
        <v>0</v>
      </c>
      <c r="F173" s="256">
        <v>0</v>
      </c>
      <c r="G173" s="256">
        <v>0</v>
      </c>
      <c r="H173" s="256">
        <v>0</v>
      </c>
      <c r="I173" s="256">
        <v>0</v>
      </c>
      <c r="J173" s="256">
        <v>0</v>
      </c>
      <c r="K173" s="256">
        <v>11189.428506188631</v>
      </c>
      <c r="L173" s="256">
        <v>22378.857012377262</v>
      </c>
      <c r="M173" s="256">
        <v>33568.285518565899</v>
      </c>
      <c r="N173" s="256">
        <v>44757.714024754525</v>
      </c>
      <c r="O173" s="256">
        <v>44757.714024754525</v>
      </c>
      <c r="P173" s="256">
        <v>0</v>
      </c>
      <c r="Q173" s="256">
        <v>0</v>
      </c>
      <c r="R173" s="256">
        <v>0</v>
      </c>
      <c r="S173" s="256">
        <v>0</v>
      </c>
      <c r="T173" s="256">
        <v>0</v>
      </c>
      <c r="U173" s="256">
        <v>0</v>
      </c>
      <c r="V173" s="256">
        <v>0</v>
      </c>
      <c r="W173" s="256">
        <v>0</v>
      </c>
      <c r="X173" s="256">
        <v>0</v>
      </c>
      <c r="Y173" s="256">
        <v>0</v>
      </c>
      <c r="Z173" s="256">
        <v>0</v>
      </c>
      <c r="AA173" s="256">
        <v>0</v>
      </c>
      <c r="AB173" s="256">
        <v>0</v>
      </c>
      <c r="AC173" s="256">
        <v>0</v>
      </c>
      <c r="AD173" s="256">
        <v>0</v>
      </c>
      <c r="AE173" s="256">
        <v>0</v>
      </c>
      <c r="AF173" s="256">
        <v>0</v>
      </c>
      <c r="AG173" s="256">
        <v>0</v>
      </c>
      <c r="AH173" s="256">
        <v>0</v>
      </c>
      <c r="AI173" s="256">
        <v>0</v>
      </c>
      <c r="AJ173" s="256">
        <v>0</v>
      </c>
      <c r="AK173" s="256">
        <v>0</v>
      </c>
      <c r="AL173" s="256">
        <v>0</v>
      </c>
      <c r="AM173" s="256">
        <v>0</v>
      </c>
      <c r="AN173" s="256">
        <v>0</v>
      </c>
    </row>
    <row r="174" spans="1:40">
      <c r="A174" s="30" t="s">
        <v>44</v>
      </c>
      <c r="B174" t="s">
        <v>453</v>
      </c>
      <c r="C174" t="s">
        <v>387</v>
      </c>
      <c r="D174" t="str">
        <f t="shared" si="48"/>
        <v>Fuel Poor - Extended energy LeapEarly</v>
      </c>
      <c r="E174" s="256">
        <v>0</v>
      </c>
      <c r="F174" s="256">
        <v>0</v>
      </c>
      <c r="G174" s="256">
        <v>0</v>
      </c>
      <c r="H174" s="256">
        <v>0</v>
      </c>
      <c r="I174" s="256">
        <v>0</v>
      </c>
      <c r="J174" s="256">
        <v>385.89525411046941</v>
      </c>
      <c r="K174" s="256">
        <v>771.79050822093882</v>
      </c>
      <c r="L174" s="256">
        <v>1157.6857623314081</v>
      </c>
      <c r="M174" s="256">
        <v>1543.5810164418776</v>
      </c>
      <c r="N174" s="256">
        <v>1929.4762705523469</v>
      </c>
      <c r="O174" s="256">
        <v>2315.3715246628162</v>
      </c>
      <c r="P174" s="256">
        <v>2701.2667787732858</v>
      </c>
      <c r="Q174" s="256">
        <v>3087.1620328837553</v>
      </c>
      <c r="R174" s="256">
        <v>3473.0572869942243</v>
      </c>
      <c r="S174" s="256">
        <v>3858.9525411046939</v>
      </c>
      <c r="T174" s="256">
        <v>3858.9525411046939</v>
      </c>
      <c r="U174" s="256">
        <v>3858.9525411046939</v>
      </c>
      <c r="V174" s="256">
        <v>3858.9525411046939</v>
      </c>
      <c r="W174" s="256">
        <v>0</v>
      </c>
      <c r="X174" s="256">
        <v>0</v>
      </c>
      <c r="Y174" s="256">
        <v>0</v>
      </c>
      <c r="Z174" s="256">
        <v>0</v>
      </c>
      <c r="AA174" s="256">
        <v>0</v>
      </c>
      <c r="AB174" s="256">
        <v>0</v>
      </c>
      <c r="AC174" s="256">
        <v>0</v>
      </c>
      <c r="AD174" s="256">
        <v>0</v>
      </c>
      <c r="AE174" s="256">
        <v>0</v>
      </c>
      <c r="AF174" s="256">
        <v>0</v>
      </c>
      <c r="AG174" s="256">
        <v>0</v>
      </c>
      <c r="AH174" s="256">
        <v>0</v>
      </c>
      <c r="AI174" s="256">
        <v>0</v>
      </c>
      <c r="AJ174" s="256">
        <v>0</v>
      </c>
      <c r="AK174" s="256">
        <v>0</v>
      </c>
      <c r="AL174" s="256">
        <v>0</v>
      </c>
      <c r="AM174" s="256">
        <v>0</v>
      </c>
      <c r="AN174" s="256">
        <v>0</v>
      </c>
    </row>
    <row r="175" spans="1:40">
      <c r="A175" s="30" t="s">
        <v>44</v>
      </c>
      <c r="B175" t="s">
        <v>453</v>
      </c>
      <c r="C175" t="s">
        <v>388</v>
      </c>
      <c r="D175" t="str">
        <f t="shared" si="48"/>
        <v>Social housing - Extended RE:NEWEarly</v>
      </c>
      <c r="E175" s="256">
        <v>0</v>
      </c>
      <c r="F175" s="256">
        <v>0</v>
      </c>
      <c r="G175" s="256">
        <v>0</v>
      </c>
      <c r="H175" s="256">
        <v>0</v>
      </c>
      <c r="I175" s="256">
        <v>0</v>
      </c>
      <c r="J175" s="256">
        <v>5923.6510502741621</v>
      </c>
      <c r="K175" s="256">
        <v>5923.6510502741621</v>
      </c>
      <c r="L175" s="256">
        <v>5923.6510502741621</v>
      </c>
      <c r="M175" s="256">
        <v>5923.6510502741621</v>
      </c>
      <c r="N175" s="256">
        <v>5654.39418435261</v>
      </c>
      <c r="O175" s="256">
        <v>5385.1373184310569</v>
      </c>
      <c r="P175" s="256">
        <v>5115.8804525095038</v>
      </c>
      <c r="Q175" s="256">
        <v>4846.6235865879516</v>
      </c>
      <c r="R175" s="256">
        <v>4577.3667206663977</v>
      </c>
      <c r="S175" s="256">
        <v>4308.1098547448455</v>
      </c>
      <c r="T175" s="256">
        <v>4038.8529888232924</v>
      </c>
      <c r="U175" s="256">
        <v>3769.5961229017398</v>
      </c>
      <c r="V175" s="256">
        <v>3500.3392569801872</v>
      </c>
      <c r="W175" s="256">
        <v>3231.0823910586341</v>
      </c>
      <c r="X175" s="256">
        <v>2961.8255251370811</v>
      </c>
      <c r="Y175" s="256">
        <v>2692.5686592155284</v>
      </c>
      <c r="Z175" s="256">
        <v>2423.3117932939758</v>
      </c>
      <c r="AA175" s="256">
        <v>2154.0549273724228</v>
      </c>
      <c r="AB175" s="256">
        <v>1884.7980614508699</v>
      </c>
      <c r="AC175" s="256">
        <v>1615.5411955293171</v>
      </c>
      <c r="AD175" s="256">
        <v>1346.2843296077644</v>
      </c>
      <c r="AE175" s="256">
        <v>1077.0274636862114</v>
      </c>
      <c r="AF175" s="256">
        <v>807.77059776465831</v>
      </c>
      <c r="AG175" s="256">
        <v>538.51373184310569</v>
      </c>
      <c r="AH175" s="256">
        <v>269.25686592155307</v>
      </c>
      <c r="AI175" s="256">
        <v>0</v>
      </c>
      <c r="AJ175" s="256">
        <v>0</v>
      </c>
      <c r="AK175" s="256">
        <v>0</v>
      </c>
      <c r="AL175" s="256">
        <v>0</v>
      </c>
      <c r="AM175" s="256">
        <v>0</v>
      </c>
      <c r="AN175" s="256">
        <v>0</v>
      </c>
    </row>
    <row r="176" spans="1:40">
      <c r="A176" s="30" t="s">
        <v>44</v>
      </c>
      <c r="B176" t="s">
        <v>453</v>
      </c>
      <c r="C176" t="s">
        <v>389</v>
      </c>
      <c r="D176" t="str">
        <f t="shared" si="48"/>
        <v>Social housing - All buildings MEES - EPC CEarly</v>
      </c>
      <c r="E176" s="80">
        <v>0</v>
      </c>
      <c r="F176" s="106">
        <v>0</v>
      </c>
      <c r="G176" s="106">
        <v>0</v>
      </c>
      <c r="H176" s="106">
        <v>0</v>
      </c>
      <c r="I176" s="106">
        <v>0</v>
      </c>
      <c r="J176" s="106">
        <v>0</v>
      </c>
      <c r="K176" s="106">
        <v>12405.631005164458</v>
      </c>
      <c r="L176" s="106">
        <v>24811.262010328915</v>
      </c>
      <c r="M176" s="106">
        <v>37216.893015493377</v>
      </c>
      <c r="N176" s="106">
        <v>49622.524020657831</v>
      </c>
      <c r="O176" s="80">
        <v>49622.524020657831</v>
      </c>
      <c r="P176" s="106">
        <v>39698.019216526271</v>
      </c>
      <c r="Q176" s="106">
        <v>29773.514412394703</v>
      </c>
      <c r="R176" s="106">
        <v>19849.009608263135</v>
      </c>
      <c r="S176" s="106">
        <v>9924.5048041315677</v>
      </c>
      <c r="T176" s="106">
        <v>0</v>
      </c>
      <c r="U176" s="106">
        <v>0</v>
      </c>
      <c r="V176" s="106">
        <v>0</v>
      </c>
      <c r="W176" s="106">
        <v>0</v>
      </c>
      <c r="X176" s="106">
        <v>0</v>
      </c>
      <c r="Y176" s="106">
        <v>0</v>
      </c>
      <c r="Z176" s="106">
        <v>0</v>
      </c>
      <c r="AA176" s="106">
        <v>0</v>
      </c>
      <c r="AB176" s="106">
        <v>0</v>
      </c>
      <c r="AC176" s="106">
        <v>0</v>
      </c>
      <c r="AD176" s="106">
        <v>0</v>
      </c>
      <c r="AE176" s="106">
        <v>0</v>
      </c>
      <c r="AF176" s="106">
        <v>0</v>
      </c>
      <c r="AG176" s="106">
        <v>0</v>
      </c>
      <c r="AH176" s="106">
        <v>0</v>
      </c>
      <c r="AI176" s="106">
        <v>0</v>
      </c>
      <c r="AJ176" s="106">
        <v>0</v>
      </c>
      <c r="AK176" s="106">
        <v>0</v>
      </c>
      <c r="AL176" s="106">
        <v>0</v>
      </c>
      <c r="AM176" s="106">
        <v>0</v>
      </c>
      <c r="AN176" s="80">
        <v>0</v>
      </c>
    </row>
    <row r="177" spans="1:40">
      <c r="A177" s="30" t="s">
        <v>44</v>
      </c>
      <c r="B177" t="s">
        <v>453</v>
      </c>
      <c r="C177" t="s">
        <v>390</v>
      </c>
      <c r="D177" t="str">
        <f t="shared" si="48"/>
        <v>Social housing - Extended energy LeapEarly</v>
      </c>
      <c r="E177" s="59">
        <v>0</v>
      </c>
      <c r="F177" s="59">
        <v>0</v>
      </c>
      <c r="G177" s="59">
        <v>0</v>
      </c>
      <c r="H177" s="59">
        <v>0</v>
      </c>
      <c r="I177" s="59">
        <v>0</v>
      </c>
      <c r="J177" s="59">
        <v>509.66177798994977</v>
      </c>
      <c r="K177" s="59">
        <v>1019.3235559798995</v>
      </c>
      <c r="L177" s="59">
        <v>1528.9853339698493</v>
      </c>
      <c r="M177" s="59">
        <v>2038.6471119597991</v>
      </c>
      <c r="N177" s="59">
        <v>2548.3088899497488</v>
      </c>
      <c r="O177" s="59">
        <v>3057.9706679396986</v>
      </c>
      <c r="P177" s="59">
        <v>3567.6324459296484</v>
      </c>
      <c r="Q177" s="59">
        <v>4077.2942239195982</v>
      </c>
      <c r="R177" s="59">
        <v>4586.9560019095479</v>
      </c>
      <c r="S177" s="59">
        <v>5096.6177798994977</v>
      </c>
      <c r="T177" s="59">
        <v>5096.6177798994977</v>
      </c>
      <c r="U177" s="59">
        <v>5096.6177798994977</v>
      </c>
      <c r="V177" s="59">
        <v>5096.6177798994977</v>
      </c>
      <c r="W177" s="59">
        <v>0</v>
      </c>
      <c r="X177" s="59">
        <v>0</v>
      </c>
      <c r="Y177" s="59">
        <v>0</v>
      </c>
      <c r="Z177" s="59">
        <v>0</v>
      </c>
      <c r="AA177" s="59">
        <v>0</v>
      </c>
      <c r="AB177" s="59">
        <v>0</v>
      </c>
      <c r="AC177" s="59">
        <v>0</v>
      </c>
      <c r="AD177" s="59">
        <v>0</v>
      </c>
      <c r="AE177" s="59">
        <v>0</v>
      </c>
      <c r="AF177" s="59">
        <v>0</v>
      </c>
      <c r="AG177" s="59">
        <v>0</v>
      </c>
      <c r="AH177" s="59">
        <v>0</v>
      </c>
      <c r="AI177" s="59">
        <v>0</v>
      </c>
      <c r="AJ177" s="59">
        <v>0</v>
      </c>
      <c r="AK177" s="59">
        <v>0</v>
      </c>
      <c r="AL177" s="59">
        <v>0</v>
      </c>
      <c r="AM177" s="59">
        <v>0</v>
      </c>
      <c r="AN177" s="59">
        <v>0</v>
      </c>
    </row>
    <row r="178" spans="1:40">
      <c r="A178" s="30" t="s">
        <v>44</v>
      </c>
      <c r="B178" t="s">
        <v>453</v>
      </c>
      <c r="C178" t="s">
        <v>391</v>
      </c>
      <c r="D178" t="str">
        <f t="shared" si="48"/>
        <v>Able to pay - Building Regulations and planning policyEarly</v>
      </c>
      <c r="E178" s="381">
        <v>0</v>
      </c>
      <c r="F178" s="381">
        <v>0</v>
      </c>
      <c r="G178" s="381">
        <v>0</v>
      </c>
      <c r="H178" s="381">
        <v>0</v>
      </c>
      <c r="I178" s="381">
        <v>0</v>
      </c>
      <c r="J178" s="381">
        <v>21458.592876641138</v>
      </c>
      <c r="K178" s="381">
        <v>21458.592876641138</v>
      </c>
      <c r="L178" s="381">
        <v>21458.592876641138</v>
      </c>
      <c r="M178" s="381">
        <v>0</v>
      </c>
      <c r="N178" s="381">
        <v>0</v>
      </c>
      <c r="O178" s="381">
        <v>0</v>
      </c>
      <c r="P178" s="381">
        <v>0</v>
      </c>
      <c r="Q178" s="381">
        <v>0</v>
      </c>
      <c r="R178" s="381">
        <v>0</v>
      </c>
      <c r="S178" s="381">
        <v>0</v>
      </c>
      <c r="T178" s="381">
        <v>0</v>
      </c>
      <c r="U178" s="381">
        <v>0</v>
      </c>
      <c r="V178" s="381">
        <v>0</v>
      </c>
      <c r="W178" s="381">
        <v>0</v>
      </c>
      <c r="X178" s="381">
        <v>0</v>
      </c>
      <c r="Y178" s="381">
        <v>0</v>
      </c>
      <c r="Z178" s="381">
        <v>0</v>
      </c>
      <c r="AA178" s="381">
        <v>0</v>
      </c>
      <c r="AB178" s="381">
        <v>0</v>
      </c>
      <c r="AC178" s="381">
        <v>0</v>
      </c>
      <c r="AD178" s="381">
        <v>0</v>
      </c>
      <c r="AE178" s="381">
        <v>0</v>
      </c>
      <c r="AF178" s="381">
        <v>0</v>
      </c>
      <c r="AG178" s="381">
        <v>0</v>
      </c>
      <c r="AH178" s="381">
        <v>0</v>
      </c>
      <c r="AI178" s="381">
        <v>0</v>
      </c>
      <c r="AJ178" s="381">
        <v>0</v>
      </c>
      <c r="AK178" s="381">
        <v>0</v>
      </c>
      <c r="AL178" s="381">
        <v>0</v>
      </c>
      <c r="AM178" s="381">
        <v>0</v>
      </c>
      <c r="AN178" s="381">
        <v>0</v>
      </c>
    </row>
    <row r="179" spans="1:40">
      <c r="A179" s="30" t="s">
        <v>44</v>
      </c>
      <c r="B179" t="s">
        <v>453</v>
      </c>
      <c r="C179" t="s">
        <v>392</v>
      </c>
      <c r="D179" t="str">
        <f t="shared" si="48"/>
        <v>Able to pay - Council tax variation by EPCEarly</v>
      </c>
      <c r="E179" s="381">
        <v>0</v>
      </c>
      <c r="F179" s="381">
        <v>0</v>
      </c>
      <c r="G179" s="381">
        <v>0</v>
      </c>
      <c r="H179" s="381">
        <v>2571.3750702388747</v>
      </c>
      <c r="I179" s="381">
        <v>2571.3750702388747</v>
      </c>
      <c r="J179" s="381">
        <v>2571.3750702388747</v>
      </c>
      <c r="K179" s="381">
        <v>2571.3750702388747</v>
      </c>
      <c r="L179" s="381">
        <v>2571.3750702388747</v>
      </c>
      <c r="M179" s="381">
        <v>0</v>
      </c>
      <c r="N179" s="381">
        <v>0</v>
      </c>
      <c r="O179" s="381">
        <v>0</v>
      </c>
      <c r="P179" s="381">
        <v>0</v>
      </c>
      <c r="Q179" s="381">
        <v>0</v>
      </c>
      <c r="R179" s="381">
        <v>0</v>
      </c>
      <c r="S179" s="381">
        <v>0</v>
      </c>
      <c r="T179" s="381">
        <v>0</v>
      </c>
      <c r="U179" s="381">
        <v>0</v>
      </c>
      <c r="V179" s="381">
        <v>0</v>
      </c>
      <c r="W179" s="381">
        <v>0</v>
      </c>
      <c r="X179" s="381">
        <v>0</v>
      </c>
      <c r="Y179" s="381">
        <v>0</v>
      </c>
      <c r="Z179" s="381">
        <v>0</v>
      </c>
      <c r="AA179" s="381">
        <v>0</v>
      </c>
      <c r="AB179" s="381">
        <v>0</v>
      </c>
      <c r="AC179" s="381">
        <v>0</v>
      </c>
      <c r="AD179" s="381">
        <v>0</v>
      </c>
      <c r="AE179" s="381">
        <v>0</v>
      </c>
      <c r="AF179" s="381">
        <v>0</v>
      </c>
      <c r="AG179" s="381">
        <v>0</v>
      </c>
      <c r="AH179" s="381">
        <v>0</v>
      </c>
      <c r="AI179" s="381">
        <v>0</v>
      </c>
      <c r="AJ179" s="381">
        <v>0</v>
      </c>
      <c r="AK179" s="381">
        <v>0</v>
      </c>
      <c r="AL179" s="381">
        <v>0</v>
      </c>
      <c r="AM179" s="381">
        <v>0</v>
      </c>
      <c r="AN179" s="381">
        <v>0</v>
      </c>
    </row>
    <row r="180" spans="1:40">
      <c r="A180" s="30" t="s">
        <v>44</v>
      </c>
      <c r="B180" t="s">
        <v>453</v>
      </c>
      <c r="C180" t="s">
        <v>393</v>
      </c>
      <c r="D180" t="str">
        <f t="shared" si="48"/>
        <v>Able to pay - Landlord MEES - EPC CEarly</v>
      </c>
      <c r="E180" s="381">
        <v>0</v>
      </c>
      <c r="F180" s="381">
        <v>0</v>
      </c>
      <c r="G180" s="381">
        <v>0</v>
      </c>
      <c r="H180" s="381">
        <v>0</v>
      </c>
      <c r="I180" s="381">
        <v>6491.6593703522194</v>
      </c>
      <c r="J180" s="381">
        <v>12983.318740704439</v>
      </c>
      <c r="K180" s="381">
        <v>19474.978111056658</v>
      </c>
      <c r="L180" s="381">
        <v>25966.637481408878</v>
      </c>
      <c r="M180" s="381">
        <v>32458.296851761097</v>
      </c>
      <c r="N180" s="381">
        <v>38949.956222113316</v>
      </c>
      <c r="O180" s="381">
        <v>38949.956222113316</v>
      </c>
      <c r="P180" s="381">
        <v>31159.964977690652</v>
      </c>
      <c r="Q180" s="381">
        <v>23369.973733267991</v>
      </c>
      <c r="R180" s="381">
        <v>15579.982488845329</v>
      </c>
      <c r="S180" s="381">
        <v>7789.9912444226647</v>
      </c>
      <c r="T180" s="381">
        <v>0</v>
      </c>
      <c r="U180" s="381">
        <v>0</v>
      </c>
      <c r="V180" s="381">
        <v>0</v>
      </c>
      <c r="W180" s="381">
        <v>0</v>
      </c>
      <c r="X180" s="381">
        <v>0</v>
      </c>
      <c r="Y180" s="381">
        <v>0</v>
      </c>
      <c r="Z180" s="381">
        <v>0</v>
      </c>
      <c r="AA180" s="381">
        <v>0</v>
      </c>
      <c r="AB180" s="381">
        <v>0</v>
      </c>
      <c r="AC180" s="381">
        <v>0</v>
      </c>
      <c r="AD180" s="381">
        <v>0</v>
      </c>
      <c r="AE180" s="381">
        <v>0</v>
      </c>
      <c r="AF180" s="381">
        <v>0</v>
      </c>
      <c r="AG180" s="381">
        <v>0</v>
      </c>
      <c r="AH180" s="381">
        <v>0</v>
      </c>
      <c r="AI180" s="381">
        <v>0</v>
      </c>
      <c r="AJ180" s="381">
        <v>0</v>
      </c>
      <c r="AK180" s="381">
        <v>0</v>
      </c>
      <c r="AL180" s="381">
        <v>0</v>
      </c>
      <c r="AM180" s="381">
        <v>0</v>
      </c>
      <c r="AN180" s="381">
        <v>0</v>
      </c>
    </row>
    <row r="181" spans="1:40">
      <c r="A181" s="30" t="s">
        <v>44</v>
      </c>
      <c r="B181" t="s">
        <v>453</v>
      </c>
      <c r="C181" t="s">
        <v>394</v>
      </c>
      <c r="D181" t="str">
        <f t="shared" si="48"/>
        <v>Able to pay - Stamp duty energy efficiency scalingEarly</v>
      </c>
      <c r="E181" s="381">
        <v>0</v>
      </c>
      <c r="F181" s="381">
        <v>0</v>
      </c>
      <c r="G181" s="381">
        <v>0</v>
      </c>
      <c r="H181" s="381">
        <v>0</v>
      </c>
      <c r="I181" s="381">
        <v>0</v>
      </c>
      <c r="J181" s="381">
        <v>8571.2502341295822</v>
      </c>
      <c r="K181" s="381">
        <v>8571.2502341295822</v>
      </c>
      <c r="L181" s="381">
        <v>8571.2502341295822</v>
      </c>
      <c r="M181" s="381">
        <v>8571.2502341295822</v>
      </c>
      <c r="N181" s="381">
        <v>8571.2502341295822</v>
      </c>
      <c r="O181" s="381">
        <v>8571.2502341295822</v>
      </c>
      <c r="P181" s="381">
        <v>8571.2502341295822</v>
      </c>
      <c r="Q181" s="381">
        <v>8571.2502341295822</v>
      </c>
      <c r="R181" s="381">
        <v>8571.2502341295822</v>
      </c>
      <c r="S181" s="381">
        <v>8571.2502341295822</v>
      </c>
      <c r="T181" s="381">
        <v>8571.2502341295822</v>
      </c>
      <c r="U181" s="381">
        <v>0</v>
      </c>
      <c r="V181" s="381">
        <v>0</v>
      </c>
      <c r="W181" s="381">
        <v>0</v>
      </c>
      <c r="X181" s="381">
        <v>0</v>
      </c>
      <c r="Y181" s="381">
        <v>0</v>
      </c>
      <c r="Z181" s="381">
        <v>0</v>
      </c>
      <c r="AA181" s="381">
        <v>0</v>
      </c>
      <c r="AB181" s="381">
        <v>0</v>
      </c>
      <c r="AC181" s="381">
        <v>0</v>
      </c>
      <c r="AD181" s="381">
        <v>0</v>
      </c>
      <c r="AE181" s="381">
        <v>0</v>
      </c>
      <c r="AF181" s="381">
        <v>0</v>
      </c>
      <c r="AG181" s="381">
        <v>0</v>
      </c>
      <c r="AH181" s="381">
        <v>0</v>
      </c>
      <c r="AI181" s="381">
        <v>0</v>
      </c>
      <c r="AJ181" s="381">
        <v>0</v>
      </c>
      <c r="AK181" s="381">
        <v>0</v>
      </c>
      <c r="AL181" s="381">
        <v>0</v>
      </c>
      <c r="AM181" s="381">
        <v>0</v>
      </c>
      <c r="AN181" s="381">
        <v>0</v>
      </c>
    </row>
    <row r="182" spans="1:40">
      <c r="A182" s="30" t="s">
        <v>44</v>
      </c>
      <c r="B182" t="s">
        <v>453</v>
      </c>
      <c r="C182" t="s">
        <v>395</v>
      </c>
      <c r="D182" t="str">
        <f t="shared" si="48"/>
        <v>Able to pay - Extended Energy LeapEarly</v>
      </c>
      <c r="E182" s="381">
        <v>0</v>
      </c>
      <c r="F182" s="381">
        <v>0</v>
      </c>
      <c r="G182" s="381">
        <v>0</v>
      </c>
      <c r="H182" s="381">
        <v>0</v>
      </c>
      <c r="I182" s="381">
        <v>0</v>
      </c>
      <c r="J182" s="381">
        <v>1687.2524179462703</v>
      </c>
      <c r="K182" s="381">
        <v>3374.5048358925405</v>
      </c>
      <c r="L182" s="381">
        <v>5061.7572538388113</v>
      </c>
      <c r="M182" s="381">
        <v>6749.0096717850811</v>
      </c>
      <c r="N182" s="381">
        <v>8436.26208973135</v>
      </c>
      <c r="O182" s="381">
        <v>10123.514507677623</v>
      </c>
      <c r="P182" s="381">
        <v>11810.766925623891</v>
      </c>
      <c r="Q182" s="381">
        <v>13498.019343570162</v>
      </c>
      <c r="R182" s="381">
        <v>15185.271761516433</v>
      </c>
      <c r="S182" s="381">
        <v>16872.5241794627</v>
      </c>
      <c r="T182" s="381">
        <v>16872.5241794627</v>
      </c>
      <c r="U182" s="381">
        <v>16872.5241794627</v>
      </c>
      <c r="V182" s="381">
        <v>16872.5241794627</v>
      </c>
      <c r="W182" s="381">
        <v>0</v>
      </c>
      <c r="X182" s="381">
        <v>0</v>
      </c>
      <c r="Y182" s="381">
        <v>0</v>
      </c>
      <c r="Z182" s="381">
        <v>0</v>
      </c>
      <c r="AA182" s="381">
        <v>0</v>
      </c>
      <c r="AB182" s="381">
        <v>0</v>
      </c>
      <c r="AC182" s="381">
        <v>0</v>
      </c>
      <c r="AD182" s="381">
        <v>0</v>
      </c>
      <c r="AE182" s="381">
        <v>0</v>
      </c>
      <c r="AF182" s="381">
        <v>0</v>
      </c>
      <c r="AG182" s="381">
        <v>0</v>
      </c>
      <c r="AH182" s="381">
        <v>0</v>
      </c>
      <c r="AI182" s="381">
        <v>0</v>
      </c>
      <c r="AJ182" s="381">
        <v>0</v>
      </c>
      <c r="AK182" s="381">
        <v>0</v>
      </c>
      <c r="AL182" s="381">
        <v>0</v>
      </c>
      <c r="AM182" s="381">
        <v>0</v>
      </c>
      <c r="AN182" s="381">
        <v>0</v>
      </c>
    </row>
    <row r="183" spans="1:40">
      <c r="A183" s="30" t="s">
        <v>44</v>
      </c>
      <c r="B183" t="s">
        <v>453</v>
      </c>
      <c r="C183" t="s">
        <v>396</v>
      </c>
      <c r="D183" t="str">
        <f t="shared" si="48"/>
        <v>Able to pay - All buildings MEES - EPC CEarly</v>
      </c>
      <c r="E183" s="381">
        <v>0</v>
      </c>
      <c r="F183" s="381">
        <v>0</v>
      </c>
      <c r="G183" s="381">
        <v>0</v>
      </c>
      <c r="H183" s="381">
        <v>0</v>
      </c>
      <c r="I183" s="381">
        <v>0</v>
      </c>
      <c r="J183" s="381">
        <v>0</v>
      </c>
      <c r="K183" s="381">
        <v>6950.3219252480185</v>
      </c>
      <c r="L183" s="381">
        <v>13900.643850496037</v>
      </c>
      <c r="M183" s="381">
        <v>20850.965775744058</v>
      </c>
      <c r="N183" s="381">
        <v>27801.287700992074</v>
      </c>
      <c r="O183" s="381">
        <v>27801.287700992074</v>
      </c>
      <c r="P183" s="381">
        <v>27801.287700992074</v>
      </c>
      <c r="Q183" s="381">
        <v>27801.287700992074</v>
      </c>
      <c r="R183" s="381">
        <v>27801.287700992074</v>
      </c>
      <c r="S183" s="381">
        <v>27801.287700992074</v>
      </c>
      <c r="T183" s="381">
        <v>0</v>
      </c>
      <c r="U183" s="381">
        <v>0</v>
      </c>
      <c r="V183" s="381">
        <v>0</v>
      </c>
      <c r="W183" s="381">
        <v>0</v>
      </c>
      <c r="X183" s="381">
        <v>0</v>
      </c>
      <c r="Y183" s="381">
        <v>0</v>
      </c>
      <c r="Z183" s="381">
        <v>0</v>
      </c>
      <c r="AA183" s="381">
        <v>0</v>
      </c>
      <c r="AB183" s="381">
        <v>0</v>
      </c>
      <c r="AC183" s="381">
        <v>0</v>
      </c>
      <c r="AD183" s="381">
        <v>0</v>
      </c>
      <c r="AE183" s="381">
        <v>0</v>
      </c>
      <c r="AF183" s="381">
        <v>0</v>
      </c>
      <c r="AG183" s="381">
        <v>0</v>
      </c>
      <c r="AH183" s="381">
        <v>0</v>
      </c>
      <c r="AI183" s="381">
        <v>0</v>
      </c>
      <c r="AJ183" s="381">
        <v>0</v>
      </c>
      <c r="AK183" s="381">
        <v>0</v>
      </c>
      <c r="AL183" s="381">
        <v>0</v>
      </c>
      <c r="AM183" s="381">
        <v>0</v>
      </c>
      <c r="AN183" s="381">
        <v>0</v>
      </c>
    </row>
    <row r="184" spans="1:40">
      <c r="A184" s="30" t="s">
        <v>44</v>
      </c>
      <c r="B184" t="s">
        <v>453</v>
      </c>
      <c r="C184" t="s">
        <v>398</v>
      </c>
      <c r="D184" t="str">
        <f t="shared" si="48"/>
        <v>Existing - Domestic ALL - Mandate on lighting efficiencyEarly</v>
      </c>
      <c r="E184" s="80"/>
      <c r="F184" s="106"/>
      <c r="G184" s="106"/>
      <c r="H184" s="106"/>
      <c r="I184" s="106"/>
      <c r="J184" s="106"/>
      <c r="K184" s="106"/>
      <c r="L184" s="106"/>
      <c r="M184" s="106"/>
      <c r="N184" s="106"/>
      <c r="O184" s="80"/>
      <c r="P184" s="106"/>
      <c r="Q184" s="106"/>
      <c r="R184" s="106"/>
      <c r="S184" s="106"/>
      <c r="T184" s="106"/>
      <c r="U184" s="106"/>
      <c r="V184" s="106"/>
      <c r="W184" s="106"/>
      <c r="X184" s="106"/>
      <c r="Y184" s="106"/>
      <c r="Z184" s="106"/>
      <c r="AA184" s="106"/>
      <c r="AB184" s="106"/>
      <c r="AC184" s="106"/>
      <c r="AD184" s="106"/>
      <c r="AE184" s="106"/>
      <c r="AF184" s="106"/>
      <c r="AG184" s="106"/>
      <c r="AH184" s="106"/>
      <c r="AI184" s="106"/>
      <c r="AJ184" s="106"/>
      <c r="AK184" s="106"/>
      <c r="AL184" s="106"/>
      <c r="AM184" s="106"/>
      <c r="AN184" s="80"/>
    </row>
    <row r="185" spans="1:40">
      <c r="A185" s="30" t="s">
        <v>44</v>
      </c>
      <c r="B185" t="s">
        <v>453</v>
      </c>
      <c r="C185" t="s">
        <v>399</v>
      </c>
      <c r="D185" t="str">
        <f t="shared" si="48"/>
        <v>Existing - Domestic ALL - Mandate on appliance efficiencyEarly</v>
      </c>
      <c r="E185" s="80"/>
      <c r="F185" s="106"/>
      <c r="G185" s="106"/>
      <c r="H185" s="106"/>
      <c r="I185" s="106"/>
      <c r="J185" s="106"/>
      <c r="K185" s="106"/>
      <c r="L185" s="106"/>
      <c r="M185" s="106"/>
      <c r="N185" s="106"/>
      <c r="O185" s="80"/>
      <c r="P185" s="106"/>
      <c r="Q185" s="106"/>
      <c r="R185" s="106"/>
      <c r="S185" s="106"/>
      <c r="T185" s="106"/>
      <c r="U185" s="106"/>
      <c r="V185" s="106"/>
      <c r="W185" s="106"/>
      <c r="X185" s="106"/>
      <c r="Y185" s="106"/>
      <c r="Z185" s="106"/>
      <c r="AA185" s="106"/>
      <c r="AB185" s="106"/>
      <c r="AC185" s="106"/>
      <c r="AD185" s="106"/>
      <c r="AE185" s="106"/>
      <c r="AF185" s="106"/>
      <c r="AG185" s="106"/>
      <c r="AH185" s="106"/>
      <c r="AI185" s="106"/>
      <c r="AJ185" s="106"/>
      <c r="AK185" s="106"/>
      <c r="AL185" s="106"/>
      <c r="AM185" s="106"/>
      <c r="AN185" s="80"/>
    </row>
    <row r="186" spans="1:40">
      <c r="A186" s="30" t="s">
        <v>44</v>
      </c>
      <c r="B186" t="s">
        <v>453</v>
      </c>
      <c r="C186" t="s">
        <v>400</v>
      </c>
      <c r="D186" t="str">
        <f t="shared" si="48"/>
        <v>New - Domestic ALL - Mandate on lighting efficiencyEarly</v>
      </c>
      <c r="E186" s="80">
        <v>0</v>
      </c>
      <c r="F186" s="106">
        <v>71977.11975266278</v>
      </c>
      <c r="G186" s="106">
        <v>71977.11975266278</v>
      </c>
      <c r="H186" s="106">
        <v>71977.11975266278</v>
      </c>
      <c r="I186" s="106">
        <v>659888.25975266285</v>
      </c>
      <c r="J186" s="106">
        <v>1247799.3997526627</v>
      </c>
      <c r="K186" s="106">
        <v>1236738.1387633092</v>
      </c>
      <c r="L186" s="106">
        <v>60915.858763309036</v>
      </c>
      <c r="M186" s="106">
        <v>60915.858763309036</v>
      </c>
      <c r="N186" s="106">
        <v>60915.858763309036</v>
      </c>
      <c r="O186" s="80">
        <v>60915.858763309545</v>
      </c>
      <c r="P186" s="106">
        <v>49314.627010641634</v>
      </c>
      <c r="Q186" s="106">
        <v>49314.627010641634</v>
      </c>
      <c r="R186" s="106">
        <v>49314.627010641634</v>
      </c>
      <c r="S186" s="106">
        <v>49314.627010641634</v>
      </c>
      <c r="T186" s="106">
        <v>49314.62701064159</v>
      </c>
      <c r="U186" s="106">
        <v>22733.44457142887</v>
      </c>
      <c r="V186" s="106">
        <v>22733.444571428765</v>
      </c>
      <c r="W186" s="106">
        <v>22733.444571428765</v>
      </c>
      <c r="X186" s="106">
        <v>22733.444571428765</v>
      </c>
      <c r="Y186" s="106">
        <v>22733.444571428765</v>
      </c>
      <c r="Z186" s="106">
        <v>22733.444571428765</v>
      </c>
      <c r="AA186" s="106">
        <v>22733.444571428765</v>
      </c>
      <c r="AB186" s="106">
        <v>22733.444571428765</v>
      </c>
      <c r="AC186" s="106">
        <v>22733.444571428765</v>
      </c>
      <c r="AD186" s="106">
        <v>22733.444571430729</v>
      </c>
      <c r="AE186" s="106">
        <v>22733.444571429187</v>
      </c>
      <c r="AF186" s="106">
        <v>22733.444571429391</v>
      </c>
      <c r="AG186" s="106">
        <v>22733.444571429391</v>
      </c>
      <c r="AH186" s="106">
        <v>22733.444571429391</v>
      </c>
      <c r="AI186" s="106">
        <v>22733.444571429391</v>
      </c>
      <c r="AJ186" s="106">
        <v>22733.444571429391</v>
      </c>
      <c r="AK186" s="106">
        <v>22733.444571429391</v>
      </c>
      <c r="AL186" s="106">
        <v>22733.444571429391</v>
      </c>
      <c r="AM186" s="106">
        <v>22733.444571429391</v>
      </c>
      <c r="AN186" s="80">
        <v>22733.444571427295</v>
      </c>
    </row>
    <row r="187" spans="1:40">
      <c r="A187" s="30" t="s">
        <v>44</v>
      </c>
      <c r="B187" t="s">
        <v>453</v>
      </c>
      <c r="C187" t="s">
        <v>401</v>
      </c>
      <c r="D187" t="str">
        <f t="shared" si="48"/>
        <v>New - Domestic ALL - Mandate on appliance efficiencyEarly</v>
      </c>
      <c r="E187" s="381">
        <v>0</v>
      </c>
      <c r="F187" s="381">
        <v>71977.11975266278</v>
      </c>
      <c r="G187" s="381">
        <v>71977.11975266278</v>
      </c>
      <c r="H187" s="381">
        <v>71977.11975266278</v>
      </c>
      <c r="I187" s="381">
        <v>110153.16780461083</v>
      </c>
      <c r="J187" s="381">
        <v>148329.21585655867</v>
      </c>
      <c r="K187" s="381">
        <v>175444.00291915319</v>
      </c>
      <c r="L187" s="381">
        <v>213620.05097110121</v>
      </c>
      <c r="M187" s="381">
        <v>251796.09902304929</v>
      </c>
      <c r="N187" s="381">
        <v>289972.14707499737</v>
      </c>
      <c r="O187" s="381">
        <v>328148.19512694591</v>
      </c>
      <c r="P187" s="381">
        <v>298731.47428336891</v>
      </c>
      <c r="Q187" s="381">
        <v>280915.98519245983</v>
      </c>
      <c r="R187" s="381">
        <v>263100.49610155076</v>
      </c>
      <c r="S187" s="381">
        <v>245285.00701064168</v>
      </c>
      <c r="T187" s="381">
        <v>227469.51791973252</v>
      </c>
      <c r="U187" s="381">
        <v>183072.84638961067</v>
      </c>
      <c r="V187" s="381">
        <v>165257.35729870148</v>
      </c>
      <c r="W187" s="381">
        <v>147441.8682077924</v>
      </c>
      <c r="X187" s="381">
        <v>129626.37911688333</v>
      </c>
      <c r="Y187" s="381">
        <v>111810.89002597422</v>
      </c>
      <c r="Z187" s="381">
        <v>93995.400935065118</v>
      </c>
      <c r="AA187" s="381">
        <v>76179.911844156042</v>
      </c>
      <c r="AB187" s="381">
        <v>58364.422753246959</v>
      </c>
      <c r="AC187" s="381">
        <v>40548.933662337855</v>
      </c>
      <c r="AD187" s="381">
        <v>22733.444571430733</v>
      </c>
      <c r="AE187" s="381">
        <v>22733.444571429187</v>
      </c>
      <c r="AF187" s="381">
        <v>22733.444571429391</v>
      </c>
      <c r="AG187" s="381">
        <v>22733.444571429391</v>
      </c>
      <c r="AH187" s="381">
        <v>22733.444571429391</v>
      </c>
      <c r="AI187" s="381">
        <v>22733.444571429391</v>
      </c>
      <c r="AJ187" s="381">
        <v>22733.444571429391</v>
      </c>
      <c r="AK187" s="381">
        <v>22733.444571429391</v>
      </c>
      <c r="AL187" s="381">
        <v>22733.444571429391</v>
      </c>
      <c r="AM187" s="381">
        <v>22733.444571429391</v>
      </c>
      <c r="AN187" s="381">
        <v>22733.444571427295</v>
      </c>
    </row>
    <row r="188" spans="1:40">
      <c r="A188" s="30" t="s">
        <v>44</v>
      </c>
      <c r="B188" t="s">
        <v>453</v>
      </c>
      <c r="C188" t="s">
        <v>402</v>
      </c>
      <c r="D188" t="str">
        <f t="shared" si="48"/>
        <v>New - Domestic ALL - Stronger planning requirement for smart controls  Early</v>
      </c>
      <c r="E188" s="381">
        <v>0</v>
      </c>
      <c r="F188" s="381">
        <v>33739.27488406068</v>
      </c>
      <c r="G188" s="381">
        <v>33739.27488406068</v>
      </c>
      <c r="H188" s="381">
        <v>33739.27488406068</v>
      </c>
      <c r="I188" s="381">
        <v>33739.27488406068</v>
      </c>
      <c r="J188" s="381">
        <v>33739.274884060578</v>
      </c>
      <c r="K188" s="381">
        <v>28554.308795301105</v>
      </c>
      <c r="L188" s="381">
        <v>28554.308795301105</v>
      </c>
      <c r="M188" s="381">
        <v>28554.308795301105</v>
      </c>
      <c r="N188" s="381">
        <v>28554.308795301105</v>
      </c>
      <c r="O188" s="381">
        <v>28554.308795301349</v>
      </c>
      <c r="P188" s="381">
        <v>23116.23141123827</v>
      </c>
      <c r="Q188" s="381">
        <v>23116.23141123827</v>
      </c>
      <c r="R188" s="381">
        <v>23116.23141123827</v>
      </c>
      <c r="S188" s="381">
        <v>23116.23141123827</v>
      </c>
      <c r="T188" s="381">
        <v>23116.231411238245</v>
      </c>
      <c r="U188" s="381">
        <v>10656.302142857283</v>
      </c>
      <c r="V188" s="381">
        <v>10656.302142857232</v>
      </c>
      <c r="W188" s="381">
        <v>10656.302142857232</v>
      </c>
      <c r="X188" s="381">
        <v>10656.302142857232</v>
      </c>
      <c r="Y188" s="381">
        <v>10656.302142857232</v>
      </c>
      <c r="Z188" s="381">
        <v>10656.302142857232</v>
      </c>
      <c r="AA188" s="381">
        <v>10656.302142857232</v>
      </c>
      <c r="AB188" s="381">
        <v>10656.302142857232</v>
      </c>
      <c r="AC188" s="381">
        <v>10656.302142857232</v>
      </c>
      <c r="AD188" s="381">
        <v>10656.302142858154</v>
      </c>
      <c r="AE188" s="381">
        <v>10656.302142857428</v>
      </c>
      <c r="AF188" s="381">
        <v>10656.302142857527</v>
      </c>
      <c r="AG188" s="381">
        <v>10656.302142857527</v>
      </c>
      <c r="AH188" s="381">
        <v>10656.302142857527</v>
      </c>
      <c r="AI188" s="381">
        <v>10656.302142857527</v>
      </c>
      <c r="AJ188" s="381">
        <v>10656.302142857527</v>
      </c>
      <c r="AK188" s="381">
        <v>10656.302142857527</v>
      </c>
      <c r="AL188" s="381">
        <v>10656.302142857527</v>
      </c>
      <c r="AM188" s="381">
        <v>10656.302142857527</v>
      </c>
      <c r="AN188" s="381">
        <v>10656.302142856544</v>
      </c>
    </row>
    <row r="189" spans="1:40">
      <c r="A189" s="30" t="s">
        <v>44</v>
      </c>
      <c r="B189" t="s">
        <v>453</v>
      </c>
      <c r="C189" t="s">
        <v>406</v>
      </c>
      <c r="D189" t="str">
        <f t="shared" si="48"/>
        <v>SME - Energy efficiency programmeEarly</v>
      </c>
      <c r="E189" s="381">
        <v>0</v>
      </c>
      <c r="F189" s="381">
        <v>0</v>
      </c>
      <c r="G189" s="381">
        <v>0</v>
      </c>
      <c r="H189" s="381">
        <v>0</v>
      </c>
      <c r="I189" s="381">
        <v>0</v>
      </c>
      <c r="J189" s="381">
        <v>869.87633959675736</v>
      </c>
      <c r="K189" s="381">
        <v>869.87633959675736</v>
      </c>
      <c r="L189" s="381">
        <v>869.87633959675736</v>
      </c>
      <c r="M189" s="381">
        <v>869.87633959675736</v>
      </c>
      <c r="N189" s="381">
        <v>830.33650597872293</v>
      </c>
      <c r="O189" s="381">
        <v>790.79667236068849</v>
      </c>
      <c r="P189" s="381">
        <v>751.25683874265405</v>
      </c>
      <c r="Q189" s="381">
        <v>711.71700512461962</v>
      </c>
      <c r="R189" s="381">
        <v>672.17717150658518</v>
      </c>
      <c r="S189" s="381">
        <v>632.63733788855075</v>
      </c>
      <c r="T189" s="381">
        <v>593.09750427051631</v>
      </c>
      <c r="U189" s="381">
        <v>553.55767065248199</v>
      </c>
      <c r="V189" s="381">
        <v>514.01783703444744</v>
      </c>
      <c r="W189" s="381">
        <v>474.47800341641312</v>
      </c>
      <c r="X189" s="381">
        <v>434.93816979837868</v>
      </c>
      <c r="Y189" s="381">
        <v>395.39833618034424</v>
      </c>
      <c r="Z189" s="381">
        <v>355.85850256230981</v>
      </c>
      <c r="AA189" s="381">
        <v>316.31866894427543</v>
      </c>
      <c r="AB189" s="381">
        <v>276.77883532624099</v>
      </c>
      <c r="AC189" s="381">
        <v>237.23900170820656</v>
      </c>
      <c r="AD189" s="381">
        <v>197.69916809017212</v>
      </c>
      <c r="AE189" s="381">
        <v>158.15933447213769</v>
      </c>
      <c r="AF189" s="381">
        <v>118.61950085410331</v>
      </c>
      <c r="AG189" s="381">
        <v>79.079667236068872</v>
      </c>
      <c r="AH189" s="381">
        <v>39.539833618034436</v>
      </c>
      <c r="AI189" s="381">
        <v>0</v>
      </c>
      <c r="AJ189" s="381">
        <v>0</v>
      </c>
      <c r="AK189" s="381">
        <v>0</v>
      </c>
      <c r="AL189" s="381">
        <v>0</v>
      </c>
      <c r="AM189" s="381">
        <v>0</v>
      </c>
      <c r="AN189" s="381">
        <v>0</v>
      </c>
    </row>
    <row r="190" spans="1:40">
      <c r="A190" s="30" t="s">
        <v>44</v>
      </c>
      <c r="B190" t="s">
        <v>453</v>
      </c>
      <c r="C190" t="s">
        <v>407</v>
      </c>
      <c r="D190" t="str">
        <f t="shared" si="48"/>
        <v>SME - Landlord MEES – EPC CEarly</v>
      </c>
      <c r="E190" s="381">
        <v>0</v>
      </c>
      <c r="F190" s="381">
        <v>0</v>
      </c>
      <c r="G190" s="381">
        <v>0</v>
      </c>
      <c r="H190" s="381">
        <v>0</v>
      </c>
      <c r="I190" s="381">
        <v>1760.4429696825575</v>
      </c>
      <c r="J190" s="381">
        <v>3520.8859393651151</v>
      </c>
      <c r="K190" s="381">
        <v>3520.8859393651151</v>
      </c>
      <c r="L190" s="381">
        <v>3520.8859393651151</v>
      </c>
      <c r="M190" s="381">
        <v>3520.8859393651151</v>
      </c>
      <c r="N190" s="381">
        <v>3520.8859393651151</v>
      </c>
      <c r="O190" s="381">
        <v>3520.8859393651151</v>
      </c>
      <c r="P190" s="381">
        <v>2816.7087514920922</v>
      </c>
      <c r="Q190" s="381">
        <v>2112.5315636190689</v>
      </c>
      <c r="R190" s="381">
        <v>1408.3543757460461</v>
      </c>
      <c r="S190" s="381">
        <v>704.17718787302283</v>
      </c>
      <c r="T190" s="381">
        <v>-4.5474735088646412E-13</v>
      </c>
      <c r="U190" s="381">
        <v>0</v>
      </c>
      <c r="V190" s="381">
        <v>0</v>
      </c>
      <c r="W190" s="381">
        <v>0</v>
      </c>
      <c r="X190" s="381">
        <v>0</v>
      </c>
      <c r="Y190" s="381">
        <v>0</v>
      </c>
      <c r="Z190" s="381">
        <v>0</v>
      </c>
      <c r="AA190" s="381">
        <v>0</v>
      </c>
      <c r="AB190" s="381">
        <v>0</v>
      </c>
      <c r="AC190" s="381">
        <v>0</v>
      </c>
      <c r="AD190" s="381">
        <v>0</v>
      </c>
      <c r="AE190" s="381">
        <v>0</v>
      </c>
      <c r="AF190" s="381">
        <v>0</v>
      </c>
      <c r="AG190" s="381">
        <v>0</v>
      </c>
      <c r="AH190" s="381">
        <v>0</v>
      </c>
      <c r="AI190" s="381">
        <v>0</v>
      </c>
      <c r="AJ190" s="381">
        <v>0</v>
      </c>
      <c r="AK190" s="381">
        <v>0</v>
      </c>
      <c r="AL190" s="381">
        <v>0</v>
      </c>
      <c r="AM190" s="381">
        <v>0</v>
      </c>
      <c r="AN190" s="381">
        <v>0</v>
      </c>
    </row>
    <row r="191" spans="1:40">
      <c r="A191" s="30" t="s">
        <v>44</v>
      </c>
      <c r="B191" t="s">
        <v>453</v>
      </c>
      <c r="C191" t="s">
        <v>408</v>
      </c>
      <c r="D191" t="str">
        <f t="shared" si="48"/>
        <v>SME - Energy performance tax grading – business ratesEarly</v>
      </c>
      <c r="E191" s="381">
        <v>0</v>
      </c>
      <c r="F191" s="381">
        <v>0</v>
      </c>
      <c r="G191" s="381">
        <v>0</v>
      </c>
      <c r="H191" s="381">
        <v>0</v>
      </c>
      <c r="I191" s="381">
        <v>151.80386033750349</v>
      </c>
      <c r="J191" s="381">
        <v>151.80386033750349</v>
      </c>
      <c r="K191" s="381">
        <v>151.80386033750349</v>
      </c>
      <c r="L191" s="381">
        <v>151.80386033750349</v>
      </c>
      <c r="M191" s="381">
        <v>0</v>
      </c>
      <c r="N191" s="381">
        <v>0</v>
      </c>
      <c r="O191" s="381">
        <v>0</v>
      </c>
      <c r="P191" s="381">
        <v>0</v>
      </c>
      <c r="Q191" s="381">
        <v>0</v>
      </c>
      <c r="R191" s="381">
        <v>0</v>
      </c>
      <c r="S191" s="381">
        <v>0</v>
      </c>
      <c r="T191" s="381">
        <v>0</v>
      </c>
      <c r="U191" s="381">
        <v>0</v>
      </c>
      <c r="V191" s="381">
        <v>0</v>
      </c>
      <c r="W191" s="381">
        <v>0</v>
      </c>
      <c r="X191" s="381">
        <v>0</v>
      </c>
      <c r="Y191" s="381">
        <v>0</v>
      </c>
      <c r="Z191" s="381">
        <v>0</v>
      </c>
      <c r="AA191" s="381">
        <v>0</v>
      </c>
      <c r="AB191" s="381">
        <v>0</v>
      </c>
      <c r="AC191" s="381">
        <v>0</v>
      </c>
      <c r="AD191" s="381">
        <v>0</v>
      </c>
      <c r="AE191" s="381">
        <v>0</v>
      </c>
      <c r="AF191" s="381">
        <v>0</v>
      </c>
      <c r="AG191" s="381">
        <v>0</v>
      </c>
      <c r="AH191" s="381">
        <v>0</v>
      </c>
      <c r="AI191" s="381">
        <v>0</v>
      </c>
      <c r="AJ191" s="381">
        <v>0</v>
      </c>
      <c r="AK191" s="381">
        <v>0</v>
      </c>
      <c r="AL191" s="381">
        <v>0</v>
      </c>
      <c r="AM191" s="381">
        <v>0</v>
      </c>
      <c r="AN191" s="381">
        <v>0</v>
      </c>
    </row>
    <row r="192" spans="1:40">
      <c r="A192" s="30" t="s">
        <v>44</v>
      </c>
      <c r="B192" t="s">
        <v>453</v>
      </c>
      <c r="C192" t="s">
        <v>409</v>
      </c>
      <c r="D192" t="str">
        <f t="shared" si="48"/>
        <v>SME - All buildings MEES – EPC CEarly</v>
      </c>
      <c r="E192" s="381">
        <v>0</v>
      </c>
      <c r="F192" s="381">
        <v>0</v>
      </c>
      <c r="G192" s="381">
        <v>0</v>
      </c>
      <c r="H192" s="381">
        <v>0</v>
      </c>
      <c r="I192" s="381">
        <v>0</v>
      </c>
      <c r="J192" s="381">
        <v>0</v>
      </c>
      <c r="K192" s="381">
        <v>347.3333889364099</v>
      </c>
      <c r="L192" s="381">
        <v>694.66677787281981</v>
      </c>
      <c r="M192" s="381">
        <v>1042.0001668092298</v>
      </c>
      <c r="N192" s="381">
        <v>1389.3335557456396</v>
      </c>
      <c r="O192" s="381">
        <v>1389.3335557456396</v>
      </c>
      <c r="P192" s="381">
        <v>1389.3335557456396</v>
      </c>
      <c r="Q192" s="381">
        <v>1389.3335557456396</v>
      </c>
      <c r="R192" s="381">
        <v>1389.3335557456396</v>
      </c>
      <c r="S192" s="381">
        <v>1389.3335557456396</v>
      </c>
      <c r="T192" s="381">
        <v>0</v>
      </c>
      <c r="U192" s="381">
        <v>0</v>
      </c>
      <c r="V192" s="381">
        <v>0</v>
      </c>
      <c r="W192" s="381">
        <v>0</v>
      </c>
      <c r="X192" s="381">
        <v>0</v>
      </c>
      <c r="Y192" s="381">
        <v>0</v>
      </c>
      <c r="Z192" s="381">
        <v>0</v>
      </c>
      <c r="AA192" s="381">
        <v>0</v>
      </c>
      <c r="AB192" s="381">
        <v>0</v>
      </c>
      <c r="AC192" s="381">
        <v>0</v>
      </c>
      <c r="AD192" s="381">
        <v>0</v>
      </c>
      <c r="AE192" s="381">
        <v>0</v>
      </c>
      <c r="AF192" s="381">
        <v>0</v>
      </c>
      <c r="AG192" s="381">
        <v>0</v>
      </c>
      <c r="AH192" s="381">
        <v>0</v>
      </c>
      <c r="AI192" s="381">
        <v>0</v>
      </c>
      <c r="AJ192" s="381">
        <v>0</v>
      </c>
      <c r="AK192" s="381">
        <v>0</v>
      </c>
      <c r="AL192" s="381">
        <v>0</v>
      </c>
      <c r="AM192" s="381">
        <v>0</v>
      </c>
      <c r="AN192" s="381">
        <v>0</v>
      </c>
    </row>
    <row r="193" spans="1:40">
      <c r="A193" s="30" t="s">
        <v>44</v>
      </c>
      <c r="B193" t="s">
        <v>453</v>
      </c>
      <c r="C193" t="s">
        <v>410</v>
      </c>
      <c r="D193" t="str">
        <f t="shared" si="48"/>
        <v>Large Enterprise - Landlord MEES – EPC CEarly</v>
      </c>
      <c r="E193" s="80">
        <v>0</v>
      </c>
      <c r="F193" s="106">
        <v>0</v>
      </c>
      <c r="G193" s="106">
        <v>0</v>
      </c>
      <c r="H193" s="106">
        <v>0</v>
      </c>
      <c r="I193" s="106">
        <v>1617.224690215827</v>
      </c>
      <c r="J193" s="106">
        <v>3234.4493804316539</v>
      </c>
      <c r="K193" s="106">
        <v>3234.4493804316539</v>
      </c>
      <c r="L193" s="106">
        <v>3234.4493804316539</v>
      </c>
      <c r="M193" s="106">
        <v>3234.4493804316539</v>
      </c>
      <c r="N193" s="106">
        <v>3234.4493804316539</v>
      </c>
      <c r="O193" s="80">
        <v>3234.4493804316539</v>
      </c>
      <c r="P193" s="106">
        <v>2587.5595043453231</v>
      </c>
      <c r="Q193" s="106">
        <v>1940.6696282589924</v>
      </c>
      <c r="R193" s="106">
        <v>1293.7797521726616</v>
      </c>
      <c r="S193" s="106">
        <v>646.88987608633079</v>
      </c>
      <c r="T193" s="106">
        <v>0</v>
      </c>
      <c r="U193" s="106">
        <v>0</v>
      </c>
      <c r="V193" s="106">
        <v>0</v>
      </c>
      <c r="W193" s="106">
        <v>0</v>
      </c>
      <c r="X193" s="106">
        <v>0</v>
      </c>
      <c r="Y193" s="106">
        <v>0</v>
      </c>
      <c r="Z193" s="106">
        <v>0</v>
      </c>
      <c r="AA193" s="106">
        <v>0</v>
      </c>
      <c r="AB193" s="106">
        <v>0</v>
      </c>
      <c r="AC193" s="106">
        <v>0</v>
      </c>
      <c r="AD193" s="106">
        <v>0</v>
      </c>
      <c r="AE193" s="106">
        <v>0</v>
      </c>
      <c r="AF193" s="106">
        <v>0</v>
      </c>
      <c r="AG193" s="106">
        <v>0</v>
      </c>
      <c r="AH193" s="106">
        <v>0</v>
      </c>
      <c r="AI193" s="106">
        <v>0</v>
      </c>
      <c r="AJ193" s="106">
        <v>0</v>
      </c>
      <c r="AK193" s="106">
        <v>0</v>
      </c>
      <c r="AL193" s="106">
        <v>0</v>
      </c>
      <c r="AM193" s="106">
        <v>0</v>
      </c>
      <c r="AN193" s="80">
        <v>0</v>
      </c>
    </row>
    <row r="194" spans="1:40">
      <c r="A194" s="30" t="s">
        <v>44</v>
      </c>
      <c r="B194" t="s">
        <v>453</v>
      </c>
      <c r="C194" t="s">
        <v>411</v>
      </c>
      <c r="D194" t="str">
        <f t="shared" si="48"/>
        <v>Large Enterprise - Energy performance tax grading – business ratesEarly</v>
      </c>
      <c r="E194" s="80">
        <v>0</v>
      </c>
      <c r="F194" s="106">
        <v>0</v>
      </c>
      <c r="G194" s="106">
        <v>0</v>
      </c>
      <c r="H194" s="106">
        <v>102.02169715610641</v>
      </c>
      <c r="I194" s="106">
        <v>102.02169715610641</v>
      </c>
      <c r="J194" s="106">
        <v>102.02169715610641</v>
      </c>
      <c r="K194" s="106">
        <v>102.02169715610641</v>
      </c>
      <c r="L194" s="106">
        <v>102.02169715610641</v>
      </c>
      <c r="M194" s="106">
        <v>0</v>
      </c>
      <c r="N194" s="106">
        <v>0</v>
      </c>
      <c r="O194" s="80">
        <v>0</v>
      </c>
      <c r="P194" s="106">
        <v>0</v>
      </c>
      <c r="Q194" s="106">
        <v>0</v>
      </c>
      <c r="R194" s="106">
        <v>0</v>
      </c>
      <c r="S194" s="106">
        <v>0</v>
      </c>
      <c r="T194" s="106">
        <v>0</v>
      </c>
      <c r="U194" s="106">
        <v>0</v>
      </c>
      <c r="V194" s="106">
        <v>0</v>
      </c>
      <c r="W194" s="106">
        <v>0</v>
      </c>
      <c r="X194" s="106">
        <v>0</v>
      </c>
      <c r="Y194" s="106">
        <v>0</v>
      </c>
      <c r="Z194" s="106">
        <v>0</v>
      </c>
      <c r="AA194" s="106">
        <v>0</v>
      </c>
      <c r="AB194" s="106">
        <v>0</v>
      </c>
      <c r="AC194" s="106">
        <v>0</v>
      </c>
      <c r="AD194" s="106">
        <v>0</v>
      </c>
      <c r="AE194" s="106">
        <v>0</v>
      </c>
      <c r="AF194" s="106">
        <v>0</v>
      </c>
      <c r="AG194" s="106">
        <v>0</v>
      </c>
      <c r="AH194" s="106">
        <v>0</v>
      </c>
      <c r="AI194" s="106">
        <v>0</v>
      </c>
      <c r="AJ194" s="106">
        <v>0</v>
      </c>
      <c r="AK194" s="106">
        <v>0</v>
      </c>
      <c r="AL194" s="106">
        <v>0</v>
      </c>
      <c r="AM194" s="106">
        <v>0</v>
      </c>
      <c r="AN194" s="80">
        <v>0</v>
      </c>
    </row>
    <row r="195" spans="1:40">
      <c r="A195" s="30" t="s">
        <v>44</v>
      </c>
      <c r="B195" t="s">
        <v>453</v>
      </c>
      <c r="C195" t="s">
        <v>412</v>
      </c>
      <c r="D195" t="str">
        <f t="shared" si="48"/>
        <v>Large Enterprise - All buildings MEES – EPC CEarly</v>
      </c>
      <c r="E195" s="381">
        <v>0</v>
      </c>
      <c r="F195" s="381">
        <v>0</v>
      </c>
      <c r="G195" s="381">
        <v>0</v>
      </c>
      <c r="H195" s="381">
        <v>0</v>
      </c>
      <c r="I195" s="381">
        <v>0</v>
      </c>
      <c r="J195" s="381">
        <v>0</v>
      </c>
      <c r="K195" s="381">
        <v>364.73403224367905</v>
      </c>
      <c r="L195" s="381">
        <v>729.46806448735811</v>
      </c>
      <c r="M195" s="381">
        <v>1094.2020967310373</v>
      </c>
      <c r="N195" s="381">
        <v>1458.9361289747162</v>
      </c>
      <c r="O195" s="381">
        <v>1458.9361289747162</v>
      </c>
      <c r="P195" s="381">
        <v>1458.9361289747162</v>
      </c>
      <c r="Q195" s="381">
        <v>1458.9361289747162</v>
      </c>
      <c r="R195" s="381">
        <v>1458.9361289747162</v>
      </c>
      <c r="S195" s="381">
        <v>1458.9361289747162</v>
      </c>
      <c r="T195" s="381">
        <v>0</v>
      </c>
      <c r="U195" s="381">
        <v>0</v>
      </c>
      <c r="V195" s="381">
        <v>0</v>
      </c>
      <c r="W195" s="381">
        <v>0</v>
      </c>
      <c r="X195" s="381">
        <v>0</v>
      </c>
      <c r="Y195" s="381">
        <v>0</v>
      </c>
      <c r="Z195" s="381">
        <v>0</v>
      </c>
      <c r="AA195" s="381">
        <v>0</v>
      </c>
      <c r="AB195" s="381">
        <v>0</v>
      </c>
      <c r="AC195" s="381">
        <v>0</v>
      </c>
      <c r="AD195" s="381">
        <v>0</v>
      </c>
      <c r="AE195" s="381">
        <v>0</v>
      </c>
      <c r="AF195" s="381">
        <v>0</v>
      </c>
      <c r="AG195" s="381">
        <v>0</v>
      </c>
      <c r="AH195" s="381">
        <v>0</v>
      </c>
      <c r="AI195" s="381">
        <v>0</v>
      </c>
      <c r="AJ195" s="381">
        <v>0</v>
      </c>
      <c r="AK195" s="381">
        <v>0</v>
      </c>
      <c r="AL195" s="381">
        <v>0</v>
      </c>
      <c r="AM195" s="381">
        <v>0</v>
      </c>
      <c r="AN195" s="381">
        <v>0</v>
      </c>
    </row>
    <row r="196" spans="1:40">
      <c r="A196" s="30" t="s">
        <v>44</v>
      </c>
      <c r="B196" t="s">
        <v>453</v>
      </c>
      <c r="C196" t="s">
        <v>413</v>
      </c>
      <c r="D196" t="str">
        <f t="shared" si="48"/>
        <v>Public - Extended RE:FITEarly</v>
      </c>
      <c r="E196" s="381">
        <v>0</v>
      </c>
      <c r="F196" s="381">
        <v>0</v>
      </c>
      <c r="G196" s="381">
        <v>0</v>
      </c>
      <c r="H196" s="381">
        <v>0</v>
      </c>
      <c r="I196" s="381">
        <v>0</v>
      </c>
      <c r="J196" s="381">
        <v>318.21093676045291</v>
      </c>
      <c r="K196" s="381">
        <v>318.21093676045291</v>
      </c>
      <c r="L196" s="381">
        <v>318.21093676045291</v>
      </c>
      <c r="M196" s="381">
        <v>318.21093676045291</v>
      </c>
      <c r="N196" s="381">
        <v>303.74680327134143</v>
      </c>
      <c r="O196" s="381">
        <v>289.2826697822299</v>
      </c>
      <c r="P196" s="381">
        <v>274.81853629311843</v>
      </c>
      <c r="Q196" s="381">
        <v>260.3544028040069</v>
      </c>
      <c r="R196" s="381">
        <v>245.89026931489542</v>
      </c>
      <c r="S196" s="381">
        <v>231.42613582578394</v>
      </c>
      <c r="T196" s="381">
        <v>216.96200233667247</v>
      </c>
      <c r="U196" s="381">
        <v>202.49786884756094</v>
      </c>
      <c r="V196" s="381">
        <v>188.03373535844946</v>
      </c>
      <c r="W196" s="381">
        <v>173.56960186933793</v>
      </c>
      <c r="X196" s="381">
        <v>159.10546838022645</v>
      </c>
      <c r="Y196" s="381">
        <v>144.64133489111498</v>
      </c>
      <c r="Z196" s="381">
        <v>130.17720140200345</v>
      </c>
      <c r="AA196" s="381">
        <v>115.71306791289196</v>
      </c>
      <c r="AB196" s="381">
        <v>101.24893442378047</v>
      </c>
      <c r="AC196" s="381">
        <v>86.784800934668965</v>
      </c>
      <c r="AD196" s="381">
        <v>72.32066744555749</v>
      </c>
      <c r="AE196" s="381">
        <v>57.856533956445979</v>
      </c>
      <c r="AF196" s="381">
        <v>43.392400467334483</v>
      </c>
      <c r="AG196" s="381">
        <v>28.928266978222979</v>
      </c>
      <c r="AH196" s="381">
        <v>14.464133489111489</v>
      </c>
      <c r="AI196" s="381">
        <v>0</v>
      </c>
      <c r="AJ196" s="381">
        <v>0</v>
      </c>
      <c r="AK196" s="381">
        <v>0</v>
      </c>
      <c r="AL196" s="381">
        <v>0</v>
      </c>
      <c r="AM196" s="381">
        <v>0</v>
      </c>
      <c r="AN196" s="381">
        <v>0</v>
      </c>
    </row>
    <row r="197" spans="1:40">
      <c r="A197" s="30" t="s">
        <v>44</v>
      </c>
      <c r="B197" t="s">
        <v>453</v>
      </c>
      <c r="C197" t="s">
        <v>414</v>
      </c>
      <c r="D197" t="str">
        <f t="shared" si="48"/>
        <v>Public - All buildings MEES – EPC CEarly</v>
      </c>
      <c r="E197" s="381">
        <v>0</v>
      </c>
      <c r="F197" s="381">
        <v>0</v>
      </c>
      <c r="G197" s="381">
        <v>0</v>
      </c>
      <c r="H197" s="381">
        <v>0</v>
      </c>
      <c r="I197" s="381">
        <v>0</v>
      </c>
      <c r="J197" s="381">
        <v>0</v>
      </c>
      <c r="K197" s="381">
        <v>930.78348816133871</v>
      </c>
      <c r="L197" s="381">
        <v>1861.5669763226774</v>
      </c>
      <c r="M197" s="381">
        <v>2792.3504644840159</v>
      </c>
      <c r="N197" s="381">
        <v>3723.1339526453548</v>
      </c>
      <c r="O197" s="381">
        <v>3723.1339526453548</v>
      </c>
      <c r="P197" s="381">
        <v>2978.5071621162833</v>
      </c>
      <c r="Q197" s="381">
        <v>2233.8803715872127</v>
      </c>
      <c r="R197" s="381">
        <v>1489.2535810581419</v>
      </c>
      <c r="S197" s="381">
        <v>744.62679052907106</v>
      </c>
      <c r="T197" s="381">
        <v>4.5474735088646412E-13</v>
      </c>
      <c r="U197" s="381">
        <v>0</v>
      </c>
      <c r="V197" s="381">
        <v>0</v>
      </c>
      <c r="W197" s="381">
        <v>0</v>
      </c>
      <c r="X197" s="381">
        <v>0</v>
      </c>
      <c r="Y197" s="381">
        <v>0</v>
      </c>
      <c r="Z197" s="381">
        <v>0</v>
      </c>
      <c r="AA197" s="381">
        <v>0</v>
      </c>
      <c r="AB197" s="381">
        <v>0</v>
      </c>
      <c r="AC197" s="381">
        <v>0</v>
      </c>
      <c r="AD197" s="381">
        <v>0</v>
      </c>
      <c r="AE197" s="381">
        <v>0</v>
      </c>
      <c r="AF197" s="381">
        <v>0</v>
      </c>
      <c r="AG197" s="381">
        <v>0</v>
      </c>
      <c r="AH197" s="381">
        <v>0</v>
      </c>
      <c r="AI197" s="381">
        <v>0</v>
      </c>
      <c r="AJ197" s="381">
        <v>0</v>
      </c>
      <c r="AK197" s="381">
        <v>0</v>
      </c>
      <c r="AL197" s="381">
        <v>0</v>
      </c>
      <c r="AM197" s="381">
        <v>0</v>
      </c>
      <c r="AN197" s="381">
        <v>0</v>
      </c>
    </row>
    <row r="198" spans="1:40">
      <c r="A198" s="30" t="s">
        <v>44</v>
      </c>
      <c r="B198" t="s">
        <v>453</v>
      </c>
      <c r="C198" t="s">
        <v>454</v>
      </c>
      <c r="D198" t="str">
        <f t="shared" si="48"/>
        <v>Existing - Non-domestic ALL - Mandate on lighting efficiencyEarly</v>
      </c>
      <c r="E198" s="381"/>
      <c r="F198" s="381"/>
      <c r="G198" s="381"/>
      <c r="H198" s="381"/>
      <c r="I198" s="381"/>
      <c r="J198" s="381"/>
      <c r="K198" s="381"/>
      <c r="L198" s="381"/>
      <c r="M198" s="381"/>
      <c r="N198" s="381"/>
      <c r="O198" s="381"/>
      <c r="P198" s="381"/>
      <c r="Q198" s="381"/>
      <c r="R198" s="381"/>
      <c r="S198" s="381"/>
      <c r="T198" s="381"/>
      <c r="U198" s="381"/>
      <c r="V198" s="381"/>
      <c r="W198" s="381"/>
      <c r="X198" s="381"/>
      <c r="Y198" s="381"/>
      <c r="Z198" s="381"/>
      <c r="AA198" s="381"/>
      <c r="AB198" s="381"/>
      <c r="AC198" s="381"/>
      <c r="AD198" s="381"/>
      <c r="AE198" s="381"/>
      <c r="AF198" s="381"/>
      <c r="AG198" s="381"/>
      <c r="AH198" s="381"/>
      <c r="AI198" s="381"/>
      <c r="AJ198" s="381"/>
      <c r="AK198" s="381"/>
      <c r="AL198" s="381"/>
      <c r="AM198" s="381"/>
      <c r="AN198" s="381"/>
    </row>
    <row r="199" spans="1:40">
      <c r="A199" s="30" t="s">
        <v>44</v>
      </c>
      <c r="B199" t="s">
        <v>453</v>
      </c>
      <c r="C199" t="s">
        <v>455</v>
      </c>
      <c r="D199" t="str">
        <f t="shared" si="48"/>
        <v>Existing -Non-domestic ALL - Mandate on appliance efficiencyEarly</v>
      </c>
      <c r="E199" s="381"/>
      <c r="F199" s="381"/>
      <c r="G199" s="381"/>
      <c r="H199" s="381"/>
      <c r="I199" s="381"/>
      <c r="J199" s="381"/>
      <c r="K199" s="381"/>
      <c r="L199" s="381"/>
      <c r="M199" s="381"/>
      <c r="N199" s="381"/>
      <c r="O199" s="381"/>
      <c r="P199" s="381"/>
      <c r="Q199" s="381"/>
      <c r="R199" s="381"/>
      <c r="S199" s="381"/>
      <c r="T199" s="381"/>
      <c r="U199" s="381"/>
      <c r="V199" s="381"/>
      <c r="W199" s="381"/>
      <c r="X199" s="381"/>
      <c r="Y199" s="381"/>
      <c r="Z199" s="381"/>
      <c r="AA199" s="381"/>
      <c r="AB199" s="381"/>
      <c r="AC199" s="381"/>
      <c r="AD199" s="381"/>
      <c r="AE199" s="381"/>
      <c r="AF199" s="381"/>
      <c r="AG199" s="381"/>
      <c r="AH199" s="381"/>
      <c r="AI199" s="381"/>
      <c r="AJ199" s="381"/>
      <c r="AK199" s="381"/>
      <c r="AL199" s="381"/>
      <c r="AM199" s="381"/>
      <c r="AN199" s="381"/>
    </row>
    <row r="200" spans="1:40">
      <c r="A200" s="30" t="s">
        <v>44</v>
      </c>
      <c r="B200" t="s">
        <v>453</v>
      </c>
      <c r="C200" t="s">
        <v>456</v>
      </c>
      <c r="D200" t="str">
        <f t="shared" si="48"/>
        <v>New - Non-domestic ALL - Mandate on lighting efficiencyEarly</v>
      </c>
      <c r="E200" s="381">
        <v>0</v>
      </c>
      <c r="F200" s="381">
        <v>3472.6107683765158</v>
      </c>
      <c r="G200" s="381">
        <v>3472.6107683765158</v>
      </c>
      <c r="H200" s="381">
        <v>3472.6107683765154</v>
      </c>
      <c r="I200" s="381">
        <v>60303.351791157649</v>
      </c>
      <c r="J200" s="381">
        <v>117134.09281393878</v>
      </c>
      <c r="K200" s="381">
        <v>117134.09281393878</v>
      </c>
      <c r="L200" s="381">
        <v>3472.6107683765163</v>
      </c>
      <c r="M200" s="381">
        <v>3472.6107683765154</v>
      </c>
      <c r="N200" s="381">
        <v>3472.6107683765154</v>
      </c>
      <c r="O200" s="381">
        <v>3472.6107683765154</v>
      </c>
      <c r="P200" s="381">
        <v>2549.5037398863597</v>
      </c>
      <c r="Q200" s="381">
        <v>2549.5037398863597</v>
      </c>
      <c r="R200" s="381">
        <v>2549.5037398863587</v>
      </c>
      <c r="S200" s="381">
        <v>2549.5037398863597</v>
      </c>
      <c r="T200" s="381">
        <v>2549.5037398863597</v>
      </c>
      <c r="U200" s="381">
        <v>2549.5037398863597</v>
      </c>
      <c r="V200" s="381">
        <v>2549.5037398863601</v>
      </c>
      <c r="W200" s="381">
        <v>2549.5037398863601</v>
      </c>
      <c r="X200" s="381">
        <v>2549.5037398863601</v>
      </c>
      <c r="Y200" s="381">
        <v>2549.5037398863601</v>
      </c>
      <c r="Z200" s="381">
        <v>2549.5037398863601</v>
      </c>
      <c r="AA200" s="381">
        <v>2549.5037398863601</v>
      </c>
      <c r="AB200" s="381">
        <v>2549.5037398863601</v>
      </c>
      <c r="AC200" s="381">
        <v>2549.5037398863587</v>
      </c>
      <c r="AD200" s="381">
        <v>2549.5037398863587</v>
      </c>
      <c r="AE200" s="381">
        <v>2549.5037398863587</v>
      </c>
      <c r="AF200" s="381">
        <v>2549.5037398863619</v>
      </c>
      <c r="AG200" s="381">
        <v>2549.5037398863606</v>
      </c>
      <c r="AH200" s="381">
        <v>2549.5037398863606</v>
      </c>
      <c r="AI200" s="381">
        <v>2549.5037398863606</v>
      </c>
      <c r="AJ200" s="381">
        <v>2549.5037398863606</v>
      </c>
      <c r="AK200" s="381">
        <v>2549.5037398863606</v>
      </c>
      <c r="AL200" s="381">
        <v>2549.5037398863606</v>
      </c>
      <c r="AM200" s="381">
        <v>2549.5037398863606</v>
      </c>
      <c r="AN200" s="381">
        <v>2549.5037398863496</v>
      </c>
    </row>
    <row r="201" spans="1:40">
      <c r="A201" s="30" t="s">
        <v>44</v>
      </c>
      <c r="B201" t="s">
        <v>453</v>
      </c>
      <c r="C201" t="s">
        <v>457</v>
      </c>
      <c r="D201" t="str">
        <f t="shared" si="48"/>
        <v>New -Non-domestic ALL - Mandate on appliance efficiencyEarly</v>
      </c>
      <c r="E201" s="80">
        <v>0</v>
      </c>
      <c r="F201" s="106">
        <v>3472.6107683765158</v>
      </c>
      <c r="G201" s="106">
        <v>3472.6107683765158</v>
      </c>
      <c r="H201" s="106">
        <v>3472.6107683765154</v>
      </c>
      <c r="I201" s="106">
        <v>7162.9186269986676</v>
      </c>
      <c r="J201" s="106">
        <v>10853.22648562082</v>
      </c>
      <c r="K201" s="106">
        <v>14543.534344242969</v>
      </c>
      <c r="L201" s="106">
        <v>18233.842202865122</v>
      </c>
      <c r="M201" s="106">
        <v>21924.150061487271</v>
      </c>
      <c r="N201" s="106">
        <v>25614.457920109424</v>
      </c>
      <c r="O201" s="80">
        <v>29304.765778731577</v>
      </c>
      <c r="P201" s="106">
        <v>26659.515082884416</v>
      </c>
      <c r="Q201" s="106">
        <v>24937.37141552741</v>
      </c>
      <c r="R201" s="106">
        <v>23215.227748170408</v>
      </c>
      <c r="S201" s="106">
        <v>21493.084080813405</v>
      </c>
      <c r="T201" s="106">
        <v>19770.940413456403</v>
      </c>
      <c r="U201" s="106">
        <v>18048.796746099397</v>
      </c>
      <c r="V201" s="106">
        <v>16326.653078742393</v>
      </c>
      <c r="W201" s="106">
        <v>14604.509411385388</v>
      </c>
      <c r="X201" s="106">
        <v>12882.365744028384</v>
      </c>
      <c r="Y201" s="106">
        <v>11160.222076671382</v>
      </c>
      <c r="Z201" s="106">
        <v>9438.0784093143757</v>
      </c>
      <c r="AA201" s="106">
        <v>7715.9347419573714</v>
      </c>
      <c r="AB201" s="106">
        <v>5993.7910746003672</v>
      </c>
      <c r="AC201" s="106">
        <v>4271.647407243363</v>
      </c>
      <c r="AD201" s="106">
        <v>2549.5037398863587</v>
      </c>
      <c r="AE201" s="106">
        <v>2549.5037398863587</v>
      </c>
      <c r="AF201" s="106">
        <v>2549.5037398863619</v>
      </c>
      <c r="AG201" s="106">
        <v>2549.5037398863606</v>
      </c>
      <c r="AH201" s="106">
        <v>2549.5037398863606</v>
      </c>
      <c r="AI201" s="106">
        <v>2549.5037398863606</v>
      </c>
      <c r="AJ201" s="106">
        <v>2549.5037398863606</v>
      </c>
      <c r="AK201" s="106">
        <v>2549.5037398863606</v>
      </c>
      <c r="AL201" s="106">
        <v>2549.5037398863606</v>
      </c>
      <c r="AM201" s="106">
        <v>2549.5037398863606</v>
      </c>
      <c r="AN201" s="80">
        <v>2549.5037398863496</v>
      </c>
    </row>
    <row r="202" spans="1:40">
      <c r="A202" s="30" t="s">
        <v>44</v>
      </c>
      <c r="B202" t="s">
        <v>453</v>
      </c>
      <c r="C202" t="s">
        <v>458</v>
      </c>
      <c r="D202" t="str">
        <f t="shared" si="48"/>
        <v>New -Non-domestic ALL - Stronger planning requirement for smart controlsEarly</v>
      </c>
      <c r="E202" s="80">
        <v>0</v>
      </c>
      <c r="F202" s="106">
        <v>1627.7862976764916</v>
      </c>
      <c r="G202" s="106">
        <v>1627.7862976764916</v>
      </c>
      <c r="H202" s="106">
        <v>1627.7862976764918</v>
      </c>
      <c r="I202" s="106">
        <v>1627.7862976764914</v>
      </c>
      <c r="J202" s="106">
        <v>1627.7862976764914</v>
      </c>
      <c r="K202" s="106">
        <v>1627.7862976764914</v>
      </c>
      <c r="L202" s="106">
        <v>1627.7862976764918</v>
      </c>
      <c r="M202" s="106">
        <v>1627.7862976764916</v>
      </c>
      <c r="N202" s="106">
        <v>1627.7862976764916</v>
      </c>
      <c r="O202" s="80">
        <v>1627.7862976764914</v>
      </c>
      <c r="P202" s="106">
        <v>1195.0798780717309</v>
      </c>
      <c r="Q202" s="106">
        <v>1195.0798780717309</v>
      </c>
      <c r="R202" s="106">
        <v>1195.0798780717307</v>
      </c>
      <c r="S202" s="106">
        <v>1195.0798780717309</v>
      </c>
      <c r="T202" s="106">
        <v>1195.0798780717309</v>
      </c>
      <c r="U202" s="106">
        <v>1195.0798780717309</v>
      </c>
      <c r="V202" s="106">
        <v>1195.0798780717312</v>
      </c>
      <c r="W202" s="106">
        <v>1195.0798780717312</v>
      </c>
      <c r="X202" s="106">
        <v>1195.0798780717312</v>
      </c>
      <c r="Y202" s="106">
        <v>1195.0798780717312</v>
      </c>
      <c r="Z202" s="106">
        <v>1195.0798780717312</v>
      </c>
      <c r="AA202" s="106">
        <v>1195.0798780717312</v>
      </c>
      <c r="AB202" s="106">
        <v>1195.0798780717312</v>
      </c>
      <c r="AC202" s="106">
        <v>1195.0798780717305</v>
      </c>
      <c r="AD202" s="106">
        <v>1195.0798780717305</v>
      </c>
      <c r="AE202" s="106">
        <v>1195.0798780717305</v>
      </c>
      <c r="AF202" s="106">
        <v>1195.0798780717319</v>
      </c>
      <c r="AG202" s="106">
        <v>1195.0798780717312</v>
      </c>
      <c r="AH202" s="106">
        <v>1195.0798780717312</v>
      </c>
      <c r="AI202" s="106">
        <v>1195.0798780717312</v>
      </c>
      <c r="AJ202" s="106">
        <v>1195.0798780717312</v>
      </c>
      <c r="AK202" s="106">
        <v>1195.0798780717312</v>
      </c>
      <c r="AL202" s="106">
        <v>1195.0798780717312</v>
      </c>
      <c r="AM202" s="106">
        <v>1195.0798780717312</v>
      </c>
      <c r="AN202" s="80">
        <v>1195.0798780717264</v>
      </c>
    </row>
    <row r="203" spans="1:40">
      <c r="A203" s="30" t="s">
        <v>44</v>
      </c>
      <c r="B203" t="s">
        <v>459</v>
      </c>
      <c r="C203" t="s">
        <v>460</v>
      </c>
      <c r="D203" t="str">
        <f t="shared" si="48"/>
        <v>Extended Mayoral ProgramsDomestic CAPEXEarly</v>
      </c>
      <c r="E203" s="80">
        <v>0</v>
      </c>
      <c r="F203" s="106">
        <v>0</v>
      </c>
      <c r="G203" s="106">
        <v>0</v>
      </c>
      <c r="H203" s="106">
        <v>0</v>
      </c>
      <c r="I203" s="106">
        <v>0</v>
      </c>
      <c r="J203" s="106">
        <v>103868825.79200736</v>
      </c>
      <c r="K203" s="106">
        <v>130205227.03853984</v>
      </c>
      <c r="L203" s="106">
        <v>155593889.85565263</v>
      </c>
      <c r="M203" s="106">
        <v>180034814.24334562</v>
      </c>
      <c r="N203" s="106">
        <v>200331202.70846099</v>
      </c>
      <c r="O203" s="80">
        <v>219793582.5853672</v>
      </c>
      <c r="P203" s="106">
        <v>238421953.87406421</v>
      </c>
      <c r="Q203" s="106">
        <v>256216316.574552</v>
      </c>
      <c r="R203" s="106">
        <v>273176670.68683058</v>
      </c>
      <c r="S203" s="106">
        <v>289303016.21090007</v>
      </c>
      <c r="T203" s="106">
        <v>280798877.36459064</v>
      </c>
      <c r="U203" s="106">
        <v>277943269.39506441</v>
      </c>
      <c r="V203" s="106">
        <v>275087661.42553818</v>
      </c>
      <c r="W203" s="106">
        <v>34267295.634314418</v>
      </c>
      <c r="X203" s="106">
        <v>31411687.66478822</v>
      </c>
      <c r="Y203" s="106">
        <v>28556079.695262019</v>
      </c>
      <c r="Z203" s="106">
        <v>25700471.725735813</v>
      </c>
      <c r="AA203" s="106">
        <v>22844863.756209612</v>
      </c>
      <c r="AB203" s="106">
        <v>19989255.786683414</v>
      </c>
      <c r="AC203" s="106">
        <v>17133647.817157209</v>
      </c>
      <c r="AD203" s="106">
        <v>14278039.847631009</v>
      </c>
      <c r="AE203" s="106">
        <v>11422431.878104806</v>
      </c>
      <c r="AF203" s="106">
        <v>8566823.9085786082</v>
      </c>
      <c r="AG203" s="106">
        <v>5711215.9390524048</v>
      </c>
      <c r="AH203" s="106">
        <v>2855607.9695262033</v>
      </c>
      <c r="AI203" s="106">
        <v>5.6690989680419073E-10</v>
      </c>
      <c r="AJ203" s="106">
        <v>0</v>
      </c>
      <c r="AK203" s="106">
        <v>0</v>
      </c>
      <c r="AL203" s="106">
        <v>0</v>
      </c>
      <c r="AM203" s="106">
        <v>0</v>
      </c>
      <c r="AN203" s="80">
        <v>0</v>
      </c>
    </row>
    <row r="204" spans="1:40">
      <c r="A204" s="30" t="s">
        <v>44</v>
      </c>
      <c r="B204" t="s">
        <v>459</v>
      </c>
      <c r="C204" t="s">
        <v>461</v>
      </c>
      <c r="D204" t="str">
        <f t="shared" si="48"/>
        <v>MEESDomestic CAPEXEarly</v>
      </c>
      <c r="E204" s="381">
        <v>0</v>
      </c>
      <c r="F204" s="381">
        <v>0</v>
      </c>
      <c r="G204" s="381">
        <v>0</v>
      </c>
      <c r="H204" s="381">
        <v>0</v>
      </c>
      <c r="I204" s="381">
        <v>95789601.514734179</v>
      </c>
      <c r="J204" s="381">
        <v>188449713.20725402</v>
      </c>
      <c r="K204" s="381">
        <v>591671231.5345825</v>
      </c>
      <c r="L204" s="381">
        <v>981168707.0022347</v>
      </c>
      <c r="M204" s="381">
        <v>1356942139.6102109</v>
      </c>
      <c r="N204" s="381">
        <v>1718991529.358511</v>
      </c>
      <c r="O204" s="381">
        <v>1688413953.8169441</v>
      </c>
      <c r="P204" s="381">
        <v>1009532425.7979467</v>
      </c>
      <c r="Q204" s="381">
        <v>815090444.10126317</v>
      </c>
      <c r="R204" s="381">
        <v>627256148.07082605</v>
      </c>
      <c r="S204" s="381">
        <v>446029537.70663583</v>
      </c>
      <c r="T204" s="381">
        <v>-5.462425178848207E-9</v>
      </c>
      <c r="U204" s="381">
        <v>0</v>
      </c>
      <c r="V204" s="381">
        <v>0</v>
      </c>
      <c r="W204" s="381">
        <v>0</v>
      </c>
      <c r="X204" s="381">
        <v>0</v>
      </c>
      <c r="Y204" s="381">
        <v>0</v>
      </c>
      <c r="Z204" s="381">
        <v>0</v>
      </c>
      <c r="AA204" s="381">
        <v>0</v>
      </c>
      <c r="AB204" s="381">
        <v>0</v>
      </c>
      <c r="AC204" s="381">
        <v>0</v>
      </c>
      <c r="AD204" s="381">
        <v>0</v>
      </c>
      <c r="AE204" s="381">
        <v>0</v>
      </c>
      <c r="AF204" s="381">
        <v>0</v>
      </c>
      <c r="AG204" s="381">
        <v>0</v>
      </c>
      <c r="AH204" s="381">
        <v>0</v>
      </c>
      <c r="AI204" s="381">
        <v>0</v>
      </c>
      <c r="AJ204" s="381">
        <v>0</v>
      </c>
      <c r="AK204" s="381">
        <v>0</v>
      </c>
      <c r="AL204" s="381">
        <v>0</v>
      </c>
      <c r="AM204" s="381">
        <v>0</v>
      </c>
      <c r="AN204" s="381">
        <v>0</v>
      </c>
    </row>
    <row r="205" spans="1:40">
      <c r="A205" s="30" t="s">
        <v>44</v>
      </c>
      <c r="B205" t="s">
        <v>459</v>
      </c>
      <c r="C205" t="s">
        <v>462</v>
      </c>
      <c r="D205" t="str">
        <f t="shared" si="48"/>
        <v>Tax mechanismsDomestic CAPEXEarly</v>
      </c>
      <c r="E205" s="381">
        <v>0</v>
      </c>
      <c r="F205" s="381">
        <v>0</v>
      </c>
      <c r="G205" s="381">
        <v>0</v>
      </c>
      <c r="H205" s="381">
        <v>23778838.897448808</v>
      </c>
      <c r="I205" s="381">
        <v>23396649.313492615</v>
      </c>
      <c r="J205" s="381">
        <v>99729325.49465777</v>
      </c>
      <c r="K205" s="381">
        <v>98073170.630847573</v>
      </c>
      <c r="L205" s="381">
        <v>96417015.767037377</v>
      </c>
      <c r="M205" s="381">
        <v>72892969.925559342</v>
      </c>
      <c r="N205" s="381">
        <v>71619004.645705372</v>
      </c>
      <c r="O205" s="381">
        <v>70345039.365851372</v>
      </c>
      <c r="P205" s="381">
        <v>69071074.085997343</v>
      </c>
      <c r="Q205" s="381">
        <v>67797108.806143358</v>
      </c>
      <c r="R205" s="381">
        <v>66523143.526289351</v>
      </c>
      <c r="S205" s="381">
        <v>65249178.246435344</v>
      </c>
      <c r="T205" s="381">
        <v>63975212.96658136</v>
      </c>
      <c r="U205" s="381">
        <v>0</v>
      </c>
      <c r="V205" s="381">
        <v>0</v>
      </c>
      <c r="W205" s="381">
        <v>0</v>
      </c>
      <c r="X205" s="381">
        <v>0</v>
      </c>
      <c r="Y205" s="381">
        <v>0</v>
      </c>
      <c r="Z205" s="381">
        <v>0</v>
      </c>
      <c r="AA205" s="381">
        <v>0</v>
      </c>
      <c r="AB205" s="381">
        <v>0</v>
      </c>
      <c r="AC205" s="381">
        <v>0</v>
      </c>
      <c r="AD205" s="381">
        <v>0</v>
      </c>
      <c r="AE205" s="381">
        <v>0</v>
      </c>
      <c r="AF205" s="381">
        <v>0</v>
      </c>
      <c r="AG205" s="381">
        <v>0</v>
      </c>
      <c r="AH205" s="381">
        <v>0</v>
      </c>
      <c r="AI205" s="381">
        <v>0</v>
      </c>
      <c r="AJ205" s="381">
        <v>0</v>
      </c>
      <c r="AK205" s="381">
        <v>0</v>
      </c>
      <c r="AL205" s="381">
        <v>0</v>
      </c>
      <c r="AM205" s="381">
        <v>0</v>
      </c>
      <c r="AN205" s="381">
        <v>0</v>
      </c>
    </row>
    <row r="206" spans="1:40">
      <c r="A206" s="30" t="s">
        <v>44</v>
      </c>
      <c r="B206" t="s">
        <v>459</v>
      </c>
      <c r="C206" t="s">
        <v>463</v>
      </c>
      <c r="D206" t="str">
        <f t="shared" si="48"/>
        <v>Planning requirementsDomestic CAPEXEarly</v>
      </c>
      <c r="E206" s="381">
        <v>0</v>
      </c>
      <c r="F206" s="381">
        <v>31743906.616401419</v>
      </c>
      <c r="G206" s="381">
        <v>31249587.149795301</v>
      </c>
      <c r="H206" s="381">
        <v>30755267.683189187</v>
      </c>
      <c r="I206" s="381">
        <v>30260948.216583073</v>
      </c>
      <c r="J206" s="381">
        <v>217481054.39575464</v>
      </c>
      <c r="K206" s="381">
        <v>209370961.50011566</v>
      </c>
      <c r="L206" s="381">
        <v>205835328.52324146</v>
      </c>
      <c r="M206" s="381">
        <v>23937107.71254519</v>
      </c>
      <c r="N206" s="381">
        <v>23518754.006322902</v>
      </c>
      <c r="O206" s="381">
        <v>23100400.300100803</v>
      </c>
      <c r="P206" s="381">
        <v>18362322.888056122</v>
      </c>
      <c r="Q206" s="381">
        <v>18023643.315942816</v>
      </c>
      <c r="R206" s="381">
        <v>17684963.743829511</v>
      </c>
      <c r="S206" s="381">
        <v>17346284.171716206</v>
      </c>
      <c r="T206" s="381">
        <v>17007604.599602889</v>
      </c>
      <c r="U206" s="381">
        <v>7840299.3167608818</v>
      </c>
      <c r="V206" s="381">
        <v>7840299.3167608446</v>
      </c>
      <c r="W206" s="381">
        <v>7840299.3167608446</v>
      </c>
      <c r="X206" s="381">
        <v>7840299.3167608446</v>
      </c>
      <c r="Y206" s="381">
        <v>7840299.3167608446</v>
      </c>
      <c r="Z206" s="381">
        <v>7840299.3167608446</v>
      </c>
      <c r="AA206" s="381">
        <v>7840299.3167608446</v>
      </c>
      <c r="AB206" s="381">
        <v>7840299.3167608446</v>
      </c>
      <c r="AC206" s="381">
        <v>7840299.3167608446</v>
      </c>
      <c r="AD206" s="381">
        <v>7840299.3167615253</v>
      </c>
      <c r="AE206" s="381">
        <v>7840299.316760987</v>
      </c>
      <c r="AF206" s="381">
        <v>7840299.3167610615</v>
      </c>
      <c r="AG206" s="381">
        <v>7840299.3167610615</v>
      </c>
      <c r="AH206" s="381">
        <v>7840299.3167610615</v>
      </c>
      <c r="AI206" s="381">
        <v>7840299.3167610615</v>
      </c>
      <c r="AJ206" s="381">
        <v>7840299.3167610615</v>
      </c>
      <c r="AK206" s="381">
        <v>7840299.3167610615</v>
      </c>
      <c r="AL206" s="381">
        <v>7840299.3167610615</v>
      </c>
      <c r="AM206" s="381">
        <v>7840299.3167610615</v>
      </c>
      <c r="AN206" s="381">
        <v>7840299.3167603388</v>
      </c>
    </row>
    <row r="207" spans="1:40">
      <c r="A207" s="30" t="s">
        <v>44</v>
      </c>
      <c r="B207" t="s">
        <v>459</v>
      </c>
      <c r="C207" t="s">
        <v>464</v>
      </c>
      <c r="D207" t="str">
        <f t="shared" si="48"/>
        <v>Lighting efficiencyDomestic CAPEXEarly</v>
      </c>
      <c r="E207" s="381">
        <v>0</v>
      </c>
      <c r="F207" s="381">
        <v>6935973.9122759365</v>
      </c>
      <c r="G207" s="381">
        <v>6827966.193939887</v>
      </c>
      <c r="H207" s="381">
        <v>6719958.4756038357</v>
      </c>
      <c r="I207" s="381">
        <v>60398050.315667786</v>
      </c>
      <c r="J207" s="381">
        <v>112318925.83493172</v>
      </c>
      <c r="K207" s="381">
        <v>109470790.69716817</v>
      </c>
      <c r="L207" s="381">
        <v>5321614.8555178875</v>
      </c>
      <c r="M207" s="381">
        <v>5230205.4890676178</v>
      </c>
      <c r="N207" s="381">
        <v>5138796.1226173481</v>
      </c>
      <c r="O207" s="381">
        <v>5047386.7561671222</v>
      </c>
      <c r="P207" s="381">
        <v>4012127.2425410934</v>
      </c>
      <c r="Q207" s="381">
        <v>3938126.4994950267</v>
      </c>
      <c r="R207" s="381">
        <v>3864125.7564489595</v>
      </c>
      <c r="S207" s="381">
        <v>3790125.0134028923</v>
      </c>
      <c r="T207" s="381">
        <v>3716124.2703568228</v>
      </c>
      <c r="U207" s="381">
        <v>1713088.1898887407</v>
      </c>
      <c r="V207" s="381">
        <v>1713088.1898887325</v>
      </c>
      <c r="W207" s="381">
        <v>1713088.1898887325</v>
      </c>
      <c r="X207" s="381">
        <v>1713088.1898887325</v>
      </c>
      <c r="Y207" s="381">
        <v>1713088.1898887325</v>
      </c>
      <c r="Z207" s="381">
        <v>1713088.1898887325</v>
      </c>
      <c r="AA207" s="381">
        <v>1713088.1898887325</v>
      </c>
      <c r="AB207" s="381">
        <v>1713088.1898887325</v>
      </c>
      <c r="AC207" s="381">
        <v>1713088.1898887325</v>
      </c>
      <c r="AD207" s="381">
        <v>1713088.1898888813</v>
      </c>
      <c r="AE207" s="381">
        <v>1713088.1898887637</v>
      </c>
      <c r="AF207" s="381">
        <v>1713088.18988878</v>
      </c>
      <c r="AG207" s="381">
        <v>1713088.18988878</v>
      </c>
      <c r="AH207" s="381">
        <v>1713088.18988878</v>
      </c>
      <c r="AI207" s="381">
        <v>1713088.18988878</v>
      </c>
      <c r="AJ207" s="381">
        <v>1713088.18988878</v>
      </c>
      <c r="AK207" s="381">
        <v>1713088.18988878</v>
      </c>
      <c r="AL207" s="381">
        <v>1713088.18988878</v>
      </c>
      <c r="AM207" s="381">
        <v>1713088.18988878</v>
      </c>
      <c r="AN207" s="381">
        <v>1713088.1898886203</v>
      </c>
    </row>
    <row r="208" spans="1:40">
      <c r="A208" s="30" t="s">
        <v>44</v>
      </c>
      <c r="B208" t="s">
        <v>459</v>
      </c>
      <c r="C208" t="s">
        <v>465</v>
      </c>
      <c r="D208" t="str">
        <f t="shared" si="48"/>
        <v>Extended Mayoral ProgramsNon-domestic CAPEXEarly</v>
      </c>
      <c r="E208" s="381">
        <v>0</v>
      </c>
      <c r="F208" s="381">
        <v>0</v>
      </c>
      <c r="G208" s="381">
        <v>0</v>
      </c>
      <c r="H208" s="381">
        <v>0</v>
      </c>
      <c r="I208" s="381">
        <v>0</v>
      </c>
      <c r="J208" s="381">
        <v>15211959.532854471</v>
      </c>
      <c r="K208" s="381">
        <v>14959342.154330535</v>
      </c>
      <c r="L208" s="381">
        <v>14706724.775806598</v>
      </c>
      <c r="M208" s="381">
        <v>14454107.39728266</v>
      </c>
      <c r="N208" s="381">
        <v>13555967.745178781</v>
      </c>
      <c r="O208" s="381">
        <v>12680793.309304349</v>
      </c>
      <c r="P208" s="381">
        <v>11828584.089659369</v>
      </c>
      <c r="Q208" s="381">
        <v>10999340.086243838</v>
      </c>
      <c r="R208" s="381">
        <v>10193061.299057752</v>
      </c>
      <c r="S208" s="381">
        <v>9409747.7281011194</v>
      </c>
      <c r="T208" s="381">
        <v>8649399.3733739313</v>
      </c>
      <c r="U208" s="381">
        <v>8072772.7484823372</v>
      </c>
      <c r="V208" s="381">
        <v>7496146.1235907413</v>
      </c>
      <c r="W208" s="381">
        <v>6919519.4986991463</v>
      </c>
      <c r="X208" s="381">
        <v>6342892.8738075513</v>
      </c>
      <c r="Y208" s="381">
        <v>5766266.2489159545</v>
      </c>
      <c r="Z208" s="381">
        <v>5189639.6240243595</v>
      </c>
      <c r="AA208" s="381">
        <v>4613012.9991327645</v>
      </c>
      <c r="AB208" s="381">
        <v>4036386.3742411686</v>
      </c>
      <c r="AC208" s="381">
        <v>3459759.7493495732</v>
      </c>
      <c r="AD208" s="381">
        <v>2883133.1244579772</v>
      </c>
      <c r="AE208" s="381">
        <v>2306506.4995663818</v>
      </c>
      <c r="AF208" s="381">
        <v>1729879.874674787</v>
      </c>
      <c r="AG208" s="381">
        <v>1153253.2497831914</v>
      </c>
      <c r="AH208" s="381">
        <v>576626.62489159545</v>
      </c>
      <c r="AI208" s="381">
        <v>2.6152235932386247E-11</v>
      </c>
      <c r="AJ208" s="381">
        <v>0</v>
      </c>
      <c r="AK208" s="381">
        <v>0</v>
      </c>
      <c r="AL208" s="381">
        <v>0</v>
      </c>
      <c r="AM208" s="381">
        <v>0</v>
      </c>
      <c r="AN208" s="381">
        <v>0</v>
      </c>
    </row>
    <row r="209" spans="1:40">
      <c r="A209" s="30" t="s">
        <v>44</v>
      </c>
      <c r="B209" t="s">
        <v>459</v>
      </c>
      <c r="C209" t="s">
        <v>466</v>
      </c>
      <c r="D209" t="str">
        <f t="shared" si="48"/>
        <v>MEESNon-domestic CAPEXEarly</v>
      </c>
      <c r="E209" s="381">
        <v>0</v>
      </c>
      <c r="F209" s="381">
        <v>0</v>
      </c>
      <c r="G209" s="381">
        <v>0</v>
      </c>
      <c r="H209" s="381">
        <v>0</v>
      </c>
      <c r="I209" s="381">
        <v>60132345.079236194</v>
      </c>
      <c r="J209" s="381">
        <v>118300139.11184961</v>
      </c>
      <c r="K209" s="381">
        <v>140170772.84453589</v>
      </c>
      <c r="L209" s="381">
        <v>161236400.33651131</v>
      </c>
      <c r="M209" s="381">
        <v>181497021.58777583</v>
      </c>
      <c r="N209" s="381">
        <v>200952636.59832948</v>
      </c>
      <c r="O209" s="381">
        <v>197378073.0702849</v>
      </c>
      <c r="P209" s="381">
        <v>165738015.77599829</v>
      </c>
      <c r="Q209" s="381">
        <v>135133253.3600173</v>
      </c>
      <c r="R209" s="381">
        <v>105563785.82234195</v>
      </c>
      <c r="S209" s="381">
        <v>77029613.162972227</v>
      </c>
      <c r="T209" s="381">
        <v>8.5788087744731459E-11</v>
      </c>
      <c r="U209" s="381">
        <v>0</v>
      </c>
      <c r="V209" s="381">
        <v>0</v>
      </c>
      <c r="W209" s="381">
        <v>0</v>
      </c>
      <c r="X209" s="381">
        <v>0</v>
      </c>
      <c r="Y209" s="381">
        <v>0</v>
      </c>
      <c r="Z209" s="381">
        <v>0</v>
      </c>
      <c r="AA209" s="381">
        <v>0</v>
      </c>
      <c r="AB209" s="381">
        <v>0</v>
      </c>
      <c r="AC209" s="381">
        <v>0</v>
      </c>
      <c r="AD209" s="381">
        <v>0</v>
      </c>
      <c r="AE209" s="381">
        <v>0</v>
      </c>
      <c r="AF209" s="381">
        <v>0</v>
      </c>
      <c r="AG209" s="381">
        <v>0</v>
      </c>
      <c r="AH209" s="381">
        <v>0</v>
      </c>
      <c r="AI209" s="381">
        <v>0</v>
      </c>
      <c r="AJ209" s="381">
        <v>0</v>
      </c>
      <c r="AK209" s="381">
        <v>0</v>
      </c>
      <c r="AL209" s="381">
        <v>0</v>
      </c>
      <c r="AM209" s="381">
        <v>0</v>
      </c>
      <c r="AN209" s="381">
        <v>0</v>
      </c>
    </row>
    <row r="210" spans="1:40">
      <c r="A210" s="30" t="s">
        <v>44</v>
      </c>
      <c r="B210" t="s">
        <v>459</v>
      </c>
      <c r="C210" t="s">
        <v>467</v>
      </c>
      <c r="D210" t="str">
        <f t="shared" si="48"/>
        <v>Tax mechanismsNon-domestic CAPEXEarly</v>
      </c>
      <c r="E210" s="381">
        <v>0</v>
      </c>
      <c r="F210" s="381">
        <v>0</v>
      </c>
      <c r="G210" s="381">
        <v>0</v>
      </c>
      <c r="H210" s="381">
        <v>1582238.7209082637</v>
      </c>
      <c r="I210" s="381">
        <v>4059425.1158531071</v>
      </c>
      <c r="J210" s="381">
        <v>3993113.4839890292</v>
      </c>
      <c r="K210" s="381">
        <v>3926801.8521249518</v>
      </c>
      <c r="L210" s="381">
        <v>3860490.2202608744</v>
      </c>
      <c r="M210" s="381">
        <v>0</v>
      </c>
      <c r="N210" s="381">
        <v>0</v>
      </c>
      <c r="O210" s="381">
        <v>0</v>
      </c>
      <c r="P210" s="381">
        <v>0</v>
      </c>
      <c r="Q210" s="381">
        <v>0</v>
      </c>
      <c r="R210" s="381">
        <v>0</v>
      </c>
      <c r="S210" s="381">
        <v>0</v>
      </c>
      <c r="T210" s="381">
        <v>0</v>
      </c>
      <c r="U210" s="381">
        <v>0</v>
      </c>
      <c r="V210" s="381">
        <v>0</v>
      </c>
      <c r="W210" s="381">
        <v>0</v>
      </c>
      <c r="X210" s="381">
        <v>0</v>
      </c>
      <c r="Y210" s="381">
        <v>0</v>
      </c>
      <c r="Z210" s="381">
        <v>0</v>
      </c>
      <c r="AA210" s="381">
        <v>0</v>
      </c>
      <c r="AB210" s="381">
        <v>0</v>
      </c>
      <c r="AC210" s="381">
        <v>0</v>
      </c>
      <c r="AD210" s="381">
        <v>0</v>
      </c>
      <c r="AE210" s="381">
        <v>0</v>
      </c>
      <c r="AF210" s="381">
        <v>0</v>
      </c>
      <c r="AG210" s="381">
        <v>0</v>
      </c>
      <c r="AH210" s="381">
        <v>0</v>
      </c>
      <c r="AI210" s="381">
        <v>0</v>
      </c>
      <c r="AJ210" s="381">
        <v>0</v>
      </c>
      <c r="AK210" s="381">
        <v>0</v>
      </c>
      <c r="AL210" s="381">
        <v>0</v>
      </c>
      <c r="AM210" s="381">
        <v>0</v>
      </c>
      <c r="AN210" s="381">
        <v>0</v>
      </c>
    </row>
    <row r="211" spans="1:40">
      <c r="A211" s="30" t="s">
        <v>44</v>
      </c>
      <c r="B211" t="s">
        <v>459</v>
      </c>
      <c r="C211" t="s">
        <v>468</v>
      </c>
      <c r="D211" t="str">
        <f t="shared" si="48"/>
        <v>Planning requirementsNon-domestic CAPEXEarly</v>
      </c>
      <c r="E211" s="381">
        <v>0</v>
      </c>
      <c r="F211" s="381">
        <v>4085557.6935081659</v>
      </c>
      <c r="G211" s="381">
        <v>4021936.9575903006</v>
      </c>
      <c r="H211" s="381">
        <v>3958316.2216724344</v>
      </c>
      <c r="I211" s="381">
        <v>3894695.4857545691</v>
      </c>
      <c r="J211" s="381">
        <v>3831074.7498367028</v>
      </c>
      <c r="K211" s="381">
        <v>3767454.0139188375</v>
      </c>
      <c r="L211" s="381">
        <v>3703833.2780009722</v>
      </c>
      <c r="M211" s="381">
        <v>3640212.5420831051</v>
      </c>
      <c r="N211" s="381">
        <v>3576591.8061652393</v>
      </c>
      <c r="O211" s="381">
        <v>3512971.070247374</v>
      </c>
      <c r="P211" s="381">
        <v>2522585.8105653757</v>
      </c>
      <c r="Q211" s="381">
        <v>2476058.5662646513</v>
      </c>
      <c r="R211" s="381">
        <v>2429531.3219639254</v>
      </c>
      <c r="S211" s="381">
        <v>2383004.0776632018</v>
      </c>
      <c r="T211" s="381">
        <v>2336476.8333624769</v>
      </c>
      <c r="U211" s="381">
        <v>2336476.8333624774</v>
      </c>
      <c r="V211" s="381">
        <v>2336476.8333624774</v>
      </c>
      <c r="W211" s="381">
        <v>2336476.8333624774</v>
      </c>
      <c r="X211" s="381">
        <v>2336476.8333624774</v>
      </c>
      <c r="Y211" s="381">
        <v>2336476.8333624774</v>
      </c>
      <c r="Z211" s="381">
        <v>2336476.8333624774</v>
      </c>
      <c r="AA211" s="381">
        <v>2336476.8333624774</v>
      </c>
      <c r="AB211" s="381">
        <v>2336476.8333624774</v>
      </c>
      <c r="AC211" s="381">
        <v>2336476.8333624764</v>
      </c>
      <c r="AD211" s="381">
        <v>2336476.8333624764</v>
      </c>
      <c r="AE211" s="381">
        <v>2336476.8333624764</v>
      </c>
      <c r="AF211" s="381">
        <v>2336476.8333624797</v>
      </c>
      <c r="AG211" s="381">
        <v>2336476.8333624778</v>
      </c>
      <c r="AH211" s="381">
        <v>2336476.8333624778</v>
      </c>
      <c r="AI211" s="381">
        <v>2336476.8333624778</v>
      </c>
      <c r="AJ211" s="381">
        <v>2336476.8333624778</v>
      </c>
      <c r="AK211" s="381">
        <v>2336476.8333624778</v>
      </c>
      <c r="AL211" s="381">
        <v>2336476.8333624778</v>
      </c>
      <c r="AM211" s="381">
        <v>2336476.8333624778</v>
      </c>
      <c r="AN211" s="381">
        <v>2336476.8333624699</v>
      </c>
    </row>
    <row r="212" spans="1:40">
      <c r="A212" s="30" t="s">
        <v>44</v>
      </c>
      <c r="B212" t="s">
        <v>459</v>
      </c>
      <c r="C212" t="s">
        <v>469</v>
      </c>
      <c r="D212" t="str">
        <f t="shared" si="48"/>
        <v>Lighting efficiencyNon-domestic CAPEXEarly</v>
      </c>
      <c r="E212" s="285">
        <v>0</v>
      </c>
      <c r="F212" s="285">
        <v>6085102.7363829538</v>
      </c>
      <c r="G212" s="285">
        <v>5990344.8738664966</v>
      </c>
      <c r="H212" s="285">
        <v>5895587.0113500375</v>
      </c>
      <c r="I212" s="285">
        <v>101506243.48757081</v>
      </c>
      <c r="J212" s="285">
        <v>193990160.57488394</v>
      </c>
      <c r="K212" s="285">
        <v>190768663.32345989</v>
      </c>
      <c r="L212" s="285">
        <v>5516555.5612842096</v>
      </c>
      <c r="M212" s="285">
        <v>5421797.6987677487</v>
      </c>
      <c r="N212" s="285">
        <v>5327039.8362512914</v>
      </c>
      <c r="O212" s="285">
        <v>5232281.9737348342</v>
      </c>
      <c r="P212" s="285">
        <v>3713397.5193792596</v>
      </c>
      <c r="Q212" s="285">
        <v>3644906.6268806849</v>
      </c>
      <c r="R212" s="285">
        <v>3576415.7343821069</v>
      </c>
      <c r="S212" s="285">
        <v>3507924.8418835341</v>
      </c>
      <c r="T212" s="285">
        <v>3439433.9493849594</v>
      </c>
      <c r="U212" s="285">
        <v>3439433.9493849594</v>
      </c>
      <c r="V212" s="285">
        <v>3439433.9493849594</v>
      </c>
      <c r="W212" s="285">
        <v>3439433.9493849594</v>
      </c>
      <c r="X212" s="285">
        <v>3439433.9493849594</v>
      </c>
      <c r="Y212" s="285">
        <v>3439433.9493849594</v>
      </c>
      <c r="Z212" s="285">
        <v>3439433.9493849594</v>
      </c>
      <c r="AA212" s="285">
        <v>3439433.9493849594</v>
      </c>
      <c r="AB212" s="285">
        <v>3439433.9493849594</v>
      </c>
      <c r="AC212" s="285">
        <v>3439433.9493849585</v>
      </c>
      <c r="AD212" s="285">
        <v>3439433.9493849585</v>
      </c>
      <c r="AE212" s="285">
        <v>3439433.9493849585</v>
      </c>
      <c r="AF212" s="285">
        <v>3439433.9493849636</v>
      </c>
      <c r="AG212" s="285">
        <v>3439433.9493849599</v>
      </c>
      <c r="AH212" s="285">
        <v>3439433.9493849599</v>
      </c>
      <c r="AI212" s="285">
        <v>3439433.9493849599</v>
      </c>
      <c r="AJ212" s="285">
        <v>3439433.9493849599</v>
      </c>
      <c r="AK212" s="285">
        <v>3439433.9493849599</v>
      </c>
      <c r="AL212" s="285">
        <v>3439433.9493849599</v>
      </c>
      <c r="AM212" s="285">
        <v>3439433.9493849599</v>
      </c>
      <c r="AN212" s="285">
        <v>3439433.9493849524</v>
      </c>
    </row>
    <row r="213" spans="1:40">
      <c r="A213" s="30" t="s">
        <v>44</v>
      </c>
      <c r="B213" t="s">
        <v>459</v>
      </c>
      <c r="C213" t="s">
        <v>470</v>
      </c>
      <c r="D213" t="str">
        <f t="shared" si="48"/>
        <v>AllDomestic CAPEXEarly</v>
      </c>
      <c r="E213" s="285">
        <v>0</v>
      </c>
      <c r="F213" s="285">
        <v>38679880.528677359</v>
      </c>
      <c r="G213" s="285">
        <v>38077553.343735188</v>
      </c>
      <c r="H213" s="285">
        <v>61254065.056241825</v>
      </c>
      <c r="I213" s="285">
        <v>209845249.36047763</v>
      </c>
      <c r="J213" s="285">
        <v>793143285.13676035</v>
      </c>
      <c r="K213" s="285">
        <v>1202001231.5180554</v>
      </c>
      <c r="L213" s="285">
        <v>1485119516.4508817</v>
      </c>
      <c r="M213" s="285">
        <v>1679468995.974215</v>
      </c>
      <c r="N213" s="285">
        <v>2059679844.3813927</v>
      </c>
      <c r="O213" s="285">
        <v>2046429718.910495</v>
      </c>
      <c r="P213" s="285">
        <v>1385066541.0157053</v>
      </c>
      <c r="Q213" s="285">
        <v>1219972628.094166</v>
      </c>
      <c r="R213" s="285">
        <v>1060389133.2453426</v>
      </c>
      <c r="S213" s="285">
        <v>906316056.46923554</v>
      </c>
      <c r="T213" s="285">
        <v>462546308.97498238</v>
      </c>
      <c r="U213" s="285">
        <v>380768353.56705362</v>
      </c>
      <c r="V213" s="285">
        <v>390574838.52590054</v>
      </c>
      <c r="W213" s="285">
        <v>162285439.66631904</v>
      </c>
      <c r="X213" s="285">
        <v>171829672.63170394</v>
      </c>
      <c r="Y213" s="285">
        <v>181242779.60035777</v>
      </c>
      <c r="Z213" s="285">
        <v>168946046.67168105</v>
      </c>
      <c r="AA213" s="285">
        <v>152143775.67844608</v>
      </c>
      <c r="AB213" s="285">
        <v>135476977.82138434</v>
      </c>
      <c r="AC213" s="285">
        <v>118945653.10049573</v>
      </c>
      <c r="AD213" s="285">
        <v>102549801.5157823</v>
      </c>
      <c r="AE213" s="285">
        <v>86289423.067238495</v>
      </c>
      <c r="AF213" s="285">
        <v>70164517.75486967</v>
      </c>
      <c r="AG213" s="285">
        <v>54175085.57867378</v>
      </c>
      <c r="AH213" s="285">
        <v>38321126.538651064</v>
      </c>
      <c r="AI213" s="285">
        <v>22602640.634801537</v>
      </c>
      <c r="AJ213" s="285">
        <v>22527828.633021791</v>
      </c>
      <c r="AK213" s="285">
        <v>22453016.631242044</v>
      </c>
      <c r="AL213" s="285">
        <v>22378204.629462302</v>
      </c>
      <c r="AM213" s="285">
        <v>22303392.627682559</v>
      </c>
      <c r="AN213" s="285">
        <v>22228580.625900812</v>
      </c>
    </row>
    <row r="214" spans="1:40">
      <c r="A214" s="30" t="s">
        <v>44</v>
      </c>
      <c r="B214" t="s">
        <v>459</v>
      </c>
      <c r="C214" t="s">
        <v>471</v>
      </c>
      <c r="D214" t="str">
        <f t="shared" si="48"/>
        <v>AllNon-domestic CAPEXEarly</v>
      </c>
      <c r="E214" s="424">
        <v>0</v>
      </c>
      <c r="F214" s="424">
        <v>10170660.429891121</v>
      </c>
      <c r="G214" s="424">
        <v>10012281.831456797</v>
      </c>
      <c r="H214" s="424">
        <v>11436141.953930736</v>
      </c>
      <c r="I214" s="424">
        <v>169592709.16841468</v>
      </c>
      <c r="J214" s="424">
        <v>374954421.75083238</v>
      </c>
      <c r="K214" s="424">
        <v>392953454.81269312</v>
      </c>
      <c r="L214" s="424">
        <v>218677696.42420802</v>
      </c>
      <c r="M214" s="424">
        <v>234462808.44052911</v>
      </c>
      <c r="N214" s="424">
        <v>252657882.15788767</v>
      </c>
      <c r="O214" s="424">
        <v>247845742.54815111</v>
      </c>
      <c r="P214" s="424">
        <v>220469165.7621066</v>
      </c>
      <c r="Q214" s="424">
        <v>203866937.48861024</v>
      </c>
      <c r="R214" s="424">
        <v>188103667.06789058</v>
      </c>
      <c r="S214" s="424">
        <v>173179354.49998859</v>
      </c>
      <c r="T214" s="424">
        <v>109563264.40303546</v>
      </c>
      <c r="U214" s="424">
        <v>112075368.26798475</v>
      </c>
      <c r="V214" s="424">
        <v>59349688.951176085</v>
      </c>
      <c r="W214" s="424">
        <v>62108264.756350756</v>
      </c>
      <c r="X214" s="424">
        <v>64818960.103731692</v>
      </c>
      <c r="Y214" s="424">
        <v>67481774.993344575</v>
      </c>
      <c r="Z214" s="424">
        <v>62975805.371435426</v>
      </c>
      <c r="AA214" s="424">
        <v>58517716.205584928</v>
      </c>
      <c r="AB214" s="424">
        <v>54107507.495816194</v>
      </c>
      <c r="AC214" s="424">
        <v>49745179.242151558</v>
      </c>
      <c r="AD214" s="424">
        <v>45430731.444612637</v>
      </c>
      <c r="AE214" s="424">
        <v>41164164.103220269</v>
      </c>
      <c r="AF214" s="424">
        <v>36945477.217994653</v>
      </c>
      <c r="AG214" s="424">
        <v>32774670.788955204</v>
      </c>
      <c r="AH214" s="424">
        <v>28651744.816120848</v>
      </c>
      <c r="AI214" s="424">
        <v>24576699.29950979</v>
      </c>
      <c r="AJ214" s="424">
        <v>24447210.606475785</v>
      </c>
      <c r="AK214" s="424">
        <v>24317721.912810832</v>
      </c>
      <c r="AL214" s="424">
        <v>24188233.218531437</v>
      </c>
      <c r="AM214" s="424">
        <v>24058744.523653626</v>
      </c>
      <c r="AN214" s="424">
        <v>23929255.828192662</v>
      </c>
    </row>
    <row r="215" spans="1:40">
      <c r="A215" s="30"/>
      <c r="E215" s="80"/>
      <c r="F215" s="106"/>
      <c r="G215" s="106"/>
      <c r="H215" s="106"/>
      <c r="I215" s="106"/>
      <c r="J215" s="106"/>
      <c r="K215" s="106"/>
      <c r="L215" s="106"/>
      <c r="M215" s="106"/>
      <c r="N215" s="106"/>
      <c r="O215" s="80"/>
      <c r="P215" s="106"/>
      <c r="Q215" s="106"/>
      <c r="R215" s="106"/>
      <c r="S215" s="106"/>
      <c r="T215" s="106"/>
      <c r="U215" s="106"/>
      <c r="V215" s="106"/>
      <c r="W215" s="106"/>
      <c r="X215" s="106"/>
      <c r="Y215" s="106"/>
      <c r="Z215" s="106"/>
      <c r="AA215" s="106"/>
      <c r="AB215" s="106"/>
      <c r="AC215" s="106"/>
      <c r="AD215" s="106"/>
      <c r="AE215" s="106"/>
      <c r="AF215" s="106"/>
      <c r="AG215" s="106"/>
      <c r="AH215" s="106"/>
      <c r="AI215" s="106"/>
      <c r="AJ215" s="106"/>
      <c r="AK215" s="106"/>
      <c r="AL215" s="106"/>
      <c r="AM215" s="106"/>
      <c r="AN215" s="80"/>
    </row>
    <row r="216" spans="1:40">
      <c r="A216" s="30"/>
      <c r="E216" s="59"/>
      <c r="F216" s="59"/>
      <c r="G216" s="59"/>
      <c r="H216" s="59"/>
      <c r="I216" s="59"/>
      <c r="J216" s="59"/>
      <c r="K216" s="59"/>
      <c r="L216" s="59"/>
      <c r="M216" s="59"/>
      <c r="N216" s="59"/>
      <c r="O216" s="59"/>
      <c r="P216" s="59"/>
      <c r="Q216" s="59"/>
      <c r="R216" s="59"/>
      <c r="S216" s="59"/>
      <c r="T216" s="59"/>
      <c r="U216" s="59"/>
      <c r="V216" s="59"/>
      <c r="W216" s="59"/>
      <c r="X216" s="59"/>
      <c r="Y216" s="59"/>
      <c r="Z216" s="59"/>
      <c r="AA216" s="59"/>
      <c r="AB216" s="59"/>
      <c r="AC216" s="59"/>
      <c r="AD216" s="59"/>
      <c r="AE216" s="59"/>
      <c r="AF216" s="59"/>
      <c r="AG216" s="59"/>
      <c r="AH216" s="59"/>
      <c r="AI216" s="59"/>
      <c r="AJ216" s="59"/>
      <c r="AK216" s="59"/>
      <c r="AL216" s="59"/>
      <c r="AM216" s="59"/>
      <c r="AN216" s="59"/>
    </row>
    <row r="217" spans="1:40">
      <c r="A217" s="30" t="s">
        <v>472</v>
      </c>
      <c r="B217" t="s">
        <v>366</v>
      </c>
      <c r="D217" t="s">
        <v>473</v>
      </c>
      <c r="E217" s="381">
        <v>2015</v>
      </c>
      <c r="F217" s="381">
        <v>2016</v>
      </c>
      <c r="G217" s="381">
        <v>2017</v>
      </c>
      <c r="H217" s="381">
        <v>2018</v>
      </c>
      <c r="I217" s="381">
        <v>2019</v>
      </c>
      <c r="J217" s="381">
        <v>2020</v>
      </c>
      <c r="K217" s="381">
        <v>2021</v>
      </c>
      <c r="L217" s="381">
        <v>2022</v>
      </c>
      <c r="M217" s="381">
        <v>2023</v>
      </c>
      <c r="N217" s="381">
        <v>2024</v>
      </c>
      <c r="O217" s="381">
        <v>2025</v>
      </c>
      <c r="P217" s="381">
        <v>2026</v>
      </c>
      <c r="Q217" s="381">
        <v>2027</v>
      </c>
      <c r="R217" s="381">
        <v>2028</v>
      </c>
      <c r="S217" s="381">
        <v>2029</v>
      </c>
      <c r="T217" s="381">
        <v>2030</v>
      </c>
      <c r="U217" s="381">
        <v>2031</v>
      </c>
      <c r="V217" s="381">
        <v>2032</v>
      </c>
      <c r="W217" s="381">
        <v>2033</v>
      </c>
      <c r="X217" s="381">
        <v>2034</v>
      </c>
      <c r="Y217" s="381">
        <v>2035</v>
      </c>
      <c r="Z217" s="381">
        <v>2036</v>
      </c>
      <c r="AA217" s="381">
        <v>2037</v>
      </c>
      <c r="AB217" s="381">
        <v>2038</v>
      </c>
      <c r="AC217" s="381">
        <v>2039</v>
      </c>
      <c r="AD217" s="381">
        <v>2040</v>
      </c>
      <c r="AE217" s="381">
        <v>2041</v>
      </c>
      <c r="AF217" s="381">
        <v>2042</v>
      </c>
      <c r="AG217" s="381">
        <v>2043</v>
      </c>
      <c r="AH217" s="381">
        <v>2044</v>
      </c>
      <c r="AI217" s="381">
        <v>2045</v>
      </c>
      <c r="AJ217" s="381">
        <v>2046</v>
      </c>
      <c r="AK217" s="381">
        <v>2047</v>
      </c>
      <c r="AL217" s="381">
        <v>2048</v>
      </c>
      <c r="AM217" s="381">
        <v>2049</v>
      </c>
      <c r="AN217" s="381">
        <v>2050</v>
      </c>
    </row>
    <row r="218" spans="1:40">
      <c r="A218" t="s">
        <v>45</v>
      </c>
      <c r="B218" t="s">
        <v>444</v>
      </c>
      <c r="C218" t="s">
        <v>445</v>
      </c>
      <c r="D218" t="str">
        <f>C218&amp;A218</f>
        <v>Carbon emissionsLate</v>
      </c>
      <c r="E218" s="381">
        <v>24.536442456359286</v>
      </c>
      <c r="F218" s="381">
        <v>21.181286101250649</v>
      </c>
      <c r="G218" s="381">
        <v>19.520902617925778</v>
      </c>
      <c r="H218" s="381">
        <v>19.137396891769136</v>
      </c>
      <c r="I218" s="381">
        <v>18.70674481250364</v>
      </c>
      <c r="J218" s="381">
        <v>18.098700695997891</v>
      </c>
      <c r="K218" s="381">
        <v>17.660627368364917</v>
      </c>
      <c r="L218" s="381">
        <v>16.649965251390636</v>
      </c>
      <c r="M218" s="381">
        <v>16.491871987067519</v>
      </c>
      <c r="N218" s="381">
        <v>16.687020779465914</v>
      </c>
      <c r="O218" s="381">
        <v>16.205829736251939</v>
      </c>
      <c r="P218" s="381">
        <v>15.076079360741472</v>
      </c>
      <c r="Q218" s="381">
        <v>15.201858047557154</v>
      </c>
      <c r="R218" s="381">
        <v>14.600004095293405</v>
      </c>
      <c r="S218" s="381">
        <v>13.924065843081182</v>
      </c>
      <c r="T218" s="381">
        <v>14.056276999204101</v>
      </c>
      <c r="U218" s="381">
        <v>13.459658686551645</v>
      </c>
      <c r="V218" s="381">
        <v>12.553757909450965</v>
      </c>
      <c r="W218" s="381">
        <v>12.166331794418474</v>
      </c>
      <c r="X218" s="381">
        <v>11.620261577658097</v>
      </c>
      <c r="Y218" s="381">
        <v>10.929752459032926</v>
      </c>
      <c r="Z218" s="381">
        <v>10.789904669342322</v>
      </c>
      <c r="AA218" s="381">
        <v>10.494182440089396</v>
      </c>
      <c r="AB218" s="381">
        <v>10.252952102367152</v>
      </c>
      <c r="AC218" s="381">
        <v>10.2205383366004</v>
      </c>
      <c r="AD218" s="381">
        <v>10.20951784240021</v>
      </c>
      <c r="AE218" s="381">
        <v>10.087155244471051</v>
      </c>
      <c r="AF218" s="381">
        <v>9.9741521412255292</v>
      </c>
      <c r="AG218" s="381">
        <v>9.9083447444888382</v>
      </c>
      <c r="AH218" s="381">
        <v>9.8109764937430715</v>
      </c>
      <c r="AI218" s="381">
        <v>9.7395043558685188</v>
      </c>
      <c r="AJ218" s="381">
        <v>9.6408320575798339</v>
      </c>
      <c r="AK218" s="381">
        <v>9.553331573355063</v>
      </c>
      <c r="AL218" s="381">
        <v>9.502330101337904</v>
      </c>
      <c r="AM218" s="381">
        <v>9.4322206962227426</v>
      </c>
      <c r="AN218" s="381">
        <v>9.3914412192515524</v>
      </c>
    </row>
    <row r="219" spans="1:40">
      <c r="A219" t="s">
        <v>45</v>
      </c>
      <c r="B219" t="s">
        <v>446</v>
      </c>
      <c r="C219" t="s">
        <v>447</v>
      </c>
      <c r="D219" t="str">
        <f t="shared" ref="D219:D275" si="49">C219&amp;A219</f>
        <v>Domestic heat demandLate</v>
      </c>
      <c r="E219" s="381">
        <v>34208540661.939991</v>
      </c>
      <c r="F219" s="381">
        <v>34436853702.751373</v>
      </c>
      <c r="G219" s="381">
        <v>34665166743.562752</v>
      </c>
      <c r="H219" s="381">
        <v>34893479784.374138</v>
      </c>
      <c r="I219" s="381">
        <v>35121792825.185516</v>
      </c>
      <c r="J219" s="381">
        <v>35350105865.996902</v>
      </c>
      <c r="K219" s="381">
        <v>35543332338.460365</v>
      </c>
      <c r="L219" s="381">
        <v>35736558810.923836</v>
      </c>
      <c r="M219" s="381">
        <v>35929785283.387306</v>
      </c>
      <c r="N219" s="381">
        <v>36106311746.959488</v>
      </c>
      <c r="O219" s="381">
        <v>36229383568.271217</v>
      </c>
      <c r="P219" s="381">
        <v>36241208211.215538</v>
      </c>
      <c r="Q219" s="381">
        <v>36179064194.118408</v>
      </c>
      <c r="R219" s="381">
        <v>36031146060.815598</v>
      </c>
      <c r="S219" s="381">
        <v>35822852080.623413</v>
      </c>
      <c r="T219" s="381">
        <v>35499923295.30719</v>
      </c>
      <c r="U219" s="381">
        <v>35021216905.507332</v>
      </c>
      <c r="V219" s="381">
        <v>34472861725.583954</v>
      </c>
      <c r="W219" s="381">
        <v>33905137162.817665</v>
      </c>
      <c r="X219" s="381">
        <v>33273338097.919308</v>
      </c>
      <c r="Y219" s="381">
        <v>32637893882.260857</v>
      </c>
      <c r="Z219" s="381">
        <v>32192647333.651642</v>
      </c>
      <c r="AA219" s="381">
        <v>31797579315.498253</v>
      </c>
      <c r="AB219" s="381">
        <v>31451736808.83596</v>
      </c>
      <c r="AC219" s="381">
        <v>31154414479.068432</v>
      </c>
      <c r="AD219" s="381">
        <v>31038879129.196228</v>
      </c>
      <c r="AE219" s="381">
        <v>30965358752.327019</v>
      </c>
      <c r="AF219" s="381">
        <v>30894040629.612606</v>
      </c>
      <c r="AG219" s="381">
        <v>30953752006.01923</v>
      </c>
      <c r="AH219" s="381">
        <v>31015396423.855938</v>
      </c>
      <c r="AI219" s="381">
        <v>31078970383.427551</v>
      </c>
      <c r="AJ219" s="381">
        <v>31144308061.426987</v>
      </c>
      <c r="AK219" s="381">
        <v>31211365589.409164</v>
      </c>
      <c r="AL219" s="381">
        <v>31280140328.042587</v>
      </c>
      <c r="AM219" s="381">
        <v>31350630517.782661</v>
      </c>
      <c r="AN219" s="381">
        <v>31422835278.859985</v>
      </c>
    </row>
    <row r="220" spans="1:40">
      <c r="A220" t="s">
        <v>45</v>
      </c>
      <c r="B220" t="s">
        <v>446</v>
      </c>
      <c r="C220" t="s">
        <v>448</v>
      </c>
      <c r="D220" t="str">
        <f t="shared" si="49"/>
        <v>Non-domestic heat demandLate</v>
      </c>
      <c r="E220" s="381">
        <v>18723008369.73642</v>
      </c>
      <c r="F220" s="381">
        <v>18769464337.131519</v>
      </c>
      <c r="G220" s="381">
        <v>18815920304.526627</v>
      </c>
      <c r="H220" s="381">
        <v>18862376271.921734</v>
      </c>
      <c r="I220" s="381">
        <v>18908832239.316837</v>
      </c>
      <c r="J220" s="381">
        <v>18955288206.711941</v>
      </c>
      <c r="K220" s="381">
        <v>19001744174.107048</v>
      </c>
      <c r="L220" s="381">
        <v>19048200141.502151</v>
      </c>
      <c r="M220" s="381">
        <v>19094656108.897255</v>
      </c>
      <c r="N220" s="381">
        <v>19114910898.069229</v>
      </c>
      <c r="O220" s="381">
        <v>19109114123.960613</v>
      </c>
      <c r="P220" s="381">
        <v>19020951698.133873</v>
      </c>
      <c r="Q220" s="381">
        <v>18862550634.895927</v>
      </c>
      <c r="R220" s="381">
        <v>18630355002.38142</v>
      </c>
      <c r="S220" s="381">
        <v>18341338818.354568</v>
      </c>
      <c r="T220" s="381">
        <v>18001715221.759354</v>
      </c>
      <c r="U220" s="381">
        <v>17604009386.336781</v>
      </c>
      <c r="V220" s="381">
        <v>17148948218.408297</v>
      </c>
      <c r="W220" s="381">
        <v>16646913334.777508</v>
      </c>
      <c r="X220" s="381">
        <v>16092379230.956268</v>
      </c>
      <c r="Y220" s="381">
        <v>15545471789.831762</v>
      </c>
      <c r="Z220" s="381">
        <v>15086163959.099766</v>
      </c>
      <c r="AA220" s="381">
        <v>14712611107.062933</v>
      </c>
      <c r="AB220" s="381">
        <v>14423389271.334539</v>
      </c>
      <c r="AC220" s="381">
        <v>14217497621.590458</v>
      </c>
      <c r="AD220" s="381">
        <v>14224612932.462683</v>
      </c>
      <c r="AE220" s="381">
        <v>14234579524.446821</v>
      </c>
      <c r="AF220" s="381">
        <v>14246896562.308302</v>
      </c>
      <c r="AG220" s="381">
        <v>14262049634.86224</v>
      </c>
      <c r="AH220" s="381">
        <v>14280034859.559984</v>
      </c>
      <c r="AI220" s="381">
        <v>14300848910.224224</v>
      </c>
      <c r="AJ220" s="381">
        <v>14324434646.29468</v>
      </c>
      <c r="AK220" s="381">
        <v>14350789436.651434</v>
      </c>
      <c r="AL220" s="381">
        <v>14379911346.646723</v>
      </c>
      <c r="AM220" s="381">
        <v>14411799138.967045</v>
      </c>
      <c r="AN220" s="381">
        <v>14446452274.796944</v>
      </c>
    </row>
    <row r="221" spans="1:40">
      <c r="A221" t="s">
        <v>45</v>
      </c>
      <c r="B221" t="s">
        <v>446</v>
      </c>
      <c r="C221" t="s">
        <v>449</v>
      </c>
      <c r="D221" t="str">
        <f t="shared" si="49"/>
        <v>Total domestic electricity demandLate</v>
      </c>
      <c r="E221" s="381">
        <v>11858086493.000008</v>
      </c>
      <c r="F221" s="381">
        <v>11983753946.175779</v>
      </c>
      <c r="G221" s="381">
        <v>12109421399.351551</v>
      </c>
      <c r="H221" s="381">
        <v>12235088852.527323</v>
      </c>
      <c r="I221" s="381">
        <v>12360756305.703093</v>
      </c>
      <c r="J221" s="381">
        <v>12486423758.878864</v>
      </c>
      <c r="K221" s="381">
        <v>12592778956.962723</v>
      </c>
      <c r="L221" s="381">
        <v>12699134155.046581</v>
      </c>
      <c r="M221" s="381">
        <v>12805489353.13044</v>
      </c>
      <c r="N221" s="381">
        <v>12834203506.119944</v>
      </c>
      <c r="O221" s="381">
        <v>12784791994.122627</v>
      </c>
      <c r="P221" s="381">
        <v>12634918667.527948</v>
      </c>
      <c r="Q221" s="381">
        <v>12405123271.3815</v>
      </c>
      <c r="R221" s="381">
        <v>12095668775.245964</v>
      </c>
      <c r="S221" s="381">
        <v>11707822923.359543</v>
      </c>
      <c r="T221" s="381">
        <v>11241444700.236912</v>
      </c>
      <c r="U221" s="381">
        <v>10683791508.948257</v>
      </c>
      <c r="V221" s="381">
        <v>10308455178.71595</v>
      </c>
      <c r="W221" s="381">
        <v>9889107010.2437096</v>
      </c>
      <c r="X221" s="381">
        <v>9425921554.4756889</v>
      </c>
      <c r="Y221" s="381">
        <v>8921164689.847229</v>
      </c>
      <c r="Z221" s="381">
        <v>8955702048.0942783</v>
      </c>
      <c r="AA221" s="381">
        <v>8990527711.7573338</v>
      </c>
      <c r="AB221" s="381">
        <v>9025641680.8363953</v>
      </c>
      <c r="AC221" s="381">
        <v>9061043955.3314629</v>
      </c>
      <c r="AD221" s="381">
        <v>9097664608.8085537</v>
      </c>
      <c r="AE221" s="381">
        <v>9134692128.6204777</v>
      </c>
      <c r="AF221" s="381">
        <v>9171790366.1059647</v>
      </c>
      <c r="AG221" s="381">
        <v>9210986484.3958893</v>
      </c>
      <c r="AH221" s="381">
        <v>9250253320.359375</v>
      </c>
      <c r="AI221" s="381">
        <v>9289590873.9964237</v>
      </c>
      <c r="AJ221" s="381">
        <v>9328999145.3070374</v>
      </c>
      <c r="AK221" s="381">
        <v>9368478134.2912102</v>
      </c>
      <c r="AL221" s="381">
        <v>9408027840.9489498</v>
      </c>
      <c r="AM221" s="381">
        <v>9447648265.2802525</v>
      </c>
      <c r="AN221" s="381">
        <v>9487339407.2851143</v>
      </c>
    </row>
    <row r="222" spans="1:40">
      <c r="A222" t="s">
        <v>45</v>
      </c>
      <c r="B222" t="s">
        <v>446</v>
      </c>
      <c r="C222" t="s">
        <v>450</v>
      </c>
      <c r="D222" t="str">
        <f t="shared" si="49"/>
        <v>Total non-domestic electricity demandLate</v>
      </c>
      <c r="E222" s="381">
        <v>19618605322.817085</v>
      </c>
      <c r="F222" s="381">
        <v>19701017110.02137</v>
      </c>
      <c r="G222" s="381">
        <v>19783428897.225655</v>
      </c>
      <c r="H222" s="381">
        <v>19865840684.429939</v>
      </c>
      <c r="I222" s="381">
        <v>19948252471.634224</v>
      </c>
      <c r="J222" s="381">
        <v>20030664258.838509</v>
      </c>
      <c r="K222" s="381">
        <v>20113076046.042797</v>
      </c>
      <c r="L222" s="381">
        <v>20195487833.247082</v>
      </c>
      <c r="M222" s="381">
        <v>20277899620.451366</v>
      </c>
      <c r="N222" s="381">
        <v>20309537020.186646</v>
      </c>
      <c r="O222" s="381">
        <v>20290402919.72657</v>
      </c>
      <c r="P222" s="381">
        <v>20198322319.55777</v>
      </c>
      <c r="Q222" s="381">
        <v>20054838457.532867</v>
      </c>
      <c r="R222" s="381">
        <v>19859929920.98901</v>
      </c>
      <c r="S222" s="381">
        <v>19614011525.927494</v>
      </c>
      <c r="T222" s="381">
        <v>19317300751.36441</v>
      </c>
      <c r="U222" s="381">
        <v>18969894898.205574</v>
      </c>
      <c r="V222" s="381">
        <v>18571916633.106911</v>
      </c>
      <c r="W222" s="381">
        <v>18123699558.891853</v>
      </c>
      <c r="X222" s="381">
        <v>17625246213.968155</v>
      </c>
      <c r="Y222" s="381">
        <v>17077424491.850475</v>
      </c>
      <c r="Z222" s="381">
        <v>17131346635.757444</v>
      </c>
      <c r="AA222" s="381">
        <v>17186398340.611675</v>
      </c>
      <c r="AB222" s="381">
        <v>17242580680.943039</v>
      </c>
      <c r="AC222" s="381">
        <v>17299894733.517151</v>
      </c>
      <c r="AD222" s="381">
        <v>17360241972.608482</v>
      </c>
      <c r="AE222" s="381">
        <v>17420642019.849964</v>
      </c>
      <c r="AF222" s="381">
        <v>17481094944.895428</v>
      </c>
      <c r="AG222" s="381">
        <v>17541600817.585991</v>
      </c>
      <c r="AH222" s="381">
        <v>17602159707.950668</v>
      </c>
      <c r="AI222" s="381">
        <v>17662771686.207073</v>
      </c>
      <c r="AJ222" s="381">
        <v>17723436822.762032</v>
      </c>
      <c r="AK222" s="381">
        <v>17784155188.212292</v>
      </c>
      <c r="AL222" s="381">
        <v>17844926853.345154</v>
      </c>
      <c r="AM222" s="381">
        <v>17905751889.139153</v>
      </c>
      <c r="AN222" s="381">
        <v>17966630366.764736</v>
      </c>
    </row>
    <row r="223" spans="1:40">
      <c r="A223" t="s">
        <v>45</v>
      </c>
      <c r="B223" t="s">
        <v>446</v>
      </c>
      <c r="C223" t="s">
        <v>451</v>
      </c>
      <c r="D223" t="str">
        <f t="shared" si="49"/>
        <v>Estimated additional cooking electricity demandLate</v>
      </c>
      <c r="E223" s="80">
        <v>0</v>
      </c>
      <c r="F223" s="106">
        <v>14170944.699998856</v>
      </c>
      <c r="G223" s="106">
        <v>28341889.399997711</v>
      </c>
      <c r="H223" s="106">
        <v>42512834.099996567</v>
      </c>
      <c r="I223" s="106">
        <v>56683778.799995422</v>
      </c>
      <c r="J223" s="106">
        <v>70854723.499994278</v>
      </c>
      <c r="K223" s="106">
        <v>85025668.199993134</v>
      </c>
      <c r="L223" s="106">
        <v>99196612.899991989</v>
      </c>
      <c r="M223" s="106">
        <v>113367557.59999084</v>
      </c>
      <c r="N223" s="106">
        <v>127538502.2999897</v>
      </c>
      <c r="O223" s="80">
        <v>141709447</v>
      </c>
      <c r="P223" s="106">
        <v>160285997</v>
      </c>
      <c r="Q223" s="106">
        <v>178862547</v>
      </c>
      <c r="R223" s="106">
        <v>197439097</v>
      </c>
      <c r="S223" s="106">
        <v>216015647</v>
      </c>
      <c r="T223" s="106">
        <v>234592197</v>
      </c>
      <c r="U223" s="106">
        <v>253168747</v>
      </c>
      <c r="V223" s="106">
        <v>271745297</v>
      </c>
      <c r="W223" s="106">
        <v>290321847</v>
      </c>
      <c r="X223" s="106">
        <v>308898397</v>
      </c>
      <c r="Y223" s="106">
        <v>327474947</v>
      </c>
      <c r="Z223" s="106">
        <v>346051497</v>
      </c>
      <c r="AA223" s="106">
        <v>364628047</v>
      </c>
      <c r="AB223" s="106">
        <v>383204597</v>
      </c>
      <c r="AC223" s="106">
        <v>401781147</v>
      </c>
      <c r="AD223" s="106">
        <v>420357697</v>
      </c>
      <c r="AE223" s="106">
        <v>438934247</v>
      </c>
      <c r="AF223" s="106">
        <v>457510797</v>
      </c>
      <c r="AG223" s="106">
        <v>476087347</v>
      </c>
      <c r="AH223" s="106">
        <v>494663897</v>
      </c>
      <c r="AI223" s="106">
        <v>513240447</v>
      </c>
      <c r="AJ223" s="106">
        <v>531816997</v>
      </c>
      <c r="AK223" s="106">
        <v>550393547</v>
      </c>
      <c r="AL223" s="106">
        <v>568970097</v>
      </c>
      <c r="AM223" s="106">
        <v>587546647</v>
      </c>
      <c r="AN223" s="80">
        <v>606123197</v>
      </c>
    </row>
    <row r="224" spans="1:40">
      <c r="A224" t="s">
        <v>45</v>
      </c>
      <c r="B224" t="s">
        <v>446</v>
      </c>
      <c r="C224" t="s">
        <v>372</v>
      </c>
      <c r="D224" t="str">
        <f t="shared" si="49"/>
        <v>Existing domestic heat demandLate</v>
      </c>
      <c r="E224" s="80">
        <v>34208540661.939991</v>
      </c>
      <c r="F224" s="106">
        <v>34208540661.939991</v>
      </c>
      <c r="G224" s="106">
        <v>34208540661.939991</v>
      </c>
      <c r="H224" s="106">
        <v>34208540661.939991</v>
      </c>
      <c r="I224" s="106">
        <v>34208540661.939991</v>
      </c>
      <c r="J224" s="106">
        <v>34208540661.939991</v>
      </c>
      <c r="K224" s="106">
        <v>34208540661.939991</v>
      </c>
      <c r="L224" s="106">
        <v>34208540661.939991</v>
      </c>
      <c r="M224" s="106">
        <v>34208540661.939991</v>
      </c>
      <c r="N224" s="106">
        <v>34191840653.048702</v>
      </c>
      <c r="O224" s="80">
        <v>34121434754.166946</v>
      </c>
      <c r="P224" s="106">
        <v>33976628893.989185</v>
      </c>
      <c r="Q224" s="106">
        <v>33757854373.769966</v>
      </c>
      <c r="R224" s="106">
        <v>33453305737.345074</v>
      </c>
      <c r="S224" s="106">
        <v>33088381254.030807</v>
      </c>
      <c r="T224" s="106">
        <v>32608821965.592499</v>
      </c>
      <c r="U224" s="106">
        <v>32057910814.715317</v>
      </c>
      <c r="V224" s="106">
        <v>31437350873.714607</v>
      </c>
      <c r="W224" s="106">
        <v>30797421549.870995</v>
      </c>
      <c r="X224" s="106">
        <v>30093417723.895309</v>
      </c>
      <c r="Y224" s="106">
        <v>29385768747.159531</v>
      </c>
      <c r="Z224" s="106">
        <v>28868317437.472988</v>
      </c>
      <c r="AA224" s="106">
        <v>28401044658.242271</v>
      </c>
      <c r="AB224" s="106">
        <v>27982997390.502651</v>
      </c>
      <c r="AC224" s="106">
        <v>27613470299.657795</v>
      </c>
      <c r="AD224" s="106">
        <v>27425730188.70826</v>
      </c>
      <c r="AE224" s="106">
        <v>27280005050.761719</v>
      </c>
      <c r="AF224" s="106">
        <v>27136482166.969978</v>
      </c>
      <c r="AG224" s="106">
        <v>27123988782.299274</v>
      </c>
      <c r="AH224" s="106">
        <v>27113428439.058651</v>
      </c>
      <c r="AI224" s="106">
        <v>27104797637.552937</v>
      </c>
      <c r="AJ224" s="106">
        <v>27097930554.475044</v>
      </c>
      <c r="AK224" s="106">
        <v>27092783321.37989</v>
      </c>
      <c r="AL224" s="106">
        <v>27089353298.935986</v>
      </c>
      <c r="AM224" s="106">
        <v>27087638727.598732</v>
      </c>
      <c r="AN224" s="80">
        <v>27087638727.598732</v>
      </c>
    </row>
    <row r="225" spans="1:40">
      <c r="A225" t="s">
        <v>45</v>
      </c>
      <c r="B225" t="s">
        <v>446</v>
      </c>
      <c r="C225" t="s">
        <v>373</v>
      </c>
      <c r="D225" t="str">
        <f t="shared" si="49"/>
        <v>Existing non-domestic heat demandLate</v>
      </c>
      <c r="E225" s="80">
        <v>18723008369.73642</v>
      </c>
      <c r="F225" s="106">
        <v>18723008369.736416</v>
      </c>
      <c r="G225" s="106">
        <v>18723008369.736416</v>
      </c>
      <c r="H225" s="106">
        <v>18723008369.73642</v>
      </c>
      <c r="I225" s="106">
        <v>18723008369.736416</v>
      </c>
      <c r="J225" s="106">
        <v>18723008369.736416</v>
      </c>
      <c r="K225" s="106">
        <v>18723008369.73642</v>
      </c>
      <c r="L225" s="106">
        <v>18723008369.736416</v>
      </c>
      <c r="M225" s="106">
        <v>18723008369.736416</v>
      </c>
      <c r="N225" s="106">
        <v>18696807191.513283</v>
      </c>
      <c r="O225" s="80">
        <v>18644457022.014736</v>
      </c>
      <c r="P225" s="106">
        <v>18521444447.071281</v>
      </c>
      <c r="Q225" s="106">
        <v>18328193234.716621</v>
      </c>
      <c r="R225" s="106">
        <v>18061147453.0854</v>
      </c>
      <c r="S225" s="106">
        <v>17737281119.941833</v>
      </c>
      <c r="T225" s="106">
        <v>17362807374.229904</v>
      </c>
      <c r="U225" s="106">
        <v>16930251389.690619</v>
      </c>
      <c r="V225" s="106">
        <v>16440340072.64542</v>
      </c>
      <c r="W225" s="106">
        <v>15903455039.897917</v>
      </c>
      <c r="X225" s="106">
        <v>15314070786.959965</v>
      </c>
      <c r="Y225" s="106">
        <v>14732313196.718744</v>
      </c>
      <c r="Z225" s="106">
        <v>14238155216.870033</v>
      </c>
      <c r="AA225" s="106">
        <v>13829752215.716488</v>
      </c>
      <c r="AB225" s="106">
        <v>13505680230.87138</v>
      </c>
      <c r="AC225" s="106">
        <v>13264938432.010584</v>
      </c>
      <c r="AD225" s="106">
        <v>13237203593.766094</v>
      </c>
      <c r="AE225" s="106">
        <v>13212320036.63352</v>
      </c>
      <c r="AF225" s="106">
        <v>13189786925.378286</v>
      </c>
      <c r="AG225" s="106">
        <v>13170089848.81551</v>
      </c>
      <c r="AH225" s="106">
        <v>13153224924.39654</v>
      </c>
      <c r="AI225" s="106">
        <v>13139188825.944065</v>
      </c>
      <c r="AJ225" s="106">
        <v>13127924412.897808</v>
      </c>
      <c r="AK225" s="106">
        <v>13119429054.137848</v>
      </c>
      <c r="AL225" s="106">
        <v>13113700815.016422</v>
      </c>
      <c r="AM225" s="106">
        <v>13110738458.220032</v>
      </c>
      <c r="AN225" s="80">
        <v>13110541444.933216</v>
      </c>
    </row>
    <row r="226" spans="1:40">
      <c r="A226" t="s">
        <v>45</v>
      </c>
      <c r="B226" t="s">
        <v>446</v>
      </c>
      <c r="C226" t="s">
        <v>374</v>
      </c>
      <c r="D226" t="str">
        <f t="shared" si="49"/>
        <v>Existing domestic electricity demandLate</v>
      </c>
      <c r="E226" s="80">
        <v>11858086493.000008</v>
      </c>
      <c r="F226" s="106">
        <v>11858086493.000008</v>
      </c>
      <c r="G226" s="106">
        <v>11858086493.000008</v>
      </c>
      <c r="H226" s="106">
        <v>11858086493.000008</v>
      </c>
      <c r="I226" s="106">
        <v>11858086493.000008</v>
      </c>
      <c r="J226" s="106">
        <v>11858086493.000008</v>
      </c>
      <c r="K226" s="106">
        <v>11858086493.000008</v>
      </c>
      <c r="L226" s="106">
        <v>11858086493.000008</v>
      </c>
      <c r="M226" s="106">
        <v>11858086493.000008</v>
      </c>
      <c r="N226" s="106">
        <v>11780445447.905653</v>
      </c>
      <c r="O226" s="80">
        <v>11624678737.824478</v>
      </c>
      <c r="P226" s="106">
        <v>11388705222.697163</v>
      </c>
      <c r="Q226" s="106">
        <v>11072809638.018078</v>
      </c>
      <c r="R226" s="106">
        <v>10677254953.349903</v>
      </c>
      <c r="S226" s="106">
        <v>10203308912.930847</v>
      </c>
      <c r="T226" s="106">
        <v>9650830501.2755795</v>
      </c>
      <c r="U226" s="106">
        <v>9053486167.9820595</v>
      </c>
      <c r="V226" s="106">
        <v>8638458695.7448883</v>
      </c>
      <c r="W226" s="106">
        <v>8179419385.2677851</v>
      </c>
      <c r="X226" s="106">
        <v>7676542787.4949017</v>
      </c>
      <c r="Y226" s="106">
        <v>7132094780.861578</v>
      </c>
      <c r="Z226" s="106">
        <v>7126940997.1037626</v>
      </c>
      <c r="AA226" s="106">
        <v>7122075518.7619543</v>
      </c>
      <c r="AB226" s="106">
        <v>7117498345.8361521</v>
      </c>
      <c r="AC226" s="106">
        <v>7113209478.3263569</v>
      </c>
      <c r="AD226" s="106">
        <v>7110138989.7985802</v>
      </c>
      <c r="AE226" s="106">
        <v>7107475367.6056404</v>
      </c>
      <c r="AF226" s="106">
        <v>7104882463.0862617</v>
      </c>
      <c r="AG226" s="106">
        <v>7104387439.3713207</v>
      </c>
      <c r="AH226" s="106">
        <v>7103963133.3299417</v>
      </c>
      <c r="AI226" s="106">
        <v>7103609544.9621258</v>
      </c>
      <c r="AJ226" s="106">
        <v>7103326674.2678738</v>
      </c>
      <c r="AK226" s="106">
        <v>7103114521.2471828</v>
      </c>
      <c r="AL226" s="106">
        <v>7102973085.9000568</v>
      </c>
      <c r="AM226" s="106">
        <v>7102902368.2264938</v>
      </c>
      <c r="AN226" s="80">
        <v>7102902368.2264938</v>
      </c>
    </row>
    <row r="227" spans="1:40">
      <c r="A227" t="s">
        <v>45</v>
      </c>
      <c r="B227" t="s">
        <v>446</v>
      </c>
      <c r="C227" t="s">
        <v>375</v>
      </c>
      <c r="D227" t="str">
        <f t="shared" si="49"/>
        <v>Existing non-domestic electricity demandLate</v>
      </c>
      <c r="E227" s="80">
        <v>19618605322.817085</v>
      </c>
      <c r="F227" s="106">
        <v>19618605322.817085</v>
      </c>
      <c r="G227" s="106">
        <v>19618605322.817085</v>
      </c>
      <c r="H227" s="106">
        <v>19618605322.817085</v>
      </c>
      <c r="I227" s="106">
        <v>19618605322.817085</v>
      </c>
      <c r="J227" s="106">
        <v>19618605322.817085</v>
      </c>
      <c r="K227" s="106">
        <v>19618605322.817085</v>
      </c>
      <c r="L227" s="106">
        <v>19618605322.817085</v>
      </c>
      <c r="M227" s="106">
        <v>19618605322.817085</v>
      </c>
      <c r="N227" s="106">
        <v>19567830935.34808</v>
      </c>
      <c r="O227" s="80">
        <v>19466285047.68372</v>
      </c>
      <c r="P227" s="106">
        <v>19313289947.611526</v>
      </c>
      <c r="Q227" s="106">
        <v>19108891585.683231</v>
      </c>
      <c r="R227" s="106">
        <v>18853068549.235985</v>
      </c>
      <c r="S227" s="106">
        <v>18546235654.271076</v>
      </c>
      <c r="T227" s="106">
        <v>18188610379.8046</v>
      </c>
      <c r="U227" s="106">
        <v>17780290026.742371</v>
      </c>
      <c r="V227" s="106">
        <v>17321397261.740318</v>
      </c>
      <c r="W227" s="106">
        <v>16812265687.621868</v>
      </c>
      <c r="X227" s="106">
        <v>16252897842.794775</v>
      </c>
      <c r="Y227" s="106">
        <v>15644161620.773705</v>
      </c>
      <c r="Z227" s="106">
        <v>15637169264.777283</v>
      </c>
      <c r="AA227" s="106">
        <v>15631306469.728123</v>
      </c>
      <c r="AB227" s="106">
        <v>15626574310.156094</v>
      </c>
      <c r="AC227" s="106">
        <v>15622973862.826811</v>
      </c>
      <c r="AD227" s="106">
        <v>15622406602.014751</v>
      </c>
      <c r="AE227" s="106">
        <v>15621892149.35284</v>
      </c>
      <c r="AF227" s="106">
        <v>15621430574.494913</v>
      </c>
      <c r="AG227" s="106">
        <v>15621021947.282085</v>
      </c>
      <c r="AH227" s="106">
        <v>15620666337.743372</v>
      </c>
      <c r="AI227" s="106">
        <v>15620363816.096382</v>
      </c>
      <c r="AJ227" s="106">
        <v>15620114452.74795</v>
      </c>
      <c r="AK227" s="106">
        <v>15619918318.294819</v>
      </c>
      <c r="AL227" s="106">
        <v>15619775483.524288</v>
      </c>
      <c r="AM227" s="106">
        <v>15619686019.414896</v>
      </c>
      <c r="AN227" s="80">
        <v>15619649997.137085</v>
      </c>
    </row>
    <row r="228" spans="1:40">
      <c r="A228" t="s">
        <v>45</v>
      </c>
      <c r="B228" t="s">
        <v>452</v>
      </c>
      <c r="C228" t="s">
        <v>380</v>
      </c>
      <c r="D228" t="str">
        <f t="shared" si="49"/>
        <v>% new domestic heat demand from solar thermalLate</v>
      </c>
      <c r="E228" s="381">
        <v>0</v>
      </c>
      <c r="F228" s="381">
        <v>0</v>
      </c>
      <c r="G228" s="381">
        <v>0</v>
      </c>
      <c r="H228" s="381">
        <v>0</v>
      </c>
      <c r="I228" s="381">
        <v>0</v>
      </c>
      <c r="J228" s="381">
        <v>0</v>
      </c>
      <c r="K228" s="381">
        <v>0</v>
      </c>
      <c r="L228" s="381">
        <v>0</v>
      </c>
      <c r="M228" s="381">
        <v>0</v>
      </c>
      <c r="N228" s="381">
        <v>0</v>
      </c>
      <c r="O228" s="381">
        <v>1.764525816367367E-3</v>
      </c>
      <c r="P228" s="381">
        <v>2.9724004889788154E-3</v>
      </c>
      <c r="Q228" s="381">
        <v>4.0241584118530438E-3</v>
      </c>
      <c r="R228" s="381">
        <v>4.9482292605430751E-3</v>
      </c>
      <c r="S228" s="381">
        <v>5.7665348272374229E-3</v>
      </c>
      <c r="T228" s="381">
        <v>6.4962503843421426E-3</v>
      </c>
      <c r="U228" s="381">
        <v>6.8066851718385614E-3</v>
      </c>
      <c r="V228" s="381">
        <v>7.1023636273792991E-3</v>
      </c>
      <c r="W228" s="381">
        <v>7.384313474962414E-3</v>
      </c>
      <c r="X228" s="381">
        <v>7.6534691676719271E-3</v>
      </c>
      <c r="Y228" s="381">
        <v>7.9106822339171587E-3</v>
      </c>
      <c r="Z228" s="381">
        <v>8.156730276353167E-3</v>
      </c>
      <c r="AA228" s="381">
        <v>8.3923248238279898E-3</v>
      </c>
      <c r="AB228" s="381">
        <v>8.618118203363407E-3</v>
      </c>
      <c r="AC228" s="381">
        <v>8.8347095719510851E-3</v>
      </c>
      <c r="AD228" s="381">
        <v>9.0426502256142315E-3</v>
      </c>
      <c r="AE228" s="381">
        <v>9.2424482847883616E-3</v>
      </c>
      <c r="AF228" s="381">
        <v>9.434572839857748E-3</v>
      </c>
      <c r="AG228" s="381">
        <v>9.6194576280470619E-3</v>
      </c>
      <c r="AH228" s="381">
        <v>9.7975043023346212E-3</v>
      </c>
      <c r="AI228" s="381">
        <v>9.9690853442411728E-3</v>
      </c>
      <c r="AJ228" s="381">
        <v>1.0134546664950405E-2</v>
      </c>
      <c r="AK228" s="381">
        <v>1.0294209932986088E-2</v>
      </c>
      <c r="AL228" s="381">
        <v>1.0448374661405149E-2</v>
      </c>
      <c r="AM228" s="381">
        <v>1.0597320083002508E-2</v>
      </c>
      <c r="AN228" s="381">
        <v>1.0741306838228919E-2</v>
      </c>
    </row>
    <row r="229" spans="1:40">
      <c r="A229" t="s">
        <v>45</v>
      </c>
      <c r="B229" t="s">
        <v>452</v>
      </c>
      <c r="C229" t="s">
        <v>381</v>
      </c>
      <c r="D229" t="str">
        <f t="shared" si="49"/>
        <v>% new non-domestic heat demand from solar thermalLate</v>
      </c>
      <c r="E229" s="381">
        <v>0</v>
      </c>
      <c r="F229" s="381">
        <v>0</v>
      </c>
      <c r="G229" s="381">
        <v>0</v>
      </c>
      <c r="H229" s="381">
        <v>0</v>
      </c>
      <c r="I229" s="381">
        <v>0</v>
      </c>
      <c r="J229" s="381">
        <v>0</v>
      </c>
      <c r="K229" s="381">
        <v>0</v>
      </c>
      <c r="L229" s="381">
        <v>0</v>
      </c>
      <c r="M229" s="381">
        <v>0</v>
      </c>
      <c r="N229" s="381">
        <v>0</v>
      </c>
      <c r="O229" s="381">
        <v>3.1043910336304567E-3</v>
      </c>
      <c r="P229" s="381">
        <v>5.0527938246838662E-3</v>
      </c>
      <c r="Q229" s="381">
        <v>6.7474685178328742E-3</v>
      </c>
      <c r="R229" s="381">
        <v>8.2349474045581347E-3</v>
      </c>
      <c r="S229" s="381">
        <v>9.5510399352342432E-3</v>
      </c>
      <c r="T229" s="381">
        <v>1.072375316995778E-2</v>
      </c>
      <c r="U229" s="381">
        <v>1.1775307046580754E-2</v>
      </c>
      <c r="V229" s="381">
        <v>1.2723555705702768E-2</v>
      </c>
      <c r="W229" s="381">
        <v>1.3583009533327365E-2</v>
      </c>
      <c r="X229" s="381">
        <v>1.4365582930216695E-2</v>
      </c>
      <c r="Y229" s="381">
        <v>1.5081150002357154E-2</v>
      </c>
      <c r="Z229" s="381">
        <v>1.5737963371709355E-2</v>
      </c>
      <c r="AA229" s="381">
        <v>1.6342973892187827E-2</v>
      </c>
      <c r="AB229" s="381">
        <v>1.6902077587672183E-2</v>
      </c>
      <c r="AC229" s="381">
        <v>1.7420308433372722E-2</v>
      </c>
      <c r="AD229" s="381">
        <v>1.7901990348697387E-2</v>
      </c>
      <c r="AE229" s="381">
        <v>1.8350858126996338E-2</v>
      </c>
      <c r="AF229" s="381">
        <v>1.877015446472648E-2</v>
      </c>
      <c r="AG229" s="381">
        <v>1.9162708425293957E-2</v>
      </c>
      <c r="AH229" s="381">
        <v>1.9530999353782996E-2</v>
      </c>
      <c r="AI229" s="381">
        <v>1.9877209295607882E-2</v>
      </c>
      <c r="AJ229" s="381">
        <v>2.0203266261252382E-2</v>
      </c>
      <c r="AK229" s="381">
        <v>2.0510880149332444E-2</v>
      </c>
      <c r="AL229" s="381">
        <v>2.0801572741466438E-2</v>
      </c>
      <c r="AM229" s="381">
        <v>2.1076702879749349E-2</v>
      </c>
      <c r="AN229" s="381">
        <v>2.1337487705959116E-2</v>
      </c>
    </row>
    <row r="230" spans="1:40">
      <c r="A230" t="s">
        <v>45</v>
      </c>
      <c r="B230" t="s">
        <v>452</v>
      </c>
      <c r="C230" t="s">
        <v>382</v>
      </c>
      <c r="D230" t="str">
        <f t="shared" si="49"/>
        <v>% existing domestic heat demand from solar thermalLate</v>
      </c>
      <c r="E230" s="381">
        <v>0</v>
      </c>
      <c r="F230" s="381">
        <v>0</v>
      </c>
      <c r="G230" s="381">
        <v>0</v>
      </c>
      <c r="H230" s="381">
        <v>0</v>
      </c>
      <c r="I230" s="381">
        <v>0</v>
      </c>
      <c r="J230" s="381">
        <v>0</v>
      </c>
      <c r="K230" s="381">
        <v>0</v>
      </c>
      <c r="L230" s="381">
        <v>0</v>
      </c>
      <c r="M230" s="381">
        <v>0</v>
      </c>
      <c r="N230" s="381">
        <v>0</v>
      </c>
      <c r="O230" s="381">
        <v>0</v>
      </c>
      <c r="P230" s="381">
        <v>2.602446711040277E-5</v>
      </c>
      <c r="Q230" s="381">
        <v>5.2305896393515284E-5</v>
      </c>
      <c r="R230" s="381">
        <v>7.9003603066527437E-5</v>
      </c>
      <c r="S230" s="381">
        <v>1.06229604396237E-4</v>
      </c>
      <c r="T230" s="381">
        <v>1.3428489038348702E-4</v>
      </c>
      <c r="U230" s="381">
        <v>1.6327964616167672E-4</v>
      </c>
      <c r="V230" s="381">
        <v>1.6578363944965566E-4</v>
      </c>
      <c r="W230" s="381">
        <v>1.6849528257314493E-4</v>
      </c>
      <c r="X230" s="381">
        <v>1.7161987931716758E-4</v>
      </c>
      <c r="Y230" s="381">
        <v>1.7491797483294149E-4</v>
      </c>
      <c r="Z230" s="381">
        <v>2.218007088561633E-4</v>
      </c>
      <c r="AA230" s="381">
        <v>3.1463375378950074E-4</v>
      </c>
      <c r="AB230" s="381">
        <v>4.5486836506579474E-4</v>
      </c>
      <c r="AC230" s="381">
        <v>6.4362982721008683E-4</v>
      </c>
      <c r="AD230" s="381">
        <v>8.7823760705214946E-4</v>
      </c>
      <c r="AE230" s="381">
        <v>1.1605886823159862E-3</v>
      </c>
      <c r="AF230" s="381">
        <v>1.4919400533432022E-3</v>
      </c>
      <c r="AG230" s="381">
        <v>1.8656360014221614E-3</v>
      </c>
      <c r="AH230" s="381">
        <v>2.2861492142517543E-3</v>
      </c>
      <c r="AI230" s="381">
        <v>2.753457274898985E-3</v>
      </c>
      <c r="AJ230" s="381">
        <v>3.1457709614087816E-3</v>
      </c>
      <c r="AK230" s="381">
        <v>3.4401164479980072E-3</v>
      </c>
      <c r="AL230" s="381">
        <v>3.6363992843843527E-3</v>
      </c>
      <c r="AM230" s="381">
        <v>3.734556461271619E-3</v>
      </c>
      <c r="AN230" s="381">
        <v>3.734556461271619E-3</v>
      </c>
    </row>
    <row r="231" spans="1:40">
      <c r="A231" t="s">
        <v>45</v>
      </c>
      <c r="B231" t="s">
        <v>452</v>
      </c>
      <c r="C231" t="s">
        <v>383</v>
      </c>
      <c r="D231" t="str">
        <f t="shared" si="49"/>
        <v>% existing non-domestic heat demand from solar thermalLate</v>
      </c>
      <c r="E231" s="381">
        <v>0</v>
      </c>
      <c r="F231" s="381">
        <v>0</v>
      </c>
      <c r="G231" s="381">
        <v>0</v>
      </c>
      <c r="H231" s="381">
        <v>0</v>
      </c>
      <c r="I231" s="381">
        <v>0</v>
      </c>
      <c r="J231" s="381">
        <v>0</v>
      </c>
      <c r="K231" s="381">
        <v>0</v>
      </c>
      <c r="L231" s="381">
        <v>0</v>
      </c>
      <c r="M231" s="381">
        <v>0</v>
      </c>
      <c r="N231" s="381">
        <v>0</v>
      </c>
      <c r="O231" s="381">
        <v>0</v>
      </c>
      <c r="P231" s="381">
        <v>5.7899586651705326E-5</v>
      </c>
      <c r="Q231" s="381">
        <v>1.1616562846294825E-4</v>
      </c>
      <c r="R231" s="381">
        <v>1.7496213737345687E-4</v>
      </c>
      <c r="S231" s="381">
        <v>2.3445730246799901E-4</v>
      </c>
      <c r="T231" s="381">
        <v>2.9481887706694378E-4</v>
      </c>
      <c r="U231" s="381">
        <v>3.5631672932935084E-4</v>
      </c>
      <c r="V231" s="381">
        <v>3.5934248497780988E-4</v>
      </c>
      <c r="W231" s="381">
        <v>3.6286700195206888E-4</v>
      </c>
      <c r="X231" s="381">
        <v>3.6702576424235044E-4</v>
      </c>
      <c r="Y231" s="381">
        <v>3.7146700146857683E-4</v>
      </c>
      <c r="Z231" s="381">
        <v>5.6477632639767995E-4</v>
      </c>
      <c r="AA231" s="381">
        <v>9.5074697519215406E-4</v>
      </c>
      <c r="AB231" s="381">
        <v>1.5333081052452168E-3</v>
      </c>
      <c r="AC231" s="381">
        <v>2.3163213770101528E-3</v>
      </c>
      <c r="AD231" s="381">
        <v>3.2822679238216166E-3</v>
      </c>
      <c r="AE231" s="381">
        <v>4.2932389359376377E-3</v>
      </c>
      <c r="AF231" s="381">
        <v>4.60854400764434E-3</v>
      </c>
      <c r="AG231" s="381">
        <v>4.9698379504273084E-3</v>
      </c>
      <c r="AH231" s="381">
        <v>5.3771990341727957E-3</v>
      </c>
      <c r="AI231" s="381">
        <v>5.8306727412791364E-3</v>
      </c>
      <c r="AJ231" s="381">
        <v>6.1946943270335337E-3</v>
      </c>
      <c r="AK231" s="381">
        <v>6.4688230540927722E-3</v>
      </c>
      <c r="AL231" s="381">
        <v>6.6526813889341684E-3</v>
      </c>
      <c r="AM231" s="381">
        <v>6.7459557434625681E-3</v>
      </c>
      <c r="AN231" s="381">
        <v>6.7483970376998647E-3</v>
      </c>
    </row>
    <row r="232" spans="1:40">
      <c r="A232" t="s">
        <v>45</v>
      </c>
      <c r="B232" t="s">
        <v>453</v>
      </c>
      <c r="C232" t="s">
        <v>384</v>
      </c>
      <c r="D232" t="str">
        <f t="shared" si="49"/>
        <v>Fuel Poor - Extended RE:NEWLate</v>
      </c>
      <c r="E232" s="381">
        <v>0</v>
      </c>
      <c r="F232" s="381">
        <v>0</v>
      </c>
      <c r="G232" s="381">
        <v>0</v>
      </c>
      <c r="H232" s="381">
        <v>0</v>
      </c>
      <c r="I232" s="381">
        <v>0</v>
      </c>
      <c r="J232" s="381">
        <v>0</v>
      </c>
      <c r="K232" s="381">
        <v>0</v>
      </c>
      <c r="L232" s="381">
        <v>0</v>
      </c>
      <c r="M232" s="381">
        <v>0</v>
      </c>
      <c r="N232" s="381">
        <v>0</v>
      </c>
      <c r="O232" s="381">
        <v>0</v>
      </c>
      <c r="P232" s="381">
        <v>988.97778691627832</v>
      </c>
      <c r="Q232" s="381">
        <v>1977.9555738325566</v>
      </c>
      <c r="R232" s="381">
        <v>2966.9333607488347</v>
      </c>
      <c r="S232" s="381">
        <v>2966.9333607488347</v>
      </c>
      <c r="T232" s="381">
        <v>2966.9333607488347</v>
      </c>
      <c r="U232" s="381">
        <v>2966.9333607488347</v>
      </c>
      <c r="V232" s="381">
        <v>2966.9333607488347</v>
      </c>
      <c r="W232" s="381">
        <v>2966.9333607488347</v>
      </c>
      <c r="X232" s="381">
        <v>2792.4078689400799</v>
      </c>
      <c r="Y232" s="381">
        <v>2617.882377131325</v>
      </c>
      <c r="Z232" s="381">
        <v>2443.3568853225697</v>
      </c>
      <c r="AA232" s="381">
        <v>2268.8313935138153</v>
      </c>
      <c r="AB232" s="381">
        <v>2094.30590170506</v>
      </c>
      <c r="AC232" s="381">
        <v>1919.7804098963052</v>
      </c>
      <c r="AD232" s="381">
        <v>1745.2549180875501</v>
      </c>
      <c r="AE232" s="381">
        <v>1570.729426278795</v>
      </c>
      <c r="AF232" s="381">
        <v>1396.2039344700402</v>
      </c>
      <c r="AG232" s="381">
        <v>1221.6784426612849</v>
      </c>
      <c r="AH232" s="381">
        <v>1047.15295085253</v>
      </c>
      <c r="AI232" s="381">
        <v>872.62745904377505</v>
      </c>
      <c r="AJ232" s="381">
        <v>698.10196723502008</v>
      </c>
      <c r="AK232" s="381">
        <v>523.57647542626512</v>
      </c>
      <c r="AL232" s="381">
        <v>349.05098361751016</v>
      </c>
      <c r="AM232" s="381">
        <v>174.52549180875513</v>
      </c>
      <c r="AN232" s="381">
        <v>1.1368683772161603E-13</v>
      </c>
    </row>
    <row r="233" spans="1:40">
      <c r="A233" t="s">
        <v>45</v>
      </c>
      <c r="B233" t="s">
        <v>453</v>
      </c>
      <c r="C233" t="s">
        <v>385</v>
      </c>
      <c r="D233" t="str">
        <f t="shared" si="49"/>
        <v>Fuel Poor - Landlord MEES - EPC CLate</v>
      </c>
      <c r="E233" s="381">
        <v>0</v>
      </c>
      <c r="F233" s="381">
        <v>0</v>
      </c>
      <c r="G233" s="381">
        <v>0</v>
      </c>
      <c r="H233" s="381">
        <v>0</v>
      </c>
      <c r="I233" s="381">
        <v>0</v>
      </c>
      <c r="J233" s="381">
        <v>0</v>
      </c>
      <c r="K233" s="381">
        <v>0</v>
      </c>
      <c r="L233" s="381">
        <v>0</v>
      </c>
      <c r="M233" s="381">
        <v>0</v>
      </c>
      <c r="N233" s="381">
        <v>903.58973214734544</v>
      </c>
      <c r="O233" s="381">
        <v>1807.1794642946909</v>
      </c>
      <c r="P233" s="381">
        <v>2710.7691964420364</v>
      </c>
      <c r="Q233" s="381">
        <v>3614.3589285893818</v>
      </c>
      <c r="R233" s="381">
        <v>4517.9486607367271</v>
      </c>
      <c r="S233" s="381">
        <v>5421.5383928840729</v>
      </c>
      <c r="T233" s="381">
        <v>6325.1281250314178</v>
      </c>
      <c r="U233" s="381">
        <v>7228.7178571787636</v>
      </c>
      <c r="V233" s="381">
        <v>8132.3075893261093</v>
      </c>
      <c r="W233" s="381">
        <v>9035.8973214734542</v>
      </c>
      <c r="X233" s="381">
        <v>9939.4870536208</v>
      </c>
      <c r="Y233" s="381">
        <v>9939.4870536208</v>
      </c>
      <c r="Z233" s="381">
        <v>0</v>
      </c>
      <c r="AA233" s="381">
        <v>0</v>
      </c>
      <c r="AB233" s="381">
        <v>0</v>
      </c>
      <c r="AC233" s="381">
        <v>0</v>
      </c>
      <c r="AD233" s="381">
        <v>0</v>
      </c>
      <c r="AE233" s="381">
        <v>0</v>
      </c>
      <c r="AF233" s="381">
        <v>0</v>
      </c>
      <c r="AG233" s="381">
        <v>0</v>
      </c>
      <c r="AH233" s="381">
        <v>0</v>
      </c>
      <c r="AI233" s="381">
        <v>0</v>
      </c>
      <c r="AJ233" s="381">
        <v>0</v>
      </c>
      <c r="AK233" s="381">
        <v>0</v>
      </c>
      <c r="AL233" s="381">
        <v>0</v>
      </c>
      <c r="AM233" s="381">
        <v>0</v>
      </c>
      <c r="AN233" s="381">
        <v>0</v>
      </c>
    </row>
    <row r="234" spans="1:40">
      <c r="A234" t="s">
        <v>45</v>
      </c>
      <c r="B234" t="s">
        <v>453</v>
      </c>
      <c r="C234" t="s">
        <v>386</v>
      </c>
      <c r="D234" t="str">
        <f t="shared" si="49"/>
        <v>Fuel Poor - All buildings MEES - EPC CLate</v>
      </c>
      <c r="E234" s="80">
        <v>0</v>
      </c>
      <c r="F234" s="106">
        <v>0</v>
      </c>
      <c r="G234" s="106">
        <v>0</v>
      </c>
      <c r="H234" s="106">
        <v>0</v>
      </c>
      <c r="I234" s="106">
        <v>0</v>
      </c>
      <c r="J234" s="106">
        <v>0</v>
      </c>
      <c r="K234" s="106">
        <v>0</v>
      </c>
      <c r="L234" s="106">
        <v>0</v>
      </c>
      <c r="M234" s="106">
        <v>0</v>
      </c>
      <c r="N234" s="106">
        <v>0</v>
      </c>
      <c r="O234" s="80">
        <v>0</v>
      </c>
      <c r="P234" s="106">
        <v>2900.962946048905</v>
      </c>
      <c r="Q234" s="106">
        <v>5801.92589209781</v>
      </c>
      <c r="R234" s="106">
        <v>8702.8888381467132</v>
      </c>
      <c r="S234" s="106">
        <v>11603.85178419562</v>
      </c>
      <c r="T234" s="106">
        <v>14504.814730244525</v>
      </c>
      <c r="U234" s="106">
        <v>17405.777676293426</v>
      </c>
      <c r="V234" s="106">
        <v>20306.740622342335</v>
      </c>
      <c r="W234" s="106">
        <v>23207.70356839124</v>
      </c>
      <c r="X234" s="106">
        <v>26108.666514440141</v>
      </c>
      <c r="Y234" s="106">
        <v>26108.666514440141</v>
      </c>
      <c r="Z234" s="106">
        <v>0</v>
      </c>
      <c r="AA234" s="106">
        <v>0</v>
      </c>
      <c r="AB234" s="106">
        <v>0</v>
      </c>
      <c r="AC234" s="106">
        <v>0</v>
      </c>
      <c r="AD234" s="106">
        <v>0</v>
      </c>
      <c r="AE234" s="106">
        <v>0</v>
      </c>
      <c r="AF234" s="106">
        <v>0</v>
      </c>
      <c r="AG234" s="106">
        <v>0</v>
      </c>
      <c r="AH234" s="106">
        <v>0</v>
      </c>
      <c r="AI234" s="106">
        <v>0</v>
      </c>
      <c r="AJ234" s="106">
        <v>0</v>
      </c>
      <c r="AK234" s="106">
        <v>0</v>
      </c>
      <c r="AL234" s="106">
        <v>0</v>
      </c>
      <c r="AM234" s="106">
        <v>0</v>
      </c>
      <c r="AN234" s="80">
        <v>0</v>
      </c>
    </row>
    <row r="235" spans="1:40">
      <c r="A235" t="s">
        <v>45</v>
      </c>
      <c r="B235" t="s">
        <v>453</v>
      </c>
      <c r="C235" t="s">
        <v>387</v>
      </c>
      <c r="D235" t="str">
        <f t="shared" si="49"/>
        <v>Fuel Poor - Extended energy LeapLate</v>
      </c>
      <c r="E235" s="80">
        <v>0</v>
      </c>
      <c r="F235" s="106">
        <v>0</v>
      </c>
      <c r="G235" s="106">
        <v>0</v>
      </c>
      <c r="H235" s="106">
        <v>0</v>
      </c>
      <c r="I235" s="106">
        <v>0</v>
      </c>
      <c r="J235" s="106">
        <v>0</v>
      </c>
      <c r="K235" s="106">
        <v>0</v>
      </c>
      <c r="L235" s="106">
        <v>0</v>
      </c>
      <c r="M235" s="106">
        <v>0</v>
      </c>
      <c r="N235" s="106">
        <v>0</v>
      </c>
      <c r="O235" s="80">
        <v>0</v>
      </c>
      <c r="P235" s="106">
        <v>0</v>
      </c>
      <c r="Q235" s="106">
        <v>0</v>
      </c>
      <c r="R235" s="106">
        <v>0</v>
      </c>
      <c r="S235" s="106">
        <v>0</v>
      </c>
      <c r="T235" s="106">
        <v>385.89525411046941</v>
      </c>
      <c r="U235" s="106">
        <v>771.79050822093882</v>
      </c>
      <c r="V235" s="106">
        <v>1157.6857623314081</v>
      </c>
      <c r="W235" s="106">
        <v>1543.5810164418776</v>
      </c>
      <c r="X235" s="106">
        <v>1929.4762705523469</v>
      </c>
      <c r="Y235" s="106">
        <v>2315.3715246628162</v>
      </c>
      <c r="Z235" s="106">
        <v>2701.2667787732858</v>
      </c>
      <c r="AA235" s="106">
        <v>3087.1620328837553</v>
      </c>
      <c r="AB235" s="106">
        <v>3473.0572869942243</v>
      </c>
      <c r="AC235" s="106">
        <v>3858.9525411046939</v>
      </c>
      <c r="AD235" s="106">
        <v>3858.9525411046939</v>
      </c>
      <c r="AE235" s="106">
        <v>3858.9525411046939</v>
      </c>
      <c r="AF235" s="106">
        <v>3858.9525411046939</v>
      </c>
      <c r="AG235" s="106">
        <v>0</v>
      </c>
      <c r="AH235" s="106">
        <v>0</v>
      </c>
      <c r="AI235" s="106">
        <v>0</v>
      </c>
      <c r="AJ235" s="106">
        <v>0</v>
      </c>
      <c r="AK235" s="106">
        <v>0</v>
      </c>
      <c r="AL235" s="106">
        <v>0</v>
      </c>
      <c r="AM235" s="106">
        <v>0</v>
      </c>
      <c r="AN235" s="80">
        <v>0</v>
      </c>
    </row>
    <row r="236" spans="1:40">
      <c r="A236" t="s">
        <v>45</v>
      </c>
      <c r="B236" t="s">
        <v>453</v>
      </c>
      <c r="C236" t="s">
        <v>388</v>
      </c>
      <c r="D236" t="str">
        <f t="shared" si="49"/>
        <v>Social housing - Extended RE:NEWLate</v>
      </c>
      <c r="E236" s="381">
        <v>0</v>
      </c>
      <c r="F236" s="381">
        <v>0</v>
      </c>
      <c r="G236" s="381">
        <v>0</v>
      </c>
      <c r="H236" s="381">
        <v>0</v>
      </c>
      <c r="I236" s="381">
        <v>0</v>
      </c>
      <c r="J236" s="381">
        <v>0</v>
      </c>
      <c r="K236" s="381">
        <v>0</v>
      </c>
      <c r="L236" s="381">
        <v>0</v>
      </c>
      <c r="M236" s="381">
        <v>0</v>
      </c>
      <c r="N236" s="381">
        <v>0</v>
      </c>
      <c r="O236" s="381">
        <v>0</v>
      </c>
      <c r="P236" s="381">
        <v>1974.5503500913874</v>
      </c>
      <c r="Q236" s="381">
        <v>3949.1007001827747</v>
      </c>
      <c r="R236" s="381">
        <v>5923.6510502741621</v>
      </c>
      <c r="S236" s="381">
        <v>5923.6510502741621</v>
      </c>
      <c r="T236" s="381">
        <v>5923.6510502741621</v>
      </c>
      <c r="U236" s="381">
        <v>5923.6510502741621</v>
      </c>
      <c r="V236" s="381">
        <v>5923.6510502741621</v>
      </c>
      <c r="W236" s="381">
        <v>5923.6510502741621</v>
      </c>
      <c r="X236" s="381">
        <v>5575.2009884933286</v>
      </c>
      <c r="Y236" s="381">
        <v>5226.7509267124969</v>
      </c>
      <c r="Z236" s="381">
        <v>4878.3008649316635</v>
      </c>
      <c r="AA236" s="381">
        <v>4529.85080315083</v>
      </c>
      <c r="AB236" s="381">
        <v>4181.4007413699974</v>
      </c>
      <c r="AC236" s="381">
        <v>3832.9506795891639</v>
      </c>
      <c r="AD236" s="381">
        <v>3484.5006178083313</v>
      </c>
      <c r="AE236" s="381">
        <v>3136.0505560274978</v>
      </c>
      <c r="AF236" s="381">
        <v>2787.6004942466652</v>
      </c>
      <c r="AG236" s="381">
        <v>2439.1504324658317</v>
      </c>
      <c r="AH236" s="381">
        <v>2090.7003706849991</v>
      </c>
      <c r="AI236" s="381">
        <v>1742.2503089041656</v>
      </c>
      <c r="AJ236" s="381">
        <v>1393.8002471233328</v>
      </c>
      <c r="AK236" s="381">
        <v>1045.3501853424996</v>
      </c>
      <c r="AL236" s="381">
        <v>696.90012356166653</v>
      </c>
      <c r="AM236" s="381">
        <v>348.45006178083349</v>
      </c>
      <c r="AN236" s="381">
        <v>4.5474735088646412E-13</v>
      </c>
    </row>
    <row r="237" spans="1:40">
      <c r="A237" t="s">
        <v>45</v>
      </c>
      <c r="B237" t="s">
        <v>453</v>
      </c>
      <c r="C237" t="s">
        <v>389</v>
      </c>
      <c r="D237" t="str">
        <f t="shared" si="49"/>
        <v>Social housing - All buildings MEES - EPC CLate</v>
      </c>
      <c r="E237" s="381">
        <v>0</v>
      </c>
      <c r="F237" s="381">
        <v>0</v>
      </c>
      <c r="G237" s="381">
        <v>0</v>
      </c>
      <c r="H237" s="381">
        <v>0</v>
      </c>
      <c r="I237" s="381">
        <v>0</v>
      </c>
      <c r="J237" s="381">
        <v>0</v>
      </c>
      <c r="K237" s="381">
        <v>0</v>
      </c>
      <c r="L237" s="381">
        <v>0</v>
      </c>
      <c r="M237" s="381">
        <v>0</v>
      </c>
      <c r="N237" s="381">
        <v>0</v>
      </c>
      <c r="O237" s="381">
        <v>0</v>
      </c>
      <c r="P237" s="381">
        <v>3790.6094738002512</v>
      </c>
      <c r="Q237" s="381">
        <v>7581.2189476005024</v>
      </c>
      <c r="R237" s="381">
        <v>11371.828421400753</v>
      </c>
      <c r="S237" s="381">
        <v>15162.437895201005</v>
      </c>
      <c r="T237" s="381">
        <v>18953.047369001259</v>
      </c>
      <c r="U237" s="381">
        <v>22743.656842801505</v>
      </c>
      <c r="V237" s="381">
        <v>26534.266316601759</v>
      </c>
      <c r="W237" s="381">
        <v>30324.875790402009</v>
      </c>
      <c r="X237" s="381">
        <v>34115.48526420226</v>
      </c>
      <c r="Y237" s="381">
        <v>34115.48526420226</v>
      </c>
      <c r="Z237" s="381">
        <v>27292.388211361809</v>
      </c>
      <c r="AA237" s="381">
        <v>20469.291158521359</v>
      </c>
      <c r="AB237" s="381">
        <v>13646.194105680903</v>
      </c>
      <c r="AC237" s="381">
        <v>6823.0970528404523</v>
      </c>
      <c r="AD237" s="381">
        <v>1.8189894035458565E-12</v>
      </c>
      <c r="AE237" s="381">
        <v>0</v>
      </c>
      <c r="AF237" s="381">
        <v>0</v>
      </c>
      <c r="AG237" s="381">
        <v>0</v>
      </c>
      <c r="AH237" s="381">
        <v>0</v>
      </c>
      <c r="AI237" s="381">
        <v>0</v>
      </c>
      <c r="AJ237" s="381">
        <v>0</v>
      </c>
      <c r="AK237" s="381">
        <v>0</v>
      </c>
      <c r="AL237" s="381">
        <v>0</v>
      </c>
      <c r="AM237" s="381">
        <v>0</v>
      </c>
      <c r="AN237" s="381">
        <v>0</v>
      </c>
    </row>
    <row r="238" spans="1:40">
      <c r="A238" t="s">
        <v>45</v>
      </c>
      <c r="B238" t="s">
        <v>453</v>
      </c>
      <c r="C238" t="s">
        <v>390</v>
      </c>
      <c r="D238" t="str">
        <f t="shared" si="49"/>
        <v>Social housing - Extended energy LeapLate</v>
      </c>
      <c r="E238" s="381">
        <v>0</v>
      </c>
      <c r="F238" s="381">
        <v>0</v>
      </c>
      <c r="G238" s="381">
        <v>0</v>
      </c>
      <c r="H238" s="381">
        <v>0</v>
      </c>
      <c r="I238" s="381">
        <v>0</v>
      </c>
      <c r="J238" s="381">
        <v>0</v>
      </c>
      <c r="K238" s="381">
        <v>0</v>
      </c>
      <c r="L238" s="381">
        <v>0</v>
      </c>
      <c r="M238" s="381">
        <v>0</v>
      </c>
      <c r="N238" s="381">
        <v>0</v>
      </c>
      <c r="O238" s="381">
        <v>0</v>
      </c>
      <c r="P238" s="381">
        <v>0</v>
      </c>
      <c r="Q238" s="381">
        <v>0</v>
      </c>
      <c r="R238" s="381">
        <v>0</v>
      </c>
      <c r="S238" s="381">
        <v>0</v>
      </c>
      <c r="T238" s="381">
        <v>509.66177798994977</v>
      </c>
      <c r="U238" s="381">
        <v>1019.3235559798995</v>
      </c>
      <c r="V238" s="381">
        <v>1528.9853339698493</v>
      </c>
      <c r="W238" s="381">
        <v>2038.6471119597991</v>
      </c>
      <c r="X238" s="381">
        <v>2548.3088899497488</v>
      </c>
      <c r="Y238" s="381">
        <v>3057.9706679396986</v>
      </c>
      <c r="Z238" s="381">
        <v>3567.6324459296484</v>
      </c>
      <c r="AA238" s="381">
        <v>4077.2942239195982</v>
      </c>
      <c r="AB238" s="381">
        <v>4586.9560019095479</v>
      </c>
      <c r="AC238" s="381">
        <v>5096.6177798994977</v>
      </c>
      <c r="AD238" s="381">
        <v>5096.6177798994977</v>
      </c>
      <c r="AE238" s="381">
        <v>5096.6177798994977</v>
      </c>
      <c r="AF238" s="381">
        <v>5096.6177798994977</v>
      </c>
      <c r="AG238" s="381">
        <v>0</v>
      </c>
      <c r="AH238" s="381">
        <v>0</v>
      </c>
      <c r="AI238" s="381">
        <v>0</v>
      </c>
      <c r="AJ238" s="381">
        <v>0</v>
      </c>
      <c r="AK238" s="381">
        <v>0</v>
      </c>
      <c r="AL238" s="381">
        <v>0</v>
      </c>
      <c r="AM238" s="381">
        <v>0</v>
      </c>
      <c r="AN238" s="381">
        <v>0</v>
      </c>
    </row>
    <row r="239" spans="1:40">
      <c r="A239" t="s">
        <v>45</v>
      </c>
      <c r="B239" t="s">
        <v>453</v>
      </c>
      <c r="C239" t="s">
        <v>391</v>
      </c>
      <c r="D239" t="str">
        <f t="shared" si="49"/>
        <v>Able to pay - Building Regulations and planning policyLate</v>
      </c>
      <c r="E239" s="381">
        <v>0</v>
      </c>
      <c r="F239" s="381">
        <v>0</v>
      </c>
      <c r="G239" s="381">
        <v>0</v>
      </c>
      <c r="H239" s="381">
        <v>0</v>
      </c>
      <c r="I239" s="381">
        <v>0</v>
      </c>
      <c r="J239" s="381">
        <v>0</v>
      </c>
      <c r="K239" s="381">
        <v>0</v>
      </c>
      <c r="L239" s="381">
        <v>0</v>
      </c>
      <c r="M239" s="381">
        <v>0</v>
      </c>
      <c r="N239" s="381">
        <v>0</v>
      </c>
      <c r="O239" s="381">
        <v>8046.9723287404267</v>
      </c>
      <c r="P239" s="381">
        <v>8046.9723287404267</v>
      </c>
      <c r="Q239" s="381">
        <v>8046.9723287404267</v>
      </c>
      <c r="R239" s="381">
        <v>8046.9723287404267</v>
      </c>
      <c r="S239" s="381">
        <v>8046.9723287404267</v>
      </c>
      <c r="T239" s="381">
        <v>8046.9723287404267</v>
      </c>
      <c r="U239" s="381">
        <v>8046.9723287404267</v>
      </c>
      <c r="V239" s="381">
        <v>8046.9723287404267</v>
      </c>
      <c r="W239" s="381">
        <v>0</v>
      </c>
      <c r="X239" s="381">
        <v>0</v>
      </c>
      <c r="Y239" s="381">
        <v>0</v>
      </c>
      <c r="Z239" s="381">
        <v>0</v>
      </c>
      <c r="AA239" s="381">
        <v>0</v>
      </c>
      <c r="AB239" s="381">
        <v>0</v>
      </c>
      <c r="AC239" s="381">
        <v>0</v>
      </c>
      <c r="AD239" s="381">
        <v>0</v>
      </c>
      <c r="AE239" s="381">
        <v>0</v>
      </c>
      <c r="AF239" s="381">
        <v>0</v>
      </c>
      <c r="AG239" s="381">
        <v>0</v>
      </c>
      <c r="AH239" s="381">
        <v>0</v>
      </c>
      <c r="AI239" s="381">
        <v>0</v>
      </c>
      <c r="AJ239" s="381">
        <v>0</v>
      </c>
      <c r="AK239" s="381">
        <v>0</v>
      </c>
      <c r="AL239" s="381">
        <v>0</v>
      </c>
      <c r="AM239" s="381">
        <v>0</v>
      </c>
      <c r="AN239" s="381">
        <v>0</v>
      </c>
    </row>
    <row r="240" spans="1:40">
      <c r="A240" t="s">
        <v>45</v>
      </c>
      <c r="B240" t="s">
        <v>453</v>
      </c>
      <c r="C240" t="s">
        <v>392</v>
      </c>
      <c r="D240" t="str">
        <f t="shared" si="49"/>
        <v>Able to pay - Council tax variation by EPCLate</v>
      </c>
      <c r="E240" s="381">
        <v>0</v>
      </c>
      <c r="F240" s="381">
        <v>0</v>
      </c>
      <c r="G240" s="381">
        <v>0</v>
      </c>
      <c r="H240" s="381">
        <v>0</v>
      </c>
      <c r="I240" s="381">
        <v>0</v>
      </c>
      <c r="J240" s="381">
        <v>0</v>
      </c>
      <c r="K240" s="381">
        <v>0</v>
      </c>
      <c r="L240" s="381">
        <v>0</v>
      </c>
      <c r="M240" s="381">
        <v>0</v>
      </c>
      <c r="N240" s="381">
        <v>0</v>
      </c>
      <c r="O240" s="381">
        <v>0</v>
      </c>
      <c r="P240" s="381">
        <v>0</v>
      </c>
      <c r="Q240" s="381">
        <v>0</v>
      </c>
      <c r="R240" s="381">
        <v>2571.3750702388747</v>
      </c>
      <c r="S240" s="381">
        <v>2571.3750702388747</v>
      </c>
      <c r="T240" s="381">
        <v>2571.3750702388747</v>
      </c>
      <c r="U240" s="381">
        <v>2571.3750702388747</v>
      </c>
      <c r="V240" s="381">
        <v>2571.3750702388747</v>
      </c>
      <c r="W240" s="381">
        <v>0</v>
      </c>
      <c r="X240" s="381">
        <v>0</v>
      </c>
      <c r="Y240" s="381">
        <v>0</v>
      </c>
      <c r="Z240" s="381">
        <v>0</v>
      </c>
      <c r="AA240" s="381">
        <v>0</v>
      </c>
      <c r="AB240" s="381">
        <v>0</v>
      </c>
      <c r="AC240" s="381">
        <v>0</v>
      </c>
      <c r="AD240" s="381">
        <v>0</v>
      </c>
      <c r="AE240" s="381">
        <v>0</v>
      </c>
      <c r="AF240" s="381">
        <v>0</v>
      </c>
      <c r="AG240" s="381">
        <v>0</v>
      </c>
      <c r="AH240" s="381">
        <v>0</v>
      </c>
      <c r="AI240" s="381">
        <v>0</v>
      </c>
      <c r="AJ240" s="381">
        <v>0</v>
      </c>
      <c r="AK240" s="381">
        <v>0</v>
      </c>
      <c r="AL240" s="381">
        <v>0</v>
      </c>
      <c r="AM240" s="381">
        <v>0</v>
      </c>
      <c r="AN240" s="381">
        <v>0</v>
      </c>
    </row>
    <row r="241" spans="1:40">
      <c r="A241" t="s">
        <v>45</v>
      </c>
      <c r="B241" t="s">
        <v>453</v>
      </c>
      <c r="C241" t="s">
        <v>393</v>
      </c>
      <c r="D241" t="str">
        <f t="shared" si="49"/>
        <v>Able to pay - Landlord MEES - EPC CLate</v>
      </c>
      <c r="E241" s="381">
        <v>0</v>
      </c>
      <c r="F241" s="381">
        <v>0</v>
      </c>
      <c r="G241" s="381">
        <v>0</v>
      </c>
      <c r="H241" s="381">
        <v>0</v>
      </c>
      <c r="I241" s="381">
        <v>0</v>
      </c>
      <c r="J241" s="381">
        <v>0</v>
      </c>
      <c r="K241" s="381">
        <v>0</v>
      </c>
      <c r="L241" s="381">
        <v>0</v>
      </c>
      <c r="M241" s="381">
        <v>0</v>
      </c>
      <c r="N241" s="381">
        <v>2557.3203580175409</v>
      </c>
      <c r="O241" s="381">
        <v>5114.6407160350818</v>
      </c>
      <c r="P241" s="381">
        <v>7671.9610740526223</v>
      </c>
      <c r="Q241" s="381">
        <v>10229.281432070164</v>
      </c>
      <c r="R241" s="381">
        <v>12786.601790087705</v>
      </c>
      <c r="S241" s="381">
        <v>15343.922148105245</v>
      </c>
      <c r="T241" s="381">
        <v>17901.242506122788</v>
      </c>
      <c r="U241" s="381">
        <v>20458.562864140327</v>
      </c>
      <c r="V241" s="381">
        <v>23015.883222157867</v>
      </c>
      <c r="W241" s="381">
        <v>25573.20358017541</v>
      </c>
      <c r="X241" s="381">
        <v>28130.52393819295</v>
      </c>
      <c r="Y241" s="381">
        <v>28130.52393819295</v>
      </c>
      <c r="Z241" s="381">
        <v>22504.41915055436</v>
      </c>
      <c r="AA241" s="381">
        <v>16878.314362915771</v>
      </c>
      <c r="AB241" s="381">
        <v>11252.209575277178</v>
      </c>
      <c r="AC241" s="381">
        <v>5626.1047876385892</v>
      </c>
      <c r="AD241" s="381">
        <v>0</v>
      </c>
      <c r="AE241" s="381">
        <v>0</v>
      </c>
      <c r="AF241" s="381">
        <v>0</v>
      </c>
      <c r="AG241" s="381">
        <v>0</v>
      </c>
      <c r="AH241" s="381">
        <v>0</v>
      </c>
      <c r="AI241" s="381">
        <v>0</v>
      </c>
      <c r="AJ241" s="381">
        <v>0</v>
      </c>
      <c r="AK241" s="381">
        <v>0</v>
      </c>
      <c r="AL241" s="381">
        <v>0</v>
      </c>
      <c r="AM241" s="381">
        <v>0</v>
      </c>
      <c r="AN241" s="381">
        <v>0</v>
      </c>
    </row>
    <row r="242" spans="1:40">
      <c r="A242" t="s">
        <v>45</v>
      </c>
      <c r="B242" t="s">
        <v>453</v>
      </c>
      <c r="C242" t="s">
        <v>394</v>
      </c>
      <c r="D242" t="str">
        <f t="shared" si="49"/>
        <v>Able to pay - Stamp duty energy efficiency scalingLate</v>
      </c>
      <c r="E242" s="80">
        <v>0</v>
      </c>
      <c r="F242" s="106">
        <v>0</v>
      </c>
      <c r="G242" s="106">
        <v>0</v>
      </c>
      <c r="H242" s="106">
        <v>0</v>
      </c>
      <c r="I242" s="106">
        <v>0</v>
      </c>
      <c r="J242" s="106">
        <v>0</v>
      </c>
      <c r="K242" s="106">
        <v>0</v>
      </c>
      <c r="L242" s="106">
        <v>0</v>
      </c>
      <c r="M242" s="106">
        <v>0</v>
      </c>
      <c r="N242" s="106">
        <v>0</v>
      </c>
      <c r="O242" s="80">
        <v>0</v>
      </c>
      <c r="P242" s="106">
        <v>0</v>
      </c>
      <c r="Q242" s="106">
        <v>0</v>
      </c>
      <c r="R242" s="106">
        <v>0</v>
      </c>
      <c r="S242" s="106">
        <v>0</v>
      </c>
      <c r="T242" s="106">
        <v>8571.2502341295822</v>
      </c>
      <c r="U242" s="106">
        <v>8571.2502341295822</v>
      </c>
      <c r="V242" s="106">
        <v>8571.2502341295822</v>
      </c>
      <c r="W242" s="106">
        <v>8571.2502341295822</v>
      </c>
      <c r="X242" s="106">
        <v>8571.2502341295822</v>
      </c>
      <c r="Y242" s="106">
        <v>8571.2502341295822</v>
      </c>
      <c r="Z242" s="106">
        <v>8571.2502341295822</v>
      </c>
      <c r="AA242" s="106">
        <v>8571.2502341295822</v>
      </c>
      <c r="AB242" s="106">
        <v>8571.2502341295822</v>
      </c>
      <c r="AC242" s="106">
        <v>8571.2502341295822</v>
      </c>
      <c r="AD242" s="106">
        <v>8571.2502341295822</v>
      </c>
      <c r="AE242" s="106">
        <v>0</v>
      </c>
      <c r="AF242" s="106">
        <v>0</v>
      </c>
      <c r="AG242" s="106">
        <v>0</v>
      </c>
      <c r="AH242" s="106">
        <v>0</v>
      </c>
      <c r="AI242" s="106">
        <v>0</v>
      </c>
      <c r="AJ242" s="106">
        <v>0</v>
      </c>
      <c r="AK242" s="106">
        <v>0</v>
      </c>
      <c r="AL242" s="106">
        <v>0</v>
      </c>
      <c r="AM242" s="106">
        <v>0</v>
      </c>
      <c r="AN242" s="80">
        <v>0</v>
      </c>
    </row>
    <row r="243" spans="1:40">
      <c r="A243" t="s">
        <v>45</v>
      </c>
      <c r="B243" t="s">
        <v>453</v>
      </c>
      <c r="C243" t="s">
        <v>395</v>
      </c>
      <c r="D243" t="str">
        <f t="shared" si="49"/>
        <v>Able to pay - Extended Energy LeapLate</v>
      </c>
      <c r="E243" s="80">
        <v>0</v>
      </c>
      <c r="F243" s="106">
        <v>0</v>
      </c>
      <c r="G243" s="106">
        <v>0</v>
      </c>
      <c r="H243" s="106">
        <v>0</v>
      </c>
      <c r="I243" s="106">
        <v>0</v>
      </c>
      <c r="J243" s="106">
        <v>0</v>
      </c>
      <c r="K243" s="106">
        <v>0</v>
      </c>
      <c r="L243" s="106">
        <v>0</v>
      </c>
      <c r="M243" s="106">
        <v>0</v>
      </c>
      <c r="N243" s="106">
        <v>0</v>
      </c>
      <c r="O243" s="80">
        <v>0</v>
      </c>
      <c r="P243" s="106">
        <v>0</v>
      </c>
      <c r="Q243" s="106">
        <v>0</v>
      </c>
      <c r="R243" s="106">
        <v>0</v>
      </c>
      <c r="S243" s="106">
        <v>0</v>
      </c>
      <c r="T243" s="106">
        <v>1687.2524179462703</v>
      </c>
      <c r="U243" s="106">
        <v>3374.5048358925405</v>
      </c>
      <c r="V243" s="106">
        <v>5061.7572538388113</v>
      </c>
      <c r="W243" s="106">
        <v>6749.0096717850811</v>
      </c>
      <c r="X243" s="106">
        <v>8436.26208973135</v>
      </c>
      <c r="Y243" s="106">
        <v>10123.514507677623</v>
      </c>
      <c r="Z243" s="106">
        <v>11810.766925623891</v>
      </c>
      <c r="AA243" s="106">
        <v>13498.019343570162</v>
      </c>
      <c r="AB243" s="106">
        <v>15185.271761516433</v>
      </c>
      <c r="AC243" s="106">
        <v>16872.5241794627</v>
      </c>
      <c r="AD243" s="106">
        <v>16872.5241794627</v>
      </c>
      <c r="AE243" s="106">
        <v>16872.5241794627</v>
      </c>
      <c r="AF243" s="106">
        <v>16872.5241794627</v>
      </c>
      <c r="AG243" s="106">
        <v>0</v>
      </c>
      <c r="AH243" s="106">
        <v>0</v>
      </c>
      <c r="AI243" s="106">
        <v>0</v>
      </c>
      <c r="AJ243" s="106">
        <v>0</v>
      </c>
      <c r="AK243" s="106">
        <v>0</v>
      </c>
      <c r="AL243" s="106">
        <v>0</v>
      </c>
      <c r="AM243" s="106">
        <v>0</v>
      </c>
      <c r="AN243" s="80">
        <v>0</v>
      </c>
    </row>
    <row r="244" spans="1:40">
      <c r="A244" t="s">
        <v>45</v>
      </c>
      <c r="B244" t="s">
        <v>453</v>
      </c>
      <c r="C244" t="s">
        <v>396</v>
      </c>
      <c r="D244" t="str">
        <f t="shared" si="49"/>
        <v>Able to pay - All buildings MEES - EPC CLate</v>
      </c>
      <c r="E244" s="80">
        <v>0</v>
      </c>
      <c r="F244" s="106">
        <v>0</v>
      </c>
      <c r="G244" s="106">
        <v>0</v>
      </c>
      <c r="H244" s="106">
        <v>0</v>
      </c>
      <c r="I244" s="106">
        <v>0</v>
      </c>
      <c r="J244" s="106">
        <v>0</v>
      </c>
      <c r="K244" s="106">
        <v>0</v>
      </c>
      <c r="L244" s="106">
        <v>0</v>
      </c>
      <c r="M244" s="106">
        <v>0</v>
      </c>
      <c r="N244" s="106">
        <v>0</v>
      </c>
      <c r="O244" s="80">
        <v>0</v>
      </c>
      <c r="P244" s="106">
        <v>2316.7739750826727</v>
      </c>
      <c r="Q244" s="106">
        <v>4633.5479501653454</v>
      </c>
      <c r="R244" s="106">
        <v>6950.3219252480185</v>
      </c>
      <c r="S244" s="106">
        <v>9267.0959003306907</v>
      </c>
      <c r="T244" s="106">
        <v>11583.869875413364</v>
      </c>
      <c r="U244" s="106">
        <v>13900.643850496037</v>
      </c>
      <c r="V244" s="106">
        <v>16217.41782557871</v>
      </c>
      <c r="W244" s="106">
        <v>18534.191800661381</v>
      </c>
      <c r="X244" s="106">
        <v>20850.965775744058</v>
      </c>
      <c r="Y244" s="106">
        <v>20850.965775744058</v>
      </c>
      <c r="Z244" s="106">
        <v>20850.965775744058</v>
      </c>
      <c r="AA244" s="106">
        <v>20850.965775744058</v>
      </c>
      <c r="AB244" s="106">
        <v>20850.965775744058</v>
      </c>
      <c r="AC244" s="106">
        <v>20850.965775744058</v>
      </c>
      <c r="AD244" s="106">
        <v>0</v>
      </c>
      <c r="AE244" s="106">
        <v>0</v>
      </c>
      <c r="AF244" s="106">
        <v>0</v>
      </c>
      <c r="AG244" s="106">
        <v>0</v>
      </c>
      <c r="AH244" s="106">
        <v>0</v>
      </c>
      <c r="AI244" s="106">
        <v>0</v>
      </c>
      <c r="AJ244" s="106">
        <v>0</v>
      </c>
      <c r="AK244" s="106">
        <v>0</v>
      </c>
      <c r="AL244" s="106">
        <v>0</v>
      </c>
      <c r="AM244" s="106">
        <v>0</v>
      </c>
      <c r="AN244" s="80">
        <v>0</v>
      </c>
    </row>
    <row r="245" spans="1:40">
      <c r="A245" t="s">
        <v>45</v>
      </c>
      <c r="B245" t="s">
        <v>453</v>
      </c>
      <c r="C245" t="s">
        <v>398</v>
      </c>
      <c r="D245" t="str">
        <f t="shared" si="49"/>
        <v>Existing - Domestic ALL - Mandate on lighting efficiencyLate</v>
      </c>
      <c r="E245" s="381"/>
      <c r="F245" s="381"/>
      <c r="G245" s="381"/>
      <c r="H245" s="381"/>
      <c r="I245" s="381"/>
      <c r="J245" s="381"/>
      <c r="K245" s="381"/>
      <c r="L245" s="381"/>
      <c r="M245" s="381"/>
      <c r="N245" s="381"/>
      <c r="O245" s="381"/>
      <c r="P245" s="381"/>
      <c r="Q245" s="381"/>
      <c r="R245" s="381"/>
      <c r="S245" s="381"/>
      <c r="T245" s="381"/>
      <c r="U245" s="381"/>
      <c r="V245" s="381"/>
      <c r="W245" s="381"/>
      <c r="X245" s="381"/>
      <c r="Y245" s="381"/>
      <c r="Z245" s="381"/>
      <c r="AA245" s="381"/>
      <c r="AB245" s="381"/>
      <c r="AC245" s="381"/>
      <c r="AD245" s="381"/>
      <c r="AE245" s="381"/>
      <c r="AF245" s="381"/>
      <c r="AG245" s="381"/>
      <c r="AH245" s="381"/>
      <c r="AI245" s="381"/>
      <c r="AJ245" s="381"/>
      <c r="AK245" s="381"/>
      <c r="AL245" s="381"/>
      <c r="AM245" s="381"/>
      <c r="AN245" s="381"/>
    </row>
    <row r="246" spans="1:40">
      <c r="A246" t="s">
        <v>45</v>
      </c>
      <c r="B246" t="s">
        <v>453</v>
      </c>
      <c r="C246" t="s">
        <v>399</v>
      </c>
      <c r="D246" t="str">
        <f t="shared" si="49"/>
        <v>Existing - Domestic ALL - Mandate on appliance efficiencyLate</v>
      </c>
      <c r="E246" s="381"/>
      <c r="F246" s="381"/>
      <c r="G246" s="381"/>
      <c r="H246" s="381"/>
      <c r="I246" s="381"/>
      <c r="J246" s="381"/>
      <c r="K246" s="381"/>
      <c r="L246" s="381"/>
      <c r="M246" s="381"/>
      <c r="N246" s="381"/>
      <c r="O246" s="381"/>
      <c r="P246" s="381"/>
      <c r="Q246" s="381"/>
      <c r="R246" s="381"/>
      <c r="S246" s="381"/>
      <c r="T246" s="381"/>
      <c r="U246" s="381"/>
      <c r="V246" s="381"/>
      <c r="W246" s="381"/>
      <c r="X246" s="381"/>
      <c r="Y246" s="381"/>
      <c r="Z246" s="381"/>
      <c r="AA246" s="381"/>
      <c r="AB246" s="381"/>
      <c r="AC246" s="381"/>
      <c r="AD246" s="381"/>
      <c r="AE246" s="381"/>
      <c r="AF246" s="381"/>
      <c r="AG246" s="381"/>
      <c r="AH246" s="381"/>
      <c r="AI246" s="381"/>
      <c r="AJ246" s="381"/>
      <c r="AK246" s="381"/>
      <c r="AL246" s="381"/>
      <c r="AM246" s="381"/>
      <c r="AN246" s="381"/>
    </row>
    <row r="247" spans="1:40">
      <c r="A247" t="s">
        <v>45</v>
      </c>
      <c r="B247" t="s">
        <v>453</v>
      </c>
      <c r="C247" t="s">
        <v>400</v>
      </c>
      <c r="D247" t="str">
        <f t="shared" si="49"/>
        <v>New - Domestic ALL - Mandate on lighting efficiencyLate</v>
      </c>
      <c r="E247" s="381">
        <v>0</v>
      </c>
      <c r="F247" s="381">
        <v>71977.11975266278</v>
      </c>
      <c r="G247" s="381">
        <v>71977.11975266278</v>
      </c>
      <c r="H247" s="381">
        <v>71977.11975266278</v>
      </c>
      <c r="I247" s="381">
        <v>71977.11975266278</v>
      </c>
      <c r="J247" s="381">
        <v>71977.119752662577</v>
      </c>
      <c r="K247" s="381">
        <v>60915.858763309036</v>
      </c>
      <c r="L247" s="381">
        <v>60915.858763309036</v>
      </c>
      <c r="M247" s="381">
        <v>60915.858763309036</v>
      </c>
      <c r="N247" s="381">
        <v>144903.16447759478</v>
      </c>
      <c r="O247" s="381">
        <v>228890.470191881</v>
      </c>
      <c r="P247" s="381">
        <v>301276.54415349878</v>
      </c>
      <c r="Q247" s="381">
        <v>385263.84986778453</v>
      </c>
      <c r="R247" s="381">
        <v>469251.15558207023</v>
      </c>
      <c r="S247" s="381">
        <v>553238.46129635593</v>
      </c>
      <c r="T247" s="381">
        <v>637225.76701064175</v>
      </c>
      <c r="U247" s="381">
        <v>610644.58457142895</v>
      </c>
      <c r="V247" s="381">
        <v>22733.444571428765</v>
      </c>
      <c r="W247" s="381">
        <v>22733.444571428765</v>
      </c>
      <c r="X247" s="381">
        <v>22733.444571428765</v>
      </c>
      <c r="Y247" s="381">
        <v>22733.444571428765</v>
      </c>
      <c r="Z247" s="381">
        <v>22733.444571428765</v>
      </c>
      <c r="AA247" s="381">
        <v>22733.444571428765</v>
      </c>
      <c r="AB247" s="381">
        <v>22733.444571428765</v>
      </c>
      <c r="AC247" s="381">
        <v>22733.444571428765</v>
      </c>
      <c r="AD247" s="381">
        <v>22733.444571430729</v>
      </c>
      <c r="AE247" s="381">
        <v>22733.444571429187</v>
      </c>
      <c r="AF247" s="381">
        <v>22733.444571429391</v>
      </c>
      <c r="AG247" s="381">
        <v>22733.444571429391</v>
      </c>
      <c r="AH247" s="381">
        <v>22733.444571429391</v>
      </c>
      <c r="AI247" s="381">
        <v>22733.444571429391</v>
      </c>
      <c r="AJ247" s="381">
        <v>22733.444571429391</v>
      </c>
      <c r="AK247" s="381">
        <v>22733.444571429391</v>
      </c>
      <c r="AL247" s="381">
        <v>22733.444571429391</v>
      </c>
      <c r="AM247" s="381">
        <v>22733.444571429391</v>
      </c>
      <c r="AN247" s="381">
        <v>22733.444571427295</v>
      </c>
    </row>
    <row r="248" spans="1:40">
      <c r="A248" t="s">
        <v>45</v>
      </c>
      <c r="B248" t="s">
        <v>453</v>
      </c>
      <c r="C248" t="s">
        <v>401</v>
      </c>
      <c r="D248" t="str">
        <f t="shared" si="49"/>
        <v>New - Domestic ALL - Mandate on appliance efficiencyLate</v>
      </c>
      <c r="E248" s="381">
        <v>0</v>
      </c>
      <c r="F248" s="381">
        <v>71977.11975266278</v>
      </c>
      <c r="G248" s="381">
        <v>71977.11975266278</v>
      </c>
      <c r="H248" s="381">
        <v>71977.11975266278</v>
      </c>
      <c r="I248" s="381">
        <v>71977.11975266278</v>
      </c>
      <c r="J248" s="381">
        <v>71977.119752662577</v>
      </c>
      <c r="K248" s="381">
        <v>60915.858763309036</v>
      </c>
      <c r="L248" s="381">
        <v>60915.858763309036</v>
      </c>
      <c r="M248" s="381">
        <v>60915.858763309036</v>
      </c>
      <c r="N248" s="381">
        <v>79061.264318864589</v>
      </c>
      <c r="O248" s="381">
        <v>97206.669874420651</v>
      </c>
      <c r="P248" s="381">
        <v>103750.84367730829</v>
      </c>
      <c r="Q248" s="381">
        <v>121896.24923286386</v>
      </c>
      <c r="R248" s="381">
        <v>140041.65478841943</v>
      </c>
      <c r="S248" s="381">
        <v>158187.06034397497</v>
      </c>
      <c r="T248" s="381">
        <v>176332.46589953048</v>
      </c>
      <c r="U248" s="381">
        <v>167896.68901587333</v>
      </c>
      <c r="V248" s="381">
        <v>186042.09457142878</v>
      </c>
      <c r="W248" s="381">
        <v>204187.50012698435</v>
      </c>
      <c r="X248" s="381">
        <v>222332.90568253989</v>
      </c>
      <c r="Y248" s="381">
        <v>240478.31123809543</v>
      </c>
      <c r="Z248" s="381">
        <v>225961.98679365095</v>
      </c>
      <c r="AA248" s="381">
        <v>211445.66234920654</v>
      </c>
      <c r="AB248" s="381">
        <v>196929.33790476213</v>
      </c>
      <c r="AC248" s="381">
        <v>182413.01346031766</v>
      </c>
      <c r="AD248" s="381">
        <v>167896.68901587516</v>
      </c>
      <c r="AE248" s="381">
        <v>153380.36457142921</v>
      </c>
      <c r="AF248" s="381">
        <v>138864.04012698497</v>
      </c>
      <c r="AG248" s="381">
        <v>124347.7156825405</v>
      </c>
      <c r="AH248" s="381">
        <v>109831.39123809605</v>
      </c>
      <c r="AI248" s="381">
        <v>95315.066793651611</v>
      </c>
      <c r="AJ248" s="381">
        <v>80798.742349207168</v>
      </c>
      <c r="AK248" s="381">
        <v>66282.417904762726</v>
      </c>
      <c r="AL248" s="381">
        <v>51766.093460318276</v>
      </c>
      <c r="AM248" s="381">
        <v>37249.769015873841</v>
      </c>
      <c r="AN248" s="381">
        <v>22733.444571427295</v>
      </c>
    </row>
    <row r="249" spans="1:40">
      <c r="A249" t="s">
        <v>45</v>
      </c>
      <c r="B249" t="s">
        <v>453</v>
      </c>
      <c r="C249" t="s">
        <v>402</v>
      </c>
      <c r="D249" t="str">
        <f t="shared" si="49"/>
        <v>New - Domestic ALL - Stronger planning requirement for smart controls  Late</v>
      </c>
      <c r="E249" s="381">
        <v>0</v>
      </c>
      <c r="F249" s="381">
        <v>33739.27488406068</v>
      </c>
      <c r="G249" s="381">
        <v>33739.27488406068</v>
      </c>
      <c r="H249" s="381">
        <v>33739.27488406068</v>
      </c>
      <c r="I249" s="381">
        <v>33739.27488406068</v>
      </c>
      <c r="J249" s="381">
        <v>33739.274884060578</v>
      </c>
      <c r="K249" s="381">
        <v>28554.308795301105</v>
      </c>
      <c r="L249" s="381">
        <v>28554.308795301105</v>
      </c>
      <c r="M249" s="381">
        <v>28554.308795301105</v>
      </c>
      <c r="N249" s="381">
        <v>28554.308795301105</v>
      </c>
      <c r="O249" s="381">
        <v>28554.308795301349</v>
      </c>
      <c r="P249" s="381">
        <v>23116.23141123827</v>
      </c>
      <c r="Q249" s="381">
        <v>23116.23141123827</v>
      </c>
      <c r="R249" s="381">
        <v>23116.23141123827</v>
      </c>
      <c r="S249" s="381">
        <v>23116.23141123827</v>
      </c>
      <c r="T249" s="381">
        <v>23116.231411238245</v>
      </c>
      <c r="U249" s="381">
        <v>10656.302142857283</v>
      </c>
      <c r="V249" s="381">
        <v>10656.302142857232</v>
      </c>
      <c r="W249" s="381">
        <v>10656.302142857232</v>
      </c>
      <c r="X249" s="381">
        <v>10656.302142857232</v>
      </c>
      <c r="Y249" s="381">
        <v>10656.302142857232</v>
      </c>
      <c r="Z249" s="381">
        <v>10656.302142857232</v>
      </c>
      <c r="AA249" s="381">
        <v>10656.302142857232</v>
      </c>
      <c r="AB249" s="381">
        <v>10656.302142857232</v>
      </c>
      <c r="AC249" s="381">
        <v>10656.302142857232</v>
      </c>
      <c r="AD249" s="381">
        <v>10656.302142858154</v>
      </c>
      <c r="AE249" s="381">
        <v>10656.302142857428</v>
      </c>
      <c r="AF249" s="381">
        <v>10656.302142857527</v>
      </c>
      <c r="AG249" s="381">
        <v>10656.302142857527</v>
      </c>
      <c r="AH249" s="381">
        <v>10656.302142857527</v>
      </c>
      <c r="AI249" s="381">
        <v>10656.302142857527</v>
      </c>
      <c r="AJ249" s="381">
        <v>10656.302142857527</v>
      </c>
      <c r="AK249" s="381">
        <v>10656.302142857527</v>
      </c>
      <c r="AL249" s="381">
        <v>10656.302142857527</v>
      </c>
      <c r="AM249" s="381">
        <v>10656.302142857527</v>
      </c>
      <c r="AN249" s="381">
        <v>10656.302142856544</v>
      </c>
    </row>
    <row r="250" spans="1:40">
      <c r="A250" t="s">
        <v>45</v>
      </c>
      <c r="B250" t="s">
        <v>453</v>
      </c>
      <c r="C250" t="s">
        <v>406</v>
      </c>
      <c r="D250" t="str">
        <f t="shared" si="49"/>
        <v>SME - Energy efficiency programmeLate</v>
      </c>
      <c r="E250" s="381">
        <v>0</v>
      </c>
      <c r="F250" s="381">
        <v>0</v>
      </c>
      <c r="G250" s="381">
        <v>0</v>
      </c>
      <c r="H250" s="381">
        <v>0</v>
      </c>
      <c r="I250" s="381">
        <v>0</v>
      </c>
      <c r="J250" s="381">
        <v>0</v>
      </c>
      <c r="K250" s="381">
        <v>0</v>
      </c>
      <c r="L250" s="381">
        <v>0</v>
      </c>
      <c r="M250" s="381">
        <v>0</v>
      </c>
      <c r="N250" s="381">
        <v>0</v>
      </c>
      <c r="O250" s="381">
        <v>0</v>
      </c>
      <c r="P250" s="381">
        <v>289.95877986558577</v>
      </c>
      <c r="Q250" s="381">
        <v>579.91755973117154</v>
      </c>
      <c r="R250" s="381">
        <v>869.87633959675736</v>
      </c>
      <c r="S250" s="381">
        <v>869.87633959675736</v>
      </c>
      <c r="T250" s="381">
        <v>869.87633959675736</v>
      </c>
      <c r="U250" s="381">
        <v>869.87633959675736</v>
      </c>
      <c r="V250" s="381">
        <v>869.87633959675736</v>
      </c>
      <c r="W250" s="381">
        <v>869.87633959675736</v>
      </c>
      <c r="X250" s="381">
        <v>818.70714314988925</v>
      </c>
      <c r="Y250" s="381">
        <v>767.53794670302113</v>
      </c>
      <c r="Z250" s="381">
        <v>716.36875025615302</v>
      </c>
      <c r="AA250" s="381">
        <v>665.19955380928491</v>
      </c>
      <c r="AB250" s="381">
        <v>614.03035736241691</v>
      </c>
      <c r="AC250" s="381">
        <v>562.86116091554891</v>
      </c>
      <c r="AD250" s="381">
        <v>511.69196446868079</v>
      </c>
      <c r="AE250" s="381">
        <v>460.52276802181268</v>
      </c>
      <c r="AF250" s="381">
        <v>409.35357157494462</v>
      </c>
      <c r="AG250" s="381">
        <v>358.18437512807651</v>
      </c>
      <c r="AH250" s="381">
        <v>307.01517868120845</v>
      </c>
      <c r="AI250" s="381">
        <v>255.8459822343404</v>
      </c>
      <c r="AJ250" s="381">
        <v>204.67678578747234</v>
      </c>
      <c r="AK250" s="381">
        <v>153.50758934060417</v>
      </c>
      <c r="AL250" s="381">
        <v>102.33839289373611</v>
      </c>
      <c r="AM250" s="381">
        <v>51.169196446868057</v>
      </c>
      <c r="AN250" s="381">
        <v>0</v>
      </c>
    </row>
    <row r="251" spans="1:40">
      <c r="A251" t="s">
        <v>45</v>
      </c>
      <c r="B251" t="s">
        <v>453</v>
      </c>
      <c r="C251" t="s">
        <v>407</v>
      </c>
      <c r="D251" t="str">
        <f t="shared" si="49"/>
        <v>SME - Landlord MEES – EPC CLate</v>
      </c>
      <c r="E251" s="381">
        <v>0</v>
      </c>
      <c r="F251" s="381">
        <v>0</v>
      </c>
      <c r="G251" s="381">
        <v>0</v>
      </c>
      <c r="H251" s="381">
        <v>0</v>
      </c>
      <c r="I251" s="381">
        <v>0</v>
      </c>
      <c r="J251" s="381">
        <v>0</v>
      </c>
      <c r="K251" s="381">
        <v>0</v>
      </c>
      <c r="L251" s="381">
        <v>0</v>
      </c>
      <c r="M251" s="381">
        <v>0</v>
      </c>
      <c r="N251" s="381">
        <v>388.66922707277246</v>
      </c>
      <c r="O251" s="381">
        <v>777.33845414554492</v>
      </c>
      <c r="P251" s="381">
        <v>1166.0076812183174</v>
      </c>
      <c r="Q251" s="381">
        <v>1554.6769082910898</v>
      </c>
      <c r="R251" s="381">
        <v>1943.3461353638622</v>
      </c>
      <c r="S251" s="381">
        <v>2332.0153624366349</v>
      </c>
      <c r="T251" s="381">
        <v>2720.684589509407</v>
      </c>
      <c r="U251" s="381">
        <v>2720.684589509407</v>
      </c>
      <c r="V251" s="381">
        <v>2720.684589509407</v>
      </c>
      <c r="W251" s="381">
        <v>2720.684589509407</v>
      </c>
      <c r="X251" s="381">
        <v>2720.684589509407</v>
      </c>
      <c r="Y251" s="381">
        <v>2720.684589509407</v>
      </c>
      <c r="Z251" s="381">
        <v>2176.5476716075254</v>
      </c>
      <c r="AA251" s="381">
        <v>1632.4107537056443</v>
      </c>
      <c r="AB251" s="381">
        <v>1088.2738358037629</v>
      </c>
      <c r="AC251" s="381">
        <v>544.13691790188159</v>
      </c>
      <c r="AD251" s="381">
        <v>4.5474735088646412E-13</v>
      </c>
      <c r="AE251" s="381">
        <v>0</v>
      </c>
      <c r="AF251" s="381">
        <v>0</v>
      </c>
      <c r="AG251" s="381">
        <v>0</v>
      </c>
      <c r="AH251" s="381">
        <v>0</v>
      </c>
      <c r="AI251" s="381">
        <v>0</v>
      </c>
      <c r="AJ251" s="381">
        <v>0</v>
      </c>
      <c r="AK251" s="381">
        <v>0</v>
      </c>
      <c r="AL251" s="381">
        <v>0</v>
      </c>
      <c r="AM251" s="381">
        <v>0</v>
      </c>
      <c r="AN251" s="381">
        <v>0</v>
      </c>
    </row>
    <row r="252" spans="1:40">
      <c r="A252" t="s">
        <v>45</v>
      </c>
      <c r="B252" t="s">
        <v>453</v>
      </c>
      <c r="C252" t="s">
        <v>408</v>
      </c>
      <c r="D252" t="str">
        <f t="shared" si="49"/>
        <v>SME - Energy performance tax grading – business ratesLate</v>
      </c>
      <c r="E252" s="381">
        <v>0</v>
      </c>
      <c r="F252" s="381">
        <v>0</v>
      </c>
      <c r="G252" s="381">
        <v>0</v>
      </c>
      <c r="H252" s="381">
        <v>0</v>
      </c>
      <c r="I252" s="381">
        <v>0</v>
      </c>
      <c r="J252" s="381">
        <v>0</v>
      </c>
      <c r="K252" s="381">
        <v>0</v>
      </c>
      <c r="L252" s="381">
        <v>0</v>
      </c>
      <c r="M252" s="381">
        <v>0</v>
      </c>
      <c r="N252" s="381">
        <v>0</v>
      </c>
      <c r="O252" s="381">
        <v>0</v>
      </c>
      <c r="P252" s="381">
        <v>0</v>
      </c>
      <c r="Q252" s="381">
        <v>0</v>
      </c>
      <c r="R252" s="381">
        <v>0</v>
      </c>
      <c r="S252" s="381">
        <v>151.80386033750349</v>
      </c>
      <c r="T252" s="381">
        <v>151.80386033750349</v>
      </c>
      <c r="U252" s="381">
        <v>151.80386033750349</v>
      </c>
      <c r="V252" s="381">
        <v>151.80386033750349</v>
      </c>
      <c r="W252" s="381">
        <v>0</v>
      </c>
      <c r="X252" s="381">
        <v>0</v>
      </c>
      <c r="Y252" s="381">
        <v>0</v>
      </c>
      <c r="Z252" s="381">
        <v>0</v>
      </c>
      <c r="AA252" s="381">
        <v>0</v>
      </c>
      <c r="AB252" s="381">
        <v>0</v>
      </c>
      <c r="AC252" s="381">
        <v>0</v>
      </c>
      <c r="AD252" s="381">
        <v>0</v>
      </c>
      <c r="AE252" s="381">
        <v>0</v>
      </c>
      <c r="AF252" s="381">
        <v>0</v>
      </c>
      <c r="AG252" s="381">
        <v>0</v>
      </c>
      <c r="AH252" s="381">
        <v>0</v>
      </c>
      <c r="AI252" s="381">
        <v>0</v>
      </c>
      <c r="AJ252" s="381">
        <v>0</v>
      </c>
      <c r="AK252" s="381">
        <v>0</v>
      </c>
      <c r="AL252" s="381">
        <v>0</v>
      </c>
      <c r="AM252" s="381">
        <v>0</v>
      </c>
      <c r="AN252" s="381">
        <v>0</v>
      </c>
    </row>
    <row r="253" spans="1:40">
      <c r="A253" t="s">
        <v>45</v>
      </c>
      <c r="B253" t="s">
        <v>453</v>
      </c>
      <c r="C253" t="s">
        <v>409</v>
      </c>
      <c r="D253" t="str">
        <f t="shared" si="49"/>
        <v>SME - All buildings MEES – EPC CLate</v>
      </c>
      <c r="E253" s="256">
        <v>0</v>
      </c>
      <c r="F253" s="256">
        <v>0</v>
      </c>
      <c r="G253" s="256">
        <v>0</v>
      </c>
      <c r="H253" s="256">
        <v>0</v>
      </c>
      <c r="I253" s="256">
        <v>0</v>
      </c>
      <c r="J253" s="256">
        <v>0</v>
      </c>
      <c r="K253" s="256">
        <v>0</v>
      </c>
      <c r="L253" s="256">
        <v>0</v>
      </c>
      <c r="M253" s="256">
        <v>0</v>
      </c>
      <c r="N253" s="256">
        <v>0</v>
      </c>
      <c r="O253" s="256">
        <v>0</v>
      </c>
      <c r="P253" s="256">
        <v>0</v>
      </c>
      <c r="Q253" s="256">
        <v>0</v>
      </c>
      <c r="R253" s="256">
        <v>0</v>
      </c>
      <c r="S253" s="256">
        <v>0</v>
      </c>
      <c r="T253" s="256">
        <v>0</v>
      </c>
      <c r="U253" s="256">
        <v>347.3333889364099</v>
      </c>
      <c r="V253" s="256">
        <v>694.66677787281981</v>
      </c>
      <c r="W253" s="256">
        <v>1042.0001668092298</v>
      </c>
      <c r="X253" s="256">
        <v>1389.3335557456396</v>
      </c>
      <c r="Y253" s="256">
        <v>1389.3335557456396</v>
      </c>
      <c r="Z253" s="256">
        <v>1389.3335557456396</v>
      </c>
      <c r="AA253" s="256">
        <v>1389.3335557456396</v>
      </c>
      <c r="AB253" s="256">
        <v>1389.3335557456396</v>
      </c>
      <c r="AC253" s="256">
        <v>1389.3335557456396</v>
      </c>
      <c r="AD253" s="256">
        <v>0</v>
      </c>
      <c r="AE253" s="256">
        <v>0</v>
      </c>
      <c r="AF253" s="256">
        <v>0</v>
      </c>
      <c r="AG253" s="256">
        <v>0</v>
      </c>
      <c r="AH253" s="256">
        <v>0</v>
      </c>
      <c r="AI253" s="256">
        <v>0</v>
      </c>
      <c r="AJ253" s="256">
        <v>0</v>
      </c>
      <c r="AK253" s="256">
        <v>0</v>
      </c>
      <c r="AL253" s="256">
        <v>0</v>
      </c>
      <c r="AM253" s="256">
        <v>0</v>
      </c>
      <c r="AN253" s="256">
        <v>0</v>
      </c>
    </row>
    <row r="254" spans="1:40">
      <c r="A254" t="s">
        <v>45</v>
      </c>
      <c r="B254" t="s">
        <v>453</v>
      </c>
      <c r="C254" t="s">
        <v>410</v>
      </c>
      <c r="D254" t="str">
        <f t="shared" si="49"/>
        <v>Large Enterprise - Landlord MEES – EPC CLate</v>
      </c>
      <c r="E254" s="256">
        <v>0</v>
      </c>
      <c r="F254" s="256">
        <v>0</v>
      </c>
      <c r="G254" s="256">
        <v>0</v>
      </c>
      <c r="H254" s="256">
        <v>0</v>
      </c>
      <c r="I254" s="256">
        <v>0</v>
      </c>
      <c r="J254" s="256">
        <v>0</v>
      </c>
      <c r="K254" s="256">
        <v>0</v>
      </c>
      <c r="L254" s="256">
        <v>0</v>
      </c>
      <c r="M254" s="256">
        <v>0</v>
      </c>
      <c r="N254" s="256">
        <v>357.04960693076697</v>
      </c>
      <c r="O254" s="256">
        <v>714.09921386153394</v>
      </c>
      <c r="P254" s="256">
        <v>1071.148820792301</v>
      </c>
      <c r="Q254" s="256">
        <v>1428.1984277230679</v>
      </c>
      <c r="R254" s="256">
        <v>1785.2480346538348</v>
      </c>
      <c r="S254" s="256">
        <v>2142.2976415846019</v>
      </c>
      <c r="T254" s="256">
        <v>2499.3472485153688</v>
      </c>
      <c r="U254" s="256">
        <v>2499.3472485153688</v>
      </c>
      <c r="V254" s="256">
        <v>2499.3472485153688</v>
      </c>
      <c r="W254" s="256">
        <v>2499.3472485153688</v>
      </c>
      <c r="X254" s="256">
        <v>2499.3472485153688</v>
      </c>
      <c r="Y254" s="256">
        <v>2499.3472485153688</v>
      </c>
      <c r="Z254" s="256">
        <v>1999.4777988122951</v>
      </c>
      <c r="AA254" s="256">
        <v>1499.6083491092213</v>
      </c>
      <c r="AB254" s="256">
        <v>999.73889940614754</v>
      </c>
      <c r="AC254" s="256">
        <v>499.86944970307377</v>
      </c>
      <c r="AD254" s="256">
        <v>0</v>
      </c>
      <c r="AE254" s="256">
        <v>0</v>
      </c>
      <c r="AF254" s="256">
        <v>0</v>
      </c>
      <c r="AG254" s="256">
        <v>0</v>
      </c>
      <c r="AH254" s="256">
        <v>0</v>
      </c>
      <c r="AI254" s="256">
        <v>0</v>
      </c>
      <c r="AJ254" s="256">
        <v>0</v>
      </c>
      <c r="AK254" s="256">
        <v>0</v>
      </c>
      <c r="AL254" s="256">
        <v>0</v>
      </c>
      <c r="AM254" s="256">
        <v>0</v>
      </c>
      <c r="AN254" s="256">
        <v>0</v>
      </c>
    </row>
    <row r="255" spans="1:40">
      <c r="A255" t="s">
        <v>45</v>
      </c>
      <c r="B255" t="s">
        <v>453</v>
      </c>
      <c r="C255" t="s">
        <v>411</v>
      </c>
      <c r="D255" t="str">
        <f t="shared" si="49"/>
        <v>Large Enterprise - Energy performance tax grading – business ratesLate</v>
      </c>
      <c r="E255" s="425">
        <v>0</v>
      </c>
      <c r="F255" s="425">
        <v>0</v>
      </c>
      <c r="G255" s="425">
        <v>0</v>
      </c>
      <c r="H255" s="425">
        <v>0</v>
      </c>
      <c r="I255" s="425">
        <v>0</v>
      </c>
      <c r="J255" s="425">
        <v>0</v>
      </c>
      <c r="K255" s="425">
        <v>0</v>
      </c>
      <c r="L255" s="425">
        <v>0</v>
      </c>
      <c r="M255" s="425">
        <v>0</v>
      </c>
      <c r="N255" s="425">
        <v>0</v>
      </c>
      <c r="O255" s="425">
        <v>0</v>
      </c>
      <c r="P255" s="425">
        <v>0</v>
      </c>
      <c r="Q255" s="425">
        <v>0</v>
      </c>
      <c r="R255" s="425">
        <v>102.02169715610641</v>
      </c>
      <c r="S255" s="425">
        <v>102.02169715610641</v>
      </c>
      <c r="T255" s="425">
        <v>102.02169715610641</v>
      </c>
      <c r="U255" s="425">
        <v>102.02169715610641</v>
      </c>
      <c r="V255" s="425">
        <v>102.02169715610641</v>
      </c>
      <c r="W255" s="425">
        <v>0</v>
      </c>
      <c r="X255" s="425">
        <v>0</v>
      </c>
      <c r="Y255" s="425">
        <v>0</v>
      </c>
      <c r="Z255" s="425">
        <v>0</v>
      </c>
      <c r="AA255" s="425">
        <v>0</v>
      </c>
      <c r="AB255" s="425">
        <v>0</v>
      </c>
      <c r="AC255" s="425">
        <v>0</v>
      </c>
      <c r="AD255" s="425">
        <v>0</v>
      </c>
      <c r="AE255" s="425">
        <v>0</v>
      </c>
      <c r="AF255" s="425">
        <v>0</v>
      </c>
      <c r="AG255" s="425">
        <v>0</v>
      </c>
      <c r="AH255" s="425">
        <v>0</v>
      </c>
      <c r="AI255" s="425">
        <v>0</v>
      </c>
      <c r="AJ255" s="425">
        <v>0</v>
      </c>
      <c r="AK255" s="425">
        <v>0</v>
      </c>
      <c r="AL255" s="425">
        <v>0</v>
      </c>
      <c r="AM255" s="425">
        <v>0</v>
      </c>
      <c r="AN255" s="425">
        <v>0</v>
      </c>
    </row>
    <row r="256" spans="1:40">
      <c r="A256" t="s">
        <v>45</v>
      </c>
      <c r="B256" t="s">
        <v>453</v>
      </c>
      <c r="C256" t="s">
        <v>412</v>
      </c>
      <c r="D256" t="str">
        <f t="shared" si="49"/>
        <v>Large Enterprise - All buildings MEES – EPC CLate</v>
      </c>
      <c r="E256" s="80">
        <v>0</v>
      </c>
      <c r="F256" s="106">
        <v>0</v>
      </c>
      <c r="G256" s="106">
        <v>0</v>
      </c>
      <c r="H256" s="106">
        <v>0</v>
      </c>
      <c r="I256" s="106">
        <v>0</v>
      </c>
      <c r="J256" s="106">
        <v>0</v>
      </c>
      <c r="K256" s="106">
        <v>0</v>
      </c>
      <c r="L256" s="106">
        <v>0</v>
      </c>
      <c r="M256" s="106">
        <v>0</v>
      </c>
      <c r="N256" s="106">
        <v>0</v>
      </c>
      <c r="O256" s="80">
        <v>0</v>
      </c>
      <c r="P256" s="106">
        <v>0</v>
      </c>
      <c r="Q256" s="106">
        <v>0</v>
      </c>
      <c r="R256" s="106">
        <v>0</v>
      </c>
      <c r="S256" s="106">
        <v>0</v>
      </c>
      <c r="T256" s="106">
        <v>0</v>
      </c>
      <c r="U256" s="106">
        <v>364.73403224367905</v>
      </c>
      <c r="V256" s="106">
        <v>729.46806448735811</v>
      </c>
      <c r="W256" s="106">
        <v>1094.2020967310373</v>
      </c>
      <c r="X256" s="106">
        <v>1458.9361289747162</v>
      </c>
      <c r="Y256" s="106">
        <v>1458.9361289747162</v>
      </c>
      <c r="Z256" s="106">
        <v>1458.9361289747162</v>
      </c>
      <c r="AA256" s="106">
        <v>1458.9361289747162</v>
      </c>
      <c r="AB256" s="106">
        <v>1458.9361289747162</v>
      </c>
      <c r="AC256" s="106">
        <v>1458.9361289747162</v>
      </c>
      <c r="AD256" s="106">
        <v>0</v>
      </c>
      <c r="AE256" s="106">
        <v>0</v>
      </c>
      <c r="AF256" s="106">
        <v>0</v>
      </c>
      <c r="AG256" s="106">
        <v>0</v>
      </c>
      <c r="AH256" s="106">
        <v>0</v>
      </c>
      <c r="AI256" s="106">
        <v>0</v>
      </c>
      <c r="AJ256" s="106">
        <v>0</v>
      </c>
      <c r="AK256" s="106">
        <v>0</v>
      </c>
      <c r="AL256" s="106">
        <v>0</v>
      </c>
      <c r="AM256" s="106">
        <v>0</v>
      </c>
      <c r="AN256" s="80">
        <v>0</v>
      </c>
    </row>
    <row r="257" spans="1:40">
      <c r="A257" t="s">
        <v>45</v>
      </c>
      <c r="B257" t="s">
        <v>453</v>
      </c>
      <c r="C257" t="s">
        <v>413</v>
      </c>
      <c r="D257" t="str">
        <f t="shared" si="49"/>
        <v>Public - Extended RE:FITLate</v>
      </c>
      <c r="E257" s="59">
        <v>0</v>
      </c>
      <c r="F257" s="59">
        <v>0</v>
      </c>
      <c r="G257" s="59">
        <v>0</v>
      </c>
      <c r="H257" s="59">
        <v>0</v>
      </c>
      <c r="I257" s="59">
        <v>0</v>
      </c>
      <c r="J257" s="59">
        <v>0</v>
      </c>
      <c r="K257" s="59">
        <v>0</v>
      </c>
      <c r="L257" s="59">
        <v>0</v>
      </c>
      <c r="M257" s="59">
        <v>0</v>
      </c>
      <c r="N257" s="59">
        <v>0</v>
      </c>
      <c r="O257" s="59">
        <v>0</v>
      </c>
      <c r="P257" s="59">
        <v>106.0703122534843</v>
      </c>
      <c r="Q257" s="59">
        <v>212.14062450696861</v>
      </c>
      <c r="R257" s="59">
        <v>318.21093676045291</v>
      </c>
      <c r="S257" s="59">
        <v>318.21093676045291</v>
      </c>
      <c r="T257" s="59">
        <v>318.21093676045291</v>
      </c>
      <c r="U257" s="59">
        <v>318.21093676045291</v>
      </c>
      <c r="V257" s="59">
        <v>318.21093676045291</v>
      </c>
      <c r="W257" s="59">
        <v>318.21093676045291</v>
      </c>
      <c r="X257" s="59">
        <v>299.49264636277923</v>
      </c>
      <c r="Y257" s="59">
        <v>280.77435596510554</v>
      </c>
      <c r="Z257" s="59">
        <v>262.0560655674318</v>
      </c>
      <c r="AA257" s="59">
        <v>243.33777516975812</v>
      </c>
      <c r="AB257" s="59">
        <v>224.61948477208443</v>
      </c>
      <c r="AC257" s="59">
        <v>205.90119437441069</v>
      </c>
      <c r="AD257" s="59">
        <v>187.18290397673701</v>
      </c>
      <c r="AE257" s="59">
        <v>168.4646135790633</v>
      </c>
      <c r="AF257" s="59">
        <v>149.74632318138958</v>
      </c>
      <c r="AG257" s="59">
        <v>131.0280327837159</v>
      </c>
      <c r="AH257" s="59">
        <v>112.3097423860422</v>
      </c>
      <c r="AI257" s="59">
        <v>93.591451988368505</v>
      </c>
      <c r="AJ257" s="59">
        <v>74.873161590694792</v>
      </c>
      <c r="AK257" s="59">
        <v>56.154871193021101</v>
      </c>
      <c r="AL257" s="59">
        <v>37.436580795347396</v>
      </c>
      <c r="AM257" s="59">
        <v>18.718290397673698</v>
      </c>
      <c r="AN257" s="59">
        <v>0</v>
      </c>
    </row>
    <row r="258" spans="1:40">
      <c r="A258" t="s">
        <v>45</v>
      </c>
      <c r="B258" t="s">
        <v>453</v>
      </c>
      <c r="C258" t="s">
        <v>414</v>
      </c>
      <c r="D258" t="str">
        <f t="shared" si="49"/>
        <v>Public - All buildings MEES – EPC CLate</v>
      </c>
      <c r="E258" s="381">
        <v>0</v>
      </c>
      <c r="F258" s="381">
        <v>0</v>
      </c>
      <c r="G258" s="381">
        <v>0</v>
      </c>
      <c r="H258" s="381">
        <v>0</v>
      </c>
      <c r="I258" s="381">
        <v>0</v>
      </c>
      <c r="J258" s="381">
        <v>0</v>
      </c>
      <c r="K258" s="381">
        <v>0</v>
      </c>
      <c r="L258" s="381">
        <v>0</v>
      </c>
      <c r="M258" s="381">
        <v>0</v>
      </c>
      <c r="N258" s="381">
        <v>0</v>
      </c>
      <c r="O258" s="381">
        <v>0</v>
      </c>
      <c r="P258" s="381">
        <v>284.40606582707568</v>
      </c>
      <c r="Q258" s="381">
        <v>568.81213165415136</v>
      </c>
      <c r="R258" s="381">
        <v>853.21819748122698</v>
      </c>
      <c r="S258" s="381">
        <v>1137.6242633083027</v>
      </c>
      <c r="T258" s="381">
        <v>1422.0303291353782</v>
      </c>
      <c r="U258" s="381">
        <v>1706.436394962454</v>
      </c>
      <c r="V258" s="381">
        <v>1990.8424607895297</v>
      </c>
      <c r="W258" s="381">
        <v>2275.2485266166054</v>
      </c>
      <c r="X258" s="381">
        <v>2559.6545924436809</v>
      </c>
      <c r="Y258" s="381">
        <v>2559.6545924436809</v>
      </c>
      <c r="Z258" s="381">
        <v>2047.7236739549448</v>
      </c>
      <c r="AA258" s="381">
        <v>1535.7927554662087</v>
      </c>
      <c r="AB258" s="381">
        <v>1023.8618369774723</v>
      </c>
      <c r="AC258" s="381">
        <v>511.93091848873615</v>
      </c>
      <c r="AD258" s="381">
        <v>0</v>
      </c>
      <c r="AE258" s="381">
        <v>0</v>
      </c>
      <c r="AF258" s="381">
        <v>0</v>
      </c>
      <c r="AG258" s="381">
        <v>0</v>
      </c>
      <c r="AH258" s="381">
        <v>0</v>
      </c>
      <c r="AI258" s="381">
        <v>0</v>
      </c>
      <c r="AJ258" s="381">
        <v>0</v>
      </c>
      <c r="AK258" s="381">
        <v>0</v>
      </c>
      <c r="AL258" s="381">
        <v>0</v>
      </c>
      <c r="AM258" s="381">
        <v>0</v>
      </c>
      <c r="AN258" s="381">
        <v>0</v>
      </c>
    </row>
    <row r="259" spans="1:40">
      <c r="A259" t="s">
        <v>45</v>
      </c>
      <c r="B259" t="s">
        <v>453</v>
      </c>
      <c r="C259" t="s">
        <v>454</v>
      </c>
      <c r="D259" t="str">
        <f t="shared" si="49"/>
        <v>Existing - Non-domestic ALL - Mandate on lighting efficiencyLate</v>
      </c>
      <c r="E259" s="381"/>
      <c r="F259" s="381"/>
      <c r="G259" s="381"/>
      <c r="H259" s="381"/>
      <c r="I259" s="381"/>
      <c r="J259" s="381"/>
      <c r="K259" s="381"/>
      <c r="L259" s="381"/>
      <c r="M259" s="381"/>
      <c r="N259" s="381"/>
      <c r="O259" s="381"/>
      <c r="P259" s="381"/>
      <c r="Q259" s="381"/>
      <c r="R259" s="381"/>
      <c r="S259" s="381"/>
      <c r="T259" s="381"/>
      <c r="U259" s="381"/>
      <c r="V259" s="381"/>
      <c r="W259" s="381"/>
      <c r="X259" s="381"/>
      <c r="Y259" s="381"/>
      <c r="Z259" s="381"/>
      <c r="AA259" s="381"/>
      <c r="AB259" s="381"/>
      <c r="AC259" s="381"/>
      <c r="AD259" s="381"/>
      <c r="AE259" s="381"/>
      <c r="AF259" s="381"/>
      <c r="AG259" s="381"/>
      <c r="AH259" s="381"/>
      <c r="AI259" s="381"/>
      <c r="AJ259" s="381"/>
      <c r="AK259" s="381"/>
      <c r="AL259" s="381"/>
      <c r="AM259" s="381"/>
      <c r="AN259" s="381"/>
    </row>
    <row r="260" spans="1:40">
      <c r="A260" t="s">
        <v>45</v>
      </c>
      <c r="B260" t="s">
        <v>453</v>
      </c>
      <c r="C260" t="s">
        <v>455</v>
      </c>
      <c r="D260" t="str">
        <f t="shared" si="49"/>
        <v>Existing -Non-domestic ALL - Mandate on appliance efficiencyLate</v>
      </c>
      <c r="E260" s="381"/>
      <c r="F260" s="381"/>
      <c r="G260" s="381"/>
      <c r="H260" s="381"/>
      <c r="I260" s="381"/>
      <c r="J260" s="381"/>
      <c r="K260" s="381"/>
      <c r="L260" s="381"/>
      <c r="M260" s="381"/>
      <c r="N260" s="381"/>
      <c r="O260" s="381"/>
      <c r="P260" s="381"/>
      <c r="Q260" s="381"/>
      <c r="R260" s="381"/>
      <c r="S260" s="381"/>
      <c r="T260" s="381"/>
      <c r="U260" s="381"/>
      <c r="V260" s="381"/>
      <c r="W260" s="381"/>
      <c r="X260" s="381"/>
      <c r="Y260" s="381"/>
      <c r="Z260" s="381"/>
      <c r="AA260" s="381"/>
      <c r="AB260" s="381"/>
      <c r="AC260" s="381"/>
      <c r="AD260" s="381"/>
      <c r="AE260" s="381"/>
      <c r="AF260" s="381"/>
      <c r="AG260" s="381"/>
      <c r="AH260" s="381"/>
      <c r="AI260" s="381"/>
      <c r="AJ260" s="381"/>
      <c r="AK260" s="381"/>
      <c r="AL260" s="381"/>
      <c r="AM260" s="381"/>
      <c r="AN260" s="381"/>
    </row>
    <row r="261" spans="1:40">
      <c r="A261" t="s">
        <v>45</v>
      </c>
      <c r="B261" t="s">
        <v>453</v>
      </c>
      <c r="C261" t="s">
        <v>456</v>
      </c>
      <c r="D261" t="str">
        <f t="shared" si="49"/>
        <v>New - Non-domestic ALL - Mandate on lighting efficiencyLate</v>
      </c>
      <c r="E261" s="381">
        <v>0</v>
      </c>
      <c r="F261" s="381">
        <v>3472.6107683765158</v>
      </c>
      <c r="G261" s="381">
        <v>3472.6107683765158</v>
      </c>
      <c r="H261" s="381">
        <v>3472.6107683765154</v>
      </c>
      <c r="I261" s="381">
        <v>3472.6107683765158</v>
      </c>
      <c r="J261" s="381">
        <v>3472.6107683765158</v>
      </c>
      <c r="K261" s="381">
        <v>3472.6107683765158</v>
      </c>
      <c r="L261" s="381">
        <v>3472.6107683765163</v>
      </c>
      <c r="M261" s="381">
        <v>3472.6107683765154</v>
      </c>
      <c r="N261" s="381">
        <v>11591.288057345248</v>
      </c>
      <c r="O261" s="381">
        <v>19709.96534631398</v>
      </c>
      <c r="P261" s="381">
        <v>26905.53560679256</v>
      </c>
      <c r="Q261" s="381">
        <v>35024.212895761288</v>
      </c>
      <c r="R261" s="381">
        <v>43142.890184730022</v>
      </c>
      <c r="S261" s="381">
        <v>51261.567473698757</v>
      </c>
      <c r="T261" s="381">
        <v>59380.244762667491</v>
      </c>
      <c r="U261" s="381">
        <v>59380.244762667491</v>
      </c>
      <c r="V261" s="381">
        <v>2549.5037398863601</v>
      </c>
      <c r="W261" s="381">
        <v>2549.5037398863601</v>
      </c>
      <c r="X261" s="381">
        <v>2549.5037398863601</v>
      </c>
      <c r="Y261" s="381">
        <v>2549.5037398863601</v>
      </c>
      <c r="Z261" s="381">
        <v>2549.5037398863601</v>
      </c>
      <c r="AA261" s="381">
        <v>2549.5037398863601</v>
      </c>
      <c r="AB261" s="381">
        <v>2549.5037398863601</v>
      </c>
      <c r="AC261" s="381">
        <v>2549.5037398863587</v>
      </c>
      <c r="AD261" s="381">
        <v>2549.5037398863587</v>
      </c>
      <c r="AE261" s="381">
        <v>2549.5037398863587</v>
      </c>
      <c r="AF261" s="381">
        <v>2549.5037398863619</v>
      </c>
      <c r="AG261" s="381">
        <v>2549.5037398863606</v>
      </c>
      <c r="AH261" s="381">
        <v>2549.5037398863606</v>
      </c>
      <c r="AI261" s="381">
        <v>2549.5037398863606</v>
      </c>
      <c r="AJ261" s="381">
        <v>2549.5037398863606</v>
      </c>
      <c r="AK261" s="381">
        <v>2549.5037398863606</v>
      </c>
      <c r="AL261" s="381">
        <v>2549.5037398863606</v>
      </c>
      <c r="AM261" s="381">
        <v>2549.5037398863606</v>
      </c>
      <c r="AN261" s="381">
        <v>2549.5037398863496</v>
      </c>
    </row>
    <row r="262" spans="1:40">
      <c r="A262" t="s">
        <v>45</v>
      </c>
      <c r="B262" t="s">
        <v>453</v>
      </c>
      <c r="C262" t="s">
        <v>457</v>
      </c>
      <c r="D262" t="str">
        <f t="shared" si="49"/>
        <v>New -Non-domestic ALL - Mandate on appliance efficiencyLate</v>
      </c>
      <c r="E262" s="381">
        <v>0</v>
      </c>
      <c r="F262" s="381">
        <v>3472.6107683765158</v>
      </c>
      <c r="G262" s="381">
        <v>3472.6107683765158</v>
      </c>
      <c r="H262" s="381">
        <v>3472.6107683765154</v>
      </c>
      <c r="I262" s="381">
        <v>3472.6107683765158</v>
      </c>
      <c r="J262" s="381">
        <v>3472.6107683765158</v>
      </c>
      <c r="K262" s="381">
        <v>3472.6107683765158</v>
      </c>
      <c r="L262" s="381">
        <v>3472.6107683765163</v>
      </c>
      <c r="M262" s="381">
        <v>3472.6107683765154</v>
      </c>
      <c r="N262" s="381">
        <v>5226.6459851290192</v>
      </c>
      <c r="O262" s="381">
        <v>6980.6812018815235</v>
      </c>
      <c r="P262" s="381">
        <v>7811.6093901438717</v>
      </c>
      <c r="Q262" s="381">
        <v>9565.6446068963742</v>
      </c>
      <c r="R262" s="381">
        <v>11319.679823648878</v>
      </c>
      <c r="S262" s="381">
        <v>13073.715040401385</v>
      </c>
      <c r="T262" s="381">
        <v>14827.750257153886</v>
      </c>
      <c r="U262" s="381">
        <v>16581.785473906391</v>
      </c>
      <c r="V262" s="381">
        <v>18335.820690658897</v>
      </c>
      <c r="W262" s="381">
        <v>20089.855907411398</v>
      </c>
      <c r="X262" s="381">
        <v>21843.891124163903</v>
      </c>
      <c r="Y262" s="381">
        <v>23597.926340916409</v>
      </c>
      <c r="Z262" s="381">
        <v>22194.698167514402</v>
      </c>
      <c r="AA262" s="381">
        <v>20791.469994112402</v>
      </c>
      <c r="AB262" s="381">
        <v>19388.241820710398</v>
      </c>
      <c r="AC262" s="381">
        <v>17985.013647308395</v>
      </c>
      <c r="AD262" s="381">
        <v>16581.785473906391</v>
      </c>
      <c r="AE262" s="381">
        <v>15178.557300504388</v>
      </c>
      <c r="AF262" s="381">
        <v>13775.329127102388</v>
      </c>
      <c r="AG262" s="381">
        <v>12372.100953700381</v>
      </c>
      <c r="AH262" s="381">
        <v>10968.872780298379</v>
      </c>
      <c r="AI262" s="381">
        <v>9565.6446068963778</v>
      </c>
      <c r="AJ262" s="381">
        <v>8162.4164334943735</v>
      </c>
      <c r="AK262" s="381">
        <v>6759.18826009237</v>
      </c>
      <c r="AL262" s="381">
        <v>5355.9600866903666</v>
      </c>
      <c r="AM262" s="381">
        <v>3952.7319132883626</v>
      </c>
      <c r="AN262" s="381">
        <v>2549.5037398863496</v>
      </c>
    </row>
    <row r="263" spans="1:40">
      <c r="A263" t="s">
        <v>45</v>
      </c>
      <c r="B263" t="s">
        <v>453</v>
      </c>
      <c r="C263" t="s">
        <v>458</v>
      </c>
      <c r="D263" t="str">
        <f t="shared" si="49"/>
        <v>New -Non-domestic ALL - Stronger planning requirement for smart controlsLate</v>
      </c>
      <c r="E263" s="381">
        <v>0</v>
      </c>
      <c r="F263" s="381">
        <v>1627.7862976764916</v>
      </c>
      <c r="G263" s="381">
        <v>1627.7862976764916</v>
      </c>
      <c r="H263" s="381">
        <v>1627.7862976764918</v>
      </c>
      <c r="I263" s="381">
        <v>1627.7862976764914</v>
      </c>
      <c r="J263" s="381">
        <v>1627.7862976764914</v>
      </c>
      <c r="K263" s="381">
        <v>1627.7862976764914</v>
      </c>
      <c r="L263" s="381">
        <v>1627.7862976764918</v>
      </c>
      <c r="M263" s="381">
        <v>1627.7862976764916</v>
      </c>
      <c r="N263" s="381">
        <v>1627.7862976764916</v>
      </c>
      <c r="O263" s="381">
        <v>1627.7862976764914</v>
      </c>
      <c r="P263" s="381">
        <v>1195.0798780717309</v>
      </c>
      <c r="Q263" s="381">
        <v>1195.0798780717309</v>
      </c>
      <c r="R263" s="381">
        <v>1195.0798780717307</v>
      </c>
      <c r="S263" s="381">
        <v>1195.0798780717309</v>
      </c>
      <c r="T263" s="381">
        <v>1195.0798780717309</v>
      </c>
      <c r="U263" s="381">
        <v>1195.0798780717309</v>
      </c>
      <c r="V263" s="381">
        <v>1195.0798780717312</v>
      </c>
      <c r="W263" s="381">
        <v>1195.0798780717312</v>
      </c>
      <c r="X263" s="381">
        <v>1195.0798780717312</v>
      </c>
      <c r="Y263" s="381">
        <v>1195.0798780717312</v>
      </c>
      <c r="Z263" s="381">
        <v>1195.0798780717312</v>
      </c>
      <c r="AA263" s="381">
        <v>1195.0798780717312</v>
      </c>
      <c r="AB263" s="381">
        <v>1195.0798780717312</v>
      </c>
      <c r="AC263" s="381">
        <v>1195.0798780717305</v>
      </c>
      <c r="AD263" s="381">
        <v>1195.0798780717305</v>
      </c>
      <c r="AE263" s="381">
        <v>1195.0798780717305</v>
      </c>
      <c r="AF263" s="381">
        <v>1195.0798780717319</v>
      </c>
      <c r="AG263" s="381">
        <v>1195.0798780717312</v>
      </c>
      <c r="AH263" s="381">
        <v>1195.0798780717312</v>
      </c>
      <c r="AI263" s="381">
        <v>1195.0798780717312</v>
      </c>
      <c r="AJ263" s="381">
        <v>1195.0798780717312</v>
      </c>
      <c r="AK263" s="381">
        <v>1195.0798780717312</v>
      </c>
      <c r="AL263" s="381">
        <v>1195.0798780717312</v>
      </c>
      <c r="AM263" s="381">
        <v>1195.0798780717312</v>
      </c>
      <c r="AN263" s="381">
        <v>1195.0798780717264</v>
      </c>
    </row>
    <row r="264" spans="1:40">
      <c r="A264" t="s">
        <v>45</v>
      </c>
      <c r="B264" t="s">
        <v>459</v>
      </c>
      <c r="C264" t="s">
        <v>460</v>
      </c>
      <c r="D264" t="str">
        <f t="shared" si="49"/>
        <v>Extended Mayoral ProgramsDomestic CAPEXLate</v>
      </c>
      <c r="E264" s="80">
        <v>0</v>
      </c>
      <c r="F264" s="106">
        <v>0</v>
      </c>
      <c r="G264" s="106">
        <v>0</v>
      </c>
      <c r="H264" s="106">
        <v>0</v>
      </c>
      <c r="I264" s="106">
        <v>0</v>
      </c>
      <c r="J264" s="106">
        <v>0</v>
      </c>
      <c r="K264" s="106">
        <v>0</v>
      </c>
      <c r="L264" s="106">
        <v>0</v>
      </c>
      <c r="M264" s="106">
        <v>0</v>
      </c>
      <c r="N264" s="106">
        <v>0</v>
      </c>
      <c r="O264" s="80">
        <v>0</v>
      </c>
      <c r="P264" s="106">
        <v>22609162.780947134</v>
      </c>
      <c r="Q264" s="106">
        <v>44384306.726350106</v>
      </c>
      <c r="R264" s="106">
        <v>65325431.83620891</v>
      </c>
      <c r="S264" s="106">
        <v>64074403.582892686</v>
      </c>
      <c r="T264" s="106">
        <v>86619851.111746177</v>
      </c>
      <c r="U264" s="106">
        <v>110416326.89391595</v>
      </c>
      <c r="V264" s="106">
        <v>134212802.67608571</v>
      </c>
      <c r="W264" s="106">
        <v>158009278.45825547</v>
      </c>
      <c r="X264" s="106">
        <v>178110261.57397956</v>
      </c>
      <c r="Y264" s="106">
        <v>198211244.68970364</v>
      </c>
      <c r="Z264" s="106">
        <v>218312227.80542773</v>
      </c>
      <c r="AA264" s="106">
        <v>238413210.92115176</v>
      </c>
      <c r="AB264" s="106">
        <v>258514194.0368759</v>
      </c>
      <c r="AC264" s="106">
        <v>278615177.15259999</v>
      </c>
      <c r="AD264" s="106">
        <v>274919684.48615432</v>
      </c>
      <c r="AE264" s="106">
        <v>271224191.81970865</v>
      </c>
      <c r="AF264" s="106">
        <v>267528699.15326297</v>
      </c>
      <c r="AG264" s="106">
        <v>25868448.665119711</v>
      </c>
      <c r="AH264" s="106">
        <v>22172955.998674035</v>
      </c>
      <c r="AI264" s="106">
        <v>18477463.332228363</v>
      </c>
      <c r="AJ264" s="106">
        <v>14781970.66578269</v>
      </c>
      <c r="AK264" s="106">
        <v>11086477.999337019</v>
      </c>
      <c r="AL264" s="106">
        <v>7390985.3328913469</v>
      </c>
      <c r="AM264" s="106">
        <v>3695492.6664456734</v>
      </c>
      <c r="AN264" s="80">
        <v>6.787544748476648E-10</v>
      </c>
    </row>
    <row r="265" spans="1:40">
      <c r="A265" t="s">
        <v>45</v>
      </c>
      <c r="B265" t="s">
        <v>459</v>
      </c>
      <c r="C265" t="s">
        <v>461</v>
      </c>
      <c r="D265" t="str">
        <f t="shared" si="49"/>
        <v>MEESDomestic CAPEXLate</v>
      </c>
      <c r="E265" s="80">
        <v>0</v>
      </c>
      <c r="F265" s="106">
        <v>0</v>
      </c>
      <c r="G265" s="106">
        <v>0</v>
      </c>
      <c r="H265" s="106">
        <v>0</v>
      </c>
      <c r="I265" s="106">
        <v>0</v>
      </c>
      <c r="J265" s="106">
        <v>0</v>
      </c>
      <c r="K265" s="106">
        <v>0</v>
      </c>
      <c r="L265" s="106">
        <v>0</v>
      </c>
      <c r="M265" s="106">
        <v>0</v>
      </c>
      <c r="N265" s="106">
        <v>33781549.706432767</v>
      </c>
      <c r="O265" s="80">
        <v>66361280.939164132</v>
      </c>
      <c r="P265" s="106">
        <v>183449316.64088976</v>
      </c>
      <c r="Q265" s="106">
        <v>296173813.2150535</v>
      </c>
      <c r="R265" s="106">
        <v>404534770.66165531</v>
      </c>
      <c r="S265" s="106">
        <v>508532188.98069531</v>
      </c>
      <c r="T265" s="106">
        <v>608166068.1721735</v>
      </c>
      <c r="U265" s="106">
        <v>717728844.09247684</v>
      </c>
      <c r="V265" s="106">
        <v>827291620.01278007</v>
      </c>
      <c r="W265" s="106">
        <v>936854395.93308342</v>
      </c>
      <c r="X265" s="106">
        <v>1046417171.8533864</v>
      </c>
      <c r="Y265" s="106">
        <v>1046417171.8533864</v>
      </c>
      <c r="Z265" s="106">
        <v>669909935.627388</v>
      </c>
      <c r="AA265" s="106">
        <v>553321941.65967083</v>
      </c>
      <c r="AB265" s="106">
        <v>436733947.69195354</v>
      </c>
      <c r="AC265" s="106">
        <v>320145953.72423637</v>
      </c>
      <c r="AD265" s="106">
        <v>-2.7242094802204521E-9</v>
      </c>
      <c r="AE265" s="106">
        <v>0</v>
      </c>
      <c r="AF265" s="106">
        <v>0</v>
      </c>
      <c r="AG265" s="106">
        <v>0</v>
      </c>
      <c r="AH265" s="106">
        <v>0</v>
      </c>
      <c r="AI265" s="106">
        <v>0</v>
      </c>
      <c r="AJ265" s="106">
        <v>0</v>
      </c>
      <c r="AK265" s="106">
        <v>0</v>
      </c>
      <c r="AL265" s="106">
        <v>0</v>
      </c>
      <c r="AM265" s="106">
        <v>0</v>
      </c>
      <c r="AN265" s="80">
        <v>0</v>
      </c>
    </row>
    <row r="266" spans="1:40">
      <c r="A266" t="s">
        <v>45</v>
      </c>
      <c r="B266" t="s">
        <v>459</v>
      </c>
      <c r="C266" t="s">
        <v>462</v>
      </c>
      <c r="D266" t="str">
        <f t="shared" si="49"/>
        <v>Tax mechanismsDomestic CAPEXLate</v>
      </c>
      <c r="E266" s="80">
        <v>0</v>
      </c>
      <c r="F266" s="106">
        <v>0</v>
      </c>
      <c r="G266" s="106">
        <v>0</v>
      </c>
      <c r="H266" s="106">
        <v>0</v>
      </c>
      <c r="I266" s="106">
        <v>0</v>
      </c>
      <c r="J266" s="106">
        <v>0</v>
      </c>
      <c r="K266" s="106">
        <v>0</v>
      </c>
      <c r="L266" s="106">
        <v>0</v>
      </c>
      <c r="M266" s="106">
        <v>0</v>
      </c>
      <c r="N266" s="106">
        <v>0</v>
      </c>
      <c r="O266" s="80">
        <v>0</v>
      </c>
      <c r="P266" s="106">
        <v>0</v>
      </c>
      <c r="Q266" s="106">
        <v>0</v>
      </c>
      <c r="R266" s="106">
        <v>19956943.057886809</v>
      </c>
      <c r="S266" s="106">
        <v>19574753.473930605</v>
      </c>
      <c r="T266" s="106">
        <v>83167776.85655576</v>
      </c>
      <c r="U266" s="106">
        <v>83167776.85655576</v>
      </c>
      <c r="V266" s="106">
        <v>83167776.85655576</v>
      </c>
      <c r="W266" s="106">
        <v>63975212.96658136</v>
      </c>
      <c r="X266" s="106">
        <v>63975212.96658136</v>
      </c>
      <c r="Y266" s="106">
        <v>63975212.96658136</v>
      </c>
      <c r="Z266" s="106">
        <v>63975212.96658136</v>
      </c>
      <c r="AA266" s="106">
        <v>63975212.96658136</v>
      </c>
      <c r="AB266" s="106">
        <v>63975212.96658136</v>
      </c>
      <c r="AC266" s="106">
        <v>63975212.96658136</v>
      </c>
      <c r="AD266" s="106">
        <v>63975212.96658136</v>
      </c>
      <c r="AE266" s="106">
        <v>0</v>
      </c>
      <c r="AF266" s="106">
        <v>0</v>
      </c>
      <c r="AG266" s="106">
        <v>0</v>
      </c>
      <c r="AH266" s="106">
        <v>0</v>
      </c>
      <c r="AI266" s="106">
        <v>0</v>
      </c>
      <c r="AJ266" s="106">
        <v>0</v>
      </c>
      <c r="AK266" s="106">
        <v>0</v>
      </c>
      <c r="AL266" s="106">
        <v>0</v>
      </c>
      <c r="AM266" s="106">
        <v>0</v>
      </c>
      <c r="AN266" s="80">
        <v>0</v>
      </c>
    </row>
    <row r="267" spans="1:40">
      <c r="A267" t="s">
        <v>45</v>
      </c>
      <c r="B267" t="s">
        <v>459</v>
      </c>
      <c r="C267" t="s">
        <v>463</v>
      </c>
      <c r="D267" t="str">
        <f t="shared" si="49"/>
        <v>Planning requirementsDomestic CAPEXLate</v>
      </c>
      <c r="E267" s="381">
        <v>0</v>
      </c>
      <c r="F267" s="381">
        <v>31743906.616401419</v>
      </c>
      <c r="G267" s="381">
        <v>31249587.149795301</v>
      </c>
      <c r="H267" s="381">
        <v>30755267.683189187</v>
      </c>
      <c r="I267" s="381">
        <v>30260948.216583073</v>
      </c>
      <c r="J267" s="381">
        <v>29766628.749976873</v>
      </c>
      <c r="K267" s="381">
        <v>24773815.124989782</v>
      </c>
      <c r="L267" s="381">
        <v>24355461.418767486</v>
      </c>
      <c r="M267" s="381">
        <v>23937107.71254519</v>
      </c>
      <c r="N267" s="381">
        <v>23518754.006322902</v>
      </c>
      <c r="O267" s="381">
        <v>87648411.284795165</v>
      </c>
      <c r="P267" s="381">
        <v>81741354.146256</v>
      </c>
      <c r="Q267" s="381">
        <v>80233694.847648233</v>
      </c>
      <c r="R267" s="381">
        <v>78726035.549040467</v>
      </c>
      <c r="S267" s="381">
        <v>77218376.2504327</v>
      </c>
      <c r="T267" s="381">
        <v>75710716.951824918</v>
      </c>
      <c r="U267" s="381">
        <v>66543411.668982908</v>
      </c>
      <c r="V267" s="381">
        <v>66543411.668982871</v>
      </c>
      <c r="W267" s="381">
        <v>7840299.3167608446</v>
      </c>
      <c r="X267" s="381">
        <v>7840299.3167608446</v>
      </c>
      <c r="Y267" s="381">
        <v>7840299.3167608446</v>
      </c>
      <c r="Z267" s="381">
        <v>7840299.3167608446</v>
      </c>
      <c r="AA267" s="381">
        <v>7840299.3167608446</v>
      </c>
      <c r="AB267" s="381">
        <v>7840299.3167608446</v>
      </c>
      <c r="AC267" s="381">
        <v>7840299.3167608446</v>
      </c>
      <c r="AD267" s="381">
        <v>7840299.3167615253</v>
      </c>
      <c r="AE267" s="381">
        <v>7840299.316760987</v>
      </c>
      <c r="AF267" s="381">
        <v>7840299.3167610615</v>
      </c>
      <c r="AG267" s="381">
        <v>7840299.3167610615</v>
      </c>
      <c r="AH267" s="381">
        <v>7840299.3167610615</v>
      </c>
      <c r="AI267" s="381">
        <v>7840299.3167610615</v>
      </c>
      <c r="AJ267" s="381">
        <v>7840299.3167610615</v>
      </c>
      <c r="AK267" s="381">
        <v>7840299.3167610615</v>
      </c>
      <c r="AL267" s="381">
        <v>7840299.3167610615</v>
      </c>
      <c r="AM267" s="381">
        <v>7840299.3167610615</v>
      </c>
      <c r="AN267" s="381">
        <v>7840299.3167603388</v>
      </c>
    </row>
    <row r="268" spans="1:40">
      <c r="A268" t="s">
        <v>45</v>
      </c>
      <c r="B268" t="s">
        <v>459</v>
      </c>
      <c r="C268" t="s">
        <v>464</v>
      </c>
      <c r="D268" t="str">
        <f t="shared" si="49"/>
        <v>Lighting efficiencyDomestic CAPEXLate</v>
      </c>
      <c r="E268" s="381">
        <v>0</v>
      </c>
      <c r="F268" s="381">
        <v>6935973.9122759365</v>
      </c>
      <c r="G268" s="381">
        <v>6827966.193939887</v>
      </c>
      <c r="H268" s="381">
        <v>6719958.4756038357</v>
      </c>
      <c r="I268" s="381">
        <v>6611950.7572677853</v>
      </c>
      <c r="J268" s="381">
        <v>6503943.0389317162</v>
      </c>
      <c r="K268" s="381">
        <v>5413024.2219681572</v>
      </c>
      <c r="L268" s="381">
        <v>5321614.8555178875</v>
      </c>
      <c r="M268" s="381">
        <v>5230205.4890676178</v>
      </c>
      <c r="N268" s="381">
        <v>12194947.373531636</v>
      </c>
      <c r="O268" s="381">
        <v>18908658.355024267</v>
      </c>
      <c r="P268" s="381">
        <v>24427488.286369674</v>
      </c>
      <c r="Q268" s="381">
        <v>30656546.085323602</v>
      </c>
      <c r="R268" s="381">
        <v>36634572.981306106</v>
      </c>
      <c r="S268" s="381">
        <v>42361568.974317178</v>
      </c>
      <c r="T268" s="381">
        <v>47837534.064356834</v>
      </c>
      <c r="U268" s="381">
        <v>45834497.983888745</v>
      </c>
      <c r="V268" s="381">
        <v>1713088.1898887325</v>
      </c>
      <c r="W268" s="381">
        <v>1713088.1898887325</v>
      </c>
      <c r="X268" s="381">
        <v>1713088.1898887325</v>
      </c>
      <c r="Y268" s="381">
        <v>1713088.1898887325</v>
      </c>
      <c r="Z268" s="381">
        <v>1713088.1898887325</v>
      </c>
      <c r="AA268" s="381">
        <v>1713088.1898887325</v>
      </c>
      <c r="AB268" s="381">
        <v>1713088.1898887325</v>
      </c>
      <c r="AC268" s="381">
        <v>1713088.1898887325</v>
      </c>
      <c r="AD268" s="381">
        <v>1713088.1898888813</v>
      </c>
      <c r="AE268" s="381">
        <v>1713088.1898887637</v>
      </c>
      <c r="AF268" s="381">
        <v>1713088.18988878</v>
      </c>
      <c r="AG268" s="381">
        <v>1713088.18988878</v>
      </c>
      <c r="AH268" s="381">
        <v>1713088.18988878</v>
      </c>
      <c r="AI268" s="381">
        <v>1713088.18988878</v>
      </c>
      <c r="AJ268" s="381">
        <v>1713088.18988878</v>
      </c>
      <c r="AK268" s="381">
        <v>1713088.18988878</v>
      </c>
      <c r="AL268" s="381">
        <v>1713088.18988878</v>
      </c>
      <c r="AM268" s="381">
        <v>1713088.18988878</v>
      </c>
      <c r="AN268" s="381">
        <v>1713088.1898886203</v>
      </c>
    </row>
    <row r="269" spans="1:40">
      <c r="A269" t="s">
        <v>45</v>
      </c>
      <c r="B269" t="s">
        <v>459</v>
      </c>
      <c r="C269" t="s">
        <v>465</v>
      </c>
      <c r="D269" t="str">
        <f t="shared" si="49"/>
        <v>Extended Mayoral ProgramsNon-domestic CAPEXLate</v>
      </c>
      <c r="E269" s="381">
        <v>0</v>
      </c>
      <c r="F269" s="381">
        <v>0</v>
      </c>
      <c r="G269" s="381">
        <v>0</v>
      </c>
      <c r="H269" s="381">
        <v>0</v>
      </c>
      <c r="I269" s="381">
        <v>0</v>
      </c>
      <c r="J269" s="381">
        <v>0</v>
      </c>
      <c r="K269" s="381">
        <v>0</v>
      </c>
      <c r="L269" s="381">
        <v>0</v>
      </c>
      <c r="M269" s="381">
        <v>0</v>
      </c>
      <c r="N269" s="381">
        <v>0</v>
      </c>
      <c r="O269" s="381">
        <v>0</v>
      </c>
      <c r="P269" s="381">
        <v>4565418.4205702832</v>
      </c>
      <c r="Q269" s="381">
        <v>8962425.2554579433</v>
      </c>
      <c r="R269" s="381">
        <v>13191020.504662976</v>
      </c>
      <c r="S269" s="381">
        <v>12938403.126139039</v>
      </c>
      <c r="T269" s="381">
        <v>12685785.747615103</v>
      </c>
      <c r="U269" s="381">
        <v>12685785.747615103</v>
      </c>
      <c r="V269" s="381">
        <v>12685785.747615103</v>
      </c>
      <c r="W269" s="381">
        <v>12685785.747615103</v>
      </c>
      <c r="X269" s="381">
        <v>11939563.056578919</v>
      </c>
      <c r="Y269" s="381">
        <v>11193340.365542738</v>
      </c>
      <c r="Z269" s="381">
        <v>10447117.674506553</v>
      </c>
      <c r="AA269" s="381">
        <v>9700894.983470371</v>
      </c>
      <c r="AB269" s="381">
        <v>8954672.2924341895</v>
      </c>
      <c r="AC269" s="381">
        <v>8208449.6013980061</v>
      </c>
      <c r="AD269" s="381">
        <v>7462226.9103618246</v>
      </c>
      <c r="AE269" s="381">
        <v>6716004.2193256412</v>
      </c>
      <c r="AF269" s="381">
        <v>5969781.5282894596</v>
      </c>
      <c r="AG269" s="381">
        <v>5223558.8372532763</v>
      </c>
      <c r="AH269" s="381">
        <v>4477336.1462170938</v>
      </c>
      <c r="AI269" s="381">
        <v>3731113.4551809123</v>
      </c>
      <c r="AJ269" s="381">
        <v>2984890.7641447303</v>
      </c>
      <c r="AK269" s="381">
        <v>2238668.0731085469</v>
      </c>
      <c r="AL269" s="381">
        <v>1492445.3820723644</v>
      </c>
      <c r="AM269" s="381">
        <v>746222.69103618222</v>
      </c>
      <c r="AN269" s="381">
        <v>1.6960655102593591E-11</v>
      </c>
    </row>
    <row r="270" spans="1:40">
      <c r="A270" t="s">
        <v>45</v>
      </c>
      <c r="B270" t="s">
        <v>459</v>
      </c>
      <c r="C270" t="s">
        <v>466</v>
      </c>
      <c r="D270" t="str">
        <f t="shared" si="49"/>
        <v>MEESNon-domestic CAPEXLate</v>
      </c>
      <c r="E270" s="381">
        <v>0</v>
      </c>
      <c r="F270" s="381">
        <v>0</v>
      </c>
      <c r="G270" s="381">
        <v>0</v>
      </c>
      <c r="H270" s="381">
        <v>0</v>
      </c>
      <c r="I270" s="381">
        <v>0</v>
      </c>
      <c r="J270" s="381">
        <v>0</v>
      </c>
      <c r="K270" s="381">
        <v>0</v>
      </c>
      <c r="L270" s="381">
        <v>0</v>
      </c>
      <c r="M270" s="381">
        <v>0</v>
      </c>
      <c r="N270" s="381">
        <v>12191642.167085031</v>
      </c>
      <c r="O270" s="381">
        <v>23949552.284915686</v>
      </c>
      <c r="P270" s="381">
        <v>37856792.825645253</v>
      </c>
      <c r="Q270" s="381">
        <v>51235015.933223829</v>
      </c>
      <c r="R270" s="381">
        <v>64084221.60765145</v>
      </c>
      <c r="S270" s="381">
        <v>76404409.848928094</v>
      </c>
      <c r="T270" s="381">
        <v>88195580.657053798</v>
      </c>
      <c r="U270" s="381">
        <v>102970756.20689094</v>
      </c>
      <c r="V270" s="381">
        <v>117745931.75672808</v>
      </c>
      <c r="W270" s="381">
        <v>132521107.30656521</v>
      </c>
      <c r="X270" s="381">
        <v>147296282.85640237</v>
      </c>
      <c r="Y270" s="381">
        <v>147296282.85640237</v>
      </c>
      <c r="Z270" s="381">
        <v>127743173.36150351</v>
      </c>
      <c r="AA270" s="381">
        <v>108190063.86660469</v>
      </c>
      <c r="AB270" s="381">
        <v>88636954.371705845</v>
      </c>
      <c r="AC270" s="381">
        <v>69083844.876807004</v>
      </c>
      <c r="AD270" s="381">
        <v>2.7918332534682125E-9</v>
      </c>
      <c r="AE270" s="381">
        <v>0</v>
      </c>
      <c r="AF270" s="381">
        <v>0</v>
      </c>
      <c r="AG270" s="381">
        <v>0</v>
      </c>
      <c r="AH270" s="381">
        <v>0</v>
      </c>
      <c r="AI270" s="381">
        <v>0</v>
      </c>
      <c r="AJ270" s="381">
        <v>0</v>
      </c>
      <c r="AK270" s="381">
        <v>0</v>
      </c>
      <c r="AL270" s="381">
        <v>0</v>
      </c>
      <c r="AM270" s="381">
        <v>0</v>
      </c>
      <c r="AN270" s="381">
        <v>0</v>
      </c>
    </row>
    <row r="271" spans="1:40">
      <c r="A271" t="s">
        <v>45</v>
      </c>
      <c r="B271" t="s">
        <v>459</v>
      </c>
      <c r="C271" t="s">
        <v>467</v>
      </c>
      <c r="D271" t="str">
        <f t="shared" si="49"/>
        <v>Tax mechanismsNon-domestic CAPEXLate</v>
      </c>
      <c r="E271" s="381">
        <v>0</v>
      </c>
      <c r="F271" s="381">
        <v>0</v>
      </c>
      <c r="G271" s="381">
        <v>0</v>
      </c>
      <c r="H271" s="381">
        <v>0</v>
      </c>
      <c r="I271" s="381">
        <v>0</v>
      </c>
      <c r="J271" s="381">
        <v>0</v>
      </c>
      <c r="K271" s="381">
        <v>0</v>
      </c>
      <c r="L271" s="381">
        <v>0</v>
      </c>
      <c r="M271" s="381">
        <v>0</v>
      </c>
      <c r="N271" s="381">
        <v>0</v>
      </c>
      <c r="O271" s="381">
        <v>0</v>
      </c>
      <c r="P271" s="381">
        <v>0</v>
      </c>
      <c r="Q271" s="381">
        <v>0</v>
      </c>
      <c r="R271" s="381">
        <v>1327930.6106295071</v>
      </c>
      <c r="S271" s="381">
        <v>3396308.7972123297</v>
      </c>
      <c r="T271" s="381">
        <v>3329997.1653482523</v>
      </c>
      <c r="U271" s="381">
        <v>3329997.1653482523</v>
      </c>
      <c r="V271" s="381">
        <v>3329997.1653482523</v>
      </c>
      <c r="W271" s="381">
        <v>0</v>
      </c>
      <c r="X271" s="381">
        <v>0</v>
      </c>
      <c r="Y271" s="381">
        <v>0</v>
      </c>
      <c r="Z271" s="381">
        <v>0</v>
      </c>
      <c r="AA271" s="381">
        <v>0</v>
      </c>
      <c r="AB271" s="381">
        <v>0</v>
      </c>
      <c r="AC271" s="381">
        <v>0</v>
      </c>
      <c r="AD271" s="381">
        <v>0</v>
      </c>
      <c r="AE271" s="381">
        <v>0</v>
      </c>
      <c r="AF271" s="381">
        <v>0</v>
      </c>
      <c r="AG271" s="381">
        <v>0</v>
      </c>
      <c r="AH271" s="381">
        <v>0</v>
      </c>
      <c r="AI271" s="381">
        <v>0</v>
      </c>
      <c r="AJ271" s="381">
        <v>0</v>
      </c>
      <c r="AK271" s="381">
        <v>0</v>
      </c>
      <c r="AL271" s="381">
        <v>0</v>
      </c>
      <c r="AM271" s="381">
        <v>0</v>
      </c>
      <c r="AN271" s="381">
        <v>0</v>
      </c>
    </row>
    <row r="272" spans="1:40">
      <c r="A272" t="s">
        <v>45</v>
      </c>
      <c r="B272" t="s">
        <v>459</v>
      </c>
      <c r="C272" t="s">
        <v>468</v>
      </c>
      <c r="D272" t="str">
        <f t="shared" si="49"/>
        <v>Planning requirementsNon-domestic CAPEXLate</v>
      </c>
      <c r="E272" s="381">
        <v>0</v>
      </c>
      <c r="F272" s="381">
        <v>4085557.6935081659</v>
      </c>
      <c r="G272" s="381">
        <v>4021936.9575903006</v>
      </c>
      <c r="H272" s="381">
        <v>3958316.2216724344</v>
      </c>
      <c r="I272" s="381">
        <v>3894695.4857545691</v>
      </c>
      <c r="J272" s="381">
        <v>3831074.7498367028</v>
      </c>
      <c r="K272" s="381">
        <v>3767454.0139188375</v>
      </c>
      <c r="L272" s="381">
        <v>3703833.2780009722</v>
      </c>
      <c r="M272" s="381">
        <v>3640212.5420831051</v>
      </c>
      <c r="N272" s="381">
        <v>3576591.8061652393</v>
      </c>
      <c r="O272" s="381">
        <v>3512971.070247374</v>
      </c>
      <c r="P272" s="381">
        <v>2522585.8105653757</v>
      </c>
      <c r="Q272" s="381">
        <v>2476058.5662646513</v>
      </c>
      <c r="R272" s="381">
        <v>2429531.3219639254</v>
      </c>
      <c r="S272" s="381">
        <v>2383004.0776632018</v>
      </c>
      <c r="T272" s="381">
        <v>2336476.8333624769</v>
      </c>
      <c r="U272" s="381">
        <v>2336476.8333624774</v>
      </c>
      <c r="V272" s="381">
        <v>2336476.8333624774</v>
      </c>
      <c r="W272" s="381">
        <v>2336476.8333624774</v>
      </c>
      <c r="X272" s="381">
        <v>2336476.8333624774</v>
      </c>
      <c r="Y272" s="381">
        <v>2336476.8333624774</v>
      </c>
      <c r="Z272" s="381">
        <v>2336476.8333624774</v>
      </c>
      <c r="AA272" s="381">
        <v>2336476.8333624774</v>
      </c>
      <c r="AB272" s="381">
        <v>2336476.8333624774</v>
      </c>
      <c r="AC272" s="381">
        <v>2336476.8333624764</v>
      </c>
      <c r="AD272" s="381">
        <v>2336476.8333624764</v>
      </c>
      <c r="AE272" s="381">
        <v>2336476.8333624764</v>
      </c>
      <c r="AF272" s="381">
        <v>2336476.8333624797</v>
      </c>
      <c r="AG272" s="381">
        <v>2336476.8333624778</v>
      </c>
      <c r="AH272" s="381">
        <v>2336476.8333624778</v>
      </c>
      <c r="AI272" s="381">
        <v>2336476.8333624778</v>
      </c>
      <c r="AJ272" s="381">
        <v>2336476.8333624778</v>
      </c>
      <c r="AK272" s="381">
        <v>2336476.8333624778</v>
      </c>
      <c r="AL272" s="381">
        <v>2336476.8333624778</v>
      </c>
      <c r="AM272" s="381">
        <v>2336476.8333624778</v>
      </c>
      <c r="AN272" s="381">
        <v>2336476.8333624699</v>
      </c>
    </row>
    <row r="273" spans="1:40">
      <c r="A273" t="s">
        <v>45</v>
      </c>
      <c r="B273" t="s">
        <v>459</v>
      </c>
      <c r="C273" t="s">
        <v>469</v>
      </c>
      <c r="D273" t="str">
        <f t="shared" si="49"/>
        <v>Lighting efficiencyNon-domestic CAPEXLate</v>
      </c>
      <c r="E273" s="80">
        <v>0</v>
      </c>
      <c r="F273" s="106">
        <v>6085102.7363829538</v>
      </c>
      <c r="G273" s="106">
        <v>5990344.8738664966</v>
      </c>
      <c r="H273" s="106">
        <v>5895587.0113500375</v>
      </c>
      <c r="I273" s="106">
        <v>5800829.1488335812</v>
      </c>
      <c r="J273" s="106">
        <v>5706071.2863171231</v>
      </c>
      <c r="K273" s="106">
        <v>5611313.4238006659</v>
      </c>
      <c r="L273" s="106">
        <v>5516555.5612842096</v>
      </c>
      <c r="M273" s="106">
        <v>5421797.6987677487</v>
      </c>
      <c r="N273" s="106">
        <v>17882549.24574675</v>
      </c>
      <c r="O273" s="80">
        <v>29896623.737167519</v>
      </c>
      <c r="P273" s="106">
        <v>40039894.581190944</v>
      </c>
      <c r="Q273" s="106">
        <v>51186881.931513138</v>
      </c>
      <c r="R273" s="106">
        <v>61887192.226277098</v>
      </c>
      <c r="S273" s="106">
        <v>72140825.465482831</v>
      </c>
      <c r="T273" s="106">
        <v>81947781.649130344</v>
      </c>
      <c r="U273" s="106">
        <v>81947781.649130344</v>
      </c>
      <c r="V273" s="106">
        <v>3439433.9493849594</v>
      </c>
      <c r="W273" s="106">
        <v>3439433.9493849594</v>
      </c>
      <c r="X273" s="106">
        <v>3439433.9493849594</v>
      </c>
      <c r="Y273" s="106">
        <v>3439433.9493849594</v>
      </c>
      <c r="Z273" s="106">
        <v>3439433.9493849594</v>
      </c>
      <c r="AA273" s="106">
        <v>3439433.9493849594</v>
      </c>
      <c r="AB273" s="106">
        <v>3439433.9493849594</v>
      </c>
      <c r="AC273" s="106">
        <v>3439433.9493849585</v>
      </c>
      <c r="AD273" s="106">
        <v>3439433.9493849585</v>
      </c>
      <c r="AE273" s="106">
        <v>3439433.9493849585</v>
      </c>
      <c r="AF273" s="106">
        <v>3439433.9493849636</v>
      </c>
      <c r="AG273" s="106">
        <v>3439433.9493849599</v>
      </c>
      <c r="AH273" s="106">
        <v>3439433.9493849599</v>
      </c>
      <c r="AI273" s="106">
        <v>3439433.9493849599</v>
      </c>
      <c r="AJ273" s="106">
        <v>3439433.9493849599</v>
      </c>
      <c r="AK273" s="106">
        <v>3439433.9493849599</v>
      </c>
      <c r="AL273" s="106">
        <v>3439433.9493849599</v>
      </c>
      <c r="AM273" s="106">
        <v>3439433.9493849599</v>
      </c>
      <c r="AN273" s="80">
        <v>3439433.9493849524</v>
      </c>
    </row>
    <row r="274" spans="1:40">
      <c r="A274" t="s">
        <v>45</v>
      </c>
      <c r="B274" t="s">
        <v>459</v>
      </c>
      <c r="C274" t="s">
        <v>470</v>
      </c>
      <c r="D274" t="str">
        <f t="shared" si="49"/>
        <v>AllDomestic CAPEXLate</v>
      </c>
      <c r="E274" s="80">
        <v>0</v>
      </c>
      <c r="F274" s="106">
        <v>38679880.528677359</v>
      </c>
      <c r="G274" s="106">
        <v>38077553.343735188</v>
      </c>
      <c r="H274" s="106">
        <v>37475226.158793025</v>
      </c>
      <c r="I274" s="106">
        <v>36872898.973850861</v>
      </c>
      <c r="J274" s="106">
        <v>36270571.788908586</v>
      </c>
      <c r="K274" s="106">
        <v>30186839.346957937</v>
      </c>
      <c r="L274" s="106">
        <v>29677076.274285372</v>
      </c>
      <c r="M274" s="106">
        <v>29167313.201612808</v>
      </c>
      <c r="N274" s="106">
        <v>69495251.086287305</v>
      </c>
      <c r="O274" s="80">
        <v>212647706.66504797</v>
      </c>
      <c r="P274" s="106">
        <v>356396193.40074158</v>
      </c>
      <c r="Q274" s="106">
        <v>495215451.47878444</v>
      </c>
      <c r="R274" s="106">
        <v>648543063.7486366</v>
      </c>
      <c r="S274" s="106">
        <v>754724819.98293746</v>
      </c>
      <c r="T274" s="106">
        <v>944063694.93545616</v>
      </c>
      <c r="U274" s="106">
        <v>1049549411.8491008</v>
      </c>
      <c r="V274" s="106">
        <v>1126950508.5555811</v>
      </c>
      <c r="W274" s="106">
        <v>1182339272.0140779</v>
      </c>
      <c r="X274" s="106">
        <v>1311928219.0483253</v>
      </c>
      <c r="Y274" s="106">
        <v>1331954390.1622696</v>
      </c>
      <c r="Z274" s="106">
        <v>992544088.20370352</v>
      </c>
      <c r="AA274" s="106">
        <v>912879008.92975581</v>
      </c>
      <c r="AB274" s="106">
        <v>833039910.08214521</v>
      </c>
      <c r="AC274" s="106">
        <v>753026791.6608721</v>
      </c>
      <c r="AD274" s="106">
        <v>445485218.12724924</v>
      </c>
      <c r="AE274" s="106">
        <v>393940365.77761495</v>
      </c>
      <c r="AF274" s="106">
        <v>406196706.82090104</v>
      </c>
      <c r="AG274" s="106">
        <v>180314270.46882659</v>
      </c>
      <c r="AH274" s="106">
        <v>192222572.36478698</v>
      </c>
      <c r="AI274" s="106">
        <v>203956854.68708459</v>
      </c>
      <c r="AJ274" s="106">
        <v>177314654.11067161</v>
      </c>
      <c r="AK274" s="106">
        <v>137982564.07999659</v>
      </c>
      <c r="AL274" s="106">
        <v>99024188.488976762</v>
      </c>
      <c r="AM274" s="106">
        <v>60439527.337612174</v>
      </c>
      <c r="AN274" s="80">
        <v>22228580.62590082</v>
      </c>
    </row>
    <row r="275" spans="1:40">
      <c r="A275" t="s">
        <v>45</v>
      </c>
      <c r="B275" t="s">
        <v>459</v>
      </c>
      <c r="C275" t="s">
        <v>471</v>
      </c>
      <c r="D275" t="str">
        <f t="shared" si="49"/>
        <v>AllNon-domestic CAPEXLate</v>
      </c>
      <c r="E275" s="381">
        <v>0</v>
      </c>
      <c r="F275" s="381">
        <v>10170660.429891121</v>
      </c>
      <c r="G275" s="381">
        <v>10012281.831456797</v>
      </c>
      <c r="H275" s="381">
        <v>9853903.2330224719</v>
      </c>
      <c r="I275" s="381">
        <v>9695524.6345881503</v>
      </c>
      <c r="J275" s="381">
        <v>9537146.0361538269</v>
      </c>
      <c r="K275" s="381">
        <v>9378767.4377195034</v>
      </c>
      <c r="L275" s="381">
        <v>9220388.8392851818</v>
      </c>
      <c r="M275" s="381">
        <v>9062010.2408508547</v>
      </c>
      <c r="N275" s="381">
        <v>33650783.218997017</v>
      </c>
      <c r="O275" s="381">
        <v>86400770.216910213</v>
      </c>
      <c r="P275" s="381">
        <v>111691649.70310071</v>
      </c>
      <c r="Q275" s="381">
        <v>140378807.16575629</v>
      </c>
      <c r="R275" s="381">
        <v>169249789.16328448</v>
      </c>
      <c r="S275" s="381">
        <v>193404311.61900365</v>
      </c>
      <c r="T275" s="381">
        <v>214448449.76628208</v>
      </c>
      <c r="U275" s="381">
        <v>229061128.26419225</v>
      </c>
      <c r="V275" s="381">
        <v>160021766.91260526</v>
      </c>
      <c r="W275" s="381">
        <v>171337456.61404896</v>
      </c>
      <c r="X275" s="381">
        <v>185236920.78889999</v>
      </c>
      <c r="Y275" s="381">
        <v>184361209.4130348</v>
      </c>
      <c r="Z275" s="381">
        <v>179443852.17066953</v>
      </c>
      <c r="AA275" s="381">
        <v>174325761.17593101</v>
      </c>
      <c r="AB275" s="381">
        <v>169006936.4288426</v>
      </c>
      <c r="AC275" s="381">
        <v>163487377.92942655</v>
      </c>
      <c r="AD275" s="381">
        <v>108236350.29579633</v>
      </c>
      <c r="AE275" s="381">
        <v>111446472.38251445</v>
      </c>
      <c r="AF275" s="381">
        <v>62825179.694351584</v>
      </c>
      <c r="AG275" s="381">
        <v>66249853.417167708</v>
      </c>
      <c r="AH275" s="381">
        <v>69610686.530114636</v>
      </c>
      <c r="AI275" s="381">
        <v>72907679.03321059</v>
      </c>
      <c r="AJ275" s="381">
        <v>62856631.956695199</v>
      </c>
      <c r="AK275" s="381">
        <v>52933266.097919464</v>
      </c>
      <c r="AL275" s="381">
        <v>43137581.456899911</v>
      </c>
      <c r="AM275" s="381">
        <v>33469578.033652555</v>
      </c>
      <c r="AN275" s="381">
        <v>23929255.828192662</v>
      </c>
    </row>
    <row r="276" spans="1:40">
      <c r="E276" s="381"/>
      <c r="F276" s="381"/>
      <c r="G276" s="381"/>
      <c r="H276" s="381"/>
      <c r="I276" s="381"/>
      <c r="J276" s="381"/>
      <c r="K276" s="381"/>
      <c r="L276" s="381"/>
      <c r="M276" s="381"/>
      <c r="N276" s="381"/>
      <c r="O276" s="381"/>
      <c r="P276" s="381"/>
      <c r="Q276" s="381"/>
      <c r="R276" s="381"/>
      <c r="S276" s="381"/>
      <c r="T276" s="381"/>
      <c r="U276" s="381"/>
      <c r="V276" s="381"/>
      <c r="W276" s="381"/>
      <c r="X276" s="381"/>
      <c r="Y276" s="381"/>
      <c r="Z276" s="381"/>
      <c r="AA276" s="381"/>
      <c r="AB276" s="381"/>
      <c r="AC276" s="381"/>
      <c r="AD276" s="381"/>
      <c r="AE276" s="381"/>
      <c r="AF276" s="381"/>
      <c r="AG276" s="381"/>
      <c r="AH276" s="381"/>
      <c r="AI276" s="381"/>
      <c r="AJ276" s="381"/>
      <c r="AK276" s="381"/>
      <c r="AL276" s="381"/>
      <c r="AM276" s="381"/>
      <c r="AN276" s="381"/>
    </row>
    <row r="277" spans="1:40">
      <c r="E277" s="381"/>
      <c r="F277" s="381"/>
      <c r="G277" s="381"/>
      <c r="H277" s="381"/>
      <c r="I277" s="381"/>
      <c r="J277" s="381"/>
      <c r="K277" s="381"/>
      <c r="L277" s="381"/>
      <c r="M277" s="381"/>
      <c r="N277" s="381"/>
      <c r="O277" s="381"/>
      <c r="P277" s="381"/>
      <c r="Q277" s="381"/>
      <c r="R277" s="381"/>
      <c r="S277" s="381"/>
      <c r="T277" s="381"/>
      <c r="U277" s="381"/>
      <c r="V277" s="381"/>
      <c r="W277" s="381"/>
      <c r="X277" s="381"/>
      <c r="Y277" s="381"/>
      <c r="Z277" s="381"/>
      <c r="AA277" s="381"/>
      <c r="AB277" s="381"/>
      <c r="AC277" s="381"/>
      <c r="AD277" s="381"/>
      <c r="AE277" s="381"/>
      <c r="AF277" s="381"/>
      <c r="AG277" s="381"/>
      <c r="AH277" s="381"/>
      <c r="AI277" s="381"/>
      <c r="AJ277" s="381"/>
      <c r="AK277" s="381"/>
      <c r="AL277" s="381"/>
      <c r="AM277" s="381"/>
      <c r="AN277" s="381"/>
    </row>
    <row r="278" spans="1:40">
      <c r="A278" t="s">
        <v>472</v>
      </c>
      <c r="B278" t="s">
        <v>366</v>
      </c>
      <c r="D278" t="s">
        <v>473</v>
      </c>
      <c r="E278" s="381">
        <v>2015</v>
      </c>
      <c r="F278" s="381">
        <v>2016</v>
      </c>
      <c r="G278" s="381">
        <v>2017</v>
      </c>
      <c r="H278" s="381">
        <v>2018</v>
      </c>
      <c r="I278" s="381">
        <v>2019</v>
      </c>
      <c r="J278" s="381">
        <v>2020</v>
      </c>
      <c r="K278" s="381">
        <v>2021</v>
      </c>
      <c r="L278" s="381">
        <v>2022</v>
      </c>
      <c r="M278" s="381">
        <v>2023</v>
      </c>
      <c r="N278" s="381">
        <v>2024</v>
      </c>
      <c r="O278" s="381">
        <v>2025</v>
      </c>
      <c r="P278" s="381">
        <v>2026</v>
      </c>
      <c r="Q278" s="381">
        <v>2027</v>
      </c>
      <c r="R278" s="381">
        <v>2028</v>
      </c>
      <c r="S278" s="381">
        <v>2029</v>
      </c>
      <c r="T278" s="381">
        <v>2030</v>
      </c>
      <c r="U278" s="381">
        <v>2031</v>
      </c>
      <c r="V278" s="381">
        <v>2032</v>
      </c>
      <c r="W278" s="381">
        <v>2033</v>
      </c>
      <c r="X278" s="381">
        <v>2034</v>
      </c>
      <c r="Y278" s="381">
        <v>2035</v>
      </c>
      <c r="Z278" s="381">
        <v>2036</v>
      </c>
      <c r="AA278" s="381">
        <v>2037</v>
      </c>
      <c r="AB278" s="381">
        <v>2038</v>
      </c>
      <c r="AC278" s="381">
        <v>2039</v>
      </c>
      <c r="AD278" s="381">
        <v>2040</v>
      </c>
      <c r="AE278" s="381">
        <v>2041</v>
      </c>
      <c r="AF278" s="381">
        <v>2042</v>
      </c>
      <c r="AG278" s="381">
        <v>2043</v>
      </c>
      <c r="AH278" s="381">
        <v>2044</v>
      </c>
      <c r="AI278" s="381">
        <v>2045</v>
      </c>
      <c r="AJ278" s="381">
        <v>2046</v>
      </c>
      <c r="AK278" s="381">
        <v>2047</v>
      </c>
      <c r="AL278" s="381">
        <v>2048</v>
      </c>
      <c r="AM278" s="381">
        <v>2049</v>
      </c>
      <c r="AN278" s="381">
        <v>2050</v>
      </c>
    </row>
    <row r="279" spans="1:40">
      <c r="A279" s="30" t="s">
        <v>474</v>
      </c>
      <c r="B279" t="s">
        <v>444</v>
      </c>
      <c r="C279" t="s">
        <v>445</v>
      </c>
      <c r="D279" t="str">
        <f>C279&amp;A279</f>
        <v>Carbon emissionsLess effective</v>
      </c>
      <c r="E279" s="381">
        <v>24.536442456359286</v>
      </c>
      <c r="F279" s="381">
        <v>21.196607353199838</v>
      </c>
      <c r="G279" s="381">
        <v>19.547150520300836</v>
      </c>
      <c r="H279" s="381">
        <v>19.175421900788574</v>
      </c>
      <c r="I279" s="381">
        <v>18.735685566793197</v>
      </c>
      <c r="J279" s="381">
        <v>18.092538398167871</v>
      </c>
      <c r="K279" s="381">
        <v>17.598872841999615</v>
      </c>
      <c r="L279" s="381">
        <v>16.522315226523187</v>
      </c>
      <c r="M279" s="381">
        <v>16.277646243629871</v>
      </c>
      <c r="N279" s="381">
        <v>16.38687944492348</v>
      </c>
      <c r="O279" s="381">
        <v>15.855682781002189</v>
      </c>
      <c r="P279" s="381">
        <v>14.738509553612891</v>
      </c>
      <c r="Q279" s="381">
        <v>14.873247259685215</v>
      </c>
      <c r="R279" s="381">
        <v>14.341729892754852</v>
      </c>
      <c r="S279" s="381">
        <v>13.757083028897013</v>
      </c>
      <c r="T279" s="381">
        <v>13.98979423835255</v>
      </c>
      <c r="U279" s="381">
        <v>13.630877045916073</v>
      </c>
      <c r="V279" s="381">
        <v>12.948246658576918</v>
      </c>
      <c r="W279" s="381">
        <v>12.802046287259133</v>
      </c>
      <c r="X279" s="381">
        <v>12.50925516068396</v>
      </c>
      <c r="Y279" s="381">
        <v>12.045582821338988</v>
      </c>
      <c r="Z279" s="381">
        <v>12.063390704074294</v>
      </c>
      <c r="AA279" s="381">
        <v>11.888958337725532</v>
      </c>
      <c r="AB279" s="381">
        <v>11.767734795602539</v>
      </c>
      <c r="AC279" s="381">
        <v>11.863985762146804</v>
      </c>
      <c r="AD279" s="381">
        <v>11.909092696997162</v>
      </c>
      <c r="AE279" s="381">
        <v>11.819622542815756</v>
      </c>
      <c r="AF279" s="381">
        <v>11.733764079470555</v>
      </c>
      <c r="AG279" s="381">
        <v>11.681284842305814</v>
      </c>
      <c r="AH279" s="381">
        <v>11.597811151159602</v>
      </c>
      <c r="AI279" s="381">
        <v>11.550756658626064</v>
      </c>
      <c r="AJ279" s="381">
        <v>11.467111762954893</v>
      </c>
      <c r="AK279" s="381">
        <v>11.387568556217257</v>
      </c>
      <c r="AL279" s="381">
        <v>11.342056681769387</v>
      </c>
      <c r="AM279" s="381">
        <v>11.265425732333583</v>
      </c>
      <c r="AN279" s="381">
        <v>11.21378923290291</v>
      </c>
    </row>
    <row r="280" spans="1:40">
      <c r="A280" s="30" t="s">
        <v>474</v>
      </c>
      <c r="B280" t="s">
        <v>446</v>
      </c>
      <c r="C280" t="s">
        <v>447</v>
      </c>
      <c r="D280" t="str">
        <f t="shared" ref="D280:D336" si="50">C280&amp;A280</f>
        <v>Domestic heat demandLess effective</v>
      </c>
      <c r="E280" s="381">
        <v>34208540661.939991</v>
      </c>
      <c r="F280" s="381">
        <v>34444874174.210068</v>
      </c>
      <c r="G280" s="381">
        <v>34681207686.480148</v>
      </c>
      <c r="H280" s="381">
        <v>34917541198.750221</v>
      </c>
      <c r="I280" s="381">
        <v>35147689452.127205</v>
      </c>
      <c r="J280" s="381">
        <v>35349193245.376694</v>
      </c>
      <c r="K280" s="381">
        <v>35492859386.910675</v>
      </c>
      <c r="L280" s="381">
        <v>35615083009.702705</v>
      </c>
      <c r="M280" s="381">
        <v>35715956208.442192</v>
      </c>
      <c r="N280" s="381">
        <v>35795609072.235092</v>
      </c>
      <c r="O280" s="381">
        <v>35845759453.247597</v>
      </c>
      <c r="P280" s="381">
        <v>35828545020.174126</v>
      </c>
      <c r="Q280" s="381">
        <v>35782385445.408005</v>
      </c>
      <c r="R280" s="381">
        <v>35730072803.766747</v>
      </c>
      <c r="S280" s="381">
        <v>35649515322.58699</v>
      </c>
      <c r="T280" s="381">
        <v>35561912283.024849</v>
      </c>
      <c r="U280" s="381">
        <v>35477290070.47007</v>
      </c>
      <c r="V280" s="381">
        <v>35409074487.154701</v>
      </c>
      <c r="W280" s="381">
        <v>35357116894.462982</v>
      </c>
      <c r="X280" s="381">
        <v>35321305348.076157</v>
      </c>
      <c r="Y280" s="381">
        <v>35313010996.086327</v>
      </c>
      <c r="Z280" s="381">
        <v>35304798300.102798</v>
      </c>
      <c r="AA280" s="381">
        <v>35296668163.345978</v>
      </c>
      <c r="AB280" s="381">
        <v>35371434540.457024</v>
      </c>
      <c r="AC280" s="381">
        <v>35446210563.37027</v>
      </c>
      <c r="AD280" s="381">
        <v>35520996232.085724</v>
      </c>
      <c r="AE280" s="381">
        <v>35595774855.750694</v>
      </c>
      <c r="AF280" s="381">
        <v>35670543544.641029</v>
      </c>
      <c r="AG280" s="381">
        <v>35745302298.756752</v>
      </c>
      <c r="AH280" s="381">
        <v>35820051118.097855</v>
      </c>
      <c r="AI280" s="381">
        <v>35894790002.66433</v>
      </c>
      <c r="AJ280" s="381">
        <v>35969518952.4562</v>
      </c>
      <c r="AK280" s="381">
        <v>36044237967.473442</v>
      </c>
      <c r="AL280" s="381">
        <v>36118947047.716064</v>
      </c>
      <c r="AM280" s="381">
        <v>36193646193.184067</v>
      </c>
      <c r="AN280" s="381">
        <v>36268335403.877449</v>
      </c>
    </row>
    <row r="281" spans="1:40">
      <c r="A281" s="30" t="s">
        <v>474</v>
      </c>
      <c r="B281" t="s">
        <v>446</v>
      </c>
      <c r="C281" t="s">
        <v>448</v>
      </c>
      <c r="D281" t="str">
        <f t="shared" si="50"/>
        <v>Non-domestic heat demandLess effective</v>
      </c>
      <c r="E281" s="80">
        <v>18723008369.73642</v>
      </c>
      <c r="F281" s="106">
        <v>18771096301.557446</v>
      </c>
      <c r="G281" s="106">
        <v>18819184233.378471</v>
      </c>
      <c r="H281" s="106">
        <v>18867272165.199505</v>
      </c>
      <c r="I281" s="106">
        <v>18904959815.39814</v>
      </c>
      <c r="J281" s="106">
        <v>18932304406.391949</v>
      </c>
      <c r="K281" s="106">
        <v>18939691383.976898</v>
      </c>
      <c r="L281" s="106">
        <v>18927165778.019806</v>
      </c>
      <c r="M281" s="106">
        <v>18894794837.937313</v>
      </c>
      <c r="N281" s="106">
        <v>18842668063.959324</v>
      </c>
      <c r="O281" s="80">
        <v>18770828897.294403</v>
      </c>
      <c r="P281" s="106">
        <v>18673178016.652721</v>
      </c>
      <c r="Q281" s="106">
        <v>18561825426.784691</v>
      </c>
      <c r="R281" s="106">
        <v>18436845064.508049</v>
      </c>
      <c r="S281" s="106">
        <v>18298323817.368576</v>
      </c>
      <c r="T281" s="106">
        <v>18160276193.019207</v>
      </c>
      <c r="U281" s="106">
        <v>18053798597.568199</v>
      </c>
      <c r="V281" s="106">
        <v>17978673898.407787</v>
      </c>
      <c r="W281" s="106">
        <v>17934737770.153187</v>
      </c>
      <c r="X281" s="106">
        <v>17921878874.050392</v>
      </c>
      <c r="Y281" s="106">
        <v>17957970709.20768</v>
      </c>
      <c r="Z281" s="106">
        <v>17994064639.384731</v>
      </c>
      <c r="AA281" s="106">
        <v>18030059063.374111</v>
      </c>
      <c r="AB281" s="106">
        <v>18066055596.256191</v>
      </c>
      <c r="AC281" s="106">
        <v>18102054245.002373</v>
      </c>
      <c r="AD281" s="106">
        <v>18138055016.607422</v>
      </c>
      <c r="AE281" s="106">
        <v>18174053633.244339</v>
      </c>
      <c r="AF281" s="106">
        <v>18210050087.909149</v>
      </c>
      <c r="AG281" s="106">
        <v>18246044373.574478</v>
      </c>
      <c r="AH281" s="106">
        <v>18282036483.189468</v>
      </c>
      <c r="AI281" s="106">
        <v>18318026409.679718</v>
      </c>
      <c r="AJ281" s="106">
        <v>18354014145.947136</v>
      </c>
      <c r="AK281" s="106">
        <v>18389999684.8699</v>
      </c>
      <c r="AL281" s="106">
        <v>18425983019.302349</v>
      </c>
      <c r="AM281" s="106">
        <v>18461964142.074883</v>
      </c>
      <c r="AN281" s="80">
        <v>18497943045.993881</v>
      </c>
    </row>
    <row r="282" spans="1:40">
      <c r="A282" s="30" t="s">
        <v>474</v>
      </c>
      <c r="B282" t="s">
        <v>446</v>
      </c>
      <c r="C282" t="s">
        <v>449</v>
      </c>
      <c r="D282" t="str">
        <f t="shared" si="50"/>
        <v>Total domestic electricity demandLess effective</v>
      </c>
      <c r="E282" s="80">
        <v>11858086493.000008</v>
      </c>
      <c r="F282" s="106">
        <v>12024852760.288452</v>
      </c>
      <c r="G282" s="106">
        <v>12191619027.576897</v>
      </c>
      <c r="H282" s="106">
        <v>12358385294.865339</v>
      </c>
      <c r="I282" s="106">
        <v>12477888167.542202</v>
      </c>
      <c r="J282" s="106">
        <v>12549822556.2985</v>
      </c>
      <c r="K282" s="106">
        <v>12547915776.142176</v>
      </c>
      <c r="L282" s="106">
        <v>12497862426.475891</v>
      </c>
      <c r="M282" s="106">
        <v>12399757679.12079</v>
      </c>
      <c r="N282" s="106">
        <v>12253725494.797468</v>
      </c>
      <c r="O282" s="80">
        <v>12059738721.863882</v>
      </c>
      <c r="P282" s="106">
        <v>11810976903.743916</v>
      </c>
      <c r="Q282" s="106">
        <v>11673395222.168468</v>
      </c>
      <c r="R282" s="106">
        <v>11508299279.394566</v>
      </c>
      <c r="S282" s="106">
        <v>11315591425.570333</v>
      </c>
      <c r="T282" s="106">
        <v>11096385370.970312</v>
      </c>
      <c r="U282" s="106">
        <v>11147114625.071829</v>
      </c>
      <c r="V282" s="106">
        <v>11197899365.966578</v>
      </c>
      <c r="W282" s="106">
        <v>11248739593.654556</v>
      </c>
      <c r="X282" s="106">
        <v>11299635308.135767</v>
      </c>
      <c r="Y282" s="106">
        <v>11350763592.042883</v>
      </c>
      <c r="Z282" s="106">
        <v>11401891875.950001</v>
      </c>
      <c r="AA282" s="106">
        <v>11453020159.857119</v>
      </c>
      <c r="AB282" s="106">
        <v>11505692060.411263</v>
      </c>
      <c r="AC282" s="106">
        <v>11558363960.965405</v>
      </c>
      <c r="AD282" s="106">
        <v>11611035861.519554</v>
      </c>
      <c r="AE282" s="106">
        <v>11663707762.073696</v>
      </c>
      <c r="AF282" s="106">
        <v>11716379662.627842</v>
      </c>
      <c r="AG282" s="106">
        <v>11769051563.181988</v>
      </c>
      <c r="AH282" s="106">
        <v>11821723463.736132</v>
      </c>
      <c r="AI282" s="106">
        <v>11874395364.290277</v>
      </c>
      <c r="AJ282" s="106">
        <v>11927067264.844421</v>
      </c>
      <c r="AK282" s="106">
        <v>11979739165.398567</v>
      </c>
      <c r="AL282" s="106">
        <v>12032411065.952713</v>
      </c>
      <c r="AM282" s="106">
        <v>12085082966.506857</v>
      </c>
      <c r="AN282" s="80">
        <v>12137754867.060997</v>
      </c>
    </row>
    <row r="283" spans="1:40">
      <c r="A283" s="30" t="s">
        <v>474</v>
      </c>
      <c r="B283" t="s">
        <v>446</v>
      </c>
      <c r="C283" t="s">
        <v>450</v>
      </c>
      <c r="D283" t="str">
        <f t="shared" si="50"/>
        <v>Total non-domestic electricity demandLess effective</v>
      </c>
      <c r="E283" s="80">
        <v>19618605322.817085</v>
      </c>
      <c r="F283" s="106">
        <v>19707158646.360462</v>
      </c>
      <c r="G283" s="106">
        <v>19795711969.903839</v>
      </c>
      <c r="H283" s="106">
        <v>19884265293.447212</v>
      </c>
      <c r="I283" s="106">
        <v>19941968094.590843</v>
      </c>
      <c r="J283" s="106">
        <v>19968821759.593445</v>
      </c>
      <c r="K283" s="106">
        <v>19964716355.636509</v>
      </c>
      <c r="L283" s="106">
        <v>19929659816.556812</v>
      </c>
      <c r="M283" s="106">
        <v>19863663356.505432</v>
      </c>
      <c r="N283" s="106">
        <v>19766741474.315449</v>
      </c>
      <c r="O283" s="80">
        <v>19638899866.531445</v>
      </c>
      <c r="P283" s="106">
        <v>19457235906.128658</v>
      </c>
      <c r="Q283" s="106">
        <v>19244846700.778484</v>
      </c>
      <c r="R283" s="106">
        <v>19001754085.763668</v>
      </c>
      <c r="S283" s="106">
        <v>18727982096.34985</v>
      </c>
      <c r="T283" s="106">
        <v>18423716691.579784</v>
      </c>
      <c r="U283" s="106">
        <v>18487115484.437347</v>
      </c>
      <c r="V283" s="106">
        <v>18550962839.38163</v>
      </c>
      <c r="W283" s="106">
        <v>18615259180.952522</v>
      </c>
      <c r="X283" s="106">
        <v>18680004934.553299</v>
      </c>
      <c r="Y283" s="106">
        <v>18745462464.124397</v>
      </c>
      <c r="Z283" s="106">
        <v>18810919983.885704</v>
      </c>
      <c r="AA283" s="106">
        <v>18876377493.821259</v>
      </c>
      <c r="AB283" s="106">
        <v>18941834993.915085</v>
      </c>
      <c r="AC283" s="106">
        <v>19007292484.151154</v>
      </c>
      <c r="AD283" s="106">
        <v>19072749964.513405</v>
      </c>
      <c r="AE283" s="106">
        <v>19138207434.985748</v>
      </c>
      <c r="AF283" s="106">
        <v>19203664895.552048</v>
      </c>
      <c r="AG283" s="106">
        <v>19269122346.196136</v>
      </c>
      <c r="AH283" s="106">
        <v>19334579786.901825</v>
      </c>
      <c r="AI283" s="106">
        <v>19400037217.652863</v>
      </c>
      <c r="AJ283" s="106">
        <v>19465494638.432983</v>
      </c>
      <c r="AK283" s="106">
        <v>19530952049.225876</v>
      </c>
      <c r="AL283" s="106">
        <v>19596409450.01519</v>
      </c>
      <c r="AM283" s="106">
        <v>19661866840.784542</v>
      </c>
      <c r="AN283" s="80">
        <v>19727324221.517529</v>
      </c>
    </row>
    <row r="284" spans="1:40">
      <c r="A284" s="30" t="s">
        <v>474</v>
      </c>
      <c r="B284" t="s">
        <v>446</v>
      </c>
      <c r="C284" t="s">
        <v>451</v>
      </c>
      <c r="D284" t="str">
        <f t="shared" si="50"/>
        <v>Estimated additional cooking electricity demandLess effective</v>
      </c>
      <c r="E284" s="80">
        <v>0</v>
      </c>
      <c r="F284" s="106">
        <v>14170944.699998856</v>
      </c>
      <c r="G284" s="106">
        <v>28341889.399997711</v>
      </c>
      <c r="H284" s="106">
        <v>42512834.099996567</v>
      </c>
      <c r="I284" s="106">
        <v>56683778.799995422</v>
      </c>
      <c r="J284" s="106">
        <v>70854723.499994278</v>
      </c>
      <c r="K284" s="106">
        <v>85025668.199993134</v>
      </c>
      <c r="L284" s="106">
        <v>99196612.899991989</v>
      </c>
      <c r="M284" s="106">
        <v>113367557.59999084</v>
      </c>
      <c r="N284" s="106">
        <v>127538502.2999897</v>
      </c>
      <c r="O284" s="80">
        <v>141709447</v>
      </c>
      <c r="P284" s="106">
        <v>160285997</v>
      </c>
      <c r="Q284" s="106">
        <v>178862547</v>
      </c>
      <c r="R284" s="106">
        <v>197439097</v>
      </c>
      <c r="S284" s="106">
        <v>216015647</v>
      </c>
      <c r="T284" s="106">
        <v>234592197</v>
      </c>
      <c r="U284" s="106">
        <v>253168747</v>
      </c>
      <c r="V284" s="106">
        <v>271745297</v>
      </c>
      <c r="W284" s="106">
        <v>290321847</v>
      </c>
      <c r="X284" s="106">
        <v>308898397</v>
      </c>
      <c r="Y284" s="106">
        <v>327474947</v>
      </c>
      <c r="Z284" s="106">
        <v>346051497</v>
      </c>
      <c r="AA284" s="106">
        <v>364628047</v>
      </c>
      <c r="AB284" s="106">
        <v>383204597</v>
      </c>
      <c r="AC284" s="106">
        <v>401781147</v>
      </c>
      <c r="AD284" s="106">
        <v>420357697</v>
      </c>
      <c r="AE284" s="106">
        <v>438934247</v>
      </c>
      <c r="AF284" s="106">
        <v>457510797</v>
      </c>
      <c r="AG284" s="106">
        <v>476087347</v>
      </c>
      <c r="AH284" s="106">
        <v>494663897</v>
      </c>
      <c r="AI284" s="106">
        <v>513240447</v>
      </c>
      <c r="AJ284" s="106">
        <v>531816997</v>
      </c>
      <c r="AK284" s="106">
        <v>550393547</v>
      </c>
      <c r="AL284" s="106">
        <v>568970097</v>
      </c>
      <c r="AM284" s="106">
        <v>587546647</v>
      </c>
      <c r="AN284" s="80">
        <v>606123197</v>
      </c>
    </row>
    <row r="285" spans="1:40">
      <c r="A285" s="30" t="s">
        <v>474</v>
      </c>
      <c r="B285" t="s">
        <v>446</v>
      </c>
      <c r="C285" t="s">
        <v>372</v>
      </c>
      <c r="D285" t="str">
        <f t="shared" si="50"/>
        <v>Existing domestic heat demandLess effective</v>
      </c>
      <c r="E285" s="80">
        <v>34208540661.939991</v>
      </c>
      <c r="F285" s="106">
        <v>34208540661.939991</v>
      </c>
      <c r="G285" s="106">
        <v>34208540661.939991</v>
      </c>
      <c r="H285" s="106">
        <v>34208540661.939991</v>
      </c>
      <c r="I285" s="106">
        <v>34202355403.046898</v>
      </c>
      <c r="J285" s="106">
        <v>34167383186.450264</v>
      </c>
      <c r="K285" s="106">
        <v>34110914350.838764</v>
      </c>
      <c r="L285" s="106">
        <v>34033002996.485302</v>
      </c>
      <c r="M285" s="106">
        <v>33933741218.079304</v>
      </c>
      <c r="N285" s="106">
        <v>33813259104.726723</v>
      </c>
      <c r="O285" s="80">
        <v>33663274508.593735</v>
      </c>
      <c r="P285" s="106">
        <v>33484040168.880493</v>
      </c>
      <c r="Q285" s="106">
        <v>33275860687.474594</v>
      </c>
      <c r="R285" s="106">
        <v>33061528139.193565</v>
      </c>
      <c r="S285" s="106">
        <v>32818950751.374035</v>
      </c>
      <c r="T285" s="106">
        <v>32569327805.172119</v>
      </c>
      <c r="U285" s="106">
        <v>32410016381.923958</v>
      </c>
      <c r="V285" s="106">
        <v>32267111587.915207</v>
      </c>
      <c r="W285" s="106">
        <v>32140464784.530109</v>
      </c>
      <c r="X285" s="106">
        <v>32029964027.449898</v>
      </c>
      <c r="Y285" s="106">
        <v>31946980464.766685</v>
      </c>
      <c r="Z285" s="106">
        <v>31864078558.089775</v>
      </c>
      <c r="AA285" s="106">
        <v>31781259210.639572</v>
      </c>
      <c r="AB285" s="106">
        <v>31781336377.057236</v>
      </c>
      <c r="AC285" s="106">
        <v>31781423189.277103</v>
      </c>
      <c r="AD285" s="106">
        <v>31781519647.299171</v>
      </c>
      <c r="AE285" s="106">
        <v>31781609060.270752</v>
      </c>
      <c r="AF285" s="106">
        <v>31781688538.467709</v>
      </c>
      <c r="AG285" s="106">
        <v>31781758081.890045</v>
      </c>
      <c r="AH285" s="106">
        <v>31781817690.537762</v>
      </c>
      <c r="AI285" s="106">
        <v>31781867364.410858</v>
      </c>
      <c r="AJ285" s="106">
        <v>31781907103.509338</v>
      </c>
      <c r="AK285" s="106">
        <v>31781936907.833202</v>
      </c>
      <c r="AL285" s="106">
        <v>31781956777.382435</v>
      </c>
      <c r="AM285" s="106">
        <v>31781966712.157059</v>
      </c>
      <c r="AN285" s="80">
        <v>31781966712.157059</v>
      </c>
    </row>
    <row r="286" spans="1:40">
      <c r="A286" s="30" t="s">
        <v>474</v>
      </c>
      <c r="B286" t="s">
        <v>446</v>
      </c>
      <c r="C286" t="s">
        <v>373</v>
      </c>
      <c r="D286" t="str">
        <f t="shared" si="50"/>
        <v>Existing non-domestic heat demandLess effective</v>
      </c>
      <c r="E286" s="381">
        <v>18723008369.73642</v>
      </c>
      <c r="F286" s="381">
        <v>18723008369.736416</v>
      </c>
      <c r="G286" s="381">
        <v>18723008369.736416</v>
      </c>
      <c r="H286" s="381">
        <v>18723008369.73642</v>
      </c>
      <c r="I286" s="381">
        <v>18712608088.114029</v>
      </c>
      <c r="J286" s="381">
        <v>18691817981.849289</v>
      </c>
      <c r="K286" s="381">
        <v>18651070262.175694</v>
      </c>
      <c r="L286" s="381">
        <v>18590409958.960056</v>
      </c>
      <c r="M286" s="381">
        <v>18509904321.619019</v>
      </c>
      <c r="N286" s="381">
        <v>18409642850.382484</v>
      </c>
      <c r="O286" s="381">
        <v>18289668986.459019</v>
      </c>
      <c r="P286" s="381">
        <v>18155984231.591713</v>
      </c>
      <c r="Q286" s="381">
        <v>18008597767.498062</v>
      </c>
      <c r="R286" s="381">
        <v>17847583530.9958</v>
      </c>
      <c r="S286" s="381">
        <v>17673028409.630703</v>
      </c>
      <c r="T286" s="381">
        <v>17498946911.055714</v>
      </c>
      <c r="U286" s="381">
        <v>17356435441.379082</v>
      </c>
      <c r="V286" s="381">
        <v>17245276867.99305</v>
      </c>
      <c r="W286" s="381">
        <v>17165306865.512827</v>
      </c>
      <c r="X286" s="381">
        <v>17116414095.18441</v>
      </c>
      <c r="Y286" s="381">
        <v>17116472056.116077</v>
      </c>
      <c r="Z286" s="381">
        <v>17116532112.067505</v>
      </c>
      <c r="AA286" s="381">
        <v>17116492661.831263</v>
      </c>
      <c r="AB286" s="381">
        <v>17116455320.487722</v>
      </c>
      <c r="AC286" s="381">
        <v>17116420095.008282</v>
      </c>
      <c r="AD286" s="381">
        <v>17116386992.387707</v>
      </c>
      <c r="AE286" s="381">
        <v>17116351734.799004</v>
      </c>
      <c r="AF286" s="381">
        <v>17116314315.238192</v>
      </c>
      <c r="AG286" s="381">
        <v>17116274726.677896</v>
      </c>
      <c r="AH286" s="381">
        <v>17116232962.067268</v>
      </c>
      <c r="AI286" s="381">
        <v>17116189014.331896</v>
      </c>
      <c r="AJ286" s="381">
        <v>17116142876.37369</v>
      </c>
      <c r="AK286" s="381">
        <v>17116094541.070833</v>
      </c>
      <c r="AL286" s="381">
        <v>17116044001.277658</v>
      </c>
      <c r="AM286" s="381">
        <v>17115991249.82457</v>
      </c>
      <c r="AN286" s="381">
        <v>17115936279.517948</v>
      </c>
    </row>
    <row r="287" spans="1:40">
      <c r="A287" s="30" t="s">
        <v>474</v>
      </c>
      <c r="B287" t="s">
        <v>446</v>
      </c>
      <c r="C287" t="s">
        <v>374</v>
      </c>
      <c r="D287" t="str">
        <f t="shared" si="50"/>
        <v>Existing domestic electricity demandLess effective</v>
      </c>
      <c r="E287" s="381">
        <v>11858086493.000008</v>
      </c>
      <c r="F287" s="381">
        <v>11858086493.000008</v>
      </c>
      <c r="G287" s="381">
        <v>11858086493.000008</v>
      </c>
      <c r="H287" s="381">
        <v>11858086493.000008</v>
      </c>
      <c r="I287" s="381">
        <v>11810823098.388426</v>
      </c>
      <c r="J287" s="381">
        <v>11715991219.856279</v>
      </c>
      <c r="K287" s="381">
        <v>11572946388.892479</v>
      </c>
      <c r="L287" s="381">
        <v>11381754988.418718</v>
      </c>
      <c r="M287" s="381">
        <v>11142512190.256142</v>
      </c>
      <c r="N287" s="381">
        <v>10855341955.125343</v>
      </c>
      <c r="O287" s="381">
        <v>10520217131.384281</v>
      </c>
      <c r="P287" s="381">
        <v>10157196555.79323</v>
      </c>
      <c r="Q287" s="381">
        <v>9905356116.7467003</v>
      </c>
      <c r="R287" s="381">
        <v>9626001416.5017147</v>
      </c>
      <c r="S287" s="381">
        <v>9319034805.2063999</v>
      </c>
      <c r="T287" s="381">
        <v>8985569993.1352959</v>
      </c>
      <c r="U287" s="381">
        <v>8983627346.6826687</v>
      </c>
      <c r="V287" s="381">
        <v>8981740187.0232735</v>
      </c>
      <c r="W287" s="381">
        <v>8979908514.1571102</v>
      </c>
      <c r="X287" s="381">
        <v>8978132328.084177</v>
      </c>
      <c r="Y287" s="381">
        <v>8976588711.437149</v>
      </c>
      <c r="Z287" s="381">
        <v>8975045094.7901249</v>
      </c>
      <c r="AA287" s="381">
        <v>8973501478.1430988</v>
      </c>
      <c r="AB287" s="381">
        <v>8973501478.1430988</v>
      </c>
      <c r="AC287" s="381">
        <v>8973501478.1430988</v>
      </c>
      <c r="AD287" s="381">
        <v>8973501478.1430988</v>
      </c>
      <c r="AE287" s="381">
        <v>8973501478.1430988</v>
      </c>
      <c r="AF287" s="381">
        <v>8973501478.1430988</v>
      </c>
      <c r="AG287" s="381">
        <v>8973501478.1430988</v>
      </c>
      <c r="AH287" s="381">
        <v>8973501478.1430988</v>
      </c>
      <c r="AI287" s="381">
        <v>8973501478.1430988</v>
      </c>
      <c r="AJ287" s="381">
        <v>8973501478.1430988</v>
      </c>
      <c r="AK287" s="381">
        <v>8973501478.1430988</v>
      </c>
      <c r="AL287" s="381">
        <v>8973501478.1430988</v>
      </c>
      <c r="AM287" s="381">
        <v>8973501478.1430988</v>
      </c>
      <c r="AN287" s="381">
        <v>8973501478.1430988</v>
      </c>
    </row>
    <row r="288" spans="1:40">
      <c r="A288" s="30" t="s">
        <v>474</v>
      </c>
      <c r="B288" t="s">
        <v>446</v>
      </c>
      <c r="C288" t="s">
        <v>375</v>
      </c>
      <c r="D288" t="str">
        <f t="shared" si="50"/>
        <v>Existing non-domestic electricity demandLess effective</v>
      </c>
      <c r="E288" s="381">
        <v>19618605322.817085</v>
      </c>
      <c r="F288" s="381">
        <v>19618605322.817085</v>
      </c>
      <c r="G288" s="381">
        <v>19618605322.817085</v>
      </c>
      <c r="H288" s="381">
        <v>19618605322.817085</v>
      </c>
      <c r="I288" s="381">
        <v>19587754800.417339</v>
      </c>
      <c r="J288" s="381">
        <v>19526055141.876564</v>
      </c>
      <c r="K288" s="381">
        <v>19433396414.376251</v>
      </c>
      <c r="L288" s="381">
        <v>19309786551.753181</v>
      </c>
      <c r="M288" s="381">
        <v>19155236768.158424</v>
      </c>
      <c r="N288" s="381">
        <v>18969761562.425064</v>
      </c>
      <c r="O288" s="381">
        <v>18753366631.097683</v>
      </c>
      <c r="P288" s="381">
        <v>18506235962.021599</v>
      </c>
      <c r="Q288" s="381">
        <v>18228380047.998123</v>
      </c>
      <c r="R288" s="381">
        <v>17919820724.310005</v>
      </c>
      <c r="S288" s="381">
        <v>17580582026.222885</v>
      </c>
      <c r="T288" s="381">
        <v>17210849912.779518</v>
      </c>
      <c r="U288" s="381">
        <v>17208781996.963779</v>
      </c>
      <c r="V288" s="381">
        <v>17207162643.23476</v>
      </c>
      <c r="W288" s="381">
        <v>17205992276.132351</v>
      </c>
      <c r="X288" s="381">
        <v>17205271321.059826</v>
      </c>
      <c r="Y288" s="381">
        <v>17205262141.957623</v>
      </c>
      <c r="Z288" s="381">
        <v>17205252953.045628</v>
      </c>
      <c r="AA288" s="381">
        <v>17205243754.307884</v>
      </c>
      <c r="AB288" s="381">
        <v>17205234545.728409</v>
      </c>
      <c r="AC288" s="381">
        <v>17205225327.291176</v>
      </c>
      <c r="AD288" s="381">
        <v>17205216098.980125</v>
      </c>
      <c r="AE288" s="381">
        <v>17205206860.779167</v>
      </c>
      <c r="AF288" s="381">
        <v>17205197612.672165</v>
      </c>
      <c r="AG288" s="381">
        <v>17205188354.642952</v>
      </c>
      <c r="AH288" s="381">
        <v>17205179086.675339</v>
      </c>
      <c r="AI288" s="381">
        <v>17205169808.753075</v>
      </c>
      <c r="AJ288" s="381">
        <v>17205160520.859894</v>
      </c>
      <c r="AK288" s="381">
        <v>17205151222.979485</v>
      </c>
      <c r="AL288" s="381">
        <v>17205141915.095497</v>
      </c>
      <c r="AM288" s="381">
        <v>17205132597.191551</v>
      </c>
      <c r="AN288" s="381">
        <v>17205123269.251236</v>
      </c>
    </row>
    <row r="289" spans="1:40">
      <c r="A289" s="30" t="s">
        <v>474</v>
      </c>
      <c r="B289" t="s">
        <v>452</v>
      </c>
      <c r="C289" t="s">
        <v>380</v>
      </c>
      <c r="D289" t="str">
        <f t="shared" si="50"/>
        <v>% new domestic heat demand from solar thermalLess effective</v>
      </c>
      <c r="E289" s="381">
        <v>0</v>
      </c>
      <c r="F289" s="381">
        <v>0</v>
      </c>
      <c r="G289" s="381">
        <v>0</v>
      </c>
      <c r="H289" s="381">
        <v>0</v>
      </c>
      <c r="I289" s="381">
        <v>0</v>
      </c>
      <c r="J289" s="381">
        <v>3.8494588464477813E-3</v>
      </c>
      <c r="K289" s="381">
        <v>6.078472907222977E-3</v>
      </c>
      <c r="L289" s="381">
        <v>7.7437442869030685E-3</v>
      </c>
      <c r="M289" s="381">
        <v>9.0351298047125876E-3</v>
      </c>
      <c r="N289" s="381">
        <v>1.0065837719198235E-2</v>
      </c>
      <c r="O289" s="381">
        <v>1.0907562111917202E-2</v>
      </c>
      <c r="P289" s="381">
        <v>1.1483749530573156E-2</v>
      </c>
      <c r="Q289" s="381">
        <v>1.1985465227054844E-2</v>
      </c>
      <c r="R289" s="381">
        <v>1.2426270890949411E-2</v>
      </c>
      <c r="S289" s="381">
        <v>1.2816623783378245E-2</v>
      </c>
      <c r="T289" s="381">
        <v>1.3164716952922258E-2</v>
      </c>
      <c r="U289" s="381">
        <v>1.3312802365195909E-2</v>
      </c>
      <c r="V289" s="381">
        <v>1.3453848625965549E-2</v>
      </c>
      <c r="W289" s="381">
        <v>1.3588345986124713E-2</v>
      </c>
      <c r="X289" s="381">
        <v>1.3716740203931726E-2</v>
      </c>
      <c r="Y289" s="381">
        <v>1.3839437480433103E-2</v>
      </c>
      <c r="Z289" s="381">
        <v>1.3956808752181062E-2</v>
      </c>
      <c r="AA289" s="381">
        <v>1.4069193436815145E-2</v>
      </c>
      <c r="AB289" s="381">
        <v>1.4176902711174574E-2</v>
      </c>
      <c r="AC289" s="381">
        <v>1.428022238862081E-2</v>
      </c>
      <c r="AD289" s="381">
        <v>1.4379415451597091E-2</v>
      </c>
      <c r="AE289" s="381">
        <v>1.4474724286676075E-2</v>
      </c>
      <c r="AF289" s="381">
        <v>1.456637266208784E-2</v>
      </c>
      <c r="AG289" s="381">
        <v>1.4654567481692122E-2</v>
      </c>
      <c r="AH289" s="381">
        <v>1.4739500344334432E-2</v>
      </c>
      <c r="AI289" s="381">
        <v>1.4821348933321474E-2</v>
      </c>
      <c r="AJ289" s="381">
        <v>1.4900278257222878E-2</v>
      </c>
      <c r="AK289" s="381">
        <v>1.4976441760233305E-2</v>
      </c>
      <c r="AL289" s="381">
        <v>1.5049982317817418E-2</v>
      </c>
      <c r="AM289" s="381">
        <v>1.5121033131231079E-2</v>
      </c>
      <c r="AN289" s="381">
        <v>1.5189718532701735E-2</v>
      </c>
    </row>
    <row r="290" spans="1:40">
      <c r="A290" s="30" t="s">
        <v>474</v>
      </c>
      <c r="B290" t="s">
        <v>452</v>
      </c>
      <c r="C290" t="s">
        <v>381</v>
      </c>
      <c r="D290" t="str">
        <f t="shared" si="50"/>
        <v>% new non-domestic heat demand from solar thermalLess effective</v>
      </c>
      <c r="E290" s="381">
        <v>0</v>
      </c>
      <c r="F290" s="381">
        <v>0</v>
      </c>
      <c r="G290" s="381">
        <v>0</v>
      </c>
      <c r="H290" s="381">
        <v>0</v>
      </c>
      <c r="I290" s="381">
        <v>0</v>
      </c>
      <c r="J290" s="381">
        <v>6.2087820672609116E-3</v>
      </c>
      <c r="K290" s="381">
        <v>1.0347970112101522E-2</v>
      </c>
      <c r="L290" s="381">
        <v>1.3304533001273383E-2</v>
      </c>
      <c r="M290" s="381">
        <v>1.5521955168152279E-2</v>
      </c>
      <c r="N290" s="381">
        <v>1.7246616853502532E-2</v>
      </c>
      <c r="O290" s="381">
        <v>1.8626346201782738E-2</v>
      </c>
      <c r="P290" s="381">
        <v>1.9493697003782746E-2</v>
      </c>
      <c r="Q290" s="381">
        <v>2.0248098229741378E-2</v>
      </c>
      <c r="R290" s="381">
        <v>2.0910264190128706E-2</v>
      </c>
      <c r="S290" s="381">
        <v>2.1496135816483224E-2</v>
      </c>
      <c r="T290" s="381">
        <v>2.2018180729025946E-2</v>
      </c>
      <c r="U290" s="381">
        <v>2.2486290353187412E-2</v>
      </c>
      <c r="V290" s="381">
        <v>2.290841263650658E-2</v>
      </c>
      <c r="W290" s="381">
        <v>2.3291007021043024E-2</v>
      </c>
      <c r="X290" s="381">
        <v>2.363937732031203E-2</v>
      </c>
      <c r="Y290" s="381">
        <v>2.3957919090399651E-2</v>
      </c>
      <c r="Z290" s="381">
        <v>2.4250306067716575E-2</v>
      </c>
      <c r="AA290" s="381">
        <v>2.4519632493733311E-2</v>
      </c>
      <c r="AB290" s="381">
        <v>2.4768523041881894E-2</v>
      </c>
      <c r="AC290" s="381">
        <v>2.4999218636090371E-2</v>
      </c>
      <c r="AD290" s="381">
        <v>2.521364411191299E-2</v>
      </c>
      <c r="AE290" s="381">
        <v>2.5413462049603923E-2</v>
      </c>
      <c r="AF290" s="381">
        <v>2.5600115967610922E-2</v>
      </c>
      <c r="AG290" s="381">
        <v>2.5774865251532036E-2</v>
      </c>
      <c r="AH290" s="381">
        <v>2.5938813606390217E-2</v>
      </c>
      <c r="AI290" s="381">
        <v>2.6092932391315504E-2</v>
      </c>
      <c r="AJ290" s="381">
        <v>2.6238079879272319E-2</v>
      </c>
      <c r="AK290" s="381">
        <v>2.6375017248566644E-2</v>
      </c>
      <c r="AL290" s="381">
        <v>2.6504421935359648E-2</v>
      </c>
      <c r="AM290" s="381">
        <v>2.6626898841669681E-2</v>
      </c>
      <c r="AN290" s="381">
        <v>2.6742989790215374E-2</v>
      </c>
    </row>
    <row r="291" spans="1:40">
      <c r="A291" s="30" t="s">
        <v>474</v>
      </c>
      <c r="B291" t="s">
        <v>452</v>
      </c>
      <c r="C291" t="s">
        <v>382</v>
      </c>
      <c r="D291" t="str">
        <f t="shared" si="50"/>
        <v>% existing domestic heat demand from solar thermalLess effective</v>
      </c>
      <c r="E291" s="381">
        <v>0</v>
      </c>
      <c r="F291" s="381">
        <v>0</v>
      </c>
      <c r="G291" s="381">
        <v>0</v>
      </c>
      <c r="H291" s="381">
        <v>0</v>
      </c>
      <c r="I291" s="381">
        <v>0</v>
      </c>
      <c r="J291" s="381">
        <v>0</v>
      </c>
      <c r="K291" s="381">
        <v>0</v>
      </c>
      <c r="L291" s="381">
        <v>0</v>
      </c>
      <c r="M291" s="381">
        <v>0</v>
      </c>
      <c r="N291" s="381">
        <v>0</v>
      </c>
      <c r="O291" s="381">
        <v>0</v>
      </c>
      <c r="P291" s="381">
        <v>0</v>
      </c>
      <c r="Q291" s="381">
        <v>0</v>
      </c>
      <c r="R291" s="381">
        <v>0</v>
      </c>
      <c r="S291" s="381">
        <v>0</v>
      </c>
      <c r="T291" s="381">
        <v>0</v>
      </c>
      <c r="U291" s="381">
        <v>1.796530078910936E-5</v>
      </c>
      <c r="V291" s="381">
        <v>5.4087679046486208E-5</v>
      </c>
      <c r="W291" s="381">
        <v>1.0851715661483656E-4</v>
      </c>
      <c r="X291" s="381">
        <v>1.8136062915886188E-4</v>
      </c>
      <c r="Y291" s="381">
        <v>2.7260313346598686E-4</v>
      </c>
      <c r="Z291" s="381">
        <v>3.8243473759694773E-4</v>
      </c>
      <c r="AA291" s="381">
        <v>5.1097119210394022E-4</v>
      </c>
      <c r="AB291" s="381">
        <v>6.5696296127649447E-4</v>
      </c>
      <c r="AC291" s="381">
        <v>8.2120370159561825E-4</v>
      </c>
      <c r="AD291" s="381">
        <v>1.003693413061311E-3</v>
      </c>
      <c r="AE291" s="381">
        <v>1.1715534483743848E-3</v>
      </c>
      <c r="AF291" s="381">
        <v>1.3207623686526723E-3</v>
      </c>
      <c r="AG291" s="381">
        <v>1.4513201738961742E-3</v>
      </c>
      <c r="AH291" s="381">
        <v>1.5632268641048899E-3</v>
      </c>
      <c r="AI291" s="381">
        <v>1.6564824392788198E-3</v>
      </c>
      <c r="AJ291" s="381">
        <v>1.7310868994179637E-3</v>
      </c>
      <c r="AK291" s="381">
        <v>1.7870402445223212E-3</v>
      </c>
      <c r="AL291" s="381">
        <v>1.8243424745918936E-3</v>
      </c>
      <c r="AM291" s="381">
        <v>1.8429935896266791E-3</v>
      </c>
      <c r="AN291" s="381">
        <v>1.8429935896266791E-3</v>
      </c>
    </row>
    <row r="292" spans="1:40">
      <c r="A292" s="30" t="s">
        <v>474</v>
      </c>
      <c r="B292" t="s">
        <v>452</v>
      </c>
      <c r="C292" t="s">
        <v>383</v>
      </c>
      <c r="D292" t="str">
        <f t="shared" si="50"/>
        <v>% existing non-domestic heat demand from solar thermalLess effective</v>
      </c>
      <c r="E292" s="381">
        <v>0</v>
      </c>
      <c r="F292" s="381">
        <v>0</v>
      </c>
      <c r="G292" s="381">
        <v>0</v>
      </c>
      <c r="H292" s="381">
        <v>0</v>
      </c>
      <c r="I292" s="381">
        <v>0</v>
      </c>
      <c r="J292" s="381">
        <v>0</v>
      </c>
      <c r="K292" s="381">
        <v>0</v>
      </c>
      <c r="L292" s="381">
        <v>0</v>
      </c>
      <c r="M292" s="381">
        <v>0</v>
      </c>
      <c r="N292" s="381">
        <v>0</v>
      </c>
      <c r="O292" s="381">
        <v>0</v>
      </c>
      <c r="P292" s="381">
        <v>0</v>
      </c>
      <c r="Q292" s="381">
        <v>0</v>
      </c>
      <c r="R292" s="381">
        <v>0</v>
      </c>
      <c r="S292" s="381">
        <v>0</v>
      </c>
      <c r="T292" s="381">
        <v>0</v>
      </c>
      <c r="U292" s="381">
        <v>1.0168666421475296E-4</v>
      </c>
      <c r="V292" s="381">
        <v>3.0531908380776739E-4</v>
      </c>
      <c r="W292" s="381">
        <v>6.1115901043941735E-4</v>
      </c>
      <c r="X292" s="381">
        <v>1.0194668227055759E-3</v>
      </c>
      <c r="Y292" s="381">
        <v>1.529374828396306E-3</v>
      </c>
      <c r="Z292" s="381">
        <v>2.0568738631767509E-3</v>
      </c>
      <c r="AA292" s="381">
        <v>2.1795208624444543E-3</v>
      </c>
      <c r="AB292" s="381">
        <v>2.3198294978759274E-3</v>
      </c>
      <c r="AC292" s="381">
        <v>2.4778352186643022E-3</v>
      </c>
      <c r="AD292" s="381">
        <v>2.6535735715626156E-3</v>
      </c>
      <c r="AE292" s="381">
        <v>2.8120145369116738E-3</v>
      </c>
      <c r="AF292" s="381">
        <v>2.9531233450445188E-3</v>
      </c>
      <c r="AG292" s="381">
        <v>3.0768651304455908E-3</v>
      </c>
      <c r="AH292" s="381">
        <v>3.1832049314124344E-3</v>
      </c>
      <c r="AI292" s="381">
        <v>3.2721076897159209E-3</v>
      </c>
      <c r="AJ292" s="381">
        <v>3.3435382502590301E-3</v>
      </c>
      <c r="AK292" s="381">
        <v>3.3974613607341219E-3</v>
      </c>
      <c r="AL292" s="381">
        <v>3.4338416712787574E-3</v>
      </c>
      <c r="AM292" s="381">
        <v>3.452643734130002E-3</v>
      </c>
      <c r="AN292" s="381">
        <v>3.4538320032772405E-3</v>
      </c>
    </row>
    <row r="293" spans="1:40">
      <c r="A293" s="30" t="s">
        <v>474</v>
      </c>
      <c r="B293" t="s">
        <v>453</v>
      </c>
      <c r="C293" t="s">
        <v>384</v>
      </c>
      <c r="D293" t="str">
        <f t="shared" si="50"/>
        <v>Fuel Poor - Extended RE:NEWLess effective</v>
      </c>
      <c r="E293" s="381">
        <v>0</v>
      </c>
      <c r="F293" s="381">
        <v>0</v>
      </c>
      <c r="G293" s="381">
        <v>0</v>
      </c>
      <c r="H293" s="381">
        <v>0</v>
      </c>
      <c r="I293" s="381">
        <v>0</v>
      </c>
      <c r="J293" s="381">
        <v>0</v>
      </c>
      <c r="K293" s="381">
        <v>0</v>
      </c>
      <c r="L293" s="381">
        <v>0</v>
      </c>
      <c r="M293" s="381">
        <v>0</v>
      </c>
      <c r="N293" s="381">
        <v>0</v>
      </c>
      <c r="O293" s="381">
        <v>0</v>
      </c>
      <c r="P293" s="381">
        <v>0</v>
      </c>
      <c r="Q293" s="381">
        <v>0</v>
      </c>
      <c r="R293" s="381">
        <v>0</v>
      </c>
      <c r="S293" s="381">
        <v>0</v>
      </c>
      <c r="T293" s="381">
        <v>0</v>
      </c>
      <c r="U293" s="381">
        <v>0</v>
      </c>
      <c r="V293" s="381">
        <v>0</v>
      </c>
      <c r="W293" s="381">
        <v>0</v>
      </c>
      <c r="X293" s="381">
        <v>0</v>
      </c>
      <c r="Y293" s="381">
        <v>0</v>
      </c>
      <c r="Z293" s="381">
        <v>0</v>
      </c>
      <c r="AA293" s="381">
        <v>0</v>
      </c>
      <c r="AB293" s="381">
        <v>0</v>
      </c>
      <c r="AC293" s="381">
        <v>0</v>
      </c>
      <c r="AD293" s="381">
        <v>0</v>
      </c>
      <c r="AE293" s="381">
        <v>0</v>
      </c>
      <c r="AF293" s="381">
        <v>0</v>
      </c>
      <c r="AG293" s="381">
        <v>0</v>
      </c>
      <c r="AH293" s="381">
        <v>0</v>
      </c>
      <c r="AI293" s="381">
        <v>0</v>
      </c>
      <c r="AJ293" s="381">
        <v>0</v>
      </c>
      <c r="AK293" s="381">
        <v>0</v>
      </c>
      <c r="AL293" s="381">
        <v>0</v>
      </c>
      <c r="AM293" s="381">
        <v>0</v>
      </c>
      <c r="AN293" s="381">
        <v>0</v>
      </c>
    </row>
    <row r="294" spans="1:40">
      <c r="A294" s="30" t="s">
        <v>474</v>
      </c>
      <c r="B294" t="s">
        <v>453</v>
      </c>
      <c r="C294" t="s">
        <v>385</v>
      </c>
      <c r="D294" t="str">
        <f t="shared" si="50"/>
        <v>Fuel Poor - Landlord MEES - EPC CLess effective</v>
      </c>
      <c r="E294">
        <v>0</v>
      </c>
      <c r="F294">
        <v>0</v>
      </c>
      <c r="G294">
        <v>0</v>
      </c>
      <c r="H294">
        <v>0</v>
      </c>
      <c r="I294">
        <v>400.16116709382442</v>
      </c>
      <c r="J294">
        <v>800.32233418764883</v>
      </c>
      <c r="K294">
        <v>1200.4835012814733</v>
      </c>
      <c r="L294">
        <v>1600.6446683752977</v>
      </c>
      <c r="M294">
        <v>2000.805835469122</v>
      </c>
      <c r="N294">
        <v>2400.9670025629466</v>
      </c>
      <c r="O294">
        <v>2801.1281696567708</v>
      </c>
      <c r="P294">
        <v>3201.2893367505953</v>
      </c>
      <c r="Q294">
        <v>3601.4505038444199</v>
      </c>
      <c r="R294">
        <v>4001.6116709382441</v>
      </c>
      <c r="S294">
        <v>4401.7728380320686</v>
      </c>
      <c r="T294">
        <v>4401.7728380320686</v>
      </c>
      <c r="U294">
        <v>0</v>
      </c>
      <c r="V294">
        <v>0</v>
      </c>
      <c r="W294">
        <v>0</v>
      </c>
      <c r="X294">
        <v>0</v>
      </c>
      <c r="Y294">
        <v>0</v>
      </c>
      <c r="Z294">
        <v>0</v>
      </c>
      <c r="AA294">
        <v>0</v>
      </c>
      <c r="AB294">
        <v>0</v>
      </c>
      <c r="AC294">
        <v>0</v>
      </c>
      <c r="AD294">
        <v>0</v>
      </c>
      <c r="AE294">
        <v>0</v>
      </c>
      <c r="AF294">
        <v>0</v>
      </c>
      <c r="AG294">
        <v>0</v>
      </c>
      <c r="AH294">
        <v>0</v>
      </c>
      <c r="AI294">
        <v>0</v>
      </c>
      <c r="AJ294">
        <v>0</v>
      </c>
      <c r="AK294">
        <v>0</v>
      </c>
      <c r="AL294">
        <v>0</v>
      </c>
      <c r="AM294">
        <v>0</v>
      </c>
      <c r="AN294">
        <v>0</v>
      </c>
    </row>
    <row r="295" spans="1:40">
      <c r="A295" s="30" t="s">
        <v>474</v>
      </c>
      <c r="B295" t="s">
        <v>453</v>
      </c>
      <c r="C295" t="s">
        <v>386</v>
      </c>
      <c r="D295" t="str">
        <f t="shared" si="50"/>
        <v>Fuel Poor - All buildings MEES - EPC CLess effective</v>
      </c>
      <c r="E295">
        <v>0</v>
      </c>
      <c r="F295">
        <v>0</v>
      </c>
      <c r="G295">
        <v>0</v>
      </c>
      <c r="H295">
        <v>0</v>
      </c>
      <c r="I295">
        <v>0</v>
      </c>
      <c r="J295">
        <v>0</v>
      </c>
      <c r="K295">
        <v>1486.7435098500637</v>
      </c>
      <c r="L295">
        <v>2973.4870197001273</v>
      </c>
      <c r="M295">
        <v>4460.230529550191</v>
      </c>
      <c r="N295">
        <v>5946.9740394002547</v>
      </c>
      <c r="O295">
        <v>7433.7175492503175</v>
      </c>
      <c r="P295">
        <v>8920.461059100382</v>
      </c>
      <c r="Q295">
        <v>10407.204568950447</v>
      </c>
      <c r="R295">
        <v>11893.948078800509</v>
      </c>
      <c r="S295">
        <v>13380.69158865057</v>
      </c>
      <c r="T295">
        <v>13380.69158865057</v>
      </c>
      <c r="U295">
        <v>0</v>
      </c>
      <c r="V295">
        <v>0</v>
      </c>
      <c r="W295">
        <v>0</v>
      </c>
      <c r="X295">
        <v>0</v>
      </c>
      <c r="Y295">
        <v>0</v>
      </c>
      <c r="Z295">
        <v>0</v>
      </c>
      <c r="AA295">
        <v>0</v>
      </c>
      <c r="AB295">
        <v>0</v>
      </c>
      <c r="AC295">
        <v>0</v>
      </c>
      <c r="AD295">
        <v>0</v>
      </c>
      <c r="AE295">
        <v>0</v>
      </c>
      <c r="AF295">
        <v>0</v>
      </c>
      <c r="AG295">
        <v>0</v>
      </c>
      <c r="AH295">
        <v>0</v>
      </c>
      <c r="AI295">
        <v>0</v>
      </c>
      <c r="AJ295">
        <v>0</v>
      </c>
      <c r="AK295">
        <v>0</v>
      </c>
      <c r="AL295">
        <v>0</v>
      </c>
      <c r="AM295">
        <v>0</v>
      </c>
      <c r="AN295">
        <v>0</v>
      </c>
    </row>
    <row r="296" spans="1:40">
      <c r="A296" s="30" t="s">
        <v>474</v>
      </c>
      <c r="B296" t="s">
        <v>453</v>
      </c>
      <c r="C296" t="s">
        <v>387</v>
      </c>
      <c r="D296" t="str">
        <f t="shared" si="50"/>
        <v>Fuel Poor - Extended energy LeapLess effective</v>
      </c>
      <c r="E296" s="256">
        <v>0</v>
      </c>
      <c r="F296" s="256">
        <v>0</v>
      </c>
      <c r="G296" s="256">
        <v>0</v>
      </c>
      <c r="H296" s="256">
        <v>0</v>
      </c>
      <c r="I296" s="256">
        <v>0</v>
      </c>
      <c r="J296" s="256">
        <v>0</v>
      </c>
      <c r="K296" s="256">
        <v>0</v>
      </c>
      <c r="L296" s="256">
        <v>0</v>
      </c>
      <c r="M296" s="256">
        <v>0</v>
      </c>
      <c r="N296" s="256">
        <v>0</v>
      </c>
      <c r="O296" s="256">
        <v>235.39610500738632</v>
      </c>
      <c r="P296" s="256">
        <v>470.79221001477265</v>
      </c>
      <c r="Q296" s="256">
        <v>706.18831502215892</v>
      </c>
      <c r="R296" s="256">
        <v>941.5844200295453</v>
      </c>
      <c r="S296" s="256">
        <v>1176.9805250369316</v>
      </c>
      <c r="T296" s="256">
        <v>1412.3766300443178</v>
      </c>
      <c r="U296" s="256">
        <v>1647.7727350517039</v>
      </c>
      <c r="V296" s="256">
        <v>1883.1688400590906</v>
      </c>
      <c r="W296" s="256">
        <v>2118.5649450664769</v>
      </c>
      <c r="X296" s="256">
        <v>2353.9610500738631</v>
      </c>
      <c r="Y296" s="256">
        <v>2353.9610500738631</v>
      </c>
      <c r="Z296" s="256">
        <v>2353.9610500738631</v>
      </c>
      <c r="AA296" s="256">
        <v>2353.9610500738631</v>
      </c>
      <c r="AB296" s="256">
        <v>0</v>
      </c>
      <c r="AC296" s="256">
        <v>0</v>
      </c>
      <c r="AD296" s="256">
        <v>0</v>
      </c>
      <c r="AE296" s="256">
        <v>0</v>
      </c>
      <c r="AF296" s="256">
        <v>0</v>
      </c>
      <c r="AG296" s="256">
        <v>0</v>
      </c>
      <c r="AH296" s="256">
        <v>0</v>
      </c>
      <c r="AI296" s="256">
        <v>0</v>
      </c>
      <c r="AJ296" s="256">
        <v>0</v>
      </c>
      <c r="AK296" s="256">
        <v>0</v>
      </c>
      <c r="AL296" s="256">
        <v>0</v>
      </c>
      <c r="AM296" s="256">
        <v>0</v>
      </c>
      <c r="AN296" s="256">
        <v>0</v>
      </c>
    </row>
    <row r="297" spans="1:40">
      <c r="A297" s="30" t="s">
        <v>474</v>
      </c>
      <c r="B297" t="s">
        <v>453</v>
      </c>
      <c r="C297" t="s">
        <v>388</v>
      </c>
      <c r="D297" t="str">
        <f t="shared" si="50"/>
        <v>Social housing - Extended RE:NEWLess effective</v>
      </c>
      <c r="E297" s="80">
        <v>0</v>
      </c>
      <c r="F297" s="106">
        <v>0</v>
      </c>
      <c r="G297" s="106">
        <v>0</v>
      </c>
      <c r="H297" s="106">
        <v>0</v>
      </c>
      <c r="I297" s="106">
        <v>0</v>
      </c>
      <c r="J297" s="106">
        <v>0</v>
      </c>
      <c r="K297" s="106">
        <v>0</v>
      </c>
      <c r="L297" s="106">
        <v>0</v>
      </c>
      <c r="M297" s="106">
        <v>0</v>
      </c>
      <c r="N297" s="106">
        <v>0</v>
      </c>
      <c r="O297" s="80">
        <v>0</v>
      </c>
      <c r="P297" s="106">
        <v>0</v>
      </c>
      <c r="Q297" s="106">
        <v>0</v>
      </c>
      <c r="R297" s="106">
        <v>0</v>
      </c>
      <c r="S297" s="106">
        <v>0</v>
      </c>
      <c r="T297" s="106">
        <v>0</v>
      </c>
      <c r="U297" s="106">
        <v>0</v>
      </c>
      <c r="V297" s="106">
        <v>0</v>
      </c>
      <c r="W297" s="106">
        <v>0</v>
      </c>
      <c r="X297" s="106">
        <v>0</v>
      </c>
      <c r="Y297" s="106">
        <v>0</v>
      </c>
      <c r="Z297" s="106">
        <v>0</v>
      </c>
      <c r="AA297" s="106">
        <v>0</v>
      </c>
      <c r="AB297" s="106">
        <v>0</v>
      </c>
      <c r="AC297" s="106">
        <v>0</v>
      </c>
      <c r="AD297" s="106">
        <v>0</v>
      </c>
      <c r="AE297" s="106">
        <v>0</v>
      </c>
      <c r="AF297" s="106">
        <v>0</v>
      </c>
      <c r="AG297" s="106">
        <v>0</v>
      </c>
      <c r="AH297" s="106">
        <v>0</v>
      </c>
      <c r="AI297" s="106">
        <v>0</v>
      </c>
      <c r="AJ297" s="106">
        <v>0</v>
      </c>
      <c r="AK297" s="106">
        <v>0</v>
      </c>
      <c r="AL297" s="106">
        <v>0</v>
      </c>
      <c r="AM297" s="106">
        <v>0</v>
      </c>
      <c r="AN297" s="80">
        <v>0</v>
      </c>
    </row>
    <row r="298" spans="1:40">
      <c r="A298" s="30" t="s">
        <v>474</v>
      </c>
      <c r="B298" t="s">
        <v>453</v>
      </c>
      <c r="C298" t="s">
        <v>389</v>
      </c>
      <c r="D298" t="str">
        <f t="shared" si="50"/>
        <v>Social housing - All buildings MEES - EPC CLess effective</v>
      </c>
      <c r="E298" s="59">
        <v>0</v>
      </c>
      <c r="F298" s="59">
        <v>0</v>
      </c>
      <c r="G298" s="59">
        <v>0</v>
      </c>
      <c r="H298" s="59">
        <v>0</v>
      </c>
      <c r="I298" s="59">
        <v>0</v>
      </c>
      <c r="J298" s="59">
        <v>0</v>
      </c>
      <c r="K298" s="59">
        <v>1678.6984812543967</v>
      </c>
      <c r="L298" s="59">
        <v>3357.3969625087934</v>
      </c>
      <c r="M298" s="59">
        <v>5036.0954437631899</v>
      </c>
      <c r="N298" s="59">
        <v>6714.7939250175868</v>
      </c>
      <c r="O298" s="59">
        <v>8393.4924062719838</v>
      </c>
      <c r="P298" s="59">
        <v>10072.19088752638</v>
      </c>
      <c r="Q298" s="59">
        <v>11750.889368780776</v>
      </c>
      <c r="R298" s="59">
        <v>13429.587850035174</v>
      </c>
      <c r="S298" s="59">
        <v>15108.286331289572</v>
      </c>
      <c r="T298" s="59">
        <v>15108.286331289572</v>
      </c>
      <c r="U298" s="59">
        <v>12086.629065031657</v>
      </c>
      <c r="V298" s="59">
        <v>9064.9717987737422</v>
      </c>
      <c r="W298" s="59">
        <v>6043.3145325158275</v>
      </c>
      <c r="X298" s="59">
        <v>3021.6572662579138</v>
      </c>
      <c r="Y298" s="59">
        <v>0</v>
      </c>
      <c r="Z298" s="59">
        <v>0</v>
      </c>
      <c r="AA298" s="59">
        <v>0</v>
      </c>
      <c r="AB298" s="59">
        <v>0</v>
      </c>
      <c r="AC298" s="59">
        <v>0</v>
      </c>
      <c r="AD298" s="59">
        <v>0</v>
      </c>
      <c r="AE298" s="59">
        <v>0</v>
      </c>
      <c r="AF298" s="59">
        <v>0</v>
      </c>
      <c r="AG298" s="59">
        <v>0</v>
      </c>
      <c r="AH298" s="59">
        <v>0</v>
      </c>
      <c r="AI298" s="59">
        <v>0</v>
      </c>
      <c r="AJ298" s="59">
        <v>0</v>
      </c>
      <c r="AK298" s="59">
        <v>0</v>
      </c>
      <c r="AL298" s="59">
        <v>0</v>
      </c>
      <c r="AM298" s="59">
        <v>0</v>
      </c>
      <c r="AN298" s="59">
        <v>0</v>
      </c>
    </row>
    <row r="299" spans="1:40">
      <c r="A299" s="30" t="s">
        <v>474</v>
      </c>
      <c r="B299" t="s">
        <v>453</v>
      </c>
      <c r="C299" t="s">
        <v>390</v>
      </c>
      <c r="D299" t="str">
        <f t="shared" si="50"/>
        <v>Social housing - Extended energy LeapLess effective</v>
      </c>
      <c r="E299" s="381">
        <v>0</v>
      </c>
      <c r="F299" s="381">
        <v>0</v>
      </c>
      <c r="G299" s="381">
        <v>0</v>
      </c>
      <c r="H299" s="381">
        <v>0</v>
      </c>
      <c r="I299" s="381">
        <v>0</v>
      </c>
      <c r="J299" s="381">
        <v>0</v>
      </c>
      <c r="K299" s="381">
        <v>0</v>
      </c>
      <c r="L299" s="381">
        <v>0</v>
      </c>
      <c r="M299" s="381">
        <v>0</v>
      </c>
      <c r="N299" s="381">
        <v>0</v>
      </c>
      <c r="O299" s="381">
        <v>310.89368457386934</v>
      </c>
      <c r="P299" s="381">
        <v>621.78736914773867</v>
      </c>
      <c r="Q299" s="381">
        <v>932.68105372160801</v>
      </c>
      <c r="R299" s="381">
        <v>1243.5747382954773</v>
      </c>
      <c r="S299" s="381">
        <v>1554.4684228693466</v>
      </c>
      <c r="T299" s="381">
        <v>1865.362107443216</v>
      </c>
      <c r="U299" s="381">
        <v>2176.2557920170857</v>
      </c>
      <c r="V299" s="381">
        <v>2487.1494765909547</v>
      </c>
      <c r="W299" s="381">
        <v>2798.0431611648237</v>
      </c>
      <c r="X299" s="381">
        <v>3108.9368457386936</v>
      </c>
      <c r="Y299" s="381">
        <v>3108.9368457386936</v>
      </c>
      <c r="Z299" s="381">
        <v>3108.9368457386936</v>
      </c>
      <c r="AA299" s="381">
        <v>3108.9368457386936</v>
      </c>
      <c r="AB299" s="381">
        <v>0</v>
      </c>
      <c r="AC299" s="381">
        <v>0</v>
      </c>
      <c r="AD299" s="381">
        <v>0</v>
      </c>
      <c r="AE299" s="381">
        <v>0</v>
      </c>
      <c r="AF299" s="381">
        <v>0</v>
      </c>
      <c r="AG299" s="381">
        <v>0</v>
      </c>
      <c r="AH299" s="381">
        <v>0</v>
      </c>
      <c r="AI299" s="381">
        <v>0</v>
      </c>
      <c r="AJ299" s="381">
        <v>0</v>
      </c>
      <c r="AK299" s="381">
        <v>0</v>
      </c>
      <c r="AL299" s="381">
        <v>0</v>
      </c>
      <c r="AM299" s="381">
        <v>0</v>
      </c>
      <c r="AN299" s="381">
        <v>0</v>
      </c>
    </row>
    <row r="300" spans="1:40">
      <c r="A300" s="30" t="s">
        <v>474</v>
      </c>
      <c r="B300" t="s">
        <v>453</v>
      </c>
      <c r="C300" t="s">
        <v>391</v>
      </c>
      <c r="D300" t="str">
        <f t="shared" si="50"/>
        <v>Able to pay - Building Regulations and planning policyLess effective</v>
      </c>
      <c r="E300" s="381">
        <v>0</v>
      </c>
      <c r="F300" s="381">
        <v>0</v>
      </c>
      <c r="G300" s="381">
        <v>0</v>
      </c>
      <c r="H300" s="381">
        <v>0</v>
      </c>
      <c r="I300" s="381">
        <v>0</v>
      </c>
      <c r="J300" s="381">
        <v>4908.6531205316605</v>
      </c>
      <c r="K300" s="381">
        <v>4908.6531205316605</v>
      </c>
      <c r="L300" s="381">
        <v>4908.6531205316605</v>
      </c>
      <c r="M300" s="381">
        <v>4908.6531205316605</v>
      </c>
      <c r="N300" s="381">
        <v>4908.6531205316605</v>
      </c>
      <c r="O300" s="381">
        <v>4908.6531205316605</v>
      </c>
      <c r="P300" s="381">
        <v>4908.6531205316605</v>
      </c>
      <c r="Q300" s="381">
        <v>4908.6531205316605</v>
      </c>
      <c r="R300" s="381">
        <v>0</v>
      </c>
      <c r="S300" s="381">
        <v>0</v>
      </c>
      <c r="T300" s="381">
        <v>0</v>
      </c>
      <c r="U300" s="381">
        <v>0</v>
      </c>
      <c r="V300" s="381">
        <v>0</v>
      </c>
      <c r="W300" s="381">
        <v>0</v>
      </c>
      <c r="X300" s="381">
        <v>0</v>
      </c>
      <c r="Y300" s="381">
        <v>0</v>
      </c>
      <c r="Z300" s="381">
        <v>0</v>
      </c>
      <c r="AA300" s="381">
        <v>0</v>
      </c>
      <c r="AB300" s="381">
        <v>0</v>
      </c>
      <c r="AC300" s="381">
        <v>0</v>
      </c>
      <c r="AD300" s="381">
        <v>0</v>
      </c>
      <c r="AE300" s="381">
        <v>0</v>
      </c>
      <c r="AF300" s="381">
        <v>0</v>
      </c>
      <c r="AG300" s="381">
        <v>0</v>
      </c>
      <c r="AH300" s="381">
        <v>0</v>
      </c>
      <c r="AI300" s="381">
        <v>0</v>
      </c>
      <c r="AJ300" s="381">
        <v>0</v>
      </c>
      <c r="AK300" s="381">
        <v>0</v>
      </c>
      <c r="AL300" s="381">
        <v>0</v>
      </c>
      <c r="AM300" s="381">
        <v>0</v>
      </c>
      <c r="AN300" s="381">
        <v>0</v>
      </c>
    </row>
    <row r="301" spans="1:40">
      <c r="A301" s="30" t="s">
        <v>474</v>
      </c>
      <c r="B301" t="s">
        <v>453</v>
      </c>
      <c r="C301" t="s">
        <v>392</v>
      </c>
      <c r="D301" t="str">
        <f t="shared" si="50"/>
        <v>Able to pay - Council tax variation by EPCLess effective</v>
      </c>
      <c r="E301" s="381">
        <v>0</v>
      </c>
      <c r="F301" s="381">
        <v>0</v>
      </c>
      <c r="G301" s="381">
        <v>0</v>
      </c>
      <c r="H301" s="381">
        <v>0</v>
      </c>
      <c r="I301" s="381">
        <v>0</v>
      </c>
      <c r="J301" s="381">
        <v>0</v>
      </c>
      <c r="K301" s="381">
        <v>0</v>
      </c>
      <c r="L301" s="381">
        <v>0</v>
      </c>
      <c r="M301" s="381">
        <v>0</v>
      </c>
      <c r="N301" s="381">
        <v>0</v>
      </c>
      <c r="O301" s="381">
        <v>0</v>
      </c>
      <c r="P301" s="381">
        <v>0</v>
      </c>
      <c r="Q301" s="381">
        <v>0</v>
      </c>
      <c r="R301" s="381">
        <v>0</v>
      </c>
      <c r="S301" s="381">
        <v>0</v>
      </c>
      <c r="T301" s="381">
        <v>0</v>
      </c>
      <c r="U301" s="381">
        <v>0</v>
      </c>
      <c r="V301" s="381">
        <v>0</v>
      </c>
      <c r="W301" s="381">
        <v>0</v>
      </c>
      <c r="X301" s="381">
        <v>0</v>
      </c>
      <c r="Y301" s="381">
        <v>0</v>
      </c>
      <c r="Z301" s="381">
        <v>0</v>
      </c>
      <c r="AA301" s="381">
        <v>0</v>
      </c>
      <c r="AB301" s="381">
        <v>0</v>
      </c>
      <c r="AC301" s="381">
        <v>0</v>
      </c>
      <c r="AD301" s="381">
        <v>0</v>
      </c>
      <c r="AE301" s="381">
        <v>0</v>
      </c>
      <c r="AF301" s="381">
        <v>0</v>
      </c>
      <c r="AG301" s="381">
        <v>0</v>
      </c>
      <c r="AH301" s="381">
        <v>0</v>
      </c>
      <c r="AI301" s="381">
        <v>0</v>
      </c>
      <c r="AJ301" s="381">
        <v>0</v>
      </c>
      <c r="AK301" s="381">
        <v>0</v>
      </c>
      <c r="AL301" s="381">
        <v>0</v>
      </c>
      <c r="AM301" s="381">
        <v>0</v>
      </c>
      <c r="AN301" s="381">
        <v>0</v>
      </c>
    </row>
    <row r="302" spans="1:40">
      <c r="A302" s="30" t="s">
        <v>474</v>
      </c>
      <c r="B302" t="s">
        <v>453</v>
      </c>
      <c r="C302" t="s">
        <v>393</v>
      </c>
      <c r="D302" t="str">
        <f t="shared" si="50"/>
        <v>Able to pay - Landlord MEES - EPC CLess effective</v>
      </c>
      <c r="E302" s="381">
        <v>0</v>
      </c>
      <c r="F302" s="381">
        <v>0</v>
      </c>
      <c r="G302" s="381">
        <v>0</v>
      </c>
      <c r="H302" s="381">
        <v>0</v>
      </c>
      <c r="I302" s="381">
        <v>895.06212530613925</v>
      </c>
      <c r="J302" s="381">
        <v>1790.1242506122785</v>
      </c>
      <c r="K302" s="381">
        <v>2685.186375918418</v>
      </c>
      <c r="L302" s="381">
        <v>3580.248501224557</v>
      </c>
      <c r="M302" s="381">
        <v>4475.310626530696</v>
      </c>
      <c r="N302" s="381">
        <v>5370.372751836836</v>
      </c>
      <c r="O302" s="381">
        <v>6265.434877142975</v>
      </c>
      <c r="P302" s="381">
        <v>7160.497002449114</v>
      </c>
      <c r="Q302" s="381">
        <v>8055.559127755253</v>
      </c>
      <c r="R302" s="381">
        <v>8950.6212530613921</v>
      </c>
      <c r="S302" s="381">
        <v>9845.683378367532</v>
      </c>
      <c r="T302" s="381">
        <v>9845.683378367532</v>
      </c>
      <c r="U302" s="381">
        <v>7876.546702694026</v>
      </c>
      <c r="V302" s="381">
        <v>5907.410027020519</v>
      </c>
      <c r="W302" s="381">
        <v>3938.2733513470121</v>
      </c>
      <c r="X302" s="381">
        <v>1969.136675673506</v>
      </c>
      <c r="Y302" s="381">
        <v>0</v>
      </c>
      <c r="Z302" s="381">
        <v>0</v>
      </c>
      <c r="AA302" s="381">
        <v>0</v>
      </c>
      <c r="AB302" s="381">
        <v>0</v>
      </c>
      <c r="AC302" s="381">
        <v>0</v>
      </c>
      <c r="AD302" s="381">
        <v>0</v>
      </c>
      <c r="AE302" s="381">
        <v>0</v>
      </c>
      <c r="AF302" s="381">
        <v>0</v>
      </c>
      <c r="AG302" s="381">
        <v>0</v>
      </c>
      <c r="AH302" s="381">
        <v>0</v>
      </c>
      <c r="AI302" s="381">
        <v>0</v>
      </c>
      <c r="AJ302" s="381">
        <v>0</v>
      </c>
      <c r="AK302" s="381">
        <v>0</v>
      </c>
      <c r="AL302" s="381">
        <v>0</v>
      </c>
      <c r="AM302" s="381">
        <v>0</v>
      </c>
      <c r="AN302" s="381">
        <v>0</v>
      </c>
    </row>
    <row r="303" spans="1:40">
      <c r="A303" s="30" t="s">
        <v>474</v>
      </c>
      <c r="B303" t="s">
        <v>453</v>
      </c>
      <c r="C303" t="s">
        <v>394</v>
      </c>
      <c r="D303" t="str">
        <f t="shared" si="50"/>
        <v>Able to pay - Stamp duty energy efficiency scalingLess effective</v>
      </c>
      <c r="E303" s="381">
        <v>0</v>
      </c>
      <c r="F303" s="381">
        <v>0</v>
      </c>
      <c r="G303" s="381">
        <v>0</v>
      </c>
      <c r="H303" s="381">
        <v>0</v>
      </c>
      <c r="I303" s="381">
        <v>0</v>
      </c>
      <c r="J303" s="381">
        <v>0</v>
      </c>
      <c r="K303" s="381">
        <v>0</v>
      </c>
      <c r="L303" s="381">
        <v>0</v>
      </c>
      <c r="M303" s="381">
        <v>0</v>
      </c>
      <c r="N303" s="381">
        <v>0</v>
      </c>
      <c r="O303" s="381">
        <v>0</v>
      </c>
      <c r="P303" s="381">
        <v>0</v>
      </c>
      <c r="Q303" s="381">
        <v>0</v>
      </c>
      <c r="R303" s="381">
        <v>0</v>
      </c>
      <c r="S303" s="381">
        <v>0</v>
      </c>
      <c r="T303" s="381">
        <v>0</v>
      </c>
      <c r="U303" s="381">
        <v>0</v>
      </c>
      <c r="V303" s="381">
        <v>0</v>
      </c>
      <c r="W303" s="381">
        <v>0</v>
      </c>
      <c r="X303" s="381">
        <v>0</v>
      </c>
      <c r="Y303" s="381">
        <v>0</v>
      </c>
      <c r="Z303" s="381">
        <v>0</v>
      </c>
      <c r="AA303" s="381">
        <v>0</v>
      </c>
      <c r="AB303" s="381">
        <v>0</v>
      </c>
      <c r="AC303" s="381">
        <v>0</v>
      </c>
      <c r="AD303" s="381">
        <v>0</v>
      </c>
      <c r="AE303" s="381">
        <v>0</v>
      </c>
      <c r="AF303" s="381">
        <v>0</v>
      </c>
      <c r="AG303" s="381">
        <v>0</v>
      </c>
      <c r="AH303" s="381">
        <v>0</v>
      </c>
      <c r="AI303" s="381">
        <v>0</v>
      </c>
      <c r="AJ303" s="381">
        <v>0</v>
      </c>
      <c r="AK303" s="381">
        <v>0</v>
      </c>
      <c r="AL303" s="381">
        <v>0</v>
      </c>
      <c r="AM303" s="381">
        <v>0</v>
      </c>
      <c r="AN303" s="381">
        <v>0</v>
      </c>
    </row>
    <row r="304" spans="1:40">
      <c r="A304" s="30" t="s">
        <v>474</v>
      </c>
      <c r="B304" t="s">
        <v>453</v>
      </c>
      <c r="C304" t="s">
        <v>395</v>
      </c>
      <c r="D304" t="str">
        <f t="shared" si="50"/>
        <v>Able to pay - Extended Energy LeapLess effective</v>
      </c>
      <c r="E304" s="381">
        <v>0</v>
      </c>
      <c r="F304" s="381">
        <v>0</v>
      </c>
      <c r="G304" s="381">
        <v>0</v>
      </c>
      <c r="H304" s="381">
        <v>0</v>
      </c>
      <c r="I304" s="381">
        <v>0</v>
      </c>
      <c r="J304" s="381">
        <v>0</v>
      </c>
      <c r="K304" s="381">
        <v>0</v>
      </c>
      <c r="L304" s="381">
        <v>0</v>
      </c>
      <c r="M304" s="381">
        <v>0</v>
      </c>
      <c r="N304" s="381">
        <v>0</v>
      </c>
      <c r="O304" s="381">
        <v>1029.2239749472249</v>
      </c>
      <c r="P304" s="381">
        <v>2058.4479498944497</v>
      </c>
      <c r="Q304" s="381">
        <v>3087.6719248416748</v>
      </c>
      <c r="R304" s="381">
        <v>4116.8958997888994</v>
      </c>
      <c r="S304" s="381">
        <v>5146.1198747361241</v>
      </c>
      <c r="T304" s="381">
        <v>6175.3438496833496</v>
      </c>
      <c r="U304" s="381">
        <v>7204.5678246305743</v>
      </c>
      <c r="V304" s="381">
        <v>8233.7917995777989</v>
      </c>
      <c r="W304" s="381">
        <v>9263.0157745250217</v>
      </c>
      <c r="X304" s="381">
        <v>10292.239749472248</v>
      </c>
      <c r="Y304" s="381">
        <v>10292.239749472248</v>
      </c>
      <c r="Z304" s="381">
        <v>10292.239749472248</v>
      </c>
      <c r="AA304" s="381">
        <v>10292.239749472248</v>
      </c>
      <c r="AB304" s="381">
        <v>0</v>
      </c>
      <c r="AC304" s="381">
        <v>0</v>
      </c>
      <c r="AD304" s="381">
        <v>0</v>
      </c>
      <c r="AE304" s="381">
        <v>0</v>
      </c>
      <c r="AF304" s="381">
        <v>0</v>
      </c>
      <c r="AG304" s="381">
        <v>0</v>
      </c>
      <c r="AH304" s="381">
        <v>0</v>
      </c>
      <c r="AI304" s="381">
        <v>0</v>
      </c>
      <c r="AJ304" s="381">
        <v>0</v>
      </c>
      <c r="AK304" s="381">
        <v>0</v>
      </c>
      <c r="AL304" s="381">
        <v>0</v>
      </c>
      <c r="AM304" s="381">
        <v>0</v>
      </c>
      <c r="AN304" s="381">
        <v>0</v>
      </c>
    </row>
    <row r="305" spans="1:40">
      <c r="A305" s="30" t="s">
        <v>474</v>
      </c>
      <c r="B305" t="s">
        <v>453</v>
      </c>
      <c r="C305" t="s">
        <v>396</v>
      </c>
      <c r="D305" t="str">
        <f t="shared" si="50"/>
        <v>Able to pay - All buildings MEES - EPC CLess effective</v>
      </c>
      <c r="E305" s="80">
        <v>0</v>
      </c>
      <c r="F305" s="106">
        <v>0</v>
      </c>
      <c r="G305" s="106">
        <v>0</v>
      </c>
      <c r="H305" s="106">
        <v>0</v>
      </c>
      <c r="I305" s="106">
        <v>0</v>
      </c>
      <c r="J305" s="106">
        <v>0</v>
      </c>
      <c r="K305" s="106">
        <v>57.919349377066865</v>
      </c>
      <c r="L305" s="106">
        <v>115.83869875413373</v>
      </c>
      <c r="M305" s="106">
        <v>173.75804813120061</v>
      </c>
      <c r="N305" s="106">
        <v>231.67739750826746</v>
      </c>
      <c r="O305" s="80">
        <v>289.59674688533431</v>
      </c>
      <c r="P305" s="106">
        <v>347.51609626240122</v>
      </c>
      <c r="Q305" s="106">
        <v>405.43544563946807</v>
      </c>
      <c r="R305" s="106">
        <v>463.35479501653492</v>
      </c>
      <c r="S305" s="106">
        <v>521.27414439360189</v>
      </c>
      <c r="T305" s="106">
        <v>521.27414439360189</v>
      </c>
      <c r="U305" s="106">
        <v>521.27414439360189</v>
      </c>
      <c r="V305" s="106">
        <v>521.27414439360189</v>
      </c>
      <c r="W305" s="106">
        <v>521.27414439360189</v>
      </c>
      <c r="X305" s="106">
        <v>521.27414439360189</v>
      </c>
      <c r="Y305" s="106">
        <v>0</v>
      </c>
      <c r="Z305" s="106">
        <v>0</v>
      </c>
      <c r="AA305" s="106">
        <v>0</v>
      </c>
      <c r="AB305" s="106">
        <v>0</v>
      </c>
      <c r="AC305" s="106">
        <v>0</v>
      </c>
      <c r="AD305" s="106">
        <v>0</v>
      </c>
      <c r="AE305" s="106">
        <v>0</v>
      </c>
      <c r="AF305" s="106">
        <v>0</v>
      </c>
      <c r="AG305" s="106">
        <v>0</v>
      </c>
      <c r="AH305" s="106">
        <v>0</v>
      </c>
      <c r="AI305" s="106">
        <v>0</v>
      </c>
      <c r="AJ305" s="106">
        <v>0</v>
      </c>
      <c r="AK305" s="106">
        <v>0</v>
      </c>
      <c r="AL305" s="106">
        <v>0</v>
      </c>
      <c r="AM305" s="106">
        <v>0</v>
      </c>
      <c r="AN305" s="80">
        <v>0</v>
      </c>
    </row>
    <row r="306" spans="1:40">
      <c r="A306" s="30" t="s">
        <v>474</v>
      </c>
      <c r="B306" t="s">
        <v>453</v>
      </c>
      <c r="C306" t="s">
        <v>398</v>
      </c>
      <c r="D306" t="str">
        <f t="shared" si="50"/>
        <v>Existing - Domestic ALL - Mandate on lighting efficiencyLess effective</v>
      </c>
      <c r="E306" s="80"/>
      <c r="F306" s="106"/>
      <c r="G306" s="106"/>
      <c r="H306" s="106"/>
      <c r="I306" s="106"/>
      <c r="J306" s="106"/>
      <c r="K306" s="106"/>
      <c r="L306" s="106"/>
      <c r="M306" s="106"/>
      <c r="N306" s="106"/>
      <c r="O306" s="80"/>
      <c r="P306" s="106"/>
      <c r="Q306" s="106"/>
      <c r="R306" s="106"/>
      <c r="S306" s="106"/>
      <c r="T306" s="106"/>
      <c r="U306" s="106"/>
      <c r="V306" s="106"/>
      <c r="W306" s="106"/>
      <c r="X306" s="106"/>
      <c r="Y306" s="106"/>
      <c r="Z306" s="106"/>
      <c r="AA306" s="106"/>
      <c r="AB306" s="106"/>
      <c r="AC306" s="106"/>
      <c r="AD306" s="106"/>
      <c r="AE306" s="106"/>
      <c r="AF306" s="106"/>
      <c r="AG306" s="106"/>
      <c r="AH306" s="106"/>
      <c r="AI306" s="106"/>
      <c r="AJ306" s="106"/>
      <c r="AK306" s="106"/>
      <c r="AL306" s="106"/>
      <c r="AM306" s="106"/>
      <c r="AN306" s="80"/>
    </row>
    <row r="307" spans="1:40">
      <c r="A307" s="30" t="s">
        <v>474</v>
      </c>
      <c r="B307" t="s">
        <v>453</v>
      </c>
      <c r="C307" t="s">
        <v>399</v>
      </c>
      <c r="D307" t="str">
        <f t="shared" si="50"/>
        <v>Existing - Domestic ALL - Mandate on appliance efficiencyLess effective</v>
      </c>
      <c r="E307" s="80"/>
      <c r="F307" s="106"/>
      <c r="G307" s="106"/>
      <c r="H307" s="106"/>
      <c r="I307" s="106"/>
      <c r="J307" s="106"/>
      <c r="K307" s="106"/>
      <c r="L307" s="106"/>
      <c r="M307" s="106"/>
      <c r="N307" s="106"/>
      <c r="O307" s="80"/>
      <c r="P307" s="106"/>
      <c r="Q307" s="106"/>
      <c r="R307" s="106"/>
      <c r="S307" s="106"/>
      <c r="T307" s="106"/>
      <c r="U307" s="106"/>
      <c r="V307" s="106"/>
      <c r="W307" s="106"/>
      <c r="X307" s="106"/>
      <c r="Y307" s="106"/>
      <c r="Z307" s="106"/>
      <c r="AA307" s="106"/>
      <c r="AB307" s="106"/>
      <c r="AC307" s="106"/>
      <c r="AD307" s="106"/>
      <c r="AE307" s="106"/>
      <c r="AF307" s="106"/>
      <c r="AG307" s="106"/>
      <c r="AH307" s="106"/>
      <c r="AI307" s="106"/>
      <c r="AJ307" s="106"/>
      <c r="AK307" s="106"/>
      <c r="AL307" s="106"/>
      <c r="AM307" s="106"/>
      <c r="AN307" s="80"/>
    </row>
    <row r="308" spans="1:40">
      <c r="A308" s="30" t="s">
        <v>474</v>
      </c>
      <c r="B308" t="s">
        <v>453</v>
      </c>
      <c r="C308" t="s">
        <v>400</v>
      </c>
      <c r="D308" t="str">
        <f t="shared" si="50"/>
        <v>New - Domestic ALL - Mandate on lighting efficiencyLess effective</v>
      </c>
      <c r="E308" s="381">
        <v>0</v>
      </c>
      <c r="F308" s="381">
        <v>43906.043049124302</v>
      </c>
      <c r="G308" s="381">
        <v>43906.043049124302</v>
      </c>
      <c r="H308" s="381">
        <v>43906.043049124302</v>
      </c>
      <c r="I308" s="381">
        <v>95138.299534838588</v>
      </c>
      <c r="J308" s="381">
        <v>146370.55602055276</v>
      </c>
      <c r="K308" s="381">
        <v>190855.44330276136</v>
      </c>
      <c r="L308" s="381">
        <v>242087.69978847564</v>
      </c>
      <c r="M308" s="381">
        <v>293319.95627418999</v>
      </c>
      <c r="N308" s="381">
        <v>344552.21275990416</v>
      </c>
      <c r="O308" s="381">
        <v>395784.46924561891</v>
      </c>
      <c r="P308" s="381">
        <v>388707.71787649149</v>
      </c>
      <c r="Q308" s="381">
        <v>30081.922476491403</v>
      </c>
      <c r="R308" s="381">
        <v>30081.922476491403</v>
      </c>
      <c r="S308" s="381">
        <v>30081.922476491403</v>
      </c>
      <c r="T308" s="381">
        <v>30081.922476491371</v>
      </c>
      <c r="U308" s="381">
        <v>13867.401188571612</v>
      </c>
      <c r="V308" s="381">
        <v>13867.401188571546</v>
      </c>
      <c r="W308" s="381">
        <v>13867.401188571546</v>
      </c>
      <c r="X308" s="381">
        <v>13867.401188571546</v>
      </c>
      <c r="Y308" s="381">
        <v>13867.401188571546</v>
      </c>
      <c r="Z308" s="381">
        <v>13867.401188571546</v>
      </c>
      <c r="AA308" s="381">
        <v>13867.401188571546</v>
      </c>
      <c r="AB308" s="381">
        <v>13867.401188571546</v>
      </c>
      <c r="AC308" s="381">
        <v>13867.401188571546</v>
      </c>
      <c r="AD308" s="381">
        <v>13867.401188572745</v>
      </c>
      <c r="AE308" s="381">
        <v>13867.401188571803</v>
      </c>
      <c r="AF308" s="381">
        <v>13867.40118857193</v>
      </c>
      <c r="AG308" s="381">
        <v>13867.40118857193</v>
      </c>
      <c r="AH308" s="381">
        <v>13867.40118857193</v>
      </c>
      <c r="AI308" s="381">
        <v>13867.40118857193</v>
      </c>
      <c r="AJ308" s="381">
        <v>13867.40118857193</v>
      </c>
      <c r="AK308" s="381">
        <v>13867.40118857193</v>
      </c>
      <c r="AL308" s="381">
        <v>13867.40118857193</v>
      </c>
      <c r="AM308" s="381">
        <v>13867.40118857193</v>
      </c>
      <c r="AN308" s="381">
        <v>13867.401188570653</v>
      </c>
    </row>
    <row r="309" spans="1:40">
      <c r="A309" s="30" t="s">
        <v>474</v>
      </c>
      <c r="B309" t="s">
        <v>453</v>
      </c>
      <c r="C309" t="s">
        <v>401</v>
      </c>
      <c r="D309" t="str">
        <f t="shared" si="50"/>
        <v>New - Domestic ALL - Mandate on appliance efficiencyLess effective</v>
      </c>
      <c r="E309" s="381">
        <v>0</v>
      </c>
      <c r="F309" s="381">
        <v>43906.043049124302</v>
      </c>
      <c r="G309" s="381">
        <v>43906.043049124302</v>
      </c>
      <c r="H309" s="381">
        <v>43906.043049124302</v>
      </c>
      <c r="I309" s="381">
        <v>54974.740438013192</v>
      </c>
      <c r="J309" s="381">
        <v>66043.437826901951</v>
      </c>
      <c r="K309" s="381">
        <v>70364.766012285181</v>
      </c>
      <c r="L309" s="381">
        <v>81433.463401174085</v>
      </c>
      <c r="M309" s="381">
        <v>92502.160790062961</v>
      </c>
      <c r="N309" s="381">
        <v>103570.85817895185</v>
      </c>
      <c r="O309" s="381">
        <v>114639.55556784105</v>
      </c>
      <c r="P309" s="381">
        <v>118631.50158760254</v>
      </c>
      <c r="Q309" s="381">
        <v>129700.1989764914</v>
      </c>
      <c r="R309" s="381">
        <v>140768.89636538029</v>
      </c>
      <c r="S309" s="381">
        <v>151837.59375426918</v>
      </c>
      <c r="T309" s="381">
        <v>162906.29114315807</v>
      </c>
      <c r="U309" s="381">
        <v>137836.81194412717</v>
      </c>
      <c r="V309" s="381">
        <v>128981.854033016</v>
      </c>
      <c r="W309" s="381">
        <v>120126.89612190488</v>
      </c>
      <c r="X309" s="381">
        <v>111271.93821079379</v>
      </c>
      <c r="Y309" s="381">
        <v>102416.98029968268</v>
      </c>
      <c r="Z309" s="381">
        <v>93562.022388571553</v>
      </c>
      <c r="AA309" s="381">
        <v>84707.06447746043</v>
      </c>
      <c r="AB309" s="381">
        <v>75852.106566349321</v>
      </c>
      <c r="AC309" s="381">
        <v>66997.148655238212</v>
      </c>
      <c r="AD309" s="381">
        <v>58142.190744128311</v>
      </c>
      <c r="AE309" s="381">
        <v>49287.232833016256</v>
      </c>
      <c r="AF309" s="381">
        <v>40432.274921905264</v>
      </c>
      <c r="AG309" s="381">
        <v>31577.317010794155</v>
      </c>
      <c r="AH309" s="381">
        <v>22722.359099683046</v>
      </c>
      <c r="AI309" s="381">
        <v>13867.40118857193</v>
      </c>
      <c r="AJ309" s="381">
        <v>13867.40118857193</v>
      </c>
      <c r="AK309" s="381">
        <v>13867.40118857193</v>
      </c>
      <c r="AL309" s="381">
        <v>13867.40118857193</v>
      </c>
      <c r="AM309" s="381">
        <v>13867.40118857193</v>
      </c>
      <c r="AN309" s="381">
        <v>13867.401188570653</v>
      </c>
    </row>
    <row r="310" spans="1:40">
      <c r="A310" s="30" t="s">
        <v>474</v>
      </c>
      <c r="B310" t="s">
        <v>453</v>
      </c>
      <c r="C310" t="s">
        <v>402</v>
      </c>
      <c r="D310" t="str">
        <f t="shared" si="50"/>
        <v>New - Domestic ALL - Stronger planning requirement for smart controls  Less effective</v>
      </c>
      <c r="E310" s="381">
        <v>0</v>
      </c>
      <c r="F310" s="381">
        <v>16194.851944349128</v>
      </c>
      <c r="G310" s="381">
        <v>16194.851944349128</v>
      </c>
      <c r="H310" s="381">
        <v>16194.851944349128</v>
      </c>
      <c r="I310" s="381">
        <v>16194.851944349128</v>
      </c>
      <c r="J310" s="381">
        <v>16194.85194434908</v>
      </c>
      <c r="K310" s="381">
        <v>13706.068221744532</v>
      </c>
      <c r="L310" s="381">
        <v>13706.068221744532</v>
      </c>
      <c r="M310" s="381">
        <v>13706.068221744532</v>
      </c>
      <c r="N310" s="381">
        <v>13706.068221744532</v>
      </c>
      <c r="O310" s="381">
        <v>13706.068221744648</v>
      </c>
      <c r="P310" s="381">
        <v>11095.791077394369</v>
      </c>
      <c r="Q310" s="381">
        <v>11095.791077394369</v>
      </c>
      <c r="R310" s="381">
        <v>11095.791077394369</v>
      </c>
      <c r="S310" s="381">
        <v>11095.791077394369</v>
      </c>
      <c r="T310" s="381">
        <v>11095.791077394357</v>
      </c>
      <c r="U310" s="381">
        <v>5115.0250285714956</v>
      </c>
      <c r="V310" s="381">
        <v>5115.0250285714719</v>
      </c>
      <c r="W310" s="381">
        <v>5115.0250285714719</v>
      </c>
      <c r="X310" s="381">
        <v>5115.0250285714719</v>
      </c>
      <c r="Y310" s="381">
        <v>5115.0250285714719</v>
      </c>
      <c r="Z310" s="381">
        <v>5115.0250285714719</v>
      </c>
      <c r="AA310" s="381">
        <v>5115.0250285714719</v>
      </c>
      <c r="AB310" s="381">
        <v>5115.0250285714719</v>
      </c>
      <c r="AC310" s="381">
        <v>5115.0250285714719</v>
      </c>
      <c r="AD310" s="381">
        <v>5115.0250285719139</v>
      </c>
      <c r="AE310" s="381">
        <v>5115.0250285715665</v>
      </c>
      <c r="AF310" s="381">
        <v>5115.0250285716138</v>
      </c>
      <c r="AG310" s="381">
        <v>5115.0250285716138</v>
      </c>
      <c r="AH310" s="381">
        <v>5115.0250285716138</v>
      </c>
      <c r="AI310" s="381">
        <v>5115.0250285716138</v>
      </c>
      <c r="AJ310" s="381">
        <v>5115.0250285716138</v>
      </c>
      <c r="AK310" s="381">
        <v>5115.0250285716138</v>
      </c>
      <c r="AL310" s="381">
        <v>5115.0250285716138</v>
      </c>
      <c r="AM310" s="381">
        <v>5115.0250285716138</v>
      </c>
      <c r="AN310" s="381">
        <v>5115.0250285711427</v>
      </c>
    </row>
    <row r="311" spans="1:40">
      <c r="A311" s="30" t="s">
        <v>474</v>
      </c>
      <c r="B311" t="s">
        <v>453</v>
      </c>
      <c r="C311" t="s">
        <v>406</v>
      </c>
      <c r="D311" t="str">
        <f t="shared" si="50"/>
        <v>SME - Energy efficiency programmeLess effective</v>
      </c>
      <c r="E311" s="381">
        <v>0</v>
      </c>
      <c r="F311" s="381">
        <v>0</v>
      </c>
      <c r="G311" s="381">
        <v>0</v>
      </c>
      <c r="H311" s="381">
        <v>0</v>
      </c>
      <c r="I311" s="381">
        <v>0</v>
      </c>
      <c r="J311" s="381">
        <v>0</v>
      </c>
      <c r="K311" s="381">
        <v>0</v>
      </c>
      <c r="L311" s="381">
        <v>0</v>
      </c>
      <c r="M311" s="381">
        <v>0</v>
      </c>
      <c r="N311" s="381">
        <v>0</v>
      </c>
      <c r="O311" s="381">
        <v>0</v>
      </c>
      <c r="P311" s="381">
        <v>0</v>
      </c>
      <c r="Q311" s="381">
        <v>0</v>
      </c>
      <c r="R311" s="381">
        <v>0</v>
      </c>
      <c r="S311" s="381">
        <v>0</v>
      </c>
      <c r="T311" s="381">
        <v>0</v>
      </c>
      <c r="U311" s="381">
        <v>0</v>
      </c>
      <c r="V311" s="381">
        <v>0</v>
      </c>
      <c r="W311" s="381">
        <v>0</v>
      </c>
      <c r="X311" s="381">
        <v>0</v>
      </c>
      <c r="Y311" s="381">
        <v>0</v>
      </c>
      <c r="Z311" s="381">
        <v>0</v>
      </c>
      <c r="AA311" s="381">
        <v>0</v>
      </c>
      <c r="AB311" s="381">
        <v>0</v>
      </c>
      <c r="AC311" s="381">
        <v>0</v>
      </c>
      <c r="AD311" s="381">
        <v>0</v>
      </c>
      <c r="AE311" s="381">
        <v>0</v>
      </c>
      <c r="AF311" s="381">
        <v>0</v>
      </c>
      <c r="AG311" s="381">
        <v>0</v>
      </c>
      <c r="AH311" s="381">
        <v>0</v>
      </c>
      <c r="AI311" s="381">
        <v>0</v>
      </c>
      <c r="AJ311" s="381">
        <v>0</v>
      </c>
      <c r="AK311" s="381">
        <v>0</v>
      </c>
      <c r="AL311" s="381">
        <v>0</v>
      </c>
      <c r="AM311" s="381">
        <v>0</v>
      </c>
      <c r="AN311" s="381">
        <v>0</v>
      </c>
    </row>
    <row r="312" spans="1:40">
      <c r="A312" s="30" t="s">
        <v>474</v>
      </c>
      <c r="B312" t="s">
        <v>453</v>
      </c>
      <c r="C312" t="s">
        <v>407</v>
      </c>
      <c r="D312" t="str">
        <f t="shared" si="50"/>
        <v>SME - Landlord MEES – EPC CLess effective</v>
      </c>
      <c r="E312" s="381">
        <v>0</v>
      </c>
      <c r="F312" s="381">
        <v>0</v>
      </c>
      <c r="G312" s="381">
        <v>0</v>
      </c>
      <c r="H312" s="381">
        <v>0</v>
      </c>
      <c r="I312" s="381">
        <v>136.03422947547031</v>
      </c>
      <c r="J312" s="381">
        <v>272.06845895094062</v>
      </c>
      <c r="K312" s="381">
        <v>408.10268842641096</v>
      </c>
      <c r="L312" s="381">
        <v>544.13691790188125</v>
      </c>
      <c r="M312" s="381">
        <v>680.17114737735153</v>
      </c>
      <c r="N312" s="381">
        <v>816.20537685282193</v>
      </c>
      <c r="O312" s="381">
        <v>952.23960632829221</v>
      </c>
      <c r="P312" s="381">
        <v>952.23960632829221</v>
      </c>
      <c r="Q312" s="381">
        <v>952.23960632829221</v>
      </c>
      <c r="R312" s="381">
        <v>952.23960632829221</v>
      </c>
      <c r="S312" s="381">
        <v>952.23960632829221</v>
      </c>
      <c r="T312" s="381">
        <v>952.23960632829221</v>
      </c>
      <c r="U312" s="381">
        <v>761.79168506263375</v>
      </c>
      <c r="V312" s="381">
        <v>571.34376379697528</v>
      </c>
      <c r="W312" s="381">
        <v>380.89584253131693</v>
      </c>
      <c r="X312" s="381">
        <v>190.44792126565847</v>
      </c>
      <c r="Y312" s="381">
        <v>0</v>
      </c>
      <c r="Z312" s="381">
        <v>0</v>
      </c>
      <c r="AA312" s="381">
        <v>0</v>
      </c>
      <c r="AB312" s="381">
        <v>0</v>
      </c>
      <c r="AC312" s="381">
        <v>0</v>
      </c>
      <c r="AD312" s="381">
        <v>0</v>
      </c>
      <c r="AE312" s="381">
        <v>0</v>
      </c>
      <c r="AF312" s="381">
        <v>0</v>
      </c>
      <c r="AG312" s="381">
        <v>0</v>
      </c>
      <c r="AH312" s="381">
        <v>0</v>
      </c>
      <c r="AI312" s="381">
        <v>0</v>
      </c>
      <c r="AJ312" s="381">
        <v>0</v>
      </c>
      <c r="AK312" s="381">
        <v>0</v>
      </c>
      <c r="AL312" s="381">
        <v>0</v>
      </c>
      <c r="AM312" s="381">
        <v>0</v>
      </c>
      <c r="AN312" s="381">
        <v>0</v>
      </c>
    </row>
    <row r="313" spans="1:40">
      <c r="A313" s="30" t="s">
        <v>474</v>
      </c>
      <c r="B313" t="s">
        <v>453</v>
      </c>
      <c r="C313" t="s">
        <v>408</v>
      </c>
      <c r="D313" t="str">
        <f t="shared" si="50"/>
        <v>SME - Energy performance tax grading – business ratesLess effective</v>
      </c>
      <c r="E313" s="381">
        <v>0</v>
      </c>
      <c r="F313" s="381">
        <v>0</v>
      </c>
      <c r="G313" s="381">
        <v>0</v>
      </c>
      <c r="H313" s="381">
        <v>0</v>
      </c>
      <c r="I313" s="381">
        <v>0</v>
      </c>
      <c r="J313" s="381">
        <v>0</v>
      </c>
      <c r="K313" s="381">
        <v>0</v>
      </c>
      <c r="L313" s="381">
        <v>0</v>
      </c>
      <c r="M313" s="381">
        <v>0</v>
      </c>
      <c r="N313" s="381">
        <v>0</v>
      </c>
      <c r="O313" s="381">
        <v>0</v>
      </c>
      <c r="P313" s="381">
        <v>0</v>
      </c>
      <c r="Q313" s="381">
        <v>0</v>
      </c>
      <c r="R313" s="381">
        <v>0</v>
      </c>
      <c r="S313" s="381">
        <v>0</v>
      </c>
      <c r="T313" s="381">
        <v>0</v>
      </c>
      <c r="U313" s="381">
        <v>0</v>
      </c>
      <c r="V313" s="381">
        <v>0</v>
      </c>
      <c r="W313" s="381">
        <v>0</v>
      </c>
      <c r="X313" s="381">
        <v>0</v>
      </c>
      <c r="Y313" s="381">
        <v>0</v>
      </c>
      <c r="Z313" s="381">
        <v>0</v>
      </c>
      <c r="AA313" s="381">
        <v>0</v>
      </c>
      <c r="AB313" s="381">
        <v>0</v>
      </c>
      <c r="AC313" s="381">
        <v>0</v>
      </c>
      <c r="AD313" s="381">
        <v>0</v>
      </c>
      <c r="AE313" s="381">
        <v>0</v>
      </c>
      <c r="AF313" s="381">
        <v>0</v>
      </c>
      <c r="AG313" s="381">
        <v>0</v>
      </c>
      <c r="AH313" s="381">
        <v>0</v>
      </c>
      <c r="AI313" s="381">
        <v>0</v>
      </c>
      <c r="AJ313" s="381">
        <v>0</v>
      </c>
      <c r="AK313" s="381">
        <v>0</v>
      </c>
      <c r="AL313" s="381">
        <v>0</v>
      </c>
      <c r="AM313" s="381">
        <v>0</v>
      </c>
      <c r="AN313" s="381">
        <v>0</v>
      </c>
    </row>
    <row r="314" spans="1:40">
      <c r="A314" s="30" t="s">
        <v>474</v>
      </c>
      <c r="B314" t="s">
        <v>453</v>
      </c>
      <c r="C314" t="s">
        <v>409</v>
      </c>
      <c r="D314" t="str">
        <f t="shared" si="50"/>
        <v>SME - All buildings MEES – EPC CLess effective</v>
      </c>
      <c r="E314" s="80">
        <v>0</v>
      </c>
      <c r="F314" s="106">
        <v>0</v>
      </c>
      <c r="G314" s="106">
        <v>0</v>
      </c>
      <c r="H314" s="106">
        <v>0</v>
      </c>
      <c r="I314" s="106">
        <v>0</v>
      </c>
      <c r="J314" s="106">
        <v>0</v>
      </c>
      <c r="K314" s="106">
        <v>0</v>
      </c>
      <c r="L314" s="106">
        <v>0</v>
      </c>
      <c r="M314" s="106">
        <v>0</v>
      </c>
      <c r="N314" s="106">
        <v>0</v>
      </c>
      <c r="O314" s="80">
        <v>0</v>
      </c>
      <c r="P314" s="106">
        <v>8.6833347234102529</v>
      </c>
      <c r="Q314" s="106">
        <v>17.366669446820506</v>
      </c>
      <c r="R314" s="106">
        <v>26.050004170230757</v>
      </c>
      <c r="S314" s="106">
        <v>34.733338893641012</v>
      </c>
      <c r="T314" s="106">
        <v>34.733338893641012</v>
      </c>
      <c r="U314" s="106">
        <v>34.733338893641012</v>
      </c>
      <c r="V314" s="106">
        <v>34.733338893641012</v>
      </c>
      <c r="W314" s="106">
        <v>34.733338893641012</v>
      </c>
      <c r="X314" s="106">
        <v>34.733338893641012</v>
      </c>
      <c r="Y314" s="106">
        <v>0</v>
      </c>
      <c r="Z314" s="106">
        <v>0</v>
      </c>
      <c r="AA314" s="106">
        <v>0</v>
      </c>
      <c r="AB314" s="106">
        <v>0</v>
      </c>
      <c r="AC314" s="106">
        <v>0</v>
      </c>
      <c r="AD314" s="106">
        <v>0</v>
      </c>
      <c r="AE314" s="106">
        <v>0</v>
      </c>
      <c r="AF314" s="106">
        <v>0</v>
      </c>
      <c r="AG314" s="106">
        <v>0</v>
      </c>
      <c r="AH314" s="106">
        <v>0</v>
      </c>
      <c r="AI314" s="106">
        <v>0</v>
      </c>
      <c r="AJ314" s="106">
        <v>0</v>
      </c>
      <c r="AK314" s="106">
        <v>0</v>
      </c>
      <c r="AL314" s="106">
        <v>0</v>
      </c>
      <c r="AM314" s="106">
        <v>0</v>
      </c>
      <c r="AN314" s="80">
        <v>0</v>
      </c>
    </row>
    <row r="315" spans="1:40">
      <c r="A315" s="30" t="s">
        <v>474</v>
      </c>
      <c r="B315" t="s">
        <v>453</v>
      </c>
      <c r="C315" t="s">
        <v>410</v>
      </c>
      <c r="D315" t="str">
        <f t="shared" si="50"/>
        <v>Large Enterprise - Landlord MEES – EPC CLess effective</v>
      </c>
      <c r="E315" s="80">
        <v>0</v>
      </c>
      <c r="F315" s="106">
        <v>0</v>
      </c>
      <c r="G315" s="106">
        <v>0</v>
      </c>
      <c r="H315" s="106">
        <v>0</v>
      </c>
      <c r="I315" s="106">
        <v>158.12196878362533</v>
      </c>
      <c r="J315" s="106">
        <v>316.24393756725067</v>
      </c>
      <c r="K315" s="106">
        <v>474.365906350876</v>
      </c>
      <c r="L315" s="106">
        <v>632.48787513450134</v>
      </c>
      <c r="M315" s="106">
        <v>790.60984391812667</v>
      </c>
      <c r="N315" s="106">
        <v>948.73181270175201</v>
      </c>
      <c r="O315" s="80">
        <v>1106.8537814853773</v>
      </c>
      <c r="P315" s="106">
        <v>1106.8537814853773</v>
      </c>
      <c r="Q315" s="106">
        <v>1106.8537814853773</v>
      </c>
      <c r="R315" s="106">
        <v>1106.8537814853773</v>
      </c>
      <c r="S315" s="106">
        <v>1106.8537814853773</v>
      </c>
      <c r="T315" s="106">
        <v>1106.8537814853773</v>
      </c>
      <c r="U315" s="106">
        <v>885.48302518830189</v>
      </c>
      <c r="V315" s="106">
        <v>664.11226889122645</v>
      </c>
      <c r="W315" s="106">
        <v>442.74151259415089</v>
      </c>
      <c r="X315" s="106">
        <v>221.37075629707545</v>
      </c>
      <c r="Y315" s="106">
        <v>0</v>
      </c>
      <c r="Z315" s="106">
        <v>0</v>
      </c>
      <c r="AA315" s="106">
        <v>0</v>
      </c>
      <c r="AB315" s="106">
        <v>0</v>
      </c>
      <c r="AC315" s="106">
        <v>0</v>
      </c>
      <c r="AD315" s="106">
        <v>0</v>
      </c>
      <c r="AE315" s="106">
        <v>0</v>
      </c>
      <c r="AF315" s="106">
        <v>0</v>
      </c>
      <c r="AG315" s="106">
        <v>0</v>
      </c>
      <c r="AH315" s="106">
        <v>0</v>
      </c>
      <c r="AI315" s="106">
        <v>0</v>
      </c>
      <c r="AJ315" s="106">
        <v>0</v>
      </c>
      <c r="AK315" s="106">
        <v>0</v>
      </c>
      <c r="AL315" s="106">
        <v>0</v>
      </c>
      <c r="AM315" s="106">
        <v>0</v>
      </c>
      <c r="AN315" s="80">
        <v>0</v>
      </c>
    </row>
    <row r="316" spans="1:40">
      <c r="A316" s="30" t="s">
        <v>474</v>
      </c>
      <c r="B316" t="s">
        <v>453</v>
      </c>
      <c r="C316" t="s">
        <v>411</v>
      </c>
      <c r="D316" t="str">
        <f t="shared" si="50"/>
        <v>Large Enterprise - Energy performance tax grading – business ratesLess effective</v>
      </c>
      <c r="E316" s="381">
        <v>0</v>
      </c>
      <c r="F316" s="381">
        <v>0</v>
      </c>
      <c r="G316" s="381">
        <v>0</v>
      </c>
      <c r="H316" s="381">
        <v>0</v>
      </c>
      <c r="I316" s="381">
        <v>0</v>
      </c>
      <c r="J316" s="381">
        <v>0</v>
      </c>
      <c r="K316" s="381">
        <v>0</v>
      </c>
      <c r="L316" s="381">
        <v>0</v>
      </c>
      <c r="M316" s="381">
        <v>0</v>
      </c>
      <c r="N316" s="381">
        <v>0</v>
      </c>
      <c r="O316" s="381">
        <v>0</v>
      </c>
      <c r="P316" s="381">
        <v>0</v>
      </c>
      <c r="Q316" s="381">
        <v>0</v>
      </c>
      <c r="R316" s="381">
        <v>0</v>
      </c>
      <c r="S316" s="381">
        <v>0</v>
      </c>
      <c r="T316" s="381">
        <v>0</v>
      </c>
      <c r="U316" s="381">
        <v>0</v>
      </c>
      <c r="V316" s="381">
        <v>0</v>
      </c>
      <c r="W316" s="381">
        <v>0</v>
      </c>
      <c r="X316" s="381">
        <v>0</v>
      </c>
      <c r="Y316" s="381">
        <v>0</v>
      </c>
      <c r="Z316" s="381">
        <v>0</v>
      </c>
      <c r="AA316" s="381">
        <v>0</v>
      </c>
      <c r="AB316" s="381">
        <v>0</v>
      </c>
      <c r="AC316" s="381">
        <v>0</v>
      </c>
      <c r="AD316" s="381">
        <v>0</v>
      </c>
      <c r="AE316" s="381">
        <v>0</v>
      </c>
      <c r="AF316" s="381">
        <v>0</v>
      </c>
      <c r="AG316" s="381">
        <v>0</v>
      </c>
      <c r="AH316" s="381">
        <v>0</v>
      </c>
      <c r="AI316" s="381">
        <v>0</v>
      </c>
      <c r="AJ316" s="381">
        <v>0</v>
      </c>
      <c r="AK316" s="381">
        <v>0</v>
      </c>
      <c r="AL316" s="381">
        <v>0</v>
      </c>
      <c r="AM316" s="381">
        <v>0</v>
      </c>
      <c r="AN316" s="381">
        <v>0</v>
      </c>
    </row>
    <row r="317" spans="1:40">
      <c r="A317" s="30" t="s">
        <v>474</v>
      </c>
      <c r="B317" t="s">
        <v>453</v>
      </c>
      <c r="C317" t="s">
        <v>412</v>
      </c>
      <c r="D317" t="str">
        <f t="shared" si="50"/>
        <v>Large Enterprise - All buildings MEES – EPC CLess effective</v>
      </c>
      <c r="E317" s="381">
        <v>0</v>
      </c>
      <c r="F317" s="381">
        <v>0</v>
      </c>
      <c r="G317" s="381">
        <v>0</v>
      </c>
      <c r="H317" s="381">
        <v>0</v>
      </c>
      <c r="I317" s="381">
        <v>0</v>
      </c>
      <c r="J317" s="381">
        <v>0</v>
      </c>
      <c r="K317" s="381">
        <v>0</v>
      </c>
      <c r="L317" s="381">
        <v>0</v>
      </c>
      <c r="M317" s="381">
        <v>0</v>
      </c>
      <c r="N317" s="381">
        <v>0</v>
      </c>
      <c r="O317" s="381">
        <v>0</v>
      </c>
      <c r="P317" s="381">
        <v>80.241487093609379</v>
      </c>
      <c r="Q317" s="381">
        <v>160.48297418721876</v>
      </c>
      <c r="R317" s="381">
        <v>240.72446128082814</v>
      </c>
      <c r="S317" s="381">
        <v>320.96594837443752</v>
      </c>
      <c r="T317" s="381">
        <v>320.96594837443752</v>
      </c>
      <c r="U317" s="381">
        <v>320.96594837443752</v>
      </c>
      <c r="V317" s="381">
        <v>320.96594837443752</v>
      </c>
      <c r="W317" s="381">
        <v>320.96594837443752</v>
      </c>
      <c r="X317" s="381">
        <v>320.96594837443752</v>
      </c>
      <c r="Y317" s="381">
        <v>0</v>
      </c>
      <c r="Z317" s="381">
        <v>0</v>
      </c>
      <c r="AA317" s="381">
        <v>0</v>
      </c>
      <c r="AB317" s="381">
        <v>0</v>
      </c>
      <c r="AC317" s="381">
        <v>0</v>
      </c>
      <c r="AD317" s="381">
        <v>0</v>
      </c>
      <c r="AE317" s="381">
        <v>0</v>
      </c>
      <c r="AF317" s="381">
        <v>0</v>
      </c>
      <c r="AG317" s="381">
        <v>0</v>
      </c>
      <c r="AH317" s="381">
        <v>0</v>
      </c>
      <c r="AI317" s="381">
        <v>0</v>
      </c>
      <c r="AJ317" s="381">
        <v>0</v>
      </c>
      <c r="AK317" s="381">
        <v>0</v>
      </c>
      <c r="AL317" s="381">
        <v>0</v>
      </c>
      <c r="AM317" s="381">
        <v>0</v>
      </c>
      <c r="AN317" s="381">
        <v>0</v>
      </c>
    </row>
    <row r="318" spans="1:40">
      <c r="A318" s="30" t="s">
        <v>474</v>
      </c>
      <c r="B318" t="s">
        <v>453</v>
      </c>
      <c r="C318" t="s">
        <v>413</v>
      </c>
      <c r="D318" t="str">
        <f t="shared" si="50"/>
        <v>Public - Extended RE:FITLess effective</v>
      </c>
      <c r="E318" s="381">
        <v>0</v>
      </c>
      <c r="F318" s="381">
        <v>0</v>
      </c>
      <c r="G318" s="381">
        <v>0</v>
      </c>
      <c r="H318" s="381">
        <v>0</v>
      </c>
      <c r="I318" s="381">
        <v>0</v>
      </c>
      <c r="J318" s="381">
        <v>0</v>
      </c>
      <c r="K318" s="381">
        <v>0</v>
      </c>
      <c r="L318" s="381">
        <v>0</v>
      </c>
      <c r="M318" s="381">
        <v>0</v>
      </c>
      <c r="N318" s="381">
        <v>0</v>
      </c>
      <c r="O318" s="381">
        <v>0</v>
      </c>
      <c r="P318" s="381">
        <v>0</v>
      </c>
      <c r="Q318" s="381">
        <v>0</v>
      </c>
      <c r="R318" s="381">
        <v>0</v>
      </c>
      <c r="S318" s="381">
        <v>0</v>
      </c>
      <c r="T318" s="381">
        <v>0</v>
      </c>
      <c r="U318" s="381">
        <v>0</v>
      </c>
      <c r="V318" s="381">
        <v>0</v>
      </c>
      <c r="W318" s="381">
        <v>0</v>
      </c>
      <c r="X318" s="381">
        <v>0</v>
      </c>
      <c r="Y318" s="381">
        <v>0</v>
      </c>
      <c r="Z318" s="381">
        <v>0</v>
      </c>
      <c r="AA318" s="381">
        <v>0</v>
      </c>
      <c r="AB318" s="381">
        <v>0</v>
      </c>
      <c r="AC318" s="381">
        <v>0</v>
      </c>
      <c r="AD318" s="381">
        <v>0</v>
      </c>
      <c r="AE318" s="381">
        <v>0</v>
      </c>
      <c r="AF318" s="381">
        <v>0</v>
      </c>
      <c r="AG318" s="381">
        <v>0</v>
      </c>
      <c r="AH318" s="381">
        <v>0</v>
      </c>
      <c r="AI318" s="381">
        <v>0</v>
      </c>
      <c r="AJ318" s="381">
        <v>0</v>
      </c>
      <c r="AK318" s="381">
        <v>0</v>
      </c>
      <c r="AL318" s="381">
        <v>0</v>
      </c>
      <c r="AM318" s="381">
        <v>0</v>
      </c>
      <c r="AN318" s="381">
        <v>0</v>
      </c>
    </row>
    <row r="319" spans="1:40">
      <c r="A319" s="30" t="s">
        <v>474</v>
      </c>
      <c r="B319" t="s">
        <v>453</v>
      </c>
      <c r="C319" t="s">
        <v>414</v>
      </c>
      <c r="D319" t="str">
        <f t="shared" si="50"/>
        <v>Public - All buildings MEES – EPC CLess effective</v>
      </c>
      <c r="E319" s="381">
        <v>0</v>
      </c>
      <c r="F319" s="381">
        <v>0</v>
      </c>
      <c r="G319" s="381">
        <v>0</v>
      </c>
      <c r="H319" s="381">
        <v>0</v>
      </c>
      <c r="I319" s="381">
        <v>0</v>
      </c>
      <c r="J319" s="381">
        <v>0</v>
      </c>
      <c r="K319" s="381">
        <v>99.542123039476465</v>
      </c>
      <c r="L319" s="381">
        <v>199.08424607895293</v>
      </c>
      <c r="M319" s="381">
        <v>298.62636911842935</v>
      </c>
      <c r="N319" s="381">
        <v>398.16849215790586</v>
      </c>
      <c r="O319" s="381">
        <v>497.71061519738231</v>
      </c>
      <c r="P319" s="381">
        <v>597.2527382368587</v>
      </c>
      <c r="Q319" s="381">
        <v>696.79486127633527</v>
      </c>
      <c r="R319" s="381">
        <v>796.33698431581172</v>
      </c>
      <c r="S319" s="381">
        <v>895.87910735528817</v>
      </c>
      <c r="T319" s="381">
        <v>895.87910735528817</v>
      </c>
      <c r="U319" s="381">
        <v>716.70328588423058</v>
      </c>
      <c r="V319" s="381">
        <v>537.52746441317288</v>
      </c>
      <c r="W319" s="381">
        <v>358.35164294211529</v>
      </c>
      <c r="X319" s="381">
        <v>179.17582147105767</v>
      </c>
      <c r="Y319" s="381">
        <v>5.6843418860808015E-14</v>
      </c>
      <c r="Z319" s="381">
        <v>0</v>
      </c>
      <c r="AA319" s="381">
        <v>0</v>
      </c>
      <c r="AB319" s="381">
        <v>0</v>
      </c>
      <c r="AC319" s="381">
        <v>0</v>
      </c>
      <c r="AD319" s="381">
        <v>0</v>
      </c>
      <c r="AE319" s="381">
        <v>0</v>
      </c>
      <c r="AF319" s="381">
        <v>0</v>
      </c>
      <c r="AG319" s="381">
        <v>0</v>
      </c>
      <c r="AH319" s="381">
        <v>0</v>
      </c>
      <c r="AI319" s="381">
        <v>0</v>
      </c>
      <c r="AJ319" s="381">
        <v>0</v>
      </c>
      <c r="AK319" s="381">
        <v>0</v>
      </c>
      <c r="AL319" s="381">
        <v>0</v>
      </c>
      <c r="AM319" s="381">
        <v>0</v>
      </c>
      <c r="AN319" s="381">
        <v>0</v>
      </c>
    </row>
    <row r="320" spans="1:40">
      <c r="A320" s="30" t="s">
        <v>474</v>
      </c>
      <c r="B320" t="s">
        <v>453</v>
      </c>
      <c r="C320" t="s">
        <v>454</v>
      </c>
      <c r="D320" t="str">
        <f t="shared" si="50"/>
        <v>Existing - Non-domestic ALL - Mandate on lighting efficiencyLess effective</v>
      </c>
      <c r="E320" s="381"/>
      <c r="F320" s="381"/>
      <c r="G320" s="381"/>
      <c r="H320" s="381"/>
      <c r="I320" s="381"/>
      <c r="J320" s="381"/>
      <c r="K320" s="381"/>
      <c r="L320" s="381"/>
      <c r="M320" s="381"/>
      <c r="N320" s="381"/>
      <c r="O320" s="381"/>
      <c r="P320" s="381"/>
      <c r="Q320" s="381"/>
      <c r="R320" s="381"/>
      <c r="S320" s="381"/>
      <c r="T320" s="381"/>
      <c r="U320" s="381"/>
      <c r="V320" s="381"/>
      <c r="W320" s="381"/>
      <c r="X320" s="381"/>
      <c r="Y320" s="381"/>
      <c r="Z320" s="381"/>
      <c r="AA320" s="381"/>
      <c r="AB320" s="381"/>
      <c r="AC320" s="381"/>
      <c r="AD320" s="381"/>
      <c r="AE320" s="381"/>
      <c r="AF320" s="381"/>
      <c r="AG320" s="381"/>
      <c r="AH320" s="381"/>
      <c r="AI320" s="381"/>
      <c r="AJ320" s="381"/>
      <c r="AK320" s="381"/>
      <c r="AL320" s="381"/>
      <c r="AM320" s="381"/>
      <c r="AN320" s="381"/>
    </row>
    <row r="321" spans="1:40">
      <c r="A321" s="30" t="s">
        <v>474</v>
      </c>
      <c r="B321" t="s">
        <v>453</v>
      </c>
      <c r="C321" t="s">
        <v>455</v>
      </c>
      <c r="D321" t="str">
        <f t="shared" si="50"/>
        <v>Existing -Non-domestic ALL - Mandate on appliance efficiencyLess effective</v>
      </c>
      <c r="E321" s="381"/>
      <c r="F321" s="381"/>
      <c r="G321" s="381"/>
      <c r="H321" s="381"/>
      <c r="I321" s="381"/>
      <c r="J321" s="381"/>
      <c r="K321" s="381"/>
      <c r="L321" s="381"/>
      <c r="M321" s="381"/>
      <c r="N321" s="381"/>
      <c r="O321" s="381"/>
      <c r="P321" s="381"/>
      <c r="Q321" s="381"/>
      <c r="R321" s="381"/>
      <c r="S321" s="381"/>
      <c r="T321" s="381"/>
      <c r="U321" s="381"/>
      <c r="V321" s="381"/>
      <c r="W321" s="381"/>
      <c r="X321" s="381"/>
      <c r="Y321" s="381"/>
      <c r="Z321" s="381"/>
      <c r="AA321" s="381"/>
      <c r="AB321" s="381"/>
      <c r="AC321" s="381"/>
      <c r="AD321" s="381"/>
      <c r="AE321" s="381"/>
      <c r="AF321" s="381"/>
      <c r="AG321" s="381"/>
      <c r="AH321" s="381"/>
      <c r="AI321" s="381"/>
      <c r="AJ321" s="381"/>
      <c r="AK321" s="381"/>
      <c r="AL321" s="381"/>
      <c r="AM321" s="381"/>
      <c r="AN321" s="381"/>
    </row>
    <row r="322" spans="1:40">
      <c r="A322" s="30" t="s">
        <v>474</v>
      </c>
      <c r="B322" t="s">
        <v>453</v>
      </c>
      <c r="C322" t="s">
        <v>456</v>
      </c>
      <c r="D322" t="str">
        <f t="shared" si="50"/>
        <v>New - Non-domestic ALL - Mandate on lighting efficiencyLess effective</v>
      </c>
      <c r="E322" s="80">
        <v>0</v>
      </c>
      <c r="F322" s="106">
        <v>2118.2925687096749</v>
      </c>
      <c r="G322" s="106">
        <v>2118.2925687096749</v>
      </c>
      <c r="H322" s="106">
        <v>2118.2925687096745</v>
      </c>
      <c r="I322" s="106">
        <v>7070.6857149806028</v>
      </c>
      <c r="J322" s="106">
        <v>12023.078861251532</v>
      </c>
      <c r="K322" s="106">
        <v>16975.472007522458</v>
      </c>
      <c r="L322" s="106">
        <v>21927.865153793387</v>
      </c>
      <c r="M322" s="106">
        <v>26880.258300064317</v>
      </c>
      <c r="N322" s="106">
        <v>31832.651446335243</v>
      </c>
      <c r="O322" s="80">
        <v>36785.044592606173</v>
      </c>
      <c r="P322" s="106">
        <v>36221.949305227179</v>
      </c>
      <c r="Q322" s="106">
        <v>1555.1972813306793</v>
      </c>
      <c r="R322" s="106">
        <v>1555.1972813306788</v>
      </c>
      <c r="S322" s="106">
        <v>1555.1972813306793</v>
      </c>
      <c r="T322" s="106">
        <v>1555.1972813306793</v>
      </c>
      <c r="U322" s="106">
        <v>1555.1972813306793</v>
      </c>
      <c r="V322" s="106">
        <v>1555.1972813306797</v>
      </c>
      <c r="W322" s="106">
        <v>1555.1972813306797</v>
      </c>
      <c r="X322" s="106">
        <v>1555.1972813306797</v>
      </c>
      <c r="Y322" s="106">
        <v>1555.1972813306797</v>
      </c>
      <c r="Z322" s="106">
        <v>1555.1972813306797</v>
      </c>
      <c r="AA322" s="106">
        <v>1555.1972813306797</v>
      </c>
      <c r="AB322" s="106">
        <v>1555.1972813306797</v>
      </c>
      <c r="AC322" s="106">
        <v>1555.1972813306786</v>
      </c>
      <c r="AD322" s="106">
        <v>1555.1972813306786</v>
      </c>
      <c r="AE322" s="106">
        <v>1555.1972813306786</v>
      </c>
      <c r="AF322" s="106">
        <v>1555.1972813306807</v>
      </c>
      <c r="AG322" s="106">
        <v>1555.1972813306797</v>
      </c>
      <c r="AH322" s="106">
        <v>1555.1972813306797</v>
      </c>
      <c r="AI322" s="106">
        <v>1555.1972813306797</v>
      </c>
      <c r="AJ322" s="106">
        <v>1555.1972813306797</v>
      </c>
      <c r="AK322" s="106">
        <v>1555.1972813306797</v>
      </c>
      <c r="AL322" s="106">
        <v>1555.1972813306797</v>
      </c>
      <c r="AM322" s="106">
        <v>1555.1972813306797</v>
      </c>
      <c r="AN322" s="80">
        <v>1555.1972813306734</v>
      </c>
    </row>
    <row r="323" spans="1:40">
      <c r="A323" s="30" t="s">
        <v>474</v>
      </c>
      <c r="B323" t="s">
        <v>453</v>
      </c>
      <c r="C323" t="s">
        <v>457</v>
      </c>
      <c r="D323" t="str">
        <f t="shared" si="50"/>
        <v>New -Non-domestic ALL - Mandate on appliance efficiencyLess effective</v>
      </c>
      <c r="E323" s="80">
        <v>0</v>
      </c>
      <c r="F323" s="106">
        <v>2118.2925687096749</v>
      </c>
      <c r="G323" s="106">
        <v>2118.2925687096749</v>
      </c>
      <c r="H323" s="106">
        <v>2118.2925687096745</v>
      </c>
      <c r="I323" s="106">
        <v>3188.2540509287028</v>
      </c>
      <c r="J323" s="106">
        <v>4258.2155331477297</v>
      </c>
      <c r="K323" s="106">
        <v>5328.1770153667576</v>
      </c>
      <c r="L323" s="106">
        <v>6398.1384975857854</v>
      </c>
      <c r="M323" s="106">
        <v>7468.0999798048124</v>
      </c>
      <c r="N323" s="106">
        <v>8538.0614620238393</v>
      </c>
      <c r="O323" s="80">
        <v>9608.0229442428681</v>
      </c>
      <c r="P323" s="106">
        <v>10114.889139082901</v>
      </c>
      <c r="Q323" s="106">
        <v>11184.850621301928</v>
      </c>
      <c r="R323" s="106">
        <v>12254.812103520955</v>
      </c>
      <c r="S323" s="106">
        <v>13324.773585739982</v>
      </c>
      <c r="T323" s="106">
        <v>14394.735067959013</v>
      </c>
      <c r="U323" s="106">
        <v>13538.76588218379</v>
      </c>
      <c r="V323" s="106">
        <v>12682.796696408566</v>
      </c>
      <c r="W323" s="106">
        <v>11826.827510633344</v>
      </c>
      <c r="X323" s="106">
        <v>10970.858324858125</v>
      </c>
      <c r="Y323" s="106">
        <v>10114.889139082901</v>
      </c>
      <c r="Z323" s="106">
        <v>9258.919953307679</v>
      </c>
      <c r="AA323" s="106">
        <v>8402.9507675324567</v>
      </c>
      <c r="AB323" s="106">
        <v>7546.9815817572344</v>
      </c>
      <c r="AC323" s="106">
        <v>6691.0123959820103</v>
      </c>
      <c r="AD323" s="106">
        <v>5835.0432102067889</v>
      </c>
      <c r="AE323" s="106">
        <v>4979.0740244315666</v>
      </c>
      <c r="AF323" s="106">
        <v>4123.1048386563461</v>
      </c>
      <c r="AG323" s="106">
        <v>3267.1356528811239</v>
      </c>
      <c r="AH323" s="106">
        <v>2411.1664671059016</v>
      </c>
      <c r="AI323" s="106">
        <v>1555.1972813306797</v>
      </c>
      <c r="AJ323" s="106">
        <v>1555.1972813306797</v>
      </c>
      <c r="AK323" s="106">
        <v>1555.1972813306797</v>
      </c>
      <c r="AL323" s="106">
        <v>1555.1972813306797</v>
      </c>
      <c r="AM323" s="106">
        <v>1555.1972813306797</v>
      </c>
      <c r="AN323" s="80">
        <v>1555.1972813306734</v>
      </c>
    </row>
    <row r="324" spans="1:40">
      <c r="A324" s="30" t="s">
        <v>474</v>
      </c>
      <c r="B324" t="s">
        <v>453</v>
      </c>
      <c r="C324" t="s">
        <v>458</v>
      </c>
      <c r="D324" t="str">
        <f t="shared" si="50"/>
        <v>New -Non-domestic ALL - Stronger planning requirement for smart controlsLess effective</v>
      </c>
      <c r="E324" s="80">
        <v>0</v>
      </c>
      <c r="F324" s="106">
        <v>781.33742288471603</v>
      </c>
      <c r="G324" s="106">
        <v>781.33742288471603</v>
      </c>
      <c r="H324" s="106">
        <v>781.33742288471603</v>
      </c>
      <c r="I324" s="106">
        <v>781.33742288471603</v>
      </c>
      <c r="J324" s="106">
        <v>781.33742288471603</v>
      </c>
      <c r="K324" s="106">
        <v>781.33742288471603</v>
      </c>
      <c r="L324" s="106">
        <v>781.33742288471626</v>
      </c>
      <c r="M324" s="106">
        <v>781.33742288471603</v>
      </c>
      <c r="N324" s="106">
        <v>781.33742288471603</v>
      </c>
      <c r="O324" s="80">
        <v>781.33742288471603</v>
      </c>
      <c r="P324" s="106">
        <v>573.63834147443094</v>
      </c>
      <c r="Q324" s="106">
        <v>573.63834147443094</v>
      </c>
      <c r="R324" s="106">
        <v>573.63834147443072</v>
      </c>
      <c r="S324" s="106">
        <v>573.63834147443094</v>
      </c>
      <c r="T324" s="106">
        <v>573.63834147443094</v>
      </c>
      <c r="U324" s="106">
        <v>573.63834147443094</v>
      </c>
      <c r="V324" s="106">
        <v>573.63834147443106</v>
      </c>
      <c r="W324" s="106">
        <v>573.63834147443106</v>
      </c>
      <c r="X324" s="106">
        <v>573.63834147443106</v>
      </c>
      <c r="Y324" s="106">
        <v>573.63834147443106</v>
      </c>
      <c r="Z324" s="106">
        <v>573.63834147443106</v>
      </c>
      <c r="AA324" s="106">
        <v>573.63834147443106</v>
      </c>
      <c r="AB324" s="106">
        <v>573.63834147443106</v>
      </c>
      <c r="AC324" s="106">
        <v>573.63834147443072</v>
      </c>
      <c r="AD324" s="106">
        <v>573.63834147443072</v>
      </c>
      <c r="AE324" s="106">
        <v>573.63834147443072</v>
      </c>
      <c r="AF324" s="106">
        <v>573.6383414744314</v>
      </c>
      <c r="AG324" s="106">
        <v>573.63834147443106</v>
      </c>
      <c r="AH324" s="106">
        <v>573.63834147443106</v>
      </c>
      <c r="AI324" s="106">
        <v>573.63834147443106</v>
      </c>
      <c r="AJ324" s="106">
        <v>573.63834147443106</v>
      </c>
      <c r="AK324" s="106">
        <v>573.63834147443106</v>
      </c>
      <c r="AL324" s="106">
        <v>573.63834147443106</v>
      </c>
      <c r="AM324" s="106">
        <v>573.63834147443106</v>
      </c>
      <c r="AN324" s="80">
        <v>573.63834147442867</v>
      </c>
    </row>
    <row r="325" spans="1:40">
      <c r="A325" s="30" t="s">
        <v>474</v>
      </c>
      <c r="B325" t="s">
        <v>459</v>
      </c>
      <c r="C325" t="s">
        <v>460</v>
      </c>
      <c r="D325" t="str">
        <f t="shared" si="50"/>
        <v>Extended Mayoral ProgramsDomestic CAPEXLess effective</v>
      </c>
      <c r="E325" s="381">
        <v>0</v>
      </c>
      <c r="F325" s="381">
        <v>0</v>
      </c>
      <c r="G325" s="381">
        <v>0</v>
      </c>
      <c r="H325" s="381">
        <v>0</v>
      </c>
      <c r="I325" s="381">
        <v>0</v>
      </c>
      <c r="J325" s="381">
        <v>0</v>
      </c>
      <c r="K325" s="381">
        <v>0</v>
      </c>
      <c r="L325" s="381">
        <v>0</v>
      </c>
      <c r="M325" s="381">
        <v>0</v>
      </c>
      <c r="N325" s="381">
        <v>0</v>
      </c>
      <c r="O325" s="381">
        <v>15961151.331988668</v>
      </c>
      <c r="P325" s="381">
        <v>31344182.222031288</v>
      </c>
      <c r="Q325" s="381">
        <v>46149092.670127869</v>
      </c>
      <c r="R325" s="381">
        <v>60375882.676278383</v>
      </c>
      <c r="S325" s="381">
        <v>74024552.240482882</v>
      </c>
      <c r="T325" s="381">
        <v>87095101.362741321</v>
      </c>
      <c r="U325" s="381">
        <v>101610951.58986485</v>
      </c>
      <c r="V325" s="381">
        <v>116126801.81698841</v>
      </c>
      <c r="W325" s="381">
        <v>130642652.04411198</v>
      </c>
      <c r="X325" s="381">
        <v>145158502.27123553</v>
      </c>
      <c r="Y325" s="381">
        <v>145158502.27123553</v>
      </c>
      <c r="Z325" s="381">
        <v>145158502.27123553</v>
      </c>
      <c r="AA325" s="381">
        <v>145158502.27123553</v>
      </c>
      <c r="AB325" s="381">
        <v>0</v>
      </c>
      <c r="AC325" s="381">
        <v>0</v>
      </c>
      <c r="AD325" s="381">
        <v>0</v>
      </c>
      <c r="AE325" s="381">
        <v>0</v>
      </c>
      <c r="AF325" s="381">
        <v>0</v>
      </c>
      <c r="AG325" s="381">
        <v>0</v>
      </c>
      <c r="AH325" s="381">
        <v>0</v>
      </c>
      <c r="AI325" s="381">
        <v>0</v>
      </c>
      <c r="AJ325" s="381">
        <v>0</v>
      </c>
      <c r="AK325" s="381">
        <v>0</v>
      </c>
      <c r="AL325" s="381">
        <v>0</v>
      </c>
      <c r="AM325" s="381">
        <v>0</v>
      </c>
      <c r="AN325" s="381">
        <v>0</v>
      </c>
    </row>
    <row r="326" spans="1:40">
      <c r="A326" s="30" t="s">
        <v>474</v>
      </c>
      <c r="B326" t="s">
        <v>459</v>
      </c>
      <c r="C326" t="s">
        <v>461</v>
      </c>
      <c r="D326" t="str">
        <f t="shared" si="50"/>
        <v>MEESDomestic CAPEXLess effective</v>
      </c>
      <c r="E326" s="381">
        <v>0</v>
      </c>
      <c r="F326" s="381">
        <v>0</v>
      </c>
      <c r="G326" s="381">
        <v>0</v>
      </c>
      <c r="H326" s="381">
        <v>0</v>
      </c>
      <c r="I326" s="381">
        <v>13589068.822124153</v>
      </c>
      <c r="J326" s="381">
        <v>26734176.588980049</v>
      </c>
      <c r="K326" s="381">
        <v>71487119.228308067</v>
      </c>
      <c r="L326" s="381">
        <v>114713587.88088763</v>
      </c>
      <c r="M326" s="381">
        <v>156413582.54671869</v>
      </c>
      <c r="N326" s="381">
        <v>196587103.22580129</v>
      </c>
      <c r="O326" s="381">
        <v>235234149.9181354</v>
      </c>
      <c r="P326" s="381">
        <v>272354722.623721</v>
      </c>
      <c r="Q326" s="381">
        <v>307948821.34255815</v>
      </c>
      <c r="R326" s="381">
        <v>342016446.07464677</v>
      </c>
      <c r="S326" s="381">
        <v>374557596.819987</v>
      </c>
      <c r="T326" s="381">
        <v>367244502.82435066</v>
      </c>
      <c r="U326" s="381">
        <v>192111792.85304028</v>
      </c>
      <c r="V326" s="381">
        <v>145356081.88825846</v>
      </c>
      <c r="W326" s="381">
        <v>98600370.923476622</v>
      </c>
      <c r="X326" s="381">
        <v>51844659.958694801</v>
      </c>
      <c r="Y326" s="381">
        <v>1.5686964616179466E-9</v>
      </c>
      <c r="Z326" s="381">
        <v>0</v>
      </c>
      <c r="AA326" s="381">
        <v>0</v>
      </c>
      <c r="AB326" s="381">
        <v>0</v>
      </c>
      <c r="AC326" s="381">
        <v>0</v>
      </c>
      <c r="AD326" s="381">
        <v>0</v>
      </c>
      <c r="AE326" s="381">
        <v>0</v>
      </c>
      <c r="AF326" s="381">
        <v>0</v>
      </c>
      <c r="AG326" s="381">
        <v>0</v>
      </c>
      <c r="AH326" s="381">
        <v>0</v>
      </c>
      <c r="AI326" s="381">
        <v>0</v>
      </c>
      <c r="AJ326" s="381">
        <v>0</v>
      </c>
      <c r="AK326" s="381">
        <v>0</v>
      </c>
      <c r="AL326" s="381">
        <v>0</v>
      </c>
      <c r="AM326" s="381">
        <v>0</v>
      </c>
      <c r="AN326" s="381">
        <v>0</v>
      </c>
    </row>
    <row r="327" spans="1:40">
      <c r="A327" s="30" t="s">
        <v>474</v>
      </c>
      <c r="B327" t="s">
        <v>459</v>
      </c>
      <c r="C327" t="s">
        <v>462</v>
      </c>
      <c r="D327" t="str">
        <f t="shared" si="50"/>
        <v>Tax mechanismsDomestic CAPEXLess effective</v>
      </c>
      <c r="E327" s="381">
        <v>0</v>
      </c>
      <c r="F327" s="381">
        <v>0</v>
      </c>
      <c r="G327" s="381">
        <v>0</v>
      </c>
      <c r="H327" s="381">
        <v>0</v>
      </c>
      <c r="I327" s="381">
        <v>0</v>
      </c>
      <c r="J327" s="381">
        <v>0</v>
      </c>
      <c r="K327" s="381">
        <v>0</v>
      </c>
      <c r="L327" s="381">
        <v>0</v>
      </c>
      <c r="M327" s="381">
        <v>0</v>
      </c>
      <c r="N327" s="381">
        <v>0</v>
      </c>
      <c r="O327" s="381">
        <v>0</v>
      </c>
      <c r="P327" s="381">
        <v>0</v>
      </c>
      <c r="Q327" s="381">
        <v>0</v>
      </c>
      <c r="R327" s="381">
        <v>0</v>
      </c>
      <c r="S327" s="381">
        <v>0</v>
      </c>
      <c r="T327" s="381">
        <v>0</v>
      </c>
      <c r="U327" s="381">
        <v>0</v>
      </c>
      <c r="V327" s="381">
        <v>0</v>
      </c>
      <c r="W327" s="381">
        <v>0</v>
      </c>
      <c r="X327" s="381">
        <v>0</v>
      </c>
      <c r="Y327" s="381">
        <v>0</v>
      </c>
      <c r="Z327" s="381">
        <v>0</v>
      </c>
      <c r="AA327" s="381">
        <v>0</v>
      </c>
      <c r="AB327" s="381">
        <v>0</v>
      </c>
      <c r="AC327" s="381">
        <v>0</v>
      </c>
      <c r="AD327" s="381">
        <v>0</v>
      </c>
      <c r="AE327" s="381">
        <v>0</v>
      </c>
      <c r="AF327" s="381">
        <v>0</v>
      </c>
      <c r="AG327" s="381">
        <v>0</v>
      </c>
      <c r="AH327" s="381">
        <v>0</v>
      </c>
      <c r="AI327" s="381">
        <v>0</v>
      </c>
      <c r="AJ327" s="381">
        <v>0</v>
      </c>
      <c r="AK327" s="381">
        <v>0</v>
      </c>
      <c r="AL327" s="381">
        <v>0</v>
      </c>
      <c r="AM327" s="381">
        <v>0</v>
      </c>
      <c r="AN327" s="381">
        <v>0</v>
      </c>
    </row>
    <row r="328" spans="1:40">
      <c r="A328" s="30" t="s">
        <v>474</v>
      </c>
      <c r="B328" t="s">
        <v>459</v>
      </c>
      <c r="C328" t="s">
        <v>463</v>
      </c>
      <c r="D328" t="str">
        <f t="shared" si="50"/>
        <v>Planning requirementsDomestic CAPEXLess effective</v>
      </c>
      <c r="E328" s="381">
        <v>0</v>
      </c>
      <c r="F328" s="381">
        <v>15237075.175872682</v>
      </c>
      <c r="G328" s="381">
        <v>14999801.83190175</v>
      </c>
      <c r="H328" s="381">
        <v>14762528.48793081</v>
      </c>
      <c r="I328" s="381">
        <v>14525255.143959876</v>
      </c>
      <c r="J328" s="381">
        <v>57227656.666460574</v>
      </c>
      <c r="K328" s="381">
        <v>54118028.493305139</v>
      </c>
      <c r="L328" s="381">
        <v>53204141.081156813</v>
      </c>
      <c r="M328" s="381">
        <v>52290253.669008501</v>
      </c>
      <c r="N328" s="381">
        <v>51376366.256860167</v>
      </c>
      <c r="O328" s="381">
        <v>50462478.844711937</v>
      </c>
      <c r="P328" s="381">
        <v>47475124.053768866</v>
      </c>
      <c r="Q328" s="381">
        <v>46599480.225992866</v>
      </c>
      <c r="R328" s="381">
        <v>8488782.5970381647</v>
      </c>
      <c r="S328" s="381">
        <v>8326216.4024237795</v>
      </c>
      <c r="T328" s="381">
        <v>8163650.2078093868</v>
      </c>
      <c r="U328" s="381">
        <v>3763343.6720452234</v>
      </c>
      <c r="V328" s="381">
        <v>3763343.6720452057</v>
      </c>
      <c r="W328" s="381">
        <v>3763343.6720452057</v>
      </c>
      <c r="X328" s="381">
        <v>3763343.6720452057</v>
      </c>
      <c r="Y328" s="381">
        <v>3763343.6720452057</v>
      </c>
      <c r="Z328" s="381">
        <v>3763343.6720452057</v>
      </c>
      <c r="AA328" s="381">
        <v>3763343.6720452057</v>
      </c>
      <c r="AB328" s="381">
        <v>3763343.6720452057</v>
      </c>
      <c r="AC328" s="381">
        <v>3763343.6720452057</v>
      </c>
      <c r="AD328" s="381">
        <v>3763343.6720455317</v>
      </c>
      <c r="AE328" s="381">
        <v>3763343.6720452742</v>
      </c>
      <c r="AF328" s="381">
        <v>3763343.6720453096</v>
      </c>
      <c r="AG328" s="381">
        <v>3763343.6720453096</v>
      </c>
      <c r="AH328" s="381">
        <v>3763343.6720453096</v>
      </c>
      <c r="AI328" s="381">
        <v>3763343.6720453096</v>
      </c>
      <c r="AJ328" s="381">
        <v>3763343.6720453096</v>
      </c>
      <c r="AK328" s="381">
        <v>3763343.6720453096</v>
      </c>
      <c r="AL328" s="381">
        <v>3763343.6720453096</v>
      </c>
      <c r="AM328" s="381">
        <v>3763343.6720453096</v>
      </c>
      <c r="AN328" s="381">
        <v>3763343.6720449631</v>
      </c>
    </row>
    <row r="329" spans="1:40">
      <c r="A329" s="30" t="s">
        <v>474</v>
      </c>
      <c r="B329" t="s">
        <v>459</v>
      </c>
      <c r="C329" t="s">
        <v>464</v>
      </c>
      <c r="D329" t="str">
        <f t="shared" si="50"/>
        <v>Lighting efficiencyDomestic CAPEXLess effective</v>
      </c>
      <c r="E329" s="381">
        <v>0</v>
      </c>
      <c r="F329" s="381">
        <v>4230944.0864883214</v>
      </c>
      <c r="G329" s="381">
        <v>4165059.3783033304</v>
      </c>
      <c r="H329" s="381">
        <v>4099174.6701183403</v>
      </c>
      <c r="I329" s="381">
        <v>8720364.3520224914</v>
      </c>
      <c r="J329" s="381">
        <v>13188425.183114063</v>
      </c>
      <c r="K329" s="381">
        <v>16903781.393230289</v>
      </c>
      <c r="L329" s="381">
        <v>21075709.517347053</v>
      </c>
      <c r="M329" s="381">
        <v>25094508.790651247</v>
      </c>
      <c r="N329" s="381">
        <v>28960179.213142872</v>
      </c>
      <c r="O329" s="381">
        <v>32672720.78482195</v>
      </c>
      <c r="P329" s="381">
        <v>31505261.503666073</v>
      </c>
      <c r="Q329" s="381">
        <v>2402257.1646919665</v>
      </c>
      <c r="R329" s="381">
        <v>2357116.7114338656</v>
      </c>
      <c r="S329" s="381">
        <v>2311976.2581757642</v>
      </c>
      <c r="T329" s="381">
        <v>2266835.8049176619</v>
      </c>
      <c r="U329" s="381">
        <v>1044983.7958321318</v>
      </c>
      <c r="V329" s="381">
        <v>1044983.7958321269</v>
      </c>
      <c r="W329" s="381">
        <v>1044983.7958321269</v>
      </c>
      <c r="X329" s="381">
        <v>1044983.7958321269</v>
      </c>
      <c r="Y329" s="381">
        <v>1044983.7958321269</v>
      </c>
      <c r="Z329" s="381">
        <v>1044983.7958321269</v>
      </c>
      <c r="AA329" s="381">
        <v>1044983.7958321269</v>
      </c>
      <c r="AB329" s="381">
        <v>1044983.7958321269</v>
      </c>
      <c r="AC329" s="381">
        <v>1044983.7958321269</v>
      </c>
      <c r="AD329" s="381">
        <v>1044983.7958322177</v>
      </c>
      <c r="AE329" s="381">
        <v>1044983.7958321461</v>
      </c>
      <c r="AF329" s="381">
        <v>1044983.795832156</v>
      </c>
      <c r="AG329" s="381">
        <v>1044983.795832156</v>
      </c>
      <c r="AH329" s="381">
        <v>1044983.795832156</v>
      </c>
      <c r="AI329" s="381">
        <v>1044983.795832156</v>
      </c>
      <c r="AJ329" s="381">
        <v>1044983.795832156</v>
      </c>
      <c r="AK329" s="381">
        <v>1044983.795832156</v>
      </c>
      <c r="AL329" s="381">
        <v>1044983.795832156</v>
      </c>
      <c r="AM329" s="381">
        <v>1044983.795832156</v>
      </c>
      <c r="AN329" s="381">
        <v>1044983.7958320585</v>
      </c>
    </row>
    <row r="330" spans="1:40">
      <c r="A330" s="30" t="s">
        <v>474</v>
      </c>
      <c r="B330" t="s">
        <v>459</v>
      </c>
      <c r="C330" t="s">
        <v>465</v>
      </c>
      <c r="D330" t="str">
        <f t="shared" si="50"/>
        <v>Extended Mayoral ProgramsNon-domestic CAPEXLess effective</v>
      </c>
      <c r="E330" s="381">
        <v>0</v>
      </c>
      <c r="F330" s="381">
        <v>0</v>
      </c>
      <c r="G330" s="381">
        <v>0</v>
      </c>
      <c r="H330" s="381">
        <v>0</v>
      </c>
      <c r="I330" s="381">
        <v>0</v>
      </c>
      <c r="J330" s="381">
        <v>0</v>
      </c>
      <c r="K330" s="381">
        <v>0</v>
      </c>
      <c r="L330" s="381">
        <v>0</v>
      </c>
      <c r="M330" s="381">
        <v>0</v>
      </c>
      <c r="N330" s="381">
        <v>0</v>
      </c>
      <c r="O330" s="381">
        <v>0</v>
      </c>
      <c r="P330" s="381">
        <v>0</v>
      </c>
      <c r="Q330" s="381">
        <v>0</v>
      </c>
      <c r="R330" s="381">
        <v>0</v>
      </c>
      <c r="S330" s="381">
        <v>0</v>
      </c>
      <c r="T330" s="381">
        <v>0</v>
      </c>
      <c r="U330" s="381">
        <v>0</v>
      </c>
      <c r="V330" s="381">
        <v>0</v>
      </c>
      <c r="W330" s="381">
        <v>0</v>
      </c>
      <c r="X330" s="381">
        <v>0</v>
      </c>
      <c r="Y330" s="381">
        <v>0</v>
      </c>
      <c r="Z330" s="381">
        <v>0</v>
      </c>
      <c r="AA330" s="381">
        <v>0</v>
      </c>
      <c r="AB330" s="381">
        <v>0</v>
      </c>
      <c r="AC330" s="381">
        <v>0</v>
      </c>
      <c r="AD330" s="381">
        <v>0</v>
      </c>
      <c r="AE330" s="381">
        <v>0</v>
      </c>
      <c r="AF330" s="381">
        <v>0</v>
      </c>
      <c r="AG330" s="381">
        <v>0</v>
      </c>
      <c r="AH330" s="381">
        <v>0</v>
      </c>
      <c r="AI330" s="381">
        <v>0</v>
      </c>
      <c r="AJ330" s="381">
        <v>0</v>
      </c>
      <c r="AK330" s="381">
        <v>0</v>
      </c>
      <c r="AL330" s="381">
        <v>0</v>
      </c>
      <c r="AM330" s="381">
        <v>0</v>
      </c>
      <c r="AN330" s="381">
        <v>0</v>
      </c>
    </row>
    <row r="331" spans="1:40">
      <c r="A331" s="30" t="s">
        <v>474</v>
      </c>
      <c r="B331" t="s">
        <v>459</v>
      </c>
      <c r="C331" t="s">
        <v>466</v>
      </c>
      <c r="D331" t="str">
        <f t="shared" si="50"/>
        <v>MEESNon-domestic CAPEXLess effective</v>
      </c>
      <c r="E331" s="381">
        <v>0</v>
      </c>
      <c r="F331" s="381">
        <v>0</v>
      </c>
      <c r="G331" s="381">
        <v>0</v>
      </c>
      <c r="H331" s="381">
        <v>0</v>
      </c>
      <c r="I331" s="381">
        <v>5218651.4921010509</v>
      </c>
      <c r="J331" s="381">
        <v>10266807.267840847</v>
      </c>
      <c r="K331" s="381">
        <v>16131913.903382558</v>
      </c>
      <c r="L331" s="381">
        <v>21793174.9381992</v>
      </c>
      <c r="M331" s="381">
        <v>27250590.372290779</v>
      </c>
      <c r="N331" s="381">
        <v>32504160.205657303</v>
      </c>
      <c r="O331" s="381">
        <v>37553884.438298762</v>
      </c>
      <c r="P331" s="381">
        <v>39376760.71403674</v>
      </c>
      <c r="Q331" s="381">
        <v>41107305.50964646</v>
      </c>
      <c r="R331" s="381">
        <v>42745518.8251279</v>
      </c>
      <c r="S331" s="381">
        <v>44291400.660481088</v>
      </c>
      <c r="T331" s="381">
        <v>43426627.982050642</v>
      </c>
      <c r="U331" s="381">
        <v>35926063.135343984</v>
      </c>
      <c r="V331" s="381">
        <v>28425498.288637318</v>
      </c>
      <c r="W331" s="381">
        <v>20924933.441930652</v>
      </c>
      <c r="X331" s="381">
        <v>13424368.595223982</v>
      </c>
      <c r="Y331" s="381">
        <v>1.2003766869383983E-9</v>
      </c>
      <c r="Z331" s="381">
        <v>0</v>
      </c>
      <c r="AA331" s="381">
        <v>0</v>
      </c>
      <c r="AB331" s="381">
        <v>0</v>
      </c>
      <c r="AC331" s="381">
        <v>0</v>
      </c>
      <c r="AD331" s="381">
        <v>0</v>
      </c>
      <c r="AE331" s="381">
        <v>0</v>
      </c>
      <c r="AF331" s="381">
        <v>0</v>
      </c>
      <c r="AG331" s="381">
        <v>0</v>
      </c>
      <c r="AH331" s="381">
        <v>0</v>
      </c>
      <c r="AI331" s="381">
        <v>0</v>
      </c>
      <c r="AJ331" s="381">
        <v>0</v>
      </c>
      <c r="AK331" s="381">
        <v>0</v>
      </c>
      <c r="AL331" s="381">
        <v>0</v>
      </c>
      <c r="AM331" s="381">
        <v>0</v>
      </c>
      <c r="AN331" s="381">
        <v>0</v>
      </c>
    </row>
    <row r="332" spans="1:40">
      <c r="A332" s="30" t="s">
        <v>474</v>
      </c>
      <c r="B332" t="s">
        <v>459</v>
      </c>
      <c r="C332" t="s">
        <v>467</v>
      </c>
      <c r="D332" t="str">
        <f t="shared" si="50"/>
        <v>Tax mechanismsNon-domestic CAPEXLess effective</v>
      </c>
      <c r="E332" s="381">
        <v>0</v>
      </c>
      <c r="F332" s="381">
        <v>0</v>
      </c>
      <c r="G332" s="381">
        <v>0</v>
      </c>
      <c r="H332" s="381">
        <v>0</v>
      </c>
      <c r="I332" s="381">
        <v>0</v>
      </c>
      <c r="J332" s="381">
        <v>0</v>
      </c>
      <c r="K332" s="381">
        <v>0</v>
      </c>
      <c r="L332" s="381">
        <v>0</v>
      </c>
      <c r="M332" s="381">
        <v>0</v>
      </c>
      <c r="N332" s="381">
        <v>0</v>
      </c>
      <c r="O332" s="381">
        <v>0</v>
      </c>
      <c r="P332" s="381">
        <v>0</v>
      </c>
      <c r="Q332" s="381">
        <v>0</v>
      </c>
      <c r="R332" s="381">
        <v>0</v>
      </c>
      <c r="S332" s="381">
        <v>0</v>
      </c>
      <c r="T332" s="381">
        <v>0</v>
      </c>
      <c r="U332" s="381">
        <v>0</v>
      </c>
      <c r="V332" s="381">
        <v>0</v>
      </c>
      <c r="W332" s="381">
        <v>0</v>
      </c>
      <c r="X332" s="381">
        <v>0</v>
      </c>
      <c r="Y332" s="381">
        <v>0</v>
      </c>
      <c r="Z332" s="381">
        <v>0</v>
      </c>
      <c r="AA332" s="381">
        <v>0</v>
      </c>
      <c r="AB332" s="381">
        <v>0</v>
      </c>
      <c r="AC332" s="381">
        <v>0</v>
      </c>
      <c r="AD332" s="381">
        <v>0</v>
      </c>
      <c r="AE332" s="381">
        <v>0</v>
      </c>
      <c r="AF332" s="381">
        <v>0</v>
      </c>
      <c r="AG332" s="381">
        <v>0</v>
      </c>
      <c r="AH332" s="381">
        <v>0</v>
      </c>
      <c r="AI332" s="381">
        <v>0</v>
      </c>
      <c r="AJ332" s="381">
        <v>0</v>
      </c>
      <c r="AK332" s="381">
        <v>0</v>
      </c>
      <c r="AL332" s="381">
        <v>0</v>
      </c>
      <c r="AM332" s="381">
        <v>0</v>
      </c>
      <c r="AN332" s="381">
        <v>0</v>
      </c>
    </row>
    <row r="333" spans="1:40">
      <c r="A333" s="30" t="s">
        <v>474</v>
      </c>
      <c r="B333" t="s">
        <v>459</v>
      </c>
      <c r="C333" t="s">
        <v>468</v>
      </c>
      <c r="D333" t="str">
        <f t="shared" si="50"/>
        <v>Planning requirementsNon-domestic CAPEXLess effective</v>
      </c>
      <c r="E333" s="425">
        <v>0</v>
      </c>
      <c r="F333" s="425">
        <v>1961067.6928839199</v>
      </c>
      <c r="G333" s="425">
        <v>1930529.7396433442</v>
      </c>
      <c r="H333" s="425">
        <v>1899991.7864027685</v>
      </c>
      <c r="I333" s="425">
        <v>1869453.8331621934</v>
      </c>
      <c r="J333" s="425">
        <v>1838915.8799216179</v>
      </c>
      <c r="K333" s="425">
        <v>1808377.9266810422</v>
      </c>
      <c r="L333" s="425">
        <v>1777839.9734404667</v>
      </c>
      <c r="M333" s="425">
        <v>1747302.0201998905</v>
      </c>
      <c r="N333" s="425">
        <v>1716764.0669593152</v>
      </c>
      <c r="O333" s="425">
        <v>1686226.1137187395</v>
      </c>
      <c r="P333" s="425">
        <v>1210841.1890713805</v>
      </c>
      <c r="Q333" s="425">
        <v>1188508.1118070327</v>
      </c>
      <c r="R333" s="425">
        <v>1166175.0345426844</v>
      </c>
      <c r="S333" s="425">
        <v>1143841.9572783369</v>
      </c>
      <c r="T333" s="425">
        <v>1121508.8800139891</v>
      </c>
      <c r="U333" s="425">
        <v>1121508.8800139893</v>
      </c>
      <c r="V333" s="425">
        <v>1121508.8800139893</v>
      </c>
      <c r="W333" s="425">
        <v>1121508.8800139893</v>
      </c>
      <c r="X333" s="425">
        <v>1121508.8800139893</v>
      </c>
      <c r="Y333" s="425">
        <v>1121508.8800139893</v>
      </c>
      <c r="Z333" s="425">
        <v>1121508.8800139893</v>
      </c>
      <c r="AA333" s="425">
        <v>1121508.8800139893</v>
      </c>
      <c r="AB333" s="425">
        <v>1121508.8800139893</v>
      </c>
      <c r="AC333" s="425">
        <v>1121508.8800139888</v>
      </c>
      <c r="AD333" s="425">
        <v>1121508.8800139888</v>
      </c>
      <c r="AE333" s="425">
        <v>1121508.8800139888</v>
      </c>
      <c r="AF333" s="425">
        <v>1121508.8800139904</v>
      </c>
      <c r="AG333" s="425">
        <v>1121508.8800139895</v>
      </c>
      <c r="AH333" s="425">
        <v>1121508.8800139895</v>
      </c>
      <c r="AI333" s="425">
        <v>1121508.8800139895</v>
      </c>
      <c r="AJ333" s="425">
        <v>1121508.8800139895</v>
      </c>
      <c r="AK333" s="425">
        <v>1121508.8800139895</v>
      </c>
      <c r="AL333" s="425">
        <v>1121508.8800139895</v>
      </c>
      <c r="AM333" s="425">
        <v>1121508.8800139895</v>
      </c>
      <c r="AN333" s="425">
        <v>1121508.8800139856</v>
      </c>
    </row>
    <row r="334" spans="1:40">
      <c r="A334" s="30" t="s">
        <v>474</v>
      </c>
      <c r="B334" t="s">
        <v>459</v>
      </c>
      <c r="C334" t="s">
        <v>469</v>
      </c>
      <c r="D334" t="str">
        <f t="shared" si="50"/>
        <v>Lighting efficiencyNon-domestic CAPEXLess effective</v>
      </c>
      <c r="E334" s="424">
        <v>0</v>
      </c>
      <c r="F334" s="424">
        <v>3711912.6691936017</v>
      </c>
      <c r="G334" s="424">
        <v>3654110.3730585631</v>
      </c>
      <c r="H334" s="424">
        <v>3596308.0769235231</v>
      </c>
      <c r="I334" s="424">
        <v>11878549.030307014</v>
      </c>
      <c r="J334" s="424">
        <v>19888316.979799986</v>
      </c>
      <c r="K334" s="424">
        <v>27625611.925402433</v>
      </c>
      <c r="L334" s="424">
        <v>35090433.867114373</v>
      </c>
      <c r="M334" s="424">
        <v>42282782.804935783</v>
      </c>
      <c r="N334" s="424">
        <v>49202658.738866672</v>
      </c>
      <c r="O334" s="424">
        <v>55850061.668907046</v>
      </c>
      <c r="P334" s="424">
        <v>53969886.63813331</v>
      </c>
      <c r="Q334" s="424">
        <v>2223393.0423972178</v>
      </c>
      <c r="R334" s="424">
        <v>2181613.5979730855</v>
      </c>
      <c r="S334" s="424">
        <v>2139834.1535489559</v>
      </c>
      <c r="T334" s="424">
        <v>2098054.709124825</v>
      </c>
      <c r="U334" s="424">
        <v>2098054.7091248254</v>
      </c>
      <c r="V334" s="424">
        <v>2098054.7091248254</v>
      </c>
      <c r="W334" s="424">
        <v>2098054.7091248254</v>
      </c>
      <c r="X334" s="424">
        <v>2098054.7091248254</v>
      </c>
      <c r="Y334" s="424">
        <v>2098054.7091248254</v>
      </c>
      <c r="Z334" s="424">
        <v>2098054.7091248254</v>
      </c>
      <c r="AA334" s="424">
        <v>2098054.7091248254</v>
      </c>
      <c r="AB334" s="424">
        <v>2098054.7091248254</v>
      </c>
      <c r="AC334" s="424">
        <v>2098054.7091248245</v>
      </c>
      <c r="AD334" s="424">
        <v>2098054.7091248245</v>
      </c>
      <c r="AE334" s="424">
        <v>2098054.7091248245</v>
      </c>
      <c r="AF334" s="424">
        <v>2098054.7091248278</v>
      </c>
      <c r="AG334" s="424">
        <v>2098054.7091248259</v>
      </c>
      <c r="AH334" s="424">
        <v>2098054.7091248259</v>
      </c>
      <c r="AI334" s="424">
        <v>2098054.7091248259</v>
      </c>
      <c r="AJ334" s="424">
        <v>2098054.7091248259</v>
      </c>
      <c r="AK334" s="424">
        <v>2098054.7091248259</v>
      </c>
      <c r="AL334" s="424">
        <v>2098054.7091248259</v>
      </c>
      <c r="AM334" s="424">
        <v>2098054.7091248259</v>
      </c>
      <c r="AN334" s="424">
        <v>2098054.7091248212</v>
      </c>
    </row>
    <row r="335" spans="1:40">
      <c r="A335" s="30" t="s">
        <v>474</v>
      </c>
      <c r="B335" t="s">
        <v>459</v>
      </c>
      <c r="C335" t="s">
        <v>470</v>
      </c>
      <c r="D335" t="str">
        <f t="shared" si="50"/>
        <v>AllDomestic CAPEXLess effective</v>
      </c>
      <c r="E335" s="424">
        <v>0</v>
      </c>
      <c r="F335" s="424">
        <v>19468019.262361005</v>
      </c>
      <c r="G335" s="424">
        <v>19164861.210205078</v>
      </c>
      <c r="H335" s="424">
        <v>18861703.158049151</v>
      </c>
      <c r="I335" s="424">
        <v>36834688.318106517</v>
      </c>
      <c r="J335" s="424">
        <v>146168642.59628904</v>
      </c>
      <c r="K335" s="424">
        <v>183643091.01575196</v>
      </c>
      <c r="L335" s="424">
        <v>229776398.92658889</v>
      </c>
      <c r="M335" s="424">
        <v>274230103.9998647</v>
      </c>
      <c r="N335" s="424">
        <v>317004206.23557949</v>
      </c>
      <c r="O335" s="424">
        <v>374059856.96572244</v>
      </c>
      <c r="P335" s="424">
        <v>414558000.60256678</v>
      </c>
      <c r="Q335" s="424">
        <v>434694045.3500213</v>
      </c>
      <c r="R335" s="424">
        <v>444548305.75331855</v>
      </c>
      <c r="S335" s="424">
        <v>490246103.16226166</v>
      </c>
      <c r="T335" s="424">
        <v>495511535.38828218</v>
      </c>
      <c r="U335" s="424">
        <v>320406296.97382784</v>
      </c>
      <c r="V335" s="424">
        <v>295792932.81997848</v>
      </c>
      <c r="W335" s="424">
        <v>271102273.34174031</v>
      </c>
      <c r="X335" s="424">
        <v>246334318.53911328</v>
      </c>
      <c r="Y335" s="424">
        <v>201884269.19106087</v>
      </c>
      <c r="Z335" s="424">
        <v>209201584.47731435</v>
      </c>
      <c r="AA335" s="424">
        <v>216441604.439179</v>
      </c>
      <c r="AB335" s="424">
        <v>78445826.805419251</v>
      </c>
      <c r="AC335" s="424">
        <v>85531256.118506163</v>
      </c>
      <c r="AD335" s="424">
        <v>92539390.107205778</v>
      </c>
      <c r="AE335" s="424">
        <v>87078964.613136277</v>
      </c>
      <c r="AF335" s="424">
        <v>79026706.104369521</v>
      </c>
      <c r="AG335" s="424">
        <v>71054305.444294199</v>
      </c>
      <c r="AH335" s="424">
        <v>63161762.632910416</v>
      </c>
      <c r="AI335" s="424">
        <v>55349077.670218192</v>
      </c>
      <c r="AJ335" s="424">
        <v>47616250.556217521</v>
      </c>
      <c r="AK335" s="424">
        <v>39963281.290908419</v>
      </c>
      <c r="AL335" s="424">
        <v>32390169.874290865</v>
      </c>
      <c r="AM335" s="424">
        <v>24896916.306364872</v>
      </c>
      <c r="AN335" s="424">
        <v>17483520.587128878</v>
      </c>
    </row>
    <row r="336" spans="1:40">
      <c r="A336" s="30" t="s">
        <v>474</v>
      </c>
      <c r="B336" t="s">
        <v>459</v>
      </c>
      <c r="C336" t="s">
        <v>471</v>
      </c>
      <c r="D336" t="str">
        <f t="shared" si="50"/>
        <v>AllNon-domestic CAPEXLess effective</v>
      </c>
      <c r="E336" s="80">
        <v>0</v>
      </c>
      <c r="F336" s="106">
        <v>5672980.3620775212</v>
      </c>
      <c r="G336" s="106">
        <v>5584640.1127019078</v>
      </c>
      <c r="H336" s="106">
        <v>5496299.8633262916</v>
      </c>
      <c r="I336" s="106">
        <v>18966654.355570257</v>
      </c>
      <c r="J336" s="106">
        <v>62055778.439674526</v>
      </c>
      <c r="K336" s="106">
        <v>75423619.040384009</v>
      </c>
      <c r="L336" s="106">
        <v>88315141.031098068</v>
      </c>
      <c r="M336" s="106">
        <v>100730344.41204622</v>
      </c>
      <c r="N336" s="106">
        <v>112669229.18344611</v>
      </c>
      <c r="O336" s="80">
        <v>124131795.34550418</v>
      </c>
      <c r="P336" s="106">
        <v>115906499.54226321</v>
      </c>
      <c r="Q336" s="106">
        <v>65716744.622482851</v>
      </c>
      <c r="R336" s="106">
        <v>67139372.372521088</v>
      </c>
      <c r="S336" s="106">
        <v>68469668.641106933</v>
      </c>
      <c r="T336" s="106">
        <v>67389310.394624487</v>
      </c>
      <c r="U336" s="106">
        <v>68475556.824279457</v>
      </c>
      <c r="V336" s="106">
        <v>69452884.07868281</v>
      </c>
      <c r="W336" s="106">
        <v>70321292.157862157</v>
      </c>
      <c r="X336" s="106">
        <v>71080781.06184411</v>
      </c>
      <c r="Y336" s="106">
        <v>65807547.042137057</v>
      </c>
      <c r="Z336" s="106">
        <v>67504553.194467515</v>
      </c>
      <c r="AA336" s="106">
        <v>37649026.098867461</v>
      </c>
      <c r="AB336" s="106">
        <v>39491320.973333851</v>
      </c>
      <c r="AC336" s="106">
        <v>41305391.577691346</v>
      </c>
      <c r="AD336" s="106">
        <v>43091237.911961541</v>
      </c>
      <c r="AE336" s="106">
        <v>40792395.775294751</v>
      </c>
      <c r="AF336" s="106">
        <v>38521777.907229774</v>
      </c>
      <c r="AG336" s="106">
        <v>36279384.307786025</v>
      </c>
      <c r="AH336" s="106">
        <v>34065214.976982407</v>
      </c>
      <c r="AI336" s="106">
        <v>31879269.914837144</v>
      </c>
      <c r="AJ336" s="106">
        <v>29721549.121367879</v>
      </c>
      <c r="AK336" s="106">
        <v>27592052.5965917</v>
      </c>
      <c r="AL336" s="106">
        <v>25490780.340525113</v>
      </c>
      <c r="AM336" s="106">
        <v>23417732.353184134</v>
      </c>
      <c r="AN336" s="80">
        <v>21372908.634584047</v>
      </c>
    </row>
    <row r="337" spans="1:40">
      <c r="A337" s="30"/>
      <c r="E337" s="59"/>
      <c r="F337" s="59"/>
      <c r="G337" s="59"/>
      <c r="H337" s="59"/>
      <c r="I337" s="59"/>
      <c r="J337" s="59"/>
      <c r="K337" s="59"/>
      <c r="L337" s="59"/>
      <c r="M337" s="59"/>
      <c r="N337" s="59"/>
      <c r="O337" s="59"/>
      <c r="P337" s="59"/>
      <c r="Q337" s="59"/>
      <c r="R337" s="59"/>
      <c r="S337" s="59"/>
      <c r="T337" s="59"/>
      <c r="U337" s="59"/>
      <c r="V337" s="59"/>
      <c r="W337" s="59"/>
      <c r="X337" s="59"/>
      <c r="Y337" s="59"/>
      <c r="Z337" s="59"/>
      <c r="AA337" s="59"/>
      <c r="AB337" s="59"/>
      <c r="AC337" s="59"/>
      <c r="AD337" s="59"/>
      <c r="AE337" s="59"/>
      <c r="AF337" s="59"/>
      <c r="AG337" s="59"/>
      <c r="AH337" s="59"/>
      <c r="AI337" s="59"/>
      <c r="AJ337" s="59"/>
      <c r="AK337" s="59"/>
      <c r="AL337" s="59"/>
      <c r="AM337" s="59"/>
      <c r="AN337" s="59"/>
    </row>
    <row r="338" spans="1:40">
      <c r="A338" s="30"/>
      <c r="E338" s="381"/>
      <c r="F338" s="381"/>
      <c r="G338" s="381"/>
      <c r="H338" s="381"/>
      <c r="I338" s="381"/>
      <c r="J338" s="381"/>
      <c r="K338" s="381"/>
      <c r="L338" s="381"/>
      <c r="M338" s="381"/>
      <c r="N338" s="381"/>
      <c r="O338" s="381"/>
      <c r="P338" s="381"/>
      <c r="Q338" s="381"/>
      <c r="R338" s="381"/>
      <c r="S338" s="381"/>
      <c r="T338" s="381"/>
      <c r="U338" s="381"/>
      <c r="V338" s="381"/>
      <c r="W338" s="381"/>
      <c r="X338" s="381"/>
      <c r="Y338" s="381"/>
      <c r="Z338" s="381"/>
      <c r="AA338" s="381"/>
      <c r="AB338" s="381"/>
      <c r="AC338" s="381"/>
      <c r="AD338" s="381"/>
      <c r="AE338" s="381"/>
      <c r="AF338" s="381"/>
      <c r="AG338" s="381"/>
      <c r="AH338" s="381"/>
      <c r="AI338" s="381"/>
      <c r="AJ338" s="381"/>
      <c r="AK338" s="381"/>
      <c r="AL338" s="381"/>
      <c r="AM338" s="381"/>
      <c r="AN338" s="381"/>
    </row>
    <row r="339" spans="1:40">
      <c r="A339" s="30" t="s">
        <v>472</v>
      </c>
      <c r="B339" t="s">
        <v>366</v>
      </c>
      <c r="D339" t="s">
        <v>473</v>
      </c>
      <c r="E339" s="381">
        <v>2015</v>
      </c>
      <c r="F339" s="381">
        <v>2016</v>
      </c>
      <c r="G339" s="381">
        <v>2017</v>
      </c>
      <c r="H339" s="381">
        <v>2018</v>
      </c>
      <c r="I339" s="381">
        <v>2019</v>
      </c>
      <c r="J339" s="381">
        <v>2020</v>
      </c>
      <c r="K339" s="381">
        <v>2021</v>
      </c>
      <c r="L339" s="381">
        <v>2022</v>
      </c>
      <c r="M339" s="381">
        <v>2023</v>
      </c>
      <c r="N339" s="381">
        <v>2024</v>
      </c>
      <c r="O339" s="381">
        <v>2025</v>
      </c>
      <c r="P339" s="381">
        <v>2026</v>
      </c>
      <c r="Q339" s="381">
        <v>2027</v>
      </c>
      <c r="R339" s="381">
        <v>2028</v>
      </c>
      <c r="S339" s="381">
        <v>2029</v>
      </c>
      <c r="T339" s="381">
        <v>2030</v>
      </c>
      <c r="U339" s="381">
        <v>2031</v>
      </c>
      <c r="V339" s="381">
        <v>2032</v>
      </c>
      <c r="W339" s="381">
        <v>2033</v>
      </c>
      <c r="X339" s="381">
        <v>2034</v>
      </c>
      <c r="Y339" s="381">
        <v>2035</v>
      </c>
      <c r="Z339" s="381">
        <v>2036</v>
      </c>
      <c r="AA339" s="381">
        <v>2037</v>
      </c>
      <c r="AB339" s="381">
        <v>2038</v>
      </c>
      <c r="AC339" s="381">
        <v>2039</v>
      </c>
      <c r="AD339" s="381">
        <v>2040</v>
      </c>
      <c r="AE339" s="381">
        <v>2041</v>
      </c>
      <c r="AF339" s="381">
        <v>2042</v>
      </c>
      <c r="AG339" s="381">
        <v>2043</v>
      </c>
      <c r="AH339" s="381">
        <v>2044</v>
      </c>
      <c r="AI339" s="381">
        <v>2045</v>
      </c>
      <c r="AJ339" s="381">
        <v>2046</v>
      </c>
      <c r="AK339" s="381">
        <v>2047</v>
      </c>
      <c r="AL339" s="381">
        <v>2048</v>
      </c>
      <c r="AM339" s="381">
        <v>2049</v>
      </c>
      <c r="AN339" s="381">
        <v>2050</v>
      </c>
    </row>
    <row r="340" spans="1:40">
      <c r="A340" s="30" t="s">
        <v>475</v>
      </c>
      <c r="B340" t="s">
        <v>444</v>
      </c>
      <c r="C340" t="s">
        <v>445</v>
      </c>
      <c r="D340" t="str">
        <f>C340&amp;A340</f>
        <v>Carbon emissionsMore effective</v>
      </c>
      <c r="E340" s="381">
        <v>24.536442456359286</v>
      </c>
      <c r="F340" s="381">
        <v>21.179748874330269</v>
      </c>
      <c r="G340" s="381">
        <v>19.517913545606234</v>
      </c>
      <c r="H340" s="381">
        <v>19.132974959199203</v>
      </c>
      <c r="I340" s="381">
        <v>18.660105134225336</v>
      </c>
      <c r="J340" s="381">
        <v>17.964857752852176</v>
      </c>
      <c r="K340" s="381">
        <v>17.379343266837942</v>
      </c>
      <c r="L340" s="381">
        <v>16.191853820655378</v>
      </c>
      <c r="M340" s="381">
        <v>15.657331621811645</v>
      </c>
      <c r="N340" s="381">
        <v>15.394765046033234</v>
      </c>
      <c r="O340" s="381">
        <v>14.469257202199222</v>
      </c>
      <c r="P340" s="381">
        <v>12.986907194200903</v>
      </c>
      <c r="Q340" s="381">
        <v>12.656572968953315</v>
      </c>
      <c r="R340" s="381">
        <v>11.856626270452963</v>
      </c>
      <c r="S340" s="381">
        <v>10.996203396030383</v>
      </c>
      <c r="T340" s="381">
        <v>10.849409236730089</v>
      </c>
      <c r="U340" s="381">
        <v>10.309043547691688</v>
      </c>
      <c r="V340" s="381">
        <v>9.5293612024111631</v>
      </c>
      <c r="W340" s="381">
        <v>9.2356065347163518</v>
      </c>
      <c r="X340" s="381">
        <v>8.8487431282064311</v>
      </c>
      <c r="Y340" s="381">
        <v>8.4264020474170849</v>
      </c>
      <c r="Z340" s="381">
        <v>8.4341464825753558</v>
      </c>
      <c r="AA340" s="381">
        <v>8.2786246554415115</v>
      </c>
      <c r="AB340" s="381">
        <v>8.1770337589333497</v>
      </c>
      <c r="AC340" s="381">
        <v>8.257478909481355</v>
      </c>
      <c r="AD340" s="381">
        <v>8.292202388184041</v>
      </c>
      <c r="AE340" s="381">
        <v>8.2159788061776666</v>
      </c>
      <c r="AF340" s="381">
        <v>8.1438611487992478</v>
      </c>
      <c r="AG340" s="381">
        <v>8.0997690239431783</v>
      </c>
      <c r="AH340" s="381">
        <v>8.0310333874729984</v>
      </c>
      <c r="AI340" s="381">
        <v>7.9933611220414846</v>
      </c>
      <c r="AJ340" s="381">
        <v>7.9254683490412425</v>
      </c>
      <c r="AK340" s="381">
        <v>7.8621954249841925</v>
      </c>
      <c r="AL340" s="381">
        <v>7.8275908825921077</v>
      </c>
      <c r="AM340" s="381">
        <v>7.7682757744218085</v>
      </c>
      <c r="AN340" s="381">
        <v>7.731805573462311</v>
      </c>
    </row>
    <row r="341" spans="1:40">
      <c r="A341" s="30" t="s">
        <v>475</v>
      </c>
      <c r="B341" t="s">
        <v>446</v>
      </c>
      <c r="C341" t="s">
        <v>447</v>
      </c>
      <c r="D341" t="str">
        <f t="shared" ref="D341:D397" si="51">C341&amp;A341</f>
        <v>Domestic heat demandMore effective</v>
      </c>
      <c r="E341" s="381">
        <v>34208540661.939991</v>
      </c>
      <c r="F341" s="381">
        <v>34431712374.893234</v>
      </c>
      <c r="G341" s="381">
        <v>34654884087.846481</v>
      </c>
      <c r="H341" s="381">
        <v>34878055800.799721</v>
      </c>
      <c r="I341" s="381">
        <v>35101153762.727997</v>
      </c>
      <c r="J341" s="381">
        <v>35215258280.251877</v>
      </c>
      <c r="K341" s="381">
        <v>35065356246.060249</v>
      </c>
      <c r="L341" s="381">
        <v>33987204476.758125</v>
      </c>
      <c r="M341" s="381">
        <v>31992795485.781963</v>
      </c>
      <c r="N341" s="381">
        <v>29779597937.738071</v>
      </c>
      <c r="O341" s="381">
        <v>27805929118.422932</v>
      </c>
      <c r="P341" s="381">
        <v>26118657033.550735</v>
      </c>
      <c r="Q341" s="381">
        <v>24758450541.712425</v>
      </c>
      <c r="R341" s="381">
        <v>23768203430.531071</v>
      </c>
      <c r="S341" s="381">
        <v>23304396821.471699</v>
      </c>
      <c r="T341" s="381">
        <v>23266668140.872063</v>
      </c>
      <c r="U341" s="381">
        <v>23334810370.304527</v>
      </c>
      <c r="V341" s="381">
        <v>23403155884.102592</v>
      </c>
      <c r="W341" s="381">
        <v>23471704682.266262</v>
      </c>
      <c r="X341" s="381">
        <v>23540456764.795544</v>
      </c>
      <c r="Y341" s="381">
        <v>23610016495.964741</v>
      </c>
      <c r="Z341" s="381">
        <v>23679927774.117168</v>
      </c>
      <c r="AA341" s="381">
        <v>23749845184.857697</v>
      </c>
      <c r="AB341" s="381">
        <v>23820383758.970066</v>
      </c>
      <c r="AC341" s="381">
        <v>23890928465.670536</v>
      </c>
      <c r="AD341" s="381">
        <v>23961479304.95911</v>
      </c>
      <c r="AE341" s="381">
        <v>24032036276.835789</v>
      </c>
      <c r="AF341" s="381">
        <v>24102599381.300568</v>
      </c>
      <c r="AG341" s="381">
        <v>24173168618.353447</v>
      </c>
      <c r="AH341" s="381">
        <v>24243743987.994434</v>
      </c>
      <c r="AI341" s="381">
        <v>24314325490.223518</v>
      </c>
      <c r="AJ341" s="381">
        <v>24384913125.040707</v>
      </c>
      <c r="AK341" s="381">
        <v>24455506892.446003</v>
      </c>
      <c r="AL341" s="381">
        <v>24526106792.4394</v>
      </c>
      <c r="AM341" s="381">
        <v>24596712825.020901</v>
      </c>
      <c r="AN341" s="381">
        <v>24667324990.190495</v>
      </c>
    </row>
    <row r="342" spans="1:40">
      <c r="A342" s="30" t="s">
        <v>475</v>
      </c>
      <c r="B342" t="s">
        <v>446</v>
      </c>
      <c r="C342" t="s">
        <v>448</v>
      </c>
      <c r="D342" t="str">
        <f t="shared" si="51"/>
        <v>Non-domestic heat demandMore effective</v>
      </c>
      <c r="E342" s="381">
        <v>18723008369.73642</v>
      </c>
      <c r="F342" s="381">
        <v>18768418206.089264</v>
      </c>
      <c r="G342" s="381">
        <v>18813828042.442108</v>
      </c>
      <c r="H342" s="381">
        <v>18859237878.79496</v>
      </c>
      <c r="I342" s="381">
        <v>18864371646.872704</v>
      </c>
      <c r="J342" s="381">
        <v>18829530506.10265</v>
      </c>
      <c r="K342" s="381">
        <v>18709754369.091724</v>
      </c>
      <c r="L342" s="381">
        <v>18505793876.890442</v>
      </c>
      <c r="M342" s="381">
        <v>18050297722.226875</v>
      </c>
      <c r="N342" s="381">
        <v>17304738855.525513</v>
      </c>
      <c r="O342" s="381">
        <v>16484742515.061838</v>
      </c>
      <c r="P342" s="381">
        <v>15560153684.913815</v>
      </c>
      <c r="Q342" s="381">
        <v>14546150146.766344</v>
      </c>
      <c r="R342" s="381">
        <v>13796586368.836056</v>
      </c>
      <c r="S342" s="381">
        <v>12955297104.744547</v>
      </c>
      <c r="T342" s="381">
        <v>12124739136.805534</v>
      </c>
      <c r="U342" s="381">
        <v>11429019583.061115</v>
      </c>
      <c r="V342" s="381">
        <v>10863945353.81905</v>
      </c>
      <c r="W342" s="381">
        <v>10426361829.195353</v>
      </c>
      <c r="X342" s="381">
        <v>10114158329.250229</v>
      </c>
      <c r="Y342" s="381">
        <v>10148703457.249748</v>
      </c>
      <c r="Z342" s="381">
        <v>10183275817.900455</v>
      </c>
      <c r="AA342" s="381">
        <v>10217254675.97579</v>
      </c>
      <c r="AB342" s="381">
        <v>10251260985.887836</v>
      </c>
      <c r="AC342" s="381">
        <v>10285294857.907141</v>
      </c>
      <c r="AD342" s="381">
        <v>10319356402.758945</v>
      </c>
      <c r="AE342" s="381">
        <v>10353390832.705156</v>
      </c>
      <c r="AF342" s="381">
        <v>10387398039.024652</v>
      </c>
      <c r="AG342" s="381">
        <v>10421377912.547747</v>
      </c>
      <c r="AH342" s="381">
        <v>10455330343.654062</v>
      </c>
      <c r="AI342" s="381">
        <v>10489255222.270447</v>
      </c>
      <c r="AJ342" s="381">
        <v>10523152437.868809</v>
      </c>
      <c r="AK342" s="381">
        <v>10557021879.463997</v>
      </c>
      <c r="AL342" s="381">
        <v>10590863435.611641</v>
      </c>
      <c r="AM342" s="381">
        <v>10624676994.405987</v>
      </c>
      <c r="AN342" s="381">
        <v>10658462443.477726</v>
      </c>
    </row>
    <row r="343" spans="1:40">
      <c r="A343" s="30" t="s">
        <v>475</v>
      </c>
      <c r="B343" t="s">
        <v>446</v>
      </c>
      <c r="C343" t="s">
        <v>449</v>
      </c>
      <c r="D343" t="str">
        <f t="shared" si="51"/>
        <v>Total domestic electricity demandMore effective</v>
      </c>
      <c r="E343" s="381">
        <v>11858086493.000008</v>
      </c>
      <c r="F343" s="381">
        <v>11983397498.940172</v>
      </c>
      <c r="G343" s="381">
        <v>12108708504.880337</v>
      </c>
      <c r="H343" s="381">
        <v>12234019510.820499</v>
      </c>
      <c r="I343" s="381">
        <v>12281440085.581882</v>
      </c>
      <c r="J343" s="381">
        <v>12250495367.232836</v>
      </c>
      <c r="K343" s="381">
        <v>12119864537.745672</v>
      </c>
      <c r="L343" s="381">
        <v>11909119335.53207</v>
      </c>
      <c r="M343" s="381">
        <v>11612745168.588034</v>
      </c>
      <c r="N343" s="381">
        <v>11237815628.537613</v>
      </c>
      <c r="O343" s="381">
        <v>10783293831.599743</v>
      </c>
      <c r="P343" s="381">
        <v>10264164494.363003</v>
      </c>
      <c r="Q343" s="381">
        <v>9927020331.6172066</v>
      </c>
      <c r="R343" s="381">
        <v>9550836237.5816994</v>
      </c>
      <c r="S343" s="381">
        <v>9130944610.0877151</v>
      </c>
      <c r="T343" s="381">
        <v>8670386229.168644</v>
      </c>
      <c r="U343" s="381">
        <v>8703327167.4854603</v>
      </c>
      <c r="V343" s="381">
        <v>8736708375.1142406</v>
      </c>
      <c r="W343" s="381">
        <v>8770529852.054987</v>
      </c>
      <c r="X343" s="381">
        <v>8804791598.3077011</v>
      </c>
      <c r="Y343" s="381">
        <v>8841132860.7599945</v>
      </c>
      <c r="Z343" s="381">
        <v>8878684258.3928757</v>
      </c>
      <c r="AA343" s="381">
        <v>8916235656.0257568</v>
      </c>
      <c r="AB343" s="381">
        <v>8955814216.7895107</v>
      </c>
      <c r="AC343" s="381">
        <v>8995392777.5532627</v>
      </c>
      <c r="AD343" s="381">
        <v>9034971338.3170204</v>
      </c>
      <c r="AE343" s="381">
        <v>9074549899.0807743</v>
      </c>
      <c r="AF343" s="381">
        <v>9114128459.8445282</v>
      </c>
      <c r="AG343" s="381">
        <v>9153707020.608284</v>
      </c>
      <c r="AH343" s="381">
        <v>9193285581.3720379</v>
      </c>
      <c r="AI343" s="381">
        <v>9232864142.1357918</v>
      </c>
      <c r="AJ343" s="381">
        <v>9272442702.8995457</v>
      </c>
      <c r="AK343" s="381">
        <v>9312021263.6633015</v>
      </c>
      <c r="AL343" s="381">
        <v>9351599824.4270554</v>
      </c>
      <c r="AM343" s="381">
        <v>9391178385.1908112</v>
      </c>
      <c r="AN343" s="381">
        <v>9430756945.9545593</v>
      </c>
    </row>
    <row r="344" spans="1:40">
      <c r="A344" s="30" t="s">
        <v>475</v>
      </c>
      <c r="B344" t="s">
        <v>446</v>
      </c>
      <c r="C344" t="s">
        <v>450</v>
      </c>
      <c r="D344" t="str">
        <f t="shared" si="51"/>
        <v>Total non-domestic electricity demandMore effective</v>
      </c>
      <c r="E344" s="381">
        <v>19618605322.817085</v>
      </c>
      <c r="F344" s="381">
        <v>19700783354.558136</v>
      </c>
      <c r="G344" s="381">
        <v>19782961386.299191</v>
      </c>
      <c r="H344" s="381">
        <v>19865139418.040241</v>
      </c>
      <c r="I344" s="381">
        <v>19896238738.244801</v>
      </c>
      <c r="J344" s="381">
        <v>19876269013.125179</v>
      </c>
      <c r="K344" s="381">
        <v>19804722667.766926</v>
      </c>
      <c r="L344" s="381">
        <v>19681655340.514477</v>
      </c>
      <c r="M344" s="381">
        <v>19503599991.951271</v>
      </c>
      <c r="N344" s="381">
        <v>19269348270.1567</v>
      </c>
      <c r="O344" s="381">
        <v>18984065755.42371</v>
      </c>
      <c r="P344" s="381">
        <v>18626519577.399544</v>
      </c>
      <c r="Q344" s="381">
        <v>18218329594.436325</v>
      </c>
      <c r="R344" s="381">
        <v>17767561786.241402</v>
      </c>
      <c r="S344" s="381">
        <v>17266287550.641762</v>
      </c>
      <c r="T344" s="381">
        <v>16716046768.50049</v>
      </c>
      <c r="U344" s="381">
        <v>16766337050.413904</v>
      </c>
      <c r="V344" s="381">
        <v>16818333410.077927</v>
      </c>
      <c r="W344" s="381">
        <v>16872037395.662596</v>
      </c>
      <c r="X344" s="381">
        <v>16927450558.489958</v>
      </c>
      <c r="Y344" s="381">
        <v>16988120588.5007</v>
      </c>
      <c r="Z344" s="381">
        <v>17048790526.163769</v>
      </c>
      <c r="AA344" s="381">
        <v>17109460371.294659</v>
      </c>
      <c r="AB344" s="381">
        <v>17170130123.708363</v>
      </c>
      <c r="AC344" s="381">
        <v>17230799783.219372</v>
      </c>
      <c r="AD344" s="381">
        <v>17291469349.641651</v>
      </c>
      <c r="AE344" s="381">
        <v>17352138822.78867</v>
      </c>
      <c r="AF344" s="381">
        <v>17412808202.473377</v>
      </c>
      <c r="AG344" s="381">
        <v>17473477488.508205</v>
      </c>
      <c r="AH344" s="381">
        <v>17534146680.705067</v>
      </c>
      <c r="AI344" s="381">
        <v>17594815778.875362</v>
      </c>
      <c r="AJ344" s="381">
        <v>17655484782.829967</v>
      </c>
      <c r="AK344" s="381">
        <v>17716153692.379238</v>
      </c>
      <c r="AL344" s="381">
        <v>17776822507.332993</v>
      </c>
      <c r="AM344" s="381">
        <v>17837491227.500542</v>
      </c>
      <c r="AN344" s="381">
        <v>17898159852.690659</v>
      </c>
    </row>
    <row r="345" spans="1:40">
      <c r="A345" s="30" t="s">
        <v>475</v>
      </c>
      <c r="B345" t="s">
        <v>446</v>
      </c>
      <c r="C345" t="s">
        <v>451</v>
      </c>
      <c r="D345" t="str">
        <f t="shared" si="51"/>
        <v>Estimated additional cooking electricity demandMore effective</v>
      </c>
      <c r="E345" s="381">
        <v>0</v>
      </c>
      <c r="F345" s="381">
        <v>14170944.699998856</v>
      </c>
      <c r="G345" s="381">
        <v>28341889.399997711</v>
      </c>
      <c r="H345" s="381">
        <v>42512834.099996567</v>
      </c>
      <c r="I345" s="381">
        <v>56683778.799995422</v>
      </c>
      <c r="J345" s="381">
        <v>70854723.499994278</v>
      </c>
      <c r="K345" s="381">
        <v>85025668.199993134</v>
      </c>
      <c r="L345" s="381">
        <v>99196612.899991989</v>
      </c>
      <c r="M345" s="381">
        <v>113367557.59999084</v>
      </c>
      <c r="N345" s="381">
        <v>127538502.2999897</v>
      </c>
      <c r="O345" s="381">
        <v>141709447</v>
      </c>
      <c r="P345" s="381">
        <v>160285997</v>
      </c>
      <c r="Q345" s="381">
        <v>178862547</v>
      </c>
      <c r="R345" s="381">
        <v>197439097</v>
      </c>
      <c r="S345" s="381">
        <v>216015647</v>
      </c>
      <c r="T345" s="381">
        <v>234592197</v>
      </c>
      <c r="U345" s="381">
        <v>253168747</v>
      </c>
      <c r="V345" s="381">
        <v>271745297</v>
      </c>
      <c r="W345" s="381">
        <v>290321847</v>
      </c>
      <c r="X345" s="381">
        <v>308898397</v>
      </c>
      <c r="Y345" s="381">
        <v>327474947</v>
      </c>
      <c r="Z345" s="381">
        <v>346051497</v>
      </c>
      <c r="AA345" s="381">
        <v>364628047</v>
      </c>
      <c r="AB345" s="381">
        <v>383204597</v>
      </c>
      <c r="AC345" s="381">
        <v>401781147</v>
      </c>
      <c r="AD345" s="381">
        <v>420357697</v>
      </c>
      <c r="AE345" s="381">
        <v>438934247</v>
      </c>
      <c r="AF345" s="381">
        <v>457510797</v>
      </c>
      <c r="AG345" s="381">
        <v>476087347</v>
      </c>
      <c r="AH345" s="381">
        <v>494663897</v>
      </c>
      <c r="AI345" s="381">
        <v>513240447</v>
      </c>
      <c r="AJ345" s="381">
        <v>531816997</v>
      </c>
      <c r="AK345" s="381">
        <v>550393547</v>
      </c>
      <c r="AL345" s="381">
        <v>568970097</v>
      </c>
      <c r="AM345" s="381">
        <v>587546647</v>
      </c>
      <c r="AN345" s="381">
        <v>606123197</v>
      </c>
    </row>
    <row r="346" spans="1:40">
      <c r="A346" s="30" t="s">
        <v>475</v>
      </c>
      <c r="B346" t="s">
        <v>446</v>
      </c>
      <c r="C346" t="s">
        <v>372</v>
      </c>
      <c r="D346" t="str">
        <f t="shared" si="51"/>
        <v>Existing domestic heat demandMore effective</v>
      </c>
      <c r="E346" s="80">
        <v>34208540661.939991</v>
      </c>
      <c r="F346" s="106">
        <v>34208540661.939991</v>
      </c>
      <c r="G346" s="106">
        <v>34208540661.939991</v>
      </c>
      <c r="H346" s="106">
        <v>34208540661.939991</v>
      </c>
      <c r="I346" s="106">
        <v>34208473630.029579</v>
      </c>
      <c r="J346" s="106">
        <v>34108983277.325748</v>
      </c>
      <c r="K346" s="106">
        <v>33800765945.893944</v>
      </c>
      <c r="L346" s="106">
        <v>32648867416.637157</v>
      </c>
      <c r="M346" s="106">
        <v>30664187620.595825</v>
      </c>
      <c r="N346" s="106">
        <v>28480652080.334606</v>
      </c>
      <c r="O346" s="80">
        <v>26514822914.902912</v>
      </c>
      <c r="P346" s="106">
        <v>24842049757.780113</v>
      </c>
      <c r="Q346" s="106">
        <v>23466544761.218994</v>
      </c>
      <c r="R346" s="106">
        <v>22427293858.371239</v>
      </c>
      <c r="S346" s="106">
        <v>21866521899.943539</v>
      </c>
      <c r="T346" s="106">
        <v>21693009881.866806</v>
      </c>
      <c r="U346" s="106">
        <v>21690764970.543449</v>
      </c>
      <c r="V346" s="106">
        <v>21688704823.287964</v>
      </c>
      <c r="W346" s="106">
        <v>21686829440.100372</v>
      </c>
      <c r="X346" s="106">
        <v>21685138820.980667</v>
      </c>
      <c r="Y346" s="106">
        <v>21684182269.371216</v>
      </c>
      <c r="Z346" s="106">
        <v>21683545236.926365</v>
      </c>
      <c r="AA346" s="106">
        <v>21682913778.357903</v>
      </c>
      <c r="AB346" s="106">
        <v>21682846891.841301</v>
      </c>
      <c r="AC346" s="106">
        <v>21682785579.201084</v>
      </c>
      <c r="AD346" s="106">
        <v>21682729840.437248</v>
      </c>
      <c r="AE346" s="106">
        <v>21682679675.549801</v>
      </c>
      <c r="AF346" s="106">
        <v>21682635084.538734</v>
      </c>
      <c r="AG346" s="106">
        <v>21682596067.404049</v>
      </c>
      <c r="AH346" s="106">
        <v>21682562624.145752</v>
      </c>
      <c r="AI346" s="106">
        <v>21682534754.763832</v>
      </c>
      <c r="AJ346" s="106">
        <v>21682512459.258297</v>
      </c>
      <c r="AK346" s="106">
        <v>21682495737.62915</v>
      </c>
      <c r="AL346" s="106">
        <v>21682484589.876381</v>
      </c>
      <c r="AM346" s="106">
        <v>21682479016</v>
      </c>
      <c r="AN346" s="80">
        <v>21682479016</v>
      </c>
    </row>
    <row r="347" spans="1:40">
      <c r="A347" s="30" t="s">
        <v>475</v>
      </c>
      <c r="B347" t="s">
        <v>446</v>
      </c>
      <c r="C347" t="s">
        <v>373</v>
      </c>
      <c r="D347" t="str">
        <f t="shared" si="51"/>
        <v>Existing non-domestic heat demandMore effective</v>
      </c>
      <c r="E347" s="80">
        <v>18723008369.73642</v>
      </c>
      <c r="F347" s="106">
        <v>18723008369.736416</v>
      </c>
      <c r="G347" s="106">
        <v>18723008369.736416</v>
      </c>
      <c r="H347" s="106">
        <v>18723008369.73642</v>
      </c>
      <c r="I347" s="106">
        <v>18682732301.461319</v>
      </c>
      <c r="J347" s="106">
        <v>18602351420.345314</v>
      </c>
      <c r="K347" s="106">
        <v>18437035542.988438</v>
      </c>
      <c r="L347" s="106">
        <v>18187535310.441204</v>
      </c>
      <c r="M347" s="106">
        <v>17686499415.431686</v>
      </c>
      <c r="N347" s="106">
        <v>16895400808.384375</v>
      </c>
      <c r="O347" s="80">
        <v>16029864727.574751</v>
      </c>
      <c r="P347" s="106">
        <v>15071184546.456749</v>
      </c>
      <c r="Q347" s="106">
        <v>14023089657.3393</v>
      </c>
      <c r="R347" s="106">
        <v>13239434528.439034</v>
      </c>
      <c r="S347" s="106">
        <v>12364053913.377546</v>
      </c>
      <c r="T347" s="106">
        <v>11499404594.468555</v>
      </c>
      <c r="U347" s="106">
        <v>10769593689.754158</v>
      </c>
      <c r="V347" s="106">
        <v>10170428109.542116</v>
      </c>
      <c r="W347" s="106">
        <v>9698753233.9484406</v>
      </c>
      <c r="X347" s="106">
        <v>9352458383.0333385</v>
      </c>
      <c r="Y347" s="106">
        <v>9352912160.0628796</v>
      </c>
      <c r="Z347" s="106">
        <v>9353393169.7436085</v>
      </c>
      <c r="AA347" s="106">
        <v>9353280676.8489647</v>
      </c>
      <c r="AB347" s="106">
        <v>9353195635.7910328</v>
      </c>
      <c r="AC347" s="106">
        <v>9353138156.8403587</v>
      </c>
      <c r="AD347" s="106">
        <v>9353108350.7221851</v>
      </c>
      <c r="AE347" s="106">
        <v>9353051429.6984177</v>
      </c>
      <c r="AF347" s="106">
        <v>9352967285.0479355</v>
      </c>
      <c r="AG347" s="106">
        <v>9352855807.6010513</v>
      </c>
      <c r="AH347" s="106">
        <v>9352716887.7373905</v>
      </c>
      <c r="AI347" s="106">
        <v>9352550415.3837967</v>
      </c>
      <c r="AJ347" s="106">
        <v>9352356280.0121803</v>
      </c>
      <c r="AK347" s="106">
        <v>9352134370.6373901</v>
      </c>
      <c r="AL347" s="106">
        <v>9351884575.8150558</v>
      </c>
      <c r="AM347" s="106">
        <v>9351606783.6394234</v>
      </c>
      <c r="AN347" s="80">
        <v>9351300881.7411842</v>
      </c>
    </row>
    <row r="348" spans="1:40">
      <c r="A348" s="30" t="s">
        <v>475</v>
      </c>
      <c r="B348" t="s">
        <v>446</v>
      </c>
      <c r="C348" t="s">
        <v>374</v>
      </c>
      <c r="D348" t="str">
        <f t="shared" si="51"/>
        <v>Existing domestic electricity demandMore effective</v>
      </c>
      <c r="E348" s="80">
        <v>11858086493.000008</v>
      </c>
      <c r="F348" s="106">
        <v>11858086493.000008</v>
      </c>
      <c r="G348" s="106">
        <v>11858086493.000008</v>
      </c>
      <c r="H348" s="106">
        <v>11858086493.000008</v>
      </c>
      <c r="I348" s="106">
        <v>11780196061.821226</v>
      </c>
      <c r="J348" s="106">
        <v>11623940337.532015</v>
      </c>
      <c r="K348" s="106">
        <v>11387255979.290573</v>
      </c>
      <c r="L348" s="106">
        <v>11070457248.322691</v>
      </c>
      <c r="M348" s="106">
        <v>10668029552.624376</v>
      </c>
      <c r="N348" s="106">
        <v>10187046483.819675</v>
      </c>
      <c r="O348" s="80">
        <v>9626471158.1275253</v>
      </c>
      <c r="P348" s="106">
        <v>9021485849.7224083</v>
      </c>
      <c r="Q348" s="106">
        <v>8598485715.8082333</v>
      </c>
      <c r="R348" s="106">
        <v>8136445650.6043491</v>
      </c>
      <c r="S348" s="106">
        <v>7630698051.9419861</v>
      </c>
      <c r="T348" s="106">
        <v>7084283699.854538</v>
      </c>
      <c r="U348" s="106">
        <v>7077646077.4076004</v>
      </c>
      <c r="V348" s="106">
        <v>7071448724.2726288</v>
      </c>
      <c r="W348" s="106">
        <v>7065691640.4496212</v>
      </c>
      <c r="X348" s="106">
        <v>7060374825.9385815</v>
      </c>
      <c r="Y348" s="106">
        <v>7057137527.6271219</v>
      </c>
      <c r="Z348" s="106">
        <v>7055110364.4962502</v>
      </c>
      <c r="AA348" s="106">
        <v>7053083201.3653793</v>
      </c>
      <c r="AB348" s="106">
        <v>7053083201.3653793</v>
      </c>
      <c r="AC348" s="106">
        <v>7053083201.3653793</v>
      </c>
      <c r="AD348" s="106">
        <v>7053083201.3653793</v>
      </c>
      <c r="AE348" s="106">
        <v>7053083201.3653793</v>
      </c>
      <c r="AF348" s="106">
        <v>7053083201.3653793</v>
      </c>
      <c r="AG348" s="106">
        <v>7053083201.3653793</v>
      </c>
      <c r="AH348" s="106">
        <v>7053083201.3653793</v>
      </c>
      <c r="AI348" s="106">
        <v>7053083201.3653793</v>
      </c>
      <c r="AJ348" s="106">
        <v>7053083201.3653793</v>
      </c>
      <c r="AK348" s="106">
        <v>7053083201.3653793</v>
      </c>
      <c r="AL348" s="106">
        <v>7053083201.3653793</v>
      </c>
      <c r="AM348" s="106">
        <v>7053083201.3653793</v>
      </c>
      <c r="AN348" s="80">
        <v>7053083201.3653793</v>
      </c>
    </row>
    <row r="349" spans="1:40">
      <c r="A349" s="30" t="s">
        <v>475</v>
      </c>
      <c r="B349" t="s">
        <v>446</v>
      </c>
      <c r="C349" t="s">
        <v>375</v>
      </c>
      <c r="D349" t="str">
        <f t="shared" si="51"/>
        <v>Existing non-domestic electricity demandMore effective</v>
      </c>
      <c r="E349" s="381">
        <v>19618605322.817085</v>
      </c>
      <c r="F349" s="381">
        <v>19618605322.817085</v>
      </c>
      <c r="G349" s="381">
        <v>19618605322.817085</v>
      </c>
      <c r="H349" s="381">
        <v>19618605322.817085</v>
      </c>
      <c r="I349" s="381">
        <v>19567526611.280594</v>
      </c>
      <c r="J349" s="381">
        <v>19465378854.419918</v>
      </c>
      <c r="K349" s="381">
        <v>19311654477.320614</v>
      </c>
      <c r="L349" s="381">
        <v>19106409118.327114</v>
      </c>
      <c r="M349" s="381">
        <v>18846175738.022854</v>
      </c>
      <c r="N349" s="381">
        <v>18529745984.487232</v>
      </c>
      <c r="O349" s="381">
        <v>18162285438.013191</v>
      </c>
      <c r="P349" s="381">
        <v>17743997539.94669</v>
      </c>
      <c r="Q349" s="381">
        <v>17275065836.941135</v>
      </c>
      <c r="R349" s="381">
        <v>16763556308.703873</v>
      </c>
      <c r="S349" s="381">
        <v>16201540353.061899</v>
      </c>
      <c r="T349" s="381">
        <v>15590557850.87829</v>
      </c>
      <c r="U349" s="381">
        <v>15580106412.749369</v>
      </c>
      <c r="V349" s="381">
        <v>15571361052.371056</v>
      </c>
      <c r="W349" s="381">
        <v>15564323317.913387</v>
      </c>
      <c r="X349" s="381">
        <v>15558994760.698414</v>
      </c>
      <c r="Y349" s="381">
        <v>15558923070.666821</v>
      </c>
      <c r="Z349" s="381">
        <v>15558851288.287554</v>
      </c>
      <c r="AA349" s="381">
        <v>15558779413.376106</v>
      </c>
      <c r="AB349" s="381">
        <v>15558707445.747475</v>
      </c>
      <c r="AC349" s="381">
        <v>15558635385.216146</v>
      </c>
      <c r="AD349" s="381">
        <v>15558563231.59609</v>
      </c>
      <c r="AE349" s="381">
        <v>15558490984.700775</v>
      </c>
      <c r="AF349" s="381">
        <v>15558418644.343145</v>
      </c>
      <c r="AG349" s="381">
        <v>15558346210.335636</v>
      </c>
      <c r="AH349" s="381">
        <v>15558273682.490162</v>
      </c>
      <c r="AI349" s="381">
        <v>15558201060.618122</v>
      </c>
      <c r="AJ349" s="381">
        <v>15558128344.530392</v>
      </c>
      <c r="AK349" s="381">
        <v>15558055534.037325</v>
      </c>
      <c r="AL349" s="381">
        <v>15557982628.948746</v>
      </c>
      <c r="AM349" s="381">
        <v>15557909629.073959</v>
      </c>
      <c r="AN349" s="381">
        <v>15557836534.221737</v>
      </c>
    </row>
    <row r="350" spans="1:40">
      <c r="A350" s="30" t="s">
        <v>475</v>
      </c>
      <c r="B350" t="s">
        <v>452</v>
      </c>
      <c r="C350" t="s">
        <v>380</v>
      </c>
      <c r="D350" t="str">
        <f t="shared" si="51"/>
        <v>% new domestic heat demand from solar thermalMore effective</v>
      </c>
      <c r="E350" s="381">
        <v>0</v>
      </c>
      <c r="F350" s="381">
        <v>0</v>
      </c>
      <c r="G350" s="381">
        <v>0</v>
      </c>
      <c r="H350" s="381">
        <v>0</v>
      </c>
      <c r="I350" s="381">
        <v>0</v>
      </c>
      <c r="J350" s="381">
        <v>3.8494588464477813E-3</v>
      </c>
      <c r="K350" s="381">
        <v>6.078472907222977E-3</v>
      </c>
      <c r="L350" s="381">
        <v>7.7437442869030685E-3</v>
      </c>
      <c r="M350" s="381">
        <v>9.0351298047125876E-3</v>
      </c>
      <c r="N350" s="381">
        <v>1.0065837719198235E-2</v>
      </c>
      <c r="O350" s="381">
        <v>1.0907562111917202E-2</v>
      </c>
      <c r="P350" s="381">
        <v>1.1483749530573156E-2</v>
      </c>
      <c r="Q350" s="381">
        <v>1.1985465227054844E-2</v>
      </c>
      <c r="R350" s="381">
        <v>1.2426270890949411E-2</v>
      </c>
      <c r="S350" s="381">
        <v>1.2816623783378245E-2</v>
      </c>
      <c r="T350" s="381">
        <v>1.3164716952922258E-2</v>
      </c>
      <c r="U350" s="381">
        <v>1.3312802365195909E-2</v>
      </c>
      <c r="V350" s="381">
        <v>1.3453848625965549E-2</v>
      </c>
      <c r="W350" s="381">
        <v>1.3588345986124713E-2</v>
      </c>
      <c r="X350" s="381">
        <v>1.3716740203931726E-2</v>
      </c>
      <c r="Y350" s="381">
        <v>1.3839437480433103E-2</v>
      </c>
      <c r="Z350" s="381">
        <v>1.3956808752181062E-2</v>
      </c>
      <c r="AA350" s="381">
        <v>1.4069193436815145E-2</v>
      </c>
      <c r="AB350" s="381">
        <v>1.4176902711174574E-2</v>
      </c>
      <c r="AC350" s="381">
        <v>1.428022238862081E-2</v>
      </c>
      <c r="AD350" s="381">
        <v>1.4379415451597091E-2</v>
      </c>
      <c r="AE350" s="381">
        <v>1.4474724286676075E-2</v>
      </c>
      <c r="AF350" s="381">
        <v>1.456637266208784E-2</v>
      </c>
      <c r="AG350" s="381">
        <v>1.4654567481692122E-2</v>
      </c>
      <c r="AH350" s="381">
        <v>1.4739500344334432E-2</v>
      </c>
      <c r="AI350" s="381">
        <v>1.4821348933321474E-2</v>
      </c>
      <c r="AJ350" s="381">
        <v>1.4900278257222878E-2</v>
      </c>
      <c r="AK350" s="381">
        <v>1.4976441760233305E-2</v>
      </c>
      <c r="AL350" s="381">
        <v>1.5049982317817418E-2</v>
      </c>
      <c r="AM350" s="381">
        <v>1.5121033131231079E-2</v>
      </c>
      <c r="AN350" s="381">
        <v>1.5189718532701735E-2</v>
      </c>
    </row>
    <row r="351" spans="1:40">
      <c r="A351" s="30" t="s">
        <v>475</v>
      </c>
      <c r="B351" t="s">
        <v>452</v>
      </c>
      <c r="C351" t="s">
        <v>381</v>
      </c>
      <c r="D351" t="str">
        <f t="shared" si="51"/>
        <v>% new non-domestic heat demand from solar thermalMore effective</v>
      </c>
      <c r="E351" s="381">
        <v>0</v>
      </c>
      <c r="F351" s="381">
        <v>0</v>
      </c>
      <c r="G351" s="381">
        <v>0</v>
      </c>
      <c r="H351" s="381">
        <v>0</v>
      </c>
      <c r="I351" s="381">
        <v>0</v>
      </c>
      <c r="J351" s="381">
        <v>6.2087820672609116E-3</v>
      </c>
      <c r="K351" s="381">
        <v>1.0347970112101522E-2</v>
      </c>
      <c r="L351" s="381">
        <v>1.3304533001273383E-2</v>
      </c>
      <c r="M351" s="381">
        <v>1.5521955168152279E-2</v>
      </c>
      <c r="N351" s="381">
        <v>1.7246616853502532E-2</v>
      </c>
      <c r="O351" s="381">
        <v>1.8626346201782738E-2</v>
      </c>
      <c r="P351" s="381">
        <v>1.9493697003782746E-2</v>
      </c>
      <c r="Q351" s="381">
        <v>2.0248098229741378E-2</v>
      </c>
      <c r="R351" s="381">
        <v>2.0910264190128706E-2</v>
      </c>
      <c r="S351" s="381">
        <v>2.1496135816483224E-2</v>
      </c>
      <c r="T351" s="381">
        <v>2.2018180729025946E-2</v>
      </c>
      <c r="U351" s="381">
        <v>2.2486290353187412E-2</v>
      </c>
      <c r="V351" s="381">
        <v>2.290841263650658E-2</v>
      </c>
      <c r="W351" s="381">
        <v>2.3291007021043024E-2</v>
      </c>
      <c r="X351" s="381">
        <v>2.363937732031203E-2</v>
      </c>
      <c r="Y351" s="381">
        <v>2.3957919090399651E-2</v>
      </c>
      <c r="Z351" s="381">
        <v>2.4250306067716575E-2</v>
      </c>
      <c r="AA351" s="381">
        <v>2.4519632493733311E-2</v>
      </c>
      <c r="AB351" s="381">
        <v>2.4768523041881894E-2</v>
      </c>
      <c r="AC351" s="381">
        <v>2.4999218636090371E-2</v>
      </c>
      <c r="AD351" s="381">
        <v>2.521364411191299E-2</v>
      </c>
      <c r="AE351" s="381">
        <v>2.5413462049603923E-2</v>
      </c>
      <c r="AF351" s="381">
        <v>2.5600115967610922E-2</v>
      </c>
      <c r="AG351" s="381">
        <v>2.5774865251532036E-2</v>
      </c>
      <c r="AH351" s="381">
        <v>2.5938813606390217E-2</v>
      </c>
      <c r="AI351" s="381">
        <v>2.6092932391315504E-2</v>
      </c>
      <c r="AJ351" s="381">
        <v>2.6238079879272319E-2</v>
      </c>
      <c r="AK351" s="381">
        <v>2.6375017248566644E-2</v>
      </c>
      <c r="AL351" s="381">
        <v>2.6504421935359648E-2</v>
      </c>
      <c r="AM351" s="381">
        <v>2.6626898841669681E-2</v>
      </c>
      <c r="AN351" s="381">
        <v>2.6742989790215374E-2</v>
      </c>
    </row>
    <row r="352" spans="1:40">
      <c r="A352" s="30" t="s">
        <v>475</v>
      </c>
      <c r="B352" t="s">
        <v>452</v>
      </c>
      <c r="C352" t="s">
        <v>382</v>
      </c>
      <c r="D352" t="str">
        <f t="shared" si="51"/>
        <v>% existing domestic heat demand from solar thermalMore effective</v>
      </c>
      <c r="E352" s="381">
        <v>0</v>
      </c>
      <c r="F352" s="381">
        <v>0</v>
      </c>
      <c r="G352" s="381">
        <v>0</v>
      </c>
      <c r="H352" s="381">
        <v>0</v>
      </c>
      <c r="I352" s="381">
        <v>0</v>
      </c>
      <c r="J352" s="381">
        <v>0</v>
      </c>
      <c r="K352" s="381">
        <v>5.7352509739877284E-5</v>
      </c>
      <c r="L352" s="381">
        <v>1.1545629025043539E-4</v>
      </c>
      <c r="M352" s="381">
        <v>1.7662697649127435E-4</v>
      </c>
      <c r="N352" s="381">
        <v>2.40848073040915E-4</v>
      </c>
      <c r="O352" s="381">
        <v>3.0997338376527629E-4</v>
      </c>
      <c r="P352" s="381">
        <v>3.8442585195120536E-4</v>
      </c>
      <c r="Q352" s="381">
        <v>3.9894335146046302E-4</v>
      </c>
      <c r="R352" s="381">
        <v>4.1023625547957182E-4</v>
      </c>
      <c r="S352" s="381">
        <v>4.235315867406566E-4</v>
      </c>
      <c r="T352" s="381">
        <v>4.3790464924571028E-4</v>
      </c>
      <c r="U352" s="381">
        <v>4.900571014706508E-4</v>
      </c>
      <c r="V352" s="381">
        <v>5.8512918453132977E-4</v>
      </c>
      <c r="W352" s="381">
        <v>7.2562355589723157E-4</v>
      </c>
      <c r="X352" s="381">
        <v>9.1355042094467664E-4</v>
      </c>
      <c r="Y352" s="381">
        <v>1.1402110315830438E-3</v>
      </c>
      <c r="Z352" s="381">
        <v>1.4086862231208301E-3</v>
      </c>
      <c r="AA352" s="381">
        <v>1.7237177312228258E-3</v>
      </c>
      <c r="AB352" s="381">
        <v>2.0763130874973165E-3</v>
      </c>
      <c r="AC352" s="381">
        <v>2.4729828633061192E-3</v>
      </c>
      <c r="AD352" s="381">
        <v>2.9137270586492327E-3</v>
      </c>
      <c r="AE352" s="381">
        <v>3.3191520515210926E-3</v>
      </c>
      <c r="AF352" s="381">
        <v>3.6795298229627465E-3</v>
      </c>
      <c r="AG352" s="381">
        <v>3.9948603729741926E-3</v>
      </c>
      <c r="AH352" s="381">
        <v>4.2651437015554326E-3</v>
      </c>
      <c r="AI352" s="381">
        <v>4.4903798087064656E-3</v>
      </c>
      <c r="AJ352" s="381">
        <v>4.6705686944272908E-3</v>
      </c>
      <c r="AK352" s="381">
        <v>4.8057103587179116E-3</v>
      </c>
      <c r="AL352" s="381">
        <v>4.8958048015783255E-3</v>
      </c>
      <c r="AM352" s="381">
        <v>4.9408520230085316E-3</v>
      </c>
      <c r="AN352" s="381">
        <v>4.9408520230085316E-3</v>
      </c>
    </row>
    <row r="353" spans="1:40">
      <c r="A353" s="30" t="s">
        <v>475</v>
      </c>
      <c r="B353" t="s">
        <v>452</v>
      </c>
      <c r="C353" t="s">
        <v>383</v>
      </c>
      <c r="D353" t="str">
        <f t="shared" si="51"/>
        <v>% existing non-domestic heat demand from solar thermalMore effective</v>
      </c>
      <c r="E353" s="381">
        <v>0</v>
      </c>
      <c r="F353" s="381">
        <v>0</v>
      </c>
      <c r="G353" s="381">
        <v>0</v>
      </c>
      <c r="H353" s="381">
        <v>0</v>
      </c>
      <c r="I353" s="381">
        <v>0</v>
      </c>
      <c r="J353" s="381">
        <v>0</v>
      </c>
      <c r="K353" s="381">
        <v>1.2722429083618565E-4</v>
      </c>
      <c r="L353" s="381">
        <v>2.5559711293152767E-4</v>
      </c>
      <c r="M353" s="381">
        <v>3.8660650790096874E-4</v>
      </c>
      <c r="N353" s="381">
        <v>5.2251172221733826E-4</v>
      </c>
      <c r="O353" s="381">
        <v>6.645112965408791E-4</v>
      </c>
      <c r="P353" s="381">
        <v>8.1295294170078281E-4</v>
      </c>
      <c r="Q353" s="381">
        <v>8.3232126009140817E-4</v>
      </c>
      <c r="R353" s="381">
        <v>8.4887290974327147E-4</v>
      </c>
      <c r="S353" s="381">
        <v>8.6980127650979891E-4</v>
      </c>
      <c r="T353" s="381">
        <v>8.9356881173066269E-4</v>
      </c>
      <c r="U353" s="381">
        <v>1.1307208882721331E-3</v>
      </c>
      <c r="V353" s="381">
        <v>1.593386544385116E-3</v>
      </c>
      <c r="W353" s="381">
        <v>2.2945234361374605E-3</v>
      </c>
      <c r="X353" s="381">
        <v>3.2465972387926019E-3</v>
      </c>
      <c r="Y353" s="381">
        <v>4.381835465242059E-3</v>
      </c>
      <c r="Z353" s="381">
        <v>5.5555708344972336E-3</v>
      </c>
      <c r="AA353" s="381">
        <v>5.8243359791699083E-3</v>
      </c>
      <c r="AB353" s="381">
        <v>6.1317515858206615E-3</v>
      </c>
      <c r="AC353" s="381">
        <v>6.477894628330043E-3</v>
      </c>
      <c r="AD353" s="381">
        <v>6.8628422910870018E-3</v>
      </c>
      <c r="AE353" s="381">
        <v>7.2099313525370379E-3</v>
      </c>
      <c r="AF353" s="381">
        <v>7.51908630690075E-3</v>
      </c>
      <c r="AG353" s="381">
        <v>7.7902314415701076E-3</v>
      </c>
      <c r="AH353" s="381">
        <v>8.0232908363819626E-3</v>
      </c>
      <c r="AI353" s="381">
        <v>8.2181883628885035E-3</v>
      </c>
      <c r="AJ353" s="381">
        <v>8.3748476836245072E-3</v>
      </c>
      <c r="AK353" s="381">
        <v>8.4931922513714585E-3</v>
      </c>
      <c r="AL353" s="381">
        <v>8.573145308418505E-3</v>
      </c>
      <c r="AM353" s="381">
        <v>8.6146298858201832E-3</v>
      </c>
      <c r="AN353" s="381">
        <v>8.6175688026509829E-3</v>
      </c>
    </row>
    <row r="354" spans="1:40">
      <c r="A354" s="30" t="s">
        <v>475</v>
      </c>
      <c r="B354" t="s">
        <v>453</v>
      </c>
      <c r="C354" t="s">
        <v>384</v>
      </c>
      <c r="D354" t="str">
        <f t="shared" si="51"/>
        <v>Fuel Poor - Extended RE:NEWMore effective</v>
      </c>
      <c r="E354" s="381">
        <v>0</v>
      </c>
      <c r="F354" s="381">
        <v>0</v>
      </c>
      <c r="G354" s="381">
        <v>0</v>
      </c>
      <c r="H354" s="381">
        <v>0</v>
      </c>
      <c r="I354" s="381">
        <v>0</v>
      </c>
      <c r="J354" s="381">
        <v>0</v>
      </c>
      <c r="K354" s="381">
        <v>0</v>
      </c>
      <c r="L354" s="381">
        <v>0</v>
      </c>
      <c r="M354" s="381">
        <v>0</v>
      </c>
      <c r="N354" s="381">
        <v>0</v>
      </c>
      <c r="O354" s="381">
        <v>0</v>
      </c>
      <c r="P354" s="381">
        <v>0</v>
      </c>
      <c r="Q354" s="381">
        <v>0</v>
      </c>
      <c r="R354" s="381">
        <v>0</v>
      </c>
      <c r="S354" s="381">
        <v>0</v>
      </c>
      <c r="T354" s="381">
        <v>0</v>
      </c>
      <c r="U354" s="381">
        <v>0</v>
      </c>
      <c r="V354" s="381">
        <v>0</v>
      </c>
      <c r="W354" s="381">
        <v>0</v>
      </c>
      <c r="X354" s="381">
        <v>0</v>
      </c>
      <c r="Y354" s="381">
        <v>0</v>
      </c>
      <c r="Z354" s="381">
        <v>0</v>
      </c>
      <c r="AA354" s="381">
        <v>0</v>
      </c>
      <c r="AB354" s="381">
        <v>0</v>
      </c>
      <c r="AC354" s="381">
        <v>0</v>
      </c>
      <c r="AD354" s="381">
        <v>0</v>
      </c>
      <c r="AE354" s="381">
        <v>0</v>
      </c>
      <c r="AF354" s="381">
        <v>0</v>
      </c>
      <c r="AG354" s="381">
        <v>0</v>
      </c>
      <c r="AH354" s="381">
        <v>0</v>
      </c>
      <c r="AI354" s="381">
        <v>0</v>
      </c>
      <c r="AJ354" s="381">
        <v>0</v>
      </c>
      <c r="AK354" s="381">
        <v>0</v>
      </c>
      <c r="AL354" s="381">
        <v>0</v>
      </c>
      <c r="AM354" s="381">
        <v>0</v>
      </c>
      <c r="AN354" s="381">
        <v>0</v>
      </c>
    </row>
    <row r="355" spans="1:40">
      <c r="A355" s="30" t="s">
        <v>475</v>
      </c>
      <c r="B355" t="s">
        <v>453</v>
      </c>
      <c r="C355" t="s">
        <v>385</v>
      </c>
      <c r="D355" t="str">
        <f t="shared" si="51"/>
        <v>Fuel Poor - Landlord MEES - EPC CMore effective</v>
      </c>
      <c r="E355" s="80">
        <v>0</v>
      </c>
      <c r="F355" s="106">
        <v>0</v>
      </c>
      <c r="G355" s="106">
        <v>0</v>
      </c>
      <c r="H355" s="106">
        <v>0</v>
      </c>
      <c r="I355" s="106">
        <v>1290.8424744962078</v>
      </c>
      <c r="J355" s="106">
        <v>2581.6849489924157</v>
      </c>
      <c r="K355" s="106">
        <v>3872.5274234886238</v>
      </c>
      <c r="L355" s="106">
        <v>5163.3698979848314</v>
      </c>
      <c r="M355" s="106">
        <v>6454.212372481039</v>
      </c>
      <c r="N355" s="106">
        <v>7745.0548469772475</v>
      </c>
      <c r="O355" s="80">
        <v>9035.8973214734542</v>
      </c>
      <c r="P355" s="106">
        <v>10326.739795969663</v>
      </c>
      <c r="Q355" s="106">
        <v>11617.582270465871</v>
      </c>
      <c r="R355" s="106">
        <v>12908.424744962078</v>
      </c>
      <c r="S355" s="106">
        <v>14199.267219458286</v>
      </c>
      <c r="T355" s="106">
        <v>14199.267219458286</v>
      </c>
      <c r="U355" s="106">
        <v>0</v>
      </c>
      <c r="V355" s="106">
        <v>0</v>
      </c>
      <c r="W355" s="106">
        <v>0</v>
      </c>
      <c r="X355" s="106">
        <v>0</v>
      </c>
      <c r="Y355" s="106">
        <v>0</v>
      </c>
      <c r="Z355" s="106">
        <v>0</v>
      </c>
      <c r="AA355" s="106">
        <v>0</v>
      </c>
      <c r="AB355" s="106">
        <v>0</v>
      </c>
      <c r="AC355" s="106">
        <v>0</v>
      </c>
      <c r="AD355" s="106">
        <v>0</v>
      </c>
      <c r="AE355" s="106">
        <v>0</v>
      </c>
      <c r="AF355" s="106">
        <v>0</v>
      </c>
      <c r="AG355" s="106">
        <v>0</v>
      </c>
      <c r="AH355" s="106">
        <v>0</v>
      </c>
      <c r="AI355" s="106">
        <v>0</v>
      </c>
      <c r="AJ355" s="106">
        <v>0</v>
      </c>
      <c r="AK355" s="106">
        <v>0</v>
      </c>
      <c r="AL355" s="106">
        <v>0</v>
      </c>
      <c r="AM355" s="106">
        <v>0</v>
      </c>
      <c r="AN355" s="80">
        <v>0</v>
      </c>
    </row>
    <row r="356" spans="1:40">
      <c r="A356" s="30" t="s">
        <v>475</v>
      </c>
      <c r="B356" t="s">
        <v>453</v>
      </c>
      <c r="C356" t="s">
        <v>386</v>
      </c>
      <c r="D356" t="str">
        <f t="shared" si="51"/>
        <v>Fuel Poor - All buildings MEES - EPC CMore effective</v>
      </c>
      <c r="E356" s="80">
        <v>0</v>
      </c>
      <c r="F356" s="106">
        <v>0</v>
      </c>
      <c r="G356" s="106">
        <v>0</v>
      </c>
      <c r="H356" s="106">
        <v>0</v>
      </c>
      <c r="I356" s="106">
        <v>0</v>
      </c>
      <c r="J356" s="106">
        <v>0</v>
      </c>
      <c r="K356" s="106">
        <v>3626.2036825611308</v>
      </c>
      <c r="L356" s="106">
        <v>7252.4073651222616</v>
      </c>
      <c r="M356" s="106">
        <v>10878.611047683393</v>
      </c>
      <c r="N356" s="106">
        <v>14504.814730244523</v>
      </c>
      <c r="O356" s="80">
        <v>18131.01841280565</v>
      </c>
      <c r="P356" s="106">
        <v>21757.222095366786</v>
      </c>
      <c r="Q356" s="106">
        <v>25383.425777927914</v>
      </c>
      <c r="R356" s="106">
        <v>29009.629460489046</v>
      </c>
      <c r="S356" s="106">
        <v>32635.833143050178</v>
      </c>
      <c r="T356" s="106">
        <v>32635.833143050178</v>
      </c>
      <c r="U356" s="106">
        <v>0</v>
      </c>
      <c r="V356" s="106">
        <v>0</v>
      </c>
      <c r="W356" s="106">
        <v>0</v>
      </c>
      <c r="X356" s="106">
        <v>0</v>
      </c>
      <c r="Y356" s="106">
        <v>0</v>
      </c>
      <c r="Z356" s="106">
        <v>0</v>
      </c>
      <c r="AA356" s="106">
        <v>0</v>
      </c>
      <c r="AB356" s="106">
        <v>0</v>
      </c>
      <c r="AC356" s="106">
        <v>0</v>
      </c>
      <c r="AD356" s="106">
        <v>0</v>
      </c>
      <c r="AE356" s="106">
        <v>0</v>
      </c>
      <c r="AF356" s="106">
        <v>0</v>
      </c>
      <c r="AG356" s="106">
        <v>0</v>
      </c>
      <c r="AH356" s="106">
        <v>0</v>
      </c>
      <c r="AI356" s="106">
        <v>0</v>
      </c>
      <c r="AJ356" s="106">
        <v>0</v>
      </c>
      <c r="AK356" s="106">
        <v>0</v>
      </c>
      <c r="AL356" s="106">
        <v>0</v>
      </c>
      <c r="AM356" s="106">
        <v>0</v>
      </c>
      <c r="AN356" s="80">
        <v>0</v>
      </c>
    </row>
    <row r="357" spans="1:40">
      <c r="A357" s="30" t="s">
        <v>475</v>
      </c>
      <c r="B357" t="s">
        <v>453</v>
      </c>
      <c r="C357" t="s">
        <v>387</v>
      </c>
      <c r="D357" t="str">
        <f t="shared" si="51"/>
        <v>Fuel Poor - Extended energy LeapMore effective</v>
      </c>
      <c r="E357" s="381">
        <v>0</v>
      </c>
      <c r="F357" s="381">
        <v>0</v>
      </c>
      <c r="G357" s="381">
        <v>0</v>
      </c>
      <c r="H357" s="381">
        <v>0</v>
      </c>
      <c r="I357" s="381">
        <v>0</v>
      </c>
      <c r="J357" s="381">
        <v>0</v>
      </c>
      <c r="K357" s="381">
        <v>0</v>
      </c>
      <c r="L357" s="381">
        <v>0</v>
      </c>
      <c r="M357" s="381">
        <v>0</v>
      </c>
      <c r="N357" s="381">
        <v>0</v>
      </c>
      <c r="O357" s="381">
        <v>385.89525411046941</v>
      </c>
      <c r="P357" s="381">
        <v>771.79050822093882</v>
      </c>
      <c r="Q357" s="381">
        <v>1157.6857623314081</v>
      </c>
      <c r="R357" s="381">
        <v>1543.5810164418776</v>
      </c>
      <c r="S357" s="381">
        <v>1929.4762705523469</v>
      </c>
      <c r="T357" s="381">
        <v>2315.3715246628162</v>
      </c>
      <c r="U357" s="381">
        <v>2701.2667787732858</v>
      </c>
      <c r="V357" s="381">
        <v>3087.1620328837553</v>
      </c>
      <c r="W357" s="381">
        <v>3473.0572869942243</v>
      </c>
      <c r="X357" s="381">
        <v>3858.9525411046939</v>
      </c>
      <c r="Y357" s="381">
        <v>3858.9525411046939</v>
      </c>
      <c r="Z357" s="381">
        <v>3858.9525411046939</v>
      </c>
      <c r="AA357" s="381">
        <v>3858.9525411046939</v>
      </c>
      <c r="AB357" s="381">
        <v>0</v>
      </c>
      <c r="AC357" s="381">
        <v>0</v>
      </c>
      <c r="AD357" s="381">
        <v>0</v>
      </c>
      <c r="AE357" s="381">
        <v>0</v>
      </c>
      <c r="AF357" s="381">
        <v>0</v>
      </c>
      <c r="AG357" s="381">
        <v>0</v>
      </c>
      <c r="AH357" s="381">
        <v>0</v>
      </c>
      <c r="AI357" s="381">
        <v>0</v>
      </c>
      <c r="AJ357" s="381">
        <v>0</v>
      </c>
      <c r="AK357" s="381">
        <v>0</v>
      </c>
      <c r="AL357" s="381">
        <v>0</v>
      </c>
      <c r="AM357" s="381">
        <v>0</v>
      </c>
      <c r="AN357" s="381">
        <v>0</v>
      </c>
    </row>
    <row r="358" spans="1:40">
      <c r="A358" s="30" t="s">
        <v>475</v>
      </c>
      <c r="B358" t="s">
        <v>453</v>
      </c>
      <c r="C358" t="s">
        <v>388</v>
      </c>
      <c r="D358" t="str">
        <f t="shared" si="51"/>
        <v>Social housing - Extended RE:NEWMore effective</v>
      </c>
      <c r="E358" s="381">
        <v>0</v>
      </c>
      <c r="F358" s="381">
        <v>0</v>
      </c>
      <c r="G358" s="381">
        <v>0</v>
      </c>
      <c r="H358" s="381">
        <v>0</v>
      </c>
      <c r="I358" s="381">
        <v>0</v>
      </c>
      <c r="J358" s="381">
        <v>0</v>
      </c>
      <c r="K358" s="381">
        <v>0</v>
      </c>
      <c r="L358" s="381">
        <v>0</v>
      </c>
      <c r="M358" s="381">
        <v>0</v>
      </c>
      <c r="N358" s="381">
        <v>0</v>
      </c>
      <c r="O358" s="381">
        <v>0</v>
      </c>
      <c r="P358" s="381">
        <v>0</v>
      </c>
      <c r="Q358" s="381">
        <v>0</v>
      </c>
      <c r="R358" s="381">
        <v>0</v>
      </c>
      <c r="S358" s="381">
        <v>0</v>
      </c>
      <c r="T358" s="381">
        <v>0</v>
      </c>
      <c r="U358" s="381">
        <v>0</v>
      </c>
      <c r="V358" s="381">
        <v>0</v>
      </c>
      <c r="W358" s="381">
        <v>0</v>
      </c>
      <c r="X358" s="381">
        <v>0</v>
      </c>
      <c r="Y358" s="381">
        <v>0</v>
      </c>
      <c r="Z358" s="381">
        <v>0</v>
      </c>
      <c r="AA358" s="381">
        <v>0</v>
      </c>
      <c r="AB358" s="381">
        <v>0</v>
      </c>
      <c r="AC358" s="381">
        <v>0</v>
      </c>
      <c r="AD358" s="381">
        <v>0</v>
      </c>
      <c r="AE358" s="381">
        <v>0</v>
      </c>
      <c r="AF358" s="381">
        <v>0</v>
      </c>
      <c r="AG358" s="381">
        <v>0</v>
      </c>
      <c r="AH358" s="381">
        <v>0</v>
      </c>
      <c r="AI358" s="381">
        <v>0</v>
      </c>
      <c r="AJ358" s="381">
        <v>0</v>
      </c>
      <c r="AK358" s="381">
        <v>0</v>
      </c>
      <c r="AL358" s="381">
        <v>0</v>
      </c>
      <c r="AM358" s="381">
        <v>0</v>
      </c>
      <c r="AN358" s="381">
        <v>0</v>
      </c>
    </row>
    <row r="359" spans="1:40">
      <c r="A359" s="30" t="s">
        <v>475</v>
      </c>
      <c r="B359" t="s">
        <v>453</v>
      </c>
      <c r="C359" t="s">
        <v>389</v>
      </c>
      <c r="D359" t="str">
        <f t="shared" si="51"/>
        <v>Social housing - All buildings MEES - EPC CMore effective</v>
      </c>
      <c r="E359" s="381">
        <v>0</v>
      </c>
      <c r="F359" s="381">
        <v>0</v>
      </c>
      <c r="G359" s="381">
        <v>0</v>
      </c>
      <c r="H359" s="381">
        <v>0</v>
      </c>
      <c r="I359" s="381">
        <v>0</v>
      </c>
      <c r="J359" s="381">
        <v>0</v>
      </c>
      <c r="K359" s="381">
        <v>5415.1563911432168</v>
      </c>
      <c r="L359" s="381">
        <v>10830.312782286434</v>
      </c>
      <c r="M359" s="381">
        <v>16245.469173429648</v>
      </c>
      <c r="N359" s="381">
        <v>21660.625564572867</v>
      </c>
      <c r="O359" s="381">
        <v>27075.781955716084</v>
      </c>
      <c r="P359" s="381">
        <v>32490.938346859297</v>
      </c>
      <c r="Q359" s="381">
        <v>37906.094738002517</v>
      </c>
      <c r="R359" s="381">
        <v>43321.251129145734</v>
      </c>
      <c r="S359" s="381">
        <v>48736.407520288951</v>
      </c>
      <c r="T359" s="381">
        <v>48736.407520288951</v>
      </c>
      <c r="U359" s="381">
        <v>38989.126016231152</v>
      </c>
      <c r="V359" s="381">
        <v>29241.844512173368</v>
      </c>
      <c r="W359" s="381">
        <v>19494.563008115583</v>
      </c>
      <c r="X359" s="381">
        <v>9747.2815040577916</v>
      </c>
      <c r="Y359" s="381">
        <v>3.637978807091713E-12</v>
      </c>
      <c r="Z359" s="381">
        <v>0</v>
      </c>
      <c r="AA359" s="381">
        <v>0</v>
      </c>
      <c r="AB359" s="381">
        <v>0</v>
      </c>
      <c r="AC359" s="381">
        <v>0</v>
      </c>
      <c r="AD359" s="381">
        <v>0</v>
      </c>
      <c r="AE359" s="381">
        <v>0</v>
      </c>
      <c r="AF359" s="381">
        <v>0</v>
      </c>
      <c r="AG359" s="381">
        <v>0</v>
      </c>
      <c r="AH359" s="381">
        <v>0</v>
      </c>
      <c r="AI359" s="381">
        <v>0</v>
      </c>
      <c r="AJ359" s="381">
        <v>0</v>
      </c>
      <c r="AK359" s="381">
        <v>0</v>
      </c>
      <c r="AL359" s="381">
        <v>0</v>
      </c>
      <c r="AM359" s="381">
        <v>0</v>
      </c>
      <c r="AN359" s="381">
        <v>0</v>
      </c>
    </row>
    <row r="360" spans="1:40">
      <c r="A360" s="30" t="s">
        <v>475</v>
      </c>
      <c r="B360" t="s">
        <v>453</v>
      </c>
      <c r="C360" t="s">
        <v>390</v>
      </c>
      <c r="D360" t="str">
        <f t="shared" si="51"/>
        <v>Social housing - Extended energy LeapMore effective</v>
      </c>
      <c r="E360" s="381">
        <v>0</v>
      </c>
      <c r="F360" s="381">
        <v>0</v>
      </c>
      <c r="G360" s="381">
        <v>0</v>
      </c>
      <c r="H360" s="381">
        <v>0</v>
      </c>
      <c r="I360" s="381">
        <v>0</v>
      </c>
      <c r="J360" s="381">
        <v>0</v>
      </c>
      <c r="K360" s="381">
        <v>0</v>
      </c>
      <c r="L360" s="381">
        <v>0</v>
      </c>
      <c r="M360" s="381">
        <v>0</v>
      </c>
      <c r="N360" s="381">
        <v>0</v>
      </c>
      <c r="O360" s="381">
        <v>509.66177798994977</v>
      </c>
      <c r="P360" s="381">
        <v>1019.3235559798995</v>
      </c>
      <c r="Q360" s="381">
        <v>1528.9853339698493</v>
      </c>
      <c r="R360" s="381">
        <v>2038.6471119597991</v>
      </c>
      <c r="S360" s="381">
        <v>2548.3088899497488</v>
      </c>
      <c r="T360" s="381">
        <v>3057.9706679396986</v>
      </c>
      <c r="U360" s="381">
        <v>3567.6324459296484</v>
      </c>
      <c r="V360" s="381">
        <v>4077.2942239195982</v>
      </c>
      <c r="W360" s="381">
        <v>4586.9560019095479</v>
      </c>
      <c r="X360" s="381">
        <v>5096.6177798994977</v>
      </c>
      <c r="Y360" s="381">
        <v>5096.6177798994977</v>
      </c>
      <c r="Z360" s="381">
        <v>5096.6177798994977</v>
      </c>
      <c r="AA360" s="381">
        <v>5096.6177798994977</v>
      </c>
      <c r="AB360" s="381">
        <v>0</v>
      </c>
      <c r="AC360" s="381">
        <v>0</v>
      </c>
      <c r="AD360" s="381">
        <v>0</v>
      </c>
      <c r="AE360" s="381">
        <v>0</v>
      </c>
      <c r="AF360" s="381">
        <v>0</v>
      </c>
      <c r="AG360" s="381">
        <v>0</v>
      </c>
      <c r="AH360" s="381">
        <v>0</v>
      </c>
      <c r="AI360" s="381">
        <v>0</v>
      </c>
      <c r="AJ360" s="381">
        <v>0</v>
      </c>
      <c r="AK360" s="381">
        <v>0</v>
      </c>
      <c r="AL360" s="381">
        <v>0</v>
      </c>
      <c r="AM360" s="381">
        <v>0</v>
      </c>
      <c r="AN360" s="381">
        <v>0</v>
      </c>
    </row>
    <row r="361" spans="1:40">
      <c r="A361" s="30" t="s">
        <v>475</v>
      </c>
      <c r="B361" t="s">
        <v>453</v>
      </c>
      <c r="C361" t="s">
        <v>391</v>
      </c>
      <c r="D361" t="str">
        <f t="shared" si="51"/>
        <v>Able to pay - Building Regulations and planning policyMore effective</v>
      </c>
      <c r="E361" s="381">
        <v>0</v>
      </c>
      <c r="F361" s="381">
        <v>0</v>
      </c>
      <c r="G361" s="381">
        <v>0</v>
      </c>
      <c r="H361" s="381">
        <v>0</v>
      </c>
      <c r="I361" s="381">
        <v>0</v>
      </c>
      <c r="J361" s="381">
        <v>8046.9723287404267</v>
      </c>
      <c r="K361" s="381">
        <v>8046.9723287404267</v>
      </c>
      <c r="L361" s="381">
        <v>8046.9723287404267</v>
      </c>
      <c r="M361" s="381">
        <v>8046.9723287404267</v>
      </c>
      <c r="N361" s="381">
        <v>8046.9723287404267</v>
      </c>
      <c r="O361" s="381">
        <v>8046.9723287404267</v>
      </c>
      <c r="P361" s="381">
        <v>8046.9723287404267</v>
      </c>
      <c r="Q361" s="381">
        <v>8046.9723287404267</v>
      </c>
      <c r="R361" s="381">
        <v>0</v>
      </c>
      <c r="S361" s="381">
        <v>0</v>
      </c>
      <c r="T361" s="381">
        <v>0</v>
      </c>
      <c r="U361" s="381">
        <v>0</v>
      </c>
      <c r="V361" s="381">
        <v>0</v>
      </c>
      <c r="W361" s="381">
        <v>0</v>
      </c>
      <c r="X361" s="381">
        <v>0</v>
      </c>
      <c r="Y361" s="381">
        <v>0</v>
      </c>
      <c r="Z361" s="381">
        <v>0</v>
      </c>
      <c r="AA361" s="381">
        <v>0</v>
      </c>
      <c r="AB361" s="381">
        <v>0</v>
      </c>
      <c r="AC361" s="381">
        <v>0</v>
      </c>
      <c r="AD361" s="381">
        <v>0</v>
      </c>
      <c r="AE361" s="381">
        <v>0</v>
      </c>
      <c r="AF361" s="381">
        <v>0</v>
      </c>
      <c r="AG361" s="381">
        <v>0</v>
      </c>
      <c r="AH361" s="381">
        <v>0</v>
      </c>
      <c r="AI361" s="381">
        <v>0</v>
      </c>
      <c r="AJ361" s="381">
        <v>0</v>
      </c>
      <c r="AK361" s="381">
        <v>0</v>
      </c>
      <c r="AL361" s="381">
        <v>0</v>
      </c>
      <c r="AM361" s="381">
        <v>0</v>
      </c>
      <c r="AN361" s="381">
        <v>0</v>
      </c>
    </row>
    <row r="362" spans="1:40">
      <c r="A362" s="30" t="s">
        <v>475</v>
      </c>
      <c r="B362" t="s">
        <v>453</v>
      </c>
      <c r="C362" t="s">
        <v>392</v>
      </c>
      <c r="D362" t="str">
        <f t="shared" si="51"/>
        <v>Able to pay - Council tax variation by EPCMore effective</v>
      </c>
      <c r="E362" s="381">
        <v>0</v>
      </c>
      <c r="F362" s="381">
        <v>0</v>
      </c>
      <c r="G362" s="381">
        <v>0</v>
      </c>
      <c r="H362" s="381">
        <v>0</v>
      </c>
      <c r="I362" s="381">
        <v>0</v>
      </c>
      <c r="J362" s="381">
        <v>0</v>
      </c>
      <c r="K362" s="381">
        <v>0</v>
      </c>
      <c r="L362" s="381">
        <v>0</v>
      </c>
      <c r="M362" s="381">
        <v>102855.00280955498</v>
      </c>
      <c r="N362" s="381">
        <v>102855.00280955498</v>
      </c>
      <c r="O362" s="381">
        <v>102855.00280955498</v>
      </c>
      <c r="P362" s="381">
        <v>102855.00280955498</v>
      </c>
      <c r="Q362" s="381">
        <v>102855.00280955498</v>
      </c>
      <c r="R362" s="381">
        <v>0</v>
      </c>
      <c r="S362" s="381">
        <v>0</v>
      </c>
      <c r="T362" s="381">
        <v>0</v>
      </c>
      <c r="U362" s="381">
        <v>0</v>
      </c>
      <c r="V362" s="381">
        <v>0</v>
      </c>
      <c r="W362" s="381">
        <v>0</v>
      </c>
      <c r="X362" s="381">
        <v>0</v>
      </c>
      <c r="Y362" s="381">
        <v>0</v>
      </c>
      <c r="Z362" s="381">
        <v>0</v>
      </c>
      <c r="AA362" s="381">
        <v>0</v>
      </c>
      <c r="AB362" s="381">
        <v>0</v>
      </c>
      <c r="AC362" s="381">
        <v>0</v>
      </c>
      <c r="AD362" s="381">
        <v>0</v>
      </c>
      <c r="AE362" s="381">
        <v>0</v>
      </c>
      <c r="AF362" s="381">
        <v>0</v>
      </c>
      <c r="AG362" s="381">
        <v>0</v>
      </c>
      <c r="AH362" s="381">
        <v>0</v>
      </c>
      <c r="AI362" s="381">
        <v>0</v>
      </c>
      <c r="AJ362" s="381">
        <v>0</v>
      </c>
      <c r="AK362" s="381">
        <v>0</v>
      </c>
      <c r="AL362" s="381">
        <v>0</v>
      </c>
      <c r="AM362" s="381">
        <v>0</v>
      </c>
      <c r="AN362" s="381">
        <v>0</v>
      </c>
    </row>
    <row r="363" spans="1:40">
      <c r="A363" s="30" t="s">
        <v>475</v>
      </c>
      <c r="B363" t="s">
        <v>453</v>
      </c>
      <c r="C363" t="s">
        <v>393</v>
      </c>
      <c r="D363" t="str">
        <f t="shared" si="51"/>
        <v>Able to pay - Landlord MEES - EPC CMore effective</v>
      </c>
      <c r="E363" s="80">
        <v>0</v>
      </c>
      <c r="F363" s="106">
        <v>0</v>
      </c>
      <c r="G363" s="106">
        <v>0</v>
      </c>
      <c r="H363" s="106">
        <v>0</v>
      </c>
      <c r="I363" s="106">
        <v>4219.5785907289428</v>
      </c>
      <c r="J363" s="106">
        <v>8439.1571814578856</v>
      </c>
      <c r="K363" s="106">
        <v>12658.735772186828</v>
      </c>
      <c r="L363" s="106">
        <v>16878.314362915771</v>
      </c>
      <c r="M363" s="106">
        <v>21097.892953644714</v>
      </c>
      <c r="N363" s="106">
        <v>25317.471544373657</v>
      </c>
      <c r="O363" s="80">
        <v>29537.0501351026</v>
      </c>
      <c r="P363" s="106">
        <v>33756.628725831542</v>
      </c>
      <c r="Q363" s="106">
        <v>37976.207316560482</v>
      </c>
      <c r="R363" s="106">
        <v>42195.785907289428</v>
      </c>
      <c r="S363" s="106">
        <v>46415.364498018367</v>
      </c>
      <c r="T363" s="106">
        <v>46415.364498018367</v>
      </c>
      <c r="U363" s="106">
        <v>37132.291598414697</v>
      </c>
      <c r="V363" s="106">
        <v>27849.218698811019</v>
      </c>
      <c r="W363" s="106">
        <v>18566.145799207345</v>
      </c>
      <c r="X363" s="106">
        <v>9283.0728996036705</v>
      </c>
      <c r="Y363" s="106">
        <v>-7.2759576141834259E-12</v>
      </c>
      <c r="Z363" s="106">
        <v>0</v>
      </c>
      <c r="AA363" s="106">
        <v>0</v>
      </c>
      <c r="AB363" s="106">
        <v>0</v>
      </c>
      <c r="AC363" s="106">
        <v>0</v>
      </c>
      <c r="AD363" s="106">
        <v>0</v>
      </c>
      <c r="AE363" s="106">
        <v>0</v>
      </c>
      <c r="AF363" s="106">
        <v>0</v>
      </c>
      <c r="AG363" s="106">
        <v>0</v>
      </c>
      <c r="AH363" s="106">
        <v>0</v>
      </c>
      <c r="AI363" s="106">
        <v>0</v>
      </c>
      <c r="AJ363" s="106">
        <v>0</v>
      </c>
      <c r="AK363" s="106">
        <v>0</v>
      </c>
      <c r="AL363" s="106">
        <v>0</v>
      </c>
      <c r="AM363" s="106">
        <v>0</v>
      </c>
      <c r="AN363" s="80">
        <v>0</v>
      </c>
    </row>
    <row r="364" spans="1:40">
      <c r="A364" s="30" t="s">
        <v>475</v>
      </c>
      <c r="B364" t="s">
        <v>453</v>
      </c>
      <c r="C364" t="s">
        <v>394</v>
      </c>
      <c r="D364" t="str">
        <f t="shared" si="51"/>
        <v>Able to pay - Stamp duty energy efficiency scalingMore effective</v>
      </c>
      <c r="E364" s="80">
        <v>0</v>
      </c>
      <c r="F364" s="106">
        <v>0</v>
      </c>
      <c r="G364" s="106">
        <v>0</v>
      </c>
      <c r="H364" s="106">
        <v>0</v>
      </c>
      <c r="I364" s="106">
        <v>0</v>
      </c>
      <c r="J364" s="106">
        <v>0</v>
      </c>
      <c r="K364" s="106">
        <v>0</v>
      </c>
      <c r="L364" s="106">
        <v>0</v>
      </c>
      <c r="M364" s="106">
        <v>0</v>
      </c>
      <c r="N364" s="106">
        <v>0</v>
      </c>
      <c r="O364" s="80">
        <v>30856.500842866491</v>
      </c>
      <c r="P364" s="106">
        <v>30856.500842866491</v>
      </c>
      <c r="Q364" s="106">
        <v>30856.500842866491</v>
      </c>
      <c r="R364" s="106">
        <v>30856.500842866491</v>
      </c>
      <c r="S364" s="106">
        <v>30856.500842866491</v>
      </c>
      <c r="T364" s="106">
        <v>30856.500842866491</v>
      </c>
      <c r="U364" s="106">
        <v>30856.500842866491</v>
      </c>
      <c r="V364" s="106">
        <v>30856.500842866491</v>
      </c>
      <c r="W364" s="106">
        <v>30856.500842866491</v>
      </c>
      <c r="X364" s="106">
        <v>30856.500842866491</v>
      </c>
      <c r="Y364" s="106">
        <v>30856.500842866491</v>
      </c>
      <c r="Z364" s="106">
        <v>0</v>
      </c>
      <c r="AA364" s="106">
        <v>0</v>
      </c>
      <c r="AB364" s="106">
        <v>0</v>
      </c>
      <c r="AC364" s="106">
        <v>0</v>
      </c>
      <c r="AD364" s="106">
        <v>0</v>
      </c>
      <c r="AE364" s="106">
        <v>0</v>
      </c>
      <c r="AF364" s="106">
        <v>0</v>
      </c>
      <c r="AG364" s="106">
        <v>0</v>
      </c>
      <c r="AH364" s="106">
        <v>0</v>
      </c>
      <c r="AI364" s="106">
        <v>0</v>
      </c>
      <c r="AJ364" s="106">
        <v>0</v>
      </c>
      <c r="AK364" s="106">
        <v>0</v>
      </c>
      <c r="AL364" s="106">
        <v>0</v>
      </c>
      <c r="AM364" s="106">
        <v>0</v>
      </c>
      <c r="AN364" s="80">
        <v>0</v>
      </c>
    </row>
    <row r="365" spans="1:40">
      <c r="A365" s="30" t="s">
        <v>475</v>
      </c>
      <c r="B365" t="s">
        <v>453</v>
      </c>
      <c r="C365" t="s">
        <v>395</v>
      </c>
      <c r="D365" t="str">
        <f t="shared" si="51"/>
        <v>Able to pay - Extended Energy LeapMore effective</v>
      </c>
      <c r="E365" s="80">
        <v>0</v>
      </c>
      <c r="F365" s="106">
        <v>0</v>
      </c>
      <c r="G365" s="106">
        <v>0</v>
      </c>
      <c r="H365" s="106">
        <v>0</v>
      </c>
      <c r="I365" s="106">
        <v>0</v>
      </c>
      <c r="J365" s="106">
        <v>0</v>
      </c>
      <c r="K365" s="106">
        <v>0</v>
      </c>
      <c r="L365" s="106">
        <v>0</v>
      </c>
      <c r="M365" s="106">
        <v>0</v>
      </c>
      <c r="N365" s="106">
        <v>0</v>
      </c>
      <c r="O365" s="80">
        <v>1687.2524179462703</v>
      </c>
      <c r="P365" s="106">
        <v>3374.5048358925405</v>
      </c>
      <c r="Q365" s="106">
        <v>5061.7572538388113</v>
      </c>
      <c r="R365" s="106">
        <v>6749.0096717850811</v>
      </c>
      <c r="S365" s="106">
        <v>8436.26208973135</v>
      </c>
      <c r="T365" s="106">
        <v>10123.514507677623</v>
      </c>
      <c r="U365" s="106">
        <v>11810.766925623891</v>
      </c>
      <c r="V365" s="106">
        <v>13498.019343570162</v>
      </c>
      <c r="W365" s="106">
        <v>15185.271761516433</v>
      </c>
      <c r="X365" s="106">
        <v>16872.5241794627</v>
      </c>
      <c r="Y365" s="106">
        <v>16872.5241794627</v>
      </c>
      <c r="Z365" s="106">
        <v>16872.5241794627</v>
      </c>
      <c r="AA365" s="106">
        <v>16872.5241794627</v>
      </c>
      <c r="AB365" s="106">
        <v>0</v>
      </c>
      <c r="AC365" s="106">
        <v>0</v>
      </c>
      <c r="AD365" s="106">
        <v>0</v>
      </c>
      <c r="AE365" s="106">
        <v>0</v>
      </c>
      <c r="AF365" s="106">
        <v>0</v>
      </c>
      <c r="AG365" s="106">
        <v>0</v>
      </c>
      <c r="AH365" s="106">
        <v>0</v>
      </c>
      <c r="AI365" s="106">
        <v>0</v>
      </c>
      <c r="AJ365" s="106">
        <v>0</v>
      </c>
      <c r="AK365" s="106">
        <v>0</v>
      </c>
      <c r="AL365" s="106">
        <v>0</v>
      </c>
      <c r="AM365" s="106">
        <v>0</v>
      </c>
      <c r="AN365" s="80">
        <v>0</v>
      </c>
    </row>
    <row r="366" spans="1:40">
      <c r="A366" s="30" t="s">
        <v>475</v>
      </c>
      <c r="B366" t="s">
        <v>453</v>
      </c>
      <c r="C366" t="s">
        <v>396</v>
      </c>
      <c r="D366" t="str">
        <f t="shared" si="51"/>
        <v>Able to pay - All buildings MEES - EPC CMore effective</v>
      </c>
      <c r="E366" s="381">
        <v>0</v>
      </c>
      <c r="F366" s="381">
        <v>0</v>
      </c>
      <c r="G366" s="381">
        <v>0</v>
      </c>
      <c r="H366" s="381">
        <v>0</v>
      </c>
      <c r="I366" s="381">
        <v>0</v>
      </c>
      <c r="J366" s="381">
        <v>0</v>
      </c>
      <c r="K366" s="381">
        <v>4575.6286007882791</v>
      </c>
      <c r="L366" s="381">
        <v>9151.2572015765581</v>
      </c>
      <c r="M366" s="381">
        <v>13726.885802364837</v>
      </c>
      <c r="N366" s="381">
        <v>18302.514403153116</v>
      </c>
      <c r="O366" s="381">
        <v>22878.143003941397</v>
      </c>
      <c r="P366" s="381">
        <v>27453.771604729674</v>
      </c>
      <c r="Q366" s="381">
        <v>32029.400205517959</v>
      </c>
      <c r="R366" s="381">
        <v>36605.028806306233</v>
      </c>
      <c r="S366" s="381">
        <v>41180.657407094513</v>
      </c>
      <c r="T366" s="381">
        <v>41180.657407094513</v>
      </c>
      <c r="U366" s="381">
        <v>41180.657407094513</v>
      </c>
      <c r="V366" s="381">
        <v>41180.657407094513</v>
      </c>
      <c r="W366" s="381">
        <v>41180.657407094513</v>
      </c>
      <c r="X366" s="381">
        <v>41180.657407094513</v>
      </c>
      <c r="Y366" s="381">
        <v>0</v>
      </c>
      <c r="Z366" s="381">
        <v>0</v>
      </c>
      <c r="AA366" s="381">
        <v>0</v>
      </c>
      <c r="AB366" s="381">
        <v>0</v>
      </c>
      <c r="AC366" s="381">
        <v>0</v>
      </c>
      <c r="AD366" s="381">
        <v>0</v>
      </c>
      <c r="AE366" s="381">
        <v>0</v>
      </c>
      <c r="AF366" s="381">
        <v>0</v>
      </c>
      <c r="AG366" s="381">
        <v>0</v>
      </c>
      <c r="AH366" s="381">
        <v>0</v>
      </c>
      <c r="AI366" s="381">
        <v>0</v>
      </c>
      <c r="AJ366" s="381">
        <v>0</v>
      </c>
      <c r="AK366" s="381">
        <v>0</v>
      </c>
      <c r="AL366" s="381">
        <v>0</v>
      </c>
      <c r="AM366" s="381">
        <v>0</v>
      </c>
      <c r="AN366" s="381">
        <v>0</v>
      </c>
    </row>
    <row r="367" spans="1:40">
      <c r="A367" s="30" t="s">
        <v>475</v>
      </c>
      <c r="B367" t="s">
        <v>453</v>
      </c>
      <c r="C367" t="s">
        <v>398</v>
      </c>
      <c r="D367" t="str">
        <f t="shared" si="51"/>
        <v>Existing - Domestic ALL - Mandate on lighting efficiencyMore effective</v>
      </c>
      <c r="E367" s="381"/>
      <c r="F367" s="381"/>
      <c r="G367" s="381"/>
      <c r="H367" s="381"/>
      <c r="I367" s="381"/>
      <c r="J367" s="381"/>
      <c r="K367" s="381"/>
      <c r="L367" s="381"/>
      <c r="M367" s="381"/>
      <c r="N367" s="381"/>
      <c r="O367" s="381"/>
      <c r="P367" s="381"/>
      <c r="Q367" s="381"/>
      <c r="R367" s="381"/>
      <c r="S367" s="381"/>
      <c r="T367" s="381"/>
      <c r="U367" s="381"/>
      <c r="V367" s="381"/>
      <c r="W367" s="381"/>
      <c r="X367" s="381"/>
      <c r="Y367" s="381"/>
      <c r="Z367" s="381"/>
      <c r="AA367" s="381"/>
      <c r="AB367" s="381"/>
      <c r="AC367" s="381"/>
      <c r="AD367" s="381"/>
      <c r="AE367" s="381"/>
      <c r="AF367" s="381"/>
      <c r="AG367" s="381"/>
      <c r="AH367" s="381"/>
      <c r="AI367" s="381"/>
      <c r="AJ367" s="381"/>
      <c r="AK367" s="381"/>
      <c r="AL367" s="381"/>
      <c r="AM367" s="381"/>
      <c r="AN367" s="381"/>
    </row>
    <row r="368" spans="1:40">
      <c r="A368" s="30" t="s">
        <v>475</v>
      </c>
      <c r="B368" t="s">
        <v>453</v>
      </c>
      <c r="C368" t="s">
        <v>399</v>
      </c>
      <c r="D368" t="str">
        <f t="shared" si="51"/>
        <v>Existing - Domestic ALL - Mandate on appliance efficiencyMore effective</v>
      </c>
      <c r="E368" s="381"/>
      <c r="F368" s="381"/>
      <c r="G368" s="381"/>
      <c r="H368" s="381"/>
      <c r="I368" s="381"/>
      <c r="J368" s="381"/>
      <c r="K368" s="381"/>
      <c r="L368" s="381"/>
      <c r="M368" s="381"/>
      <c r="N368" s="381"/>
      <c r="O368" s="381"/>
      <c r="P368" s="381"/>
      <c r="Q368" s="381"/>
      <c r="R368" s="381"/>
      <c r="S368" s="381"/>
      <c r="T368" s="381"/>
      <c r="U368" s="381"/>
      <c r="V368" s="381"/>
      <c r="W368" s="381"/>
      <c r="X368" s="381"/>
      <c r="Y368" s="381"/>
      <c r="Z368" s="381"/>
      <c r="AA368" s="381"/>
      <c r="AB368" s="381"/>
      <c r="AC368" s="381"/>
      <c r="AD368" s="381"/>
      <c r="AE368" s="381"/>
      <c r="AF368" s="381"/>
      <c r="AG368" s="381"/>
      <c r="AH368" s="381"/>
      <c r="AI368" s="381"/>
      <c r="AJ368" s="381"/>
      <c r="AK368" s="381"/>
      <c r="AL368" s="381"/>
      <c r="AM368" s="381"/>
      <c r="AN368" s="381"/>
    </row>
    <row r="369" spans="1:40">
      <c r="A369" s="30" t="s">
        <v>475</v>
      </c>
      <c r="B369" t="s">
        <v>453</v>
      </c>
      <c r="C369" t="s">
        <v>400</v>
      </c>
      <c r="D369" t="str">
        <f t="shared" si="51"/>
        <v>New - Domestic ALL - Mandate on lighting efficiencyMore effective</v>
      </c>
      <c r="E369" s="381">
        <v>0</v>
      </c>
      <c r="F369" s="381">
        <v>71977.11975266278</v>
      </c>
      <c r="G369" s="381">
        <v>71977.11975266278</v>
      </c>
      <c r="H369" s="381">
        <v>71977.11975266278</v>
      </c>
      <c r="I369" s="381">
        <v>155964.42546694851</v>
      </c>
      <c r="J369" s="381">
        <v>239951.73118123403</v>
      </c>
      <c r="K369" s="381">
        <v>312877.77590616618</v>
      </c>
      <c r="L369" s="381">
        <v>396865.08162045194</v>
      </c>
      <c r="M369" s="381">
        <v>480852.38733473764</v>
      </c>
      <c r="N369" s="381">
        <v>564839.69304902339</v>
      </c>
      <c r="O369" s="381">
        <v>648826.99876330968</v>
      </c>
      <c r="P369" s="381">
        <v>637225.76701064175</v>
      </c>
      <c r="Q369" s="381">
        <v>49314.627010641634</v>
      </c>
      <c r="R369" s="381">
        <v>49314.627010641634</v>
      </c>
      <c r="S369" s="381">
        <v>49314.627010641634</v>
      </c>
      <c r="T369" s="381">
        <v>49314.62701064159</v>
      </c>
      <c r="U369" s="381">
        <v>22733.44457142887</v>
      </c>
      <c r="V369" s="381">
        <v>22733.444571428765</v>
      </c>
      <c r="W369" s="381">
        <v>22733.444571428765</v>
      </c>
      <c r="X369" s="381">
        <v>22733.444571428765</v>
      </c>
      <c r="Y369" s="381">
        <v>22733.444571428765</v>
      </c>
      <c r="Z369" s="381">
        <v>22733.444571428765</v>
      </c>
      <c r="AA369" s="381">
        <v>22733.444571428765</v>
      </c>
      <c r="AB369" s="381">
        <v>22733.444571428765</v>
      </c>
      <c r="AC369" s="381">
        <v>22733.444571428765</v>
      </c>
      <c r="AD369" s="381">
        <v>22733.444571430729</v>
      </c>
      <c r="AE369" s="381">
        <v>22733.444571429187</v>
      </c>
      <c r="AF369" s="381">
        <v>22733.444571429391</v>
      </c>
      <c r="AG369" s="381">
        <v>22733.444571429391</v>
      </c>
      <c r="AH369" s="381">
        <v>22733.444571429391</v>
      </c>
      <c r="AI369" s="381">
        <v>22733.444571429391</v>
      </c>
      <c r="AJ369" s="381">
        <v>22733.444571429391</v>
      </c>
      <c r="AK369" s="381">
        <v>22733.444571429391</v>
      </c>
      <c r="AL369" s="381">
        <v>22733.444571429391</v>
      </c>
      <c r="AM369" s="381">
        <v>22733.444571429391</v>
      </c>
      <c r="AN369" s="381">
        <v>22733.444571427295</v>
      </c>
    </row>
    <row r="370" spans="1:40">
      <c r="A370" s="30" t="s">
        <v>475</v>
      </c>
      <c r="B370" t="s">
        <v>453</v>
      </c>
      <c r="C370" t="s">
        <v>401</v>
      </c>
      <c r="D370" t="str">
        <f t="shared" si="51"/>
        <v>New - Domestic ALL - Mandate on appliance efficiencyMore effective</v>
      </c>
      <c r="E370" s="381">
        <v>0</v>
      </c>
      <c r="F370" s="381">
        <v>71977.11975266278</v>
      </c>
      <c r="G370" s="381">
        <v>71977.11975266278</v>
      </c>
      <c r="H370" s="381">
        <v>71977.11975266278</v>
      </c>
      <c r="I370" s="381">
        <v>90122.525308218334</v>
      </c>
      <c r="J370" s="381">
        <v>108267.93086377368</v>
      </c>
      <c r="K370" s="381">
        <v>115352.0754299757</v>
      </c>
      <c r="L370" s="381">
        <v>133497.48098553126</v>
      </c>
      <c r="M370" s="381">
        <v>151642.88654108683</v>
      </c>
      <c r="N370" s="381">
        <v>169788.29209664237</v>
      </c>
      <c r="O370" s="381">
        <v>187933.69765219843</v>
      </c>
      <c r="P370" s="381">
        <v>194477.8714550861</v>
      </c>
      <c r="Q370" s="381">
        <v>212623.27701064164</v>
      </c>
      <c r="R370" s="381">
        <v>230768.68256619724</v>
      </c>
      <c r="S370" s="381">
        <v>248914.08812175278</v>
      </c>
      <c r="T370" s="381">
        <v>267059.49367730826</v>
      </c>
      <c r="U370" s="381">
        <v>225961.98679365107</v>
      </c>
      <c r="V370" s="381">
        <v>211445.66234920654</v>
      </c>
      <c r="W370" s="381">
        <v>196929.33790476213</v>
      </c>
      <c r="X370" s="381">
        <v>182413.01346031766</v>
      </c>
      <c r="Y370" s="381">
        <v>167896.68901587318</v>
      </c>
      <c r="Z370" s="381">
        <v>153380.36457142877</v>
      </c>
      <c r="AA370" s="381">
        <v>138864.04012698433</v>
      </c>
      <c r="AB370" s="381">
        <v>124347.71568253986</v>
      </c>
      <c r="AC370" s="381">
        <v>109831.39123809541</v>
      </c>
      <c r="AD370" s="381">
        <v>95315.06679365295</v>
      </c>
      <c r="AE370" s="381">
        <v>80798.742349206965</v>
      </c>
      <c r="AF370" s="381">
        <v>66282.417904762726</v>
      </c>
      <c r="AG370" s="381">
        <v>51766.093460318276</v>
      </c>
      <c r="AH370" s="381">
        <v>37249.769015873841</v>
      </c>
      <c r="AI370" s="381">
        <v>22733.444571429391</v>
      </c>
      <c r="AJ370" s="381">
        <v>22733.444571429391</v>
      </c>
      <c r="AK370" s="381">
        <v>22733.444571429391</v>
      </c>
      <c r="AL370" s="381">
        <v>22733.444571429391</v>
      </c>
      <c r="AM370" s="381">
        <v>22733.444571429391</v>
      </c>
      <c r="AN370" s="381">
        <v>22733.444571427295</v>
      </c>
    </row>
    <row r="371" spans="1:40">
      <c r="A371" s="30" t="s">
        <v>475</v>
      </c>
      <c r="B371" t="s">
        <v>453</v>
      </c>
      <c r="C371" t="s">
        <v>402</v>
      </c>
      <c r="D371" t="str">
        <f t="shared" si="51"/>
        <v>New - Domestic ALL - Stronger planning requirement for smart controls  More effective</v>
      </c>
      <c r="E371" s="381">
        <v>0</v>
      </c>
      <c r="F371" s="381">
        <v>44985.699845414238</v>
      </c>
      <c r="G371" s="381">
        <v>44985.699845414238</v>
      </c>
      <c r="H371" s="381">
        <v>44985.699845414238</v>
      </c>
      <c r="I371" s="381">
        <v>44985.699845414238</v>
      </c>
      <c r="J371" s="381">
        <v>44985.699845414107</v>
      </c>
      <c r="K371" s="381">
        <v>38072.411727068145</v>
      </c>
      <c r="L371" s="381">
        <v>38072.411727068145</v>
      </c>
      <c r="M371" s="381">
        <v>38072.411727068145</v>
      </c>
      <c r="N371" s="381">
        <v>38072.411727068145</v>
      </c>
      <c r="O371" s="381">
        <v>38072.411727068466</v>
      </c>
      <c r="P371" s="381">
        <v>30821.641881651023</v>
      </c>
      <c r="Q371" s="381">
        <v>30821.641881651023</v>
      </c>
      <c r="R371" s="381">
        <v>30821.641881651023</v>
      </c>
      <c r="S371" s="381">
        <v>30821.641881651023</v>
      </c>
      <c r="T371" s="381">
        <v>30821.64188165099</v>
      </c>
      <c r="U371" s="381">
        <v>14208.402857143043</v>
      </c>
      <c r="V371" s="381">
        <v>14208.402857142977</v>
      </c>
      <c r="W371" s="381">
        <v>14208.402857142977</v>
      </c>
      <c r="X371" s="381">
        <v>14208.402857142977</v>
      </c>
      <c r="Y371" s="381">
        <v>14208.402857142977</v>
      </c>
      <c r="Z371" s="381">
        <v>14208.402857142977</v>
      </c>
      <c r="AA371" s="381">
        <v>14208.402857142977</v>
      </c>
      <c r="AB371" s="381">
        <v>14208.402857142977</v>
      </c>
      <c r="AC371" s="381">
        <v>14208.402857142977</v>
      </c>
      <c r="AD371" s="381">
        <v>14208.402857144205</v>
      </c>
      <c r="AE371" s="381">
        <v>14208.402857143239</v>
      </c>
      <c r="AF371" s="381">
        <v>14208.40285714337</v>
      </c>
      <c r="AG371" s="381">
        <v>14208.40285714337</v>
      </c>
      <c r="AH371" s="381">
        <v>14208.40285714337</v>
      </c>
      <c r="AI371" s="381">
        <v>14208.40285714337</v>
      </c>
      <c r="AJ371" s="381">
        <v>14208.40285714337</v>
      </c>
      <c r="AK371" s="381">
        <v>14208.40285714337</v>
      </c>
      <c r="AL371" s="381">
        <v>14208.40285714337</v>
      </c>
      <c r="AM371" s="381">
        <v>14208.40285714337</v>
      </c>
      <c r="AN371" s="381">
        <v>14208.40285714206</v>
      </c>
    </row>
    <row r="372" spans="1:40">
      <c r="A372" s="30" t="s">
        <v>475</v>
      </c>
      <c r="B372" t="s">
        <v>453</v>
      </c>
      <c r="C372" t="s">
        <v>406</v>
      </c>
      <c r="D372" t="str">
        <f t="shared" si="51"/>
        <v>SME - Energy efficiency programmeMore effective</v>
      </c>
      <c r="E372" s="381">
        <v>0</v>
      </c>
      <c r="F372" s="381">
        <v>0</v>
      </c>
      <c r="G372" s="381">
        <v>0</v>
      </c>
      <c r="H372" s="381">
        <v>0</v>
      </c>
      <c r="I372" s="381">
        <v>0</v>
      </c>
      <c r="J372" s="381">
        <v>0</v>
      </c>
      <c r="K372" s="381">
        <v>0</v>
      </c>
      <c r="L372" s="381">
        <v>0</v>
      </c>
      <c r="M372" s="381">
        <v>0</v>
      </c>
      <c r="N372" s="381">
        <v>0</v>
      </c>
      <c r="O372" s="381">
        <v>0</v>
      </c>
      <c r="P372" s="381">
        <v>0</v>
      </c>
      <c r="Q372" s="381">
        <v>0</v>
      </c>
      <c r="R372" s="381">
        <v>0</v>
      </c>
      <c r="S372" s="381">
        <v>0</v>
      </c>
      <c r="T372" s="381">
        <v>0</v>
      </c>
      <c r="U372" s="381">
        <v>0</v>
      </c>
      <c r="V372" s="381">
        <v>0</v>
      </c>
      <c r="W372" s="381">
        <v>0</v>
      </c>
      <c r="X372" s="381">
        <v>0</v>
      </c>
      <c r="Y372" s="381">
        <v>0</v>
      </c>
      <c r="Z372" s="381">
        <v>0</v>
      </c>
      <c r="AA372" s="381">
        <v>0</v>
      </c>
      <c r="AB372" s="381">
        <v>0</v>
      </c>
      <c r="AC372" s="381">
        <v>0</v>
      </c>
      <c r="AD372" s="381">
        <v>0</v>
      </c>
      <c r="AE372" s="381">
        <v>0</v>
      </c>
      <c r="AF372" s="381">
        <v>0</v>
      </c>
      <c r="AG372" s="381">
        <v>0</v>
      </c>
      <c r="AH372" s="381">
        <v>0</v>
      </c>
      <c r="AI372" s="381">
        <v>0</v>
      </c>
      <c r="AJ372" s="381">
        <v>0</v>
      </c>
      <c r="AK372" s="381">
        <v>0</v>
      </c>
      <c r="AL372" s="381">
        <v>0</v>
      </c>
      <c r="AM372" s="381">
        <v>0</v>
      </c>
      <c r="AN372" s="381">
        <v>0</v>
      </c>
    </row>
    <row r="373" spans="1:40">
      <c r="A373" s="30" t="s">
        <v>475</v>
      </c>
      <c r="B373" t="s">
        <v>453</v>
      </c>
      <c r="C373" t="s">
        <v>407</v>
      </c>
      <c r="D373" t="str">
        <f t="shared" si="51"/>
        <v>SME - Landlord MEES – EPC CMore effective</v>
      </c>
      <c r="E373" s="381">
        <v>0</v>
      </c>
      <c r="F373" s="381">
        <v>0</v>
      </c>
      <c r="G373" s="381">
        <v>0</v>
      </c>
      <c r="H373" s="381">
        <v>0</v>
      </c>
      <c r="I373" s="381">
        <v>641.30422467007452</v>
      </c>
      <c r="J373" s="381">
        <v>1282.608449340149</v>
      </c>
      <c r="K373" s="381">
        <v>1923.9126740102236</v>
      </c>
      <c r="L373" s="381">
        <v>2565.2168986802981</v>
      </c>
      <c r="M373" s="381">
        <v>3206.5211233503724</v>
      </c>
      <c r="N373" s="381">
        <v>3847.8253480204471</v>
      </c>
      <c r="O373" s="381">
        <v>4489.1295726905219</v>
      </c>
      <c r="P373" s="381">
        <v>4489.1295726905219</v>
      </c>
      <c r="Q373" s="381">
        <v>4489.1295726905219</v>
      </c>
      <c r="R373" s="381">
        <v>4489.1295726905219</v>
      </c>
      <c r="S373" s="381">
        <v>4489.1295726905219</v>
      </c>
      <c r="T373" s="381">
        <v>4489.1295726905219</v>
      </c>
      <c r="U373" s="381">
        <v>3591.3036581524175</v>
      </c>
      <c r="V373" s="381">
        <v>2693.4777436143131</v>
      </c>
      <c r="W373" s="381">
        <v>1795.6518290762087</v>
      </c>
      <c r="X373" s="381">
        <v>897.82591453810437</v>
      </c>
      <c r="Y373" s="381">
        <v>0</v>
      </c>
      <c r="Z373" s="381">
        <v>0</v>
      </c>
      <c r="AA373" s="381">
        <v>0</v>
      </c>
      <c r="AB373" s="381">
        <v>0</v>
      </c>
      <c r="AC373" s="381">
        <v>0</v>
      </c>
      <c r="AD373" s="381">
        <v>0</v>
      </c>
      <c r="AE373" s="381">
        <v>0</v>
      </c>
      <c r="AF373" s="381">
        <v>0</v>
      </c>
      <c r="AG373" s="381">
        <v>0</v>
      </c>
      <c r="AH373" s="381">
        <v>0</v>
      </c>
      <c r="AI373" s="381">
        <v>0</v>
      </c>
      <c r="AJ373" s="381">
        <v>0</v>
      </c>
      <c r="AK373" s="381">
        <v>0</v>
      </c>
      <c r="AL373" s="381">
        <v>0</v>
      </c>
      <c r="AM373" s="381">
        <v>0</v>
      </c>
      <c r="AN373" s="381">
        <v>0</v>
      </c>
    </row>
    <row r="374" spans="1:40">
      <c r="A374" s="30" t="s">
        <v>475</v>
      </c>
      <c r="B374" t="s">
        <v>453</v>
      </c>
      <c r="C374" t="s">
        <v>408</v>
      </c>
      <c r="D374" t="str">
        <f t="shared" si="51"/>
        <v>SME - Energy performance tax grading – business ratesMore effective</v>
      </c>
      <c r="E374" s="285">
        <v>0</v>
      </c>
      <c r="F374" s="285">
        <v>0</v>
      </c>
      <c r="G374" s="285">
        <v>0</v>
      </c>
      <c r="H374" s="285">
        <v>0</v>
      </c>
      <c r="I374" s="285">
        <v>0</v>
      </c>
      <c r="J374" s="285">
        <v>0</v>
      </c>
      <c r="K374" s="285">
        <v>0</v>
      </c>
      <c r="L374" s="285">
        <v>0</v>
      </c>
      <c r="M374" s="285">
        <v>0</v>
      </c>
      <c r="N374" s="285">
        <v>6072.1544135001404</v>
      </c>
      <c r="O374" s="285">
        <v>6072.1544135001404</v>
      </c>
      <c r="P374" s="285">
        <v>6072.1544135001404</v>
      </c>
      <c r="Q374" s="285">
        <v>6072.1544135001404</v>
      </c>
      <c r="R374" s="285">
        <v>0</v>
      </c>
      <c r="S374" s="285">
        <v>0</v>
      </c>
      <c r="T374" s="285">
        <v>0</v>
      </c>
      <c r="U374" s="285">
        <v>0</v>
      </c>
      <c r="V374" s="285">
        <v>0</v>
      </c>
      <c r="W374" s="285">
        <v>0</v>
      </c>
      <c r="X374" s="285">
        <v>0</v>
      </c>
      <c r="Y374" s="285">
        <v>0</v>
      </c>
      <c r="Z374" s="285">
        <v>0</v>
      </c>
      <c r="AA374" s="285">
        <v>0</v>
      </c>
      <c r="AB374" s="285">
        <v>0</v>
      </c>
      <c r="AC374" s="285">
        <v>0</v>
      </c>
      <c r="AD374" s="285">
        <v>0</v>
      </c>
      <c r="AE374" s="285">
        <v>0</v>
      </c>
      <c r="AF374" s="285">
        <v>0</v>
      </c>
      <c r="AG374" s="285">
        <v>0</v>
      </c>
      <c r="AH374" s="285">
        <v>0</v>
      </c>
      <c r="AI374" s="285">
        <v>0</v>
      </c>
      <c r="AJ374" s="285">
        <v>0</v>
      </c>
      <c r="AK374" s="285">
        <v>0</v>
      </c>
      <c r="AL374" s="285">
        <v>0</v>
      </c>
      <c r="AM374" s="285">
        <v>0</v>
      </c>
      <c r="AN374" s="285">
        <v>0</v>
      </c>
    </row>
    <row r="375" spans="1:40">
      <c r="A375" s="30" t="s">
        <v>475</v>
      </c>
      <c r="B375" t="s">
        <v>453</v>
      </c>
      <c r="C375" t="s">
        <v>409</v>
      </c>
      <c r="D375" t="str">
        <f t="shared" si="51"/>
        <v>SME - All buildings MEES – EPC CMore effective</v>
      </c>
      <c r="E375" s="285">
        <v>0</v>
      </c>
      <c r="F375" s="285">
        <v>0</v>
      </c>
      <c r="G375" s="285">
        <v>0</v>
      </c>
      <c r="H375" s="285">
        <v>0</v>
      </c>
      <c r="I375" s="285">
        <v>0</v>
      </c>
      <c r="J375" s="285">
        <v>0</v>
      </c>
      <c r="K375" s="285">
        <v>0</v>
      </c>
      <c r="L375" s="285">
        <v>0</v>
      </c>
      <c r="M375" s="285">
        <v>0</v>
      </c>
      <c r="N375" s="285">
        <v>0</v>
      </c>
      <c r="O375" s="285">
        <v>0</v>
      </c>
      <c r="P375" s="285">
        <v>685.98344314940948</v>
      </c>
      <c r="Q375" s="285">
        <v>1371.966886298819</v>
      </c>
      <c r="R375" s="285">
        <v>2057.9503294482283</v>
      </c>
      <c r="S375" s="285">
        <v>2743.9337725976379</v>
      </c>
      <c r="T375" s="285">
        <v>2743.9337725976379</v>
      </c>
      <c r="U375" s="285">
        <v>2743.9337725976379</v>
      </c>
      <c r="V375" s="285">
        <v>2743.9337725976379</v>
      </c>
      <c r="W375" s="285">
        <v>2743.9337725976379</v>
      </c>
      <c r="X375" s="285">
        <v>2743.9337725976379</v>
      </c>
      <c r="Y375" s="285">
        <v>0</v>
      </c>
      <c r="Z375" s="285">
        <v>0</v>
      </c>
      <c r="AA375" s="285">
        <v>0</v>
      </c>
      <c r="AB375" s="285">
        <v>0</v>
      </c>
      <c r="AC375" s="285">
        <v>0</v>
      </c>
      <c r="AD375" s="285">
        <v>0</v>
      </c>
      <c r="AE375" s="285">
        <v>0</v>
      </c>
      <c r="AF375" s="285">
        <v>0</v>
      </c>
      <c r="AG375" s="285">
        <v>0</v>
      </c>
      <c r="AH375" s="285">
        <v>0</v>
      </c>
      <c r="AI375" s="285">
        <v>0</v>
      </c>
      <c r="AJ375" s="285">
        <v>0</v>
      </c>
      <c r="AK375" s="285">
        <v>0</v>
      </c>
      <c r="AL375" s="285">
        <v>0</v>
      </c>
      <c r="AM375" s="285">
        <v>0</v>
      </c>
      <c r="AN375" s="285">
        <v>0</v>
      </c>
    </row>
    <row r="376" spans="1:40">
      <c r="A376" s="30" t="s">
        <v>475</v>
      </c>
      <c r="B376" t="s">
        <v>453</v>
      </c>
      <c r="C376" t="s">
        <v>410</v>
      </c>
      <c r="D376" t="str">
        <f t="shared" si="51"/>
        <v>Large Enterprise - Landlord MEES – EPC CMore effective</v>
      </c>
      <c r="E376" s="285">
        <v>0</v>
      </c>
      <c r="F376" s="285">
        <v>0</v>
      </c>
      <c r="G376" s="285">
        <v>0</v>
      </c>
      <c r="H376" s="285">
        <v>0</v>
      </c>
      <c r="I376" s="285">
        <v>510.07086704395289</v>
      </c>
      <c r="J376" s="285">
        <v>1020.1417340879058</v>
      </c>
      <c r="K376" s="285">
        <v>1530.2126011318587</v>
      </c>
      <c r="L376" s="285">
        <v>2040.2834681758115</v>
      </c>
      <c r="M376" s="285">
        <v>2550.3543352197644</v>
      </c>
      <c r="N376" s="285">
        <v>3060.4252022637174</v>
      </c>
      <c r="O376" s="285">
        <v>3570.49606930767</v>
      </c>
      <c r="P376" s="285">
        <v>3570.49606930767</v>
      </c>
      <c r="Q376" s="285">
        <v>3570.49606930767</v>
      </c>
      <c r="R376" s="285">
        <v>3570.49606930767</v>
      </c>
      <c r="S376" s="285">
        <v>3570.49606930767</v>
      </c>
      <c r="T376" s="285">
        <v>3570.49606930767</v>
      </c>
      <c r="U376" s="285">
        <v>2856.3968554461362</v>
      </c>
      <c r="V376" s="285">
        <v>2142.2976415846019</v>
      </c>
      <c r="W376" s="285">
        <v>1428.1984277230677</v>
      </c>
      <c r="X376" s="285">
        <v>714.09921386153383</v>
      </c>
      <c r="Y376" s="285">
        <v>0</v>
      </c>
      <c r="Z376" s="285">
        <v>0</v>
      </c>
      <c r="AA376" s="285">
        <v>0</v>
      </c>
      <c r="AB376" s="285">
        <v>0</v>
      </c>
      <c r="AC376" s="285">
        <v>0</v>
      </c>
      <c r="AD376" s="285">
        <v>0</v>
      </c>
      <c r="AE376" s="285">
        <v>0</v>
      </c>
      <c r="AF376" s="285">
        <v>0</v>
      </c>
      <c r="AG376" s="285">
        <v>0</v>
      </c>
      <c r="AH376" s="285">
        <v>0</v>
      </c>
      <c r="AI376" s="285">
        <v>0</v>
      </c>
      <c r="AJ376" s="285">
        <v>0</v>
      </c>
      <c r="AK376" s="285">
        <v>0</v>
      </c>
      <c r="AL376" s="285">
        <v>0</v>
      </c>
      <c r="AM376" s="285">
        <v>0</v>
      </c>
      <c r="AN376" s="285">
        <v>0</v>
      </c>
    </row>
    <row r="377" spans="1:40">
      <c r="A377" s="30" t="s">
        <v>475</v>
      </c>
      <c r="B377" t="s">
        <v>453</v>
      </c>
      <c r="C377" t="s">
        <v>411</v>
      </c>
      <c r="D377" t="str">
        <f t="shared" si="51"/>
        <v>Large Enterprise - Energy performance tax grading – business ratesMore effective</v>
      </c>
      <c r="E377" s="80">
        <v>0</v>
      </c>
      <c r="F377" s="106">
        <v>0</v>
      </c>
      <c r="G377" s="106">
        <v>0</v>
      </c>
      <c r="H377" s="106">
        <v>0</v>
      </c>
      <c r="I377" s="106">
        <v>0</v>
      </c>
      <c r="J377" s="106">
        <v>0</v>
      </c>
      <c r="K377" s="106">
        <v>0</v>
      </c>
      <c r="L377" s="106">
        <v>0</v>
      </c>
      <c r="M377" s="106">
        <v>4080.8678862442562</v>
      </c>
      <c r="N377" s="106">
        <v>4080.8678862442562</v>
      </c>
      <c r="O377" s="80">
        <v>4080.8678862442562</v>
      </c>
      <c r="P377" s="106">
        <v>4080.8678862442562</v>
      </c>
      <c r="Q377" s="106">
        <v>4080.8678862442562</v>
      </c>
      <c r="R377" s="106">
        <v>0</v>
      </c>
      <c r="S377" s="106">
        <v>0</v>
      </c>
      <c r="T377" s="106">
        <v>0</v>
      </c>
      <c r="U377" s="106">
        <v>0</v>
      </c>
      <c r="V377" s="106">
        <v>0</v>
      </c>
      <c r="W377" s="106">
        <v>0</v>
      </c>
      <c r="X377" s="106">
        <v>0</v>
      </c>
      <c r="Y377" s="106">
        <v>0</v>
      </c>
      <c r="Z377" s="106">
        <v>0</v>
      </c>
      <c r="AA377" s="106">
        <v>0</v>
      </c>
      <c r="AB377" s="106">
        <v>0</v>
      </c>
      <c r="AC377" s="106">
        <v>0</v>
      </c>
      <c r="AD377" s="106">
        <v>0</v>
      </c>
      <c r="AE377" s="106">
        <v>0</v>
      </c>
      <c r="AF377" s="106">
        <v>0</v>
      </c>
      <c r="AG377" s="106">
        <v>0</v>
      </c>
      <c r="AH377" s="106">
        <v>0</v>
      </c>
      <c r="AI377" s="106">
        <v>0</v>
      </c>
      <c r="AJ377" s="106">
        <v>0</v>
      </c>
      <c r="AK377" s="106">
        <v>0</v>
      </c>
      <c r="AL377" s="106">
        <v>0</v>
      </c>
      <c r="AM377" s="106">
        <v>0</v>
      </c>
      <c r="AN377" s="80">
        <v>0</v>
      </c>
    </row>
    <row r="378" spans="1:40">
      <c r="A378" s="30" t="s">
        <v>475</v>
      </c>
      <c r="B378" t="s">
        <v>453</v>
      </c>
      <c r="C378" t="s">
        <v>412</v>
      </c>
      <c r="D378" t="str">
        <f t="shared" si="51"/>
        <v>Large Enterprise - All buildings MEES – EPC CMore effective</v>
      </c>
      <c r="E378" s="59">
        <v>0</v>
      </c>
      <c r="F378" s="59">
        <v>0</v>
      </c>
      <c r="G378" s="59">
        <v>0</v>
      </c>
      <c r="H378" s="59">
        <v>0</v>
      </c>
      <c r="I378" s="59">
        <v>0</v>
      </c>
      <c r="J378" s="59">
        <v>0</v>
      </c>
      <c r="K378" s="59">
        <v>0</v>
      </c>
      <c r="L378" s="59">
        <v>0</v>
      </c>
      <c r="M378" s="59">
        <v>0</v>
      </c>
      <c r="N378" s="59">
        <v>0</v>
      </c>
      <c r="O378" s="59">
        <v>0</v>
      </c>
      <c r="P378" s="59">
        <v>649.22657739374881</v>
      </c>
      <c r="Q378" s="59">
        <v>1298.4531547874976</v>
      </c>
      <c r="R378" s="59">
        <v>1947.6797321812464</v>
      </c>
      <c r="S378" s="59">
        <v>2596.9063095749952</v>
      </c>
      <c r="T378" s="59">
        <v>2596.9063095749952</v>
      </c>
      <c r="U378" s="59">
        <v>2596.9063095749952</v>
      </c>
      <c r="V378" s="59">
        <v>2596.9063095749952</v>
      </c>
      <c r="W378" s="59">
        <v>2596.9063095749952</v>
      </c>
      <c r="X378" s="59">
        <v>2596.9063095749952</v>
      </c>
      <c r="Y378" s="59">
        <v>0</v>
      </c>
      <c r="Z378" s="59">
        <v>0</v>
      </c>
      <c r="AA378" s="59">
        <v>0</v>
      </c>
      <c r="AB378" s="59">
        <v>0</v>
      </c>
      <c r="AC378" s="59">
        <v>0</v>
      </c>
      <c r="AD378" s="59">
        <v>0</v>
      </c>
      <c r="AE378" s="59">
        <v>0</v>
      </c>
      <c r="AF378" s="59">
        <v>0</v>
      </c>
      <c r="AG378" s="59">
        <v>0</v>
      </c>
      <c r="AH378" s="59">
        <v>0</v>
      </c>
      <c r="AI378" s="59">
        <v>0</v>
      </c>
      <c r="AJ378" s="59">
        <v>0</v>
      </c>
      <c r="AK378" s="59">
        <v>0</v>
      </c>
      <c r="AL378" s="59">
        <v>0</v>
      </c>
      <c r="AM378" s="59">
        <v>0</v>
      </c>
      <c r="AN378" s="59">
        <v>0</v>
      </c>
    </row>
    <row r="379" spans="1:40">
      <c r="A379" s="30" t="s">
        <v>475</v>
      </c>
      <c r="B379" t="s">
        <v>453</v>
      </c>
      <c r="C379" t="s">
        <v>413</v>
      </c>
      <c r="D379" t="str">
        <f t="shared" si="51"/>
        <v>Public - Extended RE:FITMore effective</v>
      </c>
      <c r="E379" s="381">
        <v>0</v>
      </c>
      <c r="F379" s="381">
        <v>0</v>
      </c>
      <c r="G379" s="381">
        <v>0</v>
      </c>
      <c r="H379" s="381">
        <v>0</v>
      </c>
      <c r="I379" s="381">
        <v>0</v>
      </c>
      <c r="J379" s="381">
        <v>0</v>
      </c>
      <c r="K379" s="381">
        <v>0</v>
      </c>
      <c r="L379" s="381">
        <v>0</v>
      </c>
      <c r="M379" s="381">
        <v>0</v>
      </c>
      <c r="N379" s="381">
        <v>0</v>
      </c>
      <c r="O379" s="381">
        <v>0</v>
      </c>
      <c r="P379" s="381">
        <v>0</v>
      </c>
      <c r="Q379" s="381">
        <v>0</v>
      </c>
      <c r="R379" s="381">
        <v>0</v>
      </c>
      <c r="S379" s="381">
        <v>0</v>
      </c>
      <c r="T379" s="381">
        <v>0</v>
      </c>
      <c r="U379" s="381">
        <v>0</v>
      </c>
      <c r="V379" s="381">
        <v>0</v>
      </c>
      <c r="W379" s="381">
        <v>0</v>
      </c>
      <c r="X379" s="381">
        <v>0</v>
      </c>
      <c r="Y379" s="381">
        <v>0</v>
      </c>
      <c r="Z379" s="381">
        <v>0</v>
      </c>
      <c r="AA379" s="381">
        <v>0</v>
      </c>
      <c r="AB379" s="381">
        <v>0</v>
      </c>
      <c r="AC379" s="381">
        <v>0</v>
      </c>
      <c r="AD379" s="381">
        <v>0</v>
      </c>
      <c r="AE379" s="381">
        <v>0</v>
      </c>
      <c r="AF379" s="381">
        <v>0</v>
      </c>
      <c r="AG379" s="381">
        <v>0</v>
      </c>
      <c r="AH379" s="381">
        <v>0</v>
      </c>
      <c r="AI379" s="381">
        <v>0</v>
      </c>
      <c r="AJ379" s="381">
        <v>0</v>
      </c>
      <c r="AK379" s="381">
        <v>0</v>
      </c>
      <c r="AL379" s="381">
        <v>0</v>
      </c>
      <c r="AM379" s="381">
        <v>0</v>
      </c>
      <c r="AN379" s="381">
        <v>0</v>
      </c>
    </row>
    <row r="380" spans="1:40">
      <c r="A380" s="30" t="s">
        <v>475</v>
      </c>
      <c r="B380" t="s">
        <v>453</v>
      </c>
      <c r="C380" t="s">
        <v>414</v>
      </c>
      <c r="D380" t="str">
        <f t="shared" si="51"/>
        <v>Public - All buildings MEES – EPC CMore effective</v>
      </c>
      <c r="E380" s="381">
        <v>0</v>
      </c>
      <c r="F380" s="381">
        <v>0</v>
      </c>
      <c r="G380" s="381">
        <v>0</v>
      </c>
      <c r="H380" s="381">
        <v>0</v>
      </c>
      <c r="I380" s="381">
        <v>0</v>
      </c>
      <c r="J380" s="381">
        <v>0</v>
      </c>
      <c r="K380" s="381">
        <v>469.27000861467485</v>
      </c>
      <c r="L380" s="381">
        <v>938.5400172293497</v>
      </c>
      <c r="M380" s="381">
        <v>1407.8100258440245</v>
      </c>
      <c r="N380" s="381">
        <v>1877.0800344586994</v>
      </c>
      <c r="O380" s="381">
        <v>2346.3500430733743</v>
      </c>
      <c r="P380" s="381">
        <v>2815.620051688049</v>
      </c>
      <c r="Q380" s="381">
        <v>3284.8900603027241</v>
      </c>
      <c r="R380" s="381">
        <v>3754.1600689173988</v>
      </c>
      <c r="S380" s="381">
        <v>4223.4300775320735</v>
      </c>
      <c r="T380" s="381">
        <v>4223.4300775320735</v>
      </c>
      <c r="U380" s="381">
        <v>3378.7440620256589</v>
      </c>
      <c r="V380" s="381">
        <v>2534.0580465192443</v>
      </c>
      <c r="W380" s="381">
        <v>1689.3720310128297</v>
      </c>
      <c r="X380" s="381">
        <v>844.68601550641472</v>
      </c>
      <c r="Y380" s="381">
        <v>0</v>
      </c>
      <c r="Z380" s="381">
        <v>0</v>
      </c>
      <c r="AA380" s="381">
        <v>0</v>
      </c>
      <c r="AB380" s="381">
        <v>0</v>
      </c>
      <c r="AC380" s="381">
        <v>0</v>
      </c>
      <c r="AD380" s="381">
        <v>0</v>
      </c>
      <c r="AE380" s="381">
        <v>0</v>
      </c>
      <c r="AF380" s="381">
        <v>0</v>
      </c>
      <c r="AG380" s="381">
        <v>0</v>
      </c>
      <c r="AH380" s="381">
        <v>0</v>
      </c>
      <c r="AI380" s="381">
        <v>0</v>
      </c>
      <c r="AJ380" s="381">
        <v>0</v>
      </c>
      <c r="AK380" s="381">
        <v>0</v>
      </c>
      <c r="AL380" s="381">
        <v>0</v>
      </c>
      <c r="AM380" s="381">
        <v>0</v>
      </c>
      <c r="AN380" s="381">
        <v>0</v>
      </c>
    </row>
    <row r="381" spans="1:40">
      <c r="A381" s="30" t="s">
        <v>475</v>
      </c>
      <c r="B381" t="s">
        <v>453</v>
      </c>
      <c r="C381" t="s">
        <v>454</v>
      </c>
      <c r="D381" t="str">
        <f t="shared" si="51"/>
        <v>Existing - Non-domestic ALL - Mandate on lighting efficiencyMore effective</v>
      </c>
      <c r="E381" s="381"/>
      <c r="F381" s="381"/>
      <c r="G381" s="381"/>
      <c r="H381" s="381"/>
      <c r="I381" s="381"/>
      <c r="J381" s="381"/>
      <c r="K381" s="381"/>
      <c r="L381" s="381"/>
      <c r="M381" s="381"/>
      <c r="N381" s="381"/>
      <c r="O381" s="381"/>
      <c r="P381" s="381"/>
      <c r="Q381" s="381"/>
      <c r="R381" s="381"/>
      <c r="S381" s="381"/>
      <c r="T381" s="381"/>
      <c r="U381" s="381"/>
      <c r="V381" s="381"/>
      <c r="W381" s="381"/>
      <c r="X381" s="381"/>
      <c r="Y381" s="381"/>
      <c r="Z381" s="381"/>
      <c r="AA381" s="381"/>
      <c r="AB381" s="381"/>
      <c r="AC381" s="381"/>
      <c r="AD381" s="381"/>
      <c r="AE381" s="381"/>
      <c r="AF381" s="381"/>
      <c r="AG381" s="381"/>
      <c r="AH381" s="381"/>
      <c r="AI381" s="381"/>
      <c r="AJ381" s="381"/>
      <c r="AK381" s="381"/>
      <c r="AL381" s="381"/>
      <c r="AM381" s="381"/>
      <c r="AN381" s="381"/>
    </row>
    <row r="382" spans="1:40">
      <c r="A382" s="30" t="s">
        <v>475</v>
      </c>
      <c r="B382" t="s">
        <v>453</v>
      </c>
      <c r="C382" t="s">
        <v>455</v>
      </c>
      <c r="D382" t="str">
        <f t="shared" si="51"/>
        <v>Existing -Non-domestic ALL - Mandate on appliance efficiencyMore effective</v>
      </c>
      <c r="E382" s="381"/>
      <c r="F382" s="381"/>
      <c r="G382" s="381"/>
      <c r="H382" s="381"/>
      <c r="I382" s="381"/>
      <c r="J382" s="381"/>
      <c r="K382" s="381"/>
      <c r="L382" s="381"/>
      <c r="M382" s="381"/>
      <c r="N382" s="381"/>
      <c r="O382" s="381"/>
      <c r="P382" s="381"/>
      <c r="Q382" s="381"/>
      <c r="R382" s="381"/>
      <c r="S382" s="381"/>
      <c r="T382" s="381"/>
      <c r="U382" s="381"/>
      <c r="V382" s="381"/>
      <c r="W382" s="381"/>
      <c r="X382" s="381"/>
      <c r="Y382" s="381"/>
      <c r="Z382" s="381"/>
      <c r="AA382" s="381"/>
      <c r="AB382" s="381"/>
      <c r="AC382" s="381"/>
      <c r="AD382" s="381"/>
      <c r="AE382" s="381"/>
      <c r="AF382" s="381"/>
      <c r="AG382" s="381"/>
      <c r="AH382" s="381"/>
      <c r="AI382" s="381"/>
      <c r="AJ382" s="381"/>
      <c r="AK382" s="381"/>
      <c r="AL382" s="381"/>
      <c r="AM382" s="381"/>
      <c r="AN382" s="381"/>
    </row>
    <row r="383" spans="1:40">
      <c r="A383" s="30" t="s">
        <v>475</v>
      </c>
      <c r="B383" t="s">
        <v>453</v>
      </c>
      <c r="C383" t="s">
        <v>456</v>
      </c>
      <c r="D383" t="str">
        <f t="shared" si="51"/>
        <v>New - Non-domestic ALL - Mandate on lighting efficiencyMore effective</v>
      </c>
      <c r="E383" s="381">
        <v>0</v>
      </c>
      <c r="F383" s="381">
        <v>3472.6107683765158</v>
      </c>
      <c r="G383" s="381">
        <v>3472.6107683765158</v>
      </c>
      <c r="H383" s="381">
        <v>3472.6107683765154</v>
      </c>
      <c r="I383" s="381">
        <v>11591.288057345249</v>
      </c>
      <c r="J383" s="381">
        <v>19709.96534631398</v>
      </c>
      <c r="K383" s="381">
        <v>27828.642635282715</v>
      </c>
      <c r="L383" s="381">
        <v>35947.319924251446</v>
      </c>
      <c r="M383" s="381">
        <v>44065.99721322018</v>
      </c>
      <c r="N383" s="381">
        <v>52184.674502188915</v>
      </c>
      <c r="O383" s="381">
        <v>60303.351791157649</v>
      </c>
      <c r="P383" s="381">
        <v>59380.244762667491</v>
      </c>
      <c r="Q383" s="381">
        <v>2549.5037398863597</v>
      </c>
      <c r="R383" s="381">
        <v>2549.5037398863587</v>
      </c>
      <c r="S383" s="381">
        <v>2549.5037398863597</v>
      </c>
      <c r="T383" s="381">
        <v>2549.5037398863597</v>
      </c>
      <c r="U383" s="381">
        <v>2549.5037398863597</v>
      </c>
      <c r="V383" s="381">
        <v>2549.5037398863601</v>
      </c>
      <c r="W383" s="381">
        <v>2549.5037398863601</v>
      </c>
      <c r="X383" s="381">
        <v>2549.5037398863601</v>
      </c>
      <c r="Y383" s="381">
        <v>2549.5037398863601</v>
      </c>
      <c r="Z383" s="381">
        <v>2549.5037398863601</v>
      </c>
      <c r="AA383" s="381">
        <v>2549.5037398863601</v>
      </c>
      <c r="AB383" s="381">
        <v>2549.5037398863601</v>
      </c>
      <c r="AC383" s="381">
        <v>2549.5037398863587</v>
      </c>
      <c r="AD383" s="381">
        <v>2549.5037398863587</v>
      </c>
      <c r="AE383" s="381">
        <v>2549.5037398863587</v>
      </c>
      <c r="AF383" s="381">
        <v>2549.5037398863619</v>
      </c>
      <c r="AG383" s="381">
        <v>2549.5037398863606</v>
      </c>
      <c r="AH383" s="381">
        <v>2549.5037398863606</v>
      </c>
      <c r="AI383" s="381">
        <v>2549.5037398863606</v>
      </c>
      <c r="AJ383" s="381">
        <v>2549.5037398863606</v>
      </c>
      <c r="AK383" s="381">
        <v>2549.5037398863606</v>
      </c>
      <c r="AL383" s="381">
        <v>2549.5037398863606</v>
      </c>
      <c r="AM383" s="381">
        <v>2549.5037398863606</v>
      </c>
      <c r="AN383" s="381">
        <v>2549.5037398863496</v>
      </c>
    </row>
    <row r="384" spans="1:40">
      <c r="A384" s="30" t="s">
        <v>475</v>
      </c>
      <c r="B384" t="s">
        <v>453</v>
      </c>
      <c r="C384" t="s">
        <v>457</v>
      </c>
      <c r="D384" t="str">
        <f t="shared" si="51"/>
        <v>New -Non-domestic ALL - Mandate on appliance efficiencyMore effective</v>
      </c>
      <c r="E384" s="381">
        <v>0</v>
      </c>
      <c r="F384" s="381">
        <v>3472.6107683765158</v>
      </c>
      <c r="G384" s="381">
        <v>3472.6107683765158</v>
      </c>
      <c r="H384" s="381">
        <v>3472.6107683765154</v>
      </c>
      <c r="I384" s="381">
        <v>5226.6459851290201</v>
      </c>
      <c r="J384" s="381">
        <v>6980.6812018815235</v>
      </c>
      <c r="K384" s="381">
        <v>8734.7164186340269</v>
      </c>
      <c r="L384" s="381">
        <v>10488.751635386532</v>
      </c>
      <c r="M384" s="381">
        <v>12242.786852139034</v>
      </c>
      <c r="N384" s="381">
        <v>13996.822068891539</v>
      </c>
      <c r="O384" s="381">
        <v>15750.857285644042</v>
      </c>
      <c r="P384" s="381">
        <v>16581.785473906391</v>
      </c>
      <c r="Q384" s="381">
        <v>18335.820690658897</v>
      </c>
      <c r="R384" s="381">
        <v>20089.855907411395</v>
      </c>
      <c r="S384" s="381">
        <v>21843.891124163903</v>
      </c>
      <c r="T384" s="381">
        <v>23597.926340916409</v>
      </c>
      <c r="U384" s="381">
        <v>22194.698167514402</v>
      </c>
      <c r="V384" s="381">
        <v>20791.469994112402</v>
      </c>
      <c r="W384" s="381">
        <v>19388.241820710398</v>
      </c>
      <c r="X384" s="381">
        <v>17985.013647308395</v>
      </c>
      <c r="Y384" s="381">
        <v>16581.785473906395</v>
      </c>
      <c r="Z384" s="381">
        <v>15178.55730050439</v>
      </c>
      <c r="AA384" s="381">
        <v>13775.329127102386</v>
      </c>
      <c r="AB384" s="381">
        <v>12372.100953700381</v>
      </c>
      <c r="AC384" s="381">
        <v>10968.872780298378</v>
      </c>
      <c r="AD384" s="381">
        <v>9565.644606896376</v>
      </c>
      <c r="AE384" s="381">
        <v>8162.4164334943716</v>
      </c>
      <c r="AF384" s="381">
        <v>6759.1882600923709</v>
      </c>
      <c r="AG384" s="381">
        <v>5355.9600866903666</v>
      </c>
      <c r="AH384" s="381">
        <v>3952.7319132883626</v>
      </c>
      <c r="AI384" s="381">
        <v>2549.5037398863606</v>
      </c>
      <c r="AJ384" s="381">
        <v>2549.5037398863606</v>
      </c>
      <c r="AK384" s="381">
        <v>2549.5037398863606</v>
      </c>
      <c r="AL384" s="381">
        <v>2549.5037398863606</v>
      </c>
      <c r="AM384" s="381">
        <v>2549.5037398863606</v>
      </c>
      <c r="AN384" s="381">
        <v>2549.5037398863496</v>
      </c>
    </row>
    <row r="385" spans="1:40">
      <c r="A385" s="30" t="s">
        <v>475</v>
      </c>
      <c r="B385" t="s">
        <v>453</v>
      </c>
      <c r="C385" t="s">
        <v>458</v>
      </c>
      <c r="D385" t="str">
        <f t="shared" si="51"/>
        <v>New -Non-domestic ALL - Stronger planning requirement for smart controlsMore effective</v>
      </c>
      <c r="E385" s="80">
        <v>0</v>
      </c>
      <c r="F385" s="106">
        <v>2170.3817302353223</v>
      </c>
      <c r="G385" s="106">
        <v>2170.3817302353223</v>
      </c>
      <c r="H385" s="106">
        <v>2170.3817302353218</v>
      </c>
      <c r="I385" s="106">
        <v>2170.3817302353218</v>
      </c>
      <c r="J385" s="106">
        <v>2170.3817302353218</v>
      </c>
      <c r="K385" s="106">
        <v>2170.3817302353223</v>
      </c>
      <c r="L385" s="106">
        <v>2170.3817302353227</v>
      </c>
      <c r="M385" s="106">
        <v>2170.3817302353218</v>
      </c>
      <c r="N385" s="106">
        <v>2170.3817302353218</v>
      </c>
      <c r="O385" s="80">
        <v>2170.3817302353218</v>
      </c>
      <c r="P385" s="106">
        <v>1593.4398374289747</v>
      </c>
      <c r="Q385" s="106">
        <v>1593.4398374289747</v>
      </c>
      <c r="R385" s="106">
        <v>1593.439837428974</v>
      </c>
      <c r="S385" s="106">
        <v>1593.4398374289749</v>
      </c>
      <c r="T385" s="106">
        <v>1593.4398374289749</v>
      </c>
      <c r="U385" s="106">
        <v>1593.4398374289749</v>
      </c>
      <c r="V385" s="106">
        <v>1593.4398374289749</v>
      </c>
      <c r="W385" s="106">
        <v>1593.4398374289749</v>
      </c>
      <c r="X385" s="106">
        <v>1593.4398374289749</v>
      </c>
      <c r="Y385" s="106">
        <v>1593.4398374289749</v>
      </c>
      <c r="Z385" s="106">
        <v>1593.4398374289749</v>
      </c>
      <c r="AA385" s="106">
        <v>1593.4398374289749</v>
      </c>
      <c r="AB385" s="106">
        <v>1593.4398374289749</v>
      </c>
      <c r="AC385" s="106">
        <v>1593.439837428974</v>
      </c>
      <c r="AD385" s="106">
        <v>1593.439837428974</v>
      </c>
      <c r="AE385" s="106">
        <v>1593.439837428974</v>
      </c>
      <c r="AF385" s="106">
        <v>1593.439837428976</v>
      </c>
      <c r="AG385" s="106">
        <v>1593.4398374289749</v>
      </c>
      <c r="AH385" s="106">
        <v>1593.4398374289749</v>
      </c>
      <c r="AI385" s="106">
        <v>1593.4398374289749</v>
      </c>
      <c r="AJ385" s="106">
        <v>1593.4398374289749</v>
      </c>
      <c r="AK385" s="106">
        <v>1593.4398374289749</v>
      </c>
      <c r="AL385" s="106">
        <v>1593.4398374289749</v>
      </c>
      <c r="AM385" s="106">
        <v>1593.4398374289749</v>
      </c>
      <c r="AN385" s="80">
        <v>1593.4398374289683</v>
      </c>
    </row>
    <row r="386" spans="1:40">
      <c r="A386" s="30" t="s">
        <v>475</v>
      </c>
      <c r="B386" t="s">
        <v>459</v>
      </c>
      <c r="C386" t="s">
        <v>460</v>
      </c>
      <c r="D386" t="str">
        <f t="shared" si="51"/>
        <v>Extended Mayoral ProgramsDomestic CAPEXMore effective</v>
      </c>
      <c r="E386" s="80">
        <v>0</v>
      </c>
      <c r="F386" s="106">
        <v>0</v>
      </c>
      <c r="G386" s="106">
        <v>0</v>
      </c>
      <c r="H386" s="106">
        <v>0</v>
      </c>
      <c r="I386" s="106">
        <v>0</v>
      </c>
      <c r="J386" s="106">
        <v>0</v>
      </c>
      <c r="K386" s="106">
        <v>0</v>
      </c>
      <c r="L386" s="106">
        <v>0</v>
      </c>
      <c r="M386" s="106">
        <v>0</v>
      </c>
      <c r="N386" s="106">
        <v>0</v>
      </c>
      <c r="O386" s="80">
        <v>26165821.855719127</v>
      </c>
      <c r="P386" s="106">
        <v>51383905.282018512</v>
      </c>
      <c r="Q386" s="106">
        <v>75654250.27889815</v>
      </c>
      <c r="R386" s="106">
        <v>98976856.846358016</v>
      </c>
      <c r="S386" s="106">
        <v>121351724.98439814</v>
      </c>
      <c r="T386" s="106">
        <v>142778854.69301856</v>
      </c>
      <c r="U386" s="106">
        <v>166575330.47518831</v>
      </c>
      <c r="V386" s="106">
        <v>190371806.25735801</v>
      </c>
      <c r="W386" s="106">
        <v>214168282.03952783</v>
      </c>
      <c r="X386" s="106">
        <v>237964757.82169759</v>
      </c>
      <c r="Y386" s="106">
        <v>237964757.82169759</v>
      </c>
      <c r="Z386" s="106">
        <v>237964757.82169759</v>
      </c>
      <c r="AA386" s="106">
        <v>237964757.82169759</v>
      </c>
      <c r="AB386" s="106">
        <v>0</v>
      </c>
      <c r="AC386" s="106">
        <v>0</v>
      </c>
      <c r="AD386" s="106">
        <v>0</v>
      </c>
      <c r="AE386" s="106">
        <v>0</v>
      </c>
      <c r="AF386" s="106">
        <v>0</v>
      </c>
      <c r="AG386" s="106">
        <v>0</v>
      </c>
      <c r="AH386" s="106">
        <v>0</v>
      </c>
      <c r="AI386" s="106">
        <v>0</v>
      </c>
      <c r="AJ386" s="106">
        <v>0</v>
      </c>
      <c r="AK386" s="106">
        <v>0</v>
      </c>
      <c r="AL386" s="106">
        <v>0</v>
      </c>
      <c r="AM386" s="106">
        <v>0</v>
      </c>
      <c r="AN386" s="80">
        <v>0</v>
      </c>
    </row>
    <row r="387" spans="1:40">
      <c r="A387" s="30" t="s">
        <v>475</v>
      </c>
      <c r="B387" t="s">
        <v>459</v>
      </c>
      <c r="C387" t="s">
        <v>461</v>
      </c>
      <c r="D387" t="str">
        <f t="shared" si="51"/>
        <v>MEESDomestic CAPEXMore effective</v>
      </c>
      <c r="E387" s="80">
        <v>0</v>
      </c>
      <c r="F387" s="106">
        <v>0</v>
      </c>
      <c r="G387" s="106">
        <v>0</v>
      </c>
      <c r="H387" s="106">
        <v>0</v>
      </c>
      <c r="I387" s="106">
        <v>58994597.214101344</v>
      </c>
      <c r="J387" s="106">
        <v>116061814.12149197</v>
      </c>
      <c r="K387" s="106">
        <v>315052224.43348229</v>
      </c>
      <c r="L387" s="106">
        <v>507256865.01826251</v>
      </c>
      <c r="M387" s="106">
        <v>692675735.87583232</v>
      </c>
      <c r="N387" s="106">
        <v>871308837.00619245</v>
      </c>
      <c r="O387" s="80">
        <v>1043156168.4093418</v>
      </c>
      <c r="P387" s="106">
        <v>1208217730.0852814</v>
      </c>
      <c r="Q387" s="106">
        <v>1366493522.0340109</v>
      </c>
      <c r="R387" s="106">
        <v>1517983544.2555299</v>
      </c>
      <c r="S387" s="106">
        <v>1662687796.7498388</v>
      </c>
      <c r="T387" s="106">
        <v>1630224452.6706824</v>
      </c>
      <c r="U387" s="106">
        <v>1114754713.6726727</v>
      </c>
      <c r="V387" s="106">
        <v>936572777.88428593</v>
      </c>
      <c r="W387" s="106">
        <v>758390842.09589899</v>
      </c>
      <c r="X387" s="106">
        <v>580208906.30751216</v>
      </c>
      <c r="Y387" s="106">
        <v>-7.4092895374633383E-9</v>
      </c>
      <c r="Z387" s="106">
        <v>0</v>
      </c>
      <c r="AA387" s="106">
        <v>0</v>
      </c>
      <c r="AB387" s="106">
        <v>0</v>
      </c>
      <c r="AC387" s="106">
        <v>0</v>
      </c>
      <c r="AD387" s="106">
        <v>0</v>
      </c>
      <c r="AE387" s="106">
        <v>0</v>
      </c>
      <c r="AF387" s="106">
        <v>0</v>
      </c>
      <c r="AG387" s="106">
        <v>0</v>
      </c>
      <c r="AH387" s="106">
        <v>0</v>
      </c>
      <c r="AI387" s="106">
        <v>0</v>
      </c>
      <c r="AJ387" s="106">
        <v>0</v>
      </c>
      <c r="AK387" s="106">
        <v>0</v>
      </c>
      <c r="AL387" s="106">
        <v>0</v>
      </c>
      <c r="AM387" s="106">
        <v>0</v>
      </c>
      <c r="AN387" s="80">
        <v>0</v>
      </c>
    </row>
    <row r="388" spans="1:40">
      <c r="A388" s="30" t="s">
        <v>475</v>
      </c>
      <c r="B388" t="s">
        <v>459</v>
      </c>
      <c r="C388" t="s">
        <v>462</v>
      </c>
      <c r="D388" t="str">
        <f t="shared" si="51"/>
        <v>Tax mechanismsDomestic CAPEXMore effective</v>
      </c>
      <c r="E388" s="381">
        <v>0</v>
      </c>
      <c r="F388" s="381">
        <v>0</v>
      </c>
      <c r="G388" s="381">
        <v>0</v>
      </c>
      <c r="H388" s="381">
        <v>0</v>
      </c>
      <c r="I388" s="381">
        <v>0</v>
      </c>
      <c r="J388" s="381">
        <v>0</v>
      </c>
      <c r="K388" s="381">
        <v>0</v>
      </c>
      <c r="L388" s="381">
        <v>0</v>
      </c>
      <c r="M388" s="381">
        <v>874715639.10671222</v>
      </c>
      <c r="N388" s="381">
        <v>859428055.74846447</v>
      </c>
      <c r="O388" s="381">
        <v>1097382614.1072812</v>
      </c>
      <c r="P388" s="381">
        <v>1077508755.741559</v>
      </c>
      <c r="Q388" s="381">
        <v>1057634897.3758366</v>
      </c>
      <c r="R388" s="381">
        <v>239483316.69464165</v>
      </c>
      <c r="S388" s="381">
        <v>234897041.68716726</v>
      </c>
      <c r="T388" s="381">
        <v>230310766.67969292</v>
      </c>
      <c r="U388" s="381">
        <v>230310766.67969292</v>
      </c>
      <c r="V388" s="381">
        <v>230310766.67969292</v>
      </c>
      <c r="W388" s="381">
        <v>230310766.67969292</v>
      </c>
      <c r="X388" s="381">
        <v>230310766.67969292</v>
      </c>
      <c r="Y388" s="381">
        <v>230310766.67969292</v>
      </c>
      <c r="Z388" s="381">
        <v>0</v>
      </c>
      <c r="AA388" s="381">
        <v>0</v>
      </c>
      <c r="AB388" s="381">
        <v>0</v>
      </c>
      <c r="AC388" s="381">
        <v>0</v>
      </c>
      <c r="AD388" s="381">
        <v>0</v>
      </c>
      <c r="AE388" s="381">
        <v>0</v>
      </c>
      <c r="AF388" s="381">
        <v>0</v>
      </c>
      <c r="AG388" s="381">
        <v>0</v>
      </c>
      <c r="AH388" s="381">
        <v>0</v>
      </c>
      <c r="AI388" s="381">
        <v>0</v>
      </c>
      <c r="AJ388" s="381">
        <v>0</v>
      </c>
      <c r="AK388" s="381">
        <v>0</v>
      </c>
      <c r="AL388" s="381">
        <v>0</v>
      </c>
      <c r="AM388" s="381">
        <v>0</v>
      </c>
      <c r="AN388" s="381">
        <v>0</v>
      </c>
    </row>
    <row r="389" spans="1:40">
      <c r="A389" s="30" t="s">
        <v>475</v>
      </c>
      <c r="B389" t="s">
        <v>459</v>
      </c>
      <c r="C389" t="s">
        <v>463</v>
      </c>
      <c r="D389" t="str">
        <f t="shared" si="51"/>
        <v>Planning requirementsDomestic CAPEXMore effective</v>
      </c>
      <c r="E389" s="381">
        <v>0</v>
      </c>
      <c r="F389" s="381">
        <v>42325208.821868561</v>
      </c>
      <c r="G389" s="381">
        <v>41666116.199727073</v>
      </c>
      <c r="H389" s="381">
        <v>41007023.577585578</v>
      </c>
      <c r="I389" s="381">
        <v>40347930.955444098</v>
      </c>
      <c r="J389" s="381">
        <v>110081747.95046915</v>
      </c>
      <c r="K389" s="381">
        <v>102255683.39065857</v>
      </c>
      <c r="L389" s="381">
        <v>100528898.72253439</v>
      </c>
      <c r="M389" s="381">
        <v>98802114.054410189</v>
      </c>
      <c r="N389" s="381">
        <v>97075329.38628602</v>
      </c>
      <c r="O389" s="381">
        <v>95348544.71816209</v>
      </c>
      <c r="P389" s="381">
        <v>87862128.442274719</v>
      </c>
      <c r="Q389" s="381">
        <v>86241575.952962503</v>
      </c>
      <c r="R389" s="381">
        <v>23579951.658439349</v>
      </c>
      <c r="S389" s="381">
        <v>23128378.895621609</v>
      </c>
      <c r="T389" s="381">
        <v>22676806.132803854</v>
      </c>
      <c r="U389" s="381">
        <v>10453732.422347844</v>
      </c>
      <c r="V389" s="381">
        <v>10453732.422347793</v>
      </c>
      <c r="W389" s="381">
        <v>10453732.422347793</v>
      </c>
      <c r="X389" s="381">
        <v>10453732.422347793</v>
      </c>
      <c r="Y389" s="381">
        <v>10453732.422347793</v>
      </c>
      <c r="Z389" s="381">
        <v>10453732.422347793</v>
      </c>
      <c r="AA389" s="381">
        <v>10453732.422347793</v>
      </c>
      <c r="AB389" s="381">
        <v>10453732.422347793</v>
      </c>
      <c r="AC389" s="381">
        <v>10453732.422347793</v>
      </c>
      <c r="AD389" s="381">
        <v>10453732.422348699</v>
      </c>
      <c r="AE389" s="381">
        <v>10453732.422347985</v>
      </c>
      <c r="AF389" s="381">
        <v>10453732.422348082</v>
      </c>
      <c r="AG389" s="381">
        <v>10453732.422348082</v>
      </c>
      <c r="AH389" s="381">
        <v>10453732.422348082</v>
      </c>
      <c r="AI389" s="381">
        <v>10453732.422348082</v>
      </c>
      <c r="AJ389" s="381">
        <v>10453732.422348082</v>
      </c>
      <c r="AK389" s="381">
        <v>10453732.422348082</v>
      </c>
      <c r="AL389" s="381">
        <v>10453732.422348082</v>
      </c>
      <c r="AM389" s="381">
        <v>10453732.422348082</v>
      </c>
      <c r="AN389" s="381">
        <v>10453732.422347119</v>
      </c>
    </row>
    <row r="390" spans="1:40">
      <c r="A390" s="30" t="s">
        <v>475</v>
      </c>
      <c r="B390" t="s">
        <v>459</v>
      </c>
      <c r="C390" t="s">
        <v>464</v>
      </c>
      <c r="D390" t="str">
        <f t="shared" si="51"/>
        <v>Lighting efficiencyDomestic CAPEXMore effective</v>
      </c>
      <c r="E390" s="381">
        <v>0</v>
      </c>
      <c r="F390" s="381">
        <v>6935973.9122759365</v>
      </c>
      <c r="G390" s="381">
        <v>6827966.193939887</v>
      </c>
      <c r="H390" s="381">
        <v>6719958.4756038357</v>
      </c>
      <c r="I390" s="381">
        <v>14295679.265610643</v>
      </c>
      <c r="J390" s="381">
        <v>21620369.152646001</v>
      </c>
      <c r="K390" s="381">
        <v>27711117.038082451</v>
      </c>
      <c r="L390" s="381">
        <v>34550343.471060753</v>
      </c>
      <c r="M390" s="381">
        <v>41138539.001067623</v>
      </c>
      <c r="N390" s="381">
        <v>47475703.628103063</v>
      </c>
      <c r="O390" s="381">
        <v>53561837.352167122</v>
      </c>
      <c r="P390" s="381">
        <v>51647969.678141102</v>
      </c>
      <c r="Q390" s="381">
        <v>3938126.4994950267</v>
      </c>
      <c r="R390" s="381">
        <v>3864125.7564489595</v>
      </c>
      <c r="S390" s="381">
        <v>3790125.0134028923</v>
      </c>
      <c r="T390" s="381">
        <v>3716124.2703568228</v>
      </c>
      <c r="U390" s="381">
        <v>1713088.1898887407</v>
      </c>
      <c r="V390" s="381">
        <v>1713088.1898887325</v>
      </c>
      <c r="W390" s="381">
        <v>1713088.1898887325</v>
      </c>
      <c r="X390" s="381">
        <v>1713088.1898887325</v>
      </c>
      <c r="Y390" s="381">
        <v>1713088.1898887325</v>
      </c>
      <c r="Z390" s="381">
        <v>1713088.1898887325</v>
      </c>
      <c r="AA390" s="381">
        <v>1713088.1898887325</v>
      </c>
      <c r="AB390" s="381">
        <v>1713088.1898887325</v>
      </c>
      <c r="AC390" s="381">
        <v>1713088.1898887325</v>
      </c>
      <c r="AD390" s="381">
        <v>1713088.1898888813</v>
      </c>
      <c r="AE390" s="381">
        <v>1713088.1898887637</v>
      </c>
      <c r="AF390" s="381">
        <v>1713088.18988878</v>
      </c>
      <c r="AG390" s="381">
        <v>1713088.18988878</v>
      </c>
      <c r="AH390" s="381">
        <v>1713088.18988878</v>
      </c>
      <c r="AI390" s="381">
        <v>1713088.18988878</v>
      </c>
      <c r="AJ390" s="381">
        <v>1713088.18988878</v>
      </c>
      <c r="AK390" s="381">
        <v>1713088.18988878</v>
      </c>
      <c r="AL390" s="381">
        <v>1713088.18988878</v>
      </c>
      <c r="AM390" s="381">
        <v>1713088.18988878</v>
      </c>
      <c r="AN390" s="381">
        <v>1713088.1898886203</v>
      </c>
    </row>
    <row r="391" spans="1:40">
      <c r="A391" s="30" t="s">
        <v>475</v>
      </c>
      <c r="B391" t="s">
        <v>459</v>
      </c>
      <c r="C391" t="s">
        <v>465</v>
      </c>
      <c r="D391" t="str">
        <f t="shared" si="51"/>
        <v>Extended Mayoral ProgramsNon-domestic CAPEXMore effective</v>
      </c>
      <c r="E391" s="381">
        <v>0</v>
      </c>
      <c r="F391" s="381">
        <v>0</v>
      </c>
      <c r="G391" s="381">
        <v>0</v>
      </c>
      <c r="H391" s="381">
        <v>0</v>
      </c>
      <c r="I391" s="381">
        <v>0</v>
      </c>
      <c r="J391" s="381">
        <v>0</v>
      </c>
      <c r="K391" s="381">
        <v>0</v>
      </c>
      <c r="L391" s="381">
        <v>0</v>
      </c>
      <c r="M391" s="381">
        <v>0</v>
      </c>
      <c r="N391" s="381">
        <v>0</v>
      </c>
      <c r="O391" s="381">
        <v>0</v>
      </c>
      <c r="P391" s="381">
        <v>0</v>
      </c>
      <c r="Q391" s="381">
        <v>0</v>
      </c>
      <c r="R391" s="381">
        <v>0</v>
      </c>
      <c r="S391" s="381">
        <v>0</v>
      </c>
      <c r="T391" s="381">
        <v>0</v>
      </c>
      <c r="U391" s="381">
        <v>0</v>
      </c>
      <c r="V391" s="381">
        <v>0</v>
      </c>
      <c r="W391" s="381">
        <v>0</v>
      </c>
      <c r="X391" s="381">
        <v>0</v>
      </c>
      <c r="Y391" s="381">
        <v>0</v>
      </c>
      <c r="Z391" s="381">
        <v>0</v>
      </c>
      <c r="AA391" s="381">
        <v>0</v>
      </c>
      <c r="AB391" s="381">
        <v>0</v>
      </c>
      <c r="AC391" s="381">
        <v>0</v>
      </c>
      <c r="AD391" s="381">
        <v>0</v>
      </c>
      <c r="AE391" s="381">
        <v>0</v>
      </c>
      <c r="AF391" s="381">
        <v>0</v>
      </c>
      <c r="AG391" s="381">
        <v>0</v>
      </c>
      <c r="AH391" s="381">
        <v>0</v>
      </c>
      <c r="AI391" s="381">
        <v>0</v>
      </c>
      <c r="AJ391" s="381">
        <v>0</v>
      </c>
      <c r="AK391" s="381">
        <v>0</v>
      </c>
      <c r="AL391" s="381">
        <v>0</v>
      </c>
      <c r="AM391" s="381">
        <v>0</v>
      </c>
      <c r="AN391" s="381">
        <v>0</v>
      </c>
    </row>
    <row r="392" spans="1:40">
      <c r="A392" s="30" t="s">
        <v>475</v>
      </c>
      <c r="B392" t="s">
        <v>459</v>
      </c>
      <c r="C392" t="s">
        <v>466</v>
      </c>
      <c r="D392" t="str">
        <f t="shared" si="51"/>
        <v>MEESNon-domestic CAPEXMore effective</v>
      </c>
      <c r="E392" s="381">
        <v>0</v>
      </c>
      <c r="F392" s="381">
        <v>0</v>
      </c>
      <c r="G392" s="381">
        <v>0</v>
      </c>
      <c r="H392" s="381">
        <v>0</v>
      </c>
      <c r="I392" s="381">
        <v>20541208.363000378</v>
      </c>
      <c r="J392" s="381">
        <v>40411326.11186865</v>
      </c>
      <c r="K392" s="381">
        <v>64265458.534231178</v>
      </c>
      <c r="L392" s="381">
        <v>87291279.459032208</v>
      </c>
      <c r="M392" s="381">
        <v>109488788.88627174</v>
      </c>
      <c r="N392" s="381">
        <v>130857986.8159498</v>
      </c>
      <c r="O392" s="381">
        <v>151398873.24806631</v>
      </c>
      <c r="P392" s="381">
        <v>178058163.19594011</v>
      </c>
      <c r="Q392" s="381">
        <v>203632887.5238685</v>
      </c>
      <c r="R392" s="381">
        <v>228123046.23185155</v>
      </c>
      <c r="S392" s="381">
        <v>251528639.31988931</v>
      </c>
      <c r="T392" s="381">
        <v>246617638.72196281</v>
      </c>
      <c r="U392" s="381">
        <v>215921644.38063002</v>
      </c>
      <c r="V392" s="381">
        <v>185225650.03929728</v>
      </c>
      <c r="W392" s="381">
        <v>154529655.69796449</v>
      </c>
      <c r="X392" s="381">
        <v>123833661.35663176</v>
      </c>
      <c r="Y392" s="381">
        <v>0</v>
      </c>
      <c r="Z392" s="381">
        <v>0</v>
      </c>
      <c r="AA392" s="381">
        <v>0</v>
      </c>
      <c r="AB392" s="381">
        <v>0</v>
      </c>
      <c r="AC392" s="381">
        <v>0</v>
      </c>
      <c r="AD392" s="381">
        <v>0</v>
      </c>
      <c r="AE392" s="381">
        <v>0</v>
      </c>
      <c r="AF392" s="381">
        <v>0</v>
      </c>
      <c r="AG392" s="381">
        <v>0</v>
      </c>
      <c r="AH392" s="381">
        <v>0</v>
      </c>
      <c r="AI392" s="381">
        <v>0</v>
      </c>
      <c r="AJ392" s="381">
        <v>0</v>
      </c>
      <c r="AK392" s="381">
        <v>0</v>
      </c>
      <c r="AL392" s="381">
        <v>0</v>
      </c>
      <c r="AM392" s="381">
        <v>0</v>
      </c>
      <c r="AN392" s="381">
        <v>0</v>
      </c>
    </row>
    <row r="393" spans="1:40">
      <c r="A393" s="30" t="s">
        <v>475</v>
      </c>
      <c r="B393" t="s">
        <v>459</v>
      </c>
      <c r="C393" t="s">
        <v>467</v>
      </c>
      <c r="D393" t="str">
        <f t="shared" si="51"/>
        <v>Tax mechanismsNon-domestic CAPEXMore effective</v>
      </c>
      <c r="E393" s="381">
        <v>0</v>
      </c>
      <c r="F393" s="381">
        <v>0</v>
      </c>
      <c r="G393" s="381">
        <v>0</v>
      </c>
      <c r="H393" s="381">
        <v>0</v>
      </c>
      <c r="I393" s="381">
        <v>0</v>
      </c>
      <c r="J393" s="381">
        <v>0</v>
      </c>
      <c r="K393" s="381">
        <v>0</v>
      </c>
      <c r="L393" s="381">
        <v>0</v>
      </c>
      <c r="M393" s="381">
        <v>58203386.63075541</v>
      </c>
      <c r="N393" s="381">
        <v>149114678.26130873</v>
      </c>
      <c r="O393" s="381">
        <v>146462212.98674566</v>
      </c>
      <c r="P393" s="381">
        <v>143809747.71218252</v>
      </c>
      <c r="Q393" s="381">
        <v>141157282.43761945</v>
      </c>
      <c r="R393" s="381">
        <v>0</v>
      </c>
      <c r="S393" s="381">
        <v>0</v>
      </c>
      <c r="T393" s="381">
        <v>0</v>
      </c>
      <c r="U393" s="381">
        <v>0</v>
      </c>
      <c r="V393" s="381">
        <v>0</v>
      </c>
      <c r="W393" s="381">
        <v>0</v>
      </c>
      <c r="X393" s="381">
        <v>0</v>
      </c>
      <c r="Y393" s="381">
        <v>0</v>
      </c>
      <c r="Z393" s="381">
        <v>0</v>
      </c>
      <c r="AA393" s="381">
        <v>0</v>
      </c>
      <c r="AB393" s="381">
        <v>0</v>
      </c>
      <c r="AC393" s="381">
        <v>0</v>
      </c>
      <c r="AD393" s="381">
        <v>0</v>
      </c>
      <c r="AE393" s="381">
        <v>0</v>
      </c>
      <c r="AF393" s="381">
        <v>0</v>
      </c>
      <c r="AG393" s="381">
        <v>0</v>
      </c>
      <c r="AH393" s="381">
        <v>0</v>
      </c>
      <c r="AI393" s="381">
        <v>0</v>
      </c>
      <c r="AJ393" s="381">
        <v>0</v>
      </c>
      <c r="AK393" s="381">
        <v>0</v>
      </c>
      <c r="AL393" s="381">
        <v>0</v>
      </c>
      <c r="AM393" s="381">
        <v>0</v>
      </c>
      <c r="AN393" s="381">
        <v>0</v>
      </c>
    </row>
    <row r="394" spans="1:40">
      <c r="A394" s="30" t="s">
        <v>475</v>
      </c>
      <c r="B394" t="s">
        <v>459</v>
      </c>
      <c r="C394" t="s">
        <v>468</v>
      </c>
      <c r="D394" t="str">
        <f t="shared" si="51"/>
        <v>Planning requirementsNon-domestic CAPEXMore effective</v>
      </c>
      <c r="E394" s="80">
        <v>0</v>
      </c>
      <c r="F394" s="106">
        <v>5447410.2580108885</v>
      </c>
      <c r="G394" s="106">
        <v>5362582.6101204008</v>
      </c>
      <c r="H394" s="106">
        <v>5277754.9622299122</v>
      </c>
      <c r="I394" s="106">
        <v>5192927.3143394254</v>
      </c>
      <c r="J394" s="106">
        <v>5108099.6664489377</v>
      </c>
      <c r="K394" s="106">
        <v>5023272.01855845</v>
      </c>
      <c r="L394" s="106">
        <v>4938444.3706679624</v>
      </c>
      <c r="M394" s="106">
        <v>4853616.7227774728</v>
      </c>
      <c r="N394" s="106">
        <v>4768789.0748869851</v>
      </c>
      <c r="O394" s="80">
        <v>4683961.4269964984</v>
      </c>
      <c r="P394" s="106">
        <v>3363447.7474205014</v>
      </c>
      <c r="Q394" s="106">
        <v>3301411.4216862018</v>
      </c>
      <c r="R394" s="106">
        <v>3239375.0959519004</v>
      </c>
      <c r="S394" s="106">
        <v>3177338.7702176031</v>
      </c>
      <c r="T394" s="106">
        <v>3115302.444483303</v>
      </c>
      <c r="U394" s="106">
        <v>3115302.4444833035</v>
      </c>
      <c r="V394" s="106">
        <v>3115302.4444833035</v>
      </c>
      <c r="W394" s="106">
        <v>3115302.4444833035</v>
      </c>
      <c r="X394" s="106">
        <v>3115302.4444833035</v>
      </c>
      <c r="Y394" s="106">
        <v>3115302.4444833035</v>
      </c>
      <c r="Z394" s="106">
        <v>3115302.4444833035</v>
      </c>
      <c r="AA394" s="106">
        <v>3115302.4444833035</v>
      </c>
      <c r="AB394" s="106">
        <v>3115302.4444833035</v>
      </c>
      <c r="AC394" s="106">
        <v>3115302.4444833021</v>
      </c>
      <c r="AD394" s="106">
        <v>3115302.4444833021</v>
      </c>
      <c r="AE394" s="106">
        <v>3115302.4444833021</v>
      </c>
      <c r="AF394" s="106">
        <v>3115302.4444833063</v>
      </c>
      <c r="AG394" s="106">
        <v>3115302.4444833035</v>
      </c>
      <c r="AH394" s="106">
        <v>3115302.4444833035</v>
      </c>
      <c r="AI394" s="106">
        <v>3115302.4444833035</v>
      </c>
      <c r="AJ394" s="106">
        <v>3115302.4444833035</v>
      </c>
      <c r="AK394" s="106">
        <v>3115302.4444833035</v>
      </c>
      <c r="AL394" s="106">
        <v>3115302.4444833035</v>
      </c>
      <c r="AM394" s="106">
        <v>3115302.4444833035</v>
      </c>
      <c r="AN394" s="80">
        <v>3115302.4444832928</v>
      </c>
    </row>
    <row r="395" spans="1:40">
      <c r="A395" s="30" t="s">
        <v>475</v>
      </c>
      <c r="B395" t="s">
        <v>459</v>
      </c>
      <c r="C395" t="s">
        <v>469</v>
      </c>
      <c r="D395" t="str">
        <f t="shared" si="51"/>
        <v>Lighting efficiencyNon-domestic CAPEXMore effective</v>
      </c>
      <c r="E395" s="80">
        <v>0</v>
      </c>
      <c r="F395" s="106">
        <v>6085102.7363829538</v>
      </c>
      <c r="G395" s="106">
        <v>5990344.8738664966</v>
      </c>
      <c r="H395" s="106">
        <v>5895587.0113500375</v>
      </c>
      <c r="I395" s="106">
        <v>19473031.197224613</v>
      </c>
      <c r="J395" s="106">
        <v>32603798.327540956</v>
      </c>
      <c r="K395" s="106">
        <v>45287888.402299076</v>
      </c>
      <c r="L395" s="106">
        <v>57525301.421498962</v>
      </c>
      <c r="M395" s="106">
        <v>69316037.385140613</v>
      </c>
      <c r="N395" s="106">
        <v>80660096.293224037</v>
      </c>
      <c r="O395" s="80">
        <v>91557478.145749241</v>
      </c>
      <c r="P395" s="106">
        <v>88475223.996939838</v>
      </c>
      <c r="Q395" s="106">
        <v>3644906.6268806849</v>
      </c>
      <c r="R395" s="106">
        <v>3576415.7343821069</v>
      </c>
      <c r="S395" s="106">
        <v>3507924.8418835341</v>
      </c>
      <c r="T395" s="106">
        <v>3439433.9493849594</v>
      </c>
      <c r="U395" s="106">
        <v>3439433.9493849594</v>
      </c>
      <c r="V395" s="106">
        <v>3439433.9493849594</v>
      </c>
      <c r="W395" s="106">
        <v>3439433.9493849594</v>
      </c>
      <c r="X395" s="106">
        <v>3439433.9493849594</v>
      </c>
      <c r="Y395" s="106">
        <v>3439433.9493849594</v>
      </c>
      <c r="Z395" s="106">
        <v>3439433.9493849594</v>
      </c>
      <c r="AA395" s="106">
        <v>3439433.9493849594</v>
      </c>
      <c r="AB395" s="106">
        <v>3439433.9493849594</v>
      </c>
      <c r="AC395" s="106">
        <v>3439433.9493849585</v>
      </c>
      <c r="AD395" s="106">
        <v>3439433.9493849585</v>
      </c>
      <c r="AE395" s="106">
        <v>3439433.9493849585</v>
      </c>
      <c r="AF395" s="106">
        <v>3439433.9493849636</v>
      </c>
      <c r="AG395" s="106">
        <v>3439433.9493849599</v>
      </c>
      <c r="AH395" s="106">
        <v>3439433.9493849599</v>
      </c>
      <c r="AI395" s="106">
        <v>3439433.9493849599</v>
      </c>
      <c r="AJ395" s="106">
        <v>3439433.9493849599</v>
      </c>
      <c r="AK395" s="106">
        <v>3439433.9493849599</v>
      </c>
      <c r="AL395" s="106">
        <v>3439433.9493849599</v>
      </c>
      <c r="AM395" s="106">
        <v>3439433.9493849599</v>
      </c>
      <c r="AN395" s="80">
        <v>3439433.9493849524</v>
      </c>
    </row>
    <row r="396" spans="1:40">
      <c r="A396" s="30" t="s">
        <v>475</v>
      </c>
      <c r="B396" t="s">
        <v>459</v>
      </c>
      <c r="C396" t="s">
        <v>470</v>
      </c>
      <c r="D396" t="str">
        <f t="shared" si="51"/>
        <v>AllDomestic CAPEXMore effective</v>
      </c>
      <c r="E396" s="381">
        <v>0</v>
      </c>
      <c r="F396" s="381">
        <v>49261182.734144494</v>
      </c>
      <c r="G396" s="381">
        <v>48494082.39366696</v>
      </c>
      <c r="H396" s="381">
        <v>47726982.053189412</v>
      </c>
      <c r="I396" s="381">
        <v>113638207.43515608</v>
      </c>
      <c r="J396" s="381">
        <v>296782315.38234144</v>
      </c>
      <c r="K396" s="381">
        <v>514483653.30686128</v>
      </c>
      <c r="L396" s="381">
        <v>711191111.8866744</v>
      </c>
      <c r="M396" s="381">
        <v>1775577408.943018</v>
      </c>
      <c r="N396" s="381">
        <v>1942923682.9042201</v>
      </c>
      <c r="O396" s="381">
        <v>2382641119.8080249</v>
      </c>
      <c r="P396" s="381">
        <v>2535537554.3918333</v>
      </c>
      <c r="Q396" s="381">
        <v>2621556766.0878534</v>
      </c>
      <c r="R396" s="381">
        <v>1915197872.9053392</v>
      </c>
      <c r="S396" s="381">
        <v>2076880828.7716208</v>
      </c>
      <c r="T396" s="381">
        <v>2060448449.6350179</v>
      </c>
      <c r="U396" s="381">
        <v>1551794616.7178183</v>
      </c>
      <c r="V396" s="381">
        <v>1411086681.4698012</v>
      </c>
      <c r="W396" s="381">
        <v>1270240718.8568039</v>
      </c>
      <c r="X396" s="381">
        <v>1129256728.8788269</v>
      </c>
      <c r="Y396" s="381">
        <v>562311265.23457444</v>
      </c>
      <c r="Z396" s="381">
        <v>345125913.85316116</v>
      </c>
      <c r="AA396" s="381">
        <v>358113301.7864607</v>
      </c>
      <c r="AB396" s="381">
        <v>132997904.53308249</v>
      </c>
      <c r="AC396" s="381">
        <v>145709237.73642176</v>
      </c>
      <c r="AD396" s="381">
        <v>158282543.57478312</v>
      </c>
      <c r="AE396" s="381">
        <v>148590564.62248641</v>
      </c>
      <c r="AF396" s="381">
        <v>134270312.42965838</v>
      </c>
      <c r="AG396" s="381">
        <v>120092663.53806511</v>
      </c>
      <c r="AH396" s="381">
        <v>106057617.94770671</v>
      </c>
      <c r="AI396" s="381">
        <v>92165175.658583269</v>
      </c>
      <c r="AJ396" s="381">
        <v>78415336.670694724</v>
      </c>
      <c r="AK396" s="381">
        <v>64808100.984041125</v>
      </c>
      <c r="AL396" s="381">
        <v>51343468.598622441</v>
      </c>
      <c r="AM396" s="381">
        <v>38021439.514438674</v>
      </c>
      <c r="AN396" s="381">
        <v>24842013.731487595</v>
      </c>
    </row>
    <row r="397" spans="1:40">
      <c r="A397" s="30" t="s">
        <v>475</v>
      </c>
      <c r="B397" t="s">
        <v>459</v>
      </c>
      <c r="C397" t="s">
        <v>471</v>
      </c>
      <c r="D397" t="str">
        <f t="shared" si="51"/>
        <v>AllNon-domestic CAPEXMore effective</v>
      </c>
      <c r="E397" s="381">
        <v>0</v>
      </c>
      <c r="F397" s="381">
        <v>11532512.994393842</v>
      </c>
      <c r="G397" s="381">
        <v>11352927.483986897</v>
      </c>
      <c r="H397" s="381">
        <v>11173341.973579951</v>
      </c>
      <c r="I397" s="381">
        <v>45207166.874564409</v>
      </c>
      <c r="J397" s="381">
        <v>108184962.41797063</v>
      </c>
      <c r="K397" s="381">
        <v>156629472.75890988</v>
      </c>
      <c r="L397" s="381">
        <v>191522325.02687287</v>
      </c>
      <c r="M397" s="381">
        <v>283343575.36732119</v>
      </c>
      <c r="N397" s="381">
        <v>406597742.14951497</v>
      </c>
      <c r="O397" s="381">
        <v>435013163.46874654</v>
      </c>
      <c r="P397" s="381">
        <v>446843077.19454032</v>
      </c>
      <c r="Q397" s="381">
        <v>372934025.96868706</v>
      </c>
      <c r="R397" s="381">
        <v>255984901.97706297</v>
      </c>
      <c r="S397" s="381">
        <v>279108494.80178899</v>
      </c>
      <c r="T397" s="381">
        <v>273915493.93926609</v>
      </c>
      <c r="U397" s="381">
        <v>258654832.26948649</v>
      </c>
      <c r="V397" s="381">
        <v>243199672.07322532</v>
      </c>
      <c r="W397" s="381">
        <v>227550013.35051018</v>
      </c>
      <c r="X397" s="381">
        <v>211705856.10136783</v>
      </c>
      <c r="Y397" s="381">
        <v>102529533.31052476</v>
      </c>
      <c r="Z397" s="381">
        <v>105661642.54986605</v>
      </c>
      <c r="AA397" s="381">
        <v>52449942.418555155</v>
      </c>
      <c r="AB397" s="381">
        <v>55841495.805854343</v>
      </c>
      <c r="AC397" s="381">
        <v>59182648.711432889</v>
      </c>
      <c r="AD397" s="381">
        <v>62473401.135312401</v>
      </c>
      <c r="AE397" s="381">
        <v>58470067.004530668</v>
      </c>
      <c r="AF397" s="381">
        <v>54517133.353962459</v>
      </c>
      <c r="AG397" s="381">
        <v>50614600.183627211</v>
      </c>
      <c r="AH397" s="381">
        <v>46762467.493543848</v>
      </c>
      <c r="AI397" s="381">
        <v>42960735.283730574</v>
      </c>
      <c r="AJ397" s="381">
        <v>39209403.554205038</v>
      </c>
      <c r="AK397" s="381">
        <v>35508472.304984324</v>
      </c>
      <c r="AL397" s="381">
        <v>31857941.536084943</v>
      </c>
      <c r="AM397" s="381">
        <v>28257811.247522905</v>
      </c>
      <c r="AN397" s="381">
        <v>24708081.439313486</v>
      </c>
    </row>
    <row r="398" spans="1:40">
      <c r="A398" s="30"/>
      <c r="E398" s="381"/>
      <c r="F398" s="381"/>
      <c r="G398" s="381"/>
      <c r="H398" s="381"/>
      <c r="I398" s="381"/>
      <c r="J398" s="381"/>
      <c r="K398" s="381"/>
      <c r="L398" s="381"/>
      <c r="M398" s="381"/>
      <c r="N398" s="381"/>
      <c r="O398" s="381"/>
      <c r="P398" s="381"/>
      <c r="Q398" s="381"/>
      <c r="R398" s="381"/>
      <c r="S398" s="381"/>
      <c r="T398" s="381"/>
      <c r="U398" s="381"/>
      <c r="V398" s="381"/>
      <c r="W398" s="381"/>
      <c r="X398" s="381"/>
      <c r="Y398" s="381"/>
      <c r="Z398" s="381"/>
      <c r="AA398" s="381"/>
      <c r="AB398" s="381"/>
      <c r="AC398" s="381"/>
      <c r="AD398" s="381"/>
      <c r="AE398" s="381"/>
      <c r="AF398" s="381"/>
      <c r="AG398" s="381"/>
      <c r="AH398" s="381"/>
      <c r="AI398" s="381"/>
      <c r="AJ398" s="381"/>
      <c r="AK398" s="381"/>
      <c r="AL398" s="381"/>
      <c r="AM398" s="381"/>
      <c r="AN398" s="381"/>
    </row>
    <row r="399" spans="1:40">
      <c r="A399" s="30"/>
      <c r="E399" s="381"/>
      <c r="F399" s="381"/>
      <c r="G399" s="381"/>
      <c r="H399" s="381"/>
      <c r="I399" s="381"/>
      <c r="J399" s="381"/>
      <c r="K399" s="381"/>
      <c r="L399" s="381"/>
      <c r="M399" s="381"/>
      <c r="N399" s="381"/>
      <c r="O399" s="381"/>
      <c r="P399" s="381"/>
      <c r="Q399" s="381"/>
      <c r="R399" s="381"/>
      <c r="S399" s="381"/>
      <c r="T399" s="381"/>
      <c r="U399" s="381"/>
      <c r="V399" s="381"/>
      <c r="W399" s="381"/>
      <c r="X399" s="381"/>
      <c r="Y399" s="381"/>
      <c r="Z399" s="381"/>
      <c r="AA399" s="381"/>
      <c r="AB399" s="381"/>
      <c r="AC399" s="381"/>
      <c r="AD399" s="381"/>
      <c r="AE399" s="381"/>
      <c r="AF399" s="381"/>
      <c r="AG399" s="381"/>
      <c r="AH399" s="381"/>
      <c r="AI399" s="381"/>
      <c r="AJ399" s="381"/>
      <c r="AK399" s="381"/>
      <c r="AL399" s="381"/>
      <c r="AM399" s="381"/>
      <c r="AN399" s="381"/>
    </row>
    <row r="400" spans="1:40">
      <c r="A400" s="30" t="s">
        <v>472</v>
      </c>
      <c r="B400" t="s">
        <v>366</v>
      </c>
      <c r="D400" t="s">
        <v>473</v>
      </c>
      <c r="E400" s="381">
        <v>2015</v>
      </c>
      <c r="F400" s="381">
        <v>2016</v>
      </c>
      <c r="G400" s="381">
        <v>2017</v>
      </c>
      <c r="H400" s="381">
        <v>2018</v>
      </c>
      <c r="I400" s="381">
        <v>2019</v>
      </c>
      <c r="J400" s="381">
        <v>2020</v>
      </c>
      <c r="K400" s="381">
        <v>2021</v>
      </c>
      <c r="L400" s="381">
        <v>2022</v>
      </c>
      <c r="M400" s="381">
        <v>2023</v>
      </c>
      <c r="N400" s="381">
        <v>2024</v>
      </c>
      <c r="O400" s="381">
        <v>2025</v>
      </c>
      <c r="P400" s="381">
        <v>2026</v>
      </c>
      <c r="Q400" s="381">
        <v>2027</v>
      </c>
      <c r="R400" s="381">
        <v>2028</v>
      </c>
      <c r="S400" s="381">
        <v>2029</v>
      </c>
      <c r="T400" s="381">
        <v>2030</v>
      </c>
      <c r="U400" s="381">
        <v>2031</v>
      </c>
      <c r="V400" s="381">
        <v>2032</v>
      </c>
      <c r="W400" s="381">
        <v>2033</v>
      </c>
      <c r="X400" s="381">
        <v>2034</v>
      </c>
      <c r="Y400" s="381">
        <v>2035</v>
      </c>
      <c r="Z400" s="381">
        <v>2036</v>
      </c>
      <c r="AA400" s="381">
        <v>2037</v>
      </c>
      <c r="AB400" s="381">
        <v>2038</v>
      </c>
      <c r="AC400" s="381">
        <v>2039</v>
      </c>
      <c r="AD400" s="381">
        <v>2040</v>
      </c>
      <c r="AE400" s="381">
        <v>2041</v>
      </c>
      <c r="AF400" s="381">
        <v>2042</v>
      </c>
      <c r="AG400" s="381">
        <v>2043</v>
      </c>
      <c r="AH400" s="381">
        <v>2044</v>
      </c>
      <c r="AI400" s="381">
        <v>2045</v>
      </c>
      <c r="AJ400" s="381">
        <v>2046</v>
      </c>
      <c r="AK400" s="381">
        <v>2047</v>
      </c>
      <c r="AL400" s="381">
        <v>2048</v>
      </c>
      <c r="AM400" s="381">
        <v>2049</v>
      </c>
      <c r="AN400" s="381">
        <v>2050</v>
      </c>
    </row>
    <row r="401" spans="1:40">
      <c r="A401" s="30" t="s">
        <v>48</v>
      </c>
      <c r="B401" t="s">
        <v>444</v>
      </c>
      <c r="C401" t="s">
        <v>445</v>
      </c>
      <c r="D401" t="str">
        <f>C401&amp;A401</f>
        <v>Carbon emissionsLondon only levers</v>
      </c>
      <c r="E401" s="381">
        <v>24.536442456359286</v>
      </c>
      <c r="F401" s="381">
        <v>21.181286101250649</v>
      </c>
      <c r="G401" s="381">
        <v>19.520902617925778</v>
      </c>
      <c r="H401" s="381">
        <v>19.137396891769136</v>
      </c>
      <c r="I401" s="381">
        <v>18.70674481250364</v>
      </c>
      <c r="J401" s="381">
        <v>18.087495152955977</v>
      </c>
      <c r="K401" s="381">
        <v>17.630685971980519</v>
      </c>
      <c r="L401" s="381">
        <v>16.596063161282395</v>
      </c>
      <c r="M401" s="381">
        <v>16.409623278813783</v>
      </c>
      <c r="N401" s="381">
        <v>16.605482811929306</v>
      </c>
      <c r="O401" s="381">
        <v>16.156679953588828</v>
      </c>
      <c r="P401" s="381">
        <v>15.084431381534845</v>
      </c>
      <c r="Q401" s="381">
        <v>15.3304604932923</v>
      </c>
      <c r="R401" s="381">
        <v>14.872122076383585</v>
      </c>
      <c r="S401" s="381">
        <v>14.35159853742868</v>
      </c>
      <c r="T401" s="381">
        <v>14.740365579119329</v>
      </c>
      <c r="U401" s="381">
        <v>14.362308572781593</v>
      </c>
      <c r="V401" s="381">
        <v>13.612832516790256</v>
      </c>
      <c r="W401" s="381">
        <v>13.460751086357286</v>
      </c>
      <c r="X401" s="381">
        <v>13.137780388551203</v>
      </c>
      <c r="Y401" s="381">
        <v>12.613935712499341</v>
      </c>
      <c r="Z401" s="381">
        <v>12.631177237805494</v>
      </c>
      <c r="AA401" s="381">
        <v>12.429597099440089</v>
      </c>
      <c r="AB401" s="381">
        <v>12.299106522248723</v>
      </c>
      <c r="AC401" s="381">
        <v>12.413178468888596</v>
      </c>
      <c r="AD401" s="381">
        <v>12.474568814647883</v>
      </c>
      <c r="AE401" s="381">
        <v>12.385164459809113</v>
      </c>
      <c r="AF401" s="381">
        <v>12.298314712662446</v>
      </c>
      <c r="AG401" s="381">
        <v>12.247347699242324</v>
      </c>
      <c r="AH401" s="381">
        <v>12.160532334222413</v>
      </c>
      <c r="AI401" s="381">
        <v>12.112404622050127</v>
      </c>
      <c r="AJ401" s="381">
        <v>12.022868884471237</v>
      </c>
      <c r="AK401" s="381">
        <v>11.936109575163876</v>
      </c>
      <c r="AL401" s="381">
        <v>11.885342544425924</v>
      </c>
      <c r="AM401" s="381">
        <v>11.798640020917304</v>
      </c>
      <c r="AN401" s="381">
        <v>11.738301883548463</v>
      </c>
    </row>
    <row r="402" spans="1:40">
      <c r="A402" s="30" t="s">
        <v>48</v>
      </c>
      <c r="B402" t="s">
        <v>446</v>
      </c>
      <c r="C402" t="s">
        <v>447</v>
      </c>
      <c r="D402" t="str">
        <f t="shared" ref="D402:D458" si="52">C402&amp;A402</f>
        <v>Domestic heat demandLondon only levers</v>
      </c>
      <c r="E402" s="381">
        <v>34208540661.939991</v>
      </c>
      <c r="F402" s="381">
        <v>34436853702.751373</v>
      </c>
      <c r="G402" s="381">
        <v>34665166743.562752</v>
      </c>
      <c r="H402" s="381">
        <v>34893479784.374138</v>
      </c>
      <c r="I402" s="381">
        <v>35121792825.185516</v>
      </c>
      <c r="J402" s="381">
        <v>35313338498.724808</v>
      </c>
      <c r="K402" s="381">
        <v>35459475748.643768</v>
      </c>
      <c r="L402" s="381">
        <v>35595349922.212395</v>
      </c>
      <c r="M402" s="381">
        <v>35720987093.823509</v>
      </c>
      <c r="N402" s="381">
        <v>35846686635.397842</v>
      </c>
      <c r="O402" s="381">
        <v>35958569379.819481</v>
      </c>
      <c r="P402" s="381">
        <v>36019825059.042999</v>
      </c>
      <c r="Q402" s="381">
        <v>36067339487.825409</v>
      </c>
      <c r="R402" s="381">
        <v>36137990770.773537</v>
      </c>
      <c r="S402" s="381">
        <v>36196315327.988945</v>
      </c>
      <c r="T402" s="381">
        <v>36242346900.465294</v>
      </c>
      <c r="U402" s="381">
        <v>36191697958.407852</v>
      </c>
      <c r="V402" s="381">
        <v>36128836927.367744</v>
      </c>
      <c r="W402" s="381">
        <v>36053810962.107712</v>
      </c>
      <c r="X402" s="381">
        <v>35966671688.646866</v>
      </c>
      <c r="Y402" s="381">
        <v>35881179029.548271</v>
      </c>
      <c r="Z402" s="381">
        <v>35797322600.950455</v>
      </c>
      <c r="AA402" s="381">
        <v>35715092259.196991</v>
      </c>
      <c r="AB402" s="381">
        <v>35770971914.805458</v>
      </c>
      <c r="AC402" s="381">
        <v>35828222124.515739</v>
      </c>
      <c r="AD402" s="381">
        <v>35886840246.072357</v>
      </c>
      <c r="AE402" s="381">
        <v>35946823877.424835</v>
      </c>
      <c r="AF402" s="381">
        <v>36008170856.727776</v>
      </c>
      <c r="AG402" s="381">
        <v>36070879262.340813</v>
      </c>
      <c r="AH402" s="381">
        <v>36134947412.828621</v>
      </c>
      <c r="AI402" s="381">
        <v>36200373866.96093</v>
      </c>
      <c r="AJ402" s="381">
        <v>36267157423.712524</v>
      </c>
      <c r="AK402" s="381">
        <v>36335297122.263206</v>
      </c>
      <c r="AL402" s="381">
        <v>36404792241.997856</v>
      </c>
      <c r="AM402" s="381">
        <v>36475642302.506363</v>
      </c>
      <c r="AN402" s="381">
        <v>36547847063.583687</v>
      </c>
    </row>
    <row r="403" spans="1:40">
      <c r="A403" s="30" t="s">
        <v>48</v>
      </c>
      <c r="B403" t="s">
        <v>446</v>
      </c>
      <c r="C403" t="s">
        <v>448</v>
      </c>
      <c r="D403" t="str">
        <f t="shared" si="52"/>
        <v>Non-domestic heat demandLondon only levers</v>
      </c>
      <c r="E403" s="381">
        <v>18723008369.73642</v>
      </c>
      <c r="F403" s="381">
        <v>18769464337.131519</v>
      </c>
      <c r="G403" s="381">
        <v>18815920304.526627</v>
      </c>
      <c r="H403" s="381">
        <v>18862376271.921734</v>
      </c>
      <c r="I403" s="381">
        <v>18908832239.316837</v>
      </c>
      <c r="J403" s="381">
        <v>18955385634.706768</v>
      </c>
      <c r="K403" s="381">
        <v>18987096916.891277</v>
      </c>
      <c r="L403" s="381">
        <v>19003978366.8508</v>
      </c>
      <c r="M403" s="381">
        <v>19006056525.445644</v>
      </c>
      <c r="N403" s="381">
        <v>19008173533.221786</v>
      </c>
      <c r="O403" s="381">
        <v>19010290964.949966</v>
      </c>
      <c r="P403" s="381">
        <v>19000772975.959187</v>
      </c>
      <c r="Q403" s="381">
        <v>18991291291.795013</v>
      </c>
      <c r="R403" s="381">
        <v>18981847726.165272</v>
      </c>
      <c r="S403" s="381">
        <v>18974452235.03801</v>
      </c>
      <c r="T403" s="381">
        <v>18969099586.760574</v>
      </c>
      <c r="U403" s="381">
        <v>18965784809.147099</v>
      </c>
      <c r="V403" s="381">
        <v>18964503189.902309</v>
      </c>
      <c r="W403" s="381">
        <v>18965250277.047092</v>
      </c>
      <c r="X403" s="381">
        <v>18968021879.345783</v>
      </c>
      <c r="Y403" s="381">
        <v>18972814066.735229</v>
      </c>
      <c r="Z403" s="381">
        <v>18979623170.755619</v>
      </c>
      <c r="AA403" s="381">
        <v>18988445784.983067</v>
      </c>
      <c r="AB403" s="381">
        <v>18999278765.463997</v>
      </c>
      <c r="AC403" s="381">
        <v>19012119231.151295</v>
      </c>
      <c r="AD403" s="381">
        <v>19026964564.342297</v>
      </c>
      <c r="AE403" s="381">
        <v>19043812411.118549</v>
      </c>
      <c r="AF403" s="381">
        <v>19062660681.787415</v>
      </c>
      <c r="AG403" s="381">
        <v>19083507551.325462</v>
      </c>
      <c r="AH403" s="381">
        <v>19106351459.82378</v>
      </c>
      <c r="AI403" s="381">
        <v>19131191112.935013</v>
      </c>
      <c r="AJ403" s="381">
        <v>19158025482.322342</v>
      </c>
      <c r="AK403" s="381">
        <v>19186853806.110325</v>
      </c>
      <c r="AL403" s="381">
        <v>19217675589.337555</v>
      </c>
      <c r="AM403" s="381">
        <v>19250490604.411247</v>
      </c>
      <c r="AN403" s="381">
        <v>19285298891.563702</v>
      </c>
    </row>
    <row r="404" spans="1:40">
      <c r="A404" s="30" t="s">
        <v>48</v>
      </c>
      <c r="B404" t="s">
        <v>446</v>
      </c>
      <c r="C404" t="s">
        <v>449</v>
      </c>
      <c r="D404" t="str">
        <f t="shared" si="52"/>
        <v>Total domestic electricity demandLondon only levers</v>
      </c>
      <c r="E404" s="80">
        <v>11858086493.000008</v>
      </c>
      <c r="F404" s="106">
        <v>11983753946.175779</v>
      </c>
      <c r="G404" s="106">
        <v>12109421399.351551</v>
      </c>
      <c r="H404" s="106">
        <v>12235088852.527323</v>
      </c>
      <c r="I404" s="106">
        <v>12360756305.703093</v>
      </c>
      <c r="J404" s="106">
        <v>12485909177.843166</v>
      </c>
      <c r="K404" s="106">
        <v>12591187883.786346</v>
      </c>
      <c r="L404" s="106">
        <v>12695904678.624542</v>
      </c>
      <c r="M404" s="106">
        <v>12800059562.357758</v>
      </c>
      <c r="N404" s="106">
        <v>12904214446.090975</v>
      </c>
      <c r="O404" s="80">
        <v>13008037547.879663</v>
      </c>
      <c r="P404" s="106">
        <v>13091273858.172604</v>
      </c>
      <c r="Q404" s="106">
        <v>13174178386.521017</v>
      </c>
      <c r="R404" s="106">
        <v>13257265713.960606</v>
      </c>
      <c r="S404" s="106">
        <v>13340097883.697254</v>
      </c>
      <c r="T404" s="106">
        <v>13422674895.730965</v>
      </c>
      <c r="U404" s="106">
        <v>13458587703.533962</v>
      </c>
      <c r="V404" s="106">
        <v>13494245353.634024</v>
      </c>
      <c r="W404" s="106">
        <v>13529647846.031147</v>
      </c>
      <c r="X404" s="106">
        <v>13564795180.72533</v>
      </c>
      <c r="Y404" s="106">
        <v>13600019139.661102</v>
      </c>
      <c r="Z404" s="106">
        <v>13635319722.838461</v>
      </c>
      <c r="AA404" s="106">
        <v>13670696930.257412</v>
      </c>
      <c r="AB404" s="106">
        <v>13709468581.363218</v>
      </c>
      <c r="AC404" s="106">
        <v>13748316856.710606</v>
      </c>
      <c r="AD404" s="106">
        <v>13787241756.299591</v>
      </c>
      <c r="AE404" s="106">
        <v>13826243280.130159</v>
      </c>
      <c r="AF404" s="106">
        <v>13865321428.202314</v>
      </c>
      <c r="AG404" s="106">
        <v>13904476200.516062</v>
      </c>
      <c r="AH404" s="106">
        <v>13943707597.071396</v>
      </c>
      <c r="AI404" s="106">
        <v>13983015617.868317</v>
      </c>
      <c r="AJ404" s="106">
        <v>14022400262.906832</v>
      </c>
      <c r="AK404" s="106">
        <v>14061861532.186932</v>
      </c>
      <c r="AL404" s="106">
        <v>14101399425.708618</v>
      </c>
      <c r="AM404" s="106">
        <v>14141013943.471895</v>
      </c>
      <c r="AN404" s="80">
        <v>14180705085.476757</v>
      </c>
    </row>
    <row r="405" spans="1:40">
      <c r="A405" s="30" t="s">
        <v>48</v>
      </c>
      <c r="B405" t="s">
        <v>446</v>
      </c>
      <c r="C405" t="s">
        <v>450</v>
      </c>
      <c r="D405" t="str">
        <f t="shared" si="52"/>
        <v>Total non-domestic electricity demandLondon only levers</v>
      </c>
      <c r="E405" s="80">
        <v>19618605322.817085</v>
      </c>
      <c r="F405" s="106">
        <v>19701017110.02137</v>
      </c>
      <c r="G405" s="106">
        <v>19783428897.225655</v>
      </c>
      <c r="H405" s="106">
        <v>19865840684.429939</v>
      </c>
      <c r="I405" s="106">
        <v>19948252471.634224</v>
      </c>
      <c r="J405" s="106">
        <v>20030664258.838509</v>
      </c>
      <c r="K405" s="106">
        <v>20112750994.087704</v>
      </c>
      <c r="L405" s="106">
        <v>20194512275.47044</v>
      </c>
      <c r="M405" s="106">
        <v>20275947700.010181</v>
      </c>
      <c r="N405" s="106">
        <v>20357382318.060925</v>
      </c>
      <c r="O405" s="80">
        <v>20438809650.337582</v>
      </c>
      <c r="P405" s="106">
        <v>20498743733.095024</v>
      </c>
      <c r="Q405" s="106">
        <v>20558677000.197479</v>
      </c>
      <c r="R405" s="106">
        <v>20618609450.012638</v>
      </c>
      <c r="S405" s="106">
        <v>20678585627.003525</v>
      </c>
      <c r="T405" s="106">
        <v>20738605585.216366</v>
      </c>
      <c r="U405" s="106">
        <v>20798669378.841774</v>
      </c>
      <c r="V405" s="106">
        <v>20858777062.215179</v>
      </c>
      <c r="W405" s="106">
        <v>20918928689.817394</v>
      </c>
      <c r="X405" s="106">
        <v>20979124316.275078</v>
      </c>
      <c r="Y405" s="106">
        <v>21039363996.361263</v>
      </c>
      <c r="Z405" s="106">
        <v>21099647784.995857</v>
      </c>
      <c r="AA405" s="106">
        <v>21159975737.24614</v>
      </c>
      <c r="AB405" s="106">
        <v>21220347908.327328</v>
      </c>
      <c r="AC405" s="106">
        <v>21280764353.603016</v>
      </c>
      <c r="AD405" s="106">
        <v>21341225128.585758</v>
      </c>
      <c r="AE405" s="106">
        <v>21401730288.937561</v>
      </c>
      <c r="AF405" s="106">
        <v>21462279890.470394</v>
      </c>
      <c r="AG405" s="106">
        <v>21522873989.146755</v>
      </c>
      <c r="AH405" s="106">
        <v>21583512641.080147</v>
      </c>
      <c r="AI405" s="106">
        <v>21644195902.535656</v>
      </c>
      <c r="AJ405" s="106">
        <v>21704923829.930435</v>
      </c>
      <c r="AK405" s="106">
        <v>21765696479.834274</v>
      </c>
      <c r="AL405" s="106">
        <v>21826513908.970142</v>
      </c>
      <c r="AM405" s="106">
        <v>21887376174.214676</v>
      </c>
      <c r="AN405" s="80">
        <v>21948283332.598774</v>
      </c>
    </row>
    <row r="406" spans="1:40">
      <c r="A406" s="30" t="s">
        <v>48</v>
      </c>
      <c r="B406" t="s">
        <v>446</v>
      </c>
      <c r="C406" t="s">
        <v>451</v>
      </c>
      <c r="D406" t="str">
        <f t="shared" si="52"/>
        <v>Estimated additional cooking electricity demandLondon only levers</v>
      </c>
      <c r="E406" s="80">
        <v>0</v>
      </c>
      <c r="F406" s="106">
        <v>14170944.699998856</v>
      </c>
      <c r="G406" s="106">
        <v>28341889.399997711</v>
      </c>
      <c r="H406" s="106">
        <v>42512834.099996567</v>
      </c>
      <c r="I406" s="106">
        <v>56683778.799995422</v>
      </c>
      <c r="J406" s="106">
        <v>70854723.499994278</v>
      </c>
      <c r="K406" s="106">
        <v>85025668.199993134</v>
      </c>
      <c r="L406" s="106">
        <v>99196612.899991989</v>
      </c>
      <c r="M406" s="106">
        <v>113367557.59999084</v>
      </c>
      <c r="N406" s="106">
        <v>127538502.2999897</v>
      </c>
      <c r="O406" s="80">
        <v>141709447</v>
      </c>
      <c r="P406" s="106">
        <v>160285997</v>
      </c>
      <c r="Q406" s="106">
        <v>178862547</v>
      </c>
      <c r="R406" s="106">
        <v>197439097</v>
      </c>
      <c r="S406" s="106">
        <v>216015647</v>
      </c>
      <c r="T406" s="106">
        <v>234592197</v>
      </c>
      <c r="U406" s="106">
        <v>253168747</v>
      </c>
      <c r="V406" s="106">
        <v>271745297</v>
      </c>
      <c r="W406" s="106">
        <v>290321847</v>
      </c>
      <c r="X406" s="106">
        <v>308898397</v>
      </c>
      <c r="Y406" s="106">
        <v>327474947</v>
      </c>
      <c r="Z406" s="106">
        <v>346051497</v>
      </c>
      <c r="AA406" s="106">
        <v>364628047</v>
      </c>
      <c r="AB406" s="106">
        <v>383204597</v>
      </c>
      <c r="AC406" s="106">
        <v>401781147</v>
      </c>
      <c r="AD406" s="106">
        <v>420357697</v>
      </c>
      <c r="AE406" s="106">
        <v>438934247</v>
      </c>
      <c r="AF406" s="106">
        <v>457510797</v>
      </c>
      <c r="AG406" s="106">
        <v>476087347</v>
      </c>
      <c r="AH406" s="106">
        <v>494663897</v>
      </c>
      <c r="AI406" s="106">
        <v>513240447</v>
      </c>
      <c r="AJ406" s="106">
        <v>531816997</v>
      </c>
      <c r="AK406" s="106">
        <v>550393547</v>
      </c>
      <c r="AL406" s="106">
        <v>568970097</v>
      </c>
      <c r="AM406" s="106">
        <v>587546647</v>
      </c>
      <c r="AN406" s="80">
        <v>606123197</v>
      </c>
    </row>
    <row r="407" spans="1:40">
      <c r="A407" s="30" t="s">
        <v>48</v>
      </c>
      <c r="B407" t="s">
        <v>446</v>
      </c>
      <c r="C407" t="s">
        <v>372</v>
      </c>
      <c r="D407" t="str">
        <f t="shared" si="52"/>
        <v>Existing domestic heat demandLondon only levers</v>
      </c>
      <c r="E407" s="381">
        <v>34208540661.939991</v>
      </c>
      <c r="F407" s="381">
        <v>34208540661.939991</v>
      </c>
      <c r="G407" s="381">
        <v>34208540661.939991</v>
      </c>
      <c r="H407" s="381">
        <v>34208540661.939991</v>
      </c>
      <c r="I407" s="381">
        <v>34208540661.939991</v>
      </c>
      <c r="J407" s="381">
        <v>34171476424.717808</v>
      </c>
      <c r="K407" s="381">
        <v>34124135954.443287</v>
      </c>
      <c r="L407" s="381">
        <v>34066532407.818428</v>
      </c>
      <c r="M407" s="381">
        <v>33998691859.236061</v>
      </c>
      <c r="N407" s="381">
        <v>33930913680.616913</v>
      </c>
      <c r="O407" s="381">
        <v>33849318704.84507</v>
      </c>
      <c r="P407" s="381">
        <v>33753943880.946503</v>
      </c>
      <c r="Q407" s="381">
        <v>33644827806.606831</v>
      </c>
      <c r="R407" s="381">
        <v>33558848586.432869</v>
      </c>
      <c r="S407" s="381">
        <v>33460542640.526199</v>
      </c>
      <c r="T407" s="381">
        <v>33349943709.880463</v>
      </c>
      <c r="U407" s="381">
        <v>33227090006.745693</v>
      </c>
      <c r="V407" s="381">
        <v>33092024214.628254</v>
      </c>
      <c r="W407" s="381">
        <v>32944793488.290897</v>
      </c>
      <c r="X407" s="381">
        <v>32785449453.752728</v>
      </c>
      <c r="Y407" s="381">
        <v>32627752033.576805</v>
      </c>
      <c r="Z407" s="381">
        <v>32471690843.901661</v>
      </c>
      <c r="AA407" s="381">
        <v>32317255741.070869</v>
      </c>
      <c r="AB407" s="381">
        <v>32300930635.602005</v>
      </c>
      <c r="AC407" s="381">
        <v>32285976084.234962</v>
      </c>
      <c r="AD407" s="381">
        <v>32272389444.714245</v>
      </c>
      <c r="AE407" s="381">
        <v>32260168314.989391</v>
      </c>
      <c r="AF407" s="381">
        <v>32249310533.215008</v>
      </c>
      <c r="AG407" s="381">
        <v>32239814177.75071</v>
      </c>
      <c r="AH407" s="381">
        <v>32231677567.161194</v>
      </c>
      <c r="AI407" s="381">
        <v>32224899260.216175</v>
      </c>
      <c r="AJ407" s="381">
        <v>32219478055.890438</v>
      </c>
      <c r="AK407" s="381">
        <v>32215412993.363792</v>
      </c>
      <c r="AL407" s="381">
        <v>32212703352.021111</v>
      </c>
      <c r="AM407" s="381">
        <v>32211348651.45229</v>
      </c>
      <c r="AN407" s="381">
        <v>32211348651.45229</v>
      </c>
    </row>
    <row r="408" spans="1:40">
      <c r="A408" s="30" t="s">
        <v>48</v>
      </c>
      <c r="B408" t="s">
        <v>446</v>
      </c>
      <c r="C408" t="s">
        <v>373</v>
      </c>
      <c r="D408" t="str">
        <f t="shared" si="52"/>
        <v>Existing non-domestic heat demandLondon only levers</v>
      </c>
      <c r="E408" s="381">
        <v>18723008369.73642</v>
      </c>
      <c r="F408" s="381">
        <v>18723008369.736416</v>
      </c>
      <c r="G408" s="381">
        <v>18723008369.736416</v>
      </c>
      <c r="H408" s="381">
        <v>18723008369.73642</v>
      </c>
      <c r="I408" s="381">
        <v>18723008369.736416</v>
      </c>
      <c r="J408" s="381">
        <v>18723008369.736416</v>
      </c>
      <c r="K408" s="381">
        <v>18708166256.530991</v>
      </c>
      <c r="L408" s="381">
        <v>18678494311.100582</v>
      </c>
      <c r="M408" s="381">
        <v>18634019074.305492</v>
      </c>
      <c r="N408" s="381">
        <v>18589582686.691704</v>
      </c>
      <c r="O408" s="381">
        <v>18545146723.029949</v>
      </c>
      <c r="P408" s="381">
        <v>18500778584.922455</v>
      </c>
      <c r="Q408" s="381">
        <v>18456446751.641571</v>
      </c>
      <c r="R408" s="381">
        <v>18412153036.895115</v>
      </c>
      <c r="S408" s="381">
        <v>18369907396.651138</v>
      </c>
      <c r="T408" s="381">
        <v>18329704599.256989</v>
      </c>
      <c r="U408" s="381">
        <v>18291539672.526798</v>
      </c>
      <c r="V408" s="381">
        <v>18255407904.165295</v>
      </c>
      <c r="W408" s="381">
        <v>18221304842.193363</v>
      </c>
      <c r="X408" s="381">
        <v>18189226295.37534</v>
      </c>
      <c r="Y408" s="381">
        <v>18159168333.648071</v>
      </c>
      <c r="Z408" s="381">
        <v>18131127288.55175</v>
      </c>
      <c r="AA408" s="381">
        <v>18105099753.662483</v>
      </c>
      <c r="AB408" s="381">
        <v>18081082585.026699</v>
      </c>
      <c r="AC408" s="381">
        <v>18059072901.597282</v>
      </c>
      <c r="AD408" s="381">
        <v>18039068085.67157</v>
      </c>
      <c r="AE408" s="381">
        <v>18021065783.331108</v>
      </c>
      <c r="AF408" s="381">
        <v>18005063904.883259</v>
      </c>
      <c r="AG408" s="381">
        <v>17991060625.304596</v>
      </c>
      <c r="AH408" s="381">
        <v>17979054384.686199</v>
      </c>
      <c r="AI408" s="381">
        <v>17969043888.680717</v>
      </c>
      <c r="AJ408" s="381">
        <v>17961028108.951332</v>
      </c>
      <c r="AK408" s="381">
        <v>17955006283.622601</v>
      </c>
      <c r="AL408" s="381">
        <v>17950977917.733116</v>
      </c>
      <c r="AM408" s="381">
        <v>17948942783.690094</v>
      </c>
      <c r="AN408" s="381">
        <v>17948900921.725834</v>
      </c>
    </row>
    <row r="409" spans="1:40">
      <c r="A409" s="30" t="s">
        <v>48</v>
      </c>
      <c r="B409" t="s">
        <v>446</v>
      </c>
      <c r="C409" t="s">
        <v>374</v>
      </c>
      <c r="D409" t="str">
        <f t="shared" si="52"/>
        <v>Existing domestic electricity demandLondon only levers</v>
      </c>
      <c r="E409" s="381">
        <v>11858086493.000008</v>
      </c>
      <c r="F409" s="381">
        <v>11858086493.000008</v>
      </c>
      <c r="G409" s="381">
        <v>11858086493.000008</v>
      </c>
      <c r="H409" s="381">
        <v>11858086493.000008</v>
      </c>
      <c r="I409" s="381">
        <v>11858086493.000008</v>
      </c>
      <c r="J409" s="381">
        <v>11857571911.96431</v>
      </c>
      <c r="K409" s="381">
        <v>11856495419.823631</v>
      </c>
      <c r="L409" s="381">
        <v>11854857016.577969</v>
      </c>
      <c r="M409" s="381">
        <v>11852656702.227325</v>
      </c>
      <c r="N409" s="381">
        <v>11850456387.876684</v>
      </c>
      <c r="O409" s="381">
        <v>11847924291.581514</v>
      </c>
      <c r="P409" s="381">
        <v>11845060413.341818</v>
      </c>
      <c r="Q409" s="381">
        <v>11841864753.157595</v>
      </c>
      <c r="R409" s="381">
        <v>11838851892.064545</v>
      </c>
      <c r="S409" s="381">
        <v>11835583873.268557</v>
      </c>
      <c r="T409" s="381">
        <v>11832060696.76963</v>
      </c>
      <c r="U409" s="381">
        <v>11828282362.567764</v>
      </c>
      <c r="V409" s="381">
        <v>11824248870.662962</v>
      </c>
      <c r="W409" s="381">
        <v>11819960221.055222</v>
      </c>
      <c r="X409" s="381">
        <v>11815416413.744541</v>
      </c>
      <c r="Y409" s="381">
        <v>11810949230.675451</v>
      </c>
      <c r="Z409" s="381">
        <v>11806558671.847946</v>
      </c>
      <c r="AA409" s="381">
        <v>11802244737.262033</v>
      </c>
      <c r="AB409" s="381">
        <v>11801325246.362976</v>
      </c>
      <c r="AC409" s="381">
        <v>11800482379.7055</v>
      </c>
      <c r="AD409" s="381">
        <v>11799716137.289618</v>
      </c>
      <c r="AE409" s="381">
        <v>11799026519.115322</v>
      </c>
      <c r="AF409" s="381">
        <v>11798413525.182611</v>
      </c>
      <c r="AG409" s="381">
        <v>11797877155.491493</v>
      </c>
      <c r="AH409" s="381">
        <v>11797417410.041964</v>
      </c>
      <c r="AI409" s="381">
        <v>11797034288.834019</v>
      </c>
      <c r="AJ409" s="381">
        <v>11796727791.867668</v>
      </c>
      <c r="AK409" s="381">
        <v>11796497919.142902</v>
      </c>
      <c r="AL409" s="381">
        <v>11796344670.659725</v>
      </c>
      <c r="AM409" s="381">
        <v>11796268046.418137</v>
      </c>
      <c r="AN409" s="381">
        <v>11796268046.418137</v>
      </c>
    </row>
    <row r="410" spans="1:40">
      <c r="A410" s="30" t="s">
        <v>48</v>
      </c>
      <c r="B410" t="s">
        <v>446</v>
      </c>
      <c r="C410" t="s">
        <v>375</v>
      </c>
      <c r="D410" t="str">
        <f t="shared" si="52"/>
        <v>Existing non-domestic electricity demandLondon only levers</v>
      </c>
      <c r="E410" s="381">
        <v>19618605322.817085</v>
      </c>
      <c r="F410" s="381">
        <v>19618605322.817085</v>
      </c>
      <c r="G410" s="381">
        <v>19618605322.817085</v>
      </c>
      <c r="H410" s="381">
        <v>19618605322.817085</v>
      </c>
      <c r="I410" s="381">
        <v>19618605322.817085</v>
      </c>
      <c r="J410" s="381">
        <v>19618605322.817085</v>
      </c>
      <c r="K410" s="381">
        <v>19618280270.861992</v>
      </c>
      <c r="L410" s="381">
        <v>19617629765.040443</v>
      </c>
      <c r="M410" s="381">
        <v>19616653402.3759</v>
      </c>
      <c r="N410" s="381">
        <v>19615676233.222359</v>
      </c>
      <c r="O410" s="381">
        <v>19614691778.294731</v>
      </c>
      <c r="P410" s="381">
        <v>19613711361.148781</v>
      </c>
      <c r="Q410" s="381">
        <v>19612730128.347847</v>
      </c>
      <c r="R410" s="381">
        <v>19611748078.259613</v>
      </c>
      <c r="S410" s="381">
        <v>19610809755.347107</v>
      </c>
      <c r="T410" s="381">
        <v>19609915213.656555</v>
      </c>
      <c r="U410" s="381">
        <v>19609064507.378571</v>
      </c>
      <c r="V410" s="381">
        <v>19608257690.848587</v>
      </c>
      <c r="W410" s="381">
        <v>19607494818.547409</v>
      </c>
      <c r="X410" s="381">
        <v>19606775945.1017</v>
      </c>
      <c r="Y410" s="381">
        <v>19606101125.284492</v>
      </c>
      <c r="Z410" s="381">
        <v>19605470414.015694</v>
      </c>
      <c r="AA410" s="381">
        <v>19604883866.362587</v>
      </c>
      <c r="AB410" s="381">
        <v>19604341537.540382</v>
      </c>
      <c r="AC410" s="381">
        <v>19603843482.912678</v>
      </c>
      <c r="AD410" s="381">
        <v>19603389757.992027</v>
      </c>
      <c r="AE410" s="381">
        <v>19602980418.440437</v>
      </c>
      <c r="AF410" s="381">
        <v>19602615520.069881</v>
      </c>
      <c r="AG410" s="381">
        <v>19602295118.84285</v>
      </c>
      <c r="AH410" s="381">
        <v>19602019270.872849</v>
      </c>
      <c r="AI410" s="381">
        <v>19601788032.424965</v>
      </c>
      <c r="AJ410" s="381">
        <v>19601601459.916351</v>
      </c>
      <c r="AK410" s="381">
        <v>19601459609.916801</v>
      </c>
      <c r="AL410" s="381">
        <v>19601362539.149277</v>
      </c>
      <c r="AM410" s="381">
        <v>19601310304.490417</v>
      </c>
      <c r="AN410" s="381">
        <v>19601302962.971123</v>
      </c>
    </row>
    <row r="411" spans="1:40">
      <c r="A411" s="30" t="s">
        <v>48</v>
      </c>
      <c r="B411" t="s">
        <v>452</v>
      </c>
      <c r="C411" t="s">
        <v>380</v>
      </c>
      <c r="D411" t="str">
        <f t="shared" si="52"/>
        <v>% new domestic heat demand from solar thermalLondon only levers</v>
      </c>
      <c r="E411" s="381">
        <v>0</v>
      </c>
      <c r="F411" s="381">
        <v>0</v>
      </c>
      <c r="G411" s="381">
        <v>0</v>
      </c>
      <c r="H411" s="381">
        <v>0</v>
      </c>
      <c r="I411" s="381">
        <v>0</v>
      </c>
      <c r="J411" s="381">
        <v>3.8494588464477813E-3</v>
      </c>
      <c r="K411" s="381">
        <v>6.078472907222977E-3</v>
      </c>
      <c r="L411" s="381">
        <v>7.7437442869030685E-3</v>
      </c>
      <c r="M411" s="381">
        <v>9.0351298047125876E-3</v>
      </c>
      <c r="N411" s="381">
        <v>1.0065837719198235E-2</v>
      </c>
      <c r="O411" s="381">
        <v>1.0907562111917202E-2</v>
      </c>
      <c r="P411" s="381">
        <v>1.1483749530573156E-2</v>
      </c>
      <c r="Q411" s="381">
        <v>1.1985465227054844E-2</v>
      </c>
      <c r="R411" s="381">
        <v>1.2426270890949411E-2</v>
      </c>
      <c r="S411" s="381">
        <v>1.2816623783378245E-2</v>
      </c>
      <c r="T411" s="381">
        <v>1.3164716952922258E-2</v>
      </c>
      <c r="U411" s="381">
        <v>1.3312802365195909E-2</v>
      </c>
      <c r="V411" s="381">
        <v>1.3453848625965549E-2</v>
      </c>
      <c r="W411" s="381">
        <v>1.3588345986124713E-2</v>
      </c>
      <c r="X411" s="381">
        <v>1.3716740203931726E-2</v>
      </c>
      <c r="Y411" s="381">
        <v>1.3839437480433103E-2</v>
      </c>
      <c r="Z411" s="381">
        <v>1.3956808752181062E-2</v>
      </c>
      <c r="AA411" s="381">
        <v>1.4069193436815145E-2</v>
      </c>
      <c r="AB411" s="381">
        <v>1.4176902711174574E-2</v>
      </c>
      <c r="AC411" s="381">
        <v>1.428022238862081E-2</v>
      </c>
      <c r="AD411" s="381">
        <v>1.4379415451597091E-2</v>
      </c>
      <c r="AE411" s="381">
        <v>1.4474724286676075E-2</v>
      </c>
      <c r="AF411" s="381">
        <v>1.456637266208784E-2</v>
      </c>
      <c r="AG411" s="381">
        <v>1.4654567481692122E-2</v>
      </c>
      <c r="AH411" s="381">
        <v>1.4739500344334432E-2</v>
      </c>
      <c r="AI411" s="381">
        <v>1.4821348933321474E-2</v>
      </c>
      <c r="AJ411" s="381">
        <v>1.4900278257222878E-2</v>
      </c>
      <c r="AK411" s="381">
        <v>1.4976441760233305E-2</v>
      </c>
      <c r="AL411" s="381">
        <v>1.5049982317817418E-2</v>
      </c>
      <c r="AM411" s="381">
        <v>1.5121033131231079E-2</v>
      </c>
      <c r="AN411" s="381">
        <v>1.5189718532701735E-2</v>
      </c>
    </row>
    <row r="412" spans="1:40">
      <c r="A412" s="30" t="s">
        <v>48</v>
      </c>
      <c r="B412" t="s">
        <v>452</v>
      </c>
      <c r="C412" t="s">
        <v>381</v>
      </c>
      <c r="D412" t="str">
        <f t="shared" si="52"/>
        <v>% new non-domestic heat demand from solar thermalLondon only levers</v>
      </c>
      <c r="E412" s="381">
        <v>0</v>
      </c>
      <c r="F412" s="381">
        <v>0</v>
      </c>
      <c r="G412" s="381">
        <v>0</v>
      </c>
      <c r="H412" s="381">
        <v>0</v>
      </c>
      <c r="I412" s="381">
        <v>0</v>
      </c>
      <c r="J412" s="381">
        <v>6.2087820672609116E-3</v>
      </c>
      <c r="K412" s="381">
        <v>1.0347970112101522E-2</v>
      </c>
      <c r="L412" s="381">
        <v>1.3304533001273383E-2</v>
      </c>
      <c r="M412" s="381">
        <v>1.5521955168152279E-2</v>
      </c>
      <c r="N412" s="381">
        <v>1.7246616853502532E-2</v>
      </c>
      <c r="O412" s="381">
        <v>1.8626346201782738E-2</v>
      </c>
      <c r="P412" s="381">
        <v>1.9493697003782746E-2</v>
      </c>
      <c r="Q412" s="381">
        <v>2.0248098229741378E-2</v>
      </c>
      <c r="R412" s="381">
        <v>2.0910264190128706E-2</v>
      </c>
      <c r="S412" s="381">
        <v>2.1496135816483224E-2</v>
      </c>
      <c r="T412" s="381">
        <v>2.2018180729025946E-2</v>
      </c>
      <c r="U412" s="381">
        <v>2.2486290353187412E-2</v>
      </c>
      <c r="V412" s="381">
        <v>2.290841263650658E-2</v>
      </c>
      <c r="W412" s="381">
        <v>2.3291007021043024E-2</v>
      </c>
      <c r="X412" s="381">
        <v>2.363937732031203E-2</v>
      </c>
      <c r="Y412" s="381">
        <v>2.3957919090399651E-2</v>
      </c>
      <c r="Z412" s="381">
        <v>2.4250306067716575E-2</v>
      </c>
      <c r="AA412" s="381">
        <v>2.4519632493733311E-2</v>
      </c>
      <c r="AB412" s="381">
        <v>2.4768523041881894E-2</v>
      </c>
      <c r="AC412" s="381">
        <v>2.4999218636090371E-2</v>
      </c>
      <c r="AD412" s="381">
        <v>2.521364411191299E-2</v>
      </c>
      <c r="AE412" s="381">
        <v>2.5413462049603923E-2</v>
      </c>
      <c r="AF412" s="381">
        <v>2.5600115967610922E-2</v>
      </c>
      <c r="AG412" s="381">
        <v>2.5774865251532036E-2</v>
      </c>
      <c r="AH412" s="381">
        <v>2.5938813606390217E-2</v>
      </c>
      <c r="AI412" s="381">
        <v>2.6092932391315504E-2</v>
      </c>
      <c r="AJ412" s="381">
        <v>2.6238079879272319E-2</v>
      </c>
      <c r="AK412" s="381">
        <v>2.6375017248566644E-2</v>
      </c>
      <c r="AL412" s="381">
        <v>2.6504421935359648E-2</v>
      </c>
      <c r="AM412" s="381">
        <v>2.6626898841669681E-2</v>
      </c>
      <c r="AN412" s="381">
        <v>2.6742989790215374E-2</v>
      </c>
    </row>
    <row r="413" spans="1:40">
      <c r="A413" s="30" t="s">
        <v>48</v>
      </c>
      <c r="B413" t="s">
        <v>452</v>
      </c>
      <c r="C413" t="s">
        <v>382</v>
      </c>
      <c r="D413" t="str">
        <f t="shared" si="52"/>
        <v>% existing domestic heat demand from solar thermalLondon only levers</v>
      </c>
      <c r="E413" s="381">
        <v>0</v>
      </c>
      <c r="F413" s="381">
        <v>0</v>
      </c>
      <c r="G413" s="381">
        <v>0</v>
      </c>
      <c r="H413" s="381">
        <v>0</v>
      </c>
      <c r="I413" s="381">
        <v>0</v>
      </c>
      <c r="J413" s="381">
        <v>0</v>
      </c>
      <c r="K413" s="381">
        <v>2.5936698989457763E-5</v>
      </c>
      <c r="L413" s="381">
        <v>5.1936152100447185E-5</v>
      </c>
      <c r="M413" s="381">
        <v>7.8015494864694488E-5</v>
      </c>
      <c r="N413" s="381">
        <v>1.041694441835684E-4</v>
      </c>
      <c r="O413" s="381">
        <v>1.304404938711992E-4</v>
      </c>
      <c r="P413" s="381">
        <v>1.5685481105527554E-4</v>
      </c>
      <c r="Q413" s="381">
        <v>1.5723346970709985E-4</v>
      </c>
      <c r="R413" s="381">
        <v>1.5754143855914272E-4</v>
      </c>
      <c r="S413" s="381">
        <v>1.5789740573970184E-4</v>
      </c>
      <c r="T413" s="381">
        <v>1.5830201990962457E-4</v>
      </c>
      <c r="U413" s="381">
        <v>1.5875602373134894E-4</v>
      </c>
      <c r="V413" s="381">
        <v>1.5926025732819986E-4</v>
      </c>
      <c r="W413" s="381">
        <v>1.598156622430087E-4</v>
      </c>
      <c r="X413" s="381">
        <v>1.6042328593150249E-4</v>
      </c>
      <c r="Y413" s="381">
        <v>1.6103067010967667E-4</v>
      </c>
      <c r="Z413" s="381">
        <v>1.6163775575885479E-4</v>
      </c>
      <c r="AA413" s="381">
        <v>1.6224448301182558E-4</v>
      </c>
      <c r="AB413" s="381">
        <v>1.6230437647516666E-4</v>
      </c>
      <c r="AC413" s="381">
        <v>1.623593179846233E-4</v>
      </c>
      <c r="AD413" s="381">
        <v>1.6240929735572896E-4</v>
      </c>
      <c r="AE413" s="381">
        <v>1.6245430531477869E-4</v>
      </c>
      <c r="AF413" s="381">
        <v>1.6249433350312188E-4</v>
      </c>
      <c r="AG413" s="381">
        <v>1.6252937448103596E-4</v>
      </c>
      <c r="AH413" s="381">
        <v>1.6255942173117887E-4</v>
      </c>
      <c r="AI413" s="381">
        <v>1.625844696616159E-4</v>
      </c>
      <c r="AJ413" s="381">
        <v>1.6260451360841939E-4</v>
      </c>
      <c r="AK413" s="381">
        <v>1.6261954983783853E-4</v>
      </c>
      <c r="AL413" s="381">
        <v>1.6262957554803728E-4</v>
      </c>
      <c r="AM413" s="381">
        <v>1.6263458887039962E-4</v>
      </c>
      <c r="AN413" s="381">
        <v>1.6263458887039962E-4</v>
      </c>
    </row>
    <row r="414" spans="1:40">
      <c r="A414" s="30" t="s">
        <v>48</v>
      </c>
      <c r="B414" t="s">
        <v>452</v>
      </c>
      <c r="C414" t="s">
        <v>383</v>
      </c>
      <c r="D414" t="str">
        <f t="shared" si="52"/>
        <v>% existing non-domestic heat demand from solar thermalLondon only levers</v>
      </c>
      <c r="E414" s="381">
        <v>0</v>
      </c>
      <c r="F414" s="381">
        <v>0</v>
      </c>
      <c r="G414" s="381">
        <v>0</v>
      </c>
      <c r="H414" s="381">
        <v>0</v>
      </c>
      <c r="I414" s="381">
        <v>0</v>
      </c>
      <c r="J414" s="381">
        <v>0</v>
      </c>
      <c r="K414" s="381">
        <v>5.7501786481890258E-5</v>
      </c>
      <c r="L414" s="381">
        <v>1.1505722430646588E-4</v>
      </c>
      <c r="M414" s="381">
        <v>1.7267649606328699E-4</v>
      </c>
      <c r="N414" s="381">
        <v>2.3035658903659598E-4</v>
      </c>
      <c r="O414" s="381">
        <v>2.8850581912593531E-4</v>
      </c>
      <c r="P414" s="381">
        <v>3.4639101612649823E-4</v>
      </c>
      <c r="Q414" s="381">
        <v>3.4657563450409868E-4</v>
      </c>
      <c r="R414" s="381">
        <v>3.4676084130301119E-4</v>
      </c>
      <c r="S414" s="381">
        <v>3.4694380478354086E-4</v>
      </c>
      <c r="T414" s="381">
        <v>3.4712448272734977E-4</v>
      </c>
      <c r="U414" s="381">
        <v>3.4730283392246826E-4</v>
      </c>
      <c r="V414" s="381">
        <v>3.4747881821097865E-4</v>
      </c>
      <c r="W414" s="381">
        <v>3.4765239653575264E-4</v>
      </c>
      <c r="X414" s="381">
        <v>3.4782353098613644E-4</v>
      </c>
      <c r="Y414" s="381">
        <v>3.4799218484248424E-4</v>
      </c>
      <c r="Z414" s="381">
        <v>3.4815832261944022E-4</v>
      </c>
      <c r="AA414" s="381">
        <v>3.4832191010786837E-4</v>
      </c>
      <c r="AB414" s="381">
        <v>3.484829144153394E-4</v>
      </c>
      <c r="AC414" s="381">
        <v>3.4864130400507801E-4</v>
      </c>
      <c r="AD414" s="381">
        <v>3.4879704873328285E-4</v>
      </c>
      <c r="AE414" s="381">
        <v>3.4895011988473284E-4</v>
      </c>
      <c r="AF414" s="381">
        <v>3.4910049020659681E-4</v>
      </c>
      <c r="AG414" s="381">
        <v>3.4924813394036957E-4</v>
      </c>
      <c r="AH414" s="381">
        <v>3.4939302685185769E-4</v>
      </c>
      <c r="AI414" s="381">
        <v>3.4953514625914948E-4</v>
      </c>
      <c r="AJ414" s="381">
        <v>3.4967447105850092E-4</v>
      </c>
      <c r="AK414" s="381">
        <v>3.4981098174808142E-4</v>
      </c>
      <c r="AL414" s="381">
        <v>3.499446604495235E-4</v>
      </c>
      <c r="AM414" s="381">
        <v>3.5007549092722865E-4</v>
      </c>
      <c r="AN414" s="381">
        <v>3.5020345860538749E-4</v>
      </c>
    </row>
    <row r="415" spans="1:40">
      <c r="A415" s="30" t="s">
        <v>48</v>
      </c>
      <c r="B415" t="s">
        <v>453</v>
      </c>
      <c r="C415" t="s">
        <v>384</v>
      </c>
      <c r="D415" t="str">
        <f t="shared" si="52"/>
        <v>Fuel Poor - Extended RE:NEWLondon only levers</v>
      </c>
      <c r="E415" s="285">
        <v>0</v>
      </c>
      <c r="F415" s="285">
        <v>0</v>
      </c>
      <c r="G415" s="285">
        <v>0</v>
      </c>
      <c r="H415" s="285">
        <v>0</v>
      </c>
      <c r="I415" s="285">
        <v>0</v>
      </c>
      <c r="J415" s="285">
        <v>0</v>
      </c>
      <c r="K415" s="285">
        <v>847.69524592823859</v>
      </c>
      <c r="L415" s="285">
        <v>1695.3904918564772</v>
      </c>
      <c r="M415" s="285">
        <v>2543.0857377847155</v>
      </c>
      <c r="N415" s="285">
        <v>2543.0857377847155</v>
      </c>
      <c r="O415" s="285">
        <v>2543.0857377847155</v>
      </c>
      <c r="P415" s="285">
        <v>2543.0857377847155</v>
      </c>
      <c r="Q415" s="285">
        <v>2543.0857377847155</v>
      </c>
      <c r="R415" s="285">
        <v>2543.0857377847155</v>
      </c>
      <c r="S415" s="285">
        <v>2427.4909315217742</v>
      </c>
      <c r="T415" s="285">
        <v>2311.8961252588324</v>
      </c>
      <c r="U415" s="285">
        <v>2196.3013189958911</v>
      </c>
      <c r="V415" s="285">
        <v>2080.7065127329488</v>
      </c>
      <c r="W415" s="285">
        <v>1965.1117064700074</v>
      </c>
      <c r="X415" s="285">
        <v>1849.5169002070656</v>
      </c>
      <c r="Y415" s="285">
        <v>1733.9220939441243</v>
      </c>
      <c r="Z415" s="285">
        <v>1618.3272876811827</v>
      </c>
      <c r="AA415" s="285">
        <v>1502.7324814182412</v>
      </c>
      <c r="AB415" s="285">
        <v>1387.1376751552993</v>
      </c>
      <c r="AC415" s="285">
        <v>1271.5428688923578</v>
      </c>
      <c r="AD415" s="285">
        <v>1155.9480626294162</v>
      </c>
      <c r="AE415" s="285">
        <v>1040.3532563664744</v>
      </c>
      <c r="AF415" s="285">
        <v>924.75845010353282</v>
      </c>
      <c r="AG415" s="285">
        <v>809.16364384059125</v>
      </c>
      <c r="AH415" s="285">
        <v>693.56883757764967</v>
      </c>
      <c r="AI415" s="285">
        <v>577.97403131470799</v>
      </c>
      <c r="AJ415" s="285">
        <v>462.37922505176641</v>
      </c>
      <c r="AK415" s="285">
        <v>346.78441878882484</v>
      </c>
      <c r="AL415" s="285">
        <v>231.18961252588321</v>
      </c>
      <c r="AM415" s="285">
        <v>115.59480626294156</v>
      </c>
      <c r="AN415" s="285">
        <v>0</v>
      </c>
    </row>
    <row r="416" spans="1:40">
      <c r="A416" s="30" t="s">
        <v>48</v>
      </c>
      <c r="B416" t="s">
        <v>453</v>
      </c>
      <c r="C416" t="s">
        <v>385</v>
      </c>
      <c r="D416" t="str">
        <f t="shared" si="52"/>
        <v>Fuel Poor - Landlord MEES - EPC CLondon only levers</v>
      </c>
      <c r="E416" s="426">
        <v>0</v>
      </c>
      <c r="F416" s="426">
        <v>0</v>
      </c>
      <c r="G416" s="426">
        <v>0</v>
      </c>
      <c r="H416" s="426">
        <v>0</v>
      </c>
      <c r="I416" s="426">
        <v>0</v>
      </c>
      <c r="J416" s="426">
        <v>0</v>
      </c>
      <c r="K416" s="426">
        <v>0</v>
      </c>
      <c r="L416" s="426">
        <v>0</v>
      </c>
      <c r="M416" s="426">
        <v>0</v>
      </c>
      <c r="N416" s="426">
        <v>0</v>
      </c>
      <c r="O416" s="426">
        <v>0</v>
      </c>
      <c r="P416" s="426">
        <v>0</v>
      </c>
      <c r="Q416" s="426">
        <v>0</v>
      </c>
      <c r="R416" s="426">
        <v>0</v>
      </c>
      <c r="S416" s="426">
        <v>0</v>
      </c>
      <c r="T416" s="426">
        <v>0</v>
      </c>
      <c r="U416" s="426">
        <v>0</v>
      </c>
      <c r="V416" s="426">
        <v>0</v>
      </c>
      <c r="W416" s="426">
        <v>0</v>
      </c>
      <c r="X416" s="426">
        <v>0</v>
      </c>
      <c r="Y416" s="426">
        <v>0</v>
      </c>
      <c r="Z416" s="426">
        <v>0</v>
      </c>
      <c r="AA416" s="426">
        <v>0</v>
      </c>
      <c r="AB416" s="426">
        <v>0</v>
      </c>
      <c r="AC416" s="426">
        <v>0</v>
      </c>
      <c r="AD416" s="426">
        <v>0</v>
      </c>
      <c r="AE416" s="426">
        <v>0</v>
      </c>
      <c r="AF416" s="426">
        <v>0</v>
      </c>
      <c r="AG416" s="426">
        <v>0</v>
      </c>
      <c r="AH416" s="426">
        <v>0</v>
      </c>
      <c r="AI416" s="426">
        <v>0</v>
      </c>
      <c r="AJ416" s="426">
        <v>0</v>
      </c>
      <c r="AK416" s="426">
        <v>0</v>
      </c>
      <c r="AL416" s="426">
        <v>0</v>
      </c>
      <c r="AM416" s="426">
        <v>0</v>
      </c>
      <c r="AN416" s="426">
        <v>0</v>
      </c>
    </row>
    <row r="417" spans="1:40">
      <c r="A417" s="30" t="s">
        <v>48</v>
      </c>
      <c r="B417" t="s">
        <v>453</v>
      </c>
      <c r="C417" t="s">
        <v>386</v>
      </c>
      <c r="D417" t="str">
        <f t="shared" si="52"/>
        <v>Fuel Poor - All buildings MEES - EPC CLondon only levers</v>
      </c>
      <c r="E417" s="427">
        <v>0</v>
      </c>
      <c r="F417" s="427">
        <v>0</v>
      </c>
      <c r="G417" s="427">
        <v>0</v>
      </c>
      <c r="H417" s="427">
        <v>0</v>
      </c>
      <c r="I417" s="427">
        <v>0</v>
      </c>
      <c r="J417" s="427">
        <v>0</v>
      </c>
      <c r="K417" s="427">
        <v>0</v>
      </c>
      <c r="L417" s="427">
        <v>0</v>
      </c>
      <c r="M417" s="427">
        <v>0</v>
      </c>
      <c r="N417" s="427">
        <v>0</v>
      </c>
      <c r="O417" s="427">
        <v>0</v>
      </c>
      <c r="P417" s="427">
        <v>0</v>
      </c>
      <c r="Q417" s="427">
        <v>0</v>
      </c>
      <c r="R417" s="427">
        <v>0</v>
      </c>
      <c r="S417" s="427">
        <v>0</v>
      </c>
      <c r="T417" s="427">
        <v>0</v>
      </c>
      <c r="U417" s="427">
        <v>0</v>
      </c>
      <c r="V417" s="427">
        <v>0</v>
      </c>
      <c r="W417" s="427">
        <v>0</v>
      </c>
      <c r="X417" s="427">
        <v>0</v>
      </c>
      <c r="Y417" s="427">
        <v>0</v>
      </c>
      <c r="Z417" s="427">
        <v>0</v>
      </c>
      <c r="AA417" s="427">
        <v>0</v>
      </c>
      <c r="AB417" s="427">
        <v>0</v>
      </c>
      <c r="AC417" s="427">
        <v>0</v>
      </c>
      <c r="AD417" s="427">
        <v>0</v>
      </c>
      <c r="AE417" s="427">
        <v>0</v>
      </c>
      <c r="AF417" s="427">
        <v>0</v>
      </c>
      <c r="AG417" s="427">
        <v>0</v>
      </c>
      <c r="AH417" s="427">
        <v>0</v>
      </c>
      <c r="AI417" s="427">
        <v>0</v>
      </c>
      <c r="AJ417" s="427">
        <v>0</v>
      </c>
      <c r="AK417" s="427">
        <v>0</v>
      </c>
      <c r="AL417" s="427">
        <v>0</v>
      </c>
      <c r="AM417" s="427">
        <v>0</v>
      </c>
      <c r="AN417" s="427">
        <v>0</v>
      </c>
    </row>
    <row r="418" spans="1:40">
      <c r="A418" s="30" t="s">
        <v>48</v>
      </c>
      <c r="B418" t="s">
        <v>453</v>
      </c>
      <c r="C418" t="s">
        <v>387</v>
      </c>
      <c r="D418" t="str">
        <f t="shared" si="52"/>
        <v>Fuel Poor - Extended energy LeapLondon only levers</v>
      </c>
      <c r="E418" s="80">
        <v>0</v>
      </c>
      <c r="F418" s="106">
        <v>0</v>
      </c>
      <c r="G418" s="106">
        <v>0</v>
      </c>
      <c r="H418" s="106">
        <v>0</v>
      </c>
      <c r="I418" s="106">
        <v>0</v>
      </c>
      <c r="J418" s="106">
        <v>0</v>
      </c>
      <c r="K418" s="106">
        <v>0</v>
      </c>
      <c r="L418" s="106">
        <v>0</v>
      </c>
      <c r="M418" s="106">
        <v>0</v>
      </c>
      <c r="N418" s="106">
        <v>0</v>
      </c>
      <c r="O418" s="80">
        <v>385.89525411046941</v>
      </c>
      <c r="P418" s="106">
        <v>771.79050822093882</v>
      </c>
      <c r="Q418" s="106">
        <v>1157.6857623314081</v>
      </c>
      <c r="R418" s="106">
        <v>1543.5810164418776</v>
      </c>
      <c r="S418" s="106">
        <v>1929.4762705523469</v>
      </c>
      <c r="T418" s="106">
        <v>2315.3715246628162</v>
      </c>
      <c r="U418" s="106">
        <v>2701.2667787732858</v>
      </c>
      <c r="V418" s="106">
        <v>3087.1620328837553</v>
      </c>
      <c r="W418" s="106">
        <v>3473.0572869942243</v>
      </c>
      <c r="X418" s="106">
        <v>3858.9525411046939</v>
      </c>
      <c r="Y418" s="106">
        <v>3858.9525411046939</v>
      </c>
      <c r="Z418" s="106">
        <v>3858.9525411046939</v>
      </c>
      <c r="AA418" s="106">
        <v>3858.9525411046939</v>
      </c>
      <c r="AB418" s="106">
        <v>0</v>
      </c>
      <c r="AC418" s="106">
        <v>0</v>
      </c>
      <c r="AD418" s="106">
        <v>0</v>
      </c>
      <c r="AE418" s="106">
        <v>0</v>
      </c>
      <c r="AF418" s="106">
        <v>0</v>
      </c>
      <c r="AG418" s="106">
        <v>0</v>
      </c>
      <c r="AH418" s="106">
        <v>0</v>
      </c>
      <c r="AI418" s="106">
        <v>0</v>
      </c>
      <c r="AJ418" s="106">
        <v>0</v>
      </c>
      <c r="AK418" s="106">
        <v>0</v>
      </c>
      <c r="AL418" s="106">
        <v>0</v>
      </c>
      <c r="AM418" s="106">
        <v>0</v>
      </c>
      <c r="AN418" s="80">
        <v>0</v>
      </c>
    </row>
    <row r="419" spans="1:40">
      <c r="A419" s="30" t="s">
        <v>48</v>
      </c>
      <c r="B419" t="s">
        <v>453</v>
      </c>
      <c r="C419" t="s">
        <v>388</v>
      </c>
      <c r="D419" t="str">
        <f t="shared" si="52"/>
        <v>Social housing - Extended RE:NEWLondon only levers</v>
      </c>
      <c r="E419" s="59">
        <v>0</v>
      </c>
      <c r="F419" s="59">
        <v>0</v>
      </c>
      <c r="G419" s="59">
        <v>0</v>
      </c>
      <c r="H419" s="59">
        <v>0</v>
      </c>
      <c r="I419" s="59">
        <v>0</v>
      </c>
      <c r="J419" s="59">
        <v>0</v>
      </c>
      <c r="K419" s="59">
        <v>1692.4717286497607</v>
      </c>
      <c r="L419" s="59">
        <v>3384.9434572995215</v>
      </c>
      <c r="M419" s="59">
        <v>5077.4151859492831</v>
      </c>
      <c r="N419" s="59">
        <v>5077.4151859492831</v>
      </c>
      <c r="O419" s="59">
        <v>5077.4151859492831</v>
      </c>
      <c r="P419" s="59">
        <v>5077.4151859492831</v>
      </c>
      <c r="Q419" s="59">
        <v>5077.4151859492831</v>
      </c>
      <c r="R419" s="59">
        <v>5077.4151859492831</v>
      </c>
      <c r="S419" s="59">
        <v>4846.6235865879516</v>
      </c>
      <c r="T419" s="59">
        <v>4615.8319872266202</v>
      </c>
      <c r="U419" s="59">
        <v>4385.0403878652896</v>
      </c>
      <c r="V419" s="59">
        <v>4154.2487885039591</v>
      </c>
      <c r="W419" s="59">
        <v>3923.4571891426276</v>
      </c>
      <c r="X419" s="59">
        <v>3692.6655897812961</v>
      </c>
      <c r="Y419" s="59">
        <v>3461.8739904199656</v>
      </c>
      <c r="Z419" s="59">
        <v>3231.0823910586341</v>
      </c>
      <c r="AA419" s="59">
        <v>3000.2907916973036</v>
      </c>
      <c r="AB419" s="59">
        <v>2769.4991923359721</v>
      </c>
      <c r="AC419" s="59">
        <v>2538.7075929746416</v>
      </c>
      <c r="AD419" s="59">
        <v>2307.9159936133101</v>
      </c>
      <c r="AE419" s="59">
        <v>2077.1243942519795</v>
      </c>
      <c r="AF419" s="59">
        <v>1846.3327948906481</v>
      </c>
      <c r="AG419" s="59">
        <v>1615.5411955293171</v>
      </c>
      <c r="AH419" s="59">
        <v>1384.7495961679861</v>
      </c>
      <c r="AI419" s="59">
        <v>1153.957996806655</v>
      </c>
      <c r="AJ419" s="59">
        <v>923.16639744532381</v>
      </c>
      <c r="AK419" s="59">
        <v>692.37479808399303</v>
      </c>
      <c r="AL419" s="59">
        <v>461.58319872266202</v>
      </c>
      <c r="AM419" s="59">
        <v>230.79159936133101</v>
      </c>
      <c r="AN419" s="59">
        <v>0</v>
      </c>
    </row>
    <row r="420" spans="1:40">
      <c r="A420" s="30" t="s">
        <v>48</v>
      </c>
      <c r="B420" t="s">
        <v>453</v>
      </c>
      <c r="C420" t="s">
        <v>389</v>
      </c>
      <c r="D420" t="str">
        <f t="shared" si="52"/>
        <v>Social housing - All buildings MEES - EPC CLondon only levers</v>
      </c>
      <c r="E420" s="381">
        <v>0</v>
      </c>
      <c r="F420" s="381">
        <v>0</v>
      </c>
      <c r="G420" s="381">
        <v>0</v>
      </c>
      <c r="H420" s="381">
        <v>0</v>
      </c>
      <c r="I420" s="381">
        <v>0</v>
      </c>
      <c r="J420" s="381">
        <v>0</v>
      </c>
      <c r="K420" s="381">
        <v>0</v>
      </c>
      <c r="L420" s="381">
        <v>0</v>
      </c>
      <c r="M420" s="381">
        <v>0</v>
      </c>
      <c r="N420" s="381">
        <v>0</v>
      </c>
      <c r="O420" s="381">
        <v>0</v>
      </c>
      <c r="P420" s="381">
        <v>0</v>
      </c>
      <c r="Q420" s="381">
        <v>0</v>
      </c>
      <c r="R420" s="381">
        <v>0</v>
      </c>
      <c r="S420" s="381">
        <v>0</v>
      </c>
      <c r="T420" s="381">
        <v>0</v>
      </c>
      <c r="U420" s="381">
        <v>0</v>
      </c>
      <c r="V420" s="381">
        <v>0</v>
      </c>
      <c r="W420" s="381">
        <v>0</v>
      </c>
      <c r="X420" s="381">
        <v>0</v>
      </c>
      <c r="Y420" s="381">
        <v>0</v>
      </c>
      <c r="Z420" s="381">
        <v>0</v>
      </c>
      <c r="AA420" s="381">
        <v>0</v>
      </c>
      <c r="AB420" s="381">
        <v>0</v>
      </c>
      <c r="AC420" s="381">
        <v>0</v>
      </c>
      <c r="AD420" s="381">
        <v>0</v>
      </c>
      <c r="AE420" s="381">
        <v>0</v>
      </c>
      <c r="AF420" s="381">
        <v>0</v>
      </c>
      <c r="AG420" s="381">
        <v>0</v>
      </c>
      <c r="AH420" s="381">
        <v>0</v>
      </c>
      <c r="AI420" s="381">
        <v>0</v>
      </c>
      <c r="AJ420" s="381">
        <v>0</v>
      </c>
      <c r="AK420" s="381">
        <v>0</v>
      </c>
      <c r="AL420" s="381">
        <v>0</v>
      </c>
      <c r="AM420" s="381">
        <v>0</v>
      </c>
      <c r="AN420" s="381">
        <v>0</v>
      </c>
    </row>
    <row r="421" spans="1:40">
      <c r="A421" s="30" t="s">
        <v>48</v>
      </c>
      <c r="B421" t="s">
        <v>453</v>
      </c>
      <c r="C421" t="s">
        <v>390</v>
      </c>
      <c r="D421" t="str">
        <f t="shared" si="52"/>
        <v>Social housing - Extended energy LeapLondon only levers</v>
      </c>
      <c r="E421" s="381">
        <v>0</v>
      </c>
      <c r="F421" s="381">
        <v>0</v>
      </c>
      <c r="G421" s="381">
        <v>0</v>
      </c>
      <c r="H421" s="381">
        <v>0</v>
      </c>
      <c r="I421" s="381">
        <v>0</v>
      </c>
      <c r="J421" s="381">
        <v>0</v>
      </c>
      <c r="K421" s="381">
        <v>0</v>
      </c>
      <c r="L421" s="381">
        <v>0</v>
      </c>
      <c r="M421" s="381">
        <v>0</v>
      </c>
      <c r="N421" s="381">
        <v>0</v>
      </c>
      <c r="O421" s="381">
        <v>509.66177798994977</v>
      </c>
      <c r="P421" s="381">
        <v>1019.3235559798995</v>
      </c>
      <c r="Q421" s="381">
        <v>1528.9853339698493</v>
      </c>
      <c r="R421" s="381">
        <v>2038.6471119597991</v>
      </c>
      <c r="S421" s="381">
        <v>2548.3088899497488</v>
      </c>
      <c r="T421" s="381">
        <v>3057.9706679396986</v>
      </c>
      <c r="U421" s="381">
        <v>3567.6324459296484</v>
      </c>
      <c r="V421" s="381">
        <v>4077.2942239195982</v>
      </c>
      <c r="W421" s="381">
        <v>4586.9560019095479</v>
      </c>
      <c r="X421" s="381">
        <v>5096.6177798994977</v>
      </c>
      <c r="Y421" s="381">
        <v>5096.6177798994977</v>
      </c>
      <c r="Z421" s="381">
        <v>5096.6177798994977</v>
      </c>
      <c r="AA421" s="381">
        <v>5096.6177798994977</v>
      </c>
      <c r="AB421" s="381">
        <v>0</v>
      </c>
      <c r="AC421" s="381">
        <v>0</v>
      </c>
      <c r="AD421" s="381">
        <v>0</v>
      </c>
      <c r="AE421" s="381">
        <v>0</v>
      </c>
      <c r="AF421" s="381">
        <v>0</v>
      </c>
      <c r="AG421" s="381">
        <v>0</v>
      </c>
      <c r="AH421" s="381">
        <v>0</v>
      </c>
      <c r="AI421" s="381">
        <v>0</v>
      </c>
      <c r="AJ421" s="381">
        <v>0</v>
      </c>
      <c r="AK421" s="381">
        <v>0</v>
      </c>
      <c r="AL421" s="381">
        <v>0</v>
      </c>
      <c r="AM421" s="381">
        <v>0</v>
      </c>
      <c r="AN421" s="381">
        <v>0</v>
      </c>
    </row>
    <row r="422" spans="1:40">
      <c r="A422" s="30" t="s">
        <v>48</v>
      </c>
      <c r="B422" t="s">
        <v>453</v>
      </c>
      <c r="C422" t="s">
        <v>391</v>
      </c>
      <c r="D422" t="str">
        <f t="shared" si="52"/>
        <v>Able to pay - Building Regulations and planning policyLondon only levers</v>
      </c>
      <c r="E422" s="381">
        <v>0</v>
      </c>
      <c r="F422" s="381">
        <v>0</v>
      </c>
      <c r="G422" s="381">
        <v>0</v>
      </c>
      <c r="H422" s="381">
        <v>0</v>
      </c>
      <c r="I422" s="381">
        <v>0</v>
      </c>
      <c r="J422" s="381">
        <v>8046.9723287404267</v>
      </c>
      <c r="K422" s="381">
        <v>8046.9723287404267</v>
      </c>
      <c r="L422" s="381">
        <v>8046.9723287404267</v>
      </c>
      <c r="M422" s="381">
        <v>8046.9723287404267</v>
      </c>
      <c r="N422" s="381">
        <v>8046.9723287404267</v>
      </c>
      <c r="O422" s="381">
        <v>8046.9723287404267</v>
      </c>
      <c r="P422" s="381">
        <v>8046.9723287404267</v>
      </c>
      <c r="Q422" s="381">
        <v>8046.9723287404267</v>
      </c>
      <c r="R422" s="381">
        <v>0</v>
      </c>
      <c r="S422" s="381">
        <v>0</v>
      </c>
      <c r="T422" s="381">
        <v>0</v>
      </c>
      <c r="U422" s="381">
        <v>0</v>
      </c>
      <c r="V422" s="381">
        <v>0</v>
      </c>
      <c r="W422" s="381">
        <v>0</v>
      </c>
      <c r="X422" s="381">
        <v>0</v>
      </c>
      <c r="Y422" s="381">
        <v>0</v>
      </c>
      <c r="Z422" s="381">
        <v>0</v>
      </c>
      <c r="AA422" s="381">
        <v>0</v>
      </c>
      <c r="AB422" s="381">
        <v>0</v>
      </c>
      <c r="AC422" s="381">
        <v>0</v>
      </c>
      <c r="AD422" s="381">
        <v>0</v>
      </c>
      <c r="AE422" s="381">
        <v>0</v>
      </c>
      <c r="AF422" s="381">
        <v>0</v>
      </c>
      <c r="AG422" s="381">
        <v>0</v>
      </c>
      <c r="AH422" s="381">
        <v>0</v>
      </c>
      <c r="AI422" s="381">
        <v>0</v>
      </c>
      <c r="AJ422" s="381">
        <v>0</v>
      </c>
      <c r="AK422" s="381">
        <v>0</v>
      </c>
      <c r="AL422" s="381">
        <v>0</v>
      </c>
      <c r="AM422" s="381">
        <v>0</v>
      </c>
      <c r="AN422" s="381">
        <v>0</v>
      </c>
    </row>
    <row r="423" spans="1:40">
      <c r="A423" s="30" t="s">
        <v>48</v>
      </c>
      <c r="B423" t="s">
        <v>453</v>
      </c>
      <c r="C423" t="s">
        <v>392</v>
      </c>
      <c r="D423" t="str">
        <f t="shared" si="52"/>
        <v>Able to pay - Council tax variation by EPCLondon only levers</v>
      </c>
      <c r="E423" s="381">
        <v>0</v>
      </c>
      <c r="F423" s="381">
        <v>0</v>
      </c>
      <c r="G423" s="381">
        <v>0</v>
      </c>
      <c r="H423" s="381">
        <v>0</v>
      </c>
      <c r="I423" s="381">
        <v>0</v>
      </c>
      <c r="J423" s="381">
        <v>0</v>
      </c>
      <c r="K423" s="381">
        <v>0</v>
      </c>
      <c r="L423" s="381">
        <v>0</v>
      </c>
      <c r="M423" s="381">
        <v>0</v>
      </c>
      <c r="N423" s="381">
        <v>0</v>
      </c>
      <c r="O423" s="381">
        <v>0</v>
      </c>
      <c r="P423" s="381">
        <v>0</v>
      </c>
      <c r="Q423" s="381">
        <v>0</v>
      </c>
      <c r="R423" s="381">
        <v>0</v>
      </c>
      <c r="S423" s="381">
        <v>0</v>
      </c>
      <c r="T423" s="381">
        <v>0</v>
      </c>
      <c r="U423" s="381">
        <v>0</v>
      </c>
      <c r="V423" s="381">
        <v>0</v>
      </c>
      <c r="W423" s="381">
        <v>0</v>
      </c>
      <c r="X423" s="381">
        <v>0</v>
      </c>
      <c r="Y423" s="381">
        <v>0</v>
      </c>
      <c r="Z423" s="381">
        <v>0</v>
      </c>
      <c r="AA423" s="381">
        <v>0</v>
      </c>
      <c r="AB423" s="381">
        <v>0</v>
      </c>
      <c r="AC423" s="381">
        <v>0</v>
      </c>
      <c r="AD423" s="381">
        <v>0</v>
      </c>
      <c r="AE423" s="381">
        <v>0</v>
      </c>
      <c r="AF423" s="381">
        <v>0</v>
      </c>
      <c r="AG423" s="381">
        <v>0</v>
      </c>
      <c r="AH423" s="381">
        <v>0</v>
      </c>
      <c r="AI423" s="381">
        <v>0</v>
      </c>
      <c r="AJ423" s="381">
        <v>0</v>
      </c>
      <c r="AK423" s="381">
        <v>0</v>
      </c>
      <c r="AL423" s="381">
        <v>0</v>
      </c>
      <c r="AM423" s="381">
        <v>0</v>
      </c>
      <c r="AN423" s="381">
        <v>0</v>
      </c>
    </row>
    <row r="424" spans="1:40">
      <c r="A424" s="30" t="s">
        <v>48</v>
      </c>
      <c r="B424" t="s">
        <v>453</v>
      </c>
      <c r="C424" t="s">
        <v>393</v>
      </c>
      <c r="D424" t="str">
        <f t="shared" si="52"/>
        <v>Able to pay - Landlord MEES - EPC CLondon only levers</v>
      </c>
      <c r="E424" s="381">
        <v>0</v>
      </c>
      <c r="F424" s="381">
        <v>0</v>
      </c>
      <c r="G424" s="381">
        <v>0</v>
      </c>
      <c r="H424" s="381">
        <v>0</v>
      </c>
      <c r="I424" s="381">
        <v>0</v>
      </c>
      <c r="J424" s="381">
        <v>0</v>
      </c>
      <c r="K424" s="381">
        <v>0</v>
      </c>
      <c r="L424" s="381">
        <v>0</v>
      </c>
      <c r="M424" s="381">
        <v>0</v>
      </c>
      <c r="N424" s="381">
        <v>0</v>
      </c>
      <c r="O424" s="381">
        <v>0</v>
      </c>
      <c r="P424" s="381">
        <v>0</v>
      </c>
      <c r="Q424" s="381">
        <v>0</v>
      </c>
      <c r="R424" s="381">
        <v>0</v>
      </c>
      <c r="S424" s="381">
        <v>0</v>
      </c>
      <c r="T424" s="381">
        <v>0</v>
      </c>
      <c r="U424" s="381">
        <v>0</v>
      </c>
      <c r="V424" s="381">
        <v>0</v>
      </c>
      <c r="W424" s="381">
        <v>0</v>
      </c>
      <c r="X424" s="381">
        <v>0</v>
      </c>
      <c r="Y424" s="381">
        <v>0</v>
      </c>
      <c r="Z424" s="381">
        <v>0</v>
      </c>
      <c r="AA424" s="381">
        <v>0</v>
      </c>
      <c r="AB424" s="381">
        <v>0</v>
      </c>
      <c r="AC424" s="381">
        <v>0</v>
      </c>
      <c r="AD424" s="381">
        <v>0</v>
      </c>
      <c r="AE424" s="381">
        <v>0</v>
      </c>
      <c r="AF424" s="381">
        <v>0</v>
      </c>
      <c r="AG424" s="381">
        <v>0</v>
      </c>
      <c r="AH424" s="381">
        <v>0</v>
      </c>
      <c r="AI424" s="381">
        <v>0</v>
      </c>
      <c r="AJ424" s="381">
        <v>0</v>
      </c>
      <c r="AK424" s="381">
        <v>0</v>
      </c>
      <c r="AL424" s="381">
        <v>0</v>
      </c>
      <c r="AM424" s="381">
        <v>0</v>
      </c>
      <c r="AN424" s="381">
        <v>0</v>
      </c>
    </row>
    <row r="425" spans="1:40">
      <c r="A425" s="30" t="s">
        <v>48</v>
      </c>
      <c r="B425" t="s">
        <v>453</v>
      </c>
      <c r="C425" t="s">
        <v>394</v>
      </c>
      <c r="D425" t="str">
        <f t="shared" si="52"/>
        <v>Able to pay - Stamp duty energy efficiency scalingLondon only levers</v>
      </c>
      <c r="E425" s="381">
        <v>0</v>
      </c>
      <c r="F425" s="381">
        <v>0</v>
      </c>
      <c r="G425" s="381">
        <v>0</v>
      </c>
      <c r="H425" s="381">
        <v>0</v>
      </c>
      <c r="I425" s="381">
        <v>0</v>
      </c>
      <c r="J425" s="381">
        <v>0</v>
      </c>
      <c r="K425" s="381">
        <v>0</v>
      </c>
      <c r="L425" s="381">
        <v>0</v>
      </c>
      <c r="M425" s="381">
        <v>0</v>
      </c>
      <c r="N425" s="381">
        <v>0</v>
      </c>
      <c r="O425" s="381">
        <v>0</v>
      </c>
      <c r="P425" s="381">
        <v>0</v>
      </c>
      <c r="Q425" s="381">
        <v>0</v>
      </c>
      <c r="R425" s="381">
        <v>0</v>
      </c>
      <c r="S425" s="381">
        <v>0</v>
      </c>
      <c r="T425" s="381">
        <v>0</v>
      </c>
      <c r="U425" s="381">
        <v>0</v>
      </c>
      <c r="V425" s="381">
        <v>0</v>
      </c>
      <c r="W425" s="381">
        <v>0</v>
      </c>
      <c r="X425" s="381">
        <v>0</v>
      </c>
      <c r="Y425" s="381">
        <v>0</v>
      </c>
      <c r="Z425" s="381">
        <v>0</v>
      </c>
      <c r="AA425" s="381">
        <v>0</v>
      </c>
      <c r="AB425" s="381">
        <v>0</v>
      </c>
      <c r="AC425" s="381">
        <v>0</v>
      </c>
      <c r="AD425" s="381">
        <v>0</v>
      </c>
      <c r="AE425" s="381">
        <v>0</v>
      </c>
      <c r="AF425" s="381">
        <v>0</v>
      </c>
      <c r="AG425" s="381">
        <v>0</v>
      </c>
      <c r="AH425" s="381">
        <v>0</v>
      </c>
      <c r="AI425" s="381">
        <v>0</v>
      </c>
      <c r="AJ425" s="381">
        <v>0</v>
      </c>
      <c r="AK425" s="381">
        <v>0</v>
      </c>
      <c r="AL425" s="381">
        <v>0</v>
      </c>
      <c r="AM425" s="381">
        <v>0</v>
      </c>
      <c r="AN425" s="381">
        <v>0</v>
      </c>
    </row>
    <row r="426" spans="1:40">
      <c r="A426" s="30" t="s">
        <v>48</v>
      </c>
      <c r="B426" t="s">
        <v>453</v>
      </c>
      <c r="C426" t="s">
        <v>395</v>
      </c>
      <c r="D426" t="str">
        <f t="shared" si="52"/>
        <v>Able to pay - Extended Energy LeapLondon only levers</v>
      </c>
      <c r="E426" s="80">
        <v>0</v>
      </c>
      <c r="F426" s="106">
        <v>0</v>
      </c>
      <c r="G426" s="106">
        <v>0</v>
      </c>
      <c r="H426" s="106">
        <v>0</v>
      </c>
      <c r="I426" s="106">
        <v>0</v>
      </c>
      <c r="J426" s="106">
        <v>0</v>
      </c>
      <c r="K426" s="106">
        <v>0</v>
      </c>
      <c r="L426" s="106">
        <v>0</v>
      </c>
      <c r="M426" s="106">
        <v>0</v>
      </c>
      <c r="N426" s="106">
        <v>0</v>
      </c>
      <c r="O426" s="80">
        <v>1687.2524179462703</v>
      </c>
      <c r="P426" s="106">
        <v>3374.5048358925405</v>
      </c>
      <c r="Q426" s="106">
        <v>5061.7572538388113</v>
      </c>
      <c r="R426" s="106">
        <v>6749.0096717850811</v>
      </c>
      <c r="S426" s="106">
        <v>8436.26208973135</v>
      </c>
      <c r="T426" s="106">
        <v>10123.514507677623</v>
      </c>
      <c r="U426" s="106">
        <v>11810.766925623891</v>
      </c>
      <c r="V426" s="106">
        <v>13498.019343570162</v>
      </c>
      <c r="W426" s="106">
        <v>15185.271761516433</v>
      </c>
      <c r="X426" s="106">
        <v>16872.5241794627</v>
      </c>
      <c r="Y426" s="106">
        <v>16872.5241794627</v>
      </c>
      <c r="Z426" s="106">
        <v>16872.5241794627</v>
      </c>
      <c r="AA426" s="106">
        <v>16872.5241794627</v>
      </c>
      <c r="AB426" s="106">
        <v>0</v>
      </c>
      <c r="AC426" s="106">
        <v>0</v>
      </c>
      <c r="AD426" s="106">
        <v>0</v>
      </c>
      <c r="AE426" s="106">
        <v>0</v>
      </c>
      <c r="AF426" s="106">
        <v>0</v>
      </c>
      <c r="AG426" s="106">
        <v>0</v>
      </c>
      <c r="AH426" s="106">
        <v>0</v>
      </c>
      <c r="AI426" s="106">
        <v>0</v>
      </c>
      <c r="AJ426" s="106">
        <v>0</v>
      </c>
      <c r="AK426" s="106">
        <v>0</v>
      </c>
      <c r="AL426" s="106">
        <v>0</v>
      </c>
      <c r="AM426" s="106">
        <v>0</v>
      </c>
      <c r="AN426" s="80">
        <v>0</v>
      </c>
    </row>
    <row r="427" spans="1:40">
      <c r="A427" s="30" t="s">
        <v>48</v>
      </c>
      <c r="B427" t="s">
        <v>453</v>
      </c>
      <c r="C427" t="s">
        <v>396</v>
      </c>
      <c r="D427" t="str">
        <f t="shared" si="52"/>
        <v>Able to pay - All buildings MEES - EPC CLondon only levers</v>
      </c>
      <c r="E427" s="80">
        <v>0</v>
      </c>
      <c r="F427" s="106">
        <v>0</v>
      </c>
      <c r="G427" s="106">
        <v>0</v>
      </c>
      <c r="H427" s="106">
        <v>0</v>
      </c>
      <c r="I427" s="106">
        <v>0</v>
      </c>
      <c r="J427" s="106">
        <v>0</v>
      </c>
      <c r="K427" s="106">
        <v>0</v>
      </c>
      <c r="L427" s="106">
        <v>0</v>
      </c>
      <c r="M427" s="106">
        <v>0</v>
      </c>
      <c r="N427" s="106">
        <v>0</v>
      </c>
      <c r="O427" s="80">
        <v>0</v>
      </c>
      <c r="P427" s="106">
        <v>0</v>
      </c>
      <c r="Q427" s="106">
        <v>0</v>
      </c>
      <c r="R427" s="106">
        <v>0</v>
      </c>
      <c r="S427" s="106">
        <v>0</v>
      </c>
      <c r="T427" s="106">
        <v>0</v>
      </c>
      <c r="U427" s="106">
        <v>0</v>
      </c>
      <c r="V427" s="106">
        <v>0</v>
      </c>
      <c r="W427" s="106">
        <v>0</v>
      </c>
      <c r="X427" s="106">
        <v>0</v>
      </c>
      <c r="Y427" s="106">
        <v>0</v>
      </c>
      <c r="Z427" s="106">
        <v>0</v>
      </c>
      <c r="AA427" s="106">
        <v>0</v>
      </c>
      <c r="AB427" s="106">
        <v>0</v>
      </c>
      <c r="AC427" s="106">
        <v>0</v>
      </c>
      <c r="AD427" s="106">
        <v>0</v>
      </c>
      <c r="AE427" s="106">
        <v>0</v>
      </c>
      <c r="AF427" s="106">
        <v>0</v>
      </c>
      <c r="AG427" s="106">
        <v>0</v>
      </c>
      <c r="AH427" s="106">
        <v>0</v>
      </c>
      <c r="AI427" s="106">
        <v>0</v>
      </c>
      <c r="AJ427" s="106">
        <v>0</v>
      </c>
      <c r="AK427" s="106">
        <v>0</v>
      </c>
      <c r="AL427" s="106">
        <v>0</v>
      </c>
      <c r="AM427" s="106">
        <v>0</v>
      </c>
      <c r="AN427" s="80">
        <v>0</v>
      </c>
    </row>
    <row r="428" spans="1:40">
      <c r="A428" s="30" t="s">
        <v>48</v>
      </c>
      <c r="B428" t="s">
        <v>453</v>
      </c>
      <c r="C428" t="s">
        <v>398</v>
      </c>
      <c r="D428" t="str">
        <f t="shared" si="52"/>
        <v>Existing - Domestic ALL - Mandate on lighting efficiencyLondon only levers</v>
      </c>
      <c r="E428" s="80">
        <v>0</v>
      </c>
      <c r="F428" s="106">
        <v>0</v>
      </c>
      <c r="G428" s="106">
        <v>0</v>
      </c>
      <c r="H428" s="106">
        <v>0</v>
      </c>
      <c r="I428" s="106">
        <v>0</v>
      </c>
      <c r="J428" s="106">
        <v>0</v>
      </c>
      <c r="K428" s="106">
        <v>0</v>
      </c>
      <c r="L428" s="106">
        <v>0</v>
      </c>
      <c r="M428" s="106">
        <v>0</v>
      </c>
      <c r="N428" s="106">
        <v>0</v>
      </c>
      <c r="O428" s="80">
        <v>0</v>
      </c>
      <c r="P428" s="106">
        <v>0</v>
      </c>
      <c r="Q428" s="106">
        <v>0</v>
      </c>
      <c r="R428" s="106">
        <v>0</v>
      </c>
      <c r="S428" s="106">
        <v>0</v>
      </c>
      <c r="T428" s="106">
        <v>0</v>
      </c>
      <c r="U428" s="106">
        <v>0</v>
      </c>
      <c r="V428" s="106">
        <v>0</v>
      </c>
      <c r="W428" s="106">
        <v>0</v>
      </c>
      <c r="X428" s="106">
        <v>0</v>
      </c>
      <c r="Y428" s="106">
        <v>0</v>
      </c>
      <c r="Z428" s="106">
        <v>0</v>
      </c>
      <c r="AA428" s="106">
        <v>0</v>
      </c>
      <c r="AB428" s="106">
        <v>0</v>
      </c>
      <c r="AC428" s="106">
        <v>0</v>
      </c>
      <c r="AD428" s="106">
        <v>0</v>
      </c>
      <c r="AE428" s="106">
        <v>0</v>
      </c>
      <c r="AF428" s="106">
        <v>0</v>
      </c>
      <c r="AG428" s="106">
        <v>0</v>
      </c>
      <c r="AH428" s="106">
        <v>0</v>
      </c>
      <c r="AI428" s="106">
        <v>0</v>
      </c>
      <c r="AJ428" s="106">
        <v>0</v>
      </c>
      <c r="AK428" s="106">
        <v>0</v>
      </c>
      <c r="AL428" s="106">
        <v>0</v>
      </c>
      <c r="AM428" s="106">
        <v>0</v>
      </c>
      <c r="AN428" s="80">
        <v>0</v>
      </c>
    </row>
    <row r="429" spans="1:40">
      <c r="A429" s="30" t="s">
        <v>48</v>
      </c>
      <c r="B429" t="s">
        <v>453</v>
      </c>
      <c r="C429" t="s">
        <v>399</v>
      </c>
      <c r="D429" t="str">
        <f t="shared" si="52"/>
        <v>Existing - Domestic ALL - Mandate on appliance efficiencyLondon only levers</v>
      </c>
      <c r="E429" s="381">
        <v>0</v>
      </c>
      <c r="F429" s="381">
        <v>0</v>
      </c>
      <c r="G429" s="381">
        <v>0</v>
      </c>
      <c r="H429" s="381">
        <v>0</v>
      </c>
      <c r="I429" s="381">
        <v>0</v>
      </c>
      <c r="J429" s="381">
        <v>0</v>
      </c>
      <c r="K429" s="381">
        <v>0</v>
      </c>
      <c r="L429" s="381">
        <v>0</v>
      </c>
      <c r="M429" s="381">
        <v>0</v>
      </c>
      <c r="N429" s="381">
        <v>0</v>
      </c>
      <c r="O429" s="381">
        <v>0</v>
      </c>
      <c r="P429" s="381">
        <v>0</v>
      </c>
      <c r="Q429" s="381">
        <v>0</v>
      </c>
      <c r="R429" s="381">
        <v>0</v>
      </c>
      <c r="S429" s="381">
        <v>0</v>
      </c>
      <c r="T429" s="381">
        <v>0</v>
      </c>
      <c r="U429" s="381">
        <v>0</v>
      </c>
      <c r="V429" s="381">
        <v>0</v>
      </c>
      <c r="W429" s="381">
        <v>0</v>
      </c>
      <c r="X429" s="381">
        <v>0</v>
      </c>
      <c r="Y429" s="381">
        <v>0</v>
      </c>
      <c r="Z429" s="381">
        <v>0</v>
      </c>
      <c r="AA429" s="381">
        <v>0</v>
      </c>
      <c r="AB429" s="381">
        <v>0</v>
      </c>
      <c r="AC429" s="381">
        <v>0</v>
      </c>
      <c r="AD429" s="381">
        <v>0</v>
      </c>
      <c r="AE429" s="381">
        <v>0</v>
      </c>
      <c r="AF429" s="381">
        <v>0</v>
      </c>
      <c r="AG429" s="381">
        <v>0</v>
      </c>
      <c r="AH429" s="381">
        <v>0</v>
      </c>
      <c r="AI429" s="381">
        <v>0</v>
      </c>
      <c r="AJ429" s="381">
        <v>0</v>
      </c>
      <c r="AK429" s="381">
        <v>0</v>
      </c>
      <c r="AL429" s="381">
        <v>0</v>
      </c>
      <c r="AM429" s="381">
        <v>0</v>
      </c>
      <c r="AN429" s="381">
        <v>0</v>
      </c>
    </row>
    <row r="430" spans="1:40">
      <c r="A430" s="30" t="s">
        <v>48</v>
      </c>
      <c r="B430" t="s">
        <v>453</v>
      </c>
      <c r="C430" t="s">
        <v>400</v>
      </c>
      <c r="D430" t="str">
        <f t="shared" si="52"/>
        <v>New - Domestic ALL - Mandate on lighting efficiencyLondon only levers</v>
      </c>
      <c r="E430" s="381">
        <v>0</v>
      </c>
      <c r="F430" s="381">
        <v>71977.11975266278</v>
      </c>
      <c r="G430" s="381">
        <v>71977.11975266278</v>
      </c>
      <c r="H430" s="381">
        <v>71977.11975266278</v>
      </c>
      <c r="I430" s="381">
        <v>71977.11975266278</v>
      </c>
      <c r="J430" s="381">
        <v>71977.119752662577</v>
      </c>
      <c r="K430" s="381">
        <v>60915.858763309036</v>
      </c>
      <c r="L430" s="381">
        <v>60915.858763309036</v>
      </c>
      <c r="M430" s="381">
        <v>60915.858763309036</v>
      </c>
      <c r="N430" s="381">
        <v>60915.858763309036</v>
      </c>
      <c r="O430" s="381">
        <v>60915.858763309545</v>
      </c>
      <c r="P430" s="381">
        <v>49314.627010641634</v>
      </c>
      <c r="Q430" s="381">
        <v>49314.627010641634</v>
      </c>
      <c r="R430" s="381">
        <v>49314.627010641634</v>
      </c>
      <c r="S430" s="381">
        <v>49314.627010641634</v>
      </c>
      <c r="T430" s="381">
        <v>49314.62701064159</v>
      </c>
      <c r="U430" s="381">
        <v>22733.44457142887</v>
      </c>
      <c r="V430" s="381">
        <v>22733.444571428765</v>
      </c>
      <c r="W430" s="381">
        <v>22733.444571428765</v>
      </c>
      <c r="X430" s="381">
        <v>22733.444571428765</v>
      </c>
      <c r="Y430" s="381">
        <v>22733.444571428765</v>
      </c>
      <c r="Z430" s="381">
        <v>22733.444571428765</v>
      </c>
      <c r="AA430" s="381">
        <v>22733.444571428765</v>
      </c>
      <c r="AB430" s="381">
        <v>22733.444571428765</v>
      </c>
      <c r="AC430" s="381">
        <v>22733.444571428765</v>
      </c>
      <c r="AD430" s="381">
        <v>22733.444571430729</v>
      </c>
      <c r="AE430" s="381">
        <v>22733.444571429187</v>
      </c>
      <c r="AF430" s="381">
        <v>22733.444571429391</v>
      </c>
      <c r="AG430" s="381">
        <v>22733.444571429391</v>
      </c>
      <c r="AH430" s="381">
        <v>22733.444571429391</v>
      </c>
      <c r="AI430" s="381">
        <v>22733.444571429391</v>
      </c>
      <c r="AJ430" s="381">
        <v>22733.444571429391</v>
      </c>
      <c r="AK430" s="381">
        <v>22733.444571429391</v>
      </c>
      <c r="AL430" s="381">
        <v>22733.444571429391</v>
      </c>
      <c r="AM430" s="381">
        <v>22733.444571429391</v>
      </c>
      <c r="AN430" s="381">
        <v>22733.444571427295</v>
      </c>
    </row>
    <row r="431" spans="1:40">
      <c r="A431" s="30" t="s">
        <v>48</v>
      </c>
      <c r="B431" t="s">
        <v>453</v>
      </c>
      <c r="C431" t="s">
        <v>401</v>
      </c>
      <c r="D431" t="str">
        <f t="shared" si="52"/>
        <v>New - Domestic ALL - Mandate on appliance efficiencyLondon only levers</v>
      </c>
      <c r="E431" s="381">
        <v>0</v>
      </c>
      <c r="F431" s="381">
        <v>71977.11975266278</v>
      </c>
      <c r="G431" s="381">
        <v>71977.11975266278</v>
      </c>
      <c r="H431" s="381">
        <v>71977.11975266278</v>
      </c>
      <c r="I431" s="381">
        <v>71977.11975266278</v>
      </c>
      <c r="J431" s="381">
        <v>71977.119752662577</v>
      </c>
      <c r="K431" s="381">
        <v>60915.858763309036</v>
      </c>
      <c r="L431" s="381">
        <v>60915.858763309036</v>
      </c>
      <c r="M431" s="381">
        <v>60915.858763309036</v>
      </c>
      <c r="N431" s="381">
        <v>60915.858763309036</v>
      </c>
      <c r="O431" s="381">
        <v>60915.858763309545</v>
      </c>
      <c r="P431" s="381">
        <v>49314.627010641634</v>
      </c>
      <c r="Q431" s="381">
        <v>49314.627010641634</v>
      </c>
      <c r="R431" s="381">
        <v>49314.627010641634</v>
      </c>
      <c r="S431" s="381">
        <v>49314.627010641634</v>
      </c>
      <c r="T431" s="381">
        <v>49314.62701064159</v>
      </c>
      <c r="U431" s="381">
        <v>22733.44457142887</v>
      </c>
      <c r="V431" s="381">
        <v>22733.444571428765</v>
      </c>
      <c r="W431" s="381">
        <v>22733.444571428765</v>
      </c>
      <c r="X431" s="381">
        <v>22733.444571428765</v>
      </c>
      <c r="Y431" s="381">
        <v>22733.444571428765</v>
      </c>
      <c r="Z431" s="381">
        <v>22733.444571428765</v>
      </c>
      <c r="AA431" s="381">
        <v>22733.444571428765</v>
      </c>
      <c r="AB431" s="381">
        <v>22733.444571428765</v>
      </c>
      <c r="AC431" s="381">
        <v>22733.444571428765</v>
      </c>
      <c r="AD431" s="381">
        <v>22733.444571430729</v>
      </c>
      <c r="AE431" s="381">
        <v>22733.444571429187</v>
      </c>
      <c r="AF431" s="381">
        <v>22733.444571429391</v>
      </c>
      <c r="AG431" s="381">
        <v>22733.444571429391</v>
      </c>
      <c r="AH431" s="381">
        <v>22733.444571429391</v>
      </c>
      <c r="AI431" s="381">
        <v>22733.444571429391</v>
      </c>
      <c r="AJ431" s="381">
        <v>22733.444571429391</v>
      </c>
      <c r="AK431" s="381">
        <v>22733.444571429391</v>
      </c>
      <c r="AL431" s="381">
        <v>22733.444571429391</v>
      </c>
      <c r="AM431" s="381">
        <v>22733.444571429391</v>
      </c>
      <c r="AN431" s="381">
        <v>22733.444571427295</v>
      </c>
    </row>
    <row r="432" spans="1:40">
      <c r="A432" s="30" t="s">
        <v>48</v>
      </c>
      <c r="B432" t="s">
        <v>453</v>
      </c>
      <c r="C432" t="s">
        <v>402</v>
      </c>
      <c r="D432" t="str">
        <f t="shared" si="52"/>
        <v>New - Domestic ALL - Stronger planning requirement for smart controls  London only levers</v>
      </c>
      <c r="E432" s="381">
        <v>0</v>
      </c>
      <c r="F432" s="381">
        <v>33739.27488406068</v>
      </c>
      <c r="G432" s="381">
        <v>33739.27488406068</v>
      </c>
      <c r="H432" s="381">
        <v>33739.27488406068</v>
      </c>
      <c r="I432" s="381">
        <v>33739.27488406068</v>
      </c>
      <c r="J432" s="381">
        <v>33739.274884060578</v>
      </c>
      <c r="K432" s="381">
        <v>28554.308795301105</v>
      </c>
      <c r="L432" s="381">
        <v>28554.308795301105</v>
      </c>
      <c r="M432" s="381">
        <v>28554.308795301105</v>
      </c>
      <c r="N432" s="381">
        <v>28554.308795301105</v>
      </c>
      <c r="O432" s="381">
        <v>28554.308795301349</v>
      </c>
      <c r="P432" s="381">
        <v>23116.23141123827</v>
      </c>
      <c r="Q432" s="381">
        <v>23116.23141123827</v>
      </c>
      <c r="R432" s="381">
        <v>23116.23141123827</v>
      </c>
      <c r="S432" s="381">
        <v>23116.23141123827</v>
      </c>
      <c r="T432" s="381">
        <v>23116.231411238245</v>
      </c>
      <c r="U432" s="381">
        <v>10656.302142857283</v>
      </c>
      <c r="V432" s="381">
        <v>10656.302142857232</v>
      </c>
      <c r="W432" s="381">
        <v>10656.302142857232</v>
      </c>
      <c r="X432" s="381">
        <v>10656.302142857232</v>
      </c>
      <c r="Y432" s="381">
        <v>10656.302142857232</v>
      </c>
      <c r="Z432" s="381">
        <v>10656.302142857232</v>
      </c>
      <c r="AA432" s="381">
        <v>10656.302142857232</v>
      </c>
      <c r="AB432" s="381">
        <v>10656.302142857232</v>
      </c>
      <c r="AC432" s="381">
        <v>10656.302142857232</v>
      </c>
      <c r="AD432" s="381">
        <v>10656.302142858154</v>
      </c>
      <c r="AE432" s="381">
        <v>10656.302142857428</v>
      </c>
      <c r="AF432" s="381">
        <v>10656.302142857527</v>
      </c>
      <c r="AG432" s="381">
        <v>10656.302142857527</v>
      </c>
      <c r="AH432" s="381">
        <v>10656.302142857527</v>
      </c>
      <c r="AI432" s="381">
        <v>10656.302142857527</v>
      </c>
      <c r="AJ432" s="381">
        <v>10656.302142857527</v>
      </c>
      <c r="AK432" s="381">
        <v>10656.302142857527</v>
      </c>
      <c r="AL432" s="381">
        <v>10656.302142857527</v>
      </c>
      <c r="AM432" s="381">
        <v>10656.302142857527</v>
      </c>
      <c r="AN432" s="381">
        <v>10656.302142856544</v>
      </c>
    </row>
    <row r="433" spans="1:40">
      <c r="A433" s="30" t="s">
        <v>48</v>
      </c>
      <c r="B433" t="s">
        <v>453</v>
      </c>
      <c r="C433" t="s">
        <v>406</v>
      </c>
      <c r="D433" t="str">
        <f t="shared" si="52"/>
        <v>SME - Energy efficiency programmeLondon only levers</v>
      </c>
      <c r="E433" s="381">
        <v>0</v>
      </c>
      <c r="F433" s="381">
        <v>0</v>
      </c>
      <c r="G433" s="381">
        <v>0</v>
      </c>
      <c r="H433" s="381">
        <v>0</v>
      </c>
      <c r="I433" s="381">
        <v>0</v>
      </c>
      <c r="J433" s="381">
        <v>0</v>
      </c>
      <c r="K433" s="381">
        <v>248.53609702764493</v>
      </c>
      <c r="L433" s="381">
        <v>497.07219405528986</v>
      </c>
      <c r="M433" s="381">
        <v>745.60829108293478</v>
      </c>
      <c r="N433" s="381">
        <v>745.60829108293478</v>
      </c>
      <c r="O433" s="381">
        <v>745.60829108293478</v>
      </c>
      <c r="P433" s="381">
        <v>745.60829108293478</v>
      </c>
      <c r="Q433" s="381">
        <v>745.60829108293478</v>
      </c>
      <c r="R433" s="381">
        <v>745.60829108293478</v>
      </c>
      <c r="S433" s="381">
        <v>711.71700512461962</v>
      </c>
      <c r="T433" s="381">
        <v>677.82571916630445</v>
      </c>
      <c r="U433" s="381">
        <v>643.93443320798917</v>
      </c>
      <c r="V433" s="381">
        <v>610.04314724967389</v>
      </c>
      <c r="W433" s="381">
        <v>576.15186129135873</v>
      </c>
      <c r="X433" s="381">
        <v>542.26057533304345</v>
      </c>
      <c r="Y433" s="381">
        <v>508.36928937472828</v>
      </c>
      <c r="Z433" s="381">
        <v>474.47800341641312</v>
      </c>
      <c r="AA433" s="381">
        <v>440.58671745809784</v>
      </c>
      <c r="AB433" s="381">
        <v>406.69543149978267</v>
      </c>
      <c r="AC433" s="381">
        <v>372.80414554146739</v>
      </c>
      <c r="AD433" s="381">
        <v>338.91285958315217</v>
      </c>
      <c r="AE433" s="381">
        <v>305.02157362483695</v>
      </c>
      <c r="AF433" s="381">
        <v>271.13028766652178</v>
      </c>
      <c r="AG433" s="381">
        <v>237.23900170820656</v>
      </c>
      <c r="AH433" s="381">
        <v>203.34771574989131</v>
      </c>
      <c r="AI433" s="381">
        <v>169.45642979157606</v>
      </c>
      <c r="AJ433" s="381">
        <v>135.56514383326089</v>
      </c>
      <c r="AK433" s="381">
        <v>101.67385787494561</v>
      </c>
      <c r="AL433" s="381">
        <v>67.782571916630445</v>
      </c>
      <c r="AM433" s="381">
        <v>33.891285958315166</v>
      </c>
      <c r="AN433" s="381">
        <v>0</v>
      </c>
    </row>
    <row r="434" spans="1:40">
      <c r="A434" s="30" t="s">
        <v>48</v>
      </c>
      <c r="B434" t="s">
        <v>453</v>
      </c>
      <c r="C434" t="s">
        <v>407</v>
      </c>
      <c r="D434" t="str">
        <f t="shared" si="52"/>
        <v>SME - Landlord MEES – EPC CLondon only levers</v>
      </c>
      <c r="E434" s="381">
        <v>0</v>
      </c>
      <c r="F434" s="381">
        <v>0</v>
      </c>
      <c r="G434" s="381">
        <v>0</v>
      </c>
      <c r="H434" s="381">
        <v>0</v>
      </c>
      <c r="I434" s="381">
        <v>0</v>
      </c>
      <c r="J434" s="381">
        <v>0</v>
      </c>
      <c r="K434" s="381">
        <v>0</v>
      </c>
      <c r="L434" s="381">
        <v>0</v>
      </c>
      <c r="M434" s="381">
        <v>0</v>
      </c>
      <c r="N434" s="381">
        <v>0</v>
      </c>
      <c r="O434" s="381">
        <v>0</v>
      </c>
      <c r="P434" s="381">
        <v>0</v>
      </c>
      <c r="Q434" s="381">
        <v>0</v>
      </c>
      <c r="R434" s="381">
        <v>0</v>
      </c>
      <c r="S434" s="381">
        <v>0</v>
      </c>
      <c r="T434" s="381">
        <v>0</v>
      </c>
      <c r="U434" s="381">
        <v>0</v>
      </c>
      <c r="V434" s="381">
        <v>0</v>
      </c>
      <c r="W434" s="381">
        <v>0</v>
      </c>
      <c r="X434" s="381">
        <v>0</v>
      </c>
      <c r="Y434" s="381">
        <v>0</v>
      </c>
      <c r="Z434" s="381">
        <v>0</v>
      </c>
      <c r="AA434" s="381">
        <v>0</v>
      </c>
      <c r="AB434" s="381">
        <v>0</v>
      </c>
      <c r="AC434" s="381">
        <v>0</v>
      </c>
      <c r="AD434" s="381">
        <v>0</v>
      </c>
      <c r="AE434" s="381">
        <v>0</v>
      </c>
      <c r="AF434" s="381">
        <v>0</v>
      </c>
      <c r="AG434" s="381">
        <v>0</v>
      </c>
      <c r="AH434" s="381">
        <v>0</v>
      </c>
      <c r="AI434" s="381">
        <v>0</v>
      </c>
      <c r="AJ434" s="381">
        <v>0</v>
      </c>
      <c r="AK434" s="381">
        <v>0</v>
      </c>
      <c r="AL434" s="381">
        <v>0</v>
      </c>
      <c r="AM434" s="381">
        <v>0</v>
      </c>
      <c r="AN434" s="381">
        <v>0</v>
      </c>
    </row>
    <row r="435" spans="1:40">
      <c r="A435" s="30" t="s">
        <v>48</v>
      </c>
      <c r="B435" t="s">
        <v>453</v>
      </c>
      <c r="C435" t="s">
        <v>408</v>
      </c>
      <c r="D435" t="str">
        <f t="shared" si="52"/>
        <v>SME - Energy performance tax grading – business ratesLondon only levers</v>
      </c>
      <c r="E435" s="80">
        <v>0</v>
      </c>
      <c r="F435" s="106">
        <v>0</v>
      </c>
      <c r="G435" s="106">
        <v>0</v>
      </c>
      <c r="H435" s="106">
        <v>0</v>
      </c>
      <c r="I435" s="106">
        <v>0</v>
      </c>
      <c r="J435" s="106">
        <v>0</v>
      </c>
      <c r="K435" s="106">
        <v>0</v>
      </c>
      <c r="L435" s="106">
        <v>0</v>
      </c>
      <c r="M435" s="106">
        <v>0</v>
      </c>
      <c r="N435" s="106">
        <v>0</v>
      </c>
      <c r="O435" s="80">
        <v>0</v>
      </c>
      <c r="P435" s="106">
        <v>0</v>
      </c>
      <c r="Q435" s="106">
        <v>0</v>
      </c>
      <c r="R435" s="106">
        <v>0</v>
      </c>
      <c r="S435" s="106">
        <v>0</v>
      </c>
      <c r="T435" s="106">
        <v>0</v>
      </c>
      <c r="U435" s="106">
        <v>0</v>
      </c>
      <c r="V435" s="106">
        <v>0</v>
      </c>
      <c r="W435" s="106">
        <v>0</v>
      </c>
      <c r="X435" s="106">
        <v>0</v>
      </c>
      <c r="Y435" s="106">
        <v>0</v>
      </c>
      <c r="Z435" s="106">
        <v>0</v>
      </c>
      <c r="AA435" s="106">
        <v>0</v>
      </c>
      <c r="AB435" s="106">
        <v>0</v>
      </c>
      <c r="AC435" s="106">
        <v>0</v>
      </c>
      <c r="AD435" s="106">
        <v>0</v>
      </c>
      <c r="AE435" s="106">
        <v>0</v>
      </c>
      <c r="AF435" s="106">
        <v>0</v>
      </c>
      <c r="AG435" s="106">
        <v>0</v>
      </c>
      <c r="AH435" s="106">
        <v>0</v>
      </c>
      <c r="AI435" s="106">
        <v>0</v>
      </c>
      <c r="AJ435" s="106">
        <v>0</v>
      </c>
      <c r="AK435" s="106">
        <v>0</v>
      </c>
      <c r="AL435" s="106">
        <v>0</v>
      </c>
      <c r="AM435" s="106">
        <v>0</v>
      </c>
      <c r="AN435" s="80">
        <v>0</v>
      </c>
    </row>
    <row r="436" spans="1:40">
      <c r="A436" s="30" t="s">
        <v>48</v>
      </c>
      <c r="B436" t="s">
        <v>453</v>
      </c>
      <c r="C436" t="s">
        <v>409</v>
      </c>
      <c r="D436" t="str">
        <f t="shared" si="52"/>
        <v>SME - All buildings MEES – EPC CLondon only levers</v>
      </c>
      <c r="E436" s="80">
        <v>0</v>
      </c>
      <c r="F436" s="106">
        <v>0</v>
      </c>
      <c r="G436" s="106">
        <v>0</v>
      </c>
      <c r="H436" s="106">
        <v>0</v>
      </c>
      <c r="I436" s="106">
        <v>0</v>
      </c>
      <c r="J436" s="106">
        <v>0</v>
      </c>
      <c r="K436" s="106">
        <v>0</v>
      </c>
      <c r="L436" s="106">
        <v>0</v>
      </c>
      <c r="M436" s="106">
        <v>0</v>
      </c>
      <c r="N436" s="106">
        <v>0</v>
      </c>
      <c r="O436" s="80">
        <v>0</v>
      </c>
      <c r="P436" s="106">
        <v>0</v>
      </c>
      <c r="Q436" s="106">
        <v>0</v>
      </c>
      <c r="R436" s="106">
        <v>0</v>
      </c>
      <c r="S436" s="106">
        <v>0</v>
      </c>
      <c r="T436" s="106">
        <v>0</v>
      </c>
      <c r="U436" s="106">
        <v>0</v>
      </c>
      <c r="V436" s="106">
        <v>0</v>
      </c>
      <c r="W436" s="106">
        <v>0</v>
      </c>
      <c r="X436" s="106">
        <v>0</v>
      </c>
      <c r="Y436" s="106">
        <v>0</v>
      </c>
      <c r="Z436" s="106">
        <v>0</v>
      </c>
      <c r="AA436" s="106">
        <v>0</v>
      </c>
      <c r="AB436" s="106">
        <v>0</v>
      </c>
      <c r="AC436" s="106">
        <v>0</v>
      </c>
      <c r="AD436" s="106">
        <v>0</v>
      </c>
      <c r="AE436" s="106">
        <v>0</v>
      </c>
      <c r="AF436" s="106">
        <v>0</v>
      </c>
      <c r="AG436" s="106">
        <v>0</v>
      </c>
      <c r="AH436" s="106">
        <v>0</v>
      </c>
      <c r="AI436" s="106">
        <v>0</v>
      </c>
      <c r="AJ436" s="106">
        <v>0</v>
      </c>
      <c r="AK436" s="106">
        <v>0</v>
      </c>
      <c r="AL436" s="106">
        <v>0</v>
      </c>
      <c r="AM436" s="106">
        <v>0</v>
      </c>
      <c r="AN436" s="80">
        <v>0</v>
      </c>
    </row>
    <row r="437" spans="1:40">
      <c r="A437" s="30" t="s">
        <v>48</v>
      </c>
      <c r="B437" t="s">
        <v>453</v>
      </c>
      <c r="C437" t="s">
        <v>410</v>
      </c>
      <c r="D437" t="str">
        <f t="shared" si="52"/>
        <v>Large Enterprise - Landlord MEES – EPC CLondon only levers</v>
      </c>
      <c r="E437" s="381">
        <v>0</v>
      </c>
      <c r="F437" s="381">
        <v>0</v>
      </c>
      <c r="G437" s="381">
        <v>0</v>
      </c>
      <c r="H437" s="381">
        <v>0</v>
      </c>
      <c r="I437" s="381">
        <v>0</v>
      </c>
      <c r="J437" s="381">
        <v>0</v>
      </c>
      <c r="K437" s="381">
        <v>0</v>
      </c>
      <c r="L437" s="381">
        <v>0</v>
      </c>
      <c r="M437" s="381">
        <v>0</v>
      </c>
      <c r="N437" s="381">
        <v>0</v>
      </c>
      <c r="O437" s="381">
        <v>0</v>
      </c>
      <c r="P437" s="381">
        <v>0</v>
      </c>
      <c r="Q437" s="381">
        <v>0</v>
      </c>
      <c r="R437" s="381">
        <v>0</v>
      </c>
      <c r="S437" s="381">
        <v>0</v>
      </c>
      <c r="T437" s="381">
        <v>0</v>
      </c>
      <c r="U437" s="381">
        <v>0</v>
      </c>
      <c r="V437" s="381">
        <v>0</v>
      </c>
      <c r="W437" s="381">
        <v>0</v>
      </c>
      <c r="X437" s="381">
        <v>0</v>
      </c>
      <c r="Y437" s="381">
        <v>0</v>
      </c>
      <c r="Z437" s="381">
        <v>0</v>
      </c>
      <c r="AA437" s="381">
        <v>0</v>
      </c>
      <c r="AB437" s="381">
        <v>0</v>
      </c>
      <c r="AC437" s="381">
        <v>0</v>
      </c>
      <c r="AD437" s="381">
        <v>0</v>
      </c>
      <c r="AE437" s="381">
        <v>0</v>
      </c>
      <c r="AF437" s="381">
        <v>0</v>
      </c>
      <c r="AG437" s="381">
        <v>0</v>
      </c>
      <c r="AH437" s="381">
        <v>0</v>
      </c>
      <c r="AI437" s="381">
        <v>0</v>
      </c>
      <c r="AJ437" s="381">
        <v>0</v>
      </c>
      <c r="AK437" s="381">
        <v>0</v>
      </c>
      <c r="AL437" s="381">
        <v>0</v>
      </c>
      <c r="AM437" s="381">
        <v>0</v>
      </c>
      <c r="AN437" s="381">
        <v>0</v>
      </c>
    </row>
    <row r="438" spans="1:40">
      <c r="A438" s="30" t="s">
        <v>48</v>
      </c>
      <c r="B438" t="s">
        <v>453</v>
      </c>
      <c r="C438" t="s">
        <v>411</v>
      </c>
      <c r="D438" t="str">
        <f t="shared" si="52"/>
        <v>Large Enterprise - Energy performance tax grading – business ratesLondon only levers</v>
      </c>
      <c r="E438" s="381">
        <v>0</v>
      </c>
      <c r="F438" s="381">
        <v>0</v>
      </c>
      <c r="G438" s="381">
        <v>0</v>
      </c>
      <c r="H438" s="381">
        <v>0</v>
      </c>
      <c r="I438" s="381">
        <v>0</v>
      </c>
      <c r="J438" s="381">
        <v>0</v>
      </c>
      <c r="K438" s="381">
        <v>0</v>
      </c>
      <c r="L438" s="381">
        <v>0</v>
      </c>
      <c r="M438" s="381">
        <v>0</v>
      </c>
      <c r="N438" s="381">
        <v>0</v>
      </c>
      <c r="O438" s="381">
        <v>0</v>
      </c>
      <c r="P438" s="381">
        <v>0</v>
      </c>
      <c r="Q438" s="381">
        <v>0</v>
      </c>
      <c r="R438" s="381">
        <v>0</v>
      </c>
      <c r="S438" s="381">
        <v>0</v>
      </c>
      <c r="T438" s="381">
        <v>0</v>
      </c>
      <c r="U438" s="381">
        <v>0</v>
      </c>
      <c r="V438" s="381">
        <v>0</v>
      </c>
      <c r="W438" s="381">
        <v>0</v>
      </c>
      <c r="X438" s="381">
        <v>0</v>
      </c>
      <c r="Y438" s="381">
        <v>0</v>
      </c>
      <c r="Z438" s="381">
        <v>0</v>
      </c>
      <c r="AA438" s="381">
        <v>0</v>
      </c>
      <c r="AB438" s="381">
        <v>0</v>
      </c>
      <c r="AC438" s="381">
        <v>0</v>
      </c>
      <c r="AD438" s="381">
        <v>0</v>
      </c>
      <c r="AE438" s="381">
        <v>0</v>
      </c>
      <c r="AF438" s="381">
        <v>0</v>
      </c>
      <c r="AG438" s="381">
        <v>0</v>
      </c>
      <c r="AH438" s="381">
        <v>0</v>
      </c>
      <c r="AI438" s="381">
        <v>0</v>
      </c>
      <c r="AJ438" s="381">
        <v>0</v>
      </c>
      <c r="AK438" s="381">
        <v>0</v>
      </c>
      <c r="AL438" s="381">
        <v>0</v>
      </c>
      <c r="AM438" s="381">
        <v>0</v>
      </c>
      <c r="AN438" s="381">
        <v>0</v>
      </c>
    </row>
    <row r="439" spans="1:40">
      <c r="A439" s="30" t="s">
        <v>48</v>
      </c>
      <c r="B439" t="s">
        <v>453</v>
      </c>
      <c r="C439" t="s">
        <v>412</v>
      </c>
      <c r="D439" t="str">
        <f t="shared" si="52"/>
        <v>Large Enterprise - All buildings MEES – EPC CLondon only levers</v>
      </c>
      <c r="E439" s="381">
        <v>0</v>
      </c>
      <c r="F439" s="381">
        <v>0</v>
      </c>
      <c r="G439" s="381">
        <v>0</v>
      </c>
      <c r="H439" s="381">
        <v>0</v>
      </c>
      <c r="I439" s="381">
        <v>0</v>
      </c>
      <c r="J439" s="381">
        <v>0</v>
      </c>
      <c r="K439" s="381">
        <v>0</v>
      </c>
      <c r="L439" s="381">
        <v>0</v>
      </c>
      <c r="M439" s="381">
        <v>0</v>
      </c>
      <c r="N439" s="381">
        <v>0</v>
      </c>
      <c r="O439" s="381">
        <v>0</v>
      </c>
      <c r="P439" s="381">
        <v>0</v>
      </c>
      <c r="Q439" s="381">
        <v>0</v>
      </c>
      <c r="R439" s="381">
        <v>0</v>
      </c>
      <c r="S439" s="381">
        <v>0</v>
      </c>
      <c r="T439" s="381">
        <v>0</v>
      </c>
      <c r="U439" s="381">
        <v>0</v>
      </c>
      <c r="V439" s="381">
        <v>0</v>
      </c>
      <c r="W439" s="381">
        <v>0</v>
      </c>
      <c r="X439" s="381">
        <v>0</v>
      </c>
      <c r="Y439" s="381">
        <v>0</v>
      </c>
      <c r="Z439" s="381">
        <v>0</v>
      </c>
      <c r="AA439" s="381">
        <v>0</v>
      </c>
      <c r="AB439" s="381">
        <v>0</v>
      </c>
      <c r="AC439" s="381">
        <v>0</v>
      </c>
      <c r="AD439" s="381">
        <v>0</v>
      </c>
      <c r="AE439" s="381">
        <v>0</v>
      </c>
      <c r="AF439" s="381">
        <v>0</v>
      </c>
      <c r="AG439" s="381">
        <v>0</v>
      </c>
      <c r="AH439" s="381">
        <v>0</v>
      </c>
      <c r="AI439" s="381">
        <v>0</v>
      </c>
      <c r="AJ439" s="381">
        <v>0</v>
      </c>
      <c r="AK439" s="381">
        <v>0</v>
      </c>
      <c r="AL439" s="381">
        <v>0</v>
      </c>
      <c r="AM439" s="381">
        <v>0</v>
      </c>
      <c r="AN439" s="381">
        <v>0</v>
      </c>
    </row>
    <row r="440" spans="1:40">
      <c r="A440" s="30" t="s">
        <v>48</v>
      </c>
      <c r="B440" t="s">
        <v>453</v>
      </c>
      <c r="C440" t="s">
        <v>413</v>
      </c>
      <c r="D440" t="str">
        <f t="shared" si="52"/>
        <v>Public - Extended RE:FITLondon only levers</v>
      </c>
      <c r="E440" s="381">
        <v>0</v>
      </c>
      <c r="F440" s="381">
        <v>0</v>
      </c>
      <c r="G440" s="381">
        <v>0</v>
      </c>
      <c r="H440" s="381">
        <v>0</v>
      </c>
      <c r="I440" s="381">
        <v>0</v>
      </c>
      <c r="J440" s="381">
        <v>0</v>
      </c>
      <c r="K440" s="381">
        <v>90.917410502986542</v>
      </c>
      <c r="L440" s="381">
        <v>181.83482100597308</v>
      </c>
      <c r="M440" s="381">
        <v>272.75223150895965</v>
      </c>
      <c r="N440" s="381">
        <v>272.75223150895965</v>
      </c>
      <c r="O440" s="381">
        <v>272.75223150895965</v>
      </c>
      <c r="P440" s="381">
        <v>272.75223150895965</v>
      </c>
      <c r="Q440" s="381">
        <v>272.75223150895965</v>
      </c>
      <c r="R440" s="381">
        <v>272.75223150895965</v>
      </c>
      <c r="S440" s="381">
        <v>260.3544028040069</v>
      </c>
      <c r="T440" s="381">
        <v>247.95657409905419</v>
      </c>
      <c r="U440" s="381">
        <v>235.55874539410149</v>
      </c>
      <c r="V440" s="381">
        <v>223.16091668914876</v>
      </c>
      <c r="W440" s="381">
        <v>210.76308798419606</v>
      </c>
      <c r="X440" s="381">
        <v>198.36525927924336</v>
      </c>
      <c r="Y440" s="381">
        <v>185.96743057429066</v>
      </c>
      <c r="Z440" s="381">
        <v>173.56960186933793</v>
      </c>
      <c r="AA440" s="381">
        <v>161.17177316438523</v>
      </c>
      <c r="AB440" s="381">
        <v>148.77394445943253</v>
      </c>
      <c r="AC440" s="381">
        <v>136.37611575447983</v>
      </c>
      <c r="AD440" s="381">
        <v>123.9782870495271</v>
      </c>
      <c r="AE440" s="381">
        <v>111.58045834457438</v>
      </c>
      <c r="AF440" s="381">
        <v>99.18262963962168</v>
      </c>
      <c r="AG440" s="381">
        <v>86.784800934668965</v>
      </c>
      <c r="AH440" s="381">
        <v>74.386972229716264</v>
      </c>
      <c r="AI440" s="381">
        <v>61.989143524763556</v>
      </c>
      <c r="AJ440" s="381">
        <v>49.591314819810847</v>
      </c>
      <c r="AK440" s="381">
        <v>37.193486114858139</v>
      </c>
      <c r="AL440" s="381">
        <v>24.795657409905431</v>
      </c>
      <c r="AM440" s="381">
        <v>12.397828704952708</v>
      </c>
      <c r="AN440" s="381">
        <v>0</v>
      </c>
    </row>
    <row r="441" spans="1:40">
      <c r="A441" s="30" t="s">
        <v>48</v>
      </c>
      <c r="B441" t="s">
        <v>453</v>
      </c>
      <c r="C441" t="s">
        <v>414</v>
      </c>
      <c r="D441" t="str">
        <f t="shared" si="52"/>
        <v>Public - All buildings MEES – EPC CLondon only levers</v>
      </c>
      <c r="E441" s="381">
        <v>0</v>
      </c>
      <c r="F441" s="381">
        <v>0</v>
      </c>
      <c r="G441" s="381">
        <v>0</v>
      </c>
      <c r="H441" s="381">
        <v>0</v>
      </c>
      <c r="I441" s="381">
        <v>0</v>
      </c>
      <c r="J441" s="381">
        <v>0</v>
      </c>
      <c r="K441" s="381">
        <v>0</v>
      </c>
      <c r="L441" s="381">
        <v>0</v>
      </c>
      <c r="M441" s="381">
        <v>0</v>
      </c>
      <c r="N441" s="381">
        <v>0</v>
      </c>
      <c r="O441" s="381">
        <v>0</v>
      </c>
      <c r="P441" s="381">
        <v>0</v>
      </c>
      <c r="Q441" s="381">
        <v>0</v>
      </c>
      <c r="R441" s="381">
        <v>0</v>
      </c>
      <c r="S441" s="381">
        <v>0</v>
      </c>
      <c r="T441" s="381">
        <v>0</v>
      </c>
      <c r="U441" s="381">
        <v>0</v>
      </c>
      <c r="V441" s="381">
        <v>0</v>
      </c>
      <c r="W441" s="381">
        <v>0</v>
      </c>
      <c r="X441" s="381">
        <v>0</v>
      </c>
      <c r="Y441" s="381">
        <v>0</v>
      </c>
      <c r="Z441" s="381">
        <v>0</v>
      </c>
      <c r="AA441" s="381">
        <v>0</v>
      </c>
      <c r="AB441" s="381">
        <v>0</v>
      </c>
      <c r="AC441" s="381">
        <v>0</v>
      </c>
      <c r="AD441" s="381">
        <v>0</v>
      </c>
      <c r="AE441" s="381">
        <v>0</v>
      </c>
      <c r="AF441" s="381">
        <v>0</v>
      </c>
      <c r="AG441" s="381">
        <v>0</v>
      </c>
      <c r="AH441" s="381">
        <v>0</v>
      </c>
      <c r="AI441" s="381">
        <v>0</v>
      </c>
      <c r="AJ441" s="381">
        <v>0</v>
      </c>
      <c r="AK441" s="381">
        <v>0</v>
      </c>
      <c r="AL441" s="381">
        <v>0</v>
      </c>
      <c r="AM441" s="381">
        <v>0</v>
      </c>
      <c r="AN441" s="381">
        <v>0</v>
      </c>
    </row>
    <row r="442" spans="1:40">
      <c r="A442" s="30" t="s">
        <v>48</v>
      </c>
      <c r="B442" t="s">
        <v>453</v>
      </c>
      <c r="C442" t="s">
        <v>454</v>
      </c>
      <c r="D442" t="str">
        <f t="shared" si="52"/>
        <v>Existing - Non-domestic ALL - Mandate on lighting efficiencyLondon only levers</v>
      </c>
      <c r="E442" s="381">
        <v>0</v>
      </c>
      <c r="F442" s="381">
        <v>0</v>
      </c>
      <c r="G442" s="381">
        <v>0</v>
      </c>
      <c r="H442" s="381">
        <v>0</v>
      </c>
      <c r="I442" s="381">
        <v>0</v>
      </c>
      <c r="J442" s="381">
        <v>0</v>
      </c>
      <c r="K442" s="381">
        <v>0</v>
      </c>
      <c r="L442" s="381">
        <v>0</v>
      </c>
      <c r="M442" s="381">
        <v>0</v>
      </c>
      <c r="N442" s="381">
        <v>0</v>
      </c>
      <c r="O442" s="381">
        <v>0</v>
      </c>
      <c r="P442" s="381">
        <v>0</v>
      </c>
      <c r="Q442" s="381">
        <v>0</v>
      </c>
      <c r="R442" s="381">
        <v>0</v>
      </c>
      <c r="S442" s="381">
        <v>0</v>
      </c>
      <c r="T442" s="381">
        <v>0</v>
      </c>
      <c r="U442" s="381">
        <v>0</v>
      </c>
      <c r="V442" s="381">
        <v>0</v>
      </c>
      <c r="W442" s="381">
        <v>0</v>
      </c>
      <c r="X442" s="381">
        <v>0</v>
      </c>
      <c r="Y442" s="381">
        <v>0</v>
      </c>
      <c r="Z442" s="381">
        <v>0</v>
      </c>
      <c r="AA442" s="381">
        <v>0</v>
      </c>
      <c r="AB442" s="381">
        <v>0</v>
      </c>
      <c r="AC442" s="381">
        <v>0</v>
      </c>
      <c r="AD442" s="381">
        <v>0</v>
      </c>
      <c r="AE442" s="381">
        <v>0</v>
      </c>
      <c r="AF442" s="381">
        <v>0</v>
      </c>
      <c r="AG442" s="381">
        <v>0</v>
      </c>
      <c r="AH442" s="381">
        <v>0</v>
      </c>
      <c r="AI442" s="381">
        <v>0</v>
      </c>
      <c r="AJ442" s="381">
        <v>0</v>
      </c>
      <c r="AK442" s="381">
        <v>0</v>
      </c>
      <c r="AL442" s="381">
        <v>0</v>
      </c>
      <c r="AM442" s="381">
        <v>0</v>
      </c>
      <c r="AN442" s="381">
        <v>0</v>
      </c>
    </row>
    <row r="443" spans="1:40">
      <c r="A443" s="30" t="s">
        <v>48</v>
      </c>
      <c r="B443" t="s">
        <v>453</v>
      </c>
      <c r="C443" t="s">
        <v>455</v>
      </c>
      <c r="D443" t="str">
        <f t="shared" si="52"/>
        <v>Existing -Non-domestic ALL - Mandate on appliance efficiencyLondon only levers</v>
      </c>
      <c r="E443" s="80">
        <v>0</v>
      </c>
      <c r="F443" s="106">
        <v>0</v>
      </c>
      <c r="G443" s="106">
        <v>0</v>
      </c>
      <c r="H443" s="106">
        <v>0</v>
      </c>
      <c r="I443" s="106">
        <v>0</v>
      </c>
      <c r="J443" s="106">
        <v>0</v>
      </c>
      <c r="K443" s="106">
        <v>0</v>
      </c>
      <c r="L443" s="106">
        <v>0</v>
      </c>
      <c r="M443" s="106">
        <v>0</v>
      </c>
      <c r="N443" s="106">
        <v>0</v>
      </c>
      <c r="O443" s="80">
        <v>0</v>
      </c>
      <c r="P443" s="106">
        <v>0</v>
      </c>
      <c r="Q443" s="106">
        <v>0</v>
      </c>
      <c r="R443" s="106">
        <v>0</v>
      </c>
      <c r="S443" s="106">
        <v>0</v>
      </c>
      <c r="T443" s="106">
        <v>0</v>
      </c>
      <c r="U443" s="106">
        <v>0</v>
      </c>
      <c r="V443" s="106">
        <v>0</v>
      </c>
      <c r="W443" s="106">
        <v>0</v>
      </c>
      <c r="X443" s="106">
        <v>0</v>
      </c>
      <c r="Y443" s="106">
        <v>0</v>
      </c>
      <c r="Z443" s="106">
        <v>0</v>
      </c>
      <c r="AA443" s="106">
        <v>0</v>
      </c>
      <c r="AB443" s="106">
        <v>0</v>
      </c>
      <c r="AC443" s="106">
        <v>0</v>
      </c>
      <c r="AD443" s="106">
        <v>0</v>
      </c>
      <c r="AE443" s="106">
        <v>0</v>
      </c>
      <c r="AF443" s="106">
        <v>0</v>
      </c>
      <c r="AG443" s="106">
        <v>0</v>
      </c>
      <c r="AH443" s="106">
        <v>0</v>
      </c>
      <c r="AI443" s="106">
        <v>0</v>
      </c>
      <c r="AJ443" s="106">
        <v>0</v>
      </c>
      <c r="AK443" s="106">
        <v>0</v>
      </c>
      <c r="AL443" s="106">
        <v>0</v>
      </c>
      <c r="AM443" s="106">
        <v>0</v>
      </c>
      <c r="AN443" s="80">
        <v>0</v>
      </c>
    </row>
    <row r="444" spans="1:40">
      <c r="A444" s="30" t="s">
        <v>48</v>
      </c>
      <c r="B444" t="s">
        <v>453</v>
      </c>
      <c r="C444" t="s">
        <v>456</v>
      </c>
      <c r="D444" t="str">
        <f t="shared" si="52"/>
        <v>New - Non-domestic ALL - Mandate on lighting efficiencyLondon only levers</v>
      </c>
      <c r="E444" s="80">
        <v>0</v>
      </c>
      <c r="F444" s="106">
        <v>3472.6107683765158</v>
      </c>
      <c r="G444" s="106">
        <v>3472.6107683765158</v>
      </c>
      <c r="H444" s="106">
        <v>3472.6107683765154</v>
      </c>
      <c r="I444" s="106">
        <v>3472.6107683765158</v>
      </c>
      <c r="J444" s="106">
        <v>3472.6107683765158</v>
      </c>
      <c r="K444" s="106">
        <v>3472.6107683765158</v>
      </c>
      <c r="L444" s="106">
        <v>3472.6107683765163</v>
      </c>
      <c r="M444" s="106">
        <v>3472.6107683765154</v>
      </c>
      <c r="N444" s="106">
        <v>3472.6107683765154</v>
      </c>
      <c r="O444" s="80">
        <v>3472.6107683765154</v>
      </c>
      <c r="P444" s="106">
        <v>2549.5037398863597</v>
      </c>
      <c r="Q444" s="106">
        <v>2549.5037398863597</v>
      </c>
      <c r="R444" s="106">
        <v>2549.5037398863587</v>
      </c>
      <c r="S444" s="106">
        <v>2549.5037398863597</v>
      </c>
      <c r="T444" s="106">
        <v>2549.5037398863597</v>
      </c>
      <c r="U444" s="106">
        <v>2549.5037398863597</v>
      </c>
      <c r="V444" s="106">
        <v>2549.5037398863601</v>
      </c>
      <c r="W444" s="106">
        <v>2549.5037398863601</v>
      </c>
      <c r="X444" s="106">
        <v>2549.5037398863601</v>
      </c>
      <c r="Y444" s="106">
        <v>2549.5037398863601</v>
      </c>
      <c r="Z444" s="106">
        <v>2549.5037398863601</v>
      </c>
      <c r="AA444" s="106">
        <v>2549.5037398863601</v>
      </c>
      <c r="AB444" s="106">
        <v>2549.5037398863601</v>
      </c>
      <c r="AC444" s="106">
        <v>2549.5037398863587</v>
      </c>
      <c r="AD444" s="106">
        <v>2549.5037398863587</v>
      </c>
      <c r="AE444" s="106">
        <v>2549.5037398863587</v>
      </c>
      <c r="AF444" s="106">
        <v>2549.5037398863619</v>
      </c>
      <c r="AG444" s="106">
        <v>2549.5037398863606</v>
      </c>
      <c r="AH444" s="106">
        <v>2549.5037398863606</v>
      </c>
      <c r="AI444" s="106">
        <v>2549.5037398863606</v>
      </c>
      <c r="AJ444" s="106">
        <v>2549.5037398863606</v>
      </c>
      <c r="AK444" s="106">
        <v>2549.5037398863606</v>
      </c>
      <c r="AL444" s="106">
        <v>2549.5037398863606</v>
      </c>
      <c r="AM444" s="106">
        <v>2549.5037398863606</v>
      </c>
      <c r="AN444" s="80">
        <v>2549.5037398863496</v>
      </c>
    </row>
    <row r="445" spans="1:40">
      <c r="A445" s="30" t="s">
        <v>48</v>
      </c>
      <c r="B445" t="s">
        <v>453</v>
      </c>
      <c r="C445" t="s">
        <v>457</v>
      </c>
      <c r="D445" t="str">
        <f t="shared" si="52"/>
        <v>New -Non-domestic ALL - Mandate on appliance efficiencyLondon only levers</v>
      </c>
      <c r="E445" s="80">
        <v>0</v>
      </c>
      <c r="F445" s="106">
        <v>3472.6107683765158</v>
      </c>
      <c r="G445" s="106">
        <v>3472.6107683765158</v>
      </c>
      <c r="H445" s="106">
        <v>3472.6107683765154</v>
      </c>
      <c r="I445" s="106">
        <v>3472.6107683765158</v>
      </c>
      <c r="J445" s="106">
        <v>3472.6107683765158</v>
      </c>
      <c r="K445" s="106">
        <v>3472.6107683765158</v>
      </c>
      <c r="L445" s="106">
        <v>3472.6107683765163</v>
      </c>
      <c r="M445" s="106">
        <v>3472.6107683765154</v>
      </c>
      <c r="N445" s="106">
        <v>3472.6107683765154</v>
      </c>
      <c r="O445" s="80">
        <v>3472.6107683765154</v>
      </c>
      <c r="P445" s="106">
        <v>2549.5037398863597</v>
      </c>
      <c r="Q445" s="106">
        <v>2549.5037398863597</v>
      </c>
      <c r="R445" s="106">
        <v>2549.5037398863587</v>
      </c>
      <c r="S445" s="106">
        <v>2549.5037398863597</v>
      </c>
      <c r="T445" s="106">
        <v>2549.5037398863597</v>
      </c>
      <c r="U445" s="106">
        <v>2549.5037398863597</v>
      </c>
      <c r="V445" s="106">
        <v>2549.5037398863601</v>
      </c>
      <c r="W445" s="106">
        <v>2549.5037398863601</v>
      </c>
      <c r="X445" s="106">
        <v>2549.5037398863601</v>
      </c>
      <c r="Y445" s="106">
        <v>2549.5037398863601</v>
      </c>
      <c r="Z445" s="106">
        <v>2549.5037398863601</v>
      </c>
      <c r="AA445" s="106">
        <v>2549.5037398863601</v>
      </c>
      <c r="AB445" s="106">
        <v>2549.5037398863601</v>
      </c>
      <c r="AC445" s="106">
        <v>2549.5037398863587</v>
      </c>
      <c r="AD445" s="106">
        <v>2549.5037398863587</v>
      </c>
      <c r="AE445" s="106">
        <v>2549.5037398863587</v>
      </c>
      <c r="AF445" s="106">
        <v>2549.5037398863619</v>
      </c>
      <c r="AG445" s="106">
        <v>2549.5037398863606</v>
      </c>
      <c r="AH445" s="106">
        <v>2549.5037398863606</v>
      </c>
      <c r="AI445" s="106">
        <v>2549.5037398863606</v>
      </c>
      <c r="AJ445" s="106">
        <v>2549.5037398863606</v>
      </c>
      <c r="AK445" s="106">
        <v>2549.5037398863606</v>
      </c>
      <c r="AL445" s="106">
        <v>2549.5037398863606</v>
      </c>
      <c r="AM445" s="106">
        <v>2549.5037398863606</v>
      </c>
      <c r="AN445" s="80">
        <v>2549.5037398863496</v>
      </c>
    </row>
    <row r="446" spans="1:40">
      <c r="A446" s="30" t="s">
        <v>48</v>
      </c>
      <c r="B446" t="s">
        <v>453</v>
      </c>
      <c r="C446" t="s">
        <v>458</v>
      </c>
      <c r="D446" t="str">
        <f t="shared" si="52"/>
        <v>New -Non-domestic ALL - Stronger planning requirement for smart controlsLondon only levers</v>
      </c>
      <c r="E446" s="381">
        <v>0</v>
      </c>
      <c r="F446" s="381">
        <v>1627.7862976764916</v>
      </c>
      <c r="G446" s="381">
        <v>1627.7862976764916</v>
      </c>
      <c r="H446" s="381">
        <v>1627.7862976764918</v>
      </c>
      <c r="I446" s="381">
        <v>1627.7862976764914</v>
      </c>
      <c r="J446" s="381">
        <v>1627.7862976764914</v>
      </c>
      <c r="K446" s="381">
        <v>1627.7862976764914</v>
      </c>
      <c r="L446" s="381">
        <v>1627.7862976764918</v>
      </c>
      <c r="M446" s="381">
        <v>1627.7862976764916</v>
      </c>
      <c r="N446" s="381">
        <v>1627.7862976764916</v>
      </c>
      <c r="O446" s="381">
        <v>1627.7862976764914</v>
      </c>
      <c r="P446" s="381">
        <v>1195.0798780717309</v>
      </c>
      <c r="Q446" s="381">
        <v>1195.0798780717309</v>
      </c>
      <c r="R446" s="381">
        <v>1195.0798780717307</v>
      </c>
      <c r="S446" s="381">
        <v>1195.0798780717309</v>
      </c>
      <c r="T446" s="381">
        <v>1195.0798780717309</v>
      </c>
      <c r="U446" s="381">
        <v>1195.0798780717309</v>
      </c>
      <c r="V446" s="381">
        <v>1195.0798780717312</v>
      </c>
      <c r="W446" s="381">
        <v>1195.0798780717312</v>
      </c>
      <c r="X446" s="381">
        <v>1195.0798780717312</v>
      </c>
      <c r="Y446" s="381">
        <v>1195.0798780717312</v>
      </c>
      <c r="Z446" s="381">
        <v>1195.0798780717312</v>
      </c>
      <c r="AA446" s="381">
        <v>1195.0798780717312</v>
      </c>
      <c r="AB446" s="381">
        <v>1195.0798780717312</v>
      </c>
      <c r="AC446" s="381">
        <v>1195.0798780717305</v>
      </c>
      <c r="AD446" s="381">
        <v>1195.0798780717305</v>
      </c>
      <c r="AE446" s="381">
        <v>1195.0798780717305</v>
      </c>
      <c r="AF446" s="381">
        <v>1195.0798780717319</v>
      </c>
      <c r="AG446" s="381">
        <v>1195.0798780717312</v>
      </c>
      <c r="AH446" s="381">
        <v>1195.0798780717312</v>
      </c>
      <c r="AI446" s="381">
        <v>1195.0798780717312</v>
      </c>
      <c r="AJ446" s="381">
        <v>1195.0798780717312</v>
      </c>
      <c r="AK446" s="381">
        <v>1195.0798780717312</v>
      </c>
      <c r="AL446" s="381">
        <v>1195.0798780717312</v>
      </c>
      <c r="AM446" s="381">
        <v>1195.0798780717312</v>
      </c>
      <c r="AN446" s="381">
        <v>1195.0798780717264</v>
      </c>
    </row>
    <row r="447" spans="1:40">
      <c r="A447" s="30" t="s">
        <v>48</v>
      </c>
      <c r="B447" t="s">
        <v>459</v>
      </c>
      <c r="C447" t="s">
        <v>460</v>
      </c>
      <c r="D447" t="str">
        <f t="shared" si="52"/>
        <v>Extended Mayoral ProgramsDomestic CAPEXLondon only levers</v>
      </c>
      <c r="E447" s="381">
        <v>0</v>
      </c>
      <c r="F447" s="381">
        <v>0</v>
      </c>
      <c r="G447" s="381">
        <v>0</v>
      </c>
      <c r="H447" s="381">
        <v>0</v>
      </c>
      <c r="I447" s="381">
        <v>0</v>
      </c>
      <c r="J447" s="381">
        <v>0</v>
      </c>
      <c r="K447" s="381">
        <v>21166465.602692172</v>
      </c>
      <c r="L447" s="381">
        <v>41618057.917775065</v>
      </c>
      <c r="M447" s="381">
        <v>61354776.945248663</v>
      </c>
      <c r="N447" s="381">
        <v>60282467.01383476</v>
      </c>
      <c r="O447" s="381">
        <v>85375978.93813996</v>
      </c>
      <c r="P447" s="381">
        <v>109521752.43302545</v>
      </c>
      <c r="Q447" s="381">
        <v>132719787.49849114</v>
      </c>
      <c r="R447" s="381">
        <v>154970084.13453707</v>
      </c>
      <c r="S447" s="381">
        <v>173776237.00676489</v>
      </c>
      <c r="T447" s="381">
        <v>191732134.17061058</v>
      </c>
      <c r="U447" s="381">
        <v>213080945.97890073</v>
      </c>
      <c r="V447" s="381">
        <v>234429757.78719085</v>
      </c>
      <c r="W447" s="381">
        <v>255778569.59548104</v>
      </c>
      <c r="X447" s="381">
        <v>277127381.40377122</v>
      </c>
      <c r="Y447" s="381">
        <v>274679717.42989159</v>
      </c>
      <c r="Z447" s="381">
        <v>272232053.45601201</v>
      </c>
      <c r="AA447" s="381">
        <v>269784389.48213243</v>
      </c>
      <c r="AB447" s="381">
        <v>29371967.686555214</v>
      </c>
      <c r="AC447" s="381">
        <v>26924303.712675612</v>
      </c>
      <c r="AD447" s="381">
        <v>24476639.738796014</v>
      </c>
      <c r="AE447" s="381">
        <v>22028975.764916413</v>
      </c>
      <c r="AF447" s="381">
        <v>19581311.791036811</v>
      </c>
      <c r="AG447" s="381">
        <v>17133647.817157209</v>
      </c>
      <c r="AH447" s="381">
        <v>14685983.843277607</v>
      </c>
      <c r="AI447" s="381">
        <v>12238319.869398005</v>
      </c>
      <c r="AJ447" s="381">
        <v>9790655.8955184054</v>
      </c>
      <c r="AK447" s="381">
        <v>7342991.9216388036</v>
      </c>
      <c r="AL447" s="381">
        <v>4895327.9477592036</v>
      </c>
      <c r="AM447" s="381">
        <v>2447663.9738796013</v>
      </c>
      <c r="AN447" s="381">
        <v>9.5261434296389772E-10</v>
      </c>
    </row>
    <row r="448" spans="1:40">
      <c r="A448" s="30" t="s">
        <v>48</v>
      </c>
      <c r="B448" t="s">
        <v>459</v>
      </c>
      <c r="C448" t="s">
        <v>461</v>
      </c>
      <c r="D448" t="str">
        <f t="shared" si="52"/>
        <v>MEESDomestic CAPEXLondon only levers</v>
      </c>
      <c r="E448" s="381">
        <v>0</v>
      </c>
      <c r="F448" s="381">
        <v>0</v>
      </c>
      <c r="G448" s="381">
        <v>0</v>
      </c>
      <c r="H448" s="381">
        <v>0</v>
      </c>
      <c r="I448" s="381">
        <v>0</v>
      </c>
      <c r="J448" s="381">
        <v>0</v>
      </c>
      <c r="K448" s="381">
        <v>0</v>
      </c>
      <c r="L448" s="381">
        <v>0</v>
      </c>
      <c r="M448" s="381">
        <v>0</v>
      </c>
      <c r="N448" s="381">
        <v>0</v>
      </c>
      <c r="O448" s="381">
        <v>0</v>
      </c>
      <c r="P448" s="381">
        <v>0</v>
      </c>
      <c r="Q448" s="381">
        <v>0</v>
      </c>
      <c r="R448" s="381">
        <v>0</v>
      </c>
      <c r="S448" s="381">
        <v>0</v>
      </c>
      <c r="T448" s="381">
        <v>0</v>
      </c>
      <c r="U448" s="381">
        <v>0</v>
      </c>
      <c r="V448" s="381">
        <v>0</v>
      </c>
      <c r="W448" s="381">
        <v>0</v>
      </c>
      <c r="X448" s="381">
        <v>0</v>
      </c>
      <c r="Y448" s="381">
        <v>0</v>
      </c>
      <c r="Z448" s="381">
        <v>0</v>
      </c>
      <c r="AA448" s="381">
        <v>0</v>
      </c>
      <c r="AB448" s="381">
        <v>0</v>
      </c>
      <c r="AC448" s="381">
        <v>0</v>
      </c>
      <c r="AD448" s="381">
        <v>0</v>
      </c>
      <c r="AE448" s="381">
        <v>0</v>
      </c>
      <c r="AF448" s="381">
        <v>0</v>
      </c>
      <c r="AG448" s="381">
        <v>0</v>
      </c>
      <c r="AH448" s="381">
        <v>0</v>
      </c>
      <c r="AI448" s="381">
        <v>0</v>
      </c>
      <c r="AJ448" s="381">
        <v>0</v>
      </c>
      <c r="AK448" s="381">
        <v>0</v>
      </c>
      <c r="AL448" s="381">
        <v>0</v>
      </c>
      <c r="AM448" s="381">
        <v>0</v>
      </c>
      <c r="AN448" s="381">
        <v>0</v>
      </c>
    </row>
    <row r="449" spans="1:40">
      <c r="A449" s="30" t="s">
        <v>48</v>
      </c>
      <c r="B449" t="s">
        <v>459</v>
      </c>
      <c r="C449" t="s">
        <v>462</v>
      </c>
      <c r="D449" t="str">
        <f t="shared" si="52"/>
        <v>Tax mechanismsDomestic CAPEXLondon only levers</v>
      </c>
      <c r="E449" s="381">
        <v>0</v>
      </c>
      <c r="F449" s="381">
        <v>0</v>
      </c>
      <c r="G449" s="381">
        <v>0</v>
      </c>
      <c r="H449" s="381">
        <v>0</v>
      </c>
      <c r="I449" s="381">
        <v>0</v>
      </c>
      <c r="J449" s="381">
        <v>0</v>
      </c>
      <c r="K449" s="381">
        <v>0</v>
      </c>
      <c r="L449" s="381">
        <v>0</v>
      </c>
      <c r="M449" s="381">
        <v>0</v>
      </c>
      <c r="N449" s="381">
        <v>0</v>
      </c>
      <c r="O449" s="381">
        <v>0</v>
      </c>
      <c r="P449" s="381">
        <v>0</v>
      </c>
      <c r="Q449" s="381">
        <v>0</v>
      </c>
      <c r="R449" s="381">
        <v>0</v>
      </c>
      <c r="S449" s="381">
        <v>0</v>
      </c>
      <c r="T449" s="381">
        <v>0</v>
      </c>
      <c r="U449" s="381">
        <v>0</v>
      </c>
      <c r="V449" s="381">
        <v>0</v>
      </c>
      <c r="W449" s="381">
        <v>0</v>
      </c>
      <c r="X449" s="381">
        <v>0</v>
      </c>
      <c r="Y449" s="381">
        <v>0</v>
      </c>
      <c r="Z449" s="381">
        <v>0</v>
      </c>
      <c r="AA449" s="381">
        <v>0</v>
      </c>
      <c r="AB449" s="381">
        <v>0</v>
      </c>
      <c r="AC449" s="381">
        <v>0</v>
      </c>
      <c r="AD449" s="381">
        <v>0</v>
      </c>
      <c r="AE449" s="381">
        <v>0</v>
      </c>
      <c r="AF449" s="381">
        <v>0</v>
      </c>
      <c r="AG449" s="381">
        <v>0</v>
      </c>
      <c r="AH449" s="381">
        <v>0</v>
      </c>
      <c r="AI449" s="381">
        <v>0</v>
      </c>
      <c r="AJ449" s="381">
        <v>0</v>
      </c>
      <c r="AK449" s="381">
        <v>0</v>
      </c>
      <c r="AL449" s="381">
        <v>0</v>
      </c>
      <c r="AM449" s="381">
        <v>0</v>
      </c>
      <c r="AN449" s="381">
        <v>0</v>
      </c>
    </row>
    <row r="450" spans="1:40">
      <c r="A450" s="30" t="s">
        <v>48</v>
      </c>
      <c r="B450" t="s">
        <v>459</v>
      </c>
      <c r="C450" t="s">
        <v>463</v>
      </c>
      <c r="D450" t="str">
        <f t="shared" si="52"/>
        <v>Planning requirementsDomestic CAPEXLondon only levers</v>
      </c>
      <c r="E450" s="381">
        <v>0</v>
      </c>
      <c r="F450" s="381">
        <v>31743906.616401419</v>
      </c>
      <c r="G450" s="381">
        <v>31249587.149795301</v>
      </c>
      <c r="H450" s="381">
        <v>30755267.683189187</v>
      </c>
      <c r="I450" s="381">
        <v>30260948.216583073</v>
      </c>
      <c r="J450" s="381">
        <v>100159538.36714353</v>
      </c>
      <c r="K450" s="381">
        <v>93997745.01566197</v>
      </c>
      <c r="L450" s="381">
        <v>92410411.582945228</v>
      </c>
      <c r="M450" s="381">
        <v>90823078.150228456</v>
      </c>
      <c r="N450" s="381">
        <v>89235744.717511728</v>
      </c>
      <c r="O450" s="381">
        <v>87648411.284795165</v>
      </c>
      <c r="P450" s="381">
        <v>81741354.146256</v>
      </c>
      <c r="Q450" s="381">
        <v>80233694.847648233</v>
      </c>
      <c r="R450" s="381">
        <v>17684963.743829511</v>
      </c>
      <c r="S450" s="381">
        <v>17346284.171716206</v>
      </c>
      <c r="T450" s="381">
        <v>17007604.599602889</v>
      </c>
      <c r="U450" s="381">
        <v>7840299.3167608818</v>
      </c>
      <c r="V450" s="381">
        <v>7840299.3167608446</v>
      </c>
      <c r="W450" s="381">
        <v>7840299.3167608446</v>
      </c>
      <c r="X450" s="381">
        <v>7840299.3167608446</v>
      </c>
      <c r="Y450" s="381">
        <v>7840299.3167608446</v>
      </c>
      <c r="Z450" s="381">
        <v>7840299.3167608446</v>
      </c>
      <c r="AA450" s="381">
        <v>7840299.3167608446</v>
      </c>
      <c r="AB450" s="381">
        <v>7840299.3167608446</v>
      </c>
      <c r="AC450" s="381">
        <v>7840299.3167608446</v>
      </c>
      <c r="AD450" s="381">
        <v>7840299.3167615253</v>
      </c>
      <c r="AE450" s="381">
        <v>7840299.316760987</v>
      </c>
      <c r="AF450" s="381">
        <v>7840299.3167610615</v>
      </c>
      <c r="AG450" s="381">
        <v>7840299.3167610615</v>
      </c>
      <c r="AH450" s="381">
        <v>7840299.3167610615</v>
      </c>
      <c r="AI450" s="381">
        <v>7840299.3167610615</v>
      </c>
      <c r="AJ450" s="381">
        <v>7840299.3167610615</v>
      </c>
      <c r="AK450" s="381">
        <v>7840299.3167610615</v>
      </c>
      <c r="AL450" s="381">
        <v>7840299.3167610615</v>
      </c>
      <c r="AM450" s="381">
        <v>7840299.3167610615</v>
      </c>
      <c r="AN450" s="381">
        <v>7840299.3167603388</v>
      </c>
    </row>
    <row r="451" spans="1:40">
      <c r="A451" s="30" t="s">
        <v>48</v>
      </c>
      <c r="B451" t="s">
        <v>459</v>
      </c>
      <c r="C451" t="s">
        <v>464</v>
      </c>
      <c r="D451" t="str">
        <f t="shared" si="52"/>
        <v>Lighting efficiencyDomestic CAPEXLondon only levers</v>
      </c>
      <c r="E451" s="381">
        <v>0</v>
      </c>
      <c r="F451" s="381">
        <v>6935973.9122759365</v>
      </c>
      <c r="G451" s="381">
        <v>6827966.193939887</v>
      </c>
      <c r="H451" s="381">
        <v>6719958.4756038357</v>
      </c>
      <c r="I451" s="381">
        <v>6611950.7572677853</v>
      </c>
      <c r="J451" s="381">
        <v>6503943.0389317162</v>
      </c>
      <c r="K451" s="381">
        <v>5413024.2219681572</v>
      </c>
      <c r="L451" s="381">
        <v>5321614.8555178875</v>
      </c>
      <c r="M451" s="381">
        <v>5230205.4890676178</v>
      </c>
      <c r="N451" s="381">
        <v>5138796.1226173481</v>
      </c>
      <c r="O451" s="381">
        <v>5047386.7561671222</v>
      </c>
      <c r="P451" s="381">
        <v>4012127.2425410934</v>
      </c>
      <c r="Q451" s="381">
        <v>3938126.4994950267</v>
      </c>
      <c r="R451" s="381">
        <v>3864125.7564489595</v>
      </c>
      <c r="S451" s="381">
        <v>3790125.0134028923</v>
      </c>
      <c r="T451" s="381">
        <v>3716124.2703568228</v>
      </c>
      <c r="U451" s="381">
        <v>1713088.1898887407</v>
      </c>
      <c r="V451" s="381">
        <v>1713088.1898887325</v>
      </c>
      <c r="W451" s="381">
        <v>1713088.1898887325</v>
      </c>
      <c r="X451" s="381">
        <v>1713088.1898887325</v>
      </c>
      <c r="Y451" s="381">
        <v>1713088.1898887325</v>
      </c>
      <c r="Z451" s="381">
        <v>1713088.1898887325</v>
      </c>
      <c r="AA451" s="381">
        <v>1713088.1898887325</v>
      </c>
      <c r="AB451" s="381">
        <v>1713088.1898887325</v>
      </c>
      <c r="AC451" s="381">
        <v>1713088.1898887325</v>
      </c>
      <c r="AD451" s="381">
        <v>1713088.1898888813</v>
      </c>
      <c r="AE451" s="381">
        <v>1713088.1898887637</v>
      </c>
      <c r="AF451" s="381">
        <v>1713088.18988878</v>
      </c>
      <c r="AG451" s="381">
        <v>1713088.18988878</v>
      </c>
      <c r="AH451" s="381">
        <v>1713088.18988878</v>
      </c>
      <c r="AI451" s="381">
        <v>1713088.18988878</v>
      </c>
      <c r="AJ451" s="381">
        <v>1713088.18988878</v>
      </c>
      <c r="AK451" s="381">
        <v>1713088.18988878</v>
      </c>
      <c r="AL451" s="381">
        <v>1713088.18988878</v>
      </c>
      <c r="AM451" s="381">
        <v>1713088.18988878</v>
      </c>
      <c r="AN451" s="381">
        <v>1713088.1898886203</v>
      </c>
    </row>
    <row r="452" spans="1:40">
      <c r="A452" s="30" t="s">
        <v>48</v>
      </c>
      <c r="B452" t="s">
        <v>459</v>
      </c>
      <c r="C452" t="s">
        <v>465</v>
      </c>
      <c r="D452" t="str">
        <f t="shared" si="52"/>
        <v>Extended Mayoral ProgramsNon-domestic CAPEXLondon only levers</v>
      </c>
      <c r="E452" s="427">
        <v>0</v>
      </c>
      <c r="F452" s="427">
        <v>0</v>
      </c>
      <c r="G452" s="427">
        <v>0</v>
      </c>
      <c r="H452" s="427">
        <v>0</v>
      </c>
      <c r="I452" s="427">
        <v>0</v>
      </c>
      <c r="J452" s="427">
        <v>0</v>
      </c>
      <c r="K452" s="427">
        <v>4274097.7583801532</v>
      </c>
      <c r="L452" s="427">
        <v>8403842.7290323414</v>
      </c>
      <c r="M452" s="427">
        <v>12389234.911956565</v>
      </c>
      <c r="N452" s="427">
        <v>12172705.730364621</v>
      </c>
      <c r="O452" s="427">
        <v>11956176.548772674</v>
      </c>
      <c r="P452" s="427">
        <v>11739647.367180727</v>
      </c>
      <c r="Q452" s="427">
        <v>11523118.185588785</v>
      </c>
      <c r="R452" s="427">
        <v>11306589.003996834</v>
      </c>
      <c r="S452" s="427">
        <v>10585966.194113759</v>
      </c>
      <c r="T452" s="427">
        <v>9885027.8552844934</v>
      </c>
      <c r="U452" s="427">
        <v>9390776.4625202697</v>
      </c>
      <c r="V452" s="427">
        <v>8896525.0697560441</v>
      </c>
      <c r="W452" s="427">
        <v>8402273.6769918203</v>
      </c>
      <c r="X452" s="427">
        <v>7908022.2842275957</v>
      </c>
      <c r="Y452" s="427">
        <v>7413770.8914633701</v>
      </c>
      <c r="Z452" s="427">
        <v>6919519.4986991463</v>
      </c>
      <c r="AA452" s="427">
        <v>6425268.1059349217</v>
      </c>
      <c r="AB452" s="427">
        <v>5931016.7131706979</v>
      </c>
      <c r="AC452" s="427">
        <v>5436765.3204064723</v>
      </c>
      <c r="AD452" s="427">
        <v>4942513.9276422467</v>
      </c>
      <c r="AE452" s="427">
        <v>4448262.534878022</v>
      </c>
      <c r="AF452" s="427">
        <v>3954011.1421137983</v>
      </c>
      <c r="AG452" s="427">
        <v>3459759.7493495732</v>
      </c>
      <c r="AH452" s="427">
        <v>2965508.3565853485</v>
      </c>
      <c r="AI452" s="427">
        <v>2471256.9638211234</v>
      </c>
      <c r="AJ452" s="427">
        <v>1977005.5710568989</v>
      </c>
      <c r="AK452" s="427">
        <v>1482754.178292674</v>
      </c>
      <c r="AL452" s="427">
        <v>988502.78552844957</v>
      </c>
      <c r="AM452" s="427">
        <v>494251.39276422444</v>
      </c>
      <c r="AN452" s="427">
        <v>0</v>
      </c>
    </row>
    <row r="453" spans="1:40">
      <c r="A453" s="30" t="s">
        <v>48</v>
      </c>
      <c r="B453" t="s">
        <v>459</v>
      </c>
      <c r="C453" t="s">
        <v>466</v>
      </c>
      <c r="D453" t="str">
        <f t="shared" si="52"/>
        <v>MEESNon-domestic CAPEXLondon only levers</v>
      </c>
      <c r="E453" s="428">
        <v>0</v>
      </c>
      <c r="F453" s="428">
        <v>0</v>
      </c>
      <c r="G453" s="428">
        <v>0</v>
      </c>
      <c r="H453" s="428">
        <v>0</v>
      </c>
      <c r="I453" s="428">
        <v>0</v>
      </c>
      <c r="J453" s="428">
        <v>0</v>
      </c>
      <c r="K453" s="428">
        <v>0</v>
      </c>
      <c r="L453" s="428">
        <v>0</v>
      </c>
      <c r="M453" s="428">
        <v>0</v>
      </c>
      <c r="N453" s="428">
        <v>0</v>
      </c>
      <c r="O453" s="428">
        <v>0</v>
      </c>
      <c r="P453" s="428">
        <v>0</v>
      </c>
      <c r="Q453" s="428">
        <v>0</v>
      </c>
      <c r="R453" s="428">
        <v>0</v>
      </c>
      <c r="S453" s="428">
        <v>0</v>
      </c>
      <c r="T453" s="428">
        <v>0</v>
      </c>
      <c r="U453" s="428">
        <v>0</v>
      </c>
      <c r="V453" s="428">
        <v>0</v>
      </c>
      <c r="W453" s="428">
        <v>0</v>
      </c>
      <c r="X453" s="428">
        <v>0</v>
      </c>
      <c r="Y453" s="428">
        <v>0</v>
      </c>
      <c r="Z453" s="428">
        <v>0</v>
      </c>
      <c r="AA453" s="428">
        <v>0</v>
      </c>
      <c r="AB453" s="428">
        <v>0</v>
      </c>
      <c r="AC453" s="428">
        <v>0</v>
      </c>
      <c r="AD453" s="428">
        <v>0</v>
      </c>
      <c r="AE453" s="428">
        <v>0</v>
      </c>
      <c r="AF453" s="428">
        <v>0</v>
      </c>
      <c r="AG453" s="428">
        <v>0</v>
      </c>
      <c r="AH453" s="428">
        <v>0</v>
      </c>
      <c r="AI453" s="428">
        <v>0</v>
      </c>
      <c r="AJ453" s="428">
        <v>0</v>
      </c>
      <c r="AK453" s="428">
        <v>0</v>
      </c>
      <c r="AL453" s="428">
        <v>0</v>
      </c>
      <c r="AM453" s="428">
        <v>0</v>
      </c>
      <c r="AN453" s="428">
        <v>0</v>
      </c>
    </row>
    <row r="454" spans="1:40">
      <c r="A454" s="30" t="s">
        <v>48</v>
      </c>
      <c r="B454" t="s">
        <v>459</v>
      </c>
      <c r="C454" t="s">
        <v>467</v>
      </c>
      <c r="D454" t="str">
        <f t="shared" si="52"/>
        <v>Tax mechanismsNon-domestic CAPEXLondon only levers</v>
      </c>
      <c r="E454" s="285">
        <v>0</v>
      </c>
      <c r="F454" s="285">
        <v>0</v>
      </c>
      <c r="G454" s="285">
        <v>0</v>
      </c>
      <c r="H454" s="285">
        <v>0</v>
      </c>
      <c r="I454" s="285">
        <v>0</v>
      </c>
      <c r="J454" s="285">
        <v>0</v>
      </c>
      <c r="K454" s="285">
        <v>0</v>
      </c>
      <c r="L454" s="285">
        <v>0</v>
      </c>
      <c r="M454" s="285">
        <v>0</v>
      </c>
      <c r="N454" s="285">
        <v>0</v>
      </c>
      <c r="O454" s="285">
        <v>0</v>
      </c>
      <c r="P454" s="285">
        <v>0</v>
      </c>
      <c r="Q454" s="285">
        <v>0</v>
      </c>
      <c r="R454" s="285">
        <v>0</v>
      </c>
      <c r="S454" s="285">
        <v>0</v>
      </c>
      <c r="T454" s="285">
        <v>0</v>
      </c>
      <c r="U454" s="285">
        <v>0</v>
      </c>
      <c r="V454" s="285">
        <v>0</v>
      </c>
      <c r="W454" s="285">
        <v>0</v>
      </c>
      <c r="X454" s="285">
        <v>0</v>
      </c>
      <c r="Y454" s="285">
        <v>0</v>
      </c>
      <c r="Z454" s="285">
        <v>0</v>
      </c>
      <c r="AA454" s="285">
        <v>0</v>
      </c>
      <c r="AB454" s="285">
        <v>0</v>
      </c>
      <c r="AC454" s="285">
        <v>0</v>
      </c>
      <c r="AD454" s="285">
        <v>0</v>
      </c>
      <c r="AE454" s="285">
        <v>0</v>
      </c>
      <c r="AF454" s="285">
        <v>0</v>
      </c>
      <c r="AG454" s="285">
        <v>0</v>
      </c>
      <c r="AH454" s="285">
        <v>0</v>
      </c>
      <c r="AI454" s="285">
        <v>0</v>
      </c>
      <c r="AJ454" s="285">
        <v>0</v>
      </c>
      <c r="AK454" s="285">
        <v>0</v>
      </c>
      <c r="AL454" s="285">
        <v>0</v>
      </c>
      <c r="AM454" s="285">
        <v>0</v>
      </c>
      <c r="AN454" s="285">
        <v>0</v>
      </c>
    </row>
    <row r="455" spans="1:40">
      <c r="A455" s="30" t="s">
        <v>48</v>
      </c>
      <c r="B455" t="s">
        <v>459</v>
      </c>
      <c r="C455" t="s">
        <v>468</v>
      </c>
      <c r="D455" t="str">
        <f t="shared" si="52"/>
        <v>Planning requirementsNon-domestic CAPEXLondon only levers</v>
      </c>
      <c r="E455" s="80">
        <v>0</v>
      </c>
      <c r="F455" s="106">
        <v>4085557.6935081659</v>
      </c>
      <c r="G455" s="106">
        <v>4021936.9575903006</v>
      </c>
      <c r="H455" s="106">
        <v>3958316.2216724344</v>
      </c>
      <c r="I455" s="106">
        <v>3894695.4857545691</v>
      </c>
      <c r="J455" s="106">
        <v>3831074.7498367028</v>
      </c>
      <c r="K455" s="106">
        <v>3767454.0139188375</v>
      </c>
      <c r="L455" s="106">
        <v>3703833.2780009722</v>
      </c>
      <c r="M455" s="106">
        <v>3640212.5420831051</v>
      </c>
      <c r="N455" s="106">
        <v>3576591.8061652393</v>
      </c>
      <c r="O455" s="80">
        <v>3512971.070247374</v>
      </c>
      <c r="P455" s="106">
        <v>2522585.8105653757</v>
      </c>
      <c r="Q455" s="106">
        <v>2476058.5662646513</v>
      </c>
      <c r="R455" s="106">
        <v>2429531.3219639254</v>
      </c>
      <c r="S455" s="106">
        <v>2383004.0776632018</v>
      </c>
      <c r="T455" s="106">
        <v>2336476.8333624769</v>
      </c>
      <c r="U455" s="106">
        <v>2336476.8333624774</v>
      </c>
      <c r="V455" s="106">
        <v>2336476.8333624774</v>
      </c>
      <c r="W455" s="106">
        <v>2336476.8333624774</v>
      </c>
      <c r="X455" s="106">
        <v>2336476.8333624774</v>
      </c>
      <c r="Y455" s="106">
        <v>2336476.8333624774</v>
      </c>
      <c r="Z455" s="106">
        <v>2336476.8333624774</v>
      </c>
      <c r="AA455" s="106">
        <v>2336476.8333624774</v>
      </c>
      <c r="AB455" s="106">
        <v>2336476.8333624774</v>
      </c>
      <c r="AC455" s="106">
        <v>2336476.8333624764</v>
      </c>
      <c r="AD455" s="106">
        <v>2336476.8333624764</v>
      </c>
      <c r="AE455" s="106">
        <v>2336476.8333624764</v>
      </c>
      <c r="AF455" s="106">
        <v>2336476.8333624797</v>
      </c>
      <c r="AG455" s="106">
        <v>2336476.8333624778</v>
      </c>
      <c r="AH455" s="106">
        <v>2336476.8333624778</v>
      </c>
      <c r="AI455" s="106">
        <v>2336476.8333624778</v>
      </c>
      <c r="AJ455" s="106">
        <v>2336476.8333624778</v>
      </c>
      <c r="AK455" s="106">
        <v>2336476.8333624778</v>
      </c>
      <c r="AL455" s="106">
        <v>2336476.8333624778</v>
      </c>
      <c r="AM455" s="106">
        <v>2336476.8333624778</v>
      </c>
      <c r="AN455" s="80">
        <v>2336476.8333624699</v>
      </c>
    </row>
    <row r="456" spans="1:40">
      <c r="A456" s="30" t="s">
        <v>48</v>
      </c>
      <c r="B456" t="s">
        <v>459</v>
      </c>
      <c r="C456" t="s">
        <v>469</v>
      </c>
      <c r="D456" t="str">
        <f t="shared" si="52"/>
        <v>Lighting efficiencyNon-domestic CAPEXLondon only levers</v>
      </c>
      <c r="E456" s="59">
        <v>0</v>
      </c>
      <c r="F456" s="59">
        <v>6085102.7363829538</v>
      </c>
      <c r="G456" s="59">
        <v>5990344.8738664966</v>
      </c>
      <c r="H456" s="59">
        <v>5895587.0113500375</v>
      </c>
      <c r="I456" s="59">
        <v>5800829.1488335812</v>
      </c>
      <c r="J456" s="59">
        <v>5706071.2863171231</v>
      </c>
      <c r="K456" s="59">
        <v>5611313.4238006659</v>
      </c>
      <c r="L456" s="59">
        <v>5516555.5612842096</v>
      </c>
      <c r="M456" s="59">
        <v>5421797.6987677487</v>
      </c>
      <c r="N456" s="59">
        <v>5327039.8362512914</v>
      </c>
      <c r="O456" s="59">
        <v>5232281.9737348342</v>
      </c>
      <c r="P456" s="59">
        <v>3713397.5193792596</v>
      </c>
      <c r="Q456" s="59">
        <v>3644906.6268806849</v>
      </c>
      <c r="R456" s="59">
        <v>3576415.7343821069</v>
      </c>
      <c r="S456" s="59">
        <v>3507924.8418835341</v>
      </c>
      <c r="T456" s="59">
        <v>3439433.9493849594</v>
      </c>
      <c r="U456" s="59">
        <v>3439433.9493849594</v>
      </c>
      <c r="V456" s="59">
        <v>3439433.9493849594</v>
      </c>
      <c r="W456" s="59">
        <v>3439433.9493849594</v>
      </c>
      <c r="X456" s="59">
        <v>3439433.9493849594</v>
      </c>
      <c r="Y456" s="59">
        <v>3439433.9493849594</v>
      </c>
      <c r="Z456" s="59">
        <v>3439433.9493849594</v>
      </c>
      <c r="AA456" s="59">
        <v>3439433.9493849594</v>
      </c>
      <c r="AB456" s="59">
        <v>3439433.9493849594</v>
      </c>
      <c r="AC456" s="59">
        <v>3439433.9493849585</v>
      </c>
      <c r="AD456" s="59">
        <v>3439433.9493849585</v>
      </c>
      <c r="AE456" s="59">
        <v>3439433.9493849585</v>
      </c>
      <c r="AF456" s="59">
        <v>3439433.9493849636</v>
      </c>
      <c r="AG456" s="59">
        <v>3439433.9493849599</v>
      </c>
      <c r="AH456" s="59">
        <v>3439433.9493849599</v>
      </c>
      <c r="AI456" s="59">
        <v>3439433.9493849599</v>
      </c>
      <c r="AJ456" s="59">
        <v>3439433.9493849599</v>
      </c>
      <c r="AK456" s="59">
        <v>3439433.9493849599</v>
      </c>
      <c r="AL456" s="59">
        <v>3439433.9493849599</v>
      </c>
      <c r="AM456" s="59">
        <v>3439433.9493849599</v>
      </c>
      <c r="AN456" s="59">
        <v>3439433.9493849524</v>
      </c>
    </row>
    <row r="457" spans="1:40">
      <c r="A457" s="30" t="s">
        <v>48</v>
      </c>
      <c r="B457" t="s">
        <v>459</v>
      </c>
      <c r="C457" t="s">
        <v>470</v>
      </c>
      <c r="D457" t="str">
        <f t="shared" si="52"/>
        <v>AllDomestic CAPEXLondon only levers</v>
      </c>
      <c r="E457" s="381">
        <v>0</v>
      </c>
      <c r="F457" s="381">
        <v>38679880.528677359</v>
      </c>
      <c r="G457" s="381">
        <v>38077553.343735188</v>
      </c>
      <c r="H457" s="381">
        <v>37475226.158793025</v>
      </c>
      <c r="I457" s="381">
        <v>36872898.973850861</v>
      </c>
      <c r="J457" s="381">
        <v>155681865.56380957</v>
      </c>
      <c r="K457" s="381">
        <v>174588881.53383505</v>
      </c>
      <c r="L457" s="381">
        <v>192893064.90689892</v>
      </c>
      <c r="M457" s="381">
        <v>210482374.99235344</v>
      </c>
      <c r="N457" s="381">
        <v>207262656.11892048</v>
      </c>
      <c r="O457" s="381">
        <v>230208759.10120717</v>
      </c>
      <c r="P457" s="381">
        <v>239444105.36810163</v>
      </c>
      <c r="Q457" s="381">
        <v>248486002.79228482</v>
      </c>
      <c r="R457" s="381">
        <v>207829251.32873687</v>
      </c>
      <c r="S457" s="381">
        <v>225938407.63307625</v>
      </c>
      <c r="T457" s="381">
        <v>243197308.22903347</v>
      </c>
      <c r="U457" s="381">
        <v>236730954.63861814</v>
      </c>
      <c r="V457" s="381">
        <v>258004954.44512841</v>
      </c>
      <c r="W457" s="381">
        <v>279278954.25163889</v>
      </c>
      <c r="X457" s="381">
        <v>300552954.05814928</v>
      </c>
      <c r="Y457" s="381">
        <v>298030478.08248991</v>
      </c>
      <c r="Z457" s="381">
        <v>295508002.1068306</v>
      </c>
      <c r="AA457" s="381">
        <v>292985526.13117129</v>
      </c>
      <c r="AB457" s="381">
        <v>52498292.333814323</v>
      </c>
      <c r="AC457" s="381">
        <v>49975816.358154982</v>
      </c>
      <c r="AD457" s="381">
        <v>47453340.382497616</v>
      </c>
      <c r="AE457" s="381">
        <v>44930864.406836718</v>
      </c>
      <c r="AF457" s="381">
        <v>42408388.431177579</v>
      </c>
      <c r="AG457" s="381">
        <v>39885912.455518231</v>
      </c>
      <c r="AH457" s="381">
        <v>37363436.47985889</v>
      </c>
      <c r="AI457" s="381">
        <v>34840960.504199542</v>
      </c>
      <c r="AJ457" s="381">
        <v>32318484.528540198</v>
      </c>
      <c r="AK457" s="381">
        <v>29796008.552880853</v>
      </c>
      <c r="AL457" s="381">
        <v>27273532.577221505</v>
      </c>
      <c r="AM457" s="381">
        <v>24751056.601562157</v>
      </c>
      <c r="AN457" s="381">
        <v>22228580.625900812</v>
      </c>
    </row>
    <row r="458" spans="1:40">
      <c r="A458" s="30" t="s">
        <v>48</v>
      </c>
      <c r="B458" t="s">
        <v>459</v>
      </c>
      <c r="C458" t="s">
        <v>471</v>
      </c>
      <c r="D458" t="str">
        <f t="shared" si="52"/>
        <v>AllNon-domestic CAPEXLondon only levers</v>
      </c>
      <c r="E458" s="381">
        <v>0</v>
      </c>
      <c r="F458" s="381">
        <v>10170660.429891121</v>
      </c>
      <c r="G458" s="381">
        <v>10012281.831456797</v>
      </c>
      <c r="H458" s="381">
        <v>9853903.2330224719</v>
      </c>
      <c r="I458" s="381">
        <v>9695524.6345881503</v>
      </c>
      <c r="J458" s="381">
        <v>39598884.348265901</v>
      </c>
      <c r="K458" s="381">
        <v>49053825.262337275</v>
      </c>
      <c r="L458" s="381">
        <v>52784109.05853869</v>
      </c>
      <c r="M458" s="381">
        <v>56370040.061861806</v>
      </c>
      <c r="N458" s="381">
        <v>55754049.69573608</v>
      </c>
      <c r="O458" s="381">
        <v>55138059.324884117</v>
      </c>
      <c r="P458" s="381">
        <v>44682588.762254223</v>
      </c>
      <c r="Q458" s="381">
        <v>38841621.337366261</v>
      </c>
      <c r="R458" s="381">
        <v>38358600.975220278</v>
      </c>
      <c r="S458" s="381">
        <v>37371486.983459055</v>
      </c>
      <c r="T458" s="381">
        <v>36404057.461466968</v>
      </c>
      <c r="U458" s="381">
        <v>35780317.387547888</v>
      </c>
      <c r="V458" s="381">
        <v>35156577.312669851</v>
      </c>
      <c r="W458" s="381">
        <v>34532837.236860454</v>
      </c>
      <c r="X458" s="381">
        <v>33909097.160146303</v>
      </c>
      <c r="Y458" s="381">
        <v>33285357.082553081</v>
      </c>
      <c r="Z458" s="381">
        <v>32661617.004105598</v>
      </c>
      <c r="AA458" s="381">
        <v>32037876.924827784</v>
      </c>
      <c r="AB458" s="381">
        <v>31414136.84474276</v>
      </c>
      <c r="AC458" s="381">
        <v>30790396.763872869</v>
      </c>
      <c r="AD458" s="381">
        <v>30166656.682239696</v>
      </c>
      <c r="AE458" s="381">
        <v>29542916.599864103</v>
      </c>
      <c r="AF458" s="381">
        <v>28919176.516766276</v>
      </c>
      <c r="AG458" s="381">
        <v>28295436.432965644</v>
      </c>
      <c r="AH458" s="381">
        <v>27671696.348481119</v>
      </c>
      <c r="AI458" s="381">
        <v>27047956.263330914</v>
      </c>
      <c r="AJ458" s="381">
        <v>26424216.17753268</v>
      </c>
      <c r="AK458" s="381">
        <v>25800476.091103505</v>
      </c>
      <c r="AL458" s="381">
        <v>25176736.004059888</v>
      </c>
      <c r="AM458" s="381">
        <v>24552995.916417848</v>
      </c>
      <c r="AN458" s="381">
        <v>23929255.828192662</v>
      </c>
    </row>
    <row r="459" spans="1:40">
      <c r="A459" s="30"/>
      <c r="E459" s="381"/>
      <c r="F459" s="381"/>
      <c r="G459" s="381"/>
      <c r="H459" s="381"/>
      <c r="I459" s="381"/>
      <c r="J459" s="381"/>
      <c r="K459" s="381"/>
      <c r="L459" s="381"/>
      <c r="M459" s="381"/>
      <c r="N459" s="381"/>
      <c r="O459" s="381"/>
      <c r="P459" s="381"/>
      <c r="Q459" s="381"/>
      <c r="R459" s="381"/>
      <c r="S459" s="381"/>
      <c r="T459" s="381"/>
      <c r="U459" s="381"/>
      <c r="V459" s="381"/>
      <c r="W459" s="381"/>
      <c r="X459" s="381"/>
      <c r="Y459" s="381"/>
      <c r="Z459" s="381"/>
      <c r="AA459" s="381"/>
      <c r="AB459" s="381"/>
      <c r="AC459" s="381"/>
      <c r="AD459" s="381"/>
      <c r="AE459" s="381"/>
      <c r="AF459" s="381"/>
      <c r="AG459" s="381"/>
      <c r="AH459" s="381"/>
      <c r="AI459" s="381"/>
      <c r="AJ459" s="381"/>
      <c r="AK459" s="381"/>
      <c r="AL459" s="381"/>
      <c r="AM459" s="381"/>
      <c r="AN459" s="381"/>
    </row>
    <row r="460" spans="1:40">
      <c r="A460" s="30"/>
      <c r="E460" s="381"/>
      <c r="F460" s="381"/>
      <c r="G460" s="381"/>
      <c r="H460" s="381"/>
      <c r="I460" s="381"/>
      <c r="J460" s="381"/>
      <c r="K460" s="381"/>
      <c r="L460" s="381"/>
      <c r="M460" s="381"/>
      <c r="N460" s="381"/>
      <c r="O460" s="381"/>
      <c r="P460" s="381"/>
      <c r="Q460" s="381"/>
      <c r="R460" s="381"/>
      <c r="S460" s="381"/>
      <c r="T460" s="381"/>
      <c r="U460" s="381"/>
      <c r="V460" s="381"/>
      <c r="W460" s="381"/>
      <c r="X460" s="381"/>
      <c r="Y460" s="381"/>
      <c r="Z460" s="381"/>
      <c r="AA460" s="381"/>
      <c r="AB460" s="381"/>
      <c r="AC460" s="381"/>
      <c r="AD460" s="381"/>
      <c r="AE460" s="381"/>
      <c r="AF460" s="381"/>
      <c r="AG460" s="381"/>
      <c r="AH460" s="381"/>
      <c r="AI460" s="381"/>
      <c r="AJ460" s="381"/>
      <c r="AK460" s="381"/>
      <c r="AL460" s="381"/>
      <c r="AM460" s="381"/>
      <c r="AN460" s="381"/>
    </row>
    <row r="461" spans="1:40">
      <c r="A461" s="30" t="s">
        <v>472</v>
      </c>
      <c r="B461" t="s">
        <v>366</v>
      </c>
      <c r="D461" t="s">
        <v>473</v>
      </c>
      <c r="E461" s="381">
        <v>2015</v>
      </c>
      <c r="F461" s="381">
        <v>2016</v>
      </c>
      <c r="G461" s="381">
        <v>2017</v>
      </c>
      <c r="H461" s="381">
        <v>2018</v>
      </c>
      <c r="I461" s="381">
        <v>2019</v>
      </c>
      <c r="J461" s="381">
        <v>2020</v>
      </c>
      <c r="K461" s="381">
        <v>2021</v>
      </c>
      <c r="L461" s="381">
        <v>2022</v>
      </c>
      <c r="M461" s="381">
        <v>2023</v>
      </c>
      <c r="N461" s="381">
        <v>2024</v>
      </c>
      <c r="O461" s="381">
        <v>2025</v>
      </c>
      <c r="P461" s="381">
        <v>2026</v>
      </c>
      <c r="Q461" s="381">
        <v>2027</v>
      </c>
      <c r="R461" s="381">
        <v>2028</v>
      </c>
      <c r="S461" s="381">
        <v>2029</v>
      </c>
      <c r="T461" s="381">
        <v>2030</v>
      </c>
      <c r="U461" s="381">
        <v>2031</v>
      </c>
      <c r="V461" s="381">
        <v>2032</v>
      </c>
      <c r="W461" s="381">
        <v>2033</v>
      </c>
      <c r="X461" s="381">
        <v>2034</v>
      </c>
      <c r="Y461" s="381">
        <v>2035</v>
      </c>
      <c r="Z461" s="381">
        <v>2036</v>
      </c>
      <c r="AA461" s="381">
        <v>2037</v>
      </c>
      <c r="AB461" s="381">
        <v>2038</v>
      </c>
      <c r="AC461" s="381">
        <v>2039</v>
      </c>
      <c r="AD461" s="381">
        <v>2040</v>
      </c>
      <c r="AE461" s="381">
        <v>2041</v>
      </c>
      <c r="AF461" s="381">
        <v>2042</v>
      </c>
      <c r="AG461" s="381">
        <v>2043</v>
      </c>
      <c r="AH461" s="381">
        <v>2044</v>
      </c>
      <c r="AI461" s="381">
        <v>2045</v>
      </c>
      <c r="AJ461" s="381">
        <v>2046</v>
      </c>
      <c r="AK461" s="381">
        <v>2047</v>
      </c>
      <c r="AL461" s="381">
        <v>2048</v>
      </c>
      <c r="AM461" s="381">
        <v>2049</v>
      </c>
      <c r="AN461" s="381">
        <v>2050</v>
      </c>
    </row>
    <row r="462" spans="1:40">
      <c r="A462" s="30" t="s">
        <v>476</v>
      </c>
      <c r="B462" t="s">
        <v>444</v>
      </c>
      <c r="C462" t="s">
        <v>445</v>
      </c>
      <c r="D462" t="str">
        <f>C462&amp;A462</f>
        <v>Carbon emissionsHybrid heat pumps</v>
      </c>
      <c r="E462" s="381">
        <v>24.536442456359286</v>
      </c>
      <c r="F462" s="381">
        <v>21.181286101250649</v>
      </c>
      <c r="G462" s="381">
        <v>19.520902617925778</v>
      </c>
      <c r="H462" s="381">
        <v>19.137396891769136</v>
      </c>
      <c r="I462" s="381">
        <v>18.671196929345118</v>
      </c>
      <c r="J462" s="381">
        <v>17.987381765058455</v>
      </c>
      <c r="K462" s="381">
        <v>17.423491313587459</v>
      </c>
      <c r="L462" s="381">
        <v>16.264914722226791</v>
      </c>
      <c r="M462" s="381">
        <v>15.898881025087601</v>
      </c>
      <c r="N462" s="381">
        <v>15.853887781377775</v>
      </c>
      <c r="O462" s="381">
        <v>15.166359381861529</v>
      </c>
      <c r="P462" s="381">
        <v>13.922622908950414</v>
      </c>
      <c r="Q462" s="381">
        <v>13.852603788024366</v>
      </c>
      <c r="R462" s="381">
        <v>13.156924530632512</v>
      </c>
      <c r="S462" s="381">
        <v>12.409198496523276</v>
      </c>
      <c r="T462" s="381">
        <v>12.392175675834743</v>
      </c>
      <c r="U462" s="381">
        <v>11.937013040560906</v>
      </c>
      <c r="V462" s="381">
        <v>11.212734779632612</v>
      </c>
      <c r="W462" s="381">
        <v>10.970875632652481</v>
      </c>
      <c r="X462" s="381">
        <v>10.612779898285721</v>
      </c>
      <c r="Y462" s="381">
        <v>10.160623674778124</v>
      </c>
      <c r="Z462" s="381">
        <v>10.137328558587138</v>
      </c>
      <c r="AA462" s="381">
        <v>9.9554209279486034</v>
      </c>
      <c r="AB462" s="381">
        <v>9.8292855723994634</v>
      </c>
      <c r="AC462" s="381">
        <v>9.8925726220324535</v>
      </c>
      <c r="AD462" s="381">
        <v>9.9079401599135934</v>
      </c>
      <c r="AE462" s="381">
        <v>9.8084071384803444</v>
      </c>
      <c r="AF462" s="381">
        <v>9.7148765678501903</v>
      </c>
      <c r="AG462" s="381">
        <v>9.652880263794259</v>
      </c>
      <c r="AH462" s="381">
        <v>9.5666101860578063</v>
      </c>
      <c r="AI462" s="381">
        <v>9.5150022352090033</v>
      </c>
      <c r="AJ462" s="381">
        <v>9.433526689457409</v>
      </c>
      <c r="AK462" s="381">
        <v>9.3586735157405023</v>
      </c>
      <c r="AL462" s="381">
        <v>9.3162090404126836</v>
      </c>
      <c r="AM462" s="381">
        <v>9.2494183921864543</v>
      </c>
      <c r="AN462" s="381">
        <v>9.2078761348624489</v>
      </c>
    </row>
    <row r="463" spans="1:40">
      <c r="A463" s="30" t="s">
        <v>476</v>
      </c>
      <c r="B463" t="s">
        <v>446</v>
      </c>
      <c r="C463" t="s">
        <v>447</v>
      </c>
      <c r="D463" t="str">
        <f t="shared" ref="D463:D519" si="53">C463&amp;A463</f>
        <v>Domestic heat demandHybrid heat pumps</v>
      </c>
      <c r="E463" s="381">
        <v>34208540661.939991</v>
      </c>
      <c r="F463" s="381">
        <v>34436853702.751373</v>
      </c>
      <c r="G463" s="381">
        <v>34665166743.562752</v>
      </c>
      <c r="H463" s="381">
        <v>34893479784.374138</v>
      </c>
      <c r="I463" s="381">
        <v>35105092816.294228</v>
      </c>
      <c r="J463" s="381">
        <v>35263296828.173943</v>
      </c>
      <c r="K463" s="381">
        <v>35313681377.258469</v>
      </c>
      <c r="L463" s="381">
        <v>35291789770.994965</v>
      </c>
      <c r="M463" s="381">
        <v>35185777645.816345</v>
      </c>
      <c r="N463" s="381">
        <v>35019309700.37323</v>
      </c>
      <c r="O463" s="381">
        <v>34738102831.803192</v>
      </c>
      <c r="P463" s="381">
        <v>34348569186.715179</v>
      </c>
      <c r="Q463" s="381">
        <v>33889233916.673752</v>
      </c>
      <c r="R463" s="381">
        <v>33410353502.134708</v>
      </c>
      <c r="S463" s="381">
        <v>32866542015.884327</v>
      </c>
      <c r="T463" s="381">
        <v>32318301256.865166</v>
      </c>
      <c r="U463" s="381">
        <v>31875429884.452404</v>
      </c>
      <c r="V463" s="381">
        <v>31482100609.367851</v>
      </c>
      <c r="W463" s="381">
        <v>31137379827.612083</v>
      </c>
      <c r="X463" s="381">
        <v>30840577090.813259</v>
      </c>
      <c r="Y463" s="381">
        <v>30724980035.888618</v>
      </c>
      <c r="Z463" s="381">
        <v>30650758222.077545</v>
      </c>
      <c r="AA463" s="381">
        <v>30578102992.881073</v>
      </c>
      <c r="AB463" s="381">
        <v>30635929519.428635</v>
      </c>
      <c r="AC463" s="381">
        <v>30695056353.337845</v>
      </c>
      <c r="AD463" s="381">
        <v>30755480932.017139</v>
      </c>
      <c r="AE463" s="381">
        <v>30817106193.644859</v>
      </c>
      <c r="AF463" s="381">
        <v>30879914337.360085</v>
      </c>
      <c r="AG463" s="381">
        <v>30943902757.670456</v>
      </c>
      <c r="AH463" s="381">
        <v>31009069174.787727</v>
      </c>
      <c r="AI463" s="381">
        <v>31075411634.620777</v>
      </c>
      <c r="AJ463" s="381">
        <v>31142928508.769508</v>
      </c>
      <c r="AK463" s="381">
        <v>31211618494.519905</v>
      </c>
      <c r="AL463" s="381">
        <v>31281480614.839943</v>
      </c>
      <c r="AM463" s="381">
        <v>31352514218.376633</v>
      </c>
      <c r="AN463" s="381">
        <v>31424718979.453953</v>
      </c>
    </row>
    <row r="464" spans="1:40">
      <c r="A464" s="30" t="s">
        <v>476</v>
      </c>
      <c r="B464" t="s">
        <v>446</v>
      </c>
      <c r="C464" t="s">
        <v>448</v>
      </c>
      <c r="D464" t="str">
        <f t="shared" si="53"/>
        <v>Non-domestic heat demandHybrid heat pumps</v>
      </c>
      <c r="E464" s="381">
        <v>18723008369.73642</v>
      </c>
      <c r="F464" s="381">
        <v>18769464337.131519</v>
      </c>
      <c r="G464" s="381">
        <v>18815920304.526627</v>
      </c>
      <c r="H464" s="381">
        <v>18862376271.921734</v>
      </c>
      <c r="I464" s="381">
        <v>18882639068.063377</v>
      </c>
      <c r="J464" s="381">
        <v>18876877310.17984</v>
      </c>
      <c r="K464" s="381">
        <v>18802938568.071701</v>
      </c>
      <c r="L464" s="381">
        <v>18661233320.868217</v>
      </c>
      <c r="M464" s="381">
        <v>18448172930.028866</v>
      </c>
      <c r="N464" s="381">
        <v>18178235731.87011</v>
      </c>
      <c r="O464" s="381">
        <v>17857403661.455376</v>
      </c>
      <c r="P464" s="381">
        <v>17466850048.309711</v>
      </c>
      <c r="Q464" s="381">
        <v>17018809911.695381</v>
      </c>
      <c r="R464" s="381">
        <v>16523656821.76156</v>
      </c>
      <c r="S464" s="381">
        <v>15974868251.295881</v>
      </c>
      <c r="T464" s="381">
        <v>15432618277.741982</v>
      </c>
      <c r="U464" s="381">
        <v>14977084107.240566</v>
      </c>
      <c r="V464" s="381">
        <v>14606483941.762068</v>
      </c>
      <c r="W464" s="381">
        <v>14319436149.758244</v>
      </c>
      <c r="X464" s="381">
        <v>14114963676.823053</v>
      </c>
      <c r="Y464" s="381">
        <v>14122779822.052731</v>
      </c>
      <c r="Z464" s="381">
        <v>14132522191.777426</v>
      </c>
      <c r="AA464" s="381">
        <v>14143210213.199028</v>
      </c>
      <c r="AB464" s="381">
        <v>14155806678.085577</v>
      </c>
      <c r="AC464" s="381">
        <v>14170308872.535669</v>
      </c>
      <c r="AD464" s="381">
        <v>14186714287.399481</v>
      </c>
      <c r="AE464" s="381">
        <v>14204953606.868183</v>
      </c>
      <c r="AF464" s="381">
        <v>14225024012.396399</v>
      </c>
      <c r="AG464" s="381">
        <v>14246923004.975296</v>
      </c>
      <c r="AH464" s="381">
        <v>14270648405.056305</v>
      </c>
      <c r="AI464" s="381">
        <v>14296198352.593349</v>
      </c>
      <c r="AJ464" s="381">
        <v>14323571307.204903</v>
      </c>
      <c r="AK464" s="381">
        <v>14352766048.457266</v>
      </c>
      <c r="AL464" s="381">
        <v>14383781676.270285</v>
      </c>
      <c r="AM464" s="381">
        <v>14416617611.446983</v>
      </c>
      <c r="AN464" s="381">
        <v>14451273596.328384</v>
      </c>
    </row>
    <row r="465" spans="1:40">
      <c r="A465" s="30" t="s">
        <v>476</v>
      </c>
      <c r="B465" t="s">
        <v>446</v>
      </c>
      <c r="C465" t="s">
        <v>449</v>
      </c>
      <c r="D465" t="str">
        <f t="shared" si="53"/>
        <v>Total domestic electricity demandHybrid heat pumps</v>
      </c>
      <c r="E465" s="80">
        <v>11858086493.000008</v>
      </c>
      <c r="F465" s="106">
        <v>11983753946.175779</v>
      </c>
      <c r="G465" s="106">
        <v>12109421399.351551</v>
      </c>
      <c r="H465" s="106">
        <v>12235088852.527323</v>
      </c>
      <c r="I465" s="106">
        <v>12283115260.608738</v>
      </c>
      <c r="J465" s="106">
        <v>12253016003.703335</v>
      </c>
      <c r="K465" s="106">
        <v>12123487687.560911</v>
      </c>
      <c r="L465" s="106">
        <v>11914120000.868156</v>
      </c>
      <c r="M465" s="106">
        <v>11625164960.338356</v>
      </c>
      <c r="N465" s="106">
        <v>11257794832.883997</v>
      </c>
      <c r="O465" s="80">
        <v>10811863126.595045</v>
      </c>
      <c r="P465" s="106">
        <v>10300779662.583212</v>
      </c>
      <c r="Q465" s="106">
        <v>9972011474.0765972</v>
      </c>
      <c r="R465" s="106">
        <v>9599205097.9059105</v>
      </c>
      <c r="S465" s="106">
        <v>9182506285.8824043</v>
      </c>
      <c r="T465" s="106">
        <v>8724183030.0315971</v>
      </c>
      <c r="U465" s="106">
        <v>8758820495.1152496</v>
      </c>
      <c r="V465" s="106">
        <v>8793722386.9199371</v>
      </c>
      <c r="W465" s="106">
        <v>8828888705.4456635</v>
      </c>
      <c r="X465" s="106">
        <v>8864319450.6924248</v>
      </c>
      <c r="Y465" s="106">
        <v>8900944696.2262344</v>
      </c>
      <c r="Z465" s="106">
        <v>8937952929.3999138</v>
      </c>
      <c r="AA465" s="106">
        <v>8975008001.552187</v>
      </c>
      <c r="AB465" s="106">
        <v>9014137075.8139248</v>
      </c>
      <c r="AC465" s="106">
        <v>9053312989.0542583</v>
      </c>
      <c r="AD465" s="106">
        <v>9092535741.2731876</v>
      </c>
      <c r="AE465" s="106">
        <v>9131805332.4707088</v>
      </c>
      <c r="AF465" s="106">
        <v>9171121762.646822</v>
      </c>
      <c r="AG465" s="106">
        <v>9210485031.8015327</v>
      </c>
      <c r="AH465" s="106">
        <v>9249895139.9348335</v>
      </c>
      <c r="AI465" s="106">
        <v>9289352087.04673</v>
      </c>
      <c r="AJ465" s="106">
        <v>9328855873.1372204</v>
      </c>
      <c r="AK465" s="106">
        <v>9368406498.2063026</v>
      </c>
      <c r="AL465" s="106">
        <v>9408003962.2539825</v>
      </c>
      <c r="AM465" s="106">
        <v>9447648265.2802525</v>
      </c>
      <c r="AN465" s="80">
        <v>9487339407.2851143</v>
      </c>
    </row>
    <row r="466" spans="1:40">
      <c r="A466" s="30" t="s">
        <v>476</v>
      </c>
      <c r="B466" t="s">
        <v>446</v>
      </c>
      <c r="C466" t="s">
        <v>450</v>
      </c>
      <c r="D466" t="str">
        <f t="shared" si="53"/>
        <v>Total non-domestic electricity demandHybrid heat pumps</v>
      </c>
      <c r="E466" s="80">
        <v>19618605322.817085</v>
      </c>
      <c r="F466" s="106">
        <v>19701017110.02137</v>
      </c>
      <c r="G466" s="106">
        <v>19783428897.225655</v>
      </c>
      <c r="H466" s="106">
        <v>19865840684.429939</v>
      </c>
      <c r="I466" s="106">
        <v>19897479500.05381</v>
      </c>
      <c r="J466" s="106">
        <v>19878351620.279716</v>
      </c>
      <c r="K466" s="106">
        <v>19807830550.93354</v>
      </c>
      <c r="L466" s="106">
        <v>19685961560.387665</v>
      </c>
      <c r="M466" s="106">
        <v>19512721010.843521</v>
      </c>
      <c r="N466" s="106">
        <v>19288467839.674168</v>
      </c>
      <c r="O466" s="80">
        <v>19013379489.967148</v>
      </c>
      <c r="P466" s="106">
        <v>18666120242.66119</v>
      </c>
      <c r="Q466" s="106">
        <v>18268280147.257721</v>
      </c>
      <c r="R466" s="106">
        <v>17820190512.991608</v>
      </c>
      <c r="S466" s="106">
        <v>17321834254.876957</v>
      </c>
      <c r="T466" s="106">
        <v>16774078125.49081</v>
      </c>
      <c r="U466" s="106">
        <v>16828091250.388695</v>
      </c>
      <c r="V466" s="106">
        <v>16883214303.44441</v>
      </c>
      <c r="W466" s="106">
        <v>16939448330.214775</v>
      </c>
      <c r="X466" s="106">
        <v>16996794378.412342</v>
      </c>
      <c r="Y466" s="106">
        <v>17057147019.667416</v>
      </c>
      <c r="Z466" s="106">
        <v>17117534394.492079</v>
      </c>
      <c r="AA466" s="106">
        <v>17177956548.379793</v>
      </c>
      <c r="AB466" s="106">
        <v>17238413526.945835</v>
      </c>
      <c r="AC466" s="106">
        <v>17298905375.927734</v>
      </c>
      <c r="AD466" s="106">
        <v>17359432141.185688</v>
      </c>
      <c r="AE466" s="106">
        <v>17419993868.702995</v>
      </c>
      <c r="AF466" s="106">
        <v>17480590604.586487</v>
      </c>
      <c r="AG466" s="106">
        <v>17541222395.066952</v>
      </c>
      <c r="AH466" s="106">
        <v>17601889286.49958</v>
      </c>
      <c r="AI466" s="106">
        <v>17662591325.364388</v>
      </c>
      <c r="AJ466" s="106">
        <v>17723328558.266647</v>
      </c>
      <c r="AK466" s="106">
        <v>17784101031.937344</v>
      </c>
      <c r="AL466" s="106">
        <v>17844908793.233608</v>
      </c>
      <c r="AM466" s="106">
        <v>17905751889.139153</v>
      </c>
      <c r="AN466" s="80">
        <v>17966630366.764736</v>
      </c>
    </row>
    <row r="467" spans="1:40">
      <c r="A467" s="30" t="s">
        <v>476</v>
      </c>
      <c r="B467" t="s">
        <v>446</v>
      </c>
      <c r="C467" t="s">
        <v>451</v>
      </c>
      <c r="D467" t="str">
        <f t="shared" si="53"/>
        <v>Estimated additional cooking electricity demandHybrid heat pumps</v>
      </c>
      <c r="E467" s="80">
        <v>0</v>
      </c>
      <c r="F467" s="106">
        <v>14170944.699998856</v>
      </c>
      <c r="G467" s="106">
        <v>28341889.399997711</v>
      </c>
      <c r="H467" s="106">
        <v>42512834.099996567</v>
      </c>
      <c r="I467" s="106">
        <v>56683778.799995422</v>
      </c>
      <c r="J467" s="106">
        <v>70854723.499994278</v>
      </c>
      <c r="K467" s="106">
        <v>85025668.199993134</v>
      </c>
      <c r="L467" s="106">
        <v>99196612.899991989</v>
      </c>
      <c r="M467" s="106">
        <v>113367557.59999084</v>
      </c>
      <c r="N467" s="106">
        <v>127538502.2999897</v>
      </c>
      <c r="O467" s="80">
        <v>141709447</v>
      </c>
      <c r="P467" s="106">
        <v>160285997</v>
      </c>
      <c r="Q467" s="106">
        <v>178862547</v>
      </c>
      <c r="R467" s="106">
        <v>197439097</v>
      </c>
      <c r="S467" s="106">
        <v>216015647</v>
      </c>
      <c r="T467" s="106">
        <v>234592197</v>
      </c>
      <c r="U467" s="106">
        <v>253168747</v>
      </c>
      <c r="V467" s="106">
        <v>271745297</v>
      </c>
      <c r="W467" s="106">
        <v>290321847</v>
      </c>
      <c r="X467" s="106">
        <v>308898397</v>
      </c>
      <c r="Y467" s="106">
        <v>327474947</v>
      </c>
      <c r="Z467" s="106">
        <v>346051497</v>
      </c>
      <c r="AA467" s="106">
        <v>364628047</v>
      </c>
      <c r="AB467" s="106">
        <v>383204597</v>
      </c>
      <c r="AC467" s="106">
        <v>401781147</v>
      </c>
      <c r="AD467" s="106">
        <v>420357697</v>
      </c>
      <c r="AE467" s="106">
        <v>438934247</v>
      </c>
      <c r="AF467" s="106">
        <v>457510797</v>
      </c>
      <c r="AG467" s="106">
        <v>476087347</v>
      </c>
      <c r="AH467" s="106">
        <v>494663897</v>
      </c>
      <c r="AI467" s="106">
        <v>513240447</v>
      </c>
      <c r="AJ467" s="106">
        <v>531816997</v>
      </c>
      <c r="AK467" s="106">
        <v>550393547</v>
      </c>
      <c r="AL467" s="106">
        <v>568970097</v>
      </c>
      <c r="AM467" s="106">
        <v>587546647</v>
      </c>
      <c r="AN467" s="80">
        <v>606123197</v>
      </c>
    </row>
    <row r="468" spans="1:40">
      <c r="A468" s="30" t="s">
        <v>476</v>
      </c>
      <c r="B468" t="s">
        <v>446</v>
      </c>
      <c r="C468" t="s">
        <v>372</v>
      </c>
      <c r="D468" t="str">
        <f t="shared" si="53"/>
        <v>Existing domestic heat demandHybrid heat pumps</v>
      </c>
      <c r="E468" s="381">
        <v>34208540661.939991</v>
      </c>
      <c r="F468" s="381">
        <v>34208540661.939991</v>
      </c>
      <c r="G468" s="381">
        <v>34208540661.939991</v>
      </c>
      <c r="H468" s="381">
        <v>34208540661.939991</v>
      </c>
      <c r="I468" s="381">
        <v>34191840653.048702</v>
      </c>
      <c r="J468" s="381">
        <v>34121434754.166946</v>
      </c>
      <c r="K468" s="381">
        <v>33978341583.057991</v>
      </c>
      <c r="L468" s="381">
        <v>33762972256.601002</v>
      </c>
      <c r="M468" s="381">
        <v>33463482411.228897</v>
      </c>
      <c r="N468" s="381">
        <v>33103536745.592304</v>
      </c>
      <c r="O468" s="381">
        <v>32628852156.828781</v>
      </c>
      <c r="P468" s="381">
        <v>32082688008.618683</v>
      </c>
      <c r="Q468" s="381">
        <v>31466722235.45517</v>
      </c>
      <c r="R468" s="381">
        <v>30831211317.794044</v>
      </c>
      <c r="S468" s="381">
        <v>30130769328.421577</v>
      </c>
      <c r="T468" s="381">
        <v>29425898066.280334</v>
      </c>
      <c r="U468" s="381">
        <v>28910821932.790245</v>
      </c>
      <c r="V468" s="381">
        <v>28445287896.628365</v>
      </c>
      <c r="W468" s="381">
        <v>28028362353.795269</v>
      </c>
      <c r="X468" s="381">
        <v>27659354855.919117</v>
      </c>
      <c r="Y468" s="381">
        <v>27471553039.917149</v>
      </c>
      <c r="Z468" s="381">
        <v>27325126465.028748</v>
      </c>
      <c r="AA468" s="381">
        <v>27180266474.754948</v>
      </c>
      <c r="AB468" s="381">
        <v>27165888240.225182</v>
      </c>
      <c r="AC468" s="381">
        <v>27152810313.057064</v>
      </c>
      <c r="AD468" s="381">
        <v>27141030130.659027</v>
      </c>
      <c r="AE468" s="381">
        <v>27130450631.209419</v>
      </c>
      <c r="AF468" s="381">
        <v>27121054013.847313</v>
      </c>
      <c r="AG468" s="381">
        <v>27112837673.080357</v>
      </c>
      <c r="AH468" s="381">
        <v>27105799329.1203</v>
      </c>
      <c r="AI468" s="381">
        <v>27099937027.876019</v>
      </c>
      <c r="AJ468" s="381">
        <v>27095249140.947422</v>
      </c>
      <c r="AK468" s="381">
        <v>27091734365.620487</v>
      </c>
      <c r="AL468" s="381">
        <v>27089391724.863197</v>
      </c>
      <c r="AM468" s="381">
        <v>27088220567.322556</v>
      </c>
      <c r="AN468" s="381">
        <v>27088220567.322556</v>
      </c>
    </row>
    <row r="469" spans="1:40">
      <c r="A469" s="30" t="s">
        <v>476</v>
      </c>
      <c r="B469" t="s">
        <v>446</v>
      </c>
      <c r="C469" t="s">
        <v>373</v>
      </c>
      <c r="D469" t="str">
        <f t="shared" si="53"/>
        <v>Existing non-domestic heat demandHybrid heat pumps</v>
      </c>
      <c r="E469" s="381">
        <v>18723008369.73642</v>
      </c>
      <c r="F469" s="381">
        <v>18723008369.736416</v>
      </c>
      <c r="G469" s="381">
        <v>18723008369.736416</v>
      </c>
      <c r="H469" s="381">
        <v>18723008369.73642</v>
      </c>
      <c r="I469" s="381">
        <v>18696815198.482956</v>
      </c>
      <c r="J469" s="381">
        <v>18644500045.209488</v>
      </c>
      <c r="K469" s="381">
        <v>18524007907.711414</v>
      </c>
      <c r="L469" s="381">
        <v>18335749265.118</v>
      </c>
      <c r="M469" s="381">
        <v>18076135478.888714</v>
      </c>
      <c r="N469" s="381">
        <v>17759644885.340027</v>
      </c>
      <c r="O469" s="381">
        <v>17392259419.535358</v>
      </c>
      <c r="P469" s="381">
        <v>16966855657.27298</v>
      </c>
      <c r="Q469" s="381">
        <v>16483965371.541937</v>
      </c>
      <c r="R469" s="381">
        <v>15953962132.491402</v>
      </c>
      <c r="S469" s="381">
        <v>15370323412.90901</v>
      </c>
      <c r="T469" s="381">
        <v>14793223290.238396</v>
      </c>
      <c r="U469" s="381">
        <v>14302838970.620266</v>
      </c>
      <c r="V469" s="381">
        <v>13897388656.025053</v>
      </c>
      <c r="W469" s="381">
        <v>13575490714.904514</v>
      </c>
      <c r="X469" s="381">
        <v>13336168092.852612</v>
      </c>
      <c r="Y469" s="381">
        <v>13309134088.965574</v>
      </c>
      <c r="Z469" s="381">
        <v>13284026309.573555</v>
      </c>
      <c r="AA469" s="381">
        <v>13259864181.878445</v>
      </c>
      <c r="AB469" s="381">
        <v>13237610497.648279</v>
      </c>
      <c r="AC469" s="381">
        <v>13217262542.981657</v>
      </c>
      <c r="AD469" s="381">
        <v>13198817808.728754</v>
      </c>
      <c r="AE469" s="381">
        <v>13182206979.080742</v>
      </c>
      <c r="AF469" s="381">
        <v>13167427235.492245</v>
      </c>
      <c r="AG469" s="381">
        <v>13154476078.954428</v>
      </c>
      <c r="AH469" s="381">
        <v>13143351329.918722</v>
      </c>
      <c r="AI469" s="381">
        <v>13134051128.339052</v>
      </c>
      <c r="AJ469" s="381">
        <v>13126573933.833893</v>
      </c>
      <c r="AK469" s="381">
        <v>13120918525.969542</v>
      </c>
      <c r="AL469" s="381">
        <v>13117084004.665846</v>
      </c>
      <c r="AM469" s="381">
        <v>13115069790.72583</v>
      </c>
      <c r="AN469" s="381">
        <v>13114875626.490519</v>
      </c>
    </row>
    <row r="470" spans="1:40">
      <c r="A470" s="30" t="s">
        <v>476</v>
      </c>
      <c r="B470" t="s">
        <v>446</v>
      </c>
      <c r="C470" t="s">
        <v>374</v>
      </c>
      <c r="D470" t="str">
        <f t="shared" si="53"/>
        <v>Existing domestic electricity demandHybrid heat pumps</v>
      </c>
      <c r="E470" s="381">
        <v>11858086493.000008</v>
      </c>
      <c r="F470" s="381">
        <v>11858086493.000008</v>
      </c>
      <c r="G470" s="381">
        <v>11858086493.000008</v>
      </c>
      <c r="H470" s="381">
        <v>11858086493.000008</v>
      </c>
      <c r="I470" s="381">
        <v>11780445447.905653</v>
      </c>
      <c r="J470" s="381">
        <v>11624678737.824478</v>
      </c>
      <c r="K470" s="381">
        <v>11388795223.598196</v>
      </c>
      <c r="L470" s="381">
        <v>11073072338.821583</v>
      </c>
      <c r="M470" s="381">
        <v>10677762100.207924</v>
      </c>
      <c r="N470" s="381">
        <v>10204036774.669706</v>
      </c>
      <c r="O470" s="381">
        <v>9651749870.296896</v>
      </c>
      <c r="P470" s="381">
        <v>9054566217.7524261</v>
      </c>
      <c r="Q470" s="381">
        <v>8639697840.7131748</v>
      </c>
      <c r="R470" s="381">
        <v>8180791276.0098495</v>
      </c>
      <c r="S470" s="381">
        <v>7677992275.4537077</v>
      </c>
      <c r="T470" s="381">
        <v>7133568831.0702639</v>
      </c>
      <c r="U470" s="381">
        <v>7128515154.1490517</v>
      </c>
      <c r="V470" s="381">
        <v>7123725903.9488764</v>
      </c>
      <c r="W470" s="381">
        <v>7119201080.469738</v>
      </c>
      <c r="X470" s="381">
        <v>7114940683.7116356</v>
      </c>
      <c r="Y470" s="381">
        <v>7111874787.2405834</v>
      </c>
      <c r="Z470" s="381">
        <v>7109191878.409399</v>
      </c>
      <c r="AA470" s="381">
        <v>7106555808.5568085</v>
      </c>
      <c r="AB470" s="381">
        <v>7105993740.8136826</v>
      </c>
      <c r="AC470" s="381">
        <v>7105478512.0491524</v>
      </c>
      <c r="AD470" s="381">
        <v>7105010122.2632141</v>
      </c>
      <c r="AE470" s="381">
        <v>7104588571.4558706</v>
      </c>
      <c r="AF470" s="381">
        <v>7104213859.62712</v>
      </c>
      <c r="AG470" s="381">
        <v>7103885986.7769642</v>
      </c>
      <c r="AH470" s="381">
        <v>7103604952.9054012</v>
      </c>
      <c r="AI470" s="381">
        <v>7103370758.0124331</v>
      </c>
      <c r="AJ470" s="381">
        <v>7103183402.0980568</v>
      </c>
      <c r="AK470" s="381">
        <v>7103042885.1622753</v>
      </c>
      <c r="AL470" s="381">
        <v>7102949207.2050886</v>
      </c>
      <c r="AM470" s="381">
        <v>7102902368.2264938</v>
      </c>
      <c r="AN470" s="381">
        <v>7102902368.2264938</v>
      </c>
    </row>
    <row r="471" spans="1:40">
      <c r="A471" s="30" t="s">
        <v>476</v>
      </c>
      <c r="B471" t="s">
        <v>446</v>
      </c>
      <c r="C471" t="s">
        <v>375</v>
      </c>
      <c r="D471" t="str">
        <f t="shared" si="53"/>
        <v>Existing non-domestic electricity demandHybrid heat pumps</v>
      </c>
      <c r="E471" s="381">
        <v>19618605322.817085</v>
      </c>
      <c r="F471" s="381">
        <v>19618605322.817085</v>
      </c>
      <c r="G471" s="381">
        <v>19618605322.817085</v>
      </c>
      <c r="H471" s="381">
        <v>19618605322.817085</v>
      </c>
      <c r="I471" s="381">
        <v>19567832351.236671</v>
      </c>
      <c r="J471" s="381">
        <v>19466292684.258293</v>
      </c>
      <c r="K471" s="381">
        <v>19313359827.707829</v>
      </c>
      <c r="L471" s="381">
        <v>19109079049.957668</v>
      </c>
      <c r="M471" s="381">
        <v>18853426713.20924</v>
      </c>
      <c r="N471" s="381">
        <v>18546761754.835602</v>
      </c>
      <c r="O471" s="381">
        <v>18189261617.924297</v>
      </c>
      <c r="P471" s="381">
        <v>17781087870.714947</v>
      </c>
      <c r="Q471" s="381">
        <v>17322333275.408089</v>
      </c>
      <c r="R471" s="381">
        <v>16813329141.238583</v>
      </c>
      <c r="S471" s="381">
        <v>16254058383.220539</v>
      </c>
      <c r="T471" s="381">
        <v>15645387753.931</v>
      </c>
      <c r="U471" s="381">
        <v>15638486378.925493</v>
      </c>
      <c r="V471" s="381">
        <v>15632694932.077816</v>
      </c>
      <c r="W471" s="381">
        <v>15628014458.94479</v>
      </c>
      <c r="X471" s="381">
        <v>15624446007.238964</v>
      </c>
      <c r="Y471" s="381">
        <v>15623884148.590645</v>
      </c>
      <c r="Z471" s="381">
        <v>15623357023.511917</v>
      </c>
      <c r="AA471" s="381">
        <v>15622864677.496239</v>
      </c>
      <c r="AB471" s="381">
        <v>15622407156.15889</v>
      </c>
      <c r="AC471" s="381">
        <v>15621984505.237394</v>
      </c>
      <c r="AD471" s="381">
        <v>15621596770.591957</v>
      </c>
      <c r="AE471" s="381">
        <v>15621243998.205872</v>
      </c>
      <c r="AF471" s="381">
        <v>15620926234.185972</v>
      </c>
      <c r="AG471" s="381">
        <v>15620643524.763046</v>
      </c>
      <c r="AH471" s="381">
        <v>15620395916.292284</v>
      </c>
      <c r="AI471" s="381">
        <v>15620183455.253696</v>
      </c>
      <c r="AJ471" s="381">
        <v>15620006188.252565</v>
      </c>
      <c r="AK471" s="381">
        <v>15619864162.019869</v>
      </c>
      <c r="AL471" s="381">
        <v>15619757423.412741</v>
      </c>
      <c r="AM471" s="381">
        <v>15619686019.414896</v>
      </c>
      <c r="AN471" s="381">
        <v>15619649997.137085</v>
      </c>
    </row>
    <row r="472" spans="1:40">
      <c r="A472" s="30" t="s">
        <v>476</v>
      </c>
      <c r="B472" t="s">
        <v>452</v>
      </c>
      <c r="C472" t="s">
        <v>380</v>
      </c>
      <c r="D472" t="str">
        <f t="shared" si="53"/>
        <v>% new domestic heat demand from solar thermalHybrid heat pumps</v>
      </c>
      <c r="E472" s="381">
        <v>0</v>
      </c>
      <c r="F472" s="381">
        <v>0</v>
      </c>
      <c r="G472" s="381">
        <v>0</v>
      </c>
      <c r="H472" s="381">
        <v>0</v>
      </c>
      <c r="I472" s="381">
        <v>0</v>
      </c>
      <c r="J472" s="381">
        <v>3.8494588464477813E-3</v>
      </c>
      <c r="K472" s="381">
        <v>6.078472907222977E-3</v>
      </c>
      <c r="L472" s="381">
        <v>7.7437442869030685E-3</v>
      </c>
      <c r="M472" s="381">
        <v>9.0351298047125876E-3</v>
      </c>
      <c r="N472" s="381">
        <v>1.0065837719198235E-2</v>
      </c>
      <c r="O472" s="381">
        <v>1.0907562111917202E-2</v>
      </c>
      <c r="P472" s="381">
        <v>1.1483749530573156E-2</v>
      </c>
      <c r="Q472" s="381">
        <v>1.1985465227054844E-2</v>
      </c>
      <c r="R472" s="381">
        <v>1.2426270890949411E-2</v>
      </c>
      <c r="S472" s="381">
        <v>1.2816623783378245E-2</v>
      </c>
      <c r="T472" s="381">
        <v>1.3164716952922258E-2</v>
      </c>
      <c r="U472" s="381">
        <v>1.3312802365195909E-2</v>
      </c>
      <c r="V472" s="381">
        <v>1.3453848625965549E-2</v>
      </c>
      <c r="W472" s="381">
        <v>1.3588345986124713E-2</v>
      </c>
      <c r="X472" s="381">
        <v>1.3716740203931726E-2</v>
      </c>
      <c r="Y472" s="381">
        <v>1.3839437480433103E-2</v>
      </c>
      <c r="Z472" s="381">
        <v>1.3956808752181062E-2</v>
      </c>
      <c r="AA472" s="381">
        <v>1.4069193436815145E-2</v>
      </c>
      <c r="AB472" s="381">
        <v>1.4176902711174574E-2</v>
      </c>
      <c r="AC472" s="381">
        <v>1.428022238862081E-2</v>
      </c>
      <c r="AD472" s="381">
        <v>1.4379415451597091E-2</v>
      </c>
      <c r="AE472" s="381">
        <v>1.4474724286676075E-2</v>
      </c>
      <c r="AF472" s="381">
        <v>1.456637266208784E-2</v>
      </c>
      <c r="AG472" s="381">
        <v>1.4654567481692122E-2</v>
      </c>
      <c r="AH472" s="381">
        <v>1.4739500344334432E-2</v>
      </c>
      <c r="AI472" s="381">
        <v>1.4821348933321474E-2</v>
      </c>
      <c r="AJ472" s="381">
        <v>1.4900278257222878E-2</v>
      </c>
      <c r="AK472" s="381">
        <v>1.4976441760233305E-2</v>
      </c>
      <c r="AL472" s="381">
        <v>1.5049982317817418E-2</v>
      </c>
      <c r="AM472" s="381">
        <v>1.5121033131231079E-2</v>
      </c>
      <c r="AN472" s="381">
        <v>1.5189718532701735E-2</v>
      </c>
    </row>
    <row r="473" spans="1:40">
      <c r="A473" s="30" t="s">
        <v>476</v>
      </c>
      <c r="B473" t="s">
        <v>452</v>
      </c>
      <c r="C473" t="s">
        <v>381</v>
      </c>
      <c r="D473" t="str">
        <f t="shared" si="53"/>
        <v>% new non-domestic heat demand from solar thermalHybrid heat pumps</v>
      </c>
      <c r="E473" s="381">
        <v>0</v>
      </c>
      <c r="F473" s="381">
        <v>0</v>
      </c>
      <c r="G473" s="381">
        <v>0</v>
      </c>
      <c r="H473" s="381">
        <v>0</v>
      </c>
      <c r="I473" s="381">
        <v>0</v>
      </c>
      <c r="J473" s="381">
        <v>6.2087820672609116E-3</v>
      </c>
      <c r="K473" s="381">
        <v>1.0347970112101522E-2</v>
      </c>
      <c r="L473" s="381">
        <v>1.3304533001273383E-2</v>
      </c>
      <c r="M473" s="381">
        <v>1.5521955168152279E-2</v>
      </c>
      <c r="N473" s="381">
        <v>1.7246616853502532E-2</v>
      </c>
      <c r="O473" s="381">
        <v>1.8626346201782738E-2</v>
      </c>
      <c r="P473" s="381">
        <v>1.9493697003782746E-2</v>
      </c>
      <c r="Q473" s="381">
        <v>2.0248098229741378E-2</v>
      </c>
      <c r="R473" s="381">
        <v>2.0910264190128706E-2</v>
      </c>
      <c r="S473" s="381">
        <v>2.1496135816483224E-2</v>
      </c>
      <c r="T473" s="381">
        <v>2.2018180729025946E-2</v>
      </c>
      <c r="U473" s="381">
        <v>2.2486290353187412E-2</v>
      </c>
      <c r="V473" s="381">
        <v>2.290841263650658E-2</v>
      </c>
      <c r="W473" s="381">
        <v>2.3291007021043024E-2</v>
      </c>
      <c r="X473" s="381">
        <v>2.363937732031203E-2</v>
      </c>
      <c r="Y473" s="381">
        <v>2.3957919090399651E-2</v>
      </c>
      <c r="Z473" s="381">
        <v>2.4250306067716575E-2</v>
      </c>
      <c r="AA473" s="381">
        <v>2.4519632493733311E-2</v>
      </c>
      <c r="AB473" s="381">
        <v>2.4768523041881894E-2</v>
      </c>
      <c r="AC473" s="381">
        <v>2.4999218636090371E-2</v>
      </c>
      <c r="AD473" s="381">
        <v>2.521364411191299E-2</v>
      </c>
      <c r="AE473" s="381">
        <v>2.5413462049603923E-2</v>
      </c>
      <c r="AF473" s="381">
        <v>2.5600115967610922E-2</v>
      </c>
      <c r="AG473" s="381">
        <v>2.5774865251532036E-2</v>
      </c>
      <c r="AH473" s="381">
        <v>2.5938813606390217E-2</v>
      </c>
      <c r="AI473" s="381">
        <v>2.6092932391315504E-2</v>
      </c>
      <c r="AJ473" s="381">
        <v>2.6238079879272319E-2</v>
      </c>
      <c r="AK473" s="381">
        <v>2.6375017248566644E-2</v>
      </c>
      <c r="AL473" s="381">
        <v>2.6504421935359648E-2</v>
      </c>
      <c r="AM473" s="381">
        <v>2.6626898841669681E-2</v>
      </c>
      <c r="AN473" s="381">
        <v>2.6742989790215374E-2</v>
      </c>
    </row>
    <row r="474" spans="1:40">
      <c r="A474" s="30" t="s">
        <v>476</v>
      </c>
      <c r="B474" t="s">
        <v>452</v>
      </c>
      <c r="C474" t="s">
        <v>382</v>
      </c>
      <c r="D474" t="str">
        <f t="shared" si="53"/>
        <v>% existing domestic heat demand from solar thermalHybrid heat pumps</v>
      </c>
      <c r="E474" s="80">
        <v>0</v>
      </c>
      <c r="F474" s="106">
        <v>0</v>
      </c>
      <c r="G474" s="106">
        <v>0</v>
      </c>
      <c r="H474" s="106">
        <v>0</v>
      </c>
      <c r="I474" s="106">
        <v>0</v>
      </c>
      <c r="J474" s="106">
        <v>0</v>
      </c>
      <c r="K474" s="106">
        <v>2.8915029301316202E-5</v>
      </c>
      <c r="L474" s="106">
        <v>5.8111328939759328E-5</v>
      </c>
      <c r="M474" s="106">
        <v>8.7762515210606224E-5</v>
      </c>
      <c r="N474" s="106">
        <v>1.1799370598781768E-4</v>
      </c>
      <c r="O474" s="80">
        <v>1.4913863451547171E-4</v>
      </c>
      <c r="P474" s="106">
        <v>1.8131894465080764E-4</v>
      </c>
      <c r="Q474" s="106">
        <v>1.8407675222369482E-4</v>
      </c>
      <c r="R474" s="106">
        <v>1.8706355804080593E-4</v>
      </c>
      <c r="S474" s="106">
        <v>1.9050998515557585E-4</v>
      </c>
      <c r="T474" s="106">
        <v>1.9415050931288847E-4</v>
      </c>
      <c r="U474" s="106">
        <v>2.3397044673573118E-4</v>
      </c>
      <c r="V474" s="106">
        <v>3.1210495838052376E-4</v>
      </c>
      <c r="W474" s="106">
        <v>4.2975721790941069E-4</v>
      </c>
      <c r="X474" s="106">
        <v>5.8786264833322085E-4</v>
      </c>
      <c r="Y474" s="106">
        <v>7.8398919080821495E-4</v>
      </c>
      <c r="Z474" s="106">
        <v>1.019935327505132E-3</v>
      </c>
      <c r="AA474" s="106">
        <v>1.2968164244184985E-3</v>
      </c>
      <c r="AB474" s="106">
        <v>1.6089031205492306E-3</v>
      </c>
      <c r="AC474" s="106">
        <v>1.9601441298958905E-3</v>
      </c>
      <c r="AD474" s="106">
        <v>2.3505478945773958E-3</v>
      </c>
      <c r="AE474" s="106">
        <v>2.7098810423241025E-3</v>
      </c>
      <c r="AF474" s="106">
        <v>3.0294806370328121E-3</v>
      </c>
      <c r="AG474" s="106">
        <v>3.309278916846692E-3</v>
      </c>
      <c r="AH474" s="106">
        <v>3.549216510742869E-3</v>
      </c>
      <c r="AI474" s="106">
        <v>3.7492424702091397E-3</v>
      </c>
      <c r="AJ474" s="106">
        <v>3.909314296454313E-3</v>
      </c>
      <c r="AK474" s="106">
        <v>4.0293979631251236E-3</v>
      </c>
      <c r="AL474" s="106">
        <v>4.1094679345070181E-3</v>
      </c>
      <c r="AM474" s="106">
        <v>4.1495071791906877E-3</v>
      </c>
      <c r="AN474" s="80">
        <v>4.1495071791906877E-3</v>
      </c>
    </row>
    <row r="475" spans="1:40">
      <c r="A475" s="30" t="s">
        <v>476</v>
      </c>
      <c r="B475" t="s">
        <v>452</v>
      </c>
      <c r="C475" t="s">
        <v>383</v>
      </c>
      <c r="D475" t="str">
        <f t="shared" si="53"/>
        <v>% existing non-domestic heat demand from solar thermalHybrid heat pumps</v>
      </c>
      <c r="E475" s="80">
        <v>0</v>
      </c>
      <c r="F475" s="106">
        <v>0</v>
      </c>
      <c r="G475" s="106">
        <v>0</v>
      </c>
      <c r="H475" s="106">
        <v>0</v>
      </c>
      <c r="I475" s="106">
        <v>0</v>
      </c>
      <c r="J475" s="106">
        <v>0</v>
      </c>
      <c r="K475" s="106">
        <v>1.3174640449189042E-4</v>
      </c>
      <c r="L475" s="106">
        <v>2.6435496493159227E-4</v>
      </c>
      <c r="M475" s="106">
        <v>3.9823355567807171E-4</v>
      </c>
      <c r="N475" s="106">
        <v>5.3379232095558389E-4</v>
      </c>
      <c r="O475" s="80">
        <v>6.7250598531267791E-4</v>
      </c>
      <c r="P475" s="106">
        <v>8.1314221538786302E-4</v>
      </c>
      <c r="Q475" s="106">
        <v>8.2047027771814287E-4</v>
      </c>
      <c r="R475" s="106">
        <v>8.290398863313338E-4</v>
      </c>
      <c r="S475" s="106">
        <v>8.3915040091542628E-4</v>
      </c>
      <c r="T475" s="106">
        <v>8.4994286310641686E-4</v>
      </c>
      <c r="U475" s="106">
        <v>1.2326613794529011E-3</v>
      </c>
      <c r="V475" s="106">
        <v>1.9946041203971463E-3</v>
      </c>
      <c r="W475" s="106">
        <v>3.1434509242403612E-3</v>
      </c>
      <c r="X475" s="106">
        <v>4.6868877200731693E-3</v>
      </c>
      <c r="Y475" s="106">
        <v>6.589961380639559E-3</v>
      </c>
      <c r="Z475" s="106">
        <v>8.5768326338365296E-3</v>
      </c>
      <c r="AA475" s="106">
        <v>9.1644065177319059E-3</v>
      </c>
      <c r="AB475" s="106">
        <v>9.8378060856820024E-3</v>
      </c>
      <c r="AC475" s="106">
        <v>1.0597287514630913E-2</v>
      </c>
      <c r="AD475" s="106">
        <v>1.1443067505177628E-2</v>
      </c>
      <c r="AE475" s="106">
        <v>1.2206779302288117E-2</v>
      </c>
      <c r="AF475" s="106">
        <v>1.2887900057035941E-2</v>
      </c>
      <c r="AG475" s="106">
        <v>1.3485943620589531E-2</v>
      </c>
      <c r="AH475" s="106">
        <v>1.4000461241716732E-2</v>
      </c>
      <c r="AI475" s="106">
        <v>1.4431042198011767E-2</v>
      </c>
      <c r="AJ475" s="106">
        <v>1.4777314358788892E-2</v>
      </c>
      <c r="AK475" s="106">
        <v>1.5038944677811993E-2</v>
      </c>
      <c r="AL475" s="106">
        <v>1.5215639614263742E-2</v>
      </c>
      <c r="AM475" s="106">
        <v>1.5307145480601173E-2</v>
      </c>
      <c r="AN475" s="80">
        <v>1.5313248716194414E-2</v>
      </c>
    </row>
    <row r="476" spans="1:40">
      <c r="A476" s="30" t="s">
        <v>476</v>
      </c>
      <c r="B476" t="s">
        <v>453</v>
      </c>
      <c r="C476" t="s">
        <v>384</v>
      </c>
      <c r="D476" t="str">
        <f t="shared" si="53"/>
        <v>Fuel Poor - Extended RE:NEWHybrid heat pumps</v>
      </c>
      <c r="E476" s="381">
        <v>0</v>
      </c>
      <c r="F476" s="381">
        <v>0</v>
      </c>
      <c r="G476" s="381">
        <v>0</v>
      </c>
      <c r="H476" s="381">
        <v>0</v>
      </c>
      <c r="I476" s="381">
        <v>0</v>
      </c>
      <c r="J476" s="381">
        <v>0</v>
      </c>
      <c r="K476" s="381">
        <v>847.69524592823859</v>
      </c>
      <c r="L476" s="381">
        <v>1695.3904918564772</v>
      </c>
      <c r="M476" s="381">
        <v>2543.0857377847155</v>
      </c>
      <c r="N476" s="381">
        <v>2543.0857377847155</v>
      </c>
      <c r="O476" s="381">
        <v>2543.0857377847155</v>
      </c>
      <c r="P476" s="381">
        <v>2543.0857377847155</v>
      </c>
      <c r="Q476" s="381">
        <v>2543.0857377847155</v>
      </c>
      <c r="R476" s="381">
        <v>2543.0857377847155</v>
      </c>
      <c r="S476" s="381">
        <v>2427.4909315217742</v>
      </c>
      <c r="T476" s="381">
        <v>2311.8961252588324</v>
      </c>
      <c r="U476" s="381">
        <v>2196.3013189958911</v>
      </c>
      <c r="V476" s="381">
        <v>2080.7065127329488</v>
      </c>
      <c r="W476" s="381">
        <v>1965.1117064700074</v>
      </c>
      <c r="X476" s="381">
        <v>1849.5169002070656</v>
      </c>
      <c r="Y476" s="381">
        <v>1733.9220939441243</v>
      </c>
      <c r="Z476" s="381">
        <v>1618.3272876811827</v>
      </c>
      <c r="AA476" s="381">
        <v>1502.7324814182412</v>
      </c>
      <c r="AB476" s="381">
        <v>1387.1376751552993</v>
      </c>
      <c r="AC476" s="381">
        <v>1271.5428688923578</v>
      </c>
      <c r="AD476" s="381">
        <v>1155.9480626294162</v>
      </c>
      <c r="AE476" s="381">
        <v>1040.3532563664744</v>
      </c>
      <c r="AF476" s="381">
        <v>924.75845010353282</v>
      </c>
      <c r="AG476" s="381">
        <v>809.16364384059125</v>
      </c>
      <c r="AH476" s="381">
        <v>693.56883757764967</v>
      </c>
      <c r="AI476" s="381">
        <v>577.97403131470799</v>
      </c>
      <c r="AJ476" s="381">
        <v>462.37922505176641</v>
      </c>
      <c r="AK476" s="381">
        <v>346.78441878882484</v>
      </c>
      <c r="AL476" s="381">
        <v>231.18961252588321</v>
      </c>
      <c r="AM476" s="381">
        <v>115.59480626294156</v>
      </c>
      <c r="AN476" s="381">
        <v>0</v>
      </c>
    </row>
    <row r="477" spans="1:40">
      <c r="A477" s="30" t="s">
        <v>476</v>
      </c>
      <c r="B477" t="s">
        <v>453</v>
      </c>
      <c r="C477" t="s">
        <v>385</v>
      </c>
      <c r="D477" t="str">
        <f t="shared" si="53"/>
        <v>Fuel Poor - Landlord MEES - EPC CHybrid heat pumps</v>
      </c>
      <c r="E477" s="381">
        <v>0</v>
      </c>
      <c r="F477" s="381">
        <v>0</v>
      </c>
      <c r="G477" s="381">
        <v>0</v>
      </c>
      <c r="H477" s="381">
        <v>0</v>
      </c>
      <c r="I477" s="381">
        <v>903.58973214734544</v>
      </c>
      <c r="J477" s="381">
        <v>1807.1794642946909</v>
      </c>
      <c r="K477" s="381">
        <v>2710.7691964420364</v>
      </c>
      <c r="L477" s="381">
        <v>3614.3589285893818</v>
      </c>
      <c r="M477" s="381">
        <v>4517.9486607367271</v>
      </c>
      <c r="N477" s="381">
        <v>5421.5383928840729</v>
      </c>
      <c r="O477" s="381">
        <v>6325.1281250314178</v>
      </c>
      <c r="P477" s="381">
        <v>7228.7178571787636</v>
      </c>
      <c r="Q477" s="381">
        <v>8132.3075893261093</v>
      </c>
      <c r="R477" s="381">
        <v>9035.8973214734542</v>
      </c>
      <c r="S477" s="381">
        <v>9939.4870536208</v>
      </c>
      <c r="T477" s="381">
        <v>9939.4870536208</v>
      </c>
      <c r="U477" s="381">
        <v>0</v>
      </c>
      <c r="V477" s="381">
        <v>0</v>
      </c>
      <c r="W477" s="381">
        <v>0</v>
      </c>
      <c r="X477" s="381">
        <v>0</v>
      </c>
      <c r="Y477" s="381">
        <v>0</v>
      </c>
      <c r="Z477" s="381">
        <v>0</v>
      </c>
      <c r="AA477" s="381">
        <v>0</v>
      </c>
      <c r="AB477" s="381">
        <v>0</v>
      </c>
      <c r="AC477" s="381">
        <v>0</v>
      </c>
      <c r="AD477" s="381">
        <v>0</v>
      </c>
      <c r="AE477" s="381">
        <v>0</v>
      </c>
      <c r="AF477" s="381">
        <v>0</v>
      </c>
      <c r="AG477" s="381">
        <v>0</v>
      </c>
      <c r="AH477" s="381">
        <v>0</v>
      </c>
      <c r="AI477" s="381">
        <v>0</v>
      </c>
      <c r="AJ477" s="381">
        <v>0</v>
      </c>
      <c r="AK477" s="381">
        <v>0</v>
      </c>
      <c r="AL477" s="381">
        <v>0</v>
      </c>
      <c r="AM477" s="381">
        <v>0</v>
      </c>
      <c r="AN477" s="381">
        <v>0</v>
      </c>
    </row>
    <row r="478" spans="1:40">
      <c r="A478" s="30" t="s">
        <v>476</v>
      </c>
      <c r="B478" t="s">
        <v>453</v>
      </c>
      <c r="C478" t="s">
        <v>386</v>
      </c>
      <c r="D478" t="str">
        <f t="shared" si="53"/>
        <v>Fuel Poor - All buildings MEES - EPC CHybrid heat pumps</v>
      </c>
      <c r="E478" s="381">
        <v>0</v>
      </c>
      <c r="F478" s="381">
        <v>0</v>
      </c>
      <c r="G478" s="381">
        <v>0</v>
      </c>
      <c r="H478" s="381">
        <v>0</v>
      </c>
      <c r="I478" s="381">
        <v>0</v>
      </c>
      <c r="J478" s="381">
        <v>0</v>
      </c>
      <c r="K478" s="381">
        <v>2900.962946048905</v>
      </c>
      <c r="L478" s="381">
        <v>5801.92589209781</v>
      </c>
      <c r="M478" s="381">
        <v>8702.8888381467132</v>
      </c>
      <c r="N478" s="381">
        <v>11603.85178419562</v>
      </c>
      <c r="O478" s="381">
        <v>14504.814730244525</v>
      </c>
      <c r="P478" s="381">
        <v>17405.777676293426</v>
      </c>
      <c r="Q478" s="381">
        <v>20306.740622342335</v>
      </c>
      <c r="R478" s="381">
        <v>23207.70356839124</v>
      </c>
      <c r="S478" s="381">
        <v>26108.666514440141</v>
      </c>
      <c r="T478" s="381">
        <v>26108.666514440141</v>
      </c>
      <c r="U478" s="381">
        <v>0</v>
      </c>
      <c r="V478" s="381">
        <v>0</v>
      </c>
      <c r="W478" s="381">
        <v>0</v>
      </c>
      <c r="X478" s="381">
        <v>0</v>
      </c>
      <c r="Y478" s="381">
        <v>0</v>
      </c>
      <c r="Z478" s="381">
        <v>0</v>
      </c>
      <c r="AA478" s="381">
        <v>0</v>
      </c>
      <c r="AB478" s="381">
        <v>0</v>
      </c>
      <c r="AC478" s="381">
        <v>0</v>
      </c>
      <c r="AD478" s="381">
        <v>0</v>
      </c>
      <c r="AE478" s="381">
        <v>0</v>
      </c>
      <c r="AF478" s="381">
        <v>0</v>
      </c>
      <c r="AG478" s="381">
        <v>0</v>
      </c>
      <c r="AH478" s="381">
        <v>0</v>
      </c>
      <c r="AI478" s="381">
        <v>0</v>
      </c>
      <c r="AJ478" s="381">
        <v>0</v>
      </c>
      <c r="AK478" s="381">
        <v>0</v>
      </c>
      <c r="AL478" s="381">
        <v>0</v>
      </c>
      <c r="AM478" s="381">
        <v>0</v>
      </c>
      <c r="AN478" s="381">
        <v>0</v>
      </c>
    </row>
    <row r="479" spans="1:40">
      <c r="A479" s="30" t="s">
        <v>476</v>
      </c>
      <c r="B479" t="s">
        <v>453</v>
      </c>
      <c r="C479" t="s">
        <v>387</v>
      </c>
      <c r="D479" t="str">
        <f t="shared" si="53"/>
        <v>Fuel Poor - Extended energy LeapHybrid heat pumps</v>
      </c>
      <c r="E479" s="381">
        <v>0</v>
      </c>
      <c r="F479" s="381">
        <v>0</v>
      </c>
      <c r="G479" s="381">
        <v>0</v>
      </c>
      <c r="H479" s="381">
        <v>0</v>
      </c>
      <c r="I479" s="381">
        <v>0</v>
      </c>
      <c r="J479" s="381">
        <v>0</v>
      </c>
      <c r="K479" s="381">
        <v>0</v>
      </c>
      <c r="L479" s="381">
        <v>0</v>
      </c>
      <c r="M479" s="381">
        <v>0</v>
      </c>
      <c r="N479" s="381">
        <v>0</v>
      </c>
      <c r="O479" s="381">
        <v>385.89525411046941</v>
      </c>
      <c r="P479" s="381">
        <v>771.79050822093882</v>
      </c>
      <c r="Q479" s="381">
        <v>1157.6857623314081</v>
      </c>
      <c r="R479" s="381">
        <v>1543.5810164418776</v>
      </c>
      <c r="S479" s="381">
        <v>1929.4762705523469</v>
      </c>
      <c r="T479" s="381">
        <v>2315.3715246628162</v>
      </c>
      <c r="U479" s="381">
        <v>2701.2667787732858</v>
      </c>
      <c r="V479" s="381">
        <v>3087.1620328837553</v>
      </c>
      <c r="W479" s="381">
        <v>3473.0572869942243</v>
      </c>
      <c r="X479" s="381">
        <v>3858.9525411046939</v>
      </c>
      <c r="Y479" s="381">
        <v>3858.9525411046939</v>
      </c>
      <c r="Z479" s="381">
        <v>3858.9525411046939</v>
      </c>
      <c r="AA479" s="381">
        <v>3858.9525411046939</v>
      </c>
      <c r="AB479" s="381">
        <v>0</v>
      </c>
      <c r="AC479" s="381">
        <v>0</v>
      </c>
      <c r="AD479" s="381">
        <v>0</v>
      </c>
      <c r="AE479" s="381">
        <v>0</v>
      </c>
      <c r="AF479" s="381">
        <v>0</v>
      </c>
      <c r="AG479" s="381">
        <v>0</v>
      </c>
      <c r="AH479" s="381">
        <v>0</v>
      </c>
      <c r="AI479" s="381">
        <v>0</v>
      </c>
      <c r="AJ479" s="381">
        <v>0</v>
      </c>
      <c r="AK479" s="381">
        <v>0</v>
      </c>
      <c r="AL479" s="381">
        <v>0</v>
      </c>
      <c r="AM479" s="381">
        <v>0</v>
      </c>
      <c r="AN479" s="381">
        <v>0</v>
      </c>
    </row>
    <row r="480" spans="1:40">
      <c r="A480" s="30" t="s">
        <v>476</v>
      </c>
      <c r="B480" t="s">
        <v>453</v>
      </c>
      <c r="C480" t="s">
        <v>388</v>
      </c>
      <c r="D480" t="str">
        <f t="shared" si="53"/>
        <v>Social housing - Extended RE:NEWHybrid heat pumps</v>
      </c>
      <c r="E480" s="381">
        <v>0</v>
      </c>
      <c r="F480" s="381">
        <v>0</v>
      </c>
      <c r="G480" s="381">
        <v>0</v>
      </c>
      <c r="H480" s="381">
        <v>0</v>
      </c>
      <c r="I480" s="381">
        <v>0</v>
      </c>
      <c r="J480" s="381">
        <v>0</v>
      </c>
      <c r="K480" s="381">
        <v>1692.4717286497607</v>
      </c>
      <c r="L480" s="381">
        <v>3384.9434572995215</v>
      </c>
      <c r="M480" s="381">
        <v>5077.4151859492831</v>
      </c>
      <c r="N480" s="381">
        <v>5077.4151859492831</v>
      </c>
      <c r="O480" s="381">
        <v>5077.4151859492831</v>
      </c>
      <c r="P480" s="381">
        <v>5077.4151859492831</v>
      </c>
      <c r="Q480" s="381">
        <v>5077.4151859492831</v>
      </c>
      <c r="R480" s="381">
        <v>5077.4151859492831</v>
      </c>
      <c r="S480" s="381">
        <v>4846.6235865879516</v>
      </c>
      <c r="T480" s="381">
        <v>4615.8319872266202</v>
      </c>
      <c r="U480" s="381">
        <v>4385.0403878652896</v>
      </c>
      <c r="V480" s="381">
        <v>4154.2487885039591</v>
      </c>
      <c r="W480" s="381">
        <v>3923.4571891426276</v>
      </c>
      <c r="X480" s="381">
        <v>3692.6655897812961</v>
      </c>
      <c r="Y480" s="381">
        <v>3461.8739904199656</v>
      </c>
      <c r="Z480" s="381">
        <v>3231.0823910586341</v>
      </c>
      <c r="AA480" s="381">
        <v>3000.2907916973036</v>
      </c>
      <c r="AB480" s="381">
        <v>2769.4991923359721</v>
      </c>
      <c r="AC480" s="381">
        <v>2538.7075929746416</v>
      </c>
      <c r="AD480" s="381">
        <v>2307.9159936133101</v>
      </c>
      <c r="AE480" s="381">
        <v>2077.1243942519795</v>
      </c>
      <c r="AF480" s="381">
        <v>1846.3327948906481</v>
      </c>
      <c r="AG480" s="381">
        <v>1615.5411955293171</v>
      </c>
      <c r="AH480" s="381">
        <v>1384.7495961679861</v>
      </c>
      <c r="AI480" s="381">
        <v>1153.957996806655</v>
      </c>
      <c r="AJ480" s="381">
        <v>923.16639744532381</v>
      </c>
      <c r="AK480" s="381">
        <v>692.37479808399303</v>
      </c>
      <c r="AL480" s="381">
        <v>461.58319872266202</v>
      </c>
      <c r="AM480" s="381">
        <v>230.79159936133101</v>
      </c>
      <c r="AN480" s="381">
        <v>0</v>
      </c>
    </row>
    <row r="481" spans="1:40">
      <c r="A481" s="30" t="s">
        <v>476</v>
      </c>
      <c r="B481" t="s">
        <v>453</v>
      </c>
      <c r="C481" t="s">
        <v>389</v>
      </c>
      <c r="D481" t="str">
        <f t="shared" si="53"/>
        <v>Social housing - All buildings MEES - EPC CHybrid heat pumps</v>
      </c>
      <c r="E481" s="381">
        <v>0</v>
      </c>
      <c r="F481" s="381">
        <v>0</v>
      </c>
      <c r="G481" s="381">
        <v>0</v>
      </c>
      <c r="H481" s="381">
        <v>0</v>
      </c>
      <c r="I481" s="381">
        <v>0</v>
      </c>
      <c r="J481" s="381">
        <v>0</v>
      </c>
      <c r="K481" s="381">
        <v>3790.6094738002512</v>
      </c>
      <c r="L481" s="381">
        <v>7581.2189476005024</v>
      </c>
      <c r="M481" s="381">
        <v>11371.828421400753</v>
      </c>
      <c r="N481" s="381">
        <v>15162.437895201005</v>
      </c>
      <c r="O481" s="381">
        <v>18953.047369001259</v>
      </c>
      <c r="P481" s="381">
        <v>22743.656842801505</v>
      </c>
      <c r="Q481" s="381">
        <v>26534.266316601759</v>
      </c>
      <c r="R481" s="381">
        <v>30324.875790402009</v>
      </c>
      <c r="S481" s="381">
        <v>34115.48526420226</v>
      </c>
      <c r="T481" s="381">
        <v>34115.48526420226</v>
      </c>
      <c r="U481" s="381">
        <v>27292.388211361809</v>
      </c>
      <c r="V481" s="381">
        <v>20469.291158521359</v>
      </c>
      <c r="W481" s="381">
        <v>13646.194105680903</v>
      </c>
      <c r="X481" s="381">
        <v>6823.0970528404523</v>
      </c>
      <c r="Y481" s="381">
        <v>1.8189894035458565E-12</v>
      </c>
      <c r="Z481" s="381">
        <v>0</v>
      </c>
      <c r="AA481" s="381">
        <v>0</v>
      </c>
      <c r="AB481" s="381">
        <v>0</v>
      </c>
      <c r="AC481" s="381">
        <v>0</v>
      </c>
      <c r="AD481" s="381">
        <v>0</v>
      </c>
      <c r="AE481" s="381">
        <v>0</v>
      </c>
      <c r="AF481" s="381">
        <v>0</v>
      </c>
      <c r="AG481" s="381">
        <v>0</v>
      </c>
      <c r="AH481" s="381">
        <v>0</v>
      </c>
      <c r="AI481" s="381">
        <v>0</v>
      </c>
      <c r="AJ481" s="381">
        <v>0</v>
      </c>
      <c r="AK481" s="381">
        <v>0</v>
      </c>
      <c r="AL481" s="381">
        <v>0</v>
      </c>
      <c r="AM481" s="381">
        <v>0</v>
      </c>
      <c r="AN481" s="381">
        <v>0</v>
      </c>
    </row>
    <row r="482" spans="1:40">
      <c r="A482" s="30" t="s">
        <v>476</v>
      </c>
      <c r="B482" t="s">
        <v>453</v>
      </c>
      <c r="C482" t="s">
        <v>390</v>
      </c>
      <c r="D482" t="str">
        <f t="shared" si="53"/>
        <v>Social housing - Extended energy LeapHybrid heat pumps</v>
      </c>
      <c r="E482" s="80">
        <v>0</v>
      </c>
      <c r="F482" s="106">
        <v>0</v>
      </c>
      <c r="G482" s="106">
        <v>0</v>
      </c>
      <c r="H482" s="106">
        <v>0</v>
      </c>
      <c r="I482" s="106">
        <v>0</v>
      </c>
      <c r="J482" s="106">
        <v>0</v>
      </c>
      <c r="K482" s="106">
        <v>0</v>
      </c>
      <c r="L482" s="106">
        <v>0</v>
      </c>
      <c r="M482" s="106">
        <v>0</v>
      </c>
      <c r="N482" s="106">
        <v>0</v>
      </c>
      <c r="O482" s="80">
        <v>509.66177798994977</v>
      </c>
      <c r="P482" s="106">
        <v>1019.3235559798995</v>
      </c>
      <c r="Q482" s="106">
        <v>1528.9853339698493</v>
      </c>
      <c r="R482" s="106">
        <v>2038.6471119597991</v>
      </c>
      <c r="S482" s="106">
        <v>2548.3088899497488</v>
      </c>
      <c r="T482" s="106">
        <v>3057.9706679396986</v>
      </c>
      <c r="U482" s="106">
        <v>3567.6324459296484</v>
      </c>
      <c r="V482" s="106">
        <v>4077.2942239195982</v>
      </c>
      <c r="W482" s="106">
        <v>4586.9560019095479</v>
      </c>
      <c r="X482" s="106">
        <v>5096.6177798994977</v>
      </c>
      <c r="Y482" s="106">
        <v>5096.6177798994977</v>
      </c>
      <c r="Z482" s="106">
        <v>5096.6177798994977</v>
      </c>
      <c r="AA482" s="106">
        <v>5096.6177798994977</v>
      </c>
      <c r="AB482" s="106">
        <v>0</v>
      </c>
      <c r="AC482" s="106">
        <v>0</v>
      </c>
      <c r="AD482" s="106">
        <v>0</v>
      </c>
      <c r="AE482" s="106">
        <v>0</v>
      </c>
      <c r="AF482" s="106">
        <v>0</v>
      </c>
      <c r="AG482" s="106">
        <v>0</v>
      </c>
      <c r="AH482" s="106">
        <v>0</v>
      </c>
      <c r="AI482" s="106">
        <v>0</v>
      </c>
      <c r="AJ482" s="106">
        <v>0</v>
      </c>
      <c r="AK482" s="106">
        <v>0</v>
      </c>
      <c r="AL482" s="106">
        <v>0</v>
      </c>
      <c r="AM482" s="106">
        <v>0</v>
      </c>
      <c r="AN482" s="80">
        <v>0</v>
      </c>
    </row>
    <row r="483" spans="1:40">
      <c r="A483" s="30" t="s">
        <v>476</v>
      </c>
      <c r="B483" t="s">
        <v>453</v>
      </c>
      <c r="C483" t="s">
        <v>391</v>
      </c>
      <c r="D483" t="str">
        <f t="shared" si="53"/>
        <v>Able to pay - Building Regulations and planning policyHybrid heat pumps</v>
      </c>
      <c r="E483" s="80">
        <v>0</v>
      </c>
      <c r="F483" s="106">
        <v>0</v>
      </c>
      <c r="G483" s="106">
        <v>0</v>
      </c>
      <c r="H483" s="106">
        <v>0</v>
      </c>
      <c r="I483" s="106">
        <v>0</v>
      </c>
      <c r="J483" s="106">
        <v>8046.9723287404267</v>
      </c>
      <c r="K483" s="106">
        <v>8046.9723287404267</v>
      </c>
      <c r="L483" s="106">
        <v>8046.9723287404267</v>
      </c>
      <c r="M483" s="106">
        <v>8046.9723287404267</v>
      </c>
      <c r="N483" s="106">
        <v>8046.9723287404267</v>
      </c>
      <c r="O483" s="80">
        <v>8046.9723287404267</v>
      </c>
      <c r="P483" s="106">
        <v>8046.9723287404267</v>
      </c>
      <c r="Q483" s="106">
        <v>8046.9723287404267</v>
      </c>
      <c r="R483" s="106">
        <v>0</v>
      </c>
      <c r="S483" s="106">
        <v>0</v>
      </c>
      <c r="T483" s="106">
        <v>0</v>
      </c>
      <c r="U483" s="106">
        <v>0</v>
      </c>
      <c r="V483" s="106">
        <v>0</v>
      </c>
      <c r="W483" s="106">
        <v>0</v>
      </c>
      <c r="X483" s="106">
        <v>0</v>
      </c>
      <c r="Y483" s="106">
        <v>0</v>
      </c>
      <c r="Z483" s="106">
        <v>0</v>
      </c>
      <c r="AA483" s="106">
        <v>0</v>
      </c>
      <c r="AB483" s="106">
        <v>0</v>
      </c>
      <c r="AC483" s="106">
        <v>0</v>
      </c>
      <c r="AD483" s="106">
        <v>0</v>
      </c>
      <c r="AE483" s="106">
        <v>0</v>
      </c>
      <c r="AF483" s="106">
        <v>0</v>
      </c>
      <c r="AG483" s="106">
        <v>0</v>
      </c>
      <c r="AH483" s="106">
        <v>0</v>
      </c>
      <c r="AI483" s="106">
        <v>0</v>
      </c>
      <c r="AJ483" s="106">
        <v>0</v>
      </c>
      <c r="AK483" s="106">
        <v>0</v>
      </c>
      <c r="AL483" s="106">
        <v>0</v>
      </c>
      <c r="AM483" s="106">
        <v>0</v>
      </c>
      <c r="AN483" s="80">
        <v>0</v>
      </c>
    </row>
    <row r="484" spans="1:40">
      <c r="A484" s="30" t="s">
        <v>476</v>
      </c>
      <c r="B484" t="s">
        <v>453</v>
      </c>
      <c r="C484" t="s">
        <v>392</v>
      </c>
      <c r="D484" t="str">
        <f t="shared" si="53"/>
        <v>Able to pay - Council tax variation by EPCHybrid heat pumps</v>
      </c>
      <c r="E484" s="80">
        <v>0</v>
      </c>
      <c r="F484" s="106">
        <v>0</v>
      </c>
      <c r="G484" s="106">
        <v>0</v>
      </c>
      <c r="H484" s="106">
        <v>0</v>
      </c>
      <c r="I484" s="106">
        <v>0</v>
      </c>
      <c r="J484" s="106">
        <v>0</v>
      </c>
      <c r="K484" s="106">
        <v>0</v>
      </c>
      <c r="L484" s="106">
        <v>0</v>
      </c>
      <c r="M484" s="106">
        <v>2571.3750702388747</v>
      </c>
      <c r="N484" s="106">
        <v>2571.3750702388747</v>
      </c>
      <c r="O484" s="80">
        <v>2571.3750702388747</v>
      </c>
      <c r="P484" s="106">
        <v>2571.3750702388747</v>
      </c>
      <c r="Q484" s="106">
        <v>2571.3750702388747</v>
      </c>
      <c r="R484" s="106">
        <v>0</v>
      </c>
      <c r="S484" s="106">
        <v>0</v>
      </c>
      <c r="T484" s="106">
        <v>0</v>
      </c>
      <c r="U484" s="106">
        <v>0</v>
      </c>
      <c r="V484" s="106">
        <v>0</v>
      </c>
      <c r="W484" s="106">
        <v>0</v>
      </c>
      <c r="X484" s="106">
        <v>0</v>
      </c>
      <c r="Y484" s="106">
        <v>0</v>
      </c>
      <c r="Z484" s="106">
        <v>0</v>
      </c>
      <c r="AA484" s="106">
        <v>0</v>
      </c>
      <c r="AB484" s="106">
        <v>0</v>
      </c>
      <c r="AC484" s="106">
        <v>0</v>
      </c>
      <c r="AD484" s="106">
        <v>0</v>
      </c>
      <c r="AE484" s="106">
        <v>0</v>
      </c>
      <c r="AF484" s="106">
        <v>0</v>
      </c>
      <c r="AG484" s="106">
        <v>0</v>
      </c>
      <c r="AH484" s="106">
        <v>0</v>
      </c>
      <c r="AI484" s="106">
        <v>0</v>
      </c>
      <c r="AJ484" s="106">
        <v>0</v>
      </c>
      <c r="AK484" s="106">
        <v>0</v>
      </c>
      <c r="AL484" s="106">
        <v>0</v>
      </c>
      <c r="AM484" s="106">
        <v>0</v>
      </c>
      <c r="AN484" s="80">
        <v>0</v>
      </c>
    </row>
    <row r="485" spans="1:40">
      <c r="A485" s="30" t="s">
        <v>476</v>
      </c>
      <c r="B485" t="s">
        <v>453</v>
      </c>
      <c r="C485" t="s">
        <v>393</v>
      </c>
      <c r="D485" t="str">
        <f t="shared" si="53"/>
        <v>Able to pay - Landlord MEES - EPC CHybrid heat pumps</v>
      </c>
      <c r="E485" s="381">
        <v>0</v>
      </c>
      <c r="F485" s="381">
        <v>0</v>
      </c>
      <c r="G485" s="381">
        <v>0</v>
      </c>
      <c r="H485" s="381">
        <v>0</v>
      </c>
      <c r="I485" s="381">
        <v>2557.3203580175409</v>
      </c>
      <c r="J485" s="381">
        <v>5114.6407160350818</v>
      </c>
      <c r="K485" s="381">
        <v>7671.9610740526223</v>
      </c>
      <c r="L485" s="381">
        <v>10229.281432070164</v>
      </c>
      <c r="M485" s="381">
        <v>12786.601790087705</v>
      </c>
      <c r="N485" s="381">
        <v>15343.922148105245</v>
      </c>
      <c r="O485" s="381">
        <v>17901.242506122788</v>
      </c>
      <c r="P485" s="381">
        <v>20458.562864140327</v>
      </c>
      <c r="Q485" s="381">
        <v>23015.883222157867</v>
      </c>
      <c r="R485" s="381">
        <v>25573.20358017541</v>
      </c>
      <c r="S485" s="381">
        <v>28130.52393819295</v>
      </c>
      <c r="T485" s="381">
        <v>28130.52393819295</v>
      </c>
      <c r="U485" s="381">
        <v>22504.41915055436</v>
      </c>
      <c r="V485" s="381">
        <v>16878.314362915771</v>
      </c>
      <c r="W485" s="381">
        <v>11252.209575277178</v>
      </c>
      <c r="X485" s="381">
        <v>5626.1047876385892</v>
      </c>
      <c r="Y485" s="381">
        <v>0</v>
      </c>
      <c r="Z485" s="381">
        <v>0</v>
      </c>
      <c r="AA485" s="381">
        <v>0</v>
      </c>
      <c r="AB485" s="381">
        <v>0</v>
      </c>
      <c r="AC485" s="381">
        <v>0</v>
      </c>
      <c r="AD485" s="381">
        <v>0</v>
      </c>
      <c r="AE485" s="381">
        <v>0</v>
      </c>
      <c r="AF485" s="381">
        <v>0</v>
      </c>
      <c r="AG485" s="381">
        <v>0</v>
      </c>
      <c r="AH485" s="381">
        <v>0</v>
      </c>
      <c r="AI485" s="381">
        <v>0</v>
      </c>
      <c r="AJ485" s="381">
        <v>0</v>
      </c>
      <c r="AK485" s="381">
        <v>0</v>
      </c>
      <c r="AL485" s="381">
        <v>0</v>
      </c>
      <c r="AM485" s="381">
        <v>0</v>
      </c>
      <c r="AN485" s="381">
        <v>0</v>
      </c>
    </row>
    <row r="486" spans="1:40">
      <c r="A486" s="30" t="s">
        <v>476</v>
      </c>
      <c r="B486" t="s">
        <v>453</v>
      </c>
      <c r="C486" t="s">
        <v>394</v>
      </c>
      <c r="D486" t="str">
        <f t="shared" si="53"/>
        <v>Able to pay - Stamp duty energy efficiency scalingHybrid heat pumps</v>
      </c>
      <c r="E486" s="381">
        <v>0</v>
      </c>
      <c r="F486" s="381">
        <v>0</v>
      </c>
      <c r="G486" s="381">
        <v>0</v>
      </c>
      <c r="H486" s="381">
        <v>0</v>
      </c>
      <c r="I486" s="381">
        <v>0</v>
      </c>
      <c r="J486" s="381">
        <v>0</v>
      </c>
      <c r="K486" s="381">
        <v>0</v>
      </c>
      <c r="L486" s="381">
        <v>0</v>
      </c>
      <c r="M486" s="381">
        <v>0</v>
      </c>
      <c r="N486" s="381">
        <v>0</v>
      </c>
      <c r="O486" s="381">
        <v>8571.2502341295822</v>
      </c>
      <c r="P486" s="381">
        <v>8571.2502341295822</v>
      </c>
      <c r="Q486" s="381">
        <v>8571.2502341295822</v>
      </c>
      <c r="R486" s="381">
        <v>8571.2502341295822</v>
      </c>
      <c r="S486" s="381">
        <v>8571.2502341295822</v>
      </c>
      <c r="T486" s="381">
        <v>8571.2502341295822</v>
      </c>
      <c r="U486" s="381">
        <v>8571.2502341295822</v>
      </c>
      <c r="V486" s="381">
        <v>8571.2502341295822</v>
      </c>
      <c r="W486" s="381">
        <v>8571.2502341295822</v>
      </c>
      <c r="X486" s="381">
        <v>8571.2502341295822</v>
      </c>
      <c r="Y486" s="381">
        <v>8571.2502341295822</v>
      </c>
      <c r="Z486" s="381">
        <v>0</v>
      </c>
      <c r="AA486" s="381">
        <v>0</v>
      </c>
      <c r="AB486" s="381">
        <v>0</v>
      </c>
      <c r="AC486" s="381">
        <v>0</v>
      </c>
      <c r="AD486" s="381">
        <v>0</v>
      </c>
      <c r="AE486" s="381">
        <v>0</v>
      </c>
      <c r="AF486" s="381">
        <v>0</v>
      </c>
      <c r="AG486" s="381">
        <v>0</v>
      </c>
      <c r="AH486" s="381">
        <v>0</v>
      </c>
      <c r="AI486" s="381">
        <v>0</v>
      </c>
      <c r="AJ486" s="381">
        <v>0</v>
      </c>
      <c r="AK486" s="381">
        <v>0</v>
      </c>
      <c r="AL486" s="381">
        <v>0</v>
      </c>
      <c r="AM486" s="381">
        <v>0</v>
      </c>
      <c r="AN486" s="381">
        <v>0</v>
      </c>
    </row>
    <row r="487" spans="1:40">
      <c r="A487" s="30" t="s">
        <v>476</v>
      </c>
      <c r="B487" t="s">
        <v>453</v>
      </c>
      <c r="C487" t="s">
        <v>395</v>
      </c>
      <c r="D487" t="str">
        <f t="shared" si="53"/>
        <v>Able to pay - Extended Energy LeapHybrid heat pumps</v>
      </c>
      <c r="E487" s="381">
        <v>0</v>
      </c>
      <c r="F487" s="381">
        <v>0</v>
      </c>
      <c r="G487" s="381">
        <v>0</v>
      </c>
      <c r="H487" s="381">
        <v>0</v>
      </c>
      <c r="I487" s="381">
        <v>0</v>
      </c>
      <c r="J487" s="381">
        <v>0</v>
      </c>
      <c r="K487" s="381">
        <v>0</v>
      </c>
      <c r="L487" s="381">
        <v>0</v>
      </c>
      <c r="M487" s="381">
        <v>0</v>
      </c>
      <c r="N487" s="381">
        <v>0</v>
      </c>
      <c r="O487" s="381">
        <v>1687.2524179462703</v>
      </c>
      <c r="P487" s="381">
        <v>3374.5048358925405</v>
      </c>
      <c r="Q487" s="381">
        <v>5061.7572538388113</v>
      </c>
      <c r="R487" s="381">
        <v>6749.0096717850811</v>
      </c>
      <c r="S487" s="381">
        <v>8436.26208973135</v>
      </c>
      <c r="T487" s="381">
        <v>10123.514507677623</v>
      </c>
      <c r="U487" s="381">
        <v>11810.766925623891</v>
      </c>
      <c r="V487" s="381">
        <v>13498.019343570162</v>
      </c>
      <c r="W487" s="381">
        <v>15185.271761516433</v>
      </c>
      <c r="X487" s="381">
        <v>16872.5241794627</v>
      </c>
      <c r="Y487" s="381">
        <v>16872.5241794627</v>
      </c>
      <c r="Z487" s="381">
        <v>16872.5241794627</v>
      </c>
      <c r="AA487" s="381">
        <v>16872.5241794627</v>
      </c>
      <c r="AB487" s="381">
        <v>0</v>
      </c>
      <c r="AC487" s="381">
        <v>0</v>
      </c>
      <c r="AD487" s="381">
        <v>0</v>
      </c>
      <c r="AE487" s="381">
        <v>0</v>
      </c>
      <c r="AF487" s="381">
        <v>0</v>
      </c>
      <c r="AG487" s="381">
        <v>0</v>
      </c>
      <c r="AH487" s="381">
        <v>0</v>
      </c>
      <c r="AI487" s="381">
        <v>0</v>
      </c>
      <c r="AJ487" s="381">
        <v>0</v>
      </c>
      <c r="AK487" s="381">
        <v>0</v>
      </c>
      <c r="AL487" s="381">
        <v>0</v>
      </c>
      <c r="AM487" s="381">
        <v>0</v>
      </c>
      <c r="AN487" s="381">
        <v>0</v>
      </c>
    </row>
    <row r="488" spans="1:40">
      <c r="A488" s="30" t="s">
        <v>476</v>
      </c>
      <c r="B488" t="s">
        <v>453</v>
      </c>
      <c r="C488" t="s">
        <v>396</v>
      </c>
      <c r="D488" t="str">
        <f t="shared" si="53"/>
        <v>Able to pay - All buildings MEES - EPC CHybrid heat pumps</v>
      </c>
      <c r="E488" s="381">
        <v>0</v>
      </c>
      <c r="F488" s="381">
        <v>0</v>
      </c>
      <c r="G488" s="381">
        <v>0</v>
      </c>
      <c r="H488" s="381">
        <v>0</v>
      </c>
      <c r="I488" s="381">
        <v>0</v>
      </c>
      <c r="J488" s="381">
        <v>0</v>
      </c>
      <c r="K488" s="381">
        <v>2316.7739750826727</v>
      </c>
      <c r="L488" s="381">
        <v>4633.5479501653454</v>
      </c>
      <c r="M488" s="381">
        <v>6950.3219252480185</v>
      </c>
      <c r="N488" s="381">
        <v>9267.0959003306907</v>
      </c>
      <c r="O488" s="381">
        <v>11583.869875413364</v>
      </c>
      <c r="P488" s="381">
        <v>13900.643850496037</v>
      </c>
      <c r="Q488" s="381">
        <v>16217.41782557871</v>
      </c>
      <c r="R488" s="381">
        <v>18534.191800661381</v>
      </c>
      <c r="S488" s="381">
        <v>20850.965775744058</v>
      </c>
      <c r="T488" s="381">
        <v>20850.965775744058</v>
      </c>
      <c r="U488" s="381">
        <v>20850.965775744058</v>
      </c>
      <c r="V488" s="381">
        <v>20850.965775744058</v>
      </c>
      <c r="W488" s="381">
        <v>20850.965775744058</v>
      </c>
      <c r="X488" s="381">
        <v>20850.965775744058</v>
      </c>
      <c r="Y488" s="381">
        <v>0</v>
      </c>
      <c r="Z488" s="381">
        <v>0</v>
      </c>
      <c r="AA488" s="381">
        <v>0</v>
      </c>
      <c r="AB488" s="381">
        <v>0</v>
      </c>
      <c r="AC488" s="381">
        <v>0</v>
      </c>
      <c r="AD488" s="381">
        <v>0</v>
      </c>
      <c r="AE488" s="381">
        <v>0</v>
      </c>
      <c r="AF488" s="381">
        <v>0</v>
      </c>
      <c r="AG488" s="381">
        <v>0</v>
      </c>
      <c r="AH488" s="381">
        <v>0</v>
      </c>
      <c r="AI488" s="381">
        <v>0</v>
      </c>
      <c r="AJ488" s="381">
        <v>0</v>
      </c>
      <c r="AK488" s="381">
        <v>0</v>
      </c>
      <c r="AL488" s="381">
        <v>0</v>
      </c>
      <c r="AM488" s="381">
        <v>0</v>
      </c>
      <c r="AN488" s="381">
        <v>0</v>
      </c>
    </row>
    <row r="489" spans="1:40">
      <c r="A489" s="30" t="s">
        <v>476</v>
      </c>
      <c r="B489" t="s">
        <v>453</v>
      </c>
      <c r="C489" t="s">
        <v>398</v>
      </c>
      <c r="D489" t="str">
        <f t="shared" si="53"/>
        <v>Existing - Domestic ALL - Mandate on lighting efficiencyHybrid heat pumps</v>
      </c>
      <c r="E489" s="381">
        <v>0</v>
      </c>
      <c r="F489" s="381">
        <v>0</v>
      </c>
      <c r="G489" s="381">
        <v>0</v>
      </c>
      <c r="H489" s="381">
        <v>0</v>
      </c>
      <c r="I489" s="381">
        <v>83987.305714285729</v>
      </c>
      <c r="J489" s="381">
        <v>167974.61142857146</v>
      </c>
      <c r="K489" s="381">
        <v>251961.91714285716</v>
      </c>
      <c r="L489" s="381">
        <v>335949.22285714292</v>
      </c>
      <c r="M489" s="381">
        <v>419936.52857142861</v>
      </c>
      <c r="N489" s="381">
        <v>503923.83428571431</v>
      </c>
      <c r="O489" s="381">
        <v>587911.14000000013</v>
      </c>
      <c r="P489" s="381">
        <v>587911.14000000013</v>
      </c>
      <c r="Q489" s="381">
        <v>0</v>
      </c>
      <c r="R489" s="381">
        <v>0</v>
      </c>
      <c r="S489" s="381">
        <v>0</v>
      </c>
      <c r="T489" s="381">
        <v>0</v>
      </c>
      <c r="U489" s="381">
        <v>0</v>
      </c>
      <c r="V489" s="381">
        <v>0</v>
      </c>
      <c r="W489" s="381">
        <v>0</v>
      </c>
      <c r="X489" s="381">
        <v>0</v>
      </c>
      <c r="Y489" s="381">
        <v>0</v>
      </c>
      <c r="Z489" s="381">
        <v>0</v>
      </c>
      <c r="AA489" s="381">
        <v>0</v>
      </c>
      <c r="AB489" s="381">
        <v>0</v>
      </c>
      <c r="AC489" s="381">
        <v>0</v>
      </c>
      <c r="AD489" s="381">
        <v>0</v>
      </c>
      <c r="AE489" s="381">
        <v>0</v>
      </c>
      <c r="AF489" s="381">
        <v>0</v>
      </c>
      <c r="AG489" s="381">
        <v>0</v>
      </c>
      <c r="AH489" s="381">
        <v>0</v>
      </c>
      <c r="AI489" s="381">
        <v>0</v>
      </c>
      <c r="AJ489" s="381">
        <v>0</v>
      </c>
      <c r="AK489" s="381">
        <v>0</v>
      </c>
      <c r="AL489" s="381">
        <v>0</v>
      </c>
      <c r="AM489" s="381">
        <v>0</v>
      </c>
      <c r="AN489" s="381">
        <v>0</v>
      </c>
    </row>
    <row r="490" spans="1:40">
      <c r="A490" s="30" t="s">
        <v>476</v>
      </c>
      <c r="B490" t="s">
        <v>453</v>
      </c>
      <c r="C490" t="s">
        <v>399</v>
      </c>
      <c r="D490" t="str">
        <f t="shared" si="53"/>
        <v>Existing - Domestic ALL - Mandate on appliance efficiencyHybrid heat pumps</v>
      </c>
      <c r="E490" s="381">
        <v>0</v>
      </c>
      <c r="F490" s="381">
        <v>0</v>
      </c>
      <c r="G490" s="381">
        <v>0</v>
      </c>
      <c r="H490" s="381">
        <v>0</v>
      </c>
      <c r="I490" s="381">
        <v>37686.61153846154</v>
      </c>
      <c r="J490" s="381">
        <v>75373.223076923081</v>
      </c>
      <c r="K490" s="381">
        <v>113059.83461538462</v>
      </c>
      <c r="L490" s="381">
        <v>150746.44615384616</v>
      </c>
      <c r="M490" s="381">
        <v>188433.05769230769</v>
      </c>
      <c r="N490" s="381">
        <v>226119.66923076924</v>
      </c>
      <c r="O490" s="381">
        <v>263806.2807692308</v>
      </c>
      <c r="P490" s="381">
        <v>301492.89230769232</v>
      </c>
      <c r="Q490" s="381">
        <v>339179.50384615379</v>
      </c>
      <c r="R490" s="381">
        <v>376866.11538461538</v>
      </c>
      <c r="S490" s="381">
        <v>414552.7269230769</v>
      </c>
      <c r="T490" s="381">
        <v>452239.33846153849</v>
      </c>
      <c r="U490" s="381">
        <v>0</v>
      </c>
      <c r="V490" s="381">
        <v>0</v>
      </c>
      <c r="W490" s="381">
        <v>0</v>
      </c>
      <c r="X490" s="381">
        <v>0</v>
      </c>
      <c r="Y490" s="381">
        <v>0</v>
      </c>
      <c r="Z490" s="381">
        <v>0</v>
      </c>
      <c r="AA490" s="381">
        <v>0</v>
      </c>
      <c r="AB490" s="381">
        <v>0</v>
      </c>
      <c r="AC490" s="381">
        <v>0</v>
      </c>
      <c r="AD490" s="381">
        <v>0</v>
      </c>
      <c r="AE490" s="381">
        <v>0</v>
      </c>
      <c r="AF490" s="381">
        <v>0</v>
      </c>
      <c r="AG490" s="381">
        <v>0</v>
      </c>
      <c r="AH490" s="381">
        <v>0</v>
      </c>
      <c r="AI490" s="381">
        <v>0</v>
      </c>
      <c r="AJ490" s="381">
        <v>0</v>
      </c>
      <c r="AK490" s="381">
        <v>0</v>
      </c>
      <c r="AL490" s="381">
        <v>0</v>
      </c>
      <c r="AM490" s="381">
        <v>0</v>
      </c>
      <c r="AN490" s="381">
        <v>0</v>
      </c>
    </row>
    <row r="491" spans="1:40">
      <c r="A491" s="30" t="s">
        <v>476</v>
      </c>
      <c r="B491" t="s">
        <v>453</v>
      </c>
      <c r="C491" t="s">
        <v>400</v>
      </c>
      <c r="D491" t="str">
        <f t="shared" si="53"/>
        <v>New - Domestic ALL - Mandate on lighting efficiencyHybrid heat pumps</v>
      </c>
      <c r="E491">
        <v>0</v>
      </c>
      <c r="F491">
        <v>71977.11975266278</v>
      </c>
      <c r="G491">
        <v>71977.11975266278</v>
      </c>
      <c r="H491">
        <v>71977.11975266278</v>
      </c>
      <c r="I491">
        <v>71977.11975266278</v>
      </c>
      <c r="J491">
        <v>71977.119752662577</v>
      </c>
      <c r="K491">
        <v>60915.858763309036</v>
      </c>
      <c r="L491">
        <v>60915.858763309036</v>
      </c>
      <c r="M491">
        <v>60915.858763309036</v>
      </c>
      <c r="N491">
        <v>60915.858763309036</v>
      </c>
      <c r="O491">
        <v>60915.858763309545</v>
      </c>
      <c r="P491">
        <v>49314.627010641634</v>
      </c>
      <c r="Q491">
        <v>49314.627010641634</v>
      </c>
      <c r="R491">
        <v>49314.627010641634</v>
      </c>
      <c r="S491">
        <v>49314.627010641634</v>
      </c>
      <c r="T491">
        <v>49314.62701064159</v>
      </c>
      <c r="U491">
        <v>22733.44457142887</v>
      </c>
      <c r="V491">
        <v>22733.444571428765</v>
      </c>
      <c r="W491">
        <v>22733.444571428765</v>
      </c>
      <c r="X491">
        <v>22733.444571428765</v>
      </c>
      <c r="Y491">
        <v>22733.444571428765</v>
      </c>
      <c r="Z491">
        <v>22733.444571428765</v>
      </c>
      <c r="AA491">
        <v>22733.444571428765</v>
      </c>
      <c r="AB491">
        <v>22733.444571428765</v>
      </c>
      <c r="AC491">
        <v>22733.444571428765</v>
      </c>
      <c r="AD491">
        <v>22733.444571430729</v>
      </c>
      <c r="AE491">
        <v>22733.444571429187</v>
      </c>
      <c r="AF491">
        <v>22733.444571429391</v>
      </c>
      <c r="AG491">
        <v>22733.444571429391</v>
      </c>
      <c r="AH491">
        <v>22733.444571429391</v>
      </c>
      <c r="AI491">
        <v>22733.444571429391</v>
      </c>
      <c r="AJ491">
        <v>22733.444571429391</v>
      </c>
      <c r="AK491">
        <v>22733.444571429391</v>
      </c>
      <c r="AL491">
        <v>22733.444571429391</v>
      </c>
      <c r="AM491">
        <v>22733.444571429391</v>
      </c>
      <c r="AN491">
        <v>22733.444571427295</v>
      </c>
    </row>
    <row r="492" spans="1:40">
      <c r="A492" s="30" t="s">
        <v>476</v>
      </c>
      <c r="B492" t="s">
        <v>453</v>
      </c>
      <c r="C492" t="s">
        <v>401</v>
      </c>
      <c r="D492" t="str">
        <f t="shared" si="53"/>
        <v>New - Domestic ALL - Mandate on appliance efficiencyHybrid heat pumps</v>
      </c>
      <c r="E492">
        <v>0</v>
      </c>
      <c r="F492">
        <v>71977.11975266278</v>
      </c>
      <c r="G492">
        <v>71977.11975266278</v>
      </c>
      <c r="H492">
        <v>71977.11975266278</v>
      </c>
      <c r="I492">
        <v>71977.11975266278</v>
      </c>
      <c r="J492">
        <v>71977.119752662577</v>
      </c>
      <c r="K492">
        <v>60915.858763309036</v>
      </c>
      <c r="L492">
        <v>60915.858763309036</v>
      </c>
      <c r="M492">
        <v>60915.858763309036</v>
      </c>
      <c r="N492">
        <v>60915.858763309036</v>
      </c>
      <c r="O492">
        <v>60915.858763309545</v>
      </c>
      <c r="P492">
        <v>49314.627010641634</v>
      </c>
      <c r="Q492">
        <v>49314.627010641634</v>
      </c>
      <c r="R492">
        <v>49314.627010641634</v>
      </c>
      <c r="S492">
        <v>49314.627010641634</v>
      </c>
      <c r="T492">
        <v>49314.62701064159</v>
      </c>
      <c r="U492">
        <v>22733.44457142887</v>
      </c>
      <c r="V492">
        <v>22733.444571428765</v>
      </c>
      <c r="W492">
        <v>22733.444571428765</v>
      </c>
      <c r="X492">
        <v>22733.444571428765</v>
      </c>
      <c r="Y492">
        <v>22733.444571428765</v>
      </c>
      <c r="Z492">
        <v>22733.444571428765</v>
      </c>
      <c r="AA492">
        <v>22733.444571428765</v>
      </c>
      <c r="AB492">
        <v>22733.444571428765</v>
      </c>
      <c r="AC492">
        <v>22733.444571428765</v>
      </c>
      <c r="AD492">
        <v>22733.444571430729</v>
      </c>
      <c r="AE492">
        <v>22733.444571429187</v>
      </c>
      <c r="AF492">
        <v>22733.444571429391</v>
      </c>
      <c r="AG492">
        <v>22733.444571429391</v>
      </c>
      <c r="AH492">
        <v>22733.444571429391</v>
      </c>
      <c r="AI492">
        <v>22733.444571429391</v>
      </c>
      <c r="AJ492">
        <v>22733.444571429391</v>
      </c>
      <c r="AK492">
        <v>22733.444571429391</v>
      </c>
      <c r="AL492">
        <v>22733.444571429391</v>
      </c>
      <c r="AM492">
        <v>22733.444571429391</v>
      </c>
      <c r="AN492">
        <v>22733.444571427295</v>
      </c>
    </row>
    <row r="493" spans="1:40">
      <c r="A493" s="30" t="s">
        <v>476</v>
      </c>
      <c r="B493" t="s">
        <v>453</v>
      </c>
      <c r="C493" t="s">
        <v>402</v>
      </c>
      <c r="D493" t="str">
        <f t="shared" si="53"/>
        <v>New - Domestic ALL - Stronger planning requirement for smart controls  Hybrid heat pumps</v>
      </c>
      <c r="E493">
        <v>0</v>
      </c>
      <c r="F493">
        <v>33739.27488406068</v>
      </c>
      <c r="G493">
        <v>33739.27488406068</v>
      </c>
      <c r="H493">
        <v>33739.27488406068</v>
      </c>
      <c r="I493">
        <v>33739.27488406068</v>
      </c>
      <c r="J493">
        <v>33739.274884060578</v>
      </c>
      <c r="K493">
        <v>28554.308795301105</v>
      </c>
      <c r="L493">
        <v>28554.308795301105</v>
      </c>
      <c r="M493">
        <v>28554.308795301105</v>
      </c>
      <c r="N493">
        <v>28554.308795301105</v>
      </c>
      <c r="O493">
        <v>28554.308795301349</v>
      </c>
      <c r="P493">
        <v>23116.23141123827</v>
      </c>
      <c r="Q493">
        <v>23116.23141123827</v>
      </c>
      <c r="R493">
        <v>23116.23141123827</v>
      </c>
      <c r="S493">
        <v>23116.23141123827</v>
      </c>
      <c r="T493">
        <v>23116.231411238245</v>
      </c>
      <c r="U493">
        <v>10656.302142857283</v>
      </c>
      <c r="V493">
        <v>10656.302142857232</v>
      </c>
      <c r="W493">
        <v>10656.302142857232</v>
      </c>
      <c r="X493">
        <v>10656.302142857232</v>
      </c>
      <c r="Y493">
        <v>10656.302142857232</v>
      </c>
      <c r="Z493">
        <v>10656.302142857232</v>
      </c>
      <c r="AA493">
        <v>10656.302142857232</v>
      </c>
      <c r="AB493">
        <v>10656.302142857232</v>
      </c>
      <c r="AC493">
        <v>10656.302142857232</v>
      </c>
      <c r="AD493">
        <v>10656.302142858154</v>
      </c>
      <c r="AE493">
        <v>10656.302142857428</v>
      </c>
      <c r="AF493">
        <v>10656.302142857527</v>
      </c>
      <c r="AG493">
        <v>10656.302142857527</v>
      </c>
      <c r="AH493">
        <v>10656.302142857527</v>
      </c>
      <c r="AI493">
        <v>10656.302142857527</v>
      </c>
      <c r="AJ493">
        <v>10656.302142857527</v>
      </c>
      <c r="AK493">
        <v>10656.302142857527</v>
      </c>
      <c r="AL493">
        <v>10656.302142857527</v>
      </c>
      <c r="AM493">
        <v>10656.302142857527</v>
      </c>
      <c r="AN493">
        <v>10656.302142856544</v>
      </c>
    </row>
    <row r="494" spans="1:40">
      <c r="A494" s="30" t="s">
        <v>476</v>
      </c>
      <c r="B494" t="s">
        <v>453</v>
      </c>
      <c r="C494" t="s">
        <v>406</v>
      </c>
      <c r="D494" t="str">
        <f t="shared" si="53"/>
        <v>SME - Energy efficiency programmeHybrid heat pumps</v>
      </c>
      <c r="E494">
        <v>0</v>
      </c>
      <c r="F494">
        <v>0</v>
      </c>
      <c r="G494">
        <v>0</v>
      </c>
      <c r="H494">
        <v>0</v>
      </c>
      <c r="I494">
        <v>0</v>
      </c>
      <c r="J494">
        <v>0</v>
      </c>
      <c r="K494">
        <v>248.53609702764493</v>
      </c>
      <c r="L494">
        <v>497.07219405528986</v>
      </c>
      <c r="M494">
        <v>745.60829108293478</v>
      </c>
      <c r="N494">
        <v>745.60829108293478</v>
      </c>
      <c r="O494">
        <v>745.60829108293478</v>
      </c>
      <c r="P494">
        <v>745.60829108293478</v>
      </c>
      <c r="Q494">
        <v>745.60829108293478</v>
      </c>
      <c r="R494">
        <v>745.60829108293478</v>
      </c>
      <c r="S494">
        <v>711.71700512461962</v>
      </c>
      <c r="T494">
        <v>677.82571916630445</v>
      </c>
      <c r="U494">
        <v>643.93443320798917</v>
      </c>
      <c r="V494">
        <v>610.04314724967389</v>
      </c>
      <c r="W494">
        <v>576.15186129135873</v>
      </c>
      <c r="X494">
        <v>542.26057533304345</v>
      </c>
      <c r="Y494">
        <v>508.36928937472828</v>
      </c>
      <c r="Z494">
        <v>474.47800341641312</v>
      </c>
      <c r="AA494">
        <v>440.58671745809784</v>
      </c>
      <c r="AB494">
        <v>406.69543149978267</v>
      </c>
      <c r="AC494">
        <v>372.80414554146739</v>
      </c>
      <c r="AD494">
        <v>338.91285958315217</v>
      </c>
      <c r="AE494">
        <v>305.02157362483695</v>
      </c>
      <c r="AF494">
        <v>271.13028766652178</v>
      </c>
      <c r="AG494">
        <v>237.23900170820656</v>
      </c>
      <c r="AH494">
        <v>203.34771574989131</v>
      </c>
      <c r="AI494">
        <v>169.45642979157606</v>
      </c>
      <c r="AJ494">
        <v>135.56514383326089</v>
      </c>
      <c r="AK494">
        <v>101.67385787494561</v>
      </c>
      <c r="AL494">
        <v>67.782571916630445</v>
      </c>
      <c r="AM494">
        <v>33.891285958315166</v>
      </c>
      <c r="AN494">
        <v>0</v>
      </c>
    </row>
    <row r="495" spans="1:40">
      <c r="A495" s="30" t="s">
        <v>476</v>
      </c>
      <c r="B495" t="s">
        <v>453</v>
      </c>
      <c r="C495" t="s">
        <v>407</v>
      </c>
      <c r="D495" t="str">
        <f t="shared" si="53"/>
        <v>SME - Landlord MEES – EPC CHybrid heat pumps</v>
      </c>
      <c r="E495">
        <v>0</v>
      </c>
      <c r="F495">
        <v>0</v>
      </c>
      <c r="G495">
        <v>0</v>
      </c>
      <c r="H495">
        <v>0</v>
      </c>
      <c r="I495">
        <v>388.66922707277246</v>
      </c>
      <c r="J495">
        <v>777.33845414554492</v>
      </c>
      <c r="K495">
        <v>1166.0076812183174</v>
      </c>
      <c r="L495">
        <v>1554.6769082910898</v>
      </c>
      <c r="M495">
        <v>1943.3461353638622</v>
      </c>
      <c r="N495">
        <v>2332.0153624366349</v>
      </c>
      <c r="O495">
        <v>2720.684589509407</v>
      </c>
      <c r="P495">
        <v>2720.684589509407</v>
      </c>
      <c r="Q495">
        <v>2720.684589509407</v>
      </c>
      <c r="R495">
        <v>2720.684589509407</v>
      </c>
      <c r="S495">
        <v>2720.684589509407</v>
      </c>
      <c r="T495">
        <v>2720.684589509407</v>
      </c>
      <c r="U495">
        <v>2176.5476716075254</v>
      </c>
      <c r="V495">
        <v>1632.4107537056443</v>
      </c>
      <c r="W495">
        <v>1088.2738358037629</v>
      </c>
      <c r="X495">
        <v>544.13691790188159</v>
      </c>
      <c r="Y495">
        <v>4.5474735088646412E-13</v>
      </c>
      <c r="Z495">
        <v>0</v>
      </c>
      <c r="AA495">
        <v>0</v>
      </c>
      <c r="AB495">
        <v>0</v>
      </c>
      <c r="AC495">
        <v>0</v>
      </c>
      <c r="AD495">
        <v>0</v>
      </c>
      <c r="AE495">
        <v>0</v>
      </c>
      <c r="AF495">
        <v>0</v>
      </c>
      <c r="AG495">
        <v>0</v>
      </c>
      <c r="AH495">
        <v>0</v>
      </c>
      <c r="AI495">
        <v>0</v>
      </c>
      <c r="AJ495">
        <v>0</v>
      </c>
      <c r="AK495">
        <v>0</v>
      </c>
      <c r="AL495">
        <v>0</v>
      </c>
      <c r="AM495">
        <v>0</v>
      </c>
      <c r="AN495">
        <v>0</v>
      </c>
    </row>
    <row r="496" spans="1:40">
      <c r="A496" s="30" t="s">
        <v>476</v>
      </c>
      <c r="B496" t="s">
        <v>453</v>
      </c>
      <c r="C496" t="s">
        <v>408</v>
      </c>
      <c r="D496" t="str">
        <f t="shared" si="53"/>
        <v>SME - Energy performance tax grading – business ratesHybrid heat pumps</v>
      </c>
      <c r="E496">
        <v>0</v>
      </c>
      <c r="F496">
        <v>0</v>
      </c>
      <c r="G496">
        <v>0</v>
      </c>
      <c r="H496">
        <v>0</v>
      </c>
      <c r="I496">
        <v>0</v>
      </c>
      <c r="J496">
        <v>0</v>
      </c>
      <c r="K496">
        <v>0</v>
      </c>
      <c r="L496">
        <v>0</v>
      </c>
      <c r="M496">
        <v>0</v>
      </c>
      <c r="N496">
        <v>151.80386033750349</v>
      </c>
      <c r="O496">
        <v>151.80386033750349</v>
      </c>
      <c r="P496">
        <v>151.80386033750349</v>
      </c>
      <c r="Q496">
        <v>151.80386033750349</v>
      </c>
      <c r="R496">
        <v>0</v>
      </c>
      <c r="S496">
        <v>0</v>
      </c>
      <c r="T496">
        <v>0</v>
      </c>
      <c r="U496">
        <v>0</v>
      </c>
      <c r="V496">
        <v>0</v>
      </c>
      <c r="W496">
        <v>0</v>
      </c>
      <c r="X496">
        <v>0</v>
      </c>
      <c r="Y496">
        <v>0</v>
      </c>
      <c r="Z496">
        <v>0</v>
      </c>
      <c r="AA496">
        <v>0</v>
      </c>
      <c r="AB496">
        <v>0</v>
      </c>
      <c r="AC496">
        <v>0</v>
      </c>
      <c r="AD496">
        <v>0</v>
      </c>
      <c r="AE496">
        <v>0</v>
      </c>
      <c r="AF496">
        <v>0</v>
      </c>
      <c r="AG496">
        <v>0</v>
      </c>
      <c r="AH496">
        <v>0</v>
      </c>
      <c r="AI496">
        <v>0</v>
      </c>
      <c r="AJ496">
        <v>0</v>
      </c>
      <c r="AK496">
        <v>0</v>
      </c>
      <c r="AL496">
        <v>0</v>
      </c>
      <c r="AM496">
        <v>0</v>
      </c>
      <c r="AN496">
        <v>0</v>
      </c>
    </row>
    <row r="497" spans="1:40">
      <c r="A497" s="30" t="s">
        <v>476</v>
      </c>
      <c r="B497" t="s">
        <v>453</v>
      </c>
      <c r="C497" t="s">
        <v>409</v>
      </c>
      <c r="D497" t="str">
        <f t="shared" si="53"/>
        <v>SME - All buildings MEES – EPC CHybrid heat pumps</v>
      </c>
      <c r="E497">
        <v>0</v>
      </c>
      <c r="F497">
        <v>0</v>
      </c>
      <c r="G497">
        <v>0</v>
      </c>
      <c r="H497">
        <v>0</v>
      </c>
      <c r="I497">
        <v>0</v>
      </c>
      <c r="J497">
        <v>0</v>
      </c>
      <c r="K497">
        <v>0</v>
      </c>
      <c r="L497">
        <v>0</v>
      </c>
      <c r="M497">
        <v>0</v>
      </c>
      <c r="N497">
        <v>0</v>
      </c>
      <c r="O497">
        <v>0</v>
      </c>
      <c r="P497">
        <v>347.3333889364099</v>
      </c>
      <c r="Q497">
        <v>694.66677787281981</v>
      </c>
      <c r="R497">
        <v>1042.0001668092298</v>
      </c>
      <c r="S497">
        <v>1389.3335557456396</v>
      </c>
      <c r="T497">
        <v>1389.3335557456396</v>
      </c>
      <c r="U497">
        <v>1389.3335557456396</v>
      </c>
      <c r="V497">
        <v>1389.3335557456396</v>
      </c>
      <c r="W497">
        <v>1389.3335557456396</v>
      </c>
      <c r="X497">
        <v>1389.3335557456396</v>
      </c>
      <c r="Y497">
        <v>0</v>
      </c>
      <c r="Z497">
        <v>0</v>
      </c>
      <c r="AA497">
        <v>0</v>
      </c>
      <c r="AB497">
        <v>0</v>
      </c>
      <c r="AC497">
        <v>0</v>
      </c>
      <c r="AD497">
        <v>0</v>
      </c>
      <c r="AE497">
        <v>0</v>
      </c>
      <c r="AF497">
        <v>0</v>
      </c>
      <c r="AG497">
        <v>0</v>
      </c>
      <c r="AH497">
        <v>0</v>
      </c>
      <c r="AI497">
        <v>0</v>
      </c>
      <c r="AJ497">
        <v>0</v>
      </c>
      <c r="AK497">
        <v>0</v>
      </c>
      <c r="AL497">
        <v>0</v>
      </c>
      <c r="AM497">
        <v>0</v>
      </c>
      <c r="AN497">
        <v>0</v>
      </c>
    </row>
    <row r="498" spans="1:40">
      <c r="A498" s="30" t="s">
        <v>476</v>
      </c>
      <c r="B498" t="s">
        <v>453</v>
      </c>
      <c r="C498" t="s">
        <v>410</v>
      </c>
      <c r="D498" t="str">
        <f t="shared" si="53"/>
        <v>Large Enterprise - Landlord MEES – EPC CHybrid heat pumps</v>
      </c>
      <c r="E498">
        <v>0</v>
      </c>
      <c r="F498">
        <v>0</v>
      </c>
      <c r="G498">
        <v>0</v>
      </c>
      <c r="H498">
        <v>0</v>
      </c>
      <c r="I498">
        <v>357.04960693076697</v>
      </c>
      <c r="J498">
        <v>714.09921386153394</v>
      </c>
      <c r="K498">
        <v>1071.148820792301</v>
      </c>
      <c r="L498">
        <v>1428.1984277230679</v>
      </c>
      <c r="M498">
        <v>1785.2480346538348</v>
      </c>
      <c r="N498">
        <v>2142.2976415846019</v>
      </c>
      <c r="O498">
        <v>2499.3472485153688</v>
      </c>
      <c r="P498">
        <v>2499.3472485153688</v>
      </c>
      <c r="Q498">
        <v>2499.3472485153688</v>
      </c>
      <c r="R498">
        <v>2499.3472485153688</v>
      </c>
      <c r="S498">
        <v>2499.3472485153688</v>
      </c>
      <c r="T498">
        <v>2499.3472485153688</v>
      </c>
      <c r="U498">
        <v>1999.4777988122951</v>
      </c>
      <c r="V498">
        <v>1499.6083491092213</v>
      </c>
      <c r="W498">
        <v>999.73889940614754</v>
      </c>
      <c r="X498">
        <v>499.86944970307377</v>
      </c>
      <c r="Y498">
        <v>0</v>
      </c>
      <c r="Z498">
        <v>0</v>
      </c>
      <c r="AA498">
        <v>0</v>
      </c>
      <c r="AB498">
        <v>0</v>
      </c>
      <c r="AC498">
        <v>0</v>
      </c>
      <c r="AD498">
        <v>0</v>
      </c>
      <c r="AE498">
        <v>0</v>
      </c>
      <c r="AF498">
        <v>0</v>
      </c>
      <c r="AG498">
        <v>0</v>
      </c>
      <c r="AH498">
        <v>0</v>
      </c>
      <c r="AI498">
        <v>0</v>
      </c>
      <c r="AJ498">
        <v>0</v>
      </c>
      <c r="AK498">
        <v>0</v>
      </c>
      <c r="AL498">
        <v>0</v>
      </c>
      <c r="AM498">
        <v>0</v>
      </c>
      <c r="AN498">
        <v>0</v>
      </c>
    </row>
    <row r="499" spans="1:40">
      <c r="A499" s="30" t="s">
        <v>476</v>
      </c>
      <c r="B499" t="s">
        <v>453</v>
      </c>
      <c r="C499" t="s">
        <v>411</v>
      </c>
      <c r="D499" t="str">
        <f t="shared" si="53"/>
        <v>Large Enterprise - Energy performance tax grading – business ratesHybrid heat pumps</v>
      </c>
      <c r="E499">
        <v>0</v>
      </c>
      <c r="F499">
        <v>0</v>
      </c>
      <c r="G499">
        <v>0</v>
      </c>
      <c r="H499">
        <v>0</v>
      </c>
      <c r="I499">
        <v>0</v>
      </c>
      <c r="J499">
        <v>0</v>
      </c>
      <c r="K499">
        <v>0</v>
      </c>
      <c r="L499">
        <v>0</v>
      </c>
      <c r="M499">
        <v>102.02169715610641</v>
      </c>
      <c r="N499">
        <v>102.02169715610641</v>
      </c>
      <c r="O499">
        <v>102.02169715610641</v>
      </c>
      <c r="P499">
        <v>102.02169715610641</v>
      </c>
      <c r="Q499">
        <v>102.02169715610641</v>
      </c>
      <c r="R499">
        <v>0</v>
      </c>
      <c r="S499">
        <v>0</v>
      </c>
      <c r="T499">
        <v>0</v>
      </c>
      <c r="U499">
        <v>0</v>
      </c>
      <c r="V499">
        <v>0</v>
      </c>
      <c r="W499">
        <v>0</v>
      </c>
      <c r="X499">
        <v>0</v>
      </c>
      <c r="Y499">
        <v>0</v>
      </c>
      <c r="Z499">
        <v>0</v>
      </c>
      <c r="AA499">
        <v>0</v>
      </c>
      <c r="AB499">
        <v>0</v>
      </c>
      <c r="AC499">
        <v>0</v>
      </c>
      <c r="AD499">
        <v>0</v>
      </c>
      <c r="AE499">
        <v>0</v>
      </c>
      <c r="AF499">
        <v>0</v>
      </c>
      <c r="AG499">
        <v>0</v>
      </c>
      <c r="AH499">
        <v>0</v>
      </c>
      <c r="AI499">
        <v>0</v>
      </c>
      <c r="AJ499">
        <v>0</v>
      </c>
      <c r="AK499">
        <v>0</v>
      </c>
      <c r="AL499">
        <v>0</v>
      </c>
      <c r="AM499">
        <v>0</v>
      </c>
      <c r="AN499">
        <v>0</v>
      </c>
    </row>
    <row r="500" spans="1:40">
      <c r="A500" s="30" t="s">
        <v>476</v>
      </c>
      <c r="B500" t="s">
        <v>453</v>
      </c>
      <c r="C500" t="s">
        <v>412</v>
      </c>
      <c r="D500" t="str">
        <f t="shared" si="53"/>
        <v>Large Enterprise - All buildings MEES – EPC CHybrid heat pumps</v>
      </c>
      <c r="E500">
        <v>0</v>
      </c>
      <c r="F500">
        <v>0</v>
      </c>
      <c r="G500">
        <v>0</v>
      </c>
      <c r="H500">
        <v>0</v>
      </c>
      <c r="I500">
        <v>0</v>
      </c>
      <c r="J500">
        <v>0</v>
      </c>
      <c r="K500">
        <v>0</v>
      </c>
      <c r="L500">
        <v>0</v>
      </c>
      <c r="M500">
        <v>0</v>
      </c>
      <c r="N500">
        <v>0</v>
      </c>
      <c r="O500">
        <v>0</v>
      </c>
      <c r="P500">
        <v>364.73403224367905</v>
      </c>
      <c r="Q500">
        <v>729.46806448735811</v>
      </c>
      <c r="R500">
        <v>1094.2020967310373</v>
      </c>
      <c r="S500">
        <v>1458.9361289747162</v>
      </c>
      <c r="T500">
        <v>1458.9361289747162</v>
      </c>
      <c r="U500">
        <v>1458.9361289747162</v>
      </c>
      <c r="V500">
        <v>1458.9361289747162</v>
      </c>
      <c r="W500">
        <v>1458.9361289747162</v>
      </c>
      <c r="X500">
        <v>1458.9361289747162</v>
      </c>
      <c r="Y500">
        <v>0</v>
      </c>
      <c r="Z500">
        <v>0</v>
      </c>
      <c r="AA500">
        <v>0</v>
      </c>
      <c r="AB500">
        <v>0</v>
      </c>
      <c r="AC500">
        <v>0</v>
      </c>
      <c r="AD500">
        <v>0</v>
      </c>
      <c r="AE500">
        <v>0</v>
      </c>
      <c r="AF500">
        <v>0</v>
      </c>
      <c r="AG500">
        <v>0</v>
      </c>
      <c r="AH500">
        <v>0</v>
      </c>
      <c r="AI500">
        <v>0</v>
      </c>
      <c r="AJ500">
        <v>0</v>
      </c>
      <c r="AK500">
        <v>0</v>
      </c>
      <c r="AL500">
        <v>0</v>
      </c>
      <c r="AM500">
        <v>0</v>
      </c>
      <c r="AN500">
        <v>0</v>
      </c>
    </row>
    <row r="501" spans="1:40">
      <c r="A501" s="30" t="s">
        <v>476</v>
      </c>
      <c r="B501" t="s">
        <v>453</v>
      </c>
      <c r="C501" t="s">
        <v>413</v>
      </c>
      <c r="D501" t="str">
        <f t="shared" si="53"/>
        <v>Public - Extended RE:FITHybrid heat pumps</v>
      </c>
      <c r="E501">
        <v>0</v>
      </c>
      <c r="F501">
        <v>0</v>
      </c>
      <c r="G501">
        <v>0</v>
      </c>
      <c r="H501">
        <v>0</v>
      </c>
      <c r="I501">
        <v>0</v>
      </c>
      <c r="J501">
        <v>0</v>
      </c>
      <c r="K501">
        <v>90.917410502986542</v>
      </c>
      <c r="L501">
        <v>181.83482100597308</v>
      </c>
      <c r="M501">
        <v>272.75223150895965</v>
      </c>
      <c r="N501">
        <v>272.75223150895965</v>
      </c>
      <c r="O501">
        <v>272.75223150895965</v>
      </c>
      <c r="P501">
        <v>272.75223150895965</v>
      </c>
      <c r="Q501">
        <v>272.75223150895965</v>
      </c>
      <c r="R501">
        <v>272.75223150895965</v>
      </c>
      <c r="S501">
        <v>260.3544028040069</v>
      </c>
      <c r="T501">
        <v>247.95657409905419</v>
      </c>
      <c r="U501">
        <v>235.55874539410149</v>
      </c>
      <c r="V501">
        <v>223.16091668914876</v>
      </c>
      <c r="W501">
        <v>210.76308798419606</v>
      </c>
      <c r="X501">
        <v>198.36525927924336</v>
      </c>
      <c r="Y501">
        <v>185.96743057429066</v>
      </c>
      <c r="Z501">
        <v>173.56960186933793</v>
      </c>
      <c r="AA501">
        <v>161.17177316438523</v>
      </c>
      <c r="AB501">
        <v>148.77394445943253</v>
      </c>
      <c r="AC501">
        <v>136.37611575447983</v>
      </c>
      <c r="AD501">
        <v>123.9782870495271</v>
      </c>
      <c r="AE501">
        <v>111.58045834457438</v>
      </c>
      <c r="AF501">
        <v>99.18262963962168</v>
      </c>
      <c r="AG501">
        <v>86.784800934668965</v>
      </c>
      <c r="AH501">
        <v>74.386972229716264</v>
      </c>
      <c r="AI501">
        <v>61.989143524763556</v>
      </c>
      <c r="AJ501">
        <v>49.591314819810847</v>
      </c>
      <c r="AK501">
        <v>37.193486114858139</v>
      </c>
      <c r="AL501">
        <v>24.795657409905431</v>
      </c>
      <c r="AM501">
        <v>12.397828704952708</v>
      </c>
      <c r="AN501">
        <v>0</v>
      </c>
    </row>
    <row r="502" spans="1:40">
      <c r="A502" s="30" t="s">
        <v>476</v>
      </c>
      <c r="B502" t="s">
        <v>453</v>
      </c>
      <c r="C502" t="s">
        <v>414</v>
      </c>
      <c r="D502" t="str">
        <f t="shared" si="53"/>
        <v>Public - All buildings MEES – EPC CHybrid heat pumps</v>
      </c>
      <c r="E502">
        <v>0</v>
      </c>
      <c r="F502">
        <v>0</v>
      </c>
      <c r="G502">
        <v>0</v>
      </c>
      <c r="H502">
        <v>0</v>
      </c>
      <c r="I502">
        <v>0</v>
      </c>
      <c r="J502">
        <v>0</v>
      </c>
      <c r="K502">
        <v>284.40606582707568</v>
      </c>
      <c r="L502">
        <v>568.81213165415136</v>
      </c>
      <c r="M502">
        <v>853.21819748122698</v>
      </c>
      <c r="N502">
        <v>1137.6242633083027</v>
      </c>
      <c r="O502">
        <v>1422.0303291353782</v>
      </c>
      <c r="P502">
        <v>1706.436394962454</v>
      </c>
      <c r="Q502">
        <v>1990.8424607895297</v>
      </c>
      <c r="R502">
        <v>2275.2485266166054</v>
      </c>
      <c r="S502">
        <v>2559.6545924436809</v>
      </c>
      <c r="T502">
        <v>2559.6545924436809</v>
      </c>
      <c r="U502">
        <v>2047.7236739549448</v>
      </c>
      <c r="V502">
        <v>1535.7927554662087</v>
      </c>
      <c r="W502">
        <v>1023.8618369774723</v>
      </c>
      <c r="X502">
        <v>511.93091848873615</v>
      </c>
      <c r="Y502">
        <v>0</v>
      </c>
      <c r="Z502">
        <v>0</v>
      </c>
      <c r="AA502">
        <v>0</v>
      </c>
      <c r="AB502">
        <v>0</v>
      </c>
      <c r="AC502">
        <v>0</v>
      </c>
      <c r="AD502">
        <v>0</v>
      </c>
      <c r="AE502">
        <v>0</v>
      </c>
      <c r="AF502">
        <v>0</v>
      </c>
      <c r="AG502">
        <v>0</v>
      </c>
      <c r="AH502">
        <v>0</v>
      </c>
      <c r="AI502">
        <v>0</v>
      </c>
      <c r="AJ502">
        <v>0</v>
      </c>
      <c r="AK502">
        <v>0</v>
      </c>
      <c r="AL502">
        <v>0</v>
      </c>
      <c r="AM502">
        <v>0</v>
      </c>
      <c r="AN502">
        <v>0</v>
      </c>
    </row>
    <row r="503" spans="1:40">
      <c r="A503" s="30" t="s">
        <v>476</v>
      </c>
      <c r="B503" t="s">
        <v>453</v>
      </c>
      <c r="C503" t="s">
        <v>454</v>
      </c>
      <c r="D503" t="str">
        <f t="shared" si="53"/>
        <v>Existing - Non-domestic ALL - Mandate on lighting efficiencyHybrid heat pumps</v>
      </c>
      <c r="E503">
        <v>0</v>
      </c>
      <c r="F503">
        <v>0</v>
      </c>
      <c r="G503">
        <v>0</v>
      </c>
      <c r="H503">
        <v>0</v>
      </c>
      <c r="I503">
        <v>8118.6772889687327</v>
      </c>
      <c r="J503">
        <v>16237.354577937465</v>
      </c>
      <c r="K503">
        <v>24356.0318669062</v>
      </c>
      <c r="L503">
        <v>32474.709155874931</v>
      </c>
      <c r="M503">
        <v>40593.386444843665</v>
      </c>
      <c r="N503">
        <v>48712.0637338124</v>
      </c>
      <c r="O503">
        <v>56830.741022781134</v>
      </c>
      <c r="P503">
        <v>56830.741022781134</v>
      </c>
      <c r="Q503">
        <v>0</v>
      </c>
      <c r="R503">
        <v>0</v>
      </c>
      <c r="S503">
        <v>0</v>
      </c>
      <c r="T503">
        <v>0</v>
      </c>
      <c r="U503">
        <v>0</v>
      </c>
      <c r="V503">
        <v>0</v>
      </c>
      <c r="W503">
        <v>0</v>
      </c>
      <c r="X503">
        <v>0</v>
      </c>
      <c r="Y503">
        <v>0</v>
      </c>
      <c r="Z503">
        <v>0</v>
      </c>
      <c r="AA503">
        <v>0</v>
      </c>
      <c r="AB503">
        <v>0</v>
      </c>
      <c r="AC503">
        <v>0</v>
      </c>
      <c r="AD503">
        <v>0</v>
      </c>
      <c r="AE503">
        <v>0</v>
      </c>
      <c r="AF503">
        <v>0</v>
      </c>
      <c r="AG503">
        <v>0</v>
      </c>
      <c r="AH503">
        <v>0</v>
      </c>
      <c r="AI503">
        <v>0</v>
      </c>
      <c r="AJ503">
        <v>0</v>
      </c>
      <c r="AK503">
        <v>0</v>
      </c>
      <c r="AL503">
        <v>0</v>
      </c>
      <c r="AM503">
        <v>0</v>
      </c>
      <c r="AN503">
        <v>0</v>
      </c>
    </row>
    <row r="504" spans="1:40">
      <c r="A504" s="30" t="s">
        <v>476</v>
      </c>
      <c r="B504" t="s">
        <v>453</v>
      </c>
      <c r="C504" t="s">
        <v>455</v>
      </c>
      <c r="D504" t="str">
        <f t="shared" si="53"/>
        <v>Existing -Non-domestic ALL - Mandate on appliance efficiencyHybrid heat pumps</v>
      </c>
      <c r="E504">
        <v>0</v>
      </c>
      <c r="F504">
        <v>0</v>
      </c>
      <c r="G504">
        <v>0</v>
      </c>
      <c r="H504">
        <v>0</v>
      </c>
      <c r="I504">
        <v>3642.9962194090467</v>
      </c>
      <c r="J504">
        <v>7285.9924388180934</v>
      </c>
      <c r="K504">
        <v>10928.988658227141</v>
      </c>
      <c r="L504">
        <v>14571.984877636187</v>
      </c>
      <c r="M504">
        <v>18214.981097045234</v>
      </c>
      <c r="N504">
        <v>21857.977316454282</v>
      </c>
      <c r="O504">
        <v>25500.973535863326</v>
      </c>
      <c r="P504">
        <v>29143.969755272374</v>
      </c>
      <c r="Q504">
        <v>32786.965974681421</v>
      </c>
      <c r="R504">
        <v>36429.962194090469</v>
      </c>
      <c r="S504">
        <v>40072.958413499517</v>
      </c>
      <c r="T504">
        <v>43715.954632908564</v>
      </c>
      <c r="U504">
        <v>0</v>
      </c>
      <c r="V504">
        <v>0</v>
      </c>
      <c r="W504">
        <v>0</v>
      </c>
      <c r="X504">
        <v>0</v>
      </c>
      <c r="Y504">
        <v>0</v>
      </c>
      <c r="Z504">
        <v>0</v>
      </c>
      <c r="AA504">
        <v>0</v>
      </c>
      <c r="AB504">
        <v>0</v>
      </c>
      <c r="AC504">
        <v>0</v>
      </c>
      <c r="AD504">
        <v>0</v>
      </c>
      <c r="AE504">
        <v>0</v>
      </c>
      <c r="AF504">
        <v>0</v>
      </c>
      <c r="AG504">
        <v>0</v>
      </c>
      <c r="AH504">
        <v>0</v>
      </c>
      <c r="AI504">
        <v>0</v>
      </c>
      <c r="AJ504">
        <v>0</v>
      </c>
      <c r="AK504">
        <v>0</v>
      </c>
      <c r="AL504">
        <v>0</v>
      </c>
      <c r="AM504">
        <v>0</v>
      </c>
      <c r="AN504">
        <v>0</v>
      </c>
    </row>
    <row r="505" spans="1:40">
      <c r="A505" s="30" t="s">
        <v>476</v>
      </c>
      <c r="B505" t="s">
        <v>453</v>
      </c>
      <c r="C505" t="s">
        <v>456</v>
      </c>
      <c r="D505" t="str">
        <f t="shared" si="53"/>
        <v>New - Non-domestic ALL - Mandate on lighting efficiencyHybrid heat pumps</v>
      </c>
      <c r="E505">
        <v>0</v>
      </c>
      <c r="F505">
        <v>3472.6107683765158</v>
      </c>
      <c r="G505">
        <v>3472.6107683765158</v>
      </c>
      <c r="H505">
        <v>3472.6107683765154</v>
      </c>
      <c r="I505">
        <v>3472.6107683765158</v>
      </c>
      <c r="J505">
        <v>3472.6107683765158</v>
      </c>
      <c r="K505">
        <v>3472.6107683765158</v>
      </c>
      <c r="L505">
        <v>3472.6107683765163</v>
      </c>
      <c r="M505">
        <v>3472.6107683765154</v>
      </c>
      <c r="N505">
        <v>3472.6107683765154</v>
      </c>
      <c r="O505">
        <v>3472.6107683765154</v>
      </c>
      <c r="P505">
        <v>2549.5037398863597</v>
      </c>
      <c r="Q505">
        <v>2549.5037398863597</v>
      </c>
      <c r="R505">
        <v>2549.5037398863587</v>
      </c>
      <c r="S505">
        <v>2549.5037398863597</v>
      </c>
      <c r="T505">
        <v>2549.5037398863597</v>
      </c>
      <c r="U505">
        <v>2549.5037398863597</v>
      </c>
      <c r="V505">
        <v>2549.5037398863601</v>
      </c>
      <c r="W505">
        <v>2549.5037398863601</v>
      </c>
      <c r="X505">
        <v>2549.5037398863601</v>
      </c>
      <c r="Y505">
        <v>2549.5037398863601</v>
      </c>
      <c r="Z505">
        <v>2549.5037398863601</v>
      </c>
      <c r="AA505">
        <v>2549.5037398863601</v>
      </c>
      <c r="AB505">
        <v>2549.5037398863601</v>
      </c>
      <c r="AC505">
        <v>2549.5037398863587</v>
      </c>
      <c r="AD505">
        <v>2549.5037398863587</v>
      </c>
      <c r="AE505">
        <v>2549.5037398863587</v>
      </c>
      <c r="AF505">
        <v>2549.5037398863619</v>
      </c>
      <c r="AG505">
        <v>2549.5037398863606</v>
      </c>
      <c r="AH505">
        <v>2549.5037398863606</v>
      </c>
      <c r="AI505">
        <v>2549.5037398863606</v>
      </c>
      <c r="AJ505">
        <v>2549.5037398863606</v>
      </c>
      <c r="AK505">
        <v>2549.5037398863606</v>
      </c>
      <c r="AL505">
        <v>2549.5037398863606</v>
      </c>
      <c r="AM505">
        <v>2549.5037398863606</v>
      </c>
      <c r="AN505">
        <v>2549.5037398863496</v>
      </c>
    </row>
    <row r="506" spans="1:40">
      <c r="A506" s="30" t="s">
        <v>476</v>
      </c>
      <c r="B506" t="s">
        <v>453</v>
      </c>
      <c r="C506" t="s">
        <v>457</v>
      </c>
      <c r="D506" t="str">
        <f t="shared" si="53"/>
        <v>New -Non-domestic ALL - Mandate on appliance efficiencyHybrid heat pumps</v>
      </c>
      <c r="E506">
        <v>0</v>
      </c>
      <c r="F506">
        <v>3472.6107683765158</v>
      </c>
      <c r="G506">
        <v>3472.6107683765158</v>
      </c>
      <c r="H506">
        <v>3472.6107683765154</v>
      </c>
      <c r="I506">
        <v>3472.6107683765158</v>
      </c>
      <c r="J506">
        <v>3472.6107683765158</v>
      </c>
      <c r="K506">
        <v>3472.6107683765158</v>
      </c>
      <c r="L506">
        <v>3472.6107683765163</v>
      </c>
      <c r="M506">
        <v>3472.6107683765154</v>
      </c>
      <c r="N506">
        <v>3472.6107683765154</v>
      </c>
      <c r="O506">
        <v>3472.6107683765154</v>
      </c>
      <c r="P506">
        <v>2549.5037398863597</v>
      </c>
      <c r="Q506">
        <v>2549.5037398863597</v>
      </c>
      <c r="R506">
        <v>2549.5037398863587</v>
      </c>
      <c r="S506">
        <v>2549.5037398863597</v>
      </c>
      <c r="T506">
        <v>2549.5037398863597</v>
      </c>
      <c r="U506">
        <v>2549.5037398863597</v>
      </c>
      <c r="V506">
        <v>2549.5037398863601</v>
      </c>
      <c r="W506">
        <v>2549.5037398863601</v>
      </c>
      <c r="X506">
        <v>2549.5037398863601</v>
      </c>
      <c r="Y506">
        <v>2549.5037398863601</v>
      </c>
      <c r="Z506">
        <v>2549.5037398863601</v>
      </c>
      <c r="AA506">
        <v>2549.5037398863601</v>
      </c>
      <c r="AB506">
        <v>2549.5037398863601</v>
      </c>
      <c r="AC506">
        <v>2549.5037398863587</v>
      </c>
      <c r="AD506">
        <v>2549.5037398863587</v>
      </c>
      <c r="AE506">
        <v>2549.5037398863587</v>
      </c>
      <c r="AF506">
        <v>2549.5037398863619</v>
      </c>
      <c r="AG506">
        <v>2549.5037398863606</v>
      </c>
      <c r="AH506">
        <v>2549.5037398863606</v>
      </c>
      <c r="AI506">
        <v>2549.5037398863606</v>
      </c>
      <c r="AJ506">
        <v>2549.5037398863606</v>
      </c>
      <c r="AK506">
        <v>2549.5037398863606</v>
      </c>
      <c r="AL506">
        <v>2549.5037398863606</v>
      </c>
      <c r="AM506">
        <v>2549.5037398863606</v>
      </c>
      <c r="AN506">
        <v>2549.5037398863496</v>
      </c>
    </row>
    <row r="507" spans="1:40">
      <c r="A507" s="30" t="s">
        <v>476</v>
      </c>
      <c r="B507" t="s">
        <v>453</v>
      </c>
      <c r="C507" t="s">
        <v>458</v>
      </c>
      <c r="D507" t="str">
        <f t="shared" si="53"/>
        <v>New -Non-domestic ALL - Stronger planning requirement for smart controlsHybrid heat pumps</v>
      </c>
      <c r="E507">
        <v>0</v>
      </c>
      <c r="F507">
        <v>1627.7862976764916</v>
      </c>
      <c r="G507">
        <v>1627.7862976764916</v>
      </c>
      <c r="H507">
        <v>1627.7862976764918</v>
      </c>
      <c r="I507">
        <v>1627.7862976764914</v>
      </c>
      <c r="J507">
        <v>1627.7862976764914</v>
      </c>
      <c r="K507">
        <v>1627.7862976764914</v>
      </c>
      <c r="L507">
        <v>1627.7862976764918</v>
      </c>
      <c r="M507">
        <v>1627.7862976764916</v>
      </c>
      <c r="N507">
        <v>1627.7862976764916</v>
      </c>
      <c r="O507">
        <v>1627.7862976764914</v>
      </c>
      <c r="P507">
        <v>1195.0798780717309</v>
      </c>
      <c r="Q507">
        <v>1195.0798780717309</v>
      </c>
      <c r="R507">
        <v>1195.0798780717307</v>
      </c>
      <c r="S507">
        <v>1195.0798780717309</v>
      </c>
      <c r="T507">
        <v>1195.0798780717309</v>
      </c>
      <c r="U507">
        <v>1195.0798780717309</v>
      </c>
      <c r="V507">
        <v>1195.0798780717312</v>
      </c>
      <c r="W507">
        <v>1195.0798780717312</v>
      </c>
      <c r="X507">
        <v>1195.0798780717312</v>
      </c>
      <c r="Y507">
        <v>1195.0798780717312</v>
      </c>
      <c r="Z507">
        <v>1195.0798780717312</v>
      </c>
      <c r="AA507">
        <v>1195.0798780717312</v>
      </c>
      <c r="AB507">
        <v>1195.0798780717312</v>
      </c>
      <c r="AC507">
        <v>1195.0798780717305</v>
      </c>
      <c r="AD507">
        <v>1195.0798780717305</v>
      </c>
      <c r="AE507">
        <v>1195.0798780717305</v>
      </c>
      <c r="AF507">
        <v>1195.0798780717319</v>
      </c>
      <c r="AG507">
        <v>1195.0798780717312</v>
      </c>
      <c r="AH507">
        <v>1195.0798780717312</v>
      </c>
      <c r="AI507">
        <v>1195.0798780717312</v>
      </c>
      <c r="AJ507">
        <v>1195.0798780717312</v>
      </c>
      <c r="AK507">
        <v>1195.0798780717312</v>
      </c>
      <c r="AL507">
        <v>1195.0798780717312</v>
      </c>
      <c r="AM507">
        <v>1195.0798780717312</v>
      </c>
      <c r="AN507">
        <v>1195.0798780717264</v>
      </c>
    </row>
    <row r="508" spans="1:40">
      <c r="A508" s="30" t="s">
        <v>476</v>
      </c>
      <c r="B508" t="s">
        <v>459</v>
      </c>
      <c r="C508" t="s">
        <v>460</v>
      </c>
      <c r="D508" t="str">
        <f t="shared" si="53"/>
        <v>Extended Mayoral ProgramsDomestic CAPEXHybrid heat pumps</v>
      </c>
      <c r="E508">
        <v>0</v>
      </c>
      <c r="F508">
        <v>0</v>
      </c>
      <c r="G508">
        <v>0</v>
      </c>
      <c r="H508">
        <v>0</v>
      </c>
      <c r="I508">
        <v>0</v>
      </c>
      <c r="J508">
        <v>0</v>
      </c>
      <c r="K508">
        <v>21166465.602692172</v>
      </c>
      <c r="L508">
        <v>41618057.917775065</v>
      </c>
      <c r="M508">
        <v>61354776.945248663</v>
      </c>
      <c r="N508">
        <v>60282467.01383476</v>
      </c>
      <c r="O508">
        <v>85375978.93813996</v>
      </c>
      <c r="P508">
        <v>109521752.43302545</v>
      </c>
      <c r="Q508">
        <v>132719787.49849114</v>
      </c>
      <c r="R508">
        <v>154970084.13453707</v>
      </c>
      <c r="S508">
        <v>173776237.00676489</v>
      </c>
      <c r="T508">
        <v>191732134.17061058</v>
      </c>
      <c r="U508">
        <v>213080945.97890073</v>
      </c>
      <c r="V508">
        <v>234429757.78719085</v>
      </c>
      <c r="W508">
        <v>255778569.59548104</v>
      </c>
      <c r="X508">
        <v>277127381.40377122</v>
      </c>
      <c r="Y508">
        <v>274679717.42989159</v>
      </c>
      <c r="Z508">
        <v>272232053.45601201</v>
      </c>
      <c r="AA508">
        <v>269784389.48213243</v>
      </c>
      <c r="AB508">
        <v>29371967.686555214</v>
      </c>
      <c r="AC508">
        <v>26924303.712675612</v>
      </c>
      <c r="AD508">
        <v>24476639.738796014</v>
      </c>
      <c r="AE508">
        <v>22028975.764916413</v>
      </c>
      <c r="AF508">
        <v>19581311.791036811</v>
      </c>
      <c r="AG508">
        <v>17133647.817157209</v>
      </c>
      <c r="AH508">
        <v>14685983.843277607</v>
      </c>
      <c r="AI508">
        <v>12238319.869398005</v>
      </c>
      <c r="AJ508">
        <v>9790655.8955184054</v>
      </c>
      <c r="AK508">
        <v>7342991.9216388036</v>
      </c>
      <c r="AL508">
        <v>4895327.9477592036</v>
      </c>
      <c r="AM508">
        <v>2447663.9738796013</v>
      </c>
      <c r="AN508">
        <v>9.5261434296389772E-10</v>
      </c>
    </row>
    <row r="509" spans="1:40">
      <c r="A509" s="30" t="s">
        <v>476</v>
      </c>
      <c r="B509" t="s">
        <v>459</v>
      </c>
      <c r="C509" t="s">
        <v>461</v>
      </c>
      <c r="D509" t="str">
        <f t="shared" si="53"/>
        <v>MEESDomestic CAPEXHybrid heat pumps</v>
      </c>
      <c r="E509">
        <v>0</v>
      </c>
      <c r="F509">
        <v>0</v>
      </c>
      <c r="G509">
        <v>0</v>
      </c>
      <c r="H509">
        <v>0</v>
      </c>
      <c r="I509">
        <v>36786095.890686259</v>
      </c>
      <c r="J509">
        <v>72370373.30767113</v>
      </c>
      <c r="K509">
        <v>200367256.82830137</v>
      </c>
      <c r="L509">
        <v>324000601.22136974</v>
      </c>
      <c r="M509">
        <v>443270406.48687625</v>
      </c>
      <c r="N509">
        <v>558176672.62482095</v>
      </c>
      <c r="O509">
        <v>668719399.63520384</v>
      </c>
      <c r="P509">
        <v>774898587.5180248</v>
      </c>
      <c r="Q509">
        <v>876714236.27328384</v>
      </c>
      <c r="R509">
        <v>974166345.90098095</v>
      </c>
      <c r="S509">
        <v>1067254916.4011164</v>
      </c>
      <c r="T509">
        <v>1046417171.8533864</v>
      </c>
      <c r="U509">
        <v>669909935.627388</v>
      </c>
      <c r="V509">
        <v>553321941.65967083</v>
      </c>
      <c r="W509">
        <v>436733947.69195354</v>
      </c>
      <c r="X509">
        <v>320145953.72423637</v>
      </c>
      <c r="Y509">
        <v>-2.7242094802204521E-9</v>
      </c>
      <c r="Z509">
        <v>0</v>
      </c>
      <c r="AA509">
        <v>0</v>
      </c>
      <c r="AB509">
        <v>0</v>
      </c>
      <c r="AC509">
        <v>0</v>
      </c>
      <c r="AD509">
        <v>0</v>
      </c>
      <c r="AE509">
        <v>0</v>
      </c>
      <c r="AF509">
        <v>0</v>
      </c>
      <c r="AG509">
        <v>0</v>
      </c>
      <c r="AH509">
        <v>0</v>
      </c>
      <c r="AI509">
        <v>0</v>
      </c>
      <c r="AJ509">
        <v>0</v>
      </c>
      <c r="AK509">
        <v>0</v>
      </c>
      <c r="AL509">
        <v>0</v>
      </c>
      <c r="AM509">
        <v>0</v>
      </c>
      <c r="AN509">
        <v>0</v>
      </c>
    </row>
    <row r="510" spans="1:40">
      <c r="A510" s="30" t="s">
        <v>476</v>
      </c>
      <c r="B510" t="s">
        <v>459</v>
      </c>
      <c r="C510" t="s">
        <v>462</v>
      </c>
      <c r="D510" t="str">
        <f t="shared" si="53"/>
        <v>Tax mechanismsDomestic CAPEXHybrid heat pumps</v>
      </c>
      <c r="E510">
        <v>0</v>
      </c>
      <c r="F510">
        <v>0</v>
      </c>
      <c r="G510">
        <v>0</v>
      </c>
      <c r="H510">
        <v>0</v>
      </c>
      <c r="I510">
        <v>0</v>
      </c>
      <c r="J510">
        <v>0</v>
      </c>
      <c r="K510">
        <v>0</v>
      </c>
      <c r="L510">
        <v>0</v>
      </c>
      <c r="M510">
        <v>21867890.977667809</v>
      </c>
      <c r="N510">
        <v>21485701.393711612</v>
      </c>
      <c r="O510">
        <v>91448551.175606787</v>
      </c>
      <c r="P510">
        <v>89792396.311796546</v>
      </c>
      <c r="Q510">
        <v>88136241.447986364</v>
      </c>
      <c r="R510">
        <v>66523143.526289351</v>
      </c>
      <c r="S510">
        <v>65249178.246435344</v>
      </c>
      <c r="T510">
        <v>63975212.96658136</v>
      </c>
      <c r="U510">
        <v>63975212.96658136</v>
      </c>
      <c r="V510">
        <v>63975212.96658136</v>
      </c>
      <c r="W510">
        <v>63975212.96658136</v>
      </c>
      <c r="X510">
        <v>63975212.96658136</v>
      </c>
      <c r="Y510">
        <v>63975212.96658136</v>
      </c>
      <c r="Z510">
        <v>0</v>
      </c>
      <c r="AA510">
        <v>0</v>
      </c>
      <c r="AB510">
        <v>0</v>
      </c>
      <c r="AC510">
        <v>0</v>
      </c>
      <c r="AD510">
        <v>0</v>
      </c>
      <c r="AE510">
        <v>0</v>
      </c>
      <c r="AF510">
        <v>0</v>
      </c>
      <c r="AG510">
        <v>0</v>
      </c>
      <c r="AH510">
        <v>0</v>
      </c>
      <c r="AI510">
        <v>0</v>
      </c>
      <c r="AJ510">
        <v>0</v>
      </c>
      <c r="AK510">
        <v>0</v>
      </c>
      <c r="AL510">
        <v>0</v>
      </c>
      <c r="AM510">
        <v>0</v>
      </c>
      <c r="AN510">
        <v>0</v>
      </c>
    </row>
    <row r="511" spans="1:40">
      <c r="A511" s="30" t="s">
        <v>476</v>
      </c>
      <c r="B511" t="s">
        <v>459</v>
      </c>
      <c r="C511" t="s">
        <v>463</v>
      </c>
      <c r="D511" t="str">
        <f t="shared" si="53"/>
        <v>Planning requirementsDomestic CAPEXHybrid heat pumps</v>
      </c>
      <c r="E511">
        <v>0</v>
      </c>
      <c r="F511">
        <v>31743906.616401419</v>
      </c>
      <c r="G511">
        <v>31249587.149795301</v>
      </c>
      <c r="H511">
        <v>30755267.683189187</v>
      </c>
      <c r="I511">
        <v>30260948.216583073</v>
      </c>
      <c r="J511">
        <v>100159538.36714353</v>
      </c>
      <c r="K511">
        <v>93997745.01566197</v>
      </c>
      <c r="L511">
        <v>92410411.582945228</v>
      </c>
      <c r="M511">
        <v>90823078.150228456</v>
      </c>
      <c r="N511">
        <v>89235744.717511728</v>
      </c>
      <c r="O511">
        <v>87648411.284795165</v>
      </c>
      <c r="P511">
        <v>81741354.146256</v>
      </c>
      <c r="Q511">
        <v>80233694.847648233</v>
      </c>
      <c r="R511">
        <v>17684963.743829511</v>
      </c>
      <c r="S511">
        <v>17346284.171716206</v>
      </c>
      <c r="T511">
        <v>17007604.599602889</v>
      </c>
      <c r="U511">
        <v>7840299.3167608818</v>
      </c>
      <c r="V511">
        <v>7840299.3167608446</v>
      </c>
      <c r="W511">
        <v>7840299.3167608446</v>
      </c>
      <c r="X511">
        <v>7840299.3167608446</v>
      </c>
      <c r="Y511">
        <v>7840299.3167608446</v>
      </c>
      <c r="Z511">
        <v>7840299.3167608446</v>
      </c>
      <c r="AA511">
        <v>7840299.3167608446</v>
      </c>
      <c r="AB511">
        <v>7840299.3167608446</v>
      </c>
      <c r="AC511">
        <v>7840299.3167608446</v>
      </c>
      <c r="AD511">
        <v>7840299.3167615253</v>
      </c>
      <c r="AE511">
        <v>7840299.316760987</v>
      </c>
      <c r="AF511">
        <v>7840299.3167610615</v>
      </c>
      <c r="AG511">
        <v>7840299.3167610615</v>
      </c>
      <c r="AH511">
        <v>7840299.3167610615</v>
      </c>
      <c r="AI511">
        <v>7840299.3167610615</v>
      </c>
      <c r="AJ511">
        <v>7840299.3167610615</v>
      </c>
      <c r="AK511">
        <v>7840299.3167610615</v>
      </c>
      <c r="AL511">
        <v>7840299.3167610615</v>
      </c>
      <c r="AM511">
        <v>7840299.3167610615</v>
      </c>
      <c r="AN511">
        <v>7840299.3167603388</v>
      </c>
    </row>
    <row r="512" spans="1:40">
      <c r="A512" s="30" t="s">
        <v>476</v>
      </c>
      <c r="B512" t="s">
        <v>459</v>
      </c>
      <c r="C512" t="s">
        <v>464</v>
      </c>
      <c r="D512" t="str">
        <f t="shared" si="53"/>
        <v>Lighting efficiencyDomestic CAPEXHybrid heat pumps</v>
      </c>
      <c r="E512">
        <v>0</v>
      </c>
      <c r="F512">
        <v>6935973.9122759365</v>
      </c>
      <c r="G512">
        <v>6827966.193939887</v>
      </c>
      <c r="H512">
        <v>6719958.4756038357</v>
      </c>
      <c r="I512">
        <v>14295679.265610643</v>
      </c>
      <c r="J512">
        <v>21620369.152646001</v>
      </c>
      <c r="K512">
        <v>27711117.038082451</v>
      </c>
      <c r="L512">
        <v>34550343.471060753</v>
      </c>
      <c r="M512">
        <v>41138539.001067623</v>
      </c>
      <c r="N512">
        <v>47475703.628103063</v>
      </c>
      <c r="O512">
        <v>53561837.352167122</v>
      </c>
      <c r="P512">
        <v>51647969.678141102</v>
      </c>
      <c r="Q512">
        <v>3938126.4994950267</v>
      </c>
      <c r="R512">
        <v>3864125.7564489595</v>
      </c>
      <c r="S512">
        <v>3790125.0134028923</v>
      </c>
      <c r="T512">
        <v>3716124.2703568228</v>
      </c>
      <c r="U512">
        <v>1713088.1898887407</v>
      </c>
      <c r="V512">
        <v>1713088.1898887325</v>
      </c>
      <c r="W512">
        <v>1713088.1898887325</v>
      </c>
      <c r="X512">
        <v>1713088.1898887325</v>
      </c>
      <c r="Y512">
        <v>1713088.1898887325</v>
      </c>
      <c r="Z512">
        <v>1713088.1898887325</v>
      </c>
      <c r="AA512">
        <v>1713088.1898887325</v>
      </c>
      <c r="AB512">
        <v>1713088.1898887325</v>
      </c>
      <c r="AC512">
        <v>1713088.1898887325</v>
      </c>
      <c r="AD512">
        <v>1713088.1898888813</v>
      </c>
      <c r="AE512">
        <v>1713088.1898887637</v>
      </c>
      <c r="AF512">
        <v>1713088.18988878</v>
      </c>
      <c r="AG512">
        <v>1713088.18988878</v>
      </c>
      <c r="AH512">
        <v>1713088.18988878</v>
      </c>
      <c r="AI512">
        <v>1713088.18988878</v>
      </c>
      <c r="AJ512">
        <v>1713088.18988878</v>
      </c>
      <c r="AK512">
        <v>1713088.18988878</v>
      </c>
      <c r="AL512">
        <v>1713088.18988878</v>
      </c>
      <c r="AM512">
        <v>1713088.18988878</v>
      </c>
      <c r="AN512">
        <v>1713088.1898886203</v>
      </c>
    </row>
    <row r="513" spans="1:40">
      <c r="A513" s="30" t="s">
        <v>476</v>
      </c>
      <c r="B513" t="s">
        <v>459</v>
      </c>
      <c r="C513" t="s">
        <v>465</v>
      </c>
      <c r="D513" t="str">
        <f t="shared" si="53"/>
        <v>Extended Mayoral ProgramsNon-domestic CAPEXHybrid heat pumps</v>
      </c>
      <c r="E513">
        <v>0</v>
      </c>
      <c r="F513">
        <v>0</v>
      </c>
      <c r="G513">
        <v>0</v>
      </c>
      <c r="H513">
        <v>0</v>
      </c>
      <c r="I513">
        <v>0</v>
      </c>
      <c r="J513">
        <v>0</v>
      </c>
      <c r="K513">
        <v>4274097.7583801532</v>
      </c>
      <c r="L513">
        <v>8403842.7290323414</v>
      </c>
      <c r="M513">
        <v>12389234.911956565</v>
      </c>
      <c r="N513">
        <v>12172705.730364621</v>
      </c>
      <c r="O513">
        <v>11956176.548772674</v>
      </c>
      <c r="P513">
        <v>11739647.367180727</v>
      </c>
      <c r="Q513">
        <v>11523118.185588785</v>
      </c>
      <c r="R513">
        <v>11306589.003996834</v>
      </c>
      <c r="S513">
        <v>10585966.194113759</v>
      </c>
      <c r="T513">
        <v>9885027.8552844934</v>
      </c>
      <c r="U513">
        <v>9390776.4625202697</v>
      </c>
      <c r="V513">
        <v>8896525.0697560441</v>
      </c>
      <c r="W513">
        <v>8402273.6769918203</v>
      </c>
      <c r="X513">
        <v>7908022.2842275957</v>
      </c>
      <c r="Y513">
        <v>7413770.8914633701</v>
      </c>
      <c r="Z513">
        <v>6919519.4986991463</v>
      </c>
      <c r="AA513">
        <v>6425268.1059349217</v>
      </c>
      <c r="AB513">
        <v>5931016.7131706979</v>
      </c>
      <c r="AC513">
        <v>5436765.3204064723</v>
      </c>
      <c r="AD513">
        <v>4942513.9276422467</v>
      </c>
      <c r="AE513">
        <v>4448262.534878022</v>
      </c>
      <c r="AF513">
        <v>3954011.1421137983</v>
      </c>
      <c r="AG513">
        <v>3459759.7493495732</v>
      </c>
      <c r="AH513">
        <v>2965508.3565853485</v>
      </c>
      <c r="AI513">
        <v>2471256.9638211234</v>
      </c>
      <c r="AJ513">
        <v>1977005.5710568989</v>
      </c>
      <c r="AK513">
        <v>1482754.178292674</v>
      </c>
      <c r="AL513">
        <v>988502.78552844957</v>
      </c>
      <c r="AM513">
        <v>494251.39276422444</v>
      </c>
      <c r="AN513">
        <v>0</v>
      </c>
    </row>
    <row r="514" spans="1:40">
      <c r="A514" s="30" t="s">
        <v>476</v>
      </c>
      <c r="B514" t="s">
        <v>459</v>
      </c>
      <c r="C514" t="s">
        <v>466</v>
      </c>
      <c r="D514" t="str">
        <f t="shared" si="53"/>
        <v>MEESNon-domestic CAPEXHybrid heat pumps</v>
      </c>
      <c r="E514">
        <v>0</v>
      </c>
      <c r="F514">
        <v>0</v>
      </c>
      <c r="G514">
        <v>0</v>
      </c>
      <c r="H514">
        <v>0</v>
      </c>
      <c r="I514">
        <v>13275972.290220978</v>
      </c>
      <c r="J514">
        <v>26118212.531187579</v>
      </c>
      <c r="K514">
        <v>41347996.654794566</v>
      </c>
      <c r="L514">
        <v>56048763.345250592</v>
      </c>
      <c r="M514">
        <v>70220512.602555633</v>
      </c>
      <c r="N514">
        <v>83863244.426709712</v>
      </c>
      <c r="O514">
        <v>96976958.817712814</v>
      </c>
      <c r="P514">
        <v>111172755.83549178</v>
      </c>
      <c r="Q514">
        <v>124780104.30323389</v>
      </c>
      <c r="R514">
        <v>137799004.22093922</v>
      </c>
      <c r="S514">
        <v>150229455.58860776</v>
      </c>
      <c r="T514">
        <v>147296282.85640237</v>
      </c>
      <c r="U514">
        <v>127743173.36150351</v>
      </c>
      <c r="V514">
        <v>108190063.86660469</v>
      </c>
      <c r="W514">
        <v>88636954.371705845</v>
      </c>
      <c r="X514">
        <v>69083844.876807004</v>
      </c>
      <c r="Y514">
        <v>2.7918332534682125E-9</v>
      </c>
      <c r="Z514">
        <v>0</v>
      </c>
      <c r="AA514">
        <v>0</v>
      </c>
      <c r="AB514">
        <v>0</v>
      </c>
      <c r="AC514">
        <v>0</v>
      </c>
      <c r="AD514">
        <v>0</v>
      </c>
      <c r="AE514">
        <v>0</v>
      </c>
      <c r="AF514">
        <v>0</v>
      </c>
      <c r="AG514">
        <v>0</v>
      </c>
      <c r="AH514">
        <v>0</v>
      </c>
      <c r="AI514">
        <v>0</v>
      </c>
      <c r="AJ514">
        <v>0</v>
      </c>
      <c r="AK514">
        <v>0</v>
      </c>
      <c r="AL514">
        <v>0</v>
      </c>
      <c r="AM514">
        <v>0</v>
      </c>
      <c r="AN514">
        <v>0</v>
      </c>
    </row>
    <row r="515" spans="1:40">
      <c r="A515" s="30" t="s">
        <v>476</v>
      </c>
      <c r="B515" t="s">
        <v>459</v>
      </c>
      <c r="C515" t="s">
        <v>467</v>
      </c>
      <c r="D515" t="str">
        <f t="shared" si="53"/>
        <v>Tax mechanismsNon-domestic CAPEXHybrid heat pumps</v>
      </c>
      <c r="E515">
        <v>0</v>
      </c>
      <c r="F515">
        <v>0</v>
      </c>
      <c r="G515">
        <v>0</v>
      </c>
      <c r="H515">
        <v>0</v>
      </c>
      <c r="I515">
        <v>0</v>
      </c>
      <c r="J515">
        <v>0</v>
      </c>
      <c r="K515">
        <v>0</v>
      </c>
      <c r="L515">
        <v>0</v>
      </c>
      <c r="M515">
        <v>1455084.6657688853</v>
      </c>
      <c r="N515">
        <v>3727866.9565327186</v>
      </c>
      <c r="O515">
        <v>3661555.3246686407</v>
      </c>
      <c r="P515">
        <v>3595243.6928045633</v>
      </c>
      <c r="Q515">
        <v>3528932.0609404859</v>
      </c>
      <c r="R515">
        <v>0</v>
      </c>
      <c r="S515">
        <v>0</v>
      </c>
      <c r="T515">
        <v>0</v>
      </c>
      <c r="U515">
        <v>0</v>
      </c>
      <c r="V515">
        <v>0</v>
      </c>
      <c r="W515">
        <v>0</v>
      </c>
      <c r="X515">
        <v>0</v>
      </c>
      <c r="Y515">
        <v>0</v>
      </c>
      <c r="Z515">
        <v>0</v>
      </c>
      <c r="AA515">
        <v>0</v>
      </c>
      <c r="AB515">
        <v>0</v>
      </c>
      <c r="AC515">
        <v>0</v>
      </c>
      <c r="AD515">
        <v>0</v>
      </c>
      <c r="AE515">
        <v>0</v>
      </c>
      <c r="AF515">
        <v>0</v>
      </c>
      <c r="AG515">
        <v>0</v>
      </c>
      <c r="AH515">
        <v>0</v>
      </c>
      <c r="AI515">
        <v>0</v>
      </c>
      <c r="AJ515">
        <v>0</v>
      </c>
      <c r="AK515">
        <v>0</v>
      </c>
      <c r="AL515">
        <v>0</v>
      </c>
      <c r="AM515">
        <v>0</v>
      </c>
      <c r="AN515">
        <v>0</v>
      </c>
    </row>
    <row r="516" spans="1:40">
      <c r="A516" s="30" t="s">
        <v>476</v>
      </c>
      <c r="B516" t="s">
        <v>459</v>
      </c>
      <c r="C516" t="s">
        <v>468</v>
      </c>
      <c r="D516" t="str">
        <f t="shared" si="53"/>
        <v>Planning requirementsNon-domestic CAPEXHybrid heat pumps</v>
      </c>
      <c r="E516">
        <v>0</v>
      </c>
      <c r="F516">
        <v>4085557.6935081659</v>
      </c>
      <c r="G516">
        <v>4021936.9575903006</v>
      </c>
      <c r="H516">
        <v>3958316.2216724344</v>
      </c>
      <c r="I516">
        <v>3894695.4857545691</v>
      </c>
      <c r="J516">
        <v>3831074.7498367028</v>
      </c>
      <c r="K516">
        <v>3767454.0139188375</v>
      </c>
      <c r="L516">
        <v>3703833.2780009722</v>
      </c>
      <c r="M516">
        <v>3640212.5420831051</v>
      </c>
      <c r="N516">
        <v>3576591.8061652393</v>
      </c>
      <c r="O516">
        <v>3512971.070247374</v>
      </c>
      <c r="P516">
        <v>2522585.8105653757</v>
      </c>
      <c r="Q516">
        <v>2476058.5662646513</v>
      </c>
      <c r="R516">
        <v>2429531.3219639254</v>
      </c>
      <c r="S516">
        <v>2383004.0776632018</v>
      </c>
      <c r="T516">
        <v>2336476.8333624769</v>
      </c>
      <c r="U516">
        <v>2336476.8333624774</v>
      </c>
      <c r="V516">
        <v>2336476.8333624774</v>
      </c>
      <c r="W516">
        <v>2336476.8333624774</v>
      </c>
      <c r="X516">
        <v>2336476.8333624774</v>
      </c>
      <c r="Y516">
        <v>2336476.8333624774</v>
      </c>
      <c r="Z516">
        <v>2336476.8333624774</v>
      </c>
      <c r="AA516">
        <v>2336476.8333624774</v>
      </c>
      <c r="AB516">
        <v>2336476.8333624774</v>
      </c>
      <c r="AC516">
        <v>2336476.8333624764</v>
      </c>
      <c r="AD516">
        <v>2336476.8333624764</v>
      </c>
      <c r="AE516">
        <v>2336476.8333624764</v>
      </c>
      <c r="AF516">
        <v>2336476.8333624797</v>
      </c>
      <c r="AG516">
        <v>2336476.8333624778</v>
      </c>
      <c r="AH516">
        <v>2336476.8333624778</v>
      </c>
      <c r="AI516">
        <v>2336476.8333624778</v>
      </c>
      <c r="AJ516">
        <v>2336476.8333624778</v>
      </c>
      <c r="AK516">
        <v>2336476.8333624778</v>
      </c>
      <c r="AL516">
        <v>2336476.8333624778</v>
      </c>
      <c r="AM516">
        <v>2336476.8333624778</v>
      </c>
      <c r="AN516">
        <v>2336476.8333624699</v>
      </c>
    </row>
    <row r="517" spans="1:40">
      <c r="A517" s="30" t="s">
        <v>476</v>
      </c>
      <c r="B517" t="s">
        <v>459</v>
      </c>
      <c r="C517" t="s">
        <v>469</v>
      </c>
      <c r="D517" t="str">
        <f t="shared" si="53"/>
        <v>Lighting efficiencyNon-domestic CAPEXHybrid heat pumps</v>
      </c>
      <c r="E517">
        <v>0</v>
      </c>
      <c r="F517">
        <v>6085102.7363829538</v>
      </c>
      <c r="G517">
        <v>5990344.8738664966</v>
      </c>
      <c r="H517">
        <v>5895587.0113500375</v>
      </c>
      <c r="I517">
        <v>19473031.197224613</v>
      </c>
      <c r="J517">
        <v>32603798.327540956</v>
      </c>
      <c r="K517">
        <v>45287888.402299076</v>
      </c>
      <c r="L517">
        <v>57525301.421498962</v>
      </c>
      <c r="M517">
        <v>69316037.385140613</v>
      </c>
      <c r="N517">
        <v>80660096.293224037</v>
      </c>
      <c r="O517">
        <v>91557478.145749241</v>
      </c>
      <c r="P517">
        <v>88475223.996939838</v>
      </c>
      <c r="Q517">
        <v>3644906.6268806849</v>
      </c>
      <c r="R517">
        <v>3576415.7343821069</v>
      </c>
      <c r="S517">
        <v>3507924.8418835341</v>
      </c>
      <c r="T517">
        <v>3439433.9493849594</v>
      </c>
      <c r="U517">
        <v>3439433.9493849594</v>
      </c>
      <c r="V517">
        <v>3439433.9493849594</v>
      </c>
      <c r="W517">
        <v>3439433.9493849594</v>
      </c>
      <c r="X517">
        <v>3439433.9493849594</v>
      </c>
      <c r="Y517">
        <v>3439433.9493849594</v>
      </c>
      <c r="Z517">
        <v>3439433.9493849594</v>
      </c>
      <c r="AA517">
        <v>3439433.9493849594</v>
      </c>
      <c r="AB517">
        <v>3439433.9493849594</v>
      </c>
      <c r="AC517">
        <v>3439433.9493849585</v>
      </c>
      <c r="AD517">
        <v>3439433.9493849585</v>
      </c>
      <c r="AE517">
        <v>3439433.9493849585</v>
      </c>
      <c r="AF517">
        <v>3439433.9493849636</v>
      </c>
      <c r="AG517">
        <v>3439433.9493849599</v>
      </c>
      <c r="AH517">
        <v>3439433.9493849599</v>
      </c>
      <c r="AI517">
        <v>3439433.9493849599</v>
      </c>
      <c r="AJ517">
        <v>3439433.9493849599</v>
      </c>
      <c r="AK517">
        <v>3439433.9493849599</v>
      </c>
      <c r="AL517">
        <v>3439433.9493849599</v>
      </c>
      <c r="AM517">
        <v>3439433.9493849599</v>
      </c>
      <c r="AN517">
        <v>3439433.9493849524</v>
      </c>
    </row>
    <row r="518" spans="1:40">
      <c r="A518" s="30" t="s">
        <v>476</v>
      </c>
      <c r="B518" t="s">
        <v>459</v>
      </c>
      <c r="C518" t="s">
        <v>470</v>
      </c>
      <c r="D518" t="str">
        <f t="shared" si="53"/>
        <v>AllDomestic CAPEXHybrid heat pumps</v>
      </c>
      <c r="E518">
        <v>0</v>
      </c>
      <c r="F518">
        <v>38679880.528677359</v>
      </c>
      <c r="G518">
        <v>38077553.343735188</v>
      </c>
      <c r="H518">
        <v>37475226.158793025</v>
      </c>
      <c r="I518">
        <v>81342723.372879982</v>
      </c>
      <c r="J518">
        <v>243168664.98519498</v>
      </c>
      <c r="K518">
        <v>398685062.82187355</v>
      </c>
      <c r="L518">
        <v>547540174.75530767</v>
      </c>
      <c r="M518">
        <v>712933734.3482666</v>
      </c>
      <c r="N518">
        <v>830653614.39018118</v>
      </c>
      <c r="O518">
        <v>1040269785.6231335</v>
      </c>
      <c r="P518">
        <v>1153136505.1165116</v>
      </c>
      <c r="Q518">
        <v>1213336480.513555</v>
      </c>
      <c r="R518">
        <v>1248518740.7560074</v>
      </c>
      <c r="S518">
        <v>1358442502.2806277</v>
      </c>
      <c r="T518">
        <v>1353589693.0490015</v>
      </c>
      <c r="U518">
        <v>985278154.25337851</v>
      </c>
      <c r="V518">
        <v>904480515.56103921</v>
      </c>
      <c r="W518">
        <v>823537181.31677663</v>
      </c>
      <c r="X518">
        <v>742448151.52059054</v>
      </c>
      <c r="Y518">
        <v>433858990.63379204</v>
      </c>
      <c r="Z518">
        <v>381294874.95272511</v>
      </c>
      <c r="AA518">
        <v>392560276.68631619</v>
      </c>
      <c r="AB518">
        <v>165715225.04628608</v>
      </c>
      <c r="AC518">
        <v>176689235.67603019</v>
      </c>
      <c r="AD518">
        <v>187517550.75385275</v>
      </c>
      <c r="AE518">
        <v>174843620.77487022</v>
      </c>
      <c r="AF518">
        <v>157284291.26421544</v>
      </c>
      <c r="AG518">
        <v>139875487.46041957</v>
      </c>
      <c r="AH518">
        <v>122617209.36348276</v>
      </c>
      <c r="AI518">
        <v>105509456.97340506</v>
      </c>
      <c r="AJ518">
        <v>88552230.290186435</v>
      </c>
      <c r="AK518">
        <v>71745529.313826904</v>
      </c>
      <c r="AL518">
        <v>55089354.044326454</v>
      </c>
      <c r="AM518">
        <v>38583704.481685095</v>
      </c>
      <c r="AN518">
        <v>22228580.625900812</v>
      </c>
    </row>
    <row r="519" spans="1:40">
      <c r="A519" s="30" t="s">
        <v>476</v>
      </c>
      <c r="B519" t="s">
        <v>459</v>
      </c>
      <c r="C519" t="s">
        <v>471</v>
      </c>
      <c r="D519" t="str">
        <f t="shared" si="53"/>
        <v>AllNon-domestic CAPEXHybrid heat pumps</v>
      </c>
      <c r="E519">
        <v>0</v>
      </c>
      <c r="F519">
        <v>10170660.429891121</v>
      </c>
      <c r="G519">
        <v>10012281.831456797</v>
      </c>
      <c r="H519">
        <v>9853903.2330224719</v>
      </c>
      <c r="I519">
        <v>36643698.973200165</v>
      </c>
      <c r="J519">
        <v>92614823.920677319</v>
      </c>
      <c r="K519">
        <v>137346495.63386393</v>
      </c>
      <c r="L519">
        <v>168061518.39328802</v>
      </c>
      <c r="M519">
        <v>199111578.53689349</v>
      </c>
      <c r="N519">
        <v>225801720.44733584</v>
      </c>
      <c r="O519">
        <v>249177073.94171482</v>
      </c>
      <c r="P519">
        <v>251239520.46159631</v>
      </c>
      <c r="Q519">
        <v>167150657.70154065</v>
      </c>
      <c r="R519">
        <v>176157605.19615951</v>
      </c>
      <c r="S519">
        <v>187600942.57206684</v>
      </c>
      <c r="T519">
        <v>183700340.31786934</v>
      </c>
      <c r="U519">
        <v>194936727.90375254</v>
      </c>
      <c r="V519">
        <v>205779628.06173936</v>
      </c>
      <c r="W519">
        <v>216229040.79185745</v>
      </c>
      <c r="X519">
        <v>226284966.09413341</v>
      </c>
      <c r="Y519">
        <v>186416668.58668485</v>
      </c>
      <c r="Z519">
        <v>193710340.00811741</v>
      </c>
      <c r="AA519">
        <v>93926833.397613734</v>
      </c>
      <c r="AB519">
        <v>101665568.24475119</v>
      </c>
      <c r="AC519">
        <v>109284601.94888133</v>
      </c>
      <c r="AD519">
        <v>116783934.51002574</v>
      </c>
      <c r="AE519">
        <v>106959811.50487052</v>
      </c>
      <c r="AF519">
        <v>97255389.641215503</v>
      </c>
      <c r="AG519">
        <v>87670668.919080138</v>
      </c>
      <c r="AH519">
        <v>78205649.338483334</v>
      </c>
      <c r="AI519">
        <v>68860330.899443299</v>
      </c>
      <c r="AJ519">
        <v>59634713.601977699</v>
      </c>
      <c r="AK519">
        <v>50528797.446103588</v>
      </c>
      <c r="AL519">
        <v>41542582.431837499</v>
      </c>
      <c r="AM519">
        <v>32676068.559195429</v>
      </c>
      <c r="AN519">
        <v>23929255.828192662</v>
      </c>
    </row>
    <row r="520" spans="1:40">
      <c r="A520" s="30"/>
    </row>
    <row r="521" spans="1:40">
      <c r="A521" s="30"/>
    </row>
    <row r="522" spans="1:40">
      <c r="A522" s="30" t="s">
        <v>472</v>
      </c>
      <c r="B522" t="s">
        <v>366</v>
      </c>
      <c r="D522" t="s">
        <v>473</v>
      </c>
      <c r="E522">
        <v>2015</v>
      </c>
      <c r="F522">
        <v>2016</v>
      </c>
      <c r="G522">
        <v>2017</v>
      </c>
      <c r="H522">
        <v>2018</v>
      </c>
      <c r="I522">
        <v>2019</v>
      </c>
      <c r="J522">
        <v>2020</v>
      </c>
      <c r="K522">
        <v>2021</v>
      </c>
      <c r="L522">
        <v>2022</v>
      </c>
      <c r="M522">
        <v>2023</v>
      </c>
      <c r="N522">
        <v>2024</v>
      </c>
      <c r="O522">
        <v>2025</v>
      </c>
      <c r="P522">
        <v>2026</v>
      </c>
      <c r="Q522">
        <v>2027</v>
      </c>
      <c r="R522">
        <v>2028</v>
      </c>
      <c r="S522">
        <v>2029</v>
      </c>
      <c r="T522">
        <v>2030</v>
      </c>
      <c r="U522">
        <v>2031</v>
      </c>
      <c r="V522">
        <v>2032</v>
      </c>
      <c r="W522">
        <v>2033</v>
      </c>
      <c r="X522">
        <v>2034</v>
      </c>
      <c r="Y522">
        <v>2035</v>
      </c>
      <c r="Z522">
        <v>2036</v>
      </c>
      <c r="AA522">
        <v>2037</v>
      </c>
      <c r="AB522">
        <v>2038</v>
      </c>
      <c r="AC522">
        <v>2039</v>
      </c>
      <c r="AD522">
        <v>2040</v>
      </c>
      <c r="AE522">
        <v>2041</v>
      </c>
      <c r="AF522">
        <v>2042</v>
      </c>
      <c r="AG522">
        <v>2043</v>
      </c>
      <c r="AH522">
        <v>2044</v>
      </c>
      <c r="AI522">
        <v>2045</v>
      </c>
      <c r="AJ522">
        <v>2046</v>
      </c>
      <c r="AK522">
        <v>2047</v>
      </c>
      <c r="AL522">
        <v>2048</v>
      </c>
      <c r="AM522">
        <v>2049</v>
      </c>
      <c r="AN522">
        <v>2050</v>
      </c>
    </row>
    <row r="523" spans="1:40">
      <c r="A523" s="30" t="s">
        <v>477</v>
      </c>
      <c r="B523" t="s">
        <v>444</v>
      </c>
      <c r="C523" t="s">
        <v>445</v>
      </c>
      <c r="D523" t="str">
        <f>C523&amp;A523</f>
        <v>Carbon emissionsMaximum effectiveness of levers</v>
      </c>
      <c r="E523">
        <v>24.536442456359286</v>
      </c>
      <c r="F523">
        <v>21.181286101250649</v>
      </c>
      <c r="G523">
        <v>19.520902617925778</v>
      </c>
      <c r="H523">
        <v>19.137396891769136</v>
      </c>
      <c r="I523">
        <v>18.671196929345118</v>
      </c>
      <c r="J523">
        <v>17.987381765058455</v>
      </c>
      <c r="K523">
        <v>17.42467848485045</v>
      </c>
      <c r="L523">
        <v>16.267494179431434</v>
      </c>
      <c r="M523">
        <v>15.902700671290276</v>
      </c>
      <c r="N523">
        <v>15.858691666167847</v>
      </c>
      <c r="O523">
        <v>15.172418057848381</v>
      </c>
      <c r="P523">
        <v>13.930625711778056</v>
      </c>
      <c r="Q523">
        <v>13.860224371382358</v>
      </c>
      <c r="R523">
        <v>13.164667875623321</v>
      </c>
      <c r="S523">
        <v>12.417072384680374</v>
      </c>
      <c r="T523">
        <v>12.39954098367012</v>
      </c>
      <c r="U523">
        <v>11.947497620743169</v>
      </c>
      <c r="V523">
        <v>11.22984391701403</v>
      </c>
      <c r="W523">
        <v>10.997035295816225</v>
      </c>
      <c r="X523">
        <v>10.65140476678202</v>
      </c>
      <c r="Y523">
        <v>10.21617713496126</v>
      </c>
      <c r="Z523">
        <v>10.209255946323889</v>
      </c>
      <c r="AA523">
        <v>10.035441625714816</v>
      </c>
      <c r="AB523">
        <v>9.9184995892112102</v>
      </c>
      <c r="AC523">
        <v>9.990622614743021</v>
      </c>
      <c r="AD523">
        <v>10.016021470206033</v>
      </c>
      <c r="AE523">
        <v>9.9268337947712961</v>
      </c>
      <c r="AF523">
        <v>9.8427527287694456</v>
      </c>
      <c r="AG523">
        <v>9.7888889579504728</v>
      </c>
      <c r="AH523">
        <v>9.7101879183084119</v>
      </c>
      <c r="AI523">
        <v>9.6647485654888605</v>
      </c>
      <c r="AJ523">
        <v>9.5888800303348241</v>
      </c>
      <c r="AK523">
        <v>9.5186247615957456</v>
      </c>
      <c r="AL523">
        <v>9.4792490053482918</v>
      </c>
      <c r="AM523">
        <v>9.4149496222677556</v>
      </c>
      <c r="AN523">
        <v>9.3741548482314538</v>
      </c>
    </row>
    <row r="524" spans="1:40">
      <c r="A524" s="30" t="s">
        <v>477</v>
      </c>
      <c r="B524" t="s">
        <v>446</v>
      </c>
      <c r="C524" t="s">
        <v>447</v>
      </c>
      <c r="D524" t="str">
        <f t="shared" ref="D524:D580" si="54">C524&amp;A524</f>
        <v>Domestic heat demandMaximum effectiveness of levers</v>
      </c>
      <c r="E524">
        <v>34208540661.939991</v>
      </c>
      <c r="F524">
        <v>34436853702.751373</v>
      </c>
      <c r="G524">
        <v>34665166743.562752</v>
      </c>
      <c r="H524">
        <v>34893479784.374138</v>
      </c>
      <c r="I524">
        <v>35105092816.294228</v>
      </c>
      <c r="J524">
        <v>35263296828.173943</v>
      </c>
      <c r="K524">
        <v>35313681216.023674</v>
      </c>
      <c r="L524">
        <v>35291789150.888206</v>
      </c>
      <c r="M524">
        <v>35185776094.14373</v>
      </c>
      <c r="N524">
        <v>35019306641.854515</v>
      </c>
      <c r="O524">
        <v>34738097375.334091</v>
      </c>
      <c r="P524">
        <v>34348560388.52758</v>
      </c>
      <c r="Q524">
        <v>33889222577.867081</v>
      </c>
      <c r="R524">
        <v>33410339559.673969</v>
      </c>
      <c r="S524">
        <v>32866525187.300907</v>
      </c>
      <c r="T524">
        <v>32318281501.101967</v>
      </c>
      <c r="U524">
        <v>31875404067.212475</v>
      </c>
      <c r="V524">
        <v>31482063829.2463</v>
      </c>
      <c r="W524">
        <v>31137326381.077168</v>
      </c>
      <c r="X524">
        <v>30840500678.506203</v>
      </c>
      <c r="Y524">
        <v>30724875694.055088</v>
      </c>
      <c r="Z524">
        <v>30650620147.236996</v>
      </c>
      <c r="AA524">
        <v>30577924536.120335</v>
      </c>
      <c r="AB524">
        <v>30635707565.60923</v>
      </c>
      <c r="AC524">
        <v>30694785327.965515</v>
      </c>
      <c r="AD524">
        <v>30755155252.63084</v>
      </c>
      <c r="AE524">
        <v>30816729743.760384</v>
      </c>
      <c r="AF524">
        <v>30879492564.394493</v>
      </c>
      <c r="AG524">
        <v>30943441177.42577</v>
      </c>
      <c r="AH524">
        <v>31008573362.901047</v>
      </c>
      <c r="AI524">
        <v>31074887218.015091</v>
      </c>
      <c r="AJ524">
        <v>31142381157.105152</v>
      </c>
      <c r="AK524">
        <v>31211053911.646465</v>
      </c>
      <c r="AL524">
        <v>31280904530.248604</v>
      </c>
      <c r="AM524">
        <v>31351932378.652809</v>
      </c>
      <c r="AN524">
        <v>31424137139.730129</v>
      </c>
    </row>
    <row r="525" spans="1:40">
      <c r="A525" s="30" t="s">
        <v>477</v>
      </c>
      <c r="B525" t="s">
        <v>446</v>
      </c>
      <c r="C525" t="s">
        <v>448</v>
      </c>
      <c r="D525" t="str">
        <f t="shared" si="54"/>
        <v>Non-domestic heat demandMaximum effectiveness of levers</v>
      </c>
      <c r="E525">
        <v>18723008369.73642</v>
      </c>
      <c r="F525">
        <v>18769464337.131519</v>
      </c>
      <c r="G525">
        <v>18815920304.526627</v>
      </c>
      <c r="H525">
        <v>18862376271.921734</v>
      </c>
      <c r="I525">
        <v>18882639068.063377</v>
      </c>
      <c r="J525">
        <v>18876877310.17984</v>
      </c>
      <c r="K525">
        <v>18802936789.167709</v>
      </c>
      <c r="L525">
        <v>18661226293.540539</v>
      </c>
      <c r="M525">
        <v>18448155231.739239</v>
      </c>
      <c r="N525">
        <v>18178200796.275002</v>
      </c>
      <c r="O525">
        <v>17857343935.818771</v>
      </c>
      <c r="P525">
        <v>17466756865.323486</v>
      </c>
      <c r="Q525">
        <v>17018693053.46104</v>
      </c>
      <c r="R525">
        <v>16523515036.235813</v>
      </c>
      <c r="S525">
        <v>15974700066.282475</v>
      </c>
      <c r="T525">
        <v>15432425172.647335</v>
      </c>
      <c r="U525">
        <v>14976770762.239487</v>
      </c>
      <c r="V525">
        <v>14605933086.807468</v>
      </c>
      <c r="W525">
        <v>14318520460.478245</v>
      </c>
      <c r="X525">
        <v>14113555646.149366</v>
      </c>
      <c r="Y525">
        <v>14120782598.118412</v>
      </c>
      <c r="Z525">
        <v>14129910188.001543</v>
      </c>
      <c r="AA525">
        <v>14140446338.346802</v>
      </c>
      <c r="AB525">
        <v>14152870790.815464</v>
      </c>
      <c r="AC525">
        <v>14167180671.250143</v>
      </c>
      <c r="AD525">
        <v>14183373345.083843</v>
      </c>
      <c r="AE525">
        <v>14201419613.039207</v>
      </c>
      <c r="AF525">
        <v>14221317032.962055</v>
      </c>
      <c r="AG525">
        <v>14243063448.99629</v>
      </c>
      <c r="AH525">
        <v>14266656991.82012</v>
      </c>
      <c r="AI525">
        <v>14292096078.930826</v>
      </c>
      <c r="AJ525">
        <v>14319379414.978569</v>
      </c>
      <c r="AK525">
        <v>14348505992.149754</v>
      </c>
      <c r="AL525">
        <v>14379475090.60058</v>
      </c>
      <c r="AM525">
        <v>14412286278.941185</v>
      </c>
      <c r="AN525">
        <v>14446939414.771082</v>
      </c>
    </row>
    <row r="526" spans="1:40">
      <c r="A526" s="30" t="s">
        <v>477</v>
      </c>
      <c r="B526" t="s">
        <v>446</v>
      </c>
      <c r="C526" t="s">
        <v>449</v>
      </c>
      <c r="D526" t="str">
        <f t="shared" si="54"/>
        <v>Total domestic electricity demandMaximum effectiveness of levers</v>
      </c>
      <c r="E526">
        <v>11858086493.000008</v>
      </c>
      <c r="F526">
        <v>11983753946.175779</v>
      </c>
      <c r="G526">
        <v>12109421399.351551</v>
      </c>
      <c r="H526">
        <v>12235088852.527323</v>
      </c>
      <c r="I526">
        <v>12283115260.608738</v>
      </c>
      <c r="J526">
        <v>12253016003.703335</v>
      </c>
      <c r="K526">
        <v>12123487687.560911</v>
      </c>
      <c r="L526">
        <v>11914120000.868156</v>
      </c>
      <c r="M526">
        <v>11625164960.338356</v>
      </c>
      <c r="N526">
        <v>11257794832.883997</v>
      </c>
      <c r="O526">
        <v>10811863126.595045</v>
      </c>
      <c r="P526">
        <v>10300779662.583212</v>
      </c>
      <c r="Q526">
        <v>9972011474.0765972</v>
      </c>
      <c r="R526">
        <v>9599205097.9059105</v>
      </c>
      <c r="S526">
        <v>9182506285.8824043</v>
      </c>
      <c r="T526">
        <v>8724183030.0315971</v>
      </c>
      <c r="U526">
        <v>8758820495.1152496</v>
      </c>
      <c r="V526">
        <v>8793722386.9199371</v>
      </c>
      <c r="W526">
        <v>8828888705.4456635</v>
      </c>
      <c r="X526">
        <v>8864319450.6924248</v>
      </c>
      <c r="Y526">
        <v>8900944696.2262344</v>
      </c>
      <c r="Z526">
        <v>8937952929.3999138</v>
      </c>
      <c r="AA526">
        <v>8975008001.552187</v>
      </c>
      <c r="AB526">
        <v>9014137075.8139248</v>
      </c>
      <c r="AC526">
        <v>9053312989.0542583</v>
      </c>
      <c r="AD526">
        <v>9092535741.2731876</v>
      </c>
      <c r="AE526">
        <v>9131805332.4707088</v>
      </c>
      <c r="AF526">
        <v>9171121762.646822</v>
      </c>
      <c r="AG526">
        <v>9210485031.8015327</v>
      </c>
      <c r="AH526">
        <v>9249895139.9348335</v>
      </c>
      <c r="AI526">
        <v>9289352087.04673</v>
      </c>
      <c r="AJ526">
        <v>9328855873.1372204</v>
      </c>
      <c r="AK526">
        <v>9368406498.2063026</v>
      </c>
      <c r="AL526">
        <v>9408003962.2539825</v>
      </c>
      <c r="AM526">
        <v>9447648265.2802525</v>
      </c>
      <c r="AN526">
        <v>9487339407.2851143</v>
      </c>
    </row>
    <row r="527" spans="1:40">
      <c r="A527" s="30" t="s">
        <v>477</v>
      </c>
      <c r="B527" t="s">
        <v>446</v>
      </c>
      <c r="C527" t="s">
        <v>450</v>
      </c>
      <c r="D527" t="str">
        <f t="shared" si="54"/>
        <v>Total non-domestic electricity demandMaximum effectiveness of levers</v>
      </c>
      <c r="E527">
        <v>19618605322.817085</v>
      </c>
      <c r="F527">
        <v>19701017110.02137</v>
      </c>
      <c r="G527">
        <v>19783428897.225655</v>
      </c>
      <c r="H527">
        <v>19865840684.429939</v>
      </c>
      <c r="I527">
        <v>19897479500.05381</v>
      </c>
      <c r="J527">
        <v>19878351620.279716</v>
      </c>
      <c r="K527">
        <v>19807830550.93354</v>
      </c>
      <c r="L527">
        <v>19685961560.387665</v>
      </c>
      <c r="M527">
        <v>19512721010.843521</v>
      </c>
      <c r="N527">
        <v>19288467839.674168</v>
      </c>
      <c r="O527">
        <v>19013379489.967148</v>
      </c>
      <c r="P527">
        <v>18666120242.66119</v>
      </c>
      <c r="Q527">
        <v>18268280147.257721</v>
      </c>
      <c r="R527">
        <v>17820190512.991608</v>
      </c>
      <c r="S527">
        <v>17321834254.876957</v>
      </c>
      <c r="T527">
        <v>16774078125.49081</v>
      </c>
      <c r="U527">
        <v>16828091250.388695</v>
      </c>
      <c r="V527">
        <v>16883214303.44441</v>
      </c>
      <c r="W527">
        <v>16939448330.214775</v>
      </c>
      <c r="X527">
        <v>16996794378.412342</v>
      </c>
      <c r="Y527">
        <v>17057147019.667416</v>
      </c>
      <c r="Z527">
        <v>17117534394.492079</v>
      </c>
      <c r="AA527">
        <v>17177956548.379793</v>
      </c>
      <c r="AB527">
        <v>17238413526.945835</v>
      </c>
      <c r="AC527">
        <v>17298905375.927734</v>
      </c>
      <c r="AD527">
        <v>17359432141.185688</v>
      </c>
      <c r="AE527">
        <v>17419993868.702995</v>
      </c>
      <c r="AF527">
        <v>17480590604.586487</v>
      </c>
      <c r="AG527">
        <v>17541222395.066952</v>
      </c>
      <c r="AH527">
        <v>17601889286.49958</v>
      </c>
      <c r="AI527">
        <v>17662591325.364388</v>
      </c>
      <c r="AJ527">
        <v>17723328558.266647</v>
      </c>
      <c r="AK527">
        <v>17784101031.937344</v>
      </c>
      <c r="AL527">
        <v>17844908793.233608</v>
      </c>
      <c r="AM527">
        <v>17905751889.139153</v>
      </c>
      <c r="AN527">
        <v>17966630366.764736</v>
      </c>
    </row>
    <row r="528" spans="1:40">
      <c r="A528" s="30" t="s">
        <v>477</v>
      </c>
      <c r="B528" t="s">
        <v>446</v>
      </c>
      <c r="C528" t="s">
        <v>451</v>
      </c>
      <c r="D528" t="str">
        <f t="shared" si="54"/>
        <v>Estimated additional cooking electricity demandMaximum effectiveness of levers</v>
      </c>
      <c r="E528">
        <v>0</v>
      </c>
      <c r="F528">
        <v>14170944.699998856</v>
      </c>
      <c r="G528">
        <v>28341889.399997711</v>
      </c>
      <c r="H528">
        <v>42512834.099996567</v>
      </c>
      <c r="I528">
        <v>56683778.799995422</v>
      </c>
      <c r="J528">
        <v>70854723.499994278</v>
      </c>
      <c r="K528">
        <v>85025668.199993134</v>
      </c>
      <c r="L528">
        <v>99196612.899991989</v>
      </c>
      <c r="M528">
        <v>113367557.59999084</v>
      </c>
      <c r="N528">
        <v>127538502.2999897</v>
      </c>
      <c r="O528">
        <v>141709447</v>
      </c>
      <c r="P528">
        <v>160285997</v>
      </c>
      <c r="Q528">
        <v>178862547</v>
      </c>
      <c r="R528">
        <v>197439097</v>
      </c>
      <c r="S528">
        <v>216015647</v>
      </c>
      <c r="T528">
        <v>234592197</v>
      </c>
      <c r="U528">
        <v>253168747</v>
      </c>
      <c r="V528">
        <v>271745297</v>
      </c>
      <c r="W528">
        <v>290321847</v>
      </c>
      <c r="X528">
        <v>308898397</v>
      </c>
      <c r="Y528">
        <v>327474947</v>
      </c>
      <c r="Z528">
        <v>346051497</v>
      </c>
      <c r="AA528">
        <v>364628047</v>
      </c>
      <c r="AB528">
        <v>383204597</v>
      </c>
      <c r="AC528">
        <v>401781147</v>
      </c>
      <c r="AD528">
        <v>420357697</v>
      </c>
      <c r="AE528">
        <v>438934247</v>
      </c>
      <c r="AF528">
        <v>457510797</v>
      </c>
      <c r="AG528">
        <v>476087347</v>
      </c>
      <c r="AH528">
        <v>494663897</v>
      </c>
      <c r="AI528">
        <v>513240447</v>
      </c>
      <c r="AJ528">
        <v>531816997</v>
      </c>
      <c r="AK528">
        <v>550393547</v>
      </c>
      <c r="AL528">
        <v>568970097</v>
      </c>
      <c r="AM528">
        <v>587546647</v>
      </c>
      <c r="AN528">
        <v>606123197</v>
      </c>
    </row>
    <row r="529" spans="1:40">
      <c r="A529" s="30" t="s">
        <v>477</v>
      </c>
      <c r="B529" t="s">
        <v>446</v>
      </c>
      <c r="C529" t="s">
        <v>372</v>
      </c>
      <c r="D529" t="str">
        <f t="shared" si="54"/>
        <v>Existing domestic heat demandMaximum effectiveness of levers</v>
      </c>
      <c r="E529">
        <v>34208540661.939991</v>
      </c>
      <c r="F529">
        <v>34208540661.939991</v>
      </c>
      <c r="G529">
        <v>34208540661.939991</v>
      </c>
      <c r="H529">
        <v>34208540661.939991</v>
      </c>
      <c r="I529">
        <v>34191840653.048702</v>
      </c>
      <c r="J529">
        <v>34121434754.166946</v>
      </c>
      <c r="K529">
        <v>33978341421.823196</v>
      </c>
      <c r="L529">
        <v>33762971636.49424</v>
      </c>
      <c r="M529">
        <v>33463480859.556286</v>
      </c>
      <c r="N529">
        <v>33103533687.073586</v>
      </c>
      <c r="O529">
        <v>32628846700.359676</v>
      </c>
      <c r="P529">
        <v>32082679210.431084</v>
      </c>
      <c r="Q529">
        <v>31466710896.648499</v>
      </c>
      <c r="R529">
        <v>30831197375.333305</v>
      </c>
      <c r="S529">
        <v>30130752499.838158</v>
      </c>
      <c r="T529">
        <v>29425878310.517136</v>
      </c>
      <c r="U529">
        <v>28910796115.550316</v>
      </c>
      <c r="V529">
        <v>28445251116.506813</v>
      </c>
      <c r="W529">
        <v>28028308907.260353</v>
      </c>
      <c r="X529">
        <v>27659278443.612061</v>
      </c>
      <c r="Y529">
        <v>27471448698.083618</v>
      </c>
      <c r="Z529">
        <v>27324988390.188198</v>
      </c>
      <c r="AA529">
        <v>27180088017.994209</v>
      </c>
      <c r="AB529">
        <v>27165666286.405781</v>
      </c>
      <c r="AC529">
        <v>27152539287.684738</v>
      </c>
      <c r="AD529">
        <v>27140704451.272728</v>
      </c>
      <c r="AE529">
        <v>27130074181.324944</v>
      </c>
      <c r="AF529">
        <v>27120632240.881721</v>
      </c>
      <c r="AG529">
        <v>27112376092.83567</v>
      </c>
      <c r="AH529">
        <v>27105303517.23362</v>
      </c>
      <c r="AI529">
        <v>27099412611.270332</v>
      </c>
      <c r="AJ529">
        <v>27094701789.283066</v>
      </c>
      <c r="AK529">
        <v>27091169782.747047</v>
      </c>
      <c r="AL529">
        <v>27088815640.271858</v>
      </c>
      <c r="AM529">
        <v>27087638727.598732</v>
      </c>
      <c r="AN529">
        <v>27087638727.598732</v>
      </c>
    </row>
    <row r="530" spans="1:40">
      <c r="A530" s="30" t="s">
        <v>477</v>
      </c>
      <c r="B530" t="s">
        <v>446</v>
      </c>
      <c r="C530" t="s">
        <v>373</v>
      </c>
      <c r="D530" t="str">
        <f t="shared" si="54"/>
        <v>Existing non-domestic heat demandMaximum effectiveness of levers</v>
      </c>
      <c r="E530">
        <v>18723008369.73642</v>
      </c>
      <c r="F530">
        <v>18723008369.736416</v>
      </c>
      <c r="G530">
        <v>18723008369.736416</v>
      </c>
      <c r="H530">
        <v>18723008369.73642</v>
      </c>
      <c r="I530">
        <v>18696815198.482956</v>
      </c>
      <c r="J530">
        <v>18644500045.209488</v>
      </c>
      <c r="K530">
        <v>18524006128.807423</v>
      </c>
      <c r="L530">
        <v>18335742237.790321</v>
      </c>
      <c r="M530">
        <v>18076117780.599087</v>
      </c>
      <c r="N530">
        <v>17759609949.744919</v>
      </c>
      <c r="O530">
        <v>17392199693.898754</v>
      </c>
      <c r="P530">
        <v>16966762474.286757</v>
      </c>
      <c r="Q530">
        <v>16483848513.307596</v>
      </c>
      <c r="R530">
        <v>15953820346.965654</v>
      </c>
      <c r="S530">
        <v>15370155227.895603</v>
      </c>
      <c r="T530">
        <v>14793030185.143749</v>
      </c>
      <c r="U530">
        <v>14302525625.619186</v>
      </c>
      <c r="V530">
        <v>13896837801.070454</v>
      </c>
      <c r="W530">
        <v>13574575025.624517</v>
      </c>
      <c r="X530">
        <v>13334760062.178925</v>
      </c>
      <c r="Y530">
        <v>13307136865.031256</v>
      </c>
      <c r="Z530">
        <v>13281414305.797672</v>
      </c>
      <c r="AA530">
        <v>13257100307.026218</v>
      </c>
      <c r="AB530">
        <v>13234674610.378166</v>
      </c>
      <c r="AC530">
        <v>13214134341.696131</v>
      </c>
      <c r="AD530">
        <v>13195476866.413116</v>
      </c>
      <c r="AE530">
        <v>13178672985.251766</v>
      </c>
      <c r="AF530">
        <v>13163720256.057901</v>
      </c>
      <c r="AG530">
        <v>13150616522.975422</v>
      </c>
      <c r="AH530">
        <v>13139359916.682537</v>
      </c>
      <c r="AI530">
        <v>13129948854.676529</v>
      </c>
      <c r="AJ530">
        <v>13122382041.607559</v>
      </c>
      <c r="AK530">
        <v>13116658469.662029</v>
      </c>
      <c r="AL530">
        <v>13112777418.996141</v>
      </c>
      <c r="AM530">
        <v>13110738458.220032</v>
      </c>
      <c r="AN530">
        <v>13110541444.933216</v>
      </c>
    </row>
    <row r="531" spans="1:40">
      <c r="A531" s="30" t="s">
        <v>477</v>
      </c>
      <c r="B531" t="s">
        <v>446</v>
      </c>
      <c r="C531" t="s">
        <v>374</v>
      </c>
      <c r="D531" t="str">
        <f t="shared" si="54"/>
        <v>Existing domestic electricity demandMaximum effectiveness of levers</v>
      </c>
      <c r="E531">
        <v>11858086493.000008</v>
      </c>
      <c r="F531">
        <v>11858086493.000008</v>
      </c>
      <c r="G531">
        <v>11858086493.000008</v>
      </c>
      <c r="H531">
        <v>11858086493.000008</v>
      </c>
      <c r="I531">
        <v>11780445447.905653</v>
      </c>
      <c r="J531">
        <v>11624678737.824478</v>
      </c>
      <c r="K531">
        <v>11388795223.598196</v>
      </c>
      <c r="L531">
        <v>11073072338.821583</v>
      </c>
      <c r="M531">
        <v>10677762100.207924</v>
      </c>
      <c r="N531">
        <v>10204036774.669706</v>
      </c>
      <c r="O531">
        <v>9651749870.296896</v>
      </c>
      <c r="P531">
        <v>9054566217.7524261</v>
      </c>
      <c r="Q531">
        <v>8639697840.7131748</v>
      </c>
      <c r="R531">
        <v>8180791276.0098495</v>
      </c>
      <c r="S531">
        <v>7677992275.4537077</v>
      </c>
      <c r="T531">
        <v>7133568831.0702639</v>
      </c>
      <c r="U531">
        <v>7128515154.1490517</v>
      </c>
      <c r="V531">
        <v>7123725903.9488764</v>
      </c>
      <c r="W531">
        <v>7119201080.469738</v>
      </c>
      <c r="X531">
        <v>7114940683.7116356</v>
      </c>
      <c r="Y531">
        <v>7111874787.2405834</v>
      </c>
      <c r="Z531">
        <v>7109191878.409399</v>
      </c>
      <c r="AA531">
        <v>7106555808.5568085</v>
      </c>
      <c r="AB531">
        <v>7105993740.8136826</v>
      </c>
      <c r="AC531">
        <v>7105478512.0491524</v>
      </c>
      <c r="AD531">
        <v>7105010122.2632141</v>
      </c>
      <c r="AE531">
        <v>7104588571.4558706</v>
      </c>
      <c r="AF531">
        <v>7104213859.62712</v>
      </c>
      <c r="AG531">
        <v>7103885986.7769642</v>
      </c>
      <c r="AH531">
        <v>7103604952.9054012</v>
      </c>
      <c r="AI531">
        <v>7103370758.0124331</v>
      </c>
      <c r="AJ531">
        <v>7103183402.0980568</v>
      </c>
      <c r="AK531">
        <v>7103042885.1622753</v>
      </c>
      <c r="AL531">
        <v>7102949207.2050886</v>
      </c>
      <c r="AM531">
        <v>7102902368.2264938</v>
      </c>
      <c r="AN531">
        <v>7102902368.2264938</v>
      </c>
    </row>
    <row r="532" spans="1:40">
      <c r="A532" s="30" t="s">
        <v>477</v>
      </c>
      <c r="B532" t="s">
        <v>446</v>
      </c>
      <c r="C532" t="s">
        <v>375</v>
      </c>
      <c r="D532" t="str">
        <f t="shared" si="54"/>
        <v>Existing non-domestic electricity demandMaximum effectiveness of levers</v>
      </c>
      <c r="E532">
        <v>19618605322.817085</v>
      </c>
      <c r="F532">
        <v>19618605322.817085</v>
      </c>
      <c r="G532">
        <v>19618605322.817085</v>
      </c>
      <c r="H532">
        <v>19618605322.817085</v>
      </c>
      <c r="I532">
        <v>19567832351.236671</v>
      </c>
      <c r="J532">
        <v>19466292684.258293</v>
      </c>
      <c r="K532">
        <v>19313359827.707829</v>
      </c>
      <c r="L532">
        <v>19109079049.957668</v>
      </c>
      <c r="M532">
        <v>18853426713.20924</v>
      </c>
      <c r="N532">
        <v>18546761754.835602</v>
      </c>
      <c r="O532">
        <v>18189261617.924297</v>
      </c>
      <c r="P532">
        <v>17781087870.714947</v>
      </c>
      <c r="Q532">
        <v>17322333275.408089</v>
      </c>
      <c r="R532">
        <v>16813329141.238583</v>
      </c>
      <c r="S532">
        <v>16254058383.220539</v>
      </c>
      <c r="T532">
        <v>15645387753.931</v>
      </c>
      <c r="U532">
        <v>15638486378.925493</v>
      </c>
      <c r="V532">
        <v>15632694932.077816</v>
      </c>
      <c r="W532">
        <v>15628014458.94479</v>
      </c>
      <c r="X532">
        <v>15624446007.238964</v>
      </c>
      <c r="Y532">
        <v>15623884148.590645</v>
      </c>
      <c r="Z532">
        <v>15623357023.511917</v>
      </c>
      <c r="AA532">
        <v>15622864677.496239</v>
      </c>
      <c r="AB532">
        <v>15622407156.15889</v>
      </c>
      <c r="AC532">
        <v>15621984505.237394</v>
      </c>
      <c r="AD532">
        <v>15621596770.591957</v>
      </c>
      <c r="AE532">
        <v>15621243998.205872</v>
      </c>
      <c r="AF532">
        <v>15620926234.185972</v>
      </c>
      <c r="AG532">
        <v>15620643524.763046</v>
      </c>
      <c r="AH532">
        <v>15620395916.292284</v>
      </c>
      <c r="AI532">
        <v>15620183455.253696</v>
      </c>
      <c r="AJ532">
        <v>15620006188.252565</v>
      </c>
      <c r="AK532">
        <v>15619864162.019869</v>
      </c>
      <c r="AL532">
        <v>15619757423.412741</v>
      </c>
      <c r="AM532">
        <v>15619686019.414896</v>
      </c>
      <c r="AN532">
        <v>15619649997.137085</v>
      </c>
    </row>
    <row r="533" spans="1:40">
      <c r="A533" s="30" t="s">
        <v>477</v>
      </c>
      <c r="B533" t="s">
        <v>452</v>
      </c>
      <c r="C533" t="s">
        <v>380</v>
      </c>
      <c r="D533" t="str">
        <f t="shared" si="54"/>
        <v>% new domestic heat demand from solar thermalMaximum effectiveness of levers</v>
      </c>
      <c r="E533">
        <v>0</v>
      </c>
      <c r="F533">
        <v>0</v>
      </c>
      <c r="G533">
        <v>0</v>
      </c>
      <c r="H533">
        <v>0</v>
      </c>
      <c r="I533">
        <v>0</v>
      </c>
      <c r="J533">
        <v>3.8494588464477813E-3</v>
      </c>
      <c r="K533">
        <v>6.078472907222977E-3</v>
      </c>
      <c r="L533">
        <v>7.7437442869030685E-3</v>
      </c>
      <c r="M533">
        <v>9.0351298047125876E-3</v>
      </c>
      <c r="N533">
        <v>1.0065837719198235E-2</v>
      </c>
      <c r="O533">
        <v>1.0907562111917202E-2</v>
      </c>
      <c r="P533">
        <v>1.1483749530573156E-2</v>
      </c>
      <c r="Q533">
        <v>1.1985465227054844E-2</v>
      </c>
      <c r="R533">
        <v>1.2426270890949411E-2</v>
      </c>
      <c r="S533">
        <v>1.2816623783378245E-2</v>
      </c>
      <c r="T533">
        <v>1.3164716952922258E-2</v>
      </c>
      <c r="U533">
        <v>1.3312802365195909E-2</v>
      </c>
      <c r="V533">
        <v>1.3453848625965549E-2</v>
      </c>
      <c r="W533">
        <v>1.3588345986124713E-2</v>
      </c>
      <c r="X533">
        <v>1.3716740203931726E-2</v>
      </c>
      <c r="Y533">
        <v>1.3839437480433103E-2</v>
      </c>
      <c r="Z533">
        <v>1.3956808752181062E-2</v>
      </c>
      <c r="AA533">
        <v>1.4069193436815145E-2</v>
      </c>
      <c r="AB533">
        <v>1.4176902711174574E-2</v>
      </c>
      <c r="AC533">
        <v>1.428022238862081E-2</v>
      </c>
      <c r="AD533">
        <v>1.4379415451597091E-2</v>
      </c>
      <c r="AE533">
        <v>1.4474724286676075E-2</v>
      </c>
      <c r="AF533">
        <v>1.456637266208784E-2</v>
      </c>
      <c r="AG533">
        <v>1.4654567481692122E-2</v>
      </c>
      <c r="AH533">
        <v>1.4739500344334432E-2</v>
      </c>
      <c r="AI533">
        <v>1.4821348933321474E-2</v>
      </c>
      <c r="AJ533">
        <v>1.4900278257222878E-2</v>
      </c>
      <c r="AK533">
        <v>1.4976441760233305E-2</v>
      </c>
      <c r="AL533">
        <v>1.5049982317817418E-2</v>
      </c>
      <c r="AM533">
        <v>1.5121033131231079E-2</v>
      </c>
      <c r="AN533">
        <v>1.5189718532701735E-2</v>
      </c>
    </row>
    <row r="534" spans="1:40">
      <c r="A534" s="30" t="s">
        <v>477</v>
      </c>
      <c r="B534" t="s">
        <v>452</v>
      </c>
      <c r="C534" t="s">
        <v>381</v>
      </c>
      <c r="D534" t="str">
        <f t="shared" si="54"/>
        <v>% new non-domestic heat demand from solar thermalMaximum effectiveness of levers</v>
      </c>
      <c r="E534">
        <v>0</v>
      </c>
      <c r="F534">
        <v>0</v>
      </c>
      <c r="G534">
        <v>0</v>
      </c>
      <c r="H534">
        <v>0</v>
      </c>
      <c r="I534">
        <v>0</v>
      </c>
      <c r="J534">
        <v>6.2087820672609116E-3</v>
      </c>
      <c r="K534">
        <v>1.0347970112101522E-2</v>
      </c>
      <c r="L534">
        <v>1.3304533001273383E-2</v>
      </c>
      <c r="M534">
        <v>1.5521955168152279E-2</v>
      </c>
      <c r="N534">
        <v>1.7246616853502532E-2</v>
      </c>
      <c r="O534">
        <v>1.8626346201782738E-2</v>
      </c>
      <c r="P534">
        <v>1.9493697003782746E-2</v>
      </c>
      <c r="Q534">
        <v>2.0248098229741378E-2</v>
      </c>
      <c r="R534">
        <v>2.0910264190128706E-2</v>
      </c>
      <c r="S534">
        <v>2.1496135816483224E-2</v>
      </c>
      <c r="T534">
        <v>2.2018180729025946E-2</v>
      </c>
      <c r="U534">
        <v>2.2486290353187412E-2</v>
      </c>
      <c r="V534">
        <v>2.290841263650658E-2</v>
      </c>
      <c r="W534">
        <v>2.3291007021043024E-2</v>
      </c>
      <c r="X534">
        <v>2.363937732031203E-2</v>
      </c>
      <c r="Y534">
        <v>2.3957919090399651E-2</v>
      </c>
      <c r="Z534">
        <v>2.4250306067716575E-2</v>
      </c>
      <c r="AA534">
        <v>2.4519632493733311E-2</v>
      </c>
      <c r="AB534">
        <v>2.4768523041881894E-2</v>
      </c>
      <c r="AC534">
        <v>2.4999218636090371E-2</v>
      </c>
      <c r="AD534">
        <v>2.521364411191299E-2</v>
      </c>
      <c r="AE534">
        <v>2.5413462049603923E-2</v>
      </c>
      <c r="AF534">
        <v>2.5600115967610922E-2</v>
      </c>
      <c r="AG534">
        <v>2.5774865251532036E-2</v>
      </c>
      <c r="AH534">
        <v>2.5938813606390217E-2</v>
      </c>
      <c r="AI534">
        <v>2.6092932391315504E-2</v>
      </c>
      <c r="AJ534">
        <v>2.6238079879272319E-2</v>
      </c>
      <c r="AK534">
        <v>2.6375017248566644E-2</v>
      </c>
      <c r="AL534">
        <v>2.6504421935359648E-2</v>
      </c>
      <c r="AM534">
        <v>2.6626898841669681E-2</v>
      </c>
      <c r="AN534">
        <v>2.6742989790215374E-2</v>
      </c>
    </row>
    <row r="535" spans="1:40">
      <c r="A535" s="30" t="s">
        <v>477</v>
      </c>
      <c r="B535" t="s">
        <v>452</v>
      </c>
      <c r="C535" t="s">
        <v>382</v>
      </c>
      <c r="D535" t="str">
        <f t="shared" si="54"/>
        <v>% existing domestic heat demand from solar thermalMaximum effectiveness of levers</v>
      </c>
      <c r="E535">
        <v>0</v>
      </c>
      <c r="F535">
        <v>0</v>
      </c>
      <c r="G535">
        <v>0</v>
      </c>
      <c r="H535">
        <v>0</v>
      </c>
      <c r="I535">
        <v>0</v>
      </c>
      <c r="J535">
        <v>0</v>
      </c>
      <c r="K535">
        <v>2.602352637118459E-5</v>
      </c>
      <c r="L535">
        <v>5.2300196045783391E-5</v>
      </c>
      <c r="M535">
        <v>7.8986263689545601E-5</v>
      </c>
      <c r="N535">
        <v>1.061943353890359E-4</v>
      </c>
      <c r="O535">
        <v>1.342247710639245E-4</v>
      </c>
      <c r="P535">
        <v>1.631870501857268E-4</v>
      </c>
      <c r="Q535">
        <v>1.6566907700132536E-4</v>
      </c>
      <c r="R535">
        <v>1.6835720223672528E-4</v>
      </c>
      <c r="S535">
        <v>1.7145898664001823E-4</v>
      </c>
      <c r="T535">
        <v>1.7473545838159955E-4</v>
      </c>
      <c r="U535">
        <v>2.1057340206215809E-4</v>
      </c>
      <c r="V535">
        <v>2.8089446254247146E-4</v>
      </c>
      <c r="W535">
        <v>3.8678149611846965E-4</v>
      </c>
      <c r="X535">
        <v>5.2907638349989868E-4</v>
      </c>
      <c r="Y535">
        <v>7.055902717273936E-4</v>
      </c>
      <c r="Z535">
        <v>9.179417947546187E-4</v>
      </c>
      <c r="AA535">
        <v>1.1671347819766486E-3</v>
      </c>
      <c r="AB535">
        <v>1.4480128084943076E-3</v>
      </c>
      <c r="AC535">
        <v>1.7641297169063016E-3</v>
      </c>
      <c r="AD535">
        <v>2.115493105119656E-3</v>
      </c>
      <c r="AE535">
        <v>2.4388929380916927E-3</v>
      </c>
      <c r="AF535">
        <v>2.7265325733295308E-3</v>
      </c>
      <c r="AG535">
        <v>2.9783510251620219E-3</v>
      </c>
      <c r="AH535">
        <v>3.1942948596685827E-3</v>
      </c>
      <c r="AI535">
        <v>3.3743182231882251E-3</v>
      </c>
      <c r="AJ535">
        <v>3.5183828668088821E-3</v>
      </c>
      <c r="AK535">
        <v>3.6264581668126114E-3</v>
      </c>
      <c r="AL535">
        <v>3.6985211410563157E-3</v>
      </c>
      <c r="AM535">
        <v>3.734556461271619E-3</v>
      </c>
      <c r="AN535">
        <v>3.734556461271619E-3</v>
      </c>
    </row>
    <row r="536" spans="1:40">
      <c r="A536" s="30" t="s">
        <v>477</v>
      </c>
      <c r="B536" t="s">
        <v>452</v>
      </c>
      <c r="C536" t="s">
        <v>383</v>
      </c>
      <c r="D536" t="str">
        <f t="shared" si="54"/>
        <v>% existing non-domestic heat demand from solar thermalMaximum effectiveness of levers</v>
      </c>
      <c r="E536">
        <v>0</v>
      </c>
      <c r="F536">
        <v>0</v>
      </c>
      <c r="G536">
        <v>0</v>
      </c>
      <c r="H536">
        <v>0</v>
      </c>
      <c r="I536">
        <v>0</v>
      </c>
      <c r="J536">
        <v>0</v>
      </c>
      <c r="K536">
        <v>5.7715632951342989E-5</v>
      </c>
      <c r="L536">
        <v>1.1579312782613375E-4</v>
      </c>
      <c r="M536">
        <v>1.7439304393645008E-4</v>
      </c>
      <c r="N536">
        <v>2.3368225735369107E-4</v>
      </c>
      <c r="O536">
        <v>2.942461723157286E-4</v>
      </c>
      <c r="P536">
        <v>3.5560197662953493E-4</v>
      </c>
      <c r="Q536">
        <v>3.5859483054608579E-4</v>
      </c>
      <c r="R536">
        <v>3.6207967474175185E-4</v>
      </c>
      <c r="S536">
        <v>3.6619284563941667E-4</v>
      </c>
      <c r="T536">
        <v>3.7058460576439576E-4</v>
      </c>
      <c r="U536">
        <v>5.5296453544650341E-4</v>
      </c>
      <c r="V536">
        <v>9.1667470335435254E-4</v>
      </c>
      <c r="W536">
        <v>1.4654246685967501E-3</v>
      </c>
      <c r="X536">
        <v>2.2031348817154535E-3</v>
      </c>
      <c r="Y536">
        <v>3.1126924623767387E-3</v>
      </c>
      <c r="Z536">
        <v>4.0556477953520541E-3</v>
      </c>
      <c r="AA536">
        <v>4.2904202471876537E-3</v>
      </c>
      <c r="AB536">
        <v>4.5595420169841369E-3</v>
      </c>
      <c r="AC536">
        <v>4.8631157486201792E-3</v>
      </c>
      <c r="AD536">
        <v>5.2012282821456276E-3</v>
      </c>
      <c r="AE536">
        <v>5.5065330617776499E-3</v>
      </c>
      <c r="AF536">
        <v>5.7788210803312668E-3</v>
      </c>
      <c r="AG536">
        <v>6.0178979965724959E-3</v>
      </c>
      <c r="AH536">
        <v>6.2235844140031242E-3</v>
      </c>
      <c r="AI536">
        <v>6.3957161331599094E-3</v>
      </c>
      <c r="AJ536">
        <v>6.5341443766065883E-3</v>
      </c>
      <c r="AK536">
        <v>6.6387359858869413E-3</v>
      </c>
      <c r="AL536">
        <v>6.7093735898008664E-3</v>
      </c>
      <c r="AM536">
        <v>6.7459557434625689E-3</v>
      </c>
      <c r="AN536">
        <v>6.7483970376998655E-3</v>
      </c>
    </row>
    <row r="537" spans="1:40">
      <c r="A537" s="30" t="s">
        <v>477</v>
      </c>
      <c r="B537" t="s">
        <v>453</v>
      </c>
      <c r="C537" t="s">
        <v>384</v>
      </c>
      <c r="D537" t="str">
        <f t="shared" si="54"/>
        <v>Fuel Poor - Extended RE:NEWMaximum effectiveness of levers</v>
      </c>
      <c r="E537">
        <v>0</v>
      </c>
      <c r="F537">
        <v>0</v>
      </c>
      <c r="G537">
        <v>0</v>
      </c>
      <c r="H537">
        <v>0</v>
      </c>
      <c r="I537">
        <v>0</v>
      </c>
      <c r="J537">
        <v>0</v>
      </c>
      <c r="K537">
        <v>847.69524592823859</v>
      </c>
      <c r="L537">
        <v>1695.3904918564772</v>
      </c>
      <c r="M537">
        <v>2543.0857377847155</v>
      </c>
      <c r="N537">
        <v>2543.0857377847155</v>
      </c>
      <c r="O537">
        <v>2543.0857377847155</v>
      </c>
      <c r="P537">
        <v>2543.0857377847155</v>
      </c>
      <c r="Q537">
        <v>2543.0857377847155</v>
      </c>
      <c r="R537">
        <v>2543.0857377847155</v>
      </c>
      <c r="S537">
        <v>2427.4909315217742</v>
      </c>
      <c r="T537">
        <v>2311.8961252588324</v>
      </c>
      <c r="U537">
        <v>2196.3013189958911</v>
      </c>
      <c r="V537">
        <v>2080.7065127329488</v>
      </c>
      <c r="W537">
        <v>1965.1117064700074</v>
      </c>
      <c r="X537">
        <v>1849.5169002070656</v>
      </c>
      <c r="Y537">
        <v>1733.9220939441243</v>
      </c>
      <c r="Z537">
        <v>1618.3272876811827</v>
      </c>
      <c r="AA537">
        <v>1502.7324814182412</v>
      </c>
      <c r="AB537">
        <v>1387.1376751552993</v>
      </c>
      <c r="AC537">
        <v>1271.5428688923578</v>
      </c>
      <c r="AD537">
        <v>1155.9480626294162</v>
      </c>
      <c r="AE537">
        <v>1040.3532563664744</v>
      </c>
      <c r="AF537">
        <v>924.75845010353282</v>
      </c>
      <c r="AG537">
        <v>809.16364384059125</v>
      </c>
      <c r="AH537">
        <v>693.56883757764967</v>
      </c>
      <c r="AI537">
        <v>577.97403131470799</v>
      </c>
      <c r="AJ537">
        <v>462.37922505176641</v>
      </c>
      <c r="AK537">
        <v>346.78441878882484</v>
      </c>
      <c r="AL537">
        <v>231.18961252588321</v>
      </c>
      <c r="AM537">
        <v>115.59480626294156</v>
      </c>
      <c r="AN537">
        <v>0</v>
      </c>
    </row>
    <row r="538" spans="1:40">
      <c r="A538" s="30" t="s">
        <v>477</v>
      </c>
      <c r="B538" t="s">
        <v>453</v>
      </c>
      <c r="C538" t="s">
        <v>385</v>
      </c>
      <c r="D538" t="str">
        <f t="shared" si="54"/>
        <v>Fuel Poor - Landlord MEES - EPC CMaximum effectiveness of levers</v>
      </c>
      <c r="E538">
        <v>0</v>
      </c>
      <c r="F538">
        <v>0</v>
      </c>
      <c r="G538">
        <v>0</v>
      </c>
      <c r="H538">
        <v>0</v>
      </c>
      <c r="I538">
        <v>903.58973214734544</v>
      </c>
      <c r="J538">
        <v>1807.1794642946909</v>
      </c>
      <c r="K538">
        <v>2710.7691964420364</v>
      </c>
      <c r="L538">
        <v>3614.3589285893818</v>
      </c>
      <c r="M538">
        <v>4517.9486607367271</v>
      </c>
      <c r="N538">
        <v>5421.5383928840729</v>
      </c>
      <c r="O538">
        <v>6325.1281250314178</v>
      </c>
      <c r="P538">
        <v>7228.7178571787636</v>
      </c>
      <c r="Q538">
        <v>8132.3075893261093</v>
      </c>
      <c r="R538">
        <v>9035.8973214734542</v>
      </c>
      <c r="S538">
        <v>9939.4870536208</v>
      </c>
      <c r="T538">
        <v>9939.4870536208</v>
      </c>
      <c r="U538">
        <v>0</v>
      </c>
      <c r="V538">
        <v>0</v>
      </c>
      <c r="W538">
        <v>0</v>
      </c>
      <c r="X538">
        <v>0</v>
      </c>
      <c r="Y538">
        <v>0</v>
      </c>
      <c r="Z538">
        <v>0</v>
      </c>
      <c r="AA538">
        <v>0</v>
      </c>
      <c r="AB538">
        <v>0</v>
      </c>
      <c r="AC538">
        <v>0</v>
      </c>
      <c r="AD538">
        <v>0</v>
      </c>
      <c r="AE538">
        <v>0</v>
      </c>
      <c r="AF538">
        <v>0</v>
      </c>
      <c r="AG538">
        <v>0</v>
      </c>
      <c r="AH538">
        <v>0</v>
      </c>
      <c r="AI538">
        <v>0</v>
      </c>
      <c r="AJ538">
        <v>0</v>
      </c>
      <c r="AK538">
        <v>0</v>
      </c>
      <c r="AL538">
        <v>0</v>
      </c>
      <c r="AM538">
        <v>0</v>
      </c>
      <c r="AN538">
        <v>0</v>
      </c>
    </row>
    <row r="539" spans="1:40">
      <c r="A539" s="30" t="s">
        <v>477</v>
      </c>
      <c r="B539" t="s">
        <v>453</v>
      </c>
      <c r="C539" t="s">
        <v>386</v>
      </c>
      <c r="D539" t="str">
        <f t="shared" si="54"/>
        <v>Fuel Poor - All buildings MEES - EPC CMaximum effectiveness of levers</v>
      </c>
      <c r="E539">
        <v>0</v>
      </c>
      <c r="F539">
        <v>0</v>
      </c>
      <c r="G539">
        <v>0</v>
      </c>
      <c r="H539">
        <v>0</v>
      </c>
      <c r="I539">
        <v>0</v>
      </c>
      <c r="J539">
        <v>0</v>
      </c>
      <c r="K539">
        <v>2900.962946048905</v>
      </c>
      <c r="L539">
        <v>5801.92589209781</v>
      </c>
      <c r="M539">
        <v>8702.8888381467132</v>
      </c>
      <c r="N539">
        <v>11603.85178419562</v>
      </c>
      <c r="O539">
        <v>14504.814730244525</v>
      </c>
      <c r="P539">
        <v>17405.777676293426</v>
      </c>
      <c r="Q539">
        <v>20306.740622342335</v>
      </c>
      <c r="R539">
        <v>23207.70356839124</v>
      </c>
      <c r="S539">
        <v>26108.666514440141</v>
      </c>
      <c r="T539">
        <v>26108.666514440141</v>
      </c>
      <c r="U539">
        <v>0</v>
      </c>
      <c r="V539">
        <v>0</v>
      </c>
      <c r="W539">
        <v>0</v>
      </c>
      <c r="X539">
        <v>0</v>
      </c>
      <c r="Y539">
        <v>0</v>
      </c>
      <c r="Z539">
        <v>0</v>
      </c>
      <c r="AA539">
        <v>0</v>
      </c>
      <c r="AB539">
        <v>0</v>
      </c>
      <c r="AC539">
        <v>0</v>
      </c>
      <c r="AD539">
        <v>0</v>
      </c>
      <c r="AE539">
        <v>0</v>
      </c>
      <c r="AF539">
        <v>0</v>
      </c>
      <c r="AG539">
        <v>0</v>
      </c>
      <c r="AH539">
        <v>0</v>
      </c>
      <c r="AI539">
        <v>0</v>
      </c>
      <c r="AJ539">
        <v>0</v>
      </c>
      <c r="AK539">
        <v>0</v>
      </c>
      <c r="AL539">
        <v>0</v>
      </c>
      <c r="AM539">
        <v>0</v>
      </c>
      <c r="AN539">
        <v>0</v>
      </c>
    </row>
    <row r="540" spans="1:40">
      <c r="A540" s="30" t="s">
        <v>477</v>
      </c>
      <c r="B540" t="s">
        <v>453</v>
      </c>
      <c r="C540" t="s">
        <v>387</v>
      </c>
      <c r="D540" t="str">
        <f t="shared" si="54"/>
        <v>Fuel Poor - Extended energy LeapMaximum effectiveness of levers</v>
      </c>
      <c r="E540">
        <v>0</v>
      </c>
      <c r="F540">
        <v>0</v>
      </c>
      <c r="G540">
        <v>0</v>
      </c>
      <c r="H540">
        <v>0</v>
      </c>
      <c r="I540">
        <v>0</v>
      </c>
      <c r="J540">
        <v>0</v>
      </c>
      <c r="K540">
        <v>0</v>
      </c>
      <c r="L540">
        <v>0</v>
      </c>
      <c r="M540">
        <v>0</v>
      </c>
      <c r="N540">
        <v>0</v>
      </c>
      <c r="O540">
        <v>385.89525411046941</v>
      </c>
      <c r="P540">
        <v>771.79050822093882</v>
      </c>
      <c r="Q540">
        <v>1157.6857623314081</v>
      </c>
      <c r="R540">
        <v>1543.5810164418776</v>
      </c>
      <c r="S540">
        <v>1929.4762705523469</v>
      </c>
      <c r="T540">
        <v>2315.3715246628162</v>
      </c>
      <c r="U540">
        <v>2701.2667787732858</v>
      </c>
      <c r="V540">
        <v>3087.1620328837553</v>
      </c>
      <c r="W540">
        <v>3473.0572869942243</v>
      </c>
      <c r="X540">
        <v>3858.9525411046939</v>
      </c>
      <c r="Y540">
        <v>3858.9525411046939</v>
      </c>
      <c r="Z540">
        <v>3858.9525411046939</v>
      </c>
      <c r="AA540">
        <v>3858.9525411046939</v>
      </c>
      <c r="AB540">
        <v>0</v>
      </c>
      <c r="AC540">
        <v>0</v>
      </c>
      <c r="AD540">
        <v>0</v>
      </c>
      <c r="AE540">
        <v>0</v>
      </c>
      <c r="AF540">
        <v>0</v>
      </c>
      <c r="AG540">
        <v>0</v>
      </c>
      <c r="AH540">
        <v>0</v>
      </c>
      <c r="AI540">
        <v>0</v>
      </c>
      <c r="AJ540">
        <v>0</v>
      </c>
      <c r="AK540">
        <v>0</v>
      </c>
      <c r="AL540">
        <v>0</v>
      </c>
      <c r="AM540">
        <v>0</v>
      </c>
      <c r="AN540">
        <v>0</v>
      </c>
    </row>
    <row r="541" spans="1:40">
      <c r="A541" s="30" t="s">
        <v>477</v>
      </c>
      <c r="B541" t="s">
        <v>453</v>
      </c>
      <c r="C541" t="s">
        <v>388</v>
      </c>
      <c r="D541" t="str">
        <f t="shared" si="54"/>
        <v>Social housing - Extended RE:NEWMaximum effectiveness of levers</v>
      </c>
      <c r="E541">
        <v>0</v>
      </c>
      <c r="F541">
        <v>0</v>
      </c>
      <c r="G541">
        <v>0</v>
      </c>
      <c r="H541">
        <v>0</v>
      </c>
      <c r="I541">
        <v>0</v>
      </c>
      <c r="J541">
        <v>0</v>
      </c>
      <c r="K541">
        <v>1692.4717286497607</v>
      </c>
      <c r="L541">
        <v>3384.9434572995215</v>
      </c>
      <c r="M541">
        <v>5077.4151859492831</v>
      </c>
      <c r="N541">
        <v>5077.4151859492831</v>
      </c>
      <c r="O541">
        <v>5077.4151859492831</v>
      </c>
      <c r="P541">
        <v>5077.4151859492831</v>
      </c>
      <c r="Q541">
        <v>5077.4151859492831</v>
      </c>
      <c r="R541">
        <v>5077.4151859492831</v>
      </c>
      <c r="S541">
        <v>4846.6235865879516</v>
      </c>
      <c r="T541">
        <v>4615.8319872266202</v>
      </c>
      <c r="U541">
        <v>4385.0403878652896</v>
      </c>
      <c r="V541">
        <v>4154.2487885039591</v>
      </c>
      <c r="W541">
        <v>3923.4571891426276</v>
      </c>
      <c r="X541">
        <v>3692.6655897812961</v>
      </c>
      <c r="Y541">
        <v>3461.8739904199656</v>
      </c>
      <c r="Z541">
        <v>3231.0823910586341</v>
      </c>
      <c r="AA541">
        <v>3000.2907916973036</v>
      </c>
      <c r="AB541">
        <v>2769.4991923359721</v>
      </c>
      <c r="AC541">
        <v>2538.7075929746416</v>
      </c>
      <c r="AD541">
        <v>2307.9159936133101</v>
      </c>
      <c r="AE541">
        <v>2077.1243942519795</v>
      </c>
      <c r="AF541">
        <v>1846.3327948906481</v>
      </c>
      <c r="AG541">
        <v>1615.5411955293171</v>
      </c>
      <c r="AH541">
        <v>1384.7495961679861</v>
      </c>
      <c r="AI541">
        <v>1153.957996806655</v>
      </c>
      <c r="AJ541">
        <v>923.16639744532381</v>
      </c>
      <c r="AK541">
        <v>692.37479808399303</v>
      </c>
      <c r="AL541">
        <v>461.58319872266202</v>
      </c>
      <c r="AM541">
        <v>230.79159936133101</v>
      </c>
      <c r="AN541">
        <v>0</v>
      </c>
    </row>
    <row r="542" spans="1:40">
      <c r="A542" s="30" t="s">
        <v>477</v>
      </c>
      <c r="B542" t="s">
        <v>453</v>
      </c>
      <c r="C542" t="s">
        <v>389</v>
      </c>
      <c r="D542" t="str">
        <f t="shared" si="54"/>
        <v>Social housing - All buildings MEES - EPC CMaximum effectiveness of levers</v>
      </c>
      <c r="E542">
        <v>0</v>
      </c>
      <c r="F542">
        <v>0</v>
      </c>
      <c r="G542">
        <v>0</v>
      </c>
      <c r="H542">
        <v>0</v>
      </c>
      <c r="I542">
        <v>0</v>
      </c>
      <c r="J542">
        <v>0</v>
      </c>
      <c r="K542">
        <v>3790.6094738002512</v>
      </c>
      <c r="L542">
        <v>7581.2189476005024</v>
      </c>
      <c r="M542">
        <v>11371.828421400753</v>
      </c>
      <c r="N542">
        <v>15162.437895201005</v>
      </c>
      <c r="O542">
        <v>18953.047369001259</v>
      </c>
      <c r="P542">
        <v>22743.656842801505</v>
      </c>
      <c r="Q542">
        <v>26534.266316601759</v>
      </c>
      <c r="R542">
        <v>30324.875790402009</v>
      </c>
      <c r="S542">
        <v>34115.48526420226</v>
      </c>
      <c r="T542">
        <v>34115.48526420226</v>
      </c>
      <c r="U542">
        <v>27292.388211361809</v>
      </c>
      <c r="V542">
        <v>20469.291158521359</v>
      </c>
      <c r="W542">
        <v>13646.194105680903</v>
      </c>
      <c r="X542">
        <v>6823.0970528404523</v>
      </c>
      <c r="Y542">
        <v>1.8189894035458565E-12</v>
      </c>
      <c r="Z542">
        <v>0</v>
      </c>
      <c r="AA542">
        <v>0</v>
      </c>
      <c r="AB542">
        <v>0</v>
      </c>
      <c r="AC542">
        <v>0</v>
      </c>
      <c r="AD542">
        <v>0</v>
      </c>
      <c r="AE542">
        <v>0</v>
      </c>
      <c r="AF542">
        <v>0</v>
      </c>
      <c r="AG542">
        <v>0</v>
      </c>
      <c r="AH542">
        <v>0</v>
      </c>
      <c r="AI542">
        <v>0</v>
      </c>
      <c r="AJ542">
        <v>0</v>
      </c>
      <c r="AK542">
        <v>0</v>
      </c>
      <c r="AL542">
        <v>0</v>
      </c>
      <c r="AM542">
        <v>0</v>
      </c>
      <c r="AN542">
        <v>0</v>
      </c>
    </row>
    <row r="543" spans="1:40">
      <c r="A543" s="30" t="s">
        <v>477</v>
      </c>
      <c r="B543" t="s">
        <v>453</v>
      </c>
      <c r="C543" t="s">
        <v>390</v>
      </c>
      <c r="D543" t="str">
        <f t="shared" si="54"/>
        <v>Social housing - Extended energy LeapMaximum effectiveness of levers</v>
      </c>
      <c r="E543">
        <v>0</v>
      </c>
      <c r="F543">
        <v>0</v>
      </c>
      <c r="G543">
        <v>0</v>
      </c>
      <c r="H543">
        <v>0</v>
      </c>
      <c r="I543">
        <v>0</v>
      </c>
      <c r="J543">
        <v>0</v>
      </c>
      <c r="K543">
        <v>0</v>
      </c>
      <c r="L543">
        <v>0</v>
      </c>
      <c r="M543">
        <v>0</v>
      </c>
      <c r="N543">
        <v>0</v>
      </c>
      <c r="O543">
        <v>509.66177798994977</v>
      </c>
      <c r="P543">
        <v>1019.3235559798995</v>
      </c>
      <c r="Q543">
        <v>1528.9853339698493</v>
      </c>
      <c r="R543">
        <v>2038.6471119597991</v>
      </c>
      <c r="S543">
        <v>2548.3088899497488</v>
      </c>
      <c r="T543">
        <v>3057.9706679396986</v>
      </c>
      <c r="U543">
        <v>3567.6324459296484</v>
      </c>
      <c r="V543">
        <v>4077.2942239195982</v>
      </c>
      <c r="W543">
        <v>4586.9560019095479</v>
      </c>
      <c r="X543">
        <v>5096.6177798994977</v>
      </c>
      <c r="Y543">
        <v>5096.6177798994977</v>
      </c>
      <c r="Z543">
        <v>5096.6177798994977</v>
      </c>
      <c r="AA543">
        <v>5096.6177798994977</v>
      </c>
      <c r="AB543">
        <v>0</v>
      </c>
      <c r="AC543">
        <v>0</v>
      </c>
      <c r="AD543">
        <v>0</v>
      </c>
      <c r="AE543">
        <v>0</v>
      </c>
      <c r="AF543">
        <v>0</v>
      </c>
      <c r="AG543">
        <v>0</v>
      </c>
      <c r="AH543">
        <v>0</v>
      </c>
      <c r="AI543">
        <v>0</v>
      </c>
      <c r="AJ543">
        <v>0</v>
      </c>
      <c r="AK543">
        <v>0</v>
      </c>
      <c r="AL543">
        <v>0</v>
      </c>
      <c r="AM543">
        <v>0</v>
      </c>
      <c r="AN543">
        <v>0</v>
      </c>
    </row>
    <row r="544" spans="1:40">
      <c r="A544" s="30" t="s">
        <v>477</v>
      </c>
      <c r="B544" t="s">
        <v>453</v>
      </c>
      <c r="C544" t="s">
        <v>391</v>
      </c>
      <c r="D544" t="str">
        <f t="shared" si="54"/>
        <v>Able to pay - Building Regulations and planning policyMaximum effectiveness of levers</v>
      </c>
      <c r="E544">
        <v>0</v>
      </c>
      <c r="F544">
        <v>0</v>
      </c>
      <c r="G544">
        <v>0</v>
      </c>
      <c r="H544">
        <v>0</v>
      </c>
      <c r="I544">
        <v>0</v>
      </c>
      <c r="J544">
        <v>8046.9723287404267</v>
      </c>
      <c r="K544">
        <v>8046.9723287404267</v>
      </c>
      <c r="L544">
        <v>8046.9723287404267</v>
      </c>
      <c r="M544">
        <v>8046.9723287404267</v>
      </c>
      <c r="N544">
        <v>8046.9723287404267</v>
      </c>
      <c r="O544">
        <v>8046.9723287404267</v>
      </c>
      <c r="P544">
        <v>8046.9723287404267</v>
      </c>
      <c r="Q544">
        <v>8046.9723287404267</v>
      </c>
      <c r="R544">
        <v>0</v>
      </c>
      <c r="S544">
        <v>0</v>
      </c>
      <c r="T544">
        <v>0</v>
      </c>
      <c r="U544">
        <v>0</v>
      </c>
      <c r="V544">
        <v>0</v>
      </c>
      <c r="W544">
        <v>0</v>
      </c>
      <c r="X544">
        <v>0</v>
      </c>
      <c r="Y544">
        <v>0</v>
      </c>
      <c r="Z544">
        <v>0</v>
      </c>
      <c r="AA544">
        <v>0</v>
      </c>
      <c r="AB544">
        <v>0</v>
      </c>
      <c r="AC544">
        <v>0</v>
      </c>
      <c r="AD544">
        <v>0</v>
      </c>
      <c r="AE544">
        <v>0</v>
      </c>
      <c r="AF544">
        <v>0</v>
      </c>
      <c r="AG544">
        <v>0</v>
      </c>
      <c r="AH544">
        <v>0</v>
      </c>
      <c r="AI544">
        <v>0</v>
      </c>
      <c r="AJ544">
        <v>0</v>
      </c>
      <c r="AK544">
        <v>0</v>
      </c>
      <c r="AL544">
        <v>0</v>
      </c>
      <c r="AM544">
        <v>0</v>
      </c>
      <c r="AN544">
        <v>0</v>
      </c>
    </row>
    <row r="545" spans="1:40">
      <c r="A545" s="30" t="s">
        <v>477</v>
      </c>
      <c r="B545" t="s">
        <v>453</v>
      </c>
      <c r="C545" t="s">
        <v>392</v>
      </c>
      <c r="D545" t="str">
        <f t="shared" si="54"/>
        <v>Able to pay - Council tax variation by EPCMaximum effectiveness of levers</v>
      </c>
      <c r="E545">
        <v>0</v>
      </c>
      <c r="F545">
        <v>0</v>
      </c>
      <c r="G545">
        <v>0</v>
      </c>
      <c r="H545">
        <v>0</v>
      </c>
      <c r="I545">
        <v>0</v>
      </c>
      <c r="J545">
        <v>0</v>
      </c>
      <c r="K545">
        <v>0</v>
      </c>
      <c r="L545">
        <v>0</v>
      </c>
      <c r="M545">
        <v>2571.3750702388747</v>
      </c>
      <c r="N545">
        <v>2571.3750702388747</v>
      </c>
      <c r="O545">
        <v>2571.3750702388747</v>
      </c>
      <c r="P545">
        <v>2571.3750702388747</v>
      </c>
      <c r="Q545">
        <v>2571.3750702388747</v>
      </c>
      <c r="R545">
        <v>0</v>
      </c>
      <c r="S545">
        <v>0</v>
      </c>
      <c r="T545">
        <v>0</v>
      </c>
      <c r="U545">
        <v>0</v>
      </c>
      <c r="V545">
        <v>0</v>
      </c>
      <c r="W545">
        <v>0</v>
      </c>
      <c r="X545">
        <v>0</v>
      </c>
      <c r="Y545">
        <v>0</v>
      </c>
      <c r="Z545">
        <v>0</v>
      </c>
      <c r="AA545">
        <v>0</v>
      </c>
      <c r="AB545">
        <v>0</v>
      </c>
      <c r="AC545">
        <v>0</v>
      </c>
      <c r="AD545">
        <v>0</v>
      </c>
      <c r="AE545">
        <v>0</v>
      </c>
      <c r="AF545">
        <v>0</v>
      </c>
      <c r="AG545">
        <v>0</v>
      </c>
      <c r="AH545">
        <v>0</v>
      </c>
      <c r="AI545">
        <v>0</v>
      </c>
      <c r="AJ545">
        <v>0</v>
      </c>
      <c r="AK545">
        <v>0</v>
      </c>
      <c r="AL545">
        <v>0</v>
      </c>
      <c r="AM545">
        <v>0</v>
      </c>
      <c r="AN545">
        <v>0</v>
      </c>
    </row>
    <row r="546" spans="1:40">
      <c r="A546" s="30" t="s">
        <v>477</v>
      </c>
      <c r="B546" t="s">
        <v>453</v>
      </c>
      <c r="C546" t="s">
        <v>393</v>
      </c>
      <c r="D546" t="str">
        <f t="shared" si="54"/>
        <v>Able to pay - Landlord MEES - EPC CMaximum effectiveness of levers</v>
      </c>
      <c r="E546">
        <v>0</v>
      </c>
      <c r="F546">
        <v>0</v>
      </c>
      <c r="G546">
        <v>0</v>
      </c>
      <c r="H546">
        <v>0</v>
      </c>
      <c r="I546">
        <v>2557.3203580175409</v>
      </c>
      <c r="J546">
        <v>5114.6407160350818</v>
      </c>
      <c r="K546">
        <v>7671.9610740526223</v>
      </c>
      <c r="L546">
        <v>10229.281432070164</v>
      </c>
      <c r="M546">
        <v>12786.601790087705</v>
      </c>
      <c r="N546">
        <v>15343.922148105245</v>
      </c>
      <c r="O546">
        <v>17901.242506122788</v>
      </c>
      <c r="P546">
        <v>20458.562864140327</v>
      </c>
      <c r="Q546">
        <v>23015.883222157867</v>
      </c>
      <c r="R546">
        <v>25573.20358017541</v>
      </c>
      <c r="S546">
        <v>28130.52393819295</v>
      </c>
      <c r="T546">
        <v>28130.52393819295</v>
      </c>
      <c r="U546">
        <v>22504.41915055436</v>
      </c>
      <c r="V546">
        <v>16878.314362915771</v>
      </c>
      <c r="W546">
        <v>11252.209575277178</v>
      </c>
      <c r="X546">
        <v>5626.1047876385892</v>
      </c>
      <c r="Y546">
        <v>0</v>
      </c>
      <c r="Z546">
        <v>0</v>
      </c>
      <c r="AA546">
        <v>0</v>
      </c>
      <c r="AB546">
        <v>0</v>
      </c>
      <c r="AC546">
        <v>0</v>
      </c>
      <c r="AD546">
        <v>0</v>
      </c>
      <c r="AE546">
        <v>0</v>
      </c>
      <c r="AF546">
        <v>0</v>
      </c>
      <c r="AG546">
        <v>0</v>
      </c>
      <c r="AH546">
        <v>0</v>
      </c>
      <c r="AI546">
        <v>0</v>
      </c>
      <c r="AJ546">
        <v>0</v>
      </c>
      <c r="AK546">
        <v>0</v>
      </c>
      <c r="AL546">
        <v>0</v>
      </c>
      <c r="AM546">
        <v>0</v>
      </c>
      <c r="AN546">
        <v>0</v>
      </c>
    </row>
    <row r="547" spans="1:40">
      <c r="A547" s="30" t="s">
        <v>477</v>
      </c>
      <c r="B547" t="s">
        <v>453</v>
      </c>
      <c r="C547" t="s">
        <v>394</v>
      </c>
      <c r="D547" t="str">
        <f t="shared" si="54"/>
        <v>Able to pay - Stamp duty energy efficiency scalingMaximum effectiveness of levers</v>
      </c>
      <c r="E547">
        <v>0</v>
      </c>
      <c r="F547">
        <v>0</v>
      </c>
      <c r="G547">
        <v>0</v>
      </c>
      <c r="H547">
        <v>0</v>
      </c>
      <c r="I547">
        <v>0</v>
      </c>
      <c r="J547">
        <v>0</v>
      </c>
      <c r="K547">
        <v>0</v>
      </c>
      <c r="L547">
        <v>0</v>
      </c>
      <c r="M547">
        <v>0</v>
      </c>
      <c r="N547">
        <v>0</v>
      </c>
      <c r="O547">
        <v>8571.2502341295822</v>
      </c>
      <c r="P547">
        <v>8571.2502341295822</v>
      </c>
      <c r="Q547">
        <v>8571.2502341295822</v>
      </c>
      <c r="R547">
        <v>8571.2502341295822</v>
      </c>
      <c r="S547">
        <v>8571.2502341295822</v>
      </c>
      <c r="T547">
        <v>8571.2502341295822</v>
      </c>
      <c r="U547">
        <v>8571.2502341295822</v>
      </c>
      <c r="V547">
        <v>8571.2502341295822</v>
      </c>
      <c r="W547">
        <v>8571.2502341295822</v>
      </c>
      <c r="X547">
        <v>8571.2502341295822</v>
      </c>
      <c r="Y547">
        <v>8571.2502341295822</v>
      </c>
      <c r="Z547">
        <v>0</v>
      </c>
      <c r="AA547">
        <v>0</v>
      </c>
      <c r="AB547">
        <v>0</v>
      </c>
      <c r="AC547">
        <v>0</v>
      </c>
      <c r="AD547">
        <v>0</v>
      </c>
      <c r="AE547">
        <v>0</v>
      </c>
      <c r="AF547">
        <v>0</v>
      </c>
      <c r="AG547">
        <v>0</v>
      </c>
      <c r="AH547">
        <v>0</v>
      </c>
      <c r="AI547">
        <v>0</v>
      </c>
      <c r="AJ547">
        <v>0</v>
      </c>
      <c r="AK547">
        <v>0</v>
      </c>
      <c r="AL547">
        <v>0</v>
      </c>
      <c r="AM547">
        <v>0</v>
      </c>
      <c r="AN547">
        <v>0</v>
      </c>
    </row>
    <row r="548" spans="1:40">
      <c r="A548" s="30" t="s">
        <v>477</v>
      </c>
      <c r="B548" t="s">
        <v>453</v>
      </c>
      <c r="C548" t="s">
        <v>395</v>
      </c>
      <c r="D548" t="str">
        <f t="shared" si="54"/>
        <v>Able to pay - Extended Energy LeapMaximum effectiveness of levers</v>
      </c>
      <c r="E548">
        <v>0</v>
      </c>
      <c r="F548">
        <v>0</v>
      </c>
      <c r="G548">
        <v>0</v>
      </c>
      <c r="H548">
        <v>0</v>
      </c>
      <c r="I548">
        <v>0</v>
      </c>
      <c r="J548">
        <v>0</v>
      </c>
      <c r="K548">
        <v>0</v>
      </c>
      <c r="L548">
        <v>0</v>
      </c>
      <c r="M548">
        <v>0</v>
      </c>
      <c r="N548">
        <v>0</v>
      </c>
      <c r="O548">
        <v>1687.2524179462703</v>
      </c>
      <c r="P548">
        <v>3374.5048358925405</v>
      </c>
      <c r="Q548">
        <v>5061.7572538388113</v>
      </c>
      <c r="R548">
        <v>6749.0096717850811</v>
      </c>
      <c r="S548">
        <v>8436.26208973135</v>
      </c>
      <c r="T548">
        <v>10123.514507677623</v>
      </c>
      <c r="U548">
        <v>11810.766925623891</v>
      </c>
      <c r="V548">
        <v>13498.019343570162</v>
      </c>
      <c r="W548">
        <v>15185.271761516433</v>
      </c>
      <c r="X548">
        <v>16872.5241794627</v>
      </c>
      <c r="Y548">
        <v>16872.5241794627</v>
      </c>
      <c r="Z548">
        <v>16872.5241794627</v>
      </c>
      <c r="AA548">
        <v>16872.5241794627</v>
      </c>
      <c r="AB548">
        <v>0</v>
      </c>
      <c r="AC548">
        <v>0</v>
      </c>
      <c r="AD548">
        <v>0</v>
      </c>
      <c r="AE548">
        <v>0</v>
      </c>
      <c r="AF548">
        <v>0</v>
      </c>
      <c r="AG548">
        <v>0</v>
      </c>
      <c r="AH548">
        <v>0</v>
      </c>
      <c r="AI548">
        <v>0</v>
      </c>
      <c r="AJ548">
        <v>0</v>
      </c>
      <c r="AK548">
        <v>0</v>
      </c>
      <c r="AL548">
        <v>0</v>
      </c>
      <c r="AM548">
        <v>0</v>
      </c>
      <c r="AN548">
        <v>0</v>
      </c>
    </row>
    <row r="549" spans="1:40">
      <c r="A549" s="30" t="s">
        <v>477</v>
      </c>
      <c r="B549" t="s">
        <v>453</v>
      </c>
      <c r="C549" t="s">
        <v>396</v>
      </c>
      <c r="D549" t="str">
        <f t="shared" si="54"/>
        <v>Able to pay - All buildings MEES - EPC CMaximum effectiveness of levers</v>
      </c>
      <c r="E549">
        <v>0</v>
      </c>
      <c r="F549">
        <v>0</v>
      </c>
      <c r="G549">
        <v>0</v>
      </c>
      <c r="H549">
        <v>0</v>
      </c>
      <c r="I549">
        <v>0</v>
      </c>
      <c r="J549">
        <v>0</v>
      </c>
      <c r="K549">
        <v>2316.7739750826727</v>
      </c>
      <c r="L549">
        <v>4633.5479501653454</v>
      </c>
      <c r="M549">
        <v>6950.3219252480185</v>
      </c>
      <c r="N549">
        <v>9267.0959003306907</v>
      </c>
      <c r="O549">
        <v>11583.869875413364</v>
      </c>
      <c r="P549">
        <v>13900.643850496037</v>
      </c>
      <c r="Q549">
        <v>16217.41782557871</v>
      </c>
      <c r="R549">
        <v>18534.191800661381</v>
      </c>
      <c r="S549">
        <v>20850.965775744058</v>
      </c>
      <c r="T549">
        <v>20850.965775744058</v>
      </c>
      <c r="U549">
        <v>20850.965775744058</v>
      </c>
      <c r="V549">
        <v>20850.965775744058</v>
      </c>
      <c r="W549">
        <v>20850.965775744058</v>
      </c>
      <c r="X549">
        <v>20850.965775744058</v>
      </c>
      <c r="Y549">
        <v>0</v>
      </c>
      <c r="Z549">
        <v>0</v>
      </c>
      <c r="AA549">
        <v>0</v>
      </c>
      <c r="AB549">
        <v>0</v>
      </c>
      <c r="AC549">
        <v>0</v>
      </c>
      <c r="AD549">
        <v>0</v>
      </c>
      <c r="AE549">
        <v>0</v>
      </c>
      <c r="AF549">
        <v>0</v>
      </c>
      <c r="AG549">
        <v>0</v>
      </c>
      <c r="AH549">
        <v>0</v>
      </c>
      <c r="AI549">
        <v>0</v>
      </c>
      <c r="AJ549">
        <v>0</v>
      </c>
      <c r="AK549">
        <v>0</v>
      </c>
      <c r="AL549">
        <v>0</v>
      </c>
      <c r="AM549">
        <v>0</v>
      </c>
      <c r="AN549">
        <v>0</v>
      </c>
    </row>
    <row r="550" spans="1:40">
      <c r="A550" s="30" t="s">
        <v>477</v>
      </c>
      <c r="B550" t="s">
        <v>453</v>
      </c>
      <c r="C550" t="s">
        <v>398</v>
      </c>
      <c r="D550" t="str">
        <f t="shared" si="54"/>
        <v>Existing - Domestic ALL - Mandate on lighting efficiencyMaximum effectiveness of levers</v>
      </c>
      <c r="E550">
        <v>0</v>
      </c>
      <c r="F550">
        <v>0</v>
      </c>
      <c r="G550">
        <v>0</v>
      </c>
      <c r="H550">
        <v>0</v>
      </c>
      <c r="I550">
        <v>83987.305714285729</v>
      </c>
      <c r="J550">
        <v>167974.61142857146</v>
      </c>
      <c r="K550">
        <v>251961.91714285716</v>
      </c>
      <c r="L550">
        <v>335949.22285714292</v>
      </c>
      <c r="M550">
        <v>419936.52857142861</v>
      </c>
      <c r="N550">
        <v>503923.83428571431</v>
      </c>
      <c r="O550">
        <v>587911.14000000013</v>
      </c>
      <c r="P550">
        <v>587911.14000000013</v>
      </c>
      <c r="Q550">
        <v>0</v>
      </c>
      <c r="R550">
        <v>0</v>
      </c>
      <c r="S550">
        <v>0</v>
      </c>
      <c r="T550">
        <v>0</v>
      </c>
      <c r="U550">
        <v>0</v>
      </c>
      <c r="V550">
        <v>0</v>
      </c>
      <c r="W550">
        <v>0</v>
      </c>
      <c r="X550">
        <v>0</v>
      </c>
      <c r="Y550">
        <v>0</v>
      </c>
      <c r="Z550">
        <v>0</v>
      </c>
      <c r="AA550">
        <v>0</v>
      </c>
      <c r="AB550">
        <v>0</v>
      </c>
      <c r="AC550">
        <v>0</v>
      </c>
      <c r="AD550">
        <v>0</v>
      </c>
      <c r="AE550">
        <v>0</v>
      </c>
      <c r="AF550">
        <v>0</v>
      </c>
      <c r="AG550">
        <v>0</v>
      </c>
      <c r="AH550">
        <v>0</v>
      </c>
      <c r="AI550">
        <v>0</v>
      </c>
      <c r="AJ550">
        <v>0</v>
      </c>
      <c r="AK550">
        <v>0</v>
      </c>
      <c r="AL550">
        <v>0</v>
      </c>
      <c r="AM550">
        <v>0</v>
      </c>
      <c r="AN550">
        <v>0</v>
      </c>
    </row>
    <row r="551" spans="1:40">
      <c r="A551" s="30" t="s">
        <v>477</v>
      </c>
      <c r="B551" t="s">
        <v>453</v>
      </c>
      <c r="C551" t="s">
        <v>399</v>
      </c>
      <c r="D551" t="str">
        <f t="shared" si="54"/>
        <v>Existing - Domestic ALL - Mandate on appliance efficiencyMaximum effectiveness of levers</v>
      </c>
      <c r="E551">
        <v>0</v>
      </c>
      <c r="F551">
        <v>0</v>
      </c>
      <c r="G551">
        <v>0</v>
      </c>
      <c r="H551">
        <v>0</v>
      </c>
      <c r="I551">
        <v>37686.61153846154</v>
      </c>
      <c r="J551">
        <v>75373.223076923081</v>
      </c>
      <c r="K551">
        <v>113059.83461538462</v>
      </c>
      <c r="L551">
        <v>150746.44615384616</v>
      </c>
      <c r="M551">
        <v>188433.05769230769</v>
      </c>
      <c r="N551">
        <v>226119.66923076924</v>
      </c>
      <c r="O551">
        <v>263806.2807692308</v>
      </c>
      <c r="P551">
        <v>301492.89230769232</v>
      </c>
      <c r="Q551">
        <v>339179.50384615379</v>
      </c>
      <c r="R551">
        <v>376866.11538461538</v>
      </c>
      <c r="S551">
        <v>414552.7269230769</v>
      </c>
      <c r="T551">
        <v>452239.33846153849</v>
      </c>
      <c r="U551">
        <v>0</v>
      </c>
      <c r="V551">
        <v>0</v>
      </c>
      <c r="W551">
        <v>0</v>
      </c>
      <c r="X551">
        <v>0</v>
      </c>
      <c r="Y551">
        <v>0</v>
      </c>
      <c r="Z551">
        <v>0</v>
      </c>
      <c r="AA551">
        <v>0</v>
      </c>
      <c r="AB551">
        <v>0</v>
      </c>
      <c r="AC551">
        <v>0</v>
      </c>
      <c r="AD551">
        <v>0</v>
      </c>
      <c r="AE551">
        <v>0</v>
      </c>
      <c r="AF551">
        <v>0</v>
      </c>
      <c r="AG551">
        <v>0</v>
      </c>
      <c r="AH551">
        <v>0</v>
      </c>
      <c r="AI551">
        <v>0</v>
      </c>
      <c r="AJ551">
        <v>0</v>
      </c>
      <c r="AK551">
        <v>0</v>
      </c>
      <c r="AL551">
        <v>0</v>
      </c>
      <c r="AM551">
        <v>0</v>
      </c>
      <c r="AN551">
        <v>0</v>
      </c>
    </row>
    <row r="552" spans="1:40">
      <c r="A552" s="30" t="s">
        <v>477</v>
      </c>
      <c r="B552" t="s">
        <v>453</v>
      </c>
      <c r="C552" t="s">
        <v>400</v>
      </c>
      <c r="D552" t="str">
        <f t="shared" si="54"/>
        <v>New - Domestic ALL - Mandate on lighting efficiencyMaximum effectiveness of levers</v>
      </c>
      <c r="E552">
        <v>0</v>
      </c>
      <c r="F552">
        <v>71977.11975266278</v>
      </c>
      <c r="G552">
        <v>71977.11975266278</v>
      </c>
      <c r="H552">
        <v>71977.11975266278</v>
      </c>
      <c r="I552">
        <v>71977.11975266278</v>
      </c>
      <c r="J552">
        <v>71977.119752662577</v>
      </c>
      <c r="K552">
        <v>60915.858763309036</v>
      </c>
      <c r="L552">
        <v>60915.858763309036</v>
      </c>
      <c r="M552">
        <v>60915.858763309036</v>
      </c>
      <c r="N552">
        <v>60915.858763309036</v>
      </c>
      <c r="O552">
        <v>60915.858763309545</v>
      </c>
      <c r="P552">
        <v>49314.627010641634</v>
      </c>
      <c r="Q552">
        <v>49314.627010641634</v>
      </c>
      <c r="R552">
        <v>49314.627010641634</v>
      </c>
      <c r="S552">
        <v>49314.627010641634</v>
      </c>
      <c r="T552">
        <v>49314.62701064159</v>
      </c>
      <c r="U552">
        <v>22733.44457142887</v>
      </c>
      <c r="V552">
        <v>22733.444571428765</v>
      </c>
      <c r="W552">
        <v>22733.444571428765</v>
      </c>
      <c r="X552">
        <v>22733.444571428765</v>
      </c>
      <c r="Y552">
        <v>22733.444571428765</v>
      </c>
      <c r="Z552">
        <v>22733.444571428765</v>
      </c>
      <c r="AA552">
        <v>22733.444571428765</v>
      </c>
      <c r="AB552">
        <v>22733.444571428765</v>
      </c>
      <c r="AC552">
        <v>22733.444571428765</v>
      </c>
      <c r="AD552">
        <v>22733.444571430729</v>
      </c>
      <c r="AE552">
        <v>22733.444571429187</v>
      </c>
      <c r="AF552">
        <v>22733.444571429391</v>
      </c>
      <c r="AG552">
        <v>22733.444571429391</v>
      </c>
      <c r="AH552">
        <v>22733.444571429391</v>
      </c>
      <c r="AI552">
        <v>22733.444571429391</v>
      </c>
      <c r="AJ552">
        <v>22733.444571429391</v>
      </c>
      <c r="AK552">
        <v>22733.444571429391</v>
      </c>
      <c r="AL552">
        <v>22733.444571429391</v>
      </c>
      <c r="AM552">
        <v>22733.444571429391</v>
      </c>
      <c r="AN552">
        <v>22733.444571427295</v>
      </c>
    </row>
    <row r="553" spans="1:40">
      <c r="A553" s="30" t="s">
        <v>477</v>
      </c>
      <c r="B553" t="s">
        <v>453</v>
      </c>
      <c r="C553" t="s">
        <v>401</v>
      </c>
      <c r="D553" t="str">
        <f t="shared" si="54"/>
        <v>New - Domestic ALL - Mandate on appliance efficiencyMaximum effectiveness of levers</v>
      </c>
      <c r="E553">
        <v>0</v>
      </c>
      <c r="F553">
        <v>71977.11975266278</v>
      </c>
      <c r="G553">
        <v>71977.11975266278</v>
      </c>
      <c r="H553">
        <v>71977.11975266278</v>
      </c>
      <c r="I553">
        <v>71977.11975266278</v>
      </c>
      <c r="J553">
        <v>71977.119752662577</v>
      </c>
      <c r="K553">
        <v>60915.858763309036</v>
      </c>
      <c r="L553">
        <v>60915.858763309036</v>
      </c>
      <c r="M553">
        <v>60915.858763309036</v>
      </c>
      <c r="N553">
        <v>60915.858763309036</v>
      </c>
      <c r="O553">
        <v>60915.858763309545</v>
      </c>
      <c r="P553">
        <v>49314.627010641634</v>
      </c>
      <c r="Q553">
        <v>49314.627010641634</v>
      </c>
      <c r="R553">
        <v>49314.627010641634</v>
      </c>
      <c r="S553">
        <v>49314.627010641634</v>
      </c>
      <c r="T553">
        <v>49314.62701064159</v>
      </c>
      <c r="U553">
        <v>22733.44457142887</v>
      </c>
      <c r="V553">
        <v>22733.444571428765</v>
      </c>
      <c r="W553">
        <v>22733.444571428765</v>
      </c>
      <c r="X553">
        <v>22733.444571428765</v>
      </c>
      <c r="Y553">
        <v>22733.444571428765</v>
      </c>
      <c r="Z553">
        <v>22733.444571428765</v>
      </c>
      <c r="AA553">
        <v>22733.444571428765</v>
      </c>
      <c r="AB553">
        <v>22733.444571428765</v>
      </c>
      <c r="AC553">
        <v>22733.444571428765</v>
      </c>
      <c r="AD553">
        <v>22733.444571430729</v>
      </c>
      <c r="AE553">
        <v>22733.444571429187</v>
      </c>
      <c r="AF553">
        <v>22733.444571429391</v>
      </c>
      <c r="AG553">
        <v>22733.444571429391</v>
      </c>
      <c r="AH553">
        <v>22733.444571429391</v>
      </c>
      <c r="AI553">
        <v>22733.444571429391</v>
      </c>
      <c r="AJ553">
        <v>22733.444571429391</v>
      </c>
      <c r="AK553">
        <v>22733.444571429391</v>
      </c>
      <c r="AL553">
        <v>22733.444571429391</v>
      </c>
      <c r="AM553">
        <v>22733.444571429391</v>
      </c>
      <c r="AN553">
        <v>22733.444571427295</v>
      </c>
    </row>
    <row r="554" spans="1:40">
      <c r="A554" s="30" t="s">
        <v>477</v>
      </c>
      <c r="B554" t="s">
        <v>453</v>
      </c>
      <c r="C554" t="s">
        <v>402</v>
      </c>
      <c r="D554" t="str">
        <f t="shared" si="54"/>
        <v>New - Domestic ALL - Stronger planning requirement for smart controls  Maximum effectiveness of levers</v>
      </c>
      <c r="E554">
        <v>0</v>
      </c>
      <c r="F554">
        <v>33739.27488406068</v>
      </c>
      <c r="G554">
        <v>33739.27488406068</v>
      </c>
      <c r="H554">
        <v>33739.27488406068</v>
      </c>
      <c r="I554">
        <v>33739.27488406068</v>
      </c>
      <c r="J554">
        <v>33739.274884060578</v>
      </c>
      <c r="K554">
        <v>28554.308795301105</v>
      </c>
      <c r="L554">
        <v>28554.308795301105</v>
      </c>
      <c r="M554">
        <v>28554.308795301105</v>
      </c>
      <c r="N554">
        <v>28554.308795301105</v>
      </c>
      <c r="O554">
        <v>28554.308795301349</v>
      </c>
      <c r="P554">
        <v>23116.23141123827</v>
      </c>
      <c r="Q554">
        <v>23116.23141123827</v>
      </c>
      <c r="R554">
        <v>23116.23141123827</v>
      </c>
      <c r="S554">
        <v>23116.23141123827</v>
      </c>
      <c r="T554">
        <v>23116.231411238245</v>
      </c>
      <c r="U554">
        <v>10656.302142857283</v>
      </c>
      <c r="V554">
        <v>10656.302142857232</v>
      </c>
      <c r="W554">
        <v>10656.302142857232</v>
      </c>
      <c r="X554">
        <v>10656.302142857232</v>
      </c>
      <c r="Y554">
        <v>10656.302142857232</v>
      </c>
      <c r="Z554">
        <v>10656.302142857232</v>
      </c>
      <c r="AA554">
        <v>10656.302142857232</v>
      </c>
      <c r="AB554">
        <v>10656.302142857232</v>
      </c>
      <c r="AC554">
        <v>10656.302142857232</v>
      </c>
      <c r="AD554">
        <v>10656.302142858154</v>
      </c>
      <c r="AE554">
        <v>10656.302142857428</v>
      </c>
      <c r="AF554">
        <v>10656.302142857527</v>
      </c>
      <c r="AG554">
        <v>10656.302142857527</v>
      </c>
      <c r="AH554">
        <v>10656.302142857527</v>
      </c>
      <c r="AI554">
        <v>10656.302142857527</v>
      </c>
      <c r="AJ554">
        <v>10656.302142857527</v>
      </c>
      <c r="AK554">
        <v>10656.302142857527</v>
      </c>
      <c r="AL554">
        <v>10656.302142857527</v>
      </c>
      <c r="AM554">
        <v>10656.302142857527</v>
      </c>
      <c r="AN554">
        <v>10656.302142856544</v>
      </c>
    </row>
    <row r="555" spans="1:40">
      <c r="A555" s="30" t="s">
        <v>477</v>
      </c>
      <c r="B555" t="s">
        <v>453</v>
      </c>
      <c r="C555" t="s">
        <v>406</v>
      </c>
      <c r="D555" t="str">
        <f t="shared" si="54"/>
        <v>SME - Energy efficiency programmeMaximum effectiveness of levers</v>
      </c>
      <c r="E555">
        <v>0</v>
      </c>
      <c r="F555">
        <v>0</v>
      </c>
      <c r="G555">
        <v>0</v>
      </c>
      <c r="H555">
        <v>0</v>
      </c>
      <c r="I555">
        <v>0</v>
      </c>
      <c r="J555">
        <v>0</v>
      </c>
      <c r="K555">
        <v>248.53609702764493</v>
      </c>
      <c r="L555">
        <v>497.07219405528986</v>
      </c>
      <c r="M555">
        <v>745.60829108293478</v>
      </c>
      <c r="N555">
        <v>745.60829108293478</v>
      </c>
      <c r="O555">
        <v>745.60829108293478</v>
      </c>
      <c r="P555">
        <v>745.60829108293478</v>
      </c>
      <c r="Q555">
        <v>745.60829108293478</v>
      </c>
      <c r="R555">
        <v>745.60829108293478</v>
      </c>
      <c r="S555">
        <v>711.71700512461962</v>
      </c>
      <c r="T555">
        <v>677.82571916630445</v>
      </c>
      <c r="U555">
        <v>643.93443320798917</v>
      </c>
      <c r="V555">
        <v>610.04314724967389</v>
      </c>
      <c r="W555">
        <v>576.15186129135873</v>
      </c>
      <c r="X555">
        <v>542.26057533304345</v>
      </c>
      <c r="Y555">
        <v>508.36928937472828</v>
      </c>
      <c r="Z555">
        <v>474.47800341641312</v>
      </c>
      <c r="AA555">
        <v>440.58671745809784</v>
      </c>
      <c r="AB555">
        <v>406.69543149978267</v>
      </c>
      <c r="AC555">
        <v>372.80414554146739</v>
      </c>
      <c r="AD555">
        <v>338.91285958315217</v>
      </c>
      <c r="AE555">
        <v>305.02157362483695</v>
      </c>
      <c r="AF555">
        <v>271.13028766652178</v>
      </c>
      <c r="AG555">
        <v>237.23900170820656</v>
      </c>
      <c r="AH555">
        <v>203.34771574989131</v>
      </c>
      <c r="AI555">
        <v>169.45642979157606</v>
      </c>
      <c r="AJ555">
        <v>135.56514383326089</v>
      </c>
      <c r="AK555">
        <v>101.67385787494561</v>
      </c>
      <c r="AL555">
        <v>67.782571916630445</v>
      </c>
      <c r="AM555">
        <v>33.891285958315166</v>
      </c>
      <c r="AN555">
        <v>0</v>
      </c>
    </row>
    <row r="556" spans="1:40">
      <c r="A556" s="30" t="s">
        <v>477</v>
      </c>
      <c r="B556" t="s">
        <v>453</v>
      </c>
      <c r="C556" t="s">
        <v>407</v>
      </c>
      <c r="D556" t="str">
        <f t="shared" si="54"/>
        <v>SME - Landlord MEES – EPC CMaximum effectiveness of levers</v>
      </c>
      <c r="E556">
        <v>0</v>
      </c>
      <c r="F556">
        <v>0</v>
      </c>
      <c r="G556">
        <v>0</v>
      </c>
      <c r="H556">
        <v>0</v>
      </c>
      <c r="I556">
        <v>388.66922707277246</v>
      </c>
      <c r="J556">
        <v>777.33845414554492</v>
      </c>
      <c r="K556">
        <v>1166.0076812183174</v>
      </c>
      <c r="L556">
        <v>1554.6769082910898</v>
      </c>
      <c r="M556">
        <v>1943.3461353638622</v>
      </c>
      <c r="N556">
        <v>2332.0153624366349</v>
      </c>
      <c r="O556">
        <v>2720.684589509407</v>
      </c>
      <c r="P556">
        <v>2720.684589509407</v>
      </c>
      <c r="Q556">
        <v>2720.684589509407</v>
      </c>
      <c r="R556">
        <v>2720.684589509407</v>
      </c>
      <c r="S556">
        <v>2720.684589509407</v>
      </c>
      <c r="T556">
        <v>2720.684589509407</v>
      </c>
      <c r="U556">
        <v>2176.5476716075254</v>
      </c>
      <c r="V556">
        <v>1632.4107537056443</v>
      </c>
      <c r="W556">
        <v>1088.2738358037629</v>
      </c>
      <c r="X556">
        <v>544.13691790188159</v>
      </c>
      <c r="Y556">
        <v>4.5474735088646412E-13</v>
      </c>
      <c r="Z556">
        <v>0</v>
      </c>
      <c r="AA556">
        <v>0</v>
      </c>
      <c r="AB556">
        <v>0</v>
      </c>
      <c r="AC556">
        <v>0</v>
      </c>
      <c r="AD556">
        <v>0</v>
      </c>
      <c r="AE556">
        <v>0</v>
      </c>
      <c r="AF556">
        <v>0</v>
      </c>
      <c r="AG556">
        <v>0</v>
      </c>
      <c r="AH556">
        <v>0</v>
      </c>
      <c r="AI556">
        <v>0</v>
      </c>
      <c r="AJ556">
        <v>0</v>
      </c>
      <c r="AK556">
        <v>0</v>
      </c>
      <c r="AL556">
        <v>0</v>
      </c>
      <c r="AM556">
        <v>0</v>
      </c>
      <c r="AN556">
        <v>0</v>
      </c>
    </row>
    <row r="557" spans="1:40">
      <c r="A557" s="30" t="s">
        <v>477</v>
      </c>
      <c r="B557" t="s">
        <v>453</v>
      </c>
      <c r="C557" t="s">
        <v>408</v>
      </c>
      <c r="D557" t="str">
        <f t="shared" si="54"/>
        <v>SME - Energy performance tax grading – business ratesMaximum effectiveness of levers</v>
      </c>
      <c r="E557">
        <v>0</v>
      </c>
      <c r="F557">
        <v>0</v>
      </c>
      <c r="G557">
        <v>0</v>
      </c>
      <c r="H557">
        <v>0</v>
      </c>
      <c r="I557">
        <v>0</v>
      </c>
      <c r="J557">
        <v>0</v>
      </c>
      <c r="K557">
        <v>0</v>
      </c>
      <c r="L557">
        <v>0</v>
      </c>
      <c r="M557">
        <v>0</v>
      </c>
      <c r="N557">
        <v>151.80386033750349</v>
      </c>
      <c r="O557">
        <v>151.80386033750349</v>
      </c>
      <c r="P557">
        <v>151.80386033750349</v>
      </c>
      <c r="Q557">
        <v>151.80386033750349</v>
      </c>
      <c r="R557">
        <v>0</v>
      </c>
      <c r="S557">
        <v>0</v>
      </c>
      <c r="T557">
        <v>0</v>
      </c>
      <c r="U557">
        <v>0</v>
      </c>
      <c r="V557">
        <v>0</v>
      </c>
      <c r="W557">
        <v>0</v>
      </c>
      <c r="X557">
        <v>0</v>
      </c>
      <c r="Y557">
        <v>0</v>
      </c>
      <c r="Z557">
        <v>0</v>
      </c>
      <c r="AA557">
        <v>0</v>
      </c>
      <c r="AB557">
        <v>0</v>
      </c>
      <c r="AC557">
        <v>0</v>
      </c>
      <c r="AD557">
        <v>0</v>
      </c>
      <c r="AE557">
        <v>0</v>
      </c>
      <c r="AF557">
        <v>0</v>
      </c>
      <c r="AG557">
        <v>0</v>
      </c>
      <c r="AH557">
        <v>0</v>
      </c>
      <c r="AI557">
        <v>0</v>
      </c>
      <c r="AJ557">
        <v>0</v>
      </c>
      <c r="AK557">
        <v>0</v>
      </c>
      <c r="AL557">
        <v>0</v>
      </c>
      <c r="AM557">
        <v>0</v>
      </c>
      <c r="AN557">
        <v>0</v>
      </c>
    </row>
    <row r="558" spans="1:40">
      <c r="A558" s="30" t="s">
        <v>477</v>
      </c>
      <c r="B558" t="s">
        <v>453</v>
      </c>
      <c r="C558" t="s">
        <v>409</v>
      </c>
      <c r="D558" t="str">
        <f t="shared" si="54"/>
        <v>SME - All buildings MEES – EPC CMaximum effectiveness of levers</v>
      </c>
      <c r="E558">
        <v>0</v>
      </c>
      <c r="F558">
        <v>0</v>
      </c>
      <c r="G558">
        <v>0</v>
      </c>
      <c r="H558">
        <v>0</v>
      </c>
      <c r="I558">
        <v>0</v>
      </c>
      <c r="J558">
        <v>0</v>
      </c>
      <c r="K558">
        <v>0</v>
      </c>
      <c r="L558">
        <v>0</v>
      </c>
      <c r="M558">
        <v>0</v>
      </c>
      <c r="N558">
        <v>0</v>
      </c>
      <c r="O558">
        <v>0</v>
      </c>
      <c r="P558">
        <v>347.3333889364099</v>
      </c>
      <c r="Q558">
        <v>694.66677787281981</v>
      </c>
      <c r="R558">
        <v>1042.0001668092298</v>
      </c>
      <c r="S558">
        <v>1389.3335557456396</v>
      </c>
      <c r="T558">
        <v>1389.3335557456396</v>
      </c>
      <c r="U558">
        <v>1389.3335557456396</v>
      </c>
      <c r="V558">
        <v>1389.3335557456396</v>
      </c>
      <c r="W558">
        <v>1389.3335557456396</v>
      </c>
      <c r="X558">
        <v>1389.3335557456396</v>
      </c>
      <c r="Y558">
        <v>0</v>
      </c>
      <c r="Z558">
        <v>0</v>
      </c>
      <c r="AA558">
        <v>0</v>
      </c>
      <c r="AB558">
        <v>0</v>
      </c>
      <c r="AC558">
        <v>0</v>
      </c>
      <c r="AD558">
        <v>0</v>
      </c>
      <c r="AE558">
        <v>0</v>
      </c>
      <c r="AF558">
        <v>0</v>
      </c>
      <c r="AG558">
        <v>0</v>
      </c>
      <c r="AH558">
        <v>0</v>
      </c>
      <c r="AI558">
        <v>0</v>
      </c>
      <c r="AJ558">
        <v>0</v>
      </c>
      <c r="AK558">
        <v>0</v>
      </c>
      <c r="AL558">
        <v>0</v>
      </c>
      <c r="AM558">
        <v>0</v>
      </c>
      <c r="AN558">
        <v>0</v>
      </c>
    </row>
    <row r="559" spans="1:40">
      <c r="A559" s="30" t="s">
        <v>477</v>
      </c>
      <c r="B559" t="s">
        <v>453</v>
      </c>
      <c r="C559" t="s">
        <v>410</v>
      </c>
      <c r="D559" t="str">
        <f t="shared" si="54"/>
        <v>Large Enterprise - Landlord MEES – EPC CMaximum effectiveness of levers</v>
      </c>
      <c r="E559">
        <v>0</v>
      </c>
      <c r="F559">
        <v>0</v>
      </c>
      <c r="G559">
        <v>0</v>
      </c>
      <c r="H559">
        <v>0</v>
      </c>
      <c r="I559">
        <v>357.04960693076697</v>
      </c>
      <c r="J559">
        <v>714.09921386153394</v>
      </c>
      <c r="K559">
        <v>1071.148820792301</v>
      </c>
      <c r="L559">
        <v>1428.1984277230679</v>
      </c>
      <c r="M559">
        <v>1785.2480346538348</v>
      </c>
      <c r="N559">
        <v>2142.2976415846019</v>
      </c>
      <c r="O559">
        <v>2499.3472485153688</v>
      </c>
      <c r="P559">
        <v>2499.3472485153688</v>
      </c>
      <c r="Q559">
        <v>2499.3472485153688</v>
      </c>
      <c r="R559">
        <v>2499.3472485153688</v>
      </c>
      <c r="S559">
        <v>2499.3472485153688</v>
      </c>
      <c r="T559">
        <v>2499.3472485153688</v>
      </c>
      <c r="U559">
        <v>1999.4777988122951</v>
      </c>
      <c r="V559">
        <v>1499.6083491092213</v>
      </c>
      <c r="W559">
        <v>999.73889940614754</v>
      </c>
      <c r="X559">
        <v>499.86944970307377</v>
      </c>
      <c r="Y559">
        <v>0</v>
      </c>
      <c r="Z559">
        <v>0</v>
      </c>
      <c r="AA559">
        <v>0</v>
      </c>
      <c r="AB559">
        <v>0</v>
      </c>
      <c r="AC559">
        <v>0</v>
      </c>
      <c r="AD559">
        <v>0</v>
      </c>
      <c r="AE559">
        <v>0</v>
      </c>
      <c r="AF559">
        <v>0</v>
      </c>
      <c r="AG559">
        <v>0</v>
      </c>
      <c r="AH559">
        <v>0</v>
      </c>
      <c r="AI559">
        <v>0</v>
      </c>
      <c r="AJ559">
        <v>0</v>
      </c>
      <c r="AK559">
        <v>0</v>
      </c>
      <c r="AL559">
        <v>0</v>
      </c>
      <c r="AM559">
        <v>0</v>
      </c>
      <c r="AN559">
        <v>0</v>
      </c>
    </row>
    <row r="560" spans="1:40">
      <c r="A560" s="30" t="s">
        <v>477</v>
      </c>
      <c r="B560" t="s">
        <v>453</v>
      </c>
      <c r="C560" t="s">
        <v>411</v>
      </c>
      <c r="D560" t="str">
        <f t="shared" si="54"/>
        <v>Large Enterprise - Energy performance tax grading – business ratesMaximum effectiveness of levers</v>
      </c>
      <c r="E560">
        <v>0</v>
      </c>
      <c r="F560">
        <v>0</v>
      </c>
      <c r="G560">
        <v>0</v>
      </c>
      <c r="H560">
        <v>0</v>
      </c>
      <c r="I560">
        <v>0</v>
      </c>
      <c r="J560">
        <v>0</v>
      </c>
      <c r="K560">
        <v>0</v>
      </c>
      <c r="L560">
        <v>0</v>
      </c>
      <c r="M560">
        <v>102.02169715610641</v>
      </c>
      <c r="N560">
        <v>102.02169715610641</v>
      </c>
      <c r="O560">
        <v>102.02169715610641</v>
      </c>
      <c r="P560">
        <v>102.02169715610641</v>
      </c>
      <c r="Q560">
        <v>102.02169715610641</v>
      </c>
      <c r="R560">
        <v>0</v>
      </c>
      <c r="S560">
        <v>0</v>
      </c>
      <c r="T560">
        <v>0</v>
      </c>
      <c r="U560">
        <v>0</v>
      </c>
      <c r="V560">
        <v>0</v>
      </c>
      <c r="W560">
        <v>0</v>
      </c>
      <c r="X560">
        <v>0</v>
      </c>
      <c r="Y560">
        <v>0</v>
      </c>
      <c r="Z560">
        <v>0</v>
      </c>
      <c r="AA560">
        <v>0</v>
      </c>
      <c r="AB560">
        <v>0</v>
      </c>
      <c r="AC560">
        <v>0</v>
      </c>
      <c r="AD560">
        <v>0</v>
      </c>
      <c r="AE560">
        <v>0</v>
      </c>
      <c r="AF560">
        <v>0</v>
      </c>
      <c r="AG560">
        <v>0</v>
      </c>
      <c r="AH560">
        <v>0</v>
      </c>
      <c r="AI560">
        <v>0</v>
      </c>
      <c r="AJ560">
        <v>0</v>
      </c>
      <c r="AK560">
        <v>0</v>
      </c>
      <c r="AL560">
        <v>0</v>
      </c>
      <c r="AM560">
        <v>0</v>
      </c>
      <c r="AN560">
        <v>0</v>
      </c>
    </row>
    <row r="561" spans="1:40">
      <c r="A561" s="30" t="s">
        <v>477</v>
      </c>
      <c r="B561" t="s">
        <v>453</v>
      </c>
      <c r="C561" t="s">
        <v>412</v>
      </c>
      <c r="D561" t="str">
        <f t="shared" si="54"/>
        <v>Large Enterprise - All buildings MEES – EPC CMaximum effectiveness of levers</v>
      </c>
      <c r="E561">
        <v>0</v>
      </c>
      <c r="F561">
        <v>0</v>
      </c>
      <c r="G561">
        <v>0</v>
      </c>
      <c r="H561">
        <v>0</v>
      </c>
      <c r="I561">
        <v>0</v>
      </c>
      <c r="J561">
        <v>0</v>
      </c>
      <c r="K561">
        <v>0</v>
      </c>
      <c r="L561">
        <v>0</v>
      </c>
      <c r="M561">
        <v>0</v>
      </c>
      <c r="N561">
        <v>0</v>
      </c>
      <c r="O561">
        <v>0</v>
      </c>
      <c r="P561">
        <v>364.73403224367905</v>
      </c>
      <c r="Q561">
        <v>729.46806448735811</v>
      </c>
      <c r="R561">
        <v>1094.2020967310373</v>
      </c>
      <c r="S561">
        <v>1458.9361289747162</v>
      </c>
      <c r="T561">
        <v>1458.9361289747162</v>
      </c>
      <c r="U561">
        <v>1458.9361289747162</v>
      </c>
      <c r="V561">
        <v>1458.9361289747162</v>
      </c>
      <c r="W561">
        <v>1458.9361289747162</v>
      </c>
      <c r="X561">
        <v>1458.9361289747162</v>
      </c>
      <c r="Y561">
        <v>0</v>
      </c>
      <c r="Z561">
        <v>0</v>
      </c>
      <c r="AA561">
        <v>0</v>
      </c>
      <c r="AB561">
        <v>0</v>
      </c>
      <c r="AC561">
        <v>0</v>
      </c>
      <c r="AD561">
        <v>0</v>
      </c>
      <c r="AE561">
        <v>0</v>
      </c>
      <c r="AF561">
        <v>0</v>
      </c>
      <c r="AG561">
        <v>0</v>
      </c>
      <c r="AH561">
        <v>0</v>
      </c>
      <c r="AI561">
        <v>0</v>
      </c>
      <c r="AJ561">
        <v>0</v>
      </c>
      <c r="AK561">
        <v>0</v>
      </c>
      <c r="AL561">
        <v>0</v>
      </c>
      <c r="AM561">
        <v>0</v>
      </c>
      <c r="AN561">
        <v>0</v>
      </c>
    </row>
    <row r="562" spans="1:40">
      <c r="A562" s="30" t="s">
        <v>477</v>
      </c>
      <c r="B562" t="s">
        <v>453</v>
      </c>
      <c r="C562" t="s">
        <v>413</v>
      </c>
      <c r="D562" t="str">
        <f t="shared" si="54"/>
        <v>Public - Extended RE:FITMaximum effectiveness of levers</v>
      </c>
      <c r="E562">
        <v>0</v>
      </c>
      <c r="F562">
        <v>0</v>
      </c>
      <c r="G562">
        <v>0</v>
      </c>
      <c r="H562">
        <v>0</v>
      </c>
      <c r="I562">
        <v>0</v>
      </c>
      <c r="J562">
        <v>0</v>
      </c>
      <c r="K562">
        <v>90.917410502986542</v>
      </c>
      <c r="L562">
        <v>181.83482100597308</v>
      </c>
      <c r="M562">
        <v>272.75223150895965</v>
      </c>
      <c r="N562">
        <v>272.75223150895965</v>
      </c>
      <c r="O562">
        <v>272.75223150895965</v>
      </c>
      <c r="P562">
        <v>272.75223150895965</v>
      </c>
      <c r="Q562">
        <v>272.75223150895965</v>
      </c>
      <c r="R562">
        <v>272.75223150895965</v>
      </c>
      <c r="S562">
        <v>260.3544028040069</v>
      </c>
      <c r="T562">
        <v>247.95657409905419</v>
      </c>
      <c r="U562">
        <v>235.55874539410149</v>
      </c>
      <c r="V562">
        <v>223.16091668914876</v>
      </c>
      <c r="W562">
        <v>210.76308798419606</v>
      </c>
      <c r="X562">
        <v>198.36525927924336</v>
      </c>
      <c r="Y562">
        <v>185.96743057429066</v>
      </c>
      <c r="Z562">
        <v>173.56960186933793</v>
      </c>
      <c r="AA562">
        <v>161.17177316438523</v>
      </c>
      <c r="AB562">
        <v>148.77394445943253</v>
      </c>
      <c r="AC562">
        <v>136.37611575447983</v>
      </c>
      <c r="AD562">
        <v>123.9782870495271</v>
      </c>
      <c r="AE562">
        <v>111.58045834457438</v>
      </c>
      <c r="AF562">
        <v>99.18262963962168</v>
      </c>
      <c r="AG562">
        <v>86.784800934668965</v>
      </c>
      <c r="AH562">
        <v>74.386972229716264</v>
      </c>
      <c r="AI562">
        <v>61.989143524763556</v>
      </c>
      <c r="AJ562">
        <v>49.591314819810847</v>
      </c>
      <c r="AK562">
        <v>37.193486114858139</v>
      </c>
      <c r="AL562">
        <v>24.795657409905431</v>
      </c>
      <c r="AM562">
        <v>12.397828704952708</v>
      </c>
      <c r="AN562">
        <v>0</v>
      </c>
    </row>
    <row r="563" spans="1:40">
      <c r="A563" s="30" t="s">
        <v>477</v>
      </c>
      <c r="B563" t="s">
        <v>453</v>
      </c>
      <c r="C563" t="s">
        <v>414</v>
      </c>
      <c r="D563" t="str">
        <f t="shared" si="54"/>
        <v>Public - All buildings MEES – EPC CMaximum effectiveness of levers</v>
      </c>
      <c r="E563">
        <v>0</v>
      </c>
      <c r="F563">
        <v>0</v>
      </c>
      <c r="G563">
        <v>0</v>
      </c>
      <c r="H563">
        <v>0</v>
      </c>
      <c r="I563">
        <v>0</v>
      </c>
      <c r="J563">
        <v>0</v>
      </c>
      <c r="K563">
        <v>284.40606582707568</v>
      </c>
      <c r="L563">
        <v>568.81213165415136</v>
      </c>
      <c r="M563">
        <v>853.21819748122698</v>
      </c>
      <c r="N563">
        <v>1137.6242633083027</v>
      </c>
      <c r="O563">
        <v>1422.0303291353782</v>
      </c>
      <c r="P563">
        <v>1706.436394962454</v>
      </c>
      <c r="Q563">
        <v>1990.8424607895297</v>
      </c>
      <c r="R563">
        <v>2275.2485266166054</v>
      </c>
      <c r="S563">
        <v>2559.6545924436809</v>
      </c>
      <c r="T563">
        <v>2559.6545924436809</v>
      </c>
      <c r="U563">
        <v>2047.7236739549448</v>
      </c>
      <c r="V563">
        <v>1535.7927554662087</v>
      </c>
      <c r="W563">
        <v>1023.8618369774723</v>
      </c>
      <c r="X563">
        <v>511.93091848873615</v>
      </c>
      <c r="Y563">
        <v>0</v>
      </c>
      <c r="Z563">
        <v>0</v>
      </c>
      <c r="AA563">
        <v>0</v>
      </c>
      <c r="AB563">
        <v>0</v>
      </c>
      <c r="AC563">
        <v>0</v>
      </c>
      <c r="AD563">
        <v>0</v>
      </c>
      <c r="AE563">
        <v>0</v>
      </c>
      <c r="AF563">
        <v>0</v>
      </c>
      <c r="AG563">
        <v>0</v>
      </c>
      <c r="AH563">
        <v>0</v>
      </c>
      <c r="AI563">
        <v>0</v>
      </c>
      <c r="AJ563">
        <v>0</v>
      </c>
      <c r="AK563">
        <v>0</v>
      </c>
      <c r="AL563">
        <v>0</v>
      </c>
      <c r="AM563">
        <v>0</v>
      </c>
      <c r="AN563">
        <v>0</v>
      </c>
    </row>
    <row r="564" spans="1:40">
      <c r="A564" s="30" t="s">
        <v>477</v>
      </c>
      <c r="B564" t="s">
        <v>453</v>
      </c>
      <c r="C564" t="s">
        <v>454</v>
      </c>
      <c r="D564" t="str">
        <f t="shared" si="54"/>
        <v>Existing - Non-domestic ALL - Mandate on lighting efficiencyMaximum effectiveness of levers</v>
      </c>
      <c r="E564">
        <v>0</v>
      </c>
      <c r="F564">
        <v>0</v>
      </c>
      <c r="G564">
        <v>0</v>
      </c>
      <c r="H564">
        <v>0</v>
      </c>
      <c r="I564">
        <v>8118.6772889687327</v>
      </c>
      <c r="J564">
        <v>16237.354577937465</v>
      </c>
      <c r="K564">
        <v>24356.0318669062</v>
      </c>
      <c r="L564">
        <v>32474.709155874931</v>
      </c>
      <c r="M564">
        <v>40593.386444843665</v>
      </c>
      <c r="N564">
        <v>48712.0637338124</v>
      </c>
      <c r="O564">
        <v>56830.741022781134</v>
      </c>
      <c r="P564">
        <v>56830.741022781134</v>
      </c>
      <c r="Q564">
        <v>0</v>
      </c>
      <c r="R564">
        <v>0</v>
      </c>
      <c r="S564">
        <v>0</v>
      </c>
      <c r="T564">
        <v>0</v>
      </c>
      <c r="U564">
        <v>0</v>
      </c>
      <c r="V564">
        <v>0</v>
      </c>
      <c r="W564">
        <v>0</v>
      </c>
      <c r="X564">
        <v>0</v>
      </c>
      <c r="Y564">
        <v>0</v>
      </c>
      <c r="Z564">
        <v>0</v>
      </c>
      <c r="AA564">
        <v>0</v>
      </c>
      <c r="AB564">
        <v>0</v>
      </c>
      <c r="AC564">
        <v>0</v>
      </c>
      <c r="AD564">
        <v>0</v>
      </c>
      <c r="AE564">
        <v>0</v>
      </c>
      <c r="AF564">
        <v>0</v>
      </c>
      <c r="AG564">
        <v>0</v>
      </c>
      <c r="AH564">
        <v>0</v>
      </c>
      <c r="AI564">
        <v>0</v>
      </c>
      <c r="AJ564">
        <v>0</v>
      </c>
      <c r="AK564">
        <v>0</v>
      </c>
      <c r="AL564">
        <v>0</v>
      </c>
      <c r="AM564">
        <v>0</v>
      </c>
      <c r="AN564">
        <v>0</v>
      </c>
    </row>
    <row r="565" spans="1:40">
      <c r="A565" s="30" t="s">
        <v>477</v>
      </c>
      <c r="B565" t="s">
        <v>453</v>
      </c>
      <c r="C565" t="s">
        <v>455</v>
      </c>
      <c r="D565" t="str">
        <f t="shared" si="54"/>
        <v>Existing -Non-domestic ALL - Mandate on appliance efficiencyMaximum effectiveness of levers</v>
      </c>
      <c r="E565">
        <v>0</v>
      </c>
      <c r="F565">
        <v>0</v>
      </c>
      <c r="G565">
        <v>0</v>
      </c>
      <c r="H565">
        <v>0</v>
      </c>
      <c r="I565">
        <v>3642.9962194090467</v>
      </c>
      <c r="J565">
        <v>7285.9924388180934</v>
      </c>
      <c r="K565">
        <v>10928.988658227141</v>
      </c>
      <c r="L565">
        <v>14571.984877636187</v>
      </c>
      <c r="M565">
        <v>18214.981097045234</v>
      </c>
      <c r="N565">
        <v>21857.977316454282</v>
      </c>
      <c r="O565">
        <v>25500.973535863326</v>
      </c>
      <c r="P565">
        <v>29143.969755272374</v>
      </c>
      <c r="Q565">
        <v>32786.965974681421</v>
      </c>
      <c r="R565">
        <v>36429.962194090469</v>
      </c>
      <c r="S565">
        <v>40072.958413499517</v>
      </c>
      <c r="T565">
        <v>43715.954632908564</v>
      </c>
      <c r="U565">
        <v>0</v>
      </c>
      <c r="V565">
        <v>0</v>
      </c>
      <c r="W565">
        <v>0</v>
      </c>
      <c r="X565">
        <v>0</v>
      </c>
      <c r="Y565">
        <v>0</v>
      </c>
      <c r="Z565">
        <v>0</v>
      </c>
      <c r="AA565">
        <v>0</v>
      </c>
      <c r="AB565">
        <v>0</v>
      </c>
      <c r="AC565">
        <v>0</v>
      </c>
      <c r="AD565">
        <v>0</v>
      </c>
      <c r="AE565">
        <v>0</v>
      </c>
      <c r="AF565">
        <v>0</v>
      </c>
      <c r="AG565">
        <v>0</v>
      </c>
      <c r="AH565">
        <v>0</v>
      </c>
      <c r="AI565">
        <v>0</v>
      </c>
      <c r="AJ565">
        <v>0</v>
      </c>
      <c r="AK565">
        <v>0</v>
      </c>
      <c r="AL565">
        <v>0</v>
      </c>
      <c r="AM565">
        <v>0</v>
      </c>
      <c r="AN565">
        <v>0</v>
      </c>
    </row>
    <row r="566" spans="1:40">
      <c r="A566" s="30" t="s">
        <v>477</v>
      </c>
      <c r="B566" t="s">
        <v>453</v>
      </c>
      <c r="C566" t="s">
        <v>456</v>
      </c>
      <c r="D566" t="str">
        <f t="shared" si="54"/>
        <v>New - Non-domestic ALL - Mandate on lighting efficiencyMaximum effectiveness of levers</v>
      </c>
      <c r="E566">
        <v>0</v>
      </c>
      <c r="F566">
        <v>3472.6107683765158</v>
      </c>
      <c r="G566">
        <v>3472.6107683765158</v>
      </c>
      <c r="H566">
        <v>3472.6107683765154</v>
      </c>
      <c r="I566">
        <v>3472.6107683765158</v>
      </c>
      <c r="J566">
        <v>3472.6107683765158</v>
      </c>
      <c r="K566">
        <v>3472.6107683765158</v>
      </c>
      <c r="L566">
        <v>3472.6107683765163</v>
      </c>
      <c r="M566">
        <v>3472.6107683765154</v>
      </c>
      <c r="N566">
        <v>3472.6107683765154</v>
      </c>
      <c r="O566">
        <v>3472.6107683765154</v>
      </c>
      <c r="P566">
        <v>2549.5037398863597</v>
      </c>
      <c r="Q566">
        <v>2549.5037398863597</v>
      </c>
      <c r="R566">
        <v>2549.5037398863587</v>
      </c>
      <c r="S566">
        <v>2549.5037398863597</v>
      </c>
      <c r="T566">
        <v>2549.5037398863597</v>
      </c>
      <c r="U566">
        <v>2549.5037398863597</v>
      </c>
      <c r="V566">
        <v>2549.5037398863601</v>
      </c>
      <c r="W566">
        <v>2549.5037398863601</v>
      </c>
      <c r="X566">
        <v>2549.5037398863601</v>
      </c>
      <c r="Y566">
        <v>2549.5037398863601</v>
      </c>
      <c r="Z566">
        <v>2549.5037398863601</v>
      </c>
      <c r="AA566">
        <v>2549.5037398863601</v>
      </c>
      <c r="AB566">
        <v>2549.5037398863601</v>
      </c>
      <c r="AC566">
        <v>2549.5037398863587</v>
      </c>
      <c r="AD566">
        <v>2549.5037398863587</v>
      </c>
      <c r="AE566">
        <v>2549.5037398863587</v>
      </c>
      <c r="AF566">
        <v>2549.5037398863619</v>
      </c>
      <c r="AG566">
        <v>2549.5037398863606</v>
      </c>
      <c r="AH566">
        <v>2549.5037398863606</v>
      </c>
      <c r="AI566">
        <v>2549.5037398863606</v>
      </c>
      <c r="AJ566">
        <v>2549.5037398863606</v>
      </c>
      <c r="AK566">
        <v>2549.5037398863606</v>
      </c>
      <c r="AL566">
        <v>2549.5037398863606</v>
      </c>
      <c r="AM566">
        <v>2549.5037398863606</v>
      </c>
      <c r="AN566">
        <v>2549.5037398863496</v>
      </c>
    </row>
    <row r="567" spans="1:40">
      <c r="A567" s="30" t="s">
        <v>477</v>
      </c>
      <c r="B567" t="s">
        <v>453</v>
      </c>
      <c r="C567" t="s">
        <v>457</v>
      </c>
      <c r="D567" t="str">
        <f t="shared" si="54"/>
        <v>New -Non-domestic ALL - Mandate on appliance efficiencyMaximum effectiveness of levers</v>
      </c>
      <c r="E567">
        <v>0</v>
      </c>
      <c r="F567">
        <v>3472.6107683765158</v>
      </c>
      <c r="G567">
        <v>3472.6107683765158</v>
      </c>
      <c r="H567">
        <v>3472.6107683765154</v>
      </c>
      <c r="I567">
        <v>3472.6107683765158</v>
      </c>
      <c r="J567">
        <v>3472.6107683765158</v>
      </c>
      <c r="K567">
        <v>3472.6107683765158</v>
      </c>
      <c r="L567">
        <v>3472.6107683765163</v>
      </c>
      <c r="M567">
        <v>3472.6107683765154</v>
      </c>
      <c r="N567">
        <v>3472.6107683765154</v>
      </c>
      <c r="O567">
        <v>3472.6107683765154</v>
      </c>
      <c r="P567">
        <v>2549.5037398863597</v>
      </c>
      <c r="Q567">
        <v>2549.5037398863597</v>
      </c>
      <c r="R567">
        <v>2549.5037398863587</v>
      </c>
      <c r="S567">
        <v>2549.5037398863597</v>
      </c>
      <c r="T567">
        <v>2549.5037398863597</v>
      </c>
      <c r="U567">
        <v>2549.5037398863597</v>
      </c>
      <c r="V567">
        <v>2549.5037398863601</v>
      </c>
      <c r="W567">
        <v>2549.5037398863601</v>
      </c>
      <c r="X567">
        <v>2549.5037398863601</v>
      </c>
      <c r="Y567">
        <v>2549.5037398863601</v>
      </c>
      <c r="Z567">
        <v>2549.5037398863601</v>
      </c>
      <c r="AA567">
        <v>2549.5037398863601</v>
      </c>
      <c r="AB567">
        <v>2549.5037398863601</v>
      </c>
      <c r="AC567">
        <v>2549.5037398863587</v>
      </c>
      <c r="AD567">
        <v>2549.5037398863587</v>
      </c>
      <c r="AE567">
        <v>2549.5037398863587</v>
      </c>
      <c r="AF567">
        <v>2549.5037398863619</v>
      </c>
      <c r="AG567">
        <v>2549.5037398863606</v>
      </c>
      <c r="AH567">
        <v>2549.5037398863606</v>
      </c>
      <c r="AI567">
        <v>2549.5037398863606</v>
      </c>
      <c r="AJ567">
        <v>2549.5037398863606</v>
      </c>
      <c r="AK567">
        <v>2549.5037398863606</v>
      </c>
      <c r="AL567">
        <v>2549.5037398863606</v>
      </c>
      <c r="AM567">
        <v>2549.5037398863606</v>
      </c>
      <c r="AN567">
        <v>2549.5037398863496</v>
      </c>
    </row>
    <row r="568" spans="1:40">
      <c r="A568" s="30" t="s">
        <v>477</v>
      </c>
      <c r="B568" t="s">
        <v>453</v>
      </c>
      <c r="C568" t="s">
        <v>458</v>
      </c>
      <c r="D568" t="str">
        <f t="shared" si="54"/>
        <v>New -Non-domestic ALL - Stronger planning requirement for smart controlsMaximum effectiveness of levers</v>
      </c>
      <c r="E568">
        <v>0</v>
      </c>
      <c r="F568">
        <v>1627.7862976764916</v>
      </c>
      <c r="G568">
        <v>1627.7862976764916</v>
      </c>
      <c r="H568">
        <v>1627.7862976764918</v>
      </c>
      <c r="I568">
        <v>1627.7862976764914</v>
      </c>
      <c r="J568">
        <v>1627.7862976764914</v>
      </c>
      <c r="K568">
        <v>1627.7862976764914</v>
      </c>
      <c r="L568">
        <v>1627.7862976764918</v>
      </c>
      <c r="M568">
        <v>1627.7862976764916</v>
      </c>
      <c r="N568">
        <v>1627.7862976764916</v>
      </c>
      <c r="O568">
        <v>1627.7862976764914</v>
      </c>
      <c r="P568">
        <v>1195.0798780717309</v>
      </c>
      <c r="Q568">
        <v>1195.0798780717309</v>
      </c>
      <c r="R568">
        <v>1195.0798780717307</v>
      </c>
      <c r="S568">
        <v>1195.0798780717309</v>
      </c>
      <c r="T568">
        <v>1195.0798780717309</v>
      </c>
      <c r="U568">
        <v>1195.0798780717309</v>
      </c>
      <c r="V568">
        <v>1195.0798780717312</v>
      </c>
      <c r="W568">
        <v>1195.0798780717312</v>
      </c>
      <c r="X568">
        <v>1195.0798780717312</v>
      </c>
      <c r="Y568">
        <v>1195.0798780717312</v>
      </c>
      <c r="Z568">
        <v>1195.0798780717312</v>
      </c>
      <c r="AA568">
        <v>1195.0798780717312</v>
      </c>
      <c r="AB568">
        <v>1195.0798780717312</v>
      </c>
      <c r="AC568">
        <v>1195.0798780717305</v>
      </c>
      <c r="AD568">
        <v>1195.0798780717305</v>
      </c>
      <c r="AE568">
        <v>1195.0798780717305</v>
      </c>
      <c r="AF568">
        <v>1195.0798780717319</v>
      </c>
      <c r="AG568">
        <v>1195.0798780717312</v>
      </c>
      <c r="AH568">
        <v>1195.0798780717312</v>
      </c>
      <c r="AI568">
        <v>1195.0798780717312</v>
      </c>
      <c r="AJ568">
        <v>1195.0798780717312</v>
      </c>
      <c r="AK568">
        <v>1195.0798780717312</v>
      </c>
      <c r="AL568">
        <v>1195.0798780717312</v>
      </c>
      <c r="AM568">
        <v>1195.0798780717312</v>
      </c>
      <c r="AN568">
        <v>1195.0798780717264</v>
      </c>
    </row>
    <row r="569" spans="1:40">
      <c r="A569" s="30" t="s">
        <v>477</v>
      </c>
      <c r="B569" t="s">
        <v>459</v>
      </c>
      <c r="C569" t="s">
        <v>460</v>
      </c>
      <c r="D569" t="str">
        <f t="shared" si="54"/>
        <v>Extended Mayoral ProgramsDomestic CAPEXMaximum effectiveness of levers</v>
      </c>
      <c r="E569">
        <v>0</v>
      </c>
      <c r="F569">
        <v>0</v>
      </c>
      <c r="G569">
        <v>0</v>
      </c>
      <c r="H569">
        <v>0</v>
      </c>
      <c r="I569">
        <v>0</v>
      </c>
      <c r="J569">
        <v>0</v>
      </c>
      <c r="K569">
        <v>21166465.602692172</v>
      </c>
      <c r="L569">
        <v>41618057.917775065</v>
      </c>
      <c r="M569">
        <v>61354776.945248663</v>
      </c>
      <c r="N569">
        <v>60282467.01383476</v>
      </c>
      <c r="O569">
        <v>85375978.93813996</v>
      </c>
      <c r="P569">
        <v>109521752.43302545</v>
      </c>
      <c r="Q569">
        <v>132719787.49849114</v>
      </c>
      <c r="R569">
        <v>154970084.13453707</v>
      </c>
      <c r="S569">
        <v>173776237.00676489</v>
      </c>
      <c r="T569">
        <v>191732134.17061058</v>
      </c>
      <c r="U569">
        <v>213080945.97890073</v>
      </c>
      <c r="V569">
        <v>234429757.78719085</v>
      </c>
      <c r="W569">
        <v>255778569.59548104</v>
      </c>
      <c r="X569">
        <v>277127381.40377122</v>
      </c>
      <c r="Y569">
        <v>274679717.42989159</v>
      </c>
      <c r="Z569">
        <v>272232053.45601201</v>
      </c>
      <c r="AA569">
        <v>269784389.48213243</v>
      </c>
      <c r="AB569">
        <v>29371967.686555214</v>
      </c>
      <c r="AC569">
        <v>26924303.712675612</v>
      </c>
      <c r="AD569">
        <v>24476639.738796014</v>
      </c>
      <c r="AE569">
        <v>22028975.764916413</v>
      </c>
      <c r="AF569">
        <v>19581311.791036811</v>
      </c>
      <c r="AG569">
        <v>17133647.817157209</v>
      </c>
      <c r="AH569">
        <v>14685983.843277607</v>
      </c>
      <c r="AI569">
        <v>12238319.869398005</v>
      </c>
      <c r="AJ569">
        <v>9790655.8955184054</v>
      </c>
      <c r="AK569">
        <v>7342991.9216388036</v>
      </c>
      <c r="AL569">
        <v>4895327.9477592036</v>
      </c>
      <c r="AM569">
        <v>2447663.9738796013</v>
      </c>
      <c r="AN569">
        <v>9.5261434296389772E-10</v>
      </c>
    </row>
    <row r="570" spans="1:40">
      <c r="A570" s="30" t="s">
        <v>477</v>
      </c>
      <c r="B570" t="s">
        <v>459</v>
      </c>
      <c r="C570" t="s">
        <v>461</v>
      </c>
      <c r="D570" t="str">
        <f t="shared" si="54"/>
        <v>MEESDomestic CAPEXMaximum effectiveness of levers</v>
      </c>
      <c r="E570">
        <v>0</v>
      </c>
      <c r="F570">
        <v>0</v>
      </c>
      <c r="G570">
        <v>0</v>
      </c>
      <c r="H570">
        <v>0</v>
      </c>
      <c r="I570">
        <v>36786095.890686259</v>
      </c>
      <c r="J570">
        <v>72370373.30767113</v>
      </c>
      <c r="K570">
        <v>200367256.82830137</v>
      </c>
      <c r="L570">
        <v>324000601.22136974</v>
      </c>
      <c r="M570">
        <v>443270406.48687625</v>
      </c>
      <c r="N570">
        <v>558176672.62482095</v>
      </c>
      <c r="O570">
        <v>668719399.63520384</v>
      </c>
      <c r="P570">
        <v>774898587.5180248</v>
      </c>
      <c r="Q570">
        <v>876714236.27328384</v>
      </c>
      <c r="R570">
        <v>974166345.90098095</v>
      </c>
      <c r="S570">
        <v>1067254916.4011164</v>
      </c>
      <c r="T570">
        <v>1046417171.8533864</v>
      </c>
      <c r="U570">
        <v>669909935.627388</v>
      </c>
      <c r="V570">
        <v>553321941.65967083</v>
      </c>
      <c r="W570">
        <v>436733947.69195354</v>
      </c>
      <c r="X570">
        <v>320145953.72423637</v>
      </c>
      <c r="Y570">
        <v>-2.7242094802204521E-9</v>
      </c>
      <c r="Z570">
        <v>0</v>
      </c>
      <c r="AA570">
        <v>0</v>
      </c>
      <c r="AB570">
        <v>0</v>
      </c>
      <c r="AC570">
        <v>0</v>
      </c>
      <c r="AD570">
        <v>0</v>
      </c>
      <c r="AE570">
        <v>0</v>
      </c>
      <c r="AF570">
        <v>0</v>
      </c>
      <c r="AG570">
        <v>0</v>
      </c>
      <c r="AH570">
        <v>0</v>
      </c>
      <c r="AI570">
        <v>0</v>
      </c>
      <c r="AJ570">
        <v>0</v>
      </c>
      <c r="AK570">
        <v>0</v>
      </c>
      <c r="AL570">
        <v>0</v>
      </c>
      <c r="AM570">
        <v>0</v>
      </c>
      <c r="AN570">
        <v>0</v>
      </c>
    </row>
    <row r="571" spans="1:40">
      <c r="A571" s="30" t="s">
        <v>477</v>
      </c>
      <c r="B571" t="s">
        <v>459</v>
      </c>
      <c r="C571" t="s">
        <v>462</v>
      </c>
      <c r="D571" t="str">
        <f t="shared" si="54"/>
        <v>Tax mechanismsDomestic CAPEXMaximum effectiveness of levers</v>
      </c>
      <c r="E571">
        <v>0</v>
      </c>
      <c r="F571">
        <v>0</v>
      </c>
      <c r="G571">
        <v>0</v>
      </c>
      <c r="H571">
        <v>0</v>
      </c>
      <c r="I571">
        <v>0</v>
      </c>
      <c r="J571">
        <v>0</v>
      </c>
      <c r="K571">
        <v>0</v>
      </c>
      <c r="L571">
        <v>0</v>
      </c>
      <c r="M571">
        <v>21867890.977667809</v>
      </c>
      <c r="N571">
        <v>21485701.393711612</v>
      </c>
      <c r="O571">
        <v>91448551.175606787</v>
      </c>
      <c r="P571">
        <v>89792396.311796546</v>
      </c>
      <c r="Q571">
        <v>88136241.447986364</v>
      </c>
      <c r="R571">
        <v>66523143.526289351</v>
      </c>
      <c r="S571">
        <v>65249178.246435344</v>
      </c>
      <c r="T571">
        <v>63975212.96658136</v>
      </c>
      <c r="U571">
        <v>63975212.96658136</v>
      </c>
      <c r="V571">
        <v>63975212.96658136</v>
      </c>
      <c r="W571">
        <v>63975212.96658136</v>
      </c>
      <c r="X571">
        <v>63975212.96658136</v>
      </c>
      <c r="Y571">
        <v>63975212.96658136</v>
      </c>
      <c r="Z571">
        <v>0</v>
      </c>
      <c r="AA571">
        <v>0</v>
      </c>
      <c r="AB571">
        <v>0</v>
      </c>
      <c r="AC571">
        <v>0</v>
      </c>
      <c r="AD571">
        <v>0</v>
      </c>
      <c r="AE571">
        <v>0</v>
      </c>
      <c r="AF571">
        <v>0</v>
      </c>
      <c r="AG571">
        <v>0</v>
      </c>
      <c r="AH571">
        <v>0</v>
      </c>
      <c r="AI571">
        <v>0</v>
      </c>
      <c r="AJ571">
        <v>0</v>
      </c>
      <c r="AK571">
        <v>0</v>
      </c>
      <c r="AL571">
        <v>0</v>
      </c>
      <c r="AM571">
        <v>0</v>
      </c>
      <c r="AN571">
        <v>0</v>
      </c>
    </row>
    <row r="572" spans="1:40">
      <c r="A572" s="30" t="s">
        <v>477</v>
      </c>
      <c r="B572" t="s">
        <v>459</v>
      </c>
      <c r="C572" t="s">
        <v>463</v>
      </c>
      <c r="D572" t="str">
        <f t="shared" si="54"/>
        <v>Planning requirementsDomestic CAPEXMaximum effectiveness of levers</v>
      </c>
      <c r="E572">
        <v>0</v>
      </c>
      <c r="F572">
        <v>31743906.616401419</v>
      </c>
      <c r="G572">
        <v>31249587.149795301</v>
      </c>
      <c r="H572">
        <v>30755267.683189187</v>
      </c>
      <c r="I572">
        <v>30260948.216583073</v>
      </c>
      <c r="J572">
        <v>100159538.36714353</v>
      </c>
      <c r="K572">
        <v>93997745.01566197</v>
      </c>
      <c r="L572">
        <v>92410411.582945228</v>
      </c>
      <c r="M572">
        <v>90823078.150228456</v>
      </c>
      <c r="N572">
        <v>89235744.717511728</v>
      </c>
      <c r="O572">
        <v>87648411.284795165</v>
      </c>
      <c r="P572">
        <v>81741354.146256</v>
      </c>
      <c r="Q572">
        <v>80233694.847648233</v>
      </c>
      <c r="R572">
        <v>17684963.743829511</v>
      </c>
      <c r="S572">
        <v>17346284.171716206</v>
      </c>
      <c r="T572">
        <v>17007604.599602889</v>
      </c>
      <c r="U572">
        <v>7840299.3167608818</v>
      </c>
      <c r="V572">
        <v>7840299.3167608446</v>
      </c>
      <c r="W572">
        <v>7840299.3167608446</v>
      </c>
      <c r="X572">
        <v>7840299.3167608446</v>
      </c>
      <c r="Y572">
        <v>7840299.3167608446</v>
      </c>
      <c r="Z572">
        <v>7840299.3167608446</v>
      </c>
      <c r="AA572">
        <v>7840299.3167608446</v>
      </c>
      <c r="AB572">
        <v>7840299.3167608446</v>
      </c>
      <c r="AC572">
        <v>7840299.3167608446</v>
      </c>
      <c r="AD572">
        <v>7840299.3167615253</v>
      </c>
      <c r="AE572">
        <v>7840299.316760987</v>
      </c>
      <c r="AF572">
        <v>7840299.3167610615</v>
      </c>
      <c r="AG572">
        <v>7840299.3167610615</v>
      </c>
      <c r="AH572">
        <v>7840299.3167610615</v>
      </c>
      <c r="AI572">
        <v>7840299.3167610615</v>
      </c>
      <c r="AJ572">
        <v>7840299.3167610615</v>
      </c>
      <c r="AK572">
        <v>7840299.3167610615</v>
      </c>
      <c r="AL572">
        <v>7840299.3167610615</v>
      </c>
      <c r="AM572">
        <v>7840299.3167610615</v>
      </c>
      <c r="AN572">
        <v>7840299.3167603388</v>
      </c>
    </row>
    <row r="573" spans="1:40">
      <c r="A573" s="30" t="s">
        <v>477</v>
      </c>
      <c r="B573" t="s">
        <v>459</v>
      </c>
      <c r="C573" t="s">
        <v>464</v>
      </c>
      <c r="D573" t="str">
        <f t="shared" si="54"/>
        <v>Lighting efficiencyDomestic CAPEXMaximum effectiveness of levers</v>
      </c>
      <c r="E573">
        <v>0</v>
      </c>
      <c r="F573">
        <v>6935973.9122759365</v>
      </c>
      <c r="G573">
        <v>6827966.193939887</v>
      </c>
      <c r="H573">
        <v>6719958.4756038357</v>
      </c>
      <c r="I573">
        <v>14295679.265610643</v>
      </c>
      <c r="J573">
        <v>21620369.152646001</v>
      </c>
      <c r="K573">
        <v>27711117.038082451</v>
      </c>
      <c r="L573">
        <v>34550343.471060753</v>
      </c>
      <c r="M573">
        <v>41138539.001067623</v>
      </c>
      <c r="N573">
        <v>47475703.628103063</v>
      </c>
      <c r="O573">
        <v>53561837.352167122</v>
      </c>
      <c r="P573">
        <v>51647969.678141102</v>
      </c>
      <c r="Q573">
        <v>3938126.4994950267</v>
      </c>
      <c r="R573">
        <v>3864125.7564489595</v>
      </c>
      <c r="S573">
        <v>3790125.0134028923</v>
      </c>
      <c r="T573">
        <v>3716124.2703568228</v>
      </c>
      <c r="U573">
        <v>1713088.1898887407</v>
      </c>
      <c r="V573">
        <v>1713088.1898887325</v>
      </c>
      <c r="W573">
        <v>1713088.1898887325</v>
      </c>
      <c r="X573">
        <v>1713088.1898887325</v>
      </c>
      <c r="Y573">
        <v>1713088.1898887325</v>
      </c>
      <c r="Z573">
        <v>1713088.1898887325</v>
      </c>
      <c r="AA573">
        <v>1713088.1898887325</v>
      </c>
      <c r="AB573">
        <v>1713088.1898887325</v>
      </c>
      <c r="AC573">
        <v>1713088.1898887325</v>
      </c>
      <c r="AD573">
        <v>1713088.1898888813</v>
      </c>
      <c r="AE573">
        <v>1713088.1898887637</v>
      </c>
      <c r="AF573">
        <v>1713088.18988878</v>
      </c>
      <c r="AG573">
        <v>1713088.18988878</v>
      </c>
      <c r="AH573">
        <v>1713088.18988878</v>
      </c>
      <c r="AI573">
        <v>1713088.18988878</v>
      </c>
      <c r="AJ573">
        <v>1713088.18988878</v>
      </c>
      <c r="AK573">
        <v>1713088.18988878</v>
      </c>
      <c r="AL573">
        <v>1713088.18988878</v>
      </c>
      <c r="AM573">
        <v>1713088.18988878</v>
      </c>
      <c r="AN573">
        <v>1713088.1898886203</v>
      </c>
    </row>
    <row r="574" spans="1:40">
      <c r="A574" s="30" t="s">
        <v>477</v>
      </c>
      <c r="B574" t="s">
        <v>459</v>
      </c>
      <c r="C574" t="s">
        <v>465</v>
      </c>
      <c r="D574" t="str">
        <f t="shared" si="54"/>
        <v>Extended Mayoral ProgramsNon-domestic CAPEXMaximum effectiveness of levers</v>
      </c>
      <c r="E574">
        <v>0</v>
      </c>
      <c r="F574">
        <v>0</v>
      </c>
      <c r="G574">
        <v>0</v>
      </c>
      <c r="H574">
        <v>0</v>
      </c>
      <c r="I574">
        <v>0</v>
      </c>
      <c r="J574">
        <v>0</v>
      </c>
      <c r="K574">
        <v>4274097.7583801532</v>
      </c>
      <c r="L574">
        <v>8403842.7290323414</v>
      </c>
      <c r="M574">
        <v>12389234.911956565</v>
      </c>
      <c r="N574">
        <v>12172705.730364621</v>
      </c>
      <c r="O574">
        <v>11956176.548772674</v>
      </c>
      <c r="P574">
        <v>11739647.367180727</v>
      </c>
      <c r="Q574">
        <v>11523118.185588785</v>
      </c>
      <c r="R574">
        <v>11306589.003996834</v>
      </c>
      <c r="S574">
        <v>10585966.194113759</v>
      </c>
      <c r="T574">
        <v>9885027.8552844934</v>
      </c>
      <c r="U574">
        <v>9390776.4625202697</v>
      </c>
      <c r="V574">
        <v>8896525.0697560441</v>
      </c>
      <c r="W574">
        <v>8402273.6769918203</v>
      </c>
      <c r="X574">
        <v>7908022.2842275957</v>
      </c>
      <c r="Y574">
        <v>7413770.8914633701</v>
      </c>
      <c r="Z574">
        <v>6919519.4986991463</v>
      </c>
      <c r="AA574">
        <v>6425268.1059349217</v>
      </c>
      <c r="AB574">
        <v>5931016.7131706979</v>
      </c>
      <c r="AC574">
        <v>5436765.3204064723</v>
      </c>
      <c r="AD574">
        <v>4942513.9276422467</v>
      </c>
      <c r="AE574">
        <v>4448262.534878022</v>
      </c>
      <c r="AF574">
        <v>3954011.1421137983</v>
      </c>
      <c r="AG574">
        <v>3459759.7493495732</v>
      </c>
      <c r="AH574">
        <v>2965508.3565853485</v>
      </c>
      <c r="AI574">
        <v>2471256.9638211234</v>
      </c>
      <c r="AJ574">
        <v>1977005.5710568989</v>
      </c>
      <c r="AK574">
        <v>1482754.178292674</v>
      </c>
      <c r="AL574">
        <v>988502.78552844957</v>
      </c>
      <c r="AM574">
        <v>494251.39276422444</v>
      </c>
      <c r="AN574">
        <v>0</v>
      </c>
    </row>
    <row r="575" spans="1:40">
      <c r="A575" s="30" t="s">
        <v>477</v>
      </c>
      <c r="B575" t="s">
        <v>459</v>
      </c>
      <c r="C575" t="s">
        <v>466</v>
      </c>
      <c r="D575" t="str">
        <f t="shared" si="54"/>
        <v>MEESNon-domestic CAPEXMaximum effectiveness of levers</v>
      </c>
      <c r="E575">
        <v>0</v>
      </c>
      <c r="F575">
        <v>0</v>
      </c>
      <c r="G575">
        <v>0</v>
      </c>
      <c r="H575">
        <v>0</v>
      </c>
      <c r="I575">
        <v>13275972.290220978</v>
      </c>
      <c r="J575">
        <v>26118212.531187579</v>
      </c>
      <c r="K575">
        <v>41347996.654794566</v>
      </c>
      <c r="L575">
        <v>56048763.345250592</v>
      </c>
      <c r="M575">
        <v>70220512.602555633</v>
      </c>
      <c r="N575">
        <v>83863244.426709712</v>
      </c>
      <c r="O575">
        <v>96976958.817712814</v>
      </c>
      <c r="P575">
        <v>111172755.83549178</v>
      </c>
      <c r="Q575">
        <v>124780104.30323389</v>
      </c>
      <c r="R575">
        <v>137799004.22093922</v>
      </c>
      <c r="S575">
        <v>150229455.58860776</v>
      </c>
      <c r="T575">
        <v>147296282.85640237</v>
      </c>
      <c r="U575">
        <v>127743173.36150351</v>
      </c>
      <c r="V575">
        <v>108190063.86660469</v>
      </c>
      <c r="W575">
        <v>88636954.371705845</v>
      </c>
      <c r="X575">
        <v>69083844.876807004</v>
      </c>
      <c r="Y575">
        <v>2.7918332534682125E-9</v>
      </c>
      <c r="Z575">
        <v>0</v>
      </c>
      <c r="AA575">
        <v>0</v>
      </c>
      <c r="AB575">
        <v>0</v>
      </c>
      <c r="AC575">
        <v>0</v>
      </c>
      <c r="AD575">
        <v>0</v>
      </c>
      <c r="AE575">
        <v>0</v>
      </c>
      <c r="AF575">
        <v>0</v>
      </c>
      <c r="AG575">
        <v>0</v>
      </c>
      <c r="AH575">
        <v>0</v>
      </c>
      <c r="AI575">
        <v>0</v>
      </c>
      <c r="AJ575">
        <v>0</v>
      </c>
      <c r="AK575">
        <v>0</v>
      </c>
      <c r="AL575">
        <v>0</v>
      </c>
      <c r="AM575">
        <v>0</v>
      </c>
      <c r="AN575">
        <v>0</v>
      </c>
    </row>
    <row r="576" spans="1:40">
      <c r="A576" s="30" t="s">
        <v>477</v>
      </c>
      <c r="B576" t="s">
        <v>459</v>
      </c>
      <c r="C576" t="s">
        <v>467</v>
      </c>
      <c r="D576" t="str">
        <f t="shared" si="54"/>
        <v>Tax mechanismsNon-domestic CAPEXMaximum effectiveness of levers</v>
      </c>
      <c r="E576">
        <v>0</v>
      </c>
      <c r="F576">
        <v>0</v>
      </c>
      <c r="G576">
        <v>0</v>
      </c>
      <c r="H576">
        <v>0</v>
      </c>
      <c r="I576">
        <v>0</v>
      </c>
      <c r="J576">
        <v>0</v>
      </c>
      <c r="K576">
        <v>0</v>
      </c>
      <c r="L576">
        <v>0</v>
      </c>
      <c r="M576">
        <v>1455084.6657688853</v>
      </c>
      <c r="N576">
        <v>3727866.9565327186</v>
      </c>
      <c r="O576">
        <v>3661555.3246686407</v>
      </c>
      <c r="P576">
        <v>3595243.6928045633</v>
      </c>
      <c r="Q576">
        <v>3528932.0609404859</v>
      </c>
      <c r="R576">
        <v>0</v>
      </c>
      <c r="S576">
        <v>0</v>
      </c>
      <c r="T576">
        <v>0</v>
      </c>
      <c r="U576">
        <v>0</v>
      </c>
      <c r="V576">
        <v>0</v>
      </c>
      <c r="W576">
        <v>0</v>
      </c>
      <c r="X576">
        <v>0</v>
      </c>
      <c r="Y576">
        <v>0</v>
      </c>
      <c r="Z576">
        <v>0</v>
      </c>
      <c r="AA576">
        <v>0</v>
      </c>
      <c r="AB576">
        <v>0</v>
      </c>
      <c r="AC576">
        <v>0</v>
      </c>
      <c r="AD576">
        <v>0</v>
      </c>
      <c r="AE576">
        <v>0</v>
      </c>
      <c r="AF576">
        <v>0</v>
      </c>
      <c r="AG576">
        <v>0</v>
      </c>
      <c r="AH576">
        <v>0</v>
      </c>
      <c r="AI576">
        <v>0</v>
      </c>
      <c r="AJ576">
        <v>0</v>
      </c>
      <c r="AK576">
        <v>0</v>
      </c>
      <c r="AL576">
        <v>0</v>
      </c>
      <c r="AM576">
        <v>0</v>
      </c>
      <c r="AN576">
        <v>0</v>
      </c>
    </row>
    <row r="577" spans="1:40">
      <c r="A577" s="30" t="s">
        <v>477</v>
      </c>
      <c r="B577" t="s">
        <v>459</v>
      </c>
      <c r="C577" t="s">
        <v>468</v>
      </c>
      <c r="D577" t="str">
        <f t="shared" si="54"/>
        <v>Planning requirementsNon-domestic CAPEXMaximum effectiveness of levers</v>
      </c>
      <c r="E577">
        <v>0</v>
      </c>
      <c r="F577">
        <v>4085557.6935081659</v>
      </c>
      <c r="G577">
        <v>4021936.9575903006</v>
      </c>
      <c r="H577">
        <v>3958316.2216724344</v>
      </c>
      <c r="I577">
        <v>3894695.4857545691</v>
      </c>
      <c r="J577">
        <v>3831074.7498367028</v>
      </c>
      <c r="K577">
        <v>3767454.0139188375</v>
      </c>
      <c r="L577">
        <v>3703833.2780009722</v>
      </c>
      <c r="M577">
        <v>3640212.5420831051</v>
      </c>
      <c r="N577">
        <v>3576591.8061652393</v>
      </c>
      <c r="O577">
        <v>3512971.070247374</v>
      </c>
      <c r="P577">
        <v>2522585.8105653757</v>
      </c>
      <c r="Q577">
        <v>2476058.5662646513</v>
      </c>
      <c r="R577">
        <v>2429531.3219639254</v>
      </c>
      <c r="S577">
        <v>2383004.0776632018</v>
      </c>
      <c r="T577">
        <v>2336476.8333624769</v>
      </c>
      <c r="U577">
        <v>2336476.8333624774</v>
      </c>
      <c r="V577">
        <v>2336476.8333624774</v>
      </c>
      <c r="W577">
        <v>2336476.8333624774</v>
      </c>
      <c r="X577">
        <v>2336476.8333624774</v>
      </c>
      <c r="Y577">
        <v>2336476.8333624774</v>
      </c>
      <c r="Z577">
        <v>2336476.8333624774</v>
      </c>
      <c r="AA577">
        <v>2336476.8333624774</v>
      </c>
      <c r="AB577">
        <v>2336476.8333624774</v>
      </c>
      <c r="AC577">
        <v>2336476.8333624764</v>
      </c>
      <c r="AD577">
        <v>2336476.8333624764</v>
      </c>
      <c r="AE577">
        <v>2336476.8333624764</v>
      </c>
      <c r="AF577">
        <v>2336476.8333624797</v>
      </c>
      <c r="AG577">
        <v>2336476.8333624778</v>
      </c>
      <c r="AH577">
        <v>2336476.8333624778</v>
      </c>
      <c r="AI577">
        <v>2336476.8333624778</v>
      </c>
      <c r="AJ577">
        <v>2336476.8333624778</v>
      </c>
      <c r="AK577">
        <v>2336476.8333624778</v>
      </c>
      <c r="AL577">
        <v>2336476.8333624778</v>
      </c>
      <c r="AM577">
        <v>2336476.8333624778</v>
      </c>
      <c r="AN577">
        <v>2336476.8333624699</v>
      </c>
    </row>
    <row r="578" spans="1:40">
      <c r="A578" s="30" t="s">
        <v>477</v>
      </c>
      <c r="B578" t="s">
        <v>459</v>
      </c>
      <c r="C578" t="s">
        <v>469</v>
      </c>
      <c r="D578" t="str">
        <f t="shared" si="54"/>
        <v>Lighting efficiencyNon-domestic CAPEXMaximum effectiveness of levers</v>
      </c>
      <c r="E578">
        <v>0</v>
      </c>
      <c r="F578">
        <v>6085102.7363829538</v>
      </c>
      <c r="G578">
        <v>5990344.8738664966</v>
      </c>
      <c r="H578">
        <v>5895587.0113500375</v>
      </c>
      <c r="I578">
        <v>19473031.197224613</v>
      </c>
      <c r="J578">
        <v>32603798.327540956</v>
      </c>
      <c r="K578">
        <v>45287888.402299076</v>
      </c>
      <c r="L578">
        <v>57525301.421498962</v>
      </c>
      <c r="M578">
        <v>69316037.385140613</v>
      </c>
      <c r="N578">
        <v>80660096.293224037</v>
      </c>
      <c r="O578">
        <v>91557478.145749241</v>
      </c>
      <c r="P578">
        <v>88475223.996939838</v>
      </c>
      <c r="Q578">
        <v>3644906.6268806849</v>
      </c>
      <c r="R578">
        <v>3576415.7343821069</v>
      </c>
      <c r="S578">
        <v>3507924.8418835341</v>
      </c>
      <c r="T578">
        <v>3439433.9493849594</v>
      </c>
      <c r="U578">
        <v>3439433.9493849594</v>
      </c>
      <c r="V578">
        <v>3439433.9493849594</v>
      </c>
      <c r="W578">
        <v>3439433.9493849594</v>
      </c>
      <c r="X578">
        <v>3439433.9493849594</v>
      </c>
      <c r="Y578">
        <v>3439433.9493849594</v>
      </c>
      <c r="Z578">
        <v>3439433.9493849594</v>
      </c>
      <c r="AA578">
        <v>3439433.9493849594</v>
      </c>
      <c r="AB578">
        <v>3439433.9493849594</v>
      </c>
      <c r="AC578">
        <v>3439433.9493849585</v>
      </c>
      <c r="AD578">
        <v>3439433.9493849585</v>
      </c>
      <c r="AE578">
        <v>3439433.9493849585</v>
      </c>
      <c r="AF578">
        <v>3439433.9493849636</v>
      </c>
      <c r="AG578">
        <v>3439433.9493849599</v>
      </c>
      <c r="AH578">
        <v>3439433.9493849599</v>
      </c>
      <c r="AI578">
        <v>3439433.9493849599</v>
      </c>
      <c r="AJ578">
        <v>3439433.9493849599</v>
      </c>
      <c r="AK578">
        <v>3439433.9493849599</v>
      </c>
      <c r="AL578">
        <v>3439433.9493849599</v>
      </c>
      <c r="AM578">
        <v>3439433.9493849599</v>
      </c>
      <c r="AN578">
        <v>3439433.9493849524</v>
      </c>
    </row>
    <row r="579" spans="1:40">
      <c r="A579" s="30" t="s">
        <v>477</v>
      </c>
      <c r="B579" t="s">
        <v>459</v>
      </c>
      <c r="C579" t="s">
        <v>470</v>
      </c>
      <c r="D579" t="str">
        <f t="shared" si="54"/>
        <v>AllDomestic CAPEXMaximum effectiveness of levers</v>
      </c>
      <c r="E579">
        <v>0</v>
      </c>
      <c r="F579">
        <v>38679880.528677359</v>
      </c>
      <c r="G579">
        <v>38077553.343735188</v>
      </c>
      <c r="H579">
        <v>37475226.158793025</v>
      </c>
      <c r="I579">
        <v>81342723.372879982</v>
      </c>
      <c r="J579">
        <v>243168664.98519498</v>
      </c>
      <c r="K579">
        <v>397254231.17825085</v>
      </c>
      <c r="L579">
        <v>546122394.74381161</v>
      </c>
      <c r="M579">
        <v>711529005.96889746</v>
      </c>
      <c r="N579">
        <v>829261937.64293873</v>
      </c>
      <c r="O579">
        <v>1038891160.5080179</v>
      </c>
      <c r="P579">
        <v>1151770931.6335227</v>
      </c>
      <c r="Q579">
        <v>1213336480.513555</v>
      </c>
      <c r="R579">
        <v>1248518740.7560074</v>
      </c>
      <c r="S579">
        <v>1358442502.2806277</v>
      </c>
      <c r="T579">
        <v>1353589693.0490015</v>
      </c>
      <c r="U579">
        <v>983811949.15129948</v>
      </c>
      <c r="V579">
        <v>901562674.91207337</v>
      </c>
      <c r="W579">
        <v>819182274.67611635</v>
      </c>
      <c r="X579">
        <v>736670748.44342804</v>
      </c>
      <c r="Y579">
        <v>426673660.67531991</v>
      </c>
      <c r="Z579">
        <v>372716187.6681357</v>
      </c>
      <c r="AA579">
        <v>382602801.63080168</v>
      </c>
      <c r="AB579">
        <v>154393531.77503893</v>
      </c>
      <c r="AC579">
        <v>164017893.74424264</v>
      </c>
      <c r="AD579">
        <v>173511129.71671727</v>
      </c>
      <c r="AE579">
        <v>161852345.13806683</v>
      </c>
      <c r="AF579">
        <v>145796700.98091167</v>
      </c>
      <c r="AG579">
        <v>129876529.95992944</v>
      </c>
      <c r="AH579">
        <v>114091832.07512037</v>
      </c>
      <c r="AI579">
        <v>98442607.326484516</v>
      </c>
      <c r="AJ579">
        <v>82928855.714021832</v>
      </c>
      <c r="AK579">
        <v>67550577.237732306</v>
      </c>
      <c r="AL579">
        <v>52307771.897615969</v>
      </c>
      <c r="AM579">
        <v>37200439.693672799</v>
      </c>
      <c r="AN579">
        <v>22228580.625900812</v>
      </c>
    </row>
    <row r="580" spans="1:40">
      <c r="A580" s="30" t="s">
        <v>477</v>
      </c>
      <c r="B580" t="s">
        <v>459</v>
      </c>
      <c r="C580" t="s">
        <v>471</v>
      </c>
      <c r="D580" t="str">
        <f t="shared" si="54"/>
        <v>AllNon-domestic CAPEXMaximum effectiveness of levers</v>
      </c>
      <c r="E580">
        <v>0</v>
      </c>
      <c r="F580">
        <v>10170660.429891121</v>
      </c>
      <c r="G580">
        <v>10012281.831456797</v>
      </c>
      <c r="H580">
        <v>9853903.2330224719</v>
      </c>
      <c r="I580">
        <v>36643698.973200165</v>
      </c>
      <c r="J580">
        <v>92614823.920677319</v>
      </c>
      <c r="K580">
        <v>130078396.89563024</v>
      </c>
      <c r="L580">
        <v>160841618.26400402</v>
      </c>
      <c r="M580">
        <v>191939877.01655921</v>
      </c>
      <c r="N580">
        <v>218678217.53595129</v>
      </c>
      <c r="O580">
        <v>242101769.63927999</v>
      </c>
      <c r="P580">
        <v>244212414.76811114</v>
      </c>
      <c r="Q580">
        <v>167150657.70154065</v>
      </c>
      <c r="R580">
        <v>176157605.19615951</v>
      </c>
      <c r="S580">
        <v>187600942.57206684</v>
      </c>
      <c r="T580">
        <v>183700340.31786934</v>
      </c>
      <c r="U580">
        <v>178310071.03412402</v>
      </c>
      <c r="V580">
        <v>172735028.15017325</v>
      </c>
      <c r="W580">
        <v>166975211.66604471</v>
      </c>
      <c r="X580">
        <v>161030621.58176497</v>
      </c>
      <c r="Y580">
        <v>105370522.5154516</v>
      </c>
      <c r="Z580">
        <v>107845300.4657774</v>
      </c>
      <c r="AA580">
        <v>56793459.513942167</v>
      </c>
      <c r="AB580">
        <v>59514709.404746138</v>
      </c>
      <c r="AC580">
        <v>62188078.83787626</v>
      </c>
      <c r="AD580">
        <v>64813567.81335412</v>
      </c>
      <c r="AE580">
        <v>60509674.561866671</v>
      </c>
      <c r="AF580">
        <v>56253661.766545974</v>
      </c>
      <c r="AG580">
        <v>52045529.427411444</v>
      </c>
      <c r="AH580">
        <v>47885277.544482008</v>
      </c>
      <c r="AI580">
        <v>43772906.117775872</v>
      </c>
      <c r="AJ580">
        <v>39708415.147310689</v>
      </c>
      <c r="AK580">
        <v>35691804.633103542</v>
      </c>
      <c r="AL580">
        <v>31723074.57517093</v>
      </c>
      <c r="AM580">
        <v>27802224.973528881</v>
      </c>
      <c r="AN580">
        <v>23929255.828192662</v>
      </c>
    </row>
    <row r="581" spans="1:40">
      <c r="A581" s="30"/>
    </row>
    <row r="582" spans="1:40">
      <c r="A582" s="30"/>
    </row>
    <row r="583" spans="1:40">
      <c r="A583" s="30" t="s">
        <v>472</v>
      </c>
      <c r="B583" t="s">
        <v>366</v>
      </c>
      <c r="D583" t="s">
        <v>473</v>
      </c>
      <c r="E583">
        <v>2015</v>
      </c>
      <c r="F583">
        <v>2016</v>
      </c>
      <c r="G583">
        <v>2017</v>
      </c>
      <c r="H583">
        <v>2018</v>
      </c>
      <c r="I583">
        <v>2019</v>
      </c>
      <c r="J583">
        <v>2020</v>
      </c>
      <c r="K583">
        <v>2021</v>
      </c>
      <c r="L583">
        <v>2022</v>
      </c>
      <c r="M583">
        <v>2023</v>
      </c>
      <c r="N583">
        <v>2024</v>
      </c>
      <c r="O583">
        <v>2025</v>
      </c>
      <c r="P583">
        <v>2026</v>
      </c>
      <c r="Q583">
        <v>2027</v>
      </c>
      <c r="R583">
        <v>2028</v>
      </c>
      <c r="S583">
        <v>2029</v>
      </c>
      <c r="T583">
        <v>2030</v>
      </c>
      <c r="U583">
        <v>2031</v>
      </c>
      <c r="V583">
        <v>2032</v>
      </c>
      <c r="W583">
        <v>2033</v>
      </c>
      <c r="X583">
        <v>2034</v>
      </c>
      <c r="Y583">
        <v>2035</v>
      </c>
      <c r="Z583">
        <v>2036</v>
      </c>
      <c r="AA583">
        <v>2037</v>
      </c>
      <c r="AB583">
        <v>2038</v>
      </c>
      <c r="AC583">
        <v>2039</v>
      </c>
      <c r="AD583">
        <v>2040</v>
      </c>
      <c r="AE583">
        <v>2041</v>
      </c>
      <c r="AF583">
        <v>2042</v>
      </c>
      <c r="AG583">
        <v>2043</v>
      </c>
      <c r="AH583">
        <v>2044</v>
      </c>
      <c r="AI583">
        <v>2045</v>
      </c>
      <c r="AJ583">
        <v>2046</v>
      </c>
      <c r="AK583">
        <v>2047</v>
      </c>
      <c r="AL583">
        <v>2048</v>
      </c>
      <c r="AM583">
        <v>2049</v>
      </c>
      <c r="AN583">
        <v>2050</v>
      </c>
    </row>
    <row r="584" spans="1:40">
      <c r="A584" s="30" t="s">
        <v>49</v>
      </c>
      <c r="B584" t="s">
        <v>444</v>
      </c>
      <c r="C584" t="s">
        <v>445</v>
      </c>
      <c r="D584" t="str">
        <f>C584&amp;A584</f>
        <v>Carbon emissionsNo additional retrofits</v>
      </c>
      <c r="E584">
        <v>24.536442456359286</v>
      </c>
      <c r="F584">
        <v>21.185897782011786</v>
      </c>
      <c r="G584">
        <v>19.529869834884401</v>
      </c>
      <c r="H584">
        <v>19.150662689478946</v>
      </c>
      <c r="I584">
        <v>18.724175110181349</v>
      </c>
      <c r="J584">
        <v>18.116631817884763</v>
      </c>
      <c r="K584">
        <v>17.678811904115971</v>
      </c>
      <c r="L584">
        <v>16.667908248275616</v>
      </c>
      <c r="M584">
        <v>16.509975783271564</v>
      </c>
      <c r="N584">
        <v>16.733871329719292</v>
      </c>
      <c r="O584">
        <v>16.31493405045461</v>
      </c>
      <c r="P584">
        <v>15.275261107554709</v>
      </c>
      <c r="Q584">
        <v>15.554297173979565</v>
      </c>
      <c r="R584">
        <v>15.123307289348276</v>
      </c>
      <c r="S584">
        <v>14.631530023092404</v>
      </c>
      <c r="T584">
        <v>15.053005486747701</v>
      </c>
      <c r="U584">
        <v>14.706435041998564</v>
      </c>
      <c r="V584">
        <v>13.988691441887124</v>
      </c>
      <c r="W584">
        <v>13.872045197048447</v>
      </c>
      <c r="X584">
        <v>13.585512666024723</v>
      </c>
      <c r="Y584">
        <v>13.095987531263139</v>
      </c>
      <c r="Z584">
        <v>13.149306939575535</v>
      </c>
      <c r="AA584">
        <v>12.98183851564899</v>
      </c>
      <c r="AB584">
        <v>12.858857832323938</v>
      </c>
      <c r="AC584">
        <v>12.98134439653905</v>
      </c>
      <c r="AD584">
        <v>13.050275732890011</v>
      </c>
      <c r="AE584">
        <v>12.966694647735261</v>
      </c>
      <c r="AF584">
        <v>12.885014298553227</v>
      </c>
      <c r="AG584">
        <v>12.838853715886327</v>
      </c>
      <c r="AH584">
        <v>12.755922228773004</v>
      </c>
      <c r="AI584">
        <v>12.711334061228563</v>
      </c>
      <c r="AJ584">
        <v>12.624418514732957</v>
      </c>
      <c r="AK584">
        <v>12.53965434679729</v>
      </c>
      <c r="AL584">
        <v>12.490561761825012</v>
      </c>
      <c r="AM584">
        <v>12.404622442917832</v>
      </c>
      <c r="AN584">
        <v>12.344159134821373</v>
      </c>
    </row>
    <row r="585" spans="1:40">
      <c r="A585" s="30" t="s">
        <v>49</v>
      </c>
      <c r="B585" t="s">
        <v>446</v>
      </c>
      <c r="C585" t="s">
        <v>447</v>
      </c>
      <c r="D585" t="str">
        <f t="shared" ref="D585:D641" si="55">C585&amp;A585</f>
        <v>Domestic heat demandNo additional retrofits</v>
      </c>
      <c r="E585">
        <v>34208540661.939991</v>
      </c>
      <c r="F585">
        <v>34452277686.325783</v>
      </c>
      <c r="G585">
        <v>34696014710.711578</v>
      </c>
      <c r="H585">
        <v>34939751735.097374</v>
      </c>
      <c r="I585">
        <v>35183488759.48317</v>
      </c>
      <c r="J585">
        <v>35427225783.868965</v>
      </c>
      <c r="K585">
        <v>35633505921.27784</v>
      </c>
      <c r="L585">
        <v>35839786058.686714</v>
      </c>
      <c r="M585">
        <v>36046066196.095589</v>
      </c>
      <c r="N585">
        <v>36252346333.504471</v>
      </c>
      <c r="O585">
        <v>36458626470.913345</v>
      </c>
      <c r="P585">
        <v>36625621211.569443</v>
      </c>
      <c r="Q585">
        <v>36792615952.225548</v>
      </c>
      <c r="R585">
        <v>36959610692.881653</v>
      </c>
      <c r="S585">
        <v>37126605433.53775</v>
      </c>
      <c r="T585">
        <v>37293600174.193855</v>
      </c>
      <c r="U585">
        <v>37370582722.99437</v>
      </c>
      <c r="V585">
        <v>37447565271.794876</v>
      </c>
      <c r="W585">
        <v>37524547820.595383</v>
      </c>
      <c r="X585">
        <v>37601530369.395897</v>
      </c>
      <c r="Y585">
        <v>37678512918.196404</v>
      </c>
      <c r="Z585">
        <v>37755495466.99691</v>
      </c>
      <c r="AA585">
        <v>37832478015.797424</v>
      </c>
      <c r="AB585">
        <v>37909460564.597931</v>
      </c>
      <c r="AC585">
        <v>37986443113.398438</v>
      </c>
      <c r="AD585">
        <v>38063425662.198959</v>
      </c>
      <c r="AE585">
        <v>38140408210.999466</v>
      </c>
      <c r="AF585">
        <v>38217390759.79998</v>
      </c>
      <c r="AG585">
        <v>38294373308.600487</v>
      </c>
      <c r="AH585">
        <v>38371355857.401001</v>
      </c>
      <c r="AI585">
        <v>38448338406.201515</v>
      </c>
      <c r="AJ585">
        <v>38525320955.002022</v>
      </c>
      <c r="AK585">
        <v>38602303503.802536</v>
      </c>
      <c r="AL585">
        <v>38679286052.603043</v>
      </c>
      <c r="AM585">
        <v>38756268601.403557</v>
      </c>
      <c r="AN585">
        <v>38833251150.204063</v>
      </c>
    </row>
    <row r="586" spans="1:40">
      <c r="A586" s="30" t="s">
        <v>49</v>
      </c>
      <c r="B586" t="s">
        <v>446</v>
      </c>
      <c r="C586" t="s">
        <v>448</v>
      </c>
      <c r="D586" t="str">
        <f t="shared" si="55"/>
        <v>Non-domestic heat demandNo additional retrofits</v>
      </c>
      <c r="E586">
        <v>18723008369.73642</v>
      </c>
      <c r="F586">
        <v>18772602730.258297</v>
      </c>
      <c r="G586">
        <v>18822197090.780178</v>
      </c>
      <c r="H586">
        <v>18871791451.302059</v>
      </c>
      <c r="I586">
        <v>18921385811.823936</v>
      </c>
      <c r="J586">
        <v>18970980172.345818</v>
      </c>
      <c r="K586">
        <v>19020574532.867702</v>
      </c>
      <c r="L586">
        <v>19070168893.389576</v>
      </c>
      <c r="M586">
        <v>19119763253.911457</v>
      </c>
      <c r="N586">
        <v>19169357614.433338</v>
      </c>
      <c r="O586">
        <v>19218951974.955219</v>
      </c>
      <c r="P586">
        <v>19256078518.512138</v>
      </c>
      <c r="Q586">
        <v>19293205062.069065</v>
      </c>
      <c r="R586">
        <v>19330331605.625988</v>
      </c>
      <c r="S586">
        <v>19367458149.182903</v>
      </c>
      <c r="T586">
        <v>19404584692.739826</v>
      </c>
      <c r="U586">
        <v>19441711236.296749</v>
      </c>
      <c r="V586">
        <v>19478837779.853668</v>
      </c>
      <c r="W586">
        <v>19515964323.410595</v>
      </c>
      <c r="X586">
        <v>19553090866.967514</v>
      </c>
      <c r="Y586">
        <v>19590217410.524433</v>
      </c>
      <c r="Z586">
        <v>19627343954.081356</v>
      </c>
      <c r="AA586">
        <v>19664470497.638279</v>
      </c>
      <c r="AB586">
        <v>19701597041.195198</v>
      </c>
      <c r="AC586">
        <v>19738723584.752121</v>
      </c>
      <c r="AD586">
        <v>19775850128.309044</v>
      </c>
      <c r="AE586">
        <v>19812976671.865963</v>
      </c>
      <c r="AF586">
        <v>19850103215.422886</v>
      </c>
      <c r="AG586">
        <v>19887229758.979805</v>
      </c>
      <c r="AH586">
        <v>19924356302.536732</v>
      </c>
      <c r="AI586">
        <v>19961482846.093651</v>
      </c>
      <c r="AJ586">
        <v>19998609389.650574</v>
      </c>
      <c r="AK586">
        <v>20035735933.207497</v>
      </c>
      <c r="AL586">
        <v>20072862476.764412</v>
      </c>
      <c r="AM586">
        <v>20109989020.321335</v>
      </c>
      <c r="AN586">
        <v>20147115563.878258</v>
      </c>
    </row>
    <row r="587" spans="1:40">
      <c r="A587" s="30" t="s">
        <v>49</v>
      </c>
      <c r="B587" t="s">
        <v>446</v>
      </c>
      <c r="C587" t="s">
        <v>449</v>
      </c>
      <c r="D587" t="str">
        <f t="shared" si="55"/>
        <v>Total domestic electricity demandNo additional retrofits</v>
      </c>
      <c r="E587">
        <v>11858086493.000008</v>
      </c>
      <c r="F587">
        <v>11984823287.882601</v>
      </c>
      <c r="G587">
        <v>12111560082.765194</v>
      </c>
      <c r="H587">
        <v>12238296877.647787</v>
      </c>
      <c r="I587">
        <v>12365033672.53038</v>
      </c>
      <c r="J587">
        <v>12491770467.412973</v>
      </c>
      <c r="K587">
        <v>12599030673.485569</v>
      </c>
      <c r="L587">
        <v>12706290879.558165</v>
      </c>
      <c r="M587">
        <v>12813551085.630762</v>
      </c>
      <c r="N587">
        <v>12920811291.703358</v>
      </c>
      <c r="O587">
        <v>13028071497.775953</v>
      </c>
      <c r="P587">
        <v>13114904338.401367</v>
      </c>
      <c r="Q587">
        <v>13201737179.026781</v>
      </c>
      <c r="R587">
        <v>13288570019.652195</v>
      </c>
      <c r="S587">
        <v>13375402860.277609</v>
      </c>
      <c r="T587">
        <v>13462235700.903023</v>
      </c>
      <c r="U587">
        <v>13502264586.631218</v>
      </c>
      <c r="V587">
        <v>13542293472.359413</v>
      </c>
      <c r="W587">
        <v>13582322358.087608</v>
      </c>
      <c r="X587">
        <v>13622351243.815804</v>
      </c>
      <c r="Y587">
        <v>13662380129.543999</v>
      </c>
      <c r="Z587">
        <v>13702409015.272194</v>
      </c>
      <c r="AA587">
        <v>13742437901.000389</v>
      </c>
      <c r="AB587">
        <v>13782466786.728584</v>
      </c>
      <c r="AC587">
        <v>13822495672.456779</v>
      </c>
      <c r="AD587">
        <v>13862524558.184978</v>
      </c>
      <c r="AE587">
        <v>13902553443.913176</v>
      </c>
      <c r="AF587">
        <v>13942582329.641373</v>
      </c>
      <c r="AG587">
        <v>13982611215.369568</v>
      </c>
      <c r="AH587">
        <v>14022640101.097765</v>
      </c>
      <c r="AI587">
        <v>14062668986.825962</v>
      </c>
      <c r="AJ587">
        <v>14102697872.554159</v>
      </c>
      <c r="AK587">
        <v>14142726758.282356</v>
      </c>
      <c r="AL587">
        <v>14182755644.010551</v>
      </c>
      <c r="AM587">
        <v>14222784529.738749</v>
      </c>
      <c r="AN587">
        <v>14262813415.466942</v>
      </c>
    </row>
    <row r="588" spans="1:40">
      <c r="A588" s="30" t="s">
        <v>49</v>
      </c>
      <c r="B588" t="s">
        <v>446</v>
      </c>
      <c r="C588" t="s">
        <v>450</v>
      </c>
      <c r="D588" t="str">
        <f t="shared" si="55"/>
        <v>Total non-domestic electricity demandNo additional retrofits</v>
      </c>
      <c r="E588">
        <v>19618605322.817085</v>
      </c>
      <c r="F588">
        <v>19701718376.411068</v>
      </c>
      <c r="G588">
        <v>19784831430.005054</v>
      </c>
      <c r="H588">
        <v>19867944483.599037</v>
      </c>
      <c r="I588">
        <v>19951057537.193024</v>
      </c>
      <c r="J588">
        <v>20034170590.787006</v>
      </c>
      <c r="K588">
        <v>20117283644.380989</v>
      </c>
      <c r="L588">
        <v>20200396697.974976</v>
      </c>
      <c r="M588">
        <v>20283509751.568958</v>
      </c>
      <c r="N588">
        <v>20366622805.162945</v>
      </c>
      <c r="O588">
        <v>20449735858.756927</v>
      </c>
      <c r="P588">
        <v>20511168698.243488</v>
      </c>
      <c r="Q588">
        <v>20572601537.730049</v>
      </c>
      <c r="R588">
        <v>20634034377.216606</v>
      </c>
      <c r="S588">
        <v>20695467216.703167</v>
      </c>
      <c r="T588">
        <v>20756900056.189728</v>
      </c>
      <c r="U588">
        <v>20818332895.676289</v>
      </c>
      <c r="V588">
        <v>20879765735.162846</v>
      </c>
      <c r="W588">
        <v>20941198574.649406</v>
      </c>
      <c r="X588">
        <v>21002631414.135967</v>
      </c>
      <c r="Y588">
        <v>21064064253.622528</v>
      </c>
      <c r="Z588">
        <v>21125497093.109085</v>
      </c>
      <c r="AA588">
        <v>21186929932.595646</v>
      </c>
      <c r="AB588">
        <v>21248362772.082207</v>
      </c>
      <c r="AC588">
        <v>21309795611.568764</v>
      </c>
      <c r="AD588">
        <v>21371228451.055325</v>
      </c>
      <c r="AE588">
        <v>21432661290.541885</v>
      </c>
      <c r="AF588">
        <v>21494094130.028446</v>
      </c>
      <c r="AG588">
        <v>21555526969.515003</v>
      </c>
      <c r="AH588">
        <v>21616959809.001564</v>
      </c>
      <c r="AI588">
        <v>21678392648.488125</v>
      </c>
      <c r="AJ588">
        <v>21739825487.974686</v>
      </c>
      <c r="AK588">
        <v>21801258327.461243</v>
      </c>
      <c r="AL588">
        <v>21862691166.947803</v>
      </c>
      <c r="AM588">
        <v>21924124006.434364</v>
      </c>
      <c r="AN588">
        <v>21985556845.920921</v>
      </c>
    </row>
    <row r="589" spans="1:40">
      <c r="A589" s="30" t="s">
        <v>49</v>
      </c>
      <c r="B589" t="s">
        <v>446</v>
      </c>
      <c r="C589" t="s">
        <v>451</v>
      </c>
      <c r="D589" t="str">
        <f t="shared" si="55"/>
        <v>Estimated additional cooking electricity demandNo additional retrofits</v>
      </c>
      <c r="E589">
        <v>0</v>
      </c>
      <c r="F589">
        <v>14170944.699998856</v>
      </c>
      <c r="G589">
        <v>28341889.399997711</v>
      </c>
      <c r="H589">
        <v>42512834.099996567</v>
      </c>
      <c r="I589">
        <v>56683778.799995422</v>
      </c>
      <c r="J589">
        <v>70854723.499994278</v>
      </c>
      <c r="K589">
        <v>85025668.199993134</v>
      </c>
      <c r="L589">
        <v>99196612.899991989</v>
      </c>
      <c r="M589">
        <v>113367557.59999084</v>
      </c>
      <c r="N589">
        <v>127538502.2999897</v>
      </c>
      <c r="O589">
        <v>141709447</v>
      </c>
      <c r="P589">
        <v>160285997</v>
      </c>
      <c r="Q589">
        <v>178862547</v>
      </c>
      <c r="R589">
        <v>197439097</v>
      </c>
      <c r="S589">
        <v>216015647</v>
      </c>
      <c r="T589">
        <v>234592197</v>
      </c>
      <c r="U589">
        <v>253168747</v>
      </c>
      <c r="V589">
        <v>271745297</v>
      </c>
      <c r="W589">
        <v>290321847</v>
      </c>
      <c r="X589">
        <v>308898397</v>
      </c>
      <c r="Y589">
        <v>327474947</v>
      </c>
      <c r="Z589">
        <v>346051497</v>
      </c>
      <c r="AA589">
        <v>364628047</v>
      </c>
      <c r="AB589">
        <v>383204597</v>
      </c>
      <c r="AC589">
        <v>401781147</v>
      </c>
      <c r="AD589">
        <v>420357697</v>
      </c>
      <c r="AE589">
        <v>438934247</v>
      </c>
      <c r="AF589">
        <v>457510797</v>
      </c>
      <c r="AG589">
        <v>476087347</v>
      </c>
      <c r="AH589">
        <v>494663897</v>
      </c>
      <c r="AI589">
        <v>513240447</v>
      </c>
      <c r="AJ589">
        <v>531816997</v>
      </c>
      <c r="AK589">
        <v>550393547</v>
      </c>
      <c r="AL589">
        <v>568970097</v>
      </c>
      <c r="AM589">
        <v>587546647</v>
      </c>
      <c r="AN589">
        <v>606123197</v>
      </c>
    </row>
    <row r="590" spans="1:40">
      <c r="A590" s="30" t="s">
        <v>49</v>
      </c>
      <c r="B590" t="s">
        <v>446</v>
      </c>
      <c r="C590" t="s">
        <v>372</v>
      </c>
      <c r="D590" t="str">
        <f t="shared" si="55"/>
        <v>Existing domestic heat demandNo additional retrofits</v>
      </c>
      <c r="E590">
        <v>34208540661.939991</v>
      </c>
      <c r="F590">
        <v>34208540661.939991</v>
      </c>
      <c r="G590">
        <v>34208540661.939991</v>
      </c>
      <c r="H590">
        <v>34208540661.939991</v>
      </c>
      <c r="I590">
        <v>34208540661.939991</v>
      </c>
      <c r="J590">
        <v>34208540661.939991</v>
      </c>
      <c r="K590">
        <v>34208540661.939991</v>
      </c>
      <c r="L590">
        <v>34208540661.939991</v>
      </c>
      <c r="M590">
        <v>34208540661.939991</v>
      </c>
      <c r="N590">
        <v>34208540661.939991</v>
      </c>
      <c r="O590">
        <v>34208540661.939991</v>
      </c>
      <c r="P590">
        <v>34208540661.939991</v>
      </c>
      <c r="Q590">
        <v>34208540661.939991</v>
      </c>
      <c r="R590">
        <v>34208540661.939991</v>
      </c>
      <c r="S590">
        <v>34208540661.939991</v>
      </c>
      <c r="T590">
        <v>34208540661.939991</v>
      </c>
      <c r="U590">
        <v>34208540661.939991</v>
      </c>
      <c r="V590">
        <v>34208540661.939991</v>
      </c>
      <c r="W590">
        <v>34208540661.939991</v>
      </c>
      <c r="X590">
        <v>34208540661.939991</v>
      </c>
      <c r="Y590">
        <v>34208540661.939991</v>
      </c>
      <c r="Z590">
        <v>34208540661.939991</v>
      </c>
      <c r="AA590">
        <v>34208540661.939991</v>
      </c>
      <c r="AB590">
        <v>34208540661.939991</v>
      </c>
      <c r="AC590">
        <v>34208540661.939991</v>
      </c>
      <c r="AD590">
        <v>34208540661.939991</v>
      </c>
      <c r="AE590">
        <v>34208540661.939991</v>
      </c>
      <c r="AF590">
        <v>34208540661.939991</v>
      </c>
      <c r="AG590">
        <v>34208540661.939991</v>
      </c>
      <c r="AH590">
        <v>34208540661.939991</v>
      </c>
      <c r="AI590">
        <v>34208540661.939991</v>
      </c>
      <c r="AJ590">
        <v>34208540661.939991</v>
      </c>
      <c r="AK590">
        <v>34208540661.939991</v>
      </c>
      <c r="AL590">
        <v>34208540661.939991</v>
      </c>
      <c r="AM590">
        <v>34208540661.939991</v>
      </c>
      <c r="AN590">
        <v>34208540661.939991</v>
      </c>
    </row>
    <row r="591" spans="1:40">
      <c r="A591" s="30" t="s">
        <v>49</v>
      </c>
      <c r="B591" t="s">
        <v>446</v>
      </c>
      <c r="C591" t="s">
        <v>373</v>
      </c>
      <c r="D591" t="str">
        <f t="shared" si="55"/>
        <v>Existing non-domestic heat demandNo additional retrofits</v>
      </c>
      <c r="E591">
        <v>18723008369.73642</v>
      </c>
      <c r="F591">
        <v>18723008369.736416</v>
      </c>
      <c r="G591">
        <v>18723008369.736416</v>
      </c>
      <c r="H591">
        <v>18723008369.73642</v>
      </c>
      <c r="I591">
        <v>18723008369.736416</v>
      </c>
      <c r="J591">
        <v>18723008369.736416</v>
      </c>
      <c r="K591">
        <v>18723008369.73642</v>
      </c>
      <c r="L591">
        <v>18723008369.736416</v>
      </c>
      <c r="M591">
        <v>18723008369.736416</v>
      </c>
      <c r="N591">
        <v>18723008369.736416</v>
      </c>
      <c r="O591">
        <v>18723008369.736416</v>
      </c>
      <c r="P591">
        <v>18723008369.736416</v>
      </c>
      <c r="Q591">
        <v>18723008369.73642</v>
      </c>
      <c r="R591">
        <v>18723008369.73642</v>
      </c>
      <c r="S591">
        <v>18723008369.736416</v>
      </c>
      <c r="T591">
        <v>18723008369.736416</v>
      </c>
      <c r="U591">
        <v>18723008369.736416</v>
      </c>
      <c r="V591">
        <v>18723008369.736416</v>
      </c>
      <c r="W591">
        <v>18723008369.73642</v>
      </c>
      <c r="X591">
        <v>18723008369.73642</v>
      </c>
      <c r="Y591">
        <v>18723008369.736416</v>
      </c>
      <c r="Z591">
        <v>18723008369.736416</v>
      </c>
      <c r="AA591">
        <v>18723008369.73642</v>
      </c>
      <c r="AB591">
        <v>18723008369.736416</v>
      </c>
      <c r="AC591">
        <v>18723008369.736416</v>
      </c>
      <c r="AD591">
        <v>18723008369.73642</v>
      </c>
      <c r="AE591">
        <v>18723008369.736416</v>
      </c>
      <c r="AF591">
        <v>18723008369.736416</v>
      </c>
      <c r="AG591">
        <v>18723008369.736416</v>
      </c>
      <c r="AH591">
        <v>18723008369.73642</v>
      </c>
      <c r="AI591">
        <v>18723008369.736416</v>
      </c>
      <c r="AJ591">
        <v>18723008369.73642</v>
      </c>
      <c r="AK591">
        <v>18723008369.73642</v>
      </c>
      <c r="AL591">
        <v>18723008369.736416</v>
      </c>
      <c r="AM591">
        <v>18723008369.736416</v>
      </c>
      <c r="AN591">
        <v>18723008369.736416</v>
      </c>
    </row>
    <row r="592" spans="1:40">
      <c r="A592" s="30" t="s">
        <v>49</v>
      </c>
      <c r="B592" t="s">
        <v>446</v>
      </c>
      <c r="C592" t="s">
        <v>374</v>
      </c>
      <c r="D592" t="str">
        <f t="shared" si="55"/>
        <v>Existing domestic electricity demandNo additional retrofits</v>
      </c>
      <c r="E592">
        <v>11858086493.000008</v>
      </c>
      <c r="F592">
        <v>11858086493.000008</v>
      </c>
      <c r="G592">
        <v>11858086493.000008</v>
      </c>
      <c r="H592">
        <v>11858086493.000008</v>
      </c>
      <c r="I592">
        <v>11858086493.000008</v>
      </c>
      <c r="J592">
        <v>11858086493.000008</v>
      </c>
      <c r="K592">
        <v>11858086493.000008</v>
      </c>
      <c r="L592">
        <v>11858086493.000008</v>
      </c>
      <c r="M592">
        <v>11858086493.000008</v>
      </c>
      <c r="N592">
        <v>11858086493.000008</v>
      </c>
      <c r="O592">
        <v>11858086493.000008</v>
      </c>
      <c r="P592">
        <v>11858086493.000008</v>
      </c>
      <c r="Q592">
        <v>11858086493.000008</v>
      </c>
      <c r="R592">
        <v>11858086493.000008</v>
      </c>
      <c r="S592">
        <v>11858086493.000008</v>
      </c>
      <c r="T592">
        <v>11858086493.000008</v>
      </c>
      <c r="U592">
        <v>11858086493.000008</v>
      </c>
      <c r="V592">
        <v>11858086493.000008</v>
      </c>
      <c r="W592">
        <v>11858086493.000008</v>
      </c>
      <c r="X592">
        <v>11858086493.000008</v>
      </c>
      <c r="Y592">
        <v>11858086493.000008</v>
      </c>
      <c r="Z592">
        <v>11858086493.000008</v>
      </c>
      <c r="AA592">
        <v>11858086493.000008</v>
      </c>
      <c r="AB592">
        <v>11858086493.000008</v>
      </c>
      <c r="AC592">
        <v>11858086493.000008</v>
      </c>
      <c r="AD592">
        <v>11858086493.000008</v>
      </c>
      <c r="AE592">
        <v>11858086493.000008</v>
      </c>
      <c r="AF592">
        <v>11858086493.000008</v>
      </c>
      <c r="AG592">
        <v>11858086493.000008</v>
      </c>
      <c r="AH592">
        <v>11858086493.000008</v>
      </c>
      <c r="AI592">
        <v>11858086493.000008</v>
      </c>
      <c r="AJ592">
        <v>11858086493.000008</v>
      </c>
      <c r="AK592">
        <v>11858086493.000008</v>
      </c>
      <c r="AL592">
        <v>11858086493.000008</v>
      </c>
      <c r="AM592">
        <v>11858086493.000008</v>
      </c>
      <c r="AN592">
        <v>11858086493.000008</v>
      </c>
    </row>
    <row r="593" spans="1:40">
      <c r="A593" s="30" t="s">
        <v>49</v>
      </c>
      <c r="B593" t="s">
        <v>446</v>
      </c>
      <c r="C593" t="s">
        <v>375</v>
      </c>
      <c r="D593" t="str">
        <f t="shared" si="55"/>
        <v>Existing non-domestic electricity demandNo additional retrofits</v>
      </c>
      <c r="E593">
        <v>19618605322.817085</v>
      </c>
      <c r="F593">
        <v>19618605322.817085</v>
      </c>
      <c r="G593">
        <v>19618605322.817085</v>
      </c>
      <c r="H593">
        <v>19618605322.817085</v>
      </c>
      <c r="I593">
        <v>19618605322.817085</v>
      </c>
      <c r="J593">
        <v>19618605322.817085</v>
      </c>
      <c r="K593">
        <v>19618605322.817085</v>
      </c>
      <c r="L593">
        <v>19618605322.817085</v>
      </c>
      <c r="M593">
        <v>19618605322.817085</v>
      </c>
      <c r="N593">
        <v>19618605322.817085</v>
      </c>
      <c r="O593">
        <v>19618605322.817085</v>
      </c>
      <c r="P593">
        <v>19618605322.817085</v>
      </c>
      <c r="Q593">
        <v>19618605322.817085</v>
      </c>
      <c r="R593">
        <v>19618605322.817085</v>
      </c>
      <c r="S593">
        <v>19618605322.817085</v>
      </c>
      <c r="T593">
        <v>19618605322.817085</v>
      </c>
      <c r="U593">
        <v>19618605322.817085</v>
      </c>
      <c r="V593">
        <v>19618605322.817085</v>
      </c>
      <c r="W593">
        <v>19618605322.817085</v>
      </c>
      <c r="X593">
        <v>19618605322.817085</v>
      </c>
      <c r="Y593">
        <v>19618605322.817085</v>
      </c>
      <c r="Z593">
        <v>19618605322.817085</v>
      </c>
      <c r="AA593">
        <v>19618605322.817085</v>
      </c>
      <c r="AB593">
        <v>19618605322.817085</v>
      </c>
      <c r="AC593">
        <v>19618605322.817085</v>
      </c>
      <c r="AD593">
        <v>19618605322.817085</v>
      </c>
      <c r="AE593">
        <v>19618605322.817085</v>
      </c>
      <c r="AF593">
        <v>19618605322.817085</v>
      </c>
      <c r="AG593">
        <v>19618605322.817085</v>
      </c>
      <c r="AH593">
        <v>19618605322.817085</v>
      </c>
      <c r="AI593">
        <v>19618605322.817085</v>
      </c>
      <c r="AJ593">
        <v>19618605322.817085</v>
      </c>
      <c r="AK593">
        <v>19618605322.817085</v>
      </c>
      <c r="AL593">
        <v>19618605322.817085</v>
      </c>
      <c r="AM593">
        <v>19618605322.817085</v>
      </c>
      <c r="AN593">
        <v>19618605322.817085</v>
      </c>
    </row>
    <row r="594" spans="1:40">
      <c r="A594" s="30" t="s">
        <v>49</v>
      </c>
      <c r="B594" t="s">
        <v>452</v>
      </c>
      <c r="C594" t="s">
        <v>380</v>
      </c>
      <c r="D594" t="str">
        <f t="shared" si="55"/>
        <v>% new domestic heat demand from solar thermalNo additional retrofits</v>
      </c>
      <c r="E594">
        <v>0</v>
      </c>
      <c r="F594">
        <v>0</v>
      </c>
      <c r="G594">
        <v>0</v>
      </c>
      <c r="H594">
        <v>0</v>
      </c>
      <c r="I594">
        <v>0</v>
      </c>
      <c r="J594">
        <v>3.8494588464477813E-3</v>
      </c>
      <c r="K594">
        <v>6.078472907222977E-3</v>
      </c>
      <c r="L594">
        <v>7.7437442869030685E-3</v>
      </c>
      <c r="M594">
        <v>9.0351298047125876E-3</v>
      </c>
      <c r="N594">
        <v>1.0065837719198235E-2</v>
      </c>
      <c r="O594">
        <v>1.0907562111917202E-2</v>
      </c>
      <c r="P594">
        <v>1.1483749530573156E-2</v>
      </c>
      <c r="Q594">
        <v>1.1985465227054844E-2</v>
      </c>
      <c r="R594">
        <v>1.2426270890949411E-2</v>
      </c>
      <c r="S594">
        <v>1.2816623783378245E-2</v>
      </c>
      <c r="T594">
        <v>1.3164716952922258E-2</v>
      </c>
      <c r="U594">
        <v>1.3312802365195909E-2</v>
      </c>
      <c r="V594">
        <v>1.3453848625965549E-2</v>
      </c>
      <c r="W594">
        <v>1.3588345986124713E-2</v>
      </c>
      <c r="X594">
        <v>1.3716740203931726E-2</v>
      </c>
      <c r="Y594">
        <v>1.3839437480433103E-2</v>
      </c>
      <c r="Z594">
        <v>1.3956808752181062E-2</v>
      </c>
      <c r="AA594">
        <v>1.4069193436815145E-2</v>
      </c>
      <c r="AB594">
        <v>1.4176902711174574E-2</v>
      </c>
      <c r="AC594">
        <v>1.428022238862081E-2</v>
      </c>
      <c r="AD594">
        <v>1.4379415451597091E-2</v>
      </c>
      <c r="AE594">
        <v>1.4474724286676075E-2</v>
      </c>
      <c r="AF594">
        <v>1.456637266208784E-2</v>
      </c>
      <c r="AG594">
        <v>1.4654567481692122E-2</v>
      </c>
      <c r="AH594">
        <v>1.4739500344334432E-2</v>
      </c>
      <c r="AI594">
        <v>1.4821348933321474E-2</v>
      </c>
      <c r="AJ594">
        <v>1.4900278257222878E-2</v>
      </c>
      <c r="AK594">
        <v>1.4976441760233305E-2</v>
      </c>
      <c r="AL594">
        <v>1.5049982317817418E-2</v>
      </c>
      <c r="AM594">
        <v>1.5121033131231079E-2</v>
      </c>
      <c r="AN594">
        <v>1.5189718532701735E-2</v>
      </c>
    </row>
    <row r="595" spans="1:40">
      <c r="A595" s="30" t="s">
        <v>49</v>
      </c>
      <c r="B595" t="s">
        <v>452</v>
      </c>
      <c r="C595" t="s">
        <v>381</v>
      </c>
      <c r="D595" t="str">
        <f t="shared" si="55"/>
        <v>% new non-domestic heat demand from solar thermalNo additional retrofits</v>
      </c>
      <c r="E595">
        <v>0</v>
      </c>
      <c r="F595">
        <v>0</v>
      </c>
      <c r="G595">
        <v>0</v>
      </c>
      <c r="H595">
        <v>0</v>
      </c>
      <c r="I595">
        <v>0</v>
      </c>
      <c r="J595">
        <v>6.2087820672609116E-3</v>
      </c>
      <c r="K595">
        <v>1.0347970112101522E-2</v>
      </c>
      <c r="L595">
        <v>1.3304533001273383E-2</v>
      </c>
      <c r="M595">
        <v>1.5521955168152279E-2</v>
      </c>
      <c r="N595">
        <v>1.7246616853502532E-2</v>
      </c>
      <c r="O595">
        <v>1.8626346201782738E-2</v>
      </c>
      <c r="P595">
        <v>1.9493697003782746E-2</v>
      </c>
      <c r="Q595">
        <v>2.0248098229741378E-2</v>
      </c>
      <c r="R595">
        <v>2.0910264190128706E-2</v>
      </c>
      <c r="S595">
        <v>2.1496135816483224E-2</v>
      </c>
      <c r="T595">
        <v>2.2018180729025946E-2</v>
      </c>
      <c r="U595">
        <v>2.2486290353187412E-2</v>
      </c>
      <c r="V595">
        <v>2.290841263650658E-2</v>
      </c>
      <c r="W595">
        <v>2.3291007021043024E-2</v>
      </c>
      <c r="X595">
        <v>2.363937732031203E-2</v>
      </c>
      <c r="Y595">
        <v>2.3957919090399651E-2</v>
      </c>
      <c r="Z595">
        <v>2.4250306067716575E-2</v>
      </c>
      <c r="AA595">
        <v>2.4519632493733311E-2</v>
      </c>
      <c r="AB595">
        <v>2.4768523041881894E-2</v>
      </c>
      <c r="AC595">
        <v>2.4999218636090371E-2</v>
      </c>
      <c r="AD595">
        <v>2.521364411191299E-2</v>
      </c>
      <c r="AE595">
        <v>2.5413462049603923E-2</v>
      </c>
      <c r="AF595">
        <v>2.5600115967610922E-2</v>
      </c>
      <c r="AG595">
        <v>2.5774865251532036E-2</v>
      </c>
      <c r="AH595">
        <v>2.5938813606390217E-2</v>
      </c>
      <c r="AI595">
        <v>2.6092932391315504E-2</v>
      </c>
      <c r="AJ595">
        <v>2.6238079879272319E-2</v>
      </c>
      <c r="AK595">
        <v>2.6375017248566644E-2</v>
      </c>
      <c r="AL595">
        <v>2.6504421935359648E-2</v>
      </c>
      <c r="AM595">
        <v>2.6626898841669681E-2</v>
      </c>
      <c r="AN595">
        <v>2.6742989790215374E-2</v>
      </c>
    </row>
    <row r="596" spans="1:40">
      <c r="A596" s="30" t="s">
        <v>49</v>
      </c>
      <c r="B596" t="s">
        <v>452</v>
      </c>
      <c r="C596" t="s">
        <v>382</v>
      </c>
      <c r="D596" t="str">
        <f t="shared" si="55"/>
        <v>% existing domestic heat demand from solar thermalNo additional retrofits</v>
      </c>
      <c r="E596">
        <v>0</v>
      </c>
      <c r="F596">
        <v>0</v>
      </c>
      <c r="G596">
        <v>0</v>
      </c>
      <c r="H596">
        <v>0</v>
      </c>
      <c r="I596">
        <v>0</v>
      </c>
      <c r="J596">
        <v>0</v>
      </c>
      <c r="K596">
        <v>0</v>
      </c>
      <c r="L596">
        <v>0</v>
      </c>
      <c r="M596">
        <v>0</v>
      </c>
      <c r="N596">
        <v>0</v>
      </c>
      <c r="O596">
        <v>0</v>
      </c>
      <c r="P596">
        <v>0</v>
      </c>
      <c r="Q596">
        <v>0</v>
      </c>
      <c r="R596">
        <v>0</v>
      </c>
      <c r="S596">
        <v>0</v>
      </c>
      <c r="T596">
        <v>0</v>
      </c>
      <c r="U596">
        <v>0</v>
      </c>
      <c r="V596">
        <v>0</v>
      </c>
      <c r="W596">
        <v>0</v>
      </c>
      <c r="X596">
        <v>0</v>
      </c>
      <c r="Y596">
        <v>0</v>
      </c>
      <c r="Z596">
        <v>0</v>
      </c>
      <c r="AA596">
        <v>0</v>
      </c>
      <c r="AB596">
        <v>0</v>
      </c>
      <c r="AC596">
        <v>0</v>
      </c>
      <c r="AD596">
        <v>0</v>
      </c>
      <c r="AE596">
        <v>0</v>
      </c>
      <c r="AF596">
        <v>0</v>
      </c>
      <c r="AG596">
        <v>0</v>
      </c>
      <c r="AH596">
        <v>0</v>
      </c>
      <c r="AI596">
        <v>0</v>
      </c>
      <c r="AJ596">
        <v>0</v>
      </c>
      <c r="AK596">
        <v>0</v>
      </c>
      <c r="AL596">
        <v>0</v>
      </c>
      <c r="AM596">
        <v>0</v>
      </c>
      <c r="AN596">
        <v>0</v>
      </c>
    </row>
    <row r="597" spans="1:40">
      <c r="A597" s="30" t="s">
        <v>49</v>
      </c>
      <c r="B597" t="s">
        <v>452</v>
      </c>
      <c r="C597" t="s">
        <v>383</v>
      </c>
      <c r="D597" t="str">
        <f t="shared" si="55"/>
        <v>% existing non-domestic heat demand from solar thermalNo additional retrofits</v>
      </c>
      <c r="E597">
        <v>0</v>
      </c>
      <c r="F597">
        <v>0</v>
      </c>
      <c r="G597">
        <v>0</v>
      </c>
      <c r="H597">
        <v>0</v>
      </c>
      <c r="I597">
        <v>0</v>
      </c>
      <c r="J597">
        <v>0</v>
      </c>
      <c r="K597">
        <v>0</v>
      </c>
      <c r="L597">
        <v>0</v>
      </c>
      <c r="M597">
        <v>0</v>
      </c>
      <c r="N597">
        <v>0</v>
      </c>
      <c r="O597">
        <v>0</v>
      </c>
      <c r="P597">
        <v>0</v>
      </c>
      <c r="Q597">
        <v>0</v>
      </c>
      <c r="R597">
        <v>0</v>
      </c>
      <c r="S597">
        <v>0</v>
      </c>
      <c r="T597">
        <v>0</v>
      </c>
      <c r="U597">
        <v>0</v>
      </c>
      <c r="V597">
        <v>0</v>
      </c>
      <c r="W597">
        <v>0</v>
      </c>
      <c r="X597">
        <v>0</v>
      </c>
      <c r="Y597">
        <v>0</v>
      </c>
      <c r="Z597">
        <v>0</v>
      </c>
      <c r="AA597">
        <v>0</v>
      </c>
      <c r="AB597">
        <v>0</v>
      </c>
      <c r="AC597">
        <v>0</v>
      </c>
      <c r="AD597">
        <v>0</v>
      </c>
      <c r="AE597">
        <v>0</v>
      </c>
      <c r="AF597">
        <v>0</v>
      </c>
      <c r="AG597">
        <v>0</v>
      </c>
      <c r="AH597">
        <v>0</v>
      </c>
      <c r="AI597">
        <v>0</v>
      </c>
      <c r="AJ597">
        <v>0</v>
      </c>
      <c r="AK597">
        <v>0</v>
      </c>
      <c r="AL597">
        <v>0</v>
      </c>
      <c r="AM597">
        <v>0</v>
      </c>
      <c r="AN597">
        <v>0</v>
      </c>
    </row>
    <row r="598" spans="1:40">
      <c r="A598" s="30" t="s">
        <v>49</v>
      </c>
      <c r="B598" t="s">
        <v>453</v>
      </c>
      <c r="C598" t="s">
        <v>384</v>
      </c>
      <c r="D598" t="str">
        <f t="shared" si="55"/>
        <v>Fuel Poor - Extended RE:NEWNo additional retrofits</v>
      </c>
      <c r="E598">
        <v>0</v>
      </c>
      <c r="F598">
        <v>0</v>
      </c>
      <c r="G598">
        <v>0</v>
      </c>
      <c r="H598">
        <v>0</v>
      </c>
      <c r="I598">
        <v>0</v>
      </c>
      <c r="J598">
        <v>0</v>
      </c>
      <c r="K598">
        <v>0</v>
      </c>
      <c r="L598">
        <v>0</v>
      </c>
      <c r="M598">
        <v>0</v>
      </c>
      <c r="N598">
        <v>0</v>
      </c>
      <c r="O598">
        <v>0</v>
      </c>
      <c r="P598">
        <v>0</v>
      </c>
      <c r="Q598">
        <v>0</v>
      </c>
      <c r="R598">
        <v>0</v>
      </c>
      <c r="S598">
        <v>0</v>
      </c>
      <c r="T598">
        <v>0</v>
      </c>
      <c r="U598">
        <v>0</v>
      </c>
      <c r="V598">
        <v>0</v>
      </c>
      <c r="W598">
        <v>0</v>
      </c>
      <c r="X598">
        <v>0</v>
      </c>
      <c r="Y598">
        <v>0</v>
      </c>
      <c r="Z598">
        <v>0</v>
      </c>
      <c r="AA598">
        <v>0</v>
      </c>
      <c r="AB598">
        <v>0</v>
      </c>
      <c r="AC598">
        <v>0</v>
      </c>
      <c r="AD598">
        <v>0</v>
      </c>
      <c r="AE598">
        <v>0</v>
      </c>
      <c r="AF598">
        <v>0</v>
      </c>
      <c r="AG598">
        <v>0</v>
      </c>
      <c r="AH598">
        <v>0</v>
      </c>
      <c r="AI598">
        <v>0</v>
      </c>
      <c r="AJ598">
        <v>0</v>
      </c>
      <c r="AK598">
        <v>0</v>
      </c>
      <c r="AL598">
        <v>0</v>
      </c>
      <c r="AM598">
        <v>0</v>
      </c>
      <c r="AN598">
        <v>0</v>
      </c>
    </row>
    <row r="599" spans="1:40">
      <c r="A599" s="30" t="s">
        <v>49</v>
      </c>
      <c r="B599" t="s">
        <v>453</v>
      </c>
      <c r="C599" t="s">
        <v>385</v>
      </c>
      <c r="D599" t="str">
        <f t="shared" si="55"/>
        <v>Fuel Poor - Landlord MEES - EPC CNo additional retrofits</v>
      </c>
      <c r="E599">
        <v>0</v>
      </c>
      <c r="F599">
        <v>0</v>
      </c>
      <c r="G599">
        <v>0</v>
      </c>
      <c r="H599">
        <v>0</v>
      </c>
      <c r="I599">
        <v>0</v>
      </c>
      <c r="J599">
        <v>0</v>
      </c>
      <c r="K599">
        <v>0</v>
      </c>
      <c r="L599">
        <v>0</v>
      </c>
      <c r="M599">
        <v>0</v>
      </c>
      <c r="N599">
        <v>0</v>
      </c>
      <c r="O599">
        <v>0</v>
      </c>
      <c r="P599">
        <v>0</v>
      </c>
      <c r="Q599">
        <v>0</v>
      </c>
      <c r="R599">
        <v>0</v>
      </c>
      <c r="S599">
        <v>0</v>
      </c>
      <c r="T599">
        <v>0</v>
      </c>
      <c r="U599">
        <v>0</v>
      </c>
      <c r="V599">
        <v>0</v>
      </c>
      <c r="W599">
        <v>0</v>
      </c>
      <c r="X599">
        <v>0</v>
      </c>
      <c r="Y599">
        <v>0</v>
      </c>
      <c r="Z599">
        <v>0</v>
      </c>
      <c r="AA599">
        <v>0</v>
      </c>
      <c r="AB599">
        <v>0</v>
      </c>
      <c r="AC599">
        <v>0</v>
      </c>
      <c r="AD599">
        <v>0</v>
      </c>
      <c r="AE599">
        <v>0</v>
      </c>
      <c r="AF599">
        <v>0</v>
      </c>
      <c r="AG599">
        <v>0</v>
      </c>
      <c r="AH599">
        <v>0</v>
      </c>
      <c r="AI599">
        <v>0</v>
      </c>
      <c r="AJ599">
        <v>0</v>
      </c>
      <c r="AK599">
        <v>0</v>
      </c>
      <c r="AL599">
        <v>0</v>
      </c>
      <c r="AM599">
        <v>0</v>
      </c>
      <c r="AN599">
        <v>0</v>
      </c>
    </row>
    <row r="600" spans="1:40">
      <c r="A600" s="30" t="s">
        <v>49</v>
      </c>
      <c r="B600" t="s">
        <v>453</v>
      </c>
      <c r="C600" t="s">
        <v>386</v>
      </c>
      <c r="D600" t="str">
        <f t="shared" si="55"/>
        <v>Fuel Poor - All buildings MEES - EPC CNo additional retrofits</v>
      </c>
      <c r="E600">
        <v>0</v>
      </c>
      <c r="F600">
        <v>0</v>
      </c>
      <c r="G600">
        <v>0</v>
      </c>
      <c r="H600">
        <v>0</v>
      </c>
      <c r="I600">
        <v>0</v>
      </c>
      <c r="J600">
        <v>0</v>
      </c>
      <c r="K600">
        <v>0</v>
      </c>
      <c r="L600">
        <v>0</v>
      </c>
      <c r="M600">
        <v>0</v>
      </c>
      <c r="N600">
        <v>0</v>
      </c>
      <c r="O600">
        <v>0</v>
      </c>
      <c r="P600">
        <v>0</v>
      </c>
      <c r="Q600">
        <v>0</v>
      </c>
      <c r="R600">
        <v>0</v>
      </c>
      <c r="S600">
        <v>0</v>
      </c>
      <c r="T600">
        <v>0</v>
      </c>
      <c r="U600">
        <v>0</v>
      </c>
      <c r="V600">
        <v>0</v>
      </c>
      <c r="W600">
        <v>0</v>
      </c>
      <c r="X600">
        <v>0</v>
      </c>
      <c r="Y600">
        <v>0</v>
      </c>
      <c r="Z600">
        <v>0</v>
      </c>
      <c r="AA600">
        <v>0</v>
      </c>
      <c r="AB600">
        <v>0</v>
      </c>
      <c r="AC600">
        <v>0</v>
      </c>
      <c r="AD600">
        <v>0</v>
      </c>
      <c r="AE600">
        <v>0</v>
      </c>
      <c r="AF600">
        <v>0</v>
      </c>
      <c r="AG600">
        <v>0</v>
      </c>
      <c r="AH600">
        <v>0</v>
      </c>
      <c r="AI600">
        <v>0</v>
      </c>
      <c r="AJ600">
        <v>0</v>
      </c>
      <c r="AK600">
        <v>0</v>
      </c>
      <c r="AL600">
        <v>0</v>
      </c>
      <c r="AM600">
        <v>0</v>
      </c>
      <c r="AN600">
        <v>0</v>
      </c>
    </row>
    <row r="601" spans="1:40">
      <c r="A601" s="30" t="s">
        <v>49</v>
      </c>
      <c r="B601" t="s">
        <v>453</v>
      </c>
      <c r="C601" t="s">
        <v>387</v>
      </c>
      <c r="D601" t="str">
        <f t="shared" si="55"/>
        <v>Fuel Poor - Extended energy LeapNo additional retrofits</v>
      </c>
      <c r="E601">
        <v>0</v>
      </c>
      <c r="F601">
        <v>0</v>
      </c>
      <c r="G601">
        <v>0</v>
      </c>
      <c r="H601">
        <v>0</v>
      </c>
      <c r="I601">
        <v>0</v>
      </c>
      <c r="J601">
        <v>0</v>
      </c>
      <c r="K601">
        <v>0</v>
      </c>
      <c r="L601">
        <v>0</v>
      </c>
      <c r="M601">
        <v>0</v>
      </c>
      <c r="N601">
        <v>0</v>
      </c>
      <c r="O601">
        <v>0</v>
      </c>
      <c r="P601">
        <v>0</v>
      </c>
      <c r="Q601">
        <v>0</v>
      </c>
      <c r="R601">
        <v>0</v>
      </c>
      <c r="S601">
        <v>0</v>
      </c>
      <c r="T601">
        <v>0</v>
      </c>
      <c r="U601">
        <v>0</v>
      </c>
      <c r="V601">
        <v>0</v>
      </c>
      <c r="W601">
        <v>0</v>
      </c>
      <c r="X601">
        <v>0</v>
      </c>
      <c r="Y601">
        <v>0</v>
      </c>
      <c r="Z601">
        <v>0</v>
      </c>
      <c r="AA601">
        <v>0</v>
      </c>
      <c r="AB601">
        <v>0</v>
      </c>
      <c r="AC601">
        <v>0</v>
      </c>
      <c r="AD601">
        <v>0</v>
      </c>
      <c r="AE601">
        <v>0</v>
      </c>
      <c r="AF601">
        <v>0</v>
      </c>
      <c r="AG601">
        <v>0</v>
      </c>
      <c r="AH601">
        <v>0</v>
      </c>
      <c r="AI601">
        <v>0</v>
      </c>
      <c r="AJ601">
        <v>0</v>
      </c>
      <c r="AK601">
        <v>0</v>
      </c>
      <c r="AL601">
        <v>0</v>
      </c>
      <c r="AM601">
        <v>0</v>
      </c>
      <c r="AN601">
        <v>0</v>
      </c>
    </row>
    <row r="602" spans="1:40">
      <c r="A602" s="30" t="s">
        <v>49</v>
      </c>
      <c r="B602" t="s">
        <v>453</v>
      </c>
      <c r="C602" t="s">
        <v>388</v>
      </c>
      <c r="D602" t="str">
        <f t="shared" si="55"/>
        <v>Social housing - Extended RE:NEWNo additional retrofits</v>
      </c>
      <c r="E602">
        <v>0</v>
      </c>
      <c r="F602">
        <v>0</v>
      </c>
      <c r="G602">
        <v>0</v>
      </c>
      <c r="H602">
        <v>0</v>
      </c>
      <c r="I602">
        <v>0</v>
      </c>
      <c r="J602">
        <v>0</v>
      </c>
      <c r="K602">
        <v>0</v>
      </c>
      <c r="L602">
        <v>0</v>
      </c>
      <c r="M602">
        <v>0</v>
      </c>
      <c r="N602">
        <v>0</v>
      </c>
      <c r="O602">
        <v>0</v>
      </c>
      <c r="P602">
        <v>0</v>
      </c>
      <c r="Q602">
        <v>0</v>
      </c>
      <c r="R602">
        <v>0</v>
      </c>
      <c r="S602">
        <v>0</v>
      </c>
      <c r="T602">
        <v>0</v>
      </c>
      <c r="U602">
        <v>0</v>
      </c>
      <c r="V602">
        <v>0</v>
      </c>
      <c r="W602">
        <v>0</v>
      </c>
      <c r="X602">
        <v>0</v>
      </c>
      <c r="Y602">
        <v>0</v>
      </c>
      <c r="Z602">
        <v>0</v>
      </c>
      <c r="AA602">
        <v>0</v>
      </c>
      <c r="AB602">
        <v>0</v>
      </c>
      <c r="AC602">
        <v>0</v>
      </c>
      <c r="AD602">
        <v>0</v>
      </c>
      <c r="AE602">
        <v>0</v>
      </c>
      <c r="AF602">
        <v>0</v>
      </c>
      <c r="AG602">
        <v>0</v>
      </c>
      <c r="AH602">
        <v>0</v>
      </c>
      <c r="AI602">
        <v>0</v>
      </c>
      <c r="AJ602">
        <v>0</v>
      </c>
      <c r="AK602">
        <v>0</v>
      </c>
      <c r="AL602">
        <v>0</v>
      </c>
      <c r="AM602">
        <v>0</v>
      </c>
      <c r="AN602">
        <v>0</v>
      </c>
    </row>
    <row r="603" spans="1:40">
      <c r="A603" s="30" t="s">
        <v>49</v>
      </c>
      <c r="B603" t="s">
        <v>453</v>
      </c>
      <c r="C603" t="s">
        <v>389</v>
      </c>
      <c r="D603" t="str">
        <f t="shared" si="55"/>
        <v>Social housing - All buildings MEES - EPC CNo additional retrofits</v>
      </c>
      <c r="E603">
        <v>0</v>
      </c>
      <c r="F603">
        <v>0</v>
      </c>
      <c r="G603">
        <v>0</v>
      </c>
      <c r="H603">
        <v>0</v>
      </c>
      <c r="I603">
        <v>0</v>
      </c>
      <c r="J603">
        <v>0</v>
      </c>
      <c r="K603">
        <v>0</v>
      </c>
      <c r="L603">
        <v>0</v>
      </c>
      <c r="M603">
        <v>0</v>
      </c>
      <c r="N603">
        <v>0</v>
      </c>
      <c r="O603">
        <v>0</v>
      </c>
      <c r="P603">
        <v>0</v>
      </c>
      <c r="Q603">
        <v>0</v>
      </c>
      <c r="R603">
        <v>0</v>
      </c>
      <c r="S603">
        <v>0</v>
      </c>
      <c r="T603">
        <v>0</v>
      </c>
      <c r="U603">
        <v>0</v>
      </c>
      <c r="V603">
        <v>0</v>
      </c>
      <c r="W603">
        <v>0</v>
      </c>
      <c r="X603">
        <v>0</v>
      </c>
      <c r="Y603">
        <v>0</v>
      </c>
      <c r="Z603">
        <v>0</v>
      </c>
      <c r="AA603">
        <v>0</v>
      </c>
      <c r="AB603">
        <v>0</v>
      </c>
      <c r="AC603">
        <v>0</v>
      </c>
      <c r="AD603">
        <v>0</v>
      </c>
      <c r="AE603">
        <v>0</v>
      </c>
      <c r="AF603">
        <v>0</v>
      </c>
      <c r="AG603">
        <v>0</v>
      </c>
      <c r="AH603">
        <v>0</v>
      </c>
      <c r="AI603">
        <v>0</v>
      </c>
      <c r="AJ603">
        <v>0</v>
      </c>
      <c r="AK603">
        <v>0</v>
      </c>
      <c r="AL603">
        <v>0</v>
      </c>
      <c r="AM603">
        <v>0</v>
      </c>
      <c r="AN603">
        <v>0</v>
      </c>
    </row>
    <row r="604" spans="1:40">
      <c r="A604" s="30" t="s">
        <v>49</v>
      </c>
      <c r="B604" t="s">
        <v>453</v>
      </c>
      <c r="C604" t="s">
        <v>390</v>
      </c>
      <c r="D604" t="str">
        <f t="shared" si="55"/>
        <v>Social housing - Extended energy LeapNo additional retrofits</v>
      </c>
      <c r="E604">
        <v>0</v>
      </c>
      <c r="F604">
        <v>0</v>
      </c>
      <c r="G604">
        <v>0</v>
      </c>
      <c r="H604">
        <v>0</v>
      </c>
      <c r="I604">
        <v>0</v>
      </c>
      <c r="J604">
        <v>0</v>
      </c>
      <c r="K604">
        <v>0</v>
      </c>
      <c r="L604">
        <v>0</v>
      </c>
      <c r="M604">
        <v>0</v>
      </c>
      <c r="N604">
        <v>0</v>
      </c>
      <c r="O604">
        <v>0</v>
      </c>
      <c r="P604">
        <v>0</v>
      </c>
      <c r="Q604">
        <v>0</v>
      </c>
      <c r="R604">
        <v>0</v>
      </c>
      <c r="S604">
        <v>0</v>
      </c>
      <c r="T604">
        <v>0</v>
      </c>
      <c r="U604">
        <v>0</v>
      </c>
      <c r="V604">
        <v>0</v>
      </c>
      <c r="W604">
        <v>0</v>
      </c>
      <c r="X604">
        <v>0</v>
      </c>
      <c r="Y604">
        <v>0</v>
      </c>
      <c r="Z604">
        <v>0</v>
      </c>
      <c r="AA604">
        <v>0</v>
      </c>
      <c r="AB604">
        <v>0</v>
      </c>
      <c r="AC604">
        <v>0</v>
      </c>
      <c r="AD604">
        <v>0</v>
      </c>
      <c r="AE604">
        <v>0</v>
      </c>
      <c r="AF604">
        <v>0</v>
      </c>
      <c r="AG604">
        <v>0</v>
      </c>
      <c r="AH604">
        <v>0</v>
      </c>
      <c r="AI604">
        <v>0</v>
      </c>
      <c r="AJ604">
        <v>0</v>
      </c>
      <c r="AK604">
        <v>0</v>
      </c>
      <c r="AL604">
        <v>0</v>
      </c>
      <c r="AM604">
        <v>0</v>
      </c>
      <c r="AN604">
        <v>0</v>
      </c>
    </row>
    <row r="605" spans="1:40">
      <c r="A605" s="30" t="s">
        <v>49</v>
      </c>
      <c r="B605" t="s">
        <v>453</v>
      </c>
      <c r="C605" t="s">
        <v>391</v>
      </c>
      <c r="D605" t="str">
        <f t="shared" si="55"/>
        <v>Able to pay - Building Regulations and planning policyNo additional retrofits</v>
      </c>
      <c r="E605">
        <v>0</v>
      </c>
      <c r="F605">
        <v>0</v>
      </c>
      <c r="G605">
        <v>0</v>
      </c>
      <c r="H605">
        <v>0</v>
      </c>
      <c r="I605">
        <v>0</v>
      </c>
      <c r="J605">
        <v>0</v>
      </c>
      <c r="K605">
        <v>0</v>
      </c>
      <c r="L605">
        <v>0</v>
      </c>
      <c r="M605">
        <v>0</v>
      </c>
      <c r="N605">
        <v>0</v>
      </c>
      <c r="O605">
        <v>0</v>
      </c>
      <c r="P605">
        <v>0</v>
      </c>
      <c r="Q605">
        <v>0</v>
      </c>
      <c r="R605">
        <v>0</v>
      </c>
      <c r="S605">
        <v>0</v>
      </c>
      <c r="T605">
        <v>0</v>
      </c>
      <c r="U605">
        <v>0</v>
      </c>
      <c r="V605">
        <v>0</v>
      </c>
      <c r="W605">
        <v>0</v>
      </c>
      <c r="X605">
        <v>0</v>
      </c>
      <c r="Y605">
        <v>0</v>
      </c>
      <c r="Z605">
        <v>0</v>
      </c>
      <c r="AA605">
        <v>0</v>
      </c>
      <c r="AB605">
        <v>0</v>
      </c>
      <c r="AC605">
        <v>0</v>
      </c>
      <c r="AD605">
        <v>0</v>
      </c>
      <c r="AE605">
        <v>0</v>
      </c>
      <c r="AF605">
        <v>0</v>
      </c>
      <c r="AG605">
        <v>0</v>
      </c>
      <c r="AH605">
        <v>0</v>
      </c>
      <c r="AI605">
        <v>0</v>
      </c>
      <c r="AJ605">
        <v>0</v>
      </c>
      <c r="AK605">
        <v>0</v>
      </c>
      <c r="AL605">
        <v>0</v>
      </c>
      <c r="AM605">
        <v>0</v>
      </c>
      <c r="AN605">
        <v>0</v>
      </c>
    </row>
    <row r="606" spans="1:40">
      <c r="A606" s="30" t="s">
        <v>49</v>
      </c>
      <c r="B606" t="s">
        <v>453</v>
      </c>
      <c r="C606" t="s">
        <v>392</v>
      </c>
      <c r="D606" t="str">
        <f t="shared" si="55"/>
        <v>Able to pay - Council tax variation by EPCNo additional retrofits</v>
      </c>
      <c r="E606">
        <v>0</v>
      </c>
      <c r="F606">
        <v>0</v>
      </c>
      <c r="G606">
        <v>0</v>
      </c>
      <c r="H606">
        <v>0</v>
      </c>
      <c r="I606">
        <v>0</v>
      </c>
      <c r="J606">
        <v>0</v>
      </c>
      <c r="K606">
        <v>0</v>
      </c>
      <c r="L606">
        <v>0</v>
      </c>
      <c r="M606">
        <v>0</v>
      </c>
      <c r="N606">
        <v>0</v>
      </c>
      <c r="O606">
        <v>0</v>
      </c>
      <c r="P606">
        <v>0</v>
      </c>
      <c r="Q606">
        <v>0</v>
      </c>
      <c r="R606">
        <v>0</v>
      </c>
      <c r="S606">
        <v>0</v>
      </c>
      <c r="T606">
        <v>0</v>
      </c>
      <c r="U606">
        <v>0</v>
      </c>
      <c r="V606">
        <v>0</v>
      </c>
      <c r="W606">
        <v>0</v>
      </c>
      <c r="X606">
        <v>0</v>
      </c>
      <c r="Y606">
        <v>0</v>
      </c>
      <c r="Z606">
        <v>0</v>
      </c>
      <c r="AA606">
        <v>0</v>
      </c>
      <c r="AB606">
        <v>0</v>
      </c>
      <c r="AC606">
        <v>0</v>
      </c>
      <c r="AD606">
        <v>0</v>
      </c>
      <c r="AE606">
        <v>0</v>
      </c>
      <c r="AF606">
        <v>0</v>
      </c>
      <c r="AG606">
        <v>0</v>
      </c>
      <c r="AH606">
        <v>0</v>
      </c>
      <c r="AI606">
        <v>0</v>
      </c>
      <c r="AJ606">
        <v>0</v>
      </c>
      <c r="AK606">
        <v>0</v>
      </c>
      <c r="AL606">
        <v>0</v>
      </c>
      <c r="AM606">
        <v>0</v>
      </c>
      <c r="AN606">
        <v>0</v>
      </c>
    </row>
    <row r="607" spans="1:40">
      <c r="A607" s="30" t="s">
        <v>49</v>
      </c>
      <c r="B607" t="s">
        <v>453</v>
      </c>
      <c r="C607" t="s">
        <v>393</v>
      </c>
      <c r="D607" t="str">
        <f t="shared" si="55"/>
        <v>Able to pay - Landlord MEES - EPC CNo additional retrofits</v>
      </c>
      <c r="E607">
        <v>0</v>
      </c>
      <c r="F607">
        <v>0</v>
      </c>
      <c r="G607">
        <v>0</v>
      </c>
      <c r="H607">
        <v>0</v>
      </c>
      <c r="I607">
        <v>0</v>
      </c>
      <c r="J607">
        <v>0</v>
      </c>
      <c r="K607">
        <v>0</v>
      </c>
      <c r="L607">
        <v>0</v>
      </c>
      <c r="M607">
        <v>0</v>
      </c>
      <c r="N607">
        <v>0</v>
      </c>
      <c r="O607">
        <v>0</v>
      </c>
      <c r="P607">
        <v>0</v>
      </c>
      <c r="Q607">
        <v>0</v>
      </c>
      <c r="R607">
        <v>0</v>
      </c>
      <c r="S607">
        <v>0</v>
      </c>
      <c r="T607">
        <v>0</v>
      </c>
      <c r="U607">
        <v>0</v>
      </c>
      <c r="V607">
        <v>0</v>
      </c>
      <c r="W607">
        <v>0</v>
      </c>
      <c r="X607">
        <v>0</v>
      </c>
      <c r="Y607">
        <v>0</v>
      </c>
      <c r="Z607">
        <v>0</v>
      </c>
      <c r="AA607">
        <v>0</v>
      </c>
      <c r="AB607">
        <v>0</v>
      </c>
      <c r="AC607">
        <v>0</v>
      </c>
      <c r="AD607">
        <v>0</v>
      </c>
      <c r="AE607">
        <v>0</v>
      </c>
      <c r="AF607">
        <v>0</v>
      </c>
      <c r="AG607">
        <v>0</v>
      </c>
      <c r="AH607">
        <v>0</v>
      </c>
      <c r="AI607">
        <v>0</v>
      </c>
      <c r="AJ607">
        <v>0</v>
      </c>
      <c r="AK607">
        <v>0</v>
      </c>
      <c r="AL607">
        <v>0</v>
      </c>
      <c r="AM607">
        <v>0</v>
      </c>
      <c r="AN607">
        <v>0</v>
      </c>
    </row>
    <row r="608" spans="1:40">
      <c r="A608" s="30" t="s">
        <v>49</v>
      </c>
      <c r="B608" t="s">
        <v>453</v>
      </c>
      <c r="C608" t="s">
        <v>394</v>
      </c>
      <c r="D608" t="str">
        <f t="shared" si="55"/>
        <v>Able to pay - Stamp duty energy efficiency scalingNo additional retrofits</v>
      </c>
      <c r="E608">
        <v>0</v>
      </c>
      <c r="F608">
        <v>0</v>
      </c>
      <c r="G608">
        <v>0</v>
      </c>
      <c r="H608">
        <v>0</v>
      </c>
      <c r="I608">
        <v>0</v>
      </c>
      <c r="J608">
        <v>0</v>
      </c>
      <c r="K608">
        <v>0</v>
      </c>
      <c r="L608">
        <v>0</v>
      </c>
      <c r="M608">
        <v>0</v>
      </c>
      <c r="N608">
        <v>0</v>
      </c>
      <c r="O608">
        <v>0</v>
      </c>
      <c r="P608">
        <v>0</v>
      </c>
      <c r="Q608">
        <v>0</v>
      </c>
      <c r="R608">
        <v>0</v>
      </c>
      <c r="S608">
        <v>0</v>
      </c>
      <c r="T608">
        <v>0</v>
      </c>
      <c r="U608">
        <v>0</v>
      </c>
      <c r="V608">
        <v>0</v>
      </c>
      <c r="W608">
        <v>0</v>
      </c>
      <c r="X608">
        <v>0</v>
      </c>
      <c r="Y608">
        <v>0</v>
      </c>
      <c r="Z608">
        <v>0</v>
      </c>
      <c r="AA608">
        <v>0</v>
      </c>
      <c r="AB608">
        <v>0</v>
      </c>
      <c r="AC608">
        <v>0</v>
      </c>
      <c r="AD608">
        <v>0</v>
      </c>
      <c r="AE608">
        <v>0</v>
      </c>
      <c r="AF608">
        <v>0</v>
      </c>
      <c r="AG608">
        <v>0</v>
      </c>
      <c r="AH608">
        <v>0</v>
      </c>
      <c r="AI608">
        <v>0</v>
      </c>
      <c r="AJ608">
        <v>0</v>
      </c>
      <c r="AK608">
        <v>0</v>
      </c>
      <c r="AL608">
        <v>0</v>
      </c>
      <c r="AM608">
        <v>0</v>
      </c>
      <c r="AN608">
        <v>0</v>
      </c>
    </row>
    <row r="609" spans="1:40">
      <c r="A609" s="30" t="s">
        <v>49</v>
      </c>
      <c r="B609" t="s">
        <v>453</v>
      </c>
      <c r="C609" t="s">
        <v>395</v>
      </c>
      <c r="D609" t="str">
        <f t="shared" si="55"/>
        <v>Able to pay - Extended Energy LeapNo additional retrofits</v>
      </c>
      <c r="E609">
        <v>0</v>
      </c>
      <c r="F609">
        <v>0</v>
      </c>
      <c r="G609">
        <v>0</v>
      </c>
      <c r="H609">
        <v>0</v>
      </c>
      <c r="I609">
        <v>0</v>
      </c>
      <c r="J609">
        <v>0</v>
      </c>
      <c r="K609">
        <v>0</v>
      </c>
      <c r="L609">
        <v>0</v>
      </c>
      <c r="M609">
        <v>0</v>
      </c>
      <c r="N609">
        <v>0</v>
      </c>
      <c r="O609">
        <v>0</v>
      </c>
      <c r="P609">
        <v>0</v>
      </c>
      <c r="Q609">
        <v>0</v>
      </c>
      <c r="R609">
        <v>0</v>
      </c>
      <c r="S609">
        <v>0</v>
      </c>
      <c r="T609">
        <v>0</v>
      </c>
      <c r="U609">
        <v>0</v>
      </c>
      <c r="V609">
        <v>0</v>
      </c>
      <c r="W609">
        <v>0</v>
      </c>
      <c r="X609">
        <v>0</v>
      </c>
      <c r="Y609">
        <v>0</v>
      </c>
      <c r="Z609">
        <v>0</v>
      </c>
      <c r="AA609">
        <v>0</v>
      </c>
      <c r="AB609">
        <v>0</v>
      </c>
      <c r="AC609">
        <v>0</v>
      </c>
      <c r="AD609">
        <v>0</v>
      </c>
      <c r="AE609">
        <v>0</v>
      </c>
      <c r="AF609">
        <v>0</v>
      </c>
      <c r="AG609">
        <v>0</v>
      </c>
      <c r="AH609">
        <v>0</v>
      </c>
      <c r="AI609">
        <v>0</v>
      </c>
      <c r="AJ609">
        <v>0</v>
      </c>
      <c r="AK609">
        <v>0</v>
      </c>
      <c r="AL609">
        <v>0</v>
      </c>
      <c r="AM609">
        <v>0</v>
      </c>
      <c r="AN609">
        <v>0</v>
      </c>
    </row>
    <row r="610" spans="1:40">
      <c r="A610" s="30" t="s">
        <v>49</v>
      </c>
      <c r="B610" t="s">
        <v>453</v>
      </c>
      <c r="C610" t="s">
        <v>396</v>
      </c>
      <c r="D610" t="str">
        <f t="shared" si="55"/>
        <v>Able to pay - All buildings MEES - EPC CNo additional retrofits</v>
      </c>
      <c r="E610">
        <v>0</v>
      </c>
      <c r="F610">
        <v>0</v>
      </c>
      <c r="G610">
        <v>0</v>
      </c>
      <c r="H610">
        <v>0</v>
      </c>
      <c r="I610">
        <v>0</v>
      </c>
      <c r="J610">
        <v>0</v>
      </c>
      <c r="K610">
        <v>0</v>
      </c>
      <c r="L610">
        <v>0</v>
      </c>
      <c r="M610">
        <v>0</v>
      </c>
      <c r="N610">
        <v>0</v>
      </c>
      <c r="O610">
        <v>0</v>
      </c>
      <c r="P610">
        <v>0</v>
      </c>
      <c r="Q610">
        <v>0</v>
      </c>
      <c r="R610">
        <v>0</v>
      </c>
      <c r="S610">
        <v>0</v>
      </c>
      <c r="T610">
        <v>0</v>
      </c>
      <c r="U610">
        <v>0</v>
      </c>
      <c r="V610">
        <v>0</v>
      </c>
      <c r="W610">
        <v>0</v>
      </c>
      <c r="X610">
        <v>0</v>
      </c>
      <c r="Y610">
        <v>0</v>
      </c>
      <c r="Z610">
        <v>0</v>
      </c>
      <c r="AA610">
        <v>0</v>
      </c>
      <c r="AB610">
        <v>0</v>
      </c>
      <c r="AC610">
        <v>0</v>
      </c>
      <c r="AD610">
        <v>0</v>
      </c>
      <c r="AE610">
        <v>0</v>
      </c>
      <c r="AF610">
        <v>0</v>
      </c>
      <c r="AG610">
        <v>0</v>
      </c>
      <c r="AH610">
        <v>0</v>
      </c>
      <c r="AI610">
        <v>0</v>
      </c>
      <c r="AJ610">
        <v>0</v>
      </c>
      <c r="AK610">
        <v>0</v>
      </c>
      <c r="AL610">
        <v>0</v>
      </c>
      <c r="AM610">
        <v>0</v>
      </c>
      <c r="AN610">
        <v>0</v>
      </c>
    </row>
    <row r="611" spans="1:40">
      <c r="A611" s="30" t="s">
        <v>49</v>
      </c>
      <c r="B611" t="s">
        <v>453</v>
      </c>
      <c r="C611" t="s">
        <v>398</v>
      </c>
      <c r="D611" t="str">
        <f t="shared" si="55"/>
        <v>Existing - Domestic ALL - Mandate on lighting efficiencyNo additional retrofits</v>
      </c>
      <c r="E611">
        <v>0</v>
      </c>
      <c r="F611">
        <v>0</v>
      </c>
      <c r="G611">
        <v>0</v>
      </c>
      <c r="H611">
        <v>0</v>
      </c>
      <c r="I611">
        <v>0</v>
      </c>
      <c r="J611">
        <v>0</v>
      </c>
      <c r="K611">
        <v>0</v>
      </c>
      <c r="L611">
        <v>0</v>
      </c>
      <c r="M611">
        <v>0</v>
      </c>
      <c r="N611">
        <v>0</v>
      </c>
      <c r="O611">
        <v>0</v>
      </c>
      <c r="P611">
        <v>0</v>
      </c>
      <c r="Q611">
        <v>0</v>
      </c>
      <c r="R611">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row>
    <row r="612" spans="1:40">
      <c r="A612" s="30" t="s">
        <v>49</v>
      </c>
      <c r="B612" t="s">
        <v>453</v>
      </c>
      <c r="C612" t="s">
        <v>399</v>
      </c>
      <c r="D612" t="str">
        <f t="shared" si="55"/>
        <v>Existing - Domestic ALL - Mandate on appliance efficiencyNo additional retrofits</v>
      </c>
      <c r="E612">
        <v>0</v>
      </c>
      <c r="F612">
        <v>0</v>
      </c>
      <c r="G612">
        <v>0</v>
      </c>
      <c r="H612">
        <v>0</v>
      </c>
      <c r="I612">
        <v>0</v>
      </c>
      <c r="J612">
        <v>0</v>
      </c>
      <c r="K612">
        <v>0</v>
      </c>
      <c r="L612">
        <v>0</v>
      </c>
      <c r="M612">
        <v>0</v>
      </c>
      <c r="N612">
        <v>0</v>
      </c>
      <c r="O612">
        <v>0</v>
      </c>
      <c r="P612">
        <v>0</v>
      </c>
      <c r="Q612">
        <v>0</v>
      </c>
      <c r="R612">
        <v>0</v>
      </c>
      <c r="S612">
        <v>0</v>
      </c>
      <c r="T612">
        <v>0</v>
      </c>
      <c r="U612">
        <v>0</v>
      </c>
      <c r="V612">
        <v>0</v>
      </c>
      <c r="W612">
        <v>0</v>
      </c>
      <c r="X612">
        <v>0</v>
      </c>
      <c r="Y612">
        <v>0</v>
      </c>
      <c r="Z612">
        <v>0</v>
      </c>
      <c r="AA612">
        <v>0</v>
      </c>
      <c r="AB612">
        <v>0</v>
      </c>
      <c r="AC612">
        <v>0</v>
      </c>
      <c r="AD612">
        <v>0</v>
      </c>
      <c r="AE612">
        <v>0</v>
      </c>
      <c r="AF612">
        <v>0</v>
      </c>
      <c r="AG612">
        <v>0</v>
      </c>
      <c r="AH612">
        <v>0</v>
      </c>
      <c r="AI612">
        <v>0</v>
      </c>
      <c r="AJ612">
        <v>0</v>
      </c>
      <c r="AK612">
        <v>0</v>
      </c>
      <c r="AL612">
        <v>0</v>
      </c>
      <c r="AM612">
        <v>0</v>
      </c>
      <c r="AN612">
        <v>0</v>
      </c>
    </row>
    <row r="613" spans="1:40">
      <c r="A613" s="30" t="s">
        <v>49</v>
      </c>
      <c r="B613" t="s">
        <v>453</v>
      </c>
      <c r="C613" t="s">
        <v>400</v>
      </c>
      <c r="D613" t="str">
        <f t="shared" si="55"/>
        <v>New - Domestic ALL - Mandate on lighting efficiencyNo additional retrofits</v>
      </c>
      <c r="E613">
        <v>0</v>
      </c>
      <c r="F613">
        <v>71977.11975266278</v>
      </c>
      <c r="G613">
        <v>71977.11975266278</v>
      </c>
      <c r="H613">
        <v>71977.11975266278</v>
      </c>
      <c r="I613">
        <v>71977.11975266278</v>
      </c>
      <c r="J613">
        <v>71977.119752662577</v>
      </c>
      <c r="K613">
        <v>60915.858763309036</v>
      </c>
      <c r="L613">
        <v>60915.858763309036</v>
      </c>
      <c r="M613">
        <v>60915.858763309036</v>
      </c>
      <c r="N613">
        <v>60915.858763309036</v>
      </c>
      <c r="O613">
        <v>60915.858763309545</v>
      </c>
      <c r="P613">
        <v>49314.627010641634</v>
      </c>
      <c r="Q613">
        <v>49314.627010641634</v>
      </c>
      <c r="R613">
        <v>49314.627010641634</v>
      </c>
      <c r="S613">
        <v>49314.627010641634</v>
      </c>
      <c r="T613">
        <v>49314.62701064159</v>
      </c>
      <c r="U613">
        <v>22733.44457142887</v>
      </c>
      <c r="V613">
        <v>22733.444571428765</v>
      </c>
      <c r="W613">
        <v>22733.444571428765</v>
      </c>
      <c r="X613">
        <v>22733.444571428765</v>
      </c>
      <c r="Y613">
        <v>22733.444571428765</v>
      </c>
      <c r="Z613">
        <v>22733.444571428765</v>
      </c>
      <c r="AA613">
        <v>22733.444571428765</v>
      </c>
      <c r="AB613">
        <v>22733.444571428765</v>
      </c>
      <c r="AC613">
        <v>22733.444571428765</v>
      </c>
      <c r="AD613">
        <v>22733.444571430729</v>
      </c>
      <c r="AE613">
        <v>22733.444571429187</v>
      </c>
      <c r="AF613">
        <v>22733.444571429391</v>
      </c>
      <c r="AG613">
        <v>22733.444571429391</v>
      </c>
      <c r="AH613">
        <v>22733.444571429391</v>
      </c>
      <c r="AI613">
        <v>22733.444571429391</v>
      </c>
      <c r="AJ613">
        <v>22733.444571429391</v>
      </c>
      <c r="AK613">
        <v>22733.444571429391</v>
      </c>
      <c r="AL613">
        <v>22733.444571429391</v>
      </c>
      <c r="AM613">
        <v>22733.444571429391</v>
      </c>
      <c r="AN613">
        <v>22733.444571427295</v>
      </c>
    </row>
    <row r="614" spans="1:40">
      <c r="A614" s="30" t="s">
        <v>49</v>
      </c>
      <c r="B614" t="s">
        <v>453</v>
      </c>
      <c r="C614" t="s">
        <v>401</v>
      </c>
      <c r="D614" t="str">
        <f t="shared" si="55"/>
        <v>New - Domestic ALL - Mandate on appliance efficiencyNo additional retrofits</v>
      </c>
      <c r="E614">
        <v>0</v>
      </c>
      <c r="F614">
        <v>71977.11975266278</v>
      </c>
      <c r="G614">
        <v>71977.11975266278</v>
      </c>
      <c r="H614">
        <v>71977.11975266278</v>
      </c>
      <c r="I614">
        <v>71977.11975266278</v>
      </c>
      <c r="J614">
        <v>71977.119752662577</v>
      </c>
      <c r="K614">
        <v>60915.858763309036</v>
      </c>
      <c r="L614">
        <v>60915.858763309036</v>
      </c>
      <c r="M614">
        <v>60915.858763309036</v>
      </c>
      <c r="N614">
        <v>60915.858763309036</v>
      </c>
      <c r="O614">
        <v>60915.858763309545</v>
      </c>
      <c r="P614">
        <v>49314.627010641634</v>
      </c>
      <c r="Q614">
        <v>49314.627010641634</v>
      </c>
      <c r="R614">
        <v>49314.627010641634</v>
      </c>
      <c r="S614">
        <v>49314.627010641634</v>
      </c>
      <c r="T614">
        <v>49314.62701064159</v>
      </c>
      <c r="U614">
        <v>22733.44457142887</v>
      </c>
      <c r="V614">
        <v>22733.444571428765</v>
      </c>
      <c r="W614">
        <v>22733.444571428765</v>
      </c>
      <c r="X614">
        <v>22733.444571428765</v>
      </c>
      <c r="Y614">
        <v>22733.444571428765</v>
      </c>
      <c r="Z614">
        <v>22733.444571428765</v>
      </c>
      <c r="AA614">
        <v>22733.444571428765</v>
      </c>
      <c r="AB614">
        <v>22733.444571428765</v>
      </c>
      <c r="AC614">
        <v>22733.444571428765</v>
      </c>
      <c r="AD614">
        <v>22733.444571430729</v>
      </c>
      <c r="AE614">
        <v>22733.444571429187</v>
      </c>
      <c r="AF614">
        <v>22733.444571429391</v>
      </c>
      <c r="AG614">
        <v>22733.444571429391</v>
      </c>
      <c r="AH614">
        <v>22733.444571429391</v>
      </c>
      <c r="AI614">
        <v>22733.444571429391</v>
      </c>
      <c r="AJ614">
        <v>22733.444571429391</v>
      </c>
      <c r="AK614">
        <v>22733.444571429391</v>
      </c>
      <c r="AL614">
        <v>22733.444571429391</v>
      </c>
      <c r="AM614">
        <v>22733.444571429391</v>
      </c>
      <c r="AN614">
        <v>22733.444571427295</v>
      </c>
    </row>
    <row r="615" spans="1:40">
      <c r="A615" s="30" t="s">
        <v>49</v>
      </c>
      <c r="B615" t="s">
        <v>453</v>
      </c>
      <c r="C615" t="s">
        <v>402</v>
      </c>
      <c r="D615" t="str">
        <f t="shared" si="55"/>
        <v>New - Domestic ALL - Stronger planning requirement for smart controls  No additional retrofits</v>
      </c>
      <c r="E615">
        <v>0</v>
      </c>
      <c r="F615">
        <v>0</v>
      </c>
      <c r="G615">
        <v>0</v>
      </c>
      <c r="H615">
        <v>0</v>
      </c>
      <c r="I615">
        <v>0</v>
      </c>
      <c r="J615">
        <v>0</v>
      </c>
      <c r="K615">
        <v>0</v>
      </c>
      <c r="L615">
        <v>0</v>
      </c>
      <c r="M615">
        <v>0</v>
      </c>
      <c r="N615">
        <v>0</v>
      </c>
      <c r="O615">
        <v>0</v>
      </c>
      <c r="P615">
        <v>0</v>
      </c>
      <c r="Q615">
        <v>0</v>
      </c>
      <c r="R615">
        <v>0</v>
      </c>
      <c r="S615">
        <v>0</v>
      </c>
      <c r="T615">
        <v>0</v>
      </c>
      <c r="U615">
        <v>0</v>
      </c>
      <c r="V615">
        <v>0</v>
      </c>
      <c r="W615">
        <v>0</v>
      </c>
      <c r="X615">
        <v>0</v>
      </c>
      <c r="Y615">
        <v>0</v>
      </c>
      <c r="Z615">
        <v>0</v>
      </c>
      <c r="AA615">
        <v>0</v>
      </c>
      <c r="AB615">
        <v>0</v>
      </c>
      <c r="AC615">
        <v>0</v>
      </c>
      <c r="AD615">
        <v>0</v>
      </c>
      <c r="AE615">
        <v>0</v>
      </c>
      <c r="AF615">
        <v>0</v>
      </c>
      <c r="AG615">
        <v>0</v>
      </c>
      <c r="AH615">
        <v>0</v>
      </c>
      <c r="AI615">
        <v>0</v>
      </c>
      <c r="AJ615">
        <v>0</v>
      </c>
      <c r="AK615">
        <v>0</v>
      </c>
      <c r="AL615">
        <v>0</v>
      </c>
      <c r="AM615">
        <v>0</v>
      </c>
      <c r="AN615">
        <v>0</v>
      </c>
    </row>
    <row r="616" spans="1:40">
      <c r="A616" s="30" t="s">
        <v>49</v>
      </c>
      <c r="B616" t="s">
        <v>453</v>
      </c>
      <c r="C616" t="s">
        <v>406</v>
      </c>
      <c r="D616" t="str">
        <f t="shared" si="55"/>
        <v>SME - Energy efficiency programmeNo additional retrofits</v>
      </c>
      <c r="E616">
        <v>0</v>
      </c>
      <c r="F616">
        <v>0</v>
      </c>
      <c r="G616">
        <v>0</v>
      </c>
      <c r="H616">
        <v>0</v>
      </c>
      <c r="I616">
        <v>0</v>
      </c>
      <c r="J616">
        <v>0</v>
      </c>
      <c r="K616">
        <v>0</v>
      </c>
      <c r="L616">
        <v>0</v>
      </c>
      <c r="M616">
        <v>0</v>
      </c>
      <c r="N616">
        <v>0</v>
      </c>
      <c r="O616">
        <v>0</v>
      </c>
      <c r="P616">
        <v>0</v>
      </c>
      <c r="Q616">
        <v>0</v>
      </c>
      <c r="R616">
        <v>0</v>
      </c>
      <c r="S616">
        <v>0</v>
      </c>
      <c r="T616">
        <v>0</v>
      </c>
      <c r="U616">
        <v>0</v>
      </c>
      <c r="V616">
        <v>0</v>
      </c>
      <c r="W616">
        <v>0</v>
      </c>
      <c r="X616">
        <v>0</v>
      </c>
      <c r="Y616">
        <v>0</v>
      </c>
      <c r="Z616">
        <v>0</v>
      </c>
      <c r="AA616">
        <v>0</v>
      </c>
      <c r="AB616">
        <v>0</v>
      </c>
      <c r="AC616">
        <v>0</v>
      </c>
      <c r="AD616">
        <v>0</v>
      </c>
      <c r="AE616">
        <v>0</v>
      </c>
      <c r="AF616">
        <v>0</v>
      </c>
      <c r="AG616">
        <v>0</v>
      </c>
      <c r="AH616">
        <v>0</v>
      </c>
      <c r="AI616">
        <v>0</v>
      </c>
      <c r="AJ616">
        <v>0</v>
      </c>
      <c r="AK616">
        <v>0</v>
      </c>
      <c r="AL616">
        <v>0</v>
      </c>
      <c r="AM616">
        <v>0</v>
      </c>
      <c r="AN616">
        <v>0</v>
      </c>
    </row>
    <row r="617" spans="1:40">
      <c r="A617" s="30" t="s">
        <v>49</v>
      </c>
      <c r="B617" t="s">
        <v>453</v>
      </c>
      <c r="C617" t="s">
        <v>407</v>
      </c>
      <c r="D617" t="str">
        <f t="shared" si="55"/>
        <v>SME - Landlord MEES – EPC CNo additional retrofits</v>
      </c>
      <c r="E617">
        <v>0</v>
      </c>
      <c r="F617">
        <v>0</v>
      </c>
      <c r="G617">
        <v>0</v>
      </c>
      <c r="H617">
        <v>0</v>
      </c>
      <c r="I617">
        <v>0</v>
      </c>
      <c r="J617">
        <v>0</v>
      </c>
      <c r="K617">
        <v>0</v>
      </c>
      <c r="L617">
        <v>0</v>
      </c>
      <c r="M617">
        <v>0</v>
      </c>
      <c r="N617">
        <v>0</v>
      </c>
      <c r="O617">
        <v>0</v>
      </c>
      <c r="P617">
        <v>0</v>
      </c>
      <c r="Q617">
        <v>0</v>
      </c>
      <c r="R617">
        <v>0</v>
      </c>
      <c r="S617">
        <v>0</v>
      </c>
      <c r="T617">
        <v>0</v>
      </c>
      <c r="U617">
        <v>0</v>
      </c>
      <c r="V617">
        <v>0</v>
      </c>
      <c r="W617">
        <v>0</v>
      </c>
      <c r="X617">
        <v>0</v>
      </c>
      <c r="Y617">
        <v>0</v>
      </c>
      <c r="Z617">
        <v>0</v>
      </c>
      <c r="AA617">
        <v>0</v>
      </c>
      <c r="AB617">
        <v>0</v>
      </c>
      <c r="AC617">
        <v>0</v>
      </c>
      <c r="AD617">
        <v>0</v>
      </c>
      <c r="AE617">
        <v>0</v>
      </c>
      <c r="AF617">
        <v>0</v>
      </c>
      <c r="AG617">
        <v>0</v>
      </c>
      <c r="AH617">
        <v>0</v>
      </c>
      <c r="AI617">
        <v>0</v>
      </c>
      <c r="AJ617">
        <v>0</v>
      </c>
      <c r="AK617">
        <v>0</v>
      </c>
      <c r="AL617">
        <v>0</v>
      </c>
      <c r="AM617">
        <v>0</v>
      </c>
      <c r="AN617">
        <v>0</v>
      </c>
    </row>
    <row r="618" spans="1:40">
      <c r="A618" s="30" t="s">
        <v>49</v>
      </c>
      <c r="B618" t="s">
        <v>453</v>
      </c>
      <c r="C618" t="s">
        <v>408</v>
      </c>
      <c r="D618" t="str">
        <f t="shared" si="55"/>
        <v>SME - Energy performance tax grading – business ratesNo additional retrofits</v>
      </c>
      <c r="E618">
        <v>0</v>
      </c>
      <c r="F618">
        <v>0</v>
      </c>
      <c r="G618">
        <v>0</v>
      </c>
      <c r="H618">
        <v>0</v>
      </c>
      <c r="I618">
        <v>0</v>
      </c>
      <c r="J618">
        <v>0</v>
      </c>
      <c r="K618">
        <v>0</v>
      </c>
      <c r="L618">
        <v>0</v>
      </c>
      <c r="M618">
        <v>0</v>
      </c>
      <c r="N618">
        <v>0</v>
      </c>
      <c r="O618">
        <v>0</v>
      </c>
      <c r="P618">
        <v>0</v>
      </c>
      <c r="Q618">
        <v>0</v>
      </c>
      <c r="R618">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row>
    <row r="619" spans="1:40">
      <c r="A619" s="30" t="s">
        <v>49</v>
      </c>
      <c r="B619" t="s">
        <v>453</v>
      </c>
      <c r="C619" t="s">
        <v>409</v>
      </c>
      <c r="D619" t="str">
        <f t="shared" si="55"/>
        <v>SME - All buildings MEES – EPC CNo additional retrofits</v>
      </c>
      <c r="E619">
        <v>0</v>
      </c>
      <c r="F619">
        <v>0</v>
      </c>
      <c r="G619">
        <v>0</v>
      </c>
      <c r="H619">
        <v>0</v>
      </c>
      <c r="I619">
        <v>0</v>
      </c>
      <c r="J619">
        <v>0</v>
      </c>
      <c r="K619">
        <v>0</v>
      </c>
      <c r="L619">
        <v>0</v>
      </c>
      <c r="M619">
        <v>0</v>
      </c>
      <c r="N619">
        <v>0</v>
      </c>
      <c r="O619">
        <v>0</v>
      </c>
      <c r="P619">
        <v>0</v>
      </c>
      <c r="Q619">
        <v>0</v>
      </c>
      <c r="R619">
        <v>0</v>
      </c>
      <c r="S619">
        <v>0</v>
      </c>
      <c r="T619">
        <v>0</v>
      </c>
      <c r="U619">
        <v>0</v>
      </c>
      <c r="V619">
        <v>0</v>
      </c>
      <c r="W619">
        <v>0</v>
      </c>
      <c r="X619">
        <v>0</v>
      </c>
      <c r="Y619">
        <v>0</v>
      </c>
      <c r="Z619">
        <v>0</v>
      </c>
      <c r="AA619">
        <v>0</v>
      </c>
      <c r="AB619">
        <v>0</v>
      </c>
      <c r="AC619">
        <v>0</v>
      </c>
      <c r="AD619">
        <v>0</v>
      </c>
      <c r="AE619">
        <v>0</v>
      </c>
      <c r="AF619">
        <v>0</v>
      </c>
      <c r="AG619">
        <v>0</v>
      </c>
      <c r="AH619">
        <v>0</v>
      </c>
      <c r="AI619">
        <v>0</v>
      </c>
      <c r="AJ619">
        <v>0</v>
      </c>
      <c r="AK619">
        <v>0</v>
      </c>
      <c r="AL619">
        <v>0</v>
      </c>
      <c r="AM619">
        <v>0</v>
      </c>
      <c r="AN619">
        <v>0</v>
      </c>
    </row>
    <row r="620" spans="1:40">
      <c r="A620" s="30" t="s">
        <v>49</v>
      </c>
      <c r="B620" t="s">
        <v>453</v>
      </c>
      <c r="C620" t="s">
        <v>410</v>
      </c>
      <c r="D620" t="str">
        <f t="shared" si="55"/>
        <v>Large Enterprise - Landlord MEES – EPC CNo additional retrofits</v>
      </c>
      <c r="E620">
        <v>0</v>
      </c>
      <c r="F620">
        <v>0</v>
      </c>
      <c r="G620">
        <v>0</v>
      </c>
      <c r="H620">
        <v>0</v>
      </c>
      <c r="I620">
        <v>0</v>
      </c>
      <c r="J620">
        <v>0</v>
      </c>
      <c r="K620">
        <v>0</v>
      </c>
      <c r="L620">
        <v>0</v>
      </c>
      <c r="M620">
        <v>0</v>
      </c>
      <c r="N620">
        <v>0</v>
      </c>
      <c r="O620">
        <v>0</v>
      </c>
      <c r="P620">
        <v>0</v>
      </c>
      <c r="Q620">
        <v>0</v>
      </c>
      <c r="R620">
        <v>0</v>
      </c>
      <c r="S620">
        <v>0</v>
      </c>
      <c r="T620">
        <v>0</v>
      </c>
      <c r="U620">
        <v>0</v>
      </c>
      <c r="V620">
        <v>0</v>
      </c>
      <c r="W620">
        <v>0</v>
      </c>
      <c r="X620">
        <v>0</v>
      </c>
      <c r="Y620">
        <v>0</v>
      </c>
      <c r="Z620">
        <v>0</v>
      </c>
      <c r="AA620">
        <v>0</v>
      </c>
      <c r="AB620">
        <v>0</v>
      </c>
      <c r="AC620">
        <v>0</v>
      </c>
      <c r="AD620">
        <v>0</v>
      </c>
      <c r="AE620">
        <v>0</v>
      </c>
      <c r="AF620">
        <v>0</v>
      </c>
      <c r="AG620">
        <v>0</v>
      </c>
      <c r="AH620">
        <v>0</v>
      </c>
      <c r="AI620">
        <v>0</v>
      </c>
      <c r="AJ620">
        <v>0</v>
      </c>
      <c r="AK620">
        <v>0</v>
      </c>
      <c r="AL620">
        <v>0</v>
      </c>
      <c r="AM620">
        <v>0</v>
      </c>
      <c r="AN620">
        <v>0</v>
      </c>
    </row>
    <row r="621" spans="1:40">
      <c r="A621" s="30" t="s">
        <v>49</v>
      </c>
      <c r="B621" t="s">
        <v>453</v>
      </c>
      <c r="C621" t="s">
        <v>411</v>
      </c>
      <c r="D621" t="str">
        <f t="shared" si="55"/>
        <v>Large Enterprise - Energy performance tax grading – business ratesNo additional retrofits</v>
      </c>
      <c r="E621">
        <v>0</v>
      </c>
      <c r="F621">
        <v>0</v>
      </c>
      <c r="G621">
        <v>0</v>
      </c>
      <c r="H621">
        <v>0</v>
      </c>
      <c r="I621">
        <v>0</v>
      </c>
      <c r="J621">
        <v>0</v>
      </c>
      <c r="K621">
        <v>0</v>
      </c>
      <c r="L621">
        <v>0</v>
      </c>
      <c r="M621">
        <v>0</v>
      </c>
      <c r="N621">
        <v>0</v>
      </c>
      <c r="O621">
        <v>0</v>
      </c>
      <c r="P621">
        <v>0</v>
      </c>
      <c r="Q621">
        <v>0</v>
      </c>
      <c r="R621">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v>0</v>
      </c>
      <c r="AN621">
        <v>0</v>
      </c>
    </row>
    <row r="622" spans="1:40">
      <c r="A622" s="30" t="s">
        <v>49</v>
      </c>
      <c r="B622" t="s">
        <v>453</v>
      </c>
      <c r="C622" t="s">
        <v>412</v>
      </c>
      <c r="D622" t="str">
        <f t="shared" si="55"/>
        <v>Large Enterprise - All buildings MEES – EPC CNo additional retrofits</v>
      </c>
      <c r="E622">
        <v>0</v>
      </c>
      <c r="F622">
        <v>0</v>
      </c>
      <c r="G622">
        <v>0</v>
      </c>
      <c r="H622">
        <v>0</v>
      </c>
      <c r="I622">
        <v>0</v>
      </c>
      <c r="J622">
        <v>0</v>
      </c>
      <c r="K622">
        <v>0</v>
      </c>
      <c r="L622">
        <v>0</v>
      </c>
      <c r="M622">
        <v>0</v>
      </c>
      <c r="N622">
        <v>0</v>
      </c>
      <c r="O622">
        <v>0</v>
      </c>
      <c r="P622">
        <v>0</v>
      </c>
      <c r="Q622">
        <v>0</v>
      </c>
      <c r="R622">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v>0</v>
      </c>
      <c r="AN622">
        <v>0</v>
      </c>
    </row>
    <row r="623" spans="1:40">
      <c r="A623" s="30" t="s">
        <v>49</v>
      </c>
      <c r="B623" t="s">
        <v>453</v>
      </c>
      <c r="C623" t="s">
        <v>413</v>
      </c>
      <c r="D623" t="str">
        <f t="shared" si="55"/>
        <v>Public - Extended RE:FITNo additional retrofits</v>
      </c>
      <c r="E623">
        <v>0</v>
      </c>
      <c r="F623">
        <v>0</v>
      </c>
      <c r="G623">
        <v>0</v>
      </c>
      <c r="H623">
        <v>0</v>
      </c>
      <c r="I623">
        <v>0</v>
      </c>
      <c r="J623">
        <v>0</v>
      </c>
      <c r="K623">
        <v>0</v>
      </c>
      <c r="L623">
        <v>0</v>
      </c>
      <c r="M623">
        <v>0</v>
      </c>
      <c r="N623">
        <v>0</v>
      </c>
      <c r="O623">
        <v>0</v>
      </c>
      <c r="P623">
        <v>0</v>
      </c>
      <c r="Q623">
        <v>0</v>
      </c>
      <c r="R623">
        <v>0</v>
      </c>
      <c r="S623">
        <v>0</v>
      </c>
      <c r="T623">
        <v>0</v>
      </c>
      <c r="U623">
        <v>0</v>
      </c>
      <c r="V623">
        <v>0</v>
      </c>
      <c r="W623">
        <v>0</v>
      </c>
      <c r="X623">
        <v>0</v>
      </c>
      <c r="Y623">
        <v>0</v>
      </c>
      <c r="Z623">
        <v>0</v>
      </c>
      <c r="AA623">
        <v>0</v>
      </c>
      <c r="AB623">
        <v>0</v>
      </c>
      <c r="AC623">
        <v>0</v>
      </c>
      <c r="AD623">
        <v>0</v>
      </c>
      <c r="AE623">
        <v>0</v>
      </c>
      <c r="AF623">
        <v>0</v>
      </c>
      <c r="AG623">
        <v>0</v>
      </c>
      <c r="AH623">
        <v>0</v>
      </c>
      <c r="AI623">
        <v>0</v>
      </c>
      <c r="AJ623">
        <v>0</v>
      </c>
      <c r="AK623">
        <v>0</v>
      </c>
      <c r="AL623">
        <v>0</v>
      </c>
      <c r="AM623">
        <v>0</v>
      </c>
      <c r="AN623">
        <v>0</v>
      </c>
    </row>
    <row r="624" spans="1:40">
      <c r="A624" s="30" t="s">
        <v>49</v>
      </c>
      <c r="B624" t="s">
        <v>453</v>
      </c>
      <c r="C624" t="s">
        <v>414</v>
      </c>
      <c r="D624" t="str">
        <f t="shared" si="55"/>
        <v>Public - All buildings MEES – EPC CNo additional retrofits</v>
      </c>
      <c r="E624">
        <v>0</v>
      </c>
      <c r="F624">
        <v>0</v>
      </c>
      <c r="G624">
        <v>0</v>
      </c>
      <c r="H624">
        <v>0</v>
      </c>
      <c r="I624">
        <v>0</v>
      </c>
      <c r="J624">
        <v>0</v>
      </c>
      <c r="K624">
        <v>0</v>
      </c>
      <c r="L624">
        <v>0</v>
      </c>
      <c r="M624">
        <v>0</v>
      </c>
      <c r="N624">
        <v>0</v>
      </c>
      <c r="O624">
        <v>0</v>
      </c>
      <c r="P624">
        <v>0</v>
      </c>
      <c r="Q624">
        <v>0</v>
      </c>
      <c r="R624">
        <v>0</v>
      </c>
      <c r="S624">
        <v>0</v>
      </c>
      <c r="T624">
        <v>0</v>
      </c>
      <c r="U624">
        <v>0</v>
      </c>
      <c r="V624">
        <v>0</v>
      </c>
      <c r="W624">
        <v>0</v>
      </c>
      <c r="X624">
        <v>0</v>
      </c>
      <c r="Y624">
        <v>0</v>
      </c>
      <c r="Z624">
        <v>0</v>
      </c>
      <c r="AA624">
        <v>0</v>
      </c>
      <c r="AB624">
        <v>0</v>
      </c>
      <c r="AC624">
        <v>0</v>
      </c>
      <c r="AD624">
        <v>0</v>
      </c>
      <c r="AE624">
        <v>0</v>
      </c>
      <c r="AF624">
        <v>0</v>
      </c>
      <c r="AG624">
        <v>0</v>
      </c>
      <c r="AH624">
        <v>0</v>
      </c>
      <c r="AI624">
        <v>0</v>
      </c>
      <c r="AJ624">
        <v>0</v>
      </c>
      <c r="AK624">
        <v>0</v>
      </c>
      <c r="AL624">
        <v>0</v>
      </c>
      <c r="AM624">
        <v>0</v>
      </c>
      <c r="AN624">
        <v>0</v>
      </c>
    </row>
    <row r="625" spans="1:40">
      <c r="A625" s="30" t="s">
        <v>49</v>
      </c>
      <c r="B625" t="s">
        <v>453</v>
      </c>
      <c r="C625" t="s">
        <v>454</v>
      </c>
      <c r="D625" t="str">
        <f t="shared" si="55"/>
        <v>Existing - Non-domestic ALL - Mandate on lighting efficiencyNo additional retrofits</v>
      </c>
      <c r="E625">
        <v>0</v>
      </c>
      <c r="F625">
        <v>0</v>
      </c>
      <c r="G625">
        <v>0</v>
      </c>
      <c r="H625">
        <v>0</v>
      </c>
      <c r="I625">
        <v>0</v>
      </c>
      <c r="J625">
        <v>0</v>
      </c>
      <c r="K625">
        <v>0</v>
      </c>
      <c r="L625">
        <v>0</v>
      </c>
      <c r="M625">
        <v>0</v>
      </c>
      <c r="N625">
        <v>0</v>
      </c>
      <c r="O625">
        <v>0</v>
      </c>
      <c r="P625">
        <v>0</v>
      </c>
      <c r="Q625">
        <v>0</v>
      </c>
      <c r="R6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0</v>
      </c>
      <c r="AL625">
        <v>0</v>
      </c>
      <c r="AM625">
        <v>0</v>
      </c>
      <c r="AN625">
        <v>0</v>
      </c>
    </row>
    <row r="626" spans="1:40">
      <c r="A626" s="30" t="s">
        <v>49</v>
      </c>
      <c r="B626" t="s">
        <v>453</v>
      </c>
      <c r="C626" t="s">
        <v>455</v>
      </c>
      <c r="D626" t="str">
        <f t="shared" si="55"/>
        <v>Existing -Non-domestic ALL - Mandate on appliance efficiencyNo additional retrofits</v>
      </c>
      <c r="E626">
        <v>0</v>
      </c>
      <c r="F626">
        <v>0</v>
      </c>
      <c r="G626">
        <v>0</v>
      </c>
      <c r="H626">
        <v>0</v>
      </c>
      <c r="I626">
        <v>0</v>
      </c>
      <c r="J626">
        <v>0</v>
      </c>
      <c r="K626">
        <v>0</v>
      </c>
      <c r="L626">
        <v>0</v>
      </c>
      <c r="M626">
        <v>0</v>
      </c>
      <c r="N626">
        <v>0</v>
      </c>
      <c r="O626">
        <v>0</v>
      </c>
      <c r="P626">
        <v>0</v>
      </c>
      <c r="Q626">
        <v>0</v>
      </c>
      <c r="R626">
        <v>0</v>
      </c>
      <c r="S626">
        <v>0</v>
      </c>
      <c r="T626">
        <v>0</v>
      </c>
      <c r="U626">
        <v>0</v>
      </c>
      <c r="V626">
        <v>0</v>
      </c>
      <c r="W626">
        <v>0</v>
      </c>
      <c r="X626">
        <v>0</v>
      </c>
      <c r="Y626">
        <v>0</v>
      </c>
      <c r="Z626">
        <v>0</v>
      </c>
      <c r="AA626">
        <v>0</v>
      </c>
      <c r="AB626">
        <v>0</v>
      </c>
      <c r="AC626">
        <v>0</v>
      </c>
      <c r="AD626">
        <v>0</v>
      </c>
      <c r="AE626">
        <v>0</v>
      </c>
      <c r="AF626">
        <v>0</v>
      </c>
      <c r="AG626">
        <v>0</v>
      </c>
      <c r="AH626">
        <v>0</v>
      </c>
      <c r="AI626">
        <v>0</v>
      </c>
      <c r="AJ626">
        <v>0</v>
      </c>
      <c r="AK626">
        <v>0</v>
      </c>
      <c r="AL626">
        <v>0</v>
      </c>
      <c r="AM626">
        <v>0</v>
      </c>
      <c r="AN626">
        <v>0</v>
      </c>
    </row>
    <row r="627" spans="1:40">
      <c r="A627" s="30" t="s">
        <v>49</v>
      </c>
      <c r="B627" t="s">
        <v>453</v>
      </c>
      <c r="C627" t="s">
        <v>456</v>
      </c>
      <c r="D627" t="str">
        <f t="shared" si="55"/>
        <v>New - Non-domestic ALL - Mandate on lighting efficiencyNo additional retrofits</v>
      </c>
      <c r="E627">
        <v>0</v>
      </c>
      <c r="F627">
        <v>3472.6107683765158</v>
      </c>
      <c r="G627">
        <v>3472.6107683765158</v>
      </c>
      <c r="H627">
        <v>3472.6107683765154</v>
      </c>
      <c r="I627">
        <v>3472.6107683765158</v>
      </c>
      <c r="J627">
        <v>3472.6107683765158</v>
      </c>
      <c r="K627">
        <v>3472.6107683765158</v>
      </c>
      <c r="L627">
        <v>3472.6107683765163</v>
      </c>
      <c r="M627">
        <v>3472.6107683765154</v>
      </c>
      <c r="N627">
        <v>3472.6107683765154</v>
      </c>
      <c r="O627">
        <v>3472.6107683765154</v>
      </c>
      <c r="P627">
        <v>2549.5037398863597</v>
      </c>
      <c r="Q627">
        <v>2549.5037398863597</v>
      </c>
      <c r="R627">
        <v>2549.5037398863587</v>
      </c>
      <c r="S627">
        <v>2549.5037398863597</v>
      </c>
      <c r="T627">
        <v>2549.5037398863597</v>
      </c>
      <c r="U627">
        <v>2549.5037398863597</v>
      </c>
      <c r="V627">
        <v>2549.5037398863601</v>
      </c>
      <c r="W627">
        <v>2549.5037398863601</v>
      </c>
      <c r="X627">
        <v>2549.5037398863601</v>
      </c>
      <c r="Y627">
        <v>2549.5037398863601</v>
      </c>
      <c r="Z627">
        <v>2549.5037398863601</v>
      </c>
      <c r="AA627">
        <v>2549.5037398863601</v>
      </c>
      <c r="AB627">
        <v>2549.5037398863601</v>
      </c>
      <c r="AC627">
        <v>2549.5037398863587</v>
      </c>
      <c r="AD627">
        <v>2549.5037398863587</v>
      </c>
      <c r="AE627">
        <v>2549.5037398863587</v>
      </c>
      <c r="AF627">
        <v>2549.5037398863619</v>
      </c>
      <c r="AG627">
        <v>2549.5037398863606</v>
      </c>
      <c r="AH627">
        <v>2549.5037398863606</v>
      </c>
      <c r="AI627">
        <v>2549.5037398863606</v>
      </c>
      <c r="AJ627">
        <v>2549.5037398863606</v>
      </c>
      <c r="AK627">
        <v>2549.5037398863606</v>
      </c>
      <c r="AL627">
        <v>2549.5037398863606</v>
      </c>
      <c r="AM627">
        <v>2549.5037398863606</v>
      </c>
      <c r="AN627">
        <v>2549.5037398863496</v>
      </c>
    </row>
    <row r="628" spans="1:40">
      <c r="A628" s="30" t="s">
        <v>49</v>
      </c>
      <c r="B628" t="s">
        <v>453</v>
      </c>
      <c r="C628" t="s">
        <v>457</v>
      </c>
      <c r="D628" t="str">
        <f t="shared" si="55"/>
        <v>New -Non-domestic ALL - Mandate on appliance efficiencyNo additional retrofits</v>
      </c>
      <c r="E628">
        <v>0</v>
      </c>
      <c r="F628">
        <v>3472.6107683765158</v>
      </c>
      <c r="G628">
        <v>3472.6107683765158</v>
      </c>
      <c r="H628">
        <v>3472.6107683765154</v>
      </c>
      <c r="I628">
        <v>3472.6107683765158</v>
      </c>
      <c r="J628">
        <v>3472.6107683765158</v>
      </c>
      <c r="K628">
        <v>3472.6107683765158</v>
      </c>
      <c r="L628">
        <v>3472.6107683765163</v>
      </c>
      <c r="M628">
        <v>3472.6107683765154</v>
      </c>
      <c r="N628">
        <v>3472.6107683765154</v>
      </c>
      <c r="O628">
        <v>3472.6107683765154</v>
      </c>
      <c r="P628">
        <v>2549.5037398863597</v>
      </c>
      <c r="Q628">
        <v>2549.5037398863597</v>
      </c>
      <c r="R628">
        <v>2549.5037398863587</v>
      </c>
      <c r="S628">
        <v>2549.5037398863597</v>
      </c>
      <c r="T628">
        <v>2549.5037398863597</v>
      </c>
      <c r="U628">
        <v>2549.5037398863597</v>
      </c>
      <c r="V628">
        <v>2549.5037398863601</v>
      </c>
      <c r="W628">
        <v>2549.5037398863601</v>
      </c>
      <c r="X628">
        <v>2549.5037398863601</v>
      </c>
      <c r="Y628">
        <v>2549.5037398863601</v>
      </c>
      <c r="Z628">
        <v>2549.5037398863601</v>
      </c>
      <c r="AA628">
        <v>2549.5037398863601</v>
      </c>
      <c r="AB628">
        <v>2549.5037398863601</v>
      </c>
      <c r="AC628">
        <v>2549.5037398863587</v>
      </c>
      <c r="AD628">
        <v>2549.5037398863587</v>
      </c>
      <c r="AE628">
        <v>2549.5037398863587</v>
      </c>
      <c r="AF628">
        <v>2549.5037398863619</v>
      </c>
      <c r="AG628">
        <v>2549.5037398863606</v>
      </c>
      <c r="AH628">
        <v>2549.5037398863606</v>
      </c>
      <c r="AI628">
        <v>2549.5037398863606</v>
      </c>
      <c r="AJ628">
        <v>2549.5037398863606</v>
      </c>
      <c r="AK628">
        <v>2549.5037398863606</v>
      </c>
      <c r="AL628">
        <v>2549.5037398863606</v>
      </c>
      <c r="AM628">
        <v>2549.5037398863606</v>
      </c>
      <c r="AN628">
        <v>2549.5037398863496</v>
      </c>
    </row>
    <row r="629" spans="1:40">
      <c r="A629" s="30" t="s">
        <v>49</v>
      </c>
      <c r="B629" t="s">
        <v>453</v>
      </c>
      <c r="C629" t="s">
        <v>458</v>
      </c>
      <c r="D629" t="str">
        <f t="shared" si="55"/>
        <v>New -Non-domestic ALL - Stronger planning requirement for smart controlsNo additional retrofits</v>
      </c>
      <c r="E629">
        <v>0</v>
      </c>
      <c r="F629">
        <v>0</v>
      </c>
      <c r="G629">
        <v>0</v>
      </c>
      <c r="H629">
        <v>0</v>
      </c>
      <c r="I629">
        <v>0</v>
      </c>
      <c r="J629">
        <v>0</v>
      </c>
      <c r="K629">
        <v>0</v>
      </c>
      <c r="L629">
        <v>0</v>
      </c>
      <c r="M629">
        <v>0</v>
      </c>
      <c r="N629">
        <v>0</v>
      </c>
      <c r="O629">
        <v>0</v>
      </c>
      <c r="P629">
        <v>0</v>
      </c>
      <c r="Q629">
        <v>0</v>
      </c>
      <c r="R629">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row>
    <row r="630" spans="1:40">
      <c r="A630" s="30" t="s">
        <v>49</v>
      </c>
      <c r="B630" t="s">
        <v>459</v>
      </c>
      <c r="C630" t="s">
        <v>460</v>
      </c>
      <c r="D630" t="str">
        <f t="shared" si="55"/>
        <v>Extended Mayoral ProgramsDomestic CAPEXNo additional retrofits</v>
      </c>
      <c r="E630">
        <v>0</v>
      </c>
      <c r="F630">
        <v>0</v>
      </c>
      <c r="G630">
        <v>0</v>
      </c>
      <c r="H630">
        <v>0</v>
      </c>
      <c r="I630">
        <v>0</v>
      </c>
      <c r="J630">
        <v>0</v>
      </c>
      <c r="K630">
        <v>0</v>
      </c>
      <c r="L630">
        <v>0</v>
      </c>
      <c r="M630">
        <v>0</v>
      </c>
      <c r="N630">
        <v>0</v>
      </c>
      <c r="O630">
        <v>0</v>
      </c>
      <c r="P630">
        <v>0</v>
      </c>
      <c r="Q630">
        <v>0</v>
      </c>
      <c r="R630">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row>
    <row r="631" spans="1:40">
      <c r="A631" s="30" t="s">
        <v>49</v>
      </c>
      <c r="B631" t="s">
        <v>459</v>
      </c>
      <c r="C631" t="s">
        <v>461</v>
      </c>
      <c r="D631" t="str">
        <f t="shared" si="55"/>
        <v>MEESDomestic CAPEXNo additional retrofits</v>
      </c>
      <c r="E631">
        <v>0</v>
      </c>
      <c r="F631">
        <v>0</v>
      </c>
      <c r="G631">
        <v>0</v>
      </c>
      <c r="H631">
        <v>0</v>
      </c>
      <c r="I631">
        <v>0</v>
      </c>
      <c r="J631">
        <v>0</v>
      </c>
      <c r="K631">
        <v>0</v>
      </c>
      <c r="L631">
        <v>0</v>
      </c>
      <c r="M631">
        <v>0</v>
      </c>
      <c r="N631">
        <v>0</v>
      </c>
      <c r="O631">
        <v>0</v>
      </c>
      <c r="P631">
        <v>0</v>
      </c>
      <c r="Q631">
        <v>0</v>
      </c>
      <c r="R631">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row>
    <row r="632" spans="1:40">
      <c r="A632" s="30" t="s">
        <v>49</v>
      </c>
      <c r="B632" t="s">
        <v>459</v>
      </c>
      <c r="C632" t="s">
        <v>462</v>
      </c>
      <c r="D632" t="str">
        <f t="shared" si="55"/>
        <v>Tax mechanismsDomestic CAPEXNo additional retrofits</v>
      </c>
      <c r="E632">
        <v>0</v>
      </c>
      <c r="F632">
        <v>0</v>
      </c>
      <c r="G632">
        <v>0</v>
      </c>
      <c r="H632">
        <v>0</v>
      </c>
      <c r="I632">
        <v>0</v>
      </c>
      <c r="J632">
        <v>0</v>
      </c>
      <c r="K632">
        <v>0</v>
      </c>
      <c r="L632">
        <v>0</v>
      </c>
      <c r="M632">
        <v>0</v>
      </c>
      <c r="N632">
        <v>0</v>
      </c>
      <c r="O632">
        <v>0</v>
      </c>
      <c r="P632">
        <v>0</v>
      </c>
      <c r="Q632">
        <v>0</v>
      </c>
      <c r="R632">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row>
    <row r="633" spans="1:40">
      <c r="A633" s="30" t="s">
        <v>49</v>
      </c>
      <c r="B633" t="s">
        <v>459</v>
      </c>
      <c r="C633" t="s">
        <v>463</v>
      </c>
      <c r="D633" t="str">
        <f t="shared" si="55"/>
        <v>Planning requirementsDomestic CAPEXNo additional retrofits</v>
      </c>
      <c r="E633">
        <v>0</v>
      </c>
      <c r="F633">
        <v>0</v>
      </c>
      <c r="G633">
        <v>0</v>
      </c>
      <c r="H633">
        <v>0</v>
      </c>
      <c r="I633">
        <v>0</v>
      </c>
      <c r="J633">
        <v>0</v>
      </c>
      <c r="K633">
        <v>0</v>
      </c>
      <c r="L633">
        <v>0</v>
      </c>
      <c r="M633">
        <v>0</v>
      </c>
      <c r="N633">
        <v>0</v>
      </c>
      <c r="O633">
        <v>0</v>
      </c>
      <c r="P633">
        <v>0</v>
      </c>
      <c r="Q633">
        <v>0</v>
      </c>
      <c r="R633">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row>
    <row r="634" spans="1:40">
      <c r="A634" s="30" t="s">
        <v>49</v>
      </c>
      <c r="B634" t="s">
        <v>459</v>
      </c>
      <c r="C634" t="s">
        <v>464</v>
      </c>
      <c r="D634" t="str">
        <f t="shared" si="55"/>
        <v>Lighting efficiencyDomestic CAPEXNo additional retrofits</v>
      </c>
      <c r="E634">
        <v>0</v>
      </c>
      <c r="F634">
        <v>6935973.9122759365</v>
      </c>
      <c r="G634">
        <v>6827966.193939887</v>
      </c>
      <c r="H634">
        <v>6719958.4756038357</v>
      </c>
      <c r="I634">
        <v>6611950.7572677853</v>
      </c>
      <c r="J634">
        <v>6503943.0389317162</v>
      </c>
      <c r="K634">
        <v>5413024.2219681572</v>
      </c>
      <c r="L634">
        <v>5321614.8555178875</v>
      </c>
      <c r="M634">
        <v>5230205.4890676178</v>
      </c>
      <c r="N634">
        <v>5138796.1226173481</v>
      </c>
      <c r="O634">
        <v>5047386.7561671222</v>
      </c>
      <c r="P634">
        <v>4012127.2425410934</v>
      </c>
      <c r="Q634">
        <v>3938126.4994950267</v>
      </c>
      <c r="R634">
        <v>3864125.7564489595</v>
      </c>
      <c r="S634">
        <v>3790125.0134028923</v>
      </c>
      <c r="T634">
        <v>3716124.2703568228</v>
      </c>
      <c r="U634">
        <v>1713088.1898887407</v>
      </c>
      <c r="V634">
        <v>1713088.1898887325</v>
      </c>
      <c r="W634">
        <v>1713088.1898887325</v>
      </c>
      <c r="X634">
        <v>1713088.1898887325</v>
      </c>
      <c r="Y634">
        <v>1713088.1898887325</v>
      </c>
      <c r="Z634">
        <v>1713088.1898887325</v>
      </c>
      <c r="AA634">
        <v>1713088.1898887325</v>
      </c>
      <c r="AB634">
        <v>1713088.1898887325</v>
      </c>
      <c r="AC634">
        <v>1713088.1898887325</v>
      </c>
      <c r="AD634">
        <v>1713088.1898888813</v>
      </c>
      <c r="AE634">
        <v>1713088.1898887637</v>
      </c>
      <c r="AF634">
        <v>1713088.18988878</v>
      </c>
      <c r="AG634">
        <v>1713088.18988878</v>
      </c>
      <c r="AH634">
        <v>1713088.18988878</v>
      </c>
      <c r="AI634">
        <v>1713088.18988878</v>
      </c>
      <c r="AJ634">
        <v>1713088.18988878</v>
      </c>
      <c r="AK634">
        <v>1713088.18988878</v>
      </c>
      <c r="AL634">
        <v>1713088.18988878</v>
      </c>
      <c r="AM634">
        <v>1713088.18988878</v>
      </c>
      <c r="AN634">
        <v>1713088.1898886203</v>
      </c>
    </row>
    <row r="635" spans="1:40">
      <c r="A635" s="30" t="s">
        <v>49</v>
      </c>
      <c r="B635" t="s">
        <v>459</v>
      </c>
      <c r="C635" t="s">
        <v>465</v>
      </c>
      <c r="D635" t="str">
        <f t="shared" si="55"/>
        <v>Extended Mayoral ProgramsNon-domestic CAPEXNo additional retrofits</v>
      </c>
      <c r="E635">
        <v>0</v>
      </c>
      <c r="F635">
        <v>0</v>
      </c>
      <c r="G635">
        <v>0</v>
      </c>
      <c r="H635">
        <v>0</v>
      </c>
      <c r="I635">
        <v>0</v>
      </c>
      <c r="J635">
        <v>0</v>
      </c>
      <c r="K635">
        <v>0</v>
      </c>
      <c r="L635">
        <v>0</v>
      </c>
      <c r="M635">
        <v>0</v>
      </c>
      <c r="N635">
        <v>0</v>
      </c>
      <c r="O635">
        <v>0</v>
      </c>
      <c r="P635">
        <v>0</v>
      </c>
      <c r="Q635">
        <v>0</v>
      </c>
      <c r="R63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row>
    <row r="636" spans="1:40">
      <c r="A636" s="30" t="s">
        <v>49</v>
      </c>
      <c r="B636" t="s">
        <v>459</v>
      </c>
      <c r="C636" t="s">
        <v>466</v>
      </c>
      <c r="D636" t="str">
        <f t="shared" si="55"/>
        <v>MEESNon-domestic CAPEXNo additional retrofits</v>
      </c>
      <c r="E636">
        <v>0</v>
      </c>
      <c r="F636">
        <v>0</v>
      </c>
      <c r="G636">
        <v>0</v>
      </c>
      <c r="H636">
        <v>0</v>
      </c>
      <c r="I636">
        <v>0</v>
      </c>
      <c r="J636">
        <v>0</v>
      </c>
      <c r="K636">
        <v>0</v>
      </c>
      <c r="L636">
        <v>0</v>
      </c>
      <c r="M636">
        <v>0</v>
      </c>
      <c r="N636">
        <v>0</v>
      </c>
      <c r="O636">
        <v>0</v>
      </c>
      <c r="P636">
        <v>0</v>
      </c>
      <c r="Q636">
        <v>0</v>
      </c>
      <c r="R636">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row>
    <row r="637" spans="1:40">
      <c r="A637" s="30" t="s">
        <v>49</v>
      </c>
      <c r="B637" t="s">
        <v>459</v>
      </c>
      <c r="C637" t="s">
        <v>467</v>
      </c>
      <c r="D637" t="str">
        <f t="shared" si="55"/>
        <v>Tax mechanismsNon-domestic CAPEXNo additional retrofits</v>
      </c>
      <c r="E637">
        <v>0</v>
      </c>
      <c r="F637">
        <v>0</v>
      </c>
      <c r="G637">
        <v>0</v>
      </c>
      <c r="H637">
        <v>0</v>
      </c>
      <c r="I637">
        <v>0</v>
      </c>
      <c r="J637">
        <v>0</v>
      </c>
      <c r="K637">
        <v>0</v>
      </c>
      <c r="L637">
        <v>0</v>
      </c>
      <c r="M637">
        <v>0</v>
      </c>
      <c r="N637">
        <v>0</v>
      </c>
      <c r="O637">
        <v>0</v>
      </c>
      <c r="P637">
        <v>0</v>
      </c>
      <c r="Q637">
        <v>0</v>
      </c>
      <c r="R637">
        <v>0</v>
      </c>
      <c r="S637">
        <v>0</v>
      </c>
      <c r="T637">
        <v>0</v>
      </c>
      <c r="U637">
        <v>0</v>
      </c>
      <c r="V637">
        <v>0</v>
      </c>
      <c r="W637">
        <v>0</v>
      </c>
      <c r="X637">
        <v>0</v>
      </c>
      <c r="Y637">
        <v>0</v>
      </c>
      <c r="Z637">
        <v>0</v>
      </c>
      <c r="AA637">
        <v>0</v>
      </c>
      <c r="AB637">
        <v>0</v>
      </c>
      <c r="AC637">
        <v>0</v>
      </c>
      <c r="AD637">
        <v>0</v>
      </c>
      <c r="AE637">
        <v>0</v>
      </c>
      <c r="AF637">
        <v>0</v>
      </c>
      <c r="AG637">
        <v>0</v>
      </c>
      <c r="AH637">
        <v>0</v>
      </c>
      <c r="AI637">
        <v>0</v>
      </c>
      <c r="AJ637">
        <v>0</v>
      </c>
      <c r="AK637">
        <v>0</v>
      </c>
      <c r="AL637">
        <v>0</v>
      </c>
      <c r="AM637">
        <v>0</v>
      </c>
      <c r="AN637">
        <v>0</v>
      </c>
    </row>
    <row r="638" spans="1:40">
      <c r="A638" s="30" t="s">
        <v>49</v>
      </c>
      <c r="B638" t="s">
        <v>459</v>
      </c>
      <c r="C638" t="s">
        <v>468</v>
      </c>
      <c r="D638" t="str">
        <f t="shared" si="55"/>
        <v>Planning requirementsNon-domestic CAPEXNo additional retrofits</v>
      </c>
      <c r="E638">
        <v>0</v>
      </c>
      <c r="F638">
        <v>0</v>
      </c>
      <c r="G638">
        <v>0</v>
      </c>
      <c r="H638">
        <v>0</v>
      </c>
      <c r="I638">
        <v>0</v>
      </c>
      <c r="J638">
        <v>0</v>
      </c>
      <c r="K638">
        <v>0</v>
      </c>
      <c r="L638">
        <v>0</v>
      </c>
      <c r="M638">
        <v>0</v>
      </c>
      <c r="N638">
        <v>0</v>
      </c>
      <c r="O638">
        <v>0</v>
      </c>
      <c r="P638">
        <v>0</v>
      </c>
      <c r="Q638">
        <v>0</v>
      </c>
      <c r="R638">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row>
    <row r="639" spans="1:40">
      <c r="A639" s="30" t="s">
        <v>49</v>
      </c>
      <c r="B639" t="s">
        <v>459</v>
      </c>
      <c r="C639" t="s">
        <v>469</v>
      </c>
      <c r="D639" t="str">
        <f t="shared" si="55"/>
        <v>Lighting efficiencyNon-domestic CAPEXNo additional retrofits</v>
      </c>
      <c r="E639">
        <v>0</v>
      </c>
      <c r="F639">
        <v>6085102.7363829538</v>
      </c>
      <c r="G639">
        <v>5990344.8738664966</v>
      </c>
      <c r="H639">
        <v>5895587.0113500375</v>
      </c>
      <c r="I639">
        <v>5800829.1488335812</v>
      </c>
      <c r="J639">
        <v>5706071.2863171231</v>
      </c>
      <c r="K639">
        <v>5611313.4238006659</v>
      </c>
      <c r="L639">
        <v>5516555.5612842096</v>
      </c>
      <c r="M639">
        <v>5421797.6987677487</v>
      </c>
      <c r="N639">
        <v>5327039.8362512914</v>
      </c>
      <c r="O639">
        <v>5232281.9737348342</v>
      </c>
      <c r="P639">
        <v>3713397.5193792596</v>
      </c>
      <c r="Q639">
        <v>3644906.6268806849</v>
      </c>
      <c r="R639">
        <v>3576415.7343821069</v>
      </c>
      <c r="S639">
        <v>3507924.8418835341</v>
      </c>
      <c r="T639">
        <v>3439433.9493849594</v>
      </c>
      <c r="U639">
        <v>3439433.9493849594</v>
      </c>
      <c r="V639">
        <v>3439433.9493849594</v>
      </c>
      <c r="W639">
        <v>3439433.9493849594</v>
      </c>
      <c r="X639">
        <v>3439433.9493849594</v>
      </c>
      <c r="Y639">
        <v>3439433.9493849594</v>
      </c>
      <c r="Z639">
        <v>3439433.9493849594</v>
      </c>
      <c r="AA639">
        <v>3439433.9493849594</v>
      </c>
      <c r="AB639">
        <v>3439433.9493849594</v>
      </c>
      <c r="AC639">
        <v>3439433.9493849585</v>
      </c>
      <c r="AD639">
        <v>3439433.9493849585</v>
      </c>
      <c r="AE639">
        <v>3439433.9493849585</v>
      </c>
      <c r="AF639">
        <v>3439433.9493849636</v>
      </c>
      <c r="AG639">
        <v>3439433.9493849599</v>
      </c>
      <c r="AH639">
        <v>3439433.9493849599</v>
      </c>
      <c r="AI639">
        <v>3439433.9493849599</v>
      </c>
      <c r="AJ639">
        <v>3439433.9493849599</v>
      </c>
      <c r="AK639">
        <v>3439433.9493849599</v>
      </c>
      <c r="AL639">
        <v>3439433.9493849599</v>
      </c>
      <c r="AM639">
        <v>3439433.9493849599</v>
      </c>
      <c r="AN639">
        <v>3439433.9493849524</v>
      </c>
    </row>
    <row r="640" spans="1:40">
      <c r="A640" s="30" t="s">
        <v>49</v>
      </c>
      <c r="B640" t="s">
        <v>459</v>
      </c>
      <c r="C640" t="s">
        <v>470</v>
      </c>
      <c r="D640" t="str">
        <f t="shared" si="55"/>
        <v>AllDomestic CAPEXNo additional retrofits</v>
      </c>
      <c r="E640">
        <v>0</v>
      </c>
      <c r="F640">
        <v>6935973.9122759365</v>
      </c>
      <c r="G640">
        <v>6827966.193939887</v>
      </c>
      <c r="H640">
        <v>6719958.4756038357</v>
      </c>
      <c r="I640">
        <v>6611950.7572677853</v>
      </c>
      <c r="J640">
        <v>55522327.196666062</v>
      </c>
      <c r="K640">
        <v>46547186.122876629</v>
      </c>
      <c r="L640">
        <v>46104575.302715264</v>
      </c>
      <c r="M640">
        <v>45661964.482553899</v>
      </c>
      <c r="N640">
        <v>45219353.662392549</v>
      </c>
      <c r="O640">
        <v>44776742.842231549</v>
      </c>
      <c r="P640">
        <v>35890837.441920578</v>
      </c>
      <c r="Q640">
        <v>35532520.446145438</v>
      </c>
      <c r="R640">
        <v>35174203.450370297</v>
      </c>
      <c r="S640">
        <v>34815886.454595163</v>
      </c>
      <c r="T640">
        <v>34457569.458819985</v>
      </c>
      <c r="U640">
        <v>15809709.34295653</v>
      </c>
      <c r="V640">
        <v>15734897.341176717</v>
      </c>
      <c r="W640">
        <v>15660085.339396974</v>
      </c>
      <c r="X640">
        <v>15585273.337617232</v>
      </c>
      <c r="Y640">
        <v>15510461.335837489</v>
      </c>
      <c r="Z640">
        <v>15435649.33405775</v>
      </c>
      <c r="AA640">
        <v>15360837.332278008</v>
      </c>
      <c r="AB640">
        <v>15286025.330498265</v>
      </c>
      <c r="AC640">
        <v>15211213.328718523</v>
      </c>
      <c r="AD640">
        <v>15136401.326940076</v>
      </c>
      <c r="AE640">
        <v>15061589.325159315</v>
      </c>
      <c r="AF640">
        <v>14986777.323379707</v>
      </c>
      <c r="AG640">
        <v>14911965.32159996</v>
      </c>
      <c r="AH640">
        <v>14837153.319820218</v>
      </c>
      <c r="AI640">
        <v>14762341.318040475</v>
      </c>
      <c r="AJ640">
        <v>14687529.316260729</v>
      </c>
      <c r="AK640">
        <v>14612717.314480986</v>
      </c>
      <c r="AL640">
        <v>14537905.31270124</v>
      </c>
      <c r="AM640">
        <v>14463093.310921498</v>
      </c>
      <c r="AN640">
        <v>14388281.309140475</v>
      </c>
    </row>
    <row r="641" spans="1:40">
      <c r="A641" s="30" t="s">
        <v>49</v>
      </c>
      <c r="B641" t="s">
        <v>459</v>
      </c>
      <c r="C641" t="s">
        <v>471</v>
      </c>
      <c r="D641" t="str">
        <f t="shared" si="55"/>
        <v>AllNon-domestic CAPEXNo additional retrofits</v>
      </c>
      <c r="E641">
        <v>0</v>
      </c>
      <c r="F641">
        <v>6085102.7363829538</v>
      </c>
      <c r="G641">
        <v>5990344.8738664966</v>
      </c>
      <c r="H641">
        <v>5895587.0113500375</v>
      </c>
      <c r="I641">
        <v>5800829.1488335812</v>
      </c>
      <c r="J641">
        <v>35767809.598429196</v>
      </c>
      <c r="K641">
        <v>35469028.708718643</v>
      </c>
      <c r="L641">
        <v>35170247.813628241</v>
      </c>
      <c r="M641">
        <v>34871466.913387515</v>
      </c>
      <c r="N641">
        <v>34572686.008214109</v>
      </c>
      <c r="O641">
        <v>34273905.098314472</v>
      </c>
      <c r="P641">
        <v>25062408.520401023</v>
      </c>
      <c r="Q641">
        <v>24842444.585512824</v>
      </c>
      <c r="R641">
        <v>24622480.649259523</v>
      </c>
      <c r="S641">
        <v>24402516.711682092</v>
      </c>
      <c r="T641">
        <v>24182552.772819996</v>
      </c>
      <c r="U641">
        <v>24053064.091665141</v>
      </c>
      <c r="V641">
        <v>23923575.40955133</v>
      </c>
      <c r="W641">
        <v>23794086.726506151</v>
      </c>
      <c r="X641">
        <v>23664598.042556226</v>
      </c>
      <c r="Y641">
        <v>23535109.357727237</v>
      </c>
      <c r="Z641">
        <v>23405620.672043972</v>
      </c>
      <c r="AA641">
        <v>23276131.985530384</v>
      </c>
      <c r="AB641">
        <v>23146643.298209585</v>
      </c>
      <c r="AC641">
        <v>23017154.610103916</v>
      </c>
      <c r="AD641">
        <v>22887665.921234973</v>
      </c>
      <c r="AE641">
        <v>22758177.231623601</v>
      </c>
      <c r="AF641">
        <v>22628688.54129</v>
      </c>
      <c r="AG641">
        <v>22499199.850253593</v>
      </c>
      <c r="AH641">
        <v>22369711.158533294</v>
      </c>
      <c r="AI641">
        <v>22240222.466147315</v>
      </c>
      <c r="AJ641">
        <v>22110733.773113307</v>
      </c>
      <c r="AK641">
        <v>21981245.079448353</v>
      </c>
      <c r="AL641">
        <v>21851756.385168962</v>
      </c>
      <c r="AM641">
        <v>21722267.690291148</v>
      </c>
      <c r="AN641">
        <v>21592778.994830195</v>
      </c>
    </row>
    <row r="642" spans="1:40">
      <c r="A642" s="30"/>
    </row>
    <row r="643" spans="1:40">
      <c r="A643" s="30"/>
    </row>
    <row r="644" spans="1:40">
      <c r="A644" s="30" t="s">
        <v>472</v>
      </c>
      <c r="B644" t="s">
        <v>366</v>
      </c>
      <c r="D644" t="s">
        <v>473</v>
      </c>
      <c r="E644">
        <v>2015</v>
      </c>
      <c r="F644">
        <v>2016</v>
      </c>
      <c r="G644">
        <v>2017</v>
      </c>
      <c r="H644">
        <v>2018</v>
      </c>
      <c r="I644">
        <v>2019</v>
      </c>
      <c r="J644">
        <v>2020</v>
      </c>
      <c r="K644">
        <v>2021</v>
      </c>
      <c r="L644">
        <v>2022</v>
      </c>
      <c r="M644">
        <v>2023</v>
      </c>
      <c r="N644">
        <v>2024</v>
      </c>
      <c r="O644">
        <v>2025</v>
      </c>
      <c r="P644">
        <v>2026</v>
      </c>
      <c r="Q644">
        <v>2027</v>
      </c>
      <c r="R644">
        <v>2028</v>
      </c>
      <c r="S644">
        <v>2029</v>
      </c>
      <c r="T644">
        <v>2030</v>
      </c>
      <c r="U644">
        <v>2031</v>
      </c>
      <c r="V644">
        <v>2032</v>
      </c>
      <c r="W644">
        <v>2033</v>
      </c>
      <c r="X644">
        <v>2034</v>
      </c>
      <c r="Y644">
        <v>2035</v>
      </c>
      <c r="Z644">
        <v>2036</v>
      </c>
      <c r="AA644">
        <v>2037</v>
      </c>
      <c r="AB644">
        <v>2038</v>
      </c>
      <c r="AC644">
        <v>2039</v>
      </c>
      <c r="AD644">
        <v>2040</v>
      </c>
      <c r="AE644">
        <v>2041</v>
      </c>
      <c r="AF644">
        <v>2042</v>
      </c>
      <c r="AG644">
        <v>2043</v>
      </c>
      <c r="AH644">
        <v>2044</v>
      </c>
      <c r="AI644">
        <v>2045</v>
      </c>
      <c r="AJ644">
        <v>2046</v>
      </c>
      <c r="AK644">
        <v>2047</v>
      </c>
      <c r="AL644">
        <v>2048</v>
      </c>
      <c r="AM644">
        <v>2049</v>
      </c>
      <c r="AN644">
        <v>2050</v>
      </c>
    </row>
    <row r="645" spans="1:40">
      <c r="A645" s="30" t="s">
        <v>478</v>
      </c>
      <c r="B645" t="s">
        <v>444</v>
      </c>
      <c r="C645" t="s">
        <v>445</v>
      </c>
      <c r="D645" t="str">
        <f>C645&amp;A645</f>
        <v>Carbon emissionsBlank - awaiting user to input description, Baseline</v>
      </c>
    </row>
    <row r="646" spans="1:40">
      <c r="A646" s="30" t="s">
        <v>478</v>
      </c>
      <c r="B646" t="s">
        <v>446</v>
      </c>
      <c r="C646" t="s">
        <v>447</v>
      </c>
      <c r="D646" t="str">
        <f t="shared" ref="D646:D702" si="56">C646&amp;A646</f>
        <v>Domestic heat demandBlank - awaiting user to input description, Baseline</v>
      </c>
    </row>
    <row r="647" spans="1:40">
      <c r="A647" s="30" t="s">
        <v>478</v>
      </c>
      <c r="B647" t="s">
        <v>446</v>
      </c>
      <c r="C647" t="s">
        <v>448</v>
      </c>
      <c r="D647" t="str">
        <f t="shared" si="56"/>
        <v>Non-domestic heat demandBlank - awaiting user to input description, Baseline</v>
      </c>
    </row>
    <row r="648" spans="1:40">
      <c r="A648" s="30" t="s">
        <v>478</v>
      </c>
      <c r="B648" t="s">
        <v>446</v>
      </c>
      <c r="C648" t="s">
        <v>449</v>
      </c>
      <c r="D648" t="str">
        <f t="shared" si="56"/>
        <v>Total domestic electricity demandBlank - awaiting user to input description, Baseline</v>
      </c>
    </row>
    <row r="649" spans="1:40">
      <c r="A649" s="30" t="s">
        <v>478</v>
      </c>
      <c r="B649" t="s">
        <v>446</v>
      </c>
      <c r="C649" t="s">
        <v>450</v>
      </c>
      <c r="D649" t="str">
        <f t="shared" si="56"/>
        <v>Total non-domestic electricity demandBlank - awaiting user to input description, Baseline</v>
      </c>
    </row>
    <row r="650" spans="1:40">
      <c r="A650" s="30" t="s">
        <v>478</v>
      </c>
      <c r="B650" t="s">
        <v>446</v>
      </c>
      <c r="C650" t="s">
        <v>451</v>
      </c>
      <c r="D650" t="str">
        <f t="shared" si="56"/>
        <v>Estimated additional cooking electricity demandBlank - awaiting user to input description, Baseline</v>
      </c>
    </row>
    <row r="651" spans="1:40">
      <c r="A651" t="s">
        <v>478</v>
      </c>
      <c r="B651" t="s">
        <v>446</v>
      </c>
      <c r="C651" t="s">
        <v>372</v>
      </c>
      <c r="D651" t="str">
        <f t="shared" si="56"/>
        <v>Existing domestic heat demandBlank - awaiting user to input description, Baseline</v>
      </c>
    </row>
    <row r="652" spans="1:40">
      <c r="A652" t="s">
        <v>478</v>
      </c>
      <c r="B652" t="s">
        <v>446</v>
      </c>
      <c r="C652" t="s">
        <v>373</v>
      </c>
      <c r="D652" t="str">
        <f t="shared" si="56"/>
        <v>Existing non-domestic heat demandBlank - awaiting user to input description, Baseline</v>
      </c>
    </row>
    <row r="653" spans="1:40">
      <c r="A653" t="s">
        <v>478</v>
      </c>
      <c r="B653" t="s">
        <v>446</v>
      </c>
      <c r="C653" t="s">
        <v>374</v>
      </c>
      <c r="D653" t="str">
        <f t="shared" si="56"/>
        <v>Existing domestic electricity demandBlank - awaiting user to input description, Baseline</v>
      </c>
    </row>
    <row r="654" spans="1:40">
      <c r="A654" t="s">
        <v>478</v>
      </c>
      <c r="B654" t="s">
        <v>446</v>
      </c>
      <c r="C654" t="s">
        <v>375</v>
      </c>
      <c r="D654" t="str">
        <f t="shared" si="56"/>
        <v>Existing non-domestic electricity demandBlank - awaiting user to input description, Baseline</v>
      </c>
    </row>
    <row r="655" spans="1:40">
      <c r="A655" t="s">
        <v>478</v>
      </c>
      <c r="B655" t="s">
        <v>452</v>
      </c>
      <c r="C655" t="s">
        <v>380</v>
      </c>
      <c r="D655" t="str">
        <f t="shared" si="56"/>
        <v>% new domestic heat demand from solar thermalBlank - awaiting user to input description, Baseline</v>
      </c>
    </row>
    <row r="656" spans="1:40">
      <c r="A656" t="s">
        <v>478</v>
      </c>
      <c r="B656" t="s">
        <v>452</v>
      </c>
      <c r="C656" t="s">
        <v>381</v>
      </c>
      <c r="D656" t="str">
        <f t="shared" si="56"/>
        <v>% new non-domestic heat demand from solar thermalBlank - awaiting user to input description, Baseline</v>
      </c>
    </row>
    <row r="657" spans="1:4">
      <c r="A657" t="s">
        <v>478</v>
      </c>
      <c r="B657" t="s">
        <v>452</v>
      </c>
      <c r="C657" t="s">
        <v>382</v>
      </c>
      <c r="D657" t="str">
        <f t="shared" si="56"/>
        <v>% existing domestic heat demand from solar thermalBlank - awaiting user to input description, Baseline</v>
      </c>
    </row>
    <row r="658" spans="1:4">
      <c r="A658" t="s">
        <v>478</v>
      </c>
      <c r="B658" t="s">
        <v>452</v>
      </c>
      <c r="C658" t="s">
        <v>383</v>
      </c>
      <c r="D658" t="str">
        <f t="shared" si="56"/>
        <v>% existing non-domestic heat demand from solar thermalBlank - awaiting user to input description, Baseline</v>
      </c>
    </row>
    <row r="659" spans="1:4">
      <c r="A659" t="s">
        <v>478</v>
      </c>
      <c r="B659" t="s">
        <v>453</v>
      </c>
      <c r="C659" t="s">
        <v>384</v>
      </c>
      <c r="D659" t="str">
        <f t="shared" si="56"/>
        <v>Fuel Poor - Extended RE:NEWBlank - awaiting user to input description, Baseline</v>
      </c>
    </row>
    <row r="660" spans="1:4">
      <c r="A660" t="s">
        <v>478</v>
      </c>
      <c r="B660" t="s">
        <v>453</v>
      </c>
      <c r="C660" t="s">
        <v>385</v>
      </c>
      <c r="D660" t="str">
        <f t="shared" si="56"/>
        <v>Fuel Poor - Landlord MEES - EPC CBlank - awaiting user to input description, Baseline</v>
      </c>
    </row>
    <row r="661" spans="1:4">
      <c r="A661" t="s">
        <v>478</v>
      </c>
      <c r="B661" t="s">
        <v>453</v>
      </c>
      <c r="C661" t="s">
        <v>386</v>
      </c>
      <c r="D661" t="str">
        <f t="shared" si="56"/>
        <v>Fuel Poor - All buildings MEES - EPC CBlank - awaiting user to input description, Baseline</v>
      </c>
    </row>
    <row r="662" spans="1:4">
      <c r="A662" t="s">
        <v>478</v>
      </c>
      <c r="B662" t="s">
        <v>453</v>
      </c>
      <c r="C662" t="s">
        <v>387</v>
      </c>
      <c r="D662" t="str">
        <f t="shared" si="56"/>
        <v>Fuel Poor - Extended energy LeapBlank - awaiting user to input description, Baseline</v>
      </c>
    </row>
    <row r="663" spans="1:4">
      <c r="A663" t="s">
        <v>478</v>
      </c>
      <c r="B663" t="s">
        <v>453</v>
      </c>
      <c r="C663" t="s">
        <v>388</v>
      </c>
      <c r="D663" t="str">
        <f t="shared" si="56"/>
        <v>Social housing - Extended RE:NEWBlank - awaiting user to input description, Baseline</v>
      </c>
    </row>
    <row r="664" spans="1:4">
      <c r="A664" t="s">
        <v>478</v>
      </c>
      <c r="B664" t="s">
        <v>453</v>
      </c>
      <c r="C664" t="s">
        <v>389</v>
      </c>
      <c r="D664" t="str">
        <f t="shared" si="56"/>
        <v>Social housing - All buildings MEES - EPC CBlank - awaiting user to input description, Baseline</v>
      </c>
    </row>
    <row r="665" spans="1:4">
      <c r="A665" t="s">
        <v>478</v>
      </c>
      <c r="B665" t="s">
        <v>453</v>
      </c>
      <c r="C665" t="s">
        <v>390</v>
      </c>
      <c r="D665" t="str">
        <f t="shared" si="56"/>
        <v>Social housing - Extended energy LeapBlank - awaiting user to input description, Baseline</v>
      </c>
    </row>
    <row r="666" spans="1:4">
      <c r="A666" t="s">
        <v>478</v>
      </c>
      <c r="B666" t="s">
        <v>453</v>
      </c>
      <c r="C666" t="s">
        <v>391</v>
      </c>
      <c r="D666" t="str">
        <f t="shared" si="56"/>
        <v>Able to pay - Building Regulations and planning policyBlank - awaiting user to input description, Baseline</v>
      </c>
    </row>
    <row r="667" spans="1:4">
      <c r="A667" t="s">
        <v>478</v>
      </c>
      <c r="B667" t="s">
        <v>453</v>
      </c>
      <c r="C667" t="s">
        <v>392</v>
      </c>
      <c r="D667" t="str">
        <f t="shared" si="56"/>
        <v>Able to pay - Council tax variation by EPCBlank - awaiting user to input description, Baseline</v>
      </c>
    </row>
    <row r="668" spans="1:4">
      <c r="A668" t="s">
        <v>478</v>
      </c>
      <c r="B668" t="s">
        <v>453</v>
      </c>
      <c r="C668" t="s">
        <v>393</v>
      </c>
      <c r="D668" t="str">
        <f t="shared" si="56"/>
        <v>Able to pay - Landlord MEES - EPC CBlank - awaiting user to input description, Baseline</v>
      </c>
    </row>
    <row r="669" spans="1:4">
      <c r="A669" t="s">
        <v>478</v>
      </c>
      <c r="B669" t="s">
        <v>453</v>
      </c>
      <c r="C669" t="s">
        <v>394</v>
      </c>
      <c r="D669" t="str">
        <f t="shared" si="56"/>
        <v>Able to pay - Stamp duty energy efficiency scalingBlank - awaiting user to input description, Baseline</v>
      </c>
    </row>
    <row r="670" spans="1:4">
      <c r="A670" t="s">
        <v>478</v>
      </c>
      <c r="B670" t="s">
        <v>453</v>
      </c>
      <c r="C670" t="s">
        <v>395</v>
      </c>
      <c r="D670" t="str">
        <f t="shared" si="56"/>
        <v>Able to pay - Extended Energy LeapBlank - awaiting user to input description, Baseline</v>
      </c>
    </row>
    <row r="671" spans="1:4">
      <c r="A671" t="s">
        <v>478</v>
      </c>
      <c r="B671" t="s">
        <v>453</v>
      </c>
      <c r="C671" t="s">
        <v>396</v>
      </c>
      <c r="D671" t="str">
        <f t="shared" si="56"/>
        <v>Able to pay - All buildings MEES - EPC CBlank - awaiting user to input description, Baseline</v>
      </c>
    </row>
    <row r="672" spans="1:4">
      <c r="A672" t="s">
        <v>478</v>
      </c>
      <c r="B672" t="s">
        <v>453</v>
      </c>
      <c r="C672" t="s">
        <v>398</v>
      </c>
      <c r="D672" t="str">
        <f t="shared" si="56"/>
        <v>Existing - Domestic ALL - Mandate on lighting efficiencyBlank - awaiting user to input description, Baseline</v>
      </c>
    </row>
    <row r="673" spans="1:4">
      <c r="A673" t="s">
        <v>478</v>
      </c>
      <c r="B673" t="s">
        <v>453</v>
      </c>
      <c r="C673" t="s">
        <v>399</v>
      </c>
      <c r="D673" t="str">
        <f t="shared" si="56"/>
        <v>Existing - Domestic ALL - Mandate on appliance efficiencyBlank - awaiting user to input description, Baseline</v>
      </c>
    </row>
    <row r="674" spans="1:4">
      <c r="A674" t="s">
        <v>478</v>
      </c>
      <c r="B674" t="s">
        <v>453</v>
      </c>
      <c r="C674" t="s">
        <v>400</v>
      </c>
      <c r="D674" t="str">
        <f t="shared" si="56"/>
        <v>New - Domestic ALL - Mandate on lighting efficiencyBlank - awaiting user to input description, Baseline</v>
      </c>
    </row>
    <row r="675" spans="1:4">
      <c r="A675" t="s">
        <v>478</v>
      </c>
      <c r="B675" t="s">
        <v>453</v>
      </c>
      <c r="C675" t="s">
        <v>401</v>
      </c>
      <c r="D675" t="str">
        <f t="shared" si="56"/>
        <v>New - Domestic ALL - Mandate on appliance efficiencyBlank - awaiting user to input description, Baseline</v>
      </c>
    </row>
    <row r="676" spans="1:4">
      <c r="A676" t="s">
        <v>478</v>
      </c>
      <c r="B676" t="s">
        <v>453</v>
      </c>
      <c r="C676" t="s">
        <v>402</v>
      </c>
      <c r="D676" t="str">
        <f t="shared" si="56"/>
        <v>New - Domestic ALL - Stronger planning requirement for smart controls  Blank - awaiting user to input description, Baseline</v>
      </c>
    </row>
    <row r="677" spans="1:4">
      <c r="A677" t="s">
        <v>478</v>
      </c>
      <c r="B677" t="s">
        <v>453</v>
      </c>
      <c r="C677" t="s">
        <v>406</v>
      </c>
      <c r="D677" t="str">
        <f t="shared" si="56"/>
        <v>SME - Energy efficiency programmeBlank - awaiting user to input description, Baseline</v>
      </c>
    </row>
    <row r="678" spans="1:4">
      <c r="A678" t="s">
        <v>478</v>
      </c>
      <c r="B678" t="s">
        <v>453</v>
      </c>
      <c r="C678" t="s">
        <v>407</v>
      </c>
      <c r="D678" t="str">
        <f t="shared" si="56"/>
        <v>SME - Landlord MEES – EPC CBlank - awaiting user to input description, Baseline</v>
      </c>
    </row>
    <row r="679" spans="1:4">
      <c r="A679" t="s">
        <v>478</v>
      </c>
      <c r="B679" t="s">
        <v>453</v>
      </c>
      <c r="C679" t="s">
        <v>408</v>
      </c>
      <c r="D679" t="str">
        <f t="shared" si="56"/>
        <v>SME - Energy performance tax grading – business ratesBlank - awaiting user to input description, Baseline</v>
      </c>
    </row>
    <row r="680" spans="1:4">
      <c r="A680" t="s">
        <v>478</v>
      </c>
      <c r="B680" t="s">
        <v>453</v>
      </c>
      <c r="C680" t="s">
        <v>409</v>
      </c>
      <c r="D680" t="str">
        <f t="shared" si="56"/>
        <v>SME - All buildings MEES – EPC CBlank - awaiting user to input description, Baseline</v>
      </c>
    </row>
    <row r="681" spans="1:4">
      <c r="A681" t="s">
        <v>478</v>
      </c>
      <c r="B681" t="s">
        <v>453</v>
      </c>
      <c r="C681" t="s">
        <v>410</v>
      </c>
      <c r="D681" t="str">
        <f t="shared" si="56"/>
        <v>Large Enterprise - Landlord MEES – EPC CBlank - awaiting user to input description, Baseline</v>
      </c>
    </row>
    <row r="682" spans="1:4">
      <c r="A682" t="s">
        <v>478</v>
      </c>
      <c r="B682" t="s">
        <v>453</v>
      </c>
      <c r="C682" t="s">
        <v>411</v>
      </c>
      <c r="D682" t="str">
        <f t="shared" si="56"/>
        <v>Large Enterprise - Energy performance tax grading – business ratesBlank - awaiting user to input description, Baseline</v>
      </c>
    </row>
    <row r="683" spans="1:4">
      <c r="A683" t="s">
        <v>478</v>
      </c>
      <c r="B683" t="s">
        <v>453</v>
      </c>
      <c r="C683" t="s">
        <v>412</v>
      </c>
      <c r="D683" t="str">
        <f t="shared" si="56"/>
        <v>Large Enterprise - All buildings MEES – EPC CBlank - awaiting user to input description, Baseline</v>
      </c>
    </row>
    <row r="684" spans="1:4">
      <c r="A684" t="s">
        <v>478</v>
      </c>
      <c r="B684" t="s">
        <v>453</v>
      </c>
      <c r="C684" t="s">
        <v>413</v>
      </c>
      <c r="D684" t="str">
        <f t="shared" si="56"/>
        <v>Public - Extended RE:FITBlank - awaiting user to input description, Baseline</v>
      </c>
    </row>
    <row r="685" spans="1:4">
      <c r="A685" t="s">
        <v>478</v>
      </c>
      <c r="B685" t="s">
        <v>453</v>
      </c>
      <c r="C685" t="s">
        <v>414</v>
      </c>
      <c r="D685" t="str">
        <f t="shared" si="56"/>
        <v>Public - All buildings MEES – EPC CBlank - awaiting user to input description, Baseline</v>
      </c>
    </row>
    <row r="686" spans="1:4">
      <c r="A686" t="s">
        <v>478</v>
      </c>
      <c r="B686" t="s">
        <v>453</v>
      </c>
      <c r="C686" t="s">
        <v>454</v>
      </c>
      <c r="D686" t="str">
        <f t="shared" si="56"/>
        <v>Existing - Non-domestic ALL - Mandate on lighting efficiencyBlank - awaiting user to input description, Baseline</v>
      </c>
    </row>
    <row r="687" spans="1:4">
      <c r="A687" t="s">
        <v>478</v>
      </c>
      <c r="B687" t="s">
        <v>453</v>
      </c>
      <c r="C687" t="s">
        <v>455</v>
      </c>
      <c r="D687" t="str">
        <f t="shared" si="56"/>
        <v>Existing -Non-domestic ALL - Mandate on appliance efficiencyBlank - awaiting user to input description, Baseline</v>
      </c>
    </row>
    <row r="688" spans="1:4">
      <c r="A688" t="s">
        <v>478</v>
      </c>
      <c r="B688" t="s">
        <v>453</v>
      </c>
      <c r="C688" t="s">
        <v>456</v>
      </c>
      <c r="D688" t="str">
        <f t="shared" si="56"/>
        <v>New - Non-domestic ALL - Mandate on lighting efficiencyBlank - awaiting user to input description, Baseline</v>
      </c>
    </row>
    <row r="689" spans="1:4">
      <c r="A689" t="s">
        <v>478</v>
      </c>
      <c r="B689" t="s">
        <v>453</v>
      </c>
      <c r="C689" t="s">
        <v>457</v>
      </c>
      <c r="D689" t="str">
        <f t="shared" si="56"/>
        <v>New -Non-domestic ALL - Mandate on appliance efficiencyBlank - awaiting user to input description, Baseline</v>
      </c>
    </row>
    <row r="690" spans="1:4">
      <c r="A690" t="s">
        <v>478</v>
      </c>
      <c r="B690" t="s">
        <v>453</v>
      </c>
      <c r="C690" t="s">
        <v>458</v>
      </c>
      <c r="D690" t="str">
        <f t="shared" si="56"/>
        <v>New -Non-domestic ALL - Stronger planning requirement for smart controlsBlank - awaiting user to input description, Baseline</v>
      </c>
    </row>
    <row r="691" spans="1:4">
      <c r="A691" t="s">
        <v>478</v>
      </c>
      <c r="B691" t="s">
        <v>459</v>
      </c>
      <c r="C691" t="s">
        <v>460</v>
      </c>
      <c r="D691" t="str">
        <f t="shared" si="56"/>
        <v>Extended Mayoral ProgramsDomestic CAPEXBlank - awaiting user to input description, Baseline</v>
      </c>
    </row>
    <row r="692" spans="1:4">
      <c r="A692" t="s">
        <v>478</v>
      </c>
      <c r="B692" t="s">
        <v>459</v>
      </c>
      <c r="C692" t="s">
        <v>461</v>
      </c>
      <c r="D692" t="str">
        <f t="shared" si="56"/>
        <v>MEESDomestic CAPEXBlank - awaiting user to input description, Baseline</v>
      </c>
    </row>
    <row r="693" spans="1:4">
      <c r="A693" t="s">
        <v>478</v>
      </c>
      <c r="B693" t="s">
        <v>459</v>
      </c>
      <c r="C693" t="s">
        <v>462</v>
      </c>
      <c r="D693" t="str">
        <f t="shared" si="56"/>
        <v>Tax mechanismsDomestic CAPEXBlank - awaiting user to input description, Baseline</v>
      </c>
    </row>
    <row r="694" spans="1:4">
      <c r="A694" t="s">
        <v>478</v>
      </c>
      <c r="B694" t="s">
        <v>459</v>
      </c>
      <c r="C694" t="s">
        <v>463</v>
      </c>
      <c r="D694" t="str">
        <f t="shared" si="56"/>
        <v>Planning requirementsDomestic CAPEXBlank - awaiting user to input description, Baseline</v>
      </c>
    </row>
    <row r="695" spans="1:4">
      <c r="A695" t="s">
        <v>478</v>
      </c>
      <c r="B695" t="s">
        <v>459</v>
      </c>
      <c r="C695" t="s">
        <v>464</v>
      </c>
      <c r="D695" t="str">
        <f t="shared" si="56"/>
        <v>Lighting efficiencyDomestic CAPEXBlank - awaiting user to input description, Baseline</v>
      </c>
    </row>
    <row r="696" spans="1:4">
      <c r="A696" t="s">
        <v>478</v>
      </c>
      <c r="B696" t="s">
        <v>459</v>
      </c>
      <c r="C696" t="s">
        <v>465</v>
      </c>
      <c r="D696" t="str">
        <f t="shared" si="56"/>
        <v>Extended Mayoral ProgramsNon-domestic CAPEXBlank - awaiting user to input description, Baseline</v>
      </c>
    </row>
    <row r="697" spans="1:4">
      <c r="A697" t="s">
        <v>478</v>
      </c>
      <c r="B697" t="s">
        <v>459</v>
      </c>
      <c r="C697" t="s">
        <v>466</v>
      </c>
      <c r="D697" t="str">
        <f t="shared" si="56"/>
        <v>MEESNon-domestic CAPEXBlank - awaiting user to input description, Baseline</v>
      </c>
    </row>
    <row r="698" spans="1:4">
      <c r="A698" t="s">
        <v>478</v>
      </c>
      <c r="B698" t="s">
        <v>459</v>
      </c>
      <c r="C698" t="s">
        <v>467</v>
      </c>
      <c r="D698" t="str">
        <f t="shared" si="56"/>
        <v>Tax mechanismsNon-domestic CAPEXBlank - awaiting user to input description, Baseline</v>
      </c>
    </row>
    <row r="699" spans="1:4">
      <c r="A699" t="s">
        <v>478</v>
      </c>
      <c r="B699" t="s">
        <v>459</v>
      </c>
      <c r="C699" t="s">
        <v>468</v>
      </c>
      <c r="D699" t="str">
        <f t="shared" si="56"/>
        <v>Planning requirementsNon-domestic CAPEXBlank - awaiting user to input description, Baseline</v>
      </c>
    </row>
    <row r="700" spans="1:4">
      <c r="A700" t="s">
        <v>478</v>
      </c>
      <c r="B700" t="s">
        <v>459</v>
      </c>
      <c r="C700" t="s">
        <v>469</v>
      </c>
      <c r="D700" t="str">
        <f t="shared" si="56"/>
        <v>Lighting efficiencyNon-domestic CAPEXBlank - awaiting user to input description, Baseline</v>
      </c>
    </row>
    <row r="701" spans="1:4">
      <c r="A701" t="s">
        <v>478</v>
      </c>
      <c r="B701" t="s">
        <v>459</v>
      </c>
      <c r="C701" t="s">
        <v>470</v>
      </c>
      <c r="D701" t="str">
        <f t="shared" si="56"/>
        <v>AllDomestic CAPEXBlank - awaiting user to input description, Baseline</v>
      </c>
    </row>
    <row r="702" spans="1:4">
      <c r="A702" t="s">
        <v>478</v>
      </c>
      <c r="B702" t="s">
        <v>459</v>
      </c>
      <c r="C702" t="s">
        <v>471</v>
      </c>
      <c r="D702" t="str">
        <f t="shared" si="56"/>
        <v>AllNon-domestic CAPEXBlank - awaiting user to input description, Baseline</v>
      </c>
    </row>
  </sheetData>
  <pageMargins left="0.7" right="0.7" top="0.75" bottom="0.75" header="0.3" footer="0.3"/>
  <pageSetup paperSize="9"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4">
    <tabColor theme="8" tint="0.79998168889431442"/>
    <pageSetUpPr autoPageBreaks="0"/>
  </sheetPr>
  <dimension ref="A1:AN38"/>
  <sheetViews>
    <sheetView zoomScale="80" zoomScaleNormal="80" workbookViewId="0">
      <selection activeCell="O35" sqref="O35"/>
    </sheetView>
  </sheetViews>
  <sheetFormatPr defaultRowHeight="15"/>
  <cols>
    <col min="1" max="1" width="28.140625" bestFit="1" customWidth="1"/>
    <col min="4" max="4" width="18" bestFit="1" customWidth="1"/>
    <col min="5" max="15" width="17" bestFit="1" customWidth="1"/>
    <col min="16" max="25" width="16.85546875" bestFit="1" customWidth="1"/>
    <col min="26" max="40" width="17" bestFit="1" customWidth="1"/>
  </cols>
  <sheetData>
    <row r="1" spans="1:40">
      <c r="C1" s="716" t="s">
        <v>479</v>
      </c>
      <c r="D1" s="717"/>
      <c r="E1" s="717"/>
      <c r="F1" s="717"/>
      <c r="G1" s="717"/>
      <c r="H1" s="718"/>
    </row>
    <row r="2" spans="1:40">
      <c r="A2" t="s">
        <v>480</v>
      </c>
    </row>
    <row r="3" spans="1:40">
      <c r="A3" s="280" t="s">
        <v>481</v>
      </c>
      <c r="B3" s="278" t="s">
        <v>482</v>
      </c>
      <c r="C3" s="278" t="s">
        <v>179</v>
      </c>
      <c r="D3" s="278" t="s">
        <v>367</v>
      </c>
      <c r="E3" s="262">
        <v>2015</v>
      </c>
      <c r="F3" s="263">
        <v>2016</v>
      </c>
      <c r="G3" s="263">
        <v>2017</v>
      </c>
      <c r="H3" s="263">
        <v>2018</v>
      </c>
      <c r="I3" s="263">
        <v>2019</v>
      </c>
      <c r="J3" s="263">
        <v>2020</v>
      </c>
      <c r="K3" s="263">
        <v>2021</v>
      </c>
      <c r="L3" s="263">
        <v>2022</v>
      </c>
      <c r="M3" s="263">
        <v>2023</v>
      </c>
      <c r="N3" s="263">
        <v>2024</v>
      </c>
      <c r="O3" s="263">
        <v>2025</v>
      </c>
      <c r="P3" s="263">
        <v>2026</v>
      </c>
      <c r="Q3" s="263">
        <v>2027</v>
      </c>
      <c r="R3" s="263">
        <v>2028</v>
      </c>
      <c r="S3" s="263">
        <v>2029</v>
      </c>
      <c r="T3" s="263">
        <v>2030</v>
      </c>
      <c r="U3" s="263">
        <v>2031</v>
      </c>
      <c r="V3" s="263">
        <v>2032</v>
      </c>
      <c r="W3" s="263">
        <v>2033</v>
      </c>
      <c r="X3" s="263">
        <v>2034</v>
      </c>
      <c r="Y3" s="263">
        <v>2035</v>
      </c>
      <c r="Z3" s="263">
        <v>2036</v>
      </c>
      <c r="AA3" s="263">
        <v>2037</v>
      </c>
      <c r="AB3" s="263">
        <v>2038</v>
      </c>
      <c r="AC3" s="263">
        <v>2039</v>
      </c>
      <c r="AD3" s="263">
        <v>2040</v>
      </c>
      <c r="AE3" s="263">
        <v>2041</v>
      </c>
      <c r="AF3" s="263">
        <v>2042</v>
      </c>
      <c r="AG3" s="263">
        <v>2043</v>
      </c>
      <c r="AH3" s="263">
        <v>2044</v>
      </c>
      <c r="AI3" s="263">
        <v>2045</v>
      </c>
      <c r="AJ3" s="263">
        <v>2046</v>
      </c>
      <c r="AK3" s="263">
        <v>2047</v>
      </c>
      <c r="AL3" s="263">
        <v>2048</v>
      </c>
      <c r="AM3" s="263">
        <v>2049</v>
      </c>
      <c r="AN3" s="264">
        <v>2050</v>
      </c>
    </row>
    <row r="4" spans="1:40">
      <c r="A4" t="s">
        <v>483</v>
      </c>
      <c r="C4" t="s">
        <v>446</v>
      </c>
      <c r="E4" s="472">
        <f>(E20-$E20)*E$11</f>
        <v>0</v>
      </c>
      <c r="F4" s="472">
        <f>(F20-$E20)*F$11</f>
        <v>143219.99855179235</v>
      </c>
      <c r="G4" s="472">
        <f>(G20-$E20)*G$11</f>
        <v>281146.66094249033</v>
      </c>
      <c r="H4" s="472">
        <f>(H20-$E20)*H$11</f>
        <v>413779.9871721284</v>
      </c>
      <c r="I4" s="472">
        <f t="shared" ref="I4:AN4" si="0">(I20-$E20)*I$11</f>
        <v>541128.85934175318</v>
      </c>
      <c r="J4" s="472">
        <f>(J20-$E20)*J$11</f>
        <v>1608121.6560581883</v>
      </c>
      <c r="K4" s="472">
        <f t="shared" si="0"/>
        <v>3115695.5667008511</v>
      </c>
      <c r="L4" s="472">
        <f t="shared" si="0"/>
        <v>5969606.8244326552</v>
      </c>
      <c r="M4" s="472">
        <f>(M20-$E20)*M$11</f>
        <v>10615715.804047283</v>
      </c>
      <c r="N4" s="472">
        <f t="shared" si="0"/>
        <v>18004939.134412032</v>
      </c>
      <c r="O4" s="472">
        <f t="shared" si="0"/>
        <v>27606013.855514154</v>
      </c>
      <c r="P4" s="472">
        <f t="shared" si="0"/>
        <v>40495200.924004257</v>
      </c>
      <c r="Q4" s="472">
        <f t="shared" si="0"/>
        <v>57503200.683618784</v>
      </c>
      <c r="R4" s="472">
        <f t="shared" si="0"/>
        <v>74614090.960881516</v>
      </c>
      <c r="S4" s="472">
        <f t="shared" si="0"/>
        <v>90952738.049329907</v>
      </c>
      <c r="T4" s="472">
        <f t="shared" si="0"/>
        <v>106223114.86122064</v>
      </c>
      <c r="U4" s="472">
        <f t="shared" si="0"/>
        <v>121744672.15899464</v>
      </c>
      <c r="V4" s="472">
        <f t="shared" si="0"/>
        <v>136823337.07946634</v>
      </c>
      <c r="W4" s="472">
        <f t="shared" si="0"/>
        <v>151497417.96381524</v>
      </c>
      <c r="X4" s="472">
        <f t="shared" si="0"/>
        <v>165648326.64518788</v>
      </c>
      <c r="Y4" s="472">
        <f t="shared" si="0"/>
        <v>178510643.93657172</v>
      </c>
      <c r="Z4" s="472">
        <f t="shared" si="0"/>
        <v>195272406.32946903</v>
      </c>
      <c r="AA4" s="472">
        <f t="shared" si="0"/>
        <v>207559045.41944942</v>
      </c>
      <c r="AB4" s="472">
        <f t="shared" si="0"/>
        <v>216006687.56581128</v>
      </c>
      <c r="AC4" s="472">
        <f t="shared" si="0"/>
        <v>218996407.34090832</v>
      </c>
      <c r="AD4" s="472">
        <f t="shared" si="0"/>
        <v>221923642.65051064</v>
      </c>
      <c r="AE4" s="472">
        <f t="shared" si="0"/>
        <v>224961483.5037224</v>
      </c>
      <c r="AF4" s="472">
        <f t="shared" si="0"/>
        <v>227919421.67583102</v>
      </c>
      <c r="AG4" s="472">
        <f t="shared" si="0"/>
        <v>230811518.96924365</v>
      </c>
      <c r="AH4" s="472">
        <f t="shared" si="0"/>
        <v>233651810.42438284</v>
      </c>
      <c r="AI4" s="472">
        <f t="shared" si="0"/>
        <v>236454298.7525028</v>
      </c>
      <c r="AJ4" s="472">
        <f t="shared" si="0"/>
        <v>239028348.3225261</v>
      </c>
      <c r="AK4" s="472">
        <f t="shared" si="0"/>
        <v>241707012.27248111</v>
      </c>
      <c r="AL4" s="472">
        <f t="shared" si="0"/>
        <v>244492042.17700151</v>
      </c>
      <c r="AM4" s="472">
        <f t="shared" si="0"/>
        <v>247385231.85580671</v>
      </c>
      <c r="AN4" s="472">
        <f t="shared" si="0"/>
        <v>250388417.15670255</v>
      </c>
    </row>
    <row r="5" spans="1:40">
      <c r="A5" t="s">
        <v>484</v>
      </c>
      <c r="C5" t="s">
        <v>446</v>
      </c>
      <c r="D5" s="202"/>
      <c r="E5" s="617">
        <f>E22*E11</f>
        <v>308551198.30478942</v>
      </c>
      <c r="F5" s="472">
        <f t="shared" ref="F5:AN5" si="1">F22*F11</f>
        <v>308374709.70089883</v>
      </c>
      <c r="G5" s="472">
        <f t="shared" si="1"/>
        <v>308204744.02340424</v>
      </c>
      <c r="H5" s="472">
        <f t="shared" si="1"/>
        <v>308041301.27230573</v>
      </c>
      <c r="I5" s="472">
        <f t="shared" si="1"/>
        <v>307884370.50227684</v>
      </c>
      <c r="J5" s="472">
        <f t="shared" si="1"/>
        <v>306569525.71133995</v>
      </c>
      <c r="K5" s="472">
        <f t="shared" si="1"/>
        <v>304711757.12146664</v>
      </c>
      <c r="L5" s="472">
        <f t="shared" si="1"/>
        <v>301194910.1825062</v>
      </c>
      <c r="M5" s="472">
        <f t="shared" si="1"/>
        <v>295469555.51397318</v>
      </c>
      <c r="N5" s="472">
        <f t="shared" si="1"/>
        <v>286363887.85164326</v>
      </c>
      <c r="O5" s="472">
        <f t="shared" si="1"/>
        <v>274532577.34674925</v>
      </c>
      <c r="P5" s="472">
        <f t="shared" si="1"/>
        <v>258649358.14548615</v>
      </c>
      <c r="Q5" s="472">
        <f t="shared" si="1"/>
        <v>237690566.33638927</v>
      </c>
      <c r="R5" s="472">
        <f t="shared" si="1"/>
        <v>216604983.54840025</v>
      </c>
      <c r="S5" s="472">
        <f t="shared" si="1"/>
        <v>196471028.49142659</v>
      </c>
      <c r="T5" s="472">
        <f t="shared" si="1"/>
        <v>177653492.45130777</v>
      </c>
      <c r="U5" s="472">
        <f t="shared" si="1"/>
        <v>158526429.15433684</v>
      </c>
      <c r="V5" s="472">
        <f t="shared" si="1"/>
        <v>139945137.80356234</v>
      </c>
      <c r="W5" s="472">
        <f t="shared" si="1"/>
        <v>121862411.40470645</v>
      </c>
      <c r="X5" s="472">
        <f t="shared" si="1"/>
        <v>104424384.99629401</v>
      </c>
      <c r="Y5" s="472">
        <f t="shared" si="1"/>
        <v>88574277.158641309</v>
      </c>
      <c r="Z5" s="472">
        <f t="shared" si="1"/>
        <v>67918921.24897927</v>
      </c>
      <c r="AA5" s="472">
        <f t="shared" si="1"/>
        <v>52778216.030257665</v>
      </c>
      <c r="AB5" s="472">
        <f t="shared" si="1"/>
        <v>42368269.2095998</v>
      </c>
      <c r="AC5" s="472">
        <f t="shared" si="1"/>
        <v>38684066.762549654</v>
      </c>
      <c r="AD5" s="472">
        <f t="shared" si="1"/>
        <v>35076863.311390698</v>
      </c>
      <c r="AE5" s="472">
        <f t="shared" si="1"/>
        <v>31333361.730280753</v>
      </c>
      <c r="AF5" s="472">
        <f t="shared" si="1"/>
        <v>27688323.441850662</v>
      </c>
      <c r="AG5" s="472">
        <f t="shared" si="1"/>
        <v>24124420.22448248</v>
      </c>
      <c r="AH5" s="472">
        <f t="shared" si="1"/>
        <v>20624356.835090175</v>
      </c>
      <c r="AI5" s="472">
        <f t="shared" si="1"/>
        <v>17170877.869505968</v>
      </c>
      <c r="AJ5" s="472">
        <f t="shared" si="1"/>
        <v>13998901.751978263</v>
      </c>
      <c r="AK5" s="472">
        <f t="shared" si="1"/>
        <v>10698010.356921468</v>
      </c>
      <c r="AL5" s="472">
        <f t="shared" si="1"/>
        <v>7266045.2360402662</v>
      </c>
      <c r="AM5" s="472">
        <f t="shared" si="1"/>
        <v>3700795.8828335721</v>
      </c>
      <c r="AN5" s="472">
        <f t="shared" si="1"/>
        <v>0</v>
      </c>
    </row>
    <row r="6" spans="1:40">
      <c r="A6" t="s">
        <v>485</v>
      </c>
      <c r="C6" t="s">
        <v>446</v>
      </c>
      <c r="D6" s="202"/>
      <c r="E6" s="472">
        <f>E21*E$11</f>
        <v>0</v>
      </c>
      <c r="F6" s="509">
        <f>F21*F$11</f>
        <v>6228678.5928701609</v>
      </c>
      <c r="G6" s="472">
        <f>G21*G$11</f>
        <v>12457357.185740322</v>
      </c>
      <c r="H6" s="472">
        <f>H21*H$11</f>
        <v>18686035.778610483</v>
      </c>
      <c r="I6" s="472">
        <f t="shared" ref="I6:AN6" si="2">I21*I$11</f>
        <v>24914714.371480644</v>
      </c>
      <c r="J6" s="472">
        <f>J21*J$11</f>
        <v>31143392.964350794</v>
      </c>
      <c r="K6" s="472">
        <f t="shared" si="2"/>
        <v>36414864.047788918</v>
      </c>
      <c r="L6" s="472">
        <f t="shared" si="2"/>
        <v>41686335.131227046</v>
      </c>
      <c r="M6" s="472">
        <f t="shared" si="2"/>
        <v>46957806.214665174</v>
      </c>
      <c r="N6" s="472">
        <f t="shared" si="2"/>
        <v>52229277.29810331</v>
      </c>
      <c r="O6" s="472">
        <f>O21*O$11</f>
        <v>57500748.381541483</v>
      </c>
      <c r="P6" s="472">
        <f t="shared" si="2"/>
        <v>61768284.546257153</v>
      </c>
      <c r="Q6" s="472">
        <f t="shared" si="2"/>
        <v>66035820.710972838</v>
      </c>
      <c r="R6" s="472">
        <f t="shared" si="2"/>
        <v>70303356.875688538</v>
      </c>
      <c r="S6" s="472">
        <f t="shared" si="2"/>
        <v>74570893.04040423</v>
      </c>
      <c r="T6" s="472">
        <f t="shared" si="2"/>
        <v>78838429.205119908</v>
      </c>
      <c r="U6" s="472">
        <f t="shared" si="2"/>
        <v>80805711.586393863</v>
      </c>
      <c r="V6" s="472">
        <f t="shared" si="2"/>
        <v>82772993.967667818</v>
      </c>
      <c r="W6" s="472">
        <f t="shared" si="2"/>
        <v>84740276.348941758</v>
      </c>
      <c r="X6" s="472">
        <f t="shared" si="2"/>
        <v>86707558.730215713</v>
      </c>
      <c r="Y6" s="472">
        <f t="shared" si="2"/>
        <v>88674841.111489639</v>
      </c>
      <c r="Z6" s="472">
        <f t="shared" si="2"/>
        <v>90642123.492763624</v>
      </c>
      <c r="AA6" s="472">
        <f t="shared" si="2"/>
        <v>92609405.874037564</v>
      </c>
      <c r="AB6" s="472">
        <f t="shared" si="2"/>
        <v>94576688.255311504</v>
      </c>
      <c r="AC6" s="472">
        <f t="shared" si="2"/>
        <v>96543970.636585474</v>
      </c>
      <c r="AD6" s="472">
        <f t="shared" si="2"/>
        <v>98511253.017859593</v>
      </c>
      <c r="AE6" s="472">
        <f t="shared" si="2"/>
        <v>100478535.39913356</v>
      </c>
      <c r="AF6" s="472">
        <f t="shared" si="2"/>
        <v>102445817.78040758</v>
      </c>
      <c r="AG6" s="472">
        <f t="shared" si="2"/>
        <v>104413100.16168159</v>
      </c>
      <c r="AH6" s="472">
        <f t="shared" si="2"/>
        <v>106380382.54295558</v>
      </c>
      <c r="AI6" s="472">
        <f t="shared" si="2"/>
        <v>108347664.92422961</v>
      </c>
      <c r="AJ6" s="472">
        <f t="shared" si="2"/>
        <v>110314947.30550362</v>
      </c>
      <c r="AK6" s="472">
        <f t="shared" si="2"/>
        <v>112282229.68677761</v>
      </c>
      <c r="AL6" s="472">
        <f t="shared" si="2"/>
        <v>114249512.06805159</v>
      </c>
      <c r="AM6" s="472">
        <f t="shared" si="2"/>
        <v>116216794.44932561</v>
      </c>
      <c r="AN6" s="472">
        <f t="shared" si="2"/>
        <v>118184076.83059946</v>
      </c>
    </row>
    <row r="7" spans="1:40">
      <c r="A7" t="s">
        <v>486</v>
      </c>
      <c r="C7" t="s">
        <v>446</v>
      </c>
      <c r="E7" s="472">
        <f>E23*E11</f>
        <v>0</v>
      </c>
      <c r="F7" s="472">
        <f>F23*F11</f>
        <v>0</v>
      </c>
      <c r="G7" s="472">
        <f>G23*G11</f>
        <v>0</v>
      </c>
      <c r="H7" s="472">
        <f>H23*H11</f>
        <v>0</v>
      </c>
      <c r="I7" s="472">
        <f t="shared" ref="I7:AN7" si="3">I23*I11</f>
        <v>0</v>
      </c>
      <c r="J7" s="472">
        <f>J23*J11</f>
        <v>0</v>
      </c>
      <c r="K7" s="472">
        <f t="shared" si="3"/>
        <v>0</v>
      </c>
      <c r="L7" s="472">
        <f t="shared" si="3"/>
        <v>0</v>
      </c>
      <c r="M7" s="472">
        <f t="shared" si="3"/>
        <v>0</v>
      </c>
      <c r="N7" s="472">
        <f t="shared" si="3"/>
        <v>0</v>
      </c>
      <c r="O7" s="472">
        <f t="shared" si="3"/>
        <v>0</v>
      </c>
      <c r="P7" s="472">
        <f t="shared" si="3"/>
        <v>0</v>
      </c>
      <c r="Q7" s="472">
        <f t="shared" si="3"/>
        <v>0</v>
      </c>
      <c r="R7" s="472">
        <f t="shared" si="3"/>
        <v>0</v>
      </c>
      <c r="S7" s="472">
        <f t="shared" si="3"/>
        <v>0</v>
      </c>
      <c r="T7" s="472">
        <f t="shared" si="3"/>
        <v>0</v>
      </c>
      <c r="U7" s="472">
        <f t="shared" si="3"/>
        <v>0</v>
      </c>
      <c r="V7" s="472">
        <f t="shared" si="3"/>
        <v>0</v>
      </c>
      <c r="W7" s="472">
        <f t="shared" si="3"/>
        <v>0</v>
      </c>
      <c r="X7" s="472">
        <f t="shared" si="3"/>
        <v>0</v>
      </c>
      <c r="Y7" s="472">
        <f t="shared" si="3"/>
        <v>0</v>
      </c>
      <c r="Z7" s="472">
        <f t="shared" si="3"/>
        <v>0</v>
      </c>
      <c r="AA7" s="472">
        <f t="shared" si="3"/>
        <v>0</v>
      </c>
      <c r="AB7" s="472">
        <f t="shared" si="3"/>
        <v>0</v>
      </c>
      <c r="AC7" s="472">
        <f t="shared" si="3"/>
        <v>0</v>
      </c>
      <c r="AD7" s="472">
        <f t="shared" si="3"/>
        <v>0</v>
      </c>
      <c r="AE7" s="472">
        <f t="shared" si="3"/>
        <v>0</v>
      </c>
      <c r="AF7" s="472">
        <f t="shared" si="3"/>
        <v>0</v>
      </c>
      <c r="AG7" s="472">
        <f t="shared" si="3"/>
        <v>0</v>
      </c>
      <c r="AH7" s="472">
        <f t="shared" si="3"/>
        <v>0</v>
      </c>
      <c r="AI7" s="472">
        <f t="shared" si="3"/>
        <v>0</v>
      </c>
      <c r="AJ7" s="472">
        <f t="shared" si="3"/>
        <v>0</v>
      </c>
      <c r="AK7" s="472">
        <f t="shared" si="3"/>
        <v>0</v>
      </c>
      <c r="AL7" s="472">
        <f t="shared" si="3"/>
        <v>0</v>
      </c>
      <c r="AM7" s="472">
        <f t="shared" si="3"/>
        <v>0</v>
      </c>
      <c r="AN7" s="472">
        <f t="shared" si="3"/>
        <v>0</v>
      </c>
    </row>
    <row r="8" spans="1:40">
      <c r="A8" t="s">
        <v>487</v>
      </c>
      <c r="C8" t="s">
        <v>446</v>
      </c>
      <c r="E8" s="472">
        <f>E30*E12*(1-E17)</f>
        <v>879508526.54965913</v>
      </c>
      <c r="F8" s="472">
        <f t="shared" ref="F8:AN8" si="4">F30*F12*(1-F17)</f>
        <v>864344891.03342783</v>
      </c>
      <c r="G8" s="472">
        <f t="shared" si="4"/>
        <v>855456163.60833728</v>
      </c>
      <c r="H8" s="472">
        <f t="shared" si="4"/>
        <v>846769356.28270781</v>
      </c>
      <c r="I8" s="472">
        <f t="shared" si="4"/>
        <v>838282691.32252026</v>
      </c>
      <c r="J8" s="472">
        <f t="shared" si="4"/>
        <v>744350685.42422771</v>
      </c>
      <c r="K8" s="472">
        <f t="shared" si="4"/>
        <v>675325622.21545398</v>
      </c>
      <c r="L8" s="472">
        <f t="shared" si="4"/>
        <v>576479923.63873076</v>
      </c>
      <c r="M8" s="472">
        <f t="shared" si="4"/>
        <v>497767037.24058932</v>
      </c>
      <c r="N8" s="472">
        <f t="shared" si="4"/>
        <v>433151969.25356662</v>
      </c>
      <c r="O8" s="472">
        <f t="shared" si="4"/>
        <v>378844044.0227921</v>
      </c>
      <c r="P8" s="472">
        <f t="shared" si="4"/>
        <v>334286198.12246037</v>
      </c>
      <c r="Q8" s="472">
        <f t="shared" si="4"/>
        <v>292854035.53826141</v>
      </c>
      <c r="R8" s="472">
        <f t="shared" si="4"/>
        <v>255923025.85408393</v>
      </c>
      <c r="S8" s="472">
        <f t="shared" si="4"/>
        <v>222815827.81816083</v>
      </c>
      <c r="T8" s="472">
        <f t="shared" si="4"/>
        <v>193001858.26042849</v>
      </c>
      <c r="U8" s="472">
        <f t="shared" si="4"/>
        <v>176492970.20456994</v>
      </c>
      <c r="V8" s="472">
        <f t="shared" si="4"/>
        <v>162038077.62765524</v>
      </c>
      <c r="W8" s="472">
        <f t="shared" si="4"/>
        <v>149374696.76984718</v>
      </c>
      <c r="X8" s="472">
        <f t="shared" si="4"/>
        <v>138283472.73731753</v>
      </c>
      <c r="Y8" s="472">
        <f t="shared" si="4"/>
        <v>130196248.08529828</v>
      </c>
      <c r="Z8" s="472">
        <f t="shared" si="4"/>
        <v>114952864.60364792</v>
      </c>
      <c r="AA8" s="472">
        <f t="shared" si="4"/>
        <v>101474856.56945753</v>
      </c>
      <c r="AB8" s="472">
        <f t="shared" si="4"/>
        <v>89502672.189692006</v>
      </c>
      <c r="AC8" s="472">
        <f t="shared" si="4"/>
        <v>78808095.508679405</v>
      </c>
      <c r="AD8" s="472">
        <f t="shared" si="4"/>
        <v>69189089.200470373</v>
      </c>
      <c r="AE8" s="472">
        <f t="shared" si="4"/>
        <v>60465648.91463241</v>
      </c>
      <c r="AF8" s="472">
        <f t="shared" si="4"/>
        <v>52476441.602201372</v>
      </c>
      <c r="AG8" s="472">
        <f t="shared" si="4"/>
        <v>45076057.440970913</v>
      </c>
      <c r="AH8" s="472">
        <f t="shared" si="4"/>
        <v>38132746.414093353</v>
      </c>
      <c r="AI8" s="472">
        <f t="shared" si="4"/>
        <v>31526540.967630472</v>
      </c>
      <c r="AJ8" s="472">
        <f t="shared" si="4"/>
        <v>25147688.679153401</v>
      </c>
      <c r="AK8" s="472">
        <f t="shared" si="4"/>
        <v>18895335.718604386</v>
      </c>
      <c r="AL8" s="472">
        <f t="shared" si="4"/>
        <v>12676414.617574858</v>
      </c>
      <c r="AM8" s="472">
        <f t="shared" si="4"/>
        <v>6404699.5753687117</v>
      </c>
      <c r="AN8" s="472">
        <f t="shared" si="4"/>
        <v>0</v>
      </c>
    </row>
    <row r="9" spans="1:40">
      <c r="A9" t="s">
        <v>488</v>
      </c>
      <c r="E9" s="472">
        <f>E30*E12*E17</f>
        <v>167525433.62850654</v>
      </c>
      <c r="F9" s="472">
        <f t="shared" ref="F9:AN9" si="5">F30*F12*F17</f>
        <v>178847770.84902182</v>
      </c>
      <c r="G9" s="472">
        <f t="shared" si="5"/>
        <v>183895199.97839615</v>
      </c>
      <c r="H9" s="472">
        <f t="shared" si="5"/>
        <v>188740709.0083096</v>
      </c>
      <c r="I9" s="472">
        <f t="shared" si="5"/>
        <v>193386075.67278102</v>
      </c>
      <c r="J9" s="472">
        <f t="shared" si="5"/>
        <v>283476783.27535754</v>
      </c>
      <c r="K9" s="472">
        <f t="shared" si="5"/>
        <v>348660548.18841487</v>
      </c>
      <c r="L9" s="472">
        <f t="shared" si="5"/>
        <v>443664948.46942216</v>
      </c>
      <c r="M9" s="472">
        <f t="shared" si="5"/>
        <v>518536536.57184738</v>
      </c>
      <c r="N9" s="472">
        <f t="shared" si="5"/>
        <v>579310306.26315403</v>
      </c>
      <c r="O9" s="472">
        <f t="shared" si="5"/>
        <v>629776933.19821239</v>
      </c>
      <c r="P9" s="472">
        <f t="shared" si="5"/>
        <v>680278807.70633292</v>
      </c>
      <c r="Q9" s="472">
        <f t="shared" si="5"/>
        <v>727654998.89832067</v>
      </c>
      <c r="R9" s="472">
        <f t="shared" si="5"/>
        <v>770530037.19028711</v>
      </c>
      <c r="S9" s="472">
        <f t="shared" si="5"/>
        <v>809581263.83399904</v>
      </c>
      <c r="T9" s="472">
        <f t="shared" si="5"/>
        <v>845339261.99952006</v>
      </c>
      <c r="U9" s="472">
        <f t="shared" si="5"/>
        <v>867792178.66316748</v>
      </c>
      <c r="V9" s="472">
        <f t="shared" si="5"/>
        <v>888191099.84787107</v>
      </c>
      <c r="W9" s="472">
        <f t="shared" si="5"/>
        <v>906798509.3134681</v>
      </c>
      <c r="X9" s="472">
        <f t="shared" si="5"/>
        <v>923833761.95378649</v>
      </c>
      <c r="Y9" s="472">
        <f t="shared" si="5"/>
        <v>937865015.21359456</v>
      </c>
      <c r="Z9" s="472">
        <f t="shared" si="5"/>
        <v>959052427.30303383</v>
      </c>
      <c r="AA9" s="472">
        <f t="shared" si="5"/>
        <v>978474463.94501305</v>
      </c>
      <c r="AB9" s="472">
        <f t="shared" si="5"/>
        <v>996390676.93256736</v>
      </c>
      <c r="AC9" s="472">
        <f t="shared" si="5"/>
        <v>1013029282.2213688</v>
      </c>
      <c r="AD9" s="472">
        <f t="shared" si="5"/>
        <v>1028592317.1373667</v>
      </c>
      <c r="AE9" s="472">
        <f t="shared" si="5"/>
        <v>1043259786.0309933</v>
      </c>
      <c r="AF9" s="472">
        <f t="shared" si="5"/>
        <v>1057193021.9512132</v>
      </c>
      <c r="AG9" s="472">
        <f t="shared" si="5"/>
        <v>1070537434.7202325</v>
      </c>
      <c r="AH9" s="472">
        <f t="shared" si="5"/>
        <v>1083424774.3548989</v>
      </c>
      <c r="AI9" s="472">
        <f t="shared" si="5"/>
        <v>1095975008.4091508</v>
      </c>
      <c r="AJ9" s="472">
        <f t="shared" si="5"/>
        <v>1108297889.3054166</v>
      </c>
      <c r="AK9" s="472">
        <f t="shared" si="5"/>
        <v>1120494270.8737545</v>
      </c>
      <c r="AL9" s="472">
        <f t="shared" si="5"/>
        <v>1132657220.5825727</v>
      </c>
      <c r="AM9" s="472">
        <f t="shared" si="5"/>
        <v>1144872964.2325678</v>
      </c>
      <c r="AN9" s="472">
        <f t="shared" si="5"/>
        <v>1157221692.4157252</v>
      </c>
    </row>
    <row r="10" spans="1:40">
      <c r="E10" s="159"/>
      <c r="F10" s="159"/>
      <c r="G10" s="159"/>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9"/>
    </row>
    <row r="11" spans="1:40">
      <c r="A11" t="s">
        <v>489</v>
      </c>
      <c r="B11" t="s">
        <v>490</v>
      </c>
      <c r="E11" s="184">
        <f>'3.1 Building Energy'!B20</f>
        <v>0.28909053125417328</v>
      </c>
      <c r="F11" s="184">
        <f>'3.1 Building Energy'!C20</f>
        <v>0.28909053125417328</v>
      </c>
      <c r="G11" s="184">
        <f>'3.1 Building Energy'!D20</f>
        <v>0.28909053125417328</v>
      </c>
      <c r="H11" s="184">
        <f>'3.1 Building Energy'!E20</f>
        <v>0.28909053125417328</v>
      </c>
      <c r="I11" s="184">
        <f>'3.1 Building Energy'!F20</f>
        <v>0.28909053125417328</v>
      </c>
      <c r="J11" s="184">
        <f>'3.1 Building Energy'!G20</f>
        <v>0.28909053125417328</v>
      </c>
      <c r="K11" s="184">
        <f>'3.1 Building Energy'!H20</f>
        <v>0.28909053125417328</v>
      </c>
      <c r="L11" s="184">
        <f>'3.1 Building Energy'!I20</f>
        <v>0.28909053125417328</v>
      </c>
      <c r="M11" s="184">
        <f>'3.1 Building Energy'!J20</f>
        <v>0.28909053125417328</v>
      </c>
      <c r="N11" s="184">
        <f>'3.1 Building Energy'!K20</f>
        <v>0.28909053125417328</v>
      </c>
      <c r="O11" s="184">
        <f>'3.1 Building Energy'!L20</f>
        <v>0.28909053125417328</v>
      </c>
      <c r="P11" s="184">
        <f>'3.1 Building Energy'!M20</f>
        <v>0.28909053125417328</v>
      </c>
      <c r="Q11" s="184">
        <f>'3.1 Building Energy'!N20</f>
        <v>0.28909053125417328</v>
      </c>
      <c r="R11" s="184">
        <f>'3.1 Building Energy'!O20</f>
        <v>0.28909053125417328</v>
      </c>
      <c r="S11" s="184">
        <f>'3.1 Building Energy'!P20</f>
        <v>0.28909053125417328</v>
      </c>
      <c r="T11" s="184">
        <f>'3.1 Building Energy'!Q20</f>
        <v>0.28909053125417328</v>
      </c>
      <c r="U11" s="184">
        <f>'3.1 Building Energy'!R20</f>
        <v>0.28909053125417328</v>
      </c>
      <c r="V11" s="184">
        <f>'3.1 Building Energy'!S20</f>
        <v>0.28909053125417328</v>
      </c>
      <c r="W11" s="184">
        <f>'3.1 Building Energy'!T20</f>
        <v>0.28909053125417328</v>
      </c>
      <c r="X11" s="184">
        <f>'3.1 Building Energy'!U20</f>
        <v>0.28909053125417328</v>
      </c>
      <c r="Y11" s="184">
        <f>'3.1 Building Energy'!V20</f>
        <v>0.28909053125417328</v>
      </c>
      <c r="Z11" s="184">
        <f>'3.1 Building Energy'!W20</f>
        <v>0.28909053125417328</v>
      </c>
      <c r="AA11" s="184">
        <f>'3.1 Building Energy'!X20</f>
        <v>0.28909053125417328</v>
      </c>
      <c r="AB11" s="184">
        <f>'3.1 Building Energy'!Y20</f>
        <v>0.28909053125417328</v>
      </c>
      <c r="AC11" s="184">
        <f>'3.1 Building Energy'!Z20</f>
        <v>0.28909053125417328</v>
      </c>
      <c r="AD11" s="184">
        <f>'3.1 Building Energy'!AA20</f>
        <v>0.28909053125417328</v>
      </c>
      <c r="AE11" s="184">
        <f>'3.1 Building Energy'!AB20</f>
        <v>0.28909053125417328</v>
      </c>
      <c r="AF11" s="184">
        <f>'3.1 Building Energy'!AC20</f>
        <v>0.28909053125417328</v>
      </c>
      <c r="AG11" s="184">
        <f>'3.1 Building Energy'!AD20</f>
        <v>0.28909053125417328</v>
      </c>
      <c r="AH11" s="184">
        <f>'3.1 Building Energy'!AE20</f>
        <v>0.28909053125417328</v>
      </c>
      <c r="AI11" s="184">
        <f>'3.1 Building Energy'!AF20</f>
        <v>0.28909053125417328</v>
      </c>
      <c r="AJ11" s="184">
        <f>'3.1 Building Energy'!AG20</f>
        <v>0.28909053125417328</v>
      </c>
      <c r="AK11" s="184">
        <f>'3.1 Building Energy'!AH20</f>
        <v>0.28909053125417328</v>
      </c>
      <c r="AL11" s="184">
        <f>'3.1 Building Energy'!AI20</f>
        <v>0.28909053125417328</v>
      </c>
      <c r="AM11" s="184">
        <f>'3.1 Building Energy'!AJ20</f>
        <v>0.28909053125417328</v>
      </c>
      <c r="AN11" s="184">
        <f>'3.1 Building Energy'!AK20</f>
        <v>0.28909053125417328</v>
      </c>
    </row>
    <row r="12" spans="1:40">
      <c r="A12" t="s">
        <v>491</v>
      </c>
      <c r="B12" t="s">
        <v>490</v>
      </c>
      <c r="E12" s="184">
        <f>'3.1 Building Energy'!B21</f>
        <v>0.57393452752298657</v>
      </c>
      <c r="F12" s="184">
        <f>'3.1 Building Energy'!C21</f>
        <v>0.57393452752298657</v>
      </c>
      <c r="G12" s="184">
        <f>'3.1 Building Energy'!D21</f>
        <v>0.57393452752298657</v>
      </c>
      <c r="H12" s="184">
        <f>'3.1 Building Energy'!E21</f>
        <v>0.57393452752298657</v>
      </c>
      <c r="I12" s="184">
        <f>'3.1 Building Energy'!F21</f>
        <v>0.57393452752298657</v>
      </c>
      <c r="J12" s="184">
        <f>'3.1 Building Energy'!G21</f>
        <v>0.57393452752298657</v>
      </c>
      <c r="K12" s="184">
        <f>'3.1 Building Energy'!H21</f>
        <v>0.57393452752298657</v>
      </c>
      <c r="L12" s="184">
        <f>'3.1 Building Energy'!I21</f>
        <v>0.57393452752298657</v>
      </c>
      <c r="M12" s="184">
        <f>'3.1 Building Energy'!J21</f>
        <v>0.57393452752298657</v>
      </c>
      <c r="N12" s="184">
        <f>'3.1 Building Energy'!K21</f>
        <v>0.57393452752298657</v>
      </c>
      <c r="O12" s="184">
        <f>'3.1 Building Energy'!L21</f>
        <v>0.57393452752298657</v>
      </c>
      <c r="P12" s="184">
        <f>'3.1 Building Energy'!M21</f>
        <v>0.57393452752298657</v>
      </c>
      <c r="Q12" s="184">
        <f>'3.1 Building Energy'!N21</f>
        <v>0.57393452752298657</v>
      </c>
      <c r="R12" s="184">
        <f>'3.1 Building Energy'!O21</f>
        <v>0.57393452752298657</v>
      </c>
      <c r="S12" s="184">
        <f>'3.1 Building Energy'!P21</f>
        <v>0.57393452752298657</v>
      </c>
      <c r="T12" s="184">
        <f>'3.1 Building Energy'!Q21</f>
        <v>0.57393452752298657</v>
      </c>
      <c r="U12" s="184">
        <f>'3.1 Building Energy'!R21</f>
        <v>0.57393452752298657</v>
      </c>
      <c r="V12" s="184">
        <f>'3.1 Building Energy'!S21</f>
        <v>0.57393452752298657</v>
      </c>
      <c r="W12" s="184">
        <f>'3.1 Building Energy'!T21</f>
        <v>0.57393452752298657</v>
      </c>
      <c r="X12" s="184">
        <f>'3.1 Building Energy'!U21</f>
        <v>0.57393452752298657</v>
      </c>
      <c r="Y12" s="184">
        <f>'3.1 Building Energy'!V21</f>
        <v>0.57393452752298657</v>
      </c>
      <c r="Z12" s="184">
        <f>'3.1 Building Energy'!W21</f>
        <v>0.57393452752298657</v>
      </c>
      <c r="AA12" s="184">
        <f>'3.1 Building Energy'!X21</f>
        <v>0.57393452752298657</v>
      </c>
      <c r="AB12" s="184">
        <f>'3.1 Building Energy'!Y21</f>
        <v>0.57393452752298657</v>
      </c>
      <c r="AC12" s="184">
        <f>'3.1 Building Energy'!Z21</f>
        <v>0.57393452752298657</v>
      </c>
      <c r="AD12" s="184">
        <f>'3.1 Building Energy'!AA21</f>
        <v>0.57393452752298657</v>
      </c>
      <c r="AE12" s="184">
        <f>'3.1 Building Energy'!AB21</f>
        <v>0.57393452752298657</v>
      </c>
      <c r="AF12" s="184">
        <f>'3.1 Building Energy'!AC21</f>
        <v>0.57393452752298657</v>
      </c>
      <c r="AG12" s="184">
        <f>'3.1 Building Energy'!AD21</f>
        <v>0.57393452752298657</v>
      </c>
      <c r="AH12" s="184">
        <f>'3.1 Building Energy'!AE21</f>
        <v>0.57393452752298657</v>
      </c>
      <c r="AI12" s="184">
        <f>'3.1 Building Energy'!AF21</f>
        <v>0.57393452752298657</v>
      </c>
      <c r="AJ12" s="184">
        <f>'3.1 Building Energy'!AG21</f>
        <v>0.57393452752298657</v>
      </c>
      <c r="AK12" s="184">
        <f>'3.1 Building Energy'!AH21</f>
        <v>0.57393452752298657</v>
      </c>
      <c r="AL12" s="184">
        <f>'3.1 Building Energy'!AI21</f>
        <v>0.57393452752298657</v>
      </c>
      <c r="AM12" s="184">
        <f>'3.1 Building Energy'!AJ21</f>
        <v>0.57393452752298657</v>
      </c>
      <c r="AN12" s="184">
        <f>'3.1 Building Energy'!AK21</f>
        <v>0.57393452752298657</v>
      </c>
    </row>
    <row r="14" spans="1:40" s="305" customFormat="1">
      <c r="A14" s="305" t="s">
        <v>492</v>
      </c>
      <c r="B14" s="305" t="s">
        <v>482</v>
      </c>
      <c r="C14" s="305" t="s">
        <v>179</v>
      </c>
      <c r="D14" s="305" t="s">
        <v>367</v>
      </c>
    </row>
    <row r="15" spans="1:40" ht="18.75" customHeight="1">
      <c r="A15" t="s">
        <v>438</v>
      </c>
      <c r="E15" s="436">
        <f>(1-'Allocation of heat'!E23)</f>
        <v>8.459341538539944E-2</v>
      </c>
      <c r="F15" s="436">
        <f>(1-'Allocation of heat'!F23)</f>
        <v>8.5117019996234E-2</v>
      </c>
      <c r="G15" s="436">
        <f>(1-'Allocation of heat'!G23)</f>
        <v>8.5621272454794561E-2</v>
      </c>
      <c r="H15" s="309">
        <f>(1-'Allocation of heat'!H23)</f>
        <v>8.6106172761081234E-2</v>
      </c>
      <c r="I15" s="309">
        <f>(1-'Allocation of heat'!I23)</f>
        <v>8.6571753387578054E-2</v>
      </c>
      <c r="J15" s="615">
        <f>(1-'Allocation of heat'!J23)</f>
        <v>9.0472621658330588E-2</v>
      </c>
      <c r="K15" s="615">
        <f>(1-'Allocation of heat'!K23)</f>
        <v>9.5984230782532931E-2</v>
      </c>
      <c r="L15" s="615">
        <f>(1-'Allocation of heat'!L23)</f>
        <v>0.10641797682757648</v>
      </c>
      <c r="M15" s="615">
        <f>(1-'Allocation of heat'!M23)</f>
        <v>0.12340390134066803</v>
      </c>
      <c r="N15" s="615">
        <f>(1-'Allocation of heat'!N23)</f>
        <v>0.15041850436669568</v>
      </c>
      <c r="O15" s="615">
        <f>(1-'Allocation of heat'!O23)</f>
        <v>0.18551951710073633</v>
      </c>
      <c r="P15" s="309">
        <f>(1-'Allocation of heat'!P23)</f>
        <v>0.23264169170772309</v>
      </c>
      <c r="Q15" s="309">
        <f>(1-'Allocation of heat'!Q23)</f>
        <v>0.29482202396059587</v>
      </c>
      <c r="R15" s="309">
        <f>(1-'Allocation of heat'!R23)</f>
        <v>0.35737851841146129</v>
      </c>
      <c r="S15" s="309">
        <f>(1-'Allocation of heat'!S23)</f>
        <v>0.41711173330334461</v>
      </c>
      <c r="T15" s="309">
        <f>(1-'Allocation of heat'!T23)</f>
        <v>0.47293940952689195</v>
      </c>
      <c r="U15" s="309">
        <f>(1-'Allocation of heat'!U23)</f>
        <v>0.52968538809571242</v>
      </c>
      <c r="V15" s="309">
        <f>(1-'Allocation of heat'!V23)</f>
        <v>0.58481217595650437</v>
      </c>
      <c r="W15" s="309">
        <f>(1-'Allocation of heat'!W23)</f>
        <v>0.63845982634399612</v>
      </c>
      <c r="X15" s="309">
        <f>(1-'Allocation of heat'!X23)</f>
        <v>0.69019478729908457</v>
      </c>
      <c r="Y15" s="309">
        <f>(1-'Allocation of heat'!Y23)</f>
        <v>0.7372187274463089</v>
      </c>
      <c r="Z15" s="309">
        <f>(1-'Allocation of heat'!Z23)</f>
        <v>0.7984988291316869</v>
      </c>
      <c r="AA15" s="309">
        <f>(1-'Allocation of heat'!AA23)</f>
        <v>0.84341812074058053</v>
      </c>
      <c r="AB15" s="309">
        <f>(1-'Allocation of heat'!AB23)</f>
        <v>0.87430224602504913</v>
      </c>
      <c r="AC15" s="309">
        <f>(1-'Allocation of heat'!AC23)</f>
        <v>0.88523250070437631</v>
      </c>
      <c r="AD15" s="309">
        <f>(1-'Allocation of heat'!AD23)</f>
        <v>0.89593431553892322</v>
      </c>
      <c r="AE15" s="309">
        <f>(1-'Allocation of heat'!AE23)</f>
        <v>0.90704049829138222</v>
      </c>
      <c r="AF15" s="309">
        <f>(1-'Allocation of heat'!AF23)</f>
        <v>0.91785456113973074</v>
      </c>
      <c r="AG15" s="309">
        <f>(1-'Allocation of heat'!AG23)</f>
        <v>0.92842791327717844</v>
      </c>
      <c r="AH15" s="309">
        <f>(1-'Allocation of heat'!AH23)</f>
        <v>0.93881186605655897</v>
      </c>
      <c r="AI15" s="309">
        <f>(1-'Allocation of heat'!AI23)</f>
        <v>0.94905761263700494</v>
      </c>
      <c r="AJ15" s="309">
        <f>(1-'Allocation of heat'!AJ23)</f>
        <v>0.95846819940567751</v>
      </c>
      <c r="AK15" s="309">
        <f>(1-'Allocation of heat'!AK23)</f>
        <v>0.9682612507201237</v>
      </c>
      <c r="AL15" s="309">
        <f>(1-'Allocation of heat'!AL23)</f>
        <v>0.97844317024298666</v>
      </c>
      <c r="AM15" s="309">
        <f>(1-'Allocation of heat'!AM23)</f>
        <v>0.98902051608266961</v>
      </c>
      <c r="AN15" s="309">
        <f>(1-'Allocation of heat'!AN23)</f>
        <v>1</v>
      </c>
    </row>
    <row r="16" spans="1:40" ht="18.75" customHeight="1">
      <c r="A16" t="s">
        <v>493</v>
      </c>
      <c r="E16" s="436">
        <v>1</v>
      </c>
      <c r="F16" s="436">
        <v>1</v>
      </c>
      <c r="G16" s="436">
        <v>1</v>
      </c>
      <c r="H16" s="436">
        <v>1</v>
      </c>
      <c r="I16" s="436">
        <v>1</v>
      </c>
      <c r="J16" s="436">
        <v>1</v>
      </c>
      <c r="K16" s="436">
        <v>1</v>
      </c>
      <c r="L16" s="436">
        <v>1</v>
      </c>
      <c r="M16" s="436">
        <v>1</v>
      </c>
      <c r="N16" s="436">
        <v>1</v>
      </c>
      <c r="O16" s="436">
        <v>1</v>
      </c>
      <c r="P16" s="436">
        <v>1</v>
      </c>
      <c r="Q16" s="436">
        <v>1</v>
      </c>
      <c r="R16" s="436">
        <v>1</v>
      </c>
      <c r="S16" s="436">
        <v>1</v>
      </c>
      <c r="T16" s="436">
        <v>1</v>
      </c>
      <c r="U16" s="436">
        <v>1</v>
      </c>
      <c r="V16" s="436">
        <v>1</v>
      </c>
      <c r="W16" s="436">
        <v>1</v>
      </c>
      <c r="X16" s="436">
        <v>1</v>
      </c>
      <c r="Y16" s="436">
        <v>1</v>
      </c>
      <c r="Z16" s="436">
        <v>1</v>
      </c>
      <c r="AA16" s="436">
        <v>1</v>
      </c>
      <c r="AB16" s="436">
        <v>1</v>
      </c>
      <c r="AC16" s="436">
        <v>1</v>
      </c>
      <c r="AD16" s="436">
        <v>1</v>
      </c>
      <c r="AE16" s="436">
        <v>1</v>
      </c>
      <c r="AF16" s="436">
        <v>1</v>
      </c>
      <c r="AG16" s="436">
        <v>1</v>
      </c>
      <c r="AH16" s="436">
        <v>1</v>
      </c>
      <c r="AI16" s="436">
        <v>1</v>
      </c>
      <c r="AJ16" s="436">
        <v>1</v>
      </c>
      <c r="AK16" s="436">
        <v>1</v>
      </c>
      <c r="AL16" s="436">
        <v>1</v>
      </c>
      <c r="AM16" s="436">
        <v>1</v>
      </c>
      <c r="AN16" s="436">
        <v>1</v>
      </c>
    </row>
    <row r="17" spans="1:40" ht="18.75" customHeight="1">
      <c r="A17" t="s">
        <v>301</v>
      </c>
      <c r="E17" s="436">
        <f>1-'Allocation of heat'!E98</f>
        <v>0.16000000000000003</v>
      </c>
      <c r="F17" s="436">
        <f>1-'Allocation of heat'!F98</f>
        <v>0.1714427040986749</v>
      </c>
      <c r="G17" s="436">
        <f>1-'Allocation of heat'!G98</f>
        <v>0.1769326585994806</v>
      </c>
      <c r="H17" s="436">
        <f>1-'Allocation of heat'!H98</f>
        <v>0.18226834806793146</v>
      </c>
      <c r="I17" s="436">
        <f>1-'Allocation of heat'!I98</f>
        <v>0.18744977250402872</v>
      </c>
      <c r="J17" s="436">
        <f>1-'Allocation of heat'!J98</f>
        <v>0.27580191414227762</v>
      </c>
      <c r="K17" s="436">
        <f>1-'Allocation of heat'!K98</f>
        <v>0.34049341511213982</v>
      </c>
      <c r="L17" s="436">
        <f>1-'Allocation of heat'!L98</f>
        <v>0.4349038657152472</v>
      </c>
      <c r="M17" s="436">
        <f>1-'Allocation of heat'!M98</f>
        <v>0.5102181571857245</v>
      </c>
      <c r="N17" s="436">
        <f>1-'Allocation of heat'!N98</f>
        <v>0.57217964587124692</v>
      </c>
      <c r="O17" s="436">
        <f>1-'Allocation of heat'!O98</f>
        <v>0.62439404634771789</v>
      </c>
      <c r="P17" s="436">
        <f>1-'Allocation of heat'!P98</f>
        <v>0.67051278508331402</v>
      </c>
      <c r="Q17" s="436">
        <f>1-'Allocation of heat'!Q98</f>
        <v>0.71303141309283491</v>
      </c>
      <c r="R17" s="436">
        <f>1-'Allocation of heat'!R98</f>
        <v>0.75067245150495399</v>
      </c>
      <c r="S17" s="436">
        <f>1-'Allocation of heat'!S98</f>
        <v>0.78417623449366225</v>
      </c>
      <c r="T17" s="436">
        <f>1-'Allocation of heat'!T98</f>
        <v>0.81412480494646067</v>
      </c>
      <c r="U17" s="436">
        <f>1-'Allocation of heat'!U98</f>
        <v>0.83099159229073416</v>
      </c>
      <c r="V17" s="436">
        <f>1-'Allocation of heat'!V98</f>
        <v>0.84571169692966253</v>
      </c>
      <c r="W17" s="436">
        <f>1-'Allocation of heat'!W98</f>
        <v>0.85856988616120611</v>
      </c>
      <c r="X17" s="436">
        <f>1-'Allocation of heat'!X98</f>
        <v>0.86980394609872369</v>
      </c>
      <c r="Y17" s="436">
        <f>1-'Allocation of heat'!Y98</f>
        <v>0.87810039315238853</v>
      </c>
      <c r="Z17" s="436">
        <f>1-'Allocation of heat'!Z98</f>
        <v>0.89296806499009695</v>
      </c>
      <c r="AA17" s="436">
        <f>1-'Allocation of heat'!AA98</f>
        <v>0.90603739023501906</v>
      </c>
      <c r="AB17" s="436">
        <f>1-'Allocation of heat'!AB98</f>
        <v>0.91757692202273999</v>
      </c>
      <c r="AC17" s="436">
        <f>1-'Allocation of heat'!AC98</f>
        <v>0.92782066531508289</v>
      </c>
      <c r="AD17" s="436">
        <f>1-'Allocation of heat'!AD98</f>
        <v>0.93697371006557406</v>
      </c>
      <c r="AE17" s="436">
        <f>1-'Allocation of heat'!AE98</f>
        <v>0.94521676587292636</v>
      </c>
      <c r="AF17" s="436">
        <f>1-'Allocation of heat'!AF98</f>
        <v>0.95270984439442008</v>
      </c>
      <c r="AG17" s="436">
        <f>1-'Allocation of heat'!AG98</f>
        <v>0.95959527402841993</v>
      </c>
      <c r="AH17" s="436">
        <f>1-'Allocation of heat'!AH98</f>
        <v>0.96600018660839815</v>
      </c>
      <c r="AI17" s="436">
        <f>1-'Allocation of heat'!AI98</f>
        <v>0.97203858302007962</v>
      </c>
      <c r="AJ17" s="436">
        <f>1-'Allocation of heat'!AJ98</f>
        <v>0.97781306031131232</v>
      </c>
      <c r="AK17" s="436">
        <f>1-'Allocation of heat'!AK98</f>
        <v>0.98341626463039644</v>
      </c>
      <c r="AL17" s="436">
        <f>1-'Allocation of heat'!AL98</f>
        <v>0.9889321205385192</v>
      </c>
      <c r="AM17" s="436">
        <f>1-'Allocation of heat'!AM98</f>
        <v>0.99443687671818048</v>
      </c>
      <c r="AN17" s="436">
        <f>1-'Allocation of heat'!AN98</f>
        <v>1</v>
      </c>
    </row>
    <row r="19" spans="1:40" s="305" customFormat="1">
      <c r="A19" s="305" t="s">
        <v>494</v>
      </c>
      <c r="B19" s="305" t="s">
        <v>482</v>
      </c>
      <c r="C19" s="305" t="s">
        <v>179</v>
      </c>
      <c r="D19" s="305" t="s">
        <v>367</v>
      </c>
    </row>
    <row r="20" spans="1:40">
      <c r="A20" t="s">
        <v>495</v>
      </c>
      <c r="C20" t="s">
        <v>446</v>
      </c>
      <c r="E20" s="316">
        <f>E15*$E27*E35+($E28*E35*(1-E15))</f>
        <v>742909522.13950658</v>
      </c>
      <c r="F20" s="316">
        <f>F15*$E27*F35+($E28*F35*(1-F15))</f>
        <v>743404937.87633634</v>
      </c>
      <c r="G20" s="316">
        <f>G15*$E27*G35+($E28*G35*(1-G15))</f>
        <v>743882043.30691659</v>
      </c>
      <c r="H20" s="316">
        <f t="shared" ref="H20:AM20" si="6">H15*$E27*H35+($E28*H35*(1-H15))</f>
        <v>744340838.43124747</v>
      </c>
      <c r="I20" s="316">
        <f t="shared" si="6"/>
        <v>744781353.97361803</v>
      </c>
      <c r="J20" s="316">
        <f>J15*$E27*J35+($E28*J35*(1-J15))</f>
        <v>748472214.38363373</v>
      </c>
      <c r="K20" s="316">
        <f t="shared" si="6"/>
        <v>753687099.5066514</v>
      </c>
      <c r="L20" s="316">
        <f t="shared" si="6"/>
        <v>763559132.48313999</v>
      </c>
      <c r="M20" s="316">
        <f t="shared" si="6"/>
        <v>779630599.64416468</v>
      </c>
      <c r="N20" s="316">
        <f t="shared" si="6"/>
        <v>805190839.53963196</v>
      </c>
      <c r="O20" s="316">
        <f t="shared" si="6"/>
        <v>838402147.70475721</v>
      </c>
      <c r="P20" s="316">
        <f t="shared" si="6"/>
        <v>882987444.26418591</v>
      </c>
      <c r="Q20" s="316">
        <f t="shared" si="6"/>
        <v>941820224.7285893</v>
      </c>
      <c r="R20" s="316">
        <f t="shared" si="6"/>
        <v>1001008916.2538006</v>
      </c>
      <c r="S20" s="316">
        <f t="shared" si="6"/>
        <v>1057526322.8169481</v>
      </c>
      <c r="T20" s="316">
        <f t="shared" si="6"/>
        <v>1110348450.0088787</v>
      </c>
      <c r="U20" s="316">
        <f t="shared" si="6"/>
        <v>1164039441.6523483</v>
      </c>
      <c r="V20" s="316">
        <f t="shared" si="6"/>
        <v>1216198413.6361601</v>
      </c>
      <c r="W20" s="316">
        <f t="shared" si="6"/>
        <v>1266957879.2633729</v>
      </c>
      <c r="X20" s="316">
        <f t="shared" si="6"/>
        <v>1315907627.3577888</v>
      </c>
      <c r="Y20" s="316">
        <f t="shared" si="6"/>
        <v>1360399978.0258744</v>
      </c>
      <c r="Z20" s="316">
        <f t="shared" si="6"/>
        <v>1418380992.9009693</v>
      </c>
      <c r="AA20" s="316">
        <f t="shared" si="6"/>
        <v>1460882001.2760162</v>
      </c>
      <c r="AB20" s="316">
        <f t="shared" si="6"/>
        <v>1490103443.1188643</v>
      </c>
      <c r="AC20" s="316">
        <f t="shared" si="6"/>
        <v>1500445254.5996022</v>
      </c>
      <c r="AD20" s="316">
        <f t="shared" si="6"/>
        <v>1510570924.5650036</v>
      </c>
      <c r="AE20" s="316">
        <f t="shared" si="6"/>
        <v>1521079192.822814</v>
      </c>
      <c r="AF20" s="316">
        <f t="shared" si="6"/>
        <v>1531311067.7973282</v>
      </c>
      <c r="AG20" s="316">
        <f t="shared" si="6"/>
        <v>1541315191.0069876</v>
      </c>
      <c r="AH20" s="316">
        <f t="shared" si="6"/>
        <v>1551140111.3972094</v>
      </c>
      <c r="AI20" s="316">
        <f t="shared" si="6"/>
        <v>1560834266.0828085</v>
      </c>
      <c r="AJ20" s="316">
        <f t="shared" si="6"/>
        <v>1569738222.773663</v>
      </c>
      <c r="AK20" s="316">
        <f t="shared" si="6"/>
        <v>1579004053.5787539</v>
      </c>
      <c r="AL20" s="316">
        <f t="shared" si="6"/>
        <v>1588637817.4119656</v>
      </c>
      <c r="AM20" s="316">
        <f t="shared" si="6"/>
        <v>1598645719.3181732</v>
      </c>
      <c r="AN20" s="316">
        <f>AN15*$E27*AN35+($E28*AN35*(1-AN15))</f>
        <v>1609034109.722615</v>
      </c>
    </row>
    <row r="21" spans="1:40">
      <c r="A21" t="s">
        <v>496</v>
      </c>
      <c r="C21" t="s">
        <v>446</v>
      </c>
      <c r="E21" s="316">
        <v>0</v>
      </c>
      <c r="F21" s="316">
        <f>(F16-7%)*$E27*F36+($E28*F36*((1-F16)-93%))</f>
        <v>21545771.720187549</v>
      </c>
      <c r="G21" s="316">
        <f t="shared" ref="G21:AM21" si="7">(G16-7%)*$E27*G36+($E28*G36*((1-G16)-93%))</f>
        <v>43091543.440375097</v>
      </c>
      <c r="H21" s="316">
        <f t="shared" si="7"/>
        <v>64637315.160562642</v>
      </c>
      <c r="I21" s="316">
        <f>(I16-7%)*$E27*I36+($E28*I36*((1-I16)-93%))</f>
        <v>86183086.880750194</v>
      </c>
      <c r="J21" s="316">
        <f t="shared" si="7"/>
        <v>107728858.60093769</v>
      </c>
      <c r="K21" s="316">
        <f t="shared" si="7"/>
        <v>125963530.83516373</v>
      </c>
      <c r="L21" s="316">
        <f t="shared" si="7"/>
        <v>144198203.06938976</v>
      </c>
      <c r="M21" s="316">
        <f t="shared" si="7"/>
        <v>162432875.30361581</v>
      </c>
      <c r="N21" s="316">
        <f t="shared" si="7"/>
        <v>180667547.53784186</v>
      </c>
      <c r="O21" s="316">
        <f t="shared" si="7"/>
        <v>198902219.77206805</v>
      </c>
      <c r="P21" s="316">
        <f t="shared" si="7"/>
        <v>213664156.61656326</v>
      </c>
      <c r="Q21" s="316">
        <f t="shared" si="7"/>
        <v>228426093.4610585</v>
      </c>
      <c r="R21" s="316">
        <f t="shared" si="7"/>
        <v>243188030.30555379</v>
      </c>
      <c r="S21" s="316">
        <f t="shared" si="7"/>
        <v>257949967.15004906</v>
      </c>
      <c r="T21" s="316">
        <f t="shared" si="7"/>
        <v>272711903.99454427</v>
      </c>
      <c r="U21" s="316">
        <f t="shared" si="7"/>
        <v>279516977.72954077</v>
      </c>
      <c r="V21" s="316">
        <f t="shared" si="7"/>
        <v>286322051.46453726</v>
      </c>
      <c r="W21" s="316">
        <f t="shared" si="7"/>
        <v>293127125.1995337</v>
      </c>
      <c r="X21" s="316">
        <f t="shared" si="7"/>
        <v>299932198.9345302</v>
      </c>
      <c r="Y21" s="316">
        <f t="shared" si="7"/>
        <v>306737272.66952658</v>
      </c>
      <c r="Z21" s="316">
        <f t="shared" si="7"/>
        <v>313542346.40452313</v>
      </c>
      <c r="AA21" s="316">
        <f t="shared" si="7"/>
        <v>320347420.13951957</v>
      </c>
      <c r="AB21" s="316">
        <f t="shared" si="7"/>
        <v>327152493.87451601</v>
      </c>
      <c r="AC21" s="316">
        <f t="shared" si="7"/>
        <v>333957567.60951257</v>
      </c>
      <c r="AD21" s="316">
        <f t="shared" si="7"/>
        <v>340762641.3445096</v>
      </c>
      <c r="AE21" s="316">
        <f t="shared" si="7"/>
        <v>347567715.07950616</v>
      </c>
      <c r="AF21" s="316">
        <f t="shared" si="7"/>
        <v>354372788.81450284</v>
      </c>
      <c r="AG21" s="316">
        <f t="shared" si="7"/>
        <v>361177862.54949951</v>
      </c>
      <c r="AH21" s="316">
        <f t="shared" si="7"/>
        <v>367982936.28449613</v>
      </c>
      <c r="AI21" s="316">
        <f t="shared" si="7"/>
        <v>374788010.01949286</v>
      </c>
      <c r="AJ21" s="316">
        <f t="shared" si="7"/>
        <v>381593083.75448954</v>
      </c>
      <c r="AK21" s="316">
        <f t="shared" si="7"/>
        <v>388398157.48948616</v>
      </c>
      <c r="AL21" s="316">
        <f t="shared" si="7"/>
        <v>395203231.22448272</v>
      </c>
      <c r="AM21" s="316">
        <f t="shared" si="7"/>
        <v>402008304.95947939</v>
      </c>
      <c r="AN21" s="316">
        <f>(AN16-7%)*$E27*AN36+($E28*AN36*((1-AN16)-93%))</f>
        <v>408813378.69447553</v>
      </c>
    </row>
    <row r="22" spans="1:40" s="36" customFormat="1">
      <c r="A22" t="s">
        <v>497</v>
      </c>
      <c r="B22"/>
      <c r="C22" t="s">
        <v>446</v>
      </c>
      <c r="D22"/>
      <c r="E22" s="316">
        <f>E35*$E29*(1-E15)</f>
        <v>1067316860.7985504</v>
      </c>
      <c r="F22" s="316">
        <f t="shared" ref="F22:AN22" si="8">F35*$E29*(1-F15)</f>
        <v>1066706364.829952</v>
      </c>
      <c r="G22" s="316">
        <f t="shared" si="8"/>
        <v>1066118432.4727172</v>
      </c>
      <c r="H22" s="316">
        <f t="shared" si="8"/>
        <v>1065553063.7268456</v>
      </c>
      <c r="I22" s="316">
        <f t="shared" si="8"/>
        <v>1065010220.7310959</v>
      </c>
      <c r="J22" s="316">
        <f t="shared" si="8"/>
        <v>1060462009.5349953</v>
      </c>
      <c r="K22" s="316">
        <f t="shared" si="8"/>
        <v>1054035757.5861206</v>
      </c>
      <c r="L22" s="316">
        <f t="shared" si="8"/>
        <v>1041870547.8723915</v>
      </c>
      <c r="M22" s="316">
        <f t="shared" si="8"/>
        <v>1022065836.0276469</v>
      </c>
      <c r="N22" s="316">
        <f t="shared" si="8"/>
        <v>990568202.31814277</v>
      </c>
      <c r="O22" s="316">
        <f t="shared" si="8"/>
        <v>949642231.98779058</v>
      </c>
      <c r="P22" s="316">
        <f t="shared" si="8"/>
        <v>894700206.96761346</v>
      </c>
      <c r="Q22" s="316">
        <f t="shared" si="8"/>
        <v>822201146.83523726</v>
      </c>
      <c r="R22" s="316">
        <f t="shared" si="8"/>
        <v>749263500.98252606</v>
      </c>
      <c r="S22" s="316">
        <f t="shared" si="8"/>
        <v>679617653.47024095</v>
      </c>
      <c r="T22" s="316">
        <f t="shared" si="8"/>
        <v>614525462.5967387</v>
      </c>
      <c r="U22" s="316">
        <f t="shared" si="8"/>
        <v>548362578.55487394</v>
      </c>
      <c r="V22" s="316">
        <f t="shared" si="8"/>
        <v>484087587.36037683</v>
      </c>
      <c r="W22" s="316">
        <f t="shared" si="8"/>
        <v>421537194.16552925</v>
      </c>
      <c r="X22" s="316">
        <f t="shared" si="8"/>
        <v>361216898.19194502</v>
      </c>
      <c r="Y22" s="316">
        <f t="shared" si="8"/>
        <v>306389409.48489702</v>
      </c>
      <c r="Z22" s="316">
        <f t="shared" si="8"/>
        <v>234939971.76013976</v>
      </c>
      <c r="AA22" s="316">
        <f t="shared" si="8"/>
        <v>182566394.6905759</v>
      </c>
      <c r="AB22" s="316">
        <f t="shared" si="8"/>
        <v>146557097.61849275</v>
      </c>
      <c r="AC22" s="316">
        <f t="shared" si="8"/>
        <v>133812984.44720754</v>
      </c>
      <c r="AD22" s="316">
        <f t="shared" si="8"/>
        <v>121335220.35196139</v>
      </c>
      <c r="AE22" s="316">
        <f t="shared" si="8"/>
        <v>108385984.12181108</v>
      </c>
      <c r="AF22" s="316">
        <f t="shared" si="8"/>
        <v>95777344.632248163</v>
      </c>
      <c r="AG22" s="316">
        <f t="shared" si="8"/>
        <v>83449361.415687054</v>
      </c>
      <c r="AH22" s="316">
        <f t="shared" si="8"/>
        <v>71342208.081373975</v>
      </c>
      <c r="AI22" s="316">
        <f t="shared" si="8"/>
        <v>59396196.046314098</v>
      </c>
      <c r="AJ22" s="316">
        <f t="shared" si="8"/>
        <v>48423937.274065167</v>
      </c>
      <c r="AK22" s="316">
        <f t="shared" si="8"/>
        <v>37005744.569045037</v>
      </c>
      <c r="AL22" s="316">
        <f t="shared" si="8"/>
        <v>25134151.590914048</v>
      </c>
      <c r="AM22" s="316">
        <f t="shared" si="8"/>
        <v>12801511.923542628</v>
      </c>
      <c r="AN22" s="316">
        <f t="shared" si="8"/>
        <v>0</v>
      </c>
    </row>
    <row r="23" spans="1:40" s="36" customFormat="1">
      <c r="A23" t="s">
        <v>498</v>
      </c>
      <c r="B23"/>
      <c r="C23" t="s">
        <v>446</v>
      </c>
      <c r="D23"/>
      <c r="E23" s="316">
        <f>E36*$E29*(1-E16)</f>
        <v>0</v>
      </c>
      <c r="F23" s="316">
        <f>F36*$E29*(1-F16)</f>
        <v>0</v>
      </c>
      <c r="G23" s="316">
        <f t="shared" ref="G23:AL23" si="9">G36*$E29*(1-G16)</f>
        <v>0</v>
      </c>
      <c r="H23" s="316">
        <f>H36*$E29*(1-H16)</f>
        <v>0</v>
      </c>
      <c r="I23" s="316">
        <f>I36*$E29*(1-I16)</f>
        <v>0</v>
      </c>
      <c r="J23" s="316">
        <f t="shared" si="9"/>
        <v>0</v>
      </c>
      <c r="K23" s="316">
        <f t="shared" si="9"/>
        <v>0</v>
      </c>
      <c r="L23" s="316">
        <f t="shared" si="9"/>
        <v>0</v>
      </c>
      <c r="M23" s="316">
        <f t="shared" si="9"/>
        <v>0</v>
      </c>
      <c r="N23" s="316">
        <f t="shared" si="9"/>
        <v>0</v>
      </c>
      <c r="O23" s="316">
        <f t="shared" si="9"/>
        <v>0</v>
      </c>
      <c r="P23" s="316">
        <f t="shared" si="9"/>
        <v>0</v>
      </c>
      <c r="Q23" s="316">
        <f t="shared" si="9"/>
        <v>0</v>
      </c>
      <c r="R23" s="316">
        <f>R36*$E29*(1-R16)</f>
        <v>0</v>
      </c>
      <c r="S23" s="316">
        <f t="shared" si="9"/>
        <v>0</v>
      </c>
      <c r="T23" s="316">
        <f t="shared" si="9"/>
        <v>0</v>
      </c>
      <c r="U23" s="316">
        <f t="shared" si="9"/>
        <v>0</v>
      </c>
      <c r="V23" s="316">
        <f t="shared" si="9"/>
        <v>0</v>
      </c>
      <c r="W23" s="316">
        <f t="shared" si="9"/>
        <v>0</v>
      </c>
      <c r="X23" s="316">
        <f t="shared" si="9"/>
        <v>0</v>
      </c>
      <c r="Y23" s="316">
        <f t="shared" si="9"/>
        <v>0</v>
      </c>
      <c r="Z23" s="316">
        <f t="shared" si="9"/>
        <v>0</v>
      </c>
      <c r="AA23" s="316">
        <f t="shared" si="9"/>
        <v>0</v>
      </c>
      <c r="AB23" s="316">
        <f t="shared" si="9"/>
        <v>0</v>
      </c>
      <c r="AC23" s="316">
        <f t="shared" si="9"/>
        <v>0</v>
      </c>
      <c r="AD23" s="316">
        <f t="shared" si="9"/>
        <v>0</v>
      </c>
      <c r="AE23" s="316">
        <f t="shared" si="9"/>
        <v>0</v>
      </c>
      <c r="AF23" s="316">
        <f t="shared" si="9"/>
        <v>0</v>
      </c>
      <c r="AG23" s="316">
        <f t="shared" si="9"/>
        <v>0</v>
      </c>
      <c r="AH23" s="316">
        <f t="shared" si="9"/>
        <v>0</v>
      </c>
      <c r="AI23" s="316">
        <f t="shared" si="9"/>
        <v>0</v>
      </c>
      <c r="AJ23" s="316">
        <f t="shared" si="9"/>
        <v>0</v>
      </c>
      <c r="AK23" s="316">
        <f t="shared" si="9"/>
        <v>0</v>
      </c>
      <c r="AL23" s="316">
        <f t="shared" si="9"/>
        <v>0</v>
      </c>
      <c r="AM23" s="316">
        <f>AM36*$E29*(1-AM16)</f>
        <v>0</v>
      </c>
      <c r="AN23" s="316">
        <f>AN36*$E29*(1-AN16)</f>
        <v>0</v>
      </c>
    </row>
    <row r="25" spans="1:40" s="462" customFormat="1">
      <c r="A25" s="462" t="s">
        <v>499</v>
      </c>
    </row>
    <row r="26" spans="1:40">
      <c r="A26" s="280" t="s">
        <v>481</v>
      </c>
      <c r="B26" s="278" t="s">
        <v>482</v>
      </c>
      <c r="C26" s="278" t="s">
        <v>179</v>
      </c>
      <c r="D26" s="278" t="s">
        <v>367</v>
      </c>
      <c r="E26" t="s">
        <v>433</v>
      </c>
    </row>
    <row r="27" spans="1:40">
      <c r="A27" t="s">
        <v>500</v>
      </c>
      <c r="B27" s="714" t="s">
        <v>501</v>
      </c>
      <c r="C27" t="s">
        <v>502</v>
      </c>
      <c r="E27" s="440">
        <v>492.63591050523502</v>
      </c>
    </row>
    <row r="28" spans="1:40">
      <c r="A28" t="s">
        <v>503</v>
      </c>
      <c r="B28" s="715"/>
      <c r="C28" t="s">
        <v>502</v>
      </c>
      <c r="E28" s="440">
        <v>202.95014789569987</v>
      </c>
    </row>
    <row r="29" spans="1:40">
      <c r="A29" t="s">
        <v>504</v>
      </c>
      <c r="B29" s="715"/>
      <c r="C29" t="s">
        <v>502</v>
      </c>
      <c r="E29" s="440">
        <v>356.97693287892645</v>
      </c>
    </row>
    <row r="30" spans="1:40">
      <c r="A30" t="s">
        <v>505</v>
      </c>
      <c r="C30" t="s">
        <v>502</v>
      </c>
      <c r="E30" s="105">
        <v>1824309063.086</v>
      </c>
      <c r="F30" s="472">
        <f>$E30+($O30-$E30)*(F$3-$E$3)/($O$3-$E$3)</f>
        <v>1817616142.3580999</v>
      </c>
      <c r="G30" s="472">
        <f>$E30+($O30-$E30)*(G$3-$E$3)/($O$3-$E$3)</f>
        <v>1810923221.6301999</v>
      </c>
      <c r="H30" s="472">
        <f>$E30+($O30-$E30)*(H$3-$E$3)/($O$3-$E$3)</f>
        <v>1804230300.9022999</v>
      </c>
      <c r="I30" s="472">
        <f>$E30+($O30-$E30)*(I$3-$E$3)/($O$3-$E$3)</f>
        <v>1797537380.1743999</v>
      </c>
      <c r="J30" s="472">
        <f t="shared" ref="J30:N30" si="10">$E30+($O30-$E30)*(J$3-$E$3)/($O$3-$E$3)</f>
        <v>1790844459.4464998</v>
      </c>
      <c r="K30" s="472">
        <f t="shared" si="10"/>
        <v>1784151538.7185996</v>
      </c>
      <c r="L30" s="472">
        <f t="shared" si="10"/>
        <v>1777458617.9906995</v>
      </c>
      <c r="M30" s="472">
        <f t="shared" si="10"/>
        <v>1770765697.2627995</v>
      </c>
      <c r="N30" s="472">
        <f t="shared" si="10"/>
        <v>1764072776.5348995</v>
      </c>
      <c r="O30" s="105">
        <v>1757379855.8069994</v>
      </c>
      <c r="P30" s="472">
        <f>$O30+($AN30-$O30)*(P$3-$O$3)/($AN$3-$O$3)</f>
        <v>1767736487.6573994</v>
      </c>
      <c r="Q30" s="472">
        <f t="shared" ref="Q30:AL30" si="11">$O30+($AN30-$O30)*(Q$3-$O$3)/($AN$3-$O$3)</f>
        <v>1778093119.5077994</v>
      </c>
      <c r="R30" s="472">
        <f t="shared" si="11"/>
        <v>1788449751.3581994</v>
      </c>
      <c r="S30" s="472">
        <f>$O30+($AN30-$O30)*(S$3-$O$3)/($AN$3-$O$3)</f>
        <v>1798806383.2085993</v>
      </c>
      <c r="T30" s="472">
        <f t="shared" si="11"/>
        <v>1809163015.0589993</v>
      </c>
      <c r="U30" s="472">
        <f t="shared" si="11"/>
        <v>1819519646.9093993</v>
      </c>
      <c r="V30" s="472">
        <f t="shared" si="11"/>
        <v>1829876278.7597995</v>
      </c>
      <c r="W30" s="472">
        <f t="shared" si="11"/>
        <v>1840232910.6101995</v>
      </c>
      <c r="X30" s="472">
        <f t="shared" si="11"/>
        <v>1850589542.4605994</v>
      </c>
      <c r="Y30" s="472">
        <f t="shared" si="11"/>
        <v>1860946174.3109994</v>
      </c>
      <c r="Z30" s="472">
        <f t="shared" si="11"/>
        <v>1871302806.1613994</v>
      </c>
      <c r="AA30" s="472">
        <f t="shared" si="11"/>
        <v>1881659438.0117993</v>
      </c>
      <c r="AB30" s="472">
        <f t="shared" si="11"/>
        <v>1892016069.8621993</v>
      </c>
      <c r="AC30" s="472">
        <f t="shared" si="11"/>
        <v>1902372701.7125993</v>
      </c>
      <c r="AD30" s="472">
        <f t="shared" si="11"/>
        <v>1912729333.5629992</v>
      </c>
      <c r="AE30" s="472">
        <f t="shared" si="11"/>
        <v>1923085965.4133992</v>
      </c>
      <c r="AF30" s="472">
        <f t="shared" si="11"/>
        <v>1933442597.2637992</v>
      </c>
      <c r="AG30" s="472">
        <f t="shared" si="11"/>
        <v>1943799229.1141992</v>
      </c>
      <c r="AH30" s="472">
        <f>$O30+($AN30-$O30)*(AH$3-$O$3)/($AN$3-$O$3)</f>
        <v>1954155860.9645991</v>
      </c>
      <c r="AI30" s="472">
        <f t="shared" si="11"/>
        <v>1964512492.8149993</v>
      </c>
      <c r="AJ30" s="472">
        <f t="shared" si="11"/>
        <v>1974869124.6653993</v>
      </c>
      <c r="AK30" s="472">
        <f t="shared" si="11"/>
        <v>1985225756.5157993</v>
      </c>
      <c r="AL30" s="472">
        <f t="shared" si="11"/>
        <v>1995582388.3661993</v>
      </c>
      <c r="AM30" s="472">
        <f>$O30+($AN30-$O30)*(AM$3-$O$3)/($AN$3-$O$3)</f>
        <v>2005939020.2165992</v>
      </c>
      <c r="AN30" s="105">
        <v>2016295652.0669992</v>
      </c>
    </row>
    <row r="33" spans="1:40" s="462" customFormat="1">
      <c r="A33" s="462" t="s">
        <v>506</v>
      </c>
    </row>
    <row r="34" spans="1:40">
      <c r="A34" s="280"/>
      <c r="B34" s="278" t="s">
        <v>482</v>
      </c>
      <c r="C34" s="278" t="s">
        <v>179</v>
      </c>
      <c r="D34" s="278" t="s">
        <v>367</v>
      </c>
      <c r="E34" s="262">
        <v>2015</v>
      </c>
      <c r="F34" s="263">
        <v>2016</v>
      </c>
      <c r="G34" s="263">
        <v>2017</v>
      </c>
      <c r="H34" s="263">
        <v>2018</v>
      </c>
      <c r="I34" s="263">
        <v>2019</v>
      </c>
      <c r="J34" s="263">
        <v>2020</v>
      </c>
      <c r="K34" s="263">
        <v>2021</v>
      </c>
      <c r="L34" s="263">
        <v>2022</v>
      </c>
      <c r="M34" s="263">
        <v>2023</v>
      </c>
      <c r="N34" s="263">
        <v>2024</v>
      </c>
      <c r="O34" s="263">
        <v>2025</v>
      </c>
      <c r="P34" s="263">
        <v>2026</v>
      </c>
      <c r="Q34" s="263">
        <v>2027</v>
      </c>
      <c r="R34" s="263">
        <v>2028</v>
      </c>
      <c r="S34" s="263">
        <v>2029</v>
      </c>
      <c r="T34" s="263">
        <v>2030</v>
      </c>
      <c r="U34" s="263">
        <v>2031</v>
      </c>
      <c r="V34" s="263">
        <v>2032</v>
      </c>
      <c r="W34" s="263">
        <v>2033</v>
      </c>
      <c r="X34" s="263">
        <v>2034</v>
      </c>
      <c r="Y34" s="263">
        <v>2035</v>
      </c>
      <c r="Z34" s="263">
        <v>2036</v>
      </c>
      <c r="AA34" s="263">
        <v>2037</v>
      </c>
      <c r="AB34" s="263">
        <v>2038</v>
      </c>
      <c r="AC34" s="263">
        <v>2039</v>
      </c>
      <c r="AD34" s="263">
        <v>2040</v>
      </c>
      <c r="AE34" s="263">
        <v>2041</v>
      </c>
      <c r="AF34" s="263">
        <v>2042</v>
      </c>
      <c r="AG34" s="263">
        <v>2043</v>
      </c>
      <c r="AH34" s="263">
        <v>2044</v>
      </c>
      <c r="AI34" s="263">
        <v>2045</v>
      </c>
      <c r="AJ34" s="263">
        <v>2046</v>
      </c>
      <c r="AK34" s="263">
        <v>2047</v>
      </c>
      <c r="AL34" s="263">
        <v>2048</v>
      </c>
      <c r="AM34" s="263">
        <v>2049</v>
      </c>
      <c r="AN34" s="264">
        <v>2050</v>
      </c>
    </row>
    <row r="35" spans="1:40">
      <c r="A35" t="s">
        <v>507</v>
      </c>
      <c r="B35" s="714" t="s">
        <v>501</v>
      </c>
      <c r="C35" t="s">
        <v>508</v>
      </c>
      <c r="E35" s="105">
        <v>3266173</v>
      </c>
      <c r="F35" s="105">
        <v>3266173</v>
      </c>
      <c r="G35" s="105">
        <v>3266173</v>
      </c>
      <c r="H35" s="105">
        <v>3266173</v>
      </c>
      <c r="I35" s="105">
        <v>3266173</v>
      </c>
      <c r="J35" s="105">
        <v>3266173</v>
      </c>
      <c r="K35" s="105">
        <v>3266173</v>
      </c>
      <c r="L35" s="105">
        <v>3266173</v>
      </c>
      <c r="M35" s="105">
        <v>3266173</v>
      </c>
      <c r="N35" s="105">
        <v>3266173</v>
      </c>
      <c r="O35" s="105">
        <v>3266173</v>
      </c>
      <c r="P35" s="105">
        <v>3266173</v>
      </c>
      <c r="Q35" s="105">
        <v>3266173</v>
      </c>
      <c r="R35" s="105">
        <v>3266173</v>
      </c>
      <c r="S35" s="105">
        <v>3266173</v>
      </c>
      <c r="T35" s="105">
        <v>3266173</v>
      </c>
      <c r="U35" s="105">
        <v>3266173</v>
      </c>
      <c r="V35" s="105">
        <v>3266173</v>
      </c>
      <c r="W35" s="105">
        <v>3266173</v>
      </c>
      <c r="X35" s="105">
        <v>3266173</v>
      </c>
      <c r="Y35" s="105">
        <v>3266173</v>
      </c>
      <c r="Z35" s="105">
        <v>3266173</v>
      </c>
      <c r="AA35" s="105">
        <v>3266173</v>
      </c>
      <c r="AB35" s="105">
        <v>3266173</v>
      </c>
      <c r="AC35" s="105">
        <v>3266173</v>
      </c>
      <c r="AD35" s="105">
        <v>3266173</v>
      </c>
      <c r="AE35" s="105">
        <v>3266173</v>
      </c>
      <c r="AF35" s="105">
        <v>3266173</v>
      </c>
      <c r="AG35" s="105">
        <v>3266173</v>
      </c>
      <c r="AH35" s="105">
        <v>3266173</v>
      </c>
      <c r="AI35" s="105">
        <v>3266173</v>
      </c>
      <c r="AJ35" s="105">
        <v>3266173</v>
      </c>
      <c r="AK35" s="105">
        <v>3266173</v>
      </c>
      <c r="AL35" s="105">
        <v>3266173</v>
      </c>
      <c r="AM35" s="105">
        <v>3266173</v>
      </c>
      <c r="AN35" s="105">
        <v>3266173</v>
      </c>
    </row>
    <row r="36" spans="1:40">
      <c r="A36" t="s">
        <v>509</v>
      </c>
      <c r="B36" s="715"/>
      <c r="C36" t="s">
        <v>508</v>
      </c>
      <c r="E36" s="105">
        <v>0</v>
      </c>
      <c r="F36" s="105">
        <v>79974.577502958651</v>
      </c>
      <c r="G36" s="105">
        <v>159949.1550059173</v>
      </c>
      <c r="H36" s="105">
        <v>239923.73250887592</v>
      </c>
      <c r="I36" s="105">
        <v>319898.3100118346</v>
      </c>
      <c r="J36" s="105">
        <v>399872.88751479296</v>
      </c>
      <c r="K36" s="105">
        <v>467557.17502958083</v>
      </c>
      <c r="L36" s="105">
        <v>535241.46254436858</v>
      </c>
      <c r="M36" s="105">
        <v>602925.75005915645</v>
      </c>
      <c r="N36" s="105">
        <v>670610.0375739442</v>
      </c>
      <c r="O36" s="105">
        <v>738294.32508873264</v>
      </c>
      <c r="P36" s="105">
        <v>793088.35510055663</v>
      </c>
      <c r="Q36" s="105">
        <v>847882.38511238061</v>
      </c>
      <c r="R36" s="105">
        <v>902676.41512420471</v>
      </c>
      <c r="S36" s="105">
        <v>957470.44513602881</v>
      </c>
      <c r="T36" s="105">
        <v>1012264.4751478527</v>
      </c>
      <c r="U36" s="105">
        <v>1037523.8580049959</v>
      </c>
      <c r="V36" s="105">
        <v>1062783.240862139</v>
      </c>
      <c r="W36" s="105">
        <v>1088042.623719282</v>
      </c>
      <c r="X36" s="105">
        <v>1113302.0065764252</v>
      </c>
      <c r="Y36" s="105">
        <v>1138561.3894335681</v>
      </c>
      <c r="Z36" s="105">
        <v>1163820.7722907113</v>
      </c>
      <c r="AA36" s="105">
        <v>1189080.1551478545</v>
      </c>
      <c r="AB36" s="105">
        <v>1214339.5380049974</v>
      </c>
      <c r="AC36" s="105">
        <v>1239598.9208621406</v>
      </c>
      <c r="AD36" s="105">
        <v>1264858.3037192856</v>
      </c>
      <c r="AE36" s="105">
        <v>1290117.6865764293</v>
      </c>
      <c r="AF36" s="105">
        <v>1315377.0694335732</v>
      </c>
      <c r="AG36" s="105">
        <v>1340636.452290717</v>
      </c>
      <c r="AH36" s="105">
        <v>1365895.8351478607</v>
      </c>
      <c r="AI36" s="105">
        <v>1391155.2180050043</v>
      </c>
      <c r="AJ36" s="105">
        <v>1416414.6008621482</v>
      </c>
      <c r="AK36" s="105">
        <v>1441673.9837192921</v>
      </c>
      <c r="AL36" s="105">
        <v>1466933.3665764357</v>
      </c>
      <c r="AM36" s="105">
        <v>1492192.7494335794</v>
      </c>
      <c r="AN36" s="105">
        <v>1517452.1322907209</v>
      </c>
    </row>
    <row r="37" spans="1:40">
      <c r="A37" t="s">
        <v>510</v>
      </c>
      <c r="B37" s="715"/>
      <c r="C37" t="s">
        <v>508</v>
      </c>
      <c r="E37" s="105">
        <v>322085</v>
      </c>
      <c r="F37" s="105">
        <v>321856.74037491361</v>
      </c>
      <c r="G37" s="105">
        <v>321628.48074982717</v>
      </c>
      <c r="H37" s="105">
        <v>321400.22112474084</v>
      </c>
      <c r="I37" s="105">
        <v>321171.96149965446</v>
      </c>
      <c r="J37" s="105">
        <v>320943.70187456807</v>
      </c>
      <c r="K37" s="105">
        <v>320715.44224948168</v>
      </c>
      <c r="L37" s="105">
        <v>320487.18262439524</v>
      </c>
      <c r="M37" s="105">
        <v>320258.92299930891</v>
      </c>
      <c r="N37" s="105">
        <v>320030.66337422252</v>
      </c>
      <c r="O37" s="105">
        <v>319802.40374913614</v>
      </c>
      <c r="P37" s="105">
        <v>319639.36115978874</v>
      </c>
      <c r="Q37" s="105">
        <v>319476.31857044133</v>
      </c>
      <c r="R37" s="105">
        <v>319313.27598109387</v>
      </c>
      <c r="S37" s="105">
        <v>319150.23339174647</v>
      </c>
      <c r="T37" s="105">
        <v>318987.19080239907</v>
      </c>
      <c r="U37" s="105">
        <v>318824.14821305161</v>
      </c>
      <c r="V37" s="105">
        <v>318661.10562370421</v>
      </c>
      <c r="W37" s="105">
        <v>318498.0630343568</v>
      </c>
      <c r="X37" s="105">
        <v>318335.0204450094</v>
      </c>
      <c r="Y37" s="105">
        <v>318171.977855662</v>
      </c>
      <c r="Z37" s="105">
        <v>318008.93526631454</v>
      </c>
      <c r="AA37" s="105">
        <v>317845.89267696714</v>
      </c>
      <c r="AB37" s="105">
        <v>317682.85008761974</v>
      </c>
      <c r="AC37" s="105">
        <v>317519.80749827233</v>
      </c>
      <c r="AD37" s="105">
        <v>317356.76490892493</v>
      </c>
      <c r="AE37" s="105">
        <v>317193.72231957753</v>
      </c>
      <c r="AF37" s="105">
        <v>317030.67973023013</v>
      </c>
      <c r="AG37" s="105">
        <v>316867.63714088267</v>
      </c>
      <c r="AH37" s="105">
        <v>316704.59455153527</v>
      </c>
      <c r="AI37" s="105">
        <v>316541.5519621878</v>
      </c>
      <c r="AJ37" s="105">
        <v>316378.5093728404</v>
      </c>
      <c r="AK37" s="105">
        <v>316215.466783493</v>
      </c>
      <c r="AL37" s="105">
        <v>316052.4241941456</v>
      </c>
      <c r="AM37" s="105">
        <v>315889.38160479814</v>
      </c>
      <c r="AN37" s="105">
        <v>315726.33901545068</v>
      </c>
    </row>
    <row r="38" spans="1:40">
      <c r="A38" t="s">
        <v>511</v>
      </c>
      <c r="B38" s="715"/>
      <c r="C38" t="s">
        <v>508</v>
      </c>
      <c r="E38" s="105">
        <v>0</v>
      </c>
      <c r="F38" s="105">
        <v>3858.4564093072395</v>
      </c>
      <c r="G38" s="105">
        <v>7716.912818614479</v>
      </c>
      <c r="H38" s="105">
        <v>11575.369227921718</v>
      </c>
      <c r="I38" s="105">
        <v>15433.825637228958</v>
      </c>
      <c r="J38" s="105">
        <v>19292.282046536195</v>
      </c>
      <c r="K38" s="105">
        <v>23150.738455843439</v>
      </c>
      <c r="L38" s="105">
        <v>27009.194865150675</v>
      </c>
      <c r="M38" s="105">
        <v>30867.651274457919</v>
      </c>
      <c r="N38" s="105">
        <v>34726.107683765156</v>
      </c>
      <c r="O38" s="105">
        <v>38584.564093072389</v>
      </c>
      <c r="P38" s="105">
        <v>41417.346026279462</v>
      </c>
      <c r="Q38" s="105">
        <v>44250.127959486534</v>
      </c>
      <c r="R38" s="105">
        <v>47082.909892693584</v>
      </c>
      <c r="S38" s="105">
        <v>49915.691825900656</v>
      </c>
      <c r="T38" s="105">
        <v>52748.473759107721</v>
      </c>
      <c r="U38" s="105">
        <v>55581.255692314793</v>
      </c>
      <c r="V38" s="105">
        <v>58414.037625521851</v>
      </c>
      <c r="W38" s="105">
        <v>61246.819558728923</v>
      </c>
      <c r="X38" s="105">
        <v>64079.601491935995</v>
      </c>
      <c r="Y38" s="105">
        <v>66912.383425143053</v>
      </c>
      <c r="Z38" s="105">
        <v>69745.165358350117</v>
      </c>
      <c r="AA38" s="105">
        <v>72577.947291557182</v>
      </c>
      <c r="AB38" s="105">
        <v>75410.729224764247</v>
      </c>
      <c r="AC38" s="105">
        <v>78243.511157971327</v>
      </c>
      <c r="AD38" s="105">
        <v>81076.293091178391</v>
      </c>
      <c r="AE38" s="105">
        <v>83909.075024385442</v>
      </c>
      <c r="AF38" s="105">
        <v>86741.856957592507</v>
      </c>
      <c r="AG38" s="105">
        <v>89574.638890799601</v>
      </c>
      <c r="AH38" s="105">
        <v>92407.420824006636</v>
      </c>
      <c r="AI38" s="105">
        <v>95240.20275721373</v>
      </c>
      <c r="AJ38" s="105">
        <v>98072.984690420795</v>
      </c>
      <c r="AK38" s="105">
        <v>100905.76662362786</v>
      </c>
      <c r="AL38" s="105">
        <v>103738.5485568349</v>
      </c>
      <c r="AM38" s="105">
        <v>106571.33049004199</v>
      </c>
      <c r="AN38" s="105">
        <v>109404.11242324905</v>
      </c>
    </row>
  </sheetData>
  <mergeCells count="3">
    <mergeCell ref="B35:B38"/>
    <mergeCell ref="B27:B29"/>
    <mergeCell ref="C1:H1"/>
  </mergeCell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6">
    <tabColor theme="6" tint="0.79998168889431442"/>
  </sheetPr>
  <dimension ref="A2:XET363"/>
  <sheetViews>
    <sheetView topLeftCell="A7" zoomScale="80" zoomScaleNormal="80" workbookViewId="0">
      <selection activeCell="O35" sqref="O35"/>
    </sheetView>
  </sheetViews>
  <sheetFormatPr defaultColWidth="9.140625" defaultRowHeight="15"/>
  <cols>
    <col min="1" max="1" width="9.140625" customWidth="1"/>
    <col min="2" max="2" width="20.5703125" customWidth="1"/>
    <col min="3" max="3" width="14" customWidth="1"/>
    <col min="4" max="4" width="26.42578125" bestFit="1" customWidth="1"/>
    <col min="5" max="5" width="45.140625" customWidth="1"/>
    <col min="9" max="9" width="10.5703125" bestFit="1" customWidth="1"/>
    <col min="26" max="26" width="11" customWidth="1"/>
    <col min="41" max="41" width="11.85546875" customWidth="1"/>
    <col min="96" max="96" width="13.5703125" customWidth="1"/>
  </cols>
  <sheetData>
    <row r="2" spans="1:41" s="554" customFormat="1">
      <c r="A2" s="554" t="s">
        <v>512</v>
      </c>
    </row>
    <row r="3" spans="1:41">
      <c r="C3" t="s">
        <v>346</v>
      </c>
      <c r="D3" t="s">
        <v>347</v>
      </c>
    </row>
    <row r="4" spans="1:41">
      <c r="B4" t="s">
        <v>22</v>
      </c>
      <c r="C4" s="331" t="s">
        <v>24</v>
      </c>
      <c r="D4" s="331" t="s">
        <v>25</v>
      </c>
      <c r="I4" s="719" t="s">
        <v>513</v>
      </c>
      <c r="J4" s="720"/>
      <c r="K4" s="720"/>
      <c r="L4" s="720"/>
      <c r="M4" s="720"/>
      <c r="N4" s="721"/>
    </row>
    <row r="5" spans="1:41">
      <c r="B5" t="str">
        <f>INDEX('Scenario names'!$C$3:$C$6,4)</f>
        <v>No Constraints</v>
      </c>
      <c r="C5" s="331" t="s">
        <v>33</v>
      </c>
      <c r="D5" s="331" t="s">
        <v>514</v>
      </c>
      <c r="I5" s="722"/>
      <c r="J5" s="723"/>
      <c r="K5" s="723"/>
      <c r="L5" s="723"/>
      <c r="M5" s="723"/>
      <c r="N5" s="724"/>
    </row>
    <row r="6" spans="1:41">
      <c r="B6" t="str">
        <f>INDEX('Scenario names'!$C$3:$C$6,1)</f>
        <v>High Electrification</v>
      </c>
      <c r="C6" s="331" t="s">
        <v>28</v>
      </c>
      <c r="D6" s="331" t="s">
        <v>34</v>
      </c>
      <c r="I6" s="722"/>
      <c r="J6" s="723"/>
      <c r="K6" s="723"/>
      <c r="L6" s="723"/>
      <c r="M6" s="723"/>
      <c r="N6" s="724"/>
    </row>
    <row r="7" spans="1:41">
      <c r="B7" t="str">
        <f>INDEX('Scenario names'!$C$3:$C$6,2)</f>
        <v>High Hydrogen</v>
      </c>
      <c r="C7" s="331" t="s">
        <v>24</v>
      </c>
      <c r="D7" s="331" t="s">
        <v>34</v>
      </c>
      <c r="I7" s="722"/>
      <c r="J7" s="723"/>
      <c r="K7" s="723"/>
      <c r="L7" s="723"/>
      <c r="M7" s="723"/>
      <c r="N7" s="724"/>
    </row>
    <row r="8" spans="1:41">
      <c r="B8" t="str">
        <f>INDEX('Scenario names'!$C$3:$C$6,3)</f>
        <v>Accelerated Green</v>
      </c>
      <c r="C8" s="331" t="s">
        <v>515</v>
      </c>
      <c r="D8" s="331" t="s">
        <v>29</v>
      </c>
      <c r="I8" s="725"/>
      <c r="J8" s="726"/>
      <c r="K8" s="726"/>
      <c r="L8" s="726"/>
      <c r="M8" s="726"/>
      <c r="N8" s="727"/>
    </row>
    <row r="9" spans="1:41">
      <c r="C9" s="331"/>
      <c r="D9" s="331"/>
    </row>
    <row r="10" spans="1:41">
      <c r="A10" s="462" t="s">
        <v>516</v>
      </c>
      <c r="B10" s="462"/>
      <c r="C10" s="462"/>
      <c r="D10" s="462"/>
      <c r="E10" s="462"/>
      <c r="F10" s="462"/>
      <c r="G10" s="462"/>
      <c r="H10" s="462"/>
      <c r="I10" s="462"/>
      <c r="J10" s="462"/>
      <c r="K10" s="462"/>
      <c r="L10" s="462"/>
      <c r="M10" s="462"/>
      <c r="N10" s="462"/>
      <c r="O10" s="462"/>
      <c r="P10" s="462"/>
      <c r="Q10" s="462"/>
      <c r="R10" s="462"/>
      <c r="S10" s="462"/>
      <c r="T10" s="462"/>
      <c r="U10" s="462"/>
      <c r="V10" s="462"/>
      <c r="W10" s="462"/>
      <c r="X10" s="462"/>
      <c r="Y10" s="462"/>
      <c r="Z10" s="462"/>
      <c r="AA10" s="462"/>
      <c r="AB10" s="462"/>
      <c r="AC10" s="462"/>
      <c r="AD10" s="462"/>
      <c r="AE10" s="462"/>
      <c r="AF10" s="462"/>
      <c r="AG10" s="462"/>
      <c r="AH10" s="462"/>
      <c r="AI10" s="462"/>
      <c r="AJ10" s="462"/>
      <c r="AK10" s="462"/>
      <c r="AL10" s="462"/>
      <c r="AM10" s="462"/>
      <c r="AN10" s="462"/>
      <c r="AO10" s="462"/>
    </row>
    <row r="11" spans="1:41">
      <c r="A11" s="462" t="s">
        <v>517</v>
      </c>
      <c r="B11" s="462"/>
      <c r="C11" s="462"/>
      <c r="D11" s="462"/>
      <c r="E11" s="462"/>
      <c r="F11" s="462"/>
      <c r="G11" s="462"/>
      <c r="H11" s="462"/>
      <c r="I11" s="462"/>
      <c r="J11" s="462"/>
      <c r="K11" s="462"/>
      <c r="L11" s="462"/>
      <c r="M11" s="462"/>
      <c r="N11" s="462"/>
      <c r="O11" s="462"/>
      <c r="P11" s="462"/>
      <c r="Q11" s="462"/>
      <c r="R11" s="462"/>
      <c r="S11" s="462"/>
      <c r="T11" s="462"/>
      <c r="U11" s="462"/>
      <c r="V11" s="462"/>
      <c r="W11" s="462"/>
      <c r="X11" s="462"/>
      <c r="Y11" s="462"/>
      <c r="Z11" s="462"/>
      <c r="AA11" s="462"/>
      <c r="AB11" s="462"/>
      <c r="AC11" s="462"/>
      <c r="AD11" s="462"/>
      <c r="AE11" s="462"/>
      <c r="AF11" s="462"/>
      <c r="AG11" s="462"/>
      <c r="AH11" s="462"/>
      <c r="AI11" s="462"/>
      <c r="AJ11" s="462"/>
      <c r="AK11" s="462"/>
      <c r="AL11" s="462"/>
      <c r="AM11" s="462"/>
      <c r="AN11" s="462"/>
      <c r="AO11" s="462"/>
    </row>
    <row r="12" spans="1:41">
      <c r="B12" t="s">
        <v>125</v>
      </c>
      <c r="C12" s="204" t="str">
        <f>INDEX($C$4:$C$11,MATCH(Dashboard!$D$6,$B$4:$B$11,0),1)</f>
        <v>Medium</v>
      </c>
      <c r="E12" s="331"/>
      <c r="F12" s="332">
        <v>2015</v>
      </c>
      <c r="G12" s="332">
        <v>2016</v>
      </c>
      <c r="H12" s="332">
        <v>2017</v>
      </c>
      <c r="I12" s="332">
        <v>2018</v>
      </c>
      <c r="J12" s="332">
        <v>2019</v>
      </c>
      <c r="K12" s="332">
        <v>2020</v>
      </c>
      <c r="L12" s="332">
        <v>2021</v>
      </c>
      <c r="M12" s="332">
        <v>2022</v>
      </c>
      <c r="N12" s="332">
        <v>2023</v>
      </c>
      <c r="O12" s="332">
        <v>2024</v>
      </c>
      <c r="P12" s="332">
        <v>2025</v>
      </c>
      <c r="Q12" s="332">
        <v>2026</v>
      </c>
      <c r="R12" s="332">
        <v>2027</v>
      </c>
      <c r="S12" s="332">
        <v>2028</v>
      </c>
      <c r="T12" s="332">
        <v>2029</v>
      </c>
      <c r="U12" s="332">
        <v>2030</v>
      </c>
      <c r="V12" s="332">
        <v>2031</v>
      </c>
      <c r="W12" s="332">
        <v>2032</v>
      </c>
      <c r="X12" s="332">
        <v>2033</v>
      </c>
      <c r="Y12" s="332">
        <v>2034</v>
      </c>
      <c r="Z12" s="332">
        <v>2035</v>
      </c>
      <c r="AA12" s="332">
        <v>2036</v>
      </c>
      <c r="AB12" s="332">
        <v>2037</v>
      </c>
      <c r="AC12" s="332">
        <v>2038</v>
      </c>
      <c r="AD12" s="332">
        <v>2039</v>
      </c>
      <c r="AE12" s="332">
        <v>2040</v>
      </c>
      <c r="AF12" s="332">
        <v>2041</v>
      </c>
      <c r="AG12" s="332">
        <v>2042</v>
      </c>
      <c r="AH12" s="332">
        <v>2043</v>
      </c>
      <c r="AI12" s="332">
        <v>2044</v>
      </c>
      <c r="AJ12" s="332">
        <v>2045</v>
      </c>
      <c r="AK12" s="332">
        <v>2046</v>
      </c>
      <c r="AL12" s="332">
        <v>2047</v>
      </c>
      <c r="AM12" s="332">
        <v>2048</v>
      </c>
      <c r="AN12" s="332">
        <v>2049</v>
      </c>
      <c r="AO12" s="332">
        <v>2050</v>
      </c>
    </row>
    <row r="13" spans="1:41">
      <c r="B13" s="306" t="s">
        <v>518</v>
      </c>
      <c r="C13" s="306"/>
      <c r="D13" s="306" t="s">
        <v>519</v>
      </c>
      <c r="E13" s="330" t="str">
        <f t="shared" ref="E13:E22" si="0">$C$12&amp;B13&amp;D13</f>
        <v>MediumDomestic existing% Domestic existing heat</v>
      </c>
      <c r="F13" s="473">
        <f t="shared" ref="F13:O18" si="1">INDEX(F$80:F$243,MATCH($E13,$E$80:$E$243,0),1)</f>
        <v>0</v>
      </c>
      <c r="G13" s="473">
        <f t="shared" si="1"/>
        <v>0</v>
      </c>
      <c r="H13" s="473">
        <f t="shared" si="1"/>
        <v>0</v>
      </c>
      <c r="I13" s="473">
        <f t="shared" si="1"/>
        <v>0</v>
      </c>
      <c r="J13" s="473">
        <f t="shared" si="1"/>
        <v>0</v>
      </c>
      <c r="K13" s="473">
        <f t="shared" si="1"/>
        <v>0</v>
      </c>
      <c r="L13" s="473">
        <f t="shared" si="1"/>
        <v>2.1691078062886829E-3</v>
      </c>
      <c r="M13" s="473">
        <f t="shared" si="1"/>
        <v>9.1062539044558626E-3</v>
      </c>
      <c r="N13" s="473">
        <f t="shared" si="1"/>
        <v>2.2155351624049417E-2</v>
      </c>
      <c r="O13" s="473">
        <f t="shared" si="1"/>
        <v>4.5311772711308949E-2</v>
      </c>
      <c r="P13" s="473">
        <f t="shared" ref="P13:Y18" si="2">INDEX(P$80:P$243,MATCH($E13,$E$80:$E$243,0),1)</f>
        <v>7.6917118326806033E-2</v>
      </c>
      <c r="Q13" s="473">
        <f t="shared" si="2"/>
        <v>0.12019311954031049</v>
      </c>
      <c r="R13" s="473">
        <f t="shared" si="2"/>
        <v>0.17545600497291489</v>
      </c>
      <c r="S13" s="473">
        <f t="shared" si="2"/>
        <v>0.23256649455754458</v>
      </c>
      <c r="T13" s="473">
        <f t="shared" si="2"/>
        <v>0.2888513945984979</v>
      </c>
      <c r="U13" s="473">
        <f t="shared" si="2"/>
        <v>0.34315536133572833</v>
      </c>
      <c r="V13" s="473">
        <f t="shared" si="2"/>
        <v>0.39594849384891728</v>
      </c>
      <c r="W13" s="473">
        <f t="shared" si="2"/>
        <v>0.44874162636210629</v>
      </c>
      <c r="X13" s="473">
        <f t="shared" si="2"/>
        <v>0.50153475887529519</v>
      </c>
      <c r="Y13" s="473">
        <f t="shared" si="2"/>
        <v>0.55432789138848426</v>
      </c>
      <c r="Z13" s="473">
        <f t="shared" ref="Z13:AI18" si="3">INDEX(Z$80:Z$243,MATCH($E13,$E$80:$E$243,0),1)</f>
        <v>0.60712102390167322</v>
      </c>
      <c r="AA13" s="473">
        <f t="shared" si="3"/>
        <v>0.65991415641486229</v>
      </c>
      <c r="AB13" s="473">
        <f t="shared" si="3"/>
        <v>0.69950900579975395</v>
      </c>
      <c r="AC13" s="473">
        <f t="shared" si="3"/>
        <v>0.72590557205634842</v>
      </c>
      <c r="AD13" s="473">
        <f t="shared" si="3"/>
        <v>0.72590557205634842</v>
      </c>
      <c r="AE13" s="473">
        <f t="shared" si="3"/>
        <v>0.72590557205634842</v>
      </c>
      <c r="AF13" s="473">
        <f t="shared" si="3"/>
        <v>0.72590557205634842</v>
      </c>
      <c r="AG13" s="473">
        <f t="shared" si="3"/>
        <v>0.72590557205634842</v>
      </c>
      <c r="AH13" s="473">
        <f t="shared" si="3"/>
        <v>0.72590557205634842</v>
      </c>
      <c r="AI13" s="473">
        <f t="shared" si="3"/>
        <v>0.72590557205634842</v>
      </c>
      <c r="AJ13" s="473">
        <f t="shared" ref="AJ13:AO18" si="4">INDEX(AJ$80:AJ$243,MATCH($E13,$E$80:$E$243,0),1)</f>
        <v>0.72590557205634842</v>
      </c>
      <c r="AK13" s="473">
        <f t="shared" si="4"/>
        <v>0.72590557205634842</v>
      </c>
      <c r="AL13" s="473">
        <f t="shared" si="4"/>
        <v>0.72590557205634842</v>
      </c>
      <c r="AM13" s="473">
        <f t="shared" si="4"/>
        <v>0.72590557205634842</v>
      </c>
      <c r="AN13" s="473">
        <f t="shared" si="4"/>
        <v>0.72590557205634842</v>
      </c>
      <c r="AO13" s="473">
        <f t="shared" si="4"/>
        <v>0.72590557205634842</v>
      </c>
    </row>
    <row r="14" spans="1:41">
      <c r="B14" s="306" t="s">
        <v>520</v>
      </c>
      <c r="C14" s="306"/>
      <c r="D14" s="306" t="s">
        <v>521</v>
      </c>
      <c r="E14" s="330" t="str">
        <f t="shared" si="0"/>
        <v>MediumDomestic new% Domestic new heat</v>
      </c>
      <c r="F14" s="473">
        <f t="shared" si="1"/>
        <v>0</v>
      </c>
      <c r="G14" s="473">
        <f t="shared" si="1"/>
        <v>0</v>
      </c>
      <c r="H14" s="473">
        <f t="shared" si="1"/>
        <v>0</v>
      </c>
      <c r="I14" s="473">
        <f t="shared" si="1"/>
        <v>0</v>
      </c>
      <c r="J14" s="473">
        <f t="shared" si="1"/>
        <v>0</v>
      </c>
      <c r="K14" s="473">
        <f t="shared" si="1"/>
        <v>7.9999999999999766E-2</v>
      </c>
      <c r="L14" s="473">
        <f t="shared" si="1"/>
        <v>0.1407998385532471</v>
      </c>
      <c r="M14" s="473">
        <f t="shared" si="1"/>
        <v>0.22415939938595816</v>
      </c>
      <c r="N14" s="473">
        <f t="shared" si="1"/>
        <v>0.28880311508532053</v>
      </c>
      <c r="O14" s="473">
        <f t="shared" si="1"/>
        <v>0.3403979242838242</v>
      </c>
      <c r="P14" s="473">
        <f t="shared" si="2"/>
        <v>0.38253266374755834</v>
      </c>
      <c r="Q14" s="473">
        <f t="shared" si="2"/>
        <v>0.42519313598415742</v>
      </c>
      <c r="R14" s="473">
        <f t="shared" si="2"/>
        <v>0.46233977932869624</v>
      </c>
      <c r="S14" s="473">
        <f t="shared" si="2"/>
        <v>0.49497669082213958</v>
      </c>
      <c r="T14" s="473">
        <f t="shared" si="2"/>
        <v>0.52387811801536321</v>
      </c>
      <c r="U14" s="473">
        <f t="shared" si="2"/>
        <v>0.54965066790845485</v>
      </c>
      <c r="V14" s="473">
        <f t="shared" si="2"/>
        <v>0.56061479765929501</v>
      </c>
      <c r="W14" s="473">
        <f t="shared" si="2"/>
        <v>0.57105775405996606</v>
      </c>
      <c r="X14" s="473">
        <f t="shared" si="2"/>
        <v>0.58101583490864206</v>
      </c>
      <c r="Y14" s="473">
        <f t="shared" si="2"/>
        <v>0.59052204380308959</v>
      </c>
      <c r="Z14" s="473">
        <f t="shared" si="3"/>
        <v>0.59960645555561165</v>
      </c>
      <c r="AA14" s="473">
        <f t="shared" si="3"/>
        <v>0.60829653402254169</v>
      </c>
      <c r="AB14" s="473">
        <f t="shared" si="3"/>
        <v>0.61661740942422072</v>
      </c>
      <c r="AC14" s="473">
        <f t="shared" si="3"/>
        <v>0.62459212105390749</v>
      </c>
      <c r="AD14" s="473">
        <f t="shared" si="3"/>
        <v>0.63224183031252179</v>
      </c>
      <c r="AE14" s="473">
        <f t="shared" si="3"/>
        <v>0.63958600821740164</v>
      </c>
      <c r="AF14" s="473">
        <f t="shared" si="3"/>
        <v>0.646642600883507</v>
      </c>
      <c r="AG14" s="473">
        <f t="shared" si="3"/>
        <v>0.65342817593806657</v>
      </c>
      <c r="AH14" s="473">
        <f t="shared" si="3"/>
        <v>0.65995805238333327</v>
      </c>
      <c r="AI14" s="473">
        <f t="shared" si="3"/>
        <v>0.66624641605010471</v>
      </c>
      <c r="AJ14" s="473">
        <f t="shared" si="4"/>
        <v>0.67230642247341654</v>
      </c>
      <c r="AK14" s="473">
        <f t="shared" si="4"/>
        <v>0.6781502887605424</v>
      </c>
      <c r="AL14" s="473">
        <f t="shared" si="4"/>
        <v>0.68378937580134846</v>
      </c>
      <c r="AM14" s="473">
        <f t="shared" si="4"/>
        <v>0.6892342619850822</v>
      </c>
      <c r="AN14" s="473">
        <f t="shared" si="4"/>
        <v>0.6944948094300295</v>
      </c>
      <c r="AO14" s="473">
        <f t="shared" si="4"/>
        <v>0.69958022359844985</v>
      </c>
    </row>
    <row r="15" spans="1:41">
      <c r="B15" s="306" t="s">
        <v>522</v>
      </c>
      <c r="C15" s="306"/>
      <c r="D15" s="306" t="s">
        <v>523</v>
      </c>
      <c r="E15" s="330" t="str">
        <f t="shared" si="0"/>
        <v>MediumNon-domestic existing% Non-Domestic existing heat</v>
      </c>
      <c r="F15" s="473">
        <f t="shared" si="1"/>
        <v>0</v>
      </c>
      <c r="G15" s="473">
        <f t="shared" si="1"/>
        <v>0</v>
      </c>
      <c r="H15" s="473">
        <f t="shared" si="1"/>
        <v>0</v>
      </c>
      <c r="I15" s="473">
        <f t="shared" si="1"/>
        <v>0</v>
      </c>
      <c r="J15" s="473">
        <f t="shared" si="1"/>
        <v>0</v>
      </c>
      <c r="K15" s="473">
        <f t="shared" si="1"/>
        <v>0</v>
      </c>
      <c r="L15" s="473">
        <f t="shared" si="1"/>
        <v>2.1691078062886829E-3</v>
      </c>
      <c r="M15" s="473">
        <f t="shared" si="1"/>
        <v>9.1062539044558626E-3</v>
      </c>
      <c r="N15" s="473">
        <f t="shared" si="1"/>
        <v>2.2155351624049417E-2</v>
      </c>
      <c r="O15" s="473">
        <f t="shared" si="1"/>
        <v>4.5311772711308949E-2</v>
      </c>
      <c r="P15" s="473">
        <f t="shared" si="2"/>
        <v>7.6917118326806033E-2</v>
      </c>
      <c r="Q15" s="473">
        <f t="shared" si="2"/>
        <v>0.12019311954031048</v>
      </c>
      <c r="R15" s="473">
        <f t="shared" si="2"/>
        <v>0.17545600497291489</v>
      </c>
      <c r="S15" s="473">
        <f t="shared" si="2"/>
        <v>0.23256649455754455</v>
      </c>
      <c r="T15" s="473">
        <f t="shared" si="2"/>
        <v>0.2888513945984979</v>
      </c>
      <c r="U15" s="473">
        <f t="shared" si="2"/>
        <v>0.34315536133572833</v>
      </c>
      <c r="V15" s="473">
        <f t="shared" si="2"/>
        <v>0.39594849384891728</v>
      </c>
      <c r="W15" s="473">
        <f t="shared" si="2"/>
        <v>0.44874162636210629</v>
      </c>
      <c r="X15" s="473">
        <f t="shared" si="2"/>
        <v>0.50153475887529519</v>
      </c>
      <c r="Y15" s="473">
        <f t="shared" si="2"/>
        <v>0.55432789138848426</v>
      </c>
      <c r="Z15" s="473">
        <f t="shared" si="3"/>
        <v>0.60712102390167322</v>
      </c>
      <c r="AA15" s="473">
        <f t="shared" si="3"/>
        <v>0.65991415641486229</v>
      </c>
      <c r="AB15" s="473">
        <f t="shared" si="3"/>
        <v>0.69950900579975395</v>
      </c>
      <c r="AC15" s="473">
        <f t="shared" si="3"/>
        <v>0.72590557205634842</v>
      </c>
      <c r="AD15" s="473">
        <f t="shared" si="3"/>
        <v>0.72590557205634842</v>
      </c>
      <c r="AE15" s="473">
        <f t="shared" si="3"/>
        <v>0.72590557205634842</v>
      </c>
      <c r="AF15" s="473">
        <f t="shared" si="3"/>
        <v>0.72590557205634842</v>
      </c>
      <c r="AG15" s="473">
        <f t="shared" si="3"/>
        <v>0.72590557205634842</v>
      </c>
      <c r="AH15" s="473">
        <f t="shared" si="3"/>
        <v>0.72590557205634842</v>
      </c>
      <c r="AI15" s="473">
        <f t="shared" si="3"/>
        <v>0.72590557205634842</v>
      </c>
      <c r="AJ15" s="473">
        <f t="shared" si="4"/>
        <v>0.72590557205634842</v>
      </c>
      <c r="AK15" s="473">
        <f t="shared" si="4"/>
        <v>0.72590557205634842</v>
      </c>
      <c r="AL15" s="473">
        <f t="shared" si="4"/>
        <v>0.72590557205634842</v>
      </c>
      <c r="AM15" s="473">
        <f t="shared" si="4"/>
        <v>0.72590557205634842</v>
      </c>
      <c r="AN15" s="473">
        <f t="shared" si="4"/>
        <v>0.72590557205634842</v>
      </c>
      <c r="AO15" s="473">
        <f t="shared" si="4"/>
        <v>0.72590557205634842</v>
      </c>
    </row>
    <row r="16" spans="1:41">
      <c r="B16" s="306" t="s">
        <v>524</v>
      </c>
      <c r="C16" s="306"/>
      <c r="D16" s="306" t="s">
        <v>525</v>
      </c>
      <c r="E16" s="330" t="str">
        <f t="shared" si="0"/>
        <v>MediumNon-domestic new% Non-Domestic new heat</v>
      </c>
      <c r="F16" s="473">
        <f t="shared" si="1"/>
        <v>0</v>
      </c>
      <c r="G16" s="473">
        <f t="shared" si="1"/>
        <v>0</v>
      </c>
      <c r="H16" s="473">
        <f t="shared" si="1"/>
        <v>0</v>
      </c>
      <c r="I16" s="473">
        <f t="shared" si="1"/>
        <v>0</v>
      </c>
      <c r="J16" s="473">
        <f t="shared" si="1"/>
        <v>0</v>
      </c>
      <c r="K16" s="473">
        <f t="shared" si="1"/>
        <v>7.9999999999999766E-2</v>
      </c>
      <c r="L16" s="473">
        <f t="shared" si="1"/>
        <v>0.1407998385532471</v>
      </c>
      <c r="M16" s="473">
        <f t="shared" si="1"/>
        <v>0.22415939938595814</v>
      </c>
      <c r="N16" s="473">
        <f t="shared" si="1"/>
        <v>0.28880311508532053</v>
      </c>
      <c r="O16" s="473">
        <f t="shared" si="1"/>
        <v>0.34039792428382415</v>
      </c>
      <c r="P16" s="473">
        <f t="shared" si="2"/>
        <v>0.38253266374755834</v>
      </c>
      <c r="Q16" s="473">
        <f t="shared" si="2"/>
        <v>0.42519313598415742</v>
      </c>
      <c r="R16" s="473">
        <f t="shared" si="2"/>
        <v>0.46233977932869619</v>
      </c>
      <c r="S16" s="473">
        <f t="shared" si="2"/>
        <v>0.49497669082213958</v>
      </c>
      <c r="T16" s="473">
        <f t="shared" si="2"/>
        <v>0.52387811801536321</v>
      </c>
      <c r="U16" s="473">
        <f t="shared" si="2"/>
        <v>0.54965066790845485</v>
      </c>
      <c r="V16" s="473">
        <f t="shared" si="2"/>
        <v>0.56061479765929501</v>
      </c>
      <c r="W16" s="473">
        <f t="shared" si="2"/>
        <v>0.57105775405996606</v>
      </c>
      <c r="X16" s="473">
        <f t="shared" si="2"/>
        <v>0.58101583490864206</v>
      </c>
      <c r="Y16" s="473">
        <f t="shared" si="2"/>
        <v>0.59052204380308959</v>
      </c>
      <c r="Z16" s="473">
        <f t="shared" si="3"/>
        <v>0.59960645555561165</v>
      </c>
      <c r="AA16" s="473">
        <f t="shared" si="3"/>
        <v>0.60829653402254169</v>
      </c>
      <c r="AB16" s="473">
        <f t="shared" si="3"/>
        <v>0.61661740942422072</v>
      </c>
      <c r="AC16" s="473">
        <f t="shared" si="3"/>
        <v>0.62459212105390749</v>
      </c>
      <c r="AD16" s="473">
        <f t="shared" si="3"/>
        <v>0.63224183031252179</v>
      </c>
      <c r="AE16" s="473">
        <f t="shared" si="3"/>
        <v>0.63958600821740164</v>
      </c>
      <c r="AF16" s="473">
        <f t="shared" si="3"/>
        <v>0.646642600883507</v>
      </c>
      <c r="AG16" s="473">
        <f t="shared" si="3"/>
        <v>0.65342817593806657</v>
      </c>
      <c r="AH16" s="473">
        <f t="shared" si="3"/>
        <v>0.65995805238333327</v>
      </c>
      <c r="AI16" s="473">
        <f t="shared" si="3"/>
        <v>0.66624641605010471</v>
      </c>
      <c r="AJ16" s="473">
        <f t="shared" si="4"/>
        <v>0.67230642247341654</v>
      </c>
      <c r="AK16" s="473">
        <f t="shared" si="4"/>
        <v>0.6781502887605424</v>
      </c>
      <c r="AL16" s="473">
        <f t="shared" si="4"/>
        <v>0.68378937580134846</v>
      </c>
      <c r="AM16" s="473">
        <f t="shared" si="4"/>
        <v>0.6892342619850822</v>
      </c>
      <c r="AN16" s="473">
        <f t="shared" si="4"/>
        <v>0.6944948094300295</v>
      </c>
      <c r="AO16" s="473">
        <f t="shared" si="4"/>
        <v>0.69958022359844985</v>
      </c>
    </row>
    <row r="17" spans="1:41">
      <c r="B17" s="306" t="s">
        <v>518</v>
      </c>
      <c r="C17" s="306"/>
      <c r="D17" s="306" t="s">
        <v>526</v>
      </c>
      <c r="E17" s="330" t="str">
        <f t="shared" si="0"/>
        <v>MediumDomestic existingInstallations per year</v>
      </c>
      <c r="F17" s="422">
        <f t="shared" si="1"/>
        <v>0</v>
      </c>
      <c r="G17" s="422">
        <f t="shared" si="1"/>
        <v>0</v>
      </c>
      <c r="H17" s="422">
        <f t="shared" si="1"/>
        <v>0</v>
      </c>
      <c r="I17" s="422">
        <f t="shared" si="1"/>
        <v>0</v>
      </c>
      <c r="J17" s="422">
        <f t="shared" si="1"/>
        <v>0</v>
      </c>
      <c r="K17" s="422">
        <f t="shared" si="1"/>
        <v>0</v>
      </c>
      <c r="L17" s="422">
        <f t="shared" si="1"/>
        <v>10776.969000000001</v>
      </c>
      <c r="M17" s="422">
        <f t="shared" si="1"/>
        <v>32330.906999999999</v>
      </c>
      <c r="N17" s="422">
        <f t="shared" si="1"/>
        <v>53884.845000000001</v>
      </c>
      <c r="O17" s="422">
        <f t="shared" si="1"/>
        <v>86215.752000000008</v>
      </c>
      <c r="P17" s="422">
        <f t="shared" si="2"/>
        <v>107769.69</v>
      </c>
      <c r="Q17" s="422">
        <f t="shared" si="2"/>
        <v>140100.59700000001</v>
      </c>
      <c r="R17" s="422">
        <f t="shared" si="2"/>
        <v>172431.50400000002</v>
      </c>
      <c r="S17" s="422">
        <f t="shared" si="2"/>
        <v>172431.50400000002</v>
      </c>
      <c r="T17" s="422">
        <f t="shared" si="2"/>
        <v>172431.50400000002</v>
      </c>
      <c r="U17" s="422">
        <f t="shared" si="2"/>
        <v>172431.50400000002</v>
      </c>
      <c r="V17" s="422">
        <f t="shared" si="2"/>
        <v>172431.50400000002</v>
      </c>
      <c r="W17" s="422">
        <f t="shared" si="2"/>
        <v>172431.50400000002</v>
      </c>
      <c r="X17" s="422">
        <f t="shared" si="2"/>
        <v>172431.50400000002</v>
      </c>
      <c r="Y17" s="422">
        <f t="shared" si="2"/>
        <v>172431.50400000002</v>
      </c>
      <c r="Z17" s="422">
        <f t="shared" si="3"/>
        <v>172431.50400000002</v>
      </c>
      <c r="AA17" s="422">
        <f t="shared" si="3"/>
        <v>172431.50400000002</v>
      </c>
      <c r="AB17" s="422">
        <f t="shared" si="3"/>
        <v>129323.628</v>
      </c>
      <c r="AC17" s="422">
        <f t="shared" si="3"/>
        <v>86215.752000000008</v>
      </c>
      <c r="AD17" s="422">
        <f t="shared" si="3"/>
        <v>0</v>
      </c>
      <c r="AE17" s="422">
        <f t="shared" si="3"/>
        <v>0</v>
      </c>
      <c r="AF17" s="422">
        <f t="shared" si="3"/>
        <v>0</v>
      </c>
      <c r="AG17" s="422">
        <f t="shared" si="3"/>
        <v>0</v>
      </c>
      <c r="AH17" s="422">
        <f t="shared" si="3"/>
        <v>0</v>
      </c>
      <c r="AI17" s="422">
        <f t="shared" si="3"/>
        <v>0</v>
      </c>
      <c r="AJ17" s="422">
        <f t="shared" si="4"/>
        <v>0</v>
      </c>
      <c r="AK17" s="422">
        <f t="shared" si="4"/>
        <v>0</v>
      </c>
      <c r="AL17" s="422">
        <f t="shared" si="4"/>
        <v>0</v>
      </c>
      <c r="AM17" s="422">
        <f t="shared" si="4"/>
        <v>0</v>
      </c>
      <c r="AN17" s="422">
        <f t="shared" si="4"/>
        <v>0</v>
      </c>
      <c r="AO17" s="422">
        <f t="shared" si="4"/>
        <v>0</v>
      </c>
    </row>
    <row r="18" spans="1:41">
      <c r="B18" s="306" t="s">
        <v>520</v>
      </c>
      <c r="C18" s="306"/>
      <c r="D18" s="306" t="s">
        <v>526</v>
      </c>
      <c r="E18" s="330" t="str">
        <f>$C$12&amp;B18&amp;D18</f>
        <v>MediumDomestic newInstallations per year</v>
      </c>
      <c r="F18" s="422">
        <f t="shared" si="1"/>
        <v>0</v>
      </c>
      <c r="G18" s="422">
        <f t="shared" si="1"/>
        <v>0</v>
      </c>
      <c r="H18" s="422">
        <f t="shared" si="1"/>
        <v>0</v>
      </c>
      <c r="I18" s="422">
        <f t="shared" si="1"/>
        <v>0</v>
      </c>
      <c r="J18" s="422">
        <f t="shared" si="1"/>
        <v>0</v>
      </c>
      <c r="K18" s="422">
        <f t="shared" si="1"/>
        <v>31989.831001183342</v>
      </c>
      <c r="L18" s="422">
        <f t="shared" si="1"/>
        <v>33842.143757393933</v>
      </c>
      <c r="M18" s="422">
        <f t="shared" si="1"/>
        <v>54147.430011830205</v>
      </c>
      <c r="N18" s="422">
        <f t="shared" si="1"/>
        <v>54147.430011830293</v>
      </c>
      <c r="O18" s="422">
        <f t="shared" si="1"/>
        <v>54147.430011830205</v>
      </c>
      <c r="P18" s="422">
        <f t="shared" si="2"/>
        <v>54147.430011830729</v>
      </c>
      <c r="Q18" s="422">
        <f t="shared" si="2"/>
        <v>54794.030011823983</v>
      </c>
      <c r="R18" s="422">
        <f t="shared" si="2"/>
        <v>54794.030011823983</v>
      </c>
      <c r="S18" s="422">
        <f t="shared" si="2"/>
        <v>54794.030011824099</v>
      </c>
      <c r="T18" s="422">
        <f t="shared" si="2"/>
        <v>54794.030011824099</v>
      </c>
      <c r="U18" s="422">
        <f t="shared" si="2"/>
        <v>54794.030011823867</v>
      </c>
      <c r="V18" s="422">
        <f t="shared" si="2"/>
        <v>25259.38285714318</v>
      </c>
      <c r="W18" s="422">
        <f t="shared" si="2"/>
        <v>25259.38285714318</v>
      </c>
      <c r="X18" s="422">
        <f t="shared" si="2"/>
        <v>25259.382857142948</v>
      </c>
      <c r="Y18" s="422">
        <f t="shared" si="2"/>
        <v>16957.387570183026</v>
      </c>
      <c r="Z18" s="422">
        <f t="shared" si="3"/>
        <v>11508.257317374926</v>
      </c>
      <c r="AA18" s="422">
        <f t="shared" si="3"/>
        <v>11602.086851403816</v>
      </c>
      <c r="AB18" s="422">
        <f t="shared" si="3"/>
        <v>11679.484714288497</v>
      </c>
      <c r="AC18" s="422">
        <f t="shared" si="3"/>
        <v>11762.374147200841</v>
      </c>
      <c r="AD18" s="422">
        <f t="shared" si="3"/>
        <v>11825.260291512939</v>
      </c>
      <c r="AE18" s="422">
        <f t="shared" si="3"/>
        <v>11882.310440458474</v>
      </c>
      <c r="AF18" s="422">
        <f t="shared" si="3"/>
        <v>11934.226081847097</v>
      </c>
      <c r="AG18" s="422">
        <f t="shared" si="3"/>
        <v>11981.606379678589</v>
      </c>
      <c r="AH18" s="422">
        <f t="shared" si="3"/>
        <v>12024.965577203198</v>
      </c>
      <c r="AI18" s="422">
        <f t="shared" si="3"/>
        <v>12064.747041976196</v>
      </c>
      <c r="AJ18" s="422">
        <f t="shared" si="4"/>
        <v>12101.334673553123</v>
      </c>
      <c r="AK18" s="422">
        <f t="shared" si="4"/>
        <v>12135.062225016532</v>
      </c>
      <c r="AL18" s="422">
        <f t="shared" si="4"/>
        <v>12166.220963241067</v>
      </c>
      <c r="AM18" s="422">
        <f t="shared" si="4"/>
        <v>12195.065997868427</v>
      </c>
      <c r="AN18" s="422">
        <f t="shared" si="4"/>
        <v>12221.82153698965</v>
      </c>
      <c r="AO18" s="422">
        <f t="shared" si="4"/>
        <v>12246.685272645671</v>
      </c>
    </row>
    <row r="19" spans="1:41">
      <c r="B19" s="306" t="s">
        <v>527</v>
      </c>
      <c r="C19" s="306"/>
      <c r="D19" s="306" t="s">
        <v>526</v>
      </c>
      <c r="E19" s="330" t="str">
        <f t="shared" ref="E19:E20" si="5">$C$12&amp;B19&amp;D19</f>
        <v>MediumDomestic hybridsInstallations per year</v>
      </c>
      <c r="F19" s="422">
        <f t="shared" ref="F19:U20" si="6">INDEX(F$80:F$243,MATCH($E19,$E$80:$E$243,0),1)</f>
        <v>0</v>
      </c>
      <c r="G19" s="422">
        <f t="shared" si="6"/>
        <v>0</v>
      </c>
      <c r="H19" s="422">
        <f t="shared" si="6"/>
        <v>0</v>
      </c>
      <c r="I19" s="422">
        <f t="shared" si="6"/>
        <v>0</v>
      </c>
      <c r="J19" s="422">
        <f t="shared" si="6"/>
        <v>0</v>
      </c>
      <c r="K19" s="422">
        <f t="shared" si="6"/>
        <v>0</v>
      </c>
      <c r="L19" s="422">
        <f t="shared" si="6"/>
        <v>0</v>
      </c>
      <c r="M19" s="422">
        <f t="shared" si="6"/>
        <v>0</v>
      </c>
      <c r="N19" s="422">
        <f t="shared" si="6"/>
        <v>0</v>
      </c>
      <c r="O19" s="422">
        <f t="shared" si="6"/>
        <v>0</v>
      </c>
      <c r="P19" s="422">
        <f t="shared" si="6"/>
        <v>0</v>
      </c>
      <c r="Q19" s="422">
        <f t="shared" si="6"/>
        <v>0</v>
      </c>
      <c r="R19" s="422">
        <f t="shared" si="6"/>
        <v>0</v>
      </c>
      <c r="S19" s="422">
        <f t="shared" si="6"/>
        <v>0</v>
      </c>
      <c r="T19" s="422">
        <f t="shared" si="6"/>
        <v>0</v>
      </c>
      <c r="U19" s="422">
        <f t="shared" si="6"/>
        <v>0</v>
      </c>
      <c r="V19" s="422">
        <f t="shared" ref="G19:AO20" si="7">INDEX(V$80:V$243,MATCH($E19,$E$80:$E$243,0),1)</f>
        <v>0</v>
      </c>
      <c r="W19" s="422">
        <f t="shared" si="7"/>
        <v>0</v>
      </c>
      <c r="X19" s="422">
        <f t="shared" si="7"/>
        <v>0</v>
      </c>
      <c r="Y19" s="422">
        <f t="shared" si="7"/>
        <v>0</v>
      </c>
      <c r="Z19" s="422">
        <f t="shared" si="7"/>
        <v>0</v>
      </c>
      <c r="AA19" s="422">
        <f t="shared" si="7"/>
        <v>0</v>
      </c>
      <c r="AB19" s="422">
        <f t="shared" si="7"/>
        <v>0</v>
      </c>
      <c r="AC19" s="422">
        <f t="shared" si="7"/>
        <v>0</v>
      </c>
      <c r="AD19" s="422">
        <f t="shared" si="7"/>
        <v>0</v>
      </c>
      <c r="AE19" s="422">
        <f t="shared" si="7"/>
        <v>0</v>
      </c>
      <c r="AF19" s="422">
        <f t="shared" si="7"/>
        <v>0</v>
      </c>
      <c r="AG19" s="422">
        <f t="shared" si="7"/>
        <v>0</v>
      </c>
      <c r="AH19" s="422">
        <f t="shared" si="7"/>
        <v>0</v>
      </c>
      <c r="AI19" s="422">
        <f t="shared" si="7"/>
        <v>0</v>
      </c>
      <c r="AJ19" s="422">
        <f t="shared" si="7"/>
        <v>0</v>
      </c>
      <c r="AK19" s="422">
        <f t="shared" si="7"/>
        <v>0</v>
      </c>
      <c r="AL19" s="422">
        <f t="shared" si="7"/>
        <v>0</v>
      </c>
      <c r="AM19" s="422">
        <f t="shared" si="7"/>
        <v>0</v>
      </c>
      <c r="AN19" s="422">
        <f t="shared" si="7"/>
        <v>0</v>
      </c>
      <c r="AO19" s="422">
        <f t="shared" si="7"/>
        <v>0</v>
      </c>
    </row>
    <row r="20" spans="1:41">
      <c r="B20" s="306" t="s">
        <v>528</v>
      </c>
      <c r="C20" s="306"/>
      <c r="D20" s="306" t="s">
        <v>526</v>
      </c>
      <c r="E20" s="330" t="str">
        <f t="shared" si="5"/>
        <v>MediumNon-domestic hybridsInstallations per year</v>
      </c>
      <c r="F20" s="422">
        <f t="shared" si="6"/>
        <v>0</v>
      </c>
      <c r="G20" s="422">
        <f t="shared" si="7"/>
        <v>0</v>
      </c>
      <c r="H20" s="422">
        <f t="shared" si="7"/>
        <v>0</v>
      </c>
      <c r="I20" s="422">
        <f t="shared" si="7"/>
        <v>0</v>
      </c>
      <c r="J20" s="422">
        <f t="shared" si="7"/>
        <v>0</v>
      </c>
      <c r="K20" s="422">
        <f t="shared" si="7"/>
        <v>0</v>
      </c>
      <c r="L20" s="422">
        <f t="shared" si="7"/>
        <v>0</v>
      </c>
      <c r="M20" s="422">
        <f t="shared" si="7"/>
        <v>0</v>
      </c>
      <c r="N20" s="422">
        <f t="shared" si="7"/>
        <v>0</v>
      </c>
      <c r="O20" s="422">
        <f t="shared" si="7"/>
        <v>0</v>
      </c>
      <c r="P20" s="422">
        <f t="shared" si="7"/>
        <v>0</v>
      </c>
      <c r="Q20" s="422">
        <f t="shared" si="7"/>
        <v>0</v>
      </c>
      <c r="R20" s="422">
        <f t="shared" si="7"/>
        <v>0</v>
      </c>
      <c r="S20" s="422">
        <f t="shared" si="7"/>
        <v>0</v>
      </c>
      <c r="T20" s="422">
        <f t="shared" si="7"/>
        <v>0</v>
      </c>
      <c r="U20" s="422">
        <f t="shared" si="7"/>
        <v>0</v>
      </c>
      <c r="V20" s="422">
        <f t="shared" si="7"/>
        <v>0</v>
      </c>
      <c r="W20" s="422">
        <f t="shared" si="7"/>
        <v>0</v>
      </c>
      <c r="X20" s="422">
        <f t="shared" si="7"/>
        <v>0</v>
      </c>
      <c r="Y20" s="422">
        <f t="shared" si="7"/>
        <v>0</v>
      </c>
      <c r="Z20" s="422">
        <f t="shared" si="7"/>
        <v>0</v>
      </c>
      <c r="AA20" s="422">
        <f t="shared" si="7"/>
        <v>0</v>
      </c>
      <c r="AB20" s="422">
        <f t="shared" si="7"/>
        <v>0</v>
      </c>
      <c r="AC20" s="422">
        <f t="shared" si="7"/>
        <v>0</v>
      </c>
      <c r="AD20" s="422">
        <f t="shared" si="7"/>
        <v>0</v>
      </c>
      <c r="AE20" s="422">
        <f t="shared" si="7"/>
        <v>0</v>
      </c>
      <c r="AF20" s="422">
        <f t="shared" si="7"/>
        <v>0</v>
      </c>
      <c r="AG20" s="422">
        <f t="shared" si="7"/>
        <v>0</v>
      </c>
      <c r="AH20" s="422">
        <f t="shared" si="7"/>
        <v>0</v>
      </c>
      <c r="AI20" s="422">
        <f t="shared" si="7"/>
        <v>0</v>
      </c>
      <c r="AJ20" s="422">
        <f t="shared" si="7"/>
        <v>0</v>
      </c>
      <c r="AK20" s="422">
        <f t="shared" si="7"/>
        <v>0</v>
      </c>
      <c r="AL20" s="422">
        <f t="shared" si="7"/>
        <v>0</v>
      </c>
      <c r="AM20" s="422">
        <f t="shared" si="7"/>
        <v>0</v>
      </c>
      <c r="AN20" s="422">
        <f t="shared" si="7"/>
        <v>0</v>
      </c>
      <c r="AO20" s="422">
        <f t="shared" si="7"/>
        <v>0</v>
      </c>
    </row>
    <row r="21" spans="1:41">
      <c r="B21" s="306" t="s">
        <v>522</v>
      </c>
      <c r="C21" s="306"/>
      <c r="D21" s="306" t="s">
        <v>526</v>
      </c>
      <c r="E21" s="330" t="str">
        <f>$C$12&amp;B21&amp;D21</f>
        <v>MediumNon-domestic existingInstallations per year</v>
      </c>
      <c r="F21" s="422">
        <f t="shared" ref="F21:O22" si="8">INDEX(F$80:F$243,MATCH($E21,$E$80:$E$243,0),1)</f>
        <v>0</v>
      </c>
      <c r="G21" s="422">
        <f t="shared" si="8"/>
        <v>0</v>
      </c>
      <c r="H21" s="422">
        <f t="shared" si="8"/>
        <v>0</v>
      </c>
      <c r="I21" s="422">
        <f t="shared" si="8"/>
        <v>0</v>
      </c>
      <c r="J21" s="422">
        <f t="shared" si="8"/>
        <v>0</v>
      </c>
      <c r="K21" s="422">
        <f t="shared" si="8"/>
        <v>0</v>
      </c>
      <c r="L21" s="422">
        <f t="shared" si="8"/>
        <v>698.63708778849048</v>
      </c>
      <c r="M21" s="422">
        <f t="shared" si="8"/>
        <v>2234.350701028176</v>
      </c>
      <c r="N21" s="422">
        <f t="shared" si="8"/>
        <v>4202.91863901529</v>
      </c>
      <c r="O21" s="422">
        <f t="shared" si="8"/>
        <v>7458.3358858899865</v>
      </c>
      <c r="P21" s="422">
        <f t="shared" ref="P21:Y22" si="9">INDEX(P$80:P$243,MATCH($E21,$E$80:$E$243,0),1)</f>
        <v>10179.607742567377</v>
      </c>
      <c r="Q21" s="422">
        <f t="shared" si="9"/>
        <v>13938.550850851581</v>
      </c>
      <c r="R21" s="422">
        <f t="shared" si="9"/>
        <v>17799.346454560386</v>
      </c>
      <c r="S21" s="422">
        <f t="shared" si="9"/>
        <v>18394.432037865452</v>
      </c>
      <c r="T21" s="422">
        <f t="shared" si="9"/>
        <v>18128.522029690459</v>
      </c>
      <c r="U21" s="422">
        <f t="shared" si="9"/>
        <v>17490.493126560861</v>
      </c>
      <c r="V21" s="422">
        <f t="shared" si="9"/>
        <v>17003.876085510448</v>
      </c>
      <c r="W21" s="422">
        <f t="shared" si="9"/>
        <v>17003.876085510492</v>
      </c>
      <c r="X21" s="422">
        <f t="shared" si="9"/>
        <v>17003.876085510477</v>
      </c>
      <c r="Y21" s="422">
        <f t="shared" si="9"/>
        <v>17003.876085510477</v>
      </c>
      <c r="Z21" s="422">
        <f t="shared" ref="Z21:AI22" si="10">INDEX(Z$80:Z$243,MATCH($E21,$E$80:$E$243,0),1)</f>
        <v>17003.876085510477</v>
      </c>
      <c r="AA21" s="422">
        <f t="shared" si="10"/>
        <v>17003.876085510477</v>
      </c>
      <c r="AB21" s="422">
        <f t="shared" si="10"/>
        <v>12752.9070641328</v>
      </c>
      <c r="AC21" s="422">
        <f t="shared" si="10"/>
        <v>8501.9380427552678</v>
      </c>
      <c r="AD21" s="422">
        <f t="shared" si="10"/>
        <v>0</v>
      </c>
      <c r="AE21" s="422">
        <f t="shared" si="10"/>
        <v>0</v>
      </c>
      <c r="AF21" s="422">
        <f t="shared" si="10"/>
        <v>0</v>
      </c>
      <c r="AG21" s="422">
        <f t="shared" si="10"/>
        <v>0</v>
      </c>
      <c r="AH21" s="422">
        <f t="shared" si="10"/>
        <v>0</v>
      </c>
      <c r="AI21" s="422">
        <f t="shared" si="10"/>
        <v>0</v>
      </c>
      <c r="AJ21" s="422">
        <f t="shared" ref="AJ21:AO22" si="11">INDEX(AJ$80:AJ$243,MATCH($E21,$E$80:$E$243,0),1)</f>
        <v>0</v>
      </c>
      <c r="AK21" s="422">
        <f t="shared" si="11"/>
        <v>0</v>
      </c>
      <c r="AL21" s="422">
        <f t="shared" si="11"/>
        <v>0</v>
      </c>
      <c r="AM21" s="422">
        <f t="shared" si="11"/>
        <v>0</v>
      </c>
      <c r="AN21" s="422">
        <f t="shared" si="11"/>
        <v>0</v>
      </c>
      <c r="AO21" s="422">
        <f t="shared" si="11"/>
        <v>0</v>
      </c>
    </row>
    <row r="22" spans="1:41">
      <c r="B22" s="306" t="s">
        <v>524</v>
      </c>
      <c r="C22" s="306"/>
      <c r="D22" s="306" t="s">
        <v>526</v>
      </c>
      <c r="E22" s="330" t="str">
        <f t="shared" si="0"/>
        <v>MediumNon-domestic newInstallations per year</v>
      </c>
      <c r="F22" s="422">
        <f t="shared" si="8"/>
        <v>0</v>
      </c>
      <c r="G22" s="422">
        <f t="shared" si="8"/>
        <v>0</v>
      </c>
      <c r="H22" s="422">
        <f t="shared" si="8"/>
        <v>0</v>
      </c>
      <c r="I22" s="422">
        <f t="shared" si="8"/>
        <v>0</v>
      </c>
      <c r="J22" s="422">
        <f t="shared" si="8"/>
        <v>0</v>
      </c>
      <c r="K22" s="422">
        <f t="shared" si="8"/>
        <v>1543.3825637228911</v>
      </c>
      <c r="L22" s="422">
        <f t="shared" si="8"/>
        <v>1716.237673248314</v>
      </c>
      <c r="M22" s="422">
        <f t="shared" si="8"/>
        <v>2794.7446618992749</v>
      </c>
      <c r="N22" s="422">
        <f t="shared" si="8"/>
        <v>2860.3089445603318</v>
      </c>
      <c r="O22" s="422">
        <f t="shared" si="8"/>
        <v>2906.0211305794037</v>
      </c>
      <c r="P22" s="422">
        <f t="shared" si="9"/>
        <v>2939.1611080511575</v>
      </c>
      <c r="Q22" s="422">
        <f t="shared" si="9"/>
        <v>2850.5151589933721</v>
      </c>
      <c r="R22" s="422">
        <f t="shared" si="9"/>
        <v>2848.2231550008291</v>
      </c>
      <c r="S22" s="422">
        <f t="shared" si="9"/>
        <v>2846.3485369068731</v>
      </c>
      <c r="T22" s="422">
        <f t="shared" si="9"/>
        <v>2844.7957602252391</v>
      </c>
      <c r="U22" s="422">
        <f t="shared" si="9"/>
        <v>2843.4951396574761</v>
      </c>
      <c r="V22" s="422">
        <f t="shared" si="9"/>
        <v>2166.440580751434</v>
      </c>
      <c r="W22" s="422">
        <f t="shared" si="9"/>
        <v>2198.114718408262</v>
      </c>
      <c r="X22" s="422">
        <f t="shared" si="9"/>
        <v>2227.5828694089723</v>
      </c>
      <c r="Y22" s="422">
        <f t="shared" si="9"/>
        <v>2255.0452376917237</v>
      </c>
      <c r="Z22" s="422">
        <f t="shared" si="10"/>
        <v>1484.1302039942238</v>
      </c>
      <c r="AA22" s="422">
        <f t="shared" si="10"/>
        <v>845.15004212525673</v>
      </c>
      <c r="AB22" s="422">
        <f t="shared" si="10"/>
        <v>845.70564457128785</v>
      </c>
      <c r="AC22" s="422">
        <f t="shared" si="10"/>
        <v>846.19810251857416</v>
      </c>
      <c r="AD22" s="422">
        <f t="shared" si="10"/>
        <v>846.63662943503004</v>
      </c>
      <c r="AE22" s="422">
        <f t="shared" si="10"/>
        <v>847.02881849988626</v>
      </c>
      <c r="AF22" s="422">
        <f t="shared" si="10"/>
        <v>847.38097272004234</v>
      </c>
      <c r="AG22" s="422">
        <f t="shared" si="10"/>
        <v>847.69835920029436</v>
      </c>
      <c r="AH22" s="422">
        <f t="shared" si="10"/>
        <v>847.98540684011823</v>
      </c>
      <c r="AI22" s="422">
        <f t="shared" si="10"/>
        <v>848.24586139278108</v>
      </c>
      <c r="AJ22" s="422">
        <f t="shared" si="11"/>
        <v>848.48290807481681</v>
      </c>
      <c r="AK22" s="422">
        <f t="shared" si="11"/>
        <v>848.6992692579297</v>
      </c>
      <c r="AL22" s="422">
        <f t="shared" si="11"/>
        <v>848.89728286787431</v>
      </c>
      <c r="AM22" s="422">
        <f t="shared" si="11"/>
        <v>849.07896572002937</v>
      </c>
      <c r="AN22" s="422">
        <f t="shared" si="11"/>
        <v>849.24606501175731</v>
      </c>
      <c r="AO22" s="422">
        <f t="shared" si="11"/>
        <v>849.40010043550865</v>
      </c>
    </row>
    <row r="24" spans="1:41">
      <c r="A24" s="462" t="s">
        <v>529</v>
      </c>
      <c r="B24" s="462"/>
      <c r="C24" s="462"/>
      <c r="D24" s="462"/>
      <c r="E24" s="462"/>
      <c r="F24" s="462"/>
      <c r="G24" s="462"/>
      <c r="H24" s="462"/>
      <c r="I24" s="462"/>
      <c r="J24" s="462"/>
      <c r="K24" s="462"/>
      <c r="L24" s="462"/>
      <c r="M24" s="462"/>
      <c r="N24" s="462"/>
      <c r="O24" s="462"/>
      <c r="P24" s="462"/>
      <c r="Q24" s="462"/>
      <c r="R24" s="462"/>
      <c r="S24" s="462"/>
      <c r="T24" s="462"/>
      <c r="U24" s="462"/>
      <c r="V24" s="462"/>
      <c r="W24" s="462"/>
      <c r="X24" s="462"/>
      <c r="Y24" s="462"/>
      <c r="Z24" s="462"/>
      <c r="AA24" s="462"/>
      <c r="AB24" s="462"/>
      <c r="AC24" s="462"/>
      <c r="AD24" s="462"/>
      <c r="AE24" s="462"/>
      <c r="AF24" s="462"/>
      <c r="AG24" s="462"/>
      <c r="AH24" s="462"/>
      <c r="AI24" s="462"/>
      <c r="AJ24" s="462"/>
      <c r="AK24" s="462"/>
      <c r="AL24" s="462"/>
      <c r="AM24" s="462"/>
      <c r="AN24" s="462"/>
      <c r="AO24" s="462"/>
    </row>
    <row r="25" spans="1:41">
      <c r="B25" t="s">
        <v>125</v>
      </c>
      <c r="C25" s="204" t="str">
        <f>INDEX($D$4:$D$11,MATCH(Dashboard!$D$6,$B$4:$B$11,0),1)</f>
        <v>Medium Uptake</v>
      </c>
    </row>
    <row r="26" spans="1:41">
      <c r="B26" s="415" t="s">
        <v>530</v>
      </c>
      <c r="C26" s="415" t="s">
        <v>531</v>
      </c>
      <c r="D26" s="415"/>
      <c r="E26" s="418" t="str">
        <f t="shared" ref="E26:E35" si="12">B26&amp;C26&amp;$C$25</f>
        <v>Total DomesticTWh/yearMedium Uptake</v>
      </c>
      <c r="F26" s="421">
        <f t="shared" ref="F26:O35" si="13">INDEX(F$258:F$303,MATCH($E26,$E$258:$E$303,0),1)</f>
        <v>0.32394456950417921</v>
      </c>
      <c r="G26" s="421">
        <f t="shared" si="13"/>
        <v>0.34275177314284211</v>
      </c>
      <c r="H26" s="421">
        <f t="shared" si="13"/>
        <v>0.36421924742210221</v>
      </c>
      <c r="I26" s="421">
        <f t="shared" si="13"/>
        <v>0.38834699234195963</v>
      </c>
      <c r="J26" s="421">
        <f t="shared" si="13"/>
        <v>0.41513500790241431</v>
      </c>
      <c r="K26" s="421">
        <f t="shared" si="13"/>
        <v>0.53862438530755719</v>
      </c>
      <c r="L26" s="421">
        <f t="shared" si="13"/>
        <v>0.64576916707057985</v>
      </c>
      <c r="M26" s="421">
        <f t="shared" si="13"/>
        <v>0.77131002230455858</v>
      </c>
      <c r="N26" s="421">
        <f t="shared" si="13"/>
        <v>0.89872855659897122</v>
      </c>
      <c r="O26" s="421">
        <f t="shared" si="13"/>
        <v>1.0280872886517864</v>
      </c>
      <c r="P26" s="421">
        <f t="shared" ref="P26:Y35" si="14">INDEX(P$258:P$303,MATCH($E26,$E$258:$E$303,0),1)</f>
        <v>1.1594890257207673</v>
      </c>
      <c r="Q26" s="421">
        <f t="shared" si="14"/>
        <v>1.3075290951012279</v>
      </c>
      <c r="R26" s="421">
        <f t="shared" si="14"/>
        <v>1.4549551989769474</v>
      </c>
      <c r="S26" s="421">
        <f t="shared" si="14"/>
        <v>1.6020646465646817</v>
      </c>
      <c r="T26" s="421">
        <f t="shared" si="14"/>
        <v>1.7494343818817357</v>
      </c>
      <c r="U26" s="421">
        <f t="shared" si="14"/>
        <v>1.8974481776298926</v>
      </c>
      <c r="V26" s="421">
        <f t="shared" si="14"/>
        <v>2.0227260030179894</v>
      </c>
      <c r="W26" s="421">
        <f t="shared" si="14"/>
        <v>2.1436777328838668</v>
      </c>
      <c r="X26" s="421">
        <f t="shared" si="14"/>
        <v>2.262531231163178</v>
      </c>
      <c r="Y26" s="421">
        <f t="shared" si="14"/>
        <v>2.369471332526309</v>
      </c>
      <c r="Z26" s="421">
        <f t="shared" ref="Z26:AI35" si="15">INDEX(Z$258:Z$303,MATCH($E26,$E$258:$E$303,0),1)</f>
        <v>2.4736081202595757</v>
      </c>
      <c r="AA26" s="421">
        <f t="shared" si="15"/>
        <v>2.5777984277020227</v>
      </c>
      <c r="AB26" s="421">
        <f t="shared" si="15"/>
        <v>2.679277072540168</v>
      </c>
      <c r="AC26" s="421">
        <f t="shared" si="15"/>
        <v>2.7778187309710725</v>
      </c>
      <c r="AD26" s="421">
        <f t="shared" si="15"/>
        <v>2.8769747548978835</v>
      </c>
      <c r="AE26" s="421">
        <f t="shared" si="15"/>
        <v>2.9736905206519322</v>
      </c>
      <c r="AF26" s="421">
        <f t="shared" si="15"/>
        <v>3.0957193910749212</v>
      </c>
      <c r="AG26" s="421">
        <f t="shared" si="15"/>
        <v>3.2177834520352335</v>
      </c>
      <c r="AH26" s="421">
        <f t="shared" si="15"/>
        <v>3.3398966769500182</v>
      </c>
      <c r="AI26" s="421">
        <f t="shared" si="15"/>
        <v>3.462074820811059</v>
      </c>
      <c r="AJ26" s="421">
        <f t="shared" ref="AJ26:AO35" si="16">INDEX(AJ$258:AJ$303,MATCH($E26,$E$258:$E$303,0),1)</f>
        <v>3.5843336305036759</v>
      </c>
      <c r="AK26" s="421">
        <f t="shared" si="16"/>
        <v>3.6171963607562883</v>
      </c>
      <c r="AL26" s="421">
        <f t="shared" si="16"/>
        <v>3.6502137657905589</v>
      </c>
      <c r="AM26" s="421">
        <f t="shared" si="16"/>
        <v>3.6833856648041197</v>
      </c>
      <c r="AN26" s="421">
        <f t="shared" si="16"/>
        <v>3.7167119259994421</v>
      </c>
      <c r="AO26" s="421">
        <f t="shared" si="16"/>
        <v>3.7501924667013107</v>
      </c>
    </row>
    <row r="27" spans="1:41">
      <c r="B27" s="415" t="s">
        <v>532</v>
      </c>
      <c r="C27" s="415" t="s">
        <v>531</v>
      </c>
      <c r="D27" s="415"/>
      <c r="E27" s="418" t="str">
        <f t="shared" si="12"/>
        <v>Total non-domesticTWh/yearMedium Uptake</v>
      </c>
      <c r="F27" s="421">
        <f t="shared" si="13"/>
        <v>0.47822810410693289</v>
      </c>
      <c r="G27" s="421">
        <f t="shared" si="13"/>
        <v>0.49585190754990566</v>
      </c>
      <c r="H27" s="421">
        <f t="shared" si="13"/>
        <v>0.51421466345068934</v>
      </c>
      <c r="I27" s="421">
        <f t="shared" si="13"/>
        <v>0.53331637180928437</v>
      </c>
      <c r="J27" s="421">
        <f t="shared" si="13"/>
        <v>0.55315703262569049</v>
      </c>
      <c r="K27" s="421">
        <f t="shared" si="13"/>
        <v>0.66287242086877118</v>
      </c>
      <c r="L27" s="421">
        <f t="shared" si="13"/>
        <v>0.74296941490614088</v>
      </c>
      <c r="M27" s="421">
        <f t="shared" si="13"/>
        <v>0.82258397529530047</v>
      </c>
      <c r="N27" s="421">
        <f t="shared" si="13"/>
        <v>0.89617997509900937</v>
      </c>
      <c r="O27" s="421">
        <f t="shared" si="13"/>
        <v>0.96377670952121253</v>
      </c>
      <c r="P27" s="421">
        <f t="shared" si="14"/>
        <v>1.024583476507458</v>
      </c>
      <c r="Q27" s="421">
        <f t="shared" si="14"/>
        <v>1.1005756211409863</v>
      </c>
      <c r="R27" s="421">
        <f t="shared" si="14"/>
        <v>1.1675591422915115</v>
      </c>
      <c r="S27" s="421">
        <f t="shared" si="14"/>
        <v>1.2257676699964921</v>
      </c>
      <c r="T27" s="421">
        <f t="shared" si="14"/>
        <v>1.275487359487238</v>
      </c>
      <c r="U27" s="421">
        <f t="shared" si="14"/>
        <v>1.3168847653438929</v>
      </c>
      <c r="V27" s="421">
        <f t="shared" si="14"/>
        <v>1.3920038744198433</v>
      </c>
      <c r="W27" s="421">
        <f t="shared" si="14"/>
        <v>1.4629755576935153</v>
      </c>
      <c r="X27" s="421">
        <f t="shared" si="14"/>
        <v>1.529654609830521</v>
      </c>
      <c r="Y27" s="421">
        <f t="shared" si="14"/>
        <v>1.591879704849521</v>
      </c>
      <c r="Z27" s="421">
        <f t="shared" si="15"/>
        <v>1.6482606581462902</v>
      </c>
      <c r="AA27" s="421">
        <f t="shared" si="15"/>
        <v>1.7002974088260279</v>
      </c>
      <c r="AB27" s="421">
        <f t="shared" si="15"/>
        <v>1.7479858920071853</v>
      </c>
      <c r="AC27" s="421">
        <f t="shared" si="15"/>
        <v>1.7913567233099537</v>
      </c>
      <c r="AD27" s="421">
        <f t="shared" si="15"/>
        <v>1.8304250167031249</v>
      </c>
      <c r="AE27" s="421">
        <f t="shared" si="15"/>
        <v>1.8652060878369878</v>
      </c>
      <c r="AF27" s="421">
        <f t="shared" si="15"/>
        <v>1.9499895073482991</v>
      </c>
      <c r="AG27" s="421">
        <f t="shared" si="15"/>
        <v>2.0348332677207379</v>
      </c>
      <c r="AH27" s="421">
        <f t="shared" si="15"/>
        <v>2.1197388606201817</v>
      </c>
      <c r="AI27" s="421">
        <f t="shared" si="15"/>
        <v>2.204707785608548</v>
      </c>
      <c r="AJ27" s="421">
        <f t="shared" si="16"/>
        <v>2.2897415586896668</v>
      </c>
      <c r="AK27" s="421">
        <f t="shared" si="16"/>
        <v>2.3132361907806334</v>
      </c>
      <c r="AL27" s="421">
        <f t="shared" si="16"/>
        <v>2.3367483454017628</v>
      </c>
      <c r="AM27" s="421">
        <f t="shared" si="16"/>
        <v>2.3602778175748251</v>
      </c>
      <c r="AN27" s="421">
        <f t="shared" si="16"/>
        <v>2.3838244684134118</v>
      </c>
      <c r="AO27" s="421">
        <f t="shared" si="16"/>
        <v>2.4073882243675162</v>
      </c>
    </row>
    <row r="28" spans="1:41">
      <c r="B28" s="416" t="s">
        <v>518</v>
      </c>
      <c r="C28" s="416" t="s">
        <v>531</v>
      </c>
      <c r="D28" s="416"/>
      <c r="E28" s="419" t="str">
        <f t="shared" si="12"/>
        <v>Domestic existingTWh/yearMedium Uptake</v>
      </c>
      <c r="F28" s="421">
        <f>INDEX(F$258:F$303,MATCH($E28,$E$258:$E$303,0),1)</f>
        <v>0.32394456950417921</v>
      </c>
      <c r="G28" s="421">
        <f t="shared" si="13"/>
        <v>0.34009150250224485</v>
      </c>
      <c r="H28" s="421">
        <f t="shared" si="13"/>
        <v>0.35623843550031042</v>
      </c>
      <c r="I28" s="421">
        <f t="shared" si="13"/>
        <v>0.372385368498376</v>
      </c>
      <c r="J28" s="421">
        <f t="shared" si="13"/>
        <v>0.38853230149644169</v>
      </c>
      <c r="K28" s="421">
        <f t="shared" si="13"/>
        <v>0.48541389948483527</v>
      </c>
      <c r="L28" s="421">
        <f t="shared" si="13"/>
        <v>0.57000030201590024</v>
      </c>
      <c r="M28" s="421">
        <f t="shared" si="13"/>
        <v>0.65041770161666568</v>
      </c>
      <c r="N28" s="421">
        <f t="shared" si="13"/>
        <v>0.72671106837918997</v>
      </c>
      <c r="O28" s="421">
        <f t="shared" si="13"/>
        <v>0.7989414013816607</v>
      </c>
      <c r="P28" s="421">
        <f t="shared" si="14"/>
        <v>0.86721054649680063</v>
      </c>
      <c r="Q28" s="421">
        <f t="shared" si="14"/>
        <v>0.959755014711139</v>
      </c>
      <c r="R28" s="421">
        <f t="shared" si="14"/>
        <v>1.0473095247194006</v>
      </c>
      <c r="S28" s="421">
        <f t="shared" si="14"/>
        <v>1.1301712961106469</v>
      </c>
      <c r="T28" s="421">
        <f t="shared" si="14"/>
        <v>1.208917203824859</v>
      </c>
      <c r="U28" s="421">
        <f t="shared" si="14"/>
        <v>1.2839309664662977</v>
      </c>
      <c r="V28" s="421">
        <f t="shared" si="14"/>
        <v>1.375562081476805</v>
      </c>
      <c r="W28" s="421">
        <f t="shared" si="14"/>
        <v>1.4628681295145567</v>
      </c>
      <c r="X28" s="421">
        <f t="shared" si="14"/>
        <v>1.5480769027898893</v>
      </c>
      <c r="Y28" s="421">
        <f t="shared" si="14"/>
        <v>1.6213731707653374</v>
      </c>
      <c r="Z28" s="421">
        <f t="shared" si="15"/>
        <v>1.6918669573130041</v>
      </c>
      <c r="AA28" s="421">
        <f t="shared" si="15"/>
        <v>1.7624150415218838</v>
      </c>
      <c r="AB28" s="421">
        <f t="shared" si="15"/>
        <v>1.830252191443474</v>
      </c>
      <c r="AC28" s="421">
        <f t="shared" si="15"/>
        <v>1.8951530377743178</v>
      </c>
      <c r="AD28" s="421">
        <f t="shared" si="15"/>
        <v>1.9606688906298226</v>
      </c>
      <c r="AE28" s="421">
        <f t="shared" si="15"/>
        <v>2.0237450878952443</v>
      </c>
      <c r="AF28" s="421">
        <f t="shared" si="15"/>
        <v>2.1121349569803849</v>
      </c>
      <c r="AG28" s="421">
        <f t="shared" si="15"/>
        <v>2.2005605510461907</v>
      </c>
      <c r="AH28" s="421">
        <f t="shared" si="15"/>
        <v>2.2890358132699147</v>
      </c>
      <c r="AI28" s="421">
        <f t="shared" si="15"/>
        <v>2.3775764706425875</v>
      </c>
      <c r="AJ28" s="421">
        <f t="shared" si="16"/>
        <v>2.4661982440844463</v>
      </c>
      <c r="AK28" s="421">
        <f t="shared" si="16"/>
        <v>2.4654243642128018</v>
      </c>
      <c r="AL28" s="421">
        <f t="shared" si="16"/>
        <v>2.4648055628296106</v>
      </c>
      <c r="AM28" s="421">
        <f t="shared" si="16"/>
        <v>2.4643416382584418</v>
      </c>
      <c r="AN28" s="421">
        <f t="shared" si="16"/>
        <v>2.46403243924241</v>
      </c>
      <c r="AO28" s="421">
        <f t="shared" si="16"/>
        <v>2.4638778649437931</v>
      </c>
    </row>
    <row r="29" spans="1:41">
      <c r="B29" s="416" t="s">
        <v>520</v>
      </c>
      <c r="C29" s="416" t="s">
        <v>531</v>
      </c>
      <c r="D29" s="416"/>
      <c r="E29" s="419" t="str">
        <f t="shared" si="12"/>
        <v>Domestic newTWh/yearMedium Uptake</v>
      </c>
      <c r="F29" s="421">
        <f t="shared" si="13"/>
        <v>0</v>
      </c>
      <c r="G29" s="421">
        <f t="shared" si="13"/>
        <v>2.6602706405972668E-3</v>
      </c>
      <c r="H29" s="421">
        <f t="shared" si="13"/>
        <v>7.9808119217917913E-3</v>
      </c>
      <c r="I29" s="421">
        <f t="shared" si="13"/>
        <v>1.5961623843583614E-2</v>
      </c>
      <c r="J29" s="421">
        <f t="shared" si="13"/>
        <v>2.6602706405972659E-2</v>
      </c>
      <c r="K29" s="421">
        <f t="shared" si="13"/>
        <v>5.3210485822721976E-2</v>
      </c>
      <c r="L29" s="421">
        <f t="shared" si="13"/>
        <v>7.5768865054679599E-2</v>
      </c>
      <c r="M29" s="421">
        <f t="shared" si="13"/>
        <v>0.12089232068789277</v>
      </c>
      <c r="N29" s="421">
        <f t="shared" si="13"/>
        <v>0.1720174882197813</v>
      </c>
      <c r="O29" s="421">
        <f t="shared" si="13"/>
        <v>0.2291458872701258</v>
      </c>
      <c r="P29" s="421">
        <f t="shared" si="14"/>
        <v>0.29227847922396655</v>
      </c>
      <c r="Q29" s="421">
        <f t="shared" si="14"/>
        <v>0.347774080390089</v>
      </c>
      <c r="R29" s="421">
        <f t="shared" si="14"/>
        <v>0.40764567425754672</v>
      </c>
      <c r="S29" s="421">
        <f t="shared" si="14"/>
        <v>0.47189335045403497</v>
      </c>
      <c r="T29" s="421">
        <f t="shared" si="14"/>
        <v>0.54051717805687682</v>
      </c>
      <c r="U29" s="421">
        <f t="shared" si="14"/>
        <v>0.6135172111635947</v>
      </c>
      <c r="V29" s="421">
        <f t="shared" si="14"/>
        <v>0.64716392154118429</v>
      </c>
      <c r="W29" s="421">
        <f t="shared" si="14"/>
        <v>0.68080960336931007</v>
      </c>
      <c r="X29" s="421">
        <f t="shared" si="14"/>
        <v>0.71445432837328882</v>
      </c>
      <c r="Y29" s="421">
        <f t="shared" si="14"/>
        <v>0.74809816176097144</v>
      </c>
      <c r="Z29" s="421">
        <f t="shared" si="15"/>
        <v>0.78174116294657181</v>
      </c>
      <c r="AA29" s="421">
        <f t="shared" si="15"/>
        <v>0.81538338618013906</v>
      </c>
      <c r="AB29" s="421">
        <f t="shared" si="15"/>
        <v>0.84902488109669327</v>
      </c>
      <c r="AC29" s="421">
        <f t="shared" si="15"/>
        <v>0.88266569319675514</v>
      </c>
      <c r="AD29" s="421">
        <f t="shared" si="15"/>
        <v>0.91630586426806082</v>
      </c>
      <c r="AE29" s="421">
        <f t="shared" si="15"/>
        <v>0.94994543275668819</v>
      </c>
      <c r="AF29" s="421">
        <f t="shared" si="15"/>
        <v>0.98358443409453633</v>
      </c>
      <c r="AG29" s="421">
        <f t="shared" si="15"/>
        <v>1.0172229009890426</v>
      </c>
      <c r="AH29" s="421">
        <f t="shared" si="15"/>
        <v>1.0508608636801042</v>
      </c>
      <c r="AI29" s="421">
        <f t="shared" si="15"/>
        <v>1.0844983501684713</v>
      </c>
      <c r="AJ29" s="421">
        <f t="shared" si="16"/>
        <v>1.1181353864192289</v>
      </c>
      <c r="AK29" s="421">
        <f t="shared" si="16"/>
        <v>1.1517719965434863</v>
      </c>
      <c r="AL29" s="421">
        <f t="shared" si="16"/>
        <v>1.1854082029609485</v>
      </c>
      <c r="AM29" s="421">
        <f t="shared" si="16"/>
        <v>1.219044026545677</v>
      </c>
      <c r="AN29" s="421">
        <f t="shared" si="16"/>
        <v>1.2526794867570319</v>
      </c>
      <c r="AO29" s="421">
        <f t="shared" si="16"/>
        <v>1.2863146017575178</v>
      </c>
    </row>
    <row r="30" spans="1:41">
      <c r="B30" s="416" t="s">
        <v>522</v>
      </c>
      <c r="C30" s="416" t="s">
        <v>531</v>
      </c>
      <c r="D30" s="416"/>
      <c r="E30" s="419" t="str">
        <f t="shared" si="12"/>
        <v>Non-domestic existingTWh/yearMedium Uptake</v>
      </c>
      <c r="F30" s="421">
        <f t="shared" si="13"/>
        <v>0.47822810410693289</v>
      </c>
      <c r="G30" s="421">
        <f t="shared" si="13"/>
        <v>0.49510079365222176</v>
      </c>
      <c r="H30" s="421">
        <f t="shared" si="13"/>
        <v>0.51196132175763776</v>
      </c>
      <c r="I30" s="421">
        <f t="shared" si="13"/>
        <v>0.52880968842318099</v>
      </c>
      <c r="J30" s="421">
        <f t="shared" si="13"/>
        <v>0.54564589364885152</v>
      </c>
      <c r="K30" s="421">
        <f t="shared" si="13"/>
        <v>0.64781240402292917</v>
      </c>
      <c r="L30" s="421">
        <f t="shared" si="13"/>
        <v>0.72034165073887668</v>
      </c>
      <c r="M30" s="421">
        <f t="shared" si="13"/>
        <v>0.78482610774767647</v>
      </c>
      <c r="N30" s="421">
        <f t="shared" si="13"/>
        <v>0.84125623686270656</v>
      </c>
      <c r="O30" s="421">
        <f t="shared" si="13"/>
        <v>0.8896538791605404</v>
      </c>
      <c r="P30" s="421">
        <f t="shared" si="14"/>
        <v>0.92922986010885167</v>
      </c>
      <c r="Q30" s="421">
        <f t="shared" si="14"/>
        <v>0.98795968986406801</v>
      </c>
      <c r="R30" s="421">
        <f t="shared" si="14"/>
        <v>1.0363141505848954</v>
      </c>
      <c r="S30" s="421">
        <f t="shared" si="14"/>
        <v>1.0745269152236843</v>
      </c>
      <c r="T30" s="421">
        <f t="shared" si="14"/>
        <v>1.1028841701307617</v>
      </c>
      <c r="U30" s="421">
        <f t="shared" si="14"/>
        <v>1.1215524929630254</v>
      </c>
      <c r="V30" s="421">
        <f t="shared" si="14"/>
        <v>1.1739377013251884</v>
      </c>
      <c r="W30" s="421">
        <f t="shared" si="14"/>
        <v>1.2221713758935737</v>
      </c>
      <c r="X30" s="421">
        <f t="shared" si="14"/>
        <v>1.2661088876816908</v>
      </c>
      <c r="Y30" s="421">
        <f t="shared" si="14"/>
        <v>1.3055893837240176</v>
      </c>
      <c r="Z30" s="421">
        <f t="shared" si="15"/>
        <v>1.3392230713332134</v>
      </c>
      <c r="AA30" s="421">
        <f t="shared" si="15"/>
        <v>1.3685102171455945</v>
      </c>
      <c r="AB30" s="421">
        <f t="shared" si="15"/>
        <v>1.3934470321578643</v>
      </c>
      <c r="AC30" s="421">
        <f t="shared" si="15"/>
        <v>1.4140643660346313</v>
      </c>
      <c r="AD30" s="421">
        <f t="shared" si="15"/>
        <v>1.4303775326116044</v>
      </c>
      <c r="AE30" s="421">
        <f t="shared" si="15"/>
        <v>1.442402019259327</v>
      </c>
      <c r="AF30" s="421">
        <f t="shared" si="15"/>
        <v>1.5044275449831481</v>
      </c>
      <c r="AG30" s="421">
        <f t="shared" si="15"/>
        <v>1.5665122311290551</v>
      </c>
      <c r="AH30" s="421">
        <f t="shared" si="15"/>
        <v>1.6286576818274747</v>
      </c>
      <c r="AI30" s="421">
        <f t="shared" si="15"/>
        <v>1.6908654952386677</v>
      </c>
      <c r="AJ30" s="421">
        <f t="shared" si="16"/>
        <v>1.7531372741745592</v>
      </c>
      <c r="AK30" s="421">
        <f t="shared" si="16"/>
        <v>1.7538691062834484</v>
      </c>
      <c r="AL30" s="421">
        <f t="shared" si="16"/>
        <v>1.7546177231626203</v>
      </c>
      <c r="AM30" s="421">
        <f t="shared" si="16"/>
        <v>1.7553829804445493</v>
      </c>
      <c r="AN30" s="421">
        <f t="shared" si="16"/>
        <v>1.7561647933845816</v>
      </c>
      <c r="AO30" s="421">
        <f t="shared" si="16"/>
        <v>1.7569631369469576</v>
      </c>
    </row>
    <row r="31" spans="1:41">
      <c r="B31" s="416" t="s">
        <v>524</v>
      </c>
      <c r="C31" s="416" t="s">
        <v>531</v>
      </c>
      <c r="D31" s="416"/>
      <c r="E31" s="419" t="str">
        <f t="shared" si="12"/>
        <v>Non-domestic newTWh/yearMedium Uptake</v>
      </c>
      <c r="F31" s="421">
        <f>INDEX(F$258:F$303,MATCH($E31,$E$258:$E$303,0),1)</f>
        <v>0</v>
      </c>
      <c r="G31" s="421">
        <f t="shared" si="13"/>
        <v>7.5111389768388749E-4</v>
      </c>
      <c r="H31" s="421">
        <f t="shared" si="13"/>
        <v>2.2533416930516637E-3</v>
      </c>
      <c r="I31" s="421">
        <f t="shared" si="13"/>
        <v>4.5066833861033273E-3</v>
      </c>
      <c r="J31" s="421">
        <f t="shared" si="13"/>
        <v>7.5111389768388803E-3</v>
      </c>
      <c r="K31" s="421">
        <f t="shared" si="13"/>
        <v>1.5060016845842074E-2</v>
      </c>
      <c r="L31" s="421">
        <f t="shared" si="13"/>
        <v>2.2627764167264412E-2</v>
      </c>
      <c r="M31" s="421">
        <f t="shared" si="13"/>
        <v>3.7757867547623995E-2</v>
      </c>
      <c r="N31" s="421">
        <f t="shared" si="13"/>
        <v>5.4923738236302769E-2</v>
      </c>
      <c r="O31" s="421">
        <f t="shared" si="13"/>
        <v>7.4122830360672215E-2</v>
      </c>
      <c r="P31" s="421">
        <f t="shared" si="14"/>
        <v>9.5353616398606372E-2</v>
      </c>
      <c r="Q31" s="421">
        <f t="shared" si="14"/>
        <v>0.11261593127691814</v>
      </c>
      <c r="R31" s="421">
        <f t="shared" si="14"/>
        <v>0.13124499170661641</v>
      </c>
      <c r="S31" s="421">
        <f t="shared" si="14"/>
        <v>0.1512407547728078</v>
      </c>
      <c r="T31" s="421">
        <f t="shared" si="14"/>
        <v>0.17260318935647639</v>
      </c>
      <c r="U31" s="421">
        <f t="shared" si="14"/>
        <v>0.19533227238086731</v>
      </c>
      <c r="V31" s="421">
        <f t="shared" si="14"/>
        <v>0.21806617309465459</v>
      </c>
      <c r="W31" s="421">
        <f t="shared" si="14"/>
        <v>0.24080418179994173</v>
      </c>
      <c r="X31" s="421">
        <f t="shared" si="14"/>
        <v>0.26354572214883015</v>
      </c>
      <c r="Y31" s="421">
        <f t="shared" si="14"/>
        <v>0.28629032112550307</v>
      </c>
      <c r="Z31" s="421">
        <f t="shared" si="15"/>
        <v>0.30903758681307725</v>
      </c>
      <c r="AA31" s="421">
        <f t="shared" si="15"/>
        <v>0.33178719168043347</v>
      </c>
      <c r="AB31" s="421">
        <f t="shared" si="15"/>
        <v>0.35453885984932137</v>
      </c>
      <c r="AC31" s="421">
        <f t="shared" si="15"/>
        <v>0.37729235727532195</v>
      </c>
      <c r="AD31" s="421">
        <f t="shared" si="15"/>
        <v>0.40004748409152036</v>
      </c>
      <c r="AE31" s="421">
        <f t="shared" si="15"/>
        <v>0.42280406857766095</v>
      </c>
      <c r="AF31" s="421">
        <f t="shared" si="15"/>
        <v>0.44556196236515128</v>
      </c>
      <c r="AG31" s="421">
        <f t="shared" si="15"/>
        <v>0.46832103659168284</v>
      </c>
      <c r="AH31" s="421">
        <f t="shared" si="15"/>
        <v>0.49108117879270713</v>
      </c>
      <c r="AI31" s="421">
        <f t="shared" si="15"/>
        <v>0.51384229036988061</v>
      </c>
      <c r="AJ31" s="421">
        <f t="shared" si="16"/>
        <v>0.536604284515108</v>
      </c>
      <c r="AK31" s="421">
        <f t="shared" si="16"/>
        <v>0.55936708449718464</v>
      </c>
      <c r="AL31" s="421">
        <f t="shared" si="16"/>
        <v>0.58213062223914314</v>
      </c>
      <c r="AM31" s="421">
        <f t="shared" si="16"/>
        <v>0.60489483713027636</v>
      </c>
      <c r="AN31" s="421">
        <f t="shared" si="16"/>
        <v>0.62765967502883024</v>
      </c>
      <c r="AO31" s="421">
        <f t="shared" si="16"/>
        <v>0.65042508742055827</v>
      </c>
    </row>
    <row r="32" spans="1:41">
      <c r="B32" s="416" t="s">
        <v>518</v>
      </c>
      <c r="C32" s="416" t="s">
        <v>533</v>
      </c>
      <c r="D32" s="416"/>
      <c r="E32" s="419" t="str">
        <f t="shared" si="12"/>
        <v>Domestic existingAnnual InstallationsMedium Uptake</v>
      </c>
      <c r="F32" s="422">
        <f>INDEX(F$258:F$303,MATCH($E32,$E$258:$E$303,0),1)</f>
        <v>1642.7368508572181</v>
      </c>
      <c r="G32" s="422">
        <f t="shared" si="13"/>
        <v>1642.7368508572181</v>
      </c>
      <c r="H32" s="422">
        <f t="shared" si="13"/>
        <v>1642.7368508572181</v>
      </c>
      <c r="I32" s="422">
        <f t="shared" si="13"/>
        <v>1642.7368508572108</v>
      </c>
      <c r="J32" s="422">
        <f t="shared" si="13"/>
        <v>1642.7368508572108</v>
      </c>
      <c r="K32" s="422">
        <f t="shared" si="13"/>
        <v>9856.421105143294</v>
      </c>
      <c r="L32" s="422">
        <f t="shared" si="13"/>
        <v>9856.4211051432867</v>
      </c>
      <c r="M32" s="422">
        <f t="shared" si="13"/>
        <v>9856.4211051432867</v>
      </c>
      <c r="N32" s="422">
        <f t="shared" si="13"/>
        <v>9856.421105143294</v>
      </c>
      <c r="O32" s="422">
        <f t="shared" si="13"/>
        <v>9856.421105143294</v>
      </c>
      <c r="P32" s="422">
        <f t="shared" si="14"/>
        <v>9856.4211051432649</v>
      </c>
      <c r="Q32" s="422">
        <f t="shared" si="14"/>
        <v>13141.89480685773</v>
      </c>
      <c r="R32" s="422">
        <f t="shared" si="14"/>
        <v>13141.894806857701</v>
      </c>
      <c r="S32" s="422">
        <f t="shared" si="14"/>
        <v>13141.894806857745</v>
      </c>
      <c r="T32" s="422">
        <f t="shared" si="14"/>
        <v>13141.894806857686</v>
      </c>
      <c r="U32" s="422">
        <f t="shared" si="14"/>
        <v>13141.894806857716</v>
      </c>
      <c r="V32" s="422">
        <f t="shared" si="14"/>
        <v>13141.894806857716</v>
      </c>
      <c r="W32" s="422">
        <f t="shared" si="14"/>
        <v>13141.894806857716</v>
      </c>
      <c r="X32" s="422">
        <f t="shared" si="14"/>
        <v>13141.894806857716</v>
      </c>
      <c r="Y32" s="422">
        <f t="shared" si="14"/>
        <v>13141.894806857745</v>
      </c>
      <c r="Z32" s="422">
        <f t="shared" si="15"/>
        <v>13141.894806857745</v>
      </c>
      <c r="AA32" s="422">
        <f t="shared" si="15"/>
        <v>13141.894806857686</v>
      </c>
      <c r="AB32" s="422">
        <f t="shared" si="15"/>
        <v>13141.894806857745</v>
      </c>
      <c r="AC32" s="422">
        <f t="shared" si="15"/>
        <v>13141.894806857628</v>
      </c>
      <c r="AD32" s="422">
        <f t="shared" si="15"/>
        <v>13141.894806857745</v>
      </c>
      <c r="AE32" s="422">
        <f t="shared" si="15"/>
        <v>13141.894806857745</v>
      </c>
      <c r="AF32" s="422">
        <f t="shared" si="15"/>
        <v>13141.894806857686</v>
      </c>
      <c r="AG32" s="422">
        <f t="shared" si="15"/>
        <v>13141.894806857745</v>
      </c>
      <c r="AH32" s="422">
        <f t="shared" si="15"/>
        <v>13141.894806857628</v>
      </c>
      <c r="AI32" s="422">
        <f t="shared" si="15"/>
        <v>13141.894806857803</v>
      </c>
      <c r="AJ32" s="422">
        <f t="shared" si="16"/>
        <v>13141.894806857686</v>
      </c>
      <c r="AK32" s="422">
        <f t="shared" si="16"/>
        <v>0</v>
      </c>
      <c r="AL32" s="422">
        <f t="shared" si="16"/>
        <v>0</v>
      </c>
      <c r="AM32" s="422">
        <f t="shared" si="16"/>
        <v>0</v>
      </c>
      <c r="AN32" s="422">
        <f t="shared" si="16"/>
        <v>0</v>
      </c>
      <c r="AO32" s="422">
        <f t="shared" si="16"/>
        <v>0</v>
      </c>
    </row>
    <row r="33" spans="1:41">
      <c r="B33" s="416" t="s">
        <v>520</v>
      </c>
      <c r="C33" s="416" t="s">
        <v>533</v>
      </c>
      <c r="D33" s="416"/>
      <c r="E33" s="419" t="str">
        <f t="shared" si="12"/>
        <v>Domestic newAnnual InstallationsMedium Uptake</v>
      </c>
      <c r="F33" s="422">
        <f t="shared" si="13"/>
        <v>0</v>
      </c>
      <c r="G33" s="422">
        <f t="shared" si="13"/>
        <v>913.90426917801619</v>
      </c>
      <c r="H33" s="422">
        <f t="shared" si="13"/>
        <v>1827.8085383560217</v>
      </c>
      <c r="I33" s="422">
        <f t="shared" si="13"/>
        <v>2741.7128075340652</v>
      </c>
      <c r="J33" s="422">
        <f t="shared" si="13"/>
        <v>3655.6170767120457</v>
      </c>
      <c r="K33" s="422">
        <f t="shared" si="13"/>
        <v>9139.0426917802142</v>
      </c>
      <c r="L33" s="422">
        <f t="shared" si="13"/>
        <v>7759.7461714632082</v>
      </c>
      <c r="M33" s="422">
        <f t="shared" si="13"/>
        <v>15519.492342926416</v>
      </c>
      <c r="N33" s="422">
        <f t="shared" si="13"/>
        <v>17588.757988650061</v>
      </c>
      <c r="O33" s="422">
        <f t="shared" si="13"/>
        <v>19658.023634373589</v>
      </c>
      <c r="P33" s="422">
        <f t="shared" si="14"/>
        <v>21727.289280097131</v>
      </c>
      <c r="Q33" s="422">
        <f t="shared" si="14"/>
        <v>19103.9613151706</v>
      </c>
      <c r="R33" s="422">
        <f t="shared" si="14"/>
        <v>20612.168787421251</v>
      </c>
      <c r="S33" s="422">
        <f t="shared" si="14"/>
        <v>22120.376259671204</v>
      </c>
      <c r="T33" s="422">
        <f t="shared" si="14"/>
        <v>23628.583731921943</v>
      </c>
      <c r="U33" s="422">
        <f t="shared" si="14"/>
        <v>25136.79120417143</v>
      </c>
      <c r="V33" s="422">
        <f t="shared" si="14"/>
        <v>11585.598736463551</v>
      </c>
      <c r="W33" s="422">
        <f t="shared" si="14"/>
        <v>11585.598736463959</v>
      </c>
      <c r="X33" s="422">
        <f t="shared" si="14"/>
        <v>11585.59873646358</v>
      </c>
      <c r="Y33" s="422">
        <f t="shared" si="14"/>
        <v>11585.598736463959</v>
      </c>
      <c r="Z33" s="422">
        <f t="shared" si="15"/>
        <v>11585.598736463551</v>
      </c>
      <c r="AA33" s="422">
        <f t="shared" si="15"/>
        <v>11585.59873646358</v>
      </c>
      <c r="AB33" s="422">
        <f t="shared" si="15"/>
        <v>11585.59873646393</v>
      </c>
      <c r="AC33" s="422">
        <f t="shared" si="15"/>
        <v>11585.598736463522</v>
      </c>
      <c r="AD33" s="422">
        <f t="shared" si="15"/>
        <v>11585.59873646358</v>
      </c>
      <c r="AE33" s="422">
        <f t="shared" si="15"/>
        <v>11585.59873646358</v>
      </c>
      <c r="AF33" s="422">
        <f t="shared" si="15"/>
        <v>11585.59873646393</v>
      </c>
      <c r="AG33" s="422">
        <f t="shared" si="15"/>
        <v>11585.598736464046</v>
      </c>
      <c r="AH33" s="422">
        <f t="shared" si="15"/>
        <v>11585.598736463988</v>
      </c>
      <c r="AI33" s="422">
        <f t="shared" si="15"/>
        <v>11585.59873646393</v>
      </c>
      <c r="AJ33" s="422">
        <f t="shared" si="16"/>
        <v>11585.598736464395</v>
      </c>
      <c r="AK33" s="422">
        <f t="shared" si="16"/>
        <v>11585.598736464453</v>
      </c>
      <c r="AL33" s="422">
        <f t="shared" si="16"/>
        <v>11585.59873646393</v>
      </c>
      <c r="AM33" s="422">
        <f t="shared" si="16"/>
        <v>11585.598736463988</v>
      </c>
      <c r="AN33" s="422">
        <f t="shared" si="16"/>
        <v>11585.598736464453</v>
      </c>
      <c r="AO33" s="422">
        <f t="shared" si="16"/>
        <v>11585.598736463522</v>
      </c>
    </row>
    <row r="34" spans="1:41">
      <c r="B34" s="416" t="s">
        <v>522</v>
      </c>
      <c r="C34" s="416" t="s">
        <v>533</v>
      </c>
      <c r="D34" s="416"/>
      <c r="E34" s="419" t="str">
        <f t="shared" si="12"/>
        <v>Non-domestic existingAnnual InstallationsMedium Uptake</v>
      </c>
      <c r="F34" s="422">
        <f t="shared" si="13"/>
        <v>277.45592191778633</v>
      </c>
      <c r="G34" s="422">
        <f t="shared" si="13"/>
        <v>277.45592191778633</v>
      </c>
      <c r="H34" s="422">
        <f t="shared" si="13"/>
        <v>277.20295273433658</v>
      </c>
      <c r="I34" s="422">
        <f t="shared" si="13"/>
        <v>276.94998355088865</v>
      </c>
      <c r="J34" s="422">
        <f t="shared" si="13"/>
        <v>276.69701436744072</v>
      </c>
      <c r="K34" s="422">
        <f t="shared" si="13"/>
        <v>1684.0811281626939</v>
      </c>
      <c r="L34" s="422">
        <f t="shared" si="13"/>
        <v>1682.563313061999</v>
      </c>
      <c r="M34" s="422">
        <f t="shared" si="13"/>
        <v>1681.0454979613078</v>
      </c>
      <c r="N34" s="422">
        <f t="shared" si="13"/>
        <v>1679.5276828606111</v>
      </c>
      <c r="O34" s="422">
        <f t="shared" si="13"/>
        <v>1678.0098677599199</v>
      </c>
      <c r="P34" s="422">
        <f t="shared" si="14"/>
        <v>1637.9447858039057</v>
      </c>
      <c r="Q34" s="422">
        <f t="shared" si="14"/>
        <v>2232.4637487141408</v>
      </c>
      <c r="R34" s="422">
        <f t="shared" si="14"/>
        <v>2230.4399952465465</v>
      </c>
      <c r="S34" s="422">
        <f t="shared" si="14"/>
        <v>2228.4162417789557</v>
      </c>
      <c r="T34" s="422">
        <f t="shared" si="14"/>
        <v>2226.3924883113577</v>
      </c>
      <c r="U34" s="422">
        <f t="shared" si="14"/>
        <v>2224.3687348437779</v>
      </c>
      <c r="V34" s="422">
        <f t="shared" si="14"/>
        <v>2222.3449813761836</v>
      </c>
      <c r="W34" s="422">
        <f t="shared" si="14"/>
        <v>2220.3212279085856</v>
      </c>
      <c r="X34" s="422">
        <f t="shared" si="14"/>
        <v>2218.2974744409948</v>
      </c>
      <c r="Y34" s="422">
        <f t="shared" si="14"/>
        <v>2216.2737209734114</v>
      </c>
      <c r="Z34" s="422">
        <f t="shared" si="15"/>
        <v>2214.249967505828</v>
      </c>
      <c r="AA34" s="422">
        <f t="shared" si="15"/>
        <v>2212.2262140382154</v>
      </c>
      <c r="AB34" s="422">
        <f t="shared" si="15"/>
        <v>2210.2024605706392</v>
      </c>
      <c r="AC34" s="422">
        <f t="shared" si="15"/>
        <v>2208.1787071030267</v>
      </c>
      <c r="AD34" s="422">
        <f t="shared" si="15"/>
        <v>2206.1549536354578</v>
      </c>
      <c r="AE34" s="422">
        <f t="shared" si="15"/>
        <v>2204.1312001678525</v>
      </c>
      <c r="AF34" s="422">
        <f t="shared" si="15"/>
        <v>2202.1074467002691</v>
      </c>
      <c r="AG34" s="422">
        <f t="shared" si="15"/>
        <v>2200.0836932326856</v>
      </c>
      <c r="AH34" s="422">
        <f t="shared" si="15"/>
        <v>2198.0599397650731</v>
      </c>
      <c r="AI34" s="422">
        <f t="shared" si="15"/>
        <v>2196.0361862974896</v>
      </c>
      <c r="AJ34" s="422">
        <f t="shared" si="16"/>
        <v>2194.0124328299062</v>
      </c>
      <c r="AK34" s="422">
        <f t="shared" si="16"/>
        <v>0</v>
      </c>
      <c r="AL34" s="422">
        <f t="shared" si="16"/>
        <v>0</v>
      </c>
      <c r="AM34" s="422">
        <f t="shared" si="16"/>
        <v>0</v>
      </c>
      <c r="AN34" s="422">
        <f t="shared" si="16"/>
        <v>0</v>
      </c>
      <c r="AO34" s="422">
        <f t="shared" si="16"/>
        <v>0</v>
      </c>
    </row>
    <row r="35" spans="1:41">
      <c r="B35" s="416" t="s">
        <v>524</v>
      </c>
      <c r="C35" s="416" t="s">
        <v>533</v>
      </c>
      <c r="D35" s="416"/>
      <c r="E35" s="419" t="str">
        <f t="shared" si="12"/>
        <v>Non-domestic newAnnual InstallationsMedium Uptake</v>
      </c>
      <c r="F35" s="422">
        <f t="shared" si="13"/>
        <v>0</v>
      </c>
      <c r="G35" s="422">
        <f t="shared" si="13"/>
        <v>61.451163266303546</v>
      </c>
      <c r="H35" s="422">
        <f t="shared" si="13"/>
        <v>122.90232653260719</v>
      </c>
      <c r="I35" s="422">
        <f t="shared" si="13"/>
        <v>184.3534897989108</v>
      </c>
      <c r="J35" s="422">
        <f t="shared" si="13"/>
        <v>245.8046530652145</v>
      </c>
      <c r="K35" s="422">
        <f t="shared" si="13"/>
        <v>614.51163266303718</v>
      </c>
      <c r="L35" s="422">
        <f t="shared" si="13"/>
        <v>614.51163266303706</v>
      </c>
      <c r="M35" s="422">
        <f t="shared" si="13"/>
        <v>1229.0232653260744</v>
      </c>
      <c r="N35" s="422">
        <f t="shared" si="13"/>
        <v>1392.8930340362181</v>
      </c>
      <c r="O35" s="422">
        <f t="shared" si="13"/>
        <v>1556.7628027463606</v>
      </c>
      <c r="P35" s="422">
        <f t="shared" si="14"/>
        <v>1720.6325714565064</v>
      </c>
      <c r="Q35" s="422">
        <f t="shared" si="14"/>
        <v>1373.0750824052593</v>
      </c>
      <c r="R35" s="422">
        <f t="shared" si="14"/>
        <v>1481.4757468056705</v>
      </c>
      <c r="S35" s="422">
        <f t="shared" si="14"/>
        <v>1589.8764112060926</v>
      </c>
      <c r="T35" s="422">
        <f t="shared" si="14"/>
        <v>1698.2770756065074</v>
      </c>
      <c r="U35" s="422">
        <f t="shared" si="14"/>
        <v>1806.6777400069204</v>
      </c>
      <c r="V35" s="422">
        <f t="shared" si="14"/>
        <v>1806.6777400069204</v>
      </c>
      <c r="W35" s="422">
        <f t="shared" si="14"/>
        <v>1806.6777400069222</v>
      </c>
      <c r="X35" s="422">
        <f t="shared" si="14"/>
        <v>1806.6777400069186</v>
      </c>
      <c r="Y35" s="422">
        <f t="shared" si="14"/>
        <v>1806.6777400069222</v>
      </c>
      <c r="Z35" s="422">
        <f t="shared" si="15"/>
        <v>1806.6777400069222</v>
      </c>
      <c r="AA35" s="422">
        <f t="shared" si="15"/>
        <v>1806.677740006915</v>
      </c>
      <c r="AB35" s="422">
        <f t="shared" si="15"/>
        <v>1806.6777400069259</v>
      </c>
      <c r="AC35" s="422">
        <f t="shared" si="15"/>
        <v>1806.6777400069259</v>
      </c>
      <c r="AD35" s="422">
        <f t="shared" si="15"/>
        <v>1806.6777400069222</v>
      </c>
      <c r="AE35" s="422">
        <f t="shared" si="15"/>
        <v>1806.677740006915</v>
      </c>
      <c r="AF35" s="422">
        <f t="shared" si="15"/>
        <v>1806.6777400069259</v>
      </c>
      <c r="AG35" s="422">
        <f t="shared" si="15"/>
        <v>1806.6777400069259</v>
      </c>
      <c r="AH35" s="422">
        <f t="shared" si="15"/>
        <v>1806.6777400069186</v>
      </c>
      <c r="AI35" s="422">
        <f t="shared" si="15"/>
        <v>1806.6777400069259</v>
      </c>
      <c r="AJ35" s="422">
        <f t="shared" si="16"/>
        <v>1806.6777400069186</v>
      </c>
      <c r="AK35" s="422">
        <f t="shared" si="16"/>
        <v>1806.6777400069259</v>
      </c>
      <c r="AL35" s="422">
        <f t="shared" si="16"/>
        <v>1806.6777400069259</v>
      </c>
      <c r="AM35" s="422">
        <f t="shared" si="16"/>
        <v>1806.6777400069113</v>
      </c>
      <c r="AN35" s="422">
        <f t="shared" si="16"/>
        <v>1806.6777400069259</v>
      </c>
      <c r="AO35" s="422">
        <f t="shared" si="16"/>
        <v>1806.6777400068459</v>
      </c>
    </row>
    <row r="36" spans="1:41">
      <c r="B36" s="416"/>
      <c r="C36" s="416"/>
      <c r="D36" s="416"/>
      <c r="E36" s="419"/>
      <c r="F36" s="422"/>
      <c r="G36" s="422"/>
      <c r="H36" s="422"/>
      <c r="I36" s="422"/>
      <c r="J36" s="422"/>
      <c r="K36" s="422"/>
      <c r="L36" s="422"/>
      <c r="M36" s="422"/>
      <c r="N36" s="422"/>
      <c r="O36" s="422"/>
      <c r="P36" s="422"/>
      <c r="Q36" s="422"/>
      <c r="R36" s="422"/>
      <c r="S36" s="422"/>
      <c r="T36" s="422"/>
      <c r="U36" s="422"/>
      <c r="V36" s="422"/>
      <c r="W36" s="422"/>
      <c r="X36" s="422"/>
      <c r="Y36" s="422"/>
      <c r="Z36" s="422"/>
      <c r="AA36" s="422"/>
      <c r="AB36" s="422"/>
      <c r="AC36" s="422"/>
      <c r="AD36" s="422"/>
      <c r="AE36" s="422"/>
      <c r="AF36" s="422"/>
      <c r="AG36" s="422"/>
      <c r="AH36" s="422"/>
      <c r="AI36" s="422"/>
      <c r="AJ36" s="422"/>
      <c r="AK36" s="422"/>
      <c r="AL36" s="422"/>
      <c r="AM36" s="422"/>
      <c r="AN36" s="422"/>
      <c r="AO36" s="422"/>
    </row>
    <row r="37" spans="1:41">
      <c r="A37" s="462" t="s">
        <v>534</v>
      </c>
      <c r="B37" s="462"/>
      <c r="C37" s="462"/>
      <c r="D37" s="462"/>
      <c r="E37" s="462"/>
      <c r="F37" s="462"/>
      <c r="G37" s="462"/>
      <c r="H37" s="462"/>
      <c r="I37" s="462"/>
      <c r="J37" s="462"/>
      <c r="K37" s="462"/>
      <c r="L37" s="462"/>
      <c r="M37" s="462"/>
      <c r="N37" s="462"/>
      <c r="O37" s="462"/>
      <c r="P37" s="462"/>
      <c r="Q37" s="462"/>
      <c r="R37" s="462"/>
      <c r="S37" s="462"/>
      <c r="T37" s="462"/>
      <c r="U37" s="462"/>
      <c r="V37" s="462"/>
      <c r="W37" s="462"/>
      <c r="X37" s="462"/>
      <c r="Y37" s="462"/>
      <c r="Z37" s="462"/>
      <c r="AA37" s="462"/>
      <c r="AB37" s="462"/>
      <c r="AC37" s="462"/>
      <c r="AD37" s="462"/>
      <c r="AE37" s="462"/>
      <c r="AF37" s="462"/>
      <c r="AG37" s="462"/>
      <c r="AH37" s="462"/>
      <c r="AI37" s="462"/>
      <c r="AJ37" s="462"/>
      <c r="AK37" s="462"/>
      <c r="AL37" s="462"/>
      <c r="AM37" s="462"/>
      <c r="AN37" s="462"/>
      <c r="AO37" s="462"/>
    </row>
    <row r="38" spans="1:41">
      <c r="B38" t="s">
        <v>535</v>
      </c>
      <c r="C38" s="204" t="str">
        <f>Dashboard!$D$6</f>
        <v>High Electrification</v>
      </c>
    </row>
    <row r="39" spans="1:41">
      <c r="B39" s="78" t="s">
        <v>536</v>
      </c>
      <c r="D39" s="44" t="s">
        <v>537</v>
      </c>
      <c r="E39" s="44" t="s">
        <v>3</v>
      </c>
      <c r="F39" s="31">
        <f t="shared" ref="F39:O43" si="17">INDEX(F$183:F$219,MATCH($C$38,$B$183:$B$219,0)+MATCH($B39,$C$183:$C$219,0)-1,1)</f>
        <v>1</v>
      </c>
      <c r="G39" s="31">
        <f t="shared" si="17"/>
        <v>1</v>
      </c>
      <c r="H39" s="31">
        <f t="shared" si="17"/>
        <v>1</v>
      </c>
      <c r="I39" s="31">
        <f t="shared" si="17"/>
        <v>1</v>
      </c>
      <c r="J39" s="31">
        <f t="shared" si="17"/>
        <v>1</v>
      </c>
      <c r="K39" s="31">
        <f t="shared" si="17"/>
        <v>1</v>
      </c>
      <c r="L39" s="31">
        <f t="shared" si="17"/>
        <v>1</v>
      </c>
      <c r="M39" s="31">
        <f t="shared" si="17"/>
        <v>1</v>
      </c>
      <c r="N39" s="31">
        <f t="shared" si="17"/>
        <v>1</v>
      </c>
      <c r="O39" s="31">
        <f t="shared" si="17"/>
        <v>1</v>
      </c>
      <c r="P39" s="31">
        <f t="shared" ref="P39:Y43" si="18">INDEX(P$183:P$219,MATCH($C$38,$B$183:$B$219,0)+MATCH($B39,$C$183:$C$219,0)-1,1)</f>
        <v>1</v>
      </c>
      <c r="Q39" s="31">
        <f t="shared" si="18"/>
        <v>0</v>
      </c>
      <c r="R39" s="31">
        <f t="shared" si="18"/>
        <v>0</v>
      </c>
      <c r="S39" s="31">
        <f t="shared" si="18"/>
        <v>0</v>
      </c>
      <c r="T39" s="31">
        <f t="shared" si="18"/>
        <v>0</v>
      </c>
      <c r="U39" s="31">
        <f t="shared" si="18"/>
        <v>0</v>
      </c>
      <c r="V39" s="31">
        <f t="shared" si="18"/>
        <v>0</v>
      </c>
      <c r="W39" s="31">
        <f t="shared" si="18"/>
        <v>0</v>
      </c>
      <c r="X39" s="31">
        <f t="shared" si="18"/>
        <v>0</v>
      </c>
      <c r="Y39" s="31">
        <f t="shared" si="18"/>
        <v>0</v>
      </c>
      <c r="Z39" s="31">
        <f t="shared" ref="Z39:AI43" si="19">INDEX(Z$183:Z$219,MATCH($C$38,$B$183:$B$219,0)+MATCH($B39,$C$183:$C$219,0)-1,1)</f>
        <v>0</v>
      </c>
      <c r="AA39" s="31">
        <f t="shared" si="19"/>
        <v>0</v>
      </c>
      <c r="AB39" s="31">
        <f t="shared" si="19"/>
        <v>0</v>
      </c>
      <c r="AC39" s="31">
        <f t="shared" si="19"/>
        <v>0</v>
      </c>
      <c r="AD39" s="31">
        <f t="shared" si="19"/>
        <v>0</v>
      </c>
      <c r="AE39" s="31">
        <f t="shared" si="19"/>
        <v>0</v>
      </c>
      <c r="AF39" s="31">
        <f t="shared" si="19"/>
        <v>0</v>
      </c>
      <c r="AG39" s="31">
        <f t="shared" si="19"/>
        <v>0</v>
      </c>
      <c r="AH39" s="31">
        <f t="shared" si="19"/>
        <v>0</v>
      </c>
      <c r="AI39" s="31">
        <f t="shared" si="19"/>
        <v>0</v>
      </c>
      <c r="AJ39" s="31">
        <f t="shared" ref="AJ39:AO43" si="20">INDEX(AJ$183:AJ$219,MATCH($C$38,$B$183:$B$219,0)+MATCH($B39,$C$183:$C$219,0)-1,1)</f>
        <v>0</v>
      </c>
      <c r="AK39" s="31">
        <f t="shared" si="20"/>
        <v>0</v>
      </c>
      <c r="AL39" s="31">
        <f t="shared" si="20"/>
        <v>0</v>
      </c>
      <c r="AM39" s="31">
        <f t="shared" si="20"/>
        <v>0</v>
      </c>
      <c r="AN39" s="31">
        <f t="shared" si="20"/>
        <v>0</v>
      </c>
      <c r="AO39" s="31">
        <f t="shared" si="20"/>
        <v>0</v>
      </c>
    </row>
    <row r="40" spans="1:41">
      <c r="B40" s="78" t="s">
        <v>538</v>
      </c>
      <c r="D40" s="44" t="s">
        <v>537</v>
      </c>
      <c r="E40" s="44" t="s">
        <v>3</v>
      </c>
      <c r="F40" s="31">
        <f t="shared" si="17"/>
        <v>0</v>
      </c>
      <c r="G40" s="31">
        <f t="shared" si="17"/>
        <v>0</v>
      </c>
      <c r="H40" s="31">
        <f t="shared" si="17"/>
        <v>0</v>
      </c>
      <c r="I40" s="31">
        <f t="shared" si="17"/>
        <v>0</v>
      </c>
      <c r="J40" s="31">
        <f t="shared" si="17"/>
        <v>0</v>
      </c>
      <c r="K40" s="31">
        <f t="shared" si="17"/>
        <v>0</v>
      </c>
      <c r="L40" s="31">
        <f t="shared" si="17"/>
        <v>0</v>
      </c>
      <c r="M40" s="31">
        <f t="shared" si="17"/>
        <v>0</v>
      </c>
      <c r="N40" s="31">
        <f t="shared" si="17"/>
        <v>0</v>
      </c>
      <c r="O40" s="31">
        <f t="shared" si="17"/>
        <v>0</v>
      </c>
      <c r="P40" s="31">
        <f t="shared" si="18"/>
        <v>0</v>
      </c>
      <c r="Q40" s="31">
        <f t="shared" si="18"/>
        <v>0</v>
      </c>
      <c r="R40" s="31">
        <f t="shared" si="18"/>
        <v>0</v>
      </c>
      <c r="S40" s="31">
        <f t="shared" si="18"/>
        <v>0</v>
      </c>
      <c r="T40" s="31">
        <f t="shared" si="18"/>
        <v>0</v>
      </c>
      <c r="U40" s="31">
        <f t="shared" si="18"/>
        <v>0</v>
      </c>
      <c r="V40" s="31">
        <f t="shared" si="18"/>
        <v>0</v>
      </c>
      <c r="W40" s="31">
        <f t="shared" si="18"/>
        <v>0</v>
      </c>
      <c r="X40" s="31">
        <f t="shared" si="18"/>
        <v>0</v>
      </c>
      <c r="Y40" s="31">
        <f t="shared" si="18"/>
        <v>0</v>
      </c>
      <c r="Z40" s="31">
        <f t="shared" si="19"/>
        <v>0</v>
      </c>
      <c r="AA40" s="31">
        <f t="shared" si="19"/>
        <v>0</v>
      </c>
      <c r="AB40" s="31">
        <f t="shared" si="19"/>
        <v>0</v>
      </c>
      <c r="AC40" s="31">
        <f t="shared" si="19"/>
        <v>0</v>
      </c>
      <c r="AD40" s="31">
        <f t="shared" si="19"/>
        <v>0</v>
      </c>
      <c r="AE40" s="31">
        <f t="shared" si="19"/>
        <v>0</v>
      </c>
      <c r="AF40" s="31">
        <f t="shared" si="19"/>
        <v>0</v>
      </c>
      <c r="AG40" s="31">
        <f t="shared" si="19"/>
        <v>0</v>
      </c>
      <c r="AH40" s="31">
        <f t="shared" si="19"/>
        <v>0</v>
      </c>
      <c r="AI40" s="31">
        <f t="shared" si="19"/>
        <v>0</v>
      </c>
      <c r="AJ40" s="31">
        <f t="shared" si="20"/>
        <v>0</v>
      </c>
      <c r="AK40" s="31">
        <f t="shared" si="20"/>
        <v>0</v>
      </c>
      <c r="AL40" s="31">
        <f t="shared" si="20"/>
        <v>0</v>
      </c>
      <c r="AM40" s="31">
        <f t="shared" si="20"/>
        <v>0</v>
      </c>
      <c r="AN40" s="31">
        <f t="shared" si="20"/>
        <v>0</v>
      </c>
      <c r="AO40" s="31">
        <f t="shared" si="20"/>
        <v>0</v>
      </c>
    </row>
    <row r="41" spans="1:41">
      <c r="B41" s="78" t="s">
        <v>539</v>
      </c>
      <c r="D41" s="44" t="s">
        <v>537</v>
      </c>
      <c r="E41" s="44" t="s">
        <v>3</v>
      </c>
      <c r="F41" s="31">
        <f t="shared" si="17"/>
        <v>0</v>
      </c>
      <c r="G41" s="31">
        <f t="shared" si="17"/>
        <v>0</v>
      </c>
      <c r="H41" s="31">
        <f t="shared" si="17"/>
        <v>0</v>
      </c>
      <c r="I41" s="31">
        <f t="shared" si="17"/>
        <v>0</v>
      </c>
      <c r="J41" s="31">
        <f t="shared" si="17"/>
        <v>0</v>
      </c>
      <c r="K41" s="31">
        <f t="shared" si="17"/>
        <v>0</v>
      </c>
      <c r="L41" s="31">
        <f t="shared" si="17"/>
        <v>0</v>
      </c>
      <c r="M41" s="31">
        <f t="shared" si="17"/>
        <v>0</v>
      </c>
      <c r="N41" s="31">
        <f t="shared" si="17"/>
        <v>0</v>
      </c>
      <c r="O41" s="31">
        <f t="shared" si="17"/>
        <v>0</v>
      </c>
      <c r="P41" s="31">
        <f t="shared" si="18"/>
        <v>0</v>
      </c>
      <c r="Q41" s="31">
        <f t="shared" si="18"/>
        <v>0</v>
      </c>
      <c r="R41" s="31">
        <f t="shared" si="18"/>
        <v>0</v>
      </c>
      <c r="S41" s="31">
        <f t="shared" si="18"/>
        <v>0</v>
      </c>
      <c r="T41" s="31">
        <f t="shared" si="18"/>
        <v>0</v>
      </c>
      <c r="U41" s="31">
        <f t="shared" si="18"/>
        <v>0</v>
      </c>
      <c r="V41" s="31">
        <f t="shared" si="18"/>
        <v>4.8000000000000001E-2</v>
      </c>
      <c r="W41" s="31">
        <f t="shared" si="18"/>
        <v>9.6000000000000002E-2</v>
      </c>
      <c r="X41" s="31">
        <f t="shared" si="18"/>
        <v>0.14400000000000002</v>
      </c>
      <c r="Y41" s="31">
        <f t="shared" si="18"/>
        <v>0.192</v>
      </c>
      <c r="Z41" s="31">
        <f t="shared" si="19"/>
        <v>0.24</v>
      </c>
      <c r="AA41" s="31">
        <f t="shared" si="19"/>
        <v>0.25185345706441548</v>
      </c>
      <c r="AB41" s="31">
        <f t="shared" si="19"/>
        <v>0.26370691412883096</v>
      </c>
      <c r="AC41" s="31">
        <f t="shared" si="19"/>
        <v>0.27556037119324645</v>
      </c>
      <c r="AD41" s="31">
        <f t="shared" si="19"/>
        <v>0.28741382825766193</v>
      </c>
      <c r="AE41" s="31">
        <f t="shared" si="19"/>
        <v>0.29926728532207747</v>
      </c>
      <c r="AF41" s="31">
        <f t="shared" si="19"/>
        <v>0.31112074238649295</v>
      </c>
      <c r="AG41" s="31">
        <f t="shared" si="19"/>
        <v>0.32297419945090844</v>
      </c>
      <c r="AH41" s="31">
        <f t="shared" si="19"/>
        <v>0.33482765651532392</v>
      </c>
      <c r="AI41" s="31">
        <f t="shared" si="19"/>
        <v>0.34668111357973941</v>
      </c>
      <c r="AJ41" s="31">
        <f t="shared" si="20"/>
        <v>0.35853457064415489</v>
      </c>
      <c r="AK41" s="31">
        <f t="shared" si="20"/>
        <v>0.37038802770857038</v>
      </c>
      <c r="AL41" s="31">
        <f t="shared" si="20"/>
        <v>0.38224148477298592</v>
      </c>
      <c r="AM41" s="31">
        <f t="shared" si="20"/>
        <v>0.39409494183740135</v>
      </c>
      <c r="AN41" s="31">
        <f t="shared" si="20"/>
        <v>0.40594839890181689</v>
      </c>
      <c r="AO41" s="31">
        <f t="shared" si="20"/>
        <v>0.41780185596623237</v>
      </c>
    </row>
    <row r="42" spans="1:41">
      <c r="B42" s="78" t="s">
        <v>540</v>
      </c>
      <c r="D42" s="44" t="s">
        <v>537</v>
      </c>
      <c r="E42" s="44" t="s">
        <v>3</v>
      </c>
      <c r="F42" s="31">
        <f t="shared" si="17"/>
        <v>0</v>
      </c>
      <c r="G42" s="31">
        <f t="shared" si="17"/>
        <v>0</v>
      </c>
      <c r="H42" s="31">
        <f t="shared" si="17"/>
        <v>0</v>
      </c>
      <c r="I42" s="31">
        <f t="shared" si="17"/>
        <v>0</v>
      </c>
      <c r="J42" s="31">
        <f t="shared" si="17"/>
        <v>0</v>
      </c>
      <c r="K42" s="31">
        <f t="shared" si="17"/>
        <v>0</v>
      </c>
      <c r="L42" s="31">
        <f t="shared" si="17"/>
        <v>0</v>
      </c>
      <c r="M42" s="31">
        <f t="shared" si="17"/>
        <v>0</v>
      </c>
      <c r="N42" s="31">
        <f t="shared" si="17"/>
        <v>0</v>
      </c>
      <c r="O42" s="31">
        <f t="shared" si="17"/>
        <v>0</v>
      </c>
      <c r="P42" s="31">
        <f t="shared" si="18"/>
        <v>0</v>
      </c>
      <c r="Q42" s="31">
        <f t="shared" si="18"/>
        <v>0</v>
      </c>
      <c r="R42" s="31">
        <f t="shared" si="18"/>
        <v>0</v>
      </c>
      <c r="S42" s="31">
        <f t="shared" si="18"/>
        <v>0</v>
      </c>
      <c r="T42" s="31">
        <f t="shared" si="18"/>
        <v>0</v>
      </c>
      <c r="U42" s="31">
        <f t="shared" si="18"/>
        <v>0</v>
      </c>
      <c r="V42" s="31">
        <f t="shared" si="18"/>
        <v>0</v>
      </c>
      <c r="W42" s="31">
        <f t="shared" si="18"/>
        <v>3.3381020505484022E-3</v>
      </c>
      <c r="X42" s="31">
        <f t="shared" si="18"/>
        <v>1.0142606573629221E-2</v>
      </c>
      <c r="Y42" s="31">
        <f t="shared" si="18"/>
        <v>1.4267185473411154E-2</v>
      </c>
      <c r="Z42" s="31">
        <f t="shared" si="19"/>
        <v>1.82393448725107E-2</v>
      </c>
      <c r="AA42" s="31">
        <f t="shared" si="19"/>
        <v>2.7766422711331333E-2</v>
      </c>
      <c r="AB42" s="31">
        <f t="shared" si="19"/>
        <v>3.7293500550151973E-2</v>
      </c>
      <c r="AC42" s="31">
        <f t="shared" si="19"/>
        <v>4.6820578388972606E-2</v>
      </c>
      <c r="AD42" s="31">
        <f t="shared" si="19"/>
        <v>5.6347656227793239E-2</v>
      </c>
      <c r="AE42" s="31">
        <f t="shared" si="19"/>
        <v>6.5874734066613871E-2</v>
      </c>
      <c r="AF42" s="31">
        <f t="shared" si="19"/>
        <v>7.5401811905434518E-2</v>
      </c>
      <c r="AG42" s="31">
        <f t="shared" si="19"/>
        <v>8.4928889744255137E-2</v>
      </c>
      <c r="AH42" s="31">
        <f t="shared" si="19"/>
        <v>9.4455967583075784E-2</v>
      </c>
      <c r="AI42" s="31">
        <f t="shared" si="19"/>
        <v>0.1039830454218964</v>
      </c>
      <c r="AJ42" s="31">
        <f t="shared" si="20"/>
        <v>0.11351012326071705</v>
      </c>
      <c r="AK42" s="31">
        <f t="shared" si="20"/>
        <v>0.12303720109953767</v>
      </c>
      <c r="AL42" s="31">
        <f t="shared" si="20"/>
        <v>0.13256427893835832</v>
      </c>
      <c r="AM42" s="31">
        <f t="shared" si="20"/>
        <v>0.14209135677717896</v>
      </c>
      <c r="AN42" s="31">
        <f t="shared" si="20"/>
        <v>0.15161843461599958</v>
      </c>
      <c r="AO42" s="31">
        <f t="shared" si="20"/>
        <v>0.1611455124548202</v>
      </c>
    </row>
    <row r="43" spans="1:41">
      <c r="B43" s="78" t="s">
        <v>541</v>
      </c>
      <c r="D43" s="44" t="s">
        <v>537</v>
      </c>
      <c r="E43" s="44" t="s">
        <v>3</v>
      </c>
      <c r="F43" s="31">
        <f t="shared" si="17"/>
        <v>0</v>
      </c>
      <c r="G43" s="31">
        <f t="shared" si="17"/>
        <v>0</v>
      </c>
      <c r="H43" s="31">
        <f t="shared" si="17"/>
        <v>0</v>
      </c>
      <c r="I43" s="31">
        <f t="shared" si="17"/>
        <v>0</v>
      </c>
      <c r="J43" s="31">
        <f t="shared" si="17"/>
        <v>0</v>
      </c>
      <c r="K43" s="31">
        <f t="shared" si="17"/>
        <v>0</v>
      </c>
      <c r="L43" s="31">
        <f t="shared" si="17"/>
        <v>0</v>
      </c>
      <c r="M43" s="31">
        <f t="shared" si="17"/>
        <v>0</v>
      </c>
      <c r="N43" s="31">
        <f t="shared" si="17"/>
        <v>0</v>
      </c>
      <c r="O43" s="31">
        <f t="shared" si="17"/>
        <v>0</v>
      </c>
      <c r="P43" s="31">
        <f t="shared" si="18"/>
        <v>0</v>
      </c>
      <c r="Q43" s="31">
        <f t="shared" si="18"/>
        <v>1</v>
      </c>
      <c r="R43" s="31">
        <f t="shared" si="18"/>
        <v>1</v>
      </c>
      <c r="S43" s="31">
        <f t="shared" si="18"/>
        <v>1</v>
      </c>
      <c r="T43" s="31">
        <f t="shared" si="18"/>
        <v>1</v>
      </c>
      <c r="U43" s="31">
        <f t="shared" si="18"/>
        <v>1</v>
      </c>
      <c r="V43" s="31">
        <f t="shared" si="18"/>
        <v>0.94799999999999995</v>
      </c>
      <c r="W43" s="31">
        <f t="shared" si="18"/>
        <v>0.89600000000000002</v>
      </c>
      <c r="X43" s="31">
        <f t="shared" si="18"/>
        <v>0.84399999999999997</v>
      </c>
      <c r="Y43" s="31">
        <f t="shared" si="18"/>
        <v>0.79200000000000004</v>
      </c>
      <c r="Z43" s="31">
        <f t="shared" si="19"/>
        <v>0.74</v>
      </c>
      <c r="AA43" s="31">
        <f t="shared" si="19"/>
        <v>0.71866666666666668</v>
      </c>
      <c r="AB43" s="31">
        <f t="shared" si="19"/>
        <v>0.69733333333333336</v>
      </c>
      <c r="AC43" s="31">
        <f t="shared" si="19"/>
        <v>0.67599999999999993</v>
      </c>
      <c r="AD43" s="31">
        <f t="shared" si="19"/>
        <v>0.65466666666666662</v>
      </c>
      <c r="AE43" s="31">
        <f t="shared" si="19"/>
        <v>0.6333333333333333</v>
      </c>
      <c r="AF43" s="31">
        <f t="shared" si="19"/>
        <v>0.61199999999999999</v>
      </c>
      <c r="AG43" s="31">
        <f t="shared" si="19"/>
        <v>0.59066666666666667</v>
      </c>
      <c r="AH43" s="31">
        <f t="shared" si="19"/>
        <v>0.56933333333333336</v>
      </c>
      <c r="AI43" s="31">
        <f t="shared" si="19"/>
        <v>0.54800000000000004</v>
      </c>
      <c r="AJ43" s="31">
        <f t="shared" si="20"/>
        <v>0.52666666666666662</v>
      </c>
      <c r="AK43" s="31">
        <f t="shared" si="20"/>
        <v>0.5053333333333333</v>
      </c>
      <c r="AL43" s="31">
        <f t="shared" si="20"/>
        <v>0.48399999999999999</v>
      </c>
      <c r="AM43" s="31">
        <f t="shared" si="20"/>
        <v>0.46266666666666667</v>
      </c>
      <c r="AN43" s="31">
        <f t="shared" si="20"/>
        <v>0.44133333333333336</v>
      </c>
      <c r="AO43" s="31">
        <f t="shared" si="20"/>
        <v>0.42</v>
      </c>
    </row>
    <row r="44" spans="1:41">
      <c r="B44" s="78"/>
    </row>
    <row r="45" spans="1:41" ht="16.5" customHeight="1">
      <c r="B45" s="78" t="s">
        <v>542</v>
      </c>
      <c r="D45" s="44" t="s">
        <v>452</v>
      </c>
      <c r="E45" s="44"/>
      <c r="F45" s="31">
        <f>INDEX(F$183:F$221,MATCH($C$38,$B$183:$B$221,0)+MATCH($B45,$C$183:$C$221,0)-1,1)</f>
        <v>0</v>
      </c>
      <c r="G45" s="31">
        <f t="shared" ref="G45:AO45" si="21">INDEX(G$183:G$221,MATCH($C$38,$B$183:$B$221,0)+MATCH($B45,$C$183:$C$221,0)-1,1)</f>
        <v>0</v>
      </c>
      <c r="H45" s="31">
        <f>INDEX(H$183:H$221,MATCH($C$38,$B$183:$B$221,0)+MATCH($B45,$C$183:$C$221,0)-1,1)</f>
        <v>0</v>
      </c>
      <c r="I45" s="31">
        <f t="shared" si="21"/>
        <v>0</v>
      </c>
      <c r="J45" s="31">
        <f t="shared" si="21"/>
        <v>0</v>
      </c>
      <c r="K45" s="31">
        <f t="shared" si="21"/>
        <v>0</v>
      </c>
      <c r="L45" s="31">
        <f t="shared" si="21"/>
        <v>0</v>
      </c>
      <c r="M45" s="31">
        <f t="shared" si="21"/>
        <v>0</v>
      </c>
      <c r="N45" s="31">
        <f t="shared" si="21"/>
        <v>0</v>
      </c>
      <c r="O45" s="31">
        <f t="shared" si="21"/>
        <v>0</v>
      </c>
      <c r="P45" s="31">
        <f t="shared" si="21"/>
        <v>0</v>
      </c>
      <c r="Q45" s="31">
        <f t="shared" si="21"/>
        <v>0</v>
      </c>
      <c r="R45" s="31">
        <f t="shared" si="21"/>
        <v>5.9500000000000013E-3</v>
      </c>
      <c r="S45" s="31">
        <f t="shared" si="21"/>
        <v>1.1900000000000003E-2</v>
      </c>
      <c r="T45" s="31">
        <f t="shared" si="21"/>
        <v>1.7850000000000001E-2</v>
      </c>
      <c r="U45" s="31">
        <f t="shared" si="21"/>
        <v>2.3800000000000005E-2</v>
      </c>
      <c r="V45" s="31">
        <f t="shared" si="21"/>
        <v>3.5350000000000006E-2</v>
      </c>
      <c r="W45" s="31">
        <f t="shared" si="21"/>
        <v>4.6900000000000011E-2</v>
      </c>
      <c r="X45" s="31">
        <f t="shared" si="21"/>
        <v>5.8450000000000016E-2</v>
      </c>
      <c r="Y45" s="31">
        <f t="shared" si="21"/>
        <v>7.0000000000000007E-2</v>
      </c>
      <c r="Z45" s="31">
        <f t="shared" si="21"/>
        <v>7.0000000000000007E-2</v>
      </c>
      <c r="AA45" s="31">
        <f t="shared" si="21"/>
        <v>7.0000000000000007E-2</v>
      </c>
      <c r="AB45" s="31">
        <f t="shared" si="21"/>
        <v>7.0000000000000007E-2</v>
      </c>
      <c r="AC45" s="31">
        <f t="shared" si="21"/>
        <v>7.0000000000000007E-2</v>
      </c>
      <c r="AD45" s="31">
        <f t="shared" si="21"/>
        <v>7.0000000000000007E-2</v>
      </c>
      <c r="AE45" s="31">
        <f t="shared" si="21"/>
        <v>7.0000000000000007E-2</v>
      </c>
      <c r="AF45" s="31">
        <f t="shared" si="21"/>
        <v>7.0000000000000007E-2</v>
      </c>
      <c r="AG45" s="31">
        <f t="shared" si="21"/>
        <v>7.0000000000000007E-2</v>
      </c>
      <c r="AH45" s="31">
        <f t="shared" si="21"/>
        <v>7.0000000000000007E-2</v>
      </c>
      <c r="AI45" s="31">
        <f t="shared" si="21"/>
        <v>7.0000000000000007E-2</v>
      </c>
      <c r="AJ45" s="31">
        <f t="shared" si="21"/>
        <v>7.0000000000000007E-2</v>
      </c>
      <c r="AK45" s="31">
        <f t="shared" si="21"/>
        <v>7.0000000000000007E-2</v>
      </c>
      <c r="AL45" s="31">
        <f t="shared" si="21"/>
        <v>7.0000000000000007E-2</v>
      </c>
      <c r="AM45" s="31">
        <f t="shared" si="21"/>
        <v>7.0000000000000007E-2</v>
      </c>
      <c r="AN45" s="31">
        <f t="shared" si="21"/>
        <v>7.0000000000000007E-2</v>
      </c>
      <c r="AO45" s="31">
        <f t="shared" si="21"/>
        <v>7.0000000000000007E-2</v>
      </c>
    </row>
    <row r="46" spans="1:41" ht="16.5" customHeight="1">
      <c r="B46" s="78"/>
      <c r="D46" s="323"/>
      <c r="E46" s="323"/>
      <c r="F46" s="322"/>
      <c r="G46" s="322"/>
      <c r="H46" s="322"/>
      <c r="I46" s="322"/>
      <c r="J46" s="322"/>
      <c r="K46" s="322"/>
      <c r="L46" s="322"/>
      <c r="M46" s="322"/>
      <c r="N46" s="322"/>
      <c r="O46" s="322"/>
      <c r="P46" s="322"/>
      <c r="Q46" s="322"/>
      <c r="R46" s="322"/>
      <c r="S46" s="322"/>
      <c r="T46" s="322"/>
      <c r="U46" s="322"/>
      <c r="V46" s="322"/>
      <c r="W46" s="322"/>
      <c r="X46" s="322"/>
      <c r="Y46" s="322"/>
      <c r="Z46" s="322"/>
      <c r="AA46" s="322"/>
      <c r="AB46" s="322"/>
      <c r="AC46" s="322"/>
      <c r="AD46" s="322"/>
      <c r="AE46" s="322"/>
      <c r="AF46" s="322"/>
      <c r="AG46" s="322"/>
      <c r="AH46" s="322"/>
      <c r="AI46" s="322"/>
      <c r="AJ46" s="322"/>
      <c r="AK46" s="322"/>
      <c r="AL46" s="322"/>
      <c r="AM46" s="322"/>
      <c r="AN46" s="322"/>
      <c r="AO46" s="322"/>
    </row>
    <row r="47" spans="1:41" ht="16.5" customHeight="1">
      <c r="B47" s="38" t="s">
        <v>543</v>
      </c>
      <c r="D47" s="44" t="s">
        <v>544</v>
      </c>
      <c r="E47" s="44"/>
      <c r="F47" s="31">
        <f t="shared" ref="F47:O48" si="22">INDEX(F$225:F$242,MATCH($C$38,$B$225:$B$242,0)+MATCH($B47,$C$225:$C$226,0)-1,1)</f>
        <v>0</v>
      </c>
      <c r="G47" s="31">
        <f t="shared" si="22"/>
        <v>0</v>
      </c>
      <c r="H47" s="31">
        <f t="shared" si="22"/>
        <v>0</v>
      </c>
      <c r="I47" s="31">
        <f t="shared" si="22"/>
        <v>0</v>
      </c>
      <c r="J47" s="31">
        <f t="shared" si="22"/>
        <v>0</v>
      </c>
      <c r="K47" s="31">
        <f t="shared" si="22"/>
        <v>0</v>
      </c>
      <c r="L47" s="31">
        <f t="shared" si="22"/>
        <v>0</v>
      </c>
      <c r="M47" s="31">
        <f t="shared" si="22"/>
        <v>0</v>
      </c>
      <c r="N47" s="31">
        <f t="shared" si="22"/>
        <v>0</v>
      </c>
      <c r="O47" s="31">
        <f t="shared" si="22"/>
        <v>0</v>
      </c>
      <c r="P47" s="31">
        <f t="shared" ref="P47:Y48" si="23">INDEX(P$225:P$242,MATCH($C$38,$B$225:$B$242,0)+MATCH($B47,$C$225:$C$226,0)-1,1)</f>
        <v>0</v>
      </c>
      <c r="Q47" s="31">
        <f t="shared" si="23"/>
        <v>1.7185261173516847E-2</v>
      </c>
      <c r="R47" s="31">
        <f t="shared" si="23"/>
        <v>3.7537239524247354E-2</v>
      </c>
      <c r="S47" s="31">
        <f t="shared" si="23"/>
        <v>6.2020057628834113E-2</v>
      </c>
      <c r="T47" s="31">
        <f t="shared" si="23"/>
        <v>9.2033418752641566E-2</v>
      </c>
      <c r="U47" s="31">
        <f t="shared" si="23"/>
        <v>0.12968991691868831</v>
      </c>
      <c r="V47" s="31">
        <f t="shared" si="23"/>
        <v>0.21594938448511761</v>
      </c>
      <c r="W47" s="31">
        <f t="shared" si="23"/>
        <v>0.31281952556979609</v>
      </c>
      <c r="X47" s="31">
        <f t="shared" si="23"/>
        <v>0.42238645470551145</v>
      </c>
      <c r="Y47" s="31">
        <f t="shared" si="23"/>
        <v>0.54732149285187115</v>
      </c>
      <c r="Z47" s="31">
        <f t="shared" ref="Z47:AI48" si="24">INDEX(Z$225:Z$242,MATCH($C$38,$B$225:$B$242,0)+MATCH($B47,$C$225:$C$226,0)-1,1)</f>
        <v>0.69110185012028813</v>
      </c>
      <c r="AA47" s="31">
        <f t="shared" si="24"/>
        <v>0.74371289815783848</v>
      </c>
      <c r="AB47" s="31">
        <f t="shared" si="24"/>
        <v>0.80037831753855038</v>
      </c>
      <c r="AC47" s="31">
        <f t="shared" si="24"/>
        <v>0.86158555404708914</v>
      </c>
      <c r="AD47" s="31">
        <f t="shared" si="24"/>
        <v>0.92790345468233959</v>
      </c>
      <c r="AE47" s="31">
        <f t="shared" si="24"/>
        <v>1</v>
      </c>
      <c r="AF47" s="31">
        <f t="shared" si="24"/>
        <v>1</v>
      </c>
      <c r="AG47" s="31">
        <f t="shared" si="24"/>
        <v>1</v>
      </c>
      <c r="AH47" s="31">
        <f t="shared" si="24"/>
        <v>1</v>
      </c>
      <c r="AI47" s="31">
        <f t="shared" si="24"/>
        <v>1</v>
      </c>
      <c r="AJ47" s="31">
        <f t="shared" ref="AJ47:AO48" si="25">INDEX(AJ$225:AJ$242,MATCH($C$38,$B$225:$B$242,0)+MATCH($B47,$C$225:$C$226,0)-1,1)</f>
        <v>1</v>
      </c>
      <c r="AK47" s="31">
        <f t="shared" si="25"/>
        <v>1</v>
      </c>
      <c r="AL47" s="31">
        <f t="shared" si="25"/>
        <v>1</v>
      </c>
      <c r="AM47" s="31">
        <f t="shared" si="25"/>
        <v>1</v>
      </c>
      <c r="AN47" s="31">
        <f t="shared" si="25"/>
        <v>1</v>
      </c>
      <c r="AO47" s="31">
        <f t="shared" si="25"/>
        <v>1</v>
      </c>
    </row>
    <row r="48" spans="1:41" ht="16.5" customHeight="1">
      <c r="B48" s="38" t="s">
        <v>545</v>
      </c>
      <c r="D48" s="44" t="s">
        <v>544</v>
      </c>
      <c r="E48" s="44"/>
      <c r="F48" s="31">
        <f t="shared" si="22"/>
        <v>0</v>
      </c>
      <c r="G48" s="31">
        <f t="shared" si="22"/>
        <v>0</v>
      </c>
      <c r="H48" s="31">
        <f t="shared" si="22"/>
        <v>0</v>
      </c>
      <c r="I48" s="31">
        <f t="shared" si="22"/>
        <v>0</v>
      </c>
      <c r="J48" s="31">
        <f t="shared" si="22"/>
        <v>0</v>
      </c>
      <c r="K48" s="31">
        <f t="shared" si="22"/>
        <v>0</v>
      </c>
      <c r="L48" s="31">
        <f t="shared" si="22"/>
        <v>0</v>
      </c>
      <c r="M48" s="31">
        <f t="shared" si="22"/>
        <v>0</v>
      </c>
      <c r="N48" s="31">
        <f t="shared" si="22"/>
        <v>0</v>
      </c>
      <c r="O48" s="31">
        <f t="shared" si="22"/>
        <v>0</v>
      </c>
      <c r="P48" s="31">
        <f t="shared" si="23"/>
        <v>0</v>
      </c>
      <c r="Q48" s="31">
        <f t="shared" si="23"/>
        <v>1.7185261173516847E-2</v>
      </c>
      <c r="R48" s="31">
        <f t="shared" si="23"/>
        <v>3.7537239524247354E-2</v>
      </c>
      <c r="S48" s="31">
        <f t="shared" si="23"/>
        <v>6.2020057628834113E-2</v>
      </c>
      <c r="T48" s="31">
        <f t="shared" si="23"/>
        <v>9.2033418752641566E-2</v>
      </c>
      <c r="U48" s="31">
        <f t="shared" si="23"/>
        <v>0.12968991691868831</v>
      </c>
      <c r="V48" s="31">
        <f t="shared" si="23"/>
        <v>0.21594938448511761</v>
      </c>
      <c r="W48" s="31">
        <f t="shared" si="23"/>
        <v>0.31281952556979609</v>
      </c>
      <c r="X48" s="31">
        <f t="shared" si="23"/>
        <v>0.42238645470551145</v>
      </c>
      <c r="Y48" s="31">
        <f t="shared" si="23"/>
        <v>0.54732149285187115</v>
      </c>
      <c r="Z48" s="31">
        <f t="shared" si="24"/>
        <v>0.69110185012028813</v>
      </c>
      <c r="AA48" s="31">
        <f t="shared" si="24"/>
        <v>0.74371289815783848</v>
      </c>
      <c r="AB48" s="31">
        <f t="shared" si="24"/>
        <v>0.80037831753855038</v>
      </c>
      <c r="AC48" s="31">
        <f t="shared" si="24"/>
        <v>0.86158555404708914</v>
      </c>
      <c r="AD48" s="31">
        <f t="shared" si="24"/>
        <v>0.92790345468233959</v>
      </c>
      <c r="AE48" s="31">
        <f t="shared" si="24"/>
        <v>1</v>
      </c>
      <c r="AF48" s="31">
        <f t="shared" si="24"/>
        <v>1</v>
      </c>
      <c r="AG48" s="31">
        <f t="shared" si="24"/>
        <v>1</v>
      </c>
      <c r="AH48" s="31">
        <f t="shared" si="24"/>
        <v>1</v>
      </c>
      <c r="AI48" s="31">
        <f t="shared" si="24"/>
        <v>1</v>
      </c>
      <c r="AJ48" s="31">
        <f t="shared" si="25"/>
        <v>1</v>
      </c>
      <c r="AK48" s="31">
        <f t="shared" si="25"/>
        <v>1</v>
      </c>
      <c r="AL48" s="31">
        <f t="shared" si="25"/>
        <v>1</v>
      </c>
      <c r="AM48" s="31">
        <f t="shared" si="25"/>
        <v>1</v>
      </c>
      <c r="AN48" s="31">
        <f t="shared" si="25"/>
        <v>1</v>
      </c>
      <c r="AO48" s="31">
        <f t="shared" si="25"/>
        <v>1</v>
      </c>
    </row>
    <row r="49" spans="1:42" ht="16.5" customHeight="1">
      <c r="B49" s="38"/>
      <c r="F49" s="322"/>
      <c r="G49" s="322"/>
      <c r="H49" s="322"/>
      <c r="I49" s="322"/>
      <c r="J49" s="322"/>
      <c r="K49" s="322"/>
      <c r="L49" s="322"/>
      <c r="M49" s="322"/>
      <c r="N49" s="322"/>
      <c r="O49" s="322"/>
      <c r="P49" s="322"/>
      <c r="Q49" s="322"/>
      <c r="R49" s="322"/>
      <c r="S49" s="322"/>
      <c r="T49" s="322"/>
      <c r="U49" s="322"/>
      <c r="V49" s="322"/>
      <c r="W49" s="322"/>
      <c r="X49" s="322"/>
      <c r="Y49" s="322"/>
      <c r="Z49" s="322"/>
      <c r="AA49" s="322"/>
      <c r="AB49" s="322"/>
      <c r="AC49" s="322"/>
      <c r="AD49" s="322"/>
      <c r="AE49" s="322"/>
      <c r="AF49" s="322"/>
      <c r="AG49" s="322"/>
      <c r="AH49" s="322"/>
      <c r="AI49" s="322"/>
      <c r="AJ49" s="322"/>
      <c r="AK49" s="322"/>
      <c r="AL49" s="322"/>
      <c r="AM49" s="322"/>
      <c r="AN49" s="322"/>
      <c r="AO49" s="322"/>
    </row>
    <row r="50" spans="1:42" ht="16.5" customHeight="1">
      <c r="B50" s="38" t="s">
        <v>546</v>
      </c>
      <c r="D50" s="44" t="s">
        <v>544</v>
      </c>
      <c r="E50" s="44"/>
      <c r="F50" s="31">
        <f>INDEX(F$246:F$254,MATCH($C$38,$B$246:$B$254,0),1)</f>
        <v>0</v>
      </c>
      <c r="G50" s="31">
        <f t="shared" ref="G50:AO50" si="26">INDEX(G$246:G$254,MATCH($C$38,$B$246:$B$254,0),1)</f>
        <v>0</v>
      </c>
      <c r="H50" s="31">
        <f t="shared" si="26"/>
        <v>0</v>
      </c>
      <c r="I50" s="31">
        <f t="shared" si="26"/>
        <v>0</v>
      </c>
      <c r="J50" s="31">
        <f t="shared" si="26"/>
        <v>0</v>
      </c>
      <c r="K50" s="31">
        <f t="shared" si="26"/>
        <v>0</v>
      </c>
      <c r="L50" s="31">
        <f t="shared" si="26"/>
        <v>0</v>
      </c>
      <c r="M50" s="31">
        <f t="shared" si="26"/>
        <v>0</v>
      </c>
      <c r="N50" s="31">
        <f t="shared" si="26"/>
        <v>0</v>
      </c>
      <c r="O50" s="31">
        <f t="shared" si="26"/>
        <v>0</v>
      </c>
      <c r="P50" s="31">
        <f t="shared" si="26"/>
        <v>0</v>
      </c>
      <c r="Q50" s="31">
        <f t="shared" si="26"/>
        <v>0</v>
      </c>
      <c r="R50" s="31">
        <f t="shared" si="26"/>
        <v>0</v>
      </c>
      <c r="S50" s="31">
        <f t="shared" si="26"/>
        <v>0</v>
      </c>
      <c r="T50" s="31">
        <f t="shared" si="26"/>
        <v>0</v>
      </c>
      <c r="U50" s="31">
        <f t="shared" si="26"/>
        <v>0</v>
      </c>
      <c r="V50" s="31">
        <f t="shared" si="26"/>
        <v>0</v>
      </c>
      <c r="W50" s="31">
        <f t="shared" si="26"/>
        <v>0</v>
      </c>
      <c r="X50" s="31">
        <f t="shared" si="26"/>
        <v>0</v>
      </c>
      <c r="Y50" s="31">
        <f t="shared" si="26"/>
        <v>0</v>
      </c>
      <c r="Z50" s="31">
        <f t="shared" si="26"/>
        <v>0</v>
      </c>
      <c r="AA50" s="31">
        <f t="shared" si="26"/>
        <v>0</v>
      </c>
      <c r="AB50" s="31">
        <f t="shared" si="26"/>
        <v>0</v>
      </c>
      <c r="AC50" s="31">
        <f t="shared" si="26"/>
        <v>0</v>
      </c>
      <c r="AD50" s="31">
        <f t="shared" si="26"/>
        <v>0</v>
      </c>
      <c r="AE50" s="31">
        <f t="shared" si="26"/>
        <v>0</v>
      </c>
      <c r="AF50" s="31">
        <f t="shared" si="26"/>
        <v>0</v>
      </c>
      <c r="AG50" s="31">
        <f t="shared" si="26"/>
        <v>0</v>
      </c>
      <c r="AH50" s="31">
        <f t="shared" si="26"/>
        <v>0</v>
      </c>
      <c r="AI50" s="31">
        <f t="shared" si="26"/>
        <v>0</v>
      </c>
      <c r="AJ50" s="31">
        <f t="shared" si="26"/>
        <v>0</v>
      </c>
      <c r="AK50" s="31">
        <f t="shared" si="26"/>
        <v>0</v>
      </c>
      <c r="AL50" s="31">
        <f t="shared" si="26"/>
        <v>0</v>
      </c>
      <c r="AM50" s="31">
        <f t="shared" si="26"/>
        <v>0</v>
      </c>
      <c r="AN50" s="31">
        <f t="shared" si="26"/>
        <v>0</v>
      </c>
      <c r="AO50" s="31">
        <f t="shared" si="26"/>
        <v>0</v>
      </c>
    </row>
    <row r="51" spans="1:42">
      <c r="C51" s="35"/>
      <c r="F51" s="78"/>
    </row>
    <row r="52" spans="1:42">
      <c r="A52" s="462" t="s">
        <v>547</v>
      </c>
      <c r="B52" s="462"/>
      <c r="C52" s="462"/>
      <c r="D52" s="462"/>
      <c r="E52" s="462"/>
      <c r="F52" s="462"/>
      <c r="G52" s="462"/>
      <c r="H52" s="462"/>
      <c r="I52" s="462"/>
      <c r="J52" s="462"/>
      <c r="K52" s="462"/>
      <c r="L52" s="462"/>
      <c r="M52" s="462"/>
      <c r="N52" s="462"/>
      <c r="O52" s="462"/>
      <c r="P52" s="462"/>
      <c r="Q52" s="462"/>
      <c r="R52" s="462"/>
      <c r="S52" s="462"/>
      <c r="T52" s="462"/>
      <c r="U52" s="462"/>
      <c r="V52" s="462"/>
      <c r="W52" s="462"/>
      <c r="X52" s="462"/>
      <c r="Y52" s="462"/>
      <c r="Z52" s="462"/>
      <c r="AA52" s="462"/>
      <c r="AB52" s="462"/>
      <c r="AC52" s="462"/>
      <c r="AD52" s="462"/>
      <c r="AE52" s="462"/>
      <c r="AF52" s="462"/>
      <c r="AG52" s="462"/>
      <c r="AH52" s="462"/>
      <c r="AI52" s="462"/>
      <c r="AJ52" s="462"/>
      <c r="AK52" s="462"/>
      <c r="AL52" s="462"/>
      <c r="AM52" s="462"/>
      <c r="AN52" s="462"/>
      <c r="AO52" s="462"/>
    </row>
    <row r="53" spans="1:42" s="307" customFormat="1">
      <c r="B53" s="307" t="s">
        <v>157</v>
      </c>
    </row>
    <row r="54" spans="1:42" ht="14.25" customHeight="1">
      <c r="B54" s="72"/>
      <c r="C54" s="72"/>
      <c r="D54" s="72"/>
      <c r="E54" s="72"/>
      <c r="F54" s="475">
        <v>2015</v>
      </c>
      <c r="G54" s="475">
        <v>2016</v>
      </c>
      <c r="H54" s="475">
        <v>2017</v>
      </c>
      <c r="I54" s="475">
        <v>2018</v>
      </c>
      <c r="J54" s="475">
        <v>2019</v>
      </c>
      <c r="K54" s="475">
        <v>2020</v>
      </c>
      <c r="L54" s="475">
        <v>2021</v>
      </c>
      <c r="M54" s="475">
        <v>2022</v>
      </c>
      <c r="N54" s="475">
        <v>2023</v>
      </c>
      <c r="O54" s="475">
        <v>2024</v>
      </c>
      <c r="P54" s="475">
        <v>2025</v>
      </c>
      <c r="Q54" s="475">
        <v>2026</v>
      </c>
      <c r="R54" s="475">
        <v>2027</v>
      </c>
      <c r="S54" s="475">
        <v>2028</v>
      </c>
      <c r="T54" s="475">
        <v>2029</v>
      </c>
      <c r="U54" s="475">
        <v>2030</v>
      </c>
      <c r="V54" s="475">
        <v>2031</v>
      </c>
      <c r="W54" s="475">
        <v>2032</v>
      </c>
      <c r="X54" s="475">
        <v>2033</v>
      </c>
      <c r="Y54" s="475">
        <v>2034</v>
      </c>
      <c r="Z54" s="475">
        <v>2035</v>
      </c>
      <c r="AA54" s="475">
        <v>2036</v>
      </c>
      <c r="AB54" s="475">
        <v>2037</v>
      </c>
      <c r="AC54" s="475">
        <v>2038</v>
      </c>
      <c r="AD54" s="475">
        <v>2039</v>
      </c>
      <c r="AE54" s="475">
        <v>2040</v>
      </c>
      <c r="AF54" s="475">
        <v>2041</v>
      </c>
      <c r="AG54" s="475">
        <v>2042</v>
      </c>
      <c r="AH54" s="475">
        <v>2043</v>
      </c>
      <c r="AI54" s="475">
        <v>2044</v>
      </c>
      <c r="AJ54" s="475">
        <v>2045</v>
      </c>
      <c r="AK54" s="475">
        <v>2046</v>
      </c>
      <c r="AL54" s="475">
        <v>2047</v>
      </c>
      <c r="AM54" s="475">
        <v>2048</v>
      </c>
      <c r="AN54" s="475">
        <v>2049</v>
      </c>
      <c r="AO54" s="475">
        <v>2050</v>
      </c>
      <c r="AP54" s="72"/>
    </row>
    <row r="55" spans="1:42">
      <c r="B55" s="204" t="str">
        <f>Dashboard!$D$6</f>
        <v>High Electrification</v>
      </c>
      <c r="C55" t="s">
        <v>548</v>
      </c>
      <c r="D55" t="s">
        <v>452</v>
      </c>
      <c r="F55" s="478">
        <f t="shared" ref="F55:O57" si="27">INDEX(F$127:F$150,MATCH($B$55,$B$127:$B$150,0)+MATCH($C55,$C$127:$C$130,0)-1,1)</f>
        <v>0.93</v>
      </c>
      <c r="G55" s="478">
        <f t="shared" si="27"/>
        <v>0.93</v>
      </c>
      <c r="H55" s="478">
        <f t="shared" si="27"/>
        <v>0.93</v>
      </c>
      <c r="I55" s="478">
        <f t="shared" si="27"/>
        <v>0.93</v>
      </c>
      <c r="J55" s="478">
        <f t="shared" si="27"/>
        <v>0.93</v>
      </c>
      <c r="K55" s="478">
        <f t="shared" si="27"/>
        <v>0.93</v>
      </c>
      <c r="L55" s="478">
        <f t="shared" si="27"/>
        <v>0.93</v>
      </c>
      <c r="M55" s="478">
        <f t="shared" si="27"/>
        <v>0.93</v>
      </c>
      <c r="N55" s="478">
        <f t="shared" si="27"/>
        <v>0.93</v>
      </c>
      <c r="O55" s="478">
        <f t="shared" si="27"/>
        <v>0.93</v>
      </c>
      <c r="P55" s="478">
        <f t="shared" ref="P55:Y57" si="28">INDEX(P$127:P$150,MATCH($B$55,$B$127:$B$150,0)+MATCH($C55,$C$127:$C$130,0)-1,1)</f>
        <v>0.93</v>
      </c>
      <c r="Q55" s="478">
        <f t="shared" si="28"/>
        <v>0.93</v>
      </c>
      <c r="R55" s="478">
        <f t="shared" si="28"/>
        <v>0.92446650000000008</v>
      </c>
      <c r="S55" s="478">
        <f t="shared" si="28"/>
        <v>0.918933</v>
      </c>
      <c r="T55" s="478">
        <f t="shared" si="28"/>
        <v>0.91339950000000003</v>
      </c>
      <c r="U55" s="478">
        <f t="shared" si="28"/>
        <v>0.90786600000000006</v>
      </c>
      <c r="V55" s="478">
        <f t="shared" si="28"/>
        <v>0.8971245000000001</v>
      </c>
      <c r="W55" s="478">
        <f t="shared" si="28"/>
        <v>0.88638300000000003</v>
      </c>
      <c r="X55" s="478">
        <f t="shared" si="28"/>
        <v>0.87564150000000007</v>
      </c>
      <c r="Y55" s="478">
        <f t="shared" si="28"/>
        <v>0.8649</v>
      </c>
      <c r="Z55" s="478">
        <f t="shared" ref="Z55:AI57" si="29">INDEX(Z$127:Z$150,MATCH($B$55,$B$127:$B$150,0)+MATCH($C55,$C$127:$C$130,0)-1,1)</f>
        <v>0.8649</v>
      </c>
      <c r="AA55" s="478">
        <f t="shared" si="29"/>
        <v>0.80723999999999996</v>
      </c>
      <c r="AB55" s="478">
        <f t="shared" si="29"/>
        <v>0.74958000000000002</v>
      </c>
      <c r="AC55" s="478">
        <f t="shared" si="29"/>
        <v>0.69191999999999998</v>
      </c>
      <c r="AD55" s="478">
        <f t="shared" si="29"/>
        <v>0.63426000000000005</v>
      </c>
      <c r="AE55" s="478">
        <f t="shared" si="29"/>
        <v>0.57660000000000011</v>
      </c>
      <c r="AF55" s="478">
        <f t="shared" si="29"/>
        <v>0.51894000000000007</v>
      </c>
      <c r="AG55" s="478">
        <f t="shared" si="29"/>
        <v>0.46127999999999997</v>
      </c>
      <c r="AH55" s="478">
        <f t="shared" si="29"/>
        <v>0.40361999999999998</v>
      </c>
      <c r="AI55" s="478">
        <f t="shared" si="29"/>
        <v>0.34595999999999999</v>
      </c>
      <c r="AJ55" s="478">
        <f t="shared" ref="AJ55:AO57" si="30">INDEX(AJ$127:AJ$150,MATCH($B$55,$B$127:$B$150,0)+MATCH($C55,$C$127:$C$130,0)-1,1)</f>
        <v>0.28830000000000006</v>
      </c>
      <c r="AK55" s="478">
        <f t="shared" si="30"/>
        <v>0.23063999999999998</v>
      </c>
      <c r="AL55" s="478">
        <f t="shared" si="30"/>
        <v>0.17298000000000005</v>
      </c>
      <c r="AM55" s="478">
        <f t="shared" si="30"/>
        <v>0.11532000000000009</v>
      </c>
      <c r="AN55" s="478">
        <f t="shared" si="30"/>
        <v>5.7659999999999947E-2</v>
      </c>
      <c r="AO55" s="478">
        <f t="shared" si="30"/>
        <v>0</v>
      </c>
    </row>
    <row r="56" spans="1:42">
      <c r="C56" t="s">
        <v>549</v>
      </c>
      <c r="D56" t="s">
        <v>452</v>
      </c>
      <c r="F56" s="478">
        <f t="shared" si="27"/>
        <v>7.0000000000000007E-2</v>
      </c>
      <c r="G56" s="478">
        <f t="shared" si="27"/>
        <v>7.0000000000000007E-2</v>
      </c>
      <c r="H56" s="478">
        <f t="shared" si="27"/>
        <v>7.0000000000000007E-2</v>
      </c>
      <c r="I56" s="478">
        <f t="shared" si="27"/>
        <v>7.0000000000000007E-2</v>
      </c>
      <c r="J56" s="478">
        <f t="shared" si="27"/>
        <v>7.0000000000000007E-2</v>
      </c>
      <c r="K56" s="478">
        <f t="shared" si="27"/>
        <v>7.0000000000000007E-2</v>
      </c>
      <c r="L56" s="478">
        <f t="shared" si="27"/>
        <v>7.0000000000000007E-2</v>
      </c>
      <c r="M56" s="478">
        <f t="shared" si="27"/>
        <v>7.0000000000000007E-2</v>
      </c>
      <c r="N56" s="478">
        <f t="shared" si="27"/>
        <v>7.0000000000000007E-2</v>
      </c>
      <c r="O56" s="478">
        <f t="shared" si="27"/>
        <v>7.0000000000000007E-2</v>
      </c>
      <c r="P56" s="478">
        <f t="shared" si="28"/>
        <v>7.0000000000000007E-2</v>
      </c>
      <c r="Q56" s="478">
        <f t="shared" si="28"/>
        <v>7.0000000000000007E-2</v>
      </c>
      <c r="R56" s="478">
        <f t="shared" si="28"/>
        <v>7.0000000000000007E-2</v>
      </c>
      <c r="S56" s="478">
        <f t="shared" si="28"/>
        <v>7.0000000000000007E-2</v>
      </c>
      <c r="T56" s="478">
        <f t="shared" si="28"/>
        <v>7.0000000000000007E-2</v>
      </c>
      <c r="U56" s="478">
        <f t="shared" si="28"/>
        <v>7.0000000000000007E-2</v>
      </c>
      <c r="V56" s="478">
        <f t="shared" si="28"/>
        <v>7.0000000000000007E-2</v>
      </c>
      <c r="W56" s="478">
        <f t="shared" si="28"/>
        <v>7.0000000000000007E-2</v>
      </c>
      <c r="X56" s="478">
        <f t="shared" si="28"/>
        <v>7.0000000000000007E-2</v>
      </c>
      <c r="Y56" s="478">
        <f t="shared" si="28"/>
        <v>7.0000000000000007E-2</v>
      </c>
      <c r="Z56" s="478">
        <f t="shared" si="29"/>
        <v>7.0000000000000007E-2</v>
      </c>
      <c r="AA56" s="478">
        <f t="shared" si="29"/>
        <v>0.13200000000000001</v>
      </c>
      <c r="AB56" s="478">
        <f t="shared" si="29"/>
        <v>0.19400000000000001</v>
      </c>
      <c r="AC56" s="478">
        <f t="shared" si="29"/>
        <v>0.25600000000000001</v>
      </c>
      <c r="AD56" s="478">
        <f t="shared" si="29"/>
        <v>0.31799999999999995</v>
      </c>
      <c r="AE56" s="478">
        <f t="shared" si="29"/>
        <v>0.37999999999999995</v>
      </c>
      <c r="AF56" s="478">
        <f t="shared" si="29"/>
        <v>0.442</v>
      </c>
      <c r="AG56" s="478">
        <f t="shared" si="29"/>
        <v>0.504</v>
      </c>
      <c r="AH56" s="478">
        <f t="shared" si="29"/>
        <v>0.56599999999999995</v>
      </c>
      <c r="AI56" s="478">
        <f t="shared" si="29"/>
        <v>0.62799999999999989</v>
      </c>
      <c r="AJ56" s="478">
        <f t="shared" si="30"/>
        <v>0.69</v>
      </c>
      <c r="AK56" s="478">
        <f t="shared" si="30"/>
        <v>0.752</v>
      </c>
      <c r="AL56" s="478">
        <f t="shared" si="30"/>
        <v>0.81400000000000006</v>
      </c>
      <c r="AM56" s="478">
        <f t="shared" si="30"/>
        <v>0.87599999999999989</v>
      </c>
      <c r="AN56" s="478">
        <f t="shared" si="30"/>
        <v>0.93799999999999994</v>
      </c>
      <c r="AO56" s="478">
        <f t="shared" si="30"/>
        <v>1</v>
      </c>
    </row>
    <row r="57" spans="1:42">
      <c r="C57" t="s">
        <v>550</v>
      </c>
      <c r="D57" t="s">
        <v>452</v>
      </c>
      <c r="F57" s="478">
        <f t="shared" si="27"/>
        <v>0</v>
      </c>
      <c r="G57" s="478">
        <f t="shared" si="27"/>
        <v>0</v>
      </c>
      <c r="H57" s="478">
        <f t="shared" si="27"/>
        <v>0</v>
      </c>
      <c r="I57" s="478">
        <f t="shared" si="27"/>
        <v>0</v>
      </c>
      <c r="J57" s="478">
        <f t="shared" si="27"/>
        <v>0</v>
      </c>
      <c r="K57" s="478">
        <f t="shared" si="27"/>
        <v>0</v>
      </c>
      <c r="L57" s="478">
        <f t="shared" si="27"/>
        <v>0</v>
      </c>
      <c r="M57" s="478">
        <f t="shared" si="27"/>
        <v>0</v>
      </c>
      <c r="N57" s="478">
        <f t="shared" si="27"/>
        <v>0</v>
      </c>
      <c r="O57" s="478">
        <f t="shared" si="27"/>
        <v>0</v>
      </c>
      <c r="P57" s="478">
        <f t="shared" si="28"/>
        <v>0</v>
      </c>
      <c r="Q57" s="478">
        <f t="shared" si="28"/>
        <v>0</v>
      </c>
      <c r="R57" s="478">
        <f t="shared" si="28"/>
        <v>5.5335000000000011E-3</v>
      </c>
      <c r="S57" s="478">
        <f t="shared" si="28"/>
        <v>1.1067000000000002E-2</v>
      </c>
      <c r="T57" s="478">
        <f t="shared" si="28"/>
        <v>1.6600500000000001E-2</v>
      </c>
      <c r="U57" s="478">
        <f t="shared" si="28"/>
        <v>2.2134000000000004E-2</v>
      </c>
      <c r="V57" s="478">
        <f t="shared" si="28"/>
        <v>3.2875500000000009E-2</v>
      </c>
      <c r="W57" s="478">
        <f t="shared" si="28"/>
        <v>4.361700000000001E-2</v>
      </c>
      <c r="X57" s="478">
        <f t="shared" si="28"/>
        <v>5.4358500000000018E-2</v>
      </c>
      <c r="Y57" s="478">
        <f t="shared" si="28"/>
        <v>6.5100000000000005E-2</v>
      </c>
      <c r="Z57" s="478">
        <f t="shared" si="29"/>
        <v>6.5100000000000005E-2</v>
      </c>
      <c r="AA57" s="478">
        <f t="shared" si="29"/>
        <v>6.0760000000000008E-2</v>
      </c>
      <c r="AB57" s="478">
        <f t="shared" si="29"/>
        <v>5.6420000000000012E-2</v>
      </c>
      <c r="AC57" s="478">
        <f t="shared" si="29"/>
        <v>5.2080000000000001E-2</v>
      </c>
      <c r="AD57" s="478">
        <f t="shared" si="29"/>
        <v>4.7740000000000005E-2</v>
      </c>
      <c r="AE57" s="478">
        <f t="shared" si="29"/>
        <v>4.3400000000000015E-2</v>
      </c>
      <c r="AF57" s="478">
        <f t="shared" si="29"/>
        <v>3.9060000000000004E-2</v>
      </c>
      <c r="AG57" s="478">
        <f t="shared" si="29"/>
        <v>3.4720000000000001E-2</v>
      </c>
      <c r="AH57" s="478">
        <f t="shared" si="29"/>
        <v>3.0380000000000004E-2</v>
      </c>
      <c r="AI57" s="478">
        <f t="shared" si="29"/>
        <v>2.6040000000000001E-2</v>
      </c>
      <c r="AJ57" s="478">
        <f t="shared" si="30"/>
        <v>2.1700000000000007E-2</v>
      </c>
      <c r="AK57" s="478">
        <f t="shared" si="30"/>
        <v>1.736E-2</v>
      </c>
      <c r="AL57" s="478">
        <f t="shared" si="30"/>
        <v>1.3020000000000006E-2</v>
      </c>
      <c r="AM57" s="478">
        <f t="shared" si="30"/>
        <v>8.6800000000000089E-3</v>
      </c>
      <c r="AN57" s="478">
        <f t="shared" si="30"/>
        <v>4.3399999999999966E-3</v>
      </c>
      <c r="AO57" s="478">
        <f t="shared" si="30"/>
        <v>0</v>
      </c>
    </row>
    <row r="58" spans="1:42">
      <c r="C58" t="s">
        <v>551</v>
      </c>
      <c r="F58" s="608">
        <v>0</v>
      </c>
      <c r="G58" s="608">
        <v>0</v>
      </c>
      <c r="H58" s="608">
        <v>0</v>
      </c>
      <c r="I58" s="608">
        <v>0</v>
      </c>
      <c r="J58" s="608">
        <v>0</v>
      </c>
      <c r="K58" s="608">
        <v>0</v>
      </c>
      <c r="L58" s="608">
        <v>0</v>
      </c>
      <c r="M58" s="608">
        <v>0</v>
      </c>
      <c r="N58" s="608">
        <v>0</v>
      </c>
      <c r="O58" s="608">
        <v>0</v>
      </c>
      <c r="P58" s="608">
        <v>0</v>
      </c>
      <c r="Q58" s="608">
        <v>0</v>
      </c>
      <c r="R58" s="608">
        <v>0</v>
      </c>
      <c r="S58" s="608">
        <v>0</v>
      </c>
      <c r="T58" s="608">
        <v>0</v>
      </c>
      <c r="U58" s="608">
        <v>0</v>
      </c>
      <c r="V58" s="608">
        <v>0</v>
      </c>
      <c r="W58" s="608">
        <v>0</v>
      </c>
      <c r="X58" s="608">
        <v>0</v>
      </c>
      <c r="Y58" s="608">
        <v>0</v>
      </c>
      <c r="Z58" s="608">
        <v>0</v>
      </c>
      <c r="AA58" s="608">
        <v>0</v>
      </c>
      <c r="AB58" s="608">
        <v>0</v>
      </c>
      <c r="AC58" s="608">
        <v>0</v>
      </c>
      <c r="AD58" s="608">
        <v>0</v>
      </c>
      <c r="AE58" s="608">
        <v>0</v>
      </c>
      <c r="AF58" s="608">
        <v>0</v>
      </c>
      <c r="AG58" s="608">
        <v>0</v>
      </c>
      <c r="AH58" s="608">
        <v>0</v>
      </c>
      <c r="AI58" s="608">
        <v>0</v>
      </c>
      <c r="AJ58" s="608">
        <v>0</v>
      </c>
      <c r="AK58" s="608">
        <v>0</v>
      </c>
      <c r="AL58" s="608">
        <v>0</v>
      </c>
      <c r="AM58" s="608">
        <v>0</v>
      </c>
      <c r="AN58" s="608">
        <v>0</v>
      </c>
      <c r="AO58" s="608">
        <v>0</v>
      </c>
    </row>
    <row r="60" spans="1:42" s="307" customFormat="1">
      <c r="B60" s="307" t="s">
        <v>158</v>
      </c>
    </row>
    <row r="61" spans="1:42">
      <c r="B61" s="204" t="str">
        <f>Dashboard!$D$6</f>
        <v>High Electrification</v>
      </c>
      <c r="C61" t="s">
        <v>548</v>
      </c>
      <c r="D61" t="s">
        <v>452</v>
      </c>
      <c r="F61" s="478">
        <f t="shared" ref="F61:O63" si="31">INDEX(F$154:F$177,MATCH($B$61,$B$154:$B$177,0)+MATCH($C61,$C$154:$C$157,0)-1,1)</f>
        <v>0.84</v>
      </c>
      <c r="G61" s="478">
        <f t="shared" si="31"/>
        <v>0.84</v>
      </c>
      <c r="H61" s="478">
        <f t="shared" si="31"/>
        <v>0.84</v>
      </c>
      <c r="I61" s="478">
        <f t="shared" si="31"/>
        <v>0.84</v>
      </c>
      <c r="J61" s="478">
        <f t="shared" si="31"/>
        <v>0.84</v>
      </c>
      <c r="K61" s="478">
        <f t="shared" si="31"/>
        <v>0.84</v>
      </c>
      <c r="L61" s="478">
        <f t="shared" si="31"/>
        <v>0.84</v>
      </c>
      <c r="M61" s="478">
        <f t="shared" si="31"/>
        <v>0.84</v>
      </c>
      <c r="N61" s="478">
        <f t="shared" si="31"/>
        <v>0.84</v>
      </c>
      <c r="O61" s="478">
        <f t="shared" si="31"/>
        <v>0.84</v>
      </c>
      <c r="P61" s="478">
        <f t="shared" ref="P61:Y63" si="32">INDEX(P$154:P$177,MATCH($B$61,$B$154:$B$177,0)+MATCH($C61,$C$154:$C$157,0)-1,1)</f>
        <v>0.84</v>
      </c>
      <c r="Q61" s="478">
        <f t="shared" si="32"/>
        <v>0.84</v>
      </c>
      <c r="R61" s="478">
        <f t="shared" si="32"/>
        <v>0.83500199999999991</v>
      </c>
      <c r="S61" s="478">
        <f t="shared" si="32"/>
        <v>0.83000399999999996</v>
      </c>
      <c r="T61" s="478">
        <f t="shared" si="32"/>
        <v>0.82500599999999991</v>
      </c>
      <c r="U61" s="478">
        <f t="shared" si="32"/>
        <v>0.82000799999999996</v>
      </c>
      <c r="V61" s="478">
        <f t="shared" si="32"/>
        <v>0.81030599999999997</v>
      </c>
      <c r="W61" s="478">
        <f t="shared" si="32"/>
        <v>0.80060399999999987</v>
      </c>
      <c r="X61" s="478">
        <f t="shared" si="32"/>
        <v>0.79090199999999999</v>
      </c>
      <c r="Y61" s="478">
        <f t="shared" si="32"/>
        <v>0.78119999999999989</v>
      </c>
      <c r="Z61" s="478">
        <f t="shared" ref="Z61:AI63" si="33">INDEX(Z$154:Z$177,MATCH($B$61,$B$154:$B$177,0)+MATCH($C61,$C$154:$C$157,0)-1,1)</f>
        <v>0.78119999999999989</v>
      </c>
      <c r="AA61" s="478">
        <f t="shared" si="33"/>
        <v>0.72911999999999988</v>
      </c>
      <c r="AB61" s="478">
        <f t="shared" si="33"/>
        <v>0.67703999999999998</v>
      </c>
      <c r="AC61" s="478">
        <f t="shared" si="33"/>
        <v>0.62495999999999985</v>
      </c>
      <c r="AD61" s="478">
        <f t="shared" si="33"/>
        <v>0.57287999999999994</v>
      </c>
      <c r="AE61" s="478">
        <f t="shared" si="33"/>
        <v>0.52079999999999993</v>
      </c>
      <c r="AF61" s="478">
        <f t="shared" si="33"/>
        <v>0.46871999999999997</v>
      </c>
      <c r="AG61" s="478">
        <f t="shared" si="33"/>
        <v>0.41663999999999995</v>
      </c>
      <c r="AH61" s="478">
        <f t="shared" si="33"/>
        <v>0.36455999999999994</v>
      </c>
      <c r="AI61" s="478">
        <f t="shared" si="33"/>
        <v>0.31247999999999992</v>
      </c>
      <c r="AJ61" s="478">
        <f t="shared" ref="AJ61:AO63" si="34">INDEX(AJ$154:AJ$177,MATCH($B$61,$B$154:$B$177,0)+MATCH($C61,$C$154:$C$157,0)-1,1)</f>
        <v>0.26039999999999991</v>
      </c>
      <c r="AK61" s="478">
        <f t="shared" si="34"/>
        <v>0.20831999999999998</v>
      </c>
      <c r="AL61" s="478">
        <f t="shared" si="34"/>
        <v>0.15623999999999993</v>
      </c>
      <c r="AM61" s="478">
        <f t="shared" si="34"/>
        <v>0.10415999999999999</v>
      </c>
      <c r="AN61" s="478">
        <f t="shared" si="34"/>
        <v>5.2079999999999939E-2</v>
      </c>
      <c r="AO61" s="478">
        <f t="shared" si="34"/>
        <v>0</v>
      </c>
    </row>
    <row r="62" spans="1:42">
      <c r="C62" t="s">
        <v>549</v>
      </c>
      <c r="D62" t="s">
        <v>452</v>
      </c>
      <c r="F62" s="478">
        <f t="shared" si="31"/>
        <v>0.16</v>
      </c>
      <c r="G62" s="478">
        <f t="shared" si="31"/>
        <v>0.16</v>
      </c>
      <c r="H62" s="478">
        <f t="shared" si="31"/>
        <v>0.16</v>
      </c>
      <c r="I62" s="478">
        <f t="shared" si="31"/>
        <v>0.16</v>
      </c>
      <c r="J62" s="478">
        <f t="shared" si="31"/>
        <v>0.16</v>
      </c>
      <c r="K62" s="478">
        <f t="shared" si="31"/>
        <v>0.16</v>
      </c>
      <c r="L62" s="478">
        <f t="shared" si="31"/>
        <v>0.16</v>
      </c>
      <c r="M62" s="478">
        <f t="shared" si="31"/>
        <v>0.16</v>
      </c>
      <c r="N62" s="478">
        <f t="shared" si="31"/>
        <v>0.16</v>
      </c>
      <c r="O62" s="478">
        <f t="shared" si="31"/>
        <v>0.16</v>
      </c>
      <c r="P62" s="478">
        <f t="shared" si="32"/>
        <v>0.16</v>
      </c>
      <c r="Q62" s="478">
        <f t="shared" si="32"/>
        <v>0.16</v>
      </c>
      <c r="R62" s="478">
        <f t="shared" si="32"/>
        <v>0.16</v>
      </c>
      <c r="S62" s="478">
        <f t="shared" si="32"/>
        <v>0.16</v>
      </c>
      <c r="T62" s="478">
        <f t="shared" si="32"/>
        <v>0.16</v>
      </c>
      <c r="U62" s="478">
        <f t="shared" si="32"/>
        <v>0.16</v>
      </c>
      <c r="V62" s="478">
        <f t="shared" si="32"/>
        <v>0.16</v>
      </c>
      <c r="W62" s="478">
        <f t="shared" si="32"/>
        <v>0.16</v>
      </c>
      <c r="X62" s="478">
        <f t="shared" si="32"/>
        <v>0.16</v>
      </c>
      <c r="Y62" s="478">
        <f t="shared" si="32"/>
        <v>0.16</v>
      </c>
      <c r="Z62" s="478">
        <f t="shared" si="33"/>
        <v>0.16</v>
      </c>
      <c r="AA62" s="478">
        <f t="shared" si="33"/>
        <v>0.216</v>
      </c>
      <c r="AB62" s="478">
        <f t="shared" si="33"/>
        <v>0.27200000000000002</v>
      </c>
      <c r="AC62" s="478">
        <f t="shared" si="33"/>
        <v>0.32800000000000001</v>
      </c>
      <c r="AD62" s="478">
        <f t="shared" si="33"/>
        <v>0.38400000000000001</v>
      </c>
      <c r="AE62" s="478">
        <f t="shared" si="33"/>
        <v>0.44000000000000006</v>
      </c>
      <c r="AF62" s="478">
        <f t="shared" si="33"/>
        <v>0.496</v>
      </c>
      <c r="AG62" s="478">
        <f t="shared" si="33"/>
        <v>0.55200000000000005</v>
      </c>
      <c r="AH62" s="478">
        <f t="shared" si="33"/>
        <v>0.60799999999999998</v>
      </c>
      <c r="AI62" s="478">
        <f t="shared" si="33"/>
        <v>0.66400000000000003</v>
      </c>
      <c r="AJ62" s="478">
        <f t="shared" si="34"/>
        <v>0.72000000000000008</v>
      </c>
      <c r="AK62" s="478">
        <f t="shared" si="34"/>
        <v>0.77600000000000002</v>
      </c>
      <c r="AL62" s="478">
        <f t="shared" si="34"/>
        <v>0.83200000000000007</v>
      </c>
      <c r="AM62" s="478">
        <f t="shared" si="34"/>
        <v>0.88800000000000001</v>
      </c>
      <c r="AN62" s="478">
        <f t="shared" si="34"/>
        <v>0.94400000000000006</v>
      </c>
      <c r="AO62" s="478">
        <f t="shared" si="34"/>
        <v>1</v>
      </c>
    </row>
    <row r="63" spans="1:42">
      <c r="C63" t="s">
        <v>550</v>
      </c>
      <c r="D63" t="s">
        <v>452</v>
      </c>
      <c r="F63" s="478">
        <f t="shared" si="31"/>
        <v>0</v>
      </c>
      <c r="G63" s="478">
        <f t="shared" si="31"/>
        <v>0</v>
      </c>
      <c r="H63" s="478">
        <f t="shared" si="31"/>
        <v>0</v>
      </c>
      <c r="I63" s="478">
        <f t="shared" si="31"/>
        <v>0</v>
      </c>
      <c r="J63" s="478">
        <f t="shared" si="31"/>
        <v>0</v>
      </c>
      <c r="K63" s="478">
        <f t="shared" si="31"/>
        <v>0</v>
      </c>
      <c r="L63" s="478">
        <f t="shared" si="31"/>
        <v>0</v>
      </c>
      <c r="M63" s="478">
        <f t="shared" si="31"/>
        <v>0</v>
      </c>
      <c r="N63" s="478">
        <f t="shared" si="31"/>
        <v>0</v>
      </c>
      <c r="O63" s="478">
        <f t="shared" si="31"/>
        <v>0</v>
      </c>
      <c r="P63" s="478">
        <f t="shared" si="32"/>
        <v>0</v>
      </c>
      <c r="Q63" s="478">
        <f t="shared" si="32"/>
        <v>0</v>
      </c>
      <c r="R63" s="478">
        <f t="shared" si="32"/>
        <v>4.9980000000000007E-3</v>
      </c>
      <c r="S63" s="478">
        <f t="shared" si="32"/>
        <v>9.9960000000000014E-3</v>
      </c>
      <c r="T63" s="478">
        <f t="shared" si="32"/>
        <v>1.4994E-2</v>
      </c>
      <c r="U63" s="478">
        <f t="shared" si="32"/>
        <v>1.9992000000000003E-2</v>
      </c>
      <c r="V63" s="478">
        <f t="shared" si="32"/>
        <v>2.9694000000000005E-2</v>
      </c>
      <c r="W63" s="478">
        <f t="shared" si="32"/>
        <v>3.9396000000000007E-2</v>
      </c>
      <c r="X63" s="478">
        <f t="shared" si="32"/>
        <v>4.909800000000001E-2</v>
      </c>
      <c r="Y63" s="478">
        <f t="shared" si="32"/>
        <v>5.8800000000000005E-2</v>
      </c>
      <c r="Z63" s="478">
        <f t="shared" si="33"/>
        <v>5.8800000000000005E-2</v>
      </c>
      <c r="AA63" s="478">
        <f t="shared" si="33"/>
        <v>5.4879999999999998E-2</v>
      </c>
      <c r="AB63" s="478">
        <f t="shared" si="33"/>
        <v>5.0960000000000005E-2</v>
      </c>
      <c r="AC63" s="478">
        <f t="shared" si="33"/>
        <v>4.7039999999999998E-2</v>
      </c>
      <c r="AD63" s="478">
        <f t="shared" si="33"/>
        <v>4.3120000000000006E-2</v>
      </c>
      <c r="AE63" s="478">
        <f t="shared" si="33"/>
        <v>3.9199999999999999E-2</v>
      </c>
      <c r="AF63" s="478">
        <f t="shared" si="33"/>
        <v>3.5280000000000006E-2</v>
      </c>
      <c r="AG63" s="478">
        <f t="shared" si="33"/>
        <v>3.1359999999999999E-2</v>
      </c>
      <c r="AH63" s="478">
        <f t="shared" si="33"/>
        <v>2.7439999999999999E-2</v>
      </c>
      <c r="AI63" s="478">
        <f t="shared" si="33"/>
        <v>2.3519999999999999E-2</v>
      </c>
      <c r="AJ63" s="478">
        <f t="shared" si="34"/>
        <v>1.9599999999999996E-2</v>
      </c>
      <c r="AK63" s="478">
        <f t="shared" si="34"/>
        <v>1.5679999999999999E-2</v>
      </c>
      <c r="AL63" s="478">
        <f t="shared" si="34"/>
        <v>1.1759999999999996E-2</v>
      </c>
      <c r="AM63" s="478">
        <f t="shared" si="34"/>
        <v>7.8399999999999997E-3</v>
      </c>
      <c r="AN63" s="478">
        <f t="shared" si="34"/>
        <v>3.9199999999999964E-3</v>
      </c>
      <c r="AO63" s="478">
        <f t="shared" si="34"/>
        <v>0</v>
      </c>
    </row>
    <row r="64" spans="1:42">
      <c r="C64" t="s">
        <v>551</v>
      </c>
      <c r="F64" s="608">
        <v>0</v>
      </c>
      <c r="G64" s="608">
        <v>0</v>
      </c>
      <c r="H64" s="608">
        <v>0</v>
      </c>
      <c r="I64" s="608">
        <v>0</v>
      </c>
      <c r="J64" s="608">
        <v>0</v>
      </c>
      <c r="K64" s="608">
        <v>0</v>
      </c>
      <c r="L64" s="608">
        <v>0</v>
      </c>
      <c r="M64" s="608">
        <v>0</v>
      </c>
      <c r="N64" s="608">
        <v>0</v>
      </c>
      <c r="O64" s="608">
        <v>0</v>
      </c>
      <c r="P64" s="608">
        <v>0</v>
      </c>
      <c r="Q64" s="608">
        <v>0</v>
      </c>
      <c r="R64" s="608">
        <v>0</v>
      </c>
      <c r="S64" s="608">
        <v>0</v>
      </c>
      <c r="T64" s="608">
        <v>0</v>
      </c>
      <c r="U64" s="608">
        <v>0</v>
      </c>
      <c r="V64" s="608">
        <v>0</v>
      </c>
      <c r="W64" s="608">
        <v>0</v>
      </c>
      <c r="X64" s="608">
        <v>0</v>
      </c>
      <c r="Y64" s="608">
        <v>0</v>
      </c>
      <c r="Z64" s="608">
        <v>0</v>
      </c>
      <c r="AA64" s="608">
        <v>0</v>
      </c>
      <c r="AB64" s="608">
        <v>0</v>
      </c>
      <c r="AC64" s="608">
        <v>0</v>
      </c>
      <c r="AD64" s="608">
        <v>0</v>
      </c>
      <c r="AE64" s="608">
        <v>0</v>
      </c>
      <c r="AF64" s="608">
        <v>0</v>
      </c>
      <c r="AG64" s="608">
        <v>0</v>
      </c>
      <c r="AH64" s="608">
        <v>0</v>
      </c>
      <c r="AI64" s="608">
        <v>0</v>
      </c>
      <c r="AJ64" s="608">
        <v>0</v>
      </c>
      <c r="AK64" s="608">
        <v>0</v>
      </c>
      <c r="AL64" s="608">
        <v>0</v>
      </c>
      <c r="AM64" s="608">
        <v>0</v>
      </c>
      <c r="AN64" s="608">
        <v>0</v>
      </c>
      <c r="AO64" s="608">
        <v>0</v>
      </c>
    </row>
    <row r="66" spans="1:41" s="462" customFormat="1">
      <c r="A66" s="462" t="s">
        <v>552</v>
      </c>
    </row>
    <row r="67" spans="1:41">
      <c r="B67" s="204" t="str">
        <f>Dashboard!$D$6</f>
        <v>High Electrification</v>
      </c>
      <c r="F67" s="35">
        <v>2015</v>
      </c>
      <c r="G67" s="35">
        <v>2016</v>
      </c>
      <c r="H67" s="35">
        <v>2017</v>
      </c>
      <c r="I67" s="35">
        <v>2018</v>
      </c>
      <c r="J67" s="35">
        <v>2019</v>
      </c>
      <c r="K67" s="35">
        <v>2020</v>
      </c>
      <c r="L67" s="35">
        <v>2021</v>
      </c>
      <c r="M67" s="35">
        <v>2022</v>
      </c>
      <c r="N67" s="35">
        <v>2023</v>
      </c>
      <c r="O67" s="35">
        <v>2024</v>
      </c>
      <c r="P67" s="35">
        <v>2025</v>
      </c>
      <c r="Q67" s="35">
        <v>2026</v>
      </c>
      <c r="R67" s="35">
        <v>2027</v>
      </c>
      <c r="S67" s="35">
        <v>2028</v>
      </c>
      <c r="T67" s="35">
        <v>2029</v>
      </c>
      <c r="U67" s="35">
        <v>2030</v>
      </c>
      <c r="V67" s="35">
        <v>2031</v>
      </c>
      <c r="W67" s="35">
        <v>2032</v>
      </c>
      <c r="X67" s="35">
        <v>2033</v>
      </c>
      <c r="Y67" s="35">
        <v>2034</v>
      </c>
      <c r="Z67" s="35">
        <v>2035</v>
      </c>
      <c r="AA67" s="35">
        <v>2036</v>
      </c>
      <c r="AB67" s="35">
        <v>2037</v>
      </c>
      <c r="AC67" s="35">
        <v>2038</v>
      </c>
      <c r="AD67" s="35">
        <v>2039</v>
      </c>
      <c r="AE67" s="35">
        <v>2040</v>
      </c>
      <c r="AF67" s="35">
        <v>2041</v>
      </c>
      <c r="AG67" s="35">
        <v>2042</v>
      </c>
      <c r="AH67" s="35">
        <v>2043</v>
      </c>
      <c r="AI67" s="35">
        <v>2044</v>
      </c>
      <c r="AJ67" s="35">
        <v>2045</v>
      </c>
      <c r="AK67" s="35">
        <v>2046</v>
      </c>
      <c r="AL67" s="35">
        <v>2047</v>
      </c>
      <c r="AM67" s="35">
        <v>2048</v>
      </c>
      <c r="AN67" s="35">
        <v>2049</v>
      </c>
      <c r="AO67" s="35">
        <v>2050</v>
      </c>
    </row>
    <row r="68" spans="1:41">
      <c r="C68" t="s">
        <v>233</v>
      </c>
      <c r="D68" t="s">
        <v>452</v>
      </c>
      <c r="E68" t="str">
        <f>C68&amp;$B$67</f>
        <v>CarsHigh Electrification</v>
      </c>
      <c r="F68" s="478">
        <f t="shared" ref="F68:O75" si="35">INDEX(F$316:F$363,MATCH($B$67,$B$315:$B$363,0)+MATCH($C68,$C$316:$C$323,0),1)</f>
        <v>0</v>
      </c>
      <c r="G68" s="478">
        <f t="shared" si="35"/>
        <v>0</v>
      </c>
      <c r="H68" s="478">
        <f t="shared" si="35"/>
        <v>0</v>
      </c>
      <c r="I68" s="478">
        <f t="shared" si="35"/>
        <v>0</v>
      </c>
      <c r="J68" s="478">
        <f t="shared" si="35"/>
        <v>0</v>
      </c>
      <c r="K68" s="478">
        <f t="shared" si="35"/>
        <v>0</v>
      </c>
      <c r="L68" s="478">
        <f t="shared" si="35"/>
        <v>0</v>
      </c>
      <c r="M68" s="478">
        <f t="shared" si="35"/>
        <v>0</v>
      </c>
      <c r="N68" s="478">
        <f t="shared" si="35"/>
        <v>0</v>
      </c>
      <c r="O68" s="478">
        <f t="shared" si="35"/>
        <v>0</v>
      </c>
      <c r="P68" s="478">
        <f t="shared" ref="P68:Y75" si="36">INDEX(P$316:P$363,MATCH($B$67,$B$315:$B$363,0)+MATCH($C68,$C$316:$C$323,0),1)</f>
        <v>0</v>
      </c>
      <c r="Q68" s="478">
        <f t="shared" si="36"/>
        <v>0</v>
      </c>
      <c r="R68" s="478">
        <f t="shared" si="36"/>
        <v>0</v>
      </c>
      <c r="S68" s="478">
        <f t="shared" si="36"/>
        <v>0</v>
      </c>
      <c r="T68" s="478">
        <f t="shared" si="36"/>
        <v>0</v>
      </c>
      <c r="U68" s="478">
        <f t="shared" si="36"/>
        <v>0</v>
      </c>
      <c r="V68" s="478">
        <f t="shared" si="36"/>
        <v>0</v>
      </c>
      <c r="W68" s="478">
        <f t="shared" si="36"/>
        <v>0</v>
      </c>
      <c r="X68" s="478">
        <f t="shared" si="36"/>
        <v>0</v>
      </c>
      <c r="Y68" s="478">
        <f t="shared" si="36"/>
        <v>0</v>
      </c>
      <c r="Z68" s="478">
        <f t="shared" ref="Z68:AI75" si="37">INDEX(Z$316:Z$363,MATCH($B$67,$B$315:$B$363,0)+MATCH($C68,$C$316:$C$323,0),1)</f>
        <v>0</v>
      </c>
      <c r="AA68" s="478">
        <f t="shared" si="37"/>
        <v>0</v>
      </c>
      <c r="AB68" s="478">
        <f t="shared" si="37"/>
        <v>0</v>
      </c>
      <c r="AC68" s="478">
        <f t="shared" si="37"/>
        <v>0</v>
      </c>
      <c r="AD68" s="478">
        <f t="shared" si="37"/>
        <v>0</v>
      </c>
      <c r="AE68" s="478">
        <f t="shared" si="37"/>
        <v>0</v>
      </c>
      <c r="AF68" s="478">
        <f t="shared" si="37"/>
        <v>0</v>
      </c>
      <c r="AG68" s="478">
        <f t="shared" si="37"/>
        <v>0</v>
      </c>
      <c r="AH68" s="478">
        <f t="shared" si="37"/>
        <v>0</v>
      </c>
      <c r="AI68" s="478">
        <f t="shared" si="37"/>
        <v>0</v>
      </c>
      <c r="AJ68" s="478">
        <f t="shared" ref="AJ68:AO75" si="38">INDEX(AJ$316:AJ$363,MATCH($B$67,$B$315:$B$363,0)+MATCH($C68,$C$316:$C$323,0),1)</f>
        <v>0</v>
      </c>
      <c r="AK68" s="478">
        <f t="shared" si="38"/>
        <v>0</v>
      </c>
      <c r="AL68" s="478">
        <f t="shared" si="38"/>
        <v>0</v>
      </c>
      <c r="AM68" s="478">
        <f t="shared" si="38"/>
        <v>0</v>
      </c>
      <c r="AN68" s="478">
        <f t="shared" si="38"/>
        <v>0</v>
      </c>
      <c r="AO68" s="478">
        <f t="shared" si="38"/>
        <v>0</v>
      </c>
    </row>
    <row r="69" spans="1:41">
      <c r="C69" t="s">
        <v>234</v>
      </c>
      <c r="D69" t="s">
        <v>452</v>
      </c>
      <c r="E69" t="str">
        <f t="shared" ref="E69:E75" si="39">C69&amp;$B$67</f>
        <v>LGVsHigh Electrification</v>
      </c>
      <c r="F69" s="478">
        <f t="shared" si="35"/>
        <v>0</v>
      </c>
      <c r="G69" s="478">
        <f t="shared" si="35"/>
        <v>0</v>
      </c>
      <c r="H69" s="478">
        <f t="shared" si="35"/>
        <v>0</v>
      </c>
      <c r="I69" s="478">
        <f t="shared" si="35"/>
        <v>0</v>
      </c>
      <c r="J69" s="478">
        <f t="shared" si="35"/>
        <v>0</v>
      </c>
      <c r="K69" s="478">
        <f t="shared" si="35"/>
        <v>2.5806451612903226E-2</v>
      </c>
      <c r="L69" s="478">
        <f t="shared" si="35"/>
        <v>5.1612903225806452E-2</v>
      </c>
      <c r="M69" s="478">
        <f t="shared" si="35"/>
        <v>7.7419354838709681E-2</v>
      </c>
      <c r="N69" s="478">
        <f t="shared" si="35"/>
        <v>0.1032258064516129</v>
      </c>
      <c r="O69" s="478">
        <f t="shared" si="35"/>
        <v>0.12903225806451613</v>
      </c>
      <c r="P69" s="478">
        <f t="shared" si="36"/>
        <v>0.15483870967741936</v>
      </c>
      <c r="Q69" s="478">
        <f t="shared" si="36"/>
        <v>0.1806451612903226</v>
      </c>
      <c r="R69" s="478">
        <f t="shared" si="36"/>
        <v>0.20645161290322583</v>
      </c>
      <c r="S69" s="478">
        <f t="shared" si="36"/>
        <v>0.23225806451612907</v>
      </c>
      <c r="T69" s="478">
        <f t="shared" si="36"/>
        <v>0.25806451612903231</v>
      </c>
      <c r="U69" s="478">
        <f t="shared" si="36"/>
        <v>0.28387096774193554</v>
      </c>
      <c r="V69" s="478">
        <f t="shared" si="36"/>
        <v>0.30967741935483878</v>
      </c>
      <c r="W69" s="478">
        <f t="shared" si="36"/>
        <v>0.33548387096774201</v>
      </c>
      <c r="X69" s="478">
        <f t="shared" si="36"/>
        <v>0.36129032258064525</v>
      </c>
      <c r="Y69" s="478">
        <f t="shared" si="36"/>
        <v>0.38709677419354849</v>
      </c>
      <c r="Z69" s="478">
        <f t="shared" si="37"/>
        <v>0.41290322580645172</v>
      </c>
      <c r="AA69" s="478">
        <f t="shared" si="37"/>
        <v>0.43870967741935496</v>
      </c>
      <c r="AB69" s="478">
        <f t="shared" si="37"/>
        <v>0.4645161290322582</v>
      </c>
      <c r="AC69" s="478">
        <f t="shared" si="37"/>
        <v>0.49032258064516143</v>
      </c>
      <c r="AD69" s="478">
        <f t="shared" si="37"/>
        <v>0.51612903225806461</v>
      </c>
      <c r="AE69" s="478">
        <f t="shared" si="37"/>
        <v>0.54193548387096779</v>
      </c>
      <c r="AF69" s="478">
        <f t="shared" si="37"/>
        <v>0.56774193548387097</v>
      </c>
      <c r="AG69" s="478">
        <f t="shared" si="37"/>
        <v>0.59354838709677415</v>
      </c>
      <c r="AH69" s="478">
        <f t="shared" si="37"/>
        <v>0.61935483870967734</v>
      </c>
      <c r="AI69" s="478">
        <f t="shared" si="37"/>
        <v>0.64516129032258052</v>
      </c>
      <c r="AJ69" s="478">
        <f t="shared" si="38"/>
        <v>0.6709677419354837</v>
      </c>
      <c r="AK69" s="478">
        <f t="shared" si="38"/>
        <v>0.69677419354838688</v>
      </c>
      <c r="AL69" s="478">
        <f t="shared" si="38"/>
        <v>0.72258064516129006</v>
      </c>
      <c r="AM69" s="478">
        <f t="shared" si="38"/>
        <v>0.74838709677419324</v>
      </c>
      <c r="AN69" s="478">
        <f t="shared" si="38"/>
        <v>0.77419354838709642</v>
      </c>
      <c r="AO69" s="478">
        <f t="shared" si="38"/>
        <v>0.8</v>
      </c>
    </row>
    <row r="70" spans="1:41">
      <c r="C70" t="s">
        <v>235</v>
      </c>
      <c r="D70" t="s">
        <v>452</v>
      </c>
      <c r="E70" t="str">
        <f t="shared" si="39"/>
        <v>HGVsHigh Electrification</v>
      </c>
      <c r="F70" s="478">
        <f t="shared" si="35"/>
        <v>0</v>
      </c>
      <c r="G70" s="478">
        <f t="shared" si="35"/>
        <v>0</v>
      </c>
      <c r="H70" s="478">
        <f t="shared" si="35"/>
        <v>0</v>
      </c>
      <c r="I70" s="478">
        <f t="shared" si="35"/>
        <v>0</v>
      </c>
      <c r="J70" s="478">
        <f t="shared" si="35"/>
        <v>0</v>
      </c>
      <c r="K70" s="478">
        <f t="shared" si="35"/>
        <v>2.5806451612903226E-2</v>
      </c>
      <c r="L70" s="478">
        <f t="shared" si="35"/>
        <v>5.1612903225806452E-2</v>
      </c>
      <c r="M70" s="478">
        <f t="shared" si="35"/>
        <v>7.7419354838709681E-2</v>
      </c>
      <c r="N70" s="478">
        <f t="shared" si="35"/>
        <v>0.1032258064516129</v>
      </c>
      <c r="O70" s="478">
        <f t="shared" si="35"/>
        <v>0.12903225806451613</v>
      </c>
      <c r="P70" s="478">
        <f t="shared" si="36"/>
        <v>0.15483870967741936</v>
      </c>
      <c r="Q70" s="478">
        <f t="shared" si="36"/>
        <v>0.1806451612903226</v>
      </c>
      <c r="R70" s="478">
        <f t="shared" si="36"/>
        <v>0.20645161290322583</v>
      </c>
      <c r="S70" s="478">
        <f t="shared" si="36"/>
        <v>0.23225806451612907</v>
      </c>
      <c r="T70" s="478">
        <f t="shared" si="36"/>
        <v>0.25806451612903231</v>
      </c>
      <c r="U70" s="478">
        <f t="shared" si="36"/>
        <v>0.28387096774193554</v>
      </c>
      <c r="V70" s="478">
        <f t="shared" si="36"/>
        <v>0.30967741935483878</v>
      </c>
      <c r="W70" s="478">
        <f t="shared" si="36"/>
        <v>0.33548387096774201</v>
      </c>
      <c r="X70" s="478">
        <f t="shared" si="36"/>
        <v>0.36129032258064525</v>
      </c>
      <c r="Y70" s="478">
        <f t="shared" si="36"/>
        <v>0.38709677419354849</v>
      </c>
      <c r="Z70" s="478">
        <f t="shared" si="37"/>
        <v>0.41290322580645172</v>
      </c>
      <c r="AA70" s="478">
        <f t="shared" si="37"/>
        <v>0.43870967741935496</v>
      </c>
      <c r="AB70" s="478">
        <f t="shared" si="37"/>
        <v>0.4645161290322582</v>
      </c>
      <c r="AC70" s="478">
        <f t="shared" si="37"/>
        <v>0.49032258064516143</v>
      </c>
      <c r="AD70" s="478">
        <f t="shared" si="37"/>
        <v>0.51612903225806461</v>
      </c>
      <c r="AE70" s="478">
        <f t="shared" si="37"/>
        <v>0.54193548387096779</v>
      </c>
      <c r="AF70" s="478">
        <f t="shared" si="37"/>
        <v>0.56774193548387097</v>
      </c>
      <c r="AG70" s="478">
        <f t="shared" si="37"/>
        <v>0.59354838709677415</v>
      </c>
      <c r="AH70" s="478">
        <f t="shared" si="37"/>
        <v>0.61935483870967734</v>
      </c>
      <c r="AI70" s="478">
        <f t="shared" si="37"/>
        <v>0.64516129032258052</v>
      </c>
      <c r="AJ70" s="478">
        <f t="shared" si="38"/>
        <v>0.6709677419354837</v>
      </c>
      <c r="AK70" s="478">
        <f t="shared" si="38"/>
        <v>0.69677419354838688</v>
      </c>
      <c r="AL70" s="478">
        <f t="shared" si="38"/>
        <v>0.72258064516129006</v>
      </c>
      <c r="AM70" s="478">
        <f t="shared" si="38"/>
        <v>0.74838709677419324</v>
      </c>
      <c r="AN70" s="478">
        <f t="shared" si="38"/>
        <v>0.77419354838709642</v>
      </c>
      <c r="AO70" s="478">
        <f t="shared" si="38"/>
        <v>0.8</v>
      </c>
    </row>
    <row r="71" spans="1:41">
      <c r="C71" t="s">
        <v>553</v>
      </c>
      <c r="D71" t="s">
        <v>452</v>
      </c>
      <c r="E71" t="str">
        <f t="shared" si="39"/>
        <v>Artic HGVHigh Electrification</v>
      </c>
      <c r="F71" s="478">
        <f t="shared" si="35"/>
        <v>0</v>
      </c>
      <c r="G71" s="478">
        <f t="shared" si="35"/>
        <v>0</v>
      </c>
      <c r="H71" s="478">
        <f t="shared" si="35"/>
        <v>0</v>
      </c>
      <c r="I71" s="478">
        <f t="shared" si="35"/>
        <v>0</v>
      </c>
      <c r="J71" s="478">
        <f t="shared" si="35"/>
        <v>0</v>
      </c>
      <c r="K71" s="478">
        <f t="shared" si="35"/>
        <v>2.5806451612903226E-2</v>
      </c>
      <c r="L71" s="478">
        <f t="shared" si="35"/>
        <v>5.1612903225806452E-2</v>
      </c>
      <c r="M71" s="478">
        <f t="shared" si="35"/>
        <v>7.7419354838709681E-2</v>
      </c>
      <c r="N71" s="478">
        <f t="shared" si="35"/>
        <v>0.1032258064516129</v>
      </c>
      <c r="O71" s="478">
        <f t="shared" si="35"/>
        <v>0.12903225806451613</v>
      </c>
      <c r="P71" s="478">
        <f t="shared" si="36"/>
        <v>0.15483870967741936</v>
      </c>
      <c r="Q71" s="478">
        <f t="shared" si="36"/>
        <v>0.1806451612903226</v>
      </c>
      <c r="R71" s="478">
        <f t="shared" si="36"/>
        <v>0.20645161290322583</v>
      </c>
      <c r="S71" s="478">
        <f t="shared" si="36"/>
        <v>0.23225806451612907</v>
      </c>
      <c r="T71" s="478">
        <f t="shared" si="36"/>
        <v>0.25806451612903231</v>
      </c>
      <c r="U71" s="478">
        <f t="shared" si="36"/>
        <v>0.28387096774193554</v>
      </c>
      <c r="V71" s="478">
        <f t="shared" si="36"/>
        <v>0.30967741935483878</v>
      </c>
      <c r="W71" s="478">
        <f t="shared" si="36"/>
        <v>0.33548387096774201</v>
      </c>
      <c r="X71" s="478">
        <f t="shared" si="36"/>
        <v>0.36129032258064525</v>
      </c>
      <c r="Y71" s="478">
        <f t="shared" si="36"/>
        <v>0.38709677419354849</v>
      </c>
      <c r="Z71" s="478">
        <f t="shared" si="37"/>
        <v>0.41290322580645172</v>
      </c>
      <c r="AA71" s="478">
        <f t="shared" si="37"/>
        <v>0.43870967741935496</v>
      </c>
      <c r="AB71" s="478">
        <f t="shared" si="37"/>
        <v>0.4645161290322582</v>
      </c>
      <c r="AC71" s="478">
        <f t="shared" si="37"/>
        <v>0.49032258064516143</v>
      </c>
      <c r="AD71" s="478">
        <f t="shared" si="37"/>
        <v>0.51612903225806461</v>
      </c>
      <c r="AE71" s="478">
        <f t="shared" si="37"/>
        <v>0.54193548387096779</v>
      </c>
      <c r="AF71" s="478">
        <f t="shared" si="37"/>
        <v>0.56774193548387097</v>
      </c>
      <c r="AG71" s="478">
        <f t="shared" si="37"/>
        <v>0.59354838709677415</v>
      </c>
      <c r="AH71" s="478">
        <f t="shared" si="37"/>
        <v>0.61935483870967734</v>
      </c>
      <c r="AI71" s="478">
        <f t="shared" si="37"/>
        <v>0.64516129032258052</v>
      </c>
      <c r="AJ71" s="478">
        <f t="shared" si="38"/>
        <v>0.6709677419354837</v>
      </c>
      <c r="AK71" s="478">
        <f t="shared" si="38"/>
        <v>0.69677419354838688</v>
      </c>
      <c r="AL71" s="478">
        <f t="shared" si="38"/>
        <v>0.72258064516129006</v>
      </c>
      <c r="AM71" s="478">
        <f t="shared" si="38"/>
        <v>0.74838709677419324</v>
      </c>
      <c r="AN71" s="478">
        <f t="shared" si="38"/>
        <v>0.77419354838709642</v>
      </c>
      <c r="AO71" s="478">
        <f t="shared" si="38"/>
        <v>0.8</v>
      </c>
    </row>
    <row r="72" spans="1:41">
      <c r="C72" t="s">
        <v>554</v>
      </c>
      <c r="D72" t="s">
        <v>452</v>
      </c>
      <c r="E72" t="str">
        <f t="shared" si="39"/>
        <v>CoachHigh Electrification</v>
      </c>
      <c r="F72" s="478">
        <f t="shared" si="35"/>
        <v>0</v>
      </c>
      <c r="G72" s="478">
        <f t="shared" si="35"/>
        <v>0</v>
      </c>
      <c r="H72" s="478">
        <f t="shared" si="35"/>
        <v>0</v>
      </c>
      <c r="I72" s="478">
        <f t="shared" si="35"/>
        <v>0</v>
      </c>
      <c r="J72" s="478">
        <f t="shared" si="35"/>
        <v>0</v>
      </c>
      <c r="K72" s="478">
        <f t="shared" si="35"/>
        <v>0</v>
      </c>
      <c r="L72" s="478">
        <f t="shared" si="35"/>
        <v>-2.5000000000000001E-3</v>
      </c>
      <c r="M72" s="478">
        <f t="shared" si="35"/>
        <v>-5.0000000000000001E-3</v>
      </c>
      <c r="N72" s="478">
        <f t="shared" si="35"/>
        <v>-7.5000000000000015E-3</v>
      </c>
      <c r="O72" s="478">
        <f t="shared" si="35"/>
        <v>-0.01</v>
      </c>
      <c r="P72" s="478">
        <f t="shared" si="36"/>
        <v>-1.2500000000000001E-2</v>
      </c>
      <c r="Q72" s="478">
        <f t="shared" si="36"/>
        <v>-1.5000000000000003E-2</v>
      </c>
      <c r="R72" s="478">
        <f t="shared" si="36"/>
        <v>-1.7500000000000002E-2</v>
      </c>
      <c r="S72" s="478">
        <f t="shared" si="36"/>
        <v>-0.02</v>
      </c>
      <c r="T72" s="478">
        <f t="shared" si="36"/>
        <v>-2.2499999999999999E-2</v>
      </c>
      <c r="U72" s="478">
        <f t="shared" si="36"/>
        <v>-2.5000000000000001E-2</v>
      </c>
      <c r="V72" s="478">
        <f t="shared" si="36"/>
        <v>-2.75E-2</v>
      </c>
      <c r="W72" s="478">
        <f t="shared" si="36"/>
        <v>-3.0000000000000002E-2</v>
      </c>
      <c r="X72" s="478">
        <f t="shared" si="36"/>
        <v>-3.2500000000000001E-2</v>
      </c>
      <c r="Y72" s="478">
        <f t="shared" si="36"/>
        <v>-3.5000000000000003E-2</v>
      </c>
      <c r="Z72" s="478">
        <f t="shared" si="37"/>
        <v>-3.7500000000000006E-2</v>
      </c>
      <c r="AA72" s="478">
        <f t="shared" si="37"/>
        <v>-4.0000000000000008E-2</v>
      </c>
      <c r="AB72" s="478">
        <f t="shared" si="37"/>
        <v>-4.2500000000000003E-2</v>
      </c>
      <c r="AC72" s="478">
        <f t="shared" si="37"/>
        <v>-4.4999999999999998E-2</v>
      </c>
      <c r="AD72" s="478">
        <f t="shared" si="37"/>
        <v>-4.7500000000000001E-2</v>
      </c>
      <c r="AE72" s="478">
        <f t="shared" si="37"/>
        <v>-0.05</v>
      </c>
      <c r="AF72" s="478">
        <f t="shared" si="37"/>
        <v>-0.05</v>
      </c>
      <c r="AG72" s="478">
        <f t="shared" si="37"/>
        <v>-0.05</v>
      </c>
      <c r="AH72" s="478">
        <f t="shared" si="37"/>
        <v>-0.05</v>
      </c>
      <c r="AI72" s="478">
        <f t="shared" si="37"/>
        <v>-0.05</v>
      </c>
      <c r="AJ72" s="478">
        <f t="shared" si="38"/>
        <v>-0.05</v>
      </c>
      <c r="AK72" s="478">
        <f t="shared" si="38"/>
        <v>-0.05</v>
      </c>
      <c r="AL72" s="478">
        <f t="shared" si="38"/>
        <v>-0.05</v>
      </c>
      <c r="AM72" s="478">
        <f t="shared" si="38"/>
        <v>-0.05</v>
      </c>
      <c r="AN72" s="478">
        <f t="shared" si="38"/>
        <v>-0.05</v>
      </c>
      <c r="AO72" s="478">
        <f t="shared" si="38"/>
        <v>-0.05</v>
      </c>
    </row>
    <row r="73" spans="1:41">
      <c r="C73" t="s">
        <v>237</v>
      </c>
      <c r="D73" t="s">
        <v>452</v>
      </c>
      <c r="E73" t="str">
        <f t="shared" si="39"/>
        <v>TaxisHigh Electrification</v>
      </c>
      <c r="F73" s="478">
        <f t="shared" si="35"/>
        <v>0</v>
      </c>
      <c r="G73" s="478">
        <f t="shared" si="35"/>
        <v>0</v>
      </c>
      <c r="H73" s="478">
        <f t="shared" si="35"/>
        <v>0</v>
      </c>
      <c r="I73" s="478">
        <f t="shared" si="35"/>
        <v>0</v>
      </c>
      <c r="J73" s="478">
        <f t="shared" si="35"/>
        <v>0</v>
      </c>
      <c r="K73" s="478">
        <f t="shared" si="35"/>
        <v>0</v>
      </c>
      <c r="L73" s="478">
        <f t="shared" si="35"/>
        <v>-2.5000000000000001E-3</v>
      </c>
      <c r="M73" s="478">
        <f t="shared" si="35"/>
        <v>-5.0000000000000001E-3</v>
      </c>
      <c r="N73" s="478">
        <f t="shared" si="35"/>
        <v>-7.5000000000000015E-3</v>
      </c>
      <c r="O73" s="478">
        <f t="shared" si="35"/>
        <v>-0.01</v>
      </c>
      <c r="P73" s="478">
        <f t="shared" si="36"/>
        <v>-1.2500000000000001E-2</v>
      </c>
      <c r="Q73" s="478">
        <f t="shared" si="36"/>
        <v>-1.5000000000000003E-2</v>
      </c>
      <c r="R73" s="478">
        <f t="shared" si="36"/>
        <v>-1.7500000000000002E-2</v>
      </c>
      <c r="S73" s="478">
        <f t="shared" si="36"/>
        <v>-0.02</v>
      </c>
      <c r="T73" s="478">
        <f t="shared" si="36"/>
        <v>-2.2499999999999999E-2</v>
      </c>
      <c r="U73" s="478">
        <f t="shared" si="36"/>
        <v>-2.5000000000000001E-2</v>
      </c>
      <c r="V73" s="478">
        <f t="shared" si="36"/>
        <v>-2.75E-2</v>
      </c>
      <c r="W73" s="478">
        <f t="shared" si="36"/>
        <v>-3.0000000000000002E-2</v>
      </c>
      <c r="X73" s="478">
        <f t="shared" si="36"/>
        <v>-3.2500000000000001E-2</v>
      </c>
      <c r="Y73" s="478">
        <f t="shared" si="36"/>
        <v>-3.5000000000000003E-2</v>
      </c>
      <c r="Z73" s="478">
        <f t="shared" si="37"/>
        <v>-3.7500000000000006E-2</v>
      </c>
      <c r="AA73" s="478">
        <f t="shared" si="37"/>
        <v>-4.0000000000000008E-2</v>
      </c>
      <c r="AB73" s="478">
        <f t="shared" si="37"/>
        <v>-4.2500000000000003E-2</v>
      </c>
      <c r="AC73" s="478">
        <f t="shared" si="37"/>
        <v>-4.4999999999999998E-2</v>
      </c>
      <c r="AD73" s="478">
        <f t="shared" si="37"/>
        <v>-4.7500000000000001E-2</v>
      </c>
      <c r="AE73" s="478">
        <f t="shared" si="37"/>
        <v>-0.05</v>
      </c>
      <c r="AF73" s="478">
        <f t="shared" si="37"/>
        <v>-0.05</v>
      </c>
      <c r="AG73" s="478">
        <f t="shared" si="37"/>
        <v>-0.05</v>
      </c>
      <c r="AH73" s="478">
        <f t="shared" si="37"/>
        <v>-0.05</v>
      </c>
      <c r="AI73" s="478">
        <f t="shared" si="37"/>
        <v>-0.05</v>
      </c>
      <c r="AJ73" s="478">
        <f t="shared" si="38"/>
        <v>-0.05</v>
      </c>
      <c r="AK73" s="478">
        <f t="shared" si="38"/>
        <v>-0.05</v>
      </c>
      <c r="AL73" s="478">
        <f t="shared" si="38"/>
        <v>-0.05</v>
      </c>
      <c r="AM73" s="478">
        <f t="shared" si="38"/>
        <v>-0.05</v>
      </c>
      <c r="AN73" s="478">
        <f t="shared" si="38"/>
        <v>-0.05</v>
      </c>
      <c r="AO73" s="478">
        <f t="shared" si="38"/>
        <v>-0.05</v>
      </c>
    </row>
    <row r="74" spans="1:41">
      <c r="C74" t="s">
        <v>236</v>
      </c>
      <c r="D74" t="s">
        <v>452</v>
      </c>
      <c r="E74" t="str">
        <f t="shared" si="39"/>
        <v>BusesHigh Electrification</v>
      </c>
      <c r="F74" s="478">
        <f t="shared" si="35"/>
        <v>0</v>
      </c>
      <c r="G74" s="478">
        <f t="shared" si="35"/>
        <v>0</v>
      </c>
      <c r="H74" s="478">
        <f t="shared" si="35"/>
        <v>0</v>
      </c>
      <c r="I74" s="478">
        <f t="shared" si="35"/>
        <v>0</v>
      </c>
      <c r="J74" s="478">
        <f t="shared" si="35"/>
        <v>0</v>
      </c>
      <c r="K74" s="478">
        <f t="shared" si="35"/>
        <v>0</v>
      </c>
      <c r="L74" s="478">
        <f t="shared" si="35"/>
        <v>-5.0000000000000001E-3</v>
      </c>
      <c r="M74" s="478">
        <f t="shared" si="35"/>
        <v>-0.01</v>
      </c>
      <c r="N74" s="478">
        <f t="shared" si="35"/>
        <v>-1.5000000000000003E-2</v>
      </c>
      <c r="O74" s="478">
        <f t="shared" si="35"/>
        <v>-0.02</v>
      </c>
      <c r="P74" s="478">
        <f t="shared" si="36"/>
        <v>-2.5000000000000001E-2</v>
      </c>
      <c r="Q74" s="478">
        <f t="shared" si="36"/>
        <v>-3.0000000000000006E-2</v>
      </c>
      <c r="R74" s="478">
        <f t="shared" si="36"/>
        <v>-3.5000000000000003E-2</v>
      </c>
      <c r="S74" s="478">
        <f t="shared" si="36"/>
        <v>-0.04</v>
      </c>
      <c r="T74" s="478">
        <f t="shared" si="36"/>
        <v>-4.4999999999999998E-2</v>
      </c>
      <c r="U74" s="478">
        <f t="shared" si="36"/>
        <v>-0.05</v>
      </c>
      <c r="V74" s="478">
        <f t="shared" si="36"/>
        <v>-5.5E-2</v>
      </c>
      <c r="W74" s="478">
        <f t="shared" si="36"/>
        <v>-6.0000000000000005E-2</v>
      </c>
      <c r="X74" s="478">
        <f t="shared" si="36"/>
        <v>-6.5000000000000002E-2</v>
      </c>
      <c r="Y74" s="478">
        <f t="shared" si="36"/>
        <v>-7.0000000000000007E-2</v>
      </c>
      <c r="Z74" s="478">
        <f t="shared" si="37"/>
        <v>-7.5000000000000011E-2</v>
      </c>
      <c r="AA74" s="478">
        <f t="shared" si="37"/>
        <v>-8.0000000000000016E-2</v>
      </c>
      <c r="AB74" s="478">
        <f t="shared" si="37"/>
        <v>-8.5000000000000006E-2</v>
      </c>
      <c r="AC74" s="478">
        <f t="shared" si="37"/>
        <v>-0.09</v>
      </c>
      <c r="AD74" s="478">
        <f t="shared" si="37"/>
        <v>-9.5000000000000001E-2</v>
      </c>
      <c r="AE74" s="478">
        <f t="shared" si="37"/>
        <v>-0.1</v>
      </c>
      <c r="AF74" s="478">
        <f t="shared" si="37"/>
        <v>-0.1</v>
      </c>
      <c r="AG74" s="478">
        <f t="shared" si="37"/>
        <v>-0.1</v>
      </c>
      <c r="AH74" s="478">
        <f t="shared" si="37"/>
        <v>-0.1</v>
      </c>
      <c r="AI74" s="478">
        <f t="shared" si="37"/>
        <v>-0.1</v>
      </c>
      <c r="AJ74" s="478">
        <f t="shared" si="38"/>
        <v>-0.1</v>
      </c>
      <c r="AK74" s="478">
        <f t="shared" si="38"/>
        <v>-0.1</v>
      </c>
      <c r="AL74" s="478">
        <f t="shared" si="38"/>
        <v>-0.1</v>
      </c>
      <c r="AM74" s="478">
        <f t="shared" si="38"/>
        <v>-0.1</v>
      </c>
      <c r="AN74" s="478">
        <f t="shared" si="38"/>
        <v>-0.1</v>
      </c>
      <c r="AO74" s="478">
        <f t="shared" si="38"/>
        <v>-0.1</v>
      </c>
    </row>
    <row r="75" spans="1:41">
      <c r="C75" t="s">
        <v>555</v>
      </c>
      <c r="D75" t="s">
        <v>452</v>
      </c>
      <c r="E75" t="str">
        <f t="shared" si="39"/>
        <v>Double Decker busesHigh Electrification</v>
      </c>
      <c r="F75" s="478">
        <f t="shared" si="35"/>
        <v>0</v>
      </c>
      <c r="G75" s="478">
        <f t="shared" si="35"/>
        <v>0</v>
      </c>
      <c r="H75" s="478">
        <f t="shared" si="35"/>
        <v>0</v>
      </c>
      <c r="I75" s="478">
        <f t="shared" si="35"/>
        <v>0</v>
      </c>
      <c r="J75" s="478">
        <f t="shared" si="35"/>
        <v>0</v>
      </c>
      <c r="K75" s="478">
        <f t="shared" si="35"/>
        <v>0</v>
      </c>
      <c r="L75" s="478">
        <f t="shared" si="35"/>
        <v>0</v>
      </c>
      <c r="M75" s="478">
        <f t="shared" si="35"/>
        <v>0</v>
      </c>
      <c r="N75" s="478">
        <f t="shared" si="35"/>
        <v>0</v>
      </c>
      <c r="O75" s="478">
        <f t="shared" si="35"/>
        <v>0</v>
      </c>
      <c r="P75" s="478">
        <f t="shared" si="36"/>
        <v>0</v>
      </c>
      <c r="Q75" s="478">
        <f t="shared" si="36"/>
        <v>0</v>
      </c>
      <c r="R75" s="478">
        <f t="shared" si="36"/>
        <v>0</v>
      </c>
      <c r="S75" s="478">
        <f t="shared" si="36"/>
        <v>0</v>
      </c>
      <c r="T75" s="478">
        <f t="shared" si="36"/>
        <v>0</v>
      </c>
      <c r="U75" s="478">
        <f t="shared" si="36"/>
        <v>0</v>
      </c>
      <c r="V75" s="478">
        <f t="shared" si="36"/>
        <v>0</v>
      </c>
      <c r="W75" s="478">
        <f t="shared" si="36"/>
        <v>0</v>
      </c>
      <c r="X75" s="478">
        <f t="shared" si="36"/>
        <v>0</v>
      </c>
      <c r="Y75" s="478">
        <f t="shared" si="36"/>
        <v>0</v>
      </c>
      <c r="Z75" s="478">
        <f t="shared" si="37"/>
        <v>0</v>
      </c>
      <c r="AA75" s="478">
        <f t="shared" si="37"/>
        <v>0</v>
      </c>
      <c r="AB75" s="478">
        <f t="shared" si="37"/>
        <v>0</v>
      </c>
      <c r="AC75" s="478">
        <f t="shared" si="37"/>
        <v>0</v>
      </c>
      <c r="AD75" s="478">
        <f t="shared" si="37"/>
        <v>0</v>
      </c>
      <c r="AE75" s="478">
        <f t="shared" si="37"/>
        <v>0</v>
      </c>
      <c r="AF75" s="478">
        <f t="shared" si="37"/>
        <v>0</v>
      </c>
      <c r="AG75" s="478">
        <f t="shared" si="37"/>
        <v>0</v>
      </c>
      <c r="AH75" s="478">
        <f t="shared" si="37"/>
        <v>0</v>
      </c>
      <c r="AI75" s="478">
        <f t="shared" si="37"/>
        <v>0</v>
      </c>
      <c r="AJ75" s="478">
        <f t="shared" si="38"/>
        <v>0</v>
      </c>
      <c r="AK75" s="478">
        <f t="shared" si="38"/>
        <v>0</v>
      </c>
      <c r="AL75" s="478">
        <f t="shared" si="38"/>
        <v>0</v>
      </c>
      <c r="AM75" s="478">
        <f t="shared" si="38"/>
        <v>0</v>
      </c>
      <c r="AN75" s="478">
        <f t="shared" si="38"/>
        <v>0</v>
      </c>
      <c r="AO75" s="478">
        <f t="shared" si="38"/>
        <v>0</v>
      </c>
    </row>
    <row r="78" spans="1:41" s="556" customFormat="1">
      <c r="A78" s="556" t="s">
        <v>556</v>
      </c>
      <c r="G78" s="556" t="s">
        <v>557</v>
      </c>
    </row>
    <row r="79" spans="1:41">
      <c r="B79" s="50" t="s">
        <v>558</v>
      </c>
      <c r="F79" s="35">
        <v>2015</v>
      </c>
      <c r="G79" s="35">
        <f>F79+1</f>
        <v>2016</v>
      </c>
      <c r="H79" s="35">
        <f t="shared" ref="H79:AO79" si="40">G79+1</f>
        <v>2017</v>
      </c>
      <c r="I79" s="35">
        <f t="shared" si="40"/>
        <v>2018</v>
      </c>
      <c r="J79" s="35">
        <f t="shared" si="40"/>
        <v>2019</v>
      </c>
      <c r="K79" s="35">
        <f t="shared" si="40"/>
        <v>2020</v>
      </c>
      <c r="L79" s="35">
        <f t="shared" si="40"/>
        <v>2021</v>
      </c>
      <c r="M79" s="35">
        <f t="shared" si="40"/>
        <v>2022</v>
      </c>
      <c r="N79" s="35">
        <f t="shared" si="40"/>
        <v>2023</v>
      </c>
      <c r="O79" s="35">
        <f t="shared" si="40"/>
        <v>2024</v>
      </c>
      <c r="P79" s="35">
        <f t="shared" si="40"/>
        <v>2025</v>
      </c>
      <c r="Q79" s="35">
        <f t="shared" si="40"/>
        <v>2026</v>
      </c>
      <c r="R79" s="35">
        <f t="shared" si="40"/>
        <v>2027</v>
      </c>
      <c r="S79" s="35">
        <f t="shared" si="40"/>
        <v>2028</v>
      </c>
      <c r="T79" s="35">
        <f t="shared" si="40"/>
        <v>2029</v>
      </c>
      <c r="U79" s="35">
        <f t="shared" si="40"/>
        <v>2030</v>
      </c>
      <c r="V79" s="35">
        <f t="shared" si="40"/>
        <v>2031</v>
      </c>
      <c r="W79" s="35">
        <f t="shared" si="40"/>
        <v>2032</v>
      </c>
      <c r="X79" s="35">
        <f t="shared" si="40"/>
        <v>2033</v>
      </c>
      <c r="Y79" s="35">
        <f t="shared" si="40"/>
        <v>2034</v>
      </c>
      <c r="Z79" s="35">
        <f t="shared" si="40"/>
        <v>2035</v>
      </c>
      <c r="AA79" s="35">
        <f t="shared" si="40"/>
        <v>2036</v>
      </c>
      <c r="AB79" s="35">
        <f t="shared" si="40"/>
        <v>2037</v>
      </c>
      <c r="AC79" s="35">
        <f t="shared" si="40"/>
        <v>2038</v>
      </c>
      <c r="AD79" s="35">
        <f t="shared" si="40"/>
        <v>2039</v>
      </c>
      <c r="AE79" s="35">
        <f t="shared" si="40"/>
        <v>2040</v>
      </c>
      <c r="AF79" s="35">
        <f t="shared" si="40"/>
        <v>2041</v>
      </c>
      <c r="AG79" s="35">
        <f t="shared" si="40"/>
        <v>2042</v>
      </c>
      <c r="AH79" s="35">
        <f t="shared" si="40"/>
        <v>2043</v>
      </c>
      <c r="AI79" s="35">
        <f t="shared" si="40"/>
        <v>2044</v>
      </c>
      <c r="AJ79" s="35">
        <f t="shared" si="40"/>
        <v>2045</v>
      </c>
      <c r="AK79" s="35">
        <f t="shared" si="40"/>
        <v>2046</v>
      </c>
      <c r="AL79" s="35">
        <f t="shared" si="40"/>
        <v>2047</v>
      </c>
      <c r="AM79" s="35">
        <f t="shared" si="40"/>
        <v>2048</v>
      </c>
      <c r="AN79" s="35">
        <f t="shared" si="40"/>
        <v>2049</v>
      </c>
      <c r="AO79" s="35">
        <f t="shared" si="40"/>
        <v>2050</v>
      </c>
    </row>
    <row r="80" spans="1:41">
      <c r="B80" s="306" t="s">
        <v>518</v>
      </c>
      <c r="C80" s="306"/>
      <c r="D80" s="306" t="s">
        <v>519</v>
      </c>
      <c r="E80" s="330" t="str">
        <f>$B$79&amp;B80&amp;D80</f>
        <v>LOWDomestic existing% Domestic existing heat</v>
      </c>
      <c r="F80" s="477">
        <v>0</v>
      </c>
      <c r="G80" s="477">
        <v>0</v>
      </c>
      <c r="H80" s="477">
        <v>0</v>
      </c>
      <c r="I80" s="477">
        <v>0</v>
      </c>
      <c r="J80" s="477">
        <v>0</v>
      </c>
      <c r="K80" s="477">
        <v>0</v>
      </c>
      <c r="L80" s="477">
        <v>2.1691078062886829E-3</v>
      </c>
      <c r="M80" s="477">
        <v>4.5531269522279313E-3</v>
      </c>
      <c r="N80" s="477">
        <v>7.3851172080164722E-3</v>
      </c>
      <c r="O80" s="477">
        <v>1.3326991973914397E-2</v>
      </c>
      <c r="P80" s="477">
        <v>1.9941475121764526E-2</v>
      </c>
      <c r="Q80" s="477">
        <v>3.3053107873585383E-2</v>
      </c>
      <c r="R80" s="477">
        <v>4.6997144189173633E-2</v>
      </c>
      <c r="S80" s="477">
        <v>6.78318942459505E-2</v>
      </c>
      <c r="T80" s="477">
        <v>8.862485970635732E-2</v>
      </c>
      <c r="U80" s="477">
        <v>0.11548497737260091</v>
      </c>
      <c r="V80" s="477">
        <v>0.14848068519334404</v>
      </c>
      <c r="W80" s="477">
        <v>0.18147639301408713</v>
      </c>
      <c r="X80" s="477">
        <v>0.21447210083483029</v>
      </c>
      <c r="Y80" s="477">
        <v>0.24746780865557338</v>
      </c>
      <c r="Z80" s="477">
        <v>0.28046351647631645</v>
      </c>
      <c r="AA80" s="477">
        <v>0.31345922429705958</v>
      </c>
      <c r="AB80" s="477">
        <v>0.34645493211780265</v>
      </c>
      <c r="AC80" s="477">
        <v>0.37945063993854572</v>
      </c>
      <c r="AD80" s="477">
        <v>0.41244634775928884</v>
      </c>
      <c r="AE80" s="477">
        <v>0.44544205558003191</v>
      </c>
      <c r="AF80" s="477">
        <v>0.4784377634007751</v>
      </c>
      <c r="AG80" s="477">
        <v>0.47843776340077504</v>
      </c>
      <c r="AH80" s="477">
        <v>0.47843776340077504</v>
      </c>
      <c r="AI80" s="477">
        <v>0.47843776340077504</v>
      </c>
      <c r="AJ80" s="477">
        <v>0.47843776340077504</v>
      </c>
      <c r="AK80" s="477">
        <v>0.47843776340077504</v>
      </c>
      <c r="AL80" s="477">
        <v>0.47843776340077504</v>
      </c>
      <c r="AM80" s="477">
        <v>0.47843776340077504</v>
      </c>
      <c r="AN80" s="477">
        <v>0.47843776340077504</v>
      </c>
      <c r="AO80" s="477">
        <v>0.47843776340077504</v>
      </c>
    </row>
    <row r="81" spans="2:41">
      <c r="B81" s="306" t="s">
        <v>520</v>
      </c>
      <c r="C81" s="306"/>
      <c r="D81" s="306" t="s">
        <v>521</v>
      </c>
      <c r="E81" s="330" t="str">
        <f>$B$79&amp;B81&amp;D81</f>
        <v>LOWDomestic new% Domestic new heat</v>
      </c>
      <c r="F81" s="477">
        <v>0</v>
      </c>
      <c r="G81" s="477">
        <v>0</v>
      </c>
      <c r="H81" s="477">
        <v>0</v>
      </c>
      <c r="I81" s="477">
        <v>0</v>
      </c>
      <c r="J81" s="477">
        <v>0</v>
      </c>
      <c r="K81" s="477">
        <v>7.9999999999999766E-2</v>
      </c>
      <c r="L81" s="477">
        <v>0.1407998385532471</v>
      </c>
      <c r="M81" s="477">
        <v>0.19886827668666721</v>
      </c>
      <c r="N81" s="477">
        <v>0.25512519329736555</v>
      </c>
      <c r="O81" s="477">
        <v>0.30002615307702973</v>
      </c>
      <c r="P81" s="477">
        <v>0.33669438136156465</v>
      </c>
      <c r="Q81" s="477">
        <v>0.36179496295895136</v>
      </c>
      <c r="R81" s="477">
        <v>0.38365131623997983</v>
      </c>
      <c r="S81" s="477">
        <v>0.40285423212624732</v>
      </c>
      <c r="T81" s="477">
        <v>0.4198592626266382</v>
      </c>
      <c r="U81" s="477">
        <v>0.44584935377321588</v>
      </c>
      <c r="V81" s="477">
        <v>0.4569060296841867</v>
      </c>
      <c r="W81" s="477">
        <v>0.46743713311861745</v>
      </c>
      <c r="X81" s="477">
        <v>0.4774792682575798</v>
      </c>
      <c r="Y81" s="477">
        <v>0.48706571727601106</v>
      </c>
      <c r="Z81" s="477">
        <v>0.49622680884205661</v>
      </c>
      <c r="AA81" s="477">
        <v>0.50499023862930337</v>
      </c>
      <c r="AB81" s="477">
        <v>0.51338134897756282</v>
      </c>
      <c r="AC81" s="477">
        <v>0.52142337365044122</v>
      </c>
      <c r="AD81" s="477">
        <v>0.52913765266826929</v>
      </c>
      <c r="AE81" s="477">
        <v>0.53654382139958567</v>
      </c>
      <c r="AF81" s="477">
        <v>0.54365997743913652</v>
      </c>
      <c r="AG81" s="477">
        <v>0.55050282825838048</v>
      </c>
      <c r="AH81" s="477">
        <v>0.55708782216439146</v>
      </c>
      <c r="AI81" s="477">
        <v>0.56342926472790056</v>
      </c>
      <c r="AJ81" s="477">
        <v>0.56954042252734449</v>
      </c>
      <c r="AK81" s="477">
        <v>0.57543361579230445</v>
      </c>
      <c r="AL81" s="477">
        <v>0.58112030130778458</v>
      </c>
      <c r="AM81" s="477">
        <v>0.58661114675322945</v>
      </c>
      <c r="AN81" s="477">
        <v>0.59191609749121299</v>
      </c>
      <c r="AO81" s="477">
        <v>0.59704443668557305</v>
      </c>
    </row>
    <row r="82" spans="2:41">
      <c r="B82" s="306" t="s">
        <v>522</v>
      </c>
      <c r="C82" s="306"/>
      <c r="D82" s="306" t="s">
        <v>523</v>
      </c>
      <c r="E82" s="330" t="str">
        <f t="shared" ref="E82:E89" si="41">$B$79&amp;B82&amp;D82</f>
        <v>LOWNon-domestic existing% Non-Domestic existing heat</v>
      </c>
      <c r="F82" s="477">
        <v>0</v>
      </c>
      <c r="G82" s="477">
        <v>0</v>
      </c>
      <c r="H82" s="477">
        <v>0</v>
      </c>
      <c r="I82" s="477">
        <v>0</v>
      </c>
      <c r="J82" s="477">
        <v>0</v>
      </c>
      <c r="K82" s="477">
        <v>0</v>
      </c>
      <c r="L82" s="477">
        <v>2.1691078062886829E-3</v>
      </c>
      <c r="M82" s="477">
        <v>4.5531269522279313E-3</v>
      </c>
      <c r="N82" s="477">
        <v>7.385117208016473E-3</v>
      </c>
      <c r="O82" s="477">
        <v>1.3326991973914397E-2</v>
      </c>
      <c r="P82" s="477">
        <v>1.9941475121764526E-2</v>
      </c>
      <c r="Q82" s="477">
        <v>3.3053107873585383E-2</v>
      </c>
      <c r="R82" s="477">
        <v>4.6997144189173633E-2</v>
      </c>
      <c r="S82" s="477">
        <v>6.78318942459505E-2</v>
      </c>
      <c r="T82" s="477">
        <v>8.862485970635732E-2</v>
      </c>
      <c r="U82" s="477">
        <v>0.11548497737260091</v>
      </c>
      <c r="V82" s="477">
        <v>0.14848068519334404</v>
      </c>
      <c r="W82" s="477">
        <v>0.18147639301408713</v>
      </c>
      <c r="X82" s="477">
        <v>0.21447210083483029</v>
      </c>
      <c r="Y82" s="477">
        <v>0.24746780865557338</v>
      </c>
      <c r="Z82" s="477">
        <v>0.28046351647631645</v>
      </c>
      <c r="AA82" s="477">
        <v>0.31345922429705958</v>
      </c>
      <c r="AB82" s="477">
        <v>0.34645493211780265</v>
      </c>
      <c r="AC82" s="477">
        <v>0.37945063993854578</v>
      </c>
      <c r="AD82" s="477">
        <v>0.41244634775928884</v>
      </c>
      <c r="AE82" s="477">
        <v>0.44544205558003203</v>
      </c>
      <c r="AF82" s="477">
        <v>0.47843776340077498</v>
      </c>
      <c r="AG82" s="477">
        <v>0.4784377634007751</v>
      </c>
      <c r="AH82" s="477">
        <v>0.47843776340077498</v>
      </c>
      <c r="AI82" s="477">
        <v>0.4784377634007751</v>
      </c>
      <c r="AJ82" s="477">
        <v>0.47843776340077504</v>
      </c>
      <c r="AK82" s="477">
        <v>0.47843776340077504</v>
      </c>
      <c r="AL82" s="477">
        <v>0.47843776340077504</v>
      </c>
      <c r="AM82" s="477">
        <v>0.4784377634007751</v>
      </c>
      <c r="AN82" s="477">
        <v>0.4784377634007751</v>
      </c>
      <c r="AO82" s="477">
        <v>0.4784377634007751</v>
      </c>
    </row>
    <row r="83" spans="2:41">
      <c r="B83" s="306" t="s">
        <v>524</v>
      </c>
      <c r="C83" s="306"/>
      <c r="D83" s="306" t="s">
        <v>525</v>
      </c>
      <c r="E83" s="330" t="str">
        <f t="shared" si="41"/>
        <v>LOWNon-domestic new% Non-Domestic new heat</v>
      </c>
      <c r="F83" s="477">
        <v>0</v>
      </c>
      <c r="G83" s="477">
        <v>0</v>
      </c>
      <c r="H83" s="477">
        <v>0</v>
      </c>
      <c r="I83" s="477">
        <v>0</v>
      </c>
      <c r="J83" s="477">
        <v>0</v>
      </c>
      <c r="K83" s="477">
        <v>7.9999999999999766E-2</v>
      </c>
      <c r="L83" s="477">
        <v>0.1407998385532471</v>
      </c>
      <c r="M83" s="477">
        <v>0.19886827668666721</v>
      </c>
      <c r="N83" s="477">
        <v>0.25512519329736555</v>
      </c>
      <c r="O83" s="477">
        <v>0.30002615307702973</v>
      </c>
      <c r="P83" s="477">
        <v>0.33669438136156471</v>
      </c>
      <c r="Q83" s="477">
        <v>0.36179496295895136</v>
      </c>
      <c r="R83" s="477">
        <v>0.38365131623997983</v>
      </c>
      <c r="S83" s="477">
        <v>0.40285423212624738</v>
      </c>
      <c r="T83" s="477">
        <v>0.4198592626266382</v>
      </c>
      <c r="U83" s="477">
        <v>0.44584935377321577</v>
      </c>
      <c r="V83" s="477">
        <v>0.45690602968418659</v>
      </c>
      <c r="W83" s="477">
        <v>0.46743713311861751</v>
      </c>
      <c r="X83" s="477">
        <v>0.4774792682575798</v>
      </c>
      <c r="Y83" s="477">
        <v>0.48706571727601106</v>
      </c>
      <c r="Z83" s="477">
        <v>0.49622680884205655</v>
      </c>
      <c r="AA83" s="477">
        <v>0.50499023862930337</v>
      </c>
      <c r="AB83" s="477">
        <v>0.51338134897756282</v>
      </c>
      <c r="AC83" s="477">
        <v>0.52142337365044122</v>
      </c>
      <c r="AD83" s="477">
        <v>0.52913765266826929</v>
      </c>
      <c r="AE83" s="477">
        <v>0.53654382139958567</v>
      </c>
      <c r="AF83" s="477">
        <v>0.54365997743913652</v>
      </c>
      <c r="AG83" s="477">
        <v>0.55050282825838048</v>
      </c>
      <c r="AH83" s="477">
        <v>0.55708782216439146</v>
      </c>
      <c r="AI83" s="477">
        <v>0.56342926472790056</v>
      </c>
      <c r="AJ83" s="477">
        <v>0.56954042252734449</v>
      </c>
      <c r="AK83" s="477">
        <v>0.57543361579230445</v>
      </c>
      <c r="AL83" s="477">
        <v>0.58112030130778458</v>
      </c>
      <c r="AM83" s="477">
        <v>0.58661114675322945</v>
      </c>
      <c r="AN83" s="477">
        <v>0.59191609749121299</v>
      </c>
      <c r="AO83" s="477">
        <v>0.59704443668557305</v>
      </c>
    </row>
    <row r="84" spans="2:41">
      <c r="B84" s="306" t="s">
        <v>518</v>
      </c>
      <c r="C84" s="306"/>
      <c r="D84" s="306" t="s">
        <v>526</v>
      </c>
      <c r="E84" s="330" t="str">
        <f t="shared" si="41"/>
        <v>LOWDomestic existingInstallations per year</v>
      </c>
      <c r="F84" s="476">
        <v>0</v>
      </c>
      <c r="G84" s="476">
        <v>0</v>
      </c>
      <c r="H84" s="476">
        <v>0</v>
      </c>
      <c r="I84" s="476">
        <v>0</v>
      </c>
      <c r="J84" s="476">
        <v>0</v>
      </c>
      <c r="K84" s="476">
        <v>0</v>
      </c>
      <c r="L84" s="476">
        <v>10776.969000000001</v>
      </c>
      <c r="M84" s="476">
        <v>10776.969000000001</v>
      </c>
      <c r="N84" s="476">
        <v>10776.969000000001</v>
      </c>
      <c r="O84" s="476">
        <v>21553.937999999998</v>
      </c>
      <c r="P84" s="476">
        <v>21553.937999999995</v>
      </c>
      <c r="Q84" s="476">
        <v>43107.876000000004</v>
      </c>
      <c r="R84" s="476">
        <v>43107.876000000004</v>
      </c>
      <c r="S84" s="476">
        <v>64661.813999999984</v>
      </c>
      <c r="T84" s="476">
        <v>64661.814000000013</v>
      </c>
      <c r="U84" s="476">
        <v>38296.524502748216</v>
      </c>
      <c r="V84" s="476">
        <v>18844.004127259017</v>
      </c>
      <c r="W84" s="476">
        <v>33.066786282812245</v>
      </c>
      <c r="X84" s="476">
        <v>30.106657880358398</v>
      </c>
      <c r="Y84" s="476">
        <v>27.144991926965304</v>
      </c>
      <c r="Z84" s="476">
        <v>15.360500334645621</v>
      </c>
      <c r="AA84" s="476">
        <v>10.230348391574807</v>
      </c>
      <c r="AB84" s="476">
        <v>10.141428630449809</v>
      </c>
      <c r="AC84" s="476">
        <v>1.0742536649340764</v>
      </c>
      <c r="AD84" s="476">
        <v>0.9847383484011516</v>
      </c>
      <c r="AE84" s="476">
        <v>0.89522151323035359</v>
      </c>
      <c r="AF84" s="476">
        <v>0.80570329690817744</v>
      </c>
      <c r="AG84" s="476">
        <v>0.7161838382598944</v>
      </c>
      <c r="AH84" s="476">
        <v>0.62666327483020723</v>
      </c>
      <c r="AI84" s="476">
        <v>0.53714174492051825</v>
      </c>
      <c r="AJ84" s="476">
        <v>0.44761938659939915</v>
      </c>
      <c r="AK84" s="476">
        <v>0.35809633776079863</v>
      </c>
      <c r="AL84" s="476">
        <v>0.26857273653149605</v>
      </c>
      <c r="AM84" s="476">
        <v>0.17904872121289372</v>
      </c>
      <c r="AN84" s="476">
        <v>8.9524429640732706E-2</v>
      </c>
      <c r="AO84" s="476">
        <v>0</v>
      </c>
    </row>
    <row r="85" spans="2:41">
      <c r="B85" s="306" t="s">
        <v>520</v>
      </c>
      <c r="C85" s="306"/>
      <c r="D85" s="306" t="s">
        <v>526</v>
      </c>
      <c r="E85" s="330" t="str">
        <f t="shared" si="41"/>
        <v>LOWDomestic newInstallations per year</v>
      </c>
      <c r="F85" s="476">
        <v>0</v>
      </c>
      <c r="G85" s="476">
        <v>0</v>
      </c>
      <c r="H85" s="476">
        <v>0</v>
      </c>
      <c r="I85" s="476">
        <v>0</v>
      </c>
      <c r="J85" s="476">
        <v>0</v>
      </c>
      <c r="K85" s="476">
        <v>31989.831001183342</v>
      </c>
      <c r="L85" s="476">
        <v>33842.143757393933</v>
      </c>
      <c r="M85" s="476">
        <v>40610.572508872647</v>
      </c>
      <c r="N85" s="476">
        <v>47379.001260351492</v>
      </c>
      <c r="O85" s="476">
        <v>47379.001260351419</v>
      </c>
      <c r="P85" s="476">
        <v>47379.001260351914</v>
      </c>
      <c r="Q85" s="476">
        <v>38355.821008276806</v>
      </c>
      <c r="R85" s="476">
        <v>38355.821008276776</v>
      </c>
      <c r="S85" s="476">
        <v>38355.821008276835</v>
      </c>
      <c r="T85" s="476">
        <v>38355.821008276951</v>
      </c>
      <c r="U85" s="476">
        <v>49314.627010641561</v>
      </c>
      <c r="V85" s="476">
        <v>22733.444571428874</v>
      </c>
      <c r="W85" s="476">
        <v>22733.444571428816</v>
      </c>
      <c r="X85" s="476">
        <v>22733.444571428641</v>
      </c>
      <c r="Y85" s="476">
        <v>22733.444571428874</v>
      </c>
      <c r="Z85" s="476">
        <v>22733.444571428699</v>
      </c>
      <c r="AA85" s="476">
        <v>22733.444571428816</v>
      </c>
      <c r="AB85" s="476">
        <v>22733.444571428816</v>
      </c>
      <c r="AC85" s="476">
        <v>22733.444571428699</v>
      </c>
      <c r="AD85" s="476">
        <v>22733.444571428816</v>
      </c>
      <c r="AE85" s="476">
        <v>22733.444571430562</v>
      </c>
      <c r="AF85" s="476">
        <v>22733.444571429281</v>
      </c>
      <c r="AG85" s="476">
        <v>22733.444571429631</v>
      </c>
      <c r="AH85" s="476">
        <v>22733.444571429398</v>
      </c>
      <c r="AI85" s="476">
        <v>20540.458328744047</v>
      </c>
      <c r="AJ85" s="476">
        <v>12101.334673553123</v>
      </c>
      <c r="AK85" s="476">
        <v>12135.062225016532</v>
      </c>
      <c r="AL85" s="476">
        <v>12166.220963241067</v>
      </c>
      <c r="AM85" s="476">
        <v>12195.065997868427</v>
      </c>
      <c r="AN85" s="476">
        <v>12221.82153698965</v>
      </c>
      <c r="AO85" s="476">
        <v>12246.685272645671</v>
      </c>
    </row>
    <row r="86" spans="2:41">
      <c r="B86" s="306" t="s">
        <v>527</v>
      </c>
      <c r="C86" s="306"/>
      <c r="D86" s="306" t="s">
        <v>526</v>
      </c>
      <c r="E86" s="330" t="str">
        <f t="shared" si="41"/>
        <v>LOWDomestic hybridsInstallations per year</v>
      </c>
      <c r="F86" s="476">
        <v>0</v>
      </c>
      <c r="G86" s="476">
        <v>0</v>
      </c>
      <c r="H86" s="476">
        <v>0</v>
      </c>
      <c r="I86" s="476">
        <v>0</v>
      </c>
      <c r="J86" s="476">
        <v>0</v>
      </c>
      <c r="K86" s="476">
        <v>0</v>
      </c>
      <c r="L86" s="476">
        <v>0</v>
      </c>
      <c r="M86" s="476">
        <v>0</v>
      </c>
      <c r="N86" s="476">
        <v>0</v>
      </c>
      <c r="O86" s="476">
        <v>0</v>
      </c>
      <c r="P86" s="476">
        <v>0</v>
      </c>
      <c r="Q86" s="476">
        <v>0</v>
      </c>
      <c r="R86" s="476">
        <v>0</v>
      </c>
      <c r="S86" s="476">
        <v>0</v>
      </c>
      <c r="T86" s="476">
        <v>0</v>
      </c>
      <c r="U86" s="476">
        <v>47919.227497251821</v>
      </c>
      <c r="V86" s="476">
        <v>88925.685872741014</v>
      </c>
      <c r="W86" s="476">
        <v>107736.6232137171</v>
      </c>
      <c r="X86" s="476">
        <v>107739.58334211982</v>
      </c>
      <c r="Y86" s="476">
        <v>107742.54500807298</v>
      </c>
      <c r="Z86" s="476">
        <v>107754.32949966524</v>
      </c>
      <c r="AA86" s="476">
        <v>107759.45965160825</v>
      </c>
      <c r="AB86" s="476">
        <v>107759.54857136949</v>
      </c>
      <c r="AC86" s="476">
        <v>107768.61574633501</v>
      </c>
      <c r="AD86" s="476">
        <v>107768.70526165166</v>
      </c>
      <c r="AE86" s="476">
        <v>107768.79477848683</v>
      </c>
      <c r="AF86" s="476">
        <v>107768.88429670315</v>
      </c>
      <c r="AG86" s="476">
        <v>0</v>
      </c>
      <c r="AH86" s="476">
        <v>0</v>
      </c>
      <c r="AI86" s="476">
        <v>0</v>
      </c>
      <c r="AJ86" s="476">
        <v>0</v>
      </c>
      <c r="AK86" s="476">
        <v>0</v>
      </c>
      <c r="AL86" s="476">
        <v>0</v>
      </c>
      <c r="AM86" s="476">
        <v>0</v>
      </c>
      <c r="AN86" s="476">
        <v>0</v>
      </c>
      <c r="AO86" s="476">
        <v>0</v>
      </c>
    </row>
    <row r="87" spans="2:41">
      <c r="B87" s="306" t="s">
        <v>528</v>
      </c>
      <c r="C87" s="306"/>
      <c r="D87" s="306" t="s">
        <v>526</v>
      </c>
      <c r="E87" s="330" t="str">
        <f t="shared" si="41"/>
        <v>LOWNon-domestic hybridsInstallations per year</v>
      </c>
      <c r="F87" s="476">
        <v>0</v>
      </c>
      <c r="G87" s="476">
        <v>0</v>
      </c>
      <c r="H87" s="476">
        <v>0</v>
      </c>
      <c r="I87" s="476">
        <v>0</v>
      </c>
      <c r="J87" s="476">
        <v>0</v>
      </c>
      <c r="K87" s="476">
        <v>0</v>
      </c>
      <c r="L87" s="476">
        <v>0</v>
      </c>
      <c r="M87" s="476">
        <v>0</v>
      </c>
      <c r="N87" s="476">
        <v>0</v>
      </c>
      <c r="O87" s="476">
        <v>0</v>
      </c>
      <c r="P87" s="476">
        <v>0</v>
      </c>
      <c r="Q87" s="476">
        <v>0</v>
      </c>
      <c r="R87" s="476">
        <v>0</v>
      </c>
      <c r="S87" s="476">
        <v>0</v>
      </c>
      <c r="T87" s="476">
        <v>2520.5450552616107</v>
      </c>
      <c r="U87" s="476">
        <v>4892.6698295969763</v>
      </c>
      <c r="V87" s="476">
        <v>7881.1564389303467</v>
      </c>
      <c r="W87" s="476">
        <v>7781.5731002877819</v>
      </c>
      <c r="X87" s="476">
        <v>10747.995238298423</v>
      </c>
      <c r="Y87" s="476">
        <v>7102.2200111369602</v>
      </c>
      <c r="Z87" s="476">
        <v>8562.6299500920504</v>
      </c>
      <c r="AA87" s="476">
        <v>10023.13154910579</v>
      </c>
      <c r="AB87" s="476">
        <v>9876.2762968102252</v>
      </c>
      <c r="AC87" s="476">
        <v>9727.4087172557483</v>
      </c>
      <c r="AD87" s="476">
        <v>9579.0575889032189</v>
      </c>
      <c r="AE87" s="476">
        <v>7820.8064939331671</v>
      </c>
      <c r="AF87" s="476">
        <v>11153.232868065985</v>
      </c>
      <c r="AG87" s="476">
        <v>528.0306162492052</v>
      </c>
      <c r="AH87" s="476">
        <v>369.28304741199827</v>
      </c>
      <c r="AI87" s="476">
        <v>371.65254858102708</v>
      </c>
      <c r="AJ87" s="476">
        <v>374.0969290061912</v>
      </c>
      <c r="AK87" s="476">
        <v>380.7502601393935</v>
      </c>
      <c r="AL87" s="476">
        <v>381.50888024651795</v>
      </c>
      <c r="AM87" s="476">
        <v>446.68054517233395</v>
      </c>
      <c r="AN87" s="476">
        <v>383.01632583078754</v>
      </c>
      <c r="AO87" s="476">
        <v>383.7692964302405</v>
      </c>
    </row>
    <row r="88" spans="2:41">
      <c r="B88" s="306" t="s">
        <v>522</v>
      </c>
      <c r="C88" s="306"/>
      <c r="D88" s="306" t="s">
        <v>526</v>
      </c>
      <c r="E88" s="330" t="str">
        <f t="shared" si="41"/>
        <v>LOWNon-domestic existingInstallations per year</v>
      </c>
      <c r="F88" s="476">
        <v>0</v>
      </c>
      <c r="G88" s="476">
        <v>0</v>
      </c>
      <c r="H88" s="476">
        <v>0</v>
      </c>
      <c r="I88" s="476">
        <v>0</v>
      </c>
      <c r="J88" s="476">
        <v>0</v>
      </c>
      <c r="K88" s="476">
        <v>0</v>
      </c>
      <c r="L88" s="476">
        <v>698.63708778849048</v>
      </c>
      <c r="M88" s="476">
        <v>767.85680661984281</v>
      </c>
      <c r="N88" s="476">
        <v>912.14158153565222</v>
      </c>
      <c r="O88" s="476">
        <v>1913.7887339742329</v>
      </c>
      <c r="P88" s="476">
        <v>2130.4258046753093</v>
      </c>
      <c r="Q88" s="476">
        <v>4223.0602348702205</v>
      </c>
      <c r="R88" s="476">
        <v>4491.1649367062419</v>
      </c>
      <c r="S88" s="476">
        <v>6710.5604720369774</v>
      </c>
      <c r="T88" s="476">
        <v>4176.5572250535151</v>
      </c>
      <c r="U88" s="476">
        <v>3758.5711689350974</v>
      </c>
      <c r="V88" s="476">
        <v>2746.2661145137026</v>
      </c>
      <c r="W88" s="476">
        <v>2845.8494531562574</v>
      </c>
      <c r="X88" s="476">
        <v>0</v>
      </c>
      <c r="Y88" s="476">
        <v>3525.2025423070736</v>
      </c>
      <c r="Z88" s="476">
        <v>2064.7926033519834</v>
      </c>
      <c r="AA88" s="476">
        <v>604.29100433825079</v>
      </c>
      <c r="AB88" s="476">
        <v>751.14625663380866</v>
      </c>
      <c r="AC88" s="476">
        <v>900.01383618830005</v>
      </c>
      <c r="AD88" s="476">
        <v>1048.364964540815</v>
      </c>
      <c r="AE88" s="476">
        <v>2806.6160595108959</v>
      </c>
      <c r="AF88" s="476">
        <v>0</v>
      </c>
      <c r="AG88" s="476">
        <v>0</v>
      </c>
      <c r="AH88" s="476">
        <v>0</v>
      </c>
      <c r="AI88" s="476">
        <v>0</v>
      </c>
      <c r="AJ88" s="476">
        <v>0</v>
      </c>
      <c r="AK88" s="476">
        <v>0</v>
      </c>
      <c r="AL88" s="476">
        <v>0</v>
      </c>
      <c r="AM88" s="476">
        <v>0</v>
      </c>
      <c r="AN88" s="476">
        <v>0</v>
      </c>
      <c r="AO88" s="476">
        <v>0</v>
      </c>
    </row>
    <row r="89" spans="2:41">
      <c r="B89" s="306" t="s">
        <v>524</v>
      </c>
      <c r="C89" s="306"/>
      <c r="D89" s="306" t="s">
        <v>526</v>
      </c>
      <c r="E89" s="330" t="str">
        <f t="shared" si="41"/>
        <v>LOWNon-domestic newInstallations per year</v>
      </c>
      <c r="F89" s="476">
        <v>0</v>
      </c>
      <c r="G89" s="476">
        <v>0</v>
      </c>
      <c r="H89" s="476">
        <v>0</v>
      </c>
      <c r="I89" s="476">
        <v>0</v>
      </c>
      <c r="J89" s="476">
        <v>0</v>
      </c>
      <c r="K89" s="476">
        <v>1543.3825637228911</v>
      </c>
      <c r="L89" s="476">
        <v>1716.237673248314</v>
      </c>
      <c r="M89" s="476">
        <v>2111.6518005556904</v>
      </c>
      <c r="N89" s="476">
        <v>2503.8434605048533</v>
      </c>
      <c r="O89" s="476">
        <v>2543.6250016669937</v>
      </c>
      <c r="P89" s="476">
        <v>2572.4654377239094</v>
      </c>
      <c r="Q89" s="476">
        <v>1993.3812340131972</v>
      </c>
      <c r="R89" s="476">
        <v>1992.0326640086914</v>
      </c>
      <c r="S89" s="476">
        <v>1990.929675645828</v>
      </c>
      <c r="T89" s="476">
        <v>1990.0160524307939</v>
      </c>
      <c r="U89" s="476">
        <v>2560.307374500444</v>
      </c>
      <c r="V89" s="476">
        <v>1877.5379252155399</v>
      </c>
      <c r="W89" s="476">
        <v>1909.4794183198428</v>
      </c>
      <c r="X89" s="476">
        <v>1939.1963044489239</v>
      </c>
      <c r="Y89" s="476">
        <v>1966.8904774248404</v>
      </c>
      <c r="Z89" s="476">
        <v>1992.7414356441041</v>
      </c>
      <c r="AA89" s="476">
        <v>2016.9091984785919</v>
      </c>
      <c r="AB89" s="476">
        <v>2039.5367890086272</v>
      </c>
      <c r="AC89" s="476">
        <v>2060.7523552544226</v>
      </c>
      <c r="AD89" s="476">
        <v>2080.6709888359837</v>
      </c>
      <c r="AE89" s="476">
        <v>2099.3962894012002</v>
      </c>
      <c r="AF89" s="476">
        <v>901.6635329161727</v>
      </c>
      <c r="AG89" s="476">
        <v>847.69835920029436</v>
      </c>
      <c r="AH89" s="476">
        <v>847.98540684011823</v>
      </c>
      <c r="AI89" s="476">
        <v>848.24586139278108</v>
      </c>
      <c r="AJ89" s="476">
        <v>848.48290807481681</v>
      </c>
      <c r="AK89" s="476">
        <v>848.6992692579297</v>
      </c>
      <c r="AL89" s="476">
        <v>848.89728286787431</v>
      </c>
      <c r="AM89" s="476">
        <v>849.07896572002937</v>
      </c>
      <c r="AN89" s="476">
        <v>849.24606501175731</v>
      </c>
      <c r="AO89" s="476">
        <v>849.40010043550865</v>
      </c>
    </row>
    <row r="90" spans="2:41">
      <c r="B90" s="50" t="s">
        <v>559</v>
      </c>
    </row>
    <row r="91" spans="2:41">
      <c r="B91" s="306" t="s">
        <v>518</v>
      </c>
      <c r="C91" s="306"/>
      <c r="D91" s="306" t="s">
        <v>519</v>
      </c>
      <c r="E91" s="330" t="str">
        <f>$B$90&amp;B91&amp;D91</f>
        <v>MEDIUMDomestic existing% Domestic existing heat</v>
      </c>
      <c r="F91" s="477">
        <v>0</v>
      </c>
      <c r="G91" s="477">
        <v>0</v>
      </c>
      <c r="H91" s="477">
        <v>0</v>
      </c>
      <c r="I91" s="477">
        <v>0</v>
      </c>
      <c r="J91" s="477">
        <v>0</v>
      </c>
      <c r="K91" s="477">
        <v>0</v>
      </c>
      <c r="L91" s="477">
        <v>2.1691078062886829E-3</v>
      </c>
      <c r="M91" s="477">
        <v>9.1062539044558626E-3</v>
      </c>
      <c r="N91" s="477">
        <v>2.2155351624049417E-2</v>
      </c>
      <c r="O91" s="477">
        <v>4.5311772711308949E-2</v>
      </c>
      <c r="P91" s="477">
        <v>7.6917118326806033E-2</v>
      </c>
      <c r="Q91" s="477">
        <v>0.12019311954031049</v>
      </c>
      <c r="R91" s="477">
        <v>0.17545600497291489</v>
      </c>
      <c r="S91" s="477">
        <v>0.23256649455754458</v>
      </c>
      <c r="T91" s="477">
        <v>0.2888513945984979</v>
      </c>
      <c r="U91" s="477">
        <v>0.34315536133572833</v>
      </c>
      <c r="V91" s="477">
        <v>0.39594849384891728</v>
      </c>
      <c r="W91" s="477">
        <v>0.44874162636210629</v>
      </c>
      <c r="X91" s="477">
        <v>0.50153475887529519</v>
      </c>
      <c r="Y91" s="477">
        <v>0.55432789138848426</v>
      </c>
      <c r="Z91" s="477">
        <v>0.60712102390167322</v>
      </c>
      <c r="AA91" s="477">
        <v>0.65991415641486229</v>
      </c>
      <c r="AB91" s="477">
        <v>0.69950900579975395</v>
      </c>
      <c r="AC91" s="477">
        <v>0.72590557205634842</v>
      </c>
      <c r="AD91" s="477">
        <v>0.72590557205634842</v>
      </c>
      <c r="AE91" s="477">
        <v>0.72590557205634842</v>
      </c>
      <c r="AF91" s="477">
        <v>0.72590557205634842</v>
      </c>
      <c r="AG91" s="477">
        <v>0.72590557205634842</v>
      </c>
      <c r="AH91" s="477">
        <v>0.72590557205634842</v>
      </c>
      <c r="AI91" s="477">
        <v>0.72590557205634842</v>
      </c>
      <c r="AJ91" s="477">
        <v>0.72590557205634842</v>
      </c>
      <c r="AK91" s="477">
        <v>0.72590557205634842</v>
      </c>
      <c r="AL91" s="477">
        <v>0.72590557205634842</v>
      </c>
      <c r="AM91" s="477">
        <v>0.72590557205634842</v>
      </c>
      <c r="AN91" s="477">
        <v>0.72590557205634842</v>
      </c>
      <c r="AO91" s="477">
        <v>0.72590557205634842</v>
      </c>
    </row>
    <row r="92" spans="2:41">
      <c r="B92" s="306" t="s">
        <v>520</v>
      </c>
      <c r="C92" s="306"/>
      <c r="D92" s="306" t="s">
        <v>521</v>
      </c>
      <c r="E92" s="330" t="str">
        <f t="shared" ref="E92:E100" si="42">$B$90&amp;B92&amp;D92</f>
        <v>MEDIUMDomestic new% Domestic new heat</v>
      </c>
      <c r="F92" s="477">
        <v>0</v>
      </c>
      <c r="G92" s="477">
        <v>0</v>
      </c>
      <c r="H92" s="477">
        <v>0</v>
      </c>
      <c r="I92" s="477">
        <v>0</v>
      </c>
      <c r="J92" s="477">
        <v>0</v>
      </c>
      <c r="K92" s="477">
        <v>7.9999999999999766E-2</v>
      </c>
      <c r="L92" s="477">
        <v>0.1407998385532471</v>
      </c>
      <c r="M92" s="477">
        <v>0.22415939938595816</v>
      </c>
      <c r="N92" s="477">
        <v>0.28880311508532053</v>
      </c>
      <c r="O92" s="477">
        <v>0.3403979242838242</v>
      </c>
      <c r="P92" s="477">
        <v>0.38253266374755834</v>
      </c>
      <c r="Q92" s="477">
        <v>0.42519313598415742</v>
      </c>
      <c r="R92" s="477">
        <v>0.46233977932869624</v>
      </c>
      <c r="S92" s="477">
        <v>0.49497669082213958</v>
      </c>
      <c r="T92" s="477">
        <v>0.52387811801536321</v>
      </c>
      <c r="U92" s="477">
        <v>0.54965066790845485</v>
      </c>
      <c r="V92" s="477">
        <v>0.56061479765929501</v>
      </c>
      <c r="W92" s="477">
        <v>0.57105775405996606</v>
      </c>
      <c r="X92" s="477">
        <v>0.58101583490864206</v>
      </c>
      <c r="Y92" s="477">
        <v>0.59052204380308959</v>
      </c>
      <c r="Z92" s="477">
        <v>0.59960645555561165</v>
      </c>
      <c r="AA92" s="477">
        <v>0.60829653402254169</v>
      </c>
      <c r="AB92" s="477">
        <v>0.61661740942422072</v>
      </c>
      <c r="AC92" s="477">
        <v>0.62459212105390749</v>
      </c>
      <c r="AD92" s="477">
        <v>0.63224183031252179</v>
      </c>
      <c r="AE92" s="477">
        <v>0.63958600821740164</v>
      </c>
      <c r="AF92" s="477">
        <v>0.646642600883507</v>
      </c>
      <c r="AG92" s="477">
        <v>0.65342817593806657</v>
      </c>
      <c r="AH92" s="477">
        <v>0.65995805238333327</v>
      </c>
      <c r="AI92" s="477">
        <v>0.66624641605010471</v>
      </c>
      <c r="AJ92" s="477">
        <v>0.67230642247341654</v>
      </c>
      <c r="AK92" s="477">
        <v>0.6781502887605424</v>
      </c>
      <c r="AL92" s="477">
        <v>0.68378937580134846</v>
      </c>
      <c r="AM92" s="477">
        <v>0.6892342619850822</v>
      </c>
      <c r="AN92" s="477">
        <v>0.6944948094300295</v>
      </c>
      <c r="AO92" s="477">
        <v>0.69958022359844985</v>
      </c>
    </row>
    <row r="93" spans="2:41">
      <c r="B93" s="306" t="s">
        <v>522</v>
      </c>
      <c r="C93" s="306"/>
      <c r="D93" s="306" t="s">
        <v>523</v>
      </c>
      <c r="E93" s="330" t="str">
        <f t="shared" si="42"/>
        <v>MEDIUMNon-domestic existing% Non-Domestic existing heat</v>
      </c>
      <c r="F93" s="477">
        <v>0</v>
      </c>
      <c r="G93" s="477">
        <v>0</v>
      </c>
      <c r="H93" s="477">
        <v>0</v>
      </c>
      <c r="I93" s="477">
        <v>0</v>
      </c>
      <c r="J93" s="477">
        <v>0</v>
      </c>
      <c r="K93" s="477">
        <v>0</v>
      </c>
      <c r="L93" s="477">
        <v>2.1691078062886829E-3</v>
      </c>
      <c r="M93" s="477">
        <v>9.1062539044558626E-3</v>
      </c>
      <c r="N93" s="477">
        <v>2.2155351624049417E-2</v>
      </c>
      <c r="O93" s="477">
        <v>4.5311772711308949E-2</v>
      </c>
      <c r="P93" s="477">
        <v>7.6917118326806033E-2</v>
      </c>
      <c r="Q93" s="477">
        <v>0.12019311954031048</v>
      </c>
      <c r="R93" s="477">
        <v>0.17545600497291489</v>
      </c>
      <c r="S93" s="477">
        <v>0.23256649455754455</v>
      </c>
      <c r="T93" s="477">
        <v>0.2888513945984979</v>
      </c>
      <c r="U93" s="477">
        <v>0.34315536133572833</v>
      </c>
      <c r="V93" s="477">
        <v>0.39594849384891728</v>
      </c>
      <c r="W93" s="477">
        <v>0.44874162636210629</v>
      </c>
      <c r="X93" s="477">
        <v>0.50153475887529519</v>
      </c>
      <c r="Y93" s="477">
        <v>0.55432789138848426</v>
      </c>
      <c r="Z93" s="477">
        <v>0.60712102390167322</v>
      </c>
      <c r="AA93" s="477">
        <v>0.65991415641486229</v>
      </c>
      <c r="AB93" s="477">
        <v>0.69950900579975395</v>
      </c>
      <c r="AC93" s="477">
        <v>0.72590557205634842</v>
      </c>
      <c r="AD93" s="477">
        <v>0.72590557205634842</v>
      </c>
      <c r="AE93" s="477">
        <v>0.72590557205634842</v>
      </c>
      <c r="AF93" s="477">
        <v>0.72590557205634842</v>
      </c>
      <c r="AG93" s="477">
        <v>0.72590557205634842</v>
      </c>
      <c r="AH93" s="477">
        <v>0.72590557205634842</v>
      </c>
      <c r="AI93" s="477">
        <v>0.72590557205634842</v>
      </c>
      <c r="AJ93" s="477">
        <v>0.72590557205634842</v>
      </c>
      <c r="AK93" s="477">
        <v>0.72590557205634842</v>
      </c>
      <c r="AL93" s="477">
        <v>0.72590557205634842</v>
      </c>
      <c r="AM93" s="477">
        <v>0.72590557205634842</v>
      </c>
      <c r="AN93" s="477">
        <v>0.72590557205634842</v>
      </c>
      <c r="AO93" s="477">
        <v>0.72590557205634842</v>
      </c>
    </row>
    <row r="94" spans="2:41">
      <c r="B94" s="306" t="s">
        <v>524</v>
      </c>
      <c r="C94" s="306"/>
      <c r="D94" s="306" t="s">
        <v>525</v>
      </c>
      <c r="E94" s="330" t="str">
        <f t="shared" si="42"/>
        <v>MEDIUMNon-domestic new% Non-Domestic new heat</v>
      </c>
      <c r="F94" s="477">
        <v>0</v>
      </c>
      <c r="G94" s="477">
        <v>0</v>
      </c>
      <c r="H94" s="477">
        <v>0</v>
      </c>
      <c r="I94" s="477">
        <v>0</v>
      </c>
      <c r="J94" s="477">
        <v>0</v>
      </c>
      <c r="K94" s="477">
        <v>7.9999999999999766E-2</v>
      </c>
      <c r="L94" s="477">
        <v>0.1407998385532471</v>
      </c>
      <c r="M94" s="477">
        <v>0.22415939938595814</v>
      </c>
      <c r="N94" s="477">
        <v>0.28880311508532053</v>
      </c>
      <c r="O94" s="477">
        <v>0.34039792428382415</v>
      </c>
      <c r="P94" s="477">
        <v>0.38253266374755834</v>
      </c>
      <c r="Q94" s="477">
        <v>0.42519313598415742</v>
      </c>
      <c r="R94" s="477">
        <v>0.46233977932869619</v>
      </c>
      <c r="S94" s="477">
        <v>0.49497669082213958</v>
      </c>
      <c r="T94" s="477">
        <v>0.52387811801536321</v>
      </c>
      <c r="U94" s="477">
        <v>0.54965066790845485</v>
      </c>
      <c r="V94" s="477">
        <v>0.56061479765929501</v>
      </c>
      <c r="W94" s="477">
        <v>0.57105775405996606</v>
      </c>
      <c r="X94" s="477">
        <v>0.58101583490864206</v>
      </c>
      <c r="Y94" s="477">
        <v>0.59052204380308959</v>
      </c>
      <c r="Z94" s="477">
        <v>0.59960645555561165</v>
      </c>
      <c r="AA94" s="477">
        <v>0.60829653402254169</v>
      </c>
      <c r="AB94" s="477">
        <v>0.61661740942422072</v>
      </c>
      <c r="AC94" s="477">
        <v>0.62459212105390749</v>
      </c>
      <c r="AD94" s="477">
        <v>0.63224183031252179</v>
      </c>
      <c r="AE94" s="477">
        <v>0.63958600821740164</v>
      </c>
      <c r="AF94" s="477">
        <v>0.646642600883507</v>
      </c>
      <c r="AG94" s="477">
        <v>0.65342817593806657</v>
      </c>
      <c r="AH94" s="477">
        <v>0.65995805238333327</v>
      </c>
      <c r="AI94" s="477">
        <v>0.66624641605010471</v>
      </c>
      <c r="AJ94" s="477">
        <v>0.67230642247341654</v>
      </c>
      <c r="AK94" s="477">
        <v>0.6781502887605424</v>
      </c>
      <c r="AL94" s="477">
        <v>0.68378937580134846</v>
      </c>
      <c r="AM94" s="477">
        <v>0.6892342619850822</v>
      </c>
      <c r="AN94" s="477">
        <v>0.6944948094300295</v>
      </c>
      <c r="AO94" s="477">
        <v>0.69958022359844985</v>
      </c>
    </row>
    <row r="95" spans="2:41">
      <c r="B95" s="306" t="s">
        <v>518</v>
      </c>
      <c r="C95" s="306"/>
      <c r="D95" s="306" t="s">
        <v>526</v>
      </c>
      <c r="E95" s="330" t="str">
        <f t="shared" si="42"/>
        <v>MEDIUMDomestic existingInstallations per year</v>
      </c>
      <c r="F95" s="476">
        <v>0</v>
      </c>
      <c r="G95" s="476">
        <v>0</v>
      </c>
      <c r="H95" s="476">
        <v>0</v>
      </c>
      <c r="I95" s="476">
        <v>0</v>
      </c>
      <c r="J95" s="476">
        <v>0</v>
      </c>
      <c r="K95" s="476">
        <v>0</v>
      </c>
      <c r="L95" s="476">
        <v>10776.969000000001</v>
      </c>
      <c r="M95" s="476">
        <v>32330.906999999999</v>
      </c>
      <c r="N95" s="476">
        <v>53884.845000000001</v>
      </c>
      <c r="O95" s="476">
        <v>86215.752000000008</v>
      </c>
      <c r="P95" s="476">
        <v>107769.69</v>
      </c>
      <c r="Q95" s="476">
        <v>140100.59700000001</v>
      </c>
      <c r="R95" s="476">
        <v>172431.50400000002</v>
      </c>
      <c r="S95" s="476">
        <v>172431.50400000002</v>
      </c>
      <c r="T95" s="476">
        <v>172431.50400000002</v>
      </c>
      <c r="U95" s="476">
        <v>172431.50400000002</v>
      </c>
      <c r="V95" s="476">
        <v>172431.50400000002</v>
      </c>
      <c r="W95" s="476">
        <v>172431.50400000002</v>
      </c>
      <c r="X95" s="476">
        <v>172431.50400000002</v>
      </c>
      <c r="Y95" s="476">
        <v>172431.50400000002</v>
      </c>
      <c r="Z95" s="476">
        <v>172431.50400000002</v>
      </c>
      <c r="AA95" s="476">
        <v>172431.50400000002</v>
      </c>
      <c r="AB95" s="476">
        <v>129323.628</v>
      </c>
      <c r="AC95" s="476">
        <v>86215.752000000008</v>
      </c>
      <c r="AD95" s="476">
        <v>0</v>
      </c>
      <c r="AE95" s="476">
        <v>0</v>
      </c>
      <c r="AF95" s="476">
        <v>0</v>
      </c>
      <c r="AG95" s="476">
        <v>0</v>
      </c>
      <c r="AH95" s="476">
        <v>0</v>
      </c>
      <c r="AI95" s="476">
        <v>0</v>
      </c>
      <c r="AJ95" s="476">
        <v>0</v>
      </c>
      <c r="AK95" s="476">
        <v>0</v>
      </c>
      <c r="AL95" s="476">
        <v>0</v>
      </c>
      <c r="AM95" s="476">
        <v>0</v>
      </c>
      <c r="AN95" s="476">
        <v>0</v>
      </c>
      <c r="AO95" s="476">
        <v>0</v>
      </c>
    </row>
    <row r="96" spans="2:41">
      <c r="B96" s="306" t="s">
        <v>520</v>
      </c>
      <c r="C96" s="306"/>
      <c r="D96" s="306" t="s">
        <v>526</v>
      </c>
      <c r="E96" s="330" t="str">
        <f t="shared" si="42"/>
        <v>MEDIUMDomestic newInstallations per year</v>
      </c>
      <c r="F96" s="476">
        <v>0</v>
      </c>
      <c r="G96" s="476">
        <v>0</v>
      </c>
      <c r="H96" s="476">
        <v>0</v>
      </c>
      <c r="I96" s="476">
        <v>0</v>
      </c>
      <c r="J96" s="476">
        <v>0</v>
      </c>
      <c r="K96" s="476">
        <v>31989.831001183342</v>
      </c>
      <c r="L96" s="476">
        <v>33842.143757393933</v>
      </c>
      <c r="M96" s="476">
        <v>54147.430011830205</v>
      </c>
      <c r="N96" s="476">
        <v>54147.430011830293</v>
      </c>
      <c r="O96" s="476">
        <v>54147.430011830205</v>
      </c>
      <c r="P96" s="476">
        <v>54147.430011830729</v>
      </c>
      <c r="Q96" s="476">
        <v>54794.030011823983</v>
      </c>
      <c r="R96" s="476">
        <v>54794.030011823983</v>
      </c>
      <c r="S96" s="476">
        <v>54794.030011824099</v>
      </c>
      <c r="T96" s="476">
        <v>54794.030011824099</v>
      </c>
      <c r="U96" s="476">
        <v>54794.030011823867</v>
      </c>
      <c r="V96" s="476">
        <v>25259.38285714318</v>
      </c>
      <c r="W96" s="476">
        <v>25259.38285714318</v>
      </c>
      <c r="X96" s="476">
        <v>25259.382857142948</v>
      </c>
      <c r="Y96" s="476">
        <v>16957.387570183026</v>
      </c>
      <c r="Z96" s="476">
        <v>11508.257317374926</v>
      </c>
      <c r="AA96" s="476">
        <v>11602.086851403816</v>
      </c>
      <c r="AB96" s="476">
        <v>11679.484714288497</v>
      </c>
      <c r="AC96" s="476">
        <v>11762.374147200841</v>
      </c>
      <c r="AD96" s="476">
        <v>11825.260291512939</v>
      </c>
      <c r="AE96" s="476">
        <v>11882.310440458474</v>
      </c>
      <c r="AF96" s="476">
        <v>11934.226081847097</v>
      </c>
      <c r="AG96" s="476">
        <v>11981.606379678589</v>
      </c>
      <c r="AH96" s="476">
        <v>12024.965577203198</v>
      </c>
      <c r="AI96" s="476">
        <v>12064.747041976196</v>
      </c>
      <c r="AJ96" s="476">
        <v>12101.334673553123</v>
      </c>
      <c r="AK96" s="476">
        <v>12135.062225016532</v>
      </c>
      <c r="AL96" s="476">
        <v>12166.220963241067</v>
      </c>
      <c r="AM96" s="476">
        <v>12195.065997868427</v>
      </c>
      <c r="AN96" s="476">
        <v>12221.82153698965</v>
      </c>
      <c r="AO96" s="476">
        <v>12246.685272645671</v>
      </c>
    </row>
    <row r="97" spans="2:41">
      <c r="B97" s="306" t="s">
        <v>527</v>
      </c>
      <c r="C97" s="306"/>
      <c r="D97" s="306" t="s">
        <v>526</v>
      </c>
      <c r="E97" s="330" t="str">
        <f>$B$90&amp;B97&amp;D97</f>
        <v>MEDIUMDomestic hybridsInstallations per year</v>
      </c>
      <c r="F97" s="476">
        <v>0</v>
      </c>
      <c r="G97" s="476">
        <v>0</v>
      </c>
      <c r="H97" s="476">
        <v>0</v>
      </c>
      <c r="I97" s="476">
        <v>0</v>
      </c>
      <c r="J97" s="476">
        <v>0</v>
      </c>
      <c r="K97" s="476">
        <v>0</v>
      </c>
      <c r="L97" s="476">
        <v>0</v>
      </c>
      <c r="M97" s="476">
        <v>0</v>
      </c>
      <c r="N97" s="476">
        <v>0</v>
      </c>
      <c r="O97" s="476">
        <v>0</v>
      </c>
      <c r="P97" s="476">
        <v>0</v>
      </c>
      <c r="Q97" s="476">
        <v>0</v>
      </c>
      <c r="R97" s="476">
        <v>0</v>
      </c>
      <c r="S97" s="476">
        <v>0</v>
      </c>
      <c r="T97" s="476">
        <v>0</v>
      </c>
      <c r="U97" s="476">
        <v>0</v>
      </c>
      <c r="V97" s="476">
        <v>0</v>
      </c>
      <c r="W97" s="476">
        <v>0</v>
      </c>
      <c r="X97" s="476">
        <v>0</v>
      </c>
      <c r="Y97" s="476">
        <v>0</v>
      </c>
      <c r="Z97" s="476">
        <v>0</v>
      </c>
      <c r="AA97" s="476">
        <v>0</v>
      </c>
      <c r="AB97" s="476">
        <v>0</v>
      </c>
      <c r="AC97" s="476">
        <v>0</v>
      </c>
      <c r="AD97" s="476">
        <v>0</v>
      </c>
      <c r="AE97" s="476">
        <v>0</v>
      </c>
      <c r="AF97" s="476">
        <v>0</v>
      </c>
      <c r="AG97" s="476">
        <v>0</v>
      </c>
      <c r="AH97" s="476">
        <v>0</v>
      </c>
      <c r="AI97" s="476">
        <v>0</v>
      </c>
      <c r="AJ97" s="476">
        <v>0</v>
      </c>
      <c r="AK97" s="476">
        <v>0</v>
      </c>
      <c r="AL97" s="476">
        <v>0</v>
      </c>
      <c r="AM97" s="476">
        <v>0</v>
      </c>
      <c r="AN97" s="476">
        <v>0</v>
      </c>
      <c r="AO97" s="476">
        <v>0</v>
      </c>
    </row>
    <row r="98" spans="2:41">
      <c r="B98" s="306" t="s">
        <v>528</v>
      </c>
      <c r="C98" s="306"/>
      <c r="D98" s="306" t="s">
        <v>526</v>
      </c>
      <c r="E98" s="330" t="str">
        <f t="shared" si="42"/>
        <v>MEDIUMNon-domestic hybridsInstallations per year</v>
      </c>
      <c r="F98" s="476">
        <v>0</v>
      </c>
      <c r="G98" s="476">
        <v>0</v>
      </c>
      <c r="H98" s="476">
        <v>0</v>
      </c>
      <c r="I98" s="476">
        <v>0</v>
      </c>
      <c r="J98" s="476">
        <v>0</v>
      </c>
      <c r="K98" s="476">
        <v>0</v>
      </c>
      <c r="L98" s="476">
        <v>0</v>
      </c>
      <c r="M98" s="476">
        <v>0</v>
      </c>
      <c r="N98" s="476">
        <v>0</v>
      </c>
      <c r="O98" s="476">
        <v>0</v>
      </c>
      <c r="P98" s="476">
        <v>0</v>
      </c>
      <c r="Q98" s="476">
        <v>0</v>
      </c>
      <c r="R98" s="476">
        <v>0</v>
      </c>
      <c r="S98" s="476">
        <v>0</v>
      </c>
      <c r="T98" s="476">
        <v>0</v>
      </c>
      <c r="U98" s="476">
        <v>0</v>
      </c>
      <c r="V98" s="476">
        <v>0</v>
      </c>
      <c r="W98" s="476">
        <v>0</v>
      </c>
      <c r="X98" s="476">
        <v>0</v>
      </c>
      <c r="Y98" s="476">
        <v>0</v>
      </c>
      <c r="Z98" s="476">
        <v>0</v>
      </c>
      <c r="AA98" s="476">
        <v>0</v>
      </c>
      <c r="AB98" s="476">
        <v>0</v>
      </c>
      <c r="AC98" s="476">
        <v>0</v>
      </c>
      <c r="AD98" s="476">
        <v>0</v>
      </c>
      <c r="AE98" s="476">
        <v>0</v>
      </c>
      <c r="AF98" s="476">
        <v>0</v>
      </c>
      <c r="AG98" s="476">
        <v>0</v>
      </c>
      <c r="AH98" s="476">
        <v>0</v>
      </c>
      <c r="AI98" s="476">
        <v>0</v>
      </c>
      <c r="AJ98" s="476">
        <v>0</v>
      </c>
      <c r="AK98" s="476">
        <v>0</v>
      </c>
      <c r="AL98" s="476">
        <v>0</v>
      </c>
      <c r="AM98" s="476">
        <v>0</v>
      </c>
      <c r="AN98" s="476">
        <v>0</v>
      </c>
      <c r="AO98" s="476">
        <v>0</v>
      </c>
    </row>
    <row r="99" spans="2:41">
      <c r="B99" s="306" t="s">
        <v>522</v>
      </c>
      <c r="C99" s="306"/>
      <c r="D99" s="306" t="s">
        <v>526</v>
      </c>
      <c r="E99" s="330" t="str">
        <f>$B$90&amp;B99&amp;D99</f>
        <v>MEDIUMNon-domestic existingInstallations per year</v>
      </c>
      <c r="F99" s="476">
        <v>0</v>
      </c>
      <c r="G99" s="476">
        <v>0</v>
      </c>
      <c r="H99" s="476">
        <v>0</v>
      </c>
      <c r="I99" s="476">
        <v>0</v>
      </c>
      <c r="J99" s="476">
        <v>0</v>
      </c>
      <c r="K99" s="476">
        <v>0</v>
      </c>
      <c r="L99" s="476">
        <v>698.63708778849048</v>
      </c>
      <c r="M99" s="476">
        <v>2234.350701028176</v>
      </c>
      <c r="N99" s="476">
        <v>4202.91863901529</v>
      </c>
      <c r="O99" s="476">
        <v>7458.3358858899865</v>
      </c>
      <c r="P99" s="476">
        <v>10179.607742567377</v>
      </c>
      <c r="Q99" s="476">
        <v>13938.550850851581</v>
      </c>
      <c r="R99" s="476">
        <v>17799.346454560386</v>
      </c>
      <c r="S99" s="476">
        <v>18394.432037865452</v>
      </c>
      <c r="T99" s="476">
        <v>18128.522029690459</v>
      </c>
      <c r="U99" s="476">
        <v>17490.493126560861</v>
      </c>
      <c r="V99" s="476">
        <v>17003.876085510448</v>
      </c>
      <c r="W99" s="476">
        <v>17003.876085510492</v>
      </c>
      <c r="X99" s="476">
        <v>17003.876085510477</v>
      </c>
      <c r="Y99" s="476">
        <v>17003.876085510477</v>
      </c>
      <c r="Z99" s="476">
        <v>17003.876085510477</v>
      </c>
      <c r="AA99" s="476">
        <v>17003.876085510477</v>
      </c>
      <c r="AB99" s="476">
        <v>12752.9070641328</v>
      </c>
      <c r="AC99" s="476">
        <v>8501.9380427552678</v>
      </c>
      <c r="AD99" s="476">
        <v>0</v>
      </c>
      <c r="AE99" s="476">
        <v>0</v>
      </c>
      <c r="AF99" s="476">
        <v>0</v>
      </c>
      <c r="AG99" s="476">
        <v>0</v>
      </c>
      <c r="AH99" s="476">
        <v>0</v>
      </c>
      <c r="AI99" s="476">
        <v>0</v>
      </c>
      <c r="AJ99" s="476">
        <v>0</v>
      </c>
      <c r="AK99" s="476">
        <v>0</v>
      </c>
      <c r="AL99" s="476">
        <v>0</v>
      </c>
      <c r="AM99" s="476">
        <v>0</v>
      </c>
      <c r="AN99" s="476">
        <v>0</v>
      </c>
      <c r="AO99" s="476">
        <v>0</v>
      </c>
    </row>
    <row r="100" spans="2:41">
      <c r="B100" s="306" t="s">
        <v>524</v>
      </c>
      <c r="C100" s="306"/>
      <c r="D100" s="306" t="s">
        <v>526</v>
      </c>
      <c r="E100" s="330" t="str">
        <f t="shared" si="42"/>
        <v>MEDIUMNon-domestic newInstallations per year</v>
      </c>
      <c r="F100" s="476">
        <v>0</v>
      </c>
      <c r="G100" s="476">
        <v>0</v>
      </c>
      <c r="H100" s="476">
        <v>0</v>
      </c>
      <c r="I100" s="476">
        <v>0</v>
      </c>
      <c r="J100" s="476">
        <v>0</v>
      </c>
      <c r="K100" s="476">
        <v>1543.3825637228911</v>
      </c>
      <c r="L100" s="476">
        <v>1716.237673248314</v>
      </c>
      <c r="M100" s="476">
        <v>2794.7446618992749</v>
      </c>
      <c r="N100" s="476">
        <v>2860.3089445603318</v>
      </c>
      <c r="O100" s="476">
        <v>2906.0211305794037</v>
      </c>
      <c r="P100" s="476">
        <v>2939.1611080511575</v>
      </c>
      <c r="Q100" s="476">
        <v>2850.5151589933721</v>
      </c>
      <c r="R100" s="476">
        <v>2848.2231550008291</v>
      </c>
      <c r="S100" s="476">
        <v>2846.3485369068731</v>
      </c>
      <c r="T100" s="476">
        <v>2844.7957602252391</v>
      </c>
      <c r="U100" s="476">
        <v>2843.4951396574761</v>
      </c>
      <c r="V100" s="476">
        <v>2166.440580751434</v>
      </c>
      <c r="W100" s="476">
        <v>2198.114718408262</v>
      </c>
      <c r="X100" s="476">
        <v>2227.5828694089723</v>
      </c>
      <c r="Y100" s="476">
        <v>2255.0452376917237</v>
      </c>
      <c r="Z100" s="476">
        <v>1484.1302039942238</v>
      </c>
      <c r="AA100" s="476">
        <v>845.15004212525673</v>
      </c>
      <c r="AB100" s="476">
        <v>845.70564457128785</v>
      </c>
      <c r="AC100" s="476">
        <v>846.19810251857416</v>
      </c>
      <c r="AD100" s="476">
        <v>846.63662943503004</v>
      </c>
      <c r="AE100" s="476">
        <v>847.02881849988626</v>
      </c>
      <c r="AF100" s="476">
        <v>847.38097272004234</v>
      </c>
      <c r="AG100" s="476">
        <v>847.69835920029436</v>
      </c>
      <c r="AH100" s="476">
        <v>847.98540684011823</v>
      </c>
      <c r="AI100" s="476">
        <v>848.24586139278108</v>
      </c>
      <c r="AJ100" s="476">
        <v>848.48290807481681</v>
      </c>
      <c r="AK100" s="476">
        <v>848.6992692579297</v>
      </c>
      <c r="AL100" s="476">
        <v>848.89728286787431</v>
      </c>
      <c r="AM100" s="476">
        <v>849.07896572002937</v>
      </c>
      <c r="AN100" s="476">
        <v>849.24606501175731</v>
      </c>
      <c r="AO100" s="476">
        <v>849.40010043550865</v>
      </c>
    </row>
    <row r="101" spans="2:41">
      <c r="B101" s="50" t="s">
        <v>560</v>
      </c>
    </row>
    <row r="102" spans="2:41">
      <c r="B102" s="306" t="s">
        <v>518</v>
      </c>
      <c r="C102" s="306"/>
      <c r="D102" s="306" t="s">
        <v>519</v>
      </c>
      <c r="E102" s="330" t="str">
        <f>$B$101&amp;B102&amp;D102</f>
        <v>NO SCRAPPAGEDomestic existing% Domestic existing heat</v>
      </c>
      <c r="F102" s="477">
        <v>0</v>
      </c>
      <c r="G102" s="477">
        <v>0</v>
      </c>
      <c r="H102" s="477">
        <v>0</v>
      </c>
      <c r="I102" s="477">
        <v>0</v>
      </c>
      <c r="J102" s="477">
        <v>0</v>
      </c>
      <c r="K102" s="477">
        <v>0</v>
      </c>
      <c r="L102" s="477">
        <v>4.3382156125773659E-3</v>
      </c>
      <c r="M102" s="477">
        <v>1.3659380856683792E-2</v>
      </c>
      <c r="N102" s="477">
        <v>3.4463880304076877E-2</v>
      </c>
      <c r="O102" s="477">
        <v>6.9300358264354864E-2</v>
      </c>
      <c r="P102" s="477">
        <v>0.11964885073058718</v>
      </c>
      <c r="Q102" s="477">
        <v>0.18629933528748122</v>
      </c>
      <c r="R102" s="477">
        <v>0.25691772156748249</v>
      </c>
      <c r="S102" s="477">
        <v>0.32946920062318819</v>
      </c>
      <c r="T102" s="477">
        <v>0.40045306978428125</v>
      </c>
      <c r="U102" s="477">
        <v>0.46853905105455212</v>
      </c>
      <c r="V102" s="477">
        <v>0.53453046669603832</v>
      </c>
      <c r="W102" s="477">
        <v>0.60052188233752457</v>
      </c>
      <c r="X102" s="477">
        <v>0.66651329797901071</v>
      </c>
      <c r="Y102" s="477">
        <v>0.73250471362049696</v>
      </c>
      <c r="Z102" s="477">
        <v>0.74781314951779931</v>
      </c>
      <c r="AA102" s="477">
        <v>0.74781314951779931</v>
      </c>
      <c r="AB102" s="477">
        <v>0.74781314951779931</v>
      </c>
      <c r="AC102" s="477">
        <v>0.74781314951779931</v>
      </c>
      <c r="AD102" s="477">
        <v>0.74781314951779931</v>
      </c>
      <c r="AE102" s="477">
        <v>0.7478131495177992</v>
      </c>
      <c r="AF102" s="477">
        <v>0.7400000000000001</v>
      </c>
      <c r="AG102" s="477">
        <v>0.73</v>
      </c>
      <c r="AH102" s="477">
        <v>0.72</v>
      </c>
      <c r="AI102" s="477">
        <v>0.71</v>
      </c>
      <c r="AJ102" s="477">
        <v>0.7</v>
      </c>
      <c r="AK102" s="477">
        <v>0.7</v>
      </c>
      <c r="AL102" s="477">
        <v>0.7</v>
      </c>
      <c r="AM102" s="477">
        <v>0.7</v>
      </c>
      <c r="AN102" s="477">
        <v>0.7</v>
      </c>
      <c r="AO102" s="477">
        <v>0.7</v>
      </c>
    </row>
    <row r="103" spans="2:41">
      <c r="B103" s="306" t="s">
        <v>520</v>
      </c>
      <c r="C103" s="306"/>
      <c r="D103" s="306" t="s">
        <v>521</v>
      </c>
      <c r="E103" s="330" t="str">
        <f t="shared" ref="E103:E111" si="43">$B$101&amp;B103&amp;D103</f>
        <v>NO SCRAPPAGEDomestic new% Domestic new heat</v>
      </c>
      <c r="F103" s="477">
        <v>0</v>
      </c>
      <c r="G103" s="477">
        <v>0</v>
      </c>
      <c r="H103" s="477">
        <v>0</v>
      </c>
      <c r="I103" s="477">
        <v>0</v>
      </c>
      <c r="J103" s="477">
        <v>0</v>
      </c>
      <c r="K103" s="477">
        <v>7.9999999999999766E-2</v>
      </c>
      <c r="L103" s="477">
        <v>0.1407998385532471</v>
      </c>
      <c r="M103" s="477">
        <v>0.19886827668666721</v>
      </c>
      <c r="N103" s="477">
        <v>0.26635116722668389</v>
      </c>
      <c r="O103" s="477">
        <v>0.32021203868042697</v>
      </c>
      <c r="P103" s="477">
        <v>0.3641973507931609</v>
      </c>
      <c r="Q103" s="477">
        <v>0.39430671160560687</v>
      </c>
      <c r="R103" s="477">
        <v>0.42052446374929786</v>
      </c>
      <c r="S103" s="477">
        <v>0.44355928948938655</v>
      </c>
      <c r="T103" s="477">
        <v>0.46395764547872437</v>
      </c>
      <c r="U103" s="477">
        <v>0.48214766924320868</v>
      </c>
      <c r="V103" s="477">
        <v>0.49475521574455067</v>
      </c>
      <c r="W103" s="477">
        <v>0.50676347006339961</v>
      </c>
      <c r="X103" s="477">
        <v>0.51821417068596243</v>
      </c>
      <c r="Y103" s="477">
        <v>0.52914526812933538</v>
      </c>
      <c r="Z103" s="477">
        <v>0.53959134512860496</v>
      </c>
      <c r="AA103" s="477">
        <v>0.54958398210590231</v>
      </c>
      <c r="AB103" s="477">
        <v>0.55915207605795569</v>
      </c>
      <c r="AC103" s="477">
        <v>0.56832211964471313</v>
      </c>
      <c r="AD103" s="477">
        <v>0.577118446155929</v>
      </c>
      <c r="AE103" s="477">
        <v>0.58556344512566527</v>
      </c>
      <c r="AF103" s="477">
        <v>0.59367775261752398</v>
      </c>
      <c r="AG103" s="477">
        <v>0.60148041958542897</v>
      </c>
      <c r="AH103" s="477">
        <v>0.60898906120155083</v>
      </c>
      <c r="AI103" s="477">
        <v>0.61621998961518931</v>
      </c>
      <c r="AJ103" s="477">
        <v>0.62318833224853709</v>
      </c>
      <c r="AK103" s="477">
        <v>0.62990813743480079</v>
      </c>
      <c r="AL103" s="477">
        <v>0.63639246895109181</v>
      </c>
      <c r="AM103" s="477">
        <v>0.64265349078464662</v>
      </c>
      <c r="AN103" s="477">
        <v>0.64870254328966703</v>
      </c>
      <c r="AO103" s="477">
        <v>0.65455021173795669</v>
      </c>
    </row>
    <row r="104" spans="2:41">
      <c r="B104" s="306" t="s">
        <v>522</v>
      </c>
      <c r="C104" s="306"/>
      <c r="D104" s="306" t="s">
        <v>523</v>
      </c>
      <c r="E104" s="330" t="str">
        <f t="shared" si="43"/>
        <v>NO SCRAPPAGENon-domestic existing% Non-Domestic existing heat</v>
      </c>
      <c r="F104" s="477">
        <v>0</v>
      </c>
      <c r="G104" s="477">
        <v>0</v>
      </c>
      <c r="H104" s="477">
        <v>0</v>
      </c>
      <c r="I104" s="477">
        <v>0</v>
      </c>
      <c r="J104" s="477">
        <v>0</v>
      </c>
      <c r="K104" s="477">
        <v>0</v>
      </c>
      <c r="L104" s="477">
        <v>4.3382156125773659E-3</v>
      </c>
      <c r="M104" s="477">
        <v>1.3659380856683792E-2</v>
      </c>
      <c r="N104" s="477">
        <v>3.4463880304076877E-2</v>
      </c>
      <c r="O104" s="477">
        <v>6.9300358264354864E-2</v>
      </c>
      <c r="P104" s="477">
        <v>0.11964885073058718</v>
      </c>
      <c r="Q104" s="477">
        <v>0.18629933528748122</v>
      </c>
      <c r="R104" s="477">
        <v>0.25691772156748249</v>
      </c>
      <c r="S104" s="477">
        <v>0.32946920062318819</v>
      </c>
      <c r="T104" s="477">
        <v>0.40045306978428125</v>
      </c>
      <c r="U104" s="477">
        <v>0.46853905105455212</v>
      </c>
      <c r="V104" s="477">
        <v>0.53453046669603832</v>
      </c>
      <c r="W104" s="477">
        <v>0.60052188233752457</v>
      </c>
      <c r="X104" s="477">
        <v>0.66651329797901071</v>
      </c>
      <c r="Y104" s="477">
        <v>0.66700000000000004</v>
      </c>
      <c r="Z104" s="477">
        <v>0.66700000000000004</v>
      </c>
      <c r="AA104" s="477">
        <v>0.65</v>
      </c>
      <c r="AB104" s="477">
        <v>0.64</v>
      </c>
      <c r="AC104" s="477">
        <v>0.63</v>
      </c>
      <c r="AD104" s="477">
        <v>0.62</v>
      </c>
      <c r="AE104" s="477">
        <v>0.61</v>
      </c>
      <c r="AF104" s="477">
        <v>0.6</v>
      </c>
      <c r="AG104" s="477">
        <v>0.59</v>
      </c>
      <c r="AH104" s="477">
        <v>0.57999999999999996</v>
      </c>
      <c r="AI104" s="477">
        <v>0.56999999999999995</v>
      </c>
      <c r="AJ104" s="477">
        <v>0.56000000000000005</v>
      </c>
      <c r="AK104" s="477">
        <v>0.55000000000000004</v>
      </c>
      <c r="AL104" s="477">
        <v>0.55000000000000004</v>
      </c>
      <c r="AM104" s="477">
        <v>0.55000000000000004</v>
      </c>
      <c r="AN104" s="477">
        <v>0.55000000000000004</v>
      </c>
      <c r="AO104" s="477">
        <v>0.55000000000000004</v>
      </c>
    </row>
    <row r="105" spans="2:41">
      <c r="B105" s="306" t="s">
        <v>524</v>
      </c>
      <c r="C105" s="306"/>
      <c r="D105" s="306" t="s">
        <v>525</v>
      </c>
      <c r="E105" s="330" t="str">
        <f t="shared" si="43"/>
        <v>NO SCRAPPAGENon-domestic new% Non-Domestic new heat</v>
      </c>
      <c r="F105" s="477">
        <v>0</v>
      </c>
      <c r="G105" s="477">
        <v>0</v>
      </c>
      <c r="H105" s="477">
        <v>0</v>
      </c>
      <c r="I105" s="477">
        <v>0</v>
      </c>
      <c r="J105" s="477">
        <v>0</v>
      </c>
      <c r="K105" s="477">
        <v>7.9999999999999766E-2</v>
      </c>
      <c r="L105" s="477">
        <v>0.1407998385532471</v>
      </c>
      <c r="M105" s="477">
        <v>0.19886827668666721</v>
      </c>
      <c r="N105" s="477">
        <v>0.26635116722668389</v>
      </c>
      <c r="O105" s="477">
        <v>0.32021203868042697</v>
      </c>
      <c r="P105" s="477">
        <v>0.3641973507931609</v>
      </c>
      <c r="Q105" s="477">
        <v>0.39430671160560687</v>
      </c>
      <c r="R105" s="477">
        <v>0.42052446374929786</v>
      </c>
      <c r="S105" s="477">
        <v>0.44355928948938655</v>
      </c>
      <c r="T105" s="477">
        <v>0.46395764547872431</v>
      </c>
      <c r="U105" s="477">
        <v>0.48214766924320862</v>
      </c>
      <c r="V105" s="477">
        <v>0.49475521574455067</v>
      </c>
      <c r="W105" s="477">
        <v>0.50676347006339961</v>
      </c>
      <c r="X105" s="477">
        <v>0.51821417068596243</v>
      </c>
      <c r="Y105" s="477">
        <v>0.52914526812933538</v>
      </c>
      <c r="Z105" s="477">
        <v>0.53959134512860496</v>
      </c>
      <c r="AA105" s="477">
        <v>0.54958398210590231</v>
      </c>
      <c r="AB105" s="477">
        <v>0.55915207605795569</v>
      </c>
      <c r="AC105" s="477">
        <v>0.56832211964471313</v>
      </c>
      <c r="AD105" s="477">
        <v>0.577118446155929</v>
      </c>
      <c r="AE105" s="477">
        <v>0.58556344512566527</v>
      </c>
      <c r="AF105" s="477">
        <v>0.59367775261752398</v>
      </c>
      <c r="AG105" s="477">
        <v>0.60148041958542897</v>
      </c>
      <c r="AH105" s="477">
        <v>0.60898906120155083</v>
      </c>
      <c r="AI105" s="477">
        <v>0.61621998961518931</v>
      </c>
      <c r="AJ105" s="477">
        <v>0.62318833224853709</v>
      </c>
      <c r="AK105" s="477">
        <v>0.62990813743480079</v>
      </c>
      <c r="AL105" s="477">
        <v>0.63639246895109181</v>
      </c>
      <c r="AM105" s="477">
        <v>0.64265349078464662</v>
      </c>
      <c r="AN105" s="477">
        <v>0.64870254328966703</v>
      </c>
      <c r="AO105" s="477">
        <v>0.65455021173795669</v>
      </c>
    </row>
    <row r="106" spans="2:41">
      <c r="B106" s="306" t="s">
        <v>518</v>
      </c>
      <c r="C106" s="306"/>
      <c r="D106" s="306" t="s">
        <v>526</v>
      </c>
      <c r="E106" s="330" t="str">
        <f t="shared" si="43"/>
        <v>NO SCRAPPAGEDomestic existingInstallations per year</v>
      </c>
      <c r="F106" s="476">
        <v>0</v>
      </c>
      <c r="G106" s="476">
        <v>0</v>
      </c>
      <c r="H106" s="476">
        <v>0</v>
      </c>
      <c r="I106" s="476">
        <v>0</v>
      </c>
      <c r="J106" s="476">
        <v>0</v>
      </c>
      <c r="K106" s="476">
        <v>0</v>
      </c>
      <c r="L106" s="476">
        <v>21553.938000000002</v>
      </c>
      <c r="M106" s="476">
        <v>43107.876000000004</v>
      </c>
      <c r="N106" s="476">
        <v>86215.752000000008</v>
      </c>
      <c r="O106" s="476">
        <v>129323.628</v>
      </c>
      <c r="P106" s="476">
        <v>172431.50400000002</v>
      </c>
      <c r="Q106" s="476">
        <v>215539.37999999995</v>
      </c>
      <c r="R106" s="476">
        <v>215539.38</v>
      </c>
      <c r="S106" s="476">
        <v>215539.38</v>
      </c>
      <c r="T106" s="476">
        <v>215539.37999999989</v>
      </c>
      <c r="U106" s="476">
        <v>215539.37999999989</v>
      </c>
      <c r="V106" s="476">
        <v>215539.37999999989</v>
      </c>
      <c r="W106" s="476">
        <v>50966.572664923733</v>
      </c>
      <c r="X106" s="476">
        <v>155.38256488298066</v>
      </c>
      <c r="Y106" s="476">
        <v>140.09719996433705</v>
      </c>
      <c r="Z106" s="476">
        <v>79.276615470182151</v>
      </c>
      <c r="AA106" s="476">
        <v>52.799542847089469</v>
      </c>
      <c r="AB106" s="476">
        <v>52.340621746378019</v>
      </c>
      <c r="AC106" s="476">
        <v>5.5442982232198119</v>
      </c>
      <c r="AD106" s="476">
        <v>5.0823034199420363</v>
      </c>
      <c r="AE106" s="476">
        <v>4.6203007788863033</v>
      </c>
      <c r="AF106" s="476">
        <v>0</v>
      </c>
      <c r="AG106" s="476">
        <v>0</v>
      </c>
      <c r="AH106" s="476">
        <v>0</v>
      </c>
      <c r="AI106" s="476">
        <v>0</v>
      </c>
      <c r="AJ106" s="476">
        <v>0</v>
      </c>
      <c r="AK106" s="476">
        <v>142.16621813271195</v>
      </c>
      <c r="AL106" s="476">
        <v>106.57936758152209</v>
      </c>
      <c r="AM106" s="476">
        <v>71.031342171132565</v>
      </c>
      <c r="AN106" s="476">
        <v>35.509200217202306</v>
      </c>
      <c r="AO106" s="476">
        <v>0</v>
      </c>
    </row>
    <row r="107" spans="2:41">
      <c r="B107" s="306" t="s">
        <v>520</v>
      </c>
      <c r="C107" s="306"/>
      <c r="D107" s="306" t="s">
        <v>526</v>
      </c>
      <c r="E107" s="330" t="str">
        <f t="shared" si="43"/>
        <v>NO SCRAPPAGEDomestic newInstallations per year</v>
      </c>
      <c r="F107" s="476">
        <v>0</v>
      </c>
      <c r="G107" s="476">
        <v>0</v>
      </c>
      <c r="H107" s="476">
        <v>0</v>
      </c>
      <c r="I107" s="476">
        <v>0</v>
      </c>
      <c r="J107" s="476">
        <v>0</v>
      </c>
      <c r="K107" s="476">
        <v>31989.831001183342</v>
      </c>
      <c r="L107" s="476">
        <v>33842.143757393933</v>
      </c>
      <c r="M107" s="476">
        <v>40610.572508872647</v>
      </c>
      <c r="N107" s="476">
        <v>54147.430011830278</v>
      </c>
      <c r="O107" s="476">
        <v>54147.430011830205</v>
      </c>
      <c r="P107" s="476">
        <v>54147.430011830729</v>
      </c>
      <c r="Q107" s="476">
        <v>43835.224009459198</v>
      </c>
      <c r="R107" s="476">
        <v>43835.224009459198</v>
      </c>
      <c r="S107" s="476">
        <v>43835.224009459256</v>
      </c>
      <c r="T107" s="476">
        <v>43835.224009459256</v>
      </c>
      <c r="U107" s="476">
        <v>43835.224009459082</v>
      </c>
      <c r="V107" s="476">
        <v>25259.38285714318</v>
      </c>
      <c r="W107" s="476">
        <v>25259.382857143122</v>
      </c>
      <c r="X107" s="476">
        <v>25259.382857142948</v>
      </c>
      <c r="Y107" s="476">
        <v>25259.38285714318</v>
      </c>
      <c r="Z107" s="476">
        <v>25259.382857142948</v>
      </c>
      <c r="AA107" s="476">
        <v>25259.38285714318</v>
      </c>
      <c r="AB107" s="476">
        <v>25259.38285714318</v>
      </c>
      <c r="AC107" s="476">
        <v>25259.382857142948</v>
      </c>
      <c r="AD107" s="476">
        <v>17368.82412103028</v>
      </c>
      <c r="AE107" s="476">
        <v>11882.310440458474</v>
      </c>
      <c r="AF107" s="476">
        <v>11934.226081847097</v>
      </c>
      <c r="AG107" s="476">
        <v>11981.606379678589</v>
      </c>
      <c r="AH107" s="476">
        <v>12024.965577203198</v>
      </c>
      <c r="AI107" s="476">
        <v>12064.747041976196</v>
      </c>
      <c r="AJ107" s="476">
        <v>12101.334673553123</v>
      </c>
      <c r="AK107" s="476">
        <v>12135.062225016532</v>
      </c>
      <c r="AL107" s="476">
        <v>12166.220963241067</v>
      </c>
      <c r="AM107" s="476">
        <v>12195.065997868427</v>
      </c>
      <c r="AN107" s="476">
        <v>12221.82153698965</v>
      </c>
      <c r="AO107" s="476">
        <v>12246.685272645671</v>
      </c>
    </row>
    <row r="108" spans="2:41">
      <c r="B108" s="306" t="s">
        <v>527</v>
      </c>
      <c r="C108" s="306"/>
      <c r="D108" s="306" t="s">
        <v>526</v>
      </c>
      <c r="E108" s="330" t="str">
        <f t="shared" si="43"/>
        <v>NO SCRAPPAGEDomestic hybridsInstallations per year</v>
      </c>
      <c r="F108" s="476">
        <v>0</v>
      </c>
      <c r="G108" s="476">
        <v>0</v>
      </c>
      <c r="H108" s="476">
        <v>0</v>
      </c>
      <c r="I108" s="476">
        <v>0</v>
      </c>
      <c r="J108" s="476">
        <v>0</v>
      </c>
      <c r="K108" s="476">
        <v>0</v>
      </c>
      <c r="L108" s="476">
        <v>0</v>
      </c>
      <c r="M108" s="476">
        <v>0</v>
      </c>
      <c r="N108" s="476">
        <v>0</v>
      </c>
      <c r="O108" s="476">
        <v>0</v>
      </c>
      <c r="P108" s="476">
        <v>0</v>
      </c>
      <c r="Q108" s="476">
        <v>0</v>
      </c>
      <c r="R108" s="476">
        <v>0</v>
      </c>
      <c r="S108" s="476">
        <v>0</v>
      </c>
      <c r="T108" s="476">
        <v>0</v>
      </c>
      <c r="U108" s="476">
        <v>0</v>
      </c>
      <c r="V108" s="476">
        <v>0</v>
      </c>
      <c r="W108" s="476">
        <v>164572.80733507621</v>
      </c>
      <c r="X108" s="476">
        <v>215383.99743511691</v>
      </c>
      <c r="Y108" s="476">
        <v>215399.28280003573</v>
      </c>
      <c r="Z108" s="476">
        <v>49920.723384529352</v>
      </c>
      <c r="AA108" s="476">
        <v>0</v>
      </c>
      <c r="AB108" s="476">
        <v>0</v>
      </c>
      <c r="AC108" s="476">
        <v>0</v>
      </c>
      <c r="AD108" s="476">
        <v>0</v>
      </c>
      <c r="AE108" s="476">
        <v>0</v>
      </c>
      <c r="AF108" s="476">
        <v>8121.3502432710957</v>
      </c>
      <c r="AG108" s="476">
        <v>982.91803597682156</v>
      </c>
      <c r="AH108" s="476">
        <v>991.59522561065387</v>
      </c>
      <c r="AI108" s="476">
        <v>1004.7442735541845</v>
      </c>
      <c r="AJ108" s="476">
        <v>1022.3624412326608</v>
      </c>
      <c r="AK108" s="476">
        <v>0</v>
      </c>
      <c r="AL108" s="476">
        <v>0</v>
      </c>
      <c r="AM108" s="476">
        <v>0</v>
      </c>
      <c r="AN108" s="476">
        <v>0</v>
      </c>
      <c r="AO108" s="476">
        <v>0</v>
      </c>
    </row>
    <row r="109" spans="2:41">
      <c r="B109" s="306" t="s">
        <v>528</v>
      </c>
      <c r="C109" s="306"/>
      <c r="D109" s="306" t="s">
        <v>526</v>
      </c>
      <c r="E109" s="330" t="str">
        <f t="shared" si="43"/>
        <v>NO SCRAPPAGENon-domestic hybridsInstallations per year</v>
      </c>
      <c r="F109" s="476">
        <v>0</v>
      </c>
      <c r="G109" s="476">
        <v>0</v>
      </c>
      <c r="H109" s="476">
        <v>0</v>
      </c>
      <c r="I109" s="476">
        <v>0</v>
      </c>
      <c r="J109" s="476">
        <v>0</v>
      </c>
      <c r="K109" s="476">
        <v>0</v>
      </c>
      <c r="L109" s="476">
        <v>0</v>
      </c>
      <c r="M109" s="476">
        <v>0</v>
      </c>
      <c r="N109" s="476">
        <v>0</v>
      </c>
      <c r="O109" s="476">
        <v>0</v>
      </c>
      <c r="P109" s="476">
        <v>0</v>
      </c>
      <c r="Q109" s="476">
        <v>0</v>
      </c>
      <c r="R109" s="476">
        <v>0</v>
      </c>
      <c r="S109" s="476">
        <v>12486.262187241578</v>
      </c>
      <c r="T109" s="476">
        <v>12153.029546710904</v>
      </c>
      <c r="U109" s="476">
        <v>11389.443703176319</v>
      </c>
      <c r="V109" s="476">
        <v>13172.860731782173</v>
      </c>
      <c r="W109" s="476">
        <v>13187.832308934012</v>
      </c>
      <c r="X109" s="476">
        <v>21593.806330845102</v>
      </c>
      <c r="Y109" s="476">
        <v>659.16963180452876</v>
      </c>
      <c r="Z109" s="476">
        <v>332.0280388215906</v>
      </c>
      <c r="AA109" s="476">
        <v>0</v>
      </c>
      <c r="AB109" s="476">
        <v>0</v>
      </c>
      <c r="AC109" s="476">
        <v>0</v>
      </c>
      <c r="AD109" s="476">
        <v>0</v>
      </c>
      <c r="AE109" s="476">
        <v>0</v>
      </c>
      <c r="AF109" s="476">
        <v>0</v>
      </c>
      <c r="AG109" s="476">
        <v>0</v>
      </c>
      <c r="AH109" s="476">
        <v>0</v>
      </c>
      <c r="AI109" s="476">
        <v>0</v>
      </c>
      <c r="AJ109" s="476">
        <v>0</v>
      </c>
      <c r="AK109" s="476">
        <v>0</v>
      </c>
      <c r="AL109" s="476">
        <v>64.164265841347515</v>
      </c>
      <c r="AM109" s="476">
        <v>65.505693946804968</v>
      </c>
      <c r="AN109" s="476">
        <v>66.844184320390923</v>
      </c>
      <c r="AO109" s="476">
        <v>68.183714854501886</v>
      </c>
    </row>
    <row r="110" spans="2:41">
      <c r="B110" s="306" t="s">
        <v>522</v>
      </c>
      <c r="C110" s="306"/>
      <c r="D110" s="306" t="s">
        <v>526</v>
      </c>
      <c r="E110" s="330" t="str">
        <f t="shared" si="43"/>
        <v>NO SCRAPPAGENon-domestic existingInstallations per year</v>
      </c>
      <c r="F110" s="476">
        <v>0</v>
      </c>
      <c r="G110" s="476">
        <v>0</v>
      </c>
      <c r="H110" s="476">
        <v>0</v>
      </c>
      <c r="I110" s="476">
        <v>0</v>
      </c>
      <c r="J110" s="476">
        <v>0</v>
      </c>
      <c r="K110" s="476">
        <v>0</v>
      </c>
      <c r="L110" s="476">
        <v>1397.274175576981</v>
      </c>
      <c r="M110" s="476">
        <v>3002.2075076480178</v>
      </c>
      <c r="N110" s="476">
        <v>6700.8172045136025</v>
      </c>
      <c r="O110" s="476">
        <v>11220.307003836137</v>
      </c>
      <c r="P110" s="476">
        <v>16216.494195986426</v>
      </c>
      <c r="Q110" s="476">
        <v>21467.121318507227</v>
      </c>
      <c r="R110" s="476">
        <v>22745.122944994204</v>
      </c>
      <c r="S110" s="476">
        <v>10881.48094441538</v>
      </c>
      <c r="T110" s="476">
        <v>10709.809952039752</v>
      </c>
      <c r="U110" s="476">
        <v>10540.029574258879</v>
      </c>
      <c r="V110" s="476">
        <v>8081.9843751059088</v>
      </c>
      <c r="W110" s="476">
        <v>8067.0127979540848</v>
      </c>
      <c r="X110" s="476">
        <v>0</v>
      </c>
      <c r="Y110" s="476">
        <v>0</v>
      </c>
      <c r="Z110" s="476">
        <v>0</v>
      </c>
      <c r="AA110" s="476">
        <v>0</v>
      </c>
      <c r="AB110" s="476">
        <v>0</v>
      </c>
      <c r="AC110" s="476">
        <v>0</v>
      </c>
      <c r="AD110" s="476">
        <v>0</v>
      </c>
      <c r="AE110" s="476">
        <v>0</v>
      </c>
      <c r="AF110" s="476">
        <v>0</v>
      </c>
      <c r="AG110" s="476">
        <v>0</v>
      </c>
      <c r="AH110" s="476">
        <v>0</v>
      </c>
      <c r="AI110" s="476">
        <v>0</v>
      </c>
      <c r="AJ110" s="476">
        <v>0</v>
      </c>
      <c r="AK110" s="476">
        <v>0</v>
      </c>
      <c r="AL110" s="476">
        <v>0</v>
      </c>
      <c r="AM110" s="476">
        <v>0</v>
      </c>
      <c r="AN110" s="476">
        <v>0</v>
      </c>
      <c r="AO110" s="476">
        <v>0</v>
      </c>
    </row>
    <row r="111" spans="2:41">
      <c r="B111" s="306" t="s">
        <v>524</v>
      </c>
      <c r="C111" s="306"/>
      <c r="D111" s="306" t="s">
        <v>526</v>
      </c>
      <c r="E111" s="330" t="str">
        <f t="shared" si="43"/>
        <v>NO SCRAPPAGENon-domestic newInstallations per year</v>
      </c>
      <c r="F111" s="476">
        <v>0</v>
      </c>
      <c r="G111" s="476">
        <v>0</v>
      </c>
      <c r="H111" s="476">
        <v>0</v>
      </c>
      <c r="I111" s="476">
        <v>0</v>
      </c>
      <c r="J111" s="476">
        <v>0</v>
      </c>
      <c r="K111" s="476">
        <v>1543.3825637228911</v>
      </c>
      <c r="L111" s="476">
        <v>1716.237673248314</v>
      </c>
      <c r="M111" s="476">
        <v>2111.6518005556904</v>
      </c>
      <c r="N111" s="476">
        <v>2850.3629089712076</v>
      </c>
      <c r="O111" s="476">
        <v>2898.0827903563768</v>
      </c>
      <c r="P111" s="476">
        <v>2932.6782873514057</v>
      </c>
      <c r="Q111" s="476">
        <v>2278.7414908479186</v>
      </c>
      <c r="R111" s="476">
        <v>2277.1238159470813</v>
      </c>
      <c r="S111" s="476">
        <v>2275.8007280950915</v>
      </c>
      <c r="T111" s="476">
        <v>2274.7047928904976</v>
      </c>
      <c r="U111" s="476">
        <v>2273.7868271038642</v>
      </c>
      <c r="V111" s="476">
        <v>2066.5624723139008</v>
      </c>
      <c r="W111" s="476">
        <v>2102.9842561192017</v>
      </c>
      <c r="X111" s="476">
        <v>2136.8693972560504</v>
      </c>
      <c r="Y111" s="476">
        <v>2168.448108291941</v>
      </c>
      <c r="Z111" s="476">
        <v>2197.9250650624817</v>
      </c>
      <c r="AA111" s="476">
        <v>2225.4827321427729</v>
      </c>
      <c r="AB111" s="476">
        <v>2251.2841938223937</v>
      </c>
      <c r="AC111" s="476">
        <v>1279.4913282158159</v>
      </c>
      <c r="AD111" s="476">
        <v>846.63662943503004</v>
      </c>
      <c r="AE111" s="476">
        <v>847.02881849988626</v>
      </c>
      <c r="AF111" s="476">
        <v>847.38097272004234</v>
      </c>
      <c r="AG111" s="476">
        <v>847.69835920029436</v>
      </c>
      <c r="AH111" s="476">
        <v>847.98540684011823</v>
      </c>
      <c r="AI111" s="476">
        <v>848.24586139278108</v>
      </c>
      <c r="AJ111" s="476">
        <v>848.48290807481681</v>
      </c>
      <c r="AK111" s="476">
        <v>848.6992692579297</v>
      </c>
      <c r="AL111" s="476">
        <v>848.89728286787431</v>
      </c>
      <c r="AM111" s="476">
        <v>849.07896572002937</v>
      </c>
      <c r="AN111" s="476">
        <v>849.24606501175731</v>
      </c>
      <c r="AO111" s="476">
        <v>849.40010043550865</v>
      </c>
    </row>
    <row r="112" spans="2:41">
      <c r="B112" s="50" t="s">
        <v>561</v>
      </c>
    </row>
    <row r="113" spans="1:42">
      <c r="B113" s="306" t="s">
        <v>518</v>
      </c>
      <c r="C113" s="306"/>
      <c r="D113" s="306" t="s">
        <v>519</v>
      </c>
      <c r="E113" s="330" t="str">
        <f>$B$112&amp;B113&amp;D113</f>
        <v>HIGHDomestic existing% Domestic existing heat</v>
      </c>
      <c r="F113" s="477">
        <v>0</v>
      </c>
      <c r="G113" s="477">
        <v>0</v>
      </c>
      <c r="H113" s="477">
        <v>0</v>
      </c>
      <c r="I113" s="477">
        <v>0</v>
      </c>
      <c r="J113" s="477">
        <v>0</v>
      </c>
      <c r="K113" s="477">
        <v>0</v>
      </c>
      <c r="L113" s="477">
        <v>6.6419934591559595E-3</v>
      </c>
      <c r="M113" s="477">
        <v>3.4855159512735379E-2</v>
      </c>
      <c r="N113" s="477">
        <v>8.2917486555820388E-2</v>
      </c>
      <c r="O113" s="477">
        <v>0.15507187536021172</v>
      </c>
      <c r="P113" s="477">
        <v>0.25297321792066363</v>
      </c>
      <c r="Q113" s="477">
        <v>0.35884056279734028</v>
      </c>
      <c r="R113" s="477">
        <v>0.47010362037720604</v>
      </c>
      <c r="S113" s="477">
        <v>0.58355792093864878</v>
      </c>
      <c r="T113" s="477">
        <v>0.69351872824688776</v>
      </c>
      <c r="U113" s="477">
        <v>0.79818184768534906</v>
      </c>
      <c r="V113" s="477">
        <v>0.79818184768534917</v>
      </c>
      <c r="W113" s="477">
        <v>0.79818184768534917</v>
      </c>
      <c r="X113" s="477">
        <v>0.79818184768534928</v>
      </c>
      <c r="Y113" s="477">
        <v>0.79818184768534917</v>
      </c>
      <c r="Z113" s="477">
        <v>0.79818184768534917</v>
      </c>
      <c r="AA113" s="477">
        <v>0.79818184768534928</v>
      </c>
      <c r="AB113" s="477">
        <v>0.79818184768534917</v>
      </c>
      <c r="AC113" s="477">
        <v>0.79818184768534917</v>
      </c>
      <c r="AD113" s="477">
        <v>0.79818184768534917</v>
      </c>
      <c r="AE113" s="477">
        <v>0.79818184768534906</v>
      </c>
      <c r="AF113" s="477">
        <v>0.79818184768534917</v>
      </c>
      <c r="AG113" s="477">
        <v>0.79818184768534906</v>
      </c>
      <c r="AH113" s="477">
        <v>0.79818184768534928</v>
      </c>
      <c r="AI113" s="477">
        <v>0.79818184768534917</v>
      </c>
      <c r="AJ113" s="477">
        <v>0.79818184768534917</v>
      </c>
      <c r="AK113" s="477">
        <v>0.79818184768534917</v>
      </c>
      <c r="AL113" s="477">
        <v>0.79818184768534917</v>
      </c>
      <c r="AM113" s="477">
        <v>0.79818184768534917</v>
      </c>
      <c r="AN113" s="477">
        <v>0.79818184768534917</v>
      </c>
      <c r="AO113" s="477">
        <v>0.79818184768534917</v>
      </c>
    </row>
    <row r="114" spans="1:42">
      <c r="B114" s="306" t="s">
        <v>520</v>
      </c>
      <c r="C114" s="306"/>
      <c r="D114" s="306" t="s">
        <v>521</v>
      </c>
      <c r="E114" s="330" t="str">
        <f t="shared" ref="E114:E122" si="44">$B$112&amp;B114&amp;D114</f>
        <v>HIGHDomestic new% Domestic new heat</v>
      </c>
      <c r="F114" s="477">
        <v>0</v>
      </c>
      <c r="G114" s="477">
        <v>0</v>
      </c>
      <c r="H114" s="477">
        <v>0</v>
      </c>
      <c r="I114" s="477">
        <v>0</v>
      </c>
      <c r="J114" s="477">
        <v>0</v>
      </c>
      <c r="K114" s="477">
        <v>7.9999999999999766E-2</v>
      </c>
      <c r="L114" s="477">
        <v>0.1407998385532471</v>
      </c>
      <c r="M114" s="477">
        <v>0.19886827668666721</v>
      </c>
      <c r="N114" s="477">
        <v>0.25512519329736555</v>
      </c>
      <c r="O114" s="477">
        <v>0.31011909587872832</v>
      </c>
      <c r="P114" s="477">
        <v>0.35502969431596221</v>
      </c>
      <c r="Q114" s="477">
        <v>0.3857724433769168</v>
      </c>
      <c r="R114" s="477">
        <v>0.41254171888948854</v>
      </c>
      <c r="S114" s="477">
        <v>0.43606111114100521</v>
      </c>
      <c r="T114" s="477">
        <v>0.45688857218684098</v>
      </c>
      <c r="U114" s="477">
        <v>0.47546124596386741</v>
      </c>
      <c r="V114" s="477">
        <v>0.48823157901151837</v>
      </c>
      <c r="W114" s="477">
        <v>0.50039488191555859</v>
      </c>
      <c r="X114" s="477">
        <v>0.51199343208259596</v>
      </c>
      <c r="Y114" s="477">
        <v>0.52306567004049997</v>
      </c>
      <c r="Z114" s="477">
        <v>0.53364662505088833</v>
      </c>
      <c r="AA114" s="477">
        <v>0.54376828529705723</v>
      </c>
      <c r="AB114" s="477">
        <v>0.5534599208889569</v>
      </c>
      <c r="AC114" s="477">
        <v>0.56274836655536031</v>
      </c>
      <c r="AD114" s="477">
        <v>0.57165826977341716</v>
      </c>
      <c r="AE114" s="477">
        <v>0.5802123091671344</v>
      </c>
      <c r="AF114" s="477">
        <v>0.58843138724953958</v>
      </c>
      <c r="AG114" s="477">
        <v>0.59633480095730951</v>
      </c>
      <c r="AH114" s="477">
        <v>0.60394039290679158</v>
      </c>
      <c r="AI114" s="477">
        <v>0.61126468586704807</v>
      </c>
      <c r="AJ114" s="477">
        <v>0.61832300258303441</v>
      </c>
      <c r="AK114" s="477">
        <v>0.62512957277770198</v>
      </c>
      <c r="AL114" s="477">
        <v>0.63169762890548242</v>
      </c>
      <c r="AM114" s="477">
        <v>0.63803949201299492</v>
      </c>
      <c r="AN114" s="477">
        <v>0.64416664887921105</v>
      </c>
      <c r="AO114" s="477">
        <v>0.65008982145120608</v>
      </c>
    </row>
    <row r="115" spans="1:42">
      <c r="B115" s="306" t="s">
        <v>522</v>
      </c>
      <c r="C115" s="306"/>
      <c r="D115" s="306" t="s">
        <v>523</v>
      </c>
      <c r="E115" s="330" t="str">
        <f t="shared" si="44"/>
        <v>HIGHNon-domestic existing% Non-Domestic existing heat</v>
      </c>
      <c r="F115" s="477">
        <v>0</v>
      </c>
      <c r="G115" s="477">
        <v>0</v>
      </c>
      <c r="H115" s="477">
        <v>0</v>
      </c>
      <c r="I115" s="477">
        <v>0</v>
      </c>
      <c r="J115" s="477">
        <v>0</v>
      </c>
      <c r="K115" s="477">
        <v>0</v>
      </c>
      <c r="L115" s="477">
        <v>5.6456944402825653E-3</v>
      </c>
      <c r="M115" s="477">
        <v>2.9626885585825068E-2</v>
      </c>
      <c r="N115" s="477">
        <v>7.0479863572447329E-2</v>
      </c>
      <c r="O115" s="477">
        <v>0.13181109405617997</v>
      </c>
      <c r="P115" s="477">
        <v>0.21502723523256409</v>
      </c>
      <c r="Q115" s="477">
        <v>0.30501447837773921</v>
      </c>
      <c r="R115" s="477">
        <v>0.39958807732062507</v>
      </c>
      <c r="S115" s="477">
        <v>0.49602423279785146</v>
      </c>
      <c r="T115" s="477">
        <v>0.58949091900985462</v>
      </c>
      <c r="U115" s="477">
        <v>0.67845457053254676</v>
      </c>
      <c r="V115" s="477">
        <v>0.68600000000000005</v>
      </c>
      <c r="W115" s="477">
        <v>0.68600000000000005</v>
      </c>
      <c r="X115" s="477">
        <v>0.68600000000000005</v>
      </c>
      <c r="Y115" s="477">
        <v>0.68600000000000005</v>
      </c>
      <c r="Z115" s="477">
        <v>0.68600000000000005</v>
      </c>
      <c r="AA115" s="477">
        <v>0.68600000000000005</v>
      </c>
      <c r="AB115" s="477">
        <v>0.68600000000000005</v>
      </c>
      <c r="AC115" s="477">
        <v>0.68600000000000005</v>
      </c>
      <c r="AD115" s="477">
        <v>0.68600000000000005</v>
      </c>
      <c r="AE115" s="477">
        <v>0.68600000000000005</v>
      </c>
      <c r="AF115" s="477">
        <v>0.68600000000000005</v>
      </c>
      <c r="AG115" s="477">
        <v>0.68600000000000005</v>
      </c>
      <c r="AH115" s="477">
        <v>0.68600000000000005</v>
      </c>
      <c r="AI115" s="477">
        <v>0.68600000000000005</v>
      </c>
      <c r="AJ115" s="477">
        <v>0.68600000000000005</v>
      </c>
      <c r="AK115" s="477">
        <v>0.68600000000000005</v>
      </c>
      <c r="AL115" s="477">
        <v>0.68600000000000005</v>
      </c>
      <c r="AM115" s="477">
        <v>0.68600000000000005</v>
      </c>
      <c r="AN115" s="477">
        <v>0.68600000000000005</v>
      </c>
      <c r="AO115" s="477">
        <v>0.68600000000000005</v>
      </c>
    </row>
    <row r="116" spans="1:42">
      <c r="B116" s="306" t="s">
        <v>524</v>
      </c>
      <c r="C116" s="306"/>
      <c r="D116" s="306" t="s">
        <v>525</v>
      </c>
      <c r="E116" s="330" t="str">
        <f t="shared" si="44"/>
        <v>HIGHNon-domestic new% Non-Domestic new heat</v>
      </c>
      <c r="F116" s="477">
        <v>0</v>
      </c>
      <c r="G116" s="477">
        <v>0</v>
      </c>
      <c r="H116" s="477">
        <v>0</v>
      </c>
      <c r="I116" s="477">
        <v>0</v>
      </c>
      <c r="J116" s="477">
        <v>0</v>
      </c>
      <c r="K116" s="477">
        <v>7.9999999999999766E-2</v>
      </c>
      <c r="L116" s="477">
        <v>0.1407998385532471</v>
      </c>
      <c r="M116" s="477">
        <v>0.19886827668666721</v>
      </c>
      <c r="N116" s="477">
        <v>0.25512519329736555</v>
      </c>
      <c r="O116" s="477">
        <v>0.31011909587872832</v>
      </c>
      <c r="P116" s="477">
        <v>0.35502969431596221</v>
      </c>
      <c r="Q116" s="477">
        <v>0.3857724433769168</v>
      </c>
      <c r="R116" s="477">
        <v>0.41254171888948848</v>
      </c>
      <c r="S116" s="477">
        <v>0.43606111114100521</v>
      </c>
      <c r="T116" s="477">
        <v>0.45688857218684098</v>
      </c>
      <c r="U116" s="477">
        <v>0.47546124596386735</v>
      </c>
      <c r="V116" s="477">
        <v>0.48823157901151837</v>
      </c>
      <c r="W116" s="477">
        <v>0.50039488191555859</v>
      </c>
      <c r="X116" s="477">
        <v>0.51199343208259596</v>
      </c>
      <c r="Y116" s="477">
        <v>0.52306567004049997</v>
      </c>
      <c r="Z116" s="477">
        <v>0.53364662505088833</v>
      </c>
      <c r="AA116" s="477">
        <v>0.54376828529705723</v>
      </c>
      <c r="AB116" s="477">
        <v>0.5534599208889569</v>
      </c>
      <c r="AC116" s="477">
        <v>0.56274836655536031</v>
      </c>
      <c r="AD116" s="477">
        <v>0.57165826977341716</v>
      </c>
      <c r="AE116" s="477">
        <v>0.5802123091671344</v>
      </c>
      <c r="AF116" s="477">
        <v>0.58843138724953958</v>
      </c>
      <c r="AG116" s="477">
        <v>0.59633480095730951</v>
      </c>
      <c r="AH116" s="477">
        <v>0.60394039290679158</v>
      </c>
      <c r="AI116" s="477">
        <v>0.61126468586704807</v>
      </c>
      <c r="AJ116" s="477">
        <v>0.61832300258303441</v>
      </c>
      <c r="AK116" s="477">
        <v>0.62512957277770198</v>
      </c>
      <c r="AL116" s="477">
        <v>0.63169762890548242</v>
      </c>
      <c r="AM116" s="477">
        <v>0.63803949201299492</v>
      </c>
      <c r="AN116" s="477">
        <v>0.64416664887921105</v>
      </c>
      <c r="AO116" s="477">
        <v>0.65008982145120608</v>
      </c>
    </row>
    <row r="117" spans="1:42">
      <c r="B117" s="306" t="s">
        <v>518</v>
      </c>
      <c r="C117" s="306"/>
      <c r="D117" s="306" t="s">
        <v>526</v>
      </c>
      <c r="E117" s="330" t="str">
        <f t="shared" si="44"/>
        <v>HIGHDomestic existingInstallations per year</v>
      </c>
      <c r="F117" s="476">
        <v>0</v>
      </c>
      <c r="G117" s="476">
        <v>0</v>
      </c>
      <c r="H117" s="476">
        <v>0</v>
      </c>
      <c r="I117" s="476">
        <v>0</v>
      </c>
      <c r="J117" s="476">
        <v>0</v>
      </c>
      <c r="K117" s="476">
        <v>0</v>
      </c>
      <c r="L117" s="476">
        <v>33000</v>
      </c>
      <c r="M117" s="476">
        <v>132000</v>
      </c>
      <c r="N117" s="476">
        <v>198000</v>
      </c>
      <c r="O117" s="476">
        <v>264000</v>
      </c>
      <c r="P117" s="476">
        <v>330000</v>
      </c>
      <c r="Q117" s="476">
        <v>330000</v>
      </c>
      <c r="R117" s="476">
        <v>330000</v>
      </c>
      <c r="S117" s="476">
        <v>330000</v>
      </c>
      <c r="T117" s="476">
        <v>330000</v>
      </c>
      <c r="U117" s="476">
        <v>330000</v>
      </c>
      <c r="V117" s="476">
        <v>0</v>
      </c>
      <c r="W117" s="476">
        <v>0</v>
      </c>
      <c r="X117" s="476">
        <v>0</v>
      </c>
      <c r="Y117" s="476">
        <v>0</v>
      </c>
      <c r="Z117" s="476">
        <v>0</v>
      </c>
      <c r="AA117" s="476">
        <v>0</v>
      </c>
      <c r="AB117" s="476">
        <v>0</v>
      </c>
      <c r="AC117" s="476">
        <v>0</v>
      </c>
      <c r="AD117" s="476">
        <v>0</v>
      </c>
      <c r="AE117" s="476">
        <v>0</v>
      </c>
      <c r="AF117" s="476">
        <v>0</v>
      </c>
      <c r="AG117" s="476">
        <v>0</v>
      </c>
      <c r="AH117" s="476">
        <v>0</v>
      </c>
      <c r="AI117" s="476">
        <v>0</v>
      </c>
      <c r="AJ117" s="476">
        <v>0</v>
      </c>
      <c r="AK117" s="476">
        <v>0</v>
      </c>
      <c r="AL117" s="476">
        <v>0</v>
      </c>
      <c r="AM117" s="476">
        <v>0</v>
      </c>
      <c r="AN117" s="476">
        <v>0</v>
      </c>
      <c r="AO117" s="476">
        <v>0</v>
      </c>
    </row>
    <row r="118" spans="1:42">
      <c r="B118" s="306" t="s">
        <v>520</v>
      </c>
      <c r="C118" s="306"/>
      <c r="D118" s="306" t="s">
        <v>526</v>
      </c>
      <c r="E118" s="330" t="str">
        <f t="shared" si="44"/>
        <v>HIGHDomestic newInstallations per year</v>
      </c>
      <c r="F118" s="476">
        <v>0</v>
      </c>
      <c r="G118" s="476">
        <v>0</v>
      </c>
      <c r="H118" s="476">
        <v>0</v>
      </c>
      <c r="I118" s="476">
        <v>0</v>
      </c>
      <c r="J118" s="476">
        <v>0</v>
      </c>
      <c r="K118" s="476">
        <v>31989.831001183342</v>
      </c>
      <c r="L118" s="476">
        <v>33842.143757393933</v>
      </c>
      <c r="M118" s="476">
        <v>40610.572508872647</v>
      </c>
      <c r="N118" s="476">
        <v>47379.001260351492</v>
      </c>
      <c r="O118" s="476">
        <v>54147.430011830205</v>
      </c>
      <c r="P118" s="476">
        <v>54147.430011830758</v>
      </c>
      <c r="Q118" s="476">
        <v>43835.224009459169</v>
      </c>
      <c r="R118" s="476">
        <v>43835.224009459256</v>
      </c>
      <c r="S118" s="476">
        <v>43835.224009459198</v>
      </c>
      <c r="T118" s="476">
        <v>23606.364255312015</v>
      </c>
      <c r="U118" s="476">
        <v>-175.80389333120547</v>
      </c>
      <c r="V118" s="476">
        <v>35787.357439106388</v>
      </c>
      <c r="W118" s="476">
        <v>34889.028946534672</v>
      </c>
      <c r="X118" s="476">
        <v>34096.691161644121</v>
      </c>
      <c r="Y118" s="476">
        <v>33394.300870160514</v>
      </c>
      <c r="Z118" s="476">
        <v>32784.030363589758</v>
      </c>
      <c r="AA118" s="476">
        <v>32226.564607327571</v>
      </c>
      <c r="AB118" s="476">
        <v>31717.91059579025</v>
      </c>
      <c r="AC118" s="476">
        <v>31273.088054851862</v>
      </c>
      <c r="AD118" s="476">
        <v>25405.361332220375</v>
      </c>
      <c r="AE118" s="476">
        <v>25259.382857145043</v>
      </c>
      <c r="AF118" s="476">
        <v>25259.382857143646</v>
      </c>
      <c r="AG118" s="476">
        <v>25259.382857143879</v>
      </c>
      <c r="AH118" s="476">
        <v>25259.382857143879</v>
      </c>
      <c r="AI118" s="476">
        <v>25259.38285714353</v>
      </c>
      <c r="AJ118" s="476">
        <v>25259.382857143763</v>
      </c>
      <c r="AK118" s="476">
        <v>25259.382857143879</v>
      </c>
      <c r="AL118" s="476">
        <v>25259.382857143995</v>
      </c>
      <c r="AM118" s="476">
        <v>25259.382857143646</v>
      </c>
      <c r="AN118" s="476">
        <v>25259.38285714353</v>
      </c>
      <c r="AO118" s="476">
        <v>25259.382857141667</v>
      </c>
    </row>
    <row r="119" spans="1:42">
      <c r="B119" s="306" t="s">
        <v>527</v>
      </c>
      <c r="C119" s="306"/>
      <c r="D119" s="306" t="s">
        <v>526</v>
      </c>
      <c r="E119" s="330" t="str">
        <f t="shared" si="44"/>
        <v>HIGHDomestic hybridsInstallations per year</v>
      </c>
      <c r="F119" s="476">
        <v>0</v>
      </c>
      <c r="G119" s="476">
        <v>0</v>
      </c>
      <c r="H119" s="476">
        <v>0</v>
      </c>
      <c r="I119" s="476">
        <v>0</v>
      </c>
      <c r="J119" s="476">
        <v>0</v>
      </c>
      <c r="K119" s="476">
        <v>0</v>
      </c>
      <c r="L119" s="476">
        <v>0</v>
      </c>
      <c r="M119" s="476">
        <v>0</v>
      </c>
      <c r="N119" s="476">
        <v>0</v>
      </c>
      <c r="O119" s="476">
        <v>0</v>
      </c>
      <c r="P119" s="476">
        <v>0</v>
      </c>
      <c r="Q119" s="476">
        <v>0</v>
      </c>
      <c r="R119" s="476">
        <v>0</v>
      </c>
      <c r="S119" s="476">
        <v>0</v>
      </c>
      <c r="T119" s="476">
        <v>0</v>
      </c>
      <c r="U119" s="476">
        <v>0</v>
      </c>
      <c r="V119" s="476">
        <v>0</v>
      </c>
      <c r="W119" s="476">
        <v>0</v>
      </c>
      <c r="X119" s="476">
        <v>0</v>
      </c>
      <c r="Y119" s="476">
        <v>0</v>
      </c>
      <c r="Z119" s="476">
        <v>0</v>
      </c>
      <c r="AA119" s="476">
        <v>0</v>
      </c>
      <c r="AB119" s="476">
        <v>0</v>
      </c>
      <c r="AC119" s="476">
        <v>0</v>
      </c>
      <c r="AD119" s="476">
        <v>0</v>
      </c>
      <c r="AE119" s="476">
        <v>0</v>
      </c>
      <c r="AF119" s="476">
        <v>0</v>
      </c>
      <c r="AG119" s="476">
        <v>0</v>
      </c>
      <c r="AH119" s="476">
        <v>0</v>
      </c>
      <c r="AI119" s="476">
        <v>0</v>
      </c>
      <c r="AJ119" s="476">
        <v>0</v>
      </c>
      <c r="AK119" s="476">
        <v>0</v>
      </c>
      <c r="AL119" s="476">
        <v>0</v>
      </c>
      <c r="AM119" s="476">
        <v>0</v>
      </c>
      <c r="AN119" s="476">
        <v>0</v>
      </c>
      <c r="AO119" s="476">
        <v>0</v>
      </c>
    </row>
    <row r="120" spans="1:42">
      <c r="B120" s="306" t="s">
        <v>528</v>
      </c>
      <c r="C120" s="306"/>
      <c r="D120" s="306" t="s">
        <v>526</v>
      </c>
      <c r="E120" s="330" t="str">
        <f t="shared" si="44"/>
        <v>HIGHNon-domestic hybridsInstallations per year</v>
      </c>
      <c r="F120" s="476">
        <v>0</v>
      </c>
      <c r="G120" s="476">
        <v>0</v>
      </c>
      <c r="H120" s="476">
        <v>0</v>
      </c>
      <c r="I120" s="476">
        <v>0</v>
      </c>
      <c r="J120" s="476">
        <v>0</v>
      </c>
      <c r="K120" s="476">
        <v>0</v>
      </c>
      <c r="L120" s="476">
        <v>0</v>
      </c>
      <c r="M120" s="476">
        <v>0</v>
      </c>
      <c r="N120" s="476">
        <v>0</v>
      </c>
      <c r="O120" s="476">
        <v>0</v>
      </c>
      <c r="P120" s="476">
        <v>0</v>
      </c>
      <c r="Q120" s="476">
        <v>0</v>
      </c>
      <c r="R120" s="476">
        <v>0</v>
      </c>
      <c r="S120" s="476">
        <v>0</v>
      </c>
      <c r="T120" s="476">
        <v>0</v>
      </c>
      <c r="U120" s="476">
        <v>0</v>
      </c>
      <c r="V120" s="476">
        <v>0</v>
      </c>
      <c r="W120" s="476">
        <v>0</v>
      </c>
      <c r="X120" s="476">
        <v>0</v>
      </c>
      <c r="Y120" s="476">
        <v>0</v>
      </c>
      <c r="Z120" s="476">
        <v>0</v>
      </c>
      <c r="AA120" s="476">
        <v>0</v>
      </c>
      <c r="AB120" s="476">
        <v>0</v>
      </c>
      <c r="AC120" s="476">
        <v>0</v>
      </c>
      <c r="AD120" s="476">
        <v>0</v>
      </c>
      <c r="AE120" s="476">
        <v>0</v>
      </c>
      <c r="AF120" s="476">
        <v>0</v>
      </c>
      <c r="AG120" s="476">
        <v>0</v>
      </c>
      <c r="AH120" s="476">
        <v>0</v>
      </c>
      <c r="AI120" s="476">
        <v>0</v>
      </c>
      <c r="AJ120" s="476">
        <v>0</v>
      </c>
      <c r="AK120" s="476">
        <v>0</v>
      </c>
      <c r="AL120" s="476">
        <v>0</v>
      </c>
      <c r="AM120" s="476">
        <v>0</v>
      </c>
      <c r="AN120" s="476">
        <v>0</v>
      </c>
      <c r="AO120" s="476">
        <v>0</v>
      </c>
    </row>
    <row r="121" spans="1:42">
      <c r="B121" s="306" t="s">
        <v>522</v>
      </c>
      <c r="C121" s="306"/>
      <c r="D121" s="306" t="s">
        <v>526</v>
      </c>
      <c r="E121" s="330" t="str">
        <f t="shared" si="44"/>
        <v>HIGHNon-domestic existingInstallations per year</v>
      </c>
      <c r="F121" s="476">
        <v>0</v>
      </c>
      <c r="G121" s="476">
        <v>0</v>
      </c>
      <c r="H121" s="476">
        <v>0</v>
      </c>
      <c r="I121" s="476">
        <v>0</v>
      </c>
      <c r="J121" s="476">
        <v>0</v>
      </c>
      <c r="K121" s="476">
        <v>0</v>
      </c>
      <c r="L121" s="476">
        <v>1818.3934937984102</v>
      </c>
      <c r="M121" s="476">
        <v>7723.9819501120564</v>
      </c>
      <c r="N121" s="476">
        <v>13158.13141482123</v>
      </c>
      <c r="O121" s="476">
        <v>19753.869370353026</v>
      </c>
      <c r="P121" s="476">
        <v>26802.670830795672</v>
      </c>
      <c r="Q121" s="476">
        <v>28983.54120841375</v>
      </c>
      <c r="R121" s="476">
        <v>30460.737615519392</v>
      </c>
      <c r="S121" s="476">
        <v>31060.639136882455</v>
      </c>
      <c r="T121" s="476">
        <v>30104.217628593004</v>
      </c>
      <c r="U121" s="476">
        <v>28653.85770068632</v>
      </c>
      <c r="V121" s="476">
        <v>2430.2696500247403</v>
      </c>
      <c r="W121" s="476">
        <v>0</v>
      </c>
      <c r="X121" s="476">
        <v>2.9103830456733704E-11</v>
      </c>
      <c r="Y121" s="476">
        <v>0</v>
      </c>
      <c r="Z121" s="476">
        <v>0</v>
      </c>
      <c r="AA121" s="476">
        <v>2.9103830456733704E-11</v>
      </c>
      <c r="AB121" s="476">
        <v>0</v>
      </c>
      <c r="AC121" s="476">
        <v>2.9103830456733704E-11</v>
      </c>
      <c r="AD121" s="476">
        <v>0</v>
      </c>
      <c r="AE121" s="476">
        <v>2.9103830456733704E-11</v>
      </c>
      <c r="AF121" s="476">
        <v>0</v>
      </c>
      <c r="AG121" s="476">
        <v>0</v>
      </c>
      <c r="AH121" s="476">
        <v>2.9103830456733704E-11</v>
      </c>
      <c r="AI121" s="476">
        <v>0</v>
      </c>
      <c r="AJ121" s="476">
        <v>0</v>
      </c>
      <c r="AK121" s="476">
        <v>0</v>
      </c>
      <c r="AL121" s="476">
        <v>0</v>
      </c>
      <c r="AM121" s="476">
        <v>0</v>
      </c>
      <c r="AN121" s="476">
        <v>0</v>
      </c>
      <c r="AO121" s="476">
        <v>2.9103830456733704E-11</v>
      </c>
    </row>
    <row r="122" spans="1:42">
      <c r="B122" s="306" t="s">
        <v>524</v>
      </c>
      <c r="C122" s="306"/>
      <c r="D122" s="306" t="s">
        <v>526</v>
      </c>
      <c r="E122" s="330" t="str">
        <f t="shared" si="44"/>
        <v>HIGHNon-domestic newInstallations per year</v>
      </c>
      <c r="F122" s="476">
        <v>0</v>
      </c>
      <c r="G122" s="476">
        <v>0</v>
      </c>
      <c r="H122" s="476">
        <v>0</v>
      </c>
      <c r="I122" s="476">
        <v>0</v>
      </c>
      <c r="J122" s="476">
        <v>0</v>
      </c>
      <c r="K122" s="476">
        <v>1543.3825637228911</v>
      </c>
      <c r="L122" s="476">
        <v>1716.237673248314</v>
      </c>
      <c r="M122" s="476">
        <v>2111.6518005556904</v>
      </c>
      <c r="N122" s="476">
        <v>2503.8434605048533</v>
      </c>
      <c r="O122" s="476">
        <v>2894.1136202448624</v>
      </c>
      <c r="P122" s="476">
        <v>2929.4368770015317</v>
      </c>
      <c r="Q122" s="476">
        <v>2279.0047794669208</v>
      </c>
      <c r="R122" s="476">
        <v>2277.3530747413242</v>
      </c>
      <c r="S122" s="476">
        <v>2276.0021540734015</v>
      </c>
      <c r="T122" s="476">
        <v>2274.8831644943311</v>
      </c>
      <c r="U122" s="476">
        <v>2273.9458881435967</v>
      </c>
      <c r="V122" s="476">
        <v>2056.6691739040762</v>
      </c>
      <c r="W122" s="476">
        <v>2093.5612297322077</v>
      </c>
      <c r="X122" s="476">
        <v>2127.8838901830859</v>
      </c>
      <c r="Y122" s="476">
        <v>2159.8703402906358</v>
      </c>
      <c r="Z122" s="476">
        <v>2189.7278986308665</v>
      </c>
      <c r="AA122" s="476">
        <v>2217.6413857311709</v>
      </c>
      <c r="AB122" s="476">
        <v>2243.7759915983625</v>
      </c>
      <c r="AC122" s="476">
        <v>2268.2797257165294</v>
      </c>
      <c r="AD122" s="476">
        <v>2291.285517578297</v>
      </c>
      <c r="AE122" s="476">
        <v>2312.9130235810517</v>
      </c>
      <c r="AF122" s="476">
        <v>2333.2701862808171</v>
      </c>
      <c r="AG122" s="476">
        <v>2352.4545840485225</v>
      </c>
      <c r="AH122" s="476">
        <v>2370.5546027201417</v>
      </c>
      <c r="AI122" s="476">
        <v>2387.6504555770516</v>
      </c>
      <c r="AJ122" s="476">
        <v>2403.8150736868556</v>
      </c>
      <c r="AK122" s="476">
        <v>2419.1148850994723</v>
      </c>
      <c r="AL122" s="476">
        <v>2433.6104984788253</v>
      </c>
      <c r="AM122" s="476">
        <v>2447.3573043326542</v>
      </c>
      <c r="AN122" s="476">
        <v>2460.4060050008993</v>
      </c>
      <c r="AO122" s="476">
        <v>2472.8030828884221</v>
      </c>
    </row>
    <row r="124" spans="1:42">
      <c r="A124" s="50" t="s">
        <v>562</v>
      </c>
      <c r="B124" s="50"/>
      <c r="C124" s="50"/>
      <c r="D124" s="50"/>
      <c r="E124" s="50"/>
      <c r="F124" s="50"/>
      <c r="G124" s="50"/>
      <c r="H124" s="50"/>
      <c r="I124" s="50"/>
      <c r="J124" s="50"/>
      <c r="K124" s="50"/>
      <c r="L124" s="50"/>
      <c r="M124" s="50"/>
      <c r="N124" s="50"/>
      <c r="O124" s="50"/>
      <c r="P124" s="50"/>
      <c r="Q124" s="50"/>
      <c r="R124" s="50"/>
      <c r="S124" s="50"/>
      <c r="T124" s="50"/>
      <c r="U124" s="50"/>
      <c r="V124" s="50"/>
      <c r="W124" s="50"/>
      <c r="X124" s="50"/>
      <c r="Y124" s="50"/>
      <c r="Z124" s="50"/>
      <c r="AA124" s="50"/>
      <c r="AB124" s="50"/>
      <c r="AC124" s="50"/>
      <c r="AD124" s="50"/>
      <c r="AE124" s="50"/>
      <c r="AF124" s="50"/>
      <c r="AG124" s="50"/>
      <c r="AH124" s="50"/>
      <c r="AI124" s="50"/>
      <c r="AJ124" s="50"/>
      <c r="AK124" s="50"/>
      <c r="AL124" s="50"/>
      <c r="AM124" s="50"/>
      <c r="AN124" s="50"/>
      <c r="AO124" s="50"/>
    </row>
    <row r="125" spans="1:42" ht="14.25" customHeight="1">
      <c r="A125" s="67"/>
      <c r="B125" s="67" t="s">
        <v>563</v>
      </c>
      <c r="C125" s="67"/>
      <c r="D125" s="67"/>
      <c r="E125" s="67"/>
      <c r="F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row>
    <row r="126" spans="1:42" ht="14.25" customHeight="1">
      <c r="B126" s="72"/>
      <c r="C126" s="72"/>
      <c r="D126" s="72"/>
      <c r="E126" s="72"/>
      <c r="F126" s="475">
        <v>2015</v>
      </c>
      <c r="G126" s="475">
        <v>2016</v>
      </c>
      <c r="H126" s="475">
        <v>2017</v>
      </c>
      <c r="I126" s="475">
        <v>2018</v>
      </c>
      <c r="J126" s="475">
        <v>2019</v>
      </c>
      <c r="K126" s="475">
        <v>2020</v>
      </c>
      <c r="L126" s="475">
        <v>2021</v>
      </c>
      <c r="M126" s="475">
        <v>2022</v>
      </c>
      <c r="N126" s="475">
        <v>2023</v>
      </c>
      <c r="O126" s="475">
        <v>2024</v>
      </c>
      <c r="P126" s="475">
        <v>2025</v>
      </c>
      <c r="Q126" s="475">
        <v>2026</v>
      </c>
      <c r="R126" s="475">
        <v>2027</v>
      </c>
      <c r="S126" s="475">
        <v>2028</v>
      </c>
      <c r="T126" s="475">
        <v>2029</v>
      </c>
      <c r="U126" s="475">
        <v>2030</v>
      </c>
      <c r="V126" s="475">
        <v>2031</v>
      </c>
      <c r="W126" s="475">
        <v>2032</v>
      </c>
      <c r="X126" s="475">
        <v>2033</v>
      </c>
      <c r="Y126" s="475">
        <v>2034</v>
      </c>
      <c r="Z126" s="475">
        <v>2035</v>
      </c>
      <c r="AA126" s="475">
        <v>2036</v>
      </c>
      <c r="AB126" s="475">
        <v>2037</v>
      </c>
      <c r="AC126" s="475">
        <v>2038</v>
      </c>
      <c r="AD126" s="475">
        <v>2039</v>
      </c>
      <c r="AE126" s="475">
        <v>2040</v>
      </c>
      <c r="AF126" s="475">
        <v>2041</v>
      </c>
      <c r="AG126" s="475">
        <v>2042</v>
      </c>
      <c r="AH126" s="475">
        <v>2043</v>
      </c>
      <c r="AI126" s="475">
        <v>2044</v>
      </c>
      <c r="AJ126" s="475">
        <v>2045</v>
      </c>
      <c r="AK126" s="475">
        <v>2046</v>
      </c>
      <c r="AL126" s="475">
        <v>2047</v>
      </c>
      <c r="AM126" s="475">
        <v>2048</v>
      </c>
      <c r="AN126" s="475">
        <v>2049</v>
      </c>
      <c r="AO126" s="475">
        <v>2050</v>
      </c>
      <c r="AP126" s="72"/>
    </row>
    <row r="127" spans="1:42">
      <c r="B127" t="s">
        <v>22</v>
      </c>
      <c r="C127" t="s">
        <v>548</v>
      </c>
      <c r="D127" t="s">
        <v>452</v>
      </c>
      <c r="F127" s="478">
        <v>0.93</v>
      </c>
      <c r="G127" s="478">
        <v>0.93</v>
      </c>
      <c r="H127" s="478">
        <v>0.93</v>
      </c>
      <c r="I127" s="478">
        <v>0.93</v>
      </c>
      <c r="J127" s="478">
        <v>0.93</v>
      </c>
      <c r="K127" s="478">
        <v>0.93</v>
      </c>
      <c r="L127" s="478">
        <v>0.93</v>
      </c>
      <c r="M127" s="478">
        <v>0.93</v>
      </c>
      <c r="N127" s="478">
        <v>0.93</v>
      </c>
      <c r="O127" s="478">
        <v>0.93</v>
      </c>
      <c r="P127" s="478">
        <v>0.93</v>
      </c>
      <c r="Q127" s="478">
        <v>0.93</v>
      </c>
      <c r="R127" s="478">
        <v>0.93</v>
      </c>
      <c r="S127" s="478">
        <v>0.93</v>
      </c>
      <c r="T127" s="478">
        <v>0.93</v>
      </c>
      <c r="U127" s="478">
        <v>0.93</v>
      </c>
      <c r="V127" s="478">
        <v>0.93</v>
      </c>
      <c r="W127" s="478">
        <v>0.93</v>
      </c>
      <c r="X127" s="478">
        <v>0.93</v>
      </c>
      <c r="Y127" s="478">
        <v>0.93</v>
      </c>
      <c r="Z127" s="478">
        <v>0.93</v>
      </c>
      <c r="AA127" s="478">
        <v>0.93</v>
      </c>
      <c r="AB127" s="478">
        <v>0.93</v>
      </c>
      <c r="AC127" s="478">
        <v>0.93</v>
      </c>
      <c r="AD127" s="478">
        <v>0.93</v>
      </c>
      <c r="AE127" s="478">
        <v>0.93</v>
      </c>
      <c r="AF127" s="478">
        <v>0.93</v>
      </c>
      <c r="AG127" s="478">
        <v>0.93</v>
      </c>
      <c r="AH127" s="478">
        <v>0.93</v>
      </c>
      <c r="AI127" s="478">
        <v>0.93</v>
      </c>
      <c r="AJ127" s="478">
        <v>0.93</v>
      </c>
      <c r="AK127" s="478">
        <v>0.93</v>
      </c>
      <c r="AL127" s="478">
        <v>0.93</v>
      </c>
      <c r="AM127" s="478">
        <v>0.93</v>
      </c>
      <c r="AN127" s="478">
        <v>0.93</v>
      </c>
      <c r="AO127" s="478">
        <v>0.93</v>
      </c>
    </row>
    <row r="128" spans="1:42">
      <c r="C128" t="s">
        <v>549</v>
      </c>
      <c r="D128" t="s">
        <v>452</v>
      </c>
      <c r="F128" s="478">
        <v>7.0000000000000007E-2</v>
      </c>
      <c r="G128" s="478">
        <v>7.0000000000000007E-2</v>
      </c>
      <c r="H128" s="478">
        <v>7.0000000000000007E-2</v>
      </c>
      <c r="I128" s="478">
        <v>7.0000000000000007E-2</v>
      </c>
      <c r="J128" s="478">
        <v>7.0000000000000007E-2</v>
      </c>
      <c r="K128" s="478">
        <v>7.0000000000000007E-2</v>
      </c>
      <c r="L128" s="478">
        <v>7.0000000000000007E-2</v>
      </c>
      <c r="M128" s="478">
        <v>7.0000000000000007E-2</v>
      </c>
      <c r="N128" s="478">
        <v>7.0000000000000007E-2</v>
      </c>
      <c r="O128" s="478">
        <v>7.0000000000000007E-2</v>
      </c>
      <c r="P128" s="478">
        <v>7.0000000000000007E-2</v>
      </c>
      <c r="Q128" s="478">
        <v>7.0000000000000007E-2</v>
      </c>
      <c r="R128" s="478">
        <v>7.0000000000000007E-2</v>
      </c>
      <c r="S128" s="478">
        <v>7.0000000000000007E-2</v>
      </c>
      <c r="T128" s="478">
        <v>7.0000000000000007E-2</v>
      </c>
      <c r="U128" s="478">
        <v>7.0000000000000007E-2</v>
      </c>
      <c r="V128" s="478">
        <v>7.0000000000000007E-2</v>
      </c>
      <c r="W128" s="478">
        <v>7.0000000000000007E-2</v>
      </c>
      <c r="X128" s="478">
        <v>7.0000000000000007E-2</v>
      </c>
      <c r="Y128" s="478">
        <v>7.0000000000000007E-2</v>
      </c>
      <c r="Z128" s="478">
        <v>7.0000000000000007E-2</v>
      </c>
      <c r="AA128" s="478">
        <v>7.0000000000000007E-2</v>
      </c>
      <c r="AB128" s="478">
        <v>7.0000000000000007E-2</v>
      </c>
      <c r="AC128" s="478">
        <v>7.0000000000000007E-2</v>
      </c>
      <c r="AD128" s="478">
        <v>7.0000000000000007E-2</v>
      </c>
      <c r="AE128" s="478">
        <v>7.0000000000000007E-2</v>
      </c>
      <c r="AF128" s="478">
        <v>7.0000000000000007E-2</v>
      </c>
      <c r="AG128" s="478">
        <v>7.0000000000000007E-2</v>
      </c>
      <c r="AH128" s="478">
        <v>7.0000000000000007E-2</v>
      </c>
      <c r="AI128" s="478">
        <v>7.0000000000000007E-2</v>
      </c>
      <c r="AJ128" s="478">
        <v>7.0000000000000007E-2</v>
      </c>
      <c r="AK128" s="478">
        <v>7.0000000000000007E-2</v>
      </c>
      <c r="AL128" s="478">
        <v>7.0000000000000007E-2</v>
      </c>
      <c r="AM128" s="478">
        <v>7.0000000000000007E-2</v>
      </c>
      <c r="AN128" s="478">
        <v>7.0000000000000007E-2</v>
      </c>
      <c r="AO128" s="478">
        <v>7.0000000000000007E-2</v>
      </c>
    </row>
    <row r="129" spans="2:41">
      <c r="C129" t="s">
        <v>550</v>
      </c>
      <c r="D129" t="s">
        <v>452</v>
      </c>
      <c r="F129" s="478">
        <v>0</v>
      </c>
      <c r="G129" s="478">
        <v>0</v>
      </c>
      <c r="H129" s="478">
        <v>0</v>
      </c>
      <c r="I129" s="478">
        <v>0</v>
      </c>
      <c r="J129" s="478">
        <v>0</v>
      </c>
      <c r="K129" s="478">
        <v>0</v>
      </c>
      <c r="L129" s="478">
        <v>0</v>
      </c>
      <c r="M129" s="478">
        <v>0</v>
      </c>
      <c r="N129" s="478">
        <v>0</v>
      </c>
      <c r="O129" s="478">
        <v>0</v>
      </c>
      <c r="P129" s="478">
        <v>0</v>
      </c>
      <c r="Q129" s="478">
        <v>0</v>
      </c>
      <c r="R129" s="478">
        <v>0</v>
      </c>
      <c r="S129" s="478">
        <v>0</v>
      </c>
      <c r="T129" s="478">
        <v>0</v>
      </c>
      <c r="U129" s="478">
        <v>0</v>
      </c>
      <c r="V129" s="478">
        <v>0</v>
      </c>
      <c r="W129" s="478">
        <v>0</v>
      </c>
      <c r="X129" s="478">
        <v>0</v>
      </c>
      <c r="Y129" s="478">
        <v>0</v>
      </c>
      <c r="Z129" s="478">
        <v>0</v>
      </c>
      <c r="AA129" s="478">
        <v>0</v>
      </c>
      <c r="AB129" s="478">
        <v>0</v>
      </c>
      <c r="AC129" s="478">
        <v>0</v>
      </c>
      <c r="AD129" s="478">
        <v>0</v>
      </c>
      <c r="AE129" s="478">
        <v>0</v>
      </c>
      <c r="AF129" s="478">
        <v>0</v>
      </c>
      <c r="AG129" s="478">
        <v>0</v>
      </c>
      <c r="AH129" s="478">
        <v>0</v>
      </c>
      <c r="AI129" s="478">
        <v>0</v>
      </c>
      <c r="AJ129" s="478">
        <v>0</v>
      </c>
      <c r="AK129" s="478">
        <v>0</v>
      </c>
      <c r="AL129" s="478">
        <v>0</v>
      </c>
      <c r="AM129" s="478">
        <v>0</v>
      </c>
      <c r="AN129" s="478">
        <v>0</v>
      </c>
      <c r="AO129" s="478">
        <v>0</v>
      </c>
    </row>
    <row r="130" spans="2:41">
      <c r="C130" t="s">
        <v>551</v>
      </c>
      <c r="F130" s="309">
        <f>IFERROR(F129/(F127+F129),0)</f>
        <v>0</v>
      </c>
      <c r="G130" s="309">
        <f t="shared" ref="G130:AO130" si="45">IFERROR(G129/(G127+G129),0)</f>
        <v>0</v>
      </c>
      <c r="H130" s="309">
        <f t="shared" si="45"/>
        <v>0</v>
      </c>
      <c r="I130" s="309">
        <f t="shared" si="45"/>
        <v>0</v>
      </c>
      <c r="J130" s="309">
        <f t="shared" si="45"/>
        <v>0</v>
      </c>
      <c r="K130" s="309">
        <f t="shared" si="45"/>
        <v>0</v>
      </c>
      <c r="L130" s="309">
        <f t="shared" si="45"/>
        <v>0</v>
      </c>
      <c r="M130" s="309">
        <f t="shared" si="45"/>
        <v>0</v>
      </c>
      <c r="N130" s="309">
        <f t="shared" si="45"/>
        <v>0</v>
      </c>
      <c r="O130" s="309">
        <f t="shared" si="45"/>
        <v>0</v>
      </c>
      <c r="P130" s="309">
        <f t="shared" si="45"/>
        <v>0</v>
      </c>
      <c r="Q130" s="309">
        <f t="shared" si="45"/>
        <v>0</v>
      </c>
      <c r="R130" s="309">
        <f t="shared" si="45"/>
        <v>0</v>
      </c>
      <c r="S130" s="309">
        <f t="shared" si="45"/>
        <v>0</v>
      </c>
      <c r="T130" s="309">
        <f t="shared" si="45"/>
        <v>0</v>
      </c>
      <c r="U130" s="309">
        <f t="shared" si="45"/>
        <v>0</v>
      </c>
      <c r="V130" s="309">
        <f t="shared" si="45"/>
        <v>0</v>
      </c>
      <c r="W130" s="309">
        <f t="shared" si="45"/>
        <v>0</v>
      </c>
      <c r="X130" s="309">
        <f t="shared" si="45"/>
        <v>0</v>
      </c>
      <c r="Y130" s="309">
        <f t="shared" si="45"/>
        <v>0</v>
      </c>
      <c r="Z130" s="309">
        <f t="shared" si="45"/>
        <v>0</v>
      </c>
      <c r="AA130" s="309">
        <f t="shared" si="45"/>
        <v>0</v>
      </c>
      <c r="AB130" s="309">
        <f t="shared" si="45"/>
        <v>0</v>
      </c>
      <c r="AC130" s="309">
        <f t="shared" si="45"/>
        <v>0</v>
      </c>
      <c r="AD130" s="309">
        <f t="shared" si="45"/>
        <v>0</v>
      </c>
      <c r="AE130" s="309">
        <f t="shared" si="45"/>
        <v>0</v>
      </c>
      <c r="AF130" s="309">
        <f t="shared" si="45"/>
        <v>0</v>
      </c>
      <c r="AG130" s="309">
        <f t="shared" si="45"/>
        <v>0</v>
      </c>
      <c r="AH130" s="309">
        <f t="shared" si="45"/>
        <v>0</v>
      </c>
      <c r="AI130" s="309">
        <f t="shared" si="45"/>
        <v>0</v>
      </c>
      <c r="AJ130" s="309">
        <f t="shared" si="45"/>
        <v>0</v>
      </c>
      <c r="AK130" s="309">
        <f t="shared" si="45"/>
        <v>0</v>
      </c>
      <c r="AL130" s="309">
        <f t="shared" si="45"/>
        <v>0</v>
      </c>
      <c r="AM130" s="309">
        <f t="shared" si="45"/>
        <v>0</v>
      </c>
      <c r="AN130" s="309">
        <f t="shared" si="45"/>
        <v>0</v>
      </c>
      <c r="AO130" s="309">
        <f t="shared" si="45"/>
        <v>0</v>
      </c>
    </row>
    <row r="132" spans="2:41">
      <c r="B132" t="str">
        <f>INDEX('Scenario names'!$C$3:$C$6,4)</f>
        <v>No Constraints</v>
      </c>
      <c r="C132" t="s">
        <v>548</v>
      </c>
      <c r="D132" t="s">
        <v>452</v>
      </c>
      <c r="F132" s="478">
        <v>0.93</v>
      </c>
      <c r="G132" s="478">
        <v>0.93</v>
      </c>
      <c r="H132" s="478">
        <v>0.93</v>
      </c>
      <c r="I132" s="478">
        <v>0.93</v>
      </c>
      <c r="J132" s="478">
        <v>0.93</v>
      </c>
      <c r="K132" s="478">
        <v>0.93</v>
      </c>
      <c r="L132" s="478">
        <v>0.93</v>
      </c>
      <c r="M132" s="478">
        <v>0.93</v>
      </c>
      <c r="N132" s="478">
        <v>0.93</v>
      </c>
      <c r="O132" s="478">
        <v>0.93</v>
      </c>
      <c r="P132" s="478">
        <v>0.93</v>
      </c>
      <c r="Q132" s="478">
        <v>0.93</v>
      </c>
      <c r="R132" s="478">
        <v>0.92446650000000008</v>
      </c>
      <c r="S132" s="478">
        <v>0.918933</v>
      </c>
      <c r="T132" s="478">
        <v>0.91339950000000003</v>
      </c>
      <c r="U132" s="478">
        <v>0.81707940000000001</v>
      </c>
      <c r="V132" s="478">
        <v>0.71769959999999999</v>
      </c>
      <c r="W132" s="478">
        <v>0.62046809999999997</v>
      </c>
      <c r="X132" s="478">
        <v>0.52538490000000004</v>
      </c>
      <c r="Y132" s="478">
        <v>0.43245</v>
      </c>
      <c r="Z132" s="478">
        <v>0.34595999999999999</v>
      </c>
      <c r="AA132" s="478">
        <v>0.25947000000000003</v>
      </c>
      <c r="AB132" s="478">
        <v>0.17297999999999994</v>
      </c>
      <c r="AC132" s="478">
        <v>8.648999999999997E-2</v>
      </c>
      <c r="AD132" s="478">
        <v>0</v>
      </c>
      <c r="AE132" s="478">
        <v>0</v>
      </c>
      <c r="AF132" s="478">
        <v>0</v>
      </c>
      <c r="AG132" s="478">
        <v>0</v>
      </c>
      <c r="AH132" s="478">
        <v>0</v>
      </c>
      <c r="AI132" s="478">
        <v>0</v>
      </c>
      <c r="AJ132" s="478">
        <v>0</v>
      </c>
      <c r="AK132" s="478">
        <v>0</v>
      </c>
      <c r="AL132" s="478">
        <v>0</v>
      </c>
      <c r="AM132" s="478">
        <v>0</v>
      </c>
      <c r="AN132" s="478">
        <v>0</v>
      </c>
      <c r="AO132" s="478">
        <v>0</v>
      </c>
    </row>
    <row r="133" spans="2:41">
      <c r="C133" t="s">
        <v>549</v>
      </c>
      <c r="D133" t="s">
        <v>452</v>
      </c>
      <c r="F133" s="478">
        <v>6.9999999999999951E-2</v>
      </c>
      <c r="G133" s="478">
        <v>6.9999999999999951E-2</v>
      </c>
      <c r="H133" s="478">
        <v>6.9999999999999951E-2</v>
      </c>
      <c r="I133" s="478">
        <v>6.9999999999999951E-2</v>
      </c>
      <c r="J133" s="478">
        <v>6.9999999999999951E-2</v>
      </c>
      <c r="K133" s="478">
        <v>6.9999999999999951E-2</v>
      </c>
      <c r="L133" s="478">
        <v>6.9999999999999951E-2</v>
      </c>
      <c r="M133" s="478">
        <v>6.9999999999999951E-2</v>
      </c>
      <c r="N133" s="478">
        <v>6.9999999999999951E-2</v>
      </c>
      <c r="O133" s="478">
        <v>6.9999999999999951E-2</v>
      </c>
      <c r="P133" s="478">
        <v>6.9999999999999951E-2</v>
      </c>
      <c r="Q133" s="478">
        <v>6.9999999999999951E-2</v>
      </c>
      <c r="R133" s="478">
        <v>6.9999999999999951E-2</v>
      </c>
      <c r="S133" s="478">
        <v>6.9999999999999951E-2</v>
      </c>
      <c r="T133" s="478">
        <v>6.9999999999999951E-2</v>
      </c>
      <c r="U133" s="478">
        <v>0.16299999999999992</v>
      </c>
      <c r="V133" s="478">
        <v>0.25600000000000001</v>
      </c>
      <c r="W133" s="478">
        <v>0.34899999999999998</v>
      </c>
      <c r="X133" s="478">
        <v>0.44199999999999995</v>
      </c>
      <c r="Y133" s="478">
        <v>0.53499999999999992</v>
      </c>
      <c r="Z133" s="478">
        <v>0.628</v>
      </c>
      <c r="AA133" s="478">
        <v>0.72099999999999997</v>
      </c>
      <c r="AB133" s="478">
        <v>0.81400000000000006</v>
      </c>
      <c r="AC133" s="478">
        <v>0.90700000000000003</v>
      </c>
      <c r="AD133" s="478">
        <v>1</v>
      </c>
      <c r="AE133" s="478">
        <v>1</v>
      </c>
      <c r="AF133" s="478">
        <v>1</v>
      </c>
      <c r="AG133" s="478">
        <v>1</v>
      </c>
      <c r="AH133" s="478">
        <v>1</v>
      </c>
      <c r="AI133" s="478">
        <v>1</v>
      </c>
      <c r="AJ133" s="478">
        <v>1</v>
      </c>
      <c r="AK133" s="478">
        <v>1</v>
      </c>
      <c r="AL133" s="478">
        <v>1</v>
      </c>
      <c r="AM133" s="478">
        <v>1</v>
      </c>
      <c r="AN133" s="478">
        <v>1</v>
      </c>
      <c r="AO133" s="478">
        <v>1</v>
      </c>
    </row>
    <row r="134" spans="2:41">
      <c r="C134" t="s">
        <v>550</v>
      </c>
      <c r="D134" t="s">
        <v>452</v>
      </c>
      <c r="F134" s="478">
        <v>0</v>
      </c>
      <c r="G134" s="478">
        <v>0</v>
      </c>
      <c r="H134" s="478">
        <v>0</v>
      </c>
      <c r="I134" s="478">
        <v>0</v>
      </c>
      <c r="J134" s="478">
        <v>0</v>
      </c>
      <c r="K134" s="478">
        <v>0</v>
      </c>
      <c r="L134" s="478">
        <v>0</v>
      </c>
      <c r="M134" s="478">
        <v>0</v>
      </c>
      <c r="N134" s="478">
        <v>0</v>
      </c>
      <c r="O134" s="478">
        <v>0</v>
      </c>
      <c r="P134" s="478">
        <v>0</v>
      </c>
      <c r="Q134" s="478">
        <v>0</v>
      </c>
      <c r="R134" s="478">
        <v>5.5335000000000011E-3</v>
      </c>
      <c r="S134" s="478">
        <v>1.1067000000000002E-2</v>
      </c>
      <c r="T134" s="478">
        <v>1.6600500000000001E-2</v>
      </c>
      <c r="U134" s="478">
        <v>1.9920600000000007E-2</v>
      </c>
      <c r="V134" s="478">
        <v>2.6300400000000005E-2</v>
      </c>
      <c r="W134" s="478">
        <v>3.0531900000000008E-2</v>
      </c>
      <c r="X134" s="478">
        <v>3.2615100000000015E-2</v>
      </c>
      <c r="Y134" s="478">
        <v>3.2550000000000003E-2</v>
      </c>
      <c r="Z134" s="478">
        <v>2.6040000000000001E-2</v>
      </c>
      <c r="AA134" s="478">
        <v>1.9530000000000002E-2</v>
      </c>
      <c r="AB134" s="478">
        <v>1.3019999999999997E-2</v>
      </c>
      <c r="AC134" s="478">
        <v>6.5099999999999984E-3</v>
      </c>
      <c r="AD134" s="478">
        <v>0</v>
      </c>
      <c r="AE134" s="478">
        <v>0</v>
      </c>
      <c r="AF134" s="478">
        <v>0</v>
      </c>
      <c r="AG134" s="478">
        <v>0</v>
      </c>
      <c r="AH134" s="478">
        <v>0</v>
      </c>
      <c r="AI134" s="478">
        <v>0</v>
      </c>
      <c r="AJ134" s="478">
        <v>0</v>
      </c>
      <c r="AK134" s="478">
        <v>0</v>
      </c>
      <c r="AL134" s="478">
        <v>0</v>
      </c>
      <c r="AM134" s="478">
        <v>0</v>
      </c>
      <c r="AN134" s="478">
        <v>0</v>
      </c>
      <c r="AO134" s="478">
        <v>0</v>
      </c>
    </row>
    <row r="135" spans="2:41">
      <c r="C135" t="s">
        <v>551</v>
      </c>
      <c r="F135" s="309">
        <f>IFERROR(F134/(F132+F134),0)</f>
        <v>0</v>
      </c>
      <c r="G135" s="309">
        <f t="shared" ref="G135" si="46">IFERROR(G134/(G132+G134),0)</f>
        <v>0</v>
      </c>
      <c r="H135" s="309">
        <f t="shared" ref="H135" si="47">IFERROR(H134/(H132+H134),0)</f>
        <v>0</v>
      </c>
      <c r="I135" s="309">
        <f t="shared" ref="I135" si="48">IFERROR(I134/(I132+I134),0)</f>
        <v>0</v>
      </c>
      <c r="J135" s="309">
        <f t="shared" ref="J135" si="49">IFERROR(J134/(J132+J134),0)</f>
        <v>0</v>
      </c>
      <c r="K135" s="309">
        <f t="shared" ref="K135" si="50">IFERROR(K134/(K132+K134),0)</f>
        <v>0</v>
      </c>
      <c r="L135" s="309">
        <f t="shared" ref="L135" si="51">IFERROR(L134/(L132+L134),0)</f>
        <v>0</v>
      </c>
      <c r="M135" s="309">
        <f t="shared" ref="M135" si="52">IFERROR(M134/(M132+M134),0)</f>
        <v>0</v>
      </c>
      <c r="N135" s="309">
        <f t="shared" ref="N135" si="53">IFERROR(N134/(N132+N134),0)</f>
        <v>0</v>
      </c>
      <c r="O135" s="309">
        <f t="shared" ref="O135" si="54">IFERROR(O134/(O132+O134),0)</f>
        <v>0</v>
      </c>
      <c r="P135" s="309">
        <f t="shared" ref="P135" si="55">IFERROR(P134/(P132+P134),0)</f>
        <v>0</v>
      </c>
      <c r="Q135" s="309">
        <f t="shared" ref="Q135" si="56">IFERROR(Q134/(Q132+Q134),0)</f>
        <v>0</v>
      </c>
      <c r="R135" s="309">
        <f t="shared" ref="R135" si="57">IFERROR(R134/(R132+R134),0)</f>
        <v>5.9500000000000004E-3</v>
      </c>
      <c r="S135" s="309">
        <f t="shared" ref="S135" si="58">IFERROR(S134/(S132+S134),0)</f>
        <v>1.1900000000000001E-2</v>
      </c>
      <c r="T135" s="309">
        <f t="shared" ref="T135" si="59">IFERROR(T134/(T132+T134),0)</f>
        <v>1.7850000000000001E-2</v>
      </c>
      <c r="U135" s="309">
        <f t="shared" ref="U135" si="60">IFERROR(U134/(U132+U134),0)</f>
        <v>2.3800000000000009E-2</v>
      </c>
      <c r="V135" s="309">
        <f t="shared" ref="V135" si="61">IFERROR(V134/(V132+V134),0)</f>
        <v>3.5350000000000006E-2</v>
      </c>
      <c r="W135" s="309">
        <f t="shared" ref="W135" si="62">IFERROR(W134/(W132+W134),0)</f>
        <v>4.6900000000000011E-2</v>
      </c>
      <c r="X135" s="309">
        <f t="shared" ref="X135" si="63">IFERROR(X134/(X132+X134),0)</f>
        <v>5.8450000000000023E-2</v>
      </c>
      <c r="Y135" s="309">
        <f t="shared" ref="Y135" si="64">IFERROR(Y134/(Y132+Y134),0)</f>
        <v>7.0000000000000007E-2</v>
      </c>
      <c r="Z135" s="309">
        <f t="shared" ref="Z135" si="65">IFERROR(Z134/(Z132+Z134),0)</f>
        <v>7.0000000000000007E-2</v>
      </c>
      <c r="AA135" s="309">
        <f t="shared" ref="AA135" si="66">IFERROR(AA134/(AA132+AA134),0)</f>
        <v>7.0000000000000007E-2</v>
      </c>
      <c r="AB135" s="309">
        <f t="shared" ref="AB135" si="67">IFERROR(AB134/(AB132+AB134),0)</f>
        <v>7.0000000000000007E-2</v>
      </c>
      <c r="AC135" s="309">
        <f t="shared" ref="AC135" si="68">IFERROR(AC134/(AC132+AC134),0)</f>
        <v>7.0000000000000007E-2</v>
      </c>
      <c r="AD135" s="309">
        <f t="shared" ref="AD135" si="69">IFERROR(AD134/(AD132+AD134),0)</f>
        <v>0</v>
      </c>
      <c r="AE135" s="309">
        <f t="shared" ref="AE135" si="70">IFERROR(AE134/(AE132+AE134),0)</f>
        <v>0</v>
      </c>
      <c r="AF135" s="309">
        <f t="shared" ref="AF135" si="71">IFERROR(AF134/(AF132+AF134),0)</f>
        <v>0</v>
      </c>
      <c r="AG135" s="309">
        <f t="shared" ref="AG135" si="72">IFERROR(AG134/(AG132+AG134),0)</f>
        <v>0</v>
      </c>
      <c r="AH135" s="309">
        <f t="shared" ref="AH135" si="73">IFERROR(AH134/(AH132+AH134),0)</f>
        <v>0</v>
      </c>
      <c r="AI135" s="309">
        <f t="shared" ref="AI135" si="74">IFERROR(AI134/(AI132+AI134),0)</f>
        <v>0</v>
      </c>
      <c r="AJ135" s="309">
        <f t="shared" ref="AJ135" si="75">IFERROR(AJ134/(AJ132+AJ134),0)</f>
        <v>0</v>
      </c>
      <c r="AK135" s="309">
        <f t="shared" ref="AK135" si="76">IFERROR(AK134/(AK132+AK134),0)</f>
        <v>0</v>
      </c>
      <c r="AL135" s="309">
        <f t="shared" ref="AL135" si="77">IFERROR(AL134/(AL132+AL134),0)</f>
        <v>0</v>
      </c>
      <c r="AM135" s="309">
        <f t="shared" ref="AM135" si="78">IFERROR(AM134/(AM132+AM134),0)</f>
        <v>0</v>
      </c>
      <c r="AN135" s="309">
        <f t="shared" ref="AN135" si="79">IFERROR(AN134/(AN132+AN134),0)</f>
        <v>0</v>
      </c>
      <c r="AO135" s="309">
        <f t="shared" ref="AO135" si="80">IFERROR(AO134/(AO132+AO134),0)</f>
        <v>0</v>
      </c>
    </row>
    <row r="137" spans="2:41">
      <c r="B137" t="str">
        <f>INDEX('Scenario names'!$C$3:$C$6,1)</f>
        <v>High Electrification</v>
      </c>
      <c r="C137" t="s">
        <v>548</v>
      </c>
      <c r="D137" t="s">
        <v>452</v>
      </c>
      <c r="F137" s="478">
        <v>0.93</v>
      </c>
      <c r="G137" s="478">
        <v>0.93</v>
      </c>
      <c r="H137" s="478">
        <v>0.93</v>
      </c>
      <c r="I137" s="478">
        <v>0.93</v>
      </c>
      <c r="J137" s="478">
        <v>0.93</v>
      </c>
      <c r="K137" s="478">
        <v>0.93</v>
      </c>
      <c r="L137" s="478">
        <v>0.93</v>
      </c>
      <c r="M137" s="478">
        <v>0.93</v>
      </c>
      <c r="N137" s="478">
        <v>0.93</v>
      </c>
      <c r="O137" s="478">
        <v>0.93</v>
      </c>
      <c r="P137" s="478">
        <v>0.93</v>
      </c>
      <c r="Q137" s="478">
        <v>0.93</v>
      </c>
      <c r="R137" s="478">
        <v>0.92446650000000008</v>
      </c>
      <c r="S137" s="478">
        <v>0.918933</v>
      </c>
      <c r="T137" s="478">
        <v>0.91339950000000003</v>
      </c>
      <c r="U137" s="478">
        <v>0.90786600000000006</v>
      </c>
      <c r="V137" s="478">
        <v>0.8971245000000001</v>
      </c>
      <c r="W137" s="478">
        <v>0.88638300000000003</v>
      </c>
      <c r="X137" s="478">
        <v>0.87564150000000007</v>
      </c>
      <c r="Y137" s="478">
        <v>0.8649</v>
      </c>
      <c r="Z137" s="478">
        <v>0.8649</v>
      </c>
      <c r="AA137" s="478">
        <v>0.80723999999999996</v>
      </c>
      <c r="AB137" s="478">
        <v>0.74958000000000002</v>
      </c>
      <c r="AC137" s="478">
        <v>0.69191999999999998</v>
      </c>
      <c r="AD137" s="478">
        <v>0.63426000000000005</v>
      </c>
      <c r="AE137" s="478">
        <v>0.57660000000000011</v>
      </c>
      <c r="AF137" s="478">
        <v>0.51894000000000007</v>
      </c>
      <c r="AG137" s="478">
        <v>0.46127999999999997</v>
      </c>
      <c r="AH137" s="478">
        <v>0.40361999999999998</v>
      </c>
      <c r="AI137" s="478">
        <v>0.34595999999999999</v>
      </c>
      <c r="AJ137" s="478">
        <v>0.28830000000000006</v>
      </c>
      <c r="AK137" s="478">
        <v>0.23063999999999998</v>
      </c>
      <c r="AL137" s="478">
        <v>0.17298000000000005</v>
      </c>
      <c r="AM137" s="478">
        <v>0.11532000000000009</v>
      </c>
      <c r="AN137" s="478">
        <v>5.7659999999999947E-2</v>
      </c>
      <c r="AO137" s="478">
        <v>0</v>
      </c>
    </row>
    <row r="138" spans="2:41">
      <c r="C138" t="s">
        <v>549</v>
      </c>
      <c r="D138" t="s">
        <v>452</v>
      </c>
      <c r="F138" s="478">
        <v>7.0000000000000007E-2</v>
      </c>
      <c r="G138" s="478">
        <v>7.0000000000000007E-2</v>
      </c>
      <c r="H138" s="478">
        <v>7.0000000000000007E-2</v>
      </c>
      <c r="I138" s="478">
        <v>7.0000000000000007E-2</v>
      </c>
      <c r="J138" s="478">
        <v>7.0000000000000007E-2</v>
      </c>
      <c r="K138" s="478">
        <v>7.0000000000000007E-2</v>
      </c>
      <c r="L138" s="478">
        <v>7.0000000000000007E-2</v>
      </c>
      <c r="M138" s="478">
        <v>7.0000000000000007E-2</v>
      </c>
      <c r="N138" s="478">
        <v>7.0000000000000007E-2</v>
      </c>
      <c r="O138" s="478">
        <v>7.0000000000000007E-2</v>
      </c>
      <c r="P138" s="478">
        <v>7.0000000000000007E-2</v>
      </c>
      <c r="Q138" s="478">
        <v>7.0000000000000007E-2</v>
      </c>
      <c r="R138" s="478">
        <v>7.0000000000000007E-2</v>
      </c>
      <c r="S138" s="478">
        <v>7.0000000000000007E-2</v>
      </c>
      <c r="T138" s="478">
        <v>7.0000000000000007E-2</v>
      </c>
      <c r="U138" s="478">
        <v>7.0000000000000007E-2</v>
      </c>
      <c r="V138" s="478">
        <v>7.0000000000000007E-2</v>
      </c>
      <c r="W138" s="478">
        <v>7.0000000000000007E-2</v>
      </c>
      <c r="X138" s="478">
        <v>7.0000000000000007E-2</v>
      </c>
      <c r="Y138" s="478">
        <v>7.0000000000000007E-2</v>
      </c>
      <c r="Z138" s="478">
        <v>7.0000000000000007E-2</v>
      </c>
      <c r="AA138" s="478">
        <v>0.13200000000000001</v>
      </c>
      <c r="AB138" s="478">
        <v>0.19400000000000001</v>
      </c>
      <c r="AC138" s="478">
        <v>0.25600000000000001</v>
      </c>
      <c r="AD138" s="478">
        <v>0.31799999999999995</v>
      </c>
      <c r="AE138" s="478">
        <v>0.37999999999999995</v>
      </c>
      <c r="AF138" s="478">
        <v>0.442</v>
      </c>
      <c r="AG138" s="478">
        <v>0.504</v>
      </c>
      <c r="AH138" s="478">
        <v>0.56599999999999995</v>
      </c>
      <c r="AI138" s="478">
        <v>0.62799999999999989</v>
      </c>
      <c r="AJ138" s="478">
        <v>0.69</v>
      </c>
      <c r="AK138" s="478">
        <v>0.752</v>
      </c>
      <c r="AL138" s="478">
        <v>0.81400000000000006</v>
      </c>
      <c r="AM138" s="478">
        <v>0.87599999999999989</v>
      </c>
      <c r="AN138" s="478">
        <v>0.93799999999999994</v>
      </c>
      <c r="AO138" s="478">
        <v>1</v>
      </c>
    </row>
    <row r="139" spans="2:41">
      <c r="C139" t="s">
        <v>550</v>
      </c>
      <c r="D139" t="s">
        <v>452</v>
      </c>
      <c r="F139" s="478">
        <v>0</v>
      </c>
      <c r="G139" s="478">
        <v>0</v>
      </c>
      <c r="H139" s="478">
        <v>0</v>
      </c>
      <c r="I139" s="478">
        <v>0</v>
      </c>
      <c r="J139" s="478">
        <v>0</v>
      </c>
      <c r="K139" s="478">
        <v>0</v>
      </c>
      <c r="L139" s="478">
        <v>0</v>
      </c>
      <c r="M139" s="478">
        <v>0</v>
      </c>
      <c r="N139" s="478">
        <v>0</v>
      </c>
      <c r="O139" s="478">
        <v>0</v>
      </c>
      <c r="P139" s="478">
        <v>0</v>
      </c>
      <c r="Q139" s="478">
        <v>0</v>
      </c>
      <c r="R139" s="478">
        <v>5.5335000000000011E-3</v>
      </c>
      <c r="S139" s="478">
        <v>1.1067000000000002E-2</v>
      </c>
      <c r="T139" s="478">
        <v>1.6600500000000001E-2</v>
      </c>
      <c r="U139" s="478">
        <v>2.2134000000000004E-2</v>
      </c>
      <c r="V139" s="478">
        <v>3.2875500000000009E-2</v>
      </c>
      <c r="W139" s="478">
        <v>4.361700000000001E-2</v>
      </c>
      <c r="X139" s="478">
        <v>5.4358500000000018E-2</v>
      </c>
      <c r="Y139" s="478">
        <v>6.5100000000000005E-2</v>
      </c>
      <c r="Z139" s="478">
        <v>6.5100000000000005E-2</v>
      </c>
      <c r="AA139" s="478">
        <v>6.0760000000000008E-2</v>
      </c>
      <c r="AB139" s="478">
        <v>5.6420000000000012E-2</v>
      </c>
      <c r="AC139" s="478">
        <v>5.2080000000000001E-2</v>
      </c>
      <c r="AD139" s="478">
        <v>4.7740000000000005E-2</v>
      </c>
      <c r="AE139" s="478">
        <v>4.3400000000000015E-2</v>
      </c>
      <c r="AF139" s="478">
        <v>3.9060000000000004E-2</v>
      </c>
      <c r="AG139" s="478">
        <v>3.4720000000000001E-2</v>
      </c>
      <c r="AH139" s="478">
        <v>3.0380000000000004E-2</v>
      </c>
      <c r="AI139" s="478">
        <v>2.6040000000000001E-2</v>
      </c>
      <c r="AJ139" s="478">
        <v>2.1700000000000007E-2</v>
      </c>
      <c r="AK139" s="478">
        <v>1.736E-2</v>
      </c>
      <c r="AL139" s="478">
        <v>1.3020000000000006E-2</v>
      </c>
      <c r="AM139" s="478">
        <v>8.6800000000000089E-3</v>
      </c>
      <c r="AN139" s="478">
        <v>4.3399999999999966E-3</v>
      </c>
      <c r="AO139" s="478">
        <v>0</v>
      </c>
    </row>
    <row r="140" spans="2:41">
      <c r="C140" t="s">
        <v>551</v>
      </c>
      <c r="F140" s="309">
        <f>IFERROR(F139/(F137+F139),0)</f>
        <v>0</v>
      </c>
      <c r="G140" s="309">
        <f t="shared" ref="G140" si="81">IFERROR(G139/(G137+G139),0)</f>
        <v>0</v>
      </c>
      <c r="H140" s="309">
        <f t="shared" ref="H140" si="82">IFERROR(H139/(H137+H139),0)</f>
        <v>0</v>
      </c>
      <c r="I140" s="309">
        <f t="shared" ref="I140" si="83">IFERROR(I139/(I137+I139),0)</f>
        <v>0</v>
      </c>
      <c r="J140" s="309">
        <f t="shared" ref="J140" si="84">IFERROR(J139/(J137+J139),0)</f>
        <v>0</v>
      </c>
      <c r="K140" s="309">
        <f t="shared" ref="K140" si="85">IFERROR(K139/(K137+K139),0)</f>
        <v>0</v>
      </c>
      <c r="L140" s="309">
        <f t="shared" ref="L140" si="86">IFERROR(L139/(L137+L139),0)</f>
        <v>0</v>
      </c>
      <c r="M140" s="309">
        <f t="shared" ref="M140" si="87">IFERROR(M139/(M137+M139),0)</f>
        <v>0</v>
      </c>
      <c r="N140" s="309">
        <f t="shared" ref="N140" si="88">IFERROR(N139/(N137+N139),0)</f>
        <v>0</v>
      </c>
      <c r="O140" s="309">
        <f t="shared" ref="O140" si="89">IFERROR(O139/(O137+O139),0)</f>
        <v>0</v>
      </c>
      <c r="P140" s="309">
        <f t="shared" ref="P140" si="90">IFERROR(P139/(P137+P139),0)</f>
        <v>0</v>
      </c>
      <c r="Q140" s="309">
        <f t="shared" ref="Q140" si="91">IFERROR(Q139/(Q137+Q139),0)</f>
        <v>0</v>
      </c>
      <c r="R140" s="309">
        <f t="shared" ref="R140" si="92">IFERROR(R139/(R137+R139),0)</f>
        <v>5.9500000000000004E-3</v>
      </c>
      <c r="S140" s="309">
        <f t="shared" ref="S140" si="93">IFERROR(S139/(S137+S139),0)</f>
        <v>1.1900000000000001E-2</v>
      </c>
      <c r="T140" s="309">
        <f t="shared" ref="T140" si="94">IFERROR(T139/(T137+T139),0)</f>
        <v>1.7850000000000001E-2</v>
      </c>
      <c r="U140" s="309">
        <f t="shared" ref="U140" si="95">IFERROR(U139/(U137+U139),0)</f>
        <v>2.3800000000000002E-2</v>
      </c>
      <c r="V140" s="309">
        <f t="shared" ref="V140" si="96">IFERROR(V139/(V137+V139),0)</f>
        <v>3.5350000000000006E-2</v>
      </c>
      <c r="W140" s="309">
        <f t="shared" ref="W140" si="97">IFERROR(W139/(W137+W139),0)</f>
        <v>4.6900000000000011E-2</v>
      </c>
      <c r="X140" s="309">
        <f t="shared" ref="X140" si="98">IFERROR(X139/(X137+X139),0)</f>
        <v>5.8450000000000016E-2</v>
      </c>
      <c r="Y140" s="309">
        <f t="shared" ref="Y140" si="99">IFERROR(Y139/(Y137+Y139),0)</f>
        <v>7.0000000000000007E-2</v>
      </c>
      <c r="Z140" s="309">
        <f t="shared" ref="Z140" si="100">IFERROR(Z139/(Z137+Z139),0)</f>
        <v>7.0000000000000007E-2</v>
      </c>
      <c r="AA140" s="309">
        <f t="shared" ref="AA140" si="101">IFERROR(AA139/(AA137+AA139),0)</f>
        <v>7.0000000000000007E-2</v>
      </c>
      <c r="AB140" s="309">
        <f t="shared" ref="AB140" si="102">IFERROR(AB139/(AB137+AB139),0)</f>
        <v>7.0000000000000007E-2</v>
      </c>
      <c r="AC140" s="309">
        <f t="shared" ref="AC140" si="103">IFERROR(AC139/(AC137+AC139),0)</f>
        <v>7.0000000000000007E-2</v>
      </c>
      <c r="AD140" s="309">
        <f t="shared" ref="AD140" si="104">IFERROR(AD139/(AD137+AD139),0)</f>
        <v>7.0000000000000007E-2</v>
      </c>
      <c r="AE140" s="309">
        <f t="shared" ref="AE140" si="105">IFERROR(AE139/(AE137+AE139),0)</f>
        <v>7.0000000000000007E-2</v>
      </c>
      <c r="AF140" s="309">
        <f t="shared" ref="AF140" si="106">IFERROR(AF139/(AF137+AF139),0)</f>
        <v>7.0000000000000007E-2</v>
      </c>
      <c r="AG140" s="309">
        <f t="shared" ref="AG140" si="107">IFERROR(AG139/(AG137+AG139),0)</f>
        <v>7.0000000000000007E-2</v>
      </c>
      <c r="AH140" s="309">
        <f t="shared" ref="AH140" si="108">IFERROR(AH139/(AH137+AH139),0)</f>
        <v>7.0000000000000007E-2</v>
      </c>
      <c r="AI140" s="309">
        <f t="shared" ref="AI140" si="109">IFERROR(AI139/(AI137+AI139),0)</f>
        <v>7.0000000000000007E-2</v>
      </c>
      <c r="AJ140" s="309">
        <f t="shared" ref="AJ140" si="110">IFERROR(AJ139/(AJ137+AJ139),0)</f>
        <v>7.0000000000000007E-2</v>
      </c>
      <c r="AK140" s="309">
        <f t="shared" ref="AK140" si="111">IFERROR(AK139/(AK137+AK139),0)</f>
        <v>7.0000000000000007E-2</v>
      </c>
      <c r="AL140" s="309">
        <f t="shared" ref="AL140" si="112">IFERROR(AL139/(AL137+AL139),0)</f>
        <v>7.0000000000000007E-2</v>
      </c>
      <c r="AM140" s="309">
        <f t="shared" ref="AM140" si="113">IFERROR(AM139/(AM137+AM139),0)</f>
        <v>7.0000000000000021E-2</v>
      </c>
      <c r="AN140" s="309">
        <f t="shared" ref="AN140" si="114">IFERROR(AN139/(AN137+AN139),0)</f>
        <v>7.0000000000000007E-2</v>
      </c>
      <c r="AO140" s="309">
        <f t="shared" ref="AO140" si="115">IFERROR(AO139/(AO137+AO139),0)</f>
        <v>0</v>
      </c>
    </row>
    <row r="142" spans="2:41">
      <c r="B142" t="str">
        <f>INDEX('Scenario names'!$C$3:$C$6,2)</f>
        <v>High Hydrogen</v>
      </c>
      <c r="C142" t="s">
        <v>548</v>
      </c>
      <c r="D142" t="s">
        <v>452</v>
      </c>
      <c r="F142" s="478">
        <v>0.93</v>
      </c>
      <c r="G142" s="478">
        <v>0.93</v>
      </c>
      <c r="H142" s="478">
        <v>0.93</v>
      </c>
      <c r="I142" s="478">
        <v>0.93</v>
      </c>
      <c r="J142" s="478">
        <v>0.93</v>
      </c>
      <c r="K142" s="478">
        <v>0.93</v>
      </c>
      <c r="L142" s="478">
        <v>0.93</v>
      </c>
      <c r="M142" s="478">
        <v>0.93</v>
      </c>
      <c r="N142" s="478">
        <v>0.93</v>
      </c>
      <c r="O142" s="478">
        <v>0.93</v>
      </c>
      <c r="P142" s="478">
        <v>0.93</v>
      </c>
      <c r="Q142" s="478">
        <v>0.93</v>
      </c>
      <c r="R142" s="478">
        <v>0.92446650000000008</v>
      </c>
      <c r="S142" s="478">
        <v>0.918933</v>
      </c>
      <c r="T142" s="478">
        <v>0.91339950000000003</v>
      </c>
      <c r="U142" s="478">
        <v>0.90786600000000006</v>
      </c>
      <c r="V142" s="478">
        <v>0.8971245000000001</v>
      </c>
      <c r="W142" s="478">
        <v>0.88638300000000003</v>
      </c>
      <c r="X142" s="478">
        <v>0.87564150000000007</v>
      </c>
      <c r="Y142" s="478">
        <v>0.80608679999999999</v>
      </c>
      <c r="Z142" s="478">
        <v>0.74727360000000009</v>
      </c>
      <c r="AA142" s="478">
        <v>0.68846039999999997</v>
      </c>
      <c r="AB142" s="478">
        <v>0.62964719999999996</v>
      </c>
      <c r="AC142" s="478">
        <v>0.57083399999999995</v>
      </c>
      <c r="AD142" s="478">
        <v>0.57083399999999995</v>
      </c>
      <c r="AE142" s="478">
        <v>0.47569499999999998</v>
      </c>
      <c r="AF142" s="478">
        <v>0.38055600000000001</v>
      </c>
      <c r="AG142" s="478">
        <v>0.28541699999999998</v>
      </c>
      <c r="AH142" s="478">
        <v>0.19027799999999992</v>
      </c>
      <c r="AI142" s="478">
        <v>9.5139000000000057E-2</v>
      </c>
      <c r="AJ142" s="478">
        <v>0</v>
      </c>
      <c r="AK142" s="478">
        <v>0</v>
      </c>
      <c r="AL142" s="478">
        <v>0</v>
      </c>
      <c r="AM142" s="478">
        <v>0</v>
      </c>
      <c r="AN142" s="478">
        <v>0</v>
      </c>
      <c r="AO142" s="478">
        <v>0</v>
      </c>
    </row>
    <row r="143" spans="2:41">
      <c r="C143" t="s">
        <v>549</v>
      </c>
      <c r="D143" t="s">
        <v>452</v>
      </c>
      <c r="F143" s="478">
        <v>6.9999999999999951E-2</v>
      </c>
      <c r="G143" s="478">
        <v>6.9999999999999951E-2</v>
      </c>
      <c r="H143" s="478">
        <v>6.9999999999999951E-2</v>
      </c>
      <c r="I143" s="478">
        <v>6.9999999999999951E-2</v>
      </c>
      <c r="J143" s="478">
        <v>6.9999999999999951E-2</v>
      </c>
      <c r="K143" s="478">
        <v>6.9999999999999951E-2</v>
      </c>
      <c r="L143" s="478">
        <v>6.9999999999999951E-2</v>
      </c>
      <c r="M143" s="478">
        <v>6.9999999999999951E-2</v>
      </c>
      <c r="N143" s="478">
        <v>6.9999999999999951E-2</v>
      </c>
      <c r="O143" s="478">
        <v>6.9999999999999951E-2</v>
      </c>
      <c r="P143" s="478">
        <v>6.9999999999999951E-2</v>
      </c>
      <c r="Q143" s="478">
        <v>6.9999999999999951E-2</v>
      </c>
      <c r="R143" s="478">
        <v>6.9999999999999951E-2</v>
      </c>
      <c r="S143" s="478">
        <v>6.9999999999999951E-2</v>
      </c>
      <c r="T143" s="478">
        <v>6.9999999999999951E-2</v>
      </c>
      <c r="U143" s="478">
        <v>6.9999999999999951E-2</v>
      </c>
      <c r="V143" s="478">
        <v>6.9999999999999951E-2</v>
      </c>
      <c r="W143" s="478">
        <v>6.9999999999999951E-2</v>
      </c>
      <c r="X143" s="478">
        <v>6.9999999999999951E-2</v>
      </c>
      <c r="Y143" s="478">
        <v>6.9999999999999951E-2</v>
      </c>
      <c r="Z143" s="478">
        <v>6.9999999999999951E-2</v>
      </c>
      <c r="AA143" s="478">
        <v>6.9999999999999951E-2</v>
      </c>
      <c r="AB143" s="478">
        <v>6.9999999999999951E-2</v>
      </c>
      <c r="AC143" s="478">
        <v>6.9999999999999951E-2</v>
      </c>
      <c r="AD143" s="478">
        <v>6.9999999999999951E-2</v>
      </c>
      <c r="AE143" s="478">
        <v>6.9999999999999951E-2</v>
      </c>
      <c r="AF143" s="478">
        <v>6.9999999999999951E-2</v>
      </c>
      <c r="AG143" s="478">
        <v>6.9999999999999951E-2</v>
      </c>
      <c r="AH143" s="478">
        <v>6.9999999999999951E-2</v>
      </c>
      <c r="AI143" s="478">
        <v>6.9999999999999951E-2</v>
      </c>
      <c r="AJ143" s="478">
        <v>6.9999999999999951E-2</v>
      </c>
      <c r="AK143" s="478">
        <v>6.9999999999999951E-2</v>
      </c>
      <c r="AL143" s="478">
        <v>6.9999999999999951E-2</v>
      </c>
      <c r="AM143" s="478">
        <v>6.9999999999999951E-2</v>
      </c>
      <c r="AN143" s="478">
        <v>6.9999999999999951E-2</v>
      </c>
      <c r="AO143" s="478">
        <v>6.9999999999999951E-2</v>
      </c>
    </row>
    <row r="144" spans="2:41">
      <c r="C144" t="s">
        <v>550</v>
      </c>
      <c r="D144" t="s">
        <v>452</v>
      </c>
      <c r="F144" s="478">
        <v>0</v>
      </c>
      <c r="G144" s="478">
        <v>0</v>
      </c>
      <c r="H144" s="478">
        <v>0</v>
      </c>
      <c r="I144" s="478">
        <v>0</v>
      </c>
      <c r="J144" s="478">
        <v>0</v>
      </c>
      <c r="K144" s="478">
        <v>0</v>
      </c>
      <c r="L144" s="478">
        <v>0</v>
      </c>
      <c r="M144" s="478">
        <v>0</v>
      </c>
      <c r="N144" s="478">
        <v>0</v>
      </c>
      <c r="O144" s="478">
        <v>0</v>
      </c>
      <c r="P144" s="478">
        <v>0</v>
      </c>
      <c r="Q144" s="478">
        <v>0</v>
      </c>
      <c r="R144" s="478">
        <v>5.5335000000000011E-3</v>
      </c>
      <c r="S144" s="478">
        <v>1.1067000000000002E-2</v>
      </c>
      <c r="T144" s="478">
        <v>1.6600500000000001E-2</v>
      </c>
      <c r="U144" s="478">
        <v>2.2134000000000004E-2</v>
      </c>
      <c r="V144" s="478">
        <v>3.2875500000000009E-2</v>
      </c>
      <c r="W144" s="478">
        <v>4.361700000000001E-2</v>
      </c>
      <c r="X144" s="478">
        <v>5.4358500000000018E-2</v>
      </c>
      <c r="Y144" s="478">
        <v>0.12391320000000003</v>
      </c>
      <c r="Z144" s="478">
        <v>0.18272640000000004</v>
      </c>
      <c r="AA144" s="478">
        <v>0.24153960000000008</v>
      </c>
      <c r="AB144" s="478">
        <v>0.30035280000000003</v>
      </c>
      <c r="AC144" s="478">
        <v>0.35916600000000004</v>
      </c>
      <c r="AD144" s="478">
        <v>0.35916600000000004</v>
      </c>
      <c r="AE144" s="478">
        <v>0.45430500000000007</v>
      </c>
      <c r="AF144" s="478">
        <v>0.54944400000000004</v>
      </c>
      <c r="AG144" s="478">
        <v>0.64458300000000013</v>
      </c>
      <c r="AH144" s="478">
        <v>0.7397220000000001</v>
      </c>
      <c r="AI144" s="478">
        <v>0.83486099999999996</v>
      </c>
      <c r="AJ144" s="478">
        <v>0.93</v>
      </c>
      <c r="AK144" s="478">
        <v>0.93</v>
      </c>
      <c r="AL144" s="478">
        <v>0.93</v>
      </c>
      <c r="AM144" s="478">
        <v>0.93</v>
      </c>
      <c r="AN144" s="478">
        <v>0.93</v>
      </c>
      <c r="AO144" s="478">
        <v>0.93</v>
      </c>
    </row>
    <row r="145" spans="1:42">
      <c r="C145" t="s">
        <v>551</v>
      </c>
      <c r="F145" s="309">
        <f>IFERROR(F144/(F142+F144),0)</f>
        <v>0</v>
      </c>
      <c r="G145" s="309">
        <f t="shared" ref="G145" si="116">IFERROR(G144/(G142+G144),0)</f>
        <v>0</v>
      </c>
      <c r="H145" s="309">
        <f t="shared" ref="H145" si="117">IFERROR(H144/(H142+H144),0)</f>
        <v>0</v>
      </c>
      <c r="I145" s="309">
        <f t="shared" ref="I145" si="118">IFERROR(I144/(I142+I144),0)</f>
        <v>0</v>
      </c>
      <c r="J145" s="309">
        <f t="shared" ref="J145" si="119">IFERROR(J144/(J142+J144),0)</f>
        <v>0</v>
      </c>
      <c r="K145" s="309">
        <f t="shared" ref="K145" si="120">IFERROR(K144/(K142+K144),0)</f>
        <v>0</v>
      </c>
      <c r="L145" s="309">
        <f t="shared" ref="L145" si="121">IFERROR(L144/(L142+L144),0)</f>
        <v>0</v>
      </c>
      <c r="M145" s="309">
        <f t="shared" ref="M145" si="122">IFERROR(M144/(M142+M144),0)</f>
        <v>0</v>
      </c>
      <c r="N145" s="309">
        <f t="shared" ref="N145" si="123">IFERROR(N144/(N142+N144),0)</f>
        <v>0</v>
      </c>
      <c r="O145" s="309">
        <f t="shared" ref="O145" si="124">IFERROR(O144/(O142+O144),0)</f>
        <v>0</v>
      </c>
      <c r="P145" s="309">
        <f t="shared" ref="P145" si="125">IFERROR(P144/(P142+P144),0)</f>
        <v>0</v>
      </c>
      <c r="Q145" s="309">
        <f t="shared" ref="Q145" si="126">IFERROR(Q144/(Q142+Q144),0)</f>
        <v>0</v>
      </c>
      <c r="R145" s="309">
        <f t="shared" ref="R145" si="127">IFERROR(R144/(R142+R144),0)</f>
        <v>5.9500000000000004E-3</v>
      </c>
      <c r="S145" s="309">
        <f t="shared" ref="S145" si="128">IFERROR(S144/(S142+S144),0)</f>
        <v>1.1900000000000001E-2</v>
      </c>
      <c r="T145" s="309">
        <f t="shared" ref="T145" si="129">IFERROR(T144/(T142+T144),0)</f>
        <v>1.7850000000000001E-2</v>
      </c>
      <c r="U145" s="309">
        <f t="shared" ref="U145" si="130">IFERROR(U144/(U142+U144),0)</f>
        <v>2.3800000000000002E-2</v>
      </c>
      <c r="V145" s="309">
        <f t="shared" ref="V145" si="131">IFERROR(V144/(V142+V144),0)</f>
        <v>3.5350000000000006E-2</v>
      </c>
      <c r="W145" s="309">
        <f t="shared" ref="W145" si="132">IFERROR(W144/(W142+W144),0)</f>
        <v>4.6900000000000011E-2</v>
      </c>
      <c r="X145" s="309">
        <f t="shared" ref="X145" si="133">IFERROR(X144/(X142+X144),0)</f>
        <v>5.8450000000000016E-2</v>
      </c>
      <c r="Y145" s="309">
        <f t="shared" ref="Y145" si="134">IFERROR(Y144/(Y142+Y144),0)</f>
        <v>0.13324000000000003</v>
      </c>
      <c r="Z145" s="309">
        <f t="shared" ref="Z145" si="135">IFERROR(Z144/(Z142+Z144),0)</f>
        <v>0.19648000000000002</v>
      </c>
      <c r="AA145" s="309">
        <f t="shared" ref="AA145" si="136">IFERROR(AA144/(AA142+AA144),0)</f>
        <v>0.25972000000000006</v>
      </c>
      <c r="AB145" s="309">
        <f t="shared" ref="AB145" si="137">IFERROR(AB144/(AB142+AB144),0)</f>
        <v>0.32296000000000008</v>
      </c>
      <c r="AC145" s="309">
        <f t="shared" ref="AC145" si="138">IFERROR(AC144/(AC142+AC144),0)</f>
        <v>0.38620000000000004</v>
      </c>
      <c r="AD145" s="309">
        <f t="shared" ref="AD145" si="139">IFERROR(AD144/(AD142+AD144),0)</f>
        <v>0.38620000000000004</v>
      </c>
      <c r="AE145" s="309">
        <f t="shared" ref="AE145" si="140">IFERROR(AE144/(AE142+AE144),0)</f>
        <v>0.48850000000000005</v>
      </c>
      <c r="AF145" s="309">
        <f t="shared" ref="AF145" si="141">IFERROR(AF144/(AF142+AF144),0)</f>
        <v>0.59079999999999999</v>
      </c>
      <c r="AG145" s="309">
        <f t="shared" ref="AG145" si="142">IFERROR(AG144/(AG142+AG144),0)</f>
        <v>0.69310000000000005</v>
      </c>
      <c r="AH145" s="309">
        <f t="shared" ref="AH145" si="143">IFERROR(AH144/(AH142+AH144),0)</f>
        <v>0.79540000000000011</v>
      </c>
      <c r="AI145" s="309">
        <f t="shared" ref="AI145" si="144">IFERROR(AI144/(AI142+AI144),0)</f>
        <v>0.89769999999999994</v>
      </c>
      <c r="AJ145" s="309">
        <f t="shared" ref="AJ145" si="145">IFERROR(AJ144/(AJ142+AJ144),0)</f>
        <v>1</v>
      </c>
      <c r="AK145" s="309">
        <f t="shared" ref="AK145" si="146">IFERROR(AK144/(AK142+AK144),0)</f>
        <v>1</v>
      </c>
      <c r="AL145" s="309">
        <f t="shared" ref="AL145" si="147">IFERROR(AL144/(AL142+AL144),0)</f>
        <v>1</v>
      </c>
      <c r="AM145" s="309">
        <f t="shared" ref="AM145" si="148">IFERROR(AM144/(AM142+AM144),0)</f>
        <v>1</v>
      </c>
      <c r="AN145" s="309">
        <f t="shared" ref="AN145" si="149">IFERROR(AN144/(AN142+AN144),0)</f>
        <v>1</v>
      </c>
      <c r="AO145" s="309">
        <f t="shared" ref="AO145" si="150">IFERROR(AO144/(AO142+AO144),0)</f>
        <v>1</v>
      </c>
    </row>
    <row r="147" spans="1:42">
      <c r="B147" t="str">
        <f>INDEX('Scenario names'!$C$3:$C$6,3)</f>
        <v>Accelerated Green</v>
      </c>
      <c r="C147" t="s">
        <v>548</v>
      </c>
      <c r="D147" t="s">
        <v>452</v>
      </c>
      <c r="F147" s="478">
        <v>0.93</v>
      </c>
      <c r="G147" s="478">
        <v>0.93</v>
      </c>
      <c r="H147" s="478">
        <v>0.93</v>
      </c>
      <c r="I147" s="478">
        <v>0.93</v>
      </c>
      <c r="J147" s="478">
        <v>0.93</v>
      </c>
      <c r="K147" s="478">
        <v>0.93</v>
      </c>
      <c r="L147" s="478">
        <v>0.93</v>
      </c>
      <c r="M147" s="478">
        <v>0.93</v>
      </c>
      <c r="N147" s="478">
        <v>0.93</v>
      </c>
      <c r="O147" s="478">
        <v>0.93</v>
      </c>
      <c r="P147" s="478">
        <v>0.93</v>
      </c>
      <c r="Q147" s="478">
        <v>0.93</v>
      </c>
      <c r="R147" s="478">
        <v>0.92446650000000008</v>
      </c>
      <c r="S147" s="478">
        <v>0.918933</v>
      </c>
      <c r="T147" s="478">
        <v>0.91339950000000003</v>
      </c>
      <c r="U147" s="478">
        <v>0.90786600000000006</v>
      </c>
      <c r="V147" s="478">
        <v>0.8971245000000001</v>
      </c>
      <c r="W147" s="478">
        <v>0.88638300000000003</v>
      </c>
      <c r="X147" s="478">
        <v>0.87564150000000007</v>
      </c>
      <c r="Y147" s="478">
        <v>0.8649</v>
      </c>
      <c r="Z147" s="478">
        <v>0.8649</v>
      </c>
      <c r="AA147" s="478">
        <v>0.8649</v>
      </c>
      <c r="AB147" s="478">
        <v>0.8649</v>
      </c>
      <c r="AC147" s="478">
        <v>0.8649</v>
      </c>
      <c r="AD147" s="478">
        <v>0.8649</v>
      </c>
      <c r="AE147" s="478">
        <v>0.8649</v>
      </c>
      <c r="AF147" s="478">
        <v>0.8649</v>
      </c>
      <c r="AG147" s="478">
        <v>0.8649</v>
      </c>
      <c r="AH147" s="478">
        <v>0.8649</v>
      </c>
      <c r="AI147" s="478">
        <v>0.8649</v>
      </c>
      <c r="AJ147" s="478">
        <v>0.8649</v>
      </c>
      <c r="AK147" s="478">
        <v>0.8649</v>
      </c>
      <c r="AL147" s="478">
        <v>0.8649</v>
      </c>
      <c r="AM147" s="478">
        <v>0.8649</v>
      </c>
      <c r="AN147" s="478">
        <v>0.8649</v>
      </c>
      <c r="AO147" s="478">
        <v>0.8649</v>
      </c>
    </row>
    <row r="148" spans="1:42">
      <c r="C148" t="s">
        <v>549</v>
      </c>
      <c r="D148" t="s">
        <v>452</v>
      </c>
      <c r="F148" s="478">
        <v>6.9999999999999951E-2</v>
      </c>
      <c r="G148" s="478">
        <v>6.9999999999999951E-2</v>
      </c>
      <c r="H148" s="478">
        <v>6.9999999999999951E-2</v>
      </c>
      <c r="I148" s="478">
        <v>6.9999999999999951E-2</v>
      </c>
      <c r="J148" s="478">
        <v>6.9999999999999951E-2</v>
      </c>
      <c r="K148" s="478">
        <v>6.9999999999999951E-2</v>
      </c>
      <c r="L148" s="478">
        <v>6.9999999999999951E-2</v>
      </c>
      <c r="M148" s="478">
        <v>6.9999999999999951E-2</v>
      </c>
      <c r="N148" s="478">
        <v>6.9999999999999951E-2</v>
      </c>
      <c r="O148" s="478">
        <v>6.9999999999999951E-2</v>
      </c>
      <c r="P148" s="478">
        <v>6.9999999999999951E-2</v>
      </c>
      <c r="Q148" s="478">
        <v>6.9999999999999951E-2</v>
      </c>
      <c r="R148" s="478">
        <v>6.9999999999999951E-2</v>
      </c>
      <c r="S148" s="478">
        <v>6.9999999999999951E-2</v>
      </c>
      <c r="T148" s="478">
        <v>6.9999999999999951E-2</v>
      </c>
      <c r="U148" s="478">
        <v>6.9999999999999951E-2</v>
      </c>
      <c r="V148" s="478">
        <v>6.9999999999999951E-2</v>
      </c>
      <c r="W148" s="478">
        <v>6.9999999999999951E-2</v>
      </c>
      <c r="X148" s="478">
        <v>6.9999999999999951E-2</v>
      </c>
      <c r="Y148" s="478">
        <v>6.9999999999999951E-2</v>
      </c>
      <c r="Z148" s="478">
        <v>6.9999999999999951E-2</v>
      </c>
      <c r="AA148" s="478">
        <v>6.9999999999999951E-2</v>
      </c>
      <c r="AB148" s="478">
        <v>6.9999999999999951E-2</v>
      </c>
      <c r="AC148" s="478">
        <v>6.9999999999999951E-2</v>
      </c>
      <c r="AD148" s="478">
        <v>6.9999999999999951E-2</v>
      </c>
      <c r="AE148" s="478">
        <v>6.9999999999999951E-2</v>
      </c>
      <c r="AF148" s="478">
        <v>6.9999999999999951E-2</v>
      </c>
      <c r="AG148" s="478">
        <v>6.9999999999999951E-2</v>
      </c>
      <c r="AH148" s="478">
        <v>6.9999999999999951E-2</v>
      </c>
      <c r="AI148" s="478">
        <v>6.9999999999999951E-2</v>
      </c>
      <c r="AJ148" s="478">
        <v>6.9999999999999951E-2</v>
      </c>
      <c r="AK148" s="478">
        <v>6.9999999999999951E-2</v>
      </c>
      <c r="AL148" s="478">
        <v>6.9999999999999951E-2</v>
      </c>
      <c r="AM148" s="478">
        <v>6.9999999999999951E-2</v>
      </c>
      <c r="AN148" s="478">
        <v>6.9999999999999951E-2</v>
      </c>
      <c r="AO148" s="478">
        <v>6.9999999999999951E-2</v>
      </c>
    </row>
    <row r="149" spans="1:42">
      <c r="C149" t="s">
        <v>550</v>
      </c>
      <c r="D149" t="s">
        <v>452</v>
      </c>
      <c r="F149" s="478">
        <v>0</v>
      </c>
      <c r="G149" s="478">
        <v>0</v>
      </c>
      <c r="H149" s="478">
        <v>0</v>
      </c>
      <c r="I149" s="478">
        <v>0</v>
      </c>
      <c r="J149" s="478">
        <v>0</v>
      </c>
      <c r="K149" s="478">
        <v>0</v>
      </c>
      <c r="L149" s="478">
        <v>0</v>
      </c>
      <c r="M149" s="478">
        <v>0</v>
      </c>
      <c r="N149" s="478">
        <v>0</v>
      </c>
      <c r="O149" s="478">
        <v>0</v>
      </c>
      <c r="P149" s="478">
        <v>0</v>
      </c>
      <c r="Q149" s="478">
        <v>0</v>
      </c>
      <c r="R149" s="478">
        <v>5.5335000000000011E-3</v>
      </c>
      <c r="S149" s="478">
        <v>1.1067000000000002E-2</v>
      </c>
      <c r="T149" s="478">
        <v>1.6600500000000001E-2</v>
      </c>
      <c r="U149" s="478">
        <v>2.2134000000000004E-2</v>
      </c>
      <c r="V149" s="478">
        <v>3.2875500000000009E-2</v>
      </c>
      <c r="W149" s="478">
        <v>4.361700000000001E-2</v>
      </c>
      <c r="X149" s="478">
        <v>5.4358500000000018E-2</v>
      </c>
      <c r="Y149" s="478">
        <v>6.5100000000000005E-2</v>
      </c>
      <c r="Z149" s="478">
        <v>6.5100000000000005E-2</v>
      </c>
      <c r="AA149" s="478">
        <v>6.5100000000000005E-2</v>
      </c>
      <c r="AB149" s="478">
        <v>6.5100000000000005E-2</v>
      </c>
      <c r="AC149" s="478">
        <v>6.5100000000000005E-2</v>
      </c>
      <c r="AD149" s="478">
        <v>6.5100000000000005E-2</v>
      </c>
      <c r="AE149" s="478">
        <v>6.5100000000000005E-2</v>
      </c>
      <c r="AF149" s="478">
        <v>6.5100000000000005E-2</v>
      </c>
      <c r="AG149" s="478">
        <v>6.5100000000000005E-2</v>
      </c>
      <c r="AH149" s="478">
        <v>6.5100000000000005E-2</v>
      </c>
      <c r="AI149" s="478">
        <v>6.5100000000000005E-2</v>
      </c>
      <c r="AJ149" s="478">
        <v>6.5100000000000005E-2</v>
      </c>
      <c r="AK149" s="478">
        <v>6.5100000000000005E-2</v>
      </c>
      <c r="AL149" s="478">
        <v>6.5100000000000005E-2</v>
      </c>
      <c r="AM149" s="478">
        <v>6.5100000000000005E-2</v>
      </c>
      <c r="AN149" s="478">
        <v>6.5100000000000005E-2</v>
      </c>
      <c r="AO149" s="478">
        <v>6.5100000000000005E-2</v>
      </c>
    </row>
    <row r="150" spans="1:42">
      <c r="C150" t="s">
        <v>551</v>
      </c>
      <c r="D150" t="s">
        <v>564</v>
      </c>
      <c r="F150" s="309">
        <f>IFERROR(F149/(F147+F149),0)</f>
        <v>0</v>
      </c>
      <c r="G150" s="309">
        <f t="shared" ref="G150" si="151">IFERROR(G149/(G147+G149),0)</f>
        <v>0</v>
      </c>
      <c r="H150" s="309">
        <f t="shared" ref="H150" si="152">IFERROR(H149/(H147+H149),0)</f>
        <v>0</v>
      </c>
      <c r="I150" s="309">
        <f t="shared" ref="I150" si="153">IFERROR(I149/(I147+I149),0)</f>
        <v>0</v>
      </c>
      <c r="J150" s="309">
        <f t="shared" ref="J150" si="154">IFERROR(J149/(J147+J149),0)</f>
        <v>0</v>
      </c>
      <c r="K150" s="309">
        <f t="shared" ref="K150" si="155">IFERROR(K149/(K147+K149),0)</f>
        <v>0</v>
      </c>
      <c r="L150" s="309">
        <f t="shared" ref="L150" si="156">IFERROR(L149/(L147+L149),0)</f>
        <v>0</v>
      </c>
      <c r="M150" s="309">
        <f t="shared" ref="M150" si="157">IFERROR(M149/(M147+M149),0)</f>
        <v>0</v>
      </c>
      <c r="N150" s="309">
        <f t="shared" ref="N150" si="158">IFERROR(N149/(N147+N149),0)</f>
        <v>0</v>
      </c>
      <c r="O150" s="309">
        <f t="shared" ref="O150" si="159">IFERROR(O149/(O147+O149),0)</f>
        <v>0</v>
      </c>
      <c r="P150" s="309">
        <f t="shared" ref="P150" si="160">IFERROR(P149/(P147+P149),0)</f>
        <v>0</v>
      </c>
      <c r="Q150" s="309">
        <f t="shared" ref="Q150" si="161">IFERROR(Q149/(Q147+Q149),0)</f>
        <v>0</v>
      </c>
      <c r="R150" s="309">
        <f t="shared" ref="R150" si="162">IFERROR(R149/(R147+R149),0)</f>
        <v>5.9500000000000004E-3</v>
      </c>
      <c r="S150" s="309">
        <f t="shared" ref="S150" si="163">IFERROR(S149/(S147+S149),0)</f>
        <v>1.1900000000000001E-2</v>
      </c>
      <c r="T150" s="309">
        <f t="shared" ref="T150" si="164">IFERROR(T149/(T147+T149),0)</f>
        <v>1.7850000000000001E-2</v>
      </c>
      <c r="U150" s="309">
        <f t="shared" ref="U150" si="165">IFERROR(U149/(U147+U149),0)</f>
        <v>2.3800000000000002E-2</v>
      </c>
      <c r="V150" s="309">
        <f t="shared" ref="V150" si="166">IFERROR(V149/(V147+V149),0)</f>
        <v>3.5350000000000006E-2</v>
      </c>
      <c r="W150" s="309">
        <f t="shared" ref="W150" si="167">IFERROR(W149/(W147+W149),0)</f>
        <v>4.6900000000000011E-2</v>
      </c>
      <c r="X150" s="309">
        <f t="shared" ref="X150" si="168">IFERROR(X149/(X147+X149),0)</f>
        <v>5.8450000000000016E-2</v>
      </c>
      <c r="Y150" s="309">
        <f t="shared" ref="Y150" si="169">IFERROR(Y149/(Y147+Y149),0)</f>
        <v>7.0000000000000007E-2</v>
      </c>
      <c r="Z150" s="309">
        <f t="shared" ref="Z150" si="170">IFERROR(Z149/(Z147+Z149),0)</f>
        <v>7.0000000000000007E-2</v>
      </c>
      <c r="AA150" s="309">
        <f t="shared" ref="AA150" si="171">IFERROR(AA149/(AA147+AA149),0)</f>
        <v>7.0000000000000007E-2</v>
      </c>
      <c r="AB150" s="309">
        <f t="shared" ref="AB150" si="172">IFERROR(AB149/(AB147+AB149),0)</f>
        <v>7.0000000000000007E-2</v>
      </c>
      <c r="AC150" s="309">
        <f t="shared" ref="AC150" si="173">IFERROR(AC149/(AC147+AC149),0)</f>
        <v>7.0000000000000007E-2</v>
      </c>
      <c r="AD150" s="309">
        <f t="shared" ref="AD150" si="174">IFERROR(AD149/(AD147+AD149),0)</f>
        <v>7.0000000000000007E-2</v>
      </c>
      <c r="AE150" s="309">
        <f t="shared" ref="AE150" si="175">IFERROR(AE149/(AE147+AE149),0)</f>
        <v>7.0000000000000007E-2</v>
      </c>
      <c r="AF150" s="309">
        <f t="shared" ref="AF150" si="176">IFERROR(AF149/(AF147+AF149),0)</f>
        <v>7.0000000000000007E-2</v>
      </c>
      <c r="AG150" s="309">
        <f t="shared" ref="AG150" si="177">IFERROR(AG149/(AG147+AG149),0)</f>
        <v>7.0000000000000007E-2</v>
      </c>
      <c r="AH150" s="309">
        <f t="shared" ref="AH150" si="178">IFERROR(AH149/(AH147+AH149),0)</f>
        <v>7.0000000000000007E-2</v>
      </c>
      <c r="AI150" s="309">
        <f t="shared" ref="AI150" si="179">IFERROR(AI149/(AI147+AI149),0)</f>
        <v>7.0000000000000007E-2</v>
      </c>
      <c r="AJ150" s="309">
        <f t="shared" ref="AJ150" si="180">IFERROR(AJ149/(AJ147+AJ149),0)</f>
        <v>7.0000000000000007E-2</v>
      </c>
      <c r="AK150" s="309">
        <f t="shared" ref="AK150" si="181">IFERROR(AK149/(AK147+AK149),0)</f>
        <v>7.0000000000000007E-2</v>
      </c>
      <c r="AL150" s="309">
        <f t="shared" ref="AL150" si="182">IFERROR(AL149/(AL147+AL149),0)</f>
        <v>7.0000000000000007E-2</v>
      </c>
      <c r="AM150" s="309">
        <f t="shared" ref="AM150" si="183">IFERROR(AM149/(AM147+AM149),0)</f>
        <v>7.0000000000000007E-2</v>
      </c>
      <c r="AN150" s="309">
        <f t="shared" ref="AN150" si="184">IFERROR(AN149/(AN147+AN149),0)</f>
        <v>7.0000000000000007E-2</v>
      </c>
      <c r="AO150" s="309">
        <f t="shared" ref="AO150" si="185">IFERROR(AO149/(AO147+AO149),0)</f>
        <v>7.0000000000000007E-2</v>
      </c>
    </row>
    <row r="152" spans="1:42">
      <c r="A152" s="67"/>
      <c r="B152" s="67" t="s">
        <v>565</v>
      </c>
      <c r="C152" s="67"/>
      <c r="D152" s="67"/>
      <c r="E152" s="67"/>
      <c r="F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row>
    <row r="153" spans="1:42">
      <c r="F153" s="35">
        <v>2015</v>
      </c>
      <c r="G153" s="35">
        <f>F153+1</f>
        <v>2016</v>
      </c>
      <c r="H153" s="35">
        <f t="shared" ref="H153:AO153" si="186">G153+1</f>
        <v>2017</v>
      </c>
      <c r="I153" s="35">
        <f t="shared" si="186"/>
        <v>2018</v>
      </c>
      <c r="J153" s="35">
        <f t="shared" si="186"/>
        <v>2019</v>
      </c>
      <c r="K153" s="35">
        <f t="shared" si="186"/>
        <v>2020</v>
      </c>
      <c r="L153" s="35">
        <f t="shared" si="186"/>
        <v>2021</v>
      </c>
      <c r="M153" s="35">
        <f t="shared" si="186"/>
        <v>2022</v>
      </c>
      <c r="N153" s="35">
        <f t="shared" si="186"/>
        <v>2023</v>
      </c>
      <c r="O153" s="35">
        <f t="shared" si="186"/>
        <v>2024</v>
      </c>
      <c r="P153" s="35">
        <f t="shared" si="186"/>
        <v>2025</v>
      </c>
      <c r="Q153" s="35">
        <f t="shared" si="186"/>
        <v>2026</v>
      </c>
      <c r="R153" s="35">
        <f t="shared" si="186"/>
        <v>2027</v>
      </c>
      <c r="S153" s="35">
        <f t="shared" si="186"/>
        <v>2028</v>
      </c>
      <c r="T153" s="35">
        <f t="shared" si="186"/>
        <v>2029</v>
      </c>
      <c r="U153" s="35">
        <f t="shared" si="186"/>
        <v>2030</v>
      </c>
      <c r="V153" s="35">
        <f t="shared" si="186"/>
        <v>2031</v>
      </c>
      <c r="W153" s="35">
        <f t="shared" si="186"/>
        <v>2032</v>
      </c>
      <c r="X153" s="35">
        <f t="shared" si="186"/>
        <v>2033</v>
      </c>
      <c r="Y153" s="35">
        <f t="shared" si="186"/>
        <v>2034</v>
      </c>
      <c r="Z153" s="35">
        <f t="shared" si="186"/>
        <v>2035</v>
      </c>
      <c r="AA153" s="35">
        <f t="shared" si="186"/>
        <v>2036</v>
      </c>
      <c r="AB153" s="35">
        <f t="shared" si="186"/>
        <v>2037</v>
      </c>
      <c r="AC153" s="35">
        <f t="shared" si="186"/>
        <v>2038</v>
      </c>
      <c r="AD153" s="35">
        <f t="shared" si="186"/>
        <v>2039</v>
      </c>
      <c r="AE153" s="35">
        <f t="shared" si="186"/>
        <v>2040</v>
      </c>
      <c r="AF153" s="35">
        <f t="shared" si="186"/>
        <v>2041</v>
      </c>
      <c r="AG153" s="35">
        <f t="shared" si="186"/>
        <v>2042</v>
      </c>
      <c r="AH153" s="35">
        <f t="shared" si="186"/>
        <v>2043</v>
      </c>
      <c r="AI153" s="35">
        <f t="shared" si="186"/>
        <v>2044</v>
      </c>
      <c r="AJ153" s="35">
        <f t="shared" si="186"/>
        <v>2045</v>
      </c>
      <c r="AK153" s="35">
        <f t="shared" si="186"/>
        <v>2046</v>
      </c>
      <c r="AL153" s="35">
        <f t="shared" si="186"/>
        <v>2047</v>
      </c>
      <c r="AM153" s="35">
        <f t="shared" si="186"/>
        <v>2048</v>
      </c>
      <c r="AN153" s="35">
        <f t="shared" si="186"/>
        <v>2049</v>
      </c>
      <c r="AO153" s="35">
        <f t="shared" si="186"/>
        <v>2050</v>
      </c>
    </row>
    <row r="154" spans="1:42">
      <c r="B154" t="s">
        <v>22</v>
      </c>
      <c r="C154" t="s">
        <v>548</v>
      </c>
      <c r="D154" t="s">
        <v>452</v>
      </c>
      <c r="F154" s="478">
        <v>0.84</v>
      </c>
      <c r="G154" s="478">
        <v>0.84</v>
      </c>
      <c r="H154" s="478">
        <v>0.84</v>
      </c>
      <c r="I154" s="478">
        <v>0.84</v>
      </c>
      <c r="J154" s="478">
        <v>0.84</v>
      </c>
      <c r="K154" s="478">
        <v>0.84</v>
      </c>
      <c r="L154" s="478">
        <v>0.84</v>
      </c>
      <c r="M154" s="478">
        <v>0.84</v>
      </c>
      <c r="N154" s="478">
        <v>0.84</v>
      </c>
      <c r="O154" s="478">
        <v>0.84</v>
      </c>
      <c r="P154" s="478">
        <v>0.84</v>
      </c>
      <c r="Q154" s="478">
        <v>0.84</v>
      </c>
      <c r="R154" s="478">
        <v>0.84</v>
      </c>
      <c r="S154" s="478">
        <v>0.84</v>
      </c>
      <c r="T154" s="478">
        <v>0.84</v>
      </c>
      <c r="U154" s="478">
        <v>0.84</v>
      </c>
      <c r="V154" s="478">
        <v>0.84</v>
      </c>
      <c r="W154" s="478">
        <v>0.84</v>
      </c>
      <c r="X154" s="478">
        <v>0.84</v>
      </c>
      <c r="Y154" s="478">
        <v>0.84</v>
      </c>
      <c r="Z154" s="478">
        <v>0.84</v>
      </c>
      <c r="AA154" s="478">
        <v>0.84</v>
      </c>
      <c r="AB154" s="478">
        <v>0.84</v>
      </c>
      <c r="AC154" s="478">
        <v>0.84</v>
      </c>
      <c r="AD154" s="478">
        <v>0.84</v>
      </c>
      <c r="AE154" s="478">
        <v>0.84</v>
      </c>
      <c r="AF154" s="478">
        <v>0.84</v>
      </c>
      <c r="AG154" s="478">
        <v>0.84</v>
      </c>
      <c r="AH154" s="478">
        <v>0.84</v>
      </c>
      <c r="AI154" s="478">
        <v>0.84</v>
      </c>
      <c r="AJ154" s="478">
        <v>0.84</v>
      </c>
      <c r="AK154" s="478">
        <v>0.84</v>
      </c>
      <c r="AL154" s="478">
        <v>0.84</v>
      </c>
      <c r="AM154" s="478">
        <v>0.84</v>
      </c>
      <c r="AN154" s="478">
        <v>0.84</v>
      </c>
      <c r="AO154" s="478">
        <v>0.84</v>
      </c>
    </row>
    <row r="155" spans="1:42">
      <c r="C155" t="s">
        <v>549</v>
      </c>
      <c r="D155" t="s">
        <v>452</v>
      </c>
      <c r="F155" s="478">
        <v>0.16</v>
      </c>
      <c r="G155" s="478">
        <v>0.16</v>
      </c>
      <c r="H155" s="478">
        <v>0.16</v>
      </c>
      <c r="I155" s="478">
        <v>0.16</v>
      </c>
      <c r="J155" s="478">
        <v>0.16</v>
      </c>
      <c r="K155" s="478">
        <v>0.16</v>
      </c>
      <c r="L155" s="478">
        <v>0.16</v>
      </c>
      <c r="M155" s="478">
        <v>0.16</v>
      </c>
      <c r="N155" s="478">
        <v>0.16</v>
      </c>
      <c r="O155" s="478">
        <v>0.16</v>
      </c>
      <c r="P155" s="478">
        <v>0.16</v>
      </c>
      <c r="Q155" s="478">
        <v>0.16</v>
      </c>
      <c r="R155" s="478">
        <v>0.16</v>
      </c>
      <c r="S155" s="478">
        <v>0.16</v>
      </c>
      <c r="T155" s="478">
        <v>0.16</v>
      </c>
      <c r="U155" s="478">
        <v>0.16</v>
      </c>
      <c r="V155" s="478">
        <v>0.16</v>
      </c>
      <c r="W155" s="478">
        <v>0.16</v>
      </c>
      <c r="X155" s="478">
        <v>0.16</v>
      </c>
      <c r="Y155" s="478">
        <v>0.16</v>
      </c>
      <c r="Z155" s="478">
        <v>0.16</v>
      </c>
      <c r="AA155" s="478">
        <v>0.16</v>
      </c>
      <c r="AB155" s="478">
        <v>0.16</v>
      </c>
      <c r="AC155" s="478">
        <v>0.16</v>
      </c>
      <c r="AD155" s="478">
        <v>0.16</v>
      </c>
      <c r="AE155" s="478">
        <v>0.16</v>
      </c>
      <c r="AF155" s="478">
        <v>0.16</v>
      </c>
      <c r="AG155" s="478">
        <v>0.16</v>
      </c>
      <c r="AH155" s="478">
        <v>0.16</v>
      </c>
      <c r="AI155" s="478">
        <v>0.16</v>
      </c>
      <c r="AJ155" s="478">
        <v>0.16</v>
      </c>
      <c r="AK155" s="478">
        <v>0.16</v>
      </c>
      <c r="AL155" s="478">
        <v>0.16</v>
      </c>
      <c r="AM155" s="478">
        <v>0.16</v>
      </c>
      <c r="AN155" s="478">
        <v>0.16</v>
      </c>
      <c r="AO155" s="478">
        <v>0.16</v>
      </c>
    </row>
    <row r="156" spans="1:42">
      <c r="C156" t="s">
        <v>550</v>
      </c>
      <c r="D156" t="s">
        <v>452</v>
      </c>
      <c r="F156" s="478">
        <v>0</v>
      </c>
      <c r="G156" s="478">
        <v>0</v>
      </c>
      <c r="H156" s="478">
        <v>0</v>
      </c>
      <c r="I156" s="478">
        <v>0</v>
      </c>
      <c r="J156" s="478">
        <v>0</v>
      </c>
      <c r="K156" s="478">
        <v>0</v>
      </c>
      <c r="L156" s="478">
        <v>0</v>
      </c>
      <c r="M156" s="478">
        <v>0</v>
      </c>
      <c r="N156" s="478">
        <v>0</v>
      </c>
      <c r="O156" s="478">
        <v>0</v>
      </c>
      <c r="P156" s="478">
        <v>0</v>
      </c>
      <c r="Q156" s="478">
        <v>0</v>
      </c>
      <c r="R156" s="478">
        <v>0</v>
      </c>
      <c r="S156" s="478">
        <v>0</v>
      </c>
      <c r="T156" s="478">
        <v>0</v>
      </c>
      <c r="U156" s="478">
        <v>0</v>
      </c>
      <c r="V156" s="478">
        <v>0</v>
      </c>
      <c r="W156" s="478">
        <v>0</v>
      </c>
      <c r="X156" s="478">
        <v>0</v>
      </c>
      <c r="Y156" s="478">
        <v>0</v>
      </c>
      <c r="Z156" s="478">
        <v>0</v>
      </c>
      <c r="AA156" s="478">
        <v>0</v>
      </c>
      <c r="AB156" s="478">
        <v>0</v>
      </c>
      <c r="AC156" s="478">
        <v>0</v>
      </c>
      <c r="AD156" s="478">
        <v>0</v>
      </c>
      <c r="AE156" s="478">
        <v>0</v>
      </c>
      <c r="AF156" s="478">
        <v>0</v>
      </c>
      <c r="AG156" s="478">
        <v>0</v>
      </c>
      <c r="AH156" s="478">
        <v>0</v>
      </c>
      <c r="AI156" s="478">
        <v>0</v>
      </c>
      <c r="AJ156" s="478">
        <v>0</v>
      </c>
      <c r="AK156" s="478">
        <v>0</v>
      </c>
      <c r="AL156" s="478">
        <v>0</v>
      </c>
      <c r="AM156" s="478">
        <v>0</v>
      </c>
      <c r="AN156" s="478">
        <v>0</v>
      </c>
      <c r="AO156" s="478">
        <v>0</v>
      </c>
    </row>
    <row r="157" spans="1:42">
      <c r="C157" t="s">
        <v>551</v>
      </c>
      <c r="F157" s="309">
        <f>IFERROR(F156/(F154+F156),0)</f>
        <v>0</v>
      </c>
      <c r="G157" s="309">
        <f t="shared" ref="G157" si="187">IFERROR(G156/(G154+G156),0)</f>
        <v>0</v>
      </c>
      <c r="H157" s="309">
        <f t="shared" ref="H157" si="188">IFERROR(H156/(H154+H156),0)</f>
        <v>0</v>
      </c>
      <c r="I157" s="309">
        <f t="shared" ref="I157" si="189">IFERROR(I156/(I154+I156),0)</f>
        <v>0</v>
      </c>
      <c r="J157" s="309">
        <f t="shared" ref="J157" si="190">IFERROR(J156/(J154+J156),0)</f>
        <v>0</v>
      </c>
      <c r="K157" s="309">
        <f t="shared" ref="K157" si="191">IFERROR(K156/(K154+K156),0)</f>
        <v>0</v>
      </c>
      <c r="L157" s="309">
        <f t="shared" ref="L157" si="192">IFERROR(L156/(L154+L156),0)</f>
        <v>0</v>
      </c>
      <c r="M157" s="309">
        <f t="shared" ref="M157" si="193">IFERROR(M156/(M154+M156),0)</f>
        <v>0</v>
      </c>
      <c r="N157" s="309">
        <f t="shared" ref="N157" si="194">IFERROR(N156/(N154+N156),0)</f>
        <v>0</v>
      </c>
      <c r="O157" s="309">
        <f t="shared" ref="O157" si="195">IFERROR(O156/(O154+O156),0)</f>
        <v>0</v>
      </c>
      <c r="P157" s="309">
        <f t="shared" ref="P157" si="196">IFERROR(P156/(P154+P156),0)</f>
        <v>0</v>
      </c>
      <c r="Q157" s="309">
        <f t="shared" ref="Q157" si="197">IFERROR(Q156/(Q154+Q156),0)</f>
        <v>0</v>
      </c>
      <c r="R157" s="309">
        <f t="shared" ref="R157" si="198">IFERROR(R156/(R154+R156),0)</f>
        <v>0</v>
      </c>
      <c r="S157" s="309">
        <f t="shared" ref="S157" si="199">IFERROR(S156/(S154+S156),0)</f>
        <v>0</v>
      </c>
      <c r="T157" s="309">
        <f t="shared" ref="T157" si="200">IFERROR(T156/(T154+T156),0)</f>
        <v>0</v>
      </c>
      <c r="U157" s="309">
        <f t="shared" ref="U157" si="201">IFERROR(U156/(U154+U156),0)</f>
        <v>0</v>
      </c>
      <c r="V157" s="309">
        <f t="shared" ref="V157" si="202">IFERROR(V156/(V154+V156),0)</f>
        <v>0</v>
      </c>
      <c r="W157" s="309">
        <f t="shared" ref="W157" si="203">IFERROR(W156/(W154+W156),0)</f>
        <v>0</v>
      </c>
      <c r="X157" s="309">
        <f t="shared" ref="X157" si="204">IFERROR(X156/(X154+X156),0)</f>
        <v>0</v>
      </c>
      <c r="Y157" s="309">
        <f t="shared" ref="Y157" si="205">IFERROR(Y156/(Y154+Y156),0)</f>
        <v>0</v>
      </c>
      <c r="Z157" s="309">
        <f t="shared" ref="Z157" si="206">IFERROR(Z156/(Z154+Z156),0)</f>
        <v>0</v>
      </c>
      <c r="AA157" s="309">
        <f t="shared" ref="AA157" si="207">IFERROR(AA156/(AA154+AA156),0)</f>
        <v>0</v>
      </c>
      <c r="AB157" s="309">
        <f t="shared" ref="AB157" si="208">IFERROR(AB156/(AB154+AB156),0)</f>
        <v>0</v>
      </c>
      <c r="AC157" s="309">
        <f t="shared" ref="AC157" si="209">IFERROR(AC156/(AC154+AC156),0)</f>
        <v>0</v>
      </c>
      <c r="AD157" s="309">
        <f t="shared" ref="AD157" si="210">IFERROR(AD156/(AD154+AD156),0)</f>
        <v>0</v>
      </c>
      <c r="AE157" s="309">
        <f t="shared" ref="AE157" si="211">IFERROR(AE156/(AE154+AE156),0)</f>
        <v>0</v>
      </c>
      <c r="AF157" s="309">
        <f t="shared" ref="AF157" si="212">IFERROR(AF156/(AF154+AF156),0)</f>
        <v>0</v>
      </c>
      <c r="AG157" s="309">
        <f t="shared" ref="AG157" si="213">IFERROR(AG156/(AG154+AG156),0)</f>
        <v>0</v>
      </c>
      <c r="AH157" s="309">
        <f t="shared" ref="AH157" si="214">IFERROR(AH156/(AH154+AH156),0)</f>
        <v>0</v>
      </c>
      <c r="AI157" s="309">
        <f t="shared" ref="AI157" si="215">IFERROR(AI156/(AI154+AI156),0)</f>
        <v>0</v>
      </c>
      <c r="AJ157" s="309">
        <f t="shared" ref="AJ157" si="216">IFERROR(AJ156/(AJ154+AJ156),0)</f>
        <v>0</v>
      </c>
      <c r="AK157" s="309">
        <f t="shared" ref="AK157" si="217">IFERROR(AK156/(AK154+AK156),0)</f>
        <v>0</v>
      </c>
      <c r="AL157" s="309">
        <f t="shared" ref="AL157" si="218">IFERROR(AL156/(AL154+AL156),0)</f>
        <v>0</v>
      </c>
      <c r="AM157" s="309">
        <f t="shared" ref="AM157" si="219">IFERROR(AM156/(AM154+AM156),0)</f>
        <v>0</v>
      </c>
      <c r="AN157" s="309">
        <f t="shared" ref="AN157" si="220">IFERROR(AN156/(AN154+AN156),0)</f>
        <v>0</v>
      </c>
      <c r="AO157" s="309">
        <f t="shared" ref="AO157" si="221">IFERROR(AO156/(AO154+AO156),0)</f>
        <v>0</v>
      </c>
    </row>
    <row r="159" spans="1:42">
      <c r="B159" t="str">
        <f>INDEX('Scenario names'!$C$3:$C$6,4)</f>
        <v>No Constraints</v>
      </c>
      <c r="C159" t="s">
        <v>548</v>
      </c>
      <c r="D159" t="s">
        <v>452</v>
      </c>
      <c r="F159" s="478">
        <v>0.84</v>
      </c>
      <c r="G159" s="478">
        <v>0.84</v>
      </c>
      <c r="H159" s="478">
        <v>0.84</v>
      </c>
      <c r="I159" s="478">
        <v>0.84</v>
      </c>
      <c r="J159" s="478">
        <v>0.84</v>
      </c>
      <c r="K159" s="478">
        <v>0.84</v>
      </c>
      <c r="L159" s="478">
        <v>0.84</v>
      </c>
      <c r="M159" s="478">
        <v>0.84</v>
      </c>
      <c r="N159" s="478">
        <v>0.84</v>
      </c>
      <c r="O159" s="478">
        <v>0.84</v>
      </c>
      <c r="P159" s="478">
        <v>0.84</v>
      </c>
      <c r="Q159" s="478">
        <v>0.84</v>
      </c>
      <c r="R159" s="478">
        <v>0.83500199999999991</v>
      </c>
      <c r="S159" s="478">
        <v>0.83000399999999996</v>
      </c>
      <c r="T159" s="478">
        <v>0.82500599999999991</v>
      </c>
      <c r="U159" s="478">
        <v>0.73800719999999997</v>
      </c>
      <c r="V159" s="478">
        <v>0.64824479999999995</v>
      </c>
      <c r="W159" s="478">
        <v>0.56042279999999989</v>
      </c>
      <c r="X159" s="478">
        <v>0.4745412</v>
      </c>
      <c r="Y159" s="478">
        <v>0.39059999999999995</v>
      </c>
      <c r="Z159" s="478">
        <v>0.31247999999999992</v>
      </c>
      <c r="AA159" s="478">
        <v>0.23435999999999998</v>
      </c>
      <c r="AB159" s="478">
        <v>0.15623999999999993</v>
      </c>
      <c r="AC159" s="478">
        <v>7.8119999999999967E-2</v>
      </c>
      <c r="AD159" s="478">
        <v>0</v>
      </c>
      <c r="AE159" s="478">
        <v>0</v>
      </c>
      <c r="AF159" s="478">
        <v>0</v>
      </c>
      <c r="AG159" s="478">
        <v>0</v>
      </c>
      <c r="AH159" s="478">
        <v>0</v>
      </c>
      <c r="AI159" s="478">
        <v>0</v>
      </c>
      <c r="AJ159" s="478">
        <v>0</v>
      </c>
      <c r="AK159" s="478">
        <v>0</v>
      </c>
      <c r="AL159" s="478">
        <v>0</v>
      </c>
      <c r="AM159" s="478">
        <v>0</v>
      </c>
      <c r="AN159" s="478">
        <v>0</v>
      </c>
      <c r="AO159" s="478">
        <v>0</v>
      </c>
    </row>
    <row r="160" spans="1:42">
      <c r="C160" t="s">
        <v>549</v>
      </c>
      <c r="D160" t="s">
        <v>452</v>
      </c>
      <c r="F160" s="478">
        <v>0.16000000000000003</v>
      </c>
      <c r="G160" s="478">
        <v>0.16000000000000003</v>
      </c>
      <c r="H160" s="478">
        <v>0.16000000000000003</v>
      </c>
      <c r="I160" s="478">
        <v>0.16000000000000003</v>
      </c>
      <c r="J160" s="478">
        <v>0.16000000000000003</v>
      </c>
      <c r="K160" s="478">
        <v>0.16000000000000003</v>
      </c>
      <c r="L160" s="478">
        <v>0.16000000000000003</v>
      </c>
      <c r="M160" s="478">
        <v>0.16000000000000003</v>
      </c>
      <c r="N160" s="478">
        <v>0.16000000000000003</v>
      </c>
      <c r="O160" s="478">
        <v>0.16000000000000003</v>
      </c>
      <c r="P160" s="478">
        <v>0.16000000000000003</v>
      </c>
      <c r="Q160" s="478">
        <v>0.16000000000000003</v>
      </c>
      <c r="R160" s="478">
        <v>0.16000000000000003</v>
      </c>
      <c r="S160" s="478">
        <v>0.16000000000000003</v>
      </c>
      <c r="T160" s="478">
        <v>0.16000000000000003</v>
      </c>
      <c r="U160" s="478">
        <v>0.24399999999999999</v>
      </c>
      <c r="V160" s="478">
        <v>0.32800000000000007</v>
      </c>
      <c r="W160" s="478">
        <v>0.41200000000000003</v>
      </c>
      <c r="X160" s="478">
        <v>0.496</v>
      </c>
      <c r="Y160" s="478">
        <v>0.58000000000000007</v>
      </c>
      <c r="Z160" s="478">
        <v>0.66400000000000003</v>
      </c>
      <c r="AA160" s="478">
        <v>0.748</v>
      </c>
      <c r="AB160" s="478">
        <v>0.83200000000000007</v>
      </c>
      <c r="AC160" s="478">
        <v>0.91600000000000004</v>
      </c>
      <c r="AD160" s="478">
        <v>1</v>
      </c>
      <c r="AE160" s="478">
        <v>1</v>
      </c>
      <c r="AF160" s="478">
        <v>1</v>
      </c>
      <c r="AG160" s="478">
        <v>1</v>
      </c>
      <c r="AH160" s="478">
        <v>1</v>
      </c>
      <c r="AI160" s="478">
        <v>1</v>
      </c>
      <c r="AJ160" s="478">
        <v>1</v>
      </c>
      <c r="AK160" s="478">
        <v>1</v>
      </c>
      <c r="AL160" s="478">
        <v>1</v>
      </c>
      <c r="AM160" s="478">
        <v>1</v>
      </c>
      <c r="AN160" s="478">
        <v>1</v>
      </c>
      <c r="AO160" s="478">
        <v>1</v>
      </c>
    </row>
    <row r="161" spans="2:41">
      <c r="C161" t="s">
        <v>550</v>
      </c>
      <c r="D161" t="s">
        <v>452</v>
      </c>
      <c r="F161" s="478">
        <v>0</v>
      </c>
      <c r="G161" s="478">
        <v>0</v>
      </c>
      <c r="H161" s="478">
        <v>0</v>
      </c>
      <c r="I161" s="478">
        <v>0</v>
      </c>
      <c r="J161" s="478">
        <v>0</v>
      </c>
      <c r="K161" s="478">
        <v>0</v>
      </c>
      <c r="L161" s="478">
        <v>0</v>
      </c>
      <c r="M161" s="478">
        <v>0</v>
      </c>
      <c r="N161" s="478">
        <v>0</v>
      </c>
      <c r="O161" s="478">
        <v>0</v>
      </c>
      <c r="P161" s="478">
        <v>0</v>
      </c>
      <c r="Q161" s="478">
        <v>0</v>
      </c>
      <c r="R161" s="478">
        <v>4.9980000000000007E-3</v>
      </c>
      <c r="S161" s="478">
        <v>9.9960000000000014E-3</v>
      </c>
      <c r="T161" s="478">
        <v>1.4994E-2</v>
      </c>
      <c r="U161" s="478">
        <v>1.7992800000000003E-2</v>
      </c>
      <c r="V161" s="478">
        <v>2.3755200000000001E-2</v>
      </c>
      <c r="W161" s="478">
        <v>2.7577200000000007E-2</v>
      </c>
      <c r="X161" s="478">
        <v>2.9458800000000007E-2</v>
      </c>
      <c r="Y161" s="478">
        <v>2.9400000000000003E-2</v>
      </c>
      <c r="Z161" s="478">
        <v>2.3519999999999999E-2</v>
      </c>
      <c r="AA161" s="478">
        <v>1.7640000000000003E-2</v>
      </c>
      <c r="AB161" s="478">
        <v>1.1759999999999996E-2</v>
      </c>
      <c r="AC161" s="478">
        <v>5.8799999999999981E-3</v>
      </c>
      <c r="AD161" s="478">
        <v>0</v>
      </c>
      <c r="AE161" s="478">
        <v>0</v>
      </c>
      <c r="AF161" s="478">
        <v>0</v>
      </c>
      <c r="AG161" s="478">
        <v>0</v>
      </c>
      <c r="AH161" s="478">
        <v>0</v>
      </c>
      <c r="AI161" s="478">
        <v>0</v>
      </c>
      <c r="AJ161" s="478">
        <v>0</v>
      </c>
      <c r="AK161" s="478">
        <v>0</v>
      </c>
      <c r="AL161" s="478">
        <v>0</v>
      </c>
      <c r="AM161" s="478">
        <v>0</v>
      </c>
      <c r="AN161" s="478">
        <v>0</v>
      </c>
      <c r="AO161" s="478">
        <v>0</v>
      </c>
    </row>
    <row r="162" spans="2:41">
      <c r="C162" t="s">
        <v>551</v>
      </c>
      <c r="F162" s="309">
        <f>IFERROR(F161/(F159+F161),0)</f>
        <v>0</v>
      </c>
      <c r="G162" s="309">
        <f t="shared" ref="G162" si="222">IFERROR(G161/(G159+G161),0)</f>
        <v>0</v>
      </c>
      <c r="H162" s="309">
        <f t="shared" ref="H162" si="223">IFERROR(H161/(H159+H161),0)</f>
        <v>0</v>
      </c>
      <c r="I162" s="309">
        <f t="shared" ref="I162" si="224">IFERROR(I161/(I159+I161),0)</f>
        <v>0</v>
      </c>
      <c r="J162" s="309">
        <f t="shared" ref="J162" si="225">IFERROR(J161/(J159+J161),0)</f>
        <v>0</v>
      </c>
      <c r="K162" s="309">
        <f t="shared" ref="K162" si="226">IFERROR(K161/(K159+K161),0)</f>
        <v>0</v>
      </c>
      <c r="L162" s="309">
        <f t="shared" ref="L162" si="227">IFERROR(L161/(L159+L161),0)</f>
        <v>0</v>
      </c>
      <c r="M162" s="309">
        <f t="shared" ref="M162" si="228">IFERROR(M161/(M159+M161),0)</f>
        <v>0</v>
      </c>
      <c r="N162" s="309">
        <f t="shared" ref="N162" si="229">IFERROR(N161/(N159+N161),0)</f>
        <v>0</v>
      </c>
      <c r="O162" s="309">
        <f t="shared" ref="O162" si="230">IFERROR(O161/(O159+O161),0)</f>
        <v>0</v>
      </c>
      <c r="P162" s="309">
        <f t="shared" ref="P162" si="231">IFERROR(P161/(P159+P161),0)</f>
        <v>0</v>
      </c>
      <c r="Q162" s="309">
        <f t="shared" ref="Q162" si="232">IFERROR(Q161/(Q159+Q161),0)</f>
        <v>0</v>
      </c>
      <c r="R162" s="309">
        <f t="shared" ref="R162" si="233">IFERROR(R161/(R159+R161),0)</f>
        <v>5.9500000000000022E-3</v>
      </c>
      <c r="S162" s="309">
        <f t="shared" ref="S162" si="234">IFERROR(S161/(S159+S161),0)</f>
        <v>1.1900000000000003E-2</v>
      </c>
      <c r="T162" s="309">
        <f t="shared" ref="T162" si="235">IFERROR(T161/(T159+T161),0)</f>
        <v>1.7850000000000005E-2</v>
      </c>
      <c r="U162" s="309">
        <f t="shared" ref="U162" si="236">IFERROR(U161/(U159+U161),0)</f>
        <v>2.3800000000000005E-2</v>
      </c>
      <c r="V162" s="309">
        <f t="shared" ref="V162" si="237">IFERROR(V161/(V159+V161),0)</f>
        <v>3.5350000000000006E-2</v>
      </c>
      <c r="W162" s="309">
        <f t="shared" ref="W162" si="238">IFERROR(W161/(W159+W161),0)</f>
        <v>4.6900000000000025E-2</v>
      </c>
      <c r="X162" s="309">
        <f t="shared" ref="X162" si="239">IFERROR(X161/(X159+X161),0)</f>
        <v>5.8450000000000016E-2</v>
      </c>
      <c r="Y162" s="309">
        <f t="shared" ref="Y162" si="240">IFERROR(Y161/(Y159+Y161),0)</f>
        <v>7.0000000000000021E-2</v>
      </c>
      <c r="Z162" s="309">
        <f t="shared" ref="Z162" si="241">IFERROR(Z161/(Z159+Z161),0)</f>
        <v>7.0000000000000021E-2</v>
      </c>
      <c r="AA162" s="309">
        <f t="shared" ref="AA162" si="242">IFERROR(AA161/(AA159+AA161),0)</f>
        <v>7.0000000000000007E-2</v>
      </c>
      <c r="AB162" s="309">
        <f t="shared" ref="AB162" si="243">IFERROR(AB161/(AB159+AB161),0)</f>
        <v>7.0000000000000007E-2</v>
      </c>
      <c r="AC162" s="309">
        <f t="shared" ref="AC162" si="244">IFERROR(AC161/(AC159+AC161),0)</f>
        <v>7.0000000000000007E-2</v>
      </c>
      <c r="AD162" s="309">
        <f t="shared" ref="AD162" si="245">IFERROR(AD161/(AD159+AD161),0)</f>
        <v>0</v>
      </c>
      <c r="AE162" s="309">
        <f t="shared" ref="AE162" si="246">IFERROR(AE161/(AE159+AE161),0)</f>
        <v>0</v>
      </c>
      <c r="AF162" s="309">
        <f t="shared" ref="AF162" si="247">IFERROR(AF161/(AF159+AF161),0)</f>
        <v>0</v>
      </c>
      <c r="AG162" s="309">
        <f t="shared" ref="AG162" si="248">IFERROR(AG161/(AG159+AG161),0)</f>
        <v>0</v>
      </c>
      <c r="AH162" s="309">
        <f t="shared" ref="AH162" si="249">IFERROR(AH161/(AH159+AH161),0)</f>
        <v>0</v>
      </c>
      <c r="AI162" s="309">
        <f t="shared" ref="AI162" si="250">IFERROR(AI161/(AI159+AI161),0)</f>
        <v>0</v>
      </c>
      <c r="AJ162" s="309">
        <f t="shared" ref="AJ162" si="251">IFERROR(AJ161/(AJ159+AJ161),0)</f>
        <v>0</v>
      </c>
      <c r="AK162" s="309">
        <f t="shared" ref="AK162" si="252">IFERROR(AK161/(AK159+AK161),0)</f>
        <v>0</v>
      </c>
      <c r="AL162" s="309">
        <f t="shared" ref="AL162" si="253">IFERROR(AL161/(AL159+AL161),0)</f>
        <v>0</v>
      </c>
      <c r="AM162" s="309">
        <f t="shared" ref="AM162" si="254">IFERROR(AM161/(AM159+AM161),0)</f>
        <v>0</v>
      </c>
      <c r="AN162" s="309">
        <f t="shared" ref="AN162" si="255">IFERROR(AN161/(AN159+AN161),0)</f>
        <v>0</v>
      </c>
      <c r="AO162" s="309">
        <f t="shared" ref="AO162" si="256">IFERROR(AO161/(AO159+AO161),0)</f>
        <v>0</v>
      </c>
    </row>
    <row r="164" spans="2:41">
      <c r="B164" t="str">
        <f>INDEX('Scenario names'!$C$3:$C$6,1)</f>
        <v>High Electrification</v>
      </c>
      <c r="C164" t="s">
        <v>548</v>
      </c>
      <c r="D164" t="s">
        <v>452</v>
      </c>
      <c r="F164" s="478">
        <v>0.84</v>
      </c>
      <c r="G164" s="478">
        <v>0.84</v>
      </c>
      <c r="H164" s="478">
        <v>0.84</v>
      </c>
      <c r="I164" s="478">
        <v>0.84</v>
      </c>
      <c r="J164" s="478">
        <v>0.84</v>
      </c>
      <c r="K164" s="478">
        <v>0.84</v>
      </c>
      <c r="L164" s="478">
        <v>0.84</v>
      </c>
      <c r="M164" s="478">
        <v>0.84</v>
      </c>
      <c r="N164" s="478">
        <v>0.84</v>
      </c>
      <c r="O164" s="478">
        <v>0.84</v>
      </c>
      <c r="P164" s="478">
        <v>0.84</v>
      </c>
      <c r="Q164" s="478">
        <v>0.84</v>
      </c>
      <c r="R164" s="478">
        <v>0.83500199999999991</v>
      </c>
      <c r="S164" s="478">
        <v>0.83000399999999996</v>
      </c>
      <c r="T164" s="478">
        <v>0.82500599999999991</v>
      </c>
      <c r="U164" s="478">
        <v>0.82000799999999996</v>
      </c>
      <c r="V164" s="478">
        <v>0.81030599999999997</v>
      </c>
      <c r="W164" s="478">
        <v>0.80060399999999987</v>
      </c>
      <c r="X164" s="478">
        <v>0.79090199999999999</v>
      </c>
      <c r="Y164" s="478">
        <v>0.78119999999999989</v>
      </c>
      <c r="Z164" s="478">
        <v>0.78119999999999989</v>
      </c>
      <c r="AA164" s="478">
        <v>0.72911999999999988</v>
      </c>
      <c r="AB164" s="478">
        <v>0.67703999999999998</v>
      </c>
      <c r="AC164" s="478">
        <v>0.62495999999999985</v>
      </c>
      <c r="AD164" s="478">
        <v>0.57287999999999994</v>
      </c>
      <c r="AE164" s="478">
        <v>0.52079999999999993</v>
      </c>
      <c r="AF164" s="478">
        <v>0.46871999999999997</v>
      </c>
      <c r="AG164" s="478">
        <v>0.41663999999999995</v>
      </c>
      <c r="AH164" s="478">
        <v>0.36455999999999994</v>
      </c>
      <c r="AI164" s="478">
        <v>0.31247999999999992</v>
      </c>
      <c r="AJ164" s="478">
        <v>0.26039999999999991</v>
      </c>
      <c r="AK164" s="478">
        <v>0.20831999999999998</v>
      </c>
      <c r="AL164" s="478">
        <v>0.15623999999999993</v>
      </c>
      <c r="AM164" s="478">
        <v>0.10415999999999999</v>
      </c>
      <c r="AN164" s="478">
        <v>5.2079999999999939E-2</v>
      </c>
      <c r="AO164" s="478">
        <v>0</v>
      </c>
    </row>
    <row r="165" spans="2:41">
      <c r="C165" t="s">
        <v>549</v>
      </c>
      <c r="D165" t="s">
        <v>452</v>
      </c>
      <c r="F165" s="478">
        <v>0.16</v>
      </c>
      <c r="G165" s="478">
        <v>0.16</v>
      </c>
      <c r="H165" s="478">
        <v>0.16</v>
      </c>
      <c r="I165" s="478">
        <v>0.16</v>
      </c>
      <c r="J165" s="478">
        <v>0.16</v>
      </c>
      <c r="K165" s="478">
        <v>0.16</v>
      </c>
      <c r="L165" s="478">
        <v>0.16</v>
      </c>
      <c r="M165" s="478">
        <v>0.16</v>
      </c>
      <c r="N165" s="478">
        <v>0.16</v>
      </c>
      <c r="O165" s="478">
        <v>0.16</v>
      </c>
      <c r="P165" s="478">
        <v>0.16</v>
      </c>
      <c r="Q165" s="478">
        <v>0.16</v>
      </c>
      <c r="R165" s="478">
        <v>0.16</v>
      </c>
      <c r="S165" s="478">
        <v>0.16</v>
      </c>
      <c r="T165" s="478">
        <v>0.16</v>
      </c>
      <c r="U165" s="478">
        <v>0.16</v>
      </c>
      <c r="V165" s="478">
        <v>0.16</v>
      </c>
      <c r="W165" s="478">
        <v>0.16</v>
      </c>
      <c r="X165" s="478">
        <v>0.16</v>
      </c>
      <c r="Y165" s="478">
        <v>0.16</v>
      </c>
      <c r="Z165" s="478">
        <v>0.16</v>
      </c>
      <c r="AA165" s="478">
        <v>0.216</v>
      </c>
      <c r="AB165" s="478">
        <v>0.27200000000000002</v>
      </c>
      <c r="AC165" s="478">
        <v>0.32800000000000001</v>
      </c>
      <c r="AD165" s="478">
        <v>0.38400000000000001</v>
      </c>
      <c r="AE165" s="478">
        <v>0.44000000000000006</v>
      </c>
      <c r="AF165" s="478">
        <v>0.496</v>
      </c>
      <c r="AG165" s="478">
        <v>0.55200000000000005</v>
      </c>
      <c r="AH165" s="478">
        <v>0.60799999999999998</v>
      </c>
      <c r="AI165" s="478">
        <v>0.66400000000000003</v>
      </c>
      <c r="AJ165" s="478">
        <v>0.72000000000000008</v>
      </c>
      <c r="AK165" s="478">
        <v>0.77600000000000002</v>
      </c>
      <c r="AL165" s="478">
        <v>0.83200000000000007</v>
      </c>
      <c r="AM165" s="478">
        <v>0.88800000000000001</v>
      </c>
      <c r="AN165" s="478">
        <v>0.94400000000000006</v>
      </c>
      <c r="AO165" s="478">
        <v>1</v>
      </c>
    </row>
    <row r="166" spans="2:41">
      <c r="C166" t="s">
        <v>550</v>
      </c>
      <c r="D166" t="s">
        <v>452</v>
      </c>
      <c r="F166" s="478">
        <v>0</v>
      </c>
      <c r="G166" s="478">
        <v>0</v>
      </c>
      <c r="H166" s="478">
        <v>0</v>
      </c>
      <c r="I166" s="478">
        <v>0</v>
      </c>
      <c r="J166" s="478">
        <v>0</v>
      </c>
      <c r="K166" s="478">
        <v>0</v>
      </c>
      <c r="L166" s="478">
        <v>0</v>
      </c>
      <c r="M166" s="478">
        <v>0</v>
      </c>
      <c r="N166" s="478">
        <v>0</v>
      </c>
      <c r="O166" s="478">
        <v>0</v>
      </c>
      <c r="P166" s="478">
        <v>0</v>
      </c>
      <c r="Q166" s="478">
        <v>0</v>
      </c>
      <c r="R166" s="478">
        <v>4.9980000000000007E-3</v>
      </c>
      <c r="S166" s="478">
        <v>9.9960000000000014E-3</v>
      </c>
      <c r="T166" s="478">
        <v>1.4994E-2</v>
      </c>
      <c r="U166" s="478">
        <v>1.9992000000000003E-2</v>
      </c>
      <c r="V166" s="478">
        <v>2.9694000000000005E-2</v>
      </c>
      <c r="W166" s="478">
        <v>3.9396000000000007E-2</v>
      </c>
      <c r="X166" s="478">
        <v>4.909800000000001E-2</v>
      </c>
      <c r="Y166" s="478">
        <v>5.8800000000000005E-2</v>
      </c>
      <c r="Z166" s="478">
        <v>5.8800000000000005E-2</v>
      </c>
      <c r="AA166" s="478">
        <v>5.4879999999999998E-2</v>
      </c>
      <c r="AB166" s="478">
        <v>5.0960000000000005E-2</v>
      </c>
      <c r="AC166" s="478">
        <v>4.7039999999999998E-2</v>
      </c>
      <c r="AD166" s="478">
        <v>4.3120000000000006E-2</v>
      </c>
      <c r="AE166" s="478">
        <v>3.9199999999999999E-2</v>
      </c>
      <c r="AF166" s="478">
        <v>3.5280000000000006E-2</v>
      </c>
      <c r="AG166" s="478">
        <v>3.1359999999999999E-2</v>
      </c>
      <c r="AH166" s="478">
        <v>2.7439999999999999E-2</v>
      </c>
      <c r="AI166" s="478">
        <v>2.3519999999999999E-2</v>
      </c>
      <c r="AJ166" s="478">
        <v>1.9599999999999996E-2</v>
      </c>
      <c r="AK166" s="478">
        <v>1.5679999999999999E-2</v>
      </c>
      <c r="AL166" s="478">
        <v>1.1759999999999996E-2</v>
      </c>
      <c r="AM166" s="478">
        <v>7.8399999999999997E-3</v>
      </c>
      <c r="AN166" s="478">
        <v>3.9199999999999964E-3</v>
      </c>
      <c r="AO166" s="478">
        <v>0</v>
      </c>
    </row>
    <row r="167" spans="2:41">
      <c r="C167" t="s">
        <v>551</v>
      </c>
      <c r="F167" s="309">
        <f>IFERROR(F166/(F164+F166),0)</f>
        <v>0</v>
      </c>
      <c r="G167" s="309">
        <f t="shared" ref="G167" si="257">IFERROR(G166/(G164+G166),0)</f>
        <v>0</v>
      </c>
      <c r="H167" s="309">
        <f t="shared" ref="H167" si="258">IFERROR(H166/(H164+H166),0)</f>
        <v>0</v>
      </c>
      <c r="I167" s="309">
        <f t="shared" ref="I167" si="259">IFERROR(I166/(I164+I166),0)</f>
        <v>0</v>
      </c>
      <c r="J167" s="309">
        <f t="shared" ref="J167" si="260">IFERROR(J166/(J164+J166),0)</f>
        <v>0</v>
      </c>
      <c r="K167" s="309">
        <f t="shared" ref="K167" si="261">IFERROR(K166/(K164+K166),0)</f>
        <v>0</v>
      </c>
      <c r="L167" s="309">
        <f t="shared" ref="L167" si="262">IFERROR(L166/(L164+L166),0)</f>
        <v>0</v>
      </c>
      <c r="M167" s="309">
        <f t="shared" ref="M167" si="263">IFERROR(M166/(M164+M166),0)</f>
        <v>0</v>
      </c>
      <c r="N167" s="309">
        <f t="shared" ref="N167" si="264">IFERROR(N166/(N164+N166),0)</f>
        <v>0</v>
      </c>
      <c r="O167" s="309">
        <f t="shared" ref="O167" si="265">IFERROR(O166/(O164+O166),0)</f>
        <v>0</v>
      </c>
      <c r="P167" s="309">
        <f t="shared" ref="P167" si="266">IFERROR(P166/(P164+P166),0)</f>
        <v>0</v>
      </c>
      <c r="Q167" s="309">
        <f t="shared" ref="Q167" si="267">IFERROR(Q166/(Q164+Q166),0)</f>
        <v>0</v>
      </c>
      <c r="R167" s="309">
        <f t="shared" ref="R167" si="268">IFERROR(R166/(R164+R166),0)</f>
        <v>5.9500000000000022E-3</v>
      </c>
      <c r="S167" s="309">
        <f t="shared" ref="S167" si="269">IFERROR(S166/(S164+S166),0)</f>
        <v>1.1900000000000003E-2</v>
      </c>
      <c r="T167" s="309">
        <f t="shared" ref="T167" si="270">IFERROR(T166/(T164+T166),0)</f>
        <v>1.7850000000000005E-2</v>
      </c>
      <c r="U167" s="309">
        <f t="shared" ref="U167" si="271">IFERROR(U166/(U164+U166),0)</f>
        <v>2.3800000000000005E-2</v>
      </c>
      <c r="V167" s="309">
        <f t="shared" ref="V167" si="272">IFERROR(V166/(V164+V166),0)</f>
        <v>3.5350000000000006E-2</v>
      </c>
      <c r="W167" s="309">
        <f t="shared" ref="W167" si="273">IFERROR(W166/(W164+W166),0)</f>
        <v>4.6900000000000018E-2</v>
      </c>
      <c r="X167" s="309">
        <f t="shared" ref="X167" si="274">IFERROR(X166/(X164+X166),0)</f>
        <v>5.8450000000000016E-2</v>
      </c>
      <c r="Y167" s="309">
        <f t="shared" ref="Y167" si="275">IFERROR(Y166/(Y164+Y166),0)</f>
        <v>7.0000000000000021E-2</v>
      </c>
      <c r="Z167" s="309">
        <f t="shared" ref="Z167" si="276">IFERROR(Z166/(Z164+Z166),0)</f>
        <v>7.0000000000000021E-2</v>
      </c>
      <c r="AA167" s="309">
        <f t="shared" ref="AA167" si="277">IFERROR(AA166/(AA164+AA166),0)</f>
        <v>7.0000000000000007E-2</v>
      </c>
      <c r="AB167" s="309">
        <f t="shared" ref="AB167" si="278">IFERROR(AB166/(AB164+AB166),0)</f>
        <v>7.0000000000000007E-2</v>
      </c>
      <c r="AC167" s="309">
        <f t="shared" ref="AC167" si="279">IFERROR(AC166/(AC164+AC166),0)</f>
        <v>7.0000000000000021E-2</v>
      </c>
      <c r="AD167" s="309">
        <f t="shared" ref="AD167" si="280">IFERROR(AD166/(AD164+AD166),0)</f>
        <v>7.0000000000000007E-2</v>
      </c>
      <c r="AE167" s="309">
        <f t="shared" ref="AE167" si="281">IFERROR(AE166/(AE164+AE166),0)</f>
        <v>7.0000000000000007E-2</v>
      </c>
      <c r="AF167" s="309">
        <f t="shared" ref="AF167" si="282">IFERROR(AF166/(AF164+AF166),0)</f>
        <v>7.0000000000000007E-2</v>
      </c>
      <c r="AG167" s="309">
        <f t="shared" ref="AG167" si="283">IFERROR(AG166/(AG164+AG166),0)</f>
        <v>7.0000000000000007E-2</v>
      </c>
      <c r="AH167" s="309">
        <f t="shared" ref="AH167" si="284">IFERROR(AH166/(AH164+AH166),0)</f>
        <v>7.0000000000000007E-2</v>
      </c>
      <c r="AI167" s="309">
        <f t="shared" ref="AI167" si="285">IFERROR(AI166/(AI164+AI166),0)</f>
        <v>7.0000000000000021E-2</v>
      </c>
      <c r="AJ167" s="309">
        <f t="shared" ref="AJ167" si="286">IFERROR(AJ166/(AJ164+AJ166),0)</f>
        <v>7.0000000000000007E-2</v>
      </c>
      <c r="AK167" s="309">
        <f t="shared" ref="AK167" si="287">IFERROR(AK166/(AK164+AK166),0)</f>
        <v>7.0000000000000007E-2</v>
      </c>
      <c r="AL167" s="309">
        <f t="shared" ref="AL167" si="288">IFERROR(AL166/(AL164+AL166),0)</f>
        <v>7.0000000000000007E-2</v>
      </c>
      <c r="AM167" s="309">
        <f t="shared" ref="AM167" si="289">IFERROR(AM166/(AM164+AM166),0)</f>
        <v>7.0000000000000007E-2</v>
      </c>
      <c r="AN167" s="309">
        <f t="shared" ref="AN167" si="290">IFERROR(AN166/(AN164+AN166),0)</f>
        <v>7.0000000000000007E-2</v>
      </c>
      <c r="AO167" s="309">
        <f t="shared" ref="AO167" si="291">IFERROR(AO166/(AO164+AO166),0)</f>
        <v>0</v>
      </c>
    </row>
    <row r="169" spans="2:41">
      <c r="B169" t="str">
        <f>INDEX('Scenario names'!$C$3:$C$6,2)</f>
        <v>High Hydrogen</v>
      </c>
      <c r="C169" t="s">
        <v>548</v>
      </c>
      <c r="D169" t="s">
        <v>452</v>
      </c>
      <c r="F169" s="478">
        <v>0.84</v>
      </c>
      <c r="G169" s="478">
        <v>0.84</v>
      </c>
      <c r="H169" s="478">
        <v>0.84</v>
      </c>
      <c r="I169" s="478">
        <v>0.84</v>
      </c>
      <c r="J169" s="478">
        <v>0.84</v>
      </c>
      <c r="K169" s="478">
        <v>0.84</v>
      </c>
      <c r="L169" s="478">
        <v>0.84</v>
      </c>
      <c r="M169" s="478">
        <v>0.84</v>
      </c>
      <c r="N169" s="478">
        <v>0.84</v>
      </c>
      <c r="O169" s="478">
        <v>0.84</v>
      </c>
      <c r="P169" s="478">
        <v>0.84</v>
      </c>
      <c r="Q169" s="478">
        <v>0.84</v>
      </c>
      <c r="R169" s="478">
        <v>0.83500199999999991</v>
      </c>
      <c r="S169" s="478">
        <v>0.83000399999999996</v>
      </c>
      <c r="T169" s="478">
        <v>0.82500599999999991</v>
      </c>
      <c r="U169" s="478">
        <v>0.82000799999999996</v>
      </c>
      <c r="V169" s="478">
        <v>0.81030599999999997</v>
      </c>
      <c r="W169" s="478">
        <v>0.80060399999999987</v>
      </c>
      <c r="X169" s="478">
        <v>0.79090199999999999</v>
      </c>
      <c r="Y169" s="478">
        <v>0.7280783999999999</v>
      </c>
      <c r="Z169" s="478">
        <v>0.67495680000000002</v>
      </c>
      <c r="AA169" s="478">
        <v>0.62183519999999992</v>
      </c>
      <c r="AB169" s="478">
        <v>0.56871359999999993</v>
      </c>
      <c r="AC169" s="478">
        <v>0.51559199999999994</v>
      </c>
      <c r="AD169" s="478">
        <v>0.51559199999999994</v>
      </c>
      <c r="AE169" s="478">
        <v>0.42965999999999993</v>
      </c>
      <c r="AF169" s="478">
        <v>0.34372799999999998</v>
      </c>
      <c r="AG169" s="478">
        <v>0.25779599999999997</v>
      </c>
      <c r="AH169" s="478">
        <v>0.17186399999999991</v>
      </c>
      <c r="AI169" s="478">
        <v>8.593200000000005E-2</v>
      </c>
      <c r="AJ169" s="478">
        <v>0</v>
      </c>
      <c r="AK169" s="478">
        <v>0</v>
      </c>
      <c r="AL169" s="478">
        <v>0</v>
      </c>
      <c r="AM169" s="478">
        <v>0</v>
      </c>
      <c r="AN169" s="478">
        <v>0</v>
      </c>
      <c r="AO169" s="478">
        <v>0</v>
      </c>
    </row>
    <row r="170" spans="2:41">
      <c r="C170" t="s">
        <v>549</v>
      </c>
      <c r="D170" t="s">
        <v>452</v>
      </c>
      <c r="F170" s="478">
        <v>0.16000000000000003</v>
      </c>
      <c r="G170" s="478">
        <v>0.16000000000000003</v>
      </c>
      <c r="H170" s="478">
        <v>0.16000000000000003</v>
      </c>
      <c r="I170" s="478">
        <v>0.16000000000000003</v>
      </c>
      <c r="J170" s="478">
        <v>0.16000000000000003</v>
      </c>
      <c r="K170" s="478">
        <v>0.16000000000000003</v>
      </c>
      <c r="L170" s="478">
        <v>0.16000000000000003</v>
      </c>
      <c r="M170" s="478">
        <v>0.16000000000000003</v>
      </c>
      <c r="N170" s="478">
        <v>0.16000000000000003</v>
      </c>
      <c r="O170" s="478">
        <v>0.16000000000000003</v>
      </c>
      <c r="P170" s="478">
        <v>0.16000000000000003</v>
      </c>
      <c r="Q170" s="478">
        <v>0.16000000000000003</v>
      </c>
      <c r="R170" s="478">
        <v>0.16000000000000003</v>
      </c>
      <c r="S170" s="478">
        <v>0.16000000000000003</v>
      </c>
      <c r="T170" s="478">
        <v>0.16000000000000003</v>
      </c>
      <c r="U170" s="478">
        <v>0.16000000000000003</v>
      </c>
      <c r="V170" s="478">
        <v>0.16000000000000003</v>
      </c>
      <c r="W170" s="478">
        <v>0.16000000000000003</v>
      </c>
      <c r="X170" s="478">
        <v>0.16000000000000003</v>
      </c>
      <c r="Y170" s="478">
        <v>0.16000000000000003</v>
      </c>
      <c r="Z170" s="478">
        <v>0.16000000000000003</v>
      </c>
      <c r="AA170" s="478">
        <v>0.16000000000000003</v>
      </c>
      <c r="AB170" s="478">
        <v>0.16000000000000003</v>
      </c>
      <c r="AC170" s="478">
        <v>0.16000000000000003</v>
      </c>
      <c r="AD170" s="478">
        <v>0.16000000000000003</v>
      </c>
      <c r="AE170" s="478">
        <v>0.16000000000000003</v>
      </c>
      <c r="AF170" s="478">
        <v>0.16000000000000003</v>
      </c>
      <c r="AG170" s="478">
        <v>0.16000000000000003</v>
      </c>
      <c r="AH170" s="478">
        <v>0.16000000000000003</v>
      </c>
      <c r="AI170" s="478">
        <v>0.16000000000000003</v>
      </c>
      <c r="AJ170" s="478">
        <v>0.16000000000000003</v>
      </c>
      <c r="AK170" s="478">
        <v>0.16000000000000003</v>
      </c>
      <c r="AL170" s="478">
        <v>0.16000000000000003</v>
      </c>
      <c r="AM170" s="478">
        <v>0.16000000000000003</v>
      </c>
      <c r="AN170" s="478">
        <v>0.16000000000000003</v>
      </c>
      <c r="AO170" s="478">
        <v>0.16000000000000003</v>
      </c>
    </row>
    <row r="171" spans="2:41">
      <c r="C171" t="s">
        <v>550</v>
      </c>
      <c r="D171" t="s">
        <v>452</v>
      </c>
      <c r="F171" s="478">
        <v>0</v>
      </c>
      <c r="G171" s="478">
        <v>0</v>
      </c>
      <c r="H171" s="478">
        <v>0</v>
      </c>
      <c r="I171" s="478">
        <v>0</v>
      </c>
      <c r="J171" s="478">
        <v>0</v>
      </c>
      <c r="K171" s="478">
        <v>0</v>
      </c>
      <c r="L171" s="478">
        <v>0</v>
      </c>
      <c r="M171" s="478">
        <v>0</v>
      </c>
      <c r="N171" s="478">
        <v>0</v>
      </c>
      <c r="O171" s="478">
        <v>0</v>
      </c>
      <c r="P171" s="478">
        <v>0</v>
      </c>
      <c r="Q171" s="478">
        <v>0</v>
      </c>
      <c r="R171" s="478">
        <v>4.9980000000000007E-3</v>
      </c>
      <c r="S171" s="478">
        <v>9.9960000000000014E-3</v>
      </c>
      <c r="T171" s="478">
        <v>1.4994E-2</v>
      </c>
      <c r="U171" s="478">
        <v>1.9992000000000003E-2</v>
      </c>
      <c r="V171" s="478">
        <v>2.9694000000000005E-2</v>
      </c>
      <c r="W171" s="478">
        <v>3.9396000000000007E-2</v>
      </c>
      <c r="X171" s="478">
        <v>4.909800000000001E-2</v>
      </c>
      <c r="Y171" s="478">
        <v>0.11192160000000002</v>
      </c>
      <c r="Z171" s="478">
        <v>0.16504320000000003</v>
      </c>
      <c r="AA171" s="478">
        <v>0.21816480000000005</v>
      </c>
      <c r="AB171" s="478">
        <v>0.27128639999999998</v>
      </c>
      <c r="AC171" s="478">
        <v>0.32440800000000003</v>
      </c>
      <c r="AD171" s="478">
        <v>0.32440800000000003</v>
      </c>
      <c r="AE171" s="478">
        <v>0.41034000000000004</v>
      </c>
      <c r="AF171" s="478">
        <v>0.49627199999999999</v>
      </c>
      <c r="AG171" s="478">
        <v>0.58220400000000005</v>
      </c>
      <c r="AH171" s="478">
        <v>0.66813600000000006</v>
      </c>
      <c r="AI171" s="478">
        <v>0.75406799999999996</v>
      </c>
      <c r="AJ171" s="478">
        <v>0.84</v>
      </c>
      <c r="AK171" s="478">
        <v>0.84</v>
      </c>
      <c r="AL171" s="478">
        <v>0.84</v>
      </c>
      <c r="AM171" s="478">
        <v>0.84</v>
      </c>
      <c r="AN171" s="478">
        <v>0.84</v>
      </c>
      <c r="AO171" s="478">
        <v>0.84</v>
      </c>
    </row>
    <row r="172" spans="2:41">
      <c r="C172" t="s">
        <v>551</v>
      </c>
      <c r="F172" s="309">
        <f>IFERROR(F171/(F169+F171),0)</f>
        <v>0</v>
      </c>
      <c r="G172" s="309">
        <f t="shared" ref="G172" si="292">IFERROR(G171/(G169+G171),0)</f>
        <v>0</v>
      </c>
      <c r="H172" s="309">
        <f t="shared" ref="H172" si="293">IFERROR(H171/(H169+H171),0)</f>
        <v>0</v>
      </c>
      <c r="I172" s="309">
        <f t="shared" ref="I172" si="294">IFERROR(I171/(I169+I171),0)</f>
        <v>0</v>
      </c>
      <c r="J172" s="309">
        <f t="shared" ref="J172" si="295">IFERROR(J171/(J169+J171),0)</f>
        <v>0</v>
      </c>
      <c r="K172" s="309">
        <f t="shared" ref="K172" si="296">IFERROR(K171/(K169+K171),0)</f>
        <v>0</v>
      </c>
      <c r="L172" s="309">
        <f t="shared" ref="L172" si="297">IFERROR(L171/(L169+L171),0)</f>
        <v>0</v>
      </c>
      <c r="M172" s="309">
        <f t="shared" ref="M172" si="298">IFERROR(M171/(M169+M171),0)</f>
        <v>0</v>
      </c>
      <c r="N172" s="309">
        <f t="shared" ref="N172" si="299">IFERROR(N171/(N169+N171),0)</f>
        <v>0</v>
      </c>
      <c r="O172" s="309">
        <f t="shared" ref="O172" si="300">IFERROR(O171/(O169+O171),0)</f>
        <v>0</v>
      </c>
      <c r="P172" s="309">
        <f t="shared" ref="P172" si="301">IFERROR(P171/(P169+P171),0)</f>
        <v>0</v>
      </c>
      <c r="Q172" s="309">
        <f t="shared" ref="Q172" si="302">IFERROR(Q171/(Q169+Q171),0)</f>
        <v>0</v>
      </c>
      <c r="R172" s="309">
        <f t="shared" ref="R172" si="303">IFERROR(R171/(R169+R171),0)</f>
        <v>5.9500000000000022E-3</v>
      </c>
      <c r="S172" s="309">
        <f t="shared" ref="S172" si="304">IFERROR(S171/(S169+S171),0)</f>
        <v>1.1900000000000003E-2</v>
      </c>
      <c r="T172" s="309">
        <f t="shared" ref="T172" si="305">IFERROR(T171/(T169+T171),0)</f>
        <v>1.7850000000000005E-2</v>
      </c>
      <c r="U172" s="309">
        <f t="shared" ref="U172" si="306">IFERROR(U171/(U169+U171),0)</f>
        <v>2.3800000000000005E-2</v>
      </c>
      <c r="V172" s="309">
        <f t="shared" ref="V172" si="307">IFERROR(V171/(V169+V171),0)</f>
        <v>3.5350000000000006E-2</v>
      </c>
      <c r="W172" s="309">
        <f t="shared" ref="W172" si="308">IFERROR(W171/(W169+W171),0)</f>
        <v>4.6900000000000018E-2</v>
      </c>
      <c r="X172" s="309">
        <f t="shared" ref="X172" si="309">IFERROR(X171/(X169+X171),0)</f>
        <v>5.8450000000000016E-2</v>
      </c>
      <c r="Y172" s="309">
        <f t="shared" ref="Y172" si="310">IFERROR(Y171/(Y169+Y171),0)</f>
        <v>0.13324000000000003</v>
      </c>
      <c r="Z172" s="309">
        <f t="shared" ref="Z172" si="311">IFERROR(Z171/(Z169+Z171),0)</f>
        <v>0.19648000000000002</v>
      </c>
      <c r="AA172" s="309">
        <f t="shared" ref="AA172" si="312">IFERROR(AA171/(AA169+AA171),0)</f>
        <v>0.25972000000000006</v>
      </c>
      <c r="AB172" s="309">
        <f t="shared" ref="AB172" si="313">IFERROR(AB171/(AB169+AB171),0)</f>
        <v>0.32296000000000002</v>
      </c>
      <c r="AC172" s="309">
        <f t="shared" ref="AC172" si="314">IFERROR(AC171/(AC169+AC171),0)</f>
        <v>0.38620000000000004</v>
      </c>
      <c r="AD172" s="309">
        <f t="shared" ref="AD172" si="315">IFERROR(AD171/(AD169+AD171),0)</f>
        <v>0.38620000000000004</v>
      </c>
      <c r="AE172" s="309">
        <f t="shared" ref="AE172" si="316">IFERROR(AE171/(AE169+AE171),0)</f>
        <v>0.48850000000000005</v>
      </c>
      <c r="AF172" s="309">
        <f t="shared" ref="AF172" si="317">IFERROR(AF171/(AF169+AF171),0)</f>
        <v>0.59079999999999999</v>
      </c>
      <c r="AG172" s="309">
        <f t="shared" ref="AG172" si="318">IFERROR(AG171/(AG169+AG171),0)</f>
        <v>0.69310000000000005</v>
      </c>
      <c r="AH172" s="309">
        <f t="shared" ref="AH172" si="319">IFERROR(AH171/(AH169+AH171),0)</f>
        <v>0.79540000000000011</v>
      </c>
      <c r="AI172" s="309">
        <f t="shared" ref="AI172" si="320">IFERROR(AI171/(AI169+AI171),0)</f>
        <v>0.89769999999999994</v>
      </c>
      <c r="AJ172" s="309">
        <f t="shared" ref="AJ172" si="321">IFERROR(AJ171/(AJ169+AJ171),0)</f>
        <v>1</v>
      </c>
      <c r="AK172" s="309">
        <f t="shared" ref="AK172" si="322">IFERROR(AK171/(AK169+AK171),0)</f>
        <v>1</v>
      </c>
      <c r="AL172" s="309">
        <f t="shared" ref="AL172" si="323">IFERROR(AL171/(AL169+AL171),0)</f>
        <v>1</v>
      </c>
      <c r="AM172" s="309">
        <f t="shared" ref="AM172" si="324">IFERROR(AM171/(AM169+AM171),0)</f>
        <v>1</v>
      </c>
      <c r="AN172" s="309">
        <f t="shared" ref="AN172" si="325">IFERROR(AN171/(AN169+AN171),0)</f>
        <v>1</v>
      </c>
      <c r="AO172" s="309">
        <f t="shared" ref="AO172" si="326">IFERROR(AO171/(AO169+AO171),0)</f>
        <v>1</v>
      </c>
    </row>
    <row r="174" spans="2:41">
      <c r="B174" t="str">
        <f>INDEX('Scenario names'!$C$3:$C$6,3)</f>
        <v>Accelerated Green</v>
      </c>
      <c r="C174" t="s">
        <v>548</v>
      </c>
      <c r="D174" t="s">
        <v>452</v>
      </c>
      <c r="F174" s="478">
        <v>0.84</v>
      </c>
      <c r="G174" s="478">
        <v>0.84</v>
      </c>
      <c r="H174" s="478">
        <v>0.84</v>
      </c>
      <c r="I174" s="478">
        <v>0.84</v>
      </c>
      <c r="J174" s="478">
        <v>0.84</v>
      </c>
      <c r="K174" s="478">
        <v>0.84</v>
      </c>
      <c r="L174" s="478">
        <v>0.84</v>
      </c>
      <c r="M174" s="478">
        <v>0.84</v>
      </c>
      <c r="N174" s="478">
        <v>0.84</v>
      </c>
      <c r="O174" s="478">
        <v>0.84</v>
      </c>
      <c r="P174" s="478">
        <v>0.84</v>
      </c>
      <c r="Q174" s="478">
        <v>0.84</v>
      </c>
      <c r="R174" s="478">
        <v>0.83500199999999991</v>
      </c>
      <c r="S174" s="478">
        <v>0.83000399999999996</v>
      </c>
      <c r="T174" s="478">
        <v>0.82500599999999991</v>
      </c>
      <c r="U174" s="478">
        <v>0.82000799999999996</v>
      </c>
      <c r="V174" s="478">
        <v>0.81030599999999997</v>
      </c>
      <c r="W174" s="478">
        <v>0.80060399999999987</v>
      </c>
      <c r="X174" s="478">
        <v>0.79090199999999999</v>
      </c>
      <c r="Y174" s="478">
        <v>0.78119999999999989</v>
      </c>
      <c r="Z174" s="478">
        <v>0.78119999999999989</v>
      </c>
      <c r="AA174" s="478">
        <v>0.78119999999999989</v>
      </c>
      <c r="AB174" s="478">
        <v>0.78119999999999989</v>
      </c>
      <c r="AC174" s="478">
        <v>0.78119999999999989</v>
      </c>
      <c r="AD174" s="478">
        <v>0.78119999999999989</v>
      </c>
      <c r="AE174" s="478">
        <v>0.78119999999999989</v>
      </c>
      <c r="AF174" s="478">
        <v>0.78119999999999989</v>
      </c>
      <c r="AG174" s="478">
        <v>0.78119999999999989</v>
      </c>
      <c r="AH174" s="478">
        <v>0.78119999999999989</v>
      </c>
      <c r="AI174" s="478">
        <v>0.78119999999999989</v>
      </c>
      <c r="AJ174" s="478">
        <v>0.78119999999999989</v>
      </c>
      <c r="AK174" s="478">
        <v>0.78119999999999989</v>
      </c>
      <c r="AL174" s="478">
        <v>0.78119999999999989</v>
      </c>
      <c r="AM174" s="478">
        <v>0.78119999999999989</v>
      </c>
      <c r="AN174" s="478">
        <v>0.78119999999999989</v>
      </c>
      <c r="AO174" s="478">
        <v>0.78119999999999989</v>
      </c>
    </row>
    <row r="175" spans="2:41">
      <c r="C175" t="s">
        <v>549</v>
      </c>
      <c r="D175" t="s">
        <v>452</v>
      </c>
      <c r="F175" s="478">
        <v>0.16000000000000003</v>
      </c>
      <c r="G175" s="478">
        <v>0.16000000000000003</v>
      </c>
      <c r="H175" s="478">
        <v>0.16000000000000003</v>
      </c>
      <c r="I175" s="478">
        <v>0.16000000000000003</v>
      </c>
      <c r="J175" s="478">
        <v>0.16000000000000003</v>
      </c>
      <c r="K175" s="478">
        <v>0.16000000000000003</v>
      </c>
      <c r="L175" s="478">
        <v>0.16000000000000003</v>
      </c>
      <c r="M175" s="478">
        <v>0.16000000000000003</v>
      </c>
      <c r="N175" s="478">
        <v>0.16000000000000003</v>
      </c>
      <c r="O175" s="478">
        <v>0.16000000000000003</v>
      </c>
      <c r="P175" s="478">
        <v>0.16000000000000003</v>
      </c>
      <c r="Q175" s="478">
        <v>0.16000000000000003</v>
      </c>
      <c r="R175" s="478">
        <v>0.16000000000000003</v>
      </c>
      <c r="S175" s="478">
        <v>0.16000000000000003</v>
      </c>
      <c r="T175" s="478">
        <v>0.16000000000000003</v>
      </c>
      <c r="U175" s="478">
        <v>0.16000000000000003</v>
      </c>
      <c r="V175" s="478">
        <v>0.16000000000000003</v>
      </c>
      <c r="W175" s="478">
        <v>0.16000000000000003</v>
      </c>
      <c r="X175" s="478">
        <v>0.16000000000000003</v>
      </c>
      <c r="Y175" s="478">
        <v>0.16000000000000003</v>
      </c>
      <c r="Z175" s="478">
        <v>0.16000000000000003</v>
      </c>
      <c r="AA175" s="478">
        <v>0.16000000000000003</v>
      </c>
      <c r="AB175" s="478">
        <v>0.16000000000000003</v>
      </c>
      <c r="AC175" s="478">
        <v>0.16000000000000003</v>
      </c>
      <c r="AD175" s="478">
        <v>0.16000000000000003</v>
      </c>
      <c r="AE175" s="478">
        <v>0.16000000000000003</v>
      </c>
      <c r="AF175" s="478">
        <v>0.16000000000000003</v>
      </c>
      <c r="AG175" s="478">
        <v>0.16000000000000003</v>
      </c>
      <c r="AH175" s="478">
        <v>0.16000000000000003</v>
      </c>
      <c r="AI175" s="478">
        <v>0.16000000000000003</v>
      </c>
      <c r="AJ175" s="478">
        <v>0.16000000000000003</v>
      </c>
      <c r="AK175" s="478">
        <v>0.16000000000000003</v>
      </c>
      <c r="AL175" s="478">
        <v>0.16000000000000003</v>
      </c>
      <c r="AM175" s="478">
        <v>0.16000000000000003</v>
      </c>
      <c r="AN175" s="478">
        <v>0.16000000000000003</v>
      </c>
      <c r="AO175" s="478">
        <v>0.16000000000000003</v>
      </c>
    </row>
    <row r="176" spans="2:41">
      <c r="C176" t="s">
        <v>550</v>
      </c>
      <c r="D176" t="s">
        <v>452</v>
      </c>
      <c r="F176" s="478">
        <v>0</v>
      </c>
      <c r="G176" s="478">
        <v>0</v>
      </c>
      <c r="H176" s="478">
        <v>0</v>
      </c>
      <c r="I176" s="478">
        <v>0</v>
      </c>
      <c r="J176" s="478">
        <v>0</v>
      </c>
      <c r="K176" s="478">
        <v>0</v>
      </c>
      <c r="L176" s="478">
        <v>0</v>
      </c>
      <c r="M176" s="478">
        <v>0</v>
      </c>
      <c r="N176" s="478">
        <v>0</v>
      </c>
      <c r="O176" s="478">
        <v>0</v>
      </c>
      <c r="P176" s="478">
        <v>0</v>
      </c>
      <c r="Q176" s="478">
        <v>0</v>
      </c>
      <c r="R176" s="478">
        <v>4.9980000000000007E-3</v>
      </c>
      <c r="S176" s="478">
        <v>9.9960000000000014E-3</v>
      </c>
      <c r="T176" s="478">
        <v>1.4994E-2</v>
      </c>
      <c r="U176" s="478">
        <v>1.9992000000000003E-2</v>
      </c>
      <c r="V176" s="478">
        <v>2.9694000000000005E-2</v>
      </c>
      <c r="W176" s="478">
        <v>3.9396000000000007E-2</v>
      </c>
      <c r="X176" s="478">
        <v>4.909800000000001E-2</v>
      </c>
      <c r="Y176" s="478">
        <v>5.8800000000000005E-2</v>
      </c>
      <c r="Z176" s="478">
        <v>5.8800000000000005E-2</v>
      </c>
      <c r="AA176" s="478">
        <v>5.8800000000000005E-2</v>
      </c>
      <c r="AB176" s="478">
        <v>5.8800000000000005E-2</v>
      </c>
      <c r="AC176" s="478">
        <v>5.8800000000000005E-2</v>
      </c>
      <c r="AD176" s="478">
        <v>5.8800000000000005E-2</v>
      </c>
      <c r="AE176" s="478">
        <v>5.8800000000000005E-2</v>
      </c>
      <c r="AF176" s="478">
        <v>5.8800000000000005E-2</v>
      </c>
      <c r="AG176" s="478">
        <v>5.8800000000000005E-2</v>
      </c>
      <c r="AH176" s="478">
        <v>5.8800000000000005E-2</v>
      </c>
      <c r="AI176" s="478">
        <v>5.8800000000000005E-2</v>
      </c>
      <c r="AJ176" s="478">
        <v>5.8800000000000005E-2</v>
      </c>
      <c r="AK176" s="478">
        <v>5.8800000000000005E-2</v>
      </c>
      <c r="AL176" s="478">
        <v>5.8800000000000005E-2</v>
      </c>
      <c r="AM176" s="478">
        <v>5.8800000000000005E-2</v>
      </c>
      <c r="AN176" s="478">
        <v>5.8800000000000005E-2</v>
      </c>
      <c r="AO176" s="478">
        <v>5.8800000000000005E-2</v>
      </c>
    </row>
    <row r="177" spans="1:16374">
      <c r="C177" t="s">
        <v>551</v>
      </c>
      <c r="F177" s="309">
        <f>IFERROR(F176/(F174+F176),0)</f>
        <v>0</v>
      </c>
      <c r="G177" s="309">
        <f t="shared" ref="G177" si="327">IFERROR(G176/(G174+G176),0)</f>
        <v>0</v>
      </c>
      <c r="H177" s="309">
        <f t="shared" ref="H177" si="328">IFERROR(H176/(H174+H176),0)</f>
        <v>0</v>
      </c>
      <c r="I177" s="309">
        <f t="shared" ref="I177" si="329">IFERROR(I176/(I174+I176),0)</f>
        <v>0</v>
      </c>
      <c r="J177" s="309">
        <f t="shared" ref="J177" si="330">IFERROR(J176/(J174+J176),0)</f>
        <v>0</v>
      </c>
      <c r="K177" s="309">
        <f t="shared" ref="K177" si="331">IFERROR(K176/(K174+K176),0)</f>
        <v>0</v>
      </c>
      <c r="L177" s="309">
        <f t="shared" ref="L177" si="332">IFERROR(L176/(L174+L176),0)</f>
        <v>0</v>
      </c>
      <c r="M177" s="309">
        <f t="shared" ref="M177" si="333">IFERROR(M176/(M174+M176),0)</f>
        <v>0</v>
      </c>
      <c r="N177" s="309">
        <f t="shared" ref="N177" si="334">IFERROR(N176/(N174+N176),0)</f>
        <v>0</v>
      </c>
      <c r="O177" s="309">
        <f t="shared" ref="O177" si="335">IFERROR(O176/(O174+O176),0)</f>
        <v>0</v>
      </c>
      <c r="P177" s="309">
        <f t="shared" ref="P177" si="336">IFERROR(P176/(P174+P176),0)</f>
        <v>0</v>
      </c>
      <c r="Q177" s="309">
        <f t="shared" ref="Q177" si="337">IFERROR(Q176/(Q174+Q176),0)</f>
        <v>0</v>
      </c>
      <c r="R177" s="309">
        <f t="shared" ref="R177" si="338">IFERROR(R176/(R174+R176),0)</f>
        <v>5.9500000000000022E-3</v>
      </c>
      <c r="S177" s="309">
        <f t="shared" ref="S177" si="339">IFERROR(S176/(S174+S176),0)</f>
        <v>1.1900000000000003E-2</v>
      </c>
      <c r="T177" s="309">
        <f t="shared" ref="T177" si="340">IFERROR(T176/(T174+T176),0)</f>
        <v>1.7850000000000005E-2</v>
      </c>
      <c r="U177" s="309">
        <f t="shared" ref="U177" si="341">IFERROR(U176/(U174+U176),0)</f>
        <v>2.3800000000000005E-2</v>
      </c>
      <c r="V177" s="309">
        <f t="shared" ref="V177" si="342">IFERROR(V176/(V174+V176),0)</f>
        <v>3.5350000000000006E-2</v>
      </c>
      <c r="W177" s="309">
        <f t="shared" ref="W177" si="343">IFERROR(W176/(W174+W176),0)</f>
        <v>4.6900000000000018E-2</v>
      </c>
      <c r="X177" s="309">
        <f t="shared" ref="X177" si="344">IFERROR(X176/(X174+X176),0)</f>
        <v>5.8450000000000016E-2</v>
      </c>
      <c r="Y177" s="309">
        <f t="shared" ref="Y177" si="345">IFERROR(Y176/(Y174+Y176),0)</f>
        <v>7.0000000000000021E-2</v>
      </c>
      <c r="Z177" s="309">
        <f t="shared" ref="Z177" si="346">IFERROR(Z176/(Z174+Z176),0)</f>
        <v>7.0000000000000021E-2</v>
      </c>
      <c r="AA177" s="309">
        <f t="shared" ref="AA177" si="347">IFERROR(AA176/(AA174+AA176),0)</f>
        <v>7.0000000000000021E-2</v>
      </c>
      <c r="AB177" s="309">
        <f t="shared" ref="AB177" si="348">IFERROR(AB176/(AB174+AB176),0)</f>
        <v>7.0000000000000021E-2</v>
      </c>
      <c r="AC177" s="309">
        <f t="shared" ref="AC177" si="349">IFERROR(AC176/(AC174+AC176),0)</f>
        <v>7.0000000000000021E-2</v>
      </c>
      <c r="AD177" s="309">
        <f t="shared" ref="AD177" si="350">IFERROR(AD176/(AD174+AD176),0)</f>
        <v>7.0000000000000021E-2</v>
      </c>
      <c r="AE177" s="309">
        <f t="shared" ref="AE177" si="351">IFERROR(AE176/(AE174+AE176),0)</f>
        <v>7.0000000000000021E-2</v>
      </c>
      <c r="AF177" s="309">
        <f t="shared" ref="AF177" si="352">IFERROR(AF176/(AF174+AF176),0)</f>
        <v>7.0000000000000021E-2</v>
      </c>
      <c r="AG177" s="309">
        <f t="shared" ref="AG177" si="353">IFERROR(AG176/(AG174+AG176),0)</f>
        <v>7.0000000000000021E-2</v>
      </c>
      <c r="AH177" s="309">
        <f t="shared" ref="AH177" si="354">IFERROR(AH176/(AH174+AH176),0)</f>
        <v>7.0000000000000021E-2</v>
      </c>
      <c r="AI177" s="309">
        <f t="shared" ref="AI177" si="355">IFERROR(AI176/(AI174+AI176),0)</f>
        <v>7.0000000000000021E-2</v>
      </c>
      <c r="AJ177" s="309">
        <f t="shared" ref="AJ177" si="356">IFERROR(AJ176/(AJ174+AJ176),0)</f>
        <v>7.0000000000000021E-2</v>
      </c>
      <c r="AK177" s="309">
        <f t="shared" ref="AK177" si="357">IFERROR(AK176/(AK174+AK176),0)</f>
        <v>7.0000000000000021E-2</v>
      </c>
      <c r="AL177" s="309">
        <f t="shared" ref="AL177" si="358">IFERROR(AL176/(AL174+AL176),0)</f>
        <v>7.0000000000000021E-2</v>
      </c>
      <c r="AM177" s="309">
        <f t="shared" ref="AM177" si="359">IFERROR(AM176/(AM174+AM176),0)</f>
        <v>7.0000000000000021E-2</v>
      </c>
      <c r="AN177" s="309">
        <f t="shared" ref="AN177" si="360">IFERROR(AN176/(AN174+AN176),0)</f>
        <v>7.0000000000000021E-2</v>
      </c>
      <c r="AO177" s="309">
        <f t="shared" ref="AO177" si="361">IFERROR(AO176/(AO174+AO176),0)</f>
        <v>7.0000000000000021E-2</v>
      </c>
    </row>
    <row r="180" spans="1:16374">
      <c r="A180" s="486" t="s">
        <v>566</v>
      </c>
      <c r="B180" s="486"/>
      <c r="C180" s="486"/>
      <c r="D180" s="486"/>
      <c r="E180" s="486"/>
      <c r="F180" s="486"/>
      <c r="G180" s="486"/>
      <c r="H180" s="486"/>
      <c r="I180" s="486"/>
      <c r="J180" s="486"/>
      <c r="K180" s="486"/>
      <c r="L180" s="486"/>
      <c r="M180" s="486"/>
      <c r="N180" s="486"/>
      <c r="O180" s="486"/>
      <c r="P180" s="486"/>
      <c r="Q180" s="487"/>
      <c r="R180" s="487"/>
      <c r="S180" s="487"/>
      <c r="T180" s="487"/>
      <c r="U180" s="487"/>
      <c r="V180" s="487"/>
      <c r="W180" s="487"/>
      <c r="X180" s="487"/>
      <c r="Y180" s="487"/>
      <c r="Z180" s="487"/>
      <c r="AA180" s="487"/>
      <c r="AB180" s="487"/>
      <c r="AC180" s="487"/>
      <c r="AD180" s="487"/>
      <c r="AE180" s="487"/>
      <c r="AF180" s="487"/>
      <c r="AG180" s="487"/>
      <c r="AH180" s="487"/>
      <c r="AI180" s="487"/>
      <c r="AJ180" s="487"/>
      <c r="AK180" s="487"/>
      <c r="AL180" s="487"/>
      <c r="AM180" s="487"/>
      <c r="AN180" s="487"/>
      <c r="AO180" s="487"/>
      <c r="AP180" s="487"/>
    </row>
    <row r="181" spans="1:16374">
      <c r="A181" s="486"/>
      <c r="B181" s="486" t="s">
        <v>567</v>
      </c>
      <c r="C181" s="486"/>
      <c r="D181" s="486"/>
      <c r="E181" s="486"/>
      <c r="F181" s="486"/>
      <c r="G181" s="486"/>
      <c r="H181" s="486"/>
      <c r="I181" s="486"/>
      <c r="J181" s="486"/>
      <c r="K181" s="486"/>
      <c r="L181" s="486"/>
      <c r="M181" s="486"/>
      <c r="N181" s="486"/>
      <c r="O181" s="486"/>
      <c r="P181" s="486"/>
      <c r="Q181" s="487"/>
      <c r="R181" s="487"/>
      <c r="S181" s="487"/>
      <c r="T181" s="487"/>
      <c r="U181" s="487"/>
      <c r="V181" s="487"/>
      <c r="W181" s="487"/>
      <c r="X181" s="487"/>
      <c r="Y181" s="487"/>
      <c r="Z181" s="487"/>
      <c r="AA181" s="487"/>
      <c r="AB181" s="487"/>
      <c r="AC181" s="487"/>
      <c r="AD181" s="487"/>
      <c r="AE181" s="487"/>
      <c r="AF181" s="487"/>
      <c r="AG181" s="487"/>
      <c r="AH181" s="487"/>
      <c r="AI181" s="487"/>
      <c r="AJ181" s="487"/>
      <c r="AK181" s="487"/>
      <c r="AL181" s="487"/>
      <c r="AM181" s="487"/>
      <c r="AN181" s="487"/>
      <c r="AO181" s="487"/>
      <c r="AP181" s="487"/>
    </row>
    <row r="182" spans="1:16374">
      <c r="A182" s="72"/>
      <c r="B182" s="72"/>
      <c r="C182" s="72"/>
      <c r="D182" s="72"/>
      <c r="E182" s="72"/>
      <c r="F182" s="35">
        <v>2015</v>
      </c>
      <c r="G182" s="35">
        <f>F182+1</f>
        <v>2016</v>
      </c>
      <c r="H182" s="35">
        <f t="shared" ref="H182:AO182" si="362">G182+1</f>
        <v>2017</v>
      </c>
      <c r="I182" s="35">
        <f t="shared" si="362"/>
        <v>2018</v>
      </c>
      <c r="J182" s="35">
        <f t="shared" si="362"/>
        <v>2019</v>
      </c>
      <c r="K182" s="35">
        <f t="shared" si="362"/>
        <v>2020</v>
      </c>
      <c r="L182" s="35">
        <f t="shared" si="362"/>
        <v>2021</v>
      </c>
      <c r="M182" s="35">
        <f t="shared" si="362"/>
        <v>2022</v>
      </c>
      <c r="N182" s="35">
        <f t="shared" si="362"/>
        <v>2023</v>
      </c>
      <c r="O182" s="35">
        <f t="shared" si="362"/>
        <v>2024</v>
      </c>
      <c r="P182" s="35">
        <f t="shared" si="362"/>
        <v>2025</v>
      </c>
      <c r="Q182" s="35">
        <f t="shared" si="362"/>
        <v>2026</v>
      </c>
      <c r="R182" s="35">
        <f t="shared" si="362"/>
        <v>2027</v>
      </c>
      <c r="S182" s="35">
        <f t="shared" si="362"/>
        <v>2028</v>
      </c>
      <c r="T182" s="35">
        <f t="shared" si="362"/>
        <v>2029</v>
      </c>
      <c r="U182" s="35">
        <f t="shared" si="362"/>
        <v>2030</v>
      </c>
      <c r="V182" s="35">
        <f t="shared" si="362"/>
        <v>2031</v>
      </c>
      <c r="W182" s="35">
        <f t="shared" si="362"/>
        <v>2032</v>
      </c>
      <c r="X182" s="35">
        <f t="shared" si="362"/>
        <v>2033</v>
      </c>
      <c r="Y182" s="35">
        <f t="shared" si="362"/>
        <v>2034</v>
      </c>
      <c r="Z182" s="35">
        <f t="shared" si="362"/>
        <v>2035</v>
      </c>
      <c r="AA182" s="35">
        <f t="shared" si="362"/>
        <v>2036</v>
      </c>
      <c r="AB182" s="35">
        <f t="shared" si="362"/>
        <v>2037</v>
      </c>
      <c r="AC182" s="35">
        <f t="shared" si="362"/>
        <v>2038</v>
      </c>
      <c r="AD182" s="35">
        <f t="shared" si="362"/>
        <v>2039</v>
      </c>
      <c r="AE182" s="35">
        <f t="shared" si="362"/>
        <v>2040</v>
      </c>
      <c r="AF182" s="35">
        <f t="shared" si="362"/>
        <v>2041</v>
      </c>
      <c r="AG182" s="35">
        <f t="shared" si="362"/>
        <v>2042</v>
      </c>
      <c r="AH182" s="35">
        <f t="shared" si="362"/>
        <v>2043</v>
      </c>
      <c r="AI182" s="35">
        <f t="shared" si="362"/>
        <v>2044</v>
      </c>
      <c r="AJ182" s="35">
        <f t="shared" si="362"/>
        <v>2045</v>
      </c>
      <c r="AK182" s="35">
        <f t="shared" si="362"/>
        <v>2046</v>
      </c>
      <c r="AL182" s="35">
        <f t="shared" si="362"/>
        <v>2047</v>
      </c>
      <c r="AM182" s="35">
        <f t="shared" si="362"/>
        <v>2048</v>
      </c>
      <c r="AN182" s="35">
        <f t="shared" si="362"/>
        <v>2049</v>
      </c>
      <c r="AO182" s="35">
        <f t="shared" si="362"/>
        <v>2050</v>
      </c>
      <c r="AP182" s="553"/>
    </row>
    <row r="183" spans="1:16374">
      <c r="B183" t="s">
        <v>22</v>
      </c>
      <c r="C183" s="78" t="s">
        <v>536</v>
      </c>
      <c r="D183" s="44" t="s">
        <v>537</v>
      </c>
      <c r="E183" s="44"/>
      <c r="F183" s="478">
        <v>1</v>
      </c>
      <c r="G183" s="478">
        <v>1</v>
      </c>
      <c r="H183" s="478">
        <v>1</v>
      </c>
      <c r="I183" s="478">
        <v>1</v>
      </c>
      <c r="J183" s="478">
        <v>1</v>
      </c>
      <c r="K183" s="478">
        <v>1</v>
      </c>
      <c r="L183" s="478">
        <v>1</v>
      </c>
      <c r="M183" s="478">
        <v>1</v>
      </c>
      <c r="N183" s="478">
        <v>1</v>
      </c>
      <c r="O183" s="478">
        <v>1</v>
      </c>
      <c r="P183" s="478">
        <v>1</v>
      </c>
      <c r="Q183" s="478">
        <v>0</v>
      </c>
      <c r="R183" s="478">
        <v>0</v>
      </c>
      <c r="S183" s="478">
        <v>0</v>
      </c>
      <c r="T183" s="478">
        <v>0</v>
      </c>
      <c r="U183" s="478">
        <v>0</v>
      </c>
      <c r="V183" s="478">
        <v>0</v>
      </c>
      <c r="W183" s="478">
        <v>0</v>
      </c>
      <c r="X183" s="478">
        <v>0</v>
      </c>
      <c r="Y183" s="478">
        <v>0</v>
      </c>
      <c r="Z183" s="478">
        <v>0</v>
      </c>
      <c r="AA183" s="478">
        <v>0</v>
      </c>
      <c r="AB183" s="478">
        <v>0</v>
      </c>
      <c r="AC183" s="478">
        <v>0</v>
      </c>
      <c r="AD183" s="478">
        <v>0</v>
      </c>
      <c r="AE183" s="478">
        <v>0</v>
      </c>
      <c r="AF183" s="478">
        <v>0</v>
      </c>
      <c r="AG183" s="478">
        <v>0</v>
      </c>
      <c r="AH183" s="478">
        <v>0</v>
      </c>
      <c r="AI183" s="478">
        <v>0</v>
      </c>
      <c r="AJ183" s="478">
        <v>0</v>
      </c>
      <c r="AK183" s="478">
        <v>0</v>
      </c>
      <c r="AL183" s="478">
        <v>0</v>
      </c>
      <c r="AM183" s="478">
        <v>0</v>
      </c>
      <c r="AN183" s="478">
        <v>0</v>
      </c>
      <c r="AO183" s="478">
        <v>0</v>
      </c>
    </row>
    <row r="184" spans="1:16374">
      <c r="B184" t="s">
        <v>22</v>
      </c>
      <c r="C184" s="78" t="s">
        <v>538</v>
      </c>
      <c r="D184" s="44" t="s">
        <v>537</v>
      </c>
      <c r="E184" s="44"/>
      <c r="F184" s="478">
        <v>0</v>
      </c>
      <c r="G184" s="478">
        <v>0</v>
      </c>
      <c r="H184" s="478">
        <v>0</v>
      </c>
      <c r="I184" s="478">
        <v>0</v>
      </c>
      <c r="J184" s="478">
        <v>0</v>
      </c>
      <c r="K184" s="478">
        <v>0</v>
      </c>
      <c r="L184" s="478">
        <v>0</v>
      </c>
      <c r="M184" s="478">
        <v>0</v>
      </c>
      <c r="N184" s="478">
        <v>0</v>
      </c>
      <c r="O184" s="478">
        <v>0</v>
      </c>
      <c r="P184" s="478">
        <v>0</v>
      </c>
      <c r="Q184" s="478">
        <v>0</v>
      </c>
      <c r="R184" s="478">
        <v>0</v>
      </c>
      <c r="S184" s="478">
        <v>0</v>
      </c>
      <c r="T184" s="478">
        <v>0</v>
      </c>
      <c r="U184" s="478">
        <v>0</v>
      </c>
      <c r="V184" s="478">
        <v>0</v>
      </c>
      <c r="W184" s="478">
        <v>0</v>
      </c>
      <c r="X184" s="478">
        <v>0</v>
      </c>
      <c r="Y184" s="478">
        <v>0</v>
      </c>
      <c r="Z184" s="478">
        <v>0</v>
      </c>
      <c r="AA184" s="478">
        <v>0</v>
      </c>
      <c r="AB184" s="478">
        <v>0</v>
      </c>
      <c r="AC184" s="478">
        <v>0</v>
      </c>
      <c r="AD184" s="478">
        <v>0</v>
      </c>
      <c r="AE184" s="478">
        <v>0</v>
      </c>
      <c r="AF184" s="478">
        <v>0</v>
      </c>
      <c r="AG184" s="478">
        <v>0</v>
      </c>
      <c r="AH184" s="478">
        <v>0</v>
      </c>
      <c r="AI184" s="478">
        <v>0</v>
      </c>
      <c r="AJ184" s="478">
        <v>0</v>
      </c>
      <c r="AK184" s="478">
        <v>0</v>
      </c>
      <c r="AL184" s="478">
        <v>0</v>
      </c>
      <c r="AM184" s="478">
        <v>0</v>
      </c>
      <c r="AN184" s="478">
        <v>0</v>
      </c>
      <c r="AO184" s="478">
        <v>0</v>
      </c>
    </row>
    <row r="185" spans="1:16374">
      <c r="B185" t="s">
        <v>22</v>
      </c>
      <c r="C185" s="78" t="s">
        <v>539</v>
      </c>
      <c r="D185" s="44" t="s">
        <v>537</v>
      </c>
      <c r="E185" s="44"/>
      <c r="F185" s="478">
        <v>0</v>
      </c>
      <c r="G185" s="478">
        <v>0</v>
      </c>
      <c r="H185" s="478">
        <v>0</v>
      </c>
      <c r="I185" s="478">
        <v>0</v>
      </c>
      <c r="J185" s="478">
        <v>0</v>
      </c>
      <c r="K185" s="478">
        <v>0</v>
      </c>
      <c r="L185" s="478">
        <v>0</v>
      </c>
      <c r="M185" s="478">
        <v>0</v>
      </c>
      <c r="N185" s="478">
        <v>0</v>
      </c>
      <c r="O185" s="478">
        <v>0</v>
      </c>
      <c r="P185" s="478">
        <v>0</v>
      </c>
      <c r="Q185" s="478">
        <v>0</v>
      </c>
      <c r="R185" s="478">
        <v>0</v>
      </c>
      <c r="S185" s="478">
        <v>0</v>
      </c>
      <c r="T185" s="478">
        <v>0</v>
      </c>
      <c r="U185" s="478">
        <v>0</v>
      </c>
      <c r="V185" s="478">
        <v>4.8000000000000001E-2</v>
      </c>
      <c r="W185" s="478">
        <v>9.6000000000000002E-2</v>
      </c>
      <c r="X185" s="478">
        <v>0.14400000000000002</v>
      </c>
      <c r="Y185" s="478">
        <v>0.192</v>
      </c>
      <c r="Z185" s="478">
        <v>0.24</v>
      </c>
      <c r="AA185" s="478">
        <v>0.25185345706441548</v>
      </c>
      <c r="AB185" s="478">
        <v>0.26370691412883096</v>
      </c>
      <c r="AC185" s="478">
        <v>0.27556037119324645</v>
      </c>
      <c r="AD185" s="478">
        <v>0.28741382825766193</v>
      </c>
      <c r="AE185" s="478">
        <v>0.29926728532207747</v>
      </c>
      <c r="AF185" s="478">
        <v>0.31112074238649295</v>
      </c>
      <c r="AG185" s="478">
        <v>0.32297419945090844</v>
      </c>
      <c r="AH185" s="478">
        <v>0.33482765651532392</v>
      </c>
      <c r="AI185" s="478">
        <v>0.34668111357973941</v>
      </c>
      <c r="AJ185" s="478">
        <v>0.35853457064415489</v>
      </c>
      <c r="AK185" s="478">
        <v>0.37038802770857038</v>
      </c>
      <c r="AL185" s="478">
        <v>0.38224148477298592</v>
      </c>
      <c r="AM185" s="478">
        <v>0.39409494183740135</v>
      </c>
      <c r="AN185" s="478">
        <v>0.40594839890181689</v>
      </c>
      <c r="AO185" s="478">
        <v>0.41780185596623237</v>
      </c>
    </row>
    <row r="186" spans="1:16374">
      <c r="B186" t="s">
        <v>22</v>
      </c>
      <c r="C186" s="78" t="s">
        <v>540</v>
      </c>
      <c r="D186" s="44" t="s">
        <v>537</v>
      </c>
      <c r="E186" s="44"/>
      <c r="F186" s="478">
        <v>0</v>
      </c>
      <c r="G186" s="478">
        <v>0</v>
      </c>
      <c r="H186" s="478">
        <v>0</v>
      </c>
      <c r="I186" s="478">
        <v>0</v>
      </c>
      <c r="J186" s="478">
        <v>0</v>
      </c>
      <c r="K186" s="478">
        <v>0</v>
      </c>
      <c r="L186" s="478">
        <v>0</v>
      </c>
      <c r="M186" s="478">
        <v>0</v>
      </c>
      <c r="N186" s="478">
        <v>0</v>
      </c>
      <c r="O186" s="478">
        <v>0</v>
      </c>
      <c r="P186" s="478">
        <v>0</v>
      </c>
      <c r="Q186" s="478">
        <v>0</v>
      </c>
      <c r="R186" s="478">
        <v>0</v>
      </c>
      <c r="S186" s="478">
        <v>0</v>
      </c>
      <c r="T186" s="478">
        <v>0</v>
      </c>
      <c r="U186" s="478">
        <v>0</v>
      </c>
      <c r="V186" s="478">
        <v>0</v>
      </c>
      <c r="W186" s="478">
        <v>3.3381020505484022E-3</v>
      </c>
      <c r="X186" s="478">
        <v>1.0142606573629221E-2</v>
      </c>
      <c r="Y186" s="478">
        <v>1.4267185473411154E-2</v>
      </c>
      <c r="Z186" s="478">
        <v>1.82393448725107E-2</v>
      </c>
      <c r="AA186" s="478">
        <v>2.7766422711331333E-2</v>
      </c>
      <c r="AB186" s="478">
        <v>3.7293500550151973E-2</v>
      </c>
      <c r="AC186" s="478">
        <v>4.6820578388972606E-2</v>
      </c>
      <c r="AD186" s="478">
        <v>5.6347656227793239E-2</v>
      </c>
      <c r="AE186" s="478">
        <v>6.5874734066613871E-2</v>
      </c>
      <c r="AF186" s="478">
        <v>7.5401811905434518E-2</v>
      </c>
      <c r="AG186" s="478">
        <v>8.4928889744255137E-2</v>
      </c>
      <c r="AH186" s="478">
        <v>9.4455967583075784E-2</v>
      </c>
      <c r="AI186" s="478">
        <v>0.1039830454218964</v>
      </c>
      <c r="AJ186" s="478">
        <v>0.11351012326071705</v>
      </c>
      <c r="AK186" s="478">
        <v>0.12303720109953767</v>
      </c>
      <c r="AL186" s="478">
        <v>0.13256427893835832</v>
      </c>
      <c r="AM186" s="478">
        <v>0.14209135677717896</v>
      </c>
      <c r="AN186" s="478">
        <v>0.15161843461599958</v>
      </c>
      <c r="AO186" s="478">
        <v>0.1611455124548202</v>
      </c>
    </row>
    <row r="187" spans="1:16374" ht="16.5" customHeight="1">
      <c r="B187" t="s">
        <v>22</v>
      </c>
      <c r="C187" s="78" t="s">
        <v>541</v>
      </c>
      <c r="D187" s="44" t="s">
        <v>537</v>
      </c>
      <c r="E187" s="44"/>
      <c r="F187" s="478">
        <v>0</v>
      </c>
      <c r="G187" s="478">
        <v>0</v>
      </c>
      <c r="H187" s="478">
        <v>0</v>
      </c>
      <c r="I187" s="478">
        <v>0</v>
      </c>
      <c r="J187" s="478">
        <v>0</v>
      </c>
      <c r="K187" s="478">
        <v>0</v>
      </c>
      <c r="L187" s="478">
        <v>0</v>
      </c>
      <c r="M187" s="478">
        <v>0</v>
      </c>
      <c r="N187" s="478">
        <v>0</v>
      </c>
      <c r="O187" s="478">
        <v>0</v>
      </c>
      <c r="P187" s="478">
        <v>0</v>
      </c>
      <c r="Q187" s="478">
        <v>1</v>
      </c>
      <c r="R187" s="478">
        <v>1</v>
      </c>
      <c r="S187" s="478">
        <v>1</v>
      </c>
      <c r="T187" s="478">
        <v>1</v>
      </c>
      <c r="U187" s="478">
        <v>1</v>
      </c>
      <c r="V187" s="478">
        <v>0.94799999999999995</v>
      </c>
      <c r="W187" s="478">
        <v>0.89600000000000002</v>
      </c>
      <c r="X187" s="478">
        <v>0.84399999999999997</v>
      </c>
      <c r="Y187" s="478">
        <v>0.79200000000000004</v>
      </c>
      <c r="Z187" s="478">
        <v>0.74</v>
      </c>
      <c r="AA187" s="478">
        <v>0.71866666666666668</v>
      </c>
      <c r="AB187" s="478">
        <v>0.69733333333333336</v>
      </c>
      <c r="AC187" s="478">
        <v>0.67599999999999993</v>
      </c>
      <c r="AD187" s="478">
        <v>0.65466666666666662</v>
      </c>
      <c r="AE187" s="478">
        <v>0.6333333333333333</v>
      </c>
      <c r="AF187" s="478">
        <v>0.61199999999999999</v>
      </c>
      <c r="AG187" s="478">
        <v>0.59066666666666667</v>
      </c>
      <c r="AH187" s="478">
        <v>0.56933333333333336</v>
      </c>
      <c r="AI187" s="478">
        <v>0.54800000000000004</v>
      </c>
      <c r="AJ187" s="478">
        <v>0.52666666666666662</v>
      </c>
      <c r="AK187" s="478">
        <v>0.5053333333333333</v>
      </c>
      <c r="AL187" s="478">
        <v>0.48399999999999999</v>
      </c>
      <c r="AM187" s="478">
        <v>0.46266666666666667</v>
      </c>
      <c r="AN187" s="478">
        <v>0.44133333333333336</v>
      </c>
      <c r="AO187" s="478">
        <v>0.42</v>
      </c>
    </row>
    <row r="188" spans="1:16374" ht="16.5" customHeight="1">
      <c r="C188" s="78"/>
      <c r="D188" s="78"/>
      <c r="E188" s="78"/>
      <c r="F188" s="78"/>
      <c r="G188" s="78"/>
      <c r="H188" s="78"/>
      <c r="I188" s="78"/>
      <c r="J188" s="78"/>
      <c r="K188" s="78"/>
      <c r="L188" s="78"/>
      <c r="M188" s="78"/>
      <c r="N188" s="78"/>
      <c r="O188" s="78"/>
      <c r="P188" s="78"/>
      <c r="Q188" s="78"/>
      <c r="R188" s="78"/>
      <c r="S188" s="78"/>
      <c r="T188" s="78"/>
      <c r="U188" s="78"/>
      <c r="V188" s="78"/>
      <c r="W188" s="78"/>
      <c r="X188" s="78"/>
      <c r="Y188" s="78"/>
      <c r="Z188" s="78"/>
      <c r="AA188" s="78"/>
      <c r="AB188" s="78"/>
      <c r="AC188" s="78"/>
      <c r="AD188" s="78"/>
      <c r="AE188" s="78"/>
      <c r="AF188" s="78"/>
      <c r="AG188" s="78"/>
      <c r="AH188" s="78"/>
      <c r="AI188" s="78"/>
      <c r="AJ188" s="78"/>
      <c r="AK188" s="78"/>
      <c r="AL188" s="78"/>
      <c r="AM188" s="78"/>
      <c r="AN188" s="78"/>
      <c r="AO188" s="78"/>
      <c r="AP188" s="78"/>
      <c r="AQ188" s="78"/>
      <c r="AR188" s="78"/>
      <c r="AS188" s="78"/>
      <c r="AT188" s="78"/>
      <c r="AU188" s="78"/>
      <c r="AV188" s="78"/>
      <c r="AW188" s="78"/>
      <c r="AX188" s="78"/>
      <c r="AY188" s="78"/>
      <c r="AZ188" s="78"/>
      <c r="BA188" s="78"/>
      <c r="BB188" s="78"/>
      <c r="BC188" s="78"/>
      <c r="BD188" s="78"/>
      <c r="BE188" s="78"/>
      <c r="BF188" s="78"/>
      <c r="BG188" s="78"/>
      <c r="BH188" s="78"/>
      <c r="BI188" s="78"/>
      <c r="BJ188" s="78"/>
      <c r="BK188" s="78"/>
      <c r="BL188" s="78"/>
      <c r="BM188" s="78"/>
      <c r="BN188" s="78"/>
      <c r="BO188" s="78"/>
      <c r="BP188" s="78"/>
      <c r="BQ188" s="78"/>
      <c r="BR188" s="78"/>
      <c r="BS188" s="78"/>
      <c r="BT188" s="78"/>
      <c r="BU188" s="78"/>
      <c r="BV188" s="78"/>
      <c r="BW188" s="78"/>
      <c r="BX188" s="78"/>
      <c r="BY188" s="78"/>
      <c r="BZ188" s="78"/>
      <c r="CA188" s="78"/>
      <c r="CB188" s="78"/>
      <c r="CC188" s="78"/>
      <c r="CD188" s="78"/>
      <c r="CE188" s="78"/>
      <c r="CF188" s="78"/>
      <c r="CG188" s="78"/>
      <c r="CH188" s="78"/>
      <c r="CI188" s="78"/>
      <c r="CJ188" s="78"/>
      <c r="CK188" s="78"/>
      <c r="CL188" s="78"/>
      <c r="CM188" s="78"/>
      <c r="CN188" s="78"/>
      <c r="CO188" s="78"/>
      <c r="CP188" s="78"/>
      <c r="CQ188" s="78"/>
      <c r="CR188" s="78"/>
      <c r="CS188" s="78"/>
      <c r="CT188" s="78"/>
      <c r="CU188" s="78"/>
      <c r="CV188" s="78"/>
      <c r="CW188" s="78"/>
      <c r="CX188" s="78"/>
      <c r="CY188" s="78"/>
      <c r="CZ188" s="78"/>
      <c r="DA188" s="78"/>
      <c r="DB188" s="78"/>
      <c r="DC188" s="78"/>
      <c r="DD188" s="78"/>
      <c r="DE188" s="78"/>
      <c r="DF188" s="78"/>
      <c r="DG188" s="78"/>
      <c r="DH188" s="78"/>
      <c r="DI188" s="78"/>
      <c r="DJ188" s="78"/>
      <c r="DK188" s="78"/>
      <c r="DL188" s="78"/>
      <c r="DM188" s="78"/>
      <c r="DN188" s="78"/>
      <c r="DO188" s="78"/>
      <c r="DP188" s="78"/>
      <c r="DQ188" s="78"/>
      <c r="DR188" s="78"/>
      <c r="DS188" s="78"/>
      <c r="DT188" s="78"/>
      <c r="DU188" s="78"/>
      <c r="DV188" s="78"/>
      <c r="DW188" s="78"/>
      <c r="DX188" s="78"/>
      <c r="DY188" s="78"/>
      <c r="DZ188" s="78"/>
      <c r="EA188" s="78"/>
      <c r="EB188" s="78"/>
      <c r="EC188" s="78"/>
      <c r="ED188" s="78"/>
      <c r="EE188" s="78"/>
      <c r="EF188" s="78"/>
      <c r="EG188" s="78"/>
      <c r="EH188" s="78"/>
      <c r="EI188" s="78"/>
      <c r="EJ188" s="78"/>
      <c r="EK188" s="78"/>
      <c r="EL188" s="78"/>
      <c r="EM188" s="78"/>
      <c r="EN188" s="78"/>
      <c r="EO188" s="78"/>
      <c r="EP188" s="78"/>
      <c r="EQ188" s="78"/>
      <c r="ER188" s="78"/>
      <c r="ES188" s="78"/>
      <c r="ET188" s="78"/>
      <c r="EU188" s="78"/>
      <c r="EV188" s="78"/>
      <c r="EW188" s="78"/>
      <c r="EX188" s="78"/>
      <c r="EY188" s="78"/>
      <c r="EZ188" s="78"/>
      <c r="FA188" s="78"/>
      <c r="FB188" s="78"/>
      <c r="FC188" s="78"/>
      <c r="FD188" s="78"/>
      <c r="FE188" s="78"/>
      <c r="FF188" s="78"/>
      <c r="FG188" s="78"/>
      <c r="FH188" s="78"/>
      <c r="FI188" s="78"/>
      <c r="FJ188" s="78"/>
      <c r="FK188" s="78"/>
      <c r="FL188" s="78"/>
      <c r="FM188" s="78"/>
      <c r="FN188" s="78"/>
      <c r="FO188" s="78"/>
      <c r="FP188" s="78"/>
      <c r="FQ188" s="78"/>
      <c r="FR188" s="78"/>
      <c r="FS188" s="78"/>
      <c r="FT188" s="78"/>
      <c r="FU188" s="78"/>
      <c r="FV188" s="78"/>
      <c r="FW188" s="78"/>
      <c r="FX188" s="78"/>
      <c r="FY188" s="78"/>
      <c r="FZ188" s="78"/>
      <c r="GA188" s="78"/>
      <c r="GB188" s="78"/>
      <c r="GC188" s="78"/>
      <c r="GD188" s="78"/>
      <c r="GE188" s="78"/>
      <c r="GF188" s="78"/>
      <c r="GG188" s="78"/>
      <c r="GH188" s="78"/>
      <c r="GI188" s="78"/>
      <c r="GJ188" s="78"/>
      <c r="GK188" s="78"/>
      <c r="GL188" s="78"/>
      <c r="GM188" s="78"/>
      <c r="GN188" s="78"/>
      <c r="GO188" s="78"/>
      <c r="GP188" s="78"/>
      <c r="GQ188" s="78"/>
      <c r="GR188" s="78"/>
      <c r="GS188" s="78"/>
      <c r="GT188" s="78"/>
      <c r="GU188" s="78"/>
      <c r="GV188" s="78"/>
      <c r="GW188" s="78"/>
      <c r="GX188" s="78"/>
      <c r="GY188" s="78"/>
      <c r="GZ188" s="78"/>
      <c r="HA188" s="78"/>
      <c r="HB188" s="78"/>
      <c r="HC188" s="78"/>
      <c r="HD188" s="78"/>
      <c r="HE188" s="78"/>
      <c r="HF188" s="78"/>
      <c r="HG188" s="78"/>
      <c r="HH188" s="78"/>
      <c r="HI188" s="78"/>
      <c r="HJ188" s="78"/>
      <c r="HK188" s="78"/>
      <c r="HL188" s="78"/>
      <c r="HM188" s="78"/>
      <c r="HN188" s="78"/>
      <c r="HO188" s="78"/>
      <c r="HP188" s="78"/>
      <c r="HQ188" s="78"/>
      <c r="HR188" s="78"/>
      <c r="HS188" s="78"/>
      <c r="HT188" s="78"/>
      <c r="HU188" s="78"/>
      <c r="HV188" s="78"/>
      <c r="HW188" s="78"/>
      <c r="HX188" s="78"/>
      <c r="HY188" s="78"/>
      <c r="HZ188" s="78"/>
      <c r="IA188" s="78"/>
      <c r="IB188" s="78"/>
      <c r="IC188" s="78"/>
      <c r="ID188" s="78"/>
      <c r="IE188" s="78"/>
      <c r="IF188" s="78"/>
      <c r="IG188" s="78"/>
      <c r="IH188" s="78"/>
      <c r="II188" s="78"/>
      <c r="IJ188" s="78"/>
      <c r="IK188" s="78"/>
      <c r="IL188" s="78"/>
      <c r="IM188" s="78"/>
      <c r="IN188" s="78"/>
      <c r="IO188" s="78"/>
      <c r="IP188" s="78"/>
      <c r="IQ188" s="78"/>
      <c r="IR188" s="78"/>
      <c r="IS188" s="78"/>
      <c r="IT188" s="78"/>
      <c r="IU188" s="78"/>
      <c r="IV188" s="78"/>
      <c r="IW188" s="78"/>
      <c r="IX188" s="78"/>
      <c r="IY188" s="78"/>
      <c r="IZ188" s="78"/>
      <c r="JA188" s="78"/>
      <c r="JB188" s="78"/>
      <c r="JC188" s="78"/>
      <c r="JD188" s="78"/>
      <c r="JE188" s="78"/>
      <c r="JF188" s="78"/>
      <c r="JG188" s="78"/>
      <c r="JH188" s="78"/>
      <c r="JI188" s="78"/>
      <c r="JJ188" s="78"/>
      <c r="JK188" s="78"/>
      <c r="JL188" s="78"/>
      <c r="JM188" s="78"/>
      <c r="JN188" s="78"/>
      <c r="JO188" s="78"/>
      <c r="JP188" s="78"/>
      <c r="JQ188" s="78"/>
      <c r="JR188" s="78"/>
      <c r="JS188" s="78"/>
      <c r="JT188" s="78"/>
      <c r="JU188" s="78"/>
      <c r="JV188" s="78"/>
      <c r="JW188" s="78"/>
      <c r="JX188" s="78"/>
      <c r="JY188" s="78"/>
      <c r="JZ188" s="78"/>
      <c r="KA188" s="78"/>
      <c r="KB188" s="78"/>
      <c r="KC188" s="78"/>
      <c r="KD188" s="78"/>
      <c r="KE188" s="78"/>
      <c r="KF188" s="78"/>
      <c r="KG188" s="78"/>
      <c r="KH188" s="78"/>
      <c r="KI188" s="78"/>
      <c r="KJ188" s="78"/>
      <c r="KK188" s="78"/>
      <c r="KL188" s="78"/>
      <c r="KM188" s="78"/>
      <c r="KN188" s="78"/>
      <c r="KO188" s="78"/>
      <c r="KP188" s="78"/>
      <c r="KQ188" s="78"/>
      <c r="KR188" s="78"/>
      <c r="KS188" s="78"/>
      <c r="KT188" s="78"/>
      <c r="KU188" s="78"/>
      <c r="KV188" s="78"/>
      <c r="KW188" s="78"/>
      <c r="KX188" s="78"/>
      <c r="KY188" s="78"/>
      <c r="KZ188" s="78"/>
      <c r="LA188" s="78"/>
      <c r="LB188" s="78"/>
      <c r="LC188" s="78"/>
      <c r="LD188" s="78"/>
      <c r="LE188" s="78"/>
      <c r="LF188" s="78"/>
      <c r="LG188" s="78"/>
      <c r="LH188" s="78"/>
      <c r="LI188" s="78"/>
      <c r="LJ188" s="78"/>
      <c r="LK188" s="78"/>
      <c r="LL188" s="78"/>
      <c r="LM188" s="78"/>
      <c r="LN188" s="78"/>
      <c r="LO188" s="78"/>
      <c r="LP188" s="78"/>
      <c r="LQ188" s="78"/>
      <c r="LR188" s="78"/>
      <c r="LS188" s="78"/>
      <c r="LT188" s="78"/>
      <c r="LU188" s="78"/>
      <c r="LV188" s="78"/>
      <c r="LW188" s="78"/>
      <c r="LX188" s="78"/>
      <c r="LY188" s="78"/>
      <c r="LZ188" s="78"/>
      <c r="MA188" s="78"/>
      <c r="MB188" s="78"/>
      <c r="MC188" s="78"/>
      <c r="MD188" s="78"/>
      <c r="ME188" s="78"/>
      <c r="MF188" s="78"/>
      <c r="MG188" s="78"/>
      <c r="MH188" s="78"/>
      <c r="MI188" s="78"/>
      <c r="MJ188" s="78"/>
      <c r="MK188" s="78"/>
      <c r="ML188" s="78"/>
      <c r="MM188" s="78"/>
      <c r="MN188" s="78"/>
      <c r="MO188" s="78"/>
      <c r="MP188" s="78"/>
      <c r="MQ188" s="78"/>
      <c r="MR188" s="78"/>
      <c r="MS188" s="78"/>
      <c r="MT188" s="78"/>
      <c r="MU188" s="78"/>
      <c r="MV188" s="78"/>
      <c r="MW188" s="78"/>
      <c r="MX188" s="78"/>
      <c r="MY188" s="78"/>
      <c r="MZ188" s="78"/>
      <c r="NA188" s="78"/>
      <c r="NB188" s="78"/>
      <c r="NC188" s="78"/>
      <c r="ND188" s="78"/>
      <c r="NE188" s="78"/>
      <c r="NF188" s="78"/>
      <c r="NG188" s="78"/>
      <c r="NH188" s="78"/>
      <c r="NI188" s="78"/>
      <c r="NJ188" s="78"/>
      <c r="NK188" s="78"/>
      <c r="NL188" s="78"/>
      <c r="NM188" s="78"/>
      <c r="NN188" s="78"/>
      <c r="NO188" s="78"/>
      <c r="NP188" s="78"/>
      <c r="NQ188" s="78"/>
      <c r="NR188" s="78"/>
      <c r="NS188" s="78"/>
      <c r="NT188" s="78"/>
      <c r="NU188" s="78"/>
      <c r="NV188" s="78"/>
      <c r="NW188" s="78"/>
      <c r="NX188" s="78"/>
      <c r="NY188" s="78"/>
      <c r="NZ188" s="78"/>
      <c r="OA188" s="78"/>
      <c r="OB188" s="78"/>
      <c r="OC188" s="78"/>
      <c r="OD188" s="78"/>
      <c r="OE188" s="78"/>
      <c r="OF188" s="78"/>
      <c r="OG188" s="78"/>
      <c r="OH188" s="78"/>
      <c r="OI188" s="78"/>
      <c r="OJ188" s="78"/>
      <c r="OK188" s="78"/>
      <c r="OL188" s="78"/>
      <c r="OM188" s="78"/>
      <c r="ON188" s="78"/>
      <c r="OO188" s="78"/>
      <c r="OP188" s="78"/>
      <c r="OQ188" s="78"/>
      <c r="OR188" s="78"/>
      <c r="OS188" s="78"/>
      <c r="OT188" s="78"/>
      <c r="OU188" s="78"/>
      <c r="OV188" s="78"/>
      <c r="OW188" s="78"/>
      <c r="OX188" s="78"/>
      <c r="OY188" s="78"/>
      <c r="OZ188" s="78"/>
      <c r="PA188" s="78"/>
      <c r="PB188" s="78"/>
      <c r="PC188" s="78"/>
      <c r="PD188" s="78"/>
      <c r="PE188" s="78"/>
      <c r="PF188" s="78"/>
      <c r="PG188" s="78"/>
      <c r="PH188" s="78"/>
      <c r="PI188" s="78"/>
      <c r="PJ188" s="78"/>
      <c r="PK188" s="78"/>
      <c r="PL188" s="78"/>
      <c r="PM188" s="78"/>
      <c r="PN188" s="78"/>
      <c r="PO188" s="78"/>
      <c r="PP188" s="78"/>
      <c r="PQ188" s="78"/>
      <c r="PR188" s="78"/>
      <c r="PS188" s="78"/>
      <c r="PT188" s="78"/>
      <c r="PU188" s="78"/>
      <c r="PV188" s="78"/>
      <c r="PW188" s="78"/>
      <c r="PX188" s="78"/>
      <c r="PY188" s="78"/>
      <c r="PZ188" s="78"/>
      <c r="QA188" s="78"/>
      <c r="QB188" s="78"/>
      <c r="QC188" s="78"/>
      <c r="QD188" s="78"/>
      <c r="QE188" s="78"/>
      <c r="QF188" s="78"/>
      <c r="QG188" s="78"/>
      <c r="QH188" s="78"/>
      <c r="QI188" s="78"/>
      <c r="QJ188" s="78"/>
      <c r="QK188" s="78"/>
      <c r="QL188" s="78"/>
      <c r="QM188" s="78"/>
      <c r="QN188" s="78"/>
      <c r="QO188" s="78"/>
      <c r="QP188" s="78"/>
      <c r="QQ188" s="78"/>
      <c r="QR188" s="78"/>
      <c r="QS188" s="78"/>
      <c r="QT188" s="78"/>
      <c r="QU188" s="78"/>
      <c r="QV188" s="78"/>
      <c r="QW188" s="78"/>
      <c r="QX188" s="78"/>
      <c r="QY188" s="78"/>
      <c r="QZ188" s="78"/>
      <c r="RA188" s="78"/>
      <c r="RB188" s="78"/>
      <c r="RC188" s="78"/>
      <c r="RD188" s="78"/>
      <c r="RE188" s="78"/>
      <c r="RF188" s="78"/>
      <c r="RG188" s="78"/>
      <c r="RH188" s="78"/>
      <c r="RI188" s="78"/>
      <c r="RJ188" s="78"/>
      <c r="RK188" s="78"/>
      <c r="RL188" s="78"/>
      <c r="RM188" s="78"/>
      <c r="RN188" s="78"/>
      <c r="RO188" s="78"/>
      <c r="RP188" s="78"/>
      <c r="RQ188" s="78"/>
      <c r="RR188" s="78"/>
      <c r="RS188" s="78"/>
      <c r="RT188" s="78"/>
      <c r="RU188" s="78"/>
      <c r="RV188" s="78"/>
      <c r="RW188" s="78"/>
      <c r="RX188" s="78"/>
      <c r="RY188" s="78"/>
      <c r="RZ188" s="78"/>
      <c r="SA188" s="78"/>
      <c r="SB188" s="78"/>
      <c r="SC188" s="78"/>
      <c r="SD188" s="78"/>
      <c r="SE188" s="78"/>
      <c r="SF188" s="78"/>
      <c r="SG188" s="78"/>
      <c r="SH188" s="78"/>
      <c r="SI188" s="78"/>
      <c r="SJ188" s="78"/>
      <c r="SK188" s="78"/>
      <c r="SL188" s="78"/>
      <c r="SM188" s="78"/>
      <c r="SN188" s="78"/>
      <c r="SO188" s="78"/>
      <c r="SP188" s="78"/>
      <c r="SQ188" s="78"/>
      <c r="SR188" s="78"/>
      <c r="SS188" s="78"/>
      <c r="ST188" s="78"/>
      <c r="SU188" s="78"/>
      <c r="SV188" s="78"/>
      <c r="SW188" s="78"/>
      <c r="SX188" s="78"/>
      <c r="SY188" s="78"/>
      <c r="SZ188" s="78"/>
      <c r="TA188" s="78"/>
      <c r="TB188" s="78"/>
      <c r="TC188" s="78"/>
      <c r="TD188" s="78"/>
      <c r="TE188" s="78"/>
      <c r="TF188" s="78"/>
      <c r="TG188" s="78"/>
      <c r="TH188" s="78"/>
      <c r="TI188" s="78"/>
      <c r="TJ188" s="78"/>
      <c r="TK188" s="78"/>
      <c r="TL188" s="78"/>
      <c r="TM188" s="78"/>
      <c r="TN188" s="78"/>
      <c r="TO188" s="78"/>
      <c r="TP188" s="78"/>
      <c r="TQ188" s="78"/>
      <c r="TR188" s="78"/>
      <c r="TS188" s="78"/>
      <c r="TT188" s="78"/>
      <c r="TU188" s="78"/>
      <c r="TV188" s="78"/>
      <c r="TW188" s="78"/>
      <c r="TX188" s="78"/>
      <c r="TY188" s="78"/>
      <c r="TZ188" s="78"/>
      <c r="UA188" s="78"/>
      <c r="UB188" s="78"/>
      <c r="UC188" s="78"/>
      <c r="UD188" s="78"/>
      <c r="UE188" s="78"/>
      <c r="UF188" s="78"/>
      <c r="UG188" s="78"/>
      <c r="UH188" s="78"/>
      <c r="UI188" s="78"/>
      <c r="UJ188" s="78"/>
      <c r="UK188" s="78"/>
      <c r="UL188" s="78"/>
      <c r="UM188" s="78"/>
      <c r="UN188" s="78"/>
      <c r="UO188" s="78"/>
      <c r="UP188" s="78"/>
      <c r="UQ188" s="78"/>
      <c r="UR188" s="78"/>
      <c r="US188" s="78"/>
      <c r="UT188" s="78"/>
      <c r="UU188" s="78"/>
      <c r="UV188" s="78"/>
      <c r="UW188" s="78"/>
      <c r="UX188" s="78"/>
      <c r="UY188" s="78"/>
      <c r="UZ188" s="78"/>
      <c r="VA188" s="78"/>
      <c r="VB188" s="78"/>
      <c r="VC188" s="78"/>
      <c r="VD188" s="78"/>
      <c r="VE188" s="78"/>
      <c r="VF188" s="78"/>
      <c r="VG188" s="78"/>
      <c r="VH188" s="78"/>
      <c r="VI188" s="78"/>
      <c r="VJ188" s="78"/>
      <c r="VK188" s="78"/>
      <c r="VL188" s="78"/>
      <c r="VM188" s="78"/>
      <c r="VN188" s="78"/>
      <c r="VO188" s="78"/>
      <c r="VP188" s="78"/>
      <c r="VQ188" s="78"/>
      <c r="VR188" s="78"/>
      <c r="VS188" s="78"/>
      <c r="VT188" s="78"/>
      <c r="VU188" s="78"/>
      <c r="VV188" s="78"/>
      <c r="VW188" s="78"/>
      <c r="VX188" s="78"/>
      <c r="VY188" s="78"/>
      <c r="VZ188" s="78"/>
      <c r="WA188" s="78"/>
      <c r="WB188" s="78"/>
      <c r="WC188" s="78"/>
      <c r="WD188" s="78"/>
      <c r="WE188" s="78"/>
      <c r="WF188" s="78"/>
      <c r="WG188" s="78"/>
      <c r="WH188" s="78"/>
      <c r="WI188" s="78"/>
      <c r="WJ188" s="78"/>
      <c r="WK188" s="78"/>
      <c r="WL188" s="78"/>
      <c r="WM188" s="78"/>
      <c r="WN188" s="78"/>
      <c r="WO188" s="78"/>
      <c r="WP188" s="78"/>
      <c r="WQ188" s="78"/>
      <c r="WR188" s="78"/>
      <c r="WS188" s="78"/>
      <c r="WT188" s="78"/>
      <c r="WU188" s="78"/>
      <c r="WV188" s="78"/>
      <c r="WW188" s="78"/>
      <c r="WX188" s="78"/>
      <c r="WY188" s="78"/>
      <c r="WZ188" s="78"/>
      <c r="XA188" s="78"/>
      <c r="XB188" s="78"/>
      <c r="XC188" s="78"/>
      <c r="XD188" s="78"/>
      <c r="XE188" s="78"/>
      <c r="XF188" s="78"/>
      <c r="XG188" s="78"/>
      <c r="XH188" s="78"/>
      <c r="XI188" s="78"/>
      <c r="XJ188" s="78"/>
      <c r="XK188" s="78"/>
      <c r="XL188" s="78"/>
      <c r="XM188" s="78"/>
      <c r="XN188" s="78"/>
      <c r="XO188" s="78"/>
      <c r="XP188" s="78"/>
      <c r="XQ188" s="78"/>
      <c r="XR188" s="78"/>
      <c r="XS188" s="78"/>
      <c r="XT188" s="78"/>
      <c r="XU188" s="78"/>
      <c r="XV188" s="78"/>
      <c r="XW188" s="78"/>
      <c r="XX188" s="78"/>
      <c r="XY188" s="78"/>
      <c r="XZ188" s="78"/>
      <c r="YA188" s="78"/>
      <c r="YB188" s="78"/>
      <c r="YC188" s="78"/>
      <c r="YD188" s="78"/>
      <c r="YE188" s="78"/>
      <c r="YF188" s="78"/>
      <c r="YG188" s="78"/>
      <c r="YH188" s="78"/>
      <c r="YI188" s="78"/>
      <c r="YJ188" s="78"/>
      <c r="YK188" s="78"/>
      <c r="YL188" s="78"/>
      <c r="YM188" s="78"/>
      <c r="YN188" s="78"/>
      <c r="YO188" s="78"/>
      <c r="YP188" s="78"/>
      <c r="YQ188" s="78"/>
      <c r="YR188" s="78"/>
      <c r="YS188" s="78"/>
      <c r="YT188" s="78"/>
      <c r="YU188" s="78"/>
      <c r="YV188" s="78"/>
      <c r="YW188" s="78"/>
      <c r="YX188" s="78"/>
      <c r="YY188" s="78"/>
      <c r="YZ188" s="78"/>
      <c r="ZA188" s="78"/>
      <c r="ZB188" s="78"/>
      <c r="ZC188" s="78"/>
      <c r="ZD188" s="78"/>
      <c r="ZE188" s="78"/>
      <c r="ZF188" s="78"/>
      <c r="ZG188" s="78"/>
      <c r="ZH188" s="78"/>
      <c r="ZI188" s="78"/>
      <c r="ZJ188" s="78"/>
      <c r="ZK188" s="78"/>
      <c r="ZL188" s="78"/>
      <c r="ZM188" s="78"/>
      <c r="ZN188" s="78"/>
      <c r="ZO188" s="78"/>
      <c r="ZP188" s="78"/>
      <c r="ZQ188" s="78"/>
      <c r="ZR188" s="78"/>
      <c r="ZS188" s="78"/>
      <c r="ZT188" s="78"/>
      <c r="ZU188" s="78"/>
      <c r="ZV188" s="78"/>
      <c r="ZW188" s="78"/>
      <c r="ZX188" s="78"/>
      <c r="ZY188" s="78"/>
      <c r="ZZ188" s="78"/>
      <c r="AAA188" s="78"/>
      <c r="AAB188" s="78"/>
      <c r="AAC188" s="78"/>
      <c r="AAD188" s="78"/>
      <c r="AAE188" s="78"/>
      <c r="AAF188" s="78"/>
      <c r="AAG188" s="78"/>
      <c r="AAH188" s="78"/>
      <c r="AAI188" s="78"/>
      <c r="AAJ188" s="78"/>
      <c r="AAK188" s="78"/>
      <c r="AAL188" s="78"/>
      <c r="AAM188" s="78"/>
      <c r="AAN188" s="78"/>
      <c r="AAO188" s="78"/>
      <c r="AAP188" s="78"/>
      <c r="AAQ188" s="78"/>
      <c r="AAR188" s="78"/>
      <c r="AAS188" s="78"/>
      <c r="AAT188" s="78"/>
      <c r="AAU188" s="78"/>
      <c r="AAV188" s="78"/>
      <c r="AAW188" s="78"/>
      <c r="AAX188" s="78"/>
      <c r="AAY188" s="78"/>
      <c r="AAZ188" s="78"/>
      <c r="ABA188" s="78"/>
      <c r="ABB188" s="78"/>
      <c r="ABC188" s="78"/>
      <c r="ABD188" s="78"/>
      <c r="ABE188" s="78"/>
      <c r="ABF188" s="78"/>
      <c r="ABG188" s="78"/>
      <c r="ABH188" s="78"/>
      <c r="ABI188" s="78"/>
      <c r="ABJ188" s="78"/>
      <c r="ABK188" s="78"/>
      <c r="ABL188" s="78"/>
      <c r="ABM188" s="78"/>
      <c r="ABN188" s="78"/>
      <c r="ABO188" s="78"/>
      <c r="ABP188" s="78"/>
      <c r="ABQ188" s="78"/>
      <c r="ABR188" s="78"/>
      <c r="ABS188" s="78"/>
      <c r="ABT188" s="78"/>
      <c r="ABU188" s="78"/>
      <c r="ABV188" s="78"/>
      <c r="ABW188" s="78"/>
      <c r="ABX188" s="78"/>
      <c r="ABY188" s="78"/>
      <c r="ABZ188" s="78"/>
      <c r="ACA188" s="78"/>
      <c r="ACB188" s="78"/>
      <c r="ACC188" s="78"/>
      <c r="ACD188" s="78"/>
      <c r="ACE188" s="78"/>
      <c r="ACF188" s="78"/>
      <c r="ACG188" s="78"/>
      <c r="ACH188" s="78"/>
      <c r="ACI188" s="78"/>
      <c r="ACJ188" s="78"/>
      <c r="ACK188" s="78"/>
      <c r="ACL188" s="78"/>
      <c r="ACM188" s="78"/>
      <c r="ACN188" s="78"/>
      <c r="ACO188" s="78"/>
      <c r="ACP188" s="78"/>
      <c r="ACQ188" s="78"/>
      <c r="ACR188" s="78"/>
      <c r="ACS188" s="78"/>
      <c r="ACT188" s="78"/>
      <c r="ACU188" s="78"/>
      <c r="ACV188" s="78"/>
      <c r="ACW188" s="78"/>
      <c r="ACX188" s="78"/>
      <c r="ACY188" s="78"/>
      <c r="ACZ188" s="78"/>
      <c r="ADA188" s="78"/>
      <c r="ADB188" s="78"/>
      <c r="ADC188" s="78"/>
      <c r="ADD188" s="78"/>
      <c r="ADE188" s="78"/>
      <c r="ADF188" s="78"/>
      <c r="ADG188" s="78"/>
      <c r="ADH188" s="78"/>
      <c r="ADI188" s="78"/>
      <c r="ADJ188" s="78"/>
      <c r="ADK188" s="78"/>
      <c r="ADL188" s="78"/>
      <c r="ADM188" s="78"/>
      <c r="ADN188" s="78"/>
      <c r="ADO188" s="78"/>
      <c r="ADP188" s="78"/>
      <c r="ADQ188" s="78"/>
      <c r="ADR188" s="78"/>
      <c r="ADS188" s="78"/>
      <c r="ADT188" s="78"/>
      <c r="ADU188" s="78"/>
      <c r="ADV188" s="78"/>
      <c r="ADW188" s="78"/>
      <c r="ADX188" s="78"/>
      <c r="ADY188" s="78"/>
      <c r="ADZ188" s="78"/>
      <c r="AEA188" s="78"/>
      <c r="AEB188" s="78"/>
      <c r="AEC188" s="78"/>
      <c r="AED188" s="78"/>
      <c r="AEE188" s="78"/>
      <c r="AEF188" s="78"/>
      <c r="AEG188" s="78"/>
      <c r="AEH188" s="78"/>
      <c r="AEI188" s="78"/>
      <c r="AEJ188" s="78"/>
      <c r="AEK188" s="78"/>
      <c r="AEL188" s="78"/>
      <c r="AEM188" s="78"/>
      <c r="AEN188" s="78"/>
      <c r="AEO188" s="78"/>
      <c r="AEP188" s="78"/>
      <c r="AEQ188" s="78"/>
      <c r="AER188" s="78"/>
      <c r="AES188" s="78"/>
      <c r="AET188" s="78"/>
      <c r="AEU188" s="78"/>
      <c r="AEV188" s="78"/>
      <c r="AEW188" s="78"/>
      <c r="AEX188" s="78"/>
      <c r="AEY188" s="78"/>
      <c r="AEZ188" s="78"/>
      <c r="AFA188" s="78"/>
      <c r="AFB188" s="78"/>
      <c r="AFC188" s="78"/>
      <c r="AFD188" s="78"/>
      <c r="AFE188" s="78"/>
      <c r="AFF188" s="78"/>
      <c r="AFG188" s="78"/>
      <c r="AFH188" s="78"/>
      <c r="AFI188" s="78"/>
      <c r="AFJ188" s="78"/>
      <c r="AFK188" s="78"/>
      <c r="AFL188" s="78"/>
      <c r="AFM188" s="78"/>
      <c r="AFN188" s="78"/>
      <c r="AFO188" s="78"/>
      <c r="AFP188" s="78"/>
      <c r="AFQ188" s="78"/>
      <c r="AFR188" s="78"/>
      <c r="AFS188" s="78"/>
      <c r="AFT188" s="78"/>
      <c r="AFU188" s="78"/>
      <c r="AFV188" s="78"/>
      <c r="AFW188" s="78"/>
      <c r="AFX188" s="78"/>
      <c r="AFY188" s="78"/>
      <c r="AFZ188" s="78"/>
      <c r="AGA188" s="78"/>
      <c r="AGB188" s="78"/>
      <c r="AGC188" s="78"/>
      <c r="AGD188" s="78"/>
      <c r="AGE188" s="78"/>
      <c r="AGF188" s="78"/>
      <c r="AGG188" s="78"/>
      <c r="AGH188" s="78"/>
      <c r="AGI188" s="78"/>
      <c r="AGJ188" s="78"/>
      <c r="AGK188" s="78"/>
      <c r="AGL188" s="78"/>
      <c r="AGM188" s="78"/>
      <c r="AGN188" s="78"/>
      <c r="AGO188" s="78"/>
      <c r="AGP188" s="78"/>
      <c r="AGQ188" s="78"/>
      <c r="AGR188" s="78"/>
      <c r="AGS188" s="78"/>
      <c r="AGT188" s="78"/>
      <c r="AGU188" s="78"/>
      <c r="AGV188" s="78"/>
      <c r="AGW188" s="78"/>
      <c r="AGX188" s="78"/>
      <c r="AGY188" s="78"/>
      <c r="AGZ188" s="78"/>
      <c r="AHA188" s="78"/>
      <c r="AHB188" s="78"/>
      <c r="AHC188" s="78"/>
      <c r="AHD188" s="78"/>
      <c r="AHE188" s="78"/>
      <c r="AHF188" s="78"/>
      <c r="AHG188" s="78"/>
      <c r="AHH188" s="78"/>
      <c r="AHI188" s="78"/>
      <c r="AHJ188" s="78"/>
      <c r="AHK188" s="78"/>
      <c r="AHL188" s="78"/>
      <c r="AHM188" s="78"/>
      <c r="AHN188" s="78"/>
      <c r="AHO188" s="78"/>
      <c r="AHP188" s="78"/>
      <c r="AHQ188" s="78"/>
      <c r="AHR188" s="78"/>
      <c r="AHS188" s="78"/>
      <c r="AHT188" s="78"/>
      <c r="AHU188" s="78"/>
      <c r="AHV188" s="78"/>
      <c r="AHW188" s="78"/>
      <c r="AHX188" s="78"/>
      <c r="AHY188" s="78"/>
      <c r="AHZ188" s="78"/>
      <c r="AIA188" s="78"/>
      <c r="AIB188" s="78"/>
      <c r="AIC188" s="78"/>
      <c r="AID188" s="78"/>
      <c r="AIE188" s="78"/>
      <c r="AIF188" s="78"/>
      <c r="AIG188" s="78"/>
      <c r="AIH188" s="78"/>
      <c r="AII188" s="78"/>
      <c r="AIJ188" s="78"/>
      <c r="AIK188" s="78"/>
      <c r="AIL188" s="78"/>
      <c r="AIM188" s="78"/>
      <c r="AIN188" s="78"/>
      <c r="AIO188" s="78"/>
      <c r="AIP188" s="78"/>
      <c r="AIQ188" s="78"/>
      <c r="AIR188" s="78"/>
      <c r="AIS188" s="78"/>
      <c r="AIT188" s="78"/>
      <c r="AIU188" s="78"/>
      <c r="AIV188" s="78"/>
      <c r="AIW188" s="78"/>
      <c r="AIX188" s="78"/>
      <c r="AIY188" s="78"/>
      <c r="AIZ188" s="78"/>
      <c r="AJA188" s="78"/>
      <c r="AJB188" s="78"/>
      <c r="AJC188" s="78"/>
      <c r="AJD188" s="78"/>
      <c r="AJE188" s="78"/>
      <c r="AJF188" s="78"/>
      <c r="AJG188" s="78"/>
      <c r="AJH188" s="78"/>
      <c r="AJI188" s="78"/>
      <c r="AJJ188" s="78"/>
      <c r="AJK188" s="78"/>
      <c r="AJL188" s="78"/>
      <c r="AJM188" s="78"/>
      <c r="AJN188" s="78"/>
      <c r="AJO188" s="78"/>
      <c r="AJP188" s="78"/>
      <c r="AJQ188" s="78"/>
      <c r="AJR188" s="78"/>
      <c r="AJS188" s="78"/>
      <c r="AJT188" s="78"/>
      <c r="AJU188" s="78"/>
      <c r="AJV188" s="78"/>
      <c r="AJW188" s="78"/>
      <c r="AJX188" s="78"/>
      <c r="AJY188" s="78"/>
      <c r="AJZ188" s="78"/>
      <c r="AKA188" s="78"/>
      <c r="AKB188" s="78"/>
      <c r="AKC188" s="78"/>
      <c r="AKD188" s="78"/>
      <c r="AKE188" s="78"/>
      <c r="AKF188" s="78"/>
      <c r="AKG188" s="78"/>
      <c r="AKH188" s="78"/>
      <c r="AKI188" s="78"/>
      <c r="AKJ188" s="78"/>
      <c r="AKK188" s="78"/>
      <c r="AKL188" s="78"/>
      <c r="AKM188" s="78"/>
      <c r="AKN188" s="78"/>
      <c r="AKO188" s="78"/>
      <c r="AKP188" s="78"/>
      <c r="AKQ188" s="78"/>
      <c r="AKR188" s="78"/>
      <c r="AKS188" s="78"/>
      <c r="AKT188" s="78"/>
      <c r="AKU188" s="78"/>
      <c r="AKV188" s="78"/>
      <c r="AKW188" s="78"/>
      <c r="AKX188" s="78"/>
      <c r="AKY188" s="78"/>
      <c r="AKZ188" s="78"/>
      <c r="ALA188" s="78"/>
      <c r="ALB188" s="78"/>
      <c r="ALC188" s="78"/>
      <c r="ALD188" s="78"/>
      <c r="ALE188" s="78"/>
      <c r="ALF188" s="78"/>
      <c r="ALG188" s="78"/>
      <c r="ALH188" s="78"/>
      <c r="ALI188" s="78"/>
      <c r="ALJ188" s="78"/>
      <c r="ALK188" s="78"/>
      <c r="ALL188" s="78"/>
      <c r="ALM188" s="78"/>
      <c r="ALN188" s="78"/>
      <c r="ALO188" s="78"/>
      <c r="ALP188" s="78"/>
      <c r="ALQ188" s="78"/>
      <c r="ALR188" s="78"/>
      <c r="ALS188" s="78"/>
      <c r="ALT188" s="78"/>
      <c r="ALU188" s="78"/>
      <c r="ALV188" s="78"/>
      <c r="ALW188" s="78"/>
      <c r="ALX188" s="78"/>
      <c r="ALY188" s="78"/>
      <c r="ALZ188" s="78"/>
      <c r="AMA188" s="78"/>
      <c r="AMB188" s="78"/>
      <c r="AMC188" s="78"/>
      <c r="AMD188" s="78"/>
      <c r="AME188" s="78"/>
      <c r="AMF188" s="78"/>
      <c r="AMG188" s="78"/>
      <c r="AMH188" s="78"/>
      <c r="AMI188" s="78"/>
      <c r="AMJ188" s="78"/>
      <c r="AMK188" s="78"/>
      <c r="AML188" s="78"/>
      <c r="AMM188" s="78"/>
      <c r="AMN188" s="78"/>
      <c r="AMO188" s="78"/>
      <c r="AMP188" s="78"/>
      <c r="AMQ188" s="78"/>
      <c r="AMR188" s="78"/>
      <c r="AMS188" s="78"/>
      <c r="AMT188" s="78"/>
      <c r="AMU188" s="78"/>
      <c r="AMV188" s="78"/>
      <c r="AMW188" s="78"/>
      <c r="AMX188" s="78"/>
      <c r="AMY188" s="78"/>
      <c r="AMZ188" s="78"/>
      <c r="ANA188" s="78"/>
      <c r="ANB188" s="78"/>
      <c r="ANC188" s="78"/>
      <c r="AND188" s="78"/>
      <c r="ANE188" s="78"/>
      <c r="ANF188" s="78"/>
      <c r="ANG188" s="78"/>
      <c r="ANH188" s="78"/>
      <c r="ANI188" s="78"/>
      <c r="ANJ188" s="78"/>
      <c r="ANK188" s="78"/>
      <c r="ANL188" s="78"/>
      <c r="ANM188" s="78"/>
      <c r="ANN188" s="78"/>
      <c r="ANO188" s="78"/>
      <c r="ANP188" s="78"/>
      <c r="ANQ188" s="78"/>
      <c r="ANR188" s="78"/>
      <c r="ANS188" s="78"/>
      <c r="ANT188" s="78"/>
      <c r="ANU188" s="78"/>
      <c r="ANV188" s="78"/>
      <c r="ANW188" s="78"/>
      <c r="ANX188" s="78"/>
      <c r="ANY188" s="78"/>
      <c r="ANZ188" s="78"/>
      <c r="AOA188" s="78"/>
      <c r="AOB188" s="78"/>
      <c r="AOC188" s="78"/>
      <c r="AOD188" s="78"/>
      <c r="AOE188" s="78"/>
      <c r="AOF188" s="78"/>
      <c r="AOG188" s="78"/>
      <c r="AOH188" s="78"/>
      <c r="AOI188" s="78"/>
      <c r="AOJ188" s="78"/>
      <c r="AOK188" s="78"/>
      <c r="AOL188" s="78"/>
      <c r="AOM188" s="78"/>
      <c r="AON188" s="78"/>
      <c r="AOO188" s="78"/>
      <c r="AOP188" s="78"/>
      <c r="AOQ188" s="78"/>
      <c r="AOR188" s="78"/>
      <c r="AOS188" s="78"/>
      <c r="AOT188" s="78"/>
      <c r="AOU188" s="78"/>
      <c r="AOV188" s="78"/>
      <c r="AOW188" s="78"/>
      <c r="AOX188" s="78"/>
      <c r="AOY188" s="78"/>
      <c r="AOZ188" s="78"/>
      <c r="APA188" s="78"/>
      <c r="APB188" s="78"/>
      <c r="APC188" s="78"/>
      <c r="APD188" s="78"/>
      <c r="APE188" s="78"/>
      <c r="APF188" s="78"/>
      <c r="APG188" s="78"/>
      <c r="APH188" s="78"/>
      <c r="API188" s="78"/>
      <c r="APJ188" s="78"/>
      <c r="APK188" s="78"/>
      <c r="APL188" s="78"/>
      <c r="APM188" s="78"/>
      <c r="APN188" s="78"/>
      <c r="APO188" s="78"/>
      <c r="APP188" s="78"/>
      <c r="APQ188" s="78"/>
      <c r="APR188" s="78"/>
      <c r="APS188" s="78"/>
      <c r="APT188" s="78"/>
      <c r="APU188" s="78"/>
      <c r="APV188" s="78"/>
      <c r="APW188" s="78"/>
      <c r="APX188" s="78"/>
      <c r="APY188" s="78"/>
      <c r="APZ188" s="78"/>
      <c r="AQA188" s="78"/>
      <c r="AQB188" s="78"/>
      <c r="AQC188" s="78"/>
      <c r="AQD188" s="78"/>
      <c r="AQE188" s="78"/>
      <c r="AQF188" s="78"/>
      <c r="AQG188" s="78"/>
      <c r="AQH188" s="78"/>
      <c r="AQI188" s="78"/>
      <c r="AQJ188" s="78"/>
      <c r="AQK188" s="78"/>
      <c r="AQL188" s="78"/>
      <c r="AQM188" s="78"/>
      <c r="AQN188" s="78"/>
      <c r="AQO188" s="78"/>
      <c r="AQP188" s="78"/>
      <c r="AQQ188" s="78"/>
      <c r="AQR188" s="78"/>
      <c r="AQS188" s="78"/>
      <c r="AQT188" s="78"/>
      <c r="AQU188" s="78"/>
      <c r="AQV188" s="78"/>
      <c r="AQW188" s="78"/>
      <c r="AQX188" s="78"/>
      <c r="AQY188" s="78"/>
      <c r="AQZ188" s="78"/>
      <c r="ARA188" s="78"/>
      <c r="ARB188" s="78"/>
      <c r="ARC188" s="78"/>
      <c r="ARD188" s="78"/>
      <c r="ARE188" s="78"/>
      <c r="ARF188" s="78"/>
      <c r="ARG188" s="78"/>
      <c r="ARH188" s="78"/>
      <c r="ARI188" s="78"/>
      <c r="ARJ188" s="78"/>
      <c r="ARK188" s="78"/>
      <c r="ARL188" s="78"/>
      <c r="ARM188" s="78"/>
      <c r="ARN188" s="78"/>
      <c r="ARO188" s="78"/>
      <c r="ARP188" s="78"/>
      <c r="ARQ188" s="78"/>
      <c r="ARR188" s="78"/>
      <c r="ARS188" s="78"/>
      <c r="ART188" s="78"/>
      <c r="ARU188" s="78"/>
      <c r="ARV188" s="78"/>
      <c r="ARW188" s="78"/>
      <c r="ARX188" s="78"/>
      <c r="ARY188" s="78"/>
      <c r="ARZ188" s="78"/>
      <c r="ASA188" s="78"/>
      <c r="ASB188" s="78"/>
      <c r="ASC188" s="78"/>
      <c r="ASD188" s="78"/>
      <c r="ASE188" s="78"/>
      <c r="ASF188" s="78"/>
      <c r="ASG188" s="78"/>
      <c r="ASH188" s="78"/>
      <c r="ASI188" s="78"/>
      <c r="ASJ188" s="78"/>
      <c r="ASK188" s="78"/>
      <c r="ASL188" s="78"/>
      <c r="ASM188" s="78"/>
      <c r="ASN188" s="78"/>
      <c r="ASO188" s="78"/>
      <c r="ASP188" s="78"/>
      <c r="ASQ188" s="78"/>
      <c r="ASR188" s="78"/>
      <c r="ASS188" s="78"/>
      <c r="AST188" s="78"/>
      <c r="ASU188" s="78"/>
      <c r="ASV188" s="78"/>
      <c r="ASW188" s="78"/>
      <c r="ASX188" s="78"/>
      <c r="ASY188" s="78"/>
      <c r="ASZ188" s="78"/>
      <c r="ATA188" s="78"/>
      <c r="ATB188" s="78"/>
      <c r="ATC188" s="78"/>
      <c r="ATD188" s="78"/>
      <c r="ATE188" s="78"/>
      <c r="ATF188" s="78"/>
      <c r="ATG188" s="78"/>
      <c r="ATH188" s="78"/>
      <c r="ATI188" s="78"/>
      <c r="ATJ188" s="78"/>
      <c r="ATK188" s="78"/>
      <c r="ATL188" s="78"/>
      <c r="ATM188" s="78"/>
      <c r="ATN188" s="78"/>
      <c r="ATO188" s="78"/>
      <c r="ATP188" s="78"/>
      <c r="ATQ188" s="78"/>
      <c r="ATR188" s="78"/>
      <c r="ATS188" s="78"/>
      <c r="ATT188" s="78"/>
      <c r="ATU188" s="78"/>
      <c r="ATV188" s="78"/>
      <c r="ATW188" s="78"/>
      <c r="ATX188" s="78"/>
      <c r="ATY188" s="78"/>
      <c r="ATZ188" s="78"/>
      <c r="AUA188" s="78"/>
      <c r="AUB188" s="78"/>
      <c r="AUC188" s="78"/>
      <c r="AUD188" s="78"/>
      <c r="AUE188" s="78"/>
      <c r="AUF188" s="78"/>
      <c r="AUG188" s="78"/>
      <c r="AUH188" s="78"/>
      <c r="AUI188" s="78"/>
      <c r="AUJ188" s="78"/>
      <c r="AUK188" s="78"/>
      <c r="AUL188" s="78"/>
      <c r="AUM188" s="78"/>
      <c r="AUN188" s="78"/>
      <c r="AUO188" s="78"/>
      <c r="AUP188" s="78"/>
      <c r="AUQ188" s="78"/>
      <c r="AUR188" s="78"/>
      <c r="AUS188" s="78"/>
      <c r="AUT188" s="78"/>
      <c r="AUU188" s="78"/>
      <c r="AUV188" s="78"/>
      <c r="AUW188" s="78"/>
      <c r="AUX188" s="78"/>
      <c r="AUY188" s="78"/>
      <c r="AUZ188" s="78"/>
      <c r="AVA188" s="78"/>
      <c r="AVB188" s="78"/>
      <c r="AVC188" s="78"/>
      <c r="AVD188" s="78"/>
      <c r="AVE188" s="78"/>
      <c r="AVF188" s="78"/>
      <c r="AVG188" s="78"/>
      <c r="AVH188" s="78"/>
      <c r="AVI188" s="78"/>
      <c r="AVJ188" s="78"/>
      <c r="AVK188" s="78"/>
      <c r="AVL188" s="78"/>
      <c r="AVM188" s="78"/>
      <c r="AVN188" s="78"/>
      <c r="AVO188" s="78"/>
      <c r="AVP188" s="78"/>
      <c r="AVQ188" s="78"/>
      <c r="AVR188" s="78"/>
      <c r="AVS188" s="78"/>
      <c r="AVT188" s="78"/>
      <c r="AVU188" s="78"/>
      <c r="AVV188" s="78"/>
      <c r="AVW188" s="78"/>
      <c r="AVX188" s="78"/>
      <c r="AVY188" s="78"/>
      <c r="AVZ188" s="78"/>
      <c r="AWA188" s="78"/>
      <c r="AWB188" s="78"/>
      <c r="AWC188" s="78"/>
      <c r="AWD188" s="78"/>
      <c r="AWE188" s="78"/>
      <c r="AWF188" s="78"/>
      <c r="AWG188" s="78"/>
      <c r="AWH188" s="78"/>
      <c r="AWI188" s="78"/>
      <c r="AWJ188" s="78"/>
      <c r="AWK188" s="78"/>
      <c r="AWL188" s="78"/>
      <c r="AWM188" s="78"/>
      <c r="AWN188" s="78"/>
      <c r="AWO188" s="78"/>
      <c r="AWP188" s="78"/>
      <c r="AWQ188" s="78"/>
      <c r="AWR188" s="78"/>
      <c r="AWS188" s="78"/>
      <c r="AWT188" s="78"/>
      <c r="AWU188" s="78"/>
      <c r="AWV188" s="78"/>
      <c r="AWW188" s="78"/>
      <c r="AWX188" s="78"/>
      <c r="AWY188" s="78"/>
      <c r="AWZ188" s="78"/>
      <c r="AXA188" s="78"/>
      <c r="AXB188" s="78"/>
      <c r="AXC188" s="78"/>
      <c r="AXD188" s="78"/>
      <c r="AXE188" s="78"/>
      <c r="AXF188" s="78"/>
      <c r="AXG188" s="78"/>
      <c r="AXH188" s="78"/>
      <c r="AXI188" s="78"/>
      <c r="AXJ188" s="78"/>
      <c r="AXK188" s="78"/>
      <c r="AXL188" s="78"/>
      <c r="AXM188" s="78"/>
      <c r="AXN188" s="78"/>
      <c r="AXO188" s="78"/>
      <c r="AXP188" s="78"/>
      <c r="AXQ188" s="78"/>
      <c r="AXR188" s="78"/>
      <c r="AXS188" s="78"/>
      <c r="AXT188" s="78"/>
      <c r="AXU188" s="78"/>
      <c r="AXV188" s="78"/>
      <c r="AXW188" s="78"/>
      <c r="AXX188" s="78"/>
      <c r="AXY188" s="78"/>
      <c r="AXZ188" s="78"/>
      <c r="AYA188" s="78"/>
      <c r="AYB188" s="78"/>
      <c r="AYC188" s="78"/>
      <c r="AYD188" s="78"/>
      <c r="AYE188" s="78"/>
      <c r="AYF188" s="78"/>
      <c r="AYG188" s="78"/>
      <c r="AYH188" s="78"/>
      <c r="AYI188" s="78"/>
      <c r="AYJ188" s="78"/>
      <c r="AYK188" s="78"/>
      <c r="AYL188" s="78"/>
      <c r="AYM188" s="78"/>
      <c r="AYN188" s="78"/>
      <c r="AYO188" s="78"/>
      <c r="AYP188" s="78"/>
      <c r="AYQ188" s="78"/>
      <c r="AYR188" s="78"/>
      <c r="AYS188" s="78"/>
      <c r="AYT188" s="78"/>
      <c r="AYU188" s="78"/>
      <c r="AYV188" s="78"/>
      <c r="AYW188" s="78"/>
      <c r="AYX188" s="78"/>
      <c r="AYY188" s="78"/>
      <c r="AYZ188" s="78"/>
      <c r="AZA188" s="78"/>
      <c r="AZB188" s="78"/>
      <c r="AZC188" s="78"/>
      <c r="AZD188" s="78"/>
      <c r="AZE188" s="78"/>
      <c r="AZF188" s="78"/>
      <c r="AZG188" s="78"/>
      <c r="AZH188" s="78"/>
      <c r="AZI188" s="78"/>
      <c r="AZJ188" s="78"/>
      <c r="AZK188" s="78"/>
      <c r="AZL188" s="78"/>
      <c r="AZM188" s="78"/>
      <c r="AZN188" s="78"/>
      <c r="AZO188" s="78"/>
      <c r="AZP188" s="78"/>
      <c r="AZQ188" s="78"/>
      <c r="AZR188" s="78"/>
      <c r="AZS188" s="78"/>
      <c r="AZT188" s="78"/>
      <c r="AZU188" s="78"/>
      <c r="AZV188" s="78"/>
      <c r="AZW188" s="78"/>
      <c r="AZX188" s="78"/>
      <c r="AZY188" s="78"/>
      <c r="AZZ188" s="78"/>
      <c r="BAA188" s="78"/>
      <c r="BAB188" s="78"/>
      <c r="BAC188" s="78"/>
      <c r="BAD188" s="78"/>
      <c r="BAE188" s="78"/>
      <c r="BAF188" s="78"/>
      <c r="BAG188" s="78"/>
      <c r="BAH188" s="78"/>
      <c r="BAI188" s="78"/>
      <c r="BAJ188" s="78"/>
      <c r="BAK188" s="78"/>
      <c r="BAL188" s="78"/>
      <c r="BAM188" s="78"/>
      <c r="BAN188" s="78"/>
      <c r="BAO188" s="78"/>
      <c r="BAP188" s="78"/>
      <c r="BAQ188" s="78"/>
      <c r="BAR188" s="78"/>
      <c r="BAS188" s="78"/>
      <c r="BAT188" s="78"/>
      <c r="BAU188" s="78"/>
      <c r="BAV188" s="78"/>
      <c r="BAW188" s="78"/>
      <c r="BAX188" s="78"/>
      <c r="BAY188" s="78"/>
      <c r="BAZ188" s="78"/>
      <c r="BBA188" s="78"/>
      <c r="BBB188" s="78"/>
      <c r="BBC188" s="78"/>
      <c r="BBD188" s="78"/>
      <c r="BBE188" s="78"/>
      <c r="BBF188" s="78"/>
      <c r="BBG188" s="78"/>
      <c r="BBH188" s="78"/>
      <c r="BBI188" s="78"/>
      <c r="BBJ188" s="78"/>
      <c r="BBK188" s="78"/>
      <c r="BBL188" s="78"/>
      <c r="BBM188" s="78"/>
      <c r="BBN188" s="78"/>
      <c r="BBO188" s="78"/>
      <c r="BBP188" s="78"/>
      <c r="BBQ188" s="78"/>
      <c r="BBR188" s="78"/>
      <c r="BBS188" s="78"/>
      <c r="BBT188" s="78"/>
      <c r="BBU188" s="78"/>
      <c r="BBV188" s="78"/>
      <c r="BBW188" s="78"/>
      <c r="BBX188" s="78"/>
      <c r="BBY188" s="78"/>
      <c r="BBZ188" s="78"/>
      <c r="BCA188" s="78"/>
      <c r="BCB188" s="78"/>
      <c r="BCC188" s="78"/>
      <c r="BCD188" s="78"/>
      <c r="BCE188" s="78"/>
      <c r="BCF188" s="78"/>
      <c r="BCG188" s="78"/>
      <c r="BCH188" s="78"/>
      <c r="BCI188" s="78"/>
      <c r="BCJ188" s="78"/>
      <c r="BCK188" s="78"/>
      <c r="BCL188" s="78"/>
      <c r="BCM188" s="78"/>
      <c r="BCN188" s="78"/>
      <c r="BCO188" s="78"/>
      <c r="BCP188" s="78"/>
      <c r="BCQ188" s="78"/>
      <c r="BCR188" s="78"/>
      <c r="BCS188" s="78"/>
      <c r="BCT188" s="78"/>
      <c r="BCU188" s="78"/>
      <c r="BCV188" s="78"/>
      <c r="BCW188" s="78"/>
      <c r="BCX188" s="78"/>
      <c r="BCY188" s="78"/>
      <c r="BCZ188" s="78"/>
      <c r="BDA188" s="78"/>
      <c r="BDB188" s="78"/>
      <c r="BDC188" s="78"/>
      <c r="BDD188" s="78"/>
      <c r="BDE188" s="78"/>
      <c r="BDF188" s="78"/>
      <c r="BDG188" s="78"/>
      <c r="BDH188" s="78"/>
      <c r="BDI188" s="78"/>
      <c r="BDJ188" s="78"/>
      <c r="BDK188" s="78"/>
      <c r="BDL188" s="78"/>
      <c r="BDM188" s="78"/>
      <c r="BDN188" s="78"/>
      <c r="BDO188" s="78"/>
      <c r="BDP188" s="78"/>
      <c r="BDQ188" s="78"/>
      <c r="BDR188" s="78"/>
      <c r="BDS188" s="78"/>
      <c r="BDT188" s="78"/>
      <c r="BDU188" s="78"/>
      <c r="BDV188" s="78"/>
      <c r="BDW188" s="78"/>
      <c r="BDX188" s="78"/>
      <c r="BDY188" s="78"/>
      <c r="BDZ188" s="78"/>
      <c r="BEA188" s="78"/>
      <c r="BEB188" s="78"/>
      <c r="BEC188" s="78"/>
      <c r="BED188" s="78"/>
      <c r="BEE188" s="78"/>
      <c r="BEF188" s="78"/>
      <c r="BEG188" s="78"/>
      <c r="BEH188" s="78"/>
      <c r="BEI188" s="78"/>
      <c r="BEJ188" s="78"/>
      <c r="BEK188" s="78"/>
      <c r="BEL188" s="78"/>
      <c r="BEM188" s="78"/>
      <c r="BEN188" s="78"/>
      <c r="BEO188" s="78"/>
      <c r="BEP188" s="78"/>
      <c r="BEQ188" s="78"/>
      <c r="BER188" s="78"/>
      <c r="BES188" s="78"/>
      <c r="BET188" s="78"/>
      <c r="BEU188" s="78"/>
      <c r="BEV188" s="78"/>
      <c r="BEW188" s="78"/>
      <c r="BEX188" s="78"/>
      <c r="BEY188" s="78"/>
      <c r="BEZ188" s="78"/>
      <c r="BFA188" s="78"/>
      <c r="BFB188" s="78"/>
      <c r="BFC188" s="78"/>
      <c r="BFD188" s="78"/>
      <c r="BFE188" s="78"/>
      <c r="BFF188" s="78"/>
      <c r="BFG188" s="78"/>
      <c r="BFH188" s="78"/>
      <c r="BFI188" s="78"/>
      <c r="BFJ188" s="78"/>
      <c r="BFK188" s="78"/>
      <c r="BFL188" s="78"/>
      <c r="BFM188" s="78"/>
      <c r="BFN188" s="78"/>
      <c r="BFO188" s="78"/>
      <c r="BFP188" s="78"/>
      <c r="BFQ188" s="78"/>
      <c r="BFR188" s="78"/>
      <c r="BFS188" s="78"/>
      <c r="BFT188" s="78"/>
      <c r="BFU188" s="78"/>
      <c r="BFV188" s="78"/>
      <c r="BFW188" s="78"/>
      <c r="BFX188" s="78"/>
      <c r="BFY188" s="78"/>
      <c r="BFZ188" s="78"/>
      <c r="BGA188" s="78"/>
      <c r="BGB188" s="78"/>
      <c r="BGC188" s="78"/>
      <c r="BGD188" s="78"/>
      <c r="BGE188" s="78"/>
      <c r="BGF188" s="78"/>
      <c r="BGG188" s="78"/>
      <c r="BGH188" s="78"/>
      <c r="BGI188" s="78"/>
      <c r="BGJ188" s="78"/>
      <c r="BGK188" s="78"/>
      <c r="BGL188" s="78"/>
      <c r="BGM188" s="78"/>
      <c r="BGN188" s="78"/>
      <c r="BGO188" s="78"/>
      <c r="BGP188" s="78"/>
      <c r="BGQ188" s="78"/>
      <c r="BGR188" s="78"/>
      <c r="BGS188" s="78"/>
      <c r="BGT188" s="78"/>
      <c r="BGU188" s="78"/>
      <c r="BGV188" s="78"/>
      <c r="BGW188" s="78"/>
      <c r="BGX188" s="78"/>
      <c r="BGY188" s="78"/>
      <c r="BGZ188" s="78"/>
      <c r="BHA188" s="78"/>
      <c r="BHB188" s="78"/>
      <c r="BHC188" s="78"/>
      <c r="BHD188" s="78"/>
      <c r="BHE188" s="78"/>
      <c r="BHF188" s="78"/>
      <c r="BHG188" s="78"/>
      <c r="BHH188" s="78"/>
      <c r="BHI188" s="78"/>
      <c r="BHJ188" s="78"/>
      <c r="BHK188" s="78"/>
      <c r="BHL188" s="78"/>
      <c r="BHM188" s="78"/>
      <c r="BHN188" s="78"/>
      <c r="BHO188" s="78"/>
      <c r="BHP188" s="78"/>
      <c r="BHQ188" s="78"/>
      <c r="BHR188" s="78"/>
      <c r="BHS188" s="78"/>
      <c r="BHT188" s="78"/>
      <c r="BHU188" s="78"/>
      <c r="BHV188" s="78"/>
      <c r="BHW188" s="78"/>
      <c r="BHX188" s="78"/>
      <c r="BHY188" s="78"/>
      <c r="BHZ188" s="78"/>
      <c r="BIA188" s="78"/>
      <c r="BIB188" s="78"/>
      <c r="BIC188" s="78"/>
      <c r="BID188" s="78"/>
      <c r="BIE188" s="78"/>
      <c r="BIF188" s="78"/>
      <c r="BIG188" s="78"/>
      <c r="BIH188" s="78"/>
      <c r="BII188" s="78"/>
      <c r="BIJ188" s="78"/>
      <c r="BIK188" s="78"/>
      <c r="BIL188" s="78"/>
      <c r="BIM188" s="78"/>
      <c r="BIN188" s="78"/>
      <c r="BIO188" s="78"/>
      <c r="BIP188" s="78"/>
      <c r="BIQ188" s="78"/>
      <c r="BIR188" s="78"/>
      <c r="BIS188" s="78"/>
      <c r="BIT188" s="78"/>
      <c r="BIU188" s="78"/>
      <c r="BIV188" s="78"/>
      <c r="BIW188" s="78"/>
      <c r="BIX188" s="78"/>
      <c r="BIY188" s="78"/>
      <c r="BIZ188" s="78"/>
      <c r="BJA188" s="78"/>
      <c r="BJB188" s="78"/>
      <c r="BJC188" s="78"/>
      <c r="BJD188" s="78"/>
      <c r="BJE188" s="78"/>
      <c r="BJF188" s="78"/>
      <c r="BJG188" s="78"/>
      <c r="BJH188" s="78"/>
      <c r="BJI188" s="78"/>
      <c r="BJJ188" s="78"/>
      <c r="BJK188" s="78"/>
      <c r="BJL188" s="78"/>
      <c r="BJM188" s="78"/>
      <c r="BJN188" s="78"/>
      <c r="BJO188" s="78"/>
      <c r="BJP188" s="78"/>
      <c r="BJQ188" s="78"/>
      <c r="BJR188" s="78"/>
      <c r="BJS188" s="78"/>
      <c r="BJT188" s="78"/>
      <c r="BJU188" s="78"/>
      <c r="BJV188" s="78"/>
      <c r="BJW188" s="78"/>
      <c r="BJX188" s="78"/>
      <c r="BJY188" s="78"/>
      <c r="BJZ188" s="78"/>
      <c r="BKA188" s="78"/>
      <c r="BKB188" s="78"/>
      <c r="BKC188" s="78"/>
      <c r="BKD188" s="78"/>
      <c r="BKE188" s="78"/>
      <c r="BKF188" s="78"/>
      <c r="BKG188" s="78"/>
      <c r="BKH188" s="78"/>
      <c r="BKI188" s="78"/>
      <c r="BKJ188" s="78"/>
      <c r="BKK188" s="78"/>
      <c r="BKL188" s="78"/>
      <c r="BKM188" s="78"/>
      <c r="BKN188" s="78"/>
      <c r="BKO188" s="78"/>
      <c r="BKP188" s="78"/>
      <c r="BKQ188" s="78"/>
      <c r="BKR188" s="78"/>
      <c r="BKS188" s="78"/>
      <c r="BKT188" s="78"/>
      <c r="BKU188" s="78"/>
      <c r="BKV188" s="78"/>
      <c r="BKW188" s="78"/>
      <c r="BKX188" s="78"/>
      <c r="BKY188" s="78"/>
      <c r="BKZ188" s="78"/>
      <c r="BLA188" s="78"/>
      <c r="BLB188" s="78"/>
      <c r="BLC188" s="78"/>
      <c r="BLD188" s="78"/>
      <c r="BLE188" s="78"/>
      <c r="BLF188" s="78"/>
      <c r="BLG188" s="78"/>
      <c r="BLH188" s="78"/>
      <c r="BLI188" s="78"/>
      <c r="BLJ188" s="78"/>
      <c r="BLK188" s="78"/>
      <c r="BLL188" s="78"/>
      <c r="BLM188" s="78"/>
      <c r="BLN188" s="78"/>
      <c r="BLO188" s="78"/>
      <c r="BLP188" s="78"/>
      <c r="BLQ188" s="78"/>
      <c r="BLR188" s="78"/>
      <c r="BLS188" s="78"/>
      <c r="BLT188" s="78"/>
      <c r="BLU188" s="78"/>
      <c r="BLV188" s="78"/>
      <c r="BLW188" s="78"/>
      <c r="BLX188" s="78"/>
      <c r="BLY188" s="78"/>
      <c r="BLZ188" s="78"/>
      <c r="BMA188" s="78"/>
      <c r="BMB188" s="78"/>
      <c r="BMC188" s="78"/>
      <c r="BMD188" s="78"/>
      <c r="BME188" s="78"/>
      <c r="BMF188" s="78"/>
      <c r="BMG188" s="78"/>
      <c r="BMH188" s="78"/>
      <c r="BMI188" s="78"/>
      <c r="BMJ188" s="78"/>
      <c r="BMK188" s="78"/>
      <c r="BML188" s="78"/>
      <c r="BMM188" s="78"/>
      <c r="BMN188" s="78"/>
      <c r="BMO188" s="78"/>
      <c r="BMP188" s="78"/>
      <c r="BMQ188" s="78"/>
      <c r="BMR188" s="78"/>
      <c r="BMS188" s="78"/>
      <c r="BMT188" s="78"/>
      <c r="BMU188" s="78"/>
      <c r="BMV188" s="78"/>
      <c r="BMW188" s="78"/>
      <c r="BMX188" s="78"/>
      <c r="BMY188" s="78"/>
      <c r="BMZ188" s="78"/>
      <c r="BNA188" s="78"/>
      <c r="BNB188" s="78"/>
      <c r="BNC188" s="78"/>
      <c r="BND188" s="78"/>
      <c r="BNE188" s="78"/>
      <c r="BNF188" s="78"/>
      <c r="BNG188" s="78"/>
      <c r="BNH188" s="78"/>
      <c r="BNI188" s="78"/>
      <c r="BNJ188" s="78"/>
      <c r="BNK188" s="78"/>
      <c r="BNL188" s="78"/>
      <c r="BNM188" s="78"/>
      <c r="BNN188" s="78"/>
      <c r="BNO188" s="78"/>
      <c r="BNP188" s="78"/>
      <c r="BNQ188" s="78"/>
      <c r="BNR188" s="78"/>
      <c r="BNS188" s="78"/>
      <c r="BNT188" s="78"/>
      <c r="BNU188" s="78"/>
      <c r="BNV188" s="78"/>
      <c r="BNW188" s="78"/>
      <c r="BNX188" s="78"/>
      <c r="BNY188" s="78"/>
      <c r="BNZ188" s="78"/>
      <c r="BOA188" s="78"/>
      <c r="BOB188" s="78"/>
      <c r="BOC188" s="78"/>
      <c r="BOD188" s="78"/>
      <c r="BOE188" s="78"/>
      <c r="BOF188" s="78"/>
      <c r="BOG188" s="78"/>
      <c r="BOH188" s="78"/>
      <c r="BOI188" s="78"/>
      <c r="BOJ188" s="78"/>
      <c r="BOK188" s="78"/>
      <c r="BOL188" s="78"/>
      <c r="BOM188" s="78"/>
      <c r="BON188" s="78"/>
      <c r="BOO188" s="78"/>
      <c r="BOP188" s="78"/>
      <c r="BOQ188" s="78"/>
      <c r="BOR188" s="78"/>
      <c r="BOS188" s="78"/>
      <c r="BOT188" s="78"/>
      <c r="BOU188" s="78"/>
      <c r="BOV188" s="78"/>
      <c r="BOW188" s="78"/>
      <c r="BOX188" s="78"/>
      <c r="BOY188" s="78"/>
      <c r="BOZ188" s="78"/>
      <c r="BPA188" s="78"/>
      <c r="BPB188" s="78"/>
      <c r="BPC188" s="78"/>
      <c r="BPD188" s="78"/>
      <c r="BPE188" s="78"/>
      <c r="BPF188" s="78"/>
      <c r="BPG188" s="78"/>
      <c r="BPH188" s="78"/>
      <c r="BPI188" s="78"/>
      <c r="BPJ188" s="78"/>
      <c r="BPK188" s="78"/>
      <c r="BPL188" s="78"/>
      <c r="BPM188" s="78"/>
      <c r="BPN188" s="78"/>
      <c r="BPO188" s="78"/>
      <c r="BPP188" s="78"/>
      <c r="BPQ188" s="78"/>
      <c r="BPR188" s="78"/>
      <c r="BPS188" s="78"/>
      <c r="BPT188" s="78"/>
      <c r="BPU188" s="78"/>
      <c r="BPV188" s="78"/>
      <c r="BPW188" s="78"/>
      <c r="BPX188" s="78"/>
      <c r="BPY188" s="78"/>
      <c r="BPZ188" s="78"/>
      <c r="BQA188" s="78"/>
      <c r="BQB188" s="78"/>
      <c r="BQC188" s="78"/>
      <c r="BQD188" s="78"/>
      <c r="BQE188" s="78"/>
      <c r="BQF188" s="78"/>
      <c r="BQG188" s="78"/>
      <c r="BQH188" s="78"/>
      <c r="BQI188" s="78"/>
      <c r="BQJ188" s="78"/>
      <c r="BQK188" s="78"/>
      <c r="BQL188" s="78"/>
      <c r="BQM188" s="78"/>
      <c r="BQN188" s="78"/>
      <c r="BQO188" s="78"/>
      <c r="BQP188" s="78"/>
      <c r="BQQ188" s="78"/>
      <c r="BQR188" s="78"/>
      <c r="BQS188" s="78"/>
      <c r="BQT188" s="78"/>
      <c r="BQU188" s="78"/>
      <c r="BQV188" s="78"/>
      <c r="BQW188" s="78"/>
      <c r="BQX188" s="78"/>
      <c r="BQY188" s="78"/>
      <c r="BQZ188" s="78"/>
      <c r="BRA188" s="78"/>
      <c r="BRB188" s="78"/>
      <c r="BRC188" s="78"/>
      <c r="BRD188" s="78"/>
      <c r="BRE188" s="78"/>
      <c r="BRF188" s="78"/>
      <c r="BRG188" s="78"/>
      <c r="BRH188" s="78"/>
      <c r="BRI188" s="78"/>
      <c r="BRJ188" s="78"/>
      <c r="BRK188" s="78"/>
      <c r="BRL188" s="78"/>
      <c r="BRM188" s="78"/>
      <c r="BRN188" s="78"/>
      <c r="BRO188" s="78"/>
      <c r="BRP188" s="78"/>
      <c r="BRQ188" s="78"/>
      <c r="BRR188" s="78"/>
      <c r="BRS188" s="78"/>
      <c r="BRT188" s="78"/>
      <c r="BRU188" s="78"/>
      <c r="BRV188" s="78"/>
      <c r="BRW188" s="78"/>
      <c r="BRX188" s="78"/>
      <c r="BRY188" s="78"/>
      <c r="BRZ188" s="78"/>
      <c r="BSA188" s="78"/>
      <c r="BSB188" s="78"/>
      <c r="BSC188" s="78"/>
      <c r="BSD188" s="78"/>
      <c r="BSE188" s="78"/>
      <c r="BSF188" s="78"/>
      <c r="BSG188" s="78"/>
      <c r="BSH188" s="78"/>
      <c r="BSI188" s="78"/>
      <c r="BSJ188" s="78"/>
      <c r="BSK188" s="78"/>
      <c r="BSL188" s="78"/>
      <c r="BSM188" s="78"/>
      <c r="BSN188" s="78"/>
      <c r="BSO188" s="78"/>
      <c r="BSP188" s="78"/>
      <c r="BSQ188" s="78"/>
      <c r="BSR188" s="78"/>
      <c r="BSS188" s="78"/>
      <c r="BST188" s="78"/>
      <c r="BSU188" s="78"/>
      <c r="BSV188" s="78"/>
      <c r="BSW188" s="78"/>
      <c r="BSX188" s="78"/>
      <c r="BSY188" s="78"/>
      <c r="BSZ188" s="78"/>
      <c r="BTA188" s="78"/>
      <c r="BTB188" s="78"/>
      <c r="BTC188" s="78"/>
      <c r="BTD188" s="78"/>
      <c r="BTE188" s="78"/>
      <c r="BTF188" s="78"/>
      <c r="BTG188" s="78"/>
      <c r="BTH188" s="78"/>
      <c r="BTI188" s="78"/>
      <c r="BTJ188" s="78"/>
      <c r="BTK188" s="78"/>
      <c r="BTL188" s="78"/>
      <c r="BTM188" s="78"/>
      <c r="BTN188" s="78"/>
      <c r="BTO188" s="78"/>
      <c r="BTP188" s="78"/>
      <c r="BTQ188" s="78"/>
      <c r="BTR188" s="78"/>
      <c r="BTS188" s="78"/>
      <c r="BTT188" s="78"/>
      <c r="BTU188" s="78"/>
      <c r="BTV188" s="78"/>
      <c r="BTW188" s="78"/>
      <c r="BTX188" s="78"/>
      <c r="BTY188" s="78"/>
      <c r="BTZ188" s="78"/>
      <c r="BUA188" s="78"/>
      <c r="BUB188" s="78"/>
      <c r="BUC188" s="78"/>
      <c r="BUD188" s="78"/>
      <c r="BUE188" s="78"/>
      <c r="BUF188" s="78"/>
      <c r="BUG188" s="78"/>
      <c r="BUH188" s="78"/>
      <c r="BUI188" s="78"/>
      <c r="BUJ188" s="78"/>
      <c r="BUK188" s="78"/>
      <c r="BUL188" s="78"/>
      <c r="BUM188" s="78"/>
      <c r="BUN188" s="78"/>
      <c r="BUO188" s="78"/>
      <c r="BUP188" s="78"/>
      <c r="BUQ188" s="78"/>
      <c r="BUR188" s="78"/>
      <c r="BUS188" s="78"/>
      <c r="BUT188" s="78"/>
      <c r="BUU188" s="78"/>
      <c r="BUV188" s="78"/>
      <c r="BUW188" s="78"/>
      <c r="BUX188" s="78"/>
      <c r="BUY188" s="78"/>
      <c r="BUZ188" s="78"/>
      <c r="BVA188" s="78"/>
      <c r="BVB188" s="78"/>
      <c r="BVC188" s="78"/>
      <c r="BVD188" s="78"/>
      <c r="BVE188" s="78"/>
      <c r="BVF188" s="78"/>
      <c r="BVG188" s="78"/>
      <c r="BVH188" s="78"/>
      <c r="BVI188" s="78"/>
      <c r="BVJ188" s="78"/>
      <c r="BVK188" s="78"/>
      <c r="BVL188" s="78"/>
      <c r="BVM188" s="78"/>
      <c r="BVN188" s="78"/>
      <c r="BVO188" s="78"/>
      <c r="BVP188" s="78"/>
      <c r="BVQ188" s="78"/>
      <c r="BVR188" s="78"/>
      <c r="BVS188" s="78"/>
      <c r="BVT188" s="78"/>
      <c r="BVU188" s="78"/>
      <c r="BVV188" s="78"/>
      <c r="BVW188" s="78"/>
      <c r="BVX188" s="78"/>
      <c r="BVY188" s="78"/>
      <c r="BVZ188" s="78"/>
      <c r="BWA188" s="78"/>
      <c r="BWB188" s="78"/>
      <c r="BWC188" s="78"/>
      <c r="BWD188" s="78"/>
      <c r="BWE188" s="78"/>
      <c r="BWF188" s="78"/>
      <c r="BWG188" s="78"/>
      <c r="BWH188" s="78"/>
      <c r="BWI188" s="78"/>
      <c r="BWJ188" s="78"/>
      <c r="BWK188" s="78"/>
      <c r="BWL188" s="78"/>
      <c r="BWM188" s="78"/>
      <c r="BWN188" s="78"/>
      <c r="BWO188" s="78"/>
      <c r="BWP188" s="78"/>
      <c r="BWQ188" s="78"/>
      <c r="BWR188" s="78"/>
      <c r="BWS188" s="78"/>
      <c r="BWT188" s="78"/>
      <c r="BWU188" s="78"/>
      <c r="BWV188" s="78"/>
      <c r="BWW188" s="78"/>
      <c r="BWX188" s="78"/>
      <c r="BWY188" s="78"/>
      <c r="BWZ188" s="78"/>
      <c r="BXA188" s="78"/>
      <c r="BXB188" s="78"/>
      <c r="BXC188" s="78"/>
      <c r="BXD188" s="78"/>
      <c r="BXE188" s="78"/>
      <c r="BXF188" s="78"/>
      <c r="BXG188" s="78"/>
      <c r="BXH188" s="78"/>
      <c r="BXI188" s="78"/>
      <c r="BXJ188" s="78"/>
      <c r="BXK188" s="78"/>
      <c r="BXL188" s="78"/>
      <c r="BXM188" s="78"/>
      <c r="BXN188" s="78"/>
      <c r="BXO188" s="78"/>
      <c r="BXP188" s="78"/>
      <c r="BXQ188" s="78"/>
      <c r="BXR188" s="78"/>
      <c r="BXS188" s="78"/>
      <c r="BXT188" s="78"/>
      <c r="BXU188" s="78"/>
      <c r="BXV188" s="78"/>
      <c r="BXW188" s="78"/>
      <c r="BXX188" s="78"/>
      <c r="BXY188" s="78"/>
      <c r="BXZ188" s="78"/>
      <c r="BYA188" s="78"/>
      <c r="BYB188" s="78"/>
      <c r="BYC188" s="78"/>
      <c r="BYD188" s="78"/>
      <c r="BYE188" s="78"/>
      <c r="BYF188" s="78"/>
      <c r="BYG188" s="78"/>
      <c r="BYH188" s="78"/>
      <c r="BYI188" s="78"/>
      <c r="BYJ188" s="78"/>
      <c r="BYK188" s="78"/>
      <c r="BYL188" s="78"/>
      <c r="BYM188" s="78"/>
      <c r="BYN188" s="78"/>
      <c r="BYO188" s="78"/>
      <c r="BYP188" s="78"/>
      <c r="BYQ188" s="78"/>
      <c r="BYR188" s="78"/>
      <c r="BYS188" s="78"/>
      <c r="BYT188" s="78"/>
      <c r="BYU188" s="78"/>
      <c r="BYV188" s="78"/>
      <c r="BYW188" s="78"/>
      <c r="BYX188" s="78"/>
      <c r="BYY188" s="78"/>
      <c r="BYZ188" s="78"/>
      <c r="BZA188" s="78"/>
      <c r="BZB188" s="78"/>
      <c r="BZC188" s="78"/>
      <c r="BZD188" s="78"/>
      <c r="BZE188" s="78"/>
      <c r="BZF188" s="78"/>
      <c r="BZG188" s="78"/>
      <c r="BZH188" s="78"/>
      <c r="BZI188" s="78"/>
      <c r="BZJ188" s="78"/>
      <c r="BZK188" s="78"/>
      <c r="BZL188" s="78"/>
      <c r="BZM188" s="78"/>
      <c r="BZN188" s="78"/>
      <c r="BZO188" s="78"/>
      <c r="BZP188" s="78"/>
      <c r="BZQ188" s="78"/>
      <c r="BZR188" s="78"/>
      <c r="BZS188" s="78"/>
      <c r="BZT188" s="78"/>
      <c r="BZU188" s="78"/>
      <c r="BZV188" s="78"/>
      <c r="BZW188" s="78"/>
      <c r="BZX188" s="78"/>
      <c r="BZY188" s="78"/>
      <c r="BZZ188" s="78"/>
      <c r="CAA188" s="78"/>
      <c r="CAB188" s="78"/>
      <c r="CAC188" s="78"/>
      <c r="CAD188" s="78"/>
      <c r="CAE188" s="78"/>
      <c r="CAF188" s="78"/>
      <c r="CAG188" s="78"/>
      <c r="CAH188" s="78"/>
      <c r="CAI188" s="78"/>
      <c r="CAJ188" s="78"/>
      <c r="CAK188" s="78"/>
      <c r="CAL188" s="78"/>
      <c r="CAM188" s="78"/>
      <c r="CAN188" s="78"/>
      <c r="CAO188" s="78"/>
      <c r="CAP188" s="78"/>
      <c r="CAQ188" s="78"/>
      <c r="CAR188" s="78"/>
      <c r="CAS188" s="78"/>
      <c r="CAT188" s="78"/>
      <c r="CAU188" s="78"/>
      <c r="CAV188" s="78"/>
      <c r="CAW188" s="78"/>
      <c r="CAX188" s="78"/>
      <c r="CAY188" s="78"/>
      <c r="CAZ188" s="78"/>
      <c r="CBA188" s="78"/>
      <c r="CBB188" s="78"/>
      <c r="CBC188" s="78"/>
      <c r="CBD188" s="78"/>
      <c r="CBE188" s="78"/>
      <c r="CBF188" s="78"/>
      <c r="CBG188" s="78"/>
      <c r="CBH188" s="78"/>
      <c r="CBI188" s="78"/>
      <c r="CBJ188" s="78"/>
      <c r="CBK188" s="78"/>
      <c r="CBL188" s="78"/>
      <c r="CBM188" s="78"/>
      <c r="CBN188" s="78"/>
      <c r="CBO188" s="78"/>
      <c r="CBP188" s="78"/>
      <c r="CBQ188" s="78"/>
      <c r="CBR188" s="78"/>
      <c r="CBS188" s="78"/>
      <c r="CBT188" s="78"/>
      <c r="CBU188" s="78"/>
      <c r="CBV188" s="78"/>
      <c r="CBW188" s="78"/>
      <c r="CBX188" s="78"/>
      <c r="CBY188" s="78"/>
      <c r="CBZ188" s="78"/>
      <c r="CCA188" s="78"/>
      <c r="CCB188" s="78"/>
      <c r="CCC188" s="78"/>
      <c r="CCD188" s="78"/>
      <c r="CCE188" s="78"/>
      <c r="CCF188" s="78"/>
      <c r="CCG188" s="78"/>
      <c r="CCH188" s="78"/>
      <c r="CCI188" s="78"/>
      <c r="CCJ188" s="78"/>
      <c r="CCK188" s="78"/>
      <c r="CCL188" s="78"/>
      <c r="CCM188" s="78"/>
      <c r="CCN188" s="78"/>
      <c r="CCO188" s="78"/>
      <c r="CCP188" s="78"/>
      <c r="CCQ188" s="78"/>
      <c r="CCR188" s="78"/>
      <c r="CCS188" s="78"/>
      <c r="CCT188" s="78"/>
      <c r="CCU188" s="78"/>
      <c r="CCV188" s="78"/>
      <c r="CCW188" s="78"/>
      <c r="CCX188" s="78"/>
      <c r="CCY188" s="78"/>
      <c r="CCZ188" s="78"/>
      <c r="CDA188" s="78"/>
      <c r="CDB188" s="78"/>
      <c r="CDC188" s="78"/>
      <c r="CDD188" s="78"/>
      <c r="CDE188" s="78"/>
      <c r="CDF188" s="78"/>
      <c r="CDG188" s="78"/>
      <c r="CDH188" s="78"/>
      <c r="CDI188" s="78"/>
      <c r="CDJ188" s="78"/>
      <c r="CDK188" s="78"/>
      <c r="CDL188" s="78"/>
      <c r="CDM188" s="78"/>
      <c r="CDN188" s="78"/>
      <c r="CDO188" s="78"/>
      <c r="CDP188" s="78"/>
      <c r="CDQ188" s="78"/>
      <c r="CDR188" s="78"/>
      <c r="CDS188" s="78"/>
      <c r="CDT188" s="78"/>
      <c r="CDU188" s="78"/>
      <c r="CDV188" s="78"/>
      <c r="CDW188" s="78"/>
      <c r="CDX188" s="78"/>
      <c r="CDY188" s="78"/>
      <c r="CDZ188" s="78"/>
      <c r="CEA188" s="78"/>
      <c r="CEB188" s="78"/>
      <c r="CEC188" s="78"/>
      <c r="CED188" s="78"/>
      <c r="CEE188" s="78"/>
      <c r="CEF188" s="78"/>
      <c r="CEG188" s="78"/>
      <c r="CEH188" s="78"/>
      <c r="CEI188" s="78"/>
      <c r="CEJ188" s="78"/>
      <c r="CEK188" s="78"/>
      <c r="CEL188" s="78"/>
      <c r="CEM188" s="78"/>
      <c r="CEN188" s="78"/>
      <c r="CEO188" s="78"/>
      <c r="CEP188" s="78"/>
      <c r="CEQ188" s="78"/>
      <c r="CER188" s="78"/>
      <c r="CES188" s="78"/>
      <c r="CET188" s="78"/>
      <c r="CEU188" s="78"/>
      <c r="CEV188" s="78"/>
      <c r="CEW188" s="78"/>
      <c r="CEX188" s="78"/>
      <c r="CEY188" s="78"/>
      <c r="CEZ188" s="78"/>
      <c r="CFA188" s="78"/>
      <c r="CFB188" s="78"/>
      <c r="CFC188" s="78"/>
      <c r="CFD188" s="78"/>
      <c r="CFE188" s="78"/>
      <c r="CFF188" s="78"/>
      <c r="CFG188" s="78"/>
      <c r="CFH188" s="78"/>
      <c r="CFI188" s="78"/>
      <c r="CFJ188" s="78"/>
      <c r="CFK188" s="78"/>
      <c r="CFL188" s="78"/>
      <c r="CFM188" s="78"/>
      <c r="CFN188" s="78"/>
      <c r="CFO188" s="78"/>
      <c r="CFP188" s="78"/>
      <c r="CFQ188" s="78"/>
      <c r="CFR188" s="78"/>
      <c r="CFS188" s="78"/>
      <c r="CFT188" s="78"/>
      <c r="CFU188" s="78"/>
      <c r="CFV188" s="78"/>
      <c r="CFW188" s="78"/>
      <c r="CFX188" s="78"/>
      <c r="CFY188" s="78"/>
      <c r="CFZ188" s="78"/>
      <c r="CGA188" s="78"/>
      <c r="CGB188" s="78"/>
      <c r="CGC188" s="78"/>
      <c r="CGD188" s="78"/>
      <c r="CGE188" s="78"/>
      <c r="CGF188" s="78"/>
      <c r="CGG188" s="78"/>
      <c r="CGH188" s="78"/>
      <c r="CGI188" s="78"/>
      <c r="CGJ188" s="78"/>
      <c r="CGK188" s="78"/>
      <c r="CGL188" s="78"/>
      <c r="CGM188" s="78"/>
      <c r="CGN188" s="78"/>
      <c r="CGO188" s="78"/>
      <c r="CGP188" s="78"/>
      <c r="CGQ188" s="78"/>
      <c r="CGR188" s="78"/>
      <c r="CGS188" s="78"/>
      <c r="CGT188" s="78"/>
      <c r="CGU188" s="78"/>
      <c r="CGV188" s="78"/>
      <c r="CGW188" s="78"/>
      <c r="CGX188" s="78"/>
      <c r="CGY188" s="78"/>
      <c r="CGZ188" s="78"/>
      <c r="CHA188" s="78"/>
      <c r="CHB188" s="78"/>
      <c r="CHC188" s="78"/>
      <c r="CHD188" s="78"/>
      <c r="CHE188" s="78"/>
      <c r="CHF188" s="78"/>
      <c r="CHG188" s="78"/>
      <c r="CHH188" s="78"/>
      <c r="CHI188" s="78"/>
      <c r="CHJ188" s="78"/>
      <c r="CHK188" s="78"/>
      <c r="CHL188" s="78"/>
      <c r="CHM188" s="78"/>
      <c r="CHN188" s="78"/>
      <c r="CHO188" s="78"/>
      <c r="CHP188" s="78"/>
      <c r="CHQ188" s="78"/>
      <c r="CHR188" s="78"/>
      <c r="CHS188" s="78"/>
      <c r="CHT188" s="78"/>
      <c r="CHU188" s="78"/>
      <c r="CHV188" s="78"/>
      <c r="CHW188" s="78"/>
      <c r="CHX188" s="78"/>
      <c r="CHY188" s="78"/>
      <c r="CHZ188" s="78"/>
      <c r="CIA188" s="78"/>
      <c r="CIB188" s="78"/>
      <c r="CIC188" s="78"/>
      <c r="CID188" s="78"/>
      <c r="CIE188" s="78"/>
      <c r="CIF188" s="78"/>
      <c r="CIG188" s="78"/>
      <c r="CIH188" s="78"/>
      <c r="CII188" s="78"/>
      <c r="CIJ188" s="78"/>
      <c r="CIK188" s="78"/>
      <c r="CIL188" s="78"/>
      <c r="CIM188" s="78"/>
      <c r="CIN188" s="78"/>
      <c r="CIO188" s="78"/>
      <c r="CIP188" s="78"/>
      <c r="CIQ188" s="78"/>
      <c r="CIR188" s="78"/>
      <c r="CIS188" s="78"/>
      <c r="CIT188" s="78"/>
      <c r="CIU188" s="78"/>
      <c r="CIV188" s="78"/>
      <c r="CIW188" s="78"/>
      <c r="CIX188" s="78"/>
      <c r="CIY188" s="78"/>
      <c r="CIZ188" s="78"/>
      <c r="CJA188" s="78"/>
      <c r="CJB188" s="78"/>
      <c r="CJC188" s="78"/>
      <c r="CJD188" s="78"/>
      <c r="CJE188" s="78"/>
      <c r="CJF188" s="78"/>
      <c r="CJG188" s="78"/>
      <c r="CJH188" s="78"/>
      <c r="CJI188" s="78"/>
      <c r="CJJ188" s="78"/>
      <c r="CJK188" s="78"/>
      <c r="CJL188" s="78"/>
      <c r="CJM188" s="78"/>
      <c r="CJN188" s="78"/>
      <c r="CJO188" s="78"/>
      <c r="CJP188" s="78"/>
      <c r="CJQ188" s="78"/>
      <c r="CJR188" s="78"/>
      <c r="CJS188" s="78"/>
      <c r="CJT188" s="78"/>
      <c r="CJU188" s="78"/>
      <c r="CJV188" s="78"/>
      <c r="CJW188" s="78"/>
      <c r="CJX188" s="78"/>
      <c r="CJY188" s="78"/>
      <c r="CJZ188" s="78"/>
      <c r="CKA188" s="78"/>
      <c r="CKB188" s="78"/>
      <c r="CKC188" s="78"/>
      <c r="CKD188" s="78"/>
      <c r="CKE188" s="78"/>
      <c r="CKF188" s="78"/>
      <c r="CKG188" s="78"/>
      <c r="CKH188" s="78"/>
      <c r="CKI188" s="78"/>
      <c r="CKJ188" s="78"/>
      <c r="CKK188" s="78"/>
      <c r="CKL188" s="78"/>
      <c r="CKM188" s="78"/>
      <c r="CKN188" s="78"/>
      <c r="CKO188" s="78"/>
      <c r="CKP188" s="78"/>
      <c r="CKQ188" s="78"/>
      <c r="CKR188" s="78"/>
      <c r="CKS188" s="78"/>
      <c r="CKT188" s="78"/>
      <c r="CKU188" s="78"/>
      <c r="CKV188" s="78"/>
      <c r="CKW188" s="78"/>
      <c r="CKX188" s="78"/>
      <c r="CKY188" s="78"/>
      <c r="CKZ188" s="78"/>
      <c r="CLA188" s="78"/>
      <c r="CLB188" s="78"/>
      <c r="CLC188" s="78"/>
      <c r="CLD188" s="78"/>
      <c r="CLE188" s="78"/>
      <c r="CLF188" s="78"/>
      <c r="CLG188" s="78"/>
      <c r="CLH188" s="78"/>
      <c r="CLI188" s="78"/>
      <c r="CLJ188" s="78"/>
      <c r="CLK188" s="78"/>
      <c r="CLL188" s="78"/>
      <c r="CLM188" s="78"/>
      <c r="CLN188" s="78"/>
      <c r="CLO188" s="78"/>
      <c r="CLP188" s="78"/>
      <c r="CLQ188" s="78"/>
      <c r="CLR188" s="78"/>
      <c r="CLS188" s="78"/>
      <c r="CLT188" s="78"/>
      <c r="CLU188" s="78"/>
      <c r="CLV188" s="78"/>
      <c r="CLW188" s="78"/>
      <c r="CLX188" s="78"/>
      <c r="CLY188" s="78"/>
      <c r="CLZ188" s="78"/>
      <c r="CMA188" s="78"/>
      <c r="CMB188" s="78"/>
      <c r="CMC188" s="78"/>
      <c r="CMD188" s="78"/>
      <c r="CME188" s="78"/>
      <c r="CMF188" s="78"/>
      <c r="CMG188" s="78"/>
      <c r="CMH188" s="78"/>
      <c r="CMI188" s="78"/>
      <c r="CMJ188" s="78"/>
      <c r="CMK188" s="78"/>
      <c r="CML188" s="78"/>
      <c r="CMM188" s="78"/>
      <c r="CMN188" s="78"/>
      <c r="CMO188" s="78"/>
      <c r="CMP188" s="78"/>
      <c r="CMQ188" s="78"/>
      <c r="CMR188" s="78"/>
      <c r="CMS188" s="78"/>
      <c r="CMT188" s="78"/>
      <c r="CMU188" s="78"/>
      <c r="CMV188" s="78"/>
      <c r="CMW188" s="78"/>
      <c r="CMX188" s="78"/>
      <c r="CMY188" s="78"/>
      <c r="CMZ188" s="78"/>
      <c r="CNA188" s="78"/>
      <c r="CNB188" s="78"/>
      <c r="CNC188" s="78"/>
      <c r="CND188" s="78"/>
      <c r="CNE188" s="78"/>
      <c r="CNF188" s="78"/>
      <c r="CNG188" s="78"/>
      <c r="CNH188" s="78"/>
      <c r="CNI188" s="78"/>
      <c r="CNJ188" s="78"/>
      <c r="CNK188" s="78"/>
      <c r="CNL188" s="78"/>
      <c r="CNM188" s="78"/>
      <c r="CNN188" s="78"/>
      <c r="CNO188" s="78"/>
      <c r="CNP188" s="78"/>
      <c r="CNQ188" s="78"/>
      <c r="CNR188" s="78"/>
      <c r="CNS188" s="78"/>
      <c r="CNT188" s="78"/>
      <c r="CNU188" s="78"/>
      <c r="CNV188" s="78"/>
      <c r="CNW188" s="78"/>
      <c r="CNX188" s="78"/>
      <c r="CNY188" s="78"/>
      <c r="CNZ188" s="78"/>
      <c r="COA188" s="78"/>
      <c r="COB188" s="78"/>
      <c r="COC188" s="78"/>
      <c r="COD188" s="78"/>
      <c r="COE188" s="78"/>
      <c r="COF188" s="78"/>
      <c r="COG188" s="78"/>
      <c r="COH188" s="78"/>
      <c r="COI188" s="78"/>
      <c r="COJ188" s="78"/>
      <c r="COK188" s="78"/>
      <c r="COL188" s="78"/>
      <c r="COM188" s="78"/>
      <c r="CON188" s="78"/>
      <c r="COO188" s="78"/>
      <c r="COP188" s="78"/>
      <c r="COQ188" s="78"/>
      <c r="COR188" s="78"/>
      <c r="COS188" s="78"/>
      <c r="COT188" s="78"/>
      <c r="COU188" s="78"/>
      <c r="COV188" s="78"/>
      <c r="COW188" s="78"/>
      <c r="COX188" s="78"/>
      <c r="COY188" s="78"/>
      <c r="COZ188" s="78"/>
      <c r="CPA188" s="78"/>
      <c r="CPB188" s="78"/>
      <c r="CPC188" s="78"/>
      <c r="CPD188" s="78"/>
      <c r="CPE188" s="78"/>
      <c r="CPF188" s="78"/>
      <c r="CPG188" s="78"/>
      <c r="CPH188" s="78"/>
      <c r="CPI188" s="78"/>
      <c r="CPJ188" s="78"/>
      <c r="CPK188" s="78"/>
      <c r="CPL188" s="78"/>
      <c r="CPM188" s="78"/>
      <c r="CPN188" s="78"/>
      <c r="CPO188" s="78"/>
      <c r="CPP188" s="78"/>
      <c r="CPQ188" s="78"/>
      <c r="CPR188" s="78"/>
      <c r="CPS188" s="78"/>
      <c r="CPT188" s="78"/>
      <c r="CPU188" s="78"/>
      <c r="CPV188" s="78"/>
      <c r="CPW188" s="78"/>
      <c r="CPX188" s="78"/>
      <c r="CPY188" s="78"/>
      <c r="CPZ188" s="78"/>
      <c r="CQA188" s="78"/>
      <c r="CQB188" s="78"/>
      <c r="CQC188" s="78"/>
      <c r="CQD188" s="78"/>
      <c r="CQE188" s="78"/>
      <c r="CQF188" s="78"/>
      <c r="CQG188" s="78"/>
      <c r="CQH188" s="78"/>
      <c r="CQI188" s="78"/>
      <c r="CQJ188" s="78"/>
      <c r="CQK188" s="78"/>
      <c r="CQL188" s="78"/>
      <c r="CQM188" s="78"/>
      <c r="CQN188" s="78"/>
      <c r="CQO188" s="78"/>
      <c r="CQP188" s="78"/>
      <c r="CQQ188" s="78"/>
      <c r="CQR188" s="78"/>
      <c r="CQS188" s="78"/>
      <c r="CQT188" s="78"/>
      <c r="CQU188" s="78"/>
      <c r="CQV188" s="78"/>
      <c r="CQW188" s="78"/>
      <c r="CQX188" s="78"/>
      <c r="CQY188" s="78"/>
      <c r="CQZ188" s="78"/>
      <c r="CRA188" s="78"/>
      <c r="CRB188" s="78"/>
      <c r="CRC188" s="78"/>
      <c r="CRD188" s="78"/>
      <c r="CRE188" s="78"/>
      <c r="CRF188" s="78"/>
      <c r="CRG188" s="78"/>
      <c r="CRH188" s="78"/>
      <c r="CRI188" s="78"/>
      <c r="CRJ188" s="78"/>
      <c r="CRK188" s="78"/>
      <c r="CRL188" s="78"/>
      <c r="CRM188" s="78"/>
      <c r="CRN188" s="78"/>
      <c r="CRO188" s="78"/>
      <c r="CRP188" s="78"/>
      <c r="CRQ188" s="78"/>
      <c r="CRR188" s="78"/>
      <c r="CRS188" s="78"/>
      <c r="CRT188" s="78"/>
      <c r="CRU188" s="78"/>
      <c r="CRV188" s="78"/>
      <c r="CRW188" s="78"/>
      <c r="CRX188" s="78"/>
      <c r="CRY188" s="78"/>
      <c r="CRZ188" s="78"/>
      <c r="CSA188" s="78"/>
      <c r="CSB188" s="78"/>
      <c r="CSC188" s="78"/>
      <c r="CSD188" s="78"/>
      <c r="CSE188" s="78"/>
      <c r="CSF188" s="78"/>
      <c r="CSG188" s="78"/>
      <c r="CSH188" s="78"/>
      <c r="CSI188" s="78"/>
      <c r="CSJ188" s="78"/>
      <c r="CSK188" s="78"/>
      <c r="CSL188" s="78"/>
      <c r="CSM188" s="78"/>
      <c r="CSN188" s="78"/>
      <c r="CSO188" s="78"/>
      <c r="CSP188" s="78"/>
      <c r="CSQ188" s="78"/>
      <c r="CSR188" s="78"/>
      <c r="CSS188" s="78"/>
      <c r="CST188" s="78"/>
      <c r="CSU188" s="78"/>
      <c r="CSV188" s="78"/>
      <c r="CSW188" s="78"/>
      <c r="CSX188" s="78"/>
      <c r="CSY188" s="78"/>
      <c r="CSZ188" s="78"/>
      <c r="CTA188" s="78"/>
      <c r="CTB188" s="78"/>
      <c r="CTC188" s="78"/>
      <c r="CTD188" s="78"/>
      <c r="CTE188" s="78"/>
      <c r="CTF188" s="78"/>
      <c r="CTG188" s="78"/>
      <c r="CTH188" s="78"/>
      <c r="CTI188" s="78"/>
      <c r="CTJ188" s="78"/>
      <c r="CTK188" s="78"/>
      <c r="CTL188" s="78"/>
      <c r="CTM188" s="78"/>
      <c r="CTN188" s="78"/>
      <c r="CTO188" s="78"/>
      <c r="CTP188" s="78"/>
      <c r="CTQ188" s="78"/>
      <c r="CTR188" s="78"/>
      <c r="CTS188" s="78"/>
      <c r="CTT188" s="78"/>
      <c r="CTU188" s="78"/>
      <c r="CTV188" s="78"/>
      <c r="CTW188" s="78"/>
      <c r="CTX188" s="78"/>
      <c r="CTY188" s="78"/>
      <c r="CTZ188" s="78"/>
      <c r="CUA188" s="78"/>
      <c r="CUB188" s="78"/>
      <c r="CUC188" s="78"/>
      <c r="CUD188" s="78"/>
      <c r="CUE188" s="78"/>
      <c r="CUF188" s="78"/>
      <c r="CUG188" s="78"/>
      <c r="CUH188" s="78"/>
      <c r="CUI188" s="78"/>
      <c r="CUJ188" s="78"/>
      <c r="CUK188" s="78"/>
      <c r="CUL188" s="78"/>
      <c r="CUM188" s="78"/>
      <c r="CUN188" s="78"/>
      <c r="CUO188" s="78"/>
      <c r="CUP188" s="78"/>
      <c r="CUQ188" s="78"/>
      <c r="CUR188" s="78"/>
      <c r="CUS188" s="78"/>
      <c r="CUT188" s="78"/>
      <c r="CUU188" s="78"/>
      <c r="CUV188" s="78"/>
      <c r="CUW188" s="78"/>
      <c r="CUX188" s="78"/>
      <c r="CUY188" s="78"/>
      <c r="CUZ188" s="78"/>
      <c r="CVA188" s="78"/>
      <c r="CVB188" s="78"/>
      <c r="CVC188" s="78"/>
      <c r="CVD188" s="78"/>
      <c r="CVE188" s="78"/>
      <c r="CVF188" s="78"/>
      <c r="CVG188" s="78"/>
      <c r="CVH188" s="78"/>
      <c r="CVI188" s="78"/>
      <c r="CVJ188" s="78"/>
      <c r="CVK188" s="78"/>
      <c r="CVL188" s="78"/>
      <c r="CVM188" s="78"/>
      <c r="CVN188" s="78"/>
      <c r="CVO188" s="78"/>
      <c r="CVP188" s="78"/>
      <c r="CVQ188" s="78"/>
      <c r="CVR188" s="78"/>
      <c r="CVS188" s="78"/>
      <c r="CVT188" s="78"/>
      <c r="CVU188" s="78"/>
      <c r="CVV188" s="78"/>
      <c r="CVW188" s="78"/>
      <c r="CVX188" s="78"/>
      <c r="CVY188" s="78"/>
      <c r="CVZ188" s="78"/>
      <c r="CWA188" s="78"/>
      <c r="CWB188" s="78"/>
      <c r="CWC188" s="78"/>
      <c r="CWD188" s="78"/>
      <c r="CWE188" s="78"/>
      <c r="CWF188" s="78"/>
      <c r="CWG188" s="78"/>
      <c r="CWH188" s="78"/>
      <c r="CWI188" s="78"/>
      <c r="CWJ188" s="78"/>
      <c r="CWK188" s="78"/>
      <c r="CWL188" s="78"/>
      <c r="CWM188" s="78"/>
      <c r="CWN188" s="78"/>
      <c r="CWO188" s="78"/>
      <c r="CWP188" s="78"/>
      <c r="CWQ188" s="78"/>
      <c r="CWR188" s="78"/>
      <c r="CWS188" s="78"/>
      <c r="CWT188" s="78"/>
      <c r="CWU188" s="78"/>
      <c r="CWV188" s="78"/>
      <c r="CWW188" s="78"/>
      <c r="CWX188" s="78"/>
      <c r="CWY188" s="78"/>
      <c r="CWZ188" s="78"/>
      <c r="CXA188" s="78"/>
      <c r="CXB188" s="78"/>
      <c r="CXC188" s="78"/>
      <c r="CXD188" s="78"/>
      <c r="CXE188" s="78"/>
      <c r="CXF188" s="78"/>
      <c r="CXG188" s="78"/>
      <c r="CXH188" s="78"/>
      <c r="CXI188" s="78"/>
      <c r="CXJ188" s="78"/>
      <c r="CXK188" s="78"/>
      <c r="CXL188" s="78"/>
      <c r="CXM188" s="78"/>
      <c r="CXN188" s="78"/>
      <c r="CXO188" s="78"/>
      <c r="CXP188" s="78"/>
      <c r="CXQ188" s="78"/>
      <c r="CXR188" s="78"/>
      <c r="CXS188" s="78"/>
      <c r="CXT188" s="78"/>
      <c r="CXU188" s="78"/>
      <c r="CXV188" s="78"/>
      <c r="CXW188" s="78"/>
      <c r="CXX188" s="78"/>
      <c r="CXY188" s="78"/>
      <c r="CXZ188" s="78"/>
      <c r="CYA188" s="78"/>
      <c r="CYB188" s="78"/>
      <c r="CYC188" s="78"/>
      <c r="CYD188" s="78"/>
      <c r="CYE188" s="78"/>
      <c r="CYF188" s="78"/>
      <c r="CYG188" s="78"/>
      <c r="CYH188" s="78"/>
      <c r="CYI188" s="78"/>
      <c r="CYJ188" s="78"/>
      <c r="CYK188" s="78"/>
      <c r="CYL188" s="78"/>
      <c r="CYM188" s="78"/>
      <c r="CYN188" s="78"/>
      <c r="CYO188" s="78"/>
      <c r="CYP188" s="78"/>
      <c r="CYQ188" s="78"/>
      <c r="CYR188" s="78"/>
      <c r="CYS188" s="78"/>
      <c r="CYT188" s="78"/>
      <c r="CYU188" s="78"/>
      <c r="CYV188" s="78"/>
      <c r="CYW188" s="78"/>
      <c r="CYX188" s="78"/>
      <c r="CYY188" s="78"/>
      <c r="CYZ188" s="78"/>
      <c r="CZA188" s="78"/>
      <c r="CZB188" s="78"/>
      <c r="CZC188" s="78"/>
      <c r="CZD188" s="78"/>
      <c r="CZE188" s="78"/>
      <c r="CZF188" s="78"/>
      <c r="CZG188" s="78"/>
      <c r="CZH188" s="78"/>
      <c r="CZI188" s="78"/>
      <c r="CZJ188" s="78"/>
      <c r="CZK188" s="78"/>
      <c r="CZL188" s="78"/>
      <c r="CZM188" s="78"/>
      <c r="CZN188" s="78"/>
      <c r="CZO188" s="78"/>
      <c r="CZP188" s="78"/>
      <c r="CZQ188" s="78"/>
      <c r="CZR188" s="78"/>
      <c r="CZS188" s="78"/>
      <c r="CZT188" s="78"/>
      <c r="CZU188" s="78"/>
      <c r="CZV188" s="78"/>
      <c r="CZW188" s="78"/>
      <c r="CZX188" s="78"/>
      <c r="CZY188" s="78"/>
      <c r="CZZ188" s="78"/>
      <c r="DAA188" s="78"/>
      <c r="DAB188" s="78"/>
      <c r="DAC188" s="78"/>
      <c r="DAD188" s="78"/>
      <c r="DAE188" s="78"/>
      <c r="DAF188" s="78"/>
      <c r="DAG188" s="78"/>
      <c r="DAH188" s="78"/>
      <c r="DAI188" s="78"/>
      <c r="DAJ188" s="78"/>
      <c r="DAK188" s="78"/>
      <c r="DAL188" s="78"/>
      <c r="DAM188" s="78"/>
      <c r="DAN188" s="78"/>
      <c r="DAO188" s="78"/>
      <c r="DAP188" s="78"/>
      <c r="DAQ188" s="78"/>
      <c r="DAR188" s="78"/>
      <c r="DAS188" s="78"/>
      <c r="DAT188" s="78"/>
      <c r="DAU188" s="78"/>
      <c r="DAV188" s="78"/>
      <c r="DAW188" s="78"/>
      <c r="DAX188" s="78"/>
      <c r="DAY188" s="78"/>
      <c r="DAZ188" s="78"/>
      <c r="DBA188" s="78"/>
      <c r="DBB188" s="78"/>
      <c r="DBC188" s="78"/>
      <c r="DBD188" s="78"/>
      <c r="DBE188" s="78"/>
      <c r="DBF188" s="78"/>
      <c r="DBG188" s="78"/>
      <c r="DBH188" s="78"/>
      <c r="DBI188" s="78"/>
      <c r="DBJ188" s="78"/>
      <c r="DBK188" s="78"/>
      <c r="DBL188" s="78"/>
      <c r="DBM188" s="78"/>
      <c r="DBN188" s="78"/>
      <c r="DBO188" s="78"/>
      <c r="DBP188" s="78"/>
      <c r="DBQ188" s="78"/>
      <c r="DBR188" s="78"/>
      <c r="DBS188" s="78"/>
      <c r="DBT188" s="78"/>
      <c r="DBU188" s="78"/>
      <c r="DBV188" s="78"/>
      <c r="DBW188" s="78"/>
      <c r="DBX188" s="78"/>
      <c r="DBY188" s="78"/>
      <c r="DBZ188" s="78"/>
      <c r="DCA188" s="78"/>
      <c r="DCB188" s="78"/>
      <c r="DCC188" s="78"/>
      <c r="DCD188" s="78"/>
      <c r="DCE188" s="78"/>
      <c r="DCF188" s="78"/>
      <c r="DCG188" s="78"/>
      <c r="DCH188" s="78"/>
      <c r="DCI188" s="78"/>
      <c r="DCJ188" s="78"/>
      <c r="DCK188" s="78"/>
      <c r="DCL188" s="78"/>
      <c r="DCM188" s="78"/>
      <c r="DCN188" s="78"/>
      <c r="DCO188" s="78"/>
      <c r="DCP188" s="78"/>
      <c r="DCQ188" s="78"/>
      <c r="DCR188" s="78"/>
      <c r="DCS188" s="78"/>
      <c r="DCT188" s="78"/>
      <c r="DCU188" s="78"/>
      <c r="DCV188" s="78"/>
      <c r="DCW188" s="78"/>
      <c r="DCX188" s="78"/>
      <c r="DCY188" s="78"/>
      <c r="DCZ188" s="78"/>
      <c r="DDA188" s="78"/>
      <c r="DDB188" s="78"/>
      <c r="DDC188" s="78"/>
      <c r="DDD188" s="78"/>
      <c r="DDE188" s="78"/>
      <c r="DDF188" s="78"/>
      <c r="DDG188" s="78"/>
      <c r="DDH188" s="78"/>
      <c r="DDI188" s="78"/>
      <c r="DDJ188" s="78"/>
      <c r="DDK188" s="78"/>
      <c r="DDL188" s="78"/>
      <c r="DDM188" s="78"/>
      <c r="DDN188" s="78"/>
      <c r="DDO188" s="78"/>
      <c r="DDP188" s="78"/>
      <c r="DDQ188" s="78"/>
      <c r="DDR188" s="78"/>
      <c r="DDS188" s="78"/>
      <c r="DDT188" s="78"/>
      <c r="DDU188" s="78"/>
      <c r="DDV188" s="78"/>
      <c r="DDW188" s="78"/>
      <c r="DDX188" s="78"/>
      <c r="DDY188" s="78"/>
      <c r="DDZ188" s="78"/>
      <c r="DEA188" s="78"/>
      <c r="DEB188" s="78"/>
      <c r="DEC188" s="78"/>
      <c r="DED188" s="78"/>
      <c r="DEE188" s="78"/>
      <c r="DEF188" s="78"/>
      <c r="DEG188" s="78"/>
      <c r="DEH188" s="78"/>
      <c r="DEI188" s="78"/>
      <c r="DEJ188" s="78"/>
      <c r="DEK188" s="78"/>
      <c r="DEL188" s="78"/>
      <c r="DEM188" s="78"/>
      <c r="DEN188" s="78"/>
      <c r="DEO188" s="78"/>
      <c r="DEP188" s="78"/>
      <c r="DEQ188" s="78"/>
      <c r="DER188" s="78"/>
      <c r="DES188" s="78"/>
      <c r="DET188" s="78"/>
      <c r="DEU188" s="78"/>
      <c r="DEV188" s="78"/>
      <c r="DEW188" s="78"/>
      <c r="DEX188" s="78"/>
      <c r="DEY188" s="78"/>
      <c r="DEZ188" s="78"/>
      <c r="DFA188" s="78"/>
      <c r="DFB188" s="78"/>
      <c r="DFC188" s="78"/>
      <c r="DFD188" s="78"/>
      <c r="DFE188" s="78"/>
      <c r="DFF188" s="78"/>
      <c r="DFG188" s="78"/>
      <c r="DFH188" s="78"/>
      <c r="DFI188" s="78"/>
      <c r="DFJ188" s="78"/>
      <c r="DFK188" s="78"/>
      <c r="DFL188" s="78"/>
      <c r="DFM188" s="78"/>
      <c r="DFN188" s="78"/>
      <c r="DFO188" s="78"/>
      <c r="DFP188" s="78"/>
      <c r="DFQ188" s="78"/>
      <c r="DFR188" s="78"/>
      <c r="DFS188" s="78"/>
      <c r="DFT188" s="78"/>
      <c r="DFU188" s="78"/>
      <c r="DFV188" s="78"/>
      <c r="DFW188" s="78"/>
      <c r="DFX188" s="78"/>
      <c r="DFY188" s="78"/>
      <c r="DFZ188" s="78"/>
      <c r="DGA188" s="78"/>
      <c r="DGB188" s="78"/>
      <c r="DGC188" s="78"/>
      <c r="DGD188" s="78"/>
      <c r="DGE188" s="78"/>
      <c r="DGF188" s="78"/>
      <c r="DGG188" s="78"/>
      <c r="DGH188" s="78"/>
      <c r="DGI188" s="78"/>
      <c r="DGJ188" s="78"/>
      <c r="DGK188" s="78"/>
      <c r="DGL188" s="78"/>
      <c r="DGM188" s="78"/>
      <c r="DGN188" s="78"/>
      <c r="DGO188" s="78"/>
      <c r="DGP188" s="78"/>
      <c r="DGQ188" s="78"/>
      <c r="DGR188" s="78"/>
      <c r="DGS188" s="78"/>
      <c r="DGT188" s="78"/>
      <c r="DGU188" s="78"/>
      <c r="DGV188" s="78"/>
      <c r="DGW188" s="78"/>
      <c r="DGX188" s="78"/>
      <c r="DGY188" s="78"/>
      <c r="DGZ188" s="78"/>
      <c r="DHA188" s="78"/>
      <c r="DHB188" s="78"/>
      <c r="DHC188" s="78"/>
      <c r="DHD188" s="78"/>
      <c r="DHE188" s="78"/>
      <c r="DHF188" s="78"/>
      <c r="DHG188" s="78"/>
      <c r="DHH188" s="78"/>
      <c r="DHI188" s="78"/>
      <c r="DHJ188" s="78"/>
      <c r="DHK188" s="78"/>
      <c r="DHL188" s="78"/>
      <c r="DHM188" s="78"/>
      <c r="DHN188" s="78"/>
      <c r="DHO188" s="78"/>
      <c r="DHP188" s="78"/>
      <c r="DHQ188" s="78"/>
      <c r="DHR188" s="78"/>
      <c r="DHS188" s="78"/>
      <c r="DHT188" s="78"/>
      <c r="DHU188" s="78"/>
      <c r="DHV188" s="78"/>
      <c r="DHW188" s="78"/>
      <c r="DHX188" s="78"/>
      <c r="DHY188" s="78"/>
      <c r="DHZ188" s="78"/>
      <c r="DIA188" s="78"/>
      <c r="DIB188" s="78"/>
      <c r="DIC188" s="78"/>
      <c r="DID188" s="78"/>
      <c r="DIE188" s="78"/>
      <c r="DIF188" s="78"/>
      <c r="DIG188" s="78"/>
      <c r="DIH188" s="78"/>
      <c r="DII188" s="78"/>
      <c r="DIJ188" s="78"/>
      <c r="DIK188" s="78"/>
      <c r="DIL188" s="78"/>
      <c r="DIM188" s="78"/>
      <c r="DIN188" s="78"/>
      <c r="DIO188" s="78"/>
      <c r="DIP188" s="78"/>
      <c r="DIQ188" s="78"/>
      <c r="DIR188" s="78"/>
      <c r="DIS188" s="78"/>
      <c r="DIT188" s="78"/>
      <c r="DIU188" s="78"/>
      <c r="DIV188" s="78"/>
      <c r="DIW188" s="78"/>
      <c r="DIX188" s="78"/>
      <c r="DIY188" s="78"/>
      <c r="DIZ188" s="78"/>
      <c r="DJA188" s="78"/>
      <c r="DJB188" s="78"/>
      <c r="DJC188" s="78"/>
      <c r="DJD188" s="78"/>
      <c r="DJE188" s="78"/>
      <c r="DJF188" s="78"/>
      <c r="DJG188" s="78"/>
      <c r="DJH188" s="78"/>
      <c r="DJI188" s="78"/>
      <c r="DJJ188" s="78"/>
      <c r="DJK188" s="78"/>
      <c r="DJL188" s="78"/>
      <c r="DJM188" s="78"/>
      <c r="DJN188" s="78"/>
      <c r="DJO188" s="78"/>
      <c r="DJP188" s="78"/>
      <c r="DJQ188" s="78"/>
      <c r="DJR188" s="78"/>
      <c r="DJS188" s="78"/>
      <c r="DJT188" s="78"/>
      <c r="DJU188" s="78"/>
      <c r="DJV188" s="78"/>
      <c r="DJW188" s="78"/>
      <c r="DJX188" s="78"/>
      <c r="DJY188" s="78"/>
      <c r="DJZ188" s="78"/>
      <c r="DKA188" s="78"/>
      <c r="DKB188" s="78"/>
      <c r="DKC188" s="78"/>
      <c r="DKD188" s="78"/>
      <c r="DKE188" s="78"/>
      <c r="DKF188" s="78"/>
      <c r="DKG188" s="78"/>
      <c r="DKH188" s="78"/>
      <c r="DKI188" s="78"/>
      <c r="DKJ188" s="78"/>
      <c r="DKK188" s="78"/>
      <c r="DKL188" s="78"/>
      <c r="DKM188" s="78"/>
      <c r="DKN188" s="78"/>
      <c r="DKO188" s="78"/>
      <c r="DKP188" s="78"/>
      <c r="DKQ188" s="78"/>
      <c r="DKR188" s="78"/>
      <c r="DKS188" s="78"/>
      <c r="DKT188" s="78"/>
      <c r="DKU188" s="78"/>
      <c r="DKV188" s="78"/>
      <c r="DKW188" s="78"/>
      <c r="DKX188" s="78"/>
      <c r="DKY188" s="78"/>
      <c r="DKZ188" s="78"/>
      <c r="DLA188" s="78"/>
      <c r="DLB188" s="78"/>
      <c r="DLC188" s="78"/>
      <c r="DLD188" s="78"/>
      <c r="DLE188" s="78"/>
      <c r="DLF188" s="78"/>
      <c r="DLG188" s="78"/>
      <c r="DLH188" s="78"/>
      <c r="DLI188" s="78"/>
      <c r="DLJ188" s="78"/>
      <c r="DLK188" s="78"/>
      <c r="DLL188" s="78"/>
      <c r="DLM188" s="78"/>
      <c r="DLN188" s="78"/>
      <c r="DLO188" s="78"/>
      <c r="DLP188" s="78"/>
      <c r="DLQ188" s="78"/>
      <c r="DLR188" s="78"/>
      <c r="DLS188" s="78"/>
      <c r="DLT188" s="78"/>
      <c r="DLU188" s="78"/>
      <c r="DLV188" s="78"/>
      <c r="DLW188" s="78"/>
      <c r="DLX188" s="78"/>
      <c r="DLY188" s="78"/>
      <c r="DLZ188" s="78"/>
      <c r="DMA188" s="78"/>
      <c r="DMB188" s="78"/>
      <c r="DMC188" s="78"/>
      <c r="DMD188" s="78"/>
      <c r="DME188" s="78"/>
      <c r="DMF188" s="78"/>
      <c r="DMG188" s="78"/>
      <c r="DMH188" s="78"/>
      <c r="DMI188" s="78"/>
      <c r="DMJ188" s="78"/>
      <c r="DMK188" s="78"/>
      <c r="DML188" s="78"/>
      <c r="DMM188" s="78"/>
      <c r="DMN188" s="78"/>
      <c r="DMO188" s="78"/>
      <c r="DMP188" s="78"/>
      <c r="DMQ188" s="78"/>
      <c r="DMR188" s="78"/>
      <c r="DMS188" s="78"/>
      <c r="DMT188" s="78"/>
      <c r="DMU188" s="78"/>
      <c r="DMV188" s="78"/>
      <c r="DMW188" s="78"/>
      <c r="DMX188" s="78"/>
      <c r="DMY188" s="78"/>
      <c r="DMZ188" s="78"/>
      <c r="DNA188" s="78"/>
      <c r="DNB188" s="78"/>
      <c r="DNC188" s="78"/>
      <c r="DND188" s="78"/>
      <c r="DNE188" s="78"/>
      <c r="DNF188" s="78"/>
      <c r="DNG188" s="78"/>
      <c r="DNH188" s="78"/>
      <c r="DNI188" s="78"/>
      <c r="DNJ188" s="78"/>
      <c r="DNK188" s="78"/>
      <c r="DNL188" s="78"/>
      <c r="DNM188" s="78"/>
      <c r="DNN188" s="78"/>
      <c r="DNO188" s="78"/>
      <c r="DNP188" s="78"/>
      <c r="DNQ188" s="78"/>
      <c r="DNR188" s="78"/>
      <c r="DNS188" s="78"/>
      <c r="DNT188" s="78"/>
      <c r="DNU188" s="78"/>
      <c r="DNV188" s="78"/>
      <c r="DNW188" s="78"/>
      <c r="DNX188" s="78"/>
      <c r="DNY188" s="78"/>
      <c r="DNZ188" s="78"/>
      <c r="DOA188" s="78"/>
      <c r="DOB188" s="78"/>
      <c r="DOC188" s="78"/>
      <c r="DOD188" s="78"/>
      <c r="DOE188" s="78"/>
      <c r="DOF188" s="78"/>
      <c r="DOG188" s="78"/>
      <c r="DOH188" s="78"/>
      <c r="DOI188" s="78"/>
      <c r="DOJ188" s="78"/>
      <c r="DOK188" s="78"/>
      <c r="DOL188" s="78"/>
      <c r="DOM188" s="78"/>
      <c r="DON188" s="78"/>
      <c r="DOO188" s="78"/>
      <c r="DOP188" s="78"/>
      <c r="DOQ188" s="78"/>
      <c r="DOR188" s="78"/>
      <c r="DOS188" s="78"/>
      <c r="DOT188" s="78"/>
      <c r="DOU188" s="78"/>
      <c r="DOV188" s="78"/>
      <c r="DOW188" s="78"/>
      <c r="DOX188" s="78"/>
      <c r="DOY188" s="78"/>
      <c r="DOZ188" s="78"/>
      <c r="DPA188" s="78"/>
      <c r="DPB188" s="78"/>
      <c r="DPC188" s="78"/>
      <c r="DPD188" s="78"/>
      <c r="DPE188" s="78"/>
      <c r="DPF188" s="78"/>
      <c r="DPG188" s="78"/>
      <c r="DPH188" s="78"/>
      <c r="DPI188" s="78"/>
      <c r="DPJ188" s="78"/>
      <c r="DPK188" s="78"/>
      <c r="DPL188" s="78"/>
      <c r="DPM188" s="78"/>
      <c r="DPN188" s="78"/>
      <c r="DPO188" s="78"/>
      <c r="DPP188" s="78"/>
      <c r="DPQ188" s="78"/>
      <c r="DPR188" s="78"/>
      <c r="DPS188" s="78"/>
      <c r="DPT188" s="78"/>
      <c r="DPU188" s="78"/>
      <c r="DPV188" s="78"/>
      <c r="DPW188" s="78"/>
      <c r="DPX188" s="78"/>
      <c r="DPY188" s="78"/>
      <c r="DPZ188" s="78"/>
      <c r="DQA188" s="78"/>
      <c r="DQB188" s="78"/>
      <c r="DQC188" s="78"/>
      <c r="DQD188" s="78"/>
      <c r="DQE188" s="78"/>
      <c r="DQF188" s="78"/>
      <c r="DQG188" s="78"/>
      <c r="DQH188" s="78"/>
      <c r="DQI188" s="78"/>
      <c r="DQJ188" s="78"/>
      <c r="DQK188" s="78"/>
      <c r="DQL188" s="78"/>
      <c r="DQM188" s="78"/>
      <c r="DQN188" s="78"/>
      <c r="DQO188" s="78"/>
      <c r="DQP188" s="78"/>
      <c r="DQQ188" s="78"/>
      <c r="DQR188" s="78"/>
      <c r="DQS188" s="78"/>
      <c r="DQT188" s="78"/>
      <c r="DQU188" s="78"/>
      <c r="DQV188" s="78"/>
      <c r="DQW188" s="78"/>
      <c r="DQX188" s="78"/>
      <c r="DQY188" s="78"/>
      <c r="DQZ188" s="78"/>
      <c r="DRA188" s="78"/>
      <c r="DRB188" s="78"/>
      <c r="DRC188" s="78"/>
      <c r="DRD188" s="78"/>
      <c r="DRE188" s="78"/>
      <c r="DRF188" s="78"/>
      <c r="DRG188" s="78"/>
      <c r="DRH188" s="78"/>
      <c r="DRI188" s="78"/>
      <c r="DRJ188" s="78"/>
      <c r="DRK188" s="78"/>
      <c r="DRL188" s="78"/>
      <c r="DRM188" s="78"/>
      <c r="DRN188" s="78"/>
      <c r="DRO188" s="78"/>
      <c r="DRP188" s="78"/>
      <c r="DRQ188" s="78"/>
      <c r="DRR188" s="78"/>
      <c r="DRS188" s="78"/>
      <c r="DRT188" s="78"/>
      <c r="DRU188" s="78"/>
      <c r="DRV188" s="78"/>
      <c r="DRW188" s="78"/>
      <c r="DRX188" s="78"/>
      <c r="DRY188" s="78"/>
      <c r="DRZ188" s="78"/>
      <c r="DSA188" s="78"/>
      <c r="DSB188" s="78"/>
      <c r="DSC188" s="78"/>
      <c r="DSD188" s="78"/>
      <c r="DSE188" s="78"/>
      <c r="DSF188" s="78"/>
      <c r="DSG188" s="78"/>
      <c r="DSH188" s="78"/>
      <c r="DSI188" s="78"/>
      <c r="DSJ188" s="78"/>
      <c r="DSK188" s="78"/>
      <c r="DSL188" s="78"/>
      <c r="DSM188" s="78"/>
      <c r="DSN188" s="78"/>
      <c r="DSO188" s="78"/>
      <c r="DSP188" s="78"/>
      <c r="DSQ188" s="78"/>
      <c r="DSR188" s="78"/>
      <c r="DSS188" s="78"/>
      <c r="DST188" s="78"/>
      <c r="DSU188" s="78"/>
      <c r="DSV188" s="78"/>
      <c r="DSW188" s="78"/>
      <c r="DSX188" s="78"/>
      <c r="DSY188" s="78"/>
      <c r="DSZ188" s="78"/>
      <c r="DTA188" s="78"/>
      <c r="DTB188" s="78"/>
      <c r="DTC188" s="78"/>
      <c r="DTD188" s="78"/>
      <c r="DTE188" s="78"/>
      <c r="DTF188" s="78"/>
      <c r="DTG188" s="78"/>
      <c r="DTH188" s="78"/>
      <c r="DTI188" s="78"/>
      <c r="DTJ188" s="78"/>
      <c r="DTK188" s="78"/>
      <c r="DTL188" s="78"/>
      <c r="DTM188" s="78"/>
      <c r="DTN188" s="78"/>
      <c r="DTO188" s="78"/>
      <c r="DTP188" s="78"/>
      <c r="DTQ188" s="78"/>
      <c r="DTR188" s="78"/>
      <c r="DTS188" s="78"/>
      <c r="DTT188" s="78"/>
      <c r="DTU188" s="78"/>
      <c r="DTV188" s="78"/>
      <c r="DTW188" s="78"/>
      <c r="DTX188" s="78"/>
      <c r="DTY188" s="78"/>
      <c r="DTZ188" s="78"/>
      <c r="DUA188" s="78"/>
      <c r="DUB188" s="78"/>
      <c r="DUC188" s="78"/>
      <c r="DUD188" s="78"/>
      <c r="DUE188" s="78"/>
      <c r="DUF188" s="78"/>
      <c r="DUG188" s="78"/>
      <c r="DUH188" s="78"/>
      <c r="DUI188" s="78"/>
      <c r="DUJ188" s="78"/>
      <c r="DUK188" s="78"/>
      <c r="DUL188" s="78"/>
      <c r="DUM188" s="78"/>
      <c r="DUN188" s="78"/>
      <c r="DUO188" s="78"/>
      <c r="DUP188" s="78"/>
      <c r="DUQ188" s="78"/>
      <c r="DUR188" s="78"/>
      <c r="DUS188" s="78"/>
      <c r="DUT188" s="78"/>
      <c r="DUU188" s="78"/>
      <c r="DUV188" s="78"/>
      <c r="DUW188" s="78"/>
      <c r="DUX188" s="78"/>
      <c r="DUY188" s="78"/>
      <c r="DUZ188" s="78"/>
      <c r="DVA188" s="78"/>
      <c r="DVB188" s="78"/>
      <c r="DVC188" s="78"/>
      <c r="DVD188" s="78"/>
      <c r="DVE188" s="78"/>
      <c r="DVF188" s="78"/>
      <c r="DVG188" s="78"/>
      <c r="DVH188" s="78"/>
      <c r="DVI188" s="78"/>
      <c r="DVJ188" s="78"/>
      <c r="DVK188" s="78"/>
      <c r="DVL188" s="78"/>
      <c r="DVM188" s="78"/>
      <c r="DVN188" s="78"/>
      <c r="DVO188" s="78"/>
      <c r="DVP188" s="78"/>
      <c r="DVQ188" s="78"/>
      <c r="DVR188" s="78"/>
      <c r="DVS188" s="78"/>
      <c r="DVT188" s="78"/>
      <c r="DVU188" s="78"/>
      <c r="DVV188" s="78"/>
      <c r="DVW188" s="78"/>
      <c r="DVX188" s="78"/>
      <c r="DVY188" s="78"/>
      <c r="DVZ188" s="78"/>
      <c r="DWA188" s="78"/>
      <c r="DWB188" s="78"/>
      <c r="DWC188" s="78"/>
      <c r="DWD188" s="78"/>
      <c r="DWE188" s="78"/>
      <c r="DWF188" s="78"/>
      <c r="DWG188" s="78"/>
      <c r="DWH188" s="78"/>
      <c r="DWI188" s="78"/>
      <c r="DWJ188" s="78"/>
      <c r="DWK188" s="78"/>
      <c r="DWL188" s="78"/>
      <c r="DWM188" s="78"/>
      <c r="DWN188" s="78"/>
      <c r="DWO188" s="78"/>
      <c r="DWP188" s="78"/>
      <c r="DWQ188" s="78"/>
      <c r="DWR188" s="78"/>
      <c r="DWS188" s="78"/>
      <c r="DWT188" s="78"/>
      <c r="DWU188" s="78"/>
      <c r="DWV188" s="78"/>
      <c r="DWW188" s="78"/>
      <c r="DWX188" s="78"/>
      <c r="DWY188" s="78"/>
      <c r="DWZ188" s="78"/>
      <c r="DXA188" s="78"/>
      <c r="DXB188" s="78"/>
      <c r="DXC188" s="78"/>
      <c r="DXD188" s="78"/>
      <c r="DXE188" s="78"/>
      <c r="DXF188" s="78"/>
      <c r="DXG188" s="78"/>
      <c r="DXH188" s="78"/>
      <c r="DXI188" s="78"/>
      <c r="DXJ188" s="78"/>
      <c r="DXK188" s="78"/>
      <c r="DXL188" s="78"/>
      <c r="DXM188" s="78"/>
      <c r="DXN188" s="78"/>
      <c r="DXO188" s="78"/>
      <c r="DXP188" s="78"/>
      <c r="DXQ188" s="78"/>
      <c r="DXR188" s="78"/>
      <c r="DXS188" s="78"/>
      <c r="DXT188" s="78"/>
      <c r="DXU188" s="78"/>
      <c r="DXV188" s="78"/>
      <c r="DXW188" s="78"/>
      <c r="DXX188" s="78"/>
      <c r="DXY188" s="78"/>
      <c r="DXZ188" s="78"/>
      <c r="DYA188" s="78"/>
      <c r="DYB188" s="78"/>
      <c r="DYC188" s="78"/>
      <c r="DYD188" s="78"/>
      <c r="DYE188" s="78"/>
      <c r="DYF188" s="78"/>
      <c r="DYG188" s="78"/>
      <c r="DYH188" s="78"/>
      <c r="DYI188" s="78"/>
      <c r="DYJ188" s="78"/>
      <c r="DYK188" s="78"/>
      <c r="DYL188" s="78"/>
      <c r="DYM188" s="78"/>
      <c r="DYN188" s="78"/>
      <c r="DYO188" s="78"/>
      <c r="DYP188" s="78"/>
      <c r="DYQ188" s="78"/>
      <c r="DYR188" s="78"/>
      <c r="DYS188" s="78"/>
      <c r="DYT188" s="78"/>
      <c r="DYU188" s="78"/>
      <c r="DYV188" s="78"/>
      <c r="DYW188" s="78"/>
      <c r="DYX188" s="78"/>
      <c r="DYY188" s="78"/>
      <c r="DYZ188" s="78"/>
      <c r="DZA188" s="78"/>
      <c r="DZB188" s="78"/>
      <c r="DZC188" s="78"/>
      <c r="DZD188" s="78"/>
      <c r="DZE188" s="78"/>
      <c r="DZF188" s="78"/>
      <c r="DZG188" s="78"/>
      <c r="DZH188" s="78"/>
      <c r="DZI188" s="78"/>
      <c r="DZJ188" s="78"/>
      <c r="DZK188" s="78"/>
      <c r="DZL188" s="78"/>
      <c r="DZM188" s="78"/>
      <c r="DZN188" s="78"/>
      <c r="DZO188" s="78"/>
      <c r="DZP188" s="78"/>
      <c r="DZQ188" s="78"/>
      <c r="DZR188" s="78"/>
      <c r="DZS188" s="78"/>
      <c r="DZT188" s="78"/>
      <c r="DZU188" s="78"/>
      <c r="DZV188" s="78"/>
      <c r="DZW188" s="78"/>
      <c r="DZX188" s="78"/>
      <c r="DZY188" s="78"/>
      <c r="DZZ188" s="78"/>
      <c r="EAA188" s="78"/>
      <c r="EAB188" s="78"/>
      <c r="EAC188" s="78"/>
      <c r="EAD188" s="78"/>
      <c r="EAE188" s="78"/>
      <c r="EAF188" s="78"/>
      <c r="EAG188" s="78"/>
      <c r="EAH188" s="78"/>
      <c r="EAI188" s="78"/>
      <c r="EAJ188" s="78"/>
      <c r="EAK188" s="78"/>
      <c r="EAL188" s="78"/>
      <c r="EAM188" s="78"/>
      <c r="EAN188" s="78"/>
      <c r="EAO188" s="78"/>
      <c r="EAP188" s="78"/>
      <c r="EAQ188" s="78"/>
      <c r="EAR188" s="78"/>
      <c r="EAS188" s="78"/>
      <c r="EAT188" s="78"/>
      <c r="EAU188" s="78"/>
      <c r="EAV188" s="78"/>
      <c r="EAW188" s="78"/>
      <c r="EAX188" s="78"/>
      <c r="EAY188" s="78"/>
      <c r="EAZ188" s="78"/>
      <c r="EBA188" s="78"/>
      <c r="EBB188" s="78"/>
      <c r="EBC188" s="78"/>
      <c r="EBD188" s="78"/>
      <c r="EBE188" s="78"/>
      <c r="EBF188" s="78"/>
      <c r="EBG188" s="78"/>
      <c r="EBH188" s="78"/>
      <c r="EBI188" s="78"/>
      <c r="EBJ188" s="78"/>
      <c r="EBK188" s="78"/>
      <c r="EBL188" s="78"/>
      <c r="EBM188" s="78"/>
      <c r="EBN188" s="78"/>
      <c r="EBO188" s="78"/>
      <c r="EBP188" s="78"/>
      <c r="EBQ188" s="78"/>
      <c r="EBR188" s="78"/>
      <c r="EBS188" s="78"/>
      <c r="EBT188" s="78"/>
      <c r="EBU188" s="78"/>
      <c r="EBV188" s="78"/>
      <c r="EBW188" s="78"/>
      <c r="EBX188" s="78"/>
      <c r="EBY188" s="78"/>
      <c r="EBZ188" s="78"/>
      <c r="ECA188" s="78"/>
      <c r="ECB188" s="78"/>
      <c r="ECC188" s="78"/>
      <c r="ECD188" s="78"/>
      <c r="ECE188" s="78"/>
      <c r="ECF188" s="78"/>
      <c r="ECG188" s="78"/>
      <c r="ECH188" s="78"/>
      <c r="ECI188" s="78"/>
      <c r="ECJ188" s="78"/>
      <c r="ECK188" s="78"/>
      <c r="ECL188" s="78"/>
      <c r="ECM188" s="78"/>
      <c r="ECN188" s="78"/>
      <c r="ECO188" s="78"/>
      <c r="ECP188" s="78"/>
      <c r="ECQ188" s="78"/>
      <c r="ECR188" s="78"/>
      <c r="ECS188" s="78"/>
      <c r="ECT188" s="78"/>
      <c r="ECU188" s="78"/>
      <c r="ECV188" s="78"/>
      <c r="ECW188" s="78"/>
      <c r="ECX188" s="78"/>
      <c r="ECY188" s="78"/>
      <c r="ECZ188" s="78"/>
      <c r="EDA188" s="78"/>
      <c r="EDB188" s="78"/>
      <c r="EDC188" s="78"/>
      <c r="EDD188" s="78"/>
      <c r="EDE188" s="78"/>
      <c r="EDF188" s="78"/>
      <c r="EDG188" s="78"/>
      <c r="EDH188" s="78"/>
      <c r="EDI188" s="78"/>
      <c r="EDJ188" s="78"/>
      <c r="EDK188" s="78"/>
      <c r="EDL188" s="78"/>
      <c r="EDM188" s="78"/>
      <c r="EDN188" s="78"/>
      <c r="EDO188" s="78"/>
      <c r="EDP188" s="78"/>
      <c r="EDQ188" s="78"/>
      <c r="EDR188" s="78"/>
      <c r="EDS188" s="78"/>
      <c r="EDT188" s="78"/>
      <c r="EDU188" s="78"/>
      <c r="EDV188" s="78"/>
      <c r="EDW188" s="78"/>
      <c r="EDX188" s="78"/>
      <c r="EDY188" s="78"/>
      <c r="EDZ188" s="78"/>
      <c r="EEA188" s="78"/>
      <c r="EEB188" s="78"/>
      <c r="EEC188" s="78"/>
      <c r="EED188" s="78"/>
      <c r="EEE188" s="78"/>
      <c r="EEF188" s="78"/>
      <c r="EEG188" s="78"/>
      <c r="EEH188" s="78"/>
      <c r="EEI188" s="78"/>
      <c r="EEJ188" s="78"/>
      <c r="EEK188" s="78"/>
      <c r="EEL188" s="78"/>
      <c r="EEM188" s="78"/>
      <c r="EEN188" s="78"/>
      <c r="EEO188" s="78"/>
      <c r="EEP188" s="78"/>
      <c r="EEQ188" s="78"/>
      <c r="EER188" s="78"/>
      <c r="EES188" s="78"/>
      <c r="EET188" s="78"/>
      <c r="EEU188" s="78"/>
      <c r="EEV188" s="78"/>
      <c r="EEW188" s="78"/>
      <c r="EEX188" s="78"/>
      <c r="EEY188" s="78"/>
      <c r="EEZ188" s="78"/>
      <c r="EFA188" s="78"/>
      <c r="EFB188" s="78"/>
      <c r="EFC188" s="78"/>
      <c r="EFD188" s="78"/>
      <c r="EFE188" s="78"/>
      <c r="EFF188" s="78"/>
      <c r="EFG188" s="78"/>
      <c r="EFH188" s="78"/>
      <c r="EFI188" s="78"/>
      <c r="EFJ188" s="78"/>
      <c r="EFK188" s="78"/>
      <c r="EFL188" s="78"/>
      <c r="EFM188" s="78"/>
      <c r="EFN188" s="78"/>
      <c r="EFO188" s="78"/>
      <c r="EFP188" s="78"/>
      <c r="EFQ188" s="78"/>
      <c r="EFR188" s="78"/>
      <c r="EFS188" s="78"/>
      <c r="EFT188" s="78"/>
      <c r="EFU188" s="78"/>
      <c r="EFV188" s="78"/>
      <c r="EFW188" s="78"/>
      <c r="EFX188" s="78"/>
      <c r="EFY188" s="78"/>
      <c r="EFZ188" s="78"/>
      <c r="EGA188" s="78"/>
      <c r="EGB188" s="78"/>
      <c r="EGC188" s="78"/>
      <c r="EGD188" s="78"/>
      <c r="EGE188" s="78"/>
      <c r="EGF188" s="78"/>
      <c r="EGG188" s="78"/>
      <c r="EGH188" s="78"/>
      <c r="EGI188" s="78"/>
      <c r="EGJ188" s="78"/>
      <c r="EGK188" s="78"/>
      <c r="EGL188" s="78"/>
      <c r="EGM188" s="78"/>
      <c r="EGN188" s="78"/>
      <c r="EGO188" s="78"/>
      <c r="EGP188" s="78"/>
      <c r="EGQ188" s="78"/>
      <c r="EGR188" s="78"/>
      <c r="EGS188" s="78"/>
      <c r="EGT188" s="78"/>
      <c r="EGU188" s="78"/>
      <c r="EGV188" s="78"/>
      <c r="EGW188" s="78"/>
      <c r="EGX188" s="78"/>
      <c r="EGY188" s="78"/>
      <c r="EGZ188" s="78"/>
      <c r="EHA188" s="78"/>
      <c r="EHB188" s="78"/>
      <c r="EHC188" s="78"/>
      <c r="EHD188" s="78"/>
      <c r="EHE188" s="78"/>
      <c r="EHF188" s="78"/>
      <c r="EHG188" s="78"/>
      <c r="EHH188" s="78"/>
      <c r="EHI188" s="78"/>
      <c r="EHJ188" s="78"/>
      <c r="EHK188" s="78"/>
      <c r="EHL188" s="78"/>
      <c r="EHM188" s="78"/>
      <c r="EHN188" s="78"/>
      <c r="EHO188" s="78"/>
      <c r="EHP188" s="78"/>
      <c r="EHQ188" s="78"/>
      <c r="EHR188" s="78"/>
      <c r="EHS188" s="78"/>
      <c r="EHT188" s="78"/>
      <c r="EHU188" s="78"/>
      <c r="EHV188" s="78"/>
      <c r="EHW188" s="78"/>
      <c r="EHX188" s="78"/>
      <c r="EHY188" s="78"/>
      <c r="EHZ188" s="78"/>
      <c r="EIA188" s="78"/>
      <c r="EIB188" s="78"/>
      <c r="EIC188" s="78"/>
      <c r="EID188" s="78"/>
      <c r="EIE188" s="78"/>
      <c r="EIF188" s="78"/>
      <c r="EIG188" s="78"/>
      <c r="EIH188" s="78"/>
      <c r="EII188" s="78"/>
      <c r="EIJ188" s="78"/>
      <c r="EIK188" s="78"/>
      <c r="EIL188" s="78"/>
      <c r="EIM188" s="78"/>
      <c r="EIN188" s="78"/>
      <c r="EIO188" s="78"/>
      <c r="EIP188" s="78"/>
      <c r="EIQ188" s="78"/>
      <c r="EIR188" s="78"/>
      <c r="EIS188" s="78"/>
      <c r="EIT188" s="78"/>
      <c r="EIU188" s="78"/>
      <c r="EIV188" s="78"/>
      <c r="EIW188" s="78"/>
      <c r="EIX188" s="78"/>
      <c r="EIY188" s="78"/>
      <c r="EIZ188" s="78"/>
      <c r="EJA188" s="78"/>
      <c r="EJB188" s="78"/>
      <c r="EJC188" s="78"/>
      <c r="EJD188" s="78"/>
      <c r="EJE188" s="78"/>
      <c r="EJF188" s="78"/>
      <c r="EJG188" s="78"/>
      <c r="EJH188" s="78"/>
      <c r="EJI188" s="78"/>
      <c r="EJJ188" s="78"/>
      <c r="EJK188" s="78"/>
      <c r="EJL188" s="78"/>
      <c r="EJM188" s="78"/>
      <c r="EJN188" s="78"/>
      <c r="EJO188" s="78"/>
      <c r="EJP188" s="78"/>
      <c r="EJQ188" s="78"/>
      <c r="EJR188" s="78"/>
      <c r="EJS188" s="78"/>
      <c r="EJT188" s="78"/>
      <c r="EJU188" s="78"/>
      <c r="EJV188" s="78"/>
      <c r="EJW188" s="78"/>
      <c r="EJX188" s="78"/>
      <c r="EJY188" s="78"/>
      <c r="EJZ188" s="78"/>
      <c r="EKA188" s="78"/>
      <c r="EKB188" s="78"/>
      <c r="EKC188" s="78"/>
      <c r="EKD188" s="78"/>
      <c r="EKE188" s="78"/>
      <c r="EKF188" s="78"/>
      <c r="EKG188" s="78"/>
      <c r="EKH188" s="78"/>
      <c r="EKI188" s="78"/>
      <c r="EKJ188" s="78"/>
      <c r="EKK188" s="78"/>
      <c r="EKL188" s="78"/>
      <c r="EKM188" s="78"/>
      <c r="EKN188" s="78"/>
      <c r="EKO188" s="78"/>
      <c r="EKP188" s="78"/>
      <c r="EKQ188" s="78"/>
      <c r="EKR188" s="78"/>
      <c r="EKS188" s="78"/>
      <c r="EKT188" s="78"/>
      <c r="EKU188" s="78"/>
      <c r="EKV188" s="78"/>
      <c r="EKW188" s="78"/>
      <c r="EKX188" s="78"/>
      <c r="EKY188" s="78"/>
      <c r="EKZ188" s="78"/>
      <c r="ELA188" s="78"/>
      <c r="ELB188" s="78"/>
      <c r="ELC188" s="78"/>
      <c r="ELD188" s="78"/>
      <c r="ELE188" s="78"/>
      <c r="ELF188" s="78"/>
      <c r="ELG188" s="78"/>
      <c r="ELH188" s="78"/>
      <c r="ELI188" s="78"/>
      <c r="ELJ188" s="78"/>
      <c r="ELK188" s="78"/>
      <c r="ELL188" s="78"/>
      <c r="ELM188" s="78"/>
      <c r="ELN188" s="78"/>
      <c r="ELO188" s="78"/>
      <c r="ELP188" s="78"/>
      <c r="ELQ188" s="78"/>
      <c r="ELR188" s="78"/>
      <c r="ELS188" s="78"/>
      <c r="ELT188" s="78"/>
      <c r="ELU188" s="78"/>
      <c r="ELV188" s="78"/>
      <c r="ELW188" s="78"/>
      <c r="ELX188" s="78"/>
      <c r="ELY188" s="78"/>
      <c r="ELZ188" s="78"/>
      <c r="EMA188" s="78"/>
      <c r="EMB188" s="78"/>
      <c r="EMC188" s="78"/>
      <c r="EMD188" s="78"/>
      <c r="EME188" s="78"/>
      <c r="EMF188" s="78"/>
      <c r="EMG188" s="78"/>
      <c r="EMH188" s="78"/>
      <c r="EMI188" s="78"/>
      <c r="EMJ188" s="78"/>
      <c r="EMK188" s="78"/>
      <c r="EML188" s="78"/>
      <c r="EMM188" s="78"/>
      <c r="EMN188" s="78"/>
      <c r="EMO188" s="78"/>
      <c r="EMP188" s="78"/>
      <c r="EMQ188" s="78"/>
      <c r="EMR188" s="78"/>
      <c r="EMS188" s="78"/>
      <c r="EMT188" s="78"/>
      <c r="EMU188" s="78"/>
      <c r="EMV188" s="78"/>
      <c r="EMW188" s="78"/>
      <c r="EMX188" s="78"/>
      <c r="EMY188" s="78"/>
      <c r="EMZ188" s="78"/>
      <c r="ENA188" s="78"/>
      <c r="ENB188" s="78"/>
      <c r="ENC188" s="78"/>
      <c r="END188" s="78"/>
      <c r="ENE188" s="78"/>
      <c r="ENF188" s="78"/>
      <c r="ENG188" s="78"/>
      <c r="ENH188" s="78"/>
      <c r="ENI188" s="78"/>
      <c r="ENJ188" s="78"/>
      <c r="ENK188" s="78"/>
      <c r="ENL188" s="78"/>
      <c r="ENM188" s="78"/>
      <c r="ENN188" s="78"/>
      <c r="ENO188" s="78"/>
      <c r="ENP188" s="78"/>
      <c r="ENQ188" s="78"/>
      <c r="ENR188" s="78"/>
      <c r="ENS188" s="78"/>
      <c r="ENT188" s="78"/>
      <c r="ENU188" s="78"/>
      <c r="ENV188" s="78"/>
      <c r="ENW188" s="78"/>
      <c r="ENX188" s="78"/>
      <c r="ENY188" s="78"/>
      <c r="ENZ188" s="78"/>
      <c r="EOA188" s="78"/>
      <c r="EOB188" s="78"/>
      <c r="EOC188" s="78"/>
      <c r="EOD188" s="78"/>
      <c r="EOE188" s="78"/>
      <c r="EOF188" s="78"/>
      <c r="EOG188" s="78"/>
      <c r="EOH188" s="78"/>
      <c r="EOI188" s="78"/>
      <c r="EOJ188" s="78"/>
      <c r="EOK188" s="78"/>
      <c r="EOL188" s="78"/>
      <c r="EOM188" s="78"/>
      <c r="EON188" s="78"/>
      <c r="EOO188" s="78"/>
      <c r="EOP188" s="78"/>
      <c r="EOQ188" s="78"/>
      <c r="EOR188" s="78"/>
      <c r="EOS188" s="78"/>
      <c r="EOT188" s="78"/>
      <c r="EOU188" s="78"/>
      <c r="EOV188" s="78"/>
      <c r="EOW188" s="78"/>
      <c r="EOX188" s="78"/>
      <c r="EOY188" s="78"/>
      <c r="EOZ188" s="78"/>
      <c r="EPA188" s="78"/>
      <c r="EPB188" s="78"/>
      <c r="EPC188" s="78"/>
      <c r="EPD188" s="78"/>
      <c r="EPE188" s="78"/>
      <c r="EPF188" s="78"/>
      <c r="EPG188" s="78"/>
      <c r="EPH188" s="78"/>
      <c r="EPI188" s="78"/>
      <c r="EPJ188" s="78"/>
      <c r="EPK188" s="78"/>
      <c r="EPL188" s="78"/>
      <c r="EPM188" s="78"/>
      <c r="EPN188" s="78"/>
      <c r="EPO188" s="78"/>
      <c r="EPP188" s="78"/>
      <c r="EPQ188" s="78"/>
      <c r="EPR188" s="78"/>
      <c r="EPS188" s="78"/>
      <c r="EPT188" s="78"/>
      <c r="EPU188" s="78"/>
      <c r="EPV188" s="78"/>
      <c r="EPW188" s="78"/>
      <c r="EPX188" s="78"/>
      <c r="EPY188" s="78"/>
      <c r="EPZ188" s="78"/>
      <c r="EQA188" s="78"/>
      <c r="EQB188" s="78"/>
      <c r="EQC188" s="78"/>
      <c r="EQD188" s="78"/>
      <c r="EQE188" s="78"/>
      <c r="EQF188" s="78"/>
      <c r="EQG188" s="78"/>
      <c r="EQH188" s="78"/>
      <c r="EQI188" s="78"/>
      <c r="EQJ188" s="78"/>
      <c r="EQK188" s="78"/>
      <c r="EQL188" s="78"/>
      <c r="EQM188" s="78"/>
      <c r="EQN188" s="78"/>
      <c r="EQO188" s="78"/>
      <c r="EQP188" s="78"/>
      <c r="EQQ188" s="78"/>
      <c r="EQR188" s="78"/>
      <c r="EQS188" s="78"/>
      <c r="EQT188" s="78"/>
      <c r="EQU188" s="78"/>
      <c r="EQV188" s="78"/>
      <c r="EQW188" s="78"/>
      <c r="EQX188" s="78"/>
      <c r="EQY188" s="78"/>
      <c r="EQZ188" s="78"/>
      <c r="ERA188" s="78"/>
      <c r="ERB188" s="78"/>
      <c r="ERC188" s="78"/>
      <c r="ERD188" s="78"/>
      <c r="ERE188" s="78"/>
      <c r="ERF188" s="78"/>
      <c r="ERG188" s="78"/>
      <c r="ERH188" s="78"/>
      <c r="ERI188" s="78"/>
      <c r="ERJ188" s="78"/>
      <c r="ERK188" s="78"/>
      <c r="ERL188" s="78"/>
      <c r="ERM188" s="78"/>
      <c r="ERN188" s="78"/>
      <c r="ERO188" s="78"/>
      <c r="ERP188" s="78"/>
      <c r="ERQ188" s="78"/>
      <c r="ERR188" s="78"/>
      <c r="ERS188" s="78"/>
      <c r="ERT188" s="78"/>
      <c r="ERU188" s="78"/>
      <c r="ERV188" s="78"/>
      <c r="ERW188" s="78"/>
      <c r="ERX188" s="78"/>
      <c r="ERY188" s="78"/>
      <c r="ERZ188" s="78"/>
      <c r="ESA188" s="78"/>
      <c r="ESB188" s="78"/>
      <c r="ESC188" s="78"/>
      <c r="ESD188" s="78"/>
      <c r="ESE188" s="78"/>
      <c r="ESF188" s="78"/>
      <c r="ESG188" s="78"/>
      <c r="ESH188" s="78"/>
      <c r="ESI188" s="78"/>
      <c r="ESJ188" s="78"/>
      <c r="ESK188" s="78"/>
      <c r="ESL188" s="78"/>
      <c r="ESM188" s="78"/>
      <c r="ESN188" s="78"/>
      <c r="ESO188" s="78"/>
      <c r="ESP188" s="78"/>
      <c r="ESQ188" s="78"/>
      <c r="ESR188" s="78"/>
      <c r="ESS188" s="78"/>
      <c r="EST188" s="78"/>
      <c r="ESU188" s="78"/>
      <c r="ESV188" s="78"/>
      <c r="ESW188" s="78"/>
      <c r="ESX188" s="78"/>
      <c r="ESY188" s="78"/>
      <c r="ESZ188" s="78"/>
      <c r="ETA188" s="78"/>
      <c r="ETB188" s="78"/>
      <c r="ETC188" s="78"/>
      <c r="ETD188" s="78"/>
      <c r="ETE188" s="78"/>
      <c r="ETF188" s="78"/>
      <c r="ETG188" s="78"/>
      <c r="ETH188" s="78"/>
      <c r="ETI188" s="78"/>
      <c r="ETJ188" s="78"/>
      <c r="ETK188" s="78"/>
      <c r="ETL188" s="78"/>
      <c r="ETM188" s="78"/>
      <c r="ETN188" s="78"/>
      <c r="ETO188" s="78"/>
      <c r="ETP188" s="78"/>
      <c r="ETQ188" s="78"/>
      <c r="ETR188" s="78"/>
      <c r="ETS188" s="78"/>
      <c r="ETT188" s="78"/>
      <c r="ETU188" s="78"/>
      <c r="ETV188" s="78"/>
      <c r="ETW188" s="78"/>
      <c r="ETX188" s="78"/>
      <c r="ETY188" s="78"/>
      <c r="ETZ188" s="78"/>
      <c r="EUA188" s="78"/>
      <c r="EUB188" s="78"/>
      <c r="EUC188" s="78"/>
      <c r="EUD188" s="78"/>
      <c r="EUE188" s="78"/>
      <c r="EUF188" s="78"/>
      <c r="EUG188" s="78"/>
      <c r="EUH188" s="78"/>
      <c r="EUI188" s="78"/>
      <c r="EUJ188" s="78"/>
      <c r="EUK188" s="78"/>
      <c r="EUL188" s="78"/>
      <c r="EUM188" s="78"/>
      <c r="EUN188" s="78"/>
      <c r="EUO188" s="78"/>
      <c r="EUP188" s="78"/>
      <c r="EUQ188" s="78"/>
      <c r="EUR188" s="78"/>
      <c r="EUS188" s="78"/>
      <c r="EUT188" s="78"/>
      <c r="EUU188" s="78"/>
      <c r="EUV188" s="78"/>
      <c r="EUW188" s="78"/>
      <c r="EUX188" s="78"/>
      <c r="EUY188" s="78"/>
      <c r="EUZ188" s="78"/>
      <c r="EVA188" s="78"/>
      <c r="EVB188" s="78"/>
      <c r="EVC188" s="78"/>
      <c r="EVD188" s="78"/>
      <c r="EVE188" s="78"/>
      <c r="EVF188" s="78"/>
      <c r="EVG188" s="78"/>
      <c r="EVH188" s="78"/>
      <c r="EVI188" s="78"/>
      <c r="EVJ188" s="78"/>
      <c r="EVK188" s="78"/>
      <c r="EVL188" s="78"/>
      <c r="EVM188" s="78"/>
      <c r="EVN188" s="78"/>
      <c r="EVO188" s="78"/>
      <c r="EVP188" s="78"/>
      <c r="EVQ188" s="78"/>
      <c r="EVR188" s="78"/>
      <c r="EVS188" s="78"/>
      <c r="EVT188" s="78"/>
      <c r="EVU188" s="78"/>
      <c r="EVV188" s="78"/>
      <c r="EVW188" s="78"/>
      <c r="EVX188" s="78"/>
      <c r="EVY188" s="78"/>
      <c r="EVZ188" s="78"/>
      <c r="EWA188" s="78"/>
      <c r="EWB188" s="78"/>
      <c r="EWC188" s="78"/>
      <c r="EWD188" s="78"/>
      <c r="EWE188" s="78"/>
      <c r="EWF188" s="78"/>
      <c r="EWG188" s="78"/>
      <c r="EWH188" s="78"/>
      <c r="EWI188" s="78"/>
      <c r="EWJ188" s="78"/>
      <c r="EWK188" s="78"/>
      <c r="EWL188" s="78"/>
      <c r="EWM188" s="78"/>
      <c r="EWN188" s="78"/>
      <c r="EWO188" s="78"/>
      <c r="EWP188" s="78"/>
      <c r="EWQ188" s="78"/>
      <c r="EWR188" s="78"/>
      <c r="EWS188" s="78"/>
      <c r="EWT188" s="78"/>
      <c r="EWU188" s="78"/>
      <c r="EWV188" s="78"/>
      <c r="EWW188" s="78"/>
      <c r="EWX188" s="78"/>
      <c r="EWY188" s="78"/>
      <c r="EWZ188" s="78"/>
      <c r="EXA188" s="78"/>
      <c r="EXB188" s="78"/>
      <c r="EXC188" s="78"/>
      <c r="EXD188" s="78"/>
      <c r="EXE188" s="78"/>
      <c r="EXF188" s="78"/>
      <c r="EXG188" s="78"/>
      <c r="EXH188" s="78"/>
      <c r="EXI188" s="78"/>
      <c r="EXJ188" s="78"/>
      <c r="EXK188" s="78"/>
      <c r="EXL188" s="78"/>
      <c r="EXM188" s="78"/>
      <c r="EXN188" s="78"/>
      <c r="EXO188" s="78"/>
      <c r="EXP188" s="78"/>
      <c r="EXQ188" s="78"/>
      <c r="EXR188" s="78"/>
      <c r="EXS188" s="78"/>
      <c r="EXT188" s="78"/>
      <c r="EXU188" s="78"/>
      <c r="EXV188" s="78"/>
      <c r="EXW188" s="78"/>
      <c r="EXX188" s="78"/>
      <c r="EXY188" s="78"/>
      <c r="EXZ188" s="78"/>
      <c r="EYA188" s="78"/>
      <c r="EYB188" s="78"/>
      <c r="EYC188" s="78"/>
      <c r="EYD188" s="78"/>
      <c r="EYE188" s="78"/>
      <c r="EYF188" s="78"/>
      <c r="EYG188" s="78"/>
      <c r="EYH188" s="78"/>
      <c r="EYI188" s="78"/>
      <c r="EYJ188" s="78"/>
      <c r="EYK188" s="78"/>
      <c r="EYL188" s="78"/>
      <c r="EYM188" s="78"/>
      <c r="EYN188" s="78"/>
      <c r="EYO188" s="78"/>
      <c r="EYP188" s="78"/>
      <c r="EYQ188" s="78"/>
      <c r="EYR188" s="78"/>
      <c r="EYS188" s="78"/>
      <c r="EYT188" s="78"/>
      <c r="EYU188" s="78"/>
      <c r="EYV188" s="78"/>
      <c r="EYW188" s="78"/>
      <c r="EYX188" s="78"/>
      <c r="EYY188" s="78"/>
      <c r="EYZ188" s="78"/>
      <c r="EZA188" s="78"/>
      <c r="EZB188" s="78"/>
      <c r="EZC188" s="78"/>
      <c r="EZD188" s="78"/>
      <c r="EZE188" s="78"/>
      <c r="EZF188" s="78"/>
      <c r="EZG188" s="78"/>
      <c r="EZH188" s="78"/>
      <c r="EZI188" s="78"/>
      <c r="EZJ188" s="78"/>
      <c r="EZK188" s="78"/>
      <c r="EZL188" s="78"/>
      <c r="EZM188" s="78"/>
      <c r="EZN188" s="78"/>
      <c r="EZO188" s="78"/>
      <c r="EZP188" s="78"/>
      <c r="EZQ188" s="78"/>
      <c r="EZR188" s="78"/>
      <c r="EZS188" s="78"/>
      <c r="EZT188" s="78"/>
      <c r="EZU188" s="78"/>
      <c r="EZV188" s="78"/>
      <c r="EZW188" s="78"/>
      <c r="EZX188" s="78"/>
      <c r="EZY188" s="78"/>
      <c r="EZZ188" s="78"/>
      <c r="FAA188" s="78"/>
      <c r="FAB188" s="78"/>
      <c r="FAC188" s="78"/>
      <c r="FAD188" s="78"/>
      <c r="FAE188" s="78"/>
      <c r="FAF188" s="78"/>
      <c r="FAG188" s="78"/>
      <c r="FAH188" s="78"/>
      <c r="FAI188" s="78"/>
      <c r="FAJ188" s="78"/>
      <c r="FAK188" s="78"/>
      <c r="FAL188" s="78"/>
      <c r="FAM188" s="78"/>
      <c r="FAN188" s="78"/>
      <c r="FAO188" s="78"/>
      <c r="FAP188" s="78"/>
      <c r="FAQ188" s="78"/>
      <c r="FAR188" s="78"/>
      <c r="FAS188" s="78"/>
      <c r="FAT188" s="78"/>
      <c r="FAU188" s="78"/>
      <c r="FAV188" s="78"/>
      <c r="FAW188" s="78"/>
      <c r="FAX188" s="78"/>
      <c r="FAY188" s="78"/>
      <c r="FAZ188" s="78"/>
      <c r="FBA188" s="78"/>
      <c r="FBB188" s="78"/>
      <c r="FBC188" s="78"/>
      <c r="FBD188" s="78"/>
      <c r="FBE188" s="78"/>
      <c r="FBF188" s="78"/>
      <c r="FBG188" s="78"/>
      <c r="FBH188" s="78"/>
      <c r="FBI188" s="78"/>
      <c r="FBJ188" s="78"/>
      <c r="FBK188" s="78"/>
      <c r="FBL188" s="78"/>
      <c r="FBM188" s="78"/>
      <c r="FBN188" s="78"/>
      <c r="FBO188" s="78"/>
      <c r="FBP188" s="78"/>
      <c r="FBQ188" s="78"/>
      <c r="FBR188" s="78"/>
      <c r="FBS188" s="78"/>
      <c r="FBT188" s="78"/>
      <c r="FBU188" s="78"/>
      <c r="FBV188" s="78"/>
      <c r="FBW188" s="78"/>
      <c r="FBX188" s="78"/>
      <c r="FBY188" s="78"/>
      <c r="FBZ188" s="78"/>
      <c r="FCA188" s="78"/>
      <c r="FCB188" s="78"/>
      <c r="FCC188" s="78"/>
      <c r="FCD188" s="78"/>
      <c r="FCE188" s="78"/>
      <c r="FCF188" s="78"/>
      <c r="FCG188" s="78"/>
      <c r="FCH188" s="78"/>
      <c r="FCI188" s="78"/>
      <c r="FCJ188" s="78"/>
      <c r="FCK188" s="78"/>
      <c r="FCL188" s="78"/>
      <c r="FCM188" s="78"/>
      <c r="FCN188" s="78"/>
      <c r="FCO188" s="78"/>
      <c r="FCP188" s="78"/>
      <c r="FCQ188" s="78"/>
      <c r="FCR188" s="78"/>
      <c r="FCS188" s="78"/>
      <c r="FCT188" s="78"/>
      <c r="FCU188" s="78"/>
      <c r="FCV188" s="78"/>
      <c r="FCW188" s="78"/>
      <c r="FCX188" s="78"/>
      <c r="FCY188" s="78"/>
      <c r="FCZ188" s="78"/>
      <c r="FDA188" s="78"/>
      <c r="FDB188" s="78"/>
      <c r="FDC188" s="78"/>
      <c r="FDD188" s="78"/>
      <c r="FDE188" s="78"/>
      <c r="FDF188" s="78"/>
      <c r="FDG188" s="78"/>
      <c r="FDH188" s="78"/>
      <c r="FDI188" s="78"/>
      <c r="FDJ188" s="78"/>
      <c r="FDK188" s="78"/>
      <c r="FDL188" s="78"/>
      <c r="FDM188" s="78"/>
      <c r="FDN188" s="78"/>
      <c r="FDO188" s="78"/>
      <c r="FDP188" s="78"/>
      <c r="FDQ188" s="78"/>
      <c r="FDR188" s="78"/>
      <c r="FDS188" s="78"/>
      <c r="FDT188" s="78"/>
      <c r="FDU188" s="78"/>
      <c r="FDV188" s="78"/>
      <c r="FDW188" s="78"/>
      <c r="FDX188" s="78"/>
      <c r="FDY188" s="78"/>
      <c r="FDZ188" s="78"/>
      <c r="FEA188" s="78"/>
      <c r="FEB188" s="78"/>
      <c r="FEC188" s="78"/>
      <c r="FED188" s="78"/>
      <c r="FEE188" s="78"/>
      <c r="FEF188" s="78"/>
      <c r="FEG188" s="78"/>
      <c r="FEH188" s="78"/>
      <c r="FEI188" s="78"/>
      <c r="FEJ188" s="78"/>
      <c r="FEK188" s="78"/>
      <c r="FEL188" s="78"/>
      <c r="FEM188" s="78"/>
      <c r="FEN188" s="78"/>
      <c r="FEO188" s="78"/>
      <c r="FEP188" s="78"/>
      <c r="FEQ188" s="78"/>
      <c r="FER188" s="78"/>
      <c r="FES188" s="78"/>
      <c r="FET188" s="78"/>
      <c r="FEU188" s="78"/>
      <c r="FEV188" s="78"/>
      <c r="FEW188" s="78"/>
      <c r="FEX188" s="78"/>
      <c r="FEY188" s="78"/>
      <c r="FEZ188" s="78"/>
      <c r="FFA188" s="78"/>
      <c r="FFB188" s="78"/>
      <c r="FFC188" s="78"/>
      <c r="FFD188" s="78"/>
      <c r="FFE188" s="78"/>
      <c r="FFF188" s="78"/>
      <c r="FFG188" s="78"/>
      <c r="FFH188" s="78"/>
      <c r="FFI188" s="78"/>
      <c r="FFJ188" s="78"/>
      <c r="FFK188" s="78"/>
      <c r="FFL188" s="78"/>
      <c r="FFM188" s="78"/>
      <c r="FFN188" s="78"/>
      <c r="FFO188" s="78"/>
      <c r="FFP188" s="78"/>
      <c r="FFQ188" s="78"/>
      <c r="FFR188" s="78"/>
      <c r="FFS188" s="78"/>
      <c r="FFT188" s="78"/>
      <c r="FFU188" s="78"/>
      <c r="FFV188" s="78"/>
      <c r="FFW188" s="78"/>
      <c r="FFX188" s="78"/>
      <c r="FFY188" s="78"/>
      <c r="FFZ188" s="78"/>
      <c r="FGA188" s="78"/>
      <c r="FGB188" s="78"/>
      <c r="FGC188" s="78"/>
      <c r="FGD188" s="78"/>
      <c r="FGE188" s="78"/>
      <c r="FGF188" s="78"/>
      <c r="FGG188" s="78"/>
      <c r="FGH188" s="78"/>
      <c r="FGI188" s="78"/>
      <c r="FGJ188" s="78"/>
      <c r="FGK188" s="78"/>
      <c r="FGL188" s="78"/>
      <c r="FGM188" s="78"/>
      <c r="FGN188" s="78"/>
      <c r="FGO188" s="78"/>
      <c r="FGP188" s="78"/>
      <c r="FGQ188" s="78"/>
      <c r="FGR188" s="78"/>
      <c r="FGS188" s="78"/>
      <c r="FGT188" s="78"/>
      <c r="FGU188" s="78"/>
      <c r="FGV188" s="78"/>
      <c r="FGW188" s="78"/>
      <c r="FGX188" s="78"/>
      <c r="FGY188" s="78"/>
      <c r="FGZ188" s="78"/>
      <c r="FHA188" s="78"/>
      <c r="FHB188" s="78"/>
      <c r="FHC188" s="78"/>
      <c r="FHD188" s="78"/>
      <c r="FHE188" s="78"/>
      <c r="FHF188" s="78"/>
      <c r="FHG188" s="78"/>
      <c r="FHH188" s="78"/>
      <c r="FHI188" s="78"/>
      <c r="FHJ188" s="78"/>
      <c r="FHK188" s="78"/>
      <c r="FHL188" s="78"/>
      <c r="FHM188" s="78"/>
      <c r="FHN188" s="78"/>
      <c r="FHO188" s="78"/>
      <c r="FHP188" s="78"/>
      <c r="FHQ188" s="78"/>
      <c r="FHR188" s="78"/>
      <c r="FHS188" s="78"/>
      <c r="FHT188" s="78"/>
      <c r="FHU188" s="78"/>
      <c r="FHV188" s="78"/>
      <c r="FHW188" s="78"/>
      <c r="FHX188" s="78"/>
      <c r="FHY188" s="78"/>
      <c r="FHZ188" s="78"/>
      <c r="FIA188" s="78"/>
      <c r="FIB188" s="78"/>
      <c r="FIC188" s="78"/>
      <c r="FID188" s="78"/>
      <c r="FIE188" s="78"/>
      <c r="FIF188" s="78"/>
      <c r="FIG188" s="78"/>
      <c r="FIH188" s="78"/>
      <c r="FII188" s="78"/>
      <c r="FIJ188" s="78"/>
      <c r="FIK188" s="78"/>
      <c r="FIL188" s="78"/>
      <c r="FIM188" s="78"/>
      <c r="FIN188" s="78"/>
      <c r="FIO188" s="78"/>
      <c r="FIP188" s="78"/>
      <c r="FIQ188" s="78"/>
      <c r="FIR188" s="78"/>
      <c r="FIS188" s="78"/>
      <c r="FIT188" s="78"/>
      <c r="FIU188" s="78"/>
      <c r="FIV188" s="78"/>
      <c r="FIW188" s="78"/>
      <c r="FIX188" s="78"/>
      <c r="FIY188" s="78"/>
      <c r="FIZ188" s="78"/>
      <c r="FJA188" s="78"/>
      <c r="FJB188" s="78"/>
      <c r="FJC188" s="78"/>
      <c r="FJD188" s="78"/>
      <c r="FJE188" s="78"/>
      <c r="FJF188" s="78"/>
      <c r="FJG188" s="78"/>
      <c r="FJH188" s="78"/>
      <c r="FJI188" s="78"/>
      <c r="FJJ188" s="78"/>
      <c r="FJK188" s="78"/>
      <c r="FJL188" s="78"/>
      <c r="FJM188" s="78"/>
      <c r="FJN188" s="78"/>
      <c r="FJO188" s="78"/>
      <c r="FJP188" s="78"/>
      <c r="FJQ188" s="78"/>
      <c r="FJR188" s="78"/>
      <c r="FJS188" s="78"/>
      <c r="FJT188" s="78"/>
      <c r="FJU188" s="78"/>
      <c r="FJV188" s="78"/>
      <c r="FJW188" s="78"/>
      <c r="FJX188" s="78"/>
      <c r="FJY188" s="78"/>
      <c r="FJZ188" s="78"/>
      <c r="FKA188" s="78"/>
      <c r="FKB188" s="78"/>
      <c r="FKC188" s="78"/>
      <c r="FKD188" s="78"/>
      <c r="FKE188" s="78"/>
      <c r="FKF188" s="78"/>
      <c r="FKG188" s="78"/>
      <c r="FKH188" s="78"/>
      <c r="FKI188" s="78"/>
      <c r="FKJ188" s="78"/>
      <c r="FKK188" s="78"/>
      <c r="FKL188" s="78"/>
      <c r="FKM188" s="78"/>
      <c r="FKN188" s="78"/>
      <c r="FKO188" s="78"/>
      <c r="FKP188" s="78"/>
      <c r="FKQ188" s="78"/>
      <c r="FKR188" s="78"/>
      <c r="FKS188" s="78"/>
      <c r="FKT188" s="78"/>
      <c r="FKU188" s="78"/>
      <c r="FKV188" s="78"/>
      <c r="FKW188" s="78"/>
      <c r="FKX188" s="78"/>
      <c r="FKY188" s="78"/>
      <c r="FKZ188" s="78"/>
      <c r="FLA188" s="78"/>
      <c r="FLB188" s="78"/>
      <c r="FLC188" s="78"/>
      <c r="FLD188" s="78"/>
      <c r="FLE188" s="78"/>
      <c r="FLF188" s="78"/>
      <c r="FLG188" s="78"/>
      <c r="FLH188" s="78"/>
      <c r="FLI188" s="78"/>
      <c r="FLJ188" s="78"/>
      <c r="FLK188" s="78"/>
      <c r="FLL188" s="78"/>
      <c r="FLM188" s="78"/>
      <c r="FLN188" s="78"/>
      <c r="FLO188" s="78"/>
      <c r="FLP188" s="78"/>
      <c r="FLQ188" s="78"/>
      <c r="FLR188" s="78"/>
      <c r="FLS188" s="78"/>
      <c r="FLT188" s="78"/>
      <c r="FLU188" s="78"/>
      <c r="FLV188" s="78"/>
      <c r="FLW188" s="78"/>
      <c r="FLX188" s="78"/>
      <c r="FLY188" s="78"/>
      <c r="FLZ188" s="78"/>
      <c r="FMA188" s="78"/>
      <c r="FMB188" s="78"/>
      <c r="FMC188" s="78"/>
      <c r="FMD188" s="78"/>
      <c r="FME188" s="78"/>
      <c r="FMF188" s="78"/>
      <c r="FMG188" s="78"/>
      <c r="FMH188" s="78"/>
      <c r="FMI188" s="78"/>
      <c r="FMJ188" s="78"/>
      <c r="FMK188" s="78"/>
      <c r="FML188" s="78"/>
      <c r="FMM188" s="78"/>
      <c r="FMN188" s="78"/>
      <c r="FMO188" s="78"/>
      <c r="FMP188" s="78"/>
      <c r="FMQ188" s="78"/>
      <c r="FMR188" s="78"/>
      <c r="FMS188" s="78"/>
      <c r="FMT188" s="78"/>
      <c r="FMU188" s="78"/>
      <c r="FMV188" s="78"/>
      <c r="FMW188" s="78"/>
      <c r="FMX188" s="78"/>
      <c r="FMY188" s="78"/>
      <c r="FMZ188" s="78"/>
      <c r="FNA188" s="78"/>
      <c r="FNB188" s="78"/>
      <c r="FNC188" s="78"/>
      <c r="FND188" s="78"/>
      <c r="FNE188" s="78"/>
      <c r="FNF188" s="78"/>
      <c r="FNG188" s="78"/>
      <c r="FNH188" s="78"/>
      <c r="FNI188" s="78"/>
      <c r="FNJ188" s="78"/>
      <c r="FNK188" s="78"/>
      <c r="FNL188" s="78"/>
      <c r="FNM188" s="78"/>
      <c r="FNN188" s="78"/>
      <c r="FNO188" s="78"/>
      <c r="FNP188" s="78"/>
      <c r="FNQ188" s="78"/>
      <c r="FNR188" s="78"/>
      <c r="FNS188" s="78"/>
      <c r="FNT188" s="78"/>
      <c r="FNU188" s="78"/>
      <c r="FNV188" s="78"/>
      <c r="FNW188" s="78"/>
      <c r="FNX188" s="78"/>
      <c r="FNY188" s="78"/>
      <c r="FNZ188" s="78"/>
      <c r="FOA188" s="78"/>
      <c r="FOB188" s="78"/>
      <c r="FOC188" s="78"/>
      <c r="FOD188" s="78"/>
      <c r="FOE188" s="78"/>
      <c r="FOF188" s="78"/>
      <c r="FOG188" s="78"/>
      <c r="FOH188" s="78"/>
      <c r="FOI188" s="78"/>
      <c r="FOJ188" s="78"/>
      <c r="FOK188" s="78"/>
      <c r="FOL188" s="78"/>
      <c r="FOM188" s="78"/>
      <c r="FON188" s="78"/>
      <c r="FOO188" s="78"/>
      <c r="FOP188" s="78"/>
      <c r="FOQ188" s="78"/>
      <c r="FOR188" s="78"/>
      <c r="FOS188" s="78"/>
      <c r="FOT188" s="78"/>
      <c r="FOU188" s="78"/>
      <c r="FOV188" s="78"/>
      <c r="FOW188" s="78"/>
      <c r="FOX188" s="78"/>
      <c r="FOY188" s="78"/>
      <c r="FOZ188" s="78"/>
      <c r="FPA188" s="78"/>
      <c r="FPB188" s="78"/>
      <c r="FPC188" s="78"/>
      <c r="FPD188" s="78"/>
      <c r="FPE188" s="78"/>
      <c r="FPF188" s="78"/>
      <c r="FPG188" s="78"/>
      <c r="FPH188" s="78"/>
      <c r="FPI188" s="78"/>
      <c r="FPJ188" s="78"/>
      <c r="FPK188" s="78"/>
      <c r="FPL188" s="78"/>
      <c r="FPM188" s="78"/>
      <c r="FPN188" s="78"/>
      <c r="FPO188" s="78"/>
      <c r="FPP188" s="78"/>
      <c r="FPQ188" s="78"/>
      <c r="FPR188" s="78"/>
      <c r="FPS188" s="78"/>
      <c r="FPT188" s="78"/>
      <c r="FPU188" s="78"/>
      <c r="FPV188" s="78"/>
      <c r="FPW188" s="78"/>
      <c r="FPX188" s="78"/>
      <c r="FPY188" s="78"/>
      <c r="FPZ188" s="78"/>
      <c r="FQA188" s="78"/>
      <c r="FQB188" s="78"/>
      <c r="FQC188" s="78"/>
      <c r="FQD188" s="78"/>
      <c r="FQE188" s="78"/>
      <c r="FQF188" s="78"/>
      <c r="FQG188" s="78"/>
      <c r="FQH188" s="78"/>
      <c r="FQI188" s="78"/>
      <c r="FQJ188" s="78"/>
      <c r="FQK188" s="78"/>
      <c r="FQL188" s="78"/>
      <c r="FQM188" s="78"/>
      <c r="FQN188" s="78"/>
      <c r="FQO188" s="78"/>
      <c r="FQP188" s="78"/>
      <c r="FQQ188" s="78"/>
      <c r="FQR188" s="78"/>
      <c r="FQS188" s="78"/>
      <c r="FQT188" s="78"/>
      <c r="FQU188" s="78"/>
      <c r="FQV188" s="78"/>
      <c r="FQW188" s="78"/>
      <c r="FQX188" s="78"/>
      <c r="FQY188" s="78"/>
      <c r="FQZ188" s="78"/>
      <c r="FRA188" s="78"/>
      <c r="FRB188" s="78"/>
      <c r="FRC188" s="78"/>
      <c r="FRD188" s="78"/>
      <c r="FRE188" s="78"/>
      <c r="FRF188" s="78"/>
      <c r="FRG188" s="78"/>
      <c r="FRH188" s="78"/>
      <c r="FRI188" s="78"/>
      <c r="FRJ188" s="78"/>
      <c r="FRK188" s="78"/>
      <c r="FRL188" s="78"/>
      <c r="FRM188" s="78"/>
      <c r="FRN188" s="78"/>
      <c r="FRO188" s="78"/>
      <c r="FRP188" s="78"/>
      <c r="FRQ188" s="78"/>
      <c r="FRR188" s="78"/>
      <c r="FRS188" s="78"/>
      <c r="FRT188" s="78"/>
      <c r="FRU188" s="78"/>
      <c r="FRV188" s="78"/>
      <c r="FRW188" s="78"/>
      <c r="FRX188" s="78"/>
      <c r="FRY188" s="78"/>
      <c r="FRZ188" s="78"/>
      <c r="FSA188" s="78"/>
      <c r="FSB188" s="78"/>
      <c r="FSC188" s="78"/>
      <c r="FSD188" s="78"/>
      <c r="FSE188" s="78"/>
      <c r="FSF188" s="78"/>
      <c r="FSG188" s="78"/>
      <c r="FSH188" s="78"/>
      <c r="FSI188" s="78"/>
      <c r="FSJ188" s="78"/>
      <c r="FSK188" s="78"/>
      <c r="FSL188" s="78"/>
      <c r="FSM188" s="78"/>
      <c r="FSN188" s="78"/>
      <c r="FSO188" s="78"/>
      <c r="FSP188" s="78"/>
      <c r="FSQ188" s="78"/>
      <c r="FSR188" s="78"/>
      <c r="FSS188" s="78"/>
      <c r="FST188" s="78"/>
      <c r="FSU188" s="78"/>
      <c r="FSV188" s="78"/>
      <c r="FSW188" s="78"/>
      <c r="FSX188" s="78"/>
      <c r="FSY188" s="78"/>
      <c r="FSZ188" s="78"/>
      <c r="FTA188" s="78"/>
      <c r="FTB188" s="78"/>
      <c r="FTC188" s="78"/>
      <c r="FTD188" s="78"/>
      <c r="FTE188" s="78"/>
      <c r="FTF188" s="78"/>
      <c r="FTG188" s="78"/>
      <c r="FTH188" s="78"/>
      <c r="FTI188" s="78"/>
      <c r="FTJ188" s="78"/>
      <c r="FTK188" s="78"/>
      <c r="FTL188" s="78"/>
      <c r="FTM188" s="78"/>
      <c r="FTN188" s="78"/>
      <c r="FTO188" s="78"/>
      <c r="FTP188" s="78"/>
      <c r="FTQ188" s="78"/>
      <c r="FTR188" s="78"/>
      <c r="FTS188" s="78"/>
      <c r="FTT188" s="78"/>
      <c r="FTU188" s="78"/>
      <c r="FTV188" s="78"/>
      <c r="FTW188" s="78"/>
      <c r="FTX188" s="78"/>
      <c r="FTY188" s="78"/>
      <c r="FTZ188" s="78"/>
      <c r="FUA188" s="78"/>
      <c r="FUB188" s="78"/>
      <c r="FUC188" s="78"/>
      <c r="FUD188" s="78"/>
      <c r="FUE188" s="78"/>
      <c r="FUF188" s="78"/>
      <c r="FUG188" s="78"/>
      <c r="FUH188" s="78"/>
      <c r="FUI188" s="78"/>
      <c r="FUJ188" s="78"/>
      <c r="FUK188" s="78"/>
      <c r="FUL188" s="78"/>
      <c r="FUM188" s="78"/>
      <c r="FUN188" s="78"/>
      <c r="FUO188" s="78"/>
      <c r="FUP188" s="78"/>
      <c r="FUQ188" s="78"/>
      <c r="FUR188" s="78"/>
      <c r="FUS188" s="78"/>
      <c r="FUT188" s="78"/>
      <c r="FUU188" s="78"/>
      <c r="FUV188" s="78"/>
      <c r="FUW188" s="78"/>
      <c r="FUX188" s="78"/>
      <c r="FUY188" s="78"/>
      <c r="FUZ188" s="78"/>
      <c r="FVA188" s="78"/>
      <c r="FVB188" s="78"/>
      <c r="FVC188" s="78"/>
      <c r="FVD188" s="78"/>
      <c r="FVE188" s="78"/>
      <c r="FVF188" s="78"/>
      <c r="FVG188" s="78"/>
      <c r="FVH188" s="78"/>
      <c r="FVI188" s="78"/>
      <c r="FVJ188" s="78"/>
      <c r="FVK188" s="78"/>
      <c r="FVL188" s="78"/>
      <c r="FVM188" s="78"/>
      <c r="FVN188" s="78"/>
      <c r="FVO188" s="78"/>
      <c r="FVP188" s="78"/>
      <c r="FVQ188" s="78"/>
      <c r="FVR188" s="78"/>
      <c r="FVS188" s="78"/>
      <c r="FVT188" s="78"/>
      <c r="FVU188" s="78"/>
      <c r="FVV188" s="78"/>
      <c r="FVW188" s="78"/>
      <c r="FVX188" s="78"/>
      <c r="FVY188" s="78"/>
      <c r="FVZ188" s="78"/>
      <c r="FWA188" s="78"/>
      <c r="FWB188" s="78"/>
      <c r="FWC188" s="78"/>
      <c r="FWD188" s="78"/>
      <c r="FWE188" s="78"/>
      <c r="FWF188" s="78"/>
      <c r="FWG188" s="78"/>
      <c r="FWH188" s="78"/>
      <c r="FWI188" s="78"/>
      <c r="FWJ188" s="78"/>
      <c r="FWK188" s="78"/>
      <c r="FWL188" s="78"/>
      <c r="FWM188" s="78"/>
      <c r="FWN188" s="78"/>
      <c r="FWO188" s="78"/>
      <c r="FWP188" s="78"/>
      <c r="FWQ188" s="78"/>
      <c r="FWR188" s="78"/>
      <c r="FWS188" s="78"/>
      <c r="FWT188" s="78"/>
      <c r="FWU188" s="78"/>
      <c r="FWV188" s="78"/>
      <c r="FWW188" s="78"/>
      <c r="FWX188" s="78"/>
      <c r="FWY188" s="78"/>
      <c r="FWZ188" s="78"/>
      <c r="FXA188" s="78"/>
      <c r="FXB188" s="78"/>
      <c r="FXC188" s="78"/>
      <c r="FXD188" s="78"/>
      <c r="FXE188" s="78"/>
      <c r="FXF188" s="78"/>
      <c r="FXG188" s="78"/>
      <c r="FXH188" s="78"/>
      <c r="FXI188" s="78"/>
      <c r="FXJ188" s="78"/>
      <c r="FXK188" s="78"/>
      <c r="FXL188" s="78"/>
      <c r="FXM188" s="78"/>
      <c r="FXN188" s="78"/>
      <c r="FXO188" s="78"/>
      <c r="FXP188" s="78"/>
      <c r="FXQ188" s="78"/>
      <c r="FXR188" s="78"/>
      <c r="FXS188" s="78"/>
      <c r="FXT188" s="78"/>
      <c r="FXU188" s="78"/>
      <c r="FXV188" s="78"/>
      <c r="FXW188" s="78"/>
      <c r="FXX188" s="78"/>
      <c r="FXY188" s="78"/>
      <c r="FXZ188" s="78"/>
      <c r="FYA188" s="78"/>
      <c r="FYB188" s="78"/>
      <c r="FYC188" s="78"/>
      <c r="FYD188" s="78"/>
      <c r="FYE188" s="78"/>
      <c r="FYF188" s="78"/>
      <c r="FYG188" s="78"/>
      <c r="FYH188" s="78"/>
      <c r="FYI188" s="78"/>
      <c r="FYJ188" s="78"/>
      <c r="FYK188" s="78"/>
      <c r="FYL188" s="78"/>
      <c r="FYM188" s="78"/>
      <c r="FYN188" s="78"/>
      <c r="FYO188" s="78"/>
      <c r="FYP188" s="78"/>
      <c r="FYQ188" s="78"/>
      <c r="FYR188" s="78"/>
      <c r="FYS188" s="78"/>
      <c r="FYT188" s="78"/>
      <c r="FYU188" s="78"/>
      <c r="FYV188" s="78"/>
      <c r="FYW188" s="78"/>
      <c r="FYX188" s="78"/>
      <c r="FYY188" s="78"/>
      <c r="FYZ188" s="78"/>
      <c r="FZA188" s="78"/>
      <c r="FZB188" s="78"/>
      <c r="FZC188" s="78"/>
      <c r="FZD188" s="78"/>
      <c r="FZE188" s="78"/>
      <c r="FZF188" s="78"/>
      <c r="FZG188" s="78"/>
      <c r="FZH188" s="78"/>
      <c r="FZI188" s="78"/>
      <c r="FZJ188" s="78"/>
      <c r="FZK188" s="78"/>
      <c r="FZL188" s="78"/>
      <c r="FZM188" s="78"/>
      <c r="FZN188" s="78"/>
      <c r="FZO188" s="78"/>
      <c r="FZP188" s="78"/>
      <c r="FZQ188" s="78"/>
      <c r="FZR188" s="78"/>
      <c r="FZS188" s="78"/>
      <c r="FZT188" s="78"/>
      <c r="FZU188" s="78"/>
      <c r="FZV188" s="78"/>
      <c r="FZW188" s="78"/>
      <c r="FZX188" s="78"/>
      <c r="FZY188" s="78"/>
      <c r="FZZ188" s="78"/>
      <c r="GAA188" s="78"/>
      <c r="GAB188" s="78"/>
      <c r="GAC188" s="78"/>
      <c r="GAD188" s="78"/>
      <c r="GAE188" s="78"/>
      <c r="GAF188" s="78"/>
      <c r="GAG188" s="78"/>
      <c r="GAH188" s="78"/>
      <c r="GAI188" s="78"/>
      <c r="GAJ188" s="78"/>
      <c r="GAK188" s="78"/>
      <c r="GAL188" s="78"/>
      <c r="GAM188" s="78"/>
      <c r="GAN188" s="78"/>
      <c r="GAO188" s="78"/>
      <c r="GAP188" s="78"/>
      <c r="GAQ188" s="78"/>
      <c r="GAR188" s="78"/>
      <c r="GAS188" s="78"/>
      <c r="GAT188" s="78"/>
      <c r="GAU188" s="78"/>
      <c r="GAV188" s="78"/>
      <c r="GAW188" s="78"/>
      <c r="GAX188" s="78"/>
      <c r="GAY188" s="78"/>
      <c r="GAZ188" s="78"/>
      <c r="GBA188" s="78"/>
      <c r="GBB188" s="78"/>
      <c r="GBC188" s="78"/>
      <c r="GBD188" s="78"/>
      <c r="GBE188" s="78"/>
      <c r="GBF188" s="78"/>
      <c r="GBG188" s="78"/>
      <c r="GBH188" s="78"/>
      <c r="GBI188" s="78"/>
      <c r="GBJ188" s="78"/>
      <c r="GBK188" s="78"/>
      <c r="GBL188" s="78"/>
      <c r="GBM188" s="78"/>
      <c r="GBN188" s="78"/>
      <c r="GBO188" s="78"/>
      <c r="GBP188" s="78"/>
      <c r="GBQ188" s="78"/>
      <c r="GBR188" s="78"/>
      <c r="GBS188" s="78"/>
      <c r="GBT188" s="78"/>
      <c r="GBU188" s="78"/>
      <c r="GBV188" s="78"/>
      <c r="GBW188" s="78"/>
      <c r="GBX188" s="78"/>
      <c r="GBY188" s="78"/>
      <c r="GBZ188" s="78"/>
      <c r="GCA188" s="78"/>
      <c r="GCB188" s="78"/>
      <c r="GCC188" s="78"/>
      <c r="GCD188" s="78"/>
      <c r="GCE188" s="78"/>
      <c r="GCF188" s="78"/>
      <c r="GCG188" s="78"/>
      <c r="GCH188" s="78"/>
      <c r="GCI188" s="78"/>
      <c r="GCJ188" s="78"/>
      <c r="GCK188" s="78"/>
      <c r="GCL188" s="78"/>
      <c r="GCM188" s="78"/>
      <c r="GCN188" s="78"/>
      <c r="GCO188" s="78"/>
      <c r="GCP188" s="78"/>
      <c r="GCQ188" s="78"/>
      <c r="GCR188" s="78"/>
      <c r="GCS188" s="78"/>
      <c r="GCT188" s="78"/>
      <c r="GCU188" s="78"/>
      <c r="GCV188" s="78"/>
      <c r="GCW188" s="78"/>
      <c r="GCX188" s="78"/>
      <c r="GCY188" s="78"/>
      <c r="GCZ188" s="78"/>
      <c r="GDA188" s="78"/>
      <c r="GDB188" s="78"/>
      <c r="GDC188" s="78"/>
      <c r="GDD188" s="78"/>
      <c r="GDE188" s="78"/>
      <c r="GDF188" s="78"/>
      <c r="GDG188" s="78"/>
      <c r="GDH188" s="78"/>
      <c r="GDI188" s="78"/>
      <c r="GDJ188" s="78"/>
      <c r="GDK188" s="78"/>
      <c r="GDL188" s="78"/>
      <c r="GDM188" s="78"/>
      <c r="GDN188" s="78"/>
      <c r="GDO188" s="78"/>
      <c r="GDP188" s="78"/>
      <c r="GDQ188" s="78"/>
      <c r="GDR188" s="78"/>
      <c r="GDS188" s="78"/>
      <c r="GDT188" s="78"/>
      <c r="GDU188" s="78"/>
      <c r="GDV188" s="78"/>
      <c r="GDW188" s="78"/>
      <c r="GDX188" s="78"/>
      <c r="GDY188" s="78"/>
      <c r="GDZ188" s="78"/>
      <c r="GEA188" s="78"/>
      <c r="GEB188" s="78"/>
      <c r="GEC188" s="78"/>
      <c r="GED188" s="78"/>
      <c r="GEE188" s="78"/>
      <c r="GEF188" s="78"/>
      <c r="GEG188" s="78"/>
      <c r="GEH188" s="78"/>
      <c r="GEI188" s="78"/>
      <c r="GEJ188" s="78"/>
      <c r="GEK188" s="78"/>
      <c r="GEL188" s="78"/>
      <c r="GEM188" s="78"/>
      <c r="GEN188" s="78"/>
      <c r="GEO188" s="78"/>
      <c r="GEP188" s="78"/>
      <c r="GEQ188" s="78"/>
      <c r="GER188" s="78"/>
      <c r="GES188" s="78"/>
      <c r="GET188" s="78"/>
      <c r="GEU188" s="78"/>
      <c r="GEV188" s="78"/>
      <c r="GEW188" s="78"/>
      <c r="GEX188" s="78"/>
      <c r="GEY188" s="78"/>
      <c r="GEZ188" s="78"/>
      <c r="GFA188" s="78"/>
      <c r="GFB188" s="78"/>
      <c r="GFC188" s="78"/>
      <c r="GFD188" s="78"/>
      <c r="GFE188" s="78"/>
      <c r="GFF188" s="78"/>
      <c r="GFG188" s="78"/>
      <c r="GFH188" s="78"/>
      <c r="GFI188" s="78"/>
      <c r="GFJ188" s="78"/>
      <c r="GFK188" s="78"/>
      <c r="GFL188" s="78"/>
      <c r="GFM188" s="78"/>
      <c r="GFN188" s="78"/>
      <c r="GFO188" s="78"/>
      <c r="GFP188" s="78"/>
      <c r="GFQ188" s="78"/>
      <c r="GFR188" s="78"/>
      <c r="GFS188" s="78"/>
      <c r="GFT188" s="78"/>
      <c r="GFU188" s="78"/>
      <c r="GFV188" s="78"/>
      <c r="GFW188" s="78"/>
      <c r="GFX188" s="78"/>
      <c r="GFY188" s="78"/>
      <c r="GFZ188" s="78"/>
      <c r="GGA188" s="78"/>
      <c r="GGB188" s="78"/>
      <c r="GGC188" s="78"/>
      <c r="GGD188" s="78"/>
      <c r="GGE188" s="78"/>
      <c r="GGF188" s="78"/>
      <c r="GGG188" s="78"/>
      <c r="GGH188" s="78"/>
      <c r="GGI188" s="78"/>
      <c r="GGJ188" s="78"/>
      <c r="GGK188" s="78"/>
      <c r="GGL188" s="78"/>
      <c r="GGM188" s="78"/>
      <c r="GGN188" s="78"/>
      <c r="GGO188" s="78"/>
      <c r="GGP188" s="78"/>
      <c r="GGQ188" s="78"/>
      <c r="GGR188" s="78"/>
      <c r="GGS188" s="78"/>
      <c r="GGT188" s="78"/>
      <c r="GGU188" s="78"/>
      <c r="GGV188" s="78"/>
      <c r="GGW188" s="78"/>
      <c r="GGX188" s="78"/>
      <c r="GGY188" s="78"/>
      <c r="GGZ188" s="78"/>
      <c r="GHA188" s="78"/>
      <c r="GHB188" s="78"/>
      <c r="GHC188" s="78"/>
      <c r="GHD188" s="78"/>
      <c r="GHE188" s="78"/>
      <c r="GHF188" s="78"/>
      <c r="GHG188" s="78"/>
      <c r="GHH188" s="78"/>
      <c r="GHI188" s="78"/>
      <c r="GHJ188" s="78"/>
      <c r="GHK188" s="78"/>
      <c r="GHL188" s="78"/>
      <c r="GHM188" s="78"/>
      <c r="GHN188" s="78"/>
      <c r="GHO188" s="78"/>
      <c r="GHP188" s="78"/>
      <c r="GHQ188" s="78"/>
      <c r="GHR188" s="78"/>
      <c r="GHS188" s="78"/>
      <c r="GHT188" s="78"/>
      <c r="GHU188" s="78"/>
      <c r="GHV188" s="78"/>
      <c r="GHW188" s="78"/>
      <c r="GHX188" s="78"/>
      <c r="GHY188" s="78"/>
      <c r="GHZ188" s="78"/>
      <c r="GIA188" s="78"/>
      <c r="GIB188" s="78"/>
      <c r="GIC188" s="78"/>
      <c r="GID188" s="78"/>
      <c r="GIE188" s="78"/>
      <c r="GIF188" s="78"/>
      <c r="GIG188" s="78"/>
      <c r="GIH188" s="78"/>
      <c r="GII188" s="78"/>
      <c r="GIJ188" s="78"/>
      <c r="GIK188" s="78"/>
      <c r="GIL188" s="78"/>
      <c r="GIM188" s="78"/>
      <c r="GIN188" s="78"/>
      <c r="GIO188" s="78"/>
      <c r="GIP188" s="78"/>
      <c r="GIQ188" s="78"/>
      <c r="GIR188" s="78"/>
      <c r="GIS188" s="78"/>
      <c r="GIT188" s="78"/>
      <c r="GIU188" s="78"/>
      <c r="GIV188" s="78"/>
      <c r="GIW188" s="78"/>
      <c r="GIX188" s="78"/>
      <c r="GIY188" s="78"/>
      <c r="GIZ188" s="78"/>
      <c r="GJA188" s="78"/>
      <c r="GJB188" s="78"/>
      <c r="GJC188" s="78"/>
      <c r="GJD188" s="78"/>
      <c r="GJE188" s="78"/>
      <c r="GJF188" s="78"/>
      <c r="GJG188" s="78"/>
      <c r="GJH188" s="78"/>
      <c r="GJI188" s="78"/>
      <c r="GJJ188" s="78"/>
      <c r="GJK188" s="78"/>
      <c r="GJL188" s="78"/>
      <c r="GJM188" s="78"/>
      <c r="GJN188" s="78"/>
      <c r="GJO188" s="78"/>
      <c r="GJP188" s="78"/>
      <c r="GJQ188" s="78"/>
      <c r="GJR188" s="78"/>
      <c r="GJS188" s="78"/>
      <c r="GJT188" s="78"/>
      <c r="GJU188" s="78"/>
      <c r="GJV188" s="78"/>
      <c r="GJW188" s="78"/>
      <c r="GJX188" s="78"/>
      <c r="GJY188" s="78"/>
      <c r="GJZ188" s="78"/>
      <c r="GKA188" s="78"/>
      <c r="GKB188" s="78"/>
      <c r="GKC188" s="78"/>
      <c r="GKD188" s="78"/>
      <c r="GKE188" s="78"/>
      <c r="GKF188" s="78"/>
      <c r="GKG188" s="78"/>
      <c r="GKH188" s="78"/>
      <c r="GKI188" s="78"/>
      <c r="GKJ188" s="78"/>
      <c r="GKK188" s="78"/>
      <c r="GKL188" s="78"/>
      <c r="GKM188" s="78"/>
      <c r="GKN188" s="78"/>
      <c r="GKO188" s="78"/>
      <c r="GKP188" s="78"/>
      <c r="GKQ188" s="78"/>
      <c r="GKR188" s="78"/>
      <c r="GKS188" s="78"/>
      <c r="GKT188" s="78"/>
      <c r="GKU188" s="78"/>
      <c r="GKV188" s="78"/>
      <c r="GKW188" s="78"/>
      <c r="GKX188" s="78"/>
      <c r="GKY188" s="78"/>
      <c r="GKZ188" s="78"/>
      <c r="GLA188" s="78"/>
      <c r="GLB188" s="78"/>
      <c r="GLC188" s="78"/>
      <c r="GLD188" s="78"/>
      <c r="GLE188" s="78"/>
      <c r="GLF188" s="78"/>
      <c r="GLG188" s="78"/>
      <c r="GLH188" s="78"/>
      <c r="GLI188" s="78"/>
      <c r="GLJ188" s="78"/>
      <c r="GLK188" s="78"/>
      <c r="GLL188" s="78"/>
      <c r="GLM188" s="78"/>
      <c r="GLN188" s="78"/>
      <c r="GLO188" s="78"/>
      <c r="GLP188" s="78"/>
      <c r="GLQ188" s="78"/>
      <c r="GLR188" s="78"/>
      <c r="GLS188" s="78"/>
      <c r="GLT188" s="78"/>
      <c r="GLU188" s="78"/>
      <c r="GLV188" s="78"/>
      <c r="GLW188" s="78"/>
      <c r="GLX188" s="78"/>
      <c r="GLY188" s="78"/>
      <c r="GLZ188" s="78"/>
      <c r="GMA188" s="78"/>
      <c r="GMB188" s="78"/>
      <c r="GMC188" s="78"/>
      <c r="GMD188" s="78"/>
      <c r="GME188" s="78"/>
      <c r="GMF188" s="78"/>
      <c r="GMG188" s="78"/>
      <c r="GMH188" s="78"/>
      <c r="GMI188" s="78"/>
      <c r="GMJ188" s="78"/>
      <c r="GMK188" s="78"/>
      <c r="GML188" s="78"/>
      <c r="GMM188" s="78"/>
      <c r="GMN188" s="78"/>
      <c r="GMO188" s="78"/>
      <c r="GMP188" s="78"/>
      <c r="GMQ188" s="78"/>
      <c r="GMR188" s="78"/>
      <c r="GMS188" s="78"/>
      <c r="GMT188" s="78"/>
      <c r="GMU188" s="78"/>
      <c r="GMV188" s="78"/>
      <c r="GMW188" s="78"/>
      <c r="GMX188" s="78"/>
      <c r="GMY188" s="78"/>
      <c r="GMZ188" s="78"/>
      <c r="GNA188" s="78"/>
      <c r="GNB188" s="78"/>
      <c r="GNC188" s="78"/>
      <c r="GND188" s="78"/>
      <c r="GNE188" s="78"/>
      <c r="GNF188" s="78"/>
      <c r="GNG188" s="78"/>
      <c r="GNH188" s="78"/>
      <c r="GNI188" s="78"/>
      <c r="GNJ188" s="78"/>
      <c r="GNK188" s="78"/>
      <c r="GNL188" s="78"/>
      <c r="GNM188" s="78"/>
      <c r="GNN188" s="78"/>
      <c r="GNO188" s="78"/>
      <c r="GNP188" s="78"/>
      <c r="GNQ188" s="78"/>
      <c r="GNR188" s="78"/>
      <c r="GNS188" s="78"/>
      <c r="GNT188" s="78"/>
      <c r="GNU188" s="78"/>
      <c r="GNV188" s="78"/>
      <c r="GNW188" s="78"/>
      <c r="GNX188" s="78"/>
      <c r="GNY188" s="78"/>
      <c r="GNZ188" s="78"/>
      <c r="GOA188" s="78"/>
      <c r="GOB188" s="78"/>
      <c r="GOC188" s="78"/>
      <c r="GOD188" s="78"/>
      <c r="GOE188" s="78"/>
      <c r="GOF188" s="78"/>
      <c r="GOG188" s="78"/>
      <c r="GOH188" s="78"/>
      <c r="GOI188" s="78"/>
      <c r="GOJ188" s="78"/>
      <c r="GOK188" s="78"/>
      <c r="GOL188" s="78"/>
      <c r="GOM188" s="78"/>
      <c r="GON188" s="78"/>
      <c r="GOO188" s="78"/>
      <c r="GOP188" s="78"/>
      <c r="GOQ188" s="78"/>
      <c r="GOR188" s="78"/>
      <c r="GOS188" s="78"/>
      <c r="GOT188" s="78"/>
      <c r="GOU188" s="78"/>
      <c r="GOV188" s="78"/>
      <c r="GOW188" s="78"/>
      <c r="GOX188" s="78"/>
      <c r="GOY188" s="78"/>
      <c r="GOZ188" s="78"/>
      <c r="GPA188" s="78"/>
      <c r="GPB188" s="78"/>
      <c r="GPC188" s="78"/>
      <c r="GPD188" s="78"/>
      <c r="GPE188" s="78"/>
      <c r="GPF188" s="78"/>
      <c r="GPG188" s="78"/>
      <c r="GPH188" s="78"/>
      <c r="GPI188" s="78"/>
      <c r="GPJ188" s="78"/>
      <c r="GPK188" s="78"/>
      <c r="GPL188" s="78"/>
      <c r="GPM188" s="78"/>
      <c r="GPN188" s="78"/>
      <c r="GPO188" s="78"/>
      <c r="GPP188" s="78"/>
      <c r="GPQ188" s="78"/>
      <c r="GPR188" s="78"/>
      <c r="GPS188" s="78"/>
      <c r="GPT188" s="78"/>
      <c r="GPU188" s="78"/>
      <c r="GPV188" s="78"/>
      <c r="GPW188" s="78"/>
      <c r="GPX188" s="78"/>
      <c r="GPY188" s="78"/>
      <c r="GPZ188" s="78"/>
      <c r="GQA188" s="78"/>
      <c r="GQB188" s="78"/>
      <c r="GQC188" s="78"/>
      <c r="GQD188" s="78"/>
      <c r="GQE188" s="78"/>
      <c r="GQF188" s="78"/>
      <c r="GQG188" s="78"/>
      <c r="GQH188" s="78"/>
      <c r="GQI188" s="78"/>
      <c r="GQJ188" s="78"/>
      <c r="GQK188" s="78"/>
      <c r="GQL188" s="78"/>
      <c r="GQM188" s="78"/>
      <c r="GQN188" s="78"/>
      <c r="GQO188" s="78"/>
      <c r="GQP188" s="78"/>
      <c r="GQQ188" s="78"/>
      <c r="GQR188" s="78"/>
      <c r="GQS188" s="78"/>
      <c r="GQT188" s="78"/>
      <c r="GQU188" s="78"/>
      <c r="GQV188" s="78"/>
      <c r="GQW188" s="78"/>
      <c r="GQX188" s="78"/>
      <c r="GQY188" s="78"/>
      <c r="GQZ188" s="78"/>
      <c r="GRA188" s="78"/>
      <c r="GRB188" s="78"/>
      <c r="GRC188" s="78"/>
      <c r="GRD188" s="78"/>
      <c r="GRE188" s="78"/>
      <c r="GRF188" s="78"/>
      <c r="GRG188" s="78"/>
      <c r="GRH188" s="78"/>
      <c r="GRI188" s="78"/>
      <c r="GRJ188" s="78"/>
      <c r="GRK188" s="78"/>
      <c r="GRL188" s="78"/>
      <c r="GRM188" s="78"/>
      <c r="GRN188" s="78"/>
      <c r="GRO188" s="78"/>
      <c r="GRP188" s="78"/>
      <c r="GRQ188" s="78"/>
      <c r="GRR188" s="78"/>
      <c r="GRS188" s="78"/>
      <c r="GRT188" s="78"/>
      <c r="GRU188" s="78"/>
      <c r="GRV188" s="78"/>
      <c r="GRW188" s="78"/>
      <c r="GRX188" s="78"/>
      <c r="GRY188" s="78"/>
      <c r="GRZ188" s="78"/>
      <c r="GSA188" s="78"/>
      <c r="GSB188" s="78"/>
      <c r="GSC188" s="78"/>
      <c r="GSD188" s="78"/>
      <c r="GSE188" s="78"/>
      <c r="GSF188" s="78"/>
      <c r="GSG188" s="78"/>
      <c r="GSH188" s="78"/>
      <c r="GSI188" s="78"/>
      <c r="GSJ188" s="78"/>
      <c r="GSK188" s="78"/>
      <c r="GSL188" s="78"/>
      <c r="GSM188" s="78"/>
      <c r="GSN188" s="78"/>
      <c r="GSO188" s="78"/>
      <c r="GSP188" s="78"/>
      <c r="GSQ188" s="78"/>
      <c r="GSR188" s="78"/>
      <c r="GSS188" s="78"/>
      <c r="GST188" s="78"/>
      <c r="GSU188" s="78"/>
      <c r="GSV188" s="78"/>
      <c r="GSW188" s="78"/>
      <c r="GSX188" s="78"/>
      <c r="GSY188" s="78"/>
      <c r="GSZ188" s="78"/>
      <c r="GTA188" s="78"/>
      <c r="GTB188" s="78"/>
      <c r="GTC188" s="78"/>
      <c r="GTD188" s="78"/>
      <c r="GTE188" s="78"/>
      <c r="GTF188" s="78"/>
      <c r="GTG188" s="78"/>
      <c r="GTH188" s="78"/>
      <c r="GTI188" s="78"/>
      <c r="GTJ188" s="78"/>
      <c r="GTK188" s="78"/>
      <c r="GTL188" s="78"/>
      <c r="GTM188" s="78"/>
      <c r="GTN188" s="78"/>
      <c r="GTO188" s="78"/>
      <c r="GTP188" s="78"/>
      <c r="GTQ188" s="78"/>
      <c r="GTR188" s="78"/>
      <c r="GTS188" s="78"/>
      <c r="GTT188" s="78"/>
      <c r="GTU188" s="78"/>
      <c r="GTV188" s="78"/>
      <c r="GTW188" s="78"/>
      <c r="GTX188" s="78"/>
      <c r="GTY188" s="78"/>
      <c r="GTZ188" s="78"/>
      <c r="GUA188" s="78"/>
      <c r="GUB188" s="78"/>
      <c r="GUC188" s="78"/>
      <c r="GUD188" s="78"/>
      <c r="GUE188" s="78"/>
      <c r="GUF188" s="78"/>
      <c r="GUG188" s="78"/>
      <c r="GUH188" s="78"/>
      <c r="GUI188" s="78"/>
      <c r="GUJ188" s="78"/>
      <c r="GUK188" s="78"/>
      <c r="GUL188" s="78"/>
      <c r="GUM188" s="78"/>
      <c r="GUN188" s="78"/>
      <c r="GUO188" s="78"/>
      <c r="GUP188" s="78"/>
      <c r="GUQ188" s="78"/>
      <c r="GUR188" s="78"/>
      <c r="GUS188" s="78"/>
      <c r="GUT188" s="78"/>
      <c r="GUU188" s="78"/>
      <c r="GUV188" s="78"/>
      <c r="GUW188" s="78"/>
      <c r="GUX188" s="78"/>
      <c r="GUY188" s="78"/>
      <c r="GUZ188" s="78"/>
      <c r="GVA188" s="78"/>
      <c r="GVB188" s="78"/>
      <c r="GVC188" s="78"/>
      <c r="GVD188" s="78"/>
      <c r="GVE188" s="78"/>
      <c r="GVF188" s="78"/>
      <c r="GVG188" s="78"/>
      <c r="GVH188" s="78"/>
      <c r="GVI188" s="78"/>
      <c r="GVJ188" s="78"/>
      <c r="GVK188" s="78"/>
      <c r="GVL188" s="78"/>
      <c r="GVM188" s="78"/>
      <c r="GVN188" s="78"/>
      <c r="GVO188" s="78"/>
      <c r="GVP188" s="78"/>
      <c r="GVQ188" s="78"/>
      <c r="GVR188" s="78"/>
      <c r="GVS188" s="78"/>
      <c r="GVT188" s="78"/>
      <c r="GVU188" s="78"/>
      <c r="GVV188" s="78"/>
      <c r="GVW188" s="78"/>
      <c r="GVX188" s="78"/>
      <c r="GVY188" s="78"/>
      <c r="GVZ188" s="78"/>
      <c r="GWA188" s="78"/>
      <c r="GWB188" s="78"/>
      <c r="GWC188" s="78"/>
      <c r="GWD188" s="78"/>
      <c r="GWE188" s="78"/>
      <c r="GWF188" s="78"/>
      <c r="GWG188" s="78"/>
      <c r="GWH188" s="78"/>
      <c r="GWI188" s="78"/>
      <c r="GWJ188" s="78"/>
      <c r="GWK188" s="78"/>
      <c r="GWL188" s="78"/>
      <c r="GWM188" s="78"/>
      <c r="GWN188" s="78"/>
      <c r="GWO188" s="78"/>
      <c r="GWP188" s="78"/>
      <c r="GWQ188" s="78"/>
      <c r="GWR188" s="78"/>
      <c r="GWS188" s="78"/>
      <c r="GWT188" s="78"/>
      <c r="GWU188" s="78"/>
      <c r="GWV188" s="78"/>
      <c r="GWW188" s="78"/>
      <c r="GWX188" s="78"/>
      <c r="GWY188" s="78"/>
      <c r="GWZ188" s="78"/>
      <c r="GXA188" s="78"/>
      <c r="GXB188" s="78"/>
      <c r="GXC188" s="78"/>
      <c r="GXD188" s="78"/>
      <c r="GXE188" s="78"/>
      <c r="GXF188" s="78"/>
      <c r="GXG188" s="78"/>
      <c r="GXH188" s="78"/>
      <c r="GXI188" s="78"/>
      <c r="GXJ188" s="78"/>
      <c r="GXK188" s="78"/>
      <c r="GXL188" s="78"/>
      <c r="GXM188" s="78"/>
      <c r="GXN188" s="78"/>
      <c r="GXO188" s="78"/>
      <c r="GXP188" s="78"/>
      <c r="GXQ188" s="78"/>
      <c r="GXR188" s="78"/>
      <c r="GXS188" s="78"/>
      <c r="GXT188" s="78"/>
      <c r="GXU188" s="78"/>
      <c r="GXV188" s="78"/>
      <c r="GXW188" s="78"/>
      <c r="GXX188" s="78"/>
      <c r="GXY188" s="78"/>
      <c r="GXZ188" s="78"/>
      <c r="GYA188" s="78"/>
      <c r="GYB188" s="78"/>
      <c r="GYC188" s="78"/>
      <c r="GYD188" s="78"/>
      <c r="GYE188" s="78"/>
      <c r="GYF188" s="78"/>
      <c r="GYG188" s="78"/>
      <c r="GYH188" s="78"/>
      <c r="GYI188" s="78"/>
      <c r="GYJ188" s="78"/>
      <c r="GYK188" s="78"/>
      <c r="GYL188" s="78"/>
      <c r="GYM188" s="78"/>
      <c r="GYN188" s="78"/>
      <c r="GYO188" s="78"/>
      <c r="GYP188" s="78"/>
      <c r="GYQ188" s="78"/>
      <c r="GYR188" s="78"/>
      <c r="GYS188" s="78"/>
      <c r="GYT188" s="78"/>
      <c r="GYU188" s="78"/>
      <c r="GYV188" s="78"/>
      <c r="GYW188" s="78"/>
      <c r="GYX188" s="78"/>
      <c r="GYY188" s="78"/>
      <c r="GYZ188" s="78"/>
      <c r="GZA188" s="78"/>
      <c r="GZB188" s="78"/>
      <c r="GZC188" s="78"/>
      <c r="GZD188" s="78"/>
      <c r="GZE188" s="78"/>
      <c r="GZF188" s="78"/>
      <c r="GZG188" s="78"/>
      <c r="GZH188" s="78"/>
      <c r="GZI188" s="78"/>
      <c r="GZJ188" s="78"/>
      <c r="GZK188" s="78"/>
      <c r="GZL188" s="78"/>
      <c r="GZM188" s="78"/>
      <c r="GZN188" s="78"/>
      <c r="GZO188" s="78"/>
      <c r="GZP188" s="78"/>
      <c r="GZQ188" s="78"/>
      <c r="GZR188" s="78"/>
      <c r="GZS188" s="78"/>
      <c r="GZT188" s="78"/>
      <c r="GZU188" s="78"/>
      <c r="GZV188" s="78"/>
      <c r="GZW188" s="78"/>
      <c r="GZX188" s="78"/>
      <c r="GZY188" s="78"/>
      <c r="GZZ188" s="78"/>
      <c r="HAA188" s="78"/>
      <c r="HAB188" s="78"/>
      <c r="HAC188" s="78"/>
      <c r="HAD188" s="78"/>
      <c r="HAE188" s="78"/>
      <c r="HAF188" s="78"/>
      <c r="HAG188" s="78"/>
      <c r="HAH188" s="78"/>
      <c r="HAI188" s="78"/>
      <c r="HAJ188" s="78"/>
      <c r="HAK188" s="78"/>
      <c r="HAL188" s="78"/>
      <c r="HAM188" s="78"/>
      <c r="HAN188" s="78"/>
      <c r="HAO188" s="78"/>
      <c r="HAP188" s="78"/>
      <c r="HAQ188" s="78"/>
      <c r="HAR188" s="78"/>
      <c r="HAS188" s="78"/>
      <c r="HAT188" s="78"/>
      <c r="HAU188" s="78"/>
      <c r="HAV188" s="78"/>
      <c r="HAW188" s="78"/>
      <c r="HAX188" s="78"/>
      <c r="HAY188" s="78"/>
      <c r="HAZ188" s="78"/>
      <c r="HBA188" s="78"/>
      <c r="HBB188" s="78"/>
      <c r="HBC188" s="78"/>
      <c r="HBD188" s="78"/>
      <c r="HBE188" s="78"/>
      <c r="HBF188" s="78"/>
      <c r="HBG188" s="78"/>
      <c r="HBH188" s="78"/>
      <c r="HBI188" s="78"/>
      <c r="HBJ188" s="78"/>
      <c r="HBK188" s="78"/>
      <c r="HBL188" s="78"/>
      <c r="HBM188" s="78"/>
      <c r="HBN188" s="78"/>
      <c r="HBO188" s="78"/>
      <c r="HBP188" s="78"/>
      <c r="HBQ188" s="78"/>
      <c r="HBR188" s="78"/>
      <c r="HBS188" s="78"/>
      <c r="HBT188" s="78"/>
      <c r="HBU188" s="78"/>
      <c r="HBV188" s="78"/>
      <c r="HBW188" s="78"/>
      <c r="HBX188" s="78"/>
      <c r="HBY188" s="78"/>
      <c r="HBZ188" s="78"/>
      <c r="HCA188" s="78"/>
      <c r="HCB188" s="78"/>
      <c r="HCC188" s="78"/>
      <c r="HCD188" s="78"/>
      <c r="HCE188" s="78"/>
      <c r="HCF188" s="78"/>
      <c r="HCG188" s="78"/>
      <c r="HCH188" s="78"/>
      <c r="HCI188" s="78"/>
      <c r="HCJ188" s="78"/>
      <c r="HCK188" s="78"/>
      <c r="HCL188" s="78"/>
      <c r="HCM188" s="78"/>
      <c r="HCN188" s="78"/>
      <c r="HCO188" s="78"/>
      <c r="HCP188" s="78"/>
      <c r="HCQ188" s="78"/>
      <c r="HCR188" s="78"/>
      <c r="HCS188" s="78"/>
      <c r="HCT188" s="78"/>
      <c r="HCU188" s="78"/>
      <c r="HCV188" s="78"/>
      <c r="HCW188" s="78"/>
      <c r="HCX188" s="78"/>
      <c r="HCY188" s="78"/>
      <c r="HCZ188" s="78"/>
      <c r="HDA188" s="78"/>
      <c r="HDB188" s="78"/>
      <c r="HDC188" s="78"/>
      <c r="HDD188" s="78"/>
      <c r="HDE188" s="78"/>
      <c r="HDF188" s="78"/>
      <c r="HDG188" s="78"/>
      <c r="HDH188" s="78"/>
      <c r="HDI188" s="78"/>
      <c r="HDJ188" s="78"/>
      <c r="HDK188" s="78"/>
      <c r="HDL188" s="78"/>
      <c r="HDM188" s="78"/>
      <c r="HDN188" s="78"/>
      <c r="HDO188" s="78"/>
      <c r="HDP188" s="78"/>
      <c r="HDQ188" s="78"/>
      <c r="HDR188" s="78"/>
      <c r="HDS188" s="78"/>
      <c r="HDT188" s="78"/>
      <c r="HDU188" s="78"/>
      <c r="HDV188" s="78"/>
      <c r="HDW188" s="78"/>
      <c r="HDX188" s="78"/>
      <c r="HDY188" s="78"/>
      <c r="HDZ188" s="78"/>
      <c r="HEA188" s="78"/>
      <c r="HEB188" s="78"/>
      <c r="HEC188" s="78"/>
      <c r="HED188" s="78"/>
      <c r="HEE188" s="78"/>
      <c r="HEF188" s="78"/>
      <c r="HEG188" s="78"/>
      <c r="HEH188" s="78"/>
      <c r="HEI188" s="78"/>
      <c r="HEJ188" s="78"/>
      <c r="HEK188" s="78"/>
      <c r="HEL188" s="78"/>
      <c r="HEM188" s="78"/>
      <c r="HEN188" s="78"/>
      <c r="HEO188" s="78"/>
      <c r="HEP188" s="78"/>
      <c r="HEQ188" s="78"/>
      <c r="HER188" s="78"/>
      <c r="HES188" s="78"/>
      <c r="HET188" s="78"/>
      <c r="HEU188" s="78"/>
      <c r="HEV188" s="78"/>
      <c r="HEW188" s="78"/>
      <c r="HEX188" s="78"/>
      <c r="HEY188" s="78"/>
      <c r="HEZ188" s="78"/>
      <c r="HFA188" s="78"/>
      <c r="HFB188" s="78"/>
      <c r="HFC188" s="78"/>
      <c r="HFD188" s="78"/>
      <c r="HFE188" s="78"/>
      <c r="HFF188" s="78"/>
      <c r="HFG188" s="78"/>
      <c r="HFH188" s="78"/>
      <c r="HFI188" s="78"/>
      <c r="HFJ188" s="78"/>
      <c r="HFK188" s="78"/>
      <c r="HFL188" s="78"/>
      <c r="HFM188" s="78"/>
      <c r="HFN188" s="78"/>
      <c r="HFO188" s="78"/>
      <c r="HFP188" s="78"/>
      <c r="HFQ188" s="78"/>
      <c r="HFR188" s="78"/>
      <c r="HFS188" s="78"/>
      <c r="HFT188" s="78"/>
      <c r="HFU188" s="78"/>
      <c r="HFV188" s="78"/>
      <c r="HFW188" s="78"/>
      <c r="HFX188" s="78"/>
      <c r="HFY188" s="78"/>
      <c r="HFZ188" s="78"/>
      <c r="HGA188" s="78"/>
      <c r="HGB188" s="78"/>
      <c r="HGC188" s="78"/>
      <c r="HGD188" s="78"/>
      <c r="HGE188" s="78"/>
      <c r="HGF188" s="78"/>
      <c r="HGG188" s="78"/>
      <c r="HGH188" s="78"/>
      <c r="HGI188" s="78"/>
      <c r="HGJ188" s="78"/>
      <c r="HGK188" s="78"/>
      <c r="HGL188" s="78"/>
      <c r="HGM188" s="78"/>
      <c r="HGN188" s="78"/>
      <c r="HGO188" s="78"/>
      <c r="HGP188" s="78"/>
      <c r="HGQ188" s="78"/>
      <c r="HGR188" s="78"/>
      <c r="HGS188" s="78"/>
      <c r="HGT188" s="78"/>
      <c r="HGU188" s="78"/>
      <c r="HGV188" s="78"/>
      <c r="HGW188" s="78"/>
      <c r="HGX188" s="78"/>
      <c r="HGY188" s="78"/>
      <c r="HGZ188" s="78"/>
      <c r="HHA188" s="78"/>
      <c r="HHB188" s="78"/>
      <c r="HHC188" s="78"/>
      <c r="HHD188" s="78"/>
      <c r="HHE188" s="78"/>
      <c r="HHF188" s="78"/>
      <c r="HHG188" s="78"/>
      <c r="HHH188" s="78"/>
      <c r="HHI188" s="78"/>
      <c r="HHJ188" s="78"/>
      <c r="HHK188" s="78"/>
      <c r="HHL188" s="78"/>
      <c r="HHM188" s="78"/>
      <c r="HHN188" s="78"/>
      <c r="HHO188" s="78"/>
      <c r="HHP188" s="78"/>
      <c r="HHQ188" s="78"/>
      <c r="HHR188" s="78"/>
      <c r="HHS188" s="78"/>
      <c r="HHT188" s="78"/>
      <c r="HHU188" s="78"/>
      <c r="HHV188" s="78"/>
      <c r="HHW188" s="78"/>
      <c r="HHX188" s="78"/>
      <c r="HHY188" s="78"/>
      <c r="HHZ188" s="78"/>
      <c r="HIA188" s="78"/>
      <c r="HIB188" s="78"/>
      <c r="HIC188" s="78"/>
      <c r="HID188" s="78"/>
      <c r="HIE188" s="78"/>
      <c r="HIF188" s="78"/>
      <c r="HIG188" s="78"/>
      <c r="HIH188" s="78"/>
      <c r="HII188" s="78"/>
      <c r="HIJ188" s="78"/>
      <c r="HIK188" s="78"/>
      <c r="HIL188" s="78"/>
      <c r="HIM188" s="78"/>
      <c r="HIN188" s="78"/>
      <c r="HIO188" s="78"/>
      <c r="HIP188" s="78"/>
      <c r="HIQ188" s="78"/>
      <c r="HIR188" s="78"/>
      <c r="HIS188" s="78"/>
      <c r="HIT188" s="78"/>
      <c r="HIU188" s="78"/>
      <c r="HIV188" s="78"/>
      <c r="HIW188" s="78"/>
      <c r="HIX188" s="78"/>
      <c r="HIY188" s="78"/>
      <c r="HIZ188" s="78"/>
      <c r="HJA188" s="78"/>
      <c r="HJB188" s="78"/>
      <c r="HJC188" s="78"/>
      <c r="HJD188" s="78"/>
      <c r="HJE188" s="78"/>
      <c r="HJF188" s="78"/>
      <c r="HJG188" s="78"/>
      <c r="HJH188" s="78"/>
      <c r="HJI188" s="78"/>
      <c r="HJJ188" s="78"/>
      <c r="HJK188" s="78"/>
      <c r="HJL188" s="78"/>
      <c r="HJM188" s="78"/>
      <c r="HJN188" s="78"/>
      <c r="HJO188" s="78"/>
      <c r="HJP188" s="78"/>
      <c r="HJQ188" s="78"/>
      <c r="HJR188" s="78"/>
      <c r="HJS188" s="78"/>
      <c r="HJT188" s="78"/>
      <c r="HJU188" s="78"/>
      <c r="HJV188" s="78"/>
      <c r="HJW188" s="78"/>
      <c r="HJX188" s="78"/>
      <c r="HJY188" s="78"/>
      <c r="HJZ188" s="78"/>
      <c r="HKA188" s="78"/>
      <c r="HKB188" s="78"/>
      <c r="HKC188" s="78"/>
      <c r="HKD188" s="78"/>
      <c r="HKE188" s="78"/>
      <c r="HKF188" s="78"/>
      <c r="HKG188" s="78"/>
      <c r="HKH188" s="78"/>
      <c r="HKI188" s="78"/>
      <c r="HKJ188" s="78"/>
      <c r="HKK188" s="78"/>
      <c r="HKL188" s="78"/>
      <c r="HKM188" s="78"/>
      <c r="HKN188" s="78"/>
      <c r="HKO188" s="78"/>
      <c r="HKP188" s="78"/>
      <c r="HKQ188" s="78"/>
      <c r="HKR188" s="78"/>
      <c r="HKS188" s="78"/>
      <c r="HKT188" s="78"/>
      <c r="HKU188" s="78"/>
      <c r="HKV188" s="78"/>
      <c r="HKW188" s="78"/>
      <c r="HKX188" s="78"/>
      <c r="HKY188" s="78"/>
      <c r="HKZ188" s="78"/>
      <c r="HLA188" s="78"/>
      <c r="HLB188" s="78"/>
      <c r="HLC188" s="78"/>
      <c r="HLD188" s="78"/>
      <c r="HLE188" s="78"/>
      <c r="HLF188" s="78"/>
      <c r="HLG188" s="78"/>
      <c r="HLH188" s="78"/>
      <c r="HLI188" s="78"/>
      <c r="HLJ188" s="78"/>
      <c r="HLK188" s="78"/>
      <c r="HLL188" s="78"/>
      <c r="HLM188" s="78"/>
      <c r="HLN188" s="78"/>
      <c r="HLO188" s="78"/>
      <c r="HLP188" s="78"/>
      <c r="HLQ188" s="78"/>
      <c r="HLR188" s="78"/>
      <c r="HLS188" s="78"/>
      <c r="HLT188" s="78"/>
      <c r="HLU188" s="78"/>
      <c r="HLV188" s="78"/>
      <c r="HLW188" s="78"/>
      <c r="HLX188" s="78"/>
      <c r="HLY188" s="78"/>
      <c r="HLZ188" s="78"/>
      <c r="HMA188" s="78"/>
      <c r="HMB188" s="78"/>
      <c r="HMC188" s="78"/>
      <c r="HMD188" s="78"/>
      <c r="HME188" s="78"/>
      <c r="HMF188" s="78"/>
      <c r="HMG188" s="78"/>
      <c r="HMH188" s="78"/>
      <c r="HMI188" s="78"/>
      <c r="HMJ188" s="78"/>
      <c r="HMK188" s="78"/>
      <c r="HML188" s="78"/>
      <c r="HMM188" s="78"/>
      <c r="HMN188" s="78"/>
      <c r="HMO188" s="78"/>
      <c r="HMP188" s="78"/>
      <c r="HMQ188" s="78"/>
      <c r="HMR188" s="78"/>
      <c r="HMS188" s="78"/>
      <c r="HMT188" s="78"/>
      <c r="HMU188" s="78"/>
      <c r="HMV188" s="78"/>
      <c r="HMW188" s="78"/>
      <c r="HMX188" s="78"/>
      <c r="HMY188" s="78"/>
      <c r="HMZ188" s="78"/>
      <c r="HNA188" s="78"/>
      <c r="HNB188" s="78"/>
      <c r="HNC188" s="78"/>
      <c r="HND188" s="78"/>
      <c r="HNE188" s="78"/>
      <c r="HNF188" s="78"/>
      <c r="HNG188" s="78"/>
      <c r="HNH188" s="78"/>
      <c r="HNI188" s="78"/>
      <c r="HNJ188" s="78"/>
      <c r="HNK188" s="78"/>
      <c r="HNL188" s="78"/>
      <c r="HNM188" s="78"/>
      <c r="HNN188" s="78"/>
      <c r="HNO188" s="78"/>
      <c r="HNP188" s="78"/>
      <c r="HNQ188" s="78"/>
      <c r="HNR188" s="78"/>
      <c r="HNS188" s="78"/>
      <c r="HNT188" s="78"/>
      <c r="HNU188" s="78"/>
      <c r="HNV188" s="78"/>
      <c r="HNW188" s="78"/>
      <c r="HNX188" s="78"/>
      <c r="HNY188" s="78"/>
      <c r="HNZ188" s="78"/>
      <c r="HOA188" s="78"/>
      <c r="HOB188" s="78"/>
      <c r="HOC188" s="78"/>
      <c r="HOD188" s="78"/>
      <c r="HOE188" s="78"/>
      <c r="HOF188" s="78"/>
      <c r="HOG188" s="78"/>
      <c r="HOH188" s="78"/>
      <c r="HOI188" s="78"/>
      <c r="HOJ188" s="78"/>
      <c r="HOK188" s="78"/>
      <c r="HOL188" s="78"/>
      <c r="HOM188" s="78"/>
      <c r="HON188" s="78"/>
      <c r="HOO188" s="78"/>
      <c r="HOP188" s="78"/>
      <c r="HOQ188" s="78"/>
      <c r="HOR188" s="78"/>
      <c r="HOS188" s="78"/>
      <c r="HOT188" s="78"/>
      <c r="HOU188" s="78"/>
      <c r="HOV188" s="78"/>
      <c r="HOW188" s="78"/>
      <c r="HOX188" s="78"/>
      <c r="HOY188" s="78"/>
      <c r="HOZ188" s="78"/>
      <c r="HPA188" s="78"/>
      <c r="HPB188" s="78"/>
      <c r="HPC188" s="78"/>
      <c r="HPD188" s="78"/>
      <c r="HPE188" s="78"/>
      <c r="HPF188" s="78"/>
      <c r="HPG188" s="78"/>
      <c r="HPH188" s="78"/>
      <c r="HPI188" s="78"/>
      <c r="HPJ188" s="78"/>
      <c r="HPK188" s="78"/>
      <c r="HPL188" s="78"/>
      <c r="HPM188" s="78"/>
      <c r="HPN188" s="78"/>
      <c r="HPO188" s="78"/>
      <c r="HPP188" s="78"/>
      <c r="HPQ188" s="78"/>
      <c r="HPR188" s="78"/>
      <c r="HPS188" s="78"/>
      <c r="HPT188" s="78"/>
      <c r="HPU188" s="78"/>
      <c r="HPV188" s="78"/>
      <c r="HPW188" s="78"/>
      <c r="HPX188" s="78"/>
      <c r="HPY188" s="78"/>
      <c r="HPZ188" s="78"/>
      <c r="HQA188" s="78"/>
      <c r="HQB188" s="78"/>
      <c r="HQC188" s="78"/>
      <c r="HQD188" s="78"/>
      <c r="HQE188" s="78"/>
      <c r="HQF188" s="78"/>
      <c r="HQG188" s="78"/>
      <c r="HQH188" s="78"/>
      <c r="HQI188" s="78"/>
      <c r="HQJ188" s="78"/>
      <c r="HQK188" s="78"/>
      <c r="HQL188" s="78"/>
      <c r="HQM188" s="78"/>
      <c r="HQN188" s="78"/>
      <c r="HQO188" s="78"/>
      <c r="HQP188" s="78"/>
      <c r="HQQ188" s="78"/>
      <c r="HQR188" s="78"/>
      <c r="HQS188" s="78"/>
      <c r="HQT188" s="78"/>
      <c r="HQU188" s="78"/>
      <c r="HQV188" s="78"/>
      <c r="HQW188" s="78"/>
      <c r="HQX188" s="78"/>
      <c r="HQY188" s="78"/>
      <c r="HQZ188" s="78"/>
      <c r="HRA188" s="78"/>
      <c r="HRB188" s="78"/>
      <c r="HRC188" s="78"/>
      <c r="HRD188" s="78"/>
      <c r="HRE188" s="78"/>
      <c r="HRF188" s="78"/>
      <c r="HRG188" s="78"/>
      <c r="HRH188" s="78"/>
      <c r="HRI188" s="78"/>
      <c r="HRJ188" s="78"/>
      <c r="HRK188" s="78"/>
      <c r="HRL188" s="78"/>
      <c r="HRM188" s="78"/>
      <c r="HRN188" s="78"/>
      <c r="HRO188" s="78"/>
      <c r="HRP188" s="78"/>
      <c r="HRQ188" s="78"/>
      <c r="HRR188" s="78"/>
      <c r="HRS188" s="78"/>
      <c r="HRT188" s="78"/>
      <c r="HRU188" s="78"/>
      <c r="HRV188" s="78"/>
      <c r="HRW188" s="78"/>
      <c r="HRX188" s="78"/>
      <c r="HRY188" s="78"/>
      <c r="HRZ188" s="78"/>
      <c r="HSA188" s="78"/>
      <c r="HSB188" s="78"/>
      <c r="HSC188" s="78"/>
      <c r="HSD188" s="78"/>
      <c r="HSE188" s="78"/>
      <c r="HSF188" s="78"/>
      <c r="HSG188" s="78"/>
      <c r="HSH188" s="78"/>
      <c r="HSI188" s="78"/>
      <c r="HSJ188" s="78"/>
      <c r="HSK188" s="78"/>
      <c r="HSL188" s="78"/>
      <c r="HSM188" s="78"/>
      <c r="HSN188" s="78"/>
      <c r="HSO188" s="78"/>
      <c r="HSP188" s="78"/>
      <c r="HSQ188" s="78"/>
      <c r="HSR188" s="78"/>
      <c r="HSS188" s="78"/>
      <c r="HST188" s="78"/>
      <c r="HSU188" s="78"/>
      <c r="HSV188" s="78"/>
      <c r="HSW188" s="78"/>
      <c r="HSX188" s="78"/>
      <c r="HSY188" s="78"/>
      <c r="HSZ188" s="78"/>
      <c r="HTA188" s="78"/>
      <c r="HTB188" s="78"/>
      <c r="HTC188" s="78"/>
      <c r="HTD188" s="78"/>
      <c r="HTE188" s="78"/>
      <c r="HTF188" s="78"/>
      <c r="HTG188" s="78"/>
      <c r="HTH188" s="78"/>
      <c r="HTI188" s="78"/>
      <c r="HTJ188" s="78"/>
      <c r="HTK188" s="78"/>
      <c r="HTL188" s="78"/>
      <c r="HTM188" s="78"/>
      <c r="HTN188" s="78"/>
      <c r="HTO188" s="78"/>
      <c r="HTP188" s="78"/>
      <c r="HTQ188" s="78"/>
      <c r="HTR188" s="78"/>
      <c r="HTS188" s="78"/>
      <c r="HTT188" s="78"/>
      <c r="HTU188" s="78"/>
      <c r="HTV188" s="78"/>
      <c r="HTW188" s="78"/>
      <c r="HTX188" s="78"/>
      <c r="HTY188" s="78"/>
      <c r="HTZ188" s="78"/>
      <c r="HUA188" s="78"/>
      <c r="HUB188" s="78"/>
      <c r="HUC188" s="78"/>
      <c r="HUD188" s="78"/>
      <c r="HUE188" s="78"/>
      <c r="HUF188" s="78"/>
      <c r="HUG188" s="78"/>
      <c r="HUH188" s="78"/>
      <c r="HUI188" s="78"/>
      <c r="HUJ188" s="78"/>
      <c r="HUK188" s="78"/>
      <c r="HUL188" s="78"/>
      <c r="HUM188" s="78"/>
      <c r="HUN188" s="78"/>
      <c r="HUO188" s="78"/>
      <c r="HUP188" s="78"/>
      <c r="HUQ188" s="78"/>
      <c r="HUR188" s="78"/>
      <c r="HUS188" s="78"/>
      <c r="HUT188" s="78"/>
      <c r="HUU188" s="78"/>
      <c r="HUV188" s="78"/>
      <c r="HUW188" s="78"/>
      <c r="HUX188" s="78"/>
      <c r="HUY188" s="78"/>
      <c r="HUZ188" s="78"/>
      <c r="HVA188" s="78"/>
      <c r="HVB188" s="78"/>
      <c r="HVC188" s="78"/>
      <c r="HVD188" s="78"/>
      <c r="HVE188" s="78"/>
      <c r="HVF188" s="78"/>
      <c r="HVG188" s="78"/>
      <c r="HVH188" s="78"/>
      <c r="HVI188" s="78"/>
      <c r="HVJ188" s="78"/>
      <c r="HVK188" s="78"/>
      <c r="HVL188" s="78"/>
      <c r="HVM188" s="78"/>
      <c r="HVN188" s="78"/>
      <c r="HVO188" s="78"/>
      <c r="HVP188" s="78"/>
      <c r="HVQ188" s="78"/>
      <c r="HVR188" s="78"/>
      <c r="HVS188" s="78"/>
      <c r="HVT188" s="78"/>
      <c r="HVU188" s="78"/>
      <c r="HVV188" s="78"/>
      <c r="HVW188" s="78"/>
      <c r="HVX188" s="78"/>
      <c r="HVY188" s="78"/>
      <c r="HVZ188" s="78"/>
      <c r="HWA188" s="78"/>
      <c r="HWB188" s="78"/>
      <c r="HWC188" s="78"/>
      <c r="HWD188" s="78"/>
      <c r="HWE188" s="78"/>
      <c r="HWF188" s="78"/>
      <c r="HWG188" s="78"/>
      <c r="HWH188" s="78"/>
      <c r="HWI188" s="78"/>
      <c r="HWJ188" s="78"/>
      <c r="HWK188" s="78"/>
      <c r="HWL188" s="78"/>
      <c r="HWM188" s="78"/>
      <c r="HWN188" s="78"/>
      <c r="HWO188" s="78"/>
      <c r="HWP188" s="78"/>
      <c r="HWQ188" s="78"/>
      <c r="HWR188" s="78"/>
      <c r="HWS188" s="78"/>
      <c r="HWT188" s="78"/>
      <c r="HWU188" s="78"/>
      <c r="HWV188" s="78"/>
      <c r="HWW188" s="78"/>
      <c r="HWX188" s="78"/>
      <c r="HWY188" s="78"/>
      <c r="HWZ188" s="78"/>
      <c r="HXA188" s="78"/>
      <c r="HXB188" s="78"/>
      <c r="HXC188" s="78"/>
      <c r="HXD188" s="78"/>
      <c r="HXE188" s="78"/>
      <c r="HXF188" s="78"/>
      <c r="HXG188" s="78"/>
      <c r="HXH188" s="78"/>
      <c r="HXI188" s="78"/>
      <c r="HXJ188" s="78"/>
      <c r="HXK188" s="78"/>
      <c r="HXL188" s="78"/>
      <c r="HXM188" s="78"/>
      <c r="HXN188" s="78"/>
      <c r="HXO188" s="78"/>
      <c r="HXP188" s="78"/>
      <c r="HXQ188" s="78"/>
      <c r="HXR188" s="78"/>
      <c r="HXS188" s="78"/>
      <c r="HXT188" s="78"/>
      <c r="HXU188" s="78"/>
      <c r="HXV188" s="78"/>
      <c r="HXW188" s="78"/>
      <c r="HXX188" s="78"/>
      <c r="HXY188" s="78"/>
      <c r="HXZ188" s="78"/>
      <c r="HYA188" s="78"/>
      <c r="HYB188" s="78"/>
      <c r="HYC188" s="78"/>
      <c r="HYD188" s="78"/>
      <c r="HYE188" s="78"/>
      <c r="HYF188" s="78"/>
      <c r="HYG188" s="78"/>
      <c r="HYH188" s="78"/>
      <c r="HYI188" s="78"/>
      <c r="HYJ188" s="78"/>
      <c r="HYK188" s="78"/>
      <c r="HYL188" s="78"/>
      <c r="HYM188" s="78"/>
      <c r="HYN188" s="78"/>
      <c r="HYO188" s="78"/>
      <c r="HYP188" s="78"/>
      <c r="HYQ188" s="78"/>
      <c r="HYR188" s="78"/>
      <c r="HYS188" s="78"/>
      <c r="HYT188" s="78"/>
      <c r="HYU188" s="78"/>
      <c r="HYV188" s="78"/>
      <c r="HYW188" s="78"/>
      <c r="HYX188" s="78"/>
      <c r="HYY188" s="78"/>
      <c r="HYZ188" s="78"/>
      <c r="HZA188" s="78"/>
      <c r="HZB188" s="78"/>
      <c r="HZC188" s="78"/>
      <c r="HZD188" s="78"/>
      <c r="HZE188" s="78"/>
      <c r="HZF188" s="78"/>
      <c r="HZG188" s="78"/>
      <c r="HZH188" s="78"/>
      <c r="HZI188" s="78"/>
      <c r="HZJ188" s="78"/>
      <c r="HZK188" s="78"/>
      <c r="HZL188" s="78"/>
      <c r="HZM188" s="78"/>
      <c r="HZN188" s="78"/>
      <c r="HZO188" s="78"/>
      <c r="HZP188" s="78"/>
      <c r="HZQ188" s="78"/>
      <c r="HZR188" s="78"/>
      <c r="HZS188" s="78"/>
      <c r="HZT188" s="78"/>
      <c r="HZU188" s="78"/>
      <c r="HZV188" s="78"/>
      <c r="HZW188" s="78"/>
      <c r="HZX188" s="78"/>
      <c r="HZY188" s="78"/>
      <c r="HZZ188" s="78"/>
      <c r="IAA188" s="78"/>
      <c r="IAB188" s="78"/>
      <c r="IAC188" s="78"/>
      <c r="IAD188" s="78"/>
      <c r="IAE188" s="78"/>
      <c r="IAF188" s="78"/>
      <c r="IAG188" s="78"/>
      <c r="IAH188" s="78"/>
      <c r="IAI188" s="78"/>
      <c r="IAJ188" s="78"/>
      <c r="IAK188" s="78"/>
      <c r="IAL188" s="78"/>
      <c r="IAM188" s="78"/>
      <c r="IAN188" s="78"/>
      <c r="IAO188" s="78"/>
      <c r="IAP188" s="78"/>
      <c r="IAQ188" s="78"/>
      <c r="IAR188" s="78"/>
      <c r="IAS188" s="78"/>
      <c r="IAT188" s="78"/>
      <c r="IAU188" s="78"/>
      <c r="IAV188" s="78"/>
      <c r="IAW188" s="78"/>
      <c r="IAX188" s="78"/>
      <c r="IAY188" s="78"/>
      <c r="IAZ188" s="78"/>
      <c r="IBA188" s="78"/>
      <c r="IBB188" s="78"/>
      <c r="IBC188" s="78"/>
      <c r="IBD188" s="78"/>
      <c r="IBE188" s="78"/>
      <c r="IBF188" s="78"/>
      <c r="IBG188" s="78"/>
      <c r="IBH188" s="78"/>
      <c r="IBI188" s="78"/>
      <c r="IBJ188" s="78"/>
      <c r="IBK188" s="78"/>
      <c r="IBL188" s="78"/>
      <c r="IBM188" s="78"/>
      <c r="IBN188" s="78"/>
      <c r="IBO188" s="78"/>
      <c r="IBP188" s="78"/>
      <c r="IBQ188" s="78"/>
      <c r="IBR188" s="78"/>
      <c r="IBS188" s="78"/>
      <c r="IBT188" s="78"/>
      <c r="IBU188" s="78"/>
      <c r="IBV188" s="78"/>
      <c r="IBW188" s="78"/>
      <c r="IBX188" s="78"/>
      <c r="IBY188" s="78"/>
      <c r="IBZ188" s="78"/>
      <c r="ICA188" s="78"/>
      <c r="ICB188" s="78"/>
      <c r="ICC188" s="78"/>
      <c r="ICD188" s="78"/>
      <c r="ICE188" s="78"/>
      <c r="ICF188" s="78"/>
      <c r="ICG188" s="78"/>
      <c r="ICH188" s="78"/>
      <c r="ICI188" s="78"/>
      <c r="ICJ188" s="78"/>
      <c r="ICK188" s="78"/>
      <c r="ICL188" s="78"/>
      <c r="ICM188" s="78"/>
      <c r="ICN188" s="78"/>
      <c r="ICO188" s="78"/>
      <c r="ICP188" s="78"/>
      <c r="ICQ188" s="78"/>
      <c r="ICR188" s="78"/>
      <c r="ICS188" s="78"/>
      <c r="ICT188" s="78"/>
      <c r="ICU188" s="78"/>
      <c r="ICV188" s="78"/>
      <c r="ICW188" s="78"/>
      <c r="ICX188" s="78"/>
      <c r="ICY188" s="78"/>
      <c r="ICZ188" s="78"/>
      <c r="IDA188" s="78"/>
      <c r="IDB188" s="78"/>
      <c r="IDC188" s="78"/>
      <c r="IDD188" s="78"/>
      <c r="IDE188" s="78"/>
      <c r="IDF188" s="78"/>
      <c r="IDG188" s="78"/>
      <c r="IDH188" s="78"/>
      <c r="IDI188" s="78"/>
      <c r="IDJ188" s="78"/>
      <c r="IDK188" s="78"/>
      <c r="IDL188" s="78"/>
      <c r="IDM188" s="78"/>
      <c r="IDN188" s="78"/>
      <c r="IDO188" s="78"/>
      <c r="IDP188" s="78"/>
      <c r="IDQ188" s="78"/>
      <c r="IDR188" s="78"/>
      <c r="IDS188" s="78"/>
      <c r="IDT188" s="78"/>
      <c r="IDU188" s="78"/>
      <c r="IDV188" s="78"/>
      <c r="IDW188" s="78"/>
      <c r="IDX188" s="78"/>
      <c r="IDY188" s="78"/>
      <c r="IDZ188" s="78"/>
      <c r="IEA188" s="78"/>
      <c r="IEB188" s="78"/>
      <c r="IEC188" s="78"/>
      <c r="IED188" s="78"/>
      <c r="IEE188" s="78"/>
      <c r="IEF188" s="78"/>
      <c r="IEG188" s="78"/>
      <c r="IEH188" s="78"/>
      <c r="IEI188" s="78"/>
      <c r="IEJ188" s="78"/>
      <c r="IEK188" s="78"/>
      <c r="IEL188" s="78"/>
      <c r="IEM188" s="78"/>
      <c r="IEN188" s="78"/>
      <c r="IEO188" s="78"/>
      <c r="IEP188" s="78"/>
      <c r="IEQ188" s="78"/>
      <c r="IER188" s="78"/>
      <c r="IES188" s="78"/>
      <c r="IET188" s="78"/>
      <c r="IEU188" s="78"/>
      <c r="IEV188" s="78"/>
      <c r="IEW188" s="78"/>
      <c r="IEX188" s="78"/>
      <c r="IEY188" s="78"/>
      <c r="IEZ188" s="78"/>
      <c r="IFA188" s="78"/>
      <c r="IFB188" s="78"/>
      <c r="IFC188" s="78"/>
      <c r="IFD188" s="78"/>
      <c r="IFE188" s="78"/>
      <c r="IFF188" s="78"/>
      <c r="IFG188" s="78"/>
      <c r="IFH188" s="78"/>
      <c r="IFI188" s="78"/>
      <c r="IFJ188" s="78"/>
      <c r="IFK188" s="78"/>
      <c r="IFL188" s="78"/>
      <c r="IFM188" s="78"/>
      <c r="IFN188" s="78"/>
      <c r="IFO188" s="78"/>
      <c r="IFP188" s="78"/>
      <c r="IFQ188" s="78"/>
      <c r="IFR188" s="78"/>
      <c r="IFS188" s="78"/>
      <c r="IFT188" s="78"/>
      <c r="IFU188" s="78"/>
      <c r="IFV188" s="78"/>
      <c r="IFW188" s="78"/>
      <c r="IFX188" s="78"/>
      <c r="IFY188" s="78"/>
      <c r="IFZ188" s="78"/>
      <c r="IGA188" s="78"/>
      <c r="IGB188" s="78"/>
      <c r="IGC188" s="78"/>
      <c r="IGD188" s="78"/>
      <c r="IGE188" s="78"/>
      <c r="IGF188" s="78"/>
      <c r="IGG188" s="78"/>
      <c r="IGH188" s="78"/>
      <c r="IGI188" s="78"/>
      <c r="IGJ188" s="78"/>
      <c r="IGK188" s="78"/>
      <c r="IGL188" s="78"/>
      <c r="IGM188" s="78"/>
      <c r="IGN188" s="78"/>
      <c r="IGO188" s="78"/>
      <c r="IGP188" s="78"/>
      <c r="IGQ188" s="78"/>
      <c r="IGR188" s="78"/>
      <c r="IGS188" s="78"/>
      <c r="IGT188" s="78"/>
      <c r="IGU188" s="78"/>
      <c r="IGV188" s="78"/>
      <c r="IGW188" s="78"/>
      <c r="IGX188" s="78"/>
      <c r="IGY188" s="78"/>
      <c r="IGZ188" s="78"/>
      <c r="IHA188" s="78"/>
      <c r="IHB188" s="78"/>
      <c r="IHC188" s="78"/>
      <c r="IHD188" s="78"/>
      <c r="IHE188" s="78"/>
      <c r="IHF188" s="78"/>
      <c r="IHG188" s="78"/>
      <c r="IHH188" s="78"/>
      <c r="IHI188" s="78"/>
      <c r="IHJ188" s="78"/>
      <c r="IHK188" s="78"/>
      <c r="IHL188" s="78"/>
      <c r="IHM188" s="78"/>
      <c r="IHN188" s="78"/>
      <c r="IHO188" s="78"/>
      <c r="IHP188" s="78"/>
      <c r="IHQ188" s="78"/>
      <c r="IHR188" s="78"/>
      <c r="IHS188" s="78"/>
      <c r="IHT188" s="78"/>
      <c r="IHU188" s="78"/>
      <c r="IHV188" s="78"/>
      <c r="IHW188" s="78"/>
      <c r="IHX188" s="78"/>
      <c r="IHY188" s="78"/>
      <c r="IHZ188" s="78"/>
      <c r="IIA188" s="78"/>
      <c r="IIB188" s="78"/>
      <c r="IIC188" s="78"/>
      <c r="IID188" s="78"/>
      <c r="IIE188" s="78"/>
      <c r="IIF188" s="78"/>
      <c r="IIG188" s="78"/>
      <c r="IIH188" s="78"/>
      <c r="III188" s="78"/>
      <c r="IIJ188" s="78"/>
      <c r="IIK188" s="78"/>
      <c r="IIL188" s="78"/>
      <c r="IIM188" s="78"/>
      <c r="IIN188" s="78"/>
      <c r="IIO188" s="78"/>
      <c r="IIP188" s="78"/>
      <c r="IIQ188" s="78"/>
      <c r="IIR188" s="78"/>
      <c r="IIS188" s="78"/>
      <c r="IIT188" s="78"/>
      <c r="IIU188" s="78"/>
      <c r="IIV188" s="78"/>
      <c r="IIW188" s="78"/>
      <c r="IIX188" s="78"/>
      <c r="IIY188" s="78"/>
      <c r="IIZ188" s="78"/>
      <c r="IJA188" s="78"/>
      <c r="IJB188" s="78"/>
      <c r="IJC188" s="78"/>
      <c r="IJD188" s="78"/>
      <c r="IJE188" s="78"/>
      <c r="IJF188" s="78"/>
      <c r="IJG188" s="78"/>
      <c r="IJH188" s="78"/>
      <c r="IJI188" s="78"/>
      <c r="IJJ188" s="78"/>
      <c r="IJK188" s="78"/>
      <c r="IJL188" s="78"/>
      <c r="IJM188" s="78"/>
      <c r="IJN188" s="78"/>
      <c r="IJO188" s="78"/>
      <c r="IJP188" s="78"/>
      <c r="IJQ188" s="78"/>
      <c r="IJR188" s="78"/>
      <c r="IJS188" s="78"/>
      <c r="IJT188" s="78"/>
      <c r="IJU188" s="78"/>
      <c r="IJV188" s="78"/>
      <c r="IJW188" s="78"/>
      <c r="IJX188" s="78"/>
      <c r="IJY188" s="78"/>
      <c r="IJZ188" s="78"/>
      <c r="IKA188" s="78"/>
      <c r="IKB188" s="78"/>
      <c r="IKC188" s="78"/>
      <c r="IKD188" s="78"/>
      <c r="IKE188" s="78"/>
      <c r="IKF188" s="78"/>
      <c r="IKG188" s="78"/>
      <c r="IKH188" s="78"/>
      <c r="IKI188" s="78"/>
      <c r="IKJ188" s="78"/>
      <c r="IKK188" s="78"/>
      <c r="IKL188" s="78"/>
      <c r="IKM188" s="78"/>
      <c r="IKN188" s="78"/>
      <c r="IKO188" s="78"/>
      <c r="IKP188" s="78"/>
      <c r="IKQ188" s="78"/>
      <c r="IKR188" s="78"/>
      <c r="IKS188" s="78"/>
      <c r="IKT188" s="78"/>
      <c r="IKU188" s="78"/>
      <c r="IKV188" s="78"/>
      <c r="IKW188" s="78"/>
      <c r="IKX188" s="78"/>
      <c r="IKY188" s="78"/>
      <c r="IKZ188" s="78"/>
      <c r="ILA188" s="78"/>
      <c r="ILB188" s="78"/>
      <c r="ILC188" s="78"/>
      <c r="ILD188" s="78"/>
      <c r="ILE188" s="78"/>
      <c r="ILF188" s="78"/>
      <c r="ILG188" s="78"/>
      <c r="ILH188" s="78"/>
      <c r="ILI188" s="78"/>
      <c r="ILJ188" s="78"/>
      <c r="ILK188" s="78"/>
      <c r="ILL188" s="78"/>
      <c r="ILM188" s="78"/>
      <c r="ILN188" s="78"/>
      <c r="ILO188" s="78"/>
      <c r="ILP188" s="78"/>
      <c r="ILQ188" s="78"/>
      <c r="ILR188" s="78"/>
      <c r="ILS188" s="78"/>
      <c r="ILT188" s="78"/>
      <c r="ILU188" s="78"/>
      <c r="ILV188" s="78"/>
      <c r="ILW188" s="78"/>
      <c r="ILX188" s="78"/>
      <c r="ILY188" s="78"/>
      <c r="ILZ188" s="78"/>
      <c r="IMA188" s="78"/>
      <c r="IMB188" s="78"/>
      <c r="IMC188" s="78"/>
      <c r="IMD188" s="78"/>
      <c r="IME188" s="78"/>
      <c r="IMF188" s="78"/>
      <c r="IMG188" s="78"/>
      <c r="IMH188" s="78"/>
      <c r="IMI188" s="78"/>
      <c r="IMJ188" s="78"/>
      <c r="IMK188" s="78"/>
      <c r="IML188" s="78"/>
      <c r="IMM188" s="78"/>
      <c r="IMN188" s="78"/>
      <c r="IMO188" s="78"/>
      <c r="IMP188" s="78"/>
      <c r="IMQ188" s="78"/>
      <c r="IMR188" s="78"/>
      <c r="IMS188" s="78"/>
      <c r="IMT188" s="78"/>
      <c r="IMU188" s="78"/>
      <c r="IMV188" s="78"/>
      <c r="IMW188" s="78"/>
      <c r="IMX188" s="78"/>
      <c r="IMY188" s="78"/>
      <c r="IMZ188" s="78"/>
      <c r="INA188" s="78"/>
      <c r="INB188" s="78"/>
      <c r="INC188" s="78"/>
      <c r="IND188" s="78"/>
      <c r="INE188" s="78"/>
      <c r="INF188" s="78"/>
      <c r="ING188" s="78"/>
      <c r="INH188" s="78"/>
      <c r="INI188" s="78"/>
      <c r="INJ188" s="78"/>
      <c r="INK188" s="78"/>
      <c r="INL188" s="78"/>
      <c r="INM188" s="78"/>
      <c r="INN188" s="78"/>
      <c r="INO188" s="78"/>
      <c r="INP188" s="78"/>
      <c r="INQ188" s="78"/>
      <c r="INR188" s="78"/>
      <c r="INS188" s="78"/>
      <c r="INT188" s="78"/>
      <c r="INU188" s="78"/>
      <c r="INV188" s="78"/>
      <c r="INW188" s="78"/>
      <c r="INX188" s="78"/>
      <c r="INY188" s="78"/>
      <c r="INZ188" s="78"/>
      <c r="IOA188" s="78"/>
      <c r="IOB188" s="78"/>
      <c r="IOC188" s="78"/>
      <c r="IOD188" s="78"/>
      <c r="IOE188" s="78"/>
      <c r="IOF188" s="78"/>
      <c r="IOG188" s="78"/>
      <c r="IOH188" s="78"/>
      <c r="IOI188" s="78"/>
      <c r="IOJ188" s="78"/>
      <c r="IOK188" s="78"/>
      <c r="IOL188" s="78"/>
      <c r="IOM188" s="78"/>
      <c r="ION188" s="78"/>
      <c r="IOO188" s="78"/>
      <c r="IOP188" s="78"/>
      <c r="IOQ188" s="78"/>
      <c r="IOR188" s="78"/>
      <c r="IOS188" s="78"/>
      <c r="IOT188" s="78"/>
      <c r="IOU188" s="78"/>
      <c r="IOV188" s="78"/>
      <c r="IOW188" s="78"/>
      <c r="IOX188" s="78"/>
      <c r="IOY188" s="78"/>
      <c r="IOZ188" s="78"/>
      <c r="IPA188" s="78"/>
      <c r="IPB188" s="78"/>
      <c r="IPC188" s="78"/>
      <c r="IPD188" s="78"/>
      <c r="IPE188" s="78"/>
      <c r="IPF188" s="78"/>
      <c r="IPG188" s="78"/>
      <c r="IPH188" s="78"/>
      <c r="IPI188" s="78"/>
      <c r="IPJ188" s="78"/>
      <c r="IPK188" s="78"/>
      <c r="IPL188" s="78"/>
      <c r="IPM188" s="78"/>
      <c r="IPN188" s="78"/>
      <c r="IPO188" s="78"/>
      <c r="IPP188" s="78"/>
      <c r="IPQ188" s="78"/>
      <c r="IPR188" s="78"/>
      <c r="IPS188" s="78"/>
      <c r="IPT188" s="78"/>
      <c r="IPU188" s="78"/>
      <c r="IPV188" s="78"/>
      <c r="IPW188" s="78"/>
      <c r="IPX188" s="78"/>
      <c r="IPY188" s="78"/>
      <c r="IPZ188" s="78"/>
      <c r="IQA188" s="78"/>
      <c r="IQB188" s="78"/>
      <c r="IQC188" s="78"/>
      <c r="IQD188" s="78"/>
      <c r="IQE188" s="78"/>
      <c r="IQF188" s="78"/>
      <c r="IQG188" s="78"/>
      <c r="IQH188" s="78"/>
      <c r="IQI188" s="78"/>
      <c r="IQJ188" s="78"/>
      <c r="IQK188" s="78"/>
      <c r="IQL188" s="78"/>
      <c r="IQM188" s="78"/>
      <c r="IQN188" s="78"/>
      <c r="IQO188" s="78"/>
      <c r="IQP188" s="78"/>
      <c r="IQQ188" s="78"/>
      <c r="IQR188" s="78"/>
      <c r="IQS188" s="78"/>
      <c r="IQT188" s="78"/>
      <c r="IQU188" s="78"/>
      <c r="IQV188" s="78"/>
      <c r="IQW188" s="78"/>
      <c r="IQX188" s="78"/>
      <c r="IQY188" s="78"/>
      <c r="IQZ188" s="78"/>
      <c r="IRA188" s="78"/>
      <c r="IRB188" s="78"/>
      <c r="IRC188" s="78"/>
      <c r="IRD188" s="78"/>
      <c r="IRE188" s="78"/>
      <c r="IRF188" s="78"/>
      <c r="IRG188" s="78"/>
      <c r="IRH188" s="78"/>
      <c r="IRI188" s="78"/>
      <c r="IRJ188" s="78"/>
      <c r="IRK188" s="78"/>
      <c r="IRL188" s="78"/>
      <c r="IRM188" s="78"/>
      <c r="IRN188" s="78"/>
      <c r="IRO188" s="78"/>
      <c r="IRP188" s="78"/>
      <c r="IRQ188" s="78"/>
      <c r="IRR188" s="78"/>
      <c r="IRS188" s="78"/>
      <c r="IRT188" s="78"/>
      <c r="IRU188" s="78"/>
      <c r="IRV188" s="78"/>
      <c r="IRW188" s="78"/>
      <c r="IRX188" s="78"/>
      <c r="IRY188" s="78"/>
      <c r="IRZ188" s="78"/>
      <c r="ISA188" s="78"/>
      <c r="ISB188" s="78"/>
      <c r="ISC188" s="78"/>
      <c r="ISD188" s="78"/>
      <c r="ISE188" s="78"/>
      <c r="ISF188" s="78"/>
      <c r="ISG188" s="78"/>
      <c r="ISH188" s="78"/>
      <c r="ISI188" s="78"/>
      <c r="ISJ188" s="78"/>
      <c r="ISK188" s="78"/>
      <c r="ISL188" s="78"/>
      <c r="ISM188" s="78"/>
      <c r="ISN188" s="78"/>
      <c r="ISO188" s="78"/>
      <c r="ISP188" s="78"/>
      <c r="ISQ188" s="78"/>
      <c r="ISR188" s="78"/>
      <c r="ISS188" s="78"/>
      <c r="IST188" s="78"/>
      <c r="ISU188" s="78"/>
      <c r="ISV188" s="78"/>
      <c r="ISW188" s="78"/>
      <c r="ISX188" s="78"/>
      <c r="ISY188" s="78"/>
      <c r="ISZ188" s="78"/>
      <c r="ITA188" s="78"/>
      <c r="ITB188" s="78"/>
      <c r="ITC188" s="78"/>
      <c r="ITD188" s="78"/>
      <c r="ITE188" s="78"/>
      <c r="ITF188" s="78"/>
      <c r="ITG188" s="78"/>
      <c r="ITH188" s="78"/>
      <c r="ITI188" s="78"/>
      <c r="ITJ188" s="78"/>
      <c r="ITK188" s="78"/>
      <c r="ITL188" s="78"/>
      <c r="ITM188" s="78"/>
      <c r="ITN188" s="78"/>
      <c r="ITO188" s="78"/>
      <c r="ITP188" s="78"/>
      <c r="ITQ188" s="78"/>
      <c r="ITR188" s="78"/>
      <c r="ITS188" s="78"/>
      <c r="ITT188" s="78"/>
      <c r="ITU188" s="78"/>
      <c r="ITV188" s="78"/>
      <c r="ITW188" s="78"/>
      <c r="ITX188" s="78"/>
      <c r="ITY188" s="78"/>
      <c r="ITZ188" s="78"/>
      <c r="IUA188" s="78"/>
      <c r="IUB188" s="78"/>
      <c r="IUC188" s="78"/>
      <c r="IUD188" s="78"/>
      <c r="IUE188" s="78"/>
      <c r="IUF188" s="78"/>
      <c r="IUG188" s="78"/>
      <c r="IUH188" s="78"/>
      <c r="IUI188" s="78"/>
      <c r="IUJ188" s="78"/>
      <c r="IUK188" s="78"/>
      <c r="IUL188" s="78"/>
      <c r="IUM188" s="78"/>
      <c r="IUN188" s="78"/>
      <c r="IUO188" s="78"/>
      <c r="IUP188" s="78"/>
      <c r="IUQ188" s="78"/>
      <c r="IUR188" s="78"/>
      <c r="IUS188" s="78"/>
      <c r="IUT188" s="78"/>
      <c r="IUU188" s="78"/>
      <c r="IUV188" s="78"/>
      <c r="IUW188" s="78"/>
      <c r="IUX188" s="78"/>
      <c r="IUY188" s="78"/>
      <c r="IUZ188" s="78"/>
      <c r="IVA188" s="78"/>
      <c r="IVB188" s="78"/>
      <c r="IVC188" s="78"/>
      <c r="IVD188" s="78"/>
      <c r="IVE188" s="78"/>
      <c r="IVF188" s="78"/>
      <c r="IVG188" s="78"/>
      <c r="IVH188" s="78"/>
      <c r="IVI188" s="78"/>
      <c r="IVJ188" s="78"/>
      <c r="IVK188" s="78"/>
      <c r="IVL188" s="78"/>
      <c r="IVM188" s="78"/>
      <c r="IVN188" s="78"/>
      <c r="IVO188" s="78"/>
      <c r="IVP188" s="78"/>
      <c r="IVQ188" s="78"/>
      <c r="IVR188" s="78"/>
      <c r="IVS188" s="78"/>
      <c r="IVT188" s="78"/>
      <c r="IVU188" s="78"/>
      <c r="IVV188" s="78"/>
      <c r="IVW188" s="78"/>
      <c r="IVX188" s="78"/>
      <c r="IVY188" s="78"/>
      <c r="IVZ188" s="78"/>
      <c r="IWA188" s="78"/>
      <c r="IWB188" s="78"/>
      <c r="IWC188" s="78"/>
      <c r="IWD188" s="78"/>
      <c r="IWE188" s="78"/>
      <c r="IWF188" s="78"/>
      <c r="IWG188" s="78"/>
      <c r="IWH188" s="78"/>
      <c r="IWI188" s="78"/>
      <c r="IWJ188" s="78"/>
      <c r="IWK188" s="78"/>
      <c r="IWL188" s="78"/>
      <c r="IWM188" s="78"/>
      <c r="IWN188" s="78"/>
      <c r="IWO188" s="78"/>
      <c r="IWP188" s="78"/>
      <c r="IWQ188" s="78"/>
      <c r="IWR188" s="78"/>
      <c r="IWS188" s="78"/>
      <c r="IWT188" s="78"/>
      <c r="IWU188" s="78"/>
      <c r="IWV188" s="78"/>
      <c r="IWW188" s="78"/>
      <c r="IWX188" s="78"/>
      <c r="IWY188" s="78"/>
      <c r="IWZ188" s="78"/>
      <c r="IXA188" s="78"/>
      <c r="IXB188" s="78"/>
      <c r="IXC188" s="78"/>
      <c r="IXD188" s="78"/>
      <c r="IXE188" s="78"/>
      <c r="IXF188" s="78"/>
      <c r="IXG188" s="78"/>
      <c r="IXH188" s="78"/>
      <c r="IXI188" s="78"/>
      <c r="IXJ188" s="78"/>
      <c r="IXK188" s="78"/>
      <c r="IXL188" s="78"/>
      <c r="IXM188" s="78"/>
      <c r="IXN188" s="78"/>
      <c r="IXO188" s="78"/>
      <c r="IXP188" s="78"/>
      <c r="IXQ188" s="78"/>
      <c r="IXR188" s="78"/>
      <c r="IXS188" s="78"/>
      <c r="IXT188" s="78"/>
      <c r="IXU188" s="78"/>
      <c r="IXV188" s="78"/>
      <c r="IXW188" s="78"/>
      <c r="IXX188" s="78"/>
      <c r="IXY188" s="78"/>
      <c r="IXZ188" s="78"/>
      <c r="IYA188" s="78"/>
      <c r="IYB188" s="78"/>
      <c r="IYC188" s="78"/>
      <c r="IYD188" s="78"/>
      <c r="IYE188" s="78"/>
      <c r="IYF188" s="78"/>
      <c r="IYG188" s="78"/>
      <c r="IYH188" s="78"/>
      <c r="IYI188" s="78"/>
      <c r="IYJ188" s="78"/>
      <c r="IYK188" s="78"/>
      <c r="IYL188" s="78"/>
      <c r="IYM188" s="78"/>
      <c r="IYN188" s="78"/>
      <c r="IYO188" s="78"/>
      <c r="IYP188" s="78"/>
      <c r="IYQ188" s="78"/>
      <c r="IYR188" s="78"/>
      <c r="IYS188" s="78"/>
      <c r="IYT188" s="78"/>
      <c r="IYU188" s="78"/>
      <c r="IYV188" s="78"/>
      <c r="IYW188" s="78"/>
      <c r="IYX188" s="78"/>
      <c r="IYY188" s="78"/>
      <c r="IYZ188" s="78"/>
      <c r="IZA188" s="78"/>
      <c r="IZB188" s="78"/>
      <c r="IZC188" s="78"/>
      <c r="IZD188" s="78"/>
      <c r="IZE188" s="78"/>
      <c r="IZF188" s="78"/>
      <c r="IZG188" s="78"/>
      <c r="IZH188" s="78"/>
      <c r="IZI188" s="78"/>
      <c r="IZJ188" s="78"/>
      <c r="IZK188" s="78"/>
      <c r="IZL188" s="78"/>
      <c r="IZM188" s="78"/>
      <c r="IZN188" s="78"/>
      <c r="IZO188" s="78"/>
      <c r="IZP188" s="78"/>
      <c r="IZQ188" s="78"/>
      <c r="IZR188" s="78"/>
      <c r="IZS188" s="78"/>
      <c r="IZT188" s="78"/>
      <c r="IZU188" s="78"/>
      <c r="IZV188" s="78"/>
      <c r="IZW188" s="78"/>
      <c r="IZX188" s="78"/>
      <c r="IZY188" s="78"/>
      <c r="IZZ188" s="78"/>
      <c r="JAA188" s="78"/>
      <c r="JAB188" s="78"/>
      <c r="JAC188" s="78"/>
      <c r="JAD188" s="78"/>
      <c r="JAE188" s="78"/>
      <c r="JAF188" s="78"/>
      <c r="JAG188" s="78"/>
      <c r="JAH188" s="78"/>
      <c r="JAI188" s="78"/>
      <c r="JAJ188" s="78"/>
      <c r="JAK188" s="78"/>
      <c r="JAL188" s="78"/>
      <c r="JAM188" s="78"/>
      <c r="JAN188" s="78"/>
      <c r="JAO188" s="78"/>
      <c r="JAP188" s="78"/>
      <c r="JAQ188" s="78"/>
      <c r="JAR188" s="78"/>
      <c r="JAS188" s="78"/>
      <c r="JAT188" s="78"/>
      <c r="JAU188" s="78"/>
      <c r="JAV188" s="78"/>
      <c r="JAW188" s="78"/>
      <c r="JAX188" s="78"/>
      <c r="JAY188" s="78"/>
      <c r="JAZ188" s="78"/>
      <c r="JBA188" s="78"/>
      <c r="JBB188" s="78"/>
      <c r="JBC188" s="78"/>
      <c r="JBD188" s="78"/>
      <c r="JBE188" s="78"/>
      <c r="JBF188" s="78"/>
      <c r="JBG188" s="78"/>
      <c r="JBH188" s="78"/>
      <c r="JBI188" s="78"/>
      <c r="JBJ188" s="78"/>
      <c r="JBK188" s="78"/>
      <c r="JBL188" s="78"/>
      <c r="JBM188" s="78"/>
      <c r="JBN188" s="78"/>
      <c r="JBO188" s="78"/>
      <c r="JBP188" s="78"/>
      <c r="JBQ188" s="78"/>
      <c r="JBR188" s="78"/>
      <c r="JBS188" s="78"/>
      <c r="JBT188" s="78"/>
      <c r="JBU188" s="78"/>
      <c r="JBV188" s="78"/>
      <c r="JBW188" s="78"/>
      <c r="JBX188" s="78"/>
      <c r="JBY188" s="78"/>
      <c r="JBZ188" s="78"/>
      <c r="JCA188" s="78"/>
      <c r="JCB188" s="78"/>
      <c r="JCC188" s="78"/>
      <c r="JCD188" s="78"/>
      <c r="JCE188" s="78"/>
      <c r="JCF188" s="78"/>
      <c r="JCG188" s="78"/>
      <c r="JCH188" s="78"/>
      <c r="JCI188" s="78"/>
      <c r="JCJ188" s="78"/>
      <c r="JCK188" s="78"/>
      <c r="JCL188" s="78"/>
      <c r="JCM188" s="78"/>
      <c r="JCN188" s="78"/>
      <c r="JCO188" s="78"/>
      <c r="JCP188" s="78"/>
      <c r="JCQ188" s="78"/>
      <c r="JCR188" s="78"/>
      <c r="JCS188" s="78"/>
      <c r="JCT188" s="78"/>
      <c r="JCU188" s="78"/>
      <c r="JCV188" s="78"/>
      <c r="JCW188" s="78"/>
      <c r="JCX188" s="78"/>
      <c r="JCY188" s="78"/>
      <c r="JCZ188" s="78"/>
      <c r="JDA188" s="78"/>
      <c r="JDB188" s="78"/>
      <c r="JDC188" s="78"/>
      <c r="JDD188" s="78"/>
      <c r="JDE188" s="78"/>
      <c r="JDF188" s="78"/>
      <c r="JDG188" s="78"/>
      <c r="JDH188" s="78"/>
      <c r="JDI188" s="78"/>
      <c r="JDJ188" s="78"/>
      <c r="JDK188" s="78"/>
      <c r="JDL188" s="78"/>
      <c r="JDM188" s="78"/>
      <c r="JDN188" s="78"/>
      <c r="JDO188" s="78"/>
      <c r="JDP188" s="78"/>
      <c r="JDQ188" s="78"/>
      <c r="JDR188" s="78"/>
      <c r="JDS188" s="78"/>
      <c r="JDT188" s="78"/>
      <c r="JDU188" s="78"/>
      <c r="JDV188" s="78"/>
      <c r="JDW188" s="78"/>
      <c r="JDX188" s="78"/>
      <c r="JDY188" s="78"/>
      <c r="JDZ188" s="78"/>
      <c r="JEA188" s="78"/>
      <c r="JEB188" s="78"/>
      <c r="JEC188" s="78"/>
      <c r="JED188" s="78"/>
      <c r="JEE188" s="78"/>
      <c r="JEF188" s="78"/>
      <c r="JEG188" s="78"/>
      <c r="JEH188" s="78"/>
      <c r="JEI188" s="78"/>
      <c r="JEJ188" s="78"/>
      <c r="JEK188" s="78"/>
      <c r="JEL188" s="78"/>
      <c r="JEM188" s="78"/>
      <c r="JEN188" s="78"/>
      <c r="JEO188" s="78"/>
      <c r="JEP188" s="78"/>
      <c r="JEQ188" s="78"/>
      <c r="JER188" s="78"/>
      <c r="JES188" s="78"/>
      <c r="JET188" s="78"/>
      <c r="JEU188" s="78"/>
      <c r="JEV188" s="78"/>
      <c r="JEW188" s="78"/>
      <c r="JEX188" s="78"/>
      <c r="JEY188" s="78"/>
      <c r="JEZ188" s="78"/>
      <c r="JFA188" s="78"/>
      <c r="JFB188" s="78"/>
      <c r="JFC188" s="78"/>
      <c r="JFD188" s="78"/>
      <c r="JFE188" s="78"/>
      <c r="JFF188" s="78"/>
      <c r="JFG188" s="78"/>
      <c r="JFH188" s="78"/>
      <c r="JFI188" s="78"/>
      <c r="JFJ188" s="78"/>
      <c r="JFK188" s="78"/>
      <c r="JFL188" s="78"/>
      <c r="JFM188" s="78"/>
      <c r="JFN188" s="78"/>
      <c r="JFO188" s="78"/>
      <c r="JFP188" s="78"/>
      <c r="JFQ188" s="78"/>
      <c r="JFR188" s="78"/>
      <c r="JFS188" s="78"/>
      <c r="JFT188" s="78"/>
      <c r="JFU188" s="78"/>
      <c r="JFV188" s="78"/>
      <c r="JFW188" s="78"/>
      <c r="JFX188" s="78"/>
      <c r="JFY188" s="78"/>
      <c r="JFZ188" s="78"/>
      <c r="JGA188" s="78"/>
      <c r="JGB188" s="78"/>
      <c r="JGC188" s="78"/>
      <c r="JGD188" s="78"/>
      <c r="JGE188" s="78"/>
      <c r="JGF188" s="78"/>
      <c r="JGG188" s="78"/>
      <c r="JGH188" s="78"/>
      <c r="JGI188" s="78"/>
      <c r="JGJ188" s="78"/>
      <c r="JGK188" s="78"/>
      <c r="JGL188" s="78"/>
      <c r="JGM188" s="78"/>
      <c r="JGN188" s="78"/>
      <c r="JGO188" s="78"/>
      <c r="JGP188" s="78"/>
      <c r="JGQ188" s="78"/>
      <c r="JGR188" s="78"/>
      <c r="JGS188" s="78"/>
      <c r="JGT188" s="78"/>
      <c r="JGU188" s="78"/>
      <c r="JGV188" s="78"/>
      <c r="JGW188" s="78"/>
      <c r="JGX188" s="78"/>
      <c r="JGY188" s="78"/>
      <c r="JGZ188" s="78"/>
      <c r="JHA188" s="78"/>
      <c r="JHB188" s="78"/>
      <c r="JHC188" s="78"/>
      <c r="JHD188" s="78"/>
      <c r="JHE188" s="78"/>
      <c r="JHF188" s="78"/>
      <c r="JHG188" s="78"/>
      <c r="JHH188" s="78"/>
      <c r="JHI188" s="78"/>
      <c r="JHJ188" s="78"/>
      <c r="JHK188" s="78"/>
      <c r="JHL188" s="78"/>
      <c r="JHM188" s="78"/>
      <c r="JHN188" s="78"/>
      <c r="JHO188" s="78"/>
      <c r="JHP188" s="78"/>
      <c r="JHQ188" s="78"/>
      <c r="JHR188" s="78"/>
      <c r="JHS188" s="78"/>
      <c r="JHT188" s="78"/>
      <c r="JHU188" s="78"/>
      <c r="JHV188" s="78"/>
      <c r="JHW188" s="78"/>
      <c r="JHX188" s="78"/>
      <c r="JHY188" s="78"/>
      <c r="JHZ188" s="78"/>
      <c r="JIA188" s="78"/>
      <c r="JIB188" s="78"/>
      <c r="JIC188" s="78"/>
      <c r="JID188" s="78"/>
      <c r="JIE188" s="78"/>
      <c r="JIF188" s="78"/>
      <c r="JIG188" s="78"/>
      <c r="JIH188" s="78"/>
      <c r="JII188" s="78"/>
      <c r="JIJ188" s="78"/>
      <c r="JIK188" s="78"/>
      <c r="JIL188" s="78"/>
      <c r="JIM188" s="78"/>
      <c r="JIN188" s="78"/>
      <c r="JIO188" s="78"/>
      <c r="JIP188" s="78"/>
      <c r="JIQ188" s="78"/>
      <c r="JIR188" s="78"/>
      <c r="JIS188" s="78"/>
      <c r="JIT188" s="78"/>
      <c r="JIU188" s="78"/>
      <c r="JIV188" s="78"/>
      <c r="JIW188" s="78"/>
      <c r="JIX188" s="78"/>
      <c r="JIY188" s="78"/>
      <c r="JIZ188" s="78"/>
      <c r="JJA188" s="78"/>
      <c r="JJB188" s="78"/>
      <c r="JJC188" s="78"/>
      <c r="JJD188" s="78"/>
      <c r="JJE188" s="78"/>
      <c r="JJF188" s="78"/>
      <c r="JJG188" s="78"/>
      <c r="JJH188" s="78"/>
      <c r="JJI188" s="78"/>
      <c r="JJJ188" s="78"/>
      <c r="JJK188" s="78"/>
      <c r="JJL188" s="78"/>
      <c r="JJM188" s="78"/>
      <c r="JJN188" s="78"/>
      <c r="JJO188" s="78"/>
      <c r="JJP188" s="78"/>
      <c r="JJQ188" s="78"/>
      <c r="JJR188" s="78"/>
      <c r="JJS188" s="78"/>
      <c r="JJT188" s="78"/>
      <c r="JJU188" s="78"/>
      <c r="JJV188" s="78"/>
      <c r="JJW188" s="78"/>
      <c r="JJX188" s="78"/>
      <c r="JJY188" s="78"/>
      <c r="JJZ188" s="78"/>
      <c r="JKA188" s="78"/>
      <c r="JKB188" s="78"/>
      <c r="JKC188" s="78"/>
      <c r="JKD188" s="78"/>
      <c r="JKE188" s="78"/>
      <c r="JKF188" s="78"/>
      <c r="JKG188" s="78"/>
      <c r="JKH188" s="78"/>
      <c r="JKI188" s="78"/>
      <c r="JKJ188" s="78"/>
      <c r="JKK188" s="78"/>
      <c r="JKL188" s="78"/>
      <c r="JKM188" s="78"/>
      <c r="JKN188" s="78"/>
      <c r="JKO188" s="78"/>
      <c r="JKP188" s="78"/>
      <c r="JKQ188" s="78"/>
      <c r="JKR188" s="78"/>
      <c r="JKS188" s="78"/>
      <c r="JKT188" s="78"/>
      <c r="JKU188" s="78"/>
      <c r="JKV188" s="78"/>
      <c r="JKW188" s="78"/>
      <c r="JKX188" s="78"/>
      <c r="JKY188" s="78"/>
      <c r="JKZ188" s="78"/>
      <c r="JLA188" s="78"/>
      <c r="JLB188" s="78"/>
      <c r="JLC188" s="78"/>
      <c r="JLD188" s="78"/>
      <c r="JLE188" s="78"/>
      <c r="JLF188" s="78"/>
      <c r="JLG188" s="78"/>
      <c r="JLH188" s="78"/>
      <c r="JLI188" s="78"/>
      <c r="JLJ188" s="78"/>
      <c r="JLK188" s="78"/>
      <c r="JLL188" s="78"/>
      <c r="JLM188" s="78"/>
      <c r="JLN188" s="78"/>
      <c r="JLO188" s="78"/>
      <c r="JLP188" s="78"/>
      <c r="JLQ188" s="78"/>
      <c r="JLR188" s="78"/>
      <c r="JLS188" s="78"/>
      <c r="JLT188" s="78"/>
      <c r="JLU188" s="78"/>
      <c r="JLV188" s="78"/>
      <c r="JLW188" s="78"/>
      <c r="JLX188" s="78"/>
      <c r="JLY188" s="78"/>
      <c r="JLZ188" s="78"/>
      <c r="JMA188" s="78"/>
      <c r="JMB188" s="78"/>
      <c r="JMC188" s="78"/>
      <c r="JMD188" s="78"/>
      <c r="JME188" s="78"/>
      <c r="JMF188" s="78"/>
      <c r="JMG188" s="78"/>
      <c r="JMH188" s="78"/>
      <c r="JMI188" s="78"/>
      <c r="JMJ188" s="78"/>
      <c r="JMK188" s="78"/>
      <c r="JML188" s="78"/>
      <c r="JMM188" s="78"/>
      <c r="JMN188" s="78"/>
      <c r="JMO188" s="78"/>
      <c r="JMP188" s="78"/>
      <c r="JMQ188" s="78"/>
      <c r="JMR188" s="78"/>
      <c r="JMS188" s="78"/>
      <c r="JMT188" s="78"/>
      <c r="JMU188" s="78"/>
      <c r="JMV188" s="78"/>
      <c r="JMW188" s="78"/>
      <c r="JMX188" s="78"/>
      <c r="JMY188" s="78"/>
      <c r="JMZ188" s="78"/>
      <c r="JNA188" s="78"/>
      <c r="JNB188" s="78"/>
      <c r="JNC188" s="78"/>
      <c r="JND188" s="78"/>
      <c r="JNE188" s="78"/>
      <c r="JNF188" s="78"/>
      <c r="JNG188" s="78"/>
      <c r="JNH188" s="78"/>
      <c r="JNI188" s="78"/>
      <c r="JNJ188" s="78"/>
      <c r="JNK188" s="78"/>
      <c r="JNL188" s="78"/>
      <c r="JNM188" s="78"/>
      <c r="JNN188" s="78"/>
      <c r="JNO188" s="78"/>
      <c r="JNP188" s="78"/>
      <c r="JNQ188" s="78"/>
      <c r="JNR188" s="78"/>
      <c r="JNS188" s="78"/>
      <c r="JNT188" s="78"/>
      <c r="JNU188" s="78"/>
      <c r="JNV188" s="78"/>
      <c r="JNW188" s="78"/>
      <c r="JNX188" s="78"/>
      <c r="JNY188" s="78"/>
      <c r="JNZ188" s="78"/>
      <c r="JOA188" s="78"/>
      <c r="JOB188" s="78"/>
      <c r="JOC188" s="78"/>
      <c r="JOD188" s="78"/>
      <c r="JOE188" s="78"/>
      <c r="JOF188" s="78"/>
      <c r="JOG188" s="78"/>
      <c r="JOH188" s="78"/>
      <c r="JOI188" s="78"/>
      <c r="JOJ188" s="78"/>
      <c r="JOK188" s="78"/>
      <c r="JOL188" s="78"/>
      <c r="JOM188" s="78"/>
      <c r="JON188" s="78"/>
      <c r="JOO188" s="78"/>
      <c r="JOP188" s="78"/>
      <c r="JOQ188" s="78"/>
      <c r="JOR188" s="78"/>
      <c r="JOS188" s="78"/>
      <c r="JOT188" s="78"/>
      <c r="JOU188" s="78"/>
      <c r="JOV188" s="78"/>
      <c r="JOW188" s="78"/>
      <c r="JOX188" s="78"/>
      <c r="JOY188" s="78"/>
      <c r="JOZ188" s="78"/>
      <c r="JPA188" s="78"/>
      <c r="JPB188" s="78"/>
      <c r="JPC188" s="78"/>
      <c r="JPD188" s="78"/>
      <c r="JPE188" s="78"/>
      <c r="JPF188" s="78"/>
      <c r="JPG188" s="78"/>
      <c r="JPH188" s="78"/>
      <c r="JPI188" s="78"/>
      <c r="JPJ188" s="78"/>
      <c r="JPK188" s="78"/>
      <c r="JPL188" s="78"/>
      <c r="JPM188" s="78"/>
      <c r="JPN188" s="78"/>
      <c r="JPO188" s="78"/>
      <c r="JPP188" s="78"/>
      <c r="JPQ188" s="78"/>
      <c r="JPR188" s="78"/>
      <c r="JPS188" s="78"/>
      <c r="JPT188" s="78"/>
      <c r="JPU188" s="78"/>
      <c r="JPV188" s="78"/>
      <c r="JPW188" s="78"/>
      <c r="JPX188" s="78"/>
      <c r="JPY188" s="78"/>
      <c r="JPZ188" s="78"/>
      <c r="JQA188" s="78"/>
      <c r="JQB188" s="78"/>
      <c r="JQC188" s="78"/>
      <c r="JQD188" s="78"/>
      <c r="JQE188" s="78"/>
      <c r="JQF188" s="78"/>
      <c r="JQG188" s="78"/>
      <c r="JQH188" s="78"/>
      <c r="JQI188" s="78"/>
      <c r="JQJ188" s="78"/>
      <c r="JQK188" s="78"/>
      <c r="JQL188" s="78"/>
      <c r="JQM188" s="78"/>
      <c r="JQN188" s="78"/>
      <c r="JQO188" s="78"/>
      <c r="JQP188" s="78"/>
      <c r="JQQ188" s="78"/>
      <c r="JQR188" s="78"/>
      <c r="JQS188" s="78"/>
      <c r="JQT188" s="78"/>
      <c r="JQU188" s="78"/>
      <c r="JQV188" s="78"/>
      <c r="JQW188" s="78"/>
      <c r="JQX188" s="78"/>
      <c r="JQY188" s="78"/>
      <c r="JQZ188" s="78"/>
      <c r="JRA188" s="78"/>
      <c r="JRB188" s="78"/>
      <c r="JRC188" s="78"/>
      <c r="JRD188" s="78"/>
      <c r="JRE188" s="78"/>
      <c r="JRF188" s="78"/>
      <c r="JRG188" s="78"/>
      <c r="JRH188" s="78"/>
      <c r="JRI188" s="78"/>
      <c r="JRJ188" s="78"/>
      <c r="JRK188" s="78"/>
      <c r="JRL188" s="78"/>
      <c r="JRM188" s="78"/>
      <c r="JRN188" s="78"/>
      <c r="JRO188" s="78"/>
      <c r="JRP188" s="78"/>
      <c r="JRQ188" s="78"/>
      <c r="JRR188" s="78"/>
      <c r="JRS188" s="78"/>
      <c r="JRT188" s="78"/>
      <c r="JRU188" s="78"/>
      <c r="JRV188" s="78"/>
      <c r="JRW188" s="78"/>
      <c r="JRX188" s="78"/>
      <c r="JRY188" s="78"/>
      <c r="JRZ188" s="78"/>
      <c r="JSA188" s="78"/>
      <c r="JSB188" s="78"/>
      <c r="JSC188" s="78"/>
      <c r="JSD188" s="78"/>
      <c r="JSE188" s="78"/>
      <c r="JSF188" s="78"/>
      <c r="JSG188" s="78"/>
      <c r="JSH188" s="78"/>
      <c r="JSI188" s="78"/>
      <c r="JSJ188" s="78"/>
      <c r="JSK188" s="78"/>
      <c r="JSL188" s="78"/>
      <c r="JSM188" s="78"/>
      <c r="JSN188" s="78"/>
      <c r="JSO188" s="78"/>
      <c r="JSP188" s="78"/>
      <c r="JSQ188" s="78"/>
      <c r="JSR188" s="78"/>
      <c r="JSS188" s="78"/>
      <c r="JST188" s="78"/>
      <c r="JSU188" s="78"/>
      <c r="JSV188" s="78"/>
      <c r="JSW188" s="78"/>
      <c r="JSX188" s="78"/>
      <c r="JSY188" s="78"/>
      <c r="JSZ188" s="78"/>
      <c r="JTA188" s="78"/>
      <c r="JTB188" s="78"/>
      <c r="JTC188" s="78"/>
      <c r="JTD188" s="78"/>
      <c r="JTE188" s="78"/>
      <c r="JTF188" s="78"/>
      <c r="JTG188" s="78"/>
      <c r="JTH188" s="78"/>
      <c r="JTI188" s="78"/>
      <c r="JTJ188" s="78"/>
      <c r="JTK188" s="78"/>
      <c r="JTL188" s="78"/>
      <c r="JTM188" s="78"/>
      <c r="JTN188" s="78"/>
      <c r="JTO188" s="78"/>
      <c r="JTP188" s="78"/>
      <c r="JTQ188" s="78"/>
      <c r="JTR188" s="78"/>
      <c r="JTS188" s="78"/>
      <c r="JTT188" s="78"/>
      <c r="JTU188" s="78"/>
      <c r="JTV188" s="78"/>
      <c r="JTW188" s="78"/>
      <c r="JTX188" s="78"/>
      <c r="JTY188" s="78"/>
      <c r="JTZ188" s="78"/>
      <c r="JUA188" s="78"/>
      <c r="JUB188" s="78"/>
      <c r="JUC188" s="78"/>
      <c r="JUD188" s="78"/>
      <c r="JUE188" s="78"/>
      <c r="JUF188" s="78"/>
      <c r="JUG188" s="78"/>
      <c r="JUH188" s="78"/>
      <c r="JUI188" s="78"/>
      <c r="JUJ188" s="78"/>
      <c r="JUK188" s="78"/>
      <c r="JUL188" s="78"/>
      <c r="JUM188" s="78"/>
      <c r="JUN188" s="78"/>
      <c r="JUO188" s="78"/>
      <c r="JUP188" s="78"/>
      <c r="JUQ188" s="78"/>
      <c r="JUR188" s="78"/>
      <c r="JUS188" s="78"/>
      <c r="JUT188" s="78"/>
      <c r="JUU188" s="78"/>
      <c r="JUV188" s="78"/>
      <c r="JUW188" s="78"/>
      <c r="JUX188" s="78"/>
      <c r="JUY188" s="78"/>
      <c r="JUZ188" s="78"/>
      <c r="JVA188" s="78"/>
      <c r="JVB188" s="78"/>
      <c r="JVC188" s="78"/>
      <c r="JVD188" s="78"/>
      <c r="JVE188" s="78"/>
      <c r="JVF188" s="78"/>
      <c r="JVG188" s="78"/>
      <c r="JVH188" s="78"/>
      <c r="JVI188" s="78"/>
      <c r="JVJ188" s="78"/>
      <c r="JVK188" s="78"/>
      <c r="JVL188" s="78"/>
      <c r="JVM188" s="78"/>
      <c r="JVN188" s="78"/>
      <c r="JVO188" s="78"/>
      <c r="JVP188" s="78"/>
      <c r="JVQ188" s="78"/>
      <c r="JVR188" s="78"/>
      <c r="JVS188" s="78"/>
      <c r="JVT188" s="78"/>
      <c r="JVU188" s="78"/>
      <c r="JVV188" s="78"/>
      <c r="JVW188" s="78"/>
      <c r="JVX188" s="78"/>
      <c r="JVY188" s="78"/>
      <c r="JVZ188" s="78"/>
      <c r="JWA188" s="78"/>
      <c r="JWB188" s="78"/>
      <c r="JWC188" s="78"/>
      <c r="JWD188" s="78"/>
      <c r="JWE188" s="78"/>
      <c r="JWF188" s="78"/>
      <c r="JWG188" s="78"/>
      <c r="JWH188" s="78"/>
      <c r="JWI188" s="78"/>
      <c r="JWJ188" s="78"/>
      <c r="JWK188" s="78"/>
      <c r="JWL188" s="78"/>
      <c r="JWM188" s="78"/>
      <c r="JWN188" s="78"/>
      <c r="JWO188" s="78"/>
      <c r="JWP188" s="78"/>
      <c r="JWQ188" s="78"/>
      <c r="JWR188" s="78"/>
      <c r="JWS188" s="78"/>
      <c r="JWT188" s="78"/>
      <c r="JWU188" s="78"/>
      <c r="JWV188" s="78"/>
      <c r="JWW188" s="78"/>
      <c r="JWX188" s="78"/>
      <c r="JWY188" s="78"/>
      <c r="JWZ188" s="78"/>
      <c r="JXA188" s="78"/>
      <c r="JXB188" s="78"/>
      <c r="JXC188" s="78"/>
      <c r="JXD188" s="78"/>
      <c r="JXE188" s="78"/>
      <c r="JXF188" s="78"/>
      <c r="JXG188" s="78"/>
      <c r="JXH188" s="78"/>
      <c r="JXI188" s="78"/>
      <c r="JXJ188" s="78"/>
      <c r="JXK188" s="78"/>
      <c r="JXL188" s="78"/>
      <c r="JXM188" s="78"/>
      <c r="JXN188" s="78"/>
      <c r="JXO188" s="78"/>
      <c r="JXP188" s="78"/>
      <c r="JXQ188" s="78"/>
      <c r="JXR188" s="78"/>
      <c r="JXS188" s="78"/>
      <c r="JXT188" s="78"/>
      <c r="JXU188" s="78"/>
      <c r="JXV188" s="78"/>
      <c r="JXW188" s="78"/>
      <c r="JXX188" s="78"/>
      <c r="JXY188" s="78"/>
      <c r="JXZ188" s="78"/>
      <c r="JYA188" s="78"/>
      <c r="JYB188" s="78"/>
      <c r="JYC188" s="78"/>
      <c r="JYD188" s="78"/>
      <c r="JYE188" s="78"/>
      <c r="JYF188" s="78"/>
      <c r="JYG188" s="78"/>
      <c r="JYH188" s="78"/>
      <c r="JYI188" s="78"/>
      <c r="JYJ188" s="78"/>
      <c r="JYK188" s="78"/>
      <c r="JYL188" s="78"/>
      <c r="JYM188" s="78"/>
      <c r="JYN188" s="78"/>
      <c r="JYO188" s="78"/>
      <c r="JYP188" s="78"/>
      <c r="JYQ188" s="78"/>
      <c r="JYR188" s="78"/>
      <c r="JYS188" s="78"/>
      <c r="JYT188" s="78"/>
      <c r="JYU188" s="78"/>
      <c r="JYV188" s="78"/>
      <c r="JYW188" s="78"/>
      <c r="JYX188" s="78"/>
      <c r="JYY188" s="78"/>
      <c r="JYZ188" s="78"/>
      <c r="JZA188" s="78"/>
      <c r="JZB188" s="78"/>
      <c r="JZC188" s="78"/>
      <c r="JZD188" s="78"/>
      <c r="JZE188" s="78"/>
      <c r="JZF188" s="78"/>
      <c r="JZG188" s="78"/>
      <c r="JZH188" s="78"/>
      <c r="JZI188" s="78"/>
      <c r="JZJ188" s="78"/>
      <c r="JZK188" s="78"/>
      <c r="JZL188" s="78"/>
      <c r="JZM188" s="78"/>
      <c r="JZN188" s="78"/>
      <c r="JZO188" s="78"/>
      <c r="JZP188" s="78"/>
      <c r="JZQ188" s="78"/>
      <c r="JZR188" s="78"/>
      <c r="JZS188" s="78"/>
      <c r="JZT188" s="78"/>
      <c r="JZU188" s="78"/>
      <c r="JZV188" s="78"/>
      <c r="JZW188" s="78"/>
      <c r="JZX188" s="78"/>
      <c r="JZY188" s="78"/>
      <c r="JZZ188" s="78"/>
      <c r="KAA188" s="78"/>
      <c r="KAB188" s="78"/>
      <c r="KAC188" s="78"/>
      <c r="KAD188" s="78"/>
      <c r="KAE188" s="78"/>
      <c r="KAF188" s="78"/>
      <c r="KAG188" s="78"/>
      <c r="KAH188" s="78"/>
      <c r="KAI188" s="78"/>
      <c r="KAJ188" s="78"/>
      <c r="KAK188" s="78"/>
      <c r="KAL188" s="78"/>
      <c r="KAM188" s="78"/>
      <c r="KAN188" s="78"/>
      <c r="KAO188" s="78"/>
      <c r="KAP188" s="78"/>
      <c r="KAQ188" s="78"/>
      <c r="KAR188" s="78"/>
      <c r="KAS188" s="78"/>
      <c r="KAT188" s="78"/>
      <c r="KAU188" s="78"/>
      <c r="KAV188" s="78"/>
      <c r="KAW188" s="78"/>
      <c r="KAX188" s="78"/>
      <c r="KAY188" s="78"/>
      <c r="KAZ188" s="78"/>
      <c r="KBA188" s="78"/>
      <c r="KBB188" s="78"/>
      <c r="KBC188" s="78"/>
      <c r="KBD188" s="78"/>
      <c r="KBE188" s="78"/>
      <c r="KBF188" s="78"/>
      <c r="KBG188" s="78"/>
      <c r="KBH188" s="78"/>
      <c r="KBI188" s="78"/>
      <c r="KBJ188" s="78"/>
      <c r="KBK188" s="78"/>
      <c r="KBL188" s="78"/>
      <c r="KBM188" s="78"/>
      <c r="KBN188" s="78"/>
      <c r="KBO188" s="78"/>
      <c r="KBP188" s="78"/>
      <c r="KBQ188" s="78"/>
      <c r="KBR188" s="78"/>
      <c r="KBS188" s="78"/>
      <c r="KBT188" s="78"/>
      <c r="KBU188" s="78"/>
      <c r="KBV188" s="78"/>
      <c r="KBW188" s="78"/>
      <c r="KBX188" s="78"/>
      <c r="KBY188" s="78"/>
      <c r="KBZ188" s="78"/>
      <c r="KCA188" s="78"/>
      <c r="KCB188" s="78"/>
      <c r="KCC188" s="78"/>
      <c r="KCD188" s="78"/>
      <c r="KCE188" s="78"/>
      <c r="KCF188" s="78"/>
      <c r="KCG188" s="78"/>
      <c r="KCH188" s="78"/>
      <c r="KCI188" s="78"/>
      <c r="KCJ188" s="78"/>
      <c r="KCK188" s="78"/>
      <c r="KCL188" s="78"/>
      <c r="KCM188" s="78"/>
      <c r="KCN188" s="78"/>
      <c r="KCO188" s="78"/>
      <c r="KCP188" s="78"/>
      <c r="KCQ188" s="78"/>
      <c r="KCR188" s="78"/>
      <c r="KCS188" s="78"/>
      <c r="KCT188" s="78"/>
      <c r="KCU188" s="78"/>
      <c r="KCV188" s="78"/>
      <c r="KCW188" s="78"/>
      <c r="KCX188" s="78"/>
      <c r="KCY188" s="78"/>
      <c r="KCZ188" s="78"/>
      <c r="KDA188" s="78"/>
      <c r="KDB188" s="78"/>
      <c r="KDC188" s="78"/>
      <c r="KDD188" s="78"/>
      <c r="KDE188" s="78"/>
      <c r="KDF188" s="78"/>
      <c r="KDG188" s="78"/>
      <c r="KDH188" s="78"/>
      <c r="KDI188" s="78"/>
      <c r="KDJ188" s="78"/>
      <c r="KDK188" s="78"/>
      <c r="KDL188" s="78"/>
      <c r="KDM188" s="78"/>
      <c r="KDN188" s="78"/>
      <c r="KDO188" s="78"/>
      <c r="KDP188" s="78"/>
      <c r="KDQ188" s="78"/>
      <c r="KDR188" s="78"/>
      <c r="KDS188" s="78"/>
      <c r="KDT188" s="78"/>
      <c r="KDU188" s="78"/>
      <c r="KDV188" s="78"/>
      <c r="KDW188" s="78"/>
      <c r="KDX188" s="78"/>
      <c r="KDY188" s="78"/>
      <c r="KDZ188" s="78"/>
      <c r="KEA188" s="78"/>
      <c r="KEB188" s="78"/>
      <c r="KEC188" s="78"/>
      <c r="KED188" s="78"/>
      <c r="KEE188" s="78"/>
      <c r="KEF188" s="78"/>
      <c r="KEG188" s="78"/>
      <c r="KEH188" s="78"/>
      <c r="KEI188" s="78"/>
      <c r="KEJ188" s="78"/>
      <c r="KEK188" s="78"/>
      <c r="KEL188" s="78"/>
      <c r="KEM188" s="78"/>
      <c r="KEN188" s="78"/>
      <c r="KEO188" s="78"/>
      <c r="KEP188" s="78"/>
      <c r="KEQ188" s="78"/>
      <c r="KER188" s="78"/>
      <c r="KES188" s="78"/>
      <c r="KET188" s="78"/>
      <c r="KEU188" s="78"/>
      <c r="KEV188" s="78"/>
      <c r="KEW188" s="78"/>
      <c r="KEX188" s="78"/>
      <c r="KEY188" s="78"/>
      <c r="KEZ188" s="78"/>
      <c r="KFA188" s="78"/>
      <c r="KFB188" s="78"/>
      <c r="KFC188" s="78"/>
      <c r="KFD188" s="78"/>
      <c r="KFE188" s="78"/>
      <c r="KFF188" s="78"/>
      <c r="KFG188" s="78"/>
      <c r="KFH188" s="78"/>
      <c r="KFI188" s="78"/>
      <c r="KFJ188" s="78"/>
      <c r="KFK188" s="78"/>
      <c r="KFL188" s="78"/>
      <c r="KFM188" s="78"/>
      <c r="KFN188" s="78"/>
      <c r="KFO188" s="78"/>
      <c r="KFP188" s="78"/>
      <c r="KFQ188" s="78"/>
      <c r="KFR188" s="78"/>
      <c r="KFS188" s="78"/>
      <c r="KFT188" s="78"/>
      <c r="KFU188" s="78"/>
      <c r="KFV188" s="78"/>
      <c r="KFW188" s="78"/>
      <c r="KFX188" s="78"/>
      <c r="KFY188" s="78"/>
      <c r="KFZ188" s="78"/>
      <c r="KGA188" s="78"/>
      <c r="KGB188" s="78"/>
      <c r="KGC188" s="78"/>
      <c r="KGD188" s="78"/>
      <c r="KGE188" s="78"/>
      <c r="KGF188" s="78"/>
      <c r="KGG188" s="78"/>
      <c r="KGH188" s="78"/>
      <c r="KGI188" s="78"/>
      <c r="KGJ188" s="78"/>
      <c r="KGK188" s="78"/>
      <c r="KGL188" s="78"/>
      <c r="KGM188" s="78"/>
      <c r="KGN188" s="78"/>
      <c r="KGO188" s="78"/>
      <c r="KGP188" s="78"/>
      <c r="KGQ188" s="78"/>
      <c r="KGR188" s="78"/>
      <c r="KGS188" s="78"/>
      <c r="KGT188" s="78"/>
      <c r="KGU188" s="78"/>
      <c r="KGV188" s="78"/>
      <c r="KGW188" s="78"/>
      <c r="KGX188" s="78"/>
      <c r="KGY188" s="78"/>
      <c r="KGZ188" s="78"/>
      <c r="KHA188" s="78"/>
      <c r="KHB188" s="78"/>
      <c r="KHC188" s="78"/>
      <c r="KHD188" s="78"/>
      <c r="KHE188" s="78"/>
      <c r="KHF188" s="78"/>
      <c r="KHG188" s="78"/>
      <c r="KHH188" s="78"/>
      <c r="KHI188" s="78"/>
      <c r="KHJ188" s="78"/>
      <c r="KHK188" s="78"/>
      <c r="KHL188" s="78"/>
      <c r="KHM188" s="78"/>
      <c r="KHN188" s="78"/>
      <c r="KHO188" s="78"/>
      <c r="KHP188" s="78"/>
      <c r="KHQ188" s="78"/>
      <c r="KHR188" s="78"/>
      <c r="KHS188" s="78"/>
      <c r="KHT188" s="78"/>
      <c r="KHU188" s="78"/>
      <c r="KHV188" s="78"/>
      <c r="KHW188" s="78"/>
      <c r="KHX188" s="78"/>
      <c r="KHY188" s="78"/>
      <c r="KHZ188" s="78"/>
      <c r="KIA188" s="78"/>
      <c r="KIB188" s="78"/>
      <c r="KIC188" s="78"/>
      <c r="KID188" s="78"/>
      <c r="KIE188" s="78"/>
      <c r="KIF188" s="78"/>
      <c r="KIG188" s="78"/>
      <c r="KIH188" s="78"/>
      <c r="KII188" s="78"/>
      <c r="KIJ188" s="78"/>
      <c r="KIK188" s="78"/>
      <c r="KIL188" s="78"/>
      <c r="KIM188" s="78"/>
      <c r="KIN188" s="78"/>
      <c r="KIO188" s="78"/>
      <c r="KIP188" s="78"/>
      <c r="KIQ188" s="78"/>
      <c r="KIR188" s="78"/>
      <c r="KIS188" s="78"/>
      <c r="KIT188" s="78"/>
      <c r="KIU188" s="78"/>
      <c r="KIV188" s="78"/>
      <c r="KIW188" s="78"/>
      <c r="KIX188" s="78"/>
      <c r="KIY188" s="78"/>
      <c r="KIZ188" s="78"/>
      <c r="KJA188" s="78"/>
      <c r="KJB188" s="78"/>
      <c r="KJC188" s="78"/>
      <c r="KJD188" s="78"/>
      <c r="KJE188" s="78"/>
      <c r="KJF188" s="78"/>
      <c r="KJG188" s="78"/>
      <c r="KJH188" s="78"/>
      <c r="KJI188" s="78"/>
      <c r="KJJ188" s="78"/>
      <c r="KJK188" s="78"/>
      <c r="KJL188" s="78"/>
      <c r="KJM188" s="78"/>
      <c r="KJN188" s="78"/>
      <c r="KJO188" s="78"/>
      <c r="KJP188" s="78"/>
      <c r="KJQ188" s="78"/>
      <c r="KJR188" s="78"/>
      <c r="KJS188" s="78"/>
      <c r="KJT188" s="78"/>
      <c r="KJU188" s="78"/>
      <c r="KJV188" s="78"/>
      <c r="KJW188" s="78"/>
      <c r="KJX188" s="78"/>
      <c r="KJY188" s="78"/>
      <c r="KJZ188" s="78"/>
      <c r="KKA188" s="78"/>
      <c r="KKB188" s="78"/>
      <c r="KKC188" s="78"/>
      <c r="KKD188" s="78"/>
      <c r="KKE188" s="78"/>
      <c r="KKF188" s="78"/>
      <c r="KKG188" s="78"/>
      <c r="KKH188" s="78"/>
      <c r="KKI188" s="78"/>
      <c r="KKJ188" s="78"/>
      <c r="KKK188" s="78"/>
      <c r="KKL188" s="78"/>
      <c r="KKM188" s="78"/>
      <c r="KKN188" s="78"/>
      <c r="KKO188" s="78"/>
      <c r="KKP188" s="78"/>
      <c r="KKQ188" s="78"/>
      <c r="KKR188" s="78"/>
      <c r="KKS188" s="78"/>
      <c r="KKT188" s="78"/>
      <c r="KKU188" s="78"/>
      <c r="KKV188" s="78"/>
      <c r="KKW188" s="78"/>
      <c r="KKX188" s="78"/>
      <c r="KKY188" s="78"/>
      <c r="KKZ188" s="78"/>
      <c r="KLA188" s="78"/>
      <c r="KLB188" s="78"/>
      <c r="KLC188" s="78"/>
      <c r="KLD188" s="78"/>
      <c r="KLE188" s="78"/>
      <c r="KLF188" s="78"/>
      <c r="KLG188" s="78"/>
      <c r="KLH188" s="78"/>
      <c r="KLI188" s="78"/>
      <c r="KLJ188" s="78"/>
      <c r="KLK188" s="78"/>
      <c r="KLL188" s="78"/>
      <c r="KLM188" s="78"/>
      <c r="KLN188" s="78"/>
      <c r="KLO188" s="78"/>
      <c r="KLP188" s="78"/>
      <c r="KLQ188" s="78"/>
      <c r="KLR188" s="78"/>
      <c r="KLS188" s="78"/>
      <c r="KLT188" s="78"/>
      <c r="KLU188" s="78"/>
      <c r="KLV188" s="78"/>
      <c r="KLW188" s="78"/>
      <c r="KLX188" s="78"/>
      <c r="KLY188" s="78"/>
      <c r="KLZ188" s="78"/>
      <c r="KMA188" s="78"/>
      <c r="KMB188" s="78"/>
      <c r="KMC188" s="78"/>
      <c r="KMD188" s="78"/>
      <c r="KME188" s="78"/>
      <c r="KMF188" s="78"/>
      <c r="KMG188" s="78"/>
      <c r="KMH188" s="78"/>
      <c r="KMI188" s="78"/>
      <c r="KMJ188" s="78"/>
      <c r="KMK188" s="78"/>
      <c r="KML188" s="78"/>
      <c r="KMM188" s="78"/>
      <c r="KMN188" s="78"/>
      <c r="KMO188" s="78"/>
      <c r="KMP188" s="78"/>
      <c r="KMQ188" s="78"/>
      <c r="KMR188" s="78"/>
      <c r="KMS188" s="78"/>
      <c r="KMT188" s="78"/>
      <c r="KMU188" s="78"/>
      <c r="KMV188" s="78"/>
      <c r="KMW188" s="78"/>
      <c r="KMX188" s="78"/>
      <c r="KMY188" s="78"/>
      <c r="KMZ188" s="78"/>
      <c r="KNA188" s="78"/>
      <c r="KNB188" s="78"/>
      <c r="KNC188" s="78"/>
      <c r="KND188" s="78"/>
      <c r="KNE188" s="78"/>
      <c r="KNF188" s="78"/>
      <c r="KNG188" s="78"/>
      <c r="KNH188" s="78"/>
      <c r="KNI188" s="78"/>
      <c r="KNJ188" s="78"/>
      <c r="KNK188" s="78"/>
      <c r="KNL188" s="78"/>
      <c r="KNM188" s="78"/>
      <c r="KNN188" s="78"/>
      <c r="KNO188" s="78"/>
      <c r="KNP188" s="78"/>
      <c r="KNQ188" s="78"/>
      <c r="KNR188" s="78"/>
      <c r="KNS188" s="78"/>
      <c r="KNT188" s="78"/>
      <c r="KNU188" s="78"/>
      <c r="KNV188" s="78"/>
      <c r="KNW188" s="78"/>
      <c r="KNX188" s="78"/>
      <c r="KNY188" s="78"/>
      <c r="KNZ188" s="78"/>
      <c r="KOA188" s="78"/>
      <c r="KOB188" s="78"/>
      <c r="KOC188" s="78"/>
      <c r="KOD188" s="78"/>
      <c r="KOE188" s="78"/>
      <c r="KOF188" s="78"/>
      <c r="KOG188" s="78"/>
      <c r="KOH188" s="78"/>
      <c r="KOI188" s="78"/>
      <c r="KOJ188" s="78"/>
      <c r="KOK188" s="78"/>
      <c r="KOL188" s="78"/>
      <c r="KOM188" s="78"/>
      <c r="KON188" s="78"/>
      <c r="KOO188" s="78"/>
      <c r="KOP188" s="78"/>
      <c r="KOQ188" s="78"/>
      <c r="KOR188" s="78"/>
      <c r="KOS188" s="78"/>
      <c r="KOT188" s="78"/>
      <c r="KOU188" s="78"/>
      <c r="KOV188" s="78"/>
      <c r="KOW188" s="78"/>
      <c r="KOX188" s="78"/>
      <c r="KOY188" s="78"/>
      <c r="KOZ188" s="78"/>
      <c r="KPA188" s="78"/>
      <c r="KPB188" s="78"/>
      <c r="KPC188" s="78"/>
      <c r="KPD188" s="78"/>
      <c r="KPE188" s="78"/>
      <c r="KPF188" s="78"/>
      <c r="KPG188" s="78"/>
      <c r="KPH188" s="78"/>
      <c r="KPI188" s="78"/>
      <c r="KPJ188" s="78"/>
      <c r="KPK188" s="78"/>
      <c r="KPL188" s="78"/>
      <c r="KPM188" s="78"/>
      <c r="KPN188" s="78"/>
      <c r="KPO188" s="78"/>
      <c r="KPP188" s="78"/>
      <c r="KPQ188" s="78"/>
      <c r="KPR188" s="78"/>
      <c r="KPS188" s="78"/>
      <c r="KPT188" s="78"/>
      <c r="KPU188" s="78"/>
      <c r="KPV188" s="78"/>
      <c r="KPW188" s="78"/>
      <c r="KPX188" s="78"/>
      <c r="KPY188" s="78"/>
      <c r="KPZ188" s="78"/>
      <c r="KQA188" s="78"/>
      <c r="KQB188" s="78"/>
      <c r="KQC188" s="78"/>
      <c r="KQD188" s="78"/>
      <c r="KQE188" s="78"/>
      <c r="KQF188" s="78"/>
      <c r="KQG188" s="78"/>
      <c r="KQH188" s="78"/>
      <c r="KQI188" s="78"/>
      <c r="KQJ188" s="78"/>
      <c r="KQK188" s="78"/>
      <c r="KQL188" s="78"/>
      <c r="KQM188" s="78"/>
      <c r="KQN188" s="78"/>
      <c r="KQO188" s="78"/>
      <c r="KQP188" s="78"/>
      <c r="KQQ188" s="78"/>
      <c r="KQR188" s="78"/>
      <c r="KQS188" s="78"/>
      <c r="KQT188" s="78"/>
      <c r="KQU188" s="78"/>
      <c r="KQV188" s="78"/>
      <c r="KQW188" s="78"/>
      <c r="KQX188" s="78"/>
      <c r="KQY188" s="78"/>
      <c r="KQZ188" s="78"/>
      <c r="KRA188" s="78"/>
      <c r="KRB188" s="78"/>
      <c r="KRC188" s="78"/>
      <c r="KRD188" s="78"/>
      <c r="KRE188" s="78"/>
      <c r="KRF188" s="78"/>
      <c r="KRG188" s="78"/>
      <c r="KRH188" s="78"/>
      <c r="KRI188" s="78"/>
      <c r="KRJ188" s="78"/>
      <c r="KRK188" s="78"/>
      <c r="KRL188" s="78"/>
      <c r="KRM188" s="78"/>
      <c r="KRN188" s="78"/>
      <c r="KRO188" s="78"/>
      <c r="KRP188" s="78"/>
      <c r="KRQ188" s="78"/>
      <c r="KRR188" s="78"/>
      <c r="KRS188" s="78"/>
      <c r="KRT188" s="78"/>
      <c r="KRU188" s="78"/>
      <c r="KRV188" s="78"/>
      <c r="KRW188" s="78"/>
      <c r="KRX188" s="78"/>
      <c r="KRY188" s="78"/>
      <c r="KRZ188" s="78"/>
      <c r="KSA188" s="78"/>
      <c r="KSB188" s="78"/>
      <c r="KSC188" s="78"/>
      <c r="KSD188" s="78"/>
      <c r="KSE188" s="78"/>
      <c r="KSF188" s="78"/>
      <c r="KSG188" s="78"/>
      <c r="KSH188" s="78"/>
      <c r="KSI188" s="78"/>
      <c r="KSJ188" s="78"/>
      <c r="KSK188" s="78"/>
      <c r="KSL188" s="78"/>
      <c r="KSM188" s="78"/>
      <c r="KSN188" s="78"/>
      <c r="KSO188" s="78"/>
      <c r="KSP188" s="78"/>
      <c r="KSQ188" s="78"/>
      <c r="KSR188" s="78"/>
      <c r="KSS188" s="78"/>
      <c r="KST188" s="78"/>
      <c r="KSU188" s="78"/>
      <c r="KSV188" s="78"/>
      <c r="KSW188" s="78"/>
      <c r="KSX188" s="78"/>
      <c r="KSY188" s="78"/>
      <c r="KSZ188" s="78"/>
      <c r="KTA188" s="78"/>
      <c r="KTB188" s="78"/>
      <c r="KTC188" s="78"/>
      <c r="KTD188" s="78"/>
      <c r="KTE188" s="78"/>
      <c r="KTF188" s="78"/>
      <c r="KTG188" s="78"/>
      <c r="KTH188" s="78"/>
      <c r="KTI188" s="78"/>
      <c r="KTJ188" s="78"/>
      <c r="KTK188" s="78"/>
      <c r="KTL188" s="78"/>
      <c r="KTM188" s="78"/>
      <c r="KTN188" s="78"/>
      <c r="KTO188" s="78"/>
      <c r="KTP188" s="78"/>
      <c r="KTQ188" s="78"/>
      <c r="KTR188" s="78"/>
      <c r="KTS188" s="78"/>
      <c r="KTT188" s="78"/>
      <c r="KTU188" s="78"/>
      <c r="KTV188" s="78"/>
      <c r="KTW188" s="78"/>
      <c r="KTX188" s="78"/>
      <c r="KTY188" s="78"/>
      <c r="KTZ188" s="78"/>
      <c r="KUA188" s="78"/>
      <c r="KUB188" s="78"/>
      <c r="KUC188" s="78"/>
      <c r="KUD188" s="78"/>
      <c r="KUE188" s="78"/>
      <c r="KUF188" s="78"/>
      <c r="KUG188" s="78"/>
      <c r="KUH188" s="78"/>
      <c r="KUI188" s="78"/>
      <c r="KUJ188" s="78"/>
      <c r="KUK188" s="78"/>
      <c r="KUL188" s="78"/>
      <c r="KUM188" s="78"/>
      <c r="KUN188" s="78"/>
      <c r="KUO188" s="78"/>
      <c r="KUP188" s="78"/>
      <c r="KUQ188" s="78"/>
      <c r="KUR188" s="78"/>
      <c r="KUS188" s="78"/>
      <c r="KUT188" s="78"/>
      <c r="KUU188" s="78"/>
      <c r="KUV188" s="78"/>
      <c r="KUW188" s="78"/>
      <c r="KUX188" s="78"/>
      <c r="KUY188" s="78"/>
      <c r="KUZ188" s="78"/>
      <c r="KVA188" s="78"/>
      <c r="KVB188" s="78"/>
      <c r="KVC188" s="78"/>
      <c r="KVD188" s="78"/>
      <c r="KVE188" s="78"/>
      <c r="KVF188" s="78"/>
      <c r="KVG188" s="78"/>
      <c r="KVH188" s="78"/>
      <c r="KVI188" s="78"/>
      <c r="KVJ188" s="78"/>
      <c r="KVK188" s="78"/>
      <c r="KVL188" s="78"/>
      <c r="KVM188" s="78"/>
      <c r="KVN188" s="78"/>
      <c r="KVO188" s="78"/>
      <c r="KVP188" s="78"/>
      <c r="KVQ188" s="78"/>
      <c r="KVR188" s="78"/>
      <c r="KVS188" s="78"/>
      <c r="KVT188" s="78"/>
      <c r="KVU188" s="78"/>
      <c r="KVV188" s="78"/>
      <c r="KVW188" s="78"/>
      <c r="KVX188" s="78"/>
      <c r="KVY188" s="78"/>
      <c r="KVZ188" s="78"/>
      <c r="KWA188" s="78"/>
      <c r="KWB188" s="78"/>
      <c r="KWC188" s="78"/>
      <c r="KWD188" s="78"/>
      <c r="KWE188" s="78"/>
      <c r="KWF188" s="78"/>
      <c r="KWG188" s="78"/>
      <c r="KWH188" s="78"/>
      <c r="KWI188" s="78"/>
      <c r="KWJ188" s="78"/>
      <c r="KWK188" s="78"/>
      <c r="KWL188" s="78"/>
      <c r="KWM188" s="78"/>
      <c r="KWN188" s="78"/>
      <c r="KWO188" s="78"/>
      <c r="KWP188" s="78"/>
      <c r="KWQ188" s="78"/>
      <c r="KWR188" s="78"/>
      <c r="KWS188" s="78"/>
      <c r="KWT188" s="78"/>
      <c r="KWU188" s="78"/>
      <c r="KWV188" s="78"/>
      <c r="KWW188" s="78"/>
      <c r="KWX188" s="78"/>
      <c r="KWY188" s="78"/>
      <c r="KWZ188" s="78"/>
      <c r="KXA188" s="78"/>
      <c r="KXB188" s="78"/>
      <c r="KXC188" s="78"/>
      <c r="KXD188" s="78"/>
      <c r="KXE188" s="78"/>
      <c r="KXF188" s="78"/>
      <c r="KXG188" s="78"/>
      <c r="KXH188" s="78"/>
      <c r="KXI188" s="78"/>
      <c r="KXJ188" s="78"/>
      <c r="KXK188" s="78"/>
      <c r="KXL188" s="78"/>
      <c r="KXM188" s="78"/>
      <c r="KXN188" s="78"/>
      <c r="KXO188" s="78"/>
      <c r="KXP188" s="78"/>
      <c r="KXQ188" s="78"/>
      <c r="KXR188" s="78"/>
      <c r="KXS188" s="78"/>
      <c r="KXT188" s="78"/>
      <c r="KXU188" s="78"/>
      <c r="KXV188" s="78"/>
      <c r="KXW188" s="78"/>
      <c r="KXX188" s="78"/>
      <c r="KXY188" s="78"/>
      <c r="KXZ188" s="78"/>
      <c r="KYA188" s="78"/>
      <c r="KYB188" s="78"/>
      <c r="KYC188" s="78"/>
      <c r="KYD188" s="78"/>
      <c r="KYE188" s="78"/>
      <c r="KYF188" s="78"/>
      <c r="KYG188" s="78"/>
      <c r="KYH188" s="78"/>
      <c r="KYI188" s="78"/>
      <c r="KYJ188" s="78"/>
      <c r="KYK188" s="78"/>
      <c r="KYL188" s="78"/>
      <c r="KYM188" s="78"/>
      <c r="KYN188" s="78"/>
      <c r="KYO188" s="78"/>
      <c r="KYP188" s="78"/>
      <c r="KYQ188" s="78"/>
      <c r="KYR188" s="78"/>
      <c r="KYS188" s="78"/>
      <c r="KYT188" s="78"/>
      <c r="KYU188" s="78"/>
      <c r="KYV188" s="78"/>
      <c r="KYW188" s="78"/>
      <c r="KYX188" s="78"/>
      <c r="KYY188" s="78"/>
      <c r="KYZ188" s="78"/>
      <c r="KZA188" s="78"/>
      <c r="KZB188" s="78"/>
      <c r="KZC188" s="78"/>
      <c r="KZD188" s="78"/>
      <c r="KZE188" s="78"/>
      <c r="KZF188" s="78"/>
      <c r="KZG188" s="78"/>
      <c r="KZH188" s="78"/>
      <c r="KZI188" s="78"/>
      <c r="KZJ188" s="78"/>
      <c r="KZK188" s="78"/>
      <c r="KZL188" s="78"/>
      <c r="KZM188" s="78"/>
      <c r="KZN188" s="78"/>
      <c r="KZO188" s="78"/>
      <c r="KZP188" s="78"/>
      <c r="KZQ188" s="78"/>
      <c r="KZR188" s="78"/>
      <c r="KZS188" s="78"/>
      <c r="KZT188" s="78"/>
      <c r="KZU188" s="78"/>
      <c r="KZV188" s="78"/>
      <c r="KZW188" s="78"/>
      <c r="KZX188" s="78"/>
      <c r="KZY188" s="78"/>
      <c r="KZZ188" s="78"/>
      <c r="LAA188" s="78"/>
      <c r="LAB188" s="78"/>
      <c r="LAC188" s="78"/>
      <c r="LAD188" s="78"/>
      <c r="LAE188" s="78"/>
      <c r="LAF188" s="78"/>
      <c r="LAG188" s="78"/>
      <c r="LAH188" s="78"/>
      <c r="LAI188" s="78"/>
      <c r="LAJ188" s="78"/>
      <c r="LAK188" s="78"/>
      <c r="LAL188" s="78"/>
      <c r="LAM188" s="78"/>
      <c r="LAN188" s="78"/>
      <c r="LAO188" s="78"/>
      <c r="LAP188" s="78"/>
      <c r="LAQ188" s="78"/>
      <c r="LAR188" s="78"/>
      <c r="LAS188" s="78"/>
      <c r="LAT188" s="78"/>
      <c r="LAU188" s="78"/>
      <c r="LAV188" s="78"/>
      <c r="LAW188" s="78"/>
      <c r="LAX188" s="78"/>
      <c r="LAY188" s="78"/>
      <c r="LAZ188" s="78"/>
      <c r="LBA188" s="78"/>
      <c r="LBB188" s="78"/>
      <c r="LBC188" s="78"/>
      <c r="LBD188" s="78"/>
      <c r="LBE188" s="78"/>
      <c r="LBF188" s="78"/>
      <c r="LBG188" s="78"/>
      <c r="LBH188" s="78"/>
      <c r="LBI188" s="78"/>
      <c r="LBJ188" s="78"/>
      <c r="LBK188" s="78"/>
      <c r="LBL188" s="78"/>
      <c r="LBM188" s="78"/>
      <c r="LBN188" s="78"/>
      <c r="LBO188" s="78"/>
      <c r="LBP188" s="78"/>
      <c r="LBQ188" s="78"/>
      <c r="LBR188" s="78"/>
      <c r="LBS188" s="78"/>
      <c r="LBT188" s="78"/>
      <c r="LBU188" s="78"/>
      <c r="LBV188" s="78"/>
      <c r="LBW188" s="78"/>
      <c r="LBX188" s="78"/>
      <c r="LBY188" s="78"/>
      <c r="LBZ188" s="78"/>
      <c r="LCA188" s="78"/>
      <c r="LCB188" s="78"/>
      <c r="LCC188" s="78"/>
      <c r="LCD188" s="78"/>
      <c r="LCE188" s="78"/>
      <c r="LCF188" s="78"/>
      <c r="LCG188" s="78"/>
      <c r="LCH188" s="78"/>
      <c r="LCI188" s="78"/>
      <c r="LCJ188" s="78"/>
      <c r="LCK188" s="78"/>
      <c r="LCL188" s="78"/>
      <c r="LCM188" s="78"/>
      <c r="LCN188" s="78"/>
      <c r="LCO188" s="78"/>
      <c r="LCP188" s="78"/>
      <c r="LCQ188" s="78"/>
      <c r="LCR188" s="78"/>
      <c r="LCS188" s="78"/>
      <c r="LCT188" s="78"/>
      <c r="LCU188" s="78"/>
      <c r="LCV188" s="78"/>
      <c r="LCW188" s="78"/>
      <c r="LCX188" s="78"/>
      <c r="LCY188" s="78"/>
      <c r="LCZ188" s="78"/>
      <c r="LDA188" s="78"/>
      <c r="LDB188" s="78"/>
      <c r="LDC188" s="78"/>
      <c r="LDD188" s="78"/>
      <c r="LDE188" s="78"/>
      <c r="LDF188" s="78"/>
      <c r="LDG188" s="78"/>
      <c r="LDH188" s="78"/>
      <c r="LDI188" s="78"/>
      <c r="LDJ188" s="78"/>
      <c r="LDK188" s="78"/>
      <c r="LDL188" s="78"/>
      <c r="LDM188" s="78"/>
      <c r="LDN188" s="78"/>
      <c r="LDO188" s="78"/>
      <c r="LDP188" s="78"/>
      <c r="LDQ188" s="78"/>
      <c r="LDR188" s="78"/>
      <c r="LDS188" s="78"/>
      <c r="LDT188" s="78"/>
      <c r="LDU188" s="78"/>
      <c r="LDV188" s="78"/>
      <c r="LDW188" s="78"/>
      <c r="LDX188" s="78"/>
      <c r="LDY188" s="78"/>
      <c r="LDZ188" s="78"/>
      <c r="LEA188" s="78"/>
      <c r="LEB188" s="78"/>
      <c r="LEC188" s="78"/>
      <c r="LED188" s="78"/>
      <c r="LEE188" s="78"/>
      <c r="LEF188" s="78"/>
      <c r="LEG188" s="78"/>
      <c r="LEH188" s="78"/>
      <c r="LEI188" s="78"/>
      <c r="LEJ188" s="78"/>
      <c r="LEK188" s="78"/>
      <c r="LEL188" s="78"/>
      <c r="LEM188" s="78"/>
      <c r="LEN188" s="78"/>
      <c r="LEO188" s="78"/>
      <c r="LEP188" s="78"/>
      <c r="LEQ188" s="78"/>
      <c r="LER188" s="78"/>
      <c r="LES188" s="78"/>
      <c r="LET188" s="78"/>
      <c r="LEU188" s="78"/>
      <c r="LEV188" s="78"/>
      <c r="LEW188" s="78"/>
      <c r="LEX188" s="78"/>
      <c r="LEY188" s="78"/>
      <c r="LEZ188" s="78"/>
      <c r="LFA188" s="78"/>
      <c r="LFB188" s="78"/>
      <c r="LFC188" s="78"/>
      <c r="LFD188" s="78"/>
      <c r="LFE188" s="78"/>
      <c r="LFF188" s="78"/>
      <c r="LFG188" s="78"/>
      <c r="LFH188" s="78"/>
      <c r="LFI188" s="78"/>
      <c r="LFJ188" s="78"/>
      <c r="LFK188" s="78"/>
      <c r="LFL188" s="78"/>
      <c r="LFM188" s="78"/>
      <c r="LFN188" s="78"/>
      <c r="LFO188" s="78"/>
      <c r="LFP188" s="78"/>
      <c r="LFQ188" s="78"/>
      <c r="LFR188" s="78"/>
      <c r="LFS188" s="78"/>
      <c r="LFT188" s="78"/>
      <c r="LFU188" s="78"/>
      <c r="LFV188" s="78"/>
      <c r="LFW188" s="78"/>
      <c r="LFX188" s="78"/>
      <c r="LFY188" s="78"/>
      <c r="LFZ188" s="78"/>
      <c r="LGA188" s="78"/>
      <c r="LGB188" s="78"/>
      <c r="LGC188" s="78"/>
      <c r="LGD188" s="78"/>
      <c r="LGE188" s="78"/>
      <c r="LGF188" s="78"/>
      <c r="LGG188" s="78"/>
      <c r="LGH188" s="78"/>
      <c r="LGI188" s="78"/>
      <c r="LGJ188" s="78"/>
      <c r="LGK188" s="78"/>
      <c r="LGL188" s="78"/>
      <c r="LGM188" s="78"/>
      <c r="LGN188" s="78"/>
      <c r="LGO188" s="78"/>
      <c r="LGP188" s="78"/>
      <c r="LGQ188" s="78"/>
      <c r="LGR188" s="78"/>
      <c r="LGS188" s="78"/>
      <c r="LGT188" s="78"/>
      <c r="LGU188" s="78"/>
      <c r="LGV188" s="78"/>
      <c r="LGW188" s="78"/>
      <c r="LGX188" s="78"/>
      <c r="LGY188" s="78"/>
      <c r="LGZ188" s="78"/>
      <c r="LHA188" s="78"/>
      <c r="LHB188" s="78"/>
      <c r="LHC188" s="78"/>
      <c r="LHD188" s="78"/>
      <c r="LHE188" s="78"/>
      <c r="LHF188" s="78"/>
      <c r="LHG188" s="78"/>
      <c r="LHH188" s="78"/>
      <c r="LHI188" s="78"/>
      <c r="LHJ188" s="78"/>
      <c r="LHK188" s="78"/>
      <c r="LHL188" s="78"/>
      <c r="LHM188" s="78"/>
      <c r="LHN188" s="78"/>
      <c r="LHO188" s="78"/>
      <c r="LHP188" s="78"/>
      <c r="LHQ188" s="78"/>
      <c r="LHR188" s="78"/>
      <c r="LHS188" s="78"/>
      <c r="LHT188" s="78"/>
      <c r="LHU188" s="78"/>
      <c r="LHV188" s="78"/>
      <c r="LHW188" s="78"/>
      <c r="LHX188" s="78"/>
      <c r="LHY188" s="78"/>
      <c r="LHZ188" s="78"/>
      <c r="LIA188" s="78"/>
      <c r="LIB188" s="78"/>
      <c r="LIC188" s="78"/>
      <c r="LID188" s="78"/>
      <c r="LIE188" s="78"/>
      <c r="LIF188" s="78"/>
      <c r="LIG188" s="78"/>
      <c r="LIH188" s="78"/>
      <c r="LII188" s="78"/>
      <c r="LIJ188" s="78"/>
      <c r="LIK188" s="78"/>
      <c r="LIL188" s="78"/>
      <c r="LIM188" s="78"/>
      <c r="LIN188" s="78"/>
      <c r="LIO188" s="78"/>
      <c r="LIP188" s="78"/>
      <c r="LIQ188" s="78"/>
      <c r="LIR188" s="78"/>
      <c r="LIS188" s="78"/>
      <c r="LIT188" s="78"/>
      <c r="LIU188" s="78"/>
      <c r="LIV188" s="78"/>
      <c r="LIW188" s="78"/>
      <c r="LIX188" s="78"/>
      <c r="LIY188" s="78"/>
      <c r="LIZ188" s="78"/>
      <c r="LJA188" s="78"/>
      <c r="LJB188" s="78"/>
      <c r="LJC188" s="78"/>
      <c r="LJD188" s="78"/>
      <c r="LJE188" s="78"/>
      <c r="LJF188" s="78"/>
      <c r="LJG188" s="78"/>
      <c r="LJH188" s="78"/>
      <c r="LJI188" s="78"/>
      <c r="LJJ188" s="78"/>
      <c r="LJK188" s="78"/>
      <c r="LJL188" s="78"/>
      <c r="LJM188" s="78"/>
      <c r="LJN188" s="78"/>
      <c r="LJO188" s="78"/>
      <c r="LJP188" s="78"/>
      <c r="LJQ188" s="78"/>
      <c r="LJR188" s="78"/>
      <c r="LJS188" s="78"/>
      <c r="LJT188" s="78"/>
      <c r="LJU188" s="78"/>
      <c r="LJV188" s="78"/>
      <c r="LJW188" s="78"/>
      <c r="LJX188" s="78"/>
      <c r="LJY188" s="78"/>
      <c r="LJZ188" s="78"/>
      <c r="LKA188" s="78"/>
      <c r="LKB188" s="78"/>
      <c r="LKC188" s="78"/>
      <c r="LKD188" s="78"/>
      <c r="LKE188" s="78"/>
      <c r="LKF188" s="78"/>
      <c r="LKG188" s="78"/>
      <c r="LKH188" s="78"/>
      <c r="LKI188" s="78"/>
      <c r="LKJ188" s="78"/>
      <c r="LKK188" s="78"/>
      <c r="LKL188" s="78"/>
      <c r="LKM188" s="78"/>
      <c r="LKN188" s="78"/>
      <c r="LKO188" s="78"/>
      <c r="LKP188" s="78"/>
      <c r="LKQ188" s="78"/>
      <c r="LKR188" s="78"/>
      <c r="LKS188" s="78"/>
      <c r="LKT188" s="78"/>
      <c r="LKU188" s="78"/>
      <c r="LKV188" s="78"/>
      <c r="LKW188" s="78"/>
      <c r="LKX188" s="78"/>
      <c r="LKY188" s="78"/>
      <c r="LKZ188" s="78"/>
      <c r="LLA188" s="78"/>
      <c r="LLB188" s="78"/>
      <c r="LLC188" s="78"/>
      <c r="LLD188" s="78"/>
      <c r="LLE188" s="78"/>
      <c r="LLF188" s="78"/>
      <c r="LLG188" s="78"/>
      <c r="LLH188" s="78"/>
      <c r="LLI188" s="78"/>
      <c r="LLJ188" s="78"/>
      <c r="LLK188" s="78"/>
      <c r="LLL188" s="78"/>
      <c r="LLM188" s="78"/>
      <c r="LLN188" s="78"/>
      <c r="LLO188" s="78"/>
      <c r="LLP188" s="78"/>
      <c r="LLQ188" s="78"/>
      <c r="LLR188" s="78"/>
      <c r="LLS188" s="78"/>
      <c r="LLT188" s="78"/>
      <c r="LLU188" s="78"/>
      <c r="LLV188" s="78"/>
      <c r="LLW188" s="78"/>
      <c r="LLX188" s="78"/>
      <c r="LLY188" s="78"/>
      <c r="LLZ188" s="78"/>
      <c r="LMA188" s="78"/>
      <c r="LMB188" s="78"/>
      <c r="LMC188" s="78"/>
      <c r="LMD188" s="78"/>
      <c r="LME188" s="78"/>
      <c r="LMF188" s="78"/>
      <c r="LMG188" s="78"/>
      <c r="LMH188" s="78"/>
      <c r="LMI188" s="78"/>
      <c r="LMJ188" s="78"/>
      <c r="LMK188" s="78"/>
      <c r="LML188" s="78"/>
      <c r="LMM188" s="78"/>
      <c r="LMN188" s="78"/>
      <c r="LMO188" s="78"/>
      <c r="LMP188" s="78"/>
      <c r="LMQ188" s="78"/>
      <c r="LMR188" s="78"/>
      <c r="LMS188" s="78"/>
      <c r="LMT188" s="78"/>
      <c r="LMU188" s="78"/>
      <c r="LMV188" s="78"/>
      <c r="LMW188" s="78"/>
      <c r="LMX188" s="78"/>
      <c r="LMY188" s="78"/>
      <c r="LMZ188" s="78"/>
      <c r="LNA188" s="78"/>
      <c r="LNB188" s="78"/>
      <c r="LNC188" s="78"/>
      <c r="LND188" s="78"/>
      <c r="LNE188" s="78"/>
      <c r="LNF188" s="78"/>
      <c r="LNG188" s="78"/>
      <c r="LNH188" s="78"/>
      <c r="LNI188" s="78"/>
      <c r="LNJ188" s="78"/>
      <c r="LNK188" s="78"/>
      <c r="LNL188" s="78"/>
      <c r="LNM188" s="78"/>
      <c r="LNN188" s="78"/>
      <c r="LNO188" s="78"/>
      <c r="LNP188" s="78"/>
      <c r="LNQ188" s="78"/>
      <c r="LNR188" s="78"/>
      <c r="LNS188" s="78"/>
      <c r="LNT188" s="78"/>
      <c r="LNU188" s="78"/>
      <c r="LNV188" s="78"/>
      <c r="LNW188" s="78"/>
      <c r="LNX188" s="78"/>
      <c r="LNY188" s="78"/>
      <c r="LNZ188" s="78"/>
      <c r="LOA188" s="78"/>
      <c r="LOB188" s="78"/>
      <c r="LOC188" s="78"/>
      <c r="LOD188" s="78"/>
      <c r="LOE188" s="78"/>
      <c r="LOF188" s="78"/>
      <c r="LOG188" s="78"/>
      <c r="LOH188" s="78"/>
      <c r="LOI188" s="78"/>
      <c r="LOJ188" s="78"/>
      <c r="LOK188" s="78"/>
      <c r="LOL188" s="78"/>
      <c r="LOM188" s="78"/>
      <c r="LON188" s="78"/>
      <c r="LOO188" s="78"/>
      <c r="LOP188" s="78"/>
      <c r="LOQ188" s="78"/>
      <c r="LOR188" s="78"/>
      <c r="LOS188" s="78"/>
      <c r="LOT188" s="78"/>
      <c r="LOU188" s="78"/>
      <c r="LOV188" s="78"/>
      <c r="LOW188" s="78"/>
      <c r="LOX188" s="78"/>
      <c r="LOY188" s="78"/>
      <c r="LOZ188" s="78"/>
      <c r="LPA188" s="78"/>
      <c r="LPB188" s="78"/>
      <c r="LPC188" s="78"/>
      <c r="LPD188" s="78"/>
      <c r="LPE188" s="78"/>
      <c r="LPF188" s="78"/>
      <c r="LPG188" s="78"/>
      <c r="LPH188" s="78"/>
      <c r="LPI188" s="78"/>
      <c r="LPJ188" s="78"/>
      <c r="LPK188" s="78"/>
      <c r="LPL188" s="78"/>
      <c r="LPM188" s="78"/>
      <c r="LPN188" s="78"/>
      <c r="LPO188" s="78"/>
      <c r="LPP188" s="78"/>
      <c r="LPQ188" s="78"/>
      <c r="LPR188" s="78"/>
      <c r="LPS188" s="78"/>
      <c r="LPT188" s="78"/>
      <c r="LPU188" s="78"/>
      <c r="LPV188" s="78"/>
      <c r="LPW188" s="78"/>
      <c r="LPX188" s="78"/>
      <c r="LPY188" s="78"/>
      <c r="LPZ188" s="78"/>
      <c r="LQA188" s="78"/>
      <c r="LQB188" s="78"/>
      <c r="LQC188" s="78"/>
      <c r="LQD188" s="78"/>
      <c r="LQE188" s="78"/>
      <c r="LQF188" s="78"/>
      <c r="LQG188" s="78"/>
      <c r="LQH188" s="78"/>
      <c r="LQI188" s="78"/>
      <c r="LQJ188" s="78"/>
      <c r="LQK188" s="78"/>
      <c r="LQL188" s="78"/>
      <c r="LQM188" s="78"/>
      <c r="LQN188" s="78"/>
      <c r="LQO188" s="78"/>
      <c r="LQP188" s="78"/>
      <c r="LQQ188" s="78"/>
      <c r="LQR188" s="78"/>
      <c r="LQS188" s="78"/>
      <c r="LQT188" s="78"/>
      <c r="LQU188" s="78"/>
      <c r="LQV188" s="78"/>
      <c r="LQW188" s="78"/>
      <c r="LQX188" s="78"/>
      <c r="LQY188" s="78"/>
      <c r="LQZ188" s="78"/>
      <c r="LRA188" s="78"/>
      <c r="LRB188" s="78"/>
      <c r="LRC188" s="78"/>
      <c r="LRD188" s="78"/>
      <c r="LRE188" s="78"/>
      <c r="LRF188" s="78"/>
      <c r="LRG188" s="78"/>
      <c r="LRH188" s="78"/>
      <c r="LRI188" s="78"/>
      <c r="LRJ188" s="78"/>
      <c r="LRK188" s="78"/>
      <c r="LRL188" s="78"/>
      <c r="LRM188" s="78"/>
      <c r="LRN188" s="78"/>
      <c r="LRO188" s="78"/>
      <c r="LRP188" s="78"/>
      <c r="LRQ188" s="78"/>
      <c r="LRR188" s="78"/>
      <c r="LRS188" s="78"/>
      <c r="LRT188" s="78"/>
      <c r="LRU188" s="78"/>
      <c r="LRV188" s="78"/>
      <c r="LRW188" s="78"/>
      <c r="LRX188" s="78"/>
      <c r="LRY188" s="78"/>
      <c r="LRZ188" s="78"/>
      <c r="LSA188" s="78"/>
      <c r="LSB188" s="78"/>
      <c r="LSC188" s="78"/>
      <c r="LSD188" s="78"/>
      <c r="LSE188" s="78"/>
      <c r="LSF188" s="78"/>
      <c r="LSG188" s="78"/>
      <c r="LSH188" s="78"/>
      <c r="LSI188" s="78"/>
      <c r="LSJ188" s="78"/>
      <c r="LSK188" s="78"/>
      <c r="LSL188" s="78"/>
      <c r="LSM188" s="78"/>
      <c r="LSN188" s="78"/>
      <c r="LSO188" s="78"/>
      <c r="LSP188" s="78"/>
      <c r="LSQ188" s="78"/>
      <c r="LSR188" s="78"/>
      <c r="LSS188" s="78"/>
      <c r="LST188" s="78"/>
      <c r="LSU188" s="78"/>
      <c r="LSV188" s="78"/>
      <c r="LSW188" s="78"/>
      <c r="LSX188" s="78"/>
      <c r="LSY188" s="78"/>
      <c r="LSZ188" s="78"/>
      <c r="LTA188" s="78"/>
      <c r="LTB188" s="78"/>
      <c r="LTC188" s="78"/>
      <c r="LTD188" s="78"/>
      <c r="LTE188" s="78"/>
      <c r="LTF188" s="78"/>
      <c r="LTG188" s="78"/>
      <c r="LTH188" s="78"/>
      <c r="LTI188" s="78"/>
      <c r="LTJ188" s="78"/>
      <c r="LTK188" s="78"/>
      <c r="LTL188" s="78"/>
      <c r="LTM188" s="78"/>
      <c r="LTN188" s="78"/>
      <c r="LTO188" s="78"/>
      <c r="LTP188" s="78"/>
      <c r="LTQ188" s="78"/>
      <c r="LTR188" s="78"/>
      <c r="LTS188" s="78"/>
      <c r="LTT188" s="78"/>
      <c r="LTU188" s="78"/>
      <c r="LTV188" s="78"/>
      <c r="LTW188" s="78"/>
      <c r="LTX188" s="78"/>
      <c r="LTY188" s="78"/>
      <c r="LTZ188" s="78"/>
      <c r="LUA188" s="78"/>
      <c r="LUB188" s="78"/>
      <c r="LUC188" s="78"/>
      <c r="LUD188" s="78"/>
      <c r="LUE188" s="78"/>
      <c r="LUF188" s="78"/>
      <c r="LUG188" s="78"/>
      <c r="LUH188" s="78"/>
      <c r="LUI188" s="78"/>
      <c r="LUJ188" s="78"/>
      <c r="LUK188" s="78"/>
      <c r="LUL188" s="78"/>
      <c r="LUM188" s="78"/>
      <c r="LUN188" s="78"/>
      <c r="LUO188" s="78"/>
      <c r="LUP188" s="78"/>
      <c r="LUQ188" s="78"/>
      <c r="LUR188" s="78"/>
      <c r="LUS188" s="78"/>
      <c r="LUT188" s="78"/>
      <c r="LUU188" s="78"/>
      <c r="LUV188" s="78"/>
      <c r="LUW188" s="78"/>
      <c r="LUX188" s="78"/>
      <c r="LUY188" s="78"/>
      <c r="LUZ188" s="78"/>
      <c r="LVA188" s="78"/>
      <c r="LVB188" s="78"/>
      <c r="LVC188" s="78"/>
      <c r="LVD188" s="78"/>
      <c r="LVE188" s="78"/>
      <c r="LVF188" s="78"/>
      <c r="LVG188" s="78"/>
      <c r="LVH188" s="78"/>
      <c r="LVI188" s="78"/>
      <c r="LVJ188" s="78"/>
      <c r="LVK188" s="78"/>
      <c r="LVL188" s="78"/>
      <c r="LVM188" s="78"/>
      <c r="LVN188" s="78"/>
      <c r="LVO188" s="78"/>
      <c r="LVP188" s="78"/>
      <c r="LVQ188" s="78"/>
      <c r="LVR188" s="78"/>
      <c r="LVS188" s="78"/>
      <c r="LVT188" s="78"/>
      <c r="LVU188" s="78"/>
      <c r="LVV188" s="78"/>
      <c r="LVW188" s="78"/>
      <c r="LVX188" s="78"/>
      <c r="LVY188" s="78"/>
      <c r="LVZ188" s="78"/>
      <c r="LWA188" s="78"/>
      <c r="LWB188" s="78"/>
      <c r="LWC188" s="78"/>
      <c r="LWD188" s="78"/>
      <c r="LWE188" s="78"/>
      <c r="LWF188" s="78"/>
      <c r="LWG188" s="78"/>
      <c r="LWH188" s="78"/>
      <c r="LWI188" s="78"/>
      <c r="LWJ188" s="78"/>
      <c r="LWK188" s="78"/>
      <c r="LWL188" s="78"/>
      <c r="LWM188" s="78"/>
      <c r="LWN188" s="78"/>
      <c r="LWO188" s="78"/>
      <c r="LWP188" s="78"/>
      <c r="LWQ188" s="78"/>
      <c r="LWR188" s="78"/>
      <c r="LWS188" s="78"/>
      <c r="LWT188" s="78"/>
      <c r="LWU188" s="78"/>
      <c r="LWV188" s="78"/>
      <c r="LWW188" s="78"/>
      <c r="LWX188" s="78"/>
      <c r="LWY188" s="78"/>
      <c r="LWZ188" s="78"/>
      <c r="LXA188" s="78"/>
      <c r="LXB188" s="78"/>
      <c r="LXC188" s="78"/>
      <c r="LXD188" s="78"/>
      <c r="LXE188" s="78"/>
      <c r="LXF188" s="78"/>
      <c r="LXG188" s="78"/>
      <c r="LXH188" s="78"/>
      <c r="LXI188" s="78"/>
      <c r="LXJ188" s="78"/>
      <c r="LXK188" s="78"/>
      <c r="LXL188" s="78"/>
      <c r="LXM188" s="78"/>
      <c r="LXN188" s="78"/>
      <c r="LXO188" s="78"/>
      <c r="LXP188" s="78"/>
      <c r="LXQ188" s="78"/>
      <c r="LXR188" s="78"/>
      <c r="LXS188" s="78"/>
      <c r="LXT188" s="78"/>
      <c r="LXU188" s="78"/>
      <c r="LXV188" s="78"/>
      <c r="LXW188" s="78"/>
      <c r="LXX188" s="78"/>
      <c r="LXY188" s="78"/>
      <c r="LXZ188" s="78"/>
      <c r="LYA188" s="78"/>
      <c r="LYB188" s="78"/>
      <c r="LYC188" s="78"/>
      <c r="LYD188" s="78"/>
      <c r="LYE188" s="78"/>
      <c r="LYF188" s="78"/>
      <c r="LYG188" s="78"/>
      <c r="LYH188" s="78"/>
      <c r="LYI188" s="78"/>
      <c r="LYJ188" s="78"/>
      <c r="LYK188" s="78"/>
      <c r="LYL188" s="78"/>
      <c r="LYM188" s="78"/>
      <c r="LYN188" s="78"/>
      <c r="LYO188" s="78"/>
      <c r="LYP188" s="78"/>
      <c r="LYQ188" s="78"/>
      <c r="LYR188" s="78"/>
      <c r="LYS188" s="78"/>
      <c r="LYT188" s="78"/>
      <c r="LYU188" s="78"/>
      <c r="LYV188" s="78"/>
      <c r="LYW188" s="78"/>
      <c r="LYX188" s="78"/>
      <c r="LYY188" s="78"/>
      <c r="LYZ188" s="78"/>
      <c r="LZA188" s="78"/>
      <c r="LZB188" s="78"/>
      <c r="LZC188" s="78"/>
      <c r="LZD188" s="78"/>
      <c r="LZE188" s="78"/>
      <c r="LZF188" s="78"/>
      <c r="LZG188" s="78"/>
      <c r="LZH188" s="78"/>
      <c r="LZI188" s="78"/>
      <c r="LZJ188" s="78"/>
      <c r="LZK188" s="78"/>
      <c r="LZL188" s="78"/>
      <c r="LZM188" s="78"/>
      <c r="LZN188" s="78"/>
      <c r="LZO188" s="78"/>
      <c r="LZP188" s="78"/>
      <c r="LZQ188" s="78"/>
      <c r="LZR188" s="78"/>
      <c r="LZS188" s="78"/>
      <c r="LZT188" s="78"/>
      <c r="LZU188" s="78"/>
      <c r="LZV188" s="78"/>
      <c r="LZW188" s="78"/>
      <c r="LZX188" s="78"/>
      <c r="LZY188" s="78"/>
      <c r="LZZ188" s="78"/>
      <c r="MAA188" s="78"/>
      <c r="MAB188" s="78"/>
      <c r="MAC188" s="78"/>
      <c r="MAD188" s="78"/>
      <c r="MAE188" s="78"/>
      <c r="MAF188" s="78"/>
      <c r="MAG188" s="78"/>
      <c r="MAH188" s="78"/>
      <c r="MAI188" s="78"/>
      <c r="MAJ188" s="78"/>
      <c r="MAK188" s="78"/>
      <c r="MAL188" s="78"/>
      <c r="MAM188" s="78"/>
      <c r="MAN188" s="78"/>
      <c r="MAO188" s="78"/>
      <c r="MAP188" s="78"/>
      <c r="MAQ188" s="78"/>
      <c r="MAR188" s="78"/>
      <c r="MAS188" s="78"/>
      <c r="MAT188" s="78"/>
      <c r="MAU188" s="78"/>
      <c r="MAV188" s="78"/>
      <c r="MAW188" s="78"/>
      <c r="MAX188" s="78"/>
      <c r="MAY188" s="78"/>
      <c r="MAZ188" s="78"/>
      <c r="MBA188" s="78"/>
      <c r="MBB188" s="78"/>
      <c r="MBC188" s="78"/>
      <c r="MBD188" s="78"/>
      <c r="MBE188" s="78"/>
      <c r="MBF188" s="78"/>
      <c r="MBG188" s="78"/>
      <c r="MBH188" s="78"/>
      <c r="MBI188" s="78"/>
      <c r="MBJ188" s="78"/>
      <c r="MBK188" s="78"/>
      <c r="MBL188" s="78"/>
      <c r="MBM188" s="78"/>
      <c r="MBN188" s="78"/>
      <c r="MBO188" s="78"/>
      <c r="MBP188" s="78"/>
      <c r="MBQ188" s="78"/>
      <c r="MBR188" s="78"/>
      <c r="MBS188" s="78"/>
      <c r="MBT188" s="78"/>
      <c r="MBU188" s="78"/>
      <c r="MBV188" s="78"/>
      <c r="MBW188" s="78"/>
      <c r="MBX188" s="78"/>
      <c r="MBY188" s="78"/>
      <c r="MBZ188" s="78"/>
      <c r="MCA188" s="78"/>
      <c r="MCB188" s="78"/>
      <c r="MCC188" s="78"/>
      <c r="MCD188" s="78"/>
      <c r="MCE188" s="78"/>
      <c r="MCF188" s="78"/>
      <c r="MCG188" s="78"/>
      <c r="MCH188" s="78"/>
      <c r="MCI188" s="78"/>
      <c r="MCJ188" s="78"/>
      <c r="MCK188" s="78"/>
      <c r="MCL188" s="78"/>
      <c r="MCM188" s="78"/>
      <c r="MCN188" s="78"/>
      <c r="MCO188" s="78"/>
      <c r="MCP188" s="78"/>
      <c r="MCQ188" s="78"/>
      <c r="MCR188" s="78"/>
      <c r="MCS188" s="78"/>
      <c r="MCT188" s="78"/>
      <c r="MCU188" s="78"/>
      <c r="MCV188" s="78"/>
      <c r="MCW188" s="78"/>
      <c r="MCX188" s="78"/>
      <c r="MCY188" s="78"/>
      <c r="MCZ188" s="78"/>
      <c r="MDA188" s="78"/>
      <c r="MDB188" s="78"/>
      <c r="MDC188" s="78"/>
      <c r="MDD188" s="78"/>
      <c r="MDE188" s="78"/>
      <c r="MDF188" s="78"/>
      <c r="MDG188" s="78"/>
      <c r="MDH188" s="78"/>
      <c r="MDI188" s="78"/>
      <c r="MDJ188" s="78"/>
      <c r="MDK188" s="78"/>
      <c r="MDL188" s="78"/>
      <c r="MDM188" s="78"/>
      <c r="MDN188" s="78"/>
      <c r="MDO188" s="78"/>
      <c r="MDP188" s="78"/>
      <c r="MDQ188" s="78"/>
      <c r="MDR188" s="78"/>
      <c r="MDS188" s="78"/>
      <c r="MDT188" s="78"/>
      <c r="MDU188" s="78"/>
      <c r="MDV188" s="78"/>
      <c r="MDW188" s="78"/>
      <c r="MDX188" s="78"/>
      <c r="MDY188" s="78"/>
      <c r="MDZ188" s="78"/>
      <c r="MEA188" s="78"/>
      <c r="MEB188" s="78"/>
      <c r="MEC188" s="78"/>
      <c r="MED188" s="78"/>
      <c r="MEE188" s="78"/>
      <c r="MEF188" s="78"/>
      <c r="MEG188" s="78"/>
      <c r="MEH188" s="78"/>
      <c r="MEI188" s="78"/>
      <c r="MEJ188" s="78"/>
      <c r="MEK188" s="78"/>
      <c r="MEL188" s="78"/>
      <c r="MEM188" s="78"/>
      <c r="MEN188" s="78"/>
      <c r="MEO188" s="78"/>
      <c r="MEP188" s="78"/>
      <c r="MEQ188" s="78"/>
      <c r="MER188" s="78"/>
      <c r="MES188" s="78"/>
      <c r="MET188" s="78"/>
      <c r="MEU188" s="78"/>
      <c r="MEV188" s="78"/>
      <c r="MEW188" s="78"/>
      <c r="MEX188" s="78"/>
      <c r="MEY188" s="78"/>
      <c r="MEZ188" s="78"/>
      <c r="MFA188" s="78"/>
      <c r="MFB188" s="78"/>
      <c r="MFC188" s="78"/>
      <c r="MFD188" s="78"/>
      <c r="MFE188" s="78"/>
      <c r="MFF188" s="78"/>
      <c r="MFG188" s="78"/>
      <c r="MFH188" s="78"/>
      <c r="MFI188" s="78"/>
      <c r="MFJ188" s="78"/>
      <c r="MFK188" s="78"/>
      <c r="MFL188" s="78"/>
      <c r="MFM188" s="78"/>
      <c r="MFN188" s="78"/>
      <c r="MFO188" s="78"/>
      <c r="MFP188" s="78"/>
      <c r="MFQ188" s="78"/>
      <c r="MFR188" s="78"/>
      <c r="MFS188" s="78"/>
      <c r="MFT188" s="78"/>
      <c r="MFU188" s="78"/>
      <c r="MFV188" s="78"/>
      <c r="MFW188" s="78"/>
      <c r="MFX188" s="78"/>
      <c r="MFY188" s="78"/>
      <c r="MFZ188" s="78"/>
      <c r="MGA188" s="78"/>
      <c r="MGB188" s="78"/>
      <c r="MGC188" s="78"/>
      <c r="MGD188" s="78"/>
      <c r="MGE188" s="78"/>
      <c r="MGF188" s="78"/>
      <c r="MGG188" s="78"/>
      <c r="MGH188" s="78"/>
      <c r="MGI188" s="78"/>
      <c r="MGJ188" s="78"/>
      <c r="MGK188" s="78"/>
      <c r="MGL188" s="78"/>
      <c r="MGM188" s="78"/>
      <c r="MGN188" s="78"/>
      <c r="MGO188" s="78"/>
      <c r="MGP188" s="78"/>
      <c r="MGQ188" s="78"/>
      <c r="MGR188" s="78"/>
      <c r="MGS188" s="78"/>
      <c r="MGT188" s="78"/>
      <c r="MGU188" s="78"/>
      <c r="MGV188" s="78"/>
      <c r="MGW188" s="78"/>
      <c r="MGX188" s="78"/>
      <c r="MGY188" s="78"/>
      <c r="MGZ188" s="78"/>
      <c r="MHA188" s="78"/>
      <c r="MHB188" s="78"/>
      <c r="MHC188" s="78"/>
      <c r="MHD188" s="78"/>
      <c r="MHE188" s="78"/>
      <c r="MHF188" s="78"/>
      <c r="MHG188" s="78"/>
      <c r="MHH188" s="78"/>
      <c r="MHI188" s="78"/>
      <c r="MHJ188" s="78"/>
      <c r="MHK188" s="78"/>
      <c r="MHL188" s="78"/>
      <c r="MHM188" s="78"/>
      <c r="MHN188" s="78"/>
      <c r="MHO188" s="78"/>
      <c r="MHP188" s="78"/>
      <c r="MHQ188" s="78"/>
      <c r="MHR188" s="78"/>
      <c r="MHS188" s="78"/>
      <c r="MHT188" s="78"/>
      <c r="MHU188" s="78"/>
      <c r="MHV188" s="78"/>
      <c r="MHW188" s="78"/>
      <c r="MHX188" s="78"/>
      <c r="MHY188" s="78"/>
      <c r="MHZ188" s="78"/>
      <c r="MIA188" s="78"/>
      <c r="MIB188" s="78"/>
      <c r="MIC188" s="78"/>
      <c r="MID188" s="78"/>
      <c r="MIE188" s="78"/>
      <c r="MIF188" s="78"/>
      <c r="MIG188" s="78"/>
      <c r="MIH188" s="78"/>
      <c r="MII188" s="78"/>
      <c r="MIJ188" s="78"/>
      <c r="MIK188" s="78"/>
      <c r="MIL188" s="78"/>
      <c r="MIM188" s="78"/>
      <c r="MIN188" s="78"/>
      <c r="MIO188" s="78"/>
      <c r="MIP188" s="78"/>
      <c r="MIQ188" s="78"/>
      <c r="MIR188" s="78"/>
      <c r="MIS188" s="78"/>
      <c r="MIT188" s="78"/>
      <c r="MIU188" s="78"/>
      <c r="MIV188" s="78"/>
      <c r="MIW188" s="78"/>
      <c r="MIX188" s="78"/>
      <c r="MIY188" s="78"/>
      <c r="MIZ188" s="78"/>
      <c r="MJA188" s="78"/>
      <c r="MJB188" s="78"/>
      <c r="MJC188" s="78"/>
      <c r="MJD188" s="78"/>
      <c r="MJE188" s="78"/>
      <c r="MJF188" s="78"/>
      <c r="MJG188" s="78"/>
      <c r="MJH188" s="78"/>
      <c r="MJI188" s="78"/>
      <c r="MJJ188" s="78"/>
      <c r="MJK188" s="78"/>
      <c r="MJL188" s="78"/>
      <c r="MJM188" s="78"/>
      <c r="MJN188" s="78"/>
      <c r="MJO188" s="78"/>
      <c r="MJP188" s="78"/>
      <c r="MJQ188" s="78"/>
      <c r="MJR188" s="78"/>
      <c r="MJS188" s="78"/>
      <c r="MJT188" s="78"/>
      <c r="MJU188" s="78"/>
      <c r="MJV188" s="78"/>
      <c r="MJW188" s="78"/>
      <c r="MJX188" s="78"/>
      <c r="MJY188" s="78"/>
      <c r="MJZ188" s="78"/>
      <c r="MKA188" s="78"/>
      <c r="MKB188" s="78"/>
      <c r="MKC188" s="78"/>
      <c r="MKD188" s="78"/>
      <c r="MKE188" s="78"/>
      <c r="MKF188" s="78"/>
      <c r="MKG188" s="78"/>
      <c r="MKH188" s="78"/>
      <c r="MKI188" s="78"/>
      <c r="MKJ188" s="78"/>
      <c r="MKK188" s="78"/>
      <c r="MKL188" s="78"/>
      <c r="MKM188" s="78"/>
      <c r="MKN188" s="78"/>
      <c r="MKO188" s="78"/>
      <c r="MKP188" s="78"/>
      <c r="MKQ188" s="78"/>
      <c r="MKR188" s="78"/>
      <c r="MKS188" s="78"/>
      <c r="MKT188" s="78"/>
      <c r="MKU188" s="78"/>
      <c r="MKV188" s="78"/>
      <c r="MKW188" s="78"/>
      <c r="MKX188" s="78"/>
      <c r="MKY188" s="78"/>
      <c r="MKZ188" s="78"/>
      <c r="MLA188" s="78"/>
      <c r="MLB188" s="78"/>
      <c r="MLC188" s="78"/>
      <c r="MLD188" s="78"/>
      <c r="MLE188" s="78"/>
      <c r="MLF188" s="78"/>
      <c r="MLG188" s="78"/>
      <c r="MLH188" s="78"/>
      <c r="MLI188" s="78"/>
      <c r="MLJ188" s="78"/>
      <c r="MLK188" s="78"/>
      <c r="MLL188" s="78"/>
      <c r="MLM188" s="78"/>
      <c r="MLN188" s="78"/>
      <c r="MLO188" s="78"/>
      <c r="MLP188" s="78"/>
      <c r="MLQ188" s="78"/>
      <c r="MLR188" s="78"/>
      <c r="MLS188" s="78"/>
      <c r="MLT188" s="78"/>
      <c r="MLU188" s="78"/>
      <c r="MLV188" s="78"/>
      <c r="MLW188" s="78"/>
      <c r="MLX188" s="78"/>
      <c r="MLY188" s="78"/>
      <c r="MLZ188" s="78"/>
      <c r="MMA188" s="78"/>
      <c r="MMB188" s="78"/>
      <c r="MMC188" s="78"/>
      <c r="MMD188" s="78"/>
      <c r="MME188" s="78"/>
      <c r="MMF188" s="78"/>
      <c r="MMG188" s="78"/>
      <c r="MMH188" s="78"/>
      <c r="MMI188" s="78"/>
      <c r="MMJ188" s="78"/>
      <c r="MMK188" s="78"/>
      <c r="MML188" s="78"/>
      <c r="MMM188" s="78"/>
      <c r="MMN188" s="78"/>
      <c r="MMO188" s="78"/>
      <c r="MMP188" s="78"/>
      <c r="MMQ188" s="78"/>
      <c r="MMR188" s="78"/>
      <c r="MMS188" s="78"/>
      <c r="MMT188" s="78"/>
      <c r="MMU188" s="78"/>
      <c r="MMV188" s="78"/>
      <c r="MMW188" s="78"/>
      <c r="MMX188" s="78"/>
      <c r="MMY188" s="78"/>
      <c r="MMZ188" s="78"/>
      <c r="MNA188" s="78"/>
      <c r="MNB188" s="78"/>
      <c r="MNC188" s="78"/>
      <c r="MND188" s="78"/>
      <c r="MNE188" s="78"/>
      <c r="MNF188" s="78"/>
      <c r="MNG188" s="78"/>
      <c r="MNH188" s="78"/>
      <c r="MNI188" s="78"/>
      <c r="MNJ188" s="78"/>
      <c r="MNK188" s="78"/>
      <c r="MNL188" s="78"/>
      <c r="MNM188" s="78"/>
      <c r="MNN188" s="78"/>
      <c r="MNO188" s="78"/>
      <c r="MNP188" s="78"/>
      <c r="MNQ188" s="78"/>
      <c r="MNR188" s="78"/>
      <c r="MNS188" s="78"/>
      <c r="MNT188" s="78"/>
      <c r="MNU188" s="78"/>
      <c r="MNV188" s="78"/>
      <c r="MNW188" s="78"/>
      <c r="MNX188" s="78"/>
      <c r="MNY188" s="78"/>
      <c r="MNZ188" s="78"/>
      <c r="MOA188" s="78"/>
      <c r="MOB188" s="78"/>
      <c r="MOC188" s="78"/>
      <c r="MOD188" s="78"/>
      <c r="MOE188" s="78"/>
      <c r="MOF188" s="78"/>
      <c r="MOG188" s="78"/>
      <c r="MOH188" s="78"/>
      <c r="MOI188" s="78"/>
      <c r="MOJ188" s="78"/>
      <c r="MOK188" s="78"/>
      <c r="MOL188" s="78"/>
      <c r="MOM188" s="78"/>
      <c r="MON188" s="78"/>
      <c r="MOO188" s="78"/>
      <c r="MOP188" s="78"/>
      <c r="MOQ188" s="78"/>
      <c r="MOR188" s="78"/>
      <c r="MOS188" s="78"/>
      <c r="MOT188" s="78"/>
      <c r="MOU188" s="78"/>
      <c r="MOV188" s="78"/>
      <c r="MOW188" s="78"/>
      <c r="MOX188" s="78"/>
      <c r="MOY188" s="78"/>
      <c r="MOZ188" s="78"/>
      <c r="MPA188" s="78"/>
      <c r="MPB188" s="78"/>
      <c r="MPC188" s="78"/>
      <c r="MPD188" s="78"/>
      <c r="MPE188" s="78"/>
      <c r="MPF188" s="78"/>
      <c r="MPG188" s="78"/>
      <c r="MPH188" s="78"/>
      <c r="MPI188" s="78"/>
      <c r="MPJ188" s="78"/>
      <c r="MPK188" s="78"/>
      <c r="MPL188" s="78"/>
      <c r="MPM188" s="78"/>
      <c r="MPN188" s="78"/>
      <c r="MPO188" s="78"/>
      <c r="MPP188" s="78"/>
      <c r="MPQ188" s="78"/>
      <c r="MPR188" s="78"/>
      <c r="MPS188" s="78"/>
      <c r="MPT188" s="78"/>
      <c r="MPU188" s="78"/>
      <c r="MPV188" s="78"/>
      <c r="MPW188" s="78"/>
      <c r="MPX188" s="78"/>
      <c r="MPY188" s="78"/>
      <c r="MPZ188" s="78"/>
      <c r="MQA188" s="78"/>
      <c r="MQB188" s="78"/>
      <c r="MQC188" s="78"/>
      <c r="MQD188" s="78"/>
      <c r="MQE188" s="78"/>
      <c r="MQF188" s="78"/>
      <c r="MQG188" s="78"/>
      <c r="MQH188" s="78"/>
      <c r="MQI188" s="78"/>
      <c r="MQJ188" s="78"/>
      <c r="MQK188" s="78"/>
      <c r="MQL188" s="78"/>
      <c r="MQM188" s="78"/>
      <c r="MQN188" s="78"/>
      <c r="MQO188" s="78"/>
      <c r="MQP188" s="78"/>
      <c r="MQQ188" s="78"/>
      <c r="MQR188" s="78"/>
      <c r="MQS188" s="78"/>
      <c r="MQT188" s="78"/>
      <c r="MQU188" s="78"/>
      <c r="MQV188" s="78"/>
      <c r="MQW188" s="78"/>
      <c r="MQX188" s="78"/>
      <c r="MQY188" s="78"/>
      <c r="MQZ188" s="78"/>
      <c r="MRA188" s="78"/>
      <c r="MRB188" s="78"/>
      <c r="MRC188" s="78"/>
      <c r="MRD188" s="78"/>
      <c r="MRE188" s="78"/>
      <c r="MRF188" s="78"/>
      <c r="MRG188" s="78"/>
      <c r="MRH188" s="78"/>
      <c r="MRI188" s="78"/>
      <c r="MRJ188" s="78"/>
      <c r="MRK188" s="78"/>
      <c r="MRL188" s="78"/>
      <c r="MRM188" s="78"/>
      <c r="MRN188" s="78"/>
      <c r="MRO188" s="78"/>
      <c r="MRP188" s="78"/>
      <c r="MRQ188" s="78"/>
      <c r="MRR188" s="78"/>
      <c r="MRS188" s="78"/>
      <c r="MRT188" s="78"/>
      <c r="MRU188" s="78"/>
      <c r="MRV188" s="78"/>
      <c r="MRW188" s="78"/>
      <c r="MRX188" s="78"/>
      <c r="MRY188" s="78"/>
      <c r="MRZ188" s="78"/>
      <c r="MSA188" s="78"/>
      <c r="MSB188" s="78"/>
      <c r="MSC188" s="78"/>
      <c r="MSD188" s="78"/>
      <c r="MSE188" s="78"/>
      <c r="MSF188" s="78"/>
      <c r="MSG188" s="78"/>
      <c r="MSH188" s="78"/>
      <c r="MSI188" s="78"/>
      <c r="MSJ188" s="78"/>
      <c r="MSK188" s="78"/>
      <c r="MSL188" s="78"/>
      <c r="MSM188" s="78"/>
      <c r="MSN188" s="78"/>
      <c r="MSO188" s="78"/>
      <c r="MSP188" s="78"/>
      <c r="MSQ188" s="78"/>
      <c r="MSR188" s="78"/>
      <c r="MSS188" s="78"/>
      <c r="MST188" s="78"/>
      <c r="MSU188" s="78"/>
      <c r="MSV188" s="78"/>
      <c r="MSW188" s="78"/>
      <c r="MSX188" s="78"/>
      <c r="MSY188" s="78"/>
      <c r="MSZ188" s="78"/>
      <c r="MTA188" s="78"/>
      <c r="MTB188" s="78"/>
      <c r="MTC188" s="78"/>
      <c r="MTD188" s="78"/>
      <c r="MTE188" s="78"/>
      <c r="MTF188" s="78"/>
      <c r="MTG188" s="78"/>
      <c r="MTH188" s="78"/>
      <c r="MTI188" s="78"/>
      <c r="MTJ188" s="78"/>
      <c r="MTK188" s="78"/>
      <c r="MTL188" s="78"/>
      <c r="MTM188" s="78"/>
      <c r="MTN188" s="78"/>
      <c r="MTO188" s="78"/>
      <c r="MTP188" s="78"/>
      <c r="MTQ188" s="78"/>
      <c r="MTR188" s="78"/>
      <c r="MTS188" s="78"/>
      <c r="MTT188" s="78"/>
      <c r="MTU188" s="78"/>
      <c r="MTV188" s="78"/>
      <c r="MTW188" s="78"/>
      <c r="MTX188" s="78"/>
      <c r="MTY188" s="78"/>
      <c r="MTZ188" s="78"/>
      <c r="MUA188" s="78"/>
      <c r="MUB188" s="78"/>
      <c r="MUC188" s="78"/>
      <c r="MUD188" s="78"/>
      <c r="MUE188" s="78"/>
      <c r="MUF188" s="78"/>
      <c r="MUG188" s="78"/>
      <c r="MUH188" s="78"/>
      <c r="MUI188" s="78"/>
      <c r="MUJ188" s="78"/>
      <c r="MUK188" s="78"/>
      <c r="MUL188" s="78"/>
      <c r="MUM188" s="78"/>
      <c r="MUN188" s="78"/>
      <c r="MUO188" s="78"/>
      <c r="MUP188" s="78"/>
      <c r="MUQ188" s="78"/>
      <c r="MUR188" s="78"/>
      <c r="MUS188" s="78"/>
      <c r="MUT188" s="78"/>
      <c r="MUU188" s="78"/>
      <c r="MUV188" s="78"/>
      <c r="MUW188" s="78"/>
      <c r="MUX188" s="78"/>
      <c r="MUY188" s="78"/>
      <c r="MUZ188" s="78"/>
      <c r="MVA188" s="78"/>
      <c r="MVB188" s="78"/>
      <c r="MVC188" s="78"/>
      <c r="MVD188" s="78"/>
      <c r="MVE188" s="78"/>
      <c r="MVF188" s="78"/>
      <c r="MVG188" s="78"/>
      <c r="MVH188" s="78"/>
      <c r="MVI188" s="78"/>
      <c r="MVJ188" s="78"/>
      <c r="MVK188" s="78"/>
      <c r="MVL188" s="78"/>
      <c r="MVM188" s="78"/>
      <c r="MVN188" s="78"/>
      <c r="MVO188" s="78"/>
      <c r="MVP188" s="78"/>
      <c r="MVQ188" s="78"/>
      <c r="MVR188" s="78"/>
      <c r="MVS188" s="78"/>
      <c r="MVT188" s="78"/>
      <c r="MVU188" s="78"/>
      <c r="MVV188" s="78"/>
      <c r="MVW188" s="78"/>
      <c r="MVX188" s="78"/>
      <c r="MVY188" s="78"/>
      <c r="MVZ188" s="78"/>
      <c r="MWA188" s="78"/>
      <c r="MWB188" s="78"/>
      <c r="MWC188" s="78"/>
      <c r="MWD188" s="78"/>
      <c r="MWE188" s="78"/>
      <c r="MWF188" s="78"/>
      <c r="MWG188" s="78"/>
      <c r="MWH188" s="78"/>
      <c r="MWI188" s="78"/>
      <c r="MWJ188" s="78"/>
      <c r="MWK188" s="78"/>
      <c r="MWL188" s="78"/>
      <c r="MWM188" s="78"/>
      <c r="MWN188" s="78"/>
      <c r="MWO188" s="78"/>
      <c r="MWP188" s="78"/>
      <c r="MWQ188" s="78"/>
      <c r="MWR188" s="78"/>
      <c r="MWS188" s="78"/>
      <c r="MWT188" s="78"/>
      <c r="MWU188" s="78"/>
      <c r="MWV188" s="78"/>
      <c r="MWW188" s="78"/>
      <c r="MWX188" s="78"/>
      <c r="MWY188" s="78"/>
      <c r="MWZ188" s="78"/>
      <c r="MXA188" s="78"/>
      <c r="MXB188" s="78"/>
      <c r="MXC188" s="78"/>
      <c r="MXD188" s="78"/>
      <c r="MXE188" s="78"/>
      <c r="MXF188" s="78"/>
      <c r="MXG188" s="78"/>
      <c r="MXH188" s="78"/>
      <c r="MXI188" s="78"/>
      <c r="MXJ188" s="78"/>
      <c r="MXK188" s="78"/>
      <c r="MXL188" s="78"/>
      <c r="MXM188" s="78"/>
      <c r="MXN188" s="78"/>
      <c r="MXO188" s="78"/>
      <c r="MXP188" s="78"/>
      <c r="MXQ188" s="78"/>
      <c r="MXR188" s="78"/>
      <c r="MXS188" s="78"/>
      <c r="MXT188" s="78"/>
      <c r="MXU188" s="78"/>
      <c r="MXV188" s="78"/>
      <c r="MXW188" s="78"/>
      <c r="MXX188" s="78"/>
      <c r="MXY188" s="78"/>
      <c r="MXZ188" s="78"/>
      <c r="MYA188" s="78"/>
      <c r="MYB188" s="78"/>
      <c r="MYC188" s="78"/>
      <c r="MYD188" s="78"/>
      <c r="MYE188" s="78"/>
      <c r="MYF188" s="78"/>
      <c r="MYG188" s="78"/>
      <c r="MYH188" s="78"/>
      <c r="MYI188" s="78"/>
      <c r="MYJ188" s="78"/>
      <c r="MYK188" s="78"/>
      <c r="MYL188" s="78"/>
      <c r="MYM188" s="78"/>
      <c r="MYN188" s="78"/>
      <c r="MYO188" s="78"/>
      <c r="MYP188" s="78"/>
      <c r="MYQ188" s="78"/>
      <c r="MYR188" s="78"/>
      <c r="MYS188" s="78"/>
      <c r="MYT188" s="78"/>
      <c r="MYU188" s="78"/>
      <c r="MYV188" s="78"/>
      <c r="MYW188" s="78"/>
      <c r="MYX188" s="78"/>
      <c r="MYY188" s="78"/>
      <c r="MYZ188" s="78"/>
      <c r="MZA188" s="78"/>
      <c r="MZB188" s="78"/>
      <c r="MZC188" s="78"/>
      <c r="MZD188" s="78"/>
      <c r="MZE188" s="78"/>
      <c r="MZF188" s="78"/>
      <c r="MZG188" s="78"/>
      <c r="MZH188" s="78"/>
      <c r="MZI188" s="78"/>
      <c r="MZJ188" s="78"/>
      <c r="MZK188" s="78"/>
      <c r="MZL188" s="78"/>
      <c r="MZM188" s="78"/>
      <c r="MZN188" s="78"/>
      <c r="MZO188" s="78"/>
      <c r="MZP188" s="78"/>
      <c r="MZQ188" s="78"/>
      <c r="MZR188" s="78"/>
      <c r="MZS188" s="78"/>
      <c r="MZT188" s="78"/>
      <c r="MZU188" s="78"/>
      <c r="MZV188" s="78"/>
      <c r="MZW188" s="78"/>
      <c r="MZX188" s="78"/>
      <c r="MZY188" s="78"/>
      <c r="MZZ188" s="78"/>
      <c r="NAA188" s="78"/>
      <c r="NAB188" s="78"/>
      <c r="NAC188" s="78"/>
      <c r="NAD188" s="78"/>
      <c r="NAE188" s="78"/>
      <c r="NAF188" s="78"/>
      <c r="NAG188" s="78"/>
      <c r="NAH188" s="78"/>
      <c r="NAI188" s="78"/>
      <c r="NAJ188" s="78"/>
      <c r="NAK188" s="78"/>
      <c r="NAL188" s="78"/>
      <c r="NAM188" s="78"/>
      <c r="NAN188" s="78"/>
      <c r="NAO188" s="78"/>
      <c r="NAP188" s="78"/>
      <c r="NAQ188" s="78"/>
      <c r="NAR188" s="78"/>
      <c r="NAS188" s="78"/>
      <c r="NAT188" s="78"/>
      <c r="NAU188" s="78"/>
      <c r="NAV188" s="78"/>
      <c r="NAW188" s="78"/>
      <c r="NAX188" s="78"/>
      <c r="NAY188" s="78"/>
      <c r="NAZ188" s="78"/>
      <c r="NBA188" s="78"/>
      <c r="NBB188" s="78"/>
      <c r="NBC188" s="78"/>
      <c r="NBD188" s="78"/>
      <c r="NBE188" s="78"/>
      <c r="NBF188" s="78"/>
      <c r="NBG188" s="78"/>
      <c r="NBH188" s="78"/>
      <c r="NBI188" s="78"/>
      <c r="NBJ188" s="78"/>
      <c r="NBK188" s="78"/>
      <c r="NBL188" s="78"/>
      <c r="NBM188" s="78"/>
      <c r="NBN188" s="78"/>
      <c r="NBO188" s="78"/>
      <c r="NBP188" s="78"/>
      <c r="NBQ188" s="78"/>
      <c r="NBR188" s="78"/>
      <c r="NBS188" s="78"/>
      <c r="NBT188" s="78"/>
      <c r="NBU188" s="78"/>
      <c r="NBV188" s="78"/>
      <c r="NBW188" s="78"/>
      <c r="NBX188" s="78"/>
      <c r="NBY188" s="78"/>
      <c r="NBZ188" s="78"/>
      <c r="NCA188" s="78"/>
      <c r="NCB188" s="78"/>
      <c r="NCC188" s="78"/>
      <c r="NCD188" s="78"/>
      <c r="NCE188" s="78"/>
      <c r="NCF188" s="78"/>
      <c r="NCG188" s="78"/>
      <c r="NCH188" s="78"/>
      <c r="NCI188" s="78"/>
      <c r="NCJ188" s="78"/>
      <c r="NCK188" s="78"/>
      <c r="NCL188" s="78"/>
      <c r="NCM188" s="78"/>
      <c r="NCN188" s="78"/>
      <c r="NCO188" s="78"/>
      <c r="NCP188" s="78"/>
      <c r="NCQ188" s="78"/>
      <c r="NCR188" s="78"/>
      <c r="NCS188" s="78"/>
      <c r="NCT188" s="78"/>
      <c r="NCU188" s="78"/>
      <c r="NCV188" s="78"/>
      <c r="NCW188" s="78"/>
      <c r="NCX188" s="78"/>
      <c r="NCY188" s="78"/>
      <c r="NCZ188" s="78"/>
      <c r="NDA188" s="78"/>
      <c r="NDB188" s="78"/>
      <c r="NDC188" s="78"/>
      <c r="NDD188" s="78"/>
      <c r="NDE188" s="78"/>
      <c r="NDF188" s="78"/>
      <c r="NDG188" s="78"/>
      <c r="NDH188" s="78"/>
      <c r="NDI188" s="78"/>
      <c r="NDJ188" s="78"/>
      <c r="NDK188" s="78"/>
      <c r="NDL188" s="78"/>
      <c r="NDM188" s="78"/>
      <c r="NDN188" s="78"/>
      <c r="NDO188" s="78"/>
      <c r="NDP188" s="78"/>
      <c r="NDQ188" s="78"/>
      <c r="NDR188" s="78"/>
      <c r="NDS188" s="78"/>
      <c r="NDT188" s="78"/>
      <c r="NDU188" s="78"/>
      <c r="NDV188" s="78"/>
      <c r="NDW188" s="78"/>
      <c r="NDX188" s="78"/>
      <c r="NDY188" s="78"/>
      <c r="NDZ188" s="78"/>
      <c r="NEA188" s="78"/>
      <c r="NEB188" s="78"/>
      <c r="NEC188" s="78"/>
      <c r="NED188" s="78"/>
      <c r="NEE188" s="78"/>
      <c r="NEF188" s="78"/>
      <c r="NEG188" s="78"/>
      <c r="NEH188" s="78"/>
      <c r="NEI188" s="78"/>
      <c r="NEJ188" s="78"/>
      <c r="NEK188" s="78"/>
      <c r="NEL188" s="78"/>
      <c r="NEM188" s="78"/>
      <c r="NEN188" s="78"/>
      <c r="NEO188" s="78"/>
      <c r="NEP188" s="78"/>
      <c r="NEQ188" s="78"/>
      <c r="NER188" s="78"/>
      <c r="NES188" s="78"/>
      <c r="NET188" s="78"/>
      <c r="NEU188" s="78"/>
      <c r="NEV188" s="78"/>
      <c r="NEW188" s="78"/>
      <c r="NEX188" s="78"/>
      <c r="NEY188" s="78"/>
      <c r="NEZ188" s="78"/>
      <c r="NFA188" s="78"/>
      <c r="NFB188" s="78"/>
      <c r="NFC188" s="78"/>
      <c r="NFD188" s="78"/>
      <c r="NFE188" s="78"/>
      <c r="NFF188" s="78"/>
      <c r="NFG188" s="78"/>
      <c r="NFH188" s="78"/>
      <c r="NFI188" s="78"/>
      <c r="NFJ188" s="78"/>
      <c r="NFK188" s="78"/>
      <c r="NFL188" s="78"/>
      <c r="NFM188" s="78"/>
      <c r="NFN188" s="78"/>
      <c r="NFO188" s="78"/>
      <c r="NFP188" s="78"/>
      <c r="NFQ188" s="78"/>
      <c r="NFR188" s="78"/>
      <c r="NFS188" s="78"/>
      <c r="NFT188" s="78"/>
      <c r="NFU188" s="78"/>
      <c r="NFV188" s="78"/>
      <c r="NFW188" s="78"/>
      <c r="NFX188" s="78"/>
      <c r="NFY188" s="78"/>
      <c r="NFZ188" s="78"/>
      <c r="NGA188" s="78"/>
      <c r="NGB188" s="78"/>
      <c r="NGC188" s="78"/>
      <c r="NGD188" s="78"/>
      <c r="NGE188" s="78"/>
      <c r="NGF188" s="78"/>
      <c r="NGG188" s="78"/>
      <c r="NGH188" s="78"/>
      <c r="NGI188" s="78"/>
      <c r="NGJ188" s="78"/>
      <c r="NGK188" s="78"/>
      <c r="NGL188" s="78"/>
      <c r="NGM188" s="78"/>
      <c r="NGN188" s="78"/>
      <c r="NGO188" s="78"/>
      <c r="NGP188" s="78"/>
      <c r="NGQ188" s="78"/>
      <c r="NGR188" s="78"/>
      <c r="NGS188" s="78"/>
      <c r="NGT188" s="78"/>
      <c r="NGU188" s="78"/>
      <c r="NGV188" s="78"/>
      <c r="NGW188" s="78"/>
      <c r="NGX188" s="78"/>
      <c r="NGY188" s="78"/>
      <c r="NGZ188" s="78"/>
      <c r="NHA188" s="78"/>
      <c r="NHB188" s="78"/>
      <c r="NHC188" s="78"/>
      <c r="NHD188" s="78"/>
      <c r="NHE188" s="78"/>
      <c r="NHF188" s="78"/>
      <c r="NHG188" s="78"/>
      <c r="NHH188" s="78"/>
      <c r="NHI188" s="78"/>
      <c r="NHJ188" s="78"/>
      <c r="NHK188" s="78"/>
      <c r="NHL188" s="78"/>
      <c r="NHM188" s="78"/>
      <c r="NHN188" s="78"/>
      <c r="NHO188" s="78"/>
      <c r="NHP188" s="78"/>
      <c r="NHQ188" s="78"/>
      <c r="NHR188" s="78"/>
      <c r="NHS188" s="78"/>
      <c r="NHT188" s="78"/>
      <c r="NHU188" s="78"/>
      <c r="NHV188" s="78"/>
      <c r="NHW188" s="78"/>
      <c r="NHX188" s="78"/>
      <c r="NHY188" s="78"/>
      <c r="NHZ188" s="78"/>
      <c r="NIA188" s="78"/>
      <c r="NIB188" s="78"/>
      <c r="NIC188" s="78"/>
      <c r="NID188" s="78"/>
      <c r="NIE188" s="78"/>
      <c r="NIF188" s="78"/>
      <c r="NIG188" s="78"/>
      <c r="NIH188" s="78"/>
      <c r="NII188" s="78"/>
      <c r="NIJ188" s="78"/>
      <c r="NIK188" s="78"/>
      <c r="NIL188" s="78"/>
      <c r="NIM188" s="78"/>
      <c r="NIN188" s="78"/>
      <c r="NIO188" s="78"/>
      <c r="NIP188" s="78"/>
      <c r="NIQ188" s="78"/>
      <c r="NIR188" s="78"/>
      <c r="NIS188" s="78"/>
      <c r="NIT188" s="78"/>
      <c r="NIU188" s="78"/>
      <c r="NIV188" s="78"/>
      <c r="NIW188" s="78"/>
      <c r="NIX188" s="78"/>
      <c r="NIY188" s="78"/>
      <c r="NIZ188" s="78"/>
      <c r="NJA188" s="78"/>
      <c r="NJB188" s="78"/>
      <c r="NJC188" s="78"/>
      <c r="NJD188" s="78"/>
      <c r="NJE188" s="78"/>
      <c r="NJF188" s="78"/>
      <c r="NJG188" s="78"/>
      <c r="NJH188" s="78"/>
      <c r="NJI188" s="78"/>
      <c r="NJJ188" s="78"/>
      <c r="NJK188" s="78"/>
      <c r="NJL188" s="78"/>
      <c r="NJM188" s="78"/>
      <c r="NJN188" s="78"/>
      <c r="NJO188" s="78"/>
      <c r="NJP188" s="78"/>
      <c r="NJQ188" s="78"/>
      <c r="NJR188" s="78"/>
      <c r="NJS188" s="78"/>
      <c r="NJT188" s="78"/>
      <c r="NJU188" s="78"/>
      <c r="NJV188" s="78"/>
      <c r="NJW188" s="78"/>
      <c r="NJX188" s="78"/>
      <c r="NJY188" s="78"/>
      <c r="NJZ188" s="78"/>
      <c r="NKA188" s="78"/>
      <c r="NKB188" s="78"/>
      <c r="NKC188" s="78"/>
      <c r="NKD188" s="78"/>
      <c r="NKE188" s="78"/>
      <c r="NKF188" s="78"/>
      <c r="NKG188" s="78"/>
      <c r="NKH188" s="78"/>
      <c r="NKI188" s="78"/>
      <c r="NKJ188" s="78"/>
      <c r="NKK188" s="78"/>
      <c r="NKL188" s="78"/>
      <c r="NKM188" s="78"/>
      <c r="NKN188" s="78"/>
      <c r="NKO188" s="78"/>
      <c r="NKP188" s="78"/>
      <c r="NKQ188" s="78"/>
      <c r="NKR188" s="78"/>
      <c r="NKS188" s="78"/>
      <c r="NKT188" s="78"/>
      <c r="NKU188" s="78"/>
      <c r="NKV188" s="78"/>
      <c r="NKW188" s="78"/>
      <c r="NKX188" s="78"/>
      <c r="NKY188" s="78"/>
      <c r="NKZ188" s="78"/>
      <c r="NLA188" s="78"/>
      <c r="NLB188" s="78"/>
      <c r="NLC188" s="78"/>
      <c r="NLD188" s="78"/>
      <c r="NLE188" s="78"/>
      <c r="NLF188" s="78"/>
      <c r="NLG188" s="78"/>
      <c r="NLH188" s="78"/>
      <c r="NLI188" s="78"/>
      <c r="NLJ188" s="78"/>
      <c r="NLK188" s="78"/>
      <c r="NLL188" s="78"/>
      <c r="NLM188" s="78"/>
      <c r="NLN188" s="78"/>
      <c r="NLO188" s="78"/>
      <c r="NLP188" s="78"/>
      <c r="NLQ188" s="78"/>
      <c r="NLR188" s="78"/>
      <c r="NLS188" s="78"/>
      <c r="NLT188" s="78"/>
      <c r="NLU188" s="78"/>
      <c r="NLV188" s="78"/>
      <c r="NLW188" s="78"/>
      <c r="NLX188" s="78"/>
      <c r="NLY188" s="78"/>
      <c r="NLZ188" s="78"/>
      <c r="NMA188" s="78"/>
      <c r="NMB188" s="78"/>
      <c r="NMC188" s="78"/>
      <c r="NMD188" s="78"/>
      <c r="NME188" s="78"/>
      <c r="NMF188" s="78"/>
      <c r="NMG188" s="78"/>
      <c r="NMH188" s="78"/>
      <c r="NMI188" s="78"/>
      <c r="NMJ188" s="78"/>
      <c r="NMK188" s="78"/>
      <c r="NML188" s="78"/>
      <c r="NMM188" s="78"/>
      <c r="NMN188" s="78"/>
      <c r="NMO188" s="78"/>
      <c r="NMP188" s="78"/>
      <c r="NMQ188" s="78"/>
      <c r="NMR188" s="78"/>
      <c r="NMS188" s="78"/>
      <c r="NMT188" s="78"/>
      <c r="NMU188" s="78"/>
      <c r="NMV188" s="78"/>
      <c r="NMW188" s="78"/>
      <c r="NMX188" s="78"/>
      <c r="NMY188" s="78"/>
      <c r="NMZ188" s="78"/>
      <c r="NNA188" s="78"/>
      <c r="NNB188" s="78"/>
      <c r="NNC188" s="78"/>
      <c r="NND188" s="78"/>
      <c r="NNE188" s="78"/>
      <c r="NNF188" s="78"/>
      <c r="NNG188" s="78"/>
      <c r="NNH188" s="78"/>
      <c r="NNI188" s="78"/>
      <c r="NNJ188" s="78"/>
      <c r="NNK188" s="78"/>
      <c r="NNL188" s="78"/>
      <c r="NNM188" s="78"/>
      <c r="NNN188" s="78"/>
      <c r="NNO188" s="78"/>
      <c r="NNP188" s="78"/>
      <c r="NNQ188" s="78"/>
      <c r="NNR188" s="78"/>
      <c r="NNS188" s="78"/>
      <c r="NNT188" s="78"/>
      <c r="NNU188" s="78"/>
      <c r="NNV188" s="78"/>
      <c r="NNW188" s="78"/>
      <c r="NNX188" s="78"/>
      <c r="NNY188" s="78"/>
      <c r="NNZ188" s="78"/>
      <c r="NOA188" s="78"/>
      <c r="NOB188" s="78"/>
      <c r="NOC188" s="78"/>
      <c r="NOD188" s="78"/>
      <c r="NOE188" s="78"/>
      <c r="NOF188" s="78"/>
      <c r="NOG188" s="78"/>
      <c r="NOH188" s="78"/>
      <c r="NOI188" s="78"/>
      <c r="NOJ188" s="78"/>
      <c r="NOK188" s="78"/>
      <c r="NOL188" s="78"/>
      <c r="NOM188" s="78"/>
      <c r="NON188" s="78"/>
      <c r="NOO188" s="78"/>
      <c r="NOP188" s="78"/>
      <c r="NOQ188" s="78"/>
      <c r="NOR188" s="78"/>
      <c r="NOS188" s="78"/>
      <c r="NOT188" s="78"/>
      <c r="NOU188" s="78"/>
      <c r="NOV188" s="78"/>
      <c r="NOW188" s="78"/>
      <c r="NOX188" s="78"/>
      <c r="NOY188" s="78"/>
      <c r="NOZ188" s="78"/>
      <c r="NPA188" s="78"/>
      <c r="NPB188" s="78"/>
      <c r="NPC188" s="78"/>
      <c r="NPD188" s="78"/>
      <c r="NPE188" s="78"/>
      <c r="NPF188" s="78"/>
      <c r="NPG188" s="78"/>
      <c r="NPH188" s="78"/>
      <c r="NPI188" s="78"/>
      <c r="NPJ188" s="78"/>
      <c r="NPK188" s="78"/>
      <c r="NPL188" s="78"/>
      <c r="NPM188" s="78"/>
      <c r="NPN188" s="78"/>
      <c r="NPO188" s="78"/>
      <c r="NPP188" s="78"/>
      <c r="NPQ188" s="78"/>
      <c r="NPR188" s="78"/>
      <c r="NPS188" s="78"/>
      <c r="NPT188" s="78"/>
      <c r="NPU188" s="78"/>
      <c r="NPV188" s="78"/>
      <c r="NPW188" s="78"/>
      <c r="NPX188" s="78"/>
      <c r="NPY188" s="78"/>
      <c r="NPZ188" s="78"/>
      <c r="NQA188" s="78"/>
      <c r="NQB188" s="78"/>
      <c r="NQC188" s="78"/>
      <c r="NQD188" s="78"/>
      <c r="NQE188" s="78"/>
      <c r="NQF188" s="78"/>
      <c r="NQG188" s="78"/>
      <c r="NQH188" s="78"/>
      <c r="NQI188" s="78"/>
      <c r="NQJ188" s="78"/>
      <c r="NQK188" s="78"/>
      <c r="NQL188" s="78"/>
      <c r="NQM188" s="78"/>
      <c r="NQN188" s="78"/>
      <c r="NQO188" s="78"/>
      <c r="NQP188" s="78"/>
      <c r="NQQ188" s="78"/>
      <c r="NQR188" s="78"/>
      <c r="NQS188" s="78"/>
      <c r="NQT188" s="78"/>
      <c r="NQU188" s="78"/>
      <c r="NQV188" s="78"/>
      <c r="NQW188" s="78"/>
      <c r="NQX188" s="78"/>
      <c r="NQY188" s="78"/>
      <c r="NQZ188" s="78"/>
      <c r="NRA188" s="78"/>
      <c r="NRB188" s="78"/>
      <c r="NRC188" s="78"/>
      <c r="NRD188" s="78"/>
      <c r="NRE188" s="78"/>
      <c r="NRF188" s="78"/>
      <c r="NRG188" s="78"/>
      <c r="NRH188" s="78"/>
      <c r="NRI188" s="78"/>
      <c r="NRJ188" s="78"/>
      <c r="NRK188" s="78"/>
      <c r="NRL188" s="78"/>
      <c r="NRM188" s="78"/>
      <c r="NRN188" s="78"/>
      <c r="NRO188" s="78"/>
      <c r="NRP188" s="78"/>
      <c r="NRQ188" s="78"/>
      <c r="NRR188" s="78"/>
      <c r="NRS188" s="78"/>
      <c r="NRT188" s="78"/>
      <c r="NRU188" s="78"/>
      <c r="NRV188" s="78"/>
      <c r="NRW188" s="78"/>
      <c r="NRX188" s="78"/>
      <c r="NRY188" s="78"/>
      <c r="NRZ188" s="78"/>
      <c r="NSA188" s="78"/>
      <c r="NSB188" s="78"/>
      <c r="NSC188" s="78"/>
      <c r="NSD188" s="78"/>
      <c r="NSE188" s="78"/>
      <c r="NSF188" s="78"/>
      <c r="NSG188" s="78"/>
      <c r="NSH188" s="78"/>
      <c r="NSI188" s="78"/>
      <c r="NSJ188" s="78"/>
      <c r="NSK188" s="78"/>
      <c r="NSL188" s="78"/>
      <c r="NSM188" s="78"/>
      <c r="NSN188" s="78"/>
      <c r="NSO188" s="78"/>
      <c r="NSP188" s="78"/>
      <c r="NSQ188" s="78"/>
      <c r="NSR188" s="78"/>
      <c r="NSS188" s="78"/>
      <c r="NST188" s="78"/>
      <c r="NSU188" s="78"/>
      <c r="NSV188" s="78"/>
      <c r="NSW188" s="78"/>
      <c r="NSX188" s="78"/>
      <c r="NSY188" s="78"/>
      <c r="NSZ188" s="78"/>
      <c r="NTA188" s="78"/>
      <c r="NTB188" s="78"/>
      <c r="NTC188" s="78"/>
      <c r="NTD188" s="78"/>
      <c r="NTE188" s="78"/>
      <c r="NTF188" s="78"/>
      <c r="NTG188" s="78"/>
      <c r="NTH188" s="78"/>
      <c r="NTI188" s="78"/>
      <c r="NTJ188" s="78"/>
      <c r="NTK188" s="78"/>
      <c r="NTL188" s="78"/>
      <c r="NTM188" s="78"/>
      <c r="NTN188" s="78"/>
      <c r="NTO188" s="78"/>
      <c r="NTP188" s="78"/>
      <c r="NTQ188" s="78"/>
      <c r="NTR188" s="78"/>
      <c r="NTS188" s="78"/>
      <c r="NTT188" s="78"/>
      <c r="NTU188" s="78"/>
      <c r="NTV188" s="78"/>
      <c r="NTW188" s="78"/>
      <c r="NTX188" s="78"/>
      <c r="NTY188" s="78"/>
      <c r="NTZ188" s="78"/>
      <c r="NUA188" s="78"/>
      <c r="NUB188" s="78"/>
      <c r="NUC188" s="78"/>
      <c r="NUD188" s="78"/>
      <c r="NUE188" s="78"/>
      <c r="NUF188" s="78"/>
      <c r="NUG188" s="78"/>
      <c r="NUH188" s="78"/>
      <c r="NUI188" s="78"/>
      <c r="NUJ188" s="78"/>
      <c r="NUK188" s="78"/>
      <c r="NUL188" s="78"/>
      <c r="NUM188" s="78"/>
      <c r="NUN188" s="78"/>
      <c r="NUO188" s="78"/>
      <c r="NUP188" s="78"/>
      <c r="NUQ188" s="78"/>
      <c r="NUR188" s="78"/>
      <c r="NUS188" s="78"/>
      <c r="NUT188" s="78"/>
      <c r="NUU188" s="78"/>
      <c r="NUV188" s="78"/>
      <c r="NUW188" s="78"/>
      <c r="NUX188" s="78"/>
      <c r="NUY188" s="78"/>
      <c r="NUZ188" s="78"/>
      <c r="NVA188" s="78"/>
      <c r="NVB188" s="78"/>
      <c r="NVC188" s="78"/>
      <c r="NVD188" s="78"/>
      <c r="NVE188" s="78"/>
      <c r="NVF188" s="78"/>
      <c r="NVG188" s="78"/>
      <c r="NVH188" s="78"/>
      <c r="NVI188" s="78"/>
      <c r="NVJ188" s="78"/>
      <c r="NVK188" s="78"/>
      <c r="NVL188" s="78"/>
      <c r="NVM188" s="78"/>
      <c r="NVN188" s="78"/>
      <c r="NVO188" s="78"/>
      <c r="NVP188" s="78"/>
      <c r="NVQ188" s="78"/>
      <c r="NVR188" s="78"/>
      <c r="NVS188" s="78"/>
      <c r="NVT188" s="78"/>
      <c r="NVU188" s="78"/>
      <c r="NVV188" s="78"/>
      <c r="NVW188" s="78"/>
      <c r="NVX188" s="78"/>
      <c r="NVY188" s="78"/>
      <c r="NVZ188" s="78"/>
      <c r="NWA188" s="78"/>
      <c r="NWB188" s="78"/>
      <c r="NWC188" s="78"/>
      <c r="NWD188" s="78"/>
      <c r="NWE188" s="78"/>
      <c r="NWF188" s="78"/>
      <c r="NWG188" s="78"/>
      <c r="NWH188" s="78"/>
      <c r="NWI188" s="78"/>
      <c r="NWJ188" s="78"/>
      <c r="NWK188" s="78"/>
      <c r="NWL188" s="78"/>
      <c r="NWM188" s="78"/>
      <c r="NWN188" s="78"/>
      <c r="NWO188" s="78"/>
      <c r="NWP188" s="78"/>
      <c r="NWQ188" s="78"/>
      <c r="NWR188" s="78"/>
      <c r="NWS188" s="78"/>
      <c r="NWT188" s="78"/>
      <c r="NWU188" s="78"/>
      <c r="NWV188" s="78"/>
      <c r="NWW188" s="78"/>
      <c r="NWX188" s="78"/>
      <c r="NWY188" s="78"/>
      <c r="NWZ188" s="78"/>
      <c r="NXA188" s="78"/>
      <c r="NXB188" s="78"/>
      <c r="NXC188" s="78"/>
      <c r="NXD188" s="78"/>
      <c r="NXE188" s="78"/>
      <c r="NXF188" s="78"/>
      <c r="NXG188" s="78"/>
      <c r="NXH188" s="78"/>
      <c r="NXI188" s="78"/>
      <c r="NXJ188" s="78"/>
      <c r="NXK188" s="78"/>
      <c r="NXL188" s="78"/>
      <c r="NXM188" s="78"/>
      <c r="NXN188" s="78"/>
      <c r="NXO188" s="78"/>
      <c r="NXP188" s="78"/>
      <c r="NXQ188" s="78"/>
      <c r="NXR188" s="78"/>
      <c r="NXS188" s="78"/>
      <c r="NXT188" s="78"/>
      <c r="NXU188" s="78"/>
      <c r="NXV188" s="78"/>
      <c r="NXW188" s="78"/>
      <c r="NXX188" s="78"/>
      <c r="NXY188" s="78"/>
      <c r="NXZ188" s="78"/>
      <c r="NYA188" s="78"/>
      <c r="NYB188" s="78"/>
      <c r="NYC188" s="78"/>
      <c r="NYD188" s="78"/>
      <c r="NYE188" s="78"/>
      <c r="NYF188" s="78"/>
      <c r="NYG188" s="78"/>
      <c r="NYH188" s="78"/>
      <c r="NYI188" s="78"/>
      <c r="NYJ188" s="78"/>
      <c r="NYK188" s="78"/>
      <c r="NYL188" s="78"/>
      <c r="NYM188" s="78"/>
      <c r="NYN188" s="78"/>
      <c r="NYO188" s="78"/>
      <c r="NYP188" s="78"/>
      <c r="NYQ188" s="78"/>
      <c r="NYR188" s="78"/>
      <c r="NYS188" s="78"/>
      <c r="NYT188" s="78"/>
      <c r="NYU188" s="78"/>
      <c r="NYV188" s="78"/>
      <c r="NYW188" s="78"/>
      <c r="NYX188" s="78"/>
      <c r="NYY188" s="78"/>
      <c r="NYZ188" s="78"/>
      <c r="NZA188" s="78"/>
      <c r="NZB188" s="78"/>
      <c r="NZC188" s="78"/>
      <c r="NZD188" s="78"/>
      <c r="NZE188" s="78"/>
      <c r="NZF188" s="78"/>
      <c r="NZG188" s="78"/>
      <c r="NZH188" s="78"/>
      <c r="NZI188" s="78"/>
      <c r="NZJ188" s="78"/>
      <c r="NZK188" s="78"/>
      <c r="NZL188" s="78"/>
      <c r="NZM188" s="78"/>
      <c r="NZN188" s="78"/>
      <c r="NZO188" s="78"/>
      <c r="NZP188" s="78"/>
      <c r="NZQ188" s="78"/>
      <c r="NZR188" s="78"/>
      <c r="NZS188" s="78"/>
      <c r="NZT188" s="78"/>
      <c r="NZU188" s="78"/>
      <c r="NZV188" s="78"/>
      <c r="NZW188" s="78"/>
      <c r="NZX188" s="78"/>
      <c r="NZY188" s="78"/>
      <c r="NZZ188" s="78"/>
      <c r="OAA188" s="78"/>
      <c r="OAB188" s="78"/>
      <c r="OAC188" s="78"/>
      <c r="OAD188" s="78"/>
      <c r="OAE188" s="78"/>
      <c r="OAF188" s="78"/>
      <c r="OAG188" s="78"/>
      <c r="OAH188" s="78"/>
      <c r="OAI188" s="78"/>
      <c r="OAJ188" s="78"/>
      <c r="OAK188" s="78"/>
      <c r="OAL188" s="78"/>
      <c r="OAM188" s="78"/>
      <c r="OAN188" s="78"/>
      <c r="OAO188" s="78"/>
      <c r="OAP188" s="78"/>
      <c r="OAQ188" s="78"/>
      <c r="OAR188" s="78"/>
      <c r="OAS188" s="78"/>
      <c r="OAT188" s="78"/>
      <c r="OAU188" s="78"/>
      <c r="OAV188" s="78"/>
      <c r="OAW188" s="78"/>
      <c r="OAX188" s="78"/>
      <c r="OAY188" s="78"/>
      <c r="OAZ188" s="78"/>
      <c r="OBA188" s="78"/>
      <c r="OBB188" s="78"/>
      <c r="OBC188" s="78"/>
      <c r="OBD188" s="78"/>
      <c r="OBE188" s="78"/>
      <c r="OBF188" s="78"/>
      <c r="OBG188" s="78"/>
      <c r="OBH188" s="78"/>
      <c r="OBI188" s="78"/>
      <c r="OBJ188" s="78"/>
      <c r="OBK188" s="78"/>
      <c r="OBL188" s="78"/>
      <c r="OBM188" s="78"/>
      <c r="OBN188" s="78"/>
      <c r="OBO188" s="78"/>
      <c r="OBP188" s="78"/>
      <c r="OBQ188" s="78"/>
      <c r="OBR188" s="78"/>
      <c r="OBS188" s="78"/>
      <c r="OBT188" s="78"/>
      <c r="OBU188" s="78"/>
      <c r="OBV188" s="78"/>
      <c r="OBW188" s="78"/>
      <c r="OBX188" s="78"/>
      <c r="OBY188" s="78"/>
      <c r="OBZ188" s="78"/>
      <c r="OCA188" s="78"/>
      <c r="OCB188" s="78"/>
      <c r="OCC188" s="78"/>
      <c r="OCD188" s="78"/>
      <c r="OCE188" s="78"/>
      <c r="OCF188" s="78"/>
      <c r="OCG188" s="78"/>
      <c r="OCH188" s="78"/>
      <c r="OCI188" s="78"/>
      <c r="OCJ188" s="78"/>
      <c r="OCK188" s="78"/>
      <c r="OCL188" s="78"/>
      <c r="OCM188" s="78"/>
      <c r="OCN188" s="78"/>
      <c r="OCO188" s="78"/>
      <c r="OCP188" s="78"/>
      <c r="OCQ188" s="78"/>
      <c r="OCR188" s="78"/>
      <c r="OCS188" s="78"/>
      <c r="OCT188" s="78"/>
      <c r="OCU188" s="78"/>
      <c r="OCV188" s="78"/>
      <c r="OCW188" s="78"/>
      <c r="OCX188" s="78"/>
      <c r="OCY188" s="78"/>
      <c r="OCZ188" s="78"/>
      <c r="ODA188" s="78"/>
      <c r="ODB188" s="78"/>
      <c r="ODC188" s="78"/>
      <c r="ODD188" s="78"/>
      <c r="ODE188" s="78"/>
      <c r="ODF188" s="78"/>
      <c r="ODG188" s="78"/>
      <c r="ODH188" s="78"/>
      <c r="ODI188" s="78"/>
      <c r="ODJ188" s="78"/>
      <c r="ODK188" s="78"/>
      <c r="ODL188" s="78"/>
      <c r="ODM188" s="78"/>
      <c r="ODN188" s="78"/>
      <c r="ODO188" s="78"/>
      <c r="ODP188" s="78"/>
      <c r="ODQ188" s="78"/>
      <c r="ODR188" s="78"/>
      <c r="ODS188" s="78"/>
      <c r="ODT188" s="78"/>
      <c r="ODU188" s="78"/>
      <c r="ODV188" s="78"/>
      <c r="ODW188" s="78"/>
      <c r="ODX188" s="78"/>
      <c r="ODY188" s="78"/>
      <c r="ODZ188" s="78"/>
      <c r="OEA188" s="78"/>
      <c r="OEB188" s="78"/>
      <c r="OEC188" s="78"/>
      <c r="OED188" s="78"/>
      <c r="OEE188" s="78"/>
      <c r="OEF188" s="78"/>
      <c r="OEG188" s="78"/>
      <c r="OEH188" s="78"/>
      <c r="OEI188" s="78"/>
      <c r="OEJ188" s="78"/>
      <c r="OEK188" s="78"/>
      <c r="OEL188" s="78"/>
      <c r="OEM188" s="78"/>
      <c r="OEN188" s="78"/>
      <c r="OEO188" s="78"/>
      <c r="OEP188" s="78"/>
      <c r="OEQ188" s="78"/>
      <c r="OER188" s="78"/>
      <c r="OES188" s="78"/>
      <c r="OET188" s="78"/>
      <c r="OEU188" s="78"/>
      <c r="OEV188" s="78"/>
      <c r="OEW188" s="78"/>
      <c r="OEX188" s="78"/>
      <c r="OEY188" s="78"/>
      <c r="OEZ188" s="78"/>
      <c r="OFA188" s="78"/>
      <c r="OFB188" s="78"/>
      <c r="OFC188" s="78"/>
      <c r="OFD188" s="78"/>
      <c r="OFE188" s="78"/>
      <c r="OFF188" s="78"/>
      <c r="OFG188" s="78"/>
      <c r="OFH188" s="78"/>
      <c r="OFI188" s="78"/>
      <c r="OFJ188" s="78"/>
      <c r="OFK188" s="78"/>
      <c r="OFL188" s="78"/>
      <c r="OFM188" s="78"/>
      <c r="OFN188" s="78"/>
      <c r="OFO188" s="78"/>
      <c r="OFP188" s="78"/>
      <c r="OFQ188" s="78"/>
      <c r="OFR188" s="78"/>
      <c r="OFS188" s="78"/>
      <c r="OFT188" s="78"/>
      <c r="OFU188" s="78"/>
      <c r="OFV188" s="78"/>
      <c r="OFW188" s="78"/>
      <c r="OFX188" s="78"/>
      <c r="OFY188" s="78"/>
      <c r="OFZ188" s="78"/>
      <c r="OGA188" s="78"/>
      <c r="OGB188" s="78"/>
      <c r="OGC188" s="78"/>
      <c r="OGD188" s="78"/>
      <c r="OGE188" s="78"/>
      <c r="OGF188" s="78"/>
      <c r="OGG188" s="78"/>
      <c r="OGH188" s="78"/>
      <c r="OGI188" s="78"/>
      <c r="OGJ188" s="78"/>
      <c r="OGK188" s="78"/>
      <c r="OGL188" s="78"/>
      <c r="OGM188" s="78"/>
      <c r="OGN188" s="78"/>
      <c r="OGO188" s="78"/>
      <c r="OGP188" s="78"/>
      <c r="OGQ188" s="78"/>
      <c r="OGR188" s="78"/>
      <c r="OGS188" s="78"/>
      <c r="OGT188" s="78"/>
      <c r="OGU188" s="78"/>
      <c r="OGV188" s="78"/>
      <c r="OGW188" s="78"/>
      <c r="OGX188" s="78"/>
      <c r="OGY188" s="78"/>
      <c r="OGZ188" s="78"/>
      <c r="OHA188" s="78"/>
      <c r="OHB188" s="78"/>
      <c r="OHC188" s="78"/>
      <c r="OHD188" s="78"/>
      <c r="OHE188" s="78"/>
      <c r="OHF188" s="78"/>
      <c r="OHG188" s="78"/>
      <c r="OHH188" s="78"/>
      <c r="OHI188" s="78"/>
      <c r="OHJ188" s="78"/>
      <c r="OHK188" s="78"/>
      <c r="OHL188" s="78"/>
      <c r="OHM188" s="78"/>
      <c r="OHN188" s="78"/>
      <c r="OHO188" s="78"/>
      <c r="OHP188" s="78"/>
      <c r="OHQ188" s="78"/>
      <c r="OHR188" s="78"/>
      <c r="OHS188" s="78"/>
      <c r="OHT188" s="78"/>
      <c r="OHU188" s="78"/>
      <c r="OHV188" s="78"/>
      <c r="OHW188" s="78"/>
      <c r="OHX188" s="78"/>
      <c r="OHY188" s="78"/>
      <c r="OHZ188" s="78"/>
      <c r="OIA188" s="78"/>
      <c r="OIB188" s="78"/>
      <c r="OIC188" s="78"/>
      <c r="OID188" s="78"/>
      <c r="OIE188" s="78"/>
      <c r="OIF188" s="78"/>
      <c r="OIG188" s="78"/>
      <c r="OIH188" s="78"/>
      <c r="OII188" s="78"/>
      <c r="OIJ188" s="78"/>
      <c r="OIK188" s="78"/>
      <c r="OIL188" s="78"/>
      <c r="OIM188" s="78"/>
      <c r="OIN188" s="78"/>
      <c r="OIO188" s="78"/>
      <c r="OIP188" s="78"/>
      <c r="OIQ188" s="78"/>
      <c r="OIR188" s="78"/>
      <c r="OIS188" s="78"/>
      <c r="OIT188" s="78"/>
      <c r="OIU188" s="78"/>
      <c r="OIV188" s="78"/>
      <c r="OIW188" s="78"/>
      <c r="OIX188" s="78"/>
      <c r="OIY188" s="78"/>
      <c r="OIZ188" s="78"/>
      <c r="OJA188" s="78"/>
      <c r="OJB188" s="78"/>
      <c r="OJC188" s="78"/>
      <c r="OJD188" s="78"/>
      <c r="OJE188" s="78"/>
      <c r="OJF188" s="78"/>
      <c r="OJG188" s="78"/>
      <c r="OJH188" s="78"/>
      <c r="OJI188" s="78"/>
      <c r="OJJ188" s="78"/>
      <c r="OJK188" s="78"/>
      <c r="OJL188" s="78"/>
      <c r="OJM188" s="78"/>
      <c r="OJN188" s="78"/>
      <c r="OJO188" s="78"/>
      <c r="OJP188" s="78"/>
      <c r="OJQ188" s="78"/>
      <c r="OJR188" s="78"/>
      <c r="OJS188" s="78"/>
      <c r="OJT188" s="78"/>
      <c r="OJU188" s="78"/>
      <c r="OJV188" s="78"/>
      <c r="OJW188" s="78"/>
      <c r="OJX188" s="78"/>
      <c r="OJY188" s="78"/>
      <c r="OJZ188" s="78"/>
      <c r="OKA188" s="78"/>
      <c r="OKB188" s="78"/>
      <c r="OKC188" s="78"/>
      <c r="OKD188" s="78"/>
      <c r="OKE188" s="78"/>
      <c r="OKF188" s="78"/>
      <c r="OKG188" s="78"/>
      <c r="OKH188" s="78"/>
      <c r="OKI188" s="78"/>
      <c r="OKJ188" s="78"/>
      <c r="OKK188" s="78"/>
      <c r="OKL188" s="78"/>
      <c r="OKM188" s="78"/>
      <c r="OKN188" s="78"/>
      <c r="OKO188" s="78"/>
      <c r="OKP188" s="78"/>
      <c r="OKQ188" s="78"/>
      <c r="OKR188" s="78"/>
      <c r="OKS188" s="78"/>
      <c r="OKT188" s="78"/>
      <c r="OKU188" s="78"/>
      <c r="OKV188" s="78"/>
      <c r="OKW188" s="78"/>
      <c r="OKX188" s="78"/>
      <c r="OKY188" s="78"/>
      <c r="OKZ188" s="78"/>
      <c r="OLA188" s="78"/>
      <c r="OLB188" s="78"/>
      <c r="OLC188" s="78"/>
      <c r="OLD188" s="78"/>
      <c r="OLE188" s="78"/>
      <c r="OLF188" s="78"/>
      <c r="OLG188" s="78"/>
      <c r="OLH188" s="78"/>
      <c r="OLI188" s="78"/>
      <c r="OLJ188" s="78"/>
      <c r="OLK188" s="78"/>
      <c r="OLL188" s="78"/>
      <c r="OLM188" s="78"/>
      <c r="OLN188" s="78"/>
      <c r="OLO188" s="78"/>
      <c r="OLP188" s="78"/>
      <c r="OLQ188" s="78"/>
      <c r="OLR188" s="78"/>
      <c r="OLS188" s="78"/>
      <c r="OLT188" s="78"/>
      <c r="OLU188" s="78"/>
      <c r="OLV188" s="78"/>
      <c r="OLW188" s="78"/>
      <c r="OLX188" s="78"/>
      <c r="OLY188" s="78"/>
      <c r="OLZ188" s="78"/>
      <c r="OMA188" s="78"/>
      <c r="OMB188" s="78"/>
      <c r="OMC188" s="78"/>
      <c r="OMD188" s="78"/>
      <c r="OME188" s="78"/>
      <c r="OMF188" s="78"/>
      <c r="OMG188" s="78"/>
      <c r="OMH188" s="78"/>
      <c r="OMI188" s="78"/>
      <c r="OMJ188" s="78"/>
      <c r="OMK188" s="78"/>
      <c r="OML188" s="78"/>
      <c r="OMM188" s="78"/>
      <c r="OMN188" s="78"/>
      <c r="OMO188" s="78"/>
      <c r="OMP188" s="78"/>
      <c r="OMQ188" s="78"/>
      <c r="OMR188" s="78"/>
      <c r="OMS188" s="78"/>
      <c r="OMT188" s="78"/>
      <c r="OMU188" s="78"/>
      <c r="OMV188" s="78"/>
      <c r="OMW188" s="78"/>
      <c r="OMX188" s="78"/>
      <c r="OMY188" s="78"/>
      <c r="OMZ188" s="78"/>
      <c r="ONA188" s="78"/>
      <c r="ONB188" s="78"/>
      <c r="ONC188" s="78"/>
      <c r="OND188" s="78"/>
      <c r="ONE188" s="78"/>
      <c r="ONF188" s="78"/>
      <c r="ONG188" s="78"/>
      <c r="ONH188" s="78"/>
      <c r="ONI188" s="78"/>
      <c r="ONJ188" s="78"/>
      <c r="ONK188" s="78"/>
      <c r="ONL188" s="78"/>
      <c r="ONM188" s="78"/>
      <c r="ONN188" s="78"/>
      <c r="ONO188" s="78"/>
      <c r="ONP188" s="78"/>
      <c r="ONQ188" s="78"/>
      <c r="ONR188" s="78"/>
      <c r="ONS188" s="78"/>
      <c r="ONT188" s="78"/>
      <c r="ONU188" s="78"/>
      <c r="ONV188" s="78"/>
      <c r="ONW188" s="78"/>
      <c r="ONX188" s="78"/>
      <c r="ONY188" s="78"/>
      <c r="ONZ188" s="78"/>
      <c r="OOA188" s="78"/>
      <c r="OOB188" s="78"/>
      <c r="OOC188" s="78"/>
      <c r="OOD188" s="78"/>
      <c r="OOE188" s="78"/>
      <c r="OOF188" s="78"/>
      <c r="OOG188" s="78"/>
      <c r="OOH188" s="78"/>
      <c r="OOI188" s="78"/>
      <c r="OOJ188" s="78"/>
      <c r="OOK188" s="78"/>
      <c r="OOL188" s="78"/>
      <c r="OOM188" s="78"/>
      <c r="OON188" s="78"/>
      <c r="OOO188" s="78"/>
      <c r="OOP188" s="78"/>
      <c r="OOQ188" s="78"/>
      <c r="OOR188" s="78"/>
      <c r="OOS188" s="78"/>
      <c r="OOT188" s="78"/>
      <c r="OOU188" s="78"/>
      <c r="OOV188" s="78"/>
      <c r="OOW188" s="78"/>
      <c r="OOX188" s="78"/>
      <c r="OOY188" s="78"/>
      <c r="OOZ188" s="78"/>
      <c r="OPA188" s="78"/>
      <c r="OPB188" s="78"/>
      <c r="OPC188" s="78"/>
      <c r="OPD188" s="78"/>
      <c r="OPE188" s="78"/>
      <c r="OPF188" s="78"/>
      <c r="OPG188" s="78"/>
      <c r="OPH188" s="78"/>
      <c r="OPI188" s="78"/>
      <c r="OPJ188" s="78"/>
      <c r="OPK188" s="78"/>
      <c r="OPL188" s="78"/>
      <c r="OPM188" s="78"/>
      <c r="OPN188" s="78"/>
      <c r="OPO188" s="78"/>
      <c r="OPP188" s="78"/>
      <c r="OPQ188" s="78"/>
      <c r="OPR188" s="78"/>
      <c r="OPS188" s="78"/>
      <c r="OPT188" s="78"/>
      <c r="OPU188" s="78"/>
      <c r="OPV188" s="78"/>
      <c r="OPW188" s="78"/>
      <c r="OPX188" s="78"/>
      <c r="OPY188" s="78"/>
      <c r="OPZ188" s="78"/>
      <c r="OQA188" s="78"/>
      <c r="OQB188" s="78"/>
      <c r="OQC188" s="78"/>
      <c r="OQD188" s="78"/>
      <c r="OQE188" s="78"/>
      <c r="OQF188" s="78"/>
      <c r="OQG188" s="78"/>
      <c r="OQH188" s="78"/>
      <c r="OQI188" s="78"/>
      <c r="OQJ188" s="78"/>
      <c r="OQK188" s="78"/>
      <c r="OQL188" s="78"/>
      <c r="OQM188" s="78"/>
      <c r="OQN188" s="78"/>
      <c r="OQO188" s="78"/>
      <c r="OQP188" s="78"/>
      <c r="OQQ188" s="78"/>
      <c r="OQR188" s="78"/>
      <c r="OQS188" s="78"/>
      <c r="OQT188" s="78"/>
      <c r="OQU188" s="78"/>
      <c r="OQV188" s="78"/>
      <c r="OQW188" s="78"/>
      <c r="OQX188" s="78"/>
      <c r="OQY188" s="78"/>
      <c r="OQZ188" s="78"/>
      <c r="ORA188" s="78"/>
      <c r="ORB188" s="78"/>
      <c r="ORC188" s="78"/>
      <c r="ORD188" s="78"/>
      <c r="ORE188" s="78"/>
      <c r="ORF188" s="78"/>
      <c r="ORG188" s="78"/>
      <c r="ORH188" s="78"/>
      <c r="ORI188" s="78"/>
      <c r="ORJ188" s="78"/>
      <c r="ORK188" s="78"/>
      <c r="ORL188" s="78"/>
      <c r="ORM188" s="78"/>
      <c r="ORN188" s="78"/>
      <c r="ORO188" s="78"/>
      <c r="ORP188" s="78"/>
      <c r="ORQ188" s="78"/>
      <c r="ORR188" s="78"/>
      <c r="ORS188" s="78"/>
      <c r="ORT188" s="78"/>
      <c r="ORU188" s="78"/>
      <c r="ORV188" s="78"/>
      <c r="ORW188" s="78"/>
      <c r="ORX188" s="78"/>
      <c r="ORY188" s="78"/>
      <c r="ORZ188" s="78"/>
      <c r="OSA188" s="78"/>
      <c r="OSB188" s="78"/>
      <c r="OSC188" s="78"/>
      <c r="OSD188" s="78"/>
      <c r="OSE188" s="78"/>
      <c r="OSF188" s="78"/>
      <c r="OSG188" s="78"/>
      <c r="OSH188" s="78"/>
      <c r="OSI188" s="78"/>
      <c r="OSJ188" s="78"/>
      <c r="OSK188" s="78"/>
      <c r="OSL188" s="78"/>
      <c r="OSM188" s="78"/>
      <c r="OSN188" s="78"/>
      <c r="OSO188" s="78"/>
      <c r="OSP188" s="78"/>
      <c r="OSQ188" s="78"/>
      <c r="OSR188" s="78"/>
      <c r="OSS188" s="78"/>
      <c r="OST188" s="78"/>
      <c r="OSU188" s="78"/>
      <c r="OSV188" s="78"/>
      <c r="OSW188" s="78"/>
      <c r="OSX188" s="78"/>
      <c r="OSY188" s="78"/>
      <c r="OSZ188" s="78"/>
      <c r="OTA188" s="78"/>
      <c r="OTB188" s="78"/>
      <c r="OTC188" s="78"/>
      <c r="OTD188" s="78"/>
      <c r="OTE188" s="78"/>
      <c r="OTF188" s="78"/>
      <c r="OTG188" s="78"/>
      <c r="OTH188" s="78"/>
      <c r="OTI188" s="78"/>
      <c r="OTJ188" s="78"/>
      <c r="OTK188" s="78"/>
      <c r="OTL188" s="78"/>
      <c r="OTM188" s="78"/>
      <c r="OTN188" s="78"/>
      <c r="OTO188" s="78"/>
      <c r="OTP188" s="78"/>
      <c r="OTQ188" s="78"/>
      <c r="OTR188" s="78"/>
      <c r="OTS188" s="78"/>
      <c r="OTT188" s="78"/>
      <c r="OTU188" s="78"/>
      <c r="OTV188" s="78"/>
      <c r="OTW188" s="78"/>
      <c r="OTX188" s="78"/>
      <c r="OTY188" s="78"/>
      <c r="OTZ188" s="78"/>
      <c r="OUA188" s="78"/>
      <c r="OUB188" s="78"/>
      <c r="OUC188" s="78"/>
      <c r="OUD188" s="78"/>
      <c r="OUE188" s="78"/>
      <c r="OUF188" s="78"/>
      <c r="OUG188" s="78"/>
      <c r="OUH188" s="78"/>
      <c r="OUI188" s="78"/>
      <c r="OUJ188" s="78"/>
      <c r="OUK188" s="78"/>
      <c r="OUL188" s="78"/>
      <c r="OUM188" s="78"/>
      <c r="OUN188" s="78"/>
      <c r="OUO188" s="78"/>
      <c r="OUP188" s="78"/>
      <c r="OUQ188" s="78"/>
      <c r="OUR188" s="78"/>
      <c r="OUS188" s="78"/>
      <c r="OUT188" s="78"/>
      <c r="OUU188" s="78"/>
      <c r="OUV188" s="78"/>
      <c r="OUW188" s="78"/>
      <c r="OUX188" s="78"/>
      <c r="OUY188" s="78"/>
      <c r="OUZ188" s="78"/>
      <c r="OVA188" s="78"/>
      <c r="OVB188" s="78"/>
      <c r="OVC188" s="78"/>
      <c r="OVD188" s="78"/>
      <c r="OVE188" s="78"/>
      <c r="OVF188" s="78"/>
      <c r="OVG188" s="78"/>
      <c r="OVH188" s="78"/>
      <c r="OVI188" s="78"/>
      <c r="OVJ188" s="78"/>
      <c r="OVK188" s="78"/>
      <c r="OVL188" s="78"/>
      <c r="OVM188" s="78"/>
      <c r="OVN188" s="78"/>
      <c r="OVO188" s="78"/>
      <c r="OVP188" s="78"/>
      <c r="OVQ188" s="78"/>
      <c r="OVR188" s="78"/>
      <c r="OVS188" s="78"/>
      <c r="OVT188" s="78"/>
      <c r="OVU188" s="78"/>
      <c r="OVV188" s="78"/>
      <c r="OVW188" s="78"/>
      <c r="OVX188" s="78"/>
      <c r="OVY188" s="78"/>
      <c r="OVZ188" s="78"/>
      <c r="OWA188" s="78"/>
      <c r="OWB188" s="78"/>
      <c r="OWC188" s="78"/>
      <c r="OWD188" s="78"/>
      <c r="OWE188" s="78"/>
      <c r="OWF188" s="78"/>
      <c r="OWG188" s="78"/>
      <c r="OWH188" s="78"/>
      <c r="OWI188" s="78"/>
      <c r="OWJ188" s="78"/>
      <c r="OWK188" s="78"/>
      <c r="OWL188" s="78"/>
      <c r="OWM188" s="78"/>
      <c r="OWN188" s="78"/>
      <c r="OWO188" s="78"/>
      <c r="OWP188" s="78"/>
      <c r="OWQ188" s="78"/>
      <c r="OWR188" s="78"/>
      <c r="OWS188" s="78"/>
      <c r="OWT188" s="78"/>
      <c r="OWU188" s="78"/>
      <c r="OWV188" s="78"/>
      <c r="OWW188" s="78"/>
      <c r="OWX188" s="78"/>
      <c r="OWY188" s="78"/>
      <c r="OWZ188" s="78"/>
      <c r="OXA188" s="78"/>
      <c r="OXB188" s="78"/>
      <c r="OXC188" s="78"/>
      <c r="OXD188" s="78"/>
      <c r="OXE188" s="78"/>
      <c r="OXF188" s="78"/>
      <c r="OXG188" s="78"/>
      <c r="OXH188" s="78"/>
      <c r="OXI188" s="78"/>
      <c r="OXJ188" s="78"/>
      <c r="OXK188" s="78"/>
      <c r="OXL188" s="78"/>
      <c r="OXM188" s="78"/>
      <c r="OXN188" s="78"/>
      <c r="OXO188" s="78"/>
      <c r="OXP188" s="78"/>
      <c r="OXQ188" s="78"/>
      <c r="OXR188" s="78"/>
      <c r="OXS188" s="78"/>
      <c r="OXT188" s="78"/>
      <c r="OXU188" s="78"/>
      <c r="OXV188" s="78"/>
      <c r="OXW188" s="78"/>
      <c r="OXX188" s="78"/>
      <c r="OXY188" s="78"/>
      <c r="OXZ188" s="78"/>
      <c r="OYA188" s="78"/>
      <c r="OYB188" s="78"/>
      <c r="OYC188" s="78"/>
      <c r="OYD188" s="78"/>
      <c r="OYE188" s="78"/>
      <c r="OYF188" s="78"/>
      <c r="OYG188" s="78"/>
      <c r="OYH188" s="78"/>
      <c r="OYI188" s="78"/>
      <c r="OYJ188" s="78"/>
      <c r="OYK188" s="78"/>
      <c r="OYL188" s="78"/>
      <c r="OYM188" s="78"/>
      <c r="OYN188" s="78"/>
      <c r="OYO188" s="78"/>
      <c r="OYP188" s="78"/>
      <c r="OYQ188" s="78"/>
      <c r="OYR188" s="78"/>
      <c r="OYS188" s="78"/>
      <c r="OYT188" s="78"/>
      <c r="OYU188" s="78"/>
      <c r="OYV188" s="78"/>
      <c r="OYW188" s="78"/>
      <c r="OYX188" s="78"/>
      <c r="OYY188" s="78"/>
      <c r="OYZ188" s="78"/>
      <c r="OZA188" s="78"/>
      <c r="OZB188" s="78"/>
      <c r="OZC188" s="78"/>
      <c r="OZD188" s="78"/>
      <c r="OZE188" s="78"/>
      <c r="OZF188" s="78"/>
      <c r="OZG188" s="78"/>
      <c r="OZH188" s="78"/>
      <c r="OZI188" s="78"/>
      <c r="OZJ188" s="78"/>
      <c r="OZK188" s="78"/>
      <c r="OZL188" s="78"/>
      <c r="OZM188" s="78"/>
      <c r="OZN188" s="78"/>
      <c r="OZO188" s="78"/>
      <c r="OZP188" s="78"/>
      <c r="OZQ188" s="78"/>
      <c r="OZR188" s="78"/>
      <c r="OZS188" s="78"/>
      <c r="OZT188" s="78"/>
      <c r="OZU188" s="78"/>
      <c r="OZV188" s="78"/>
      <c r="OZW188" s="78"/>
      <c r="OZX188" s="78"/>
      <c r="OZY188" s="78"/>
      <c r="OZZ188" s="78"/>
      <c r="PAA188" s="78"/>
      <c r="PAB188" s="78"/>
      <c r="PAC188" s="78"/>
      <c r="PAD188" s="78"/>
      <c r="PAE188" s="78"/>
      <c r="PAF188" s="78"/>
      <c r="PAG188" s="78"/>
      <c r="PAH188" s="78"/>
      <c r="PAI188" s="78"/>
      <c r="PAJ188" s="78"/>
      <c r="PAK188" s="78"/>
      <c r="PAL188" s="78"/>
      <c r="PAM188" s="78"/>
      <c r="PAN188" s="78"/>
      <c r="PAO188" s="78"/>
      <c r="PAP188" s="78"/>
      <c r="PAQ188" s="78"/>
      <c r="PAR188" s="78"/>
      <c r="PAS188" s="78"/>
      <c r="PAT188" s="78"/>
      <c r="PAU188" s="78"/>
      <c r="PAV188" s="78"/>
      <c r="PAW188" s="78"/>
      <c r="PAX188" s="78"/>
      <c r="PAY188" s="78"/>
      <c r="PAZ188" s="78"/>
      <c r="PBA188" s="78"/>
      <c r="PBB188" s="78"/>
      <c r="PBC188" s="78"/>
      <c r="PBD188" s="78"/>
      <c r="PBE188" s="78"/>
      <c r="PBF188" s="78"/>
      <c r="PBG188" s="78"/>
      <c r="PBH188" s="78"/>
      <c r="PBI188" s="78"/>
      <c r="PBJ188" s="78"/>
      <c r="PBK188" s="78"/>
      <c r="PBL188" s="78"/>
      <c r="PBM188" s="78"/>
      <c r="PBN188" s="78"/>
      <c r="PBO188" s="78"/>
      <c r="PBP188" s="78"/>
      <c r="PBQ188" s="78"/>
      <c r="PBR188" s="78"/>
      <c r="PBS188" s="78"/>
      <c r="PBT188" s="78"/>
      <c r="PBU188" s="78"/>
      <c r="PBV188" s="78"/>
      <c r="PBW188" s="78"/>
      <c r="PBX188" s="78"/>
      <c r="PBY188" s="78"/>
      <c r="PBZ188" s="78"/>
      <c r="PCA188" s="78"/>
      <c r="PCB188" s="78"/>
      <c r="PCC188" s="78"/>
      <c r="PCD188" s="78"/>
      <c r="PCE188" s="78"/>
      <c r="PCF188" s="78"/>
      <c r="PCG188" s="78"/>
      <c r="PCH188" s="78"/>
      <c r="PCI188" s="78"/>
      <c r="PCJ188" s="78"/>
      <c r="PCK188" s="78"/>
      <c r="PCL188" s="78"/>
      <c r="PCM188" s="78"/>
      <c r="PCN188" s="78"/>
      <c r="PCO188" s="78"/>
      <c r="PCP188" s="78"/>
      <c r="PCQ188" s="78"/>
      <c r="PCR188" s="78"/>
      <c r="PCS188" s="78"/>
      <c r="PCT188" s="78"/>
      <c r="PCU188" s="78"/>
      <c r="PCV188" s="78"/>
      <c r="PCW188" s="78"/>
      <c r="PCX188" s="78"/>
      <c r="PCY188" s="78"/>
      <c r="PCZ188" s="78"/>
      <c r="PDA188" s="78"/>
      <c r="PDB188" s="78"/>
      <c r="PDC188" s="78"/>
      <c r="PDD188" s="78"/>
      <c r="PDE188" s="78"/>
      <c r="PDF188" s="78"/>
      <c r="PDG188" s="78"/>
      <c r="PDH188" s="78"/>
      <c r="PDI188" s="78"/>
      <c r="PDJ188" s="78"/>
      <c r="PDK188" s="78"/>
      <c r="PDL188" s="78"/>
      <c r="PDM188" s="78"/>
      <c r="PDN188" s="78"/>
      <c r="PDO188" s="78"/>
      <c r="PDP188" s="78"/>
      <c r="PDQ188" s="78"/>
      <c r="PDR188" s="78"/>
      <c r="PDS188" s="78"/>
      <c r="PDT188" s="78"/>
      <c r="PDU188" s="78"/>
      <c r="PDV188" s="78"/>
      <c r="PDW188" s="78"/>
      <c r="PDX188" s="78"/>
      <c r="PDY188" s="78"/>
      <c r="PDZ188" s="78"/>
      <c r="PEA188" s="78"/>
      <c r="PEB188" s="78"/>
      <c r="PEC188" s="78"/>
      <c r="PED188" s="78"/>
      <c r="PEE188" s="78"/>
      <c r="PEF188" s="78"/>
      <c r="PEG188" s="78"/>
      <c r="PEH188" s="78"/>
      <c r="PEI188" s="78"/>
      <c r="PEJ188" s="78"/>
      <c r="PEK188" s="78"/>
      <c r="PEL188" s="78"/>
      <c r="PEM188" s="78"/>
      <c r="PEN188" s="78"/>
      <c r="PEO188" s="78"/>
      <c r="PEP188" s="78"/>
      <c r="PEQ188" s="78"/>
      <c r="PER188" s="78"/>
      <c r="PES188" s="78"/>
      <c r="PET188" s="78"/>
      <c r="PEU188" s="78"/>
      <c r="PEV188" s="78"/>
      <c r="PEW188" s="78"/>
      <c r="PEX188" s="78"/>
      <c r="PEY188" s="78"/>
      <c r="PEZ188" s="78"/>
      <c r="PFA188" s="78"/>
      <c r="PFB188" s="78"/>
      <c r="PFC188" s="78"/>
      <c r="PFD188" s="78"/>
      <c r="PFE188" s="78"/>
      <c r="PFF188" s="78"/>
      <c r="PFG188" s="78"/>
      <c r="PFH188" s="78"/>
      <c r="PFI188" s="78"/>
      <c r="PFJ188" s="78"/>
      <c r="PFK188" s="78"/>
      <c r="PFL188" s="78"/>
      <c r="PFM188" s="78"/>
      <c r="PFN188" s="78"/>
      <c r="PFO188" s="78"/>
      <c r="PFP188" s="78"/>
      <c r="PFQ188" s="78"/>
      <c r="PFR188" s="78"/>
      <c r="PFS188" s="78"/>
      <c r="PFT188" s="78"/>
      <c r="PFU188" s="78"/>
      <c r="PFV188" s="78"/>
      <c r="PFW188" s="78"/>
      <c r="PFX188" s="78"/>
      <c r="PFY188" s="78"/>
      <c r="PFZ188" s="78"/>
      <c r="PGA188" s="78"/>
      <c r="PGB188" s="78"/>
      <c r="PGC188" s="78"/>
      <c r="PGD188" s="78"/>
      <c r="PGE188" s="78"/>
      <c r="PGF188" s="78"/>
      <c r="PGG188" s="78"/>
      <c r="PGH188" s="78"/>
      <c r="PGI188" s="78"/>
      <c r="PGJ188" s="78"/>
      <c r="PGK188" s="78"/>
      <c r="PGL188" s="78"/>
      <c r="PGM188" s="78"/>
      <c r="PGN188" s="78"/>
      <c r="PGO188" s="78"/>
      <c r="PGP188" s="78"/>
      <c r="PGQ188" s="78"/>
      <c r="PGR188" s="78"/>
      <c r="PGS188" s="78"/>
      <c r="PGT188" s="78"/>
      <c r="PGU188" s="78"/>
      <c r="PGV188" s="78"/>
      <c r="PGW188" s="78"/>
      <c r="PGX188" s="78"/>
      <c r="PGY188" s="78"/>
      <c r="PGZ188" s="78"/>
      <c r="PHA188" s="78"/>
      <c r="PHB188" s="78"/>
      <c r="PHC188" s="78"/>
      <c r="PHD188" s="78"/>
      <c r="PHE188" s="78"/>
      <c r="PHF188" s="78"/>
      <c r="PHG188" s="78"/>
      <c r="PHH188" s="78"/>
      <c r="PHI188" s="78"/>
      <c r="PHJ188" s="78"/>
      <c r="PHK188" s="78"/>
      <c r="PHL188" s="78"/>
      <c r="PHM188" s="78"/>
      <c r="PHN188" s="78"/>
      <c r="PHO188" s="78"/>
      <c r="PHP188" s="78"/>
      <c r="PHQ188" s="78"/>
      <c r="PHR188" s="78"/>
      <c r="PHS188" s="78"/>
      <c r="PHT188" s="78"/>
      <c r="PHU188" s="78"/>
      <c r="PHV188" s="78"/>
      <c r="PHW188" s="78"/>
      <c r="PHX188" s="78"/>
      <c r="PHY188" s="78"/>
      <c r="PHZ188" s="78"/>
      <c r="PIA188" s="78"/>
      <c r="PIB188" s="78"/>
      <c r="PIC188" s="78"/>
      <c r="PID188" s="78"/>
      <c r="PIE188" s="78"/>
      <c r="PIF188" s="78"/>
      <c r="PIG188" s="78"/>
      <c r="PIH188" s="78"/>
      <c r="PII188" s="78"/>
      <c r="PIJ188" s="78"/>
      <c r="PIK188" s="78"/>
      <c r="PIL188" s="78"/>
      <c r="PIM188" s="78"/>
      <c r="PIN188" s="78"/>
      <c r="PIO188" s="78"/>
      <c r="PIP188" s="78"/>
      <c r="PIQ188" s="78"/>
      <c r="PIR188" s="78"/>
      <c r="PIS188" s="78"/>
      <c r="PIT188" s="78"/>
      <c r="PIU188" s="78"/>
      <c r="PIV188" s="78"/>
      <c r="PIW188" s="78"/>
      <c r="PIX188" s="78"/>
      <c r="PIY188" s="78"/>
      <c r="PIZ188" s="78"/>
      <c r="PJA188" s="78"/>
      <c r="PJB188" s="78"/>
      <c r="PJC188" s="78"/>
      <c r="PJD188" s="78"/>
      <c r="PJE188" s="78"/>
      <c r="PJF188" s="78"/>
      <c r="PJG188" s="78"/>
      <c r="PJH188" s="78"/>
      <c r="PJI188" s="78"/>
      <c r="PJJ188" s="78"/>
      <c r="PJK188" s="78"/>
      <c r="PJL188" s="78"/>
      <c r="PJM188" s="78"/>
      <c r="PJN188" s="78"/>
      <c r="PJO188" s="78"/>
      <c r="PJP188" s="78"/>
      <c r="PJQ188" s="78"/>
      <c r="PJR188" s="78"/>
      <c r="PJS188" s="78"/>
      <c r="PJT188" s="78"/>
      <c r="PJU188" s="78"/>
      <c r="PJV188" s="78"/>
      <c r="PJW188" s="78"/>
      <c r="PJX188" s="78"/>
      <c r="PJY188" s="78"/>
      <c r="PJZ188" s="78"/>
      <c r="PKA188" s="78"/>
      <c r="PKB188" s="78"/>
      <c r="PKC188" s="78"/>
      <c r="PKD188" s="78"/>
      <c r="PKE188" s="78"/>
      <c r="PKF188" s="78"/>
      <c r="PKG188" s="78"/>
      <c r="PKH188" s="78"/>
      <c r="PKI188" s="78"/>
      <c r="PKJ188" s="78"/>
      <c r="PKK188" s="78"/>
      <c r="PKL188" s="78"/>
      <c r="PKM188" s="78"/>
      <c r="PKN188" s="78"/>
      <c r="PKO188" s="78"/>
      <c r="PKP188" s="78"/>
      <c r="PKQ188" s="78"/>
      <c r="PKR188" s="78"/>
      <c r="PKS188" s="78"/>
      <c r="PKT188" s="78"/>
      <c r="PKU188" s="78"/>
      <c r="PKV188" s="78"/>
      <c r="PKW188" s="78"/>
      <c r="PKX188" s="78"/>
      <c r="PKY188" s="78"/>
      <c r="PKZ188" s="78"/>
      <c r="PLA188" s="78"/>
      <c r="PLB188" s="78"/>
      <c r="PLC188" s="78"/>
      <c r="PLD188" s="78"/>
      <c r="PLE188" s="78"/>
      <c r="PLF188" s="78"/>
      <c r="PLG188" s="78"/>
      <c r="PLH188" s="78"/>
      <c r="PLI188" s="78"/>
      <c r="PLJ188" s="78"/>
      <c r="PLK188" s="78"/>
      <c r="PLL188" s="78"/>
      <c r="PLM188" s="78"/>
      <c r="PLN188" s="78"/>
      <c r="PLO188" s="78"/>
      <c r="PLP188" s="78"/>
      <c r="PLQ188" s="78"/>
      <c r="PLR188" s="78"/>
      <c r="PLS188" s="78"/>
      <c r="PLT188" s="78"/>
      <c r="PLU188" s="78"/>
      <c r="PLV188" s="78"/>
      <c r="PLW188" s="78"/>
      <c r="PLX188" s="78"/>
      <c r="PLY188" s="78"/>
      <c r="PLZ188" s="78"/>
      <c r="PMA188" s="78"/>
      <c r="PMB188" s="78"/>
      <c r="PMC188" s="78"/>
      <c r="PMD188" s="78"/>
      <c r="PME188" s="78"/>
      <c r="PMF188" s="78"/>
      <c r="PMG188" s="78"/>
      <c r="PMH188" s="78"/>
      <c r="PMI188" s="78"/>
      <c r="PMJ188" s="78"/>
      <c r="PMK188" s="78"/>
      <c r="PML188" s="78"/>
      <c r="PMM188" s="78"/>
      <c r="PMN188" s="78"/>
      <c r="PMO188" s="78"/>
      <c r="PMP188" s="78"/>
      <c r="PMQ188" s="78"/>
      <c r="PMR188" s="78"/>
      <c r="PMS188" s="78"/>
      <c r="PMT188" s="78"/>
      <c r="PMU188" s="78"/>
      <c r="PMV188" s="78"/>
      <c r="PMW188" s="78"/>
      <c r="PMX188" s="78"/>
      <c r="PMY188" s="78"/>
      <c r="PMZ188" s="78"/>
      <c r="PNA188" s="78"/>
      <c r="PNB188" s="78"/>
      <c r="PNC188" s="78"/>
      <c r="PND188" s="78"/>
      <c r="PNE188" s="78"/>
      <c r="PNF188" s="78"/>
      <c r="PNG188" s="78"/>
      <c r="PNH188" s="78"/>
      <c r="PNI188" s="78"/>
      <c r="PNJ188" s="78"/>
      <c r="PNK188" s="78"/>
      <c r="PNL188" s="78"/>
      <c r="PNM188" s="78"/>
      <c r="PNN188" s="78"/>
      <c r="PNO188" s="78"/>
      <c r="PNP188" s="78"/>
      <c r="PNQ188" s="78"/>
      <c r="PNR188" s="78"/>
      <c r="PNS188" s="78"/>
      <c r="PNT188" s="78"/>
      <c r="PNU188" s="78"/>
      <c r="PNV188" s="78"/>
      <c r="PNW188" s="78"/>
      <c r="PNX188" s="78"/>
      <c r="PNY188" s="78"/>
      <c r="PNZ188" s="78"/>
      <c r="POA188" s="78"/>
      <c r="POB188" s="78"/>
      <c r="POC188" s="78"/>
      <c r="POD188" s="78"/>
      <c r="POE188" s="78"/>
      <c r="POF188" s="78"/>
      <c r="POG188" s="78"/>
      <c r="POH188" s="78"/>
      <c r="POI188" s="78"/>
      <c r="POJ188" s="78"/>
      <c r="POK188" s="78"/>
      <c r="POL188" s="78"/>
      <c r="POM188" s="78"/>
      <c r="PON188" s="78"/>
      <c r="POO188" s="78"/>
      <c r="POP188" s="78"/>
      <c r="POQ188" s="78"/>
      <c r="POR188" s="78"/>
      <c r="POS188" s="78"/>
      <c r="POT188" s="78"/>
      <c r="POU188" s="78"/>
      <c r="POV188" s="78"/>
      <c r="POW188" s="78"/>
      <c r="POX188" s="78"/>
      <c r="POY188" s="78"/>
      <c r="POZ188" s="78"/>
      <c r="PPA188" s="78"/>
      <c r="PPB188" s="78"/>
      <c r="PPC188" s="78"/>
      <c r="PPD188" s="78"/>
      <c r="PPE188" s="78"/>
      <c r="PPF188" s="78"/>
      <c r="PPG188" s="78"/>
      <c r="PPH188" s="78"/>
      <c r="PPI188" s="78"/>
      <c r="PPJ188" s="78"/>
      <c r="PPK188" s="78"/>
      <c r="PPL188" s="78"/>
      <c r="PPM188" s="78"/>
      <c r="PPN188" s="78"/>
      <c r="PPO188" s="78"/>
      <c r="PPP188" s="78"/>
      <c r="PPQ188" s="78"/>
      <c r="PPR188" s="78"/>
      <c r="PPS188" s="78"/>
      <c r="PPT188" s="78"/>
      <c r="PPU188" s="78"/>
      <c r="PPV188" s="78"/>
      <c r="PPW188" s="78"/>
      <c r="PPX188" s="78"/>
      <c r="PPY188" s="78"/>
      <c r="PPZ188" s="78"/>
      <c r="PQA188" s="78"/>
      <c r="PQB188" s="78"/>
      <c r="PQC188" s="78"/>
      <c r="PQD188" s="78"/>
      <c r="PQE188" s="78"/>
      <c r="PQF188" s="78"/>
      <c r="PQG188" s="78"/>
      <c r="PQH188" s="78"/>
      <c r="PQI188" s="78"/>
      <c r="PQJ188" s="78"/>
      <c r="PQK188" s="78"/>
      <c r="PQL188" s="78"/>
      <c r="PQM188" s="78"/>
      <c r="PQN188" s="78"/>
      <c r="PQO188" s="78"/>
      <c r="PQP188" s="78"/>
      <c r="PQQ188" s="78"/>
      <c r="PQR188" s="78"/>
      <c r="PQS188" s="78"/>
      <c r="PQT188" s="78"/>
      <c r="PQU188" s="78"/>
      <c r="PQV188" s="78"/>
      <c r="PQW188" s="78"/>
      <c r="PQX188" s="78"/>
      <c r="PQY188" s="78"/>
      <c r="PQZ188" s="78"/>
      <c r="PRA188" s="78"/>
      <c r="PRB188" s="78"/>
      <c r="PRC188" s="78"/>
      <c r="PRD188" s="78"/>
      <c r="PRE188" s="78"/>
      <c r="PRF188" s="78"/>
      <c r="PRG188" s="78"/>
      <c r="PRH188" s="78"/>
      <c r="PRI188" s="78"/>
      <c r="PRJ188" s="78"/>
      <c r="PRK188" s="78"/>
      <c r="PRL188" s="78"/>
      <c r="PRM188" s="78"/>
      <c r="PRN188" s="78"/>
      <c r="PRO188" s="78"/>
      <c r="PRP188" s="78"/>
      <c r="PRQ188" s="78"/>
      <c r="PRR188" s="78"/>
      <c r="PRS188" s="78"/>
      <c r="PRT188" s="78"/>
      <c r="PRU188" s="78"/>
      <c r="PRV188" s="78"/>
      <c r="PRW188" s="78"/>
      <c r="PRX188" s="78"/>
      <c r="PRY188" s="78"/>
      <c r="PRZ188" s="78"/>
      <c r="PSA188" s="78"/>
      <c r="PSB188" s="78"/>
      <c r="PSC188" s="78"/>
      <c r="PSD188" s="78"/>
      <c r="PSE188" s="78"/>
      <c r="PSF188" s="78"/>
      <c r="PSG188" s="78"/>
      <c r="PSH188" s="78"/>
      <c r="PSI188" s="78"/>
      <c r="PSJ188" s="78"/>
      <c r="PSK188" s="78"/>
      <c r="PSL188" s="78"/>
      <c r="PSM188" s="78"/>
      <c r="PSN188" s="78"/>
      <c r="PSO188" s="78"/>
      <c r="PSP188" s="78"/>
      <c r="PSQ188" s="78"/>
      <c r="PSR188" s="78"/>
      <c r="PSS188" s="78"/>
      <c r="PST188" s="78"/>
      <c r="PSU188" s="78"/>
      <c r="PSV188" s="78"/>
      <c r="PSW188" s="78"/>
      <c r="PSX188" s="78"/>
      <c r="PSY188" s="78"/>
      <c r="PSZ188" s="78"/>
      <c r="PTA188" s="78"/>
      <c r="PTB188" s="78"/>
      <c r="PTC188" s="78"/>
      <c r="PTD188" s="78"/>
      <c r="PTE188" s="78"/>
      <c r="PTF188" s="78"/>
      <c r="PTG188" s="78"/>
      <c r="PTH188" s="78"/>
      <c r="PTI188" s="78"/>
      <c r="PTJ188" s="78"/>
      <c r="PTK188" s="78"/>
      <c r="PTL188" s="78"/>
      <c r="PTM188" s="78"/>
      <c r="PTN188" s="78"/>
      <c r="PTO188" s="78"/>
      <c r="PTP188" s="78"/>
      <c r="PTQ188" s="78"/>
      <c r="PTR188" s="78"/>
      <c r="PTS188" s="78"/>
      <c r="PTT188" s="78"/>
      <c r="PTU188" s="78"/>
      <c r="PTV188" s="78"/>
      <c r="PTW188" s="78"/>
      <c r="PTX188" s="78"/>
      <c r="PTY188" s="78"/>
      <c r="PTZ188" s="78"/>
      <c r="PUA188" s="78"/>
      <c r="PUB188" s="78"/>
      <c r="PUC188" s="78"/>
      <c r="PUD188" s="78"/>
      <c r="PUE188" s="78"/>
      <c r="PUF188" s="78"/>
      <c r="PUG188" s="78"/>
      <c r="PUH188" s="78"/>
      <c r="PUI188" s="78"/>
      <c r="PUJ188" s="78"/>
      <c r="PUK188" s="78"/>
      <c r="PUL188" s="78"/>
      <c r="PUM188" s="78"/>
      <c r="PUN188" s="78"/>
      <c r="PUO188" s="78"/>
      <c r="PUP188" s="78"/>
      <c r="PUQ188" s="78"/>
      <c r="PUR188" s="78"/>
      <c r="PUS188" s="78"/>
      <c r="PUT188" s="78"/>
      <c r="PUU188" s="78"/>
      <c r="PUV188" s="78"/>
      <c r="PUW188" s="78"/>
      <c r="PUX188" s="78"/>
      <c r="PUY188" s="78"/>
      <c r="PUZ188" s="78"/>
      <c r="PVA188" s="78"/>
      <c r="PVB188" s="78"/>
      <c r="PVC188" s="78"/>
      <c r="PVD188" s="78"/>
      <c r="PVE188" s="78"/>
      <c r="PVF188" s="78"/>
      <c r="PVG188" s="78"/>
      <c r="PVH188" s="78"/>
      <c r="PVI188" s="78"/>
      <c r="PVJ188" s="78"/>
      <c r="PVK188" s="78"/>
      <c r="PVL188" s="78"/>
      <c r="PVM188" s="78"/>
      <c r="PVN188" s="78"/>
      <c r="PVO188" s="78"/>
      <c r="PVP188" s="78"/>
      <c r="PVQ188" s="78"/>
      <c r="PVR188" s="78"/>
      <c r="PVS188" s="78"/>
      <c r="PVT188" s="78"/>
      <c r="PVU188" s="78"/>
      <c r="PVV188" s="78"/>
      <c r="PVW188" s="78"/>
      <c r="PVX188" s="78"/>
      <c r="PVY188" s="78"/>
      <c r="PVZ188" s="78"/>
      <c r="PWA188" s="78"/>
      <c r="PWB188" s="78"/>
      <c r="PWC188" s="78"/>
      <c r="PWD188" s="78"/>
      <c r="PWE188" s="78"/>
      <c r="PWF188" s="78"/>
      <c r="PWG188" s="78"/>
      <c r="PWH188" s="78"/>
      <c r="PWI188" s="78"/>
      <c r="PWJ188" s="78"/>
      <c r="PWK188" s="78"/>
      <c r="PWL188" s="78"/>
      <c r="PWM188" s="78"/>
      <c r="PWN188" s="78"/>
      <c r="PWO188" s="78"/>
      <c r="PWP188" s="78"/>
      <c r="PWQ188" s="78"/>
      <c r="PWR188" s="78"/>
      <c r="PWS188" s="78"/>
      <c r="PWT188" s="78"/>
      <c r="PWU188" s="78"/>
      <c r="PWV188" s="78"/>
      <c r="PWW188" s="78"/>
      <c r="PWX188" s="78"/>
      <c r="PWY188" s="78"/>
      <c r="PWZ188" s="78"/>
      <c r="PXA188" s="78"/>
      <c r="PXB188" s="78"/>
      <c r="PXC188" s="78"/>
      <c r="PXD188" s="78"/>
      <c r="PXE188" s="78"/>
      <c r="PXF188" s="78"/>
      <c r="PXG188" s="78"/>
      <c r="PXH188" s="78"/>
      <c r="PXI188" s="78"/>
      <c r="PXJ188" s="78"/>
      <c r="PXK188" s="78"/>
      <c r="PXL188" s="78"/>
      <c r="PXM188" s="78"/>
      <c r="PXN188" s="78"/>
      <c r="PXO188" s="78"/>
      <c r="PXP188" s="78"/>
      <c r="PXQ188" s="78"/>
      <c r="PXR188" s="78"/>
      <c r="PXS188" s="78"/>
      <c r="PXT188" s="78"/>
      <c r="PXU188" s="78"/>
      <c r="PXV188" s="78"/>
      <c r="PXW188" s="78"/>
      <c r="PXX188" s="78"/>
      <c r="PXY188" s="78"/>
      <c r="PXZ188" s="78"/>
      <c r="PYA188" s="78"/>
      <c r="PYB188" s="78"/>
      <c r="PYC188" s="78"/>
      <c r="PYD188" s="78"/>
      <c r="PYE188" s="78"/>
      <c r="PYF188" s="78"/>
      <c r="PYG188" s="78"/>
      <c r="PYH188" s="78"/>
      <c r="PYI188" s="78"/>
      <c r="PYJ188" s="78"/>
      <c r="PYK188" s="78"/>
      <c r="PYL188" s="78"/>
      <c r="PYM188" s="78"/>
      <c r="PYN188" s="78"/>
      <c r="PYO188" s="78"/>
      <c r="PYP188" s="78"/>
      <c r="PYQ188" s="78"/>
      <c r="PYR188" s="78"/>
      <c r="PYS188" s="78"/>
      <c r="PYT188" s="78"/>
      <c r="PYU188" s="78"/>
      <c r="PYV188" s="78"/>
      <c r="PYW188" s="78"/>
      <c r="PYX188" s="78"/>
      <c r="PYY188" s="78"/>
      <c r="PYZ188" s="78"/>
      <c r="PZA188" s="78"/>
      <c r="PZB188" s="78"/>
      <c r="PZC188" s="78"/>
      <c r="PZD188" s="78"/>
      <c r="PZE188" s="78"/>
      <c r="PZF188" s="78"/>
      <c r="PZG188" s="78"/>
      <c r="PZH188" s="78"/>
      <c r="PZI188" s="78"/>
      <c r="PZJ188" s="78"/>
      <c r="PZK188" s="78"/>
      <c r="PZL188" s="78"/>
      <c r="PZM188" s="78"/>
      <c r="PZN188" s="78"/>
      <c r="PZO188" s="78"/>
      <c r="PZP188" s="78"/>
      <c r="PZQ188" s="78"/>
      <c r="PZR188" s="78"/>
      <c r="PZS188" s="78"/>
      <c r="PZT188" s="78"/>
      <c r="PZU188" s="78"/>
      <c r="PZV188" s="78"/>
      <c r="PZW188" s="78"/>
      <c r="PZX188" s="78"/>
      <c r="PZY188" s="78"/>
      <c r="PZZ188" s="78"/>
      <c r="QAA188" s="78"/>
      <c r="QAB188" s="78"/>
      <c r="QAC188" s="78"/>
      <c r="QAD188" s="78"/>
      <c r="QAE188" s="78"/>
      <c r="QAF188" s="78"/>
      <c r="QAG188" s="78"/>
      <c r="QAH188" s="78"/>
      <c r="QAI188" s="78"/>
      <c r="QAJ188" s="78"/>
      <c r="QAK188" s="78"/>
      <c r="QAL188" s="78"/>
      <c r="QAM188" s="78"/>
      <c r="QAN188" s="78"/>
      <c r="QAO188" s="78"/>
      <c r="QAP188" s="78"/>
      <c r="QAQ188" s="78"/>
      <c r="QAR188" s="78"/>
      <c r="QAS188" s="78"/>
      <c r="QAT188" s="78"/>
      <c r="QAU188" s="78"/>
      <c r="QAV188" s="78"/>
      <c r="QAW188" s="78"/>
      <c r="QAX188" s="78"/>
      <c r="QAY188" s="78"/>
      <c r="QAZ188" s="78"/>
      <c r="QBA188" s="78"/>
      <c r="QBB188" s="78"/>
      <c r="QBC188" s="78"/>
      <c r="QBD188" s="78"/>
      <c r="QBE188" s="78"/>
      <c r="QBF188" s="78"/>
      <c r="QBG188" s="78"/>
      <c r="QBH188" s="78"/>
      <c r="QBI188" s="78"/>
      <c r="QBJ188" s="78"/>
      <c r="QBK188" s="78"/>
      <c r="QBL188" s="78"/>
      <c r="QBM188" s="78"/>
      <c r="QBN188" s="78"/>
      <c r="QBO188" s="78"/>
      <c r="QBP188" s="78"/>
      <c r="QBQ188" s="78"/>
      <c r="QBR188" s="78"/>
      <c r="QBS188" s="78"/>
      <c r="QBT188" s="78"/>
      <c r="QBU188" s="78"/>
      <c r="QBV188" s="78"/>
      <c r="QBW188" s="78"/>
      <c r="QBX188" s="78"/>
      <c r="QBY188" s="78"/>
      <c r="QBZ188" s="78"/>
      <c r="QCA188" s="78"/>
      <c r="QCB188" s="78"/>
      <c r="QCC188" s="78"/>
      <c r="QCD188" s="78"/>
      <c r="QCE188" s="78"/>
      <c r="QCF188" s="78"/>
      <c r="QCG188" s="78"/>
      <c r="QCH188" s="78"/>
      <c r="QCI188" s="78"/>
      <c r="QCJ188" s="78"/>
      <c r="QCK188" s="78"/>
      <c r="QCL188" s="78"/>
      <c r="QCM188" s="78"/>
      <c r="QCN188" s="78"/>
      <c r="QCO188" s="78"/>
      <c r="QCP188" s="78"/>
      <c r="QCQ188" s="78"/>
      <c r="QCR188" s="78"/>
      <c r="QCS188" s="78"/>
      <c r="QCT188" s="78"/>
      <c r="QCU188" s="78"/>
      <c r="QCV188" s="78"/>
      <c r="QCW188" s="78"/>
      <c r="QCX188" s="78"/>
      <c r="QCY188" s="78"/>
      <c r="QCZ188" s="78"/>
      <c r="QDA188" s="78"/>
      <c r="QDB188" s="78"/>
      <c r="QDC188" s="78"/>
      <c r="QDD188" s="78"/>
      <c r="QDE188" s="78"/>
      <c r="QDF188" s="78"/>
      <c r="QDG188" s="78"/>
      <c r="QDH188" s="78"/>
      <c r="QDI188" s="78"/>
      <c r="QDJ188" s="78"/>
      <c r="QDK188" s="78"/>
      <c r="QDL188" s="78"/>
      <c r="QDM188" s="78"/>
      <c r="QDN188" s="78"/>
      <c r="QDO188" s="78"/>
      <c r="QDP188" s="78"/>
      <c r="QDQ188" s="78"/>
      <c r="QDR188" s="78"/>
      <c r="QDS188" s="78"/>
      <c r="QDT188" s="78"/>
      <c r="QDU188" s="78"/>
      <c r="QDV188" s="78"/>
      <c r="QDW188" s="78"/>
      <c r="QDX188" s="78"/>
      <c r="QDY188" s="78"/>
      <c r="QDZ188" s="78"/>
      <c r="QEA188" s="78"/>
      <c r="QEB188" s="78"/>
      <c r="QEC188" s="78"/>
      <c r="QED188" s="78"/>
      <c r="QEE188" s="78"/>
      <c r="QEF188" s="78"/>
      <c r="QEG188" s="78"/>
      <c r="QEH188" s="78"/>
      <c r="QEI188" s="78"/>
      <c r="QEJ188" s="78"/>
      <c r="QEK188" s="78"/>
      <c r="QEL188" s="78"/>
      <c r="QEM188" s="78"/>
      <c r="QEN188" s="78"/>
      <c r="QEO188" s="78"/>
      <c r="QEP188" s="78"/>
      <c r="QEQ188" s="78"/>
      <c r="QER188" s="78"/>
      <c r="QES188" s="78"/>
      <c r="QET188" s="78"/>
      <c r="QEU188" s="78"/>
      <c r="QEV188" s="78"/>
      <c r="QEW188" s="78"/>
      <c r="QEX188" s="78"/>
      <c r="QEY188" s="78"/>
      <c r="QEZ188" s="78"/>
      <c r="QFA188" s="78"/>
      <c r="QFB188" s="78"/>
      <c r="QFC188" s="78"/>
      <c r="QFD188" s="78"/>
      <c r="QFE188" s="78"/>
      <c r="QFF188" s="78"/>
      <c r="QFG188" s="78"/>
      <c r="QFH188" s="78"/>
      <c r="QFI188" s="78"/>
      <c r="QFJ188" s="78"/>
      <c r="QFK188" s="78"/>
      <c r="QFL188" s="78"/>
      <c r="QFM188" s="78"/>
      <c r="QFN188" s="78"/>
      <c r="QFO188" s="78"/>
      <c r="QFP188" s="78"/>
      <c r="QFQ188" s="78"/>
      <c r="QFR188" s="78"/>
      <c r="QFS188" s="78"/>
      <c r="QFT188" s="78"/>
      <c r="QFU188" s="78"/>
      <c r="QFV188" s="78"/>
      <c r="QFW188" s="78"/>
      <c r="QFX188" s="78"/>
      <c r="QFY188" s="78"/>
      <c r="QFZ188" s="78"/>
      <c r="QGA188" s="78"/>
      <c r="QGB188" s="78"/>
      <c r="QGC188" s="78"/>
      <c r="QGD188" s="78"/>
      <c r="QGE188" s="78"/>
      <c r="QGF188" s="78"/>
      <c r="QGG188" s="78"/>
      <c r="QGH188" s="78"/>
      <c r="QGI188" s="78"/>
      <c r="QGJ188" s="78"/>
      <c r="QGK188" s="78"/>
      <c r="QGL188" s="78"/>
      <c r="QGM188" s="78"/>
      <c r="QGN188" s="78"/>
      <c r="QGO188" s="78"/>
      <c r="QGP188" s="78"/>
      <c r="QGQ188" s="78"/>
      <c r="QGR188" s="78"/>
      <c r="QGS188" s="78"/>
      <c r="QGT188" s="78"/>
      <c r="QGU188" s="78"/>
      <c r="QGV188" s="78"/>
      <c r="QGW188" s="78"/>
      <c r="QGX188" s="78"/>
      <c r="QGY188" s="78"/>
      <c r="QGZ188" s="78"/>
      <c r="QHA188" s="78"/>
      <c r="QHB188" s="78"/>
      <c r="QHC188" s="78"/>
      <c r="QHD188" s="78"/>
      <c r="QHE188" s="78"/>
      <c r="QHF188" s="78"/>
      <c r="QHG188" s="78"/>
      <c r="QHH188" s="78"/>
      <c r="QHI188" s="78"/>
      <c r="QHJ188" s="78"/>
      <c r="QHK188" s="78"/>
      <c r="QHL188" s="78"/>
      <c r="QHM188" s="78"/>
      <c r="QHN188" s="78"/>
      <c r="QHO188" s="78"/>
      <c r="QHP188" s="78"/>
      <c r="QHQ188" s="78"/>
      <c r="QHR188" s="78"/>
      <c r="QHS188" s="78"/>
      <c r="QHT188" s="78"/>
      <c r="QHU188" s="78"/>
      <c r="QHV188" s="78"/>
      <c r="QHW188" s="78"/>
      <c r="QHX188" s="78"/>
      <c r="QHY188" s="78"/>
      <c r="QHZ188" s="78"/>
      <c r="QIA188" s="78"/>
      <c r="QIB188" s="78"/>
      <c r="QIC188" s="78"/>
      <c r="QID188" s="78"/>
      <c r="QIE188" s="78"/>
      <c r="QIF188" s="78"/>
      <c r="QIG188" s="78"/>
      <c r="QIH188" s="78"/>
      <c r="QII188" s="78"/>
      <c r="QIJ188" s="78"/>
      <c r="QIK188" s="78"/>
      <c r="QIL188" s="78"/>
      <c r="QIM188" s="78"/>
      <c r="QIN188" s="78"/>
      <c r="QIO188" s="78"/>
      <c r="QIP188" s="78"/>
      <c r="QIQ188" s="78"/>
      <c r="QIR188" s="78"/>
      <c r="QIS188" s="78"/>
      <c r="QIT188" s="78"/>
      <c r="QIU188" s="78"/>
      <c r="QIV188" s="78"/>
      <c r="QIW188" s="78"/>
      <c r="QIX188" s="78"/>
      <c r="QIY188" s="78"/>
      <c r="QIZ188" s="78"/>
      <c r="QJA188" s="78"/>
      <c r="QJB188" s="78"/>
      <c r="QJC188" s="78"/>
      <c r="QJD188" s="78"/>
      <c r="QJE188" s="78"/>
      <c r="QJF188" s="78"/>
      <c r="QJG188" s="78"/>
      <c r="QJH188" s="78"/>
      <c r="QJI188" s="78"/>
      <c r="QJJ188" s="78"/>
      <c r="QJK188" s="78"/>
      <c r="QJL188" s="78"/>
      <c r="QJM188" s="78"/>
      <c r="QJN188" s="78"/>
      <c r="QJO188" s="78"/>
      <c r="QJP188" s="78"/>
      <c r="QJQ188" s="78"/>
      <c r="QJR188" s="78"/>
      <c r="QJS188" s="78"/>
      <c r="QJT188" s="78"/>
      <c r="QJU188" s="78"/>
      <c r="QJV188" s="78"/>
      <c r="QJW188" s="78"/>
      <c r="QJX188" s="78"/>
      <c r="QJY188" s="78"/>
      <c r="QJZ188" s="78"/>
      <c r="QKA188" s="78"/>
      <c r="QKB188" s="78"/>
      <c r="QKC188" s="78"/>
      <c r="QKD188" s="78"/>
      <c r="QKE188" s="78"/>
      <c r="QKF188" s="78"/>
      <c r="QKG188" s="78"/>
      <c r="QKH188" s="78"/>
      <c r="QKI188" s="78"/>
      <c r="QKJ188" s="78"/>
      <c r="QKK188" s="78"/>
      <c r="QKL188" s="78"/>
      <c r="QKM188" s="78"/>
      <c r="QKN188" s="78"/>
      <c r="QKO188" s="78"/>
      <c r="QKP188" s="78"/>
      <c r="QKQ188" s="78"/>
      <c r="QKR188" s="78"/>
      <c r="QKS188" s="78"/>
      <c r="QKT188" s="78"/>
      <c r="QKU188" s="78"/>
      <c r="QKV188" s="78"/>
      <c r="QKW188" s="78"/>
      <c r="QKX188" s="78"/>
      <c r="QKY188" s="78"/>
      <c r="QKZ188" s="78"/>
      <c r="QLA188" s="78"/>
      <c r="QLB188" s="78"/>
      <c r="QLC188" s="78"/>
      <c r="QLD188" s="78"/>
      <c r="QLE188" s="78"/>
      <c r="QLF188" s="78"/>
      <c r="QLG188" s="78"/>
      <c r="QLH188" s="78"/>
      <c r="QLI188" s="78"/>
      <c r="QLJ188" s="78"/>
      <c r="QLK188" s="78"/>
      <c r="QLL188" s="78"/>
      <c r="QLM188" s="78"/>
      <c r="QLN188" s="78"/>
      <c r="QLO188" s="78"/>
      <c r="QLP188" s="78"/>
      <c r="QLQ188" s="78"/>
      <c r="QLR188" s="78"/>
      <c r="QLS188" s="78"/>
      <c r="QLT188" s="78"/>
      <c r="QLU188" s="78"/>
      <c r="QLV188" s="78"/>
      <c r="QLW188" s="78"/>
      <c r="QLX188" s="78"/>
      <c r="QLY188" s="78"/>
      <c r="QLZ188" s="78"/>
      <c r="QMA188" s="78"/>
      <c r="QMB188" s="78"/>
      <c r="QMC188" s="78"/>
      <c r="QMD188" s="78"/>
      <c r="QME188" s="78"/>
      <c r="QMF188" s="78"/>
      <c r="QMG188" s="78"/>
      <c r="QMH188" s="78"/>
      <c r="QMI188" s="78"/>
      <c r="QMJ188" s="78"/>
      <c r="QMK188" s="78"/>
      <c r="QML188" s="78"/>
      <c r="QMM188" s="78"/>
      <c r="QMN188" s="78"/>
      <c r="QMO188" s="78"/>
      <c r="QMP188" s="78"/>
      <c r="QMQ188" s="78"/>
      <c r="QMR188" s="78"/>
      <c r="QMS188" s="78"/>
      <c r="QMT188" s="78"/>
      <c r="QMU188" s="78"/>
      <c r="QMV188" s="78"/>
      <c r="QMW188" s="78"/>
      <c r="QMX188" s="78"/>
      <c r="QMY188" s="78"/>
      <c r="QMZ188" s="78"/>
      <c r="QNA188" s="78"/>
      <c r="QNB188" s="78"/>
      <c r="QNC188" s="78"/>
      <c r="QND188" s="78"/>
      <c r="QNE188" s="78"/>
      <c r="QNF188" s="78"/>
      <c r="QNG188" s="78"/>
      <c r="QNH188" s="78"/>
      <c r="QNI188" s="78"/>
      <c r="QNJ188" s="78"/>
      <c r="QNK188" s="78"/>
      <c r="QNL188" s="78"/>
      <c r="QNM188" s="78"/>
      <c r="QNN188" s="78"/>
      <c r="QNO188" s="78"/>
      <c r="QNP188" s="78"/>
      <c r="QNQ188" s="78"/>
      <c r="QNR188" s="78"/>
      <c r="QNS188" s="78"/>
      <c r="QNT188" s="78"/>
      <c r="QNU188" s="78"/>
      <c r="QNV188" s="78"/>
      <c r="QNW188" s="78"/>
      <c r="QNX188" s="78"/>
      <c r="QNY188" s="78"/>
      <c r="QNZ188" s="78"/>
      <c r="QOA188" s="78"/>
      <c r="QOB188" s="78"/>
      <c r="QOC188" s="78"/>
      <c r="QOD188" s="78"/>
      <c r="QOE188" s="78"/>
      <c r="QOF188" s="78"/>
      <c r="QOG188" s="78"/>
      <c r="QOH188" s="78"/>
      <c r="QOI188" s="78"/>
      <c r="QOJ188" s="78"/>
      <c r="QOK188" s="78"/>
      <c r="QOL188" s="78"/>
      <c r="QOM188" s="78"/>
      <c r="QON188" s="78"/>
      <c r="QOO188" s="78"/>
      <c r="QOP188" s="78"/>
      <c r="QOQ188" s="78"/>
      <c r="QOR188" s="78"/>
      <c r="QOS188" s="78"/>
      <c r="QOT188" s="78"/>
      <c r="QOU188" s="78"/>
      <c r="QOV188" s="78"/>
      <c r="QOW188" s="78"/>
      <c r="QOX188" s="78"/>
      <c r="QOY188" s="78"/>
      <c r="QOZ188" s="78"/>
      <c r="QPA188" s="78"/>
      <c r="QPB188" s="78"/>
      <c r="QPC188" s="78"/>
      <c r="QPD188" s="78"/>
      <c r="QPE188" s="78"/>
      <c r="QPF188" s="78"/>
      <c r="QPG188" s="78"/>
      <c r="QPH188" s="78"/>
      <c r="QPI188" s="78"/>
      <c r="QPJ188" s="78"/>
      <c r="QPK188" s="78"/>
      <c r="QPL188" s="78"/>
      <c r="QPM188" s="78"/>
      <c r="QPN188" s="78"/>
      <c r="QPO188" s="78"/>
      <c r="QPP188" s="78"/>
      <c r="QPQ188" s="78"/>
      <c r="QPR188" s="78"/>
      <c r="QPS188" s="78"/>
      <c r="QPT188" s="78"/>
      <c r="QPU188" s="78"/>
      <c r="QPV188" s="78"/>
      <c r="QPW188" s="78"/>
      <c r="QPX188" s="78"/>
      <c r="QPY188" s="78"/>
      <c r="QPZ188" s="78"/>
      <c r="QQA188" s="78"/>
      <c r="QQB188" s="78"/>
      <c r="QQC188" s="78"/>
      <c r="QQD188" s="78"/>
      <c r="QQE188" s="78"/>
      <c r="QQF188" s="78"/>
      <c r="QQG188" s="78"/>
      <c r="QQH188" s="78"/>
      <c r="QQI188" s="78"/>
      <c r="QQJ188" s="78"/>
      <c r="QQK188" s="78"/>
      <c r="QQL188" s="78"/>
      <c r="QQM188" s="78"/>
      <c r="QQN188" s="78"/>
      <c r="QQO188" s="78"/>
      <c r="QQP188" s="78"/>
      <c r="QQQ188" s="78"/>
      <c r="QQR188" s="78"/>
      <c r="QQS188" s="78"/>
      <c r="QQT188" s="78"/>
      <c r="QQU188" s="78"/>
      <c r="QQV188" s="78"/>
      <c r="QQW188" s="78"/>
      <c r="QQX188" s="78"/>
      <c r="QQY188" s="78"/>
      <c r="QQZ188" s="78"/>
      <c r="QRA188" s="78"/>
      <c r="QRB188" s="78"/>
      <c r="QRC188" s="78"/>
      <c r="QRD188" s="78"/>
      <c r="QRE188" s="78"/>
      <c r="QRF188" s="78"/>
      <c r="QRG188" s="78"/>
      <c r="QRH188" s="78"/>
      <c r="QRI188" s="78"/>
      <c r="QRJ188" s="78"/>
      <c r="QRK188" s="78"/>
      <c r="QRL188" s="78"/>
      <c r="QRM188" s="78"/>
      <c r="QRN188" s="78"/>
      <c r="QRO188" s="78"/>
      <c r="QRP188" s="78"/>
      <c r="QRQ188" s="78"/>
      <c r="QRR188" s="78"/>
      <c r="QRS188" s="78"/>
      <c r="QRT188" s="78"/>
      <c r="QRU188" s="78"/>
      <c r="QRV188" s="78"/>
      <c r="QRW188" s="78"/>
      <c r="QRX188" s="78"/>
      <c r="QRY188" s="78"/>
      <c r="QRZ188" s="78"/>
      <c r="QSA188" s="78"/>
      <c r="QSB188" s="78"/>
      <c r="QSC188" s="78"/>
      <c r="QSD188" s="78"/>
      <c r="QSE188" s="78"/>
      <c r="QSF188" s="78"/>
      <c r="QSG188" s="78"/>
      <c r="QSH188" s="78"/>
      <c r="QSI188" s="78"/>
      <c r="QSJ188" s="78"/>
      <c r="QSK188" s="78"/>
      <c r="QSL188" s="78"/>
      <c r="QSM188" s="78"/>
      <c r="QSN188" s="78"/>
      <c r="QSO188" s="78"/>
      <c r="QSP188" s="78"/>
      <c r="QSQ188" s="78"/>
      <c r="QSR188" s="78"/>
      <c r="QSS188" s="78"/>
      <c r="QST188" s="78"/>
      <c r="QSU188" s="78"/>
      <c r="QSV188" s="78"/>
      <c r="QSW188" s="78"/>
      <c r="QSX188" s="78"/>
      <c r="QSY188" s="78"/>
      <c r="QSZ188" s="78"/>
      <c r="QTA188" s="78"/>
      <c r="QTB188" s="78"/>
      <c r="QTC188" s="78"/>
      <c r="QTD188" s="78"/>
      <c r="QTE188" s="78"/>
      <c r="QTF188" s="78"/>
      <c r="QTG188" s="78"/>
      <c r="QTH188" s="78"/>
      <c r="QTI188" s="78"/>
      <c r="QTJ188" s="78"/>
      <c r="QTK188" s="78"/>
      <c r="QTL188" s="78"/>
      <c r="QTM188" s="78"/>
      <c r="QTN188" s="78"/>
      <c r="QTO188" s="78"/>
      <c r="QTP188" s="78"/>
      <c r="QTQ188" s="78"/>
      <c r="QTR188" s="78"/>
      <c r="QTS188" s="78"/>
      <c r="QTT188" s="78"/>
      <c r="QTU188" s="78"/>
      <c r="QTV188" s="78"/>
      <c r="QTW188" s="78"/>
      <c r="QTX188" s="78"/>
      <c r="QTY188" s="78"/>
      <c r="QTZ188" s="78"/>
      <c r="QUA188" s="78"/>
      <c r="QUB188" s="78"/>
      <c r="QUC188" s="78"/>
      <c r="QUD188" s="78"/>
      <c r="QUE188" s="78"/>
      <c r="QUF188" s="78"/>
      <c r="QUG188" s="78"/>
      <c r="QUH188" s="78"/>
      <c r="QUI188" s="78"/>
      <c r="QUJ188" s="78"/>
      <c r="QUK188" s="78"/>
      <c r="QUL188" s="78"/>
      <c r="QUM188" s="78"/>
      <c r="QUN188" s="78"/>
      <c r="QUO188" s="78"/>
      <c r="QUP188" s="78"/>
      <c r="QUQ188" s="78"/>
      <c r="QUR188" s="78"/>
      <c r="QUS188" s="78"/>
      <c r="QUT188" s="78"/>
      <c r="QUU188" s="78"/>
      <c r="QUV188" s="78"/>
      <c r="QUW188" s="78"/>
      <c r="QUX188" s="78"/>
      <c r="QUY188" s="78"/>
      <c r="QUZ188" s="78"/>
      <c r="QVA188" s="78"/>
      <c r="QVB188" s="78"/>
      <c r="QVC188" s="78"/>
      <c r="QVD188" s="78"/>
      <c r="QVE188" s="78"/>
      <c r="QVF188" s="78"/>
      <c r="QVG188" s="78"/>
      <c r="QVH188" s="78"/>
      <c r="QVI188" s="78"/>
      <c r="QVJ188" s="78"/>
      <c r="QVK188" s="78"/>
      <c r="QVL188" s="78"/>
      <c r="QVM188" s="78"/>
      <c r="QVN188" s="78"/>
      <c r="QVO188" s="78"/>
      <c r="QVP188" s="78"/>
      <c r="QVQ188" s="78"/>
      <c r="QVR188" s="78"/>
      <c r="QVS188" s="78"/>
      <c r="QVT188" s="78"/>
      <c r="QVU188" s="78"/>
      <c r="QVV188" s="78"/>
      <c r="QVW188" s="78"/>
      <c r="QVX188" s="78"/>
      <c r="QVY188" s="78"/>
      <c r="QVZ188" s="78"/>
      <c r="QWA188" s="78"/>
      <c r="QWB188" s="78"/>
      <c r="QWC188" s="78"/>
      <c r="QWD188" s="78"/>
      <c r="QWE188" s="78"/>
      <c r="QWF188" s="78"/>
      <c r="QWG188" s="78"/>
      <c r="QWH188" s="78"/>
      <c r="QWI188" s="78"/>
      <c r="QWJ188" s="78"/>
      <c r="QWK188" s="78"/>
      <c r="QWL188" s="78"/>
      <c r="QWM188" s="78"/>
      <c r="QWN188" s="78"/>
      <c r="QWO188" s="78"/>
      <c r="QWP188" s="78"/>
      <c r="QWQ188" s="78"/>
      <c r="QWR188" s="78"/>
      <c r="QWS188" s="78"/>
      <c r="QWT188" s="78"/>
      <c r="QWU188" s="78"/>
      <c r="QWV188" s="78"/>
      <c r="QWW188" s="78"/>
      <c r="QWX188" s="78"/>
      <c r="QWY188" s="78"/>
      <c r="QWZ188" s="78"/>
      <c r="QXA188" s="78"/>
      <c r="QXB188" s="78"/>
      <c r="QXC188" s="78"/>
      <c r="QXD188" s="78"/>
      <c r="QXE188" s="78"/>
      <c r="QXF188" s="78"/>
      <c r="QXG188" s="78"/>
      <c r="QXH188" s="78"/>
      <c r="QXI188" s="78"/>
      <c r="QXJ188" s="78"/>
      <c r="QXK188" s="78"/>
      <c r="QXL188" s="78"/>
      <c r="QXM188" s="78"/>
      <c r="QXN188" s="78"/>
      <c r="QXO188" s="78"/>
      <c r="QXP188" s="78"/>
      <c r="QXQ188" s="78"/>
      <c r="QXR188" s="78"/>
      <c r="QXS188" s="78"/>
      <c r="QXT188" s="78"/>
      <c r="QXU188" s="78"/>
      <c r="QXV188" s="78"/>
      <c r="QXW188" s="78"/>
      <c r="QXX188" s="78"/>
      <c r="QXY188" s="78"/>
      <c r="QXZ188" s="78"/>
      <c r="QYA188" s="78"/>
      <c r="QYB188" s="78"/>
      <c r="QYC188" s="78"/>
      <c r="QYD188" s="78"/>
      <c r="QYE188" s="78"/>
      <c r="QYF188" s="78"/>
      <c r="QYG188" s="78"/>
      <c r="QYH188" s="78"/>
      <c r="QYI188" s="78"/>
      <c r="QYJ188" s="78"/>
      <c r="QYK188" s="78"/>
      <c r="QYL188" s="78"/>
      <c r="QYM188" s="78"/>
      <c r="QYN188" s="78"/>
      <c r="QYO188" s="78"/>
      <c r="QYP188" s="78"/>
      <c r="QYQ188" s="78"/>
      <c r="QYR188" s="78"/>
      <c r="QYS188" s="78"/>
      <c r="QYT188" s="78"/>
      <c r="QYU188" s="78"/>
      <c r="QYV188" s="78"/>
      <c r="QYW188" s="78"/>
      <c r="QYX188" s="78"/>
      <c r="QYY188" s="78"/>
      <c r="QYZ188" s="78"/>
      <c r="QZA188" s="78"/>
      <c r="QZB188" s="78"/>
      <c r="QZC188" s="78"/>
      <c r="QZD188" s="78"/>
      <c r="QZE188" s="78"/>
      <c r="QZF188" s="78"/>
      <c r="QZG188" s="78"/>
      <c r="QZH188" s="78"/>
      <c r="QZI188" s="78"/>
      <c r="QZJ188" s="78"/>
      <c r="QZK188" s="78"/>
      <c r="QZL188" s="78"/>
      <c r="QZM188" s="78"/>
      <c r="QZN188" s="78"/>
      <c r="QZO188" s="78"/>
      <c r="QZP188" s="78"/>
      <c r="QZQ188" s="78"/>
      <c r="QZR188" s="78"/>
      <c r="QZS188" s="78"/>
      <c r="QZT188" s="78"/>
      <c r="QZU188" s="78"/>
      <c r="QZV188" s="78"/>
      <c r="QZW188" s="78"/>
      <c r="QZX188" s="78"/>
      <c r="QZY188" s="78"/>
      <c r="QZZ188" s="78"/>
      <c r="RAA188" s="78"/>
      <c r="RAB188" s="78"/>
      <c r="RAC188" s="78"/>
      <c r="RAD188" s="78"/>
      <c r="RAE188" s="78"/>
      <c r="RAF188" s="78"/>
      <c r="RAG188" s="78"/>
      <c r="RAH188" s="78"/>
      <c r="RAI188" s="78"/>
      <c r="RAJ188" s="78"/>
      <c r="RAK188" s="78"/>
      <c r="RAL188" s="78"/>
      <c r="RAM188" s="78"/>
      <c r="RAN188" s="78"/>
      <c r="RAO188" s="78"/>
      <c r="RAP188" s="78"/>
      <c r="RAQ188" s="78"/>
      <c r="RAR188" s="78"/>
      <c r="RAS188" s="78"/>
      <c r="RAT188" s="78"/>
      <c r="RAU188" s="78"/>
      <c r="RAV188" s="78"/>
      <c r="RAW188" s="78"/>
      <c r="RAX188" s="78"/>
      <c r="RAY188" s="78"/>
      <c r="RAZ188" s="78"/>
      <c r="RBA188" s="78"/>
      <c r="RBB188" s="78"/>
      <c r="RBC188" s="78"/>
      <c r="RBD188" s="78"/>
      <c r="RBE188" s="78"/>
      <c r="RBF188" s="78"/>
      <c r="RBG188" s="78"/>
      <c r="RBH188" s="78"/>
      <c r="RBI188" s="78"/>
      <c r="RBJ188" s="78"/>
      <c r="RBK188" s="78"/>
      <c r="RBL188" s="78"/>
      <c r="RBM188" s="78"/>
      <c r="RBN188" s="78"/>
      <c r="RBO188" s="78"/>
      <c r="RBP188" s="78"/>
      <c r="RBQ188" s="78"/>
      <c r="RBR188" s="78"/>
      <c r="RBS188" s="78"/>
      <c r="RBT188" s="78"/>
      <c r="RBU188" s="78"/>
      <c r="RBV188" s="78"/>
      <c r="RBW188" s="78"/>
      <c r="RBX188" s="78"/>
      <c r="RBY188" s="78"/>
      <c r="RBZ188" s="78"/>
      <c r="RCA188" s="78"/>
      <c r="RCB188" s="78"/>
      <c r="RCC188" s="78"/>
      <c r="RCD188" s="78"/>
      <c r="RCE188" s="78"/>
      <c r="RCF188" s="78"/>
      <c r="RCG188" s="78"/>
      <c r="RCH188" s="78"/>
      <c r="RCI188" s="78"/>
      <c r="RCJ188" s="78"/>
      <c r="RCK188" s="78"/>
      <c r="RCL188" s="78"/>
      <c r="RCM188" s="78"/>
      <c r="RCN188" s="78"/>
      <c r="RCO188" s="78"/>
      <c r="RCP188" s="78"/>
      <c r="RCQ188" s="78"/>
      <c r="RCR188" s="78"/>
      <c r="RCS188" s="78"/>
      <c r="RCT188" s="78"/>
      <c r="RCU188" s="78"/>
      <c r="RCV188" s="78"/>
      <c r="RCW188" s="78"/>
      <c r="RCX188" s="78"/>
      <c r="RCY188" s="78"/>
      <c r="RCZ188" s="78"/>
      <c r="RDA188" s="78"/>
      <c r="RDB188" s="78"/>
      <c r="RDC188" s="78"/>
      <c r="RDD188" s="78"/>
      <c r="RDE188" s="78"/>
      <c r="RDF188" s="78"/>
      <c r="RDG188" s="78"/>
      <c r="RDH188" s="78"/>
      <c r="RDI188" s="78"/>
      <c r="RDJ188" s="78"/>
      <c r="RDK188" s="78"/>
      <c r="RDL188" s="78"/>
      <c r="RDM188" s="78"/>
      <c r="RDN188" s="78"/>
      <c r="RDO188" s="78"/>
      <c r="RDP188" s="78"/>
      <c r="RDQ188" s="78"/>
      <c r="RDR188" s="78"/>
      <c r="RDS188" s="78"/>
      <c r="RDT188" s="78"/>
      <c r="RDU188" s="78"/>
      <c r="RDV188" s="78"/>
      <c r="RDW188" s="78"/>
      <c r="RDX188" s="78"/>
      <c r="RDY188" s="78"/>
      <c r="RDZ188" s="78"/>
      <c r="REA188" s="78"/>
      <c r="REB188" s="78"/>
      <c r="REC188" s="78"/>
      <c r="RED188" s="78"/>
      <c r="REE188" s="78"/>
      <c r="REF188" s="78"/>
      <c r="REG188" s="78"/>
      <c r="REH188" s="78"/>
      <c r="REI188" s="78"/>
      <c r="REJ188" s="78"/>
      <c r="REK188" s="78"/>
      <c r="REL188" s="78"/>
      <c r="REM188" s="78"/>
      <c r="REN188" s="78"/>
      <c r="REO188" s="78"/>
      <c r="REP188" s="78"/>
      <c r="REQ188" s="78"/>
      <c r="RER188" s="78"/>
      <c r="RES188" s="78"/>
      <c r="RET188" s="78"/>
      <c r="REU188" s="78"/>
      <c r="REV188" s="78"/>
      <c r="REW188" s="78"/>
      <c r="REX188" s="78"/>
      <c r="REY188" s="78"/>
      <c r="REZ188" s="78"/>
      <c r="RFA188" s="78"/>
      <c r="RFB188" s="78"/>
      <c r="RFC188" s="78"/>
      <c r="RFD188" s="78"/>
      <c r="RFE188" s="78"/>
      <c r="RFF188" s="78"/>
      <c r="RFG188" s="78"/>
      <c r="RFH188" s="78"/>
      <c r="RFI188" s="78"/>
      <c r="RFJ188" s="78"/>
      <c r="RFK188" s="78"/>
      <c r="RFL188" s="78"/>
      <c r="RFM188" s="78"/>
      <c r="RFN188" s="78"/>
      <c r="RFO188" s="78"/>
      <c r="RFP188" s="78"/>
      <c r="RFQ188" s="78"/>
      <c r="RFR188" s="78"/>
      <c r="RFS188" s="78"/>
      <c r="RFT188" s="78"/>
      <c r="RFU188" s="78"/>
      <c r="RFV188" s="78"/>
      <c r="RFW188" s="78"/>
      <c r="RFX188" s="78"/>
      <c r="RFY188" s="78"/>
      <c r="RFZ188" s="78"/>
      <c r="RGA188" s="78"/>
      <c r="RGB188" s="78"/>
      <c r="RGC188" s="78"/>
      <c r="RGD188" s="78"/>
      <c r="RGE188" s="78"/>
      <c r="RGF188" s="78"/>
      <c r="RGG188" s="78"/>
      <c r="RGH188" s="78"/>
      <c r="RGI188" s="78"/>
      <c r="RGJ188" s="78"/>
      <c r="RGK188" s="78"/>
      <c r="RGL188" s="78"/>
      <c r="RGM188" s="78"/>
      <c r="RGN188" s="78"/>
      <c r="RGO188" s="78"/>
      <c r="RGP188" s="78"/>
      <c r="RGQ188" s="78"/>
      <c r="RGR188" s="78"/>
      <c r="RGS188" s="78"/>
      <c r="RGT188" s="78"/>
      <c r="RGU188" s="78"/>
      <c r="RGV188" s="78"/>
      <c r="RGW188" s="78"/>
      <c r="RGX188" s="78"/>
      <c r="RGY188" s="78"/>
      <c r="RGZ188" s="78"/>
      <c r="RHA188" s="78"/>
      <c r="RHB188" s="78"/>
      <c r="RHC188" s="78"/>
      <c r="RHD188" s="78"/>
      <c r="RHE188" s="78"/>
      <c r="RHF188" s="78"/>
      <c r="RHG188" s="78"/>
      <c r="RHH188" s="78"/>
      <c r="RHI188" s="78"/>
      <c r="RHJ188" s="78"/>
      <c r="RHK188" s="78"/>
      <c r="RHL188" s="78"/>
      <c r="RHM188" s="78"/>
      <c r="RHN188" s="78"/>
      <c r="RHO188" s="78"/>
      <c r="RHP188" s="78"/>
      <c r="RHQ188" s="78"/>
      <c r="RHR188" s="78"/>
      <c r="RHS188" s="78"/>
      <c r="RHT188" s="78"/>
      <c r="RHU188" s="78"/>
      <c r="RHV188" s="78"/>
      <c r="RHW188" s="78"/>
      <c r="RHX188" s="78"/>
      <c r="RHY188" s="78"/>
      <c r="RHZ188" s="78"/>
      <c r="RIA188" s="78"/>
      <c r="RIB188" s="78"/>
      <c r="RIC188" s="78"/>
      <c r="RID188" s="78"/>
      <c r="RIE188" s="78"/>
      <c r="RIF188" s="78"/>
      <c r="RIG188" s="78"/>
      <c r="RIH188" s="78"/>
      <c r="RII188" s="78"/>
      <c r="RIJ188" s="78"/>
      <c r="RIK188" s="78"/>
      <c r="RIL188" s="78"/>
      <c r="RIM188" s="78"/>
      <c r="RIN188" s="78"/>
      <c r="RIO188" s="78"/>
      <c r="RIP188" s="78"/>
      <c r="RIQ188" s="78"/>
      <c r="RIR188" s="78"/>
      <c r="RIS188" s="78"/>
      <c r="RIT188" s="78"/>
      <c r="RIU188" s="78"/>
      <c r="RIV188" s="78"/>
      <c r="RIW188" s="78"/>
      <c r="RIX188" s="78"/>
      <c r="RIY188" s="78"/>
      <c r="RIZ188" s="78"/>
      <c r="RJA188" s="78"/>
      <c r="RJB188" s="78"/>
      <c r="RJC188" s="78"/>
      <c r="RJD188" s="78"/>
      <c r="RJE188" s="78"/>
      <c r="RJF188" s="78"/>
      <c r="RJG188" s="78"/>
      <c r="RJH188" s="78"/>
      <c r="RJI188" s="78"/>
      <c r="RJJ188" s="78"/>
      <c r="RJK188" s="78"/>
      <c r="RJL188" s="78"/>
      <c r="RJM188" s="78"/>
      <c r="RJN188" s="78"/>
      <c r="RJO188" s="78"/>
      <c r="RJP188" s="78"/>
      <c r="RJQ188" s="78"/>
      <c r="RJR188" s="78"/>
      <c r="RJS188" s="78"/>
      <c r="RJT188" s="78"/>
      <c r="RJU188" s="78"/>
      <c r="RJV188" s="78"/>
      <c r="RJW188" s="78"/>
      <c r="RJX188" s="78"/>
      <c r="RJY188" s="78"/>
      <c r="RJZ188" s="78"/>
      <c r="RKA188" s="78"/>
      <c r="RKB188" s="78"/>
      <c r="RKC188" s="78"/>
      <c r="RKD188" s="78"/>
      <c r="RKE188" s="78"/>
      <c r="RKF188" s="78"/>
      <c r="RKG188" s="78"/>
      <c r="RKH188" s="78"/>
      <c r="RKI188" s="78"/>
      <c r="RKJ188" s="78"/>
      <c r="RKK188" s="78"/>
      <c r="RKL188" s="78"/>
      <c r="RKM188" s="78"/>
      <c r="RKN188" s="78"/>
      <c r="RKO188" s="78"/>
      <c r="RKP188" s="78"/>
      <c r="RKQ188" s="78"/>
      <c r="RKR188" s="78"/>
      <c r="RKS188" s="78"/>
      <c r="RKT188" s="78"/>
      <c r="RKU188" s="78"/>
      <c r="RKV188" s="78"/>
      <c r="RKW188" s="78"/>
      <c r="RKX188" s="78"/>
      <c r="RKY188" s="78"/>
      <c r="RKZ188" s="78"/>
      <c r="RLA188" s="78"/>
      <c r="RLB188" s="78"/>
      <c r="RLC188" s="78"/>
      <c r="RLD188" s="78"/>
      <c r="RLE188" s="78"/>
      <c r="RLF188" s="78"/>
      <c r="RLG188" s="78"/>
      <c r="RLH188" s="78"/>
      <c r="RLI188" s="78"/>
      <c r="RLJ188" s="78"/>
      <c r="RLK188" s="78"/>
      <c r="RLL188" s="78"/>
      <c r="RLM188" s="78"/>
      <c r="RLN188" s="78"/>
      <c r="RLO188" s="78"/>
      <c r="RLP188" s="78"/>
      <c r="RLQ188" s="78"/>
      <c r="RLR188" s="78"/>
      <c r="RLS188" s="78"/>
      <c r="RLT188" s="78"/>
      <c r="RLU188" s="78"/>
      <c r="RLV188" s="78"/>
      <c r="RLW188" s="78"/>
      <c r="RLX188" s="78"/>
      <c r="RLY188" s="78"/>
      <c r="RLZ188" s="78"/>
      <c r="RMA188" s="78"/>
      <c r="RMB188" s="78"/>
      <c r="RMC188" s="78"/>
      <c r="RMD188" s="78"/>
      <c r="RME188" s="78"/>
      <c r="RMF188" s="78"/>
      <c r="RMG188" s="78"/>
      <c r="RMH188" s="78"/>
      <c r="RMI188" s="78"/>
      <c r="RMJ188" s="78"/>
      <c r="RMK188" s="78"/>
      <c r="RML188" s="78"/>
      <c r="RMM188" s="78"/>
      <c r="RMN188" s="78"/>
      <c r="RMO188" s="78"/>
      <c r="RMP188" s="78"/>
      <c r="RMQ188" s="78"/>
      <c r="RMR188" s="78"/>
      <c r="RMS188" s="78"/>
      <c r="RMT188" s="78"/>
      <c r="RMU188" s="78"/>
      <c r="RMV188" s="78"/>
      <c r="RMW188" s="78"/>
      <c r="RMX188" s="78"/>
      <c r="RMY188" s="78"/>
      <c r="RMZ188" s="78"/>
      <c r="RNA188" s="78"/>
      <c r="RNB188" s="78"/>
      <c r="RNC188" s="78"/>
      <c r="RND188" s="78"/>
      <c r="RNE188" s="78"/>
      <c r="RNF188" s="78"/>
      <c r="RNG188" s="78"/>
      <c r="RNH188" s="78"/>
      <c r="RNI188" s="78"/>
      <c r="RNJ188" s="78"/>
      <c r="RNK188" s="78"/>
      <c r="RNL188" s="78"/>
      <c r="RNM188" s="78"/>
      <c r="RNN188" s="78"/>
      <c r="RNO188" s="78"/>
      <c r="RNP188" s="78"/>
      <c r="RNQ188" s="78"/>
      <c r="RNR188" s="78"/>
      <c r="RNS188" s="78"/>
      <c r="RNT188" s="78"/>
      <c r="RNU188" s="78"/>
      <c r="RNV188" s="78"/>
      <c r="RNW188" s="78"/>
      <c r="RNX188" s="78"/>
      <c r="RNY188" s="78"/>
      <c r="RNZ188" s="78"/>
      <c r="ROA188" s="78"/>
      <c r="ROB188" s="78"/>
      <c r="ROC188" s="78"/>
      <c r="ROD188" s="78"/>
      <c r="ROE188" s="78"/>
      <c r="ROF188" s="78"/>
      <c r="ROG188" s="78"/>
      <c r="ROH188" s="78"/>
      <c r="ROI188" s="78"/>
      <c r="ROJ188" s="78"/>
      <c r="ROK188" s="78"/>
      <c r="ROL188" s="78"/>
      <c r="ROM188" s="78"/>
      <c r="RON188" s="78"/>
      <c r="ROO188" s="78"/>
      <c r="ROP188" s="78"/>
      <c r="ROQ188" s="78"/>
      <c r="ROR188" s="78"/>
      <c r="ROS188" s="78"/>
      <c r="ROT188" s="78"/>
      <c r="ROU188" s="78"/>
      <c r="ROV188" s="78"/>
      <c r="ROW188" s="78"/>
      <c r="ROX188" s="78"/>
      <c r="ROY188" s="78"/>
      <c r="ROZ188" s="78"/>
      <c r="RPA188" s="78"/>
      <c r="RPB188" s="78"/>
      <c r="RPC188" s="78"/>
      <c r="RPD188" s="78"/>
      <c r="RPE188" s="78"/>
      <c r="RPF188" s="78"/>
      <c r="RPG188" s="78"/>
      <c r="RPH188" s="78"/>
      <c r="RPI188" s="78"/>
      <c r="RPJ188" s="78"/>
      <c r="RPK188" s="78"/>
      <c r="RPL188" s="78"/>
      <c r="RPM188" s="78"/>
      <c r="RPN188" s="78"/>
      <c r="RPO188" s="78"/>
      <c r="RPP188" s="78"/>
      <c r="RPQ188" s="78"/>
      <c r="RPR188" s="78"/>
      <c r="RPS188" s="78"/>
      <c r="RPT188" s="78"/>
      <c r="RPU188" s="78"/>
      <c r="RPV188" s="78"/>
      <c r="RPW188" s="78"/>
      <c r="RPX188" s="78"/>
      <c r="RPY188" s="78"/>
      <c r="RPZ188" s="78"/>
      <c r="RQA188" s="78"/>
      <c r="RQB188" s="78"/>
      <c r="RQC188" s="78"/>
      <c r="RQD188" s="78"/>
      <c r="RQE188" s="78"/>
      <c r="RQF188" s="78"/>
      <c r="RQG188" s="78"/>
      <c r="RQH188" s="78"/>
      <c r="RQI188" s="78"/>
      <c r="RQJ188" s="78"/>
      <c r="RQK188" s="78"/>
      <c r="RQL188" s="78"/>
      <c r="RQM188" s="78"/>
      <c r="RQN188" s="78"/>
      <c r="RQO188" s="78"/>
      <c r="RQP188" s="78"/>
      <c r="RQQ188" s="78"/>
      <c r="RQR188" s="78"/>
      <c r="RQS188" s="78"/>
      <c r="RQT188" s="78"/>
      <c r="RQU188" s="78"/>
      <c r="RQV188" s="78"/>
      <c r="RQW188" s="78"/>
      <c r="RQX188" s="78"/>
      <c r="RQY188" s="78"/>
      <c r="RQZ188" s="78"/>
      <c r="RRA188" s="78"/>
      <c r="RRB188" s="78"/>
      <c r="RRC188" s="78"/>
      <c r="RRD188" s="78"/>
      <c r="RRE188" s="78"/>
      <c r="RRF188" s="78"/>
      <c r="RRG188" s="78"/>
      <c r="RRH188" s="78"/>
      <c r="RRI188" s="78"/>
      <c r="RRJ188" s="78"/>
      <c r="RRK188" s="78"/>
      <c r="RRL188" s="78"/>
      <c r="RRM188" s="78"/>
      <c r="RRN188" s="78"/>
      <c r="RRO188" s="78"/>
      <c r="RRP188" s="78"/>
      <c r="RRQ188" s="78"/>
      <c r="RRR188" s="78"/>
      <c r="RRS188" s="78"/>
      <c r="RRT188" s="78"/>
      <c r="RRU188" s="78"/>
      <c r="RRV188" s="78"/>
      <c r="RRW188" s="78"/>
      <c r="RRX188" s="78"/>
      <c r="RRY188" s="78"/>
      <c r="RRZ188" s="78"/>
      <c r="RSA188" s="78"/>
      <c r="RSB188" s="78"/>
      <c r="RSC188" s="78"/>
      <c r="RSD188" s="78"/>
      <c r="RSE188" s="78"/>
      <c r="RSF188" s="78"/>
      <c r="RSG188" s="78"/>
      <c r="RSH188" s="78"/>
      <c r="RSI188" s="78"/>
      <c r="RSJ188" s="78"/>
      <c r="RSK188" s="78"/>
      <c r="RSL188" s="78"/>
      <c r="RSM188" s="78"/>
      <c r="RSN188" s="78"/>
      <c r="RSO188" s="78"/>
      <c r="RSP188" s="78"/>
      <c r="RSQ188" s="78"/>
      <c r="RSR188" s="78"/>
      <c r="RSS188" s="78"/>
      <c r="RST188" s="78"/>
      <c r="RSU188" s="78"/>
      <c r="RSV188" s="78"/>
      <c r="RSW188" s="78"/>
      <c r="RSX188" s="78"/>
      <c r="RSY188" s="78"/>
      <c r="RSZ188" s="78"/>
      <c r="RTA188" s="78"/>
      <c r="RTB188" s="78"/>
      <c r="RTC188" s="78"/>
      <c r="RTD188" s="78"/>
      <c r="RTE188" s="78"/>
      <c r="RTF188" s="78"/>
      <c r="RTG188" s="78"/>
      <c r="RTH188" s="78"/>
      <c r="RTI188" s="78"/>
      <c r="RTJ188" s="78"/>
      <c r="RTK188" s="78"/>
      <c r="RTL188" s="78"/>
      <c r="RTM188" s="78"/>
      <c r="RTN188" s="78"/>
      <c r="RTO188" s="78"/>
      <c r="RTP188" s="78"/>
      <c r="RTQ188" s="78"/>
      <c r="RTR188" s="78"/>
      <c r="RTS188" s="78"/>
      <c r="RTT188" s="78"/>
      <c r="RTU188" s="78"/>
      <c r="RTV188" s="78"/>
      <c r="RTW188" s="78"/>
      <c r="RTX188" s="78"/>
      <c r="RTY188" s="78"/>
      <c r="RTZ188" s="78"/>
      <c r="RUA188" s="78"/>
      <c r="RUB188" s="78"/>
      <c r="RUC188" s="78"/>
      <c r="RUD188" s="78"/>
      <c r="RUE188" s="78"/>
      <c r="RUF188" s="78"/>
      <c r="RUG188" s="78"/>
      <c r="RUH188" s="78"/>
      <c r="RUI188" s="78"/>
      <c r="RUJ188" s="78"/>
      <c r="RUK188" s="78"/>
      <c r="RUL188" s="78"/>
      <c r="RUM188" s="78"/>
      <c r="RUN188" s="78"/>
      <c r="RUO188" s="78"/>
      <c r="RUP188" s="78"/>
      <c r="RUQ188" s="78"/>
      <c r="RUR188" s="78"/>
      <c r="RUS188" s="78"/>
      <c r="RUT188" s="78"/>
      <c r="RUU188" s="78"/>
      <c r="RUV188" s="78"/>
      <c r="RUW188" s="78"/>
      <c r="RUX188" s="78"/>
      <c r="RUY188" s="78"/>
      <c r="RUZ188" s="78"/>
      <c r="RVA188" s="78"/>
      <c r="RVB188" s="78"/>
      <c r="RVC188" s="78"/>
      <c r="RVD188" s="78"/>
      <c r="RVE188" s="78"/>
      <c r="RVF188" s="78"/>
      <c r="RVG188" s="78"/>
      <c r="RVH188" s="78"/>
      <c r="RVI188" s="78"/>
      <c r="RVJ188" s="78"/>
      <c r="RVK188" s="78"/>
      <c r="RVL188" s="78"/>
      <c r="RVM188" s="78"/>
      <c r="RVN188" s="78"/>
      <c r="RVO188" s="78"/>
      <c r="RVP188" s="78"/>
      <c r="RVQ188" s="78"/>
      <c r="RVR188" s="78"/>
      <c r="RVS188" s="78"/>
      <c r="RVT188" s="78"/>
      <c r="RVU188" s="78"/>
      <c r="RVV188" s="78"/>
      <c r="RVW188" s="78"/>
      <c r="RVX188" s="78"/>
      <c r="RVY188" s="78"/>
      <c r="RVZ188" s="78"/>
      <c r="RWA188" s="78"/>
      <c r="RWB188" s="78"/>
      <c r="RWC188" s="78"/>
      <c r="RWD188" s="78"/>
      <c r="RWE188" s="78"/>
      <c r="RWF188" s="78"/>
      <c r="RWG188" s="78"/>
      <c r="RWH188" s="78"/>
      <c r="RWI188" s="78"/>
      <c r="RWJ188" s="78"/>
      <c r="RWK188" s="78"/>
      <c r="RWL188" s="78"/>
      <c r="RWM188" s="78"/>
      <c r="RWN188" s="78"/>
      <c r="RWO188" s="78"/>
      <c r="RWP188" s="78"/>
      <c r="RWQ188" s="78"/>
      <c r="RWR188" s="78"/>
      <c r="RWS188" s="78"/>
      <c r="RWT188" s="78"/>
      <c r="RWU188" s="78"/>
      <c r="RWV188" s="78"/>
      <c r="RWW188" s="78"/>
      <c r="RWX188" s="78"/>
      <c r="RWY188" s="78"/>
      <c r="RWZ188" s="78"/>
      <c r="RXA188" s="78"/>
      <c r="RXB188" s="78"/>
      <c r="RXC188" s="78"/>
      <c r="RXD188" s="78"/>
      <c r="RXE188" s="78"/>
      <c r="RXF188" s="78"/>
      <c r="RXG188" s="78"/>
      <c r="RXH188" s="78"/>
      <c r="RXI188" s="78"/>
      <c r="RXJ188" s="78"/>
      <c r="RXK188" s="78"/>
      <c r="RXL188" s="78"/>
      <c r="RXM188" s="78"/>
      <c r="RXN188" s="78"/>
      <c r="RXO188" s="78"/>
      <c r="RXP188" s="78"/>
      <c r="RXQ188" s="78"/>
      <c r="RXR188" s="78"/>
      <c r="RXS188" s="78"/>
      <c r="RXT188" s="78"/>
      <c r="RXU188" s="78"/>
      <c r="RXV188" s="78"/>
      <c r="RXW188" s="78"/>
      <c r="RXX188" s="78"/>
      <c r="RXY188" s="78"/>
      <c r="RXZ188" s="78"/>
      <c r="RYA188" s="78"/>
      <c r="RYB188" s="78"/>
      <c r="RYC188" s="78"/>
      <c r="RYD188" s="78"/>
      <c r="RYE188" s="78"/>
      <c r="RYF188" s="78"/>
      <c r="RYG188" s="78"/>
      <c r="RYH188" s="78"/>
      <c r="RYI188" s="78"/>
      <c r="RYJ188" s="78"/>
      <c r="RYK188" s="78"/>
      <c r="RYL188" s="78"/>
      <c r="RYM188" s="78"/>
      <c r="RYN188" s="78"/>
      <c r="RYO188" s="78"/>
      <c r="RYP188" s="78"/>
      <c r="RYQ188" s="78"/>
      <c r="RYR188" s="78"/>
      <c r="RYS188" s="78"/>
      <c r="RYT188" s="78"/>
      <c r="RYU188" s="78"/>
      <c r="RYV188" s="78"/>
      <c r="RYW188" s="78"/>
      <c r="RYX188" s="78"/>
      <c r="RYY188" s="78"/>
      <c r="RYZ188" s="78"/>
      <c r="RZA188" s="78"/>
      <c r="RZB188" s="78"/>
      <c r="RZC188" s="78"/>
      <c r="RZD188" s="78"/>
      <c r="RZE188" s="78"/>
      <c r="RZF188" s="78"/>
      <c r="RZG188" s="78"/>
      <c r="RZH188" s="78"/>
      <c r="RZI188" s="78"/>
      <c r="RZJ188" s="78"/>
      <c r="RZK188" s="78"/>
      <c r="RZL188" s="78"/>
      <c r="RZM188" s="78"/>
      <c r="RZN188" s="78"/>
      <c r="RZO188" s="78"/>
      <c r="RZP188" s="78"/>
      <c r="RZQ188" s="78"/>
      <c r="RZR188" s="78"/>
      <c r="RZS188" s="78"/>
      <c r="RZT188" s="78"/>
      <c r="RZU188" s="78"/>
      <c r="RZV188" s="78"/>
      <c r="RZW188" s="78"/>
      <c r="RZX188" s="78"/>
      <c r="RZY188" s="78"/>
      <c r="RZZ188" s="78"/>
      <c r="SAA188" s="78"/>
      <c r="SAB188" s="78"/>
      <c r="SAC188" s="78"/>
      <c r="SAD188" s="78"/>
      <c r="SAE188" s="78"/>
      <c r="SAF188" s="78"/>
      <c r="SAG188" s="78"/>
      <c r="SAH188" s="78"/>
      <c r="SAI188" s="78"/>
      <c r="SAJ188" s="78"/>
      <c r="SAK188" s="78"/>
      <c r="SAL188" s="78"/>
      <c r="SAM188" s="78"/>
      <c r="SAN188" s="78"/>
      <c r="SAO188" s="78"/>
      <c r="SAP188" s="78"/>
      <c r="SAQ188" s="78"/>
      <c r="SAR188" s="78"/>
      <c r="SAS188" s="78"/>
      <c r="SAT188" s="78"/>
      <c r="SAU188" s="78"/>
      <c r="SAV188" s="78"/>
      <c r="SAW188" s="78"/>
      <c r="SAX188" s="78"/>
      <c r="SAY188" s="78"/>
      <c r="SAZ188" s="78"/>
      <c r="SBA188" s="78"/>
      <c r="SBB188" s="78"/>
      <c r="SBC188" s="78"/>
      <c r="SBD188" s="78"/>
      <c r="SBE188" s="78"/>
      <c r="SBF188" s="78"/>
      <c r="SBG188" s="78"/>
      <c r="SBH188" s="78"/>
      <c r="SBI188" s="78"/>
      <c r="SBJ188" s="78"/>
      <c r="SBK188" s="78"/>
      <c r="SBL188" s="78"/>
      <c r="SBM188" s="78"/>
      <c r="SBN188" s="78"/>
      <c r="SBO188" s="78"/>
      <c r="SBP188" s="78"/>
      <c r="SBQ188" s="78"/>
      <c r="SBR188" s="78"/>
      <c r="SBS188" s="78"/>
      <c r="SBT188" s="78"/>
      <c r="SBU188" s="78"/>
      <c r="SBV188" s="78"/>
      <c r="SBW188" s="78"/>
      <c r="SBX188" s="78"/>
      <c r="SBY188" s="78"/>
      <c r="SBZ188" s="78"/>
      <c r="SCA188" s="78"/>
      <c r="SCB188" s="78"/>
      <c r="SCC188" s="78"/>
      <c r="SCD188" s="78"/>
      <c r="SCE188" s="78"/>
      <c r="SCF188" s="78"/>
      <c r="SCG188" s="78"/>
      <c r="SCH188" s="78"/>
      <c r="SCI188" s="78"/>
      <c r="SCJ188" s="78"/>
      <c r="SCK188" s="78"/>
      <c r="SCL188" s="78"/>
      <c r="SCM188" s="78"/>
      <c r="SCN188" s="78"/>
      <c r="SCO188" s="78"/>
      <c r="SCP188" s="78"/>
      <c r="SCQ188" s="78"/>
      <c r="SCR188" s="78"/>
      <c r="SCS188" s="78"/>
      <c r="SCT188" s="78"/>
      <c r="SCU188" s="78"/>
      <c r="SCV188" s="78"/>
      <c r="SCW188" s="78"/>
      <c r="SCX188" s="78"/>
      <c r="SCY188" s="78"/>
      <c r="SCZ188" s="78"/>
      <c r="SDA188" s="78"/>
      <c r="SDB188" s="78"/>
      <c r="SDC188" s="78"/>
      <c r="SDD188" s="78"/>
      <c r="SDE188" s="78"/>
      <c r="SDF188" s="78"/>
      <c r="SDG188" s="78"/>
      <c r="SDH188" s="78"/>
      <c r="SDI188" s="78"/>
      <c r="SDJ188" s="78"/>
      <c r="SDK188" s="78"/>
      <c r="SDL188" s="78"/>
      <c r="SDM188" s="78"/>
      <c r="SDN188" s="78"/>
      <c r="SDO188" s="78"/>
      <c r="SDP188" s="78"/>
      <c r="SDQ188" s="78"/>
      <c r="SDR188" s="78"/>
      <c r="SDS188" s="78"/>
      <c r="SDT188" s="78"/>
      <c r="SDU188" s="78"/>
      <c r="SDV188" s="78"/>
      <c r="SDW188" s="78"/>
      <c r="SDX188" s="78"/>
      <c r="SDY188" s="78"/>
      <c r="SDZ188" s="78"/>
      <c r="SEA188" s="78"/>
      <c r="SEB188" s="78"/>
      <c r="SEC188" s="78"/>
      <c r="SED188" s="78"/>
      <c r="SEE188" s="78"/>
      <c r="SEF188" s="78"/>
      <c r="SEG188" s="78"/>
      <c r="SEH188" s="78"/>
      <c r="SEI188" s="78"/>
      <c r="SEJ188" s="78"/>
      <c r="SEK188" s="78"/>
      <c r="SEL188" s="78"/>
      <c r="SEM188" s="78"/>
      <c r="SEN188" s="78"/>
      <c r="SEO188" s="78"/>
      <c r="SEP188" s="78"/>
      <c r="SEQ188" s="78"/>
      <c r="SER188" s="78"/>
      <c r="SES188" s="78"/>
      <c r="SET188" s="78"/>
      <c r="SEU188" s="78"/>
      <c r="SEV188" s="78"/>
      <c r="SEW188" s="78"/>
      <c r="SEX188" s="78"/>
      <c r="SEY188" s="78"/>
      <c r="SEZ188" s="78"/>
      <c r="SFA188" s="78"/>
      <c r="SFB188" s="78"/>
      <c r="SFC188" s="78"/>
      <c r="SFD188" s="78"/>
      <c r="SFE188" s="78"/>
      <c r="SFF188" s="78"/>
      <c r="SFG188" s="78"/>
      <c r="SFH188" s="78"/>
      <c r="SFI188" s="78"/>
      <c r="SFJ188" s="78"/>
      <c r="SFK188" s="78"/>
      <c r="SFL188" s="78"/>
      <c r="SFM188" s="78"/>
      <c r="SFN188" s="78"/>
      <c r="SFO188" s="78"/>
      <c r="SFP188" s="78"/>
      <c r="SFQ188" s="78"/>
      <c r="SFR188" s="78"/>
      <c r="SFS188" s="78"/>
      <c r="SFT188" s="78"/>
      <c r="SFU188" s="78"/>
      <c r="SFV188" s="78"/>
      <c r="SFW188" s="78"/>
      <c r="SFX188" s="78"/>
      <c r="SFY188" s="78"/>
      <c r="SFZ188" s="78"/>
      <c r="SGA188" s="78"/>
      <c r="SGB188" s="78"/>
      <c r="SGC188" s="78"/>
      <c r="SGD188" s="78"/>
      <c r="SGE188" s="78"/>
      <c r="SGF188" s="78"/>
      <c r="SGG188" s="78"/>
      <c r="SGH188" s="78"/>
      <c r="SGI188" s="78"/>
      <c r="SGJ188" s="78"/>
      <c r="SGK188" s="78"/>
      <c r="SGL188" s="78"/>
      <c r="SGM188" s="78"/>
      <c r="SGN188" s="78"/>
      <c r="SGO188" s="78"/>
      <c r="SGP188" s="78"/>
      <c r="SGQ188" s="78"/>
      <c r="SGR188" s="78"/>
      <c r="SGS188" s="78"/>
      <c r="SGT188" s="78"/>
      <c r="SGU188" s="78"/>
      <c r="SGV188" s="78"/>
      <c r="SGW188" s="78"/>
      <c r="SGX188" s="78"/>
      <c r="SGY188" s="78"/>
      <c r="SGZ188" s="78"/>
      <c r="SHA188" s="78"/>
      <c r="SHB188" s="78"/>
      <c r="SHC188" s="78"/>
      <c r="SHD188" s="78"/>
      <c r="SHE188" s="78"/>
      <c r="SHF188" s="78"/>
      <c r="SHG188" s="78"/>
      <c r="SHH188" s="78"/>
      <c r="SHI188" s="78"/>
      <c r="SHJ188" s="78"/>
      <c r="SHK188" s="78"/>
      <c r="SHL188" s="78"/>
      <c r="SHM188" s="78"/>
      <c r="SHN188" s="78"/>
      <c r="SHO188" s="78"/>
      <c r="SHP188" s="78"/>
      <c r="SHQ188" s="78"/>
      <c r="SHR188" s="78"/>
      <c r="SHS188" s="78"/>
      <c r="SHT188" s="78"/>
      <c r="SHU188" s="78"/>
      <c r="SHV188" s="78"/>
      <c r="SHW188" s="78"/>
      <c r="SHX188" s="78"/>
      <c r="SHY188" s="78"/>
      <c r="SHZ188" s="78"/>
      <c r="SIA188" s="78"/>
      <c r="SIB188" s="78"/>
      <c r="SIC188" s="78"/>
      <c r="SID188" s="78"/>
      <c r="SIE188" s="78"/>
      <c r="SIF188" s="78"/>
      <c r="SIG188" s="78"/>
      <c r="SIH188" s="78"/>
      <c r="SII188" s="78"/>
      <c r="SIJ188" s="78"/>
      <c r="SIK188" s="78"/>
      <c r="SIL188" s="78"/>
      <c r="SIM188" s="78"/>
      <c r="SIN188" s="78"/>
      <c r="SIO188" s="78"/>
      <c r="SIP188" s="78"/>
      <c r="SIQ188" s="78"/>
      <c r="SIR188" s="78"/>
      <c r="SIS188" s="78"/>
      <c r="SIT188" s="78"/>
      <c r="SIU188" s="78"/>
      <c r="SIV188" s="78"/>
      <c r="SIW188" s="78"/>
      <c r="SIX188" s="78"/>
      <c r="SIY188" s="78"/>
      <c r="SIZ188" s="78"/>
      <c r="SJA188" s="78"/>
      <c r="SJB188" s="78"/>
      <c r="SJC188" s="78"/>
      <c r="SJD188" s="78"/>
      <c r="SJE188" s="78"/>
      <c r="SJF188" s="78"/>
      <c r="SJG188" s="78"/>
      <c r="SJH188" s="78"/>
      <c r="SJI188" s="78"/>
      <c r="SJJ188" s="78"/>
      <c r="SJK188" s="78"/>
      <c r="SJL188" s="78"/>
      <c r="SJM188" s="78"/>
      <c r="SJN188" s="78"/>
      <c r="SJO188" s="78"/>
      <c r="SJP188" s="78"/>
      <c r="SJQ188" s="78"/>
      <c r="SJR188" s="78"/>
      <c r="SJS188" s="78"/>
      <c r="SJT188" s="78"/>
      <c r="SJU188" s="78"/>
      <c r="SJV188" s="78"/>
      <c r="SJW188" s="78"/>
      <c r="SJX188" s="78"/>
      <c r="SJY188" s="78"/>
      <c r="SJZ188" s="78"/>
      <c r="SKA188" s="78"/>
      <c r="SKB188" s="78"/>
      <c r="SKC188" s="78"/>
      <c r="SKD188" s="78"/>
      <c r="SKE188" s="78"/>
      <c r="SKF188" s="78"/>
      <c r="SKG188" s="78"/>
      <c r="SKH188" s="78"/>
      <c r="SKI188" s="78"/>
      <c r="SKJ188" s="78"/>
      <c r="SKK188" s="78"/>
      <c r="SKL188" s="78"/>
      <c r="SKM188" s="78"/>
      <c r="SKN188" s="78"/>
      <c r="SKO188" s="78"/>
      <c r="SKP188" s="78"/>
      <c r="SKQ188" s="78"/>
      <c r="SKR188" s="78"/>
      <c r="SKS188" s="78"/>
      <c r="SKT188" s="78"/>
      <c r="SKU188" s="78"/>
      <c r="SKV188" s="78"/>
      <c r="SKW188" s="78"/>
      <c r="SKX188" s="78"/>
      <c r="SKY188" s="78"/>
      <c r="SKZ188" s="78"/>
      <c r="SLA188" s="78"/>
      <c r="SLB188" s="78"/>
      <c r="SLC188" s="78"/>
      <c r="SLD188" s="78"/>
      <c r="SLE188" s="78"/>
      <c r="SLF188" s="78"/>
      <c r="SLG188" s="78"/>
      <c r="SLH188" s="78"/>
      <c r="SLI188" s="78"/>
      <c r="SLJ188" s="78"/>
      <c r="SLK188" s="78"/>
      <c r="SLL188" s="78"/>
      <c r="SLM188" s="78"/>
      <c r="SLN188" s="78"/>
      <c r="SLO188" s="78"/>
      <c r="SLP188" s="78"/>
      <c r="SLQ188" s="78"/>
      <c r="SLR188" s="78"/>
      <c r="SLS188" s="78"/>
      <c r="SLT188" s="78"/>
      <c r="SLU188" s="78"/>
      <c r="SLV188" s="78"/>
      <c r="SLW188" s="78"/>
      <c r="SLX188" s="78"/>
      <c r="SLY188" s="78"/>
      <c r="SLZ188" s="78"/>
      <c r="SMA188" s="78"/>
      <c r="SMB188" s="78"/>
      <c r="SMC188" s="78"/>
      <c r="SMD188" s="78"/>
      <c r="SME188" s="78"/>
      <c r="SMF188" s="78"/>
      <c r="SMG188" s="78"/>
      <c r="SMH188" s="78"/>
      <c r="SMI188" s="78"/>
      <c r="SMJ188" s="78"/>
      <c r="SMK188" s="78"/>
      <c r="SML188" s="78"/>
      <c r="SMM188" s="78"/>
      <c r="SMN188" s="78"/>
      <c r="SMO188" s="78"/>
      <c r="SMP188" s="78"/>
      <c r="SMQ188" s="78"/>
      <c r="SMR188" s="78"/>
      <c r="SMS188" s="78"/>
      <c r="SMT188" s="78"/>
      <c r="SMU188" s="78"/>
      <c r="SMV188" s="78"/>
      <c r="SMW188" s="78"/>
      <c r="SMX188" s="78"/>
      <c r="SMY188" s="78"/>
      <c r="SMZ188" s="78"/>
      <c r="SNA188" s="78"/>
      <c r="SNB188" s="78"/>
      <c r="SNC188" s="78"/>
      <c r="SND188" s="78"/>
      <c r="SNE188" s="78"/>
      <c r="SNF188" s="78"/>
      <c r="SNG188" s="78"/>
      <c r="SNH188" s="78"/>
      <c r="SNI188" s="78"/>
      <c r="SNJ188" s="78"/>
      <c r="SNK188" s="78"/>
      <c r="SNL188" s="78"/>
      <c r="SNM188" s="78"/>
      <c r="SNN188" s="78"/>
      <c r="SNO188" s="78"/>
      <c r="SNP188" s="78"/>
      <c r="SNQ188" s="78"/>
      <c r="SNR188" s="78"/>
      <c r="SNS188" s="78"/>
      <c r="SNT188" s="78"/>
      <c r="SNU188" s="78"/>
      <c r="SNV188" s="78"/>
      <c r="SNW188" s="78"/>
      <c r="SNX188" s="78"/>
      <c r="SNY188" s="78"/>
      <c r="SNZ188" s="78"/>
      <c r="SOA188" s="78"/>
      <c r="SOB188" s="78"/>
      <c r="SOC188" s="78"/>
      <c r="SOD188" s="78"/>
      <c r="SOE188" s="78"/>
      <c r="SOF188" s="78"/>
      <c r="SOG188" s="78"/>
      <c r="SOH188" s="78"/>
      <c r="SOI188" s="78"/>
      <c r="SOJ188" s="78"/>
      <c r="SOK188" s="78"/>
      <c r="SOL188" s="78"/>
      <c r="SOM188" s="78"/>
      <c r="SON188" s="78"/>
      <c r="SOO188" s="78"/>
      <c r="SOP188" s="78"/>
      <c r="SOQ188" s="78"/>
      <c r="SOR188" s="78"/>
      <c r="SOS188" s="78"/>
      <c r="SOT188" s="78"/>
      <c r="SOU188" s="78"/>
      <c r="SOV188" s="78"/>
      <c r="SOW188" s="78"/>
      <c r="SOX188" s="78"/>
      <c r="SOY188" s="78"/>
      <c r="SOZ188" s="78"/>
      <c r="SPA188" s="78"/>
      <c r="SPB188" s="78"/>
      <c r="SPC188" s="78"/>
      <c r="SPD188" s="78"/>
      <c r="SPE188" s="78"/>
      <c r="SPF188" s="78"/>
      <c r="SPG188" s="78"/>
      <c r="SPH188" s="78"/>
      <c r="SPI188" s="78"/>
      <c r="SPJ188" s="78"/>
      <c r="SPK188" s="78"/>
      <c r="SPL188" s="78"/>
      <c r="SPM188" s="78"/>
      <c r="SPN188" s="78"/>
      <c r="SPO188" s="78"/>
      <c r="SPP188" s="78"/>
      <c r="SPQ188" s="78"/>
      <c r="SPR188" s="78"/>
      <c r="SPS188" s="78"/>
      <c r="SPT188" s="78"/>
      <c r="SPU188" s="78"/>
      <c r="SPV188" s="78"/>
      <c r="SPW188" s="78"/>
      <c r="SPX188" s="78"/>
      <c r="SPY188" s="78"/>
      <c r="SPZ188" s="78"/>
      <c r="SQA188" s="78"/>
      <c r="SQB188" s="78"/>
      <c r="SQC188" s="78"/>
      <c r="SQD188" s="78"/>
      <c r="SQE188" s="78"/>
      <c r="SQF188" s="78"/>
      <c r="SQG188" s="78"/>
      <c r="SQH188" s="78"/>
      <c r="SQI188" s="78"/>
      <c r="SQJ188" s="78"/>
      <c r="SQK188" s="78"/>
      <c r="SQL188" s="78"/>
      <c r="SQM188" s="78"/>
      <c r="SQN188" s="78"/>
      <c r="SQO188" s="78"/>
      <c r="SQP188" s="78"/>
      <c r="SQQ188" s="78"/>
      <c r="SQR188" s="78"/>
      <c r="SQS188" s="78"/>
      <c r="SQT188" s="78"/>
      <c r="SQU188" s="78"/>
      <c r="SQV188" s="78"/>
      <c r="SQW188" s="78"/>
      <c r="SQX188" s="78"/>
      <c r="SQY188" s="78"/>
      <c r="SQZ188" s="78"/>
      <c r="SRA188" s="78"/>
      <c r="SRB188" s="78"/>
      <c r="SRC188" s="78"/>
      <c r="SRD188" s="78"/>
      <c r="SRE188" s="78"/>
      <c r="SRF188" s="78"/>
      <c r="SRG188" s="78"/>
      <c r="SRH188" s="78"/>
      <c r="SRI188" s="78"/>
      <c r="SRJ188" s="78"/>
      <c r="SRK188" s="78"/>
      <c r="SRL188" s="78"/>
      <c r="SRM188" s="78"/>
      <c r="SRN188" s="78"/>
      <c r="SRO188" s="78"/>
      <c r="SRP188" s="78"/>
      <c r="SRQ188" s="78"/>
      <c r="SRR188" s="78"/>
      <c r="SRS188" s="78"/>
      <c r="SRT188" s="78"/>
      <c r="SRU188" s="78"/>
      <c r="SRV188" s="78"/>
      <c r="SRW188" s="78"/>
      <c r="SRX188" s="78"/>
      <c r="SRY188" s="78"/>
      <c r="SRZ188" s="78"/>
      <c r="SSA188" s="78"/>
      <c r="SSB188" s="78"/>
      <c r="SSC188" s="78"/>
      <c r="SSD188" s="78"/>
      <c r="SSE188" s="78"/>
      <c r="SSF188" s="78"/>
      <c r="SSG188" s="78"/>
      <c r="SSH188" s="78"/>
      <c r="SSI188" s="78"/>
      <c r="SSJ188" s="78"/>
      <c r="SSK188" s="78"/>
      <c r="SSL188" s="78"/>
      <c r="SSM188" s="78"/>
      <c r="SSN188" s="78"/>
      <c r="SSO188" s="78"/>
      <c r="SSP188" s="78"/>
      <c r="SSQ188" s="78"/>
      <c r="SSR188" s="78"/>
      <c r="SSS188" s="78"/>
      <c r="SST188" s="78"/>
      <c r="SSU188" s="78"/>
      <c r="SSV188" s="78"/>
      <c r="SSW188" s="78"/>
      <c r="SSX188" s="78"/>
      <c r="SSY188" s="78"/>
      <c r="SSZ188" s="78"/>
      <c r="STA188" s="78"/>
      <c r="STB188" s="78"/>
      <c r="STC188" s="78"/>
      <c r="STD188" s="78"/>
      <c r="STE188" s="78"/>
      <c r="STF188" s="78"/>
      <c r="STG188" s="78"/>
      <c r="STH188" s="78"/>
      <c r="STI188" s="78"/>
      <c r="STJ188" s="78"/>
      <c r="STK188" s="78"/>
      <c r="STL188" s="78"/>
      <c r="STM188" s="78"/>
      <c r="STN188" s="78"/>
      <c r="STO188" s="78"/>
      <c r="STP188" s="78"/>
      <c r="STQ188" s="78"/>
      <c r="STR188" s="78"/>
      <c r="STS188" s="78"/>
      <c r="STT188" s="78"/>
      <c r="STU188" s="78"/>
      <c r="STV188" s="78"/>
      <c r="STW188" s="78"/>
      <c r="STX188" s="78"/>
      <c r="STY188" s="78"/>
      <c r="STZ188" s="78"/>
      <c r="SUA188" s="78"/>
      <c r="SUB188" s="78"/>
      <c r="SUC188" s="78"/>
      <c r="SUD188" s="78"/>
      <c r="SUE188" s="78"/>
      <c r="SUF188" s="78"/>
      <c r="SUG188" s="78"/>
      <c r="SUH188" s="78"/>
      <c r="SUI188" s="78"/>
      <c r="SUJ188" s="78"/>
      <c r="SUK188" s="78"/>
      <c r="SUL188" s="78"/>
      <c r="SUM188" s="78"/>
      <c r="SUN188" s="78"/>
      <c r="SUO188" s="78"/>
      <c r="SUP188" s="78"/>
      <c r="SUQ188" s="78"/>
      <c r="SUR188" s="78"/>
      <c r="SUS188" s="78"/>
      <c r="SUT188" s="78"/>
      <c r="SUU188" s="78"/>
      <c r="SUV188" s="78"/>
      <c r="SUW188" s="78"/>
      <c r="SUX188" s="78"/>
      <c r="SUY188" s="78"/>
      <c r="SUZ188" s="78"/>
      <c r="SVA188" s="78"/>
      <c r="SVB188" s="78"/>
      <c r="SVC188" s="78"/>
      <c r="SVD188" s="78"/>
      <c r="SVE188" s="78"/>
      <c r="SVF188" s="78"/>
      <c r="SVG188" s="78"/>
      <c r="SVH188" s="78"/>
      <c r="SVI188" s="78"/>
      <c r="SVJ188" s="78"/>
      <c r="SVK188" s="78"/>
      <c r="SVL188" s="78"/>
      <c r="SVM188" s="78"/>
      <c r="SVN188" s="78"/>
      <c r="SVO188" s="78"/>
      <c r="SVP188" s="78"/>
      <c r="SVQ188" s="78"/>
      <c r="SVR188" s="78"/>
      <c r="SVS188" s="78"/>
      <c r="SVT188" s="78"/>
      <c r="SVU188" s="78"/>
      <c r="SVV188" s="78"/>
      <c r="SVW188" s="78"/>
      <c r="SVX188" s="78"/>
      <c r="SVY188" s="78"/>
      <c r="SVZ188" s="78"/>
      <c r="SWA188" s="78"/>
      <c r="SWB188" s="78"/>
      <c r="SWC188" s="78"/>
      <c r="SWD188" s="78"/>
      <c r="SWE188" s="78"/>
      <c r="SWF188" s="78"/>
      <c r="SWG188" s="78"/>
      <c r="SWH188" s="78"/>
      <c r="SWI188" s="78"/>
      <c r="SWJ188" s="78"/>
      <c r="SWK188" s="78"/>
      <c r="SWL188" s="78"/>
      <c r="SWM188" s="78"/>
      <c r="SWN188" s="78"/>
      <c r="SWO188" s="78"/>
      <c r="SWP188" s="78"/>
      <c r="SWQ188" s="78"/>
      <c r="SWR188" s="78"/>
      <c r="SWS188" s="78"/>
      <c r="SWT188" s="78"/>
      <c r="SWU188" s="78"/>
      <c r="SWV188" s="78"/>
      <c r="SWW188" s="78"/>
      <c r="SWX188" s="78"/>
      <c r="SWY188" s="78"/>
      <c r="SWZ188" s="78"/>
      <c r="SXA188" s="78"/>
      <c r="SXB188" s="78"/>
      <c r="SXC188" s="78"/>
      <c r="SXD188" s="78"/>
      <c r="SXE188" s="78"/>
      <c r="SXF188" s="78"/>
      <c r="SXG188" s="78"/>
      <c r="SXH188" s="78"/>
      <c r="SXI188" s="78"/>
      <c r="SXJ188" s="78"/>
      <c r="SXK188" s="78"/>
      <c r="SXL188" s="78"/>
      <c r="SXM188" s="78"/>
      <c r="SXN188" s="78"/>
      <c r="SXO188" s="78"/>
      <c r="SXP188" s="78"/>
      <c r="SXQ188" s="78"/>
      <c r="SXR188" s="78"/>
      <c r="SXS188" s="78"/>
      <c r="SXT188" s="78"/>
      <c r="SXU188" s="78"/>
      <c r="SXV188" s="78"/>
      <c r="SXW188" s="78"/>
      <c r="SXX188" s="78"/>
      <c r="SXY188" s="78"/>
      <c r="SXZ188" s="78"/>
      <c r="SYA188" s="78"/>
      <c r="SYB188" s="78"/>
      <c r="SYC188" s="78"/>
      <c r="SYD188" s="78"/>
      <c r="SYE188" s="78"/>
      <c r="SYF188" s="78"/>
      <c r="SYG188" s="78"/>
      <c r="SYH188" s="78"/>
      <c r="SYI188" s="78"/>
      <c r="SYJ188" s="78"/>
      <c r="SYK188" s="78"/>
      <c r="SYL188" s="78"/>
      <c r="SYM188" s="78"/>
      <c r="SYN188" s="78"/>
      <c r="SYO188" s="78"/>
      <c r="SYP188" s="78"/>
      <c r="SYQ188" s="78"/>
      <c r="SYR188" s="78"/>
      <c r="SYS188" s="78"/>
      <c r="SYT188" s="78"/>
      <c r="SYU188" s="78"/>
      <c r="SYV188" s="78"/>
      <c r="SYW188" s="78"/>
      <c r="SYX188" s="78"/>
      <c r="SYY188" s="78"/>
      <c r="SYZ188" s="78"/>
      <c r="SZA188" s="78"/>
      <c r="SZB188" s="78"/>
      <c r="SZC188" s="78"/>
      <c r="SZD188" s="78"/>
      <c r="SZE188" s="78"/>
      <c r="SZF188" s="78"/>
      <c r="SZG188" s="78"/>
      <c r="SZH188" s="78"/>
      <c r="SZI188" s="78"/>
      <c r="SZJ188" s="78"/>
      <c r="SZK188" s="78"/>
      <c r="SZL188" s="78"/>
      <c r="SZM188" s="78"/>
      <c r="SZN188" s="78"/>
      <c r="SZO188" s="78"/>
      <c r="SZP188" s="78"/>
      <c r="SZQ188" s="78"/>
      <c r="SZR188" s="78"/>
      <c r="SZS188" s="78"/>
      <c r="SZT188" s="78"/>
      <c r="SZU188" s="78"/>
      <c r="SZV188" s="78"/>
      <c r="SZW188" s="78"/>
      <c r="SZX188" s="78"/>
      <c r="SZY188" s="78"/>
      <c r="SZZ188" s="78"/>
      <c r="TAA188" s="78"/>
      <c r="TAB188" s="78"/>
      <c r="TAC188" s="78"/>
      <c r="TAD188" s="78"/>
      <c r="TAE188" s="78"/>
      <c r="TAF188" s="78"/>
      <c r="TAG188" s="78"/>
      <c r="TAH188" s="78"/>
      <c r="TAI188" s="78"/>
      <c r="TAJ188" s="78"/>
      <c r="TAK188" s="78"/>
      <c r="TAL188" s="78"/>
      <c r="TAM188" s="78"/>
      <c r="TAN188" s="78"/>
      <c r="TAO188" s="78"/>
      <c r="TAP188" s="78"/>
      <c r="TAQ188" s="78"/>
      <c r="TAR188" s="78"/>
      <c r="TAS188" s="78"/>
      <c r="TAT188" s="78"/>
      <c r="TAU188" s="78"/>
      <c r="TAV188" s="78"/>
      <c r="TAW188" s="78"/>
      <c r="TAX188" s="78"/>
      <c r="TAY188" s="78"/>
      <c r="TAZ188" s="78"/>
      <c r="TBA188" s="78"/>
      <c r="TBB188" s="78"/>
      <c r="TBC188" s="78"/>
      <c r="TBD188" s="78"/>
      <c r="TBE188" s="78"/>
      <c r="TBF188" s="78"/>
      <c r="TBG188" s="78"/>
      <c r="TBH188" s="78"/>
      <c r="TBI188" s="78"/>
      <c r="TBJ188" s="78"/>
      <c r="TBK188" s="78"/>
      <c r="TBL188" s="78"/>
      <c r="TBM188" s="78"/>
      <c r="TBN188" s="78"/>
      <c r="TBO188" s="78"/>
      <c r="TBP188" s="78"/>
      <c r="TBQ188" s="78"/>
      <c r="TBR188" s="78"/>
      <c r="TBS188" s="78"/>
      <c r="TBT188" s="78"/>
      <c r="TBU188" s="78"/>
      <c r="TBV188" s="78"/>
      <c r="TBW188" s="78"/>
      <c r="TBX188" s="78"/>
      <c r="TBY188" s="78"/>
      <c r="TBZ188" s="78"/>
      <c r="TCA188" s="78"/>
      <c r="TCB188" s="78"/>
      <c r="TCC188" s="78"/>
      <c r="TCD188" s="78"/>
      <c r="TCE188" s="78"/>
      <c r="TCF188" s="78"/>
      <c r="TCG188" s="78"/>
      <c r="TCH188" s="78"/>
      <c r="TCI188" s="78"/>
      <c r="TCJ188" s="78"/>
      <c r="TCK188" s="78"/>
      <c r="TCL188" s="78"/>
      <c r="TCM188" s="78"/>
      <c r="TCN188" s="78"/>
      <c r="TCO188" s="78"/>
      <c r="TCP188" s="78"/>
      <c r="TCQ188" s="78"/>
      <c r="TCR188" s="78"/>
      <c r="TCS188" s="78"/>
      <c r="TCT188" s="78"/>
      <c r="TCU188" s="78"/>
      <c r="TCV188" s="78"/>
      <c r="TCW188" s="78"/>
      <c r="TCX188" s="78"/>
      <c r="TCY188" s="78"/>
      <c r="TCZ188" s="78"/>
      <c r="TDA188" s="78"/>
      <c r="TDB188" s="78"/>
      <c r="TDC188" s="78"/>
      <c r="TDD188" s="78"/>
      <c r="TDE188" s="78"/>
      <c r="TDF188" s="78"/>
      <c r="TDG188" s="78"/>
      <c r="TDH188" s="78"/>
      <c r="TDI188" s="78"/>
      <c r="TDJ188" s="78"/>
      <c r="TDK188" s="78"/>
      <c r="TDL188" s="78"/>
      <c r="TDM188" s="78"/>
      <c r="TDN188" s="78"/>
      <c r="TDO188" s="78"/>
      <c r="TDP188" s="78"/>
      <c r="TDQ188" s="78"/>
      <c r="TDR188" s="78"/>
      <c r="TDS188" s="78"/>
      <c r="TDT188" s="78"/>
      <c r="TDU188" s="78"/>
      <c r="TDV188" s="78"/>
      <c r="TDW188" s="78"/>
      <c r="TDX188" s="78"/>
      <c r="TDY188" s="78"/>
      <c r="TDZ188" s="78"/>
      <c r="TEA188" s="78"/>
      <c r="TEB188" s="78"/>
      <c r="TEC188" s="78"/>
      <c r="TED188" s="78"/>
      <c r="TEE188" s="78"/>
      <c r="TEF188" s="78"/>
      <c r="TEG188" s="78"/>
      <c r="TEH188" s="78"/>
      <c r="TEI188" s="78"/>
      <c r="TEJ188" s="78"/>
      <c r="TEK188" s="78"/>
      <c r="TEL188" s="78"/>
      <c r="TEM188" s="78"/>
      <c r="TEN188" s="78"/>
      <c r="TEO188" s="78"/>
      <c r="TEP188" s="78"/>
      <c r="TEQ188" s="78"/>
      <c r="TER188" s="78"/>
      <c r="TES188" s="78"/>
      <c r="TET188" s="78"/>
      <c r="TEU188" s="78"/>
      <c r="TEV188" s="78"/>
      <c r="TEW188" s="78"/>
      <c r="TEX188" s="78"/>
      <c r="TEY188" s="78"/>
      <c r="TEZ188" s="78"/>
      <c r="TFA188" s="78"/>
      <c r="TFB188" s="78"/>
      <c r="TFC188" s="78"/>
      <c r="TFD188" s="78"/>
      <c r="TFE188" s="78"/>
      <c r="TFF188" s="78"/>
      <c r="TFG188" s="78"/>
      <c r="TFH188" s="78"/>
      <c r="TFI188" s="78"/>
      <c r="TFJ188" s="78"/>
      <c r="TFK188" s="78"/>
      <c r="TFL188" s="78"/>
      <c r="TFM188" s="78"/>
      <c r="TFN188" s="78"/>
      <c r="TFO188" s="78"/>
      <c r="TFP188" s="78"/>
      <c r="TFQ188" s="78"/>
      <c r="TFR188" s="78"/>
      <c r="TFS188" s="78"/>
      <c r="TFT188" s="78"/>
      <c r="TFU188" s="78"/>
      <c r="TFV188" s="78"/>
      <c r="TFW188" s="78"/>
      <c r="TFX188" s="78"/>
      <c r="TFY188" s="78"/>
      <c r="TFZ188" s="78"/>
      <c r="TGA188" s="78"/>
      <c r="TGB188" s="78"/>
      <c r="TGC188" s="78"/>
      <c r="TGD188" s="78"/>
      <c r="TGE188" s="78"/>
      <c r="TGF188" s="78"/>
      <c r="TGG188" s="78"/>
      <c r="TGH188" s="78"/>
      <c r="TGI188" s="78"/>
      <c r="TGJ188" s="78"/>
      <c r="TGK188" s="78"/>
      <c r="TGL188" s="78"/>
      <c r="TGM188" s="78"/>
      <c r="TGN188" s="78"/>
      <c r="TGO188" s="78"/>
      <c r="TGP188" s="78"/>
      <c r="TGQ188" s="78"/>
      <c r="TGR188" s="78"/>
      <c r="TGS188" s="78"/>
      <c r="TGT188" s="78"/>
      <c r="TGU188" s="78"/>
      <c r="TGV188" s="78"/>
      <c r="TGW188" s="78"/>
      <c r="TGX188" s="78"/>
      <c r="TGY188" s="78"/>
      <c r="TGZ188" s="78"/>
      <c r="THA188" s="78"/>
      <c r="THB188" s="78"/>
      <c r="THC188" s="78"/>
      <c r="THD188" s="78"/>
      <c r="THE188" s="78"/>
      <c r="THF188" s="78"/>
      <c r="THG188" s="78"/>
      <c r="THH188" s="78"/>
      <c r="THI188" s="78"/>
      <c r="THJ188" s="78"/>
      <c r="THK188" s="78"/>
      <c r="THL188" s="78"/>
      <c r="THM188" s="78"/>
      <c r="THN188" s="78"/>
      <c r="THO188" s="78"/>
      <c r="THP188" s="78"/>
      <c r="THQ188" s="78"/>
      <c r="THR188" s="78"/>
      <c r="THS188" s="78"/>
      <c r="THT188" s="78"/>
      <c r="THU188" s="78"/>
      <c r="THV188" s="78"/>
      <c r="THW188" s="78"/>
      <c r="THX188" s="78"/>
      <c r="THY188" s="78"/>
      <c r="THZ188" s="78"/>
      <c r="TIA188" s="78"/>
      <c r="TIB188" s="78"/>
      <c r="TIC188" s="78"/>
      <c r="TID188" s="78"/>
      <c r="TIE188" s="78"/>
      <c r="TIF188" s="78"/>
      <c r="TIG188" s="78"/>
      <c r="TIH188" s="78"/>
      <c r="TII188" s="78"/>
      <c r="TIJ188" s="78"/>
      <c r="TIK188" s="78"/>
      <c r="TIL188" s="78"/>
      <c r="TIM188" s="78"/>
      <c r="TIN188" s="78"/>
      <c r="TIO188" s="78"/>
      <c r="TIP188" s="78"/>
      <c r="TIQ188" s="78"/>
      <c r="TIR188" s="78"/>
      <c r="TIS188" s="78"/>
      <c r="TIT188" s="78"/>
      <c r="TIU188" s="78"/>
      <c r="TIV188" s="78"/>
      <c r="TIW188" s="78"/>
      <c r="TIX188" s="78"/>
      <c r="TIY188" s="78"/>
      <c r="TIZ188" s="78"/>
      <c r="TJA188" s="78"/>
      <c r="TJB188" s="78"/>
      <c r="TJC188" s="78"/>
      <c r="TJD188" s="78"/>
      <c r="TJE188" s="78"/>
      <c r="TJF188" s="78"/>
      <c r="TJG188" s="78"/>
      <c r="TJH188" s="78"/>
      <c r="TJI188" s="78"/>
      <c r="TJJ188" s="78"/>
      <c r="TJK188" s="78"/>
      <c r="TJL188" s="78"/>
      <c r="TJM188" s="78"/>
      <c r="TJN188" s="78"/>
      <c r="TJO188" s="78"/>
      <c r="TJP188" s="78"/>
      <c r="TJQ188" s="78"/>
      <c r="TJR188" s="78"/>
      <c r="TJS188" s="78"/>
      <c r="TJT188" s="78"/>
      <c r="TJU188" s="78"/>
      <c r="TJV188" s="78"/>
      <c r="TJW188" s="78"/>
      <c r="TJX188" s="78"/>
      <c r="TJY188" s="78"/>
      <c r="TJZ188" s="78"/>
      <c r="TKA188" s="78"/>
      <c r="TKB188" s="78"/>
      <c r="TKC188" s="78"/>
      <c r="TKD188" s="78"/>
      <c r="TKE188" s="78"/>
      <c r="TKF188" s="78"/>
      <c r="TKG188" s="78"/>
      <c r="TKH188" s="78"/>
      <c r="TKI188" s="78"/>
      <c r="TKJ188" s="78"/>
      <c r="TKK188" s="78"/>
      <c r="TKL188" s="78"/>
      <c r="TKM188" s="78"/>
      <c r="TKN188" s="78"/>
      <c r="TKO188" s="78"/>
      <c r="TKP188" s="78"/>
      <c r="TKQ188" s="78"/>
      <c r="TKR188" s="78"/>
      <c r="TKS188" s="78"/>
      <c r="TKT188" s="78"/>
      <c r="TKU188" s="78"/>
      <c r="TKV188" s="78"/>
      <c r="TKW188" s="78"/>
      <c r="TKX188" s="78"/>
      <c r="TKY188" s="78"/>
      <c r="TKZ188" s="78"/>
      <c r="TLA188" s="78"/>
      <c r="TLB188" s="78"/>
      <c r="TLC188" s="78"/>
      <c r="TLD188" s="78"/>
      <c r="TLE188" s="78"/>
      <c r="TLF188" s="78"/>
      <c r="TLG188" s="78"/>
      <c r="TLH188" s="78"/>
      <c r="TLI188" s="78"/>
      <c r="TLJ188" s="78"/>
      <c r="TLK188" s="78"/>
      <c r="TLL188" s="78"/>
      <c r="TLM188" s="78"/>
      <c r="TLN188" s="78"/>
      <c r="TLO188" s="78"/>
      <c r="TLP188" s="78"/>
      <c r="TLQ188" s="78"/>
      <c r="TLR188" s="78"/>
      <c r="TLS188" s="78"/>
      <c r="TLT188" s="78"/>
      <c r="TLU188" s="78"/>
      <c r="TLV188" s="78"/>
      <c r="TLW188" s="78"/>
      <c r="TLX188" s="78"/>
      <c r="TLY188" s="78"/>
      <c r="TLZ188" s="78"/>
      <c r="TMA188" s="78"/>
      <c r="TMB188" s="78"/>
      <c r="TMC188" s="78"/>
      <c r="TMD188" s="78"/>
      <c r="TME188" s="78"/>
      <c r="TMF188" s="78"/>
      <c r="TMG188" s="78"/>
      <c r="TMH188" s="78"/>
      <c r="TMI188" s="78"/>
      <c r="TMJ188" s="78"/>
      <c r="TMK188" s="78"/>
      <c r="TML188" s="78"/>
      <c r="TMM188" s="78"/>
      <c r="TMN188" s="78"/>
      <c r="TMO188" s="78"/>
      <c r="TMP188" s="78"/>
      <c r="TMQ188" s="78"/>
      <c r="TMR188" s="78"/>
      <c r="TMS188" s="78"/>
      <c r="TMT188" s="78"/>
      <c r="TMU188" s="78"/>
      <c r="TMV188" s="78"/>
      <c r="TMW188" s="78"/>
      <c r="TMX188" s="78"/>
      <c r="TMY188" s="78"/>
      <c r="TMZ188" s="78"/>
      <c r="TNA188" s="78"/>
      <c r="TNB188" s="78"/>
      <c r="TNC188" s="78"/>
      <c r="TND188" s="78"/>
      <c r="TNE188" s="78"/>
      <c r="TNF188" s="78"/>
      <c r="TNG188" s="78"/>
      <c r="TNH188" s="78"/>
      <c r="TNI188" s="78"/>
      <c r="TNJ188" s="78"/>
      <c r="TNK188" s="78"/>
      <c r="TNL188" s="78"/>
      <c r="TNM188" s="78"/>
      <c r="TNN188" s="78"/>
      <c r="TNO188" s="78"/>
      <c r="TNP188" s="78"/>
      <c r="TNQ188" s="78"/>
      <c r="TNR188" s="78"/>
      <c r="TNS188" s="78"/>
      <c r="TNT188" s="78"/>
      <c r="TNU188" s="78"/>
      <c r="TNV188" s="78"/>
      <c r="TNW188" s="78"/>
      <c r="TNX188" s="78"/>
      <c r="TNY188" s="78"/>
      <c r="TNZ188" s="78"/>
      <c r="TOA188" s="78"/>
      <c r="TOB188" s="78"/>
      <c r="TOC188" s="78"/>
      <c r="TOD188" s="78"/>
      <c r="TOE188" s="78"/>
      <c r="TOF188" s="78"/>
      <c r="TOG188" s="78"/>
      <c r="TOH188" s="78"/>
      <c r="TOI188" s="78"/>
      <c r="TOJ188" s="78"/>
      <c r="TOK188" s="78"/>
      <c r="TOL188" s="78"/>
      <c r="TOM188" s="78"/>
      <c r="TON188" s="78"/>
      <c r="TOO188" s="78"/>
      <c r="TOP188" s="78"/>
      <c r="TOQ188" s="78"/>
      <c r="TOR188" s="78"/>
      <c r="TOS188" s="78"/>
      <c r="TOT188" s="78"/>
      <c r="TOU188" s="78"/>
      <c r="TOV188" s="78"/>
      <c r="TOW188" s="78"/>
      <c r="TOX188" s="78"/>
      <c r="TOY188" s="78"/>
      <c r="TOZ188" s="78"/>
      <c r="TPA188" s="78"/>
      <c r="TPB188" s="78"/>
      <c r="TPC188" s="78"/>
      <c r="TPD188" s="78"/>
      <c r="TPE188" s="78"/>
      <c r="TPF188" s="78"/>
      <c r="TPG188" s="78"/>
      <c r="TPH188" s="78"/>
      <c r="TPI188" s="78"/>
      <c r="TPJ188" s="78"/>
      <c r="TPK188" s="78"/>
      <c r="TPL188" s="78"/>
      <c r="TPM188" s="78"/>
      <c r="TPN188" s="78"/>
      <c r="TPO188" s="78"/>
      <c r="TPP188" s="78"/>
      <c r="TPQ188" s="78"/>
      <c r="TPR188" s="78"/>
      <c r="TPS188" s="78"/>
      <c r="TPT188" s="78"/>
      <c r="TPU188" s="78"/>
      <c r="TPV188" s="78"/>
      <c r="TPW188" s="78"/>
      <c r="TPX188" s="78"/>
      <c r="TPY188" s="78"/>
      <c r="TPZ188" s="78"/>
      <c r="TQA188" s="78"/>
      <c r="TQB188" s="78"/>
      <c r="TQC188" s="78"/>
      <c r="TQD188" s="78"/>
      <c r="TQE188" s="78"/>
      <c r="TQF188" s="78"/>
      <c r="TQG188" s="78"/>
      <c r="TQH188" s="78"/>
      <c r="TQI188" s="78"/>
      <c r="TQJ188" s="78"/>
      <c r="TQK188" s="78"/>
      <c r="TQL188" s="78"/>
      <c r="TQM188" s="78"/>
      <c r="TQN188" s="78"/>
      <c r="TQO188" s="78"/>
      <c r="TQP188" s="78"/>
      <c r="TQQ188" s="78"/>
      <c r="TQR188" s="78"/>
      <c r="TQS188" s="78"/>
      <c r="TQT188" s="78"/>
      <c r="TQU188" s="78"/>
      <c r="TQV188" s="78"/>
      <c r="TQW188" s="78"/>
      <c r="TQX188" s="78"/>
      <c r="TQY188" s="78"/>
      <c r="TQZ188" s="78"/>
      <c r="TRA188" s="78"/>
      <c r="TRB188" s="78"/>
      <c r="TRC188" s="78"/>
      <c r="TRD188" s="78"/>
      <c r="TRE188" s="78"/>
      <c r="TRF188" s="78"/>
      <c r="TRG188" s="78"/>
      <c r="TRH188" s="78"/>
      <c r="TRI188" s="78"/>
      <c r="TRJ188" s="78"/>
      <c r="TRK188" s="78"/>
      <c r="TRL188" s="78"/>
      <c r="TRM188" s="78"/>
      <c r="TRN188" s="78"/>
      <c r="TRO188" s="78"/>
      <c r="TRP188" s="78"/>
      <c r="TRQ188" s="78"/>
      <c r="TRR188" s="78"/>
      <c r="TRS188" s="78"/>
      <c r="TRT188" s="78"/>
      <c r="TRU188" s="78"/>
      <c r="TRV188" s="78"/>
      <c r="TRW188" s="78"/>
      <c r="TRX188" s="78"/>
      <c r="TRY188" s="78"/>
      <c r="TRZ188" s="78"/>
      <c r="TSA188" s="78"/>
      <c r="TSB188" s="78"/>
      <c r="TSC188" s="78"/>
      <c r="TSD188" s="78"/>
      <c r="TSE188" s="78"/>
      <c r="TSF188" s="78"/>
      <c r="TSG188" s="78"/>
      <c r="TSH188" s="78"/>
      <c r="TSI188" s="78"/>
      <c r="TSJ188" s="78"/>
      <c r="TSK188" s="78"/>
      <c r="TSL188" s="78"/>
      <c r="TSM188" s="78"/>
      <c r="TSN188" s="78"/>
      <c r="TSO188" s="78"/>
      <c r="TSP188" s="78"/>
      <c r="TSQ188" s="78"/>
      <c r="TSR188" s="78"/>
      <c r="TSS188" s="78"/>
      <c r="TST188" s="78"/>
      <c r="TSU188" s="78"/>
      <c r="TSV188" s="78"/>
      <c r="TSW188" s="78"/>
      <c r="TSX188" s="78"/>
      <c r="TSY188" s="78"/>
      <c r="TSZ188" s="78"/>
      <c r="TTA188" s="78"/>
      <c r="TTB188" s="78"/>
      <c r="TTC188" s="78"/>
      <c r="TTD188" s="78"/>
      <c r="TTE188" s="78"/>
      <c r="TTF188" s="78"/>
      <c r="TTG188" s="78"/>
      <c r="TTH188" s="78"/>
      <c r="TTI188" s="78"/>
      <c r="TTJ188" s="78"/>
      <c r="TTK188" s="78"/>
      <c r="TTL188" s="78"/>
      <c r="TTM188" s="78"/>
      <c r="TTN188" s="78"/>
      <c r="TTO188" s="78"/>
      <c r="TTP188" s="78"/>
      <c r="TTQ188" s="78"/>
      <c r="TTR188" s="78"/>
      <c r="TTS188" s="78"/>
      <c r="TTT188" s="78"/>
      <c r="TTU188" s="78"/>
      <c r="TTV188" s="78"/>
      <c r="TTW188" s="78"/>
      <c r="TTX188" s="78"/>
      <c r="TTY188" s="78"/>
      <c r="TTZ188" s="78"/>
      <c r="TUA188" s="78"/>
      <c r="TUB188" s="78"/>
      <c r="TUC188" s="78"/>
      <c r="TUD188" s="78"/>
      <c r="TUE188" s="78"/>
      <c r="TUF188" s="78"/>
      <c r="TUG188" s="78"/>
      <c r="TUH188" s="78"/>
      <c r="TUI188" s="78"/>
      <c r="TUJ188" s="78"/>
      <c r="TUK188" s="78"/>
      <c r="TUL188" s="78"/>
      <c r="TUM188" s="78"/>
      <c r="TUN188" s="78"/>
      <c r="TUO188" s="78"/>
      <c r="TUP188" s="78"/>
      <c r="TUQ188" s="78"/>
      <c r="TUR188" s="78"/>
      <c r="TUS188" s="78"/>
      <c r="TUT188" s="78"/>
      <c r="TUU188" s="78"/>
      <c r="TUV188" s="78"/>
      <c r="TUW188" s="78"/>
      <c r="TUX188" s="78"/>
      <c r="TUY188" s="78"/>
      <c r="TUZ188" s="78"/>
      <c r="TVA188" s="78"/>
      <c r="TVB188" s="78"/>
      <c r="TVC188" s="78"/>
      <c r="TVD188" s="78"/>
      <c r="TVE188" s="78"/>
      <c r="TVF188" s="78"/>
      <c r="TVG188" s="78"/>
      <c r="TVH188" s="78"/>
      <c r="TVI188" s="78"/>
      <c r="TVJ188" s="78"/>
      <c r="TVK188" s="78"/>
      <c r="TVL188" s="78"/>
      <c r="TVM188" s="78"/>
      <c r="TVN188" s="78"/>
      <c r="TVO188" s="78"/>
      <c r="TVP188" s="78"/>
      <c r="TVQ188" s="78"/>
      <c r="TVR188" s="78"/>
      <c r="TVS188" s="78"/>
      <c r="TVT188" s="78"/>
      <c r="TVU188" s="78"/>
      <c r="TVV188" s="78"/>
      <c r="TVW188" s="78"/>
      <c r="TVX188" s="78"/>
      <c r="TVY188" s="78"/>
      <c r="TVZ188" s="78"/>
      <c r="TWA188" s="78"/>
      <c r="TWB188" s="78"/>
      <c r="TWC188" s="78"/>
      <c r="TWD188" s="78"/>
      <c r="TWE188" s="78"/>
      <c r="TWF188" s="78"/>
      <c r="TWG188" s="78"/>
      <c r="TWH188" s="78"/>
      <c r="TWI188" s="78"/>
      <c r="TWJ188" s="78"/>
      <c r="TWK188" s="78"/>
      <c r="TWL188" s="78"/>
      <c r="TWM188" s="78"/>
      <c r="TWN188" s="78"/>
      <c r="TWO188" s="78"/>
      <c r="TWP188" s="78"/>
      <c r="TWQ188" s="78"/>
      <c r="TWR188" s="78"/>
      <c r="TWS188" s="78"/>
      <c r="TWT188" s="78"/>
      <c r="TWU188" s="78"/>
      <c r="TWV188" s="78"/>
      <c r="TWW188" s="78"/>
      <c r="TWX188" s="78"/>
      <c r="TWY188" s="78"/>
      <c r="TWZ188" s="78"/>
      <c r="TXA188" s="78"/>
      <c r="TXB188" s="78"/>
      <c r="TXC188" s="78"/>
      <c r="TXD188" s="78"/>
      <c r="TXE188" s="78"/>
      <c r="TXF188" s="78"/>
      <c r="TXG188" s="78"/>
      <c r="TXH188" s="78"/>
      <c r="TXI188" s="78"/>
      <c r="TXJ188" s="78"/>
      <c r="TXK188" s="78"/>
      <c r="TXL188" s="78"/>
      <c r="TXM188" s="78"/>
      <c r="TXN188" s="78"/>
      <c r="TXO188" s="78"/>
      <c r="TXP188" s="78"/>
      <c r="TXQ188" s="78"/>
      <c r="TXR188" s="78"/>
      <c r="TXS188" s="78"/>
      <c r="TXT188" s="78"/>
      <c r="TXU188" s="78"/>
      <c r="TXV188" s="78"/>
      <c r="TXW188" s="78"/>
      <c r="TXX188" s="78"/>
      <c r="TXY188" s="78"/>
      <c r="TXZ188" s="78"/>
      <c r="TYA188" s="78"/>
      <c r="TYB188" s="78"/>
      <c r="TYC188" s="78"/>
      <c r="TYD188" s="78"/>
      <c r="TYE188" s="78"/>
      <c r="TYF188" s="78"/>
      <c r="TYG188" s="78"/>
      <c r="TYH188" s="78"/>
      <c r="TYI188" s="78"/>
      <c r="TYJ188" s="78"/>
      <c r="TYK188" s="78"/>
      <c r="TYL188" s="78"/>
      <c r="TYM188" s="78"/>
      <c r="TYN188" s="78"/>
      <c r="TYO188" s="78"/>
      <c r="TYP188" s="78"/>
      <c r="TYQ188" s="78"/>
      <c r="TYR188" s="78"/>
      <c r="TYS188" s="78"/>
      <c r="TYT188" s="78"/>
      <c r="TYU188" s="78"/>
      <c r="TYV188" s="78"/>
      <c r="TYW188" s="78"/>
      <c r="TYX188" s="78"/>
      <c r="TYY188" s="78"/>
      <c r="TYZ188" s="78"/>
      <c r="TZA188" s="78"/>
      <c r="TZB188" s="78"/>
      <c r="TZC188" s="78"/>
      <c r="TZD188" s="78"/>
      <c r="TZE188" s="78"/>
      <c r="TZF188" s="78"/>
      <c r="TZG188" s="78"/>
      <c r="TZH188" s="78"/>
      <c r="TZI188" s="78"/>
      <c r="TZJ188" s="78"/>
      <c r="TZK188" s="78"/>
      <c r="TZL188" s="78"/>
      <c r="TZM188" s="78"/>
      <c r="TZN188" s="78"/>
      <c r="TZO188" s="78"/>
      <c r="TZP188" s="78"/>
      <c r="TZQ188" s="78"/>
      <c r="TZR188" s="78"/>
      <c r="TZS188" s="78"/>
      <c r="TZT188" s="78"/>
      <c r="TZU188" s="78"/>
      <c r="TZV188" s="78"/>
      <c r="TZW188" s="78"/>
      <c r="TZX188" s="78"/>
      <c r="TZY188" s="78"/>
      <c r="TZZ188" s="78"/>
      <c r="UAA188" s="78"/>
      <c r="UAB188" s="78"/>
      <c r="UAC188" s="78"/>
      <c r="UAD188" s="78"/>
      <c r="UAE188" s="78"/>
      <c r="UAF188" s="78"/>
      <c r="UAG188" s="78"/>
      <c r="UAH188" s="78"/>
      <c r="UAI188" s="78"/>
      <c r="UAJ188" s="78"/>
      <c r="UAK188" s="78"/>
      <c r="UAL188" s="78"/>
      <c r="UAM188" s="78"/>
      <c r="UAN188" s="78"/>
      <c r="UAO188" s="78"/>
      <c r="UAP188" s="78"/>
      <c r="UAQ188" s="78"/>
      <c r="UAR188" s="78"/>
      <c r="UAS188" s="78"/>
      <c r="UAT188" s="78"/>
      <c r="UAU188" s="78"/>
      <c r="UAV188" s="78"/>
      <c r="UAW188" s="78"/>
      <c r="UAX188" s="78"/>
      <c r="UAY188" s="78"/>
      <c r="UAZ188" s="78"/>
      <c r="UBA188" s="78"/>
      <c r="UBB188" s="78"/>
      <c r="UBC188" s="78"/>
      <c r="UBD188" s="78"/>
      <c r="UBE188" s="78"/>
      <c r="UBF188" s="78"/>
      <c r="UBG188" s="78"/>
      <c r="UBH188" s="78"/>
      <c r="UBI188" s="78"/>
      <c r="UBJ188" s="78"/>
      <c r="UBK188" s="78"/>
      <c r="UBL188" s="78"/>
      <c r="UBM188" s="78"/>
      <c r="UBN188" s="78"/>
      <c r="UBO188" s="78"/>
      <c r="UBP188" s="78"/>
      <c r="UBQ188" s="78"/>
      <c r="UBR188" s="78"/>
      <c r="UBS188" s="78"/>
      <c r="UBT188" s="78"/>
      <c r="UBU188" s="78"/>
      <c r="UBV188" s="78"/>
      <c r="UBW188" s="78"/>
      <c r="UBX188" s="78"/>
      <c r="UBY188" s="78"/>
      <c r="UBZ188" s="78"/>
      <c r="UCA188" s="78"/>
      <c r="UCB188" s="78"/>
      <c r="UCC188" s="78"/>
      <c r="UCD188" s="78"/>
      <c r="UCE188" s="78"/>
      <c r="UCF188" s="78"/>
      <c r="UCG188" s="78"/>
      <c r="UCH188" s="78"/>
      <c r="UCI188" s="78"/>
      <c r="UCJ188" s="78"/>
      <c r="UCK188" s="78"/>
      <c r="UCL188" s="78"/>
      <c r="UCM188" s="78"/>
      <c r="UCN188" s="78"/>
      <c r="UCO188" s="78"/>
      <c r="UCP188" s="78"/>
      <c r="UCQ188" s="78"/>
      <c r="UCR188" s="78"/>
      <c r="UCS188" s="78"/>
      <c r="UCT188" s="78"/>
      <c r="UCU188" s="78"/>
      <c r="UCV188" s="78"/>
      <c r="UCW188" s="78"/>
      <c r="UCX188" s="78"/>
      <c r="UCY188" s="78"/>
      <c r="UCZ188" s="78"/>
      <c r="UDA188" s="78"/>
      <c r="UDB188" s="78"/>
      <c r="UDC188" s="78"/>
      <c r="UDD188" s="78"/>
      <c r="UDE188" s="78"/>
      <c r="UDF188" s="78"/>
      <c r="UDG188" s="78"/>
      <c r="UDH188" s="78"/>
      <c r="UDI188" s="78"/>
      <c r="UDJ188" s="78"/>
      <c r="UDK188" s="78"/>
      <c r="UDL188" s="78"/>
      <c r="UDM188" s="78"/>
      <c r="UDN188" s="78"/>
      <c r="UDO188" s="78"/>
      <c r="UDP188" s="78"/>
      <c r="UDQ188" s="78"/>
      <c r="UDR188" s="78"/>
      <c r="UDS188" s="78"/>
      <c r="UDT188" s="78"/>
      <c r="UDU188" s="78"/>
      <c r="UDV188" s="78"/>
      <c r="UDW188" s="78"/>
      <c r="UDX188" s="78"/>
      <c r="UDY188" s="78"/>
      <c r="UDZ188" s="78"/>
      <c r="UEA188" s="78"/>
      <c r="UEB188" s="78"/>
      <c r="UEC188" s="78"/>
      <c r="UED188" s="78"/>
      <c r="UEE188" s="78"/>
      <c r="UEF188" s="78"/>
      <c r="UEG188" s="78"/>
      <c r="UEH188" s="78"/>
      <c r="UEI188" s="78"/>
      <c r="UEJ188" s="78"/>
      <c r="UEK188" s="78"/>
      <c r="UEL188" s="78"/>
      <c r="UEM188" s="78"/>
      <c r="UEN188" s="78"/>
      <c r="UEO188" s="78"/>
      <c r="UEP188" s="78"/>
      <c r="UEQ188" s="78"/>
      <c r="UER188" s="78"/>
      <c r="UES188" s="78"/>
      <c r="UET188" s="78"/>
      <c r="UEU188" s="78"/>
      <c r="UEV188" s="78"/>
      <c r="UEW188" s="78"/>
      <c r="UEX188" s="78"/>
      <c r="UEY188" s="78"/>
      <c r="UEZ188" s="78"/>
      <c r="UFA188" s="78"/>
      <c r="UFB188" s="78"/>
      <c r="UFC188" s="78"/>
      <c r="UFD188" s="78"/>
      <c r="UFE188" s="78"/>
      <c r="UFF188" s="78"/>
      <c r="UFG188" s="78"/>
      <c r="UFH188" s="78"/>
      <c r="UFI188" s="78"/>
      <c r="UFJ188" s="78"/>
      <c r="UFK188" s="78"/>
      <c r="UFL188" s="78"/>
      <c r="UFM188" s="78"/>
      <c r="UFN188" s="78"/>
      <c r="UFO188" s="78"/>
      <c r="UFP188" s="78"/>
      <c r="UFQ188" s="78"/>
      <c r="UFR188" s="78"/>
      <c r="UFS188" s="78"/>
      <c r="UFT188" s="78"/>
      <c r="UFU188" s="78"/>
      <c r="UFV188" s="78"/>
      <c r="UFW188" s="78"/>
      <c r="UFX188" s="78"/>
      <c r="UFY188" s="78"/>
      <c r="UFZ188" s="78"/>
      <c r="UGA188" s="78"/>
      <c r="UGB188" s="78"/>
      <c r="UGC188" s="78"/>
      <c r="UGD188" s="78"/>
      <c r="UGE188" s="78"/>
      <c r="UGF188" s="78"/>
      <c r="UGG188" s="78"/>
      <c r="UGH188" s="78"/>
      <c r="UGI188" s="78"/>
      <c r="UGJ188" s="78"/>
      <c r="UGK188" s="78"/>
      <c r="UGL188" s="78"/>
      <c r="UGM188" s="78"/>
      <c r="UGN188" s="78"/>
      <c r="UGO188" s="78"/>
      <c r="UGP188" s="78"/>
      <c r="UGQ188" s="78"/>
      <c r="UGR188" s="78"/>
      <c r="UGS188" s="78"/>
      <c r="UGT188" s="78"/>
      <c r="UGU188" s="78"/>
      <c r="UGV188" s="78"/>
      <c r="UGW188" s="78"/>
      <c r="UGX188" s="78"/>
      <c r="UGY188" s="78"/>
      <c r="UGZ188" s="78"/>
      <c r="UHA188" s="78"/>
      <c r="UHB188" s="78"/>
      <c r="UHC188" s="78"/>
      <c r="UHD188" s="78"/>
      <c r="UHE188" s="78"/>
      <c r="UHF188" s="78"/>
      <c r="UHG188" s="78"/>
      <c r="UHH188" s="78"/>
      <c r="UHI188" s="78"/>
      <c r="UHJ188" s="78"/>
      <c r="UHK188" s="78"/>
      <c r="UHL188" s="78"/>
      <c r="UHM188" s="78"/>
      <c r="UHN188" s="78"/>
      <c r="UHO188" s="78"/>
      <c r="UHP188" s="78"/>
      <c r="UHQ188" s="78"/>
      <c r="UHR188" s="78"/>
      <c r="UHS188" s="78"/>
      <c r="UHT188" s="78"/>
      <c r="UHU188" s="78"/>
      <c r="UHV188" s="78"/>
      <c r="UHW188" s="78"/>
      <c r="UHX188" s="78"/>
      <c r="UHY188" s="78"/>
      <c r="UHZ188" s="78"/>
      <c r="UIA188" s="78"/>
      <c r="UIB188" s="78"/>
      <c r="UIC188" s="78"/>
      <c r="UID188" s="78"/>
      <c r="UIE188" s="78"/>
      <c r="UIF188" s="78"/>
      <c r="UIG188" s="78"/>
      <c r="UIH188" s="78"/>
      <c r="UII188" s="78"/>
      <c r="UIJ188" s="78"/>
      <c r="UIK188" s="78"/>
      <c r="UIL188" s="78"/>
      <c r="UIM188" s="78"/>
      <c r="UIN188" s="78"/>
      <c r="UIO188" s="78"/>
      <c r="UIP188" s="78"/>
      <c r="UIQ188" s="78"/>
      <c r="UIR188" s="78"/>
      <c r="UIS188" s="78"/>
      <c r="UIT188" s="78"/>
      <c r="UIU188" s="78"/>
      <c r="UIV188" s="78"/>
      <c r="UIW188" s="78"/>
      <c r="UIX188" s="78"/>
      <c r="UIY188" s="78"/>
      <c r="UIZ188" s="78"/>
      <c r="UJA188" s="78"/>
      <c r="UJB188" s="78"/>
      <c r="UJC188" s="78"/>
      <c r="UJD188" s="78"/>
      <c r="UJE188" s="78"/>
      <c r="UJF188" s="78"/>
      <c r="UJG188" s="78"/>
      <c r="UJH188" s="78"/>
      <c r="UJI188" s="78"/>
      <c r="UJJ188" s="78"/>
      <c r="UJK188" s="78"/>
      <c r="UJL188" s="78"/>
      <c r="UJM188" s="78"/>
      <c r="UJN188" s="78"/>
      <c r="UJO188" s="78"/>
      <c r="UJP188" s="78"/>
      <c r="UJQ188" s="78"/>
      <c r="UJR188" s="78"/>
      <c r="UJS188" s="78"/>
      <c r="UJT188" s="78"/>
      <c r="UJU188" s="78"/>
      <c r="UJV188" s="78"/>
      <c r="UJW188" s="78"/>
      <c r="UJX188" s="78"/>
      <c r="UJY188" s="78"/>
      <c r="UJZ188" s="78"/>
      <c r="UKA188" s="78"/>
      <c r="UKB188" s="78"/>
      <c r="UKC188" s="78"/>
      <c r="UKD188" s="78"/>
      <c r="UKE188" s="78"/>
      <c r="UKF188" s="78"/>
      <c r="UKG188" s="78"/>
      <c r="UKH188" s="78"/>
      <c r="UKI188" s="78"/>
      <c r="UKJ188" s="78"/>
      <c r="UKK188" s="78"/>
      <c r="UKL188" s="78"/>
      <c r="UKM188" s="78"/>
      <c r="UKN188" s="78"/>
      <c r="UKO188" s="78"/>
      <c r="UKP188" s="78"/>
      <c r="UKQ188" s="78"/>
      <c r="UKR188" s="78"/>
      <c r="UKS188" s="78"/>
      <c r="UKT188" s="78"/>
      <c r="UKU188" s="78"/>
      <c r="UKV188" s="78"/>
      <c r="UKW188" s="78"/>
      <c r="UKX188" s="78"/>
      <c r="UKY188" s="78"/>
      <c r="UKZ188" s="78"/>
      <c r="ULA188" s="78"/>
      <c r="ULB188" s="78"/>
      <c r="ULC188" s="78"/>
      <c r="ULD188" s="78"/>
      <c r="ULE188" s="78"/>
      <c r="ULF188" s="78"/>
      <c r="ULG188" s="78"/>
      <c r="ULH188" s="78"/>
      <c r="ULI188" s="78"/>
      <c r="ULJ188" s="78"/>
      <c r="ULK188" s="78"/>
      <c r="ULL188" s="78"/>
      <c r="ULM188" s="78"/>
      <c r="ULN188" s="78"/>
      <c r="ULO188" s="78"/>
      <c r="ULP188" s="78"/>
      <c r="ULQ188" s="78"/>
      <c r="ULR188" s="78"/>
      <c r="ULS188" s="78"/>
      <c r="ULT188" s="78"/>
      <c r="ULU188" s="78"/>
      <c r="ULV188" s="78"/>
      <c r="ULW188" s="78"/>
      <c r="ULX188" s="78"/>
      <c r="ULY188" s="78"/>
      <c r="ULZ188" s="78"/>
      <c r="UMA188" s="78"/>
      <c r="UMB188" s="78"/>
      <c r="UMC188" s="78"/>
      <c r="UMD188" s="78"/>
      <c r="UME188" s="78"/>
      <c r="UMF188" s="78"/>
      <c r="UMG188" s="78"/>
      <c r="UMH188" s="78"/>
      <c r="UMI188" s="78"/>
      <c r="UMJ188" s="78"/>
      <c r="UMK188" s="78"/>
      <c r="UML188" s="78"/>
      <c r="UMM188" s="78"/>
      <c r="UMN188" s="78"/>
      <c r="UMO188" s="78"/>
      <c r="UMP188" s="78"/>
      <c r="UMQ188" s="78"/>
      <c r="UMR188" s="78"/>
      <c r="UMS188" s="78"/>
      <c r="UMT188" s="78"/>
      <c r="UMU188" s="78"/>
      <c r="UMV188" s="78"/>
      <c r="UMW188" s="78"/>
      <c r="UMX188" s="78"/>
      <c r="UMY188" s="78"/>
      <c r="UMZ188" s="78"/>
      <c r="UNA188" s="78"/>
      <c r="UNB188" s="78"/>
      <c r="UNC188" s="78"/>
      <c r="UND188" s="78"/>
      <c r="UNE188" s="78"/>
      <c r="UNF188" s="78"/>
      <c r="UNG188" s="78"/>
      <c r="UNH188" s="78"/>
      <c r="UNI188" s="78"/>
      <c r="UNJ188" s="78"/>
      <c r="UNK188" s="78"/>
      <c r="UNL188" s="78"/>
      <c r="UNM188" s="78"/>
      <c r="UNN188" s="78"/>
      <c r="UNO188" s="78"/>
      <c r="UNP188" s="78"/>
      <c r="UNQ188" s="78"/>
      <c r="UNR188" s="78"/>
      <c r="UNS188" s="78"/>
      <c r="UNT188" s="78"/>
      <c r="UNU188" s="78"/>
      <c r="UNV188" s="78"/>
      <c r="UNW188" s="78"/>
      <c r="UNX188" s="78"/>
      <c r="UNY188" s="78"/>
      <c r="UNZ188" s="78"/>
      <c r="UOA188" s="78"/>
      <c r="UOB188" s="78"/>
      <c r="UOC188" s="78"/>
      <c r="UOD188" s="78"/>
      <c r="UOE188" s="78"/>
      <c r="UOF188" s="78"/>
      <c r="UOG188" s="78"/>
      <c r="UOH188" s="78"/>
      <c r="UOI188" s="78"/>
      <c r="UOJ188" s="78"/>
      <c r="UOK188" s="78"/>
      <c r="UOL188" s="78"/>
      <c r="UOM188" s="78"/>
      <c r="UON188" s="78"/>
      <c r="UOO188" s="78"/>
      <c r="UOP188" s="78"/>
      <c r="UOQ188" s="78"/>
      <c r="UOR188" s="78"/>
      <c r="UOS188" s="78"/>
      <c r="UOT188" s="78"/>
      <c r="UOU188" s="78"/>
      <c r="UOV188" s="78"/>
      <c r="UOW188" s="78"/>
      <c r="UOX188" s="78"/>
      <c r="UOY188" s="78"/>
      <c r="UOZ188" s="78"/>
      <c r="UPA188" s="78"/>
      <c r="UPB188" s="78"/>
      <c r="UPC188" s="78"/>
      <c r="UPD188" s="78"/>
      <c r="UPE188" s="78"/>
      <c r="UPF188" s="78"/>
      <c r="UPG188" s="78"/>
      <c r="UPH188" s="78"/>
      <c r="UPI188" s="78"/>
      <c r="UPJ188" s="78"/>
      <c r="UPK188" s="78"/>
      <c r="UPL188" s="78"/>
      <c r="UPM188" s="78"/>
      <c r="UPN188" s="78"/>
      <c r="UPO188" s="78"/>
      <c r="UPP188" s="78"/>
      <c r="UPQ188" s="78"/>
      <c r="UPR188" s="78"/>
      <c r="UPS188" s="78"/>
      <c r="UPT188" s="78"/>
      <c r="UPU188" s="78"/>
      <c r="UPV188" s="78"/>
      <c r="UPW188" s="78"/>
      <c r="UPX188" s="78"/>
      <c r="UPY188" s="78"/>
      <c r="UPZ188" s="78"/>
      <c r="UQA188" s="78"/>
      <c r="UQB188" s="78"/>
      <c r="UQC188" s="78"/>
      <c r="UQD188" s="78"/>
      <c r="UQE188" s="78"/>
      <c r="UQF188" s="78"/>
      <c r="UQG188" s="78"/>
      <c r="UQH188" s="78"/>
      <c r="UQI188" s="78"/>
      <c r="UQJ188" s="78"/>
      <c r="UQK188" s="78"/>
      <c r="UQL188" s="78"/>
      <c r="UQM188" s="78"/>
      <c r="UQN188" s="78"/>
      <c r="UQO188" s="78"/>
      <c r="UQP188" s="78"/>
      <c r="UQQ188" s="78"/>
      <c r="UQR188" s="78"/>
      <c r="UQS188" s="78"/>
      <c r="UQT188" s="78"/>
      <c r="UQU188" s="78"/>
      <c r="UQV188" s="78"/>
      <c r="UQW188" s="78"/>
      <c r="UQX188" s="78"/>
      <c r="UQY188" s="78"/>
      <c r="UQZ188" s="78"/>
      <c r="URA188" s="78"/>
      <c r="URB188" s="78"/>
      <c r="URC188" s="78"/>
      <c r="URD188" s="78"/>
      <c r="URE188" s="78"/>
      <c r="URF188" s="78"/>
      <c r="URG188" s="78"/>
      <c r="URH188" s="78"/>
      <c r="URI188" s="78"/>
      <c r="URJ188" s="78"/>
      <c r="URK188" s="78"/>
      <c r="URL188" s="78"/>
      <c r="URM188" s="78"/>
      <c r="URN188" s="78"/>
      <c r="URO188" s="78"/>
      <c r="URP188" s="78"/>
      <c r="URQ188" s="78"/>
      <c r="URR188" s="78"/>
      <c r="URS188" s="78"/>
      <c r="URT188" s="78"/>
      <c r="URU188" s="78"/>
      <c r="URV188" s="78"/>
      <c r="URW188" s="78"/>
      <c r="URX188" s="78"/>
      <c r="URY188" s="78"/>
      <c r="URZ188" s="78"/>
      <c r="USA188" s="78"/>
      <c r="USB188" s="78"/>
      <c r="USC188" s="78"/>
      <c r="USD188" s="78"/>
      <c r="USE188" s="78"/>
      <c r="USF188" s="78"/>
      <c r="USG188" s="78"/>
      <c r="USH188" s="78"/>
      <c r="USI188" s="78"/>
      <c r="USJ188" s="78"/>
      <c r="USK188" s="78"/>
      <c r="USL188" s="78"/>
      <c r="USM188" s="78"/>
      <c r="USN188" s="78"/>
      <c r="USO188" s="78"/>
      <c r="USP188" s="78"/>
      <c r="USQ188" s="78"/>
      <c r="USR188" s="78"/>
      <c r="USS188" s="78"/>
      <c r="UST188" s="78"/>
      <c r="USU188" s="78"/>
      <c r="USV188" s="78"/>
      <c r="USW188" s="78"/>
      <c r="USX188" s="78"/>
      <c r="USY188" s="78"/>
      <c r="USZ188" s="78"/>
      <c r="UTA188" s="78"/>
      <c r="UTB188" s="78"/>
      <c r="UTC188" s="78"/>
      <c r="UTD188" s="78"/>
      <c r="UTE188" s="78"/>
      <c r="UTF188" s="78"/>
      <c r="UTG188" s="78"/>
      <c r="UTH188" s="78"/>
      <c r="UTI188" s="78"/>
      <c r="UTJ188" s="78"/>
      <c r="UTK188" s="78"/>
      <c r="UTL188" s="78"/>
      <c r="UTM188" s="78"/>
      <c r="UTN188" s="78"/>
      <c r="UTO188" s="78"/>
      <c r="UTP188" s="78"/>
      <c r="UTQ188" s="78"/>
      <c r="UTR188" s="78"/>
      <c r="UTS188" s="78"/>
      <c r="UTT188" s="78"/>
      <c r="UTU188" s="78"/>
      <c r="UTV188" s="78"/>
      <c r="UTW188" s="78"/>
      <c r="UTX188" s="78"/>
      <c r="UTY188" s="78"/>
      <c r="UTZ188" s="78"/>
      <c r="UUA188" s="78"/>
      <c r="UUB188" s="78"/>
      <c r="UUC188" s="78"/>
      <c r="UUD188" s="78"/>
      <c r="UUE188" s="78"/>
      <c r="UUF188" s="78"/>
      <c r="UUG188" s="78"/>
      <c r="UUH188" s="78"/>
      <c r="UUI188" s="78"/>
      <c r="UUJ188" s="78"/>
      <c r="UUK188" s="78"/>
      <c r="UUL188" s="78"/>
      <c r="UUM188" s="78"/>
      <c r="UUN188" s="78"/>
      <c r="UUO188" s="78"/>
      <c r="UUP188" s="78"/>
      <c r="UUQ188" s="78"/>
      <c r="UUR188" s="78"/>
      <c r="UUS188" s="78"/>
      <c r="UUT188" s="78"/>
      <c r="UUU188" s="78"/>
      <c r="UUV188" s="78"/>
      <c r="UUW188" s="78"/>
      <c r="UUX188" s="78"/>
      <c r="UUY188" s="78"/>
      <c r="UUZ188" s="78"/>
      <c r="UVA188" s="78"/>
      <c r="UVB188" s="78"/>
      <c r="UVC188" s="78"/>
      <c r="UVD188" s="78"/>
      <c r="UVE188" s="78"/>
      <c r="UVF188" s="78"/>
      <c r="UVG188" s="78"/>
      <c r="UVH188" s="78"/>
      <c r="UVI188" s="78"/>
      <c r="UVJ188" s="78"/>
      <c r="UVK188" s="78"/>
      <c r="UVL188" s="78"/>
      <c r="UVM188" s="78"/>
      <c r="UVN188" s="78"/>
      <c r="UVO188" s="78"/>
      <c r="UVP188" s="78"/>
      <c r="UVQ188" s="78"/>
      <c r="UVR188" s="78"/>
      <c r="UVS188" s="78"/>
      <c r="UVT188" s="78"/>
      <c r="UVU188" s="78"/>
      <c r="UVV188" s="78"/>
      <c r="UVW188" s="78"/>
      <c r="UVX188" s="78"/>
      <c r="UVY188" s="78"/>
      <c r="UVZ188" s="78"/>
      <c r="UWA188" s="78"/>
      <c r="UWB188" s="78"/>
      <c r="UWC188" s="78"/>
      <c r="UWD188" s="78"/>
      <c r="UWE188" s="78"/>
      <c r="UWF188" s="78"/>
      <c r="UWG188" s="78"/>
      <c r="UWH188" s="78"/>
      <c r="UWI188" s="78"/>
      <c r="UWJ188" s="78"/>
      <c r="UWK188" s="78"/>
      <c r="UWL188" s="78"/>
      <c r="UWM188" s="78"/>
      <c r="UWN188" s="78"/>
      <c r="UWO188" s="78"/>
      <c r="UWP188" s="78"/>
      <c r="UWQ188" s="78"/>
      <c r="UWR188" s="78"/>
      <c r="UWS188" s="78"/>
      <c r="UWT188" s="78"/>
      <c r="UWU188" s="78"/>
      <c r="UWV188" s="78"/>
      <c r="UWW188" s="78"/>
      <c r="UWX188" s="78"/>
      <c r="UWY188" s="78"/>
      <c r="UWZ188" s="78"/>
      <c r="UXA188" s="78"/>
      <c r="UXB188" s="78"/>
      <c r="UXC188" s="78"/>
      <c r="UXD188" s="78"/>
      <c r="UXE188" s="78"/>
      <c r="UXF188" s="78"/>
      <c r="UXG188" s="78"/>
      <c r="UXH188" s="78"/>
      <c r="UXI188" s="78"/>
      <c r="UXJ188" s="78"/>
      <c r="UXK188" s="78"/>
      <c r="UXL188" s="78"/>
      <c r="UXM188" s="78"/>
      <c r="UXN188" s="78"/>
      <c r="UXO188" s="78"/>
      <c r="UXP188" s="78"/>
      <c r="UXQ188" s="78"/>
      <c r="UXR188" s="78"/>
      <c r="UXS188" s="78"/>
      <c r="UXT188" s="78"/>
      <c r="UXU188" s="78"/>
      <c r="UXV188" s="78"/>
      <c r="UXW188" s="78"/>
      <c r="UXX188" s="78"/>
      <c r="UXY188" s="78"/>
      <c r="UXZ188" s="78"/>
      <c r="UYA188" s="78"/>
      <c r="UYB188" s="78"/>
      <c r="UYC188" s="78"/>
      <c r="UYD188" s="78"/>
      <c r="UYE188" s="78"/>
      <c r="UYF188" s="78"/>
      <c r="UYG188" s="78"/>
      <c r="UYH188" s="78"/>
      <c r="UYI188" s="78"/>
      <c r="UYJ188" s="78"/>
      <c r="UYK188" s="78"/>
      <c r="UYL188" s="78"/>
      <c r="UYM188" s="78"/>
      <c r="UYN188" s="78"/>
      <c r="UYO188" s="78"/>
      <c r="UYP188" s="78"/>
      <c r="UYQ188" s="78"/>
      <c r="UYR188" s="78"/>
      <c r="UYS188" s="78"/>
      <c r="UYT188" s="78"/>
      <c r="UYU188" s="78"/>
      <c r="UYV188" s="78"/>
      <c r="UYW188" s="78"/>
      <c r="UYX188" s="78"/>
      <c r="UYY188" s="78"/>
      <c r="UYZ188" s="78"/>
      <c r="UZA188" s="78"/>
      <c r="UZB188" s="78"/>
      <c r="UZC188" s="78"/>
      <c r="UZD188" s="78"/>
      <c r="UZE188" s="78"/>
      <c r="UZF188" s="78"/>
      <c r="UZG188" s="78"/>
      <c r="UZH188" s="78"/>
      <c r="UZI188" s="78"/>
      <c r="UZJ188" s="78"/>
      <c r="UZK188" s="78"/>
      <c r="UZL188" s="78"/>
      <c r="UZM188" s="78"/>
      <c r="UZN188" s="78"/>
      <c r="UZO188" s="78"/>
      <c r="UZP188" s="78"/>
      <c r="UZQ188" s="78"/>
      <c r="UZR188" s="78"/>
      <c r="UZS188" s="78"/>
      <c r="UZT188" s="78"/>
      <c r="UZU188" s="78"/>
      <c r="UZV188" s="78"/>
      <c r="UZW188" s="78"/>
      <c r="UZX188" s="78"/>
      <c r="UZY188" s="78"/>
      <c r="UZZ188" s="78"/>
      <c r="VAA188" s="78"/>
      <c r="VAB188" s="78"/>
      <c r="VAC188" s="78"/>
      <c r="VAD188" s="78"/>
      <c r="VAE188" s="78"/>
      <c r="VAF188" s="78"/>
      <c r="VAG188" s="78"/>
      <c r="VAH188" s="78"/>
      <c r="VAI188" s="78"/>
      <c r="VAJ188" s="78"/>
      <c r="VAK188" s="78"/>
      <c r="VAL188" s="78"/>
      <c r="VAM188" s="78"/>
      <c r="VAN188" s="78"/>
      <c r="VAO188" s="78"/>
      <c r="VAP188" s="78"/>
      <c r="VAQ188" s="78"/>
      <c r="VAR188" s="78"/>
      <c r="VAS188" s="78"/>
      <c r="VAT188" s="78"/>
      <c r="VAU188" s="78"/>
      <c r="VAV188" s="78"/>
      <c r="VAW188" s="78"/>
      <c r="VAX188" s="78"/>
      <c r="VAY188" s="78"/>
      <c r="VAZ188" s="78"/>
      <c r="VBA188" s="78"/>
      <c r="VBB188" s="78"/>
      <c r="VBC188" s="78"/>
      <c r="VBD188" s="78"/>
      <c r="VBE188" s="78"/>
      <c r="VBF188" s="78"/>
      <c r="VBG188" s="78"/>
      <c r="VBH188" s="78"/>
      <c r="VBI188" s="78"/>
      <c r="VBJ188" s="78"/>
      <c r="VBK188" s="78"/>
      <c r="VBL188" s="78"/>
      <c r="VBM188" s="78"/>
      <c r="VBN188" s="78"/>
      <c r="VBO188" s="78"/>
      <c r="VBP188" s="78"/>
      <c r="VBQ188" s="78"/>
      <c r="VBR188" s="78"/>
      <c r="VBS188" s="78"/>
      <c r="VBT188" s="78"/>
      <c r="VBU188" s="78"/>
      <c r="VBV188" s="78"/>
      <c r="VBW188" s="78"/>
      <c r="VBX188" s="78"/>
      <c r="VBY188" s="78"/>
      <c r="VBZ188" s="78"/>
      <c r="VCA188" s="78"/>
      <c r="VCB188" s="78"/>
      <c r="VCC188" s="78"/>
      <c r="VCD188" s="78"/>
      <c r="VCE188" s="78"/>
      <c r="VCF188" s="78"/>
      <c r="VCG188" s="78"/>
      <c r="VCH188" s="78"/>
      <c r="VCI188" s="78"/>
      <c r="VCJ188" s="78"/>
      <c r="VCK188" s="78"/>
      <c r="VCL188" s="78"/>
      <c r="VCM188" s="78"/>
      <c r="VCN188" s="78"/>
      <c r="VCO188" s="78"/>
      <c r="VCP188" s="78"/>
      <c r="VCQ188" s="78"/>
      <c r="VCR188" s="78"/>
      <c r="VCS188" s="78"/>
      <c r="VCT188" s="78"/>
      <c r="VCU188" s="78"/>
      <c r="VCV188" s="78"/>
      <c r="VCW188" s="78"/>
      <c r="VCX188" s="78"/>
      <c r="VCY188" s="78"/>
      <c r="VCZ188" s="78"/>
      <c r="VDA188" s="78"/>
      <c r="VDB188" s="78"/>
      <c r="VDC188" s="78"/>
      <c r="VDD188" s="78"/>
      <c r="VDE188" s="78"/>
      <c r="VDF188" s="78"/>
      <c r="VDG188" s="78"/>
      <c r="VDH188" s="78"/>
      <c r="VDI188" s="78"/>
      <c r="VDJ188" s="78"/>
      <c r="VDK188" s="78"/>
      <c r="VDL188" s="78"/>
      <c r="VDM188" s="78"/>
      <c r="VDN188" s="78"/>
      <c r="VDO188" s="78"/>
      <c r="VDP188" s="78"/>
      <c r="VDQ188" s="78"/>
      <c r="VDR188" s="78"/>
      <c r="VDS188" s="78"/>
      <c r="VDT188" s="78"/>
      <c r="VDU188" s="78"/>
      <c r="VDV188" s="78"/>
      <c r="VDW188" s="78"/>
      <c r="VDX188" s="78"/>
      <c r="VDY188" s="78"/>
      <c r="VDZ188" s="78"/>
      <c r="VEA188" s="78"/>
      <c r="VEB188" s="78"/>
      <c r="VEC188" s="78"/>
      <c r="VED188" s="78"/>
      <c r="VEE188" s="78"/>
      <c r="VEF188" s="78"/>
      <c r="VEG188" s="78"/>
      <c r="VEH188" s="78"/>
      <c r="VEI188" s="78"/>
      <c r="VEJ188" s="78"/>
      <c r="VEK188" s="78"/>
      <c r="VEL188" s="78"/>
      <c r="VEM188" s="78"/>
      <c r="VEN188" s="78"/>
      <c r="VEO188" s="78"/>
      <c r="VEP188" s="78"/>
      <c r="VEQ188" s="78"/>
      <c r="VER188" s="78"/>
      <c r="VES188" s="78"/>
      <c r="VET188" s="78"/>
      <c r="VEU188" s="78"/>
      <c r="VEV188" s="78"/>
      <c r="VEW188" s="78"/>
      <c r="VEX188" s="78"/>
      <c r="VEY188" s="78"/>
      <c r="VEZ188" s="78"/>
      <c r="VFA188" s="78"/>
      <c r="VFB188" s="78"/>
      <c r="VFC188" s="78"/>
      <c r="VFD188" s="78"/>
      <c r="VFE188" s="78"/>
      <c r="VFF188" s="78"/>
      <c r="VFG188" s="78"/>
      <c r="VFH188" s="78"/>
      <c r="VFI188" s="78"/>
      <c r="VFJ188" s="78"/>
      <c r="VFK188" s="78"/>
      <c r="VFL188" s="78"/>
      <c r="VFM188" s="78"/>
      <c r="VFN188" s="78"/>
      <c r="VFO188" s="78"/>
      <c r="VFP188" s="78"/>
      <c r="VFQ188" s="78"/>
      <c r="VFR188" s="78"/>
      <c r="VFS188" s="78"/>
      <c r="VFT188" s="78"/>
      <c r="VFU188" s="78"/>
      <c r="VFV188" s="78"/>
      <c r="VFW188" s="78"/>
      <c r="VFX188" s="78"/>
      <c r="VFY188" s="78"/>
      <c r="VFZ188" s="78"/>
      <c r="VGA188" s="78"/>
      <c r="VGB188" s="78"/>
      <c r="VGC188" s="78"/>
      <c r="VGD188" s="78"/>
      <c r="VGE188" s="78"/>
      <c r="VGF188" s="78"/>
      <c r="VGG188" s="78"/>
      <c r="VGH188" s="78"/>
      <c r="VGI188" s="78"/>
      <c r="VGJ188" s="78"/>
      <c r="VGK188" s="78"/>
      <c r="VGL188" s="78"/>
      <c r="VGM188" s="78"/>
      <c r="VGN188" s="78"/>
      <c r="VGO188" s="78"/>
      <c r="VGP188" s="78"/>
      <c r="VGQ188" s="78"/>
      <c r="VGR188" s="78"/>
      <c r="VGS188" s="78"/>
      <c r="VGT188" s="78"/>
      <c r="VGU188" s="78"/>
      <c r="VGV188" s="78"/>
      <c r="VGW188" s="78"/>
      <c r="VGX188" s="78"/>
      <c r="VGY188" s="78"/>
      <c r="VGZ188" s="78"/>
      <c r="VHA188" s="78"/>
      <c r="VHB188" s="78"/>
      <c r="VHC188" s="78"/>
      <c r="VHD188" s="78"/>
      <c r="VHE188" s="78"/>
      <c r="VHF188" s="78"/>
      <c r="VHG188" s="78"/>
      <c r="VHH188" s="78"/>
      <c r="VHI188" s="78"/>
      <c r="VHJ188" s="78"/>
      <c r="VHK188" s="78"/>
      <c r="VHL188" s="78"/>
      <c r="VHM188" s="78"/>
      <c r="VHN188" s="78"/>
      <c r="VHO188" s="78"/>
      <c r="VHP188" s="78"/>
      <c r="VHQ188" s="78"/>
      <c r="VHR188" s="78"/>
      <c r="VHS188" s="78"/>
      <c r="VHT188" s="78"/>
      <c r="VHU188" s="78"/>
      <c r="VHV188" s="78"/>
      <c r="VHW188" s="78"/>
      <c r="VHX188" s="78"/>
      <c r="VHY188" s="78"/>
      <c r="VHZ188" s="78"/>
      <c r="VIA188" s="78"/>
      <c r="VIB188" s="78"/>
      <c r="VIC188" s="78"/>
      <c r="VID188" s="78"/>
      <c r="VIE188" s="78"/>
      <c r="VIF188" s="78"/>
      <c r="VIG188" s="78"/>
      <c r="VIH188" s="78"/>
      <c r="VII188" s="78"/>
      <c r="VIJ188" s="78"/>
      <c r="VIK188" s="78"/>
      <c r="VIL188" s="78"/>
      <c r="VIM188" s="78"/>
      <c r="VIN188" s="78"/>
      <c r="VIO188" s="78"/>
      <c r="VIP188" s="78"/>
      <c r="VIQ188" s="78"/>
      <c r="VIR188" s="78"/>
      <c r="VIS188" s="78"/>
      <c r="VIT188" s="78"/>
      <c r="VIU188" s="78"/>
      <c r="VIV188" s="78"/>
      <c r="VIW188" s="78"/>
      <c r="VIX188" s="78"/>
      <c r="VIY188" s="78"/>
      <c r="VIZ188" s="78"/>
      <c r="VJA188" s="78"/>
      <c r="VJB188" s="78"/>
      <c r="VJC188" s="78"/>
      <c r="VJD188" s="78"/>
      <c r="VJE188" s="78"/>
      <c r="VJF188" s="78"/>
      <c r="VJG188" s="78"/>
      <c r="VJH188" s="78"/>
      <c r="VJI188" s="78"/>
      <c r="VJJ188" s="78"/>
      <c r="VJK188" s="78"/>
      <c r="VJL188" s="78"/>
      <c r="VJM188" s="78"/>
      <c r="VJN188" s="78"/>
      <c r="VJO188" s="78"/>
      <c r="VJP188" s="78"/>
      <c r="VJQ188" s="78"/>
      <c r="VJR188" s="78"/>
      <c r="VJS188" s="78"/>
      <c r="VJT188" s="78"/>
      <c r="VJU188" s="78"/>
      <c r="VJV188" s="78"/>
      <c r="VJW188" s="78"/>
      <c r="VJX188" s="78"/>
      <c r="VJY188" s="78"/>
      <c r="VJZ188" s="78"/>
      <c r="VKA188" s="78"/>
      <c r="VKB188" s="78"/>
      <c r="VKC188" s="78"/>
      <c r="VKD188" s="78"/>
      <c r="VKE188" s="78"/>
      <c r="VKF188" s="78"/>
      <c r="VKG188" s="78"/>
      <c r="VKH188" s="78"/>
      <c r="VKI188" s="78"/>
      <c r="VKJ188" s="78"/>
      <c r="VKK188" s="78"/>
      <c r="VKL188" s="78"/>
      <c r="VKM188" s="78"/>
      <c r="VKN188" s="78"/>
      <c r="VKO188" s="78"/>
      <c r="VKP188" s="78"/>
      <c r="VKQ188" s="78"/>
      <c r="VKR188" s="78"/>
      <c r="VKS188" s="78"/>
      <c r="VKT188" s="78"/>
      <c r="VKU188" s="78"/>
      <c r="VKV188" s="78"/>
      <c r="VKW188" s="78"/>
      <c r="VKX188" s="78"/>
      <c r="VKY188" s="78"/>
      <c r="VKZ188" s="78"/>
      <c r="VLA188" s="78"/>
      <c r="VLB188" s="78"/>
      <c r="VLC188" s="78"/>
      <c r="VLD188" s="78"/>
      <c r="VLE188" s="78"/>
      <c r="VLF188" s="78"/>
      <c r="VLG188" s="78"/>
      <c r="VLH188" s="78"/>
      <c r="VLI188" s="78"/>
      <c r="VLJ188" s="78"/>
      <c r="VLK188" s="78"/>
      <c r="VLL188" s="78"/>
      <c r="VLM188" s="78"/>
      <c r="VLN188" s="78"/>
      <c r="VLO188" s="78"/>
      <c r="VLP188" s="78"/>
      <c r="VLQ188" s="78"/>
      <c r="VLR188" s="78"/>
      <c r="VLS188" s="78"/>
      <c r="VLT188" s="78"/>
      <c r="VLU188" s="78"/>
      <c r="VLV188" s="78"/>
      <c r="VLW188" s="78"/>
      <c r="VLX188" s="78"/>
      <c r="VLY188" s="78"/>
      <c r="VLZ188" s="78"/>
      <c r="VMA188" s="78"/>
      <c r="VMB188" s="78"/>
      <c r="VMC188" s="78"/>
      <c r="VMD188" s="78"/>
      <c r="VME188" s="78"/>
      <c r="VMF188" s="78"/>
      <c r="VMG188" s="78"/>
      <c r="VMH188" s="78"/>
      <c r="VMI188" s="78"/>
      <c r="VMJ188" s="78"/>
      <c r="VMK188" s="78"/>
      <c r="VML188" s="78"/>
      <c r="VMM188" s="78"/>
      <c r="VMN188" s="78"/>
      <c r="VMO188" s="78"/>
      <c r="VMP188" s="78"/>
      <c r="VMQ188" s="78"/>
      <c r="VMR188" s="78"/>
      <c r="VMS188" s="78"/>
      <c r="VMT188" s="78"/>
      <c r="VMU188" s="78"/>
      <c r="VMV188" s="78"/>
      <c r="VMW188" s="78"/>
      <c r="VMX188" s="78"/>
      <c r="VMY188" s="78"/>
      <c r="VMZ188" s="78"/>
      <c r="VNA188" s="78"/>
      <c r="VNB188" s="78"/>
      <c r="VNC188" s="78"/>
      <c r="VND188" s="78"/>
      <c r="VNE188" s="78"/>
      <c r="VNF188" s="78"/>
      <c r="VNG188" s="78"/>
      <c r="VNH188" s="78"/>
      <c r="VNI188" s="78"/>
      <c r="VNJ188" s="78"/>
      <c r="VNK188" s="78"/>
      <c r="VNL188" s="78"/>
      <c r="VNM188" s="78"/>
      <c r="VNN188" s="78"/>
      <c r="VNO188" s="78"/>
      <c r="VNP188" s="78"/>
      <c r="VNQ188" s="78"/>
      <c r="VNR188" s="78"/>
      <c r="VNS188" s="78"/>
      <c r="VNT188" s="78"/>
      <c r="VNU188" s="78"/>
      <c r="VNV188" s="78"/>
      <c r="VNW188" s="78"/>
      <c r="VNX188" s="78"/>
      <c r="VNY188" s="78"/>
      <c r="VNZ188" s="78"/>
      <c r="VOA188" s="78"/>
      <c r="VOB188" s="78"/>
      <c r="VOC188" s="78"/>
      <c r="VOD188" s="78"/>
      <c r="VOE188" s="78"/>
      <c r="VOF188" s="78"/>
      <c r="VOG188" s="78"/>
      <c r="VOH188" s="78"/>
      <c r="VOI188" s="78"/>
      <c r="VOJ188" s="78"/>
      <c r="VOK188" s="78"/>
      <c r="VOL188" s="78"/>
      <c r="VOM188" s="78"/>
      <c r="VON188" s="78"/>
      <c r="VOO188" s="78"/>
      <c r="VOP188" s="78"/>
      <c r="VOQ188" s="78"/>
      <c r="VOR188" s="78"/>
      <c r="VOS188" s="78"/>
      <c r="VOT188" s="78"/>
      <c r="VOU188" s="78"/>
      <c r="VOV188" s="78"/>
      <c r="VOW188" s="78"/>
      <c r="VOX188" s="78"/>
      <c r="VOY188" s="78"/>
      <c r="VOZ188" s="78"/>
      <c r="VPA188" s="78"/>
      <c r="VPB188" s="78"/>
      <c r="VPC188" s="78"/>
      <c r="VPD188" s="78"/>
      <c r="VPE188" s="78"/>
      <c r="VPF188" s="78"/>
      <c r="VPG188" s="78"/>
      <c r="VPH188" s="78"/>
      <c r="VPI188" s="78"/>
      <c r="VPJ188" s="78"/>
      <c r="VPK188" s="78"/>
      <c r="VPL188" s="78"/>
      <c r="VPM188" s="78"/>
      <c r="VPN188" s="78"/>
      <c r="VPO188" s="78"/>
      <c r="VPP188" s="78"/>
      <c r="VPQ188" s="78"/>
      <c r="VPR188" s="78"/>
      <c r="VPS188" s="78"/>
      <c r="VPT188" s="78"/>
      <c r="VPU188" s="78"/>
      <c r="VPV188" s="78"/>
      <c r="VPW188" s="78"/>
      <c r="VPX188" s="78"/>
      <c r="VPY188" s="78"/>
      <c r="VPZ188" s="78"/>
      <c r="VQA188" s="78"/>
      <c r="VQB188" s="78"/>
      <c r="VQC188" s="78"/>
      <c r="VQD188" s="78"/>
      <c r="VQE188" s="78"/>
      <c r="VQF188" s="78"/>
      <c r="VQG188" s="78"/>
      <c r="VQH188" s="78"/>
      <c r="VQI188" s="78"/>
      <c r="VQJ188" s="78"/>
      <c r="VQK188" s="78"/>
      <c r="VQL188" s="78"/>
      <c r="VQM188" s="78"/>
      <c r="VQN188" s="78"/>
      <c r="VQO188" s="78"/>
      <c r="VQP188" s="78"/>
      <c r="VQQ188" s="78"/>
      <c r="VQR188" s="78"/>
      <c r="VQS188" s="78"/>
      <c r="VQT188" s="78"/>
      <c r="VQU188" s="78"/>
      <c r="VQV188" s="78"/>
      <c r="VQW188" s="78"/>
      <c r="VQX188" s="78"/>
      <c r="VQY188" s="78"/>
      <c r="VQZ188" s="78"/>
      <c r="VRA188" s="78"/>
      <c r="VRB188" s="78"/>
      <c r="VRC188" s="78"/>
      <c r="VRD188" s="78"/>
      <c r="VRE188" s="78"/>
      <c r="VRF188" s="78"/>
      <c r="VRG188" s="78"/>
      <c r="VRH188" s="78"/>
      <c r="VRI188" s="78"/>
      <c r="VRJ188" s="78"/>
      <c r="VRK188" s="78"/>
      <c r="VRL188" s="78"/>
      <c r="VRM188" s="78"/>
      <c r="VRN188" s="78"/>
      <c r="VRO188" s="78"/>
      <c r="VRP188" s="78"/>
      <c r="VRQ188" s="78"/>
      <c r="VRR188" s="78"/>
      <c r="VRS188" s="78"/>
      <c r="VRT188" s="78"/>
      <c r="VRU188" s="78"/>
      <c r="VRV188" s="78"/>
      <c r="VRW188" s="78"/>
      <c r="VRX188" s="78"/>
      <c r="VRY188" s="78"/>
      <c r="VRZ188" s="78"/>
      <c r="VSA188" s="78"/>
      <c r="VSB188" s="78"/>
      <c r="VSC188" s="78"/>
      <c r="VSD188" s="78"/>
      <c r="VSE188" s="78"/>
      <c r="VSF188" s="78"/>
      <c r="VSG188" s="78"/>
      <c r="VSH188" s="78"/>
      <c r="VSI188" s="78"/>
      <c r="VSJ188" s="78"/>
      <c r="VSK188" s="78"/>
      <c r="VSL188" s="78"/>
      <c r="VSM188" s="78"/>
      <c r="VSN188" s="78"/>
      <c r="VSO188" s="78"/>
      <c r="VSP188" s="78"/>
      <c r="VSQ188" s="78"/>
      <c r="VSR188" s="78"/>
      <c r="VSS188" s="78"/>
      <c r="VST188" s="78"/>
      <c r="VSU188" s="78"/>
      <c r="VSV188" s="78"/>
      <c r="VSW188" s="78"/>
      <c r="VSX188" s="78"/>
      <c r="VSY188" s="78"/>
      <c r="VSZ188" s="78"/>
      <c r="VTA188" s="78"/>
      <c r="VTB188" s="78"/>
      <c r="VTC188" s="78"/>
      <c r="VTD188" s="78"/>
      <c r="VTE188" s="78"/>
      <c r="VTF188" s="78"/>
      <c r="VTG188" s="78"/>
      <c r="VTH188" s="78"/>
      <c r="VTI188" s="78"/>
      <c r="VTJ188" s="78"/>
      <c r="VTK188" s="78"/>
      <c r="VTL188" s="78"/>
      <c r="VTM188" s="78"/>
      <c r="VTN188" s="78"/>
      <c r="VTO188" s="78"/>
      <c r="VTP188" s="78"/>
      <c r="VTQ188" s="78"/>
      <c r="VTR188" s="78"/>
      <c r="VTS188" s="78"/>
      <c r="VTT188" s="78"/>
      <c r="VTU188" s="78"/>
      <c r="VTV188" s="78"/>
      <c r="VTW188" s="78"/>
      <c r="VTX188" s="78"/>
      <c r="VTY188" s="78"/>
      <c r="VTZ188" s="78"/>
      <c r="VUA188" s="78"/>
      <c r="VUB188" s="78"/>
      <c r="VUC188" s="78"/>
      <c r="VUD188" s="78"/>
      <c r="VUE188" s="78"/>
      <c r="VUF188" s="78"/>
      <c r="VUG188" s="78"/>
      <c r="VUH188" s="78"/>
      <c r="VUI188" s="78"/>
      <c r="VUJ188" s="78"/>
      <c r="VUK188" s="78"/>
      <c r="VUL188" s="78"/>
      <c r="VUM188" s="78"/>
      <c r="VUN188" s="78"/>
      <c r="VUO188" s="78"/>
      <c r="VUP188" s="78"/>
      <c r="VUQ188" s="78"/>
      <c r="VUR188" s="78"/>
      <c r="VUS188" s="78"/>
      <c r="VUT188" s="78"/>
      <c r="VUU188" s="78"/>
      <c r="VUV188" s="78"/>
      <c r="VUW188" s="78"/>
      <c r="VUX188" s="78"/>
      <c r="VUY188" s="78"/>
      <c r="VUZ188" s="78"/>
      <c r="VVA188" s="78"/>
      <c r="VVB188" s="78"/>
      <c r="VVC188" s="78"/>
      <c r="VVD188" s="78"/>
      <c r="VVE188" s="78"/>
      <c r="VVF188" s="78"/>
      <c r="VVG188" s="78"/>
      <c r="VVH188" s="78"/>
      <c r="VVI188" s="78"/>
      <c r="VVJ188" s="78"/>
      <c r="VVK188" s="78"/>
      <c r="VVL188" s="78"/>
      <c r="VVM188" s="78"/>
      <c r="VVN188" s="78"/>
      <c r="VVO188" s="78"/>
      <c r="VVP188" s="78"/>
      <c r="VVQ188" s="78"/>
      <c r="VVR188" s="78"/>
      <c r="VVS188" s="78"/>
      <c r="VVT188" s="78"/>
      <c r="VVU188" s="78"/>
      <c r="VVV188" s="78"/>
      <c r="VVW188" s="78"/>
      <c r="VVX188" s="78"/>
      <c r="VVY188" s="78"/>
      <c r="VVZ188" s="78"/>
      <c r="VWA188" s="78"/>
      <c r="VWB188" s="78"/>
      <c r="VWC188" s="78"/>
      <c r="VWD188" s="78"/>
      <c r="VWE188" s="78"/>
      <c r="VWF188" s="78"/>
      <c r="VWG188" s="78"/>
      <c r="VWH188" s="78"/>
      <c r="VWI188" s="78"/>
      <c r="VWJ188" s="78"/>
      <c r="VWK188" s="78"/>
      <c r="VWL188" s="78"/>
      <c r="VWM188" s="78"/>
      <c r="VWN188" s="78"/>
      <c r="VWO188" s="78"/>
      <c r="VWP188" s="78"/>
      <c r="VWQ188" s="78"/>
      <c r="VWR188" s="78"/>
      <c r="VWS188" s="78"/>
      <c r="VWT188" s="78"/>
      <c r="VWU188" s="78"/>
      <c r="VWV188" s="78"/>
      <c r="VWW188" s="78"/>
      <c r="VWX188" s="78"/>
      <c r="VWY188" s="78"/>
      <c r="VWZ188" s="78"/>
      <c r="VXA188" s="78"/>
      <c r="VXB188" s="78"/>
      <c r="VXC188" s="78"/>
      <c r="VXD188" s="78"/>
      <c r="VXE188" s="78"/>
      <c r="VXF188" s="78"/>
      <c r="VXG188" s="78"/>
      <c r="VXH188" s="78"/>
      <c r="VXI188" s="78"/>
      <c r="VXJ188" s="78"/>
      <c r="VXK188" s="78"/>
      <c r="VXL188" s="78"/>
      <c r="VXM188" s="78"/>
      <c r="VXN188" s="78"/>
      <c r="VXO188" s="78"/>
      <c r="VXP188" s="78"/>
      <c r="VXQ188" s="78"/>
      <c r="VXR188" s="78"/>
      <c r="VXS188" s="78"/>
      <c r="VXT188" s="78"/>
      <c r="VXU188" s="78"/>
      <c r="VXV188" s="78"/>
      <c r="VXW188" s="78"/>
      <c r="VXX188" s="78"/>
      <c r="VXY188" s="78"/>
      <c r="VXZ188" s="78"/>
      <c r="VYA188" s="78"/>
      <c r="VYB188" s="78"/>
      <c r="VYC188" s="78"/>
      <c r="VYD188" s="78"/>
      <c r="VYE188" s="78"/>
      <c r="VYF188" s="78"/>
      <c r="VYG188" s="78"/>
      <c r="VYH188" s="78"/>
      <c r="VYI188" s="78"/>
      <c r="VYJ188" s="78"/>
      <c r="VYK188" s="78"/>
      <c r="VYL188" s="78"/>
      <c r="VYM188" s="78"/>
      <c r="VYN188" s="78"/>
      <c r="VYO188" s="78"/>
      <c r="VYP188" s="78"/>
      <c r="VYQ188" s="78"/>
      <c r="VYR188" s="78"/>
      <c r="VYS188" s="78"/>
      <c r="VYT188" s="78"/>
      <c r="VYU188" s="78"/>
      <c r="VYV188" s="78"/>
      <c r="VYW188" s="78"/>
      <c r="VYX188" s="78"/>
      <c r="VYY188" s="78"/>
      <c r="VYZ188" s="78"/>
      <c r="VZA188" s="78"/>
      <c r="VZB188" s="78"/>
      <c r="VZC188" s="78"/>
      <c r="VZD188" s="78"/>
      <c r="VZE188" s="78"/>
      <c r="VZF188" s="78"/>
      <c r="VZG188" s="78"/>
      <c r="VZH188" s="78"/>
      <c r="VZI188" s="78"/>
      <c r="VZJ188" s="78"/>
      <c r="VZK188" s="78"/>
      <c r="VZL188" s="78"/>
      <c r="VZM188" s="78"/>
      <c r="VZN188" s="78"/>
      <c r="VZO188" s="78"/>
      <c r="VZP188" s="78"/>
      <c r="VZQ188" s="78"/>
      <c r="VZR188" s="78"/>
      <c r="VZS188" s="78"/>
      <c r="VZT188" s="78"/>
      <c r="VZU188" s="78"/>
      <c r="VZV188" s="78"/>
      <c r="VZW188" s="78"/>
      <c r="VZX188" s="78"/>
      <c r="VZY188" s="78"/>
      <c r="VZZ188" s="78"/>
      <c r="WAA188" s="78"/>
      <c r="WAB188" s="78"/>
      <c r="WAC188" s="78"/>
      <c r="WAD188" s="78"/>
      <c r="WAE188" s="78"/>
      <c r="WAF188" s="78"/>
      <c r="WAG188" s="78"/>
      <c r="WAH188" s="78"/>
      <c r="WAI188" s="78"/>
      <c r="WAJ188" s="78"/>
      <c r="WAK188" s="78"/>
      <c r="WAL188" s="78"/>
      <c r="WAM188" s="78"/>
      <c r="WAN188" s="78"/>
      <c r="WAO188" s="78"/>
      <c r="WAP188" s="78"/>
      <c r="WAQ188" s="78"/>
      <c r="WAR188" s="78"/>
      <c r="WAS188" s="78"/>
      <c r="WAT188" s="78"/>
      <c r="WAU188" s="78"/>
      <c r="WAV188" s="78"/>
      <c r="WAW188" s="78"/>
      <c r="WAX188" s="78"/>
      <c r="WAY188" s="78"/>
      <c r="WAZ188" s="78"/>
      <c r="WBA188" s="78"/>
      <c r="WBB188" s="78"/>
      <c r="WBC188" s="78"/>
      <c r="WBD188" s="78"/>
      <c r="WBE188" s="78"/>
      <c r="WBF188" s="78"/>
      <c r="WBG188" s="78"/>
      <c r="WBH188" s="78"/>
      <c r="WBI188" s="78"/>
      <c r="WBJ188" s="78"/>
      <c r="WBK188" s="78"/>
      <c r="WBL188" s="78"/>
      <c r="WBM188" s="78"/>
      <c r="WBN188" s="78"/>
      <c r="WBO188" s="78"/>
      <c r="WBP188" s="78"/>
      <c r="WBQ188" s="78"/>
      <c r="WBR188" s="78"/>
      <c r="WBS188" s="78"/>
      <c r="WBT188" s="78"/>
      <c r="WBU188" s="78"/>
      <c r="WBV188" s="78"/>
      <c r="WBW188" s="78"/>
      <c r="WBX188" s="78"/>
      <c r="WBY188" s="78"/>
      <c r="WBZ188" s="78"/>
      <c r="WCA188" s="78"/>
      <c r="WCB188" s="78"/>
      <c r="WCC188" s="78"/>
      <c r="WCD188" s="78"/>
      <c r="WCE188" s="78"/>
      <c r="WCF188" s="78"/>
      <c r="WCG188" s="78"/>
      <c r="WCH188" s="78"/>
      <c r="WCI188" s="78"/>
      <c r="WCJ188" s="78"/>
      <c r="WCK188" s="78"/>
      <c r="WCL188" s="78"/>
      <c r="WCM188" s="78"/>
      <c r="WCN188" s="78"/>
      <c r="WCO188" s="78"/>
      <c r="WCP188" s="78"/>
      <c r="WCQ188" s="78"/>
      <c r="WCR188" s="78"/>
      <c r="WCS188" s="78"/>
      <c r="WCT188" s="78"/>
      <c r="WCU188" s="78"/>
      <c r="WCV188" s="78"/>
      <c r="WCW188" s="78"/>
      <c r="WCX188" s="78"/>
      <c r="WCY188" s="78"/>
      <c r="WCZ188" s="78"/>
      <c r="WDA188" s="78"/>
      <c r="WDB188" s="78"/>
      <c r="WDC188" s="78"/>
      <c r="WDD188" s="78"/>
      <c r="WDE188" s="78"/>
      <c r="WDF188" s="78"/>
      <c r="WDG188" s="78"/>
      <c r="WDH188" s="78"/>
      <c r="WDI188" s="78"/>
      <c r="WDJ188" s="78"/>
      <c r="WDK188" s="78"/>
      <c r="WDL188" s="78"/>
      <c r="WDM188" s="78"/>
      <c r="WDN188" s="78"/>
      <c r="WDO188" s="78"/>
      <c r="WDP188" s="78"/>
      <c r="WDQ188" s="78"/>
      <c r="WDR188" s="78"/>
      <c r="WDS188" s="78"/>
      <c r="WDT188" s="78"/>
      <c r="WDU188" s="78"/>
      <c r="WDV188" s="78"/>
      <c r="WDW188" s="78"/>
      <c r="WDX188" s="78"/>
      <c r="WDY188" s="78"/>
      <c r="WDZ188" s="78"/>
      <c r="WEA188" s="78"/>
      <c r="WEB188" s="78"/>
      <c r="WEC188" s="78"/>
      <c r="WED188" s="78"/>
      <c r="WEE188" s="78"/>
      <c r="WEF188" s="78"/>
      <c r="WEG188" s="78"/>
      <c r="WEH188" s="78"/>
      <c r="WEI188" s="78"/>
      <c r="WEJ188" s="78"/>
      <c r="WEK188" s="78"/>
      <c r="WEL188" s="78"/>
      <c r="WEM188" s="78"/>
      <c r="WEN188" s="78"/>
      <c r="WEO188" s="78"/>
      <c r="WEP188" s="78"/>
      <c r="WEQ188" s="78"/>
      <c r="WER188" s="78"/>
      <c r="WES188" s="78"/>
      <c r="WET188" s="78"/>
      <c r="WEU188" s="78"/>
      <c r="WEV188" s="78"/>
      <c r="WEW188" s="78"/>
      <c r="WEX188" s="78"/>
      <c r="WEY188" s="78"/>
      <c r="WEZ188" s="78"/>
      <c r="WFA188" s="78"/>
      <c r="WFB188" s="78"/>
      <c r="WFC188" s="78"/>
      <c r="WFD188" s="78"/>
      <c r="WFE188" s="78"/>
      <c r="WFF188" s="78"/>
      <c r="WFG188" s="78"/>
      <c r="WFH188" s="78"/>
      <c r="WFI188" s="78"/>
      <c r="WFJ188" s="78"/>
      <c r="WFK188" s="78"/>
      <c r="WFL188" s="78"/>
      <c r="WFM188" s="78"/>
      <c r="WFN188" s="78"/>
      <c r="WFO188" s="78"/>
      <c r="WFP188" s="78"/>
      <c r="WFQ188" s="78"/>
      <c r="WFR188" s="78"/>
      <c r="WFS188" s="78"/>
      <c r="WFT188" s="78"/>
      <c r="WFU188" s="78"/>
      <c r="WFV188" s="78"/>
      <c r="WFW188" s="78"/>
      <c r="WFX188" s="78"/>
      <c r="WFY188" s="78"/>
      <c r="WFZ188" s="78"/>
      <c r="WGA188" s="78"/>
      <c r="WGB188" s="78"/>
      <c r="WGC188" s="78"/>
      <c r="WGD188" s="78"/>
      <c r="WGE188" s="78"/>
      <c r="WGF188" s="78"/>
      <c r="WGG188" s="78"/>
      <c r="WGH188" s="78"/>
      <c r="WGI188" s="78"/>
      <c r="WGJ188" s="78"/>
      <c r="WGK188" s="78"/>
      <c r="WGL188" s="78"/>
      <c r="WGM188" s="78"/>
      <c r="WGN188" s="78"/>
      <c r="WGO188" s="78"/>
      <c r="WGP188" s="78"/>
      <c r="WGQ188" s="78"/>
      <c r="WGR188" s="78"/>
      <c r="WGS188" s="78"/>
      <c r="WGT188" s="78"/>
      <c r="WGU188" s="78"/>
      <c r="WGV188" s="78"/>
      <c r="WGW188" s="78"/>
      <c r="WGX188" s="78"/>
      <c r="WGY188" s="78"/>
      <c r="WGZ188" s="78"/>
      <c r="WHA188" s="78"/>
      <c r="WHB188" s="78"/>
      <c r="WHC188" s="78"/>
      <c r="WHD188" s="78"/>
      <c r="WHE188" s="78"/>
      <c r="WHF188" s="78"/>
      <c r="WHG188" s="78"/>
      <c r="WHH188" s="78"/>
      <c r="WHI188" s="78"/>
      <c r="WHJ188" s="78"/>
      <c r="WHK188" s="78"/>
      <c r="WHL188" s="78"/>
      <c r="WHM188" s="78"/>
      <c r="WHN188" s="78"/>
      <c r="WHO188" s="78"/>
      <c r="WHP188" s="78"/>
      <c r="WHQ188" s="78"/>
      <c r="WHR188" s="78"/>
      <c r="WHS188" s="78"/>
      <c r="WHT188" s="78"/>
      <c r="WHU188" s="78"/>
      <c r="WHV188" s="78"/>
      <c r="WHW188" s="78"/>
      <c r="WHX188" s="78"/>
      <c r="WHY188" s="78"/>
      <c r="WHZ188" s="78"/>
      <c r="WIA188" s="78"/>
      <c r="WIB188" s="78"/>
      <c r="WIC188" s="78"/>
      <c r="WID188" s="78"/>
      <c r="WIE188" s="78"/>
      <c r="WIF188" s="78"/>
      <c r="WIG188" s="78"/>
      <c r="WIH188" s="78"/>
      <c r="WII188" s="78"/>
      <c r="WIJ188" s="78"/>
      <c r="WIK188" s="78"/>
      <c r="WIL188" s="78"/>
      <c r="WIM188" s="78"/>
      <c r="WIN188" s="78"/>
      <c r="WIO188" s="78"/>
      <c r="WIP188" s="78"/>
      <c r="WIQ188" s="78"/>
      <c r="WIR188" s="78"/>
      <c r="WIS188" s="78"/>
      <c r="WIT188" s="78"/>
      <c r="WIU188" s="78"/>
      <c r="WIV188" s="78"/>
      <c r="WIW188" s="78"/>
      <c r="WIX188" s="78"/>
      <c r="WIY188" s="78"/>
      <c r="WIZ188" s="78"/>
      <c r="WJA188" s="78"/>
      <c r="WJB188" s="78"/>
      <c r="WJC188" s="78"/>
      <c r="WJD188" s="78"/>
      <c r="WJE188" s="78"/>
      <c r="WJF188" s="78"/>
      <c r="WJG188" s="78"/>
      <c r="WJH188" s="78"/>
      <c r="WJI188" s="78"/>
      <c r="WJJ188" s="78"/>
      <c r="WJK188" s="78"/>
      <c r="WJL188" s="78"/>
      <c r="WJM188" s="78"/>
      <c r="WJN188" s="78"/>
      <c r="WJO188" s="78"/>
      <c r="WJP188" s="78"/>
      <c r="WJQ188" s="78"/>
      <c r="WJR188" s="78"/>
      <c r="WJS188" s="78"/>
      <c r="WJT188" s="78"/>
      <c r="WJU188" s="78"/>
      <c r="WJV188" s="78"/>
      <c r="WJW188" s="78"/>
      <c r="WJX188" s="78"/>
      <c r="WJY188" s="78"/>
      <c r="WJZ188" s="78"/>
      <c r="WKA188" s="78"/>
      <c r="WKB188" s="78"/>
      <c r="WKC188" s="78"/>
      <c r="WKD188" s="78"/>
      <c r="WKE188" s="78"/>
      <c r="WKF188" s="78"/>
      <c r="WKG188" s="78"/>
      <c r="WKH188" s="78"/>
      <c r="WKI188" s="78"/>
      <c r="WKJ188" s="78"/>
      <c r="WKK188" s="78"/>
      <c r="WKL188" s="78"/>
      <c r="WKM188" s="78"/>
      <c r="WKN188" s="78"/>
      <c r="WKO188" s="78"/>
      <c r="WKP188" s="78"/>
      <c r="WKQ188" s="78"/>
      <c r="WKR188" s="78"/>
      <c r="WKS188" s="78"/>
      <c r="WKT188" s="78"/>
      <c r="WKU188" s="78"/>
      <c r="WKV188" s="78"/>
      <c r="WKW188" s="78"/>
      <c r="WKX188" s="78"/>
      <c r="WKY188" s="78"/>
      <c r="WKZ188" s="78"/>
      <c r="WLA188" s="78"/>
      <c r="WLB188" s="78"/>
      <c r="WLC188" s="78"/>
      <c r="WLD188" s="78"/>
      <c r="WLE188" s="78"/>
      <c r="WLF188" s="78"/>
      <c r="WLG188" s="78"/>
      <c r="WLH188" s="78"/>
      <c r="WLI188" s="78"/>
      <c r="WLJ188" s="78"/>
      <c r="WLK188" s="78"/>
      <c r="WLL188" s="78"/>
      <c r="WLM188" s="78"/>
      <c r="WLN188" s="78"/>
      <c r="WLO188" s="78"/>
      <c r="WLP188" s="78"/>
      <c r="WLQ188" s="78"/>
      <c r="WLR188" s="78"/>
      <c r="WLS188" s="78"/>
      <c r="WLT188" s="78"/>
      <c r="WLU188" s="78"/>
      <c r="WLV188" s="78"/>
      <c r="WLW188" s="78"/>
      <c r="WLX188" s="78"/>
      <c r="WLY188" s="78"/>
      <c r="WLZ188" s="78"/>
      <c r="WMA188" s="78"/>
      <c r="WMB188" s="78"/>
      <c r="WMC188" s="78"/>
      <c r="WMD188" s="78"/>
      <c r="WME188" s="78"/>
      <c r="WMF188" s="78"/>
      <c r="WMG188" s="78"/>
      <c r="WMH188" s="78"/>
      <c r="WMI188" s="78"/>
      <c r="WMJ188" s="78"/>
      <c r="WMK188" s="78"/>
      <c r="WML188" s="78"/>
      <c r="WMM188" s="78"/>
      <c r="WMN188" s="78"/>
      <c r="WMO188" s="78"/>
      <c r="WMP188" s="78"/>
      <c r="WMQ188" s="78"/>
      <c r="WMR188" s="78"/>
      <c r="WMS188" s="78"/>
      <c r="WMT188" s="78"/>
      <c r="WMU188" s="78"/>
      <c r="WMV188" s="78"/>
      <c r="WMW188" s="78"/>
      <c r="WMX188" s="78"/>
      <c r="WMY188" s="78"/>
      <c r="WMZ188" s="78"/>
      <c r="WNA188" s="78"/>
      <c r="WNB188" s="78"/>
      <c r="WNC188" s="78"/>
      <c r="WND188" s="78"/>
      <c r="WNE188" s="78"/>
      <c r="WNF188" s="78"/>
      <c r="WNG188" s="78"/>
      <c r="WNH188" s="78"/>
      <c r="WNI188" s="78"/>
      <c r="WNJ188" s="78"/>
      <c r="WNK188" s="78"/>
      <c r="WNL188" s="78"/>
      <c r="WNM188" s="78"/>
      <c r="WNN188" s="78"/>
      <c r="WNO188" s="78"/>
      <c r="WNP188" s="78"/>
      <c r="WNQ188" s="78"/>
      <c r="WNR188" s="78"/>
      <c r="WNS188" s="78"/>
      <c r="WNT188" s="78"/>
      <c r="WNU188" s="78"/>
      <c r="WNV188" s="78"/>
      <c r="WNW188" s="78"/>
      <c r="WNX188" s="78"/>
      <c r="WNY188" s="78"/>
      <c r="WNZ188" s="78"/>
      <c r="WOA188" s="78"/>
      <c r="WOB188" s="78"/>
      <c r="WOC188" s="78"/>
      <c r="WOD188" s="78"/>
      <c r="WOE188" s="78"/>
      <c r="WOF188" s="78"/>
      <c r="WOG188" s="78"/>
      <c r="WOH188" s="78"/>
      <c r="WOI188" s="78"/>
      <c r="WOJ188" s="78"/>
      <c r="WOK188" s="78"/>
      <c r="WOL188" s="78"/>
      <c r="WOM188" s="78"/>
      <c r="WON188" s="78"/>
      <c r="WOO188" s="78"/>
      <c r="WOP188" s="78"/>
      <c r="WOQ188" s="78"/>
      <c r="WOR188" s="78"/>
      <c r="WOS188" s="78"/>
      <c r="WOT188" s="78"/>
      <c r="WOU188" s="78"/>
      <c r="WOV188" s="78"/>
      <c r="WOW188" s="78"/>
      <c r="WOX188" s="78"/>
      <c r="WOY188" s="78"/>
      <c r="WOZ188" s="78"/>
      <c r="WPA188" s="78"/>
      <c r="WPB188" s="78"/>
      <c r="WPC188" s="78"/>
      <c r="WPD188" s="78"/>
      <c r="WPE188" s="78"/>
      <c r="WPF188" s="78"/>
      <c r="WPG188" s="78"/>
      <c r="WPH188" s="78"/>
      <c r="WPI188" s="78"/>
      <c r="WPJ188" s="78"/>
      <c r="WPK188" s="78"/>
      <c r="WPL188" s="78"/>
      <c r="WPM188" s="78"/>
      <c r="WPN188" s="78"/>
      <c r="WPO188" s="78"/>
      <c r="WPP188" s="78"/>
      <c r="WPQ188" s="78"/>
      <c r="WPR188" s="78"/>
      <c r="WPS188" s="78"/>
      <c r="WPT188" s="78"/>
      <c r="WPU188" s="78"/>
      <c r="WPV188" s="78"/>
      <c r="WPW188" s="78"/>
      <c r="WPX188" s="78"/>
      <c r="WPY188" s="78"/>
      <c r="WPZ188" s="78"/>
      <c r="WQA188" s="78"/>
      <c r="WQB188" s="78"/>
      <c r="WQC188" s="78"/>
      <c r="WQD188" s="78"/>
      <c r="WQE188" s="78"/>
      <c r="WQF188" s="78"/>
      <c r="WQG188" s="78"/>
      <c r="WQH188" s="78"/>
      <c r="WQI188" s="78"/>
      <c r="WQJ188" s="78"/>
      <c r="WQK188" s="78"/>
      <c r="WQL188" s="78"/>
      <c r="WQM188" s="78"/>
      <c r="WQN188" s="78"/>
      <c r="WQO188" s="78"/>
      <c r="WQP188" s="78"/>
      <c r="WQQ188" s="78"/>
      <c r="WQR188" s="78"/>
      <c r="WQS188" s="78"/>
      <c r="WQT188" s="78"/>
      <c r="WQU188" s="78"/>
      <c r="WQV188" s="78"/>
      <c r="WQW188" s="78"/>
      <c r="WQX188" s="78"/>
      <c r="WQY188" s="78"/>
      <c r="WQZ188" s="78"/>
      <c r="WRA188" s="78"/>
      <c r="WRB188" s="78"/>
      <c r="WRC188" s="78"/>
      <c r="WRD188" s="78"/>
      <c r="WRE188" s="78"/>
      <c r="WRF188" s="78"/>
      <c r="WRG188" s="78"/>
      <c r="WRH188" s="78"/>
      <c r="WRI188" s="78"/>
      <c r="WRJ188" s="78"/>
      <c r="WRK188" s="78"/>
      <c r="WRL188" s="78"/>
      <c r="WRM188" s="78"/>
      <c r="WRN188" s="78"/>
      <c r="WRO188" s="78"/>
      <c r="WRP188" s="78"/>
      <c r="WRQ188" s="78"/>
      <c r="WRR188" s="78"/>
      <c r="WRS188" s="78"/>
      <c r="WRT188" s="78"/>
      <c r="WRU188" s="78"/>
      <c r="WRV188" s="78"/>
      <c r="WRW188" s="78"/>
      <c r="WRX188" s="78"/>
      <c r="WRY188" s="78"/>
      <c r="WRZ188" s="78"/>
      <c r="WSA188" s="78"/>
      <c r="WSB188" s="78"/>
      <c r="WSC188" s="78"/>
      <c r="WSD188" s="78"/>
      <c r="WSE188" s="78"/>
      <c r="WSF188" s="78"/>
      <c r="WSG188" s="78"/>
      <c r="WSH188" s="78"/>
      <c r="WSI188" s="78"/>
      <c r="WSJ188" s="78"/>
      <c r="WSK188" s="78"/>
      <c r="WSL188" s="78"/>
      <c r="WSM188" s="78"/>
      <c r="WSN188" s="78"/>
      <c r="WSO188" s="78"/>
      <c r="WSP188" s="78"/>
      <c r="WSQ188" s="78"/>
      <c r="WSR188" s="78"/>
      <c r="WSS188" s="78"/>
      <c r="WST188" s="78"/>
      <c r="WSU188" s="78"/>
      <c r="WSV188" s="78"/>
      <c r="WSW188" s="78"/>
      <c r="WSX188" s="78"/>
      <c r="WSY188" s="78"/>
      <c r="WSZ188" s="78"/>
      <c r="WTA188" s="78"/>
      <c r="WTB188" s="78"/>
      <c r="WTC188" s="78"/>
      <c r="WTD188" s="78"/>
      <c r="WTE188" s="78"/>
      <c r="WTF188" s="78"/>
      <c r="WTG188" s="78"/>
      <c r="WTH188" s="78"/>
      <c r="WTI188" s="78"/>
      <c r="WTJ188" s="78"/>
      <c r="WTK188" s="78"/>
      <c r="WTL188" s="78"/>
      <c r="WTM188" s="78"/>
      <c r="WTN188" s="78"/>
      <c r="WTO188" s="78"/>
      <c r="WTP188" s="78"/>
      <c r="WTQ188" s="78"/>
      <c r="WTR188" s="78"/>
      <c r="WTS188" s="78"/>
      <c r="WTT188" s="78"/>
      <c r="WTU188" s="78"/>
      <c r="WTV188" s="78"/>
      <c r="WTW188" s="78"/>
      <c r="WTX188" s="78"/>
      <c r="WTY188" s="78"/>
      <c r="WTZ188" s="78"/>
      <c r="WUA188" s="78"/>
      <c r="WUB188" s="78"/>
      <c r="WUC188" s="78"/>
      <c r="WUD188" s="78"/>
      <c r="WUE188" s="78"/>
      <c r="WUF188" s="78"/>
      <c r="WUG188" s="78"/>
      <c r="WUH188" s="78"/>
      <c r="WUI188" s="78"/>
      <c r="WUJ188" s="78"/>
      <c r="WUK188" s="78"/>
      <c r="WUL188" s="78"/>
      <c r="WUM188" s="78"/>
      <c r="WUN188" s="78"/>
      <c r="WUO188" s="78"/>
      <c r="WUP188" s="78"/>
      <c r="WUQ188" s="78"/>
      <c r="WUR188" s="78"/>
      <c r="WUS188" s="78"/>
      <c r="WUT188" s="78"/>
      <c r="WUU188" s="78"/>
      <c r="WUV188" s="78"/>
      <c r="WUW188" s="78"/>
      <c r="WUX188" s="78"/>
      <c r="WUY188" s="78"/>
      <c r="WUZ188" s="78"/>
      <c r="WVA188" s="78"/>
      <c r="WVB188" s="78"/>
      <c r="WVC188" s="78"/>
      <c r="WVD188" s="78"/>
      <c r="WVE188" s="78"/>
      <c r="WVF188" s="78"/>
      <c r="WVG188" s="78"/>
      <c r="WVH188" s="78"/>
      <c r="WVI188" s="78"/>
      <c r="WVJ188" s="78"/>
      <c r="WVK188" s="78"/>
      <c r="WVL188" s="78"/>
      <c r="WVM188" s="78"/>
      <c r="WVN188" s="78"/>
      <c r="WVO188" s="78"/>
      <c r="WVP188" s="78"/>
      <c r="WVQ188" s="78"/>
      <c r="WVR188" s="78"/>
      <c r="WVS188" s="78"/>
      <c r="WVT188" s="78"/>
      <c r="WVU188" s="78"/>
      <c r="WVV188" s="78"/>
      <c r="WVW188" s="78"/>
      <c r="WVX188" s="78"/>
      <c r="WVY188" s="78"/>
      <c r="WVZ188" s="78"/>
      <c r="WWA188" s="78"/>
      <c r="WWB188" s="78"/>
      <c r="WWC188" s="78"/>
      <c r="WWD188" s="78"/>
      <c r="WWE188" s="78"/>
      <c r="WWF188" s="78"/>
      <c r="WWG188" s="78"/>
      <c r="WWH188" s="78"/>
      <c r="WWI188" s="78"/>
      <c r="WWJ188" s="78"/>
      <c r="WWK188" s="78"/>
      <c r="WWL188" s="78"/>
      <c r="WWM188" s="78"/>
      <c r="WWN188" s="78"/>
      <c r="WWO188" s="78"/>
      <c r="WWP188" s="78"/>
      <c r="WWQ188" s="78"/>
      <c r="WWR188" s="78"/>
      <c r="WWS188" s="78"/>
      <c r="WWT188" s="78"/>
      <c r="WWU188" s="78"/>
      <c r="WWV188" s="78"/>
      <c r="WWW188" s="78"/>
      <c r="WWX188" s="78"/>
      <c r="WWY188" s="78"/>
      <c r="WWZ188" s="78"/>
      <c r="WXA188" s="78"/>
      <c r="WXB188" s="78"/>
      <c r="WXC188" s="78"/>
      <c r="WXD188" s="78"/>
      <c r="WXE188" s="78"/>
      <c r="WXF188" s="78"/>
      <c r="WXG188" s="78"/>
      <c r="WXH188" s="78"/>
      <c r="WXI188" s="78"/>
      <c r="WXJ188" s="78"/>
      <c r="WXK188" s="78"/>
      <c r="WXL188" s="78"/>
      <c r="WXM188" s="78"/>
      <c r="WXN188" s="78"/>
      <c r="WXO188" s="78"/>
      <c r="WXP188" s="78"/>
      <c r="WXQ188" s="78"/>
      <c r="WXR188" s="78"/>
      <c r="WXS188" s="78"/>
      <c r="WXT188" s="78"/>
      <c r="WXU188" s="78"/>
      <c r="WXV188" s="78"/>
      <c r="WXW188" s="78"/>
      <c r="WXX188" s="78"/>
      <c r="WXY188" s="78"/>
      <c r="WXZ188" s="78"/>
      <c r="WYA188" s="78"/>
      <c r="WYB188" s="78"/>
      <c r="WYC188" s="78"/>
      <c r="WYD188" s="78"/>
      <c r="WYE188" s="78"/>
      <c r="WYF188" s="78"/>
      <c r="WYG188" s="78"/>
      <c r="WYH188" s="78"/>
      <c r="WYI188" s="78"/>
      <c r="WYJ188" s="78"/>
      <c r="WYK188" s="78"/>
      <c r="WYL188" s="78"/>
      <c r="WYM188" s="78"/>
      <c r="WYN188" s="78"/>
      <c r="WYO188" s="78"/>
      <c r="WYP188" s="78"/>
      <c r="WYQ188" s="78"/>
      <c r="WYR188" s="78"/>
      <c r="WYS188" s="78"/>
      <c r="WYT188" s="78"/>
      <c r="WYU188" s="78"/>
      <c r="WYV188" s="78"/>
      <c r="WYW188" s="78"/>
      <c r="WYX188" s="78"/>
      <c r="WYY188" s="78"/>
      <c r="WYZ188" s="78"/>
      <c r="WZA188" s="78"/>
      <c r="WZB188" s="78"/>
      <c r="WZC188" s="78"/>
      <c r="WZD188" s="78"/>
      <c r="WZE188" s="78"/>
      <c r="WZF188" s="78"/>
      <c r="WZG188" s="78"/>
      <c r="WZH188" s="78"/>
      <c r="WZI188" s="78"/>
      <c r="WZJ188" s="78"/>
      <c r="WZK188" s="78"/>
      <c r="WZL188" s="78"/>
      <c r="WZM188" s="78"/>
      <c r="WZN188" s="78"/>
      <c r="WZO188" s="78"/>
      <c r="WZP188" s="78"/>
      <c r="WZQ188" s="78"/>
      <c r="WZR188" s="78"/>
      <c r="WZS188" s="78"/>
      <c r="WZT188" s="78"/>
      <c r="WZU188" s="78"/>
      <c r="WZV188" s="78"/>
      <c r="WZW188" s="78"/>
      <c r="WZX188" s="78"/>
      <c r="WZY188" s="78"/>
      <c r="WZZ188" s="78"/>
      <c r="XAA188" s="78"/>
      <c r="XAB188" s="78"/>
      <c r="XAC188" s="78"/>
      <c r="XAD188" s="78"/>
      <c r="XAE188" s="78"/>
      <c r="XAF188" s="78"/>
      <c r="XAG188" s="78"/>
      <c r="XAH188" s="78"/>
      <c r="XAI188" s="78"/>
      <c r="XAJ188" s="78"/>
      <c r="XAK188" s="78"/>
      <c r="XAL188" s="78"/>
      <c r="XAM188" s="78"/>
      <c r="XAN188" s="78"/>
      <c r="XAO188" s="78"/>
      <c r="XAP188" s="78"/>
      <c r="XAQ188" s="78"/>
      <c r="XAR188" s="78"/>
      <c r="XAS188" s="78"/>
      <c r="XAT188" s="78"/>
      <c r="XAU188" s="78"/>
      <c r="XAV188" s="78"/>
      <c r="XAW188" s="78"/>
      <c r="XAX188" s="78"/>
      <c r="XAY188" s="78"/>
      <c r="XAZ188" s="78"/>
      <c r="XBA188" s="78"/>
      <c r="XBB188" s="78"/>
      <c r="XBC188" s="78"/>
      <c r="XBD188" s="78"/>
      <c r="XBE188" s="78"/>
      <c r="XBF188" s="78"/>
      <c r="XBG188" s="78"/>
      <c r="XBH188" s="78"/>
      <c r="XBI188" s="78"/>
      <c r="XBJ188" s="78"/>
      <c r="XBK188" s="78"/>
      <c r="XBL188" s="78"/>
      <c r="XBM188" s="78"/>
      <c r="XBN188" s="78"/>
      <c r="XBO188" s="78"/>
      <c r="XBP188" s="78"/>
      <c r="XBQ188" s="78"/>
      <c r="XBR188" s="78"/>
      <c r="XBS188" s="78"/>
      <c r="XBT188" s="78"/>
      <c r="XBU188" s="78"/>
      <c r="XBV188" s="78"/>
      <c r="XBW188" s="78"/>
      <c r="XBX188" s="78"/>
      <c r="XBY188" s="78"/>
      <c r="XBZ188" s="78"/>
      <c r="XCA188" s="78"/>
      <c r="XCB188" s="78"/>
      <c r="XCC188" s="78"/>
      <c r="XCD188" s="78"/>
      <c r="XCE188" s="78"/>
      <c r="XCF188" s="78"/>
      <c r="XCG188" s="78"/>
      <c r="XCH188" s="78"/>
      <c r="XCI188" s="78"/>
      <c r="XCJ188" s="78"/>
      <c r="XCK188" s="78"/>
      <c r="XCL188" s="78"/>
      <c r="XCM188" s="78"/>
      <c r="XCN188" s="78"/>
      <c r="XCO188" s="78"/>
      <c r="XCP188" s="78"/>
      <c r="XCQ188" s="78"/>
      <c r="XCR188" s="78"/>
      <c r="XCS188" s="78"/>
      <c r="XCT188" s="78"/>
      <c r="XCU188" s="78"/>
      <c r="XCV188" s="78"/>
      <c r="XCW188" s="78"/>
      <c r="XCX188" s="78"/>
      <c r="XCY188" s="78"/>
      <c r="XCZ188" s="78"/>
      <c r="XDA188" s="78"/>
      <c r="XDB188" s="78"/>
      <c r="XDC188" s="78"/>
      <c r="XDD188" s="78"/>
      <c r="XDE188" s="78"/>
      <c r="XDF188" s="78"/>
      <c r="XDG188" s="78"/>
      <c r="XDH188" s="78"/>
      <c r="XDI188" s="78"/>
      <c r="XDJ188" s="78"/>
      <c r="XDK188" s="78"/>
      <c r="XDL188" s="78"/>
      <c r="XDM188" s="78"/>
      <c r="XDN188" s="78"/>
      <c r="XDO188" s="78"/>
      <c r="XDP188" s="78"/>
      <c r="XDQ188" s="78"/>
      <c r="XDR188" s="78"/>
      <c r="XDS188" s="78"/>
      <c r="XDT188" s="78"/>
      <c r="XDU188" s="78"/>
      <c r="XDV188" s="78"/>
      <c r="XDW188" s="78"/>
      <c r="XDX188" s="78"/>
      <c r="XDY188" s="78"/>
      <c r="XDZ188" s="78"/>
      <c r="XEA188" s="78"/>
      <c r="XEB188" s="78"/>
      <c r="XEC188" s="78"/>
      <c r="XED188" s="78"/>
      <c r="XEE188" s="78"/>
      <c r="XEF188" s="78"/>
      <c r="XEG188" s="78"/>
      <c r="XEH188" s="78"/>
      <c r="XEI188" s="78"/>
      <c r="XEJ188" s="78"/>
      <c r="XEK188" s="78"/>
      <c r="XEL188" s="78"/>
      <c r="XEM188" s="78"/>
      <c r="XEN188" s="78"/>
      <c r="XEO188" s="78"/>
      <c r="XEP188" s="78"/>
      <c r="XEQ188" s="78"/>
      <c r="XER188" s="78"/>
      <c r="XES188" s="78"/>
      <c r="XET188" s="78"/>
    </row>
    <row r="189" spans="1:16374" ht="16.5" customHeight="1">
      <c r="C189" s="78" t="s">
        <v>542</v>
      </c>
      <c r="D189" s="44" t="s">
        <v>452</v>
      </c>
      <c r="E189" s="44"/>
      <c r="F189" s="478">
        <v>0</v>
      </c>
      <c r="G189" s="478">
        <v>0</v>
      </c>
      <c r="H189" s="478">
        <v>0</v>
      </c>
      <c r="I189" s="478">
        <v>0</v>
      </c>
      <c r="J189" s="478">
        <v>0</v>
      </c>
      <c r="K189" s="478">
        <v>0</v>
      </c>
      <c r="L189" s="478">
        <v>0</v>
      </c>
      <c r="M189" s="478">
        <v>0</v>
      </c>
      <c r="N189" s="478">
        <v>0</v>
      </c>
      <c r="O189" s="478">
        <v>0</v>
      </c>
      <c r="P189" s="478">
        <v>0</v>
      </c>
      <c r="Q189" s="478">
        <v>0</v>
      </c>
      <c r="R189" s="478">
        <v>0</v>
      </c>
      <c r="S189" s="478">
        <v>0</v>
      </c>
      <c r="T189" s="478">
        <v>0</v>
      </c>
      <c r="U189" s="478">
        <v>0</v>
      </c>
      <c r="V189" s="478">
        <v>0</v>
      </c>
      <c r="W189" s="478">
        <v>0</v>
      </c>
      <c r="X189" s="478">
        <v>0</v>
      </c>
      <c r="Y189" s="478">
        <v>0</v>
      </c>
      <c r="Z189" s="478">
        <v>0</v>
      </c>
      <c r="AA189" s="478">
        <v>0</v>
      </c>
      <c r="AB189" s="478">
        <v>0</v>
      </c>
      <c r="AC189" s="478">
        <v>0</v>
      </c>
      <c r="AD189" s="478">
        <v>0</v>
      </c>
      <c r="AE189" s="478">
        <v>0</v>
      </c>
      <c r="AF189" s="478">
        <v>0</v>
      </c>
      <c r="AG189" s="478">
        <v>0</v>
      </c>
      <c r="AH189" s="478">
        <v>0</v>
      </c>
      <c r="AI189" s="478">
        <v>0</v>
      </c>
      <c r="AJ189" s="478">
        <v>0</v>
      </c>
      <c r="AK189" s="478">
        <v>0</v>
      </c>
      <c r="AL189" s="478">
        <v>0</v>
      </c>
      <c r="AM189" s="478">
        <v>0</v>
      </c>
      <c r="AN189" s="478">
        <v>0</v>
      </c>
      <c r="AO189" s="478">
        <v>0</v>
      </c>
    </row>
    <row r="190" spans="1:16374">
      <c r="C190" s="78"/>
    </row>
    <row r="191" spans="1:16374">
      <c r="B191" t="str">
        <f>INDEX('Scenario names'!$C$3:$C$6,4)</f>
        <v>No Constraints</v>
      </c>
      <c r="C191" s="78" t="s">
        <v>536</v>
      </c>
      <c r="D191" s="44" t="s">
        <v>537</v>
      </c>
      <c r="E191" s="44"/>
      <c r="F191" s="478">
        <v>1</v>
      </c>
      <c r="G191" s="478">
        <v>1</v>
      </c>
      <c r="H191" s="478">
        <v>1</v>
      </c>
      <c r="I191" s="478">
        <v>1</v>
      </c>
      <c r="J191" s="478">
        <v>1</v>
      </c>
      <c r="K191" s="478">
        <v>1</v>
      </c>
      <c r="L191" s="478">
        <v>1</v>
      </c>
      <c r="M191" s="478">
        <v>1</v>
      </c>
      <c r="N191" s="478">
        <v>1</v>
      </c>
      <c r="O191" s="478">
        <v>1</v>
      </c>
      <c r="P191" s="478">
        <v>1</v>
      </c>
      <c r="Q191" s="478">
        <v>0</v>
      </c>
      <c r="R191" s="478">
        <v>0</v>
      </c>
      <c r="S191" s="478">
        <v>0</v>
      </c>
      <c r="T191" s="478">
        <v>0</v>
      </c>
      <c r="U191" s="478">
        <v>0</v>
      </c>
      <c r="V191" s="478">
        <v>0</v>
      </c>
      <c r="W191" s="478">
        <v>0</v>
      </c>
      <c r="X191" s="478">
        <v>0</v>
      </c>
      <c r="Y191" s="478">
        <v>0</v>
      </c>
      <c r="Z191" s="478">
        <v>0</v>
      </c>
      <c r="AA191" s="478">
        <v>0</v>
      </c>
      <c r="AB191" s="478">
        <v>0</v>
      </c>
      <c r="AC191" s="478">
        <v>0</v>
      </c>
      <c r="AD191" s="478">
        <v>0</v>
      </c>
      <c r="AE191" s="478">
        <v>0</v>
      </c>
      <c r="AF191" s="478">
        <v>0</v>
      </c>
      <c r="AG191" s="478">
        <v>0</v>
      </c>
      <c r="AH191" s="478">
        <v>0</v>
      </c>
      <c r="AI191" s="478">
        <v>0</v>
      </c>
      <c r="AJ191" s="478">
        <v>0</v>
      </c>
      <c r="AK191" s="478">
        <v>0</v>
      </c>
      <c r="AL191" s="478">
        <v>0</v>
      </c>
      <c r="AM191" s="478">
        <v>0</v>
      </c>
      <c r="AN191" s="478">
        <v>0</v>
      </c>
      <c r="AO191" s="478">
        <v>0</v>
      </c>
    </row>
    <row r="192" spans="1:16374">
      <c r="B192" t="str">
        <f>INDEX('Scenario names'!$C$3:$C$6,4)</f>
        <v>No Constraints</v>
      </c>
      <c r="C192" s="78" t="s">
        <v>538</v>
      </c>
      <c r="D192" s="44" t="s">
        <v>537</v>
      </c>
      <c r="E192" s="44"/>
      <c r="F192" s="478">
        <v>0</v>
      </c>
      <c r="G192" s="478">
        <v>0</v>
      </c>
      <c r="H192" s="478">
        <v>0</v>
      </c>
      <c r="I192" s="478">
        <v>0</v>
      </c>
      <c r="J192" s="478">
        <v>0</v>
      </c>
      <c r="K192" s="478">
        <v>0</v>
      </c>
      <c r="L192" s="478">
        <v>0</v>
      </c>
      <c r="M192" s="478">
        <v>0</v>
      </c>
      <c r="N192" s="478">
        <v>0</v>
      </c>
      <c r="O192" s="478">
        <v>0</v>
      </c>
      <c r="P192" s="478">
        <v>0</v>
      </c>
      <c r="Q192" s="478">
        <v>0</v>
      </c>
      <c r="R192" s="478">
        <v>0</v>
      </c>
      <c r="S192" s="478">
        <v>0</v>
      </c>
      <c r="T192" s="478">
        <v>0</v>
      </c>
      <c r="U192" s="478">
        <v>0</v>
      </c>
      <c r="V192" s="478">
        <v>0</v>
      </c>
      <c r="W192" s="478">
        <v>0</v>
      </c>
      <c r="X192" s="478">
        <v>0</v>
      </c>
      <c r="Y192" s="478">
        <v>0</v>
      </c>
      <c r="Z192" s="478">
        <v>0</v>
      </c>
      <c r="AA192" s="478">
        <v>0</v>
      </c>
      <c r="AB192" s="478">
        <v>0</v>
      </c>
      <c r="AC192" s="478">
        <v>0</v>
      </c>
      <c r="AD192" s="478">
        <v>0</v>
      </c>
      <c r="AE192" s="478">
        <v>0</v>
      </c>
      <c r="AF192" s="478">
        <v>0</v>
      </c>
      <c r="AG192" s="478">
        <v>0</v>
      </c>
      <c r="AH192" s="478">
        <v>0</v>
      </c>
      <c r="AI192" s="478">
        <v>0</v>
      </c>
      <c r="AJ192" s="478">
        <v>0</v>
      </c>
      <c r="AK192" s="478">
        <v>0</v>
      </c>
      <c r="AL192" s="478">
        <v>0</v>
      </c>
      <c r="AM192" s="478">
        <v>0</v>
      </c>
      <c r="AN192" s="478">
        <v>0</v>
      </c>
      <c r="AO192" s="478">
        <v>0</v>
      </c>
    </row>
    <row r="193" spans="2:42">
      <c r="B193" t="str">
        <f>INDEX('Scenario names'!$C$3:$C$6,4)</f>
        <v>No Constraints</v>
      </c>
      <c r="C193" s="78" t="s">
        <v>539</v>
      </c>
      <c r="D193" s="44" t="s">
        <v>537</v>
      </c>
      <c r="E193" s="44"/>
      <c r="F193" s="478">
        <v>0</v>
      </c>
      <c r="G193" s="478">
        <v>0</v>
      </c>
      <c r="H193" s="478">
        <v>0</v>
      </c>
      <c r="I193" s="478">
        <v>0</v>
      </c>
      <c r="J193" s="478">
        <v>0</v>
      </c>
      <c r="K193" s="478">
        <v>0</v>
      </c>
      <c r="L193" s="478">
        <v>0</v>
      </c>
      <c r="M193" s="478">
        <v>0</v>
      </c>
      <c r="N193" s="478">
        <v>0</v>
      </c>
      <c r="O193" s="478">
        <v>0</v>
      </c>
      <c r="P193" s="478">
        <v>0</v>
      </c>
      <c r="Q193" s="478">
        <v>0</v>
      </c>
      <c r="R193" s="478">
        <v>0</v>
      </c>
      <c r="S193" s="478">
        <v>0</v>
      </c>
      <c r="T193" s="478">
        <v>0</v>
      </c>
      <c r="U193" s="478">
        <v>0</v>
      </c>
      <c r="V193" s="478">
        <v>4.8000000000000001E-2</v>
      </c>
      <c r="W193" s="478">
        <v>9.6000000000000002E-2</v>
      </c>
      <c r="X193" s="478">
        <v>0.14400000000000002</v>
      </c>
      <c r="Y193" s="478">
        <v>0.192</v>
      </c>
      <c r="Z193" s="478">
        <v>0.24</v>
      </c>
      <c r="AA193" s="478">
        <v>0.25185345706441548</v>
      </c>
      <c r="AB193" s="478">
        <v>0.26370691412883096</v>
      </c>
      <c r="AC193" s="478">
        <v>0.27556037119324645</v>
      </c>
      <c r="AD193" s="478">
        <v>0.28741382825766193</v>
      </c>
      <c r="AE193" s="478">
        <v>0.29926728532207747</v>
      </c>
      <c r="AF193" s="478">
        <v>0.31112074238649295</v>
      </c>
      <c r="AG193" s="478">
        <v>0.32297419945090844</v>
      </c>
      <c r="AH193" s="478">
        <v>0.33482765651532392</v>
      </c>
      <c r="AI193" s="478">
        <v>0.34668111357973941</v>
      </c>
      <c r="AJ193" s="478">
        <v>0.35853457064415489</v>
      </c>
      <c r="AK193" s="478">
        <v>0.37038802770857038</v>
      </c>
      <c r="AL193" s="478">
        <v>0.38224148477298592</v>
      </c>
      <c r="AM193" s="478">
        <v>0.39409494183740135</v>
      </c>
      <c r="AN193" s="478">
        <v>0.40594839890181689</v>
      </c>
      <c r="AO193" s="478">
        <v>0.41780185596623237</v>
      </c>
    </row>
    <row r="194" spans="2:42">
      <c r="B194" t="str">
        <f>INDEX('Scenario names'!$C$3:$C$6,4)</f>
        <v>No Constraints</v>
      </c>
      <c r="C194" s="78" t="s">
        <v>540</v>
      </c>
      <c r="D194" s="44" t="s">
        <v>537</v>
      </c>
      <c r="E194" s="44"/>
      <c r="F194" s="478">
        <v>0</v>
      </c>
      <c r="G194" s="478">
        <v>0</v>
      </c>
      <c r="H194" s="478">
        <v>0</v>
      </c>
      <c r="I194" s="478">
        <v>0</v>
      </c>
      <c r="J194" s="478">
        <v>0</v>
      </c>
      <c r="K194" s="478">
        <v>0</v>
      </c>
      <c r="L194" s="478">
        <v>0</v>
      </c>
      <c r="M194" s="478">
        <v>0</v>
      </c>
      <c r="N194" s="478">
        <v>0</v>
      </c>
      <c r="O194" s="478">
        <v>0</v>
      </c>
      <c r="P194" s="478">
        <v>0</v>
      </c>
      <c r="Q194" s="478">
        <v>0</v>
      </c>
      <c r="R194" s="478">
        <v>0</v>
      </c>
      <c r="S194" s="478">
        <v>0</v>
      </c>
      <c r="T194" s="478">
        <v>0</v>
      </c>
      <c r="U194" s="478">
        <v>0</v>
      </c>
      <c r="V194" s="478">
        <v>0</v>
      </c>
      <c r="W194" s="478">
        <v>3.3381020505484022E-3</v>
      </c>
      <c r="X194" s="478">
        <v>1.0142606573629221E-2</v>
      </c>
      <c r="Y194" s="478">
        <v>1.4267185473411154E-2</v>
      </c>
      <c r="Z194" s="478">
        <v>1.82393448725107E-2</v>
      </c>
      <c r="AA194" s="478">
        <v>2.7766422711331333E-2</v>
      </c>
      <c r="AB194" s="478">
        <v>3.7293500550151973E-2</v>
      </c>
      <c r="AC194" s="478">
        <v>4.6820578388972606E-2</v>
      </c>
      <c r="AD194" s="478">
        <v>5.6347656227793239E-2</v>
      </c>
      <c r="AE194" s="478">
        <v>6.5874734066613871E-2</v>
      </c>
      <c r="AF194" s="478">
        <v>7.5401811905434518E-2</v>
      </c>
      <c r="AG194" s="478">
        <v>8.4928889744255137E-2</v>
      </c>
      <c r="AH194" s="478">
        <v>9.4455967583075784E-2</v>
      </c>
      <c r="AI194" s="478">
        <v>0.1039830454218964</v>
      </c>
      <c r="AJ194" s="478">
        <v>0.11351012326071705</v>
      </c>
      <c r="AK194" s="478">
        <v>0.12303720109953767</v>
      </c>
      <c r="AL194" s="478">
        <v>0.13256427893835832</v>
      </c>
      <c r="AM194" s="478">
        <v>0.14209135677717896</v>
      </c>
      <c r="AN194" s="478">
        <v>0.15161843461599958</v>
      </c>
      <c r="AO194" s="478">
        <v>0.1611455124548202</v>
      </c>
    </row>
    <row r="195" spans="2:42">
      <c r="B195" t="str">
        <f>INDEX('Scenario names'!$C$3:$C$6,4)</f>
        <v>No Constraints</v>
      </c>
      <c r="C195" s="78" t="s">
        <v>541</v>
      </c>
      <c r="D195" s="44" t="s">
        <v>537</v>
      </c>
      <c r="E195" s="44"/>
      <c r="F195" s="478">
        <v>0</v>
      </c>
      <c r="G195" s="478">
        <v>0</v>
      </c>
      <c r="H195" s="478">
        <v>0</v>
      </c>
      <c r="I195" s="478">
        <v>0</v>
      </c>
      <c r="J195" s="478">
        <v>0</v>
      </c>
      <c r="K195" s="478">
        <v>0</v>
      </c>
      <c r="L195" s="478">
        <v>0</v>
      </c>
      <c r="M195" s="478">
        <v>0</v>
      </c>
      <c r="N195" s="478">
        <v>0</v>
      </c>
      <c r="O195" s="478">
        <v>0</v>
      </c>
      <c r="P195" s="478">
        <v>0</v>
      </c>
      <c r="Q195" s="478">
        <v>1</v>
      </c>
      <c r="R195" s="478">
        <v>1</v>
      </c>
      <c r="S195" s="478">
        <v>1</v>
      </c>
      <c r="T195" s="478">
        <v>1</v>
      </c>
      <c r="U195" s="478">
        <v>1</v>
      </c>
      <c r="V195" s="478">
        <v>0.94799999999999995</v>
      </c>
      <c r="W195" s="478">
        <v>0.89600000000000002</v>
      </c>
      <c r="X195" s="478">
        <v>0.84399999999999997</v>
      </c>
      <c r="Y195" s="478">
        <v>0.79200000000000004</v>
      </c>
      <c r="Z195" s="478">
        <v>0.74</v>
      </c>
      <c r="AA195" s="478">
        <v>0.71866666666666668</v>
      </c>
      <c r="AB195" s="478">
        <v>0.69733333333333336</v>
      </c>
      <c r="AC195" s="478">
        <v>0.67599999999999993</v>
      </c>
      <c r="AD195" s="478">
        <v>0.65466666666666662</v>
      </c>
      <c r="AE195" s="478">
        <v>0.6333333333333333</v>
      </c>
      <c r="AF195" s="478">
        <v>0.61199999999999999</v>
      </c>
      <c r="AG195" s="478">
        <v>0.59066666666666667</v>
      </c>
      <c r="AH195" s="478">
        <v>0.56933333333333336</v>
      </c>
      <c r="AI195" s="478">
        <v>0.54800000000000004</v>
      </c>
      <c r="AJ195" s="478">
        <v>0.52666666666666662</v>
      </c>
      <c r="AK195" s="478">
        <v>0.5053333333333333</v>
      </c>
      <c r="AL195" s="478">
        <v>0.48399999999999999</v>
      </c>
      <c r="AM195" s="478">
        <v>0.46266666666666667</v>
      </c>
      <c r="AN195" s="478">
        <v>0.44133333333333336</v>
      </c>
      <c r="AO195" s="478">
        <v>0.42</v>
      </c>
    </row>
    <row r="196" spans="2:42">
      <c r="C196" s="78"/>
    </row>
    <row r="197" spans="2:42" ht="16.5" customHeight="1">
      <c r="C197" s="78" t="s">
        <v>542</v>
      </c>
      <c r="D197" s="44" t="s">
        <v>452</v>
      </c>
      <c r="E197" s="44"/>
      <c r="F197" s="478">
        <v>0</v>
      </c>
      <c r="G197" s="478">
        <v>0</v>
      </c>
      <c r="H197" s="478">
        <v>0</v>
      </c>
      <c r="I197" s="478">
        <v>0</v>
      </c>
      <c r="J197" s="478">
        <v>0</v>
      </c>
      <c r="K197" s="478">
        <v>0</v>
      </c>
      <c r="L197" s="478">
        <v>0</v>
      </c>
      <c r="M197" s="478">
        <v>0</v>
      </c>
      <c r="N197" s="478">
        <v>0</v>
      </c>
      <c r="O197" s="478">
        <v>0</v>
      </c>
      <c r="P197" s="478">
        <v>0</v>
      </c>
      <c r="Q197" s="478">
        <v>0</v>
      </c>
      <c r="R197" s="478">
        <v>5.9500000000000013E-3</v>
      </c>
      <c r="S197" s="478">
        <v>1.1900000000000003E-2</v>
      </c>
      <c r="T197" s="478">
        <v>1.7850000000000001E-2</v>
      </c>
      <c r="U197" s="478">
        <v>2.3800000000000005E-2</v>
      </c>
      <c r="V197" s="478">
        <v>3.5350000000000006E-2</v>
      </c>
      <c r="W197" s="478">
        <v>4.6900000000000011E-2</v>
      </c>
      <c r="X197" s="478">
        <v>5.8450000000000016E-2</v>
      </c>
      <c r="Y197" s="478">
        <v>7.0000000000000007E-2</v>
      </c>
      <c r="Z197" s="478">
        <v>7.0000000000000007E-2</v>
      </c>
      <c r="AA197" s="478">
        <v>7.0000000000000007E-2</v>
      </c>
      <c r="AB197" s="478">
        <v>7.0000000000000007E-2</v>
      </c>
      <c r="AC197" s="478">
        <v>7.0000000000000007E-2</v>
      </c>
      <c r="AD197" s="478">
        <v>7.0000000000000007E-2</v>
      </c>
      <c r="AE197" s="478">
        <v>7.0000000000000007E-2</v>
      </c>
      <c r="AF197" s="478">
        <v>7.0000000000000007E-2</v>
      </c>
      <c r="AG197" s="478">
        <v>7.0000000000000007E-2</v>
      </c>
      <c r="AH197" s="478">
        <v>7.0000000000000007E-2</v>
      </c>
      <c r="AI197" s="478">
        <v>7.0000000000000007E-2</v>
      </c>
      <c r="AJ197" s="478">
        <v>7.0000000000000007E-2</v>
      </c>
      <c r="AK197" s="478">
        <v>7.0000000000000007E-2</v>
      </c>
      <c r="AL197" s="478">
        <v>7.0000000000000007E-2</v>
      </c>
      <c r="AM197" s="478">
        <v>7.0000000000000007E-2</v>
      </c>
      <c r="AN197" s="478">
        <v>7.0000000000000007E-2</v>
      </c>
      <c r="AO197" s="478">
        <v>7.0000000000000007E-2</v>
      </c>
      <c r="AP197" t="s">
        <v>568</v>
      </c>
    </row>
    <row r="198" spans="2:42">
      <c r="C198" s="78"/>
    </row>
    <row r="199" spans="2:42">
      <c r="B199" t="str">
        <f>INDEX('Scenario names'!$C$3:$C$6,1)</f>
        <v>High Electrification</v>
      </c>
      <c r="C199" s="78" t="s">
        <v>536</v>
      </c>
      <c r="D199" s="44" t="s">
        <v>537</v>
      </c>
      <c r="E199" s="44"/>
      <c r="F199" s="478">
        <v>1</v>
      </c>
      <c r="G199" s="478">
        <v>1</v>
      </c>
      <c r="H199" s="478">
        <v>1</v>
      </c>
      <c r="I199" s="478">
        <v>1</v>
      </c>
      <c r="J199" s="478">
        <v>1</v>
      </c>
      <c r="K199" s="478">
        <v>1</v>
      </c>
      <c r="L199" s="478">
        <v>1</v>
      </c>
      <c r="M199" s="478">
        <v>1</v>
      </c>
      <c r="N199" s="478">
        <v>1</v>
      </c>
      <c r="O199" s="478">
        <v>1</v>
      </c>
      <c r="P199" s="478">
        <v>1</v>
      </c>
      <c r="Q199" s="478">
        <v>0</v>
      </c>
      <c r="R199" s="478">
        <v>0</v>
      </c>
      <c r="S199" s="478">
        <v>0</v>
      </c>
      <c r="T199" s="478">
        <v>0</v>
      </c>
      <c r="U199" s="478">
        <v>0</v>
      </c>
      <c r="V199" s="478">
        <v>0</v>
      </c>
      <c r="W199" s="478">
        <v>0</v>
      </c>
      <c r="X199" s="478">
        <v>0</v>
      </c>
      <c r="Y199" s="478">
        <v>0</v>
      </c>
      <c r="Z199" s="478">
        <v>0</v>
      </c>
      <c r="AA199" s="478">
        <v>0</v>
      </c>
      <c r="AB199" s="478">
        <v>0</v>
      </c>
      <c r="AC199" s="478">
        <v>0</v>
      </c>
      <c r="AD199" s="478">
        <v>0</v>
      </c>
      <c r="AE199" s="478">
        <v>0</v>
      </c>
      <c r="AF199" s="478">
        <v>0</v>
      </c>
      <c r="AG199" s="478">
        <v>0</v>
      </c>
      <c r="AH199" s="478">
        <v>0</v>
      </c>
      <c r="AI199" s="478">
        <v>0</v>
      </c>
      <c r="AJ199" s="478">
        <v>0</v>
      </c>
      <c r="AK199" s="478">
        <v>0</v>
      </c>
      <c r="AL199" s="478">
        <v>0</v>
      </c>
      <c r="AM199" s="478">
        <v>0</v>
      </c>
      <c r="AN199" s="478">
        <v>0</v>
      </c>
      <c r="AO199" s="478">
        <v>0</v>
      </c>
    </row>
    <row r="200" spans="2:42" ht="15.75" customHeight="1">
      <c r="B200" t="str">
        <f>INDEX('Scenario names'!$C$3:$C$6,1)</f>
        <v>High Electrification</v>
      </c>
      <c r="C200" s="78" t="s">
        <v>538</v>
      </c>
      <c r="D200" s="44" t="s">
        <v>537</v>
      </c>
      <c r="E200" s="44"/>
      <c r="F200" s="478">
        <v>0</v>
      </c>
      <c r="G200" s="478">
        <v>0</v>
      </c>
      <c r="H200" s="478">
        <v>0</v>
      </c>
      <c r="I200" s="478">
        <v>0</v>
      </c>
      <c r="J200" s="478">
        <v>0</v>
      </c>
      <c r="K200" s="478">
        <v>0</v>
      </c>
      <c r="L200" s="478">
        <v>0</v>
      </c>
      <c r="M200" s="478">
        <v>0</v>
      </c>
      <c r="N200" s="478">
        <v>0</v>
      </c>
      <c r="O200" s="478">
        <v>0</v>
      </c>
      <c r="P200" s="478">
        <v>0</v>
      </c>
      <c r="Q200" s="478">
        <v>0</v>
      </c>
      <c r="R200" s="478">
        <v>0</v>
      </c>
      <c r="S200" s="478">
        <v>0</v>
      </c>
      <c r="T200" s="478">
        <v>0</v>
      </c>
      <c r="U200" s="478">
        <v>0</v>
      </c>
      <c r="V200" s="478">
        <v>0</v>
      </c>
      <c r="W200" s="478">
        <v>0</v>
      </c>
      <c r="X200" s="478">
        <v>0</v>
      </c>
      <c r="Y200" s="478">
        <v>0</v>
      </c>
      <c r="Z200" s="478">
        <v>0</v>
      </c>
      <c r="AA200" s="478">
        <v>0</v>
      </c>
      <c r="AB200" s="478">
        <v>0</v>
      </c>
      <c r="AC200" s="478">
        <v>0</v>
      </c>
      <c r="AD200" s="478">
        <v>0</v>
      </c>
      <c r="AE200" s="478">
        <v>0</v>
      </c>
      <c r="AF200" s="478">
        <v>0</v>
      </c>
      <c r="AG200" s="478">
        <v>0</v>
      </c>
      <c r="AH200" s="478">
        <v>0</v>
      </c>
      <c r="AI200" s="478">
        <v>0</v>
      </c>
      <c r="AJ200" s="478">
        <v>0</v>
      </c>
      <c r="AK200" s="478">
        <v>0</v>
      </c>
      <c r="AL200" s="478">
        <v>0</v>
      </c>
      <c r="AM200" s="478">
        <v>0</v>
      </c>
      <c r="AN200" s="478">
        <v>0</v>
      </c>
      <c r="AO200" s="478">
        <v>0</v>
      </c>
    </row>
    <row r="201" spans="2:42">
      <c r="B201" t="str">
        <f>INDEX('Scenario names'!$C$3:$C$6,1)</f>
        <v>High Electrification</v>
      </c>
      <c r="C201" s="78" t="s">
        <v>539</v>
      </c>
      <c r="D201" s="44" t="s">
        <v>537</v>
      </c>
      <c r="E201" s="44"/>
      <c r="F201" s="478">
        <v>0</v>
      </c>
      <c r="G201" s="478">
        <v>0</v>
      </c>
      <c r="H201" s="478">
        <v>0</v>
      </c>
      <c r="I201" s="478">
        <v>0</v>
      </c>
      <c r="J201" s="478">
        <v>0</v>
      </c>
      <c r="K201" s="478">
        <v>0</v>
      </c>
      <c r="L201" s="478">
        <v>0</v>
      </c>
      <c r="M201" s="478">
        <v>0</v>
      </c>
      <c r="N201" s="478">
        <v>0</v>
      </c>
      <c r="O201" s="478">
        <v>0</v>
      </c>
      <c r="P201" s="478">
        <v>0</v>
      </c>
      <c r="Q201" s="478">
        <v>0</v>
      </c>
      <c r="R201" s="478">
        <v>0</v>
      </c>
      <c r="S201" s="478">
        <v>0</v>
      </c>
      <c r="T201" s="478">
        <v>0</v>
      </c>
      <c r="U201" s="478">
        <v>0</v>
      </c>
      <c r="V201" s="478">
        <v>4.8000000000000001E-2</v>
      </c>
      <c r="W201" s="478">
        <v>9.6000000000000002E-2</v>
      </c>
      <c r="X201" s="478">
        <v>0.14400000000000002</v>
      </c>
      <c r="Y201" s="478">
        <v>0.192</v>
      </c>
      <c r="Z201" s="478">
        <v>0.24</v>
      </c>
      <c r="AA201" s="478">
        <v>0.25185345706441548</v>
      </c>
      <c r="AB201" s="478">
        <v>0.26370691412883096</v>
      </c>
      <c r="AC201" s="478">
        <v>0.27556037119324645</v>
      </c>
      <c r="AD201" s="478">
        <v>0.28741382825766193</v>
      </c>
      <c r="AE201" s="478">
        <v>0.29926728532207747</v>
      </c>
      <c r="AF201" s="478">
        <v>0.31112074238649295</v>
      </c>
      <c r="AG201" s="478">
        <v>0.32297419945090844</v>
      </c>
      <c r="AH201" s="478">
        <v>0.33482765651532392</v>
      </c>
      <c r="AI201" s="478">
        <v>0.34668111357973941</v>
      </c>
      <c r="AJ201" s="478">
        <v>0.35853457064415489</v>
      </c>
      <c r="AK201" s="478">
        <v>0.37038802770857038</v>
      </c>
      <c r="AL201" s="478">
        <v>0.38224148477298592</v>
      </c>
      <c r="AM201" s="478">
        <v>0.39409494183740135</v>
      </c>
      <c r="AN201" s="478">
        <v>0.40594839890181689</v>
      </c>
      <c r="AO201" s="478">
        <v>0.41780185596623237</v>
      </c>
    </row>
    <row r="202" spans="2:42">
      <c r="B202" t="str">
        <f>INDEX('Scenario names'!$C$3:$C$6,1)</f>
        <v>High Electrification</v>
      </c>
      <c r="C202" s="78" t="s">
        <v>540</v>
      </c>
      <c r="D202" s="44" t="s">
        <v>537</v>
      </c>
      <c r="E202" s="44"/>
      <c r="F202" s="478">
        <v>0</v>
      </c>
      <c r="G202" s="478">
        <v>0</v>
      </c>
      <c r="H202" s="478">
        <v>0</v>
      </c>
      <c r="I202" s="478">
        <v>0</v>
      </c>
      <c r="J202" s="478">
        <v>0</v>
      </c>
      <c r="K202" s="478">
        <v>0</v>
      </c>
      <c r="L202" s="478">
        <v>0</v>
      </c>
      <c r="M202" s="478">
        <v>0</v>
      </c>
      <c r="N202" s="478">
        <v>0</v>
      </c>
      <c r="O202" s="478">
        <v>0</v>
      </c>
      <c r="P202" s="478">
        <v>0</v>
      </c>
      <c r="Q202" s="478">
        <v>0</v>
      </c>
      <c r="R202" s="478">
        <v>0</v>
      </c>
      <c r="S202" s="478">
        <v>0</v>
      </c>
      <c r="T202" s="478">
        <v>0</v>
      </c>
      <c r="U202" s="478">
        <v>0</v>
      </c>
      <c r="V202" s="478">
        <v>0</v>
      </c>
      <c r="W202" s="478">
        <v>3.3381020505484022E-3</v>
      </c>
      <c r="X202" s="478">
        <v>1.0142606573629221E-2</v>
      </c>
      <c r="Y202" s="478">
        <v>1.4267185473411154E-2</v>
      </c>
      <c r="Z202" s="478">
        <v>1.82393448725107E-2</v>
      </c>
      <c r="AA202" s="478">
        <v>2.7766422711331333E-2</v>
      </c>
      <c r="AB202" s="478">
        <v>3.7293500550151973E-2</v>
      </c>
      <c r="AC202" s="478">
        <v>4.6820578388972606E-2</v>
      </c>
      <c r="AD202" s="478">
        <v>5.6347656227793239E-2</v>
      </c>
      <c r="AE202" s="478">
        <v>6.5874734066613871E-2</v>
      </c>
      <c r="AF202" s="478">
        <v>7.5401811905434518E-2</v>
      </c>
      <c r="AG202" s="478">
        <v>8.4928889744255137E-2</v>
      </c>
      <c r="AH202" s="478">
        <v>9.4455967583075784E-2</v>
      </c>
      <c r="AI202" s="478">
        <v>0.1039830454218964</v>
      </c>
      <c r="AJ202" s="478">
        <v>0.11351012326071705</v>
      </c>
      <c r="AK202" s="478">
        <v>0.12303720109953767</v>
      </c>
      <c r="AL202" s="478">
        <v>0.13256427893835832</v>
      </c>
      <c r="AM202" s="478">
        <v>0.14209135677717896</v>
      </c>
      <c r="AN202" s="478">
        <v>0.15161843461599958</v>
      </c>
      <c r="AO202" s="478">
        <v>0.1611455124548202</v>
      </c>
    </row>
    <row r="203" spans="2:42">
      <c r="B203" t="str">
        <f>INDEX('Scenario names'!$C$3:$C$6,1)</f>
        <v>High Electrification</v>
      </c>
      <c r="C203" s="78" t="s">
        <v>541</v>
      </c>
      <c r="D203" s="44" t="s">
        <v>537</v>
      </c>
      <c r="E203" s="44"/>
      <c r="F203" s="478">
        <v>0</v>
      </c>
      <c r="G203" s="478">
        <v>0</v>
      </c>
      <c r="H203" s="478">
        <v>0</v>
      </c>
      <c r="I203" s="478">
        <v>0</v>
      </c>
      <c r="J203" s="478">
        <v>0</v>
      </c>
      <c r="K203" s="478">
        <v>0</v>
      </c>
      <c r="L203" s="478">
        <v>0</v>
      </c>
      <c r="M203" s="478">
        <v>0</v>
      </c>
      <c r="N203" s="478">
        <v>0</v>
      </c>
      <c r="O203" s="478">
        <v>0</v>
      </c>
      <c r="P203" s="478">
        <v>0</v>
      </c>
      <c r="Q203" s="478">
        <v>1</v>
      </c>
      <c r="R203" s="478">
        <v>1</v>
      </c>
      <c r="S203" s="478">
        <v>1</v>
      </c>
      <c r="T203" s="478">
        <v>1</v>
      </c>
      <c r="U203" s="478">
        <v>1</v>
      </c>
      <c r="V203" s="478">
        <v>0.94799999999999995</v>
      </c>
      <c r="W203" s="478">
        <v>0.89600000000000002</v>
      </c>
      <c r="X203" s="478">
        <v>0.84399999999999997</v>
      </c>
      <c r="Y203" s="478">
        <v>0.79200000000000004</v>
      </c>
      <c r="Z203" s="478">
        <v>0.74</v>
      </c>
      <c r="AA203" s="478">
        <v>0.71866666666666668</v>
      </c>
      <c r="AB203" s="478">
        <v>0.69733333333333336</v>
      </c>
      <c r="AC203" s="478">
        <v>0.67599999999999993</v>
      </c>
      <c r="AD203" s="478">
        <v>0.65466666666666662</v>
      </c>
      <c r="AE203" s="478">
        <v>0.6333333333333333</v>
      </c>
      <c r="AF203" s="478">
        <v>0.61199999999999999</v>
      </c>
      <c r="AG203" s="478">
        <v>0.59066666666666667</v>
      </c>
      <c r="AH203" s="478">
        <v>0.56933333333333336</v>
      </c>
      <c r="AI203" s="478">
        <v>0.54800000000000004</v>
      </c>
      <c r="AJ203" s="478">
        <v>0.52666666666666662</v>
      </c>
      <c r="AK203" s="478">
        <v>0.5053333333333333</v>
      </c>
      <c r="AL203" s="478">
        <v>0.48399999999999999</v>
      </c>
      <c r="AM203" s="478">
        <v>0.46266666666666667</v>
      </c>
      <c r="AN203" s="478">
        <v>0.44133333333333336</v>
      </c>
      <c r="AO203" s="478">
        <v>0.42</v>
      </c>
    </row>
    <row r="204" spans="2:42">
      <c r="C204" s="78"/>
    </row>
    <row r="205" spans="2:42" ht="16.5" customHeight="1">
      <c r="C205" s="78" t="s">
        <v>542</v>
      </c>
      <c r="D205" s="44" t="s">
        <v>452</v>
      </c>
      <c r="E205" s="44"/>
      <c r="F205" s="478">
        <v>0</v>
      </c>
      <c r="G205" s="478">
        <v>0</v>
      </c>
      <c r="H205" s="478">
        <v>0</v>
      </c>
      <c r="I205" s="478">
        <v>0</v>
      </c>
      <c r="J205" s="478">
        <v>0</v>
      </c>
      <c r="K205" s="478">
        <v>0</v>
      </c>
      <c r="L205" s="478">
        <v>0</v>
      </c>
      <c r="M205" s="478">
        <v>0</v>
      </c>
      <c r="N205" s="478">
        <v>0</v>
      </c>
      <c r="O205" s="478">
        <v>0</v>
      </c>
      <c r="P205" s="478">
        <v>0</v>
      </c>
      <c r="Q205" s="478">
        <v>0</v>
      </c>
      <c r="R205" s="478">
        <v>5.9500000000000013E-3</v>
      </c>
      <c r="S205" s="478">
        <v>1.1900000000000003E-2</v>
      </c>
      <c r="T205" s="478">
        <v>1.7850000000000001E-2</v>
      </c>
      <c r="U205" s="478">
        <v>2.3800000000000005E-2</v>
      </c>
      <c r="V205" s="478">
        <v>3.5350000000000006E-2</v>
      </c>
      <c r="W205" s="478">
        <v>4.6900000000000011E-2</v>
      </c>
      <c r="X205" s="478">
        <v>5.8450000000000016E-2</v>
      </c>
      <c r="Y205" s="478">
        <v>7.0000000000000007E-2</v>
      </c>
      <c r="Z205" s="478">
        <v>7.0000000000000007E-2</v>
      </c>
      <c r="AA205" s="478">
        <v>7.0000000000000007E-2</v>
      </c>
      <c r="AB205" s="478">
        <v>7.0000000000000007E-2</v>
      </c>
      <c r="AC205" s="478">
        <v>7.0000000000000007E-2</v>
      </c>
      <c r="AD205" s="478">
        <v>7.0000000000000007E-2</v>
      </c>
      <c r="AE205" s="478">
        <v>7.0000000000000007E-2</v>
      </c>
      <c r="AF205" s="478">
        <v>7.0000000000000007E-2</v>
      </c>
      <c r="AG205" s="478">
        <v>7.0000000000000007E-2</v>
      </c>
      <c r="AH205" s="478">
        <v>7.0000000000000007E-2</v>
      </c>
      <c r="AI205" s="478">
        <v>7.0000000000000007E-2</v>
      </c>
      <c r="AJ205" s="478">
        <v>7.0000000000000007E-2</v>
      </c>
      <c r="AK205" s="478">
        <v>7.0000000000000007E-2</v>
      </c>
      <c r="AL205" s="478">
        <v>7.0000000000000007E-2</v>
      </c>
      <c r="AM205" s="478">
        <v>7.0000000000000007E-2</v>
      </c>
      <c r="AN205" s="478">
        <v>7.0000000000000007E-2</v>
      </c>
      <c r="AO205" s="478">
        <v>7.0000000000000007E-2</v>
      </c>
    </row>
    <row r="206" spans="2:42">
      <c r="C206" s="78"/>
    </row>
    <row r="207" spans="2:42">
      <c r="B207" t="str">
        <f>INDEX('Scenario names'!$C$3:$C$6,2)</f>
        <v>High Hydrogen</v>
      </c>
      <c r="C207" s="78" t="s">
        <v>536</v>
      </c>
      <c r="D207" s="44" t="s">
        <v>537</v>
      </c>
      <c r="E207" s="44"/>
      <c r="F207" s="478">
        <v>1</v>
      </c>
      <c r="G207" s="478">
        <v>1</v>
      </c>
      <c r="H207" s="478">
        <v>1</v>
      </c>
      <c r="I207" s="478">
        <v>1</v>
      </c>
      <c r="J207" s="478">
        <v>1</v>
      </c>
      <c r="K207" s="478">
        <v>1</v>
      </c>
      <c r="L207" s="478">
        <v>1</v>
      </c>
      <c r="M207" s="478">
        <v>1</v>
      </c>
      <c r="N207" s="478">
        <v>1</v>
      </c>
      <c r="O207" s="478">
        <v>1</v>
      </c>
      <c r="P207" s="478">
        <v>1</v>
      </c>
      <c r="Q207" s="478">
        <v>0</v>
      </c>
      <c r="R207" s="478">
        <v>0</v>
      </c>
      <c r="S207" s="478">
        <v>0</v>
      </c>
      <c r="T207" s="478">
        <v>0</v>
      </c>
      <c r="U207" s="478">
        <v>0</v>
      </c>
      <c r="V207" s="478">
        <v>0</v>
      </c>
      <c r="W207" s="478">
        <v>0</v>
      </c>
      <c r="X207" s="478">
        <v>0</v>
      </c>
      <c r="Y207" s="478">
        <v>0</v>
      </c>
      <c r="Z207" s="478">
        <v>0</v>
      </c>
      <c r="AA207" s="478">
        <v>0</v>
      </c>
      <c r="AB207" s="478">
        <v>0</v>
      </c>
      <c r="AC207" s="478">
        <v>0</v>
      </c>
      <c r="AD207" s="478">
        <v>0</v>
      </c>
      <c r="AE207" s="478">
        <v>0</v>
      </c>
      <c r="AF207" s="478">
        <v>0</v>
      </c>
      <c r="AG207" s="478">
        <v>0</v>
      </c>
      <c r="AH207" s="478">
        <v>0</v>
      </c>
      <c r="AI207" s="478">
        <v>0</v>
      </c>
      <c r="AJ207" s="478">
        <v>0</v>
      </c>
      <c r="AK207" s="478">
        <v>0</v>
      </c>
      <c r="AL207" s="478">
        <v>0</v>
      </c>
      <c r="AM207" s="478">
        <v>0</v>
      </c>
      <c r="AN207" s="478">
        <v>0</v>
      </c>
      <c r="AO207" s="478">
        <v>0</v>
      </c>
    </row>
    <row r="208" spans="2:42">
      <c r="B208" t="str">
        <f>INDEX('Scenario names'!$C$3:$C$6,2)</f>
        <v>High Hydrogen</v>
      </c>
      <c r="C208" s="78" t="s">
        <v>538</v>
      </c>
      <c r="D208" s="44" t="s">
        <v>537</v>
      </c>
      <c r="E208" s="44"/>
      <c r="F208" s="478">
        <v>0</v>
      </c>
      <c r="G208" s="478">
        <v>0</v>
      </c>
      <c r="H208" s="478">
        <v>0</v>
      </c>
      <c r="I208" s="478">
        <v>0</v>
      </c>
      <c r="J208" s="478">
        <v>0</v>
      </c>
      <c r="K208" s="478">
        <v>0</v>
      </c>
      <c r="L208" s="478">
        <v>0</v>
      </c>
      <c r="M208" s="478">
        <v>0</v>
      </c>
      <c r="N208" s="478">
        <v>0</v>
      </c>
      <c r="O208" s="478">
        <v>0</v>
      </c>
      <c r="P208" s="478">
        <v>0</v>
      </c>
      <c r="Q208" s="478">
        <v>0</v>
      </c>
      <c r="R208" s="478">
        <v>0</v>
      </c>
      <c r="S208" s="478">
        <v>0</v>
      </c>
      <c r="T208" s="478">
        <v>0</v>
      </c>
      <c r="U208" s="478">
        <v>0</v>
      </c>
      <c r="V208" s="478">
        <v>0</v>
      </c>
      <c r="W208" s="478">
        <v>0</v>
      </c>
      <c r="X208" s="478">
        <v>0</v>
      </c>
      <c r="Y208" s="478">
        <v>0</v>
      </c>
      <c r="Z208" s="478">
        <v>0</v>
      </c>
      <c r="AA208" s="478">
        <v>0</v>
      </c>
      <c r="AB208" s="478">
        <v>0</v>
      </c>
      <c r="AC208" s="478">
        <v>0</v>
      </c>
      <c r="AD208" s="478">
        <v>0</v>
      </c>
      <c r="AE208" s="478">
        <v>0</v>
      </c>
      <c r="AF208" s="478">
        <v>0</v>
      </c>
      <c r="AG208" s="478">
        <v>0</v>
      </c>
      <c r="AH208" s="478">
        <v>0</v>
      </c>
      <c r="AI208" s="478">
        <v>0</v>
      </c>
      <c r="AJ208" s="478">
        <v>0</v>
      </c>
      <c r="AK208" s="478">
        <v>0</v>
      </c>
      <c r="AL208" s="478">
        <v>0</v>
      </c>
      <c r="AM208" s="478">
        <v>0</v>
      </c>
      <c r="AN208" s="478">
        <v>0</v>
      </c>
      <c r="AO208" s="478">
        <v>0</v>
      </c>
    </row>
    <row r="209" spans="1:52">
      <c r="B209" t="str">
        <f>INDEX('Scenario names'!$C$3:$C$6,2)</f>
        <v>High Hydrogen</v>
      </c>
      <c r="C209" s="78" t="s">
        <v>539</v>
      </c>
      <c r="D209" s="44" t="s">
        <v>537</v>
      </c>
      <c r="E209" s="44"/>
      <c r="F209" s="478">
        <v>0</v>
      </c>
      <c r="G209" s="478">
        <v>0</v>
      </c>
      <c r="H209" s="478">
        <v>0</v>
      </c>
      <c r="I209" s="478">
        <v>0</v>
      </c>
      <c r="J209" s="478">
        <v>0</v>
      </c>
      <c r="K209" s="478">
        <v>0</v>
      </c>
      <c r="L209" s="478">
        <v>0</v>
      </c>
      <c r="M209" s="478">
        <v>0</v>
      </c>
      <c r="N209" s="478">
        <v>0</v>
      </c>
      <c r="O209" s="478">
        <v>0</v>
      </c>
      <c r="P209" s="478">
        <v>0</v>
      </c>
      <c r="Q209" s="478">
        <v>0</v>
      </c>
      <c r="R209" s="478">
        <v>0</v>
      </c>
      <c r="S209" s="478">
        <v>0</v>
      </c>
      <c r="T209" s="478">
        <v>0</v>
      </c>
      <c r="U209" s="478">
        <v>0</v>
      </c>
      <c r="V209" s="478">
        <v>4.8000000000000001E-2</v>
      </c>
      <c r="W209" s="478">
        <v>9.6000000000000002E-2</v>
      </c>
      <c r="X209" s="478">
        <v>0.14400000000000002</v>
      </c>
      <c r="Y209" s="478">
        <v>0.192</v>
      </c>
      <c r="Z209" s="478">
        <v>0.24</v>
      </c>
      <c r="AA209" s="478">
        <v>0.25185345706441548</v>
      </c>
      <c r="AB209" s="478">
        <v>0.26370691412883096</v>
      </c>
      <c r="AC209" s="478">
        <v>0.27556037119324645</v>
      </c>
      <c r="AD209" s="478">
        <v>0.28741382825766193</v>
      </c>
      <c r="AE209" s="478">
        <v>0.29926728532207747</v>
      </c>
      <c r="AF209" s="478">
        <v>0.31112074238649295</v>
      </c>
      <c r="AG209" s="478">
        <v>0.32297419945090844</v>
      </c>
      <c r="AH209" s="478">
        <v>0.33482765651532392</v>
      </c>
      <c r="AI209" s="478">
        <v>0.34668111357973941</v>
      </c>
      <c r="AJ209" s="478">
        <v>0.35853457064415489</v>
      </c>
      <c r="AK209" s="478">
        <v>0.37038802770857038</v>
      </c>
      <c r="AL209" s="478">
        <v>0.38224148477298592</v>
      </c>
      <c r="AM209" s="478">
        <v>0.39409494183740135</v>
      </c>
      <c r="AN209" s="478">
        <v>0.40594839890181689</v>
      </c>
      <c r="AO209" s="478">
        <v>0.41780185596623237</v>
      </c>
    </row>
    <row r="210" spans="1:52">
      <c r="B210" t="str">
        <f>INDEX('Scenario names'!$C$3:$C$6,2)</f>
        <v>High Hydrogen</v>
      </c>
      <c r="C210" s="78" t="s">
        <v>540</v>
      </c>
      <c r="D210" s="44" t="s">
        <v>537</v>
      </c>
      <c r="E210" s="44"/>
      <c r="F210" s="478">
        <v>0</v>
      </c>
      <c r="G210" s="478">
        <v>0</v>
      </c>
      <c r="H210" s="478">
        <v>0</v>
      </c>
      <c r="I210" s="478">
        <v>0</v>
      </c>
      <c r="J210" s="478">
        <v>0</v>
      </c>
      <c r="K210" s="478">
        <v>0</v>
      </c>
      <c r="L210" s="478">
        <v>0</v>
      </c>
      <c r="M210" s="478">
        <v>0</v>
      </c>
      <c r="N210" s="478">
        <v>0</v>
      </c>
      <c r="O210" s="478">
        <v>0</v>
      </c>
      <c r="P210" s="478">
        <v>0</v>
      </c>
      <c r="Q210" s="478">
        <v>0</v>
      </c>
      <c r="R210" s="478">
        <v>0</v>
      </c>
      <c r="S210" s="478">
        <v>0</v>
      </c>
      <c r="T210" s="478">
        <v>0</v>
      </c>
      <c r="U210" s="478">
        <v>0</v>
      </c>
      <c r="V210" s="478">
        <v>0</v>
      </c>
      <c r="W210" s="478">
        <v>3.3381020505484022E-3</v>
      </c>
      <c r="X210" s="478">
        <v>1.0142606573629221E-2</v>
      </c>
      <c r="Y210" s="478">
        <v>1.4267185473411154E-2</v>
      </c>
      <c r="Z210" s="478">
        <v>1.82393448725107E-2</v>
      </c>
      <c r="AA210" s="478">
        <v>2.7766422711331333E-2</v>
      </c>
      <c r="AB210" s="478">
        <v>3.7293500550151973E-2</v>
      </c>
      <c r="AC210" s="478">
        <v>4.6820578388972606E-2</v>
      </c>
      <c r="AD210" s="478">
        <v>5.6347656227793239E-2</v>
      </c>
      <c r="AE210" s="478">
        <v>6.5874734066613871E-2</v>
      </c>
      <c r="AF210" s="478">
        <v>7.5401811905434518E-2</v>
      </c>
      <c r="AG210" s="478">
        <v>8.4928889744255137E-2</v>
      </c>
      <c r="AH210" s="478">
        <v>9.4455967583075784E-2</v>
      </c>
      <c r="AI210" s="478">
        <v>0.1039830454218964</v>
      </c>
      <c r="AJ210" s="478">
        <v>0.11351012326071705</v>
      </c>
      <c r="AK210" s="478">
        <v>0.12303720109953767</v>
      </c>
      <c r="AL210" s="478">
        <v>0.13256427893835832</v>
      </c>
      <c r="AM210" s="478">
        <v>0.14209135677717896</v>
      </c>
      <c r="AN210" s="478">
        <v>0.15161843461599958</v>
      </c>
      <c r="AO210" s="478">
        <v>0.1611455124548202</v>
      </c>
    </row>
    <row r="211" spans="1:52">
      <c r="B211" t="str">
        <f>INDEX('Scenario names'!$C$3:$C$6,2)</f>
        <v>High Hydrogen</v>
      </c>
      <c r="C211" s="78" t="s">
        <v>541</v>
      </c>
      <c r="D211" s="44" t="s">
        <v>537</v>
      </c>
      <c r="E211" s="44"/>
      <c r="F211" s="478">
        <v>0</v>
      </c>
      <c r="G211" s="478">
        <v>0</v>
      </c>
      <c r="H211" s="478">
        <v>0</v>
      </c>
      <c r="I211" s="478">
        <v>0</v>
      </c>
      <c r="J211" s="478">
        <v>0</v>
      </c>
      <c r="K211" s="478">
        <v>0</v>
      </c>
      <c r="L211" s="478">
        <v>0</v>
      </c>
      <c r="M211" s="478">
        <v>0</v>
      </c>
      <c r="N211" s="478">
        <v>0</v>
      </c>
      <c r="O211" s="478">
        <v>0</v>
      </c>
      <c r="P211" s="478">
        <v>0</v>
      </c>
      <c r="Q211" s="478">
        <v>1</v>
      </c>
      <c r="R211" s="478">
        <v>1</v>
      </c>
      <c r="S211" s="478">
        <v>1</v>
      </c>
      <c r="T211" s="478">
        <v>1</v>
      </c>
      <c r="U211" s="478">
        <v>1</v>
      </c>
      <c r="V211" s="478">
        <v>0.94799999999999995</v>
      </c>
      <c r="W211" s="478">
        <v>0.89600000000000002</v>
      </c>
      <c r="X211" s="478">
        <v>0.84399999999999997</v>
      </c>
      <c r="Y211" s="478">
        <v>0.79200000000000004</v>
      </c>
      <c r="Z211" s="478">
        <v>0.74</v>
      </c>
      <c r="AA211" s="478">
        <v>0.71866666666666668</v>
      </c>
      <c r="AB211" s="478">
        <v>0.69733333333333336</v>
      </c>
      <c r="AC211" s="478">
        <v>0.67599999999999993</v>
      </c>
      <c r="AD211" s="478">
        <v>0.65466666666666662</v>
      </c>
      <c r="AE211" s="478">
        <v>0.6333333333333333</v>
      </c>
      <c r="AF211" s="478">
        <v>0.61199999999999999</v>
      </c>
      <c r="AG211" s="478">
        <v>0.59066666666666667</v>
      </c>
      <c r="AH211" s="478">
        <v>0.56933333333333336</v>
      </c>
      <c r="AI211" s="478">
        <v>0.54800000000000004</v>
      </c>
      <c r="AJ211" s="478">
        <v>0.52666666666666662</v>
      </c>
      <c r="AK211" s="478">
        <v>0.5053333333333333</v>
      </c>
      <c r="AL211" s="478">
        <v>0.48399999999999999</v>
      </c>
      <c r="AM211" s="478">
        <v>0.46266666666666667</v>
      </c>
      <c r="AN211" s="478">
        <v>0.44133333333333336</v>
      </c>
      <c r="AO211" s="478">
        <v>0.42</v>
      </c>
    </row>
    <row r="212" spans="1:52">
      <c r="C212" s="78"/>
    </row>
    <row r="213" spans="1:52" ht="16.5" customHeight="1">
      <c r="C213" s="78" t="s">
        <v>542</v>
      </c>
      <c r="D213" s="44" t="s">
        <v>452</v>
      </c>
      <c r="E213" s="44"/>
      <c r="F213" s="478">
        <v>0</v>
      </c>
      <c r="G213" s="478">
        <v>0</v>
      </c>
      <c r="H213" s="478">
        <v>0</v>
      </c>
      <c r="I213" s="478">
        <v>0</v>
      </c>
      <c r="J213" s="478">
        <v>0</v>
      </c>
      <c r="K213" s="478">
        <v>0</v>
      </c>
      <c r="L213" s="478">
        <v>0</v>
      </c>
      <c r="M213" s="478">
        <v>0</v>
      </c>
      <c r="N213" s="478">
        <v>0</v>
      </c>
      <c r="O213" s="478">
        <v>0</v>
      </c>
      <c r="P213" s="478">
        <v>0</v>
      </c>
      <c r="Q213" s="478">
        <v>0</v>
      </c>
      <c r="R213" s="478">
        <v>5.9500000000000013E-3</v>
      </c>
      <c r="S213" s="478">
        <v>1.1900000000000003E-2</v>
      </c>
      <c r="T213" s="478">
        <v>1.7850000000000001E-2</v>
      </c>
      <c r="U213" s="478">
        <v>2.3800000000000005E-2</v>
      </c>
      <c r="V213" s="478">
        <v>3.5350000000000006E-2</v>
      </c>
      <c r="W213" s="478">
        <v>4.6900000000000011E-2</v>
      </c>
      <c r="X213" s="478">
        <v>5.8450000000000016E-2</v>
      </c>
      <c r="Y213" s="478">
        <v>0.13324000000000003</v>
      </c>
      <c r="Z213" s="478">
        <v>0.19648000000000004</v>
      </c>
      <c r="AA213" s="478">
        <v>0.25972000000000006</v>
      </c>
      <c r="AB213" s="478">
        <v>0.32296000000000002</v>
      </c>
      <c r="AC213" s="478">
        <v>0.38620000000000004</v>
      </c>
      <c r="AD213" s="478">
        <v>0.38620000000000004</v>
      </c>
      <c r="AE213" s="478">
        <v>0.48850000000000005</v>
      </c>
      <c r="AF213" s="478">
        <v>0.59079999999999999</v>
      </c>
      <c r="AG213" s="478">
        <v>0.69310000000000005</v>
      </c>
      <c r="AH213" s="478">
        <v>0.79540000000000011</v>
      </c>
      <c r="AI213" s="478">
        <v>0.89769999999999994</v>
      </c>
      <c r="AJ213" s="478">
        <v>1</v>
      </c>
      <c r="AK213" s="478">
        <v>1</v>
      </c>
      <c r="AL213" s="478">
        <v>1</v>
      </c>
      <c r="AM213" s="478">
        <v>1</v>
      </c>
      <c r="AN213" s="478">
        <v>1</v>
      </c>
      <c r="AO213" s="478">
        <v>1</v>
      </c>
      <c r="AP213" t="s">
        <v>111</v>
      </c>
    </row>
    <row r="214" spans="1:52">
      <c r="C214" s="78"/>
    </row>
    <row r="215" spans="1:52">
      <c r="B215" t="str">
        <f>INDEX('Scenario names'!$C$3:$C$6,3)</f>
        <v>Accelerated Green</v>
      </c>
      <c r="C215" s="78" t="s">
        <v>536</v>
      </c>
      <c r="D215" s="44" t="s">
        <v>537</v>
      </c>
      <c r="E215" s="44"/>
      <c r="F215" s="478">
        <v>1</v>
      </c>
      <c r="G215" s="478">
        <v>1</v>
      </c>
      <c r="H215" s="478">
        <v>1</v>
      </c>
      <c r="I215" s="478">
        <v>1</v>
      </c>
      <c r="J215" s="478">
        <v>1</v>
      </c>
      <c r="K215" s="478">
        <v>1</v>
      </c>
      <c r="L215" s="478">
        <v>1</v>
      </c>
      <c r="M215" s="478">
        <v>1</v>
      </c>
      <c r="N215" s="478">
        <v>1</v>
      </c>
      <c r="O215" s="478">
        <v>1</v>
      </c>
      <c r="P215" s="478">
        <v>1</v>
      </c>
      <c r="Q215" s="478">
        <v>0</v>
      </c>
      <c r="R215" s="478">
        <v>0</v>
      </c>
      <c r="S215" s="478">
        <v>0</v>
      </c>
      <c r="T215" s="478">
        <v>0</v>
      </c>
      <c r="U215" s="478">
        <v>0</v>
      </c>
      <c r="V215" s="478">
        <v>0</v>
      </c>
      <c r="W215" s="478">
        <v>0</v>
      </c>
      <c r="X215" s="478">
        <v>0</v>
      </c>
      <c r="Y215" s="478">
        <v>0</v>
      </c>
      <c r="Z215" s="478">
        <v>0</v>
      </c>
      <c r="AA215" s="478">
        <v>0</v>
      </c>
      <c r="AB215" s="478">
        <v>0</v>
      </c>
      <c r="AC215" s="478">
        <v>0</v>
      </c>
      <c r="AD215" s="478">
        <v>0</v>
      </c>
      <c r="AE215" s="478">
        <v>0</v>
      </c>
      <c r="AF215" s="478">
        <v>0</v>
      </c>
      <c r="AG215" s="478">
        <v>0</v>
      </c>
      <c r="AH215" s="478">
        <v>0</v>
      </c>
      <c r="AI215" s="478">
        <v>0</v>
      </c>
      <c r="AJ215" s="478">
        <v>0</v>
      </c>
      <c r="AK215" s="478">
        <v>0</v>
      </c>
      <c r="AL215" s="478">
        <v>0</v>
      </c>
      <c r="AM215" s="478">
        <v>0</v>
      </c>
      <c r="AN215" s="478">
        <v>0</v>
      </c>
      <c r="AO215" s="478">
        <v>0</v>
      </c>
    </row>
    <row r="216" spans="1:52">
      <c r="B216" t="str">
        <f>INDEX('Scenario names'!$C$3:$C$6,3)</f>
        <v>Accelerated Green</v>
      </c>
      <c r="C216" s="78" t="s">
        <v>538</v>
      </c>
      <c r="D216" s="44" t="s">
        <v>537</v>
      </c>
      <c r="E216" s="44"/>
      <c r="F216" s="478">
        <v>0</v>
      </c>
      <c r="G216" s="478">
        <v>0</v>
      </c>
      <c r="H216" s="478">
        <v>0</v>
      </c>
      <c r="I216" s="478">
        <v>0</v>
      </c>
      <c r="J216" s="478">
        <v>0</v>
      </c>
      <c r="K216" s="478">
        <v>0</v>
      </c>
      <c r="L216" s="478">
        <v>0</v>
      </c>
      <c r="M216" s="478">
        <v>0</v>
      </c>
      <c r="N216" s="478">
        <v>0</v>
      </c>
      <c r="O216" s="478">
        <v>0</v>
      </c>
      <c r="P216" s="478">
        <v>0</v>
      </c>
      <c r="Q216" s="478">
        <v>0</v>
      </c>
      <c r="R216" s="478">
        <v>0</v>
      </c>
      <c r="S216" s="478">
        <v>0</v>
      </c>
      <c r="T216" s="478">
        <v>0</v>
      </c>
      <c r="U216" s="478">
        <v>0</v>
      </c>
      <c r="V216" s="478">
        <v>0</v>
      </c>
      <c r="W216" s="478">
        <v>0</v>
      </c>
      <c r="X216" s="478">
        <v>0</v>
      </c>
      <c r="Y216" s="478">
        <v>0</v>
      </c>
      <c r="Z216" s="478">
        <v>0</v>
      </c>
      <c r="AA216" s="478">
        <v>0</v>
      </c>
      <c r="AB216" s="478">
        <v>0</v>
      </c>
      <c r="AC216" s="478">
        <v>0</v>
      </c>
      <c r="AD216" s="478">
        <v>0</v>
      </c>
      <c r="AE216" s="478">
        <v>0</v>
      </c>
      <c r="AF216" s="478">
        <v>0</v>
      </c>
      <c r="AG216" s="478">
        <v>0</v>
      </c>
      <c r="AH216" s="478">
        <v>0</v>
      </c>
      <c r="AI216" s="478">
        <v>0</v>
      </c>
      <c r="AJ216" s="478">
        <v>0</v>
      </c>
      <c r="AK216" s="478">
        <v>0</v>
      </c>
      <c r="AL216" s="478">
        <v>0</v>
      </c>
      <c r="AM216" s="478">
        <v>0</v>
      </c>
      <c r="AN216" s="478">
        <v>0</v>
      </c>
      <c r="AO216" s="478">
        <v>0</v>
      </c>
    </row>
    <row r="217" spans="1:52">
      <c r="B217" t="str">
        <f>INDEX('Scenario names'!$C$3:$C$6,3)</f>
        <v>Accelerated Green</v>
      </c>
      <c r="C217" s="78" t="s">
        <v>539</v>
      </c>
      <c r="D217" s="44" t="s">
        <v>537</v>
      </c>
      <c r="E217" s="44"/>
      <c r="F217" s="478">
        <v>0</v>
      </c>
      <c r="G217" s="478">
        <v>0</v>
      </c>
      <c r="H217" s="478">
        <v>0</v>
      </c>
      <c r="I217" s="478">
        <v>0</v>
      </c>
      <c r="J217" s="478">
        <v>0</v>
      </c>
      <c r="K217" s="478">
        <v>0</v>
      </c>
      <c r="L217" s="478">
        <v>0</v>
      </c>
      <c r="M217" s="478">
        <v>0</v>
      </c>
      <c r="N217" s="478">
        <v>0</v>
      </c>
      <c r="O217" s="478">
        <v>0</v>
      </c>
      <c r="P217" s="478">
        <v>0</v>
      </c>
      <c r="Q217" s="478">
        <v>0</v>
      </c>
      <c r="R217" s="478">
        <v>0</v>
      </c>
      <c r="S217" s="478">
        <v>0</v>
      </c>
      <c r="T217" s="478">
        <v>0</v>
      </c>
      <c r="U217" s="478">
        <v>0</v>
      </c>
      <c r="V217" s="478">
        <v>4.8000000000000001E-2</v>
      </c>
      <c r="W217" s="478">
        <v>9.6000000000000002E-2</v>
      </c>
      <c r="X217" s="478">
        <v>0.14400000000000002</v>
      </c>
      <c r="Y217" s="478">
        <v>0.192</v>
      </c>
      <c r="Z217" s="478">
        <v>0.24</v>
      </c>
      <c r="AA217" s="478">
        <v>0.25185345706441548</v>
      </c>
      <c r="AB217" s="478">
        <v>0.26370691412883096</v>
      </c>
      <c r="AC217" s="478">
        <v>0.27556037119324645</v>
      </c>
      <c r="AD217" s="478">
        <v>0.28741382825766193</v>
      </c>
      <c r="AE217" s="478">
        <v>0.29926728532207747</v>
      </c>
      <c r="AF217" s="478">
        <v>0.31112074238649295</v>
      </c>
      <c r="AG217" s="478">
        <v>0.32297419945090844</v>
      </c>
      <c r="AH217" s="478">
        <v>0.33482765651532392</v>
      </c>
      <c r="AI217" s="478">
        <v>0.34668111357973941</v>
      </c>
      <c r="AJ217" s="478">
        <v>0.35853457064415489</v>
      </c>
      <c r="AK217" s="478">
        <v>0.37038802770857038</v>
      </c>
      <c r="AL217" s="478">
        <v>0.38224148477298592</v>
      </c>
      <c r="AM217" s="478">
        <v>0.39409494183740135</v>
      </c>
      <c r="AN217" s="478">
        <v>0.40594839890181689</v>
      </c>
      <c r="AO217" s="478">
        <v>0.41780185596623237</v>
      </c>
    </row>
    <row r="218" spans="1:52">
      <c r="B218" t="str">
        <f>INDEX('Scenario names'!$C$3:$C$6,3)</f>
        <v>Accelerated Green</v>
      </c>
      <c r="C218" s="78" t="s">
        <v>540</v>
      </c>
      <c r="D218" s="44" t="s">
        <v>537</v>
      </c>
      <c r="E218" s="44"/>
      <c r="F218" s="478">
        <v>0</v>
      </c>
      <c r="G218" s="478">
        <v>0</v>
      </c>
      <c r="H218" s="478">
        <v>0</v>
      </c>
      <c r="I218" s="478">
        <v>0</v>
      </c>
      <c r="J218" s="478">
        <v>0</v>
      </c>
      <c r="K218" s="478">
        <v>0</v>
      </c>
      <c r="L218" s="478">
        <v>0</v>
      </c>
      <c r="M218" s="478">
        <v>0</v>
      </c>
      <c r="N218" s="478">
        <v>0</v>
      </c>
      <c r="O218" s="478">
        <v>0</v>
      </c>
      <c r="P218" s="478">
        <v>0</v>
      </c>
      <c r="Q218" s="478">
        <v>0</v>
      </c>
      <c r="R218" s="478">
        <v>0</v>
      </c>
      <c r="S218" s="478">
        <v>0</v>
      </c>
      <c r="T218" s="478">
        <v>0</v>
      </c>
      <c r="U218" s="478">
        <v>0</v>
      </c>
      <c r="V218" s="478">
        <v>0</v>
      </c>
      <c r="W218" s="478">
        <v>3.3381020505484022E-3</v>
      </c>
      <c r="X218" s="478">
        <v>1.0142606573629221E-2</v>
      </c>
      <c r="Y218" s="478">
        <v>1.4267185473411154E-2</v>
      </c>
      <c r="Z218" s="478">
        <v>1.82393448725107E-2</v>
      </c>
      <c r="AA218" s="478">
        <v>2.7766422711331333E-2</v>
      </c>
      <c r="AB218" s="478">
        <v>3.7293500550151973E-2</v>
      </c>
      <c r="AC218" s="478">
        <v>4.6820578388972606E-2</v>
      </c>
      <c r="AD218" s="478">
        <v>5.6347656227793239E-2</v>
      </c>
      <c r="AE218" s="478">
        <v>6.5874734066613871E-2</v>
      </c>
      <c r="AF218" s="478">
        <v>7.5401811905434518E-2</v>
      </c>
      <c r="AG218" s="478">
        <v>8.4928889744255137E-2</v>
      </c>
      <c r="AH218" s="478">
        <v>9.4455967583075784E-2</v>
      </c>
      <c r="AI218" s="478">
        <v>0.1039830454218964</v>
      </c>
      <c r="AJ218" s="478">
        <v>0.11351012326071705</v>
      </c>
      <c r="AK218" s="478">
        <v>0.12303720109953767</v>
      </c>
      <c r="AL218" s="478">
        <v>0.13256427893835832</v>
      </c>
      <c r="AM218" s="478">
        <v>0.14209135677717896</v>
      </c>
      <c r="AN218" s="478">
        <v>0.15161843461599958</v>
      </c>
      <c r="AO218" s="478">
        <v>0.1611455124548202</v>
      </c>
    </row>
    <row r="219" spans="1:52">
      <c r="B219" t="str">
        <f>INDEX('Scenario names'!$C$3:$C$6,3)</f>
        <v>Accelerated Green</v>
      </c>
      <c r="C219" s="78" t="s">
        <v>541</v>
      </c>
      <c r="D219" s="44" t="s">
        <v>537</v>
      </c>
      <c r="E219" s="44"/>
      <c r="F219" s="478">
        <v>0</v>
      </c>
      <c r="G219" s="478">
        <v>0</v>
      </c>
      <c r="H219" s="478">
        <v>0</v>
      </c>
      <c r="I219" s="478">
        <v>0</v>
      </c>
      <c r="J219" s="478">
        <v>0</v>
      </c>
      <c r="K219" s="478">
        <v>0</v>
      </c>
      <c r="L219" s="478">
        <v>0</v>
      </c>
      <c r="M219" s="478">
        <v>0</v>
      </c>
      <c r="N219" s="478">
        <v>0</v>
      </c>
      <c r="O219" s="478">
        <v>0</v>
      </c>
      <c r="P219" s="478">
        <v>0</v>
      </c>
      <c r="Q219" s="478">
        <v>1</v>
      </c>
      <c r="R219" s="478">
        <v>1</v>
      </c>
      <c r="S219" s="478">
        <v>1</v>
      </c>
      <c r="T219" s="478">
        <v>1</v>
      </c>
      <c r="U219" s="478">
        <v>1</v>
      </c>
      <c r="V219" s="478">
        <v>0.94799999999999995</v>
      </c>
      <c r="W219" s="478">
        <v>0.89600000000000002</v>
      </c>
      <c r="X219" s="478">
        <v>0.84399999999999997</v>
      </c>
      <c r="Y219" s="478">
        <v>0.79200000000000004</v>
      </c>
      <c r="Z219" s="478">
        <v>0.74</v>
      </c>
      <c r="AA219" s="478">
        <v>0.71866666666666668</v>
      </c>
      <c r="AB219" s="478">
        <v>0.69733333333333336</v>
      </c>
      <c r="AC219" s="478">
        <v>0.67599999999999993</v>
      </c>
      <c r="AD219" s="478">
        <v>0.65466666666666662</v>
      </c>
      <c r="AE219" s="478">
        <v>0.6333333333333333</v>
      </c>
      <c r="AF219" s="478">
        <v>0.61199999999999999</v>
      </c>
      <c r="AG219" s="478">
        <v>0.59066666666666667</v>
      </c>
      <c r="AH219" s="478">
        <v>0.56933333333333336</v>
      </c>
      <c r="AI219" s="478">
        <v>0.54800000000000004</v>
      </c>
      <c r="AJ219" s="478">
        <v>0.52666666666666662</v>
      </c>
      <c r="AK219" s="478">
        <v>0.5053333333333333</v>
      </c>
      <c r="AL219" s="478">
        <v>0.48399999999999999</v>
      </c>
      <c r="AM219" s="478">
        <v>0.46266666666666667</v>
      </c>
      <c r="AN219" s="478">
        <v>0.44133333333333336</v>
      </c>
      <c r="AO219" s="478">
        <v>0.42</v>
      </c>
    </row>
    <row r="220" spans="1:52">
      <c r="F220" s="39"/>
      <c r="G220" s="39"/>
      <c r="H220" s="39"/>
      <c r="I220" s="39"/>
      <c r="J220" s="39"/>
      <c r="K220" s="39"/>
      <c r="L220" s="39"/>
      <c r="M220" s="39"/>
      <c r="N220" s="39"/>
      <c r="O220" s="39"/>
      <c r="P220" s="39"/>
      <c r="Q220" s="39"/>
      <c r="R220" s="39"/>
      <c r="S220" s="39"/>
      <c r="T220" s="39"/>
      <c r="U220" s="39"/>
      <c r="V220" s="39"/>
      <c r="W220" s="39"/>
      <c r="X220" s="39"/>
      <c r="Y220" s="39"/>
      <c r="Z220" s="39"/>
      <c r="AA220" s="39"/>
      <c r="AB220" s="39"/>
      <c r="AC220" s="39"/>
      <c r="AD220" s="39"/>
      <c r="AE220" s="39"/>
      <c r="AF220" s="39"/>
      <c r="AG220" s="39"/>
      <c r="AH220" s="39"/>
      <c r="AI220" s="39"/>
      <c r="AJ220" s="39"/>
      <c r="AK220" s="39"/>
      <c r="AL220" s="39"/>
      <c r="AM220" s="39"/>
      <c r="AN220" s="39"/>
      <c r="AO220" s="39"/>
    </row>
    <row r="221" spans="1:52" ht="16.5" customHeight="1">
      <c r="C221" s="78" t="s">
        <v>542</v>
      </c>
      <c r="D221" s="44" t="s">
        <v>452</v>
      </c>
      <c r="E221" s="44"/>
      <c r="F221" s="478">
        <v>0</v>
      </c>
      <c r="G221" s="478">
        <v>0</v>
      </c>
      <c r="H221" s="478">
        <v>0</v>
      </c>
      <c r="I221" s="478">
        <v>0</v>
      </c>
      <c r="J221" s="478">
        <v>0</v>
      </c>
      <c r="K221" s="478">
        <v>0</v>
      </c>
      <c r="L221" s="478">
        <v>0</v>
      </c>
      <c r="M221" s="478">
        <v>0</v>
      </c>
      <c r="N221" s="478">
        <v>0</v>
      </c>
      <c r="O221" s="478">
        <v>0</v>
      </c>
      <c r="P221" s="478">
        <v>0</v>
      </c>
      <c r="Q221" s="478">
        <v>0</v>
      </c>
      <c r="R221" s="478">
        <v>5.9500000000000013E-3</v>
      </c>
      <c r="S221" s="478">
        <v>1.1900000000000003E-2</v>
      </c>
      <c r="T221" s="478">
        <v>1.7850000000000001E-2</v>
      </c>
      <c r="U221" s="478">
        <v>2.3800000000000005E-2</v>
      </c>
      <c r="V221" s="478">
        <v>3.5350000000000006E-2</v>
      </c>
      <c r="W221" s="478">
        <v>4.6900000000000011E-2</v>
      </c>
      <c r="X221" s="478">
        <v>5.8450000000000016E-2</v>
      </c>
      <c r="Y221" s="478">
        <v>7.0000000000000007E-2</v>
      </c>
      <c r="Z221" s="478">
        <v>7.0000000000000007E-2</v>
      </c>
      <c r="AA221" s="478">
        <v>7.0000000000000007E-2</v>
      </c>
      <c r="AB221" s="478">
        <v>7.0000000000000007E-2</v>
      </c>
      <c r="AC221" s="478">
        <v>7.0000000000000007E-2</v>
      </c>
      <c r="AD221" s="478">
        <v>7.0000000000000007E-2</v>
      </c>
      <c r="AE221" s="478">
        <v>7.0000000000000007E-2</v>
      </c>
      <c r="AF221" s="478">
        <v>7.0000000000000007E-2</v>
      </c>
      <c r="AG221" s="478">
        <v>7.0000000000000007E-2</v>
      </c>
      <c r="AH221" s="478">
        <v>7.0000000000000007E-2</v>
      </c>
      <c r="AI221" s="478">
        <v>7.0000000000000007E-2</v>
      </c>
      <c r="AJ221" s="478">
        <v>7.0000000000000007E-2</v>
      </c>
      <c r="AK221" s="478">
        <v>7.0000000000000007E-2</v>
      </c>
      <c r="AL221" s="478">
        <v>7.0000000000000007E-2</v>
      </c>
      <c r="AM221" s="478">
        <v>7.0000000000000007E-2</v>
      </c>
      <c r="AN221" s="478">
        <v>7.0000000000000007E-2</v>
      </c>
      <c r="AO221" s="478">
        <v>7.0000000000000007E-2</v>
      </c>
      <c r="AP221" t="s">
        <v>113</v>
      </c>
    </row>
    <row r="222" spans="1:52">
      <c r="C222" s="78"/>
    </row>
    <row r="223" spans="1:52">
      <c r="A223" s="67"/>
      <c r="B223" s="67" t="s">
        <v>569</v>
      </c>
      <c r="C223" s="67"/>
      <c r="D223" s="67"/>
      <c r="E223" s="67"/>
      <c r="F223" s="67"/>
      <c r="G223" s="67"/>
      <c r="H223" s="67"/>
      <c r="I223" s="67"/>
      <c r="J223" s="67"/>
      <c r="K223" s="67"/>
      <c r="L223" s="67"/>
      <c r="M223" s="67"/>
      <c r="N223" s="67"/>
      <c r="O223" s="67"/>
      <c r="P223" s="68"/>
      <c r="Q223" s="68"/>
      <c r="R223" s="68"/>
      <c r="S223" s="68"/>
      <c r="T223" s="68"/>
      <c r="U223" s="68"/>
      <c r="V223" s="68"/>
      <c r="W223" s="68"/>
      <c r="X223" s="68"/>
      <c r="Y223" s="68"/>
      <c r="Z223" s="68"/>
      <c r="AA223" s="68"/>
      <c r="AB223" s="68"/>
      <c r="AC223" s="68"/>
      <c r="AD223" s="68"/>
      <c r="AE223" s="68"/>
      <c r="AF223" s="68"/>
      <c r="AG223" s="68"/>
      <c r="AH223" s="68"/>
      <c r="AI223" s="68"/>
      <c r="AJ223" s="68"/>
      <c r="AK223" s="68"/>
      <c r="AL223" s="68"/>
      <c r="AM223" s="68"/>
      <c r="AN223" s="68"/>
      <c r="AO223" s="68"/>
      <c r="AP223" s="68"/>
      <c r="AQ223" s="68"/>
      <c r="AR223" s="68"/>
      <c r="AS223" s="68"/>
      <c r="AT223" s="68"/>
      <c r="AU223" s="68"/>
      <c r="AV223" s="68"/>
      <c r="AW223" s="68"/>
      <c r="AX223" s="68"/>
      <c r="AY223" s="68"/>
      <c r="AZ223" s="67"/>
    </row>
    <row r="224" spans="1:52">
      <c r="F224" s="35">
        <v>2015</v>
      </c>
      <c r="G224" s="35">
        <f>F224+1</f>
        <v>2016</v>
      </c>
      <c r="H224" s="35">
        <f t="shared" ref="H224:AO224" si="363">G224+1</f>
        <v>2017</v>
      </c>
      <c r="I224" s="35">
        <f t="shared" si="363"/>
        <v>2018</v>
      </c>
      <c r="J224" s="35">
        <f t="shared" si="363"/>
        <v>2019</v>
      </c>
      <c r="K224" s="35">
        <f t="shared" si="363"/>
        <v>2020</v>
      </c>
      <c r="L224" s="35">
        <f t="shared" si="363"/>
        <v>2021</v>
      </c>
      <c r="M224" s="35">
        <f t="shared" si="363"/>
        <v>2022</v>
      </c>
      <c r="N224" s="35">
        <f t="shared" si="363"/>
        <v>2023</v>
      </c>
      <c r="O224" s="35">
        <f t="shared" si="363"/>
        <v>2024</v>
      </c>
      <c r="P224" s="35">
        <f t="shared" si="363"/>
        <v>2025</v>
      </c>
      <c r="Q224" s="35">
        <f t="shared" si="363"/>
        <v>2026</v>
      </c>
      <c r="R224" s="35">
        <f t="shared" si="363"/>
        <v>2027</v>
      </c>
      <c r="S224" s="35">
        <f t="shared" si="363"/>
        <v>2028</v>
      </c>
      <c r="T224" s="35">
        <f t="shared" si="363"/>
        <v>2029</v>
      </c>
      <c r="U224" s="35">
        <f t="shared" si="363"/>
        <v>2030</v>
      </c>
      <c r="V224" s="35">
        <f t="shared" si="363"/>
        <v>2031</v>
      </c>
      <c r="W224" s="35">
        <f t="shared" si="363"/>
        <v>2032</v>
      </c>
      <c r="X224" s="35">
        <f t="shared" si="363"/>
        <v>2033</v>
      </c>
      <c r="Y224" s="35">
        <f t="shared" si="363"/>
        <v>2034</v>
      </c>
      <c r="Z224" s="35">
        <f t="shared" si="363"/>
        <v>2035</v>
      </c>
      <c r="AA224" s="35">
        <f t="shared" si="363"/>
        <v>2036</v>
      </c>
      <c r="AB224" s="35">
        <f t="shared" si="363"/>
        <v>2037</v>
      </c>
      <c r="AC224" s="35">
        <f t="shared" si="363"/>
        <v>2038</v>
      </c>
      <c r="AD224" s="35">
        <f t="shared" si="363"/>
        <v>2039</v>
      </c>
      <c r="AE224" s="35">
        <f t="shared" si="363"/>
        <v>2040</v>
      </c>
      <c r="AF224" s="35">
        <f t="shared" si="363"/>
        <v>2041</v>
      </c>
      <c r="AG224" s="35">
        <f t="shared" si="363"/>
        <v>2042</v>
      </c>
      <c r="AH224" s="35">
        <f t="shared" si="363"/>
        <v>2043</v>
      </c>
      <c r="AI224" s="35">
        <f t="shared" si="363"/>
        <v>2044</v>
      </c>
      <c r="AJ224" s="35">
        <f t="shared" si="363"/>
        <v>2045</v>
      </c>
      <c r="AK224" s="35">
        <f t="shared" si="363"/>
        <v>2046</v>
      </c>
      <c r="AL224" s="35">
        <f t="shared" si="363"/>
        <v>2047</v>
      </c>
      <c r="AM224" s="35">
        <f t="shared" si="363"/>
        <v>2048</v>
      </c>
      <c r="AN224" s="35">
        <f t="shared" si="363"/>
        <v>2049</v>
      </c>
      <c r="AO224" s="35">
        <f t="shared" si="363"/>
        <v>2050</v>
      </c>
    </row>
    <row r="225" spans="2:52">
      <c r="B225" t="s">
        <v>22</v>
      </c>
      <c r="C225" t="s">
        <v>543</v>
      </c>
      <c r="E225" t="s">
        <v>452</v>
      </c>
      <c r="F225" s="478">
        <v>0</v>
      </c>
      <c r="G225" s="478">
        <v>0</v>
      </c>
      <c r="H225" s="478">
        <v>0</v>
      </c>
      <c r="I225" s="478">
        <v>0</v>
      </c>
      <c r="J225" s="478">
        <v>0</v>
      </c>
      <c r="K225" s="478">
        <v>0</v>
      </c>
      <c r="L225" s="478">
        <v>0</v>
      </c>
      <c r="M225" s="478">
        <v>0</v>
      </c>
      <c r="N225" s="478">
        <v>0</v>
      </c>
      <c r="O225" s="478">
        <v>0</v>
      </c>
      <c r="P225" s="478">
        <v>0</v>
      </c>
      <c r="Q225" s="478">
        <v>0</v>
      </c>
      <c r="R225" s="478">
        <v>0</v>
      </c>
      <c r="S225" s="478">
        <v>0</v>
      </c>
      <c r="T225" s="478">
        <v>0</v>
      </c>
      <c r="U225" s="478">
        <v>0</v>
      </c>
      <c r="V225" s="478">
        <v>0</v>
      </c>
      <c r="W225" s="478">
        <v>0</v>
      </c>
      <c r="X225" s="478">
        <v>0</v>
      </c>
      <c r="Y225" s="478">
        <v>0</v>
      </c>
      <c r="Z225" s="478">
        <v>0</v>
      </c>
      <c r="AA225" s="478">
        <v>0</v>
      </c>
      <c r="AB225" s="478">
        <v>0</v>
      </c>
      <c r="AC225" s="478">
        <v>0</v>
      </c>
      <c r="AD225" s="478">
        <v>0</v>
      </c>
      <c r="AE225" s="478">
        <v>0</v>
      </c>
      <c r="AF225" s="478">
        <v>0</v>
      </c>
      <c r="AG225" s="478">
        <v>0</v>
      </c>
      <c r="AH225" s="478">
        <v>0</v>
      </c>
      <c r="AI225" s="478">
        <v>0</v>
      </c>
      <c r="AJ225" s="478">
        <v>0</v>
      </c>
      <c r="AK225" s="478">
        <v>0</v>
      </c>
      <c r="AL225" s="478">
        <v>0</v>
      </c>
      <c r="AM225" s="478">
        <v>0</v>
      </c>
      <c r="AN225" s="478">
        <v>0</v>
      </c>
      <c r="AO225" s="478">
        <v>0</v>
      </c>
    </row>
    <row r="226" spans="2:52">
      <c r="C226" t="s">
        <v>545</v>
      </c>
      <c r="E226" t="s">
        <v>452</v>
      </c>
      <c r="F226" s="478">
        <v>0</v>
      </c>
      <c r="G226" s="478">
        <v>0</v>
      </c>
      <c r="H226" s="478">
        <v>0</v>
      </c>
      <c r="I226" s="478">
        <v>0</v>
      </c>
      <c r="J226" s="478">
        <v>0</v>
      </c>
      <c r="K226" s="478">
        <v>0</v>
      </c>
      <c r="L226" s="478">
        <v>0</v>
      </c>
      <c r="M226" s="478">
        <v>0</v>
      </c>
      <c r="N226" s="478">
        <v>0</v>
      </c>
      <c r="O226" s="478">
        <v>0</v>
      </c>
      <c r="P226" s="478">
        <v>0</v>
      </c>
      <c r="Q226" s="478">
        <v>0</v>
      </c>
      <c r="R226" s="478">
        <v>0</v>
      </c>
      <c r="S226" s="478">
        <v>0</v>
      </c>
      <c r="T226" s="478">
        <v>0</v>
      </c>
      <c r="U226" s="478">
        <v>0</v>
      </c>
      <c r="V226" s="478">
        <v>0</v>
      </c>
      <c r="W226" s="478">
        <v>0</v>
      </c>
      <c r="X226" s="478">
        <v>0</v>
      </c>
      <c r="Y226" s="478">
        <v>0</v>
      </c>
      <c r="Z226" s="478">
        <v>0</v>
      </c>
      <c r="AA226" s="478">
        <v>0</v>
      </c>
      <c r="AB226" s="478">
        <v>0</v>
      </c>
      <c r="AC226" s="478">
        <v>0</v>
      </c>
      <c r="AD226" s="478">
        <v>0</v>
      </c>
      <c r="AE226" s="478">
        <v>0</v>
      </c>
      <c r="AF226" s="478">
        <v>0</v>
      </c>
      <c r="AG226" s="478">
        <v>0</v>
      </c>
      <c r="AH226" s="478">
        <v>0</v>
      </c>
      <c r="AI226" s="478">
        <v>0</v>
      </c>
      <c r="AJ226" s="478">
        <v>0</v>
      </c>
      <c r="AK226" s="478">
        <v>0</v>
      </c>
      <c r="AL226" s="478">
        <v>0</v>
      </c>
      <c r="AM226" s="478">
        <v>0</v>
      </c>
      <c r="AN226" s="478">
        <v>0</v>
      </c>
      <c r="AO226" s="478">
        <v>0</v>
      </c>
    </row>
    <row r="229" spans="2:52">
      <c r="B229" s="38" t="str">
        <f>INDEX('Scenario names'!$C$3:$C$6,4)</f>
        <v>No Constraints</v>
      </c>
      <c r="C229" s="38" t="s">
        <v>543</v>
      </c>
      <c r="D229" s="38"/>
      <c r="E229" s="38" t="s">
        <v>452</v>
      </c>
      <c r="F229" s="478">
        <f>'Industrial and Other Transport'!O37/SUM('Industrial and Other Transport'!O36:O37)</f>
        <v>0</v>
      </c>
      <c r="G229" s="478">
        <f>'Industrial and Other Transport'!P37/SUM('Industrial and Other Transport'!P36:P37)</f>
        <v>0</v>
      </c>
      <c r="H229" s="478">
        <f>'Industrial and Other Transport'!Q37/SUM('Industrial and Other Transport'!Q36:Q37)</f>
        <v>0</v>
      </c>
      <c r="I229" s="478">
        <f>'Industrial and Other Transport'!R37/SUM('Industrial and Other Transport'!R36:R37)</f>
        <v>0</v>
      </c>
      <c r="J229" s="478">
        <f>'Industrial and Other Transport'!S37/SUM('Industrial and Other Transport'!S36:S37)</f>
        <v>0</v>
      </c>
      <c r="K229" s="478">
        <f>'Industrial and Other Transport'!T37/SUM('Industrial and Other Transport'!T36:T37)</f>
        <v>0</v>
      </c>
      <c r="L229" s="478">
        <f>'Industrial and Other Transport'!U37/SUM('Industrial and Other Transport'!U36:U37)</f>
        <v>0</v>
      </c>
      <c r="M229" s="478">
        <f>'Industrial and Other Transport'!V37/SUM('Industrial and Other Transport'!V36:V37)</f>
        <v>0</v>
      </c>
      <c r="N229" s="478">
        <f>'Industrial and Other Transport'!W37/SUM('Industrial and Other Transport'!W36:W37)</f>
        <v>0</v>
      </c>
      <c r="O229" s="478">
        <f>'Industrial and Other Transport'!X37/SUM('Industrial and Other Transport'!X36:X37)</f>
        <v>0</v>
      </c>
      <c r="P229" s="478">
        <f>'Industrial and Other Transport'!Y37/SUM('Industrial and Other Transport'!Y36:Y37)</f>
        <v>0</v>
      </c>
      <c r="Q229" s="478">
        <f>'Industrial and Other Transport'!Z37/SUM('Industrial and Other Transport'!Z36:Z37)</f>
        <v>4.3113310706033671E-2</v>
      </c>
      <c r="R229" s="478">
        <f>'Industrial and Other Transport'!AA37/SUM('Industrial and Other Transport'!AA36:AA37)</f>
        <v>9.1757983663279252E-2</v>
      </c>
      <c r="S229" s="478">
        <f>'Industrial and Other Transport'!AB37/SUM('Industrial and Other Transport'!AB36:AB37)</f>
        <v>0.14707148228677369</v>
      </c>
      <c r="T229" s="478">
        <f>'Industrial and Other Transport'!AC37/SUM('Industrial and Other Transport'!AC36:AC37)</f>
        <v>0.21052609681425749</v>
      </c>
      <c r="U229" s="478">
        <f>'Industrial and Other Transport'!AD37/SUM('Industrial and Other Transport'!AD36:AD37)</f>
        <v>0.28406193159845722</v>
      </c>
      <c r="V229" s="478">
        <f>'Industrial and Other Transport'!AE37/SUM('Industrial and Other Transport'!AE36:AE37)</f>
        <v>0.37079480891730676</v>
      </c>
      <c r="W229" s="478">
        <f>'Industrial and Other Transport'!AF37/SUM('Industrial and Other Transport'!AF36:AF37)</f>
        <v>0.46583841739475523</v>
      </c>
      <c r="X229" s="478">
        <f>'Industrial and Other Transport'!AG37/SUM('Industrial and Other Transport'!AG36:AG37)</f>
        <v>0.57044736468854529</v>
      </c>
      <c r="Y229" s="478">
        <f>'Industrial and Other Transport'!AH37/SUM('Industrial and Other Transport'!AH36:AH37)</f>
        <v>0.68614217076470319</v>
      </c>
      <c r="Z229" s="478">
        <f>'Industrial and Other Transport'!AI37/SUM('Industrial and Other Transport'!AI36:AI37)</f>
        <v>0.81478365935791386</v>
      </c>
      <c r="AA229" s="478">
        <f>'Industrial and Other Transport'!AJ37/SUM('Industrial and Other Transport'!AJ36:AJ37)</f>
        <v>0.84593128562613717</v>
      </c>
      <c r="AB229" s="478">
        <f>'Industrial and Other Transport'!AK37/SUM('Industrial and Other Transport'!AK36:AK37)</f>
        <v>0.87966028054052126</v>
      </c>
      <c r="AC229" s="478">
        <f>'Industrial and Other Transport'!AL37/SUM('Industrial and Other Transport'!AL36:AL37)</f>
        <v>0.91630541368830165</v>
      </c>
      <c r="AD229" s="478">
        <f>'Industrial and Other Transport'!AM37/SUM('Industrial and Other Transport'!AM36:AM37)</f>
        <v>0.95626195706676664</v>
      </c>
      <c r="AE229" s="478">
        <f>'Industrial and Other Transport'!AN37/SUM('Industrial and Other Transport'!AN36:AN37)</f>
        <v>1</v>
      </c>
      <c r="AF229" s="478">
        <f>'Industrial and Other Transport'!AO37/SUM('Industrial and Other Transport'!AO36:AO37)</f>
        <v>1</v>
      </c>
      <c r="AG229" s="478">
        <f>'Industrial and Other Transport'!AP37/SUM('Industrial and Other Transport'!AP36:AP37)</f>
        <v>1</v>
      </c>
      <c r="AH229" s="478">
        <f>'Industrial and Other Transport'!AQ37/SUM('Industrial and Other Transport'!AQ36:AQ37)</f>
        <v>1</v>
      </c>
      <c r="AI229" s="478">
        <f>'Industrial and Other Transport'!AR37/SUM('Industrial and Other Transport'!AR36:AR37)</f>
        <v>1</v>
      </c>
      <c r="AJ229" s="478">
        <f>'Industrial and Other Transport'!AS37/SUM('Industrial and Other Transport'!AS36:AS37)</f>
        <v>1</v>
      </c>
      <c r="AK229" s="478">
        <f>'Industrial and Other Transport'!AT37/SUM('Industrial and Other Transport'!AT36:AT37)</f>
        <v>1</v>
      </c>
      <c r="AL229" s="478">
        <f>'Industrial and Other Transport'!AU37/SUM('Industrial and Other Transport'!AU36:AU37)</f>
        <v>1</v>
      </c>
      <c r="AM229" s="478">
        <f>'Industrial and Other Transport'!AV37/SUM('Industrial and Other Transport'!AV36:AV37)</f>
        <v>1</v>
      </c>
      <c r="AN229" s="478">
        <f>'Industrial and Other Transport'!AW37/SUM('Industrial and Other Transport'!AW36:AW37)</f>
        <v>1</v>
      </c>
      <c r="AO229" s="478">
        <f>'Industrial and Other Transport'!AX37/SUM('Industrial and Other Transport'!AX36:AX37)</f>
        <v>1</v>
      </c>
      <c r="AP229" s="92"/>
      <c r="AQ229" s="92"/>
      <c r="AR229" s="92"/>
      <c r="AS229" s="92"/>
      <c r="AT229" s="92"/>
      <c r="AU229" s="92"/>
      <c r="AV229" s="92"/>
      <c r="AW229" s="92"/>
      <c r="AX229" s="92"/>
      <c r="AY229" s="92"/>
      <c r="AZ229" s="92"/>
    </row>
    <row r="230" spans="2:52">
      <c r="B230" s="38"/>
      <c r="C230" s="38" t="s">
        <v>545</v>
      </c>
      <c r="D230" s="38"/>
      <c r="E230" s="38" t="s">
        <v>452</v>
      </c>
      <c r="F230" s="478">
        <f t="shared" ref="F230:AO230" si="364">F229</f>
        <v>0</v>
      </c>
      <c r="G230" s="478">
        <f t="shared" si="364"/>
        <v>0</v>
      </c>
      <c r="H230" s="478">
        <f t="shared" si="364"/>
        <v>0</v>
      </c>
      <c r="I230" s="478">
        <f t="shared" si="364"/>
        <v>0</v>
      </c>
      <c r="J230" s="478">
        <f t="shared" si="364"/>
        <v>0</v>
      </c>
      <c r="K230" s="478">
        <f t="shared" si="364"/>
        <v>0</v>
      </c>
      <c r="L230" s="478">
        <f t="shared" si="364"/>
        <v>0</v>
      </c>
      <c r="M230" s="478">
        <f t="shared" si="364"/>
        <v>0</v>
      </c>
      <c r="N230" s="478">
        <f t="shared" si="364"/>
        <v>0</v>
      </c>
      <c r="O230" s="478">
        <f t="shared" si="364"/>
        <v>0</v>
      </c>
      <c r="P230" s="478">
        <f t="shared" si="364"/>
        <v>0</v>
      </c>
      <c r="Q230" s="478">
        <f t="shared" si="364"/>
        <v>4.3113310706033671E-2</v>
      </c>
      <c r="R230" s="478">
        <f t="shared" si="364"/>
        <v>9.1757983663279252E-2</v>
      </c>
      <c r="S230" s="478">
        <f t="shared" si="364"/>
        <v>0.14707148228677369</v>
      </c>
      <c r="T230" s="478">
        <f t="shared" si="364"/>
        <v>0.21052609681425749</v>
      </c>
      <c r="U230" s="478">
        <f t="shared" si="364"/>
        <v>0.28406193159845722</v>
      </c>
      <c r="V230" s="478">
        <f t="shared" si="364"/>
        <v>0.37079480891730676</v>
      </c>
      <c r="W230" s="478">
        <f t="shared" si="364"/>
        <v>0.46583841739475523</v>
      </c>
      <c r="X230" s="478">
        <f t="shared" si="364"/>
        <v>0.57044736468854529</v>
      </c>
      <c r="Y230" s="478">
        <f t="shared" si="364"/>
        <v>0.68614217076470319</v>
      </c>
      <c r="Z230" s="478">
        <f t="shared" si="364"/>
        <v>0.81478365935791386</v>
      </c>
      <c r="AA230" s="478">
        <f t="shared" si="364"/>
        <v>0.84593128562613717</v>
      </c>
      <c r="AB230" s="478">
        <f t="shared" si="364"/>
        <v>0.87966028054052126</v>
      </c>
      <c r="AC230" s="478">
        <f t="shared" si="364"/>
        <v>0.91630541368830165</v>
      </c>
      <c r="AD230" s="478">
        <f t="shared" si="364"/>
        <v>0.95626195706676664</v>
      </c>
      <c r="AE230" s="478">
        <f t="shared" si="364"/>
        <v>1</v>
      </c>
      <c r="AF230" s="478">
        <f t="shared" si="364"/>
        <v>1</v>
      </c>
      <c r="AG230" s="478">
        <f t="shared" si="364"/>
        <v>1</v>
      </c>
      <c r="AH230" s="478">
        <f t="shared" si="364"/>
        <v>1</v>
      </c>
      <c r="AI230" s="478">
        <f t="shared" si="364"/>
        <v>1</v>
      </c>
      <c r="AJ230" s="478">
        <f t="shared" si="364"/>
        <v>1</v>
      </c>
      <c r="AK230" s="478">
        <f t="shared" si="364"/>
        <v>1</v>
      </c>
      <c r="AL230" s="478">
        <f t="shared" si="364"/>
        <v>1</v>
      </c>
      <c r="AM230" s="478">
        <f t="shared" si="364"/>
        <v>1</v>
      </c>
      <c r="AN230" s="478">
        <f t="shared" si="364"/>
        <v>1</v>
      </c>
      <c r="AO230" s="478">
        <f t="shared" si="364"/>
        <v>1</v>
      </c>
      <c r="AP230" s="92"/>
      <c r="AQ230" s="92"/>
      <c r="AR230" s="92"/>
      <c r="AS230" s="92"/>
      <c r="AT230" s="92"/>
      <c r="AU230" s="92"/>
      <c r="AV230" s="92"/>
      <c r="AW230" s="92"/>
      <c r="AX230" s="92"/>
      <c r="AY230" s="92"/>
      <c r="AZ230" s="92"/>
    </row>
    <row r="231" spans="2:52">
      <c r="B231" s="38"/>
      <c r="C231" s="38"/>
      <c r="D231" s="38"/>
      <c r="E231" s="38"/>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2"/>
      <c r="AK231" s="92"/>
      <c r="AL231" s="92"/>
      <c r="AM231" s="92"/>
      <c r="AN231" s="92"/>
      <c r="AO231" s="92"/>
      <c r="AP231" s="92"/>
      <c r="AQ231" s="92"/>
      <c r="AR231" s="92"/>
      <c r="AS231" s="92"/>
      <c r="AT231" s="92"/>
      <c r="AU231" s="92"/>
      <c r="AV231" s="92"/>
      <c r="AW231" s="92"/>
      <c r="AX231" s="92"/>
      <c r="AY231" s="92"/>
      <c r="AZ231" s="92"/>
    </row>
    <row r="232" spans="2:52">
      <c r="B232" s="38"/>
      <c r="C232" s="38"/>
      <c r="D232" s="38"/>
      <c r="E232" s="38"/>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2"/>
      <c r="AK232" s="92"/>
      <c r="AL232" s="92"/>
      <c r="AM232" s="92"/>
      <c r="AN232" s="92"/>
      <c r="AO232" s="92"/>
      <c r="AP232" s="92"/>
      <c r="AQ232" s="92"/>
      <c r="AR232" s="92"/>
      <c r="AS232" s="92"/>
      <c r="AT232" s="92"/>
      <c r="AU232" s="92"/>
      <c r="AV232" s="92"/>
      <c r="AW232" s="92"/>
      <c r="AX232" s="92"/>
      <c r="AY232" s="92"/>
      <c r="AZ232" s="92"/>
    </row>
    <row r="233" spans="2:52">
      <c r="B233" s="38" t="str">
        <f>INDEX('Scenario names'!$C$3:$C$6,1)</f>
        <v>High Electrification</v>
      </c>
      <c r="C233" s="38" t="s">
        <v>543</v>
      </c>
      <c r="D233" s="38"/>
      <c r="E233" s="38" t="s">
        <v>452</v>
      </c>
      <c r="F233" s="478">
        <f>'Industrial and Other Transport'!O28/SUM('Industrial and Other Transport'!O27:O28)</f>
        <v>0</v>
      </c>
      <c r="G233" s="478">
        <f>'Industrial and Other Transport'!P28/SUM('Industrial and Other Transport'!P27:P28)</f>
        <v>0</v>
      </c>
      <c r="H233" s="478">
        <f>'Industrial and Other Transport'!Q28/SUM('Industrial and Other Transport'!Q27:Q28)</f>
        <v>0</v>
      </c>
      <c r="I233" s="478">
        <f>'Industrial and Other Transport'!R28/SUM('Industrial and Other Transport'!R27:R28)</f>
        <v>0</v>
      </c>
      <c r="J233" s="478">
        <f>'Industrial and Other Transport'!S28/SUM('Industrial and Other Transport'!S27:S28)</f>
        <v>0</v>
      </c>
      <c r="K233" s="478">
        <f>'Industrial and Other Transport'!T28/SUM('Industrial and Other Transport'!T27:T28)</f>
        <v>0</v>
      </c>
      <c r="L233" s="478">
        <f>'Industrial and Other Transport'!U28/SUM('Industrial and Other Transport'!U27:U28)</f>
        <v>0</v>
      </c>
      <c r="M233" s="478">
        <f>'Industrial and Other Transport'!V28/SUM('Industrial and Other Transport'!V27:V28)</f>
        <v>0</v>
      </c>
      <c r="N233" s="478">
        <f>'Industrial and Other Transport'!W28/SUM('Industrial and Other Transport'!W27:W28)</f>
        <v>0</v>
      </c>
      <c r="O233" s="478">
        <f>'Industrial and Other Transport'!X28/SUM('Industrial and Other Transport'!X27:X28)</f>
        <v>0</v>
      </c>
      <c r="P233" s="478">
        <f>'Industrial and Other Transport'!Y28/SUM('Industrial and Other Transport'!Y27:Y28)</f>
        <v>0</v>
      </c>
      <c r="Q233" s="478">
        <f>'Industrial and Other Transport'!Z28/SUM('Industrial and Other Transport'!Z27:Z28)</f>
        <v>1.7185261173516847E-2</v>
      </c>
      <c r="R233" s="478">
        <f>'Industrial and Other Transport'!AA28/SUM('Industrial and Other Transport'!AA27:AA28)</f>
        <v>3.7537239524247354E-2</v>
      </c>
      <c r="S233" s="478">
        <f>'Industrial and Other Transport'!AB28/SUM('Industrial and Other Transport'!AB27:AB28)</f>
        <v>6.2020057628834113E-2</v>
      </c>
      <c r="T233" s="478">
        <f>'Industrial and Other Transport'!AC28/SUM('Industrial and Other Transport'!AC27:AC28)</f>
        <v>9.2033418752641566E-2</v>
      </c>
      <c r="U233" s="478">
        <f>'Industrial and Other Transport'!AD28/SUM('Industrial and Other Transport'!AD27:AD28)</f>
        <v>0.12968991691868831</v>
      </c>
      <c r="V233" s="478">
        <f>'Industrial and Other Transport'!AE28/SUM('Industrial and Other Transport'!AE27:AE28)</f>
        <v>0.21594938448511761</v>
      </c>
      <c r="W233" s="478">
        <f>'Industrial and Other Transport'!AF28/SUM('Industrial and Other Transport'!AF27:AF28)</f>
        <v>0.31281952556979609</v>
      </c>
      <c r="X233" s="478">
        <f>'Industrial and Other Transport'!AG28/SUM('Industrial and Other Transport'!AG27:AG28)</f>
        <v>0.42238645470551145</v>
      </c>
      <c r="Y233" s="478">
        <f>'Industrial and Other Transport'!AH28/SUM('Industrial and Other Transport'!AH27:AH28)</f>
        <v>0.54732149285187115</v>
      </c>
      <c r="Z233" s="478">
        <f>'Industrial and Other Transport'!AI28/SUM('Industrial and Other Transport'!AI27:AI28)</f>
        <v>0.69110185012028813</v>
      </c>
      <c r="AA233" s="478">
        <f>'Industrial and Other Transport'!AJ28/SUM('Industrial and Other Transport'!AJ27:AJ28)</f>
        <v>0.74371289815783848</v>
      </c>
      <c r="AB233" s="478">
        <f>'Industrial and Other Transport'!AK28/SUM('Industrial and Other Transport'!AK27:AK28)</f>
        <v>0.80037831753855038</v>
      </c>
      <c r="AC233" s="478">
        <f>'Industrial and Other Transport'!AL28/SUM('Industrial and Other Transport'!AL27:AL28)</f>
        <v>0.86158555404708914</v>
      </c>
      <c r="AD233" s="478">
        <f>'Industrial and Other Transport'!AM28/SUM('Industrial and Other Transport'!AM27:AM28)</f>
        <v>0.92790345468233959</v>
      </c>
      <c r="AE233" s="478">
        <f>'Industrial and Other Transport'!AN28/SUM('Industrial and Other Transport'!AN27:AN28)</f>
        <v>1</v>
      </c>
      <c r="AF233" s="478">
        <f>'Industrial and Other Transport'!AO28/SUM('Industrial and Other Transport'!AO27:AO28)</f>
        <v>1</v>
      </c>
      <c r="AG233" s="478">
        <f>'Industrial and Other Transport'!AP28/SUM('Industrial and Other Transport'!AP27:AP28)</f>
        <v>1</v>
      </c>
      <c r="AH233" s="478">
        <f>'Industrial and Other Transport'!AQ28/SUM('Industrial and Other Transport'!AQ27:AQ28)</f>
        <v>1</v>
      </c>
      <c r="AI233" s="478">
        <f>'Industrial and Other Transport'!AR28/SUM('Industrial and Other Transport'!AR27:AR28)</f>
        <v>1</v>
      </c>
      <c r="AJ233" s="478">
        <f>'Industrial and Other Transport'!AS28/SUM('Industrial and Other Transport'!AS27:AS28)</f>
        <v>1</v>
      </c>
      <c r="AK233" s="478">
        <f>'Industrial and Other Transport'!AT28/SUM('Industrial and Other Transport'!AT27:AT28)</f>
        <v>1</v>
      </c>
      <c r="AL233" s="478">
        <f>'Industrial and Other Transport'!AU28/SUM('Industrial and Other Transport'!AU27:AU28)</f>
        <v>1</v>
      </c>
      <c r="AM233" s="478">
        <f>'Industrial and Other Transport'!AV28/SUM('Industrial and Other Transport'!AV27:AV28)</f>
        <v>1</v>
      </c>
      <c r="AN233" s="478">
        <f>'Industrial and Other Transport'!AW28/SUM('Industrial and Other Transport'!AW27:AW28)</f>
        <v>1</v>
      </c>
      <c r="AO233" s="478">
        <f>'Industrial and Other Transport'!AX28/SUM('Industrial and Other Transport'!AX27:AX28)</f>
        <v>1</v>
      </c>
      <c r="AP233" s="92"/>
      <c r="AQ233" s="92"/>
      <c r="AR233" s="92"/>
      <c r="AS233" s="92"/>
      <c r="AT233" s="92"/>
      <c r="AU233" s="92"/>
      <c r="AV233" s="92"/>
      <c r="AW233" s="92"/>
      <c r="AX233" s="92"/>
      <c r="AY233" s="92"/>
      <c r="AZ233" s="92"/>
    </row>
    <row r="234" spans="2:52">
      <c r="B234" s="38"/>
      <c r="C234" s="38" t="s">
        <v>545</v>
      </c>
      <c r="D234" s="38"/>
      <c r="E234" s="38" t="s">
        <v>452</v>
      </c>
      <c r="F234" s="478">
        <f t="shared" ref="F234:AO234" si="365">F233</f>
        <v>0</v>
      </c>
      <c r="G234" s="478">
        <f t="shared" si="365"/>
        <v>0</v>
      </c>
      <c r="H234" s="478">
        <f t="shared" si="365"/>
        <v>0</v>
      </c>
      <c r="I234" s="478">
        <f t="shared" si="365"/>
        <v>0</v>
      </c>
      <c r="J234" s="478">
        <f t="shared" si="365"/>
        <v>0</v>
      </c>
      <c r="K234" s="478">
        <f t="shared" si="365"/>
        <v>0</v>
      </c>
      <c r="L234" s="478">
        <f t="shared" si="365"/>
        <v>0</v>
      </c>
      <c r="M234" s="478">
        <f t="shared" si="365"/>
        <v>0</v>
      </c>
      <c r="N234" s="478">
        <f t="shared" si="365"/>
        <v>0</v>
      </c>
      <c r="O234" s="478">
        <f t="shared" si="365"/>
        <v>0</v>
      </c>
      <c r="P234" s="478">
        <f t="shared" si="365"/>
        <v>0</v>
      </c>
      <c r="Q234" s="478">
        <f t="shared" si="365"/>
        <v>1.7185261173516847E-2</v>
      </c>
      <c r="R234" s="478">
        <f t="shared" si="365"/>
        <v>3.7537239524247354E-2</v>
      </c>
      <c r="S234" s="478">
        <f t="shared" si="365"/>
        <v>6.2020057628834113E-2</v>
      </c>
      <c r="T234" s="478">
        <f t="shared" si="365"/>
        <v>9.2033418752641566E-2</v>
      </c>
      <c r="U234" s="478">
        <f t="shared" si="365"/>
        <v>0.12968991691868831</v>
      </c>
      <c r="V234" s="478">
        <f t="shared" si="365"/>
        <v>0.21594938448511761</v>
      </c>
      <c r="W234" s="478">
        <f t="shared" si="365"/>
        <v>0.31281952556979609</v>
      </c>
      <c r="X234" s="478">
        <f t="shared" si="365"/>
        <v>0.42238645470551145</v>
      </c>
      <c r="Y234" s="478">
        <f t="shared" si="365"/>
        <v>0.54732149285187115</v>
      </c>
      <c r="Z234" s="478">
        <f t="shared" si="365"/>
        <v>0.69110185012028813</v>
      </c>
      <c r="AA234" s="478">
        <f t="shared" si="365"/>
        <v>0.74371289815783848</v>
      </c>
      <c r="AB234" s="478">
        <f t="shared" si="365"/>
        <v>0.80037831753855038</v>
      </c>
      <c r="AC234" s="478">
        <f t="shared" si="365"/>
        <v>0.86158555404708914</v>
      </c>
      <c r="AD234" s="478">
        <f t="shared" si="365"/>
        <v>0.92790345468233959</v>
      </c>
      <c r="AE234" s="478">
        <f t="shared" si="365"/>
        <v>1</v>
      </c>
      <c r="AF234" s="478">
        <f t="shared" si="365"/>
        <v>1</v>
      </c>
      <c r="AG234" s="478">
        <f t="shared" si="365"/>
        <v>1</v>
      </c>
      <c r="AH234" s="478">
        <f t="shared" si="365"/>
        <v>1</v>
      </c>
      <c r="AI234" s="478">
        <f t="shared" si="365"/>
        <v>1</v>
      </c>
      <c r="AJ234" s="478">
        <f t="shared" si="365"/>
        <v>1</v>
      </c>
      <c r="AK234" s="478">
        <f t="shared" si="365"/>
        <v>1</v>
      </c>
      <c r="AL234" s="478">
        <f t="shared" si="365"/>
        <v>1</v>
      </c>
      <c r="AM234" s="478">
        <f t="shared" si="365"/>
        <v>1</v>
      </c>
      <c r="AN234" s="478">
        <f t="shared" si="365"/>
        <v>1</v>
      </c>
      <c r="AO234" s="478">
        <f t="shared" si="365"/>
        <v>1</v>
      </c>
      <c r="AP234" s="92"/>
      <c r="AQ234" s="92"/>
      <c r="AR234" s="92"/>
      <c r="AS234" s="92"/>
      <c r="AT234" s="92"/>
      <c r="AU234" s="92"/>
      <c r="AV234" s="92"/>
      <c r="AW234" s="92"/>
      <c r="AX234" s="92"/>
      <c r="AY234" s="92"/>
      <c r="AZ234" s="92"/>
    </row>
    <row r="235" spans="2:52">
      <c r="B235" s="38"/>
      <c r="C235" s="38"/>
      <c r="D235" s="38"/>
      <c r="E235" s="38"/>
      <c r="AP235" s="92"/>
      <c r="AQ235" s="92"/>
      <c r="AR235" s="92"/>
      <c r="AS235" s="92"/>
      <c r="AT235" s="92"/>
      <c r="AU235" s="92"/>
      <c r="AV235" s="92"/>
      <c r="AW235" s="92"/>
      <c r="AX235" s="92"/>
      <c r="AY235" s="92"/>
      <c r="AZ235" s="92"/>
    </row>
    <row r="236" spans="2:52">
      <c r="B236" s="38"/>
      <c r="C236" s="38"/>
      <c r="D236" s="38"/>
      <c r="E236" s="38"/>
      <c r="AP236" s="92"/>
      <c r="AQ236" s="92"/>
      <c r="AR236" s="92"/>
      <c r="AS236" s="92"/>
      <c r="AT236" s="92"/>
      <c r="AU236" s="92"/>
      <c r="AV236" s="92"/>
      <c r="AW236" s="92"/>
      <c r="AX236" s="92"/>
      <c r="AY236" s="92"/>
      <c r="AZ236" s="92"/>
    </row>
    <row r="237" spans="2:52">
      <c r="B237" s="38" t="str">
        <f>INDEX('Scenario names'!$C$3:$C$6,2)</f>
        <v>High Hydrogen</v>
      </c>
      <c r="C237" s="38" t="s">
        <v>543</v>
      </c>
      <c r="D237" s="38"/>
      <c r="E237" s="38" t="s">
        <v>452</v>
      </c>
      <c r="F237" s="478">
        <f>'Industrial and Other Transport'!O31/SUM('Industrial and Other Transport'!O30:O31)</f>
        <v>0</v>
      </c>
      <c r="G237" s="478">
        <f>'Industrial and Other Transport'!P31/SUM('Industrial and Other Transport'!P30:P31)</f>
        <v>0</v>
      </c>
      <c r="H237" s="478">
        <f>'Industrial and Other Transport'!Q31/SUM('Industrial and Other Transport'!Q30:Q31)</f>
        <v>0</v>
      </c>
      <c r="I237" s="478">
        <f>'Industrial and Other Transport'!R31/SUM('Industrial and Other Transport'!R30:R31)</f>
        <v>0</v>
      </c>
      <c r="J237" s="478">
        <f>'Industrial and Other Transport'!S31/SUM('Industrial and Other Transport'!S30:S31)</f>
        <v>0</v>
      </c>
      <c r="K237" s="478">
        <f>'Industrial and Other Transport'!T31/SUM('Industrial and Other Transport'!T30:T31)</f>
        <v>0</v>
      </c>
      <c r="L237" s="478">
        <f>'Industrial and Other Transport'!U31/SUM('Industrial and Other Transport'!U30:U31)</f>
        <v>0</v>
      </c>
      <c r="M237" s="478">
        <f>'Industrial and Other Transport'!V31/SUM('Industrial and Other Transport'!V30:V31)</f>
        <v>0</v>
      </c>
      <c r="N237" s="478">
        <f>'Industrial and Other Transport'!W31/SUM('Industrial and Other Transport'!W30:W31)</f>
        <v>0</v>
      </c>
      <c r="O237" s="478">
        <f>'Industrial and Other Transport'!X31/SUM('Industrial and Other Transport'!X30:X31)</f>
        <v>0</v>
      </c>
      <c r="P237" s="478">
        <f>'Industrial and Other Transport'!Y31/SUM('Industrial and Other Transport'!Y30:Y31)</f>
        <v>0</v>
      </c>
      <c r="Q237" s="478">
        <f>'Industrial and Other Transport'!Z31/SUM('Industrial and Other Transport'!Z30:Z31)</f>
        <v>6.2168986443836859E-2</v>
      </c>
      <c r="R237" s="478">
        <f>'Industrial and Other Transport'!AA31/SUM('Industrial and Other Transport'!AA30:AA31)</f>
        <v>0.12599676174965393</v>
      </c>
      <c r="S237" s="478">
        <f>'Industrial and Other Transport'!AB31/SUM('Industrial and Other Transport'!AB30:AB31)</f>
        <v>0.19155061313925217</v>
      </c>
      <c r="T237" s="478">
        <f>'Industrial and Other Transport'!AC31/SUM('Industrial and Other Transport'!AC30:AC31)</f>
        <v>0.25890151697439673</v>
      </c>
      <c r="U237" s="478">
        <f>'Industrial and Other Transport'!AD31/SUM('Industrial and Other Transport'!AD30:AD31)</f>
        <v>0.32812439509989433</v>
      </c>
      <c r="V237" s="478">
        <f>'Industrial and Other Transport'!AE31/SUM('Industrial and Other Transport'!AE30:AE31)</f>
        <v>0.4379522126744842</v>
      </c>
      <c r="W237" s="478">
        <f>'Industrial and Other Transport'!AF31/SUM('Industrial and Other Transport'!AF30:AF31)</f>
        <v>0.54887326772458433</v>
      </c>
      <c r="X237" s="478">
        <f>'Industrial and Other Transport'!AG31/SUM('Industrial and Other Transport'!AG30:AG31)</f>
        <v>0.66090396519711925</v>
      </c>
      <c r="Y237" s="478">
        <f>'Industrial and Other Transport'!AH31/SUM('Industrial and Other Transport'!AH30:AH31)</f>
        <v>0.77406103991572373</v>
      </c>
      <c r="Z237" s="478">
        <f>'Industrial and Other Transport'!AI31/SUM('Industrial and Other Transport'!AI30:AI31)</f>
        <v>0.88836156491423779</v>
      </c>
      <c r="AA237" s="478">
        <f>'Industrial and Other Transport'!AJ31/SUM('Industrial and Other Transport'!AJ30:AJ31)</f>
        <v>0.90592451510452521</v>
      </c>
      <c r="AB237" s="478">
        <f>'Industrial and Other Transport'!AK31/SUM('Industrial and Other Transport'!AK30:AK31)</f>
        <v>0.92414942601916916</v>
      </c>
      <c r="AC237" s="478">
        <f>'Industrial and Other Transport'!AL31/SUM('Industrial and Other Transport'!AL30:AL31)</f>
        <v>0.94307444117904626</v>
      </c>
      <c r="AD237" s="478">
        <f>'Industrial and Other Transport'!AM31/SUM('Industrial and Other Transport'!AM30:AM31)</f>
        <v>0.96274069203810797</v>
      </c>
      <c r="AE237" s="478">
        <f>'Industrial and Other Transport'!AN31/SUM('Industrial and Other Transport'!AN30:AN31)</f>
        <v>0.98319259639817413</v>
      </c>
      <c r="AF237" s="478">
        <f>'Industrial and Other Transport'!AO31/SUM('Industrial and Other Transport'!AO30:AO31)</f>
        <v>0.98645294078821799</v>
      </c>
      <c r="AG237" s="478">
        <f>'Industrial and Other Transport'!AP31/SUM('Industrial and Other Transport'!AP30:AP31)</f>
        <v>0.98976270361832863</v>
      </c>
      <c r="AH237" s="478">
        <f>'Industrial and Other Transport'!AQ31/SUM('Industrial and Other Transport'!AQ30:AQ31)</f>
        <v>0.99312301705364137</v>
      </c>
      <c r="AI237" s="478">
        <f>'Industrial and Other Transport'!AR31/SUM('Industrial and Other Transport'!AR30:AR31)</f>
        <v>0.99653504810894811</v>
      </c>
      <c r="AJ237" s="478">
        <f>'Industrial and Other Transport'!AS31/SUM('Industrial and Other Transport'!AS30:AS31)</f>
        <v>1</v>
      </c>
      <c r="AK237" s="478">
        <f>'Industrial and Other Transport'!AT31/SUM('Industrial and Other Transport'!AT30:AT31)</f>
        <v>1</v>
      </c>
      <c r="AL237" s="478">
        <f>'Industrial and Other Transport'!AU31/SUM('Industrial and Other Transport'!AU30:AU31)</f>
        <v>1</v>
      </c>
      <c r="AM237" s="478">
        <f>'Industrial and Other Transport'!AV31/SUM('Industrial and Other Transport'!AV30:AV31)</f>
        <v>1</v>
      </c>
      <c r="AN237" s="478">
        <f>'Industrial and Other Transport'!AW31/SUM('Industrial and Other Transport'!AW30:AW31)</f>
        <v>1</v>
      </c>
      <c r="AO237" s="478">
        <f>'Industrial and Other Transport'!AX31/SUM('Industrial and Other Transport'!AX30:AX31)</f>
        <v>1</v>
      </c>
      <c r="AP237" s="92"/>
      <c r="AQ237" s="92"/>
      <c r="AR237" s="92"/>
      <c r="AS237" s="92"/>
      <c r="AT237" s="92"/>
      <c r="AU237" s="92"/>
      <c r="AV237" s="92"/>
      <c r="AW237" s="92"/>
      <c r="AX237" s="92"/>
      <c r="AY237" s="92"/>
      <c r="AZ237" s="92"/>
    </row>
    <row r="238" spans="2:52">
      <c r="B238" s="38"/>
      <c r="C238" s="38" t="s">
        <v>545</v>
      </c>
      <c r="D238" s="38"/>
      <c r="E238" s="38" t="s">
        <v>452</v>
      </c>
      <c r="F238" s="478">
        <f t="shared" ref="F238:AO238" si="366">F237</f>
        <v>0</v>
      </c>
      <c r="G238" s="478">
        <f t="shared" si="366"/>
        <v>0</v>
      </c>
      <c r="H238" s="478">
        <f t="shared" si="366"/>
        <v>0</v>
      </c>
      <c r="I238" s="478">
        <f t="shared" si="366"/>
        <v>0</v>
      </c>
      <c r="J238" s="478">
        <f t="shared" si="366"/>
        <v>0</v>
      </c>
      <c r="K238" s="478">
        <f t="shared" si="366"/>
        <v>0</v>
      </c>
      <c r="L238" s="478">
        <f t="shared" si="366"/>
        <v>0</v>
      </c>
      <c r="M238" s="478">
        <f t="shared" si="366"/>
        <v>0</v>
      </c>
      <c r="N238" s="478">
        <f t="shared" si="366"/>
        <v>0</v>
      </c>
      <c r="O238" s="478">
        <f t="shared" si="366"/>
        <v>0</v>
      </c>
      <c r="P238" s="478">
        <f t="shared" si="366"/>
        <v>0</v>
      </c>
      <c r="Q238" s="478">
        <f t="shared" si="366"/>
        <v>6.2168986443836859E-2</v>
      </c>
      <c r="R238" s="478">
        <f t="shared" si="366"/>
        <v>0.12599676174965393</v>
      </c>
      <c r="S238" s="478">
        <f t="shared" si="366"/>
        <v>0.19155061313925217</v>
      </c>
      <c r="T238" s="478">
        <f t="shared" si="366"/>
        <v>0.25890151697439673</v>
      </c>
      <c r="U238" s="478">
        <f t="shared" si="366"/>
        <v>0.32812439509989433</v>
      </c>
      <c r="V238" s="478">
        <f t="shared" si="366"/>
        <v>0.4379522126744842</v>
      </c>
      <c r="W238" s="478">
        <f t="shared" si="366"/>
        <v>0.54887326772458433</v>
      </c>
      <c r="X238" s="478">
        <f t="shared" si="366"/>
        <v>0.66090396519711925</v>
      </c>
      <c r="Y238" s="478">
        <f t="shared" si="366"/>
        <v>0.77406103991572373</v>
      </c>
      <c r="Z238" s="478">
        <f t="shared" si="366"/>
        <v>0.88836156491423779</v>
      </c>
      <c r="AA238" s="478">
        <f t="shared" si="366"/>
        <v>0.90592451510452521</v>
      </c>
      <c r="AB238" s="478">
        <f t="shared" si="366"/>
        <v>0.92414942601916916</v>
      </c>
      <c r="AC238" s="478">
        <f t="shared" si="366"/>
        <v>0.94307444117904626</v>
      </c>
      <c r="AD238" s="478">
        <f t="shared" si="366"/>
        <v>0.96274069203810797</v>
      </c>
      <c r="AE238" s="478">
        <f t="shared" si="366"/>
        <v>0.98319259639817413</v>
      </c>
      <c r="AF238" s="478">
        <f t="shared" si="366"/>
        <v>0.98645294078821799</v>
      </c>
      <c r="AG238" s="478">
        <f t="shared" si="366"/>
        <v>0.98976270361832863</v>
      </c>
      <c r="AH238" s="478">
        <f t="shared" si="366"/>
        <v>0.99312301705364137</v>
      </c>
      <c r="AI238" s="478">
        <f t="shared" si="366"/>
        <v>0.99653504810894811</v>
      </c>
      <c r="AJ238" s="478">
        <f t="shared" si="366"/>
        <v>1</v>
      </c>
      <c r="AK238" s="478">
        <f t="shared" si="366"/>
        <v>1</v>
      </c>
      <c r="AL238" s="478">
        <f t="shared" si="366"/>
        <v>1</v>
      </c>
      <c r="AM238" s="478">
        <f t="shared" si="366"/>
        <v>1</v>
      </c>
      <c r="AN238" s="478">
        <f t="shared" si="366"/>
        <v>1</v>
      </c>
      <c r="AO238" s="478">
        <f t="shared" si="366"/>
        <v>1</v>
      </c>
      <c r="AP238" s="92"/>
      <c r="AQ238" s="92"/>
      <c r="AR238" s="92"/>
      <c r="AS238" s="92"/>
      <c r="AT238" s="92"/>
      <c r="AU238" s="92"/>
      <c r="AV238" s="92"/>
      <c r="AW238" s="92"/>
      <c r="AX238" s="92"/>
      <c r="AY238" s="92"/>
      <c r="AZ238" s="92"/>
    </row>
    <row r="239" spans="2:52">
      <c r="B239" s="38"/>
      <c r="C239" s="38"/>
      <c r="D239" s="38"/>
      <c r="E239" s="38"/>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2"/>
      <c r="AK239" s="92"/>
      <c r="AL239" s="92"/>
      <c r="AM239" s="92"/>
      <c r="AN239" s="92"/>
      <c r="AO239" s="92"/>
      <c r="AP239" s="92"/>
      <c r="AQ239" s="92"/>
      <c r="AR239" s="92"/>
      <c r="AS239" s="92"/>
      <c r="AT239" s="92"/>
      <c r="AU239" s="92"/>
      <c r="AV239" s="92"/>
      <c r="AW239" s="92"/>
      <c r="AX239" s="92"/>
      <c r="AY239" s="92"/>
      <c r="AZ239" s="92"/>
    </row>
    <row r="240" spans="2:52">
      <c r="B240" s="38"/>
      <c r="C240" s="38"/>
      <c r="D240" s="38"/>
      <c r="E240" s="38"/>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2"/>
      <c r="AK240" s="92"/>
      <c r="AL240" s="92"/>
      <c r="AM240" s="92"/>
      <c r="AN240" s="92"/>
      <c r="AO240" s="92"/>
      <c r="AP240" s="92"/>
      <c r="AQ240" s="92"/>
      <c r="AR240" s="92"/>
      <c r="AS240" s="92"/>
      <c r="AT240" s="92"/>
      <c r="AU240" s="92"/>
      <c r="AV240" s="92"/>
      <c r="AW240" s="92"/>
      <c r="AX240" s="92"/>
      <c r="AY240" s="92"/>
      <c r="AZ240" s="92"/>
    </row>
    <row r="241" spans="1:52">
      <c r="B241" s="38" t="str">
        <f>INDEX('Scenario names'!$C$3:$C$6,3)</f>
        <v>Accelerated Green</v>
      </c>
      <c r="C241" s="38" t="s">
        <v>543</v>
      </c>
      <c r="D241" s="38"/>
      <c r="E241" s="38" t="s">
        <v>452</v>
      </c>
      <c r="F241" s="478">
        <f>'Industrial and Other Transport'!O34/SUM('Industrial and Other Transport'!O33:O34)</f>
        <v>0</v>
      </c>
      <c r="G241" s="478">
        <f>'Industrial and Other Transport'!P34/SUM('Industrial and Other Transport'!P33:P34)</f>
        <v>0</v>
      </c>
      <c r="H241" s="478">
        <f>'Industrial and Other Transport'!Q34/SUM('Industrial and Other Transport'!Q33:Q34)</f>
        <v>0</v>
      </c>
      <c r="I241" s="478">
        <f>'Industrial and Other Transport'!R34/SUM('Industrial and Other Transport'!R33:R34)</f>
        <v>0</v>
      </c>
      <c r="J241" s="478">
        <f>'Industrial and Other Transport'!S34/SUM('Industrial and Other Transport'!S33:S34)</f>
        <v>0</v>
      </c>
      <c r="K241" s="478">
        <f>'Industrial and Other Transport'!T34/SUM('Industrial and Other Transport'!T33:T34)</f>
        <v>0</v>
      </c>
      <c r="L241" s="478">
        <f>'Industrial and Other Transport'!U34/SUM('Industrial and Other Transport'!U33:U34)</f>
        <v>0</v>
      </c>
      <c r="M241" s="478">
        <f>'Industrial and Other Transport'!V34/SUM('Industrial and Other Transport'!V33:V34)</f>
        <v>0</v>
      </c>
      <c r="N241" s="478">
        <f>'Industrial and Other Transport'!W34/SUM('Industrial and Other Transport'!W33:W34)</f>
        <v>0</v>
      </c>
      <c r="O241" s="478">
        <f>'Industrial and Other Transport'!X34/SUM('Industrial and Other Transport'!X33:X34)</f>
        <v>0</v>
      </c>
      <c r="P241" s="478">
        <f>'Industrial and Other Transport'!Y34/SUM('Industrial and Other Transport'!Y33:Y34)</f>
        <v>0</v>
      </c>
      <c r="Q241" s="478">
        <f>'Industrial and Other Transport'!Z34/SUM('Industrial and Other Transport'!Z33:Z34)</f>
        <v>4.3823681430295171E-2</v>
      </c>
      <c r="R241" s="478">
        <f>'Industrial and Other Transport'!AA34/SUM('Industrial and Other Transport'!AA33:AA34)</f>
        <v>9.0634453549372357E-2</v>
      </c>
      <c r="S241" s="478">
        <f>'Industrial and Other Transport'!AB34/SUM('Industrial and Other Transport'!AB33:AB34)</f>
        <v>0.14074849928060679</v>
      </c>
      <c r="T241" s="478">
        <f>'Industrial and Other Transport'!AC34/SUM('Industrial and Other Transport'!AC33:AC34)</f>
        <v>0.19452825746880179</v>
      </c>
      <c r="U241" s="478">
        <f>'Industrial and Other Transport'!AD34/SUM('Industrial and Other Transport'!AD33:AD34)</f>
        <v>0.2523912027439999</v>
      </c>
      <c r="V241" s="478">
        <f>'Industrial and Other Transport'!AE34/SUM('Industrial and Other Transport'!AE33:AE34)</f>
        <v>0.32731501717202172</v>
      </c>
      <c r="W241" s="478">
        <f>'Industrial and Other Transport'!AF34/SUM('Industrial and Other Transport'!AF33:AF34)</f>
        <v>0.40796985786900281</v>
      </c>
      <c r="X241" s="478">
        <f>'Industrial and Other Transport'!AG34/SUM('Industrial and Other Transport'!AG33:AG34)</f>
        <v>0.49503943500100084</v>
      </c>
      <c r="Y241" s="478">
        <f>'Industrial and Other Transport'!AH34/SUM('Industrial and Other Transport'!AH33:AH34)</f>
        <v>0.58932071796314311</v>
      </c>
      <c r="Z241" s="478">
        <f>'Industrial and Other Transport'!AI34/SUM('Industrial and Other Transport'!AI33:AI34)</f>
        <v>0.69174840086598788</v>
      </c>
      <c r="AA241" s="478">
        <f>'Industrial and Other Transport'!AJ34/SUM('Industrial and Other Transport'!AJ33:AJ34)</f>
        <v>0.74030826948799644</v>
      </c>
      <c r="AB241" s="478">
        <f>'Industrial and Other Transport'!AK34/SUM('Industrial and Other Transport'!AK33:AK34)</f>
        <v>0.79201699717179719</v>
      </c>
      <c r="AC241" s="478">
        <f>'Industrial and Other Transport'!AL34/SUM('Industrial and Other Transport'!AL33:AL34)</f>
        <v>0.84719112815693021</v>
      </c>
      <c r="AD241" s="478">
        <f>'Industrial and Other Transport'!AM34/SUM('Industrial and Other Transport'!AM33:AM34)</f>
        <v>0.90619110586979701</v>
      </c>
      <c r="AE241" s="478">
        <f>'Industrial and Other Transport'!AN34/SUM('Industrial and Other Transport'!AN33:AN34)</f>
        <v>0.96942915631421422</v>
      </c>
      <c r="AF241" s="478">
        <f>'Industrial and Other Transport'!AO34/SUM('Industrial and Other Transport'!AO33:AO34)</f>
        <v>0.97521783245982707</v>
      </c>
      <c r="AG241" s="478">
        <f>'Industrial and Other Transport'!AP34/SUM('Industrial and Other Transport'!AP33:AP34)</f>
        <v>0.98116266930841456</v>
      </c>
      <c r="AH241" s="478">
        <f>'Industrial and Other Transport'!AQ34/SUM('Industrial and Other Transport'!AQ33:AQ34)</f>
        <v>0.98727007236459463</v>
      </c>
      <c r="AI241" s="478">
        <f>'Industrial and Other Transport'!AR34/SUM('Industrial and Other Transport'!AR33:AR34)</f>
        <v>0.99354680231642489</v>
      </c>
      <c r="AJ241" s="478">
        <f>'Industrial and Other Transport'!AS34/SUM('Industrial and Other Transport'!AS33:AS34)</f>
        <v>1</v>
      </c>
      <c r="AK241" s="478">
        <f>'Industrial and Other Transport'!AT34/SUM('Industrial and Other Transport'!AT33:AT34)</f>
        <v>1</v>
      </c>
      <c r="AL241" s="478">
        <f>'Industrial and Other Transport'!AU34/SUM('Industrial and Other Transport'!AU33:AU34)</f>
        <v>1</v>
      </c>
      <c r="AM241" s="478">
        <f>'Industrial and Other Transport'!AV34/SUM('Industrial and Other Transport'!AV33:AV34)</f>
        <v>1</v>
      </c>
      <c r="AN241" s="478">
        <f>'Industrial and Other Transport'!AW34/SUM('Industrial and Other Transport'!AW33:AW34)</f>
        <v>1</v>
      </c>
      <c r="AO241" s="478">
        <f>'Industrial and Other Transport'!AX34/SUM('Industrial and Other Transport'!AX33:AX34)</f>
        <v>1</v>
      </c>
      <c r="AP241" s="92"/>
      <c r="AQ241" s="92"/>
      <c r="AR241" s="92"/>
      <c r="AS241" s="92"/>
      <c r="AT241" s="92"/>
      <c r="AU241" s="92"/>
      <c r="AV241" s="92"/>
      <c r="AW241" s="92"/>
      <c r="AX241" s="92"/>
      <c r="AY241" s="92"/>
      <c r="AZ241" s="92"/>
    </row>
    <row r="242" spans="1:52">
      <c r="B242" s="38"/>
      <c r="C242" s="38" t="s">
        <v>545</v>
      </c>
      <c r="D242" s="38"/>
      <c r="E242" s="38" t="s">
        <v>452</v>
      </c>
      <c r="F242" s="478">
        <f t="shared" ref="F242:AO242" si="367">F241</f>
        <v>0</v>
      </c>
      <c r="G242" s="478">
        <f t="shared" si="367"/>
        <v>0</v>
      </c>
      <c r="H242" s="478">
        <f t="shared" si="367"/>
        <v>0</v>
      </c>
      <c r="I242" s="478">
        <f t="shared" si="367"/>
        <v>0</v>
      </c>
      <c r="J242" s="478">
        <f t="shared" si="367"/>
        <v>0</v>
      </c>
      <c r="K242" s="478">
        <f t="shared" si="367"/>
        <v>0</v>
      </c>
      <c r="L242" s="478">
        <f t="shared" si="367"/>
        <v>0</v>
      </c>
      <c r="M242" s="478">
        <f t="shared" si="367"/>
        <v>0</v>
      </c>
      <c r="N242" s="478">
        <f t="shared" si="367"/>
        <v>0</v>
      </c>
      <c r="O242" s="478">
        <f t="shared" si="367"/>
        <v>0</v>
      </c>
      <c r="P242" s="478">
        <f t="shared" si="367"/>
        <v>0</v>
      </c>
      <c r="Q242" s="478">
        <f t="shared" si="367"/>
        <v>4.3823681430295171E-2</v>
      </c>
      <c r="R242" s="478">
        <f t="shared" si="367"/>
        <v>9.0634453549372357E-2</v>
      </c>
      <c r="S242" s="478">
        <f t="shared" si="367"/>
        <v>0.14074849928060679</v>
      </c>
      <c r="T242" s="478">
        <f t="shared" si="367"/>
        <v>0.19452825746880179</v>
      </c>
      <c r="U242" s="478">
        <f t="shared" si="367"/>
        <v>0.2523912027439999</v>
      </c>
      <c r="V242" s="478">
        <f t="shared" si="367"/>
        <v>0.32731501717202172</v>
      </c>
      <c r="W242" s="478">
        <f t="shared" si="367"/>
        <v>0.40796985786900281</v>
      </c>
      <c r="X242" s="478">
        <f t="shared" si="367"/>
        <v>0.49503943500100084</v>
      </c>
      <c r="Y242" s="478">
        <f t="shared" si="367"/>
        <v>0.58932071796314311</v>
      </c>
      <c r="Z242" s="478">
        <f t="shared" si="367"/>
        <v>0.69174840086598788</v>
      </c>
      <c r="AA242" s="478">
        <f t="shared" si="367"/>
        <v>0.74030826948799644</v>
      </c>
      <c r="AB242" s="478">
        <f t="shared" si="367"/>
        <v>0.79201699717179719</v>
      </c>
      <c r="AC242" s="478">
        <f t="shared" si="367"/>
        <v>0.84719112815693021</v>
      </c>
      <c r="AD242" s="478">
        <f t="shared" si="367"/>
        <v>0.90619110586979701</v>
      </c>
      <c r="AE242" s="478">
        <f t="shared" si="367"/>
        <v>0.96942915631421422</v>
      </c>
      <c r="AF242" s="478">
        <f t="shared" si="367"/>
        <v>0.97521783245982707</v>
      </c>
      <c r="AG242" s="478">
        <f t="shared" si="367"/>
        <v>0.98116266930841456</v>
      </c>
      <c r="AH242" s="478">
        <f t="shared" si="367"/>
        <v>0.98727007236459463</v>
      </c>
      <c r="AI242" s="478">
        <f t="shared" si="367"/>
        <v>0.99354680231642489</v>
      </c>
      <c r="AJ242" s="478">
        <f t="shared" si="367"/>
        <v>1</v>
      </c>
      <c r="AK242" s="478">
        <f t="shared" si="367"/>
        <v>1</v>
      </c>
      <c r="AL242" s="478">
        <f t="shared" si="367"/>
        <v>1</v>
      </c>
      <c r="AM242" s="478">
        <f t="shared" si="367"/>
        <v>1</v>
      </c>
      <c r="AN242" s="478">
        <f t="shared" si="367"/>
        <v>1</v>
      </c>
      <c r="AO242" s="478">
        <f t="shared" si="367"/>
        <v>1</v>
      </c>
      <c r="AP242" s="92"/>
      <c r="AQ242" s="92"/>
      <c r="AR242" s="92"/>
      <c r="AS242" s="92"/>
      <c r="AT242" s="92"/>
      <c r="AU242" s="92"/>
      <c r="AV242" s="92"/>
      <c r="AW242" s="92"/>
      <c r="AX242" s="92"/>
      <c r="AY242" s="92"/>
      <c r="AZ242" s="92"/>
    </row>
    <row r="243" spans="1:5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2"/>
      <c r="AK243" s="92"/>
      <c r="AL243" s="92"/>
      <c r="AM243" s="92"/>
      <c r="AN243" s="92"/>
      <c r="AO243" s="92"/>
      <c r="AZ243" s="92"/>
    </row>
    <row r="244" spans="1:52">
      <c r="A244" s="67"/>
      <c r="B244" s="67" t="s">
        <v>570</v>
      </c>
      <c r="C244" s="67"/>
      <c r="D244" s="67"/>
      <c r="E244" s="67"/>
      <c r="F244" s="68"/>
      <c r="G244" s="68"/>
      <c r="H244" s="68"/>
      <c r="I244" s="68"/>
      <c r="J244" s="68"/>
      <c r="K244" s="68"/>
      <c r="L244" s="68"/>
      <c r="M244" s="68"/>
      <c r="N244" s="68"/>
      <c r="O244" s="68"/>
      <c r="P244" s="68"/>
      <c r="Q244" s="68"/>
      <c r="R244" s="68"/>
      <c r="S244" s="68"/>
      <c r="T244" s="68"/>
      <c r="U244" s="68"/>
      <c r="V244" s="68"/>
      <c r="W244" s="68"/>
      <c r="X244" s="68"/>
      <c r="Y244" s="68"/>
      <c r="Z244" s="68"/>
      <c r="AA244" s="68"/>
      <c r="AB244" s="68"/>
      <c r="AC244" s="68"/>
      <c r="AD244" s="68"/>
      <c r="AE244" s="68"/>
      <c r="AF244" s="68"/>
      <c r="AG244" s="68"/>
      <c r="AH244" s="68"/>
      <c r="AI244" s="68"/>
      <c r="AJ244" s="68"/>
      <c r="AK244" s="68"/>
      <c r="AL244" s="68"/>
      <c r="AM244" s="68"/>
      <c r="AN244" s="68"/>
      <c r="AO244" s="68"/>
      <c r="AP244" s="67"/>
      <c r="AQ244" s="67"/>
      <c r="AR244" s="67"/>
      <c r="AS244" s="67"/>
      <c r="AT244" s="67"/>
      <c r="AU244" s="67"/>
      <c r="AV244" s="67"/>
      <c r="AW244" s="67"/>
      <c r="AX244" s="67"/>
      <c r="AY244" s="67"/>
      <c r="AZ244" s="67"/>
    </row>
    <row r="245" spans="1:52">
      <c r="F245" s="475">
        <v>2015</v>
      </c>
      <c r="G245" s="475">
        <v>2016</v>
      </c>
      <c r="H245" s="475">
        <v>2017</v>
      </c>
      <c r="I245" s="475">
        <v>2018</v>
      </c>
      <c r="J245" s="475">
        <v>2019</v>
      </c>
      <c r="K245" s="475">
        <v>2020</v>
      </c>
      <c r="L245" s="475">
        <v>2021</v>
      </c>
      <c r="M245" s="475">
        <v>2022</v>
      </c>
      <c r="N245" s="475">
        <v>2023</v>
      </c>
      <c r="O245" s="475">
        <v>2024</v>
      </c>
      <c r="P245" s="475">
        <v>2025</v>
      </c>
      <c r="Q245" s="475">
        <v>2026</v>
      </c>
      <c r="R245" s="475">
        <v>2027</v>
      </c>
      <c r="S245" s="475">
        <v>2028</v>
      </c>
      <c r="T245" s="475">
        <v>2029</v>
      </c>
      <c r="U245" s="475">
        <v>2030</v>
      </c>
      <c r="V245" s="475">
        <v>2031</v>
      </c>
      <c r="W245" s="475">
        <v>2032</v>
      </c>
      <c r="X245" s="475">
        <v>2033</v>
      </c>
      <c r="Y245" s="475">
        <v>2034</v>
      </c>
      <c r="Z245" s="475">
        <v>2035</v>
      </c>
      <c r="AA245" s="475">
        <v>2036</v>
      </c>
      <c r="AB245" s="475">
        <v>2037</v>
      </c>
      <c r="AC245" s="475">
        <v>2038</v>
      </c>
      <c r="AD245" s="475">
        <v>2039</v>
      </c>
      <c r="AE245" s="475">
        <v>2040</v>
      </c>
      <c r="AF245" s="475">
        <v>2041</v>
      </c>
      <c r="AG245" s="475">
        <v>2042</v>
      </c>
      <c r="AH245" s="475">
        <v>2043</v>
      </c>
      <c r="AI245" s="475">
        <v>2044</v>
      </c>
      <c r="AJ245" s="475">
        <v>2045</v>
      </c>
      <c r="AK245" s="475">
        <v>2046</v>
      </c>
      <c r="AL245" s="475">
        <v>2047</v>
      </c>
      <c r="AM245" s="475">
        <v>2048</v>
      </c>
      <c r="AN245" s="475">
        <v>2049</v>
      </c>
      <c r="AO245" s="475">
        <v>2050</v>
      </c>
    </row>
    <row r="246" spans="1:52">
      <c r="B246" t="s">
        <v>22</v>
      </c>
      <c r="F246" s="478">
        <v>0</v>
      </c>
      <c r="G246" s="478">
        <v>0</v>
      </c>
      <c r="H246" s="478">
        <v>0</v>
      </c>
      <c r="I246" s="478">
        <v>0</v>
      </c>
      <c r="J246" s="478">
        <v>0</v>
      </c>
      <c r="K246" s="478">
        <v>0</v>
      </c>
      <c r="L246" s="478">
        <v>0</v>
      </c>
      <c r="M246" s="478">
        <v>0</v>
      </c>
      <c r="N246" s="478">
        <v>0</v>
      </c>
      <c r="O246" s="478">
        <v>0</v>
      </c>
      <c r="P246" s="478">
        <v>0</v>
      </c>
      <c r="Q246" s="478">
        <v>0</v>
      </c>
      <c r="R246" s="478">
        <v>0</v>
      </c>
      <c r="S246" s="478">
        <v>0</v>
      </c>
      <c r="T246" s="478">
        <v>0</v>
      </c>
      <c r="U246" s="478">
        <v>0</v>
      </c>
      <c r="V246" s="478">
        <v>0</v>
      </c>
      <c r="W246" s="478">
        <v>0</v>
      </c>
      <c r="X246" s="478">
        <v>0</v>
      </c>
      <c r="Y246" s="478">
        <v>0</v>
      </c>
      <c r="Z246" s="478">
        <v>0</v>
      </c>
      <c r="AA246" s="478">
        <v>0</v>
      </c>
      <c r="AB246" s="478">
        <v>0</v>
      </c>
      <c r="AC246" s="478">
        <v>0</v>
      </c>
      <c r="AD246" s="478">
        <v>0</v>
      </c>
      <c r="AE246" s="478">
        <v>0</v>
      </c>
      <c r="AF246" s="478">
        <v>0</v>
      </c>
      <c r="AG246" s="478">
        <v>0</v>
      </c>
      <c r="AH246" s="478">
        <v>0</v>
      </c>
      <c r="AI246" s="478">
        <v>0</v>
      </c>
      <c r="AJ246" s="478">
        <v>0</v>
      </c>
      <c r="AK246" s="478">
        <v>0</v>
      </c>
      <c r="AL246" s="478">
        <v>0</v>
      </c>
      <c r="AM246" s="478">
        <v>0</v>
      </c>
      <c r="AN246" s="478">
        <v>0</v>
      </c>
      <c r="AO246" s="478">
        <v>0</v>
      </c>
    </row>
    <row r="248" spans="1:52">
      <c r="B248" t="str">
        <f>INDEX('Scenario names'!$C$3:$C$6,4)</f>
        <v>No Constraints</v>
      </c>
      <c r="F248" s="478">
        <v>0</v>
      </c>
      <c r="G248" s="478">
        <v>0</v>
      </c>
      <c r="H248" s="478">
        <v>0</v>
      </c>
      <c r="I248" s="478">
        <v>0</v>
      </c>
      <c r="J248" s="478">
        <v>0</v>
      </c>
      <c r="K248" s="478">
        <v>0</v>
      </c>
      <c r="L248" s="478">
        <v>0</v>
      </c>
      <c r="M248" s="478">
        <v>0</v>
      </c>
      <c r="N248" s="478">
        <v>0</v>
      </c>
      <c r="O248" s="478">
        <v>0</v>
      </c>
      <c r="P248" s="478">
        <v>0</v>
      </c>
      <c r="Q248" s="478">
        <v>0</v>
      </c>
      <c r="R248" s="478">
        <v>0</v>
      </c>
      <c r="S248" s="478">
        <v>0</v>
      </c>
      <c r="T248" s="478">
        <v>0</v>
      </c>
      <c r="U248" s="478">
        <v>0</v>
      </c>
      <c r="V248" s="478">
        <v>0</v>
      </c>
      <c r="W248" s="478">
        <v>0</v>
      </c>
      <c r="X248" s="478">
        <v>0</v>
      </c>
      <c r="Y248" s="478">
        <v>0</v>
      </c>
      <c r="Z248" s="478">
        <v>0</v>
      </c>
      <c r="AA248" s="478">
        <v>0</v>
      </c>
      <c r="AB248" s="478">
        <v>0</v>
      </c>
      <c r="AC248" s="478">
        <v>0</v>
      </c>
      <c r="AD248" s="478">
        <v>0</v>
      </c>
      <c r="AE248" s="478">
        <v>0</v>
      </c>
      <c r="AF248" s="478">
        <v>0</v>
      </c>
      <c r="AG248" s="478">
        <v>0</v>
      </c>
      <c r="AH248" s="478">
        <v>0</v>
      </c>
      <c r="AI248" s="478">
        <v>0</v>
      </c>
      <c r="AJ248" s="478">
        <v>0</v>
      </c>
      <c r="AK248" s="478">
        <v>0</v>
      </c>
      <c r="AL248" s="478">
        <v>0</v>
      </c>
      <c r="AM248" s="478">
        <v>0</v>
      </c>
      <c r="AN248" s="478">
        <v>0</v>
      </c>
      <c r="AO248" s="478">
        <v>0</v>
      </c>
    </row>
    <row r="250" spans="1:52">
      <c r="B250" t="str">
        <f>INDEX('Scenario names'!$C$3:$C$6,1)</f>
        <v>High Electrification</v>
      </c>
      <c r="F250" s="478">
        <v>0</v>
      </c>
      <c r="G250" s="478">
        <v>0</v>
      </c>
      <c r="H250" s="478">
        <v>0</v>
      </c>
      <c r="I250" s="478">
        <v>0</v>
      </c>
      <c r="J250" s="478">
        <v>0</v>
      </c>
      <c r="K250" s="478">
        <v>0</v>
      </c>
      <c r="L250" s="478">
        <v>0</v>
      </c>
      <c r="M250" s="478">
        <v>0</v>
      </c>
      <c r="N250" s="478">
        <v>0</v>
      </c>
      <c r="O250" s="478">
        <v>0</v>
      </c>
      <c r="P250" s="478">
        <v>0</v>
      </c>
      <c r="Q250" s="478">
        <v>0</v>
      </c>
      <c r="R250" s="478">
        <v>0</v>
      </c>
      <c r="S250" s="478">
        <v>0</v>
      </c>
      <c r="T250" s="478">
        <v>0</v>
      </c>
      <c r="U250" s="478">
        <v>0</v>
      </c>
      <c r="V250" s="478">
        <v>0</v>
      </c>
      <c r="W250" s="478">
        <v>0</v>
      </c>
      <c r="X250" s="478">
        <v>0</v>
      </c>
      <c r="Y250" s="478">
        <v>0</v>
      </c>
      <c r="Z250" s="478">
        <v>0</v>
      </c>
      <c r="AA250" s="478">
        <v>0</v>
      </c>
      <c r="AB250" s="478">
        <v>0</v>
      </c>
      <c r="AC250" s="478">
        <v>0</v>
      </c>
      <c r="AD250" s="478">
        <v>0</v>
      </c>
      <c r="AE250" s="478">
        <v>0</v>
      </c>
      <c r="AF250" s="478">
        <v>0</v>
      </c>
      <c r="AG250" s="478">
        <v>0</v>
      </c>
      <c r="AH250" s="478">
        <v>0</v>
      </c>
      <c r="AI250" s="478">
        <v>0</v>
      </c>
      <c r="AJ250" s="478">
        <v>0</v>
      </c>
      <c r="AK250" s="478">
        <v>0</v>
      </c>
      <c r="AL250" s="478">
        <v>0</v>
      </c>
      <c r="AM250" s="478">
        <v>0</v>
      </c>
      <c r="AN250" s="478">
        <v>0</v>
      </c>
      <c r="AO250" s="478">
        <v>0</v>
      </c>
    </row>
    <row r="252" spans="1:52">
      <c r="B252" t="str">
        <f>INDEX('Scenario names'!$C$3:$C$6,2)</f>
        <v>High Hydrogen</v>
      </c>
      <c r="F252" s="478">
        <v>0</v>
      </c>
      <c r="G252" s="478">
        <v>0</v>
      </c>
      <c r="H252" s="478">
        <v>0</v>
      </c>
      <c r="I252" s="478">
        <v>0</v>
      </c>
      <c r="J252" s="478">
        <v>0</v>
      </c>
      <c r="K252" s="478">
        <v>0</v>
      </c>
      <c r="L252" s="478">
        <v>0</v>
      </c>
      <c r="M252" s="478">
        <v>0</v>
      </c>
      <c r="N252" s="478">
        <v>0</v>
      </c>
      <c r="O252" s="478">
        <v>0</v>
      </c>
      <c r="P252" s="478">
        <v>0</v>
      </c>
      <c r="Q252" s="478">
        <v>0</v>
      </c>
      <c r="R252" s="478">
        <v>0</v>
      </c>
      <c r="S252" s="478">
        <v>0</v>
      </c>
      <c r="T252" s="478">
        <v>0</v>
      </c>
      <c r="U252" s="478">
        <v>0</v>
      </c>
      <c r="V252" s="478">
        <v>0</v>
      </c>
      <c r="W252" s="478">
        <v>0</v>
      </c>
      <c r="X252" s="478">
        <v>0</v>
      </c>
      <c r="Y252" s="478">
        <v>0</v>
      </c>
      <c r="Z252" s="478">
        <v>0</v>
      </c>
      <c r="AA252" s="478">
        <v>0</v>
      </c>
      <c r="AB252" s="478">
        <v>0</v>
      </c>
      <c r="AC252" s="478">
        <v>0</v>
      </c>
      <c r="AD252" s="478">
        <v>0</v>
      </c>
      <c r="AE252" s="478">
        <v>0</v>
      </c>
      <c r="AF252" s="478">
        <v>0.2</v>
      </c>
      <c r="AG252" s="478">
        <v>0.4</v>
      </c>
      <c r="AH252" s="478">
        <v>0.6</v>
      </c>
      <c r="AI252" s="478">
        <v>0.8</v>
      </c>
      <c r="AJ252" s="478">
        <v>1</v>
      </c>
      <c r="AK252" s="478">
        <v>1</v>
      </c>
      <c r="AL252" s="478">
        <v>1</v>
      </c>
      <c r="AM252" s="478">
        <v>1</v>
      </c>
      <c r="AN252" s="478">
        <v>1</v>
      </c>
      <c r="AO252" s="478">
        <v>1</v>
      </c>
    </row>
    <row r="254" spans="1:52">
      <c r="B254" t="str">
        <f>INDEX('Scenario names'!$C$3:$C$6,3)</f>
        <v>Accelerated Green</v>
      </c>
      <c r="F254" s="478">
        <v>0</v>
      </c>
      <c r="G254" s="478">
        <v>0</v>
      </c>
      <c r="H254" s="478">
        <v>0</v>
      </c>
      <c r="I254" s="478">
        <v>0</v>
      </c>
      <c r="J254" s="478">
        <v>0</v>
      </c>
      <c r="K254" s="478">
        <v>0</v>
      </c>
      <c r="L254" s="478">
        <v>0</v>
      </c>
      <c r="M254" s="478">
        <v>0</v>
      </c>
      <c r="N254" s="478">
        <v>0</v>
      </c>
      <c r="O254" s="478">
        <v>0</v>
      </c>
      <c r="P254" s="478">
        <v>0</v>
      </c>
      <c r="Q254" s="478">
        <v>0</v>
      </c>
      <c r="R254" s="478">
        <v>0</v>
      </c>
      <c r="S254" s="478">
        <v>0</v>
      </c>
      <c r="T254" s="478">
        <v>0</v>
      </c>
      <c r="U254" s="478">
        <v>0</v>
      </c>
      <c r="V254" s="478">
        <v>0</v>
      </c>
      <c r="W254" s="478">
        <v>0</v>
      </c>
      <c r="X254" s="478">
        <v>0</v>
      </c>
      <c r="Y254" s="478">
        <v>0</v>
      </c>
      <c r="Z254" s="478">
        <v>0</v>
      </c>
      <c r="AA254" s="478">
        <v>0</v>
      </c>
      <c r="AB254" s="478">
        <v>0</v>
      </c>
      <c r="AC254" s="478">
        <v>0.2</v>
      </c>
      <c r="AD254" s="478">
        <v>0.4</v>
      </c>
      <c r="AE254" s="478">
        <v>0.60000000000000009</v>
      </c>
      <c r="AF254" s="478">
        <v>0.8</v>
      </c>
      <c r="AG254" s="478">
        <v>1</v>
      </c>
      <c r="AH254" s="478">
        <v>1</v>
      </c>
      <c r="AI254" s="478">
        <v>1</v>
      </c>
      <c r="AJ254" s="478">
        <v>1</v>
      </c>
      <c r="AK254" s="478">
        <v>1</v>
      </c>
      <c r="AL254" s="478">
        <v>1</v>
      </c>
      <c r="AM254" s="478">
        <v>1</v>
      </c>
      <c r="AN254" s="478">
        <v>1</v>
      </c>
      <c r="AO254" s="478">
        <v>1</v>
      </c>
    </row>
    <row r="256" spans="1:52" s="556" customFormat="1">
      <c r="A256" s="556" t="s">
        <v>529</v>
      </c>
    </row>
    <row r="257" spans="2:41">
      <c r="B257" s="50" t="s">
        <v>558</v>
      </c>
      <c r="F257" s="475">
        <v>2015</v>
      </c>
      <c r="G257" s="475">
        <v>2016</v>
      </c>
      <c r="H257" s="475">
        <v>2017</v>
      </c>
      <c r="I257" s="475">
        <v>2018</v>
      </c>
      <c r="J257" s="475">
        <v>2019</v>
      </c>
      <c r="K257" s="475">
        <v>2020</v>
      </c>
      <c r="L257" s="475">
        <v>2021</v>
      </c>
      <c r="M257" s="475">
        <v>2022</v>
      </c>
      <c r="N257" s="475">
        <v>2023</v>
      </c>
      <c r="O257" s="475">
        <v>2024</v>
      </c>
      <c r="P257" s="475">
        <v>2025</v>
      </c>
      <c r="Q257" s="475">
        <v>2026</v>
      </c>
      <c r="R257" s="475">
        <v>2027</v>
      </c>
      <c r="S257" s="475">
        <v>2028</v>
      </c>
      <c r="T257" s="475">
        <v>2029</v>
      </c>
      <c r="U257" s="475">
        <v>2030</v>
      </c>
      <c r="V257" s="475">
        <v>2031</v>
      </c>
      <c r="W257" s="475">
        <v>2032</v>
      </c>
      <c r="X257" s="475">
        <v>2033</v>
      </c>
      <c r="Y257" s="475">
        <v>2034</v>
      </c>
      <c r="Z257" s="475">
        <v>2035</v>
      </c>
      <c r="AA257" s="475">
        <v>2036</v>
      </c>
      <c r="AB257" s="475">
        <v>2037</v>
      </c>
      <c r="AC257" s="475">
        <v>2038</v>
      </c>
      <c r="AD257" s="475">
        <v>2039</v>
      </c>
      <c r="AE257" s="475">
        <v>2040</v>
      </c>
      <c r="AF257" s="475">
        <v>2041</v>
      </c>
      <c r="AG257" s="475">
        <v>2042</v>
      </c>
      <c r="AH257" s="475">
        <v>2043</v>
      </c>
      <c r="AI257" s="475">
        <v>2044</v>
      </c>
      <c r="AJ257" s="475">
        <v>2045</v>
      </c>
      <c r="AK257" s="475">
        <v>2046</v>
      </c>
      <c r="AL257" s="475">
        <v>2047</v>
      </c>
      <c r="AM257" s="475">
        <v>2048</v>
      </c>
      <c r="AN257" s="475">
        <v>2049</v>
      </c>
      <c r="AO257" s="475">
        <v>2050</v>
      </c>
    </row>
    <row r="258" spans="2:41">
      <c r="B258" s="415" t="s">
        <v>530</v>
      </c>
      <c r="C258" s="415" t="s">
        <v>531</v>
      </c>
      <c r="D258" s="415"/>
      <c r="E258" s="418" t="s">
        <v>571</v>
      </c>
      <c r="F258" s="479">
        <v>0.32394456950417921</v>
      </c>
      <c r="G258" s="479">
        <v>0.3371298482334531</v>
      </c>
      <c r="H258" s="479">
        <v>0.3518471586257545</v>
      </c>
      <c r="I258" s="479">
        <v>0.36809650068108318</v>
      </c>
      <c r="J258" s="479">
        <v>0.38587787439943932</v>
      </c>
      <c r="K258" s="479">
        <v>0.42672727093283763</v>
      </c>
      <c r="L258" s="479">
        <v>0.45903328513202629</v>
      </c>
      <c r="M258" s="479">
        <v>0.49286750613656916</v>
      </c>
      <c r="N258" s="479">
        <v>0.5282622100652653</v>
      </c>
      <c r="O258" s="479">
        <v>0.56526311943530727</v>
      </c>
      <c r="P258" s="479">
        <v>0.60391222043118642</v>
      </c>
      <c r="Q258" s="479">
        <v>0.64160458267902554</v>
      </c>
      <c r="R258" s="479">
        <v>0.678310333897719</v>
      </c>
      <c r="S258" s="479">
        <v>0.71422408180447994</v>
      </c>
      <c r="T258" s="479">
        <v>0.74946942865014377</v>
      </c>
      <c r="U258" s="479">
        <v>0.78404756571577827</v>
      </c>
      <c r="V258" s="479">
        <v>0.81331593603599439</v>
      </c>
      <c r="W258" s="479">
        <v>0.84206306491981486</v>
      </c>
      <c r="X258" s="479">
        <v>0.86645544081492842</v>
      </c>
      <c r="Y258" s="479">
        <v>0.890218921309197</v>
      </c>
      <c r="Z258" s="479">
        <v>0.91442675899121417</v>
      </c>
      <c r="AA258" s="479">
        <v>0.93797716883608451</v>
      </c>
      <c r="AB258" s="479">
        <v>0.96080567327809407</v>
      </c>
      <c r="AC258" s="479">
        <v>0.98419787499365619</v>
      </c>
      <c r="AD258" s="479">
        <v>1.0070133718428262</v>
      </c>
      <c r="AE258" s="479">
        <v>1.0292579833229341</v>
      </c>
      <c r="AF258" s="479">
        <v>1.0385069980332979</v>
      </c>
      <c r="AG258" s="479">
        <v>1.0478046966773411</v>
      </c>
      <c r="AH258" s="479">
        <v>1.0571509636915835</v>
      </c>
      <c r="AI258" s="479">
        <v>1.0665456982700916</v>
      </c>
      <c r="AJ258" s="479">
        <v>1.0759888144053575</v>
      </c>
      <c r="AK258" s="479">
        <v>1.0854802409248021</v>
      </c>
      <c r="AL258" s="479">
        <v>1.0950199215234568</v>
      </c>
      <c r="AM258" s="479">
        <v>1.1046078147932796</v>
      </c>
      <c r="AN258" s="479">
        <v>1.1142438942495143</v>
      </c>
      <c r="AO258" s="479">
        <v>1.1239281483544374</v>
      </c>
    </row>
    <row r="259" spans="2:41">
      <c r="B259" s="415" t="s">
        <v>532</v>
      </c>
      <c r="C259" s="415" t="s">
        <v>531</v>
      </c>
      <c r="D259" s="415"/>
      <c r="E259" s="418" t="s">
        <v>572</v>
      </c>
      <c r="F259" s="479">
        <v>0.47822810410693289</v>
      </c>
      <c r="G259" s="479">
        <v>0.50729385979420205</v>
      </c>
      <c r="H259" s="479">
        <v>0.53693821644843143</v>
      </c>
      <c r="I259" s="479">
        <v>0.56716117406962085</v>
      </c>
      <c r="J259" s="479">
        <v>0.59796273265777056</v>
      </c>
      <c r="K259" s="479">
        <v>0.66646794643580687</v>
      </c>
      <c r="L259" s="479">
        <v>0.70791602737173032</v>
      </c>
      <c r="M259" s="479">
        <v>0.74568466515394005</v>
      </c>
      <c r="N259" s="479">
        <v>0.77975963446860408</v>
      </c>
      <c r="O259" s="479">
        <v>0.81015634254283375</v>
      </c>
      <c r="P259" s="479">
        <v>0.83622319321894278</v>
      </c>
      <c r="Q259" s="479">
        <v>0.86598440429134738</v>
      </c>
      <c r="R259" s="479">
        <v>0.89002797643808462</v>
      </c>
      <c r="S259" s="479">
        <v>0.90851302463771022</v>
      </c>
      <c r="T259" s="479">
        <v>0.92162939929434584</v>
      </c>
      <c r="U259" s="479">
        <v>0.92947132286089706</v>
      </c>
      <c r="V259" s="479">
        <v>0.96325157808535966</v>
      </c>
      <c r="W259" s="479">
        <v>0.99472803406912225</v>
      </c>
      <c r="X259" s="479">
        <v>1.0237926422997299</v>
      </c>
      <c r="Y259" s="479">
        <v>1.0503307345896407</v>
      </c>
      <c r="Z259" s="479">
        <v>1.0734163945425241</v>
      </c>
      <c r="AA259" s="479">
        <v>1.0940845197897018</v>
      </c>
      <c r="AB259" s="479">
        <v>1.1123296972462267</v>
      </c>
      <c r="AC259" s="479">
        <v>1.1281710578868067</v>
      </c>
      <c r="AD259" s="479">
        <v>1.1416166336643137</v>
      </c>
      <c r="AE259" s="479">
        <v>1.1526745699531171</v>
      </c>
      <c r="AF259" s="479">
        <v>1.1623063186474625</v>
      </c>
      <c r="AG259" s="479">
        <v>1.1719487834872266</v>
      </c>
      <c r="AH259" s="479">
        <v>1.1816016904052646</v>
      </c>
      <c r="AI259" s="479">
        <v>1.1912648017083545</v>
      </c>
      <c r="AJ259" s="479">
        <v>1.2009379155281656</v>
      </c>
      <c r="AK259" s="479">
        <v>1.210620865377273</v>
      </c>
      <c r="AL259" s="479">
        <v>1.2203135197893766</v>
      </c>
      <c r="AM259" s="479">
        <v>1.2300157820275339</v>
      </c>
      <c r="AN259" s="479">
        <v>1.2397275898477444</v>
      </c>
      <c r="AO259" s="479">
        <v>1.2494489153078716</v>
      </c>
    </row>
    <row r="260" spans="2:41">
      <c r="B260" s="416" t="s">
        <v>518</v>
      </c>
      <c r="C260" s="416" t="s">
        <v>531</v>
      </c>
      <c r="D260" s="416"/>
      <c r="E260" s="419" t="s">
        <v>573</v>
      </c>
      <c r="F260" s="479">
        <v>0.32394456950417921</v>
      </c>
      <c r="G260" s="479">
        <v>0.3355978165704257</v>
      </c>
      <c r="H260" s="479">
        <v>0.34725106363667213</v>
      </c>
      <c r="I260" s="479">
        <v>0.35890431070291862</v>
      </c>
      <c r="J260" s="479">
        <v>0.37055755776916505</v>
      </c>
      <c r="K260" s="479">
        <v>0.39608371800951442</v>
      </c>
      <c r="L260" s="479">
        <v>0.41279772781172658</v>
      </c>
      <c r="M260" s="479">
        <v>0.42844642025742996</v>
      </c>
      <c r="N260" s="479">
        <v>0.44306176866209257</v>
      </c>
      <c r="O260" s="479">
        <v>0.45668931522352957</v>
      </c>
      <c r="P260" s="479">
        <v>0.46937093204746438</v>
      </c>
      <c r="Q260" s="479">
        <v>0.48604043760638077</v>
      </c>
      <c r="R260" s="479">
        <v>0.50172587479539854</v>
      </c>
      <c r="S260" s="479">
        <v>0.51662138749692788</v>
      </c>
      <c r="T260" s="479">
        <v>0.53085022047782116</v>
      </c>
      <c r="U260" s="479">
        <v>0.54441328505753261</v>
      </c>
      <c r="V260" s="479">
        <v>0.56399505734748689</v>
      </c>
      <c r="W260" s="479">
        <v>0.58305579611521052</v>
      </c>
      <c r="X260" s="479">
        <v>0.5977619753096155</v>
      </c>
      <c r="Y260" s="479">
        <v>0.61183943933724694</v>
      </c>
      <c r="Z260" s="479">
        <v>0.62636142877652634</v>
      </c>
      <c r="AA260" s="479">
        <v>0.64022614763628527</v>
      </c>
      <c r="AB260" s="479">
        <v>0.65336910831743411</v>
      </c>
      <c r="AC260" s="479">
        <v>0.66707590429876984</v>
      </c>
      <c r="AD260" s="479">
        <v>0.68020612499324618</v>
      </c>
      <c r="AE260" s="479">
        <v>0.69276558212658357</v>
      </c>
      <c r="AF260" s="479">
        <v>0.69232955713578725</v>
      </c>
      <c r="AG260" s="479">
        <v>0.69194232411269807</v>
      </c>
      <c r="AH260" s="479">
        <v>0.69160376138104929</v>
      </c>
      <c r="AI260" s="479">
        <v>0.69131376247474985</v>
      </c>
      <c r="AJ260" s="479">
        <v>0.6910722361376288</v>
      </c>
      <c r="AK260" s="479">
        <v>0.69087910632321359</v>
      </c>
      <c r="AL260" s="479">
        <v>0.69073431219454662</v>
      </c>
      <c r="AM260" s="479">
        <v>0.69063780812403919</v>
      </c>
      <c r="AN260" s="479">
        <v>0.69058956369335911</v>
      </c>
      <c r="AO260" s="479">
        <v>0.69058956369335911</v>
      </c>
    </row>
    <row r="261" spans="2:41">
      <c r="B261" s="416" t="s">
        <v>520</v>
      </c>
      <c r="C261" s="416" t="s">
        <v>531</v>
      </c>
      <c r="D261" s="416"/>
      <c r="E261" s="419" t="s">
        <v>574</v>
      </c>
      <c r="F261" s="479">
        <v>0</v>
      </c>
      <c r="G261" s="479">
        <v>1.5320316630274393E-3</v>
      </c>
      <c r="H261" s="479">
        <v>4.5960949890823137E-3</v>
      </c>
      <c r="I261" s="479">
        <v>9.1921899781646447E-3</v>
      </c>
      <c r="J261" s="479">
        <v>1.532031663027439E-2</v>
      </c>
      <c r="K261" s="479">
        <v>3.0643552923323193E-2</v>
      </c>
      <c r="L261" s="479">
        <v>4.623555732029979E-2</v>
      </c>
      <c r="M261" s="479">
        <v>6.4421085879139237E-2</v>
      </c>
      <c r="N261" s="479">
        <v>8.5200441403172719E-2</v>
      </c>
      <c r="O261" s="479">
        <v>0.10857380421177773</v>
      </c>
      <c r="P261" s="479">
        <v>0.13454128838372212</v>
      </c>
      <c r="Q261" s="479">
        <v>0.15556414507264474</v>
      </c>
      <c r="R261" s="479">
        <v>0.17658445910232048</v>
      </c>
      <c r="S261" s="479">
        <v>0.19760269430755198</v>
      </c>
      <c r="T261" s="479">
        <v>0.2186192081723225</v>
      </c>
      <c r="U261" s="479">
        <v>0.23963428065824569</v>
      </c>
      <c r="V261" s="479">
        <v>0.24932087868850761</v>
      </c>
      <c r="W261" s="479">
        <v>0.2590072688046044</v>
      </c>
      <c r="X261" s="479">
        <v>0.26869346550531309</v>
      </c>
      <c r="Y261" s="479">
        <v>0.27837948197195</v>
      </c>
      <c r="Z261" s="479">
        <v>0.28806533021468783</v>
      </c>
      <c r="AA261" s="479">
        <v>0.29775102119979907</v>
      </c>
      <c r="AB261" s="479">
        <v>0.30743656496065996</v>
      </c>
      <c r="AC261" s="479">
        <v>0.31712197069488629</v>
      </c>
      <c r="AD261" s="479">
        <v>0.32680724684958012</v>
      </c>
      <c r="AE261" s="479">
        <v>0.3364924011963506</v>
      </c>
      <c r="AF261" s="479">
        <v>0.34617744089751068</v>
      </c>
      <c r="AG261" s="479">
        <v>0.35586237256464315</v>
      </c>
      <c r="AH261" s="479">
        <v>0.36554720231053417</v>
      </c>
      <c r="AI261" s="479">
        <v>0.37523193579534181</v>
      </c>
      <c r="AJ261" s="479">
        <v>0.38491657826772857</v>
      </c>
      <c r="AK261" s="479">
        <v>0.39460113460158863</v>
      </c>
      <c r="AL261" s="479">
        <v>0.40428560932891011</v>
      </c>
      <c r="AM261" s="479">
        <v>0.41397000666924066</v>
      </c>
      <c r="AN261" s="479">
        <v>0.42365433055615509</v>
      </c>
      <c r="AO261" s="479">
        <v>0.43333858466107822</v>
      </c>
    </row>
    <row r="262" spans="2:41">
      <c r="B262" s="416" t="s">
        <v>522</v>
      </c>
      <c r="C262" s="416" t="s">
        <v>531</v>
      </c>
      <c r="D262" s="416"/>
      <c r="E262" s="419" t="s">
        <v>575</v>
      </c>
      <c r="F262" s="479">
        <v>0.47822810410693289</v>
      </c>
      <c r="G262" s="479">
        <v>0.5066965605310817</v>
      </c>
      <c r="H262" s="479">
        <v>0.53514631865907059</v>
      </c>
      <c r="I262" s="479">
        <v>0.56357737849089928</v>
      </c>
      <c r="J262" s="479">
        <v>0.5919897400265679</v>
      </c>
      <c r="K262" s="479">
        <v>0.65449195860410236</v>
      </c>
      <c r="L262" s="479">
        <v>0.6887224440944274</v>
      </c>
      <c r="M262" s="479">
        <v>0.71806102922271142</v>
      </c>
      <c r="N262" s="479">
        <v>0.74249456019214188</v>
      </c>
      <c r="O262" s="479">
        <v>0.76203903951592256</v>
      </c>
      <c r="P262" s="479">
        <v>0.77604322820705784</v>
      </c>
      <c r="Q262" s="479">
        <v>0.79652124433035965</v>
      </c>
      <c r="R262" s="479">
        <v>0.81127873166025644</v>
      </c>
      <c r="S262" s="479">
        <v>0.82047535179504816</v>
      </c>
      <c r="T262" s="479">
        <v>0.82430137121166647</v>
      </c>
      <c r="U262" s="479">
        <v>0.82285133488468265</v>
      </c>
      <c r="V262" s="479">
        <v>0.84733827955909014</v>
      </c>
      <c r="W262" s="479">
        <v>0.86952027717256908</v>
      </c>
      <c r="X262" s="479">
        <v>0.88928944320505954</v>
      </c>
      <c r="Y262" s="479">
        <v>0.90653124352605652</v>
      </c>
      <c r="Z262" s="479">
        <v>0.92031987241676838</v>
      </c>
      <c r="AA262" s="479">
        <v>0.93169031970635996</v>
      </c>
      <c r="AB262" s="479">
        <v>0.94063724974154161</v>
      </c>
      <c r="AC262" s="479">
        <v>0.94717985901270707</v>
      </c>
      <c r="AD262" s="479">
        <v>0.95132623528535654</v>
      </c>
      <c r="AE262" s="479">
        <v>0.95308457177971129</v>
      </c>
      <c r="AF262" s="479">
        <v>0.95341636164461807</v>
      </c>
      <c r="AG262" s="479">
        <v>0.95375854438277852</v>
      </c>
      <c r="AH262" s="479">
        <v>0.95411087708417697</v>
      </c>
      <c r="AI262" s="479">
        <v>0.9544731493266102</v>
      </c>
      <c r="AJ262" s="479">
        <v>0.95484518321519474</v>
      </c>
      <c r="AK262" s="479">
        <v>0.95522683342293802</v>
      </c>
      <c r="AL262" s="479">
        <v>0.95561798723238589</v>
      </c>
      <c r="AM262" s="479">
        <v>0.95601856457835743</v>
      </c>
      <c r="AN262" s="479">
        <v>0.95642851809178031</v>
      </c>
      <c r="AO262" s="479">
        <v>0.95684783314462907</v>
      </c>
    </row>
    <row r="263" spans="2:41">
      <c r="B263" s="416" t="s">
        <v>524</v>
      </c>
      <c r="C263" s="416" t="s">
        <v>531</v>
      </c>
      <c r="D263" s="416"/>
      <c r="E263" s="419" t="s">
        <v>576</v>
      </c>
      <c r="F263" s="479">
        <v>0</v>
      </c>
      <c r="G263" s="479">
        <v>5.9729926312025836E-4</v>
      </c>
      <c r="H263" s="479">
        <v>1.7918977893607762E-3</v>
      </c>
      <c r="I263" s="479">
        <v>3.5837955787215527E-3</v>
      </c>
      <c r="J263" s="479">
        <v>5.9729926312025866E-3</v>
      </c>
      <c r="K263" s="479">
        <v>1.1975987831704695E-2</v>
      </c>
      <c r="L263" s="479">
        <v>1.9193583277303014E-2</v>
      </c>
      <c r="M263" s="479">
        <v>2.762363593122865E-2</v>
      </c>
      <c r="N263" s="479">
        <v>3.7265074276462307E-2</v>
      </c>
      <c r="O263" s="479">
        <v>4.8117303026911258E-2</v>
      </c>
      <c r="P263" s="479">
        <v>6.0179965011884849E-2</v>
      </c>
      <c r="Q263" s="479">
        <v>6.9463159960987633E-2</v>
      </c>
      <c r="R263" s="479">
        <v>7.8749244777828215E-2</v>
      </c>
      <c r="S263" s="479">
        <v>8.803767284266216E-2</v>
      </c>
      <c r="T263" s="479">
        <v>9.7328028082679374E-2</v>
      </c>
      <c r="U263" s="479">
        <v>0.10661998797621441</v>
      </c>
      <c r="V263" s="479">
        <v>0.11591329852626944</v>
      </c>
      <c r="W263" s="479">
        <v>0.12520775689655314</v>
      </c>
      <c r="X263" s="479">
        <v>0.13450319909467023</v>
      </c>
      <c r="Y263" s="479">
        <v>0.14379949106358403</v>
      </c>
      <c r="Z263" s="479">
        <v>0.15309652212575556</v>
      </c>
      <c r="AA263" s="479">
        <v>0.16239420008334174</v>
      </c>
      <c r="AB263" s="479">
        <v>0.17169244750468496</v>
      </c>
      <c r="AC263" s="479">
        <v>0.18099119887409965</v>
      </c>
      <c r="AD263" s="479">
        <v>0.1902903983789572</v>
      </c>
      <c r="AE263" s="479">
        <v>0.19958999817340606</v>
      </c>
      <c r="AF263" s="479">
        <v>0.20888995700284432</v>
      </c>
      <c r="AG263" s="479">
        <v>0.21819023910444807</v>
      </c>
      <c r="AH263" s="479">
        <v>0.22749081332108784</v>
      </c>
      <c r="AI263" s="479">
        <v>0.23679165238174427</v>
      </c>
      <c r="AJ263" s="479">
        <v>0.24609273231297082</v>
      </c>
      <c r="AK263" s="479">
        <v>0.25539403195433535</v>
      </c>
      <c r="AL263" s="479">
        <v>0.26469553255699108</v>
      </c>
      <c r="AM263" s="479">
        <v>0.27399721744917677</v>
      </c>
      <c r="AN263" s="479">
        <v>0.28329907175596403</v>
      </c>
      <c r="AO263" s="479">
        <v>0.2926010821632426</v>
      </c>
    </row>
    <row r="264" spans="2:41">
      <c r="B264" s="416" t="s">
        <v>518</v>
      </c>
      <c r="C264" s="416" t="s">
        <v>533</v>
      </c>
      <c r="D264" s="416"/>
      <c r="E264" s="419" t="s">
        <v>577</v>
      </c>
      <c r="F264" s="480">
        <v>1186.6027550104482</v>
      </c>
      <c r="G264" s="480">
        <v>1186.6027550104482</v>
      </c>
      <c r="H264" s="480">
        <v>1186.6027550104482</v>
      </c>
      <c r="I264" s="480">
        <v>1186.6027550104482</v>
      </c>
      <c r="J264" s="480">
        <v>1186.6027550104482</v>
      </c>
      <c r="K264" s="480">
        <v>2599.2250824038347</v>
      </c>
      <c r="L264" s="480">
        <v>2599.2250824038274</v>
      </c>
      <c r="M264" s="480">
        <v>2599.2250824038274</v>
      </c>
      <c r="N264" s="480">
        <v>2599.225082403842</v>
      </c>
      <c r="O264" s="480">
        <v>2599.225082403842</v>
      </c>
      <c r="P264" s="480">
        <v>2599.2250824038274</v>
      </c>
      <c r="Q264" s="480">
        <v>3164.2740133611878</v>
      </c>
      <c r="R264" s="480">
        <v>3164.2740133611951</v>
      </c>
      <c r="S264" s="480">
        <v>3164.2740133611806</v>
      </c>
      <c r="T264" s="480">
        <v>3164.2740133611951</v>
      </c>
      <c r="U264" s="480">
        <v>3164.2740133611951</v>
      </c>
      <c r="V264" s="480">
        <v>3164.2740133611951</v>
      </c>
      <c r="W264" s="480">
        <v>3164.2740133611806</v>
      </c>
      <c r="X264" s="480">
        <v>3164.2740133611951</v>
      </c>
      <c r="Y264" s="480">
        <v>3164.2740133611806</v>
      </c>
      <c r="Z264" s="480">
        <v>3164.2740133611806</v>
      </c>
      <c r="AA264" s="480">
        <v>3164.2740133612097</v>
      </c>
      <c r="AB264" s="480">
        <v>3164.2740133611806</v>
      </c>
      <c r="AC264" s="480">
        <v>3164.2740133611806</v>
      </c>
      <c r="AD264" s="480">
        <v>3164.2740133612097</v>
      </c>
      <c r="AE264" s="480">
        <v>3164.2740133611951</v>
      </c>
      <c r="AF264" s="480">
        <v>0</v>
      </c>
      <c r="AG264" s="480">
        <v>0</v>
      </c>
      <c r="AH264" s="480">
        <v>0</v>
      </c>
      <c r="AI264" s="480">
        <v>0</v>
      </c>
      <c r="AJ264" s="480">
        <v>0</v>
      </c>
      <c r="AK264" s="480">
        <v>0</v>
      </c>
      <c r="AL264" s="480">
        <v>0</v>
      </c>
      <c r="AM264" s="480">
        <v>0</v>
      </c>
      <c r="AN264" s="480">
        <v>0</v>
      </c>
      <c r="AO264" s="480">
        <v>0</v>
      </c>
    </row>
    <row r="265" spans="2:41">
      <c r="B265" s="416" t="s">
        <v>520</v>
      </c>
      <c r="C265" s="416" t="s">
        <v>533</v>
      </c>
      <c r="D265" s="416"/>
      <c r="E265" s="419" t="s">
        <v>578</v>
      </c>
      <c r="F265" s="480">
        <v>0</v>
      </c>
      <c r="G265" s="480">
        <v>528.59354123780099</v>
      </c>
      <c r="H265" s="480">
        <v>1057.1870824755954</v>
      </c>
      <c r="I265" s="480">
        <v>1585.7806237134123</v>
      </c>
      <c r="J265" s="480">
        <v>2114.3741649511917</v>
      </c>
      <c r="K265" s="480">
        <v>5285.9354123780404</v>
      </c>
      <c r="L265" s="480">
        <v>5385.796100814021</v>
      </c>
      <c r="M265" s="480">
        <v>6283.4287842830236</v>
      </c>
      <c r="N265" s="480">
        <v>7181.0614677520753</v>
      </c>
      <c r="O265" s="480">
        <v>8078.6941512210869</v>
      </c>
      <c r="P265" s="480">
        <v>8976.3268346900877</v>
      </c>
      <c r="Q265" s="480">
        <v>7269.4405344660045</v>
      </c>
      <c r="R265" s="480">
        <v>7269.4405344661282</v>
      </c>
      <c r="S265" s="480">
        <v>7269.4405344659826</v>
      </c>
      <c r="T265" s="480">
        <v>7269.44053446615</v>
      </c>
      <c r="U265" s="480">
        <v>7269.4405344658589</v>
      </c>
      <c r="V265" s="480">
        <v>3350.5000851870427</v>
      </c>
      <c r="W265" s="480">
        <v>3350.5000851871446</v>
      </c>
      <c r="X265" s="480">
        <v>3350.5000851870282</v>
      </c>
      <c r="Y265" s="480">
        <v>3350.5000851871446</v>
      </c>
      <c r="Z265" s="480">
        <v>3350.5000851870282</v>
      </c>
      <c r="AA265" s="480">
        <v>3350.5000851870282</v>
      </c>
      <c r="AB265" s="480">
        <v>3350.5000851871446</v>
      </c>
      <c r="AC265" s="480">
        <v>3350.5000851870427</v>
      </c>
      <c r="AD265" s="480">
        <v>3350.5000851870136</v>
      </c>
      <c r="AE265" s="480">
        <v>3350.5000851870282</v>
      </c>
      <c r="AF265" s="480">
        <v>3350.5000851871591</v>
      </c>
      <c r="AG265" s="480">
        <v>3350.50008518713</v>
      </c>
      <c r="AH265" s="480">
        <v>3350.5000851871446</v>
      </c>
      <c r="AI265" s="480">
        <v>3350.5000851871591</v>
      </c>
      <c r="AJ265" s="480">
        <v>3350.5000851872755</v>
      </c>
      <c r="AK265" s="480">
        <v>3350.5000851872901</v>
      </c>
      <c r="AL265" s="480">
        <v>3350.5000851871446</v>
      </c>
      <c r="AM265" s="480">
        <v>3350.5000851871446</v>
      </c>
      <c r="AN265" s="480">
        <v>3350.500085187261</v>
      </c>
      <c r="AO265" s="480">
        <v>3350.5000851870282</v>
      </c>
    </row>
    <row r="266" spans="2:41">
      <c r="B266" s="416" t="s">
        <v>522</v>
      </c>
      <c r="C266" s="416" t="s">
        <v>533</v>
      </c>
      <c r="D266" s="416"/>
      <c r="E266" s="419" t="s">
        <v>579</v>
      </c>
      <c r="F266" s="480">
        <v>468.30019445901053</v>
      </c>
      <c r="G266" s="480">
        <v>468.30019445901053</v>
      </c>
      <c r="H266" s="480">
        <v>467.91150090932024</v>
      </c>
      <c r="I266" s="480">
        <v>467.52280735962267</v>
      </c>
      <c r="J266" s="480">
        <v>467.13411380993057</v>
      </c>
      <c r="K266" s="480">
        <v>1028.7695159798513</v>
      </c>
      <c r="L266" s="480">
        <v>1027.9180920138533</v>
      </c>
      <c r="M266" s="480">
        <v>1027.0666680478589</v>
      </c>
      <c r="N266" s="480">
        <v>1026.2152440818627</v>
      </c>
      <c r="O266" s="480">
        <v>1025.3638201158647</v>
      </c>
      <c r="P266" s="480">
        <v>992.87602798095759</v>
      </c>
      <c r="Q266" s="480">
        <v>1245.8423017071218</v>
      </c>
      <c r="R266" s="480">
        <v>1244.805785574601</v>
      </c>
      <c r="S266" s="480">
        <v>1243.7692694420875</v>
      </c>
      <c r="T266" s="480">
        <v>1242.7327533095668</v>
      </c>
      <c r="U266" s="480">
        <v>1241.6962371770533</v>
      </c>
      <c r="V266" s="480">
        <v>1240.6597210445361</v>
      </c>
      <c r="W266" s="480">
        <v>1239.6232049120263</v>
      </c>
      <c r="X266" s="480">
        <v>1238.5866887795019</v>
      </c>
      <c r="Y266" s="480">
        <v>1237.5501726469811</v>
      </c>
      <c r="Z266" s="480">
        <v>1236.5136565144639</v>
      </c>
      <c r="AA266" s="480">
        <v>1235.4771403819541</v>
      </c>
      <c r="AB266" s="480">
        <v>1234.440624249426</v>
      </c>
      <c r="AC266" s="480">
        <v>1233.4041081169198</v>
      </c>
      <c r="AD266" s="480">
        <v>1232.3675919844027</v>
      </c>
      <c r="AE266" s="480">
        <v>1231.3310758518783</v>
      </c>
      <c r="AF266" s="480">
        <v>0</v>
      </c>
      <c r="AG266" s="480">
        <v>0</v>
      </c>
      <c r="AH266" s="480">
        <v>0</v>
      </c>
      <c r="AI266" s="480">
        <v>0</v>
      </c>
      <c r="AJ266" s="480">
        <v>0</v>
      </c>
      <c r="AK266" s="480">
        <v>0</v>
      </c>
      <c r="AL266" s="480">
        <v>0</v>
      </c>
      <c r="AM266" s="480">
        <v>0</v>
      </c>
      <c r="AN266" s="480">
        <v>0</v>
      </c>
      <c r="AO266" s="480">
        <v>0</v>
      </c>
    </row>
    <row r="267" spans="2:41">
      <c r="B267" s="416" t="s">
        <v>524</v>
      </c>
      <c r="C267" s="416" t="s">
        <v>533</v>
      </c>
      <c r="D267" s="416"/>
      <c r="E267" s="419" t="s">
        <v>580</v>
      </c>
      <c r="F267" s="480">
        <v>0</v>
      </c>
      <c r="G267" s="480">
        <v>46.339174225459338</v>
      </c>
      <c r="H267" s="480">
        <v>92.678348450918804</v>
      </c>
      <c r="I267" s="480">
        <v>139.01752267637821</v>
      </c>
      <c r="J267" s="480">
        <v>185.35669690183767</v>
      </c>
      <c r="K267" s="480">
        <v>463.39174225459504</v>
      </c>
      <c r="L267" s="480">
        <v>556.07009070551385</v>
      </c>
      <c r="M267" s="480">
        <v>648.74843915643328</v>
      </c>
      <c r="N267" s="480">
        <v>741.42678760735134</v>
      </c>
      <c r="O267" s="480">
        <v>834.105136058271</v>
      </c>
      <c r="P267" s="480">
        <v>926.78348450918702</v>
      </c>
      <c r="Q267" s="480">
        <v>695.01982028492057</v>
      </c>
      <c r="R267" s="480">
        <v>695.01982028491784</v>
      </c>
      <c r="S267" s="480">
        <v>695.01982028491875</v>
      </c>
      <c r="T267" s="480">
        <v>695.01982028491966</v>
      </c>
      <c r="U267" s="480">
        <v>695.01982028491966</v>
      </c>
      <c r="V267" s="480">
        <v>695.01982028492057</v>
      </c>
      <c r="W267" s="480">
        <v>695.01982028491875</v>
      </c>
      <c r="X267" s="480">
        <v>695.01982028492057</v>
      </c>
      <c r="Y267" s="480">
        <v>695.01982028492057</v>
      </c>
      <c r="Z267" s="480">
        <v>695.01982028491693</v>
      </c>
      <c r="AA267" s="480">
        <v>695.01982028492057</v>
      </c>
      <c r="AB267" s="480">
        <v>695.01982028491875</v>
      </c>
      <c r="AC267" s="480">
        <v>695.01982028491875</v>
      </c>
      <c r="AD267" s="480">
        <v>695.01982028491875</v>
      </c>
      <c r="AE267" s="480">
        <v>695.01982028492239</v>
      </c>
      <c r="AF267" s="480">
        <v>695.01982028491875</v>
      </c>
      <c r="AG267" s="480">
        <v>695.01982028492057</v>
      </c>
      <c r="AH267" s="480">
        <v>695.01982028492057</v>
      </c>
      <c r="AI267" s="480">
        <v>695.01982028491693</v>
      </c>
      <c r="AJ267" s="480">
        <v>695.01982028491693</v>
      </c>
      <c r="AK267" s="480">
        <v>695.01982028492057</v>
      </c>
      <c r="AL267" s="480">
        <v>695.01982028492057</v>
      </c>
      <c r="AM267" s="480">
        <v>695.01982028491693</v>
      </c>
      <c r="AN267" s="480">
        <v>695.01982028492057</v>
      </c>
      <c r="AO267" s="480">
        <v>695.01982028491329</v>
      </c>
    </row>
    <row r="268" spans="2:41">
      <c r="E268" s="78"/>
    </row>
    <row r="269" spans="2:41">
      <c r="B269" s="50" t="s">
        <v>559</v>
      </c>
      <c r="E269" s="78"/>
    </row>
    <row r="270" spans="2:41">
      <c r="B270" s="415" t="s">
        <v>530</v>
      </c>
      <c r="C270" s="415" t="s">
        <v>531</v>
      </c>
      <c r="D270" s="415"/>
      <c r="E270" s="418" t="s">
        <v>581</v>
      </c>
      <c r="F270" s="479">
        <v>0.32394456950417921</v>
      </c>
      <c r="G270" s="479">
        <v>0.34275177314284211</v>
      </c>
      <c r="H270" s="479">
        <v>0.36421924742210221</v>
      </c>
      <c r="I270" s="479">
        <v>0.38834699234195963</v>
      </c>
      <c r="J270" s="479">
        <v>0.41513500790241431</v>
      </c>
      <c r="K270" s="479">
        <v>0.53862438530755719</v>
      </c>
      <c r="L270" s="479">
        <v>0.64576916707057985</v>
      </c>
      <c r="M270" s="479">
        <v>0.77131002230455858</v>
      </c>
      <c r="N270" s="479">
        <v>0.89872855659897122</v>
      </c>
      <c r="O270" s="479">
        <v>1.0280872886517864</v>
      </c>
      <c r="P270" s="479">
        <v>1.1594890257207673</v>
      </c>
      <c r="Q270" s="479">
        <v>1.3075290951012279</v>
      </c>
      <c r="R270" s="479">
        <v>1.4549551989769474</v>
      </c>
      <c r="S270" s="479">
        <v>1.6020646465646817</v>
      </c>
      <c r="T270" s="479">
        <v>1.7494343818817357</v>
      </c>
      <c r="U270" s="479">
        <v>1.8974481776298926</v>
      </c>
      <c r="V270" s="479">
        <v>2.0227260030179894</v>
      </c>
      <c r="W270" s="479">
        <v>2.1436777328838668</v>
      </c>
      <c r="X270" s="479">
        <v>2.262531231163178</v>
      </c>
      <c r="Y270" s="479">
        <v>2.369471332526309</v>
      </c>
      <c r="Z270" s="479">
        <v>2.4736081202595757</v>
      </c>
      <c r="AA270" s="479">
        <v>2.5777984277020227</v>
      </c>
      <c r="AB270" s="479">
        <v>2.679277072540168</v>
      </c>
      <c r="AC270" s="479">
        <v>2.7778187309710725</v>
      </c>
      <c r="AD270" s="479">
        <v>2.8769747548978835</v>
      </c>
      <c r="AE270" s="479">
        <v>2.9736905206519322</v>
      </c>
      <c r="AF270" s="479">
        <v>3.0957193910749212</v>
      </c>
      <c r="AG270" s="479">
        <v>3.2177834520352335</v>
      </c>
      <c r="AH270" s="479">
        <v>3.3398966769500182</v>
      </c>
      <c r="AI270" s="479">
        <v>3.462074820811059</v>
      </c>
      <c r="AJ270" s="481">
        <v>3.5843336305036759</v>
      </c>
      <c r="AK270" s="481">
        <v>3.6171963607562883</v>
      </c>
      <c r="AL270" s="481">
        <v>3.6502137657905589</v>
      </c>
      <c r="AM270" s="481">
        <v>3.6833856648041197</v>
      </c>
      <c r="AN270" s="481">
        <v>3.7167119259994421</v>
      </c>
      <c r="AO270" s="481">
        <v>3.7501924667013107</v>
      </c>
    </row>
    <row r="271" spans="2:41">
      <c r="B271" s="415" t="s">
        <v>532</v>
      </c>
      <c r="C271" s="415" t="s">
        <v>531</v>
      </c>
      <c r="D271" s="415"/>
      <c r="E271" s="418" t="s">
        <v>582</v>
      </c>
      <c r="F271" s="479">
        <v>0.47822810410693289</v>
      </c>
      <c r="G271" s="479">
        <v>0.49585190754990566</v>
      </c>
      <c r="H271" s="479">
        <v>0.51421466345068934</v>
      </c>
      <c r="I271" s="479">
        <v>0.53331637180928437</v>
      </c>
      <c r="J271" s="479">
        <v>0.55315703262569049</v>
      </c>
      <c r="K271" s="479">
        <v>0.66287242086877118</v>
      </c>
      <c r="L271" s="479">
        <v>0.74296941490614088</v>
      </c>
      <c r="M271" s="479">
        <v>0.82258397529530047</v>
      </c>
      <c r="N271" s="479">
        <v>0.89617997509900937</v>
      </c>
      <c r="O271" s="479">
        <v>0.96377670952121253</v>
      </c>
      <c r="P271" s="479">
        <v>1.024583476507458</v>
      </c>
      <c r="Q271" s="479">
        <v>1.1005756211409863</v>
      </c>
      <c r="R271" s="479">
        <v>1.1675591422915115</v>
      </c>
      <c r="S271" s="479">
        <v>1.2257676699964921</v>
      </c>
      <c r="T271" s="479">
        <v>1.275487359487238</v>
      </c>
      <c r="U271" s="479">
        <v>1.3168847653438929</v>
      </c>
      <c r="V271" s="479">
        <v>1.3920038744198433</v>
      </c>
      <c r="W271" s="479">
        <v>1.4629755576935153</v>
      </c>
      <c r="X271" s="479">
        <v>1.529654609830521</v>
      </c>
      <c r="Y271" s="479">
        <v>1.591879704849521</v>
      </c>
      <c r="Z271" s="479">
        <v>1.6482606581462902</v>
      </c>
      <c r="AA271" s="479">
        <v>1.7002974088260279</v>
      </c>
      <c r="AB271" s="479">
        <v>1.7479858920071853</v>
      </c>
      <c r="AC271" s="479">
        <v>1.7913567233099537</v>
      </c>
      <c r="AD271" s="479">
        <v>1.8304250167031249</v>
      </c>
      <c r="AE271" s="479">
        <v>1.8652060878369878</v>
      </c>
      <c r="AF271" s="479">
        <v>1.9499895073482991</v>
      </c>
      <c r="AG271" s="479">
        <v>2.0348332677207379</v>
      </c>
      <c r="AH271" s="479">
        <v>2.1197388606201817</v>
      </c>
      <c r="AI271" s="479">
        <v>2.204707785608548</v>
      </c>
      <c r="AJ271" s="481">
        <v>2.2897415586896668</v>
      </c>
      <c r="AK271" s="481">
        <v>2.3132361907806334</v>
      </c>
      <c r="AL271" s="481">
        <v>2.3367483454017628</v>
      </c>
      <c r="AM271" s="481">
        <v>2.3602778175748251</v>
      </c>
      <c r="AN271" s="481">
        <v>2.3838244684134118</v>
      </c>
      <c r="AO271" s="481">
        <v>2.4073882243675162</v>
      </c>
    </row>
    <row r="272" spans="2:41">
      <c r="B272" s="416" t="s">
        <v>518</v>
      </c>
      <c r="C272" s="416" t="s">
        <v>531</v>
      </c>
      <c r="D272" s="416"/>
      <c r="E272" s="419" t="s">
        <v>583</v>
      </c>
      <c r="F272" s="479">
        <v>0.32394456950417921</v>
      </c>
      <c r="G272" s="479">
        <v>0.34009150250224485</v>
      </c>
      <c r="H272" s="479">
        <v>0.35623843550031042</v>
      </c>
      <c r="I272" s="479">
        <v>0.372385368498376</v>
      </c>
      <c r="J272" s="479">
        <v>0.38853230149644169</v>
      </c>
      <c r="K272" s="479">
        <v>0.48541389948483527</v>
      </c>
      <c r="L272" s="479">
        <v>0.57000030201590024</v>
      </c>
      <c r="M272" s="479">
        <v>0.65041770161666568</v>
      </c>
      <c r="N272" s="479">
        <v>0.72671106837918997</v>
      </c>
      <c r="O272" s="479">
        <v>0.7989414013816607</v>
      </c>
      <c r="P272" s="479">
        <v>0.86721054649680063</v>
      </c>
      <c r="Q272" s="479">
        <v>0.959755014711139</v>
      </c>
      <c r="R272" s="479">
        <v>1.0473095247194006</v>
      </c>
      <c r="S272" s="479">
        <v>1.1301712961106469</v>
      </c>
      <c r="T272" s="479">
        <v>1.208917203824859</v>
      </c>
      <c r="U272" s="479">
        <v>1.2839309664662977</v>
      </c>
      <c r="V272" s="479">
        <v>1.375562081476805</v>
      </c>
      <c r="W272" s="479">
        <v>1.4628681295145567</v>
      </c>
      <c r="X272" s="479">
        <v>1.5480769027898893</v>
      </c>
      <c r="Y272" s="479">
        <v>1.6213731707653374</v>
      </c>
      <c r="Z272" s="479">
        <v>1.6918669573130041</v>
      </c>
      <c r="AA272" s="479">
        <v>1.7624150415218838</v>
      </c>
      <c r="AB272" s="479">
        <v>1.830252191443474</v>
      </c>
      <c r="AC272" s="479">
        <v>1.8951530377743178</v>
      </c>
      <c r="AD272" s="479">
        <v>1.9606688906298226</v>
      </c>
      <c r="AE272" s="479">
        <v>2.0237450878952443</v>
      </c>
      <c r="AF272" s="479">
        <v>2.1121349569803849</v>
      </c>
      <c r="AG272" s="479">
        <v>2.2005605510461907</v>
      </c>
      <c r="AH272" s="479">
        <v>2.2890358132699147</v>
      </c>
      <c r="AI272" s="479">
        <v>2.3775764706425875</v>
      </c>
      <c r="AJ272" s="479">
        <v>2.4661982440844463</v>
      </c>
      <c r="AK272" s="479">
        <v>2.4654243642128018</v>
      </c>
      <c r="AL272" s="479">
        <v>2.4648055628296106</v>
      </c>
      <c r="AM272" s="479">
        <v>2.4643416382584418</v>
      </c>
      <c r="AN272" s="479">
        <v>2.46403243924241</v>
      </c>
      <c r="AO272" s="479">
        <v>2.4638778649437931</v>
      </c>
    </row>
    <row r="273" spans="2:41">
      <c r="B273" s="416" t="s">
        <v>520</v>
      </c>
      <c r="C273" s="416" t="s">
        <v>531</v>
      </c>
      <c r="D273" s="416"/>
      <c r="E273" s="419" t="s">
        <v>584</v>
      </c>
      <c r="F273" s="479">
        <v>0</v>
      </c>
      <c r="G273" s="479">
        <v>2.6602706405972668E-3</v>
      </c>
      <c r="H273" s="479">
        <v>7.9808119217917913E-3</v>
      </c>
      <c r="I273" s="479">
        <v>1.5961623843583614E-2</v>
      </c>
      <c r="J273" s="479">
        <v>2.6602706405972659E-2</v>
      </c>
      <c r="K273" s="479">
        <v>5.3210485822721976E-2</v>
      </c>
      <c r="L273" s="479">
        <v>7.5768865054679599E-2</v>
      </c>
      <c r="M273" s="479">
        <v>0.12089232068789277</v>
      </c>
      <c r="N273" s="479">
        <v>0.1720174882197813</v>
      </c>
      <c r="O273" s="479">
        <v>0.2291458872701258</v>
      </c>
      <c r="P273" s="479">
        <v>0.29227847922396655</v>
      </c>
      <c r="Q273" s="479">
        <v>0.347774080390089</v>
      </c>
      <c r="R273" s="479">
        <v>0.40764567425754672</v>
      </c>
      <c r="S273" s="479">
        <v>0.47189335045403497</v>
      </c>
      <c r="T273" s="479">
        <v>0.54051717805687682</v>
      </c>
      <c r="U273" s="479">
        <v>0.6135172111635947</v>
      </c>
      <c r="V273" s="479">
        <v>0.64716392154118429</v>
      </c>
      <c r="W273" s="479">
        <v>0.68080960336931007</v>
      </c>
      <c r="X273" s="479">
        <v>0.71445432837328882</v>
      </c>
      <c r="Y273" s="479">
        <v>0.74809816176097144</v>
      </c>
      <c r="Z273" s="479">
        <v>0.78174116294657181</v>
      </c>
      <c r="AA273" s="479">
        <v>0.81538338618013906</v>
      </c>
      <c r="AB273" s="479">
        <v>0.84902488109669327</v>
      </c>
      <c r="AC273" s="479">
        <v>0.88266569319675514</v>
      </c>
      <c r="AD273" s="479">
        <v>0.91630586426806082</v>
      </c>
      <c r="AE273" s="479">
        <v>0.94994543275668819</v>
      </c>
      <c r="AF273" s="479">
        <v>0.98358443409453633</v>
      </c>
      <c r="AG273" s="479">
        <v>1.0172229009890426</v>
      </c>
      <c r="AH273" s="479">
        <v>1.0508608636801042</v>
      </c>
      <c r="AI273" s="479">
        <v>1.0844983501684713</v>
      </c>
      <c r="AJ273" s="479">
        <v>1.1181353864192289</v>
      </c>
      <c r="AK273" s="479">
        <v>1.1517719965434863</v>
      </c>
      <c r="AL273" s="479">
        <v>1.1854082029609485</v>
      </c>
      <c r="AM273" s="479">
        <v>1.219044026545677</v>
      </c>
      <c r="AN273" s="479">
        <v>1.2526794867570319</v>
      </c>
      <c r="AO273" s="479">
        <v>1.2863146017575178</v>
      </c>
    </row>
    <row r="274" spans="2:41">
      <c r="B274" s="416" t="s">
        <v>522</v>
      </c>
      <c r="C274" s="416" t="s">
        <v>531</v>
      </c>
      <c r="D274" s="416"/>
      <c r="E274" s="419" t="s">
        <v>585</v>
      </c>
      <c r="F274" s="479">
        <v>0.47822810410693289</v>
      </c>
      <c r="G274" s="479">
        <v>0.49510079365222176</v>
      </c>
      <c r="H274" s="479">
        <v>0.51196132175763776</v>
      </c>
      <c r="I274" s="479">
        <v>0.52880968842318099</v>
      </c>
      <c r="J274" s="479">
        <v>0.54564589364885152</v>
      </c>
      <c r="K274" s="479">
        <v>0.64781240402292917</v>
      </c>
      <c r="L274" s="479">
        <v>0.72034165073887668</v>
      </c>
      <c r="M274" s="479">
        <v>0.78482610774767647</v>
      </c>
      <c r="N274" s="479">
        <v>0.84125623686270656</v>
      </c>
      <c r="O274" s="479">
        <v>0.8896538791605404</v>
      </c>
      <c r="P274" s="479">
        <v>0.92922986010885167</v>
      </c>
      <c r="Q274" s="479">
        <v>0.98795968986406801</v>
      </c>
      <c r="R274" s="479">
        <v>1.0363141505848954</v>
      </c>
      <c r="S274" s="479">
        <v>1.0745269152236843</v>
      </c>
      <c r="T274" s="479">
        <v>1.1028841701307617</v>
      </c>
      <c r="U274" s="479">
        <v>1.1215524929630254</v>
      </c>
      <c r="V274" s="479">
        <v>1.1739377013251884</v>
      </c>
      <c r="W274" s="479">
        <v>1.2221713758935737</v>
      </c>
      <c r="X274" s="479">
        <v>1.2661088876816908</v>
      </c>
      <c r="Y274" s="479">
        <v>1.3055893837240176</v>
      </c>
      <c r="Z274" s="479">
        <v>1.3392230713332134</v>
      </c>
      <c r="AA274" s="479">
        <v>1.3685102171455945</v>
      </c>
      <c r="AB274" s="479">
        <v>1.3934470321578643</v>
      </c>
      <c r="AC274" s="479">
        <v>1.4140643660346313</v>
      </c>
      <c r="AD274" s="479">
        <v>1.4303775326116044</v>
      </c>
      <c r="AE274" s="479">
        <v>1.442402019259327</v>
      </c>
      <c r="AF274" s="479">
        <v>1.5044275449831481</v>
      </c>
      <c r="AG274" s="479">
        <v>1.5665122311290551</v>
      </c>
      <c r="AH274" s="479">
        <v>1.6286576818274747</v>
      </c>
      <c r="AI274" s="479">
        <v>1.6908654952386677</v>
      </c>
      <c r="AJ274" s="479">
        <v>1.7531372741745592</v>
      </c>
      <c r="AK274" s="479">
        <v>1.7538691062834484</v>
      </c>
      <c r="AL274" s="479">
        <v>1.7546177231626203</v>
      </c>
      <c r="AM274" s="479">
        <v>1.7553829804445493</v>
      </c>
      <c r="AN274" s="479">
        <v>1.7561647933845816</v>
      </c>
      <c r="AO274" s="479">
        <v>1.7569631369469576</v>
      </c>
    </row>
    <row r="275" spans="2:41">
      <c r="B275" s="416" t="s">
        <v>524</v>
      </c>
      <c r="C275" s="416" t="s">
        <v>531</v>
      </c>
      <c r="D275" s="416"/>
      <c r="E275" s="419" t="s">
        <v>586</v>
      </c>
      <c r="F275" s="479">
        <v>0</v>
      </c>
      <c r="G275" s="479">
        <v>7.5111389768388749E-4</v>
      </c>
      <c r="H275" s="479">
        <v>2.2533416930516637E-3</v>
      </c>
      <c r="I275" s="479">
        <v>4.5066833861033273E-3</v>
      </c>
      <c r="J275" s="479">
        <v>7.5111389768388803E-3</v>
      </c>
      <c r="K275" s="479">
        <v>1.5060016845842074E-2</v>
      </c>
      <c r="L275" s="479">
        <v>2.2627764167264412E-2</v>
      </c>
      <c r="M275" s="479">
        <v>3.7757867547623995E-2</v>
      </c>
      <c r="N275" s="479">
        <v>5.4923738236302769E-2</v>
      </c>
      <c r="O275" s="479">
        <v>7.4122830360672215E-2</v>
      </c>
      <c r="P275" s="479">
        <v>9.5353616398606372E-2</v>
      </c>
      <c r="Q275" s="479">
        <v>0.11261593127691814</v>
      </c>
      <c r="R275" s="479">
        <v>0.13124499170661641</v>
      </c>
      <c r="S275" s="479">
        <v>0.1512407547728078</v>
      </c>
      <c r="T275" s="479">
        <v>0.17260318935647639</v>
      </c>
      <c r="U275" s="479">
        <v>0.19533227238086731</v>
      </c>
      <c r="V275" s="479">
        <v>0.21806617309465459</v>
      </c>
      <c r="W275" s="479">
        <v>0.24080418179994173</v>
      </c>
      <c r="X275" s="479">
        <v>0.26354572214883015</v>
      </c>
      <c r="Y275" s="479">
        <v>0.28629032112550307</v>
      </c>
      <c r="Z275" s="479">
        <v>0.30903758681307725</v>
      </c>
      <c r="AA275" s="479">
        <v>0.33178719168043347</v>
      </c>
      <c r="AB275" s="479">
        <v>0.35453885984932137</v>
      </c>
      <c r="AC275" s="479">
        <v>0.37729235727532195</v>
      </c>
      <c r="AD275" s="479">
        <v>0.40004748409152036</v>
      </c>
      <c r="AE275" s="479">
        <v>0.42280406857766095</v>
      </c>
      <c r="AF275" s="479">
        <v>0.44556196236515128</v>
      </c>
      <c r="AG275" s="479">
        <v>0.46832103659168284</v>
      </c>
      <c r="AH275" s="479">
        <v>0.49108117879270713</v>
      </c>
      <c r="AI275" s="479">
        <v>0.51384229036988061</v>
      </c>
      <c r="AJ275" s="479">
        <v>0.536604284515108</v>
      </c>
      <c r="AK275" s="479">
        <v>0.55936708449718464</v>
      </c>
      <c r="AL275" s="479">
        <v>0.58213062223914314</v>
      </c>
      <c r="AM275" s="479">
        <v>0.60489483713027636</v>
      </c>
      <c r="AN275" s="479">
        <v>0.62765967502883024</v>
      </c>
      <c r="AO275" s="479">
        <v>0.65042508742055827</v>
      </c>
    </row>
    <row r="276" spans="2:41">
      <c r="B276" s="416" t="s">
        <v>518</v>
      </c>
      <c r="C276" s="416" t="s">
        <v>533</v>
      </c>
      <c r="D276" s="416"/>
      <c r="E276" s="419" t="s">
        <v>587</v>
      </c>
      <c r="F276" s="480">
        <v>1642.7368508572181</v>
      </c>
      <c r="G276" s="480">
        <v>1642.7368508572181</v>
      </c>
      <c r="H276" s="480">
        <v>1642.7368508572181</v>
      </c>
      <c r="I276" s="480">
        <v>1642.7368508572108</v>
      </c>
      <c r="J276" s="480">
        <v>1642.7368508572108</v>
      </c>
      <c r="K276" s="480">
        <v>9856.421105143294</v>
      </c>
      <c r="L276" s="480">
        <v>9856.4211051432867</v>
      </c>
      <c r="M276" s="480">
        <v>9856.4211051432867</v>
      </c>
      <c r="N276" s="480">
        <v>9856.421105143294</v>
      </c>
      <c r="O276" s="480">
        <v>9856.421105143294</v>
      </c>
      <c r="P276" s="480">
        <v>9856.4211051432649</v>
      </c>
      <c r="Q276" s="480">
        <v>13141.89480685773</v>
      </c>
      <c r="R276" s="480">
        <v>13141.894806857701</v>
      </c>
      <c r="S276" s="480">
        <v>13141.894806857745</v>
      </c>
      <c r="T276" s="480">
        <v>13141.894806857686</v>
      </c>
      <c r="U276" s="480">
        <v>13141.894806857716</v>
      </c>
      <c r="V276" s="480">
        <v>13141.894806857716</v>
      </c>
      <c r="W276" s="480">
        <v>13141.894806857716</v>
      </c>
      <c r="X276" s="480">
        <v>13141.894806857716</v>
      </c>
      <c r="Y276" s="480">
        <v>13141.894806857745</v>
      </c>
      <c r="Z276" s="480">
        <v>13141.894806857745</v>
      </c>
      <c r="AA276" s="480">
        <v>13141.894806857686</v>
      </c>
      <c r="AB276" s="480">
        <v>13141.894806857745</v>
      </c>
      <c r="AC276" s="480">
        <v>13141.894806857628</v>
      </c>
      <c r="AD276" s="480">
        <v>13141.894806857745</v>
      </c>
      <c r="AE276" s="480">
        <v>13141.894806857745</v>
      </c>
      <c r="AF276" s="480">
        <v>13141.894806857686</v>
      </c>
      <c r="AG276" s="480">
        <v>13141.894806857745</v>
      </c>
      <c r="AH276" s="480">
        <v>13141.894806857628</v>
      </c>
      <c r="AI276" s="480">
        <v>13141.894806857803</v>
      </c>
      <c r="AJ276" s="480">
        <v>13141.894806857686</v>
      </c>
      <c r="AK276" s="480">
        <v>0</v>
      </c>
      <c r="AL276" s="480">
        <v>0</v>
      </c>
      <c r="AM276" s="480">
        <v>0</v>
      </c>
      <c r="AN276" s="480">
        <v>0</v>
      </c>
      <c r="AO276" s="480">
        <v>0</v>
      </c>
    </row>
    <row r="277" spans="2:41">
      <c r="B277" s="416" t="s">
        <v>520</v>
      </c>
      <c r="C277" s="416" t="s">
        <v>533</v>
      </c>
      <c r="D277" s="416"/>
      <c r="E277" s="419" t="s">
        <v>588</v>
      </c>
      <c r="F277" s="480">
        <v>0</v>
      </c>
      <c r="G277" s="480">
        <v>913.90426917801619</v>
      </c>
      <c r="H277" s="480">
        <v>1827.8085383560217</v>
      </c>
      <c r="I277" s="480">
        <v>2741.7128075340652</v>
      </c>
      <c r="J277" s="480">
        <v>3655.6170767120457</v>
      </c>
      <c r="K277" s="480">
        <v>9139.0426917802142</v>
      </c>
      <c r="L277" s="480">
        <v>7759.7461714632082</v>
      </c>
      <c r="M277" s="480">
        <v>15519.492342926416</v>
      </c>
      <c r="N277" s="480">
        <v>17588.757988650061</v>
      </c>
      <c r="O277" s="480">
        <v>19658.023634373589</v>
      </c>
      <c r="P277" s="480">
        <v>21727.289280097131</v>
      </c>
      <c r="Q277" s="480">
        <v>19103.9613151706</v>
      </c>
      <c r="R277" s="480">
        <v>20612.168787421251</v>
      </c>
      <c r="S277" s="480">
        <v>22120.376259671204</v>
      </c>
      <c r="T277" s="480">
        <v>23628.583731921943</v>
      </c>
      <c r="U277" s="480">
        <v>25136.79120417143</v>
      </c>
      <c r="V277" s="480">
        <v>11585.598736463551</v>
      </c>
      <c r="W277" s="480">
        <v>11585.598736463959</v>
      </c>
      <c r="X277" s="480">
        <v>11585.59873646358</v>
      </c>
      <c r="Y277" s="480">
        <v>11585.598736463959</v>
      </c>
      <c r="Z277" s="480">
        <v>11585.598736463551</v>
      </c>
      <c r="AA277" s="480">
        <v>11585.59873646358</v>
      </c>
      <c r="AB277" s="480">
        <v>11585.59873646393</v>
      </c>
      <c r="AC277" s="480">
        <v>11585.598736463522</v>
      </c>
      <c r="AD277" s="480">
        <v>11585.59873646358</v>
      </c>
      <c r="AE277" s="480">
        <v>11585.59873646358</v>
      </c>
      <c r="AF277" s="480">
        <v>11585.59873646393</v>
      </c>
      <c r="AG277" s="480">
        <v>11585.598736464046</v>
      </c>
      <c r="AH277" s="480">
        <v>11585.598736463988</v>
      </c>
      <c r="AI277" s="480">
        <v>11585.59873646393</v>
      </c>
      <c r="AJ277" s="480">
        <v>11585.598736464395</v>
      </c>
      <c r="AK277" s="480">
        <v>11585.598736464453</v>
      </c>
      <c r="AL277" s="480">
        <v>11585.59873646393</v>
      </c>
      <c r="AM277" s="480">
        <v>11585.598736463988</v>
      </c>
      <c r="AN277" s="480">
        <v>11585.598736464453</v>
      </c>
      <c r="AO277" s="480">
        <v>11585.598736463522</v>
      </c>
    </row>
    <row r="278" spans="2:41">
      <c r="B278" s="416" t="s">
        <v>522</v>
      </c>
      <c r="C278" s="416" t="s">
        <v>533</v>
      </c>
      <c r="D278" s="416"/>
      <c r="E278" s="419" t="s">
        <v>589</v>
      </c>
      <c r="F278" s="480">
        <v>277.45592191778633</v>
      </c>
      <c r="G278" s="480">
        <v>277.45592191778633</v>
      </c>
      <c r="H278" s="480">
        <v>277.20295273433658</v>
      </c>
      <c r="I278" s="480">
        <v>276.94998355088865</v>
      </c>
      <c r="J278" s="480">
        <v>276.69701436744072</v>
      </c>
      <c r="K278" s="480">
        <v>1684.0811281626939</v>
      </c>
      <c r="L278" s="480">
        <v>1682.563313061999</v>
      </c>
      <c r="M278" s="480">
        <v>1681.0454979613078</v>
      </c>
      <c r="N278" s="480">
        <v>1679.5276828606111</v>
      </c>
      <c r="O278" s="480">
        <v>1678.0098677599199</v>
      </c>
      <c r="P278" s="480">
        <v>1637.9447858039057</v>
      </c>
      <c r="Q278" s="480">
        <v>2232.4637487141408</v>
      </c>
      <c r="R278" s="480">
        <v>2230.4399952465465</v>
      </c>
      <c r="S278" s="480">
        <v>2228.4162417789557</v>
      </c>
      <c r="T278" s="480">
        <v>2226.3924883113577</v>
      </c>
      <c r="U278" s="480">
        <v>2224.3687348437779</v>
      </c>
      <c r="V278" s="480">
        <v>2222.3449813761836</v>
      </c>
      <c r="W278" s="480">
        <v>2220.3212279085856</v>
      </c>
      <c r="X278" s="480">
        <v>2218.2974744409948</v>
      </c>
      <c r="Y278" s="480">
        <v>2216.2737209734114</v>
      </c>
      <c r="Z278" s="480">
        <v>2214.249967505828</v>
      </c>
      <c r="AA278" s="480">
        <v>2212.2262140382154</v>
      </c>
      <c r="AB278" s="480">
        <v>2210.2024605706392</v>
      </c>
      <c r="AC278" s="480">
        <v>2208.1787071030267</v>
      </c>
      <c r="AD278" s="480">
        <v>2206.1549536354578</v>
      </c>
      <c r="AE278" s="480">
        <v>2204.1312001678525</v>
      </c>
      <c r="AF278" s="480">
        <v>2202.1074467002691</v>
      </c>
      <c r="AG278" s="480">
        <v>2200.0836932326856</v>
      </c>
      <c r="AH278" s="480">
        <v>2198.0599397650731</v>
      </c>
      <c r="AI278" s="480">
        <v>2196.0361862974896</v>
      </c>
      <c r="AJ278" s="480">
        <v>2194.0124328299062</v>
      </c>
      <c r="AK278" s="480">
        <v>0</v>
      </c>
      <c r="AL278" s="480">
        <v>0</v>
      </c>
      <c r="AM278" s="480">
        <v>0</v>
      </c>
      <c r="AN278" s="480">
        <v>0</v>
      </c>
      <c r="AO278" s="480">
        <v>0</v>
      </c>
    </row>
    <row r="279" spans="2:41">
      <c r="B279" s="416" t="s">
        <v>524</v>
      </c>
      <c r="C279" s="416" t="s">
        <v>533</v>
      </c>
      <c r="D279" s="416"/>
      <c r="E279" s="419" t="s">
        <v>590</v>
      </c>
      <c r="F279" s="480">
        <v>0</v>
      </c>
      <c r="G279" s="480">
        <v>61.451163266303546</v>
      </c>
      <c r="H279" s="480">
        <v>122.90232653260719</v>
      </c>
      <c r="I279" s="480">
        <v>184.3534897989108</v>
      </c>
      <c r="J279" s="480">
        <v>245.8046530652145</v>
      </c>
      <c r="K279" s="480">
        <v>614.51163266303718</v>
      </c>
      <c r="L279" s="480">
        <v>614.51163266303706</v>
      </c>
      <c r="M279" s="480">
        <v>1229.0232653260744</v>
      </c>
      <c r="N279" s="480">
        <v>1392.8930340362181</v>
      </c>
      <c r="O279" s="480">
        <v>1556.7628027463606</v>
      </c>
      <c r="P279" s="480">
        <v>1720.6325714565064</v>
      </c>
      <c r="Q279" s="480">
        <v>1373.0750824052593</v>
      </c>
      <c r="R279" s="480">
        <v>1481.4757468056705</v>
      </c>
      <c r="S279" s="480">
        <v>1589.8764112060926</v>
      </c>
      <c r="T279" s="480">
        <v>1698.2770756065074</v>
      </c>
      <c r="U279" s="480">
        <v>1806.6777400069204</v>
      </c>
      <c r="V279" s="480">
        <v>1806.6777400069204</v>
      </c>
      <c r="W279" s="480">
        <v>1806.6777400069222</v>
      </c>
      <c r="X279" s="480">
        <v>1806.6777400069186</v>
      </c>
      <c r="Y279" s="480">
        <v>1806.6777400069222</v>
      </c>
      <c r="Z279" s="480">
        <v>1806.6777400069222</v>
      </c>
      <c r="AA279" s="480">
        <v>1806.677740006915</v>
      </c>
      <c r="AB279" s="480">
        <v>1806.6777400069259</v>
      </c>
      <c r="AC279" s="480">
        <v>1806.6777400069259</v>
      </c>
      <c r="AD279" s="480">
        <v>1806.6777400069222</v>
      </c>
      <c r="AE279" s="480">
        <v>1806.677740006915</v>
      </c>
      <c r="AF279" s="480">
        <v>1806.6777400069259</v>
      </c>
      <c r="AG279" s="480">
        <v>1806.6777400069259</v>
      </c>
      <c r="AH279" s="480">
        <v>1806.6777400069186</v>
      </c>
      <c r="AI279" s="480">
        <v>1806.6777400069259</v>
      </c>
      <c r="AJ279" s="480">
        <v>1806.6777400069186</v>
      </c>
      <c r="AK279" s="480">
        <v>1806.6777400069259</v>
      </c>
      <c r="AL279" s="480">
        <v>1806.6777400069259</v>
      </c>
      <c r="AM279" s="480">
        <v>1806.6777400069113</v>
      </c>
      <c r="AN279" s="480">
        <v>1806.6777400069259</v>
      </c>
      <c r="AO279" s="480">
        <v>1806.6777400068459</v>
      </c>
    </row>
    <row r="280" spans="2:41">
      <c r="E280" s="78"/>
    </row>
    <row r="281" spans="2:41">
      <c r="B281" s="50" t="s">
        <v>591</v>
      </c>
      <c r="E281" s="78"/>
    </row>
    <row r="282" spans="2:41">
      <c r="B282" s="415" t="s">
        <v>530</v>
      </c>
      <c r="C282" s="415" t="s">
        <v>531</v>
      </c>
      <c r="D282" s="415"/>
      <c r="E282" s="418" t="str">
        <f>B282&amp;C282&amp;$B$281&amp;" Uptake"</f>
        <v>Total DomesticTWh/yearMAX Uptake</v>
      </c>
      <c r="F282" s="479">
        <v>0.32394470131109715</v>
      </c>
      <c r="G282" s="479">
        <v>0.34407307863302344</v>
      </c>
      <c r="H282" s="479">
        <v>0.3668618365009424</v>
      </c>
      <c r="I282" s="479">
        <v>0.39231081112725746</v>
      </c>
      <c r="J282" s="479">
        <v>0.42042008550454057</v>
      </c>
      <c r="K282" s="479">
        <v>0.55167595551801774</v>
      </c>
      <c r="L282" s="479">
        <v>0.70668644491263521</v>
      </c>
      <c r="M282" s="479">
        <v>0.90866435288848124</v>
      </c>
      <c r="N282" s="479">
        <v>1.0792188289885665</v>
      </c>
      <c r="O282" s="479">
        <v>1.4049426102134508</v>
      </c>
      <c r="P282" s="479">
        <v>1.8144613517874792</v>
      </c>
      <c r="Q282" s="479">
        <v>2.1496279063750774</v>
      </c>
      <c r="R282" s="479">
        <v>2.5224136513534945</v>
      </c>
      <c r="S282" s="479">
        <v>2.9412061770432771</v>
      </c>
      <c r="T282" s="479">
        <v>3.3407556148618154</v>
      </c>
      <c r="U282" s="479">
        <v>3.7319438863763743</v>
      </c>
      <c r="V282" s="479">
        <v>3.7319438863763743</v>
      </c>
      <c r="W282" s="479">
        <v>3.7319438863763743</v>
      </c>
      <c r="X282" s="479">
        <v>3.7319438863763743</v>
      </c>
      <c r="Y282" s="479">
        <v>3.7319438863763743</v>
      </c>
      <c r="Z282" s="479">
        <v>3.7319438863763743</v>
      </c>
      <c r="AA282" s="479">
        <v>3.7319438863763743</v>
      </c>
      <c r="AB282" s="479">
        <v>3.7319438863763743</v>
      </c>
      <c r="AC282" s="479">
        <v>3.7319438863763743</v>
      </c>
      <c r="AD282" s="479">
        <v>3.7319438863763743</v>
      </c>
      <c r="AE282" s="479">
        <v>3.7319438863763743</v>
      </c>
      <c r="AF282" s="479">
        <v>3.7319438863763743</v>
      </c>
      <c r="AG282" s="479">
        <v>3.7319438863763743</v>
      </c>
      <c r="AH282" s="479">
        <v>3.7319438863763743</v>
      </c>
      <c r="AI282" s="479">
        <v>3.7319438863763743</v>
      </c>
      <c r="AJ282" s="481">
        <v>3.7319438863763743</v>
      </c>
      <c r="AK282" s="481">
        <v>3.7319438863763743</v>
      </c>
      <c r="AL282" s="481">
        <v>3.7319438863763743</v>
      </c>
      <c r="AM282" s="481">
        <v>3.7319438863763743</v>
      </c>
      <c r="AN282" s="481">
        <v>3.7319438863763743</v>
      </c>
      <c r="AO282" s="481">
        <v>3.7319438863763743</v>
      </c>
    </row>
    <row r="283" spans="2:41">
      <c r="B283" s="415" t="s">
        <v>532</v>
      </c>
      <c r="C283" s="415" t="s">
        <v>531</v>
      </c>
      <c r="D283" s="415"/>
      <c r="E283" s="418" t="str">
        <f t="shared" ref="E283:E291" si="368">B283&amp;C283&amp;$B$281&amp;" Uptake"</f>
        <v>Total non-domesticTWh/yearMAX Uptake</v>
      </c>
      <c r="F283" s="479">
        <v>0.47822829868890288</v>
      </c>
      <c r="G283" s="479">
        <v>0.49742392136697661</v>
      </c>
      <c r="H283" s="479">
        <v>0.51735516349905764</v>
      </c>
      <c r="I283" s="479">
        <v>0.53802178887274243</v>
      </c>
      <c r="J283" s="479">
        <v>0.55942391449545936</v>
      </c>
      <c r="K283" s="479">
        <v>0.67832404448198236</v>
      </c>
      <c r="L283" s="479">
        <v>0.81331355508736458</v>
      </c>
      <c r="M283" s="479">
        <v>0.97133564711151865</v>
      </c>
      <c r="N283" s="479">
        <v>1.0807811710114337</v>
      </c>
      <c r="O283" s="479">
        <v>1.3250573897865492</v>
      </c>
      <c r="P283" s="479">
        <v>1.6155386482125205</v>
      </c>
      <c r="Q283" s="479">
        <v>1.8403720936249226</v>
      </c>
      <c r="R283" s="479">
        <v>2.0775863486465047</v>
      </c>
      <c r="S283" s="479">
        <v>2.3287938229567224</v>
      </c>
      <c r="T283" s="479">
        <v>2.5392443851381845</v>
      </c>
      <c r="U283" s="479">
        <v>2.7180561136236263</v>
      </c>
      <c r="V283" s="479">
        <v>2.7180561136236263</v>
      </c>
      <c r="W283" s="479">
        <v>2.7180561136236263</v>
      </c>
      <c r="X283" s="479">
        <v>2.7180561136236263</v>
      </c>
      <c r="Y283" s="479">
        <v>2.7180561136236263</v>
      </c>
      <c r="Z283" s="479">
        <v>2.7180561136236263</v>
      </c>
      <c r="AA283" s="479">
        <v>2.7180561136236263</v>
      </c>
      <c r="AB283" s="479">
        <v>2.7180561136236263</v>
      </c>
      <c r="AC283" s="479">
        <v>2.7180561136236263</v>
      </c>
      <c r="AD283" s="479">
        <v>2.7180561136236263</v>
      </c>
      <c r="AE283" s="479">
        <v>2.7180561136236263</v>
      </c>
      <c r="AF283" s="479">
        <v>2.7180561136236263</v>
      </c>
      <c r="AG283" s="479">
        <v>2.7180561136236263</v>
      </c>
      <c r="AH283" s="479">
        <v>2.7180561136236263</v>
      </c>
      <c r="AI283" s="479">
        <v>2.7180561136236263</v>
      </c>
      <c r="AJ283" s="481">
        <v>2.7180561136236263</v>
      </c>
      <c r="AK283" s="481">
        <v>2.7180561136236263</v>
      </c>
      <c r="AL283" s="481">
        <v>2.7180561136236263</v>
      </c>
      <c r="AM283" s="481">
        <v>2.7180561136236263</v>
      </c>
      <c r="AN283" s="481">
        <v>2.7180561136236263</v>
      </c>
      <c r="AO283" s="481">
        <v>2.7180561136236263</v>
      </c>
    </row>
    <row r="284" spans="2:41">
      <c r="B284" s="416" t="s">
        <v>518</v>
      </c>
      <c r="C284" s="416" t="s">
        <v>531</v>
      </c>
      <c r="D284" s="416"/>
      <c r="E284" s="419" t="str">
        <f t="shared" si="368"/>
        <v>Domestic existingTWh/yearMAX Uptake</v>
      </c>
      <c r="F284" s="479">
        <v>0.32394470131109715</v>
      </c>
      <c r="G284" s="479">
        <v>0.34141280774372418</v>
      </c>
      <c r="H284" s="479">
        <v>0.35888102365608365</v>
      </c>
      <c r="I284" s="479">
        <v>0.37634918733191447</v>
      </c>
      <c r="J284" s="479">
        <v>0.39381738009153455</v>
      </c>
      <c r="K284" s="479">
        <v>0.49848100972083642</v>
      </c>
      <c r="L284" s="479">
        <v>0.626335592030558</v>
      </c>
      <c r="M284" s="479">
        <v>0.77117289298952441</v>
      </c>
      <c r="N284" s="479">
        <v>0.88025218516806125</v>
      </c>
      <c r="O284" s="479">
        <v>1.1037035561352411</v>
      </c>
      <c r="P284" s="479">
        <v>1.3747288410181973</v>
      </c>
      <c r="Q284" s="479">
        <v>1.6457089319530045</v>
      </c>
      <c r="R284" s="479">
        <v>1.9362309950584358</v>
      </c>
      <c r="S284" s="479">
        <v>2.2536287371598194</v>
      </c>
      <c r="T284" s="479">
        <v>2.5478794585085556</v>
      </c>
      <c r="U284" s="479">
        <v>2.8273490937897332</v>
      </c>
      <c r="V284" s="479">
        <v>2.8273490937897332</v>
      </c>
      <c r="W284" s="479">
        <v>2.8273490937897332</v>
      </c>
      <c r="X284" s="479">
        <v>2.8273490937897332</v>
      </c>
      <c r="Y284" s="479">
        <v>2.8273490937897332</v>
      </c>
      <c r="Z284" s="479">
        <v>2.8273490937897332</v>
      </c>
      <c r="AA284" s="479">
        <v>2.8273490937897332</v>
      </c>
      <c r="AB284" s="479">
        <v>2.8273490937897332</v>
      </c>
      <c r="AC284" s="479">
        <v>2.8273490937897332</v>
      </c>
      <c r="AD284" s="479">
        <v>2.8273490937897332</v>
      </c>
      <c r="AE284" s="479">
        <v>2.8273490937897332</v>
      </c>
      <c r="AF284" s="479">
        <v>2.8273490937897332</v>
      </c>
      <c r="AG284" s="479">
        <v>2.8273490937897332</v>
      </c>
      <c r="AH284" s="479">
        <v>2.8273490937897332</v>
      </c>
      <c r="AI284" s="479">
        <v>2.8273490937897332</v>
      </c>
      <c r="AJ284" s="479">
        <v>2.8273490937897332</v>
      </c>
      <c r="AK284" s="479">
        <v>2.8273490937897332</v>
      </c>
      <c r="AL284" s="479">
        <v>2.8273490937897332</v>
      </c>
      <c r="AM284" s="479">
        <v>2.8273490937897332</v>
      </c>
      <c r="AN284" s="479">
        <v>2.8273490937897332</v>
      </c>
      <c r="AO284" s="479">
        <v>2.8273490937897332</v>
      </c>
    </row>
    <row r="285" spans="2:41">
      <c r="B285" s="416" t="s">
        <v>520</v>
      </c>
      <c r="C285" s="416" t="s">
        <v>531</v>
      </c>
      <c r="D285" s="416"/>
      <c r="E285" s="419" t="str">
        <f t="shared" si="368"/>
        <v>Domestic newTWh/yearMAX Uptake</v>
      </c>
      <c r="F285" s="479">
        <v>0</v>
      </c>
      <c r="G285" s="479">
        <v>2.6602708892992754E-3</v>
      </c>
      <c r="H285" s="479">
        <v>7.9808128448587874E-3</v>
      </c>
      <c r="I285" s="479">
        <v>1.5961623795342994E-2</v>
      </c>
      <c r="J285" s="479">
        <v>2.660270541300605E-2</v>
      </c>
      <c r="K285" s="479">
        <v>5.319494579718128E-2</v>
      </c>
      <c r="L285" s="479">
        <v>8.0350852882077092E-2</v>
      </c>
      <c r="M285" s="479">
        <v>0.13749145989895672</v>
      </c>
      <c r="N285" s="479">
        <v>0.19896664382050525</v>
      </c>
      <c r="O285" s="479">
        <v>0.30123905407820983</v>
      </c>
      <c r="P285" s="479">
        <v>0.43973251076928183</v>
      </c>
      <c r="Q285" s="479">
        <v>0.50391897442207312</v>
      </c>
      <c r="R285" s="479">
        <v>0.5861826562950585</v>
      </c>
      <c r="S285" s="479">
        <v>0.6875774398834581</v>
      </c>
      <c r="T285" s="479">
        <v>0.79287615635326025</v>
      </c>
      <c r="U285" s="479">
        <v>0.90459479258664111</v>
      </c>
      <c r="V285" s="479">
        <v>0.90459479258664111</v>
      </c>
      <c r="W285" s="479">
        <v>0.90459479258664111</v>
      </c>
      <c r="X285" s="479">
        <v>0.90459479258664111</v>
      </c>
      <c r="Y285" s="479">
        <v>0.90459479258664111</v>
      </c>
      <c r="Z285" s="479">
        <v>0.90459479258664111</v>
      </c>
      <c r="AA285" s="479">
        <v>0.90459479258664111</v>
      </c>
      <c r="AB285" s="479">
        <v>0.90459479258664111</v>
      </c>
      <c r="AC285" s="479">
        <v>0.90459479258664111</v>
      </c>
      <c r="AD285" s="479">
        <v>0.90459479258664111</v>
      </c>
      <c r="AE285" s="479">
        <v>0.90459479258664111</v>
      </c>
      <c r="AF285" s="479">
        <v>0.90459479258664111</v>
      </c>
      <c r="AG285" s="479">
        <v>0.90459479258664111</v>
      </c>
      <c r="AH285" s="479">
        <v>0.90459479258664111</v>
      </c>
      <c r="AI285" s="479">
        <v>0.90459479258664111</v>
      </c>
      <c r="AJ285" s="479">
        <v>0.90459479258664111</v>
      </c>
      <c r="AK285" s="479">
        <v>0.90459479258664111</v>
      </c>
      <c r="AL285" s="479">
        <v>0.90459479258664111</v>
      </c>
      <c r="AM285" s="479">
        <v>0.90459479258664111</v>
      </c>
      <c r="AN285" s="479">
        <v>0.90459479258664111</v>
      </c>
      <c r="AO285" s="479">
        <v>0.90459479258664111</v>
      </c>
    </row>
    <row r="286" spans="2:41">
      <c r="B286" s="416" t="s">
        <v>522</v>
      </c>
      <c r="C286" s="416" t="s">
        <v>531</v>
      </c>
      <c r="D286" s="416"/>
      <c r="E286" s="419" t="str">
        <f t="shared" si="368"/>
        <v>Non-domestic existingTWh/yearMAX Uptake</v>
      </c>
      <c r="F286" s="479">
        <v>0.47822829868890288</v>
      </c>
      <c r="G286" s="479">
        <v>0.49667280739907288</v>
      </c>
      <c r="H286" s="479">
        <v>0.51510182154538275</v>
      </c>
      <c r="I286" s="479">
        <v>0.5335151055002596</v>
      </c>
      <c r="J286" s="479">
        <v>0.55191277579897968</v>
      </c>
      <c r="K286" s="479">
        <v>0.66326842588665069</v>
      </c>
      <c r="L286" s="479">
        <v>0.78931741698575675</v>
      </c>
      <c r="M286" s="479">
        <v>0.92839342958889504</v>
      </c>
      <c r="N286" s="479">
        <v>1.0172527938909004</v>
      </c>
      <c r="O286" s="479">
        <v>1.2276142649307815</v>
      </c>
      <c r="P286" s="479">
        <v>1.4720792828113478</v>
      </c>
      <c r="Q286" s="479">
        <v>1.6771934446324588</v>
      </c>
      <c r="R286" s="479">
        <v>1.8888598571802877</v>
      </c>
      <c r="S286" s="479">
        <v>2.1084268038565912</v>
      </c>
      <c r="T286" s="479">
        <v>2.2860554784631848</v>
      </c>
      <c r="U286" s="479">
        <v>2.4300502464618461</v>
      </c>
      <c r="V286" s="479">
        <v>2.4300502464618461</v>
      </c>
      <c r="W286" s="479">
        <v>2.4300502464618461</v>
      </c>
      <c r="X286" s="479">
        <v>2.4300502464618461</v>
      </c>
      <c r="Y286" s="479">
        <v>2.4300502464618461</v>
      </c>
      <c r="Z286" s="479">
        <v>2.4300502464618461</v>
      </c>
      <c r="AA286" s="479">
        <v>2.4300502464618461</v>
      </c>
      <c r="AB286" s="479">
        <v>2.4300502464618461</v>
      </c>
      <c r="AC286" s="479">
        <v>2.4300502464618461</v>
      </c>
      <c r="AD286" s="479">
        <v>2.4300502464618461</v>
      </c>
      <c r="AE286" s="479">
        <v>2.4300502464618461</v>
      </c>
      <c r="AF286" s="479">
        <v>2.4300502464618461</v>
      </c>
      <c r="AG286" s="479">
        <v>2.4300502464618461</v>
      </c>
      <c r="AH286" s="479">
        <v>2.4300502464618461</v>
      </c>
      <c r="AI286" s="479">
        <v>2.4300502464618461</v>
      </c>
      <c r="AJ286" s="479">
        <v>2.4300502464618461</v>
      </c>
      <c r="AK286" s="479">
        <v>2.4300502464618461</v>
      </c>
      <c r="AL286" s="479">
        <v>2.4300502464618461</v>
      </c>
      <c r="AM286" s="479">
        <v>2.4300502464618461</v>
      </c>
      <c r="AN286" s="479">
        <v>2.4300502464618461</v>
      </c>
      <c r="AO286" s="479">
        <v>2.4300502464618461</v>
      </c>
    </row>
    <row r="287" spans="2:41">
      <c r="B287" s="416" t="s">
        <v>524</v>
      </c>
      <c r="C287" s="416" t="s">
        <v>531</v>
      </c>
      <c r="D287" s="416"/>
      <c r="E287" s="419" t="str">
        <f t="shared" si="368"/>
        <v>Non-domestic newTWh/yearMAX Uptake</v>
      </c>
      <c r="F287" s="479">
        <v>0</v>
      </c>
      <c r="G287" s="479">
        <v>7.511139679036358E-4</v>
      </c>
      <c r="H287" s="479">
        <v>2.2533419536749397E-3</v>
      </c>
      <c r="I287" s="479">
        <v>4.5066833724828328E-3</v>
      </c>
      <c r="J287" s="479">
        <v>7.5111386964798032E-3</v>
      </c>
      <c r="K287" s="479">
        <v>1.5055618595331685E-2</v>
      </c>
      <c r="L287" s="479">
        <v>2.3996138101608083E-2</v>
      </c>
      <c r="M287" s="479">
        <v>4.294221752262363E-2</v>
      </c>
      <c r="N287" s="479">
        <v>6.3528377120533053E-2</v>
      </c>
      <c r="O287" s="479">
        <v>9.744312485576756E-2</v>
      </c>
      <c r="P287" s="479">
        <v>0.14345936540117293</v>
      </c>
      <c r="Q287" s="479">
        <v>0.1631786489924639</v>
      </c>
      <c r="R287" s="479">
        <v>0.18872649146621737</v>
      </c>
      <c r="S287" s="479">
        <v>0.2203670191001309</v>
      </c>
      <c r="T287" s="479">
        <v>0.25318890667500005</v>
      </c>
      <c r="U287" s="479">
        <v>0.28800586716177995</v>
      </c>
      <c r="V287" s="479">
        <v>0.28800586716177995</v>
      </c>
      <c r="W287" s="479">
        <v>0.28800586716177995</v>
      </c>
      <c r="X287" s="479">
        <v>0.28800586716177995</v>
      </c>
      <c r="Y287" s="479">
        <v>0.28800586716177995</v>
      </c>
      <c r="Z287" s="479">
        <v>0.28800586716177995</v>
      </c>
      <c r="AA287" s="479">
        <v>0.28800586716177995</v>
      </c>
      <c r="AB287" s="479">
        <v>0.28800586716177995</v>
      </c>
      <c r="AC287" s="479">
        <v>0.28800586716177995</v>
      </c>
      <c r="AD287" s="479">
        <v>0.28800586716177995</v>
      </c>
      <c r="AE287" s="479">
        <v>0.28800586716177995</v>
      </c>
      <c r="AF287" s="479">
        <v>0.28800586716177995</v>
      </c>
      <c r="AG287" s="479">
        <v>0.28800586716177995</v>
      </c>
      <c r="AH287" s="479">
        <v>0.28800586716177995</v>
      </c>
      <c r="AI287" s="479">
        <v>0.28800586716177995</v>
      </c>
      <c r="AJ287" s="479">
        <v>0.28800586716177995</v>
      </c>
      <c r="AK287" s="479">
        <v>0.28800586716177995</v>
      </c>
      <c r="AL287" s="479">
        <v>0.28800586716177995</v>
      </c>
      <c r="AM287" s="479">
        <v>0.28800586716177995</v>
      </c>
      <c r="AN287" s="479">
        <v>0.28800586716177995</v>
      </c>
      <c r="AO287" s="479">
        <v>0.28800586716177995</v>
      </c>
    </row>
    <row r="288" spans="2:41">
      <c r="B288" s="416" t="s">
        <v>518</v>
      </c>
      <c r="C288" s="416" t="s">
        <v>533</v>
      </c>
      <c r="D288" s="416"/>
      <c r="E288" s="419" t="str">
        <f t="shared" si="368"/>
        <v>Domestic existingAnnual InstallationsMAX Uptake</v>
      </c>
      <c r="F288" s="480">
        <v>1759.034200698914</v>
      </c>
      <c r="G288" s="480">
        <v>1759.0336494290755</v>
      </c>
      <c r="H288" s="480">
        <v>1759.0336884326673</v>
      </c>
      <c r="I288" s="480">
        <v>1759.0334796651553</v>
      </c>
      <c r="J288" s="480">
        <v>1759.0334193241672</v>
      </c>
      <c r="K288" s="480">
        <v>10551.118574721837</v>
      </c>
      <c r="L288" s="480">
        <v>11192.447504477699</v>
      </c>
      <c r="M288" s="480">
        <v>12003.347134958532</v>
      </c>
      <c r="N288" s="480">
        <v>12207.676992497827</v>
      </c>
      <c r="O288" s="480">
        <v>13874.730794964493</v>
      </c>
      <c r="P288" s="480">
        <v>15878.778614119252</v>
      </c>
      <c r="Q288" s="480">
        <v>40780.973612831898</v>
      </c>
      <c r="R288" s="480">
        <v>40471.026123022231</v>
      </c>
      <c r="S288" s="480">
        <v>41008.307969896327</v>
      </c>
      <c r="T288" s="480">
        <v>41284.777323307142</v>
      </c>
      <c r="U288" s="480">
        <v>41497.451130523237</v>
      </c>
      <c r="V288" s="480">
        <v>0</v>
      </c>
      <c r="W288" s="480">
        <v>0</v>
      </c>
      <c r="X288" s="480">
        <v>0</v>
      </c>
      <c r="Y288" s="480">
        <v>0</v>
      </c>
      <c r="Z288" s="480">
        <v>0</v>
      </c>
      <c r="AA288" s="480">
        <v>0</v>
      </c>
      <c r="AB288" s="480">
        <v>0</v>
      </c>
      <c r="AC288" s="480">
        <v>0</v>
      </c>
      <c r="AD288" s="480">
        <v>0</v>
      </c>
      <c r="AE288" s="480">
        <v>0</v>
      </c>
      <c r="AF288" s="480">
        <v>0</v>
      </c>
      <c r="AG288" s="480">
        <v>0</v>
      </c>
      <c r="AH288" s="480">
        <v>0</v>
      </c>
      <c r="AI288" s="480">
        <v>0</v>
      </c>
      <c r="AJ288" s="480">
        <v>0</v>
      </c>
      <c r="AK288" s="480">
        <v>0</v>
      </c>
      <c r="AL288" s="480">
        <v>0</v>
      </c>
      <c r="AM288" s="480">
        <v>0</v>
      </c>
      <c r="AN288" s="480">
        <v>0</v>
      </c>
      <c r="AO288" s="480">
        <v>0</v>
      </c>
    </row>
    <row r="289" spans="2:41">
      <c r="B289" s="416" t="s">
        <v>520</v>
      </c>
      <c r="C289" s="416" t="s">
        <v>533</v>
      </c>
      <c r="D289" s="416"/>
      <c r="E289" s="419" t="str">
        <f t="shared" si="368"/>
        <v>Domestic newAnnual InstallationsMAX Uptake</v>
      </c>
      <c r="F289" s="480">
        <v>0</v>
      </c>
      <c r="G289" s="480">
        <v>913.90435461662673</v>
      </c>
      <c r="H289" s="480">
        <v>1827.8087497617976</v>
      </c>
      <c r="I289" s="480">
        <v>2741.7127992478199</v>
      </c>
      <c r="J289" s="480">
        <v>3655.6169402633082</v>
      </c>
      <c r="K289" s="480">
        <v>9136.3736509952632</v>
      </c>
      <c r="L289" s="480">
        <v>8229.0030684179128</v>
      </c>
      <c r="M289" s="480">
        <v>17650.398693465821</v>
      </c>
      <c r="N289" s="480">
        <v>20344.304420382563</v>
      </c>
      <c r="O289" s="480">
        <v>25842.769927984755</v>
      </c>
      <c r="P289" s="480">
        <v>32688.672435668599</v>
      </c>
      <c r="Q289" s="480">
        <v>27681.32858705728</v>
      </c>
      <c r="R289" s="480">
        <v>29639.700884398626</v>
      </c>
      <c r="S289" s="480">
        <v>32230.739558524547</v>
      </c>
      <c r="T289" s="480">
        <v>34660.398244486641</v>
      </c>
      <c r="U289" s="480">
        <v>37062.709915676503</v>
      </c>
      <c r="V289" s="480">
        <v>0</v>
      </c>
      <c r="W289" s="480">
        <v>0</v>
      </c>
      <c r="X289" s="480">
        <v>0</v>
      </c>
      <c r="Y289" s="480">
        <v>0</v>
      </c>
      <c r="Z289" s="480">
        <v>0</v>
      </c>
      <c r="AA289" s="480">
        <v>0</v>
      </c>
      <c r="AB289" s="480">
        <v>0</v>
      </c>
      <c r="AC289" s="480">
        <v>0</v>
      </c>
      <c r="AD289" s="480">
        <v>0</v>
      </c>
      <c r="AE289" s="480">
        <v>0</v>
      </c>
      <c r="AF289" s="480">
        <v>0</v>
      </c>
      <c r="AG289" s="480">
        <v>0</v>
      </c>
      <c r="AH289" s="480">
        <v>0</v>
      </c>
      <c r="AI289" s="480">
        <v>0</v>
      </c>
      <c r="AJ289" s="480">
        <v>0</v>
      </c>
      <c r="AK289" s="480">
        <v>0</v>
      </c>
      <c r="AL289" s="480">
        <v>0</v>
      </c>
      <c r="AM289" s="480">
        <v>0</v>
      </c>
      <c r="AN289" s="480">
        <v>0</v>
      </c>
      <c r="AO289" s="480">
        <v>0</v>
      </c>
    </row>
    <row r="290" spans="2:41">
      <c r="B290" s="416" t="s">
        <v>522</v>
      </c>
      <c r="C290" s="416" t="s">
        <v>533</v>
      </c>
      <c r="D290" s="416"/>
      <c r="E290" s="419" t="str">
        <f t="shared" si="368"/>
        <v>Non-domestic existingAnnual InstallationsMAX Uptake</v>
      </c>
      <c r="F290" s="480">
        <v>325.42371773145987</v>
      </c>
      <c r="G290" s="480">
        <v>325.42361574579047</v>
      </c>
      <c r="H290" s="480">
        <v>325.09797598952423</v>
      </c>
      <c r="I290" s="480">
        <v>324.77229047256014</v>
      </c>
      <c r="J290" s="480">
        <v>324.44663240957004</v>
      </c>
      <c r="K290" s="480">
        <v>1970.2940311947696</v>
      </c>
      <c r="L290" s="480">
        <v>2087.9824282070231</v>
      </c>
      <c r="M290" s="480">
        <v>2237.0358656990188</v>
      </c>
      <c r="N290" s="480">
        <v>2272.8563587614631</v>
      </c>
      <c r="O290" s="480">
        <v>2580.6640709215762</v>
      </c>
      <c r="P290" s="480">
        <v>2883.7303872867215</v>
      </c>
      <c r="Q290" s="480">
        <v>7581.7397923721892</v>
      </c>
      <c r="R290" s="480">
        <v>7516.6239886438725</v>
      </c>
      <c r="S290" s="480">
        <v>7608.8207539573732</v>
      </c>
      <c r="T290" s="480">
        <v>7652.4748349279016</v>
      </c>
      <c r="U290" s="480">
        <v>7684.2133296684606</v>
      </c>
      <c r="V290" s="480">
        <v>0</v>
      </c>
      <c r="W290" s="480">
        <v>0</v>
      </c>
      <c r="X290" s="480">
        <v>0</v>
      </c>
      <c r="Y290" s="480">
        <v>0</v>
      </c>
      <c r="Z290" s="480">
        <v>0</v>
      </c>
      <c r="AA290" s="480">
        <v>0</v>
      </c>
      <c r="AB290" s="480">
        <v>0</v>
      </c>
      <c r="AC290" s="480">
        <v>0</v>
      </c>
      <c r="AD290" s="480">
        <v>0</v>
      </c>
      <c r="AE290" s="480">
        <v>0</v>
      </c>
      <c r="AF290" s="480">
        <v>0</v>
      </c>
      <c r="AG290" s="480">
        <v>0</v>
      </c>
      <c r="AH290" s="480">
        <v>0</v>
      </c>
      <c r="AI290" s="480">
        <v>0</v>
      </c>
      <c r="AJ290" s="480">
        <v>0</v>
      </c>
      <c r="AK290" s="480">
        <v>0</v>
      </c>
      <c r="AL290" s="480">
        <v>0</v>
      </c>
      <c r="AM290" s="480">
        <v>0</v>
      </c>
      <c r="AN290" s="480">
        <v>0</v>
      </c>
      <c r="AO290" s="480">
        <v>0</v>
      </c>
    </row>
    <row r="291" spans="2:41">
      <c r="B291" s="416" t="s">
        <v>524</v>
      </c>
      <c r="C291" s="416" t="s">
        <v>533</v>
      </c>
      <c r="D291" s="416"/>
      <c r="E291" s="419" t="str">
        <f t="shared" si="368"/>
        <v>Non-domestic newAnnual InstallationsMAX Uptake</v>
      </c>
      <c r="F291" s="480">
        <v>0</v>
      </c>
      <c r="G291" s="480">
        <v>61.451169011218184</v>
      </c>
      <c r="H291" s="480">
        <v>122.90234074758713</v>
      </c>
      <c r="I291" s="480">
        <v>184.3534892417415</v>
      </c>
      <c r="J291" s="480">
        <v>245.80464389036555</v>
      </c>
      <c r="K291" s="480">
        <v>614.33216565913767</v>
      </c>
      <c r="L291" s="480">
        <v>651.67313453619056</v>
      </c>
      <c r="M291" s="480">
        <v>1397.7744991406057</v>
      </c>
      <c r="N291" s="480">
        <v>1611.1109111711655</v>
      </c>
      <c r="O291" s="480">
        <v>2046.5466769239081</v>
      </c>
      <c r="P291" s="480">
        <v>2588.6889885525766</v>
      </c>
      <c r="Q291" s="480">
        <v>1989.5634158648481</v>
      </c>
      <c r="R291" s="480">
        <v>2130.3191554305486</v>
      </c>
      <c r="S291" s="480">
        <v>2316.54705771207</v>
      </c>
      <c r="T291" s="480">
        <v>2491.1759603467262</v>
      </c>
      <c r="U291" s="480">
        <v>2663.8393279836964</v>
      </c>
      <c r="V291" s="480">
        <v>0</v>
      </c>
      <c r="W291" s="480">
        <v>0</v>
      </c>
      <c r="X291" s="480">
        <v>0</v>
      </c>
      <c r="Y291" s="480">
        <v>0</v>
      </c>
      <c r="Z291" s="480">
        <v>0</v>
      </c>
      <c r="AA291" s="480">
        <v>0</v>
      </c>
      <c r="AB291" s="480">
        <v>0</v>
      </c>
      <c r="AC291" s="480">
        <v>0</v>
      </c>
      <c r="AD291" s="480">
        <v>0</v>
      </c>
      <c r="AE291" s="480">
        <v>0</v>
      </c>
      <c r="AF291" s="480">
        <v>0</v>
      </c>
      <c r="AG291" s="480">
        <v>0</v>
      </c>
      <c r="AH291" s="480">
        <v>0</v>
      </c>
      <c r="AI291" s="480">
        <v>0</v>
      </c>
      <c r="AJ291" s="480">
        <v>0</v>
      </c>
      <c r="AK291" s="480">
        <v>0</v>
      </c>
      <c r="AL291" s="480">
        <v>0</v>
      </c>
      <c r="AM291" s="480">
        <v>0</v>
      </c>
      <c r="AN291" s="480">
        <v>0</v>
      </c>
      <c r="AO291" s="480">
        <v>0</v>
      </c>
    </row>
    <row r="292" spans="2:41">
      <c r="E292" s="78"/>
    </row>
    <row r="293" spans="2:41">
      <c r="B293" s="50" t="s">
        <v>561</v>
      </c>
      <c r="E293" s="78"/>
    </row>
    <row r="294" spans="2:41">
      <c r="B294" s="415" t="s">
        <v>530</v>
      </c>
      <c r="C294" s="415" t="s">
        <v>531</v>
      </c>
      <c r="D294" s="415"/>
      <c r="E294" s="417" t="s">
        <v>592</v>
      </c>
      <c r="F294" s="479">
        <v>0.32394456950417921</v>
      </c>
      <c r="G294" s="479">
        <v>0.34407304646650011</v>
      </c>
      <c r="H294" s="479">
        <v>0.36686179406941821</v>
      </c>
      <c r="I294" s="479">
        <v>0.39231081231293363</v>
      </c>
      <c r="J294" s="479">
        <v>0.42042010119704631</v>
      </c>
      <c r="K294" s="479">
        <v>0.55183711854413731</v>
      </c>
      <c r="L294" s="479">
        <v>0.6663878224060561</v>
      </c>
      <c r="M294" s="479">
        <v>0.79896265868280569</v>
      </c>
      <c r="N294" s="479">
        <v>0.93304339178371676</v>
      </c>
      <c r="O294" s="479">
        <v>1.0687087767092252</v>
      </c>
      <c r="P294" s="479">
        <v>1.2060240976573113</v>
      </c>
      <c r="Q294" s="479">
        <v>1.4835418118117971</v>
      </c>
      <c r="R294" s="479">
        <v>1.7541477944118147</v>
      </c>
      <c r="S294" s="479">
        <v>2.0185880989584324</v>
      </c>
      <c r="T294" s="479">
        <v>2.2774499939915489</v>
      </c>
      <c r="U294" s="479">
        <v>2.5310910743158668</v>
      </c>
      <c r="V294" s="479">
        <v>2.800092774907796</v>
      </c>
      <c r="W294" s="479">
        <v>3.0636426960565952</v>
      </c>
      <c r="X294" s="479">
        <v>3.3098431048582482</v>
      </c>
      <c r="Y294" s="479">
        <v>3.5489707846960683</v>
      </c>
      <c r="Z294" s="479">
        <v>3.7847160798824073</v>
      </c>
      <c r="AA294" s="479">
        <v>4.0138612025306193</v>
      </c>
      <c r="AB294" s="479">
        <v>4.2359927539052364</v>
      </c>
      <c r="AC294" s="479">
        <v>4.4558025590079922</v>
      </c>
      <c r="AD294" s="479">
        <v>4.6694016075712872</v>
      </c>
      <c r="AE294" s="479">
        <v>4.8768186838415586</v>
      </c>
      <c r="AF294" s="479">
        <v>5.1337726748274326</v>
      </c>
      <c r="AG294" s="479">
        <v>5.3907541027998835</v>
      </c>
      <c r="AH294" s="479">
        <v>5.6477928934209141</v>
      </c>
      <c r="AI294" s="479">
        <v>5.9049189332047689</v>
      </c>
      <c r="AJ294" s="481">
        <v>6.1621620883861787</v>
      </c>
      <c r="AK294" s="481">
        <v>6.194849740447677</v>
      </c>
      <c r="AL294" s="481">
        <v>6.2277745302894933</v>
      </c>
      <c r="AM294" s="481">
        <v>6.2609362199528231</v>
      </c>
      <c r="AN294" s="481">
        <v>6.2943346563421461</v>
      </c>
      <c r="AO294" s="481">
        <v>6.3279697713426302</v>
      </c>
    </row>
    <row r="295" spans="2:41">
      <c r="B295" s="415" t="s">
        <v>532</v>
      </c>
      <c r="C295" s="415" t="s">
        <v>531</v>
      </c>
      <c r="D295" s="415"/>
      <c r="E295" s="417" t="s">
        <v>593</v>
      </c>
      <c r="F295" s="479">
        <v>0.47822810410693289</v>
      </c>
      <c r="G295" s="479">
        <v>0.49742387486407008</v>
      </c>
      <c r="H295" s="479">
        <v>0.51735510366135862</v>
      </c>
      <c r="I295" s="479">
        <v>0.53802179049879917</v>
      </c>
      <c r="J295" s="479">
        <v>0.5594239353763909</v>
      </c>
      <c r="K295" s="479">
        <v>0.67852220565722465</v>
      </c>
      <c r="L295" s="479">
        <v>0.76693454757717894</v>
      </c>
      <c r="M295" s="479">
        <v>0.85406774087994519</v>
      </c>
      <c r="N295" s="479">
        <v>0.93439412146057799</v>
      </c>
      <c r="O295" s="479">
        <v>1.0079418559973463</v>
      </c>
      <c r="P295" s="479">
        <v>1.0738054787012203</v>
      </c>
      <c r="Q295" s="479">
        <v>1.2701123492522233</v>
      </c>
      <c r="R295" s="479">
        <v>1.4448040705864511</v>
      </c>
      <c r="S295" s="479">
        <v>1.5982815256678216</v>
      </c>
      <c r="T295" s="479">
        <v>1.7310461393672572</v>
      </c>
      <c r="U295" s="479">
        <v>1.8434488240289171</v>
      </c>
      <c r="V295" s="479">
        <v>2.0298262677723247</v>
      </c>
      <c r="W295" s="479">
        <v>2.205557725308751</v>
      </c>
      <c r="X295" s="479">
        <v>2.3704579719537211</v>
      </c>
      <c r="Y295" s="479">
        <v>2.5242890818550272</v>
      </c>
      <c r="Z295" s="479">
        <v>2.664345068606246</v>
      </c>
      <c r="AA295" s="479">
        <v>2.793285356872123</v>
      </c>
      <c r="AB295" s="479">
        <v>2.9111256690925997</v>
      </c>
      <c r="AC295" s="479">
        <v>3.0179316245231051</v>
      </c>
      <c r="AD295" s="479">
        <v>3.1137470991938998</v>
      </c>
      <c r="AE295" s="479">
        <v>3.1986163598702277</v>
      </c>
      <c r="AF295" s="479">
        <v>3.3786896630547951</v>
      </c>
      <c r="AG295" s="479">
        <v>3.5589305969377252</v>
      </c>
      <c r="AH295" s="479">
        <v>3.7393424747893373</v>
      </c>
      <c r="AI295" s="479">
        <v>3.9199285857489854</v>
      </c>
      <c r="AJ295" s="481">
        <v>4.10069221787146</v>
      </c>
      <c r="AK295" s="481">
        <v>4.1252050174775521</v>
      </c>
      <c r="AL295" s="481">
        <v>4.1497470347153911</v>
      </c>
      <c r="AM295" s="481">
        <v>4.1743179464735487</v>
      </c>
      <c r="AN295" s="481">
        <v>4.1989175504439658</v>
      </c>
      <c r="AO295" s="481">
        <v>4.223545764481238</v>
      </c>
    </row>
    <row r="296" spans="2:41">
      <c r="B296" s="416" t="s">
        <v>518</v>
      </c>
      <c r="C296" s="416" t="s">
        <v>531</v>
      </c>
      <c r="D296" s="416"/>
      <c r="E296" s="420" t="s">
        <v>594</v>
      </c>
      <c r="F296" s="479">
        <v>0.32394456950417921</v>
      </c>
      <c r="G296" s="479">
        <v>0.34141277582590279</v>
      </c>
      <c r="H296" s="479">
        <v>0.35888098214762643</v>
      </c>
      <c r="I296" s="479">
        <v>0.37634918846935</v>
      </c>
      <c r="J296" s="479">
        <v>0.39381739479107369</v>
      </c>
      <c r="K296" s="479">
        <v>0.49862663272141533</v>
      </c>
      <c r="L296" s="479">
        <v>0.59061895735137637</v>
      </c>
      <c r="M296" s="479">
        <v>0.67807033799491279</v>
      </c>
      <c r="N296" s="479">
        <v>0.76102590356393551</v>
      </c>
      <c r="O296" s="479">
        <v>0.8395628894390994</v>
      </c>
      <c r="P296" s="479">
        <v>0.91374561843334468</v>
      </c>
      <c r="Q296" s="479">
        <v>1.1357677314217081</v>
      </c>
      <c r="R296" s="479">
        <v>1.3465021201542677</v>
      </c>
      <c r="S296" s="479">
        <v>1.5466947485043976</v>
      </c>
      <c r="T296" s="479">
        <v>1.7369328159346724</v>
      </c>
      <c r="U296" s="479">
        <v>1.9175738631522723</v>
      </c>
      <c r="V296" s="479">
        <v>2.1529288533666113</v>
      </c>
      <c r="W296" s="479">
        <v>2.382833092687286</v>
      </c>
      <c r="X296" s="479">
        <v>2.5953887764849597</v>
      </c>
      <c r="Y296" s="479">
        <v>2.8008726229350978</v>
      </c>
      <c r="Z296" s="479">
        <v>3.0029749169358348</v>
      </c>
      <c r="AA296" s="479">
        <v>3.1984778163504801</v>
      </c>
      <c r="AB296" s="479">
        <v>3.3869678728085426</v>
      </c>
      <c r="AC296" s="479">
        <v>3.5731368658112372</v>
      </c>
      <c r="AD296" s="479">
        <v>3.7530957433032266</v>
      </c>
      <c r="AE296" s="479">
        <v>3.9268732510848707</v>
      </c>
      <c r="AF296" s="479">
        <v>4.1501882407328958</v>
      </c>
      <c r="AG296" s="479">
        <v>4.3735312018108417</v>
      </c>
      <c r="AH296" s="479">
        <v>4.5969320297408105</v>
      </c>
      <c r="AI296" s="479">
        <v>4.8204205830362987</v>
      </c>
      <c r="AJ296" s="479">
        <v>5.0440267019669491</v>
      </c>
      <c r="AK296" s="479">
        <v>5.0430777439041901</v>
      </c>
      <c r="AL296" s="479">
        <v>5.0423663273285442</v>
      </c>
      <c r="AM296" s="479">
        <v>5.041892193407147</v>
      </c>
      <c r="AN296" s="479">
        <v>5.0416551695851135</v>
      </c>
      <c r="AO296" s="479">
        <v>5.0416551695851135</v>
      </c>
    </row>
    <row r="297" spans="2:41">
      <c r="B297" s="416" t="s">
        <v>520</v>
      </c>
      <c r="C297" s="416" t="s">
        <v>531</v>
      </c>
      <c r="D297" s="416"/>
      <c r="E297" s="420" t="s">
        <v>595</v>
      </c>
      <c r="F297" s="479">
        <v>0</v>
      </c>
      <c r="G297" s="479">
        <v>2.6602706405972668E-3</v>
      </c>
      <c r="H297" s="479">
        <v>7.9808119217917913E-3</v>
      </c>
      <c r="I297" s="479">
        <v>1.5961623843583614E-2</v>
      </c>
      <c r="J297" s="479">
        <v>2.6602706405972659E-2</v>
      </c>
      <c r="K297" s="479">
        <v>5.3210485822721976E-2</v>
      </c>
      <c r="L297" s="479">
        <v>7.5768865054679599E-2</v>
      </c>
      <c r="M297" s="479">
        <v>0.12089232068789277</v>
      </c>
      <c r="N297" s="479">
        <v>0.1720174882197813</v>
      </c>
      <c r="O297" s="479">
        <v>0.2291458872701258</v>
      </c>
      <c r="P297" s="479">
        <v>0.29227847922396655</v>
      </c>
      <c r="Q297" s="479">
        <v>0.347774080390089</v>
      </c>
      <c r="R297" s="479">
        <v>0.40764567425754672</v>
      </c>
      <c r="S297" s="479">
        <v>0.47189335045403497</v>
      </c>
      <c r="T297" s="479">
        <v>0.54051717805687682</v>
      </c>
      <c r="U297" s="479">
        <v>0.6135172111635947</v>
      </c>
      <c r="V297" s="479">
        <v>0.64716392154118429</v>
      </c>
      <c r="W297" s="479">
        <v>0.68080960336931007</v>
      </c>
      <c r="X297" s="479">
        <v>0.71445432837328882</v>
      </c>
      <c r="Y297" s="479">
        <v>0.74809816176097144</v>
      </c>
      <c r="Z297" s="479">
        <v>0.78174116294657181</v>
      </c>
      <c r="AA297" s="479">
        <v>0.81538338618013906</v>
      </c>
      <c r="AB297" s="479">
        <v>0.84902488109669327</v>
      </c>
      <c r="AC297" s="479">
        <v>0.88266569319675514</v>
      </c>
      <c r="AD297" s="479">
        <v>0.91630586426806082</v>
      </c>
      <c r="AE297" s="479">
        <v>0.94994543275668819</v>
      </c>
      <c r="AF297" s="479">
        <v>0.98358443409453633</v>
      </c>
      <c r="AG297" s="479">
        <v>1.0172229009890426</v>
      </c>
      <c r="AH297" s="479">
        <v>1.0508608636801042</v>
      </c>
      <c r="AI297" s="479">
        <v>1.0844983501684713</v>
      </c>
      <c r="AJ297" s="479">
        <v>1.1181353864192289</v>
      </c>
      <c r="AK297" s="479">
        <v>1.1517719965434863</v>
      </c>
      <c r="AL297" s="479">
        <v>1.1854082029609485</v>
      </c>
      <c r="AM297" s="479">
        <v>1.219044026545677</v>
      </c>
      <c r="AN297" s="479">
        <v>1.2526794867570319</v>
      </c>
      <c r="AO297" s="479">
        <v>1.2863146017575178</v>
      </c>
    </row>
    <row r="298" spans="2:41">
      <c r="B298" s="416" t="s">
        <v>522</v>
      </c>
      <c r="C298" s="416" t="s">
        <v>531</v>
      </c>
      <c r="D298" s="416"/>
      <c r="E298" s="420" t="s">
        <v>596</v>
      </c>
      <c r="F298" s="479">
        <v>0.47822810410693289</v>
      </c>
      <c r="G298" s="479">
        <v>0.49667276096638613</v>
      </c>
      <c r="H298" s="479">
        <v>0.51510176196830704</v>
      </c>
      <c r="I298" s="479">
        <v>0.53351510711269579</v>
      </c>
      <c r="J298" s="479">
        <v>0.55191279639955204</v>
      </c>
      <c r="K298" s="479">
        <v>0.66346218881138264</v>
      </c>
      <c r="L298" s="479">
        <v>0.74430678340991474</v>
      </c>
      <c r="M298" s="479">
        <v>0.81630987333232119</v>
      </c>
      <c r="N298" s="479">
        <v>0.87947038322427507</v>
      </c>
      <c r="O298" s="479">
        <v>0.93381902563667407</v>
      </c>
      <c r="P298" s="479">
        <v>0.97845186230261405</v>
      </c>
      <c r="Q298" s="479">
        <v>1.1574964179753051</v>
      </c>
      <c r="R298" s="479">
        <v>1.3135590788798348</v>
      </c>
      <c r="S298" s="479">
        <v>1.4470407708950137</v>
      </c>
      <c r="T298" s="479">
        <v>1.5584429500107808</v>
      </c>
      <c r="U298" s="479">
        <v>1.6481165516480496</v>
      </c>
      <c r="V298" s="479">
        <v>1.8117600946776697</v>
      </c>
      <c r="W298" s="479">
        <v>1.9647535435088093</v>
      </c>
      <c r="X298" s="479">
        <v>2.1069122498048909</v>
      </c>
      <c r="Y298" s="479">
        <v>2.237998760729524</v>
      </c>
      <c r="Z298" s="479">
        <v>2.3553074817931683</v>
      </c>
      <c r="AA298" s="479">
        <v>2.461498165191689</v>
      </c>
      <c r="AB298" s="479">
        <v>2.5565868092432784</v>
      </c>
      <c r="AC298" s="479">
        <v>2.6406392672477836</v>
      </c>
      <c r="AD298" s="479">
        <v>2.7136996151023784</v>
      </c>
      <c r="AE298" s="479">
        <v>2.7758122912925667</v>
      </c>
      <c r="AF298" s="479">
        <v>2.9331277006896439</v>
      </c>
      <c r="AG298" s="479">
        <v>3.0906095603460422</v>
      </c>
      <c r="AH298" s="479">
        <v>3.2482612959966297</v>
      </c>
      <c r="AI298" s="479">
        <v>3.4060862953791049</v>
      </c>
      <c r="AJ298" s="479">
        <v>3.5640879333563524</v>
      </c>
      <c r="AK298" s="479">
        <v>3.5658379329803673</v>
      </c>
      <c r="AL298" s="479">
        <v>3.5676164124762479</v>
      </c>
      <c r="AM298" s="479">
        <v>3.5694231093432722</v>
      </c>
      <c r="AN298" s="479">
        <v>3.5712578754151361</v>
      </c>
      <c r="AO298" s="479">
        <v>3.5731206770606798</v>
      </c>
    </row>
    <row r="299" spans="2:41">
      <c r="B299" s="416" t="s">
        <v>524</v>
      </c>
      <c r="C299" s="416" t="s">
        <v>531</v>
      </c>
      <c r="D299" s="416"/>
      <c r="E299" s="420" t="s">
        <v>597</v>
      </c>
      <c r="F299" s="479">
        <v>0</v>
      </c>
      <c r="G299" s="479">
        <v>7.5111389768388749E-4</v>
      </c>
      <c r="H299" s="479">
        <v>2.2533416930516637E-3</v>
      </c>
      <c r="I299" s="479">
        <v>4.5066833861033273E-3</v>
      </c>
      <c r="J299" s="479">
        <v>7.5111389768388803E-3</v>
      </c>
      <c r="K299" s="479">
        <v>1.5060016845842074E-2</v>
      </c>
      <c r="L299" s="479">
        <v>2.2627764167264412E-2</v>
      </c>
      <c r="M299" s="479">
        <v>3.7757867547623995E-2</v>
      </c>
      <c r="N299" s="479">
        <v>5.4923738236302769E-2</v>
      </c>
      <c r="O299" s="479">
        <v>7.4122830360672215E-2</v>
      </c>
      <c r="P299" s="479">
        <v>9.5353616398606372E-2</v>
      </c>
      <c r="Q299" s="479">
        <v>0.11261593127691814</v>
      </c>
      <c r="R299" s="479">
        <v>0.13124499170661641</v>
      </c>
      <c r="S299" s="479">
        <v>0.1512407547728078</v>
      </c>
      <c r="T299" s="479">
        <v>0.17260318935647639</v>
      </c>
      <c r="U299" s="479">
        <v>0.19533227238086731</v>
      </c>
      <c r="V299" s="479">
        <v>0.21806617309465459</v>
      </c>
      <c r="W299" s="479">
        <v>0.24080418179994173</v>
      </c>
      <c r="X299" s="479">
        <v>0.26354572214883015</v>
      </c>
      <c r="Y299" s="479">
        <v>0.28629032112550307</v>
      </c>
      <c r="Z299" s="479">
        <v>0.30903758681307725</v>
      </c>
      <c r="AA299" s="479">
        <v>0.33178719168043347</v>
      </c>
      <c r="AB299" s="479">
        <v>0.35453885984932137</v>
      </c>
      <c r="AC299" s="479">
        <v>0.37729235727532195</v>
      </c>
      <c r="AD299" s="479">
        <v>0.40004748409152036</v>
      </c>
      <c r="AE299" s="479">
        <v>0.42280406857766095</v>
      </c>
      <c r="AF299" s="479">
        <v>0.44556196236515128</v>
      </c>
      <c r="AG299" s="479">
        <v>0.46832103659168284</v>
      </c>
      <c r="AH299" s="479">
        <v>0.49108117879270713</v>
      </c>
      <c r="AI299" s="479">
        <v>0.51384229036988061</v>
      </c>
      <c r="AJ299" s="479">
        <v>0.536604284515108</v>
      </c>
      <c r="AK299" s="479">
        <v>0.55936708449718464</v>
      </c>
      <c r="AL299" s="479">
        <v>0.58213062223914314</v>
      </c>
      <c r="AM299" s="479">
        <v>0.60489483713027636</v>
      </c>
      <c r="AN299" s="479">
        <v>0.62765967502883024</v>
      </c>
      <c r="AO299" s="479">
        <v>0.65042508742055827</v>
      </c>
    </row>
    <row r="300" spans="2:41">
      <c r="B300" s="416" t="s">
        <v>518</v>
      </c>
      <c r="C300" s="416" t="s">
        <v>533</v>
      </c>
      <c r="D300" s="416"/>
      <c r="E300" s="420" t="s">
        <v>598</v>
      </c>
      <c r="F300" s="480">
        <v>1759.0334849814608</v>
      </c>
      <c r="G300" s="480">
        <v>1759.0334849814608</v>
      </c>
      <c r="H300" s="480">
        <v>1759.0334849814681</v>
      </c>
      <c r="I300" s="480">
        <v>1759.0334849814608</v>
      </c>
      <c r="J300" s="480">
        <v>1759.0334849814535</v>
      </c>
      <c r="K300" s="480">
        <v>10554.200909888779</v>
      </c>
      <c r="L300" s="480">
        <v>10554.200909888765</v>
      </c>
      <c r="M300" s="480">
        <v>10554.200909888779</v>
      </c>
      <c r="N300" s="480">
        <v>10554.200909888765</v>
      </c>
      <c r="O300" s="480">
        <v>10554.200909888779</v>
      </c>
      <c r="P300" s="480">
        <v>10554.20090988875</v>
      </c>
      <c r="Q300" s="480">
        <v>28144.535759703402</v>
      </c>
      <c r="R300" s="480">
        <v>28144.535759703373</v>
      </c>
      <c r="S300" s="480">
        <v>28144.535759703373</v>
      </c>
      <c r="T300" s="480">
        <v>28144.535759703402</v>
      </c>
      <c r="U300" s="480">
        <v>28144.535759703373</v>
      </c>
      <c r="V300" s="480">
        <v>32835.291719653993</v>
      </c>
      <c r="W300" s="480">
        <v>32835.291719653876</v>
      </c>
      <c r="X300" s="480">
        <v>32835.291719653993</v>
      </c>
      <c r="Y300" s="480">
        <v>32835.291719653935</v>
      </c>
      <c r="Z300" s="480">
        <v>32835.291719653935</v>
      </c>
      <c r="AA300" s="480">
        <v>32835.291719653993</v>
      </c>
      <c r="AB300" s="480">
        <v>32835.291719653993</v>
      </c>
      <c r="AC300" s="480">
        <v>32835.291719653876</v>
      </c>
      <c r="AD300" s="480">
        <v>32835.291719653993</v>
      </c>
      <c r="AE300" s="480">
        <v>32835.291719653876</v>
      </c>
      <c r="AF300" s="480">
        <v>32835.291719653993</v>
      </c>
      <c r="AG300" s="480">
        <v>32835.291719653876</v>
      </c>
      <c r="AH300" s="480">
        <v>32835.291719653993</v>
      </c>
      <c r="AI300" s="480">
        <v>32835.291719653993</v>
      </c>
      <c r="AJ300" s="480">
        <v>32835.291719653993</v>
      </c>
      <c r="AK300" s="480">
        <v>0</v>
      </c>
      <c r="AL300" s="480">
        <v>0</v>
      </c>
      <c r="AM300" s="480">
        <v>0</v>
      </c>
      <c r="AN300" s="480">
        <v>0</v>
      </c>
      <c r="AO300" s="480">
        <v>0</v>
      </c>
    </row>
    <row r="301" spans="2:41">
      <c r="B301" s="416" t="s">
        <v>520</v>
      </c>
      <c r="C301" s="416" t="s">
        <v>533</v>
      </c>
      <c r="D301" s="416"/>
      <c r="E301" s="420" t="s">
        <v>599</v>
      </c>
      <c r="F301" s="480">
        <v>0</v>
      </c>
      <c r="G301" s="480">
        <v>913.90426917801619</v>
      </c>
      <c r="H301" s="480">
        <v>1827.8085383560217</v>
      </c>
      <c r="I301" s="480">
        <v>2741.7128075340652</v>
      </c>
      <c r="J301" s="480">
        <v>3655.6170767120457</v>
      </c>
      <c r="K301" s="480">
        <v>9139.0426917802142</v>
      </c>
      <c r="L301" s="480">
        <v>7759.7461714632082</v>
      </c>
      <c r="M301" s="480">
        <v>15519.492342926416</v>
      </c>
      <c r="N301" s="480">
        <v>17588.757988650061</v>
      </c>
      <c r="O301" s="480">
        <v>19658.023634373589</v>
      </c>
      <c r="P301" s="480">
        <v>21727.289280097131</v>
      </c>
      <c r="Q301" s="480">
        <v>19103.9613151706</v>
      </c>
      <c r="R301" s="480">
        <v>20612.168787421251</v>
      </c>
      <c r="S301" s="480">
        <v>22120.376259671204</v>
      </c>
      <c r="T301" s="480">
        <v>23628.583731921943</v>
      </c>
      <c r="U301" s="480">
        <v>25136.79120417143</v>
      </c>
      <c r="V301" s="480">
        <v>11585.598736463551</v>
      </c>
      <c r="W301" s="480">
        <v>11585.598736463959</v>
      </c>
      <c r="X301" s="480">
        <v>11585.59873646358</v>
      </c>
      <c r="Y301" s="480">
        <v>11585.598736463959</v>
      </c>
      <c r="Z301" s="480">
        <v>11585.598736463551</v>
      </c>
      <c r="AA301" s="480">
        <v>11585.59873646358</v>
      </c>
      <c r="AB301" s="480">
        <v>11585.59873646393</v>
      </c>
      <c r="AC301" s="480">
        <v>11585.598736463522</v>
      </c>
      <c r="AD301" s="480">
        <v>11585.59873646358</v>
      </c>
      <c r="AE301" s="480">
        <v>11585.59873646358</v>
      </c>
      <c r="AF301" s="480">
        <v>11585.59873646393</v>
      </c>
      <c r="AG301" s="480">
        <v>11585.598736464046</v>
      </c>
      <c r="AH301" s="480">
        <v>11585.598736463988</v>
      </c>
      <c r="AI301" s="480">
        <v>11585.59873646393</v>
      </c>
      <c r="AJ301" s="480">
        <v>11585.598736464395</v>
      </c>
      <c r="AK301" s="480">
        <v>11585.598736464453</v>
      </c>
      <c r="AL301" s="480">
        <v>11585.59873646393</v>
      </c>
      <c r="AM301" s="480">
        <v>11585.598736463988</v>
      </c>
      <c r="AN301" s="480">
        <v>11585.598736464453</v>
      </c>
      <c r="AO301" s="480">
        <v>11585.598736463522</v>
      </c>
    </row>
    <row r="302" spans="2:41">
      <c r="B302" s="416" t="s">
        <v>522</v>
      </c>
      <c r="C302" s="416" t="s">
        <v>533</v>
      </c>
      <c r="D302" s="416"/>
      <c r="E302" s="420" t="s">
        <v>600</v>
      </c>
      <c r="F302" s="480">
        <v>325.4235853227583</v>
      </c>
      <c r="G302" s="480">
        <v>325.4235853227583</v>
      </c>
      <c r="H302" s="480">
        <v>325.09793838844053</v>
      </c>
      <c r="I302" s="480">
        <v>324.77229145411548</v>
      </c>
      <c r="J302" s="480">
        <v>324.44664451979224</v>
      </c>
      <c r="K302" s="480">
        <v>1970.8696200803042</v>
      </c>
      <c r="L302" s="480">
        <v>1968.9157384743685</v>
      </c>
      <c r="M302" s="480">
        <v>1966.9618568684327</v>
      </c>
      <c r="N302" s="480">
        <v>1965.0079752624952</v>
      </c>
      <c r="O302" s="480">
        <v>1963.0540936565594</v>
      </c>
      <c r="P302" s="480">
        <v>1916.7387251253967</v>
      </c>
      <c r="Q302" s="480">
        <v>5232.4534655063508</v>
      </c>
      <c r="R302" s="480">
        <v>5227.2431145571791</v>
      </c>
      <c r="S302" s="480">
        <v>5222.0327636080183</v>
      </c>
      <c r="T302" s="480">
        <v>5216.8224126588539</v>
      </c>
      <c r="U302" s="480">
        <v>5211.6120617096894</v>
      </c>
      <c r="V302" s="480">
        <v>6078.1547040713194</v>
      </c>
      <c r="W302" s="480">
        <v>6072.0759612972906</v>
      </c>
      <c r="X302" s="480">
        <v>6065.9972185232618</v>
      </c>
      <c r="Y302" s="480">
        <v>6059.9184757492621</v>
      </c>
      <c r="Z302" s="480">
        <v>6053.8397329752042</v>
      </c>
      <c r="AA302" s="480">
        <v>6047.7609902012045</v>
      </c>
      <c r="AB302" s="480">
        <v>6041.6822474271758</v>
      </c>
      <c r="AC302" s="480">
        <v>6035.603504653147</v>
      </c>
      <c r="AD302" s="480">
        <v>6029.5247618791182</v>
      </c>
      <c r="AE302" s="480">
        <v>6023.4460191050748</v>
      </c>
      <c r="AF302" s="480">
        <v>6017.3672763310751</v>
      </c>
      <c r="AG302" s="480">
        <v>6011.2885335570463</v>
      </c>
      <c r="AH302" s="480">
        <v>6005.2097907830321</v>
      </c>
      <c r="AI302" s="480">
        <v>5999.1310480090178</v>
      </c>
      <c r="AJ302" s="480">
        <v>5993.0523052349454</v>
      </c>
      <c r="AK302" s="480">
        <v>0</v>
      </c>
      <c r="AL302" s="480">
        <v>0</v>
      </c>
      <c r="AM302" s="480">
        <v>0</v>
      </c>
      <c r="AN302" s="480">
        <v>0</v>
      </c>
      <c r="AO302" s="480">
        <v>0</v>
      </c>
    </row>
    <row r="303" spans="2:41">
      <c r="B303" s="416" t="s">
        <v>524</v>
      </c>
      <c r="C303" s="416" t="s">
        <v>533</v>
      </c>
      <c r="D303" s="416"/>
      <c r="E303" s="420" t="s">
        <v>601</v>
      </c>
      <c r="F303" s="480">
        <v>0</v>
      </c>
      <c r="G303" s="480">
        <v>61.451163266303546</v>
      </c>
      <c r="H303" s="480">
        <v>122.90232653260719</v>
      </c>
      <c r="I303" s="480">
        <v>184.3534897989108</v>
      </c>
      <c r="J303" s="480">
        <v>245.8046530652145</v>
      </c>
      <c r="K303" s="480">
        <v>614.51163266303718</v>
      </c>
      <c r="L303" s="480">
        <v>614.51163266303706</v>
      </c>
      <c r="M303" s="480">
        <v>1229.0232653260744</v>
      </c>
      <c r="N303" s="480">
        <v>1392.8930340362181</v>
      </c>
      <c r="O303" s="480">
        <v>1556.7628027463606</v>
      </c>
      <c r="P303" s="480">
        <v>1720.6325714565064</v>
      </c>
      <c r="Q303" s="480">
        <v>1373.0750824052593</v>
      </c>
      <c r="R303" s="480">
        <v>1481.4757468056705</v>
      </c>
      <c r="S303" s="480">
        <v>1589.8764112060926</v>
      </c>
      <c r="T303" s="480">
        <v>1698.2770756065074</v>
      </c>
      <c r="U303" s="480">
        <v>1806.6777400069204</v>
      </c>
      <c r="V303" s="480">
        <v>1806.6777400069204</v>
      </c>
      <c r="W303" s="480">
        <v>1806.6777400069222</v>
      </c>
      <c r="X303" s="480">
        <v>1806.6777400069186</v>
      </c>
      <c r="Y303" s="480">
        <v>1806.6777400069222</v>
      </c>
      <c r="Z303" s="480">
        <v>1806.6777400069222</v>
      </c>
      <c r="AA303" s="480">
        <v>1806.677740006915</v>
      </c>
      <c r="AB303" s="480">
        <v>1806.6777400069259</v>
      </c>
      <c r="AC303" s="480">
        <v>1806.6777400069259</v>
      </c>
      <c r="AD303" s="480">
        <v>1806.6777400069222</v>
      </c>
      <c r="AE303" s="480">
        <v>1806.677740006915</v>
      </c>
      <c r="AF303" s="480">
        <v>1806.6777400069259</v>
      </c>
      <c r="AG303" s="480">
        <v>1806.6777400069259</v>
      </c>
      <c r="AH303" s="480">
        <v>1806.6777400069186</v>
      </c>
      <c r="AI303" s="480">
        <v>1806.6777400069259</v>
      </c>
      <c r="AJ303" s="480">
        <v>1806.6777400069186</v>
      </c>
      <c r="AK303" s="480">
        <v>1806.6777400069259</v>
      </c>
      <c r="AL303" s="480">
        <v>1806.6777400069259</v>
      </c>
      <c r="AM303" s="480">
        <v>1806.6777400069113</v>
      </c>
      <c r="AN303" s="480">
        <v>1806.6777400069259</v>
      </c>
      <c r="AO303" s="480">
        <v>1806.6777400068459</v>
      </c>
    </row>
    <row r="305" spans="1:88" s="38" customFormat="1">
      <c r="A305"/>
      <c r="B305" s="116" t="s">
        <v>602</v>
      </c>
      <c r="C305" s="117" t="s">
        <v>603</v>
      </c>
      <c r="D305" s="118"/>
      <c r="E305" s="119"/>
      <c r="F305" s="120" t="s">
        <v>604</v>
      </c>
      <c r="H305" s="340" t="s">
        <v>602</v>
      </c>
      <c r="I305" s="341"/>
      <c r="J305" s="341"/>
      <c r="K305" s="341"/>
      <c r="L305" s="341"/>
      <c r="M305" s="341"/>
      <c r="N305" s="341"/>
      <c r="O305" s="341"/>
      <c r="P305" s="341"/>
      <c r="Q305" s="341"/>
      <c r="R305" s="341"/>
      <c r="S305" s="342"/>
      <c r="U305" s="340" t="s">
        <v>602</v>
      </c>
      <c r="V305" s="341"/>
      <c r="W305" s="341"/>
      <c r="X305" s="341"/>
      <c r="Y305" s="341"/>
      <c r="Z305" s="341"/>
      <c r="AA305" s="341"/>
      <c r="AB305" s="341"/>
      <c r="AC305" s="341"/>
      <c r="AD305" s="341"/>
      <c r="AE305" s="341"/>
      <c r="AF305" s="342"/>
      <c r="AG305" s="371"/>
      <c r="AI305" s="121" t="s">
        <v>602</v>
      </c>
      <c r="AJ305" s="122"/>
      <c r="AK305" s="122"/>
      <c r="AL305" s="122"/>
      <c r="AM305" s="122"/>
      <c r="AN305" s="122"/>
      <c r="AO305" s="122"/>
      <c r="AP305" s="122"/>
      <c r="AQ305" s="122"/>
      <c r="AR305" s="122"/>
      <c r="AS305" s="122"/>
      <c r="AT305" s="123"/>
      <c r="AV305" s="121" t="s">
        <v>602</v>
      </c>
      <c r="AW305" s="122"/>
      <c r="AX305" s="122"/>
      <c r="AY305" s="122"/>
      <c r="AZ305" s="122"/>
      <c r="BA305" s="122"/>
      <c r="BB305" s="122"/>
      <c r="BC305" s="122"/>
      <c r="BD305" s="122"/>
      <c r="BE305" s="122"/>
      <c r="BF305" s="122"/>
      <c r="BG305" s="123"/>
      <c r="BH305" s="376"/>
      <c r="BJ305" s="337" t="s">
        <v>602</v>
      </c>
      <c r="BK305" s="338"/>
      <c r="BL305" s="338"/>
      <c r="BM305" s="338"/>
      <c r="BN305" s="338"/>
      <c r="BO305" s="338"/>
      <c r="BP305" s="338"/>
      <c r="BQ305" s="338"/>
      <c r="BR305" s="338"/>
      <c r="BS305" s="338"/>
      <c r="BT305" s="338"/>
      <c r="BU305" s="339"/>
      <c r="BW305" s="337" t="s">
        <v>602</v>
      </c>
      <c r="BX305" s="338"/>
      <c r="BY305" s="338"/>
      <c r="BZ305" s="338"/>
      <c r="CA305" s="338"/>
      <c r="CB305" s="338"/>
      <c r="CC305" s="338"/>
      <c r="CD305" s="338"/>
      <c r="CE305" s="338"/>
      <c r="CF305" s="338"/>
      <c r="CG305" s="338"/>
      <c r="CH305" s="339"/>
      <c r="CI305" s="374"/>
    </row>
    <row r="306" spans="1:88" s="38" customFormat="1" ht="15" customHeight="1">
      <c r="A306"/>
      <c r="B306" s="124"/>
      <c r="C306" s="124"/>
      <c r="D306" s="124"/>
      <c r="E306" s="124"/>
      <c r="F306" s="125"/>
      <c r="H306" s="346" t="s">
        <v>605</v>
      </c>
      <c r="I306" s="347" t="s">
        <v>605</v>
      </c>
      <c r="J306" s="347" t="s">
        <v>605</v>
      </c>
      <c r="K306" s="347" t="s">
        <v>605</v>
      </c>
      <c r="L306" s="347" t="s">
        <v>605</v>
      </c>
      <c r="M306" s="347" t="s">
        <v>605</v>
      </c>
      <c r="N306" s="347" t="s">
        <v>605</v>
      </c>
      <c r="O306" s="347" t="s">
        <v>605</v>
      </c>
      <c r="P306" s="347" t="s">
        <v>605</v>
      </c>
      <c r="Q306" s="347" t="s">
        <v>605</v>
      </c>
      <c r="R306" s="347" t="s">
        <v>605</v>
      </c>
      <c r="S306" s="348" t="s">
        <v>605</v>
      </c>
      <c r="U306" s="346" t="s">
        <v>605</v>
      </c>
      <c r="V306" s="347" t="s">
        <v>605</v>
      </c>
      <c r="W306" s="347" t="s">
        <v>605</v>
      </c>
      <c r="X306" s="347" t="s">
        <v>605</v>
      </c>
      <c r="Y306" s="347" t="s">
        <v>605</v>
      </c>
      <c r="Z306" s="347" t="s">
        <v>605</v>
      </c>
      <c r="AA306" s="347" t="s">
        <v>605</v>
      </c>
      <c r="AB306" s="347" t="s">
        <v>605</v>
      </c>
      <c r="AC306" s="347" t="s">
        <v>605</v>
      </c>
      <c r="AD306" s="347" t="s">
        <v>605</v>
      </c>
      <c r="AE306" s="347" t="s">
        <v>605</v>
      </c>
      <c r="AF306" s="348" t="s">
        <v>605</v>
      </c>
      <c r="AG306" s="372" t="s">
        <v>606</v>
      </c>
      <c r="AI306" s="126" t="s">
        <v>607</v>
      </c>
      <c r="AJ306" s="127" t="s">
        <v>607</v>
      </c>
      <c r="AK306" s="127" t="s">
        <v>607</v>
      </c>
      <c r="AL306" s="127" t="s">
        <v>607</v>
      </c>
      <c r="AM306" s="127" t="s">
        <v>607</v>
      </c>
      <c r="AN306" s="127" t="s">
        <v>607</v>
      </c>
      <c r="AO306" s="127" t="s">
        <v>607</v>
      </c>
      <c r="AP306" s="127" t="s">
        <v>607</v>
      </c>
      <c r="AQ306" s="127" t="s">
        <v>607</v>
      </c>
      <c r="AR306" s="127" t="s">
        <v>607</v>
      </c>
      <c r="AS306" s="127" t="s">
        <v>607</v>
      </c>
      <c r="AT306" s="128" t="s">
        <v>607</v>
      </c>
      <c r="AV306" s="126" t="s">
        <v>607</v>
      </c>
      <c r="AW306" s="127" t="s">
        <v>607</v>
      </c>
      <c r="AX306" s="127" t="s">
        <v>607</v>
      </c>
      <c r="AY306" s="127" t="s">
        <v>607</v>
      </c>
      <c r="AZ306" s="127" t="s">
        <v>607</v>
      </c>
      <c r="BA306" s="127" t="s">
        <v>607</v>
      </c>
      <c r="BB306" s="127" t="s">
        <v>607</v>
      </c>
      <c r="BC306" s="127" t="s">
        <v>607</v>
      </c>
      <c r="BD306" s="127" t="s">
        <v>607</v>
      </c>
      <c r="BE306" s="127" t="s">
        <v>607</v>
      </c>
      <c r="BF306" s="127" t="s">
        <v>607</v>
      </c>
      <c r="BG306" s="128" t="s">
        <v>607</v>
      </c>
      <c r="BH306" s="377"/>
      <c r="BJ306" s="343" t="s">
        <v>608</v>
      </c>
      <c r="BK306" s="344" t="s">
        <v>608</v>
      </c>
      <c r="BL306" s="344" t="s">
        <v>608</v>
      </c>
      <c r="BM306" s="344" t="s">
        <v>608</v>
      </c>
      <c r="BN306" s="344" t="s">
        <v>608</v>
      </c>
      <c r="BO306" s="344" t="s">
        <v>608</v>
      </c>
      <c r="BP306" s="344" t="s">
        <v>608</v>
      </c>
      <c r="BQ306" s="344" t="s">
        <v>608</v>
      </c>
      <c r="BR306" s="344" t="s">
        <v>608</v>
      </c>
      <c r="BS306" s="344" t="s">
        <v>608</v>
      </c>
      <c r="BT306" s="344" t="s">
        <v>608</v>
      </c>
      <c r="BU306" s="345" t="s">
        <v>608</v>
      </c>
      <c r="BW306" s="343" t="s">
        <v>608</v>
      </c>
      <c r="BX306" s="344" t="s">
        <v>608</v>
      </c>
      <c r="BY306" s="344" t="s">
        <v>608</v>
      </c>
      <c r="BZ306" s="344" t="s">
        <v>608</v>
      </c>
      <c r="CA306" s="344" t="s">
        <v>608</v>
      </c>
      <c r="CB306" s="344" t="s">
        <v>608</v>
      </c>
      <c r="CC306" s="344" t="s">
        <v>608</v>
      </c>
      <c r="CD306" s="344" t="s">
        <v>608</v>
      </c>
      <c r="CE306" s="344" t="s">
        <v>608</v>
      </c>
      <c r="CF306" s="344" t="s">
        <v>608</v>
      </c>
      <c r="CG306" s="344" t="s">
        <v>608</v>
      </c>
      <c r="CH306" s="345" t="s">
        <v>608</v>
      </c>
      <c r="CI306" s="375"/>
    </row>
    <row r="307" spans="1:88" s="38" customFormat="1">
      <c r="A307"/>
      <c r="B307" s="129">
        <v>2015</v>
      </c>
      <c r="C307" s="129">
        <v>2015</v>
      </c>
      <c r="D307" s="488">
        <v>2015</v>
      </c>
      <c r="E307" s="488">
        <v>2015</v>
      </c>
      <c r="F307" s="489">
        <v>2015</v>
      </c>
      <c r="H307" s="353">
        <v>2025</v>
      </c>
      <c r="I307" s="354">
        <v>2025</v>
      </c>
      <c r="J307" s="354">
        <v>2025</v>
      </c>
      <c r="K307" s="354">
        <v>2025</v>
      </c>
      <c r="L307" s="354">
        <v>2025</v>
      </c>
      <c r="M307" s="354">
        <v>2025</v>
      </c>
      <c r="N307" s="354">
        <v>2025</v>
      </c>
      <c r="O307" s="354">
        <v>2025</v>
      </c>
      <c r="P307" s="354">
        <v>2025</v>
      </c>
      <c r="Q307" s="354">
        <v>2025</v>
      </c>
      <c r="R307" s="354">
        <v>2025</v>
      </c>
      <c r="S307" s="355">
        <v>2025</v>
      </c>
      <c r="U307" s="353">
        <v>2050</v>
      </c>
      <c r="V307" s="354">
        <v>2050</v>
      </c>
      <c r="W307" s="354">
        <v>2050</v>
      </c>
      <c r="X307" s="354">
        <v>2050</v>
      </c>
      <c r="Y307" s="354">
        <v>2050</v>
      </c>
      <c r="Z307" s="354">
        <v>2050</v>
      </c>
      <c r="AA307" s="354">
        <v>2050</v>
      </c>
      <c r="AB307" s="354">
        <v>2050</v>
      </c>
      <c r="AC307" s="354">
        <v>2050</v>
      </c>
      <c r="AD307" s="354">
        <v>2050</v>
      </c>
      <c r="AE307" s="354">
        <v>2050</v>
      </c>
      <c r="AF307" s="355">
        <v>2050</v>
      </c>
      <c r="AG307" s="372"/>
      <c r="AI307" s="130">
        <v>2025</v>
      </c>
      <c r="AJ307" s="131">
        <v>2025</v>
      </c>
      <c r="AK307" s="131">
        <v>2025</v>
      </c>
      <c r="AL307" s="131">
        <v>2025</v>
      </c>
      <c r="AM307" s="131">
        <v>2025</v>
      </c>
      <c r="AN307" s="131">
        <v>2025</v>
      </c>
      <c r="AO307" s="131">
        <v>2025</v>
      </c>
      <c r="AP307" s="131">
        <v>2025</v>
      </c>
      <c r="AQ307" s="131">
        <v>2025</v>
      </c>
      <c r="AR307" s="131">
        <v>2025</v>
      </c>
      <c r="AS307" s="131">
        <v>2025</v>
      </c>
      <c r="AT307" s="132">
        <v>2025</v>
      </c>
      <c r="AV307" s="130">
        <v>2050</v>
      </c>
      <c r="AW307" s="131">
        <v>2050</v>
      </c>
      <c r="AX307" s="131">
        <v>2050</v>
      </c>
      <c r="AY307" s="131">
        <v>2050</v>
      </c>
      <c r="AZ307" s="131">
        <v>2050</v>
      </c>
      <c r="BA307" s="131">
        <v>2050</v>
      </c>
      <c r="BB307" s="131">
        <v>2050</v>
      </c>
      <c r="BC307" s="131">
        <v>2050</v>
      </c>
      <c r="BD307" s="131">
        <v>2050</v>
      </c>
      <c r="BE307" s="131">
        <v>2050</v>
      </c>
      <c r="BF307" s="131">
        <v>2050</v>
      </c>
      <c r="BG307" s="132">
        <v>2050</v>
      </c>
      <c r="BH307" s="377"/>
      <c r="BJ307" s="350">
        <v>2025</v>
      </c>
      <c r="BK307" s="351">
        <v>2025</v>
      </c>
      <c r="BL307" s="351">
        <v>2025</v>
      </c>
      <c r="BM307" s="351">
        <v>2025</v>
      </c>
      <c r="BN307" s="351">
        <v>2025</v>
      </c>
      <c r="BO307" s="351">
        <v>2025</v>
      </c>
      <c r="BP307" s="351">
        <v>2025</v>
      </c>
      <c r="BQ307" s="351">
        <v>2025</v>
      </c>
      <c r="BR307" s="351">
        <v>2025</v>
      </c>
      <c r="BS307" s="351">
        <v>2025</v>
      </c>
      <c r="BT307" s="351">
        <v>2025</v>
      </c>
      <c r="BU307" s="352">
        <v>2025</v>
      </c>
      <c r="BW307" s="350">
        <v>2050</v>
      </c>
      <c r="BX307" s="351">
        <v>2050</v>
      </c>
      <c r="BY307" s="351">
        <v>2050</v>
      </c>
      <c r="BZ307" s="351">
        <v>2050</v>
      </c>
      <c r="CA307" s="351">
        <v>2050</v>
      </c>
      <c r="CB307" s="351">
        <v>2050</v>
      </c>
      <c r="CC307" s="351">
        <v>2050</v>
      </c>
      <c r="CD307" s="351">
        <v>2050</v>
      </c>
      <c r="CE307" s="351">
        <v>2050</v>
      </c>
      <c r="CF307" s="351">
        <v>2050</v>
      </c>
      <c r="CG307" s="351">
        <v>2050</v>
      </c>
      <c r="CH307" s="352">
        <v>2050</v>
      </c>
      <c r="CI307" s="375"/>
    </row>
    <row r="308" spans="1:88" s="50" customFormat="1">
      <c r="A308"/>
    </row>
    <row r="309" spans="1:88" s="38" customFormat="1" ht="43.5" customHeight="1">
      <c r="A309"/>
      <c r="B309" s="133" t="s">
        <v>264</v>
      </c>
      <c r="C309" s="134" t="s">
        <v>609</v>
      </c>
      <c r="D309" s="135" t="s">
        <v>610</v>
      </c>
      <c r="E309" s="135" t="s">
        <v>611</v>
      </c>
      <c r="F309" s="136" t="s">
        <v>612</v>
      </c>
      <c r="H309" s="360" t="s">
        <v>613</v>
      </c>
      <c r="I309" s="361" t="s">
        <v>264</v>
      </c>
      <c r="J309" s="361" t="s">
        <v>265</v>
      </c>
      <c r="K309" s="361" t="s">
        <v>266</v>
      </c>
      <c r="L309" s="361" t="s">
        <v>614</v>
      </c>
      <c r="M309" s="361" t="s">
        <v>615</v>
      </c>
      <c r="N309" s="361" t="s">
        <v>268</v>
      </c>
      <c r="O309" s="361" t="s">
        <v>616</v>
      </c>
      <c r="P309" s="361" t="s">
        <v>617</v>
      </c>
      <c r="Q309" s="361" t="s">
        <v>271</v>
      </c>
      <c r="R309" s="361" t="s">
        <v>618</v>
      </c>
      <c r="S309" s="362" t="s">
        <v>619</v>
      </c>
      <c r="U309" s="360" t="s">
        <v>613</v>
      </c>
      <c r="V309" s="361" t="s">
        <v>264</v>
      </c>
      <c r="W309" s="361" t="s">
        <v>265</v>
      </c>
      <c r="X309" s="361" t="s">
        <v>266</v>
      </c>
      <c r="Y309" s="361" t="s">
        <v>614</v>
      </c>
      <c r="Z309" s="361" t="s">
        <v>615</v>
      </c>
      <c r="AA309" s="361" t="s">
        <v>268</v>
      </c>
      <c r="AB309" s="361" t="s">
        <v>616</v>
      </c>
      <c r="AC309" s="361" t="s">
        <v>617</v>
      </c>
      <c r="AD309" s="361" t="s">
        <v>271</v>
      </c>
      <c r="AE309" s="361" t="s">
        <v>618</v>
      </c>
      <c r="AF309" s="362" t="s">
        <v>619</v>
      </c>
      <c r="AG309"/>
      <c r="AI309" s="111" t="s">
        <v>613</v>
      </c>
      <c r="AJ309" s="112" t="s">
        <v>264</v>
      </c>
      <c r="AK309" s="112" t="s">
        <v>265</v>
      </c>
      <c r="AL309" s="112" t="s">
        <v>266</v>
      </c>
      <c r="AM309" s="112" t="s">
        <v>614</v>
      </c>
      <c r="AN309" s="112" t="s">
        <v>615</v>
      </c>
      <c r="AO309" s="112" t="s">
        <v>268</v>
      </c>
      <c r="AP309" s="112" t="s">
        <v>616</v>
      </c>
      <c r="AQ309" s="112" t="s">
        <v>617</v>
      </c>
      <c r="AR309" s="112" t="s">
        <v>271</v>
      </c>
      <c r="AS309" s="112" t="s">
        <v>618</v>
      </c>
      <c r="AT309" s="113" t="s">
        <v>619</v>
      </c>
      <c r="AV309" s="111" t="s">
        <v>613</v>
      </c>
      <c r="AW309" s="112" t="s">
        <v>264</v>
      </c>
      <c r="AX309" s="112" t="s">
        <v>265</v>
      </c>
      <c r="AY309" s="112" t="s">
        <v>266</v>
      </c>
      <c r="AZ309" s="112" t="s">
        <v>614</v>
      </c>
      <c r="BA309" s="112" t="s">
        <v>615</v>
      </c>
      <c r="BB309" s="112" t="s">
        <v>268</v>
      </c>
      <c r="BC309" s="112" t="s">
        <v>616</v>
      </c>
      <c r="BD309" s="112" t="s">
        <v>617</v>
      </c>
      <c r="BE309" s="112" t="s">
        <v>271</v>
      </c>
      <c r="BF309" s="112" t="s">
        <v>618</v>
      </c>
      <c r="BG309" s="113" t="s">
        <v>619</v>
      </c>
      <c r="BH309"/>
      <c r="BJ309" s="357" t="s">
        <v>613</v>
      </c>
      <c r="BK309" s="358" t="s">
        <v>264</v>
      </c>
      <c r="BL309" s="358" t="s">
        <v>265</v>
      </c>
      <c r="BM309" s="358" t="s">
        <v>266</v>
      </c>
      <c r="BN309" s="358" t="s">
        <v>614</v>
      </c>
      <c r="BO309" s="358" t="s">
        <v>615</v>
      </c>
      <c r="BP309" s="358" t="s">
        <v>268</v>
      </c>
      <c r="BQ309" s="358" t="s">
        <v>616</v>
      </c>
      <c r="BR309" s="358" t="s">
        <v>617</v>
      </c>
      <c r="BS309" s="358" t="s">
        <v>271</v>
      </c>
      <c r="BT309" s="358" t="s">
        <v>618</v>
      </c>
      <c r="BU309" s="359" t="s">
        <v>619</v>
      </c>
      <c r="BW309" s="357" t="s">
        <v>613</v>
      </c>
      <c r="BX309" s="358" t="s">
        <v>264</v>
      </c>
      <c r="BY309" s="358" t="s">
        <v>265</v>
      </c>
      <c r="BZ309" s="358" t="s">
        <v>266</v>
      </c>
      <c r="CA309" s="358" t="s">
        <v>614</v>
      </c>
      <c r="CB309" s="358" t="s">
        <v>615</v>
      </c>
      <c r="CC309" s="358" t="s">
        <v>268</v>
      </c>
      <c r="CD309" s="358" t="s">
        <v>616</v>
      </c>
      <c r="CE309" s="358" t="s">
        <v>617</v>
      </c>
      <c r="CF309" s="358" t="s">
        <v>271</v>
      </c>
      <c r="CG309" s="358" t="s">
        <v>618</v>
      </c>
      <c r="CH309" s="359" t="s">
        <v>619</v>
      </c>
      <c r="CI309"/>
    </row>
    <row r="311" spans="1:88" s="318" customFormat="1">
      <c r="A311"/>
      <c r="B311" s="482">
        <v>866346.48749999981</v>
      </c>
      <c r="C311" s="482"/>
      <c r="D311" s="482"/>
      <c r="E311" s="482"/>
      <c r="F311" s="482"/>
      <c r="G311" s="482"/>
      <c r="H311" s="482">
        <v>121445.27743001631</v>
      </c>
      <c r="I311" s="482">
        <v>967297.09528948145</v>
      </c>
      <c r="J311" s="482">
        <v>0</v>
      </c>
      <c r="K311" s="482">
        <v>0</v>
      </c>
      <c r="L311" s="482">
        <v>0</v>
      </c>
      <c r="M311" s="482">
        <v>0</v>
      </c>
      <c r="N311" s="482">
        <v>0</v>
      </c>
      <c r="O311" s="482">
        <v>0</v>
      </c>
      <c r="P311" s="482">
        <v>0</v>
      </c>
      <c r="Q311" s="482">
        <v>0</v>
      </c>
      <c r="R311" s="482">
        <v>466603.87402264174</v>
      </c>
      <c r="S311" s="482">
        <v>866346.48749999981</v>
      </c>
      <c r="T311" s="482"/>
      <c r="U311" s="482">
        <v>231633.56857393362</v>
      </c>
      <c r="V311" s="482">
        <v>0</v>
      </c>
      <c r="W311" s="482">
        <v>79343.817842643111</v>
      </c>
      <c r="X311" s="482">
        <v>0</v>
      </c>
      <c r="Y311" s="482">
        <v>39548.4020298615</v>
      </c>
      <c r="Z311" s="482">
        <v>42119.427193873329</v>
      </c>
      <c r="AA311" s="482">
        <v>0</v>
      </c>
      <c r="AB311" s="482">
        <v>0</v>
      </c>
      <c r="AC311" s="482">
        <v>1627951.5098362376</v>
      </c>
      <c r="AD311" s="482">
        <v>542650.5032787458</v>
      </c>
      <c r="AE311" s="482">
        <v>0</v>
      </c>
      <c r="AF311" s="482">
        <v>866346.48749999981</v>
      </c>
      <c r="AG311" s="482">
        <v>5433437.9212486846</v>
      </c>
      <c r="AH311" s="482">
        <v>0</v>
      </c>
      <c r="AI311" s="482">
        <v>155151.56052895982</v>
      </c>
      <c r="AJ311" s="482">
        <v>1365126.419319703</v>
      </c>
      <c r="AK311" s="482">
        <v>130880.83183587772</v>
      </c>
      <c r="AL311" s="482">
        <v>0</v>
      </c>
      <c r="AM311" s="482">
        <v>0</v>
      </c>
      <c r="AN311" s="482">
        <v>0</v>
      </c>
      <c r="AO311" s="482">
        <v>0</v>
      </c>
      <c r="AP311" s="482">
        <v>0</v>
      </c>
      <c r="AQ311" s="482">
        <v>0</v>
      </c>
      <c r="AR311" s="482">
        <v>0</v>
      </c>
      <c r="AS311" s="482">
        <v>707639.49072194577</v>
      </c>
      <c r="AT311" s="482">
        <v>866346.48749999981</v>
      </c>
      <c r="AU311" s="482"/>
      <c r="AV311" s="482">
        <v>510988.8267788915</v>
      </c>
      <c r="AW311" s="482">
        <v>0</v>
      </c>
      <c r="AX311" s="482">
        <v>181058.51622531825</v>
      </c>
      <c r="AY311" s="482">
        <v>0</v>
      </c>
      <c r="AZ311" s="482">
        <v>128997.19538897582</v>
      </c>
      <c r="BA311" s="482">
        <v>755596.33130836161</v>
      </c>
      <c r="BB311" s="482">
        <v>491111.25270776276</v>
      </c>
      <c r="BC311" s="482">
        <v>935144.97845330415</v>
      </c>
      <c r="BD311" s="482">
        <v>2735467.5341187902</v>
      </c>
      <c r="BE311" s="482">
        <v>911822.51137293014</v>
      </c>
      <c r="BF311" s="482">
        <v>0</v>
      </c>
      <c r="BG311" s="482">
        <v>866346.48749999981</v>
      </c>
      <c r="BH311" s="482">
        <v>2735467.5341187902</v>
      </c>
      <c r="BI311" s="482"/>
      <c r="BJ311" s="482">
        <v>162137.96712610158</v>
      </c>
      <c r="BK311" s="482">
        <v>1428895.6445418985</v>
      </c>
      <c r="BL311" s="482">
        <v>132517.54805905049</v>
      </c>
      <c r="BM311" s="482">
        <v>0</v>
      </c>
      <c r="BN311" s="482">
        <v>0</v>
      </c>
      <c r="BO311" s="482">
        <v>0</v>
      </c>
      <c r="BP311" s="482">
        <v>0</v>
      </c>
      <c r="BQ311" s="482">
        <v>0</v>
      </c>
      <c r="BR311" s="482">
        <v>0</v>
      </c>
      <c r="BS311" s="482">
        <v>0</v>
      </c>
      <c r="BT311" s="482">
        <v>738664.78274016478</v>
      </c>
      <c r="BU311" s="482">
        <v>866346.48749999981</v>
      </c>
      <c r="BV311" s="482"/>
      <c r="BW311" s="482">
        <v>627513.74939666956</v>
      </c>
      <c r="BX311" s="482">
        <v>0</v>
      </c>
      <c r="BY311" s="482">
        <v>252230.15146250665</v>
      </c>
      <c r="BZ311" s="482">
        <v>0</v>
      </c>
      <c r="CA311" s="482">
        <v>210489.41383334796</v>
      </c>
      <c r="CB311" s="482">
        <v>1057355.6345923147</v>
      </c>
      <c r="CC311" s="482">
        <v>900342.2886842523</v>
      </c>
      <c r="CD311" s="482">
        <v>1103121.6457224486</v>
      </c>
      <c r="CE311" s="482">
        <v>5433437.9212486846</v>
      </c>
      <c r="CF311" s="482">
        <v>1811145.9737495622</v>
      </c>
      <c r="CG311" s="482">
        <v>0</v>
      </c>
      <c r="CH311" s="482">
        <v>866346.48749999981</v>
      </c>
      <c r="CI311" s="482">
        <v>5433437.9212486846</v>
      </c>
      <c r="CJ311" s="482"/>
    </row>
    <row r="314" spans="1:88" s="556" customFormat="1">
      <c r="A314" s="556" t="s">
        <v>552</v>
      </c>
    </row>
    <row r="315" spans="1:88">
      <c r="B315" t="str">
        <f>INDEX('Scenario names'!$C$3:$C$6,2)</f>
        <v>High Hydrogen</v>
      </c>
      <c r="F315" s="35">
        <v>2015</v>
      </c>
      <c r="G315" s="35">
        <v>2016</v>
      </c>
      <c r="H315" s="35">
        <v>2017</v>
      </c>
      <c r="I315" s="35">
        <v>2018</v>
      </c>
      <c r="J315" s="35">
        <v>2019</v>
      </c>
      <c r="K315" s="35">
        <v>2020</v>
      </c>
      <c r="L315" s="35">
        <v>2021</v>
      </c>
      <c r="M315" s="35">
        <v>2022</v>
      </c>
      <c r="N315" s="35">
        <v>2023</v>
      </c>
      <c r="O315" s="35">
        <v>2024</v>
      </c>
      <c r="P315" s="35">
        <v>2025</v>
      </c>
      <c r="Q315" s="35">
        <v>2026</v>
      </c>
      <c r="R315" s="35">
        <v>2027</v>
      </c>
      <c r="S315" s="35">
        <v>2028</v>
      </c>
      <c r="T315" s="35">
        <v>2029</v>
      </c>
      <c r="U315" s="35">
        <v>2030</v>
      </c>
      <c r="V315" s="35">
        <v>2031</v>
      </c>
      <c r="W315" s="35">
        <v>2032</v>
      </c>
      <c r="X315" s="35">
        <v>2033</v>
      </c>
      <c r="Y315" s="35">
        <v>2034</v>
      </c>
      <c r="Z315" s="35">
        <v>2035</v>
      </c>
      <c r="AA315" s="35">
        <v>2036</v>
      </c>
      <c r="AB315" s="35">
        <v>2037</v>
      </c>
      <c r="AC315" s="35">
        <v>2038</v>
      </c>
      <c r="AD315" s="35">
        <v>2039</v>
      </c>
      <c r="AE315" s="35">
        <v>2040</v>
      </c>
      <c r="AF315" s="35">
        <v>2041</v>
      </c>
      <c r="AG315" s="35">
        <v>2042</v>
      </c>
      <c r="AH315" s="35">
        <v>2043</v>
      </c>
      <c r="AI315" s="35">
        <v>2044</v>
      </c>
      <c r="AJ315" s="35">
        <v>2045</v>
      </c>
      <c r="AK315" s="35">
        <v>2046</v>
      </c>
      <c r="AL315" s="35">
        <v>2047</v>
      </c>
      <c r="AM315" s="35">
        <v>2048</v>
      </c>
      <c r="AN315" s="35">
        <v>2049</v>
      </c>
      <c r="AO315" s="35">
        <v>2050</v>
      </c>
    </row>
    <row r="316" spans="1:88">
      <c r="C316" t="s">
        <v>233</v>
      </c>
      <c r="D316" t="s">
        <v>452</v>
      </c>
      <c r="E316" t="str">
        <f>C316&amp;$B$315</f>
        <v>CarsHigh Hydrogen</v>
      </c>
      <c r="F316" s="478">
        <v>0</v>
      </c>
      <c r="G316" s="478">
        <v>0</v>
      </c>
      <c r="H316" s="478">
        <v>0</v>
      </c>
      <c r="I316" s="478">
        <v>0</v>
      </c>
      <c r="J316" s="478">
        <v>0</v>
      </c>
      <c r="K316" s="478">
        <v>0</v>
      </c>
      <c r="L316" s="478">
        <v>-2.5000000000000001E-3</v>
      </c>
      <c r="M316" s="478">
        <v>-5.0000000000000001E-3</v>
      </c>
      <c r="N316" s="478">
        <v>-7.5000000000000015E-3</v>
      </c>
      <c r="O316" s="478">
        <v>-0.01</v>
      </c>
      <c r="P316" s="478">
        <v>-1.2500000000000001E-2</v>
      </c>
      <c r="Q316" s="478">
        <v>-1.5000000000000003E-2</v>
      </c>
      <c r="R316" s="478">
        <v>-1.7500000000000002E-2</v>
      </c>
      <c r="S316" s="478">
        <v>-0.02</v>
      </c>
      <c r="T316" s="478">
        <v>-2.2499999999999999E-2</v>
      </c>
      <c r="U316" s="478">
        <v>-2.5000000000000001E-2</v>
      </c>
      <c r="V316" s="478">
        <v>-2.75E-2</v>
      </c>
      <c r="W316" s="478">
        <v>-3.0000000000000002E-2</v>
      </c>
      <c r="X316" s="478">
        <v>-3.2500000000000001E-2</v>
      </c>
      <c r="Y316" s="478">
        <v>-3.5000000000000003E-2</v>
      </c>
      <c r="Z316" s="478">
        <v>-3.7500000000000006E-2</v>
      </c>
      <c r="AA316" s="478">
        <v>-4.0000000000000008E-2</v>
      </c>
      <c r="AB316" s="478">
        <v>-4.2500000000000003E-2</v>
      </c>
      <c r="AC316" s="478">
        <v>-4.4999999999999998E-2</v>
      </c>
      <c r="AD316" s="478">
        <v>-4.7500000000000001E-2</v>
      </c>
      <c r="AE316" s="478">
        <v>-0.05</v>
      </c>
      <c r="AF316" s="478">
        <v>-0.05</v>
      </c>
      <c r="AG316" s="478">
        <v>-0.05</v>
      </c>
      <c r="AH316" s="478">
        <v>-0.05</v>
      </c>
      <c r="AI316" s="478">
        <v>-0.05</v>
      </c>
      <c r="AJ316" s="478">
        <v>-0.05</v>
      </c>
      <c r="AK316" s="478">
        <v>-0.05</v>
      </c>
      <c r="AL316" s="478">
        <v>-0.05</v>
      </c>
      <c r="AM316" s="478">
        <v>-0.05</v>
      </c>
      <c r="AN316" s="478">
        <v>-0.05</v>
      </c>
      <c r="AO316" s="478">
        <v>-0.05</v>
      </c>
    </row>
    <row r="317" spans="1:88">
      <c r="C317" t="s">
        <v>234</v>
      </c>
      <c r="D317" t="s">
        <v>452</v>
      </c>
      <c r="E317" t="str">
        <f t="shared" ref="E317:E323" si="369">C317&amp;$B$315</f>
        <v>LGVsHigh Hydrogen</v>
      </c>
      <c r="F317" s="478">
        <v>0</v>
      </c>
      <c r="G317" s="478">
        <v>0</v>
      </c>
      <c r="H317" s="478">
        <v>0</v>
      </c>
      <c r="I317" s="478">
        <v>0</v>
      </c>
      <c r="J317" s="478">
        <v>0</v>
      </c>
      <c r="K317" s="478">
        <v>0</v>
      </c>
      <c r="L317" s="478">
        <v>-2.5000000000000001E-2</v>
      </c>
      <c r="M317" s="478">
        <v>-0.05</v>
      </c>
      <c r="N317" s="478">
        <v>-7.4999999999999997E-2</v>
      </c>
      <c r="O317" s="478">
        <v>-0.1</v>
      </c>
      <c r="P317" s="478">
        <v>-0.125</v>
      </c>
      <c r="Q317" s="478">
        <v>-0.15</v>
      </c>
      <c r="R317" s="478">
        <v>-0.17499999999999999</v>
      </c>
      <c r="S317" s="478">
        <v>-0.2</v>
      </c>
      <c r="T317" s="478">
        <v>-0.22500000000000001</v>
      </c>
      <c r="U317" s="478">
        <v>-0.25</v>
      </c>
      <c r="V317" s="478">
        <v>-0.27500000000000002</v>
      </c>
      <c r="W317" s="478">
        <v>-0.3</v>
      </c>
      <c r="X317" s="478">
        <v>-0.32500000000000001</v>
      </c>
      <c r="Y317" s="478">
        <v>-0.35</v>
      </c>
      <c r="Z317" s="478">
        <v>-0.375</v>
      </c>
      <c r="AA317" s="478">
        <v>-0.4</v>
      </c>
      <c r="AB317" s="478">
        <v>-0.42499999999999999</v>
      </c>
      <c r="AC317" s="478">
        <v>-0.45</v>
      </c>
      <c r="AD317" s="478">
        <v>-0.47499999999999998</v>
      </c>
      <c r="AE317" s="478">
        <v>-0.5</v>
      </c>
      <c r="AF317" s="478">
        <v>-0.5</v>
      </c>
      <c r="AG317" s="478">
        <v>-0.5</v>
      </c>
      <c r="AH317" s="478">
        <v>-0.5</v>
      </c>
      <c r="AI317" s="478">
        <v>-0.5</v>
      </c>
      <c r="AJ317" s="478">
        <v>-0.5</v>
      </c>
      <c r="AK317" s="478">
        <v>-0.5</v>
      </c>
      <c r="AL317" s="478">
        <v>-0.5</v>
      </c>
      <c r="AM317" s="478">
        <v>-0.5</v>
      </c>
      <c r="AN317" s="478">
        <v>-0.5</v>
      </c>
      <c r="AO317" s="478">
        <v>-0.5</v>
      </c>
    </row>
    <row r="318" spans="1:88">
      <c r="C318" t="s">
        <v>235</v>
      </c>
      <c r="D318" t="s">
        <v>452</v>
      </c>
      <c r="E318" t="str">
        <f t="shared" si="369"/>
        <v>HGVsHigh Hydrogen</v>
      </c>
      <c r="F318" s="478">
        <v>0</v>
      </c>
      <c r="G318" s="478">
        <v>0</v>
      </c>
      <c r="H318" s="478">
        <v>0</v>
      </c>
      <c r="I318" s="478">
        <v>0</v>
      </c>
      <c r="J318" s="478">
        <v>0</v>
      </c>
      <c r="K318" s="478">
        <v>0</v>
      </c>
      <c r="L318" s="478">
        <v>0</v>
      </c>
      <c r="M318" s="478">
        <v>0</v>
      </c>
      <c r="N318" s="478">
        <v>0</v>
      </c>
      <c r="O318" s="478">
        <v>0</v>
      </c>
      <c r="P318" s="478">
        <v>0</v>
      </c>
      <c r="Q318" s="478">
        <v>0</v>
      </c>
      <c r="R318" s="478">
        <v>0</v>
      </c>
      <c r="S318" s="478">
        <v>0</v>
      </c>
      <c r="T318" s="478">
        <v>0</v>
      </c>
      <c r="U318" s="478">
        <v>0</v>
      </c>
      <c r="V318" s="478">
        <v>0</v>
      </c>
      <c r="W318" s="478">
        <v>0</v>
      </c>
      <c r="X318" s="478">
        <v>0</v>
      </c>
      <c r="Y318" s="478">
        <v>0</v>
      </c>
      <c r="Z318" s="478">
        <v>0</v>
      </c>
      <c r="AA318" s="478">
        <v>0</v>
      </c>
      <c r="AB318" s="478">
        <v>0</v>
      </c>
      <c r="AC318" s="478">
        <v>0</v>
      </c>
      <c r="AD318" s="478">
        <v>0</v>
      </c>
      <c r="AE318" s="478">
        <v>0</v>
      </c>
      <c r="AF318" s="478">
        <v>0</v>
      </c>
      <c r="AG318" s="478">
        <v>0</v>
      </c>
      <c r="AH318" s="478">
        <v>0</v>
      </c>
      <c r="AI318" s="478">
        <v>0</v>
      </c>
      <c r="AJ318" s="478">
        <v>0</v>
      </c>
      <c r="AK318" s="478">
        <v>0</v>
      </c>
      <c r="AL318" s="478">
        <v>0</v>
      </c>
      <c r="AM318" s="478">
        <v>0</v>
      </c>
      <c r="AN318" s="478">
        <v>0</v>
      </c>
      <c r="AO318" s="478">
        <v>0</v>
      </c>
    </row>
    <row r="319" spans="1:88">
      <c r="C319" t="s">
        <v>553</v>
      </c>
      <c r="D319" t="s">
        <v>452</v>
      </c>
      <c r="E319" t="str">
        <f t="shared" si="369"/>
        <v>Artic HGVHigh Hydrogen</v>
      </c>
      <c r="F319" s="478">
        <v>0</v>
      </c>
      <c r="G319" s="478">
        <v>0</v>
      </c>
      <c r="H319" s="478">
        <v>0</v>
      </c>
      <c r="I319" s="478">
        <v>0</v>
      </c>
      <c r="J319" s="478">
        <v>0</v>
      </c>
      <c r="K319" s="478">
        <v>0</v>
      </c>
      <c r="L319" s="478">
        <v>0</v>
      </c>
      <c r="M319" s="478">
        <v>0</v>
      </c>
      <c r="N319" s="478">
        <v>0</v>
      </c>
      <c r="O319" s="478">
        <v>0</v>
      </c>
      <c r="P319" s="478">
        <v>0</v>
      </c>
      <c r="Q319" s="478">
        <v>0</v>
      </c>
      <c r="R319" s="478">
        <v>0</v>
      </c>
      <c r="S319" s="478">
        <v>0</v>
      </c>
      <c r="T319" s="478">
        <v>0</v>
      </c>
      <c r="U319" s="478">
        <v>0</v>
      </c>
      <c r="V319" s="478">
        <v>0</v>
      </c>
      <c r="W319" s="478">
        <v>0</v>
      </c>
      <c r="X319" s="478">
        <v>0</v>
      </c>
      <c r="Y319" s="478">
        <v>0</v>
      </c>
      <c r="Z319" s="478">
        <v>0</v>
      </c>
      <c r="AA319" s="478">
        <v>0</v>
      </c>
      <c r="AB319" s="478">
        <v>0</v>
      </c>
      <c r="AC319" s="478">
        <v>0</v>
      </c>
      <c r="AD319" s="478">
        <v>0</v>
      </c>
      <c r="AE319" s="478">
        <v>0</v>
      </c>
      <c r="AF319" s="478">
        <v>0</v>
      </c>
      <c r="AG319" s="478">
        <v>0</v>
      </c>
      <c r="AH319" s="478">
        <v>0</v>
      </c>
      <c r="AI319" s="478">
        <v>0</v>
      </c>
      <c r="AJ319" s="478">
        <v>0</v>
      </c>
      <c r="AK319" s="478">
        <v>0</v>
      </c>
      <c r="AL319" s="478">
        <v>0</v>
      </c>
      <c r="AM319" s="478">
        <v>0</v>
      </c>
      <c r="AN319" s="478">
        <v>0</v>
      </c>
      <c r="AO319" s="478">
        <v>0</v>
      </c>
    </row>
    <row r="320" spans="1:88">
      <c r="C320" t="s">
        <v>554</v>
      </c>
      <c r="D320" t="s">
        <v>452</v>
      </c>
      <c r="E320" t="str">
        <f t="shared" si="369"/>
        <v>CoachHigh Hydrogen</v>
      </c>
      <c r="F320" s="478">
        <v>0</v>
      </c>
      <c r="G320" s="478">
        <v>0</v>
      </c>
      <c r="H320" s="478">
        <v>0</v>
      </c>
      <c r="I320" s="478">
        <v>0</v>
      </c>
      <c r="J320" s="478">
        <v>0</v>
      </c>
      <c r="K320" s="478">
        <v>0</v>
      </c>
      <c r="L320" s="478">
        <v>0</v>
      </c>
      <c r="M320" s="478">
        <v>0</v>
      </c>
      <c r="N320" s="478">
        <v>0</v>
      </c>
      <c r="O320" s="478">
        <v>0</v>
      </c>
      <c r="P320" s="478">
        <v>0</v>
      </c>
      <c r="Q320" s="478">
        <v>0</v>
      </c>
      <c r="R320" s="478">
        <v>0</v>
      </c>
      <c r="S320" s="478">
        <v>0</v>
      </c>
      <c r="T320" s="478">
        <v>0</v>
      </c>
      <c r="U320" s="478">
        <v>0</v>
      </c>
      <c r="V320" s="478">
        <v>0</v>
      </c>
      <c r="W320" s="478">
        <v>0</v>
      </c>
      <c r="X320" s="478">
        <v>0</v>
      </c>
      <c r="Y320" s="478">
        <v>0</v>
      </c>
      <c r="Z320" s="478">
        <v>0</v>
      </c>
      <c r="AA320" s="478">
        <v>0</v>
      </c>
      <c r="AB320" s="478">
        <v>0</v>
      </c>
      <c r="AC320" s="478">
        <v>0</v>
      </c>
      <c r="AD320" s="478">
        <v>0</v>
      </c>
      <c r="AE320" s="478">
        <v>0</v>
      </c>
      <c r="AF320" s="478">
        <v>0</v>
      </c>
      <c r="AG320" s="478">
        <v>0</v>
      </c>
      <c r="AH320" s="478">
        <v>0</v>
      </c>
      <c r="AI320" s="478">
        <v>0</v>
      </c>
      <c r="AJ320" s="478">
        <v>0</v>
      </c>
      <c r="AK320" s="478">
        <v>0</v>
      </c>
      <c r="AL320" s="478">
        <v>0</v>
      </c>
      <c r="AM320" s="478">
        <v>0</v>
      </c>
      <c r="AN320" s="478">
        <v>0</v>
      </c>
      <c r="AO320" s="478">
        <v>0</v>
      </c>
    </row>
    <row r="321" spans="2:41">
      <c r="C321" t="s">
        <v>237</v>
      </c>
      <c r="D321" t="s">
        <v>452</v>
      </c>
      <c r="E321" t="str">
        <f t="shared" si="369"/>
        <v>TaxisHigh Hydrogen</v>
      </c>
      <c r="F321" s="478">
        <v>0</v>
      </c>
      <c r="G321" s="478">
        <v>0</v>
      </c>
      <c r="H321" s="478">
        <v>0</v>
      </c>
      <c r="I321" s="478">
        <v>0</v>
      </c>
      <c r="J321" s="478">
        <v>0</v>
      </c>
      <c r="K321" s="478">
        <v>0</v>
      </c>
      <c r="L321" s="478">
        <v>-5.0000000000000001E-3</v>
      </c>
      <c r="M321" s="478">
        <v>-0.01</v>
      </c>
      <c r="N321" s="478">
        <v>-1.5000000000000003E-2</v>
      </c>
      <c r="O321" s="478">
        <v>-0.02</v>
      </c>
      <c r="P321" s="478">
        <v>-2.5000000000000001E-2</v>
      </c>
      <c r="Q321" s="478">
        <v>-3.0000000000000006E-2</v>
      </c>
      <c r="R321" s="478">
        <v>-3.5000000000000003E-2</v>
      </c>
      <c r="S321" s="478">
        <v>-0.04</v>
      </c>
      <c r="T321" s="478">
        <v>-4.4999999999999998E-2</v>
      </c>
      <c r="U321" s="478">
        <v>-0.05</v>
      </c>
      <c r="V321" s="478">
        <v>-7.5000000000000011E-2</v>
      </c>
      <c r="W321" s="478">
        <v>-0.1</v>
      </c>
      <c r="X321" s="478">
        <v>-0.125</v>
      </c>
      <c r="Y321" s="478">
        <v>-0.15000000000000002</v>
      </c>
      <c r="Z321" s="478">
        <v>-0.17499999999999999</v>
      </c>
      <c r="AA321" s="478">
        <v>-0.2</v>
      </c>
      <c r="AB321" s="478">
        <v>-0.22499999999999998</v>
      </c>
      <c r="AC321" s="478">
        <v>-0.25</v>
      </c>
      <c r="AD321" s="478">
        <v>-0.27500000000000002</v>
      </c>
      <c r="AE321" s="478">
        <v>-0.3</v>
      </c>
      <c r="AF321" s="478">
        <v>-0.33999999999999997</v>
      </c>
      <c r="AG321" s="478">
        <v>-0.38</v>
      </c>
      <c r="AH321" s="478">
        <v>-0.42</v>
      </c>
      <c r="AI321" s="478">
        <v>-0.45999999999999996</v>
      </c>
      <c r="AJ321" s="478">
        <v>-0.5</v>
      </c>
      <c r="AK321" s="478">
        <v>-0.54</v>
      </c>
      <c r="AL321" s="478">
        <v>-0.57999999999999996</v>
      </c>
      <c r="AM321" s="478">
        <v>-0.61999999999999988</v>
      </c>
      <c r="AN321" s="478">
        <v>-0.65999999999999992</v>
      </c>
      <c r="AO321" s="478">
        <v>-0.7</v>
      </c>
    </row>
    <row r="322" spans="2:41">
      <c r="C322" t="s">
        <v>236</v>
      </c>
      <c r="D322" t="s">
        <v>452</v>
      </c>
      <c r="E322" t="str">
        <f t="shared" si="369"/>
        <v>BusesHigh Hydrogen</v>
      </c>
      <c r="F322" s="478">
        <v>0</v>
      </c>
      <c r="G322" s="478">
        <v>0</v>
      </c>
      <c r="H322" s="478">
        <v>0</v>
      </c>
      <c r="I322" s="478">
        <v>0</v>
      </c>
      <c r="J322" s="478">
        <v>0</v>
      </c>
      <c r="K322" s="478">
        <v>0</v>
      </c>
      <c r="L322" s="478">
        <v>-5.0000000000000001E-3</v>
      </c>
      <c r="M322" s="478">
        <v>-0.01</v>
      </c>
      <c r="N322" s="478">
        <v>-1.5000000000000003E-2</v>
      </c>
      <c r="O322" s="478">
        <v>-0.02</v>
      </c>
      <c r="P322" s="478">
        <v>-2.5000000000000001E-2</v>
      </c>
      <c r="Q322" s="478">
        <v>-3.0000000000000006E-2</v>
      </c>
      <c r="R322" s="478">
        <v>-3.5000000000000003E-2</v>
      </c>
      <c r="S322" s="478">
        <v>-0.04</v>
      </c>
      <c r="T322" s="478">
        <v>-4.4999999999999998E-2</v>
      </c>
      <c r="U322" s="478">
        <v>-0.05</v>
      </c>
      <c r="V322" s="478">
        <v>-7.5000000000000011E-2</v>
      </c>
      <c r="W322" s="478">
        <v>-0.1</v>
      </c>
      <c r="X322" s="478">
        <v>-0.125</v>
      </c>
      <c r="Y322" s="478">
        <v>-0.15000000000000002</v>
      </c>
      <c r="Z322" s="478">
        <v>-0.17499999999999999</v>
      </c>
      <c r="AA322" s="478">
        <v>-0.2</v>
      </c>
      <c r="AB322" s="478">
        <v>-0.22499999999999998</v>
      </c>
      <c r="AC322" s="478">
        <v>-0.25</v>
      </c>
      <c r="AD322" s="478">
        <v>-0.27500000000000002</v>
      </c>
      <c r="AE322" s="478">
        <v>-0.3</v>
      </c>
      <c r="AF322" s="478">
        <v>-0.36</v>
      </c>
      <c r="AG322" s="478">
        <v>-0.42000000000000004</v>
      </c>
      <c r="AH322" s="478">
        <v>-0.48</v>
      </c>
      <c r="AI322" s="478">
        <v>-0.54</v>
      </c>
      <c r="AJ322" s="478">
        <v>-0.60000000000000009</v>
      </c>
      <c r="AK322" s="478">
        <v>-0.66</v>
      </c>
      <c r="AL322" s="478">
        <v>-0.72000000000000008</v>
      </c>
      <c r="AM322" s="478">
        <v>-0.78</v>
      </c>
      <c r="AN322" s="478">
        <v>-0.84000000000000008</v>
      </c>
      <c r="AO322" s="478">
        <v>-0.9</v>
      </c>
    </row>
    <row r="323" spans="2:41">
      <c r="C323" t="s">
        <v>555</v>
      </c>
      <c r="D323" t="s">
        <v>452</v>
      </c>
      <c r="E323" t="str">
        <f t="shared" si="369"/>
        <v>Double Decker busesHigh Hydrogen</v>
      </c>
      <c r="F323" s="478">
        <v>0</v>
      </c>
      <c r="G323" s="478">
        <v>0</v>
      </c>
      <c r="H323" s="478">
        <v>0</v>
      </c>
      <c r="I323" s="478">
        <v>0</v>
      </c>
      <c r="J323" s="478">
        <v>0</v>
      </c>
      <c r="K323" s="478">
        <v>0</v>
      </c>
      <c r="L323" s="478">
        <v>-5.0000000000000001E-3</v>
      </c>
      <c r="M323" s="478">
        <v>-0.01</v>
      </c>
      <c r="N323" s="478">
        <v>-1.5000000000000003E-2</v>
      </c>
      <c r="O323" s="478">
        <v>-0.02</v>
      </c>
      <c r="P323" s="478">
        <v>-2.5000000000000001E-2</v>
      </c>
      <c r="Q323" s="478">
        <v>-3.0000000000000006E-2</v>
      </c>
      <c r="R323" s="478">
        <v>-3.5000000000000003E-2</v>
      </c>
      <c r="S323" s="478">
        <v>-0.04</v>
      </c>
      <c r="T323" s="478">
        <v>-4.4999999999999998E-2</v>
      </c>
      <c r="U323" s="478">
        <v>-0.05</v>
      </c>
      <c r="V323" s="478">
        <v>-8.5000000000000006E-2</v>
      </c>
      <c r="W323" s="478">
        <v>-0.12000000000000001</v>
      </c>
      <c r="X323" s="478">
        <v>-0.15500000000000003</v>
      </c>
      <c r="Y323" s="478">
        <v>-0.19</v>
      </c>
      <c r="Z323" s="478">
        <v>-0.22500000000000003</v>
      </c>
      <c r="AA323" s="478">
        <v>-0.26</v>
      </c>
      <c r="AB323" s="478">
        <v>-0.29500000000000004</v>
      </c>
      <c r="AC323" s="478">
        <v>-0.33</v>
      </c>
      <c r="AD323" s="478">
        <v>-0.36500000000000005</v>
      </c>
      <c r="AE323" s="478">
        <v>-0.4</v>
      </c>
      <c r="AF323" s="478">
        <v>-0.45</v>
      </c>
      <c r="AG323" s="478">
        <v>-0.5</v>
      </c>
      <c r="AH323" s="478">
        <v>-0.55000000000000004</v>
      </c>
      <c r="AI323" s="478">
        <v>-0.60000000000000009</v>
      </c>
      <c r="AJ323" s="478">
        <v>-0.65</v>
      </c>
      <c r="AK323" s="478">
        <v>-0.7</v>
      </c>
      <c r="AL323" s="478">
        <v>-0.75</v>
      </c>
      <c r="AM323" s="478">
        <v>-0.8</v>
      </c>
      <c r="AN323" s="478">
        <v>-0.85000000000000009</v>
      </c>
      <c r="AO323" s="478">
        <v>-0.9</v>
      </c>
    </row>
    <row r="325" spans="2:41">
      <c r="B325" t="str">
        <f>INDEX('Scenario names'!$C$3:$C$6,1)</f>
        <v>High Electrification</v>
      </c>
      <c r="F325" s="35">
        <v>2015</v>
      </c>
      <c r="G325" s="35">
        <v>2016</v>
      </c>
      <c r="H325" s="35">
        <v>2017</v>
      </c>
      <c r="I325" s="35">
        <v>2018</v>
      </c>
      <c r="J325" s="35">
        <v>2019</v>
      </c>
      <c r="K325" s="35">
        <v>2020</v>
      </c>
      <c r="L325" s="35">
        <v>2021</v>
      </c>
      <c r="M325" s="35">
        <v>2022</v>
      </c>
      <c r="N325" s="35">
        <v>2023</v>
      </c>
      <c r="O325" s="35">
        <v>2024</v>
      </c>
      <c r="P325" s="35">
        <v>2025</v>
      </c>
      <c r="Q325" s="35">
        <v>2026</v>
      </c>
      <c r="R325" s="35">
        <v>2027</v>
      </c>
      <c r="S325" s="35">
        <v>2028</v>
      </c>
      <c r="T325" s="35">
        <v>2029</v>
      </c>
      <c r="U325" s="35">
        <v>2030</v>
      </c>
      <c r="V325" s="35">
        <v>2031</v>
      </c>
      <c r="W325" s="35">
        <v>2032</v>
      </c>
      <c r="X325" s="35">
        <v>2033</v>
      </c>
      <c r="Y325" s="35">
        <v>2034</v>
      </c>
      <c r="Z325" s="35">
        <v>2035</v>
      </c>
      <c r="AA325" s="35">
        <v>2036</v>
      </c>
      <c r="AB325" s="35">
        <v>2037</v>
      </c>
      <c r="AC325" s="35">
        <v>2038</v>
      </c>
      <c r="AD325" s="35">
        <v>2039</v>
      </c>
      <c r="AE325" s="35">
        <v>2040</v>
      </c>
      <c r="AF325" s="35">
        <v>2041</v>
      </c>
      <c r="AG325" s="35">
        <v>2042</v>
      </c>
      <c r="AH325" s="35">
        <v>2043</v>
      </c>
      <c r="AI325" s="35">
        <v>2044</v>
      </c>
      <c r="AJ325" s="35">
        <v>2045</v>
      </c>
      <c r="AK325" s="35">
        <v>2046</v>
      </c>
      <c r="AL325" s="35">
        <v>2047</v>
      </c>
      <c r="AM325" s="35">
        <v>2048</v>
      </c>
      <c r="AN325" s="35">
        <v>2049</v>
      </c>
      <c r="AO325" s="35">
        <v>2050</v>
      </c>
    </row>
    <row r="326" spans="2:41">
      <c r="C326" t="s">
        <v>233</v>
      </c>
      <c r="D326" t="s">
        <v>452</v>
      </c>
      <c r="E326" t="str">
        <f>C326&amp;$B$325</f>
        <v>CarsHigh Electrification</v>
      </c>
      <c r="F326" s="478">
        <v>0</v>
      </c>
      <c r="G326" s="478">
        <v>0</v>
      </c>
      <c r="H326" s="478">
        <v>0</v>
      </c>
      <c r="I326" s="478">
        <v>0</v>
      </c>
      <c r="J326" s="478">
        <v>0</v>
      </c>
      <c r="K326" s="478">
        <v>0</v>
      </c>
      <c r="L326" s="478">
        <v>5.0000000000000001E-3</v>
      </c>
      <c r="M326" s="478">
        <v>0.01</v>
      </c>
      <c r="N326" s="478">
        <v>1.5000000000000003E-2</v>
      </c>
      <c r="O326" s="478">
        <v>0.02</v>
      </c>
      <c r="P326" s="478">
        <v>2.5000000000000001E-2</v>
      </c>
      <c r="Q326" s="478">
        <v>3.0000000000000006E-2</v>
      </c>
      <c r="R326" s="478">
        <v>3.5000000000000003E-2</v>
      </c>
      <c r="S326" s="478">
        <v>0.04</v>
      </c>
      <c r="T326" s="478">
        <v>4.4999999999999998E-2</v>
      </c>
      <c r="U326" s="478">
        <v>0.05</v>
      </c>
      <c r="V326" s="478">
        <v>5.5E-2</v>
      </c>
      <c r="W326" s="478">
        <v>6.0000000000000005E-2</v>
      </c>
      <c r="X326" s="478">
        <v>6.5000000000000002E-2</v>
      </c>
      <c r="Y326" s="478">
        <v>7.0000000000000007E-2</v>
      </c>
      <c r="Z326" s="478">
        <v>7.5000000000000011E-2</v>
      </c>
      <c r="AA326" s="478">
        <v>8.0000000000000016E-2</v>
      </c>
      <c r="AB326" s="478">
        <v>8.5000000000000006E-2</v>
      </c>
      <c r="AC326" s="478">
        <v>0.09</v>
      </c>
      <c r="AD326" s="478">
        <v>9.5000000000000001E-2</v>
      </c>
      <c r="AE326" s="478">
        <v>0.1</v>
      </c>
      <c r="AF326" s="478">
        <v>0.1</v>
      </c>
      <c r="AG326" s="478">
        <v>0.1</v>
      </c>
      <c r="AH326" s="478">
        <v>0.1</v>
      </c>
      <c r="AI326" s="478">
        <v>0.1</v>
      </c>
      <c r="AJ326" s="478">
        <v>0.1</v>
      </c>
      <c r="AK326" s="478">
        <v>0.1</v>
      </c>
      <c r="AL326" s="478">
        <v>0.1</v>
      </c>
      <c r="AM326" s="478">
        <v>0.1</v>
      </c>
      <c r="AN326" s="478">
        <v>0.1</v>
      </c>
      <c r="AO326" s="478">
        <v>0.1</v>
      </c>
    </row>
    <row r="327" spans="2:41">
      <c r="C327" t="s">
        <v>234</v>
      </c>
      <c r="D327" t="s">
        <v>452</v>
      </c>
      <c r="E327" t="str">
        <f t="shared" ref="E327:E333" si="370">C327&amp;$B$325</f>
        <v>LGVsHigh Electrification</v>
      </c>
      <c r="F327" s="478">
        <v>0</v>
      </c>
      <c r="G327" s="478">
        <v>0</v>
      </c>
      <c r="H327" s="478">
        <v>0</v>
      </c>
      <c r="I327" s="478">
        <v>0</v>
      </c>
      <c r="J327" s="478">
        <v>0</v>
      </c>
      <c r="K327" s="478">
        <v>0</v>
      </c>
      <c r="L327" s="478">
        <v>0</v>
      </c>
      <c r="M327" s="478">
        <v>0</v>
      </c>
      <c r="N327" s="478">
        <v>0</v>
      </c>
      <c r="O327" s="478">
        <v>0</v>
      </c>
      <c r="P327" s="478">
        <v>0</v>
      </c>
      <c r="Q327" s="478">
        <v>0</v>
      </c>
      <c r="R327" s="478">
        <v>0</v>
      </c>
      <c r="S327" s="478">
        <v>0</v>
      </c>
      <c r="T327" s="478">
        <v>0</v>
      </c>
      <c r="U327" s="478">
        <v>0</v>
      </c>
      <c r="V327" s="478">
        <v>0</v>
      </c>
      <c r="W327" s="478">
        <v>0</v>
      </c>
      <c r="X327" s="478">
        <v>0</v>
      </c>
      <c r="Y327" s="478">
        <v>0</v>
      </c>
      <c r="Z327" s="478">
        <v>0</v>
      </c>
      <c r="AA327" s="478">
        <v>0</v>
      </c>
      <c r="AB327" s="478">
        <v>0</v>
      </c>
      <c r="AC327" s="478">
        <v>0</v>
      </c>
      <c r="AD327" s="478">
        <v>0</v>
      </c>
      <c r="AE327" s="478">
        <v>0</v>
      </c>
      <c r="AF327" s="478">
        <v>0</v>
      </c>
      <c r="AG327" s="478">
        <v>0</v>
      </c>
      <c r="AH327" s="478">
        <v>0</v>
      </c>
      <c r="AI327" s="478">
        <v>0</v>
      </c>
      <c r="AJ327" s="478">
        <v>0</v>
      </c>
      <c r="AK327" s="478">
        <v>0</v>
      </c>
      <c r="AL327" s="478">
        <v>0</v>
      </c>
      <c r="AM327" s="478">
        <v>0</v>
      </c>
      <c r="AN327" s="478">
        <v>0</v>
      </c>
      <c r="AO327" s="478">
        <v>0</v>
      </c>
    </row>
    <row r="328" spans="2:41">
      <c r="C328" t="s">
        <v>235</v>
      </c>
      <c r="D328" t="s">
        <v>452</v>
      </c>
      <c r="E328" t="str">
        <f t="shared" si="370"/>
        <v>HGVsHigh Electrification</v>
      </c>
      <c r="F328" s="478">
        <v>0</v>
      </c>
      <c r="G328" s="478">
        <v>0</v>
      </c>
      <c r="H328" s="478">
        <v>0</v>
      </c>
      <c r="I328" s="478">
        <v>0</v>
      </c>
      <c r="J328" s="478">
        <v>0</v>
      </c>
      <c r="K328" s="478">
        <v>2.5806451612903226E-2</v>
      </c>
      <c r="L328" s="478">
        <v>5.1612903225806452E-2</v>
      </c>
      <c r="M328" s="478">
        <v>7.7419354838709681E-2</v>
      </c>
      <c r="N328" s="478">
        <v>0.1032258064516129</v>
      </c>
      <c r="O328" s="478">
        <v>0.12903225806451613</v>
      </c>
      <c r="P328" s="478">
        <v>0.15483870967741936</v>
      </c>
      <c r="Q328" s="478">
        <v>0.1806451612903226</v>
      </c>
      <c r="R328" s="478">
        <v>0.20645161290322583</v>
      </c>
      <c r="S328" s="478">
        <v>0.23225806451612907</v>
      </c>
      <c r="T328" s="478">
        <v>0.25806451612903231</v>
      </c>
      <c r="U328" s="478">
        <v>0.28387096774193554</v>
      </c>
      <c r="V328" s="478">
        <v>0.30967741935483878</v>
      </c>
      <c r="W328" s="478">
        <v>0.33548387096774201</v>
      </c>
      <c r="X328" s="478">
        <v>0.36129032258064525</v>
      </c>
      <c r="Y328" s="478">
        <v>0.38709677419354849</v>
      </c>
      <c r="Z328" s="478">
        <v>0.41290322580645172</v>
      </c>
      <c r="AA328" s="478">
        <v>0.43870967741935496</v>
      </c>
      <c r="AB328" s="478">
        <v>0.4645161290322582</v>
      </c>
      <c r="AC328" s="478">
        <v>0.49032258064516143</v>
      </c>
      <c r="AD328" s="478">
        <v>0.51612903225806461</v>
      </c>
      <c r="AE328" s="478">
        <v>0.54193548387096779</v>
      </c>
      <c r="AF328" s="478">
        <v>0.56774193548387097</v>
      </c>
      <c r="AG328" s="478">
        <v>0.59354838709677415</v>
      </c>
      <c r="AH328" s="478">
        <v>0.61935483870967734</v>
      </c>
      <c r="AI328" s="478">
        <v>0.64516129032258052</v>
      </c>
      <c r="AJ328" s="478">
        <v>0.6709677419354837</v>
      </c>
      <c r="AK328" s="478">
        <v>0.69677419354838688</v>
      </c>
      <c r="AL328" s="478">
        <v>0.72258064516129006</v>
      </c>
      <c r="AM328" s="478">
        <v>0.74838709677419324</v>
      </c>
      <c r="AN328" s="478">
        <v>0.77419354838709642</v>
      </c>
      <c r="AO328" s="478">
        <v>0.8</v>
      </c>
    </row>
    <row r="329" spans="2:41">
      <c r="C329" t="s">
        <v>553</v>
      </c>
      <c r="D329" t="s">
        <v>452</v>
      </c>
      <c r="E329" t="str">
        <f t="shared" si="370"/>
        <v>Artic HGVHigh Electrification</v>
      </c>
      <c r="F329" s="478">
        <v>0</v>
      </c>
      <c r="G329" s="478">
        <v>0</v>
      </c>
      <c r="H329" s="478">
        <v>0</v>
      </c>
      <c r="I329" s="478">
        <v>0</v>
      </c>
      <c r="J329" s="478">
        <v>0</v>
      </c>
      <c r="K329" s="478">
        <v>2.5806451612903226E-2</v>
      </c>
      <c r="L329" s="478">
        <v>5.1612903225806452E-2</v>
      </c>
      <c r="M329" s="478">
        <v>7.7419354838709681E-2</v>
      </c>
      <c r="N329" s="478">
        <v>0.1032258064516129</v>
      </c>
      <c r="O329" s="478">
        <v>0.12903225806451613</v>
      </c>
      <c r="P329" s="478">
        <v>0.15483870967741936</v>
      </c>
      <c r="Q329" s="478">
        <v>0.1806451612903226</v>
      </c>
      <c r="R329" s="478">
        <v>0.20645161290322583</v>
      </c>
      <c r="S329" s="478">
        <v>0.23225806451612907</v>
      </c>
      <c r="T329" s="478">
        <v>0.25806451612903231</v>
      </c>
      <c r="U329" s="478">
        <v>0.28387096774193554</v>
      </c>
      <c r="V329" s="478">
        <v>0.30967741935483878</v>
      </c>
      <c r="W329" s="478">
        <v>0.33548387096774201</v>
      </c>
      <c r="X329" s="478">
        <v>0.36129032258064525</v>
      </c>
      <c r="Y329" s="478">
        <v>0.38709677419354849</v>
      </c>
      <c r="Z329" s="478">
        <v>0.41290322580645172</v>
      </c>
      <c r="AA329" s="478">
        <v>0.43870967741935496</v>
      </c>
      <c r="AB329" s="478">
        <v>0.4645161290322582</v>
      </c>
      <c r="AC329" s="478">
        <v>0.49032258064516143</v>
      </c>
      <c r="AD329" s="478">
        <v>0.51612903225806461</v>
      </c>
      <c r="AE329" s="478">
        <v>0.54193548387096779</v>
      </c>
      <c r="AF329" s="478">
        <v>0.56774193548387097</v>
      </c>
      <c r="AG329" s="478">
        <v>0.59354838709677415</v>
      </c>
      <c r="AH329" s="478">
        <v>0.61935483870967734</v>
      </c>
      <c r="AI329" s="478">
        <v>0.64516129032258052</v>
      </c>
      <c r="AJ329" s="478">
        <v>0.6709677419354837</v>
      </c>
      <c r="AK329" s="478">
        <v>0.69677419354838688</v>
      </c>
      <c r="AL329" s="478">
        <v>0.72258064516129006</v>
      </c>
      <c r="AM329" s="478">
        <v>0.74838709677419324</v>
      </c>
      <c r="AN329" s="478">
        <v>0.77419354838709642</v>
      </c>
      <c r="AO329" s="478">
        <v>0.8</v>
      </c>
    </row>
    <row r="330" spans="2:41">
      <c r="C330" t="s">
        <v>554</v>
      </c>
      <c r="D330" t="s">
        <v>452</v>
      </c>
      <c r="E330" t="str">
        <f t="shared" si="370"/>
        <v>CoachHigh Electrification</v>
      </c>
      <c r="F330" s="478">
        <v>0</v>
      </c>
      <c r="G330" s="478">
        <v>0</v>
      </c>
      <c r="H330" s="478">
        <v>0</v>
      </c>
      <c r="I330" s="478">
        <v>0</v>
      </c>
      <c r="J330" s="478">
        <v>0</v>
      </c>
      <c r="K330" s="478">
        <v>2.5806451612903226E-2</v>
      </c>
      <c r="L330" s="478">
        <v>5.1612903225806452E-2</v>
      </c>
      <c r="M330" s="478">
        <v>7.7419354838709681E-2</v>
      </c>
      <c r="N330" s="478">
        <v>0.1032258064516129</v>
      </c>
      <c r="O330" s="478">
        <v>0.12903225806451613</v>
      </c>
      <c r="P330" s="478">
        <v>0.15483870967741936</v>
      </c>
      <c r="Q330" s="478">
        <v>0.1806451612903226</v>
      </c>
      <c r="R330" s="478">
        <v>0.20645161290322583</v>
      </c>
      <c r="S330" s="478">
        <v>0.23225806451612907</v>
      </c>
      <c r="T330" s="478">
        <v>0.25806451612903231</v>
      </c>
      <c r="U330" s="478">
        <v>0.28387096774193554</v>
      </c>
      <c r="V330" s="478">
        <v>0.30967741935483878</v>
      </c>
      <c r="W330" s="478">
        <v>0.33548387096774201</v>
      </c>
      <c r="X330" s="478">
        <v>0.36129032258064525</v>
      </c>
      <c r="Y330" s="478">
        <v>0.38709677419354849</v>
      </c>
      <c r="Z330" s="478">
        <v>0.41290322580645172</v>
      </c>
      <c r="AA330" s="478">
        <v>0.43870967741935496</v>
      </c>
      <c r="AB330" s="478">
        <v>0.4645161290322582</v>
      </c>
      <c r="AC330" s="478">
        <v>0.49032258064516143</v>
      </c>
      <c r="AD330" s="478">
        <v>0.51612903225806461</v>
      </c>
      <c r="AE330" s="478">
        <v>0.54193548387096779</v>
      </c>
      <c r="AF330" s="478">
        <v>0.56774193548387097</v>
      </c>
      <c r="AG330" s="478">
        <v>0.59354838709677415</v>
      </c>
      <c r="AH330" s="478">
        <v>0.61935483870967734</v>
      </c>
      <c r="AI330" s="478">
        <v>0.64516129032258052</v>
      </c>
      <c r="AJ330" s="478">
        <v>0.6709677419354837</v>
      </c>
      <c r="AK330" s="478">
        <v>0.69677419354838688</v>
      </c>
      <c r="AL330" s="478">
        <v>0.72258064516129006</v>
      </c>
      <c r="AM330" s="478">
        <v>0.74838709677419324</v>
      </c>
      <c r="AN330" s="478">
        <v>0.77419354838709642</v>
      </c>
      <c r="AO330" s="478">
        <v>0.8</v>
      </c>
    </row>
    <row r="331" spans="2:41">
      <c r="C331" t="s">
        <v>237</v>
      </c>
      <c r="D331" t="s">
        <v>452</v>
      </c>
      <c r="E331" t="str">
        <f t="shared" si="370"/>
        <v>TaxisHigh Electrification</v>
      </c>
      <c r="F331" s="478">
        <v>0</v>
      </c>
      <c r="G331" s="478">
        <v>0</v>
      </c>
      <c r="H331" s="478">
        <v>0</v>
      </c>
      <c r="I331" s="478">
        <v>0</v>
      </c>
      <c r="J331" s="478">
        <v>0</v>
      </c>
      <c r="K331" s="478">
        <v>0</v>
      </c>
      <c r="L331" s="478">
        <v>-2.5000000000000001E-3</v>
      </c>
      <c r="M331" s="478">
        <v>-5.0000000000000001E-3</v>
      </c>
      <c r="N331" s="478">
        <v>-7.5000000000000015E-3</v>
      </c>
      <c r="O331" s="478">
        <v>-0.01</v>
      </c>
      <c r="P331" s="478">
        <v>-1.2500000000000001E-2</v>
      </c>
      <c r="Q331" s="478">
        <v>-1.5000000000000003E-2</v>
      </c>
      <c r="R331" s="478">
        <v>-1.7500000000000002E-2</v>
      </c>
      <c r="S331" s="478">
        <v>-0.02</v>
      </c>
      <c r="T331" s="478">
        <v>-2.2499999999999999E-2</v>
      </c>
      <c r="U331" s="478">
        <v>-2.5000000000000001E-2</v>
      </c>
      <c r="V331" s="478">
        <v>-2.75E-2</v>
      </c>
      <c r="W331" s="478">
        <v>-3.0000000000000002E-2</v>
      </c>
      <c r="X331" s="478">
        <v>-3.2500000000000001E-2</v>
      </c>
      <c r="Y331" s="478">
        <v>-3.5000000000000003E-2</v>
      </c>
      <c r="Z331" s="478">
        <v>-3.7500000000000006E-2</v>
      </c>
      <c r="AA331" s="478">
        <v>-4.0000000000000008E-2</v>
      </c>
      <c r="AB331" s="478">
        <v>-4.2500000000000003E-2</v>
      </c>
      <c r="AC331" s="478">
        <v>-4.4999999999999998E-2</v>
      </c>
      <c r="AD331" s="478">
        <v>-4.7500000000000001E-2</v>
      </c>
      <c r="AE331" s="478">
        <v>-0.05</v>
      </c>
      <c r="AF331" s="478">
        <v>-0.05</v>
      </c>
      <c r="AG331" s="478">
        <v>-0.05</v>
      </c>
      <c r="AH331" s="478">
        <v>-0.05</v>
      </c>
      <c r="AI331" s="478">
        <v>-0.05</v>
      </c>
      <c r="AJ331" s="478">
        <v>-0.05</v>
      </c>
      <c r="AK331" s="478">
        <v>-0.05</v>
      </c>
      <c r="AL331" s="478">
        <v>-0.05</v>
      </c>
      <c r="AM331" s="478">
        <v>-0.05</v>
      </c>
      <c r="AN331" s="478">
        <v>-0.05</v>
      </c>
      <c r="AO331" s="478">
        <v>-0.05</v>
      </c>
    </row>
    <row r="332" spans="2:41">
      <c r="C332" t="s">
        <v>236</v>
      </c>
      <c r="D332" t="s">
        <v>452</v>
      </c>
      <c r="E332" t="str">
        <f t="shared" si="370"/>
        <v>BusesHigh Electrification</v>
      </c>
      <c r="F332" s="478">
        <v>0</v>
      </c>
      <c r="G332" s="478">
        <v>0</v>
      </c>
      <c r="H332" s="478">
        <v>0</v>
      </c>
      <c r="I332" s="478">
        <v>0</v>
      </c>
      <c r="J332" s="478">
        <v>0</v>
      </c>
      <c r="K332" s="478">
        <v>0</v>
      </c>
      <c r="L332" s="478">
        <v>-2.5000000000000001E-3</v>
      </c>
      <c r="M332" s="478">
        <v>-5.0000000000000001E-3</v>
      </c>
      <c r="N332" s="478">
        <v>-7.5000000000000015E-3</v>
      </c>
      <c r="O332" s="478">
        <v>-0.01</v>
      </c>
      <c r="P332" s="478">
        <v>-1.2500000000000001E-2</v>
      </c>
      <c r="Q332" s="478">
        <v>-1.5000000000000003E-2</v>
      </c>
      <c r="R332" s="478">
        <v>-1.7500000000000002E-2</v>
      </c>
      <c r="S332" s="478">
        <v>-0.02</v>
      </c>
      <c r="T332" s="478">
        <v>-2.2499999999999999E-2</v>
      </c>
      <c r="U332" s="478">
        <v>-2.5000000000000001E-2</v>
      </c>
      <c r="V332" s="478">
        <v>-2.75E-2</v>
      </c>
      <c r="W332" s="478">
        <v>-3.0000000000000002E-2</v>
      </c>
      <c r="X332" s="478">
        <v>-3.2500000000000001E-2</v>
      </c>
      <c r="Y332" s="478">
        <v>-3.5000000000000003E-2</v>
      </c>
      <c r="Z332" s="478">
        <v>-3.7500000000000006E-2</v>
      </c>
      <c r="AA332" s="478">
        <v>-4.0000000000000008E-2</v>
      </c>
      <c r="AB332" s="478">
        <v>-4.2500000000000003E-2</v>
      </c>
      <c r="AC332" s="478">
        <v>-4.4999999999999998E-2</v>
      </c>
      <c r="AD332" s="478">
        <v>-4.7500000000000001E-2</v>
      </c>
      <c r="AE332" s="478">
        <v>-0.05</v>
      </c>
      <c r="AF332" s="478">
        <v>-0.05</v>
      </c>
      <c r="AG332" s="478">
        <v>-0.05</v>
      </c>
      <c r="AH332" s="478">
        <v>-0.05</v>
      </c>
      <c r="AI332" s="478">
        <v>-0.05</v>
      </c>
      <c r="AJ332" s="478">
        <v>-0.05</v>
      </c>
      <c r="AK332" s="478">
        <v>-0.05</v>
      </c>
      <c r="AL332" s="478">
        <v>-0.05</v>
      </c>
      <c r="AM332" s="478">
        <v>-0.05</v>
      </c>
      <c r="AN332" s="478">
        <v>-0.05</v>
      </c>
      <c r="AO332" s="478">
        <v>-0.05</v>
      </c>
    </row>
    <row r="333" spans="2:41">
      <c r="C333" t="s">
        <v>555</v>
      </c>
      <c r="D333" t="s">
        <v>452</v>
      </c>
      <c r="E333" t="str">
        <f t="shared" si="370"/>
        <v>Double Decker busesHigh Electrification</v>
      </c>
      <c r="F333" s="478">
        <v>0</v>
      </c>
      <c r="G333" s="478">
        <v>0</v>
      </c>
      <c r="H333" s="478">
        <v>0</v>
      </c>
      <c r="I333" s="478">
        <v>0</v>
      </c>
      <c r="J333" s="478">
        <v>0</v>
      </c>
      <c r="K333" s="478">
        <v>0</v>
      </c>
      <c r="L333" s="478">
        <v>-5.0000000000000001E-3</v>
      </c>
      <c r="M333" s="478">
        <v>-0.01</v>
      </c>
      <c r="N333" s="478">
        <v>-1.5000000000000003E-2</v>
      </c>
      <c r="O333" s="478">
        <v>-0.02</v>
      </c>
      <c r="P333" s="478">
        <v>-2.5000000000000001E-2</v>
      </c>
      <c r="Q333" s="478">
        <v>-3.0000000000000006E-2</v>
      </c>
      <c r="R333" s="478">
        <v>-3.5000000000000003E-2</v>
      </c>
      <c r="S333" s="478">
        <v>-0.04</v>
      </c>
      <c r="T333" s="478">
        <v>-4.4999999999999998E-2</v>
      </c>
      <c r="U333" s="478">
        <v>-0.05</v>
      </c>
      <c r="V333" s="478">
        <v>-5.5E-2</v>
      </c>
      <c r="W333" s="478">
        <v>-6.0000000000000005E-2</v>
      </c>
      <c r="X333" s="478">
        <v>-6.5000000000000002E-2</v>
      </c>
      <c r="Y333" s="478">
        <v>-7.0000000000000007E-2</v>
      </c>
      <c r="Z333" s="478">
        <v>-7.5000000000000011E-2</v>
      </c>
      <c r="AA333" s="478">
        <v>-8.0000000000000016E-2</v>
      </c>
      <c r="AB333" s="478">
        <v>-8.5000000000000006E-2</v>
      </c>
      <c r="AC333" s="478">
        <v>-0.09</v>
      </c>
      <c r="AD333" s="478">
        <v>-9.5000000000000001E-2</v>
      </c>
      <c r="AE333" s="478">
        <v>-0.1</v>
      </c>
      <c r="AF333" s="478">
        <v>-0.1</v>
      </c>
      <c r="AG333" s="478">
        <v>-0.1</v>
      </c>
      <c r="AH333" s="478">
        <v>-0.1</v>
      </c>
      <c r="AI333" s="478">
        <v>-0.1</v>
      </c>
      <c r="AJ333" s="478">
        <v>-0.1</v>
      </c>
      <c r="AK333" s="478">
        <v>-0.1</v>
      </c>
      <c r="AL333" s="478">
        <v>-0.1</v>
      </c>
      <c r="AM333" s="478">
        <v>-0.1</v>
      </c>
      <c r="AN333" s="478">
        <v>-0.1</v>
      </c>
      <c r="AO333" s="478">
        <v>-0.1</v>
      </c>
    </row>
    <row r="335" spans="2:41">
      <c r="B335" t="str">
        <f>INDEX('Scenario names'!$C$3:$C$6,3)</f>
        <v>Accelerated Green</v>
      </c>
      <c r="F335" s="35">
        <v>2015</v>
      </c>
      <c r="G335" s="35">
        <v>2016</v>
      </c>
      <c r="H335" s="35">
        <v>2017</v>
      </c>
      <c r="I335" s="35">
        <v>2018</v>
      </c>
      <c r="J335" s="35">
        <v>2019</v>
      </c>
      <c r="K335" s="35">
        <v>2020</v>
      </c>
      <c r="L335" s="35">
        <v>2021</v>
      </c>
      <c r="M335" s="35">
        <v>2022</v>
      </c>
      <c r="N335" s="35">
        <v>2023</v>
      </c>
      <c r="O335" s="35">
        <v>2024</v>
      </c>
      <c r="P335" s="35">
        <v>2025</v>
      </c>
      <c r="Q335" s="35">
        <v>2026</v>
      </c>
      <c r="R335" s="35">
        <v>2027</v>
      </c>
      <c r="S335" s="35">
        <v>2028</v>
      </c>
      <c r="T335" s="35">
        <v>2029</v>
      </c>
      <c r="U335" s="35">
        <v>2030</v>
      </c>
      <c r="V335" s="35">
        <v>2031</v>
      </c>
      <c r="W335" s="35">
        <v>2032</v>
      </c>
      <c r="X335" s="35">
        <v>2033</v>
      </c>
      <c r="Y335" s="35">
        <v>2034</v>
      </c>
      <c r="Z335" s="35">
        <v>2035</v>
      </c>
      <c r="AA335" s="35">
        <v>2036</v>
      </c>
      <c r="AB335" s="35">
        <v>2037</v>
      </c>
      <c r="AC335" s="35">
        <v>2038</v>
      </c>
      <c r="AD335" s="35">
        <v>2039</v>
      </c>
      <c r="AE335" s="35">
        <v>2040</v>
      </c>
      <c r="AF335" s="35">
        <v>2041</v>
      </c>
      <c r="AG335" s="35">
        <v>2042</v>
      </c>
      <c r="AH335" s="35">
        <v>2043</v>
      </c>
      <c r="AI335" s="35">
        <v>2044</v>
      </c>
      <c r="AJ335" s="35">
        <v>2045</v>
      </c>
      <c r="AK335" s="35">
        <v>2046</v>
      </c>
      <c r="AL335" s="35">
        <v>2047</v>
      </c>
      <c r="AM335" s="35">
        <v>2048</v>
      </c>
      <c r="AN335" s="35">
        <v>2049</v>
      </c>
      <c r="AO335" s="35">
        <v>2050</v>
      </c>
    </row>
    <row r="336" spans="2:41">
      <c r="C336" t="s">
        <v>233</v>
      </c>
      <c r="D336" t="s">
        <v>452</v>
      </c>
      <c r="E336" t="str">
        <f>C336&amp;$B$335</f>
        <v>CarsAccelerated Green</v>
      </c>
      <c r="F336" s="478">
        <v>0</v>
      </c>
      <c r="G336" s="478">
        <v>0</v>
      </c>
      <c r="H336" s="478">
        <v>0</v>
      </c>
      <c r="I336" s="478">
        <v>0</v>
      </c>
      <c r="J336" s="478">
        <v>0</v>
      </c>
      <c r="K336" s="478">
        <v>0</v>
      </c>
      <c r="L336" s="478">
        <v>5.0000000000000001E-3</v>
      </c>
      <c r="M336" s="478">
        <v>0.01</v>
      </c>
      <c r="N336" s="478">
        <v>1.5000000000000003E-2</v>
      </c>
      <c r="O336" s="478">
        <v>0.02</v>
      </c>
      <c r="P336" s="478">
        <v>2.5000000000000001E-2</v>
      </c>
      <c r="Q336" s="478">
        <v>3.0000000000000006E-2</v>
      </c>
      <c r="R336" s="478">
        <v>3.5000000000000003E-2</v>
      </c>
      <c r="S336" s="478">
        <v>0.04</v>
      </c>
      <c r="T336" s="478">
        <v>4.4999999999999998E-2</v>
      </c>
      <c r="U336" s="478">
        <v>0.05</v>
      </c>
      <c r="V336" s="478">
        <v>5.5E-2</v>
      </c>
      <c r="W336" s="478">
        <v>6.0000000000000005E-2</v>
      </c>
      <c r="X336" s="478">
        <v>6.5000000000000002E-2</v>
      </c>
      <c r="Y336" s="478">
        <v>7.0000000000000007E-2</v>
      </c>
      <c r="Z336" s="478">
        <v>7.5000000000000011E-2</v>
      </c>
      <c r="AA336" s="478">
        <v>8.0000000000000016E-2</v>
      </c>
      <c r="AB336" s="478">
        <v>8.5000000000000006E-2</v>
      </c>
      <c r="AC336" s="478">
        <v>0.09</v>
      </c>
      <c r="AD336" s="478">
        <v>9.5000000000000001E-2</v>
      </c>
      <c r="AE336" s="478">
        <v>0.1</v>
      </c>
      <c r="AF336" s="478">
        <v>0.1</v>
      </c>
      <c r="AG336" s="478">
        <v>0.1</v>
      </c>
      <c r="AH336" s="478">
        <v>0.1</v>
      </c>
      <c r="AI336" s="478">
        <v>0.1</v>
      </c>
      <c r="AJ336" s="478">
        <v>0.1</v>
      </c>
      <c r="AK336" s="478">
        <v>0.1</v>
      </c>
      <c r="AL336" s="478">
        <v>0.1</v>
      </c>
      <c r="AM336" s="478">
        <v>0.1</v>
      </c>
      <c r="AN336" s="478">
        <v>0.1</v>
      </c>
      <c r="AO336" s="478">
        <v>0.1</v>
      </c>
    </row>
    <row r="337" spans="2:41">
      <c r="C337" t="s">
        <v>234</v>
      </c>
      <c r="D337" t="s">
        <v>452</v>
      </c>
      <c r="E337" t="str">
        <f t="shared" ref="E337:E343" si="371">C337&amp;$B$335</f>
        <v>LGVsAccelerated Green</v>
      </c>
      <c r="F337" s="478">
        <v>0</v>
      </c>
      <c r="G337" s="478">
        <v>0</v>
      </c>
      <c r="H337" s="478">
        <v>0</v>
      </c>
      <c r="I337" s="478">
        <v>0</v>
      </c>
      <c r="J337" s="478">
        <v>0</v>
      </c>
      <c r="K337" s="478">
        <v>0</v>
      </c>
      <c r="L337" s="478">
        <v>-0.02</v>
      </c>
      <c r="M337" s="478">
        <v>-0.04</v>
      </c>
      <c r="N337" s="478">
        <v>-6.0000000000000012E-2</v>
      </c>
      <c r="O337" s="478">
        <v>-0.08</v>
      </c>
      <c r="P337" s="478">
        <v>-0.1</v>
      </c>
      <c r="Q337" s="478">
        <v>-0.12000000000000002</v>
      </c>
      <c r="R337" s="478">
        <v>-0.14000000000000001</v>
      </c>
      <c r="S337" s="478">
        <v>-0.16</v>
      </c>
      <c r="T337" s="478">
        <v>-0.18</v>
      </c>
      <c r="U337" s="478">
        <v>-0.2</v>
      </c>
      <c r="V337" s="478">
        <v>-0.22</v>
      </c>
      <c r="W337" s="478">
        <v>-0.24000000000000002</v>
      </c>
      <c r="X337" s="478">
        <v>-0.26</v>
      </c>
      <c r="Y337" s="478">
        <v>-0.28000000000000003</v>
      </c>
      <c r="Z337" s="478">
        <v>-0.30000000000000004</v>
      </c>
      <c r="AA337" s="478">
        <v>-0.32000000000000006</v>
      </c>
      <c r="AB337" s="478">
        <v>-0.34</v>
      </c>
      <c r="AC337" s="478">
        <v>-0.36</v>
      </c>
      <c r="AD337" s="478">
        <v>-0.38</v>
      </c>
      <c r="AE337" s="478">
        <v>-0.4</v>
      </c>
      <c r="AF337" s="478">
        <v>-0.4</v>
      </c>
      <c r="AG337" s="478">
        <v>-0.4</v>
      </c>
      <c r="AH337" s="478">
        <v>-0.4</v>
      </c>
      <c r="AI337" s="478">
        <v>-0.4</v>
      </c>
      <c r="AJ337" s="478">
        <v>-0.4</v>
      </c>
      <c r="AK337" s="478">
        <v>-0.4</v>
      </c>
      <c r="AL337" s="478">
        <v>-0.4</v>
      </c>
      <c r="AM337" s="478">
        <v>-0.4</v>
      </c>
      <c r="AN337" s="478">
        <v>-0.4</v>
      </c>
      <c r="AO337" s="478">
        <v>-0.4</v>
      </c>
    </row>
    <row r="338" spans="2:41">
      <c r="C338" t="s">
        <v>235</v>
      </c>
      <c r="D338" t="s">
        <v>452</v>
      </c>
      <c r="E338" t="str">
        <f t="shared" si="371"/>
        <v>HGVsAccelerated Green</v>
      </c>
      <c r="F338" s="478">
        <v>0</v>
      </c>
      <c r="G338" s="478">
        <v>0</v>
      </c>
      <c r="H338" s="478">
        <v>0</v>
      </c>
      <c r="I338" s="478">
        <v>0</v>
      </c>
      <c r="J338" s="478">
        <v>0</v>
      </c>
      <c r="K338" s="478">
        <v>2.2580645161290321E-2</v>
      </c>
      <c r="L338" s="478">
        <v>4.5161290322580643E-2</v>
      </c>
      <c r="M338" s="478">
        <v>6.774193548387096E-2</v>
      </c>
      <c r="N338" s="478">
        <v>9.0322580645161285E-2</v>
      </c>
      <c r="O338" s="478">
        <v>0.11290322580645161</v>
      </c>
      <c r="P338" s="478">
        <v>0.13548387096774192</v>
      </c>
      <c r="Q338" s="478">
        <v>0.15806451612903225</v>
      </c>
      <c r="R338" s="478">
        <v>0.18064516129032257</v>
      </c>
      <c r="S338" s="478">
        <v>0.20322580645161289</v>
      </c>
      <c r="T338" s="478">
        <v>0.22580645161290322</v>
      </c>
      <c r="U338" s="478">
        <v>0.24838709677419354</v>
      </c>
      <c r="V338" s="478">
        <v>0.27096774193548384</v>
      </c>
      <c r="W338" s="478">
        <v>0.29354838709677417</v>
      </c>
      <c r="X338" s="478">
        <v>0.31612903225806449</v>
      </c>
      <c r="Y338" s="478">
        <v>0.33870967741935482</v>
      </c>
      <c r="Z338" s="478">
        <v>0.36129032258064514</v>
      </c>
      <c r="AA338" s="478">
        <v>0.38387096774193546</v>
      </c>
      <c r="AB338" s="478">
        <v>0.40645161290322579</v>
      </c>
      <c r="AC338" s="478">
        <v>0.42903225806451611</v>
      </c>
      <c r="AD338" s="478">
        <v>0.45161290322580644</v>
      </c>
      <c r="AE338" s="478">
        <v>0.47419354838709676</v>
      </c>
      <c r="AF338" s="478">
        <v>0.49677419354838709</v>
      </c>
      <c r="AG338" s="478">
        <v>0.51935483870967736</v>
      </c>
      <c r="AH338" s="478">
        <v>0.54193548387096768</v>
      </c>
      <c r="AI338" s="478">
        <v>0.56451612903225801</v>
      </c>
      <c r="AJ338" s="478">
        <v>0.58709677419354833</v>
      </c>
      <c r="AK338" s="478">
        <v>0.60967741935483866</v>
      </c>
      <c r="AL338" s="478">
        <v>0.63225806451612898</v>
      </c>
      <c r="AM338" s="478">
        <v>0.65483870967741931</v>
      </c>
      <c r="AN338" s="478">
        <v>0.67741935483870963</v>
      </c>
      <c r="AO338" s="478">
        <v>0.7</v>
      </c>
    </row>
    <row r="339" spans="2:41">
      <c r="C339" t="s">
        <v>553</v>
      </c>
      <c r="D339" t="s">
        <v>452</v>
      </c>
      <c r="E339" t="str">
        <f t="shared" si="371"/>
        <v>Artic HGVAccelerated Green</v>
      </c>
      <c r="F339" s="478">
        <v>0</v>
      </c>
      <c r="G339" s="478">
        <v>0</v>
      </c>
      <c r="H339" s="478">
        <v>0</v>
      </c>
      <c r="I339" s="478">
        <v>0</v>
      </c>
      <c r="J339" s="478">
        <v>0</v>
      </c>
      <c r="K339" s="478">
        <v>1.6129032258064516E-2</v>
      </c>
      <c r="L339" s="478">
        <v>3.2258064516129031E-2</v>
      </c>
      <c r="M339" s="478">
        <v>4.8387096774193547E-2</v>
      </c>
      <c r="N339" s="478">
        <v>6.4516129032258063E-2</v>
      </c>
      <c r="O339" s="478">
        <v>8.0645161290322578E-2</v>
      </c>
      <c r="P339" s="478">
        <v>9.6774193548387094E-2</v>
      </c>
      <c r="Q339" s="478">
        <v>0.11290322580645161</v>
      </c>
      <c r="R339" s="478">
        <v>0.12903225806451613</v>
      </c>
      <c r="S339" s="478">
        <v>0.14516129032258063</v>
      </c>
      <c r="T339" s="478">
        <v>0.16129032258064513</v>
      </c>
      <c r="U339" s="478">
        <v>0.17741935483870963</v>
      </c>
      <c r="V339" s="478">
        <v>0.19354838709677413</v>
      </c>
      <c r="W339" s="478">
        <v>0.20967741935483863</v>
      </c>
      <c r="X339" s="478">
        <v>0.22580645161290314</v>
      </c>
      <c r="Y339" s="478">
        <v>0.24193548387096764</v>
      </c>
      <c r="Z339" s="478">
        <v>0.25806451612903214</v>
      </c>
      <c r="AA339" s="478">
        <v>0.27419354838709664</v>
      </c>
      <c r="AB339" s="478">
        <v>0.29032258064516114</v>
      </c>
      <c r="AC339" s="478">
        <v>0.30645161290322565</v>
      </c>
      <c r="AD339" s="478">
        <v>0.32258064516129015</v>
      </c>
      <c r="AE339" s="478">
        <v>0.33870967741935465</v>
      </c>
      <c r="AF339" s="478">
        <v>0.35483870967741915</v>
      </c>
      <c r="AG339" s="478">
        <v>0.37096774193548365</v>
      </c>
      <c r="AH339" s="478">
        <v>0.38709677419354815</v>
      </c>
      <c r="AI339" s="478">
        <v>0.40322580645161266</v>
      </c>
      <c r="AJ339" s="478">
        <v>0.41935483870967716</v>
      </c>
      <c r="AK339" s="478">
        <v>0.43548387096774166</v>
      </c>
      <c r="AL339" s="478">
        <v>0.45161290322580616</v>
      </c>
      <c r="AM339" s="478">
        <v>0.46774193548387066</v>
      </c>
      <c r="AN339" s="478">
        <v>0.48387096774193517</v>
      </c>
      <c r="AO339" s="478">
        <v>0.5</v>
      </c>
    </row>
    <row r="340" spans="2:41">
      <c r="C340" t="s">
        <v>554</v>
      </c>
      <c r="D340" t="s">
        <v>452</v>
      </c>
      <c r="E340" t="str">
        <f t="shared" si="371"/>
        <v>CoachAccelerated Green</v>
      </c>
      <c r="F340" s="478">
        <v>0</v>
      </c>
      <c r="G340" s="478">
        <v>0</v>
      </c>
      <c r="H340" s="478">
        <v>0</v>
      </c>
      <c r="I340" s="478">
        <v>0</v>
      </c>
      <c r="J340" s="478">
        <v>0</v>
      </c>
      <c r="K340" s="478">
        <v>2.2580645161290321E-2</v>
      </c>
      <c r="L340" s="478">
        <v>4.5161290322580643E-2</v>
      </c>
      <c r="M340" s="478">
        <v>6.774193548387096E-2</v>
      </c>
      <c r="N340" s="478">
        <v>9.0322580645161285E-2</v>
      </c>
      <c r="O340" s="478">
        <v>0.11290322580645161</v>
      </c>
      <c r="P340" s="478">
        <v>0.13548387096774192</v>
      </c>
      <c r="Q340" s="478">
        <v>0.15806451612903225</v>
      </c>
      <c r="R340" s="478">
        <v>0.18064516129032257</v>
      </c>
      <c r="S340" s="478">
        <v>0.20322580645161289</v>
      </c>
      <c r="T340" s="478">
        <v>0.22580645161290322</v>
      </c>
      <c r="U340" s="478">
        <v>0.24838709677419354</v>
      </c>
      <c r="V340" s="478">
        <v>0.27096774193548384</v>
      </c>
      <c r="W340" s="478">
        <v>0.29354838709677417</v>
      </c>
      <c r="X340" s="478">
        <v>0.31612903225806449</v>
      </c>
      <c r="Y340" s="478">
        <v>0.33870967741935482</v>
      </c>
      <c r="Z340" s="478">
        <v>0.36129032258064514</v>
      </c>
      <c r="AA340" s="478">
        <v>0.38387096774193546</v>
      </c>
      <c r="AB340" s="478">
        <v>0.40645161290322579</v>
      </c>
      <c r="AC340" s="478">
        <v>0.42903225806451611</v>
      </c>
      <c r="AD340" s="478">
        <v>0.45161290322580644</v>
      </c>
      <c r="AE340" s="478">
        <v>0.47419354838709676</v>
      </c>
      <c r="AF340" s="478">
        <v>0.49677419354838709</v>
      </c>
      <c r="AG340" s="478">
        <v>0.51935483870967736</v>
      </c>
      <c r="AH340" s="478">
        <v>0.54193548387096768</v>
      </c>
      <c r="AI340" s="478">
        <v>0.56451612903225801</v>
      </c>
      <c r="AJ340" s="478">
        <v>0.58709677419354833</v>
      </c>
      <c r="AK340" s="478">
        <v>0.60967741935483866</v>
      </c>
      <c r="AL340" s="478">
        <v>0.63225806451612898</v>
      </c>
      <c r="AM340" s="478">
        <v>0.65483870967741931</v>
      </c>
      <c r="AN340" s="478">
        <v>0.67741935483870963</v>
      </c>
      <c r="AO340" s="478">
        <v>0.7</v>
      </c>
    </row>
    <row r="341" spans="2:41">
      <c r="C341" t="s">
        <v>237</v>
      </c>
      <c r="D341" t="s">
        <v>452</v>
      </c>
      <c r="E341" t="str">
        <f t="shared" si="371"/>
        <v>TaxisAccelerated Green</v>
      </c>
      <c r="F341" s="478">
        <v>0</v>
      </c>
      <c r="G341" s="478">
        <v>0</v>
      </c>
      <c r="H341" s="478">
        <v>0</v>
      </c>
      <c r="I341" s="478">
        <v>0</v>
      </c>
      <c r="J341" s="478">
        <v>0</v>
      </c>
      <c r="K341" s="478">
        <v>0</v>
      </c>
      <c r="L341" s="478">
        <v>-2.5000000000000001E-3</v>
      </c>
      <c r="M341" s="478">
        <v>-5.0000000000000001E-3</v>
      </c>
      <c r="N341" s="478">
        <v>-7.5000000000000015E-3</v>
      </c>
      <c r="O341" s="478">
        <v>-0.01</v>
      </c>
      <c r="P341" s="478">
        <v>-1.2500000000000001E-2</v>
      </c>
      <c r="Q341" s="478">
        <v>-1.5000000000000003E-2</v>
      </c>
      <c r="R341" s="478">
        <v>-1.7500000000000002E-2</v>
      </c>
      <c r="S341" s="478">
        <v>-0.02</v>
      </c>
      <c r="T341" s="478">
        <v>-2.2499999999999999E-2</v>
      </c>
      <c r="U341" s="478">
        <v>-2.5000000000000001E-2</v>
      </c>
      <c r="V341" s="478">
        <v>-3.2500000000000001E-2</v>
      </c>
      <c r="W341" s="478">
        <v>-4.0000000000000008E-2</v>
      </c>
      <c r="X341" s="478">
        <v>-4.7500000000000001E-2</v>
      </c>
      <c r="Y341" s="478">
        <v>-5.5000000000000007E-2</v>
      </c>
      <c r="Z341" s="478">
        <v>-6.25E-2</v>
      </c>
      <c r="AA341" s="478">
        <v>-7.0000000000000007E-2</v>
      </c>
      <c r="AB341" s="478">
        <v>-7.7500000000000013E-2</v>
      </c>
      <c r="AC341" s="478">
        <v>-8.500000000000002E-2</v>
      </c>
      <c r="AD341" s="478">
        <v>-9.2499999999999999E-2</v>
      </c>
      <c r="AE341" s="478">
        <v>-0.1</v>
      </c>
      <c r="AF341" s="478">
        <v>-0.115</v>
      </c>
      <c r="AG341" s="478">
        <v>-0.13</v>
      </c>
      <c r="AH341" s="478">
        <v>-0.14500000000000002</v>
      </c>
      <c r="AI341" s="478">
        <v>-0.16</v>
      </c>
      <c r="AJ341" s="478">
        <v>-0.17499999999999999</v>
      </c>
      <c r="AK341" s="478">
        <v>-0.19</v>
      </c>
      <c r="AL341" s="478">
        <v>-0.20500000000000002</v>
      </c>
      <c r="AM341" s="478">
        <v>-0.22</v>
      </c>
      <c r="AN341" s="478">
        <v>-0.23499999999999999</v>
      </c>
      <c r="AO341" s="478">
        <v>-0.25</v>
      </c>
    </row>
    <row r="342" spans="2:41">
      <c r="C342" t="s">
        <v>236</v>
      </c>
      <c r="D342" t="s">
        <v>452</v>
      </c>
      <c r="E342" t="str">
        <f t="shared" si="371"/>
        <v>BusesAccelerated Green</v>
      </c>
      <c r="F342" s="478">
        <v>0</v>
      </c>
      <c r="G342" s="478">
        <v>0</v>
      </c>
      <c r="H342" s="478">
        <v>0</v>
      </c>
      <c r="I342" s="478">
        <v>0</v>
      </c>
      <c r="J342" s="478">
        <v>0</v>
      </c>
      <c r="K342" s="478">
        <v>0</v>
      </c>
      <c r="L342" s="478">
        <v>-2.5000000000000001E-3</v>
      </c>
      <c r="M342" s="478">
        <v>-5.0000000000000001E-3</v>
      </c>
      <c r="N342" s="478">
        <v>-7.5000000000000015E-3</v>
      </c>
      <c r="O342" s="478">
        <v>-0.01</v>
      </c>
      <c r="P342" s="478">
        <v>-1.2500000000000001E-2</v>
      </c>
      <c r="Q342" s="478">
        <v>-1.5000000000000003E-2</v>
      </c>
      <c r="R342" s="478">
        <v>-1.7500000000000002E-2</v>
      </c>
      <c r="S342" s="478">
        <v>-0.02</v>
      </c>
      <c r="T342" s="478">
        <v>-2.2499999999999999E-2</v>
      </c>
      <c r="U342" s="478">
        <v>-2.5000000000000001E-2</v>
      </c>
      <c r="V342" s="478">
        <v>-3.2500000000000001E-2</v>
      </c>
      <c r="W342" s="478">
        <v>-4.0000000000000008E-2</v>
      </c>
      <c r="X342" s="478">
        <v>-4.7500000000000001E-2</v>
      </c>
      <c r="Y342" s="478">
        <v>-5.5000000000000007E-2</v>
      </c>
      <c r="Z342" s="478">
        <v>-6.25E-2</v>
      </c>
      <c r="AA342" s="478">
        <v>-7.0000000000000007E-2</v>
      </c>
      <c r="AB342" s="478">
        <v>-7.7500000000000013E-2</v>
      </c>
      <c r="AC342" s="478">
        <v>-8.500000000000002E-2</v>
      </c>
      <c r="AD342" s="478">
        <v>-9.2499999999999999E-2</v>
      </c>
      <c r="AE342" s="478">
        <v>-0.1</v>
      </c>
      <c r="AF342" s="478">
        <v>-0.115</v>
      </c>
      <c r="AG342" s="478">
        <v>-0.13</v>
      </c>
      <c r="AH342" s="478">
        <v>-0.14500000000000002</v>
      </c>
      <c r="AI342" s="478">
        <v>-0.16</v>
      </c>
      <c r="AJ342" s="478">
        <v>-0.17499999999999999</v>
      </c>
      <c r="AK342" s="478">
        <v>-0.19</v>
      </c>
      <c r="AL342" s="478">
        <v>-0.20500000000000002</v>
      </c>
      <c r="AM342" s="478">
        <v>-0.22</v>
      </c>
      <c r="AN342" s="478">
        <v>-0.23499999999999999</v>
      </c>
      <c r="AO342" s="478">
        <v>-0.25</v>
      </c>
    </row>
    <row r="343" spans="2:41">
      <c r="C343" t="s">
        <v>555</v>
      </c>
      <c r="D343" t="s">
        <v>452</v>
      </c>
      <c r="E343" t="str">
        <f t="shared" si="371"/>
        <v>Double Decker busesAccelerated Green</v>
      </c>
      <c r="F343" s="478">
        <v>0</v>
      </c>
      <c r="G343" s="478">
        <v>0</v>
      </c>
      <c r="H343" s="478">
        <v>0</v>
      </c>
      <c r="I343" s="478">
        <v>0</v>
      </c>
      <c r="J343" s="478">
        <v>0</v>
      </c>
      <c r="K343" s="478">
        <v>0</v>
      </c>
      <c r="L343" s="478">
        <v>-5.0000000000000001E-3</v>
      </c>
      <c r="M343" s="478">
        <v>-0.01</v>
      </c>
      <c r="N343" s="478">
        <v>-1.5000000000000003E-2</v>
      </c>
      <c r="O343" s="478">
        <v>-0.02</v>
      </c>
      <c r="P343" s="478">
        <v>-2.5000000000000001E-2</v>
      </c>
      <c r="Q343" s="478">
        <v>-3.0000000000000006E-2</v>
      </c>
      <c r="R343" s="478">
        <v>-3.5000000000000003E-2</v>
      </c>
      <c r="S343" s="478">
        <v>-0.04</v>
      </c>
      <c r="T343" s="478">
        <v>-4.4999999999999998E-2</v>
      </c>
      <c r="U343" s="478">
        <v>-0.05</v>
      </c>
      <c r="V343" s="478">
        <v>-6.5000000000000002E-2</v>
      </c>
      <c r="W343" s="478">
        <v>-8.0000000000000016E-2</v>
      </c>
      <c r="X343" s="478">
        <v>-9.5000000000000001E-2</v>
      </c>
      <c r="Y343" s="478">
        <v>-0.11000000000000001</v>
      </c>
      <c r="Z343" s="478">
        <v>-0.125</v>
      </c>
      <c r="AA343" s="478">
        <v>-0.14000000000000001</v>
      </c>
      <c r="AB343" s="478">
        <v>-0.15500000000000003</v>
      </c>
      <c r="AC343" s="478">
        <v>-0.17000000000000004</v>
      </c>
      <c r="AD343" s="478">
        <v>-0.185</v>
      </c>
      <c r="AE343" s="478">
        <v>-0.2</v>
      </c>
      <c r="AF343" s="478">
        <v>-0.23</v>
      </c>
      <c r="AG343" s="478">
        <v>-0.26</v>
      </c>
      <c r="AH343" s="478">
        <v>-0.29000000000000004</v>
      </c>
      <c r="AI343" s="478">
        <v>-0.32</v>
      </c>
      <c r="AJ343" s="478">
        <v>-0.35</v>
      </c>
      <c r="AK343" s="478">
        <v>-0.38</v>
      </c>
      <c r="AL343" s="478">
        <v>-0.41000000000000003</v>
      </c>
      <c r="AM343" s="478">
        <v>-0.44</v>
      </c>
      <c r="AN343" s="478">
        <v>-0.47</v>
      </c>
      <c r="AO343" s="478">
        <v>-0.5</v>
      </c>
    </row>
    <row r="345" spans="2:41">
      <c r="B345" t="str">
        <f>INDEX('Scenario names'!$C$3:$C$6,4)</f>
        <v>No Constraints</v>
      </c>
      <c r="F345" s="35">
        <v>2015</v>
      </c>
      <c r="G345" s="35">
        <v>2016</v>
      </c>
      <c r="H345" s="35">
        <v>2017</v>
      </c>
      <c r="I345" s="35">
        <v>2018</v>
      </c>
      <c r="J345" s="35">
        <v>2019</v>
      </c>
      <c r="K345" s="35">
        <v>2020</v>
      </c>
      <c r="L345" s="35">
        <v>2021</v>
      </c>
      <c r="M345" s="35">
        <v>2022</v>
      </c>
      <c r="N345" s="35">
        <v>2023</v>
      </c>
      <c r="O345" s="35">
        <v>2024</v>
      </c>
      <c r="P345" s="35">
        <v>2025</v>
      </c>
      <c r="Q345" s="35">
        <v>2026</v>
      </c>
      <c r="R345" s="35">
        <v>2027</v>
      </c>
      <c r="S345" s="35">
        <v>2028</v>
      </c>
      <c r="T345" s="35">
        <v>2029</v>
      </c>
      <c r="U345" s="35">
        <v>2030</v>
      </c>
      <c r="V345" s="35">
        <v>2031</v>
      </c>
      <c r="W345" s="35">
        <v>2032</v>
      </c>
      <c r="X345" s="35">
        <v>2033</v>
      </c>
      <c r="Y345" s="35">
        <v>2034</v>
      </c>
      <c r="Z345" s="35">
        <v>2035</v>
      </c>
      <c r="AA345" s="35">
        <v>2036</v>
      </c>
      <c r="AB345" s="35">
        <v>2037</v>
      </c>
      <c r="AC345" s="35">
        <v>2038</v>
      </c>
      <c r="AD345" s="35">
        <v>2039</v>
      </c>
      <c r="AE345" s="35">
        <v>2040</v>
      </c>
      <c r="AF345" s="35">
        <v>2041</v>
      </c>
      <c r="AG345" s="35">
        <v>2042</v>
      </c>
      <c r="AH345" s="35">
        <v>2043</v>
      </c>
      <c r="AI345" s="35">
        <v>2044</v>
      </c>
      <c r="AJ345" s="35">
        <v>2045</v>
      </c>
      <c r="AK345" s="35">
        <v>2046</v>
      </c>
      <c r="AL345" s="35">
        <v>2047</v>
      </c>
      <c r="AM345" s="35">
        <v>2048</v>
      </c>
      <c r="AN345" s="35">
        <v>2049</v>
      </c>
      <c r="AO345" s="35">
        <v>2050</v>
      </c>
    </row>
    <row r="346" spans="2:41">
      <c r="C346" t="s">
        <v>233</v>
      </c>
      <c r="D346" t="s">
        <v>452</v>
      </c>
      <c r="E346" t="str">
        <f>C346&amp;$B$345</f>
        <v>CarsNo Constraints</v>
      </c>
      <c r="F346" s="478">
        <v>0</v>
      </c>
      <c r="G346" s="478">
        <v>0</v>
      </c>
      <c r="H346" s="478">
        <v>0</v>
      </c>
      <c r="I346" s="478">
        <v>0</v>
      </c>
      <c r="J346" s="478">
        <v>0</v>
      </c>
      <c r="K346" s="478">
        <v>0</v>
      </c>
      <c r="L346" s="478">
        <v>0</v>
      </c>
      <c r="M346" s="478">
        <v>0</v>
      </c>
      <c r="N346" s="478">
        <v>0</v>
      </c>
      <c r="O346" s="478">
        <v>0</v>
      </c>
      <c r="P346" s="478">
        <v>0</v>
      </c>
      <c r="Q346" s="478">
        <v>0</v>
      </c>
      <c r="R346" s="478">
        <v>0</v>
      </c>
      <c r="S346" s="478">
        <v>0</v>
      </c>
      <c r="T346" s="478">
        <v>0</v>
      </c>
      <c r="U346" s="478">
        <v>0</v>
      </c>
      <c r="V346" s="478">
        <v>0</v>
      </c>
      <c r="W346" s="478">
        <v>0</v>
      </c>
      <c r="X346" s="478">
        <v>0</v>
      </c>
      <c r="Y346" s="478">
        <v>0</v>
      </c>
      <c r="Z346" s="478">
        <v>0</v>
      </c>
      <c r="AA346" s="478">
        <v>0</v>
      </c>
      <c r="AB346" s="478">
        <v>0</v>
      </c>
      <c r="AC346" s="478">
        <v>0</v>
      </c>
      <c r="AD346" s="478">
        <v>0</v>
      </c>
      <c r="AE346" s="478">
        <v>0</v>
      </c>
      <c r="AF346" s="478">
        <v>0</v>
      </c>
      <c r="AG346" s="478">
        <v>0</v>
      </c>
      <c r="AH346" s="478">
        <v>0</v>
      </c>
      <c r="AI346" s="478">
        <v>0</v>
      </c>
      <c r="AJ346" s="478">
        <v>0</v>
      </c>
      <c r="AK346" s="478">
        <v>0</v>
      </c>
      <c r="AL346" s="478">
        <v>0</v>
      </c>
      <c r="AM346" s="478">
        <v>0</v>
      </c>
      <c r="AN346" s="478">
        <v>0</v>
      </c>
      <c r="AO346" s="478">
        <v>0</v>
      </c>
    </row>
    <row r="347" spans="2:41">
      <c r="C347" t="s">
        <v>234</v>
      </c>
      <c r="D347" t="s">
        <v>452</v>
      </c>
      <c r="E347" t="str">
        <f t="shared" ref="E347:E353" si="372">C347&amp;$B$345</f>
        <v>LGVsNo Constraints</v>
      </c>
      <c r="F347" s="478">
        <v>0</v>
      </c>
      <c r="G347" s="478">
        <v>0</v>
      </c>
      <c r="H347" s="478">
        <v>0</v>
      </c>
      <c r="I347" s="478">
        <v>0</v>
      </c>
      <c r="J347" s="478">
        <v>0</v>
      </c>
      <c r="K347" s="478">
        <v>0</v>
      </c>
      <c r="L347" s="478">
        <v>0</v>
      </c>
      <c r="M347" s="478">
        <v>0</v>
      </c>
      <c r="N347" s="478">
        <v>0</v>
      </c>
      <c r="O347" s="478">
        <v>0</v>
      </c>
      <c r="P347" s="478">
        <v>0</v>
      </c>
      <c r="Q347" s="478">
        <v>0</v>
      </c>
      <c r="R347" s="478">
        <v>0</v>
      </c>
      <c r="S347" s="478">
        <v>0</v>
      </c>
      <c r="T347" s="478">
        <v>0</v>
      </c>
      <c r="U347" s="478">
        <v>0</v>
      </c>
      <c r="V347" s="478">
        <v>0</v>
      </c>
      <c r="W347" s="478">
        <v>0</v>
      </c>
      <c r="X347" s="478">
        <v>0</v>
      </c>
      <c r="Y347" s="478">
        <v>0</v>
      </c>
      <c r="Z347" s="478">
        <v>0</v>
      </c>
      <c r="AA347" s="478">
        <v>0</v>
      </c>
      <c r="AB347" s="478">
        <v>0</v>
      </c>
      <c r="AC347" s="478">
        <v>0</v>
      </c>
      <c r="AD347" s="478">
        <v>0</v>
      </c>
      <c r="AE347" s="478">
        <v>0</v>
      </c>
      <c r="AF347" s="478">
        <v>0</v>
      </c>
      <c r="AG347" s="478">
        <v>0</v>
      </c>
      <c r="AH347" s="478">
        <v>0</v>
      </c>
      <c r="AI347" s="478">
        <v>0</v>
      </c>
      <c r="AJ347" s="478">
        <v>0</v>
      </c>
      <c r="AK347" s="478">
        <v>0</v>
      </c>
      <c r="AL347" s="478">
        <v>0</v>
      </c>
      <c r="AM347" s="478">
        <v>0</v>
      </c>
      <c r="AN347" s="478">
        <v>0</v>
      </c>
      <c r="AO347" s="478">
        <v>0</v>
      </c>
    </row>
    <row r="348" spans="2:41">
      <c r="C348" t="s">
        <v>235</v>
      </c>
      <c r="D348" t="s">
        <v>452</v>
      </c>
      <c r="E348" t="str">
        <f t="shared" si="372"/>
        <v>HGVsNo Constraints</v>
      </c>
      <c r="F348" s="478">
        <v>0</v>
      </c>
      <c r="G348" s="478">
        <v>0</v>
      </c>
      <c r="H348" s="478">
        <v>0</v>
      </c>
      <c r="I348" s="478">
        <v>0</v>
      </c>
      <c r="J348" s="478">
        <v>0</v>
      </c>
      <c r="K348" s="478">
        <v>0</v>
      </c>
      <c r="L348" s="478">
        <v>0</v>
      </c>
      <c r="M348" s="478">
        <v>0</v>
      </c>
      <c r="N348" s="478">
        <v>0</v>
      </c>
      <c r="O348" s="478">
        <v>0</v>
      </c>
      <c r="P348" s="478">
        <v>0</v>
      </c>
      <c r="Q348" s="478">
        <v>0</v>
      </c>
      <c r="R348" s="478">
        <v>0</v>
      </c>
      <c r="S348" s="478">
        <v>0</v>
      </c>
      <c r="T348" s="478">
        <v>0</v>
      </c>
      <c r="U348" s="478">
        <v>0</v>
      </c>
      <c r="V348" s="478">
        <v>0</v>
      </c>
      <c r="W348" s="478">
        <v>0</v>
      </c>
      <c r="X348" s="478">
        <v>0</v>
      </c>
      <c r="Y348" s="478">
        <v>0</v>
      </c>
      <c r="Z348" s="478">
        <v>0</v>
      </c>
      <c r="AA348" s="478">
        <v>0</v>
      </c>
      <c r="AB348" s="478">
        <v>0</v>
      </c>
      <c r="AC348" s="478">
        <v>0</v>
      </c>
      <c r="AD348" s="478">
        <v>0</v>
      </c>
      <c r="AE348" s="478">
        <v>0</v>
      </c>
      <c r="AF348" s="478">
        <v>0</v>
      </c>
      <c r="AG348" s="478">
        <v>0</v>
      </c>
      <c r="AH348" s="478">
        <v>0</v>
      </c>
      <c r="AI348" s="478">
        <v>0</v>
      </c>
      <c r="AJ348" s="478">
        <v>0</v>
      </c>
      <c r="AK348" s="478">
        <v>0</v>
      </c>
      <c r="AL348" s="478">
        <v>0</v>
      </c>
      <c r="AM348" s="478">
        <v>0</v>
      </c>
      <c r="AN348" s="478">
        <v>0</v>
      </c>
      <c r="AO348" s="478">
        <v>0</v>
      </c>
    </row>
    <row r="349" spans="2:41">
      <c r="C349" t="s">
        <v>553</v>
      </c>
      <c r="D349" t="s">
        <v>452</v>
      </c>
      <c r="E349" t="str">
        <f t="shared" si="372"/>
        <v>Artic HGVNo Constraints</v>
      </c>
      <c r="F349" s="478">
        <v>0</v>
      </c>
      <c r="G349" s="478">
        <v>0</v>
      </c>
      <c r="H349" s="478">
        <v>0</v>
      </c>
      <c r="I349" s="478">
        <v>0</v>
      </c>
      <c r="J349" s="478">
        <v>0</v>
      </c>
      <c r="K349" s="478">
        <v>0</v>
      </c>
      <c r="L349" s="478">
        <v>0</v>
      </c>
      <c r="M349" s="478">
        <v>0</v>
      </c>
      <c r="N349" s="478">
        <v>0</v>
      </c>
      <c r="O349" s="478">
        <v>0</v>
      </c>
      <c r="P349" s="478">
        <v>0</v>
      </c>
      <c r="Q349" s="478">
        <v>0</v>
      </c>
      <c r="R349" s="478">
        <v>0</v>
      </c>
      <c r="S349" s="478">
        <v>0</v>
      </c>
      <c r="T349" s="478">
        <v>0</v>
      </c>
      <c r="U349" s="478">
        <v>0</v>
      </c>
      <c r="V349" s="478">
        <v>0</v>
      </c>
      <c r="W349" s="478">
        <v>0</v>
      </c>
      <c r="X349" s="478">
        <v>0</v>
      </c>
      <c r="Y349" s="478">
        <v>0</v>
      </c>
      <c r="Z349" s="478">
        <v>0</v>
      </c>
      <c r="AA349" s="478">
        <v>0</v>
      </c>
      <c r="AB349" s="478">
        <v>0</v>
      </c>
      <c r="AC349" s="478">
        <v>0</v>
      </c>
      <c r="AD349" s="478">
        <v>0</v>
      </c>
      <c r="AE349" s="478">
        <v>0</v>
      </c>
      <c r="AF349" s="478">
        <v>0</v>
      </c>
      <c r="AG349" s="478">
        <v>0</v>
      </c>
      <c r="AH349" s="478">
        <v>0</v>
      </c>
      <c r="AI349" s="478">
        <v>0</v>
      </c>
      <c r="AJ349" s="478">
        <v>0</v>
      </c>
      <c r="AK349" s="478">
        <v>0</v>
      </c>
      <c r="AL349" s="478">
        <v>0</v>
      </c>
      <c r="AM349" s="478">
        <v>0</v>
      </c>
      <c r="AN349" s="478">
        <v>0</v>
      </c>
      <c r="AO349" s="478">
        <v>0</v>
      </c>
    </row>
    <row r="350" spans="2:41">
      <c r="C350" t="s">
        <v>554</v>
      </c>
      <c r="D350" t="s">
        <v>452</v>
      </c>
      <c r="E350" t="str">
        <f t="shared" si="372"/>
        <v>CoachNo Constraints</v>
      </c>
      <c r="F350" s="478">
        <v>0</v>
      </c>
      <c r="G350" s="478">
        <v>0</v>
      </c>
      <c r="H350" s="478">
        <v>0</v>
      </c>
      <c r="I350" s="478">
        <v>0</v>
      </c>
      <c r="J350" s="478">
        <v>0</v>
      </c>
      <c r="K350" s="478">
        <v>0</v>
      </c>
      <c r="L350" s="478">
        <v>0</v>
      </c>
      <c r="M350" s="478">
        <v>0</v>
      </c>
      <c r="N350" s="478">
        <v>0</v>
      </c>
      <c r="O350" s="478">
        <v>0</v>
      </c>
      <c r="P350" s="478">
        <v>0</v>
      </c>
      <c r="Q350" s="478">
        <v>0</v>
      </c>
      <c r="R350" s="478">
        <v>0</v>
      </c>
      <c r="S350" s="478">
        <v>0</v>
      </c>
      <c r="T350" s="478">
        <v>0</v>
      </c>
      <c r="U350" s="478">
        <v>0</v>
      </c>
      <c r="V350" s="478">
        <v>0</v>
      </c>
      <c r="W350" s="478">
        <v>0</v>
      </c>
      <c r="X350" s="478">
        <v>0</v>
      </c>
      <c r="Y350" s="478">
        <v>0</v>
      </c>
      <c r="Z350" s="478">
        <v>0</v>
      </c>
      <c r="AA350" s="478">
        <v>0</v>
      </c>
      <c r="AB350" s="478">
        <v>0</v>
      </c>
      <c r="AC350" s="478">
        <v>0</v>
      </c>
      <c r="AD350" s="478">
        <v>0</v>
      </c>
      <c r="AE350" s="478">
        <v>0</v>
      </c>
      <c r="AF350" s="478">
        <v>0</v>
      </c>
      <c r="AG350" s="478">
        <v>0</v>
      </c>
      <c r="AH350" s="478">
        <v>0</v>
      </c>
      <c r="AI350" s="478">
        <v>0</v>
      </c>
      <c r="AJ350" s="478">
        <v>0</v>
      </c>
      <c r="AK350" s="478">
        <v>0</v>
      </c>
      <c r="AL350" s="478">
        <v>0</v>
      </c>
      <c r="AM350" s="478">
        <v>0</v>
      </c>
      <c r="AN350" s="478">
        <v>0</v>
      </c>
      <c r="AO350" s="478">
        <v>0</v>
      </c>
    </row>
    <row r="351" spans="2:41">
      <c r="C351" t="s">
        <v>237</v>
      </c>
      <c r="D351" t="s">
        <v>452</v>
      </c>
      <c r="E351" t="str">
        <f t="shared" si="372"/>
        <v>TaxisNo Constraints</v>
      </c>
      <c r="F351" s="478">
        <v>0</v>
      </c>
      <c r="G351" s="478">
        <v>0</v>
      </c>
      <c r="H351" s="478">
        <v>0</v>
      </c>
      <c r="I351" s="478">
        <v>0</v>
      </c>
      <c r="J351" s="478">
        <v>0</v>
      </c>
      <c r="K351" s="478">
        <v>0</v>
      </c>
      <c r="L351" s="478">
        <v>0</v>
      </c>
      <c r="M351" s="478">
        <v>0</v>
      </c>
      <c r="N351" s="478">
        <v>0</v>
      </c>
      <c r="O351" s="478">
        <v>0</v>
      </c>
      <c r="P351" s="478">
        <v>0</v>
      </c>
      <c r="Q351" s="478">
        <v>0</v>
      </c>
      <c r="R351" s="478">
        <v>0</v>
      </c>
      <c r="S351" s="478">
        <v>0</v>
      </c>
      <c r="T351" s="478">
        <v>0</v>
      </c>
      <c r="U351" s="478">
        <v>0</v>
      </c>
      <c r="V351" s="478">
        <v>0</v>
      </c>
      <c r="W351" s="478">
        <v>0</v>
      </c>
      <c r="X351" s="478">
        <v>0</v>
      </c>
      <c r="Y351" s="478">
        <v>0</v>
      </c>
      <c r="Z351" s="478">
        <v>0</v>
      </c>
      <c r="AA351" s="478">
        <v>0</v>
      </c>
      <c r="AB351" s="478">
        <v>0</v>
      </c>
      <c r="AC351" s="478">
        <v>0</v>
      </c>
      <c r="AD351" s="478">
        <v>0</v>
      </c>
      <c r="AE351" s="478">
        <v>0</v>
      </c>
      <c r="AF351" s="478">
        <v>0</v>
      </c>
      <c r="AG351" s="478">
        <v>0</v>
      </c>
      <c r="AH351" s="478">
        <v>0</v>
      </c>
      <c r="AI351" s="478">
        <v>0</v>
      </c>
      <c r="AJ351" s="478">
        <v>0</v>
      </c>
      <c r="AK351" s="478">
        <v>0</v>
      </c>
      <c r="AL351" s="478">
        <v>0</v>
      </c>
      <c r="AM351" s="478">
        <v>0</v>
      </c>
      <c r="AN351" s="478">
        <v>0</v>
      </c>
      <c r="AO351" s="478">
        <v>0</v>
      </c>
    </row>
    <row r="352" spans="2:41">
      <c r="C352" t="s">
        <v>236</v>
      </c>
      <c r="D352" t="s">
        <v>452</v>
      </c>
      <c r="E352" t="str">
        <f t="shared" si="372"/>
        <v>BusesNo Constraints</v>
      </c>
      <c r="F352" s="478">
        <v>0</v>
      </c>
      <c r="G352" s="478">
        <v>0</v>
      </c>
      <c r="H352" s="478">
        <v>0</v>
      </c>
      <c r="I352" s="478">
        <v>0</v>
      </c>
      <c r="J352" s="478">
        <v>0</v>
      </c>
      <c r="K352" s="478">
        <v>0</v>
      </c>
      <c r="L352" s="478">
        <v>0</v>
      </c>
      <c r="M352" s="478">
        <v>0</v>
      </c>
      <c r="N352" s="478">
        <v>0</v>
      </c>
      <c r="O352" s="478">
        <v>0</v>
      </c>
      <c r="P352" s="478">
        <v>0</v>
      </c>
      <c r="Q352" s="478">
        <v>0</v>
      </c>
      <c r="R352" s="478">
        <v>0</v>
      </c>
      <c r="S352" s="478">
        <v>0</v>
      </c>
      <c r="T352" s="478">
        <v>0</v>
      </c>
      <c r="U352" s="478">
        <v>0</v>
      </c>
      <c r="V352" s="478">
        <v>0</v>
      </c>
      <c r="W352" s="478">
        <v>0</v>
      </c>
      <c r="X352" s="478">
        <v>0</v>
      </c>
      <c r="Y352" s="478">
        <v>0</v>
      </c>
      <c r="Z352" s="478">
        <v>0</v>
      </c>
      <c r="AA352" s="478">
        <v>0</v>
      </c>
      <c r="AB352" s="478">
        <v>0</v>
      </c>
      <c r="AC352" s="478">
        <v>0</v>
      </c>
      <c r="AD352" s="478">
        <v>0</v>
      </c>
      <c r="AE352" s="478">
        <v>0</v>
      </c>
      <c r="AF352" s="478">
        <v>0</v>
      </c>
      <c r="AG352" s="478">
        <v>0</v>
      </c>
      <c r="AH352" s="478">
        <v>0</v>
      </c>
      <c r="AI352" s="478">
        <v>0</v>
      </c>
      <c r="AJ352" s="478">
        <v>0</v>
      </c>
      <c r="AK352" s="478">
        <v>0</v>
      </c>
      <c r="AL352" s="478">
        <v>0</v>
      </c>
      <c r="AM352" s="478">
        <v>0</v>
      </c>
      <c r="AN352" s="478">
        <v>0</v>
      </c>
      <c r="AO352" s="478">
        <v>0</v>
      </c>
    </row>
    <row r="353" spans="2:41">
      <c r="C353" t="s">
        <v>555</v>
      </c>
      <c r="D353" t="s">
        <v>452</v>
      </c>
      <c r="E353" t="str">
        <f t="shared" si="372"/>
        <v>Double Decker busesNo Constraints</v>
      </c>
      <c r="F353" s="478">
        <v>0</v>
      </c>
      <c r="G353" s="478">
        <v>0</v>
      </c>
      <c r="H353" s="478">
        <v>0</v>
      </c>
      <c r="I353" s="478">
        <v>0</v>
      </c>
      <c r="J353" s="478">
        <v>0</v>
      </c>
      <c r="K353" s="478">
        <v>0</v>
      </c>
      <c r="L353" s="478">
        <v>0</v>
      </c>
      <c r="M353" s="478">
        <v>0</v>
      </c>
      <c r="N353" s="478">
        <v>0</v>
      </c>
      <c r="O353" s="478">
        <v>0</v>
      </c>
      <c r="P353" s="478">
        <v>0</v>
      </c>
      <c r="Q353" s="478">
        <v>0</v>
      </c>
      <c r="R353" s="478">
        <v>0</v>
      </c>
      <c r="S353" s="478">
        <v>0</v>
      </c>
      <c r="T353" s="478">
        <v>0</v>
      </c>
      <c r="U353" s="478">
        <v>0</v>
      </c>
      <c r="V353" s="478">
        <v>0</v>
      </c>
      <c r="W353" s="478">
        <v>0</v>
      </c>
      <c r="X353" s="478">
        <v>0</v>
      </c>
      <c r="Y353" s="478">
        <v>0</v>
      </c>
      <c r="Z353" s="478">
        <v>0</v>
      </c>
      <c r="AA353" s="478">
        <v>0</v>
      </c>
      <c r="AB353" s="478">
        <v>0</v>
      </c>
      <c r="AC353" s="478">
        <v>0</v>
      </c>
      <c r="AD353" s="478">
        <v>0</v>
      </c>
      <c r="AE353" s="478">
        <v>0</v>
      </c>
      <c r="AF353" s="478">
        <v>0</v>
      </c>
      <c r="AG353" s="478">
        <v>0</v>
      </c>
      <c r="AH353" s="478">
        <v>0</v>
      </c>
      <c r="AI353" s="478">
        <v>0</v>
      </c>
      <c r="AJ353" s="478">
        <v>0</v>
      </c>
      <c r="AK353" s="478">
        <v>0</v>
      </c>
      <c r="AL353" s="478">
        <v>0</v>
      </c>
      <c r="AM353" s="478">
        <v>0</v>
      </c>
      <c r="AN353" s="478">
        <v>0</v>
      </c>
      <c r="AO353" s="478">
        <v>0</v>
      </c>
    </row>
    <row r="355" spans="2:41">
      <c r="B355" s="35" t="s">
        <v>22</v>
      </c>
      <c r="F355" s="35">
        <v>2015</v>
      </c>
      <c r="G355" s="35">
        <v>2016</v>
      </c>
      <c r="H355" s="35">
        <v>2017</v>
      </c>
      <c r="I355" s="35">
        <v>2018</v>
      </c>
      <c r="J355" s="35">
        <v>2019</v>
      </c>
      <c r="K355" s="35">
        <v>2020</v>
      </c>
      <c r="L355" s="35">
        <v>2021</v>
      </c>
      <c r="M355" s="35">
        <v>2022</v>
      </c>
      <c r="N355" s="35">
        <v>2023</v>
      </c>
      <c r="O355" s="35">
        <v>2024</v>
      </c>
      <c r="P355" s="35">
        <v>2025</v>
      </c>
      <c r="Q355" s="35">
        <v>2026</v>
      </c>
      <c r="R355" s="35">
        <v>2027</v>
      </c>
      <c r="S355" s="35">
        <v>2028</v>
      </c>
      <c r="T355" s="35">
        <v>2029</v>
      </c>
      <c r="U355" s="35">
        <v>2030</v>
      </c>
      <c r="V355" s="35">
        <v>2031</v>
      </c>
      <c r="W355" s="35">
        <v>2032</v>
      </c>
      <c r="X355" s="35">
        <v>2033</v>
      </c>
      <c r="Y355" s="35">
        <v>2034</v>
      </c>
      <c r="Z355" s="35">
        <v>2035</v>
      </c>
      <c r="AA355" s="35">
        <v>2036</v>
      </c>
      <c r="AB355" s="35">
        <v>2037</v>
      </c>
      <c r="AC355" s="35">
        <v>2038</v>
      </c>
      <c r="AD355" s="35">
        <v>2039</v>
      </c>
      <c r="AE355" s="35">
        <v>2040</v>
      </c>
      <c r="AF355" s="35">
        <v>2041</v>
      </c>
      <c r="AG355" s="35">
        <v>2042</v>
      </c>
      <c r="AH355" s="35">
        <v>2043</v>
      </c>
      <c r="AI355" s="35">
        <v>2044</v>
      </c>
      <c r="AJ355" s="35">
        <v>2045</v>
      </c>
      <c r="AK355" s="35">
        <v>2046</v>
      </c>
      <c r="AL355" s="35">
        <v>2047</v>
      </c>
      <c r="AM355" s="35">
        <v>2048</v>
      </c>
      <c r="AN355" s="35">
        <v>2049</v>
      </c>
      <c r="AO355" s="35">
        <v>2050</v>
      </c>
    </row>
    <row r="356" spans="2:41">
      <c r="C356" t="s">
        <v>233</v>
      </c>
      <c r="D356" t="s">
        <v>452</v>
      </c>
      <c r="E356" t="str">
        <f>C356&amp;$B$355</f>
        <v>CarsBaseline</v>
      </c>
      <c r="F356" s="478">
        <v>0</v>
      </c>
      <c r="G356" s="478">
        <v>0</v>
      </c>
      <c r="H356" s="478">
        <v>0</v>
      </c>
      <c r="I356" s="478">
        <v>0</v>
      </c>
      <c r="J356" s="478">
        <v>0</v>
      </c>
      <c r="K356" s="478">
        <v>0</v>
      </c>
      <c r="L356" s="478">
        <v>0</v>
      </c>
      <c r="M356" s="478">
        <v>0</v>
      </c>
      <c r="N356" s="478">
        <v>0</v>
      </c>
      <c r="O356" s="478">
        <v>0</v>
      </c>
      <c r="P356" s="478">
        <v>0</v>
      </c>
      <c r="Q356" s="478">
        <v>0</v>
      </c>
      <c r="R356" s="478">
        <v>0</v>
      </c>
      <c r="S356" s="478">
        <v>0</v>
      </c>
      <c r="T356" s="478">
        <v>0</v>
      </c>
      <c r="U356" s="478">
        <v>0</v>
      </c>
      <c r="V356" s="478">
        <v>0</v>
      </c>
      <c r="W356" s="478">
        <v>0</v>
      </c>
      <c r="X356" s="478">
        <v>0</v>
      </c>
      <c r="Y356" s="478">
        <v>0</v>
      </c>
      <c r="Z356" s="478">
        <v>0</v>
      </c>
      <c r="AA356" s="478">
        <v>0</v>
      </c>
      <c r="AB356" s="478">
        <v>0</v>
      </c>
      <c r="AC356" s="478">
        <v>0</v>
      </c>
      <c r="AD356" s="478">
        <v>0</v>
      </c>
      <c r="AE356" s="478">
        <v>0</v>
      </c>
      <c r="AF356" s="478">
        <v>0</v>
      </c>
      <c r="AG356" s="478">
        <v>0</v>
      </c>
      <c r="AH356" s="478">
        <v>0</v>
      </c>
      <c r="AI356" s="478">
        <v>0</v>
      </c>
      <c r="AJ356" s="478">
        <v>0</v>
      </c>
      <c r="AK356" s="478">
        <v>0</v>
      </c>
      <c r="AL356" s="478">
        <v>0</v>
      </c>
      <c r="AM356" s="478">
        <v>0</v>
      </c>
      <c r="AN356" s="478">
        <v>0</v>
      </c>
      <c r="AO356" s="478">
        <v>0</v>
      </c>
    </row>
    <row r="357" spans="2:41">
      <c r="C357" t="s">
        <v>234</v>
      </c>
      <c r="D357" t="s">
        <v>452</v>
      </c>
      <c r="E357" t="str">
        <f t="shared" ref="E357:E363" si="373">C357&amp;$B$355</f>
        <v>LGVsBaseline</v>
      </c>
      <c r="F357" s="478">
        <v>0</v>
      </c>
      <c r="G357" s="478">
        <v>0</v>
      </c>
      <c r="H357" s="478">
        <v>0</v>
      </c>
      <c r="I357" s="478">
        <v>0</v>
      </c>
      <c r="J357" s="478">
        <v>0</v>
      </c>
      <c r="K357" s="478">
        <v>0</v>
      </c>
      <c r="L357" s="478">
        <v>0</v>
      </c>
      <c r="M357" s="478">
        <v>0</v>
      </c>
      <c r="N357" s="478">
        <v>0</v>
      </c>
      <c r="O357" s="478">
        <v>0</v>
      </c>
      <c r="P357" s="478">
        <v>0</v>
      </c>
      <c r="Q357" s="478">
        <v>0</v>
      </c>
      <c r="R357" s="478">
        <v>0</v>
      </c>
      <c r="S357" s="478">
        <v>0</v>
      </c>
      <c r="T357" s="478">
        <v>0</v>
      </c>
      <c r="U357" s="478">
        <v>0</v>
      </c>
      <c r="V357" s="478">
        <v>0</v>
      </c>
      <c r="W357" s="478">
        <v>0</v>
      </c>
      <c r="X357" s="478">
        <v>0</v>
      </c>
      <c r="Y357" s="478">
        <v>0</v>
      </c>
      <c r="Z357" s="478">
        <v>0</v>
      </c>
      <c r="AA357" s="478">
        <v>0</v>
      </c>
      <c r="AB357" s="478">
        <v>0</v>
      </c>
      <c r="AC357" s="478">
        <v>0</v>
      </c>
      <c r="AD357" s="478">
        <v>0</v>
      </c>
      <c r="AE357" s="478">
        <v>0</v>
      </c>
      <c r="AF357" s="478">
        <v>0</v>
      </c>
      <c r="AG357" s="478">
        <v>0</v>
      </c>
      <c r="AH357" s="478">
        <v>0</v>
      </c>
      <c r="AI357" s="478">
        <v>0</v>
      </c>
      <c r="AJ357" s="478">
        <v>0</v>
      </c>
      <c r="AK357" s="478">
        <v>0</v>
      </c>
      <c r="AL357" s="478">
        <v>0</v>
      </c>
      <c r="AM357" s="478">
        <v>0</v>
      </c>
      <c r="AN357" s="478">
        <v>0</v>
      </c>
      <c r="AO357" s="478">
        <v>0</v>
      </c>
    </row>
    <row r="358" spans="2:41">
      <c r="C358" t="s">
        <v>235</v>
      </c>
      <c r="D358" t="s">
        <v>452</v>
      </c>
      <c r="E358" t="str">
        <f t="shared" si="373"/>
        <v>HGVsBaseline</v>
      </c>
      <c r="F358" s="478">
        <v>0</v>
      </c>
      <c r="G358" s="478">
        <v>0</v>
      </c>
      <c r="H358" s="478">
        <v>0</v>
      </c>
      <c r="I358" s="478">
        <v>0</v>
      </c>
      <c r="J358" s="478">
        <v>0</v>
      </c>
      <c r="K358" s="478">
        <v>0</v>
      </c>
      <c r="L358" s="478">
        <v>0</v>
      </c>
      <c r="M358" s="478">
        <v>0</v>
      </c>
      <c r="N358" s="478">
        <v>0</v>
      </c>
      <c r="O358" s="478">
        <v>0</v>
      </c>
      <c r="P358" s="478">
        <v>0</v>
      </c>
      <c r="Q358" s="478">
        <v>0</v>
      </c>
      <c r="R358" s="478">
        <v>0</v>
      </c>
      <c r="S358" s="478">
        <v>0</v>
      </c>
      <c r="T358" s="478">
        <v>0</v>
      </c>
      <c r="U358" s="478">
        <v>0</v>
      </c>
      <c r="V358" s="478">
        <v>0</v>
      </c>
      <c r="W358" s="478">
        <v>0</v>
      </c>
      <c r="X358" s="478">
        <v>0</v>
      </c>
      <c r="Y358" s="478">
        <v>0</v>
      </c>
      <c r="Z358" s="478">
        <v>0</v>
      </c>
      <c r="AA358" s="478">
        <v>0</v>
      </c>
      <c r="AB358" s="478">
        <v>0</v>
      </c>
      <c r="AC358" s="478">
        <v>0</v>
      </c>
      <c r="AD358" s="478">
        <v>0</v>
      </c>
      <c r="AE358" s="478">
        <v>0</v>
      </c>
      <c r="AF358" s="478">
        <v>0</v>
      </c>
      <c r="AG358" s="478">
        <v>0</v>
      </c>
      <c r="AH358" s="478">
        <v>0</v>
      </c>
      <c r="AI358" s="478">
        <v>0</v>
      </c>
      <c r="AJ358" s="478">
        <v>0</v>
      </c>
      <c r="AK358" s="478">
        <v>0</v>
      </c>
      <c r="AL358" s="478">
        <v>0</v>
      </c>
      <c r="AM358" s="478">
        <v>0</v>
      </c>
      <c r="AN358" s="478">
        <v>0</v>
      </c>
      <c r="AO358" s="478">
        <v>0</v>
      </c>
    </row>
    <row r="359" spans="2:41">
      <c r="C359" t="s">
        <v>553</v>
      </c>
      <c r="D359" t="s">
        <v>452</v>
      </c>
      <c r="E359" t="str">
        <f t="shared" si="373"/>
        <v>Artic HGVBaseline</v>
      </c>
      <c r="F359" s="478">
        <v>0</v>
      </c>
      <c r="G359" s="478">
        <v>0</v>
      </c>
      <c r="H359" s="478">
        <v>0</v>
      </c>
      <c r="I359" s="478">
        <v>0</v>
      </c>
      <c r="J359" s="478">
        <v>0</v>
      </c>
      <c r="K359" s="478">
        <v>0</v>
      </c>
      <c r="L359" s="478">
        <v>0</v>
      </c>
      <c r="M359" s="478">
        <v>0</v>
      </c>
      <c r="N359" s="478">
        <v>0</v>
      </c>
      <c r="O359" s="478">
        <v>0</v>
      </c>
      <c r="P359" s="478">
        <v>0</v>
      </c>
      <c r="Q359" s="478">
        <v>0</v>
      </c>
      <c r="R359" s="478">
        <v>0</v>
      </c>
      <c r="S359" s="478">
        <v>0</v>
      </c>
      <c r="T359" s="478">
        <v>0</v>
      </c>
      <c r="U359" s="478">
        <v>0</v>
      </c>
      <c r="V359" s="478">
        <v>0</v>
      </c>
      <c r="W359" s="478">
        <v>0</v>
      </c>
      <c r="X359" s="478">
        <v>0</v>
      </c>
      <c r="Y359" s="478">
        <v>0</v>
      </c>
      <c r="Z359" s="478">
        <v>0</v>
      </c>
      <c r="AA359" s="478">
        <v>0</v>
      </c>
      <c r="AB359" s="478">
        <v>0</v>
      </c>
      <c r="AC359" s="478">
        <v>0</v>
      </c>
      <c r="AD359" s="478">
        <v>0</v>
      </c>
      <c r="AE359" s="478">
        <v>0</v>
      </c>
      <c r="AF359" s="478">
        <v>0</v>
      </c>
      <c r="AG359" s="478">
        <v>0</v>
      </c>
      <c r="AH359" s="478">
        <v>0</v>
      </c>
      <c r="AI359" s="478">
        <v>0</v>
      </c>
      <c r="AJ359" s="478">
        <v>0</v>
      </c>
      <c r="AK359" s="478">
        <v>0</v>
      </c>
      <c r="AL359" s="478">
        <v>0</v>
      </c>
      <c r="AM359" s="478">
        <v>0</v>
      </c>
      <c r="AN359" s="478">
        <v>0</v>
      </c>
      <c r="AO359" s="478">
        <v>0</v>
      </c>
    </row>
    <row r="360" spans="2:41">
      <c r="C360" t="s">
        <v>554</v>
      </c>
      <c r="D360" t="s">
        <v>452</v>
      </c>
      <c r="E360" t="str">
        <f t="shared" si="373"/>
        <v>CoachBaseline</v>
      </c>
      <c r="F360" s="478">
        <v>0</v>
      </c>
      <c r="G360" s="478">
        <v>0</v>
      </c>
      <c r="H360" s="478">
        <v>0</v>
      </c>
      <c r="I360" s="478">
        <v>0</v>
      </c>
      <c r="J360" s="478">
        <v>0</v>
      </c>
      <c r="K360" s="478">
        <v>0</v>
      </c>
      <c r="L360" s="478">
        <v>0</v>
      </c>
      <c r="M360" s="478">
        <v>0</v>
      </c>
      <c r="N360" s="478">
        <v>0</v>
      </c>
      <c r="O360" s="478">
        <v>0</v>
      </c>
      <c r="P360" s="478">
        <v>0</v>
      </c>
      <c r="Q360" s="478">
        <v>0</v>
      </c>
      <c r="R360" s="478">
        <v>0</v>
      </c>
      <c r="S360" s="478">
        <v>0</v>
      </c>
      <c r="T360" s="478">
        <v>0</v>
      </c>
      <c r="U360" s="478">
        <v>0</v>
      </c>
      <c r="V360" s="478">
        <v>0</v>
      </c>
      <c r="W360" s="478">
        <v>0</v>
      </c>
      <c r="X360" s="478">
        <v>0</v>
      </c>
      <c r="Y360" s="478">
        <v>0</v>
      </c>
      <c r="Z360" s="478">
        <v>0</v>
      </c>
      <c r="AA360" s="478">
        <v>0</v>
      </c>
      <c r="AB360" s="478">
        <v>0</v>
      </c>
      <c r="AC360" s="478">
        <v>0</v>
      </c>
      <c r="AD360" s="478">
        <v>0</v>
      </c>
      <c r="AE360" s="478">
        <v>0</v>
      </c>
      <c r="AF360" s="478">
        <v>0</v>
      </c>
      <c r="AG360" s="478">
        <v>0</v>
      </c>
      <c r="AH360" s="478">
        <v>0</v>
      </c>
      <c r="AI360" s="478">
        <v>0</v>
      </c>
      <c r="AJ360" s="478">
        <v>0</v>
      </c>
      <c r="AK360" s="478">
        <v>0</v>
      </c>
      <c r="AL360" s="478">
        <v>0</v>
      </c>
      <c r="AM360" s="478">
        <v>0</v>
      </c>
      <c r="AN360" s="478">
        <v>0</v>
      </c>
      <c r="AO360" s="478">
        <v>0</v>
      </c>
    </row>
    <row r="361" spans="2:41">
      <c r="C361" t="s">
        <v>237</v>
      </c>
      <c r="D361" t="s">
        <v>452</v>
      </c>
      <c r="E361" t="str">
        <f t="shared" si="373"/>
        <v>TaxisBaseline</v>
      </c>
      <c r="F361" s="478">
        <v>0</v>
      </c>
      <c r="G361" s="478">
        <v>0</v>
      </c>
      <c r="H361" s="478">
        <v>0</v>
      </c>
      <c r="I361" s="478">
        <v>0</v>
      </c>
      <c r="J361" s="478">
        <v>0</v>
      </c>
      <c r="K361" s="478">
        <v>0</v>
      </c>
      <c r="L361" s="478">
        <v>0</v>
      </c>
      <c r="M361" s="478">
        <v>0</v>
      </c>
      <c r="N361" s="478">
        <v>0</v>
      </c>
      <c r="O361" s="478">
        <v>0</v>
      </c>
      <c r="P361" s="478">
        <v>0</v>
      </c>
      <c r="Q361" s="478">
        <v>0</v>
      </c>
      <c r="R361" s="478">
        <v>0</v>
      </c>
      <c r="S361" s="478">
        <v>0</v>
      </c>
      <c r="T361" s="478">
        <v>0</v>
      </c>
      <c r="U361" s="478">
        <v>0</v>
      </c>
      <c r="V361" s="478">
        <v>0</v>
      </c>
      <c r="W361" s="478">
        <v>0</v>
      </c>
      <c r="X361" s="478">
        <v>0</v>
      </c>
      <c r="Y361" s="478">
        <v>0</v>
      </c>
      <c r="Z361" s="478">
        <v>0</v>
      </c>
      <c r="AA361" s="478">
        <v>0</v>
      </c>
      <c r="AB361" s="478">
        <v>0</v>
      </c>
      <c r="AC361" s="478">
        <v>0</v>
      </c>
      <c r="AD361" s="478">
        <v>0</v>
      </c>
      <c r="AE361" s="478">
        <v>0</v>
      </c>
      <c r="AF361" s="478">
        <v>0</v>
      </c>
      <c r="AG361" s="478">
        <v>0</v>
      </c>
      <c r="AH361" s="478">
        <v>0</v>
      </c>
      <c r="AI361" s="478">
        <v>0</v>
      </c>
      <c r="AJ361" s="478">
        <v>0</v>
      </c>
      <c r="AK361" s="478">
        <v>0</v>
      </c>
      <c r="AL361" s="478">
        <v>0</v>
      </c>
      <c r="AM361" s="478">
        <v>0</v>
      </c>
      <c r="AN361" s="478">
        <v>0</v>
      </c>
      <c r="AO361" s="478">
        <v>0</v>
      </c>
    </row>
    <row r="362" spans="2:41">
      <c r="C362" t="s">
        <v>236</v>
      </c>
      <c r="D362" t="s">
        <v>452</v>
      </c>
      <c r="E362" t="str">
        <f t="shared" si="373"/>
        <v>BusesBaseline</v>
      </c>
      <c r="F362" s="478">
        <v>0</v>
      </c>
      <c r="G362" s="478">
        <v>0</v>
      </c>
      <c r="H362" s="478">
        <v>0</v>
      </c>
      <c r="I362" s="478">
        <v>0</v>
      </c>
      <c r="J362" s="478">
        <v>0</v>
      </c>
      <c r="K362" s="478">
        <v>0</v>
      </c>
      <c r="L362" s="478">
        <v>0</v>
      </c>
      <c r="M362" s="478">
        <v>0</v>
      </c>
      <c r="N362" s="478">
        <v>0</v>
      </c>
      <c r="O362" s="478">
        <v>0</v>
      </c>
      <c r="P362" s="478">
        <v>0</v>
      </c>
      <c r="Q362" s="478">
        <v>0</v>
      </c>
      <c r="R362" s="478">
        <v>0</v>
      </c>
      <c r="S362" s="478">
        <v>0</v>
      </c>
      <c r="T362" s="478">
        <v>0</v>
      </c>
      <c r="U362" s="478">
        <v>0</v>
      </c>
      <c r="V362" s="478">
        <v>0</v>
      </c>
      <c r="W362" s="478">
        <v>0</v>
      </c>
      <c r="X362" s="478">
        <v>0</v>
      </c>
      <c r="Y362" s="478">
        <v>0</v>
      </c>
      <c r="Z362" s="478">
        <v>0</v>
      </c>
      <c r="AA362" s="478">
        <v>0</v>
      </c>
      <c r="AB362" s="478">
        <v>0</v>
      </c>
      <c r="AC362" s="478">
        <v>0</v>
      </c>
      <c r="AD362" s="478">
        <v>0</v>
      </c>
      <c r="AE362" s="478">
        <v>0</v>
      </c>
      <c r="AF362" s="478">
        <v>0</v>
      </c>
      <c r="AG362" s="478">
        <v>0</v>
      </c>
      <c r="AH362" s="478">
        <v>0</v>
      </c>
      <c r="AI362" s="478">
        <v>0</v>
      </c>
      <c r="AJ362" s="478">
        <v>0</v>
      </c>
      <c r="AK362" s="478">
        <v>0</v>
      </c>
      <c r="AL362" s="478">
        <v>0</v>
      </c>
      <c r="AM362" s="478">
        <v>0</v>
      </c>
      <c r="AN362" s="478">
        <v>0</v>
      </c>
      <c r="AO362" s="478">
        <v>0</v>
      </c>
    </row>
    <row r="363" spans="2:41">
      <c r="C363" t="s">
        <v>555</v>
      </c>
      <c r="D363" t="s">
        <v>452</v>
      </c>
      <c r="E363" t="str">
        <f t="shared" si="373"/>
        <v>Double Decker busesBaseline</v>
      </c>
      <c r="F363" s="478">
        <v>0</v>
      </c>
      <c r="G363" s="478">
        <v>0</v>
      </c>
      <c r="H363" s="478">
        <v>0</v>
      </c>
      <c r="I363" s="478">
        <v>0</v>
      </c>
      <c r="J363" s="478">
        <v>0</v>
      </c>
      <c r="K363" s="478">
        <v>0</v>
      </c>
      <c r="L363" s="478">
        <v>0</v>
      </c>
      <c r="M363" s="478">
        <v>0</v>
      </c>
      <c r="N363" s="478">
        <v>0</v>
      </c>
      <c r="O363" s="478">
        <v>0</v>
      </c>
      <c r="P363" s="478">
        <v>0</v>
      </c>
      <c r="Q363" s="478">
        <v>0</v>
      </c>
      <c r="R363" s="478">
        <v>0</v>
      </c>
      <c r="S363" s="478">
        <v>0</v>
      </c>
      <c r="T363" s="478">
        <v>0</v>
      </c>
      <c r="U363" s="478">
        <v>0</v>
      </c>
      <c r="V363" s="478">
        <v>0</v>
      </c>
      <c r="W363" s="478">
        <v>0</v>
      </c>
      <c r="X363" s="478">
        <v>0</v>
      </c>
      <c r="Y363" s="478">
        <v>0</v>
      </c>
      <c r="Z363" s="478">
        <v>0</v>
      </c>
      <c r="AA363" s="478">
        <v>0</v>
      </c>
      <c r="AB363" s="478">
        <v>0</v>
      </c>
      <c r="AC363" s="478">
        <v>0</v>
      </c>
      <c r="AD363" s="478">
        <v>0</v>
      </c>
      <c r="AE363" s="478">
        <v>0</v>
      </c>
      <c r="AF363" s="478">
        <v>0</v>
      </c>
      <c r="AG363" s="478">
        <v>0</v>
      </c>
      <c r="AH363" s="478">
        <v>0</v>
      </c>
      <c r="AI363" s="478">
        <v>0</v>
      </c>
      <c r="AJ363" s="478">
        <v>0</v>
      </c>
      <c r="AK363" s="478">
        <v>0</v>
      </c>
      <c r="AL363" s="478">
        <v>0</v>
      </c>
      <c r="AM363" s="478">
        <v>0</v>
      </c>
      <c r="AN363" s="478">
        <v>0</v>
      </c>
      <c r="AO363" s="478">
        <v>0</v>
      </c>
    </row>
  </sheetData>
  <mergeCells count="1">
    <mergeCell ref="I4:N8"/>
  </mergeCells>
  <conditionalFormatting sqref="F199:AO204 M222:AV222 F221:AO221 CJ311 BI311 B311:BG311 F230:AO230 F233:AO233">
    <cfRule type="cellIs" dxfId="390" priority="41" operator="lessThan">
      <formula>0</formula>
    </cfRule>
  </conditionalFormatting>
  <conditionalFormatting sqref="F183:AO187 F189:AO190">
    <cfRule type="cellIs" dxfId="389" priority="40" operator="lessThan">
      <formula>0</formula>
    </cfRule>
  </conditionalFormatting>
  <conditionalFormatting sqref="F215:AO219">
    <cfRule type="cellIs" dxfId="388" priority="36" operator="lessThan">
      <formula>0</formula>
    </cfRule>
  </conditionalFormatting>
  <conditionalFormatting sqref="F191:AO196">
    <cfRule type="cellIs" dxfId="387" priority="39" operator="lessThan">
      <formula>0</formula>
    </cfRule>
  </conditionalFormatting>
  <conditionalFormatting sqref="F207:AO211">
    <cfRule type="cellIs" dxfId="386" priority="38" operator="lessThan">
      <formula>0</formula>
    </cfRule>
  </conditionalFormatting>
  <conditionalFormatting sqref="F212:AO212">
    <cfRule type="cellIs" dxfId="385" priority="37" operator="lessThan">
      <formula>0</formula>
    </cfRule>
  </conditionalFormatting>
  <conditionalFormatting sqref="F197:AO198">
    <cfRule type="cellIs" dxfId="384" priority="35" operator="lessThan">
      <formula>0</formula>
    </cfRule>
  </conditionalFormatting>
  <conditionalFormatting sqref="F205:AO206">
    <cfRule type="cellIs" dxfId="383" priority="34" operator="lessThan">
      <formula>0</formula>
    </cfRule>
  </conditionalFormatting>
  <conditionalFormatting sqref="F213:AO214">
    <cfRule type="cellIs" dxfId="382" priority="33" operator="lessThan">
      <formula>0</formula>
    </cfRule>
  </conditionalFormatting>
  <conditionalFormatting sqref="F225:AO226">
    <cfRule type="cellIs" dxfId="381" priority="31" operator="lessThan">
      <formula>0</formula>
    </cfRule>
  </conditionalFormatting>
  <conditionalFormatting sqref="F246:AO246">
    <cfRule type="cellIs" dxfId="380" priority="30" operator="lessThan">
      <formula>0</formula>
    </cfRule>
  </conditionalFormatting>
  <conditionalFormatting sqref="F248:AO248">
    <cfRule type="cellIs" dxfId="379" priority="29" operator="lessThan">
      <formula>0</formula>
    </cfRule>
  </conditionalFormatting>
  <conditionalFormatting sqref="F250:AO250">
    <cfRule type="cellIs" dxfId="378" priority="28" operator="lessThan">
      <formula>0</formula>
    </cfRule>
  </conditionalFormatting>
  <conditionalFormatting sqref="F252:AO252">
    <cfRule type="cellIs" dxfId="377" priority="27" operator="lessThan">
      <formula>0</formula>
    </cfRule>
  </conditionalFormatting>
  <conditionalFormatting sqref="F254:AO254">
    <cfRule type="cellIs" dxfId="376" priority="26" operator="lessThan">
      <formula>0</formula>
    </cfRule>
  </conditionalFormatting>
  <conditionalFormatting sqref="F233:AO234">
    <cfRule type="cellIs" dxfId="375" priority="24" operator="lessThan">
      <formula>0</formula>
    </cfRule>
  </conditionalFormatting>
  <conditionalFormatting sqref="F237:AO238">
    <cfRule type="cellIs" dxfId="374" priority="23" operator="lessThan">
      <formula>0</formula>
    </cfRule>
  </conditionalFormatting>
  <conditionalFormatting sqref="F241:AO242">
    <cfRule type="cellIs" dxfId="373" priority="22" operator="lessThan">
      <formula>0</formula>
    </cfRule>
  </conditionalFormatting>
  <conditionalFormatting sqref="AH311">
    <cfRule type="cellIs" dxfId="372" priority="21" operator="lessThan">
      <formula>0</formula>
    </cfRule>
  </conditionalFormatting>
  <conditionalFormatting sqref="BH311">
    <cfRule type="cellIs" dxfId="371" priority="18" operator="lessThan">
      <formula>0</formula>
    </cfRule>
  </conditionalFormatting>
  <conditionalFormatting sqref="AG311">
    <cfRule type="cellIs" dxfId="370" priority="19" operator="lessThan">
      <formula>0</formula>
    </cfRule>
  </conditionalFormatting>
  <conditionalFormatting sqref="F39:AO44">
    <cfRule type="cellIs" dxfId="369" priority="17" operator="lessThan">
      <formula>0</formula>
    </cfRule>
  </conditionalFormatting>
  <conditionalFormatting sqref="P51:AY51 G45:AO50">
    <cfRule type="cellIs" dxfId="368" priority="16" operator="lessThan">
      <formula>0</formula>
    </cfRule>
  </conditionalFormatting>
  <conditionalFormatting sqref="G45:AO45 F46:AO50">
    <cfRule type="cellIs" dxfId="367" priority="15" operator="lessThan">
      <formula>0</formula>
    </cfRule>
  </conditionalFormatting>
  <conditionalFormatting sqref="F45:AO45">
    <cfRule type="cellIs" dxfId="366" priority="14" operator="lessThan">
      <formula>0</formula>
    </cfRule>
  </conditionalFormatting>
  <conditionalFormatting sqref="F316:AO323">
    <cfRule type="cellIs" dxfId="365" priority="13" operator="lessThan">
      <formula>0</formula>
    </cfRule>
  </conditionalFormatting>
  <conditionalFormatting sqref="F326:AO333">
    <cfRule type="cellIs" dxfId="364" priority="12" operator="lessThan">
      <formula>0</formula>
    </cfRule>
  </conditionalFormatting>
  <conditionalFormatting sqref="F336:AO343">
    <cfRule type="cellIs" dxfId="363" priority="11" operator="lessThan">
      <formula>0</formula>
    </cfRule>
  </conditionalFormatting>
  <conditionalFormatting sqref="CI311">
    <cfRule type="cellIs" dxfId="362" priority="6" operator="lessThan">
      <formula>0</formula>
    </cfRule>
  </conditionalFormatting>
  <conditionalFormatting sqref="BJ312:CI312">
    <cfRule type="cellIs" dxfId="361" priority="9" operator="lessThan">
      <formula>0</formula>
    </cfRule>
  </conditionalFormatting>
  <conditionalFormatting sqref="CI312">
    <cfRule type="cellIs" dxfId="360" priority="8" operator="lessThan">
      <formula>0</formula>
    </cfRule>
  </conditionalFormatting>
  <conditionalFormatting sqref="BJ311:CI311">
    <cfRule type="cellIs" dxfId="359" priority="7" operator="lessThan">
      <formula>0</formula>
    </cfRule>
  </conditionalFormatting>
  <conditionalFormatting sqref="F68:AO75">
    <cfRule type="cellIs" dxfId="358" priority="5" operator="lessThan">
      <formula>0</formula>
    </cfRule>
  </conditionalFormatting>
  <conditionalFormatting sqref="F346:AO353">
    <cfRule type="cellIs" dxfId="357" priority="4" operator="lessThan">
      <formula>0</formula>
    </cfRule>
  </conditionalFormatting>
  <conditionalFormatting sqref="F356:AO363">
    <cfRule type="cellIs" dxfId="356" priority="2" operator="lessThan">
      <formula>0</formula>
    </cfRule>
  </conditionalFormatting>
  <conditionalFormatting sqref="F229:AO229">
    <cfRule type="cellIs" dxfId="355" priority="1" operator="lessThan">
      <formula>0</formula>
    </cfRule>
  </conditionalFormatting>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tabColor theme="5" tint="0.79998168889431442"/>
  </sheetPr>
  <dimension ref="A1:AB55"/>
  <sheetViews>
    <sheetView workbookViewId="0">
      <selection activeCell="O35" sqref="O35"/>
    </sheetView>
  </sheetViews>
  <sheetFormatPr defaultColWidth="0" defaultRowHeight="15" customHeight="1" zeroHeight="1"/>
  <cols>
    <col min="1" max="28" width="9.140625" style="50" customWidth="1"/>
    <col min="29" max="16384" width="9.140625" style="50" hidden="1"/>
  </cols>
  <sheetData>
    <row r="1" spans="2:2"/>
    <row r="2" spans="2:2"/>
    <row r="3" spans="2:2" ht="46.5">
      <c r="B3" s="51" t="s">
        <v>365</v>
      </c>
    </row>
    <row r="4" spans="2:2"/>
    <row r="5" spans="2:2"/>
    <row r="6" spans="2:2"/>
    <row r="7" spans="2:2"/>
    <row r="8" spans="2:2"/>
    <row r="9" spans="2:2"/>
    <row r="10" spans="2:2"/>
    <row r="11" spans="2:2"/>
    <row r="12" spans="2:2"/>
    <row r="13" spans="2:2"/>
    <row r="14" spans="2:2"/>
    <row r="15" spans="2:2"/>
    <row r="16" spans="2:2"/>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sheetData>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theme="5" tint="0.79998168889431442"/>
  </sheetPr>
  <dimension ref="B2:BF278"/>
  <sheetViews>
    <sheetView topLeftCell="F102" zoomScale="85" zoomScaleNormal="85" workbookViewId="0">
      <selection activeCell="N32" sqref="N32"/>
    </sheetView>
  </sheetViews>
  <sheetFormatPr defaultRowHeight="15"/>
  <cols>
    <col min="2" max="2" width="25.85546875" bestFit="1" customWidth="1"/>
    <col min="3" max="3" width="16.85546875" bestFit="1" customWidth="1"/>
    <col min="4" max="20" width="15.42578125" bestFit="1" customWidth="1"/>
    <col min="21" max="21" width="11.42578125" customWidth="1"/>
    <col min="22" max="22" width="25.85546875" bestFit="1" customWidth="1"/>
  </cols>
  <sheetData>
    <row r="2" spans="2:58">
      <c r="B2" t="s">
        <v>620</v>
      </c>
    </row>
    <row r="5" spans="2:58">
      <c r="C5" s="35" t="s">
        <v>621</v>
      </c>
      <c r="D5" s="188" t="s">
        <v>622</v>
      </c>
      <c r="V5" t="str">
        <f>Dashboard!D5</f>
        <v>Inner London</v>
      </c>
      <c r="W5" s="437" t="s">
        <v>623</v>
      </c>
    </row>
    <row r="6" spans="2:58">
      <c r="C6" s="35" t="s">
        <v>624</v>
      </c>
      <c r="W6" s="35" t="s">
        <v>625</v>
      </c>
    </row>
    <row r="7" spans="2:58">
      <c r="C7" s="591">
        <v>2013</v>
      </c>
      <c r="D7" s="181">
        <v>2014</v>
      </c>
      <c r="E7" s="181">
        <v>2015</v>
      </c>
      <c r="F7" s="591">
        <v>2016</v>
      </c>
      <c r="G7" s="181">
        <v>2017</v>
      </c>
      <c r="H7" s="181">
        <v>2018</v>
      </c>
      <c r="I7" s="181">
        <v>2019</v>
      </c>
      <c r="J7" s="591">
        <v>2020</v>
      </c>
      <c r="K7" s="181">
        <v>2021</v>
      </c>
      <c r="L7" s="181">
        <v>2022</v>
      </c>
      <c r="M7" s="591">
        <v>2023</v>
      </c>
      <c r="N7" s="181">
        <v>2024</v>
      </c>
      <c r="O7" s="591">
        <v>2025</v>
      </c>
      <c r="P7" s="591">
        <v>2026</v>
      </c>
      <c r="Q7" s="181">
        <v>2027</v>
      </c>
      <c r="R7" s="591">
        <v>2028</v>
      </c>
      <c r="S7" s="591">
        <v>2029</v>
      </c>
      <c r="T7" s="591">
        <v>2030</v>
      </c>
      <c r="U7" s="81"/>
      <c r="W7" s="181">
        <v>2015</v>
      </c>
      <c r="X7" s="591">
        <v>2016</v>
      </c>
      <c r="Y7" s="181">
        <v>2017</v>
      </c>
      <c r="Z7" s="181">
        <v>2018</v>
      </c>
      <c r="AA7" s="181">
        <v>2019</v>
      </c>
      <c r="AB7" s="591">
        <v>2020</v>
      </c>
      <c r="AC7" s="181">
        <v>2021</v>
      </c>
      <c r="AD7" s="181">
        <v>2022</v>
      </c>
      <c r="AE7" s="591">
        <v>2023</v>
      </c>
      <c r="AF7" s="181">
        <v>2024</v>
      </c>
      <c r="AG7" s="591">
        <v>2025</v>
      </c>
      <c r="AH7" s="591">
        <v>2026</v>
      </c>
      <c r="AI7" s="181">
        <v>2027</v>
      </c>
      <c r="AJ7" s="591">
        <v>2028</v>
      </c>
      <c r="AK7" s="591">
        <v>2029</v>
      </c>
      <c r="AL7" s="591">
        <v>2030</v>
      </c>
      <c r="AM7" s="181">
        <v>2031</v>
      </c>
      <c r="AN7" s="591">
        <v>2032</v>
      </c>
      <c r="AO7" s="591">
        <v>2033</v>
      </c>
      <c r="AP7" s="591">
        <v>2034</v>
      </c>
      <c r="AQ7" s="181">
        <v>2035</v>
      </c>
      <c r="AR7" s="591">
        <v>2036</v>
      </c>
      <c r="AS7" s="591">
        <v>2037</v>
      </c>
      <c r="AT7" s="591">
        <v>2038</v>
      </c>
      <c r="AU7" s="181">
        <v>2039</v>
      </c>
      <c r="AV7" s="591">
        <v>2040</v>
      </c>
      <c r="AW7" s="591">
        <v>2041</v>
      </c>
      <c r="AX7" s="591">
        <v>2042</v>
      </c>
      <c r="AY7" s="181">
        <v>2043</v>
      </c>
      <c r="AZ7" s="591">
        <v>2044</v>
      </c>
      <c r="BA7" s="591">
        <v>2045</v>
      </c>
      <c r="BB7" s="591">
        <v>2046</v>
      </c>
      <c r="BC7" s="181">
        <v>2047</v>
      </c>
      <c r="BD7" s="591">
        <v>2048</v>
      </c>
      <c r="BE7" s="591">
        <v>2049</v>
      </c>
      <c r="BF7" s="591">
        <v>2050</v>
      </c>
    </row>
    <row r="8" spans="2:58">
      <c r="B8" t="s">
        <v>626</v>
      </c>
      <c r="C8" s="185">
        <v>136867.77272712285</v>
      </c>
      <c r="D8" s="186">
        <f t="shared" ref="D8:I8" si="0">C8+($J8-$C8)/(COLUMN($J8)-COLUMN($C8))</f>
        <v>135985.68033801136</v>
      </c>
      <c r="E8" s="186">
        <f t="shared" si="0"/>
        <v>135103.58794889986</v>
      </c>
      <c r="F8" s="186">
        <f t="shared" si="0"/>
        <v>134221.49555978837</v>
      </c>
      <c r="G8" s="186">
        <f t="shared" si="0"/>
        <v>133339.40317067687</v>
      </c>
      <c r="H8" s="186">
        <f t="shared" si="0"/>
        <v>132457.31078156538</v>
      </c>
      <c r="I8" s="186">
        <f t="shared" si="0"/>
        <v>131575.21839245388</v>
      </c>
      <c r="J8" s="185">
        <v>130693.12600334238</v>
      </c>
      <c r="K8" s="187">
        <f t="shared" ref="K8:N27" si="1">J8+($O8-$J8)/(COLUMN($O8)-COLUMN($J8))</f>
        <v>129718.95386307972</v>
      </c>
      <c r="L8" s="187">
        <f t="shared" si="1"/>
        <v>128744.78172281706</v>
      </c>
      <c r="M8" s="187">
        <f t="shared" si="1"/>
        <v>127770.6095825544</v>
      </c>
      <c r="N8" s="187">
        <f t="shared" si="1"/>
        <v>126796.43744229175</v>
      </c>
      <c r="O8" s="185">
        <v>125822.26530202909</v>
      </c>
      <c r="P8" s="187">
        <f t="shared" ref="P8:S27" si="2">O8+($T8-$O8)/(COLUMN($T8)-COLUMN($O8))</f>
        <v>125322.04617791613</v>
      </c>
      <c r="Q8" s="187">
        <f t="shared" si="2"/>
        <v>124821.82705380316</v>
      </c>
      <c r="R8" s="187">
        <f t="shared" si="2"/>
        <v>124321.6079296902</v>
      </c>
      <c r="S8" s="187">
        <f t="shared" si="2"/>
        <v>123821.38880557724</v>
      </c>
      <c r="T8" s="185">
        <v>123321.16968146426</v>
      </c>
      <c r="U8" s="195"/>
      <c r="V8" t="s">
        <v>626</v>
      </c>
      <c r="W8" s="189">
        <f t="shared" ref="W8:AL8" si="3">E8/SUM(E8:E40)</f>
        <v>2.0798331721057411E-2</v>
      </c>
      <c r="X8" s="190">
        <f t="shared" si="3"/>
        <v>2.091305172775923E-2</v>
      </c>
      <c r="Y8" s="190">
        <f t="shared" si="3"/>
        <v>2.1030587603115457E-2</v>
      </c>
      <c r="Z8" s="190">
        <f t="shared" si="3"/>
        <v>2.115104431100303E-2</v>
      </c>
      <c r="AA8" s="190">
        <f t="shared" si="3"/>
        <v>2.1274532097757509E-2</v>
      </c>
      <c r="AB8" s="190">
        <f t="shared" si="3"/>
        <v>2.1401166828716567E-2</v>
      </c>
      <c r="AC8" s="190">
        <f t="shared" si="3"/>
        <v>2.1418773092470852E-2</v>
      </c>
      <c r="AD8" s="190">
        <f t="shared" si="3"/>
        <v>2.1436675452817373E-2</v>
      </c>
      <c r="AE8" s="190">
        <f t="shared" si="3"/>
        <v>2.1454881442587181E-2</v>
      </c>
      <c r="AF8" s="190">
        <f t="shared" si="3"/>
        <v>2.1473398852314893E-2</v>
      </c>
      <c r="AG8" s="190">
        <f t="shared" si="3"/>
        <v>2.1492235741353997E-2</v>
      </c>
      <c r="AH8" s="190">
        <f t="shared" si="3"/>
        <v>2.1498880013451384E-2</v>
      </c>
      <c r="AI8" s="190">
        <f t="shared" si="3"/>
        <v>2.1505581697865126E-2</v>
      </c>
      <c r="AJ8" s="190">
        <f t="shared" si="3"/>
        <v>2.1512341541963038E-2</v>
      </c>
      <c r="AK8" s="190">
        <f t="shared" si="3"/>
        <v>2.1519160306141354E-2</v>
      </c>
      <c r="AL8" s="190">
        <f t="shared" si="3"/>
        <v>2.1526038764109811E-2</v>
      </c>
      <c r="AM8" s="191">
        <f t="shared" ref="AM8:AM40" si="4">AL8</f>
        <v>2.1526038764109811E-2</v>
      </c>
      <c r="AN8" s="191">
        <f t="shared" ref="AN8:BF21" si="5">AM8</f>
        <v>2.1526038764109811E-2</v>
      </c>
      <c r="AO8" s="191">
        <f t="shared" si="5"/>
        <v>2.1526038764109811E-2</v>
      </c>
      <c r="AP8" s="191">
        <f t="shared" si="5"/>
        <v>2.1526038764109811E-2</v>
      </c>
      <c r="AQ8" s="191">
        <f t="shared" si="5"/>
        <v>2.1526038764109811E-2</v>
      </c>
      <c r="AR8" s="191">
        <f t="shared" si="5"/>
        <v>2.1526038764109811E-2</v>
      </c>
      <c r="AS8" s="191">
        <f t="shared" si="5"/>
        <v>2.1526038764109811E-2</v>
      </c>
      <c r="AT8" s="191">
        <f t="shared" si="5"/>
        <v>2.1526038764109811E-2</v>
      </c>
      <c r="AU8" s="191">
        <f t="shared" si="5"/>
        <v>2.1526038764109811E-2</v>
      </c>
      <c r="AV8" s="191">
        <f t="shared" si="5"/>
        <v>2.1526038764109811E-2</v>
      </c>
      <c r="AW8" s="191">
        <f t="shared" si="5"/>
        <v>2.1526038764109811E-2</v>
      </c>
      <c r="AX8" s="191">
        <f t="shared" si="5"/>
        <v>2.1526038764109811E-2</v>
      </c>
      <c r="AY8" s="191">
        <f t="shared" si="5"/>
        <v>2.1526038764109811E-2</v>
      </c>
      <c r="AZ8" s="191">
        <f t="shared" si="5"/>
        <v>2.1526038764109811E-2</v>
      </c>
      <c r="BA8" s="191">
        <f t="shared" si="5"/>
        <v>2.1526038764109811E-2</v>
      </c>
      <c r="BB8" s="191">
        <f t="shared" si="5"/>
        <v>2.1526038764109811E-2</v>
      </c>
      <c r="BC8" s="191">
        <f t="shared" si="5"/>
        <v>2.1526038764109811E-2</v>
      </c>
      <c r="BD8" s="191">
        <f t="shared" si="5"/>
        <v>2.1526038764109811E-2</v>
      </c>
      <c r="BE8" s="191">
        <f t="shared" si="5"/>
        <v>2.1526038764109811E-2</v>
      </c>
      <c r="BF8" s="192">
        <f t="shared" si="5"/>
        <v>2.1526038764109811E-2</v>
      </c>
    </row>
    <row r="9" spans="2:58">
      <c r="B9" t="s">
        <v>627</v>
      </c>
      <c r="C9" s="109">
        <v>397821.91890394018</v>
      </c>
      <c r="D9" s="182">
        <f t="shared" ref="D9:I9" si="6">C9+($J9-$C9)/(COLUMN($J9)-COLUMN($C9))</f>
        <v>393684.78424379055</v>
      </c>
      <c r="E9" s="182">
        <f t="shared" si="6"/>
        <v>389547.64958364092</v>
      </c>
      <c r="F9" s="182">
        <f t="shared" si="6"/>
        <v>385410.51492349128</v>
      </c>
      <c r="G9" s="182">
        <f t="shared" si="6"/>
        <v>381273.38026334165</v>
      </c>
      <c r="H9" s="182">
        <f t="shared" si="6"/>
        <v>377136.24560319202</v>
      </c>
      <c r="I9" s="182">
        <f t="shared" si="6"/>
        <v>372999.11094304238</v>
      </c>
      <c r="J9" s="109">
        <v>368861.97628289281</v>
      </c>
      <c r="K9" s="183">
        <f t="shared" si="1"/>
        <v>365489.29636681674</v>
      </c>
      <c r="L9" s="183">
        <f t="shared" si="1"/>
        <v>362116.61645074066</v>
      </c>
      <c r="M9" s="183">
        <f t="shared" si="1"/>
        <v>358743.93653466459</v>
      </c>
      <c r="N9" s="183">
        <f t="shared" si="1"/>
        <v>355371.25661858852</v>
      </c>
      <c r="O9" s="109">
        <v>351998.57670251245</v>
      </c>
      <c r="P9" s="183">
        <f t="shared" si="2"/>
        <v>350340.44442033977</v>
      </c>
      <c r="Q9" s="183">
        <f t="shared" si="2"/>
        <v>348682.31213816709</v>
      </c>
      <c r="R9" s="183">
        <f t="shared" si="2"/>
        <v>347024.17985599441</v>
      </c>
      <c r="S9" s="183">
        <f t="shared" si="2"/>
        <v>345366.04757382174</v>
      </c>
      <c r="T9" s="109">
        <v>343707.91529164917</v>
      </c>
      <c r="U9" s="195"/>
      <c r="V9" t="s">
        <v>627</v>
      </c>
      <c r="W9" s="193">
        <f t="shared" ref="W9:AL9" si="7">E9/SUM(E8:E40)</f>
        <v>5.9968364720729604E-2</v>
      </c>
      <c r="X9" s="172">
        <f t="shared" si="7"/>
        <v>6.0050813779130879E-2</v>
      </c>
      <c r="Y9" s="172">
        <f t="shared" si="7"/>
        <v>6.0135286597169303E-2</v>
      </c>
      <c r="Z9" s="172">
        <f t="shared" si="7"/>
        <v>6.0221858612190718E-2</v>
      </c>
      <c r="AA9" s="172">
        <f t="shared" si="7"/>
        <v>6.0310609058034294E-2</v>
      </c>
      <c r="AB9" s="172">
        <f t="shared" si="7"/>
        <v>6.040162120690569E-2</v>
      </c>
      <c r="AC9" s="172">
        <f t="shared" si="7"/>
        <v>6.0348407641882471E-2</v>
      </c>
      <c r="AD9" s="172">
        <f t="shared" si="7"/>
        <v>6.0294299147901992E-2</v>
      </c>
      <c r="AE9" s="172">
        <f t="shared" si="7"/>
        <v>6.0239272957567223E-2</v>
      </c>
      <c r="AF9" s="172">
        <f t="shared" si="7"/>
        <v>6.0183305524592307E-2</v>
      </c>
      <c r="AG9" s="172">
        <f t="shared" si="7"/>
        <v>6.0126372490207212E-2</v>
      </c>
      <c r="AH9" s="172">
        <f t="shared" si="7"/>
        <v>6.0100576140923012E-2</v>
      </c>
      <c r="AI9" s="172">
        <f t="shared" si="7"/>
        <v>6.0074556888641439E-2</v>
      </c>
      <c r="AJ9" s="172">
        <f t="shared" si="7"/>
        <v>6.0048311831711075E-2</v>
      </c>
      <c r="AK9" s="172">
        <f t="shared" si="7"/>
        <v>6.0021838017897879E-2</v>
      </c>
      <c r="AL9" s="172">
        <f t="shared" si="7"/>
        <v>5.9995132443278025E-2</v>
      </c>
      <c r="AM9" s="184">
        <f t="shared" si="4"/>
        <v>5.9995132443278025E-2</v>
      </c>
      <c r="AN9" s="184">
        <f t="shared" ref="AN9:BB9" si="8">AM9</f>
        <v>5.9995132443278025E-2</v>
      </c>
      <c r="AO9" s="184">
        <f t="shared" si="8"/>
        <v>5.9995132443278025E-2</v>
      </c>
      <c r="AP9" s="184">
        <f t="shared" si="8"/>
        <v>5.9995132443278025E-2</v>
      </c>
      <c r="AQ9" s="184">
        <f t="shared" si="8"/>
        <v>5.9995132443278025E-2</v>
      </c>
      <c r="AR9" s="184">
        <f t="shared" si="8"/>
        <v>5.9995132443278025E-2</v>
      </c>
      <c r="AS9" s="184">
        <f t="shared" si="8"/>
        <v>5.9995132443278025E-2</v>
      </c>
      <c r="AT9" s="184">
        <f t="shared" si="8"/>
        <v>5.9995132443278025E-2</v>
      </c>
      <c r="AU9" s="184">
        <f t="shared" si="8"/>
        <v>5.9995132443278025E-2</v>
      </c>
      <c r="AV9" s="184">
        <f t="shared" si="8"/>
        <v>5.9995132443278025E-2</v>
      </c>
      <c r="AW9" s="184">
        <f t="shared" si="8"/>
        <v>5.9995132443278025E-2</v>
      </c>
      <c r="AX9" s="184">
        <f t="shared" si="8"/>
        <v>5.9995132443278025E-2</v>
      </c>
      <c r="AY9" s="184">
        <f t="shared" si="8"/>
        <v>5.9995132443278025E-2</v>
      </c>
      <c r="AZ9" s="184">
        <f t="shared" si="8"/>
        <v>5.9995132443278025E-2</v>
      </c>
      <c r="BA9" s="184">
        <f t="shared" si="8"/>
        <v>5.9995132443278025E-2</v>
      </c>
      <c r="BB9" s="184">
        <f t="shared" si="8"/>
        <v>5.9995132443278025E-2</v>
      </c>
      <c r="BC9" s="184">
        <f t="shared" si="5"/>
        <v>5.9995132443278025E-2</v>
      </c>
      <c r="BD9" s="184">
        <f t="shared" si="5"/>
        <v>5.9995132443278025E-2</v>
      </c>
      <c r="BE9" s="184">
        <f t="shared" si="5"/>
        <v>5.9995132443278025E-2</v>
      </c>
      <c r="BF9" s="194">
        <f t="shared" si="5"/>
        <v>5.9995132443278025E-2</v>
      </c>
    </row>
    <row r="10" spans="2:58">
      <c r="B10" t="s">
        <v>628</v>
      </c>
      <c r="C10" s="109">
        <v>191876.30181313201</v>
      </c>
      <c r="D10" s="182">
        <f t="shared" ref="D10:I10" si="9">C10+($J10-$C10)/(COLUMN($J10)-COLUMN($C10))</f>
        <v>190102.20285152478</v>
      </c>
      <c r="E10" s="182">
        <f t="shared" si="9"/>
        <v>188328.10388991755</v>
      </c>
      <c r="F10" s="182">
        <f t="shared" si="9"/>
        <v>186554.00492831031</v>
      </c>
      <c r="G10" s="182">
        <f t="shared" si="9"/>
        <v>184779.90596670308</v>
      </c>
      <c r="H10" s="182">
        <f t="shared" si="9"/>
        <v>183005.80700509585</v>
      </c>
      <c r="I10" s="182">
        <f t="shared" si="9"/>
        <v>181231.70804348862</v>
      </c>
      <c r="J10" s="109">
        <v>179457.60908188138</v>
      </c>
      <c r="K10" s="183">
        <f t="shared" si="1"/>
        <v>177750.57468161781</v>
      </c>
      <c r="L10" s="183">
        <f t="shared" si="1"/>
        <v>176043.54028135425</v>
      </c>
      <c r="M10" s="183">
        <f t="shared" si="1"/>
        <v>174336.50588109068</v>
      </c>
      <c r="N10" s="183">
        <f t="shared" si="1"/>
        <v>172629.47148082711</v>
      </c>
      <c r="O10" s="109">
        <v>170922.43708056357</v>
      </c>
      <c r="P10" s="183">
        <f t="shared" si="2"/>
        <v>170037.91471409821</v>
      </c>
      <c r="Q10" s="183">
        <f t="shared" si="2"/>
        <v>169153.39234763285</v>
      </c>
      <c r="R10" s="183">
        <f t="shared" si="2"/>
        <v>168268.86998116749</v>
      </c>
      <c r="S10" s="183">
        <f t="shared" si="2"/>
        <v>167384.34761470213</v>
      </c>
      <c r="T10" s="109">
        <v>166499.82524823671</v>
      </c>
      <c r="U10" s="195"/>
      <c r="V10" t="s">
        <v>628</v>
      </c>
      <c r="W10" s="193">
        <f t="shared" ref="W10:AL10" si="10">E10/SUM(E8:E40)</f>
        <v>2.8991904926919915E-2</v>
      </c>
      <c r="X10" s="172">
        <f t="shared" si="10"/>
        <v>2.906698020920603E-2</v>
      </c>
      <c r="Y10" s="172">
        <f t="shared" si="10"/>
        <v>2.9143898257546545E-2</v>
      </c>
      <c r="Z10" s="172">
        <f t="shared" si="10"/>
        <v>2.9222727762598971E-2</v>
      </c>
      <c r="AA10" s="172">
        <f t="shared" si="10"/>
        <v>2.9303540871977337E-2</v>
      </c>
      <c r="AB10" s="172">
        <f t="shared" si="10"/>
        <v>2.9386413410493559E-2</v>
      </c>
      <c r="AC10" s="172">
        <f t="shared" si="10"/>
        <v>2.9349598595903123E-2</v>
      </c>
      <c r="AD10" s="172">
        <f t="shared" si="10"/>
        <v>2.9312164641369348E-2</v>
      </c>
      <c r="AE10" s="172">
        <f t="shared" si="10"/>
        <v>2.9274095795692342E-2</v>
      </c>
      <c r="AF10" s="172">
        <f t="shared" si="10"/>
        <v>2.9235375768812445E-2</v>
      </c>
      <c r="AG10" s="172">
        <f t="shared" si="10"/>
        <v>2.9195987708567961E-2</v>
      </c>
      <c r="AH10" s="172">
        <f t="shared" si="10"/>
        <v>2.9169845511348345E-2</v>
      </c>
      <c r="AI10" s="172">
        <f t="shared" si="10"/>
        <v>2.9143477422703006E-2</v>
      </c>
      <c r="AJ10" s="172">
        <f t="shared" si="10"/>
        <v>2.9116880502078519E-2</v>
      </c>
      <c r="AK10" s="172">
        <f t="shared" si="10"/>
        <v>2.9090051757660641E-2</v>
      </c>
      <c r="AL10" s="172">
        <f t="shared" si="10"/>
        <v>2.9062988145252378E-2</v>
      </c>
      <c r="AM10" s="184">
        <f t="shared" si="4"/>
        <v>2.9062988145252378E-2</v>
      </c>
      <c r="AN10" s="184">
        <f t="shared" si="5"/>
        <v>2.9062988145252378E-2</v>
      </c>
      <c r="AO10" s="184">
        <f t="shared" si="5"/>
        <v>2.9062988145252378E-2</v>
      </c>
      <c r="AP10" s="184">
        <f t="shared" si="5"/>
        <v>2.9062988145252378E-2</v>
      </c>
      <c r="AQ10" s="184">
        <f t="shared" si="5"/>
        <v>2.9062988145252378E-2</v>
      </c>
      <c r="AR10" s="184">
        <f t="shared" si="5"/>
        <v>2.9062988145252378E-2</v>
      </c>
      <c r="AS10" s="184">
        <f t="shared" si="5"/>
        <v>2.9062988145252378E-2</v>
      </c>
      <c r="AT10" s="184">
        <f t="shared" si="5"/>
        <v>2.9062988145252378E-2</v>
      </c>
      <c r="AU10" s="184">
        <f t="shared" si="5"/>
        <v>2.9062988145252378E-2</v>
      </c>
      <c r="AV10" s="184">
        <f t="shared" si="5"/>
        <v>2.9062988145252378E-2</v>
      </c>
      <c r="AW10" s="184">
        <f t="shared" si="5"/>
        <v>2.9062988145252378E-2</v>
      </c>
      <c r="AX10" s="184">
        <f t="shared" si="5"/>
        <v>2.9062988145252378E-2</v>
      </c>
      <c r="AY10" s="184">
        <f t="shared" si="5"/>
        <v>2.9062988145252378E-2</v>
      </c>
      <c r="AZ10" s="184">
        <f t="shared" si="5"/>
        <v>2.9062988145252378E-2</v>
      </c>
      <c r="BA10" s="184">
        <f t="shared" si="5"/>
        <v>2.9062988145252378E-2</v>
      </c>
      <c r="BB10" s="184">
        <f t="shared" si="5"/>
        <v>2.9062988145252378E-2</v>
      </c>
      <c r="BC10" s="184">
        <f t="shared" si="5"/>
        <v>2.9062988145252378E-2</v>
      </c>
      <c r="BD10" s="184">
        <f t="shared" si="5"/>
        <v>2.9062988145252378E-2</v>
      </c>
      <c r="BE10" s="184">
        <f t="shared" si="5"/>
        <v>2.9062988145252378E-2</v>
      </c>
      <c r="BF10" s="194">
        <f t="shared" si="5"/>
        <v>2.9062988145252378E-2</v>
      </c>
    </row>
    <row r="11" spans="2:58">
      <c r="B11" t="s">
        <v>629</v>
      </c>
      <c r="C11" s="109">
        <v>212164.59248299475</v>
      </c>
      <c r="D11" s="182">
        <f t="shared" ref="D11:I11" si="11">C11+($J11-$C11)/(COLUMN($J11)-COLUMN($C11))</f>
        <v>209716.90778970686</v>
      </c>
      <c r="E11" s="182">
        <f t="shared" si="11"/>
        <v>207269.22309641898</v>
      </c>
      <c r="F11" s="182">
        <f t="shared" si="11"/>
        <v>204821.5384031311</v>
      </c>
      <c r="G11" s="182">
        <f t="shared" si="11"/>
        <v>202373.85370984321</v>
      </c>
      <c r="H11" s="182">
        <f t="shared" si="11"/>
        <v>199926.16901655533</v>
      </c>
      <c r="I11" s="182">
        <f t="shared" si="11"/>
        <v>197478.48432326745</v>
      </c>
      <c r="J11" s="109">
        <v>195030.79962997962</v>
      </c>
      <c r="K11" s="183">
        <f t="shared" si="1"/>
        <v>193147.98790227572</v>
      </c>
      <c r="L11" s="183">
        <f t="shared" si="1"/>
        <v>191265.17617457182</v>
      </c>
      <c r="M11" s="183">
        <f t="shared" si="1"/>
        <v>189382.36444686793</v>
      </c>
      <c r="N11" s="183">
        <f t="shared" si="1"/>
        <v>187499.55271916403</v>
      </c>
      <c r="O11" s="109">
        <v>185616.74099146019</v>
      </c>
      <c r="P11" s="183">
        <f t="shared" si="2"/>
        <v>184571.48216408573</v>
      </c>
      <c r="Q11" s="183">
        <f t="shared" si="2"/>
        <v>183526.22333671126</v>
      </c>
      <c r="R11" s="183">
        <f t="shared" si="2"/>
        <v>182480.9645093368</v>
      </c>
      <c r="S11" s="183">
        <f t="shared" si="2"/>
        <v>181435.70568196234</v>
      </c>
      <c r="T11" s="109">
        <v>180390.44685458791</v>
      </c>
      <c r="U11" s="195"/>
      <c r="V11" t="s">
        <v>629</v>
      </c>
      <c r="W11" s="193">
        <f t="shared" ref="W11:AL11" si="12">E11/SUM(E8:E40)</f>
        <v>3.1907768868104876E-2</v>
      </c>
      <c r="X11" s="172">
        <f t="shared" si="12"/>
        <v>3.1913244668592321E-2</v>
      </c>
      <c r="Y11" s="172">
        <f t="shared" si="12"/>
        <v>3.1918854875757317E-2</v>
      </c>
      <c r="Z11" s="172">
        <f t="shared" si="12"/>
        <v>3.1924604499722037E-2</v>
      </c>
      <c r="AA11" s="172">
        <f t="shared" si="12"/>
        <v>3.1930498802750291E-2</v>
      </c>
      <c r="AB11" s="172">
        <f t="shared" si="12"/>
        <v>3.1936543315311344E-2</v>
      </c>
      <c r="AC11" s="172">
        <f t="shared" si="12"/>
        <v>3.1891969546044958E-2</v>
      </c>
      <c r="AD11" s="172">
        <f t="shared" si="12"/>
        <v>3.1846646149182041E-2</v>
      </c>
      <c r="AE11" s="172">
        <f t="shared" si="12"/>
        <v>3.180055405385785E-2</v>
      </c>
      <c r="AF11" s="172">
        <f t="shared" si="12"/>
        <v>3.1753673536779783E-2</v>
      </c>
      <c r="AG11" s="172">
        <f t="shared" si="12"/>
        <v>3.1705984194086628E-2</v>
      </c>
      <c r="AH11" s="172">
        <f t="shared" si="12"/>
        <v>3.1663065437961262E-2</v>
      </c>
      <c r="AI11" s="172">
        <f t="shared" si="12"/>
        <v>3.1619775826282698E-2</v>
      </c>
      <c r="AJ11" s="172">
        <f t="shared" si="12"/>
        <v>3.1576110531419441E-2</v>
      </c>
      <c r="AK11" s="172">
        <f t="shared" si="12"/>
        <v>3.1532064641582883E-2</v>
      </c>
      <c r="AL11" s="172">
        <f t="shared" si="12"/>
        <v>3.1487633158985485E-2</v>
      </c>
      <c r="AM11" s="184">
        <f t="shared" si="4"/>
        <v>3.1487633158985485E-2</v>
      </c>
      <c r="AN11" s="184">
        <f t="shared" si="5"/>
        <v>3.1487633158985485E-2</v>
      </c>
      <c r="AO11" s="184">
        <f t="shared" si="5"/>
        <v>3.1487633158985485E-2</v>
      </c>
      <c r="AP11" s="184">
        <f t="shared" si="5"/>
        <v>3.1487633158985485E-2</v>
      </c>
      <c r="AQ11" s="184">
        <f t="shared" si="5"/>
        <v>3.1487633158985485E-2</v>
      </c>
      <c r="AR11" s="184">
        <f t="shared" si="5"/>
        <v>3.1487633158985485E-2</v>
      </c>
      <c r="AS11" s="184">
        <f t="shared" si="5"/>
        <v>3.1487633158985485E-2</v>
      </c>
      <c r="AT11" s="184">
        <f t="shared" si="5"/>
        <v>3.1487633158985485E-2</v>
      </c>
      <c r="AU11" s="184">
        <f t="shared" si="5"/>
        <v>3.1487633158985485E-2</v>
      </c>
      <c r="AV11" s="184">
        <f t="shared" si="5"/>
        <v>3.1487633158985485E-2</v>
      </c>
      <c r="AW11" s="184">
        <f t="shared" si="5"/>
        <v>3.1487633158985485E-2</v>
      </c>
      <c r="AX11" s="184">
        <f t="shared" si="5"/>
        <v>3.1487633158985485E-2</v>
      </c>
      <c r="AY11" s="184">
        <f t="shared" si="5"/>
        <v>3.1487633158985485E-2</v>
      </c>
      <c r="AZ11" s="184">
        <f t="shared" si="5"/>
        <v>3.1487633158985485E-2</v>
      </c>
      <c r="BA11" s="184">
        <f t="shared" si="5"/>
        <v>3.1487633158985485E-2</v>
      </c>
      <c r="BB11" s="184">
        <f t="shared" si="5"/>
        <v>3.1487633158985485E-2</v>
      </c>
      <c r="BC11" s="184">
        <f t="shared" si="5"/>
        <v>3.1487633158985485E-2</v>
      </c>
      <c r="BD11" s="184">
        <f t="shared" si="5"/>
        <v>3.1487633158985485E-2</v>
      </c>
      <c r="BE11" s="184">
        <f t="shared" si="5"/>
        <v>3.1487633158985485E-2</v>
      </c>
      <c r="BF11" s="194">
        <f t="shared" si="5"/>
        <v>3.1487633158985485E-2</v>
      </c>
    </row>
    <row r="12" spans="2:58">
      <c r="B12" t="s">
        <v>630</v>
      </c>
      <c r="C12" s="109">
        <v>258091.49574368339</v>
      </c>
      <c r="D12" s="182">
        <f t="shared" ref="D12:I12" si="13">C12+($J12-$C12)/(COLUMN($J12)-COLUMN($C12))</f>
        <v>255288.56067616068</v>
      </c>
      <c r="E12" s="182">
        <f t="shared" si="13"/>
        <v>252485.62560863796</v>
      </c>
      <c r="F12" s="182">
        <f t="shared" si="13"/>
        <v>249682.69054111524</v>
      </c>
      <c r="G12" s="182">
        <f t="shared" si="13"/>
        <v>246879.75547359252</v>
      </c>
      <c r="H12" s="182">
        <f t="shared" si="13"/>
        <v>244076.8204060698</v>
      </c>
      <c r="I12" s="182">
        <f t="shared" si="13"/>
        <v>241273.88533854709</v>
      </c>
      <c r="J12" s="109">
        <v>238470.95027102437</v>
      </c>
      <c r="K12" s="183">
        <f t="shared" si="1"/>
        <v>235816.85134126095</v>
      </c>
      <c r="L12" s="183">
        <f t="shared" si="1"/>
        <v>233162.75241149752</v>
      </c>
      <c r="M12" s="183">
        <f t="shared" si="1"/>
        <v>230508.6534817341</v>
      </c>
      <c r="N12" s="183">
        <f t="shared" si="1"/>
        <v>227854.55455197068</v>
      </c>
      <c r="O12" s="109">
        <v>225200.45562220723</v>
      </c>
      <c r="P12" s="183">
        <f t="shared" si="2"/>
        <v>223751.12081567873</v>
      </c>
      <c r="Q12" s="183">
        <f t="shared" si="2"/>
        <v>222301.78600915024</v>
      </c>
      <c r="R12" s="183">
        <f t="shared" si="2"/>
        <v>220852.45120262174</v>
      </c>
      <c r="S12" s="183">
        <f t="shared" si="2"/>
        <v>219403.11639609325</v>
      </c>
      <c r="T12" s="109">
        <v>217953.78158956475</v>
      </c>
      <c r="U12" s="195"/>
      <c r="V12" t="s">
        <v>630</v>
      </c>
      <c r="W12" s="193">
        <f t="shared" ref="W12:AL12" si="14">E12/SUM(E8:E40)</f>
        <v>3.8868544321660418E-2</v>
      </c>
      <c r="X12" s="172">
        <f t="shared" si="14"/>
        <v>3.8903060951861412E-2</v>
      </c>
      <c r="Y12" s="172">
        <f t="shared" si="14"/>
        <v>3.8938424812635632E-2</v>
      </c>
      <c r="Z12" s="172">
        <f t="shared" si="14"/>
        <v>3.8974667485216635E-2</v>
      </c>
      <c r="AA12" s="172">
        <f t="shared" si="14"/>
        <v>3.9011822140209138E-2</v>
      </c>
      <c r="AB12" s="172">
        <f t="shared" si="14"/>
        <v>3.9049923638847274E-2</v>
      </c>
      <c r="AC12" s="172">
        <f t="shared" si="14"/>
        <v>3.893731393787455E-2</v>
      </c>
      <c r="AD12" s="172">
        <f t="shared" si="14"/>
        <v>3.8822810402458906E-2</v>
      </c>
      <c r="AE12" s="172">
        <f t="shared" si="14"/>
        <v>3.8706364852596521E-2</v>
      </c>
      <c r="AF12" s="172">
        <f t="shared" si="14"/>
        <v>3.8587927460011252E-2</v>
      </c>
      <c r="AG12" s="172">
        <f t="shared" si="14"/>
        <v>3.8467446677060847E-2</v>
      </c>
      <c r="AH12" s="172">
        <f t="shared" si="14"/>
        <v>3.8384295868121684E-2</v>
      </c>
      <c r="AI12" s="172">
        <f t="shared" si="14"/>
        <v>3.8300426563540262E-2</v>
      </c>
      <c r="AJ12" s="172">
        <f t="shared" si="14"/>
        <v>3.8215829410262067E-2</v>
      </c>
      <c r="AK12" s="172">
        <f t="shared" si="14"/>
        <v>3.8130494892186652E-2</v>
      </c>
      <c r="AL12" s="172">
        <f t="shared" si="14"/>
        <v>3.804441332659915E-2</v>
      </c>
      <c r="AM12" s="184">
        <f t="shared" si="4"/>
        <v>3.804441332659915E-2</v>
      </c>
      <c r="AN12" s="184">
        <f t="shared" si="5"/>
        <v>3.804441332659915E-2</v>
      </c>
      <c r="AO12" s="184">
        <f t="shared" si="5"/>
        <v>3.804441332659915E-2</v>
      </c>
      <c r="AP12" s="184">
        <f t="shared" si="5"/>
        <v>3.804441332659915E-2</v>
      </c>
      <c r="AQ12" s="184">
        <f t="shared" si="5"/>
        <v>3.804441332659915E-2</v>
      </c>
      <c r="AR12" s="184">
        <f t="shared" si="5"/>
        <v>3.804441332659915E-2</v>
      </c>
      <c r="AS12" s="184">
        <f t="shared" si="5"/>
        <v>3.804441332659915E-2</v>
      </c>
      <c r="AT12" s="184">
        <f t="shared" si="5"/>
        <v>3.804441332659915E-2</v>
      </c>
      <c r="AU12" s="184">
        <f t="shared" si="5"/>
        <v>3.804441332659915E-2</v>
      </c>
      <c r="AV12" s="184">
        <f t="shared" si="5"/>
        <v>3.804441332659915E-2</v>
      </c>
      <c r="AW12" s="184">
        <f t="shared" si="5"/>
        <v>3.804441332659915E-2</v>
      </c>
      <c r="AX12" s="184">
        <f t="shared" si="5"/>
        <v>3.804441332659915E-2</v>
      </c>
      <c r="AY12" s="184">
        <f t="shared" si="5"/>
        <v>3.804441332659915E-2</v>
      </c>
      <c r="AZ12" s="184">
        <f t="shared" si="5"/>
        <v>3.804441332659915E-2</v>
      </c>
      <c r="BA12" s="184">
        <f t="shared" si="5"/>
        <v>3.804441332659915E-2</v>
      </c>
      <c r="BB12" s="184">
        <f t="shared" si="5"/>
        <v>3.804441332659915E-2</v>
      </c>
      <c r="BC12" s="184">
        <f t="shared" si="5"/>
        <v>3.804441332659915E-2</v>
      </c>
      <c r="BD12" s="184">
        <f t="shared" si="5"/>
        <v>3.804441332659915E-2</v>
      </c>
      <c r="BE12" s="184">
        <f t="shared" si="5"/>
        <v>3.804441332659915E-2</v>
      </c>
      <c r="BF12" s="194">
        <f t="shared" si="5"/>
        <v>3.804441332659915E-2</v>
      </c>
    </row>
    <row r="13" spans="2:58">
      <c r="B13" t="s">
        <v>631</v>
      </c>
      <c r="C13" s="109">
        <v>161245.24277732006</v>
      </c>
      <c r="D13" s="182">
        <f t="shared" ref="D13:I13" si="15">C13+($J13-$C13)/(COLUMN($J13)-COLUMN($C13))</f>
        <v>158042.09882126952</v>
      </c>
      <c r="E13" s="182">
        <f t="shared" si="15"/>
        <v>154838.95486521898</v>
      </c>
      <c r="F13" s="182">
        <f t="shared" si="15"/>
        <v>151635.81090916845</v>
      </c>
      <c r="G13" s="182">
        <f t="shared" si="15"/>
        <v>148432.66695311791</v>
      </c>
      <c r="H13" s="182">
        <f t="shared" si="15"/>
        <v>145229.52299706737</v>
      </c>
      <c r="I13" s="182">
        <f t="shared" si="15"/>
        <v>142026.37904101683</v>
      </c>
      <c r="J13" s="109">
        <v>138823.23508496629</v>
      </c>
      <c r="K13" s="183">
        <f t="shared" si="1"/>
        <v>137599.28391767485</v>
      </c>
      <c r="L13" s="183">
        <f t="shared" si="1"/>
        <v>136375.33275038342</v>
      </c>
      <c r="M13" s="183">
        <f t="shared" si="1"/>
        <v>135151.38158309198</v>
      </c>
      <c r="N13" s="183">
        <f t="shared" si="1"/>
        <v>133927.43041580054</v>
      </c>
      <c r="O13" s="109">
        <v>132703.47924850904</v>
      </c>
      <c r="P13" s="183">
        <f t="shared" si="2"/>
        <v>131920.33214834781</v>
      </c>
      <c r="Q13" s="183">
        <f t="shared" si="2"/>
        <v>131137.18504818657</v>
      </c>
      <c r="R13" s="183">
        <f t="shared" si="2"/>
        <v>130354.03794802532</v>
      </c>
      <c r="S13" s="183">
        <f t="shared" si="2"/>
        <v>129570.89084786407</v>
      </c>
      <c r="T13" s="109">
        <v>128787.7437477028</v>
      </c>
      <c r="U13" s="195"/>
      <c r="V13" t="s">
        <v>631</v>
      </c>
      <c r="W13" s="193">
        <f t="shared" ref="W13:AL13" si="16">E13/SUM(E8:E40)</f>
        <v>2.3836465008218045E-2</v>
      </c>
      <c r="X13" s="172">
        <f t="shared" si="16"/>
        <v>2.3626376267813037E-2</v>
      </c>
      <c r="Y13" s="172">
        <f t="shared" si="16"/>
        <v>2.341113077824316E-2</v>
      </c>
      <c r="Z13" s="172">
        <f t="shared" si="16"/>
        <v>2.3190536317337904E-2</v>
      </c>
      <c r="AA13" s="172">
        <f t="shared" si="16"/>
        <v>2.2964390989068491E-2</v>
      </c>
      <c r="AB13" s="172">
        <f t="shared" si="16"/>
        <v>2.2732482607230022E-2</v>
      </c>
      <c r="AC13" s="172">
        <f t="shared" si="16"/>
        <v>2.2719947641807018E-2</v>
      </c>
      <c r="AD13" s="172">
        <f t="shared" si="16"/>
        <v>2.2707201867288061E-2</v>
      </c>
      <c r="AE13" s="172">
        <f t="shared" si="16"/>
        <v>2.2694239920594491E-2</v>
      </c>
      <c r="AF13" s="172">
        <f t="shared" si="16"/>
        <v>2.2681056255172926E-2</v>
      </c>
      <c r="AG13" s="172">
        <f t="shared" si="16"/>
        <v>2.2667645133081546E-2</v>
      </c>
      <c r="AH13" s="172">
        <f t="shared" si="16"/>
        <v>2.2630809811113334E-2</v>
      </c>
      <c r="AI13" s="172">
        <f t="shared" si="16"/>
        <v>2.2593656199778451E-2</v>
      </c>
      <c r="AJ13" s="172">
        <f t="shared" si="16"/>
        <v>2.2556180155728456E-2</v>
      </c>
      <c r="AK13" s="172">
        <f t="shared" si="16"/>
        <v>2.2518377463386519E-2</v>
      </c>
      <c r="AL13" s="172">
        <f t="shared" si="16"/>
        <v>2.2480243833366585E-2</v>
      </c>
      <c r="AM13" s="184">
        <f t="shared" si="4"/>
        <v>2.2480243833366585E-2</v>
      </c>
      <c r="AN13" s="184">
        <f t="shared" si="5"/>
        <v>2.2480243833366585E-2</v>
      </c>
      <c r="AO13" s="184">
        <f t="shared" si="5"/>
        <v>2.2480243833366585E-2</v>
      </c>
      <c r="AP13" s="184">
        <f t="shared" si="5"/>
        <v>2.2480243833366585E-2</v>
      </c>
      <c r="AQ13" s="184">
        <f t="shared" si="5"/>
        <v>2.2480243833366585E-2</v>
      </c>
      <c r="AR13" s="184">
        <f t="shared" si="5"/>
        <v>2.2480243833366585E-2</v>
      </c>
      <c r="AS13" s="184">
        <f t="shared" si="5"/>
        <v>2.2480243833366585E-2</v>
      </c>
      <c r="AT13" s="184">
        <f t="shared" si="5"/>
        <v>2.2480243833366585E-2</v>
      </c>
      <c r="AU13" s="184">
        <f t="shared" si="5"/>
        <v>2.2480243833366585E-2</v>
      </c>
      <c r="AV13" s="184">
        <f t="shared" si="5"/>
        <v>2.2480243833366585E-2</v>
      </c>
      <c r="AW13" s="184">
        <f t="shared" si="5"/>
        <v>2.2480243833366585E-2</v>
      </c>
      <c r="AX13" s="184">
        <f t="shared" si="5"/>
        <v>2.2480243833366585E-2</v>
      </c>
      <c r="AY13" s="184">
        <f t="shared" si="5"/>
        <v>2.2480243833366585E-2</v>
      </c>
      <c r="AZ13" s="184">
        <f t="shared" si="5"/>
        <v>2.2480243833366585E-2</v>
      </c>
      <c r="BA13" s="184">
        <f t="shared" si="5"/>
        <v>2.2480243833366585E-2</v>
      </c>
      <c r="BB13" s="184">
        <f t="shared" si="5"/>
        <v>2.2480243833366585E-2</v>
      </c>
      <c r="BC13" s="184">
        <f t="shared" si="5"/>
        <v>2.2480243833366585E-2</v>
      </c>
      <c r="BD13" s="184">
        <f t="shared" si="5"/>
        <v>2.2480243833366585E-2</v>
      </c>
      <c r="BE13" s="184">
        <f t="shared" si="5"/>
        <v>2.2480243833366585E-2</v>
      </c>
      <c r="BF13" s="194">
        <f t="shared" si="5"/>
        <v>2.2480243833366585E-2</v>
      </c>
    </row>
    <row r="14" spans="2:58">
      <c r="B14" t="s">
        <v>632</v>
      </c>
      <c r="C14" s="109">
        <v>54423.038287583535</v>
      </c>
      <c r="D14" s="182">
        <f t="shared" ref="D14:I14" si="17">C14+($J14-$C14)/(COLUMN($J14)-COLUMN($C14))</f>
        <v>53255.77776158967</v>
      </c>
      <c r="E14" s="182">
        <f t="shared" si="17"/>
        <v>52088.517235595806</v>
      </c>
      <c r="F14" s="182">
        <f t="shared" si="17"/>
        <v>50921.256709601941</v>
      </c>
      <c r="G14" s="182">
        <f t="shared" si="17"/>
        <v>49753.996183608077</v>
      </c>
      <c r="H14" s="182">
        <f t="shared" si="17"/>
        <v>48586.735657614212</v>
      </c>
      <c r="I14" s="182">
        <f t="shared" si="17"/>
        <v>47419.475131620347</v>
      </c>
      <c r="J14" s="109">
        <v>46252.21460562649</v>
      </c>
      <c r="K14" s="183">
        <f t="shared" si="1"/>
        <v>45862.073245309104</v>
      </c>
      <c r="L14" s="183">
        <f t="shared" si="1"/>
        <v>45471.931884991718</v>
      </c>
      <c r="M14" s="183">
        <f t="shared" si="1"/>
        <v>45081.790524674332</v>
      </c>
      <c r="N14" s="183">
        <f t="shared" si="1"/>
        <v>44691.649164356946</v>
      </c>
      <c r="O14" s="109">
        <v>44301.507804039567</v>
      </c>
      <c r="P14" s="183">
        <f t="shared" si="2"/>
        <v>44018.015735450092</v>
      </c>
      <c r="Q14" s="183">
        <f t="shared" si="2"/>
        <v>43734.523666860616</v>
      </c>
      <c r="R14" s="183">
        <f t="shared" si="2"/>
        <v>43451.03159827114</v>
      </c>
      <c r="S14" s="183">
        <f t="shared" si="2"/>
        <v>43167.539529681664</v>
      </c>
      <c r="T14" s="109">
        <v>42884.047461092203</v>
      </c>
      <c r="U14" s="195"/>
      <c r="V14" t="s">
        <v>632</v>
      </c>
      <c r="W14" s="193">
        <f t="shared" ref="W14:AL14" si="18">E14/SUM(E8:E40)</f>
        <v>8.0186934838006995E-3</v>
      </c>
      <c r="X14" s="172">
        <f t="shared" si="18"/>
        <v>7.9340411993550526E-3</v>
      </c>
      <c r="Y14" s="172">
        <f t="shared" si="18"/>
        <v>7.8473110758197056E-3</v>
      </c>
      <c r="Z14" s="172">
        <f t="shared" si="18"/>
        <v>7.758425659991677E-3</v>
      </c>
      <c r="AA14" s="172">
        <f t="shared" si="18"/>
        <v>7.6673036007237167E-3</v>
      </c>
      <c r="AB14" s="172">
        <f t="shared" si="18"/>
        <v>7.5738594005877466E-3</v>
      </c>
      <c r="AC14" s="172">
        <f t="shared" si="18"/>
        <v>7.5725968421576709E-3</v>
      </c>
      <c r="AD14" s="172">
        <f t="shared" si="18"/>
        <v>7.5713130504180305E-3</v>
      </c>
      <c r="AE14" s="172">
        <f t="shared" si="18"/>
        <v>7.5700074851838325E-3</v>
      </c>
      <c r="AF14" s="172">
        <f t="shared" si="18"/>
        <v>7.5686795877899764E-3</v>
      </c>
      <c r="AG14" s="172">
        <f t="shared" si="18"/>
        <v>7.5673287802941625E-3</v>
      </c>
      <c r="AH14" s="172">
        <f t="shared" si="18"/>
        <v>7.5512495014896852E-3</v>
      </c>
      <c r="AI14" s="172">
        <f t="shared" si="18"/>
        <v>7.5350312836670649E-3</v>
      </c>
      <c r="AJ14" s="172">
        <f t="shared" si="18"/>
        <v>7.5186723181803862E-3</v>
      </c>
      <c r="AK14" s="172">
        <f t="shared" si="18"/>
        <v>7.5021707648547393E-3</v>
      </c>
      <c r="AL14" s="172">
        <f t="shared" si="18"/>
        <v>7.4855247512961706E-3</v>
      </c>
      <c r="AM14" s="184">
        <f t="shared" si="4"/>
        <v>7.4855247512961706E-3</v>
      </c>
      <c r="AN14" s="184">
        <f t="shared" si="5"/>
        <v>7.4855247512961706E-3</v>
      </c>
      <c r="AO14" s="184">
        <f t="shared" si="5"/>
        <v>7.4855247512961706E-3</v>
      </c>
      <c r="AP14" s="184">
        <f t="shared" si="5"/>
        <v>7.4855247512961706E-3</v>
      </c>
      <c r="AQ14" s="184">
        <f t="shared" si="5"/>
        <v>7.4855247512961706E-3</v>
      </c>
      <c r="AR14" s="184">
        <f t="shared" si="5"/>
        <v>7.4855247512961706E-3</v>
      </c>
      <c r="AS14" s="184">
        <f t="shared" si="5"/>
        <v>7.4855247512961706E-3</v>
      </c>
      <c r="AT14" s="184">
        <f t="shared" si="5"/>
        <v>7.4855247512961706E-3</v>
      </c>
      <c r="AU14" s="184">
        <f t="shared" si="5"/>
        <v>7.4855247512961706E-3</v>
      </c>
      <c r="AV14" s="184">
        <f t="shared" si="5"/>
        <v>7.4855247512961706E-3</v>
      </c>
      <c r="AW14" s="184">
        <f t="shared" si="5"/>
        <v>7.4855247512961706E-3</v>
      </c>
      <c r="AX14" s="184">
        <f t="shared" si="5"/>
        <v>7.4855247512961706E-3</v>
      </c>
      <c r="AY14" s="184">
        <f t="shared" si="5"/>
        <v>7.4855247512961706E-3</v>
      </c>
      <c r="AZ14" s="184">
        <f t="shared" si="5"/>
        <v>7.4855247512961706E-3</v>
      </c>
      <c r="BA14" s="184">
        <f t="shared" si="5"/>
        <v>7.4855247512961706E-3</v>
      </c>
      <c r="BB14" s="184">
        <f t="shared" si="5"/>
        <v>7.4855247512961706E-3</v>
      </c>
      <c r="BC14" s="184">
        <f t="shared" si="5"/>
        <v>7.4855247512961706E-3</v>
      </c>
      <c r="BD14" s="184">
        <f t="shared" si="5"/>
        <v>7.4855247512961706E-3</v>
      </c>
      <c r="BE14" s="184">
        <f t="shared" si="5"/>
        <v>7.4855247512961706E-3</v>
      </c>
      <c r="BF14" s="194">
        <f t="shared" si="5"/>
        <v>7.4855247512961706E-3</v>
      </c>
    </row>
    <row r="15" spans="2:58">
      <c r="B15" t="s">
        <v>633</v>
      </c>
      <c r="C15" s="109">
        <v>264305.25410916941</v>
      </c>
      <c r="D15" s="182">
        <f t="shared" ref="D15:I15" si="19">C15+($J15-$C15)/(COLUMN($J15)-COLUMN($C15))</f>
        <v>258615.10180363784</v>
      </c>
      <c r="E15" s="182">
        <f t="shared" si="19"/>
        <v>252924.94949810626</v>
      </c>
      <c r="F15" s="182">
        <f t="shared" si="19"/>
        <v>247234.79719257468</v>
      </c>
      <c r="G15" s="182">
        <f t="shared" si="19"/>
        <v>241544.6448870431</v>
      </c>
      <c r="H15" s="182">
        <f t="shared" si="19"/>
        <v>235854.49258151153</v>
      </c>
      <c r="I15" s="182">
        <f t="shared" si="19"/>
        <v>230164.34027597995</v>
      </c>
      <c r="J15" s="109">
        <v>224474.18797044829</v>
      </c>
      <c r="K15" s="183">
        <f t="shared" si="1"/>
        <v>222156.24046740134</v>
      </c>
      <c r="L15" s="183">
        <f t="shared" si="1"/>
        <v>219838.29296435439</v>
      </c>
      <c r="M15" s="183">
        <f t="shared" si="1"/>
        <v>217520.34546130744</v>
      </c>
      <c r="N15" s="183">
        <f t="shared" si="1"/>
        <v>215202.3979582605</v>
      </c>
      <c r="O15" s="109">
        <v>212884.45045521349</v>
      </c>
      <c r="P15" s="183">
        <f t="shared" si="2"/>
        <v>211375.55215900618</v>
      </c>
      <c r="Q15" s="183">
        <f t="shared" si="2"/>
        <v>209866.65386279888</v>
      </c>
      <c r="R15" s="183">
        <f t="shared" si="2"/>
        <v>208357.75556659157</v>
      </c>
      <c r="S15" s="183">
        <f t="shared" si="2"/>
        <v>206848.85727038427</v>
      </c>
      <c r="T15" s="109">
        <v>205339.95897417693</v>
      </c>
      <c r="U15" s="195"/>
      <c r="V15" t="s">
        <v>633</v>
      </c>
      <c r="W15" s="193">
        <f t="shared" ref="W15:AL15" si="20">E15/SUM(E8:E40)</f>
        <v>3.8936175419582129E-2</v>
      </c>
      <c r="X15" s="172">
        <f t="shared" si="20"/>
        <v>3.8521654680022763E-2</v>
      </c>
      <c r="Y15" s="172">
        <f t="shared" si="20"/>
        <v>3.8096959290106501E-2</v>
      </c>
      <c r="Z15" s="172">
        <f t="shared" si="20"/>
        <v>3.7661709981167496E-2</v>
      </c>
      <c r="AA15" s="172">
        <f t="shared" si="20"/>
        <v>3.7215508397296718E-2</v>
      </c>
      <c r="AB15" s="172">
        <f t="shared" si="20"/>
        <v>3.6757935879300846E-2</v>
      </c>
      <c r="AC15" s="172">
        <f t="shared" si="20"/>
        <v>3.6681718160247664E-2</v>
      </c>
      <c r="AD15" s="172">
        <f t="shared" si="20"/>
        <v>3.6604218635628391E-2</v>
      </c>
      <c r="AE15" s="172">
        <f t="shared" si="20"/>
        <v>3.6525404695730318E-2</v>
      </c>
      <c r="AF15" s="172">
        <f t="shared" si="20"/>
        <v>3.6445242615239209E-2</v>
      </c>
      <c r="AG15" s="172">
        <f t="shared" si="20"/>
        <v>3.6363697505120814E-2</v>
      </c>
      <c r="AH15" s="172">
        <f t="shared" si="20"/>
        <v>3.6261278619661559E-2</v>
      </c>
      <c r="AI15" s="172">
        <f t="shared" si="20"/>
        <v>3.6157974745543414E-2</v>
      </c>
      <c r="AJ15" s="172">
        <f t="shared" si="20"/>
        <v>3.6053774362380366E-2</v>
      </c>
      <c r="AK15" s="172">
        <f t="shared" si="20"/>
        <v>3.5948665748958691E-2</v>
      </c>
      <c r="AL15" s="172">
        <f t="shared" si="20"/>
        <v>3.5842636978841602E-2</v>
      </c>
      <c r="AM15" s="184">
        <f t="shared" si="4"/>
        <v>3.5842636978841602E-2</v>
      </c>
      <c r="AN15" s="184">
        <f t="shared" si="5"/>
        <v>3.5842636978841602E-2</v>
      </c>
      <c r="AO15" s="184">
        <f t="shared" si="5"/>
        <v>3.5842636978841602E-2</v>
      </c>
      <c r="AP15" s="184">
        <f t="shared" si="5"/>
        <v>3.5842636978841602E-2</v>
      </c>
      <c r="AQ15" s="184">
        <f t="shared" si="5"/>
        <v>3.5842636978841602E-2</v>
      </c>
      <c r="AR15" s="184">
        <f t="shared" si="5"/>
        <v>3.5842636978841602E-2</v>
      </c>
      <c r="AS15" s="184">
        <f t="shared" si="5"/>
        <v>3.5842636978841602E-2</v>
      </c>
      <c r="AT15" s="184">
        <f t="shared" si="5"/>
        <v>3.5842636978841602E-2</v>
      </c>
      <c r="AU15" s="184">
        <f t="shared" si="5"/>
        <v>3.5842636978841602E-2</v>
      </c>
      <c r="AV15" s="184">
        <f t="shared" si="5"/>
        <v>3.5842636978841602E-2</v>
      </c>
      <c r="AW15" s="184">
        <f t="shared" si="5"/>
        <v>3.5842636978841602E-2</v>
      </c>
      <c r="AX15" s="184">
        <f t="shared" si="5"/>
        <v>3.5842636978841602E-2</v>
      </c>
      <c r="AY15" s="184">
        <f t="shared" si="5"/>
        <v>3.5842636978841602E-2</v>
      </c>
      <c r="AZ15" s="184">
        <f t="shared" si="5"/>
        <v>3.5842636978841602E-2</v>
      </c>
      <c r="BA15" s="184">
        <f t="shared" si="5"/>
        <v>3.5842636978841602E-2</v>
      </c>
      <c r="BB15" s="184">
        <f t="shared" si="5"/>
        <v>3.5842636978841602E-2</v>
      </c>
      <c r="BC15" s="184">
        <f t="shared" si="5"/>
        <v>3.5842636978841602E-2</v>
      </c>
      <c r="BD15" s="184">
        <f t="shared" si="5"/>
        <v>3.5842636978841602E-2</v>
      </c>
      <c r="BE15" s="184">
        <f t="shared" si="5"/>
        <v>3.5842636978841602E-2</v>
      </c>
      <c r="BF15" s="194">
        <f t="shared" si="5"/>
        <v>3.5842636978841602E-2</v>
      </c>
    </row>
    <row r="16" spans="2:58">
      <c r="B16" t="s">
        <v>634</v>
      </c>
      <c r="C16" s="109">
        <v>242148.82646490092</v>
      </c>
      <c r="D16" s="182">
        <f t="shared" ref="D16:I16" si="21">C16+($J16-$C16)/(COLUMN($J16)-COLUMN($C16))</f>
        <v>239961.29303340858</v>
      </c>
      <c r="E16" s="182">
        <f t="shared" si="21"/>
        <v>237773.75960191624</v>
      </c>
      <c r="F16" s="182">
        <f t="shared" si="21"/>
        <v>235586.22617042391</v>
      </c>
      <c r="G16" s="182">
        <f t="shared" si="21"/>
        <v>233398.69273893157</v>
      </c>
      <c r="H16" s="182">
        <f t="shared" si="21"/>
        <v>231211.15930743923</v>
      </c>
      <c r="I16" s="182">
        <f t="shared" si="21"/>
        <v>229023.62587594689</v>
      </c>
      <c r="J16" s="109">
        <v>226836.09244445464</v>
      </c>
      <c r="K16" s="183">
        <f t="shared" si="1"/>
        <v>224701.44068325296</v>
      </c>
      <c r="L16" s="183">
        <f t="shared" si="1"/>
        <v>222566.78892205129</v>
      </c>
      <c r="M16" s="183">
        <f t="shared" si="1"/>
        <v>220432.13716084961</v>
      </c>
      <c r="N16" s="183">
        <f t="shared" si="1"/>
        <v>218297.48539964794</v>
      </c>
      <c r="O16" s="109">
        <v>216162.83363844626</v>
      </c>
      <c r="P16" s="183">
        <f t="shared" si="2"/>
        <v>214998.3272797759</v>
      </c>
      <c r="Q16" s="183">
        <f t="shared" si="2"/>
        <v>213833.82092110554</v>
      </c>
      <c r="R16" s="183">
        <f t="shared" si="2"/>
        <v>212669.31456243517</v>
      </c>
      <c r="S16" s="183">
        <f t="shared" si="2"/>
        <v>211504.80820376481</v>
      </c>
      <c r="T16" s="109">
        <v>210340.30184509442</v>
      </c>
      <c r="U16" s="195"/>
      <c r="V16" t="s">
        <v>634</v>
      </c>
      <c r="W16" s="193">
        <f t="shared" ref="W16:AL16" si="22">E16/SUM(E8:E40)</f>
        <v>3.6603746812661042E-2</v>
      </c>
      <c r="X16" s="172">
        <f t="shared" si="22"/>
        <v>3.6706690785270134E-2</v>
      </c>
      <c r="Y16" s="172">
        <f t="shared" si="22"/>
        <v>3.6812161576992686E-2</v>
      </c>
      <c r="Z16" s="172">
        <f t="shared" si="22"/>
        <v>3.6920253377140423E-2</v>
      </c>
      <c r="AA16" s="172">
        <f t="shared" si="22"/>
        <v>3.7031065115238147E-2</v>
      </c>
      <c r="AB16" s="172">
        <f t="shared" si="22"/>
        <v>3.7144700763020969E-2</v>
      </c>
      <c r="AC16" s="172">
        <f t="shared" si="22"/>
        <v>3.7101973367946732E-2</v>
      </c>
      <c r="AD16" s="172">
        <f t="shared" si="22"/>
        <v>3.7058527397014929E-2</v>
      </c>
      <c r="AE16" s="172">
        <f t="shared" si="22"/>
        <v>3.7014344569331087E-2</v>
      </c>
      <c r="AF16" s="172">
        <f t="shared" si="22"/>
        <v>3.696940597859831E-2</v>
      </c>
      <c r="AG16" s="172">
        <f t="shared" si="22"/>
        <v>3.6923692066142225E-2</v>
      </c>
      <c r="AH16" s="172">
        <f t="shared" si="22"/>
        <v>3.6882762309183935E-2</v>
      </c>
      <c r="AI16" s="172">
        <f t="shared" si="22"/>
        <v>3.684147888336315E-2</v>
      </c>
      <c r="AJ16" s="172">
        <f t="shared" si="22"/>
        <v>3.6799837184776987E-2</v>
      </c>
      <c r="AK16" s="172">
        <f t="shared" si="22"/>
        <v>3.6757832529265642E-2</v>
      </c>
      <c r="AL16" s="172">
        <f t="shared" si="22"/>
        <v>3.6715460150655778E-2</v>
      </c>
      <c r="AM16" s="184">
        <f t="shared" si="4"/>
        <v>3.6715460150655778E-2</v>
      </c>
      <c r="AN16" s="184">
        <f t="shared" si="5"/>
        <v>3.6715460150655778E-2</v>
      </c>
      <c r="AO16" s="184">
        <f t="shared" si="5"/>
        <v>3.6715460150655778E-2</v>
      </c>
      <c r="AP16" s="184">
        <f t="shared" si="5"/>
        <v>3.6715460150655778E-2</v>
      </c>
      <c r="AQ16" s="184">
        <f t="shared" si="5"/>
        <v>3.6715460150655778E-2</v>
      </c>
      <c r="AR16" s="184">
        <f t="shared" si="5"/>
        <v>3.6715460150655778E-2</v>
      </c>
      <c r="AS16" s="184">
        <f t="shared" si="5"/>
        <v>3.6715460150655778E-2</v>
      </c>
      <c r="AT16" s="184">
        <f t="shared" si="5"/>
        <v>3.6715460150655778E-2</v>
      </c>
      <c r="AU16" s="184">
        <f t="shared" si="5"/>
        <v>3.6715460150655778E-2</v>
      </c>
      <c r="AV16" s="184">
        <f t="shared" si="5"/>
        <v>3.6715460150655778E-2</v>
      </c>
      <c r="AW16" s="184">
        <f t="shared" si="5"/>
        <v>3.6715460150655778E-2</v>
      </c>
      <c r="AX16" s="184">
        <f t="shared" si="5"/>
        <v>3.6715460150655778E-2</v>
      </c>
      <c r="AY16" s="184">
        <f t="shared" si="5"/>
        <v>3.6715460150655778E-2</v>
      </c>
      <c r="AZ16" s="184">
        <f t="shared" si="5"/>
        <v>3.6715460150655778E-2</v>
      </c>
      <c r="BA16" s="184">
        <f t="shared" si="5"/>
        <v>3.6715460150655778E-2</v>
      </c>
      <c r="BB16" s="184">
        <f t="shared" si="5"/>
        <v>3.6715460150655778E-2</v>
      </c>
      <c r="BC16" s="184">
        <f t="shared" si="5"/>
        <v>3.6715460150655778E-2</v>
      </c>
      <c r="BD16" s="184">
        <f t="shared" si="5"/>
        <v>3.6715460150655778E-2</v>
      </c>
      <c r="BE16" s="184">
        <f t="shared" si="5"/>
        <v>3.6715460150655778E-2</v>
      </c>
      <c r="BF16" s="194">
        <f t="shared" si="5"/>
        <v>3.6715460150655778E-2</v>
      </c>
    </row>
    <row r="17" spans="2:58">
      <c r="B17" t="s">
        <v>635</v>
      </c>
      <c r="C17" s="109">
        <v>288784.04434007971</v>
      </c>
      <c r="D17" s="182">
        <f t="shared" ref="D17:I17" si="23">C17+($J17-$C17)/(COLUMN($J17)-COLUMN($C17))</f>
        <v>285772.87977742072</v>
      </c>
      <c r="E17" s="182">
        <f t="shared" si="23"/>
        <v>282761.71521476173</v>
      </c>
      <c r="F17" s="182">
        <f t="shared" si="23"/>
        <v>279750.55065210274</v>
      </c>
      <c r="G17" s="182">
        <f t="shared" si="23"/>
        <v>276739.38608944375</v>
      </c>
      <c r="H17" s="182">
        <f t="shared" si="23"/>
        <v>273728.22152678476</v>
      </c>
      <c r="I17" s="182">
        <f t="shared" si="23"/>
        <v>270717.05696412578</v>
      </c>
      <c r="J17" s="109">
        <v>267705.89240146673</v>
      </c>
      <c r="K17" s="183">
        <f t="shared" si="1"/>
        <v>265267.34561900335</v>
      </c>
      <c r="L17" s="183">
        <f t="shared" si="1"/>
        <v>262828.79883653997</v>
      </c>
      <c r="M17" s="183">
        <f t="shared" si="1"/>
        <v>260390.25205407658</v>
      </c>
      <c r="N17" s="183">
        <f t="shared" si="1"/>
        <v>257951.7052716132</v>
      </c>
      <c r="O17" s="109">
        <v>255513.15848914988</v>
      </c>
      <c r="P17" s="183">
        <f t="shared" si="2"/>
        <v>254247.58155494803</v>
      </c>
      <c r="Q17" s="183">
        <f t="shared" si="2"/>
        <v>252982.00462074619</v>
      </c>
      <c r="R17" s="183">
        <f t="shared" si="2"/>
        <v>251716.42768654434</v>
      </c>
      <c r="S17" s="183">
        <f t="shared" si="2"/>
        <v>250450.85075234249</v>
      </c>
      <c r="T17" s="109">
        <v>249185.2738181407</v>
      </c>
      <c r="U17" s="195"/>
      <c r="V17" t="s">
        <v>635</v>
      </c>
      <c r="W17" s="193">
        <f t="shared" ref="W17:AL17" si="24">E17/SUM(E8:E40)</f>
        <v>4.3529354329776476E-2</v>
      </c>
      <c r="X17" s="172">
        <f t="shared" si="24"/>
        <v>4.3587934348790665E-2</v>
      </c>
      <c r="Y17" s="172">
        <f t="shared" si="24"/>
        <v>4.3647952248119348E-2</v>
      </c>
      <c r="Z17" s="172">
        <f t="shared" si="24"/>
        <v>4.3709461625962925E-2</v>
      </c>
      <c r="AA17" s="172">
        <f t="shared" si="24"/>
        <v>4.3772518777928586E-2</v>
      </c>
      <c r="AB17" s="172">
        <f t="shared" si="24"/>
        <v>4.3837182868881074E-2</v>
      </c>
      <c r="AC17" s="172">
        <f t="shared" si="24"/>
        <v>4.380008406984684E-2</v>
      </c>
      <c r="AD17" s="172">
        <f t="shared" si="24"/>
        <v>4.3762361354908436E-2</v>
      </c>
      <c r="AE17" s="172">
        <f t="shared" si="24"/>
        <v>4.3723998851363369E-2</v>
      </c>
      <c r="AF17" s="172">
        <f t="shared" si="24"/>
        <v>4.3684980143492695E-2</v>
      </c>
      <c r="AG17" s="172">
        <f t="shared" si="24"/>
        <v>4.3645288249139443E-2</v>
      </c>
      <c r="AH17" s="172">
        <f t="shared" si="24"/>
        <v>4.3615935234571933E-2</v>
      </c>
      <c r="AI17" s="172">
        <f t="shared" si="24"/>
        <v>4.3586328584311357E-2</v>
      </c>
      <c r="AJ17" s="172">
        <f t="shared" si="24"/>
        <v>4.3556464996641849E-2</v>
      </c>
      <c r="AK17" s="172">
        <f t="shared" si="24"/>
        <v>4.3526341112290805E-2</v>
      </c>
      <c r="AL17" s="172">
        <f t="shared" si="24"/>
        <v>4.349595351316915E-2</v>
      </c>
      <c r="AM17" s="184">
        <f t="shared" si="4"/>
        <v>4.349595351316915E-2</v>
      </c>
      <c r="AN17" s="184">
        <f t="shared" si="5"/>
        <v>4.349595351316915E-2</v>
      </c>
      <c r="AO17" s="184">
        <f t="shared" si="5"/>
        <v>4.349595351316915E-2</v>
      </c>
      <c r="AP17" s="184">
        <f t="shared" si="5"/>
        <v>4.349595351316915E-2</v>
      </c>
      <c r="AQ17" s="184">
        <f t="shared" si="5"/>
        <v>4.349595351316915E-2</v>
      </c>
      <c r="AR17" s="184">
        <f t="shared" si="5"/>
        <v>4.349595351316915E-2</v>
      </c>
      <c r="AS17" s="184">
        <f t="shared" si="5"/>
        <v>4.349595351316915E-2</v>
      </c>
      <c r="AT17" s="184">
        <f t="shared" si="5"/>
        <v>4.349595351316915E-2</v>
      </c>
      <c r="AU17" s="184">
        <f t="shared" si="5"/>
        <v>4.349595351316915E-2</v>
      </c>
      <c r="AV17" s="184">
        <f t="shared" si="5"/>
        <v>4.349595351316915E-2</v>
      </c>
      <c r="AW17" s="184">
        <f t="shared" si="5"/>
        <v>4.349595351316915E-2</v>
      </c>
      <c r="AX17" s="184">
        <f t="shared" si="5"/>
        <v>4.349595351316915E-2</v>
      </c>
      <c r="AY17" s="184">
        <f t="shared" si="5"/>
        <v>4.349595351316915E-2</v>
      </c>
      <c r="AZ17" s="184">
        <f t="shared" si="5"/>
        <v>4.349595351316915E-2</v>
      </c>
      <c r="BA17" s="184">
        <f t="shared" si="5"/>
        <v>4.349595351316915E-2</v>
      </c>
      <c r="BB17" s="184">
        <f t="shared" si="5"/>
        <v>4.349595351316915E-2</v>
      </c>
      <c r="BC17" s="184">
        <f t="shared" si="5"/>
        <v>4.349595351316915E-2</v>
      </c>
      <c r="BD17" s="184">
        <f t="shared" si="5"/>
        <v>4.349595351316915E-2</v>
      </c>
      <c r="BE17" s="184">
        <f t="shared" si="5"/>
        <v>4.349595351316915E-2</v>
      </c>
      <c r="BF17" s="194">
        <f t="shared" si="5"/>
        <v>4.349595351316915E-2</v>
      </c>
    </row>
    <row r="18" spans="2:58">
      <c r="B18" t="s">
        <v>636</v>
      </c>
      <c r="C18" s="109">
        <v>370425.77658182319</v>
      </c>
      <c r="D18" s="182">
        <f t="shared" ref="D18:I18" si="25">C18+($J18-$C18)/(COLUMN($J18)-COLUMN($C18))</f>
        <v>365061.65203114547</v>
      </c>
      <c r="E18" s="182">
        <f t="shared" si="25"/>
        <v>359697.52748046775</v>
      </c>
      <c r="F18" s="182">
        <f t="shared" si="25"/>
        <v>354333.40292979003</v>
      </c>
      <c r="G18" s="182">
        <f t="shared" si="25"/>
        <v>348969.27837911231</v>
      </c>
      <c r="H18" s="182">
        <f t="shared" si="25"/>
        <v>343605.15382843459</v>
      </c>
      <c r="I18" s="182">
        <f t="shared" si="25"/>
        <v>338241.02927775687</v>
      </c>
      <c r="J18" s="109">
        <v>332876.90472707903</v>
      </c>
      <c r="K18" s="183">
        <f t="shared" si="1"/>
        <v>332170.90250302223</v>
      </c>
      <c r="L18" s="183">
        <f t="shared" si="1"/>
        <v>331464.90027896542</v>
      </c>
      <c r="M18" s="183">
        <f t="shared" si="1"/>
        <v>330758.89805490861</v>
      </c>
      <c r="N18" s="183">
        <f t="shared" si="1"/>
        <v>330052.8958308518</v>
      </c>
      <c r="O18" s="109">
        <v>329346.89360679494</v>
      </c>
      <c r="P18" s="183">
        <f t="shared" si="2"/>
        <v>330744.86291858542</v>
      </c>
      <c r="Q18" s="183">
        <f t="shared" si="2"/>
        <v>332142.83223037591</v>
      </c>
      <c r="R18" s="183">
        <f t="shared" si="2"/>
        <v>333540.80154216639</v>
      </c>
      <c r="S18" s="183">
        <f t="shared" si="2"/>
        <v>334938.77085395687</v>
      </c>
      <c r="T18" s="109">
        <v>336336.74016574729</v>
      </c>
      <c r="U18" s="195"/>
      <c r="V18" t="s">
        <v>636</v>
      </c>
      <c r="W18" s="193">
        <f t="shared" ref="W18:AL18" si="26">E18/SUM(E8:E40)</f>
        <v>5.5373129680408688E-2</v>
      </c>
      <c r="X18" s="172">
        <f t="shared" si="26"/>
        <v>5.5208688842561846E-2</v>
      </c>
      <c r="Y18" s="172">
        <f t="shared" si="26"/>
        <v>5.5040211709616066E-2</v>
      </c>
      <c r="Z18" s="172">
        <f t="shared" si="26"/>
        <v>5.4867547825270313E-2</v>
      </c>
      <c r="AA18" s="172">
        <f t="shared" si="26"/>
        <v>5.4690539161292982E-2</v>
      </c>
      <c r="AB18" s="172">
        <f t="shared" si="26"/>
        <v>5.4509019635116993E-2</v>
      </c>
      <c r="AC18" s="172">
        <f t="shared" si="26"/>
        <v>5.4846982470604537E-2</v>
      </c>
      <c r="AD18" s="172">
        <f t="shared" si="26"/>
        <v>5.5190629058493083E-2</v>
      </c>
      <c r="AE18" s="172">
        <f t="shared" si="26"/>
        <v>5.554010399601142E-2</v>
      </c>
      <c r="AF18" s="172">
        <f t="shared" si="26"/>
        <v>5.5895556827162865E-2</v>
      </c>
      <c r="AG18" s="172">
        <f t="shared" si="26"/>
        <v>5.6257142256090985E-2</v>
      </c>
      <c r="AH18" s="172">
        <f t="shared" si="26"/>
        <v>5.6738972429937147E-2</v>
      </c>
      <c r="AI18" s="172">
        <f t="shared" si="26"/>
        <v>5.7224966037484573E-2</v>
      </c>
      <c r="AJ18" s="172">
        <f t="shared" si="26"/>
        <v>5.7715177276448502E-2</v>
      </c>
      <c r="AK18" s="172">
        <f t="shared" si="26"/>
        <v>5.8209661289339326E-2</v>
      </c>
      <c r="AL18" s="172">
        <f t="shared" si="26"/>
        <v>5.8708474184140103E-2</v>
      </c>
      <c r="AM18" s="184">
        <f t="shared" si="4"/>
        <v>5.8708474184140103E-2</v>
      </c>
      <c r="AN18" s="184">
        <f t="shared" si="5"/>
        <v>5.8708474184140103E-2</v>
      </c>
      <c r="AO18" s="184">
        <f t="shared" si="5"/>
        <v>5.8708474184140103E-2</v>
      </c>
      <c r="AP18" s="184">
        <f t="shared" si="5"/>
        <v>5.8708474184140103E-2</v>
      </c>
      <c r="AQ18" s="184">
        <f t="shared" si="5"/>
        <v>5.8708474184140103E-2</v>
      </c>
      <c r="AR18" s="184">
        <f t="shared" si="5"/>
        <v>5.8708474184140103E-2</v>
      </c>
      <c r="AS18" s="184">
        <f t="shared" si="5"/>
        <v>5.8708474184140103E-2</v>
      </c>
      <c r="AT18" s="184">
        <f t="shared" si="5"/>
        <v>5.8708474184140103E-2</v>
      </c>
      <c r="AU18" s="184">
        <f t="shared" si="5"/>
        <v>5.8708474184140103E-2</v>
      </c>
      <c r="AV18" s="184">
        <f t="shared" si="5"/>
        <v>5.8708474184140103E-2</v>
      </c>
      <c r="AW18" s="184">
        <f t="shared" si="5"/>
        <v>5.8708474184140103E-2</v>
      </c>
      <c r="AX18" s="184">
        <f t="shared" si="5"/>
        <v>5.8708474184140103E-2</v>
      </c>
      <c r="AY18" s="184">
        <f t="shared" si="5"/>
        <v>5.8708474184140103E-2</v>
      </c>
      <c r="AZ18" s="184">
        <f t="shared" si="5"/>
        <v>5.8708474184140103E-2</v>
      </c>
      <c r="BA18" s="184">
        <f t="shared" si="5"/>
        <v>5.8708474184140103E-2</v>
      </c>
      <c r="BB18" s="184">
        <f t="shared" si="5"/>
        <v>5.8708474184140103E-2</v>
      </c>
      <c r="BC18" s="184">
        <f t="shared" si="5"/>
        <v>5.8708474184140103E-2</v>
      </c>
      <c r="BD18" s="184">
        <f t="shared" si="5"/>
        <v>5.8708474184140103E-2</v>
      </c>
      <c r="BE18" s="184">
        <f t="shared" si="5"/>
        <v>5.8708474184140103E-2</v>
      </c>
      <c r="BF18" s="194">
        <f t="shared" si="5"/>
        <v>5.8708474184140103E-2</v>
      </c>
    </row>
    <row r="19" spans="2:58">
      <c r="B19" t="s">
        <v>637</v>
      </c>
      <c r="C19" s="109">
        <v>223581.12481476035</v>
      </c>
      <c r="D19" s="182">
        <f t="shared" ref="D19:I19" si="27">C19+($J19-$C19)/(COLUMN($J19)-COLUMN($C19))</f>
        <v>222338.21909782369</v>
      </c>
      <c r="E19" s="182">
        <f t="shared" si="27"/>
        <v>221095.31338088703</v>
      </c>
      <c r="F19" s="182">
        <f t="shared" si="27"/>
        <v>219852.40766395038</v>
      </c>
      <c r="G19" s="182">
        <f t="shared" si="27"/>
        <v>218609.50194701372</v>
      </c>
      <c r="H19" s="182">
        <f t="shared" si="27"/>
        <v>217366.59623007706</v>
      </c>
      <c r="I19" s="182">
        <f t="shared" si="27"/>
        <v>216123.69051314041</v>
      </c>
      <c r="J19" s="109">
        <v>214880.78479620372</v>
      </c>
      <c r="K19" s="183">
        <f t="shared" si="1"/>
        <v>213467.88545989292</v>
      </c>
      <c r="L19" s="183">
        <f t="shared" si="1"/>
        <v>212054.98612358212</v>
      </c>
      <c r="M19" s="183">
        <f t="shared" si="1"/>
        <v>210642.08678727131</v>
      </c>
      <c r="N19" s="183">
        <f t="shared" si="1"/>
        <v>209229.18745096051</v>
      </c>
      <c r="O19" s="109">
        <v>207816.28811464968</v>
      </c>
      <c r="P19" s="183">
        <f t="shared" si="2"/>
        <v>207194.47367919111</v>
      </c>
      <c r="Q19" s="183">
        <f t="shared" si="2"/>
        <v>206572.65924373255</v>
      </c>
      <c r="R19" s="183">
        <f t="shared" si="2"/>
        <v>205950.84480827398</v>
      </c>
      <c r="S19" s="183">
        <f t="shared" si="2"/>
        <v>205329.03037281541</v>
      </c>
      <c r="T19" s="109">
        <v>204707.21593735687</v>
      </c>
      <c r="U19" s="195"/>
      <c r="V19" t="s">
        <v>637</v>
      </c>
      <c r="W19" s="193">
        <f t="shared" ref="W19:AL19" si="28">E19/SUM(E8:E40)</f>
        <v>3.4036206880057741E-2</v>
      </c>
      <c r="X19" s="172">
        <f t="shared" si="28"/>
        <v>3.4255204464627209E-2</v>
      </c>
      <c r="Y19" s="172">
        <f t="shared" si="28"/>
        <v>3.4479577471073906E-2</v>
      </c>
      <c r="Z19" s="172">
        <f t="shared" si="28"/>
        <v>3.4709526272777999E-2</v>
      </c>
      <c r="AA19" s="172">
        <f t="shared" si="28"/>
        <v>3.4945261327199266E-2</v>
      </c>
      <c r="AB19" s="172">
        <f t="shared" si="28"/>
        <v>3.5187003818330044E-2</v>
      </c>
      <c r="AC19" s="172">
        <f t="shared" si="28"/>
        <v>3.524712515043138E-2</v>
      </c>
      <c r="AD19" s="172">
        <f t="shared" si="28"/>
        <v>3.530825758413858E-2</v>
      </c>
      <c r="AE19" s="172">
        <f t="shared" si="28"/>
        <v>3.5370426842333262E-2</v>
      </c>
      <c r="AF19" s="172">
        <f t="shared" si="28"/>
        <v>3.5433659527895234E-2</v>
      </c>
      <c r="AG19" s="172">
        <f t="shared" si="28"/>
        <v>3.5497983161658794E-2</v>
      </c>
      <c r="AH19" s="172">
        <f t="shared" si="28"/>
        <v>3.5544018510161306E-2</v>
      </c>
      <c r="AI19" s="172">
        <f t="shared" si="28"/>
        <v>3.5590451644298277E-2</v>
      </c>
      <c r="AJ19" s="172">
        <f t="shared" si="28"/>
        <v>3.5637287742264927E-2</v>
      </c>
      <c r="AK19" s="172">
        <f t="shared" si="28"/>
        <v>3.5684532072524776E-2</v>
      </c>
      <c r="AL19" s="172">
        <f t="shared" si="28"/>
        <v>3.573218999578516E-2</v>
      </c>
      <c r="AM19" s="184">
        <f t="shared" si="4"/>
        <v>3.573218999578516E-2</v>
      </c>
      <c r="AN19" s="184">
        <f t="shared" si="5"/>
        <v>3.573218999578516E-2</v>
      </c>
      <c r="AO19" s="184">
        <f t="shared" si="5"/>
        <v>3.573218999578516E-2</v>
      </c>
      <c r="AP19" s="184">
        <f t="shared" si="5"/>
        <v>3.573218999578516E-2</v>
      </c>
      <c r="AQ19" s="184">
        <f t="shared" si="5"/>
        <v>3.573218999578516E-2</v>
      </c>
      <c r="AR19" s="184">
        <f t="shared" si="5"/>
        <v>3.573218999578516E-2</v>
      </c>
      <c r="AS19" s="184">
        <f t="shared" si="5"/>
        <v>3.573218999578516E-2</v>
      </c>
      <c r="AT19" s="184">
        <f t="shared" si="5"/>
        <v>3.573218999578516E-2</v>
      </c>
      <c r="AU19" s="184">
        <f t="shared" si="5"/>
        <v>3.573218999578516E-2</v>
      </c>
      <c r="AV19" s="184">
        <f t="shared" si="5"/>
        <v>3.573218999578516E-2</v>
      </c>
      <c r="AW19" s="184">
        <f t="shared" si="5"/>
        <v>3.573218999578516E-2</v>
      </c>
      <c r="AX19" s="184">
        <f t="shared" si="5"/>
        <v>3.573218999578516E-2</v>
      </c>
      <c r="AY19" s="184">
        <f t="shared" si="5"/>
        <v>3.573218999578516E-2</v>
      </c>
      <c r="AZ19" s="184">
        <f t="shared" si="5"/>
        <v>3.573218999578516E-2</v>
      </c>
      <c r="BA19" s="184">
        <f t="shared" si="5"/>
        <v>3.573218999578516E-2</v>
      </c>
      <c r="BB19" s="184">
        <f t="shared" si="5"/>
        <v>3.573218999578516E-2</v>
      </c>
      <c r="BC19" s="184">
        <f t="shared" si="5"/>
        <v>3.573218999578516E-2</v>
      </c>
      <c r="BD19" s="184">
        <f t="shared" si="5"/>
        <v>3.573218999578516E-2</v>
      </c>
      <c r="BE19" s="184">
        <f t="shared" si="5"/>
        <v>3.573218999578516E-2</v>
      </c>
      <c r="BF19" s="194">
        <f t="shared" si="5"/>
        <v>3.573218999578516E-2</v>
      </c>
    </row>
    <row r="20" spans="2:58">
      <c r="B20" t="s">
        <v>638</v>
      </c>
      <c r="C20" s="109">
        <v>125262.66791882928</v>
      </c>
      <c r="D20" s="182">
        <f t="shared" ref="D20:I20" si="29">C20+($J20-$C20)/(COLUMN($J20)-COLUMN($C20))</f>
        <v>123389.25266873128</v>
      </c>
      <c r="E20" s="182">
        <f t="shared" si="29"/>
        <v>121515.83741863328</v>
      </c>
      <c r="F20" s="182">
        <f t="shared" si="29"/>
        <v>119642.42216853528</v>
      </c>
      <c r="G20" s="182">
        <f t="shared" si="29"/>
        <v>117769.00691843728</v>
      </c>
      <c r="H20" s="182">
        <f t="shared" si="29"/>
        <v>115895.59166833929</v>
      </c>
      <c r="I20" s="182">
        <f t="shared" si="29"/>
        <v>114022.17641824129</v>
      </c>
      <c r="J20" s="109">
        <v>112148.76116814332</v>
      </c>
      <c r="K20" s="183">
        <f t="shared" si="1"/>
        <v>111410.37193077058</v>
      </c>
      <c r="L20" s="183">
        <f t="shared" si="1"/>
        <v>110671.98269339783</v>
      </c>
      <c r="M20" s="183">
        <f t="shared" si="1"/>
        <v>109933.59345602509</v>
      </c>
      <c r="N20" s="183">
        <f t="shared" si="1"/>
        <v>109195.20421865235</v>
      </c>
      <c r="O20" s="109">
        <v>108456.81498127962</v>
      </c>
      <c r="P20" s="183">
        <f t="shared" si="2"/>
        <v>107997.58566117661</v>
      </c>
      <c r="Q20" s="183">
        <f t="shared" si="2"/>
        <v>107538.3563410736</v>
      </c>
      <c r="R20" s="183">
        <f t="shared" si="2"/>
        <v>107079.12702097058</v>
      </c>
      <c r="S20" s="183">
        <f t="shared" si="2"/>
        <v>106619.89770086757</v>
      </c>
      <c r="T20" s="109">
        <v>106160.66838076456</v>
      </c>
      <c r="U20" s="195"/>
      <c r="V20" t="s">
        <v>638</v>
      </c>
      <c r="W20" s="193">
        <f t="shared" ref="W20:AL20" si="30">E20/SUM(E8:E40)</f>
        <v>1.8706584587159333E-2</v>
      </c>
      <c r="X20" s="172">
        <f t="shared" si="30"/>
        <v>1.8641486247859919E-2</v>
      </c>
      <c r="Y20" s="172">
        <f t="shared" si="30"/>
        <v>1.8574790032319394E-2</v>
      </c>
      <c r="Z20" s="172">
        <f t="shared" si="30"/>
        <v>1.8506436378354411E-2</v>
      </c>
      <c r="AA20" s="172">
        <f t="shared" si="30"/>
        <v>1.8436362726228745E-2</v>
      </c>
      <c r="AB20" s="172">
        <f t="shared" si="30"/>
        <v>1.8364503327680328E-2</v>
      </c>
      <c r="AC20" s="172">
        <f t="shared" si="30"/>
        <v>1.8395719403131373E-2</v>
      </c>
      <c r="AD20" s="172">
        <f t="shared" si="30"/>
        <v>1.8427460460696328E-2</v>
      </c>
      <c r="AE20" s="172">
        <f t="shared" si="30"/>
        <v>1.8459739856157325E-2</v>
      </c>
      <c r="AF20" s="172">
        <f t="shared" si="30"/>
        <v>1.8492571402207364E-2</v>
      </c>
      <c r="AG20" s="172">
        <f t="shared" si="30"/>
        <v>1.8525969388157922E-2</v>
      </c>
      <c r="AH20" s="172">
        <f t="shared" si="30"/>
        <v>1.8526884986986583E-2</v>
      </c>
      <c r="AI20" s="172">
        <f t="shared" si="30"/>
        <v>1.8527808497389126E-2</v>
      </c>
      <c r="AJ20" s="172">
        <f t="shared" si="30"/>
        <v>1.8528740022354877E-2</v>
      </c>
      <c r="AK20" s="172">
        <f t="shared" si="30"/>
        <v>1.8529679666668516E-2</v>
      </c>
      <c r="AL20" s="172">
        <f t="shared" si="30"/>
        <v>1.8530627536949347E-2</v>
      </c>
      <c r="AM20" s="184">
        <f t="shared" si="4"/>
        <v>1.8530627536949347E-2</v>
      </c>
      <c r="AN20" s="184">
        <f t="shared" si="5"/>
        <v>1.8530627536949347E-2</v>
      </c>
      <c r="AO20" s="184">
        <f t="shared" si="5"/>
        <v>1.8530627536949347E-2</v>
      </c>
      <c r="AP20" s="184">
        <f t="shared" si="5"/>
        <v>1.8530627536949347E-2</v>
      </c>
      <c r="AQ20" s="184">
        <f t="shared" si="5"/>
        <v>1.8530627536949347E-2</v>
      </c>
      <c r="AR20" s="184">
        <f t="shared" si="5"/>
        <v>1.8530627536949347E-2</v>
      </c>
      <c r="AS20" s="184">
        <f t="shared" si="5"/>
        <v>1.8530627536949347E-2</v>
      </c>
      <c r="AT20" s="184">
        <f t="shared" si="5"/>
        <v>1.8530627536949347E-2</v>
      </c>
      <c r="AU20" s="184">
        <f t="shared" si="5"/>
        <v>1.8530627536949347E-2</v>
      </c>
      <c r="AV20" s="184">
        <f t="shared" si="5"/>
        <v>1.8530627536949347E-2</v>
      </c>
      <c r="AW20" s="184">
        <f t="shared" si="5"/>
        <v>1.8530627536949347E-2</v>
      </c>
      <c r="AX20" s="184">
        <f t="shared" si="5"/>
        <v>1.8530627536949347E-2</v>
      </c>
      <c r="AY20" s="184">
        <f t="shared" si="5"/>
        <v>1.8530627536949347E-2</v>
      </c>
      <c r="AZ20" s="184">
        <f t="shared" si="5"/>
        <v>1.8530627536949347E-2</v>
      </c>
      <c r="BA20" s="184">
        <f t="shared" si="5"/>
        <v>1.8530627536949347E-2</v>
      </c>
      <c r="BB20" s="184">
        <f t="shared" si="5"/>
        <v>1.8530627536949347E-2</v>
      </c>
      <c r="BC20" s="184">
        <f t="shared" si="5"/>
        <v>1.8530627536949347E-2</v>
      </c>
      <c r="BD20" s="184">
        <f t="shared" si="5"/>
        <v>1.8530627536949347E-2</v>
      </c>
      <c r="BE20" s="184">
        <f t="shared" si="5"/>
        <v>1.8530627536949347E-2</v>
      </c>
      <c r="BF20" s="194">
        <f t="shared" si="5"/>
        <v>1.8530627536949347E-2</v>
      </c>
    </row>
    <row r="21" spans="2:58">
      <c r="B21" t="s">
        <v>639</v>
      </c>
      <c r="C21" s="109">
        <v>116046.16353447526</v>
      </c>
      <c r="D21" s="182">
        <f t="shared" ref="D21:I21" si="31">C21+($J21-$C21)/(COLUMN($J21)-COLUMN($C21))</f>
        <v>114502.89101275768</v>
      </c>
      <c r="E21" s="182">
        <f t="shared" si="31"/>
        <v>112959.61849104011</v>
      </c>
      <c r="F21" s="182">
        <f t="shared" si="31"/>
        <v>111416.34596932253</v>
      </c>
      <c r="G21" s="182">
        <f t="shared" si="31"/>
        <v>109873.07344760495</v>
      </c>
      <c r="H21" s="182">
        <f t="shared" si="31"/>
        <v>108329.80092588738</v>
      </c>
      <c r="I21" s="182">
        <f t="shared" si="31"/>
        <v>106786.5284041698</v>
      </c>
      <c r="J21" s="109">
        <v>105243.2558824522</v>
      </c>
      <c r="K21" s="183">
        <f t="shared" si="1"/>
        <v>104418.03504120126</v>
      </c>
      <c r="L21" s="183">
        <f t="shared" si="1"/>
        <v>103592.81419995033</v>
      </c>
      <c r="M21" s="183">
        <f t="shared" si="1"/>
        <v>102767.59335869939</v>
      </c>
      <c r="N21" s="183">
        <f t="shared" si="1"/>
        <v>101942.37251744846</v>
      </c>
      <c r="O21" s="109">
        <v>101117.15167619754</v>
      </c>
      <c r="P21" s="183">
        <f t="shared" si="2"/>
        <v>100638.75380640409</v>
      </c>
      <c r="Q21" s="183">
        <f t="shared" si="2"/>
        <v>100160.35593661063</v>
      </c>
      <c r="R21" s="183">
        <f t="shared" si="2"/>
        <v>99681.958066817184</v>
      </c>
      <c r="S21" s="183">
        <f t="shared" si="2"/>
        <v>99203.560197023733</v>
      </c>
      <c r="T21" s="109">
        <v>98725.162327230268</v>
      </c>
      <c r="U21" s="195"/>
      <c r="V21" t="s">
        <v>639</v>
      </c>
      <c r="W21" s="193">
        <f t="shared" ref="W21:AL21" si="32">E21/SUM(E8:E40)</f>
        <v>1.7389409505166833E-2</v>
      </c>
      <c r="X21" s="172">
        <f t="shared" si="32"/>
        <v>1.7359781284335695E-2</v>
      </c>
      <c r="Y21" s="172">
        <f t="shared" si="32"/>
        <v>1.7329425821755499E-2</v>
      </c>
      <c r="Z21" s="172">
        <f t="shared" si="32"/>
        <v>1.7298316008877244E-2</v>
      </c>
      <c r="AA21" s="172">
        <f t="shared" si="32"/>
        <v>1.7266423372875046E-2</v>
      </c>
      <c r="AB21" s="172">
        <f t="shared" si="32"/>
        <v>1.7233717989728579E-2</v>
      </c>
      <c r="AC21" s="172">
        <f t="shared" si="32"/>
        <v>1.7241167406189736E-2</v>
      </c>
      <c r="AD21" s="172">
        <f t="shared" si="32"/>
        <v>1.7248742104587999E-2</v>
      </c>
      <c r="AE21" s="172">
        <f t="shared" si="32"/>
        <v>1.7256445272152435E-2</v>
      </c>
      <c r="AF21" s="172">
        <f t="shared" si="32"/>
        <v>1.7264280205149505E-2</v>
      </c>
      <c r="AG21" s="172">
        <f t="shared" si="32"/>
        <v>1.7272250313586104E-2</v>
      </c>
      <c r="AH21" s="172">
        <f t="shared" si="32"/>
        <v>1.7264484252958373E-2</v>
      </c>
      <c r="AI21" s="172">
        <f t="shared" si="32"/>
        <v>1.7256651086781222E-2</v>
      </c>
      <c r="AJ21" s="172">
        <f t="shared" si="32"/>
        <v>1.724874994150466E-2</v>
      </c>
      <c r="AK21" s="172">
        <f t="shared" si="32"/>
        <v>1.7240779928350644E-2</v>
      </c>
      <c r="AL21" s="172">
        <f t="shared" si="32"/>
        <v>1.7232740142979798E-2</v>
      </c>
      <c r="AM21" s="184">
        <f t="shared" si="4"/>
        <v>1.7232740142979798E-2</v>
      </c>
      <c r="AN21" s="184">
        <f t="shared" si="5"/>
        <v>1.7232740142979798E-2</v>
      </c>
      <c r="AO21" s="184">
        <f t="shared" si="5"/>
        <v>1.7232740142979798E-2</v>
      </c>
      <c r="AP21" s="184">
        <f t="shared" si="5"/>
        <v>1.7232740142979798E-2</v>
      </c>
      <c r="AQ21" s="184">
        <f t="shared" si="5"/>
        <v>1.7232740142979798E-2</v>
      </c>
      <c r="AR21" s="184">
        <f t="shared" si="5"/>
        <v>1.7232740142979798E-2</v>
      </c>
      <c r="AS21" s="184">
        <f t="shared" si="5"/>
        <v>1.7232740142979798E-2</v>
      </c>
      <c r="AT21" s="184">
        <f t="shared" si="5"/>
        <v>1.7232740142979798E-2</v>
      </c>
      <c r="AU21" s="184">
        <f t="shared" si="5"/>
        <v>1.7232740142979798E-2</v>
      </c>
      <c r="AV21" s="184">
        <f t="shared" si="5"/>
        <v>1.7232740142979798E-2</v>
      </c>
      <c r="AW21" s="184">
        <f t="shared" si="5"/>
        <v>1.7232740142979798E-2</v>
      </c>
      <c r="AX21" s="184">
        <f t="shared" ref="AN21:BF34" si="33">AW21</f>
        <v>1.7232740142979798E-2</v>
      </c>
      <c r="AY21" s="184">
        <f t="shared" si="33"/>
        <v>1.7232740142979798E-2</v>
      </c>
      <c r="AZ21" s="184">
        <f t="shared" si="33"/>
        <v>1.7232740142979798E-2</v>
      </c>
      <c r="BA21" s="184">
        <f t="shared" si="33"/>
        <v>1.7232740142979798E-2</v>
      </c>
      <c r="BB21" s="184">
        <f t="shared" si="33"/>
        <v>1.7232740142979798E-2</v>
      </c>
      <c r="BC21" s="184">
        <f t="shared" si="33"/>
        <v>1.7232740142979798E-2</v>
      </c>
      <c r="BD21" s="184">
        <f t="shared" si="33"/>
        <v>1.7232740142979798E-2</v>
      </c>
      <c r="BE21" s="184">
        <f t="shared" si="33"/>
        <v>1.7232740142979798E-2</v>
      </c>
      <c r="BF21" s="194">
        <f t="shared" si="33"/>
        <v>1.7232740142979798E-2</v>
      </c>
    </row>
    <row r="22" spans="2:58">
      <c r="B22" t="s">
        <v>640</v>
      </c>
      <c r="C22" s="109">
        <v>138952.27638837902</v>
      </c>
      <c r="D22" s="182">
        <f t="shared" ref="D22:I22" si="34">C22+($J22-$C22)/(COLUMN($J22)-COLUMN($C22))</f>
        <v>136622.19410063562</v>
      </c>
      <c r="E22" s="182">
        <f t="shared" si="34"/>
        <v>134292.11181289222</v>
      </c>
      <c r="F22" s="182">
        <f t="shared" si="34"/>
        <v>131962.02952514883</v>
      </c>
      <c r="G22" s="182">
        <f t="shared" si="34"/>
        <v>129631.94723740543</v>
      </c>
      <c r="H22" s="182">
        <f t="shared" si="34"/>
        <v>127301.86494966203</v>
      </c>
      <c r="I22" s="182">
        <f t="shared" si="34"/>
        <v>124971.78266191864</v>
      </c>
      <c r="J22" s="109">
        <v>122641.70037417521</v>
      </c>
      <c r="K22" s="183">
        <f t="shared" si="1"/>
        <v>121621.3373090425</v>
      </c>
      <c r="L22" s="183">
        <f t="shared" si="1"/>
        <v>120600.97424390979</v>
      </c>
      <c r="M22" s="183">
        <f t="shared" si="1"/>
        <v>119580.61117877708</v>
      </c>
      <c r="N22" s="183">
        <f t="shared" si="1"/>
        <v>118560.24811364437</v>
      </c>
      <c r="O22" s="109">
        <v>117539.88504851169</v>
      </c>
      <c r="P22" s="183">
        <f t="shared" si="2"/>
        <v>116986.40298868711</v>
      </c>
      <c r="Q22" s="183">
        <f t="shared" si="2"/>
        <v>116432.92092886254</v>
      </c>
      <c r="R22" s="183">
        <f t="shared" si="2"/>
        <v>115879.43886903797</v>
      </c>
      <c r="S22" s="183">
        <f t="shared" si="2"/>
        <v>115325.9568092134</v>
      </c>
      <c r="T22" s="109">
        <v>114772.47474938881</v>
      </c>
      <c r="U22" s="195"/>
      <c r="V22" t="s">
        <v>640</v>
      </c>
      <c r="W22" s="193">
        <f t="shared" ref="W22:AL22" si="35">E22/SUM(E8:E40)</f>
        <v>2.0673410169256785E-2</v>
      </c>
      <c r="X22" s="172">
        <f t="shared" si="35"/>
        <v>2.0561004316407866E-2</v>
      </c>
      <c r="Y22" s="172">
        <f t="shared" si="35"/>
        <v>2.0445839397144023E-2</v>
      </c>
      <c r="Z22" s="172">
        <f t="shared" si="35"/>
        <v>2.0327812564939682E-2</v>
      </c>
      <c r="AA22" s="172">
        <f t="shared" si="35"/>
        <v>2.0206815797369382E-2</v>
      </c>
      <c r="AB22" s="172">
        <f t="shared" si="35"/>
        <v>2.0082735566353128E-2</v>
      </c>
      <c r="AC22" s="172">
        <f t="shared" si="35"/>
        <v>2.0081720900824069E-2</v>
      </c>
      <c r="AD22" s="172">
        <f t="shared" si="35"/>
        <v>2.0080689170970095E-2</v>
      </c>
      <c r="AE22" s="172">
        <f t="shared" si="35"/>
        <v>2.0079639942667059E-2</v>
      </c>
      <c r="AF22" s="172">
        <f t="shared" si="35"/>
        <v>2.007857276693913E-2</v>
      </c>
      <c r="AG22" s="172">
        <f t="shared" si="35"/>
        <v>2.0077487179318208E-2</v>
      </c>
      <c r="AH22" s="172">
        <f t="shared" si="35"/>
        <v>2.0068908207008303E-2</v>
      </c>
      <c r="AI22" s="172">
        <f t="shared" si="35"/>
        <v>2.0060255104881766E-2</v>
      </c>
      <c r="AJ22" s="172">
        <f t="shared" si="35"/>
        <v>2.005152690794983E-2</v>
      </c>
      <c r="AK22" s="172">
        <f t="shared" si="35"/>
        <v>2.0042722634401707E-2</v>
      </c>
      <c r="AL22" s="172">
        <f t="shared" si="35"/>
        <v>2.0033841285236366E-2</v>
      </c>
      <c r="AM22" s="184">
        <f t="shared" si="4"/>
        <v>2.0033841285236366E-2</v>
      </c>
      <c r="AN22" s="184">
        <f t="shared" si="33"/>
        <v>2.0033841285236366E-2</v>
      </c>
      <c r="AO22" s="184">
        <f t="shared" si="33"/>
        <v>2.0033841285236366E-2</v>
      </c>
      <c r="AP22" s="184">
        <f t="shared" si="33"/>
        <v>2.0033841285236366E-2</v>
      </c>
      <c r="AQ22" s="184">
        <f t="shared" si="33"/>
        <v>2.0033841285236366E-2</v>
      </c>
      <c r="AR22" s="184">
        <f t="shared" si="33"/>
        <v>2.0033841285236366E-2</v>
      </c>
      <c r="AS22" s="184">
        <f t="shared" si="33"/>
        <v>2.0033841285236366E-2</v>
      </c>
      <c r="AT22" s="184">
        <f t="shared" si="33"/>
        <v>2.0033841285236366E-2</v>
      </c>
      <c r="AU22" s="184">
        <f t="shared" si="33"/>
        <v>2.0033841285236366E-2</v>
      </c>
      <c r="AV22" s="184">
        <f t="shared" si="33"/>
        <v>2.0033841285236366E-2</v>
      </c>
      <c r="AW22" s="184">
        <f t="shared" si="33"/>
        <v>2.0033841285236366E-2</v>
      </c>
      <c r="AX22" s="184">
        <f t="shared" si="33"/>
        <v>2.0033841285236366E-2</v>
      </c>
      <c r="AY22" s="184">
        <f t="shared" si="33"/>
        <v>2.0033841285236366E-2</v>
      </c>
      <c r="AZ22" s="184">
        <f t="shared" si="33"/>
        <v>2.0033841285236366E-2</v>
      </c>
      <c r="BA22" s="184">
        <f t="shared" si="33"/>
        <v>2.0033841285236366E-2</v>
      </c>
      <c r="BB22" s="184">
        <f t="shared" si="33"/>
        <v>2.0033841285236366E-2</v>
      </c>
      <c r="BC22" s="184">
        <f t="shared" si="33"/>
        <v>2.0033841285236366E-2</v>
      </c>
      <c r="BD22" s="184">
        <f t="shared" si="33"/>
        <v>2.0033841285236366E-2</v>
      </c>
      <c r="BE22" s="184">
        <f t="shared" si="33"/>
        <v>2.0033841285236366E-2</v>
      </c>
      <c r="BF22" s="194">
        <f t="shared" si="33"/>
        <v>2.0033841285236366E-2</v>
      </c>
    </row>
    <row r="23" spans="2:58">
      <c r="B23" t="s">
        <v>641</v>
      </c>
      <c r="C23" s="109">
        <v>141889.74061561539</v>
      </c>
      <c r="D23" s="182">
        <f t="shared" ref="D23:I23" si="36">C23+($J23-$C23)/(COLUMN($J23)-COLUMN($C23))</f>
        <v>140354.0918863416</v>
      </c>
      <c r="E23" s="182">
        <f t="shared" si="36"/>
        <v>138818.44315706781</v>
      </c>
      <c r="F23" s="182">
        <f t="shared" si="36"/>
        <v>137282.79442779403</v>
      </c>
      <c r="G23" s="182">
        <f t="shared" si="36"/>
        <v>135747.14569852024</v>
      </c>
      <c r="H23" s="182">
        <f t="shared" si="36"/>
        <v>134211.49696924645</v>
      </c>
      <c r="I23" s="182">
        <f t="shared" si="36"/>
        <v>132675.84823997266</v>
      </c>
      <c r="J23" s="109">
        <v>131140.19951069888</v>
      </c>
      <c r="K23" s="183">
        <f t="shared" si="1"/>
        <v>129710.56915196018</v>
      </c>
      <c r="L23" s="183">
        <f t="shared" si="1"/>
        <v>128280.93879322149</v>
      </c>
      <c r="M23" s="183">
        <f t="shared" si="1"/>
        <v>126851.30843448279</v>
      </c>
      <c r="N23" s="183">
        <f t="shared" si="1"/>
        <v>125421.6780757441</v>
      </c>
      <c r="O23" s="109">
        <v>123992.04771700544</v>
      </c>
      <c r="P23" s="183">
        <f t="shared" si="2"/>
        <v>123214.21667489783</v>
      </c>
      <c r="Q23" s="183">
        <f t="shared" si="2"/>
        <v>122436.38563279023</v>
      </c>
      <c r="R23" s="183">
        <f t="shared" si="2"/>
        <v>121658.55459068263</v>
      </c>
      <c r="S23" s="183">
        <f t="shared" si="2"/>
        <v>120880.72354857503</v>
      </c>
      <c r="T23" s="109">
        <v>120102.89250646744</v>
      </c>
      <c r="U23" s="195"/>
      <c r="V23" t="s">
        <v>641</v>
      </c>
      <c r="W23" s="193">
        <f t="shared" ref="W23:AL23" si="37">E23/SUM(E8:E40)</f>
        <v>2.1370209878315515E-2</v>
      </c>
      <c r="X23" s="172">
        <f t="shared" si="37"/>
        <v>2.1390032715891752E-2</v>
      </c>
      <c r="Y23" s="172">
        <f t="shared" si="37"/>
        <v>2.1410342116436182E-2</v>
      </c>
      <c r="Z23" s="172">
        <f t="shared" si="37"/>
        <v>2.1431156216993465E-2</v>
      </c>
      <c r="AA23" s="172">
        <f t="shared" si="37"/>
        <v>2.14524940673812E-2</v>
      </c>
      <c r="AB23" s="172">
        <f t="shared" si="37"/>
        <v>2.147437568834237E-2</v>
      </c>
      <c r="AC23" s="172">
        <f t="shared" si="37"/>
        <v>2.1417388636155357E-2</v>
      </c>
      <c r="AD23" s="172">
        <f t="shared" si="37"/>
        <v>2.1359443193693803E-2</v>
      </c>
      <c r="AE23" s="172">
        <f t="shared" si="37"/>
        <v>2.1300514979076125E-2</v>
      </c>
      <c r="AF23" s="172">
        <f t="shared" si="37"/>
        <v>2.1240578776299202E-2</v>
      </c>
      <c r="AG23" s="172">
        <f t="shared" si="37"/>
        <v>2.1179608499260739E-2</v>
      </c>
      <c r="AH23" s="172">
        <f t="shared" si="37"/>
        <v>2.1137283830207861E-2</v>
      </c>
      <c r="AI23" s="172">
        <f t="shared" si="37"/>
        <v>2.1094593439033176E-2</v>
      </c>
      <c r="AJ23" s="172">
        <f t="shared" si="37"/>
        <v>2.1051532564929896E-2</v>
      </c>
      <c r="AK23" s="172">
        <f t="shared" si="37"/>
        <v>2.100809636409905E-2</v>
      </c>
      <c r="AL23" s="172">
        <f t="shared" si="37"/>
        <v>2.0964279907933116E-2</v>
      </c>
      <c r="AM23" s="184">
        <f t="shared" si="4"/>
        <v>2.0964279907933116E-2</v>
      </c>
      <c r="AN23" s="184">
        <f t="shared" si="33"/>
        <v>2.0964279907933116E-2</v>
      </c>
      <c r="AO23" s="184">
        <f t="shared" si="33"/>
        <v>2.0964279907933116E-2</v>
      </c>
      <c r="AP23" s="184">
        <f t="shared" si="33"/>
        <v>2.0964279907933116E-2</v>
      </c>
      <c r="AQ23" s="184">
        <f t="shared" si="33"/>
        <v>2.0964279907933116E-2</v>
      </c>
      <c r="AR23" s="184">
        <f t="shared" si="33"/>
        <v>2.0964279907933116E-2</v>
      </c>
      <c r="AS23" s="184">
        <f t="shared" si="33"/>
        <v>2.0964279907933116E-2</v>
      </c>
      <c r="AT23" s="184">
        <f t="shared" si="33"/>
        <v>2.0964279907933116E-2</v>
      </c>
      <c r="AU23" s="184">
        <f t="shared" si="33"/>
        <v>2.0964279907933116E-2</v>
      </c>
      <c r="AV23" s="184">
        <f t="shared" si="33"/>
        <v>2.0964279907933116E-2</v>
      </c>
      <c r="AW23" s="184">
        <f t="shared" si="33"/>
        <v>2.0964279907933116E-2</v>
      </c>
      <c r="AX23" s="184">
        <f t="shared" si="33"/>
        <v>2.0964279907933116E-2</v>
      </c>
      <c r="AY23" s="184">
        <f t="shared" si="33"/>
        <v>2.0964279907933116E-2</v>
      </c>
      <c r="AZ23" s="184">
        <f t="shared" si="33"/>
        <v>2.0964279907933116E-2</v>
      </c>
      <c r="BA23" s="184">
        <f t="shared" si="33"/>
        <v>2.0964279907933116E-2</v>
      </c>
      <c r="BB23" s="184">
        <f t="shared" si="33"/>
        <v>2.0964279907933116E-2</v>
      </c>
      <c r="BC23" s="184">
        <f t="shared" si="33"/>
        <v>2.0964279907933116E-2</v>
      </c>
      <c r="BD23" s="184">
        <f t="shared" si="33"/>
        <v>2.0964279907933116E-2</v>
      </c>
      <c r="BE23" s="184">
        <f t="shared" si="33"/>
        <v>2.0964279907933116E-2</v>
      </c>
      <c r="BF23" s="194">
        <f t="shared" si="33"/>
        <v>2.0964279907933116E-2</v>
      </c>
    </row>
    <row r="24" spans="2:58">
      <c r="B24" t="s">
        <v>642</v>
      </c>
      <c r="C24" s="109">
        <v>355987.98740913963</v>
      </c>
      <c r="D24" s="182">
        <f t="shared" ref="D24:I24" si="38">C24+($J24-$C24)/(COLUMN($J24)-COLUMN($C24))</f>
        <v>354122.63533560088</v>
      </c>
      <c r="E24" s="182">
        <f t="shared" si="38"/>
        <v>352257.28326206212</v>
      </c>
      <c r="F24" s="182">
        <f t="shared" si="38"/>
        <v>350391.93118852336</v>
      </c>
      <c r="G24" s="182">
        <f t="shared" si="38"/>
        <v>348526.5791149846</v>
      </c>
      <c r="H24" s="182">
        <f t="shared" si="38"/>
        <v>346661.22704144585</v>
      </c>
      <c r="I24" s="182">
        <f t="shared" si="38"/>
        <v>344795.87496790709</v>
      </c>
      <c r="J24" s="109">
        <v>342930.52289436822</v>
      </c>
      <c r="K24" s="183">
        <f t="shared" si="1"/>
        <v>341365.8080530435</v>
      </c>
      <c r="L24" s="183">
        <f t="shared" si="1"/>
        <v>339801.09321171878</v>
      </c>
      <c r="M24" s="183">
        <f t="shared" si="1"/>
        <v>338236.37837039406</v>
      </c>
      <c r="N24" s="183">
        <f t="shared" si="1"/>
        <v>336671.66352906934</v>
      </c>
      <c r="O24" s="109">
        <v>335106.94868774468</v>
      </c>
      <c r="P24" s="183">
        <f t="shared" si="2"/>
        <v>334718.23972857982</v>
      </c>
      <c r="Q24" s="183">
        <f t="shared" si="2"/>
        <v>334329.53076941497</v>
      </c>
      <c r="R24" s="183">
        <f t="shared" si="2"/>
        <v>333940.82181025011</v>
      </c>
      <c r="S24" s="183">
        <f t="shared" si="2"/>
        <v>333552.11285108526</v>
      </c>
      <c r="T24" s="109">
        <v>333163.40389192034</v>
      </c>
      <c r="U24" s="195"/>
      <c r="V24" t="s">
        <v>642</v>
      </c>
      <c r="W24" s="193">
        <f t="shared" ref="W24:AL24" si="39">E24/SUM(E8:E40)</f>
        <v>5.4227751754556644E-2</v>
      </c>
      <c r="X24" s="172">
        <f t="shared" si="39"/>
        <v>5.4594568115737624E-2</v>
      </c>
      <c r="Y24" s="172">
        <f t="shared" si="39"/>
        <v>5.4970388195825802E-2</v>
      </c>
      <c r="Z24" s="172">
        <f t="shared" si="39"/>
        <v>5.5355547616030572E-2</v>
      </c>
      <c r="AA24" s="172">
        <f t="shared" si="39"/>
        <v>5.5750398888183214E-2</v>
      </c>
      <c r="AB24" s="172">
        <f t="shared" si="39"/>
        <v>5.6155312490832061E-2</v>
      </c>
      <c r="AC24" s="172">
        <f t="shared" si="39"/>
        <v>5.6365215463683428E-2</v>
      </c>
      <c r="AD24" s="172">
        <f t="shared" si="39"/>
        <v>5.6578648518545757E-2</v>
      </c>
      <c r="AE24" s="172">
        <f t="shared" si="39"/>
        <v>5.6795701462300126E-2</v>
      </c>
      <c r="AF24" s="172">
        <f t="shared" si="39"/>
        <v>5.7016467174185265E-2</v>
      </c>
      <c r="AG24" s="172">
        <f t="shared" si="39"/>
        <v>5.724104173831529E-2</v>
      </c>
      <c r="AH24" s="172">
        <f t="shared" si="39"/>
        <v>5.7420601511902723E-2</v>
      </c>
      <c r="AI24" s="172">
        <f t="shared" si="39"/>
        <v>5.760171283882435E-2</v>
      </c>
      <c r="AJ24" s="172">
        <f t="shared" si="39"/>
        <v>5.778439591650656E-2</v>
      </c>
      <c r="AK24" s="172">
        <f t="shared" si="39"/>
        <v>5.7968671294464993E-2</v>
      </c>
      <c r="AL24" s="172">
        <f t="shared" si="39"/>
        <v>5.8154559882010175E-2</v>
      </c>
      <c r="AM24" s="184">
        <f t="shared" si="4"/>
        <v>5.8154559882010175E-2</v>
      </c>
      <c r="AN24" s="184">
        <f t="shared" si="33"/>
        <v>5.8154559882010175E-2</v>
      </c>
      <c r="AO24" s="184">
        <f t="shared" si="33"/>
        <v>5.8154559882010175E-2</v>
      </c>
      <c r="AP24" s="184">
        <f t="shared" si="33"/>
        <v>5.8154559882010175E-2</v>
      </c>
      <c r="AQ24" s="184">
        <f t="shared" si="33"/>
        <v>5.8154559882010175E-2</v>
      </c>
      <c r="AR24" s="184">
        <f t="shared" si="33"/>
        <v>5.8154559882010175E-2</v>
      </c>
      <c r="AS24" s="184">
        <f t="shared" si="33"/>
        <v>5.8154559882010175E-2</v>
      </c>
      <c r="AT24" s="184">
        <f t="shared" si="33"/>
        <v>5.8154559882010175E-2</v>
      </c>
      <c r="AU24" s="184">
        <f t="shared" si="33"/>
        <v>5.8154559882010175E-2</v>
      </c>
      <c r="AV24" s="184">
        <f t="shared" si="33"/>
        <v>5.8154559882010175E-2</v>
      </c>
      <c r="AW24" s="184">
        <f t="shared" si="33"/>
        <v>5.8154559882010175E-2</v>
      </c>
      <c r="AX24" s="184">
        <f t="shared" si="33"/>
        <v>5.8154559882010175E-2</v>
      </c>
      <c r="AY24" s="184">
        <f t="shared" si="33"/>
        <v>5.8154559882010175E-2</v>
      </c>
      <c r="AZ24" s="184">
        <f t="shared" si="33"/>
        <v>5.8154559882010175E-2</v>
      </c>
      <c r="BA24" s="184">
        <f t="shared" si="33"/>
        <v>5.8154559882010175E-2</v>
      </c>
      <c r="BB24" s="184">
        <f t="shared" si="33"/>
        <v>5.8154559882010175E-2</v>
      </c>
      <c r="BC24" s="184">
        <f t="shared" si="33"/>
        <v>5.8154559882010175E-2</v>
      </c>
      <c r="BD24" s="184">
        <f t="shared" si="33"/>
        <v>5.8154559882010175E-2</v>
      </c>
      <c r="BE24" s="184">
        <f t="shared" si="33"/>
        <v>5.8154559882010175E-2</v>
      </c>
      <c r="BF24" s="194">
        <f t="shared" si="33"/>
        <v>5.8154559882010175E-2</v>
      </c>
    </row>
    <row r="25" spans="2:58">
      <c r="B25" t="s">
        <v>643</v>
      </c>
      <c r="C25" s="109">
        <v>417138.26290092076</v>
      </c>
      <c r="D25" s="182">
        <f t="shared" ref="D25:I25" si="40">C25+($J25-$C25)/(COLUMN($J25)-COLUMN($C25))</f>
        <v>412686.70597674459</v>
      </c>
      <c r="E25" s="182">
        <f t="shared" si="40"/>
        <v>408235.14905256842</v>
      </c>
      <c r="F25" s="182">
        <f t="shared" si="40"/>
        <v>403783.59212839225</v>
      </c>
      <c r="G25" s="182">
        <f t="shared" si="40"/>
        <v>399332.03520421608</v>
      </c>
      <c r="H25" s="182">
        <f t="shared" si="40"/>
        <v>394880.47828003991</v>
      </c>
      <c r="I25" s="182">
        <f t="shared" si="40"/>
        <v>390428.92135586374</v>
      </c>
      <c r="J25" s="109">
        <v>385977.36443168757</v>
      </c>
      <c r="K25" s="183">
        <f t="shared" si="1"/>
        <v>382033.00689792377</v>
      </c>
      <c r="L25" s="183">
        <f t="shared" si="1"/>
        <v>378088.64936415997</v>
      </c>
      <c r="M25" s="183">
        <f t="shared" si="1"/>
        <v>374144.29183039616</v>
      </c>
      <c r="N25" s="183">
        <f t="shared" si="1"/>
        <v>370199.93429663236</v>
      </c>
      <c r="O25" s="109">
        <v>366255.57676286867</v>
      </c>
      <c r="P25" s="183">
        <f t="shared" si="2"/>
        <v>364241.16379327368</v>
      </c>
      <c r="Q25" s="183">
        <f t="shared" si="2"/>
        <v>362226.75082367868</v>
      </c>
      <c r="R25" s="183">
        <f t="shared" si="2"/>
        <v>360212.33785408369</v>
      </c>
      <c r="S25" s="183">
        <f t="shared" si="2"/>
        <v>358197.92488448869</v>
      </c>
      <c r="T25" s="109">
        <v>356183.51191489381</v>
      </c>
      <c r="U25" s="195"/>
      <c r="V25" t="s">
        <v>643</v>
      </c>
      <c r="W25" s="193">
        <f t="shared" ref="W25:AL25" si="41">E25/SUM(E8:E40)</f>
        <v>6.2845185528322398E-2</v>
      </c>
      <c r="X25" s="172">
        <f t="shared" si="41"/>
        <v>6.2913523007497738E-2</v>
      </c>
      <c r="Y25" s="172">
        <f t="shared" si="41"/>
        <v>6.2983537869468476E-2</v>
      </c>
      <c r="Z25" s="172">
        <f t="shared" si="41"/>
        <v>6.3055292640091812E-2</v>
      </c>
      <c r="AA25" s="172">
        <f t="shared" si="41"/>
        <v>6.3128852991928941E-2</v>
      </c>
      <c r="AB25" s="172">
        <f t="shared" si="41"/>
        <v>6.3204287944720411E-2</v>
      </c>
      <c r="AC25" s="172">
        <f t="shared" si="41"/>
        <v>6.3080051487448163E-2</v>
      </c>
      <c r="AD25" s="172">
        <f t="shared" si="41"/>
        <v>6.295372566061172E-2</v>
      </c>
      <c r="AE25" s="172">
        <f t="shared" si="41"/>
        <v>6.2825257309705396E-2</v>
      </c>
      <c r="AF25" s="172">
        <f t="shared" si="41"/>
        <v>6.2694591461769963E-2</v>
      </c>
      <c r="AG25" s="172">
        <f t="shared" si="41"/>
        <v>6.2561671246958592E-2</v>
      </c>
      <c r="AH25" s="172">
        <f t="shared" si="41"/>
        <v>6.2485231570783263E-2</v>
      </c>
      <c r="AI25" s="172">
        <f t="shared" si="41"/>
        <v>6.2408131389016609E-2</v>
      </c>
      <c r="AJ25" s="172">
        <f t="shared" si="41"/>
        <v>6.2330362103492618E-2</v>
      </c>
      <c r="AK25" s="172">
        <f t="shared" si="41"/>
        <v>6.2251914966158874E-2</v>
      </c>
      <c r="AL25" s="172">
        <f t="shared" si="41"/>
        <v>6.2172781075796033E-2</v>
      </c>
      <c r="AM25" s="184">
        <f t="shared" si="4"/>
        <v>6.2172781075796033E-2</v>
      </c>
      <c r="AN25" s="184">
        <f t="shared" si="33"/>
        <v>6.2172781075796033E-2</v>
      </c>
      <c r="AO25" s="184">
        <f t="shared" si="33"/>
        <v>6.2172781075796033E-2</v>
      </c>
      <c r="AP25" s="184">
        <f t="shared" si="33"/>
        <v>6.2172781075796033E-2</v>
      </c>
      <c r="AQ25" s="184">
        <f t="shared" si="33"/>
        <v>6.2172781075796033E-2</v>
      </c>
      <c r="AR25" s="184">
        <f t="shared" si="33"/>
        <v>6.2172781075796033E-2</v>
      </c>
      <c r="AS25" s="184">
        <f t="shared" si="33"/>
        <v>6.2172781075796033E-2</v>
      </c>
      <c r="AT25" s="184">
        <f t="shared" si="33"/>
        <v>6.2172781075796033E-2</v>
      </c>
      <c r="AU25" s="184">
        <f t="shared" si="33"/>
        <v>6.2172781075796033E-2</v>
      </c>
      <c r="AV25" s="184">
        <f t="shared" si="33"/>
        <v>6.2172781075796033E-2</v>
      </c>
      <c r="AW25" s="184">
        <f t="shared" si="33"/>
        <v>6.2172781075796033E-2</v>
      </c>
      <c r="AX25" s="184">
        <f t="shared" si="33"/>
        <v>6.2172781075796033E-2</v>
      </c>
      <c r="AY25" s="184">
        <f t="shared" si="33"/>
        <v>6.2172781075796033E-2</v>
      </c>
      <c r="AZ25" s="184">
        <f t="shared" si="33"/>
        <v>6.2172781075796033E-2</v>
      </c>
      <c r="BA25" s="184">
        <f t="shared" si="33"/>
        <v>6.2172781075796033E-2</v>
      </c>
      <c r="BB25" s="184">
        <f t="shared" si="33"/>
        <v>6.2172781075796033E-2</v>
      </c>
      <c r="BC25" s="184">
        <f t="shared" si="33"/>
        <v>6.2172781075796033E-2</v>
      </c>
      <c r="BD25" s="184">
        <f t="shared" si="33"/>
        <v>6.2172781075796033E-2</v>
      </c>
      <c r="BE25" s="184">
        <f t="shared" si="33"/>
        <v>6.2172781075796033E-2</v>
      </c>
      <c r="BF25" s="194">
        <f t="shared" si="33"/>
        <v>6.2172781075796033E-2</v>
      </c>
    </row>
    <row r="26" spans="2:58">
      <c r="B26" t="s">
        <v>644</v>
      </c>
      <c r="C26" s="109">
        <v>293501.62172154494</v>
      </c>
      <c r="D26" s="182">
        <f t="shared" ref="D26:I26" si="42">C26+($J26-$C26)/(COLUMN($J26)-COLUMN($C26))</f>
        <v>289900.4425235769</v>
      </c>
      <c r="E26" s="182">
        <f t="shared" si="42"/>
        <v>286299.26332560886</v>
      </c>
      <c r="F26" s="182">
        <f t="shared" si="42"/>
        <v>282698.08412764082</v>
      </c>
      <c r="G26" s="182">
        <f t="shared" si="42"/>
        <v>279096.90492967278</v>
      </c>
      <c r="H26" s="182">
        <f t="shared" si="42"/>
        <v>275495.72573170473</v>
      </c>
      <c r="I26" s="182">
        <f t="shared" si="42"/>
        <v>271894.54653373669</v>
      </c>
      <c r="J26" s="109">
        <v>268293.36733576877</v>
      </c>
      <c r="K26" s="183">
        <f t="shared" si="1"/>
        <v>265208.81329963123</v>
      </c>
      <c r="L26" s="183">
        <f t="shared" si="1"/>
        <v>262124.2592634937</v>
      </c>
      <c r="M26" s="183">
        <f t="shared" si="1"/>
        <v>259039.70522735617</v>
      </c>
      <c r="N26" s="183">
        <f t="shared" si="1"/>
        <v>255955.15119121864</v>
      </c>
      <c r="O26" s="109">
        <v>252870.59715508111</v>
      </c>
      <c r="P26" s="183">
        <f t="shared" si="2"/>
        <v>251204.36017623162</v>
      </c>
      <c r="Q26" s="183">
        <f t="shared" si="2"/>
        <v>249538.12319738214</v>
      </c>
      <c r="R26" s="183">
        <f t="shared" si="2"/>
        <v>247871.88621853266</v>
      </c>
      <c r="S26" s="183">
        <f t="shared" si="2"/>
        <v>246205.64923968317</v>
      </c>
      <c r="T26" s="109">
        <v>244539.41226083372</v>
      </c>
      <c r="U26" s="195"/>
      <c r="V26" t="s">
        <v>644</v>
      </c>
      <c r="W26" s="193">
        <f t="shared" ref="W26:AL26" si="43">E26/SUM(E8:E40)</f>
        <v>4.4073937195454528E-2</v>
      </c>
      <c r="X26" s="172">
        <f t="shared" si="43"/>
        <v>4.4047189550695129E-2</v>
      </c>
      <c r="Y26" s="172">
        <f t="shared" si="43"/>
        <v>4.401978536958584E-2</v>
      </c>
      <c r="Z26" s="172">
        <f t="shared" si="43"/>
        <v>4.3991700179181005E-2</v>
      </c>
      <c r="AA26" s="172">
        <f t="shared" si="43"/>
        <v>4.396290827489862E-2</v>
      </c>
      <c r="AB26" s="172">
        <f t="shared" si="43"/>
        <v>4.3933382642053272E-2</v>
      </c>
      <c r="AC26" s="172">
        <f t="shared" si="43"/>
        <v>4.3790419403043172E-2</v>
      </c>
      <c r="AD26" s="172">
        <f t="shared" si="43"/>
        <v>4.3645051853358499E-2</v>
      </c>
      <c r="AE26" s="172">
        <f t="shared" si="43"/>
        <v>4.3497218826249483E-2</v>
      </c>
      <c r="AF26" s="172">
        <f t="shared" si="43"/>
        <v>4.3346857062408164E-2</v>
      </c>
      <c r="AG26" s="172">
        <f t="shared" si="43"/>
        <v>4.3193901119711588E-2</v>
      </c>
      <c r="AH26" s="172">
        <f t="shared" si="43"/>
        <v>4.309387344839178E-2</v>
      </c>
      <c r="AI26" s="172">
        <f t="shared" si="43"/>
        <v>4.2992981450592577E-2</v>
      </c>
      <c r="AJ26" s="172">
        <f t="shared" si="43"/>
        <v>4.2891213874898949E-2</v>
      </c>
      <c r="AK26" s="172">
        <f t="shared" si="43"/>
        <v>4.2788559273756986E-2</v>
      </c>
      <c r="AL26" s="172">
        <f t="shared" si="43"/>
        <v>4.2685005999181132E-2</v>
      </c>
      <c r="AM26" s="184">
        <f t="shared" si="4"/>
        <v>4.2685005999181132E-2</v>
      </c>
      <c r="AN26" s="184">
        <f t="shared" si="33"/>
        <v>4.2685005999181132E-2</v>
      </c>
      <c r="AO26" s="184">
        <f t="shared" si="33"/>
        <v>4.2685005999181132E-2</v>
      </c>
      <c r="AP26" s="184">
        <f t="shared" si="33"/>
        <v>4.2685005999181132E-2</v>
      </c>
      <c r="AQ26" s="184">
        <f t="shared" si="33"/>
        <v>4.2685005999181132E-2</v>
      </c>
      <c r="AR26" s="184">
        <f t="shared" si="33"/>
        <v>4.2685005999181132E-2</v>
      </c>
      <c r="AS26" s="184">
        <f t="shared" si="33"/>
        <v>4.2685005999181132E-2</v>
      </c>
      <c r="AT26" s="184">
        <f t="shared" si="33"/>
        <v>4.2685005999181132E-2</v>
      </c>
      <c r="AU26" s="184">
        <f t="shared" si="33"/>
        <v>4.2685005999181132E-2</v>
      </c>
      <c r="AV26" s="184">
        <f t="shared" si="33"/>
        <v>4.2685005999181132E-2</v>
      </c>
      <c r="AW26" s="184">
        <f t="shared" si="33"/>
        <v>4.2685005999181132E-2</v>
      </c>
      <c r="AX26" s="184">
        <f t="shared" si="33"/>
        <v>4.2685005999181132E-2</v>
      </c>
      <c r="AY26" s="184">
        <f t="shared" si="33"/>
        <v>4.2685005999181132E-2</v>
      </c>
      <c r="AZ26" s="184">
        <f t="shared" si="33"/>
        <v>4.2685005999181132E-2</v>
      </c>
      <c r="BA26" s="184">
        <f t="shared" si="33"/>
        <v>4.2685005999181132E-2</v>
      </c>
      <c r="BB26" s="184">
        <f t="shared" si="33"/>
        <v>4.2685005999181132E-2</v>
      </c>
      <c r="BC26" s="184">
        <f t="shared" si="33"/>
        <v>4.2685005999181132E-2</v>
      </c>
      <c r="BD26" s="184">
        <f t="shared" si="33"/>
        <v>4.2685005999181132E-2</v>
      </c>
      <c r="BE26" s="184">
        <f t="shared" si="33"/>
        <v>4.2685005999181132E-2</v>
      </c>
      <c r="BF26" s="194">
        <f t="shared" si="33"/>
        <v>4.2685005999181132E-2</v>
      </c>
    </row>
    <row r="27" spans="2:58">
      <c r="B27" t="s">
        <v>645</v>
      </c>
      <c r="C27" s="109">
        <v>103015.60376145251</v>
      </c>
      <c r="D27" s="182">
        <f t="shared" ref="D27:I27" si="44">C27+($J27-$C27)/(COLUMN($J27)-COLUMN($C27))</f>
        <v>101027.22315091141</v>
      </c>
      <c r="E27" s="182">
        <f t="shared" si="44"/>
        <v>99038.8425403703</v>
      </c>
      <c r="F27" s="182">
        <f t="shared" si="44"/>
        <v>97050.461929829195</v>
      </c>
      <c r="G27" s="182">
        <f t="shared" si="44"/>
        <v>95062.081319288089</v>
      </c>
      <c r="H27" s="182">
        <f t="shared" si="44"/>
        <v>93073.700708746983</v>
      </c>
      <c r="I27" s="182">
        <f t="shared" si="44"/>
        <v>91085.320098205877</v>
      </c>
      <c r="J27" s="109">
        <v>89096.939487664815</v>
      </c>
      <c r="K27" s="183">
        <f t="shared" si="1"/>
        <v>88362.974134678094</v>
      </c>
      <c r="L27" s="183">
        <f t="shared" si="1"/>
        <v>87629.008781691373</v>
      </c>
      <c r="M27" s="183">
        <f t="shared" si="1"/>
        <v>86895.043428704652</v>
      </c>
      <c r="N27" s="183">
        <f t="shared" si="1"/>
        <v>86161.078075717931</v>
      </c>
      <c r="O27" s="109">
        <v>85427.112722731239</v>
      </c>
      <c r="P27" s="183">
        <f t="shared" si="2"/>
        <v>84932.055121060985</v>
      </c>
      <c r="Q27" s="183">
        <f t="shared" si="2"/>
        <v>84436.99751939073</v>
      </c>
      <c r="R27" s="183">
        <f t="shared" si="2"/>
        <v>83941.939917720476</v>
      </c>
      <c r="S27" s="183">
        <f t="shared" si="2"/>
        <v>83446.882316050222</v>
      </c>
      <c r="T27" s="109">
        <v>82951.824714379967</v>
      </c>
      <c r="U27" s="195"/>
      <c r="V27" t="s">
        <v>645</v>
      </c>
      <c r="W27" s="193">
        <f t="shared" ref="W27:AL27" si="45">E27/SUM(E8:E40)</f>
        <v>1.5246395241577794E-2</v>
      </c>
      <c r="X27" s="172">
        <f t="shared" si="45"/>
        <v>1.5121432838135527E-2</v>
      </c>
      <c r="Y27" s="172">
        <f t="shared" si="45"/>
        <v>1.4993403160510224E-2</v>
      </c>
      <c r="Z27" s="172">
        <f t="shared" si="45"/>
        <v>1.486219187347204E-2</v>
      </c>
      <c r="AA27" s="172">
        <f t="shared" si="45"/>
        <v>1.4727678887705611E-2</v>
      </c>
      <c r="AB27" s="172">
        <f t="shared" si="45"/>
        <v>1.4589737993219437E-2</v>
      </c>
      <c r="AC27" s="172">
        <f t="shared" si="45"/>
        <v>1.4590207802355827E-2</v>
      </c>
      <c r="AD27" s="172">
        <f t="shared" si="45"/>
        <v>1.4590685512594138E-2</v>
      </c>
      <c r="AE27" s="172">
        <f t="shared" si="45"/>
        <v>1.4591171324941964E-2</v>
      </c>
      <c r="AF27" s="172">
        <f t="shared" si="45"/>
        <v>1.4591665447283523E-2</v>
      </c>
      <c r="AG27" s="172">
        <f t="shared" si="45"/>
        <v>1.4592168094676264E-2</v>
      </c>
      <c r="AH27" s="172">
        <f t="shared" si="45"/>
        <v>1.4570014758227683E-2</v>
      </c>
      <c r="AI27" s="172">
        <f t="shared" si="45"/>
        <v>1.4547669997595707E-2</v>
      </c>
      <c r="AJ27" s="172">
        <f t="shared" si="45"/>
        <v>1.4525131320906038E-2</v>
      </c>
      <c r="AK27" s="172">
        <f t="shared" si="45"/>
        <v>1.4502396192845103E-2</v>
      </c>
      <c r="AL27" s="172">
        <f t="shared" si="45"/>
        <v>1.447946203370931E-2</v>
      </c>
      <c r="AM27" s="184">
        <f t="shared" si="4"/>
        <v>1.447946203370931E-2</v>
      </c>
      <c r="AN27" s="184">
        <f t="shared" si="33"/>
        <v>1.447946203370931E-2</v>
      </c>
      <c r="AO27" s="184">
        <f t="shared" si="33"/>
        <v>1.447946203370931E-2</v>
      </c>
      <c r="AP27" s="184">
        <f t="shared" si="33"/>
        <v>1.447946203370931E-2</v>
      </c>
      <c r="AQ27" s="184">
        <f t="shared" si="33"/>
        <v>1.447946203370931E-2</v>
      </c>
      <c r="AR27" s="184">
        <f t="shared" si="33"/>
        <v>1.447946203370931E-2</v>
      </c>
      <c r="AS27" s="184">
        <f t="shared" si="33"/>
        <v>1.447946203370931E-2</v>
      </c>
      <c r="AT27" s="184">
        <f t="shared" si="33"/>
        <v>1.447946203370931E-2</v>
      </c>
      <c r="AU27" s="184">
        <f t="shared" si="33"/>
        <v>1.447946203370931E-2</v>
      </c>
      <c r="AV27" s="184">
        <f t="shared" si="33"/>
        <v>1.447946203370931E-2</v>
      </c>
      <c r="AW27" s="184">
        <f t="shared" si="33"/>
        <v>1.447946203370931E-2</v>
      </c>
      <c r="AX27" s="184">
        <f t="shared" si="33"/>
        <v>1.447946203370931E-2</v>
      </c>
      <c r="AY27" s="184">
        <f t="shared" si="33"/>
        <v>1.447946203370931E-2</v>
      </c>
      <c r="AZ27" s="184">
        <f t="shared" si="33"/>
        <v>1.447946203370931E-2</v>
      </c>
      <c r="BA27" s="184">
        <f t="shared" si="33"/>
        <v>1.447946203370931E-2</v>
      </c>
      <c r="BB27" s="184">
        <f t="shared" si="33"/>
        <v>1.447946203370931E-2</v>
      </c>
      <c r="BC27" s="184">
        <f t="shared" si="33"/>
        <v>1.447946203370931E-2</v>
      </c>
      <c r="BD27" s="184">
        <f t="shared" si="33"/>
        <v>1.447946203370931E-2</v>
      </c>
      <c r="BE27" s="184">
        <f t="shared" si="33"/>
        <v>1.447946203370931E-2</v>
      </c>
      <c r="BF27" s="194">
        <f t="shared" si="33"/>
        <v>1.447946203370931E-2</v>
      </c>
    </row>
    <row r="28" spans="2:58">
      <c r="B28" t="s">
        <v>646</v>
      </c>
      <c r="C28" s="109">
        <v>121804.82188138308</v>
      </c>
      <c r="D28" s="182">
        <f t="shared" ref="D28:I28" si="46">C28+($J28-$C28)/(COLUMN($J28)-COLUMN($C28))</f>
        <v>119489.07285781355</v>
      </c>
      <c r="E28" s="182">
        <f t="shared" si="46"/>
        <v>117173.32383424402</v>
      </c>
      <c r="F28" s="182">
        <f t="shared" si="46"/>
        <v>114857.57481067449</v>
      </c>
      <c r="G28" s="182">
        <f t="shared" si="46"/>
        <v>112541.82578710496</v>
      </c>
      <c r="H28" s="182">
        <f t="shared" si="46"/>
        <v>110226.07676353543</v>
      </c>
      <c r="I28" s="182">
        <f t="shared" si="46"/>
        <v>107910.3277399659</v>
      </c>
      <c r="J28" s="109">
        <v>105594.57871639635</v>
      </c>
      <c r="K28" s="183">
        <f t="shared" ref="K28:N40" si="47">J28+($O28-$J28)/(COLUMN($O28)-COLUMN($J28))</f>
        <v>104484.77742589153</v>
      </c>
      <c r="L28" s="183">
        <f t="shared" si="47"/>
        <v>103374.97613538671</v>
      </c>
      <c r="M28" s="183">
        <f t="shared" si="47"/>
        <v>102265.17484488188</v>
      </c>
      <c r="N28" s="183">
        <f t="shared" si="47"/>
        <v>101155.37355437706</v>
      </c>
      <c r="O28" s="109">
        <v>100045.57226387224</v>
      </c>
      <c r="P28" s="183">
        <f t="shared" ref="P28:S40" si="48">O28+($T28-$O28)/(COLUMN($T28)-COLUMN($O28))</f>
        <v>99414.468084077947</v>
      </c>
      <c r="Q28" s="183">
        <f t="shared" si="48"/>
        <v>98783.363904283658</v>
      </c>
      <c r="R28" s="183">
        <f t="shared" si="48"/>
        <v>98152.25972448937</v>
      </c>
      <c r="S28" s="183">
        <f t="shared" si="48"/>
        <v>97521.155544695081</v>
      </c>
      <c r="T28" s="109">
        <v>96890.051364900821</v>
      </c>
      <c r="U28" s="195"/>
      <c r="V28" t="s">
        <v>646</v>
      </c>
      <c r="W28" s="193">
        <f t="shared" ref="W28:AL28" si="49">E28/SUM(E8:E40)</f>
        <v>1.8038082444451722E-2</v>
      </c>
      <c r="X28" s="172">
        <f t="shared" si="49"/>
        <v>1.7895959163043602E-2</v>
      </c>
      <c r="Y28" s="172">
        <f t="shared" si="49"/>
        <v>1.7750347383816433E-2</v>
      </c>
      <c r="Z28" s="172">
        <f t="shared" si="49"/>
        <v>1.760111707007439E-2</v>
      </c>
      <c r="AA28" s="172">
        <f t="shared" si="49"/>
        <v>1.7448131640837184E-2</v>
      </c>
      <c r="AB28" s="172">
        <f t="shared" si="49"/>
        <v>1.7291247553906149E-2</v>
      </c>
      <c r="AC28" s="172">
        <f t="shared" si="49"/>
        <v>1.7252187692360407E-2</v>
      </c>
      <c r="AD28" s="172">
        <f t="shared" si="49"/>
        <v>1.7212470934379533E-2</v>
      </c>
      <c r="AE28" s="172">
        <f t="shared" si="49"/>
        <v>1.7172080568221434E-2</v>
      </c>
      <c r="AF28" s="172">
        <f t="shared" si="49"/>
        <v>1.7130999310423407E-2</v>
      </c>
      <c r="AG28" s="172">
        <f t="shared" si="49"/>
        <v>1.7089209281142499E-2</v>
      </c>
      <c r="AH28" s="172">
        <f t="shared" si="49"/>
        <v>1.7054459180361772E-2</v>
      </c>
      <c r="AI28" s="172">
        <f t="shared" si="49"/>
        <v>1.7019408808347399E-2</v>
      </c>
      <c r="AJ28" s="172">
        <f t="shared" si="49"/>
        <v>1.6984054256302925E-2</v>
      </c>
      <c r="AK28" s="172">
        <f t="shared" si="49"/>
        <v>1.6948391547292302E-2</v>
      </c>
      <c r="AL28" s="172">
        <f t="shared" si="49"/>
        <v>1.6912416634748559E-2</v>
      </c>
      <c r="AM28" s="184">
        <f t="shared" si="4"/>
        <v>1.6912416634748559E-2</v>
      </c>
      <c r="AN28" s="184">
        <f t="shared" si="33"/>
        <v>1.6912416634748559E-2</v>
      </c>
      <c r="AO28" s="184">
        <f t="shared" si="33"/>
        <v>1.6912416634748559E-2</v>
      </c>
      <c r="AP28" s="184">
        <f t="shared" si="33"/>
        <v>1.6912416634748559E-2</v>
      </c>
      <c r="AQ28" s="184">
        <f t="shared" si="33"/>
        <v>1.6912416634748559E-2</v>
      </c>
      <c r="AR28" s="184">
        <f t="shared" si="33"/>
        <v>1.6912416634748559E-2</v>
      </c>
      <c r="AS28" s="184">
        <f t="shared" si="33"/>
        <v>1.6912416634748559E-2</v>
      </c>
      <c r="AT28" s="184">
        <f t="shared" si="33"/>
        <v>1.6912416634748559E-2</v>
      </c>
      <c r="AU28" s="184">
        <f t="shared" si="33"/>
        <v>1.6912416634748559E-2</v>
      </c>
      <c r="AV28" s="184">
        <f t="shared" si="33"/>
        <v>1.6912416634748559E-2</v>
      </c>
      <c r="AW28" s="184">
        <f t="shared" si="33"/>
        <v>1.6912416634748559E-2</v>
      </c>
      <c r="AX28" s="184">
        <f t="shared" si="33"/>
        <v>1.6912416634748559E-2</v>
      </c>
      <c r="AY28" s="184">
        <f t="shared" si="33"/>
        <v>1.6912416634748559E-2</v>
      </c>
      <c r="AZ28" s="184">
        <f t="shared" si="33"/>
        <v>1.6912416634748559E-2</v>
      </c>
      <c r="BA28" s="184">
        <f t="shared" si="33"/>
        <v>1.6912416634748559E-2</v>
      </c>
      <c r="BB28" s="184">
        <f t="shared" si="33"/>
        <v>1.6912416634748559E-2</v>
      </c>
      <c r="BC28" s="184">
        <f t="shared" si="33"/>
        <v>1.6912416634748559E-2</v>
      </c>
      <c r="BD28" s="184">
        <f t="shared" si="33"/>
        <v>1.6912416634748559E-2</v>
      </c>
      <c r="BE28" s="184">
        <f t="shared" si="33"/>
        <v>1.6912416634748559E-2</v>
      </c>
      <c r="BF28" s="194">
        <f t="shared" si="33"/>
        <v>1.6912416634748559E-2</v>
      </c>
    </row>
    <row r="29" spans="2:58">
      <c r="B29" t="s">
        <v>647</v>
      </c>
      <c r="C29" s="109">
        <v>161593.7130028503</v>
      </c>
      <c r="D29" s="182">
        <f t="shared" ref="D29:I29" si="50">C29+($J29-$C29)/(COLUMN($J29)-COLUMN($C29))</f>
        <v>160201.50878133427</v>
      </c>
      <c r="E29" s="182">
        <f t="shared" si="50"/>
        <v>158809.30455981824</v>
      </c>
      <c r="F29" s="182">
        <f t="shared" si="50"/>
        <v>157417.1003383022</v>
      </c>
      <c r="G29" s="182">
        <f t="shared" si="50"/>
        <v>156024.89611678617</v>
      </c>
      <c r="H29" s="182">
        <f t="shared" si="50"/>
        <v>154632.69189527014</v>
      </c>
      <c r="I29" s="182">
        <f t="shared" si="50"/>
        <v>153240.48767375411</v>
      </c>
      <c r="J29" s="109">
        <v>151848.2834522381</v>
      </c>
      <c r="K29" s="183">
        <f t="shared" si="47"/>
        <v>150434.42726048958</v>
      </c>
      <c r="L29" s="183">
        <f t="shared" si="47"/>
        <v>149020.57106874106</v>
      </c>
      <c r="M29" s="183">
        <f t="shared" si="47"/>
        <v>147606.71487699254</v>
      </c>
      <c r="N29" s="183">
        <f t="shared" si="47"/>
        <v>146192.85868524402</v>
      </c>
      <c r="O29" s="109">
        <v>144779.00249349547</v>
      </c>
      <c r="P29" s="183">
        <f t="shared" si="48"/>
        <v>144050.62734434041</v>
      </c>
      <c r="Q29" s="183">
        <f t="shared" si="48"/>
        <v>143322.25219518534</v>
      </c>
      <c r="R29" s="183">
        <f t="shared" si="48"/>
        <v>142593.87704603028</v>
      </c>
      <c r="S29" s="183">
        <f t="shared" si="48"/>
        <v>141865.50189687521</v>
      </c>
      <c r="T29" s="109">
        <v>141137.12674772018</v>
      </c>
      <c r="U29" s="195"/>
      <c r="V29" t="s">
        <v>648</v>
      </c>
      <c r="W29" s="193">
        <f t="shared" ref="W29:AL29" si="51">E29/SUM(E8:E40)</f>
        <v>2.4447674904642908E-2</v>
      </c>
      <c r="X29" s="172">
        <f t="shared" si="51"/>
        <v>2.4527158995500387E-2</v>
      </c>
      <c r="Y29" s="172">
        <f t="shared" si="51"/>
        <v>2.4608594069158555E-2</v>
      </c>
      <c r="Z29" s="172">
        <f t="shared" si="51"/>
        <v>2.4692052850145332E-2</v>
      </c>
      <c r="AA29" s="172">
        <f t="shared" si="51"/>
        <v>2.4777611722955502E-2</v>
      </c>
      <c r="AB29" s="172">
        <f t="shared" si="51"/>
        <v>2.4865350965225817E-2</v>
      </c>
      <c r="AC29" s="172">
        <f t="shared" si="51"/>
        <v>2.4839244897004294E-2</v>
      </c>
      <c r="AD29" s="172">
        <f t="shared" si="51"/>
        <v>2.4812699785159178E-2</v>
      </c>
      <c r="AE29" s="172">
        <f t="shared" si="51"/>
        <v>2.4785704460222331E-2</v>
      </c>
      <c r="AF29" s="172">
        <f t="shared" si="51"/>
        <v>2.4758247370610137E-2</v>
      </c>
      <c r="AG29" s="172">
        <f t="shared" si="51"/>
        <v>2.4730316566141993E-2</v>
      </c>
      <c r="AH29" s="172">
        <f t="shared" si="51"/>
        <v>2.4711750626396207E-2</v>
      </c>
      <c r="AI29" s="172">
        <f t="shared" si="51"/>
        <v>2.4693024260709025E-2</v>
      </c>
      <c r="AJ29" s="172">
        <f t="shared" si="51"/>
        <v>2.4674135380727383E-2</v>
      </c>
      <c r="AK29" s="172">
        <f t="shared" si="51"/>
        <v>2.4655081861693271E-2</v>
      </c>
      <c r="AL29" s="172">
        <f t="shared" si="51"/>
        <v>2.4635861541646958E-2</v>
      </c>
      <c r="AM29" s="184">
        <f t="shared" si="4"/>
        <v>2.4635861541646958E-2</v>
      </c>
      <c r="AN29" s="184">
        <f t="shared" si="33"/>
        <v>2.4635861541646958E-2</v>
      </c>
      <c r="AO29" s="184">
        <f t="shared" si="33"/>
        <v>2.4635861541646958E-2</v>
      </c>
      <c r="AP29" s="184">
        <f t="shared" si="33"/>
        <v>2.4635861541646958E-2</v>
      </c>
      <c r="AQ29" s="184">
        <f t="shared" si="33"/>
        <v>2.4635861541646958E-2</v>
      </c>
      <c r="AR29" s="184">
        <f t="shared" si="33"/>
        <v>2.4635861541646958E-2</v>
      </c>
      <c r="AS29" s="184">
        <f t="shared" si="33"/>
        <v>2.4635861541646958E-2</v>
      </c>
      <c r="AT29" s="184">
        <f t="shared" si="33"/>
        <v>2.4635861541646958E-2</v>
      </c>
      <c r="AU29" s="184">
        <f t="shared" si="33"/>
        <v>2.4635861541646958E-2</v>
      </c>
      <c r="AV29" s="184">
        <f t="shared" si="33"/>
        <v>2.4635861541646958E-2</v>
      </c>
      <c r="AW29" s="184">
        <f t="shared" si="33"/>
        <v>2.4635861541646958E-2</v>
      </c>
      <c r="AX29" s="184">
        <f t="shared" si="33"/>
        <v>2.4635861541646958E-2</v>
      </c>
      <c r="AY29" s="184">
        <f t="shared" si="33"/>
        <v>2.4635861541646958E-2</v>
      </c>
      <c r="AZ29" s="184">
        <f t="shared" si="33"/>
        <v>2.4635861541646958E-2</v>
      </c>
      <c r="BA29" s="184">
        <f t="shared" si="33"/>
        <v>2.4635861541646958E-2</v>
      </c>
      <c r="BB29" s="184">
        <f t="shared" si="33"/>
        <v>2.4635861541646958E-2</v>
      </c>
      <c r="BC29" s="184">
        <f t="shared" si="33"/>
        <v>2.4635861541646958E-2</v>
      </c>
      <c r="BD29" s="184">
        <f t="shared" si="33"/>
        <v>2.4635861541646958E-2</v>
      </c>
      <c r="BE29" s="184">
        <f t="shared" si="33"/>
        <v>2.4635861541646958E-2</v>
      </c>
      <c r="BF29" s="194">
        <f t="shared" si="33"/>
        <v>2.4635861541646958E-2</v>
      </c>
    </row>
    <row r="30" spans="2:58">
      <c r="B30" t="s">
        <v>649</v>
      </c>
      <c r="C30" s="109">
        <v>170449.98579761374</v>
      </c>
      <c r="D30" s="182">
        <f t="shared" ref="D30:I30" si="52">C30+($J30-$C30)/(COLUMN($J30)-COLUMN($C30))</f>
        <v>167664.68975821548</v>
      </c>
      <c r="E30" s="182">
        <f t="shared" si="52"/>
        <v>164879.39371881721</v>
      </c>
      <c r="F30" s="182">
        <f t="shared" si="52"/>
        <v>162094.09767941895</v>
      </c>
      <c r="G30" s="182">
        <f t="shared" si="52"/>
        <v>159308.80164002068</v>
      </c>
      <c r="H30" s="182">
        <f t="shared" si="52"/>
        <v>156523.50560062242</v>
      </c>
      <c r="I30" s="182">
        <f t="shared" si="52"/>
        <v>153738.20956122415</v>
      </c>
      <c r="J30" s="109">
        <v>150952.91352182592</v>
      </c>
      <c r="K30" s="183">
        <f t="shared" si="47"/>
        <v>149880.74697406928</v>
      </c>
      <c r="L30" s="183">
        <f t="shared" si="47"/>
        <v>148808.58042631263</v>
      </c>
      <c r="M30" s="183">
        <f t="shared" si="47"/>
        <v>147736.41387855599</v>
      </c>
      <c r="N30" s="183">
        <f t="shared" si="47"/>
        <v>146664.24733079935</v>
      </c>
      <c r="O30" s="109">
        <v>145592.08078304268</v>
      </c>
      <c r="P30" s="183">
        <f t="shared" si="48"/>
        <v>144947.4103721249</v>
      </c>
      <c r="Q30" s="183">
        <f t="shared" si="48"/>
        <v>144302.73996120712</v>
      </c>
      <c r="R30" s="183">
        <f t="shared" si="48"/>
        <v>143658.06955028934</v>
      </c>
      <c r="S30" s="183">
        <f t="shared" si="48"/>
        <v>143013.39913937156</v>
      </c>
      <c r="T30" s="109">
        <v>142368.72872845375</v>
      </c>
      <c r="U30" s="195"/>
      <c r="V30" t="s">
        <v>649</v>
      </c>
      <c r="W30" s="193">
        <f t="shared" ref="W30:AL30" si="53">E30/SUM(E8:E40)</f>
        <v>2.5382126238037588E-2</v>
      </c>
      <c r="X30" s="172">
        <f t="shared" si="53"/>
        <v>2.5255881968802366E-2</v>
      </c>
      <c r="Y30" s="172">
        <f t="shared" si="53"/>
        <v>2.5126538961249733E-2</v>
      </c>
      <c r="Z30" s="172">
        <f t="shared" si="53"/>
        <v>2.4993981707297729E-2</v>
      </c>
      <c r="AA30" s="172">
        <f t="shared" si="53"/>
        <v>2.4858088885753398E-2</v>
      </c>
      <c r="AB30" s="172">
        <f t="shared" si="53"/>
        <v>2.4718732991961659E-2</v>
      </c>
      <c r="AC30" s="172">
        <f t="shared" si="53"/>
        <v>2.4747823003229783E-2</v>
      </c>
      <c r="AD30" s="172">
        <f t="shared" si="53"/>
        <v>2.4777402241134783E-2</v>
      </c>
      <c r="AE30" s="172">
        <f t="shared" si="53"/>
        <v>2.4807483151823295E-2</v>
      </c>
      <c r="AF30" s="172">
        <f t="shared" si="53"/>
        <v>2.4838078607233555E-2</v>
      </c>
      <c r="AG30" s="172">
        <f t="shared" si="53"/>
        <v>2.4869201923460732E-2</v>
      </c>
      <c r="AH30" s="172">
        <f t="shared" si="53"/>
        <v>2.4865592917520846E-2</v>
      </c>
      <c r="AI30" s="172">
        <f t="shared" si="53"/>
        <v>2.486195272661627E-2</v>
      </c>
      <c r="AJ30" s="172">
        <f t="shared" si="53"/>
        <v>2.4858280944795096E-2</v>
      </c>
      <c r="AK30" s="172">
        <f t="shared" si="53"/>
        <v>2.4854577159028717E-2</v>
      </c>
      <c r="AL30" s="172">
        <f t="shared" si="53"/>
        <v>2.4850840949056926E-2</v>
      </c>
      <c r="AM30" s="184">
        <f t="shared" si="4"/>
        <v>2.4850840949056926E-2</v>
      </c>
      <c r="AN30" s="184">
        <f t="shared" si="33"/>
        <v>2.4850840949056926E-2</v>
      </c>
      <c r="AO30" s="184">
        <f t="shared" si="33"/>
        <v>2.4850840949056926E-2</v>
      </c>
      <c r="AP30" s="184">
        <f t="shared" si="33"/>
        <v>2.4850840949056926E-2</v>
      </c>
      <c r="AQ30" s="184">
        <f t="shared" si="33"/>
        <v>2.4850840949056926E-2</v>
      </c>
      <c r="AR30" s="184">
        <f t="shared" si="33"/>
        <v>2.4850840949056926E-2</v>
      </c>
      <c r="AS30" s="184">
        <f t="shared" si="33"/>
        <v>2.4850840949056926E-2</v>
      </c>
      <c r="AT30" s="184">
        <f t="shared" si="33"/>
        <v>2.4850840949056926E-2</v>
      </c>
      <c r="AU30" s="184">
        <f t="shared" si="33"/>
        <v>2.4850840949056926E-2</v>
      </c>
      <c r="AV30" s="184">
        <f t="shared" si="33"/>
        <v>2.4850840949056926E-2</v>
      </c>
      <c r="AW30" s="184">
        <f t="shared" si="33"/>
        <v>2.4850840949056926E-2</v>
      </c>
      <c r="AX30" s="184">
        <f t="shared" si="33"/>
        <v>2.4850840949056926E-2</v>
      </c>
      <c r="AY30" s="184">
        <f t="shared" si="33"/>
        <v>2.4850840949056926E-2</v>
      </c>
      <c r="AZ30" s="184">
        <f t="shared" si="33"/>
        <v>2.4850840949056926E-2</v>
      </c>
      <c r="BA30" s="184">
        <f t="shared" si="33"/>
        <v>2.4850840949056926E-2</v>
      </c>
      <c r="BB30" s="184">
        <f t="shared" si="33"/>
        <v>2.4850840949056926E-2</v>
      </c>
      <c r="BC30" s="184">
        <f t="shared" si="33"/>
        <v>2.4850840949056926E-2</v>
      </c>
      <c r="BD30" s="184">
        <f t="shared" si="33"/>
        <v>2.4850840949056926E-2</v>
      </c>
      <c r="BE30" s="184">
        <f t="shared" si="33"/>
        <v>2.4850840949056926E-2</v>
      </c>
      <c r="BF30" s="194">
        <f t="shared" si="33"/>
        <v>2.4850840949056926E-2</v>
      </c>
    </row>
    <row r="31" spans="2:58">
      <c r="B31" t="s">
        <v>650</v>
      </c>
      <c r="C31" s="109">
        <v>157991.05256984354</v>
      </c>
      <c r="D31" s="182">
        <f t="shared" ref="D31:I31" si="54">C31+($J31-$C31)/(COLUMN($J31)-COLUMN($C31))</f>
        <v>156228.26458610609</v>
      </c>
      <c r="E31" s="182">
        <f t="shared" si="54"/>
        <v>154465.47660236864</v>
      </c>
      <c r="F31" s="182">
        <f t="shared" si="54"/>
        <v>152702.68861863119</v>
      </c>
      <c r="G31" s="182">
        <f t="shared" si="54"/>
        <v>150939.90063489374</v>
      </c>
      <c r="H31" s="182">
        <f t="shared" si="54"/>
        <v>149177.11265115629</v>
      </c>
      <c r="I31" s="182">
        <f t="shared" si="54"/>
        <v>147414.32466741884</v>
      </c>
      <c r="J31" s="109">
        <v>145651.5366836813</v>
      </c>
      <c r="K31" s="183">
        <f t="shared" si="47"/>
        <v>144765.25735303745</v>
      </c>
      <c r="L31" s="183">
        <f t="shared" si="47"/>
        <v>143878.9780223936</v>
      </c>
      <c r="M31" s="183">
        <f t="shared" si="47"/>
        <v>142992.69869174974</v>
      </c>
      <c r="N31" s="183">
        <f t="shared" si="47"/>
        <v>142106.41936110589</v>
      </c>
      <c r="O31" s="109">
        <v>141220.14003046209</v>
      </c>
      <c r="P31" s="183">
        <f t="shared" si="48"/>
        <v>140742.55316751264</v>
      </c>
      <c r="Q31" s="183">
        <f t="shared" si="48"/>
        <v>140264.96630456319</v>
      </c>
      <c r="R31" s="183">
        <f t="shared" si="48"/>
        <v>139787.37944161374</v>
      </c>
      <c r="S31" s="183">
        <f t="shared" si="48"/>
        <v>139309.79257866429</v>
      </c>
      <c r="T31" s="109">
        <v>138832.20571571478</v>
      </c>
      <c r="U31" s="195"/>
      <c r="V31" t="s">
        <v>650</v>
      </c>
      <c r="W31" s="193">
        <f t="shared" ref="W31:AL31" si="55">E31/SUM(E8:E40)</f>
        <v>2.3778970422624186E-2</v>
      </c>
      <c r="X31" s="172">
        <f t="shared" si="55"/>
        <v>2.3792606487735218E-2</v>
      </c>
      <c r="Y31" s="172">
        <f t="shared" si="55"/>
        <v>2.3806577257920101E-2</v>
      </c>
      <c r="Z31" s="172">
        <f t="shared" si="55"/>
        <v>2.3820895209592512E-2</v>
      </c>
      <c r="AA31" s="172">
        <f t="shared" si="55"/>
        <v>2.3835573447059655E-2</v>
      </c>
      <c r="AB31" s="172">
        <f t="shared" si="55"/>
        <v>2.3850625742525101E-2</v>
      </c>
      <c r="AC31" s="172">
        <f t="shared" si="55"/>
        <v>2.3903169942232849E-2</v>
      </c>
      <c r="AD31" s="172">
        <f t="shared" si="55"/>
        <v>2.3956597813723085E-2</v>
      </c>
      <c r="AE31" s="172">
        <f t="shared" si="55"/>
        <v>2.4010931838005154E-2</v>
      </c>
      <c r="AF31" s="172">
        <f t="shared" si="55"/>
        <v>2.4066195265179814E-2</v>
      </c>
      <c r="AG31" s="172">
        <f t="shared" si="55"/>
        <v>2.4122412147611901E-2</v>
      </c>
      <c r="AH31" s="172">
        <f t="shared" si="55"/>
        <v>2.4144253589982914E-2</v>
      </c>
      <c r="AI31" s="172">
        <f t="shared" si="55"/>
        <v>2.4166283761499985E-2</v>
      </c>
      <c r="AJ31" s="172">
        <f t="shared" si="55"/>
        <v>2.4188505118954592E-2</v>
      </c>
      <c r="AK31" s="172">
        <f t="shared" si="55"/>
        <v>2.4210920161965972E-2</v>
      </c>
      <c r="AL31" s="172">
        <f t="shared" si="55"/>
        <v>2.4233531433918359E-2</v>
      </c>
      <c r="AM31" s="184">
        <f t="shared" si="4"/>
        <v>2.4233531433918359E-2</v>
      </c>
      <c r="AN31" s="184">
        <f t="shared" si="33"/>
        <v>2.4233531433918359E-2</v>
      </c>
      <c r="AO31" s="184">
        <f t="shared" si="33"/>
        <v>2.4233531433918359E-2</v>
      </c>
      <c r="AP31" s="184">
        <f t="shared" si="33"/>
        <v>2.4233531433918359E-2</v>
      </c>
      <c r="AQ31" s="184">
        <f t="shared" si="33"/>
        <v>2.4233531433918359E-2</v>
      </c>
      <c r="AR31" s="184">
        <f t="shared" si="33"/>
        <v>2.4233531433918359E-2</v>
      </c>
      <c r="AS31" s="184">
        <f t="shared" si="33"/>
        <v>2.4233531433918359E-2</v>
      </c>
      <c r="AT31" s="184">
        <f t="shared" si="33"/>
        <v>2.4233531433918359E-2</v>
      </c>
      <c r="AU31" s="184">
        <f t="shared" si="33"/>
        <v>2.4233531433918359E-2</v>
      </c>
      <c r="AV31" s="184">
        <f t="shared" si="33"/>
        <v>2.4233531433918359E-2</v>
      </c>
      <c r="AW31" s="184">
        <f t="shared" si="33"/>
        <v>2.4233531433918359E-2</v>
      </c>
      <c r="AX31" s="184">
        <f t="shared" si="33"/>
        <v>2.4233531433918359E-2</v>
      </c>
      <c r="AY31" s="184">
        <f t="shared" si="33"/>
        <v>2.4233531433918359E-2</v>
      </c>
      <c r="AZ31" s="184">
        <f t="shared" si="33"/>
        <v>2.4233531433918359E-2</v>
      </c>
      <c r="BA31" s="184">
        <f t="shared" si="33"/>
        <v>2.4233531433918359E-2</v>
      </c>
      <c r="BB31" s="184">
        <f t="shared" si="33"/>
        <v>2.4233531433918359E-2</v>
      </c>
      <c r="BC31" s="184">
        <f t="shared" si="33"/>
        <v>2.4233531433918359E-2</v>
      </c>
      <c r="BD31" s="184">
        <f t="shared" si="33"/>
        <v>2.4233531433918359E-2</v>
      </c>
      <c r="BE31" s="184">
        <f t="shared" si="33"/>
        <v>2.4233531433918359E-2</v>
      </c>
      <c r="BF31" s="194">
        <f t="shared" si="33"/>
        <v>2.4233531433918359E-2</v>
      </c>
    </row>
    <row r="32" spans="2:58">
      <c r="B32" t="s">
        <v>651</v>
      </c>
      <c r="C32" s="109">
        <v>135134.8396477332</v>
      </c>
      <c r="D32" s="182">
        <f t="shared" ref="D32:I32" si="56">C32+($J32-$C32)/(COLUMN($J32)-COLUMN($C32))</f>
        <v>133659.52993745788</v>
      </c>
      <c r="E32" s="182">
        <f t="shared" si="56"/>
        <v>132184.22022718255</v>
      </c>
      <c r="F32" s="182">
        <f t="shared" si="56"/>
        <v>130708.91051690724</v>
      </c>
      <c r="G32" s="182">
        <f t="shared" si="56"/>
        <v>129233.60080663193</v>
      </c>
      <c r="H32" s="182">
        <f t="shared" si="56"/>
        <v>127758.29109635662</v>
      </c>
      <c r="I32" s="182">
        <f t="shared" si="56"/>
        <v>126282.98138608132</v>
      </c>
      <c r="J32" s="109">
        <v>124807.67167580599</v>
      </c>
      <c r="K32" s="183">
        <f t="shared" si="47"/>
        <v>123546.39257302874</v>
      </c>
      <c r="L32" s="183">
        <f t="shared" si="47"/>
        <v>122285.1134702515</v>
      </c>
      <c r="M32" s="183">
        <f t="shared" si="47"/>
        <v>121023.83436747425</v>
      </c>
      <c r="N32" s="183">
        <f t="shared" si="47"/>
        <v>119762.555264697</v>
      </c>
      <c r="O32" s="109">
        <v>118501.27616191978</v>
      </c>
      <c r="P32" s="183">
        <f t="shared" si="48"/>
        <v>117734.40673505138</v>
      </c>
      <c r="Q32" s="183">
        <f t="shared" si="48"/>
        <v>116967.53730818297</v>
      </c>
      <c r="R32" s="183">
        <f t="shared" si="48"/>
        <v>116200.66788131457</v>
      </c>
      <c r="S32" s="183">
        <f t="shared" si="48"/>
        <v>115433.79845444617</v>
      </c>
      <c r="T32" s="109">
        <v>114666.92902757773</v>
      </c>
      <c r="U32" s="195"/>
      <c r="V32" t="s">
        <v>651</v>
      </c>
      <c r="W32" s="193">
        <f t="shared" ref="W32:AL32" si="57">E32/SUM(E8:E40)</f>
        <v>2.0348913765444052E-2</v>
      </c>
      <c r="X32" s="172">
        <f t="shared" si="57"/>
        <v>2.0365755839022805E-2</v>
      </c>
      <c r="Y32" s="172">
        <f t="shared" si="57"/>
        <v>2.0383011311000222E-2</v>
      </c>
      <c r="Z32" s="172">
        <f t="shared" si="57"/>
        <v>2.0400695591149973E-2</v>
      </c>
      <c r="AA32" s="172">
        <f t="shared" si="57"/>
        <v>2.0418824864764838E-2</v>
      </c>
      <c r="AB32" s="172">
        <f t="shared" si="57"/>
        <v>2.0437416142064718E-2</v>
      </c>
      <c r="AC32" s="172">
        <f t="shared" si="57"/>
        <v>2.0399579784679309E-2</v>
      </c>
      <c r="AD32" s="172">
        <f t="shared" si="57"/>
        <v>2.0361107107365942E-2</v>
      </c>
      <c r="AE32" s="172">
        <f t="shared" si="57"/>
        <v>2.0321981921858166E-2</v>
      </c>
      <c r="AF32" s="172">
        <f t="shared" si="57"/>
        <v>2.0282187486077383E-2</v>
      </c>
      <c r="AG32" s="172">
        <f t="shared" si="57"/>
        <v>2.0241706480245678E-2</v>
      </c>
      <c r="AH32" s="172">
        <f t="shared" si="57"/>
        <v>2.0197227551314791E-2</v>
      </c>
      <c r="AI32" s="172">
        <f t="shared" si="57"/>
        <v>2.0152364285574469E-2</v>
      </c>
      <c r="AJ32" s="172">
        <f t="shared" si="57"/>
        <v>2.0107111679900251E-2</v>
      </c>
      <c r="AK32" s="172">
        <f t="shared" si="57"/>
        <v>2.0061464643951331E-2</v>
      </c>
      <c r="AL32" s="172">
        <f t="shared" si="57"/>
        <v>2.0015417998261714E-2</v>
      </c>
      <c r="AM32" s="184">
        <f t="shared" si="4"/>
        <v>2.0015417998261714E-2</v>
      </c>
      <c r="AN32" s="184">
        <f t="shared" si="33"/>
        <v>2.0015417998261714E-2</v>
      </c>
      <c r="AO32" s="184">
        <f t="shared" si="33"/>
        <v>2.0015417998261714E-2</v>
      </c>
      <c r="AP32" s="184">
        <f t="shared" si="33"/>
        <v>2.0015417998261714E-2</v>
      </c>
      <c r="AQ32" s="184">
        <f t="shared" si="33"/>
        <v>2.0015417998261714E-2</v>
      </c>
      <c r="AR32" s="184">
        <f t="shared" si="33"/>
        <v>2.0015417998261714E-2</v>
      </c>
      <c r="AS32" s="184">
        <f t="shared" si="33"/>
        <v>2.0015417998261714E-2</v>
      </c>
      <c r="AT32" s="184">
        <f t="shared" si="33"/>
        <v>2.0015417998261714E-2</v>
      </c>
      <c r="AU32" s="184">
        <f t="shared" si="33"/>
        <v>2.0015417998261714E-2</v>
      </c>
      <c r="AV32" s="184">
        <f t="shared" si="33"/>
        <v>2.0015417998261714E-2</v>
      </c>
      <c r="AW32" s="184">
        <f t="shared" si="33"/>
        <v>2.0015417998261714E-2</v>
      </c>
      <c r="AX32" s="184">
        <f t="shared" si="33"/>
        <v>2.0015417998261714E-2</v>
      </c>
      <c r="AY32" s="184">
        <f t="shared" si="33"/>
        <v>2.0015417998261714E-2</v>
      </c>
      <c r="AZ32" s="184">
        <f t="shared" si="33"/>
        <v>2.0015417998261714E-2</v>
      </c>
      <c r="BA32" s="184">
        <f t="shared" si="33"/>
        <v>2.0015417998261714E-2</v>
      </c>
      <c r="BB32" s="184">
        <f t="shared" si="33"/>
        <v>2.0015417998261714E-2</v>
      </c>
      <c r="BC32" s="184">
        <f t="shared" si="33"/>
        <v>2.0015417998261714E-2</v>
      </c>
      <c r="BD32" s="184">
        <f t="shared" si="33"/>
        <v>2.0015417998261714E-2</v>
      </c>
      <c r="BE32" s="184">
        <f t="shared" si="33"/>
        <v>2.0015417998261714E-2</v>
      </c>
      <c r="BF32" s="194">
        <f t="shared" si="33"/>
        <v>2.0015417998261714E-2</v>
      </c>
    </row>
    <row r="33" spans="2:58">
      <c r="B33" t="s">
        <v>652</v>
      </c>
      <c r="C33" s="109">
        <v>185643.43701872238</v>
      </c>
      <c r="D33" s="182">
        <f t="shared" ref="D33:I33" si="58">C33+($J33-$C33)/(COLUMN($J33)-COLUMN($C33))</f>
        <v>183862.16656649942</v>
      </c>
      <c r="E33" s="182">
        <f t="shared" si="58"/>
        <v>182080.89611427646</v>
      </c>
      <c r="F33" s="182">
        <f t="shared" si="58"/>
        <v>180299.6256620535</v>
      </c>
      <c r="G33" s="182">
        <f t="shared" si="58"/>
        <v>178518.35520983054</v>
      </c>
      <c r="H33" s="182">
        <f t="shared" si="58"/>
        <v>176737.08475760758</v>
      </c>
      <c r="I33" s="182">
        <f t="shared" si="58"/>
        <v>174955.81430538461</v>
      </c>
      <c r="J33" s="109">
        <v>173174.54385316165</v>
      </c>
      <c r="K33" s="183">
        <f t="shared" si="47"/>
        <v>172216.09297967679</v>
      </c>
      <c r="L33" s="183">
        <f t="shared" si="47"/>
        <v>171257.64210619192</v>
      </c>
      <c r="M33" s="183">
        <f t="shared" si="47"/>
        <v>170299.19123270706</v>
      </c>
      <c r="N33" s="183">
        <f t="shared" si="47"/>
        <v>169340.7403592222</v>
      </c>
      <c r="O33" s="109">
        <v>168382.2894857373</v>
      </c>
      <c r="P33" s="183">
        <f t="shared" si="48"/>
        <v>168023.53957777284</v>
      </c>
      <c r="Q33" s="183">
        <f t="shared" si="48"/>
        <v>167664.78966980838</v>
      </c>
      <c r="R33" s="183">
        <f t="shared" si="48"/>
        <v>167306.03976184392</v>
      </c>
      <c r="S33" s="183">
        <f t="shared" si="48"/>
        <v>166947.28985387945</v>
      </c>
      <c r="T33" s="109">
        <v>166588.53994591499</v>
      </c>
      <c r="U33" s="195"/>
      <c r="V33" t="s">
        <v>652</v>
      </c>
      <c r="W33" s="193">
        <f t="shared" ref="W33:AL33" si="59">E33/SUM(E8:E40)</f>
        <v>2.8030187317338025E-2</v>
      </c>
      <c r="X33" s="172">
        <f t="shared" si="59"/>
        <v>2.8092485352218016E-2</v>
      </c>
      <c r="Y33" s="172">
        <f t="shared" si="59"/>
        <v>2.8156312528253877E-2</v>
      </c>
      <c r="Z33" s="172">
        <f t="shared" si="59"/>
        <v>2.8221725845470755E-2</v>
      </c>
      <c r="AA33" s="172">
        <f t="shared" si="59"/>
        <v>2.8288785172502346E-2</v>
      </c>
      <c r="AB33" s="172">
        <f t="shared" si="59"/>
        <v>2.835755342934887E-2</v>
      </c>
      <c r="AC33" s="172">
        <f t="shared" si="59"/>
        <v>2.8435762920945174E-2</v>
      </c>
      <c r="AD33" s="172">
        <f t="shared" si="59"/>
        <v>2.8515287715110183E-2</v>
      </c>
      <c r="AE33" s="172">
        <f t="shared" si="59"/>
        <v>2.8596161273735439E-2</v>
      </c>
      <c r="AF33" s="172">
        <f t="shared" si="59"/>
        <v>2.8678418203467722E-2</v>
      </c>
      <c r="AG33" s="172">
        <f t="shared" si="59"/>
        <v>2.8762094305084952E-2</v>
      </c>
      <c r="AH33" s="172">
        <f t="shared" si="59"/>
        <v>2.8824281337456247E-2</v>
      </c>
      <c r="AI33" s="172">
        <f t="shared" si="59"/>
        <v>2.888700572012317E-2</v>
      </c>
      <c r="AJ33" s="172">
        <f t="shared" si="59"/>
        <v>2.8950274448071189E-2</v>
      </c>
      <c r="AK33" s="172">
        <f t="shared" si="59"/>
        <v>2.901409463822505E-2</v>
      </c>
      <c r="AL33" s="172">
        <f t="shared" si="59"/>
        <v>2.9078473532117437E-2</v>
      </c>
      <c r="AM33" s="184">
        <f t="shared" si="4"/>
        <v>2.9078473532117437E-2</v>
      </c>
      <c r="AN33" s="184">
        <f t="shared" si="33"/>
        <v>2.9078473532117437E-2</v>
      </c>
      <c r="AO33" s="184">
        <f t="shared" si="33"/>
        <v>2.9078473532117437E-2</v>
      </c>
      <c r="AP33" s="184">
        <f t="shared" si="33"/>
        <v>2.9078473532117437E-2</v>
      </c>
      <c r="AQ33" s="184">
        <f t="shared" si="33"/>
        <v>2.9078473532117437E-2</v>
      </c>
      <c r="AR33" s="184">
        <f t="shared" si="33"/>
        <v>2.9078473532117437E-2</v>
      </c>
      <c r="AS33" s="184">
        <f t="shared" si="33"/>
        <v>2.9078473532117437E-2</v>
      </c>
      <c r="AT33" s="184">
        <f t="shared" si="33"/>
        <v>2.9078473532117437E-2</v>
      </c>
      <c r="AU33" s="184">
        <f t="shared" si="33"/>
        <v>2.9078473532117437E-2</v>
      </c>
      <c r="AV33" s="184">
        <f t="shared" si="33"/>
        <v>2.9078473532117437E-2</v>
      </c>
      <c r="AW33" s="184">
        <f t="shared" si="33"/>
        <v>2.9078473532117437E-2</v>
      </c>
      <c r="AX33" s="184">
        <f t="shared" si="33"/>
        <v>2.9078473532117437E-2</v>
      </c>
      <c r="AY33" s="184">
        <f t="shared" si="33"/>
        <v>2.9078473532117437E-2</v>
      </c>
      <c r="AZ33" s="184">
        <f t="shared" si="33"/>
        <v>2.9078473532117437E-2</v>
      </c>
      <c r="BA33" s="184">
        <f t="shared" si="33"/>
        <v>2.9078473532117437E-2</v>
      </c>
      <c r="BB33" s="184">
        <f t="shared" si="33"/>
        <v>2.9078473532117437E-2</v>
      </c>
      <c r="BC33" s="184">
        <f t="shared" si="33"/>
        <v>2.9078473532117437E-2</v>
      </c>
      <c r="BD33" s="184">
        <f t="shared" si="33"/>
        <v>2.9078473532117437E-2</v>
      </c>
      <c r="BE33" s="184">
        <f t="shared" si="33"/>
        <v>2.9078473532117437E-2</v>
      </c>
      <c r="BF33" s="194">
        <f t="shared" si="33"/>
        <v>2.9078473532117437E-2</v>
      </c>
    </row>
    <row r="34" spans="2:58">
      <c r="B34" t="s">
        <v>653</v>
      </c>
      <c r="C34" s="109">
        <v>257870.37360172672</v>
      </c>
      <c r="D34" s="182">
        <f t="shared" ref="D34:I34" si="60">C34+($J34-$C34)/(COLUMN($J34)-COLUMN($C34))</f>
        <v>255698.98254721641</v>
      </c>
      <c r="E34" s="182">
        <f t="shared" si="60"/>
        <v>253527.59149270609</v>
      </c>
      <c r="F34" s="182">
        <f t="shared" si="60"/>
        <v>251356.20043819578</v>
      </c>
      <c r="G34" s="182">
        <f t="shared" si="60"/>
        <v>249184.80938368547</v>
      </c>
      <c r="H34" s="182">
        <f t="shared" si="60"/>
        <v>247013.41832917515</v>
      </c>
      <c r="I34" s="182">
        <f t="shared" si="60"/>
        <v>244842.02727466484</v>
      </c>
      <c r="J34" s="109">
        <v>242670.63622015444</v>
      </c>
      <c r="K34" s="183">
        <f t="shared" si="47"/>
        <v>240396.70497783451</v>
      </c>
      <c r="L34" s="183">
        <f t="shared" si="47"/>
        <v>238122.77373551458</v>
      </c>
      <c r="M34" s="183">
        <f t="shared" si="47"/>
        <v>235848.84249319465</v>
      </c>
      <c r="N34" s="183">
        <f t="shared" si="47"/>
        <v>233574.91125087472</v>
      </c>
      <c r="O34" s="109">
        <v>231300.98000855476</v>
      </c>
      <c r="P34" s="183">
        <f t="shared" si="48"/>
        <v>230209.96416744505</v>
      </c>
      <c r="Q34" s="183">
        <f t="shared" si="48"/>
        <v>229118.94832633535</v>
      </c>
      <c r="R34" s="183">
        <f t="shared" si="48"/>
        <v>228027.93248522564</v>
      </c>
      <c r="S34" s="183">
        <f t="shared" si="48"/>
        <v>226936.91664411593</v>
      </c>
      <c r="T34" s="109">
        <v>225845.90080300623</v>
      </c>
      <c r="U34" s="195"/>
      <c r="V34" t="s">
        <v>653</v>
      </c>
      <c r="W34" s="193">
        <f t="shared" ref="W34:AL34" si="61">E34/SUM(E8:E40)</f>
        <v>3.9028948293367449E-2</v>
      </c>
      <c r="X34" s="172">
        <f t="shared" si="61"/>
        <v>3.9163810535216878E-2</v>
      </c>
      <c r="Y34" s="172">
        <f t="shared" si="61"/>
        <v>3.9301983048486311E-2</v>
      </c>
      <c r="Z34" s="172">
        <f t="shared" si="61"/>
        <v>3.9443589226332378E-2</v>
      </c>
      <c r="AA34" s="172">
        <f t="shared" si="61"/>
        <v>3.9588758671850459E-2</v>
      </c>
      <c r="AB34" s="172">
        <f t="shared" si="61"/>
        <v>3.9737627593707539E-2</v>
      </c>
      <c r="AC34" s="172">
        <f t="shared" si="61"/>
        <v>3.9693524521734462E-2</v>
      </c>
      <c r="AD34" s="172">
        <f t="shared" si="61"/>
        <v>3.9648679738203511E-2</v>
      </c>
      <c r="AE34" s="172">
        <f t="shared" si="61"/>
        <v>3.9603074373637553E-2</v>
      </c>
      <c r="AF34" s="172">
        <f t="shared" si="61"/>
        <v>3.9556688913021186E-2</v>
      </c>
      <c r="AG34" s="172">
        <f t="shared" si="61"/>
        <v>3.9509503167957184E-2</v>
      </c>
      <c r="AH34" s="172">
        <f t="shared" si="61"/>
        <v>3.9492304414743801E-2</v>
      </c>
      <c r="AI34" s="172">
        <f t="shared" si="61"/>
        <v>3.9474957049275249E-2</v>
      </c>
      <c r="AJ34" s="172">
        <f t="shared" si="61"/>
        <v>3.9457459136983723E-2</v>
      </c>
      <c r="AK34" s="172">
        <f t="shared" si="61"/>
        <v>3.9439808709577348E-2</v>
      </c>
      <c r="AL34" s="172">
        <f t="shared" si="61"/>
        <v>3.9422003764302008E-2</v>
      </c>
      <c r="AM34" s="184">
        <f t="shared" si="4"/>
        <v>3.9422003764302008E-2</v>
      </c>
      <c r="AN34" s="184">
        <f t="shared" si="33"/>
        <v>3.9422003764302008E-2</v>
      </c>
      <c r="AO34" s="184">
        <f t="shared" si="33"/>
        <v>3.9422003764302008E-2</v>
      </c>
      <c r="AP34" s="184">
        <f t="shared" si="33"/>
        <v>3.9422003764302008E-2</v>
      </c>
      <c r="AQ34" s="184">
        <f t="shared" si="33"/>
        <v>3.9422003764302008E-2</v>
      </c>
      <c r="AR34" s="184">
        <f t="shared" si="33"/>
        <v>3.9422003764302008E-2</v>
      </c>
      <c r="AS34" s="184">
        <f t="shared" ref="AN34:BF42" si="62">AR34</f>
        <v>3.9422003764302008E-2</v>
      </c>
      <c r="AT34" s="184">
        <f t="shared" si="62"/>
        <v>3.9422003764302008E-2</v>
      </c>
      <c r="AU34" s="184">
        <f t="shared" si="62"/>
        <v>3.9422003764302008E-2</v>
      </c>
      <c r="AV34" s="184">
        <f t="shared" si="62"/>
        <v>3.9422003764302008E-2</v>
      </c>
      <c r="AW34" s="184">
        <f t="shared" si="62"/>
        <v>3.9422003764302008E-2</v>
      </c>
      <c r="AX34" s="184">
        <f t="shared" si="62"/>
        <v>3.9422003764302008E-2</v>
      </c>
      <c r="AY34" s="184">
        <f t="shared" si="62"/>
        <v>3.9422003764302008E-2</v>
      </c>
      <c r="AZ34" s="184">
        <f t="shared" si="62"/>
        <v>3.9422003764302008E-2</v>
      </c>
      <c r="BA34" s="184">
        <f t="shared" si="62"/>
        <v>3.9422003764302008E-2</v>
      </c>
      <c r="BB34" s="184">
        <f t="shared" si="62"/>
        <v>3.9422003764302008E-2</v>
      </c>
      <c r="BC34" s="184">
        <f t="shared" si="62"/>
        <v>3.9422003764302008E-2</v>
      </c>
      <c r="BD34" s="184">
        <f t="shared" si="62"/>
        <v>3.9422003764302008E-2</v>
      </c>
      <c r="BE34" s="184">
        <f t="shared" si="62"/>
        <v>3.9422003764302008E-2</v>
      </c>
      <c r="BF34" s="194">
        <f t="shared" si="62"/>
        <v>3.9422003764302008E-2</v>
      </c>
    </row>
    <row r="35" spans="2:58">
      <c r="B35" t="s">
        <v>654</v>
      </c>
      <c r="C35" s="109">
        <v>166771.82689148185</v>
      </c>
      <c r="D35" s="182">
        <f t="shared" ref="D35:I35" si="63">C35+($J35-$C35)/(COLUMN($J35)-COLUMN($C35))</f>
        <v>164981.25414437489</v>
      </c>
      <c r="E35" s="182">
        <f t="shared" si="63"/>
        <v>163190.68139726794</v>
      </c>
      <c r="F35" s="182">
        <f t="shared" si="63"/>
        <v>161400.10865016098</v>
      </c>
      <c r="G35" s="182">
        <f t="shared" si="63"/>
        <v>159609.53590305403</v>
      </c>
      <c r="H35" s="182">
        <f t="shared" si="63"/>
        <v>157818.96315594707</v>
      </c>
      <c r="I35" s="182">
        <f t="shared" si="63"/>
        <v>156028.39040884012</v>
      </c>
      <c r="J35" s="109">
        <v>154237.81766173313</v>
      </c>
      <c r="K35" s="183">
        <f t="shared" si="47"/>
        <v>152658.31158459824</v>
      </c>
      <c r="L35" s="183">
        <f t="shared" si="47"/>
        <v>151078.80550746334</v>
      </c>
      <c r="M35" s="183">
        <f t="shared" si="47"/>
        <v>149499.29943032845</v>
      </c>
      <c r="N35" s="183">
        <f t="shared" si="47"/>
        <v>147919.79335319356</v>
      </c>
      <c r="O35" s="109">
        <v>146340.2872760586</v>
      </c>
      <c r="P35" s="183">
        <f t="shared" si="48"/>
        <v>145467.40134925678</v>
      </c>
      <c r="Q35" s="183">
        <f t="shared" si="48"/>
        <v>144594.51542245495</v>
      </c>
      <c r="R35" s="183">
        <f t="shared" si="48"/>
        <v>143721.62949565312</v>
      </c>
      <c r="S35" s="183">
        <f t="shared" si="48"/>
        <v>142848.74356885129</v>
      </c>
      <c r="T35" s="109">
        <v>141975.85764204952</v>
      </c>
      <c r="U35" s="195"/>
      <c r="V35" t="s">
        <v>654</v>
      </c>
      <c r="W35" s="193">
        <f t="shared" ref="W35:AL35" si="64">E35/SUM(E8:E40)</f>
        <v>2.5122159796152246E-2</v>
      </c>
      <c r="X35" s="172">
        <f t="shared" si="64"/>
        <v>2.5147751535544716E-2</v>
      </c>
      <c r="Y35" s="172">
        <f t="shared" si="64"/>
        <v>2.5173971438923907E-2</v>
      </c>
      <c r="Z35" s="172">
        <f t="shared" si="64"/>
        <v>2.5200842921631765E-2</v>
      </c>
      <c r="AA35" s="172">
        <f t="shared" si="64"/>
        <v>2.5228390577421118E-2</v>
      </c>
      <c r="AB35" s="172">
        <f t="shared" si="64"/>
        <v>2.5256640253531776E-2</v>
      </c>
      <c r="AC35" s="172">
        <f t="shared" si="64"/>
        <v>2.5206445466415785E-2</v>
      </c>
      <c r="AD35" s="172">
        <f t="shared" si="64"/>
        <v>2.5155406519197485E-2</v>
      </c>
      <c r="AE35" s="172">
        <f t="shared" si="64"/>
        <v>2.5103501936062485E-2</v>
      </c>
      <c r="AF35" s="172">
        <f t="shared" si="64"/>
        <v>2.505070950649347E-2</v>
      </c>
      <c r="AG35" s="172">
        <f t="shared" si="64"/>
        <v>2.4997006253580759E-2</v>
      </c>
      <c r="AH35" s="172">
        <f t="shared" si="64"/>
        <v>2.4954796884152263E-2</v>
      </c>
      <c r="AI35" s="172">
        <f t="shared" si="64"/>
        <v>2.491222278889146E-2</v>
      </c>
      <c r="AJ35" s="172">
        <f t="shared" si="64"/>
        <v>2.4869279219960804E-2</v>
      </c>
      <c r="AK35" s="172">
        <f t="shared" si="64"/>
        <v>2.4825961346756669E-2</v>
      </c>
      <c r="AL35" s="172">
        <f t="shared" si="64"/>
        <v>2.4782264254097904E-2</v>
      </c>
      <c r="AM35" s="184">
        <f t="shared" si="4"/>
        <v>2.4782264254097904E-2</v>
      </c>
      <c r="AN35" s="184">
        <f t="shared" si="62"/>
        <v>2.4782264254097904E-2</v>
      </c>
      <c r="AO35" s="184">
        <f t="shared" si="62"/>
        <v>2.4782264254097904E-2</v>
      </c>
      <c r="AP35" s="184">
        <f t="shared" si="62"/>
        <v>2.4782264254097904E-2</v>
      </c>
      <c r="AQ35" s="184">
        <f t="shared" si="62"/>
        <v>2.4782264254097904E-2</v>
      </c>
      <c r="AR35" s="184">
        <f t="shared" si="62"/>
        <v>2.4782264254097904E-2</v>
      </c>
      <c r="AS35" s="184">
        <f t="shared" si="62"/>
        <v>2.4782264254097904E-2</v>
      </c>
      <c r="AT35" s="184">
        <f t="shared" si="62"/>
        <v>2.4782264254097904E-2</v>
      </c>
      <c r="AU35" s="184">
        <f t="shared" si="62"/>
        <v>2.4782264254097904E-2</v>
      </c>
      <c r="AV35" s="184">
        <f t="shared" si="62"/>
        <v>2.4782264254097904E-2</v>
      </c>
      <c r="AW35" s="184">
        <f t="shared" si="62"/>
        <v>2.4782264254097904E-2</v>
      </c>
      <c r="AX35" s="184">
        <f t="shared" si="62"/>
        <v>2.4782264254097904E-2</v>
      </c>
      <c r="AY35" s="184">
        <f t="shared" si="62"/>
        <v>2.4782264254097904E-2</v>
      </c>
      <c r="AZ35" s="184">
        <f t="shared" si="62"/>
        <v>2.4782264254097904E-2</v>
      </c>
      <c r="BA35" s="184">
        <f t="shared" si="62"/>
        <v>2.4782264254097904E-2</v>
      </c>
      <c r="BB35" s="184">
        <f t="shared" si="62"/>
        <v>2.4782264254097904E-2</v>
      </c>
      <c r="BC35" s="184">
        <f t="shared" si="62"/>
        <v>2.4782264254097904E-2</v>
      </c>
      <c r="BD35" s="184">
        <f t="shared" si="62"/>
        <v>2.4782264254097904E-2</v>
      </c>
      <c r="BE35" s="184">
        <f t="shared" si="62"/>
        <v>2.4782264254097904E-2</v>
      </c>
      <c r="BF35" s="194">
        <f t="shared" si="62"/>
        <v>2.4782264254097904E-2</v>
      </c>
    </row>
    <row r="36" spans="2:58">
      <c r="B36" t="s">
        <v>655</v>
      </c>
      <c r="C36" s="109">
        <v>166675.57200398605</v>
      </c>
      <c r="D36" s="182">
        <f t="shared" ref="D36:I36" si="65">C36+($J36-$C36)/(COLUMN($J36)-COLUMN($C36))</f>
        <v>164055.15737790175</v>
      </c>
      <c r="E36" s="182">
        <f t="shared" si="65"/>
        <v>161434.74275181745</v>
      </c>
      <c r="F36" s="182">
        <f t="shared" si="65"/>
        <v>158814.32812573315</v>
      </c>
      <c r="G36" s="182">
        <f t="shared" si="65"/>
        <v>156193.91349964886</v>
      </c>
      <c r="H36" s="182">
        <f t="shared" si="65"/>
        <v>153573.49887356456</v>
      </c>
      <c r="I36" s="182">
        <f t="shared" si="65"/>
        <v>150953.08424748026</v>
      </c>
      <c r="J36" s="109">
        <v>148332.66962139599</v>
      </c>
      <c r="K36" s="183">
        <f t="shared" si="47"/>
        <v>147522.16604546018</v>
      </c>
      <c r="L36" s="183">
        <f t="shared" si="47"/>
        <v>146711.66246952437</v>
      </c>
      <c r="M36" s="183">
        <f t="shared" si="47"/>
        <v>145901.15889358855</v>
      </c>
      <c r="N36" s="183">
        <f t="shared" si="47"/>
        <v>145090.65531765274</v>
      </c>
      <c r="O36" s="109">
        <v>144280.15174171687</v>
      </c>
      <c r="P36" s="183">
        <f t="shared" si="48"/>
        <v>143825.54653314903</v>
      </c>
      <c r="Q36" s="183">
        <f t="shared" si="48"/>
        <v>143370.94132458119</v>
      </c>
      <c r="R36" s="183">
        <f t="shared" si="48"/>
        <v>142916.33611601335</v>
      </c>
      <c r="S36" s="183">
        <f t="shared" si="48"/>
        <v>142461.73090744551</v>
      </c>
      <c r="T36" s="109">
        <v>142007.12569887773</v>
      </c>
      <c r="U36" s="195"/>
      <c r="V36" t="s">
        <v>655</v>
      </c>
      <c r="W36" s="193">
        <f t="shared" ref="W36:AL36" si="66">E36/SUM(E8:E40)</f>
        <v>2.4851844292438779E-2</v>
      </c>
      <c r="X36" s="172">
        <f t="shared" si="66"/>
        <v>2.4744861062312704E-2</v>
      </c>
      <c r="Y36" s="172">
        <f t="shared" si="66"/>
        <v>2.4635251867170395E-2</v>
      </c>
      <c r="Z36" s="172">
        <f t="shared" si="66"/>
        <v>2.4522918821953076E-2</v>
      </c>
      <c r="AA36" s="172">
        <f t="shared" si="66"/>
        <v>2.4407759115395063E-2</v>
      </c>
      <c r="AB36" s="172">
        <f t="shared" si="66"/>
        <v>2.4289664696176969E-2</v>
      </c>
      <c r="AC36" s="172">
        <f t="shared" si="66"/>
        <v>2.435838176719091E-2</v>
      </c>
      <c r="AD36" s="172">
        <f t="shared" si="66"/>
        <v>2.4428254500237348E-2</v>
      </c>
      <c r="AE36" s="172">
        <f t="shared" si="66"/>
        <v>2.4499312295880461E-2</v>
      </c>
      <c r="AF36" s="172">
        <f t="shared" si="66"/>
        <v>2.4571585560498758E-2</v>
      </c>
      <c r="AG36" s="172">
        <f t="shared" si="66"/>
        <v>2.4645105749668127E-2</v>
      </c>
      <c r="AH36" s="172">
        <f t="shared" si="66"/>
        <v>2.4673138223385613E-2</v>
      </c>
      <c r="AI36" s="172">
        <f t="shared" si="66"/>
        <v>2.4701412922169406E-2</v>
      </c>
      <c r="AJ36" s="172">
        <f t="shared" si="66"/>
        <v>2.4729932999196916E-2</v>
      </c>
      <c r="AK36" s="172">
        <f t="shared" si="66"/>
        <v>2.4758701662612969E-2</v>
      </c>
      <c r="AL36" s="172">
        <f t="shared" si="66"/>
        <v>2.4787722176732769E-2</v>
      </c>
      <c r="AM36" s="184">
        <f t="shared" si="4"/>
        <v>2.4787722176732769E-2</v>
      </c>
      <c r="AN36" s="184">
        <f t="shared" si="62"/>
        <v>2.4787722176732769E-2</v>
      </c>
      <c r="AO36" s="184">
        <f t="shared" si="62"/>
        <v>2.4787722176732769E-2</v>
      </c>
      <c r="AP36" s="184">
        <f t="shared" si="62"/>
        <v>2.4787722176732769E-2</v>
      </c>
      <c r="AQ36" s="184">
        <f t="shared" si="62"/>
        <v>2.4787722176732769E-2</v>
      </c>
      <c r="AR36" s="184">
        <f t="shared" si="62"/>
        <v>2.4787722176732769E-2</v>
      </c>
      <c r="AS36" s="184">
        <f t="shared" si="62"/>
        <v>2.4787722176732769E-2</v>
      </c>
      <c r="AT36" s="184">
        <f t="shared" si="62"/>
        <v>2.4787722176732769E-2</v>
      </c>
      <c r="AU36" s="184">
        <f t="shared" si="62"/>
        <v>2.4787722176732769E-2</v>
      </c>
      <c r="AV36" s="184">
        <f t="shared" si="62"/>
        <v>2.4787722176732769E-2</v>
      </c>
      <c r="AW36" s="184">
        <f t="shared" si="62"/>
        <v>2.4787722176732769E-2</v>
      </c>
      <c r="AX36" s="184">
        <f t="shared" si="62"/>
        <v>2.4787722176732769E-2</v>
      </c>
      <c r="AY36" s="184">
        <f t="shared" si="62"/>
        <v>2.4787722176732769E-2</v>
      </c>
      <c r="AZ36" s="184">
        <f t="shared" si="62"/>
        <v>2.4787722176732769E-2</v>
      </c>
      <c r="BA36" s="184">
        <f t="shared" si="62"/>
        <v>2.4787722176732769E-2</v>
      </c>
      <c r="BB36" s="184">
        <f t="shared" si="62"/>
        <v>2.4787722176732769E-2</v>
      </c>
      <c r="BC36" s="184">
        <f t="shared" si="62"/>
        <v>2.4787722176732769E-2</v>
      </c>
      <c r="BD36" s="184">
        <f t="shared" si="62"/>
        <v>2.4787722176732769E-2</v>
      </c>
      <c r="BE36" s="184">
        <f t="shared" si="62"/>
        <v>2.4787722176732769E-2</v>
      </c>
      <c r="BF36" s="194">
        <f t="shared" si="62"/>
        <v>2.4787722176732769E-2</v>
      </c>
    </row>
    <row r="37" spans="2:58">
      <c r="B37" t="s">
        <v>656</v>
      </c>
      <c r="C37" s="109">
        <v>115044.50802061586</v>
      </c>
      <c r="D37" s="182">
        <f t="shared" ref="D37:I37" si="67">C37+($J37-$C37)/(COLUMN($J37)-COLUMN($C37))</f>
        <v>113821.74235607572</v>
      </c>
      <c r="E37" s="182">
        <f t="shared" si="67"/>
        <v>112598.97669153557</v>
      </c>
      <c r="F37" s="182">
        <f t="shared" si="67"/>
        <v>111376.21102699543</v>
      </c>
      <c r="G37" s="182">
        <f t="shared" si="67"/>
        <v>110153.44536245528</v>
      </c>
      <c r="H37" s="182">
        <f t="shared" si="67"/>
        <v>108930.67969791514</v>
      </c>
      <c r="I37" s="182">
        <f t="shared" si="67"/>
        <v>107707.914033375</v>
      </c>
      <c r="J37" s="109">
        <v>106485.14836883484</v>
      </c>
      <c r="K37" s="183">
        <f t="shared" si="47"/>
        <v>105353.92050548353</v>
      </c>
      <c r="L37" s="183">
        <f t="shared" si="47"/>
        <v>104222.69264213223</v>
      </c>
      <c r="M37" s="183">
        <f t="shared" si="47"/>
        <v>103091.46477878092</v>
      </c>
      <c r="N37" s="183">
        <f t="shared" si="47"/>
        <v>101960.23691542962</v>
      </c>
      <c r="O37" s="109">
        <v>100829.0090520783</v>
      </c>
      <c r="P37" s="183">
        <f t="shared" si="48"/>
        <v>100221.97116626186</v>
      </c>
      <c r="Q37" s="183">
        <f t="shared" si="48"/>
        <v>99614.933280445432</v>
      </c>
      <c r="R37" s="183">
        <f t="shared" si="48"/>
        <v>99007.895394628998</v>
      </c>
      <c r="S37" s="183">
        <f t="shared" si="48"/>
        <v>98400.857508812565</v>
      </c>
      <c r="T37" s="109">
        <v>97793.819622996161</v>
      </c>
      <c r="U37" s="195"/>
      <c r="V37" t="s">
        <v>656</v>
      </c>
      <c r="W37" s="193">
        <f t="shared" ref="W37:AL37" si="68">E37/SUM(E8:E40)</f>
        <v>1.7333891010858516E-2</v>
      </c>
      <c r="X37" s="172">
        <f t="shared" si="68"/>
        <v>1.7353527858820824E-2</v>
      </c>
      <c r="Y37" s="172">
        <f t="shared" si="68"/>
        <v>1.7373646704529105E-2</v>
      </c>
      <c r="Z37" s="172">
        <f t="shared" si="68"/>
        <v>1.7394265514855508E-2</v>
      </c>
      <c r="AA37" s="172">
        <f t="shared" si="68"/>
        <v>1.741540316088095E-2</v>
      </c>
      <c r="AB37" s="172">
        <f t="shared" si="68"/>
        <v>1.7437079475501941E-2</v>
      </c>
      <c r="AC37" s="172">
        <f t="shared" si="68"/>
        <v>1.7395697779763072E-2</v>
      </c>
      <c r="AD37" s="172">
        <f t="shared" si="68"/>
        <v>1.7353620139713727E-2</v>
      </c>
      <c r="AE37" s="172">
        <f t="shared" si="68"/>
        <v>1.7310828850216228E-2</v>
      </c>
      <c r="AF37" s="172">
        <f t="shared" si="68"/>
        <v>1.726730560042751E-2</v>
      </c>
      <c r="AG37" s="172">
        <f t="shared" si="68"/>
        <v>1.7223031447673641E-2</v>
      </c>
      <c r="AH37" s="172">
        <f t="shared" si="68"/>
        <v>1.719298558017588E-2</v>
      </c>
      <c r="AI37" s="172">
        <f t="shared" si="68"/>
        <v>1.7162680090130361E-2</v>
      </c>
      <c r="AJ37" s="172">
        <f t="shared" si="68"/>
        <v>1.713211159788702E-2</v>
      </c>
      <c r="AK37" s="172">
        <f t="shared" si="68"/>
        <v>1.7101276664880476E-2</v>
      </c>
      <c r="AL37" s="172">
        <f t="shared" si="68"/>
        <v>1.7070171792340584E-2</v>
      </c>
      <c r="AM37" s="184">
        <f t="shared" si="4"/>
        <v>1.7070171792340584E-2</v>
      </c>
      <c r="AN37" s="184">
        <f t="shared" si="62"/>
        <v>1.7070171792340584E-2</v>
      </c>
      <c r="AO37" s="184">
        <f t="shared" si="62"/>
        <v>1.7070171792340584E-2</v>
      </c>
      <c r="AP37" s="184">
        <f t="shared" si="62"/>
        <v>1.7070171792340584E-2</v>
      </c>
      <c r="AQ37" s="184">
        <f t="shared" si="62"/>
        <v>1.7070171792340584E-2</v>
      </c>
      <c r="AR37" s="184">
        <f t="shared" si="62"/>
        <v>1.7070171792340584E-2</v>
      </c>
      <c r="AS37" s="184">
        <f t="shared" si="62"/>
        <v>1.7070171792340584E-2</v>
      </c>
      <c r="AT37" s="184">
        <f t="shared" si="62"/>
        <v>1.7070171792340584E-2</v>
      </c>
      <c r="AU37" s="184">
        <f t="shared" si="62"/>
        <v>1.7070171792340584E-2</v>
      </c>
      <c r="AV37" s="184">
        <f t="shared" si="62"/>
        <v>1.7070171792340584E-2</v>
      </c>
      <c r="AW37" s="184">
        <f t="shared" si="62"/>
        <v>1.7070171792340584E-2</v>
      </c>
      <c r="AX37" s="184">
        <f t="shared" si="62"/>
        <v>1.7070171792340584E-2</v>
      </c>
      <c r="AY37" s="184">
        <f t="shared" si="62"/>
        <v>1.7070171792340584E-2</v>
      </c>
      <c r="AZ37" s="184">
        <f t="shared" si="62"/>
        <v>1.7070171792340584E-2</v>
      </c>
      <c r="BA37" s="184">
        <f t="shared" si="62"/>
        <v>1.7070171792340584E-2</v>
      </c>
      <c r="BB37" s="184">
        <f t="shared" si="62"/>
        <v>1.7070171792340584E-2</v>
      </c>
      <c r="BC37" s="184">
        <f t="shared" si="62"/>
        <v>1.7070171792340584E-2</v>
      </c>
      <c r="BD37" s="184">
        <f t="shared" si="62"/>
        <v>1.7070171792340584E-2</v>
      </c>
      <c r="BE37" s="184">
        <f t="shared" si="62"/>
        <v>1.7070171792340584E-2</v>
      </c>
      <c r="BF37" s="194">
        <f t="shared" si="62"/>
        <v>1.7070171792340584E-2</v>
      </c>
    </row>
    <row r="38" spans="2:58">
      <c r="B38" t="s">
        <v>657</v>
      </c>
      <c r="C38" s="109">
        <v>162696.55757004381</v>
      </c>
      <c r="D38" s="182">
        <f t="shared" ref="D38:I38" si="69">C38+($J38-$C38)/(COLUMN($J38)-COLUMN($C38))</f>
        <v>161501.07156649773</v>
      </c>
      <c r="E38" s="182">
        <f t="shared" si="69"/>
        <v>160305.58556295166</v>
      </c>
      <c r="F38" s="182">
        <f t="shared" si="69"/>
        <v>159110.09955940559</v>
      </c>
      <c r="G38" s="182">
        <f t="shared" si="69"/>
        <v>157914.61355585951</v>
      </c>
      <c r="H38" s="182">
        <f t="shared" si="69"/>
        <v>156719.12755231344</v>
      </c>
      <c r="I38" s="182">
        <f t="shared" si="69"/>
        <v>155523.64154876737</v>
      </c>
      <c r="J38" s="109">
        <v>154328.15554522132</v>
      </c>
      <c r="K38" s="183">
        <f t="shared" si="47"/>
        <v>153640.82440575838</v>
      </c>
      <c r="L38" s="183">
        <f t="shared" si="47"/>
        <v>152953.49326629544</v>
      </c>
      <c r="M38" s="183">
        <f t="shared" si="47"/>
        <v>152266.1621268325</v>
      </c>
      <c r="N38" s="183">
        <f t="shared" si="47"/>
        <v>151578.83098736955</v>
      </c>
      <c r="O38" s="109">
        <v>150891.49984790658</v>
      </c>
      <c r="P38" s="183">
        <f t="shared" si="48"/>
        <v>150548.29279899102</v>
      </c>
      <c r="Q38" s="183">
        <f t="shared" si="48"/>
        <v>150205.08575007546</v>
      </c>
      <c r="R38" s="183">
        <f t="shared" si="48"/>
        <v>149861.87870115991</v>
      </c>
      <c r="S38" s="183">
        <f t="shared" si="48"/>
        <v>149518.67165224435</v>
      </c>
      <c r="T38" s="109">
        <v>149175.46460332876</v>
      </c>
      <c r="U38" s="195"/>
      <c r="V38" t="s">
        <v>657</v>
      </c>
      <c r="W38" s="193">
        <f t="shared" ref="W38:AL38" si="70">E38/SUM(E8:E40)</f>
        <v>2.4678017778015419E-2</v>
      </c>
      <c r="X38" s="172">
        <f t="shared" si="70"/>
        <v>2.4790945210505122E-2</v>
      </c>
      <c r="Y38" s="172">
        <f t="shared" si="70"/>
        <v>2.49066445118825E-2</v>
      </c>
      <c r="Z38" s="172">
        <f t="shared" si="70"/>
        <v>2.5025219005896108E-2</v>
      </c>
      <c r="AA38" s="172">
        <f t="shared" si="70"/>
        <v>2.5146777216211297E-2</v>
      </c>
      <c r="AB38" s="172">
        <f t="shared" si="70"/>
        <v>2.5271433197694992E-2</v>
      </c>
      <c r="AC38" s="172">
        <f t="shared" si="70"/>
        <v>2.5368674797983517E-2</v>
      </c>
      <c r="AD38" s="172">
        <f t="shared" si="70"/>
        <v>2.5467551776843535E-2</v>
      </c>
      <c r="AE38" s="172">
        <f t="shared" si="70"/>
        <v>2.5568105739044705E-2</v>
      </c>
      <c r="AF38" s="172">
        <f t="shared" si="70"/>
        <v>2.5670379712685598E-2</v>
      </c>
      <c r="AG38" s="172">
        <f t="shared" si="70"/>
        <v>2.5774418210585109E-2</v>
      </c>
      <c r="AH38" s="172">
        <f t="shared" si="70"/>
        <v>2.5826419068521417E-2</v>
      </c>
      <c r="AI38" s="172">
        <f t="shared" si="70"/>
        <v>2.5878869259306065E-2</v>
      </c>
      <c r="AJ38" s="172">
        <f t="shared" si="70"/>
        <v>2.593177463215281E-2</v>
      </c>
      <c r="AK38" s="172">
        <f t="shared" si="70"/>
        <v>2.5985141138241161E-2</v>
      </c>
      <c r="AL38" s="172">
        <f t="shared" si="70"/>
        <v>2.6038974832947901E-2</v>
      </c>
      <c r="AM38" s="184">
        <f t="shared" si="4"/>
        <v>2.6038974832947901E-2</v>
      </c>
      <c r="AN38" s="184">
        <f t="shared" si="62"/>
        <v>2.6038974832947901E-2</v>
      </c>
      <c r="AO38" s="184">
        <f t="shared" si="62"/>
        <v>2.6038974832947901E-2</v>
      </c>
      <c r="AP38" s="184">
        <f t="shared" si="62"/>
        <v>2.6038974832947901E-2</v>
      </c>
      <c r="AQ38" s="184">
        <f t="shared" si="62"/>
        <v>2.6038974832947901E-2</v>
      </c>
      <c r="AR38" s="184">
        <f t="shared" si="62"/>
        <v>2.6038974832947901E-2</v>
      </c>
      <c r="AS38" s="184">
        <f t="shared" si="62"/>
        <v>2.6038974832947901E-2</v>
      </c>
      <c r="AT38" s="184">
        <f t="shared" si="62"/>
        <v>2.6038974832947901E-2</v>
      </c>
      <c r="AU38" s="184">
        <f t="shared" si="62"/>
        <v>2.6038974832947901E-2</v>
      </c>
      <c r="AV38" s="184">
        <f t="shared" si="62"/>
        <v>2.6038974832947901E-2</v>
      </c>
      <c r="AW38" s="184">
        <f t="shared" si="62"/>
        <v>2.6038974832947901E-2</v>
      </c>
      <c r="AX38" s="184">
        <f t="shared" si="62"/>
        <v>2.6038974832947901E-2</v>
      </c>
      <c r="AY38" s="184">
        <f t="shared" si="62"/>
        <v>2.6038974832947901E-2</v>
      </c>
      <c r="AZ38" s="184">
        <f t="shared" si="62"/>
        <v>2.6038974832947901E-2</v>
      </c>
      <c r="BA38" s="184">
        <f t="shared" si="62"/>
        <v>2.6038974832947901E-2</v>
      </c>
      <c r="BB38" s="184">
        <f t="shared" si="62"/>
        <v>2.6038974832947901E-2</v>
      </c>
      <c r="BC38" s="184">
        <f t="shared" si="62"/>
        <v>2.6038974832947901E-2</v>
      </c>
      <c r="BD38" s="184">
        <f t="shared" si="62"/>
        <v>2.6038974832947901E-2</v>
      </c>
      <c r="BE38" s="184">
        <f t="shared" si="62"/>
        <v>2.6038974832947901E-2</v>
      </c>
      <c r="BF38" s="194">
        <f t="shared" si="62"/>
        <v>2.6038974832947901E-2</v>
      </c>
    </row>
    <row r="39" spans="2:58">
      <c r="B39" t="s">
        <v>658</v>
      </c>
      <c r="C39" s="109">
        <v>181480.95861143409</v>
      </c>
      <c r="D39" s="182">
        <f t="shared" ref="D39:I39" si="71">C39+($J39-$C39)/(COLUMN($J39)-COLUMN($C39))</f>
        <v>179579.24365251916</v>
      </c>
      <c r="E39" s="182">
        <f t="shared" si="71"/>
        <v>177677.52869360422</v>
      </c>
      <c r="F39" s="182">
        <f t="shared" si="71"/>
        <v>175775.81373468929</v>
      </c>
      <c r="G39" s="182">
        <f t="shared" si="71"/>
        <v>173874.09877577436</v>
      </c>
      <c r="H39" s="182">
        <f t="shared" si="71"/>
        <v>171972.38381685942</v>
      </c>
      <c r="I39" s="182">
        <f t="shared" si="71"/>
        <v>170070.66885794449</v>
      </c>
      <c r="J39" s="109">
        <v>168168.95389902947</v>
      </c>
      <c r="K39" s="183">
        <f t="shared" si="47"/>
        <v>166563.35184932142</v>
      </c>
      <c r="L39" s="183">
        <f t="shared" si="47"/>
        <v>164957.74979961338</v>
      </c>
      <c r="M39" s="183">
        <f t="shared" si="47"/>
        <v>163352.14774990533</v>
      </c>
      <c r="N39" s="183">
        <f t="shared" si="47"/>
        <v>161746.54570019728</v>
      </c>
      <c r="O39" s="109">
        <v>160140.94365048918</v>
      </c>
      <c r="P39" s="183">
        <f t="shared" si="48"/>
        <v>159306.37634887794</v>
      </c>
      <c r="Q39" s="183">
        <f t="shared" si="48"/>
        <v>158471.8090472667</v>
      </c>
      <c r="R39" s="183">
        <f t="shared" si="48"/>
        <v>157637.24174565545</v>
      </c>
      <c r="S39" s="183">
        <f t="shared" si="48"/>
        <v>156802.67444404421</v>
      </c>
      <c r="T39" s="109">
        <v>155968.10714243291</v>
      </c>
      <c r="U39" s="195"/>
      <c r="V39" t="s">
        <v>658</v>
      </c>
      <c r="W39" s="193">
        <f t="shared" ref="W39:AL39" si="72">E39/SUM(E8:E40)</f>
        <v>2.7352317116440938E-2</v>
      </c>
      <c r="X39" s="172">
        <f t="shared" si="72"/>
        <v>2.7387630198808705E-2</v>
      </c>
      <c r="Y39" s="172">
        <f t="shared" si="72"/>
        <v>2.7423810061126961E-2</v>
      </c>
      <c r="Z39" s="172">
        <f t="shared" si="72"/>
        <v>2.7460889013348783E-2</v>
      </c>
      <c r="AA39" s="172">
        <f t="shared" si="72"/>
        <v>2.7498900991472255E-2</v>
      </c>
      <c r="AB39" s="172">
        <f t="shared" si="72"/>
        <v>2.7537881661135209E-2</v>
      </c>
      <c r="AC39" s="172">
        <f t="shared" si="72"/>
        <v>2.7502400632583249E-2</v>
      </c>
      <c r="AD39" s="172">
        <f t="shared" si="72"/>
        <v>2.7466322895280976E-2</v>
      </c>
      <c r="AE39" s="172">
        <f t="shared" si="72"/>
        <v>2.7429633268688181E-2</v>
      </c>
      <c r="AF39" s="172">
        <f t="shared" si="72"/>
        <v>2.7392316052927568E-2</v>
      </c>
      <c r="AG39" s="172">
        <f t="shared" si="72"/>
        <v>2.7354355006384515E-2</v>
      </c>
      <c r="AH39" s="172">
        <f t="shared" si="72"/>
        <v>2.7328860124419058E-2</v>
      </c>
      <c r="AI39" s="172">
        <f t="shared" si="72"/>
        <v>2.7303144944397267E-2</v>
      </c>
      <c r="AJ39" s="172">
        <f t="shared" si="72"/>
        <v>2.7277206598577689E-2</v>
      </c>
      <c r="AK39" s="172">
        <f t="shared" si="72"/>
        <v>2.7251042169227354E-2</v>
      </c>
      <c r="AL39" s="172">
        <f t="shared" si="72"/>
        <v>2.7224648687527588E-2</v>
      </c>
      <c r="AM39" s="184">
        <f t="shared" si="4"/>
        <v>2.7224648687527588E-2</v>
      </c>
      <c r="AN39" s="184">
        <f t="shared" si="62"/>
        <v>2.7224648687527588E-2</v>
      </c>
      <c r="AO39" s="184">
        <f t="shared" si="62"/>
        <v>2.7224648687527588E-2</v>
      </c>
      <c r="AP39" s="184">
        <f t="shared" si="62"/>
        <v>2.7224648687527588E-2</v>
      </c>
      <c r="AQ39" s="184">
        <f t="shared" si="62"/>
        <v>2.7224648687527588E-2</v>
      </c>
      <c r="AR39" s="184">
        <f t="shared" si="62"/>
        <v>2.7224648687527588E-2</v>
      </c>
      <c r="AS39" s="184">
        <f t="shared" si="62"/>
        <v>2.7224648687527588E-2</v>
      </c>
      <c r="AT39" s="184">
        <f t="shared" si="62"/>
        <v>2.7224648687527588E-2</v>
      </c>
      <c r="AU39" s="184">
        <f t="shared" si="62"/>
        <v>2.7224648687527588E-2</v>
      </c>
      <c r="AV39" s="184">
        <f t="shared" si="62"/>
        <v>2.7224648687527588E-2</v>
      </c>
      <c r="AW39" s="184">
        <f t="shared" si="62"/>
        <v>2.7224648687527588E-2</v>
      </c>
      <c r="AX39" s="184">
        <f t="shared" si="62"/>
        <v>2.7224648687527588E-2</v>
      </c>
      <c r="AY39" s="184">
        <f t="shared" si="62"/>
        <v>2.7224648687527588E-2</v>
      </c>
      <c r="AZ39" s="184">
        <f t="shared" si="62"/>
        <v>2.7224648687527588E-2</v>
      </c>
      <c r="BA39" s="184">
        <f t="shared" si="62"/>
        <v>2.7224648687527588E-2</v>
      </c>
      <c r="BB39" s="184">
        <f t="shared" si="62"/>
        <v>2.7224648687527588E-2</v>
      </c>
      <c r="BC39" s="184">
        <f t="shared" si="62"/>
        <v>2.7224648687527588E-2</v>
      </c>
      <c r="BD39" s="184">
        <f t="shared" si="62"/>
        <v>2.7224648687527588E-2</v>
      </c>
      <c r="BE39" s="184">
        <f t="shared" si="62"/>
        <v>2.7224648687527588E-2</v>
      </c>
      <c r="BF39" s="194">
        <f t="shared" si="62"/>
        <v>2.7224648687527588E-2</v>
      </c>
    </row>
    <row r="40" spans="2:58">
      <c r="B40" t="s">
        <v>659</v>
      </c>
      <c r="C40" s="109">
        <v>174823.79827254699</v>
      </c>
      <c r="D40" s="182">
        <f t="shared" ref="D40:I40" si="73">C40+($J40-$C40)/(COLUMN($J40)-COLUMN($C40))</f>
        <v>172525.20629250139</v>
      </c>
      <c r="E40" s="182">
        <f t="shared" si="73"/>
        <v>170226.61431245579</v>
      </c>
      <c r="F40" s="182">
        <f t="shared" si="73"/>
        <v>167928.02233241018</v>
      </c>
      <c r="G40" s="182">
        <f t="shared" si="73"/>
        <v>165629.43035236458</v>
      </c>
      <c r="H40" s="182">
        <f t="shared" si="73"/>
        <v>163330.83837231898</v>
      </c>
      <c r="I40" s="182">
        <f t="shared" si="73"/>
        <v>161032.24639227337</v>
      </c>
      <c r="J40" s="109">
        <v>158733.65441222774</v>
      </c>
      <c r="K40" s="183">
        <f t="shared" si="47"/>
        <v>157577.74143551401</v>
      </c>
      <c r="L40" s="183">
        <f t="shared" si="47"/>
        <v>156421.82845880027</v>
      </c>
      <c r="M40" s="183">
        <f t="shared" si="47"/>
        <v>155265.91548208654</v>
      </c>
      <c r="N40" s="183">
        <f t="shared" si="47"/>
        <v>154110.0025053728</v>
      </c>
      <c r="O40" s="109">
        <v>152954.08952865904</v>
      </c>
      <c r="P40" s="183">
        <f t="shared" si="48"/>
        <v>152288.54988711487</v>
      </c>
      <c r="Q40" s="183">
        <f t="shared" si="48"/>
        <v>151623.01024557071</v>
      </c>
      <c r="R40" s="183">
        <f t="shared" si="48"/>
        <v>150957.47060402654</v>
      </c>
      <c r="S40" s="183">
        <f t="shared" si="48"/>
        <v>150291.93096248238</v>
      </c>
      <c r="T40" s="109">
        <v>149626.39132093822</v>
      </c>
      <c r="U40" s="195"/>
      <c r="V40" t="s">
        <v>659</v>
      </c>
      <c r="W40" s="193">
        <f>E40/SUM(E$8:E$40)</f>
        <v>2.6205296587401134E-2</v>
      </c>
      <c r="X40" s="172">
        <f t="shared" ref="X40:AL40" si="74">F40/SUM(F8:F40)</f>
        <v>2.6164865790916824E-2</v>
      </c>
      <c r="Y40" s="172">
        <f t="shared" si="74"/>
        <v>2.6123442597240712E-2</v>
      </c>
      <c r="Z40" s="172">
        <f t="shared" si="74"/>
        <v>2.6080990013931233E-2</v>
      </c>
      <c r="AA40" s="172">
        <f t="shared" si="74"/>
        <v>2.6037469186848773E-2</v>
      </c>
      <c r="AB40" s="172">
        <f t="shared" si="74"/>
        <v>2.5992839281547598E-2</v>
      </c>
      <c r="AC40" s="172">
        <f t="shared" si="74"/>
        <v>2.6018725773827994E-2</v>
      </c>
      <c r="AD40" s="172">
        <f t="shared" si="74"/>
        <v>2.6045047616973065E-2</v>
      </c>
      <c r="AE40" s="172">
        <f t="shared" si="74"/>
        <v>2.6071815886505458E-2</v>
      </c>
      <c r="AF40" s="172">
        <f t="shared" si="74"/>
        <v>2.6099042036849401E-2</v>
      </c>
      <c r="AG40" s="172">
        <f t="shared" si="74"/>
        <v>2.6126737917673556E-2</v>
      </c>
      <c r="AH40" s="172">
        <f t="shared" si="74"/>
        <v>2.6124958547178015E-2</v>
      </c>
      <c r="AI40" s="172">
        <f t="shared" si="74"/>
        <v>2.6123163801366672E-2</v>
      </c>
      <c r="AJ40" s="172">
        <f t="shared" si="74"/>
        <v>2.6121353480090537E-2</v>
      </c>
      <c r="AK40" s="172">
        <f t="shared" si="74"/>
        <v>2.6119527379711578E-2</v>
      </c>
      <c r="AL40" s="172">
        <f t="shared" si="74"/>
        <v>2.6117685293026299E-2</v>
      </c>
      <c r="AM40" s="184">
        <f t="shared" si="4"/>
        <v>2.6117685293026299E-2</v>
      </c>
      <c r="AN40" s="184">
        <f t="shared" si="62"/>
        <v>2.6117685293026299E-2</v>
      </c>
      <c r="AO40" s="184">
        <f t="shared" si="62"/>
        <v>2.6117685293026299E-2</v>
      </c>
      <c r="AP40" s="184">
        <f t="shared" si="62"/>
        <v>2.6117685293026299E-2</v>
      </c>
      <c r="AQ40" s="184">
        <f t="shared" si="62"/>
        <v>2.6117685293026299E-2</v>
      </c>
      <c r="AR40" s="184">
        <f t="shared" si="62"/>
        <v>2.6117685293026299E-2</v>
      </c>
      <c r="AS40" s="184">
        <f t="shared" si="62"/>
        <v>2.6117685293026299E-2</v>
      </c>
      <c r="AT40" s="184">
        <f t="shared" si="62"/>
        <v>2.6117685293026299E-2</v>
      </c>
      <c r="AU40" s="184">
        <f t="shared" si="62"/>
        <v>2.6117685293026299E-2</v>
      </c>
      <c r="AV40" s="184">
        <f t="shared" si="62"/>
        <v>2.6117685293026299E-2</v>
      </c>
      <c r="AW40" s="184">
        <f t="shared" si="62"/>
        <v>2.6117685293026299E-2</v>
      </c>
      <c r="AX40" s="184">
        <f t="shared" si="62"/>
        <v>2.6117685293026299E-2</v>
      </c>
      <c r="AY40" s="184">
        <f t="shared" si="62"/>
        <v>2.6117685293026299E-2</v>
      </c>
      <c r="AZ40" s="184">
        <f t="shared" si="62"/>
        <v>2.6117685293026299E-2</v>
      </c>
      <c r="BA40" s="184">
        <f t="shared" si="62"/>
        <v>2.6117685293026299E-2</v>
      </c>
      <c r="BB40" s="184">
        <f t="shared" si="62"/>
        <v>2.6117685293026299E-2</v>
      </c>
      <c r="BC40" s="184">
        <f t="shared" si="62"/>
        <v>2.6117685293026299E-2</v>
      </c>
      <c r="BD40" s="184">
        <f t="shared" si="62"/>
        <v>2.6117685293026299E-2</v>
      </c>
      <c r="BE40" s="184">
        <f t="shared" si="62"/>
        <v>2.6117685293026299E-2</v>
      </c>
      <c r="BF40" s="194">
        <f t="shared" si="62"/>
        <v>2.6117685293026299E-2</v>
      </c>
    </row>
    <row r="41" spans="2:58">
      <c r="B41" t="s">
        <v>660</v>
      </c>
      <c r="C41" s="109">
        <f>SUM(C13,C14,C15,C19,C20,C21,C27,C28,C30,C31,C36,C38)</f>
        <v>1827497.0850264605</v>
      </c>
      <c r="D41" s="182">
        <f t="shared" ref="D41:T41" si="75">SUM(D13,D14,D15,D19,D20,D21,D27,D28,D30,D31,D36,D38)</f>
        <v>1800108.8204632557</v>
      </c>
      <c r="E41" s="182">
        <f t="shared" si="75"/>
        <v>1772720.5559000508</v>
      </c>
      <c r="F41" s="182">
        <f t="shared" si="75"/>
        <v>1745332.2913368458</v>
      </c>
      <c r="G41" s="182">
        <f t="shared" si="75"/>
        <v>1717944.0267736409</v>
      </c>
      <c r="H41" s="182">
        <f t="shared" si="75"/>
        <v>1690555.7622104362</v>
      </c>
      <c r="I41" s="182">
        <f t="shared" si="75"/>
        <v>1663167.4976472312</v>
      </c>
      <c r="J41" s="109">
        <f t="shared" si="75"/>
        <v>1635779.233084026</v>
      </c>
      <c r="K41" s="183">
        <f t="shared" si="75"/>
        <v>1623570.636401145</v>
      </c>
      <c r="L41" s="183">
        <f t="shared" si="75"/>
        <v>1611362.0397182638</v>
      </c>
      <c r="M41" s="183">
        <f t="shared" si="75"/>
        <v>1599153.4430353825</v>
      </c>
      <c r="N41" s="183">
        <f t="shared" si="75"/>
        <v>1586944.8463525018</v>
      </c>
      <c r="O41" s="109">
        <f t="shared" si="75"/>
        <v>1574736.2496696205</v>
      </c>
      <c r="P41" s="183">
        <f t="shared" si="75"/>
        <v>1567555.0392664922</v>
      </c>
      <c r="Q41" s="183">
        <f t="shared" si="75"/>
        <v>1560373.8288633642</v>
      </c>
      <c r="R41" s="183">
        <f t="shared" si="75"/>
        <v>1553192.6184602361</v>
      </c>
      <c r="S41" s="183">
        <f t="shared" si="75"/>
        <v>1546011.4080571078</v>
      </c>
      <c r="T41" s="109">
        <f t="shared" si="75"/>
        <v>1538830.1976539793</v>
      </c>
      <c r="U41" s="195"/>
      <c r="V41" t="s">
        <v>660</v>
      </c>
      <c r="W41" s="193">
        <f>E41/SUM(E$8:E$40)</f>
        <v>0.27289897130113028</v>
      </c>
      <c r="X41" s="172">
        <f t="shared" ref="X41:AL42" si="76">F41/SUM(F$8:F$40)</f>
        <v>0.27194023087454822</v>
      </c>
      <c r="Y41" s="172">
        <f t="shared" si="76"/>
        <v>0.27095795761186753</v>
      </c>
      <c r="Z41" s="172">
        <f t="shared" si="76"/>
        <v>0.26995127430679261</v>
      </c>
      <c r="AA41" s="172">
        <f t="shared" si="76"/>
        <v>0.26891925960635421</v>
      </c>
      <c r="AB41" s="172">
        <f t="shared" si="76"/>
        <v>0.26786094519834186</v>
      </c>
      <c r="AC41" s="172">
        <f t="shared" si="76"/>
        <v>0.26807871960931817</v>
      </c>
      <c r="AD41" s="172">
        <f t="shared" si="76"/>
        <v>0.26830015648166977</v>
      </c>
      <c r="AE41" s="172">
        <f t="shared" si="76"/>
        <v>0.26852534899006864</v>
      </c>
      <c r="AF41" s="172">
        <f t="shared" si="76"/>
        <v>0.26875439349675884</v>
      </c>
      <c r="AG41" s="172">
        <f t="shared" si="76"/>
        <v>0.26898738968904395</v>
      </c>
      <c r="AH41" s="172">
        <f t="shared" si="76"/>
        <v>0.26891260342037104</v>
      </c>
      <c r="AI41" s="172">
        <f t="shared" si="76"/>
        <v>0.26883717093299236</v>
      </c>
      <c r="AJ41" s="172">
        <f t="shared" si="76"/>
        <v>0.26876108381472208</v>
      </c>
      <c r="AK41" s="172">
        <f t="shared" si="76"/>
        <v>0.26868433350673016</v>
      </c>
      <c r="AL41" s="172">
        <f t="shared" si="76"/>
        <v>0.26860691130033248</v>
      </c>
      <c r="AM41" s="184">
        <f>AL41</f>
        <v>0.26860691130033248</v>
      </c>
      <c r="AN41" s="184">
        <f t="shared" si="62"/>
        <v>0.26860691130033248</v>
      </c>
      <c r="AO41" s="184">
        <f t="shared" si="62"/>
        <v>0.26860691130033248</v>
      </c>
      <c r="AP41" s="184">
        <f t="shared" si="62"/>
        <v>0.26860691130033248</v>
      </c>
      <c r="AQ41" s="184">
        <f t="shared" si="62"/>
        <v>0.26860691130033248</v>
      </c>
      <c r="AR41" s="184">
        <f t="shared" si="62"/>
        <v>0.26860691130033248</v>
      </c>
      <c r="AS41" s="184">
        <f t="shared" si="62"/>
        <v>0.26860691130033248</v>
      </c>
      <c r="AT41" s="184">
        <f t="shared" si="62"/>
        <v>0.26860691130033248</v>
      </c>
      <c r="AU41" s="184">
        <f t="shared" si="62"/>
        <v>0.26860691130033248</v>
      </c>
      <c r="AV41" s="184">
        <f t="shared" si="62"/>
        <v>0.26860691130033248</v>
      </c>
      <c r="AW41" s="184">
        <f t="shared" si="62"/>
        <v>0.26860691130033248</v>
      </c>
      <c r="AX41" s="184">
        <f t="shared" si="62"/>
        <v>0.26860691130033248</v>
      </c>
      <c r="AY41" s="184">
        <f t="shared" si="62"/>
        <v>0.26860691130033248</v>
      </c>
      <c r="AZ41" s="184">
        <f t="shared" si="62"/>
        <v>0.26860691130033248</v>
      </c>
      <c r="BA41" s="184">
        <f t="shared" si="62"/>
        <v>0.26860691130033248</v>
      </c>
      <c r="BB41" s="184">
        <f t="shared" si="62"/>
        <v>0.26860691130033248</v>
      </c>
      <c r="BC41" s="184">
        <f t="shared" si="62"/>
        <v>0.26860691130033248</v>
      </c>
      <c r="BD41" s="184">
        <f t="shared" si="62"/>
        <v>0.26860691130033248</v>
      </c>
      <c r="BE41" s="184">
        <f t="shared" si="62"/>
        <v>0.26860691130033248</v>
      </c>
      <c r="BF41" s="194">
        <f t="shared" si="62"/>
        <v>0.26860691130033248</v>
      </c>
    </row>
    <row r="42" spans="2:58">
      <c r="B42" t="s">
        <v>661</v>
      </c>
      <c r="C42" s="109">
        <f>SUM(C8,C9,C10,C11,C16,C17,C18,C22,C23,C24,C25,C26,C29,C32,C33,C34,C35,C37,C39,C40,C12)</f>
        <v>4824014.0731603885</v>
      </c>
      <c r="D42" s="182">
        <f t="shared" ref="D42:T42" si="77">SUM(D8,D9,D10,D11,D16,D17,D18,D22,D23,D24,D25,D26,D29,D32,D33,D34,D35,D37,D39,D40,D12)</f>
        <v>4773589.6648420477</v>
      </c>
      <c r="E42" s="182">
        <f t="shared" si="77"/>
        <v>4723165.256523707</v>
      </c>
      <c r="F42" s="182">
        <f t="shared" si="77"/>
        <v>4672740.848205368</v>
      </c>
      <c r="G42" s="182">
        <f t="shared" si="77"/>
        <v>4622316.4398870263</v>
      </c>
      <c r="H42" s="182">
        <f t="shared" si="77"/>
        <v>4571892.0315686855</v>
      </c>
      <c r="I42" s="182">
        <f t="shared" si="77"/>
        <v>4521467.6232503457</v>
      </c>
      <c r="J42" s="109">
        <f t="shared" si="77"/>
        <v>4471043.2149320059</v>
      </c>
      <c r="K42" s="183">
        <f t="shared" si="77"/>
        <v>4432749.8308378775</v>
      </c>
      <c r="L42" s="183">
        <f t="shared" si="77"/>
        <v>4394456.44674375</v>
      </c>
      <c r="M42" s="183">
        <f t="shared" si="77"/>
        <v>4356163.0626496226</v>
      </c>
      <c r="N42" s="183">
        <f t="shared" si="77"/>
        <v>4317869.6785554942</v>
      </c>
      <c r="O42" s="109">
        <f t="shared" si="77"/>
        <v>4279576.2944613667</v>
      </c>
      <c r="P42" s="183">
        <f t="shared" si="77"/>
        <v>4261680.9999832194</v>
      </c>
      <c r="Q42" s="183">
        <f t="shared" si="77"/>
        <v>4243785.7055050712</v>
      </c>
      <c r="R42" s="183">
        <f t="shared" si="77"/>
        <v>4225890.4110269221</v>
      </c>
      <c r="S42" s="183">
        <f t="shared" si="77"/>
        <v>4207995.1165487729</v>
      </c>
      <c r="T42" s="109">
        <f t="shared" si="77"/>
        <v>4190099.8220706261</v>
      </c>
      <c r="U42" s="195"/>
      <c r="V42" t="s">
        <v>661</v>
      </c>
      <c r="W42" s="193">
        <f>E42/SUM(E$8:E$40)</f>
        <v>0.7271010286988695</v>
      </c>
      <c r="X42" s="172">
        <f t="shared" si="76"/>
        <v>0.72805976912545201</v>
      </c>
      <c r="Y42" s="172">
        <f t="shared" si="76"/>
        <v>0.72904204238813231</v>
      </c>
      <c r="Z42" s="172">
        <f t="shared" si="76"/>
        <v>0.73004872569320722</v>
      </c>
      <c r="AA42" s="172">
        <f t="shared" si="76"/>
        <v>0.7310807403936459</v>
      </c>
      <c r="AB42" s="172">
        <f t="shared" si="76"/>
        <v>0.73213905480165831</v>
      </c>
      <c r="AC42" s="172">
        <f t="shared" si="76"/>
        <v>0.73192128039068161</v>
      </c>
      <c r="AD42" s="172">
        <f t="shared" si="76"/>
        <v>0.73169984351833006</v>
      </c>
      <c r="AE42" s="172">
        <f t="shared" si="76"/>
        <v>0.73147465100993103</v>
      </c>
      <c r="AF42" s="172">
        <f t="shared" si="76"/>
        <v>0.73124560650324055</v>
      </c>
      <c r="AG42" s="172">
        <f t="shared" si="76"/>
        <v>0.73101261031095588</v>
      </c>
      <c r="AH42" s="172">
        <f t="shared" si="76"/>
        <v>0.73108739657962896</v>
      </c>
      <c r="AI42" s="172">
        <f t="shared" si="76"/>
        <v>0.7311628290670078</v>
      </c>
      <c r="AJ42" s="172">
        <f t="shared" si="76"/>
        <v>0.73123891618527792</v>
      </c>
      <c r="AK42" s="172">
        <f t="shared" si="76"/>
        <v>0.73131566649326973</v>
      </c>
      <c r="AL42" s="172">
        <f t="shared" si="76"/>
        <v>0.73139308869966735</v>
      </c>
      <c r="AM42" s="184">
        <f>AL42</f>
        <v>0.73139308869966735</v>
      </c>
      <c r="AN42" s="184">
        <f t="shared" si="62"/>
        <v>0.73139308869966735</v>
      </c>
      <c r="AO42" s="184">
        <f t="shared" si="62"/>
        <v>0.73139308869966735</v>
      </c>
      <c r="AP42" s="184">
        <f t="shared" si="62"/>
        <v>0.73139308869966735</v>
      </c>
      <c r="AQ42" s="184">
        <f t="shared" si="62"/>
        <v>0.73139308869966735</v>
      </c>
      <c r="AR42" s="184">
        <f t="shared" si="62"/>
        <v>0.73139308869966735</v>
      </c>
      <c r="AS42" s="184">
        <f t="shared" si="62"/>
        <v>0.73139308869966735</v>
      </c>
      <c r="AT42" s="184">
        <f t="shared" si="62"/>
        <v>0.73139308869966735</v>
      </c>
      <c r="AU42" s="184">
        <f t="shared" si="62"/>
        <v>0.73139308869966735</v>
      </c>
      <c r="AV42" s="184">
        <f t="shared" si="62"/>
        <v>0.73139308869966735</v>
      </c>
      <c r="AW42" s="184">
        <f t="shared" si="62"/>
        <v>0.73139308869966735</v>
      </c>
      <c r="AX42" s="184">
        <f t="shared" si="62"/>
        <v>0.73139308869966735</v>
      </c>
      <c r="AY42" s="184">
        <f t="shared" si="62"/>
        <v>0.73139308869966735</v>
      </c>
      <c r="AZ42" s="184">
        <f t="shared" si="62"/>
        <v>0.73139308869966735</v>
      </c>
      <c r="BA42" s="184">
        <f t="shared" si="62"/>
        <v>0.73139308869966735</v>
      </c>
      <c r="BB42" s="184">
        <f t="shared" si="62"/>
        <v>0.73139308869966735</v>
      </c>
      <c r="BC42" s="184">
        <f t="shared" si="62"/>
        <v>0.73139308869966735</v>
      </c>
      <c r="BD42" s="184">
        <f t="shared" si="62"/>
        <v>0.73139308869966735</v>
      </c>
      <c r="BE42" s="184">
        <f t="shared" si="62"/>
        <v>0.73139308869966735</v>
      </c>
      <c r="BF42" s="194">
        <f t="shared" si="62"/>
        <v>0.73139308869966735</v>
      </c>
    </row>
    <row r="43" spans="2:58">
      <c r="C43" s="195"/>
      <c r="D43" s="195"/>
      <c r="E43" s="195"/>
      <c r="F43" s="195"/>
      <c r="G43" s="195"/>
      <c r="H43" s="195"/>
      <c r="I43" s="195"/>
      <c r="J43" s="195"/>
      <c r="K43" s="195"/>
      <c r="L43" s="195"/>
      <c r="M43" s="195"/>
      <c r="N43" s="195"/>
      <c r="O43" s="195"/>
      <c r="P43" s="195"/>
      <c r="Q43" s="195"/>
      <c r="R43" s="195"/>
      <c r="S43" s="195"/>
      <c r="T43" s="195"/>
      <c r="U43" s="195"/>
      <c r="V43" s="181" t="s">
        <v>122</v>
      </c>
      <c r="W43" s="196">
        <f>SUM(W8:W40)</f>
        <v>0.99999999999999967</v>
      </c>
      <c r="X43" s="196">
        <f t="shared" ref="X43:BF43" si="78">SUM(X8:X40)</f>
        <v>1</v>
      </c>
      <c r="Y43" s="196">
        <f t="shared" si="78"/>
        <v>0.99999999999999978</v>
      </c>
      <c r="Z43" s="196">
        <f t="shared" si="78"/>
        <v>1</v>
      </c>
      <c r="AA43" s="196">
        <f t="shared" si="78"/>
        <v>0.99999999999999978</v>
      </c>
      <c r="AB43" s="196">
        <f t="shared" si="78"/>
        <v>1</v>
      </c>
      <c r="AC43" s="196">
        <f t="shared" si="78"/>
        <v>0.99999999999999978</v>
      </c>
      <c r="AD43" s="196">
        <f t="shared" si="78"/>
        <v>0.99999999999999978</v>
      </c>
      <c r="AE43" s="196">
        <f t="shared" si="78"/>
        <v>0.99999999999999933</v>
      </c>
      <c r="AF43" s="196">
        <f t="shared" si="78"/>
        <v>0.99999999999999956</v>
      </c>
      <c r="AG43" s="196">
        <f t="shared" si="78"/>
        <v>1.0000000000000002</v>
      </c>
      <c r="AH43" s="196">
        <f t="shared" si="78"/>
        <v>1</v>
      </c>
      <c r="AI43" s="196">
        <f t="shared" si="78"/>
        <v>1</v>
      </c>
      <c r="AJ43" s="196">
        <f t="shared" si="78"/>
        <v>0.99999999999999978</v>
      </c>
      <c r="AK43" s="196">
        <f t="shared" si="78"/>
        <v>1</v>
      </c>
      <c r="AL43" s="196">
        <f t="shared" si="78"/>
        <v>0.99999999999999967</v>
      </c>
      <c r="AM43" s="196">
        <f t="shared" si="78"/>
        <v>0.99999999999999967</v>
      </c>
      <c r="AN43" s="196">
        <f t="shared" si="78"/>
        <v>0.99999999999999967</v>
      </c>
      <c r="AO43" s="196">
        <f t="shared" si="78"/>
        <v>0.99999999999999967</v>
      </c>
      <c r="AP43" s="196">
        <f t="shared" si="78"/>
        <v>0.99999999999999967</v>
      </c>
      <c r="AQ43" s="196">
        <f t="shared" si="78"/>
        <v>0.99999999999999967</v>
      </c>
      <c r="AR43" s="196">
        <f t="shared" si="78"/>
        <v>0.99999999999999967</v>
      </c>
      <c r="AS43" s="196">
        <f t="shared" si="78"/>
        <v>0.99999999999999967</v>
      </c>
      <c r="AT43" s="196">
        <f t="shared" si="78"/>
        <v>0.99999999999999967</v>
      </c>
      <c r="AU43" s="196">
        <f t="shared" si="78"/>
        <v>0.99999999999999967</v>
      </c>
      <c r="AV43" s="196">
        <f t="shared" si="78"/>
        <v>0.99999999999999967</v>
      </c>
      <c r="AW43" s="196">
        <f t="shared" si="78"/>
        <v>0.99999999999999967</v>
      </c>
      <c r="AX43" s="196">
        <f t="shared" si="78"/>
        <v>0.99999999999999967</v>
      </c>
      <c r="AY43" s="196">
        <f t="shared" si="78"/>
        <v>0.99999999999999967</v>
      </c>
      <c r="AZ43" s="196">
        <f t="shared" si="78"/>
        <v>0.99999999999999967</v>
      </c>
      <c r="BA43" s="196">
        <f t="shared" si="78"/>
        <v>0.99999999999999967</v>
      </c>
      <c r="BB43" s="196">
        <f t="shared" si="78"/>
        <v>0.99999999999999967</v>
      </c>
      <c r="BC43" s="196">
        <f t="shared" si="78"/>
        <v>0.99999999999999967</v>
      </c>
      <c r="BD43" s="196">
        <f t="shared" si="78"/>
        <v>0.99999999999999967</v>
      </c>
      <c r="BE43" s="196">
        <f t="shared" si="78"/>
        <v>0.99999999999999967</v>
      </c>
      <c r="BF43" s="197">
        <f t="shared" si="78"/>
        <v>0.99999999999999967</v>
      </c>
    </row>
    <row r="44" spans="2:58">
      <c r="V44" s="181" t="s">
        <v>662</v>
      </c>
      <c r="W44" s="196">
        <f>INDEX(W8:W43,MATCH($V$5,$V8:$V43,0))</f>
        <v>0.27289897130113028</v>
      </c>
      <c r="X44" s="196">
        <f t="shared" ref="X44:BF44" si="79">INDEX(X8:X43,MATCH($V$5,$V8:$V43,0))</f>
        <v>0.27194023087454822</v>
      </c>
      <c r="Y44" s="196">
        <f t="shared" si="79"/>
        <v>0.27095795761186753</v>
      </c>
      <c r="Z44" s="196">
        <f t="shared" si="79"/>
        <v>0.26995127430679261</v>
      </c>
      <c r="AA44" s="196">
        <f t="shared" si="79"/>
        <v>0.26891925960635421</v>
      </c>
      <c r="AB44" s="196">
        <f t="shared" si="79"/>
        <v>0.26786094519834186</v>
      </c>
      <c r="AC44" s="196">
        <f t="shared" si="79"/>
        <v>0.26807871960931817</v>
      </c>
      <c r="AD44" s="196">
        <f t="shared" si="79"/>
        <v>0.26830015648166977</v>
      </c>
      <c r="AE44" s="196">
        <f t="shared" si="79"/>
        <v>0.26852534899006864</v>
      </c>
      <c r="AF44" s="196">
        <f t="shared" si="79"/>
        <v>0.26875439349675884</v>
      </c>
      <c r="AG44" s="196">
        <f t="shared" si="79"/>
        <v>0.26898738968904395</v>
      </c>
      <c r="AH44" s="196">
        <f t="shared" si="79"/>
        <v>0.26891260342037104</v>
      </c>
      <c r="AI44" s="196">
        <f t="shared" si="79"/>
        <v>0.26883717093299236</v>
      </c>
      <c r="AJ44" s="196">
        <f t="shared" si="79"/>
        <v>0.26876108381472208</v>
      </c>
      <c r="AK44" s="196">
        <f t="shared" si="79"/>
        <v>0.26868433350673016</v>
      </c>
      <c r="AL44" s="196">
        <f t="shared" si="79"/>
        <v>0.26860691130033248</v>
      </c>
      <c r="AM44" s="196">
        <f t="shared" si="79"/>
        <v>0.26860691130033248</v>
      </c>
      <c r="AN44" s="196">
        <f t="shared" si="79"/>
        <v>0.26860691130033248</v>
      </c>
      <c r="AO44" s="196">
        <f t="shared" si="79"/>
        <v>0.26860691130033248</v>
      </c>
      <c r="AP44" s="196">
        <f t="shared" si="79"/>
        <v>0.26860691130033248</v>
      </c>
      <c r="AQ44" s="196">
        <f t="shared" si="79"/>
        <v>0.26860691130033248</v>
      </c>
      <c r="AR44" s="196">
        <f t="shared" si="79"/>
        <v>0.26860691130033248</v>
      </c>
      <c r="AS44" s="196">
        <f t="shared" si="79"/>
        <v>0.26860691130033248</v>
      </c>
      <c r="AT44" s="196">
        <f t="shared" si="79"/>
        <v>0.26860691130033248</v>
      </c>
      <c r="AU44" s="196">
        <f t="shared" si="79"/>
        <v>0.26860691130033248</v>
      </c>
      <c r="AV44" s="196">
        <f t="shared" si="79"/>
        <v>0.26860691130033248</v>
      </c>
      <c r="AW44" s="196">
        <f t="shared" si="79"/>
        <v>0.26860691130033248</v>
      </c>
      <c r="AX44" s="196">
        <f t="shared" si="79"/>
        <v>0.26860691130033248</v>
      </c>
      <c r="AY44" s="196">
        <f t="shared" si="79"/>
        <v>0.26860691130033248</v>
      </c>
      <c r="AZ44" s="196">
        <f t="shared" si="79"/>
        <v>0.26860691130033248</v>
      </c>
      <c r="BA44" s="196">
        <f t="shared" si="79"/>
        <v>0.26860691130033248</v>
      </c>
      <c r="BB44" s="196">
        <f t="shared" si="79"/>
        <v>0.26860691130033248</v>
      </c>
      <c r="BC44" s="196">
        <f t="shared" si="79"/>
        <v>0.26860691130033248</v>
      </c>
      <c r="BD44" s="196">
        <f t="shared" si="79"/>
        <v>0.26860691130033248</v>
      </c>
      <c r="BE44" s="196">
        <f t="shared" si="79"/>
        <v>0.26860691130033248</v>
      </c>
      <c r="BF44" s="197">
        <f t="shared" si="79"/>
        <v>0.26860691130033248</v>
      </c>
    </row>
    <row r="45" spans="2:58">
      <c r="C45" s="35" t="s">
        <v>663</v>
      </c>
      <c r="W45" s="35" t="s">
        <v>664</v>
      </c>
    </row>
    <row r="46" spans="2:58">
      <c r="C46" s="591">
        <v>2013</v>
      </c>
      <c r="D46" s="181">
        <v>2014</v>
      </c>
      <c r="E46" s="181">
        <v>2015</v>
      </c>
      <c r="F46" s="591">
        <v>2016</v>
      </c>
      <c r="G46" s="181">
        <v>2017</v>
      </c>
      <c r="H46" s="181">
        <v>2018</v>
      </c>
      <c r="I46" s="181">
        <v>2019</v>
      </c>
      <c r="J46" s="591">
        <v>2020</v>
      </c>
      <c r="K46" s="181">
        <v>2021</v>
      </c>
      <c r="L46" s="181">
        <v>2022</v>
      </c>
      <c r="M46" s="591">
        <v>2023</v>
      </c>
      <c r="N46" s="181">
        <v>2024</v>
      </c>
      <c r="O46" s="591">
        <v>2025</v>
      </c>
      <c r="P46" s="591">
        <v>2026</v>
      </c>
      <c r="Q46" s="181">
        <v>2027</v>
      </c>
      <c r="R46" s="591">
        <v>2028</v>
      </c>
      <c r="S46" s="591">
        <v>2029</v>
      </c>
      <c r="T46" s="591">
        <v>2030</v>
      </c>
      <c r="U46" s="81"/>
      <c r="W46" s="181">
        <v>2015</v>
      </c>
      <c r="X46" s="591">
        <v>2016</v>
      </c>
      <c r="Y46" s="181">
        <v>2017</v>
      </c>
      <c r="Z46" s="181">
        <v>2018</v>
      </c>
      <c r="AA46" s="181">
        <v>2019</v>
      </c>
      <c r="AB46" s="591">
        <v>2020</v>
      </c>
      <c r="AC46" s="181">
        <v>2021</v>
      </c>
      <c r="AD46" s="181">
        <v>2022</v>
      </c>
      <c r="AE46" s="591">
        <v>2023</v>
      </c>
      <c r="AF46" s="181">
        <v>2024</v>
      </c>
      <c r="AG46" s="591">
        <v>2025</v>
      </c>
      <c r="AH46" s="591">
        <v>2026</v>
      </c>
      <c r="AI46" s="181">
        <v>2027</v>
      </c>
      <c r="AJ46" s="591">
        <v>2028</v>
      </c>
      <c r="AK46" s="591">
        <v>2029</v>
      </c>
      <c r="AL46" s="591">
        <v>2030</v>
      </c>
      <c r="AM46" s="181">
        <v>2031</v>
      </c>
      <c r="AN46" s="591">
        <v>2032</v>
      </c>
      <c r="AO46" s="591">
        <v>2033</v>
      </c>
      <c r="AP46" s="591">
        <v>2034</v>
      </c>
      <c r="AQ46" s="181">
        <v>2035</v>
      </c>
      <c r="AR46" s="591">
        <v>2036</v>
      </c>
      <c r="AS46" s="591">
        <v>2037</v>
      </c>
      <c r="AT46" s="591">
        <v>2038</v>
      </c>
      <c r="AU46" s="181">
        <v>2039</v>
      </c>
      <c r="AV46" s="591">
        <v>2040</v>
      </c>
      <c r="AW46" s="591">
        <v>2041</v>
      </c>
      <c r="AX46" s="591">
        <v>2042</v>
      </c>
      <c r="AY46" s="181">
        <v>2043</v>
      </c>
      <c r="AZ46" s="591">
        <v>2044</v>
      </c>
      <c r="BA46" s="591">
        <v>2045</v>
      </c>
      <c r="BB46" s="591">
        <v>2046</v>
      </c>
      <c r="BC46" s="181">
        <v>2047</v>
      </c>
      <c r="BD46" s="591">
        <v>2048</v>
      </c>
      <c r="BE46" s="591">
        <v>2049</v>
      </c>
      <c r="BF46" s="591">
        <v>2050</v>
      </c>
    </row>
    <row r="47" spans="2:58">
      <c r="B47" t="s">
        <v>626</v>
      </c>
      <c r="C47" s="185">
        <v>0</v>
      </c>
      <c r="D47" s="186">
        <f t="shared" ref="D47:I47" si="80">C47+($J47-$C47)/(COLUMN($J47)-COLUMN($C47))</f>
        <v>0</v>
      </c>
      <c r="E47" s="186">
        <f t="shared" si="80"/>
        <v>0</v>
      </c>
      <c r="F47" s="186">
        <f t="shared" si="80"/>
        <v>0</v>
      </c>
      <c r="G47" s="186">
        <f t="shared" si="80"/>
        <v>0</v>
      </c>
      <c r="H47" s="186">
        <f t="shared" si="80"/>
        <v>0</v>
      </c>
      <c r="I47" s="186">
        <f t="shared" si="80"/>
        <v>0</v>
      </c>
      <c r="J47" s="185">
        <v>0</v>
      </c>
      <c r="K47" s="187">
        <f t="shared" ref="K47:N66" si="81">J47+($O47-$J47)/(COLUMN($O47)-COLUMN($J47))</f>
        <v>0</v>
      </c>
      <c r="L47" s="187">
        <f t="shared" si="81"/>
        <v>0</v>
      </c>
      <c r="M47" s="187">
        <f t="shared" si="81"/>
        <v>0</v>
      </c>
      <c r="N47" s="187">
        <f t="shared" si="81"/>
        <v>0</v>
      </c>
      <c r="O47" s="185">
        <v>0</v>
      </c>
      <c r="P47" s="187">
        <f t="shared" ref="P47:S66" si="82">O47+($T47-$O47)/(COLUMN($T47)-COLUMN($O47))</f>
        <v>0</v>
      </c>
      <c r="Q47" s="187">
        <f t="shared" si="82"/>
        <v>0</v>
      </c>
      <c r="R47" s="187">
        <f t="shared" si="82"/>
        <v>0</v>
      </c>
      <c r="S47" s="187">
        <f t="shared" si="82"/>
        <v>0</v>
      </c>
      <c r="T47" s="185">
        <v>0</v>
      </c>
      <c r="U47" s="195"/>
      <c r="V47" t="s">
        <v>626</v>
      </c>
      <c r="W47" s="39">
        <f t="shared" ref="W47:AL47" si="83">E47/SUM(E47:E79)</f>
        <v>0</v>
      </c>
      <c r="X47" s="39">
        <f t="shared" si="83"/>
        <v>0</v>
      </c>
      <c r="Y47" s="39">
        <f t="shared" si="83"/>
        <v>0</v>
      </c>
      <c r="Z47" s="39">
        <f t="shared" si="83"/>
        <v>0</v>
      </c>
      <c r="AA47" s="39">
        <f t="shared" si="83"/>
        <v>0</v>
      </c>
      <c r="AB47" s="39">
        <f t="shared" si="83"/>
        <v>0</v>
      </c>
      <c r="AC47" s="39">
        <f t="shared" si="83"/>
        <v>0</v>
      </c>
      <c r="AD47" s="39">
        <f t="shared" si="83"/>
        <v>0</v>
      </c>
      <c r="AE47" s="39">
        <f t="shared" si="83"/>
        <v>0</v>
      </c>
      <c r="AF47" s="39">
        <f t="shared" si="83"/>
        <v>0</v>
      </c>
      <c r="AG47" s="39">
        <f t="shared" si="83"/>
        <v>0</v>
      </c>
      <c r="AH47" s="39">
        <f t="shared" si="83"/>
        <v>0</v>
      </c>
      <c r="AI47" s="39">
        <f t="shared" si="83"/>
        <v>0</v>
      </c>
      <c r="AJ47" s="39">
        <f t="shared" si="83"/>
        <v>0</v>
      </c>
      <c r="AK47" s="39">
        <f t="shared" si="83"/>
        <v>0</v>
      </c>
      <c r="AL47" s="39">
        <f t="shared" si="83"/>
        <v>0</v>
      </c>
      <c r="AM47" s="184">
        <f>AL47</f>
        <v>0</v>
      </c>
      <c r="AN47" s="184">
        <f t="shared" ref="AN47:BF61" si="84">AM47</f>
        <v>0</v>
      </c>
      <c r="AO47" s="184">
        <f t="shared" si="84"/>
        <v>0</v>
      </c>
      <c r="AP47" s="184">
        <f t="shared" si="84"/>
        <v>0</v>
      </c>
      <c r="AQ47" s="184">
        <f t="shared" si="84"/>
        <v>0</v>
      </c>
      <c r="AR47" s="184">
        <f t="shared" si="84"/>
        <v>0</v>
      </c>
      <c r="AS47" s="184">
        <f t="shared" si="84"/>
        <v>0</v>
      </c>
      <c r="AT47" s="184">
        <f t="shared" si="84"/>
        <v>0</v>
      </c>
      <c r="AU47" s="184">
        <f t="shared" si="84"/>
        <v>0</v>
      </c>
      <c r="AV47" s="184">
        <f t="shared" si="84"/>
        <v>0</v>
      </c>
      <c r="AW47" s="184">
        <f t="shared" si="84"/>
        <v>0</v>
      </c>
      <c r="AX47" s="184">
        <f t="shared" si="84"/>
        <v>0</v>
      </c>
      <c r="AY47" s="184">
        <f t="shared" si="84"/>
        <v>0</v>
      </c>
      <c r="AZ47" s="184">
        <f t="shared" si="84"/>
        <v>0</v>
      </c>
      <c r="BA47" s="184">
        <f t="shared" si="84"/>
        <v>0</v>
      </c>
      <c r="BB47" s="184">
        <f t="shared" si="84"/>
        <v>0</v>
      </c>
      <c r="BC47" s="184">
        <f t="shared" si="84"/>
        <v>0</v>
      </c>
      <c r="BD47" s="184">
        <f t="shared" si="84"/>
        <v>0</v>
      </c>
      <c r="BE47" s="184">
        <f t="shared" si="84"/>
        <v>0</v>
      </c>
      <c r="BF47" s="184">
        <f t="shared" si="84"/>
        <v>0</v>
      </c>
    </row>
    <row r="48" spans="2:58">
      <c r="B48" t="s">
        <v>627</v>
      </c>
      <c r="C48" s="109">
        <v>224.53952824796906</v>
      </c>
      <c r="D48" s="182">
        <f t="shared" ref="D48:I48" si="85">C48+($J48-$C48)/(COLUMN($J48)-COLUMN($C48))</f>
        <v>224.4720525311439</v>
      </c>
      <c r="E48" s="182">
        <f t="shared" si="85"/>
        <v>224.40457681431874</v>
      </c>
      <c r="F48" s="182">
        <f t="shared" si="85"/>
        <v>224.33710109749359</v>
      </c>
      <c r="G48" s="182">
        <f t="shared" si="85"/>
        <v>224.26962538066843</v>
      </c>
      <c r="H48" s="182">
        <f t="shared" si="85"/>
        <v>224.20214966384327</v>
      </c>
      <c r="I48" s="182">
        <f t="shared" si="85"/>
        <v>224.13467394701811</v>
      </c>
      <c r="J48" s="109">
        <v>224.06719823019296</v>
      </c>
      <c r="K48" s="183">
        <f t="shared" si="81"/>
        <v>223.77619894458581</v>
      </c>
      <c r="L48" s="183">
        <f t="shared" si="81"/>
        <v>223.48519965897867</v>
      </c>
      <c r="M48" s="183">
        <f t="shared" si="81"/>
        <v>223.19420037337153</v>
      </c>
      <c r="N48" s="183">
        <f t="shared" si="81"/>
        <v>222.90320108776439</v>
      </c>
      <c r="O48" s="109">
        <v>222.61220180215727</v>
      </c>
      <c r="P48" s="183">
        <f t="shared" si="82"/>
        <v>222.3212025165501</v>
      </c>
      <c r="Q48" s="183">
        <f t="shared" si="82"/>
        <v>222.03020323094293</v>
      </c>
      <c r="R48" s="183">
        <f t="shared" si="82"/>
        <v>221.73920394533576</v>
      </c>
      <c r="S48" s="183">
        <f t="shared" si="82"/>
        <v>221.44820465972859</v>
      </c>
      <c r="T48" s="109">
        <v>221.15720537412142</v>
      </c>
      <c r="U48" s="195"/>
      <c r="V48" t="s">
        <v>627</v>
      </c>
      <c r="W48" s="39">
        <f t="shared" ref="W48:AL48" si="86">E48/SUM(E47:E79)</f>
        <v>2.2716225738519201E-4</v>
      </c>
      <c r="X48" s="39">
        <f t="shared" si="86"/>
        <v>2.2498685676728319E-4</v>
      </c>
      <c r="Y48" s="39">
        <f t="shared" si="86"/>
        <v>2.2285145402307392E-4</v>
      </c>
      <c r="Z48" s="39">
        <f t="shared" si="86"/>
        <v>2.207549560737005E-4</v>
      </c>
      <c r="AA48" s="39">
        <f t="shared" si="86"/>
        <v>2.1869630931024603E-4</v>
      </c>
      <c r="AB48" s="39">
        <f t="shared" si="86"/>
        <v>2.1667449782815514E-4</v>
      </c>
      <c r="AC48" s="39">
        <f t="shared" si="86"/>
        <v>2.1984696099006736E-4</v>
      </c>
      <c r="AD48" s="39">
        <f t="shared" si="86"/>
        <v>2.2312233846957241E-4</v>
      </c>
      <c r="AE48" s="39">
        <f t="shared" si="86"/>
        <v>2.2650572062379639E-4</v>
      </c>
      <c r="AF48" s="39">
        <f t="shared" si="86"/>
        <v>2.3000253914382432E-4</v>
      </c>
      <c r="AG48" s="39">
        <f t="shared" si="86"/>
        <v>2.3361859615268321E-4</v>
      </c>
      <c r="AH48" s="39">
        <f t="shared" si="86"/>
        <v>2.373601753200075E-4</v>
      </c>
      <c r="AI48" s="39">
        <f t="shared" si="86"/>
        <v>2.4123384583772062E-4</v>
      </c>
      <c r="AJ48" s="39">
        <f t="shared" si="86"/>
        <v>2.4524672835574417E-4</v>
      </c>
      <c r="AK48" s="39">
        <f t="shared" si="86"/>
        <v>2.4940646469282494E-4</v>
      </c>
      <c r="AL48" s="39">
        <f t="shared" si="86"/>
        <v>2.5372126640646556E-4</v>
      </c>
      <c r="AM48" s="184">
        <f t="shared" ref="AM48:BB48" si="87">AL48</f>
        <v>2.5372126640646556E-4</v>
      </c>
      <c r="AN48" s="184">
        <f t="shared" si="87"/>
        <v>2.5372126640646556E-4</v>
      </c>
      <c r="AO48" s="184">
        <f t="shared" si="87"/>
        <v>2.5372126640646556E-4</v>
      </c>
      <c r="AP48" s="184">
        <f t="shared" si="87"/>
        <v>2.5372126640646556E-4</v>
      </c>
      <c r="AQ48" s="184">
        <f t="shared" si="87"/>
        <v>2.5372126640646556E-4</v>
      </c>
      <c r="AR48" s="184">
        <f t="shared" si="87"/>
        <v>2.5372126640646556E-4</v>
      </c>
      <c r="AS48" s="184">
        <f t="shared" si="87"/>
        <v>2.5372126640646556E-4</v>
      </c>
      <c r="AT48" s="184">
        <f t="shared" si="87"/>
        <v>2.5372126640646556E-4</v>
      </c>
      <c r="AU48" s="184">
        <f t="shared" si="87"/>
        <v>2.5372126640646556E-4</v>
      </c>
      <c r="AV48" s="184">
        <f t="shared" si="87"/>
        <v>2.5372126640646556E-4</v>
      </c>
      <c r="AW48" s="184">
        <f t="shared" si="87"/>
        <v>2.5372126640646556E-4</v>
      </c>
      <c r="AX48" s="184">
        <f t="shared" si="87"/>
        <v>2.5372126640646556E-4</v>
      </c>
      <c r="AY48" s="184">
        <f t="shared" si="87"/>
        <v>2.5372126640646556E-4</v>
      </c>
      <c r="AZ48" s="184">
        <f t="shared" si="87"/>
        <v>2.5372126640646556E-4</v>
      </c>
      <c r="BA48" s="184">
        <f t="shared" si="87"/>
        <v>2.5372126640646556E-4</v>
      </c>
      <c r="BB48" s="184">
        <f t="shared" si="87"/>
        <v>2.5372126640646556E-4</v>
      </c>
      <c r="BC48" s="184">
        <f t="shared" si="84"/>
        <v>2.5372126640646556E-4</v>
      </c>
      <c r="BD48" s="184">
        <f t="shared" si="84"/>
        <v>2.5372126640646556E-4</v>
      </c>
      <c r="BE48" s="184">
        <f t="shared" si="84"/>
        <v>2.5372126640646556E-4</v>
      </c>
      <c r="BF48" s="184">
        <f t="shared" si="84"/>
        <v>2.5372126640646556E-4</v>
      </c>
    </row>
    <row r="49" spans="2:58">
      <c r="B49" t="s">
        <v>628</v>
      </c>
      <c r="C49" s="109">
        <v>7919.5300254991625</v>
      </c>
      <c r="D49" s="182">
        <f t="shared" ref="D49:I49" si="88">C49+($J49-$C49)/(COLUMN($J49)-COLUMN($C49))</f>
        <v>8120.4712338580803</v>
      </c>
      <c r="E49" s="182">
        <f t="shared" si="88"/>
        <v>8321.4124422169971</v>
      </c>
      <c r="F49" s="182">
        <f t="shared" si="88"/>
        <v>8522.3536505759148</v>
      </c>
      <c r="G49" s="182">
        <f t="shared" si="88"/>
        <v>8723.2948589348325</v>
      </c>
      <c r="H49" s="182">
        <f t="shared" si="88"/>
        <v>8924.2360672937502</v>
      </c>
      <c r="I49" s="182">
        <f t="shared" si="88"/>
        <v>9125.177275652668</v>
      </c>
      <c r="J49" s="109">
        <v>9326.1184840115839</v>
      </c>
      <c r="K49" s="183">
        <f t="shared" si="81"/>
        <v>9527.0670446592885</v>
      </c>
      <c r="L49" s="183">
        <f t="shared" si="81"/>
        <v>9728.0156053069932</v>
      </c>
      <c r="M49" s="183">
        <f t="shared" si="81"/>
        <v>9928.9641659546978</v>
      </c>
      <c r="N49" s="183">
        <f t="shared" si="81"/>
        <v>10129.912726602402</v>
      </c>
      <c r="O49" s="109">
        <v>10330.861287250109</v>
      </c>
      <c r="P49" s="183">
        <f t="shared" si="82"/>
        <v>10531.831468115999</v>
      </c>
      <c r="Q49" s="183">
        <f t="shared" si="82"/>
        <v>10732.801648981889</v>
      </c>
      <c r="R49" s="183">
        <f t="shared" si="82"/>
        <v>10933.771829847779</v>
      </c>
      <c r="S49" s="183">
        <f t="shared" si="82"/>
        <v>11134.74201071367</v>
      </c>
      <c r="T49" s="109">
        <v>11335.712191579556</v>
      </c>
      <c r="U49" s="195"/>
      <c r="V49" t="s">
        <v>628</v>
      </c>
      <c r="W49" s="39">
        <f t="shared" ref="W49:AL49" si="89">E49/SUM(E47:E79)</f>
        <v>8.4236732683547495E-3</v>
      </c>
      <c r="X49" s="39">
        <f t="shared" si="89"/>
        <v>8.547037252072608E-3</v>
      </c>
      <c r="Y49" s="39">
        <f t="shared" si="89"/>
        <v>8.6681330112624404E-3</v>
      </c>
      <c r="Z49" s="39">
        <f t="shared" si="89"/>
        <v>8.7870225329265677E-3</v>
      </c>
      <c r="AA49" s="39">
        <f t="shared" si="89"/>
        <v>8.9037655657807878E-3</v>
      </c>
      <c r="AB49" s="39">
        <f t="shared" si="89"/>
        <v>9.0184197203782984E-3</v>
      </c>
      <c r="AC49" s="39">
        <f t="shared" si="89"/>
        <v>9.3597833317189891E-3</v>
      </c>
      <c r="AD49" s="39">
        <f t="shared" si="89"/>
        <v>9.7122207369287269E-3</v>
      </c>
      <c r="AE49" s="39">
        <f t="shared" si="89"/>
        <v>1.0076279668984339E-2</v>
      </c>
      <c r="AF49" s="39">
        <f t="shared" si="89"/>
        <v>1.0452544589104093E-2</v>
      </c>
      <c r="AG49" s="39">
        <f t="shared" si="89"/>
        <v>1.0841639817750923E-2</v>
      </c>
      <c r="AH49" s="39">
        <f t="shared" si="89"/>
        <v>1.1244259816050123E-2</v>
      </c>
      <c r="AI49" s="39">
        <f t="shared" si="89"/>
        <v>1.16610937643663E-2</v>
      </c>
      <c r="AJ49" s="39">
        <f t="shared" si="89"/>
        <v>1.2092907894264003E-2</v>
      </c>
      <c r="AK49" s="39">
        <f t="shared" si="89"/>
        <v>1.2540524518706103E-2</v>
      </c>
      <c r="AL49" s="39">
        <f t="shared" si="89"/>
        <v>1.3004827258516816E-2</v>
      </c>
      <c r="AM49" s="184">
        <f t="shared" ref="AM49:AM73" si="90">AL49</f>
        <v>1.3004827258516816E-2</v>
      </c>
      <c r="AN49" s="184">
        <f t="shared" si="84"/>
        <v>1.3004827258516816E-2</v>
      </c>
      <c r="AO49" s="184">
        <f t="shared" si="84"/>
        <v>1.3004827258516816E-2</v>
      </c>
      <c r="AP49" s="184">
        <f t="shared" si="84"/>
        <v>1.3004827258516816E-2</v>
      </c>
      <c r="AQ49" s="184">
        <f t="shared" si="84"/>
        <v>1.3004827258516816E-2</v>
      </c>
      <c r="AR49" s="184">
        <f t="shared" si="84"/>
        <v>1.3004827258516816E-2</v>
      </c>
      <c r="AS49" s="184">
        <f t="shared" si="84"/>
        <v>1.3004827258516816E-2</v>
      </c>
      <c r="AT49" s="184">
        <f t="shared" si="84"/>
        <v>1.3004827258516816E-2</v>
      </c>
      <c r="AU49" s="184">
        <f t="shared" si="84"/>
        <v>1.3004827258516816E-2</v>
      </c>
      <c r="AV49" s="184">
        <f t="shared" si="84"/>
        <v>1.3004827258516816E-2</v>
      </c>
      <c r="AW49" s="184">
        <f t="shared" si="84"/>
        <v>1.3004827258516816E-2</v>
      </c>
      <c r="AX49" s="184">
        <f t="shared" si="84"/>
        <v>1.3004827258516816E-2</v>
      </c>
      <c r="AY49" s="184">
        <f t="shared" si="84"/>
        <v>1.3004827258516816E-2</v>
      </c>
      <c r="AZ49" s="184">
        <f t="shared" si="84"/>
        <v>1.3004827258516816E-2</v>
      </c>
      <c r="BA49" s="184">
        <f t="shared" si="84"/>
        <v>1.3004827258516816E-2</v>
      </c>
      <c r="BB49" s="184">
        <f t="shared" si="84"/>
        <v>1.3004827258516816E-2</v>
      </c>
      <c r="BC49" s="184">
        <f t="shared" si="84"/>
        <v>1.3004827258516816E-2</v>
      </c>
      <c r="BD49" s="184">
        <f t="shared" si="84"/>
        <v>1.3004827258516816E-2</v>
      </c>
      <c r="BE49" s="184">
        <f t="shared" si="84"/>
        <v>1.3004827258516816E-2</v>
      </c>
      <c r="BF49" s="184">
        <f t="shared" si="84"/>
        <v>1.3004827258516816E-2</v>
      </c>
    </row>
    <row r="50" spans="2:58">
      <c r="B50" t="s">
        <v>629</v>
      </c>
      <c r="C50" s="109">
        <v>330.77033202080173</v>
      </c>
      <c r="D50" s="182">
        <f t="shared" ref="D50:I50" si="91">C50+($J50-$C50)/(COLUMN($J50)-COLUMN($C50))</f>
        <v>330.34739698143341</v>
      </c>
      <c r="E50" s="182">
        <f t="shared" si="91"/>
        <v>329.92446194206508</v>
      </c>
      <c r="F50" s="182">
        <f t="shared" si="91"/>
        <v>329.50152690269675</v>
      </c>
      <c r="G50" s="182">
        <f t="shared" si="91"/>
        <v>329.07859186332843</v>
      </c>
      <c r="H50" s="182">
        <f t="shared" si="91"/>
        <v>328.6556568239601</v>
      </c>
      <c r="I50" s="182">
        <f t="shared" si="91"/>
        <v>328.23272178459177</v>
      </c>
      <c r="J50" s="109">
        <v>327.80978674522351</v>
      </c>
      <c r="K50" s="183">
        <f t="shared" si="81"/>
        <v>325.98581509875174</v>
      </c>
      <c r="L50" s="183">
        <f t="shared" si="81"/>
        <v>324.16184345227998</v>
      </c>
      <c r="M50" s="183">
        <f t="shared" si="81"/>
        <v>322.33787180580822</v>
      </c>
      <c r="N50" s="183">
        <f t="shared" si="81"/>
        <v>320.51390015933646</v>
      </c>
      <c r="O50" s="109">
        <v>318.68992851286481</v>
      </c>
      <c r="P50" s="183">
        <f t="shared" si="82"/>
        <v>316.86595686639305</v>
      </c>
      <c r="Q50" s="183">
        <f t="shared" si="82"/>
        <v>315.04198521992129</v>
      </c>
      <c r="R50" s="183">
        <f t="shared" si="82"/>
        <v>313.21801357344953</v>
      </c>
      <c r="S50" s="183">
        <f t="shared" si="82"/>
        <v>311.39404192697776</v>
      </c>
      <c r="T50" s="109">
        <v>309.57007028050606</v>
      </c>
      <c r="U50" s="195"/>
      <c r="V50" t="s">
        <v>629</v>
      </c>
      <c r="W50" s="39">
        <f t="shared" ref="W50:AL50" si="92">E50/SUM(E47:E79)</f>
        <v>3.3397886355663762E-4</v>
      </c>
      <c r="X50" s="39">
        <f t="shared" si="92"/>
        <v>3.3045587410724726E-4</v>
      </c>
      <c r="Y50" s="39">
        <f t="shared" si="92"/>
        <v>3.2699765989322344E-4</v>
      </c>
      <c r="Z50" s="39">
        <f t="shared" si="92"/>
        <v>3.2360245070944967E-4</v>
      </c>
      <c r="AA50" s="39">
        <f t="shared" si="92"/>
        <v>3.2026854027108472E-4</v>
      </c>
      <c r="AB50" s="39">
        <f t="shared" si="92"/>
        <v>3.1699428335425555E-4</v>
      </c>
      <c r="AC50" s="39">
        <f t="shared" si="92"/>
        <v>3.20261900565563E-4</v>
      </c>
      <c r="AD50" s="39">
        <f t="shared" si="92"/>
        <v>3.2363551888020672E-4</v>
      </c>
      <c r="AE50" s="39">
        <f t="shared" si="92"/>
        <v>3.2712038133418366E-4</v>
      </c>
      <c r="AF50" s="39">
        <f t="shared" si="92"/>
        <v>3.307220825353332E-4</v>
      </c>
      <c r="AG50" s="39">
        <f t="shared" si="92"/>
        <v>3.3444659863407787E-4</v>
      </c>
      <c r="AH50" s="39">
        <f t="shared" si="92"/>
        <v>3.3830043299244066E-4</v>
      </c>
      <c r="AI50" s="39">
        <f t="shared" si="92"/>
        <v>3.4229032171763775E-4</v>
      </c>
      <c r="AJ50" s="39">
        <f t="shared" si="92"/>
        <v>3.4642359909396335E-4</v>
      </c>
      <c r="AK50" s="39">
        <f t="shared" si="92"/>
        <v>3.5070813621068995E-4</v>
      </c>
      <c r="AL50" s="39">
        <f t="shared" si="92"/>
        <v>3.5515239098919893E-4</v>
      </c>
      <c r="AM50" s="184">
        <f t="shared" si="90"/>
        <v>3.5515239098919893E-4</v>
      </c>
      <c r="AN50" s="184">
        <f t="shared" si="84"/>
        <v>3.5515239098919893E-4</v>
      </c>
      <c r="AO50" s="184">
        <f t="shared" si="84"/>
        <v>3.5515239098919893E-4</v>
      </c>
      <c r="AP50" s="184">
        <f t="shared" si="84"/>
        <v>3.5515239098919893E-4</v>
      </c>
      <c r="AQ50" s="184">
        <f t="shared" si="84"/>
        <v>3.5515239098919893E-4</v>
      </c>
      <c r="AR50" s="184">
        <f t="shared" si="84"/>
        <v>3.5515239098919893E-4</v>
      </c>
      <c r="AS50" s="184">
        <f t="shared" si="84"/>
        <v>3.5515239098919893E-4</v>
      </c>
      <c r="AT50" s="184">
        <f t="shared" si="84"/>
        <v>3.5515239098919893E-4</v>
      </c>
      <c r="AU50" s="184">
        <f t="shared" si="84"/>
        <v>3.5515239098919893E-4</v>
      </c>
      <c r="AV50" s="184">
        <f t="shared" si="84"/>
        <v>3.5515239098919893E-4</v>
      </c>
      <c r="AW50" s="184">
        <f t="shared" si="84"/>
        <v>3.5515239098919893E-4</v>
      </c>
      <c r="AX50" s="184">
        <f t="shared" si="84"/>
        <v>3.5515239098919893E-4</v>
      </c>
      <c r="AY50" s="184">
        <f t="shared" si="84"/>
        <v>3.5515239098919893E-4</v>
      </c>
      <c r="AZ50" s="184">
        <f t="shared" si="84"/>
        <v>3.5515239098919893E-4</v>
      </c>
      <c r="BA50" s="184">
        <f t="shared" si="84"/>
        <v>3.5515239098919893E-4</v>
      </c>
      <c r="BB50" s="184">
        <f t="shared" si="84"/>
        <v>3.5515239098919893E-4</v>
      </c>
      <c r="BC50" s="184">
        <f t="shared" si="84"/>
        <v>3.5515239098919893E-4</v>
      </c>
      <c r="BD50" s="184">
        <f t="shared" si="84"/>
        <v>3.5515239098919893E-4</v>
      </c>
      <c r="BE50" s="184">
        <f t="shared" si="84"/>
        <v>3.5515239098919893E-4</v>
      </c>
      <c r="BF50" s="184">
        <f t="shared" si="84"/>
        <v>3.5515239098919893E-4</v>
      </c>
    </row>
    <row r="51" spans="2:58">
      <c r="B51" t="s">
        <v>630</v>
      </c>
      <c r="C51" s="109">
        <v>1396.8721569021013</v>
      </c>
      <c r="D51" s="182">
        <f t="shared" ref="D51:I51" si="93">C51+($J51-$C51)/(COLUMN($J51)-COLUMN($C51))</f>
        <v>1396.8721569021013</v>
      </c>
      <c r="E51" s="182">
        <f t="shared" si="93"/>
        <v>1396.8721569021013</v>
      </c>
      <c r="F51" s="182">
        <f t="shared" si="93"/>
        <v>1396.8721569021013</v>
      </c>
      <c r="G51" s="182">
        <f t="shared" si="93"/>
        <v>1396.8721569021013</v>
      </c>
      <c r="H51" s="182">
        <f t="shared" si="93"/>
        <v>1396.8721569021013</v>
      </c>
      <c r="I51" s="182">
        <f t="shared" si="93"/>
        <v>1396.8721569021013</v>
      </c>
      <c r="J51" s="109">
        <v>1396.8721569021013</v>
      </c>
      <c r="K51" s="183">
        <f t="shared" si="81"/>
        <v>1396.8721569021013</v>
      </c>
      <c r="L51" s="183">
        <f t="shared" si="81"/>
        <v>1396.8721569021013</v>
      </c>
      <c r="M51" s="183">
        <f t="shared" si="81"/>
        <v>1396.8721569021013</v>
      </c>
      <c r="N51" s="183">
        <f t="shared" si="81"/>
        <v>1396.8721569021013</v>
      </c>
      <c r="O51" s="109">
        <v>1396.8721569021013</v>
      </c>
      <c r="P51" s="183">
        <f t="shared" si="82"/>
        <v>1396.8721569021013</v>
      </c>
      <c r="Q51" s="183">
        <f t="shared" si="82"/>
        <v>1396.8721569021013</v>
      </c>
      <c r="R51" s="183">
        <f t="shared" si="82"/>
        <v>1396.8721569021013</v>
      </c>
      <c r="S51" s="183">
        <f t="shared" si="82"/>
        <v>1396.8721569021013</v>
      </c>
      <c r="T51" s="109">
        <v>1396.8721569021013</v>
      </c>
      <c r="U51" s="195"/>
      <c r="V51" t="s">
        <v>630</v>
      </c>
      <c r="W51" s="39">
        <f t="shared" ref="W51:AL51" si="94">E51/SUM(E47:E79)</f>
        <v>1.4140381490657557E-3</v>
      </c>
      <c r="X51" s="39">
        <f t="shared" si="94"/>
        <v>1.4009179683148285E-3</v>
      </c>
      <c r="Y51" s="39">
        <f t="shared" si="94"/>
        <v>1.3880390209846656E-3</v>
      </c>
      <c r="Z51" s="39">
        <f t="shared" si="94"/>
        <v>1.3753947145459882E-3</v>
      </c>
      <c r="AA51" s="39">
        <f t="shared" si="94"/>
        <v>1.3629786945189286E-3</v>
      </c>
      <c r="AB51" s="39">
        <f t="shared" si="94"/>
        <v>1.3507848338245101E-3</v>
      </c>
      <c r="AC51" s="39">
        <f t="shared" si="94"/>
        <v>1.3723447803428589E-3</v>
      </c>
      <c r="AD51" s="39">
        <f t="shared" si="94"/>
        <v>1.3946041288936451E-3</v>
      </c>
      <c r="AE51" s="39">
        <f t="shared" si="94"/>
        <v>1.4175974733623754E-3</v>
      </c>
      <c r="AF51" s="39">
        <f t="shared" si="94"/>
        <v>1.4413617273279697E-3</v>
      </c>
      <c r="AG51" s="39">
        <f t="shared" si="94"/>
        <v>1.4659363218116155E-3</v>
      </c>
      <c r="AH51" s="39">
        <f t="shared" si="94"/>
        <v>1.4913639198998016E-3</v>
      </c>
      <c r="AI51" s="39">
        <f t="shared" si="94"/>
        <v>1.5176892046647645E-3</v>
      </c>
      <c r="AJ51" s="39">
        <f t="shared" si="94"/>
        <v>1.5449605677123573E-3</v>
      </c>
      <c r="AK51" s="39">
        <f t="shared" si="94"/>
        <v>1.5732299424875418E-3</v>
      </c>
      <c r="AL51" s="39">
        <f t="shared" si="94"/>
        <v>1.6025531343533787E-3</v>
      </c>
      <c r="AM51" s="184">
        <f t="shared" si="90"/>
        <v>1.6025531343533787E-3</v>
      </c>
      <c r="AN51" s="184">
        <f t="shared" si="84"/>
        <v>1.6025531343533787E-3</v>
      </c>
      <c r="AO51" s="184">
        <f t="shared" si="84"/>
        <v>1.6025531343533787E-3</v>
      </c>
      <c r="AP51" s="184">
        <f t="shared" si="84"/>
        <v>1.6025531343533787E-3</v>
      </c>
      <c r="AQ51" s="184">
        <f t="shared" si="84"/>
        <v>1.6025531343533787E-3</v>
      </c>
      <c r="AR51" s="184">
        <f t="shared" si="84"/>
        <v>1.6025531343533787E-3</v>
      </c>
      <c r="AS51" s="184">
        <f t="shared" si="84"/>
        <v>1.6025531343533787E-3</v>
      </c>
      <c r="AT51" s="184">
        <f t="shared" si="84"/>
        <v>1.6025531343533787E-3</v>
      </c>
      <c r="AU51" s="184">
        <f t="shared" si="84"/>
        <v>1.6025531343533787E-3</v>
      </c>
      <c r="AV51" s="184">
        <f t="shared" si="84"/>
        <v>1.6025531343533787E-3</v>
      </c>
      <c r="AW51" s="184">
        <f t="shared" si="84"/>
        <v>1.6025531343533787E-3</v>
      </c>
      <c r="AX51" s="184">
        <f t="shared" si="84"/>
        <v>1.6025531343533787E-3</v>
      </c>
      <c r="AY51" s="184">
        <f t="shared" si="84"/>
        <v>1.6025531343533787E-3</v>
      </c>
      <c r="AZ51" s="184">
        <f t="shared" si="84"/>
        <v>1.6025531343533787E-3</v>
      </c>
      <c r="BA51" s="184">
        <f t="shared" si="84"/>
        <v>1.6025531343533787E-3</v>
      </c>
      <c r="BB51" s="184">
        <f t="shared" si="84"/>
        <v>1.6025531343533787E-3</v>
      </c>
      <c r="BC51" s="184">
        <f t="shared" si="84"/>
        <v>1.6025531343533787E-3</v>
      </c>
      <c r="BD51" s="184">
        <f t="shared" si="84"/>
        <v>1.6025531343533787E-3</v>
      </c>
      <c r="BE51" s="184">
        <f t="shared" si="84"/>
        <v>1.6025531343533787E-3</v>
      </c>
      <c r="BF51" s="184">
        <f t="shared" si="84"/>
        <v>1.6025531343533787E-3</v>
      </c>
    </row>
    <row r="52" spans="2:58">
      <c r="B52" t="s">
        <v>631</v>
      </c>
      <c r="C52" s="109">
        <v>0</v>
      </c>
      <c r="D52" s="182">
        <f t="shared" ref="D52:I52" si="95">C52+($J52-$C52)/(COLUMN($J52)-COLUMN($C52))</f>
        <v>0</v>
      </c>
      <c r="E52" s="182">
        <f t="shared" si="95"/>
        <v>0</v>
      </c>
      <c r="F52" s="182">
        <f t="shared" si="95"/>
        <v>0</v>
      </c>
      <c r="G52" s="182">
        <f t="shared" si="95"/>
        <v>0</v>
      </c>
      <c r="H52" s="182">
        <f t="shared" si="95"/>
        <v>0</v>
      </c>
      <c r="I52" s="182">
        <f t="shared" si="95"/>
        <v>0</v>
      </c>
      <c r="J52" s="109">
        <v>0</v>
      </c>
      <c r="K52" s="183">
        <f t="shared" si="81"/>
        <v>0</v>
      </c>
      <c r="L52" s="183">
        <f t="shared" si="81"/>
        <v>0</v>
      </c>
      <c r="M52" s="183">
        <f t="shared" si="81"/>
        <v>0</v>
      </c>
      <c r="N52" s="183">
        <f t="shared" si="81"/>
        <v>0</v>
      </c>
      <c r="O52" s="109">
        <v>0</v>
      </c>
      <c r="P52" s="183">
        <f t="shared" si="82"/>
        <v>0</v>
      </c>
      <c r="Q52" s="183">
        <f t="shared" si="82"/>
        <v>0</v>
      </c>
      <c r="R52" s="183">
        <f t="shared" si="82"/>
        <v>0</v>
      </c>
      <c r="S52" s="183">
        <f t="shared" si="82"/>
        <v>0</v>
      </c>
      <c r="T52" s="109">
        <v>0</v>
      </c>
      <c r="U52" s="195"/>
      <c r="V52" t="s">
        <v>631</v>
      </c>
      <c r="W52" s="39">
        <f t="shared" ref="W52:AL52" si="96">E52/SUM(E47:E79)</f>
        <v>0</v>
      </c>
      <c r="X52" s="39">
        <f t="shared" si="96"/>
        <v>0</v>
      </c>
      <c r="Y52" s="39">
        <f t="shared" si="96"/>
        <v>0</v>
      </c>
      <c r="Z52" s="39">
        <f t="shared" si="96"/>
        <v>0</v>
      </c>
      <c r="AA52" s="39">
        <f t="shared" si="96"/>
        <v>0</v>
      </c>
      <c r="AB52" s="39">
        <f t="shared" si="96"/>
        <v>0</v>
      </c>
      <c r="AC52" s="39">
        <f t="shared" si="96"/>
        <v>0</v>
      </c>
      <c r="AD52" s="39">
        <f t="shared" si="96"/>
        <v>0</v>
      </c>
      <c r="AE52" s="39">
        <f t="shared" si="96"/>
        <v>0</v>
      </c>
      <c r="AF52" s="39">
        <f t="shared" si="96"/>
        <v>0</v>
      </c>
      <c r="AG52" s="39">
        <f t="shared" si="96"/>
        <v>0</v>
      </c>
      <c r="AH52" s="39">
        <f t="shared" si="96"/>
        <v>0</v>
      </c>
      <c r="AI52" s="39">
        <f t="shared" si="96"/>
        <v>0</v>
      </c>
      <c r="AJ52" s="39">
        <f t="shared" si="96"/>
        <v>0</v>
      </c>
      <c r="AK52" s="39">
        <f t="shared" si="96"/>
        <v>0</v>
      </c>
      <c r="AL52" s="39">
        <f t="shared" si="96"/>
        <v>0</v>
      </c>
      <c r="AM52" s="184">
        <f t="shared" si="90"/>
        <v>0</v>
      </c>
      <c r="AN52" s="184">
        <f t="shared" si="84"/>
        <v>0</v>
      </c>
      <c r="AO52" s="184">
        <f t="shared" si="84"/>
        <v>0</v>
      </c>
      <c r="AP52" s="184">
        <f t="shared" si="84"/>
        <v>0</v>
      </c>
      <c r="AQ52" s="184">
        <f t="shared" si="84"/>
        <v>0</v>
      </c>
      <c r="AR52" s="184">
        <f t="shared" si="84"/>
        <v>0</v>
      </c>
      <c r="AS52" s="184">
        <f t="shared" si="84"/>
        <v>0</v>
      </c>
      <c r="AT52" s="184">
        <f t="shared" si="84"/>
        <v>0</v>
      </c>
      <c r="AU52" s="184">
        <f t="shared" si="84"/>
        <v>0</v>
      </c>
      <c r="AV52" s="184">
        <f t="shared" si="84"/>
        <v>0</v>
      </c>
      <c r="AW52" s="184">
        <f t="shared" si="84"/>
        <v>0</v>
      </c>
      <c r="AX52" s="184">
        <f t="shared" si="84"/>
        <v>0</v>
      </c>
      <c r="AY52" s="184">
        <f t="shared" si="84"/>
        <v>0</v>
      </c>
      <c r="AZ52" s="184">
        <f t="shared" si="84"/>
        <v>0</v>
      </c>
      <c r="BA52" s="184">
        <f t="shared" si="84"/>
        <v>0</v>
      </c>
      <c r="BB52" s="184">
        <f t="shared" si="84"/>
        <v>0</v>
      </c>
      <c r="BC52" s="184">
        <f t="shared" si="84"/>
        <v>0</v>
      </c>
      <c r="BD52" s="184">
        <f t="shared" si="84"/>
        <v>0</v>
      </c>
      <c r="BE52" s="184">
        <f t="shared" si="84"/>
        <v>0</v>
      </c>
      <c r="BF52" s="184">
        <f t="shared" si="84"/>
        <v>0</v>
      </c>
    </row>
    <row r="53" spans="2:58">
      <c r="B53" t="s">
        <v>632</v>
      </c>
      <c r="C53" s="109">
        <v>1228.4772365194708</v>
      </c>
      <c r="D53" s="182">
        <f t="shared" ref="D53:I53" si="97">C53+($J53-$C53)/(COLUMN($J53)-COLUMN($C53))</f>
        <v>1260.1732203485508</v>
      </c>
      <c r="E53" s="182">
        <f t="shared" si="97"/>
        <v>1291.8692041776308</v>
      </c>
      <c r="F53" s="182">
        <f t="shared" si="97"/>
        <v>1323.5651880067107</v>
      </c>
      <c r="G53" s="182">
        <f t="shared" si="97"/>
        <v>1355.2611718357907</v>
      </c>
      <c r="H53" s="182">
        <f t="shared" si="97"/>
        <v>1386.9571556648707</v>
      </c>
      <c r="I53" s="182">
        <f t="shared" si="97"/>
        <v>1418.6531394939507</v>
      </c>
      <c r="J53" s="109">
        <v>1450.3491233230311</v>
      </c>
      <c r="K53" s="183">
        <f t="shared" si="81"/>
        <v>1482.0462510061411</v>
      </c>
      <c r="L53" s="183">
        <f t="shared" si="81"/>
        <v>1513.7433786892511</v>
      </c>
      <c r="M53" s="183">
        <f t="shared" si="81"/>
        <v>1545.4405063723611</v>
      </c>
      <c r="N53" s="183">
        <f t="shared" si="81"/>
        <v>1577.1376340554712</v>
      </c>
      <c r="O53" s="109">
        <v>1608.8347617385816</v>
      </c>
      <c r="P53" s="183">
        <f t="shared" si="82"/>
        <v>1640.5355671787811</v>
      </c>
      <c r="Q53" s="183">
        <f t="shared" si="82"/>
        <v>1672.2363726189806</v>
      </c>
      <c r="R53" s="183">
        <f t="shared" si="82"/>
        <v>1703.93717805918</v>
      </c>
      <c r="S53" s="183">
        <f t="shared" si="82"/>
        <v>1735.6379834993795</v>
      </c>
      <c r="T53" s="109">
        <v>1767.3387889395785</v>
      </c>
      <c r="U53" s="195"/>
      <c r="V53" t="s">
        <v>632</v>
      </c>
      <c r="W53" s="39">
        <f t="shared" ref="W53:AL53" si="98">E53/SUM(E47:E79)</f>
        <v>1.3077448278170627E-3</v>
      </c>
      <c r="X53" s="39">
        <f t="shared" si="98"/>
        <v>1.3273986777907736E-3</v>
      </c>
      <c r="Y53" s="39">
        <f t="shared" si="98"/>
        <v>1.3466911634242853E-3</v>
      </c>
      <c r="Z53" s="39">
        <f t="shared" si="98"/>
        <v>1.3656321602356157E-3</v>
      </c>
      <c r="AA53" s="39">
        <f t="shared" si="98"/>
        <v>1.3842311871480439E-3</v>
      </c>
      <c r="AB53" s="39">
        <f t="shared" si="98"/>
        <v>1.402497422441449E-3</v>
      </c>
      <c r="AC53" s="39">
        <f t="shared" si="98"/>
        <v>1.4560233209212166E-3</v>
      </c>
      <c r="AD53" s="39">
        <f t="shared" si="98"/>
        <v>1.511285593011787E-3</v>
      </c>
      <c r="AE53" s="39">
        <f t="shared" si="98"/>
        <v>1.5683701233790649E-3</v>
      </c>
      <c r="AF53" s="39">
        <f t="shared" si="98"/>
        <v>1.627368555686273E-3</v>
      </c>
      <c r="AG53" s="39">
        <f t="shared" si="98"/>
        <v>1.6883787835360322E-3</v>
      </c>
      <c r="AH53" s="39">
        <f t="shared" si="98"/>
        <v>1.7515100019094029E-3</v>
      </c>
      <c r="AI53" s="39">
        <f t="shared" si="98"/>
        <v>1.8168699818600941E-3</v>
      </c>
      <c r="AJ53" s="39">
        <f t="shared" si="98"/>
        <v>1.8845788692636964E-3</v>
      </c>
      <c r="AK53" s="39">
        <f t="shared" si="98"/>
        <v>1.954765603615142E-3</v>
      </c>
      <c r="AL53" s="39">
        <f t="shared" si="98"/>
        <v>2.0275687375433328E-3</v>
      </c>
      <c r="AM53" s="184">
        <f t="shared" si="90"/>
        <v>2.0275687375433328E-3</v>
      </c>
      <c r="AN53" s="184">
        <f t="shared" si="84"/>
        <v>2.0275687375433328E-3</v>
      </c>
      <c r="AO53" s="184">
        <f t="shared" si="84"/>
        <v>2.0275687375433328E-3</v>
      </c>
      <c r="AP53" s="184">
        <f t="shared" si="84"/>
        <v>2.0275687375433328E-3</v>
      </c>
      <c r="AQ53" s="184">
        <f t="shared" si="84"/>
        <v>2.0275687375433328E-3</v>
      </c>
      <c r="AR53" s="184">
        <f t="shared" si="84"/>
        <v>2.0275687375433328E-3</v>
      </c>
      <c r="AS53" s="184">
        <f t="shared" si="84"/>
        <v>2.0275687375433328E-3</v>
      </c>
      <c r="AT53" s="184">
        <f t="shared" si="84"/>
        <v>2.0275687375433328E-3</v>
      </c>
      <c r="AU53" s="184">
        <f t="shared" si="84"/>
        <v>2.0275687375433328E-3</v>
      </c>
      <c r="AV53" s="184">
        <f t="shared" si="84"/>
        <v>2.0275687375433328E-3</v>
      </c>
      <c r="AW53" s="184">
        <f t="shared" si="84"/>
        <v>2.0275687375433328E-3</v>
      </c>
      <c r="AX53" s="184">
        <f t="shared" si="84"/>
        <v>2.0275687375433328E-3</v>
      </c>
      <c r="AY53" s="184">
        <f t="shared" si="84"/>
        <v>2.0275687375433328E-3</v>
      </c>
      <c r="AZ53" s="184">
        <f t="shared" si="84"/>
        <v>2.0275687375433328E-3</v>
      </c>
      <c r="BA53" s="184">
        <f t="shared" si="84"/>
        <v>2.0275687375433328E-3</v>
      </c>
      <c r="BB53" s="184">
        <f t="shared" si="84"/>
        <v>2.0275687375433328E-3</v>
      </c>
      <c r="BC53" s="184">
        <f t="shared" si="84"/>
        <v>2.0275687375433328E-3</v>
      </c>
      <c r="BD53" s="184">
        <f t="shared" si="84"/>
        <v>2.0275687375433328E-3</v>
      </c>
      <c r="BE53" s="184">
        <f t="shared" si="84"/>
        <v>2.0275687375433328E-3</v>
      </c>
      <c r="BF53" s="184">
        <f t="shared" si="84"/>
        <v>2.0275687375433328E-3</v>
      </c>
    </row>
    <row r="54" spans="2:58">
      <c r="B54" t="s">
        <v>633</v>
      </c>
      <c r="C54" s="109">
        <v>0</v>
      </c>
      <c r="D54" s="182">
        <f t="shared" ref="D54:I54" si="99">C54+($J54-$C54)/(COLUMN($J54)-COLUMN($C54))</f>
        <v>0</v>
      </c>
      <c r="E54" s="182">
        <f t="shared" si="99"/>
        <v>0</v>
      </c>
      <c r="F54" s="182">
        <f t="shared" si="99"/>
        <v>0</v>
      </c>
      <c r="G54" s="182">
        <f t="shared" si="99"/>
        <v>0</v>
      </c>
      <c r="H54" s="182">
        <f t="shared" si="99"/>
        <v>0</v>
      </c>
      <c r="I54" s="182">
        <f t="shared" si="99"/>
        <v>0</v>
      </c>
      <c r="J54" s="109">
        <v>0</v>
      </c>
      <c r="K54" s="183">
        <f t="shared" si="81"/>
        <v>0</v>
      </c>
      <c r="L54" s="183">
        <f t="shared" si="81"/>
        <v>0</v>
      </c>
      <c r="M54" s="183">
        <f t="shared" si="81"/>
        <v>0</v>
      </c>
      <c r="N54" s="183">
        <f t="shared" si="81"/>
        <v>0</v>
      </c>
      <c r="O54" s="109">
        <v>0</v>
      </c>
      <c r="P54" s="183">
        <f t="shared" si="82"/>
        <v>0</v>
      </c>
      <c r="Q54" s="183">
        <f t="shared" si="82"/>
        <v>0</v>
      </c>
      <c r="R54" s="183">
        <f t="shared" si="82"/>
        <v>0</v>
      </c>
      <c r="S54" s="183">
        <f t="shared" si="82"/>
        <v>0</v>
      </c>
      <c r="T54" s="109">
        <v>0</v>
      </c>
      <c r="U54" s="195"/>
      <c r="V54" t="s">
        <v>633</v>
      </c>
      <c r="W54" s="39">
        <f t="shared" ref="W54:AL54" si="100">E54/SUM(E47:E79)</f>
        <v>0</v>
      </c>
      <c r="X54" s="39">
        <f t="shared" si="100"/>
        <v>0</v>
      </c>
      <c r="Y54" s="39">
        <f t="shared" si="100"/>
        <v>0</v>
      </c>
      <c r="Z54" s="39">
        <f t="shared" si="100"/>
        <v>0</v>
      </c>
      <c r="AA54" s="39">
        <f t="shared" si="100"/>
        <v>0</v>
      </c>
      <c r="AB54" s="39">
        <f t="shared" si="100"/>
        <v>0</v>
      </c>
      <c r="AC54" s="39">
        <f t="shared" si="100"/>
        <v>0</v>
      </c>
      <c r="AD54" s="39">
        <f t="shared" si="100"/>
        <v>0</v>
      </c>
      <c r="AE54" s="39">
        <f t="shared" si="100"/>
        <v>0</v>
      </c>
      <c r="AF54" s="39">
        <f t="shared" si="100"/>
        <v>0</v>
      </c>
      <c r="AG54" s="39">
        <f t="shared" si="100"/>
        <v>0</v>
      </c>
      <c r="AH54" s="39">
        <f t="shared" si="100"/>
        <v>0</v>
      </c>
      <c r="AI54" s="39">
        <f t="shared" si="100"/>
        <v>0</v>
      </c>
      <c r="AJ54" s="39">
        <f t="shared" si="100"/>
        <v>0</v>
      </c>
      <c r="AK54" s="39">
        <f t="shared" si="100"/>
        <v>0</v>
      </c>
      <c r="AL54" s="39">
        <f t="shared" si="100"/>
        <v>0</v>
      </c>
      <c r="AM54" s="184">
        <f t="shared" si="90"/>
        <v>0</v>
      </c>
      <c r="AN54" s="184">
        <f t="shared" si="84"/>
        <v>0</v>
      </c>
      <c r="AO54" s="184">
        <f t="shared" si="84"/>
        <v>0</v>
      </c>
      <c r="AP54" s="184">
        <f t="shared" si="84"/>
        <v>0</v>
      </c>
      <c r="AQ54" s="184">
        <f t="shared" si="84"/>
        <v>0</v>
      </c>
      <c r="AR54" s="184">
        <f t="shared" si="84"/>
        <v>0</v>
      </c>
      <c r="AS54" s="184">
        <f t="shared" si="84"/>
        <v>0</v>
      </c>
      <c r="AT54" s="184">
        <f t="shared" si="84"/>
        <v>0</v>
      </c>
      <c r="AU54" s="184">
        <f t="shared" si="84"/>
        <v>0</v>
      </c>
      <c r="AV54" s="184">
        <f t="shared" si="84"/>
        <v>0</v>
      </c>
      <c r="AW54" s="184">
        <f t="shared" si="84"/>
        <v>0</v>
      </c>
      <c r="AX54" s="184">
        <f t="shared" si="84"/>
        <v>0</v>
      </c>
      <c r="AY54" s="184">
        <f t="shared" si="84"/>
        <v>0</v>
      </c>
      <c r="AZ54" s="184">
        <f t="shared" si="84"/>
        <v>0</v>
      </c>
      <c r="BA54" s="184">
        <f t="shared" si="84"/>
        <v>0</v>
      </c>
      <c r="BB54" s="184">
        <f t="shared" si="84"/>
        <v>0</v>
      </c>
      <c r="BC54" s="184">
        <f t="shared" si="84"/>
        <v>0</v>
      </c>
      <c r="BD54" s="184">
        <f t="shared" si="84"/>
        <v>0</v>
      </c>
      <c r="BE54" s="184">
        <f t="shared" si="84"/>
        <v>0</v>
      </c>
      <c r="BF54" s="184">
        <f t="shared" si="84"/>
        <v>0</v>
      </c>
    </row>
    <row r="55" spans="2:58">
      <c r="B55" t="s">
        <v>634</v>
      </c>
      <c r="C55" s="109">
        <v>280.19104524445072</v>
      </c>
      <c r="D55" s="182">
        <f t="shared" ref="D55:I55" si="101">C55+($J55-$C55)/(COLUMN($J55)-COLUMN($C55))</f>
        <v>280.19104524445072</v>
      </c>
      <c r="E55" s="182">
        <f t="shared" si="101"/>
        <v>280.19104524445072</v>
      </c>
      <c r="F55" s="182">
        <f t="shared" si="101"/>
        <v>280.19104524445072</v>
      </c>
      <c r="G55" s="182">
        <f t="shared" si="101"/>
        <v>280.19104524445072</v>
      </c>
      <c r="H55" s="182">
        <f t="shared" si="101"/>
        <v>280.19104524445072</v>
      </c>
      <c r="I55" s="182">
        <f t="shared" si="101"/>
        <v>280.19104524445072</v>
      </c>
      <c r="J55" s="109">
        <v>280.19104524445072</v>
      </c>
      <c r="K55" s="183">
        <f t="shared" si="81"/>
        <v>280.19104524445072</v>
      </c>
      <c r="L55" s="183">
        <f t="shared" si="81"/>
        <v>280.19104524445072</v>
      </c>
      <c r="M55" s="183">
        <f t="shared" si="81"/>
        <v>280.19104524445072</v>
      </c>
      <c r="N55" s="183">
        <f t="shared" si="81"/>
        <v>280.19104524445072</v>
      </c>
      <c r="O55" s="109">
        <v>280.19104524445072</v>
      </c>
      <c r="P55" s="183">
        <f t="shared" si="82"/>
        <v>280.19104524445072</v>
      </c>
      <c r="Q55" s="183">
        <f t="shared" si="82"/>
        <v>280.19104524445072</v>
      </c>
      <c r="R55" s="183">
        <f t="shared" si="82"/>
        <v>280.19104524445072</v>
      </c>
      <c r="S55" s="183">
        <f t="shared" si="82"/>
        <v>280.19104524445072</v>
      </c>
      <c r="T55" s="109">
        <v>280.19104524445072</v>
      </c>
      <c r="U55" s="195"/>
      <c r="V55" t="s">
        <v>634</v>
      </c>
      <c r="W55" s="39">
        <f t="shared" ref="W55:AL55" si="102">E55/SUM(E47:E79)</f>
        <v>2.8363427894570735E-4</v>
      </c>
      <c r="X55" s="39">
        <f t="shared" si="102"/>
        <v>2.8100257271530246E-4</v>
      </c>
      <c r="Y55" s="39">
        <f t="shared" si="102"/>
        <v>2.7841925419452282E-4</v>
      </c>
      <c r="Z55" s="39">
        <f t="shared" si="102"/>
        <v>2.7588300102350879E-4</v>
      </c>
      <c r="AA55" s="39">
        <f t="shared" si="102"/>
        <v>2.7339253859144695E-4</v>
      </c>
      <c r="AB55" s="39">
        <f t="shared" si="102"/>
        <v>2.709466379006411E-4</v>
      </c>
      <c r="AC55" s="39">
        <f t="shared" si="102"/>
        <v>2.752712311861052E-4</v>
      </c>
      <c r="AD55" s="39">
        <f t="shared" si="102"/>
        <v>2.7973611374968718E-4</v>
      </c>
      <c r="AE55" s="39">
        <f t="shared" si="102"/>
        <v>2.8434822459213327E-4</v>
      </c>
      <c r="AF55" s="39">
        <f t="shared" si="102"/>
        <v>2.8911496800896919E-4</v>
      </c>
      <c r="AG55" s="39">
        <f t="shared" si="102"/>
        <v>2.9404425325587513E-4</v>
      </c>
      <c r="AH55" s="39">
        <f t="shared" si="102"/>
        <v>2.9914463789106261E-4</v>
      </c>
      <c r="AI55" s="39">
        <f t="shared" si="102"/>
        <v>3.0442508465077975E-4</v>
      </c>
      <c r="AJ55" s="39">
        <f t="shared" si="102"/>
        <v>3.0989530014601311E-4</v>
      </c>
      <c r="AK55" s="39">
        <f t="shared" si="102"/>
        <v>3.1556570142613621E-4</v>
      </c>
      <c r="AL55" s="39">
        <f t="shared" si="102"/>
        <v>3.2144748218767248E-4</v>
      </c>
      <c r="AM55" s="184">
        <f t="shared" si="90"/>
        <v>3.2144748218767248E-4</v>
      </c>
      <c r="AN55" s="184">
        <f t="shared" si="84"/>
        <v>3.2144748218767248E-4</v>
      </c>
      <c r="AO55" s="184">
        <f t="shared" si="84"/>
        <v>3.2144748218767248E-4</v>
      </c>
      <c r="AP55" s="184">
        <f t="shared" si="84"/>
        <v>3.2144748218767248E-4</v>
      </c>
      <c r="AQ55" s="184">
        <f t="shared" si="84"/>
        <v>3.2144748218767248E-4</v>
      </c>
      <c r="AR55" s="184">
        <f t="shared" si="84"/>
        <v>3.2144748218767248E-4</v>
      </c>
      <c r="AS55" s="184">
        <f t="shared" si="84"/>
        <v>3.2144748218767248E-4</v>
      </c>
      <c r="AT55" s="184">
        <f t="shared" si="84"/>
        <v>3.2144748218767248E-4</v>
      </c>
      <c r="AU55" s="184">
        <f t="shared" si="84"/>
        <v>3.2144748218767248E-4</v>
      </c>
      <c r="AV55" s="184">
        <f t="shared" si="84"/>
        <v>3.2144748218767248E-4</v>
      </c>
      <c r="AW55" s="184">
        <f t="shared" si="84"/>
        <v>3.2144748218767248E-4</v>
      </c>
      <c r="AX55" s="184">
        <f t="shared" si="84"/>
        <v>3.2144748218767248E-4</v>
      </c>
      <c r="AY55" s="184">
        <f t="shared" si="84"/>
        <v>3.2144748218767248E-4</v>
      </c>
      <c r="AZ55" s="184">
        <f t="shared" si="84"/>
        <v>3.2144748218767248E-4</v>
      </c>
      <c r="BA55" s="184">
        <f t="shared" si="84"/>
        <v>3.2144748218767248E-4</v>
      </c>
      <c r="BB55" s="184">
        <f t="shared" si="84"/>
        <v>3.2144748218767248E-4</v>
      </c>
      <c r="BC55" s="184">
        <f t="shared" si="84"/>
        <v>3.2144748218767248E-4</v>
      </c>
      <c r="BD55" s="184">
        <f t="shared" si="84"/>
        <v>3.2144748218767248E-4</v>
      </c>
      <c r="BE55" s="184">
        <f t="shared" si="84"/>
        <v>3.2144748218767248E-4</v>
      </c>
      <c r="BF55" s="184">
        <f t="shared" si="84"/>
        <v>3.2144748218767248E-4</v>
      </c>
    </row>
    <row r="56" spans="2:58">
      <c r="B56" t="s">
        <v>635</v>
      </c>
      <c r="C56" s="109">
        <v>179.25810026219051</v>
      </c>
      <c r="D56" s="182">
        <f t="shared" ref="D56:I56" si="103">C56+($J56-$C56)/(COLUMN($J56)-COLUMN($C56))</f>
        <v>178.70669017228968</v>
      </c>
      <c r="E56" s="182">
        <f t="shared" si="103"/>
        <v>178.15528008238886</v>
      </c>
      <c r="F56" s="182">
        <f t="shared" si="103"/>
        <v>177.60386999248803</v>
      </c>
      <c r="G56" s="182">
        <f t="shared" si="103"/>
        <v>177.0524599025872</v>
      </c>
      <c r="H56" s="182">
        <f t="shared" si="103"/>
        <v>176.50104981268638</v>
      </c>
      <c r="I56" s="182">
        <f t="shared" si="103"/>
        <v>175.94963972278555</v>
      </c>
      <c r="J56" s="109">
        <v>175.39822963288472</v>
      </c>
      <c r="K56" s="183">
        <f t="shared" si="81"/>
        <v>173.02018980185139</v>
      </c>
      <c r="L56" s="183">
        <f t="shared" si="81"/>
        <v>170.64214997081805</v>
      </c>
      <c r="M56" s="183">
        <f t="shared" si="81"/>
        <v>168.26411013978472</v>
      </c>
      <c r="N56" s="183">
        <f t="shared" si="81"/>
        <v>165.88607030875139</v>
      </c>
      <c r="O56" s="109">
        <v>163.50803047771811</v>
      </c>
      <c r="P56" s="183">
        <f t="shared" si="82"/>
        <v>161.12999064668475</v>
      </c>
      <c r="Q56" s="183">
        <f t="shared" si="82"/>
        <v>158.75195081565138</v>
      </c>
      <c r="R56" s="183">
        <f t="shared" si="82"/>
        <v>156.37391098461802</v>
      </c>
      <c r="S56" s="183">
        <f t="shared" si="82"/>
        <v>153.99587115358466</v>
      </c>
      <c r="T56" s="109">
        <v>151.61783132255127</v>
      </c>
      <c r="U56" s="195"/>
      <c r="V56" t="s">
        <v>635</v>
      </c>
      <c r="W56" s="39">
        <f t="shared" ref="W56:AL56" si="104">E56/SUM(E47:E79)</f>
        <v>1.8034460866675283E-4</v>
      </c>
      <c r="X56" s="39">
        <f t="shared" si="104"/>
        <v>1.7811827051268574E-4</v>
      </c>
      <c r="Y56" s="39">
        <f t="shared" si="104"/>
        <v>1.7593286679228837E-4</v>
      </c>
      <c r="Z56" s="39">
        <f t="shared" si="104"/>
        <v>1.7378727883198876E-4</v>
      </c>
      <c r="AA56" s="39">
        <f t="shared" si="104"/>
        <v>1.7168042835236021E-4</v>
      </c>
      <c r="AB56" s="39">
        <f t="shared" si="104"/>
        <v>1.6961127566119435E-4</v>
      </c>
      <c r="AC56" s="39">
        <f t="shared" si="104"/>
        <v>1.699821656515003E-4</v>
      </c>
      <c r="AD56" s="39">
        <f t="shared" si="104"/>
        <v>1.7036508726780357E-4</v>
      </c>
      <c r="AE56" s="39">
        <f t="shared" si="104"/>
        <v>1.7076063561945884E-4</v>
      </c>
      <c r="AF56" s="39">
        <f t="shared" si="104"/>
        <v>1.7116944572088583E-4</v>
      </c>
      <c r="AG56" s="39">
        <f t="shared" si="104"/>
        <v>1.7159219589339003E-4</v>
      </c>
      <c r="AH56" s="39">
        <f t="shared" si="104"/>
        <v>1.7202966876882179E-4</v>
      </c>
      <c r="AI56" s="39">
        <f t="shared" si="104"/>
        <v>1.7248258602757131E-4</v>
      </c>
      <c r="AJ56" s="39">
        <f t="shared" si="104"/>
        <v>1.7295178023018525E-4</v>
      </c>
      <c r="AK56" s="39">
        <f t="shared" si="104"/>
        <v>1.7343814487330513E-4</v>
      </c>
      <c r="AL56" s="39">
        <f t="shared" si="104"/>
        <v>1.7394264006856083E-4</v>
      </c>
      <c r="AM56" s="184">
        <f t="shared" si="90"/>
        <v>1.7394264006856083E-4</v>
      </c>
      <c r="AN56" s="184">
        <f t="shared" si="84"/>
        <v>1.7394264006856083E-4</v>
      </c>
      <c r="AO56" s="184">
        <f t="shared" si="84"/>
        <v>1.7394264006856083E-4</v>
      </c>
      <c r="AP56" s="184">
        <f t="shared" si="84"/>
        <v>1.7394264006856083E-4</v>
      </c>
      <c r="AQ56" s="184">
        <f t="shared" si="84"/>
        <v>1.7394264006856083E-4</v>
      </c>
      <c r="AR56" s="184">
        <f t="shared" si="84"/>
        <v>1.7394264006856083E-4</v>
      </c>
      <c r="AS56" s="184">
        <f t="shared" si="84"/>
        <v>1.7394264006856083E-4</v>
      </c>
      <c r="AT56" s="184">
        <f t="shared" si="84"/>
        <v>1.7394264006856083E-4</v>
      </c>
      <c r="AU56" s="184">
        <f t="shared" si="84"/>
        <v>1.7394264006856083E-4</v>
      </c>
      <c r="AV56" s="184">
        <f t="shared" si="84"/>
        <v>1.7394264006856083E-4</v>
      </c>
      <c r="AW56" s="184">
        <f t="shared" si="84"/>
        <v>1.7394264006856083E-4</v>
      </c>
      <c r="AX56" s="184">
        <f t="shared" si="84"/>
        <v>1.7394264006856083E-4</v>
      </c>
      <c r="AY56" s="184">
        <f t="shared" si="84"/>
        <v>1.7394264006856083E-4</v>
      </c>
      <c r="AZ56" s="184">
        <f t="shared" si="84"/>
        <v>1.7394264006856083E-4</v>
      </c>
      <c r="BA56" s="184">
        <f t="shared" si="84"/>
        <v>1.7394264006856083E-4</v>
      </c>
      <c r="BB56" s="184">
        <f t="shared" si="84"/>
        <v>1.7394264006856083E-4</v>
      </c>
      <c r="BC56" s="184">
        <f t="shared" si="84"/>
        <v>1.7394264006856083E-4</v>
      </c>
      <c r="BD56" s="184">
        <f t="shared" si="84"/>
        <v>1.7394264006856083E-4</v>
      </c>
      <c r="BE56" s="184">
        <f t="shared" si="84"/>
        <v>1.7394264006856083E-4</v>
      </c>
      <c r="BF56" s="184">
        <f t="shared" si="84"/>
        <v>1.7394264006856083E-4</v>
      </c>
    </row>
    <row r="57" spans="2:58">
      <c r="B57" t="s">
        <v>636</v>
      </c>
      <c r="C57" s="109">
        <v>310.99962679866928</v>
      </c>
      <c r="D57" s="182">
        <f t="shared" ref="D57:I57" si="105">C57+($J57-$C57)/(COLUMN($J57)-COLUMN($C57))</f>
        <v>318.15413166442863</v>
      </c>
      <c r="E57" s="182">
        <f t="shared" si="105"/>
        <v>325.30863653018798</v>
      </c>
      <c r="F57" s="182">
        <f t="shared" si="105"/>
        <v>332.46314139594733</v>
      </c>
      <c r="G57" s="182">
        <f t="shared" si="105"/>
        <v>339.61764626170668</v>
      </c>
      <c r="H57" s="182">
        <f t="shared" si="105"/>
        <v>346.77215112746603</v>
      </c>
      <c r="I57" s="182">
        <f t="shared" si="105"/>
        <v>353.92665599322538</v>
      </c>
      <c r="J57" s="109">
        <v>361.08116085898473</v>
      </c>
      <c r="K57" s="183">
        <f t="shared" si="81"/>
        <v>368.23588123691138</v>
      </c>
      <c r="L57" s="183">
        <f t="shared" si="81"/>
        <v>375.39060161483803</v>
      </c>
      <c r="M57" s="183">
        <f t="shared" si="81"/>
        <v>382.54532199276468</v>
      </c>
      <c r="N57" s="183">
        <f t="shared" si="81"/>
        <v>389.70004237069134</v>
      </c>
      <c r="O57" s="109">
        <v>396.85476274861799</v>
      </c>
      <c r="P57" s="183">
        <f t="shared" si="82"/>
        <v>404.00984399757368</v>
      </c>
      <c r="Q57" s="183">
        <f t="shared" si="82"/>
        <v>411.16492524652938</v>
      </c>
      <c r="R57" s="183">
        <f t="shared" si="82"/>
        <v>418.32000649548507</v>
      </c>
      <c r="S57" s="183">
        <f t="shared" si="82"/>
        <v>425.47508774444077</v>
      </c>
      <c r="T57" s="109">
        <v>432.63016899339647</v>
      </c>
      <c r="U57" s="195"/>
      <c r="V57" t="s">
        <v>636</v>
      </c>
      <c r="W57" s="39">
        <f t="shared" ref="W57:AL57" si="106">E57/SUM(E47:E79)</f>
        <v>3.2930631482727039E-4</v>
      </c>
      <c r="X57" s="39">
        <f t="shared" si="106"/>
        <v>3.3342606643180309E-4</v>
      </c>
      <c r="Y57" s="39">
        <f t="shared" si="106"/>
        <v>3.3747007046920022E-4</v>
      </c>
      <c r="Z57" s="39">
        <f t="shared" si="106"/>
        <v>3.4144039700111653E-4</v>
      </c>
      <c r="AA57" s="39">
        <f t="shared" si="106"/>
        <v>3.4533904134142216E-4</v>
      </c>
      <c r="AB57" s="39">
        <f t="shared" si="106"/>
        <v>3.4916792739985006E-4</v>
      </c>
      <c r="AC57" s="39">
        <f t="shared" si="106"/>
        <v>3.6177010691597962E-4</v>
      </c>
      <c r="AD57" s="39">
        <f t="shared" si="106"/>
        <v>3.7478109959679953E-4</v>
      </c>
      <c r="AE57" s="39">
        <f t="shared" si="106"/>
        <v>3.8822112619540591E-4</v>
      </c>
      <c r="AF57" s="39">
        <f t="shared" si="106"/>
        <v>4.0211176336774025E-4</v>
      </c>
      <c r="AG57" s="39">
        <f t="shared" si="106"/>
        <v>4.1647605926037714E-4</v>
      </c>
      <c r="AH57" s="39">
        <f t="shared" si="106"/>
        <v>4.3133918995033442E-4</v>
      </c>
      <c r="AI57" s="39">
        <f t="shared" si="106"/>
        <v>4.4672704320155372E-4</v>
      </c>
      <c r="AJ57" s="39">
        <f t="shared" si="106"/>
        <v>4.6266790523908784E-4</v>
      </c>
      <c r="AK57" s="39">
        <f t="shared" si="106"/>
        <v>4.7919213259039898E-4</v>
      </c>
      <c r="AL57" s="39">
        <f t="shared" si="106"/>
        <v>4.9633234502560839E-4</v>
      </c>
      <c r="AM57" s="184">
        <f t="shared" si="90"/>
        <v>4.9633234502560839E-4</v>
      </c>
      <c r="AN57" s="184">
        <f t="shared" si="84"/>
        <v>4.9633234502560839E-4</v>
      </c>
      <c r="AO57" s="184">
        <f t="shared" si="84"/>
        <v>4.9633234502560839E-4</v>
      </c>
      <c r="AP57" s="184">
        <f t="shared" si="84"/>
        <v>4.9633234502560839E-4</v>
      </c>
      <c r="AQ57" s="184">
        <f t="shared" si="84"/>
        <v>4.9633234502560839E-4</v>
      </c>
      <c r="AR57" s="184">
        <f t="shared" si="84"/>
        <v>4.9633234502560839E-4</v>
      </c>
      <c r="AS57" s="184">
        <f t="shared" si="84"/>
        <v>4.9633234502560839E-4</v>
      </c>
      <c r="AT57" s="184">
        <f t="shared" si="84"/>
        <v>4.9633234502560839E-4</v>
      </c>
      <c r="AU57" s="184">
        <f t="shared" si="84"/>
        <v>4.9633234502560839E-4</v>
      </c>
      <c r="AV57" s="184">
        <f t="shared" si="84"/>
        <v>4.9633234502560839E-4</v>
      </c>
      <c r="AW57" s="184">
        <f t="shared" si="84"/>
        <v>4.9633234502560839E-4</v>
      </c>
      <c r="AX57" s="184">
        <f t="shared" si="84"/>
        <v>4.9633234502560839E-4</v>
      </c>
      <c r="AY57" s="184">
        <f t="shared" si="84"/>
        <v>4.9633234502560839E-4</v>
      </c>
      <c r="AZ57" s="184">
        <f t="shared" si="84"/>
        <v>4.9633234502560839E-4</v>
      </c>
      <c r="BA57" s="184">
        <f t="shared" si="84"/>
        <v>4.9633234502560839E-4</v>
      </c>
      <c r="BB57" s="184">
        <f t="shared" si="84"/>
        <v>4.9633234502560839E-4</v>
      </c>
      <c r="BC57" s="184">
        <f t="shared" si="84"/>
        <v>4.9633234502560839E-4</v>
      </c>
      <c r="BD57" s="184">
        <f t="shared" si="84"/>
        <v>4.9633234502560839E-4</v>
      </c>
      <c r="BE57" s="184">
        <f t="shared" si="84"/>
        <v>4.9633234502560839E-4</v>
      </c>
      <c r="BF57" s="184">
        <f t="shared" si="84"/>
        <v>4.9633234502560839E-4</v>
      </c>
    </row>
    <row r="58" spans="2:58">
      <c r="B58" t="s">
        <v>637</v>
      </c>
      <c r="C58" s="109">
        <v>6359.4655277016382</v>
      </c>
      <c r="D58" s="182">
        <f t="shared" ref="D58:I58" si="107">C58+($J58-$C58)/(COLUMN($J58)-COLUMN($C58))</f>
        <v>6523.5469238750193</v>
      </c>
      <c r="E58" s="182">
        <f t="shared" si="107"/>
        <v>6687.6283200484004</v>
      </c>
      <c r="F58" s="182">
        <f t="shared" si="107"/>
        <v>6851.7097162217815</v>
      </c>
      <c r="G58" s="182">
        <f t="shared" si="107"/>
        <v>7015.7911123951626</v>
      </c>
      <c r="H58" s="182">
        <f t="shared" si="107"/>
        <v>7179.8725085685437</v>
      </c>
      <c r="I58" s="182">
        <f t="shared" si="107"/>
        <v>7343.9539047419248</v>
      </c>
      <c r="J58" s="109">
        <v>7508.0353009153032</v>
      </c>
      <c r="K58" s="183">
        <f t="shared" si="81"/>
        <v>7672.1233260291556</v>
      </c>
      <c r="L58" s="183">
        <f t="shared" si="81"/>
        <v>7836.211351143008</v>
      </c>
      <c r="M58" s="183">
        <f t="shared" si="81"/>
        <v>8000.2993762568603</v>
      </c>
      <c r="N58" s="183">
        <f t="shared" si="81"/>
        <v>8164.3874013707127</v>
      </c>
      <c r="O58" s="109">
        <v>8328.4754264845633</v>
      </c>
      <c r="P58" s="183">
        <f t="shared" si="82"/>
        <v>8492.5751262929261</v>
      </c>
      <c r="Q58" s="183">
        <f t="shared" si="82"/>
        <v>8656.674826101289</v>
      </c>
      <c r="R58" s="183">
        <f t="shared" si="82"/>
        <v>8820.7745259096519</v>
      </c>
      <c r="S58" s="183">
        <f t="shared" si="82"/>
        <v>8984.8742257180147</v>
      </c>
      <c r="T58" s="109">
        <v>9148.9739255263758</v>
      </c>
      <c r="U58" s="195"/>
      <c r="V58" t="s">
        <v>637</v>
      </c>
      <c r="W58" s="39">
        <f t="shared" ref="W58:AL58" si="108">E58/SUM(E47:E79)</f>
        <v>6.7698117716750543E-3</v>
      </c>
      <c r="X58" s="39">
        <f t="shared" si="108"/>
        <v>6.8715545711926628E-3</v>
      </c>
      <c r="Y58" s="39">
        <f t="shared" si="108"/>
        <v>6.9714266827958496E-3</v>
      </c>
      <c r="Z58" s="39">
        <f t="shared" si="108"/>
        <v>7.0694792294376824E-3</v>
      </c>
      <c r="AA58" s="39">
        <f t="shared" si="108"/>
        <v>7.1657614880742846E-3</v>
      </c>
      <c r="AB58" s="39">
        <f t="shared" si="108"/>
        <v>7.2603209722407035E-3</v>
      </c>
      <c r="AC58" s="39">
        <f t="shared" si="108"/>
        <v>7.5374101692834506E-3</v>
      </c>
      <c r="AD58" s="39">
        <f t="shared" si="108"/>
        <v>7.823488106043764E-3</v>
      </c>
      <c r="AE58" s="39">
        <f t="shared" si="108"/>
        <v>8.118999384364672E-3</v>
      </c>
      <c r="AF58" s="39">
        <f t="shared" si="108"/>
        <v>8.4244184188712011E-3</v>
      </c>
      <c r="AG58" s="39">
        <f t="shared" si="108"/>
        <v>8.740251978445631E-3</v>
      </c>
      <c r="AH58" s="39">
        <f t="shared" si="108"/>
        <v>9.06705747394994E-3</v>
      </c>
      <c r="AI58" s="39">
        <f t="shared" si="108"/>
        <v>9.4054003918326579E-3</v>
      </c>
      <c r="AJ58" s="39">
        <f t="shared" si="108"/>
        <v>9.7559026800526066E-3</v>
      </c>
      <c r="AK58" s="39">
        <f t="shared" si="108"/>
        <v>1.0119231807678451E-2</v>
      </c>
      <c r="AL58" s="39">
        <f t="shared" si="108"/>
        <v>1.0496105007193715E-2</v>
      </c>
      <c r="AM58" s="184">
        <f t="shared" si="90"/>
        <v>1.0496105007193715E-2</v>
      </c>
      <c r="AN58" s="184">
        <f t="shared" si="84"/>
        <v>1.0496105007193715E-2</v>
      </c>
      <c r="AO58" s="184">
        <f t="shared" si="84"/>
        <v>1.0496105007193715E-2</v>
      </c>
      <c r="AP58" s="184">
        <f t="shared" si="84"/>
        <v>1.0496105007193715E-2</v>
      </c>
      <c r="AQ58" s="184">
        <f t="shared" si="84"/>
        <v>1.0496105007193715E-2</v>
      </c>
      <c r="AR58" s="184">
        <f t="shared" si="84"/>
        <v>1.0496105007193715E-2</v>
      </c>
      <c r="AS58" s="184">
        <f t="shared" si="84"/>
        <v>1.0496105007193715E-2</v>
      </c>
      <c r="AT58" s="184">
        <f t="shared" si="84"/>
        <v>1.0496105007193715E-2</v>
      </c>
      <c r="AU58" s="184">
        <f t="shared" si="84"/>
        <v>1.0496105007193715E-2</v>
      </c>
      <c r="AV58" s="184">
        <f t="shared" si="84"/>
        <v>1.0496105007193715E-2</v>
      </c>
      <c r="AW58" s="184">
        <f t="shared" si="84"/>
        <v>1.0496105007193715E-2</v>
      </c>
      <c r="AX58" s="184">
        <f t="shared" si="84"/>
        <v>1.0496105007193715E-2</v>
      </c>
      <c r="AY58" s="184">
        <f t="shared" si="84"/>
        <v>1.0496105007193715E-2</v>
      </c>
      <c r="AZ58" s="184">
        <f t="shared" si="84"/>
        <v>1.0496105007193715E-2</v>
      </c>
      <c r="BA58" s="184">
        <f t="shared" si="84"/>
        <v>1.0496105007193715E-2</v>
      </c>
      <c r="BB58" s="184">
        <f t="shared" si="84"/>
        <v>1.0496105007193715E-2</v>
      </c>
      <c r="BC58" s="184">
        <f t="shared" si="84"/>
        <v>1.0496105007193715E-2</v>
      </c>
      <c r="BD58" s="184">
        <f t="shared" si="84"/>
        <v>1.0496105007193715E-2</v>
      </c>
      <c r="BE58" s="184">
        <f t="shared" si="84"/>
        <v>1.0496105007193715E-2</v>
      </c>
      <c r="BF58" s="184">
        <f t="shared" si="84"/>
        <v>1.0496105007193715E-2</v>
      </c>
    </row>
    <row r="59" spans="2:58">
      <c r="B59" t="s">
        <v>638</v>
      </c>
      <c r="C59" s="109">
        <v>111.88998828184482</v>
      </c>
      <c r="D59" s="182">
        <f t="shared" ref="D59:I59" si="109">C59+($J59-$C59)/(COLUMN($J59)-COLUMN($C59))</f>
        <v>114.77689375399333</v>
      </c>
      <c r="E59" s="182">
        <f t="shared" si="109"/>
        <v>117.66379922614185</v>
      </c>
      <c r="F59" s="182">
        <f t="shared" si="109"/>
        <v>120.55070469829036</v>
      </c>
      <c r="G59" s="182">
        <f t="shared" si="109"/>
        <v>123.43761017043887</v>
      </c>
      <c r="H59" s="182">
        <f t="shared" si="109"/>
        <v>126.32451564258739</v>
      </c>
      <c r="I59" s="182">
        <f t="shared" si="109"/>
        <v>129.21142111473591</v>
      </c>
      <c r="J59" s="109">
        <v>132.09832658688441</v>
      </c>
      <c r="K59" s="183">
        <f t="shared" si="81"/>
        <v>134.9853190200829</v>
      </c>
      <c r="L59" s="183">
        <f t="shared" si="81"/>
        <v>137.87231145328138</v>
      </c>
      <c r="M59" s="183">
        <f t="shared" si="81"/>
        <v>140.75930388647987</v>
      </c>
      <c r="N59" s="183">
        <f t="shared" si="81"/>
        <v>143.64629631967836</v>
      </c>
      <c r="O59" s="109">
        <v>146.53328875287679</v>
      </c>
      <c r="P59" s="183">
        <f t="shared" si="82"/>
        <v>149.42042680070102</v>
      </c>
      <c r="Q59" s="183">
        <f t="shared" si="82"/>
        <v>152.30756484852526</v>
      </c>
      <c r="R59" s="183">
        <f t="shared" si="82"/>
        <v>155.1947028963495</v>
      </c>
      <c r="S59" s="183">
        <f t="shared" si="82"/>
        <v>158.08184094417373</v>
      </c>
      <c r="T59" s="109">
        <v>160.96897899199794</v>
      </c>
      <c r="U59" s="195"/>
      <c r="V59" t="s">
        <v>638</v>
      </c>
      <c r="W59" s="39">
        <f t="shared" ref="W59:AL59" si="110">E59/SUM(E47:E79)</f>
        <v>1.1910975535425393E-4</v>
      </c>
      <c r="X59" s="39">
        <f t="shared" si="110"/>
        <v>1.2089986006979E-4</v>
      </c>
      <c r="Y59" s="39">
        <f t="shared" si="110"/>
        <v>1.2265705113175275E-4</v>
      </c>
      <c r="Z59" s="39">
        <f t="shared" si="110"/>
        <v>1.2438222801843243E-4</v>
      </c>
      <c r="AA59" s="39">
        <f t="shared" si="110"/>
        <v>1.2607625772888891E-4</v>
      </c>
      <c r="AB59" s="39">
        <f t="shared" si="110"/>
        <v>1.2773997623582534E-4</v>
      </c>
      <c r="AC59" s="39">
        <f t="shared" si="110"/>
        <v>1.3261514095245098E-4</v>
      </c>
      <c r="AD59" s="39">
        <f t="shared" si="110"/>
        <v>1.3764845541719279E-4</v>
      </c>
      <c r="AE59" s="39">
        <f t="shared" si="110"/>
        <v>1.4284774204695186E-4</v>
      </c>
      <c r="AF59" s="39">
        <f t="shared" si="110"/>
        <v>1.4822134779088998E-4</v>
      </c>
      <c r="AG59" s="39">
        <f t="shared" si="110"/>
        <v>1.5377818884567134E-4</v>
      </c>
      <c r="AH59" s="39">
        <f t="shared" si="110"/>
        <v>1.5952800857653034E-4</v>
      </c>
      <c r="AI59" s="39">
        <f t="shared" si="110"/>
        <v>1.6548081785238539E-4</v>
      </c>
      <c r="AJ59" s="39">
        <f t="shared" si="110"/>
        <v>1.7164755923293761E-4</v>
      </c>
      <c r="AK59" s="39">
        <f t="shared" si="110"/>
        <v>1.7803997617682994E-4</v>
      </c>
      <c r="AL59" s="39">
        <f t="shared" si="110"/>
        <v>1.8467068768081153E-4</v>
      </c>
      <c r="AM59" s="184">
        <f t="shared" si="90"/>
        <v>1.8467068768081153E-4</v>
      </c>
      <c r="AN59" s="184">
        <f t="shared" si="84"/>
        <v>1.8467068768081153E-4</v>
      </c>
      <c r="AO59" s="184">
        <f t="shared" si="84"/>
        <v>1.8467068768081153E-4</v>
      </c>
      <c r="AP59" s="184">
        <f t="shared" si="84"/>
        <v>1.8467068768081153E-4</v>
      </c>
      <c r="AQ59" s="184">
        <f t="shared" si="84"/>
        <v>1.8467068768081153E-4</v>
      </c>
      <c r="AR59" s="184">
        <f t="shared" si="84"/>
        <v>1.8467068768081153E-4</v>
      </c>
      <c r="AS59" s="184">
        <f t="shared" si="84"/>
        <v>1.8467068768081153E-4</v>
      </c>
      <c r="AT59" s="184">
        <f t="shared" si="84"/>
        <v>1.8467068768081153E-4</v>
      </c>
      <c r="AU59" s="184">
        <f t="shared" si="84"/>
        <v>1.8467068768081153E-4</v>
      </c>
      <c r="AV59" s="184">
        <f t="shared" si="84"/>
        <v>1.8467068768081153E-4</v>
      </c>
      <c r="AW59" s="184">
        <f t="shared" si="84"/>
        <v>1.8467068768081153E-4</v>
      </c>
      <c r="AX59" s="184">
        <f t="shared" si="84"/>
        <v>1.8467068768081153E-4</v>
      </c>
      <c r="AY59" s="184">
        <f t="shared" si="84"/>
        <v>1.8467068768081153E-4</v>
      </c>
      <c r="AZ59" s="184">
        <f t="shared" si="84"/>
        <v>1.8467068768081153E-4</v>
      </c>
      <c r="BA59" s="184">
        <f t="shared" si="84"/>
        <v>1.8467068768081153E-4</v>
      </c>
      <c r="BB59" s="184">
        <f t="shared" si="84"/>
        <v>1.8467068768081153E-4</v>
      </c>
      <c r="BC59" s="184">
        <f t="shared" si="84"/>
        <v>1.8467068768081153E-4</v>
      </c>
      <c r="BD59" s="184">
        <f t="shared" si="84"/>
        <v>1.8467068768081153E-4</v>
      </c>
      <c r="BE59" s="184">
        <f t="shared" si="84"/>
        <v>1.8467068768081153E-4</v>
      </c>
      <c r="BF59" s="184">
        <f t="shared" si="84"/>
        <v>1.8467068768081153E-4</v>
      </c>
    </row>
    <row r="60" spans="2:58">
      <c r="B60" t="s">
        <v>639</v>
      </c>
      <c r="C60" s="109">
        <v>14901.365719529049</v>
      </c>
      <c r="D60" s="182">
        <f t="shared" ref="D60:I60" si="111">C60+($J60-$C60)/(COLUMN($J60)-COLUMN($C60))</f>
        <v>14855.528106617652</v>
      </c>
      <c r="E60" s="182">
        <f t="shared" si="111"/>
        <v>14809.690493706255</v>
      </c>
      <c r="F60" s="182">
        <f t="shared" si="111"/>
        <v>14763.852880794859</v>
      </c>
      <c r="G60" s="182">
        <f t="shared" si="111"/>
        <v>14718.015267883462</v>
      </c>
      <c r="H60" s="182">
        <f t="shared" si="111"/>
        <v>14672.177654972065</v>
      </c>
      <c r="I60" s="182">
        <f t="shared" si="111"/>
        <v>14626.340042060669</v>
      </c>
      <c r="J60" s="109">
        <v>14580.502429149274</v>
      </c>
      <c r="K60" s="183">
        <f t="shared" si="81"/>
        <v>14382.820755819001</v>
      </c>
      <c r="L60" s="183">
        <f t="shared" si="81"/>
        <v>14185.139082488728</v>
      </c>
      <c r="M60" s="183">
        <f t="shared" si="81"/>
        <v>13987.457409158455</v>
      </c>
      <c r="N60" s="183">
        <f t="shared" si="81"/>
        <v>13789.775735828181</v>
      </c>
      <c r="O60" s="109">
        <v>13592.094062497907</v>
      </c>
      <c r="P60" s="183">
        <f t="shared" si="82"/>
        <v>13394.412389167639</v>
      </c>
      <c r="Q60" s="183">
        <f t="shared" si="82"/>
        <v>13196.730715837371</v>
      </c>
      <c r="R60" s="183">
        <f t="shared" si="82"/>
        <v>12999.049042507104</v>
      </c>
      <c r="S60" s="183">
        <f t="shared" si="82"/>
        <v>12801.367369176836</v>
      </c>
      <c r="T60" s="109">
        <v>12603.685695846567</v>
      </c>
      <c r="U60" s="195"/>
      <c r="V60" t="s">
        <v>639</v>
      </c>
      <c r="W60" s="39">
        <f t="shared" ref="W60:AL60" si="112">E60/SUM(E47:E79)</f>
        <v>1.4991684980248894E-2</v>
      </c>
      <c r="X60" s="39">
        <f t="shared" si="112"/>
        <v>1.4806613962534375E-2</v>
      </c>
      <c r="Y60" s="39">
        <f t="shared" si="112"/>
        <v>1.4624945742047663E-2</v>
      </c>
      <c r="Z60" s="39">
        <f t="shared" si="112"/>
        <v>1.4446587325702299E-2</v>
      </c>
      <c r="AA60" s="39">
        <f t="shared" si="112"/>
        <v>1.4271449078295959E-2</v>
      </c>
      <c r="AB60" s="39">
        <f t="shared" si="112"/>
        <v>1.4099444572304254E-2</v>
      </c>
      <c r="AC60" s="39">
        <f t="shared" si="112"/>
        <v>1.4130275912027127E-2</v>
      </c>
      <c r="AD60" s="39">
        <f t="shared" si="112"/>
        <v>1.4162107416645892E-2</v>
      </c>
      <c r="AE60" s="39">
        <f t="shared" si="112"/>
        <v>1.4194988556405547E-2</v>
      </c>
      <c r="AF60" s="39">
        <f t="shared" si="112"/>
        <v>1.4228972118778964E-2</v>
      </c>
      <c r="AG60" s="39">
        <f t="shared" si="112"/>
        <v>1.4264114491253418E-2</v>
      </c>
      <c r="AH60" s="39">
        <f t="shared" si="112"/>
        <v>1.4300480732442229E-2</v>
      </c>
      <c r="AI60" s="39">
        <f t="shared" si="112"/>
        <v>1.4338130834186263E-2</v>
      </c>
      <c r="AJ60" s="39">
        <f t="shared" si="112"/>
        <v>1.4377134005571028E-2</v>
      </c>
      <c r="AK60" s="39">
        <f t="shared" si="112"/>
        <v>1.4417564521177172E-2</v>
      </c>
      <c r="AL60" s="39">
        <f t="shared" si="112"/>
        <v>1.4459502193155482E-2</v>
      </c>
      <c r="AM60" s="184">
        <f t="shared" si="90"/>
        <v>1.4459502193155482E-2</v>
      </c>
      <c r="AN60" s="184">
        <f t="shared" si="84"/>
        <v>1.4459502193155482E-2</v>
      </c>
      <c r="AO60" s="184">
        <f t="shared" si="84"/>
        <v>1.4459502193155482E-2</v>
      </c>
      <c r="AP60" s="184">
        <f t="shared" si="84"/>
        <v>1.4459502193155482E-2</v>
      </c>
      <c r="AQ60" s="184">
        <f t="shared" si="84"/>
        <v>1.4459502193155482E-2</v>
      </c>
      <c r="AR60" s="184">
        <f t="shared" si="84"/>
        <v>1.4459502193155482E-2</v>
      </c>
      <c r="AS60" s="184">
        <f t="shared" si="84"/>
        <v>1.4459502193155482E-2</v>
      </c>
      <c r="AT60" s="184">
        <f t="shared" si="84"/>
        <v>1.4459502193155482E-2</v>
      </c>
      <c r="AU60" s="184">
        <f t="shared" si="84"/>
        <v>1.4459502193155482E-2</v>
      </c>
      <c r="AV60" s="184">
        <f t="shared" si="84"/>
        <v>1.4459502193155482E-2</v>
      </c>
      <c r="AW60" s="184">
        <f t="shared" si="84"/>
        <v>1.4459502193155482E-2</v>
      </c>
      <c r="AX60" s="184">
        <f t="shared" si="84"/>
        <v>1.4459502193155482E-2</v>
      </c>
      <c r="AY60" s="184">
        <f t="shared" si="84"/>
        <v>1.4459502193155482E-2</v>
      </c>
      <c r="AZ60" s="184">
        <f t="shared" si="84"/>
        <v>1.4459502193155482E-2</v>
      </c>
      <c r="BA60" s="184">
        <f t="shared" si="84"/>
        <v>1.4459502193155482E-2</v>
      </c>
      <c r="BB60" s="184">
        <f t="shared" si="84"/>
        <v>1.4459502193155482E-2</v>
      </c>
      <c r="BC60" s="184">
        <f t="shared" si="84"/>
        <v>1.4459502193155482E-2</v>
      </c>
      <c r="BD60" s="184">
        <f t="shared" si="84"/>
        <v>1.4459502193155482E-2</v>
      </c>
      <c r="BE60" s="184">
        <f t="shared" si="84"/>
        <v>1.4459502193155482E-2</v>
      </c>
      <c r="BF60" s="184">
        <f t="shared" si="84"/>
        <v>1.4459502193155482E-2</v>
      </c>
    </row>
    <row r="61" spans="2:58">
      <c r="B61" t="s">
        <v>640</v>
      </c>
      <c r="C61" s="109">
        <v>0</v>
      </c>
      <c r="D61" s="182">
        <f t="shared" ref="D61:I61" si="113">C61+($J61-$C61)/(COLUMN($J61)-COLUMN($C61))</f>
        <v>0</v>
      </c>
      <c r="E61" s="182">
        <f t="shared" si="113"/>
        <v>0</v>
      </c>
      <c r="F61" s="182">
        <f t="shared" si="113"/>
        <v>0</v>
      </c>
      <c r="G61" s="182">
        <f t="shared" si="113"/>
        <v>0</v>
      </c>
      <c r="H61" s="182">
        <f t="shared" si="113"/>
        <v>0</v>
      </c>
      <c r="I61" s="182">
        <f t="shared" si="113"/>
        <v>0</v>
      </c>
      <c r="J61" s="109">
        <v>0</v>
      </c>
      <c r="K61" s="183">
        <f t="shared" si="81"/>
        <v>0</v>
      </c>
      <c r="L61" s="183">
        <f t="shared" si="81"/>
        <v>0</v>
      </c>
      <c r="M61" s="183">
        <f t="shared" si="81"/>
        <v>0</v>
      </c>
      <c r="N61" s="183">
        <f t="shared" si="81"/>
        <v>0</v>
      </c>
      <c r="O61" s="109">
        <v>0</v>
      </c>
      <c r="P61" s="183">
        <f t="shared" si="82"/>
        <v>0</v>
      </c>
      <c r="Q61" s="183">
        <f t="shared" si="82"/>
        <v>0</v>
      </c>
      <c r="R61" s="183">
        <f t="shared" si="82"/>
        <v>0</v>
      </c>
      <c r="S61" s="183">
        <f t="shared" si="82"/>
        <v>0</v>
      </c>
      <c r="T61" s="109">
        <v>0</v>
      </c>
      <c r="U61" s="195"/>
      <c r="V61" t="s">
        <v>640</v>
      </c>
      <c r="W61" s="39">
        <f t="shared" ref="W61:AL61" si="114">E61/SUM(E47:E79)</f>
        <v>0</v>
      </c>
      <c r="X61" s="39">
        <f t="shared" si="114"/>
        <v>0</v>
      </c>
      <c r="Y61" s="39">
        <f t="shared" si="114"/>
        <v>0</v>
      </c>
      <c r="Z61" s="39">
        <f t="shared" si="114"/>
        <v>0</v>
      </c>
      <c r="AA61" s="39">
        <f t="shared" si="114"/>
        <v>0</v>
      </c>
      <c r="AB61" s="39">
        <f t="shared" si="114"/>
        <v>0</v>
      </c>
      <c r="AC61" s="39">
        <f t="shared" si="114"/>
        <v>0</v>
      </c>
      <c r="AD61" s="39">
        <f t="shared" si="114"/>
        <v>0</v>
      </c>
      <c r="AE61" s="39">
        <f t="shared" si="114"/>
        <v>0</v>
      </c>
      <c r="AF61" s="39">
        <f t="shared" si="114"/>
        <v>0</v>
      </c>
      <c r="AG61" s="39">
        <f t="shared" si="114"/>
        <v>0</v>
      </c>
      <c r="AH61" s="39">
        <f t="shared" si="114"/>
        <v>0</v>
      </c>
      <c r="AI61" s="39">
        <f t="shared" si="114"/>
        <v>0</v>
      </c>
      <c r="AJ61" s="39">
        <f t="shared" si="114"/>
        <v>0</v>
      </c>
      <c r="AK61" s="39">
        <f t="shared" si="114"/>
        <v>0</v>
      </c>
      <c r="AL61" s="39">
        <f t="shared" si="114"/>
        <v>0</v>
      </c>
      <c r="AM61" s="184">
        <f t="shared" si="90"/>
        <v>0</v>
      </c>
      <c r="AN61" s="184">
        <f t="shared" si="84"/>
        <v>0</v>
      </c>
      <c r="AO61" s="184">
        <f t="shared" si="84"/>
        <v>0</v>
      </c>
      <c r="AP61" s="184">
        <f t="shared" si="84"/>
        <v>0</v>
      </c>
      <c r="AQ61" s="184">
        <f t="shared" si="84"/>
        <v>0</v>
      </c>
      <c r="AR61" s="184">
        <f t="shared" ref="AN61:BF73" si="115">AQ61</f>
        <v>0</v>
      </c>
      <c r="AS61" s="184">
        <f t="shared" si="115"/>
        <v>0</v>
      </c>
      <c r="AT61" s="184">
        <f t="shared" si="115"/>
        <v>0</v>
      </c>
      <c r="AU61" s="184">
        <f t="shared" si="115"/>
        <v>0</v>
      </c>
      <c r="AV61" s="184">
        <f t="shared" si="115"/>
        <v>0</v>
      </c>
      <c r="AW61" s="184">
        <f t="shared" si="115"/>
        <v>0</v>
      </c>
      <c r="AX61" s="184">
        <f t="shared" si="115"/>
        <v>0</v>
      </c>
      <c r="AY61" s="184">
        <f t="shared" si="115"/>
        <v>0</v>
      </c>
      <c r="AZ61" s="184">
        <f t="shared" si="115"/>
        <v>0</v>
      </c>
      <c r="BA61" s="184">
        <f t="shared" si="115"/>
        <v>0</v>
      </c>
      <c r="BB61" s="184">
        <f t="shared" si="115"/>
        <v>0</v>
      </c>
      <c r="BC61" s="184">
        <f t="shared" si="115"/>
        <v>0</v>
      </c>
      <c r="BD61" s="184">
        <f t="shared" si="115"/>
        <v>0</v>
      </c>
      <c r="BE61" s="184">
        <f t="shared" si="115"/>
        <v>0</v>
      </c>
      <c r="BF61" s="184">
        <f t="shared" si="115"/>
        <v>0</v>
      </c>
    </row>
    <row r="62" spans="2:58">
      <c r="B62" t="s">
        <v>641</v>
      </c>
      <c r="C62" s="109">
        <v>236.95422482544754</v>
      </c>
      <c r="D62" s="182">
        <f t="shared" ref="D62:I62" si="116">C62+($J62-$C62)/(COLUMN($J62)-COLUMN($C62))</f>
        <v>236.95422482544754</v>
      </c>
      <c r="E62" s="182">
        <f t="shared" si="116"/>
        <v>236.95422482544754</v>
      </c>
      <c r="F62" s="182">
        <f t="shared" si="116"/>
        <v>236.95422482544754</v>
      </c>
      <c r="G62" s="182">
        <f t="shared" si="116"/>
        <v>236.95422482544754</v>
      </c>
      <c r="H62" s="182">
        <f t="shared" si="116"/>
        <v>236.95422482544754</v>
      </c>
      <c r="I62" s="182">
        <f t="shared" si="116"/>
        <v>236.95422482544754</v>
      </c>
      <c r="J62" s="109">
        <v>236.95422482544754</v>
      </c>
      <c r="K62" s="183">
        <f t="shared" si="81"/>
        <v>236.95422482544754</v>
      </c>
      <c r="L62" s="183">
        <f t="shared" si="81"/>
        <v>236.95422482544754</v>
      </c>
      <c r="M62" s="183">
        <f t="shared" si="81"/>
        <v>236.95422482544754</v>
      </c>
      <c r="N62" s="183">
        <f t="shared" si="81"/>
        <v>236.95422482544754</v>
      </c>
      <c r="O62" s="109">
        <v>236.95422482544754</v>
      </c>
      <c r="P62" s="183">
        <f t="shared" si="82"/>
        <v>236.95422482544754</v>
      </c>
      <c r="Q62" s="183">
        <f t="shared" si="82"/>
        <v>236.95422482544754</v>
      </c>
      <c r="R62" s="183">
        <f t="shared" si="82"/>
        <v>236.95422482544754</v>
      </c>
      <c r="S62" s="183">
        <f t="shared" si="82"/>
        <v>236.95422482544754</v>
      </c>
      <c r="T62" s="109">
        <v>236.95422482544754</v>
      </c>
      <c r="U62" s="195"/>
      <c r="V62" t="s">
        <v>641</v>
      </c>
      <c r="W62" s="39">
        <f t="shared" ref="W62:AL62" si="117">E62/SUM(E47:E79)</f>
        <v>2.3986612649547521E-4</v>
      </c>
      <c r="X62" s="39">
        <f t="shared" si="117"/>
        <v>2.3764052392759216E-4</v>
      </c>
      <c r="Y62" s="39">
        <f t="shared" si="117"/>
        <v>2.3545584226856731E-4</v>
      </c>
      <c r="Z62" s="39">
        <f t="shared" si="117"/>
        <v>2.333109632144405E-4</v>
      </c>
      <c r="AA62" s="39">
        <f t="shared" si="117"/>
        <v>2.3120480884205057E-4</v>
      </c>
      <c r="AB62" s="39">
        <f t="shared" si="117"/>
        <v>2.291363398027053E-4</v>
      </c>
      <c r="AC62" s="39">
        <f t="shared" si="117"/>
        <v>2.3279359676018038E-4</v>
      </c>
      <c r="AD62" s="39">
        <f t="shared" si="117"/>
        <v>2.3656949468677974E-4</v>
      </c>
      <c r="AE62" s="39">
        <f t="shared" si="117"/>
        <v>2.4046990181266558E-4</v>
      </c>
      <c r="AF62" s="39">
        <f t="shared" si="117"/>
        <v>2.4450107986224507E-4</v>
      </c>
      <c r="AG62" s="39">
        <f t="shared" si="117"/>
        <v>2.4866971759870477E-4</v>
      </c>
      <c r="AH62" s="39">
        <f t="shared" si="117"/>
        <v>2.5298305204694908E-4</v>
      </c>
      <c r="AI62" s="39">
        <f t="shared" si="117"/>
        <v>2.5744866288611489E-4</v>
      </c>
      <c r="AJ62" s="39">
        <f t="shared" si="117"/>
        <v>2.6207475888133245E-4</v>
      </c>
      <c r="AK62" s="39">
        <f t="shared" si="117"/>
        <v>2.6687014960700164E-4</v>
      </c>
      <c r="AL62" s="39">
        <f t="shared" si="117"/>
        <v>2.7184430143875317E-4</v>
      </c>
      <c r="AM62" s="184">
        <f t="shared" si="90"/>
        <v>2.7184430143875317E-4</v>
      </c>
      <c r="AN62" s="184">
        <f t="shared" si="115"/>
        <v>2.7184430143875317E-4</v>
      </c>
      <c r="AO62" s="184">
        <f t="shared" si="115"/>
        <v>2.7184430143875317E-4</v>
      </c>
      <c r="AP62" s="184">
        <f t="shared" si="115"/>
        <v>2.7184430143875317E-4</v>
      </c>
      <c r="AQ62" s="184">
        <f t="shared" si="115"/>
        <v>2.7184430143875317E-4</v>
      </c>
      <c r="AR62" s="184">
        <f t="shared" si="115"/>
        <v>2.7184430143875317E-4</v>
      </c>
      <c r="AS62" s="184">
        <f t="shared" si="115"/>
        <v>2.7184430143875317E-4</v>
      </c>
      <c r="AT62" s="184">
        <f t="shared" si="115"/>
        <v>2.7184430143875317E-4</v>
      </c>
      <c r="AU62" s="184">
        <f t="shared" si="115"/>
        <v>2.7184430143875317E-4</v>
      </c>
      <c r="AV62" s="184">
        <f t="shared" si="115"/>
        <v>2.7184430143875317E-4</v>
      </c>
      <c r="AW62" s="184">
        <f t="shared" si="115"/>
        <v>2.7184430143875317E-4</v>
      </c>
      <c r="AX62" s="184">
        <f t="shared" si="115"/>
        <v>2.7184430143875317E-4</v>
      </c>
      <c r="AY62" s="184">
        <f t="shared" si="115"/>
        <v>2.7184430143875317E-4</v>
      </c>
      <c r="AZ62" s="184">
        <f t="shared" si="115"/>
        <v>2.7184430143875317E-4</v>
      </c>
      <c r="BA62" s="184">
        <f t="shared" si="115"/>
        <v>2.7184430143875317E-4</v>
      </c>
      <c r="BB62" s="184">
        <f t="shared" si="115"/>
        <v>2.7184430143875317E-4</v>
      </c>
      <c r="BC62" s="184">
        <f t="shared" si="115"/>
        <v>2.7184430143875317E-4</v>
      </c>
      <c r="BD62" s="184">
        <f t="shared" si="115"/>
        <v>2.7184430143875317E-4</v>
      </c>
      <c r="BE62" s="184">
        <f t="shared" si="115"/>
        <v>2.7184430143875317E-4</v>
      </c>
      <c r="BF62" s="184">
        <f t="shared" si="115"/>
        <v>2.7184430143875317E-4</v>
      </c>
    </row>
    <row r="63" spans="2:58">
      <c r="B63" t="s">
        <v>642</v>
      </c>
      <c r="C63" s="109">
        <v>2817.3795495835575</v>
      </c>
      <c r="D63" s="182">
        <f t="shared" ref="D63:I63" si="118">C63+($J63-$C63)/(COLUMN($J63)-COLUMN($C63))</f>
        <v>2890.0704336725325</v>
      </c>
      <c r="E63" s="182">
        <f t="shared" si="118"/>
        <v>2962.7613177615076</v>
      </c>
      <c r="F63" s="182">
        <f t="shared" si="118"/>
        <v>3035.4522018504827</v>
      </c>
      <c r="G63" s="182">
        <f t="shared" si="118"/>
        <v>3108.1430859394577</v>
      </c>
      <c r="H63" s="182">
        <f t="shared" si="118"/>
        <v>3180.8339700284328</v>
      </c>
      <c r="I63" s="182">
        <f t="shared" si="118"/>
        <v>3253.5248541174078</v>
      </c>
      <c r="J63" s="109">
        <v>3326.2157382063833</v>
      </c>
      <c r="K63" s="183">
        <f t="shared" si="81"/>
        <v>3398.9087998235327</v>
      </c>
      <c r="L63" s="183">
        <f t="shared" si="81"/>
        <v>3471.6018614406821</v>
      </c>
      <c r="M63" s="183">
        <f t="shared" si="81"/>
        <v>3544.2949230578315</v>
      </c>
      <c r="N63" s="183">
        <f t="shared" si="81"/>
        <v>3616.9879846749809</v>
      </c>
      <c r="O63" s="109">
        <v>3689.6810462921312</v>
      </c>
      <c r="P63" s="183">
        <f t="shared" si="82"/>
        <v>3762.3876119385709</v>
      </c>
      <c r="Q63" s="183">
        <f t="shared" si="82"/>
        <v>3835.0941775850106</v>
      </c>
      <c r="R63" s="183">
        <f t="shared" si="82"/>
        <v>3907.8007432314503</v>
      </c>
      <c r="S63" s="183">
        <f t="shared" si="82"/>
        <v>3980.50730887789</v>
      </c>
      <c r="T63" s="109">
        <v>4053.2138745243301</v>
      </c>
      <c r="U63" s="195"/>
      <c r="V63" t="s">
        <v>642</v>
      </c>
      <c r="W63" s="39">
        <f t="shared" ref="W63:AL63" si="119">E63/SUM(E47:E79)</f>
        <v>2.9991703315085231E-3</v>
      </c>
      <c r="X63" s="39">
        <f t="shared" si="119"/>
        <v>3.0442438919850118E-3</v>
      </c>
      <c r="Y63" s="39">
        <f t="shared" si="119"/>
        <v>3.0884887101304158E-3</v>
      </c>
      <c r="Z63" s="39">
        <f t="shared" si="119"/>
        <v>3.1319274341667976E-3</v>
      </c>
      <c r="AA63" s="39">
        <f t="shared" si="119"/>
        <v>3.1745818945123549E-3</v>
      </c>
      <c r="AB63" s="39">
        <f t="shared" si="119"/>
        <v>3.216473140363745E-3</v>
      </c>
      <c r="AC63" s="39">
        <f t="shared" si="119"/>
        <v>3.3392280941756522E-3</v>
      </c>
      <c r="AD63" s="39">
        <f t="shared" si="119"/>
        <v>3.4659652036999927E-3</v>
      </c>
      <c r="AE63" s="39">
        <f t="shared" si="119"/>
        <v>3.5968814346766355E-3</v>
      </c>
      <c r="AF63" s="39">
        <f t="shared" si="119"/>
        <v>3.7321869603855373E-3</v>
      </c>
      <c r="AG63" s="39">
        <f t="shared" si="119"/>
        <v>3.8721062875609986E-3</v>
      </c>
      <c r="AH63" s="39">
        <f t="shared" si="119"/>
        <v>4.0168952537267943E-3</v>
      </c>
      <c r="AI63" s="39">
        <f t="shared" si="119"/>
        <v>4.1667957969051192E-3</v>
      </c>
      <c r="AJ63" s="39">
        <f t="shared" si="119"/>
        <v>4.3220834669358789E-3</v>
      </c>
      <c r="AK63" s="39">
        <f t="shared" si="119"/>
        <v>4.4830539814790559E-3</v>
      </c>
      <c r="AL63" s="39">
        <f t="shared" si="119"/>
        <v>4.6500251055392747E-3</v>
      </c>
      <c r="AM63" s="184">
        <f t="shared" si="90"/>
        <v>4.6500251055392747E-3</v>
      </c>
      <c r="AN63" s="184">
        <f t="shared" si="115"/>
        <v>4.6500251055392747E-3</v>
      </c>
      <c r="AO63" s="184">
        <f t="shared" si="115"/>
        <v>4.6500251055392747E-3</v>
      </c>
      <c r="AP63" s="184">
        <f t="shared" si="115"/>
        <v>4.6500251055392747E-3</v>
      </c>
      <c r="AQ63" s="184">
        <f t="shared" si="115"/>
        <v>4.6500251055392747E-3</v>
      </c>
      <c r="AR63" s="184">
        <f t="shared" si="115"/>
        <v>4.6500251055392747E-3</v>
      </c>
      <c r="AS63" s="184">
        <f t="shared" si="115"/>
        <v>4.6500251055392747E-3</v>
      </c>
      <c r="AT63" s="184">
        <f t="shared" si="115"/>
        <v>4.6500251055392747E-3</v>
      </c>
      <c r="AU63" s="184">
        <f t="shared" si="115"/>
        <v>4.6500251055392747E-3</v>
      </c>
      <c r="AV63" s="184">
        <f t="shared" si="115"/>
        <v>4.6500251055392747E-3</v>
      </c>
      <c r="AW63" s="184">
        <f t="shared" si="115"/>
        <v>4.6500251055392747E-3</v>
      </c>
      <c r="AX63" s="184">
        <f t="shared" si="115"/>
        <v>4.6500251055392747E-3</v>
      </c>
      <c r="AY63" s="184">
        <f t="shared" si="115"/>
        <v>4.6500251055392747E-3</v>
      </c>
      <c r="AZ63" s="184">
        <f t="shared" si="115"/>
        <v>4.6500251055392747E-3</v>
      </c>
      <c r="BA63" s="184">
        <f t="shared" si="115"/>
        <v>4.6500251055392747E-3</v>
      </c>
      <c r="BB63" s="184">
        <f t="shared" si="115"/>
        <v>4.6500251055392747E-3</v>
      </c>
      <c r="BC63" s="184">
        <f t="shared" si="115"/>
        <v>4.6500251055392747E-3</v>
      </c>
      <c r="BD63" s="184">
        <f t="shared" si="115"/>
        <v>4.6500251055392747E-3</v>
      </c>
      <c r="BE63" s="184">
        <f t="shared" si="115"/>
        <v>4.6500251055392747E-3</v>
      </c>
      <c r="BF63" s="184">
        <f t="shared" si="115"/>
        <v>4.6500251055392747E-3</v>
      </c>
    </row>
    <row r="64" spans="2:58">
      <c r="B64" t="s">
        <v>643</v>
      </c>
      <c r="C64" s="109">
        <v>716923.52752970043</v>
      </c>
      <c r="D64" s="182">
        <f t="shared" ref="D64:I64" si="120">C64+($J64-$C64)/(COLUMN($J64)-COLUMN($C64))</f>
        <v>725091.11572719214</v>
      </c>
      <c r="E64" s="182">
        <f t="shared" si="120"/>
        <v>733258.70392468385</v>
      </c>
      <c r="F64" s="182">
        <f t="shared" si="120"/>
        <v>741426.29212217557</v>
      </c>
      <c r="G64" s="182">
        <f t="shared" si="120"/>
        <v>749593.88031966728</v>
      </c>
      <c r="H64" s="182">
        <f t="shared" si="120"/>
        <v>757761.468517159</v>
      </c>
      <c r="I64" s="182">
        <f t="shared" si="120"/>
        <v>765929.05671465071</v>
      </c>
      <c r="J64" s="109">
        <v>774096.64491214242</v>
      </c>
      <c r="K64" s="183">
        <f t="shared" si="81"/>
        <v>758128.99474727944</v>
      </c>
      <c r="L64" s="183">
        <f t="shared" si="81"/>
        <v>742161.34458241647</v>
      </c>
      <c r="M64" s="183">
        <f t="shared" si="81"/>
        <v>726193.69441755349</v>
      </c>
      <c r="N64" s="183">
        <f t="shared" si="81"/>
        <v>710226.04425269051</v>
      </c>
      <c r="O64" s="109">
        <v>694258.39408782753</v>
      </c>
      <c r="P64" s="183">
        <f t="shared" si="82"/>
        <v>678290.74392296432</v>
      </c>
      <c r="Q64" s="183">
        <f t="shared" si="82"/>
        <v>662323.09375810111</v>
      </c>
      <c r="R64" s="183">
        <f t="shared" si="82"/>
        <v>646355.4435932379</v>
      </c>
      <c r="S64" s="183">
        <f t="shared" si="82"/>
        <v>630387.79342837469</v>
      </c>
      <c r="T64" s="109">
        <v>614420.14326351159</v>
      </c>
      <c r="U64" s="195"/>
      <c r="V64" t="s">
        <v>643</v>
      </c>
      <c r="W64" s="39">
        <f t="shared" ref="W64:AL64" si="121">E64/SUM(E47:E79)</f>
        <v>0.74226963101869747</v>
      </c>
      <c r="X64" s="39">
        <f t="shared" si="121"/>
        <v>0.74357371194119204</v>
      </c>
      <c r="Y64" s="39">
        <f t="shared" si="121"/>
        <v>0.74485381545759299</v>
      </c>
      <c r="Z64" s="39">
        <f t="shared" si="121"/>
        <v>0.7461105968326277</v>
      </c>
      <c r="AA64" s="39">
        <f t="shared" si="121"/>
        <v>0.74734468767009232</v>
      </c>
      <c r="AB64" s="39">
        <f t="shared" si="121"/>
        <v>0.74855669697126181</v>
      </c>
      <c r="AC64" s="39">
        <f t="shared" si="121"/>
        <v>0.74481717144063908</v>
      </c>
      <c r="AD64" s="39">
        <f t="shared" si="121"/>
        <v>0.74095633615842482</v>
      </c>
      <c r="AE64" s="39">
        <f t="shared" si="121"/>
        <v>0.73696819089090126</v>
      </c>
      <c r="AF64" s="39">
        <f t="shared" si="121"/>
        <v>0.73284633305860492</v>
      </c>
      <c r="AG64" s="39">
        <f t="shared" si="121"/>
        <v>0.72858392343722289</v>
      </c>
      <c r="AH64" s="39">
        <f t="shared" si="121"/>
        <v>0.72417388927854498</v>
      </c>
      <c r="AI64" s="39">
        <f t="shared" si="121"/>
        <v>0.71960816487753032</v>
      </c>
      <c r="AJ64" s="39">
        <f t="shared" si="121"/>
        <v>0.71487835743852335</v>
      </c>
      <c r="AK64" s="39">
        <f t="shared" si="121"/>
        <v>0.70997545988718269</v>
      </c>
      <c r="AL64" s="39">
        <f t="shared" si="121"/>
        <v>0.70488979362325443</v>
      </c>
      <c r="AM64" s="184">
        <f t="shared" si="90"/>
        <v>0.70488979362325443</v>
      </c>
      <c r="AN64" s="184">
        <f t="shared" si="115"/>
        <v>0.70488979362325443</v>
      </c>
      <c r="AO64" s="184">
        <f t="shared" si="115"/>
        <v>0.70488979362325443</v>
      </c>
      <c r="AP64" s="184">
        <f t="shared" si="115"/>
        <v>0.70488979362325443</v>
      </c>
      <c r="AQ64" s="184">
        <f t="shared" si="115"/>
        <v>0.70488979362325443</v>
      </c>
      <c r="AR64" s="184">
        <f t="shared" si="115"/>
        <v>0.70488979362325443</v>
      </c>
      <c r="AS64" s="184">
        <f t="shared" si="115"/>
        <v>0.70488979362325443</v>
      </c>
      <c r="AT64" s="184">
        <f t="shared" si="115"/>
        <v>0.70488979362325443</v>
      </c>
      <c r="AU64" s="184">
        <f t="shared" si="115"/>
        <v>0.70488979362325443</v>
      </c>
      <c r="AV64" s="184">
        <f t="shared" si="115"/>
        <v>0.70488979362325443</v>
      </c>
      <c r="AW64" s="184">
        <f t="shared" si="115"/>
        <v>0.70488979362325443</v>
      </c>
      <c r="AX64" s="184">
        <f t="shared" si="115"/>
        <v>0.70488979362325443</v>
      </c>
      <c r="AY64" s="184">
        <f t="shared" si="115"/>
        <v>0.70488979362325443</v>
      </c>
      <c r="AZ64" s="184">
        <f t="shared" si="115"/>
        <v>0.70488979362325443</v>
      </c>
      <c r="BA64" s="184">
        <f t="shared" si="115"/>
        <v>0.70488979362325443</v>
      </c>
      <c r="BB64" s="184">
        <f t="shared" si="115"/>
        <v>0.70488979362325443</v>
      </c>
      <c r="BC64" s="184">
        <f t="shared" si="115"/>
        <v>0.70488979362325443</v>
      </c>
      <c r="BD64" s="184">
        <f t="shared" si="115"/>
        <v>0.70488979362325443</v>
      </c>
      <c r="BE64" s="184">
        <f t="shared" si="115"/>
        <v>0.70488979362325443</v>
      </c>
      <c r="BF64" s="184">
        <f t="shared" si="115"/>
        <v>0.70488979362325443</v>
      </c>
    </row>
    <row r="65" spans="2:58">
      <c r="B65" t="s">
        <v>644</v>
      </c>
      <c r="C65" s="109">
        <v>104111.75451702256</v>
      </c>
      <c r="D65" s="182">
        <f t="shared" ref="D65:I65" si="122">C65+($J65-$C65)/(COLUMN($J65)-COLUMN($C65))</f>
        <v>103907.09122053826</v>
      </c>
      <c r="E65" s="182">
        <f t="shared" si="122"/>
        <v>103702.42792405396</v>
      </c>
      <c r="F65" s="182">
        <f t="shared" si="122"/>
        <v>103497.76462756966</v>
      </c>
      <c r="G65" s="182">
        <f t="shared" si="122"/>
        <v>103293.10133108536</v>
      </c>
      <c r="H65" s="182">
        <f t="shared" si="122"/>
        <v>103088.43803460106</v>
      </c>
      <c r="I65" s="182">
        <f t="shared" si="122"/>
        <v>102883.77473811676</v>
      </c>
      <c r="J65" s="109">
        <v>102679.11144163243</v>
      </c>
      <c r="K65" s="183">
        <f t="shared" si="81"/>
        <v>101479.65010196788</v>
      </c>
      <c r="L65" s="183">
        <f t="shared" si="81"/>
        <v>100280.18876230334</v>
      </c>
      <c r="M65" s="183">
        <f t="shared" si="81"/>
        <v>99080.727422638796</v>
      </c>
      <c r="N65" s="183">
        <f t="shared" si="81"/>
        <v>97881.266082974253</v>
      </c>
      <c r="O65" s="109">
        <v>96681.804743309724</v>
      </c>
      <c r="P65" s="183">
        <f t="shared" si="82"/>
        <v>95482.34340364518</v>
      </c>
      <c r="Q65" s="183">
        <f t="shared" si="82"/>
        <v>94282.882063980636</v>
      </c>
      <c r="R65" s="183">
        <f t="shared" si="82"/>
        <v>93083.420724316093</v>
      </c>
      <c r="S65" s="183">
        <f t="shared" si="82"/>
        <v>91883.959384651549</v>
      </c>
      <c r="T65" s="109">
        <v>90684.49804498702</v>
      </c>
      <c r="U65" s="195"/>
      <c r="V65" t="s">
        <v>644</v>
      </c>
      <c r="W65" s="39">
        <f t="shared" ref="W65:AL65" si="123">E65/SUM(E47:E79)</f>
        <v>0.10497681445706651</v>
      </c>
      <c r="X65" s="39">
        <f t="shared" si="123"/>
        <v>0.10379752895120728</v>
      </c>
      <c r="Y65" s="39">
        <f t="shared" si="123"/>
        <v>0.10263992630795769</v>
      </c>
      <c r="Z65" s="39">
        <f t="shared" si="123"/>
        <v>0.10150341396884824</v>
      </c>
      <c r="AA65" s="39">
        <f t="shared" si="123"/>
        <v>0.10038742077208265</v>
      </c>
      <c r="AB65" s="39">
        <f t="shared" si="123"/>
        <v>9.9291395995413423E-2</v>
      </c>
      <c r="AC65" s="39">
        <f t="shared" si="123"/>
        <v>9.9697790839577582E-2</v>
      </c>
      <c r="AD65" s="39">
        <f t="shared" si="123"/>
        <v>0.10011736908286283</v>
      </c>
      <c r="AE65" s="39">
        <f t="shared" si="123"/>
        <v>0.10055078280372852</v>
      </c>
      <c r="AF65" s="39">
        <f t="shared" si="123"/>
        <v>0.10099872780576299</v>
      </c>
      <c r="AG65" s="39">
        <f t="shared" si="123"/>
        <v>0.10146194734515655</v>
      </c>
      <c r="AH65" s="39">
        <f t="shared" si="123"/>
        <v>0.1019412701699796</v>
      </c>
      <c r="AI65" s="39">
        <f t="shared" si="123"/>
        <v>0.10243751483351606</v>
      </c>
      <c r="AJ65" s="39">
        <f t="shared" si="123"/>
        <v>0.10295159354151721</v>
      </c>
      <c r="AK65" s="39">
        <f t="shared" si="123"/>
        <v>0.10348448526515656</v>
      </c>
      <c r="AL65" s="39">
        <f t="shared" si="123"/>
        <v>0.10403724196318269</v>
      </c>
      <c r="AM65" s="184">
        <f t="shared" si="90"/>
        <v>0.10403724196318269</v>
      </c>
      <c r="AN65" s="184">
        <f t="shared" si="115"/>
        <v>0.10403724196318269</v>
      </c>
      <c r="AO65" s="184">
        <f t="shared" si="115"/>
        <v>0.10403724196318269</v>
      </c>
      <c r="AP65" s="184">
        <f t="shared" si="115"/>
        <v>0.10403724196318269</v>
      </c>
      <c r="AQ65" s="184">
        <f t="shared" si="115"/>
        <v>0.10403724196318269</v>
      </c>
      <c r="AR65" s="184">
        <f t="shared" si="115"/>
        <v>0.10403724196318269</v>
      </c>
      <c r="AS65" s="184">
        <f t="shared" si="115"/>
        <v>0.10403724196318269</v>
      </c>
      <c r="AT65" s="184">
        <f t="shared" si="115"/>
        <v>0.10403724196318269</v>
      </c>
      <c r="AU65" s="184">
        <f t="shared" si="115"/>
        <v>0.10403724196318269</v>
      </c>
      <c r="AV65" s="184">
        <f t="shared" si="115"/>
        <v>0.10403724196318269</v>
      </c>
      <c r="AW65" s="184">
        <f t="shared" si="115"/>
        <v>0.10403724196318269</v>
      </c>
      <c r="AX65" s="184">
        <f t="shared" si="115"/>
        <v>0.10403724196318269</v>
      </c>
      <c r="AY65" s="184">
        <f t="shared" si="115"/>
        <v>0.10403724196318269</v>
      </c>
      <c r="AZ65" s="184">
        <f t="shared" si="115"/>
        <v>0.10403724196318269</v>
      </c>
      <c r="BA65" s="184">
        <f t="shared" si="115"/>
        <v>0.10403724196318269</v>
      </c>
      <c r="BB65" s="184">
        <f t="shared" si="115"/>
        <v>0.10403724196318269</v>
      </c>
      <c r="BC65" s="184">
        <f t="shared" si="115"/>
        <v>0.10403724196318269</v>
      </c>
      <c r="BD65" s="184">
        <f t="shared" si="115"/>
        <v>0.10403724196318269</v>
      </c>
      <c r="BE65" s="184">
        <f t="shared" si="115"/>
        <v>0.10403724196318269</v>
      </c>
      <c r="BF65" s="184">
        <f t="shared" si="115"/>
        <v>0.10403724196318269</v>
      </c>
    </row>
    <row r="66" spans="2:58">
      <c r="B66" t="s">
        <v>645</v>
      </c>
      <c r="C66" s="109">
        <v>0</v>
      </c>
      <c r="D66" s="182">
        <f t="shared" ref="D66:I66" si="124">C66+($J66-$C66)/(COLUMN($J66)-COLUMN($C66))</f>
        <v>0</v>
      </c>
      <c r="E66" s="182">
        <f t="shared" si="124"/>
        <v>0</v>
      </c>
      <c r="F66" s="182">
        <f t="shared" si="124"/>
        <v>0</v>
      </c>
      <c r="G66" s="182">
        <f t="shared" si="124"/>
        <v>0</v>
      </c>
      <c r="H66" s="182">
        <f t="shared" si="124"/>
        <v>0</v>
      </c>
      <c r="I66" s="182">
        <f t="shared" si="124"/>
        <v>0</v>
      </c>
      <c r="J66" s="109">
        <v>0</v>
      </c>
      <c r="K66" s="183">
        <f t="shared" si="81"/>
        <v>0</v>
      </c>
      <c r="L66" s="183">
        <f t="shared" si="81"/>
        <v>0</v>
      </c>
      <c r="M66" s="183">
        <f t="shared" si="81"/>
        <v>0</v>
      </c>
      <c r="N66" s="183">
        <f t="shared" si="81"/>
        <v>0</v>
      </c>
      <c r="O66" s="109">
        <v>0</v>
      </c>
      <c r="P66" s="183">
        <f t="shared" si="82"/>
        <v>0</v>
      </c>
      <c r="Q66" s="183">
        <f t="shared" si="82"/>
        <v>0</v>
      </c>
      <c r="R66" s="183">
        <f t="shared" si="82"/>
        <v>0</v>
      </c>
      <c r="S66" s="183">
        <f t="shared" si="82"/>
        <v>0</v>
      </c>
      <c r="T66" s="109">
        <v>0</v>
      </c>
      <c r="U66" s="195"/>
      <c r="V66" t="s">
        <v>645</v>
      </c>
      <c r="W66" s="39">
        <f t="shared" ref="W66:AL66" si="125">E66/SUM(E47:E79)</f>
        <v>0</v>
      </c>
      <c r="X66" s="39">
        <f t="shared" si="125"/>
        <v>0</v>
      </c>
      <c r="Y66" s="39">
        <f t="shared" si="125"/>
        <v>0</v>
      </c>
      <c r="Z66" s="39">
        <f t="shared" si="125"/>
        <v>0</v>
      </c>
      <c r="AA66" s="39">
        <f t="shared" si="125"/>
        <v>0</v>
      </c>
      <c r="AB66" s="39">
        <f t="shared" si="125"/>
        <v>0</v>
      </c>
      <c r="AC66" s="39">
        <f t="shared" si="125"/>
        <v>0</v>
      </c>
      <c r="AD66" s="39">
        <f t="shared" si="125"/>
        <v>0</v>
      </c>
      <c r="AE66" s="39">
        <f t="shared" si="125"/>
        <v>0</v>
      </c>
      <c r="AF66" s="39">
        <f t="shared" si="125"/>
        <v>0</v>
      </c>
      <c r="AG66" s="39">
        <f t="shared" si="125"/>
        <v>0</v>
      </c>
      <c r="AH66" s="39">
        <f t="shared" si="125"/>
        <v>0</v>
      </c>
      <c r="AI66" s="39">
        <f t="shared" si="125"/>
        <v>0</v>
      </c>
      <c r="AJ66" s="39">
        <f t="shared" si="125"/>
        <v>0</v>
      </c>
      <c r="AK66" s="39">
        <f t="shared" si="125"/>
        <v>0</v>
      </c>
      <c r="AL66" s="39">
        <f t="shared" si="125"/>
        <v>0</v>
      </c>
      <c r="AM66" s="184">
        <f t="shared" si="90"/>
        <v>0</v>
      </c>
      <c r="AN66" s="184">
        <f t="shared" si="115"/>
        <v>0</v>
      </c>
      <c r="AO66" s="184">
        <f t="shared" si="115"/>
        <v>0</v>
      </c>
      <c r="AP66" s="184">
        <f t="shared" si="115"/>
        <v>0</v>
      </c>
      <c r="AQ66" s="184">
        <f t="shared" si="115"/>
        <v>0</v>
      </c>
      <c r="AR66" s="184">
        <f t="shared" si="115"/>
        <v>0</v>
      </c>
      <c r="AS66" s="184">
        <f t="shared" si="115"/>
        <v>0</v>
      </c>
      <c r="AT66" s="184">
        <f t="shared" si="115"/>
        <v>0</v>
      </c>
      <c r="AU66" s="184">
        <f t="shared" si="115"/>
        <v>0</v>
      </c>
      <c r="AV66" s="184">
        <f t="shared" si="115"/>
        <v>0</v>
      </c>
      <c r="AW66" s="184">
        <f t="shared" si="115"/>
        <v>0</v>
      </c>
      <c r="AX66" s="184">
        <f t="shared" si="115"/>
        <v>0</v>
      </c>
      <c r="AY66" s="184">
        <f t="shared" si="115"/>
        <v>0</v>
      </c>
      <c r="AZ66" s="184">
        <f t="shared" si="115"/>
        <v>0</v>
      </c>
      <c r="BA66" s="184">
        <f t="shared" si="115"/>
        <v>0</v>
      </c>
      <c r="BB66" s="184">
        <f t="shared" si="115"/>
        <v>0</v>
      </c>
      <c r="BC66" s="184">
        <f t="shared" si="115"/>
        <v>0</v>
      </c>
      <c r="BD66" s="184">
        <f t="shared" si="115"/>
        <v>0</v>
      </c>
      <c r="BE66" s="184">
        <f t="shared" si="115"/>
        <v>0</v>
      </c>
      <c r="BF66" s="184">
        <f t="shared" si="115"/>
        <v>0</v>
      </c>
    </row>
    <row r="67" spans="2:58">
      <c r="B67" t="s">
        <v>646</v>
      </c>
      <c r="C67" s="109">
        <v>1884.2961509996401</v>
      </c>
      <c r="D67" s="182">
        <f t="shared" ref="D67:I67" si="126">C67+($J67-$C67)/(COLUMN($J67)-COLUMN($C67))</f>
        <v>1878.4999280758072</v>
      </c>
      <c r="E67" s="182">
        <f t="shared" si="126"/>
        <v>1872.7037051519744</v>
      </c>
      <c r="F67" s="182">
        <f t="shared" si="126"/>
        <v>1866.9074822281416</v>
      </c>
      <c r="G67" s="182">
        <f t="shared" si="126"/>
        <v>1861.1112593043088</v>
      </c>
      <c r="H67" s="182">
        <f t="shared" si="126"/>
        <v>1855.3150363804759</v>
      </c>
      <c r="I67" s="182">
        <f t="shared" si="126"/>
        <v>1849.5188134566431</v>
      </c>
      <c r="J67" s="109">
        <v>1843.72259053281</v>
      </c>
      <c r="K67" s="183">
        <f t="shared" ref="K67:N79" si="127">J67+($O67-$J67)/(COLUMN($O67)-COLUMN($J67))</f>
        <v>1818.725498105824</v>
      </c>
      <c r="L67" s="183">
        <f t="shared" si="127"/>
        <v>1793.728405678838</v>
      </c>
      <c r="M67" s="183">
        <f t="shared" si="127"/>
        <v>1768.731313251852</v>
      </c>
      <c r="N67" s="183">
        <f t="shared" si="127"/>
        <v>1743.734220824866</v>
      </c>
      <c r="O67" s="109">
        <v>1718.73712839788</v>
      </c>
      <c r="P67" s="183">
        <f t="shared" ref="P67:S79" si="128">O67+($T67-$O67)/(COLUMN($T67)-COLUMN($O67))</f>
        <v>1693.740035970894</v>
      </c>
      <c r="Q67" s="183">
        <f t="shared" si="128"/>
        <v>1668.742943543908</v>
      </c>
      <c r="R67" s="183">
        <f t="shared" si="128"/>
        <v>1643.745851116922</v>
      </c>
      <c r="S67" s="183">
        <f t="shared" si="128"/>
        <v>1618.748758689936</v>
      </c>
      <c r="T67" s="109">
        <v>1593.75166626295</v>
      </c>
      <c r="U67" s="195"/>
      <c r="V67" t="s">
        <v>646</v>
      </c>
      <c r="W67" s="39">
        <f t="shared" ref="W67:AL67" si="129">E67/SUM(E47:E79)</f>
        <v>1.895717133380638E-3</v>
      </c>
      <c r="X67" s="39">
        <f t="shared" si="129"/>
        <v>1.8723146739749192E-3</v>
      </c>
      <c r="Y67" s="39">
        <f t="shared" si="129"/>
        <v>1.8493425024931178E-3</v>
      </c>
      <c r="Z67" s="39">
        <f t="shared" si="129"/>
        <v>1.8267888598442761E-3</v>
      </c>
      <c r="AA67" s="39">
        <f t="shared" si="129"/>
        <v>1.8046424115460448E-3</v>
      </c>
      <c r="AB67" s="39">
        <f t="shared" si="129"/>
        <v>1.7828922287309217E-3</v>
      </c>
      <c r="AC67" s="39">
        <f t="shared" si="129"/>
        <v>1.7867908898243708E-3</v>
      </c>
      <c r="AD67" s="39">
        <f t="shared" si="129"/>
        <v>1.7908160230076383E-3</v>
      </c>
      <c r="AE67" s="39">
        <f t="shared" si="129"/>
        <v>1.7949738838544745E-3</v>
      </c>
      <c r="AF67" s="39">
        <f t="shared" si="129"/>
        <v>1.7992711474062023E-3</v>
      </c>
      <c r="AG67" s="39">
        <f t="shared" si="129"/>
        <v>1.8037149439304259E-3</v>
      </c>
      <c r="AH67" s="39">
        <f t="shared" si="129"/>
        <v>1.8083135001693753E-3</v>
      </c>
      <c r="AI67" s="39">
        <f t="shared" si="129"/>
        <v>1.8130744021656302E-3</v>
      </c>
      <c r="AJ67" s="39">
        <f t="shared" si="129"/>
        <v>1.8180064014937712E-3</v>
      </c>
      <c r="AK67" s="39">
        <f t="shared" si="129"/>
        <v>1.8231188902665116E-3</v>
      </c>
      <c r="AL67" s="39">
        <f t="shared" si="129"/>
        <v>1.828421960829169E-3</v>
      </c>
      <c r="AM67" s="184">
        <f t="shared" si="90"/>
        <v>1.828421960829169E-3</v>
      </c>
      <c r="AN67" s="184">
        <f t="shared" si="115"/>
        <v>1.828421960829169E-3</v>
      </c>
      <c r="AO67" s="184">
        <f t="shared" si="115"/>
        <v>1.828421960829169E-3</v>
      </c>
      <c r="AP67" s="184">
        <f t="shared" si="115"/>
        <v>1.828421960829169E-3</v>
      </c>
      <c r="AQ67" s="184">
        <f t="shared" si="115"/>
        <v>1.828421960829169E-3</v>
      </c>
      <c r="AR67" s="184">
        <f t="shared" si="115"/>
        <v>1.828421960829169E-3</v>
      </c>
      <c r="AS67" s="184">
        <f t="shared" si="115"/>
        <v>1.828421960829169E-3</v>
      </c>
      <c r="AT67" s="184">
        <f t="shared" si="115"/>
        <v>1.828421960829169E-3</v>
      </c>
      <c r="AU67" s="184">
        <f t="shared" si="115"/>
        <v>1.828421960829169E-3</v>
      </c>
      <c r="AV67" s="184">
        <f t="shared" si="115"/>
        <v>1.828421960829169E-3</v>
      </c>
      <c r="AW67" s="184">
        <f t="shared" si="115"/>
        <v>1.828421960829169E-3</v>
      </c>
      <c r="AX67" s="184">
        <f t="shared" si="115"/>
        <v>1.828421960829169E-3</v>
      </c>
      <c r="AY67" s="184">
        <f t="shared" si="115"/>
        <v>1.828421960829169E-3</v>
      </c>
      <c r="AZ67" s="184">
        <f t="shared" si="115"/>
        <v>1.828421960829169E-3</v>
      </c>
      <c r="BA67" s="184">
        <f t="shared" si="115"/>
        <v>1.828421960829169E-3</v>
      </c>
      <c r="BB67" s="184">
        <f t="shared" si="115"/>
        <v>1.828421960829169E-3</v>
      </c>
      <c r="BC67" s="184">
        <f t="shared" si="115"/>
        <v>1.828421960829169E-3</v>
      </c>
      <c r="BD67" s="184">
        <f t="shared" si="115"/>
        <v>1.828421960829169E-3</v>
      </c>
      <c r="BE67" s="184">
        <f t="shared" si="115"/>
        <v>1.828421960829169E-3</v>
      </c>
      <c r="BF67" s="184">
        <f t="shared" si="115"/>
        <v>1.828421960829169E-3</v>
      </c>
    </row>
    <row r="68" spans="2:58">
      <c r="B68" t="s">
        <v>648</v>
      </c>
      <c r="C68" s="109">
        <v>0</v>
      </c>
      <c r="D68" s="182">
        <f t="shared" ref="D68:I68" si="130">C68+($J68-$C68)/(COLUMN($J68)-COLUMN($C68))</f>
        <v>0</v>
      </c>
      <c r="E68" s="182">
        <f t="shared" si="130"/>
        <v>0</v>
      </c>
      <c r="F68" s="182">
        <f t="shared" si="130"/>
        <v>0</v>
      </c>
      <c r="G68" s="182">
        <f t="shared" si="130"/>
        <v>0</v>
      </c>
      <c r="H68" s="182">
        <f t="shared" si="130"/>
        <v>0</v>
      </c>
      <c r="I68" s="182">
        <f t="shared" si="130"/>
        <v>0</v>
      </c>
      <c r="J68" s="109">
        <v>0</v>
      </c>
      <c r="K68" s="183">
        <f t="shared" si="127"/>
        <v>0</v>
      </c>
      <c r="L68" s="183">
        <f t="shared" si="127"/>
        <v>0</v>
      </c>
      <c r="M68" s="183">
        <f t="shared" si="127"/>
        <v>0</v>
      </c>
      <c r="N68" s="183">
        <f t="shared" si="127"/>
        <v>0</v>
      </c>
      <c r="O68" s="109">
        <v>0</v>
      </c>
      <c r="P68" s="183">
        <f t="shared" si="128"/>
        <v>0</v>
      </c>
      <c r="Q68" s="183">
        <f t="shared" si="128"/>
        <v>0</v>
      </c>
      <c r="R68" s="183">
        <f t="shared" si="128"/>
        <v>0</v>
      </c>
      <c r="S68" s="183">
        <f t="shared" si="128"/>
        <v>0</v>
      </c>
      <c r="T68" s="109">
        <v>0</v>
      </c>
      <c r="U68" s="195"/>
      <c r="V68" t="s">
        <v>648</v>
      </c>
      <c r="W68" s="39">
        <f t="shared" ref="W68:AL68" si="131">E68/SUM(E47:E79)</f>
        <v>0</v>
      </c>
      <c r="X68" s="39">
        <f t="shared" si="131"/>
        <v>0</v>
      </c>
      <c r="Y68" s="39">
        <f t="shared" si="131"/>
        <v>0</v>
      </c>
      <c r="Z68" s="39">
        <f t="shared" si="131"/>
        <v>0</v>
      </c>
      <c r="AA68" s="39">
        <f t="shared" si="131"/>
        <v>0</v>
      </c>
      <c r="AB68" s="39">
        <f t="shared" si="131"/>
        <v>0</v>
      </c>
      <c r="AC68" s="39">
        <f t="shared" si="131"/>
        <v>0</v>
      </c>
      <c r="AD68" s="39">
        <f t="shared" si="131"/>
        <v>0</v>
      </c>
      <c r="AE68" s="39">
        <f t="shared" si="131"/>
        <v>0</v>
      </c>
      <c r="AF68" s="39">
        <f t="shared" si="131"/>
        <v>0</v>
      </c>
      <c r="AG68" s="39">
        <f t="shared" si="131"/>
        <v>0</v>
      </c>
      <c r="AH68" s="39">
        <f t="shared" si="131"/>
        <v>0</v>
      </c>
      <c r="AI68" s="39">
        <f t="shared" si="131"/>
        <v>0</v>
      </c>
      <c r="AJ68" s="39">
        <f t="shared" si="131"/>
        <v>0</v>
      </c>
      <c r="AK68" s="39">
        <f t="shared" si="131"/>
        <v>0</v>
      </c>
      <c r="AL68" s="39">
        <f t="shared" si="131"/>
        <v>0</v>
      </c>
      <c r="AM68" s="184">
        <f t="shared" si="90"/>
        <v>0</v>
      </c>
      <c r="AN68" s="184">
        <f t="shared" si="115"/>
        <v>0</v>
      </c>
      <c r="AO68" s="184">
        <f t="shared" si="115"/>
        <v>0</v>
      </c>
      <c r="AP68" s="184">
        <f t="shared" si="115"/>
        <v>0</v>
      </c>
      <c r="AQ68" s="184">
        <f t="shared" si="115"/>
        <v>0</v>
      </c>
      <c r="AR68" s="184">
        <f t="shared" si="115"/>
        <v>0</v>
      </c>
      <c r="AS68" s="184">
        <f t="shared" si="115"/>
        <v>0</v>
      </c>
      <c r="AT68" s="184">
        <f t="shared" si="115"/>
        <v>0</v>
      </c>
      <c r="AU68" s="184">
        <f t="shared" si="115"/>
        <v>0</v>
      </c>
      <c r="AV68" s="184">
        <f t="shared" si="115"/>
        <v>0</v>
      </c>
      <c r="AW68" s="184">
        <f t="shared" si="115"/>
        <v>0</v>
      </c>
      <c r="AX68" s="184">
        <f t="shared" si="115"/>
        <v>0</v>
      </c>
      <c r="AY68" s="184">
        <f t="shared" si="115"/>
        <v>0</v>
      </c>
      <c r="AZ68" s="184">
        <f t="shared" si="115"/>
        <v>0</v>
      </c>
      <c r="BA68" s="184">
        <f t="shared" si="115"/>
        <v>0</v>
      </c>
      <c r="BB68" s="184">
        <f t="shared" si="115"/>
        <v>0</v>
      </c>
      <c r="BC68" s="184">
        <f t="shared" si="115"/>
        <v>0</v>
      </c>
      <c r="BD68" s="184">
        <f t="shared" si="115"/>
        <v>0</v>
      </c>
      <c r="BE68" s="184">
        <f t="shared" si="115"/>
        <v>0</v>
      </c>
      <c r="BF68" s="184">
        <f t="shared" si="115"/>
        <v>0</v>
      </c>
    </row>
    <row r="69" spans="2:58">
      <c r="B69" t="s">
        <v>649</v>
      </c>
      <c r="C69" s="109">
        <v>0</v>
      </c>
      <c r="D69" s="182">
        <f t="shared" ref="D69:I69" si="132">C69+($J69-$C69)/(COLUMN($J69)-COLUMN($C69))</f>
        <v>0</v>
      </c>
      <c r="E69" s="182">
        <f t="shared" si="132"/>
        <v>0</v>
      </c>
      <c r="F69" s="182">
        <f t="shared" si="132"/>
        <v>0</v>
      </c>
      <c r="G69" s="182">
        <f t="shared" si="132"/>
        <v>0</v>
      </c>
      <c r="H69" s="182">
        <f t="shared" si="132"/>
        <v>0</v>
      </c>
      <c r="I69" s="182">
        <f t="shared" si="132"/>
        <v>0</v>
      </c>
      <c r="J69" s="109">
        <v>0</v>
      </c>
      <c r="K69" s="183">
        <f t="shared" si="127"/>
        <v>0</v>
      </c>
      <c r="L69" s="183">
        <f t="shared" si="127"/>
        <v>0</v>
      </c>
      <c r="M69" s="183">
        <f t="shared" si="127"/>
        <v>0</v>
      </c>
      <c r="N69" s="183">
        <f t="shared" si="127"/>
        <v>0</v>
      </c>
      <c r="O69" s="109">
        <v>0</v>
      </c>
      <c r="P69" s="183">
        <f t="shared" si="128"/>
        <v>0</v>
      </c>
      <c r="Q69" s="183">
        <f t="shared" si="128"/>
        <v>0</v>
      </c>
      <c r="R69" s="183">
        <f t="shared" si="128"/>
        <v>0</v>
      </c>
      <c r="S69" s="183">
        <f t="shared" si="128"/>
        <v>0</v>
      </c>
      <c r="T69" s="109">
        <v>0</v>
      </c>
      <c r="U69" s="195"/>
      <c r="V69" t="s">
        <v>649</v>
      </c>
      <c r="W69" s="39">
        <f t="shared" ref="W69:AL69" si="133">E69/SUM(E47:E79)</f>
        <v>0</v>
      </c>
      <c r="X69" s="39">
        <f t="shared" si="133"/>
        <v>0</v>
      </c>
      <c r="Y69" s="39">
        <f t="shared" si="133"/>
        <v>0</v>
      </c>
      <c r="Z69" s="39">
        <f t="shared" si="133"/>
        <v>0</v>
      </c>
      <c r="AA69" s="39">
        <f t="shared" si="133"/>
        <v>0</v>
      </c>
      <c r="AB69" s="39">
        <f t="shared" si="133"/>
        <v>0</v>
      </c>
      <c r="AC69" s="39">
        <f t="shared" si="133"/>
        <v>0</v>
      </c>
      <c r="AD69" s="39">
        <f t="shared" si="133"/>
        <v>0</v>
      </c>
      <c r="AE69" s="39">
        <f t="shared" si="133"/>
        <v>0</v>
      </c>
      <c r="AF69" s="39">
        <f t="shared" si="133"/>
        <v>0</v>
      </c>
      <c r="AG69" s="39">
        <f t="shared" si="133"/>
        <v>0</v>
      </c>
      <c r="AH69" s="39">
        <f t="shared" si="133"/>
        <v>0</v>
      </c>
      <c r="AI69" s="39">
        <f t="shared" si="133"/>
        <v>0</v>
      </c>
      <c r="AJ69" s="39">
        <f t="shared" si="133"/>
        <v>0</v>
      </c>
      <c r="AK69" s="39">
        <f t="shared" si="133"/>
        <v>0</v>
      </c>
      <c r="AL69" s="39">
        <f t="shared" si="133"/>
        <v>0</v>
      </c>
      <c r="AM69" s="184">
        <f t="shared" si="90"/>
        <v>0</v>
      </c>
      <c r="AN69" s="184">
        <f t="shared" si="115"/>
        <v>0</v>
      </c>
      <c r="AO69" s="184">
        <f t="shared" si="115"/>
        <v>0</v>
      </c>
      <c r="AP69" s="184">
        <f t="shared" si="115"/>
        <v>0</v>
      </c>
      <c r="AQ69" s="184">
        <f t="shared" si="115"/>
        <v>0</v>
      </c>
      <c r="AR69" s="184">
        <f t="shared" si="115"/>
        <v>0</v>
      </c>
      <c r="AS69" s="184">
        <f t="shared" si="115"/>
        <v>0</v>
      </c>
      <c r="AT69" s="184">
        <f t="shared" si="115"/>
        <v>0</v>
      </c>
      <c r="AU69" s="184">
        <f t="shared" si="115"/>
        <v>0</v>
      </c>
      <c r="AV69" s="184">
        <f t="shared" si="115"/>
        <v>0</v>
      </c>
      <c r="AW69" s="184">
        <f t="shared" si="115"/>
        <v>0</v>
      </c>
      <c r="AX69" s="184">
        <f t="shared" si="115"/>
        <v>0</v>
      </c>
      <c r="AY69" s="184">
        <f t="shared" si="115"/>
        <v>0</v>
      </c>
      <c r="AZ69" s="184">
        <f t="shared" si="115"/>
        <v>0</v>
      </c>
      <c r="BA69" s="184">
        <f t="shared" si="115"/>
        <v>0</v>
      </c>
      <c r="BB69" s="184">
        <f t="shared" si="115"/>
        <v>0</v>
      </c>
      <c r="BC69" s="184">
        <f t="shared" si="115"/>
        <v>0</v>
      </c>
      <c r="BD69" s="184">
        <f t="shared" si="115"/>
        <v>0</v>
      </c>
      <c r="BE69" s="184">
        <f t="shared" si="115"/>
        <v>0</v>
      </c>
      <c r="BF69" s="184">
        <f t="shared" si="115"/>
        <v>0</v>
      </c>
    </row>
    <row r="70" spans="2:58">
      <c r="B70" t="s">
        <v>650</v>
      </c>
      <c r="C70" s="109">
        <v>9.0345953271054817</v>
      </c>
      <c r="D70" s="182">
        <f t="shared" ref="D70:I70" si="134">C70+($J70-$C70)/(COLUMN($J70)-COLUMN($C70))</f>
        <v>9.2676994956640577</v>
      </c>
      <c r="E70" s="182">
        <f t="shared" si="134"/>
        <v>9.5008036642226337</v>
      </c>
      <c r="F70" s="182">
        <f t="shared" si="134"/>
        <v>9.7339078327812096</v>
      </c>
      <c r="G70" s="182">
        <f t="shared" si="134"/>
        <v>9.9670120013397856</v>
      </c>
      <c r="H70" s="182">
        <f t="shared" si="134"/>
        <v>10.200116169898362</v>
      </c>
      <c r="I70" s="182">
        <f t="shared" si="134"/>
        <v>10.433220338456938</v>
      </c>
      <c r="J70" s="109">
        <v>10.66632450701551</v>
      </c>
      <c r="K70" s="183">
        <f t="shared" si="127"/>
        <v>10.899435697273772</v>
      </c>
      <c r="L70" s="183">
        <f t="shared" si="127"/>
        <v>11.132546887532033</v>
      </c>
      <c r="M70" s="183">
        <f t="shared" si="127"/>
        <v>11.365658077790295</v>
      </c>
      <c r="N70" s="183">
        <f t="shared" si="127"/>
        <v>11.598769268048557</v>
      </c>
      <c r="O70" s="109">
        <v>11.83188045830682</v>
      </c>
      <c r="P70" s="183">
        <f t="shared" si="128"/>
        <v>12.065003406267783</v>
      </c>
      <c r="Q70" s="183">
        <f t="shared" si="128"/>
        <v>12.298126354228746</v>
      </c>
      <c r="R70" s="183">
        <f t="shared" si="128"/>
        <v>12.531249302189709</v>
      </c>
      <c r="S70" s="183">
        <f t="shared" si="128"/>
        <v>12.764372250150672</v>
      </c>
      <c r="T70" s="109">
        <v>12.997495198111633</v>
      </c>
      <c r="U70" s="195"/>
      <c r="V70" t="s">
        <v>650</v>
      </c>
      <c r="W70" s="39">
        <f t="shared" ref="W70:AL70" si="135">E70/SUM(E47:E79)</f>
        <v>9.6175578857472114E-6</v>
      </c>
      <c r="X70" s="39">
        <f t="shared" si="135"/>
        <v>9.7621005025296273E-6</v>
      </c>
      <c r="Y70" s="39">
        <f t="shared" si="135"/>
        <v>9.9039854951104708E-6</v>
      </c>
      <c r="Z70" s="39">
        <f t="shared" si="135"/>
        <v>1.0043285492171565E-5</v>
      </c>
      <c r="AA70" s="39">
        <f t="shared" si="135"/>
        <v>1.0180070499848175E-5</v>
      </c>
      <c r="AB70" s="39">
        <f t="shared" si="135"/>
        <v>1.0314408019041796E-5</v>
      </c>
      <c r="AC70" s="39">
        <f t="shared" si="135"/>
        <v>1.0708054859514673E-5</v>
      </c>
      <c r="AD70" s="39">
        <f t="shared" si="135"/>
        <v>1.1114471555425501E-5</v>
      </c>
      <c r="AE70" s="39">
        <f t="shared" si="135"/>
        <v>1.1534289730499214E-5</v>
      </c>
      <c r="AF70" s="39">
        <f t="shared" si="135"/>
        <v>1.196818336199732E-5</v>
      </c>
      <c r="AG70" s="39">
        <f t="shared" si="135"/>
        <v>1.2416872391265386E-5</v>
      </c>
      <c r="AH70" s="39">
        <f t="shared" si="135"/>
        <v>1.2881143549657728E-5</v>
      </c>
      <c r="AI70" s="39">
        <f t="shared" si="135"/>
        <v>1.3361805168205031E-5</v>
      </c>
      <c r="AJ70" s="39">
        <f t="shared" si="135"/>
        <v>1.38597408076285E-5</v>
      </c>
      <c r="AK70" s="39">
        <f t="shared" si="135"/>
        <v>1.4375898697508003E-5</v>
      </c>
      <c r="AL70" s="39">
        <f t="shared" si="135"/>
        <v>1.491129776304689E-5</v>
      </c>
      <c r="AM70" s="184">
        <f t="shared" si="90"/>
        <v>1.491129776304689E-5</v>
      </c>
      <c r="AN70" s="184">
        <f t="shared" si="115"/>
        <v>1.491129776304689E-5</v>
      </c>
      <c r="AO70" s="184">
        <f t="shared" si="115"/>
        <v>1.491129776304689E-5</v>
      </c>
      <c r="AP70" s="184">
        <f t="shared" si="115"/>
        <v>1.491129776304689E-5</v>
      </c>
      <c r="AQ70" s="184">
        <f t="shared" si="115"/>
        <v>1.491129776304689E-5</v>
      </c>
      <c r="AR70" s="184">
        <f t="shared" si="115"/>
        <v>1.491129776304689E-5</v>
      </c>
      <c r="AS70" s="184">
        <f t="shared" si="115"/>
        <v>1.491129776304689E-5</v>
      </c>
      <c r="AT70" s="184">
        <f t="shared" si="115"/>
        <v>1.491129776304689E-5</v>
      </c>
      <c r="AU70" s="184">
        <f t="shared" si="115"/>
        <v>1.491129776304689E-5</v>
      </c>
      <c r="AV70" s="184">
        <f t="shared" si="115"/>
        <v>1.491129776304689E-5</v>
      </c>
      <c r="AW70" s="184">
        <f t="shared" si="115"/>
        <v>1.491129776304689E-5</v>
      </c>
      <c r="AX70" s="184">
        <f t="shared" si="115"/>
        <v>1.491129776304689E-5</v>
      </c>
      <c r="AY70" s="184">
        <f t="shared" si="115"/>
        <v>1.491129776304689E-5</v>
      </c>
      <c r="AZ70" s="184">
        <f t="shared" si="115"/>
        <v>1.491129776304689E-5</v>
      </c>
      <c r="BA70" s="184">
        <f t="shared" si="115"/>
        <v>1.491129776304689E-5</v>
      </c>
      <c r="BB70" s="184">
        <f t="shared" si="115"/>
        <v>1.491129776304689E-5</v>
      </c>
      <c r="BC70" s="184">
        <f t="shared" si="115"/>
        <v>1.491129776304689E-5</v>
      </c>
      <c r="BD70" s="184">
        <f t="shared" si="115"/>
        <v>1.491129776304689E-5</v>
      </c>
      <c r="BE70" s="184">
        <f t="shared" si="115"/>
        <v>1.491129776304689E-5</v>
      </c>
      <c r="BF70" s="184">
        <f t="shared" si="115"/>
        <v>1.491129776304689E-5</v>
      </c>
    </row>
    <row r="71" spans="2:58">
      <c r="B71" t="s">
        <v>651</v>
      </c>
      <c r="C71" s="109">
        <v>0</v>
      </c>
      <c r="D71" s="182">
        <f t="shared" ref="D71:I71" si="136">C71+($J71-$C71)/(COLUMN($J71)-COLUMN($C71))</f>
        <v>0</v>
      </c>
      <c r="E71" s="182">
        <f t="shared" si="136"/>
        <v>0</v>
      </c>
      <c r="F71" s="182">
        <f t="shared" si="136"/>
        <v>0</v>
      </c>
      <c r="G71" s="182">
        <f t="shared" si="136"/>
        <v>0</v>
      </c>
      <c r="H71" s="182">
        <f t="shared" si="136"/>
        <v>0</v>
      </c>
      <c r="I71" s="182">
        <f t="shared" si="136"/>
        <v>0</v>
      </c>
      <c r="J71" s="109">
        <v>0</v>
      </c>
      <c r="K71" s="183">
        <f t="shared" si="127"/>
        <v>0</v>
      </c>
      <c r="L71" s="183">
        <f t="shared" si="127"/>
        <v>0</v>
      </c>
      <c r="M71" s="183">
        <f t="shared" si="127"/>
        <v>0</v>
      </c>
      <c r="N71" s="183">
        <f t="shared" si="127"/>
        <v>0</v>
      </c>
      <c r="O71" s="109">
        <v>0</v>
      </c>
      <c r="P71" s="183">
        <f t="shared" si="128"/>
        <v>0</v>
      </c>
      <c r="Q71" s="183">
        <f t="shared" si="128"/>
        <v>0</v>
      </c>
      <c r="R71" s="183">
        <f t="shared" si="128"/>
        <v>0</v>
      </c>
      <c r="S71" s="183">
        <f t="shared" si="128"/>
        <v>0</v>
      </c>
      <c r="T71" s="109">
        <v>0</v>
      </c>
      <c r="U71" s="195"/>
      <c r="V71" t="s">
        <v>651</v>
      </c>
      <c r="W71" s="39">
        <f t="shared" ref="W71:AL71" si="137">E71/SUM(E47:E79)</f>
        <v>0</v>
      </c>
      <c r="X71" s="39">
        <f t="shared" si="137"/>
        <v>0</v>
      </c>
      <c r="Y71" s="39">
        <f t="shared" si="137"/>
        <v>0</v>
      </c>
      <c r="Z71" s="39">
        <f t="shared" si="137"/>
        <v>0</v>
      </c>
      <c r="AA71" s="39">
        <f t="shared" si="137"/>
        <v>0</v>
      </c>
      <c r="AB71" s="39">
        <f t="shared" si="137"/>
        <v>0</v>
      </c>
      <c r="AC71" s="39">
        <f t="shared" si="137"/>
        <v>0</v>
      </c>
      <c r="AD71" s="39">
        <f t="shared" si="137"/>
        <v>0</v>
      </c>
      <c r="AE71" s="39">
        <f t="shared" si="137"/>
        <v>0</v>
      </c>
      <c r="AF71" s="39">
        <f t="shared" si="137"/>
        <v>0</v>
      </c>
      <c r="AG71" s="39">
        <f t="shared" si="137"/>
        <v>0</v>
      </c>
      <c r="AH71" s="39">
        <f t="shared" si="137"/>
        <v>0</v>
      </c>
      <c r="AI71" s="39">
        <f t="shared" si="137"/>
        <v>0</v>
      </c>
      <c r="AJ71" s="39">
        <f t="shared" si="137"/>
        <v>0</v>
      </c>
      <c r="AK71" s="39">
        <f t="shared" si="137"/>
        <v>0</v>
      </c>
      <c r="AL71" s="39">
        <f t="shared" si="137"/>
        <v>0</v>
      </c>
      <c r="AM71" s="184">
        <f t="shared" si="90"/>
        <v>0</v>
      </c>
      <c r="AN71" s="184">
        <f t="shared" si="115"/>
        <v>0</v>
      </c>
      <c r="AO71" s="184">
        <f t="shared" si="115"/>
        <v>0</v>
      </c>
      <c r="AP71" s="184">
        <f t="shared" si="115"/>
        <v>0</v>
      </c>
      <c r="AQ71" s="184">
        <f t="shared" si="115"/>
        <v>0</v>
      </c>
      <c r="AR71" s="184">
        <f t="shared" si="115"/>
        <v>0</v>
      </c>
      <c r="AS71" s="184">
        <f t="shared" si="115"/>
        <v>0</v>
      </c>
      <c r="AT71" s="184">
        <f t="shared" si="115"/>
        <v>0</v>
      </c>
      <c r="AU71" s="184">
        <f t="shared" si="115"/>
        <v>0</v>
      </c>
      <c r="AV71" s="184">
        <f t="shared" si="115"/>
        <v>0</v>
      </c>
      <c r="AW71" s="184">
        <f t="shared" si="115"/>
        <v>0</v>
      </c>
      <c r="AX71" s="184">
        <f t="shared" si="115"/>
        <v>0</v>
      </c>
      <c r="AY71" s="184">
        <f t="shared" si="115"/>
        <v>0</v>
      </c>
      <c r="AZ71" s="184">
        <f t="shared" si="115"/>
        <v>0</v>
      </c>
      <c r="BA71" s="184">
        <f t="shared" si="115"/>
        <v>0</v>
      </c>
      <c r="BB71" s="184">
        <f t="shared" si="115"/>
        <v>0</v>
      </c>
      <c r="BC71" s="184">
        <f t="shared" si="115"/>
        <v>0</v>
      </c>
      <c r="BD71" s="184">
        <f t="shared" si="115"/>
        <v>0</v>
      </c>
      <c r="BE71" s="184">
        <f t="shared" si="115"/>
        <v>0</v>
      </c>
      <c r="BF71" s="184">
        <f t="shared" si="115"/>
        <v>0</v>
      </c>
    </row>
    <row r="72" spans="2:58">
      <c r="B72" t="s">
        <v>652</v>
      </c>
      <c r="C72" s="109">
        <v>37903.679400785426</v>
      </c>
      <c r="D72" s="182">
        <f t="shared" ref="D72:I72" si="138">C72+($J72-$C72)/(COLUMN($J72)-COLUMN($C72))</f>
        <v>38881.5093624047</v>
      </c>
      <c r="E72" s="182">
        <f t="shared" si="138"/>
        <v>39859.339324023975</v>
      </c>
      <c r="F72" s="182">
        <f t="shared" si="138"/>
        <v>40837.169285643249</v>
      </c>
      <c r="G72" s="182">
        <f t="shared" si="138"/>
        <v>41814.999247262524</v>
      </c>
      <c r="H72" s="182">
        <f t="shared" si="138"/>
        <v>42792.829208881798</v>
      </c>
      <c r="I72" s="182">
        <f t="shared" si="138"/>
        <v>43770.659170501072</v>
      </c>
      <c r="J72" s="109">
        <v>44748.489132120347</v>
      </c>
      <c r="K72" s="183">
        <f t="shared" si="127"/>
        <v>45726.808042103177</v>
      </c>
      <c r="L72" s="183">
        <f t="shared" si="127"/>
        <v>46705.126952086008</v>
      </c>
      <c r="M72" s="183">
        <f t="shared" si="127"/>
        <v>47683.445862068838</v>
      </c>
      <c r="N72" s="183">
        <f t="shared" si="127"/>
        <v>48661.764772051669</v>
      </c>
      <c r="O72" s="109">
        <v>49640.083682034485</v>
      </c>
      <c r="P72" s="183">
        <f t="shared" si="128"/>
        <v>50618.048208774213</v>
      </c>
      <c r="Q72" s="183">
        <f t="shared" si="128"/>
        <v>51596.012735513941</v>
      </c>
      <c r="R72" s="183">
        <f t="shared" si="128"/>
        <v>52573.977262253669</v>
      </c>
      <c r="S72" s="183">
        <f t="shared" si="128"/>
        <v>53551.941788993397</v>
      </c>
      <c r="T72" s="109">
        <v>54529.906315733118</v>
      </c>
      <c r="U72" s="195"/>
      <c r="V72" t="s">
        <v>652</v>
      </c>
      <c r="W72" s="39">
        <f t="shared" ref="W72:AL72" si="139">E72/SUM(E47:E79)</f>
        <v>4.0349165900567717E-2</v>
      </c>
      <c r="X72" s="39">
        <f t="shared" si="139"/>
        <v>4.0955447457874661E-2</v>
      </c>
      <c r="Y72" s="39">
        <f t="shared" si="139"/>
        <v>4.155058165549258E-2</v>
      </c>
      <c r="Z72" s="39">
        <f t="shared" si="139"/>
        <v>4.2134873133196936E-2</v>
      </c>
      <c r="AA72" s="39">
        <f t="shared" si="139"/>
        <v>4.2708615530536086E-2</v>
      </c>
      <c r="AB72" s="39">
        <f t="shared" si="139"/>
        <v>4.3272091978897795E-2</v>
      </c>
      <c r="AC72" s="39">
        <f t="shared" si="139"/>
        <v>4.4923900894044487E-2</v>
      </c>
      <c r="AD72" s="39">
        <f t="shared" si="139"/>
        <v>4.6629294288701301E-2</v>
      </c>
      <c r="AE72" s="39">
        <f t="shared" si="139"/>
        <v>4.8390922563157517E-2</v>
      </c>
      <c r="AF72" s="39">
        <f t="shared" si="139"/>
        <v>5.0211613840326116E-2</v>
      </c>
      <c r="AG72" s="39">
        <f t="shared" si="139"/>
        <v>5.2094389116213446E-2</v>
      </c>
      <c r="AH72" s="39">
        <f t="shared" si="139"/>
        <v>5.4042118615730488E-2</v>
      </c>
      <c r="AI72" s="39">
        <f t="shared" si="139"/>
        <v>5.6058610049253978E-2</v>
      </c>
      <c r="AJ72" s="39">
        <f t="shared" si="139"/>
        <v>5.8147570167139187E-2</v>
      </c>
      <c r="AK72" s="39">
        <f t="shared" si="139"/>
        <v>6.0312977021202682E-2</v>
      </c>
      <c r="AL72" s="39">
        <f t="shared" si="139"/>
        <v>6.2559105248454511E-2</v>
      </c>
      <c r="AM72" s="184">
        <f t="shared" si="90"/>
        <v>6.2559105248454511E-2</v>
      </c>
      <c r="AN72" s="184">
        <f t="shared" si="115"/>
        <v>6.2559105248454511E-2</v>
      </c>
      <c r="AO72" s="184">
        <f t="shared" si="115"/>
        <v>6.2559105248454511E-2</v>
      </c>
      <c r="AP72" s="184">
        <f t="shared" si="115"/>
        <v>6.2559105248454511E-2</v>
      </c>
      <c r="AQ72" s="184">
        <f t="shared" si="115"/>
        <v>6.2559105248454511E-2</v>
      </c>
      <c r="AR72" s="184">
        <f t="shared" si="115"/>
        <v>6.2559105248454511E-2</v>
      </c>
      <c r="AS72" s="184">
        <f t="shared" si="115"/>
        <v>6.2559105248454511E-2</v>
      </c>
      <c r="AT72" s="184">
        <f t="shared" si="115"/>
        <v>6.2559105248454511E-2</v>
      </c>
      <c r="AU72" s="184">
        <f t="shared" si="115"/>
        <v>6.2559105248454511E-2</v>
      </c>
      <c r="AV72" s="184">
        <f t="shared" si="115"/>
        <v>6.2559105248454511E-2</v>
      </c>
      <c r="AW72" s="184">
        <f t="shared" si="115"/>
        <v>6.2559105248454511E-2</v>
      </c>
      <c r="AX72" s="184">
        <f t="shared" si="115"/>
        <v>6.2559105248454511E-2</v>
      </c>
      <c r="AY72" s="184">
        <f t="shared" si="115"/>
        <v>6.2559105248454511E-2</v>
      </c>
      <c r="AZ72" s="184">
        <f t="shared" si="115"/>
        <v>6.2559105248454511E-2</v>
      </c>
      <c r="BA72" s="184">
        <f t="shared" si="115"/>
        <v>6.2559105248454511E-2</v>
      </c>
      <c r="BB72" s="184">
        <f t="shared" si="115"/>
        <v>6.2559105248454511E-2</v>
      </c>
      <c r="BC72" s="184">
        <f t="shared" si="115"/>
        <v>6.2559105248454511E-2</v>
      </c>
      <c r="BD72" s="184">
        <f t="shared" si="115"/>
        <v>6.2559105248454511E-2</v>
      </c>
      <c r="BE72" s="184">
        <f t="shared" si="115"/>
        <v>6.2559105248454511E-2</v>
      </c>
      <c r="BF72" s="184">
        <f t="shared" si="115"/>
        <v>6.2559105248454511E-2</v>
      </c>
    </row>
    <row r="73" spans="2:58">
      <c r="B73" t="s">
        <v>653</v>
      </c>
      <c r="C73" s="109">
        <v>813.19305511257517</v>
      </c>
      <c r="D73" s="182">
        <f t="shared" ref="D73:I73" si="140">C73+($J73-$C73)/(COLUMN($J73)-COLUMN($C73))</f>
        <v>833.95725720417749</v>
      </c>
      <c r="E73" s="182">
        <f t="shared" si="140"/>
        <v>854.72145929577982</v>
      </c>
      <c r="F73" s="182">
        <f t="shared" si="140"/>
        <v>875.48566138738215</v>
      </c>
      <c r="G73" s="182">
        <f t="shared" si="140"/>
        <v>896.24986347898448</v>
      </c>
      <c r="H73" s="182">
        <f t="shared" si="140"/>
        <v>917.01406557058681</v>
      </c>
      <c r="I73" s="182">
        <f t="shared" si="140"/>
        <v>937.77826766218914</v>
      </c>
      <c r="J73" s="109">
        <v>958.54246975379158</v>
      </c>
      <c r="K73" s="183">
        <f t="shared" si="127"/>
        <v>979.30729731679673</v>
      </c>
      <c r="L73" s="183">
        <f t="shared" si="127"/>
        <v>1000.0721248798019</v>
      </c>
      <c r="M73" s="183">
        <f t="shared" si="127"/>
        <v>1020.836952442807</v>
      </c>
      <c r="N73" s="183">
        <f t="shared" si="127"/>
        <v>1041.6017800058121</v>
      </c>
      <c r="O73" s="109">
        <v>1062.3666075688172</v>
      </c>
      <c r="P73" s="183">
        <f t="shared" si="128"/>
        <v>1083.1324824718015</v>
      </c>
      <c r="Q73" s="183">
        <f t="shared" si="128"/>
        <v>1103.8983573747857</v>
      </c>
      <c r="R73" s="183">
        <f t="shared" si="128"/>
        <v>1124.66423227777</v>
      </c>
      <c r="S73" s="183">
        <f t="shared" si="128"/>
        <v>1145.4301071807542</v>
      </c>
      <c r="T73" s="109">
        <v>1166.1959820837383</v>
      </c>
      <c r="U73" s="195"/>
      <c r="V73" t="s">
        <v>653</v>
      </c>
      <c r="W73" s="39">
        <f t="shared" ref="W73:AL73" si="141">E73/SUM(E47:E79)</f>
        <v>8.6522502742825483E-4</v>
      </c>
      <c r="X73" s="39">
        <f t="shared" si="141"/>
        <v>8.7802136221227037E-4</v>
      </c>
      <c r="Y73" s="39">
        <f t="shared" si="141"/>
        <v>8.9058241795007495E-4</v>
      </c>
      <c r="Z73" s="39">
        <f t="shared" si="141"/>
        <v>9.0291462444727318E-4</v>
      </c>
      <c r="AA73" s="39">
        <f t="shared" si="141"/>
        <v>9.1502417933584214E-4</v>
      </c>
      <c r="AB73" s="39">
        <f t="shared" si="141"/>
        <v>9.2691705845981346E-4</v>
      </c>
      <c r="AC73" s="39">
        <f t="shared" si="141"/>
        <v>9.6211185195709198E-4</v>
      </c>
      <c r="AD73" s="39">
        <f t="shared" si="141"/>
        <v>9.9844836025789565E-4</v>
      </c>
      <c r="AE73" s="39">
        <f t="shared" si="141"/>
        <v>1.0359830549613368E-3</v>
      </c>
      <c r="AF73" s="39">
        <f t="shared" si="141"/>
        <v>1.0747761943702945E-3</v>
      </c>
      <c r="AG73" s="39">
        <f t="shared" si="141"/>
        <v>1.1148921462997294E-3</v>
      </c>
      <c r="AH73" s="39">
        <f t="shared" si="141"/>
        <v>1.156401247493087E-3</v>
      </c>
      <c r="AI73" s="39">
        <f t="shared" si="141"/>
        <v>1.1993757709011991E-3</v>
      </c>
      <c r="AJ73" s="39">
        <f t="shared" si="141"/>
        <v>1.2438947130559935E-3</v>
      </c>
      <c r="AK73" s="39">
        <f t="shared" si="141"/>
        <v>1.2900428523393999E-3</v>
      </c>
      <c r="AL73" s="39">
        <f t="shared" si="141"/>
        <v>1.3379112878184394E-3</v>
      </c>
      <c r="AM73" s="184">
        <f t="shared" si="90"/>
        <v>1.3379112878184394E-3</v>
      </c>
      <c r="AN73" s="184">
        <f t="shared" si="115"/>
        <v>1.3379112878184394E-3</v>
      </c>
      <c r="AO73" s="184">
        <f t="shared" si="115"/>
        <v>1.3379112878184394E-3</v>
      </c>
      <c r="AP73" s="184">
        <f t="shared" si="115"/>
        <v>1.3379112878184394E-3</v>
      </c>
      <c r="AQ73" s="184">
        <f t="shared" si="115"/>
        <v>1.3379112878184394E-3</v>
      </c>
      <c r="AR73" s="184">
        <f t="shared" si="115"/>
        <v>1.3379112878184394E-3</v>
      </c>
      <c r="AS73" s="184">
        <f t="shared" si="115"/>
        <v>1.3379112878184394E-3</v>
      </c>
      <c r="AT73" s="184">
        <f t="shared" si="115"/>
        <v>1.3379112878184394E-3</v>
      </c>
      <c r="AU73" s="184">
        <f t="shared" si="115"/>
        <v>1.3379112878184394E-3</v>
      </c>
      <c r="AV73" s="184">
        <f t="shared" si="115"/>
        <v>1.3379112878184394E-3</v>
      </c>
      <c r="AW73" s="184">
        <f t="shared" si="115"/>
        <v>1.3379112878184394E-3</v>
      </c>
      <c r="AX73" s="184">
        <f t="shared" si="115"/>
        <v>1.3379112878184394E-3</v>
      </c>
      <c r="AY73" s="184">
        <f t="shared" si="115"/>
        <v>1.3379112878184394E-3</v>
      </c>
      <c r="AZ73" s="184">
        <f t="shared" si="115"/>
        <v>1.3379112878184394E-3</v>
      </c>
      <c r="BA73" s="184">
        <f t="shared" si="115"/>
        <v>1.3379112878184394E-3</v>
      </c>
      <c r="BB73" s="184">
        <f t="shared" si="115"/>
        <v>1.3379112878184394E-3</v>
      </c>
      <c r="BC73" s="184">
        <f t="shared" si="115"/>
        <v>1.3379112878184394E-3</v>
      </c>
      <c r="BD73" s="184">
        <f t="shared" si="115"/>
        <v>1.3379112878184394E-3</v>
      </c>
      <c r="BE73" s="184">
        <f t="shared" si="115"/>
        <v>1.3379112878184394E-3</v>
      </c>
      <c r="BF73" s="184">
        <f t="shared" si="115"/>
        <v>1.3379112878184394E-3</v>
      </c>
    </row>
    <row r="74" spans="2:58">
      <c r="B74" t="s">
        <v>654</v>
      </c>
      <c r="C74" s="109">
        <v>44090.480167228139</v>
      </c>
      <c r="D74" s="182">
        <f t="shared" ref="D74:I74" si="142">C74+($J74-$C74)/(COLUMN($J74)-COLUMN($C74))</f>
        <v>43658.535040979288</v>
      </c>
      <c r="E74" s="182">
        <f t="shared" si="142"/>
        <v>43226.589914730437</v>
      </c>
      <c r="F74" s="182">
        <f t="shared" si="142"/>
        <v>42794.644788481586</v>
      </c>
      <c r="G74" s="182">
        <f t="shared" si="142"/>
        <v>42362.699662232735</v>
      </c>
      <c r="H74" s="182">
        <f t="shared" si="142"/>
        <v>41930.754535983884</v>
      </c>
      <c r="I74" s="182">
        <f t="shared" si="142"/>
        <v>41498.809409735033</v>
      </c>
      <c r="J74" s="109">
        <v>41066.864283486197</v>
      </c>
      <c r="K74" s="183">
        <f t="shared" si="127"/>
        <v>40546.016904908618</v>
      </c>
      <c r="L74" s="183">
        <f t="shared" si="127"/>
        <v>40025.169526331039</v>
      </c>
      <c r="M74" s="183">
        <f t="shared" si="127"/>
        <v>39504.322147753461</v>
      </c>
      <c r="N74" s="183">
        <f t="shared" si="127"/>
        <v>38983.474769175882</v>
      </c>
      <c r="O74" s="109">
        <v>38462.627390598289</v>
      </c>
      <c r="P74" s="183">
        <f t="shared" si="128"/>
        <v>37941.780012020696</v>
      </c>
      <c r="Q74" s="183">
        <f t="shared" si="128"/>
        <v>37420.932633443103</v>
      </c>
      <c r="R74" s="183">
        <f t="shared" si="128"/>
        <v>36900.085254865509</v>
      </c>
      <c r="S74" s="183">
        <f t="shared" si="128"/>
        <v>36379.237876287916</v>
      </c>
      <c r="T74" s="109">
        <v>35858.390497710338</v>
      </c>
      <c r="U74" s="195"/>
      <c r="V74" t="s">
        <v>654</v>
      </c>
      <c r="W74" s="39">
        <f t="shared" ref="W74:AL74" si="143">E74/SUM(E47:E79)</f>
        <v>4.3757796224535753E-2</v>
      </c>
      <c r="X74" s="39">
        <f t="shared" si="143"/>
        <v>4.2918592467897594E-2</v>
      </c>
      <c r="Y74" s="39">
        <f t="shared" si="143"/>
        <v>4.2094818681072746E-2</v>
      </c>
      <c r="Z74" s="39">
        <f t="shared" si="143"/>
        <v>4.1286053187299158E-2</v>
      </c>
      <c r="AA74" s="39">
        <f t="shared" si="143"/>
        <v>4.0491889536126383E-2</v>
      </c>
      <c r="AB74" s="39">
        <f t="shared" si="143"/>
        <v>3.9711935822306151E-2</v>
      </c>
      <c r="AC74" s="39">
        <f t="shared" si="143"/>
        <v>3.9834078149675912E-2</v>
      </c>
      <c r="AD74" s="39">
        <f t="shared" si="143"/>
        <v>3.9960182759231147E-2</v>
      </c>
      <c r="AE74" s="39">
        <f t="shared" si="143"/>
        <v>4.0090445633725547E-2</v>
      </c>
      <c r="AF74" s="39">
        <f t="shared" si="143"/>
        <v>4.0225075897538744E-2</v>
      </c>
      <c r="AG74" s="39">
        <f t="shared" si="143"/>
        <v>4.0364296936971564E-2</v>
      </c>
      <c r="AH74" s="39">
        <f t="shared" si="143"/>
        <v>4.0508361117451097E-2</v>
      </c>
      <c r="AI74" s="39">
        <f t="shared" si="143"/>
        <v>4.0657511287372813E-2</v>
      </c>
      <c r="AJ74" s="39">
        <f t="shared" si="143"/>
        <v>4.0812021617227245E-2</v>
      </c>
      <c r="AK74" s="39">
        <f t="shared" si="143"/>
        <v>4.0972186344368638E-2</v>
      </c>
      <c r="AL74" s="39">
        <f t="shared" si="143"/>
        <v>4.1138321643131227E-2</v>
      </c>
      <c r="AM74" s="184">
        <f t="shared" ref="AM74:BF74" si="144">AL74</f>
        <v>4.1138321643131227E-2</v>
      </c>
      <c r="AN74" s="184">
        <f t="shared" si="144"/>
        <v>4.1138321643131227E-2</v>
      </c>
      <c r="AO74" s="184">
        <f t="shared" si="144"/>
        <v>4.1138321643131227E-2</v>
      </c>
      <c r="AP74" s="184">
        <f t="shared" si="144"/>
        <v>4.1138321643131227E-2</v>
      </c>
      <c r="AQ74" s="184">
        <f t="shared" si="144"/>
        <v>4.1138321643131227E-2</v>
      </c>
      <c r="AR74" s="184">
        <f t="shared" si="144"/>
        <v>4.1138321643131227E-2</v>
      </c>
      <c r="AS74" s="184">
        <f t="shared" si="144"/>
        <v>4.1138321643131227E-2</v>
      </c>
      <c r="AT74" s="184">
        <f t="shared" si="144"/>
        <v>4.1138321643131227E-2</v>
      </c>
      <c r="AU74" s="184">
        <f t="shared" si="144"/>
        <v>4.1138321643131227E-2</v>
      </c>
      <c r="AV74" s="184">
        <f t="shared" si="144"/>
        <v>4.1138321643131227E-2</v>
      </c>
      <c r="AW74" s="184">
        <f t="shared" si="144"/>
        <v>4.1138321643131227E-2</v>
      </c>
      <c r="AX74" s="184">
        <f t="shared" si="144"/>
        <v>4.1138321643131227E-2</v>
      </c>
      <c r="AY74" s="184">
        <f t="shared" si="144"/>
        <v>4.1138321643131227E-2</v>
      </c>
      <c r="AZ74" s="184">
        <f t="shared" si="144"/>
        <v>4.1138321643131227E-2</v>
      </c>
      <c r="BA74" s="184">
        <f t="shared" si="144"/>
        <v>4.1138321643131227E-2</v>
      </c>
      <c r="BB74" s="184">
        <f t="shared" si="144"/>
        <v>4.1138321643131227E-2</v>
      </c>
      <c r="BC74" s="184">
        <f t="shared" si="144"/>
        <v>4.1138321643131227E-2</v>
      </c>
      <c r="BD74" s="184">
        <f t="shared" si="144"/>
        <v>4.1138321643131227E-2</v>
      </c>
      <c r="BE74" s="184">
        <f t="shared" si="144"/>
        <v>4.1138321643131227E-2</v>
      </c>
      <c r="BF74" s="184">
        <f t="shared" si="144"/>
        <v>4.1138321643131227E-2</v>
      </c>
    </row>
    <row r="75" spans="2:58">
      <c r="B75" t="s">
        <v>655</v>
      </c>
      <c r="C75" s="109">
        <v>1222.8432868586929</v>
      </c>
      <c r="D75" s="182">
        <f t="shared" ref="D75:I75" si="145">C75+($J75-$C75)/(COLUMN($J75)-COLUMN($C75))</f>
        <v>1254.3946897529231</v>
      </c>
      <c r="E75" s="182">
        <f t="shared" si="145"/>
        <v>1285.9460926471534</v>
      </c>
      <c r="F75" s="182">
        <f t="shared" si="145"/>
        <v>1317.4974955413836</v>
      </c>
      <c r="G75" s="182">
        <f t="shared" si="145"/>
        <v>1349.0488984356139</v>
      </c>
      <c r="H75" s="182">
        <f t="shared" si="145"/>
        <v>1380.6003013298441</v>
      </c>
      <c r="I75" s="182">
        <f t="shared" si="145"/>
        <v>1412.1517042240744</v>
      </c>
      <c r="J75" s="109">
        <v>1443.7031071183044</v>
      </c>
      <c r="K75" s="183">
        <f t="shared" si="127"/>
        <v>1475.2565859293297</v>
      </c>
      <c r="L75" s="183">
        <f t="shared" si="127"/>
        <v>1506.8100647403551</v>
      </c>
      <c r="M75" s="183">
        <f t="shared" si="127"/>
        <v>1538.3635435513804</v>
      </c>
      <c r="N75" s="183">
        <f t="shared" si="127"/>
        <v>1569.9170223624058</v>
      </c>
      <c r="O75" s="109">
        <v>1601.4705011734316</v>
      </c>
      <c r="P75" s="183">
        <f t="shared" si="128"/>
        <v>1633.0179335768667</v>
      </c>
      <c r="Q75" s="183">
        <f t="shared" si="128"/>
        <v>1664.5653659803017</v>
      </c>
      <c r="R75" s="183">
        <f t="shared" si="128"/>
        <v>1696.1127983837368</v>
      </c>
      <c r="S75" s="183">
        <f t="shared" si="128"/>
        <v>1727.6602307871719</v>
      </c>
      <c r="T75" s="109">
        <v>1759.2076631906073</v>
      </c>
      <c r="U75" s="195"/>
      <c r="V75" t="s">
        <v>655</v>
      </c>
      <c r="W75" s="39">
        <f t="shared" ref="W75:AL75" si="146">E75/SUM(E47:E79)</f>
        <v>1.3017489278888683E-3</v>
      </c>
      <c r="X75" s="39">
        <f t="shared" si="146"/>
        <v>1.3213134112480308E-3</v>
      </c>
      <c r="Y75" s="39">
        <f t="shared" si="146"/>
        <v>1.3405181734009221E-3</v>
      </c>
      <c r="Z75" s="39">
        <f t="shared" si="146"/>
        <v>1.3593730449612984E-3</v>
      </c>
      <c r="AA75" s="39">
        <f t="shared" si="146"/>
        <v>1.3778875015696248E-3</v>
      </c>
      <c r="AB75" s="39">
        <f t="shared" si="146"/>
        <v>1.3960706797718791E-3</v>
      </c>
      <c r="AC75" s="39">
        <f t="shared" si="146"/>
        <v>1.4493528741073129E-3</v>
      </c>
      <c r="AD75" s="39">
        <f t="shared" si="146"/>
        <v>1.5043635363208654E-3</v>
      </c>
      <c r="AE75" s="39">
        <f t="shared" si="146"/>
        <v>1.5611881600443881E-3</v>
      </c>
      <c r="AF75" s="39">
        <f t="shared" si="146"/>
        <v>1.6199179716862579E-3</v>
      </c>
      <c r="AG75" s="39">
        <f t="shared" si="146"/>
        <v>1.6806504191381906E-3</v>
      </c>
      <c r="AH75" s="39">
        <f t="shared" si="146"/>
        <v>1.7434838361206984E-3</v>
      </c>
      <c r="AI75" s="39">
        <f t="shared" si="146"/>
        <v>1.808535501208512E-3</v>
      </c>
      <c r="AJ75" s="39">
        <f t="shared" si="146"/>
        <v>1.8759249935273667E-3</v>
      </c>
      <c r="AK75" s="39">
        <f t="shared" si="146"/>
        <v>1.9457806443412451E-3</v>
      </c>
      <c r="AL75" s="39">
        <f t="shared" si="146"/>
        <v>2.0182403527012056E-3</v>
      </c>
      <c r="AM75" s="184">
        <f t="shared" ref="AM75:BF75" si="147">AL75</f>
        <v>2.0182403527012056E-3</v>
      </c>
      <c r="AN75" s="184">
        <f t="shared" si="147"/>
        <v>2.0182403527012056E-3</v>
      </c>
      <c r="AO75" s="184">
        <f t="shared" si="147"/>
        <v>2.0182403527012056E-3</v>
      </c>
      <c r="AP75" s="184">
        <f t="shared" si="147"/>
        <v>2.0182403527012056E-3</v>
      </c>
      <c r="AQ75" s="184">
        <f t="shared" si="147"/>
        <v>2.0182403527012056E-3</v>
      </c>
      <c r="AR75" s="184">
        <f t="shared" si="147"/>
        <v>2.0182403527012056E-3</v>
      </c>
      <c r="AS75" s="184">
        <f t="shared" si="147"/>
        <v>2.0182403527012056E-3</v>
      </c>
      <c r="AT75" s="184">
        <f t="shared" si="147"/>
        <v>2.0182403527012056E-3</v>
      </c>
      <c r="AU75" s="184">
        <f t="shared" si="147"/>
        <v>2.0182403527012056E-3</v>
      </c>
      <c r="AV75" s="184">
        <f t="shared" si="147"/>
        <v>2.0182403527012056E-3</v>
      </c>
      <c r="AW75" s="184">
        <f t="shared" si="147"/>
        <v>2.0182403527012056E-3</v>
      </c>
      <c r="AX75" s="184">
        <f t="shared" si="147"/>
        <v>2.0182403527012056E-3</v>
      </c>
      <c r="AY75" s="184">
        <f t="shared" si="147"/>
        <v>2.0182403527012056E-3</v>
      </c>
      <c r="AZ75" s="184">
        <f t="shared" si="147"/>
        <v>2.0182403527012056E-3</v>
      </c>
      <c r="BA75" s="184">
        <f t="shared" si="147"/>
        <v>2.0182403527012056E-3</v>
      </c>
      <c r="BB75" s="184">
        <f t="shared" si="147"/>
        <v>2.0182403527012056E-3</v>
      </c>
      <c r="BC75" s="184">
        <f t="shared" si="147"/>
        <v>2.0182403527012056E-3</v>
      </c>
      <c r="BD75" s="184">
        <f t="shared" si="147"/>
        <v>2.0182403527012056E-3</v>
      </c>
      <c r="BE75" s="184">
        <f t="shared" si="147"/>
        <v>2.0182403527012056E-3</v>
      </c>
      <c r="BF75" s="184">
        <f t="shared" si="147"/>
        <v>2.0182403527012056E-3</v>
      </c>
    </row>
    <row r="76" spans="2:58">
      <c r="B76" t="s">
        <v>656</v>
      </c>
      <c r="C76" s="109">
        <v>43.745876636395174</v>
      </c>
      <c r="D76" s="182">
        <f t="shared" ref="D76:I76" si="148">C76+($J76-$C76)/(COLUMN($J76)-COLUMN($C76))</f>
        <v>43.745876636395174</v>
      </c>
      <c r="E76" s="182">
        <f t="shared" si="148"/>
        <v>43.745876636395174</v>
      </c>
      <c r="F76" s="182">
        <f t="shared" si="148"/>
        <v>43.745876636395174</v>
      </c>
      <c r="G76" s="182">
        <f t="shared" si="148"/>
        <v>43.745876636395174</v>
      </c>
      <c r="H76" s="182">
        <f t="shared" si="148"/>
        <v>43.745876636395174</v>
      </c>
      <c r="I76" s="182">
        <f t="shared" si="148"/>
        <v>43.745876636395174</v>
      </c>
      <c r="J76" s="109">
        <v>43.745876636395174</v>
      </c>
      <c r="K76" s="183">
        <f t="shared" si="127"/>
        <v>43.745876636395174</v>
      </c>
      <c r="L76" s="183">
        <f t="shared" si="127"/>
        <v>43.745876636395174</v>
      </c>
      <c r="M76" s="183">
        <f t="shared" si="127"/>
        <v>43.745876636395174</v>
      </c>
      <c r="N76" s="183">
        <f t="shared" si="127"/>
        <v>43.745876636395174</v>
      </c>
      <c r="O76" s="109">
        <v>43.745876636395174</v>
      </c>
      <c r="P76" s="183">
        <f t="shared" si="128"/>
        <v>43.745876636395174</v>
      </c>
      <c r="Q76" s="183">
        <f t="shared" si="128"/>
        <v>43.745876636395174</v>
      </c>
      <c r="R76" s="183">
        <f t="shared" si="128"/>
        <v>43.745876636395174</v>
      </c>
      <c r="S76" s="183">
        <f t="shared" si="128"/>
        <v>43.745876636395174</v>
      </c>
      <c r="T76" s="109">
        <v>43.745876636395174</v>
      </c>
      <c r="U76" s="195"/>
      <c r="V76" t="s">
        <v>656</v>
      </c>
      <c r="W76" s="39">
        <f t="shared" ref="W76:AL76" si="149">E76/SUM(E47:E79)</f>
        <v>4.4283464397610159E-5</v>
      </c>
      <c r="X76" s="39">
        <f t="shared" si="149"/>
        <v>4.387257940305909E-5</v>
      </c>
      <c r="Y76" s="39">
        <f t="shared" si="149"/>
        <v>4.3469249120951231E-5</v>
      </c>
      <c r="Z76" s="39">
        <f t="shared" si="149"/>
        <v>4.3073267092899446E-5</v>
      </c>
      <c r="AA76" s="39">
        <f t="shared" si="149"/>
        <v>4.2684434315515348E-5</v>
      </c>
      <c r="AB76" s="39">
        <f t="shared" si="149"/>
        <v>4.2302558906929333E-5</v>
      </c>
      <c r="AC76" s="39">
        <f t="shared" si="149"/>
        <v>4.2977752235122403E-5</v>
      </c>
      <c r="AD76" s="39">
        <f t="shared" si="149"/>
        <v>4.367484875243631E-5</v>
      </c>
      <c r="AE76" s="39">
        <f t="shared" si="149"/>
        <v>4.4394931836358573E-5</v>
      </c>
      <c r="AF76" s="39">
        <f t="shared" si="149"/>
        <v>4.5139157510267337E-5</v>
      </c>
      <c r="AG76" s="39">
        <f t="shared" si="149"/>
        <v>4.5908760636336626E-5</v>
      </c>
      <c r="AH76" s="39">
        <f t="shared" si="149"/>
        <v>4.6705077295401932E-5</v>
      </c>
      <c r="AI76" s="39">
        <f t="shared" si="149"/>
        <v>4.7529506828237662E-5</v>
      </c>
      <c r="AJ76" s="39">
        <f t="shared" si="149"/>
        <v>4.8383564715848601E-5</v>
      </c>
      <c r="AK76" s="39">
        <f t="shared" si="149"/>
        <v>4.926887735909424E-5</v>
      </c>
      <c r="AL76" s="39">
        <f t="shared" si="149"/>
        <v>5.0187192415779957E-5</v>
      </c>
      <c r="AM76" s="184">
        <f t="shared" ref="AM76:BF76" si="150">AL76</f>
        <v>5.0187192415779957E-5</v>
      </c>
      <c r="AN76" s="184">
        <f t="shared" si="150"/>
        <v>5.0187192415779957E-5</v>
      </c>
      <c r="AO76" s="184">
        <f t="shared" si="150"/>
        <v>5.0187192415779957E-5</v>
      </c>
      <c r="AP76" s="184">
        <f t="shared" si="150"/>
        <v>5.0187192415779957E-5</v>
      </c>
      <c r="AQ76" s="184">
        <f t="shared" si="150"/>
        <v>5.0187192415779957E-5</v>
      </c>
      <c r="AR76" s="184">
        <f t="shared" si="150"/>
        <v>5.0187192415779957E-5</v>
      </c>
      <c r="AS76" s="184">
        <f t="shared" si="150"/>
        <v>5.0187192415779957E-5</v>
      </c>
      <c r="AT76" s="184">
        <f t="shared" si="150"/>
        <v>5.0187192415779957E-5</v>
      </c>
      <c r="AU76" s="184">
        <f t="shared" si="150"/>
        <v>5.0187192415779957E-5</v>
      </c>
      <c r="AV76" s="184">
        <f t="shared" si="150"/>
        <v>5.0187192415779957E-5</v>
      </c>
      <c r="AW76" s="184">
        <f t="shared" si="150"/>
        <v>5.0187192415779957E-5</v>
      </c>
      <c r="AX76" s="184">
        <f t="shared" si="150"/>
        <v>5.0187192415779957E-5</v>
      </c>
      <c r="AY76" s="184">
        <f t="shared" si="150"/>
        <v>5.0187192415779957E-5</v>
      </c>
      <c r="AZ76" s="184">
        <f t="shared" si="150"/>
        <v>5.0187192415779957E-5</v>
      </c>
      <c r="BA76" s="184">
        <f t="shared" si="150"/>
        <v>5.0187192415779957E-5</v>
      </c>
      <c r="BB76" s="184">
        <f t="shared" si="150"/>
        <v>5.0187192415779957E-5</v>
      </c>
      <c r="BC76" s="184">
        <f t="shared" si="150"/>
        <v>5.0187192415779957E-5</v>
      </c>
      <c r="BD76" s="184">
        <f t="shared" si="150"/>
        <v>5.0187192415779957E-5</v>
      </c>
      <c r="BE76" s="184">
        <f t="shared" si="150"/>
        <v>5.0187192415779957E-5</v>
      </c>
      <c r="BF76" s="184">
        <f t="shared" si="150"/>
        <v>5.0187192415779957E-5</v>
      </c>
    </row>
    <row r="77" spans="2:58">
      <c r="B77" t="s">
        <v>657</v>
      </c>
      <c r="C77" s="109">
        <v>12178.898636907463</v>
      </c>
      <c r="D77" s="182">
        <f t="shared" ref="D77:I77" si="151">C77+($J77-$C77)/(COLUMN($J77)-COLUMN($C77))</f>
        <v>12493.114212360741</v>
      </c>
      <c r="E77" s="182">
        <f t="shared" si="151"/>
        <v>12807.329787814018</v>
      </c>
      <c r="F77" s="182">
        <f t="shared" si="151"/>
        <v>13121.545363267296</v>
      </c>
      <c r="G77" s="182">
        <f t="shared" si="151"/>
        <v>13435.760938720574</v>
      </c>
      <c r="H77" s="182">
        <f t="shared" si="151"/>
        <v>13749.976514173852</v>
      </c>
      <c r="I77" s="182">
        <f t="shared" si="151"/>
        <v>14064.192089627129</v>
      </c>
      <c r="J77" s="109">
        <v>14378.407665080404</v>
      </c>
      <c r="K77" s="183">
        <f t="shared" si="127"/>
        <v>14692.638802514555</v>
      </c>
      <c r="L77" s="183">
        <f t="shared" si="127"/>
        <v>15006.869939948707</v>
      </c>
      <c r="M77" s="183">
        <f t="shared" si="127"/>
        <v>15321.101077382858</v>
      </c>
      <c r="N77" s="183">
        <f t="shared" si="127"/>
        <v>15635.33221481701</v>
      </c>
      <c r="O77" s="109">
        <v>15949.563352251158</v>
      </c>
      <c r="P77" s="183">
        <f t="shared" si="128"/>
        <v>16263.790449395561</v>
      </c>
      <c r="Q77" s="183">
        <f t="shared" si="128"/>
        <v>16578.017546539966</v>
      </c>
      <c r="R77" s="183">
        <f t="shared" si="128"/>
        <v>16892.244643684371</v>
      </c>
      <c r="S77" s="183">
        <f t="shared" si="128"/>
        <v>17206.471740828776</v>
      </c>
      <c r="T77" s="109">
        <v>17520.698837973177</v>
      </c>
      <c r="U77" s="195"/>
      <c r="V77" t="s">
        <v>657</v>
      </c>
      <c r="W77" s="39">
        <f t="shared" ref="W77:AL77" si="152">E77/SUM(E47:E79)</f>
        <v>1.2964717507004099E-2</v>
      </c>
      <c r="X77" s="39">
        <f t="shared" si="152"/>
        <v>1.3159549770271197E-2</v>
      </c>
      <c r="Y77" s="39">
        <f t="shared" si="152"/>
        <v>1.3350799761751386E-2</v>
      </c>
      <c r="Z77" s="39">
        <f t="shared" si="152"/>
        <v>1.353856537928803E-2</v>
      </c>
      <c r="AA77" s="39">
        <f t="shared" si="152"/>
        <v>1.3722940985734663E-2</v>
      </c>
      <c r="AB77" s="39">
        <f t="shared" si="152"/>
        <v>1.3904017567083543E-2</v>
      </c>
      <c r="AC77" s="39">
        <f t="shared" si="152"/>
        <v>1.4434653930543578E-2</v>
      </c>
      <c r="AD77" s="39">
        <f t="shared" si="152"/>
        <v>1.4982504072839905E-2</v>
      </c>
      <c r="AE77" s="39">
        <f t="shared" si="152"/>
        <v>1.5548419423431659E-2</v>
      </c>
      <c r="AF77" s="39">
        <f t="shared" si="152"/>
        <v>1.6133308504390733E-2</v>
      </c>
      <c r="AG77" s="39">
        <f t="shared" si="152"/>
        <v>1.673814179742366E-2</v>
      </c>
      <c r="AH77" s="39">
        <f t="shared" si="152"/>
        <v>1.7363958582173551E-2</v>
      </c>
      <c r="AI77" s="39">
        <f t="shared" si="152"/>
        <v>1.801186897512919E-2</v>
      </c>
      <c r="AJ77" s="39">
        <f t="shared" si="152"/>
        <v>1.8683063976678346E-2</v>
      </c>
      <c r="AK77" s="39">
        <f t="shared" si="152"/>
        <v>1.9378821757941825E-2</v>
      </c>
      <c r="AL77" s="39">
        <f t="shared" si="152"/>
        <v>2.0100515784583235E-2</v>
      </c>
      <c r="AM77" s="184">
        <f t="shared" ref="AM77:BF77" si="153">AL77</f>
        <v>2.0100515784583235E-2</v>
      </c>
      <c r="AN77" s="184">
        <f t="shared" si="153"/>
        <v>2.0100515784583235E-2</v>
      </c>
      <c r="AO77" s="184">
        <f t="shared" si="153"/>
        <v>2.0100515784583235E-2</v>
      </c>
      <c r="AP77" s="184">
        <f t="shared" si="153"/>
        <v>2.0100515784583235E-2</v>
      </c>
      <c r="AQ77" s="184">
        <f t="shared" si="153"/>
        <v>2.0100515784583235E-2</v>
      </c>
      <c r="AR77" s="184">
        <f t="shared" si="153"/>
        <v>2.0100515784583235E-2</v>
      </c>
      <c r="AS77" s="184">
        <f t="shared" si="153"/>
        <v>2.0100515784583235E-2</v>
      </c>
      <c r="AT77" s="184">
        <f t="shared" si="153"/>
        <v>2.0100515784583235E-2</v>
      </c>
      <c r="AU77" s="184">
        <f t="shared" si="153"/>
        <v>2.0100515784583235E-2</v>
      </c>
      <c r="AV77" s="184">
        <f t="shared" si="153"/>
        <v>2.0100515784583235E-2</v>
      </c>
      <c r="AW77" s="184">
        <f t="shared" si="153"/>
        <v>2.0100515784583235E-2</v>
      </c>
      <c r="AX77" s="184">
        <f t="shared" si="153"/>
        <v>2.0100515784583235E-2</v>
      </c>
      <c r="AY77" s="184">
        <f t="shared" si="153"/>
        <v>2.0100515784583235E-2</v>
      </c>
      <c r="AZ77" s="184">
        <f t="shared" si="153"/>
        <v>2.0100515784583235E-2</v>
      </c>
      <c r="BA77" s="184">
        <f t="shared" si="153"/>
        <v>2.0100515784583235E-2</v>
      </c>
      <c r="BB77" s="184">
        <f t="shared" si="153"/>
        <v>2.0100515784583235E-2</v>
      </c>
      <c r="BC77" s="184">
        <f t="shared" si="153"/>
        <v>2.0100515784583235E-2</v>
      </c>
      <c r="BD77" s="184">
        <f t="shared" si="153"/>
        <v>2.0100515784583235E-2</v>
      </c>
      <c r="BE77" s="184">
        <f t="shared" si="153"/>
        <v>2.0100515784583235E-2</v>
      </c>
      <c r="BF77" s="184">
        <f t="shared" si="153"/>
        <v>2.0100515784583235E-2</v>
      </c>
    </row>
    <row r="78" spans="2:58">
      <c r="B78" t="s">
        <v>658</v>
      </c>
      <c r="C78" s="109">
        <v>563.61975463711883</v>
      </c>
      <c r="D78" s="182">
        <f t="shared" ref="D78:I78" si="154">C78+($J78-$C78)/(COLUMN($J78)-COLUMN($C78))</f>
        <v>578.16186853719614</v>
      </c>
      <c r="E78" s="182">
        <f t="shared" si="154"/>
        <v>592.70398243727345</v>
      </c>
      <c r="F78" s="182">
        <f t="shared" si="154"/>
        <v>607.24609633735076</v>
      </c>
      <c r="G78" s="182">
        <f t="shared" si="154"/>
        <v>621.78821023742807</v>
      </c>
      <c r="H78" s="182">
        <f t="shared" si="154"/>
        <v>636.33032413750539</v>
      </c>
      <c r="I78" s="182">
        <f t="shared" si="154"/>
        <v>650.8724380375827</v>
      </c>
      <c r="J78" s="109">
        <v>665.41455193765989</v>
      </c>
      <c r="K78" s="183">
        <f t="shared" si="127"/>
        <v>679.95710388378325</v>
      </c>
      <c r="L78" s="183">
        <f t="shared" si="127"/>
        <v>694.4996558299066</v>
      </c>
      <c r="M78" s="183">
        <f t="shared" si="127"/>
        <v>709.04220777602995</v>
      </c>
      <c r="N78" s="183">
        <f t="shared" si="127"/>
        <v>723.58475972215331</v>
      </c>
      <c r="O78" s="109">
        <v>738.12731166827655</v>
      </c>
      <c r="P78" s="183">
        <f t="shared" si="128"/>
        <v>752.67059711413719</v>
      </c>
      <c r="Q78" s="183">
        <f t="shared" si="128"/>
        <v>767.21388255999784</v>
      </c>
      <c r="R78" s="183">
        <f t="shared" si="128"/>
        <v>781.75716800585849</v>
      </c>
      <c r="S78" s="183">
        <f t="shared" si="128"/>
        <v>796.30045345171914</v>
      </c>
      <c r="T78" s="109">
        <v>810.84373889757956</v>
      </c>
      <c r="U78" s="195"/>
      <c r="V78" t="s">
        <v>658</v>
      </c>
      <c r="W78" s="39">
        <f t="shared" ref="W78:AL78" si="155">E78/SUM(E47:E79)</f>
        <v>5.9998764964161444E-4</v>
      </c>
      <c r="X78" s="39">
        <f t="shared" si="155"/>
        <v>6.0900488519627133E-4</v>
      </c>
      <c r="Y78" s="39">
        <f t="shared" si="155"/>
        <v>6.1785632588727622E-4</v>
      </c>
      <c r="Z78" s="39">
        <f t="shared" si="155"/>
        <v>6.2654650262701061E-4</v>
      </c>
      <c r="AA78" s="39">
        <f t="shared" si="155"/>
        <v>6.3507978272129759E-4</v>
      </c>
      <c r="AB78" s="39">
        <f t="shared" si="155"/>
        <v>6.4346037718791523E-4</v>
      </c>
      <c r="AC78" s="39">
        <f t="shared" si="155"/>
        <v>6.6801788392819618E-4</v>
      </c>
      <c r="AD78" s="39">
        <f t="shared" si="155"/>
        <v>6.9337203318849139E-4</v>
      </c>
      <c r="AE78" s="39">
        <f t="shared" si="155"/>
        <v>7.1956222857194846E-4</v>
      </c>
      <c r="AF78" s="39">
        <f t="shared" si="155"/>
        <v>7.4663051589080466E-4</v>
      </c>
      <c r="AG78" s="39">
        <f t="shared" si="155"/>
        <v>7.7462180840900225E-4</v>
      </c>
      <c r="AH78" s="39">
        <f t="shared" si="155"/>
        <v>8.0358518605946699E-4</v>
      </c>
      <c r="AI78" s="39">
        <f t="shared" si="155"/>
        <v>8.3357107626267528E-4</v>
      </c>
      <c r="AJ78" s="39">
        <f t="shared" si="155"/>
        <v>8.6463459961438861E-4</v>
      </c>
      <c r="AK78" s="39">
        <f t="shared" si="155"/>
        <v>8.9683491105224341E-4</v>
      </c>
      <c r="AL78" s="39">
        <f t="shared" si="155"/>
        <v>9.3023557583315597E-4</v>
      </c>
      <c r="AM78" s="184">
        <f t="shared" ref="AM78:BF78" si="156">AL78</f>
        <v>9.3023557583315597E-4</v>
      </c>
      <c r="AN78" s="184">
        <f t="shared" si="156"/>
        <v>9.3023557583315597E-4</v>
      </c>
      <c r="AO78" s="184">
        <f t="shared" si="156"/>
        <v>9.3023557583315597E-4</v>
      </c>
      <c r="AP78" s="184">
        <f t="shared" si="156"/>
        <v>9.3023557583315597E-4</v>
      </c>
      <c r="AQ78" s="184">
        <f t="shared" si="156"/>
        <v>9.3023557583315597E-4</v>
      </c>
      <c r="AR78" s="184">
        <f t="shared" si="156"/>
        <v>9.3023557583315597E-4</v>
      </c>
      <c r="AS78" s="184">
        <f t="shared" si="156"/>
        <v>9.3023557583315597E-4</v>
      </c>
      <c r="AT78" s="184">
        <f t="shared" si="156"/>
        <v>9.3023557583315597E-4</v>
      </c>
      <c r="AU78" s="184">
        <f t="shared" si="156"/>
        <v>9.3023557583315597E-4</v>
      </c>
      <c r="AV78" s="184">
        <f t="shared" si="156"/>
        <v>9.3023557583315597E-4</v>
      </c>
      <c r="AW78" s="184">
        <f t="shared" si="156"/>
        <v>9.3023557583315597E-4</v>
      </c>
      <c r="AX78" s="184">
        <f t="shared" si="156"/>
        <v>9.3023557583315597E-4</v>
      </c>
      <c r="AY78" s="184">
        <f t="shared" si="156"/>
        <v>9.3023557583315597E-4</v>
      </c>
      <c r="AZ78" s="184">
        <f t="shared" si="156"/>
        <v>9.3023557583315597E-4</v>
      </c>
      <c r="BA78" s="184">
        <f t="shared" si="156"/>
        <v>9.3023557583315597E-4</v>
      </c>
      <c r="BB78" s="184">
        <f t="shared" si="156"/>
        <v>9.3023557583315597E-4</v>
      </c>
      <c r="BC78" s="184">
        <f t="shared" si="156"/>
        <v>9.3023557583315597E-4</v>
      </c>
      <c r="BD78" s="184">
        <f t="shared" si="156"/>
        <v>9.3023557583315597E-4</v>
      </c>
      <c r="BE78" s="184">
        <f t="shared" si="156"/>
        <v>9.3023557583315597E-4</v>
      </c>
      <c r="BF78" s="184">
        <f t="shared" si="156"/>
        <v>9.3023557583315597E-4</v>
      </c>
    </row>
    <row r="79" spans="2:58">
      <c r="B79" t="s">
        <v>659</v>
      </c>
      <c r="C79" s="109">
        <v>13314.091649493148</v>
      </c>
      <c r="D79" s="182">
        <f t="shared" ref="D79:I79" si="157">C79+($J79-$C79)/(COLUMN($J79)-COLUMN($C79))</f>
        <v>13248.923835831672</v>
      </c>
      <c r="E79" s="182">
        <f t="shared" si="157"/>
        <v>13183.756022170197</v>
      </c>
      <c r="F79" s="182">
        <f t="shared" si="157"/>
        <v>13118.588208508721</v>
      </c>
      <c r="G79" s="182">
        <f t="shared" si="157"/>
        <v>13053.420394847246</v>
      </c>
      <c r="H79" s="182">
        <f t="shared" si="157"/>
        <v>12988.25258118577</v>
      </c>
      <c r="I79" s="182">
        <f t="shared" si="157"/>
        <v>12923.084767524295</v>
      </c>
      <c r="J79" s="109">
        <v>12857.916953862814</v>
      </c>
      <c r="K79" s="183">
        <f t="shared" si="127"/>
        <v>12687.617869493677</v>
      </c>
      <c r="L79" s="183">
        <f t="shared" si="127"/>
        <v>12517.31878512454</v>
      </c>
      <c r="M79" s="183">
        <f t="shared" si="127"/>
        <v>12347.019700755403</v>
      </c>
      <c r="N79" s="183">
        <f t="shared" si="127"/>
        <v>12176.720616386267</v>
      </c>
      <c r="O79" s="109">
        <v>12006.421532017126</v>
      </c>
      <c r="P79" s="183">
        <f t="shared" si="128"/>
        <v>11836.122447647986</v>
      </c>
      <c r="Q79" s="183">
        <f t="shared" si="128"/>
        <v>11665.823363278845</v>
      </c>
      <c r="R79" s="183">
        <f t="shared" si="128"/>
        <v>11495.524278909705</v>
      </c>
      <c r="S79" s="183">
        <f t="shared" si="128"/>
        <v>11325.225194540564</v>
      </c>
      <c r="T79" s="109">
        <v>11154.926110171427</v>
      </c>
      <c r="U79" s="195"/>
      <c r="V79" t="s">
        <v>659</v>
      </c>
      <c r="W79" s="39">
        <f t="shared" ref="W79:AL79" si="158">E79/SUM(E47:E79)</f>
        <v>1.3345769597604333E-2</v>
      </c>
      <c r="X79" s="39">
        <f t="shared" si="158"/>
        <v>1.3156584050598209E-2</v>
      </c>
      <c r="Y79" s="39">
        <f t="shared" si="158"/>
        <v>1.2970876952367281E-2</v>
      </c>
      <c r="Z79" s="39">
        <f t="shared" si="158"/>
        <v>1.2788553242387505E-2</v>
      </c>
      <c r="AA79" s="39">
        <f t="shared" si="158"/>
        <v>1.2609521292672005E-2</v>
      </c>
      <c r="AB79" s="39">
        <f t="shared" si="158"/>
        <v>1.2433692754225449E-2</v>
      </c>
      <c r="AC79" s="39">
        <f t="shared" si="158"/>
        <v>1.246483872711676E-2</v>
      </c>
      <c r="AD79" s="39">
        <f t="shared" si="158"/>
        <v>1.2496995071565528E-2</v>
      </c>
      <c r="AE79" s="39">
        <f t="shared" si="158"/>
        <v>1.2530211762659555E-2</v>
      </c>
      <c r="AF79" s="39">
        <f t="shared" si="158"/>
        <v>1.256454212656675E-2</v>
      </c>
      <c r="AG79" s="39">
        <f t="shared" si="158"/>
        <v>1.2600043126207501E-2</v>
      </c>
      <c r="AH79" s="39">
        <f t="shared" si="158"/>
        <v>1.2636779881908304E-2</v>
      </c>
      <c r="AI79" s="39">
        <f t="shared" si="158"/>
        <v>1.2674813578673933E-2</v>
      </c>
      <c r="AJ79" s="39">
        <f t="shared" si="158"/>
        <v>1.2714214130721076E-2</v>
      </c>
      <c r="AK79" s="39">
        <f t="shared" si="158"/>
        <v>1.2755056569370945E-2</v>
      </c>
      <c r="AL79" s="39">
        <f t="shared" si="158"/>
        <v>1.2797421519933993E-2</v>
      </c>
      <c r="AM79" s="184">
        <f t="shared" ref="AM79:BF81" si="159">AL79</f>
        <v>1.2797421519933993E-2</v>
      </c>
      <c r="AN79" s="184">
        <f t="shared" si="159"/>
        <v>1.2797421519933993E-2</v>
      </c>
      <c r="AO79" s="184">
        <f t="shared" si="159"/>
        <v>1.2797421519933993E-2</v>
      </c>
      <c r="AP79" s="184">
        <f t="shared" si="159"/>
        <v>1.2797421519933993E-2</v>
      </c>
      <c r="AQ79" s="184">
        <f t="shared" si="159"/>
        <v>1.2797421519933993E-2</v>
      </c>
      <c r="AR79" s="184">
        <f t="shared" si="159"/>
        <v>1.2797421519933993E-2</v>
      </c>
      <c r="AS79" s="184">
        <f t="shared" si="159"/>
        <v>1.2797421519933993E-2</v>
      </c>
      <c r="AT79" s="184">
        <f t="shared" si="159"/>
        <v>1.2797421519933993E-2</v>
      </c>
      <c r="AU79" s="184">
        <f t="shared" si="159"/>
        <v>1.2797421519933993E-2</v>
      </c>
      <c r="AV79" s="184">
        <f t="shared" si="159"/>
        <v>1.2797421519933993E-2</v>
      </c>
      <c r="AW79" s="184">
        <f t="shared" si="159"/>
        <v>1.2797421519933993E-2</v>
      </c>
      <c r="AX79" s="184">
        <f t="shared" si="159"/>
        <v>1.2797421519933993E-2</v>
      </c>
      <c r="AY79" s="184">
        <f t="shared" si="159"/>
        <v>1.2797421519933993E-2</v>
      </c>
      <c r="AZ79" s="184">
        <f t="shared" si="159"/>
        <v>1.2797421519933993E-2</v>
      </c>
      <c r="BA79" s="184">
        <f t="shared" si="159"/>
        <v>1.2797421519933993E-2</v>
      </c>
      <c r="BB79" s="184">
        <f t="shared" si="159"/>
        <v>1.2797421519933993E-2</v>
      </c>
      <c r="BC79" s="184">
        <f t="shared" si="159"/>
        <v>1.2797421519933993E-2</v>
      </c>
      <c r="BD79" s="184">
        <f t="shared" si="159"/>
        <v>1.2797421519933993E-2</v>
      </c>
      <c r="BE79" s="184">
        <f t="shared" si="159"/>
        <v>1.2797421519933993E-2</v>
      </c>
      <c r="BF79" s="184">
        <f t="shared" si="159"/>
        <v>1.2797421519933993E-2</v>
      </c>
    </row>
    <row r="80" spans="2:58">
      <c r="B80" t="s">
        <v>660</v>
      </c>
      <c r="C80" s="109">
        <f>SUM(C52,C53,C54,C58,C59,C60,C66,C67,C69,C70,C75,C77)</f>
        <v>37896.271142124904</v>
      </c>
      <c r="D80" s="182">
        <f t="shared" ref="D80:T80" si="160">SUM(D52,D53,D54,D58,D59,D60,D66,D67,D69,D70,D75,D77)</f>
        <v>38389.301674280352</v>
      </c>
      <c r="E80" s="182">
        <f t="shared" si="160"/>
        <v>38882.332206435793</v>
      </c>
      <c r="F80" s="182">
        <f t="shared" si="160"/>
        <v>39375.36273859124</v>
      </c>
      <c r="G80" s="182">
        <f t="shared" si="160"/>
        <v>39868.393270746688</v>
      </c>
      <c r="H80" s="182">
        <f t="shared" si="160"/>
        <v>40361.423802902136</v>
      </c>
      <c r="I80" s="182">
        <f t="shared" si="160"/>
        <v>40854.454335057584</v>
      </c>
      <c r="J80" s="109">
        <f t="shared" si="160"/>
        <v>41347.484867213025</v>
      </c>
      <c r="K80" s="183">
        <f t="shared" si="160"/>
        <v>41669.495974121361</v>
      </c>
      <c r="L80" s="183">
        <f t="shared" si="160"/>
        <v>41991.507081029704</v>
      </c>
      <c r="M80" s="183">
        <f t="shared" si="160"/>
        <v>42313.51818793804</v>
      </c>
      <c r="N80" s="183">
        <f t="shared" si="160"/>
        <v>42635.529294846376</v>
      </c>
      <c r="O80" s="109">
        <f t="shared" si="160"/>
        <v>42957.540401754704</v>
      </c>
      <c r="P80" s="183">
        <f t="shared" si="160"/>
        <v>43279.556931789637</v>
      </c>
      <c r="Q80" s="183">
        <f t="shared" si="160"/>
        <v>43601.573461824577</v>
      </c>
      <c r="R80" s="183">
        <f t="shared" si="160"/>
        <v>43923.589991859495</v>
      </c>
      <c r="S80" s="183">
        <f t="shared" si="160"/>
        <v>44245.606521894442</v>
      </c>
      <c r="T80" s="109">
        <f t="shared" si="160"/>
        <v>44567.62305192936</v>
      </c>
      <c r="U80" s="195"/>
      <c r="V80" t="s">
        <v>660</v>
      </c>
      <c r="W80" s="193">
        <f>E80/SUM(E$47:E$79)</f>
        <v>3.9360152461254613E-2</v>
      </c>
      <c r="X80" s="172">
        <f t="shared" ref="X80:AL81" si="161">F80/SUM(F$47:F$79)</f>
        <v>3.9489407027584272E-2</v>
      </c>
      <c r="Y80" s="172">
        <f t="shared" si="161"/>
        <v>3.9616285062540085E-2</v>
      </c>
      <c r="Z80" s="172">
        <f t="shared" si="161"/>
        <v>3.9740851512979805E-2</v>
      </c>
      <c r="AA80" s="172">
        <f t="shared" si="161"/>
        <v>3.9863168980597358E-2</v>
      </c>
      <c r="AB80" s="172">
        <f t="shared" si="161"/>
        <v>3.9983297826827614E-2</v>
      </c>
      <c r="AC80" s="172">
        <f t="shared" si="161"/>
        <v>4.0937830292519017E-2</v>
      </c>
      <c r="AD80" s="172">
        <f t="shared" si="161"/>
        <v>4.1923327674842477E-2</v>
      </c>
      <c r="AE80" s="172">
        <f t="shared" si="161"/>
        <v>4.2941321563257258E-2</v>
      </c>
      <c r="AF80" s="172">
        <f t="shared" si="161"/>
        <v>4.3993446247972516E-2</v>
      </c>
      <c r="AG80" s="172">
        <f t="shared" si="161"/>
        <v>4.5081447474964294E-2</v>
      </c>
      <c r="AH80" s="172">
        <f t="shared" si="161"/>
        <v>4.6207213278891386E-2</v>
      </c>
      <c r="AI80" s="172">
        <f t="shared" si="161"/>
        <v>4.7372722709402945E-2</v>
      </c>
      <c r="AJ80" s="172">
        <f t="shared" si="161"/>
        <v>4.8580118226627375E-2</v>
      </c>
      <c r="AK80" s="172">
        <f t="shared" si="161"/>
        <v>4.983169909989469E-2</v>
      </c>
      <c r="AL80" s="172">
        <f t="shared" si="161"/>
        <v>5.1129936021449988E-2</v>
      </c>
      <c r="AM80" s="184">
        <f>AL80</f>
        <v>5.1129936021449988E-2</v>
      </c>
      <c r="AN80" s="184">
        <f t="shared" si="159"/>
        <v>5.1129936021449988E-2</v>
      </c>
      <c r="AO80" s="184">
        <f t="shared" si="159"/>
        <v>5.1129936021449988E-2</v>
      </c>
      <c r="AP80" s="184">
        <f t="shared" si="159"/>
        <v>5.1129936021449988E-2</v>
      </c>
      <c r="AQ80" s="184">
        <f t="shared" si="159"/>
        <v>5.1129936021449988E-2</v>
      </c>
      <c r="AR80" s="184">
        <f t="shared" si="159"/>
        <v>5.1129936021449988E-2</v>
      </c>
      <c r="AS80" s="184">
        <f t="shared" si="159"/>
        <v>5.1129936021449988E-2</v>
      </c>
      <c r="AT80" s="184">
        <f t="shared" si="159"/>
        <v>5.1129936021449988E-2</v>
      </c>
      <c r="AU80" s="184">
        <f t="shared" si="159"/>
        <v>5.1129936021449988E-2</v>
      </c>
      <c r="AV80" s="184">
        <f t="shared" si="159"/>
        <v>5.1129936021449988E-2</v>
      </c>
      <c r="AW80" s="184">
        <f t="shared" si="159"/>
        <v>5.1129936021449988E-2</v>
      </c>
      <c r="AX80" s="184">
        <f t="shared" si="159"/>
        <v>5.1129936021449988E-2</v>
      </c>
      <c r="AY80" s="184">
        <f t="shared" si="159"/>
        <v>5.1129936021449988E-2</v>
      </c>
      <c r="AZ80" s="184">
        <f t="shared" si="159"/>
        <v>5.1129936021449988E-2</v>
      </c>
      <c r="BA80" s="184">
        <f t="shared" si="159"/>
        <v>5.1129936021449988E-2</v>
      </c>
      <c r="BB80" s="184">
        <f t="shared" si="159"/>
        <v>5.1129936021449988E-2</v>
      </c>
      <c r="BC80" s="184">
        <f t="shared" si="159"/>
        <v>5.1129936021449988E-2</v>
      </c>
      <c r="BD80" s="184">
        <f t="shared" si="159"/>
        <v>5.1129936021449988E-2</v>
      </c>
      <c r="BE80" s="184">
        <f t="shared" si="159"/>
        <v>5.1129936021449988E-2</v>
      </c>
      <c r="BF80" s="184">
        <f t="shared" si="159"/>
        <v>5.1129936021449988E-2</v>
      </c>
    </row>
    <row r="81" spans="2:58">
      <c r="B81" t="s">
        <v>661</v>
      </c>
      <c r="C81" s="109">
        <f>SUM(C47,C48,C49,C50,C55,C56,C57,C61,C62,C63,C64,C65,C68,C71,C72,C73,C74,C76,C78,C79,C51)</f>
        <v>931460.58654000016</v>
      </c>
      <c r="D81" s="182">
        <f t="shared" ref="D81:T81" si="162">SUM(D47,D48,D49,D50,D55,D56,D57,D61,D62,D63,D64,D65,D68,D71,D72,D73,D74,D76,D78,D79,D51)</f>
        <v>940219.27955517569</v>
      </c>
      <c r="E81" s="182">
        <f t="shared" si="162"/>
        <v>948977.97257035121</v>
      </c>
      <c r="F81" s="182">
        <f t="shared" si="162"/>
        <v>957736.66558552673</v>
      </c>
      <c r="G81" s="182">
        <f t="shared" si="162"/>
        <v>966495.35860070237</v>
      </c>
      <c r="H81" s="182">
        <f t="shared" si="162"/>
        <v>975254.05161587801</v>
      </c>
      <c r="I81" s="182">
        <f t="shared" si="162"/>
        <v>984012.74463105353</v>
      </c>
      <c r="J81" s="109">
        <f t="shared" si="162"/>
        <v>992771.43764622905</v>
      </c>
      <c r="K81" s="183">
        <f t="shared" si="162"/>
        <v>976203.10930012655</v>
      </c>
      <c r="L81" s="183">
        <f t="shared" si="162"/>
        <v>959634.78095402394</v>
      </c>
      <c r="M81" s="183">
        <f t="shared" si="162"/>
        <v>943066.45260792121</v>
      </c>
      <c r="N81" s="183">
        <f t="shared" si="162"/>
        <v>926498.12426181883</v>
      </c>
      <c r="O81" s="109">
        <f t="shared" si="162"/>
        <v>909929.79591571621</v>
      </c>
      <c r="P81" s="183">
        <f t="shared" si="162"/>
        <v>893361.15045232838</v>
      </c>
      <c r="Q81" s="183">
        <f t="shared" si="162"/>
        <v>876792.5049889409</v>
      </c>
      <c r="R81" s="183">
        <f t="shared" si="162"/>
        <v>860223.85952555272</v>
      </c>
      <c r="S81" s="183">
        <f t="shared" si="162"/>
        <v>843655.21406216512</v>
      </c>
      <c r="T81" s="109">
        <f t="shared" si="162"/>
        <v>827086.56859877764</v>
      </c>
      <c r="U81" s="195"/>
      <c r="V81" t="s">
        <v>661</v>
      </c>
      <c r="W81" s="193">
        <f>E81/SUM(E$47:E$79)</f>
        <v>0.96063984753874521</v>
      </c>
      <c r="X81" s="172">
        <f t="shared" si="161"/>
        <v>0.96051059297241559</v>
      </c>
      <c r="Y81" s="172">
        <f t="shared" si="161"/>
        <v>0.96038371493745978</v>
      </c>
      <c r="Z81" s="172">
        <f t="shared" si="161"/>
        <v>0.9602591484870201</v>
      </c>
      <c r="AA81" s="172">
        <f t="shared" si="161"/>
        <v>0.96013683101940261</v>
      </c>
      <c r="AB81" s="172">
        <f t="shared" si="161"/>
        <v>0.96001670217317236</v>
      </c>
      <c r="AC81" s="172">
        <f t="shared" si="161"/>
        <v>0.95906216970748093</v>
      </c>
      <c r="AD81" s="172">
        <f t="shared" si="161"/>
        <v>0.95807667232515747</v>
      </c>
      <c r="AE81" s="172">
        <f t="shared" si="161"/>
        <v>0.95705867843674275</v>
      </c>
      <c r="AF81" s="172">
        <f t="shared" si="161"/>
        <v>0.95600655375202737</v>
      </c>
      <c r="AG81" s="172">
        <f t="shared" si="161"/>
        <v>0.95491855252503566</v>
      </c>
      <c r="AH81" s="172">
        <f t="shared" si="161"/>
        <v>0.95379278672110868</v>
      </c>
      <c r="AI81" s="172">
        <f t="shared" si="161"/>
        <v>0.95262727729059693</v>
      </c>
      <c r="AJ81" s="172">
        <f t="shared" si="161"/>
        <v>0.95141988177337244</v>
      </c>
      <c r="AK81" s="172">
        <f t="shared" si="161"/>
        <v>0.95016830090010518</v>
      </c>
      <c r="AL81" s="172">
        <f t="shared" si="161"/>
        <v>0.94887006397855</v>
      </c>
      <c r="AM81" s="184">
        <f>AL81</f>
        <v>0.94887006397855</v>
      </c>
      <c r="AN81" s="184">
        <f t="shared" si="159"/>
        <v>0.94887006397855</v>
      </c>
      <c r="AO81" s="184">
        <f t="shared" si="159"/>
        <v>0.94887006397855</v>
      </c>
      <c r="AP81" s="184">
        <f t="shared" si="159"/>
        <v>0.94887006397855</v>
      </c>
      <c r="AQ81" s="184">
        <f t="shared" si="159"/>
        <v>0.94887006397855</v>
      </c>
      <c r="AR81" s="184">
        <f t="shared" si="159"/>
        <v>0.94887006397855</v>
      </c>
      <c r="AS81" s="184">
        <f t="shared" si="159"/>
        <v>0.94887006397855</v>
      </c>
      <c r="AT81" s="184">
        <f t="shared" si="159"/>
        <v>0.94887006397855</v>
      </c>
      <c r="AU81" s="184">
        <f t="shared" si="159"/>
        <v>0.94887006397855</v>
      </c>
      <c r="AV81" s="184">
        <f t="shared" si="159"/>
        <v>0.94887006397855</v>
      </c>
      <c r="AW81" s="184">
        <f t="shared" si="159"/>
        <v>0.94887006397855</v>
      </c>
      <c r="AX81" s="184">
        <f t="shared" si="159"/>
        <v>0.94887006397855</v>
      </c>
      <c r="AY81" s="184">
        <f t="shared" si="159"/>
        <v>0.94887006397855</v>
      </c>
      <c r="AZ81" s="184">
        <f t="shared" si="159"/>
        <v>0.94887006397855</v>
      </c>
      <c r="BA81" s="184">
        <f t="shared" si="159"/>
        <v>0.94887006397855</v>
      </c>
      <c r="BB81" s="184">
        <f t="shared" si="159"/>
        <v>0.94887006397855</v>
      </c>
      <c r="BC81" s="184">
        <f t="shared" si="159"/>
        <v>0.94887006397855</v>
      </c>
      <c r="BD81" s="184">
        <f t="shared" si="159"/>
        <v>0.94887006397855</v>
      </c>
      <c r="BE81" s="184">
        <f t="shared" si="159"/>
        <v>0.94887006397855</v>
      </c>
      <c r="BF81" s="184">
        <f t="shared" si="159"/>
        <v>0.94887006397855</v>
      </c>
    </row>
    <row r="82" spans="2:58">
      <c r="B82" t="s">
        <v>122</v>
      </c>
      <c r="C82" s="203">
        <f>SUM(C47:C79)</f>
        <v>969356.85768212506</v>
      </c>
      <c r="D82" s="203">
        <f t="shared" ref="D82:T82" si="163">SUM(D47:D79)</f>
        <v>978608.58122945612</v>
      </c>
      <c r="E82" s="203">
        <f t="shared" si="163"/>
        <v>987860.30477678718</v>
      </c>
      <c r="F82" s="203">
        <f t="shared" si="163"/>
        <v>997112.02832411812</v>
      </c>
      <c r="G82" s="203">
        <f t="shared" si="163"/>
        <v>1006363.7518714492</v>
      </c>
      <c r="H82" s="203">
        <f t="shared" si="163"/>
        <v>1015615.4754187802</v>
      </c>
      <c r="I82" s="203">
        <f t="shared" si="163"/>
        <v>1024867.1989661112</v>
      </c>
      <c r="J82" s="203">
        <f t="shared" si="163"/>
        <v>1034118.9225134421</v>
      </c>
      <c r="K82" s="203">
        <f t="shared" si="163"/>
        <v>1017872.6052742479</v>
      </c>
      <c r="L82" s="203">
        <f t="shared" si="163"/>
        <v>1001626.2880350536</v>
      </c>
      <c r="M82" s="203">
        <f t="shared" si="163"/>
        <v>985379.97079585923</v>
      </c>
      <c r="N82" s="203">
        <f t="shared" si="163"/>
        <v>969133.65355666529</v>
      </c>
      <c r="O82" s="203">
        <f t="shared" si="163"/>
        <v>952887.336317471</v>
      </c>
      <c r="P82" s="203">
        <f t="shared" si="163"/>
        <v>936640.707384118</v>
      </c>
      <c r="Q82" s="203">
        <f t="shared" si="163"/>
        <v>920394.07845076558</v>
      </c>
      <c r="R82" s="203">
        <f t="shared" si="163"/>
        <v>904147.44951741234</v>
      </c>
      <c r="S82" s="203">
        <f t="shared" si="163"/>
        <v>887900.82058405969</v>
      </c>
      <c r="T82" s="203">
        <f t="shared" si="163"/>
        <v>871654.19165070704</v>
      </c>
      <c r="U82" s="195"/>
      <c r="V82" s="181" t="s">
        <v>122</v>
      </c>
      <c r="W82" s="196">
        <f t="shared" ref="W82:BF82" si="164">SUM(W47:W79)</f>
        <v>1.0000000000000002</v>
      </c>
      <c r="X82" s="196">
        <f t="shared" si="164"/>
        <v>1.0000000000000002</v>
      </c>
      <c r="Y82" s="196">
        <f t="shared" si="164"/>
        <v>1</v>
      </c>
      <c r="Z82" s="196">
        <f t="shared" si="164"/>
        <v>1</v>
      </c>
      <c r="AA82" s="196">
        <f t="shared" si="164"/>
        <v>1</v>
      </c>
      <c r="AB82" s="196">
        <f t="shared" si="164"/>
        <v>1.0000000000000002</v>
      </c>
      <c r="AC82" s="196">
        <f t="shared" si="164"/>
        <v>1.0000000000000002</v>
      </c>
      <c r="AD82" s="196">
        <f t="shared" si="164"/>
        <v>1.0000000000000002</v>
      </c>
      <c r="AE82" s="196">
        <f t="shared" si="164"/>
        <v>1.0000000000000002</v>
      </c>
      <c r="AF82" s="196">
        <f t="shared" si="164"/>
        <v>1</v>
      </c>
      <c r="AG82" s="196">
        <f t="shared" si="164"/>
        <v>1</v>
      </c>
      <c r="AH82" s="196">
        <f t="shared" si="164"/>
        <v>1</v>
      </c>
      <c r="AI82" s="196">
        <f t="shared" si="164"/>
        <v>0.99999999999999978</v>
      </c>
      <c r="AJ82" s="196">
        <f t="shared" si="164"/>
        <v>1.0000000000000002</v>
      </c>
      <c r="AK82" s="196">
        <f t="shared" si="164"/>
        <v>0.99999999999999978</v>
      </c>
      <c r="AL82" s="196">
        <f t="shared" si="164"/>
        <v>1</v>
      </c>
      <c r="AM82" s="196">
        <f t="shared" si="164"/>
        <v>1</v>
      </c>
      <c r="AN82" s="196">
        <f t="shared" si="164"/>
        <v>1</v>
      </c>
      <c r="AO82" s="196">
        <f t="shared" si="164"/>
        <v>1</v>
      </c>
      <c r="AP82" s="196">
        <f t="shared" si="164"/>
        <v>1</v>
      </c>
      <c r="AQ82" s="196">
        <f t="shared" si="164"/>
        <v>1</v>
      </c>
      <c r="AR82" s="196">
        <f t="shared" si="164"/>
        <v>1</v>
      </c>
      <c r="AS82" s="196">
        <f t="shared" si="164"/>
        <v>1</v>
      </c>
      <c r="AT82" s="196">
        <f t="shared" si="164"/>
        <v>1</v>
      </c>
      <c r="AU82" s="196">
        <f t="shared" si="164"/>
        <v>1</v>
      </c>
      <c r="AV82" s="196">
        <f t="shared" si="164"/>
        <v>1</v>
      </c>
      <c r="AW82" s="196">
        <f t="shared" si="164"/>
        <v>1</v>
      </c>
      <c r="AX82" s="196">
        <f t="shared" si="164"/>
        <v>1</v>
      </c>
      <c r="AY82" s="196">
        <f t="shared" si="164"/>
        <v>1</v>
      </c>
      <c r="AZ82" s="196">
        <f t="shared" si="164"/>
        <v>1</v>
      </c>
      <c r="BA82" s="196">
        <f t="shared" si="164"/>
        <v>1</v>
      </c>
      <c r="BB82" s="196">
        <f t="shared" si="164"/>
        <v>1</v>
      </c>
      <c r="BC82" s="196">
        <f t="shared" si="164"/>
        <v>1</v>
      </c>
      <c r="BD82" s="196">
        <f t="shared" si="164"/>
        <v>1</v>
      </c>
      <c r="BE82" s="196">
        <f t="shared" si="164"/>
        <v>1</v>
      </c>
      <c r="BF82" s="197">
        <f t="shared" si="164"/>
        <v>1</v>
      </c>
    </row>
    <row r="83" spans="2:58">
      <c r="V83" s="181" t="s">
        <v>662</v>
      </c>
      <c r="W83" s="196">
        <f t="shared" ref="W83:BF83" si="165">INDEX(W47:W82,MATCH($V$5,$V47:$V82,0))</f>
        <v>3.9360152461254613E-2</v>
      </c>
      <c r="X83" s="196">
        <f t="shared" si="165"/>
        <v>3.9489407027584272E-2</v>
      </c>
      <c r="Y83" s="196">
        <f t="shared" si="165"/>
        <v>3.9616285062540085E-2</v>
      </c>
      <c r="Z83" s="196">
        <f t="shared" si="165"/>
        <v>3.9740851512979805E-2</v>
      </c>
      <c r="AA83" s="196">
        <f t="shared" si="165"/>
        <v>3.9863168980597358E-2</v>
      </c>
      <c r="AB83" s="196">
        <f t="shared" si="165"/>
        <v>3.9983297826827614E-2</v>
      </c>
      <c r="AC83" s="196">
        <f t="shared" si="165"/>
        <v>4.0937830292519017E-2</v>
      </c>
      <c r="AD83" s="196">
        <f t="shared" si="165"/>
        <v>4.1923327674842477E-2</v>
      </c>
      <c r="AE83" s="196">
        <f t="shared" si="165"/>
        <v>4.2941321563257258E-2</v>
      </c>
      <c r="AF83" s="196">
        <f t="shared" si="165"/>
        <v>4.3993446247972516E-2</v>
      </c>
      <c r="AG83" s="196">
        <f t="shared" si="165"/>
        <v>4.5081447474964294E-2</v>
      </c>
      <c r="AH83" s="196">
        <f t="shared" si="165"/>
        <v>4.6207213278891386E-2</v>
      </c>
      <c r="AI83" s="196">
        <f t="shared" si="165"/>
        <v>4.7372722709402945E-2</v>
      </c>
      <c r="AJ83" s="196">
        <f t="shared" si="165"/>
        <v>4.8580118226627375E-2</v>
      </c>
      <c r="AK83" s="196">
        <f t="shared" si="165"/>
        <v>4.983169909989469E-2</v>
      </c>
      <c r="AL83" s="196">
        <f t="shared" si="165"/>
        <v>5.1129936021449988E-2</v>
      </c>
      <c r="AM83" s="196">
        <f t="shared" si="165"/>
        <v>5.1129936021449988E-2</v>
      </c>
      <c r="AN83" s="196">
        <f t="shared" si="165"/>
        <v>5.1129936021449988E-2</v>
      </c>
      <c r="AO83" s="196">
        <f t="shared" si="165"/>
        <v>5.1129936021449988E-2</v>
      </c>
      <c r="AP83" s="196">
        <f t="shared" si="165"/>
        <v>5.1129936021449988E-2</v>
      </c>
      <c r="AQ83" s="196">
        <f t="shared" si="165"/>
        <v>5.1129936021449988E-2</v>
      </c>
      <c r="AR83" s="196">
        <f t="shared" si="165"/>
        <v>5.1129936021449988E-2</v>
      </c>
      <c r="AS83" s="196">
        <f t="shared" si="165"/>
        <v>5.1129936021449988E-2</v>
      </c>
      <c r="AT83" s="196">
        <f t="shared" si="165"/>
        <v>5.1129936021449988E-2</v>
      </c>
      <c r="AU83" s="196">
        <f t="shared" si="165"/>
        <v>5.1129936021449988E-2</v>
      </c>
      <c r="AV83" s="196">
        <f t="shared" si="165"/>
        <v>5.1129936021449988E-2</v>
      </c>
      <c r="AW83" s="196">
        <f t="shared" si="165"/>
        <v>5.1129936021449988E-2</v>
      </c>
      <c r="AX83" s="196">
        <f t="shared" si="165"/>
        <v>5.1129936021449988E-2</v>
      </c>
      <c r="AY83" s="196">
        <f t="shared" si="165"/>
        <v>5.1129936021449988E-2</v>
      </c>
      <c r="AZ83" s="196">
        <f t="shared" si="165"/>
        <v>5.1129936021449988E-2</v>
      </c>
      <c r="BA83" s="196">
        <f t="shared" si="165"/>
        <v>5.1129936021449988E-2</v>
      </c>
      <c r="BB83" s="196">
        <f t="shared" si="165"/>
        <v>5.1129936021449988E-2</v>
      </c>
      <c r="BC83" s="196">
        <f t="shared" si="165"/>
        <v>5.1129936021449988E-2</v>
      </c>
      <c r="BD83" s="196">
        <f t="shared" si="165"/>
        <v>5.1129936021449988E-2</v>
      </c>
      <c r="BE83" s="196">
        <f t="shared" si="165"/>
        <v>5.1129936021449988E-2</v>
      </c>
      <c r="BF83" s="197">
        <f t="shared" si="165"/>
        <v>5.1129936021449988E-2</v>
      </c>
    </row>
    <row r="84" spans="2:58">
      <c r="C84" s="35" t="s">
        <v>665</v>
      </c>
      <c r="W84" s="35" t="s">
        <v>666</v>
      </c>
    </row>
    <row r="85" spans="2:58">
      <c r="C85" s="591">
        <v>2013</v>
      </c>
      <c r="D85" s="181">
        <v>2014</v>
      </c>
      <c r="E85" s="181">
        <v>2015</v>
      </c>
      <c r="F85" s="591">
        <v>2016</v>
      </c>
      <c r="G85" s="181">
        <v>2017</v>
      </c>
      <c r="H85" s="181">
        <v>2018</v>
      </c>
      <c r="I85" s="181">
        <v>2019</v>
      </c>
      <c r="J85" s="591">
        <v>2020</v>
      </c>
      <c r="K85" s="181">
        <v>2021</v>
      </c>
      <c r="L85" s="181">
        <v>2022</v>
      </c>
      <c r="M85" s="591">
        <v>2023</v>
      </c>
      <c r="N85" s="181">
        <v>2024</v>
      </c>
      <c r="O85" s="591">
        <v>2025</v>
      </c>
      <c r="P85" s="591">
        <v>2026</v>
      </c>
      <c r="Q85" s="181">
        <v>2027</v>
      </c>
      <c r="R85" s="591">
        <v>2028</v>
      </c>
      <c r="S85" s="591">
        <v>2029</v>
      </c>
      <c r="T85" s="591">
        <v>2030</v>
      </c>
      <c r="U85" s="81"/>
      <c r="W85" s="181">
        <v>2015</v>
      </c>
      <c r="X85" s="591">
        <v>2016</v>
      </c>
      <c r="Y85" s="181">
        <v>2017</v>
      </c>
      <c r="Z85" s="181">
        <v>2018</v>
      </c>
      <c r="AA85" s="181">
        <v>2019</v>
      </c>
      <c r="AB85" s="591">
        <v>2020</v>
      </c>
      <c r="AC85" s="181">
        <v>2021</v>
      </c>
      <c r="AD85" s="181">
        <v>2022</v>
      </c>
      <c r="AE85" s="591">
        <v>2023</v>
      </c>
      <c r="AF85" s="181">
        <v>2024</v>
      </c>
      <c r="AG85" s="591">
        <v>2025</v>
      </c>
      <c r="AH85" s="591">
        <v>2026</v>
      </c>
      <c r="AI85" s="181">
        <v>2027</v>
      </c>
      <c r="AJ85" s="591">
        <v>2028</v>
      </c>
      <c r="AK85" s="591">
        <v>2029</v>
      </c>
      <c r="AL85" s="591">
        <v>2030</v>
      </c>
      <c r="AM85" s="181">
        <v>2031</v>
      </c>
      <c r="AN85" s="591">
        <v>2032</v>
      </c>
      <c r="AO85" s="591">
        <v>2033</v>
      </c>
      <c r="AP85" s="591">
        <v>2034</v>
      </c>
      <c r="AQ85" s="181">
        <v>2035</v>
      </c>
      <c r="AR85" s="591">
        <v>2036</v>
      </c>
      <c r="AS85" s="591">
        <v>2037</v>
      </c>
      <c r="AT85" s="591">
        <v>2038</v>
      </c>
      <c r="AU85" s="181">
        <v>2039</v>
      </c>
      <c r="AV85" s="591">
        <v>2040</v>
      </c>
      <c r="AW85" s="591">
        <v>2041</v>
      </c>
      <c r="AX85" s="591">
        <v>2042</v>
      </c>
      <c r="AY85" s="181">
        <v>2043</v>
      </c>
      <c r="AZ85" s="591">
        <v>2044</v>
      </c>
      <c r="BA85" s="591">
        <v>2045</v>
      </c>
      <c r="BB85" s="591">
        <v>2046</v>
      </c>
      <c r="BC85" s="181">
        <v>2047</v>
      </c>
      <c r="BD85" s="591">
        <v>2048</v>
      </c>
      <c r="BE85" s="591">
        <v>2049</v>
      </c>
      <c r="BF85" s="591">
        <v>2050</v>
      </c>
    </row>
    <row r="86" spans="2:58">
      <c r="B86" t="s">
        <v>626</v>
      </c>
      <c r="C86" s="185">
        <v>6250.6770234510768</v>
      </c>
      <c r="D86" s="186">
        <f t="shared" ref="D86:I86" si="166">C86+($J86-$C86)/(COLUMN($J86)-COLUMN($C86))</f>
        <v>6375.6575858450387</v>
      </c>
      <c r="E86" s="186">
        <f t="shared" si="166"/>
        <v>6500.6381482390007</v>
      </c>
      <c r="F86" s="186">
        <f t="shared" si="166"/>
        <v>6625.6187106329626</v>
      </c>
      <c r="G86" s="186">
        <f t="shared" si="166"/>
        <v>6750.5992730269245</v>
      </c>
      <c r="H86" s="186">
        <f t="shared" si="166"/>
        <v>6875.5798354208864</v>
      </c>
      <c r="I86" s="186">
        <f t="shared" si="166"/>
        <v>7000.5603978148483</v>
      </c>
      <c r="J86" s="185">
        <v>7125.5409602088093</v>
      </c>
      <c r="K86" s="187">
        <f t="shared" ref="K86:N105" si="167">J86+($O86-$J86)/(COLUMN($O86)-COLUMN($J86))</f>
        <v>7288.6707900463289</v>
      </c>
      <c r="L86" s="187">
        <f t="shared" si="167"/>
        <v>7451.8006198838484</v>
      </c>
      <c r="M86" s="187">
        <f t="shared" si="167"/>
        <v>7614.9304497213679</v>
      </c>
      <c r="N86" s="187">
        <f t="shared" si="167"/>
        <v>7778.0602795588875</v>
      </c>
      <c r="O86" s="185">
        <v>7941.1901093964079</v>
      </c>
      <c r="P86" s="187">
        <f t="shared" ref="P86:S105" si="168">O86+($T86-$O86)/(COLUMN($T86)-COLUMN($O86))</f>
        <v>8060.5531704029254</v>
      </c>
      <c r="Q86" s="187">
        <f t="shared" si="168"/>
        <v>8179.9162314094428</v>
      </c>
      <c r="R86" s="187">
        <f t="shared" si="168"/>
        <v>8299.2792924159603</v>
      </c>
      <c r="S86" s="187">
        <f t="shared" si="168"/>
        <v>8418.6423534224778</v>
      </c>
      <c r="T86" s="185">
        <v>8538.0054144289952</v>
      </c>
      <c r="U86" s="195"/>
      <c r="V86" t="s">
        <v>626</v>
      </c>
      <c r="W86" s="39">
        <f t="shared" ref="W86:AL86" si="169">E86/SUM(E86:E118)</f>
        <v>0.20342927798380811</v>
      </c>
      <c r="X86" s="39">
        <f t="shared" si="169"/>
        <v>0.2031267750448969</v>
      </c>
      <c r="Y86" s="39">
        <f t="shared" si="169"/>
        <v>0.20283632226864073</v>
      </c>
      <c r="Z86" s="39">
        <f t="shared" si="169"/>
        <v>0.20255721369118648</v>
      </c>
      <c r="AA86" s="39">
        <f t="shared" si="169"/>
        <v>0.20228879743798522</v>
      </c>
      <c r="AB86" s="39">
        <f t="shared" si="169"/>
        <v>0.20203047064090723</v>
      </c>
      <c r="AC86" s="39">
        <f t="shared" si="169"/>
        <v>0.2031853822023745</v>
      </c>
      <c r="AD86" s="39">
        <f t="shared" si="169"/>
        <v>0.20430214617975023</v>
      </c>
      <c r="AE86" s="39">
        <f t="shared" si="169"/>
        <v>0.20538262192950035</v>
      </c>
      <c r="AF86" s="39">
        <f t="shared" si="169"/>
        <v>0.20642854990374743</v>
      </c>
      <c r="AG86" s="39">
        <f t="shared" si="169"/>
        <v>0.20744156100550187</v>
      </c>
      <c r="AH86" s="39">
        <f t="shared" si="169"/>
        <v>0.20816281897600056</v>
      </c>
      <c r="AI86" s="39">
        <f t="shared" si="169"/>
        <v>0.20886784178846141</v>
      </c>
      <c r="AJ86" s="39">
        <f t="shared" si="169"/>
        <v>0.20955717151004732</v>
      </c>
      <c r="AK86" s="39">
        <f t="shared" si="169"/>
        <v>0.21023132634181119</v>
      </c>
      <c r="AL86" s="39">
        <f t="shared" si="169"/>
        <v>0.21089080191786594</v>
      </c>
      <c r="AM86" s="184">
        <f>AL86</f>
        <v>0.21089080191786594</v>
      </c>
      <c r="AN86" s="184">
        <f t="shared" ref="AN86:BF100" si="170">AM86</f>
        <v>0.21089080191786594</v>
      </c>
      <c r="AO86" s="184">
        <f t="shared" si="170"/>
        <v>0.21089080191786594</v>
      </c>
      <c r="AP86" s="184">
        <f t="shared" si="170"/>
        <v>0.21089080191786594</v>
      </c>
      <c r="AQ86" s="184">
        <f t="shared" si="170"/>
        <v>0.21089080191786594</v>
      </c>
      <c r="AR86" s="184">
        <f t="shared" si="170"/>
        <v>0.21089080191786594</v>
      </c>
      <c r="AS86" s="184">
        <f t="shared" si="170"/>
        <v>0.21089080191786594</v>
      </c>
      <c r="AT86" s="184">
        <f t="shared" si="170"/>
        <v>0.21089080191786594</v>
      </c>
      <c r="AU86" s="184">
        <f t="shared" si="170"/>
        <v>0.21089080191786594</v>
      </c>
      <c r="AV86" s="184">
        <f t="shared" si="170"/>
        <v>0.21089080191786594</v>
      </c>
      <c r="AW86" s="184">
        <f t="shared" si="170"/>
        <v>0.21089080191786594</v>
      </c>
      <c r="AX86" s="184">
        <f t="shared" si="170"/>
        <v>0.21089080191786594</v>
      </c>
      <c r="AY86" s="184">
        <f t="shared" si="170"/>
        <v>0.21089080191786594</v>
      </c>
      <c r="AZ86" s="184">
        <f t="shared" si="170"/>
        <v>0.21089080191786594</v>
      </c>
      <c r="BA86" s="184">
        <f t="shared" si="170"/>
        <v>0.21089080191786594</v>
      </c>
      <c r="BB86" s="184">
        <f t="shared" si="170"/>
        <v>0.21089080191786594</v>
      </c>
      <c r="BC86" s="184">
        <f t="shared" si="170"/>
        <v>0.21089080191786594</v>
      </c>
      <c r="BD86" s="184">
        <f t="shared" si="170"/>
        <v>0.21089080191786594</v>
      </c>
      <c r="BE86" s="184">
        <f t="shared" si="170"/>
        <v>0.21089080191786594</v>
      </c>
      <c r="BF86" s="184">
        <f t="shared" si="170"/>
        <v>0.21089080191786594</v>
      </c>
    </row>
    <row r="87" spans="2:58">
      <c r="B87" t="s">
        <v>627</v>
      </c>
      <c r="C87" s="109">
        <v>0</v>
      </c>
      <c r="D87" s="182">
        <f t="shared" ref="D87:I87" si="171">C87+($J87-$C87)/(COLUMN($J87)-COLUMN($C87))</f>
        <v>0</v>
      </c>
      <c r="E87" s="182">
        <f t="shared" si="171"/>
        <v>0</v>
      </c>
      <c r="F87" s="182">
        <f t="shared" si="171"/>
        <v>0</v>
      </c>
      <c r="G87" s="182">
        <f t="shared" si="171"/>
        <v>0</v>
      </c>
      <c r="H87" s="182">
        <f t="shared" si="171"/>
        <v>0</v>
      </c>
      <c r="I87" s="182">
        <f t="shared" si="171"/>
        <v>0</v>
      </c>
      <c r="J87" s="109">
        <v>0</v>
      </c>
      <c r="K87" s="183">
        <f t="shared" si="167"/>
        <v>0</v>
      </c>
      <c r="L87" s="183">
        <f t="shared" si="167"/>
        <v>0</v>
      </c>
      <c r="M87" s="183">
        <f t="shared" si="167"/>
        <v>0</v>
      </c>
      <c r="N87" s="183">
        <f t="shared" si="167"/>
        <v>0</v>
      </c>
      <c r="O87" s="109">
        <v>0</v>
      </c>
      <c r="P87" s="183">
        <f t="shared" si="168"/>
        <v>0</v>
      </c>
      <c r="Q87" s="183">
        <f t="shared" si="168"/>
        <v>0</v>
      </c>
      <c r="R87" s="183">
        <f t="shared" si="168"/>
        <v>0</v>
      </c>
      <c r="S87" s="183">
        <f t="shared" si="168"/>
        <v>0</v>
      </c>
      <c r="T87" s="109">
        <v>0</v>
      </c>
      <c r="U87" s="195"/>
      <c r="V87" t="s">
        <v>627</v>
      </c>
      <c r="W87" s="39">
        <f t="shared" ref="W87:AL87" si="172">E87/SUM(E86:E118)</f>
        <v>0</v>
      </c>
      <c r="X87" s="39">
        <f t="shared" si="172"/>
        <v>0</v>
      </c>
      <c r="Y87" s="39">
        <f t="shared" si="172"/>
        <v>0</v>
      </c>
      <c r="Z87" s="39">
        <f t="shared" si="172"/>
        <v>0</v>
      </c>
      <c r="AA87" s="39">
        <f t="shared" si="172"/>
        <v>0</v>
      </c>
      <c r="AB87" s="39">
        <f t="shared" si="172"/>
        <v>0</v>
      </c>
      <c r="AC87" s="39">
        <f t="shared" si="172"/>
        <v>0</v>
      </c>
      <c r="AD87" s="39">
        <f t="shared" si="172"/>
        <v>0</v>
      </c>
      <c r="AE87" s="39">
        <f t="shared" si="172"/>
        <v>0</v>
      </c>
      <c r="AF87" s="39">
        <f t="shared" si="172"/>
        <v>0</v>
      </c>
      <c r="AG87" s="39">
        <f t="shared" si="172"/>
        <v>0</v>
      </c>
      <c r="AH87" s="39">
        <f t="shared" si="172"/>
        <v>0</v>
      </c>
      <c r="AI87" s="39">
        <f t="shared" si="172"/>
        <v>0</v>
      </c>
      <c r="AJ87" s="39">
        <f t="shared" si="172"/>
        <v>0</v>
      </c>
      <c r="AK87" s="39">
        <f t="shared" si="172"/>
        <v>0</v>
      </c>
      <c r="AL87" s="39">
        <f t="shared" si="172"/>
        <v>0</v>
      </c>
      <c r="AM87" s="184">
        <f t="shared" ref="AM87:BB87" si="173">AL87</f>
        <v>0</v>
      </c>
      <c r="AN87" s="184">
        <f t="shared" si="173"/>
        <v>0</v>
      </c>
      <c r="AO87" s="184">
        <f t="shared" si="173"/>
        <v>0</v>
      </c>
      <c r="AP87" s="184">
        <f t="shared" si="173"/>
        <v>0</v>
      </c>
      <c r="AQ87" s="184">
        <f t="shared" si="173"/>
        <v>0</v>
      </c>
      <c r="AR87" s="184">
        <f t="shared" si="173"/>
        <v>0</v>
      </c>
      <c r="AS87" s="184">
        <f t="shared" si="173"/>
        <v>0</v>
      </c>
      <c r="AT87" s="184">
        <f t="shared" si="173"/>
        <v>0</v>
      </c>
      <c r="AU87" s="184">
        <f t="shared" si="173"/>
        <v>0</v>
      </c>
      <c r="AV87" s="184">
        <f t="shared" si="173"/>
        <v>0</v>
      </c>
      <c r="AW87" s="184">
        <f t="shared" si="173"/>
        <v>0</v>
      </c>
      <c r="AX87" s="184">
        <f t="shared" si="173"/>
        <v>0</v>
      </c>
      <c r="AY87" s="184">
        <f t="shared" si="173"/>
        <v>0</v>
      </c>
      <c r="AZ87" s="184">
        <f t="shared" si="173"/>
        <v>0</v>
      </c>
      <c r="BA87" s="184">
        <f t="shared" si="173"/>
        <v>0</v>
      </c>
      <c r="BB87" s="184">
        <f t="shared" si="173"/>
        <v>0</v>
      </c>
      <c r="BC87" s="184">
        <f t="shared" si="170"/>
        <v>0</v>
      </c>
      <c r="BD87" s="184">
        <f t="shared" si="170"/>
        <v>0</v>
      </c>
      <c r="BE87" s="184">
        <f t="shared" si="170"/>
        <v>0</v>
      </c>
      <c r="BF87" s="184">
        <f t="shared" si="170"/>
        <v>0</v>
      </c>
    </row>
    <row r="88" spans="2:58">
      <c r="B88" t="s">
        <v>628</v>
      </c>
      <c r="C88" s="109">
        <v>4435.0522718117136</v>
      </c>
      <c r="D88" s="182">
        <f t="shared" ref="D88:I88" si="174">C88+($J88-$C88)/(COLUMN($J88)-COLUMN($C88))</f>
        <v>4572.6549889598327</v>
      </c>
      <c r="E88" s="182">
        <f t="shared" si="174"/>
        <v>4710.2577061079519</v>
      </c>
      <c r="F88" s="182">
        <f t="shared" si="174"/>
        <v>4847.860423256071</v>
      </c>
      <c r="G88" s="182">
        <f t="shared" si="174"/>
        <v>4985.4631404041902</v>
      </c>
      <c r="H88" s="182">
        <f t="shared" si="174"/>
        <v>5123.0658575523094</v>
      </c>
      <c r="I88" s="182">
        <f t="shared" si="174"/>
        <v>5260.6685747004285</v>
      </c>
      <c r="J88" s="109">
        <v>5398.2712918485449</v>
      </c>
      <c r="K88" s="183">
        <f t="shared" si="167"/>
        <v>5570.9084530176788</v>
      </c>
      <c r="L88" s="183">
        <f t="shared" si="167"/>
        <v>5743.5456141868126</v>
      </c>
      <c r="M88" s="183">
        <f t="shared" si="167"/>
        <v>5916.1827753559464</v>
      </c>
      <c r="N88" s="183">
        <f t="shared" si="167"/>
        <v>6088.8199365250803</v>
      </c>
      <c r="O88" s="109">
        <v>6261.4570976942141</v>
      </c>
      <c r="P88" s="183">
        <f t="shared" si="168"/>
        <v>6387.7767292487124</v>
      </c>
      <c r="Q88" s="183">
        <f t="shared" si="168"/>
        <v>6514.0963608032107</v>
      </c>
      <c r="R88" s="183">
        <f t="shared" si="168"/>
        <v>6640.415992357709</v>
      </c>
      <c r="S88" s="183">
        <f t="shared" si="168"/>
        <v>6766.7356239122073</v>
      </c>
      <c r="T88" s="109">
        <v>6893.0552554667047</v>
      </c>
      <c r="U88" s="195"/>
      <c r="V88" t="s">
        <v>628</v>
      </c>
      <c r="W88" s="39">
        <f t="shared" ref="W88:AL88" si="175">E88/SUM(E86:E118)</f>
        <v>0.14740157849437951</v>
      </c>
      <c r="X88" s="39">
        <f t="shared" si="175"/>
        <v>0.14862464875370421</v>
      </c>
      <c r="Y88" s="39">
        <f t="shared" si="175"/>
        <v>0.14979899817872375</v>
      </c>
      <c r="Z88" s="39">
        <f t="shared" si="175"/>
        <v>0.15092748110003165</v>
      </c>
      <c r="AA88" s="39">
        <f t="shared" si="175"/>
        <v>0.15201273315606564</v>
      </c>
      <c r="AB88" s="39">
        <f t="shared" si="175"/>
        <v>0.15305719184407018</v>
      </c>
      <c r="AC88" s="39">
        <f t="shared" si="175"/>
        <v>0.15529953208843461</v>
      </c>
      <c r="AD88" s="39">
        <f t="shared" si="175"/>
        <v>0.15746780617406639</v>
      </c>
      <c r="AE88" s="39">
        <f t="shared" si="175"/>
        <v>0.15956562416945155</v>
      </c>
      <c r="AF88" s="39">
        <f t="shared" si="175"/>
        <v>0.16159636528211402</v>
      </c>
      <c r="AG88" s="39">
        <f t="shared" si="175"/>
        <v>0.16356319602244007</v>
      </c>
      <c r="AH88" s="39">
        <f t="shared" si="175"/>
        <v>0.16496356798837922</v>
      </c>
      <c r="AI88" s="39">
        <f t="shared" si="175"/>
        <v>0.16633241827815162</v>
      </c>
      <c r="AJ88" s="39">
        <f t="shared" si="175"/>
        <v>0.16767079935244347</v>
      </c>
      <c r="AK88" s="39">
        <f t="shared" si="175"/>
        <v>0.16897971733424658</v>
      </c>
      <c r="AL88" s="39">
        <f t="shared" si="175"/>
        <v>0.17026013453128652</v>
      </c>
      <c r="AM88" s="184">
        <f t="shared" ref="AM88:AM112" si="176">AL88</f>
        <v>0.17026013453128652</v>
      </c>
      <c r="AN88" s="184">
        <f t="shared" si="170"/>
        <v>0.17026013453128652</v>
      </c>
      <c r="AO88" s="184">
        <f t="shared" si="170"/>
        <v>0.17026013453128652</v>
      </c>
      <c r="AP88" s="184">
        <f t="shared" si="170"/>
        <v>0.17026013453128652</v>
      </c>
      <c r="AQ88" s="184">
        <f t="shared" si="170"/>
        <v>0.17026013453128652</v>
      </c>
      <c r="AR88" s="184">
        <f t="shared" si="170"/>
        <v>0.17026013453128652</v>
      </c>
      <c r="AS88" s="184">
        <f t="shared" si="170"/>
        <v>0.17026013453128652</v>
      </c>
      <c r="AT88" s="184">
        <f t="shared" si="170"/>
        <v>0.17026013453128652</v>
      </c>
      <c r="AU88" s="184">
        <f t="shared" si="170"/>
        <v>0.17026013453128652</v>
      </c>
      <c r="AV88" s="184">
        <f t="shared" si="170"/>
        <v>0.17026013453128652</v>
      </c>
      <c r="AW88" s="184">
        <f t="shared" si="170"/>
        <v>0.17026013453128652</v>
      </c>
      <c r="AX88" s="184">
        <f t="shared" si="170"/>
        <v>0.17026013453128652</v>
      </c>
      <c r="AY88" s="184">
        <f t="shared" si="170"/>
        <v>0.17026013453128652</v>
      </c>
      <c r="AZ88" s="184">
        <f t="shared" si="170"/>
        <v>0.17026013453128652</v>
      </c>
      <c r="BA88" s="184">
        <f t="shared" si="170"/>
        <v>0.17026013453128652</v>
      </c>
      <c r="BB88" s="184">
        <f t="shared" si="170"/>
        <v>0.17026013453128652</v>
      </c>
      <c r="BC88" s="184">
        <f t="shared" si="170"/>
        <v>0.17026013453128652</v>
      </c>
      <c r="BD88" s="184">
        <f t="shared" si="170"/>
        <v>0.17026013453128652</v>
      </c>
      <c r="BE88" s="184">
        <f t="shared" si="170"/>
        <v>0.17026013453128652</v>
      </c>
      <c r="BF88" s="184">
        <f t="shared" si="170"/>
        <v>0.17026013453128652</v>
      </c>
    </row>
    <row r="89" spans="2:58">
      <c r="B89" t="s">
        <v>629</v>
      </c>
      <c r="C89" s="109">
        <v>0</v>
      </c>
      <c r="D89" s="182">
        <f t="shared" ref="D89:I89" si="177">C89+($J89-$C89)/(COLUMN($J89)-COLUMN($C89))</f>
        <v>0</v>
      </c>
      <c r="E89" s="182">
        <f t="shared" si="177"/>
        <v>0</v>
      </c>
      <c r="F89" s="182">
        <f t="shared" si="177"/>
        <v>0</v>
      </c>
      <c r="G89" s="182">
        <f t="shared" si="177"/>
        <v>0</v>
      </c>
      <c r="H89" s="182">
        <f t="shared" si="177"/>
        <v>0</v>
      </c>
      <c r="I89" s="182">
        <f t="shared" si="177"/>
        <v>0</v>
      </c>
      <c r="J89" s="109">
        <v>0</v>
      </c>
      <c r="K89" s="183">
        <f t="shared" si="167"/>
        <v>0</v>
      </c>
      <c r="L89" s="183">
        <f t="shared" si="167"/>
        <v>0</v>
      </c>
      <c r="M89" s="183">
        <f t="shared" si="167"/>
        <v>0</v>
      </c>
      <c r="N89" s="183">
        <f t="shared" si="167"/>
        <v>0</v>
      </c>
      <c r="O89" s="109">
        <v>0</v>
      </c>
      <c r="P89" s="183">
        <f t="shared" si="168"/>
        <v>0</v>
      </c>
      <c r="Q89" s="183">
        <f t="shared" si="168"/>
        <v>0</v>
      </c>
      <c r="R89" s="183">
        <f t="shared" si="168"/>
        <v>0</v>
      </c>
      <c r="S89" s="183">
        <f t="shared" si="168"/>
        <v>0</v>
      </c>
      <c r="T89" s="109">
        <v>0</v>
      </c>
      <c r="U89" s="195"/>
      <c r="V89" t="s">
        <v>629</v>
      </c>
      <c r="W89" s="39">
        <f t="shared" ref="W89:AL89" si="178">E89/SUM(E86:E118)</f>
        <v>0</v>
      </c>
      <c r="X89" s="39">
        <f t="shared" si="178"/>
        <v>0</v>
      </c>
      <c r="Y89" s="39">
        <f t="shared" si="178"/>
        <v>0</v>
      </c>
      <c r="Z89" s="39">
        <f t="shared" si="178"/>
        <v>0</v>
      </c>
      <c r="AA89" s="39">
        <f t="shared" si="178"/>
        <v>0</v>
      </c>
      <c r="AB89" s="39">
        <f t="shared" si="178"/>
        <v>0</v>
      </c>
      <c r="AC89" s="39">
        <f t="shared" si="178"/>
        <v>0</v>
      </c>
      <c r="AD89" s="39">
        <f t="shared" si="178"/>
        <v>0</v>
      </c>
      <c r="AE89" s="39">
        <f t="shared" si="178"/>
        <v>0</v>
      </c>
      <c r="AF89" s="39">
        <f t="shared" si="178"/>
        <v>0</v>
      </c>
      <c r="AG89" s="39">
        <f t="shared" si="178"/>
        <v>0</v>
      </c>
      <c r="AH89" s="39">
        <f t="shared" si="178"/>
        <v>0</v>
      </c>
      <c r="AI89" s="39">
        <f t="shared" si="178"/>
        <v>0</v>
      </c>
      <c r="AJ89" s="39">
        <f t="shared" si="178"/>
        <v>0</v>
      </c>
      <c r="AK89" s="39">
        <f t="shared" si="178"/>
        <v>0</v>
      </c>
      <c r="AL89" s="39">
        <f t="shared" si="178"/>
        <v>0</v>
      </c>
      <c r="AM89" s="184">
        <f t="shared" si="176"/>
        <v>0</v>
      </c>
      <c r="AN89" s="184">
        <f t="shared" si="170"/>
        <v>0</v>
      </c>
      <c r="AO89" s="184">
        <f t="shared" si="170"/>
        <v>0</v>
      </c>
      <c r="AP89" s="184">
        <f t="shared" si="170"/>
        <v>0</v>
      </c>
      <c r="AQ89" s="184">
        <f t="shared" si="170"/>
        <v>0</v>
      </c>
      <c r="AR89" s="184">
        <f t="shared" si="170"/>
        <v>0</v>
      </c>
      <c r="AS89" s="184">
        <f t="shared" si="170"/>
        <v>0</v>
      </c>
      <c r="AT89" s="184">
        <f t="shared" si="170"/>
        <v>0</v>
      </c>
      <c r="AU89" s="184">
        <f t="shared" si="170"/>
        <v>0</v>
      </c>
      <c r="AV89" s="184">
        <f t="shared" si="170"/>
        <v>0</v>
      </c>
      <c r="AW89" s="184">
        <f t="shared" si="170"/>
        <v>0</v>
      </c>
      <c r="AX89" s="184">
        <f t="shared" si="170"/>
        <v>0</v>
      </c>
      <c r="AY89" s="184">
        <f t="shared" si="170"/>
        <v>0</v>
      </c>
      <c r="AZ89" s="184">
        <f t="shared" si="170"/>
        <v>0</v>
      </c>
      <c r="BA89" s="184">
        <f t="shared" si="170"/>
        <v>0</v>
      </c>
      <c r="BB89" s="184">
        <f t="shared" si="170"/>
        <v>0</v>
      </c>
      <c r="BC89" s="184">
        <f t="shared" si="170"/>
        <v>0</v>
      </c>
      <c r="BD89" s="184">
        <f t="shared" si="170"/>
        <v>0</v>
      </c>
      <c r="BE89" s="184">
        <f t="shared" si="170"/>
        <v>0</v>
      </c>
      <c r="BF89" s="184">
        <f t="shared" si="170"/>
        <v>0</v>
      </c>
    </row>
    <row r="90" spans="2:58">
      <c r="B90" t="s">
        <v>630</v>
      </c>
      <c r="C90" s="109">
        <v>0</v>
      </c>
      <c r="D90" s="182">
        <f t="shared" ref="D90:I90" si="179">C90+($J90-$C90)/(COLUMN($J90)-COLUMN($C90))</f>
        <v>0</v>
      </c>
      <c r="E90" s="182">
        <f t="shared" si="179"/>
        <v>0</v>
      </c>
      <c r="F90" s="182">
        <f t="shared" si="179"/>
        <v>0</v>
      </c>
      <c r="G90" s="182">
        <f t="shared" si="179"/>
        <v>0</v>
      </c>
      <c r="H90" s="182">
        <f t="shared" si="179"/>
        <v>0</v>
      </c>
      <c r="I90" s="182">
        <f t="shared" si="179"/>
        <v>0</v>
      </c>
      <c r="J90" s="109">
        <v>0</v>
      </c>
      <c r="K90" s="183">
        <f t="shared" si="167"/>
        <v>0</v>
      </c>
      <c r="L90" s="183">
        <f t="shared" si="167"/>
        <v>0</v>
      </c>
      <c r="M90" s="183">
        <f t="shared" si="167"/>
        <v>0</v>
      </c>
      <c r="N90" s="183">
        <f t="shared" si="167"/>
        <v>0</v>
      </c>
      <c r="O90" s="109">
        <v>0</v>
      </c>
      <c r="P90" s="183">
        <f t="shared" si="168"/>
        <v>0</v>
      </c>
      <c r="Q90" s="183">
        <f t="shared" si="168"/>
        <v>0</v>
      </c>
      <c r="R90" s="183">
        <f t="shared" si="168"/>
        <v>0</v>
      </c>
      <c r="S90" s="183">
        <f t="shared" si="168"/>
        <v>0</v>
      </c>
      <c r="T90" s="109">
        <v>0</v>
      </c>
      <c r="U90" s="195"/>
      <c r="V90" t="s">
        <v>630</v>
      </c>
      <c r="W90" s="39">
        <f t="shared" ref="W90:AL90" si="180">E90/SUM(E86:E118)</f>
        <v>0</v>
      </c>
      <c r="X90" s="39">
        <f t="shared" si="180"/>
        <v>0</v>
      </c>
      <c r="Y90" s="39">
        <f t="shared" si="180"/>
        <v>0</v>
      </c>
      <c r="Z90" s="39">
        <f t="shared" si="180"/>
        <v>0</v>
      </c>
      <c r="AA90" s="39">
        <f t="shared" si="180"/>
        <v>0</v>
      </c>
      <c r="AB90" s="39">
        <f t="shared" si="180"/>
        <v>0</v>
      </c>
      <c r="AC90" s="39">
        <f t="shared" si="180"/>
        <v>0</v>
      </c>
      <c r="AD90" s="39">
        <f t="shared" si="180"/>
        <v>0</v>
      </c>
      <c r="AE90" s="39">
        <f t="shared" si="180"/>
        <v>0</v>
      </c>
      <c r="AF90" s="39">
        <f t="shared" si="180"/>
        <v>0</v>
      </c>
      <c r="AG90" s="39">
        <f t="shared" si="180"/>
        <v>0</v>
      </c>
      <c r="AH90" s="39">
        <f t="shared" si="180"/>
        <v>0</v>
      </c>
      <c r="AI90" s="39">
        <f t="shared" si="180"/>
        <v>0</v>
      </c>
      <c r="AJ90" s="39">
        <f t="shared" si="180"/>
        <v>0</v>
      </c>
      <c r="AK90" s="39">
        <f t="shared" si="180"/>
        <v>0</v>
      </c>
      <c r="AL90" s="39">
        <f t="shared" si="180"/>
        <v>0</v>
      </c>
      <c r="AM90" s="184">
        <f t="shared" si="176"/>
        <v>0</v>
      </c>
      <c r="AN90" s="184">
        <f t="shared" si="170"/>
        <v>0</v>
      </c>
      <c r="AO90" s="184">
        <f t="shared" si="170"/>
        <v>0</v>
      </c>
      <c r="AP90" s="184">
        <f t="shared" si="170"/>
        <v>0</v>
      </c>
      <c r="AQ90" s="184">
        <f t="shared" si="170"/>
        <v>0</v>
      </c>
      <c r="AR90" s="184">
        <f t="shared" si="170"/>
        <v>0</v>
      </c>
      <c r="AS90" s="184">
        <f t="shared" si="170"/>
        <v>0</v>
      </c>
      <c r="AT90" s="184">
        <f t="shared" si="170"/>
        <v>0</v>
      </c>
      <c r="AU90" s="184">
        <f t="shared" si="170"/>
        <v>0</v>
      </c>
      <c r="AV90" s="184">
        <f t="shared" si="170"/>
        <v>0</v>
      </c>
      <c r="AW90" s="184">
        <f t="shared" si="170"/>
        <v>0</v>
      </c>
      <c r="AX90" s="184">
        <f t="shared" si="170"/>
        <v>0</v>
      </c>
      <c r="AY90" s="184">
        <f t="shared" si="170"/>
        <v>0</v>
      </c>
      <c r="AZ90" s="184">
        <f t="shared" si="170"/>
        <v>0</v>
      </c>
      <c r="BA90" s="184">
        <f t="shared" si="170"/>
        <v>0</v>
      </c>
      <c r="BB90" s="184">
        <f t="shared" si="170"/>
        <v>0</v>
      </c>
      <c r="BC90" s="184">
        <f t="shared" si="170"/>
        <v>0</v>
      </c>
      <c r="BD90" s="184">
        <f t="shared" si="170"/>
        <v>0</v>
      </c>
      <c r="BE90" s="184">
        <f t="shared" si="170"/>
        <v>0</v>
      </c>
      <c r="BF90" s="184">
        <f t="shared" si="170"/>
        <v>0</v>
      </c>
    </row>
    <row r="91" spans="2:58">
      <c r="B91" t="s">
        <v>631</v>
      </c>
      <c r="C91" s="109">
        <v>0</v>
      </c>
      <c r="D91" s="182">
        <f t="shared" ref="D91:I91" si="181">C91+($J91-$C91)/(COLUMN($J91)-COLUMN($C91))</f>
        <v>0</v>
      </c>
      <c r="E91" s="182">
        <f t="shared" si="181"/>
        <v>0</v>
      </c>
      <c r="F91" s="182">
        <f t="shared" si="181"/>
        <v>0</v>
      </c>
      <c r="G91" s="182">
        <f t="shared" si="181"/>
        <v>0</v>
      </c>
      <c r="H91" s="182">
        <f t="shared" si="181"/>
        <v>0</v>
      </c>
      <c r="I91" s="182">
        <f t="shared" si="181"/>
        <v>0</v>
      </c>
      <c r="J91" s="109">
        <v>0</v>
      </c>
      <c r="K91" s="183">
        <f t="shared" si="167"/>
        <v>0</v>
      </c>
      <c r="L91" s="183">
        <f t="shared" si="167"/>
        <v>0</v>
      </c>
      <c r="M91" s="183">
        <f t="shared" si="167"/>
        <v>0</v>
      </c>
      <c r="N91" s="183">
        <f t="shared" si="167"/>
        <v>0</v>
      </c>
      <c r="O91" s="109">
        <v>0</v>
      </c>
      <c r="P91" s="183">
        <f t="shared" si="168"/>
        <v>0</v>
      </c>
      <c r="Q91" s="183">
        <f t="shared" si="168"/>
        <v>0</v>
      </c>
      <c r="R91" s="183">
        <f t="shared" si="168"/>
        <v>0</v>
      </c>
      <c r="S91" s="183">
        <f t="shared" si="168"/>
        <v>0</v>
      </c>
      <c r="T91" s="109">
        <v>0</v>
      </c>
      <c r="U91" s="195"/>
      <c r="V91" t="s">
        <v>631</v>
      </c>
      <c r="W91" s="39">
        <f t="shared" ref="W91:AL91" si="182">E91/SUM(E86:E118)</f>
        <v>0</v>
      </c>
      <c r="X91" s="39">
        <f t="shared" si="182"/>
        <v>0</v>
      </c>
      <c r="Y91" s="39">
        <f t="shared" si="182"/>
        <v>0</v>
      </c>
      <c r="Z91" s="39">
        <f t="shared" si="182"/>
        <v>0</v>
      </c>
      <c r="AA91" s="39">
        <f t="shared" si="182"/>
        <v>0</v>
      </c>
      <c r="AB91" s="39">
        <f t="shared" si="182"/>
        <v>0</v>
      </c>
      <c r="AC91" s="39">
        <f t="shared" si="182"/>
        <v>0</v>
      </c>
      <c r="AD91" s="39">
        <f t="shared" si="182"/>
        <v>0</v>
      </c>
      <c r="AE91" s="39">
        <f t="shared" si="182"/>
        <v>0</v>
      </c>
      <c r="AF91" s="39">
        <f t="shared" si="182"/>
        <v>0</v>
      </c>
      <c r="AG91" s="39">
        <f t="shared" si="182"/>
        <v>0</v>
      </c>
      <c r="AH91" s="39">
        <f t="shared" si="182"/>
        <v>0</v>
      </c>
      <c r="AI91" s="39">
        <f t="shared" si="182"/>
        <v>0</v>
      </c>
      <c r="AJ91" s="39">
        <f t="shared" si="182"/>
        <v>0</v>
      </c>
      <c r="AK91" s="39">
        <f t="shared" si="182"/>
        <v>0</v>
      </c>
      <c r="AL91" s="39">
        <f t="shared" si="182"/>
        <v>0</v>
      </c>
      <c r="AM91" s="184">
        <f t="shared" si="176"/>
        <v>0</v>
      </c>
      <c r="AN91" s="184">
        <f t="shared" si="170"/>
        <v>0</v>
      </c>
      <c r="AO91" s="184">
        <f t="shared" si="170"/>
        <v>0</v>
      </c>
      <c r="AP91" s="184">
        <f t="shared" si="170"/>
        <v>0</v>
      </c>
      <c r="AQ91" s="184">
        <f t="shared" si="170"/>
        <v>0</v>
      </c>
      <c r="AR91" s="184">
        <f t="shared" si="170"/>
        <v>0</v>
      </c>
      <c r="AS91" s="184">
        <f t="shared" si="170"/>
        <v>0</v>
      </c>
      <c r="AT91" s="184">
        <f t="shared" si="170"/>
        <v>0</v>
      </c>
      <c r="AU91" s="184">
        <f t="shared" si="170"/>
        <v>0</v>
      </c>
      <c r="AV91" s="184">
        <f t="shared" si="170"/>
        <v>0</v>
      </c>
      <c r="AW91" s="184">
        <f t="shared" si="170"/>
        <v>0</v>
      </c>
      <c r="AX91" s="184">
        <f t="shared" si="170"/>
        <v>0</v>
      </c>
      <c r="AY91" s="184">
        <f t="shared" si="170"/>
        <v>0</v>
      </c>
      <c r="AZ91" s="184">
        <f t="shared" si="170"/>
        <v>0</v>
      </c>
      <c r="BA91" s="184">
        <f t="shared" si="170"/>
        <v>0</v>
      </c>
      <c r="BB91" s="184">
        <f t="shared" si="170"/>
        <v>0</v>
      </c>
      <c r="BC91" s="184">
        <f t="shared" si="170"/>
        <v>0</v>
      </c>
      <c r="BD91" s="184">
        <f t="shared" si="170"/>
        <v>0</v>
      </c>
      <c r="BE91" s="184">
        <f t="shared" si="170"/>
        <v>0</v>
      </c>
      <c r="BF91" s="184">
        <f t="shared" si="170"/>
        <v>0</v>
      </c>
    </row>
    <row r="92" spans="2:58">
      <c r="B92" t="s">
        <v>632</v>
      </c>
      <c r="C92" s="109">
        <v>2032.9532539630509</v>
      </c>
      <c r="D92" s="182">
        <f t="shared" ref="D92:I92" si="183">C92+($J92-$C92)/(COLUMN($J92)-COLUMN($C92))</f>
        <v>2032.9900611749665</v>
      </c>
      <c r="E92" s="182">
        <f t="shared" si="183"/>
        <v>2033.0268683868821</v>
      </c>
      <c r="F92" s="182">
        <f t="shared" si="183"/>
        <v>2033.0636755987978</v>
      </c>
      <c r="G92" s="182">
        <f t="shared" si="183"/>
        <v>2033.1004828107134</v>
      </c>
      <c r="H92" s="182">
        <f t="shared" si="183"/>
        <v>2033.137290022629</v>
      </c>
      <c r="I92" s="182">
        <f t="shared" si="183"/>
        <v>2033.1740972345447</v>
      </c>
      <c r="J92" s="109">
        <v>2033.2109044464596</v>
      </c>
      <c r="K92" s="183">
        <f t="shared" si="167"/>
        <v>2033.260038068622</v>
      </c>
      <c r="L92" s="183">
        <f t="shared" si="167"/>
        <v>2033.3091716907843</v>
      </c>
      <c r="M92" s="183">
        <f t="shared" si="167"/>
        <v>2033.3583053129466</v>
      </c>
      <c r="N92" s="183">
        <f t="shared" si="167"/>
        <v>2033.407438935109</v>
      </c>
      <c r="O92" s="109">
        <v>2033.4565725572716</v>
      </c>
      <c r="P92" s="183">
        <f t="shared" si="168"/>
        <v>2033.4925239191132</v>
      </c>
      <c r="Q92" s="183">
        <f t="shared" si="168"/>
        <v>2033.5284752809548</v>
      </c>
      <c r="R92" s="183">
        <f t="shared" si="168"/>
        <v>2033.5644266427964</v>
      </c>
      <c r="S92" s="183">
        <f t="shared" si="168"/>
        <v>2033.6003780046381</v>
      </c>
      <c r="T92" s="109">
        <v>2033.6363293664792</v>
      </c>
      <c r="U92" s="195"/>
      <c r="V92" t="s">
        <v>632</v>
      </c>
      <c r="W92" s="39">
        <f t="shared" ref="W92:AL92" si="184">E92/SUM(E86:E118)</f>
        <v>6.3621013587667932E-2</v>
      </c>
      <c r="X92" s="39">
        <f t="shared" si="184"/>
        <v>6.2329223265227128E-2</v>
      </c>
      <c r="Y92" s="39">
        <f t="shared" si="184"/>
        <v>6.1088891231283457E-2</v>
      </c>
      <c r="Z92" s="39">
        <f t="shared" si="184"/>
        <v>5.9897002780336939E-2</v>
      </c>
      <c r="AA92" s="39">
        <f t="shared" si="184"/>
        <v>5.8750774186594634E-2</v>
      </c>
      <c r="AB92" s="39">
        <f t="shared" si="184"/>
        <v>5.7647630998321493E-2</v>
      </c>
      <c r="AC92" s="39">
        <f t="shared" si="184"/>
        <v>5.668094085357387E-2</v>
      </c>
      <c r="AD92" s="39">
        <f t="shared" si="184"/>
        <v>5.5746181200144948E-2</v>
      </c>
      <c r="AE92" s="39">
        <f t="shared" si="184"/>
        <v>5.4841795709713821E-2</v>
      </c>
      <c r="AF92" s="39">
        <f t="shared" si="184"/>
        <v>5.396632757989793E-2</v>
      </c>
      <c r="AG92" s="39">
        <f t="shared" si="184"/>
        <v>5.3118411703688563E-2</v>
      </c>
      <c r="AH92" s="39">
        <f t="shared" si="184"/>
        <v>5.2514700566693898E-2</v>
      </c>
      <c r="AI92" s="39">
        <f t="shared" si="184"/>
        <v>5.192457866700291E-2</v>
      </c>
      <c r="AJ92" s="39">
        <f t="shared" si="184"/>
        <v>5.1347592280710175E-2</v>
      </c>
      <c r="AK92" s="39">
        <f t="shared" si="184"/>
        <v>5.0783307660447044E-2</v>
      </c>
      <c r="AL92" s="39">
        <f t="shared" si="184"/>
        <v>5.0231309947943441E-2</v>
      </c>
      <c r="AM92" s="184">
        <f t="shared" si="176"/>
        <v>5.0231309947943441E-2</v>
      </c>
      <c r="AN92" s="184">
        <f t="shared" si="170"/>
        <v>5.0231309947943441E-2</v>
      </c>
      <c r="AO92" s="184">
        <f t="shared" si="170"/>
        <v>5.0231309947943441E-2</v>
      </c>
      <c r="AP92" s="184">
        <f t="shared" si="170"/>
        <v>5.0231309947943441E-2</v>
      </c>
      <c r="AQ92" s="184">
        <f t="shared" si="170"/>
        <v>5.0231309947943441E-2</v>
      </c>
      <c r="AR92" s="184">
        <f t="shared" si="170"/>
        <v>5.0231309947943441E-2</v>
      </c>
      <c r="AS92" s="184">
        <f t="shared" si="170"/>
        <v>5.0231309947943441E-2</v>
      </c>
      <c r="AT92" s="184">
        <f t="shared" si="170"/>
        <v>5.0231309947943441E-2</v>
      </c>
      <c r="AU92" s="184">
        <f t="shared" si="170"/>
        <v>5.0231309947943441E-2</v>
      </c>
      <c r="AV92" s="184">
        <f t="shared" si="170"/>
        <v>5.0231309947943441E-2</v>
      </c>
      <c r="AW92" s="184">
        <f t="shared" si="170"/>
        <v>5.0231309947943441E-2</v>
      </c>
      <c r="AX92" s="184">
        <f t="shared" si="170"/>
        <v>5.0231309947943441E-2</v>
      </c>
      <c r="AY92" s="184">
        <f t="shared" si="170"/>
        <v>5.0231309947943441E-2</v>
      </c>
      <c r="AZ92" s="184">
        <f t="shared" si="170"/>
        <v>5.0231309947943441E-2</v>
      </c>
      <c r="BA92" s="184">
        <f t="shared" si="170"/>
        <v>5.0231309947943441E-2</v>
      </c>
      <c r="BB92" s="184">
        <f t="shared" si="170"/>
        <v>5.0231309947943441E-2</v>
      </c>
      <c r="BC92" s="184">
        <f t="shared" si="170"/>
        <v>5.0231309947943441E-2</v>
      </c>
      <c r="BD92" s="184">
        <f t="shared" si="170"/>
        <v>5.0231309947943441E-2</v>
      </c>
      <c r="BE92" s="184">
        <f t="shared" si="170"/>
        <v>5.0231309947943441E-2</v>
      </c>
      <c r="BF92" s="184">
        <f t="shared" si="170"/>
        <v>5.0231309947943441E-2</v>
      </c>
    </row>
    <row r="93" spans="2:58">
      <c r="B93" t="s">
        <v>633</v>
      </c>
      <c r="C93" s="109">
        <v>1740.4261474687712</v>
      </c>
      <c r="D93" s="182">
        <f t="shared" ref="D93:I93" si="185">C93+($J93-$C93)/(COLUMN($J93)-COLUMN($C93))</f>
        <v>1740.4521472824608</v>
      </c>
      <c r="E93" s="182">
        <f t="shared" si="185"/>
        <v>1740.4781470961505</v>
      </c>
      <c r="F93" s="182">
        <f t="shared" si="185"/>
        <v>1740.5041469098401</v>
      </c>
      <c r="G93" s="182">
        <f t="shared" si="185"/>
        <v>1740.5301467235297</v>
      </c>
      <c r="H93" s="182">
        <f t="shared" si="185"/>
        <v>1740.5561465372193</v>
      </c>
      <c r="I93" s="182">
        <f t="shared" si="185"/>
        <v>1740.5821463509089</v>
      </c>
      <c r="J93" s="109">
        <v>1740.6081461645983</v>
      </c>
      <c r="K93" s="183">
        <f t="shared" si="167"/>
        <v>1740.6428530863029</v>
      </c>
      <c r="L93" s="183">
        <f t="shared" si="167"/>
        <v>1740.6775600080075</v>
      </c>
      <c r="M93" s="183">
        <f t="shared" si="167"/>
        <v>1740.7122669297121</v>
      </c>
      <c r="N93" s="183">
        <f t="shared" si="167"/>
        <v>1740.7469738514167</v>
      </c>
      <c r="O93" s="109">
        <v>1740.7816807731213</v>
      </c>
      <c r="P93" s="183">
        <f t="shared" si="168"/>
        <v>1740.8070760329392</v>
      </c>
      <c r="Q93" s="183">
        <f t="shared" si="168"/>
        <v>1740.8324712927572</v>
      </c>
      <c r="R93" s="183">
        <f t="shared" si="168"/>
        <v>1740.8578665525752</v>
      </c>
      <c r="S93" s="183">
        <f t="shared" si="168"/>
        <v>1740.8832618123931</v>
      </c>
      <c r="T93" s="109">
        <v>1740.9086570722109</v>
      </c>
      <c r="U93" s="195"/>
      <c r="V93" t="s">
        <v>633</v>
      </c>
      <c r="W93" s="39">
        <f t="shared" ref="W93:AL93" si="186">E93/SUM(E86:E118)</f>
        <v>5.446607005902656E-2</v>
      </c>
      <c r="X93" s="39">
        <f t="shared" si="186"/>
        <v>5.3359996968538263E-2</v>
      </c>
      <c r="Y93" s="39">
        <f t="shared" si="186"/>
        <v>5.2297984146346219E-2</v>
      </c>
      <c r="Z93" s="39">
        <f t="shared" si="186"/>
        <v>5.1277450303079147E-2</v>
      </c>
      <c r="AA93" s="39">
        <f t="shared" si="186"/>
        <v>5.0296011921739429E-2</v>
      </c>
      <c r="AB93" s="39">
        <f t="shared" si="186"/>
        <v>4.935146467261705E-2</v>
      </c>
      <c r="AC93" s="39">
        <f t="shared" si="186"/>
        <v>4.8523687455490641E-2</v>
      </c>
      <c r="AD93" s="39">
        <f t="shared" si="186"/>
        <v>4.7723252332818059E-2</v>
      </c>
      <c r="AE93" s="39">
        <f t="shared" si="186"/>
        <v>4.6948826619939779E-2</v>
      </c>
      <c r="AF93" s="39">
        <f t="shared" si="186"/>
        <v>4.6199162856303232E-2</v>
      </c>
      <c r="AG93" s="39">
        <f t="shared" si="186"/>
        <v>4.5473092100146779E-2</v>
      </c>
      <c r="AH93" s="39">
        <f t="shared" si="186"/>
        <v>4.4956133974893384E-2</v>
      </c>
      <c r="AI93" s="39">
        <f t="shared" si="186"/>
        <v>4.4450812319815285E-2</v>
      </c>
      <c r="AJ93" s="39">
        <f t="shared" si="186"/>
        <v>4.3956738610922849E-2</v>
      </c>
      <c r="AK93" s="39">
        <f t="shared" si="186"/>
        <v>4.3473541430144105E-2</v>
      </c>
      <c r="AL93" s="39">
        <f t="shared" si="186"/>
        <v>4.300086553415091E-2</v>
      </c>
      <c r="AM93" s="184">
        <f t="shared" si="176"/>
        <v>4.300086553415091E-2</v>
      </c>
      <c r="AN93" s="184">
        <f t="shared" si="170"/>
        <v>4.300086553415091E-2</v>
      </c>
      <c r="AO93" s="184">
        <f t="shared" si="170"/>
        <v>4.300086553415091E-2</v>
      </c>
      <c r="AP93" s="184">
        <f t="shared" si="170"/>
        <v>4.300086553415091E-2</v>
      </c>
      <c r="AQ93" s="184">
        <f t="shared" si="170"/>
        <v>4.300086553415091E-2</v>
      </c>
      <c r="AR93" s="184">
        <f t="shared" si="170"/>
        <v>4.300086553415091E-2</v>
      </c>
      <c r="AS93" s="184">
        <f t="shared" si="170"/>
        <v>4.300086553415091E-2</v>
      </c>
      <c r="AT93" s="184">
        <f t="shared" si="170"/>
        <v>4.300086553415091E-2</v>
      </c>
      <c r="AU93" s="184">
        <f t="shared" si="170"/>
        <v>4.300086553415091E-2</v>
      </c>
      <c r="AV93" s="184">
        <f t="shared" si="170"/>
        <v>4.300086553415091E-2</v>
      </c>
      <c r="AW93" s="184">
        <f t="shared" si="170"/>
        <v>4.300086553415091E-2</v>
      </c>
      <c r="AX93" s="184">
        <f t="shared" si="170"/>
        <v>4.300086553415091E-2</v>
      </c>
      <c r="AY93" s="184">
        <f t="shared" si="170"/>
        <v>4.300086553415091E-2</v>
      </c>
      <c r="AZ93" s="184">
        <f t="shared" si="170"/>
        <v>4.300086553415091E-2</v>
      </c>
      <c r="BA93" s="184">
        <f t="shared" si="170"/>
        <v>4.300086553415091E-2</v>
      </c>
      <c r="BB93" s="184">
        <f t="shared" si="170"/>
        <v>4.300086553415091E-2</v>
      </c>
      <c r="BC93" s="184">
        <f t="shared" si="170"/>
        <v>4.300086553415091E-2</v>
      </c>
      <c r="BD93" s="184">
        <f t="shared" si="170"/>
        <v>4.300086553415091E-2</v>
      </c>
      <c r="BE93" s="184">
        <f t="shared" si="170"/>
        <v>4.300086553415091E-2</v>
      </c>
      <c r="BF93" s="184">
        <f t="shared" si="170"/>
        <v>4.300086553415091E-2</v>
      </c>
    </row>
    <row r="94" spans="2:58">
      <c r="B94" t="s">
        <v>634</v>
      </c>
      <c r="C94" s="109">
        <v>0</v>
      </c>
      <c r="D94" s="182">
        <f t="shared" ref="D94:I94" si="187">C94+($J94-$C94)/(COLUMN($J94)-COLUMN($C94))</f>
        <v>0</v>
      </c>
      <c r="E94" s="182">
        <f t="shared" si="187"/>
        <v>0</v>
      </c>
      <c r="F94" s="182">
        <f t="shared" si="187"/>
        <v>0</v>
      </c>
      <c r="G94" s="182">
        <f t="shared" si="187"/>
        <v>0</v>
      </c>
      <c r="H94" s="182">
        <f t="shared" si="187"/>
        <v>0</v>
      </c>
      <c r="I94" s="182">
        <f t="shared" si="187"/>
        <v>0</v>
      </c>
      <c r="J94" s="109">
        <v>0</v>
      </c>
      <c r="K94" s="183">
        <f t="shared" si="167"/>
        <v>0</v>
      </c>
      <c r="L94" s="183">
        <f t="shared" si="167"/>
        <v>0</v>
      </c>
      <c r="M94" s="183">
        <f t="shared" si="167"/>
        <v>0</v>
      </c>
      <c r="N94" s="183">
        <f t="shared" si="167"/>
        <v>0</v>
      </c>
      <c r="O94" s="109">
        <v>0</v>
      </c>
      <c r="P94" s="183">
        <f t="shared" si="168"/>
        <v>0</v>
      </c>
      <c r="Q94" s="183">
        <f t="shared" si="168"/>
        <v>0</v>
      </c>
      <c r="R94" s="183">
        <f t="shared" si="168"/>
        <v>0</v>
      </c>
      <c r="S94" s="183">
        <f t="shared" si="168"/>
        <v>0</v>
      </c>
      <c r="T94" s="109">
        <v>0</v>
      </c>
      <c r="U94" s="195"/>
      <c r="V94" t="s">
        <v>634</v>
      </c>
      <c r="W94" s="39">
        <f t="shared" ref="W94:AL94" si="188">E94/SUM(E86:E118)</f>
        <v>0</v>
      </c>
      <c r="X94" s="39">
        <f t="shared" si="188"/>
        <v>0</v>
      </c>
      <c r="Y94" s="39">
        <f t="shared" si="188"/>
        <v>0</v>
      </c>
      <c r="Z94" s="39">
        <f t="shared" si="188"/>
        <v>0</v>
      </c>
      <c r="AA94" s="39">
        <f t="shared" si="188"/>
        <v>0</v>
      </c>
      <c r="AB94" s="39">
        <f t="shared" si="188"/>
        <v>0</v>
      </c>
      <c r="AC94" s="39">
        <f t="shared" si="188"/>
        <v>0</v>
      </c>
      <c r="AD94" s="39">
        <f t="shared" si="188"/>
        <v>0</v>
      </c>
      <c r="AE94" s="39">
        <f t="shared" si="188"/>
        <v>0</v>
      </c>
      <c r="AF94" s="39">
        <f t="shared" si="188"/>
        <v>0</v>
      </c>
      <c r="AG94" s="39">
        <f t="shared" si="188"/>
        <v>0</v>
      </c>
      <c r="AH94" s="39">
        <f t="shared" si="188"/>
        <v>0</v>
      </c>
      <c r="AI94" s="39">
        <f t="shared" si="188"/>
        <v>0</v>
      </c>
      <c r="AJ94" s="39">
        <f t="shared" si="188"/>
        <v>0</v>
      </c>
      <c r="AK94" s="39">
        <f t="shared" si="188"/>
        <v>0</v>
      </c>
      <c r="AL94" s="39">
        <f t="shared" si="188"/>
        <v>0</v>
      </c>
      <c r="AM94" s="184">
        <f t="shared" si="176"/>
        <v>0</v>
      </c>
      <c r="AN94" s="184">
        <f t="shared" si="170"/>
        <v>0</v>
      </c>
      <c r="AO94" s="184">
        <f t="shared" si="170"/>
        <v>0</v>
      </c>
      <c r="AP94" s="184">
        <f t="shared" si="170"/>
        <v>0</v>
      </c>
      <c r="AQ94" s="184">
        <f t="shared" si="170"/>
        <v>0</v>
      </c>
      <c r="AR94" s="184">
        <f t="shared" si="170"/>
        <v>0</v>
      </c>
      <c r="AS94" s="184">
        <f t="shared" si="170"/>
        <v>0</v>
      </c>
      <c r="AT94" s="184">
        <f t="shared" si="170"/>
        <v>0</v>
      </c>
      <c r="AU94" s="184">
        <f t="shared" si="170"/>
        <v>0</v>
      </c>
      <c r="AV94" s="184">
        <f t="shared" si="170"/>
        <v>0</v>
      </c>
      <c r="AW94" s="184">
        <f t="shared" si="170"/>
        <v>0</v>
      </c>
      <c r="AX94" s="184">
        <f t="shared" si="170"/>
        <v>0</v>
      </c>
      <c r="AY94" s="184">
        <f t="shared" si="170"/>
        <v>0</v>
      </c>
      <c r="AZ94" s="184">
        <f t="shared" si="170"/>
        <v>0</v>
      </c>
      <c r="BA94" s="184">
        <f t="shared" si="170"/>
        <v>0</v>
      </c>
      <c r="BB94" s="184">
        <f t="shared" si="170"/>
        <v>0</v>
      </c>
      <c r="BC94" s="184">
        <f t="shared" si="170"/>
        <v>0</v>
      </c>
      <c r="BD94" s="184">
        <f t="shared" si="170"/>
        <v>0</v>
      </c>
      <c r="BE94" s="184">
        <f t="shared" si="170"/>
        <v>0</v>
      </c>
      <c r="BF94" s="184">
        <f t="shared" si="170"/>
        <v>0</v>
      </c>
    </row>
    <row r="95" spans="2:58">
      <c r="B95" t="s">
        <v>635</v>
      </c>
      <c r="C95" s="109">
        <v>0</v>
      </c>
      <c r="D95" s="182">
        <f t="shared" ref="D95:I95" si="189">C95+($J95-$C95)/(COLUMN($J95)-COLUMN($C95))</f>
        <v>0</v>
      </c>
      <c r="E95" s="182">
        <f t="shared" si="189"/>
        <v>0</v>
      </c>
      <c r="F95" s="182">
        <f t="shared" si="189"/>
        <v>0</v>
      </c>
      <c r="G95" s="182">
        <f t="shared" si="189"/>
        <v>0</v>
      </c>
      <c r="H95" s="182">
        <f t="shared" si="189"/>
        <v>0</v>
      </c>
      <c r="I95" s="182">
        <f t="shared" si="189"/>
        <v>0</v>
      </c>
      <c r="J95" s="109">
        <v>0</v>
      </c>
      <c r="K95" s="183">
        <f t="shared" si="167"/>
        <v>0</v>
      </c>
      <c r="L95" s="183">
        <f t="shared" si="167"/>
        <v>0</v>
      </c>
      <c r="M95" s="183">
        <f t="shared" si="167"/>
        <v>0</v>
      </c>
      <c r="N95" s="183">
        <f t="shared" si="167"/>
        <v>0</v>
      </c>
      <c r="O95" s="109">
        <v>0</v>
      </c>
      <c r="P95" s="183">
        <f t="shared" si="168"/>
        <v>0</v>
      </c>
      <c r="Q95" s="183">
        <f t="shared" si="168"/>
        <v>0</v>
      </c>
      <c r="R95" s="183">
        <f t="shared" si="168"/>
        <v>0</v>
      </c>
      <c r="S95" s="183">
        <f t="shared" si="168"/>
        <v>0</v>
      </c>
      <c r="T95" s="109">
        <v>0</v>
      </c>
      <c r="U95" s="195"/>
      <c r="V95" t="s">
        <v>635</v>
      </c>
      <c r="W95" s="39">
        <f t="shared" ref="W95:AL95" si="190">E95/SUM(E86:E118)</f>
        <v>0</v>
      </c>
      <c r="X95" s="39">
        <f t="shared" si="190"/>
        <v>0</v>
      </c>
      <c r="Y95" s="39">
        <f t="shared" si="190"/>
        <v>0</v>
      </c>
      <c r="Z95" s="39">
        <f t="shared" si="190"/>
        <v>0</v>
      </c>
      <c r="AA95" s="39">
        <f t="shared" si="190"/>
        <v>0</v>
      </c>
      <c r="AB95" s="39">
        <f t="shared" si="190"/>
        <v>0</v>
      </c>
      <c r="AC95" s="39">
        <f t="shared" si="190"/>
        <v>0</v>
      </c>
      <c r="AD95" s="39">
        <f t="shared" si="190"/>
        <v>0</v>
      </c>
      <c r="AE95" s="39">
        <f t="shared" si="190"/>
        <v>0</v>
      </c>
      <c r="AF95" s="39">
        <f t="shared" si="190"/>
        <v>0</v>
      </c>
      <c r="AG95" s="39">
        <f t="shared" si="190"/>
        <v>0</v>
      </c>
      <c r="AH95" s="39">
        <f t="shared" si="190"/>
        <v>0</v>
      </c>
      <c r="AI95" s="39">
        <f t="shared" si="190"/>
        <v>0</v>
      </c>
      <c r="AJ95" s="39">
        <f t="shared" si="190"/>
        <v>0</v>
      </c>
      <c r="AK95" s="39">
        <f t="shared" si="190"/>
        <v>0</v>
      </c>
      <c r="AL95" s="39">
        <f t="shared" si="190"/>
        <v>0</v>
      </c>
      <c r="AM95" s="184">
        <f t="shared" si="176"/>
        <v>0</v>
      </c>
      <c r="AN95" s="184">
        <f t="shared" si="170"/>
        <v>0</v>
      </c>
      <c r="AO95" s="184">
        <f t="shared" si="170"/>
        <v>0</v>
      </c>
      <c r="AP95" s="184">
        <f t="shared" si="170"/>
        <v>0</v>
      </c>
      <c r="AQ95" s="184">
        <f t="shared" si="170"/>
        <v>0</v>
      </c>
      <c r="AR95" s="184">
        <f t="shared" si="170"/>
        <v>0</v>
      </c>
      <c r="AS95" s="184">
        <f t="shared" si="170"/>
        <v>0</v>
      </c>
      <c r="AT95" s="184">
        <f t="shared" si="170"/>
        <v>0</v>
      </c>
      <c r="AU95" s="184">
        <f t="shared" si="170"/>
        <v>0</v>
      </c>
      <c r="AV95" s="184">
        <f t="shared" si="170"/>
        <v>0</v>
      </c>
      <c r="AW95" s="184">
        <f t="shared" si="170"/>
        <v>0</v>
      </c>
      <c r="AX95" s="184">
        <f t="shared" si="170"/>
        <v>0</v>
      </c>
      <c r="AY95" s="184">
        <f t="shared" si="170"/>
        <v>0</v>
      </c>
      <c r="AZ95" s="184">
        <f t="shared" si="170"/>
        <v>0</v>
      </c>
      <c r="BA95" s="184">
        <f t="shared" si="170"/>
        <v>0</v>
      </c>
      <c r="BB95" s="184">
        <f t="shared" si="170"/>
        <v>0</v>
      </c>
      <c r="BC95" s="184">
        <f t="shared" si="170"/>
        <v>0</v>
      </c>
      <c r="BD95" s="184">
        <f t="shared" si="170"/>
        <v>0</v>
      </c>
      <c r="BE95" s="184">
        <f t="shared" si="170"/>
        <v>0</v>
      </c>
      <c r="BF95" s="184">
        <f t="shared" si="170"/>
        <v>0</v>
      </c>
    </row>
    <row r="96" spans="2:58">
      <c r="B96" t="s">
        <v>636</v>
      </c>
      <c r="C96" s="109">
        <v>0</v>
      </c>
      <c r="D96" s="182">
        <f t="shared" ref="D96:I96" si="191">C96+($J96-$C96)/(COLUMN($J96)-COLUMN($C96))</f>
        <v>0</v>
      </c>
      <c r="E96" s="182">
        <f t="shared" si="191"/>
        <v>0</v>
      </c>
      <c r="F96" s="182">
        <f t="shared" si="191"/>
        <v>0</v>
      </c>
      <c r="G96" s="182">
        <f t="shared" si="191"/>
        <v>0</v>
      </c>
      <c r="H96" s="182">
        <f t="shared" si="191"/>
        <v>0</v>
      </c>
      <c r="I96" s="182">
        <f t="shared" si="191"/>
        <v>0</v>
      </c>
      <c r="J96" s="109">
        <v>0</v>
      </c>
      <c r="K96" s="183">
        <f t="shared" si="167"/>
        <v>0</v>
      </c>
      <c r="L96" s="183">
        <f t="shared" si="167"/>
        <v>0</v>
      </c>
      <c r="M96" s="183">
        <f t="shared" si="167"/>
        <v>0</v>
      </c>
      <c r="N96" s="183">
        <f t="shared" si="167"/>
        <v>0</v>
      </c>
      <c r="O96" s="109">
        <v>0</v>
      </c>
      <c r="P96" s="183">
        <f t="shared" si="168"/>
        <v>0</v>
      </c>
      <c r="Q96" s="183">
        <f t="shared" si="168"/>
        <v>0</v>
      </c>
      <c r="R96" s="183">
        <f t="shared" si="168"/>
        <v>0</v>
      </c>
      <c r="S96" s="183">
        <f t="shared" si="168"/>
        <v>0</v>
      </c>
      <c r="T96" s="109">
        <v>0</v>
      </c>
      <c r="U96" s="195"/>
      <c r="V96" t="s">
        <v>636</v>
      </c>
      <c r="W96" s="39">
        <f t="shared" ref="W96:AL96" si="192">E96/SUM(E86:E118)</f>
        <v>0</v>
      </c>
      <c r="X96" s="39">
        <f t="shared" si="192"/>
        <v>0</v>
      </c>
      <c r="Y96" s="39">
        <f t="shared" si="192"/>
        <v>0</v>
      </c>
      <c r="Z96" s="39">
        <f t="shared" si="192"/>
        <v>0</v>
      </c>
      <c r="AA96" s="39">
        <f t="shared" si="192"/>
        <v>0</v>
      </c>
      <c r="AB96" s="39">
        <f t="shared" si="192"/>
        <v>0</v>
      </c>
      <c r="AC96" s="39">
        <f t="shared" si="192"/>
        <v>0</v>
      </c>
      <c r="AD96" s="39">
        <f t="shared" si="192"/>
        <v>0</v>
      </c>
      <c r="AE96" s="39">
        <f t="shared" si="192"/>
        <v>0</v>
      </c>
      <c r="AF96" s="39">
        <f t="shared" si="192"/>
        <v>0</v>
      </c>
      <c r="AG96" s="39">
        <f t="shared" si="192"/>
        <v>0</v>
      </c>
      <c r="AH96" s="39">
        <f t="shared" si="192"/>
        <v>0</v>
      </c>
      <c r="AI96" s="39">
        <f t="shared" si="192"/>
        <v>0</v>
      </c>
      <c r="AJ96" s="39">
        <f t="shared" si="192"/>
        <v>0</v>
      </c>
      <c r="AK96" s="39">
        <f t="shared" si="192"/>
        <v>0</v>
      </c>
      <c r="AL96" s="39">
        <f t="shared" si="192"/>
        <v>0</v>
      </c>
      <c r="AM96" s="184">
        <f t="shared" si="176"/>
        <v>0</v>
      </c>
      <c r="AN96" s="184">
        <f t="shared" si="170"/>
        <v>0</v>
      </c>
      <c r="AO96" s="184">
        <f t="shared" si="170"/>
        <v>0</v>
      </c>
      <c r="AP96" s="184">
        <f t="shared" si="170"/>
        <v>0</v>
      </c>
      <c r="AQ96" s="184">
        <f t="shared" si="170"/>
        <v>0</v>
      </c>
      <c r="AR96" s="184">
        <f t="shared" si="170"/>
        <v>0</v>
      </c>
      <c r="AS96" s="184">
        <f t="shared" si="170"/>
        <v>0</v>
      </c>
      <c r="AT96" s="184">
        <f t="shared" si="170"/>
        <v>0</v>
      </c>
      <c r="AU96" s="184">
        <f t="shared" si="170"/>
        <v>0</v>
      </c>
      <c r="AV96" s="184">
        <f t="shared" si="170"/>
        <v>0</v>
      </c>
      <c r="AW96" s="184">
        <f t="shared" si="170"/>
        <v>0</v>
      </c>
      <c r="AX96" s="184">
        <f t="shared" si="170"/>
        <v>0</v>
      </c>
      <c r="AY96" s="184">
        <f t="shared" si="170"/>
        <v>0</v>
      </c>
      <c r="AZ96" s="184">
        <f t="shared" si="170"/>
        <v>0</v>
      </c>
      <c r="BA96" s="184">
        <f t="shared" si="170"/>
        <v>0</v>
      </c>
      <c r="BB96" s="184">
        <f t="shared" si="170"/>
        <v>0</v>
      </c>
      <c r="BC96" s="184">
        <f t="shared" si="170"/>
        <v>0</v>
      </c>
      <c r="BD96" s="184">
        <f t="shared" si="170"/>
        <v>0</v>
      </c>
      <c r="BE96" s="184">
        <f t="shared" si="170"/>
        <v>0</v>
      </c>
      <c r="BF96" s="184">
        <f t="shared" si="170"/>
        <v>0</v>
      </c>
    </row>
    <row r="97" spans="2:58">
      <c r="B97" t="s">
        <v>637</v>
      </c>
      <c r="C97" s="109">
        <v>4013.7393125910075</v>
      </c>
      <c r="D97" s="182">
        <f t="shared" ref="D97:I97" si="193">C97+($J97-$C97)/(COLUMN($J97)-COLUMN($C97))</f>
        <v>4295.0079464705168</v>
      </c>
      <c r="E97" s="182">
        <f t="shared" si="193"/>
        <v>4576.2765803500261</v>
      </c>
      <c r="F97" s="182">
        <f t="shared" si="193"/>
        <v>4857.5452142295353</v>
      </c>
      <c r="G97" s="182">
        <f t="shared" si="193"/>
        <v>5138.8138481090446</v>
      </c>
      <c r="H97" s="182">
        <f t="shared" si="193"/>
        <v>5420.0824819885538</v>
      </c>
      <c r="I97" s="182">
        <f t="shared" si="193"/>
        <v>5701.3511158680631</v>
      </c>
      <c r="J97" s="109">
        <v>5982.6197497475723</v>
      </c>
      <c r="K97" s="183">
        <f t="shared" si="167"/>
        <v>6102.7823466486998</v>
      </c>
      <c r="L97" s="183">
        <f t="shared" si="167"/>
        <v>6222.9449435498273</v>
      </c>
      <c r="M97" s="183">
        <f t="shared" si="167"/>
        <v>6343.1075404509547</v>
      </c>
      <c r="N97" s="183">
        <f t="shared" si="167"/>
        <v>6463.2701373520822</v>
      </c>
      <c r="O97" s="109">
        <v>6583.4327342532088</v>
      </c>
      <c r="P97" s="183">
        <f t="shared" si="168"/>
        <v>6671.3564168739576</v>
      </c>
      <c r="Q97" s="183">
        <f t="shared" si="168"/>
        <v>6759.2800994947065</v>
      </c>
      <c r="R97" s="183">
        <f t="shared" si="168"/>
        <v>6847.2037821154554</v>
      </c>
      <c r="S97" s="183">
        <f t="shared" si="168"/>
        <v>6935.1274647362043</v>
      </c>
      <c r="T97" s="109">
        <v>7023.0511473569541</v>
      </c>
      <c r="U97" s="195"/>
      <c r="V97" t="s">
        <v>637</v>
      </c>
      <c r="W97" s="39">
        <f t="shared" ref="W97:AL97" si="194">E97/SUM(E86:E118)</f>
        <v>0.14320880802248728</v>
      </c>
      <c r="X97" s="39">
        <f t="shared" si="194"/>
        <v>0.14892156296554476</v>
      </c>
      <c r="Y97" s="39">
        <f t="shared" si="194"/>
        <v>0.15440675110703506</v>
      </c>
      <c r="Z97" s="39">
        <f t="shared" si="194"/>
        <v>0.1596777045438533</v>
      </c>
      <c r="AA97" s="39">
        <f t="shared" si="194"/>
        <v>0.16474673389871219</v>
      </c>
      <c r="AB97" s="39">
        <f t="shared" si="194"/>
        <v>0.16962522431022126</v>
      </c>
      <c r="AC97" s="39">
        <f t="shared" si="194"/>
        <v>0.17012651542653065</v>
      </c>
      <c r="AD97" s="39">
        <f t="shared" si="194"/>
        <v>0.17061124852606041</v>
      </c>
      <c r="AE97" s="39">
        <f t="shared" si="194"/>
        <v>0.17108023066530695</v>
      </c>
      <c r="AF97" s="39">
        <f t="shared" si="194"/>
        <v>0.17153421729015589</v>
      </c>
      <c r="AG97" s="39">
        <f t="shared" si="194"/>
        <v>0.17197391629653444</v>
      </c>
      <c r="AH97" s="39">
        <f t="shared" si="194"/>
        <v>0.17228697941343576</v>
      </c>
      <c r="AI97" s="39">
        <f t="shared" si="194"/>
        <v>0.17259299563534725</v>
      </c>
      <c r="AJ97" s="39">
        <f t="shared" si="194"/>
        <v>0.17289220024734372</v>
      </c>
      <c r="AK97" s="39">
        <f t="shared" si="194"/>
        <v>0.17318481817537876</v>
      </c>
      <c r="AL97" s="39">
        <f t="shared" si="194"/>
        <v>0.17347106455019146</v>
      </c>
      <c r="AM97" s="184">
        <f t="shared" si="176"/>
        <v>0.17347106455019146</v>
      </c>
      <c r="AN97" s="184">
        <f t="shared" si="170"/>
        <v>0.17347106455019146</v>
      </c>
      <c r="AO97" s="184">
        <f t="shared" si="170"/>
        <v>0.17347106455019146</v>
      </c>
      <c r="AP97" s="184">
        <f t="shared" si="170"/>
        <v>0.17347106455019146</v>
      </c>
      <c r="AQ97" s="184">
        <f t="shared" si="170"/>
        <v>0.17347106455019146</v>
      </c>
      <c r="AR97" s="184">
        <f t="shared" si="170"/>
        <v>0.17347106455019146</v>
      </c>
      <c r="AS97" s="184">
        <f t="shared" si="170"/>
        <v>0.17347106455019146</v>
      </c>
      <c r="AT97" s="184">
        <f t="shared" si="170"/>
        <v>0.17347106455019146</v>
      </c>
      <c r="AU97" s="184">
        <f t="shared" si="170"/>
        <v>0.17347106455019146</v>
      </c>
      <c r="AV97" s="184">
        <f t="shared" si="170"/>
        <v>0.17347106455019146</v>
      </c>
      <c r="AW97" s="184">
        <f t="shared" si="170"/>
        <v>0.17347106455019146</v>
      </c>
      <c r="AX97" s="184">
        <f t="shared" si="170"/>
        <v>0.17347106455019146</v>
      </c>
      <c r="AY97" s="184">
        <f t="shared" si="170"/>
        <v>0.17347106455019146</v>
      </c>
      <c r="AZ97" s="184">
        <f t="shared" si="170"/>
        <v>0.17347106455019146</v>
      </c>
      <c r="BA97" s="184">
        <f t="shared" si="170"/>
        <v>0.17347106455019146</v>
      </c>
      <c r="BB97" s="184">
        <f t="shared" si="170"/>
        <v>0.17347106455019146</v>
      </c>
      <c r="BC97" s="184">
        <f t="shared" si="170"/>
        <v>0.17347106455019146</v>
      </c>
      <c r="BD97" s="184">
        <f t="shared" si="170"/>
        <v>0.17347106455019146</v>
      </c>
      <c r="BE97" s="184">
        <f t="shared" si="170"/>
        <v>0.17347106455019146</v>
      </c>
      <c r="BF97" s="184">
        <f t="shared" si="170"/>
        <v>0.17347106455019146</v>
      </c>
    </row>
    <row r="98" spans="2:58">
      <c r="B98" t="s">
        <v>638</v>
      </c>
      <c r="C98" s="109">
        <v>0</v>
      </c>
      <c r="D98" s="182">
        <f t="shared" ref="D98:I98" si="195">C98+($J98-$C98)/(COLUMN($J98)-COLUMN($C98))</f>
        <v>0</v>
      </c>
      <c r="E98" s="182">
        <f t="shared" si="195"/>
        <v>0</v>
      </c>
      <c r="F98" s="182">
        <f t="shared" si="195"/>
        <v>0</v>
      </c>
      <c r="G98" s="182">
        <f t="shared" si="195"/>
        <v>0</v>
      </c>
      <c r="H98" s="182">
        <f t="shared" si="195"/>
        <v>0</v>
      </c>
      <c r="I98" s="182">
        <f t="shared" si="195"/>
        <v>0</v>
      </c>
      <c r="J98" s="109">
        <v>0</v>
      </c>
      <c r="K98" s="183">
        <f t="shared" si="167"/>
        <v>0</v>
      </c>
      <c r="L98" s="183">
        <f t="shared" si="167"/>
        <v>0</v>
      </c>
      <c r="M98" s="183">
        <f t="shared" si="167"/>
        <v>0</v>
      </c>
      <c r="N98" s="183">
        <f t="shared" si="167"/>
        <v>0</v>
      </c>
      <c r="O98" s="109">
        <v>0</v>
      </c>
      <c r="P98" s="183">
        <f t="shared" si="168"/>
        <v>0</v>
      </c>
      <c r="Q98" s="183">
        <f t="shared" si="168"/>
        <v>0</v>
      </c>
      <c r="R98" s="183">
        <f t="shared" si="168"/>
        <v>0</v>
      </c>
      <c r="S98" s="183">
        <f t="shared" si="168"/>
        <v>0</v>
      </c>
      <c r="T98" s="109">
        <v>0</v>
      </c>
      <c r="U98" s="195"/>
      <c r="V98" t="s">
        <v>638</v>
      </c>
      <c r="W98" s="39">
        <f t="shared" ref="W98:AL98" si="196">E98/SUM(E86:E118)</f>
        <v>0</v>
      </c>
      <c r="X98" s="39">
        <f t="shared" si="196"/>
        <v>0</v>
      </c>
      <c r="Y98" s="39">
        <f t="shared" si="196"/>
        <v>0</v>
      </c>
      <c r="Z98" s="39">
        <f t="shared" si="196"/>
        <v>0</v>
      </c>
      <c r="AA98" s="39">
        <f t="shared" si="196"/>
        <v>0</v>
      </c>
      <c r="AB98" s="39">
        <f t="shared" si="196"/>
        <v>0</v>
      </c>
      <c r="AC98" s="39">
        <f t="shared" si="196"/>
        <v>0</v>
      </c>
      <c r="AD98" s="39">
        <f t="shared" si="196"/>
        <v>0</v>
      </c>
      <c r="AE98" s="39">
        <f t="shared" si="196"/>
        <v>0</v>
      </c>
      <c r="AF98" s="39">
        <f t="shared" si="196"/>
        <v>0</v>
      </c>
      <c r="AG98" s="39">
        <f t="shared" si="196"/>
        <v>0</v>
      </c>
      <c r="AH98" s="39">
        <f t="shared" si="196"/>
        <v>0</v>
      </c>
      <c r="AI98" s="39">
        <f t="shared" si="196"/>
        <v>0</v>
      </c>
      <c r="AJ98" s="39">
        <f t="shared" si="196"/>
        <v>0</v>
      </c>
      <c r="AK98" s="39">
        <f t="shared" si="196"/>
        <v>0</v>
      </c>
      <c r="AL98" s="39">
        <f t="shared" si="196"/>
        <v>0</v>
      </c>
      <c r="AM98" s="184">
        <f t="shared" si="176"/>
        <v>0</v>
      </c>
      <c r="AN98" s="184">
        <f t="shared" si="170"/>
        <v>0</v>
      </c>
      <c r="AO98" s="184">
        <f t="shared" si="170"/>
        <v>0</v>
      </c>
      <c r="AP98" s="184">
        <f t="shared" si="170"/>
        <v>0</v>
      </c>
      <c r="AQ98" s="184">
        <f t="shared" si="170"/>
        <v>0</v>
      </c>
      <c r="AR98" s="184">
        <f t="shared" si="170"/>
        <v>0</v>
      </c>
      <c r="AS98" s="184">
        <f t="shared" si="170"/>
        <v>0</v>
      </c>
      <c r="AT98" s="184">
        <f t="shared" si="170"/>
        <v>0</v>
      </c>
      <c r="AU98" s="184">
        <f t="shared" si="170"/>
        <v>0</v>
      </c>
      <c r="AV98" s="184">
        <f t="shared" si="170"/>
        <v>0</v>
      </c>
      <c r="AW98" s="184">
        <f t="shared" si="170"/>
        <v>0</v>
      </c>
      <c r="AX98" s="184">
        <f t="shared" si="170"/>
        <v>0</v>
      </c>
      <c r="AY98" s="184">
        <f t="shared" si="170"/>
        <v>0</v>
      </c>
      <c r="AZ98" s="184">
        <f t="shared" si="170"/>
        <v>0</v>
      </c>
      <c r="BA98" s="184">
        <f t="shared" si="170"/>
        <v>0</v>
      </c>
      <c r="BB98" s="184">
        <f t="shared" si="170"/>
        <v>0</v>
      </c>
      <c r="BC98" s="184">
        <f t="shared" si="170"/>
        <v>0</v>
      </c>
      <c r="BD98" s="184">
        <f t="shared" si="170"/>
        <v>0</v>
      </c>
      <c r="BE98" s="184">
        <f t="shared" si="170"/>
        <v>0</v>
      </c>
      <c r="BF98" s="184">
        <f t="shared" si="170"/>
        <v>0</v>
      </c>
    </row>
    <row r="99" spans="2:58">
      <c r="B99" t="s">
        <v>639</v>
      </c>
      <c r="C99" s="109">
        <v>80.501448598136463</v>
      </c>
      <c r="D99" s="182">
        <f t="shared" ref="D99:I99" si="197">C99+($J99-$C99)/(COLUMN($J99)-COLUMN($C99))</f>
        <v>80.510510355296361</v>
      </c>
      <c r="E99" s="182">
        <f t="shared" si="197"/>
        <v>80.51957211245626</v>
      </c>
      <c r="F99" s="182">
        <f t="shared" si="197"/>
        <v>80.528633869616158</v>
      </c>
      <c r="G99" s="182">
        <f t="shared" si="197"/>
        <v>80.537695626776056</v>
      </c>
      <c r="H99" s="182">
        <f t="shared" si="197"/>
        <v>80.546757383935955</v>
      </c>
      <c r="I99" s="182">
        <f t="shared" si="197"/>
        <v>80.555819141095853</v>
      </c>
      <c r="J99" s="109">
        <v>80.56488089825578</v>
      </c>
      <c r="K99" s="183">
        <f t="shared" si="167"/>
        <v>80.576977357869282</v>
      </c>
      <c r="L99" s="183">
        <f t="shared" si="167"/>
        <v>80.589073817482785</v>
      </c>
      <c r="M99" s="183">
        <f t="shared" si="167"/>
        <v>80.601170277096287</v>
      </c>
      <c r="N99" s="183">
        <f t="shared" si="167"/>
        <v>80.613266736709789</v>
      </c>
      <c r="O99" s="109">
        <v>80.62536319632332</v>
      </c>
      <c r="P99" s="183">
        <f t="shared" si="168"/>
        <v>80.634214247343536</v>
      </c>
      <c r="Q99" s="183">
        <f t="shared" si="168"/>
        <v>80.643065298363751</v>
      </c>
      <c r="R99" s="183">
        <f t="shared" si="168"/>
        <v>80.651916349383967</v>
      </c>
      <c r="S99" s="183">
        <f t="shared" si="168"/>
        <v>80.660767400404183</v>
      </c>
      <c r="T99" s="109">
        <v>80.669618451424384</v>
      </c>
      <c r="U99" s="195"/>
      <c r="V99" t="s">
        <v>639</v>
      </c>
      <c r="W99" s="39">
        <f t="shared" ref="W99:AL99" si="198">E99/SUM(E86:E118)</f>
        <v>2.5197585290667873E-3</v>
      </c>
      <c r="X99" s="39">
        <f t="shared" si="198"/>
        <v>2.4688293140767994E-3</v>
      </c>
      <c r="Y99" s="39">
        <f t="shared" si="198"/>
        <v>2.4199288573089161E-3</v>
      </c>
      <c r="Z99" s="39">
        <f t="shared" si="198"/>
        <v>2.372938303108414E-3</v>
      </c>
      <c r="AA99" s="39">
        <f t="shared" si="198"/>
        <v>2.3277479022637379E-3</v>
      </c>
      <c r="AB99" s="39">
        <f t="shared" si="198"/>
        <v>2.2842561562548759E-3</v>
      </c>
      <c r="AC99" s="39">
        <f t="shared" si="198"/>
        <v>2.2462345210499872E-3</v>
      </c>
      <c r="AD99" s="39">
        <f t="shared" si="198"/>
        <v>2.2094687686110802E-3</v>
      </c>
      <c r="AE99" s="39">
        <f t="shared" si="198"/>
        <v>2.1738976857893512E-3</v>
      </c>
      <c r="AF99" s="39">
        <f t="shared" si="198"/>
        <v>2.1394639739673945E-3</v>
      </c>
      <c r="AG99" s="39">
        <f t="shared" si="198"/>
        <v>2.1061139410692288E-3</v>
      </c>
      <c r="AH99" s="39">
        <f t="shared" si="198"/>
        <v>2.0823689130013861E-3</v>
      </c>
      <c r="AI99" s="39">
        <f t="shared" si="198"/>
        <v>2.059158373700477E-3</v>
      </c>
      <c r="AJ99" s="39">
        <f t="shared" si="198"/>
        <v>2.0364644774018481E-3</v>
      </c>
      <c r="AK99" s="39">
        <f t="shared" si="198"/>
        <v>2.0142701640534118E-3</v>
      </c>
      <c r="AL99" s="39">
        <f t="shared" si="198"/>
        <v>1.992559116544777E-3</v>
      </c>
      <c r="AM99" s="184">
        <f t="shared" si="176"/>
        <v>1.992559116544777E-3</v>
      </c>
      <c r="AN99" s="184">
        <f t="shared" si="170"/>
        <v>1.992559116544777E-3</v>
      </c>
      <c r="AO99" s="184">
        <f t="shared" si="170"/>
        <v>1.992559116544777E-3</v>
      </c>
      <c r="AP99" s="184">
        <f t="shared" si="170"/>
        <v>1.992559116544777E-3</v>
      </c>
      <c r="AQ99" s="184">
        <f t="shared" si="170"/>
        <v>1.992559116544777E-3</v>
      </c>
      <c r="AR99" s="184">
        <f t="shared" si="170"/>
        <v>1.992559116544777E-3</v>
      </c>
      <c r="AS99" s="184">
        <f t="shared" si="170"/>
        <v>1.992559116544777E-3</v>
      </c>
      <c r="AT99" s="184">
        <f t="shared" si="170"/>
        <v>1.992559116544777E-3</v>
      </c>
      <c r="AU99" s="184">
        <f t="shared" si="170"/>
        <v>1.992559116544777E-3</v>
      </c>
      <c r="AV99" s="184">
        <f t="shared" si="170"/>
        <v>1.992559116544777E-3</v>
      </c>
      <c r="AW99" s="184">
        <f t="shared" si="170"/>
        <v>1.992559116544777E-3</v>
      </c>
      <c r="AX99" s="184">
        <f t="shared" si="170"/>
        <v>1.992559116544777E-3</v>
      </c>
      <c r="AY99" s="184">
        <f t="shared" si="170"/>
        <v>1.992559116544777E-3</v>
      </c>
      <c r="AZ99" s="184">
        <f t="shared" si="170"/>
        <v>1.992559116544777E-3</v>
      </c>
      <c r="BA99" s="184">
        <f t="shared" si="170"/>
        <v>1.992559116544777E-3</v>
      </c>
      <c r="BB99" s="184">
        <f t="shared" si="170"/>
        <v>1.992559116544777E-3</v>
      </c>
      <c r="BC99" s="184">
        <f t="shared" si="170"/>
        <v>1.992559116544777E-3</v>
      </c>
      <c r="BD99" s="184">
        <f t="shared" si="170"/>
        <v>1.992559116544777E-3</v>
      </c>
      <c r="BE99" s="184">
        <f t="shared" si="170"/>
        <v>1.992559116544777E-3</v>
      </c>
      <c r="BF99" s="184">
        <f t="shared" si="170"/>
        <v>1.992559116544777E-3</v>
      </c>
    </row>
    <row r="100" spans="2:58">
      <c r="B100" t="s">
        <v>640</v>
      </c>
      <c r="C100" s="109">
        <v>0</v>
      </c>
      <c r="D100" s="182">
        <f t="shared" ref="D100:I100" si="199">C100+($J100-$C100)/(COLUMN($J100)-COLUMN($C100))</f>
        <v>0</v>
      </c>
      <c r="E100" s="182">
        <f t="shared" si="199"/>
        <v>0</v>
      </c>
      <c r="F100" s="182">
        <f t="shared" si="199"/>
        <v>0</v>
      </c>
      <c r="G100" s="182">
        <f t="shared" si="199"/>
        <v>0</v>
      </c>
      <c r="H100" s="182">
        <f t="shared" si="199"/>
        <v>0</v>
      </c>
      <c r="I100" s="182">
        <f t="shared" si="199"/>
        <v>0</v>
      </c>
      <c r="J100" s="109">
        <v>0</v>
      </c>
      <c r="K100" s="183">
        <f t="shared" si="167"/>
        <v>0</v>
      </c>
      <c r="L100" s="183">
        <f t="shared" si="167"/>
        <v>0</v>
      </c>
      <c r="M100" s="183">
        <f t="shared" si="167"/>
        <v>0</v>
      </c>
      <c r="N100" s="183">
        <f t="shared" si="167"/>
        <v>0</v>
      </c>
      <c r="O100" s="109">
        <v>0</v>
      </c>
      <c r="P100" s="183">
        <f t="shared" si="168"/>
        <v>0</v>
      </c>
      <c r="Q100" s="183">
        <f t="shared" si="168"/>
        <v>0</v>
      </c>
      <c r="R100" s="183">
        <f t="shared" si="168"/>
        <v>0</v>
      </c>
      <c r="S100" s="183">
        <f t="shared" si="168"/>
        <v>0</v>
      </c>
      <c r="T100" s="109">
        <v>0</v>
      </c>
      <c r="U100" s="195"/>
      <c r="V100" t="s">
        <v>640</v>
      </c>
      <c r="W100" s="39">
        <f t="shared" ref="W100:AL100" si="200">E100/SUM(E86:E118)</f>
        <v>0</v>
      </c>
      <c r="X100" s="39">
        <f t="shared" si="200"/>
        <v>0</v>
      </c>
      <c r="Y100" s="39">
        <f t="shared" si="200"/>
        <v>0</v>
      </c>
      <c r="Z100" s="39">
        <f t="shared" si="200"/>
        <v>0</v>
      </c>
      <c r="AA100" s="39">
        <f t="shared" si="200"/>
        <v>0</v>
      </c>
      <c r="AB100" s="39">
        <f t="shared" si="200"/>
        <v>0</v>
      </c>
      <c r="AC100" s="39">
        <f t="shared" si="200"/>
        <v>0</v>
      </c>
      <c r="AD100" s="39">
        <f t="shared" si="200"/>
        <v>0</v>
      </c>
      <c r="AE100" s="39">
        <f t="shared" si="200"/>
        <v>0</v>
      </c>
      <c r="AF100" s="39">
        <f t="shared" si="200"/>
        <v>0</v>
      </c>
      <c r="AG100" s="39">
        <f t="shared" si="200"/>
        <v>0</v>
      </c>
      <c r="AH100" s="39">
        <f t="shared" si="200"/>
        <v>0</v>
      </c>
      <c r="AI100" s="39">
        <f t="shared" si="200"/>
        <v>0</v>
      </c>
      <c r="AJ100" s="39">
        <f t="shared" si="200"/>
        <v>0</v>
      </c>
      <c r="AK100" s="39">
        <f t="shared" si="200"/>
        <v>0</v>
      </c>
      <c r="AL100" s="39">
        <f t="shared" si="200"/>
        <v>0</v>
      </c>
      <c r="AM100" s="184">
        <f t="shared" si="176"/>
        <v>0</v>
      </c>
      <c r="AN100" s="184">
        <f t="shared" si="170"/>
        <v>0</v>
      </c>
      <c r="AO100" s="184">
        <f t="shared" si="170"/>
        <v>0</v>
      </c>
      <c r="AP100" s="184">
        <f t="shared" si="170"/>
        <v>0</v>
      </c>
      <c r="AQ100" s="184">
        <f t="shared" si="170"/>
        <v>0</v>
      </c>
      <c r="AR100" s="184">
        <f t="shared" ref="AN100:BF112" si="201">AQ100</f>
        <v>0</v>
      </c>
      <c r="AS100" s="184">
        <f t="shared" si="201"/>
        <v>0</v>
      </c>
      <c r="AT100" s="184">
        <f t="shared" si="201"/>
        <v>0</v>
      </c>
      <c r="AU100" s="184">
        <f t="shared" si="201"/>
        <v>0</v>
      </c>
      <c r="AV100" s="184">
        <f t="shared" si="201"/>
        <v>0</v>
      </c>
      <c r="AW100" s="184">
        <f t="shared" si="201"/>
        <v>0</v>
      </c>
      <c r="AX100" s="184">
        <f t="shared" si="201"/>
        <v>0</v>
      </c>
      <c r="AY100" s="184">
        <f t="shared" si="201"/>
        <v>0</v>
      </c>
      <c r="AZ100" s="184">
        <f t="shared" si="201"/>
        <v>0</v>
      </c>
      <c r="BA100" s="184">
        <f t="shared" si="201"/>
        <v>0</v>
      </c>
      <c r="BB100" s="184">
        <f t="shared" si="201"/>
        <v>0</v>
      </c>
      <c r="BC100" s="184">
        <f t="shared" si="201"/>
        <v>0</v>
      </c>
      <c r="BD100" s="184">
        <f t="shared" si="201"/>
        <v>0</v>
      </c>
      <c r="BE100" s="184">
        <f t="shared" si="201"/>
        <v>0</v>
      </c>
      <c r="BF100" s="184">
        <f t="shared" si="201"/>
        <v>0</v>
      </c>
    </row>
    <row r="101" spans="2:58">
      <c r="B101" t="s">
        <v>641</v>
      </c>
      <c r="C101" s="109">
        <v>0</v>
      </c>
      <c r="D101" s="182">
        <f t="shared" ref="D101:I101" si="202">C101+($J101-$C101)/(COLUMN($J101)-COLUMN($C101))</f>
        <v>0</v>
      </c>
      <c r="E101" s="182">
        <f t="shared" si="202"/>
        <v>0</v>
      </c>
      <c r="F101" s="182">
        <f t="shared" si="202"/>
        <v>0</v>
      </c>
      <c r="G101" s="182">
        <f t="shared" si="202"/>
        <v>0</v>
      </c>
      <c r="H101" s="182">
        <f t="shared" si="202"/>
        <v>0</v>
      </c>
      <c r="I101" s="182">
        <f t="shared" si="202"/>
        <v>0</v>
      </c>
      <c r="J101" s="109">
        <v>0</v>
      </c>
      <c r="K101" s="183">
        <f t="shared" si="167"/>
        <v>0</v>
      </c>
      <c r="L101" s="183">
        <f t="shared" si="167"/>
        <v>0</v>
      </c>
      <c r="M101" s="183">
        <f t="shared" si="167"/>
        <v>0</v>
      </c>
      <c r="N101" s="183">
        <f t="shared" si="167"/>
        <v>0</v>
      </c>
      <c r="O101" s="109">
        <v>0</v>
      </c>
      <c r="P101" s="183">
        <f t="shared" si="168"/>
        <v>0</v>
      </c>
      <c r="Q101" s="183">
        <f t="shared" si="168"/>
        <v>0</v>
      </c>
      <c r="R101" s="183">
        <f t="shared" si="168"/>
        <v>0</v>
      </c>
      <c r="S101" s="183">
        <f t="shared" si="168"/>
        <v>0</v>
      </c>
      <c r="T101" s="109">
        <v>0</v>
      </c>
      <c r="U101" s="195"/>
      <c r="V101" t="s">
        <v>641</v>
      </c>
      <c r="W101" s="39">
        <f t="shared" ref="W101:AL101" si="203">E101/SUM(E86:E118)</f>
        <v>0</v>
      </c>
      <c r="X101" s="39">
        <f t="shared" si="203"/>
        <v>0</v>
      </c>
      <c r="Y101" s="39">
        <f t="shared" si="203"/>
        <v>0</v>
      </c>
      <c r="Z101" s="39">
        <f t="shared" si="203"/>
        <v>0</v>
      </c>
      <c r="AA101" s="39">
        <f t="shared" si="203"/>
        <v>0</v>
      </c>
      <c r="AB101" s="39">
        <f t="shared" si="203"/>
        <v>0</v>
      </c>
      <c r="AC101" s="39">
        <f t="shared" si="203"/>
        <v>0</v>
      </c>
      <c r="AD101" s="39">
        <f t="shared" si="203"/>
        <v>0</v>
      </c>
      <c r="AE101" s="39">
        <f t="shared" si="203"/>
        <v>0</v>
      </c>
      <c r="AF101" s="39">
        <f t="shared" si="203"/>
        <v>0</v>
      </c>
      <c r="AG101" s="39">
        <f t="shared" si="203"/>
        <v>0</v>
      </c>
      <c r="AH101" s="39">
        <f t="shared" si="203"/>
        <v>0</v>
      </c>
      <c r="AI101" s="39">
        <f t="shared" si="203"/>
        <v>0</v>
      </c>
      <c r="AJ101" s="39">
        <f t="shared" si="203"/>
        <v>0</v>
      </c>
      <c r="AK101" s="39">
        <f t="shared" si="203"/>
        <v>0</v>
      </c>
      <c r="AL101" s="39">
        <f t="shared" si="203"/>
        <v>0</v>
      </c>
      <c r="AM101" s="184">
        <f t="shared" si="176"/>
        <v>0</v>
      </c>
      <c r="AN101" s="184">
        <f t="shared" si="201"/>
        <v>0</v>
      </c>
      <c r="AO101" s="184">
        <f t="shared" si="201"/>
        <v>0</v>
      </c>
      <c r="AP101" s="184">
        <f t="shared" si="201"/>
        <v>0</v>
      </c>
      <c r="AQ101" s="184">
        <f t="shared" si="201"/>
        <v>0</v>
      </c>
      <c r="AR101" s="184">
        <f t="shared" si="201"/>
        <v>0</v>
      </c>
      <c r="AS101" s="184">
        <f t="shared" si="201"/>
        <v>0</v>
      </c>
      <c r="AT101" s="184">
        <f t="shared" si="201"/>
        <v>0</v>
      </c>
      <c r="AU101" s="184">
        <f t="shared" si="201"/>
        <v>0</v>
      </c>
      <c r="AV101" s="184">
        <f t="shared" si="201"/>
        <v>0</v>
      </c>
      <c r="AW101" s="184">
        <f t="shared" si="201"/>
        <v>0</v>
      </c>
      <c r="AX101" s="184">
        <f t="shared" si="201"/>
        <v>0</v>
      </c>
      <c r="AY101" s="184">
        <f t="shared" si="201"/>
        <v>0</v>
      </c>
      <c r="AZ101" s="184">
        <f t="shared" si="201"/>
        <v>0</v>
      </c>
      <c r="BA101" s="184">
        <f t="shared" si="201"/>
        <v>0</v>
      </c>
      <c r="BB101" s="184">
        <f t="shared" si="201"/>
        <v>0</v>
      </c>
      <c r="BC101" s="184">
        <f t="shared" si="201"/>
        <v>0</v>
      </c>
      <c r="BD101" s="184">
        <f t="shared" si="201"/>
        <v>0</v>
      </c>
      <c r="BE101" s="184">
        <f t="shared" si="201"/>
        <v>0</v>
      </c>
      <c r="BF101" s="184">
        <f t="shared" si="201"/>
        <v>0</v>
      </c>
    </row>
    <row r="102" spans="2:58">
      <c r="B102" t="s">
        <v>642</v>
      </c>
      <c r="C102" s="109">
        <v>426.54709094708755</v>
      </c>
      <c r="D102" s="182">
        <f t="shared" ref="D102:I102" si="204">C102+($J102-$C102)/(COLUMN($J102)-COLUMN($C102))</f>
        <v>439.16022770966532</v>
      </c>
      <c r="E102" s="182">
        <f t="shared" si="204"/>
        <v>451.77336447224309</v>
      </c>
      <c r="F102" s="182">
        <f t="shared" si="204"/>
        <v>464.38650123482086</v>
      </c>
      <c r="G102" s="182">
        <f t="shared" si="204"/>
        <v>476.99963799739862</v>
      </c>
      <c r="H102" s="182">
        <f t="shared" si="204"/>
        <v>489.61277475997639</v>
      </c>
      <c r="I102" s="182">
        <f t="shared" si="204"/>
        <v>502.22591152255416</v>
      </c>
      <c r="J102" s="109">
        <v>514.83904828513198</v>
      </c>
      <c r="K102" s="183">
        <f t="shared" si="167"/>
        <v>527.72171696658029</v>
      </c>
      <c r="L102" s="183">
        <f t="shared" si="167"/>
        <v>540.6043856480286</v>
      </c>
      <c r="M102" s="183">
        <f t="shared" si="167"/>
        <v>553.4870543294769</v>
      </c>
      <c r="N102" s="183">
        <f t="shared" si="167"/>
        <v>566.36972301092521</v>
      </c>
      <c r="O102" s="109">
        <v>579.25239169237375</v>
      </c>
      <c r="P102" s="183">
        <f t="shared" si="168"/>
        <v>588.67871653610143</v>
      </c>
      <c r="Q102" s="183">
        <f t="shared" si="168"/>
        <v>598.10504137982912</v>
      </c>
      <c r="R102" s="183">
        <f t="shared" si="168"/>
        <v>607.5313662235568</v>
      </c>
      <c r="S102" s="183">
        <f t="shared" si="168"/>
        <v>616.95769106728449</v>
      </c>
      <c r="T102" s="109">
        <v>626.38401591101217</v>
      </c>
      <c r="U102" s="195"/>
      <c r="V102" t="s">
        <v>642</v>
      </c>
      <c r="W102" s="39">
        <f t="shared" ref="W102:AL102" si="205">E102/SUM(E86:E118)</f>
        <v>1.4137678063468375E-2</v>
      </c>
      <c r="X102" s="39">
        <f t="shared" si="205"/>
        <v>1.4237060188632657E-2</v>
      </c>
      <c r="Y102" s="39">
        <f t="shared" si="205"/>
        <v>1.4332483440611929E-2</v>
      </c>
      <c r="Z102" s="39">
        <f t="shared" si="205"/>
        <v>1.442417975165877E-2</v>
      </c>
      <c r="AA102" s="39">
        <f t="shared" si="205"/>
        <v>1.4512363283917263E-2</v>
      </c>
      <c r="AB102" s="39">
        <f t="shared" si="205"/>
        <v>1.4597232099317542E-2</v>
      </c>
      <c r="AC102" s="39">
        <f t="shared" si="205"/>
        <v>1.4711233618176129E-2</v>
      </c>
      <c r="AD102" s="39">
        <f t="shared" si="205"/>
        <v>1.4821469582448269E-2</v>
      </c>
      <c r="AE102" s="39">
        <f t="shared" si="205"/>
        <v>1.4928123529530492E-2</v>
      </c>
      <c r="AF102" s="39">
        <f t="shared" si="205"/>
        <v>1.5031367259751157E-2</v>
      </c>
      <c r="AG102" s="39">
        <f t="shared" si="205"/>
        <v>1.5131361759826902E-2</v>
      </c>
      <c r="AH102" s="39">
        <f t="shared" si="205"/>
        <v>1.5202557258139559E-2</v>
      </c>
      <c r="AI102" s="39">
        <f t="shared" si="205"/>
        <v>1.5272150181210118E-2</v>
      </c>
      <c r="AJ102" s="39">
        <f t="shared" si="205"/>
        <v>1.5340194036581455E-2</v>
      </c>
      <c r="AK102" s="39">
        <f t="shared" si="205"/>
        <v>1.5406739975968618E-2</v>
      </c>
      <c r="AL102" s="39">
        <f t="shared" si="205"/>
        <v>1.547183692350014E-2</v>
      </c>
      <c r="AM102" s="184">
        <f t="shared" si="176"/>
        <v>1.547183692350014E-2</v>
      </c>
      <c r="AN102" s="184">
        <f t="shared" si="201"/>
        <v>1.547183692350014E-2</v>
      </c>
      <c r="AO102" s="184">
        <f t="shared" si="201"/>
        <v>1.547183692350014E-2</v>
      </c>
      <c r="AP102" s="184">
        <f t="shared" si="201"/>
        <v>1.547183692350014E-2</v>
      </c>
      <c r="AQ102" s="184">
        <f t="shared" si="201"/>
        <v>1.547183692350014E-2</v>
      </c>
      <c r="AR102" s="184">
        <f t="shared" si="201"/>
        <v>1.547183692350014E-2</v>
      </c>
      <c r="AS102" s="184">
        <f t="shared" si="201"/>
        <v>1.547183692350014E-2</v>
      </c>
      <c r="AT102" s="184">
        <f t="shared" si="201"/>
        <v>1.547183692350014E-2</v>
      </c>
      <c r="AU102" s="184">
        <f t="shared" si="201"/>
        <v>1.547183692350014E-2</v>
      </c>
      <c r="AV102" s="184">
        <f t="shared" si="201"/>
        <v>1.547183692350014E-2</v>
      </c>
      <c r="AW102" s="184">
        <f t="shared" si="201"/>
        <v>1.547183692350014E-2</v>
      </c>
      <c r="AX102" s="184">
        <f t="shared" si="201"/>
        <v>1.547183692350014E-2</v>
      </c>
      <c r="AY102" s="184">
        <f t="shared" si="201"/>
        <v>1.547183692350014E-2</v>
      </c>
      <c r="AZ102" s="184">
        <f t="shared" si="201"/>
        <v>1.547183692350014E-2</v>
      </c>
      <c r="BA102" s="184">
        <f t="shared" si="201"/>
        <v>1.547183692350014E-2</v>
      </c>
      <c r="BB102" s="184">
        <f t="shared" si="201"/>
        <v>1.547183692350014E-2</v>
      </c>
      <c r="BC102" s="184">
        <f t="shared" si="201"/>
        <v>1.547183692350014E-2</v>
      </c>
      <c r="BD102" s="184">
        <f t="shared" si="201"/>
        <v>1.547183692350014E-2</v>
      </c>
      <c r="BE102" s="184">
        <f t="shared" si="201"/>
        <v>1.547183692350014E-2</v>
      </c>
      <c r="BF102" s="184">
        <f t="shared" si="201"/>
        <v>1.547183692350014E-2</v>
      </c>
    </row>
    <row r="103" spans="2:58">
      <c r="B103" t="s">
        <v>643</v>
      </c>
      <c r="C103" s="109">
        <v>0</v>
      </c>
      <c r="D103" s="182">
        <f t="shared" ref="D103:I103" si="206">C103+($J103-$C103)/(COLUMN($J103)-COLUMN($C103))</f>
        <v>0</v>
      </c>
      <c r="E103" s="182">
        <f t="shared" si="206"/>
        <v>0</v>
      </c>
      <c r="F103" s="182">
        <f t="shared" si="206"/>
        <v>0</v>
      </c>
      <c r="G103" s="182">
        <f t="shared" si="206"/>
        <v>0</v>
      </c>
      <c r="H103" s="182">
        <f t="shared" si="206"/>
        <v>0</v>
      </c>
      <c r="I103" s="182">
        <f t="shared" si="206"/>
        <v>0</v>
      </c>
      <c r="J103" s="109">
        <v>0</v>
      </c>
      <c r="K103" s="183">
        <f t="shared" si="167"/>
        <v>0</v>
      </c>
      <c r="L103" s="183">
        <f t="shared" si="167"/>
        <v>0</v>
      </c>
      <c r="M103" s="183">
        <f t="shared" si="167"/>
        <v>0</v>
      </c>
      <c r="N103" s="183">
        <f t="shared" si="167"/>
        <v>0</v>
      </c>
      <c r="O103" s="109">
        <v>0</v>
      </c>
      <c r="P103" s="183">
        <f t="shared" si="168"/>
        <v>0</v>
      </c>
      <c r="Q103" s="183">
        <f t="shared" si="168"/>
        <v>0</v>
      </c>
      <c r="R103" s="183">
        <f t="shared" si="168"/>
        <v>0</v>
      </c>
      <c r="S103" s="183">
        <f t="shared" si="168"/>
        <v>0</v>
      </c>
      <c r="T103" s="109">
        <v>0</v>
      </c>
      <c r="U103" s="195"/>
      <c r="V103" t="s">
        <v>643</v>
      </c>
      <c r="W103" s="39">
        <f t="shared" ref="W103:AL103" si="207">E103/SUM(E86:E118)</f>
        <v>0</v>
      </c>
      <c r="X103" s="39">
        <f t="shared" si="207"/>
        <v>0</v>
      </c>
      <c r="Y103" s="39">
        <f t="shared" si="207"/>
        <v>0</v>
      </c>
      <c r="Z103" s="39">
        <f t="shared" si="207"/>
        <v>0</v>
      </c>
      <c r="AA103" s="39">
        <f t="shared" si="207"/>
        <v>0</v>
      </c>
      <c r="AB103" s="39">
        <f t="shared" si="207"/>
        <v>0</v>
      </c>
      <c r="AC103" s="39">
        <f t="shared" si="207"/>
        <v>0</v>
      </c>
      <c r="AD103" s="39">
        <f t="shared" si="207"/>
        <v>0</v>
      </c>
      <c r="AE103" s="39">
        <f t="shared" si="207"/>
        <v>0</v>
      </c>
      <c r="AF103" s="39">
        <f t="shared" si="207"/>
        <v>0</v>
      </c>
      <c r="AG103" s="39">
        <f t="shared" si="207"/>
        <v>0</v>
      </c>
      <c r="AH103" s="39">
        <f t="shared" si="207"/>
        <v>0</v>
      </c>
      <c r="AI103" s="39">
        <f t="shared" si="207"/>
        <v>0</v>
      </c>
      <c r="AJ103" s="39">
        <f t="shared" si="207"/>
        <v>0</v>
      </c>
      <c r="AK103" s="39">
        <f t="shared" si="207"/>
        <v>0</v>
      </c>
      <c r="AL103" s="39">
        <f t="shared" si="207"/>
        <v>0</v>
      </c>
      <c r="AM103" s="184">
        <f t="shared" si="176"/>
        <v>0</v>
      </c>
      <c r="AN103" s="184">
        <f t="shared" si="201"/>
        <v>0</v>
      </c>
      <c r="AO103" s="184">
        <f t="shared" si="201"/>
        <v>0</v>
      </c>
      <c r="AP103" s="184">
        <f t="shared" si="201"/>
        <v>0</v>
      </c>
      <c r="AQ103" s="184">
        <f t="shared" si="201"/>
        <v>0</v>
      </c>
      <c r="AR103" s="184">
        <f t="shared" si="201"/>
        <v>0</v>
      </c>
      <c r="AS103" s="184">
        <f t="shared" si="201"/>
        <v>0</v>
      </c>
      <c r="AT103" s="184">
        <f t="shared" si="201"/>
        <v>0</v>
      </c>
      <c r="AU103" s="184">
        <f t="shared" si="201"/>
        <v>0</v>
      </c>
      <c r="AV103" s="184">
        <f t="shared" si="201"/>
        <v>0</v>
      </c>
      <c r="AW103" s="184">
        <f t="shared" si="201"/>
        <v>0</v>
      </c>
      <c r="AX103" s="184">
        <f t="shared" si="201"/>
        <v>0</v>
      </c>
      <c r="AY103" s="184">
        <f t="shared" si="201"/>
        <v>0</v>
      </c>
      <c r="AZ103" s="184">
        <f t="shared" si="201"/>
        <v>0</v>
      </c>
      <c r="BA103" s="184">
        <f t="shared" si="201"/>
        <v>0</v>
      </c>
      <c r="BB103" s="184">
        <f t="shared" si="201"/>
        <v>0</v>
      </c>
      <c r="BC103" s="184">
        <f t="shared" si="201"/>
        <v>0</v>
      </c>
      <c r="BD103" s="184">
        <f t="shared" si="201"/>
        <v>0</v>
      </c>
      <c r="BE103" s="184">
        <f t="shared" si="201"/>
        <v>0</v>
      </c>
      <c r="BF103" s="184">
        <f t="shared" si="201"/>
        <v>0</v>
      </c>
    </row>
    <row r="104" spans="2:58">
      <c r="B104" t="s">
        <v>644</v>
      </c>
      <c r="C104" s="109">
        <v>98.252464361200921</v>
      </c>
      <c r="D104" s="182">
        <f t="shared" ref="D104:I104" si="208">C104+($J104-$C104)/(COLUMN($J104)-COLUMN($C104))</f>
        <v>98.252464361200921</v>
      </c>
      <c r="E104" s="182">
        <f t="shared" si="208"/>
        <v>98.252464361200921</v>
      </c>
      <c r="F104" s="182">
        <f t="shared" si="208"/>
        <v>98.252464361200921</v>
      </c>
      <c r="G104" s="182">
        <f t="shared" si="208"/>
        <v>98.252464361200921</v>
      </c>
      <c r="H104" s="182">
        <f t="shared" si="208"/>
        <v>98.252464361200921</v>
      </c>
      <c r="I104" s="182">
        <f t="shared" si="208"/>
        <v>98.252464361200921</v>
      </c>
      <c r="J104" s="109">
        <v>98.252464361200921</v>
      </c>
      <c r="K104" s="183">
        <f t="shared" si="167"/>
        <v>98.252464361200921</v>
      </c>
      <c r="L104" s="183">
        <f t="shared" si="167"/>
        <v>98.252464361200921</v>
      </c>
      <c r="M104" s="183">
        <f t="shared" si="167"/>
        <v>98.252464361200921</v>
      </c>
      <c r="N104" s="183">
        <f t="shared" si="167"/>
        <v>98.252464361200921</v>
      </c>
      <c r="O104" s="109">
        <v>98.252464361200921</v>
      </c>
      <c r="P104" s="183">
        <f t="shared" si="168"/>
        <v>98.252464361200921</v>
      </c>
      <c r="Q104" s="183">
        <f t="shared" si="168"/>
        <v>98.252464361200921</v>
      </c>
      <c r="R104" s="183">
        <f t="shared" si="168"/>
        <v>98.252464361200921</v>
      </c>
      <c r="S104" s="183">
        <f t="shared" si="168"/>
        <v>98.252464361200921</v>
      </c>
      <c r="T104" s="109">
        <v>98.252464361200921</v>
      </c>
      <c r="U104" s="195"/>
      <c r="V104" t="s">
        <v>644</v>
      </c>
      <c r="W104" s="39">
        <f t="shared" ref="W104:AL104" si="209">E104/SUM(E86:E118)</f>
        <v>3.0746870429241573E-3</v>
      </c>
      <c r="X104" s="39">
        <f t="shared" si="209"/>
        <v>3.0122026481656378E-3</v>
      </c>
      <c r="Y104" s="39">
        <f t="shared" si="209"/>
        <v>2.9522073106141556E-3</v>
      </c>
      <c r="Z104" s="39">
        <f t="shared" si="209"/>
        <v>2.8945552078051291E-3</v>
      </c>
      <c r="AA104" s="39">
        <f t="shared" si="209"/>
        <v>2.8391116898512474E-3</v>
      </c>
      <c r="AB104" s="39">
        <f t="shared" si="209"/>
        <v>2.7857522295318747E-3</v>
      </c>
      <c r="AC104" s="39">
        <f t="shared" si="209"/>
        <v>2.7389719056619506E-3</v>
      </c>
      <c r="AD104" s="39">
        <f t="shared" si="209"/>
        <v>2.6937367705304562E-3</v>
      </c>
      <c r="AE104" s="39">
        <f t="shared" si="209"/>
        <v>2.6499715098877367E-3</v>
      </c>
      <c r="AF104" s="39">
        <f t="shared" si="209"/>
        <v>2.6076056257695367E-3</v>
      </c>
      <c r="AG104" s="39">
        <f t="shared" si="209"/>
        <v>2.5665730575582611E-3</v>
      </c>
      <c r="AH104" s="39">
        <f t="shared" si="209"/>
        <v>2.5373581093497393E-3</v>
      </c>
      <c r="AI104" s="39">
        <f t="shared" si="209"/>
        <v>2.5088007750888354E-3</v>
      </c>
      <c r="AJ104" s="39">
        <f t="shared" si="209"/>
        <v>2.480879098048921E-3</v>
      </c>
      <c r="AK104" s="39">
        <f t="shared" si="209"/>
        <v>2.4535720882131913E-3</v>
      </c>
      <c r="AL104" s="39">
        <f t="shared" si="209"/>
        <v>2.4268596696510707E-3</v>
      </c>
      <c r="AM104" s="184">
        <f t="shared" si="176"/>
        <v>2.4268596696510707E-3</v>
      </c>
      <c r="AN104" s="184">
        <f t="shared" si="201"/>
        <v>2.4268596696510707E-3</v>
      </c>
      <c r="AO104" s="184">
        <f t="shared" si="201"/>
        <v>2.4268596696510707E-3</v>
      </c>
      <c r="AP104" s="184">
        <f t="shared" si="201"/>
        <v>2.4268596696510707E-3</v>
      </c>
      <c r="AQ104" s="184">
        <f t="shared" si="201"/>
        <v>2.4268596696510707E-3</v>
      </c>
      <c r="AR104" s="184">
        <f t="shared" si="201"/>
        <v>2.4268596696510707E-3</v>
      </c>
      <c r="AS104" s="184">
        <f t="shared" si="201"/>
        <v>2.4268596696510707E-3</v>
      </c>
      <c r="AT104" s="184">
        <f t="shared" si="201"/>
        <v>2.4268596696510707E-3</v>
      </c>
      <c r="AU104" s="184">
        <f t="shared" si="201"/>
        <v>2.4268596696510707E-3</v>
      </c>
      <c r="AV104" s="184">
        <f t="shared" si="201"/>
        <v>2.4268596696510707E-3</v>
      </c>
      <c r="AW104" s="184">
        <f t="shared" si="201"/>
        <v>2.4268596696510707E-3</v>
      </c>
      <c r="AX104" s="184">
        <f t="shared" si="201"/>
        <v>2.4268596696510707E-3</v>
      </c>
      <c r="AY104" s="184">
        <f t="shared" si="201"/>
        <v>2.4268596696510707E-3</v>
      </c>
      <c r="AZ104" s="184">
        <f t="shared" si="201"/>
        <v>2.4268596696510707E-3</v>
      </c>
      <c r="BA104" s="184">
        <f t="shared" si="201"/>
        <v>2.4268596696510707E-3</v>
      </c>
      <c r="BB104" s="184">
        <f t="shared" si="201"/>
        <v>2.4268596696510707E-3</v>
      </c>
      <c r="BC104" s="184">
        <f t="shared" si="201"/>
        <v>2.4268596696510707E-3</v>
      </c>
      <c r="BD104" s="184">
        <f t="shared" si="201"/>
        <v>2.4268596696510707E-3</v>
      </c>
      <c r="BE104" s="184">
        <f t="shared" si="201"/>
        <v>2.4268596696510707E-3</v>
      </c>
      <c r="BF104" s="184">
        <f t="shared" si="201"/>
        <v>2.4268596696510707E-3</v>
      </c>
    </row>
    <row r="105" spans="2:58">
      <c r="B105" t="s">
        <v>645</v>
      </c>
      <c r="C105" s="109">
        <v>0</v>
      </c>
      <c r="D105" s="182">
        <f t="shared" ref="D105:I105" si="210">C105+($J105-$C105)/(COLUMN($J105)-COLUMN($C105))</f>
        <v>0</v>
      </c>
      <c r="E105" s="182">
        <f t="shared" si="210"/>
        <v>0</v>
      </c>
      <c r="F105" s="182">
        <f t="shared" si="210"/>
        <v>0</v>
      </c>
      <c r="G105" s="182">
        <f t="shared" si="210"/>
        <v>0</v>
      </c>
      <c r="H105" s="182">
        <f t="shared" si="210"/>
        <v>0</v>
      </c>
      <c r="I105" s="182">
        <f t="shared" si="210"/>
        <v>0</v>
      </c>
      <c r="J105" s="109">
        <v>0</v>
      </c>
      <c r="K105" s="183">
        <f t="shared" si="167"/>
        <v>0</v>
      </c>
      <c r="L105" s="183">
        <f t="shared" si="167"/>
        <v>0</v>
      </c>
      <c r="M105" s="183">
        <f t="shared" si="167"/>
        <v>0</v>
      </c>
      <c r="N105" s="183">
        <f t="shared" si="167"/>
        <v>0</v>
      </c>
      <c r="O105" s="109">
        <v>0</v>
      </c>
      <c r="P105" s="183">
        <f t="shared" si="168"/>
        <v>0</v>
      </c>
      <c r="Q105" s="183">
        <f t="shared" si="168"/>
        <v>0</v>
      </c>
      <c r="R105" s="183">
        <f t="shared" si="168"/>
        <v>0</v>
      </c>
      <c r="S105" s="183">
        <f t="shared" si="168"/>
        <v>0</v>
      </c>
      <c r="T105" s="109">
        <v>0</v>
      </c>
      <c r="U105" s="195"/>
      <c r="V105" t="s">
        <v>645</v>
      </c>
      <c r="W105" s="39">
        <f t="shared" ref="W105:AL105" si="211">E105/SUM(E86:E118)</f>
        <v>0</v>
      </c>
      <c r="X105" s="39">
        <f t="shared" si="211"/>
        <v>0</v>
      </c>
      <c r="Y105" s="39">
        <f t="shared" si="211"/>
        <v>0</v>
      </c>
      <c r="Z105" s="39">
        <f t="shared" si="211"/>
        <v>0</v>
      </c>
      <c r="AA105" s="39">
        <f t="shared" si="211"/>
        <v>0</v>
      </c>
      <c r="AB105" s="39">
        <f t="shared" si="211"/>
        <v>0</v>
      </c>
      <c r="AC105" s="39">
        <f t="shared" si="211"/>
        <v>0</v>
      </c>
      <c r="AD105" s="39">
        <f t="shared" si="211"/>
        <v>0</v>
      </c>
      <c r="AE105" s="39">
        <f t="shared" si="211"/>
        <v>0</v>
      </c>
      <c r="AF105" s="39">
        <f t="shared" si="211"/>
        <v>0</v>
      </c>
      <c r="AG105" s="39">
        <f t="shared" si="211"/>
        <v>0</v>
      </c>
      <c r="AH105" s="39">
        <f t="shared" si="211"/>
        <v>0</v>
      </c>
      <c r="AI105" s="39">
        <f t="shared" si="211"/>
        <v>0</v>
      </c>
      <c r="AJ105" s="39">
        <f t="shared" si="211"/>
        <v>0</v>
      </c>
      <c r="AK105" s="39">
        <f t="shared" si="211"/>
        <v>0</v>
      </c>
      <c r="AL105" s="39">
        <f t="shared" si="211"/>
        <v>0</v>
      </c>
      <c r="AM105" s="184">
        <f t="shared" si="176"/>
        <v>0</v>
      </c>
      <c r="AN105" s="184">
        <f t="shared" si="201"/>
        <v>0</v>
      </c>
      <c r="AO105" s="184">
        <f t="shared" si="201"/>
        <v>0</v>
      </c>
      <c r="AP105" s="184">
        <f t="shared" si="201"/>
        <v>0</v>
      </c>
      <c r="AQ105" s="184">
        <f t="shared" si="201"/>
        <v>0</v>
      </c>
      <c r="AR105" s="184">
        <f t="shared" si="201"/>
        <v>0</v>
      </c>
      <c r="AS105" s="184">
        <f t="shared" si="201"/>
        <v>0</v>
      </c>
      <c r="AT105" s="184">
        <f t="shared" si="201"/>
        <v>0</v>
      </c>
      <c r="AU105" s="184">
        <f t="shared" si="201"/>
        <v>0</v>
      </c>
      <c r="AV105" s="184">
        <f t="shared" si="201"/>
        <v>0</v>
      </c>
      <c r="AW105" s="184">
        <f t="shared" si="201"/>
        <v>0</v>
      </c>
      <c r="AX105" s="184">
        <f t="shared" si="201"/>
        <v>0</v>
      </c>
      <c r="AY105" s="184">
        <f t="shared" si="201"/>
        <v>0</v>
      </c>
      <c r="AZ105" s="184">
        <f t="shared" si="201"/>
        <v>0</v>
      </c>
      <c r="BA105" s="184">
        <f t="shared" si="201"/>
        <v>0</v>
      </c>
      <c r="BB105" s="184">
        <f t="shared" si="201"/>
        <v>0</v>
      </c>
      <c r="BC105" s="184">
        <f t="shared" si="201"/>
        <v>0</v>
      </c>
      <c r="BD105" s="184">
        <f t="shared" si="201"/>
        <v>0</v>
      </c>
      <c r="BE105" s="184">
        <f t="shared" si="201"/>
        <v>0</v>
      </c>
      <c r="BF105" s="184">
        <f t="shared" si="201"/>
        <v>0</v>
      </c>
    </row>
    <row r="106" spans="2:58">
      <c r="B106" t="s">
        <v>646</v>
      </c>
      <c r="C106" s="109">
        <v>15.149843550693738</v>
      </c>
      <c r="D106" s="182">
        <f t="shared" ref="D106:I106" si="212">C106+($J106-$C106)/(COLUMN($J106)-COLUMN($C106))</f>
        <v>15.149985734083176</v>
      </c>
      <c r="E106" s="182">
        <f t="shared" si="212"/>
        <v>15.150127917472613</v>
      </c>
      <c r="F106" s="182">
        <f t="shared" si="212"/>
        <v>15.15027010086205</v>
      </c>
      <c r="G106" s="182">
        <f t="shared" si="212"/>
        <v>15.150412284251487</v>
      </c>
      <c r="H106" s="182">
        <f t="shared" si="212"/>
        <v>15.150554467640925</v>
      </c>
      <c r="I106" s="182">
        <f t="shared" si="212"/>
        <v>15.150696651030362</v>
      </c>
      <c r="J106" s="109">
        <v>15.150838834419794</v>
      </c>
      <c r="K106" s="183">
        <f t="shared" ref="K106:N118" si="213">J106+($O106-$J106)/(COLUMN($O106)-COLUMN($J106))</f>
        <v>15.151028633770812</v>
      </c>
      <c r="L106" s="183">
        <f t="shared" si="213"/>
        <v>15.15121843312183</v>
      </c>
      <c r="M106" s="183">
        <f t="shared" si="213"/>
        <v>15.151408232472848</v>
      </c>
      <c r="N106" s="183">
        <f t="shared" si="213"/>
        <v>15.151598031823866</v>
      </c>
      <c r="O106" s="109">
        <v>15.151787831174886</v>
      </c>
      <c r="P106" s="183">
        <f t="shared" ref="P106:S118" si="214">O106+($T106-$O106)/(COLUMN($T106)-COLUMN($O106))</f>
        <v>15.151926708482225</v>
      </c>
      <c r="Q106" s="183">
        <f t="shared" si="214"/>
        <v>15.152065585789565</v>
      </c>
      <c r="R106" s="183">
        <f t="shared" si="214"/>
        <v>15.152204463096904</v>
      </c>
      <c r="S106" s="183">
        <f t="shared" si="214"/>
        <v>15.152343340404244</v>
      </c>
      <c r="T106" s="109">
        <v>15.152482217711583</v>
      </c>
      <c r="U106" s="195"/>
      <c r="V106" t="s">
        <v>646</v>
      </c>
      <c r="W106" s="39">
        <f t="shared" ref="W106:AL106" si="215">E106/SUM(E86:E118)</f>
        <v>4.7410415921222829E-4</v>
      </c>
      <c r="X106" s="39">
        <f t="shared" si="215"/>
        <v>4.6447368027811528E-4</v>
      </c>
      <c r="Y106" s="39">
        <f t="shared" si="215"/>
        <v>4.5522683013789249E-4</v>
      </c>
      <c r="Z106" s="39">
        <f t="shared" si="215"/>
        <v>4.4634113373712923E-4</v>
      </c>
      <c r="AA106" s="39">
        <f t="shared" si="215"/>
        <v>4.3779583800766754E-4</v>
      </c>
      <c r="AB106" s="39">
        <f t="shared" si="215"/>
        <v>4.295717500489488E-4</v>
      </c>
      <c r="AC106" s="39">
        <f t="shared" si="215"/>
        <v>4.2236336808021413E-4</v>
      </c>
      <c r="AD106" s="39">
        <f t="shared" si="215"/>
        <v>4.1539308430574073E-4</v>
      </c>
      <c r="AE106" s="39">
        <f t="shared" si="215"/>
        <v>4.0864929354979897E-4</v>
      </c>
      <c r="AF106" s="39">
        <f t="shared" si="215"/>
        <v>4.0212113277826833E-4</v>
      </c>
      <c r="AG106" s="39">
        <f t="shared" si="215"/>
        <v>3.9579842270795186E-4</v>
      </c>
      <c r="AH106" s="39">
        <f t="shared" si="215"/>
        <v>3.9129669017464591E-4</v>
      </c>
      <c r="AI106" s="39">
        <f t="shared" si="215"/>
        <v>3.8689628940072622E-4</v>
      </c>
      <c r="AJ106" s="39">
        <f t="shared" si="215"/>
        <v>3.8259383707331184E-4</v>
      </c>
      <c r="AK106" s="39">
        <f t="shared" si="215"/>
        <v>3.7838609883987718E-4</v>
      </c>
      <c r="AL106" s="39">
        <f t="shared" si="215"/>
        <v>3.7426998119948011E-4</v>
      </c>
      <c r="AM106" s="184">
        <f t="shared" si="176"/>
        <v>3.7426998119948011E-4</v>
      </c>
      <c r="AN106" s="184">
        <f t="shared" si="201"/>
        <v>3.7426998119948011E-4</v>
      </c>
      <c r="AO106" s="184">
        <f t="shared" si="201"/>
        <v>3.7426998119948011E-4</v>
      </c>
      <c r="AP106" s="184">
        <f t="shared" si="201"/>
        <v>3.7426998119948011E-4</v>
      </c>
      <c r="AQ106" s="184">
        <f t="shared" si="201"/>
        <v>3.7426998119948011E-4</v>
      </c>
      <c r="AR106" s="184">
        <f t="shared" si="201"/>
        <v>3.7426998119948011E-4</v>
      </c>
      <c r="AS106" s="184">
        <f t="shared" si="201"/>
        <v>3.7426998119948011E-4</v>
      </c>
      <c r="AT106" s="184">
        <f t="shared" si="201"/>
        <v>3.7426998119948011E-4</v>
      </c>
      <c r="AU106" s="184">
        <f t="shared" si="201"/>
        <v>3.7426998119948011E-4</v>
      </c>
      <c r="AV106" s="184">
        <f t="shared" si="201"/>
        <v>3.7426998119948011E-4</v>
      </c>
      <c r="AW106" s="184">
        <f t="shared" si="201"/>
        <v>3.7426998119948011E-4</v>
      </c>
      <c r="AX106" s="184">
        <f t="shared" si="201"/>
        <v>3.7426998119948011E-4</v>
      </c>
      <c r="AY106" s="184">
        <f t="shared" si="201"/>
        <v>3.7426998119948011E-4</v>
      </c>
      <c r="AZ106" s="184">
        <f t="shared" si="201"/>
        <v>3.7426998119948011E-4</v>
      </c>
      <c r="BA106" s="184">
        <f t="shared" si="201"/>
        <v>3.7426998119948011E-4</v>
      </c>
      <c r="BB106" s="184">
        <f t="shared" si="201"/>
        <v>3.7426998119948011E-4</v>
      </c>
      <c r="BC106" s="184">
        <f t="shared" si="201"/>
        <v>3.7426998119948011E-4</v>
      </c>
      <c r="BD106" s="184">
        <f t="shared" si="201"/>
        <v>3.7426998119948011E-4</v>
      </c>
      <c r="BE106" s="184">
        <f t="shared" si="201"/>
        <v>3.7426998119948011E-4</v>
      </c>
      <c r="BF106" s="184">
        <f t="shared" si="201"/>
        <v>3.7426998119948011E-4</v>
      </c>
    </row>
    <row r="107" spans="2:58">
      <c r="B107" t="s">
        <v>648</v>
      </c>
      <c r="C107" s="109">
        <v>36.29690413702491</v>
      </c>
      <c r="D107" s="182">
        <f t="shared" ref="D107:I107" si="216">C107+($J107-$C107)/(COLUMN($J107)-COLUMN($C107))</f>
        <v>36.29690413702491</v>
      </c>
      <c r="E107" s="182">
        <f t="shared" si="216"/>
        <v>36.29690413702491</v>
      </c>
      <c r="F107" s="182">
        <f t="shared" si="216"/>
        <v>36.29690413702491</v>
      </c>
      <c r="G107" s="182">
        <f t="shared" si="216"/>
        <v>36.29690413702491</v>
      </c>
      <c r="H107" s="182">
        <f t="shared" si="216"/>
        <v>36.29690413702491</v>
      </c>
      <c r="I107" s="182">
        <f t="shared" si="216"/>
        <v>36.29690413702491</v>
      </c>
      <c r="J107" s="109">
        <v>36.29690413702491</v>
      </c>
      <c r="K107" s="183">
        <f t="shared" si="213"/>
        <v>36.29690413702491</v>
      </c>
      <c r="L107" s="183">
        <f t="shared" si="213"/>
        <v>36.29690413702491</v>
      </c>
      <c r="M107" s="183">
        <f t="shared" si="213"/>
        <v>36.29690413702491</v>
      </c>
      <c r="N107" s="183">
        <f t="shared" si="213"/>
        <v>36.29690413702491</v>
      </c>
      <c r="O107" s="109">
        <v>36.29690413702491</v>
      </c>
      <c r="P107" s="183">
        <f t="shared" si="214"/>
        <v>36.29690413702491</v>
      </c>
      <c r="Q107" s="183">
        <f t="shared" si="214"/>
        <v>36.29690413702491</v>
      </c>
      <c r="R107" s="183">
        <f t="shared" si="214"/>
        <v>36.29690413702491</v>
      </c>
      <c r="S107" s="183">
        <f t="shared" si="214"/>
        <v>36.29690413702491</v>
      </c>
      <c r="T107" s="109">
        <v>36.29690413702491</v>
      </c>
      <c r="U107" s="195"/>
      <c r="V107" t="s">
        <v>648</v>
      </c>
      <c r="W107" s="39">
        <f t="shared" ref="W107:AL107" si="217">E107/SUM(E86:E118)</f>
        <v>1.1358658693597235E-3</v>
      </c>
      <c r="X107" s="39">
        <f t="shared" si="217"/>
        <v>1.1127825797816392E-3</v>
      </c>
      <c r="Y107" s="39">
        <f t="shared" si="217"/>
        <v>1.0906188098453551E-3</v>
      </c>
      <c r="Z107" s="39">
        <f t="shared" si="217"/>
        <v>1.0693206891054597E-3</v>
      </c>
      <c r="AA107" s="39">
        <f t="shared" si="217"/>
        <v>1.0488384745444765E-3</v>
      </c>
      <c r="AB107" s="39">
        <f t="shared" si="217"/>
        <v>1.0291261627097775E-3</v>
      </c>
      <c r="AC107" s="39">
        <f t="shared" si="217"/>
        <v>1.0118443475202531E-3</v>
      </c>
      <c r="AD107" s="39">
        <f t="shared" si="217"/>
        <v>9.9513336348368785E-4</v>
      </c>
      <c r="AE107" s="39">
        <f t="shared" si="217"/>
        <v>9.7896538764299218E-4</v>
      </c>
      <c r="AF107" s="39">
        <f t="shared" si="217"/>
        <v>9.6331437629669709E-4</v>
      </c>
      <c r="AG107" s="39">
        <f t="shared" si="217"/>
        <v>9.4815592500955832E-4</v>
      </c>
      <c r="AH107" s="39">
        <f t="shared" si="217"/>
        <v>9.3736319648730438E-4</v>
      </c>
      <c r="AI107" s="39">
        <f t="shared" si="217"/>
        <v>9.2681340691392125E-4</v>
      </c>
      <c r="AJ107" s="39">
        <f t="shared" si="217"/>
        <v>9.1649844492846947E-4</v>
      </c>
      <c r="AK107" s="39">
        <f t="shared" si="217"/>
        <v>9.0641055629666354E-4</v>
      </c>
      <c r="AL107" s="39">
        <f t="shared" si="217"/>
        <v>8.9654232447040666E-4</v>
      </c>
      <c r="AM107" s="184">
        <f t="shared" si="176"/>
        <v>8.9654232447040666E-4</v>
      </c>
      <c r="AN107" s="184">
        <f t="shared" si="201"/>
        <v>8.9654232447040666E-4</v>
      </c>
      <c r="AO107" s="184">
        <f t="shared" si="201"/>
        <v>8.9654232447040666E-4</v>
      </c>
      <c r="AP107" s="184">
        <f t="shared" si="201"/>
        <v>8.9654232447040666E-4</v>
      </c>
      <c r="AQ107" s="184">
        <f t="shared" si="201"/>
        <v>8.9654232447040666E-4</v>
      </c>
      <c r="AR107" s="184">
        <f t="shared" si="201"/>
        <v>8.9654232447040666E-4</v>
      </c>
      <c r="AS107" s="184">
        <f t="shared" si="201"/>
        <v>8.9654232447040666E-4</v>
      </c>
      <c r="AT107" s="184">
        <f t="shared" si="201"/>
        <v>8.9654232447040666E-4</v>
      </c>
      <c r="AU107" s="184">
        <f t="shared" si="201"/>
        <v>8.9654232447040666E-4</v>
      </c>
      <c r="AV107" s="184">
        <f t="shared" si="201"/>
        <v>8.9654232447040666E-4</v>
      </c>
      <c r="AW107" s="184">
        <f t="shared" si="201"/>
        <v>8.9654232447040666E-4</v>
      </c>
      <c r="AX107" s="184">
        <f t="shared" si="201"/>
        <v>8.9654232447040666E-4</v>
      </c>
      <c r="AY107" s="184">
        <f t="shared" si="201"/>
        <v>8.9654232447040666E-4</v>
      </c>
      <c r="AZ107" s="184">
        <f t="shared" si="201"/>
        <v>8.9654232447040666E-4</v>
      </c>
      <c r="BA107" s="184">
        <f t="shared" si="201"/>
        <v>8.9654232447040666E-4</v>
      </c>
      <c r="BB107" s="184">
        <f t="shared" si="201"/>
        <v>8.9654232447040666E-4</v>
      </c>
      <c r="BC107" s="184">
        <f t="shared" si="201"/>
        <v>8.9654232447040666E-4</v>
      </c>
      <c r="BD107" s="184">
        <f t="shared" si="201"/>
        <v>8.9654232447040666E-4</v>
      </c>
      <c r="BE107" s="184">
        <f t="shared" si="201"/>
        <v>8.9654232447040666E-4</v>
      </c>
      <c r="BF107" s="184">
        <f t="shared" si="201"/>
        <v>8.9654232447040666E-4</v>
      </c>
    </row>
    <row r="108" spans="2:58">
      <c r="B108" t="s">
        <v>649</v>
      </c>
      <c r="C108" s="109">
        <v>1181.2155723763262</v>
      </c>
      <c r="D108" s="182">
        <f t="shared" ref="D108:I108" si="218">C108+($J108-$C108)/(COLUMN($J108)-COLUMN($C108))</f>
        <v>1181.2437210526939</v>
      </c>
      <c r="E108" s="182">
        <f t="shared" si="218"/>
        <v>1181.2718697290616</v>
      </c>
      <c r="F108" s="182">
        <f t="shared" si="218"/>
        <v>1181.3000184054292</v>
      </c>
      <c r="G108" s="182">
        <f t="shared" si="218"/>
        <v>1181.3281670817969</v>
      </c>
      <c r="H108" s="182">
        <f t="shared" si="218"/>
        <v>1181.3563157581646</v>
      </c>
      <c r="I108" s="182">
        <f t="shared" si="218"/>
        <v>1181.3844644345322</v>
      </c>
      <c r="J108" s="109">
        <v>1181.4126131108994</v>
      </c>
      <c r="K108" s="183">
        <f t="shared" si="213"/>
        <v>1181.4501885304176</v>
      </c>
      <c r="L108" s="183">
        <f t="shared" si="213"/>
        <v>1181.4877639499357</v>
      </c>
      <c r="M108" s="183">
        <f t="shared" si="213"/>
        <v>1181.5253393694538</v>
      </c>
      <c r="N108" s="183">
        <f t="shared" si="213"/>
        <v>1181.562914788972</v>
      </c>
      <c r="O108" s="109">
        <v>1181.6004902084896</v>
      </c>
      <c r="P108" s="183">
        <f t="shared" si="214"/>
        <v>1181.6279843651178</v>
      </c>
      <c r="Q108" s="183">
        <f t="shared" si="214"/>
        <v>1181.6554785217459</v>
      </c>
      <c r="R108" s="183">
        <f t="shared" si="214"/>
        <v>1181.682972678374</v>
      </c>
      <c r="S108" s="183">
        <f t="shared" si="214"/>
        <v>1181.7104668350021</v>
      </c>
      <c r="T108" s="109">
        <v>1181.7379609916306</v>
      </c>
      <c r="U108" s="195"/>
      <c r="V108" t="s">
        <v>649</v>
      </c>
      <c r="W108" s="39">
        <f t="shared" ref="W108:AL108" si="219">E108/SUM(E86:E118)</f>
        <v>3.6966414386049758E-2</v>
      </c>
      <c r="X108" s="39">
        <f t="shared" si="219"/>
        <v>3.6216038619018086E-2</v>
      </c>
      <c r="Y108" s="39">
        <f t="shared" si="219"/>
        <v>3.5495553966690081E-2</v>
      </c>
      <c r="Z108" s="39">
        <f t="shared" si="219"/>
        <v>3.4803209245524103E-2</v>
      </c>
      <c r="AA108" s="39">
        <f t="shared" si="219"/>
        <v>3.4137387443578818E-2</v>
      </c>
      <c r="AB108" s="39">
        <f t="shared" si="219"/>
        <v>3.3496593112125571E-2</v>
      </c>
      <c r="AC108" s="39">
        <f t="shared" si="219"/>
        <v>3.2935142088931481E-2</v>
      </c>
      <c r="AD108" s="39">
        <f t="shared" si="219"/>
        <v>3.2392236208790087E-2</v>
      </c>
      <c r="AE108" s="39">
        <f t="shared" si="219"/>
        <v>3.1866971560419212E-2</v>
      </c>
      <c r="AF108" s="39">
        <f t="shared" si="219"/>
        <v>3.1358502036932683E-2</v>
      </c>
      <c r="AG108" s="39">
        <f t="shared" si="219"/>
        <v>3.0866034787869576E-2</v>
      </c>
      <c r="AH108" s="39">
        <f t="shared" si="219"/>
        <v>3.0515400991279234E-2</v>
      </c>
      <c r="AI108" s="39">
        <f t="shared" si="219"/>
        <v>3.0172659786984399E-2</v>
      </c>
      <c r="AJ108" s="39">
        <f t="shared" si="219"/>
        <v>2.9837547653367172E-2</v>
      </c>
      <c r="AK108" s="39">
        <f t="shared" si="219"/>
        <v>2.9509812671128222E-2</v>
      </c>
      <c r="AL108" s="39">
        <f t="shared" si="219"/>
        <v>2.9189213891705635E-2</v>
      </c>
      <c r="AM108" s="184">
        <f t="shared" si="176"/>
        <v>2.9189213891705635E-2</v>
      </c>
      <c r="AN108" s="184">
        <f t="shared" si="201"/>
        <v>2.9189213891705635E-2</v>
      </c>
      <c r="AO108" s="184">
        <f t="shared" si="201"/>
        <v>2.9189213891705635E-2</v>
      </c>
      <c r="AP108" s="184">
        <f t="shared" si="201"/>
        <v>2.9189213891705635E-2</v>
      </c>
      <c r="AQ108" s="184">
        <f t="shared" si="201"/>
        <v>2.9189213891705635E-2</v>
      </c>
      <c r="AR108" s="184">
        <f t="shared" si="201"/>
        <v>2.9189213891705635E-2</v>
      </c>
      <c r="AS108" s="184">
        <f t="shared" si="201"/>
        <v>2.9189213891705635E-2</v>
      </c>
      <c r="AT108" s="184">
        <f t="shared" si="201"/>
        <v>2.9189213891705635E-2</v>
      </c>
      <c r="AU108" s="184">
        <f t="shared" si="201"/>
        <v>2.9189213891705635E-2</v>
      </c>
      <c r="AV108" s="184">
        <f t="shared" si="201"/>
        <v>2.9189213891705635E-2</v>
      </c>
      <c r="AW108" s="184">
        <f t="shared" si="201"/>
        <v>2.9189213891705635E-2</v>
      </c>
      <c r="AX108" s="184">
        <f t="shared" si="201"/>
        <v>2.9189213891705635E-2</v>
      </c>
      <c r="AY108" s="184">
        <f t="shared" si="201"/>
        <v>2.9189213891705635E-2</v>
      </c>
      <c r="AZ108" s="184">
        <f t="shared" si="201"/>
        <v>2.9189213891705635E-2</v>
      </c>
      <c r="BA108" s="184">
        <f t="shared" si="201"/>
        <v>2.9189213891705635E-2</v>
      </c>
      <c r="BB108" s="184">
        <f t="shared" si="201"/>
        <v>2.9189213891705635E-2</v>
      </c>
      <c r="BC108" s="184">
        <f t="shared" si="201"/>
        <v>2.9189213891705635E-2</v>
      </c>
      <c r="BD108" s="184">
        <f t="shared" si="201"/>
        <v>2.9189213891705635E-2</v>
      </c>
      <c r="BE108" s="184">
        <f t="shared" si="201"/>
        <v>2.9189213891705635E-2</v>
      </c>
      <c r="BF108" s="184">
        <f t="shared" si="201"/>
        <v>2.9189213891705635E-2</v>
      </c>
    </row>
    <row r="109" spans="2:58">
      <c r="B109" t="s">
        <v>650</v>
      </c>
      <c r="C109" s="109">
        <v>1.5446122966346674</v>
      </c>
      <c r="D109" s="182">
        <f t="shared" ref="D109:I109" si="220">C109+($J109-$C109)/(COLUMN($J109)-COLUMN($C109))</f>
        <v>1.5928375197834965</v>
      </c>
      <c r="E109" s="182">
        <f t="shared" si="220"/>
        <v>1.6410627429323257</v>
      </c>
      <c r="F109" s="182">
        <f t="shared" si="220"/>
        <v>1.6892879660811548</v>
      </c>
      <c r="G109" s="182">
        <f t="shared" si="220"/>
        <v>1.737513189229984</v>
      </c>
      <c r="H109" s="182">
        <f t="shared" si="220"/>
        <v>1.7857384123788131</v>
      </c>
      <c r="I109" s="182">
        <f t="shared" si="220"/>
        <v>1.8339636355276423</v>
      </c>
      <c r="J109" s="109">
        <v>1.882188858676471</v>
      </c>
      <c r="K109" s="183">
        <f t="shared" si="213"/>
        <v>1.9465642832082326</v>
      </c>
      <c r="L109" s="183">
        <f t="shared" si="213"/>
        <v>2.0109397077399942</v>
      </c>
      <c r="M109" s="183">
        <f t="shared" si="213"/>
        <v>2.0753151322717556</v>
      </c>
      <c r="N109" s="183">
        <f t="shared" si="213"/>
        <v>2.1396905568035169</v>
      </c>
      <c r="O109" s="109">
        <v>2.2040659813352788</v>
      </c>
      <c r="P109" s="183">
        <f t="shared" si="214"/>
        <v>2.251169860088531</v>
      </c>
      <c r="Q109" s="183">
        <f t="shared" si="214"/>
        <v>2.2982737388417833</v>
      </c>
      <c r="R109" s="183">
        <f t="shared" si="214"/>
        <v>2.3453776175950356</v>
      </c>
      <c r="S109" s="183">
        <f t="shared" si="214"/>
        <v>2.3924814963482879</v>
      </c>
      <c r="T109" s="109">
        <v>2.4395853751015393</v>
      </c>
      <c r="U109" s="195"/>
      <c r="V109" t="s">
        <v>650</v>
      </c>
      <c r="W109" s="39">
        <f t="shared" ref="W109:AL109" si="221">E109/SUM(E86:E118)</f>
        <v>5.1354990280652188E-5</v>
      </c>
      <c r="X109" s="39">
        <f t="shared" si="221"/>
        <v>5.1789822454096081E-5</v>
      </c>
      <c r="Y109" s="39">
        <f t="shared" si="221"/>
        <v>5.2207333148163472E-5</v>
      </c>
      <c r="Z109" s="39">
        <f t="shared" si="221"/>
        <v>5.2608537149017501E-5</v>
      </c>
      <c r="AA109" s="39">
        <f t="shared" si="221"/>
        <v>5.2994371492271232E-5</v>
      </c>
      <c r="AB109" s="39">
        <f t="shared" si="221"/>
        <v>5.3365702769370673E-5</v>
      </c>
      <c r="AC109" s="39">
        <f t="shared" si="221"/>
        <v>5.4264133922097737E-5</v>
      </c>
      <c r="AD109" s="39">
        <f t="shared" si="221"/>
        <v>5.5132889228558599E-5</v>
      </c>
      <c r="AE109" s="39">
        <f t="shared" si="221"/>
        <v>5.5973415123119996E-5</v>
      </c>
      <c r="AF109" s="39">
        <f t="shared" si="221"/>
        <v>5.6787065541839876E-5</v>
      </c>
      <c r="AG109" s="39">
        <f t="shared" si="221"/>
        <v>5.7575109200107727E-5</v>
      </c>
      <c r="AH109" s="39">
        <f t="shared" si="221"/>
        <v>5.813619166864361E-5</v>
      </c>
      <c r="AI109" s="39">
        <f t="shared" si="221"/>
        <v>5.868464444999195E-5</v>
      </c>
      <c r="AJ109" s="39">
        <f t="shared" si="221"/>
        <v>5.922088923014347E-5</v>
      </c>
      <c r="AK109" s="39">
        <f t="shared" si="221"/>
        <v>5.9745329129116002E-5</v>
      </c>
      <c r="AL109" s="39">
        <f t="shared" si="221"/>
        <v>6.0258349711607578E-5</v>
      </c>
      <c r="AM109" s="184">
        <f t="shared" si="176"/>
        <v>6.0258349711607578E-5</v>
      </c>
      <c r="AN109" s="184">
        <f t="shared" si="201"/>
        <v>6.0258349711607578E-5</v>
      </c>
      <c r="AO109" s="184">
        <f t="shared" si="201"/>
        <v>6.0258349711607578E-5</v>
      </c>
      <c r="AP109" s="184">
        <f t="shared" si="201"/>
        <v>6.0258349711607578E-5</v>
      </c>
      <c r="AQ109" s="184">
        <f t="shared" si="201"/>
        <v>6.0258349711607578E-5</v>
      </c>
      <c r="AR109" s="184">
        <f t="shared" si="201"/>
        <v>6.0258349711607578E-5</v>
      </c>
      <c r="AS109" s="184">
        <f t="shared" si="201"/>
        <v>6.0258349711607578E-5</v>
      </c>
      <c r="AT109" s="184">
        <f t="shared" si="201"/>
        <v>6.0258349711607578E-5</v>
      </c>
      <c r="AU109" s="184">
        <f t="shared" si="201"/>
        <v>6.0258349711607578E-5</v>
      </c>
      <c r="AV109" s="184">
        <f t="shared" si="201"/>
        <v>6.0258349711607578E-5</v>
      </c>
      <c r="AW109" s="184">
        <f t="shared" si="201"/>
        <v>6.0258349711607578E-5</v>
      </c>
      <c r="AX109" s="184">
        <f t="shared" si="201"/>
        <v>6.0258349711607578E-5</v>
      </c>
      <c r="AY109" s="184">
        <f t="shared" si="201"/>
        <v>6.0258349711607578E-5</v>
      </c>
      <c r="AZ109" s="184">
        <f t="shared" si="201"/>
        <v>6.0258349711607578E-5</v>
      </c>
      <c r="BA109" s="184">
        <f t="shared" si="201"/>
        <v>6.0258349711607578E-5</v>
      </c>
      <c r="BB109" s="184">
        <f t="shared" si="201"/>
        <v>6.0258349711607578E-5</v>
      </c>
      <c r="BC109" s="184">
        <f t="shared" si="201"/>
        <v>6.0258349711607578E-5</v>
      </c>
      <c r="BD109" s="184">
        <f t="shared" si="201"/>
        <v>6.0258349711607578E-5</v>
      </c>
      <c r="BE109" s="184">
        <f t="shared" si="201"/>
        <v>6.0258349711607578E-5</v>
      </c>
      <c r="BF109" s="184">
        <f t="shared" si="201"/>
        <v>6.0258349711607578E-5</v>
      </c>
    </row>
    <row r="110" spans="2:58">
      <c r="B110" t="s">
        <v>651</v>
      </c>
      <c r="C110" s="109">
        <v>0</v>
      </c>
      <c r="D110" s="182">
        <f t="shared" ref="D110:I110" si="222">C110+($J110-$C110)/(COLUMN($J110)-COLUMN($C110))</f>
        <v>0</v>
      </c>
      <c r="E110" s="182">
        <f t="shared" si="222"/>
        <v>0</v>
      </c>
      <c r="F110" s="182">
        <f t="shared" si="222"/>
        <v>0</v>
      </c>
      <c r="G110" s="182">
        <f t="shared" si="222"/>
        <v>0</v>
      </c>
      <c r="H110" s="182">
        <f t="shared" si="222"/>
        <v>0</v>
      </c>
      <c r="I110" s="182">
        <f t="shared" si="222"/>
        <v>0</v>
      </c>
      <c r="J110" s="109">
        <v>0</v>
      </c>
      <c r="K110" s="183">
        <f t="shared" si="213"/>
        <v>0</v>
      </c>
      <c r="L110" s="183">
        <f t="shared" si="213"/>
        <v>0</v>
      </c>
      <c r="M110" s="183">
        <f t="shared" si="213"/>
        <v>0</v>
      </c>
      <c r="N110" s="183">
        <f t="shared" si="213"/>
        <v>0</v>
      </c>
      <c r="O110" s="109">
        <v>0</v>
      </c>
      <c r="P110" s="183">
        <f t="shared" si="214"/>
        <v>0</v>
      </c>
      <c r="Q110" s="183">
        <f t="shared" si="214"/>
        <v>0</v>
      </c>
      <c r="R110" s="183">
        <f t="shared" si="214"/>
        <v>0</v>
      </c>
      <c r="S110" s="183">
        <f t="shared" si="214"/>
        <v>0</v>
      </c>
      <c r="T110" s="109">
        <v>0</v>
      </c>
      <c r="U110" s="195"/>
      <c r="V110" t="s">
        <v>651</v>
      </c>
      <c r="W110" s="39">
        <f t="shared" ref="W110:AL110" si="223">E110/SUM(E86:E118)</f>
        <v>0</v>
      </c>
      <c r="X110" s="39">
        <f t="shared" si="223"/>
        <v>0</v>
      </c>
      <c r="Y110" s="39">
        <f t="shared" si="223"/>
        <v>0</v>
      </c>
      <c r="Z110" s="39">
        <f t="shared" si="223"/>
        <v>0</v>
      </c>
      <c r="AA110" s="39">
        <f t="shared" si="223"/>
        <v>0</v>
      </c>
      <c r="AB110" s="39">
        <f t="shared" si="223"/>
        <v>0</v>
      </c>
      <c r="AC110" s="39">
        <f t="shared" si="223"/>
        <v>0</v>
      </c>
      <c r="AD110" s="39">
        <f t="shared" si="223"/>
        <v>0</v>
      </c>
      <c r="AE110" s="39">
        <f t="shared" si="223"/>
        <v>0</v>
      </c>
      <c r="AF110" s="39">
        <f t="shared" si="223"/>
        <v>0</v>
      </c>
      <c r="AG110" s="39">
        <f t="shared" si="223"/>
        <v>0</v>
      </c>
      <c r="AH110" s="39">
        <f t="shared" si="223"/>
        <v>0</v>
      </c>
      <c r="AI110" s="39">
        <f t="shared" si="223"/>
        <v>0</v>
      </c>
      <c r="AJ110" s="39">
        <f t="shared" si="223"/>
        <v>0</v>
      </c>
      <c r="AK110" s="39">
        <f t="shared" si="223"/>
        <v>0</v>
      </c>
      <c r="AL110" s="39">
        <f t="shared" si="223"/>
        <v>0</v>
      </c>
      <c r="AM110" s="184">
        <f t="shared" si="176"/>
        <v>0</v>
      </c>
      <c r="AN110" s="184">
        <f t="shared" si="201"/>
        <v>0</v>
      </c>
      <c r="AO110" s="184">
        <f t="shared" si="201"/>
        <v>0</v>
      </c>
      <c r="AP110" s="184">
        <f t="shared" si="201"/>
        <v>0</v>
      </c>
      <c r="AQ110" s="184">
        <f t="shared" si="201"/>
        <v>0</v>
      </c>
      <c r="AR110" s="184">
        <f t="shared" si="201"/>
        <v>0</v>
      </c>
      <c r="AS110" s="184">
        <f t="shared" si="201"/>
        <v>0</v>
      </c>
      <c r="AT110" s="184">
        <f t="shared" si="201"/>
        <v>0</v>
      </c>
      <c r="AU110" s="184">
        <f t="shared" si="201"/>
        <v>0</v>
      </c>
      <c r="AV110" s="184">
        <f t="shared" si="201"/>
        <v>0</v>
      </c>
      <c r="AW110" s="184">
        <f t="shared" si="201"/>
        <v>0</v>
      </c>
      <c r="AX110" s="184">
        <f t="shared" si="201"/>
        <v>0</v>
      </c>
      <c r="AY110" s="184">
        <f t="shared" si="201"/>
        <v>0</v>
      </c>
      <c r="AZ110" s="184">
        <f t="shared" si="201"/>
        <v>0</v>
      </c>
      <c r="BA110" s="184">
        <f t="shared" si="201"/>
        <v>0</v>
      </c>
      <c r="BB110" s="184">
        <f t="shared" si="201"/>
        <v>0</v>
      </c>
      <c r="BC110" s="184">
        <f t="shared" si="201"/>
        <v>0</v>
      </c>
      <c r="BD110" s="184">
        <f t="shared" si="201"/>
        <v>0</v>
      </c>
      <c r="BE110" s="184">
        <f t="shared" si="201"/>
        <v>0</v>
      </c>
      <c r="BF110" s="184">
        <f t="shared" si="201"/>
        <v>0</v>
      </c>
    </row>
    <row r="111" spans="2:58">
      <c r="B111" t="s">
        <v>652</v>
      </c>
      <c r="C111" s="109">
        <v>1441.8170235986609</v>
      </c>
      <c r="D111" s="182">
        <f t="shared" ref="D111:I111" si="224">C111+($J111-$C111)/(COLUMN($J111)-COLUMN($C111))</f>
        <v>1465.7859727413461</v>
      </c>
      <c r="E111" s="182">
        <f t="shared" si="224"/>
        <v>1489.7549218840313</v>
      </c>
      <c r="F111" s="182">
        <f t="shared" si="224"/>
        <v>1513.7238710267166</v>
      </c>
      <c r="G111" s="182">
        <f t="shared" si="224"/>
        <v>1537.6928201694018</v>
      </c>
      <c r="H111" s="182">
        <f t="shared" si="224"/>
        <v>1561.661769312087</v>
      </c>
      <c r="I111" s="182">
        <f t="shared" si="224"/>
        <v>1585.6307184547722</v>
      </c>
      <c r="J111" s="109">
        <v>1609.5996675974577</v>
      </c>
      <c r="K111" s="183">
        <f t="shared" si="213"/>
        <v>1634.5591256292314</v>
      </c>
      <c r="L111" s="183">
        <f t="shared" si="213"/>
        <v>1659.5185836610051</v>
      </c>
      <c r="M111" s="183">
        <f t="shared" si="213"/>
        <v>1684.4780416927788</v>
      </c>
      <c r="N111" s="183">
        <f t="shared" si="213"/>
        <v>1709.4374997245525</v>
      </c>
      <c r="O111" s="109">
        <v>1734.3969577563257</v>
      </c>
      <c r="P111" s="183">
        <f t="shared" si="214"/>
        <v>1752.6599407723907</v>
      </c>
      <c r="Q111" s="183">
        <f t="shared" si="214"/>
        <v>1770.9229237884556</v>
      </c>
      <c r="R111" s="183">
        <f t="shared" si="214"/>
        <v>1789.1859068045205</v>
      </c>
      <c r="S111" s="183">
        <f t="shared" si="214"/>
        <v>1807.4488898205855</v>
      </c>
      <c r="T111" s="109">
        <v>1825.7118728366509</v>
      </c>
      <c r="U111" s="195"/>
      <c r="V111" t="s">
        <v>652</v>
      </c>
      <c r="W111" s="39">
        <f t="shared" ref="W111:AL111" si="225">E111/SUM(E86:E118)</f>
        <v>4.6620002716778006E-2</v>
      </c>
      <c r="X111" s="39">
        <f t="shared" si="225"/>
        <v>4.6407416674413525E-2</v>
      </c>
      <c r="Y111" s="39">
        <f t="shared" si="225"/>
        <v>4.6203298967589575E-2</v>
      </c>
      <c r="Z111" s="39">
        <f t="shared" si="225"/>
        <v>4.600715347530264E-2</v>
      </c>
      <c r="AA111" s="39">
        <f t="shared" si="225"/>
        <v>4.5818522088183801E-2</v>
      </c>
      <c r="AB111" s="39">
        <f t="shared" si="225"/>
        <v>4.5636981136465568E-2</v>
      </c>
      <c r="AC111" s="39">
        <f t="shared" si="225"/>
        <v>4.5566404388425318E-2</v>
      </c>
      <c r="AD111" s="39">
        <f t="shared" si="225"/>
        <v>4.5498158842635195E-2</v>
      </c>
      <c r="AE111" s="39">
        <f t="shared" si="225"/>
        <v>4.5432130873656495E-2</v>
      </c>
      <c r="AF111" s="39">
        <f t="shared" si="225"/>
        <v>4.5368214122305503E-2</v>
      </c>
      <c r="AG111" s="39">
        <f t="shared" si="225"/>
        <v>4.53063089239545E-2</v>
      </c>
      <c r="AH111" s="39">
        <f t="shared" si="225"/>
        <v>4.5262232785352831E-2</v>
      </c>
      <c r="AI111" s="39">
        <f t="shared" si="225"/>
        <v>4.5219148778700001E-2</v>
      </c>
      <c r="AJ111" s="39">
        <f t="shared" si="225"/>
        <v>4.5177023778223586E-2</v>
      </c>
      <c r="AK111" s="39">
        <f t="shared" si="225"/>
        <v>4.5135826116611245E-2</v>
      </c>
      <c r="AL111" s="39">
        <f t="shared" si="225"/>
        <v>4.5095525505618329E-2</v>
      </c>
      <c r="AM111" s="184">
        <f t="shared" si="176"/>
        <v>4.5095525505618329E-2</v>
      </c>
      <c r="AN111" s="184">
        <f t="shared" si="201"/>
        <v>4.5095525505618329E-2</v>
      </c>
      <c r="AO111" s="184">
        <f t="shared" si="201"/>
        <v>4.5095525505618329E-2</v>
      </c>
      <c r="AP111" s="184">
        <f t="shared" si="201"/>
        <v>4.5095525505618329E-2</v>
      </c>
      <c r="AQ111" s="184">
        <f t="shared" si="201"/>
        <v>4.5095525505618329E-2</v>
      </c>
      <c r="AR111" s="184">
        <f t="shared" si="201"/>
        <v>4.5095525505618329E-2</v>
      </c>
      <c r="AS111" s="184">
        <f t="shared" si="201"/>
        <v>4.5095525505618329E-2</v>
      </c>
      <c r="AT111" s="184">
        <f t="shared" si="201"/>
        <v>4.5095525505618329E-2</v>
      </c>
      <c r="AU111" s="184">
        <f t="shared" si="201"/>
        <v>4.5095525505618329E-2</v>
      </c>
      <c r="AV111" s="184">
        <f t="shared" si="201"/>
        <v>4.5095525505618329E-2</v>
      </c>
      <c r="AW111" s="184">
        <f t="shared" si="201"/>
        <v>4.5095525505618329E-2</v>
      </c>
      <c r="AX111" s="184">
        <f t="shared" si="201"/>
        <v>4.5095525505618329E-2</v>
      </c>
      <c r="AY111" s="184">
        <f t="shared" si="201"/>
        <v>4.5095525505618329E-2</v>
      </c>
      <c r="AZ111" s="184">
        <f t="shared" si="201"/>
        <v>4.5095525505618329E-2</v>
      </c>
      <c r="BA111" s="184">
        <f t="shared" si="201"/>
        <v>4.5095525505618329E-2</v>
      </c>
      <c r="BB111" s="184">
        <f t="shared" si="201"/>
        <v>4.5095525505618329E-2</v>
      </c>
      <c r="BC111" s="184">
        <f t="shared" si="201"/>
        <v>4.5095525505618329E-2</v>
      </c>
      <c r="BD111" s="184">
        <f t="shared" si="201"/>
        <v>4.5095525505618329E-2</v>
      </c>
      <c r="BE111" s="184">
        <f t="shared" si="201"/>
        <v>4.5095525505618329E-2</v>
      </c>
      <c r="BF111" s="184">
        <f t="shared" si="201"/>
        <v>4.5095525505618329E-2</v>
      </c>
    </row>
    <row r="112" spans="2:58">
      <c r="B112" t="s">
        <v>653</v>
      </c>
      <c r="C112" s="109">
        <v>0</v>
      </c>
      <c r="D112" s="182">
        <f t="shared" ref="D112:I112" si="226">C112+($J112-$C112)/(COLUMN($J112)-COLUMN($C112))</f>
        <v>0</v>
      </c>
      <c r="E112" s="182">
        <f t="shared" si="226"/>
        <v>0</v>
      </c>
      <c r="F112" s="182">
        <f t="shared" si="226"/>
        <v>0</v>
      </c>
      <c r="G112" s="182">
        <f t="shared" si="226"/>
        <v>0</v>
      </c>
      <c r="H112" s="182">
        <f t="shared" si="226"/>
        <v>0</v>
      </c>
      <c r="I112" s="182">
        <f t="shared" si="226"/>
        <v>0</v>
      </c>
      <c r="J112" s="109">
        <v>0</v>
      </c>
      <c r="K112" s="183">
        <f t="shared" si="213"/>
        <v>0</v>
      </c>
      <c r="L112" s="183">
        <f t="shared" si="213"/>
        <v>0</v>
      </c>
      <c r="M112" s="183">
        <f t="shared" si="213"/>
        <v>0</v>
      </c>
      <c r="N112" s="183">
        <f t="shared" si="213"/>
        <v>0</v>
      </c>
      <c r="O112" s="109">
        <v>0</v>
      </c>
      <c r="P112" s="183">
        <f t="shared" si="214"/>
        <v>0</v>
      </c>
      <c r="Q112" s="183">
        <f t="shared" si="214"/>
        <v>0</v>
      </c>
      <c r="R112" s="183">
        <f t="shared" si="214"/>
        <v>0</v>
      </c>
      <c r="S112" s="183">
        <f t="shared" si="214"/>
        <v>0</v>
      </c>
      <c r="T112" s="109">
        <v>0</v>
      </c>
      <c r="U112" s="195"/>
      <c r="V112" t="s">
        <v>653</v>
      </c>
      <c r="W112" s="39">
        <f t="shared" ref="W112:AL112" si="227">E112/SUM(E86:E118)</f>
        <v>0</v>
      </c>
      <c r="X112" s="39">
        <f t="shared" si="227"/>
        <v>0</v>
      </c>
      <c r="Y112" s="39">
        <f t="shared" si="227"/>
        <v>0</v>
      </c>
      <c r="Z112" s="39">
        <f t="shared" si="227"/>
        <v>0</v>
      </c>
      <c r="AA112" s="39">
        <f t="shared" si="227"/>
        <v>0</v>
      </c>
      <c r="AB112" s="39">
        <f t="shared" si="227"/>
        <v>0</v>
      </c>
      <c r="AC112" s="39">
        <f t="shared" si="227"/>
        <v>0</v>
      </c>
      <c r="AD112" s="39">
        <f t="shared" si="227"/>
        <v>0</v>
      </c>
      <c r="AE112" s="39">
        <f t="shared" si="227"/>
        <v>0</v>
      </c>
      <c r="AF112" s="39">
        <f t="shared" si="227"/>
        <v>0</v>
      </c>
      <c r="AG112" s="39">
        <f t="shared" si="227"/>
        <v>0</v>
      </c>
      <c r="AH112" s="39">
        <f t="shared" si="227"/>
        <v>0</v>
      </c>
      <c r="AI112" s="39">
        <f t="shared" si="227"/>
        <v>0</v>
      </c>
      <c r="AJ112" s="39">
        <f t="shared" si="227"/>
        <v>0</v>
      </c>
      <c r="AK112" s="39">
        <f t="shared" si="227"/>
        <v>0</v>
      </c>
      <c r="AL112" s="39">
        <f t="shared" si="227"/>
        <v>0</v>
      </c>
      <c r="AM112" s="184">
        <f t="shared" si="176"/>
        <v>0</v>
      </c>
      <c r="AN112" s="184">
        <f t="shared" si="201"/>
        <v>0</v>
      </c>
      <c r="AO112" s="184">
        <f t="shared" si="201"/>
        <v>0</v>
      </c>
      <c r="AP112" s="184">
        <f t="shared" si="201"/>
        <v>0</v>
      </c>
      <c r="AQ112" s="184">
        <f t="shared" si="201"/>
        <v>0</v>
      </c>
      <c r="AR112" s="184">
        <f t="shared" si="201"/>
        <v>0</v>
      </c>
      <c r="AS112" s="184">
        <f t="shared" si="201"/>
        <v>0</v>
      </c>
      <c r="AT112" s="184">
        <f t="shared" si="201"/>
        <v>0</v>
      </c>
      <c r="AU112" s="184">
        <f t="shared" si="201"/>
        <v>0</v>
      </c>
      <c r="AV112" s="184">
        <f t="shared" si="201"/>
        <v>0</v>
      </c>
      <c r="AW112" s="184">
        <f t="shared" si="201"/>
        <v>0</v>
      </c>
      <c r="AX112" s="184">
        <f t="shared" si="201"/>
        <v>0</v>
      </c>
      <c r="AY112" s="184">
        <f t="shared" si="201"/>
        <v>0</v>
      </c>
      <c r="AZ112" s="184">
        <f t="shared" si="201"/>
        <v>0</v>
      </c>
      <c r="BA112" s="184">
        <f t="shared" si="201"/>
        <v>0</v>
      </c>
      <c r="BB112" s="184">
        <f t="shared" si="201"/>
        <v>0</v>
      </c>
      <c r="BC112" s="184">
        <f t="shared" si="201"/>
        <v>0</v>
      </c>
      <c r="BD112" s="184">
        <f t="shared" si="201"/>
        <v>0</v>
      </c>
      <c r="BE112" s="184">
        <f t="shared" si="201"/>
        <v>0</v>
      </c>
      <c r="BF112" s="184">
        <f t="shared" si="201"/>
        <v>0</v>
      </c>
    </row>
    <row r="113" spans="2:58">
      <c r="B113" t="s">
        <v>654</v>
      </c>
      <c r="C113" s="109">
        <v>241.15537637478488</v>
      </c>
      <c r="D113" s="182">
        <f t="shared" ref="D113:I113" si="228">C113+($J113-$C113)/(COLUMN($J113)-COLUMN($C113))</f>
        <v>241.15537637478488</v>
      </c>
      <c r="E113" s="182">
        <f t="shared" si="228"/>
        <v>241.15537637478488</v>
      </c>
      <c r="F113" s="182">
        <f t="shared" si="228"/>
        <v>241.15537637478488</v>
      </c>
      <c r="G113" s="182">
        <f t="shared" si="228"/>
        <v>241.15537637478488</v>
      </c>
      <c r="H113" s="182">
        <f t="shared" si="228"/>
        <v>241.15537637478488</v>
      </c>
      <c r="I113" s="182">
        <f t="shared" si="228"/>
        <v>241.15537637478488</v>
      </c>
      <c r="J113" s="109">
        <v>241.15537637478488</v>
      </c>
      <c r="K113" s="183">
        <f t="shared" si="213"/>
        <v>241.15537637478488</v>
      </c>
      <c r="L113" s="183">
        <f t="shared" si="213"/>
        <v>241.15537637478488</v>
      </c>
      <c r="M113" s="183">
        <f t="shared" si="213"/>
        <v>241.15537637478488</v>
      </c>
      <c r="N113" s="183">
        <f t="shared" si="213"/>
        <v>241.15537637478488</v>
      </c>
      <c r="O113" s="109">
        <v>241.15537637478488</v>
      </c>
      <c r="P113" s="183">
        <f t="shared" si="214"/>
        <v>241.15537637478488</v>
      </c>
      <c r="Q113" s="183">
        <f t="shared" si="214"/>
        <v>241.15537637478488</v>
      </c>
      <c r="R113" s="183">
        <f t="shared" si="214"/>
        <v>241.15537637478488</v>
      </c>
      <c r="S113" s="183">
        <f t="shared" si="214"/>
        <v>241.15537637478488</v>
      </c>
      <c r="T113" s="109">
        <v>241.15537637478488</v>
      </c>
      <c r="U113" s="195"/>
      <c r="V113" t="s">
        <v>654</v>
      </c>
      <c r="W113" s="39">
        <f t="shared" ref="W113:AL113" si="229">E113/SUM(E86:E118)</f>
        <v>7.5466535714075458E-3</v>
      </c>
      <c r="X113" s="39">
        <f t="shared" si="229"/>
        <v>7.3932889933940515E-3</v>
      </c>
      <c r="Y113" s="39">
        <f t="shared" si="229"/>
        <v>7.2460336720947182E-3</v>
      </c>
      <c r="Z113" s="39">
        <f t="shared" si="229"/>
        <v>7.1045296941324226E-3</v>
      </c>
      <c r="AA113" s="39">
        <f t="shared" si="229"/>
        <v>6.968446568618572E-3</v>
      </c>
      <c r="AB113" s="39">
        <f t="shared" si="229"/>
        <v>6.8374786502041493E-3</v>
      </c>
      <c r="AC113" s="39">
        <f t="shared" si="229"/>
        <v>6.7226588674828445E-3</v>
      </c>
      <c r="AD113" s="39">
        <f t="shared" si="229"/>
        <v>6.6116316672093058E-3</v>
      </c>
      <c r="AE113" s="39">
        <f t="shared" si="229"/>
        <v>6.5042121946184139E-3</v>
      </c>
      <c r="AF113" s="39">
        <f t="shared" si="229"/>
        <v>6.4002274162578872E-3</v>
      </c>
      <c r="AG113" s="39">
        <f t="shared" si="229"/>
        <v>6.299515189903575E-3</v>
      </c>
      <c r="AH113" s="39">
        <f t="shared" si="229"/>
        <v>6.2278086746848267E-3</v>
      </c>
      <c r="AI113" s="39">
        <f t="shared" si="229"/>
        <v>6.1577162374444614E-3</v>
      </c>
      <c r="AJ113" s="39">
        <f t="shared" si="229"/>
        <v>6.0891839865807899E-3</v>
      </c>
      <c r="AK113" s="39">
        <f t="shared" si="229"/>
        <v>6.022160403229268E-3</v>
      </c>
      <c r="AL113" s="39">
        <f t="shared" si="229"/>
        <v>5.956596212100717E-3</v>
      </c>
      <c r="AM113" s="184">
        <f t="shared" ref="AM113:BF113" si="230">AL113</f>
        <v>5.956596212100717E-3</v>
      </c>
      <c r="AN113" s="184">
        <f t="shared" si="230"/>
        <v>5.956596212100717E-3</v>
      </c>
      <c r="AO113" s="184">
        <f t="shared" si="230"/>
        <v>5.956596212100717E-3</v>
      </c>
      <c r="AP113" s="184">
        <f t="shared" si="230"/>
        <v>5.956596212100717E-3</v>
      </c>
      <c r="AQ113" s="184">
        <f t="shared" si="230"/>
        <v>5.956596212100717E-3</v>
      </c>
      <c r="AR113" s="184">
        <f t="shared" si="230"/>
        <v>5.956596212100717E-3</v>
      </c>
      <c r="AS113" s="184">
        <f t="shared" si="230"/>
        <v>5.956596212100717E-3</v>
      </c>
      <c r="AT113" s="184">
        <f t="shared" si="230"/>
        <v>5.956596212100717E-3</v>
      </c>
      <c r="AU113" s="184">
        <f t="shared" si="230"/>
        <v>5.956596212100717E-3</v>
      </c>
      <c r="AV113" s="184">
        <f t="shared" si="230"/>
        <v>5.956596212100717E-3</v>
      </c>
      <c r="AW113" s="184">
        <f t="shared" si="230"/>
        <v>5.956596212100717E-3</v>
      </c>
      <c r="AX113" s="184">
        <f t="shared" si="230"/>
        <v>5.956596212100717E-3</v>
      </c>
      <c r="AY113" s="184">
        <f t="shared" si="230"/>
        <v>5.956596212100717E-3</v>
      </c>
      <c r="AZ113" s="184">
        <f t="shared" si="230"/>
        <v>5.956596212100717E-3</v>
      </c>
      <c r="BA113" s="184">
        <f t="shared" si="230"/>
        <v>5.956596212100717E-3</v>
      </c>
      <c r="BB113" s="184">
        <f t="shared" si="230"/>
        <v>5.956596212100717E-3</v>
      </c>
      <c r="BC113" s="184">
        <f t="shared" si="230"/>
        <v>5.956596212100717E-3</v>
      </c>
      <c r="BD113" s="184">
        <f t="shared" si="230"/>
        <v>5.956596212100717E-3</v>
      </c>
      <c r="BE113" s="184">
        <f t="shared" si="230"/>
        <v>5.956596212100717E-3</v>
      </c>
      <c r="BF113" s="184">
        <f t="shared" si="230"/>
        <v>5.956596212100717E-3</v>
      </c>
    </row>
    <row r="114" spans="2:58">
      <c r="B114" t="s">
        <v>655</v>
      </c>
      <c r="C114" s="109">
        <v>2389.6060695485658</v>
      </c>
      <c r="D114" s="182">
        <f t="shared" ref="D114:I114" si="231">C114+($J114-$C114)/(COLUMN($J114)-COLUMN($C114))</f>
        <v>2404.6815193526863</v>
      </c>
      <c r="E114" s="182">
        <f t="shared" si="231"/>
        <v>2419.7569691568069</v>
      </c>
      <c r="F114" s="182">
        <f t="shared" si="231"/>
        <v>2434.8324189609275</v>
      </c>
      <c r="G114" s="182">
        <f t="shared" si="231"/>
        <v>2449.9078687650481</v>
      </c>
      <c r="H114" s="182">
        <f t="shared" si="231"/>
        <v>2464.9833185691687</v>
      </c>
      <c r="I114" s="182">
        <f t="shared" si="231"/>
        <v>2480.0587683732892</v>
      </c>
      <c r="J114" s="109">
        <v>2495.1342181774103</v>
      </c>
      <c r="K114" s="183">
        <f t="shared" si="213"/>
        <v>2515.2583029981788</v>
      </c>
      <c r="L114" s="183">
        <f t="shared" si="213"/>
        <v>2535.3823878189473</v>
      </c>
      <c r="M114" s="183">
        <f t="shared" si="213"/>
        <v>2555.5064726397159</v>
      </c>
      <c r="N114" s="183">
        <f t="shared" si="213"/>
        <v>2575.6305574604844</v>
      </c>
      <c r="O114" s="109">
        <v>2595.7546422812538</v>
      </c>
      <c r="P114" s="183">
        <f t="shared" si="214"/>
        <v>2610.4795541294075</v>
      </c>
      <c r="Q114" s="183">
        <f t="shared" si="214"/>
        <v>2625.2044659775611</v>
      </c>
      <c r="R114" s="183">
        <f t="shared" si="214"/>
        <v>2639.9293778257147</v>
      </c>
      <c r="S114" s="183">
        <f t="shared" si="214"/>
        <v>2654.6542896738683</v>
      </c>
      <c r="T114" s="109">
        <v>2669.3792015220215</v>
      </c>
      <c r="U114" s="195"/>
      <c r="V114" t="s">
        <v>655</v>
      </c>
      <c r="W114" s="39">
        <f t="shared" ref="W114:AL114" si="232">E114/SUM(E86:E118)</f>
        <v>7.5723244688708863E-2</v>
      </c>
      <c r="X114" s="39">
        <f t="shared" si="232"/>
        <v>7.464656187422683E-2</v>
      </c>
      <c r="Y114" s="39">
        <f t="shared" si="232"/>
        <v>7.3612768570468834E-2</v>
      </c>
      <c r="Z114" s="39">
        <f t="shared" si="232"/>
        <v>7.2619352077388913E-2</v>
      </c>
      <c r="AA114" s="39">
        <f t="shared" si="232"/>
        <v>7.1663992212160632E-2</v>
      </c>
      <c r="AB114" s="39">
        <f t="shared" si="232"/>
        <v>7.0744543217928835E-2</v>
      </c>
      <c r="AC114" s="39">
        <f t="shared" si="232"/>
        <v>7.0117547403884387E-2</v>
      </c>
      <c r="AD114" s="39">
        <f t="shared" si="232"/>
        <v>6.9511261725870577E-2</v>
      </c>
      <c r="AE114" s="39">
        <f t="shared" si="232"/>
        <v>6.8924676748394781E-2</v>
      </c>
      <c r="AF114" s="39">
        <f t="shared" si="232"/>
        <v>6.835684758854832E-2</v>
      </c>
      <c r="AG114" s="39">
        <f t="shared" si="232"/>
        <v>6.7806888837097637E-2</v>
      </c>
      <c r="AH114" s="39">
        <f t="shared" si="232"/>
        <v>6.7415321427577293E-2</v>
      </c>
      <c r="AI114" s="39">
        <f t="shared" si="232"/>
        <v>6.7032568005612081E-2</v>
      </c>
      <c r="AJ114" s="39">
        <f t="shared" si="232"/>
        <v>6.6658334285601806E-2</v>
      </c>
      <c r="AK114" s="39">
        <f t="shared" si="232"/>
        <v>6.6292338938740147E-2</v>
      </c>
      <c r="AL114" s="39">
        <f t="shared" si="232"/>
        <v>6.5934312887701602E-2</v>
      </c>
      <c r="AM114" s="184">
        <f t="shared" ref="AM114:BF114" si="233">AL114</f>
        <v>6.5934312887701602E-2</v>
      </c>
      <c r="AN114" s="184">
        <f t="shared" si="233"/>
        <v>6.5934312887701602E-2</v>
      </c>
      <c r="AO114" s="184">
        <f t="shared" si="233"/>
        <v>6.5934312887701602E-2</v>
      </c>
      <c r="AP114" s="184">
        <f t="shared" si="233"/>
        <v>6.5934312887701602E-2</v>
      </c>
      <c r="AQ114" s="184">
        <f t="shared" si="233"/>
        <v>6.5934312887701602E-2</v>
      </c>
      <c r="AR114" s="184">
        <f t="shared" si="233"/>
        <v>6.5934312887701602E-2</v>
      </c>
      <c r="AS114" s="184">
        <f t="shared" si="233"/>
        <v>6.5934312887701602E-2</v>
      </c>
      <c r="AT114" s="184">
        <f t="shared" si="233"/>
        <v>6.5934312887701602E-2</v>
      </c>
      <c r="AU114" s="184">
        <f t="shared" si="233"/>
        <v>6.5934312887701602E-2</v>
      </c>
      <c r="AV114" s="184">
        <f t="shared" si="233"/>
        <v>6.5934312887701602E-2</v>
      </c>
      <c r="AW114" s="184">
        <f t="shared" si="233"/>
        <v>6.5934312887701602E-2</v>
      </c>
      <c r="AX114" s="184">
        <f t="shared" si="233"/>
        <v>6.5934312887701602E-2</v>
      </c>
      <c r="AY114" s="184">
        <f t="shared" si="233"/>
        <v>6.5934312887701602E-2</v>
      </c>
      <c r="AZ114" s="184">
        <f t="shared" si="233"/>
        <v>6.5934312887701602E-2</v>
      </c>
      <c r="BA114" s="184">
        <f t="shared" si="233"/>
        <v>6.5934312887701602E-2</v>
      </c>
      <c r="BB114" s="184">
        <f t="shared" si="233"/>
        <v>6.5934312887701602E-2</v>
      </c>
      <c r="BC114" s="184">
        <f t="shared" si="233"/>
        <v>6.5934312887701602E-2</v>
      </c>
      <c r="BD114" s="184">
        <f t="shared" si="233"/>
        <v>6.5934312887701602E-2</v>
      </c>
      <c r="BE114" s="184">
        <f t="shared" si="233"/>
        <v>6.5934312887701602E-2</v>
      </c>
      <c r="BF114" s="184">
        <f t="shared" si="233"/>
        <v>6.5934312887701602E-2</v>
      </c>
    </row>
    <row r="115" spans="2:58">
      <c r="B115" t="s">
        <v>656</v>
      </c>
      <c r="C115" s="109">
        <v>0</v>
      </c>
      <c r="D115" s="182">
        <f t="shared" ref="D115:I115" si="234">C115+($J115-$C115)/(COLUMN($J115)-COLUMN($C115))</f>
        <v>0</v>
      </c>
      <c r="E115" s="182">
        <f t="shared" si="234"/>
        <v>0</v>
      </c>
      <c r="F115" s="182">
        <f t="shared" si="234"/>
        <v>0</v>
      </c>
      <c r="G115" s="182">
        <f t="shared" si="234"/>
        <v>0</v>
      </c>
      <c r="H115" s="182">
        <f t="shared" si="234"/>
        <v>0</v>
      </c>
      <c r="I115" s="182">
        <f t="shared" si="234"/>
        <v>0</v>
      </c>
      <c r="J115" s="109">
        <v>0</v>
      </c>
      <c r="K115" s="183">
        <f t="shared" si="213"/>
        <v>0</v>
      </c>
      <c r="L115" s="183">
        <f t="shared" si="213"/>
        <v>0</v>
      </c>
      <c r="M115" s="183">
        <f t="shared" si="213"/>
        <v>0</v>
      </c>
      <c r="N115" s="183">
        <f t="shared" si="213"/>
        <v>0</v>
      </c>
      <c r="O115" s="109">
        <v>0</v>
      </c>
      <c r="P115" s="183">
        <f t="shared" si="214"/>
        <v>0</v>
      </c>
      <c r="Q115" s="183">
        <f t="shared" si="214"/>
        <v>0</v>
      </c>
      <c r="R115" s="183">
        <f t="shared" si="214"/>
        <v>0</v>
      </c>
      <c r="S115" s="183">
        <f t="shared" si="214"/>
        <v>0</v>
      </c>
      <c r="T115" s="109">
        <v>0</v>
      </c>
      <c r="U115" s="195"/>
      <c r="V115" t="s">
        <v>656</v>
      </c>
      <c r="W115" s="39">
        <f t="shared" ref="W115:AL115" si="235">E115/SUM(E86:E118)</f>
        <v>0</v>
      </c>
      <c r="X115" s="39">
        <f t="shared" si="235"/>
        <v>0</v>
      </c>
      <c r="Y115" s="39">
        <f t="shared" si="235"/>
        <v>0</v>
      </c>
      <c r="Z115" s="39">
        <f t="shared" si="235"/>
        <v>0</v>
      </c>
      <c r="AA115" s="39">
        <f t="shared" si="235"/>
        <v>0</v>
      </c>
      <c r="AB115" s="39">
        <f t="shared" si="235"/>
        <v>0</v>
      </c>
      <c r="AC115" s="39">
        <f t="shared" si="235"/>
        <v>0</v>
      </c>
      <c r="AD115" s="39">
        <f t="shared" si="235"/>
        <v>0</v>
      </c>
      <c r="AE115" s="39">
        <f t="shared" si="235"/>
        <v>0</v>
      </c>
      <c r="AF115" s="39">
        <f t="shared" si="235"/>
        <v>0</v>
      </c>
      <c r="AG115" s="39">
        <f t="shared" si="235"/>
        <v>0</v>
      </c>
      <c r="AH115" s="39">
        <f t="shared" si="235"/>
        <v>0</v>
      </c>
      <c r="AI115" s="39">
        <f t="shared" si="235"/>
        <v>0</v>
      </c>
      <c r="AJ115" s="39">
        <f t="shared" si="235"/>
        <v>0</v>
      </c>
      <c r="AK115" s="39">
        <f t="shared" si="235"/>
        <v>0</v>
      </c>
      <c r="AL115" s="39">
        <f t="shared" si="235"/>
        <v>0</v>
      </c>
      <c r="AM115" s="184">
        <f t="shared" ref="AM115:BF115" si="236">AL115</f>
        <v>0</v>
      </c>
      <c r="AN115" s="184">
        <f t="shared" si="236"/>
        <v>0</v>
      </c>
      <c r="AO115" s="184">
        <f t="shared" si="236"/>
        <v>0</v>
      </c>
      <c r="AP115" s="184">
        <f t="shared" si="236"/>
        <v>0</v>
      </c>
      <c r="AQ115" s="184">
        <f t="shared" si="236"/>
        <v>0</v>
      </c>
      <c r="AR115" s="184">
        <f t="shared" si="236"/>
        <v>0</v>
      </c>
      <c r="AS115" s="184">
        <f t="shared" si="236"/>
        <v>0</v>
      </c>
      <c r="AT115" s="184">
        <f t="shared" si="236"/>
        <v>0</v>
      </c>
      <c r="AU115" s="184">
        <f t="shared" si="236"/>
        <v>0</v>
      </c>
      <c r="AV115" s="184">
        <f t="shared" si="236"/>
        <v>0</v>
      </c>
      <c r="AW115" s="184">
        <f t="shared" si="236"/>
        <v>0</v>
      </c>
      <c r="AX115" s="184">
        <f t="shared" si="236"/>
        <v>0</v>
      </c>
      <c r="AY115" s="184">
        <f t="shared" si="236"/>
        <v>0</v>
      </c>
      <c r="AZ115" s="184">
        <f t="shared" si="236"/>
        <v>0</v>
      </c>
      <c r="BA115" s="184">
        <f t="shared" si="236"/>
        <v>0</v>
      </c>
      <c r="BB115" s="184">
        <f t="shared" si="236"/>
        <v>0</v>
      </c>
      <c r="BC115" s="184">
        <f t="shared" si="236"/>
        <v>0</v>
      </c>
      <c r="BD115" s="184">
        <f t="shared" si="236"/>
        <v>0</v>
      </c>
      <c r="BE115" s="184">
        <f t="shared" si="236"/>
        <v>0</v>
      </c>
      <c r="BF115" s="184">
        <f t="shared" si="236"/>
        <v>0</v>
      </c>
    </row>
    <row r="116" spans="2:58">
      <c r="B116" t="s">
        <v>657</v>
      </c>
      <c r="C116" s="109">
        <v>6136.7644374517413</v>
      </c>
      <c r="D116" s="182">
        <f t="shared" ref="D116:I116" si="237">C116+($J116-$C116)/(COLUMN($J116)-COLUMN($C116))</f>
        <v>6201.9012346208992</v>
      </c>
      <c r="E116" s="182">
        <f t="shared" si="237"/>
        <v>6267.0380317900572</v>
      </c>
      <c r="F116" s="182">
        <f t="shared" si="237"/>
        <v>6332.1748289592151</v>
      </c>
      <c r="G116" s="182">
        <f t="shared" si="237"/>
        <v>6397.3116261283731</v>
      </c>
      <c r="H116" s="182">
        <f t="shared" si="237"/>
        <v>6462.448423297531</v>
      </c>
      <c r="I116" s="182">
        <f t="shared" si="237"/>
        <v>6527.585220466689</v>
      </c>
      <c r="J116" s="109">
        <v>6592.722017635846</v>
      </c>
      <c r="K116" s="183">
        <f t="shared" si="213"/>
        <v>6678.2430038664925</v>
      </c>
      <c r="L116" s="183">
        <f t="shared" si="213"/>
        <v>6763.763990097139</v>
      </c>
      <c r="M116" s="183">
        <f t="shared" si="213"/>
        <v>6849.2849763277854</v>
      </c>
      <c r="N116" s="183">
        <f t="shared" si="213"/>
        <v>6934.8059625584319</v>
      </c>
      <c r="O116" s="109">
        <v>7020.3269487890775</v>
      </c>
      <c r="P116" s="183">
        <f t="shared" si="214"/>
        <v>7082.9031600617409</v>
      </c>
      <c r="Q116" s="183">
        <f t="shared" si="214"/>
        <v>7145.4793713344043</v>
      </c>
      <c r="R116" s="183">
        <f t="shared" si="214"/>
        <v>7208.0555826070677</v>
      </c>
      <c r="S116" s="183">
        <f t="shared" si="214"/>
        <v>7270.631793879731</v>
      </c>
      <c r="T116" s="109">
        <v>7333.2080051523935</v>
      </c>
      <c r="U116" s="195"/>
      <c r="V116" t="s">
        <v>657</v>
      </c>
      <c r="W116" s="39">
        <f t="shared" ref="W116:AL116" si="238">E116/SUM(E86:E118)</f>
        <v>0.1961190567497566</v>
      </c>
      <c r="X116" s="39">
        <f t="shared" si="238"/>
        <v>0.19413043644705594</v>
      </c>
      <c r="Y116" s="39">
        <f t="shared" si="238"/>
        <v>0.19222103255855955</v>
      </c>
      <c r="Z116" s="39">
        <f t="shared" si="238"/>
        <v>0.19038620415728444</v>
      </c>
      <c r="AA116" s="39">
        <f t="shared" si="238"/>
        <v>0.18862166589325322</v>
      </c>
      <c r="AB116" s="39">
        <f t="shared" si="238"/>
        <v>0.18692345457917486</v>
      </c>
      <c r="AC116" s="39">
        <f t="shared" si="238"/>
        <v>0.18616856163047008</v>
      </c>
      <c r="AD116" s="39">
        <f t="shared" si="238"/>
        <v>0.18543860335486209</v>
      </c>
      <c r="AE116" s="39">
        <f t="shared" si="238"/>
        <v>0.18473236440813567</v>
      </c>
      <c r="AF116" s="39">
        <f t="shared" si="238"/>
        <v>0.18404870716635596</v>
      </c>
      <c r="AG116" s="39">
        <f t="shared" si="238"/>
        <v>0.1833865656109433</v>
      </c>
      <c r="AH116" s="39">
        <f t="shared" si="238"/>
        <v>0.18291512470213916</v>
      </c>
      <c r="AI116" s="39">
        <f t="shared" si="238"/>
        <v>0.18245429569361618</v>
      </c>
      <c r="AJ116" s="39">
        <f t="shared" si="238"/>
        <v>0.18200372427021067</v>
      </c>
      <c r="AK116" s="39">
        <f t="shared" si="238"/>
        <v>0.18156307171653185</v>
      </c>
      <c r="AL116" s="39">
        <f t="shared" si="238"/>
        <v>0.18113201406777621</v>
      </c>
      <c r="AM116" s="184">
        <f t="shared" ref="AM116:BF116" si="239">AL116</f>
        <v>0.18113201406777621</v>
      </c>
      <c r="AN116" s="184">
        <f t="shared" si="239"/>
        <v>0.18113201406777621</v>
      </c>
      <c r="AO116" s="184">
        <f t="shared" si="239"/>
        <v>0.18113201406777621</v>
      </c>
      <c r="AP116" s="184">
        <f t="shared" si="239"/>
        <v>0.18113201406777621</v>
      </c>
      <c r="AQ116" s="184">
        <f t="shared" si="239"/>
        <v>0.18113201406777621</v>
      </c>
      <c r="AR116" s="184">
        <f t="shared" si="239"/>
        <v>0.18113201406777621</v>
      </c>
      <c r="AS116" s="184">
        <f t="shared" si="239"/>
        <v>0.18113201406777621</v>
      </c>
      <c r="AT116" s="184">
        <f t="shared" si="239"/>
        <v>0.18113201406777621</v>
      </c>
      <c r="AU116" s="184">
        <f t="shared" si="239"/>
        <v>0.18113201406777621</v>
      </c>
      <c r="AV116" s="184">
        <f t="shared" si="239"/>
        <v>0.18113201406777621</v>
      </c>
      <c r="AW116" s="184">
        <f t="shared" si="239"/>
        <v>0.18113201406777621</v>
      </c>
      <c r="AX116" s="184">
        <f t="shared" si="239"/>
        <v>0.18113201406777621</v>
      </c>
      <c r="AY116" s="184">
        <f t="shared" si="239"/>
        <v>0.18113201406777621</v>
      </c>
      <c r="AZ116" s="184">
        <f t="shared" si="239"/>
        <v>0.18113201406777621</v>
      </c>
      <c r="BA116" s="184">
        <f t="shared" si="239"/>
        <v>0.18113201406777621</v>
      </c>
      <c r="BB116" s="184">
        <f t="shared" si="239"/>
        <v>0.18113201406777621</v>
      </c>
      <c r="BC116" s="184">
        <f t="shared" si="239"/>
        <v>0.18113201406777621</v>
      </c>
      <c r="BD116" s="184">
        <f t="shared" si="239"/>
        <v>0.18113201406777621</v>
      </c>
      <c r="BE116" s="184">
        <f t="shared" si="239"/>
        <v>0.18113201406777621</v>
      </c>
      <c r="BF116" s="184">
        <f t="shared" si="239"/>
        <v>0.18113201406777621</v>
      </c>
    </row>
    <row r="117" spans="2:58">
      <c r="B117" t="s">
        <v>658</v>
      </c>
      <c r="C117" s="109">
        <v>0</v>
      </c>
      <c r="D117" s="182">
        <f t="shared" ref="D117:I117" si="240">C117+($J117-$C117)/(COLUMN($J117)-COLUMN($C117))</f>
        <v>0</v>
      </c>
      <c r="E117" s="182">
        <f t="shared" si="240"/>
        <v>0</v>
      </c>
      <c r="F117" s="182">
        <f t="shared" si="240"/>
        <v>0</v>
      </c>
      <c r="G117" s="182">
        <f t="shared" si="240"/>
        <v>0</v>
      </c>
      <c r="H117" s="182">
        <f t="shared" si="240"/>
        <v>0</v>
      </c>
      <c r="I117" s="182">
        <f t="shared" si="240"/>
        <v>0</v>
      </c>
      <c r="J117" s="109">
        <v>0</v>
      </c>
      <c r="K117" s="183">
        <f t="shared" si="213"/>
        <v>0</v>
      </c>
      <c r="L117" s="183">
        <f t="shared" si="213"/>
        <v>0</v>
      </c>
      <c r="M117" s="183">
        <f t="shared" si="213"/>
        <v>0</v>
      </c>
      <c r="N117" s="183">
        <f t="shared" si="213"/>
        <v>0</v>
      </c>
      <c r="O117" s="109">
        <v>0</v>
      </c>
      <c r="P117" s="183">
        <f t="shared" si="214"/>
        <v>0</v>
      </c>
      <c r="Q117" s="183">
        <f t="shared" si="214"/>
        <v>0</v>
      </c>
      <c r="R117" s="183">
        <f t="shared" si="214"/>
        <v>0</v>
      </c>
      <c r="S117" s="183">
        <f t="shared" si="214"/>
        <v>0</v>
      </c>
      <c r="T117" s="109">
        <v>0</v>
      </c>
      <c r="U117" s="195"/>
      <c r="V117" t="s">
        <v>658</v>
      </c>
      <c r="W117" s="39">
        <f t="shared" ref="W117:AL117" si="241">E117/SUM(E86:E118)</f>
        <v>0</v>
      </c>
      <c r="X117" s="39">
        <f t="shared" si="241"/>
        <v>0</v>
      </c>
      <c r="Y117" s="39">
        <f t="shared" si="241"/>
        <v>0</v>
      </c>
      <c r="Z117" s="39">
        <f t="shared" si="241"/>
        <v>0</v>
      </c>
      <c r="AA117" s="39">
        <f t="shared" si="241"/>
        <v>0</v>
      </c>
      <c r="AB117" s="39">
        <f t="shared" si="241"/>
        <v>0</v>
      </c>
      <c r="AC117" s="39">
        <f t="shared" si="241"/>
        <v>0</v>
      </c>
      <c r="AD117" s="39">
        <f t="shared" si="241"/>
        <v>0</v>
      </c>
      <c r="AE117" s="39">
        <f t="shared" si="241"/>
        <v>0</v>
      </c>
      <c r="AF117" s="39">
        <f t="shared" si="241"/>
        <v>0</v>
      </c>
      <c r="AG117" s="39">
        <f t="shared" si="241"/>
        <v>0</v>
      </c>
      <c r="AH117" s="39">
        <f t="shared" si="241"/>
        <v>0</v>
      </c>
      <c r="AI117" s="39">
        <f t="shared" si="241"/>
        <v>0</v>
      </c>
      <c r="AJ117" s="39">
        <f t="shared" si="241"/>
        <v>0</v>
      </c>
      <c r="AK117" s="39">
        <f t="shared" si="241"/>
        <v>0</v>
      </c>
      <c r="AL117" s="39">
        <f t="shared" si="241"/>
        <v>0</v>
      </c>
      <c r="AM117" s="184">
        <f t="shared" ref="AM117:BF117" si="242">AL117</f>
        <v>0</v>
      </c>
      <c r="AN117" s="184">
        <f t="shared" si="242"/>
        <v>0</v>
      </c>
      <c r="AO117" s="184">
        <f t="shared" si="242"/>
        <v>0</v>
      </c>
      <c r="AP117" s="184">
        <f t="shared" si="242"/>
        <v>0</v>
      </c>
      <c r="AQ117" s="184">
        <f t="shared" si="242"/>
        <v>0</v>
      </c>
      <c r="AR117" s="184">
        <f t="shared" si="242"/>
        <v>0</v>
      </c>
      <c r="AS117" s="184">
        <f t="shared" si="242"/>
        <v>0</v>
      </c>
      <c r="AT117" s="184">
        <f t="shared" si="242"/>
        <v>0</v>
      </c>
      <c r="AU117" s="184">
        <f t="shared" si="242"/>
        <v>0</v>
      </c>
      <c r="AV117" s="184">
        <f t="shared" si="242"/>
        <v>0</v>
      </c>
      <c r="AW117" s="184">
        <f t="shared" si="242"/>
        <v>0</v>
      </c>
      <c r="AX117" s="184">
        <f t="shared" si="242"/>
        <v>0</v>
      </c>
      <c r="AY117" s="184">
        <f t="shared" si="242"/>
        <v>0</v>
      </c>
      <c r="AZ117" s="184">
        <f t="shared" si="242"/>
        <v>0</v>
      </c>
      <c r="BA117" s="184">
        <f t="shared" si="242"/>
        <v>0</v>
      </c>
      <c r="BB117" s="184">
        <f t="shared" si="242"/>
        <v>0</v>
      </c>
      <c r="BC117" s="184">
        <f t="shared" si="242"/>
        <v>0</v>
      </c>
      <c r="BD117" s="184">
        <f t="shared" si="242"/>
        <v>0</v>
      </c>
      <c r="BE117" s="184">
        <f t="shared" si="242"/>
        <v>0</v>
      </c>
      <c r="BF117" s="184">
        <f t="shared" si="242"/>
        <v>0</v>
      </c>
    </row>
    <row r="118" spans="2:58">
      <c r="B118" t="s">
        <v>659</v>
      </c>
      <c r="C118" s="109">
        <v>107.82957835256624</v>
      </c>
      <c r="D118" s="182">
        <f t="shared" ref="D118:I118" si="243">C118+($J118-$C118)/(COLUMN($J118)-COLUMN($C118))</f>
        <v>109.90731549507736</v>
      </c>
      <c r="E118" s="182">
        <f t="shared" si="243"/>
        <v>111.98505263758847</v>
      </c>
      <c r="F118" s="182">
        <f t="shared" si="243"/>
        <v>114.06278978009958</v>
      </c>
      <c r="G118" s="182">
        <f t="shared" si="243"/>
        <v>116.14052692261069</v>
      </c>
      <c r="H118" s="182">
        <f t="shared" si="243"/>
        <v>118.2182640651218</v>
      </c>
      <c r="I118" s="182">
        <f t="shared" si="243"/>
        <v>120.29600120763291</v>
      </c>
      <c r="J118" s="109">
        <v>122.37373835014407</v>
      </c>
      <c r="K118" s="183">
        <f t="shared" si="213"/>
        <v>125.14729131436319</v>
      </c>
      <c r="L118" s="183">
        <f t="shared" si="213"/>
        <v>127.92084427858231</v>
      </c>
      <c r="M118" s="183">
        <f t="shared" si="213"/>
        <v>130.69439724280141</v>
      </c>
      <c r="N118" s="183">
        <f t="shared" si="213"/>
        <v>133.46795020702052</v>
      </c>
      <c r="O118" s="109">
        <v>136.24150317123966</v>
      </c>
      <c r="P118" s="183">
        <f t="shared" si="214"/>
        <v>138.27092827394856</v>
      </c>
      <c r="Q118" s="183">
        <f t="shared" si="214"/>
        <v>140.30035337665745</v>
      </c>
      <c r="R118" s="183">
        <f t="shared" si="214"/>
        <v>142.32977847936635</v>
      </c>
      <c r="S118" s="183">
        <f t="shared" si="214"/>
        <v>144.35920358207525</v>
      </c>
      <c r="T118" s="109">
        <v>146.38862868478418</v>
      </c>
      <c r="U118" s="195"/>
      <c r="V118" t="s">
        <v>659</v>
      </c>
      <c r="W118" s="39">
        <f t="shared" ref="W118:AL118" si="244">E118/SUM(E86:E118)</f>
        <v>3.5044310856180588E-3</v>
      </c>
      <c r="X118" s="39">
        <f t="shared" si="244"/>
        <v>3.4969121605916012E-3</v>
      </c>
      <c r="Y118" s="39">
        <f t="shared" si="244"/>
        <v>3.4896927509017097E-3</v>
      </c>
      <c r="Z118" s="39">
        <f t="shared" si="244"/>
        <v>3.4827553093162715E-3</v>
      </c>
      <c r="AA118" s="39">
        <f t="shared" si="244"/>
        <v>3.4760836330311852E-3</v>
      </c>
      <c r="AB118" s="39">
        <f t="shared" si="244"/>
        <v>3.4696627373316433E-3</v>
      </c>
      <c r="AC118" s="39">
        <f t="shared" si="244"/>
        <v>3.4887156999910489E-3</v>
      </c>
      <c r="AD118" s="39">
        <f t="shared" si="244"/>
        <v>3.5071393291850246E-3</v>
      </c>
      <c r="AE118" s="39">
        <f t="shared" si="244"/>
        <v>3.5249642993396457E-3</v>
      </c>
      <c r="AF118" s="39">
        <f t="shared" si="244"/>
        <v>3.542219323276231E-3</v>
      </c>
      <c r="AG118" s="39">
        <f t="shared" si="244"/>
        <v>3.5589313065477199E-3</v>
      </c>
      <c r="AH118" s="39">
        <f t="shared" si="244"/>
        <v>3.570830140742652E-3</v>
      </c>
      <c r="AI118" s="39">
        <f t="shared" si="244"/>
        <v>3.5824611381003887E-3</v>
      </c>
      <c r="AJ118" s="39">
        <f t="shared" si="244"/>
        <v>3.5938332412843838E-3</v>
      </c>
      <c r="AK118" s="39">
        <f t="shared" si="244"/>
        <v>3.6049549992308847E-3</v>
      </c>
      <c r="AL118" s="39">
        <f t="shared" si="244"/>
        <v>3.6158345885817767E-3</v>
      </c>
      <c r="AM118" s="184">
        <f t="shared" ref="AM118:BF120" si="245">AL118</f>
        <v>3.6158345885817767E-3</v>
      </c>
      <c r="AN118" s="184">
        <f t="shared" si="245"/>
        <v>3.6158345885817767E-3</v>
      </c>
      <c r="AO118" s="184">
        <f t="shared" si="245"/>
        <v>3.6158345885817767E-3</v>
      </c>
      <c r="AP118" s="184">
        <f t="shared" si="245"/>
        <v>3.6158345885817767E-3</v>
      </c>
      <c r="AQ118" s="184">
        <f t="shared" si="245"/>
        <v>3.6158345885817767E-3</v>
      </c>
      <c r="AR118" s="184">
        <f t="shared" si="245"/>
        <v>3.6158345885817767E-3</v>
      </c>
      <c r="AS118" s="184">
        <f t="shared" si="245"/>
        <v>3.6158345885817767E-3</v>
      </c>
      <c r="AT118" s="184">
        <f t="shared" si="245"/>
        <v>3.6158345885817767E-3</v>
      </c>
      <c r="AU118" s="184">
        <f t="shared" si="245"/>
        <v>3.6158345885817767E-3</v>
      </c>
      <c r="AV118" s="184">
        <f t="shared" si="245"/>
        <v>3.6158345885817767E-3</v>
      </c>
      <c r="AW118" s="184">
        <f t="shared" si="245"/>
        <v>3.6158345885817767E-3</v>
      </c>
      <c r="AX118" s="184">
        <f t="shared" si="245"/>
        <v>3.6158345885817767E-3</v>
      </c>
      <c r="AY118" s="184">
        <f t="shared" si="245"/>
        <v>3.6158345885817767E-3</v>
      </c>
      <c r="AZ118" s="184">
        <f t="shared" si="245"/>
        <v>3.6158345885817767E-3</v>
      </c>
      <c r="BA118" s="184">
        <f t="shared" si="245"/>
        <v>3.6158345885817767E-3</v>
      </c>
      <c r="BB118" s="184">
        <f t="shared" si="245"/>
        <v>3.6158345885817767E-3</v>
      </c>
      <c r="BC118" s="184">
        <f t="shared" si="245"/>
        <v>3.6158345885817767E-3</v>
      </c>
      <c r="BD118" s="184">
        <f t="shared" si="245"/>
        <v>3.6158345885817767E-3</v>
      </c>
      <c r="BE118" s="184">
        <f t="shared" si="245"/>
        <v>3.6158345885817767E-3</v>
      </c>
      <c r="BF118" s="184">
        <f t="shared" si="245"/>
        <v>3.6158345885817767E-3</v>
      </c>
    </row>
    <row r="119" spans="2:58">
      <c r="B119" t="s">
        <v>660</v>
      </c>
      <c r="C119" s="109">
        <f>SUM(C91,C92,C93,C97,C98,C99,C105,C106,C108,C109,C114,C116)</f>
        <v>17591.900697844925</v>
      </c>
      <c r="D119" s="182">
        <f t="shared" ref="D119:T119" si="246">SUM(D91,D92,D93,D97,D98,D99,D105,D106,D108,D109,D114,D116)</f>
        <v>17953.529963563386</v>
      </c>
      <c r="E119" s="182">
        <f t="shared" si="246"/>
        <v>18315.159229281842</v>
      </c>
      <c r="F119" s="182">
        <f t="shared" si="246"/>
        <v>18676.788495000303</v>
      </c>
      <c r="G119" s="182">
        <f t="shared" si="246"/>
        <v>19038.417760718759</v>
      </c>
      <c r="H119" s="182">
        <f t="shared" si="246"/>
        <v>19400.04702643722</v>
      </c>
      <c r="I119" s="182">
        <f t="shared" si="246"/>
        <v>19761.676292155676</v>
      </c>
      <c r="J119" s="109">
        <f t="shared" si="246"/>
        <v>20123.305557874137</v>
      </c>
      <c r="K119" s="183">
        <f t="shared" si="246"/>
        <v>20349.311303473562</v>
      </c>
      <c r="L119" s="183">
        <f t="shared" si="246"/>
        <v>20575.317049072983</v>
      </c>
      <c r="M119" s="183">
        <f t="shared" si="246"/>
        <v>20801.322794672407</v>
      </c>
      <c r="N119" s="183">
        <f t="shared" si="246"/>
        <v>21027.328540271832</v>
      </c>
      <c r="O119" s="109">
        <f t="shared" si="246"/>
        <v>21253.334285871257</v>
      </c>
      <c r="P119" s="183">
        <f t="shared" si="246"/>
        <v>21418.704026198193</v>
      </c>
      <c r="Q119" s="183">
        <f t="shared" si="246"/>
        <v>21584.073766525122</v>
      </c>
      <c r="R119" s="183">
        <f t="shared" si="246"/>
        <v>21749.443506852058</v>
      </c>
      <c r="S119" s="183">
        <f t="shared" si="246"/>
        <v>21914.813247178994</v>
      </c>
      <c r="T119" s="109">
        <f t="shared" si="246"/>
        <v>22080.182987505927</v>
      </c>
      <c r="U119" s="195"/>
      <c r="V119" t="s">
        <v>660</v>
      </c>
      <c r="W119" s="193">
        <f>E119/SUM(E$86:E$118)</f>
        <v>0.57314982517225654</v>
      </c>
      <c r="X119" s="172">
        <f t="shared" ref="X119:AL120" si="247">F119/SUM(F$86:F$118)</f>
        <v>0.57258891295642</v>
      </c>
      <c r="Y119" s="172">
        <f t="shared" si="247"/>
        <v>0.57205034460097803</v>
      </c>
      <c r="Z119" s="172">
        <f t="shared" si="247"/>
        <v>0.57153281108146137</v>
      </c>
      <c r="AA119" s="172">
        <f t="shared" si="247"/>
        <v>0.57103510366780241</v>
      </c>
      <c r="AB119" s="172">
        <f t="shared" si="247"/>
        <v>0.57055610449946226</v>
      </c>
      <c r="AC119" s="172">
        <f t="shared" si="247"/>
        <v>0.56727525688193337</v>
      </c>
      <c r="AD119" s="172">
        <f t="shared" si="247"/>
        <v>0.56410277809069143</v>
      </c>
      <c r="AE119" s="172">
        <f t="shared" si="247"/>
        <v>0.56103338610637243</v>
      </c>
      <c r="AF119" s="172">
        <f t="shared" si="247"/>
        <v>0.55806213669048155</v>
      </c>
      <c r="AG119" s="172">
        <f t="shared" si="247"/>
        <v>0.55518439680925757</v>
      </c>
      <c r="AH119" s="172">
        <f t="shared" si="247"/>
        <v>0.55313546287086346</v>
      </c>
      <c r="AI119" s="172">
        <f t="shared" si="247"/>
        <v>0.55113264941592921</v>
      </c>
      <c r="AJ119" s="172">
        <f t="shared" si="247"/>
        <v>0.54917441655186161</v>
      </c>
      <c r="AK119" s="172">
        <f t="shared" si="247"/>
        <v>0.54725929218439251</v>
      </c>
      <c r="AL119" s="172">
        <f t="shared" si="247"/>
        <v>0.54538586832692515</v>
      </c>
      <c r="AM119" s="184">
        <f>AL119</f>
        <v>0.54538586832692515</v>
      </c>
      <c r="AN119" s="184">
        <f t="shared" si="245"/>
        <v>0.54538586832692515</v>
      </c>
      <c r="AO119" s="184">
        <f t="shared" si="245"/>
        <v>0.54538586832692515</v>
      </c>
      <c r="AP119" s="184">
        <f t="shared" si="245"/>
        <v>0.54538586832692515</v>
      </c>
      <c r="AQ119" s="184">
        <f t="shared" si="245"/>
        <v>0.54538586832692515</v>
      </c>
      <c r="AR119" s="184">
        <f t="shared" si="245"/>
        <v>0.54538586832692515</v>
      </c>
      <c r="AS119" s="184">
        <f t="shared" si="245"/>
        <v>0.54538586832692515</v>
      </c>
      <c r="AT119" s="184">
        <f t="shared" si="245"/>
        <v>0.54538586832692515</v>
      </c>
      <c r="AU119" s="184">
        <f t="shared" si="245"/>
        <v>0.54538586832692515</v>
      </c>
      <c r="AV119" s="184">
        <f t="shared" si="245"/>
        <v>0.54538586832692515</v>
      </c>
      <c r="AW119" s="184">
        <f t="shared" si="245"/>
        <v>0.54538586832692515</v>
      </c>
      <c r="AX119" s="184">
        <f t="shared" si="245"/>
        <v>0.54538586832692515</v>
      </c>
      <c r="AY119" s="184">
        <f t="shared" si="245"/>
        <v>0.54538586832692515</v>
      </c>
      <c r="AZ119" s="184">
        <f t="shared" si="245"/>
        <v>0.54538586832692515</v>
      </c>
      <c r="BA119" s="184">
        <f t="shared" si="245"/>
        <v>0.54538586832692515</v>
      </c>
      <c r="BB119" s="184">
        <f t="shared" si="245"/>
        <v>0.54538586832692515</v>
      </c>
      <c r="BC119" s="184">
        <f t="shared" si="245"/>
        <v>0.54538586832692515</v>
      </c>
      <c r="BD119" s="184">
        <f t="shared" si="245"/>
        <v>0.54538586832692515</v>
      </c>
      <c r="BE119" s="184">
        <f t="shared" si="245"/>
        <v>0.54538586832692515</v>
      </c>
      <c r="BF119" s="184">
        <f t="shared" si="245"/>
        <v>0.54538586832692515</v>
      </c>
    </row>
    <row r="120" spans="2:58">
      <c r="B120" t="s">
        <v>661</v>
      </c>
      <c r="C120" s="109">
        <f>SUM(C86,C87,C88,C89,C94,C95,C96,C100,C101,C102,C103,C104,C107,C110,C111,C112,C113,C115,C117,C118,C90)</f>
        <v>13037.627733034118</v>
      </c>
      <c r="D120" s="182">
        <f t="shared" ref="D120:T120" si="248">SUM(D86,D87,D88,D89,D94,D95,D96,D100,D101,D102,D103,D104,D107,D110,D111,D112,D113,D115,D117,D118,D90)</f>
        <v>13338.870835623969</v>
      </c>
      <c r="E120" s="182">
        <f t="shared" si="248"/>
        <v>13640.113938213826</v>
      </c>
      <c r="F120" s="182">
        <f t="shared" si="248"/>
        <v>13941.357040803681</v>
      </c>
      <c r="G120" s="182">
        <f t="shared" si="248"/>
        <v>14242.600143393538</v>
      </c>
      <c r="H120" s="182">
        <f t="shared" si="248"/>
        <v>14543.843245983395</v>
      </c>
      <c r="I120" s="182">
        <f t="shared" si="248"/>
        <v>14845.086348573246</v>
      </c>
      <c r="J120" s="109">
        <f t="shared" si="248"/>
        <v>15146.329451163101</v>
      </c>
      <c r="K120" s="183">
        <f t="shared" si="248"/>
        <v>15522.712121847193</v>
      </c>
      <c r="L120" s="183">
        <f t="shared" si="248"/>
        <v>15899.094792531288</v>
      </c>
      <c r="M120" s="183">
        <f t="shared" si="248"/>
        <v>16275.477463215384</v>
      </c>
      <c r="N120" s="183">
        <f t="shared" si="248"/>
        <v>16651.860133899478</v>
      </c>
      <c r="O120" s="109">
        <f t="shared" si="248"/>
        <v>17028.24280458357</v>
      </c>
      <c r="P120" s="183">
        <f t="shared" si="248"/>
        <v>17303.644230107089</v>
      </c>
      <c r="Q120" s="183">
        <f t="shared" si="248"/>
        <v>17579.045655630605</v>
      </c>
      <c r="R120" s="183">
        <f t="shared" si="248"/>
        <v>17854.447081154121</v>
      </c>
      <c r="S120" s="183">
        <f t="shared" si="248"/>
        <v>18129.848506677641</v>
      </c>
      <c r="T120" s="109">
        <f t="shared" si="248"/>
        <v>18405.249932201157</v>
      </c>
      <c r="U120" s="195"/>
      <c r="V120" t="s">
        <v>661</v>
      </c>
      <c r="W120" s="193">
        <f>E120/SUM(E$86:E$118)</f>
        <v>0.42685017482774351</v>
      </c>
      <c r="X120" s="172">
        <f t="shared" si="247"/>
        <v>0.42741108704358022</v>
      </c>
      <c r="Y120" s="172">
        <f t="shared" si="247"/>
        <v>0.42794965539902197</v>
      </c>
      <c r="Z120" s="172">
        <f t="shared" si="247"/>
        <v>0.42846718891853891</v>
      </c>
      <c r="AA120" s="172">
        <f t="shared" si="247"/>
        <v>0.42896489633219737</v>
      </c>
      <c r="AB120" s="172">
        <f t="shared" si="247"/>
        <v>0.42944389550053802</v>
      </c>
      <c r="AC120" s="172">
        <f t="shared" si="247"/>
        <v>0.43272474311806669</v>
      </c>
      <c r="AD120" s="172">
        <f t="shared" si="247"/>
        <v>0.43589722190930857</v>
      </c>
      <c r="AE120" s="172">
        <f t="shared" si="247"/>
        <v>0.43896661389362773</v>
      </c>
      <c r="AF120" s="172">
        <f t="shared" si="247"/>
        <v>0.44193786330951851</v>
      </c>
      <c r="AG120" s="172">
        <f t="shared" si="247"/>
        <v>0.44481560319074243</v>
      </c>
      <c r="AH120" s="172">
        <f t="shared" si="247"/>
        <v>0.44686453712913665</v>
      </c>
      <c r="AI120" s="172">
        <f t="shared" si="247"/>
        <v>0.44886735058407073</v>
      </c>
      <c r="AJ120" s="172">
        <f t="shared" si="247"/>
        <v>0.45082558344813839</v>
      </c>
      <c r="AK120" s="172">
        <f t="shared" si="247"/>
        <v>0.4527407078156076</v>
      </c>
      <c r="AL120" s="172">
        <f t="shared" si="247"/>
        <v>0.45461413167307491</v>
      </c>
      <c r="AM120" s="184">
        <f>AL120</f>
        <v>0.45461413167307491</v>
      </c>
      <c r="AN120" s="184">
        <f t="shared" si="245"/>
        <v>0.45461413167307491</v>
      </c>
      <c r="AO120" s="184">
        <f t="shared" si="245"/>
        <v>0.45461413167307491</v>
      </c>
      <c r="AP120" s="184">
        <f t="shared" si="245"/>
        <v>0.45461413167307491</v>
      </c>
      <c r="AQ120" s="184">
        <f t="shared" si="245"/>
        <v>0.45461413167307491</v>
      </c>
      <c r="AR120" s="184">
        <f t="shared" si="245"/>
        <v>0.45461413167307491</v>
      </c>
      <c r="AS120" s="184">
        <f t="shared" si="245"/>
        <v>0.45461413167307491</v>
      </c>
      <c r="AT120" s="184">
        <f t="shared" si="245"/>
        <v>0.45461413167307491</v>
      </c>
      <c r="AU120" s="184">
        <f t="shared" si="245"/>
        <v>0.45461413167307491</v>
      </c>
      <c r="AV120" s="184">
        <f t="shared" si="245"/>
        <v>0.45461413167307491</v>
      </c>
      <c r="AW120" s="184">
        <f t="shared" si="245"/>
        <v>0.45461413167307491</v>
      </c>
      <c r="AX120" s="184">
        <f t="shared" si="245"/>
        <v>0.45461413167307491</v>
      </c>
      <c r="AY120" s="184">
        <f t="shared" si="245"/>
        <v>0.45461413167307491</v>
      </c>
      <c r="AZ120" s="184">
        <f t="shared" si="245"/>
        <v>0.45461413167307491</v>
      </c>
      <c r="BA120" s="184">
        <f t="shared" si="245"/>
        <v>0.45461413167307491</v>
      </c>
      <c r="BB120" s="184">
        <f t="shared" si="245"/>
        <v>0.45461413167307491</v>
      </c>
      <c r="BC120" s="184">
        <f t="shared" si="245"/>
        <v>0.45461413167307491</v>
      </c>
      <c r="BD120" s="184">
        <f t="shared" si="245"/>
        <v>0.45461413167307491</v>
      </c>
      <c r="BE120" s="184">
        <f t="shared" si="245"/>
        <v>0.45461413167307491</v>
      </c>
      <c r="BF120" s="184">
        <f t="shared" si="245"/>
        <v>0.45461413167307491</v>
      </c>
    </row>
    <row r="121" spans="2:58">
      <c r="B121" t="s">
        <v>122</v>
      </c>
      <c r="C121" s="202">
        <f>SUM(C86:C118)</f>
        <v>30629.52843087904</v>
      </c>
      <c r="D121" s="202">
        <f t="shared" ref="D121:T121" si="249">SUM(D86:D118)</f>
        <v>31292.400799187351</v>
      </c>
      <c r="E121" s="202">
        <f t="shared" si="249"/>
        <v>31955.273167495667</v>
      </c>
      <c r="F121" s="202">
        <f t="shared" si="249"/>
        <v>32618.145535803978</v>
      </c>
      <c r="G121" s="202">
        <f t="shared" si="249"/>
        <v>33281.017904112297</v>
      </c>
      <c r="H121" s="202">
        <f t="shared" si="249"/>
        <v>33943.890272420605</v>
      </c>
      <c r="I121" s="202">
        <f t="shared" si="249"/>
        <v>34606.762640728928</v>
      </c>
      <c r="J121" s="202">
        <f t="shared" si="249"/>
        <v>35269.635009037229</v>
      </c>
      <c r="K121" s="202">
        <f t="shared" si="249"/>
        <v>35872.023425320753</v>
      </c>
      <c r="L121" s="202">
        <f t="shared" si="249"/>
        <v>36474.411841604269</v>
      </c>
      <c r="M121" s="202">
        <f t="shared" si="249"/>
        <v>37076.800257887786</v>
      </c>
      <c r="N121" s="202">
        <f t="shared" si="249"/>
        <v>37679.18867417131</v>
      </c>
      <c r="O121" s="202">
        <f t="shared" si="249"/>
        <v>38281.577090454826</v>
      </c>
      <c r="P121" s="202">
        <f t="shared" si="249"/>
        <v>38722.348256305275</v>
      </c>
      <c r="Q121" s="202">
        <f t="shared" si="249"/>
        <v>39163.119422155731</v>
      </c>
      <c r="R121" s="202">
        <f t="shared" si="249"/>
        <v>39603.890588006179</v>
      </c>
      <c r="S121" s="202">
        <f t="shared" si="249"/>
        <v>40044.661753856628</v>
      </c>
      <c r="T121" s="202">
        <f t="shared" si="249"/>
        <v>40485.432919707084</v>
      </c>
      <c r="U121" s="195"/>
      <c r="V121" s="181" t="s">
        <v>122</v>
      </c>
      <c r="W121" s="196">
        <f t="shared" ref="W121:BF121" si="250">SUM(W86:W118)</f>
        <v>1</v>
      </c>
      <c r="X121" s="196">
        <f t="shared" si="250"/>
        <v>1.0000000000000004</v>
      </c>
      <c r="Y121" s="196">
        <f t="shared" si="250"/>
        <v>1</v>
      </c>
      <c r="Z121" s="196">
        <f t="shared" si="250"/>
        <v>1.0000000000000002</v>
      </c>
      <c r="AA121" s="196">
        <f t="shared" si="250"/>
        <v>1.0000000000000002</v>
      </c>
      <c r="AB121" s="196">
        <f t="shared" si="250"/>
        <v>1.0000000000000002</v>
      </c>
      <c r="AC121" s="196">
        <f t="shared" si="250"/>
        <v>1</v>
      </c>
      <c r="AD121" s="196">
        <f t="shared" si="250"/>
        <v>1</v>
      </c>
      <c r="AE121" s="196">
        <f t="shared" si="250"/>
        <v>1</v>
      </c>
      <c r="AF121" s="196">
        <f t="shared" si="250"/>
        <v>0.99999999999999989</v>
      </c>
      <c r="AG121" s="196">
        <f t="shared" si="250"/>
        <v>0.99999999999999989</v>
      </c>
      <c r="AH121" s="196">
        <f t="shared" si="250"/>
        <v>1.0000000000000002</v>
      </c>
      <c r="AI121" s="196">
        <f t="shared" si="250"/>
        <v>0.99999999999999989</v>
      </c>
      <c r="AJ121" s="196">
        <f t="shared" si="250"/>
        <v>1.0000000000000002</v>
      </c>
      <c r="AK121" s="196">
        <f t="shared" si="250"/>
        <v>1</v>
      </c>
      <c r="AL121" s="196">
        <f t="shared" si="250"/>
        <v>1</v>
      </c>
      <c r="AM121" s="196">
        <f t="shared" si="250"/>
        <v>1</v>
      </c>
      <c r="AN121" s="196">
        <f t="shared" si="250"/>
        <v>1</v>
      </c>
      <c r="AO121" s="196">
        <f t="shared" si="250"/>
        <v>1</v>
      </c>
      <c r="AP121" s="196">
        <f t="shared" si="250"/>
        <v>1</v>
      </c>
      <c r="AQ121" s="196">
        <f t="shared" si="250"/>
        <v>1</v>
      </c>
      <c r="AR121" s="196">
        <f t="shared" si="250"/>
        <v>1</v>
      </c>
      <c r="AS121" s="196">
        <f t="shared" si="250"/>
        <v>1</v>
      </c>
      <c r="AT121" s="196">
        <f t="shared" si="250"/>
        <v>1</v>
      </c>
      <c r="AU121" s="196">
        <f t="shared" si="250"/>
        <v>1</v>
      </c>
      <c r="AV121" s="196">
        <f t="shared" si="250"/>
        <v>1</v>
      </c>
      <c r="AW121" s="196">
        <f t="shared" si="250"/>
        <v>1</v>
      </c>
      <c r="AX121" s="196">
        <f t="shared" si="250"/>
        <v>1</v>
      </c>
      <c r="AY121" s="196">
        <f t="shared" si="250"/>
        <v>1</v>
      </c>
      <c r="AZ121" s="196">
        <f t="shared" si="250"/>
        <v>1</v>
      </c>
      <c r="BA121" s="196">
        <f t="shared" si="250"/>
        <v>1</v>
      </c>
      <c r="BB121" s="196">
        <f t="shared" si="250"/>
        <v>1</v>
      </c>
      <c r="BC121" s="196">
        <f t="shared" si="250"/>
        <v>1</v>
      </c>
      <c r="BD121" s="196">
        <f t="shared" si="250"/>
        <v>1</v>
      </c>
      <c r="BE121" s="196">
        <f t="shared" si="250"/>
        <v>1</v>
      </c>
      <c r="BF121" s="197">
        <f t="shared" si="250"/>
        <v>1</v>
      </c>
    </row>
    <row r="122" spans="2:58">
      <c r="V122" s="181" t="s">
        <v>662</v>
      </c>
      <c r="W122" s="196">
        <f t="shared" ref="W122:BF122" si="251">INDEX(W86:W121,MATCH($V$5,$V86:$V121,0))</f>
        <v>0.57314982517225654</v>
      </c>
      <c r="X122" s="196">
        <f t="shared" si="251"/>
        <v>0.57258891295642</v>
      </c>
      <c r="Y122" s="196">
        <f t="shared" si="251"/>
        <v>0.57205034460097803</v>
      </c>
      <c r="Z122" s="196">
        <f t="shared" si="251"/>
        <v>0.57153281108146137</v>
      </c>
      <c r="AA122" s="196">
        <f t="shared" si="251"/>
        <v>0.57103510366780241</v>
      </c>
      <c r="AB122" s="196">
        <f t="shared" si="251"/>
        <v>0.57055610449946226</v>
      </c>
      <c r="AC122" s="196">
        <f t="shared" si="251"/>
        <v>0.56727525688193337</v>
      </c>
      <c r="AD122" s="196">
        <f t="shared" si="251"/>
        <v>0.56410277809069143</v>
      </c>
      <c r="AE122" s="196">
        <f t="shared" si="251"/>
        <v>0.56103338610637243</v>
      </c>
      <c r="AF122" s="196">
        <f t="shared" si="251"/>
        <v>0.55806213669048155</v>
      </c>
      <c r="AG122" s="196">
        <f t="shared" si="251"/>
        <v>0.55518439680925757</v>
      </c>
      <c r="AH122" s="196">
        <f t="shared" si="251"/>
        <v>0.55313546287086346</v>
      </c>
      <c r="AI122" s="196">
        <f t="shared" si="251"/>
        <v>0.55113264941592921</v>
      </c>
      <c r="AJ122" s="196">
        <f t="shared" si="251"/>
        <v>0.54917441655186161</v>
      </c>
      <c r="AK122" s="196">
        <f t="shared" si="251"/>
        <v>0.54725929218439251</v>
      </c>
      <c r="AL122" s="196">
        <f t="shared" si="251"/>
        <v>0.54538586832692515</v>
      </c>
      <c r="AM122" s="196">
        <f t="shared" si="251"/>
        <v>0.54538586832692515</v>
      </c>
      <c r="AN122" s="196">
        <f t="shared" si="251"/>
        <v>0.54538586832692515</v>
      </c>
      <c r="AO122" s="196">
        <f t="shared" si="251"/>
        <v>0.54538586832692515</v>
      </c>
      <c r="AP122" s="196">
        <f t="shared" si="251"/>
        <v>0.54538586832692515</v>
      </c>
      <c r="AQ122" s="196">
        <f t="shared" si="251"/>
        <v>0.54538586832692515</v>
      </c>
      <c r="AR122" s="196">
        <f t="shared" si="251"/>
        <v>0.54538586832692515</v>
      </c>
      <c r="AS122" s="196">
        <f t="shared" si="251"/>
        <v>0.54538586832692515</v>
      </c>
      <c r="AT122" s="196">
        <f t="shared" si="251"/>
        <v>0.54538586832692515</v>
      </c>
      <c r="AU122" s="196">
        <f t="shared" si="251"/>
        <v>0.54538586832692515</v>
      </c>
      <c r="AV122" s="196">
        <f t="shared" si="251"/>
        <v>0.54538586832692515</v>
      </c>
      <c r="AW122" s="196">
        <f t="shared" si="251"/>
        <v>0.54538586832692515</v>
      </c>
      <c r="AX122" s="196">
        <f t="shared" si="251"/>
        <v>0.54538586832692515</v>
      </c>
      <c r="AY122" s="196">
        <f t="shared" si="251"/>
        <v>0.54538586832692515</v>
      </c>
      <c r="AZ122" s="196">
        <f t="shared" si="251"/>
        <v>0.54538586832692515</v>
      </c>
      <c r="BA122" s="196">
        <f t="shared" si="251"/>
        <v>0.54538586832692515</v>
      </c>
      <c r="BB122" s="196">
        <f t="shared" si="251"/>
        <v>0.54538586832692515</v>
      </c>
      <c r="BC122" s="196">
        <f t="shared" si="251"/>
        <v>0.54538586832692515</v>
      </c>
      <c r="BD122" s="196">
        <f t="shared" si="251"/>
        <v>0.54538586832692515</v>
      </c>
      <c r="BE122" s="196">
        <f t="shared" si="251"/>
        <v>0.54538586832692515</v>
      </c>
      <c r="BF122" s="197">
        <f t="shared" si="251"/>
        <v>0.54538586832692515</v>
      </c>
    </row>
    <row r="123" spans="2:58">
      <c r="C123" s="35" t="s">
        <v>667</v>
      </c>
      <c r="W123" s="35" t="s">
        <v>668</v>
      </c>
    </row>
    <row r="124" spans="2:58">
      <c r="C124" s="591">
        <v>2013</v>
      </c>
      <c r="D124" s="181">
        <v>2014</v>
      </c>
      <c r="E124" s="181">
        <v>2015</v>
      </c>
      <c r="F124" s="591">
        <v>2016</v>
      </c>
      <c r="G124" s="181">
        <v>2017</v>
      </c>
      <c r="H124" s="181">
        <v>2018</v>
      </c>
      <c r="I124" s="181">
        <v>2019</v>
      </c>
      <c r="J124" s="591">
        <v>2020</v>
      </c>
      <c r="K124" s="181">
        <v>2021</v>
      </c>
      <c r="L124" s="181">
        <v>2022</v>
      </c>
      <c r="M124" s="591">
        <v>2023</v>
      </c>
      <c r="N124" s="181">
        <v>2024</v>
      </c>
      <c r="O124" s="591">
        <v>2025</v>
      </c>
      <c r="P124" s="591">
        <v>2026</v>
      </c>
      <c r="Q124" s="181">
        <v>2027</v>
      </c>
      <c r="R124" s="591">
        <v>2028</v>
      </c>
      <c r="S124" s="591">
        <v>2029</v>
      </c>
      <c r="T124" s="591">
        <v>2030</v>
      </c>
      <c r="U124" s="81"/>
      <c r="W124" s="181">
        <v>2015</v>
      </c>
      <c r="X124" s="591">
        <v>2016</v>
      </c>
      <c r="Y124" s="181">
        <v>2017</v>
      </c>
      <c r="Z124" s="181">
        <v>2018</v>
      </c>
      <c r="AA124" s="181">
        <v>2019</v>
      </c>
      <c r="AB124" s="591">
        <v>2020</v>
      </c>
      <c r="AC124" s="181">
        <v>2021</v>
      </c>
      <c r="AD124" s="181">
        <v>2022</v>
      </c>
      <c r="AE124" s="591">
        <v>2023</v>
      </c>
      <c r="AF124" s="181">
        <v>2024</v>
      </c>
      <c r="AG124" s="591">
        <v>2025</v>
      </c>
      <c r="AH124" s="591">
        <v>2026</v>
      </c>
      <c r="AI124" s="181">
        <v>2027</v>
      </c>
      <c r="AJ124" s="591">
        <v>2028</v>
      </c>
      <c r="AK124" s="591">
        <v>2029</v>
      </c>
      <c r="AL124" s="591">
        <v>2030</v>
      </c>
      <c r="AM124" s="181">
        <v>2031</v>
      </c>
      <c r="AN124" s="591">
        <v>2032</v>
      </c>
      <c r="AO124" s="591">
        <v>2033</v>
      </c>
      <c r="AP124" s="591">
        <v>2034</v>
      </c>
      <c r="AQ124" s="181">
        <v>2035</v>
      </c>
      <c r="AR124" s="591">
        <v>2036</v>
      </c>
      <c r="AS124" s="591">
        <v>2037</v>
      </c>
      <c r="AT124" s="591">
        <v>2038</v>
      </c>
      <c r="AU124" s="181">
        <v>2039</v>
      </c>
      <c r="AV124" s="591">
        <v>2040</v>
      </c>
      <c r="AW124" s="591">
        <v>2041</v>
      </c>
      <c r="AX124" s="591">
        <v>2042</v>
      </c>
      <c r="AY124" s="181">
        <v>2043</v>
      </c>
      <c r="AZ124" s="591">
        <v>2044</v>
      </c>
      <c r="BA124" s="591">
        <v>2045</v>
      </c>
      <c r="BB124" s="591">
        <v>2046</v>
      </c>
      <c r="BC124" s="181">
        <v>2047</v>
      </c>
      <c r="BD124" s="591">
        <v>2048</v>
      </c>
      <c r="BE124" s="591">
        <v>2049</v>
      </c>
      <c r="BF124" s="591">
        <v>2050</v>
      </c>
    </row>
    <row r="125" spans="2:58">
      <c r="B125" t="s">
        <v>626</v>
      </c>
      <c r="C125" s="185">
        <v>1513.2213241273737</v>
      </c>
      <c r="D125" s="186">
        <f t="shared" ref="D125:I125" si="252">C125+($J125-$C125)/(COLUMN($J125)-COLUMN($C125))</f>
        <v>1513.2213241273737</v>
      </c>
      <c r="E125" s="186">
        <f t="shared" si="252"/>
        <v>1513.2213241273737</v>
      </c>
      <c r="F125" s="186">
        <f t="shared" si="252"/>
        <v>1513.2213241273737</v>
      </c>
      <c r="G125" s="186">
        <f t="shared" si="252"/>
        <v>1513.2213241273737</v>
      </c>
      <c r="H125" s="186">
        <f t="shared" si="252"/>
        <v>1513.2213241273737</v>
      </c>
      <c r="I125" s="186">
        <f t="shared" si="252"/>
        <v>1513.2213241273737</v>
      </c>
      <c r="J125" s="185">
        <v>1513.2213241273737</v>
      </c>
      <c r="K125" s="187">
        <f t="shared" ref="K125:N144" si="253">J125+($O125-$J125)/(COLUMN($O125)-COLUMN($J125))</f>
        <v>1513.2213241273737</v>
      </c>
      <c r="L125" s="187">
        <f t="shared" si="253"/>
        <v>1513.2213241273737</v>
      </c>
      <c r="M125" s="187">
        <f t="shared" si="253"/>
        <v>1513.2213241273737</v>
      </c>
      <c r="N125" s="187">
        <f t="shared" si="253"/>
        <v>1513.2213241273737</v>
      </c>
      <c r="O125" s="185">
        <v>1513.2213241273737</v>
      </c>
      <c r="P125" s="187">
        <f t="shared" ref="P125:S144" si="254">O125+($T125-$O125)/(COLUMN($T125)-COLUMN($O125))</f>
        <v>1513.2213241273737</v>
      </c>
      <c r="Q125" s="187">
        <f t="shared" si="254"/>
        <v>1513.2213241273737</v>
      </c>
      <c r="R125" s="187">
        <f t="shared" si="254"/>
        <v>1513.2213241273737</v>
      </c>
      <c r="S125" s="187">
        <f t="shared" si="254"/>
        <v>1513.2213241273737</v>
      </c>
      <c r="T125" s="185">
        <v>1513.2213241273737</v>
      </c>
      <c r="U125" s="195"/>
      <c r="V125" t="s">
        <v>626</v>
      </c>
      <c r="W125" s="39">
        <f t="shared" ref="W125:AL125" si="255">E125/SUM(E125:E157)</f>
        <v>2.0699075494442574E-2</v>
      </c>
      <c r="X125" s="39">
        <f t="shared" si="255"/>
        <v>2.1223301020465924E-2</v>
      </c>
      <c r="Y125" s="39">
        <f t="shared" si="255"/>
        <v>2.1774769614226034E-2</v>
      </c>
      <c r="Z125" s="39">
        <f t="shared" si="255"/>
        <v>2.2355661589873753E-2</v>
      </c>
      <c r="AA125" s="39">
        <f t="shared" si="255"/>
        <v>2.2968396297948841E-2</v>
      </c>
      <c r="AB125" s="39">
        <f t="shared" si="255"/>
        <v>2.3615665806653207E-2</v>
      </c>
      <c r="AC125" s="39">
        <f t="shared" si="255"/>
        <v>2.3615665806653207E-2</v>
      </c>
      <c r="AD125" s="39">
        <f t="shared" si="255"/>
        <v>2.3615665806653207E-2</v>
      </c>
      <c r="AE125" s="39">
        <f t="shared" si="255"/>
        <v>2.3615665806653207E-2</v>
      </c>
      <c r="AF125" s="39">
        <f t="shared" si="255"/>
        <v>2.3615665806653207E-2</v>
      </c>
      <c r="AG125" s="39">
        <f t="shared" si="255"/>
        <v>2.3615665806653207E-2</v>
      </c>
      <c r="AH125" s="39">
        <f t="shared" si="255"/>
        <v>2.3615665806653207E-2</v>
      </c>
      <c r="AI125" s="39">
        <f t="shared" si="255"/>
        <v>2.3615665806653207E-2</v>
      </c>
      <c r="AJ125" s="39">
        <f t="shared" si="255"/>
        <v>2.3615665806653207E-2</v>
      </c>
      <c r="AK125" s="39">
        <f t="shared" si="255"/>
        <v>2.3615665806653207E-2</v>
      </c>
      <c r="AL125" s="39">
        <f t="shared" si="255"/>
        <v>2.3615665806653207E-2</v>
      </c>
      <c r="AM125" s="184">
        <f>AL125</f>
        <v>2.3615665806653207E-2</v>
      </c>
      <c r="AN125" s="184">
        <f t="shared" ref="AN125:BF139" si="256">AM125</f>
        <v>2.3615665806653207E-2</v>
      </c>
      <c r="AO125" s="184">
        <f t="shared" si="256"/>
        <v>2.3615665806653207E-2</v>
      </c>
      <c r="AP125" s="184">
        <f t="shared" si="256"/>
        <v>2.3615665806653207E-2</v>
      </c>
      <c r="AQ125" s="184">
        <f t="shared" si="256"/>
        <v>2.3615665806653207E-2</v>
      </c>
      <c r="AR125" s="184">
        <f t="shared" si="256"/>
        <v>2.3615665806653207E-2</v>
      </c>
      <c r="AS125" s="184">
        <f t="shared" si="256"/>
        <v>2.3615665806653207E-2</v>
      </c>
      <c r="AT125" s="184">
        <f t="shared" si="256"/>
        <v>2.3615665806653207E-2</v>
      </c>
      <c r="AU125" s="184">
        <f t="shared" si="256"/>
        <v>2.3615665806653207E-2</v>
      </c>
      <c r="AV125" s="184">
        <f t="shared" si="256"/>
        <v>2.3615665806653207E-2</v>
      </c>
      <c r="AW125" s="184">
        <f t="shared" si="256"/>
        <v>2.3615665806653207E-2</v>
      </c>
      <c r="AX125" s="184">
        <f t="shared" si="256"/>
        <v>2.3615665806653207E-2</v>
      </c>
      <c r="AY125" s="184">
        <f t="shared" si="256"/>
        <v>2.3615665806653207E-2</v>
      </c>
      <c r="AZ125" s="184">
        <f t="shared" si="256"/>
        <v>2.3615665806653207E-2</v>
      </c>
      <c r="BA125" s="184">
        <f t="shared" si="256"/>
        <v>2.3615665806653207E-2</v>
      </c>
      <c r="BB125" s="184">
        <f t="shared" si="256"/>
        <v>2.3615665806653207E-2</v>
      </c>
      <c r="BC125" s="184">
        <f t="shared" si="256"/>
        <v>2.3615665806653207E-2</v>
      </c>
      <c r="BD125" s="184">
        <f t="shared" si="256"/>
        <v>2.3615665806653207E-2</v>
      </c>
      <c r="BE125" s="184">
        <f t="shared" si="256"/>
        <v>2.3615665806653207E-2</v>
      </c>
      <c r="BF125" s="184">
        <f t="shared" si="256"/>
        <v>2.3615665806653207E-2</v>
      </c>
    </row>
    <row r="126" spans="2:58">
      <c r="B126" t="s">
        <v>627</v>
      </c>
      <c r="C126" s="109">
        <v>5412.6201290704939</v>
      </c>
      <c r="D126" s="182">
        <f t="shared" ref="D126:I126" si="257">C126+($J126-$C126)/(COLUMN($J126)-COLUMN($C126))</f>
        <v>4993.2174730661445</v>
      </c>
      <c r="E126" s="182">
        <f t="shared" si="257"/>
        <v>4573.8148170617951</v>
      </c>
      <c r="F126" s="182">
        <f t="shared" si="257"/>
        <v>4154.4121610574457</v>
      </c>
      <c r="G126" s="182">
        <f t="shared" si="257"/>
        <v>3735.0095050530963</v>
      </c>
      <c r="H126" s="182">
        <f t="shared" si="257"/>
        <v>3315.6068490487469</v>
      </c>
      <c r="I126" s="182">
        <f t="shared" si="257"/>
        <v>2896.2041930443975</v>
      </c>
      <c r="J126" s="109">
        <v>2476.8015370400485</v>
      </c>
      <c r="K126" s="183">
        <f t="shared" si="253"/>
        <v>2476.8015370400485</v>
      </c>
      <c r="L126" s="183">
        <f t="shared" si="253"/>
        <v>2476.8015370400485</v>
      </c>
      <c r="M126" s="183">
        <f t="shared" si="253"/>
        <v>2476.8015370400485</v>
      </c>
      <c r="N126" s="183">
        <f t="shared" si="253"/>
        <v>2476.8015370400485</v>
      </c>
      <c r="O126" s="109">
        <v>2476.8015370400485</v>
      </c>
      <c r="P126" s="183">
        <f t="shared" si="254"/>
        <v>2476.8015370400485</v>
      </c>
      <c r="Q126" s="183">
        <f t="shared" si="254"/>
        <v>2476.8015370400485</v>
      </c>
      <c r="R126" s="183">
        <f t="shared" si="254"/>
        <v>2476.8015370400485</v>
      </c>
      <c r="S126" s="183">
        <f t="shared" si="254"/>
        <v>2476.8015370400485</v>
      </c>
      <c r="T126" s="109">
        <v>2476.8015370400485</v>
      </c>
      <c r="U126" s="195"/>
      <c r="V126" t="s">
        <v>627</v>
      </c>
      <c r="W126" s="39">
        <f t="shared" ref="W126:AL126" si="258">E126/SUM(E125:E157)</f>
        <v>6.2564369591181557E-2</v>
      </c>
      <c r="X126" s="39">
        <f t="shared" si="258"/>
        <v>5.8266651712730481E-2</v>
      </c>
      <c r="Y126" s="39">
        <f t="shared" si="258"/>
        <v>5.3745589083854205E-2</v>
      </c>
      <c r="Z126" s="39">
        <f t="shared" si="258"/>
        <v>4.8983307002460813E-2</v>
      </c>
      <c r="AA126" s="39">
        <f t="shared" si="258"/>
        <v>4.395997109278478E-2</v>
      </c>
      <c r="AB126" s="39">
        <f t="shared" si="258"/>
        <v>3.8653511178791282E-2</v>
      </c>
      <c r="AC126" s="39">
        <f t="shared" si="258"/>
        <v>3.8653511178791282E-2</v>
      </c>
      <c r="AD126" s="39">
        <f t="shared" si="258"/>
        <v>3.8653511178791282E-2</v>
      </c>
      <c r="AE126" s="39">
        <f t="shared" si="258"/>
        <v>3.8653511178791282E-2</v>
      </c>
      <c r="AF126" s="39">
        <f t="shared" si="258"/>
        <v>3.8653511178791282E-2</v>
      </c>
      <c r="AG126" s="39">
        <f t="shared" si="258"/>
        <v>3.8653511178791282E-2</v>
      </c>
      <c r="AH126" s="39">
        <f t="shared" si="258"/>
        <v>3.8653511178791282E-2</v>
      </c>
      <c r="AI126" s="39">
        <f t="shared" si="258"/>
        <v>3.8653511178791282E-2</v>
      </c>
      <c r="AJ126" s="39">
        <f t="shared" si="258"/>
        <v>3.8653511178791282E-2</v>
      </c>
      <c r="AK126" s="39">
        <f t="shared" si="258"/>
        <v>3.8653511178791282E-2</v>
      </c>
      <c r="AL126" s="39">
        <f t="shared" si="258"/>
        <v>3.8653511178791282E-2</v>
      </c>
      <c r="AM126" s="184">
        <f t="shared" ref="AM126:BB126" si="259">AL126</f>
        <v>3.8653511178791282E-2</v>
      </c>
      <c r="AN126" s="184">
        <f t="shared" si="259"/>
        <v>3.8653511178791282E-2</v>
      </c>
      <c r="AO126" s="184">
        <f t="shared" si="259"/>
        <v>3.8653511178791282E-2</v>
      </c>
      <c r="AP126" s="184">
        <f t="shared" si="259"/>
        <v>3.8653511178791282E-2</v>
      </c>
      <c r="AQ126" s="184">
        <f t="shared" si="259"/>
        <v>3.8653511178791282E-2</v>
      </c>
      <c r="AR126" s="184">
        <f t="shared" si="259"/>
        <v>3.8653511178791282E-2</v>
      </c>
      <c r="AS126" s="184">
        <f t="shared" si="259"/>
        <v>3.8653511178791282E-2</v>
      </c>
      <c r="AT126" s="184">
        <f t="shared" si="259"/>
        <v>3.8653511178791282E-2</v>
      </c>
      <c r="AU126" s="184">
        <f t="shared" si="259"/>
        <v>3.8653511178791282E-2</v>
      </c>
      <c r="AV126" s="184">
        <f t="shared" si="259"/>
        <v>3.8653511178791282E-2</v>
      </c>
      <c r="AW126" s="184">
        <f t="shared" si="259"/>
        <v>3.8653511178791282E-2</v>
      </c>
      <c r="AX126" s="184">
        <f t="shared" si="259"/>
        <v>3.8653511178791282E-2</v>
      </c>
      <c r="AY126" s="184">
        <f t="shared" si="259"/>
        <v>3.8653511178791282E-2</v>
      </c>
      <c r="AZ126" s="184">
        <f t="shared" si="259"/>
        <v>3.8653511178791282E-2</v>
      </c>
      <c r="BA126" s="184">
        <f t="shared" si="259"/>
        <v>3.8653511178791282E-2</v>
      </c>
      <c r="BB126" s="184">
        <f t="shared" si="259"/>
        <v>3.8653511178791282E-2</v>
      </c>
      <c r="BC126" s="184">
        <f t="shared" si="256"/>
        <v>3.8653511178791282E-2</v>
      </c>
      <c r="BD126" s="184">
        <f t="shared" si="256"/>
        <v>3.8653511178791282E-2</v>
      </c>
      <c r="BE126" s="184">
        <f t="shared" si="256"/>
        <v>3.8653511178791282E-2</v>
      </c>
      <c r="BF126" s="184">
        <f t="shared" si="256"/>
        <v>3.8653511178791282E-2</v>
      </c>
    </row>
    <row r="127" spans="2:58">
      <c r="B127" t="s">
        <v>628</v>
      </c>
      <c r="C127" s="109">
        <v>782.34980143022858</v>
      </c>
      <c r="D127" s="182">
        <f t="shared" ref="D127:I127" si="260">C127+($J127-$C127)/(COLUMN($J127)-COLUMN($C127))</f>
        <v>782.34980143022858</v>
      </c>
      <c r="E127" s="182">
        <f t="shared" si="260"/>
        <v>782.34980143022858</v>
      </c>
      <c r="F127" s="182">
        <f t="shared" si="260"/>
        <v>782.34980143022858</v>
      </c>
      <c r="G127" s="182">
        <f t="shared" si="260"/>
        <v>782.34980143022858</v>
      </c>
      <c r="H127" s="182">
        <f t="shared" si="260"/>
        <v>782.34980143022858</v>
      </c>
      <c r="I127" s="182">
        <f t="shared" si="260"/>
        <v>782.34980143022858</v>
      </c>
      <c r="J127" s="109">
        <v>782.34980143022858</v>
      </c>
      <c r="K127" s="183">
        <f t="shared" si="253"/>
        <v>782.34980143022858</v>
      </c>
      <c r="L127" s="183">
        <f t="shared" si="253"/>
        <v>782.34980143022858</v>
      </c>
      <c r="M127" s="183">
        <f t="shared" si="253"/>
        <v>782.34980143022858</v>
      </c>
      <c r="N127" s="183">
        <f t="shared" si="253"/>
        <v>782.34980143022858</v>
      </c>
      <c r="O127" s="109">
        <v>782.34980143022858</v>
      </c>
      <c r="P127" s="183">
        <f t="shared" si="254"/>
        <v>782.34980143022858</v>
      </c>
      <c r="Q127" s="183">
        <f t="shared" si="254"/>
        <v>782.34980143022858</v>
      </c>
      <c r="R127" s="183">
        <f t="shared" si="254"/>
        <v>782.34980143022858</v>
      </c>
      <c r="S127" s="183">
        <f t="shared" si="254"/>
        <v>782.34980143022858</v>
      </c>
      <c r="T127" s="109">
        <v>782.34980143022858</v>
      </c>
      <c r="U127" s="195"/>
      <c r="V127" t="s">
        <v>628</v>
      </c>
      <c r="W127" s="39">
        <f t="shared" ref="W127:AL127" si="261">E127/SUM(E125:E157)</f>
        <v>1.0701618688994469E-2</v>
      </c>
      <c r="X127" s="39">
        <f t="shared" si="261"/>
        <v>1.097264826652539E-2</v>
      </c>
      <c r="Y127" s="39">
        <f t="shared" si="261"/>
        <v>1.1257762768907933E-2</v>
      </c>
      <c r="Z127" s="39">
        <f t="shared" si="261"/>
        <v>1.1558089439272877E-2</v>
      </c>
      <c r="AA127" s="39">
        <f t="shared" si="261"/>
        <v>1.1874879104835114E-2</v>
      </c>
      <c r="AB127" s="39">
        <f t="shared" si="261"/>
        <v>1.2209523590431906E-2</v>
      </c>
      <c r="AC127" s="39">
        <f t="shared" si="261"/>
        <v>1.2209523590431906E-2</v>
      </c>
      <c r="AD127" s="39">
        <f t="shared" si="261"/>
        <v>1.2209523590431906E-2</v>
      </c>
      <c r="AE127" s="39">
        <f t="shared" si="261"/>
        <v>1.2209523590431906E-2</v>
      </c>
      <c r="AF127" s="39">
        <f t="shared" si="261"/>
        <v>1.2209523590431906E-2</v>
      </c>
      <c r="AG127" s="39">
        <f t="shared" si="261"/>
        <v>1.2209523590431906E-2</v>
      </c>
      <c r="AH127" s="39">
        <f t="shared" si="261"/>
        <v>1.2209523590431906E-2</v>
      </c>
      <c r="AI127" s="39">
        <f t="shared" si="261"/>
        <v>1.2209523590431906E-2</v>
      </c>
      <c r="AJ127" s="39">
        <f t="shared" si="261"/>
        <v>1.2209523590431906E-2</v>
      </c>
      <c r="AK127" s="39">
        <f t="shared" si="261"/>
        <v>1.2209523590431906E-2</v>
      </c>
      <c r="AL127" s="39">
        <f t="shared" si="261"/>
        <v>1.2209523590431906E-2</v>
      </c>
      <c r="AM127" s="184">
        <f t="shared" ref="AM127:AM151" si="262">AL127</f>
        <v>1.2209523590431906E-2</v>
      </c>
      <c r="AN127" s="184">
        <f t="shared" si="256"/>
        <v>1.2209523590431906E-2</v>
      </c>
      <c r="AO127" s="184">
        <f t="shared" si="256"/>
        <v>1.2209523590431906E-2</v>
      </c>
      <c r="AP127" s="184">
        <f t="shared" si="256"/>
        <v>1.2209523590431906E-2</v>
      </c>
      <c r="AQ127" s="184">
        <f t="shared" si="256"/>
        <v>1.2209523590431906E-2</v>
      </c>
      <c r="AR127" s="184">
        <f t="shared" si="256"/>
        <v>1.2209523590431906E-2</v>
      </c>
      <c r="AS127" s="184">
        <f t="shared" si="256"/>
        <v>1.2209523590431906E-2</v>
      </c>
      <c r="AT127" s="184">
        <f t="shared" si="256"/>
        <v>1.2209523590431906E-2</v>
      </c>
      <c r="AU127" s="184">
        <f t="shared" si="256"/>
        <v>1.2209523590431906E-2</v>
      </c>
      <c r="AV127" s="184">
        <f t="shared" si="256"/>
        <v>1.2209523590431906E-2</v>
      </c>
      <c r="AW127" s="184">
        <f t="shared" si="256"/>
        <v>1.2209523590431906E-2</v>
      </c>
      <c r="AX127" s="184">
        <f t="shared" si="256"/>
        <v>1.2209523590431906E-2</v>
      </c>
      <c r="AY127" s="184">
        <f t="shared" si="256"/>
        <v>1.2209523590431906E-2</v>
      </c>
      <c r="AZ127" s="184">
        <f t="shared" si="256"/>
        <v>1.2209523590431906E-2</v>
      </c>
      <c r="BA127" s="184">
        <f t="shared" si="256"/>
        <v>1.2209523590431906E-2</v>
      </c>
      <c r="BB127" s="184">
        <f t="shared" si="256"/>
        <v>1.2209523590431906E-2</v>
      </c>
      <c r="BC127" s="184">
        <f t="shared" si="256"/>
        <v>1.2209523590431906E-2</v>
      </c>
      <c r="BD127" s="184">
        <f t="shared" si="256"/>
        <v>1.2209523590431906E-2</v>
      </c>
      <c r="BE127" s="184">
        <f t="shared" si="256"/>
        <v>1.2209523590431906E-2</v>
      </c>
      <c r="BF127" s="184">
        <f t="shared" si="256"/>
        <v>1.2209523590431906E-2</v>
      </c>
    </row>
    <row r="128" spans="2:58">
      <c r="B128" t="s">
        <v>629</v>
      </c>
      <c r="C128" s="109">
        <v>7939.0265588787561</v>
      </c>
      <c r="D128" s="182">
        <f t="shared" ref="D128:I128" si="263">C128+($J128-$C128)/(COLUMN($J128)-COLUMN($C128))</f>
        <v>7938.6526424635995</v>
      </c>
      <c r="E128" s="182">
        <f t="shared" si="263"/>
        <v>7938.2787260484429</v>
      </c>
      <c r="F128" s="182">
        <f t="shared" si="263"/>
        <v>7937.9048096332863</v>
      </c>
      <c r="G128" s="182">
        <f t="shared" si="263"/>
        <v>7937.5308932181297</v>
      </c>
      <c r="H128" s="182">
        <f t="shared" si="263"/>
        <v>7937.1569768029731</v>
      </c>
      <c r="I128" s="182">
        <f t="shared" si="263"/>
        <v>7936.7830603878165</v>
      </c>
      <c r="J128" s="109">
        <v>7936.4091439726617</v>
      </c>
      <c r="K128" s="183">
        <f t="shared" si="253"/>
        <v>7936.4091439726617</v>
      </c>
      <c r="L128" s="183">
        <f t="shared" si="253"/>
        <v>7936.4091439726617</v>
      </c>
      <c r="M128" s="183">
        <f t="shared" si="253"/>
        <v>7936.4091439726617</v>
      </c>
      <c r="N128" s="183">
        <f t="shared" si="253"/>
        <v>7936.4091439726617</v>
      </c>
      <c r="O128" s="109">
        <v>7936.4091439726617</v>
      </c>
      <c r="P128" s="183">
        <f t="shared" si="254"/>
        <v>7936.4091439726617</v>
      </c>
      <c r="Q128" s="183">
        <f t="shared" si="254"/>
        <v>7936.4091439726617</v>
      </c>
      <c r="R128" s="183">
        <f t="shared" si="254"/>
        <v>7936.4091439726617</v>
      </c>
      <c r="S128" s="183">
        <f t="shared" si="254"/>
        <v>7936.4091439726617</v>
      </c>
      <c r="T128" s="109">
        <v>7936.4091439726617</v>
      </c>
      <c r="U128" s="195"/>
      <c r="V128" t="s">
        <v>629</v>
      </c>
      <c r="W128" s="39">
        <f t="shared" ref="W128:AL128" si="264">E128/SUM(E125:E157)</f>
        <v>0.10858625108336968</v>
      </c>
      <c r="X128" s="39">
        <f t="shared" si="264"/>
        <v>0.11133106609094469</v>
      </c>
      <c r="Y128" s="39">
        <f t="shared" si="264"/>
        <v>0.11421852425011036</v>
      </c>
      <c r="Z128" s="39">
        <f t="shared" si="264"/>
        <v>0.11726004156162476</v>
      </c>
      <c r="AA128" s="39">
        <f t="shared" si="264"/>
        <v>0.1204682856071688</v>
      </c>
      <c r="AB128" s="39">
        <f t="shared" si="264"/>
        <v>0.12385735190257527</v>
      </c>
      <c r="AC128" s="39">
        <f t="shared" si="264"/>
        <v>0.12385735190257527</v>
      </c>
      <c r="AD128" s="39">
        <f t="shared" si="264"/>
        <v>0.12385735190257527</v>
      </c>
      <c r="AE128" s="39">
        <f t="shared" si="264"/>
        <v>0.12385735190257527</v>
      </c>
      <c r="AF128" s="39">
        <f t="shared" si="264"/>
        <v>0.12385735190257527</v>
      </c>
      <c r="AG128" s="39">
        <f t="shared" si="264"/>
        <v>0.12385735190257527</v>
      </c>
      <c r="AH128" s="39">
        <f t="shared" si="264"/>
        <v>0.12385735190257527</v>
      </c>
      <c r="AI128" s="39">
        <f t="shared" si="264"/>
        <v>0.12385735190257527</v>
      </c>
      <c r="AJ128" s="39">
        <f t="shared" si="264"/>
        <v>0.12385735190257527</v>
      </c>
      <c r="AK128" s="39">
        <f t="shared" si="264"/>
        <v>0.12385735190257527</v>
      </c>
      <c r="AL128" s="39">
        <f t="shared" si="264"/>
        <v>0.12385735190257527</v>
      </c>
      <c r="AM128" s="184">
        <f t="shared" si="262"/>
        <v>0.12385735190257527</v>
      </c>
      <c r="AN128" s="184">
        <f t="shared" si="256"/>
        <v>0.12385735190257527</v>
      </c>
      <c r="AO128" s="184">
        <f t="shared" si="256"/>
        <v>0.12385735190257527</v>
      </c>
      <c r="AP128" s="184">
        <f t="shared" si="256"/>
        <v>0.12385735190257527</v>
      </c>
      <c r="AQ128" s="184">
        <f t="shared" si="256"/>
        <v>0.12385735190257527</v>
      </c>
      <c r="AR128" s="184">
        <f t="shared" si="256"/>
        <v>0.12385735190257527</v>
      </c>
      <c r="AS128" s="184">
        <f t="shared" si="256"/>
        <v>0.12385735190257527</v>
      </c>
      <c r="AT128" s="184">
        <f t="shared" si="256"/>
        <v>0.12385735190257527</v>
      </c>
      <c r="AU128" s="184">
        <f t="shared" si="256"/>
        <v>0.12385735190257527</v>
      </c>
      <c r="AV128" s="184">
        <f t="shared" si="256"/>
        <v>0.12385735190257527</v>
      </c>
      <c r="AW128" s="184">
        <f t="shared" si="256"/>
        <v>0.12385735190257527</v>
      </c>
      <c r="AX128" s="184">
        <f t="shared" si="256"/>
        <v>0.12385735190257527</v>
      </c>
      <c r="AY128" s="184">
        <f t="shared" si="256"/>
        <v>0.12385735190257527</v>
      </c>
      <c r="AZ128" s="184">
        <f t="shared" si="256"/>
        <v>0.12385735190257527</v>
      </c>
      <c r="BA128" s="184">
        <f t="shared" si="256"/>
        <v>0.12385735190257527</v>
      </c>
      <c r="BB128" s="184">
        <f t="shared" si="256"/>
        <v>0.12385735190257527</v>
      </c>
      <c r="BC128" s="184">
        <f t="shared" si="256"/>
        <v>0.12385735190257527</v>
      </c>
      <c r="BD128" s="184">
        <f t="shared" si="256"/>
        <v>0.12385735190257527</v>
      </c>
      <c r="BE128" s="184">
        <f t="shared" si="256"/>
        <v>0.12385735190257527</v>
      </c>
      <c r="BF128" s="184">
        <f t="shared" si="256"/>
        <v>0.12385735190257527</v>
      </c>
    </row>
    <row r="129" spans="2:58">
      <c r="B129" t="s">
        <v>630</v>
      </c>
      <c r="C129" s="109">
        <v>675.3623399415485</v>
      </c>
      <c r="D129" s="182">
        <f t="shared" ref="D129:I129" si="265">C129+($J129-$C129)/(COLUMN($J129)-COLUMN($C129))</f>
        <v>677.44654147265123</v>
      </c>
      <c r="E129" s="182">
        <f t="shared" si="265"/>
        <v>679.53074300375397</v>
      </c>
      <c r="F129" s="182">
        <f t="shared" si="265"/>
        <v>681.6149445348567</v>
      </c>
      <c r="G129" s="182">
        <f t="shared" si="265"/>
        <v>683.69914606595944</v>
      </c>
      <c r="H129" s="182">
        <f t="shared" si="265"/>
        <v>685.78334759706217</v>
      </c>
      <c r="I129" s="182">
        <f t="shared" si="265"/>
        <v>687.86754912816491</v>
      </c>
      <c r="J129" s="109">
        <v>689.95175065926799</v>
      </c>
      <c r="K129" s="183">
        <f t="shared" si="253"/>
        <v>689.95175065926799</v>
      </c>
      <c r="L129" s="183">
        <f t="shared" si="253"/>
        <v>689.95175065926799</v>
      </c>
      <c r="M129" s="183">
        <f t="shared" si="253"/>
        <v>689.95175065926799</v>
      </c>
      <c r="N129" s="183">
        <f t="shared" si="253"/>
        <v>689.95175065926799</v>
      </c>
      <c r="O129" s="109">
        <v>689.95175065926799</v>
      </c>
      <c r="P129" s="183">
        <f t="shared" si="254"/>
        <v>689.95175065926799</v>
      </c>
      <c r="Q129" s="183">
        <f t="shared" si="254"/>
        <v>689.95175065926799</v>
      </c>
      <c r="R129" s="183">
        <f t="shared" si="254"/>
        <v>689.95175065926799</v>
      </c>
      <c r="S129" s="183">
        <f t="shared" si="254"/>
        <v>689.95175065926799</v>
      </c>
      <c r="T129" s="109">
        <v>689.95175065926799</v>
      </c>
      <c r="U129" s="195"/>
      <c r="V129" t="s">
        <v>630</v>
      </c>
      <c r="W129" s="39">
        <f t="shared" ref="W129:AL129" si="266">E129/SUM(E125:E157)</f>
        <v>9.2951757459144805E-3</v>
      </c>
      <c r="X129" s="39">
        <f t="shared" si="266"/>
        <v>9.55981713795475E-3</v>
      </c>
      <c r="Y129" s="39">
        <f t="shared" si="266"/>
        <v>9.8382114722143643E-3</v>
      </c>
      <c r="Z129" s="39">
        <f t="shared" si="266"/>
        <v>1.0131459422627196E-2</v>
      </c>
      <c r="AA129" s="39">
        <f t="shared" si="266"/>
        <v>1.0440782334326004E-2</v>
      </c>
      <c r="AB129" s="39">
        <f t="shared" si="266"/>
        <v>1.0767539226742416E-2</v>
      </c>
      <c r="AC129" s="39">
        <f t="shared" si="266"/>
        <v>1.0767539226742416E-2</v>
      </c>
      <c r="AD129" s="39">
        <f t="shared" si="266"/>
        <v>1.0767539226742416E-2</v>
      </c>
      <c r="AE129" s="39">
        <f t="shared" si="266"/>
        <v>1.0767539226742416E-2</v>
      </c>
      <c r="AF129" s="39">
        <f t="shared" si="266"/>
        <v>1.0767539226742416E-2</v>
      </c>
      <c r="AG129" s="39">
        <f t="shared" si="266"/>
        <v>1.0767539226742416E-2</v>
      </c>
      <c r="AH129" s="39">
        <f t="shared" si="266"/>
        <v>1.0767539226742416E-2</v>
      </c>
      <c r="AI129" s="39">
        <f t="shared" si="266"/>
        <v>1.0767539226742416E-2</v>
      </c>
      <c r="AJ129" s="39">
        <f t="shared" si="266"/>
        <v>1.0767539226742416E-2</v>
      </c>
      <c r="AK129" s="39">
        <f t="shared" si="266"/>
        <v>1.0767539226742416E-2</v>
      </c>
      <c r="AL129" s="39">
        <f t="shared" si="266"/>
        <v>1.0767539226742416E-2</v>
      </c>
      <c r="AM129" s="184">
        <f t="shared" si="262"/>
        <v>1.0767539226742416E-2</v>
      </c>
      <c r="AN129" s="184">
        <f t="shared" si="256"/>
        <v>1.0767539226742416E-2</v>
      </c>
      <c r="AO129" s="184">
        <f t="shared" si="256"/>
        <v>1.0767539226742416E-2</v>
      </c>
      <c r="AP129" s="184">
        <f t="shared" si="256"/>
        <v>1.0767539226742416E-2</v>
      </c>
      <c r="AQ129" s="184">
        <f t="shared" si="256"/>
        <v>1.0767539226742416E-2</v>
      </c>
      <c r="AR129" s="184">
        <f t="shared" si="256"/>
        <v>1.0767539226742416E-2</v>
      </c>
      <c r="AS129" s="184">
        <f t="shared" si="256"/>
        <v>1.0767539226742416E-2</v>
      </c>
      <c r="AT129" s="184">
        <f t="shared" si="256"/>
        <v>1.0767539226742416E-2</v>
      </c>
      <c r="AU129" s="184">
        <f t="shared" si="256"/>
        <v>1.0767539226742416E-2</v>
      </c>
      <c r="AV129" s="184">
        <f t="shared" si="256"/>
        <v>1.0767539226742416E-2</v>
      </c>
      <c r="AW129" s="184">
        <f t="shared" si="256"/>
        <v>1.0767539226742416E-2</v>
      </c>
      <c r="AX129" s="184">
        <f t="shared" si="256"/>
        <v>1.0767539226742416E-2</v>
      </c>
      <c r="AY129" s="184">
        <f t="shared" si="256"/>
        <v>1.0767539226742416E-2</v>
      </c>
      <c r="AZ129" s="184">
        <f t="shared" si="256"/>
        <v>1.0767539226742416E-2</v>
      </c>
      <c r="BA129" s="184">
        <f t="shared" si="256"/>
        <v>1.0767539226742416E-2</v>
      </c>
      <c r="BB129" s="184">
        <f t="shared" si="256"/>
        <v>1.0767539226742416E-2</v>
      </c>
      <c r="BC129" s="184">
        <f t="shared" si="256"/>
        <v>1.0767539226742416E-2</v>
      </c>
      <c r="BD129" s="184">
        <f t="shared" si="256"/>
        <v>1.0767539226742416E-2</v>
      </c>
      <c r="BE129" s="184">
        <f t="shared" si="256"/>
        <v>1.0767539226742416E-2</v>
      </c>
      <c r="BF129" s="184">
        <f t="shared" si="256"/>
        <v>1.0767539226742416E-2</v>
      </c>
    </row>
    <row r="130" spans="2:58">
      <c r="B130" t="s">
        <v>631</v>
      </c>
      <c r="C130" s="109">
        <v>6554.4588734862309</v>
      </c>
      <c r="D130" s="182">
        <f t="shared" ref="D130:I130" si="267">C130+($J130-$C130)/(COLUMN($J130)-COLUMN($C130))</f>
        <v>6277.4642368519999</v>
      </c>
      <c r="E130" s="182">
        <f t="shared" si="267"/>
        <v>6000.4696002177689</v>
      </c>
      <c r="F130" s="182">
        <f t="shared" si="267"/>
        <v>5723.4749635835378</v>
      </c>
      <c r="G130" s="182">
        <f t="shared" si="267"/>
        <v>5446.4803269493068</v>
      </c>
      <c r="H130" s="182">
        <f t="shared" si="267"/>
        <v>5169.4856903150758</v>
      </c>
      <c r="I130" s="182">
        <f t="shared" si="267"/>
        <v>4892.4910536808447</v>
      </c>
      <c r="J130" s="109">
        <v>4615.4964170466137</v>
      </c>
      <c r="K130" s="183">
        <f t="shared" si="253"/>
        <v>4615.4964170466137</v>
      </c>
      <c r="L130" s="183">
        <f t="shared" si="253"/>
        <v>4615.4964170466137</v>
      </c>
      <c r="M130" s="183">
        <f t="shared" si="253"/>
        <v>4615.4964170466137</v>
      </c>
      <c r="N130" s="183">
        <f t="shared" si="253"/>
        <v>4615.4964170466137</v>
      </c>
      <c r="O130" s="109">
        <v>4615.4964170466137</v>
      </c>
      <c r="P130" s="183">
        <f t="shared" si="254"/>
        <v>4615.4964170466137</v>
      </c>
      <c r="Q130" s="183">
        <f t="shared" si="254"/>
        <v>4615.4964170466137</v>
      </c>
      <c r="R130" s="183">
        <f t="shared" si="254"/>
        <v>4615.4964170466137</v>
      </c>
      <c r="S130" s="183">
        <f t="shared" si="254"/>
        <v>4615.4964170466137</v>
      </c>
      <c r="T130" s="109">
        <v>4615.4964170466137</v>
      </c>
      <c r="U130" s="195"/>
      <c r="V130" t="s">
        <v>631</v>
      </c>
      <c r="W130" s="39">
        <f t="shared" ref="W130:AL130" si="268">E130/SUM(E125:E157)</f>
        <v>8.2079317332274457E-2</v>
      </c>
      <c r="X130" s="39">
        <f t="shared" si="268"/>
        <v>8.0273143193565627E-2</v>
      </c>
      <c r="Y130" s="39">
        <f t="shared" si="268"/>
        <v>7.8373105398925086E-2</v>
      </c>
      <c r="Z130" s="39">
        <f t="shared" si="268"/>
        <v>7.6371691862737054E-2</v>
      </c>
      <c r="AA130" s="39">
        <f t="shared" si="268"/>
        <v>7.4260566919986185E-2</v>
      </c>
      <c r="AB130" s="39">
        <f t="shared" si="268"/>
        <v>7.2030455280316499E-2</v>
      </c>
      <c r="AC130" s="39">
        <f t="shared" si="268"/>
        <v>7.2030455280316499E-2</v>
      </c>
      <c r="AD130" s="39">
        <f t="shared" si="268"/>
        <v>7.2030455280316499E-2</v>
      </c>
      <c r="AE130" s="39">
        <f t="shared" si="268"/>
        <v>7.2030455280316499E-2</v>
      </c>
      <c r="AF130" s="39">
        <f t="shared" si="268"/>
        <v>7.2030455280316499E-2</v>
      </c>
      <c r="AG130" s="39">
        <f t="shared" si="268"/>
        <v>7.2030455280316499E-2</v>
      </c>
      <c r="AH130" s="39">
        <f t="shared" si="268"/>
        <v>7.2030455280316499E-2</v>
      </c>
      <c r="AI130" s="39">
        <f t="shared" si="268"/>
        <v>7.2030455280316499E-2</v>
      </c>
      <c r="AJ130" s="39">
        <f t="shared" si="268"/>
        <v>7.2030455280316499E-2</v>
      </c>
      <c r="AK130" s="39">
        <f t="shared" si="268"/>
        <v>7.2030455280316499E-2</v>
      </c>
      <c r="AL130" s="39">
        <f t="shared" si="268"/>
        <v>7.2030455280316499E-2</v>
      </c>
      <c r="AM130" s="184">
        <f t="shared" si="262"/>
        <v>7.2030455280316499E-2</v>
      </c>
      <c r="AN130" s="184">
        <f t="shared" si="256"/>
        <v>7.2030455280316499E-2</v>
      </c>
      <c r="AO130" s="184">
        <f t="shared" si="256"/>
        <v>7.2030455280316499E-2</v>
      </c>
      <c r="AP130" s="184">
        <f t="shared" si="256"/>
        <v>7.2030455280316499E-2</v>
      </c>
      <c r="AQ130" s="184">
        <f t="shared" si="256"/>
        <v>7.2030455280316499E-2</v>
      </c>
      <c r="AR130" s="184">
        <f t="shared" si="256"/>
        <v>7.2030455280316499E-2</v>
      </c>
      <c r="AS130" s="184">
        <f t="shared" si="256"/>
        <v>7.2030455280316499E-2</v>
      </c>
      <c r="AT130" s="184">
        <f t="shared" si="256"/>
        <v>7.2030455280316499E-2</v>
      </c>
      <c r="AU130" s="184">
        <f t="shared" si="256"/>
        <v>7.2030455280316499E-2</v>
      </c>
      <c r="AV130" s="184">
        <f t="shared" si="256"/>
        <v>7.2030455280316499E-2</v>
      </c>
      <c r="AW130" s="184">
        <f t="shared" si="256"/>
        <v>7.2030455280316499E-2</v>
      </c>
      <c r="AX130" s="184">
        <f t="shared" si="256"/>
        <v>7.2030455280316499E-2</v>
      </c>
      <c r="AY130" s="184">
        <f t="shared" si="256"/>
        <v>7.2030455280316499E-2</v>
      </c>
      <c r="AZ130" s="184">
        <f t="shared" si="256"/>
        <v>7.2030455280316499E-2</v>
      </c>
      <c r="BA130" s="184">
        <f t="shared" si="256"/>
        <v>7.2030455280316499E-2</v>
      </c>
      <c r="BB130" s="184">
        <f t="shared" si="256"/>
        <v>7.2030455280316499E-2</v>
      </c>
      <c r="BC130" s="184">
        <f t="shared" si="256"/>
        <v>7.2030455280316499E-2</v>
      </c>
      <c r="BD130" s="184">
        <f t="shared" si="256"/>
        <v>7.2030455280316499E-2</v>
      </c>
      <c r="BE130" s="184">
        <f t="shared" si="256"/>
        <v>7.2030455280316499E-2</v>
      </c>
      <c r="BF130" s="184">
        <f t="shared" si="256"/>
        <v>7.2030455280316499E-2</v>
      </c>
    </row>
    <row r="131" spans="2:58">
      <c r="B131" t="s">
        <v>632</v>
      </c>
      <c r="C131" s="109">
        <v>0</v>
      </c>
      <c r="D131" s="182">
        <f t="shared" ref="D131:I131" si="269">C131+($J131-$C131)/(COLUMN($J131)-COLUMN($C131))</f>
        <v>0</v>
      </c>
      <c r="E131" s="182">
        <f t="shared" si="269"/>
        <v>0</v>
      </c>
      <c r="F131" s="182">
        <f t="shared" si="269"/>
        <v>0</v>
      </c>
      <c r="G131" s="182">
        <f t="shared" si="269"/>
        <v>0</v>
      </c>
      <c r="H131" s="182">
        <f t="shared" si="269"/>
        <v>0</v>
      </c>
      <c r="I131" s="182">
        <f t="shared" si="269"/>
        <v>0</v>
      </c>
      <c r="J131" s="109">
        <v>0</v>
      </c>
      <c r="K131" s="183">
        <f t="shared" si="253"/>
        <v>0</v>
      </c>
      <c r="L131" s="183">
        <f t="shared" si="253"/>
        <v>0</v>
      </c>
      <c r="M131" s="183">
        <f t="shared" si="253"/>
        <v>0</v>
      </c>
      <c r="N131" s="183">
        <f t="shared" si="253"/>
        <v>0</v>
      </c>
      <c r="O131" s="109">
        <v>0</v>
      </c>
      <c r="P131" s="183">
        <f t="shared" si="254"/>
        <v>0</v>
      </c>
      <c r="Q131" s="183">
        <f t="shared" si="254"/>
        <v>0</v>
      </c>
      <c r="R131" s="183">
        <f t="shared" si="254"/>
        <v>0</v>
      </c>
      <c r="S131" s="183">
        <f t="shared" si="254"/>
        <v>0</v>
      </c>
      <c r="T131" s="109">
        <v>0</v>
      </c>
      <c r="U131" s="195"/>
      <c r="V131" t="s">
        <v>632</v>
      </c>
      <c r="W131" s="39">
        <f t="shared" ref="W131:AL131" si="270">E131/SUM(E125:E157)</f>
        <v>0</v>
      </c>
      <c r="X131" s="39">
        <f t="shared" si="270"/>
        <v>0</v>
      </c>
      <c r="Y131" s="39">
        <f t="shared" si="270"/>
        <v>0</v>
      </c>
      <c r="Z131" s="39">
        <f t="shared" si="270"/>
        <v>0</v>
      </c>
      <c r="AA131" s="39">
        <f t="shared" si="270"/>
        <v>0</v>
      </c>
      <c r="AB131" s="39">
        <f t="shared" si="270"/>
        <v>0</v>
      </c>
      <c r="AC131" s="39">
        <f t="shared" si="270"/>
        <v>0</v>
      </c>
      <c r="AD131" s="39">
        <f t="shared" si="270"/>
        <v>0</v>
      </c>
      <c r="AE131" s="39">
        <f t="shared" si="270"/>
        <v>0</v>
      </c>
      <c r="AF131" s="39">
        <f t="shared" si="270"/>
        <v>0</v>
      </c>
      <c r="AG131" s="39">
        <f t="shared" si="270"/>
        <v>0</v>
      </c>
      <c r="AH131" s="39">
        <f t="shared" si="270"/>
        <v>0</v>
      </c>
      <c r="AI131" s="39">
        <f t="shared" si="270"/>
        <v>0</v>
      </c>
      <c r="AJ131" s="39">
        <f t="shared" si="270"/>
        <v>0</v>
      </c>
      <c r="AK131" s="39">
        <f t="shared" si="270"/>
        <v>0</v>
      </c>
      <c r="AL131" s="39">
        <f t="shared" si="270"/>
        <v>0</v>
      </c>
      <c r="AM131" s="184">
        <f t="shared" si="262"/>
        <v>0</v>
      </c>
      <c r="AN131" s="184">
        <f t="shared" si="256"/>
        <v>0</v>
      </c>
      <c r="AO131" s="184">
        <f t="shared" si="256"/>
        <v>0</v>
      </c>
      <c r="AP131" s="184">
        <f t="shared" si="256"/>
        <v>0</v>
      </c>
      <c r="AQ131" s="184">
        <f t="shared" si="256"/>
        <v>0</v>
      </c>
      <c r="AR131" s="184">
        <f t="shared" si="256"/>
        <v>0</v>
      </c>
      <c r="AS131" s="184">
        <f t="shared" si="256"/>
        <v>0</v>
      </c>
      <c r="AT131" s="184">
        <f t="shared" si="256"/>
        <v>0</v>
      </c>
      <c r="AU131" s="184">
        <f t="shared" si="256"/>
        <v>0</v>
      </c>
      <c r="AV131" s="184">
        <f t="shared" si="256"/>
        <v>0</v>
      </c>
      <c r="AW131" s="184">
        <f t="shared" si="256"/>
        <v>0</v>
      </c>
      <c r="AX131" s="184">
        <f t="shared" si="256"/>
        <v>0</v>
      </c>
      <c r="AY131" s="184">
        <f t="shared" si="256"/>
        <v>0</v>
      </c>
      <c r="AZ131" s="184">
        <f t="shared" si="256"/>
        <v>0</v>
      </c>
      <c r="BA131" s="184">
        <f t="shared" si="256"/>
        <v>0</v>
      </c>
      <c r="BB131" s="184">
        <f t="shared" si="256"/>
        <v>0</v>
      </c>
      <c r="BC131" s="184">
        <f t="shared" si="256"/>
        <v>0</v>
      </c>
      <c r="BD131" s="184">
        <f t="shared" si="256"/>
        <v>0</v>
      </c>
      <c r="BE131" s="184">
        <f t="shared" si="256"/>
        <v>0</v>
      </c>
      <c r="BF131" s="184">
        <f t="shared" si="256"/>
        <v>0</v>
      </c>
    </row>
    <row r="132" spans="2:58">
      <c r="B132" t="s">
        <v>633</v>
      </c>
      <c r="C132" s="109">
        <v>2717.6922305500257</v>
      </c>
      <c r="D132" s="182">
        <f t="shared" ref="D132:I132" si="271">C132+($J132-$C132)/(COLUMN($J132)-COLUMN($C132))</f>
        <v>2645.0455331819471</v>
      </c>
      <c r="E132" s="182">
        <f t="shared" si="271"/>
        <v>2572.3988358138686</v>
      </c>
      <c r="F132" s="182">
        <f t="shared" si="271"/>
        <v>2499.75213844579</v>
      </c>
      <c r="G132" s="182">
        <f t="shared" si="271"/>
        <v>2427.1054410777115</v>
      </c>
      <c r="H132" s="182">
        <f t="shared" si="271"/>
        <v>2354.4587437096329</v>
      </c>
      <c r="I132" s="182">
        <f t="shared" si="271"/>
        <v>2281.8120463415544</v>
      </c>
      <c r="J132" s="109">
        <v>2209.1653489734767</v>
      </c>
      <c r="K132" s="183">
        <f t="shared" si="253"/>
        <v>2209.1653489734767</v>
      </c>
      <c r="L132" s="183">
        <f t="shared" si="253"/>
        <v>2209.1653489734767</v>
      </c>
      <c r="M132" s="183">
        <f t="shared" si="253"/>
        <v>2209.1653489734767</v>
      </c>
      <c r="N132" s="183">
        <f t="shared" si="253"/>
        <v>2209.1653489734767</v>
      </c>
      <c r="O132" s="109">
        <v>2209.1653489734767</v>
      </c>
      <c r="P132" s="183">
        <f t="shared" si="254"/>
        <v>2209.1653489734767</v>
      </c>
      <c r="Q132" s="183">
        <f t="shared" si="254"/>
        <v>2209.1653489734767</v>
      </c>
      <c r="R132" s="183">
        <f t="shared" si="254"/>
        <v>2209.1653489734767</v>
      </c>
      <c r="S132" s="183">
        <f t="shared" si="254"/>
        <v>2209.1653489734767</v>
      </c>
      <c r="T132" s="109">
        <v>2209.1653489734767</v>
      </c>
      <c r="U132" s="195"/>
      <c r="V132" t="s">
        <v>633</v>
      </c>
      <c r="W132" s="39">
        <f t="shared" ref="W132:AL132" si="272">E132/SUM(E125:E157)</f>
        <v>3.5187369392268429E-2</v>
      </c>
      <c r="X132" s="39">
        <f t="shared" si="272"/>
        <v>3.5059638180411162E-2</v>
      </c>
      <c r="Y132" s="39">
        <f t="shared" si="272"/>
        <v>3.4925269004769235E-2</v>
      </c>
      <c r="Z132" s="39">
        <f t="shared" si="272"/>
        <v>3.478373061656731E-2</v>
      </c>
      <c r="AA132" s="39">
        <f t="shared" si="272"/>
        <v>3.4634433524143832E-2</v>
      </c>
      <c r="AB132" s="39">
        <f t="shared" si="272"/>
        <v>3.4476721786273617E-2</v>
      </c>
      <c r="AC132" s="39">
        <f t="shared" si="272"/>
        <v>3.4476721786273617E-2</v>
      </c>
      <c r="AD132" s="39">
        <f t="shared" si="272"/>
        <v>3.4476721786273617E-2</v>
      </c>
      <c r="AE132" s="39">
        <f t="shared" si="272"/>
        <v>3.4476721786273617E-2</v>
      </c>
      <c r="AF132" s="39">
        <f t="shared" si="272"/>
        <v>3.4476721786273617E-2</v>
      </c>
      <c r="AG132" s="39">
        <f t="shared" si="272"/>
        <v>3.4476721786273617E-2</v>
      </c>
      <c r="AH132" s="39">
        <f t="shared" si="272"/>
        <v>3.4476721786273617E-2</v>
      </c>
      <c r="AI132" s="39">
        <f t="shared" si="272"/>
        <v>3.4476721786273617E-2</v>
      </c>
      <c r="AJ132" s="39">
        <f t="shared" si="272"/>
        <v>3.4476721786273617E-2</v>
      </c>
      <c r="AK132" s="39">
        <f t="shared" si="272"/>
        <v>3.4476721786273617E-2</v>
      </c>
      <c r="AL132" s="39">
        <f t="shared" si="272"/>
        <v>3.4476721786273617E-2</v>
      </c>
      <c r="AM132" s="184">
        <f t="shared" si="262"/>
        <v>3.4476721786273617E-2</v>
      </c>
      <c r="AN132" s="184">
        <f t="shared" si="256"/>
        <v>3.4476721786273617E-2</v>
      </c>
      <c r="AO132" s="184">
        <f t="shared" si="256"/>
        <v>3.4476721786273617E-2</v>
      </c>
      <c r="AP132" s="184">
        <f t="shared" si="256"/>
        <v>3.4476721786273617E-2</v>
      </c>
      <c r="AQ132" s="184">
        <f t="shared" si="256"/>
        <v>3.4476721786273617E-2</v>
      </c>
      <c r="AR132" s="184">
        <f t="shared" si="256"/>
        <v>3.4476721786273617E-2</v>
      </c>
      <c r="AS132" s="184">
        <f t="shared" si="256"/>
        <v>3.4476721786273617E-2</v>
      </c>
      <c r="AT132" s="184">
        <f t="shared" si="256"/>
        <v>3.4476721786273617E-2</v>
      </c>
      <c r="AU132" s="184">
        <f t="shared" si="256"/>
        <v>3.4476721786273617E-2</v>
      </c>
      <c r="AV132" s="184">
        <f t="shared" si="256"/>
        <v>3.4476721786273617E-2</v>
      </c>
      <c r="AW132" s="184">
        <f t="shared" si="256"/>
        <v>3.4476721786273617E-2</v>
      </c>
      <c r="AX132" s="184">
        <f t="shared" si="256"/>
        <v>3.4476721786273617E-2</v>
      </c>
      <c r="AY132" s="184">
        <f t="shared" si="256"/>
        <v>3.4476721786273617E-2</v>
      </c>
      <c r="AZ132" s="184">
        <f t="shared" si="256"/>
        <v>3.4476721786273617E-2</v>
      </c>
      <c r="BA132" s="184">
        <f t="shared" si="256"/>
        <v>3.4476721786273617E-2</v>
      </c>
      <c r="BB132" s="184">
        <f t="shared" si="256"/>
        <v>3.4476721786273617E-2</v>
      </c>
      <c r="BC132" s="184">
        <f t="shared" si="256"/>
        <v>3.4476721786273617E-2</v>
      </c>
      <c r="BD132" s="184">
        <f t="shared" si="256"/>
        <v>3.4476721786273617E-2</v>
      </c>
      <c r="BE132" s="184">
        <f t="shared" si="256"/>
        <v>3.4476721786273617E-2</v>
      </c>
      <c r="BF132" s="184">
        <f t="shared" si="256"/>
        <v>3.4476721786273617E-2</v>
      </c>
    </row>
    <row r="133" spans="2:58">
      <c r="B133" t="s">
        <v>634</v>
      </c>
      <c r="C133" s="109">
        <v>1187.890804574509</v>
      </c>
      <c r="D133" s="182">
        <f t="shared" ref="D133:I133" si="273">C133+($J133-$C133)/(COLUMN($J133)-COLUMN($C133))</f>
        <v>1207.2538983195786</v>
      </c>
      <c r="E133" s="182">
        <f t="shared" si="273"/>
        <v>1226.6169920646482</v>
      </c>
      <c r="F133" s="182">
        <f t="shared" si="273"/>
        <v>1245.9800858097178</v>
      </c>
      <c r="G133" s="182">
        <f t="shared" si="273"/>
        <v>1265.3431795547874</v>
      </c>
      <c r="H133" s="182">
        <f t="shared" si="273"/>
        <v>1284.706273299857</v>
      </c>
      <c r="I133" s="182">
        <f t="shared" si="273"/>
        <v>1304.0693670449266</v>
      </c>
      <c r="J133" s="109">
        <v>1323.4324607899962</v>
      </c>
      <c r="K133" s="183">
        <f t="shared" si="253"/>
        <v>1323.4324607899962</v>
      </c>
      <c r="L133" s="183">
        <f t="shared" si="253"/>
        <v>1323.4324607899962</v>
      </c>
      <c r="M133" s="183">
        <f t="shared" si="253"/>
        <v>1323.4324607899962</v>
      </c>
      <c r="N133" s="183">
        <f t="shared" si="253"/>
        <v>1323.4324607899962</v>
      </c>
      <c r="O133" s="109">
        <v>1323.4324607899962</v>
      </c>
      <c r="P133" s="183">
        <f t="shared" si="254"/>
        <v>1323.4324607899962</v>
      </c>
      <c r="Q133" s="183">
        <f t="shared" si="254"/>
        <v>1323.4324607899962</v>
      </c>
      <c r="R133" s="183">
        <f t="shared" si="254"/>
        <v>1323.4324607899962</v>
      </c>
      <c r="S133" s="183">
        <f t="shared" si="254"/>
        <v>1323.4324607899962</v>
      </c>
      <c r="T133" s="109">
        <v>1323.4324607899962</v>
      </c>
      <c r="U133" s="195"/>
      <c r="V133" t="s">
        <v>634</v>
      </c>
      <c r="W133" s="39">
        <f t="shared" ref="W133:AL133" si="274">E133/SUM(E125:E157)</f>
        <v>1.6778667678473094E-2</v>
      </c>
      <c r="X133" s="39">
        <f t="shared" si="274"/>
        <v>1.747517696520362E-2</v>
      </c>
      <c r="Y133" s="39">
        <f t="shared" si="274"/>
        <v>1.820788260013876E-2</v>
      </c>
      <c r="Z133" s="39">
        <f t="shared" si="274"/>
        <v>1.8979681445370614E-2</v>
      </c>
      <c r="AA133" s="39">
        <f t="shared" si="274"/>
        <v>1.979378795734045E-2</v>
      </c>
      <c r="AB133" s="39">
        <f t="shared" si="274"/>
        <v>2.0653778937272282E-2</v>
      </c>
      <c r="AC133" s="39">
        <f t="shared" si="274"/>
        <v>2.0653778937272282E-2</v>
      </c>
      <c r="AD133" s="39">
        <f t="shared" si="274"/>
        <v>2.0653778937272282E-2</v>
      </c>
      <c r="AE133" s="39">
        <f t="shared" si="274"/>
        <v>2.0653778937272282E-2</v>
      </c>
      <c r="AF133" s="39">
        <f t="shared" si="274"/>
        <v>2.0653778937272282E-2</v>
      </c>
      <c r="AG133" s="39">
        <f t="shared" si="274"/>
        <v>2.0653778937272282E-2</v>
      </c>
      <c r="AH133" s="39">
        <f t="shared" si="274"/>
        <v>2.0653778937272282E-2</v>
      </c>
      <c r="AI133" s="39">
        <f t="shared" si="274"/>
        <v>2.0653778937272282E-2</v>
      </c>
      <c r="AJ133" s="39">
        <f t="shared" si="274"/>
        <v>2.0653778937272282E-2</v>
      </c>
      <c r="AK133" s="39">
        <f t="shared" si="274"/>
        <v>2.0653778937272282E-2</v>
      </c>
      <c r="AL133" s="39">
        <f t="shared" si="274"/>
        <v>2.0653778937272282E-2</v>
      </c>
      <c r="AM133" s="184">
        <f t="shared" si="262"/>
        <v>2.0653778937272282E-2</v>
      </c>
      <c r="AN133" s="184">
        <f t="shared" si="256"/>
        <v>2.0653778937272282E-2</v>
      </c>
      <c r="AO133" s="184">
        <f t="shared" si="256"/>
        <v>2.0653778937272282E-2</v>
      </c>
      <c r="AP133" s="184">
        <f t="shared" si="256"/>
        <v>2.0653778937272282E-2</v>
      </c>
      <c r="AQ133" s="184">
        <f t="shared" si="256"/>
        <v>2.0653778937272282E-2</v>
      </c>
      <c r="AR133" s="184">
        <f t="shared" si="256"/>
        <v>2.0653778937272282E-2</v>
      </c>
      <c r="AS133" s="184">
        <f t="shared" si="256"/>
        <v>2.0653778937272282E-2</v>
      </c>
      <c r="AT133" s="184">
        <f t="shared" si="256"/>
        <v>2.0653778937272282E-2</v>
      </c>
      <c r="AU133" s="184">
        <f t="shared" si="256"/>
        <v>2.0653778937272282E-2</v>
      </c>
      <c r="AV133" s="184">
        <f t="shared" si="256"/>
        <v>2.0653778937272282E-2</v>
      </c>
      <c r="AW133" s="184">
        <f t="shared" si="256"/>
        <v>2.0653778937272282E-2</v>
      </c>
      <c r="AX133" s="184">
        <f t="shared" si="256"/>
        <v>2.0653778937272282E-2</v>
      </c>
      <c r="AY133" s="184">
        <f t="shared" si="256"/>
        <v>2.0653778937272282E-2</v>
      </c>
      <c r="AZ133" s="184">
        <f t="shared" si="256"/>
        <v>2.0653778937272282E-2</v>
      </c>
      <c r="BA133" s="184">
        <f t="shared" si="256"/>
        <v>2.0653778937272282E-2</v>
      </c>
      <c r="BB133" s="184">
        <f t="shared" si="256"/>
        <v>2.0653778937272282E-2</v>
      </c>
      <c r="BC133" s="184">
        <f t="shared" si="256"/>
        <v>2.0653778937272282E-2</v>
      </c>
      <c r="BD133" s="184">
        <f t="shared" si="256"/>
        <v>2.0653778937272282E-2</v>
      </c>
      <c r="BE133" s="184">
        <f t="shared" si="256"/>
        <v>2.0653778937272282E-2</v>
      </c>
      <c r="BF133" s="184">
        <f t="shared" si="256"/>
        <v>2.0653778937272282E-2</v>
      </c>
    </row>
    <row r="134" spans="2:58">
      <c r="B134" t="s">
        <v>635</v>
      </c>
      <c r="C134" s="109">
        <v>13480.351418482418</v>
      </c>
      <c r="D134" s="182">
        <f t="shared" ref="D134:I134" si="275">C134+($J134-$C134)/(COLUMN($J134)-COLUMN($C134))</f>
        <v>12931.279131314641</v>
      </c>
      <c r="E134" s="182">
        <f t="shared" si="275"/>
        <v>12382.206844146864</v>
      </c>
      <c r="F134" s="182">
        <f t="shared" si="275"/>
        <v>11833.134556979086</v>
      </c>
      <c r="G134" s="182">
        <f t="shared" si="275"/>
        <v>11284.062269811309</v>
      </c>
      <c r="H134" s="182">
        <f t="shared" si="275"/>
        <v>10734.989982643532</v>
      </c>
      <c r="I134" s="182">
        <f t="shared" si="275"/>
        <v>10185.917695475755</v>
      </c>
      <c r="J134" s="109">
        <v>9636.8454083079796</v>
      </c>
      <c r="K134" s="183">
        <f t="shared" si="253"/>
        <v>9636.8454083079796</v>
      </c>
      <c r="L134" s="183">
        <f t="shared" si="253"/>
        <v>9636.8454083079796</v>
      </c>
      <c r="M134" s="183">
        <f t="shared" si="253"/>
        <v>9636.8454083079796</v>
      </c>
      <c r="N134" s="183">
        <f t="shared" si="253"/>
        <v>9636.8454083079796</v>
      </c>
      <c r="O134" s="109">
        <v>9636.8454083079796</v>
      </c>
      <c r="P134" s="183">
        <f t="shared" si="254"/>
        <v>9636.8454083079796</v>
      </c>
      <c r="Q134" s="183">
        <f t="shared" si="254"/>
        <v>9636.8454083079796</v>
      </c>
      <c r="R134" s="183">
        <f t="shared" si="254"/>
        <v>9636.8454083079796</v>
      </c>
      <c r="S134" s="183">
        <f t="shared" si="254"/>
        <v>9636.8454083079796</v>
      </c>
      <c r="T134" s="109">
        <v>9636.8454083079796</v>
      </c>
      <c r="U134" s="195"/>
      <c r="V134" t="s">
        <v>635</v>
      </c>
      <c r="W134" s="39">
        <f t="shared" ref="W134:AL134" si="276">E134/SUM(E125:E157)</f>
        <v>0.16937392446712948</v>
      </c>
      <c r="X134" s="39">
        <f t="shared" si="276"/>
        <v>0.16596262074437007</v>
      </c>
      <c r="Y134" s="39">
        <f t="shared" si="276"/>
        <v>0.16237403763749733</v>
      </c>
      <c r="Z134" s="39">
        <f t="shared" si="276"/>
        <v>0.1585939871426652</v>
      </c>
      <c r="AA134" s="39">
        <f t="shared" si="276"/>
        <v>0.15460672576953727</v>
      </c>
      <c r="AB134" s="39">
        <f t="shared" si="276"/>
        <v>0.15039473536643433</v>
      </c>
      <c r="AC134" s="39">
        <f t="shared" si="276"/>
        <v>0.15039473536643433</v>
      </c>
      <c r="AD134" s="39">
        <f t="shared" si="276"/>
        <v>0.15039473536643433</v>
      </c>
      <c r="AE134" s="39">
        <f t="shared" si="276"/>
        <v>0.15039473536643433</v>
      </c>
      <c r="AF134" s="39">
        <f t="shared" si="276"/>
        <v>0.15039473536643433</v>
      </c>
      <c r="AG134" s="39">
        <f t="shared" si="276"/>
        <v>0.15039473536643433</v>
      </c>
      <c r="AH134" s="39">
        <f t="shared" si="276"/>
        <v>0.15039473536643433</v>
      </c>
      <c r="AI134" s="39">
        <f t="shared" si="276"/>
        <v>0.15039473536643433</v>
      </c>
      <c r="AJ134" s="39">
        <f t="shared" si="276"/>
        <v>0.15039473536643433</v>
      </c>
      <c r="AK134" s="39">
        <f t="shared" si="276"/>
        <v>0.15039473536643433</v>
      </c>
      <c r="AL134" s="39">
        <f t="shared" si="276"/>
        <v>0.15039473536643433</v>
      </c>
      <c r="AM134" s="184">
        <f t="shared" si="262"/>
        <v>0.15039473536643433</v>
      </c>
      <c r="AN134" s="184">
        <f t="shared" si="256"/>
        <v>0.15039473536643433</v>
      </c>
      <c r="AO134" s="184">
        <f t="shared" si="256"/>
        <v>0.15039473536643433</v>
      </c>
      <c r="AP134" s="184">
        <f t="shared" si="256"/>
        <v>0.15039473536643433</v>
      </c>
      <c r="AQ134" s="184">
        <f t="shared" si="256"/>
        <v>0.15039473536643433</v>
      </c>
      <c r="AR134" s="184">
        <f t="shared" si="256"/>
        <v>0.15039473536643433</v>
      </c>
      <c r="AS134" s="184">
        <f t="shared" si="256"/>
        <v>0.15039473536643433</v>
      </c>
      <c r="AT134" s="184">
        <f t="shared" si="256"/>
        <v>0.15039473536643433</v>
      </c>
      <c r="AU134" s="184">
        <f t="shared" si="256"/>
        <v>0.15039473536643433</v>
      </c>
      <c r="AV134" s="184">
        <f t="shared" si="256"/>
        <v>0.15039473536643433</v>
      </c>
      <c r="AW134" s="184">
        <f t="shared" si="256"/>
        <v>0.15039473536643433</v>
      </c>
      <c r="AX134" s="184">
        <f t="shared" si="256"/>
        <v>0.15039473536643433</v>
      </c>
      <c r="AY134" s="184">
        <f t="shared" si="256"/>
        <v>0.15039473536643433</v>
      </c>
      <c r="AZ134" s="184">
        <f t="shared" si="256"/>
        <v>0.15039473536643433</v>
      </c>
      <c r="BA134" s="184">
        <f t="shared" si="256"/>
        <v>0.15039473536643433</v>
      </c>
      <c r="BB134" s="184">
        <f t="shared" si="256"/>
        <v>0.15039473536643433</v>
      </c>
      <c r="BC134" s="184">
        <f t="shared" si="256"/>
        <v>0.15039473536643433</v>
      </c>
      <c r="BD134" s="184">
        <f t="shared" si="256"/>
        <v>0.15039473536643433</v>
      </c>
      <c r="BE134" s="184">
        <f t="shared" si="256"/>
        <v>0.15039473536643433</v>
      </c>
      <c r="BF134" s="184">
        <f t="shared" si="256"/>
        <v>0.15039473536643433</v>
      </c>
    </row>
    <row r="135" spans="2:58">
      <c r="B135" t="s">
        <v>636</v>
      </c>
      <c r="C135" s="109">
        <v>559.7475476358627</v>
      </c>
      <c r="D135" s="182">
        <f t="shared" ref="D135:I135" si="277">C135+($J135-$C135)/(COLUMN($J135)-COLUMN($C135))</f>
        <v>547.48829954055145</v>
      </c>
      <c r="E135" s="182">
        <f t="shared" si="277"/>
        <v>535.2290514452402</v>
      </c>
      <c r="F135" s="182">
        <f t="shared" si="277"/>
        <v>522.96980334992895</v>
      </c>
      <c r="G135" s="182">
        <f t="shared" si="277"/>
        <v>510.71055525461776</v>
      </c>
      <c r="H135" s="182">
        <f t="shared" si="277"/>
        <v>498.45130715930657</v>
      </c>
      <c r="I135" s="182">
        <f t="shared" si="277"/>
        <v>486.19205906399537</v>
      </c>
      <c r="J135" s="109">
        <v>473.93281096868418</v>
      </c>
      <c r="K135" s="183">
        <f t="shared" si="253"/>
        <v>473.93281096868418</v>
      </c>
      <c r="L135" s="183">
        <f t="shared" si="253"/>
        <v>473.93281096868418</v>
      </c>
      <c r="M135" s="183">
        <f t="shared" si="253"/>
        <v>473.93281096868418</v>
      </c>
      <c r="N135" s="183">
        <f t="shared" si="253"/>
        <v>473.93281096868418</v>
      </c>
      <c r="O135" s="109">
        <v>473.93281096868418</v>
      </c>
      <c r="P135" s="183">
        <f t="shared" si="254"/>
        <v>473.93281096868418</v>
      </c>
      <c r="Q135" s="183">
        <f t="shared" si="254"/>
        <v>473.93281096868418</v>
      </c>
      <c r="R135" s="183">
        <f t="shared" si="254"/>
        <v>473.93281096868418</v>
      </c>
      <c r="S135" s="183">
        <f t="shared" si="254"/>
        <v>473.93281096868418</v>
      </c>
      <c r="T135" s="109">
        <v>473.93281096868418</v>
      </c>
      <c r="U135" s="195"/>
      <c r="V135" t="s">
        <v>636</v>
      </c>
      <c r="W135" s="39">
        <f t="shared" ref="W135:AL135" si="278">E135/SUM(E125:E157)</f>
        <v>7.3212995125301146E-3</v>
      </c>
      <c r="X135" s="39">
        <f t="shared" si="278"/>
        <v>7.3347800378837065E-3</v>
      </c>
      <c r="Y135" s="39">
        <f t="shared" si="278"/>
        <v>7.3489611221515486E-3</v>
      </c>
      <c r="Z135" s="39">
        <f t="shared" si="278"/>
        <v>7.3638988323863367E-3</v>
      </c>
      <c r="AA135" s="39">
        <f t="shared" si="278"/>
        <v>7.3796553824915711E-3</v>
      </c>
      <c r="AB135" s="39">
        <f t="shared" si="278"/>
        <v>7.3962999993397527E-3</v>
      </c>
      <c r="AC135" s="39">
        <f t="shared" si="278"/>
        <v>7.3962999993397527E-3</v>
      </c>
      <c r="AD135" s="39">
        <f t="shared" si="278"/>
        <v>7.3962999993397527E-3</v>
      </c>
      <c r="AE135" s="39">
        <f t="shared" si="278"/>
        <v>7.3962999993397527E-3</v>
      </c>
      <c r="AF135" s="39">
        <f t="shared" si="278"/>
        <v>7.3962999993397527E-3</v>
      </c>
      <c r="AG135" s="39">
        <f t="shared" si="278"/>
        <v>7.3962999993397527E-3</v>
      </c>
      <c r="AH135" s="39">
        <f t="shared" si="278"/>
        <v>7.3962999993397527E-3</v>
      </c>
      <c r="AI135" s="39">
        <f t="shared" si="278"/>
        <v>7.3962999993397527E-3</v>
      </c>
      <c r="AJ135" s="39">
        <f t="shared" si="278"/>
        <v>7.3962999993397527E-3</v>
      </c>
      <c r="AK135" s="39">
        <f t="shared" si="278"/>
        <v>7.3962999993397527E-3</v>
      </c>
      <c r="AL135" s="39">
        <f t="shared" si="278"/>
        <v>7.3962999993397527E-3</v>
      </c>
      <c r="AM135" s="184">
        <f t="shared" si="262"/>
        <v>7.3962999993397527E-3</v>
      </c>
      <c r="AN135" s="184">
        <f t="shared" si="256"/>
        <v>7.3962999993397527E-3</v>
      </c>
      <c r="AO135" s="184">
        <f t="shared" si="256"/>
        <v>7.3962999993397527E-3</v>
      </c>
      <c r="AP135" s="184">
        <f t="shared" si="256"/>
        <v>7.3962999993397527E-3</v>
      </c>
      <c r="AQ135" s="184">
        <f t="shared" si="256"/>
        <v>7.3962999993397527E-3</v>
      </c>
      <c r="AR135" s="184">
        <f t="shared" si="256"/>
        <v>7.3962999993397527E-3</v>
      </c>
      <c r="AS135" s="184">
        <f t="shared" si="256"/>
        <v>7.3962999993397527E-3</v>
      </c>
      <c r="AT135" s="184">
        <f t="shared" si="256"/>
        <v>7.3962999993397527E-3</v>
      </c>
      <c r="AU135" s="184">
        <f t="shared" si="256"/>
        <v>7.3962999993397527E-3</v>
      </c>
      <c r="AV135" s="184">
        <f t="shared" si="256"/>
        <v>7.3962999993397527E-3</v>
      </c>
      <c r="AW135" s="184">
        <f t="shared" si="256"/>
        <v>7.3962999993397527E-3</v>
      </c>
      <c r="AX135" s="184">
        <f t="shared" si="256"/>
        <v>7.3962999993397527E-3</v>
      </c>
      <c r="AY135" s="184">
        <f t="shared" si="256"/>
        <v>7.3962999993397527E-3</v>
      </c>
      <c r="AZ135" s="184">
        <f t="shared" si="256"/>
        <v>7.3962999993397527E-3</v>
      </c>
      <c r="BA135" s="184">
        <f t="shared" si="256"/>
        <v>7.3962999993397527E-3</v>
      </c>
      <c r="BB135" s="184">
        <f t="shared" si="256"/>
        <v>7.3962999993397527E-3</v>
      </c>
      <c r="BC135" s="184">
        <f t="shared" si="256"/>
        <v>7.3962999993397527E-3</v>
      </c>
      <c r="BD135" s="184">
        <f t="shared" si="256"/>
        <v>7.3962999993397527E-3</v>
      </c>
      <c r="BE135" s="184">
        <f t="shared" si="256"/>
        <v>7.3962999993397527E-3</v>
      </c>
      <c r="BF135" s="184">
        <f t="shared" si="256"/>
        <v>7.3962999993397527E-3</v>
      </c>
    </row>
    <row r="136" spans="2:58">
      <c r="B136" t="s">
        <v>637</v>
      </c>
      <c r="C136" s="109">
        <v>555.57057375106751</v>
      </c>
      <c r="D136" s="182">
        <f t="shared" ref="D136:I136" si="279">C136+($J136-$C136)/(COLUMN($J136)-COLUMN($C136))</f>
        <v>555.57057375106751</v>
      </c>
      <c r="E136" s="182">
        <f t="shared" si="279"/>
        <v>555.57057375106751</v>
      </c>
      <c r="F136" s="182">
        <f t="shared" si="279"/>
        <v>555.57057375106751</v>
      </c>
      <c r="G136" s="182">
        <f t="shared" si="279"/>
        <v>555.57057375106751</v>
      </c>
      <c r="H136" s="182">
        <f t="shared" si="279"/>
        <v>555.57057375106751</v>
      </c>
      <c r="I136" s="182">
        <f t="shared" si="279"/>
        <v>555.57057375106751</v>
      </c>
      <c r="J136" s="109">
        <v>555.57057375106751</v>
      </c>
      <c r="K136" s="183">
        <f t="shared" si="253"/>
        <v>555.57057375106751</v>
      </c>
      <c r="L136" s="183">
        <f t="shared" si="253"/>
        <v>555.57057375106751</v>
      </c>
      <c r="M136" s="183">
        <f t="shared" si="253"/>
        <v>555.57057375106751</v>
      </c>
      <c r="N136" s="183">
        <f t="shared" si="253"/>
        <v>555.57057375106751</v>
      </c>
      <c r="O136" s="109">
        <v>555.57057375106751</v>
      </c>
      <c r="P136" s="183">
        <f t="shared" si="254"/>
        <v>555.57057375106751</v>
      </c>
      <c r="Q136" s="183">
        <f t="shared" si="254"/>
        <v>555.57057375106751</v>
      </c>
      <c r="R136" s="183">
        <f t="shared" si="254"/>
        <v>555.57057375106751</v>
      </c>
      <c r="S136" s="183">
        <f t="shared" si="254"/>
        <v>555.57057375106751</v>
      </c>
      <c r="T136" s="109">
        <v>555.57057375106751</v>
      </c>
      <c r="U136" s="195"/>
      <c r="V136" t="s">
        <v>637</v>
      </c>
      <c r="W136" s="39">
        <f t="shared" ref="W136:AL136" si="280">E136/SUM(E125:E157)</f>
        <v>7.5995474457087016E-3</v>
      </c>
      <c r="X136" s="39">
        <f t="shared" si="280"/>
        <v>7.7920138560242571E-3</v>
      </c>
      <c r="Y136" s="39">
        <f t="shared" si="280"/>
        <v>7.9944824031931115E-3</v>
      </c>
      <c r="Z136" s="39">
        <f t="shared" si="280"/>
        <v>8.2077535771134889E-3</v>
      </c>
      <c r="AA136" s="39">
        <f t="shared" si="280"/>
        <v>8.4327156285297147E-3</v>
      </c>
      <c r="AB136" s="39">
        <f t="shared" si="280"/>
        <v>8.6703569349194654E-3</v>
      </c>
      <c r="AC136" s="39">
        <f t="shared" si="280"/>
        <v>8.6703569349194654E-3</v>
      </c>
      <c r="AD136" s="39">
        <f t="shared" si="280"/>
        <v>8.6703569349194654E-3</v>
      </c>
      <c r="AE136" s="39">
        <f t="shared" si="280"/>
        <v>8.6703569349194654E-3</v>
      </c>
      <c r="AF136" s="39">
        <f t="shared" si="280"/>
        <v>8.6703569349194654E-3</v>
      </c>
      <c r="AG136" s="39">
        <f t="shared" si="280"/>
        <v>8.6703569349194654E-3</v>
      </c>
      <c r="AH136" s="39">
        <f t="shared" si="280"/>
        <v>8.6703569349194654E-3</v>
      </c>
      <c r="AI136" s="39">
        <f t="shared" si="280"/>
        <v>8.6703569349194654E-3</v>
      </c>
      <c r="AJ136" s="39">
        <f t="shared" si="280"/>
        <v>8.6703569349194654E-3</v>
      </c>
      <c r="AK136" s="39">
        <f t="shared" si="280"/>
        <v>8.6703569349194654E-3</v>
      </c>
      <c r="AL136" s="39">
        <f t="shared" si="280"/>
        <v>8.6703569349194654E-3</v>
      </c>
      <c r="AM136" s="184">
        <f t="shared" si="262"/>
        <v>8.6703569349194654E-3</v>
      </c>
      <c r="AN136" s="184">
        <f t="shared" si="256"/>
        <v>8.6703569349194654E-3</v>
      </c>
      <c r="AO136" s="184">
        <f t="shared" si="256"/>
        <v>8.6703569349194654E-3</v>
      </c>
      <c r="AP136" s="184">
        <f t="shared" si="256"/>
        <v>8.6703569349194654E-3</v>
      </c>
      <c r="AQ136" s="184">
        <f t="shared" si="256"/>
        <v>8.6703569349194654E-3</v>
      </c>
      <c r="AR136" s="184">
        <f t="shared" si="256"/>
        <v>8.6703569349194654E-3</v>
      </c>
      <c r="AS136" s="184">
        <f t="shared" si="256"/>
        <v>8.6703569349194654E-3</v>
      </c>
      <c r="AT136" s="184">
        <f t="shared" si="256"/>
        <v>8.6703569349194654E-3</v>
      </c>
      <c r="AU136" s="184">
        <f t="shared" si="256"/>
        <v>8.6703569349194654E-3</v>
      </c>
      <c r="AV136" s="184">
        <f t="shared" si="256"/>
        <v>8.6703569349194654E-3</v>
      </c>
      <c r="AW136" s="184">
        <f t="shared" si="256"/>
        <v>8.6703569349194654E-3</v>
      </c>
      <c r="AX136" s="184">
        <f t="shared" si="256"/>
        <v>8.6703569349194654E-3</v>
      </c>
      <c r="AY136" s="184">
        <f t="shared" si="256"/>
        <v>8.6703569349194654E-3</v>
      </c>
      <c r="AZ136" s="184">
        <f t="shared" si="256"/>
        <v>8.6703569349194654E-3</v>
      </c>
      <c r="BA136" s="184">
        <f t="shared" si="256"/>
        <v>8.6703569349194654E-3</v>
      </c>
      <c r="BB136" s="184">
        <f t="shared" si="256"/>
        <v>8.6703569349194654E-3</v>
      </c>
      <c r="BC136" s="184">
        <f t="shared" si="256"/>
        <v>8.6703569349194654E-3</v>
      </c>
      <c r="BD136" s="184">
        <f t="shared" si="256"/>
        <v>8.6703569349194654E-3</v>
      </c>
      <c r="BE136" s="184">
        <f t="shared" si="256"/>
        <v>8.6703569349194654E-3</v>
      </c>
      <c r="BF136" s="184">
        <f t="shared" si="256"/>
        <v>8.6703569349194654E-3</v>
      </c>
    </row>
    <row r="137" spans="2:58">
      <c r="B137" t="s">
        <v>638</v>
      </c>
      <c r="C137" s="109">
        <v>769.32754530159718</v>
      </c>
      <c r="D137" s="182">
        <f t="shared" ref="D137:I137" si="281">C137+($J137-$C137)/(COLUMN($J137)-COLUMN($C137))</f>
        <v>769.32754530159718</v>
      </c>
      <c r="E137" s="182">
        <f t="shared" si="281"/>
        <v>769.32754530159718</v>
      </c>
      <c r="F137" s="182">
        <f t="shared" si="281"/>
        <v>769.32754530159718</v>
      </c>
      <c r="G137" s="182">
        <f t="shared" si="281"/>
        <v>769.32754530159718</v>
      </c>
      <c r="H137" s="182">
        <f t="shared" si="281"/>
        <v>769.32754530159718</v>
      </c>
      <c r="I137" s="182">
        <f t="shared" si="281"/>
        <v>769.32754530159718</v>
      </c>
      <c r="J137" s="109">
        <v>769.32754530159718</v>
      </c>
      <c r="K137" s="183">
        <f t="shared" si="253"/>
        <v>769.32754530159718</v>
      </c>
      <c r="L137" s="183">
        <f t="shared" si="253"/>
        <v>769.32754530159718</v>
      </c>
      <c r="M137" s="183">
        <f t="shared" si="253"/>
        <v>769.32754530159718</v>
      </c>
      <c r="N137" s="183">
        <f t="shared" si="253"/>
        <v>769.32754530159718</v>
      </c>
      <c r="O137" s="109">
        <v>769.32754530159718</v>
      </c>
      <c r="P137" s="183">
        <f t="shared" si="254"/>
        <v>769.32754530159718</v>
      </c>
      <c r="Q137" s="183">
        <f t="shared" si="254"/>
        <v>769.32754530159718</v>
      </c>
      <c r="R137" s="183">
        <f t="shared" si="254"/>
        <v>769.32754530159718</v>
      </c>
      <c r="S137" s="183">
        <f t="shared" si="254"/>
        <v>769.32754530159718</v>
      </c>
      <c r="T137" s="109">
        <v>769.32754530159718</v>
      </c>
      <c r="U137" s="195"/>
      <c r="V137" t="s">
        <v>638</v>
      </c>
      <c r="W137" s="39">
        <f t="shared" ref="W137:AL137" si="282">E137/SUM(E125:E157)</f>
        <v>1.0523489648373165E-2</v>
      </c>
      <c r="X137" s="39">
        <f t="shared" si="282"/>
        <v>1.0790007923452688E-2</v>
      </c>
      <c r="Y137" s="39">
        <f t="shared" si="282"/>
        <v>1.1070376679023225E-2</v>
      </c>
      <c r="Z137" s="39">
        <f t="shared" si="282"/>
        <v>1.1365704395190695E-2</v>
      </c>
      <c r="AA137" s="39">
        <f t="shared" si="282"/>
        <v>1.1677221079081162E-2</v>
      </c>
      <c r="AB137" s="39">
        <f t="shared" si="282"/>
        <v>1.2006295388529754E-2</v>
      </c>
      <c r="AC137" s="39">
        <f t="shared" si="282"/>
        <v>1.2006295388529754E-2</v>
      </c>
      <c r="AD137" s="39">
        <f t="shared" si="282"/>
        <v>1.2006295388529754E-2</v>
      </c>
      <c r="AE137" s="39">
        <f t="shared" si="282"/>
        <v>1.2006295388529754E-2</v>
      </c>
      <c r="AF137" s="39">
        <f t="shared" si="282"/>
        <v>1.2006295388529754E-2</v>
      </c>
      <c r="AG137" s="39">
        <f t="shared" si="282"/>
        <v>1.2006295388529754E-2</v>
      </c>
      <c r="AH137" s="39">
        <f t="shared" si="282"/>
        <v>1.2006295388529754E-2</v>
      </c>
      <c r="AI137" s="39">
        <f t="shared" si="282"/>
        <v>1.2006295388529754E-2</v>
      </c>
      <c r="AJ137" s="39">
        <f t="shared" si="282"/>
        <v>1.2006295388529754E-2</v>
      </c>
      <c r="AK137" s="39">
        <f t="shared" si="282"/>
        <v>1.2006295388529754E-2</v>
      </c>
      <c r="AL137" s="39">
        <f t="shared" si="282"/>
        <v>1.2006295388529754E-2</v>
      </c>
      <c r="AM137" s="184">
        <f t="shared" si="262"/>
        <v>1.2006295388529754E-2</v>
      </c>
      <c r="AN137" s="184">
        <f t="shared" si="256"/>
        <v>1.2006295388529754E-2</v>
      </c>
      <c r="AO137" s="184">
        <f t="shared" si="256"/>
        <v>1.2006295388529754E-2</v>
      </c>
      <c r="AP137" s="184">
        <f t="shared" si="256"/>
        <v>1.2006295388529754E-2</v>
      </c>
      <c r="AQ137" s="184">
        <f t="shared" si="256"/>
        <v>1.2006295388529754E-2</v>
      </c>
      <c r="AR137" s="184">
        <f t="shared" si="256"/>
        <v>1.2006295388529754E-2</v>
      </c>
      <c r="AS137" s="184">
        <f t="shared" si="256"/>
        <v>1.2006295388529754E-2</v>
      </c>
      <c r="AT137" s="184">
        <f t="shared" si="256"/>
        <v>1.2006295388529754E-2</v>
      </c>
      <c r="AU137" s="184">
        <f t="shared" si="256"/>
        <v>1.2006295388529754E-2</v>
      </c>
      <c r="AV137" s="184">
        <f t="shared" si="256"/>
        <v>1.2006295388529754E-2</v>
      </c>
      <c r="AW137" s="184">
        <f t="shared" si="256"/>
        <v>1.2006295388529754E-2</v>
      </c>
      <c r="AX137" s="184">
        <f t="shared" si="256"/>
        <v>1.2006295388529754E-2</v>
      </c>
      <c r="AY137" s="184">
        <f t="shared" si="256"/>
        <v>1.2006295388529754E-2</v>
      </c>
      <c r="AZ137" s="184">
        <f t="shared" si="256"/>
        <v>1.2006295388529754E-2</v>
      </c>
      <c r="BA137" s="184">
        <f t="shared" si="256"/>
        <v>1.2006295388529754E-2</v>
      </c>
      <c r="BB137" s="184">
        <f t="shared" si="256"/>
        <v>1.2006295388529754E-2</v>
      </c>
      <c r="BC137" s="184">
        <f t="shared" si="256"/>
        <v>1.2006295388529754E-2</v>
      </c>
      <c r="BD137" s="184">
        <f t="shared" si="256"/>
        <v>1.2006295388529754E-2</v>
      </c>
      <c r="BE137" s="184">
        <f t="shared" si="256"/>
        <v>1.2006295388529754E-2</v>
      </c>
      <c r="BF137" s="184">
        <f t="shared" si="256"/>
        <v>1.2006295388529754E-2</v>
      </c>
    </row>
    <row r="138" spans="2:58">
      <c r="B138" t="s">
        <v>639</v>
      </c>
      <c r="C138" s="109">
        <v>2674.7227728391204</v>
      </c>
      <c r="D138" s="182">
        <f t="shared" ref="D138:I138" si="283">C138+($J138-$C138)/(COLUMN($J138)-COLUMN($C138))</f>
        <v>2578.643008285756</v>
      </c>
      <c r="E138" s="182">
        <f t="shared" si="283"/>
        <v>2482.5632437323916</v>
      </c>
      <c r="F138" s="182">
        <f t="shared" si="283"/>
        <v>2386.4834791790272</v>
      </c>
      <c r="G138" s="182">
        <f t="shared" si="283"/>
        <v>2290.4037146256628</v>
      </c>
      <c r="H138" s="182">
        <f t="shared" si="283"/>
        <v>2194.3239500722984</v>
      </c>
      <c r="I138" s="182">
        <f t="shared" si="283"/>
        <v>2098.244185518934</v>
      </c>
      <c r="J138" s="109">
        <v>2002.1644209655683</v>
      </c>
      <c r="K138" s="183">
        <f t="shared" si="253"/>
        <v>2002.1644209655683</v>
      </c>
      <c r="L138" s="183">
        <f t="shared" si="253"/>
        <v>2002.1644209655683</v>
      </c>
      <c r="M138" s="183">
        <f t="shared" si="253"/>
        <v>2002.1644209655683</v>
      </c>
      <c r="N138" s="183">
        <f t="shared" si="253"/>
        <v>2002.1644209655683</v>
      </c>
      <c r="O138" s="109">
        <v>2002.1644209655683</v>
      </c>
      <c r="P138" s="183">
        <f t="shared" si="254"/>
        <v>2002.1644209655683</v>
      </c>
      <c r="Q138" s="183">
        <f t="shared" si="254"/>
        <v>2002.1644209655683</v>
      </c>
      <c r="R138" s="183">
        <f t="shared" si="254"/>
        <v>2002.1644209655683</v>
      </c>
      <c r="S138" s="183">
        <f t="shared" si="254"/>
        <v>2002.1644209655683</v>
      </c>
      <c r="T138" s="109">
        <v>2002.1644209655683</v>
      </c>
      <c r="U138" s="195"/>
      <c r="V138" t="s">
        <v>639</v>
      </c>
      <c r="W138" s="39">
        <f t="shared" ref="W138:AL138" si="284">E138/SUM(E125:E157)</f>
        <v>3.3958524891511237E-2</v>
      </c>
      <c r="X138" s="39">
        <f t="shared" si="284"/>
        <v>3.3471017392774985E-2</v>
      </c>
      <c r="Y138" s="39">
        <f t="shared" si="284"/>
        <v>3.2958174996840922E-2</v>
      </c>
      <c r="Z138" s="39">
        <f t="shared" si="284"/>
        <v>3.2417970104049454E-2</v>
      </c>
      <c r="AA138" s="39">
        <f t="shared" si="284"/>
        <v>3.1848152821040442E-2</v>
      </c>
      <c r="AB138" s="39">
        <f t="shared" si="284"/>
        <v>3.1246219638598118E-2</v>
      </c>
      <c r="AC138" s="39">
        <f t="shared" si="284"/>
        <v>3.1246219638598118E-2</v>
      </c>
      <c r="AD138" s="39">
        <f t="shared" si="284"/>
        <v>3.1246219638598118E-2</v>
      </c>
      <c r="AE138" s="39">
        <f t="shared" si="284"/>
        <v>3.1246219638598118E-2</v>
      </c>
      <c r="AF138" s="39">
        <f t="shared" si="284"/>
        <v>3.1246219638598118E-2</v>
      </c>
      <c r="AG138" s="39">
        <f t="shared" si="284"/>
        <v>3.1246219638598118E-2</v>
      </c>
      <c r="AH138" s="39">
        <f t="shared" si="284"/>
        <v>3.1246219638598118E-2</v>
      </c>
      <c r="AI138" s="39">
        <f t="shared" si="284"/>
        <v>3.1246219638598118E-2</v>
      </c>
      <c r="AJ138" s="39">
        <f t="shared" si="284"/>
        <v>3.1246219638598118E-2</v>
      </c>
      <c r="AK138" s="39">
        <f t="shared" si="284"/>
        <v>3.1246219638598118E-2</v>
      </c>
      <c r="AL138" s="39">
        <f t="shared" si="284"/>
        <v>3.1246219638598118E-2</v>
      </c>
      <c r="AM138" s="184">
        <f t="shared" si="262"/>
        <v>3.1246219638598118E-2</v>
      </c>
      <c r="AN138" s="184">
        <f t="shared" si="256"/>
        <v>3.1246219638598118E-2</v>
      </c>
      <c r="AO138" s="184">
        <f t="shared" si="256"/>
        <v>3.1246219638598118E-2</v>
      </c>
      <c r="AP138" s="184">
        <f t="shared" si="256"/>
        <v>3.1246219638598118E-2</v>
      </c>
      <c r="AQ138" s="184">
        <f t="shared" si="256"/>
        <v>3.1246219638598118E-2</v>
      </c>
      <c r="AR138" s="184">
        <f t="shared" si="256"/>
        <v>3.1246219638598118E-2</v>
      </c>
      <c r="AS138" s="184">
        <f t="shared" si="256"/>
        <v>3.1246219638598118E-2</v>
      </c>
      <c r="AT138" s="184">
        <f t="shared" si="256"/>
        <v>3.1246219638598118E-2</v>
      </c>
      <c r="AU138" s="184">
        <f t="shared" si="256"/>
        <v>3.1246219638598118E-2</v>
      </c>
      <c r="AV138" s="184">
        <f t="shared" si="256"/>
        <v>3.1246219638598118E-2</v>
      </c>
      <c r="AW138" s="184">
        <f t="shared" si="256"/>
        <v>3.1246219638598118E-2</v>
      </c>
      <c r="AX138" s="184">
        <f t="shared" si="256"/>
        <v>3.1246219638598118E-2</v>
      </c>
      <c r="AY138" s="184">
        <f t="shared" si="256"/>
        <v>3.1246219638598118E-2</v>
      </c>
      <c r="AZ138" s="184">
        <f t="shared" si="256"/>
        <v>3.1246219638598118E-2</v>
      </c>
      <c r="BA138" s="184">
        <f t="shared" si="256"/>
        <v>3.1246219638598118E-2</v>
      </c>
      <c r="BB138" s="184">
        <f t="shared" si="256"/>
        <v>3.1246219638598118E-2</v>
      </c>
      <c r="BC138" s="184">
        <f t="shared" si="256"/>
        <v>3.1246219638598118E-2</v>
      </c>
      <c r="BD138" s="184">
        <f t="shared" si="256"/>
        <v>3.1246219638598118E-2</v>
      </c>
      <c r="BE138" s="184">
        <f t="shared" si="256"/>
        <v>3.1246219638598118E-2</v>
      </c>
      <c r="BF138" s="184">
        <f t="shared" si="256"/>
        <v>3.1246219638598118E-2</v>
      </c>
    </row>
    <row r="139" spans="2:58">
      <c r="B139" t="s">
        <v>640</v>
      </c>
      <c r="C139" s="109">
        <v>2241.2435266892794</v>
      </c>
      <c r="D139" s="182">
        <f t="shared" ref="D139:I139" si="285">C139+($J139-$C139)/(COLUMN($J139)-COLUMN($C139))</f>
        <v>2199.1768761499297</v>
      </c>
      <c r="E139" s="182">
        <f t="shared" si="285"/>
        <v>2157.1102256105805</v>
      </c>
      <c r="F139" s="182">
        <f t="shared" si="285"/>
        <v>2115.0435750712313</v>
      </c>
      <c r="G139" s="182">
        <f t="shared" si="285"/>
        <v>2072.9769245318821</v>
      </c>
      <c r="H139" s="182">
        <f t="shared" si="285"/>
        <v>2030.9102739925327</v>
      </c>
      <c r="I139" s="182">
        <f t="shared" si="285"/>
        <v>1988.8436234531832</v>
      </c>
      <c r="J139" s="109">
        <v>1946.7769729138333</v>
      </c>
      <c r="K139" s="183">
        <f t="shared" si="253"/>
        <v>1946.7769729138333</v>
      </c>
      <c r="L139" s="183">
        <f t="shared" si="253"/>
        <v>1946.7769729138333</v>
      </c>
      <c r="M139" s="183">
        <f t="shared" si="253"/>
        <v>1946.7769729138333</v>
      </c>
      <c r="N139" s="183">
        <f t="shared" si="253"/>
        <v>1946.7769729138333</v>
      </c>
      <c r="O139" s="109">
        <v>1946.7769729138333</v>
      </c>
      <c r="P139" s="183">
        <f t="shared" si="254"/>
        <v>1946.7769729138333</v>
      </c>
      <c r="Q139" s="183">
        <f t="shared" si="254"/>
        <v>1946.7769729138333</v>
      </c>
      <c r="R139" s="183">
        <f t="shared" si="254"/>
        <v>1946.7769729138333</v>
      </c>
      <c r="S139" s="183">
        <f t="shared" si="254"/>
        <v>1946.7769729138333</v>
      </c>
      <c r="T139" s="109">
        <v>1946.7769729138333</v>
      </c>
      <c r="U139" s="195"/>
      <c r="V139" t="s">
        <v>640</v>
      </c>
      <c r="W139" s="39">
        <f t="shared" ref="W139:AL139" si="286">E139/SUM(E125:E157)</f>
        <v>2.95067130616176E-2</v>
      </c>
      <c r="X139" s="39">
        <f t="shared" si="286"/>
        <v>2.9664006017774532E-2</v>
      </c>
      <c r="Y139" s="39">
        <f t="shared" si="286"/>
        <v>2.9829473208962703E-2</v>
      </c>
      <c r="Z139" s="39">
        <f t="shared" si="286"/>
        <v>3.0003768834646127E-2</v>
      </c>
      <c r="AA139" s="39">
        <f t="shared" si="286"/>
        <v>3.0187618816741011E-2</v>
      </c>
      <c r="AB139" s="39">
        <f t="shared" si="286"/>
        <v>3.0381830905623165E-2</v>
      </c>
      <c r="AC139" s="39">
        <f t="shared" si="286"/>
        <v>3.0381830905623165E-2</v>
      </c>
      <c r="AD139" s="39">
        <f t="shared" si="286"/>
        <v>3.0381830905623165E-2</v>
      </c>
      <c r="AE139" s="39">
        <f t="shared" si="286"/>
        <v>3.0381830905623165E-2</v>
      </c>
      <c r="AF139" s="39">
        <f t="shared" si="286"/>
        <v>3.0381830905623165E-2</v>
      </c>
      <c r="AG139" s="39">
        <f t="shared" si="286"/>
        <v>3.0381830905623165E-2</v>
      </c>
      <c r="AH139" s="39">
        <f t="shared" si="286"/>
        <v>3.0381830905623165E-2</v>
      </c>
      <c r="AI139" s="39">
        <f t="shared" si="286"/>
        <v>3.0381830905623165E-2</v>
      </c>
      <c r="AJ139" s="39">
        <f t="shared" si="286"/>
        <v>3.0381830905623165E-2</v>
      </c>
      <c r="AK139" s="39">
        <f t="shared" si="286"/>
        <v>3.0381830905623165E-2</v>
      </c>
      <c r="AL139" s="39">
        <f t="shared" si="286"/>
        <v>3.0381830905623165E-2</v>
      </c>
      <c r="AM139" s="184">
        <f t="shared" si="262"/>
        <v>3.0381830905623165E-2</v>
      </c>
      <c r="AN139" s="184">
        <f t="shared" si="256"/>
        <v>3.0381830905623165E-2</v>
      </c>
      <c r="AO139" s="184">
        <f t="shared" si="256"/>
        <v>3.0381830905623165E-2</v>
      </c>
      <c r="AP139" s="184">
        <f t="shared" si="256"/>
        <v>3.0381830905623165E-2</v>
      </c>
      <c r="AQ139" s="184">
        <f t="shared" si="256"/>
        <v>3.0381830905623165E-2</v>
      </c>
      <c r="AR139" s="184">
        <f t="shared" ref="AN139:BF151" si="287">AQ139</f>
        <v>3.0381830905623165E-2</v>
      </c>
      <c r="AS139" s="184">
        <f t="shared" si="287"/>
        <v>3.0381830905623165E-2</v>
      </c>
      <c r="AT139" s="184">
        <f t="shared" si="287"/>
        <v>3.0381830905623165E-2</v>
      </c>
      <c r="AU139" s="184">
        <f t="shared" si="287"/>
        <v>3.0381830905623165E-2</v>
      </c>
      <c r="AV139" s="184">
        <f t="shared" si="287"/>
        <v>3.0381830905623165E-2</v>
      </c>
      <c r="AW139" s="184">
        <f t="shared" si="287"/>
        <v>3.0381830905623165E-2</v>
      </c>
      <c r="AX139" s="184">
        <f t="shared" si="287"/>
        <v>3.0381830905623165E-2</v>
      </c>
      <c r="AY139" s="184">
        <f t="shared" si="287"/>
        <v>3.0381830905623165E-2</v>
      </c>
      <c r="AZ139" s="184">
        <f t="shared" si="287"/>
        <v>3.0381830905623165E-2</v>
      </c>
      <c r="BA139" s="184">
        <f t="shared" si="287"/>
        <v>3.0381830905623165E-2</v>
      </c>
      <c r="BB139" s="184">
        <f t="shared" si="287"/>
        <v>3.0381830905623165E-2</v>
      </c>
      <c r="BC139" s="184">
        <f t="shared" si="287"/>
        <v>3.0381830905623165E-2</v>
      </c>
      <c r="BD139" s="184">
        <f t="shared" si="287"/>
        <v>3.0381830905623165E-2</v>
      </c>
      <c r="BE139" s="184">
        <f t="shared" si="287"/>
        <v>3.0381830905623165E-2</v>
      </c>
      <c r="BF139" s="184">
        <f t="shared" si="287"/>
        <v>3.0381830905623165E-2</v>
      </c>
    </row>
    <row r="140" spans="2:58">
      <c r="B140" t="s">
        <v>641</v>
      </c>
      <c r="C140" s="109">
        <v>3306.3675958176036</v>
      </c>
      <c r="D140" s="182">
        <f t="shared" ref="D140:I140" si="288">C140+($J140-$C140)/(COLUMN($J140)-COLUMN($C140))</f>
        <v>3306.1077044883946</v>
      </c>
      <c r="E140" s="182">
        <f t="shared" si="288"/>
        <v>3305.8478131591855</v>
      </c>
      <c r="F140" s="182">
        <f t="shared" si="288"/>
        <v>3305.5879218299765</v>
      </c>
      <c r="G140" s="182">
        <f t="shared" si="288"/>
        <v>3305.3280305007675</v>
      </c>
      <c r="H140" s="182">
        <f t="shared" si="288"/>
        <v>3305.0681391715584</v>
      </c>
      <c r="I140" s="182">
        <f t="shared" si="288"/>
        <v>3304.8082478423494</v>
      </c>
      <c r="J140" s="109">
        <v>3304.548356513139</v>
      </c>
      <c r="K140" s="183">
        <f t="shared" si="253"/>
        <v>3304.548356513139</v>
      </c>
      <c r="L140" s="183">
        <f t="shared" si="253"/>
        <v>3304.548356513139</v>
      </c>
      <c r="M140" s="183">
        <f t="shared" si="253"/>
        <v>3304.548356513139</v>
      </c>
      <c r="N140" s="183">
        <f t="shared" si="253"/>
        <v>3304.548356513139</v>
      </c>
      <c r="O140" s="109">
        <v>3304.548356513139</v>
      </c>
      <c r="P140" s="183">
        <f t="shared" si="254"/>
        <v>3304.548356513139</v>
      </c>
      <c r="Q140" s="183">
        <f t="shared" si="254"/>
        <v>3304.548356513139</v>
      </c>
      <c r="R140" s="183">
        <f t="shared" si="254"/>
        <v>3304.548356513139</v>
      </c>
      <c r="S140" s="183">
        <f t="shared" si="254"/>
        <v>3304.548356513139</v>
      </c>
      <c r="T140" s="109">
        <v>3304.548356513139</v>
      </c>
      <c r="U140" s="195"/>
      <c r="V140" t="s">
        <v>641</v>
      </c>
      <c r="W140" s="39">
        <f t="shared" ref="W140:AL140" si="289">E140/SUM(E125:E157)</f>
        <v>4.5220082724633889E-2</v>
      </c>
      <c r="X140" s="39">
        <f t="shared" si="289"/>
        <v>4.6361683116691733E-2</v>
      </c>
      <c r="Y140" s="39">
        <f t="shared" si="289"/>
        <v>4.7562610449665768E-2</v>
      </c>
      <c r="Z140" s="39">
        <f t="shared" si="289"/>
        <v>4.8827612770657579E-2</v>
      </c>
      <c r="AA140" s="39">
        <f t="shared" si="289"/>
        <v>5.0161958673788622E-2</v>
      </c>
      <c r="AB140" s="39">
        <f t="shared" si="289"/>
        <v>5.1571510647553193E-2</v>
      </c>
      <c r="AC140" s="39">
        <f t="shared" si="289"/>
        <v>5.1571510647553193E-2</v>
      </c>
      <c r="AD140" s="39">
        <f t="shared" si="289"/>
        <v>5.1571510647553193E-2</v>
      </c>
      <c r="AE140" s="39">
        <f t="shared" si="289"/>
        <v>5.1571510647553193E-2</v>
      </c>
      <c r="AF140" s="39">
        <f t="shared" si="289"/>
        <v>5.1571510647553193E-2</v>
      </c>
      <c r="AG140" s="39">
        <f t="shared" si="289"/>
        <v>5.1571510647553193E-2</v>
      </c>
      <c r="AH140" s="39">
        <f t="shared" si="289"/>
        <v>5.1571510647553193E-2</v>
      </c>
      <c r="AI140" s="39">
        <f t="shared" si="289"/>
        <v>5.1571510647553193E-2</v>
      </c>
      <c r="AJ140" s="39">
        <f t="shared" si="289"/>
        <v>5.1571510647553193E-2</v>
      </c>
      <c r="AK140" s="39">
        <f t="shared" si="289"/>
        <v>5.1571510647553193E-2</v>
      </c>
      <c r="AL140" s="39">
        <f t="shared" si="289"/>
        <v>5.1571510647553193E-2</v>
      </c>
      <c r="AM140" s="184">
        <f t="shared" si="262"/>
        <v>5.1571510647553193E-2</v>
      </c>
      <c r="AN140" s="184">
        <f t="shared" si="287"/>
        <v>5.1571510647553193E-2</v>
      </c>
      <c r="AO140" s="184">
        <f t="shared" si="287"/>
        <v>5.1571510647553193E-2</v>
      </c>
      <c r="AP140" s="184">
        <f t="shared" si="287"/>
        <v>5.1571510647553193E-2</v>
      </c>
      <c r="AQ140" s="184">
        <f t="shared" si="287"/>
        <v>5.1571510647553193E-2</v>
      </c>
      <c r="AR140" s="184">
        <f t="shared" si="287"/>
        <v>5.1571510647553193E-2</v>
      </c>
      <c r="AS140" s="184">
        <f t="shared" si="287"/>
        <v>5.1571510647553193E-2</v>
      </c>
      <c r="AT140" s="184">
        <f t="shared" si="287"/>
        <v>5.1571510647553193E-2</v>
      </c>
      <c r="AU140" s="184">
        <f t="shared" si="287"/>
        <v>5.1571510647553193E-2</v>
      </c>
      <c r="AV140" s="184">
        <f t="shared" si="287"/>
        <v>5.1571510647553193E-2</v>
      </c>
      <c r="AW140" s="184">
        <f t="shared" si="287"/>
        <v>5.1571510647553193E-2</v>
      </c>
      <c r="AX140" s="184">
        <f t="shared" si="287"/>
        <v>5.1571510647553193E-2</v>
      </c>
      <c r="AY140" s="184">
        <f t="shared" si="287"/>
        <v>5.1571510647553193E-2</v>
      </c>
      <c r="AZ140" s="184">
        <f t="shared" si="287"/>
        <v>5.1571510647553193E-2</v>
      </c>
      <c r="BA140" s="184">
        <f t="shared" si="287"/>
        <v>5.1571510647553193E-2</v>
      </c>
      <c r="BB140" s="184">
        <f t="shared" si="287"/>
        <v>5.1571510647553193E-2</v>
      </c>
      <c r="BC140" s="184">
        <f t="shared" si="287"/>
        <v>5.1571510647553193E-2</v>
      </c>
      <c r="BD140" s="184">
        <f t="shared" si="287"/>
        <v>5.1571510647553193E-2</v>
      </c>
      <c r="BE140" s="184">
        <f t="shared" si="287"/>
        <v>5.1571510647553193E-2</v>
      </c>
      <c r="BF140" s="184">
        <f t="shared" si="287"/>
        <v>5.1571510647553193E-2</v>
      </c>
    </row>
    <row r="141" spans="2:58">
      <c r="B141" t="s">
        <v>642</v>
      </c>
      <c r="C141" s="109">
        <v>1842.097860875092</v>
      </c>
      <c r="D141" s="182">
        <f t="shared" ref="D141:I141" si="290">C141+($J141-$C141)/(COLUMN($J141)-COLUMN($C141))</f>
        <v>1842.097860875092</v>
      </c>
      <c r="E141" s="182">
        <f t="shared" si="290"/>
        <v>1842.097860875092</v>
      </c>
      <c r="F141" s="182">
        <f t="shared" si="290"/>
        <v>1842.097860875092</v>
      </c>
      <c r="G141" s="182">
        <f t="shared" si="290"/>
        <v>1842.097860875092</v>
      </c>
      <c r="H141" s="182">
        <f t="shared" si="290"/>
        <v>1842.097860875092</v>
      </c>
      <c r="I141" s="182">
        <f t="shared" si="290"/>
        <v>1842.097860875092</v>
      </c>
      <c r="J141" s="109">
        <v>1842.097860875092</v>
      </c>
      <c r="K141" s="183">
        <f t="shared" si="253"/>
        <v>1842.097860875092</v>
      </c>
      <c r="L141" s="183">
        <f t="shared" si="253"/>
        <v>1842.097860875092</v>
      </c>
      <c r="M141" s="183">
        <f t="shared" si="253"/>
        <v>1842.097860875092</v>
      </c>
      <c r="N141" s="183">
        <f t="shared" si="253"/>
        <v>1842.097860875092</v>
      </c>
      <c r="O141" s="109">
        <v>1842.097860875092</v>
      </c>
      <c r="P141" s="183">
        <f t="shared" si="254"/>
        <v>1842.097860875092</v>
      </c>
      <c r="Q141" s="183">
        <f t="shared" si="254"/>
        <v>1842.097860875092</v>
      </c>
      <c r="R141" s="183">
        <f t="shared" si="254"/>
        <v>1842.097860875092</v>
      </c>
      <c r="S141" s="183">
        <f t="shared" si="254"/>
        <v>1842.097860875092</v>
      </c>
      <c r="T141" s="109">
        <v>1842.097860875092</v>
      </c>
      <c r="U141" s="195"/>
      <c r="V141" t="s">
        <v>642</v>
      </c>
      <c r="W141" s="39">
        <f t="shared" ref="W141:AL141" si="291">E141/SUM(E125:E157)</f>
        <v>2.5197717004413017E-2</v>
      </c>
      <c r="X141" s="39">
        <f t="shared" si="291"/>
        <v>2.5835875286157165E-2</v>
      </c>
      <c r="Y141" s="39">
        <f t="shared" si="291"/>
        <v>2.6507197518211425E-2</v>
      </c>
      <c r="Z141" s="39">
        <f t="shared" si="291"/>
        <v>2.7214337874138697E-2</v>
      </c>
      <c r="AA141" s="39">
        <f t="shared" si="291"/>
        <v>2.796024151495604E-2</v>
      </c>
      <c r="AB141" s="39">
        <f t="shared" si="291"/>
        <v>2.8748185590540334E-2</v>
      </c>
      <c r="AC141" s="39">
        <f t="shared" si="291"/>
        <v>2.8748185590540334E-2</v>
      </c>
      <c r="AD141" s="39">
        <f t="shared" si="291"/>
        <v>2.8748185590540334E-2</v>
      </c>
      <c r="AE141" s="39">
        <f t="shared" si="291"/>
        <v>2.8748185590540334E-2</v>
      </c>
      <c r="AF141" s="39">
        <f t="shared" si="291"/>
        <v>2.8748185590540334E-2</v>
      </c>
      <c r="AG141" s="39">
        <f t="shared" si="291"/>
        <v>2.8748185590540334E-2</v>
      </c>
      <c r="AH141" s="39">
        <f t="shared" si="291"/>
        <v>2.8748185590540334E-2</v>
      </c>
      <c r="AI141" s="39">
        <f t="shared" si="291"/>
        <v>2.8748185590540334E-2</v>
      </c>
      <c r="AJ141" s="39">
        <f t="shared" si="291"/>
        <v>2.8748185590540334E-2</v>
      </c>
      <c r="AK141" s="39">
        <f t="shared" si="291"/>
        <v>2.8748185590540334E-2</v>
      </c>
      <c r="AL141" s="39">
        <f t="shared" si="291"/>
        <v>2.8748185590540334E-2</v>
      </c>
      <c r="AM141" s="184">
        <f t="shared" si="262"/>
        <v>2.8748185590540334E-2</v>
      </c>
      <c r="AN141" s="184">
        <f t="shared" si="287"/>
        <v>2.8748185590540334E-2</v>
      </c>
      <c r="AO141" s="184">
        <f t="shared" si="287"/>
        <v>2.8748185590540334E-2</v>
      </c>
      <c r="AP141" s="184">
        <f t="shared" si="287"/>
        <v>2.8748185590540334E-2</v>
      </c>
      <c r="AQ141" s="184">
        <f t="shared" si="287"/>
        <v>2.8748185590540334E-2</v>
      </c>
      <c r="AR141" s="184">
        <f t="shared" si="287"/>
        <v>2.8748185590540334E-2</v>
      </c>
      <c r="AS141" s="184">
        <f t="shared" si="287"/>
        <v>2.8748185590540334E-2</v>
      </c>
      <c r="AT141" s="184">
        <f t="shared" si="287"/>
        <v>2.8748185590540334E-2</v>
      </c>
      <c r="AU141" s="184">
        <f t="shared" si="287"/>
        <v>2.8748185590540334E-2</v>
      </c>
      <c r="AV141" s="184">
        <f t="shared" si="287"/>
        <v>2.8748185590540334E-2</v>
      </c>
      <c r="AW141" s="184">
        <f t="shared" si="287"/>
        <v>2.8748185590540334E-2</v>
      </c>
      <c r="AX141" s="184">
        <f t="shared" si="287"/>
        <v>2.8748185590540334E-2</v>
      </c>
      <c r="AY141" s="184">
        <f t="shared" si="287"/>
        <v>2.8748185590540334E-2</v>
      </c>
      <c r="AZ141" s="184">
        <f t="shared" si="287"/>
        <v>2.8748185590540334E-2</v>
      </c>
      <c r="BA141" s="184">
        <f t="shared" si="287"/>
        <v>2.8748185590540334E-2</v>
      </c>
      <c r="BB141" s="184">
        <f t="shared" si="287"/>
        <v>2.8748185590540334E-2</v>
      </c>
      <c r="BC141" s="184">
        <f t="shared" si="287"/>
        <v>2.8748185590540334E-2</v>
      </c>
      <c r="BD141" s="184">
        <f t="shared" si="287"/>
        <v>2.8748185590540334E-2</v>
      </c>
      <c r="BE141" s="184">
        <f t="shared" si="287"/>
        <v>2.8748185590540334E-2</v>
      </c>
      <c r="BF141" s="184">
        <f t="shared" si="287"/>
        <v>2.8748185590540334E-2</v>
      </c>
    </row>
    <row r="142" spans="2:58">
      <c r="B142" t="s">
        <v>643</v>
      </c>
      <c r="C142" s="109">
        <v>10448.728173762565</v>
      </c>
      <c r="D142" s="182">
        <f t="shared" ref="D142:I142" si="292">C142+($J142-$C142)/(COLUMN($J142)-COLUMN($C142))</f>
        <v>10209.333777999136</v>
      </c>
      <c r="E142" s="182">
        <f t="shared" si="292"/>
        <v>9969.9393822357069</v>
      </c>
      <c r="F142" s="182">
        <f t="shared" si="292"/>
        <v>9730.5449864722777</v>
      </c>
      <c r="G142" s="182">
        <f t="shared" si="292"/>
        <v>9491.1505907088485</v>
      </c>
      <c r="H142" s="182">
        <f t="shared" si="292"/>
        <v>9251.7561949454193</v>
      </c>
      <c r="I142" s="182">
        <f t="shared" si="292"/>
        <v>9012.3617991819901</v>
      </c>
      <c r="J142" s="109">
        <v>8772.9674034185609</v>
      </c>
      <c r="K142" s="183">
        <f t="shared" si="253"/>
        <v>8772.9674034185609</v>
      </c>
      <c r="L142" s="183">
        <f t="shared" si="253"/>
        <v>8772.9674034185609</v>
      </c>
      <c r="M142" s="183">
        <f t="shared" si="253"/>
        <v>8772.9674034185609</v>
      </c>
      <c r="N142" s="183">
        <f t="shared" si="253"/>
        <v>8772.9674034185609</v>
      </c>
      <c r="O142" s="109">
        <v>8772.9674034185609</v>
      </c>
      <c r="P142" s="183">
        <f t="shared" si="254"/>
        <v>8772.9674034185609</v>
      </c>
      <c r="Q142" s="183">
        <f t="shared" si="254"/>
        <v>8772.9674034185609</v>
      </c>
      <c r="R142" s="183">
        <f t="shared" si="254"/>
        <v>8772.9674034185609</v>
      </c>
      <c r="S142" s="183">
        <f t="shared" si="254"/>
        <v>8772.9674034185609</v>
      </c>
      <c r="T142" s="109">
        <v>8772.9674034185609</v>
      </c>
      <c r="U142" s="195"/>
      <c r="V142" t="s">
        <v>643</v>
      </c>
      <c r="W142" s="39">
        <f t="shared" ref="W142:AL142" si="293">E142/SUM(E125:E157)</f>
        <v>0.13637696261445376</v>
      </c>
      <c r="X142" s="39">
        <f t="shared" si="293"/>
        <v>0.13647328520180407</v>
      </c>
      <c r="Y142" s="39">
        <f t="shared" si="293"/>
        <v>0.13657461350261443</v>
      </c>
      <c r="Z142" s="39">
        <f t="shared" si="293"/>
        <v>0.13668134813358487</v>
      </c>
      <c r="AA142" s="39">
        <f t="shared" si="293"/>
        <v>0.13679393363259482</v>
      </c>
      <c r="AB142" s="39">
        <f t="shared" si="293"/>
        <v>0.13691286464738966</v>
      </c>
      <c r="AC142" s="39">
        <f t="shared" si="293"/>
        <v>0.13691286464738966</v>
      </c>
      <c r="AD142" s="39">
        <f t="shared" si="293"/>
        <v>0.13691286464738966</v>
      </c>
      <c r="AE142" s="39">
        <f t="shared" si="293"/>
        <v>0.13691286464738966</v>
      </c>
      <c r="AF142" s="39">
        <f t="shared" si="293"/>
        <v>0.13691286464738966</v>
      </c>
      <c r="AG142" s="39">
        <f t="shared" si="293"/>
        <v>0.13691286464738966</v>
      </c>
      <c r="AH142" s="39">
        <f t="shared" si="293"/>
        <v>0.13691286464738966</v>
      </c>
      <c r="AI142" s="39">
        <f t="shared" si="293"/>
        <v>0.13691286464738966</v>
      </c>
      <c r="AJ142" s="39">
        <f t="shared" si="293"/>
        <v>0.13691286464738966</v>
      </c>
      <c r="AK142" s="39">
        <f t="shared" si="293"/>
        <v>0.13691286464738966</v>
      </c>
      <c r="AL142" s="39">
        <f t="shared" si="293"/>
        <v>0.13691286464738966</v>
      </c>
      <c r="AM142" s="184">
        <f t="shared" si="262"/>
        <v>0.13691286464738966</v>
      </c>
      <c r="AN142" s="184">
        <f t="shared" si="287"/>
        <v>0.13691286464738966</v>
      </c>
      <c r="AO142" s="184">
        <f t="shared" si="287"/>
        <v>0.13691286464738966</v>
      </c>
      <c r="AP142" s="184">
        <f t="shared" si="287"/>
        <v>0.13691286464738966</v>
      </c>
      <c r="AQ142" s="184">
        <f t="shared" si="287"/>
        <v>0.13691286464738966</v>
      </c>
      <c r="AR142" s="184">
        <f t="shared" si="287"/>
        <v>0.13691286464738966</v>
      </c>
      <c r="AS142" s="184">
        <f t="shared" si="287"/>
        <v>0.13691286464738966</v>
      </c>
      <c r="AT142" s="184">
        <f t="shared" si="287"/>
        <v>0.13691286464738966</v>
      </c>
      <c r="AU142" s="184">
        <f t="shared" si="287"/>
        <v>0.13691286464738966</v>
      </c>
      <c r="AV142" s="184">
        <f t="shared" si="287"/>
        <v>0.13691286464738966</v>
      </c>
      <c r="AW142" s="184">
        <f t="shared" si="287"/>
        <v>0.13691286464738966</v>
      </c>
      <c r="AX142" s="184">
        <f t="shared" si="287"/>
        <v>0.13691286464738966</v>
      </c>
      <c r="AY142" s="184">
        <f t="shared" si="287"/>
        <v>0.13691286464738966</v>
      </c>
      <c r="AZ142" s="184">
        <f t="shared" si="287"/>
        <v>0.13691286464738966</v>
      </c>
      <c r="BA142" s="184">
        <f t="shared" si="287"/>
        <v>0.13691286464738966</v>
      </c>
      <c r="BB142" s="184">
        <f t="shared" si="287"/>
        <v>0.13691286464738966</v>
      </c>
      <c r="BC142" s="184">
        <f t="shared" si="287"/>
        <v>0.13691286464738966</v>
      </c>
      <c r="BD142" s="184">
        <f t="shared" si="287"/>
        <v>0.13691286464738966</v>
      </c>
      <c r="BE142" s="184">
        <f t="shared" si="287"/>
        <v>0.13691286464738966</v>
      </c>
      <c r="BF142" s="184">
        <f t="shared" si="287"/>
        <v>0.13691286464738966</v>
      </c>
    </row>
    <row r="143" spans="2:58">
      <c r="B143" t="s">
        <v>644</v>
      </c>
      <c r="C143" s="109">
        <v>348.14696860860926</v>
      </c>
      <c r="D143" s="182">
        <f t="shared" ref="D143:I143" si="294">C143+($J143-$C143)/(COLUMN($J143)-COLUMN($C143))</f>
        <v>348.14696860860926</v>
      </c>
      <c r="E143" s="182">
        <f t="shared" si="294"/>
        <v>348.14696860860926</v>
      </c>
      <c r="F143" s="182">
        <f t="shared" si="294"/>
        <v>348.14696860860926</v>
      </c>
      <c r="G143" s="182">
        <f t="shared" si="294"/>
        <v>348.14696860860926</v>
      </c>
      <c r="H143" s="182">
        <f t="shared" si="294"/>
        <v>348.14696860860926</v>
      </c>
      <c r="I143" s="182">
        <f t="shared" si="294"/>
        <v>348.14696860860926</v>
      </c>
      <c r="J143" s="109">
        <v>348.14696860860926</v>
      </c>
      <c r="K143" s="183">
        <f t="shared" si="253"/>
        <v>348.14696860860926</v>
      </c>
      <c r="L143" s="183">
        <f t="shared" si="253"/>
        <v>348.14696860860926</v>
      </c>
      <c r="M143" s="183">
        <f t="shared" si="253"/>
        <v>348.14696860860926</v>
      </c>
      <c r="N143" s="183">
        <f t="shared" si="253"/>
        <v>348.14696860860926</v>
      </c>
      <c r="O143" s="109">
        <v>348.14696860860926</v>
      </c>
      <c r="P143" s="183">
        <f t="shared" si="254"/>
        <v>348.14696860860926</v>
      </c>
      <c r="Q143" s="183">
        <f t="shared" si="254"/>
        <v>348.14696860860926</v>
      </c>
      <c r="R143" s="183">
        <f t="shared" si="254"/>
        <v>348.14696860860926</v>
      </c>
      <c r="S143" s="183">
        <f t="shared" si="254"/>
        <v>348.14696860860926</v>
      </c>
      <c r="T143" s="109">
        <v>348.14696860860926</v>
      </c>
      <c r="U143" s="195"/>
      <c r="V143" t="s">
        <v>644</v>
      </c>
      <c r="W143" s="39">
        <f t="shared" ref="W143:AL143" si="295">E143/SUM(E125:E157)</f>
        <v>4.7622381944337098E-3</v>
      </c>
      <c r="X143" s="39">
        <f t="shared" si="295"/>
        <v>4.8828468092095619E-3</v>
      </c>
      <c r="Y143" s="39">
        <f t="shared" si="295"/>
        <v>5.0097232390742749E-3</v>
      </c>
      <c r="Z143" s="39">
        <f t="shared" si="295"/>
        <v>5.1433691091041876E-3</v>
      </c>
      <c r="AA143" s="39">
        <f t="shared" si="295"/>
        <v>5.284341039499524E-3</v>
      </c>
      <c r="AB143" s="39">
        <f t="shared" si="295"/>
        <v>5.4332583946380122E-3</v>
      </c>
      <c r="AC143" s="39">
        <f t="shared" si="295"/>
        <v>5.4332583946380122E-3</v>
      </c>
      <c r="AD143" s="39">
        <f t="shared" si="295"/>
        <v>5.4332583946380122E-3</v>
      </c>
      <c r="AE143" s="39">
        <f t="shared" si="295"/>
        <v>5.4332583946380122E-3</v>
      </c>
      <c r="AF143" s="39">
        <f t="shared" si="295"/>
        <v>5.4332583946380122E-3</v>
      </c>
      <c r="AG143" s="39">
        <f t="shared" si="295"/>
        <v>5.4332583946380122E-3</v>
      </c>
      <c r="AH143" s="39">
        <f t="shared" si="295"/>
        <v>5.4332583946380122E-3</v>
      </c>
      <c r="AI143" s="39">
        <f t="shared" si="295"/>
        <v>5.4332583946380122E-3</v>
      </c>
      <c r="AJ143" s="39">
        <f t="shared" si="295"/>
        <v>5.4332583946380122E-3</v>
      </c>
      <c r="AK143" s="39">
        <f t="shared" si="295"/>
        <v>5.4332583946380122E-3</v>
      </c>
      <c r="AL143" s="39">
        <f t="shared" si="295"/>
        <v>5.4332583946380122E-3</v>
      </c>
      <c r="AM143" s="184">
        <f t="shared" si="262"/>
        <v>5.4332583946380122E-3</v>
      </c>
      <c r="AN143" s="184">
        <f t="shared" si="287"/>
        <v>5.4332583946380122E-3</v>
      </c>
      <c r="AO143" s="184">
        <f t="shared" si="287"/>
        <v>5.4332583946380122E-3</v>
      </c>
      <c r="AP143" s="184">
        <f t="shared" si="287"/>
        <v>5.4332583946380122E-3</v>
      </c>
      <c r="AQ143" s="184">
        <f t="shared" si="287"/>
        <v>5.4332583946380122E-3</v>
      </c>
      <c r="AR143" s="184">
        <f t="shared" si="287"/>
        <v>5.4332583946380122E-3</v>
      </c>
      <c r="AS143" s="184">
        <f t="shared" si="287"/>
        <v>5.4332583946380122E-3</v>
      </c>
      <c r="AT143" s="184">
        <f t="shared" si="287"/>
        <v>5.4332583946380122E-3</v>
      </c>
      <c r="AU143" s="184">
        <f t="shared" si="287"/>
        <v>5.4332583946380122E-3</v>
      </c>
      <c r="AV143" s="184">
        <f t="shared" si="287"/>
        <v>5.4332583946380122E-3</v>
      </c>
      <c r="AW143" s="184">
        <f t="shared" si="287"/>
        <v>5.4332583946380122E-3</v>
      </c>
      <c r="AX143" s="184">
        <f t="shared" si="287"/>
        <v>5.4332583946380122E-3</v>
      </c>
      <c r="AY143" s="184">
        <f t="shared" si="287"/>
        <v>5.4332583946380122E-3</v>
      </c>
      <c r="AZ143" s="184">
        <f t="shared" si="287"/>
        <v>5.4332583946380122E-3</v>
      </c>
      <c r="BA143" s="184">
        <f t="shared" si="287"/>
        <v>5.4332583946380122E-3</v>
      </c>
      <c r="BB143" s="184">
        <f t="shared" si="287"/>
        <v>5.4332583946380122E-3</v>
      </c>
      <c r="BC143" s="184">
        <f t="shared" si="287"/>
        <v>5.4332583946380122E-3</v>
      </c>
      <c r="BD143" s="184">
        <f t="shared" si="287"/>
        <v>5.4332583946380122E-3</v>
      </c>
      <c r="BE143" s="184">
        <f t="shared" si="287"/>
        <v>5.4332583946380122E-3</v>
      </c>
      <c r="BF143" s="184">
        <f t="shared" si="287"/>
        <v>5.4332583946380122E-3</v>
      </c>
    </row>
    <row r="144" spans="2:58">
      <c r="B144" t="s">
        <v>645</v>
      </c>
      <c r="C144" s="109">
        <v>1641.1858710100596</v>
      </c>
      <c r="D144" s="182">
        <f t="shared" ref="D144:I144" si="296">C144+($J144-$C144)/(COLUMN($J144)-COLUMN($C144))</f>
        <v>1617.2596804010354</v>
      </c>
      <c r="E144" s="182">
        <f t="shared" si="296"/>
        <v>1593.3334897920113</v>
      </c>
      <c r="F144" s="182">
        <f t="shared" si="296"/>
        <v>1569.4072991829871</v>
      </c>
      <c r="G144" s="182">
        <f t="shared" si="296"/>
        <v>1545.481108573963</v>
      </c>
      <c r="H144" s="182">
        <f t="shared" si="296"/>
        <v>1521.5549179649388</v>
      </c>
      <c r="I144" s="182">
        <f t="shared" si="296"/>
        <v>1497.6287273559146</v>
      </c>
      <c r="J144" s="109">
        <v>1473.7025367468909</v>
      </c>
      <c r="K144" s="183">
        <f t="shared" si="253"/>
        <v>1473.7025367468909</v>
      </c>
      <c r="L144" s="183">
        <f t="shared" si="253"/>
        <v>1473.7025367468909</v>
      </c>
      <c r="M144" s="183">
        <f t="shared" si="253"/>
        <v>1473.7025367468909</v>
      </c>
      <c r="N144" s="183">
        <f t="shared" si="253"/>
        <v>1473.7025367468909</v>
      </c>
      <c r="O144" s="109">
        <v>1473.7025367468909</v>
      </c>
      <c r="P144" s="183">
        <f t="shared" si="254"/>
        <v>1473.7025367468909</v>
      </c>
      <c r="Q144" s="183">
        <f t="shared" si="254"/>
        <v>1473.7025367468909</v>
      </c>
      <c r="R144" s="183">
        <f t="shared" si="254"/>
        <v>1473.7025367468909</v>
      </c>
      <c r="S144" s="183">
        <f t="shared" si="254"/>
        <v>1473.7025367468909</v>
      </c>
      <c r="T144" s="109">
        <v>1473.7025367468909</v>
      </c>
      <c r="U144" s="195"/>
      <c r="V144" t="s">
        <v>645</v>
      </c>
      <c r="W144" s="39">
        <f t="shared" ref="W144:AL144" si="297">E144/SUM(E125:E157)</f>
        <v>2.1794915037988447E-2</v>
      </c>
      <c r="X144" s="39">
        <f t="shared" si="297"/>
        <v>2.2011323131125329E-2</v>
      </c>
      <c r="Y144" s="39">
        <f t="shared" si="297"/>
        <v>2.2238977567767895E-2</v>
      </c>
      <c r="Z144" s="39">
        <f t="shared" si="297"/>
        <v>2.2478778414022061E-2</v>
      </c>
      <c r="AA144" s="39">
        <f t="shared" si="297"/>
        <v>2.2731724413769892E-2</v>
      </c>
      <c r="AB144" s="39">
        <f t="shared" si="297"/>
        <v>2.2998926892800108E-2</v>
      </c>
      <c r="AC144" s="39">
        <f t="shared" si="297"/>
        <v>2.2998926892800108E-2</v>
      </c>
      <c r="AD144" s="39">
        <f t="shared" si="297"/>
        <v>2.2998926892800108E-2</v>
      </c>
      <c r="AE144" s="39">
        <f t="shared" si="297"/>
        <v>2.2998926892800108E-2</v>
      </c>
      <c r="AF144" s="39">
        <f t="shared" si="297"/>
        <v>2.2998926892800108E-2</v>
      </c>
      <c r="AG144" s="39">
        <f t="shared" si="297"/>
        <v>2.2998926892800108E-2</v>
      </c>
      <c r="AH144" s="39">
        <f t="shared" si="297"/>
        <v>2.2998926892800108E-2</v>
      </c>
      <c r="AI144" s="39">
        <f t="shared" si="297"/>
        <v>2.2998926892800108E-2</v>
      </c>
      <c r="AJ144" s="39">
        <f t="shared" si="297"/>
        <v>2.2998926892800108E-2</v>
      </c>
      <c r="AK144" s="39">
        <f t="shared" si="297"/>
        <v>2.2998926892800108E-2</v>
      </c>
      <c r="AL144" s="39">
        <f t="shared" si="297"/>
        <v>2.2998926892800108E-2</v>
      </c>
      <c r="AM144" s="184">
        <f t="shared" si="262"/>
        <v>2.2998926892800108E-2</v>
      </c>
      <c r="AN144" s="184">
        <f t="shared" si="287"/>
        <v>2.2998926892800108E-2</v>
      </c>
      <c r="AO144" s="184">
        <f t="shared" si="287"/>
        <v>2.2998926892800108E-2</v>
      </c>
      <c r="AP144" s="184">
        <f t="shared" si="287"/>
        <v>2.2998926892800108E-2</v>
      </c>
      <c r="AQ144" s="184">
        <f t="shared" si="287"/>
        <v>2.2998926892800108E-2</v>
      </c>
      <c r="AR144" s="184">
        <f t="shared" si="287"/>
        <v>2.2998926892800108E-2</v>
      </c>
      <c r="AS144" s="184">
        <f t="shared" si="287"/>
        <v>2.2998926892800108E-2</v>
      </c>
      <c r="AT144" s="184">
        <f t="shared" si="287"/>
        <v>2.2998926892800108E-2</v>
      </c>
      <c r="AU144" s="184">
        <f t="shared" si="287"/>
        <v>2.2998926892800108E-2</v>
      </c>
      <c r="AV144" s="184">
        <f t="shared" si="287"/>
        <v>2.2998926892800108E-2</v>
      </c>
      <c r="AW144" s="184">
        <f t="shared" si="287"/>
        <v>2.2998926892800108E-2</v>
      </c>
      <c r="AX144" s="184">
        <f t="shared" si="287"/>
        <v>2.2998926892800108E-2</v>
      </c>
      <c r="AY144" s="184">
        <f t="shared" si="287"/>
        <v>2.2998926892800108E-2</v>
      </c>
      <c r="AZ144" s="184">
        <f t="shared" si="287"/>
        <v>2.2998926892800108E-2</v>
      </c>
      <c r="BA144" s="184">
        <f t="shared" si="287"/>
        <v>2.2998926892800108E-2</v>
      </c>
      <c r="BB144" s="184">
        <f t="shared" si="287"/>
        <v>2.2998926892800108E-2</v>
      </c>
      <c r="BC144" s="184">
        <f t="shared" si="287"/>
        <v>2.2998926892800108E-2</v>
      </c>
      <c r="BD144" s="184">
        <f t="shared" si="287"/>
        <v>2.2998926892800108E-2</v>
      </c>
      <c r="BE144" s="184">
        <f t="shared" si="287"/>
        <v>2.2998926892800108E-2</v>
      </c>
      <c r="BF144" s="184">
        <f t="shared" si="287"/>
        <v>2.2998926892800108E-2</v>
      </c>
    </row>
    <row r="145" spans="2:58">
      <c r="B145" t="s">
        <v>646</v>
      </c>
      <c r="C145" s="109">
        <v>2050.0650814383771</v>
      </c>
      <c r="D145" s="182">
        <f t="shared" ref="D145:I145" si="298">C145+($J145-$C145)/(COLUMN($J145)-COLUMN($C145))</f>
        <v>1943.9343332182286</v>
      </c>
      <c r="E145" s="182">
        <f t="shared" si="298"/>
        <v>1837.8035849980802</v>
      </c>
      <c r="F145" s="182">
        <f t="shared" si="298"/>
        <v>1731.6728367779317</v>
      </c>
      <c r="G145" s="182">
        <f t="shared" si="298"/>
        <v>1625.5420885577832</v>
      </c>
      <c r="H145" s="182">
        <f t="shared" si="298"/>
        <v>1519.4113403376348</v>
      </c>
      <c r="I145" s="182">
        <f t="shared" si="298"/>
        <v>1413.2805921174863</v>
      </c>
      <c r="J145" s="109">
        <v>1307.1498438973374</v>
      </c>
      <c r="K145" s="183">
        <f t="shared" ref="K145:N157" si="299">J145+($O145-$J145)/(COLUMN($O145)-COLUMN($J145))</f>
        <v>1307.1498438973374</v>
      </c>
      <c r="L145" s="183">
        <f t="shared" si="299"/>
        <v>1307.1498438973374</v>
      </c>
      <c r="M145" s="183">
        <f t="shared" si="299"/>
        <v>1307.1498438973374</v>
      </c>
      <c r="N145" s="183">
        <f t="shared" si="299"/>
        <v>1307.1498438973374</v>
      </c>
      <c r="O145" s="109">
        <v>1307.1498438973374</v>
      </c>
      <c r="P145" s="183">
        <f t="shared" ref="P145:S157" si="300">O145+($T145-$O145)/(COLUMN($T145)-COLUMN($O145))</f>
        <v>1307.1498438973374</v>
      </c>
      <c r="Q145" s="183">
        <f t="shared" si="300"/>
        <v>1307.1498438973374</v>
      </c>
      <c r="R145" s="183">
        <f t="shared" si="300"/>
        <v>1307.1498438973374</v>
      </c>
      <c r="S145" s="183">
        <f t="shared" si="300"/>
        <v>1307.1498438973374</v>
      </c>
      <c r="T145" s="109">
        <v>1307.1498438973374</v>
      </c>
      <c r="U145" s="195"/>
      <c r="V145" t="s">
        <v>646</v>
      </c>
      <c r="W145" s="39">
        <f t="shared" ref="W145:AL145" si="301">E145/SUM(E125:E157)</f>
        <v>2.5138976396443132E-2</v>
      </c>
      <c r="X145" s="39">
        <f t="shared" si="301"/>
        <v>2.4287137180739767E-2</v>
      </c>
      <c r="Y145" s="39">
        <f t="shared" si="301"/>
        <v>2.3391029396830083E-2</v>
      </c>
      <c r="Z145" s="39">
        <f t="shared" si="301"/>
        <v>2.2447110147613466E-2</v>
      </c>
      <c r="AA145" s="39">
        <f t="shared" si="301"/>
        <v>2.1451448114289111E-2</v>
      </c>
      <c r="AB145" s="39">
        <f t="shared" si="301"/>
        <v>2.0399668826038858E-2</v>
      </c>
      <c r="AC145" s="39">
        <f t="shared" si="301"/>
        <v>2.0399668826038858E-2</v>
      </c>
      <c r="AD145" s="39">
        <f t="shared" si="301"/>
        <v>2.0399668826038858E-2</v>
      </c>
      <c r="AE145" s="39">
        <f t="shared" si="301"/>
        <v>2.0399668826038858E-2</v>
      </c>
      <c r="AF145" s="39">
        <f t="shared" si="301"/>
        <v>2.0399668826038858E-2</v>
      </c>
      <c r="AG145" s="39">
        <f t="shared" si="301"/>
        <v>2.0399668826038858E-2</v>
      </c>
      <c r="AH145" s="39">
        <f t="shared" si="301"/>
        <v>2.0399668826038858E-2</v>
      </c>
      <c r="AI145" s="39">
        <f t="shared" si="301"/>
        <v>2.0399668826038858E-2</v>
      </c>
      <c r="AJ145" s="39">
        <f t="shared" si="301"/>
        <v>2.0399668826038858E-2</v>
      </c>
      <c r="AK145" s="39">
        <f t="shared" si="301"/>
        <v>2.0399668826038858E-2</v>
      </c>
      <c r="AL145" s="39">
        <f t="shared" si="301"/>
        <v>2.0399668826038858E-2</v>
      </c>
      <c r="AM145" s="184">
        <f t="shared" si="262"/>
        <v>2.0399668826038858E-2</v>
      </c>
      <c r="AN145" s="184">
        <f t="shared" si="287"/>
        <v>2.0399668826038858E-2</v>
      </c>
      <c r="AO145" s="184">
        <f t="shared" si="287"/>
        <v>2.0399668826038858E-2</v>
      </c>
      <c r="AP145" s="184">
        <f t="shared" si="287"/>
        <v>2.0399668826038858E-2</v>
      </c>
      <c r="AQ145" s="184">
        <f t="shared" si="287"/>
        <v>2.0399668826038858E-2</v>
      </c>
      <c r="AR145" s="184">
        <f t="shared" si="287"/>
        <v>2.0399668826038858E-2</v>
      </c>
      <c r="AS145" s="184">
        <f t="shared" si="287"/>
        <v>2.0399668826038858E-2</v>
      </c>
      <c r="AT145" s="184">
        <f t="shared" si="287"/>
        <v>2.0399668826038858E-2</v>
      </c>
      <c r="AU145" s="184">
        <f t="shared" si="287"/>
        <v>2.0399668826038858E-2</v>
      </c>
      <c r="AV145" s="184">
        <f t="shared" si="287"/>
        <v>2.0399668826038858E-2</v>
      </c>
      <c r="AW145" s="184">
        <f t="shared" si="287"/>
        <v>2.0399668826038858E-2</v>
      </c>
      <c r="AX145" s="184">
        <f t="shared" si="287"/>
        <v>2.0399668826038858E-2</v>
      </c>
      <c r="AY145" s="184">
        <f t="shared" si="287"/>
        <v>2.0399668826038858E-2</v>
      </c>
      <c r="AZ145" s="184">
        <f t="shared" si="287"/>
        <v>2.0399668826038858E-2</v>
      </c>
      <c r="BA145" s="184">
        <f t="shared" si="287"/>
        <v>2.0399668826038858E-2</v>
      </c>
      <c r="BB145" s="184">
        <f t="shared" si="287"/>
        <v>2.0399668826038858E-2</v>
      </c>
      <c r="BC145" s="184">
        <f t="shared" si="287"/>
        <v>2.0399668826038858E-2</v>
      </c>
      <c r="BD145" s="184">
        <f t="shared" si="287"/>
        <v>2.0399668826038858E-2</v>
      </c>
      <c r="BE145" s="184">
        <f t="shared" si="287"/>
        <v>2.0399668826038858E-2</v>
      </c>
      <c r="BF145" s="184">
        <f t="shared" si="287"/>
        <v>2.0399668826038858E-2</v>
      </c>
    </row>
    <row r="146" spans="2:58">
      <c r="B146" t="s">
        <v>648</v>
      </c>
      <c r="C146" s="109">
        <v>510.95597115250882</v>
      </c>
      <c r="D146" s="182">
        <f t="shared" ref="D146:I146" si="302">C146+($J146-$C146)/(COLUMN($J146)-COLUMN($C146))</f>
        <v>510.95597115250882</v>
      </c>
      <c r="E146" s="182">
        <f t="shared" si="302"/>
        <v>510.95597115250882</v>
      </c>
      <c r="F146" s="182">
        <f t="shared" si="302"/>
        <v>510.95597115250882</v>
      </c>
      <c r="G146" s="182">
        <f t="shared" si="302"/>
        <v>510.95597115250882</v>
      </c>
      <c r="H146" s="182">
        <f t="shared" si="302"/>
        <v>510.95597115250882</v>
      </c>
      <c r="I146" s="182">
        <f t="shared" si="302"/>
        <v>510.95597115250882</v>
      </c>
      <c r="J146" s="109">
        <v>510.95597115250871</v>
      </c>
      <c r="K146" s="183">
        <f t="shared" si="299"/>
        <v>510.95597115250871</v>
      </c>
      <c r="L146" s="183">
        <f t="shared" si="299"/>
        <v>510.95597115250871</v>
      </c>
      <c r="M146" s="183">
        <f t="shared" si="299"/>
        <v>510.95597115250871</v>
      </c>
      <c r="N146" s="183">
        <f t="shared" si="299"/>
        <v>510.95597115250871</v>
      </c>
      <c r="O146" s="109">
        <v>510.95597115250871</v>
      </c>
      <c r="P146" s="183">
        <f t="shared" si="300"/>
        <v>510.95597115250871</v>
      </c>
      <c r="Q146" s="183">
        <f t="shared" si="300"/>
        <v>510.95597115250871</v>
      </c>
      <c r="R146" s="183">
        <f t="shared" si="300"/>
        <v>510.95597115250871</v>
      </c>
      <c r="S146" s="183">
        <f t="shared" si="300"/>
        <v>510.95597115250871</v>
      </c>
      <c r="T146" s="109">
        <v>510.95597115250871</v>
      </c>
      <c r="U146" s="195"/>
      <c r="V146" t="s">
        <v>648</v>
      </c>
      <c r="W146" s="39">
        <f t="shared" ref="W146:AL146" si="303">E146/SUM(E125:E157)</f>
        <v>6.9892725225247703E-3</v>
      </c>
      <c r="X146" s="39">
        <f t="shared" si="303"/>
        <v>7.1662830883166976E-3</v>
      </c>
      <c r="Y146" s="39">
        <f t="shared" si="303"/>
        <v>7.3524925782254497E-3</v>
      </c>
      <c r="Z146" s="39">
        <f t="shared" si="303"/>
        <v>7.5486371995173423E-3</v>
      </c>
      <c r="AA146" s="39">
        <f t="shared" si="303"/>
        <v>7.7555338727478091E-3</v>
      </c>
      <c r="AB146" s="39">
        <f t="shared" si="303"/>
        <v>7.9740916046170483E-3</v>
      </c>
      <c r="AC146" s="39">
        <f t="shared" si="303"/>
        <v>7.9740916046170483E-3</v>
      </c>
      <c r="AD146" s="39">
        <f t="shared" si="303"/>
        <v>7.9740916046170483E-3</v>
      </c>
      <c r="AE146" s="39">
        <f t="shared" si="303"/>
        <v>7.9740916046170483E-3</v>
      </c>
      <c r="AF146" s="39">
        <f t="shared" si="303"/>
        <v>7.9740916046170483E-3</v>
      </c>
      <c r="AG146" s="39">
        <f t="shared" si="303"/>
        <v>7.9740916046170483E-3</v>
      </c>
      <c r="AH146" s="39">
        <f t="shared" si="303"/>
        <v>7.9740916046170483E-3</v>
      </c>
      <c r="AI146" s="39">
        <f t="shared" si="303"/>
        <v>7.9740916046170483E-3</v>
      </c>
      <c r="AJ146" s="39">
        <f t="shared" si="303"/>
        <v>7.9740916046170483E-3</v>
      </c>
      <c r="AK146" s="39">
        <f t="shared" si="303"/>
        <v>7.9740916046170483E-3</v>
      </c>
      <c r="AL146" s="39">
        <f t="shared" si="303"/>
        <v>7.9740916046170483E-3</v>
      </c>
      <c r="AM146" s="184">
        <f t="shared" si="262"/>
        <v>7.9740916046170483E-3</v>
      </c>
      <c r="AN146" s="184">
        <f t="shared" si="287"/>
        <v>7.9740916046170483E-3</v>
      </c>
      <c r="AO146" s="184">
        <f t="shared" si="287"/>
        <v>7.9740916046170483E-3</v>
      </c>
      <c r="AP146" s="184">
        <f t="shared" si="287"/>
        <v>7.9740916046170483E-3</v>
      </c>
      <c r="AQ146" s="184">
        <f t="shared" si="287"/>
        <v>7.9740916046170483E-3</v>
      </c>
      <c r="AR146" s="184">
        <f t="shared" si="287"/>
        <v>7.9740916046170483E-3</v>
      </c>
      <c r="AS146" s="184">
        <f t="shared" si="287"/>
        <v>7.9740916046170483E-3</v>
      </c>
      <c r="AT146" s="184">
        <f t="shared" si="287"/>
        <v>7.9740916046170483E-3</v>
      </c>
      <c r="AU146" s="184">
        <f t="shared" si="287"/>
        <v>7.9740916046170483E-3</v>
      </c>
      <c r="AV146" s="184">
        <f t="shared" si="287"/>
        <v>7.9740916046170483E-3</v>
      </c>
      <c r="AW146" s="184">
        <f t="shared" si="287"/>
        <v>7.9740916046170483E-3</v>
      </c>
      <c r="AX146" s="184">
        <f t="shared" si="287"/>
        <v>7.9740916046170483E-3</v>
      </c>
      <c r="AY146" s="184">
        <f t="shared" si="287"/>
        <v>7.9740916046170483E-3</v>
      </c>
      <c r="AZ146" s="184">
        <f t="shared" si="287"/>
        <v>7.9740916046170483E-3</v>
      </c>
      <c r="BA146" s="184">
        <f t="shared" si="287"/>
        <v>7.9740916046170483E-3</v>
      </c>
      <c r="BB146" s="184">
        <f t="shared" si="287"/>
        <v>7.9740916046170483E-3</v>
      </c>
      <c r="BC146" s="184">
        <f t="shared" si="287"/>
        <v>7.9740916046170483E-3</v>
      </c>
      <c r="BD146" s="184">
        <f t="shared" si="287"/>
        <v>7.9740916046170483E-3</v>
      </c>
      <c r="BE146" s="184">
        <f t="shared" si="287"/>
        <v>7.9740916046170483E-3</v>
      </c>
      <c r="BF146" s="184">
        <f t="shared" si="287"/>
        <v>7.9740916046170483E-3</v>
      </c>
    </row>
    <row r="147" spans="2:58">
      <c r="B147" t="s">
        <v>649</v>
      </c>
      <c r="C147" s="109">
        <v>850.73401129134959</v>
      </c>
      <c r="D147" s="182">
        <f t="shared" ref="D147:I147" si="304">C147+($J147-$C147)/(COLUMN($J147)-COLUMN($C147))</f>
        <v>850.73401129134959</v>
      </c>
      <c r="E147" s="182">
        <f t="shared" si="304"/>
        <v>850.73401129134959</v>
      </c>
      <c r="F147" s="182">
        <f t="shared" si="304"/>
        <v>850.73401129134959</v>
      </c>
      <c r="G147" s="182">
        <f t="shared" si="304"/>
        <v>850.73401129134959</v>
      </c>
      <c r="H147" s="182">
        <f t="shared" si="304"/>
        <v>850.73401129134959</v>
      </c>
      <c r="I147" s="182">
        <f t="shared" si="304"/>
        <v>850.73401129134959</v>
      </c>
      <c r="J147" s="109">
        <v>850.73401129134959</v>
      </c>
      <c r="K147" s="183">
        <f t="shared" si="299"/>
        <v>850.73401129134959</v>
      </c>
      <c r="L147" s="183">
        <f t="shared" si="299"/>
        <v>850.73401129134959</v>
      </c>
      <c r="M147" s="183">
        <f t="shared" si="299"/>
        <v>850.73401129134959</v>
      </c>
      <c r="N147" s="183">
        <f t="shared" si="299"/>
        <v>850.73401129134959</v>
      </c>
      <c r="O147" s="109">
        <v>850.73401129134959</v>
      </c>
      <c r="P147" s="183">
        <f t="shared" si="300"/>
        <v>850.73401129134959</v>
      </c>
      <c r="Q147" s="183">
        <f t="shared" si="300"/>
        <v>850.73401129134959</v>
      </c>
      <c r="R147" s="183">
        <f t="shared" si="300"/>
        <v>850.73401129134959</v>
      </c>
      <c r="S147" s="183">
        <f t="shared" si="300"/>
        <v>850.73401129134959</v>
      </c>
      <c r="T147" s="109">
        <v>850.73401129134959</v>
      </c>
      <c r="U147" s="195"/>
      <c r="V147" t="s">
        <v>649</v>
      </c>
      <c r="W147" s="39">
        <f t="shared" ref="W147:AL147" si="305">E147/SUM(E125:E157)</f>
        <v>1.1637033687431273E-2</v>
      </c>
      <c r="X147" s="39">
        <f t="shared" si="305"/>
        <v>1.1931753618656366E-2</v>
      </c>
      <c r="Y147" s="39">
        <f t="shared" si="305"/>
        <v>1.2241789620257971E-2</v>
      </c>
      <c r="Z147" s="39">
        <f t="shared" si="305"/>
        <v>1.2568367466267855E-2</v>
      </c>
      <c r="AA147" s="39">
        <f t="shared" si="305"/>
        <v>1.2912847317130884E-2</v>
      </c>
      <c r="AB147" s="39">
        <f t="shared" si="305"/>
        <v>1.3276742655338725E-2</v>
      </c>
      <c r="AC147" s="39">
        <f t="shared" si="305"/>
        <v>1.3276742655338725E-2</v>
      </c>
      <c r="AD147" s="39">
        <f t="shared" si="305"/>
        <v>1.3276742655338725E-2</v>
      </c>
      <c r="AE147" s="39">
        <f t="shared" si="305"/>
        <v>1.3276742655338725E-2</v>
      </c>
      <c r="AF147" s="39">
        <f t="shared" si="305"/>
        <v>1.3276742655338725E-2</v>
      </c>
      <c r="AG147" s="39">
        <f t="shared" si="305"/>
        <v>1.3276742655338725E-2</v>
      </c>
      <c r="AH147" s="39">
        <f t="shared" si="305"/>
        <v>1.3276742655338725E-2</v>
      </c>
      <c r="AI147" s="39">
        <f t="shared" si="305"/>
        <v>1.3276742655338725E-2</v>
      </c>
      <c r="AJ147" s="39">
        <f t="shared" si="305"/>
        <v>1.3276742655338725E-2</v>
      </c>
      <c r="AK147" s="39">
        <f t="shared" si="305"/>
        <v>1.3276742655338725E-2</v>
      </c>
      <c r="AL147" s="39">
        <f t="shared" si="305"/>
        <v>1.3276742655338725E-2</v>
      </c>
      <c r="AM147" s="184">
        <f t="shared" si="262"/>
        <v>1.3276742655338725E-2</v>
      </c>
      <c r="AN147" s="184">
        <f t="shared" si="287"/>
        <v>1.3276742655338725E-2</v>
      </c>
      <c r="AO147" s="184">
        <f t="shared" si="287"/>
        <v>1.3276742655338725E-2</v>
      </c>
      <c r="AP147" s="184">
        <f t="shared" si="287"/>
        <v>1.3276742655338725E-2</v>
      </c>
      <c r="AQ147" s="184">
        <f t="shared" si="287"/>
        <v>1.3276742655338725E-2</v>
      </c>
      <c r="AR147" s="184">
        <f t="shared" si="287"/>
        <v>1.3276742655338725E-2</v>
      </c>
      <c r="AS147" s="184">
        <f t="shared" si="287"/>
        <v>1.3276742655338725E-2</v>
      </c>
      <c r="AT147" s="184">
        <f t="shared" si="287"/>
        <v>1.3276742655338725E-2</v>
      </c>
      <c r="AU147" s="184">
        <f t="shared" si="287"/>
        <v>1.3276742655338725E-2</v>
      </c>
      <c r="AV147" s="184">
        <f t="shared" si="287"/>
        <v>1.3276742655338725E-2</v>
      </c>
      <c r="AW147" s="184">
        <f t="shared" si="287"/>
        <v>1.3276742655338725E-2</v>
      </c>
      <c r="AX147" s="184">
        <f t="shared" si="287"/>
        <v>1.3276742655338725E-2</v>
      </c>
      <c r="AY147" s="184">
        <f t="shared" si="287"/>
        <v>1.3276742655338725E-2</v>
      </c>
      <c r="AZ147" s="184">
        <f t="shared" si="287"/>
        <v>1.3276742655338725E-2</v>
      </c>
      <c r="BA147" s="184">
        <f t="shared" si="287"/>
        <v>1.3276742655338725E-2</v>
      </c>
      <c r="BB147" s="184">
        <f t="shared" si="287"/>
        <v>1.3276742655338725E-2</v>
      </c>
      <c r="BC147" s="184">
        <f t="shared" si="287"/>
        <v>1.3276742655338725E-2</v>
      </c>
      <c r="BD147" s="184">
        <f t="shared" si="287"/>
        <v>1.3276742655338725E-2</v>
      </c>
      <c r="BE147" s="184">
        <f t="shared" si="287"/>
        <v>1.3276742655338725E-2</v>
      </c>
      <c r="BF147" s="184">
        <f t="shared" si="287"/>
        <v>1.3276742655338725E-2</v>
      </c>
    </row>
    <row r="148" spans="2:58">
      <c r="B148" t="s">
        <v>650</v>
      </c>
      <c r="C148" s="109">
        <v>1241.8655511331751</v>
      </c>
      <c r="D148" s="182">
        <f t="shared" ref="D148:I148" si="306">C148+($J148-$C148)/(COLUMN($J148)-COLUMN($C148))</f>
        <v>1249.3879323458971</v>
      </c>
      <c r="E148" s="182">
        <f t="shared" si="306"/>
        <v>1256.910313558619</v>
      </c>
      <c r="F148" s="182">
        <f t="shared" si="306"/>
        <v>1264.4326947713409</v>
      </c>
      <c r="G148" s="182">
        <f t="shared" si="306"/>
        <v>1271.9550759840629</v>
      </c>
      <c r="H148" s="182">
        <f t="shared" si="306"/>
        <v>1279.4774571967848</v>
      </c>
      <c r="I148" s="182">
        <f t="shared" si="306"/>
        <v>1286.9998384095068</v>
      </c>
      <c r="J148" s="109">
        <v>1294.522219622228</v>
      </c>
      <c r="K148" s="183">
        <f t="shared" si="299"/>
        <v>1294.522219622228</v>
      </c>
      <c r="L148" s="183">
        <f t="shared" si="299"/>
        <v>1294.522219622228</v>
      </c>
      <c r="M148" s="183">
        <f t="shared" si="299"/>
        <v>1294.522219622228</v>
      </c>
      <c r="N148" s="183">
        <f t="shared" si="299"/>
        <v>1294.522219622228</v>
      </c>
      <c r="O148" s="109">
        <v>1294.522219622228</v>
      </c>
      <c r="P148" s="183">
        <f t="shared" si="300"/>
        <v>1294.522219622228</v>
      </c>
      <c r="Q148" s="183">
        <f t="shared" si="300"/>
        <v>1294.522219622228</v>
      </c>
      <c r="R148" s="183">
        <f t="shared" si="300"/>
        <v>1294.522219622228</v>
      </c>
      <c r="S148" s="183">
        <f t="shared" si="300"/>
        <v>1294.522219622228</v>
      </c>
      <c r="T148" s="109">
        <v>1294.522219622228</v>
      </c>
      <c r="U148" s="195"/>
      <c r="V148" t="s">
        <v>650</v>
      </c>
      <c r="W148" s="39">
        <f t="shared" ref="W148:AL148" si="307">E148/SUM(E125:E157)</f>
        <v>1.7193044437895724E-2</v>
      </c>
      <c r="X148" s="39">
        <f t="shared" si="307"/>
        <v>1.7733979341538961E-2</v>
      </c>
      <c r="Y148" s="39">
        <f t="shared" si="307"/>
        <v>1.8303025669539806E-2</v>
      </c>
      <c r="Z148" s="39">
        <f t="shared" si="307"/>
        <v>1.8902433232269086E-2</v>
      </c>
      <c r="AA148" s="39">
        <f t="shared" si="307"/>
        <v>1.9534698495629624E-2</v>
      </c>
      <c r="AB148" s="39">
        <f t="shared" si="307"/>
        <v>2.0202599335900046E-2</v>
      </c>
      <c r="AC148" s="39">
        <f t="shared" si="307"/>
        <v>2.0202599335900046E-2</v>
      </c>
      <c r="AD148" s="39">
        <f t="shared" si="307"/>
        <v>2.0202599335900046E-2</v>
      </c>
      <c r="AE148" s="39">
        <f t="shared" si="307"/>
        <v>2.0202599335900046E-2</v>
      </c>
      <c r="AF148" s="39">
        <f t="shared" si="307"/>
        <v>2.0202599335900046E-2</v>
      </c>
      <c r="AG148" s="39">
        <f t="shared" si="307"/>
        <v>2.0202599335900046E-2</v>
      </c>
      <c r="AH148" s="39">
        <f t="shared" si="307"/>
        <v>2.0202599335900046E-2</v>
      </c>
      <c r="AI148" s="39">
        <f t="shared" si="307"/>
        <v>2.0202599335900046E-2</v>
      </c>
      <c r="AJ148" s="39">
        <f t="shared" si="307"/>
        <v>2.0202599335900046E-2</v>
      </c>
      <c r="AK148" s="39">
        <f t="shared" si="307"/>
        <v>2.0202599335900046E-2</v>
      </c>
      <c r="AL148" s="39">
        <f t="shared" si="307"/>
        <v>2.0202599335900046E-2</v>
      </c>
      <c r="AM148" s="184">
        <f t="shared" si="262"/>
        <v>2.0202599335900046E-2</v>
      </c>
      <c r="AN148" s="184">
        <f t="shared" si="287"/>
        <v>2.0202599335900046E-2</v>
      </c>
      <c r="AO148" s="184">
        <f t="shared" si="287"/>
        <v>2.0202599335900046E-2</v>
      </c>
      <c r="AP148" s="184">
        <f t="shared" si="287"/>
        <v>2.0202599335900046E-2</v>
      </c>
      <c r="AQ148" s="184">
        <f t="shared" si="287"/>
        <v>2.0202599335900046E-2</v>
      </c>
      <c r="AR148" s="184">
        <f t="shared" si="287"/>
        <v>2.0202599335900046E-2</v>
      </c>
      <c r="AS148" s="184">
        <f t="shared" si="287"/>
        <v>2.0202599335900046E-2</v>
      </c>
      <c r="AT148" s="184">
        <f t="shared" si="287"/>
        <v>2.0202599335900046E-2</v>
      </c>
      <c r="AU148" s="184">
        <f t="shared" si="287"/>
        <v>2.0202599335900046E-2</v>
      </c>
      <c r="AV148" s="184">
        <f t="shared" si="287"/>
        <v>2.0202599335900046E-2</v>
      </c>
      <c r="AW148" s="184">
        <f t="shared" si="287"/>
        <v>2.0202599335900046E-2</v>
      </c>
      <c r="AX148" s="184">
        <f t="shared" si="287"/>
        <v>2.0202599335900046E-2</v>
      </c>
      <c r="AY148" s="184">
        <f t="shared" si="287"/>
        <v>2.0202599335900046E-2</v>
      </c>
      <c r="AZ148" s="184">
        <f t="shared" si="287"/>
        <v>2.0202599335900046E-2</v>
      </c>
      <c r="BA148" s="184">
        <f t="shared" si="287"/>
        <v>2.0202599335900046E-2</v>
      </c>
      <c r="BB148" s="184">
        <f t="shared" si="287"/>
        <v>2.0202599335900046E-2</v>
      </c>
      <c r="BC148" s="184">
        <f t="shared" si="287"/>
        <v>2.0202599335900046E-2</v>
      </c>
      <c r="BD148" s="184">
        <f t="shared" si="287"/>
        <v>2.0202599335900046E-2</v>
      </c>
      <c r="BE148" s="184">
        <f t="shared" si="287"/>
        <v>2.0202599335900046E-2</v>
      </c>
      <c r="BF148" s="184">
        <f t="shared" si="287"/>
        <v>2.0202599335900046E-2</v>
      </c>
    </row>
    <row r="149" spans="2:58">
      <c r="B149" t="s">
        <v>651</v>
      </c>
      <c r="C149" s="109">
        <v>659.8496717656335</v>
      </c>
      <c r="D149" s="182">
        <f t="shared" ref="D149:I149" si="308">C149+($J149-$C149)/(COLUMN($J149)-COLUMN($C149))</f>
        <v>659.8496717656335</v>
      </c>
      <c r="E149" s="182">
        <f t="shared" si="308"/>
        <v>659.8496717656335</v>
      </c>
      <c r="F149" s="182">
        <f t="shared" si="308"/>
        <v>659.8496717656335</v>
      </c>
      <c r="G149" s="182">
        <f t="shared" si="308"/>
        <v>659.8496717656335</v>
      </c>
      <c r="H149" s="182">
        <f t="shared" si="308"/>
        <v>659.8496717656335</v>
      </c>
      <c r="I149" s="182">
        <f t="shared" si="308"/>
        <v>659.8496717656335</v>
      </c>
      <c r="J149" s="109">
        <v>659.84967176563339</v>
      </c>
      <c r="K149" s="183">
        <f t="shared" si="299"/>
        <v>659.84967176563339</v>
      </c>
      <c r="L149" s="183">
        <f t="shared" si="299"/>
        <v>659.84967176563339</v>
      </c>
      <c r="M149" s="183">
        <f t="shared" si="299"/>
        <v>659.84967176563339</v>
      </c>
      <c r="N149" s="183">
        <f t="shared" si="299"/>
        <v>659.84967176563339</v>
      </c>
      <c r="O149" s="109">
        <v>659.84967176563339</v>
      </c>
      <c r="P149" s="183">
        <f t="shared" si="300"/>
        <v>659.84967176563339</v>
      </c>
      <c r="Q149" s="183">
        <f t="shared" si="300"/>
        <v>659.84967176563339</v>
      </c>
      <c r="R149" s="183">
        <f t="shared" si="300"/>
        <v>659.84967176563339</v>
      </c>
      <c r="S149" s="183">
        <f t="shared" si="300"/>
        <v>659.84967176563339</v>
      </c>
      <c r="T149" s="109">
        <v>659.84967176563339</v>
      </c>
      <c r="U149" s="195"/>
      <c r="V149" t="s">
        <v>651</v>
      </c>
      <c r="W149" s="39">
        <f t="shared" ref="W149:AL149" si="309">E149/SUM(E125:E157)</f>
        <v>9.0259620011212127E-3</v>
      </c>
      <c r="X149" s="39">
        <f t="shared" si="309"/>
        <v>9.2545538374655418E-3</v>
      </c>
      <c r="Y149" s="39">
        <f t="shared" si="309"/>
        <v>9.4950251847692839E-3</v>
      </c>
      <c r="Z149" s="39">
        <f t="shared" si="309"/>
        <v>9.7483267827252057E-3</v>
      </c>
      <c r="AA149" s="39">
        <f t="shared" si="309"/>
        <v>1.0015513604346235E-2</v>
      </c>
      <c r="AB149" s="39">
        <f t="shared" si="309"/>
        <v>1.0297759542896415E-2</v>
      </c>
      <c r="AC149" s="39">
        <f t="shared" si="309"/>
        <v>1.0297759542896415E-2</v>
      </c>
      <c r="AD149" s="39">
        <f t="shared" si="309"/>
        <v>1.0297759542896415E-2</v>
      </c>
      <c r="AE149" s="39">
        <f t="shared" si="309"/>
        <v>1.0297759542896415E-2</v>
      </c>
      <c r="AF149" s="39">
        <f t="shared" si="309"/>
        <v>1.0297759542896415E-2</v>
      </c>
      <c r="AG149" s="39">
        <f t="shared" si="309"/>
        <v>1.0297759542896415E-2</v>
      </c>
      <c r="AH149" s="39">
        <f t="shared" si="309"/>
        <v>1.0297759542896415E-2</v>
      </c>
      <c r="AI149" s="39">
        <f t="shared" si="309"/>
        <v>1.0297759542896415E-2</v>
      </c>
      <c r="AJ149" s="39">
        <f t="shared" si="309"/>
        <v>1.0297759542896415E-2</v>
      </c>
      <c r="AK149" s="39">
        <f t="shared" si="309"/>
        <v>1.0297759542896415E-2</v>
      </c>
      <c r="AL149" s="39">
        <f t="shared" si="309"/>
        <v>1.0297759542896415E-2</v>
      </c>
      <c r="AM149" s="184">
        <f t="shared" si="262"/>
        <v>1.0297759542896415E-2</v>
      </c>
      <c r="AN149" s="184">
        <f t="shared" si="287"/>
        <v>1.0297759542896415E-2</v>
      </c>
      <c r="AO149" s="184">
        <f t="shared" si="287"/>
        <v>1.0297759542896415E-2</v>
      </c>
      <c r="AP149" s="184">
        <f t="shared" si="287"/>
        <v>1.0297759542896415E-2</v>
      </c>
      <c r="AQ149" s="184">
        <f t="shared" si="287"/>
        <v>1.0297759542896415E-2</v>
      </c>
      <c r="AR149" s="184">
        <f t="shared" si="287"/>
        <v>1.0297759542896415E-2</v>
      </c>
      <c r="AS149" s="184">
        <f t="shared" si="287"/>
        <v>1.0297759542896415E-2</v>
      </c>
      <c r="AT149" s="184">
        <f t="shared" si="287"/>
        <v>1.0297759542896415E-2</v>
      </c>
      <c r="AU149" s="184">
        <f t="shared" si="287"/>
        <v>1.0297759542896415E-2</v>
      </c>
      <c r="AV149" s="184">
        <f t="shared" si="287"/>
        <v>1.0297759542896415E-2</v>
      </c>
      <c r="AW149" s="184">
        <f t="shared" si="287"/>
        <v>1.0297759542896415E-2</v>
      </c>
      <c r="AX149" s="184">
        <f t="shared" si="287"/>
        <v>1.0297759542896415E-2</v>
      </c>
      <c r="AY149" s="184">
        <f t="shared" si="287"/>
        <v>1.0297759542896415E-2</v>
      </c>
      <c r="AZ149" s="184">
        <f t="shared" si="287"/>
        <v>1.0297759542896415E-2</v>
      </c>
      <c r="BA149" s="184">
        <f t="shared" si="287"/>
        <v>1.0297759542896415E-2</v>
      </c>
      <c r="BB149" s="184">
        <f t="shared" si="287"/>
        <v>1.0297759542896415E-2</v>
      </c>
      <c r="BC149" s="184">
        <f t="shared" si="287"/>
        <v>1.0297759542896415E-2</v>
      </c>
      <c r="BD149" s="184">
        <f t="shared" si="287"/>
        <v>1.0297759542896415E-2</v>
      </c>
      <c r="BE149" s="184">
        <f t="shared" si="287"/>
        <v>1.0297759542896415E-2</v>
      </c>
      <c r="BF149" s="184">
        <f t="shared" si="287"/>
        <v>1.0297759542896415E-2</v>
      </c>
    </row>
    <row r="150" spans="2:58">
      <c r="B150" t="s">
        <v>652</v>
      </c>
      <c r="C150" s="109">
        <v>2196.9148373760645</v>
      </c>
      <c r="D150" s="182">
        <f t="shared" ref="D150:I150" si="310">C150+($J150-$C150)/(COLUMN($J150)-COLUMN($C150))</f>
        <v>2196.9148373760645</v>
      </c>
      <c r="E150" s="182">
        <f t="shared" si="310"/>
        <v>2196.9148373760645</v>
      </c>
      <c r="F150" s="182">
        <f t="shared" si="310"/>
        <v>2196.9148373760645</v>
      </c>
      <c r="G150" s="182">
        <f t="shared" si="310"/>
        <v>2196.9148373760645</v>
      </c>
      <c r="H150" s="182">
        <f t="shared" si="310"/>
        <v>2196.9148373760645</v>
      </c>
      <c r="I150" s="182">
        <f t="shared" si="310"/>
        <v>2196.9148373760645</v>
      </c>
      <c r="J150" s="109">
        <v>2196.9148373760645</v>
      </c>
      <c r="K150" s="183">
        <f t="shared" si="299"/>
        <v>2196.9148373760645</v>
      </c>
      <c r="L150" s="183">
        <f t="shared" si="299"/>
        <v>2196.9148373760645</v>
      </c>
      <c r="M150" s="183">
        <f t="shared" si="299"/>
        <v>2196.9148373760645</v>
      </c>
      <c r="N150" s="183">
        <f t="shared" si="299"/>
        <v>2196.9148373760645</v>
      </c>
      <c r="O150" s="109">
        <v>2196.9148373760645</v>
      </c>
      <c r="P150" s="183">
        <f t="shared" si="300"/>
        <v>2196.9148373760645</v>
      </c>
      <c r="Q150" s="183">
        <f t="shared" si="300"/>
        <v>2196.9148373760645</v>
      </c>
      <c r="R150" s="183">
        <f t="shared" si="300"/>
        <v>2196.9148373760645</v>
      </c>
      <c r="S150" s="183">
        <f t="shared" si="300"/>
        <v>2196.9148373760645</v>
      </c>
      <c r="T150" s="109">
        <v>2196.9148373760645</v>
      </c>
      <c r="U150" s="195"/>
      <c r="V150" t="s">
        <v>652</v>
      </c>
      <c r="W150" s="39">
        <f t="shared" ref="W150:AL150" si="311">E150/SUM(E125:E157)</f>
        <v>3.0051193007031969E-2</v>
      </c>
      <c r="X150" s="39">
        <f t="shared" si="311"/>
        <v>3.0812270595544082E-2</v>
      </c>
      <c r="Y150" s="39">
        <f t="shared" si="311"/>
        <v>3.1612900032006161E-2</v>
      </c>
      <c r="Z150" s="39">
        <f t="shared" si="311"/>
        <v>3.2456246725490731E-2</v>
      </c>
      <c r="AA150" s="39">
        <f t="shared" si="311"/>
        <v>3.3345823121277866E-2</v>
      </c>
      <c r="AB150" s="39">
        <f t="shared" si="311"/>
        <v>3.4285537599775422E-2</v>
      </c>
      <c r="AC150" s="39">
        <f t="shared" si="311"/>
        <v>3.4285537599775422E-2</v>
      </c>
      <c r="AD150" s="39">
        <f t="shared" si="311"/>
        <v>3.4285537599775422E-2</v>
      </c>
      <c r="AE150" s="39">
        <f t="shared" si="311"/>
        <v>3.4285537599775422E-2</v>
      </c>
      <c r="AF150" s="39">
        <f t="shared" si="311"/>
        <v>3.4285537599775422E-2</v>
      </c>
      <c r="AG150" s="39">
        <f t="shared" si="311"/>
        <v>3.4285537599775422E-2</v>
      </c>
      <c r="AH150" s="39">
        <f t="shared" si="311"/>
        <v>3.4285537599775422E-2</v>
      </c>
      <c r="AI150" s="39">
        <f t="shared" si="311"/>
        <v>3.4285537599775422E-2</v>
      </c>
      <c r="AJ150" s="39">
        <f t="shared" si="311"/>
        <v>3.4285537599775422E-2</v>
      </c>
      <c r="AK150" s="39">
        <f t="shared" si="311"/>
        <v>3.4285537599775422E-2</v>
      </c>
      <c r="AL150" s="39">
        <f t="shared" si="311"/>
        <v>3.4285537599775422E-2</v>
      </c>
      <c r="AM150" s="184">
        <f t="shared" si="262"/>
        <v>3.4285537599775422E-2</v>
      </c>
      <c r="AN150" s="184">
        <f t="shared" si="287"/>
        <v>3.4285537599775422E-2</v>
      </c>
      <c r="AO150" s="184">
        <f t="shared" si="287"/>
        <v>3.4285537599775422E-2</v>
      </c>
      <c r="AP150" s="184">
        <f t="shared" si="287"/>
        <v>3.4285537599775422E-2</v>
      </c>
      <c r="AQ150" s="184">
        <f t="shared" si="287"/>
        <v>3.4285537599775422E-2</v>
      </c>
      <c r="AR150" s="184">
        <f t="shared" si="287"/>
        <v>3.4285537599775422E-2</v>
      </c>
      <c r="AS150" s="184">
        <f t="shared" si="287"/>
        <v>3.4285537599775422E-2</v>
      </c>
      <c r="AT150" s="184">
        <f t="shared" si="287"/>
        <v>3.4285537599775422E-2</v>
      </c>
      <c r="AU150" s="184">
        <f t="shared" si="287"/>
        <v>3.4285537599775422E-2</v>
      </c>
      <c r="AV150" s="184">
        <f t="shared" si="287"/>
        <v>3.4285537599775422E-2</v>
      </c>
      <c r="AW150" s="184">
        <f t="shared" si="287"/>
        <v>3.4285537599775422E-2</v>
      </c>
      <c r="AX150" s="184">
        <f t="shared" si="287"/>
        <v>3.4285537599775422E-2</v>
      </c>
      <c r="AY150" s="184">
        <f t="shared" si="287"/>
        <v>3.4285537599775422E-2</v>
      </c>
      <c r="AZ150" s="184">
        <f t="shared" si="287"/>
        <v>3.4285537599775422E-2</v>
      </c>
      <c r="BA150" s="184">
        <f t="shared" si="287"/>
        <v>3.4285537599775422E-2</v>
      </c>
      <c r="BB150" s="184">
        <f t="shared" si="287"/>
        <v>3.4285537599775422E-2</v>
      </c>
      <c r="BC150" s="184">
        <f t="shared" si="287"/>
        <v>3.4285537599775422E-2</v>
      </c>
      <c r="BD150" s="184">
        <f t="shared" si="287"/>
        <v>3.4285537599775422E-2</v>
      </c>
      <c r="BE150" s="184">
        <f t="shared" si="287"/>
        <v>3.4285537599775422E-2</v>
      </c>
      <c r="BF150" s="184">
        <f t="shared" si="287"/>
        <v>3.4285537599775422E-2</v>
      </c>
    </row>
    <row r="151" spans="2:58">
      <c r="B151" t="s">
        <v>653</v>
      </c>
      <c r="C151" s="109">
        <v>652.46650186676766</v>
      </c>
      <c r="D151" s="182">
        <f t="shared" ref="D151:I151" si="312">C151+($J151-$C151)/(COLUMN($J151)-COLUMN($C151))</f>
        <v>652.46650186676766</v>
      </c>
      <c r="E151" s="182">
        <f t="shared" si="312"/>
        <v>652.46650186676766</v>
      </c>
      <c r="F151" s="182">
        <f t="shared" si="312"/>
        <v>652.46650186676766</v>
      </c>
      <c r="G151" s="182">
        <f t="shared" si="312"/>
        <v>652.46650186676766</v>
      </c>
      <c r="H151" s="182">
        <f t="shared" si="312"/>
        <v>652.46650186676766</v>
      </c>
      <c r="I151" s="182">
        <f t="shared" si="312"/>
        <v>652.46650186676766</v>
      </c>
      <c r="J151" s="109">
        <v>652.46650186676766</v>
      </c>
      <c r="K151" s="183">
        <f t="shared" si="299"/>
        <v>652.46650186676766</v>
      </c>
      <c r="L151" s="183">
        <f t="shared" si="299"/>
        <v>652.46650186676766</v>
      </c>
      <c r="M151" s="183">
        <f t="shared" si="299"/>
        <v>652.46650186676766</v>
      </c>
      <c r="N151" s="183">
        <f t="shared" si="299"/>
        <v>652.46650186676766</v>
      </c>
      <c r="O151" s="109">
        <v>652.46650186676766</v>
      </c>
      <c r="P151" s="183">
        <f t="shared" si="300"/>
        <v>652.46650186676766</v>
      </c>
      <c r="Q151" s="183">
        <f t="shared" si="300"/>
        <v>652.46650186676766</v>
      </c>
      <c r="R151" s="183">
        <f t="shared" si="300"/>
        <v>652.46650186676766</v>
      </c>
      <c r="S151" s="183">
        <f t="shared" si="300"/>
        <v>652.46650186676766</v>
      </c>
      <c r="T151" s="109">
        <v>652.46650186676766</v>
      </c>
      <c r="U151" s="195"/>
      <c r="V151" t="s">
        <v>653</v>
      </c>
      <c r="W151" s="39">
        <f t="shared" ref="W151:AL151" si="313">E151/SUM(E125:E157)</f>
        <v>8.9249689813373761E-3</v>
      </c>
      <c r="X151" s="39">
        <f t="shared" si="313"/>
        <v>9.15100306485187E-3</v>
      </c>
      <c r="Y151" s="39">
        <f t="shared" si="313"/>
        <v>9.3887837374626911E-3</v>
      </c>
      <c r="Z151" s="39">
        <f t="shared" si="313"/>
        <v>9.6392511008749175E-3</v>
      </c>
      <c r="AA151" s="39">
        <f t="shared" si="313"/>
        <v>9.9034483238295019E-3</v>
      </c>
      <c r="AB151" s="39">
        <f t="shared" si="313"/>
        <v>1.0182536164699638E-2</v>
      </c>
      <c r="AC151" s="39">
        <f t="shared" si="313"/>
        <v>1.0182536164699638E-2</v>
      </c>
      <c r="AD151" s="39">
        <f t="shared" si="313"/>
        <v>1.0182536164699638E-2</v>
      </c>
      <c r="AE151" s="39">
        <f t="shared" si="313"/>
        <v>1.0182536164699638E-2</v>
      </c>
      <c r="AF151" s="39">
        <f t="shared" si="313"/>
        <v>1.0182536164699638E-2</v>
      </c>
      <c r="AG151" s="39">
        <f t="shared" si="313"/>
        <v>1.0182536164699638E-2</v>
      </c>
      <c r="AH151" s="39">
        <f t="shared" si="313"/>
        <v>1.0182536164699638E-2</v>
      </c>
      <c r="AI151" s="39">
        <f t="shared" si="313"/>
        <v>1.0182536164699638E-2</v>
      </c>
      <c r="AJ151" s="39">
        <f t="shared" si="313"/>
        <v>1.0182536164699638E-2</v>
      </c>
      <c r="AK151" s="39">
        <f t="shared" si="313"/>
        <v>1.0182536164699638E-2</v>
      </c>
      <c r="AL151" s="39">
        <f t="shared" si="313"/>
        <v>1.0182536164699638E-2</v>
      </c>
      <c r="AM151" s="184">
        <f t="shared" si="262"/>
        <v>1.0182536164699638E-2</v>
      </c>
      <c r="AN151" s="184">
        <f t="shared" si="287"/>
        <v>1.0182536164699638E-2</v>
      </c>
      <c r="AO151" s="184">
        <f t="shared" si="287"/>
        <v>1.0182536164699638E-2</v>
      </c>
      <c r="AP151" s="184">
        <f t="shared" si="287"/>
        <v>1.0182536164699638E-2</v>
      </c>
      <c r="AQ151" s="184">
        <f t="shared" si="287"/>
        <v>1.0182536164699638E-2</v>
      </c>
      <c r="AR151" s="184">
        <f t="shared" si="287"/>
        <v>1.0182536164699638E-2</v>
      </c>
      <c r="AS151" s="184">
        <f t="shared" si="287"/>
        <v>1.0182536164699638E-2</v>
      </c>
      <c r="AT151" s="184">
        <f t="shared" si="287"/>
        <v>1.0182536164699638E-2</v>
      </c>
      <c r="AU151" s="184">
        <f t="shared" si="287"/>
        <v>1.0182536164699638E-2</v>
      </c>
      <c r="AV151" s="184">
        <f t="shared" si="287"/>
        <v>1.0182536164699638E-2</v>
      </c>
      <c r="AW151" s="184">
        <f t="shared" si="287"/>
        <v>1.0182536164699638E-2</v>
      </c>
      <c r="AX151" s="184">
        <f t="shared" si="287"/>
        <v>1.0182536164699638E-2</v>
      </c>
      <c r="AY151" s="184">
        <f t="shared" si="287"/>
        <v>1.0182536164699638E-2</v>
      </c>
      <c r="AZ151" s="184">
        <f t="shared" si="287"/>
        <v>1.0182536164699638E-2</v>
      </c>
      <c r="BA151" s="184">
        <f t="shared" si="287"/>
        <v>1.0182536164699638E-2</v>
      </c>
      <c r="BB151" s="184">
        <f t="shared" si="287"/>
        <v>1.0182536164699638E-2</v>
      </c>
      <c r="BC151" s="184">
        <f t="shared" si="287"/>
        <v>1.0182536164699638E-2</v>
      </c>
      <c r="BD151" s="184">
        <f t="shared" si="287"/>
        <v>1.0182536164699638E-2</v>
      </c>
      <c r="BE151" s="184">
        <f t="shared" si="287"/>
        <v>1.0182536164699638E-2</v>
      </c>
      <c r="BF151" s="184">
        <f t="shared" si="287"/>
        <v>1.0182536164699638E-2</v>
      </c>
    </row>
    <row r="152" spans="2:58">
      <c r="B152" t="s">
        <v>654</v>
      </c>
      <c r="C152" s="109">
        <v>121.29535636600342</v>
      </c>
      <c r="D152" s="182">
        <f t="shared" ref="D152:I152" si="314">C152+($J152-$C152)/(COLUMN($J152)-COLUMN($C152))</f>
        <v>121.29535636600342</v>
      </c>
      <c r="E152" s="182">
        <f t="shared" si="314"/>
        <v>121.29535636600342</v>
      </c>
      <c r="F152" s="182">
        <f t="shared" si="314"/>
        <v>121.29535636600342</v>
      </c>
      <c r="G152" s="182">
        <f t="shared" si="314"/>
        <v>121.29535636600342</v>
      </c>
      <c r="H152" s="182">
        <f t="shared" si="314"/>
        <v>121.29535636600342</v>
      </c>
      <c r="I152" s="182">
        <f t="shared" si="314"/>
        <v>121.29535636600342</v>
      </c>
      <c r="J152" s="109">
        <v>121.29535636600342</v>
      </c>
      <c r="K152" s="183">
        <f t="shared" si="299"/>
        <v>121.29535636600342</v>
      </c>
      <c r="L152" s="183">
        <f t="shared" si="299"/>
        <v>121.29535636600342</v>
      </c>
      <c r="M152" s="183">
        <f t="shared" si="299"/>
        <v>121.29535636600342</v>
      </c>
      <c r="N152" s="183">
        <f t="shared" si="299"/>
        <v>121.29535636600342</v>
      </c>
      <c r="O152" s="109">
        <v>121.29535636600342</v>
      </c>
      <c r="P152" s="183">
        <f t="shared" si="300"/>
        <v>121.29535636600342</v>
      </c>
      <c r="Q152" s="183">
        <f t="shared" si="300"/>
        <v>121.29535636600342</v>
      </c>
      <c r="R152" s="183">
        <f t="shared" si="300"/>
        <v>121.29535636600342</v>
      </c>
      <c r="S152" s="183">
        <f t="shared" si="300"/>
        <v>121.29535636600342</v>
      </c>
      <c r="T152" s="109">
        <v>121.29535636600342</v>
      </c>
      <c r="U152" s="195"/>
      <c r="V152" t="s">
        <v>654</v>
      </c>
      <c r="W152" s="39">
        <f t="shared" ref="W152:AL152" si="315">E152/SUM(E125:E157)</f>
        <v>1.6591768160503961E-3</v>
      </c>
      <c r="X152" s="39">
        <f t="shared" si="315"/>
        <v>1.7011971874140008E-3</v>
      </c>
      <c r="Y152" s="39">
        <f t="shared" si="315"/>
        <v>1.7454012827028144E-3</v>
      </c>
      <c r="Z152" s="39">
        <f t="shared" si="315"/>
        <v>1.7919638694658404E-3</v>
      </c>
      <c r="AA152" s="39">
        <f t="shared" si="315"/>
        <v>1.8410788757037061E-3</v>
      </c>
      <c r="AB152" s="39">
        <f t="shared" si="315"/>
        <v>1.8929620896601434E-3</v>
      </c>
      <c r="AC152" s="39">
        <f t="shared" si="315"/>
        <v>1.8929620896601434E-3</v>
      </c>
      <c r="AD152" s="39">
        <f t="shared" si="315"/>
        <v>1.8929620896601434E-3</v>
      </c>
      <c r="AE152" s="39">
        <f t="shared" si="315"/>
        <v>1.8929620896601434E-3</v>
      </c>
      <c r="AF152" s="39">
        <f t="shared" si="315"/>
        <v>1.8929620896601434E-3</v>
      </c>
      <c r="AG152" s="39">
        <f t="shared" si="315"/>
        <v>1.8929620896601434E-3</v>
      </c>
      <c r="AH152" s="39">
        <f t="shared" si="315"/>
        <v>1.8929620896601434E-3</v>
      </c>
      <c r="AI152" s="39">
        <f t="shared" si="315"/>
        <v>1.8929620896601434E-3</v>
      </c>
      <c r="AJ152" s="39">
        <f t="shared" si="315"/>
        <v>1.8929620896601434E-3</v>
      </c>
      <c r="AK152" s="39">
        <f t="shared" si="315"/>
        <v>1.8929620896601434E-3</v>
      </c>
      <c r="AL152" s="39">
        <f t="shared" si="315"/>
        <v>1.8929620896601434E-3</v>
      </c>
      <c r="AM152" s="184">
        <f t="shared" ref="AM152:BF152" si="316">AL152</f>
        <v>1.8929620896601434E-3</v>
      </c>
      <c r="AN152" s="184">
        <f t="shared" si="316"/>
        <v>1.8929620896601434E-3</v>
      </c>
      <c r="AO152" s="184">
        <f t="shared" si="316"/>
        <v>1.8929620896601434E-3</v>
      </c>
      <c r="AP152" s="184">
        <f t="shared" si="316"/>
        <v>1.8929620896601434E-3</v>
      </c>
      <c r="AQ152" s="184">
        <f t="shared" si="316"/>
        <v>1.8929620896601434E-3</v>
      </c>
      <c r="AR152" s="184">
        <f t="shared" si="316"/>
        <v>1.8929620896601434E-3</v>
      </c>
      <c r="AS152" s="184">
        <f t="shared" si="316"/>
        <v>1.8929620896601434E-3</v>
      </c>
      <c r="AT152" s="184">
        <f t="shared" si="316"/>
        <v>1.8929620896601434E-3</v>
      </c>
      <c r="AU152" s="184">
        <f t="shared" si="316"/>
        <v>1.8929620896601434E-3</v>
      </c>
      <c r="AV152" s="184">
        <f t="shared" si="316"/>
        <v>1.8929620896601434E-3</v>
      </c>
      <c r="AW152" s="184">
        <f t="shared" si="316"/>
        <v>1.8929620896601434E-3</v>
      </c>
      <c r="AX152" s="184">
        <f t="shared" si="316"/>
        <v>1.8929620896601434E-3</v>
      </c>
      <c r="AY152" s="184">
        <f t="shared" si="316"/>
        <v>1.8929620896601434E-3</v>
      </c>
      <c r="AZ152" s="184">
        <f t="shared" si="316"/>
        <v>1.8929620896601434E-3</v>
      </c>
      <c r="BA152" s="184">
        <f t="shared" si="316"/>
        <v>1.8929620896601434E-3</v>
      </c>
      <c r="BB152" s="184">
        <f t="shared" si="316"/>
        <v>1.8929620896601434E-3</v>
      </c>
      <c r="BC152" s="184">
        <f t="shared" si="316"/>
        <v>1.8929620896601434E-3</v>
      </c>
      <c r="BD152" s="184">
        <f t="shared" si="316"/>
        <v>1.8929620896601434E-3</v>
      </c>
      <c r="BE152" s="184">
        <f t="shared" si="316"/>
        <v>1.8929620896601434E-3</v>
      </c>
      <c r="BF152" s="184">
        <f t="shared" si="316"/>
        <v>1.8929620896601434E-3</v>
      </c>
    </row>
    <row r="153" spans="2:58">
      <c r="B153" t="s">
        <v>655</v>
      </c>
      <c r="C153" s="109">
        <v>625.44502712922281</v>
      </c>
      <c r="D153" s="182">
        <f t="shared" ref="D153:I153" si="317">C153+($J153-$C153)/(COLUMN($J153)-COLUMN($C153))</f>
        <v>629.33613026092371</v>
      </c>
      <c r="E153" s="182">
        <f t="shared" si="317"/>
        <v>633.22723339262461</v>
      </c>
      <c r="F153" s="182">
        <f t="shared" si="317"/>
        <v>637.11833652432551</v>
      </c>
      <c r="G153" s="182">
        <f t="shared" si="317"/>
        <v>641.00943965602642</v>
      </c>
      <c r="H153" s="182">
        <f t="shared" si="317"/>
        <v>644.90054278772732</v>
      </c>
      <c r="I153" s="182">
        <f t="shared" si="317"/>
        <v>648.79164591942822</v>
      </c>
      <c r="J153" s="109">
        <v>652.68274905112946</v>
      </c>
      <c r="K153" s="183">
        <f t="shared" si="299"/>
        <v>652.68274905112946</v>
      </c>
      <c r="L153" s="183">
        <f t="shared" si="299"/>
        <v>652.68274905112946</v>
      </c>
      <c r="M153" s="183">
        <f t="shared" si="299"/>
        <v>652.68274905112946</v>
      </c>
      <c r="N153" s="183">
        <f t="shared" si="299"/>
        <v>652.68274905112946</v>
      </c>
      <c r="O153" s="109">
        <v>652.68274905112946</v>
      </c>
      <c r="P153" s="183">
        <f t="shared" si="300"/>
        <v>652.68274905112946</v>
      </c>
      <c r="Q153" s="183">
        <f t="shared" si="300"/>
        <v>652.68274905112946</v>
      </c>
      <c r="R153" s="183">
        <f t="shared" si="300"/>
        <v>652.68274905112946</v>
      </c>
      <c r="S153" s="183">
        <f t="shared" si="300"/>
        <v>652.68274905112946</v>
      </c>
      <c r="T153" s="109">
        <v>652.68274905112946</v>
      </c>
      <c r="U153" s="195"/>
      <c r="V153" t="s">
        <v>655</v>
      </c>
      <c r="W153" s="39">
        <f t="shared" ref="W153:AL153" si="318">E153/SUM(E125:E157)</f>
        <v>8.6617985750957211E-3</v>
      </c>
      <c r="X153" s="39">
        <f t="shared" si="318"/>
        <v>8.9357412733473279E-3</v>
      </c>
      <c r="Y153" s="39">
        <f t="shared" si="318"/>
        <v>9.2239202861505633E-3</v>
      </c>
      <c r="Z153" s="39">
        <f t="shared" si="318"/>
        <v>9.5274749726397458E-3</v>
      </c>
      <c r="AA153" s="39">
        <f t="shared" si="318"/>
        <v>9.847669604358282E-3</v>
      </c>
      <c r="AB153" s="39">
        <f t="shared" si="318"/>
        <v>1.0185910965963732E-2</v>
      </c>
      <c r="AC153" s="39">
        <f t="shared" si="318"/>
        <v>1.0185910965963732E-2</v>
      </c>
      <c r="AD153" s="39">
        <f t="shared" si="318"/>
        <v>1.0185910965963732E-2</v>
      </c>
      <c r="AE153" s="39">
        <f t="shared" si="318"/>
        <v>1.0185910965963732E-2</v>
      </c>
      <c r="AF153" s="39">
        <f t="shared" si="318"/>
        <v>1.0185910965963732E-2</v>
      </c>
      <c r="AG153" s="39">
        <f t="shared" si="318"/>
        <v>1.0185910965963732E-2</v>
      </c>
      <c r="AH153" s="39">
        <f t="shared" si="318"/>
        <v>1.0185910965963732E-2</v>
      </c>
      <c r="AI153" s="39">
        <f t="shared" si="318"/>
        <v>1.0185910965963732E-2</v>
      </c>
      <c r="AJ153" s="39">
        <f t="shared" si="318"/>
        <v>1.0185910965963732E-2</v>
      </c>
      <c r="AK153" s="39">
        <f t="shared" si="318"/>
        <v>1.0185910965963732E-2</v>
      </c>
      <c r="AL153" s="39">
        <f t="shared" si="318"/>
        <v>1.0185910965963732E-2</v>
      </c>
      <c r="AM153" s="184">
        <f t="shared" ref="AM153:BF153" si="319">AL153</f>
        <v>1.0185910965963732E-2</v>
      </c>
      <c r="AN153" s="184">
        <f t="shared" si="319"/>
        <v>1.0185910965963732E-2</v>
      </c>
      <c r="AO153" s="184">
        <f t="shared" si="319"/>
        <v>1.0185910965963732E-2</v>
      </c>
      <c r="AP153" s="184">
        <f t="shared" si="319"/>
        <v>1.0185910965963732E-2</v>
      </c>
      <c r="AQ153" s="184">
        <f t="shared" si="319"/>
        <v>1.0185910965963732E-2</v>
      </c>
      <c r="AR153" s="184">
        <f t="shared" si="319"/>
        <v>1.0185910965963732E-2</v>
      </c>
      <c r="AS153" s="184">
        <f t="shared" si="319"/>
        <v>1.0185910965963732E-2</v>
      </c>
      <c r="AT153" s="184">
        <f t="shared" si="319"/>
        <v>1.0185910965963732E-2</v>
      </c>
      <c r="AU153" s="184">
        <f t="shared" si="319"/>
        <v>1.0185910965963732E-2</v>
      </c>
      <c r="AV153" s="184">
        <f t="shared" si="319"/>
        <v>1.0185910965963732E-2</v>
      </c>
      <c r="AW153" s="184">
        <f t="shared" si="319"/>
        <v>1.0185910965963732E-2</v>
      </c>
      <c r="AX153" s="184">
        <f t="shared" si="319"/>
        <v>1.0185910965963732E-2</v>
      </c>
      <c r="AY153" s="184">
        <f t="shared" si="319"/>
        <v>1.0185910965963732E-2</v>
      </c>
      <c r="AZ153" s="184">
        <f t="shared" si="319"/>
        <v>1.0185910965963732E-2</v>
      </c>
      <c r="BA153" s="184">
        <f t="shared" si="319"/>
        <v>1.0185910965963732E-2</v>
      </c>
      <c r="BB153" s="184">
        <f t="shared" si="319"/>
        <v>1.0185910965963732E-2</v>
      </c>
      <c r="BC153" s="184">
        <f t="shared" si="319"/>
        <v>1.0185910965963732E-2</v>
      </c>
      <c r="BD153" s="184">
        <f t="shared" si="319"/>
        <v>1.0185910965963732E-2</v>
      </c>
      <c r="BE153" s="184">
        <f t="shared" si="319"/>
        <v>1.0185910965963732E-2</v>
      </c>
      <c r="BF153" s="184">
        <f t="shared" si="319"/>
        <v>1.0185910965963732E-2</v>
      </c>
    </row>
    <row r="154" spans="2:58">
      <c r="B154" t="s">
        <v>656</v>
      </c>
      <c r="C154" s="109">
        <v>0</v>
      </c>
      <c r="D154" s="182">
        <f t="shared" ref="D154:I154" si="320">C154+($J154-$C154)/(COLUMN($J154)-COLUMN($C154))</f>
        <v>0</v>
      </c>
      <c r="E154" s="182">
        <f t="shared" si="320"/>
        <v>0</v>
      </c>
      <c r="F154" s="182">
        <f t="shared" si="320"/>
        <v>0</v>
      </c>
      <c r="G154" s="182">
        <f t="shared" si="320"/>
        <v>0</v>
      </c>
      <c r="H154" s="182">
        <f t="shared" si="320"/>
        <v>0</v>
      </c>
      <c r="I154" s="182">
        <f t="shared" si="320"/>
        <v>0</v>
      </c>
      <c r="J154" s="109">
        <v>0</v>
      </c>
      <c r="K154" s="183">
        <f t="shared" si="299"/>
        <v>0</v>
      </c>
      <c r="L154" s="183">
        <f t="shared" si="299"/>
        <v>0</v>
      </c>
      <c r="M154" s="183">
        <f t="shared" si="299"/>
        <v>0</v>
      </c>
      <c r="N154" s="183">
        <f t="shared" si="299"/>
        <v>0</v>
      </c>
      <c r="O154" s="109">
        <v>0</v>
      </c>
      <c r="P154" s="183">
        <f t="shared" si="300"/>
        <v>0</v>
      </c>
      <c r="Q154" s="183">
        <f t="shared" si="300"/>
        <v>0</v>
      </c>
      <c r="R154" s="183">
        <f t="shared" si="300"/>
        <v>0</v>
      </c>
      <c r="S154" s="183">
        <f t="shared" si="300"/>
        <v>0</v>
      </c>
      <c r="T154" s="109">
        <v>0</v>
      </c>
      <c r="U154" s="195"/>
      <c r="V154" t="s">
        <v>656</v>
      </c>
      <c r="W154" s="39">
        <f t="shared" ref="W154:AL154" si="321">E154/SUM(E125:E157)</f>
        <v>0</v>
      </c>
      <c r="X154" s="39">
        <f t="shared" si="321"/>
        <v>0</v>
      </c>
      <c r="Y154" s="39">
        <f t="shared" si="321"/>
        <v>0</v>
      </c>
      <c r="Z154" s="39">
        <f t="shared" si="321"/>
        <v>0</v>
      </c>
      <c r="AA154" s="39">
        <f t="shared" si="321"/>
        <v>0</v>
      </c>
      <c r="AB154" s="39">
        <f t="shared" si="321"/>
        <v>0</v>
      </c>
      <c r="AC154" s="39">
        <f t="shared" si="321"/>
        <v>0</v>
      </c>
      <c r="AD154" s="39">
        <f t="shared" si="321"/>
        <v>0</v>
      </c>
      <c r="AE154" s="39">
        <f t="shared" si="321"/>
        <v>0</v>
      </c>
      <c r="AF154" s="39">
        <f t="shared" si="321"/>
        <v>0</v>
      </c>
      <c r="AG154" s="39">
        <f t="shared" si="321"/>
        <v>0</v>
      </c>
      <c r="AH154" s="39">
        <f t="shared" si="321"/>
        <v>0</v>
      </c>
      <c r="AI154" s="39">
        <f t="shared" si="321"/>
        <v>0</v>
      </c>
      <c r="AJ154" s="39">
        <f t="shared" si="321"/>
        <v>0</v>
      </c>
      <c r="AK154" s="39">
        <f t="shared" si="321"/>
        <v>0</v>
      </c>
      <c r="AL154" s="39">
        <f t="shared" si="321"/>
        <v>0</v>
      </c>
      <c r="AM154" s="184">
        <f t="shared" ref="AM154:BF154" si="322">AL154</f>
        <v>0</v>
      </c>
      <c r="AN154" s="184">
        <f t="shared" si="322"/>
        <v>0</v>
      </c>
      <c r="AO154" s="184">
        <f t="shared" si="322"/>
        <v>0</v>
      </c>
      <c r="AP154" s="184">
        <f t="shared" si="322"/>
        <v>0</v>
      </c>
      <c r="AQ154" s="184">
        <f t="shared" si="322"/>
        <v>0</v>
      </c>
      <c r="AR154" s="184">
        <f t="shared" si="322"/>
        <v>0</v>
      </c>
      <c r="AS154" s="184">
        <f t="shared" si="322"/>
        <v>0</v>
      </c>
      <c r="AT154" s="184">
        <f t="shared" si="322"/>
        <v>0</v>
      </c>
      <c r="AU154" s="184">
        <f t="shared" si="322"/>
        <v>0</v>
      </c>
      <c r="AV154" s="184">
        <f t="shared" si="322"/>
        <v>0</v>
      </c>
      <c r="AW154" s="184">
        <f t="shared" si="322"/>
        <v>0</v>
      </c>
      <c r="AX154" s="184">
        <f t="shared" si="322"/>
        <v>0</v>
      </c>
      <c r="AY154" s="184">
        <f t="shared" si="322"/>
        <v>0</v>
      </c>
      <c r="AZ154" s="184">
        <f t="shared" si="322"/>
        <v>0</v>
      </c>
      <c r="BA154" s="184">
        <f t="shared" si="322"/>
        <v>0</v>
      </c>
      <c r="BB154" s="184">
        <f t="shared" si="322"/>
        <v>0</v>
      </c>
      <c r="BC154" s="184">
        <f t="shared" si="322"/>
        <v>0</v>
      </c>
      <c r="BD154" s="184">
        <f t="shared" si="322"/>
        <v>0</v>
      </c>
      <c r="BE154" s="184">
        <f t="shared" si="322"/>
        <v>0</v>
      </c>
      <c r="BF154" s="184">
        <f t="shared" si="322"/>
        <v>0</v>
      </c>
    </row>
    <row r="155" spans="2:58">
      <c r="B155" t="s">
        <v>657</v>
      </c>
      <c r="C155" s="109">
        <v>1.7025023409711868</v>
      </c>
      <c r="D155" s="182">
        <f t="shared" ref="D155:I155" si="323">C155+($J155-$C155)/(COLUMN($J155)-COLUMN($C155))</f>
        <v>1.7025023409711868</v>
      </c>
      <c r="E155" s="182">
        <f t="shared" si="323"/>
        <v>1.7025023409711868</v>
      </c>
      <c r="F155" s="182">
        <f t="shared" si="323"/>
        <v>1.7025023409711868</v>
      </c>
      <c r="G155" s="182">
        <f t="shared" si="323"/>
        <v>1.7025023409711868</v>
      </c>
      <c r="H155" s="182">
        <f t="shared" si="323"/>
        <v>1.7025023409711868</v>
      </c>
      <c r="I155" s="182">
        <f t="shared" si="323"/>
        <v>1.7025023409711868</v>
      </c>
      <c r="J155" s="109">
        <v>1.7025023409711868</v>
      </c>
      <c r="K155" s="183">
        <f t="shared" si="299"/>
        <v>1.7025023409711868</v>
      </c>
      <c r="L155" s="183">
        <f t="shared" si="299"/>
        <v>1.7025023409711868</v>
      </c>
      <c r="M155" s="183">
        <f t="shared" si="299"/>
        <v>1.7025023409711868</v>
      </c>
      <c r="N155" s="183">
        <f t="shared" si="299"/>
        <v>1.7025023409711868</v>
      </c>
      <c r="O155" s="109">
        <v>1.7025023409711868</v>
      </c>
      <c r="P155" s="183">
        <f t="shared" si="300"/>
        <v>1.7025023409711868</v>
      </c>
      <c r="Q155" s="183">
        <f t="shared" si="300"/>
        <v>1.7025023409711868</v>
      </c>
      <c r="R155" s="183">
        <f t="shared" si="300"/>
        <v>1.7025023409711868</v>
      </c>
      <c r="S155" s="183">
        <f t="shared" si="300"/>
        <v>1.7025023409711868</v>
      </c>
      <c r="T155" s="109">
        <v>1.7025023409711868</v>
      </c>
      <c r="U155" s="195"/>
      <c r="V155" t="s">
        <v>657</v>
      </c>
      <c r="W155" s="39">
        <f t="shared" ref="W155:AL155" si="324">E155/SUM(E125:E157)</f>
        <v>2.3288215625397506E-5</v>
      </c>
      <c r="X155" s="39">
        <f t="shared" si="324"/>
        <v>2.3878013806946577E-5</v>
      </c>
      <c r="Y155" s="39">
        <f t="shared" si="324"/>
        <v>2.4498462750454625E-5</v>
      </c>
      <c r="Z155" s="39">
        <f t="shared" si="324"/>
        <v>2.5152015494275445E-5</v>
      </c>
      <c r="AA155" s="39">
        <f t="shared" si="324"/>
        <v>2.5841394012975413E-5</v>
      </c>
      <c r="AB155" s="39">
        <f t="shared" si="324"/>
        <v>2.6569627111622718E-5</v>
      </c>
      <c r="AC155" s="39">
        <f t="shared" si="324"/>
        <v>2.6569627111622718E-5</v>
      </c>
      <c r="AD155" s="39">
        <f t="shared" si="324"/>
        <v>2.6569627111622718E-5</v>
      </c>
      <c r="AE155" s="39">
        <f t="shared" si="324"/>
        <v>2.6569627111622718E-5</v>
      </c>
      <c r="AF155" s="39">
        <f t="shared" si="324"/>
        <v>2.6569627111622718E-5</v>
      </c>
      <c r="AG155" s="39">
        <f t="shared" si="324"/>
        <v>2.6569627111622718E-5</v>
      </c>
      <c r="AH155" s="39">
        <f t="shared" si="324"/>
        <v>2.6569627111622718E-5</v>
      </c>
      <c r="AI155" s="39">
        <f t="shared" si="324"/>
        <v>2.6569627111622718E-5</v>
      </c>
      <c r="AJ155" s="39">
        <f t="shared" si="324"/>
        <v>2.6569627111622718E-5</v>
      </c>
      <c r="AK155" s="39">
        <f t="shared" si="324"/>
        <v>2.6569627111622718E-5</v>
      </c>
      <c r="AL155" s="39">
        <f t="shared" si="324"/>
        <v>2.6569627111622718E-5</v>
      </c>
      <c r="AM155" s="184">
        <f t="shared" ref="AM155:BF155" si="325">AL155</f>
        <v>2.6569627111622718E-5</v>
      </c>
      <c r="AN155" s="184">
        <f t="shared" si="325"/>
        <v>2.6569627111622718E-5</v>
      </c>
      <c r="AO155" s="184">
        <f t="shared" si="325"/>
        <v>2.6569627111622718E-5</v>
      </c>
      <c r="AP155" s="184">
        <f t="shared" si="325"/>
        <v>2.6569627111622718E-5</v>
      </c>
      <c r="AQ155" s="184">
        <f t="shared" si="325"/>
        <v>2.6569627111622718E-5</v>
      </c>
      <c r="AR155" s="184">
        <f t="shared" si="325"/>
        <v>2.6569627111622718E-5</v>
      </c>
      <c r="AS155" s="184">
        <f t="shared" si="325"/>
        <v>2.6569627111622718E-5</v>
      </c>
      <c r="AT155" s="184">
        <f t="shared" si="325"/>
        <v>2.6569627111622718E-5</v>
      </c>
      <c r="AU155" s="184">
        <f t="shared" si="325"/>
        <v>2.6569627111622718E-5</v>
      </c>
      <c r="AV155" s="184">
        <f t="shared" si="325"/>
        <v>2.6569627111622718E-5</v>
      </c>
      <c r="AW155" s="184">
        <f t="shared" si="325"/>
        <v>2.6569627111622718E-5</v>
      </c>
      <c r="AX155" s="184">
        <f t="shared" si="325"/>
        <v>2.6569627111622718E-5</v>
      </c>
      <c r="AY155" s="184">
        <f t="shared" si="325"/>
        <v>2.6569627111622718E-5</v>
      </c>
      <c r="AZ155" s="184">
        <f t="shared" si="325"/>
        <v>2.6569627111622718E-5</v>
      </c>
      <c r="BA155" s="184">
        <f t="shared" si="325"/>
        <v>2.6569627111622718E-5</v>
      </c>
      <c r="BB155" s="184">
        <f t="shared" si="325"/>
        <v>2.6569627111622718E-5</v>
      </c>
      <c r="BC155" s="184">
        <f t="shared" si="325"/>
        <v>2.6569627111622718E-5</v>
      </c>
      <c r="BD155" s="184">
        <f t="shared" si="325"/>
        <v>2.6569627111622718E-5</v>
      </c>
      <c r="BE155" s="184">
        <f t="shared" si="325"/>
        <v>2.6569627111622718E-5</v>
      </c>
      <c r="BF155" s="184">
        <f t="shared" si="325"/>
        <v>2.6569627111622718E-5</v>
      </c>
    </row>
    <row r="156" spans="2:58">
      <c r="B156" t="s">
        <v>658</v>
      </c>
      <c r="C156" s="109">
        <v>1863.9693473205184</v>
      </c>
      <c r="D156" s="182">
        <f t="shared" ref="D156:I156" si="326">C156+($J156-$C156)/(COLUMN($J156)-COLUMN($C156))</f>
        <v>1863.9693473205184</v>
      </c>
      <c r="E156" s="182">
        <f t="shared" si="326"/>
        <v>1863.9693473205184</v>
      </c>
      <c r="F156" s="182">
        <f t="shared" si="326"/>
        <v>1863.9693473205184</v>
      </c>
      <c r="G156" s="182">
        <f t="shared" si="326"/>
        <v>1863.9693473205184</v>
      </c>
      <c r="H156" s="182">
        <f t="shared" si="326"/>
        <v>1863.9693473205184</v>
      </c>
      <c r="I156" s="182">
        <f t="shared" si="326"/>
        <v>1863.9693473205184</v>
      </c>
      <c r="J156" s="109">
        <v>1863.9693473205184</v>
      </c>
      <c r="K156" s="183">
        <f t="shared" si="299"/>
        <v>1863.9693473205184</v>
      </c>
      <c r="L156" s="183">
        <f t="shared" si="299"/>
        <v>1863.9693473205184</v>
      </c>
      <c r="M156" s="183">
        <f t="shared" si="299"/>
        <v>1863.9693473205184</v>
      </c>
      <c r="N156" s="183">
        <f t="shared" si="299"/>
        <v>1863.9693473205184</v>
      </c>
      <c r="O156" s="109">
        <v>1863.9693473205184</v>
      </c>
      <c r="P156" s="183">
        <f t="shared" si="300"/>
        <v>1863.9693473205184</v>
      </c>
      <c r="Q156" s="183">
        <f t="shared" si="300"/>
        <v>1863.9693473205184</v>
      </c>
      <c r="R156" s="183">
        <f t="shared" si="300"/>
        <v>1863.9693473205184</v>
      </c>
      <c r="S156" s="183">
        <f t="shared" si="300"/>
        <v>1863.9693473205184</v>
      </c>
      <c r="T156" s="109">
        <v>1863.9693473205184</v>
      </c>
      <c r="U156" s="195"/>
      <c r="V156" t="s">
        <v>658</v>
      </c>
      <c r="W156" s="39">
        <f t="shared" ref="W156:AL156" si="327">E156/SUM(E125:E157)</f>
        <v>2.5496893034971949E-2</v>
      </c>
      <c r="X156" s="39">
        <f t="shared" si="327"/>
        <v>2.6142628259562432E-2</v>
      </c>
      <c r="Y156" s="39">
        <f t="shared" si="327"/>
        <v>2.6821921194699703E-2</v>
      </c>
      <c r="Z156" s="39">
        <f t="shared" si="327"/>
        <v>2.7537457527321899E-2</v>
      </c>
      <c r="AA156" s="39">
        <f t="shared" si="327"/>
        <v>2.8292217386756194E-2</v>
      </c>
      <c r="AB156" s="39">
        <f t="shared" si="327"/>
        <v>2.9089516832939914E-2</v>
      </c>
      <c r="AC156" s="39">
        <f t="shared" si="327"/>
        <v>2.9089516832939914E-2</v>
      </c>
      <c r="AD156" s="39">
        <f t="shared" si="327"/>
        <v>2.9089516832939914E-2</v>
      </c>
      <c r="AE156" s="39">
        <f t="shared" si="327"/>
        <v>2.9089516832939914E-2</v>
      </c>
      <c r="AF156" s="39">
        <f t="shared" si="327"/>
        <v>2.9089516832939914E-2</v>
      </c>
      <c r="AG156" s="39">
        <f t="shared" si="327"/>
        <v>2.9089516832939914E-2</v>
      </c>
      <c r="AH156" s="39">
        <f t="shared" si="327"/>
        <v>2.9089516832939914E-2</v>
      </c>
      <c r="AI156" s="39">
        <f t="shared" si="327"/>
        <v>2.9089516832939914E-2</v>
      </c>
      <c r="AJ156" s="39">
        <f t="shared" si="327"/>
        <v>2.9089516832939914E-2</v>
      </c>
      <c r="AK156" s="39">
        <f t="shared" si="327"/>
        <v>2.9089516832939914E-2</v>
      </c>
      <c r="AL156" s="39">
        <f t="shared" si="327"/>
        <v>2.9089516832939914E-2</v>
      </c>
      <c r="AM156" s="184">
        <f t="shared" ref="AM156:BF156" si="328">AL156</f>
        <v>2.9089516832939914E-2</v>
      </c>
      <c r="AN156" s="184">
        <f t="shared" si="328"/>
        <v>2.9089516832939914E-2</v>
      </c>
      <c r="AO156" s="184">
        <f t="shared" si="328"/>
        <v>2.9089516832939914E-2</v>
      </c>
      <c r="AP156" s="184">
        <f t="shared" si="328"/>
        <v>2.9089516832939914E-2</v>
      </c>
      <c r="AQ156" s="184">
        <f t="shared" si="328"/>
        <v>2.9089516832939914E-2</v>
      </c>
      <c r="AR156" s="184">
        <f t="shared" si="328"/>
        <v>2.9089516832939914E-2</v>
      </c>
      <c r="AS156" s="184">
        <f t="shared" si="328"/>
        <v>2.9089516832939914E-2</v>
      </c>
      <c r="AT156" s="184">
        <f t="shared" si="328"/>
        <v>2.9089516832939914E-2</v>
      </c>
      <c r="AU156" s="184">
        <f t="shared" si="328"/>
        <v>2.9089516832939914E-2</v>
      </c>
      <c r="AV156" s="184">
        <f t="shared" si="328"/>
        <v>2.9089516832939914E-2</v>
      </c>
      <c r="AW156" s="184">
        <f t="shared" si="328"/>
        <v>2.9089516832939914E-2</v>
      </c>
      <c r="AX156" s="184">
        <f t="shared" si="328"/>
        <v>2.9089516832939914E-2</v>
      </c>
      <c r="AY156" s="184">
        <f t="shared" si="328"/>
        <v>2.9089516832939914E-2</v>
      </c>
      <c r="AZ156" s="184">
        <f t="shared" si="328"/>
        <v>2.9089516832939914E-2</v>
      </c>
      <c r="BA156" s="184">
        <f t="shared" si="328"/>
        <v>2.9089516832939914E-2</v>
      </c>
      <c r="BB156" s="184">
        <f t="shared" si="328"/>
        <v>2.9089516832939914E-2</v>
      </c>
      <c r="BC156" s="184">
        <f t="shared" si="328"/>
        <v>2.9089516832939914E-2</v>
      </c>
      <c r="BD156" s="184">
        <f t="shared" si="328"/>
        <v>2.9089516832939914E-2</v>
      </c>
      <c r="BE156" s="184">
        <f t="shared" si="328"/>
        <v>2.9089516832939914E-2</v>
      </c>
      <c r="BF156" s="184">
        <f t="shared" si="328"/>
        <v>2.9089516832939914E-2</v>
      </c>
    </row>
    <row r="157" spans="2:58">
      <c r="B157" t="s">
        <v>659</v>
      </c>
      <c r="C157" s="109">
        <v>1291.8613129672367</v>
      </c>
      <c r="D157" s="182">
        <f t="shared" ref="D157:I157" si="329">C157+($J157-$C157)/(COLUMN($J157)-COLUMN($C157))</f>
        <v>1291.8613129672367</v>
      </c>
      <c r="E157" s="182">
        <f t="shared" si="329"/>
        <v>1291.8613129672367</v>
      </c>
      <c r="F157" s="182">
        <f t="shared" si="329"/>
        <v>1291.8613129672367</v>
      </c>
      <c r="G157" s="182">
        <f t="shared" si="329"/>
        <v>1291.8613129672367</v>
      </c>
      <c r="H157" s="182">
        <f t="shared" si="329"/>
        <v>1291.8613129672367</v>
      </c>
      <c r="I157" s="182">
        <f t="shared" si="329"/>
        <v>1291.8613129672367</v>
      </c>
      <c r="J157" s="109">
        <v>1291.8613129672367</v>
      </c>
      <c r="K157" s="183">
        <f t="shared" si="299"/>
        <v>1291.8613129672367</v>
      </c>
      <c r="L157" s="183">
        <f t="shared" si="299"/>
        <v>1291.8613129672367</v>
      </c>
      <c r="M157" s="183">
        <f t="shared" si="299"/>
        <v>1291.8613129672367</v>
      </c>
      <c r="N157" s="183">
        <f t="shared" si="299"/>
        <v>1291.8613129672367</v>
      </c>
      <c r="O157" s="109">
        <v>1291.8613129672367</v>
      </c>
      <c r="P157" s="183">
        <f t="shared" si="300"/>
        <v>1291.8613129672367</v>
      </c>
      <c r="Q157" s="183">
        <f t="shared" si="300"/>
        <v>1291.8613129672367</v>
      </c>
      <c r="R157" s="183">
        <f t="shared" si="300"/>
        <v>1291.8613129672367</v>
      </c>
      <c r="S157" s="183">
        <f t="shared" si="300"/>
        <v>1291.8613129672367</v>
      </c>
      <c r="T157" s="109">
        <v>1291.8613129672367</v>
      </c>
      <c r="U157" s="195"/>
      <c r="V157" t="s">
        <v>659</v>
      </c>
      <c r="W157" s="39">
        <f t="shared" ref="W157:AL157" si="330">E157/SUM(E125:E157)</f>
        <v>1.7671132714759247E-2</v>
      </c>
      <c r="X157" s="39">
        <f t="shared" si="330"/>
        <v>1.8118672453686729E-2</v>
      </c>
      <c r="Y157" s="39">
        <f t="shared" si="330"/>
        <v>1.8589470036456692E-2</v>
      </c>
      <c r="Z157" s="39">
        <f t="shared" si="330"/>
        <v>1.9085386832226898E-2</v>
      </c>
      <c r="AA157" s="39">
        <f t="shared" si="330"/>
        <v>1.9608488279353908E-2</v>
      </c>
      <c r="AB157" s="39">
        <f t="shared" si="330"/>
        <v>2.0161072639636225E-2</v>
      </c>
      <c r="AC157" s="39">
        <f t="shared" si="330"/>
        <v>2.0161072639636225E-2</v>
      </c>
      <c r="AD157" s="39">
        <f t="shared" si="330"/>
        <v>2.0161072639636225E-2</v>
      </c>
      <c r="AE157" s="39">
        <f t="shared" si="330"/>
        <v>2.0161072639636225E-2</v>
      </c>
      <c r="AF157" s="39">
        <f t="shared" si="330"/>
        <v>2.0161072639636225E-2</v>
      </c>
      <c r="AG157" s="39">
        <f t="shared" si="330"/>
        <v>2.0161072639636225E-2</v>
      </c>
      <c r="AH157" s="39">
        <f t="shared" si="330"/>
        <v>2.0161072639636225E-2</v>
      </c>
      <c r="AI157" s="39">
        <f t="shared" si="330"/>
        <v>2.0161072639636225E-2</v>
      </c>
      <c r="AJ157" s="39">
        <f t="shared" si="330"/>
        <v>2.0161072639636225E-2</v>
      </c>
      <c r="AK157" s="39">
        <f t="shared" si="330"/>
        <v>2.0161072639636225E-2</v>
      </c>
      <c r="AL157" s="39">
        <f t="shared" si="330"/>
        <v>2.0161072639636225E-2</v>
      </c>
      <c r="AM157" s="184">
        <f t="shared" ref="AM157:BF159" si="331">AL157</f>
        <v>2.0161072639636225E-2</v>
      </c>
      <c r="AN157" s="184">
        <f t="shared" si="331"/>
        <v>2.0161072639636225E-2</v>
      </c>
      <c r="AO157" s="184">
        <f t="shared" si="331"/>
        <v>2.0161072639636225E-2</v>
      </c>
      <c r="AP157" s="184">
        <f t="shared" si="331"/>
        <v>2.0161072639636225E-2</v>
      </c>
      <c r="AQ157" s="184">
        <f t="shared" si="331"/>
        <v>2.0161072639636225E-2</v>
      </c>
      <c r="AR157" s="184">
        <f t="shared" si="331"/>
        <v>2.0161072639636225E-2</v>
      </c>
      <c r="AS157" s="184">
        <f t="shared" si="331"/>
        <v>2.0161072639636225E-2</v>
      </c>
      <c r="AT157" s="184">
        <f t="shared" si="331"/>
        <v>2.0161072639636225E-2</v>
      </c>
      <c r="AU157" s="184">
        <f t="shared" si="331"/>
        <v>2.0161072639636225E-2</v>
      </c>
      <c r="AV157" s="184">
        <f t="shared" si="331"/>
        <v>2.0161072639636225E-2</v>
      </c>
      <c r="AW157" s="184">
        <f t="shared" si="331"/>
        <v>2.0161072639636225E-2</v>
      </c>
      <c r="AX157" s="184">
        <f t="shared" si="331"/>
        <v>2.0161072639636225E-2</v>
      </c>
      <c r="AY157" s="184">
        <f t="shared" si="331"/>
        <v>2.0161072639636225E-2</v>
      </c>
      <c r="AZ157" s="184">
        <f t="shared" si="331"/>
        <v>2.0161072639636225E-2</v>
      </c>
      <c r="BA157" s="184">
        <f t="shared" si="331"/>
        <v>2.0161072639636225E-2</v>
      </c>
      <c r="BB157" s="184">
        <f t="shared" si="331"/>
        <v>2.0161072639636225E-2</v>
      </c>
      <c r="BC157" s="184">
        <f t="shared" si="331"/>
        <v>2.0161072639636225E-2</v>
      </c>
      <c r="BD157" s="184">
        <f t="shared" si="331"/>
        <v>2.0161072639636225E-2</v>
      </c>
      <c r="BE157" s="184">
        <f t="shared" si="331"/>
        <v>2.0161072639636225E-2</v>
      </c>
      <c r="BF157" s="184">
        <f t="shared" si="331"/>
        <v>2.0161072639636225E-2</v>
      </c>
    </row>
    <row r="158" spans="2:58">
      <c r="B158" t="s">
        <v>660</v>
      </c>
      <c r="C158" s="109">
        <f>SUM(C130,C131,C132,C136,C137,C138,C144,C145,C147,C148,C153,C155)</f>
        <v>19682.770040271193</v>
      </c>
      <c r="D158" s="182">
        <f t="shared" ref="D158:T158" si="332">SUM(D130,D131,D132,D136,D137,D138,D144,D145,D147,D148,D153,D155)</f>
        <v>19118.405487230768</v>
      </c>
      <c r="E158" s="182">
        <f t="shared" si="332"/>
        <v>18554.040934190343</v>
      </c>
      <c r="F158" s="182">
        <f t="shared" si="332"/>
        <v>17989.676381149926</v>
      </c>
      <c r="G158" s="182">
        <f t="shared" si="332"/>
        <v>17425.311828109501</v>
      </c>
      <c r="H158" s="182">
        <f t="shared" si="332"/>
        <v>16860.947275069073</v>
      </c>
      <c r="I158" s="182">
        <f t="shared" si="332"/>
        <v>16296.582722028656</v>
      </c>
      <c r="J158" s="109">
        <f t="shared" si="332"/>
        <v>15732.218168988229</v>
      </c>
      <c r="K158" s="183">
        <f t="shared" si="332"/>
        <v>15732.218168988229</v>
      </c>
      <c r="L158" s="183">
        <f t="shared" si="332"/>
        <v>15732.218168988229</v>
      </c>
      <c r="M158" s="183">
        <f t="shared" si="332"/>
        <v>15732.218168988229</v>
      </c>
      <c r="N158" s="183">
        <f t="shared" si="332"/>
        <v>15732.218168988229</v>
      </c>
      <c r="O158" s="109">
        <f t="shared" si="332"/>
        <v>15732.218168988229</v>
      </c>
      <c r="P158" s="183">
        <f t="shared" si="332"/>
        <v>15732.218168988229</v>
      </c>
      <c r="Q158" s="183">
        <f t="shared" si="332"/>
        <v>15732.218168988229</v>
      </c>
      <c r="R158" s="183">
        <f t="shared" si="332"/>
        <v>15732.218168988229</v>
      </c>
      <c r="S158" s="183">
        <f t="shared" si="332"/>
        <v>15732.218168988229</v>
      </c>
      <c r="T158" s="109">
        <f t="shared" si="332"/>
        <v>15732.218168988229</v>
      </c>
      <c r="U158" s="195"/>
      <c r="V158" t="s">
        <v>660</v>
      </c>
      <c r="W158" s="193">
        <f>E158/SUM(E$125:E$157)</f>
        <v>0.2537973050606156</v>
      </c>
      <c r="X158" s="172">
        <f t="shared" ref="X158:AL159" si="333">F158/SUM(F$125:F$157)</f>
        <v>0.25230963310544341</v>
      </c>
      <c r="Y158" s="172">
        <f t="shared" si="333"/>
        <v>0.25074464948604835</v>
      </c>
      <c r="Z158" s="172">
        <f t="shared" si="333"/>
        <v>0.2490961668039644</v>
      </c>
      <c r="AA158" s="172">
        <f t="shared" si="333"/>
        <v>0.24735731931197211</v>
      </c>
      <c r="AB158" s="172">
        <f t="shared" si="333"/>
        <v>0.24552046733179053</v>
      </c>
      <c r="AC158" s="172">
        <f t="shared" si="333"/>
        <v>0.24552046733179053</v>
      </c>
      <c r="AD158" s="172">
        <f t="shared" si="333"/>
        <v>0.24552046733179053</v>
      </c>
      <c r="AE158" s="172">
        <f t="shared" si="333"/>
        <v>0.24552046733179053</v>
      </c>
      <c r="AF158" s="172">
        <f t="shared" si="333"/>
        <v>0.24552046733179053</v>
      </c>
      <c r="AG158" s="172">
        <f t="shared" si="333"/>
        <v>0.24552046733179053</v>
      </c>
      <c r="AH158" s="172">
        <f t="shared" si="333"/>
        <v>0.24552046733179053</v>
      </c>
      <c r="AI158" s="172">
        <f t="shared" si="333"/>
        <v>0.24552046733179053</v>
      </c>
      <c r="AJ158" s="172">
        <f t="shared" si="333"/>
        <v>0.24552046733179053</v>
      </c>
      <c r="AK158" s="172">
        <f t="shared" si="333"/>
        <v>0.24552046733179053</v>
      </c>
      <c r="AL158" s="172">
        <f t="shared" si="333"/>
        <v>0.24552046733179053</v>
      </c>
      <c r="AM158" s="184">
        <f>AL158</f>
        <v>0.24552046733179053</v>
      </c>
      <c r="AN158" s="184">
        <f t="shared" si="331"/>
        <v>0.24552046733179053</v>
      </c>
      <c r="AO158" s="184">
        <f t="shared" si="331"/>
        <v>0.24552046733179053</v>
      </c>
      <c r="AP158" s="184">
        <f t="shared" si="331"/>
        <v>0.24552046733179053</v>
      </c>
      <c r="AQ158" s="184">
        <f t="shared" si="331"/>
        <v>0.24552046733179053</v>
      </c>
      <c r="AR158" s="184">
        <f t="shared" si="331"/>
        <v>0.24552046733179053</v>
      </c>
      <c r="AS158" s="184">
        <f t="shared" si="331"/>
        <v>0.24552046733179053</v>
      </c>
      <c r="AT158" s="184">
        <f t="shared" si="331"/>
        <v>0.24552046733179053</v>
      </c>
      <c r="AU158" s="184">
        <f t="shared" si="331"/>
        <v>0.24552046733179053</v>
      </c>
      <c r="AV158" s="184">
        <f t="shared" si="331"/>
        <v>0.24552046733179053</v>
      </c>
      <c r="AW158" s="184">
        <f t="shared" si="331"/>
        <v>0.24552046733179053</v>
      </c>
      <c r="AX158" s="184">
        <f t="shared" si="331"/>
        <v>0.24552046733179053</v>
      </c>
      <c r="AY158" s="184">
        <f t="shared" si="331"/>
        <v>0.24552046733179053</v>
      </c>
      <c r="AZ158" s="184">
        <f t="shared" si="331"/>
        <v>0.24552046733179053</v>
      </c>
      <c r="BA158" s="184">
        <f t="shared" si="331"/>
        <v>0.24552046733179053</v>
      </c>
      <c r="BB158" s="184">
        <f t="shared" si="331"/>
        <v>0.24552046733179053</v>
      </c>
      <c r="BC158" s="184">
        <f t="shared" si="331"/>
        <v>0.24552046733179053</v>
      </c>
      <c r="BD158" s="184">
        <f t="shared" si="331"/>
        <v>0.24552046733179053</v>
      </c>
      <c r="BE158" s="184">
        <f t="shared" si="331"/>
        <v>0.24552046733179053</v>
      </c>
      <c r="BF158" s="184">
        <f t="shared" si="331"/>
        <v>0.24552046733179053</v>
      </c>
    </row>
    <row r="159" spans="2:58">
      <c r="B159" t="s">
        <v>661</v>
      </c>
      <c r="C159" s="109">
        <f>SUM(C125,C126,C127,C128,C133,C134,C135,C139,C140,C141,C142,C143,C146,C149,C150,C151,C152,C154,C156,C157,C129)</f>
        <v>57034.46704870907</v>
      </c>
      <c r="D159" s="182">
        <f t="shared" ref="D159:T159" si="334">SUM(D125,D126,D127,D128,D133,D134,D135,D139,D140,D141,D142,D143,D146,D149,D150,D151,D152,D154,D156,D157,D129)</f>
        <v>55793.08529867066</v>
      </c>
      <c r="E159" s="182">
        <f t="shared" si="334"/>
        <v>54551.703548632249</v>
      </c>
      <c r="F159" s="182">
        <f t="shared" si="334"/>
        <v>53310.321798593839</v>
      </c>
      <c r="G159" s="182">
        <f t="shared" si="334"/>
        <v>52068.940048555429</v>
      </c>
      <c r="H159" s="182">
        <f t="shared" si="334"/>
        <v>50827.558298517011</v>
      </c>
      <c r="I159" s="182">
        <f t="shared" si="334"/>
        <v>49586.176548478608</v>
      </c>
      <c r="J159" s="109">
        <f t="shared" si="334"/>
        <v>48344.794798440198</v>
      </c>
      <c r="K159" s="183">
        <f t="shared" si="334"/>
        <v>48344.794798440198</v>
      </c>
      <c r="L159" s="183">
        <f t="shared" si="334"/>
        <v>48344.794798440198</v>
      </c>
      <c r="M159" s="183">
        <f t="shared" si="334"/>
        <v>48344.794798440198</v>
      </c>
      <c r="N159" s="183">
        <f t="shared" si="334"/>
        <v>48344.794798440198</v>
      </c>
      <c r="O159" s="109">
        <f t="shared" si="334"/>
        <v>48344.794798440198</v>
      </c>
      <c r="P159" s="183">
        <f t="shared" si="334"/>
        <v>48344.794798440198</v>
      </c>
      <c r="Q159" s="183">
        <f t="shared" si="334"/>
        <v>48344.794798440198</v>
      </c>
      <c r="R159" s="183">
        <f t="shared" si="334"/>
        <v>48344.794798440198</v>
      </c>
      <c r="S159" s="183">
        <f t="shared" si="334"/>
        <v>48344.794798440198</v>
      </c>
      <c r="T159" s="109">
        <f t="shared" si="334"/>
        <v>48344.794798440198</v>
      </c>
      <c r="U159" s="195"/>
      <c r="V159" t="s">
        <v>661</v>
      </c>
      <c r="W159" s="193">
        <f>E159/SUM(E$125:E$157)</f>
        <v>0.74620269493938429</v>
      </c>
      <c r="X159" s="172">
        <f t="shared" si="333"/>
        <v>0.74769036689455703</v>
      </c>
      <c r="Y159" s="172">
        <f t="shared" si="333"/>
        <v>0.74925535051395187</v>
      </c>
      <c r="Z159" s="172">
        <f t="shared" si="333"/>
        <v>0.7509038331960356</v>
      </c>
      <c r="AA159" s="172">
        <f t="shared" si="333"/>
        <v>0.75264268068802798</v>
      </c>
      <c r="AB159" s="172">
        <f t="shared" si="333"/>
        <v>0.75447953266820944</v>
      </c>
      <c r="AC159" s="172">
        <f t="shared" si="333"/>
        <v>0.75447953266820944</v>
      </c>
      <c r="AD159" s="172">
        <f t="shared" si="333"/>
        <v>0.75447953266820944</v>
      </c>
      <c r="AE159" s="172">
        <f t="shared" si="333"/>
        <v>0.75447953266820944</v>
      </c>
      <c r="AF159" s="172">
        <f t="shared" si="333"/>
        <v>0.75447953266820944</v>
      </c>
      <c r="AG159" s="172">
        <f t="shared" si="333"/>
        <v>0.75447953266820944</v>
      </c>
      <c r="AH159" s="172">
        <f t="shared" si="333"/>
        <v>0.75447953266820944</v>
      </c>
      <c r="AI159" s="172">
        <f t="shared" si="333"/>
        <v>0.75447953266820944</v>
      </c>
      <c r="AJ159" s="172">
        <f t="shared" si="333"/>
        <v>0.75447953266820944</v>
      </c>
      <c r="AK159" s="172">
        <f t="shared" si="333"/>
        <v>0.75447953266820944</v>
      </c>
      <c r="AL159" s="172">
        <f t="shared" si="333"/>
        <v>0.75447953266820944</v>
      </c>
      <c r="AM159" s="184">
        <f>AL159</f>
        <v>0.75447953266820944</v>
      </c>
      <c r="AN159" s="184">
        <f t="shared" si="331"/>
        <v>0.75447953266820944</v>
      </c>
      <c r="AO159" s="184">
        <f t="shared" si="331"/>
        <v>0.75447953266820944</v>
      </c>
      <c r="AP159" s="184">
        <f t="shared" si="331"/>
        <v>0.75447953266820944</v>
      </c>
      <c r="AQ159" s="184">
        <f t="shared" si="331"/>
        <v>0.75447953266820944</v>
      </c>
      <c r="AR159" s="184">
        <f t="shared" si="331"/>
        <v>0.75447953266820944</v>
      </c>
      <c r="AS159" s="184">
        <f t="shared" si="331"/>
        <v>0.75447953266820944</v>
      </c>
      <c r="AT159" s="184">
        <f t="shared" si="331"/>
        <v>0.75447953266820944</v>
      </c>
      <c r="AU159" s="184">
        <f t="shared" si="331"/>
        <v>0.75447953266820944</v>
      </c>
      <c r="AV159" s="184">
        <f t="shared" si="331"/>
        <v>0.75447953266820944</v>
      </c>
      <c r="AW159" s="184">
        <f t="shared" si="331"/>
        <v>0.75447953266820944</v>
      </c>
      <c r="AX159" s="184">
        <f t="shared" si="331"/>
        <v>0.75447953266820944</v>
      </c>
      <c r="AY159" s="184">
        <f t="shared" si="331"/>
        <v>0.75447953266820944</v>
      </c>
      <c r="AZ159" s="184">
        <f t="shared" si="331"/>
        <v>0.75447953266820944</v>
      </c>
      <c r="BA159" s="184">
        <f t="shared" si="331"/>
        <v>0.75447953266820944</v>
      </c>
      <c r="BB159" s="184">
        <f t="shared" si="331"/>
        <v>0.75447953266820944</v>
      </c>
      <c r="BC159" s="184">
        <f t="shared" si="331"/>
        <v>0.75447953266820944</v>
      </c>
      <c r="BD159" s="184">
        <f t="shared" si="331"/>
        <v>0.75447953266820944</v>
      </c>
      <c r="BE159" s="184">
        <f t="shared" si="331"/>
        <v>0.75447953266820944</v>
      </c>
      <c r="BF159" s="184">
        <f t="shared" si="331"/>
        <v>0.75447953266820944</v>
      </c>
    </row>
    <row r="160" spans="2:58">
      <c r="B160" t="s">
        <v>122</v>
      </c>
      <c r="C160" s="203">
        <f>SUM(C125:C157)</f>
        <v>76717.23708898027</v>
      </c>
      <c r="D160" s="203">
        <f t="shared" ref="D160:T160" si="335">SUM(D125:D157)</f>
        <v>74911.490785901406</v>
      </c>
      <c r="E160" s="203">
        <f t="shared" si="335"/>
        <v>73105.7444828226</v>
      </c>
      <c r="F160" s="203">
        <f t="shared" si="335"/>
        <v>71299.998179743736</v>
      </c>
      <c r="G160" s="203">
        <f t="shared" si="335"/>
        <v>69494.251876664915</v>
      </c>
      <c r="H160" s="203">
        <f t="shared" si="335"/>
        <v>67688.505573586081</v>
      </c>
      <c r="I160" s="203">
        <f t="shared" si="335"/>
        <v>65882.75927050726</v>
      </c>
      <c r="J160" s="203">
        <f t="shared" si="335"/>
        <v>64077.012967428425</v>
      </c>
      <c r="K160" s="203">
        <f t="shared" si="335"/>
        <v>64077.012967428425</v>
      </c>
      <c r="L160" s="203">
        <f t="shared" si="335"/>
        <v>64077.012967428425</v>
      </c>
      <c r="M160" s="203">
        <f t="shared" si="335"/>
        <v>64077.012967428425</v>
      </c>
      <c r="N160" s="203">
        <f t="shared" si="335"/>
        <v>64077.012967428425</v>
      </c>
      <c r="O160" s="203">
        <f t="shared" si="335"/>
        <v>64077.012967428425</v>
      </c>
      <c r="P160" s="203">
        <f t="shared" si="335"/>
        <v>64077.012967428425</v>
      </c>
      <c r="Q160" s="203">
        <f t="shared" si="335"/>
        <v>64077.012967428425</v>
      </c>
      <c r="R160" s="203">
        <f t="shared" si="335"/>
        <v>64077.012967428425</v>
      </c>
      <c r="S160" s="203">
        <f t="shared" si="335"/>
        <v>64077.012967428425</v>
      </c>
      <c r="T160" s="203">
        <f t="shared" si="335"/>
        <v>64077.012967428425</v>
      </c>
      <c r="V160" s="181" t="s">
        <v>122</v>
      </c>
      <c r="W160" s="196">
        <f t="shared" ref="W160:BF160" si="336">SUM(W125:W157)</f>
        <v>0.99999999999999978</v>
      </c>
      <c r="X160" s="196">
        <f t="shared" si="336"/>
        <v>1.0000000000000004</v>
      </c>
      <c r="Y160" s="196">
        <f t="shared" si="336"/>
        <v>1.0000000000000004</v>
      </c>
      <c r="Z160" s="196">
        <f t="shared" si="336"/>
        <v>1.0000000000000004</v>
      </c>
      <c r="AA160" s="196">
        <f t="shared" si="336"/>
        <v>1.0000000000000004</v>
      </c>
      <c r="AB160" s="196">
        <f t="shared" si="336"/>
        <v>1.0000000000000004</v>
      </c>
      <c r="AC160" s="196">
        <f t="shared" si="336"/>
        <v>1.0000000000000004</v>
      </c>
      <c r="AD160" s="196">
        <f t="shared" si="336"/>
        <v>1.0000000000000004</v>
      </c>
      <c r="AE160" s="196">
        <f t="shared" si="336"/>
        <v>1.0000000000000004</v>
      </c>
      <c r="AF160" s="196">
        <f t="shared" si="336"/>
        <v>1.0000000000000004</v>
      </c>
      <c r="AG160" s="196">
        <f t="shared" si="336"/>
        <v>1.0000000000000004</v>
      </c>
      <c r="AH160" s="196">
        <f t="shared" si="336"/>
        <v>1.0000000000000004</v>
      </c>
      <c r="AI160" s="196">
        <f t="shared" si="336"/>
        <v>1.0000000000000004</v>
      </c>
      <c r="AJ160" s="196">
        <f t="shared" si="336"/>
        <v>1.0000000000000004</v>
      </c>
      <c r="AK160" s="196">
        <f t="shared" si="336"/>
        <v>1.0000000000000004</v>
      </c>
      <c r="AL160" s="196">
        <f t="shared" si="336"/>
        <v>1.0000000000000004</v>
      </c>
      <c r="AM160" s="196">
        <f t="shared" si="336"/>
        <v>1.0000000000000004</v>
      </c>
      <c r="AN160" s="196">
        <f t="shared" si="336"/>
        <v>1.0000000000000004</v>
      </c>
      <c r="AO160" s="196">
        <f t="shared" si="336"/>
        <v>1.0000000000000004</v>
      </c>
      <c r="AP160" s="196">
        <f t="shared" si="336"/>
        <v>1.0000000000000004</v>
      </c>
      <c r="AQ160" s="196">
        <f t="shared" si="336"/>
        <v>1.0000000000000004</v>
      </c>
      <c r="AR160" s="196">
        <f t="shared" si="336"/>
        <v>1.0000000000000004</v>
      </c>
      <c r="AS160" s="196">
        <f t="shared" si="336"/>
        <v>1.0000000000000004</v>
      </c>
      <c r="AT160" s="196">
        <f t="shared" si="336"/>
        <v>1.0000000000000004</v>
      </c>
      <c r="AU160" s="196">
        <f t="shared" si="336"/>
        <v>1.0000000000000004</v>
      </c>
      <c r="AV160" s="196">
        <f t="shared" si="336"/>
        <v>1.0000000000000004</v>
      </c>
      <c r="AW160" s="196">
        <f t="shared" si="336"/>
        <v>1.0000000000000004</v>
      </c>
      <c r="AX160" s="196">
        <f t="shared" si="336"/>
        <v>1.0000000000000004</v>
      </c>
      <c r="AY160" s="196">
        <f t="shared" si="336"/>
        <v>1.0000000000000004</v>
      </c>
      <c r="AZ160" s="196">
        <f t="shared" si="336"/>
        <v>1.0000000000000004</v>
      </c>
      <c r="BA160" s="196">
        <f t="shared" si="336"/>
        <v>1.0000000000000004</v>
      </c>
      <c r="BB160" s="196">
        <f t="shared" si="336"/>
        <v>1.0000000000000004</v>
      </c>
      <c r="BC160" s="196">
        <f t="shared" si="336"/>
        <v>1.0000000000000004</v>
      </c>
      <c r="BD160" s="196">
        <f t="shared" si="336"/>
        <v>1.0000000000000004</v>
      </c>
      <c r="BE160" s="196">
        <f t="shared" si="336"/>
        <v>1.0000000000000004</v>
      </c>
      <c r="BF160" s="197">
        <f t="shared" si="336"/>
        <v>1.0000000000000004</v>
      </c>
    </row>
    <row r="161" spans="2:58">
      <c r="V161" s="181" t="s">
        <v>662</v>
      </c>
      <c r="W161" s="196">
        <f t="shared" ref="W161:BF161" si="337">INDEX(W125:W160,MATCH($V$5,$V125:$V160,0))</f>
        <v>0.2537973050606156</v>
      </c>
      <c r="X161" s="196">
        <f t="shared" si="337"/>
        <v>0.25230963310544341</v>
      </c>
      <c r="Y161" s="196">
        <f t="shared" si="337"/>
        <v>0.25074464948604835</v>
      </c>
      <c r="Z161" s="196">
        <f t="shared" si="337"/>
        <v>0.2490961668039644</v>
      </c>
      <c r="AA161" s="196">
        <f t="shared" si="337"/>
        <v>0.24735731931197211</v>
      </c>
      <c r="AB161" s="196">
        <f t="shared" si="337"/>
        <v>0.24552046733179053</v>
      </c>
      <c r="AC161" s="196">
        <f t="shared" si="337"/>
        <v>0.24552046733179053</v>
      </c>
      <c r="AD161" s="196">
        <f t="shared" si="337"/>
        <v>0.24552046733179053</v>
      </c>
      <c r="AE161" s="196">
        <f t="shared" si="337"/>
        <v>0.24552046733179053</v>
      </c>
      <c r="AF161" s="196">
        <f t="shared" si="337"/>
        <v>0.24552046733179053</v>
      </c>
      <c r="AG161" s="196">
        <f t="shared" si="337"/>
        <v>0.24552046733179053</v>
      </c>
      <c r="AH161" s="196">
        <f t="shared" si="337"/>
        <v>0.24552046733179053</v>
      </c>
      <c r="AI161" s="196">
        <f t="shared" si="337"/>
        <v>0.24552046733179053</v>
      </c>
      <c r="AJ161" s="196">
        <f t="shared" si="337"/>
        <v>0.24552046733179053</v>
      </c>
      <c r="AK161" s="196">
        <f t="shared" si="337"/>
        <v>0.24552046733179053</v>
      </c>
      <c r="AL161" s="196">
        <f t="shared" si="337"/>
        <v>0.24552046733179053</v>
      </c>
      <c r="AM161" s="196">
        <f t="shared" si="337"/>
        <v>0.24552046733179053</v>
      </c>
      <c r="AN161" s="196">
        <f t="shared" si="337"/>
        <v>0.24552046733179053</v>
      </c>
      <c r="AO161" s="196">
        <f t="shared" si="337"/>
        <v>0.24552046733179053</v>
      </c>
      <c r="AP161" s="196">
        <f t="shared" si="337"/>
        <v>0.24552046733179053</v>
      </c>
      <c r="AQ161" s="196">
        <f t="shared" si="337"/>
        <v>0.24552046733179053</v>
      </c>
      <c r="AR161" s="196">
        <f t="shared" si="337"/>
        <v>0.24552046733179053</v>
      </c>
      <c r="AS161" s="196">
        <f t="shared" si="337"/>
        <v>0.24552046733179053</v>
      </c>
      <c r="AT161" s="196">
        <f t="shared" si="337"/>
        <v>0.24552046733179053</v>
      </c>
      <c r="AU161" s="196">
        <f t="shared" si="337"/>
        <v>0.24552046733179053</v>
      </c>
      <c r="AV161" s="196">
        <f t="shared" si="337"/>
        <v>0.24552046733179053</v>
      </c>
      <c r="AW161" s="196">
        <f t="shared" si="337"/>
        <v>0.24552046733179053</v>
      </c>
      <c r="AX161" s="196">
        <f t="shared" si="337"/>
        <v>0.24552046733179053</v>
      </c>
      <c r="AY161" s="196">
        <f t="shared" si="337"/>
        <v>0.24552046733179053</v>
      </c>
      <c r="AZ161" s="196">
        <f t="shared" si="337"/>
        <v>0.24552046733179053</v>
      </c>
      <c r="BA161" s="196">
        <f t="shared" si="337"/>
        <v>0.24552046733179053</v>
      </c>
      <c r="BB161" s="196">
        <f t="shared" si="337"/>
        <v>0.24552046733179053</v>
      </c>
      <c r="BC161" s="196">
        <f t="shared" si="337"/>
        <v>0.24552046733179053</v>
      </c>
      <c r="BD161" s="196">
        <f t="shared" si="337"/>
        <v>0.24552046733179053</v>
      </c>
      <c r="BE161" s="196">
        <f t="shared" si="337"/>
        <v>0.24552046733179053</v>
      </c>
      <c r="BF161" s="197">
        <f t="shared" si="337"/>
        <v>0.24552046733179053</v>
      </c>
    </row>
    <row r="162" spans="2:58">
      <c r="C162" s="35" t="s">
        <v>669</v>
      </c>
      <c r="W162" s="35" t="s">
        <v>670</v>
      </c>
    </row>
    <row r="163" spans="2:58">
      <c r="C163" s="591">
        <v>2013</v>
      </c>
      <c r="D163" s="181">
        <v>2014</v>
      </c>
      <c r="E163" s="181">
        <v>2015</v>
      </c>
      <c r="F163" s="591">
        <v>2016</v>
      </c>
      <c r="G163" s="181">
        <v>2017</v>
      </c>
      <c r="H163" s="181">
        <v>2018</v>
      </c>
      <c r="I163" s="181">
        <v>2019</v>
      </c>
      <c r="J163" s="591">
        <v>2020</v>
      </c>
      <c r="K163" s="181">
        <v>2021</v>
      </c>
      <c r="L163" s="181">
        <v>2022</v>
      </c>
      <c r="M163" s="591">
        <v>2023</v>
      </c>
      <c r="N163" s="181">
        <v>2024</v>
      </c>
      <c r="O163" s="591">
        <v>2025</v>
      </c>
      <c r="P163" s="591">
        <v>2026</v>
      </c>
      <c r="Q163" s="181">
        <v>2027</v>
      </c>
      <c r="R163" s="591">
        <v>2028</v>
      </c>
      <c r="S163" s="591">
        <v>2029</v>
      </c>
      <c r="T163" s="591">
        <v>2030</v>
      </c>
      <c r="U163" s="81"/>
      <c r="W163" s="181">
        <v>2015</v>
      </c>
      <c r="X163" s="591">
        <v>2016</v>
      </c>
      <c r="Y163" s="181">
        <v>2017</v>
      </c>
      <c r="Z163" s="181">
        <v>2018</v>
      </c>
      <c r="AA163" s="181">
        <v>2019</v>
      </c>
      <c r="AB163" s="591">
        <v>2020</v>
      </c>
      <c r="AC163" s="181">
        <v>2021</v>
      </c>
      <c r="AD163" s="181">
        <v>2022</v>
      </c>
      <c r="AE163" s="591">
        <v>2023</v>
      </c>
      <c r="AF163" s="181">
        <v>2024</v>
      </c>
      <c r="AG163" s="591">
        <v>2025</v>
      </c>
      <c r="AH163" s="591">
        <v>2026</v>
      </c>
      <c r="AI163" s="181">
        <v>2027</v>
      </c>
      <c r="AJ163" s="591">
        <v>2028</v>
      </c>
      <c r="AK163" s="591">
        <v>2029</v>
      </c>
      <c r="AL163" s="591">
        <v>2030</v>
      </c>
      <c r="AM163" s="181">
        <v>2031</v>
      </c>
      <c r="AN163" s="591">
        <v>2032</v>
      </c>
      <c r="AO163" s="591">
        <v>2033</v>
      </c>
      <c r="AP163" s="591">
        <v>2034</v>
      </c>
      <c r="AQ163" s="181">
        <v>2035</v>
      </c>
      <c r="AR163" s="591">
        <v>2036</v>
      </c>
      <c r="AS163" s="591">
        <v>2037</v>
      </c>
      <c r="AT163" s="591">
        <v>2038</v>
      </c>
      <c r="AU163" s="181">
        <v>2039</v>
      </c>
      <c r="AV163" s="591">
        <v>2040</v>
      </c>
      <c r="AW163" s="591">
        <v>2041</v>
      </c>
      <c r="AX163" s="591">
        <v>2042</v>
      </c>
      <c r="AY163" s="181">
        <v>2043</v>
      </c>
      <c r="AZ163" s="591">
        <v>2044</v>
      </c>
      <c r="BA163" s="591">
        <v>2045</v>
      </c>
      <c r="BB163" s="591">
        <v>2046</v>
      </c>
      <c r="BC163" s="181">
        <v>2047</v>
      </c>
      <c r="BD163" s="591">
        <v>2048</v>
      </c>
      <c r="BE163" s="591">
        <v>2049</v>
      </c>
      <c r="BF163" s="591">
        <v>2050</v>
      </c>
    </row>
    <row r="164" spans="2:58">
      <c r="B164" t="s">
        <v>626</v>
      </c>
      <c r="C164" s="185">
        <v>23325.324356395431</v>
      </c>
      <c r="D164" s="186">
        <f t="shared" ref="D164:I164" si="338">C164+($J164-$C164)/(COLUMN($J164)-COLUMN($C164))</f>
        <v>22332.105253665315</v>
      </c>
      <c r="E164" s="186">
        <f t="shared" si="338"/>
        <v>21338.886150935199</v>
      </c>
      <c r="F164" s="186">
        <f t="shared" si="338"/>
        <v>20345.667048205083</v>
      </c>
      <c r="G164" s="186">
        <f t="shared" si="338"/>
        <v>19352.447945474967</v>
      </c>
      <c r="H164" s="186">
        <f t="shared" si="338"/>
        <v>18359.228842744851</v>
      </c>
      <c r="I164" s="186">
        <f t="shared" si="338"/>
        <v>17366.009740014735</v>
      </c>
      <c r="J164" s="185">
        <v>16372.790637284619</v>
      </c>
      <c r="K164" s="187">
        <f t="shared" ref="K164:N183" si="339">J164+($O164-$J164)/(COLUMN($O164)-COLUMN($J164))</f>
        <v>16278.439774812599</v>
      </c>
      <c r="L164" s="187">
        <f t="shared" si="339"/>
        <v>16184.08891234058</v>
      </c>
      <c r="M164" s="187">
        <f t="shared" si="339"/>
        <v>16089.73804986856</v>
      </c>
      <c r="N164" s="187">
        <f t="shared" si="339"/>
        <v>15995.38718739654</v>
      </c>
      <c r="O164" s="185">
        <v>15901.036324924517</v>
      </c>
      <c r="P164" s="187">
        <f t="shared" ref="P164:S183" si="340">O164+($T164-$O164)/(COLUMN($T164)-COLUMN($O164))</f>
        <v>15901.036324924517</v>
      </c>
      <c r="Q164" s="187">
        <f t="shared" si="340"/>
        <v>15901.036324924517</v>
      </c>
      <c r="R164" s="187">
        <f t="shared" si="340"/>
        <v>15901.036324924517</v>
      </c>
      <c r="S164" s="187">
        <f t="shared" si="340"/>
        <v>15901.036324924517</v>
      </c>
      <c r="T164" s="185">
        <v>15901.036324924517</v>
      </c>
      <c r="U164" s="195"/>
      <c r="V164" t="s">
        <v>626</v>
      </c>
      <c r="W164" s="39">
        <f t="shared" ref="W164:AL164" si="341">E164/SUM(E164:E196)</f>
        <v>4.6290943048217327E-2</v>
      </c>
      <c r="X164" s="39">
        <f t="shared" si="341"/>
        <v>4.7247454421995912E-2</v>
      </c>
      <c r="Y164" s="39">
        <f t="shared" si="341"/>
        <v>4.8349038864025973E-2</v>
      </c>
      <c r="Z164" s="39">
        <f t="shared" si="341"/>
        <v>4.9631409260332958E-2</v>
      </c>
      <c r="AA164" s="39">
        <f t="shared" si="341"/>
        <v>5.1143048359830273E-2</v>
      </c>
      <c r="AB164" s="39">
        <f t="shared" si="341"/>
        <v>5.2951476735982203E-2</v>
      </c>
      <c r="AC164" s="39">
        <f t="shared" si="341"/>
        <v>5.2946753406148538E-2</v>
      </c>
      <c r="AD164" s="39">
        <f t="shared" si="341"/>
        <v>5.2941975861045737E-2</v>
      </c>
      <c r="AE164" s="39">
        <f t="shared" si="341"/>
        <v>5.2937143161846209E-2</v>
      </c>
      <c r="AF164" s="39">
        <f t="shared" si="341"/>
        <v>5.2932254347919976E-2</v>
      </c>
      <c r="AG164" s="39">
        <f t="shared" si="341"/>
        <v>5.2927308436198188E-2</v>
      </c>
      <c r="AH164" s="39">
        <f t="shared" si="341"/>
        <v>5.2927308436198188E-2</v>
      </c>
      <c r="AI164" s="39">
        <f t="shared" si="341"/>
        <v>5.2927308436198188E-2</v>
      </c>
      <c r="AJ164" s="39">
        <f t="shared" si="341"/>
        <v>5.2927308436198188E-2</v>
      </c>
      <c r="AK164" s="39">
        <f t="shared" si="341"/>
        <v>5.2927308436198188E-2</v>
      </c>
      <c r="AL164" s="39">
        <f t="shared" si="341"/>
        <v>5.2927308436198188E-2</v>
      </c>
      <c r="AM164" s="184">
        <f>AL164</f>
        <v>5.2927308436198188E-2</v>
      </c>
      <c r="AN164" s="184">
        <f t="shared" ref="AN164:BF178" si="342">AM164</f>
        <v>5.2927308436198188E-2</v>
      </c>
      <c r="AO164" s="184">
        <f t="shared" si="342"/>
        <v>5.2927308436198188E-2</v>
      </c>
      <c r="AP164" s="184">
        <f t="shared" si="342"/>
        <v>5.2927308436198188E-2</v>
      </c>
      <c r="AQ164" s="184">
        <f t="shared" si="342"/>
        <v>5.2927308436198188E-2</v>
      </c>
      <c r="AR164" s="184">
        <f t="shared" si="342"/>
        <v>5.2927308436198188E-2</v>
      </c>
      <c r="AS164" s="184">
        <f t="shared" si="342"/>
        <v>5.2927308436198188E-2</v>
      </c>
      <c r="AT164" s="184">
        <f t="shared" si="342"/>
        <v>5.2927308436198188E-2</v>
      </c>
      <c r="AU164" s="184">
        <f t="shared" si="342"/>
        <v>5.2927308436198188E-2</v>
      </c>
      <c r="AV164" s="184">
        <f t="shared" si="342"/>
        <v>5.2927308436198188E-2</v>
      </c>
      <c r="AW164" s="184">
        <f t="shared" si="342"/>
        <v>5.2927308436198188E-2</v>
      </c>
      <c r="AX164" s="184">
        <f t="shared" si="342"/>
        <v>5.2927308436198188E-2</v>
      </c>
      <c r="AY164" s="184">
        <f t="shared" si="342"/>
        <v>5.2927308436198188E-2</v>
      </c>
      <c r="AZ164" s="184">
        <f t="shared" si="342"/>
        <v>5.2927308436198188E-2</v>
      </c>
      <c r="BA164" s="184">
        <f t="shared" si="342"/>
        <v>5.2927308436198188E-2</v>
      </c>
      <c r="BB164" s="184">
        <f t="shared" si="342"/>
        <v>5.2927308436198188E-2</v>
      </c>
      <c r="BC164" s="184">
        <f t="shared" si="342"/>
        <v>5.2927308436198188E-2</v>
      </c>
      <c r="BD164" s="184">
        <f t="shared" si="342"/>
        <v>5.2927308436198188E-2</v>
      </c>
      <c r="BE164" s="184">
        <f t="shared" si="342"/>
        <v>5.2927308436198188E-2</v>
      </c>
      <c r="BF164" s="184">
        <f t="shared" si="342"/>
        <v>5.2927308436198188E-2</v>
      </c>
    </row>
    <row r="165" spans="2:58">
      <c r="B165" t="s">
        <v>627</v>
      </c>
      <c r="C165" s="109">
        <v>35461.068459378643</v>
      </c>
      <c r="D165" s="182">
        <f t="shared" ref="D165:I165" si="343">C165+($J165-$C165)/(COLUMN($J165)-COLUMN($C165))</f>
        <v>31342.121795476331</v>
      </c>
      <c r="E165" s="182">
        <f t="shared" si="343"/>
        <v>27223.175131574018</v>
      </c>
      <c r="F165" s="182">
        <f t="shared" si="343"/>
        <v>23104.228467671706</v>
      </c>
      <c r="G165" s="182">
        <f t="shared" si="343"/>
        <v>18985.281803769394</v>
      </c>
      <c r="H165" s="182">
        <f t="shared" si="343"/>
        <v>14866.335139867082</v>
      </c>
      <c r="I165" s="182">
        <f t="shared" si="343"/>
        <v>10747.38847596477</v>
      </c>
      <c r="J165" s="109">
        <v>6628.4418120624641</v>
      </c>
      <c r="K165" s="183">
        <f t="shared" si="339"/>
        <v>6590.8144887319731</v>
      </c>
      <c r="L165" s="183">
        <f t="shared" si="339"/>
        <v>6553.1871654014822</v>
      </c>
      <c r="M165" s="183">
        <f t="shared" si="339"/>
        <v>6515.5598420709912</v>
      </c>
      <c r="N165" s="183">
        <f t="shared" si="339"/>
        <v>6477.9325187405002</v>
      </c>
      <c r="O165" s="109">
        <v>6440.3051954100074</v>
      </c>
      <c r="P165" s="183">
        <f t="shared" si="340"/>
        <v>6440.3051954100074</v>
      </c>
      <c r="Q165" s="183">
        <f t="shared" si="340"/>
        <v>6440.3051954100074</v>
      </c>
      <c r="R165" s="183">
        <f t="shared" si="340"/>
        <v>6440.3051954100074</v>
      </c>
      <c r="S165" s="183">
        <f t="shared" si="340"/>
        <v>6440.3051954100074</v>
      </c>
      <c r="T165" s="109">
        <v>6440.3051954100074</v>
      </c>
      <c r="U165" s="195"/>
      <c r="V165" t="s">
        <v>627</v>
      </c>
      <c r="W165" s="39">
        <f t="shared" ref="W165:AL165" si="344">E165/SUM(E164:E196)</f>
        <v>5.9055868272304843E-2</v>
      </c>
      <c r="X165" s="39">
        <f t="shared" si="344"/>
        <v>5.3653486951070639E-2</v>
      </c>
      <c r="Y165" s="39">
        <f t="shared" si="344"/>
        <v>4.7431732169550246E-2</v>
      </c>
      <c r="Z165" s="39">
        <f t="shared" si="344"/>
        <v>4.0188897357722561E-2</v>
      </c>
      <c r="AA165" s="39">
        <f t="shared" si="344"/>
        <v>3.1651151692126282E-2</v>
      </c>
      <c r="AB165" s="39">
        <f t="shared" si="344"/>
        <v>2.1437138615085064E-2</v>
      </c>
      <c r="AC165" s="39">
        <f t="shared" si="344"/>
        <v>2.1437080844842825E-2</v>
      </c>
      <c r="AD165" s="39">
        <f t="shared" si="344"/>
        <v>2.1437022411502863E-2</v>
      </c>
      <c r="AE165" s="39">
        <f t="shared" si="344"/>
        <v>2.1436963303582548E-2</v>
      </c>
      <c r="AF165" s="39">
        <f t="shared" si="344"/>
        <v>2.1436903509332566E-2</v>
      </c>
      <c r="AG165" s="39">
        <f t="shared" si="344"/>
        <v>2.1436843016729178E-2</v>
      </c>
      <c r="AH165" s="39">
        <f t="shared" si="344"/>
        <v>2.1436843016729178E-2</v>
      </c>
      <c r="AI165" s="39">
        <f t="shared" si="344"/>
        <v>2.1436843016729178E-2</v>
      </c>
      <c r="AJ165" s="39">
        <f t="shared" si="344"/>
        <v>2.1436843016729178E-2</v>
      </c>
      <c r="AK165" s="39">
        <f t="shared" si="344"/>
        <v>2.1436843016729178E-2</v>
      </c>
      <c r="AL165" s="39">
        <f t="shared" si="344"/>
        <v>2.1436843016729178E-2</v>
      </c>
      <c r="AM165" s="184">
        <f t="shared" ref="AM165:BB165" si="345">AL165</f>
        <v>2.1436843016729178E-2</v>
      </c>
      <c r="AN165" s="184">
        <f t="shared" si="345"/>
        <v>2.1436843016729178E-2</v>
      </c>
      <c r="AO165" s="184">
        <f t="shared" si="345"/>
        <v>2.1436843016729178E-2</v>
      </c>
      <c r="AP165" s="184">
        <f t="shared" si="345"/>
        <v>2.1436843016729178E-2</v>
      </c>
      <c r="AQ165" s="184">
        <f t="shared" si="345"/>
        <v>2.1436843016729178E-2</v>
      </c>
      <c r="AR165" s="184">
        <f t="shared" si="345"/>
        <v>2.1436843016729178E-2</v>
      </c>
      <c r="AS165" s="184">
        <f t="shared" si="345"/>
        <v>2.1436843016729178E-2</v>
      </c>
      <c r="AT165" s="184">
        <f t="shared" si="345"/>
        <v>2.1436843016729178E-2</v>
      </c>
      <c r="AU165" s="184">
        <f t="shared" si="345"/>
        <v>2.1436843016729178E-2</v>
      </c>
      <c r="AV165" s="184">
        <f t="shared" si="345"/>
        <v>2.1436843016729178E-2</v>
      </c>
      <c r="AW165" s="184">
        <f t="shared" si="345"/>
        <v>2.1436843016729178E-2</v>
      </c>
      <c r="AX165" s="184">
        <f t="shared" si="345"/>
        <v>2.1436843016729178E-2</v>
      </c>
      <c r="AY165" s="184">
        <f t="shared" si="345"/>
        <v>2.1436843016729178E-2</v>
      </c>
      <c r="AZ165" s="184">
        <f t="shared" si="345"/>
        <v>2.1436843016729178E-2</v>
      </c>
      <c r="BA165" s="184">
        <f t="shared" si="345"/>
        <v>2.1436843016729178E-2</v>
      </c>
      <c r="BB165" s="184">
        <f t="shared" si="345"/>
        <v>2.1436843016729178E-2</v>
      </c>
      <c r="BC165" s="184">
        <f t="shared" si="342"/>
        <v>2.1436843016729178E-2</v>
      </c>
      <c r="BD165" s="184">
        <f t="shared" si="342"/>
        <v>2.1436843016729178E-2</v>
      </c>
      <c r="BE165" s="184">
        <f t="shared" si="342"/>
        <v>2.1436843016729178E-2</v>
      </c>
      <c r="BF165" s="184">
        <f t="shared" si="342"/>
        <v>2.1436843016729178E-2</v>
      </c>
    </row>
    <row r="166" spans="2:58">
      <c r="B166" t="s">
        <v>628</v>
      </c>
      <c r="C166" s="109">
        <v>17695.242937797328</v>
      </c>
      <c r="D166" s="182">
        <f t="shared" ref="D166:I166" si="346">C166+($J166-$C166)/(COLUMN($J166)-COLUMN($C166))</f>
        <v>16986.293507980867</v>
      </c>
      <c r="E166" s="182">
        <f t="shared" si="346"/>
        <v>16277.344078164406</v>
      </c>
      <c r="F166" s="182">
        <f t="shared" si="346"/>
        <v>15568.394648347945</v>
      </c>
      <c r="G166" s="182">
        <f t="shared" si="346"/>
        <v>14859.445218531484</v>
      </c>
      <c r="H166" s="182">
        <f t="shared" si="346"/>
        <v>14150.495788715023</v>
      </c>
      <c r="I166" s="182">
        <f t="shared" si="346"/>
        <v>13441.546358898562</v>
      </c>
      <c r="J166" s="109">
        <v>12732.596929082103</v>
      </c>
      <c r="K166" s="183">
        <f t="shared" si="339"/>
        <v>12659.565181562031</v>
      </c>
      <c r="L166" s="183">
        <f t="shared" si="339"/>
        <v>12586.533434041959</v>
      </c>
      <c r="M166" s="183">
        <f t="shared" si="339"/>
        <v>12513.501686521888</v>
      </c>
      <c r="N166" s="183">
        <f t="shared" si="339"/>
        <v>12440.469939001816</v>
      </c>
      <c r="O166" s="109">
        <v>12367.438191481744</v>
      </c>
      <c r="P166" s="183">
        <f t="shared" si="340"/>
        <v>12367.438191481744</v>
      </c>
      <c r="Q166" s="183">
        <f t="shared" si="340"/>
        <v>12367.438191481744</v>
      </c>
      <c r="R166" s="183">
        <f t="shared" si="340"/>
        <v>12367.438191481744</v>
      </c>
      <c r="S166" s="183">
        <f t="shared" si="340"/>
        <v>12367.438191481744</v>
      </c>
      <c r="T166" s="109">
        <v>12367.438191481744</v>
      </c>
      <c r="U166" s="195"/>
      <c r="V166" t="s">
        <v>628</v>
      </c>
      <c r="W166" s="39">
        <f t="shared" ref="W166:AL166" si="347">E166/SUM(E164:E196)</f>
        <v>3.5310821866188336E-2</v>
      </c>
      <c r="X166" s="39">
        <f t="shared" si="347"/>
        <v>3.6153497195677203E-2</v>
      </c>
      <c r="Y166" s="39">
        <f t="shared" si="347"/>
        <v>3.7123980200997303E-2</v>
      </c>
      <c r="Z166" s="39">
        <f t="shared" si="347"/>
        <v>3.8253733516910207E-2</v>
      </c>
      <c r="AA166" s="39">
        <f t="shared" si="347"/>
        <v>3.9585469877979375E-2</v>
      </c>
      <c r="AB166" s="39">
        <f t="shared" si="347"/>
        <v>4.1178674119462459E-2</v>
      </c>
      <c r="AC166" s="39">
        <f t="shared" si="347"/>
        <v>4.1176113016331464E-2</v>
      </c>
      <c r="AD166" s="39">
        <f t="shared" si="347"/>
        <v>4.1173522516376529E-2</v>
      </c>
      <c r="AE166" s="39">
        <f t="shared" si="347"/>
        <v>4.117090211054273E-2</v>
      </c>
      <c r="AF166" s="39">
        <f t="shared" si="347"/>
        <v>4.1168251277953372E-2</v>
      </c>
      <c r="AG166" s="39">
        <f t="shared" si="347"/>
        <v>4.1165569485564879E-2</v>
      </c>
      <c r="AH166" s="39">
        <f t="shared" si="347"/>
        <v>4.1165569485564879E-2</v>
      </c>
      <c r="AI166" s="39">
        <f t="shared" si="347"/>
        <v>4.1165569485564879E-2</v>
      </c>
      <c r="AJ166" s="39">
        <f t="shared" si="347"/>
        <v>4.1165569485564879E-2</v>
      </c>
      <c r="AK166" s="39">
        <f t="shared" si="347"/>
        <v>4.1165569485564879E-2</v>
      </c>
      <c r="AL166" s="39">
        <f t="shared" si="347"/>
        <v>4.1165569485564879E-2</v>
      </c>
      <c r="AM166" s="184">
        <f t="shared" ref="AM166:AM190" si="348">AL166</f>
        <v>4.1165569485564879E-2</v>
      </c>
      <c r="AN166" s="184">
        <f t="shared" si="342"/>
        <v>4.1165569485564879E-2</v>
      </c>
      <c r="AO166" s="184">
        <f t="shared" si="342"/>
        <v>4.1165569485564879E-2</v>
      </c>
      <c r="AP166" s="184">
        <f t="shared" si="342"/>
        <v>4.1165569485564879E-2</v>
      </c>
      <c r="AQ166" s="184">
        <f t="shared" si="342"/>
        <v>4.1165569485564879E-2</v>
      </c>
      <c r="AR166" s="184">
        <f t="shared" si="342"/>
        <v>4.1165569485564879E-2</v>
      </c>
      <c r="AS166" s="184">
        <f t="shared" si="342"/>
        <v>4.1165569485564879E-2</v>
      </c>
      <c r="AT166" s="184">
        <f t="shared" si="342"/>
        <v>4.1165569485564879E-2</v>
      </c>
      <c r="AU166" s="184">
        <f t="shared" si="342"/>
        <v>4.1165569485564879E-2</v>
      </c>
      <c r="AV166" s="184">
        <f t="shared" si="342"/>
        <v>4.1165569485564879E-2</v>
      </c>
      <c r="AW166" s="184">
        <f t="shared" si="342"/>
        <v>4.1165569485564879E-2</v>
      </c>
      <c r="AX166" s="184">
        <f t="shared" si="342"/>
        <v>4.1165569485564879E-2</v>
      </c>
      <c r="AY166" s="184">
        <f t="shared" si="342"/>
        <v>4.1165569485564879E-2</v>
      </c>
      <c r="AZ166" s="184">
        <f t="shared" si="342"/>
        <v>4.1165569485564879E-2</v>
      </c>
      <c r="BA166" s="184">
        <f t="shared" si="342"/>
        <v>4.1165569485564879E-2</v>
      </c>
      <c r="BB166" s="184">
        <f t="shared" si="342"/>
        <v>4.1165569485564879E-2</v>
      </c>
      <c r="BC166" s="184">
        <f t="shared" si="342"/>
        <v>4.1165569485564879E-2</v>
      </c>
      <c r="BD166" s="184">
        <f t="shared" si="342"/>
        <v>4.1165569485564879E-2</v>
      </c>
      <c r="BE166" s="184">
        <f t="shared" si="342"/>
        <v>4.1165569485564879E-2</v>
      </c>
      <c r="BF166" s="184">
        <f t="shared" si="342"/>
        <v>4.1165569485564879E-2</v>
      </c>
    </row>
    <row r="167" spans="2:58">
      <c r="B167" t="s">
        <v>629</v>
      </c>
      <c r="C167" s="109">
        <v>13256.215555822357</v>
      </c>
      <c r="D167" s="182">
        <f t="shared" ref="D167:I167" si="349">C167+($J167-$C167)/(COLUMN($J167)-COLUMN($C167))</f>
        <v>13112.573997360738</v>
      </c>
      <c r="E167" s="182">
        <f t="shared" si="349"/>
        <v>12968.932438899119</v>
      </c>
      <c r="F167" s="182">
        <f t="shared" si="349"/>
        <v>12825.2908804375</v>
      </c>
      <c r="G167" s="182">
        <f t="shared" si="349"/>
        <v>12681.649321975881</v>
      </c>
      <c r="H167" s="182">
        <f t="shared" si="349"/>
        <v>12538.007763514262</v>
      </c>
      <c r="I167" s="182">
        <f t="shared" si="349"/>
        <v>12394.366205052644</v>
      </c>
      <c r="J167" s="109">
        <v>12250.72464659103</v>
      </c>
      <c r="K167" s="183">
        <f t="shared" si="339"/>
        <v>12180.768151943466</v>
      </c>
      <c r="L167" s="183">
        <f t="shared" si="339"/>
        <v>12110.811657295902</v>
      </c>
      <c r="M167" s="183">
        <f t="shared" si="339"/>
        <v>12040.855162648339</v>
      </c>
      <c r="N167" s="183">
        <f t="shared" si="339"/>
        <v>11970.898668000775</v>
      </c>
      <c r="O167" s="109">
        <v>11900.942173353211</v>
      </c>
      <c r="P167" s="183">
        <f t="shared" si="340"/>
        <v>11900.942173353211</v>
      </c>
      <c r="Q167" s="183">
        <f t="shared" si="340"/>
        <v>11900.942173353211</v>
      </c>
      <c r="R167" s="183">
        <f t="shared" si="340"/>
        <v>11900.942173353211</v>
      </c>
      <c r="S167" s="183">
        <f t="shared" si="340"/>
        <v>11900.942173353211</v>
      </c>
      <c r="T167" s="109">
        <v>11900.942173353211</v>
      </c>
      <c r="U167" s="195"/>
      <c r="V167" t="s">
        <v>629</v>
      </c>
      <c r="W167" s="39">
        <f t="shared" ref="W167:AL167" si="350">E167/SUM(E164:E196)</f>
        <v>2.8133807391767105E-2</v>
      </c>
      <c r="X167" s="39">
        <f t="shared" si="350"/>
        <v>2.9783360992126785E-2</v>
      </c>
      <c r="Y167" s="39">
        <f t="shared" si="350"/>
        <v>3.168310064213492E-2</v>
      </c>
      <c r="Z167" s="39">
        <f t="shared" si="350"/>
        <v>3.3894615070726067E-2</v>
      </c>
      <c r="AA167" s="39">
        <f t="shared" si="350"/>
        <v>3.6501515299387111E-2</v>
      </c>
      <c r="AB167" s="39">
        <f t="shared" si="350"/>
        <v>3.9620244067963772E-2</v>
      </c>
      <c r="AC167" s="39">
        <f t="shared" si="350"/>
        <v>3.9618792498548466E-2</v>
      </c>
      <c r="AD167" s="39">
        <f t="shared" si="350"/>
        <v>3.9617324267746098E-2</v>
      </c>
      <c r="AE167" s="39">
        <f t="shared" si="350"/>
        <v>3.9615839087037051E-2</v>
      </c>
      <c r="AF167" s="39">
        <f t="shared" si="350"/>
        <v>3.9614336661201371E-2</v>
      </c>
      <c r="AG167" s="39">
        <f t="shared" si="350"/>
        <v>3.9612816688123269E-2</v>
      </c>
      <c r="AH167" s="39">
        <f t="shared" si="350"/>
        <v>3.9612816688123269E-2</v>
      </c>
      <c r="AI167" s="39">
        <f t="shared" si="350"/>
        <v>3.9612816688123269E-2</v>
      </c>
      <c r="AJ167" s="39">
        <f t="shared" si="350"/>
        <v>3.9612816688123269E-2</v>
      </c>
      <c r="AK167" s="39">
        <f t="shared" si="350"/>
        <v>3.9612816688123269E-2</v>
      </c>
      <c r="AL167" s="39">
        <f t="shared" si="350"/>
        <v>3.9612816688123269E-2</v>
      </c>
      <c r="AM167" s="184">
        <f t="shared" si="348"/>
        <v>3.9612816688123269E-2</v>
      </c>
      <c r="AN167" s="184">
        <f t="shared" si="342"/>
        <v>3.9612816688123269E-2</v>
      </c>
      <c r="AO167" s="184">
        <f t="shared" si="342"/>
        <v>3.9612816688123269E-2</v>
      </c>
      <c r="AP167" s="184">
        <f t="shared" si="342"/>
        <v>3.9612816688123269E-2</v>
      </c>
      <c r="AQ167" s="184">
        <f t="shared" si="342"/>
        <v>3.9612816688123269E-2</v>
      </c>
      <c r="AR167" s="184">
        <f t="shared" si="342"/>
        <v>3.9612816688123269E-2</v>
      </c>
      <c r="AS167" s="184">
        <f t="shared" si="342"/>
        <v>3.9612816688123269E-2</v>
      </c>
      <c r="AT167" s="184">
        <f t="shared" si="342"/>
        <v>3.9612816688123269E-2</v>
      </c>
      <c r="AU167" s="184">
        <f t="shared" si="342"/>
        <v>3.9612816688123269E-2</v>
      </c>
      <c r="AV167" s="184">
        <f t="shared" si="342"/>
        <v>3.9612816688123269E-2</v>
      </c>
      <c r="AW167" s="184">
        <f t="shared" si="342"/>
        <v>3.9612816688123269E-2</v>
      </c>
      <c r="AX167" s="184">
        <f t="shared" si="342"/>
        <v>3.9612816688123269E-2</v>
      </c>
      <c r="AY167" s="184">
        <f t="shared" si="342"/>
        <v>3.9612816688123269E-2</v>
      </c>
      <c r="AZ167" s="184">
        <f t="shared" si="342"/>
        <v>3.9612816688123269E-2</v>
      </c>
      <c r="BA167" s="184">
        <f t="shared" si="342"/>
        <v>3.9612816688123269E-2</v>
      </c>
      <c r="BB167" s="184">
        <f t="shared" si="342"/>
        <v>3.9612816688123269E-2</v>
      </c>
      <c r="BC167" s="184">
        <f t="shared" si="342"/>
        <v>3.9612816688123269E-2</v>
      </c>
      <c r="BD167" s="184">
        <f t="shared" si="342"/>
        <v>3.9612816688123269E-2</v>
      </c>
      <c r="BE167" s="184">
        <f t="shared" si="342"/>
        <v>3.9612816688123269E-2</v>
      </c>
      <c r="BF167" s="184">
        <f t="shared" si="342"/>
        <v>3.9612816688123269E-2</v>
      </c>
    </row>
    <row r="168" spans="2:58">
      <c r="B168" t="s">
        <v>630</v>
      </c>
      <c r="C168" s="109">
        <v>22015.698956974971</v>
      </c>
      <c r="D168" s="182">
        <f t="shared" ref="D168:I168" si="351">C168+($J168-$C168)/(COLUMN($J168)-COLUMN($C168))</f>
        <v>19538.826997111431</v>
      </c>
      <c r="E168" s="182">
        <f t="shared" si="351"/>
        <v>17061.955037247892</v>
      </c>
      <c r="F168" s="182">
        <f t="shared" si="351"/>
        <v>14585.083077384354</v>
      </c>
      <c r="G168" s="182">
        <f t="shared" si="351"/>
        <v>12108.211117520816</v>
      </c>
      <c r="H168" s="182">
        <f t="shared" si="351"/>
        <v>9631.3391576572776</v>
      </c>
      <c r="I168" s="182">
        <f t="shared" si="351"/>
        <v>7154.4671977937396</v>
      </c>
      <c r="J168" s="109">
        <v>4677.5952379302025</v>
      </c>
      <c r="K168" s="183">
        <f t="shared" si="339"/>
        <v>4651.6113148622462</v>
      </c>
      <c r="L168" s="183">
        <f t="shared" si="339"/>
        <v>4625.6273917942899</v>
      </c>
      <c r="M168" s="183">
        <f t="shared" si="339"/>
        <v>4599.6434687263336</v>
      </c>
      <c r="N168" s="183">
        <f t="shared" si="339"/>
        <v>4573.6595456583773</v>
      </c>
      <c r="O168" s="109">
        <v>4547.6756225904201</v>
      </c>
      <c r="P168" s="183">
        <f t="shared" si="340"/>
        <v>4547.6756225904201</v>
      </c>
      <c r="Q168" s="183">
        <f t="shared" si="340"/>
        <v>4547.6756225904201</v>
      </c>
      <c r="R168" s="183">
        <f t="shared" si="340"/>
        <v>4547.6756225904201</v>
      </c>
      <c r="S168" s="183">
        <f t="shared" si="340"/>
        <v>4547.6756225904201</v>
      </c>
      <c r="T168" s="109">
        <v>4547.6756225904201</v>
      </c>
      <c r="U168" s="195"/>
      <c r="V168" t="s">
        <v>630</v>
      </c>
      <c r="W168" s="39">
        <f t="shared" ref="W168:AL168" si="352">E168/SUM(E164:E196)</f>
        <v>3.701289670575765E-2</v>
      </c>
      <c r="X168" s="39">
        <f t="shared" si="352"/>
        <v>3.3870014991744149E-2</v>
      </c>
      <c r="Y168" s="39">
        <f t="shared" si="352"/>
        <v>3.0250455732745148E-2</v>
      </c>
      <c r="Z168" s="39">
        <f t="shared" si="352"/>
        <v>2.6036874399964802E-2</v>
      </c>
      <c r="AA168" s="39">
        <f t="shared" si="352"/>
        <v>2.1069967560969141E-2</v>
      </c>
      <c r="AB168" s="39">
        <f t="shared" si="352"/>
        <v>1.5127877764317409E-2</v>
      </c>
      <c r="AC168" s="39">
        <f t="shared" si="352"/>
        <v>1.5129688141878268E-2</v>
      </c>
      <c r="AD168" s="39">
        <f t="shared" si="352"/>
        <v>1.5131519299293614E-2</v>
      </c>
      <c r="AE168" s="39">
        <f t="shared" si="352"/>
        <v>1.513337159640122E-2</v>
      </c>
      <c r="AF168" s="39">
        <f t="shared" si="352"/>
        <v>1.5135245401395336E-2</v>
      </c>
      <c r="AG168" s="39">
        <f t="shared" si="352"/>
        <v>1.5137141091070705E-2</v>
      </c>
      <c r="AH168" s="39">
        <f t="shared" si="352"/>
        <v>1.5137141091070705E-2</v>
      </c>
      <c r="AI168" s="39">
        <f t="shared" si="352"/>
        <v>1.5137141091070705E-2</v>
      </c>
      <c r="AJ168" s="39">
        <f t="shared" si="352"/>
        <v>1.5137141091070705E-2</v>
      </c>
      <c r="AK168" s="39">
        <f t="shared" si="352"/>
        <v>1.5137141091070705E-2</v>
      </c>
      <c r="AL168" s="39">
        <f t="shared" si="352"/>
        <v>1.5137141091070705E-2</v>
      </c>
      <c r="AM168" s="184">
        <f t="shared" si="348"/>
        <v>1.5137141091070705E-2</v>
      </c>
      <c r="AN168" s="184">
        <f t="shared" si="342"/>
        <v>1.5137141091070705E-2</v>
      </c>
      <c r="AO168" s="184">
        <f t="shared" si="342"/>
        <v>1.5137141091070705E-2</v>
      </c>
      <c r="AP168" s="184">
        <f t="shared" si="342"/>
        <v>1.5137141091070705E-2</v>
      </c>
      <c r="AQ168" s="184">
        <f t="shared" si="342"/>
        <v>1.5137141091070705E-2</v>
      </c>
      <c r="AR168" s="184">
        <f t="shared" si="342"/>
        <v>1.5137141091070705E-2</v>
      </c>
      <c r="AS168" s="184">
        <f t="shared" si="342"/>
        <v>1.5137141091070705E-2</v>
      </c>
      <c r="AT168" s="184">
        <f t="shared" si="342"/>
        <v>1.5137141091070705E-2</v>
      </c>
      <c r="AU168" s="184">
        <f t="shared" si="342"/>
        <v>1.5137141091070705E-2</v>
      </c>
      <c r="AV168" s="184">
        <f t="shared" si="342"/>
        <v>1.5137141091070705E-2</v>
      </c>
      <c r="AW168" s="184">
        <f t="shared" si="342"/>
        <v>1.5137141091070705E-2</v>
      </c>
      <c r="AX168" s="184">
        <f t="shared" si="342"/>
        <v>1.5137141091070705E-2</v>
      </c>
      <c r="AY168" s="184">
        <f t="shared" si="342"/>
        <v>1.5137141091070705E-2</v>
      </c>
      <c r="AZ168" s="184">
        <f t="shared" si="342"/>
        <v>1.5137141091070705E-2</v>
      </c>
      <c r="BA168" s="184">
        <f t="shared" si="342"/>
        <v>1.5137141091070705E-2</v>
      </c>
      <c r="BB168" s="184">
        <f t="shared" si="342"/>
        <v>1.5137141091070705E-2</v>
      </c>
      <c r="BC168" s="184">
        <f t="shared" si="342"/>
        <v>1.5137141091070705E-2</v>
      </c>
      <c r="BD168" s="184">
        <f t="shared" si="342"/>
        <v>1.5137141091070705E-2</v>
      </c>
      <c r="BE168" s="184">
        <f t="shared" si="342"/>
        <v>1.5137141091070705E-2</v>
      </c>
      <c r="BF168" s="184">
        <f t="shared" si="342"/>
        <v>1.5137141091070705E-2</v>
      </c>
    </row>
    <row r="169" spans="2:58">
      <c r="B169" t="s">
        <v>631</v>
      </c>
      <c r="C169" s="109">
        <v>19440.466478638682</v>
      </c>
      <c r="D169" s="182">
        <f t="shared" ref="D169:I169" si="353">C169+($J169-$C169)/(COLUMN($J169)-COLUMN($C169))</f>
        <v>17417.422884195988</v>
      </c>
      <c r="E169" s="182">
        <f t="shared" si="353"/>
        <v>15394.379289753297</v>
      </c>
      <c r="F169" s="182">
        <f t="shared" si="353"/>
        <v>13371.335695310605</v>
      </c>
      <c r="G169" s="182">
        <f t="shared" si="353"/>
        <v>11348.292100867913</v>
      </c>
      <c r="H169" s="182">
        <f t="shared" si="353"/>
        <v>9325.2485064252214</v>
      </c>
      <c r="I169" s="182">
        <f t="shared" si="353"/>
        <v>7302.2049119825288</v>
      </c>
      <c r="J169" s="109">
        <v>5279.1613175398334</v>
      </c>
      <c r="K169" s="183">
        <f t="shared" si="339"/>
        <v>5251.9614632934417</v>
      </c>
      <c r="L169" s="183">
        <f t="shared" si="339"/>
        <v>5224.7616090470501</v>
      </c>
      <c r="M169" s="183">
        <f t="shared" si="339"/>
        <v>5197.5617548006585</v>
      </c>
      <c r="N169" s="183">
        <f t="shared" si="339"/>
        <v>5170.3619005542669</v>
      </c>
      <c r="O169" s="109">
        <v>5143.1620463078762</v>
      </c>
      <c r="P169" s="183">
        <f t="shared" si="340"/>
        <v>5143.1620463078762</v>
      </c>
      <c r="Q169" s="183">
        <f t="shared" si="340"/>
        <v>5143.1620463078762</v>
      </c>
      <c r="R169" s="183">
        <f t="shared" si="340"/>
        <v>5143.1620463078762</v>
      </c>
      <c r="S169" s="183">
        <f t="shared" si="340"/>
        <v>5143.1620463078762</v>
      </c>
      <c r="T169" s="109">
        <v>5143.1620463078762</v>
      </c>
      <c r="U169" s="195"/>
      <c r="V169" t="s">
        <v>631</v>
      </c>
      <c r="W169" s="39">
        <f t="shared" ref="W169:AL169" si="354">E169/SUM(E164:E196)</f>
        <v>3.3395385772438495E-2</v>
      </c>
      <c r="X169" s="39">
        <f t="shared" si="354"/>
        <v>3.1051406293465787E-2</v>
      </c>
      <c r="Y169" s="39">
        <f t="shared" si="354"/>
        <v>2.8351917926407604E-2</v>
      </c>
      <c r="Z169" s="39">
        <f t="shared" si="354"/>
        <v>2.520940443855281E-2</v>
      </c>
      <c r="AA169" s="39">
        <f t="shared" si="354"/>
        <v>2.1505056402588183E-2</v>
      </c>
      <c r="AB169" s="39">
        <f t="shared" si="354"/>
        <v>1.7073411239659535E-2</v>
      </c>
      <c r="AC169" s="39">
        <f t="shared" si="354"/>
        <v>1.7082368601802574E-2</v>
      </c>
      <c r="AD169" s="39">
        <f t="shared" si="354"/>
        <v>1.7091428778234732E-2</v>
      </c>
      <c r="AE169" s="39">
        <f t="shared" si="354"/>
        <v>1.7100593549356561E-2</v>
      </c>
      <c r="AF169" s="39">
        <f t="shared" si="354"/>
        <v>1.7109864736914709E-2</v>
      </c>
      <c r="AG169" s="39">
        <f t="shared" si="354"/>
        <v>1.7119244205209213E-2</v>
      </c>
      <c r="AH169" s="39">
        <f t="shared" si="354"/>
        <v>1.7119244205209213E-2</v>
      </c>
      <c r="AI169" s="39">
        <f t="shared" si="354"/>
        <v>1.7119244205209213E-2</v>
      </c>
      <c r="AJ169" s="39">
        <f t="shared" si="354"/>
        <v>1.7119244205209213E-2</v>
      </c>
      <c r="AK169" s="39">
        <f t="shared" si="354"/>
        <v>1.7119244205209213E-2</v>
      </c>
      <c r="AL169" s="39">
        <f t="shared" si="354"/>
        <v>1.7119244205209213E-2</v>
      </c>
      <c r="AM169" s="184">
        <f t="shared" si="348"/>
        <v>1.7119244205209213E-2</v>
      </c>
      <c r="AN169" s="184">
        <f t="shared" si="342"/>
        <v>1.7119244205209213E-2</v>
      </c>
      <c r="AO169" s="184">
        <f t="shared" si="342"/>
        <v>1.7119244205209213E-2</v>
      </c>
      <c r="AP169" s="184">
        <f t="shared" si="342"/>
        <v>1.7119244205209213E-2</v>
      </c>
      <c r="AQ169" s="184">
        <f t="shared" si="342"/>
        <v>1.7119244205209213E-2</v>
      </c>
      <c r="AR169" s="184">
        <f t="shared" si="342"/>
        <v>1.7119244205209213E-2</v>
      </c>
      <c r="AS169" s="184">
        <f t="shared" si="342"/>
        <v>1.7119244205209213E-2</v>
      </c>
      <c r="AT169" s="184">
        <f t="shared" si="342"/>
        <v>1.7119244205209213E-2</v>
      </c>
      <c r="AU169" s="184">
        <f t="shared" si="342"/>
        <v>1.7119244205209213E-2</v>
      </c>
      <c r="AV169" s="184">
        <f t="shared" si="342"/>
        <v>1.7119244205209213E-2</v>
      </c>
      <c r="AW169" s="184">
        <f t="shared" si="342"/>
        <v>1.7119244205209213E-2</v>
      </c>
      <c r="AX169" s="184">
        <f t="shared" si="342"/>
        <v>1.7119244205209213E-2</v>
      </c>
      <c r="AY169" s="184">
        <f t="shared" si="342"/>
        <v>1.7119244205209213E-2</v>
      </c>
      <c r="AZ169" s="184">
        <f t="shared" si="342"/>
        <v>1.7119244205209213E-2</v>
      </c>
      <c r="BA169" s="184">
        <f t="shared" si="342"/>
        <v>1.7119244205209213E-2</v>
      </c>
      <c r="BB169" s="184">
        <f t="shared" si="342"/>
        <v>1.7119244205209213E-2</v>
      </c>
      <c r="BC169" s="184">
        <f t="shared" si="342"/>
        <v>1.7119244205209213E-2</v>
      </c>
      <c r="BD169" s="184">
        <f t="shared" si="342"/>
        <v>1.7119244205209213E-2</v>
      </c>
      <c r="BE169" s="184">
        <f t="shared" si="342"/>
        <v>1.7119244205209213E-2</v>
      </c>
      <c r="BF169" s="184">
        <f t="shared" si="342"/>
        <v>1.7119244205209213E-2</v>
      </c>
    </row>
    <row r="170" spans="2:58">
      <c r="B170" t="s">
        <v>632</v>
      </c>
      <c r="C170" s="109">
        <v>1574.1981970333329</v>
      </c>
      <c r="D170" s="182">
        <f t="shared" ref="D170:I170" si="355">C170+($J170-$C170)/(COLUMN($J170)-COLUMN($C170))</f>
        <v>1540.426143086074</v>
      </c>
      <c r="E170" s="182">
        <f t="shared" si="355"/>
        <v>1506.6540891388152</v>
      </c>
      <c r="F170" s="182">
        <f t="shared" si="355"/>
        <v>1472.8820351915563</v>
      </c>
      <c r="G170" s="182">
        <f t="shared" si="355"/>
        <v>1439.1099812442974</v>
      </c>
      <c r="H170" s="182">
        <f t="shared" si="355"/>
        <v>1405.3379272970385</v>
      </c>
      <c r="I170" s="182">
        <f t="shared" si="355"/>
        <v>1371.5658733497796</v>
      </c>
      <c r="J170" s="109">
        <v>1337.793819402521</v>
      </c>
      <c r="K170" s="183">
        <f t="shared" si="339"/>
        <v>1332.3835573362021</v>
      </c>
      <c r="L170" s="183">
        <f t="shared" si="339"/>
        <v>1326.9732952698832</v>
      </c>
      <c r="M170" s="183">
        <f t="shared" si="339"/>
        <v>1321.5630332035644</v>
      </c>
      <c r="N170" s="183">
        <f t="shared" si="339"/>
        <v>1316.1527711372455</v>
      </c>
      <c r="O170" s="109">
        <v>1310.7425090709264</v>
      </c>
      <c r="P170" s="183">
        <f t="shared" si="340"/>
        <v>1310.7425090709264</v>
      </c>
      <c r="Q170" s="183">
        <f t="shared" si="340"/>
        <v>1310.7425090709264</v>
      </c>
      <c r="R170" s="183">
        <f t="shared" si="340"/>
        <v>1310.7425090709264</v>
      </c>
      <c r="S170" s="183">
        <f t="shared" si="340"/>
        <v>1310.7425090709264</v>
      </c>
      <c r="T170" s="109">
        <v>1310.7425090709264</v>
      </c>
      <c r="U170" s="195"/>
      <c r="V170" t="s">
        <v>632</v>
      </c>
      <c r="W170" s="39">
        <f t="shared" ref="W170:AL170" si="356">E170/SUM(E164:E196)</f>
        <v>3.2684198294310701E-3</v>
      </c>
      <c r="X170" s="39">
        <f t="shared" si="356"/>
        <v>3.4203806963816865E-3</v>
      </c>
      <c r="Y170" s="39">
        <f t="shared" si="356"/>
        <v>3.5953893072766269E-3</v>
      </c>
      <c r="Z170" s="39">
        <f t="shared" si="356"/>
        <v>3.7991193647717147E-3</v>
      </c>
      <c r="AA170" s="39">
        <f t="shared" si="356"/>
        <v>4.0392733183714719E-3</v>
      </c>
      <c r="AB170" s="39">
        <f t="shared" si="356"/>
        <v>4.3265781548759655E-3</v>
      </c>
      <c r="AC170" s="39">
        <f t="shared" si="356"/>
        <v>4.3336698497260621E-3</v>
      </c>
      <c r="AD170" s="39">
        <f t="shared" si="356"/>
        <v>4.340842944384837E-3</v>
      </c>
      <c r="AE170" s="39">
        <f t="shared" si="356"/>
        <v>4.3480988484254609E-3</v>
      </c>
      <c r="AF170" s="39">
        <f t="shared" si="356"/>
        <v>4.3554390041555223E-3</v>
      </c>
      <c r="AG170" s="39">
        <f t="shared" si="356"/>
        <v>4.3628648875728262E-3</v>
      </c>
      <c r="AH170" s="39">
        <f t="shared" si="356"/>
        <v>4.3628648875728262E-3</v>
      </c>
      <c r="AI170" s="39">
        <f t="shared" si="356"/>
        <v>4.3628648875728262E-3</v>
      </c>
      <c r="AJ170" s="39">
        <f t="shared" si="356"/>
        <v>4.3628648875728262E-3</v>
      </c>
      <c r="AK170" s="39">
        <f t="shared" si="356"/>
        <v>4.3628648875728262E-3</v>
      </c>
      <c r="AL170" s="39">
        <f t="shared" si="356"/>
        <v>4.3628648875728262E-3</v>
      </c>
      <c r="AM170" s="184">
        <f t="shared" si="348"/>
        <v>4.3628648875728262E-3</v>
      </c>
      <c r="AN170" s="184">
        <f t="shared" si="342"/>
        <v>4.3628648875728262E-3</v>
      </c>
      <c r="AO170" s="184">
        <f t="shared" si="342"/>
        <v>4.3628648875728262E-3</v>
      </c>
      <c r="AP170" s="184">
        <f t="shared" si="342"/>
        <v>4.3628648875728262E-3</v>
      </c>
      <c r="AQ170" s="184">
        <f t="shared" si="342"/>
        <v>4.3628648875728262E-3</v>
      </c>
      <c r="AR170" s="184">
        <f t="shared" si="342"/>
        <v>4.3628648875728262E-3</v>
      </c>
      <c r="AS170" s="184">
        <f t="shared" si="342"/>
        <v>4.3628648875728262E-3</v>
      </c>
      <c r="AT170" s="184">
        <f t="shared" si="342"/>
        <v>4.3628648875728262E-3</v>
      </c>
      <c r="AU170" s="184">
        <f t="shared" si="342"/>
        <v>4.3628648875728262E-3</v>
      </c>
      <c r="AV170" s="184">
        <f t="shared" si="342"/>
        <v>4.3628648875728262E-3</v>
      </c>
      <c r="AW170" s="184">
        <f t="shared" si="342"/>
        <v>4.3628648875728262E-3</v>
      </c>
      <c r="AX170" s="184">
        <f t="shared" si="342"/>
        <v>4.3628648875728262E-3</v>
      </c>
      <c r="AY170" s="184">
        <f t="shared" si="342"/>
        <v>4.3628648875728262E-3</v>
      </c>
      <c r="AZ170" s="184">
        <f t="shared" si="342"/>
        <v>4.3628648875728262E-3</v>
      </c>
      <c r="BA170" s="184">
        <f t="shared" si="342"/>
        <v>4.3628648875728262E-3</v>
      </c>
      <c r="BB170" s="184">
        <f t="shared" si="342"/>
        <v>4.3628648875728262E-3</v>
      </c>
      <c r="BC170" s="184">
        <f t="shared" si="342"/>
        <v>4.3628648875728262E-3</v>
      </c>
      <c r="BD170" s="184">
        <f t="shared" si="342"/>
        <v>4.3628648875728262E-3</v>
      </c>
      <c r="BE170" s="184">
        <f t="shared" si="342"/>
        <v>4.3628648875728262E-3</v>
      </c>
      <c r="BF170" s="184">
        <f t="shared" si="342"/>
        <v>4.3628648875728262E-3</v>
      </c>
    </row>
    <row r="171" spans="2:58">
      <c r="B171" t="s">
        <v>633</v>
      </c>
      <c r="C171" s="109">
        <v>13104.703540573521</v>
      </c>
      <c r="D171" s="182">
        <f t="shared" ref="D171:I171" si="357">C171+($J171-$C171)/(COLUMN($J171)-COLUMN($C171))</f>
        <v>12153.759794376503</v>
      </c>
      <c r="E171" s="182">
        <f t="shared" si="357"/>
        <v>11202.816048179486</v>
      </c>
      <c r="F171" s="182">
        <f t="shared" si="357"/>
        <v>10251.872301982468</v>
      </c>
      <c r="G171" s="182">
        <f t="shared" si="357"/>
        <v>9300.928555785451</v>
      </c>
      <c r="H171" s="182">
        <f t="shared" si="357"/>
        <v>8349.9848095884336</v>
      </c>
      <c r="I171" s="182">
        <f t="shared" si="357"/>
        <v>7399.0410633914153</v>
      </c>
      <c r="J171" s="109">
        <v>6448.0973171943942</v>
      </c>
      <c r="K171" s="183">
        <f t="shared" si="339"/>
        <v>6416.3507771465111</v>
      </c>
      <c r="L171" s="183">
        <f t="shared" si="339"/>
        <v>6384.6042370986279</v>
      </c>
      <c r="M171" s="183">
        <f t="shared" si="339"/>
        <v>6352.8576970507447</v>
      </c>
      <c r="N171" s="183">
        <f t="shared" si="339"/>
        <v>6321.1111570028615</v>
      </c>
      <c r="O171" s="109">
        <v>6289.3646169549793</v>
      </c>
      <c r="P171" s="183">
        <f t="shared" si="340"/>
        <v>6289.3646169549793</v>
      </c>
      <c r="Q171" s="183">
        <f t="shared" si="340"/>
        <v>6289.3646169549793</v>
      </c>
      <c r="R171" s="183">
        <f t="shared" si="340"/>
        <v>6289.3646169549793</v>
      </c>
      <c r="S171" s="183">
        <f t="shared" si="340"/>
        <v>6289.3646169549793</v>
      </c>
      <c r="T171" s="109">
        <v>6289.3646169549793</v>
      </c>
      <c r="U171" s="195"/>
      <c r="V171" t="s">
        <v>633</v>
      </c>
      <c r="W171" s="39">
        <f t="shared" ref="W171:AL171" si="358">E171/SUM(E164:E196)</f>
        <v>2.4302529944525902E-2</v>
      </c>
      <c r="X171" s="39">
        <f t="shared" si="358"/>
        <v>2.3807273960613204E-2</v>
      </c>
      <c r="Y171" s="39">
        <f t="shared" si="358"/>
        <v>2.3236903025508331E-2</v>
      </c>
      <c r="Z171" s="39">
        <f t="shared" si="358"/>
        <v>2.2572925962847119E-2</v>
      </c>
      <c r="AA171" s="39">
        <f t="shared" si="358"/>
        <v>2.1790239703106149E-2</v>
      </c>
      <c r="AB171" s="39">
        <f t="shared" si="358"/>
        <v>2.0853883900844559E-2</v>
      </c>
      <c r="AC171" s="39">
        <f t="shared" si="358"/>
        <v>2.0869625533190071E-2</v>
      </c>
      <c r="AD171" s="39">
        <f t="shared" si="358"/>
        <v>2.0885547850955401E-2</v>
      </c>
      <c r="AE171" s="39">
        <f t="shared" si="358"/>
        <v>2.0901653983009326E-2</v>
      </c>
      <c r="AF171" s="39">
        <f t="shared" si="358"/>
        <v>2.0917947130882127E-2</v>
      </c>
      <c r="AG171" s="39">
        <f t="shared" si="358"/>
        <v>2.0934430570887202E-2</v>
      </c>
      <c r="AH171" s="39">
        <f t="shared" si="358"/>
        <v>2.0934430570887202E-2</v>
      </c>
      <c r="AI171" s="39">
        <f t="shared" si="358"/>
        <v>2.0934430570887202E-2</v>
      </c>
      <c r="AJ171" s="39">
        <f t="shared" si="358"/>
        <v>2.0934430570887202E-2</v>
      </c>
      <c r="AK171" s="39">
        <f t="shared" si="358"/>
        <v>2.0934430570887202E-2</v>
      </c>
      <c r="AL171" s="39">
        <f t="shared" si="358"/>
        <v>2.0934430570887202E-2</v>
      </c>
      <c r="AM171" s="184">
        <f t="shared" si="348"/>
        <v>2.0934430570887202E-2</v>
      </c>
      <c r="AN171" s="184">
        <f t="shared" si="342"/>
        <v>2.0934430570887202E-2</v>
      </c>
      <c r="AO171" s="184">
        <f t="shared" si="342"/>
        <v>2.0934430570887202E-2</v>
      </c>
      <c r="AP171" s="184">
        <f t="shared" si="342"/>
        <v>2.0934430570887202E-2</v>
      </c>
      <c r="AQ171" s="184">
        <f t="shared" si="342"/>
        <v>2.0934430570887202E-2</v>
      </c>
      <c r="AR171" s="184">
        <f t="shared" si="342"/>
        <v>2.0934430570887202E-2</v>
      </c>
      <c r="AS171" s="184">
        <f t="shared" si="342"/>
        <v>2.0934430570887202E-2</v>
      </c>
      <c r="AT171" s="184">
        <f t="shared" si="342"/>
        <v>2.0934430570887202E-2</v>
      </c>
      <c r="AU171" s="184">
        <f t="shared" si="342"/>
        <v>2.0934430570887202E-2</v>
      </c>
      <c r="AV171" s="184">
        <f t="shared" si="342"/>
        <v>2.0934430570887202E-2</v>
      </c>
      <c r="AW171" s="184">
        <f t="shared" si="342"/>
        <v>2.0934430570887202E-2</v>
      </c>
      <c r="AX171" s="184">
        <f t="shared" si="342"/>
        <v>2.0934430570887202E-2</v>
      </c>
      <c r="AY171" s="184">
        <f t="shared" si="342"/>
        <v>2.0934430570887202E-2</v>
      </c>
      <c r="AZ171" s="184">
        <f t="shared" si="342"/>
        <v>2.0934430570887202E-2</v>
      </c>
      <c r="BA171" s="184">
        <f t="shared" si="342"/>
        <v>2.0934430570887202E-2</v>
      </c>
      <c r="BB171" s="184">
        <f t="shared" si="342"/>
        <v>2.0934430570887202E-2</v>
      </c>
      <c r="BC171" s="184">
        <f t="shared" si="342"/>
        <v>2.0934430570887202E-2</v>
      </c>
      <c r="BD171" s="184">
        <f t="shared" si="342"/>
        <v>2.0934430570887202E-2</v>
      </c>
      <c r="BE171" s="184">
        <f t="shared" si="342"/>
        <v>2.0934430570887202E-2</v>
      </c>
      <c r="BF171" s="184">
        <f t="shared" si="342"/>
        <v>2.0934430570887202E-2</v>
      </c>
    </row>
    <row r="172" spans="2:58">
      <c r="B172" t="s">
        <v>634</v>
      </c>
      <c r="C172" s="109">
        <v>13792.775982249628</v>
      </c>
      <c r="D172" s="182">
        <f t="shared" ref="D172:I172" si="359">C172+($J172-$C172)/(COLUMN($J172)-COLUMN($C172))</f>
        <v>12950.32774922466</v>
      </c>
      <c r="E172" s="182">
        <f t="shared" si="359"/>
        <v>12107.879516199691</v>
      </c>
      <c r="F172" s="182">
        <f t="shared" si="359"/>
        <v>11265.431283174723</v>
      </c>
      <c r="G172" s="182">
        <f t="shared" si="359"/>
        <v>10422.983050149754</v>
      </c>
      <c r="H172" s="182">
        <f t="shared" si="359"/>
        <v>9580.5348171247861</v>
      </c>
      <c r="I172" s="182">
        <f t="shared" si="359"/>
        <v>8738.0865840998176</v>
      </c>
      <c r="J172" s="109">
        <v>7895.6383510748547</v>
      </c>
      <c r="K172" s="183">
        <f t="shared" si="339"/>
        <v>7850.52033118295</v>
      </c>
      <c r="L172" s="183">
        <f t="shared" si="339"/>
        <v>7805.4023112910454</v>
      </c>
      <c r="M172" s="183">
        <f t="shared" si="339"/>
        <v>7760.2842913991408</v>
      </c>
      <c r="N172" s="183">
        <f t="shared" si="339"/>
        <v>7715.1662715072362</v>
      </c>
      <c r="O172" s="109">
        <v>7670.0482516153334</v>
      </c>
      <c r="P172" s="183">
        <f t="shared" si="340"/>
        <v>7670.0482516153334</v>
      </c>
      <c r="Q172" s="183">
        <f t="shared" si="340"/>
        <v>7670.0482516153334</v>
      </c>
      <c r="R172" s="183">
        <f t="shared" si="340"/>
        <v>7670.0482516153334</v>
      </c>
      <c r="S172" s="183">
        <f t="shared" si="340"/>
        <v>7670.0482516153334</v>
      </c>
      <c r="T172" s="109">
        <v>7670.0482516153334</v>
      </c>
      <c r="U172" s="195"/>
      <c r="V172" t="s">
        <v>634</v>
      </c>
      <c r="W172" s="39">
        <f t="shared" ref="W172:AL172" si="360">E172/SUM(E164:E196)</f>
        <v>2.6265905218980385E-2</v>
      </c>
      <c r="X172" s="39">
        <f t="shared" si="360"/>
        <v>2.6160997810238E-2</v>
      </c>
      <c r="Y172" s="39">
        <f t="shared" si="360"/>
        <v>2.6040179205783998E-2</v>
      </c>
      <c r="Z172" s="39">
        <f t="shared" si="360"/>
        <v>2.5899532519280864E-2</v>
      </c>
      <c r="AA172" s="39">
        <f t="shared" si="360"/>
        <v>2.5733740302659874E-2</v>
      </c>
      <c r="AB172" s="39">
        <f t="shared" si="360"/>
        <v>2.5535397094163744E-2</v>
      </c>
      <c r="AC172" s="39">
        <f t="shared" si="360"/>
        <v>2.5534361390594902E-2</v>
      </c>
      <c r="AD172" s="39">
        <f t="shared" si="360"/>
        <v>2.553331379902549E-2</v>
      </c>
      <c r="AE172" s="39">
        <f t="shared" si="360"/>
        <v>2.5532254113595006E-2</v>
      </c>
      <c r="AF172" s="39">
        <f t="shared" si="360"/>
        <v>2.5531182123662233E-2</v>
      </c>
      <c r="AG172" s="39">
        <f t="shared" si="360"/>
        <v>2.5530097613665724E-2</v>
      </c>
      <c r="AH172" s="39">
        <f t="shared" si="360"/>
        <v>2.5530097613665724E-2</v>
      </c>
      <c r="AI172" s="39">
        <f t="shared" si="360"/>
        <v>2.5530097613665724E-2</v>
      </c>
      <c r="AJ172" s="39">
        <f t="shared" si="360"/>
        <v>2.5530097613665724E-2</v>
      </c>
      <c r="AK172" s="39">
        <f t="shared" si="360"/>
        <v>2.5530097613665724E-2</v>
      </c>
      <c r="AL172" s="39">
        <f t="shared" si="360"/>
        <v>2.5530097613665724E-2</v>
      </c>
      <c r="AM172" s="184">
        <f t="shared" si="348"/>
        <v>2.5530097613665724E-2</v>
      </c>
      <c r="AN172" s="184">
        <f t="shared" si="342"/>
        <v>2.5530097613665724E-2</v>
      </c>
      <c r="AO172" s="184">
        <f t="shared" si="342"/>
        <v>2.5530097613665724E-2</v>
      </c>
      <c r="AP172" s="184">
        <f t="shared" si="342"/>
        <v>2.5530097613665724E-2</v>
      </c>
      <c r="AQ172" s="184">
        <f t="shared" si="342"/>
        <v>2.5530097613665724E-2</v>
      </c>
      <c r="AR172" s="184">
        <f t="shared" si="342"/>
        <v>2.5530097613665724E-2</v>
      </c>
      <c r="AS172" s="184">
        <f t="shared" si="342"/>
        <v>2.5530097613665724E-2</v>
      </c>
      <c r="AT172" s="184">
        <f t="shared" si="342"/>
        <v>2.5530097613665724E-2</v>
      </c>
      <c r="AU172" s="184">
        <f t="shared" si="342"/>
        <v>2.5530097613665724E-2</v>
      </c>
      <c r="AV172" s="184">
        <f t="shared" si="342"/>
        <v>2.5530097613665724E-2</v>
      </c>
      <c r="AW172" s="184">
        <f t="shared" si="342"/>
        <v>2.5530097613665724E-2</v>
      </c>
      <c r="AX172" s="184">
        <f t="shared" si="342"/>
        <v>2.5530097613665724E-2</v>
      </c>
      <c r="AY172" s="184">
        <f t="shared" si="342"/>
        <v>2.5530097613665724E-2</v>
      </c>
      <c r="AZ172" s="184">
        <f t="shared" si="342"/>
        <v>2.5530097613665724E-2</v>
      </c>
      <c r="BA172" s="184">
        <f t="shared" si="342"/>
        <v>2.5530097613665724E-2</v>
      </c>
      <c r="BB172" s="184">
        <f t="shared" si="342"/>
        <v>2.5530097613665724E-2</v>
      </c>
      <c r="BC172" s="184">
        <f t="shared" si="342"/>
        <v>2.5530097613665724E-2</v>
      </c>
      <c r="BD172" s="184">
        <f t="shared" si="342"/>
        <v>2.5530097613665724E-2</v>
      </c>
      <c r="BE172" s="184">
        <f t="shared" si="342"/>
        <v>2.5530097613665724E-2</v>
      </c>
      <c r="BF172" s="184">
        <f t="shared" si="342"/>
        <v>2.5530097613665724E-2</v>
      </c>
    </row>
    <row r="173" spans="2:58">
      <c r="B173" t="s">
        <v>635</v>
      </c>
      <c r="C173" s="109">
        <v>23821.020027999937</v>
      </c>
      <c r="D173" s="182">
        <f t="shared" ref="D173:I173" si="361">C173+($J173-$C173)/(COLUMN($J173)-COLUMN($C173))</f>
        <v>22229.672495536244</v>
      </c>
      <c r="E173" s="182">
        <f t="shared" si="361"/>
        <v>20638.324963072551</v>
      </c>
      <c r="F173" s="182">
        <f t="shared" si="361"/>
        <v>19046.977430608858</v>
      </c>
      <c r="G173" s="182">
        <f t="shared" si="361"/>
        <v>17455.629898145165</v>
      </c>
      <c r="H173" s="182">
        <f t="shared" si="361"/>
        <v>15864.282365681473</v>
      </c>
      <c r="I173" s="182">
        <f t="shared" si="361"/>
        <v>14272.93483321778</v>
      </c>
      <c r="J173" s="109">
        <v>12681.58730075409</v>
      </c>
      <c r="K173" s="183">
        <f t="shared" si="339"/>
        <v>12609.979165069673</v>
      </c>
      <c r="L173" s="183">
        <f t="shared" si="339"/>
        <v>12538.371029385256</v>
      </c>
      <c r="M173" s="183">
        <f t="shared" si="339"/>
        <v>12466.762893700839</v>
      </c>
      <c r="N173" s="183">
        <f t="shared" si="339"/>
        <v>12395.154758016422</v>
      </c>
      <c r="O173" s="109">
        <v>12323.546622332005</v>
      </c>
      <c r="P173" s="183">
        <f t="shared" si="340"/>
        <v>12323.546622332005</v>
      </c>
      <c r="Q173" s="183">
        <f t="shared" si="340"/>
        <v>12323.546622332005</v>
      </c>
      <c r="R173" s="183">
        <f t="shared" si="340"/>
        <v>12323.546622332005</v>
      </c>
      <c r="S173" s="183">
        <f t="shared" si="340"/>
        <v>12323.546622332005</v>
      </c>
      <c r="T173" s="109">
        <v>12323.546622332005</v>
      </c>
      <c r="U173" s="195"/>
      <c r="V173" t="s">
        <v>635</v>
      </c>
      <c r="W173" s="39">
        <f t="shared" ref="W173:AL173" si="362">E173/SUM(E164:E196)</f>
        <v>4.477119933620919E-2</v>
      </c>
      <c r="X173" s="39">
        <f t="shared" si="362"/>
        <v>4.4231589748190088E-2</v>
      </c>
      <c r="Y173" s="39">
        <f t="shared" si="362"/>
        <v>4.3610138144761765E-2</v>
      </c>
      <c r="Z173" s="39">
        <f t="shared" si="362"/>
        <v>4.288669733662423E-2</v>
      </c>
      <c r="AA173" s="39">
        <f t="shared" si="362"/>
        <v>4.2033916100483751E-2</v>
      </c>
      <c r="AB173" s="39">
        <f t="shared" si="362"/>
        <v>4.1013703149787258E-2</v>
      </c>
      <c r="AC173" s="39">
        <f t="shared" si="362"/>
        <v>4.1014831061553687E-2</v>
      </c>
      <c r="AD173" s="39">
        <f t="shared" si="362"/>
        <v>4.1015971919703714E-2</v>
      </c>
      <c r="AE173" s="39">
        <f t="shared" si="362"/>
        <v>4.1017125948425541E-2</v>
      </c>
      <c r="AF173" s="39">
        <f t="shared" si="362"/>
        <v>4.1018293377113636E-2</v>
      </c>
      <c r="AG173" s="39">
        <f t="shared" si="362"/>
        <v>4.1019474440520828E-2</v>
      </c>
      <c r="AH173" s="39">
        <f t="shared" si="362"/>
        <v>4.1019474440520828E-2</v>
      </c>
      <c r="AI173" s="39">
        <f t="shared" si="362"/>
        <v>4.1019474440520828E-2</v>
      </c>
      <c r="AJ173" s="39">
        <f t="shared" si="362"/>
        <v>4.1019474440520828E-2</v>
      </c>
      <c r="AK173" s="39">
        <f t="shared" si="362"/>
        <v>4.1019474440520828E-2</v>
      </c>
      <c r="AL173" s="39">
        <f t="shared" si="362"/>
        <v>4.1019474440520828E-2</v>
      </c>
      <c r="AM173" s="184">
        <f t="shared" si="348"/>
        <v>4.1019474440520828E-2</v>
      </c>
      <c r="AN173" s="184">
        <f t="shared" si="342"/>
        <v>4.1019474440520828E-2</v>
      </c>
      <c r="AO173" s="184">
        <f t="shared" si="342"/>
        <v>4.1019474440520828E-2</v>
      </c>
      <c r="AP173" s="184">
        <f t="shared" si="342"/>
        <v>4.1019474440520828E-2</v>
      </c>
      <c r="AQ173" s="184">
        <f t="shared" si="342"/>
        <v>4.1019474440520828E-2</v>
      </c>
      <c r="AR173" s="184">
        <f t="shared" si="342"/>
        <v>4.1019474440520828E-2</v>
      </c>
      <c r="AS173" s="184">
        <f t="shared" si="342"/>
        <v>4.1019474440520828E-2</v>
      </c>
      <c r="AT173" s="184">
        <f t="shared" si="342"/>
        <v>4.1019474440520828E-2</v>
      </c>
      <c r="AU173" s="184">
        <f t="shared" si="342"/>
        <v>4.1019474440520828E-2</v>
      </c>
      <c r="AV173" s="184">
        <f t="shared" si="342"/>
        <v>4.1019474440520828E-2</v>
      </c>
      <c r="AW173" s="184">
        <f t="shared" si="342"/>
        <v>4.1019474440520828E-2</v>
      </c>
      <c r="AX173" s="184">
        <f t="shared" si="342"/>
        <v>4.1019474440520828E-2</v>
      </c>
      <c r="AY173" s="184">
        <f t="shared" si="342"/>
        <v>4.1019474440520828E-2</v>
      </c>
      <c r="AZ173" s="184">
        <f t="shared" si="342"/>
        <v>4.1019474440520828E-2</v>
      </c>
      <c r="BA173" s="184">
        <f t="shared" si="342"/>
        <v>4.1019474440520828E-2</v>
      </c>
      <c r="BB173" s="184">
        <f t="shared" si="342"/>
        <v>4.1019474440520828E-2</v>
      </c>
      <c r="BC173" s="184">
        <f t="shared" si="342"/>
        <v>4.1019474440520828E-2</v>
      </c>
      <c r="BD173" s="184">
        <f t="shared" si="342"/>
        <v>4.1019474440520828E-2</v>
      </c>
      <c r="BE173" s="184">
        <f t="shared" si="342"/>
        <v>4.1019474440520828E-2</v>
      </c>
      <c r="BF173" s="184">
        <f t="shared" si="342"/>
        <v>4.1019474440520828E-2</v>
      </c>
    </row>
    <row r="174" spans="2:58">
      <c r="B174" t="s">
        <v>636</v>
      </c>
      <c r="C174" s="109">
        <v>10445.793304077222</v>
      </c>
      <c r="D174" s="182">
        <f t="shared" ref="D174:I174" si="363">C174+($J174-$C174)/(COLUMN($J174)-COLUMN($C174))</f>
        <v>11485.249516895765</v>
      </c>
      <c r="E174" s="182">
        <f t="shared" si="363"/>
        <v>12524.705729714307</v>
      </c>
      <c r="F174" s="182">
        <f t="shared" si="363"/>
        <v>13564.16194253285</v>
      </c>
      <c r="G174" s="182">
        <f t="shared" si="363"/>
        <v>14603.618155351392</v>
      </c>
      <c r="H174" s="182">
        <f t="shared" si="363"/>
        <v>15643.074368169935</v>
      </c>
      <c r="I174" s="182">
        <f t="shared" si="363"/>
        <v>16682.530580988478</v>
      </c>
      <c r="J174" s="109">
        <v>17721.986793807017</v>
      </c>
      <c r="K174" s="183">
        <f t="shared" si="339"/>
        <v>17621.251663207357</v>
      </c>
      <c r="L174" s="183">
        <f t="shared" si="339"/>
        <v>17520.516532607697</v>
      </c>
      <c r="M174" s="183">
        <f t="shared" si="339"/>
        <v>17419.781402008037</v>
      </c>
      <c r="N174" s="183">
        <f t="shared" si="339"/>
        <v>17319.046271408377</v>
      </c>
      <c r="O174" s="109">
        <v>17218.311140808717</v>
      </c>
      <c r="P174" s="183">
        <f t="shared" si="340"/>
        <v>17218.311140808717</v>
      </c>
      <c r="Q174" s="183">
        <f t="shared" si="340"/>
        <v>17218.311140808717</v>
      </c>
      <c r="R174" s="183">
        <f t="shared" si="340"/>
        <v>17218.311140808717</v>
      </c>
      <c r="S174" s="183">
        <f t="shared" si="340"/>
        <v>17218.311140808717</v>
      </c>
      <c r="T174" s="109">
        <v>17218.311140808717</v>
      </c>
      <c r="U174" s="195"/>
      <c r="V174" t="s">
        <v>636</v>
      </c>
      <c r="W174" s="39">
        <f t="shared" ref="W174:AL174" si="364">E174/SUM(E164:E196)</f>
        <v>2.7170136038449075E-2</v>
      </c>
      <c r="X174" s="39">
        <f t="shared" si="364"/>
        <v>3.1499194478803325E-2</v>
      </c>
      <c r="Y174" s="39">
        <f t="shared" si="364"/>
        <v>3.6484836633474828E-2</v>
      </c>
      <c r="Z174" s="39">
        <f t="shared" si="364"/>
        <v>4.2288694841519842E-2</v>
      </c>
      <c r="AA174" s="39">
        <f t="shared" si="364"/>
        <v>4.9130196345675739E-2</v>
      </c>
      <c r="AB174" s="39">
        <f t="shared" si="364"/>
        <v>5.7314931352673057E-2</v>
      </c>
      <c r="AC174" s="39">
        <f t="shared" si="364"/>
        <v>5.7314342125289186E-2</v>
      </c>
      <c r="AD174" s="39">
        <f t="shared" si="364"/>
        <v>5.7313746134642442E-2</v>
      </c>
      <c r="AE174" s="39">
        <f t="shared" si="364"/>
        <v>5.731314326361571E-2</v>
      </c>
      <c r="AF174" s="39">
        <f t="shared" si="364"/>
        <v>5.7312533392371995E-2</v>
      </c>
      <c r="AG174" s="39">
        <f t="shared" si="364"/>
        <v>5.7311916398275167E-2</v>
      </c>
      <c r="AH174" s="39">
        <f t="shared" si="364"/>
        <v>5.7311916398275167E-2</v>
      </c>
      <c r="AI174" s="39">
        <f t="shared" si="364"/>
        <v>5.7311916398275167E-2</v>
      </c>
      <c r="AJ174" s="39">
        <f t="shared" si="364"/>
        <v>5.7311916398275167E-2</v>
      </c>
      <c r="AK174" s="39">
        <f t="shared" si="364"/>
        <v>5.7311916398275167E-2</v>
      </c>
      <c r="AL174" s="39">
        <f t="shared" si="364"/>
        <v>5.7311916398275167E-2</v>
      </c>
      <c r="AM174" s="184">
        <f t="shared" si="348"/>
        <v>5.7311916398275167E-2</v>
      </c>
      <c r="AN174" s="184">
        <f t="shared" si="342"/>
        <v>5.7311916398275167E-2</v>
      </c>
      <c r="AO174" s="184">
        <f t="shared" si="342"/>
        <v>5.7311916398275167E-2</v>
      </c>
      <c r="AP174" s="184">
        <f t="shared" si="342"/>
        <v>5.7311916398275167E-2</v>
      </c>
      <c r="AQ174" s="184">
        <f t="shared" si="342"/>
        <v>5.7311916398275167E-2</v>
      </c>
      <c r="AR174" s="184">
        <f t="shared" si="342"/>
        <v>5.7311916398275167E-2</v>
      </c>
      <c r="AS174" s="184">
        <f t="shared" si="342"/>
        <v>5.7311916398275167E-2</v>
      </c>
      <c r="AT174" s="184">
        <f t="shared" si="342"/>
        <v>5.7311916398275167E-2</v>
      </c>
      <c r="AU174" s="184">
        <f t="shared" si="342"/>
        <v>5.7311916398275167E-2</v>
      </c>
      <c r="AV174" s="184">
        <f t="shared" si="342"/>
        <v>5.7311916398275167E-2</v>
      </c>
      <c r="AW174" s="184">
        <f t="shared" si="342"/>
        <v>5.7311916398275167E-2</v>
      </c>
      <c r="AX174" s="184">
        <f t="shared" si="342"/>
        <v>5.7311916398275167E-2</v>
      </c>
      <c r="AY174" s="184">
        <f t="shared" si="342"/>
        <v>5.7311916398275167E-2</v>
      </c>
      <c r="AZ174" s="184">
        <f t="shared" si="342"/>
        <v>5.7311916398275167E-2</v>
      </c>
      <c r="BA174" s="184">
        <f t="shared" si="342"/>
        <v>5.7311916398275167E-2</v>
      </c>
      <c r="BB174" s="184">
        <f t="shared" si="342"/>
        <v>5.7311916398275167E-2</v>
      </c>
      <c r="BC174" s="184">
        <f t="shared" si="342"/>
        <v>5.7311916398275167E-2</v>
      </c>
      <c r="BD174" s="184">
        <f t="shared" si="342"/>
        <v>5.7311916398275167E-2</v>
      </c>
      <c r="BE174" s="184">
        <f t="shared" si="342"/>
        <v>5.7311916398275167E-2</v>
      </c>
      <c r="BF174" s="184">
        <f t="shared" si="342"/>
        <v>5.7311916398275167E-2</v>
      </c>
    </row>
    <row r="175" spans="2:58">
      <c r="B175" t="s">
        <v>637</v>
      </c>
      <c r="C175" s="109">
        <v>30726.520238653036</v>
      </c>
      <c r="D175" s="182">
        <f t="shared" ref="D175:I175" si="365">C175+($J175-$C175)/(COLUMN($J175)-COLUMN($C175))</f>
        <v>28840.634515063608</v>
      </c>
      <c r="E175" s="182">
        <f t="shared" si="365"/>
        <v>26954.74879147418</v>
      </c>
      <c r="F175" s="182">
        <f t="shared" si="365"/>
        <v>25068.863067884751</v>
      </c>
      <c r="G175" s="182">
        <f t="shared" si="365"/>
        <v>23182.977344295323</v>
      </c>
      <c r="H175" s="182">
        <f t="shared" si="365"/>
        <v>21297.091620705894</v>
      </c>
      <c r="I175" s="182">
        <f t="shared" si="365"/>
        <v>19411.205897116466</v>
      </c>
      <c r="J175" s="109">
        <v>17525.320173527045</v>
      </c>
      <c r="K175" s="183">
        <f t="shared" si="339"/>
        <v>17423.48422883829</v>
      </c>
      <c r="L175" s="183">
        <f t="shared" si="339"/>
        <v>17321.648284149534</v>
      </c>
      <c r="M175" s="183">
        <f t="shared" si="339"/>
        <v>17219.812339460779</v>
      </c>
      <c r="N175" s="183">
        <f t="shared" si="339"/>
        <v>17117.976394772024</v>
      </c>
      <c r="O175" s="109">
        <v>17016.140450083276</v>
      </c>
      <c r="P175" s="183">
        <f t="shared" si="340"/>
        <v>17016.140450083276</v>
      </c>
      <c r="Q175" s="183">
        <f t="shared" si="340"/>
        <v>17016.140450083276</v>
      </c>
      <c r="R175" s="183">
        <f t="shared" si="340"/>
        <v>17016.140450083276</v>
      </c>
      <c r="S175" s="183">
        <f t="shared" si="340"/>
        <v>17016.140450083276</v>
      </c>
      <c r="T175" s="109">
        <v>17016.140450083276</v>
      </c>
      <c r="U175" s="195"/>
      <c r="V175" t="s">
        <v>637</v>
      </c>
      <c r="W175" s="39">
        <f t="shared" ref="W175:AL175" si="366">E175/SUM(E164:E196)</f>
        <v>5.8473564756820813E-2</v>
      </c>
      <c r="X175" s="39">
        <f t="shared" si="366"/>
        <v>5.8215833494416391E-2</v>
      </c>
      <c r="Y175" s="39">
        <f t="shared" si="366"/>
        <v>5.791901240407437E-2</v>
      </c>
      <c r="Z175" s="39">
        <f t="shared" si="366"/>
        <v>5.7573478675808663E-2</v>
      </c>
      <c r="AA175" s="39">
        <f t="shared" si="366"/>
        <v>5.7166168669787222E-2</v>
      </c>
      <c r="AB175" s="39">
        <f t="shared" si="366"/>
        <v>5.6678889018827741E-2</v>
      </c>
      <c r="AC175" s="39">
        <f t="shared" si="366"/>
        <v>5.66710898404168E-2</v>
      </c>
      <c r="AD175" s="39">
        <f t="shared" si="366"/>
        <v>5.6663201141567643E-2</v>
      </c>
      <c r="AE175" s="39">
        <f t="shared" si="366"/>
        <v>5.6655221372084924E-2</v>
      </c>
      <c r="AF175" s="39">
        <f t="shared" si="366"/>
        <v>5.6647148945773135E-2</v>
      </c>
      <c r="AG175" s="39">
        <f t="shared" si="366"/>
        <v>5.6638982239385655E-2</v>
      </c>
      <c r="AH175" s="39">
        <f t="shared" si="366"/>
        <v>5.6638982239385655E-2</v>
      </c>
      <c r="AI175" s="39">
        <f t="shared" si="366"/>
        <v>5.6638982239385655E-2</v>
      </c>
      <c r="AJ175" s="39">
        <f t="shared" si="366"/>
        <v>5.6638982239385655E-2</v>
      </c>
      <c r="AK175" s="39">
        <f t="shared" si="366"/>
        <v>5.6638982239385655E-2</v>
      </c>
      <c r="AL175" s="39">
        <f t="shared" si="366"/>
        <v>5.6638982239385655E-2</v>
      </c>
      <c r="AM175" s="184">
        <f t="shared" si="348"/>
        <v>5.6638982239385655E-2</v>
      </c>
      <c r="AN175" s="184">
        <f t="shared" si="342"/>
        <v>5.6638982239385655E-2</v>
      </c>
      <c r="AO175" s="184">
        <f t="shared" si="342"/>
        <v>5.6638982239385655E-2</v>
      </c>
      <c r="AP175" s="184">
        <f t="shared" si="342"/>
        <v>5.6638982239385655E-2</v>
      </c>
      <c r="AQ175" s="184">
        <f t="shared" si="342"/>
        <v>5.6638982239385655E-2</v>
      </c>
      <c r="AR175" s="184">
        <f t="shared" si="342"/>
        <v>5.6638982239385655E-2</v>
      </c>
      <c r="AS175" s="184">
        <f t="shared" si="342"/>
        <v>5.6638982239385655E-2</v>
      </c>
      <c r="AT175" s="184">
        <f t="shared" si="342"/>
        <v>5.6638982239385655E-2</v>
      </c>
      <c r="AU175" s="184">
        <f t="shared" si="342"/>
        <v>5.6638982239385655E-2</v>
      </c>
      <c r="AV175" s="184">
        <f t="shared" si="342"/>
        <v>5.6638982239385655E-2</v>
      </c>
      <c r="AW175" s="184">
        <f t="shared" si="342"/>
        <v>5.6638982239385655E-2</v>
      </c>
      <c r="AX175" s="184">
        <f t="shared" si="342"/>
        <v>5.6638982239385655E-2</v>
      </c>
      <c r="AY175" s="184">
        <f t="shared" si="342"/>
        <v>5.6638982239385655E-2</v>
      </c>
      <c r="AZ175" s="184">
        <f t="shared" si="342"/>
        <v>5.6638982239385655E-2</v>
      </c>
      <c r="BA175" s="184">
        <f t="shared" si="342"/>
        <v>5.6638982239385655E-2</v>
      </c>
      <c r="BB175" s="184">
        <f t="shared" si="342"/>
        <v>5.6638982239385655E-2</v>
      </c>
      <c r="BC175" s="184">
        <f t="shared" si="342"/>
        <v>5.6638982239385655E-2</v>
      </c>
      <c r="BD175" s="184">
        <f t="shared" si="342"/>
        <v>5.6638982239385655E-2</v>
      </c>
      <c r="BE175" s="184">
        <f t="shared" si="342"/>
        <v>5.6638982239385655E-2</v>
      </c>
      <c r="BF175" s="184">
        <f t="shared" si="342"/>
        <v>5.6638982239385655E-2</v>
      </c>
    </row>
    <row r="176" spans="2:58">
      <c r="B176" t="s">
        <v>638</v>
      </c>
      <c r="C176" s="109">
        <v>16205.927098369859</v>
      </c>
      <c r="D176" s="182">
        <f t="shared" ref="D176:I176" si="367">C176+($J176-$C176)/(COLUMN($J176)-COLUMN($C176))</f>
        <v>15593.091816026474</v>
      </c>
      <c r="E176" s="182">
        <f t="shared" si="367"/>
        <v>14980.256533683088</v>
      </c>
      <c r="F176" s="182">
        <f t="shared" si="367"/>
        <v>14367.421251339703</v>
      </c>
      <c r="G176" s="182">
        <f t="shared" si="367"/>
        <v>13754.585968996318</v>
      </c>
      <c r="H176" s="182">
        <f t="shared" si="367"/>
        <v>13141.750686652933</v>
      </c>
      <c r="I176" s="182">
        <f t="shared" si="367"/>
        <v>12528.915404309548</v>
      </c>
      <c r="J176" s="109">
        <v>11916.080121966164</v>
      </c>
      <c r="K176" s="183">
        <f t="shared" si="339"/>
        <v>11847.408812159012</v>
      </c>
      <c r="L176" s="183">
        <f t="shared" si="339"/>
        <v>11778.73750235186</v>
      </c>
      <c r="M176" s="183">
        <f t="shared" si="339"/>
        <v>11710.066192544708</v>
      </c>
      <c r="N176" s="183">
        <f t="shared" si="339"/>
        <v>11641.394882737555</v>
      </c>
      <c r="O176" s="109">
        <v>11572.723572930407</v>
      </c>
      <c r="P176" s="183">
        <f t="shared" si="340"/>
        <v>11572.723572930407</v>
      </c>
      <c r="Q176" s="183">
        <f t="shared" si="340"/>
        <v>11572.723572930407</v>
      </c>
      <c r="R176" s="183">
        <f t="shared" si="340"/>
        <v>11572.723572930407</v>
      </c>
      <c r="S176" s="183">
        <f t="shared" si="340"/>
        <v>11572.723572930407</v>
      </c>
      <c r="T176" s="109">
        <v>11572.723572930407</v>
      </c>
      <c r="U176" s="195"/>
      <c r="V176" t="s">
        <v>638</v>
      </c>
      <c r="W176" s="39">
        <f t="shared" ref="W176:AL176" si="368">E176/SUM(E164:E196)</f>
        <v>3.2497019626210349E-2</v>
      </c>
      <c r="X176" s="39">
        <f t="shared" si="368"/>
        <v>3.3364552714145325E-2</v>
      </c>
      <c r="Y176" s="39">
        <f t="shared" si="368"/>
        <v>3.436366362784022E-2</v>
      </c>
      <c r="Z176" s="39">
        <f t="shared" si="368"/>
        <v>3.5526743106330701E-2</v>
      </c>
      <c r="AA176" s="39">
        <f t="shared" si="368"/>
        <v>3.6897763850861576E-2</v>
      </c>
      <c r="AB176" s="39">
        <f t="shared" si="368"/>
        <v>3.8537965417179278E-2</v>
      </c>
      <c r="AC176" s="39">
        <f t="shared" si="368"/>
        <v>3.853451814527082E-2</v>
      </c>
      <c r="AD176" s="39">
        <f t="shared" si="368"/>
        <v>3.8531031304926355E-2</v>
      </c>
      <c r="AE176" s="39">
        <f t="shared" si="368"/>
        <v>3.8527504210952558E-2</v>
      </c>
      <c r="AF176" s="39">
        <f t="shared" si="368"/>
        <v>3.8523936162243901E-2</v>
      </c>
      <c r="AG176" s="39">
        <f t="shared" si="368"/>
        <v>3.8520326441318087E-2</v>
      </c>
      <c r="AH176" s="39">
        <f t="shared" si="368"/>
        <v>3.8520326441318087E-2</v>
      </c>
      <c r="AI176" s="39">
        <f t="shared" si="368"/>
        <v>3.8520326441318087E-2</v>
      </c>
      <c r="AJ176" s="39">
        <f t="shared" si="368"/>
        <v>3.8520326441318087E-2</v>
      </c>
      <c r="AK176" s="39">
        <f t="shared" si="368"/>
        <v>3.8520326441318087E-2</v>
      </c>
      <c r="AL176" s="39">
        <f t="shared" si="368"/>
        <v>3.8520326441318087E-2</v>
      </c>
      <c r="AM176" s="184">
        <f t="shared" si="348"/>
        <v>3.8520326441318087E-2</v>
      </c>
      <c r="AN176" s="184">
        <f t="shared" si="342"/>
        <v>3.8520326441318087E-2</v>
      </c>
      <c r="AO176" s="184">
        <f t="shared" si="342"/>
        <v>3.8520326441318087E-2</v>
      </c>
      <c r="AP176" s="184">
        <f t="shared" si="342"/>
        <v>3.8520326441318087E-2</v>
      </c>
      <c r="AQ176" s="184">
        <f t="shared" si="342"/>
        <v>3.8520326441318087E-2</v>
      </c>
      <c r="AR176" s="184">
        <f t="shared" si="342"/>
        <v>3.8520326441318087E-2</v>
      </c>
      <c r="AS176" s="184">
        <f t="shared" si="342"/>
        <v>3.8520326441318087E-2</v>
      </c>
      <c r="AT176" s="184">
        <f t="shared" si="342"/>
        <v>3.8520326441318087E-2</v>
      </c>
      <c r="AU176" s="184">
        <f t="shared" si="342"/>
        <v>3.8520326441318087E-2</v>
      </c>
      <c r="AV176" s="184">
        <f t="shared" si="342"/>
        <v>3.8520326441318087E-2</v>
      </c>
      <c r="AW176" s="184">
        <f t="shared" si="342"/>
        <v>3.8520326441318087E-2</v>
      </c>
      <c r="AX176" s="184">
        <f t="shared" si="342"/>
        <v>3.8520326441318087E-2</v>
      </c>
      <c r="AY176" s="184">
        <f t="shared" si="342"/>
        <v>3.8520326441318087E-2</v>
      </c>
      <c r="AZ176" s="184">
        <f t="shared" si="342"/>
        <v>3.8520326441318087E-2</v>
      </c>
      <c r="BA176" s="184">
        <f t="shared" si="342"/>
        <v>3.8520326441318087E-2</v>
      </c>
      <c r="BB176" s="184">
        <f t="shared" si="342"/>
        <v>3.8520326441318087E-2</v>
      </c>
      <c r="BC176" s="184">
        <f t="shared" si="342"/>
        <v>3.8520326441318087E-2</v>
      </c>
      <c r="BD176" s="184">
        <f t="shared" si="342"/>
        <v>3.8520326441318087E-2</v>
      </c>
      <c r="BE176" s="184">
        <f t="shared" si="342"/>
        <v>3.8520326441318087E-2</v>
      </c>
      <c r="BF176" s="184">
        <f t="shared" si="342"/>
        <v>3.8520326441318087E-2</v>
      </c>
    </row>
    <row r="177" spans="2:58">
      <c r="B177" t="s">
        <v>639</v>
      </c>
      <c r="C177" s="109">
        <v>10887.969478414974</v>
      </c>
      <c r="D177" s="182">
        <f t="shared" ref="D177:I177" si="369">C177+($J177-$C177)/(COLUMN($J177)-COLUMN($C177))</f>
        <v>10024.337414106687</v>
      </c>
      <c r="E177" s="182">
        <f t="shared" si="369"/>
        <v>9160.7053497983998</v>
      </c>
      <c r="F177" s="182">
        <f t="shared" si="369"/>
        <v>8297.0732854901125</v>
      </c>
      <c r="G177" s="182">
        <f t="shared" si="369"/>
        <v>7433.4412211818253</v>
      </c>
      <c r="H177" s="182">
        <f t="shared" si="369"/>
        <v>6569.8091568735381</v>
      </c>
      <c r="I177" s="182">
        <f t="shared" si="369"/>
        <v>5706.1770925652509</v>
      </c>
      <c r="J177" s="109">
        <v>4842.5450282569636</v>
      </c>
      <c r="K177" s="183">
        <f t="shared" si="339"/>
        <v>4815.0458049671215</v>
      </c>
      <c r="L177" s="183">
        <f t="shared" si="339"/>
        <v>4787.5465816772794</v>
      </c>
      <c r="M177" s="183">
        <f t="shared" si="339"/>
        <v>4760.0473583874373</v>
      </c>
      <c r="N177" s="183">
        <f t="shared" si="339"/>
        <v>4732.5481350975952</v>
      </c>
      <c r="O177" s="109">
        <v>4705.0489118077512</v>
      </c>
      <c r="P177" s="183">
        <f t="shared" si="340"/>
        <v>4705.0489118077512</v>
      </c>
      <c r="Q177" s="183">
        <f t="shared" si="340"/>
        <v>4705.0489118077512</v>
      </c>
      <c r="R177" s="183">
        <f t="shared" si="340"/>
        <v>4705.0489118077512</v>
      </c>
      <c r="S177" s="183">
        <f t="shared" si="340"/>
        <v>4705.0489118077512</v>
      </c>
      <c r="T177" s="109">
        <v>4705.0489118077512</v>
      </c>
      <c r="U177" s="195"/>
      <c r="V177" t="s">
        <v>639</v>
      </c>
      <c r="W177" s="39">
        <f t="shared" ref="W177:AL177" si="370">E177/SUM(E164:E196)</f>
        <v>1.9872531613391298E-2</v>
      </c>
      <c r="X177" s="39">
        <f t="shared" si="370"/>
        <v>1.9267767970612592E-2</v>
      </c>
      <c r="Y177" s="39">
        <f t="shared" si="370"/>
        <v>1.8571280465860054E-2</v>
      </c>
      <c r="Z177" s="39">
        <f t="shared" si="370"/>
        <v>1.7760489278716551E-2</v>
      </c>
      <c r="AA177" s="39">
        <f t="shared" si="370"/>
        <v>1.6804740718438221E-2</v>
      </c>
      <c r="AB177" s="39">
        <f t="shared" si="370"/>
        <v>1.5661344244075757E-2</v>
      </c>
      <c r="AC177" s="39">
        <f t="shared" si="370"/>
        <v>1.5661270146379191E-2</v>
      </c>
      <c r="AD177" s="39">
        <f t="shared" si="370"/>
        <v>1.5661195198175312E-2</v>
      </c>
      <c r="AE177" s="39">
        <f t="shared" si="370"/>
        <v>1.5661119384736171E-2</v>
      </c>
      <c r="AF177" s="39">
        <f t="shared" si="370"/>
        <v>1.5661042690991788E-2</v>
      </c>
      <c r="AG177" s="39">
        <f t="shared" si="370"/>
        <v>1.5660965101520177E-2</v>
      </c>
      <c r="AH177" s="39">
        <f t="shared" si="370"/>
        <v>1.5660965101520177E-2</v>
      </c>
      <c r="AI177" s="39">
        <f t="shared" si="370"/>
        <v>1.5660965101520177E-2</v>
      </c>
      <c r="AJ177" s="39">
        <f t="shared" si="370"/>
        <v>1.5660965101520177E-2</v>
      </c>
      <c r="AK177" s="39">
        <f t="shared" si="370"/>
        <v>1.5660965101520177E-2</v>
      </c>
      <c r="AL177" s="39">
        <f t="shared" si="370"/>
        <v>1.5660965101520177E-2</v>
      </c>
      <c r="AM177" s="184">
        <f t="shared" si="348"/>
        <v>1.5660965101520177E-2</v>
      </c>
      <c r="AN177" s="184">
        <f t="shared" si="342"/>
        <v>1.5660965101520177E-2</v>
      </c>
      <c r="AO177" s="184">
        <f t="shared" si="342"/>
        <v>1.5660965101520177E-2</v>
      </c>
      <c r="AP177" s="184">
        <f t="shared" si="342"/>
        <v>1.5660965101520177E-2</v>
      </c>
      <c r="AQ177" s="184">
        <f t="shared" si="342"/>
        <v>1.5660965101520177E-2</v>
      </c>
      <c r="AR177" s="184">
        <f t="shared" si="342"/>
        <v>1.5660965101520177E-2</v>
      </c>
      <c r="AS177" s="184">
        <f t="shared" si="342"/>
        <v>1.5660965101520177E-2</v>
      </c>
      <c r="AT177" s="184">
        <f t="shared" si="342"/>
        <v>1.5660965101520177E-2</v>
      </c>
      <c r="AU177" s="184">
        <f t="shared" si="342"/>
        <v>1.5660965101520177E-2</v>
      </c>
      <c r="AV177" s="184">
        <f t="shared" si="342"/>
        <v>1.5660965101520177E-2</v>
      </c>
      <c r="AW177" s="184">
        <f t="shared" si="342"/>
        <v>1.5660965101520177E-2</v>
      </c>
      <c r="AX177" s="184">
        <f t="shared" si="342"/>
        <v>1.5660965101520177E-2</v>
      </c>
      <c r="AY177" s="184">
        <f t="shared" si="342"/>
        <v>1.5660965101520177E-2</v>
      </c>
      <c r="AZ177" s="184">
        <f t="shared" si="342"/>
        <v>1.5660965101520177E-2</v>
      </c>
      <c r="BA177" s="184">
        <f t="shared" si="342"/>
        <v>1.5660965101520177E-2</v>
      </c>
      <c r="BB177" s="184">
        <f t="shared" si="342"/>
        <v>1.5660965101520177E-2</v>
      </c>
      <c r="BC177" s="184">
        <f t="shared" si="342"/>
        <v>1.5660965101520177E-2</v>
      </c>
      <c r="BD177" s="184">
        <f t="shared" si="342"/>
        <v>1.5660965101520177E-2</v>
      </c>
      <c r="BE177" s="184">
        <f t="shared" si="342"/>
        <v>1.5660965101520177E-2</v>
      </c>
      <c r="BF177" s="184">
        <f t="shared" si="342"/>
        <v>1.5660965101520177E-2</v>
      </c>
    </row>
    <row r="178" spans="2:58">
      <c r="B178" t="s">
        <v>640</v>
      </c>
      <c r="C178" s="109">
        <v>7337.5797320673728</v>
      </c>
      <c r="D178" s="182">
        <f t="shared" ref="D178:I178" si="371">C178+($J178-$C178)/(COLUMN($J178)-COLUMN($C178))</f>
        <v>7843.265407687647</v>
      </c>
      <c r="E178" s="182">
        <f t="shared" si="371"/>
        <v>8348.9510833079221</v>
      </c>
      <c r="F178" s="182">
        <f t="shared" si="371"/>
        <v>8854.6367589281963</v>
      </c>
      <c r="G178" s="182">
        <f t="shared" si="371"/>
        <v>9360.3224345484705</v>
      </c>
      <c r="H178" s="182">
        <f t="shared" si="371"/>
        <v>9866.0081101687447</v>
      </c>
      <c r="I178" s="182">
        <f t="shared" si="371"/>
        <v>10371.693785789019</v>
      </c>
      <c r="J178" s="109">
        <v>10877.379461409293</v>
      </c>
      <c r="K178" s="183">
        <f t="shared" si="339"/>
        <v>10814.911936438182</v>
      </c>
      <c r="L178" s="183">
        <f t="shared" si="339"/>
        <v>10752.444411467071</v>
      </c>
      <c r="M178" s="183">
        <f t="shared" si="339"/>
        <v>10689.976886495961</v>
      </c>
      <c r="N178" s="183">
        <f t="shared" si="339"/>
        <v>10627.50936152485</v>
      </c>
      <c r="O178" s="109">
        <v>10565.041836553737</v>
      </c>
      <c r="P178" s="183">
        <f t="shared" si="340"/>
        <v>10565.041836553737</v>
      </c>
      <c r="Q178" s="183">
        <f t="shared" si="340"/>
        <v>10565.041836553737</v>
      </c>
      <c r="R178" s="183">
        <f t="shared" si="340"/>
        <v>10565.041836553737</v>
      </c>
      <c r="S178" s="183">
        <f t="shared" si="340"/>
        <v>10565.041836553737</v>
      </c>
      <c r="T178" s="109">
        <v>10565.041836553737</v>
      </c>
      <c r="U178" s="195"/>
      <c r="V178" t="s">
        <v>640</v>
      </c>
      <c r="W178" s="39">
        <f t="shared" ref="W178:AL178" si="372">E178/SUM(E164:E196)</f>
        <v>1.8111574164466005E-2</v>
      </c>
      <c r="X178" s="39">
        <f t="shared" si="372"/>
        <v>2.0562562323445551E-2</v>
      </c>
      <c r="Y178" s="39">
        <f t="shared" si="372"/>
        <v>2.3385289263812097E-2</v>
      </c>
      <c r="Z178" s="39">
        <f t="shared" si="372"/>
        <v>2.6671266558946628E-2</v>
      </c>
      <c r="AA178" s="39">
        <f t="shared" si="372"/>
        <v>3.0544727591492696E-2</v>
      </c>
      <c r="AB178" s="39">
        <f t="shared" si="372"/>
        <v>3.5178688731757238E-2</v>
      </c>
      <c r="AC178" s="39">
        <f t="shared" si="372"/>
        <v>3.5176250508590086E-2</v>
      </c>
      <c r="AD178" s="39">
        <f t="shared" si="372"/>
        <v>3.5173784299038356E-2</v>
      </c>
      <c r="AE178" s="39">
        <f t="shared" si="372"/>
        <v>3.5171289618471234E-2</v>
      </c>
      <c r="AF178" s="39">
        <f t="shared" si="372"/>
        <v>3.5168765971003324E-2</v>
      </c>
      <c r="AG178" s="39">
        <f t="shared" si="372"/>
        <v>3.5166212849166101E-2</v>
      </c>
      <c r="AH178" s="39">
        <f t="shared" si="372"/>
        <v>3.5166212849166101E-2</v>
      </c>
      <c r="AI178" s="39">
        <f t="shared" si="372"/>
        <v>3.5166212849166101E-2</v>
      </c>
      <c r="AJ178" s="39">
        <f t="shared" si="372"/>
        <v>3.5166212849166101E-2</v>
      </c>
      <c r="AK178" s="39">
        <f t="shared" si="372"/>
        <v>3.5166212849166101E-2</v>
      </c>
      <c r="AL178" s="39">
        <f t="shared" si="372"/>
        <v>3.5166212849166101E-2</v>
      </c>
      <c r="AM178" s="184">
        <f t="shared" si="348"/>
        <v>3.5166212849166101E-2</v>
      </c>
      <c r="AN178" s="184">
        <f t="shared" si="342"/>
        <v>3.5166212849166101E-2</v>
      </c>
      <c r="AO178" s="184">
        <f t="shared" si="342"/>
        <v>3.5166212849166101E-2</v>
      </c>
      <c r="AP178" s="184">
        <f t="shared" si="342"/>
        <v>3.5166212849166101E-2</v>
      </c>
      <c r="AQ178" s="184">
        <f t="shared" si="342"/>
        <v>3.5166212849166101E-2</v>
      </c>
      <c r="AR178" s="184">
        <f t="shared" ref="AN178:BF190" si="373">AQ178</f>
        <v>3.5166212849166101E-2</v>
      </c>
      <c r="AS178" s="184">
        <f t="shared" si="373"/>
        <v>3.5166212849166101E-2</v>
      </c>
      <c r="AT178" s="184">
        <f t="shared" si="373"/>
        <v>3.5166212849166101E-2</v>
      </c>
      <c r="AU178" s="184">
        <f t="shared" si="373"/>
        <v>3.5166212849166101E-2</v>
      </c>
      <c r="AV178" s="184">
        <f t="shared" si="373"/>
        <v>3.5166212849166101E-2</v>
      </c>
      <c r="AW178" s="184">
        <f t="shared" si="373"/>
        <v>3.5166212849166101E-2</v>
      </c>
      <c r="AX178" s="184">
        <f t="shared" si="373"/>
        <v>3.5166212849166101E-2</v>
      </c>
      <c r="AY178" s="184">
        <f t="shared" si="373"/>
        <v>3.5166212849166101E-2</v>
      </c>
      <c r="AZ178" s="184">
        <f t="shared" si="373"/>
        <v>3.5166212849166101E-2</v>
      </c>
      <c r="BA178" s="184">
        <f t="shared" si="373"/>
        <v>3.5166212849166101E-2</v>
      </c>
      <c r="BB178" s="184">
        <f t="shared" si="373"/>
        <v>3.5166212849166101E-2</v>
      </c>
      <c r="BC178" s="184">
        <f t="shared" si="373"/>
        <v>3.5166212849166101E-2</v>
      </c>
      <c r="BD178" s="184">
        <f t="shared" si="373"/>
        <v>3.5166212849166101E-2</v>
      </c>
      <c r="BE178" s="184">
        <f t="shared" si="373"/>
        <v>3.5166212849166101E-2</v>
      </c>
      <c r="BF178" s="184">
        <f t="shared" si="373"/>
        <v>3.5166212849166101E-2</v>
      </c>
    </row>
    <row r="179" spans="2:58">
      <c r="B179" t="s">
        <v>641</v>
      </c>
      <c r="C179" s="109">
        <v>24090.890072491791</v>
      </c>
      <c r="D179" s="182">
        <f t="shared" ref="D179:I179" si="374">C179+($J179-$C179)/(COLUMN($J179)-COLUMN($C179))</f>
        <v>21077.347320642461</v>
      </c>
      <c r="E179" s="182">
        <f t="shared" si="374"/>
        <v>18063.80456879313</v>
      </c>
      <c r="F179" s="182">
        <f t="shared" si="374"/>
        <v>15050.261816943801</v>
      </c>
      <c r="G179" s="182">
        <f t="shared" si="374"/>
        <v>12036.719065094472</v>
      </c>
      <c r="H179" s="182">
        <f t="shared" si="374"/>
        <v>9023.1763132451433</v>
      </c>
      <c r="I179" s="182">
        <f t="shared" si="374"/>
        <v>6009.6335613958145</v>
      </c>
      <c r="J179" s="109">
        <v>2996.0908095464874</v>
      </c>
      <c r="K179" s="183">
        <f t="shared" si="339"/>
        <v>2979.3061706939343</v>
      </c>
      <c r="L179" s="183">
        <f t="shared" si="339"/>
        <v>2962.5215318413811</v>
      </c>
      <c r="M179" s="183">
        <f t="shared" si="339"/>
        <v>2945.736892988828</v>
      </c>
      <c r="N179" s="183">
        <f t="shared" si="339"/>
        <v>2928.9522541362749</v>
      </c>
      <c r="O179" s="109">
        <v>2912.1676152837213</v>
      </c>
      <c r="P179" s="183">
        <f t="shared" si="340"/>
        <v>2912.1676152837213</v>
      </c>
      <c r="Q179" s="183">
        <f t="shared" si="340"/>
        <v>2912.1676152837213</v>
      </c>
      <c r="R179" s="183">
        <f t="shared" si="340"/>
        <v>2912.1676152837213</v>
      </c>
      <c r="S179" s="183">
        <f t="shared" si="340"/>
        <v>2912.1676152837213</v>
      </c>
      <c r="T179" s="109">
        <v>2912.1676152837213</v>
      </c>
      <c r="U179" s="195"/>
      <c r="V179" t="s">
        <v>641</v>
      </c>
      <c r="W179" s="39">
        <f t="shared" ref="W179:AL179" si="375">E179/SUM(E164:E196)</f>
        <v>3.9186232243498979E-2</v>
      </c>
      <c r="X179" s="39">
        <f t="shared" si="375"/>
        <v>3.4950270126330923E-2</v>
      </c>
      <c r="Y179" s="39">
        <f t="shared" si="375"/>
        <v>3.0071844115704811E-2</v>
      </c>
      <c r="Z179" s="39">
        <f t="shared" si="375"/>
        <v>2.4392797773082141E-2</v>
      </c>
      <c r="AA179" s="39">
        <f t="shared" si="375"/>
        <v>1.7698422634597945E-2</v>
      </c>
      <c r="AB179" s="39">
        <f t="shared" si="375"/>
        <v>9.6897002053708634E-3</v>
      </c>
      <c r="AC179" s="39">
        <f t="shared" si="375"/>
        <v>9.6903997756114454E-3</v>
      </c>
      <c r="AD179" s="39">
        <f t="shared" si="375"/>
        <v>9.6911073756509557E-3</v>
      </c>
      <c r="AE179" s="39">
        <f t="shared" si="375"/>
        <v>9.6918231445387356E-3</v>
      </c>
      <c r="AF179" s="39">
        <f t="shared" si="375"/>
        <v>9.6925472245532433E-3</v>
      </c>
      <c r="AG179" s="39">
        <f t="shared" si="375"/>
        <v>9.6932797612963723E-3</v>
      </c>
      <c r="AH179" s="39">
        <f t="shared" si="375"/>
        <v>9.6932797612963723E-3</v>
      </c>
      <c r="AI179" s="39">
        <f t="shared" si="375"/>
        <v>9.6932797612963723E-3</v>
      </c>
      <c r="AJ179" s="39">
        <f t="shared" si="375"/>
        <v>9.6932797612963723E-3</v>
      </c>
      <c r="AK179" s="39">
        <f t="shared" si="375"/>
        <v>9.6932797612963723E-3</v>
      </c>
      <c r="AL179" s="39">
        <f t="shared" si="375"/>
        <v>9.6932797612963723E-3</v>
      </c>
      <c r="AM179" s="184">
        <f t="shared" si="348"/>
        <v>9.6932797612963723E-3</v>
      </c>
      <c r="AN179" s="184">
        <f t="shared" si="373"/>
        <v>9.6932797612963723E-3</v>
      </c>
      <c r="AO179" s="184">
        <f t="shared" si="373"/>
        <v>9.6932797612963723E-3</v>
      </c>
      <c r="AP179" s="184">
        <f t="shared" si="373"/>
        <v>9.6932797612963723E-3</v>
      </c>
      <c r="AQ179" s="184">
        <f t="shared" si="373"/>
        <v>9.6932797612963723E-3</v>
      </c>
      <c r="AR179" s="184">
        <f t="shared" si="373"/>
        <v>9.6932797612963723E-3</v>
      </c>
      <c r="AS179" s="184">
        <f t="shared" si="373"/>
        <v>9.6932797612963723E-3</v>
      </c>
      <c r="AT179" s="184">
        <f t="shared" si="373"/>
        <v>9.6932797612963723E-3</v>
      </c>
      <c r="AU179" s="184">
        <f t="shared" si="373"/>
        <v>9.6932797612963723E-3</v>
      </c>
      <c r="AV179" s="184">
        <f t="shared" si="373"/>
        <v>9.6932797612963723E-3</v>
      </c>
      <c r="AW179" s="184">
        <f t="shared" si="373"/>
        <v>9.6932797612963723E-3</v>
      </c>
      <c r="AX179" s="184">
        <f t="shared" si="373"/>
        <v>9.6932797612963723E-3</v>
      </c>
      <c r="AY179" s="184">
        <f t="shared" si="373"/>
        <v>9.6932797612963723E-3</v>
      </c>
      <c r="AZ179" s="184">
        <f t="shared" si="373"/>
        <v>9.6932797612963723E-3</v>
      </c>
      <c r="BA179" s="184">
        <f t="shared" si="373"/>
        <v>9.6932797612963723E-3</v>
      </c>
      <c r="BB179" s="184">
        <f t="shared" si="373"/>
        <v>9.6932797612963723E-3</v>
      </c>
      <c r="BC179" s="184">
        <f t="shared" si="373"/>
        <v>9.6932797612963723E-3</v>
      </c>
      <c r="BD179" s="184">
        <f t="shared" si="373"/>
        <v>9.6932797612963723E-3</v>
      </c>
      <c r="BE179" s="184">
        <f t="shared" si="373"/>
        <v>9.6932797612963723E-3</v>
      </c>
      <c r="BF179" s="184">
        <f t="shared" si="373"/>
        <v>9.6932797612963723E-3</v>
      </c>
    </row>
    <row r="180" spans="2:58">
      <c r="B180" t="s">
        <v>642</v>
      </c>
      <c r="C180" s="109">
        <v>17687.953556861637</v>
      </c>
      <c r="D180" s="182">
        <f t="shared" ref="D180:I180" si="376">C180+($J180-$C180)/(COLUMN($J180)-COLUMN($C180))</f>
        <v>16826.408350805275</v>
      </c>
      <c r="E180" s="182">
        <f t="shared" si="376"/>
        <v>15964.863144748913</v>
      </c>
      <c r="F180" s="182">
        <f t="shared" si="376"/>
        <v>15103.317938692551</v>
      </c>
      <c r="G180" s="182">
        <f t="shared" si="376"/>
        <v>14241.772732636189</v>
      </c>
      <c r="H180" s="182">
        <f t="shared" si="376"/>
        <v>13380.227526579827</v>
      </c>
      <c r="I180" s="182">
        <f t="shared" si="376"/>
        <v>12518.682320523465</v>
      </c>
      <c r="J180" s="109">
        <v>11657.137114467103</v>
      </c>
      <c r="K180" s="183">
        <f t="shared" si="339"/>
        <v>11590.140893513862</v>
      </c>
      <c r="L180" s="183">
        <f t="shared" si="339"/>
        <v>11523.144672560622</v>
      </c>
      <c r="M180" s="183">
        <f t="shared" si="339"/>
        <v>11456.148451607382</v>
      </c>
      <c r="N180" s="183">
        <f t="shared" si="339"/>
        <v>11389.152230654141</v>
      </c>
      <c r="O180" s="109">
        <v>11322.156009700902</v>
      </c>
      <c r="P180" s="183">
        <f t="shared" si="340"/>
        <v>11322.156009700902</v>
      </c>
      <c r="Q180" s="183">
        <f t="shared" si="340"/>
        <v>11322.156009700902</v>
      </c>
      <c r="R180" s="183">
        <f t="shared" si="340"/>
        <v>11322.156009700902</v>
      </c>
      <c r="S180" s="183">
        <f t="shared" si="340"/>
        <v>11322.156009700902</v>
      </c>
      <c r="T180" s="109">
        <v>11322.156009700902</v>
      </c>
      <c r="U180" s="195"/>
      <c r="V180" t="s">
        <v>642</v>
      </c>
      <c r="W180" s="39">
        <f t="shared" ref="W180:AL180" si="377">E180/SUM(E164:E196)</f>
        <v>3.463294969469468E-2</v>
      </c>
      <c r="X180" s="39">
        <f t="shared" si="377"/>
        <v>3.5073478998676702E-2</v>
      </c>
      <c r="Y180" s="39">
        <f t="shared" si="377"/>
        <v>3.5580822916196339E-2</v>
      </c>
      <c r="Z180" s="39">
        <f t="shared" si="377"/>
        <v>3.6171429315261523E-2</v>
      </c>
      <c r="AA180" s="39">
        <f t="shared" si="377"/>
        <v>3.686762733091388E-2</v>
      </c>
      <c r="AB180" s="39">
        <f t="shared" si="377"/>
        <v>3.7700514127335764E-2</v>
      </c>
      <c r="AC180" s="39">
        <f t="shared" si="377"/>
        <v>3.7697736412116385E-2</v>
      </c>
      <c r="AD180" s="39">
        <f t="shared" si="377"/>
        <v>3.7694926813758731E-2</v>
      </c>
      <c r="AE180" s="39">
        <f t="shared" si="377"/>
        <v>3.7692084780153214E-2</v>
      </c>
      <c r="AF180" s="39">
        <f t="shared" si="377"/>
        <v>3.7689209746368607E-2</v>
      </c>
      <c r="AG180" s="39">
        <f t="shared" si="377"/>
        <v>3.7686301134277754E-2</v>
      </c>
      <c r="AH180" s="39">
        <f t="shared" si="377"/>
        <v>3.7686301134277754E-2</v>
      </c>
      <c r="AI180" s="39">
        <f t="shared" si="377"/>
        <v>3.7686301134277754E-2</v>
      </c>
      <c r="AJ180" s="39">
        <f t="shared" si="377"/>
        <v>3.7686301134277754E-2</v>
      </c>
      <c r="AK180" s="39">
        <f t="shared" si="377"/>
        <v>3.7686301134277754E-2</v>
      </c>
      <c r="AL180" s="39">
        <f t="shared" si="377"/>
        <v>3.7686301134277754E-2</v>
      </c>
      <c r="AM180" s="184">
        <f t="shared" si="348"/>
        <v>3.7686301134277754E-2</v>
      </c>
      <c r="AN180" s="184">
        <f t="shared" si="373"/>
        <v>3.7686301134277754E-2</v>
      </c>
      <c r="AO180" s="184">
        <f t="shared" si="373"/>
        <v>3.7686301134277754E-2</v>
      </c>
      <c r="AP180" s="184">
        <f t="shared" si="373"/>
        <v>3.7686301134277754E-2</v>
      </c>
      <c r="AQ180" s="184">
        <f t="shared" si="373"/>
        <v>3.7686301134277754E-2</v>
      </c>
      <c r="AR180" s="184">
        <f t="shared" si="373"/>
        <v>3.7686301134277754E-2</v>
      </c>
      <c r="AS180" s="184">
        <f t="shared" si="373"/>
        <v>3.7686301134277754E-2</v>
      </c>
      <c r="AT180" s="184">
        <f t="shared" si="373"/>
        <v>3.7686301134277754E-2</v>
      </c>
      <c r="AU180" s="184">
        <f t="shared" si="373"/>
        <v>3.7686301134277754E-2</v>
      </c>
      <c r="AV180" s="184">
        <f t="shared" si="373"/>
        <v>3.7686301134277754E-2</v>
      </c>
      <c r="AW180" s="184">
        <f t="shared" si="373"/>
        <v>3.7686301134277754E-2</v>
      </c>
      <c r="AX180" s="184">
        <f t="shared" si="373"/>
        <v>3.7686301134277754E-2</v>
      </c>
      <c r="AY180" s="184">
        <f t="shared" si="373"/>
        <v>3.7686301134277754E-2</v>
      </c>
      <c r="AZ180" s="184">
        <f t="shared" si="373"/>
        <v>3.7686301134277754E-2</v>
      </c>
      <c r="BA180" s="184">
        <f t="shared" si="373"/>
        <v>3.7686301134277754E-2</v>
      </c>
      <c r="BB180" s="184">
        <f t="shared" si="373"/>
        <v>3.7686301134277754E-2</v>
      </c>
      <c r="BC180" s="184">
        <f t="shared" si="373"/>
        <v>3.7686301134277754E-2</v>
      </c>
      <c r="BD180" s="184">
        <f t="shared" si="373"/>
        <v>3.7686301134277754E-2</v>
      </c>
      <c r="BE180" s="184">
        <f t="shared" si="373"/>
        <v>3.7686301134277754E-2</v>
      </c>
      <c r="BF180" s="184">
        <f t="shared" si="373"/>
        <v>3.7686301134277754E-2</v>
      </c>
    </row>
    <row r="181" spans="2:58">
      <c r="B181" t="s">
        <v>643</v>
      </c>
      <c r="C181" s="109">
        <v>31390.478104100181</v>
      </c>
      <c r="D181" s="182">
        <f t="shared" ref="D181:I181" si="378">C181+($J181-$C181)/(COLUMN($J181)-COLUMN($C181))</f>
        <v>30530.955712131454</v>
      </c>
      <c r="E181" s="182">
        <f t="shared" si="378"/>
        <v>29671.433320162727</v>
      </c>
      <c r="F181" s="182">
        <f t="shared" si="378"/>
        <v>28811.910928194</v>
      </c>
      <c r="G181" s="182">
        <f t="shared" si="378"/>
        <v>27952.388536225273</v>
      </c>
      <c r="H181" s="182">
        <f t="shared" si="378"/>
        <v>27092.866144256546</v>
      </c>
      <c r="I181" s="182">
        <f t="shared" si="378"/>
        <v>26233.343752287819</v>
      </c>
      <c r="J181" s="109">
        <v>25373.821360319085</v>
      </c>
      <c r="K181" s="183">
        <f t="shared" si="339"/>
        <v>25228.330144497297</v>
      </c>
      <c r="L181" s="183">
        <f t="shared" si="339"/>
        <v>25082.838928675508</v>
      </c>
      <c r="M181" s="183">
        <f t="shared" si="339"/>
        <v>24937.34771285372</v>
      </c>
      <c r="N181" s="183">
        <f t="shared" si="339"/>
        <v>24791.856497031931</v>
      </c>
      <c r="O181" s="109">
        <v>24646.36528121015</v>
      </c>
      <c r="P181" s="183">
        <f t="shared" si="340"/>
        <v>24646.36528121015</v>
      </c>
      <c r="Q181" s="183">
        <f t="shared" si="340"/>
        <v>24646.36528121015</v>
      </c>
      <c r="R181" s="183">
        <f t="shared" si="340"/>
        <v>24646.36528121015</v>
      </c>
      <c r="S181" s="183">
        <f t="shared" si="340"/>
        <v>24646.36528121015</v>
      </c>
      <c r="T181" s="109">
        <v>24646.36528121015</v>
      </c>
      <c r="U181" s="195"/>
      <c r="V181" t="s">
        <v>643</v>
      </c>
      <c r="W181" s="39">
        <f t="shared" ref="W181:AL181" si="379">E181/SUM(E164:E196)</f>
        <v>6.436693181956149E-2</v>
      </c>
      <c r="X181" s="39">
        <f t="shared" si="379"/>
        <v>6.6908076553358634E-2</v>
      </c>
      <c r="Y181" s="39">
        <f t="shared" si="379"/>
        <v>6.9834634020876613E-2</v>
      </c>
      <c r="Z181" s="39">
        <f t="shared" si="379"/>
        <v>7.3241481935794564E-2</v>
      </c>
      <c r="AA181" s="39">
        <f t="shared" si="379"/>
        <v>7.725742345242799E-2</v>
      </c>
      <c r="AB181" s="39">
        <f t="shared" si="379"/>
        <v>8.2061839134756898E-2</v>
      </c>
      <c r="AC181" s="39">
        <f t="shared" si="379"/>
        <v>8.205689202944387E-2</v>
      </c>
      <c r="AD181" s="39">
        <f t="shared" si="379"/>
        <v>8.2051888140324616E-2</v>
      </c>
      <c r="AE181" s="39">
        <f t="shared" si="379"/>
        <v>8.2046826484093061E-2</v>
      </c>
      <c r="AF181" s="39">
        <f t="shared" si="379"/>
        <v>8.2041706054607796E-2</v>
      </c>
      <c r="AG181" s="39">
        <f t="shared" si="379"/>
        <v>8.2036525822225523E-2</v>
      </c>
      <c r="AH181" s="39">
        <f t="shared" si="379"/>
        <v>8.2036525822225523E-2</v>
      </c>
      <c r="AI181" s="39">
        <f t="shared" si="379"/>
        <v>8.2036525822225523E-2</v>
      </c>
      <c r="AJ181" s="39">
        <f t="shared" si="379"/>
        <v>8.2036525822225523E-2</v>
      </c>
      <c r="AK181" s="39">
        <f t="shared" si="379"/>
        <v>8.2036525822225523E-2</v>
      </c>
      <c r="AL181" s="39">
        <f t="shared" si="379"/>
        <v>8.2036525822225523E-2</v>
      </c>
      <c r="AM181" s="184">
        <f t="shared" si="348"/>
        <v>8.2036525822225523E-2</v>
      </c>
      <c r="AN181" s="184">
        <f t="shared" si="373"/>
        <v>8.2036525822225523E-2</v>
      </c>
      <c r="AO181" s="184">
        <f t="shared" si="373"/>
        <v>8.2036525822225523E-2</v>
      </c>
      <c r="AP181" s="184">
        <f t="shared" si="373"/>
        <v>8.2036525822225523E-2</v>
      </c>
      <c r="AQ181" s="184">
        <f t="shared" si="373"/>
        <v>8.2036525822225523E-2</v>
      </c>
      <c r="AR181" s="184">
        <f t="shared" si="373"/>
        <v>8.2036525822225523E-2</v>
      </c>
      <c r="AS181" s="184">
        <f t="shared" si="373"/>
        <v>8.2036525822225523E-2</v>
      </c>
      <c r="AT181" s="184">
        <f t="shared" si="373"/>
        <v>8.2036525822225523E-2</v>
      </c>
      <c r="AU181" s="184">
        <f t="shared" si="373"/>
        <v>8.2036525822225523E-2</v>
      </c>
      <c r="AV181" s="184">
        <f t="shared" si="373"/>
        <v>8.2036525822225523E-2</v>
      </c>
      <c r="AW181" s="184">
        <f t="shared" si="373"/>
        <v>8.2036525822225523E-2</v>
      </c>
      <c r="AX181" s="184">
        <f t="shared" si="373"/>
        <v>8.2036525822225523E-2</v>
      </c>
      <c r="AY181" s="184">
        <f t="shared" si="373"/>
        <v>8.2036525822225523E-2</v>
      </c>
      <c r="AZ181" s="184">
        <f t="shared" si="373"/>
        <v>8.2036525822225523E-2</v>
      </c>
      <c r="BA181" s="184">
        <f t="shared" si="373"/>
        <v>8.2036525822225523E-2</v>
      </c>
      <c r="BB181" s="184">
        <f t="shared" si="373"/>
        <v>8.2036525822225523E-2</v>
      </c>
      <c r="BC181" s="184">
        <f t="shared" si="373"/>
        <v>8.2036525822225523E-2</v>
      </c>
      <c r="BD181" s="184">
        <f t="shared" si="373"/>
        <v>8.2036525822225523E-2</v>
      </c>
      <c r="BE181" s="184">
        <f t="shared" si="373"/>
        <v>8.2036525822225523E-2</v>
      </c>
      <c r="BF181" s="184">
        <f t="shared" si="373"/>
        <v>8.2036525822225523E-2</v>
      </c>
    </row>
    <row r="182" spans="2:58">
      <c r="B182" t="s">
        <v>644</v>
      </c>
      <c r="C182" s="109">
        <v>16662.946056080644</v>
      </c>
      <c r="D182" s="182">
        <f t="shared" ref="D182:I182" si="380">C182+($J182-$C182)/(COLUMN($J182)-COLUMN($C182))</f>
        <v>17059.90922886358</v>
      </c>
      <c r="E182" s="182">
        <f t="shared" si="380"/>
        <v>17456.872401646517</v>
      </c>
      <c r="F182" s="182">
        <f t="shared" si="380"/>
        <v>17853.835574429453</v>
      </c>
      <c r="G182" s="182">
        <f t="shared" si="380"/>
        <v>18250.79874721239</v>
      </c>
      <c r="H182" s="182">
        <f t="shared" si="380"/>
        <v>18647.761919995326</v>
      </c>
      <c r="I182" s="182">
        <f t="shared" si="380"/>
        <v>19044.725092778262</v>
      </c>
      <c r="J182" s="109">
        <v>19441.688265561188</v>
      </c>
      <c r="K182" s="183">
        <f t="shared" si="339"/>
        <v>19329.277285172011</v>
      </c>
      <c r="L182" s="183">
        <f t="shared" si="339"/>
        <v>19216.866304782834</v>
      </c>
      <c r="M182" s="183">
        <f t="shared" si="339"/>
        <v>19104.455324393657</v>
      </c>
      <c r="N182" s="183">
        <f t="shared" si="339"/>
        <v>18992.04434400448</v>
      </c>
      <c r="O182" s="109">
        <v>18879.633363615299</v>
      </c>
      <c r="P182" s="183">
        <f t="shared" si="340"/>
        <v>18879.633363615299</v>
      </c>
      <c r="Q182" s="183">
        <f t="shared" si="340"/>
        <v>18879.633363615299</v>
      </c>
      <c r="R182" s="183">
        <f t="shared" si="340"/>
        <v>18879.633363615299</v>
      </c>
      <c r="S182" s="183">
        <f t="shared" si="340"/>
        <v>18879.633363615299</v>
      </c>
      <c r="T182" s="109">
        <v>18879.633363615299</v>
      </c>
      <c r="U182" s="195"/>
      <c r="V182" t="s">
        <v>644</v>
      </c>
      <c r="W182" s="39">
        <f t="shared" ref="W182:AL182" si="381">E182/SUM(E164:E196)</f>
        <v>3.7869600148234553E-2</v>
      </c>
      <c r="X182" s="39">
        <f t="shared" si="381"/>
        <v>4.1460831958079425E-2</v>
      </c>
      <c r="Y182" s="39">
        <f t="shared" si="381"/>
        <v>4.5596742097674274E-2</v>
      </c>
      <c r="Z182" s="39">
        <f t="shared" si="381"/>
        <v>5.0411414965628183E-2</v>
      </c>
      <c r="AA182" s="39">
        <f t="shared" si="381"/>
        <v>5.6086879542358553E-2</v>
      </c>
      <c r="AB182" s="39">
        <f t="shared" si="381"/>
        <v>6.2876642516746642E-2</v>
      </c>
      <c r="AC182" s="39">
        <f t="shared" si="381"/>
        <v>6.2869813820891976E-2</v>
      </c>
      <c r="AD182" s="39">
        <f t="shared" si="381"/>
        <v>6.2862906743980582E-2</v>
      </c>
      <c r="AE182" s="39">
        <f t="shared" si="381"/>
        <v>6.285591992871406E-2</v>
      </c>
      <c r="AF182" s="39">
        <f t="shared" si="381"/>
        <v>6.2848851986273463E-2</v>
      </c>
      <c r="AG182" s="39">
        <f t="shared" si="381"/>
        <v>6.2841701495399124E-2</v>
      </c>
      <c r="AH182" s="39">
        <f t="shared" si="381"/>
        <v>6.2841701495399124E-2</v>
      </c>
      <c r="AI182" s="39">
        <f t="shared" si="381"/>
        <v>6.2841701495399124E-2</v>
      </c>
      <c r="AJ182" s="39">
        <f t="shared" si="381"/>
        <v>6.2841701495399124E-2</v>
      </c>
      <c r="AK182" s="39">
        <f t="shared" si="381"/>
        <v>6.2841701495399124E-2</v>
      </c>
      <c r="AL182" s="39">
        <f t="shared" si="381"/>
        <v>6.2841701495399124E-2</v>
      </c>
      <c r="AM182" s="184">
        <f t="shared" si="348"/>
        <v>6.2841701495399124E-2</v>
      </c>
      <c r="AN182" s="184">
        <f t="shared" si="373"/>
        <v>6.2841701495399124E-2</v>
      </c>
      <c r="AO182" s="184">
        <f t="shared" si="373"/>
        <v>6.2841701495399124E-2</v>
      </c>
      <c r="AP182" s="184">
        <f t="shared" si="373"/>
        <v>6.2841701495399124E-2</v>
      </c>
      <c r="AQ182" s="184">
        <f t="shared" si="373"/>
        <v>6.2841701495399124E-2</v>
      </c>
      <c r="AR182" s="184">
        <f t="shared" si="373"/>
        <v>6.2841701495399124E-2</v>
      </c>
      <c r="AS182" s="184">
        <f t="shared" si="373"/>
        <v>6.2841701495399124E-2</v>
      </c>
      <c r="AT182" s="184">
        <f t="shared" si="373"/>
        <v>6.2841701495399124E-2</v>
      </c>
      <c r="AU182" s="184">
        <f t="shared" si="373"/>
        <v>6.2841701495399124E-2</v>
      </c>
      <c r="AV182" s="184">
        <f t="shared" si="373"/>
        <v>6.2841701495399124E-2</v>
      </c>
      <c r="AW182" s="184">
        <f t="shared" si="373"/>
        <v>6.2841701495399124E-2</v>
      </c>
      <c r="AX182" s="184">
        <f t="shared" si="373"/>
        <v>6.2841701495399124E-2</v>
      </c>
      <c r="AY182" s="184">
        <f t="shared" si="373"/>
        <v>6.2841701495399124E-2</v>
      </c>
      <c r="AZ182" s="184">
        <f t="shared" si="373"/>
        <v>6.2841701495399124E-2</v>
      </c>
      <c r="BA182" s="184">
        <f t="shared" si="373"/>
        <v>6.2841701495399124E-2</v>
      </c>
      <c r="BB182" s="184">
        <f t="shared" si="373"/>
        <v>6.2841701495399124E-2</v>
      </c>
      <c r="BC182" s="184">
        <f t="shared" si="373"/>
        <v>6.2841701495399124E-2</v>
      </c>
      <c r="BD182" s="184">
        <f t="shared" si="373"/>
        <v>6.2841701495399124E-2</v>
      </c>
      <c r="BE182" s="184">
        <f t="shared" si="373"/>
        <v>6.2841701495399124E-2</v>
      </c>
      <c r="BF182" s="184">
        <f t="shared" si="373"/>
        <v>6.2841701495399124E-2</v>
      </c>
    </row>
    <row r="183" spans="2:58">
      <c r="B183" t="s">
        <v>645</v>
      </c>
      <c r="C183" s="109">
        <v>7924.7323782633466</v>
      </c>
      <c r="D183" s="182">
        <f t="shared" ref="D183:I183" si="382">C183+($J183-$C183)/(COLUMN($J183)-COLUMN($C183))</f>
        <v>7653.8857660915701</v>
      </c>
      <c r="E183" s="182">
        <f t="shared" si="382"/>
        <v>7383.0391539197935</v>
      </c>
      <c r="F183" s="182">
        <f t="shared" si="382"/>
        <v>7112.192541748017</v>
      </c>
      <c r="G183" s="182">
        <f t="shared" si="382"/>
        <v>6841.3459295762405</v>
      </c>
      <c r="H183" s="182">
        <f t="shared" si="382"/>
        <v>6570.4993174044639</v>
      </c>
      <c r="I183" s="182">
        <f t="shared" si="382"/>
        <v>6299.6527052326874</v>
      </c>
      <c r="J183" s="109">
        <v>6028.8060930609136</v>
      </c>
      <c r="K183" s="183">
        <f t="shared" si="339"/>
        <v>5995.1469524589038</v>
      </c>
      <c r="L183" s="183">
        <f t="shared" si="339"/>
        <v>5961.487811856894</v>
      </c>
      <c r="M183" s="183">
        <f t="shared" si="339"/>
        <v>5927.8286712548843</v>
      </c>
      <c r="N183" s="183">
        <f t="shared" si="339"/>
        <v>5894.1695306528745</v>
      </c>
      <c r="O183" s="109">
        <v>5860.5103900508648</v>
      </c>
      <c r="P183" s="183">
        <f t="shared" si="340"/>
        <v>5860.5103900508648</v>
      </c>
      <c r="Q183" s="183">
        <f t="shared" si="340"/>
        <v>5860.5103900508648</v>
      </c>
      <c r="R183" s="183">
        <f t="shared" si="340"/>
        <v>5860.5103900508648</v>
      </c>
      <c r="S183" s="183">
        <f t="shared" si="340"/>
        <v>5860.5103900508648</v>
      </c>
      <c r="T183" s="109">
        <v>5860.5103900508648</v>
      </c>
      <c r="U183" s="195"/>
      <c r="V183" t="s">
        <v>645</v>
      </c>
      <c r="W183" s="39">
        <f t="shared" ref="W183:AL183" si="383">E183/SUM(E164:E196)</f>
        <v>1.6016198904640649E-2</v>
      </c>
      <c r="X183" s="39">
        <f t="shared" si="383"/>
        <v>1.6516194438871635E-2</v>
      </c>
      <c r="Y183" s="39">
        <f t="shared" si="383"/>
        <v>1.7092023766878003E-2</v>
      </c>
      <c r="Z183" s="39">
        <f t="shared" si="383"/>
        <v>1.7762355023735531E-2</v>
      </c>
      <c r="AA183" s="39">
        <f t="shared" si="383"/>
        <v>1.8552531512836614E-2</v>
      </c>
      <c r="AB183" s="39">
        <f t="shared" si="383"/>
        <v>1.949784814663744E-2</v>
      </c>
      <c r="AC183" s="39">
        <f t="shared" si="383"/>
        <v>1.9499630905451364E-2</v>
      </c>
      <c r="AD183" s="39">
        <f t="shared" si="383"/>
        <v>1.9501434127106598E-2</v>
      </c>
      <c r="AE183" s="39">
        <f t="shared" si="383"/>
        <v>1.9503258165951304E-2</v>
      </c>
      <c r="AF183" s="39">
        <f t="shared" si="383"/>
        <v>1.9505103384562635E-2</v>
      </c>
      <c r="AG183" s="39">
        <f t="shared" si="383"/>
        <v>1.9506970153987037E-2</v>
      </c>
      <c r="AH183" s="39">
        <f t="shared" si="383"/>
        <v>1.9506970153987037E-2</v>
      </c>
      <c r="AI183" s="39">
        <f t="shared" si="383"/>
        <v>1.9506970153987037E-2</v>
      </c>
      <c r="AJ183" s="39">
        <f t="shared" si="383"/>
        <v>1.9506970153987037E-2</v>
      </c>
      <c r="AK183" s="39">
        <f t="shared" si="383"/>
        <v>1.9506970153987037E-2</v>
      </c>
      <c r="AL183" s="39">
        <f t="shared" si="383"/>
        <v>1.9506970153987037E-2</v>
      </c>
      <c r="AM183" s="184">
        <f t="shared" si="348"/>
        <v>1.9506970153987037E-2</v>
      </c>
      <c r="AN183" s="184">
        <f t="shared" si="373"/>
        <v>1.9506970153987037E-2</v>
      </c>
      <c r="AO183" s="184">
        <f t="shared" si="373"/>
        <v>1.9506970153987037E-2</v>
      </c>
      <c r="AP183" s="184">
        <f t="shared" si="373"/>
        <v>1.9506970153987037E-2</v>
      </c>
      <c r="AQ183" s="184">
        <f t="shared" si="373"/>
        <v>1.9506970153987037E-2</v>
      </c>
      <c r="AR183" s="184">
        <f t="shared" si="373"/>
        <v>1.9506970153987037E-2</v>
      </c>
      <c r="AS183" s="184">
        <f t="shared" si="373"/>
        <v>1.9506970153987037E-2</v>
      </c>
      <c r="AT183" s="184">
        <f t="shared" si="373"/>
        <v>1.9506970153987037E-2</v>
      </c>
      <c r="AU183" s="184">
        <f t="shared" si="373"/>
        <v>1.9506970153987037E-2</v>
      </c>
      <c r="AV183" s="184">
        <f t="shared" si="373"/>
        <v>1.9506970153987037E-2</v>
      </c>
      <c r="AW183" s="184">
        <f t="shared" si="373"/>
        <v>1.9506970153987037E-2</v>
      </c>
      <c r="AX183" s="184">
        <f t="shared" si="373"/>
        <v>1.9506970153987037E-2</v>
      </c>
      <c r="AY183" s="184">
        <f t="shared" si="373"/>
        <v>1.9506970153987037E-2</v>
      </c>
      <c r="AZ183" s="184">
        <f t="shared" si="373"/>
        <v>1.9506970153987037E-2</v>
      </c>
      <c r="BA183" s="184">
        <f t="shared" si="373"/>
        <v>1.9506970153987037E-2</v>
      </c>
      <c r="BB183" s="184">
        <f t="shared" si="373"/>
        <v>1.9506970153987037E-2</v>
      </c>
      <c r="BC183" s="184">
        <f t="shared" si="373"/>
        <v>1.9506970153987037E-2</v>
      </c>
      <c r="BD183" s="184">
        <f t="shared" si="373"/>
        <v>1.9506970153987037E-2</v>
      </c>
      <c r="BE183" s="184">
        <f t="shared" si="373"/>
        <v>1.9506970153987037E-2</v>
      </c>
      <c r="BF183" s="184">
        <f t="shared" si="373"/>
        <v>1.9506970153987037E-2</v>
      </c>
    </row>
    <row r="184" spans="2:58">
      <c r="B184" t="s">
        <v>646</v>
      </c>
      <c r="C184" s="109">
        <v>9045.6819724902962</v>
      </c>
      <c r="D184" s="182">
        <f t="shared" ref="D184:I184" si="384">C184+($J184-$C184)/(COLUMN($J184)-COLUMN($C184))</f>
        <v>8175.5008522930184</v>
      </c>
      <c r="E184" s="182">
        <f t="shared" si="384"/>
        <v>7305.3197320957406</v>
      </c>
      <c r="F184" s="182">
        <f t="shared" si="384"/>
        <v>6435.1386118984628</v>
      </c>
      <c r="G184" s="182">
        <f t="shared" si="384"/>
        <v>5564.9574917011851</v>
      </c>
      <c r="H184" s="182">
        <f t="shared" si="384"/>
        <v>4694.7763715039073</v>
      </c>
      <c r="I184" s="182">
        <f t="shared" si="384"/>
        <v>3824.5952513066295</v>
      </c>
      <c r="J184" s="109">
        <v>2954.414131109354</v>
      </c>
      <c r="K184" s="183">
        <f t="shared" ref="K184:N196" si="385">J184+($O184-$J184)/(COLUMN($O184)-COLUMN($J184))</f>
        <v>2937.7633860277738</v>
      </c>
      <c r="L184" s="183">
        <f t="shared" si="385"/>
        <v>2921.1126409461936</v>
      </c>
      <c r="M184" s="183">
        <f t="shared" si="385"/>
        <v>2904.4618958646133</v>
      </c>
      <c r="N184" s="183">
        <f t="shared" si="385"/>
        <v>2887.8111507830331</v>
      </c>
      <c r="O184" s="109">
        <v>2871.1604057014524</v>
      </c>
      <c r="P184" s="183">
        <f t="shared" ref="P184:S196" si="386">O184+($T184-$O184)/(COLUMN($T184)-COLUMN($O184))</f>
        <v>2871.1604057014524</v>
      </c>
      <c r="Q184" s="183">
        <f t="shared" si="386"/>
        <v>2871.1604057014524</v>
      </c>
      <c r="R184" s="183">
        <f t="shared" si="386"/>
        <v>2871.1604057014524</v>
      </c>
      <c r="S184" s="183">
        <f t="shared" si="386"/>
        <v>2871.1604057014524</v>
      </c>
      <c r="T184" s="109">
        <v>2871.1604057014524</v>
      </c>
      <c r="U184" s="195"/>
      <c r="V184" t="s">
        <v>646</v>
      </c>
      <c r="W184" s="39">
        <f t="shared" ref="W184:AL184" si="387">E184/SUM(E164:E196)</f>
        <v>1.5847600351560128E-2</v>
      </c>
      <c r="X184" s="39">
        <f t="shared" si="387"/>
        <v>1.4943914964524191E-2</v>
      </c>
      <c r="Y184" s="39">
        <f t="shared" si="387"/>
        <v>1.3903168570766025E-2</v>
      </c>
      <c r="Z184" s="39">
        <f t="shared" si="387"/>
        <v>1.2691620627188325E-2</v>
      </c>
      <c r="AA184" s="39">
        <f t="shared" si="387"/>
        <v>1.1263465978810755E-2</v>
      </c>
      <c r="AB184" s="39">
        <f t="shared" si="387"/>
        <v>9.5549130626298214E-3</v>
      </c>
      <c r="AC184" s="39">
        <f t="shared" si="387"/>
        <v>9.5552789897160248E-3</v>
      </c>
      <c r="AD184" s="39">
        <f t="shared" si="387"/>
        <v>9.5556491169822167E-3</v>
      </c>
      <c r="AE184" s="39">
        <f t="shared" si="387"/>
        <v>9.5560235171615084E-3</v>
      </c>
      <c r="AF184" s="39">
        <f t="shared" si="387"/>
        <v>9.5564022646760765E-3</v>
      </c>
      <c r="AG184" s="39">
        <f t="shared" si="387"/>
        <v>9.5567854356865059E-3</v>
      </c>
      <c r="AH184" s="39">
        <f t="shared" si="387"/>
        <v>9.5567854356865059E-3</v>
      </c>
      <c r="AI184" s="39">
        <f t="shared" si="387"/>
        <v>9.5567854356865059E-3</v>
      </c>
      <c r="AJ184" s="39">
        <f t="shared" si="387"/>
        <v>9.5567854356865059E-3</v>
      </c>
      <c r="AK184" s="39">
        <f t="shared" si="387"/>
        <v>9.5567854356865059E-3</v>
      </c>
      <c r="AL184" s="39">
        <f t="shared" si="387"/>
        <v>9.5567854356865059E-3</v>
      </c>
      <c r="AM184" s="184">
        <f t="shared" si="348"/>
        <v>9.5567854356865059E-3</v>
      </c>
      <c r="AN184" s="184">
        <f t="shared" si="373"/>
        <v>9.5567854356865059E-3</v>
      </c>
      <c r="AO184" s="184">
        <f t="shared" si="373"/>
        <v>9.5567854356865059E-3</v>
      </c>
      <c r="AP184" s="184">
        <f t="shared" si="373"/>
        <v>9.5567854356865059E-3</v>
      </c>
      <c r="AQ184" s="184">
        <f t="shared" si="373"/>
        <v>9.5567854356865059E-3</v>
      </c>
      <c r="AR184" s="184">
        <f t="shared" si="373"/>
        <v>9.5567854356865059E-3</v>
      </c>
      <c r="AS184" s="184">
        <f t="shared" si="373"/>
        <v>9.5567854356865059E-3</v>
      </c>
      <c r="AT184" s="184">
        <f t="shared" si="373"/>
        <v>9.5567854356865059E-3</v>
      </c>
      <c r="AU184" s="184">
        <f t="shared" si="373"/>
        <v>9.5567854356865059E-3</v>
      </c>
      <c r="AV184" s="184">
        <f t="shared" si="373"/>
        <v>9.5567854356865059E-3</v>
      </c>
      <c r="AW184" s="184">
        <f t="shared" si="373"/>
        <v>9.5567854356865059E-3</v>
      </c>
      <c r="AX184" s="184">
        <f t="shared" si="373"/>
        <v>9.5567854356865059E-3</v>
      </c>
      <c r="AY184" s="184">
        <f t="shared" si="373"/>
        <v>9.5567854356865059E-3</v>
      </c>
      <c r="AZ184" s="184">
        <f t="shared" si="373"/>
        <v>9.5567854356865059E-3</v>
      </c>
      <c r="BA184" s="184">
        <f t="shared" si="373"/>
        <v>9.5567854356865059E-3</v>
      </c>
      <c r="BB184" s="184">
        <f t="shared" si="373"/>
        <v>9.5567854356865059E-3</v>
      </c>
      <c r="BC184" s="184">
        <f t="shared" si="373"/>
        <v>9.5567854356865059E-3</v>
      </c>
      <c r="BD184" s="184">
        <f t="shared" si="373"/>
        <v>9.5567854356865059E-3</v>
      </c>
      <c r="BE184" s="184">
        <f t="shared" si="373"/>
        <v>9.5567854356865059E-3</v>
      </c>
      <c r="BF184" s="184">
        <f t="shared" si="373"/>
        <v>9.5567854356865059E-3</v>
      </c>
    </row>
    <row r="185" spans="2:58">
      <c r="B185" t="s">
        <v>648</v>
      </c>
      <c r="C185" s="109">
        <v>4554.0099833795921</v>
      </c>
      <c r="D185" s="182">
        <f t="shared" ref="D185:I185" si="388">C185+($J185-$C185)/(COLUMN($J185)-COLUMN($C185))</f>
        <v>4141.1288404408406</v>
      </c>
      <c r="E185" s="182">
        <f t="shared" si="388"/>
        <v>3728.2476975020886</v>
      </c>
      <c r="F185" s="182">
        <f t="shared" si="388"/>
        <v>3315.3665545633366</v>
      </c>
      <c r="G185" s="182">
        <f t="shared" si="388"/>
        <v>2902.4854116245847</v>
      </c>
      <c r="H185" s="182">
        <f t="shared" si="388"/>
        <v>2489.6042686858327</v>
      </c>
      <c r="I185" s="182">
        <f t="shared" si="388"/>
        <v>2076.7231257470808</v>
      </c>
      <c r="J185" s="109">
        <v>1663.8419828083292</v>
      </c>
      <c r="K185" s="183">
        <f t="shared" si="385"/>
        <v>1654.4389494077832</v>
      </c>
      <c r="L185" s="183">
        <f t="shared" si="385"/>
        <v>1645.0359160072371</v>
      </c>
      <c r="M185" s="183">
        <f t="shared" si="385"/>
        <v>1635.6328826066911</v>
      </c>
      <c r="N185" s="183">
        <f t="shared" si="385"/>
        <v>1626.229849206145</v>
      </c>
      <c r="O185" s="109">
        <v>1616.8268158055989</v>
      </c>
      <c r="P185" s="183">
        <f t="shared" si="386"/>
        <v>1616.8268158055989</v>
      </c>
      <c r="Q185" s="183">
        <f t="shared" si="386"/>
        <v>1616.8268158055989</v>
      </c>
      <c r="R185" s="183">
        <f t="shared" si="386"/>
        <v>1616.8268158055989</v>
      </c>
      <c r="S185" s="183">
        <f t="shared" si="386"/>
        <v>1616.8268158055989</v>
      </c>
      <c r="T185" s="109">
        <v>1616.8268158055989</v>
      </c>
      <c r="U185" s="195"/>
      <c r="V185" t="s">
        <v>648</v>
      </c>
      <c r="W185" s="39">
        <f t="shared" ref="W185:AL185" si="389">E185/SUM(E164:E196)</f>
        <v>8.0877746201927642E-3</v>
      </c>
      <c r="X185" s="39">
        <f t="shared" si="389"/>
        <v>7.6990658407909045E-3</v>
      </c>
      <c r="Y185" s="39">
        <f t="shared" si="389"/>
        <v>7.2514020119980897E-3</v>
      </c>
      <c r="Z185" s="39">
        <f t="shared" si="389"/>
        <v>6.7302700681923042E-3</v>
      </c>
      <c r="AA185" s="39">
        <f t="shared" si="389"/>
        <v>6.1159675043445374E-3</v>
      </c>
      <c r="AB185" s="39">
        <f t="shared" si="389"/>
        <v>5.3810551907012821E-3</v>
      </c>
      <c r="AC185" s="39">
        <f t="shared" si="389"/>
        <v>5.3811773297438017E-3</v>
      </c>
      <c r="AD185" s="39">
        <f t="shared" si="389"/>
        <v>5.3813008707212454E-3</v>
      </c>
      <c r="AE185" s="39">
        <f t="shared" si="389"/>
        <v>5.3814258379104524E-3</v>
      </c>
      <c r="AF185" s="39">
        <f t="shared" si="389"/>
        <v>5.3815522561520357E-3</v>
      </c>
      <c r="AG185" s="39">
        <f t="shared" si="389"/>
        <v>5.3816801508668561E-3</v>
      </c>
      <c r="AH185" s="39">
        <f t="shared" si="389"/>
        <v>5.3816801508668561E-3</v>
      </c>
      <c r="AI185" s="39">
        <f t="shared" si="389"/>
        <v>5.3816801508668561E-3</v>
      </c>
      <c r="AJ185" s="39">
        <f t="shared" si="389"/>
        <v>5.3816801508668561E-3</v>
      </c>
      <c r="AK185" s="39">
        <f t="shared" si="389"/>
        <v>5.3816801508668561E-3</v>
      </c>
      <c r="AL185" s="39">
        <f t="shared" si="389"/>
        <v>5.3816801508668561E-3</v>
      </c>
      <c r="AM185" s="184">
        <f t="shared" si="348"/>
        <v>5.3816801508668561E-3</v>
      </c>
      <c r="AN185" s="184">
        <f t="shared" si="373"/>
        <v>5.3816801508668561E-3</v>
      </c>
      <c r="AO185" s="184">
        <f t="shared" si="373"/>
        <v>5.3816801508668561E-3</v>
      </c>
      <c r="AP185" s="184">
        <f t="shared" si="373"/>
        <v>5.3816801508668561E-3</v>
      </c>
      <c r="AQ185" s="184">
        <f t="shared" si="373"/>
        <v>5.3816801508668561E-3</v>
      </c>
      <c r="AR185" s="184">
        <f t="shared" si="373"/>
        <v>5.3816801508668561E-3</v>
      </c>
      <c r="AS185" s="184">
        <f t="shared" si="373"/>
        <v>5.3816801508668561E-3</v>
      </c>
      <c r="AT185" s="184">
        <f t="shared" si="373"/>
        <v>5.3816801508668561E-3</v>
      </c>
      <c r="AU185" s="184">
        <f t="shared" si="373"/>
        <v>5.3816801508668561E-3</v>
      </c>
      <c r="AV185" s="184">
        <f t="shared" si="373"/>
        <v>5.3816801508668561E-3</v>
      </c>
      <c r="AW185" s="184">
        <f t="shared" si="373"/>
        <v>5.3816801508668561E-3</v>
      </c>
      <c r="AX185" s="184">
        <f t="shared" si="373"/>
        <v>5.3816801508668561E-3</v>
      </c>
      <c r="AY185" s="184">
        <f t="shared" si="373"/>
        <v>5.3816801508668561E-3</v>
      </c>
      <c r="AZ185" s="184">
        <f t="shared" si="373"/>
        <v>5.3816801508668561E-3</v>
      </c>
      <c r="BA185" s="184">
        <f t="shared" si="373"/>
        <v>5.3816801508668561E-3</v>
      </c>
      <c r="BB185" s="184">
        <f t="shared" si="373"/>
        <v>5.3816801508668561E-3</v>
      </c>
      <c r="BC185" s="184">
        <f t="shared" si="373"/>
        <v>5.3816801508668561E-3</v>
      </c>
      <c r="BD185" s="184">
        <f t="shared" si="373"/>
        <v>5.3816801508668561E-3</v>
      </c>
      <c r="BE185" s="184">
        <f t="shared" si="373"/>
        <v>5.3816801508668561E-3</v>
      </c>
      <c r="BF185" s="184">
        <f t="shared" si="373"/>
        <v>5.3816801508668561E-3</v>
      </c>
    </row>
    <row r="186" spans="2:58">
      <c r="B186" t="s">
        <v>649</v>
      </c>
      <c r="C186" s="109">
        <v>24127.130225298853</v>
      </c>
      <c r="D186" s="182">
        <f t="shared" ref="D186:I186" si="390">C186+($J186-$C186)/(COLUMN($J186)-COLUMN($C186))</f>
        <v>21591.040338331139</v>
      </c>
      <c r="E186" s="182">
        <f t="shared" si="390"/>
        <v>19054.950451363424</v>
      </c>
      <c r="F186" s="182">
        <f t="shared" si="390"/>
        <v>16518.860564395709</v>
      </c>
      <c r="G186" s="182">
        <f t="shared" si="390"/>
        <v>13982.770677427994</v>
      </c>
      <c r="H186" s="182">
        <f t="shared" si="390"/>
        <v>11446.680790460279</v>
      </c>
      <c r="I186" s="182">
        <f t="shared" si="390"/>
        <v>8910.5909034925644</v>
      </c>
      <c r="J186" s="109">
        <v>6374.5010165248514</v>
      </c>
      <c r="K186" s="183">
        <f t="shared" si="385"/>
        <v>6339.546048325099</v>
      </c>
      <c r="L186" s="183">
        <f t="shared" si="385"/>
        <v>6304.5910801253467</v>
      </c>
      <c r="M186" s="183">
        <f t="shared" si="385"/>
        <v>6269.6361119255944</v>
      </c>
      <c r="N186" s="183">
        <f t="shared" si="385"/>
        <v>6234.681143725842</v>
      </c>
      <c r="O186" s="109">
        <v>6199.7261755260879</v>
      </c>
      <c r="P186" s="183">
        <f t="shared" si="386"/>
        <v>6199.7261755260879</v>
      </c>
      <c r="Q186" s="183">
        <f t="shared" si="386"/>
        <v>6199.7261755260879</v>
      </c>
      <c r="R186" s="183">
        <f t="shared" si="386"/>
        <v>6199.7261755260879</v>
      </c>
      <c r="S186" s="183">
        <f t="shared" si="386"/>
        <v>6199.7261755260879</v>
      </c>
      <c r="T186" s="109">
        <v>6199.7261755260879</v>
      </c>
      <c r="U186" s="195"/>
      <c r="V186" t="s">
        <v>649</v>
      </c>
      <c r="W186" s="39">
        <f t="shared" ref="W186:AL186" si="391">E186/SUM(E164:E196)</f>
        <v>4.1336348106061273E-2</v>
      </c>
      <c r="X186" s="39">
        <f t="shared" si="391"/>
        <v>3.8360704014786584E-2</v>
      </c>
      <c r="Y186" s="39">
        <f t="shared" si="391"/>
        <v>3.4933747131861176E-2</v>
      </c>
      <c r="Z186" s="39">
        <f t="shared" si="391"/>
        <v>3.0944377013320565E-2</v>
      </c>
      <c r="AA186" s="39">
        <f t="shared" si="391"/>
        <v>2.6241767010064875E-2</v>
      </c>
      <c r="AB186" s="39">
        <f t="shared" si="391"/>
        <v>2.0615865050601447E-2</v>
      </c>
      <c r="AC186" s="39">
        <f t="shared" si="391"/>
        <v>2.06198128304011E-2</v>
      </c>
      <c r="AD186" s="39">
        <f t="shared" si="391"/>
        <v>2.0623805923560556E-2</v>
      </c>
      <c r="AE186" s="39">
        <f t="shared" si="391"/>
        <v>2.0627845114756072E-2</v>
      </c>
      <c r="AF186" s="39">
        <f t="shared" si="391"/>
        <v>2.0631931206886358E-2</v>
      </c>
      <c r="AG186" s="39">
        <f t="shared" si="391"/>
        <v>2.0636065021604706E-2</v>
      </c>
      <c r="AH186" s="39">
        <f t="shared" si="391"/>
        <v>2.0636065021604706E-2</v>
      </c>
      <c r="AI186" s="39">
        <f t="shared" si="391"/>
        <v>2.0636065021604706E-2</v>
      </c>
      <c r="AJ186" s="39">
        <f t="shared" si="391"/>
        <v>2.0636065021604706E-2</v>
      </c>
      <c r="AK186" s="39">
        <f t="shared" si="391"/>
        <v>2.0636065021604706E-2</v>
      </c>
      <c r="AL186" s="39">
        <f t="shared" si="391"/>
        <v>2.0636065021604706E-2</v>
      </c>
      <c r="AM186" s="184">
        <f t="shared" si="348"/>
        <v>2.0636065021604706E-2</v>
      </c>
      <c r="AN186" s="184">
        <f t="shared" si="373"/>
        <v>2.0636065021604706E-2</v>
      </c>
      <c r="AO186" s="184">
        <f t="shared" si="373"/>
        <v>2.0636065021604706E-2</v>
      </c>
      <c r="AP186" s="184">
        <f t="shared" si="373"/>
        <v>2.0636065021604706E-2</v>
      </c>
      <c r="AQ186" s="184">
        <f t="shared" si="373"/>
        <v>2.0636065021604706E-2</v>
      </c>
      <c r="AR186" s="184">
        <f t="shared" si="373"/>
        <v>2.0636065021604706E-2</v>
      </c>
      <c r="AS186" s="184">
        <f t="shared" si="373"/>
        <v>2.0636065021604706E-2</v>
      </c>
      <c r="AT186" s="184">
        <f t="shared" si="373"/>
        <v>2.0636065021604706E-2</v>
      </c>
      <c r="AU186" s="184">
        <f t="shared" si="373"/>
        <v>2.0636065021604706E-2</v>
      </c>
      <c r="AV186" s="184">
        <f t="shared" si="373"/>
        <v>2.0636065021604706E-2</v>
      </c>
      <c r="AW186" s="184">
        <f t="shared" si="373"/>
        <v>2.0636065021604706E-2</v>
      </c>
      <c r="AX186" s="184">
        <f t="shared" si="373"/>
        <v>2.0636065021604706E-2</v>
      </c>
      <c r="AY186" s="184">
        <f t="shared" si="373"/>
        <v>2.0636065021604706E-2</v>
      </c>
      <c r="AZ186" s="184">
        <f t="shared" si="373"/>
        <v>2.0636065021604706E-2</v>
      </c>
      <c r="BA186" s="184">
        <f t="shared" si="373"/>
        <v>2.0636065021604706E-2</v>
      </c>
      <c r="BB186" s="184">
        <f t="shared" si="373"/>
        <v>2.0636065021604706E-2</v>
      </c>
      <c r="BC186" s="184">
        <f t="shared" si="373"/>
        <v>2.0636065021604706E-2</v>
      </c>
      <c r="BD186" s="184">
        <f t="shared" si="373"/>
        <v>2.0636065021604706E-2</v>
      </c>
      <c r="BE186" s="184">
        <f t="shared" si="373"/>
        <v>2.0636065021604706E-2</v>
      </c>
      <c r="BF186" s="184">
        <f t="shared" si="373"/>
        <v>2.0636065021604706E-2</v>
      </c>
    </row>
    <row r="187" spans="2:58">
      <c r="B187" t="s">
        <v>650</v>
      </c>
      <c r="C187" s="109">
        <v>9852.0830386940379</v>
      </c>
      <c r="D187" s="182">
        <f t="shared" ref="D187:I187" si="392">C187+($J187-$C187)/(COLUMN($J187)-COLUMN($C187))</f>
        <v>10189.173638113076</v>
      </c>
      <c r="E187" s="182">
        <f t="shared" si="392"/>
        <v>10526.264237532114</v>
      </c>
      <c r="F187" s="182">
        <f t="shared" si="392"/>
        <v>10863.354836951152</v>
      </c>
      <c r="G187" s="182">
        <f t="shared" si="392"/>
        <v>11200.44543637019</v>
      </c>
      <c r="H187" s="182">
        <f t="shared" si="392"/>
        <v>11537.536035789228</v>
      </c>
      <c r="I187" s="182">
        <f t="shared" si="392"/>
        <v>11874.626635208266</v>
      </c>
      <c r="J187" s="109">
        <v>12211.717234627307</v>
      </c>
      <c r="K187" s="183">
        <f t="shared" si="385"/>
        <v>12141.07588306851</v>
      </c>
      <c r="L187" s="183">
        <f t="shared" si="385"/>
        <v>12070.434531509713</v>
      </c>
      <c r="M187" s="183">
        <f t="shared" si="385"/>
        <v>11999.793179950915</v>
      </c>
      <c r="N187" s="183">
        <f t="shared" si="385"/>
        <v>11929.151828392118</v>
      </c>
      <c r="O187" s="109">
        <v>11858.510476833319</v>
      </c>
      <c r="P187" s="183">
        <f t="shared" si="386"/>
        <v>11858.510476833319</v>
      </c>
      <c r="Q187" s="183">
        <f t="shared" si="386"/>
        <v>11858.510476833319</v>
      </c>
      <c r="R187" s="183">
        <f t="shared" si="386"/>
        <v>11858.510476833319</v>
      </c>
      <c r="S187" s="183">
        <f t="shared" si="386"/>
        <v>11858.510476833319</v>
      </c>
      <c r="T187" s="109">
        <v>11858.510476833319</v>
      </c>
      <c r="U187" s="195"/>
      <c r="V187" t="s">
        <v>650</v>
      </c>
      <c r="W187" s="39">
        <f t="shared" ref="W187:AL187" si="393">E187/SUM(E164:E196)</f>
        <v>2.2834870334069932E-2</v>
      </c>
      <c r="X187" s="39">
        <f t="shared" si="393"/>
        <v>2.5227281136211224E-2</v>
      </c>
      <c r="Y187" s="39">
        <f t="shared" si="393"/>
        <v>2.7982546353991698E-2</v>
      </c>
      <c r="Z187" s="39">
        <f t="shared" si="393"/>
        <v>3.1189990481238689E-2</v>
      </c>
      <c r="AA187" s="39">
        <f t="shared" si="393"/>
        <v>3.4970877786624444E-2</v>
      </c>
      <c r="AB187" s="39">
        <f t="shared" si="393"/>
        <v>3.949408963816093E-2</v>
      </c>
      <c r="AC187" s="39">
        <f t="shared" si="393"/>
        <v>3.9489690643498165E-2</v>
      </c>
      <c r="AD187" s="39">
        <f t="shared" si="393"/>
        <v>3.9485241156346426E-2</v>
      </c>
      <c r="AE187" s="39">
        <f t="shared" si="393"/>
        <v>3.9480740302344247E-2</v>
      </c>
      <c r="AF187" s="39">
        <f t="shared" si="393"/>
        <v>3.9476187186824885E-2</v>
      </c>
      <c r="AG187" s="39">
        <f t="shared" si="393"/>
        <v>3.9471580894223521E-2</v>
      </c>
      <c r="AH187" s="39">
        <f t="shared" si="393"/>
        <v>3.9471580894223521E-2</v>
      </c>
      <c r="AI187" s="39">
        <f t="shared" si="393"/>
        <v>3.9471580894223521E-2</v>
      </c>
      <c r="AJ187" s="39">
        <f t="shared" si="393"/>
        <v>3.9471580894223521E-2</v>
      </c>
      <c r="AK187" s="39">
        <f t="shared" si="393"/>
        <v>3.9471580894223521E-2</v>
      </c>
      <c r="AL187" s="39">
        <f t="shared" si="393"/>
        <v>3.9471580894223521E-2</v>
      </c>
      <c r="AM187" s="184">
        <f t="shared" si="348"/>
        <v>3.9471580894223521E-2</v>
      </c>
      <c r="AN187" s="184">
        <f t="shared" si="373"/>
        <v>3.9471580894223521E-2</v>
      </c>
      <c r="AO187" s="184">
        <f t="shared" si="373"/>
        <v>3.9471580894223521E-2</v>
      </c>
      <c r="AP187" s="184">
        <f t="shared" si="373"/>
        <v>3.9471580894223521E-2</v>
      </c>
      <c r="AQ187" s="184">
        <f t="shared" si="373"/>
        <v>3.9471580894223521E-2</v>
      </c>
      <c r="AR187" s="184">
        <f t="shared" si="373"/>
        <v>3.9471580894223521E-2</v>
      </c>
      <c r="AS187" s="184">
        <f t="shared" si="373"/>
        <v>3.9471580894223521E-2</v>
      </c>
      <c r="AT187" s="184">
        <f t="shared" si="373"/>
        <v>3.9471580894223521E-2</v>
      </c>
      <c r="AU187" s="184">
        <f t="shared" si="373"/>
        <v>3.9471580894223521E-2</v>
      </c>
      <c r="AV187" s="184">
        <f t="shared" si="373"/>
        <v>3.9471580894223521E-2</v>
      </c>
      <c r="AW187" s="184">
        <f t="shared" si="373"/>
        <v>3.9471580894223521E-2</v>
      </c>
      <c r="AX187" s="184">
        <f t="shared" si="373"/>
        <v>3.9471580894223521E-2</v>
      </c>
      <c r="AY187" s="184">
        <f t="shared" si="373"/>
        <v>3.9471580894223521E-2</v>
      </c>
      <c r="AZ187" s="184">
        <f t="shared" si="373"/>
        <v>3.9471580894223521E-2</v>
      </c>
      <c r="BA187" s="184">
        <f t="shared" si="373"/>
        <v>3.9471580894223521E-2</v>
      </c>
      <c r="BB187" s="184">
        <f t="shared" si="373"/>
        <v>3.9471580894223521E-2</v>
      </c>
      <c r="BC187" s="184">
        <f t="shared" si="373"/>
        <v>3.9471580894223521E-2</v>
      </c>
      <c r="BD187" s="184">
        <f t="shared" si="373"/>
        <v>3.9471580894223521E-2</v>
      </c>
      <c r="BE187" s="184">
        <f t="shared" si="373"/>
        <v>3.9471580894223521E-2</v>
      </c>
      <c r="BF187" s="184">
        <f t="shared" si="373"/>
        <v>3.9471580894223521E-2</v>
      </c>
    </row>
    <row r="188" spans="2:58">
      <c r="B188" t="s">
        <v>651</v>
      </c>
      <c r="C188" s="109">
        <v>14194.169775413582</v>
      </c>
      <c r="D188" s="182">
        <f t="shared" ref="D188:I188" si="394">C188+($J188-$C188)/(COLUMN($J188)-COLUMN($C188))</f>
        <v>12561.650967758031</v>
      </c>
      <c r="E188" s="182">
        <f t="shared" si="394"/>
        <v>10929.132160102479</v>
      </c>
      <c r="F188" s="182">
        <f t="shared" si="394"/>
        <v>9296.6133524469278</v>
      </c>
      <c r="G188" s="182">
        <f t="shared" si="394"/>
        <v>7664.0945447913764</v>
      </c>
      <c r="H188" s="182">
        <f t="shared" si="394"/>
        <v>6031.575737135825</v>
      </c>
      <c r="I188" s="182">
        <f t="shared" si="394"/>
        <v>4399.0569294802735</v>
      </c>
      <c r="J188" s="109">
        <v>2766.5381218247212</v>
      </c>
      <c r="K188" s="183">
        <f t="shared" si="385"/>
        <v>2751.2481143713921</v>
      </c>
      <c r="L188" s="183">
        <f t="shared" si="385"/>
        <v>2735.9581069180631</v>
      </c>
      <c r="M188" s="183">
        <f t="shared" si="385"/>
        <v>2720.668099464734</v>
      </c>
      <c r="N188" s="183">
        <f t="shared" si="385"/>
        <v>2705.378092011405</v>
      </c>
      <c r="O188" s="109">
        <v>2690.088084558075</v>
      </c>
      <c r="P188" s="183">
        <f t="shared" si="386"/>
        <v>2690.088084558075</v>
      </c>
      <c r="Q188" s="183">
        <f t="shared" si="386"/>
        <v>2690.088084558075</v>
      </c>
      <c r="R188" s="183">
        <f t="shared" si="386"/>
        <v>2690.088084558075</v>
      </c>
      <c r="S188" s="183">
        <f t="shared" si="386"/>
        <v>2690.088084558075</v>
      </c>
      <c r="T188" s="109">
        <v>2690.088084558075</v>
      </c>
      <c r="U188" s="195"/>
      <c r="V188" t="s">
        <v>651</v>
      </c>
      <c r="W188" s="39">
        <f t="shared" ref="W188:AL188" si="395">E188/SUM(E164:E196)</f>
        <v>2.3708821107683346E-2</v>
      </c>
      <c r="X188" s="39">
        <f t="shared" si="395"/>
        <v>2.1588936583300921E-2</v>
      </c>
      <c r="Y188" s="39">
        <f t="shared" si="395"/>
        <v>1.9147531415545337E-2</v>
      </c>
      <c r="Z188" s="39">
        <f t="shared" si="395"/>
        <v>1.6305456316199309E-2</v>
      </c>
      <c r="AA188" s="39">
        <f t="shared" si="395"/>
        <v>1.2955260572246184E-2</v>
      </c>
      <c r="AB188" s="39">
        <f t="shared" si="395"/>
        <v>8.9473005697277373E-3</v>
      </c>
      <c r="AC188" s="39">
        <f t="shared" si="395"/>
        <v>8.9486251438019183E-3</v>
      </c>
      <c r="AD188" s="39">
        <f t="shared" si="395"/>
        <v>8.949964921586704E-3</v>
      </c>
      <c r="AE188" s="39">
        <f t="shared" si="395"/>
        <v>8.9513201663596539E-3</v>
      </c>
      <c r="AF188" s="39">
        <f t="shared" si="395"/>
        <v>8.9526911475123917E-3</v>
      </c>
      <c r="AG188" s="39">
        <f t="shared" si="395"/>
        <v>8.954078140729153E-3</v>
      </c>
      <c r="AH188" s="39">
        <f t="shared" si="395"/>
        <v>8.954078140729153E-3</v>
      </c>
      <c r="AI188" s="39">
        <f t="shared" si="395"/>
        <v>8.954078140729153E-3</v>
      </c>
      <c r="AJ188" s="39">
        <f t="shared" si="395"/>
        <v>8.954078140729153E-3</v>
      </c>
      <c r="AK188" s="39">
        <f t="shared" si="395"/>
        <v>8.954078140729153E-3</v>
      </c>
      <c r="AL188" s="39">
        <f t="shared" si="395"/>
        <v>8.954078140729153E-3</v>
      </c>
      <c r="AM188" s="184">
        <f t="shared" si="348"/>
        <v>8.954078140729153E-3</v>
      </c>
      <c r="AN188" s="184">
        <f t="shared" si="373"/>
        <v>8.954078140729153E-3</v>
      </c>
      <c r="AO188" s="184">
        <f t="shared" si="373"/>
        <v>8.954078140729153E-3</v>
      </c>
      <c r="AP188" s="184">
        <f t="shared" si="373"/>
        <v>8.954078140729153E-3</v>
      </c>
      <c r="AQ188" s="184">
        <f t="shared" si="373"/>
        <v>8.954078140729153E-3</v>
      </c>
      <c r="AR188" s="184">
        <f t="shared" si="373"/>
        <v>8.954078140729153E-3</v>
      </c>
      <c r="AS188" s="184">
        <f t="shared" si="373"/>
        <v>8.954078140729153E-3</v>
      </c>
      <c r="AT188" s="184">
        <f t="shared" si="373"/>
        <v>8.954078140729153E-3</v>
      </c>
      <c r="AU188" s="184">
        <f t="shared" si="373"/>
        <v>8.954078140729153E-3</v>
      </c>
      <c r="AV188" s="184">
        <f t="shared" si="373"/>
        <v>8.954078140729153E-3</v>
      </c>
      <c r="AW188" s="184">
        <f t="shared" si="373"/>
        <v>8.954078140729153E-3</v>
      </c>
      <c r="AX188" s="184">
        <f t="shared" si="373"/>
        <v>8.954078140729153E-3</v>
      </c>
      <c r="AY188" s="184">
        <f t="shared" si="373"/>
        <v>8.954078140729153E-3</v>
      </c>
      <c r="AZ188" s="184">
        <f t="shared" si="373"/>
        <v>8.954078140729153E-3</v>
      </c>
      <c r="BA188" s="184">
        <f t="shared" si="373"/>
        <v>8.954078140729153E-3</v>
      </c>
      <c r="BB188" s="184">
        <f t="shared" si="373"/>
        <v>8.954078140729153E-3</v>
      </c>
      <c r="BC188" s="184">
        <f t="shared" si="373"/>
        <v>8.954078140729153E-3</v>
      </c>
      <c r="BD188" s="184">
        <f t="shared" si="373"/>
        <v>8.954078140729153E-3</v>
      </c>
      <c r="BE188" s="184">
        <f t="shared" si="373"/>
        <v>8.954078140729153E-3</v>
      </c>
      <c r="BF188" s="184">
        <f t="shared" si="373"/>
        <v>8.954078140729153E-3</v>
      </c>
    </row>
    <row r="189" spans="2:58">
      <c r="B189" t="s">
        <v>652</v>
      </c>
      <c r="C189" s="109">
        <v>19807.746636054999</v>
      </c>
      <c r="D189" s="182">
        <f t="shared" ref="D189:I189" si="396">C189+($J189-$C189)/(COLUMN($J189)-COLUMN($C189))</f>
        <v>20697.028736075012</v>
      </c>
      <c r="E189" s="182">
        <f t="shared" si="396"/>
        <v>21586.310836095025</v>
      </c>
      <c r="F189" s="182">
        <f t="shared" si="396"/>
        <v>22475.592936115037</v>
      </c>
      <c r="G189" s="182">
        <f t="shared" si="396"/>
        <v>23364.87503613505</v>
      </c>
      <c r="H189" s="182">
        <f t="shared" si="396"/>
        <v>24254.157136155063</v>
      </c>
      <c r="I189" s="182">
        <f t="shared" si="396"/>
        <v>25143.439236175076</v>
      </c>
      <c r="J189" s="109">
        <v>26032.721336195093</v>
      </c>
      <c r="K189" s="183">
        <f t="shared" si="385"/>
        <v>25882.644382064405</v>
      </c>
      <c r="L189" s="183">
        <f t="shared" si="385"/>
        <v>25732.567427933718</v>
      </c>
      <c r="M189" s="183">
        <f t="shared" si="385"/>
        <v>25582.490473803031</v>
      </c>
      <c r="N189" s="183">
        <f t="shared" si="385"/>
        <v>25432.413519672344</v>
      </c>
      <c r="O189" s="109">
        <v>25282.336565541653</v>
      </c>
      <c r="P189" s="183">
        <f t="shared" si="386"/>
        <v>25282.336565541653</v>
      </c>
      <c r="Q189" s="183">
        <f t="shared" si="386"/>
        <v>25282.336565541653</v>
      </c>
      <c r="R189" s="183">
        <f t="shared" si="386"/>
        <v>25282.336565541653</v>
      </c>
      <c r="S189" s="183">
        <f t="shared" si="386"/>
        <v>25282.336565541653</v>
      </c>
      <c r="T189" s="109">
        <v>25282.336565541653</v>
      </c>
      <c r="U189" s="195"/>
      <c r="V189" t="s">
        <v>652</v>
      </c>
      <c r="W189" s="39">
        <f t="shared" ref="W189:AL189" si="397">E189/SUM(E164:E196)</f>
        <v>4.6827687184178457E-2</v>
      </c>
      <c r="X189" s="39">
        <f t="shared" si="397"/>
        <v>5.2193646457519893E-2</v>
      </c>
      <c r="Y189" s="39">
        <f t="shared" si="397"/>
        <v>5.8373455097671278E-2</v>
      </c>
      <c r="Z189" s="39">
        <f t="shared" si="397"/>
        <v>6.5567459799088387E-2</v>
      </c>
      <c r="AA189" s="39">
        <f t="shared" si="397"/>
        <v>7.404764525872394E-2</v>
      </c>
      <c r="AB189" s="39">
        <f t="shared" si="397"/>
        <v>8.4192796985307169E-2</v>
      </c>
      <c r="AC189" s="39">
        <f t="shared" si="397"/>
        <v>8.4185094428804147E-2</v>
      </c>
      <c r="AD189" s="39">
        <f t="shared" si="397"/>
        <v>8.4177303460907335E-2</v>
      </c>
      <c r="AE189" s="39">
        <f t="shared" si="397"/>
        <v>8.4169422550626372E-2</v>
      </c>
      <c r="AF189" s="39">
        <f t="shared" si="397"/>
        <v>8.4161450131416682E-2</v>
      </c>
      <c r="AG189" s="39">
        <f t="shared" si="397"/>
        <v>8.4153384600141587E-2</v>
      </c>
      <c r="AH189" s="39">
        <f t="shared" si="397"/>
        <v>8.4153384600141587E-2</v>
      </c>
      <c r="AI189" s="39">
        <f t="shared" si="397"/>
        <v>8.4153384600141587E-2</v>
      </c>
      <c r="AJ189" s="39">
        <f t="shared" si="397"/>
        <v>8.4153384600141587E-2</v>
      </c>
      <c r="AK189" s="39">
        <f t="shared" si="397"/>
        <v>8.4153384600141587E-2</v>
      </c>
      <c r="AL189" s="39">
        <f t="shared" si="397"/>
        <v>8.4153384600141587E-2</v>
      </c>
      <c r="AM189" s="184">
        <f t="shared" si="348"/>
        <v>8.4153384600141587E-2</v>
      </c>
      <c r="AN189" s="184">
        <f t="shared" si="373"/>
        <v>8.4153384600141587E-2</v>
      </c>
      <c r="AO189" s="184">
        <f t="shared" si="373"/>
        <v>8.4153384600141587E-2</v>
      </c>
      <c r="AP189" s="184">
        <f t="shared" si="373"/>
        <v>8.4153384600141587E-2</v>
      </c>
      <c r="AQ189" s="184">
        <f t="shared" si="373"/>
        <v>8.4153384600141587E-2</v>
      </c>
      <c r="AR189" s="184">
        <f t="shared" si="373"/>
        <v>8.4153384600141587E-2</v>
      </c>
      <c r="AS189" s="184">
        <f t="shared" si="373"/>
        <v>8.4153384600141587E-2</v>
      </c>
      <c r="AT189" s="184">
        <f t="shared" si="373"/>
        <v>8.4153384600141587E-2</v>
      </c>
      <c r="AU189" s="184">
        <f t="shared" si="373"/>
        <v>8.4153384600141587E-2</v>
      </c>
      <c r="AV189" s="184">
        <f t="shared" si="373"/>
        <v>8.4153384600141587E-2</v>
      </c>
      <c r="AW189" s="184">
        <f t="shared" si="373"/>
        <v>8.4153384600141587E-2</v>
      </c>
      <c r="AX189" s="184">
        <f t="shared" si="373"/>
        <v>8.4153384600141587E-2</v>
      </c>
      <c r="AY189" s="184">
        <f t="shared" si="373"/>
        <v>8.4153384600141587E-2</v>
      </c>
      <c r="AZ189" s="184">
        <f t="shared" si="373"/>
        <v>8.4153384600141587E-2</v>
      </c>
      <c r="BA189" s="184">
        <f t="shared" si="373"/>
        <v>8.4153384600141587E-2</v>
      </c>
      <c r="BB189" s="184">
        <f t="shared" si="373"/>
        <v>8.4153384600141587E-2</v>
      </c>
      <c r="BC189" s="184">
        <f t="shared" si="373"/>
        <v>8.4153384600141587E-2</v>
      </c>
      <c r="BD189" s="184">
        <f t="shared" si="373"/>
        <v>8.4153384600141587E-2</v>
      </c>
      <c r="BE189" s="184">
        <f t="shared" si="373"/>
        <v>8.4153384600141587E-2</v>
      </c>
      <c r="BF189" s="184">
        <f t="shared" si="373"/>
        <v>8.4153384600141587E-2</v>
      </c>
    </row>
    <row r="190" spans="2:58">
      <c r="B190" t="s">
        <v>653</v>
      </c>
      <c r="C190" s="109">
        <v>4637.777351693423</v>
      </c>
      <c r="D190" s="182">
        <f t="shared" ref="D190:I190" si="398">C190+($J190-$C190)/(COLUMN($J190)-COLUMN($C190))</f>
        <v>4353.1670625473344</v>
      </c>
      <c r="E190" s="182">
        <f t="shared" si="398"/>
        <v>4068.5567734012461</v>
      </c>
      <c r="F190" s="182">
        <f t="shared" si="398"/>
        <v>3783.9464842551579</v>
      </c>
      <c r="G190" s="182">
        <f t="shared" si="398"/>
        <v>3499.3361951090696</v>
      </c>
      <c r="H190" s="182">
        <f t="shared" si="398"/>
        <v>3214.7259059629814</v>
      </c>
      <c r="I190" s="182">
        <f t="shared" si="398"/>
        <v>2930.1156168168932</v>
      </c>
      <c r="J190" s="109">
        <v>2645.505327670804</v>
      </c>
      <c r="K190" s="183">
        <f t="shared" si="385"/>
        <v>2630.7581899312249</v>
      </c>
      <c r="L190" s="183">
        <f t="shared" si="385"/>
        <v>2616.0110521916458</v>
      </c>
      <c r="M190" s="183">
        <f t="shared" si="385"/>
        <v>2601.2639144520667</v>
      </c>
      <c r="N190" s="183">
        <f t="shared" si="385"/>
        <v>2586.5167767124876</v>
      </c>
      <c r="O190" s="109">
        <v>2571.769638972909</v>
      </c>
      <c r="P190" s="183">
        <f t="shared" si="386"/>
        <v>2571.769638972909</v>
      </c>
      <c r="Q190" s="183">
        <f t="shared" si="386"/>
        <v>2571.769638972909</v>
      </c>
      <c r="R190" s="183">
        <f t="shared" si="386"/>
        <v>2571.769638972909</v>
      </c>
      <c r="S190" s="183">
        <f t="shared" si="386"/>
        <v>2571.769638972909</v>
      </c>
      <c r="T190" s="109">
        <v>2571.769638972909</v>
      </c>
      <c r="U190" s="195"/>
      <c r="V190" t="s">
        <v>653</v>
      </c>
      <c r="W190" s="39">
        <f t="shared" ref="W190:AL190" si="399">E190/SUM(E164:E196)</f>
        <v>8.8260150297348981E-3</v>
      </c>
      <c r="X190" s="39">
        <f t="shared" si="399"/>
        <v>8.7872193438793926E-3</v>
      </c>
      <c r="Y190" s="39">
        <f t="shared" si="399"/>
        <v>8.7425395573887312E-3</v>
      </c>
      <c r="Z190" s="39">
        <f t="shared" si="399"/>
        <v>8.6905271711177814E-3</v>
      </c>
      <c r="AA190" s="39">
        <f t="shared" si="399"/>
        <v>8.6292157458293089E-3</v>
      </c>
      <c r="AB190" s="39">
        <f t="shared" si="399"/>
        <v>8.555866676391459E-3</v>
      </c>
      <c r="AC190" s="39">
        <f t="shared" si="399"/>
        <v>8.5567233150326775E-3</v>
      </c>
      <c r="AD190" s="39">
        <f t="shared" si="399"/>
        <v>8.5575897863334992E-3</v>
      </c>
      <c r="AE190" s="39">
        <f t="shared" si="399"/>
        <v>8.5584662605627977E-3</v>
      </c>
      <c r="AF190" s="39">
        <f t="shared" si="399"/>
        <v>8.5593529119435754E-3</v>
      </c>
      <c r="AG190" s="39">
        <f t="shared" si="399"/>
        <v>8.5602499187684474E-3</v>
      </c>
      <c r="AH190" s="39">
        <f t="shared" si="399"/>
        <v>8.5602499187684474E-3</v>
      </c>
      <c r="AI190" s="39">
        <f t="shared" si="399"/>
        <v>8.5602499187684474E-3</v>
      </c>
      <c r="AJ190" s="39">
        <f t="shared" si="399"/>
        <v>8.5602499187684474E-3</v>
      </c>
      <c r="AK190" s="39">
        <f t="shared" si="399"/>
        <v>8.5602499187684474E-3</v>
      </c>
      <c r="AL190" s="39">
        <f t="shared" si="399"/>
        <v>8.5602499187684474E-3</v>
      </c>
      <c r="AM190" s="184">
        <f t="shared" si="348"/>
        <v>8.5602499187684474E-3</v>
      </c>
      <c r="AN190" s="184">
        <f t="shared" si="373"/>
        <v>8.5602499187684474E-3</v>
      </c>
      <c r="AO190" s="184">
        <f t="shared" si="373"/>
        <v>8.5602499187684474E-3</v>
      </c>
      <c r="AP190" s="184">
        <f t="shared" si="373"/>
        <v>8.5602499187684474E-3</v>
      </c>
      <c r="AQ190" s="184">
        <f t="shared" si="373"/>
        <v>8.5602499187684474E-3</v>
      </c>
      <c r="AR190" s="184">
        <f t="shared" si="373"/>
        <v>8.5602499187684474E-3</v>
      </c>
      <c r="AS190" s="184">
        <f t="shared" si="373"/>
        <v>8.5602499187684474E-3</v>
      </c>
      <c r="AT190" s="184">
        <f t="shared" si="373"/>
        <v>8.5602499187684474E-3</v>
      </c>
      <c r="AU190" s="184">
        <f t="shared" si="373"/>
        <v>8.5602499187684474E-3</v>
      </c>
      <c r="AV190" s="184">
        <f t="shared" si="373"/>
        <v>8.5602499187684474E-3</v>
      </c>
      <c r="AW190" s="184">
        <f t="shared" si="373"/>
        <v>8.5602499187684474E-3</v>
      </c>
      <c r="AX190" s="184">
        <f t="shared" si="373"/>
        <v>8.5602499187684474E-3</v>
      </c>
      <c r="AY190" s="184">
        <f t="shared" si="373"/>
        <v>8.5602499187684474E-3</v>
      </c>
      <c r="AZ190" s="184">
        <f t="shared" si="373"/>
        <v>8.5602499187684474E-3</v>
      </c>
      <c r="BA190" s="184">
        <f t="shared" si="373"/>
        <v>8.5602499187684474E-3</v>
      </c>
      <c r="BB190" s="184">
        <f t="shared" si="373"/>
        <v>8.5602499187684474E-3</v>
      </c>
      <c r="BC190" s="184">
        <f t="shared" si="373"/>
        <v>8.5602499187684474E-3</v>
      </c>
      <c r="BD190" s="184">
        <f t="shared" si="373"/>
        <v>8.5602499187684474E-3</v>
      </c>
      <c r="BE190" s="184">
        <f t="shared" si="373"/>
        <v>8.5602499187684474E-3</v>
      </c>
      <c r="BF190" s="184">
        <f t="shared" si="373"/>
        <v>8.5602499187684474E-3</v>
      </c>
    </row>
    <row r="191" spans="2:58">
      <c r="B191" t="s">
        <v>654</v>
      </c>
      <c r="C191" s="109">
        <v>7381.6347790975469</v>
      </c>
      <c r="D191" s="182">
        <f t="shared" ref="D191:I191" si="400">C191+($J191-$C191)/(COLUMN($J191)-COLUMN($C191))</f>
        <v>6532.1246264547235</v>
      </c>
      <c r="E191" s="182">
        <f t="shared" si="400"/>
        <v>5682.6144738119001</v>
      </c>
      <c r="F191" s="182">
        <f t="shared" si="400"/>
        <v>4833.1043211690767</v>
      </c>
      <c r="G191" s="182">
        <f t="shared" si="400"/>
        <v>3983.5941685262533</v>
      </c>
      <c r="H191" s="182">
        <f t="shared" si="400"/>
        <v>3134.0840158834299</v>
      </c>
      <c r="I191" s="182">
        <f t="shared" si="400"/>
        <v>2284.5738632406064</v>
      </c>
      <c r="J191" s="109">
        <v>1435.0637105977851</v>
      </c>
      <c r="K191" s="183">
        <f t="shared" si="385"/>
        <v>1427.217173470264</v>
      </c>
      <c r="L191" s="183">
        <f t="shared" si="385"/>
        <v>1419.370636342743</v>
      </c>
      <c r="M191" s="183">
        <f t="shared" si="385"/>
        <v>1411.5240992152219</v>
      </c>
      <c r="N191" s="183">
        <f t="shared" si="385"/>
        <v>1403.6775620877008</v>
      </c>
      <c r="O191" s="109">
        <v>1395.8310249601795</v>
      </c>
      <c r="P191" s="183">
        <f t="shared" si="386"/>
        <v>1395.8310249601795</v>
      </c>
      <c r="Q191" s="183">
        <f t="shared" si="386"/>
        <v>1395.8310249601795</v>
      </c>
      <c r="R191" s="183">
        <f t="shared" si="386"/>
        <v>1395.8310249601795</v>
      </c>
      <c r="S191" s="183">
        <f t="shared" si="386"/>
        <v>1395.8310249601795</v>
      </c>
      <c r="T191" s="109">
        <v>1395.8310249601795</v>
      </c>
      <c r="U191" s="195"/>
      <c r="V191" t="s">
        <v>654</v>
      </c>
      <c r="W191" s="39">
        <f t="shared" ref="W191:AL191" si="401">E191/SUM(E164:E196)</f>
        <v>1.2327428016230995E-2</v>
      </c>
      <c r="X191" s="39">
        <f t="shared" si="401"/>
        <v>1.1223612162243306E-2</v>
      </c>
      <c r="Y191" s="39">
        <f t="shared" si="401"/>
        <v>9.9523817253112882E-3</v>
      </c>
      <c r="Z191" s="39">
        <f t="shared" si="401"/>
        <v>8.4725239704198027E-3</v>
      </c>
      <c r="AA191" s="39">
        <f t="shared" si="401"/>
        <v>6.728089717702731E-3</v>
      </c>
      <c r="AB191" s="39">
        <f t="shared" si="401"/>
        <v>4.6411601033562984E-3</v>
      </c>
      <c r="AC191" s="39">
        <f t="shared" si="401"/>
        <v>4.6421227578378483E-3</v>
      </c>
      <c r="AD191" s="39">
        <f t="shared" si="401"/>
        <v>4.6430964618487808E-3</v>
      </c>
      <c r="AE191" s="39">
        <f t="shared" si="401"/>
        <v>4.6440814067300893E-3</v>
      </c>
      <c r="AF191" s="39">
        <f t="shared" si="401"/>
        <v>4.6450777882662614E-3</v>
      </c>
      <c r="AG191" s="39">
        <f t="shared" si="401"/>
        <v>4.6460858068150335E-3</v>
      </c>
      <c r="AH191" s="39">
        <f t="shared" si="401"/>
        <v>4.6460858068150335E-3</v>
      </c>
      <c r="AI191" s="39">
        <f t="shared" si="401"/>
        <v>4.6460858068150335E-3</v>
      </c>
      <c r="AJ191" s="39">
        <f t="shared" si="401"/>
        <v>4.6460858068150335E-3</v>
      </c>
      <c r="AK191" s="39">
        <f t="shared" si="401"/>
        <v>4.6460858068150335E-3</v>
      </c>
      <c r="AL191" s="39">
        <f t="shared" si="401"/>
        <v>4.6460858068150335E-3</v>
      </c>
      <c r="AM191" s="184">
        <f t="shared" ref="AM191:BF191" si="402">AL191</f>
        <v>4.6460858068150335E-3</v>
      </c>
      <c r="AN191" s="184">
        <f t="shared" si="402"/>
        <v>4.6460858068150335E-3</v>
      </c>
      <c r="AO191" s="184">
        <f t="shared" si="402"/>
        <v>4.6460858068150335E-3</v>
      </c>
      <c r="AP191" s="184">
        <f t="shared" si="402"/>
        <v>4.6460858068150335E-3</v>
      </c>
      <c r="AQ191" s="184">
        <f t="shared" si="402"/>
        <v>4.6460858068150335E-3</v>
      </c>
      <c r="AR191" s="184">
        <f t="shared" si="402"/>
        <v>4.6460858068150335E-3</v>
      </c>
      <c r="AS191" s="184">
        <f t="shared" si="402"/>
        <v>4.6460858068150335E-3</v>
      </c>
      <c r="AT191" s="184">
        <f t="shared" si="402"/>
        <v>4.6460858068150335E-3</v>
      </c>
      <c r="AU191" s="184">
        <f t="shared" si="402"/>
        <v>4.6460858068150335E-3</v>
      </c>
      <c r="AV191" s="184">
        <f t="shared" si="402"/>
        <v>4.6460858068150335E-3</v>
      </c>
      <c r="AW191" s="184">
        <f t="shared" si="402"/>
        <v>4.6460858068150335E-3</v>
      </c>
      <c r="AX191" s="184">
        <f t="shared" si="402"/>
        <v>4.6460858068150335E-3</v>
      </c>
      <c r="AY191" s="184">
        <f t="shared" si="402"/>
        <v>4.6460858068150335E-3</v>
      </c>
      <c r="AZ191" s="184">
        <f t="shared" si="402"/>
        <v>4.6460858068150335E-3</v>
      </c>
      <c r="BA191" s="184">
        <f t="shared" si="402"/>
        <v>4.6460858068150335E-3</v>
      </c>
      <c r="BB191" s="184">
        <f t="shared" si="402"/>
        <v>4.6460858068150335E-3</v>
      </c>
      <c r="BC191" s="184">
        <f t="shared" si="402"/>
        <v>4.6460858068150335E-3</v>
      </c>
      <c r="BD191" s="184">
        <f t="shared" si="402"/>
        <v>4.6460858068150335E-3</v>
      </c>
      <c r="BE191" s="184">
        <f t="shared" si="402"/>
        <v>4.6460858068150335E-3</v>
      </c>
      <c r="BF191" s="184">
        <f t="shared" si="402"/>
        <v>4.6460858068150335E-3</v>
      </c>
    </row>
    <row r="192" spans="2:58">
      <c r="B192" t="s">
        <v>655</v>
      </c>
      <c r="C192" s="109">
        <v>14531.27150558137</v>
      </c>
      <c r="D192" s="182">
        <f t="shared" ref="D192:I192" si="403">C192+($J192-$C192)/(COLUMN($J192)-COLUMN($C192))</f>
        <v>13419.607648304995</v>
      </c>
      <c r="E192" s="182">
        <f t="shared" si="403"/>
        <v>12307.94379102862</v>
      </c>
      <c r="F192" s="182">
        <f t="shared" si="403"/>
        <v>11196.279933752245</v>
      </c>
      <c r="G192" s="182">
        <f t="shared" si="403"/>
        <v>10084.61607647587</v>
      </c>
      <c r="H192" s="182">
        <f t="shared" si="403"/>
        <v>8972.9522191994947</v>
      </c>
      <c r="I192" s="182">
        <f t="shared" si="403"/>
        <v>7861.2883619231197</v>
      </c>
      <c r="J192" s="109">
        <v>6749.6245046467484</v>
      </c>
      <c r="K192" s="183">
        <f t="shared" si="385"/>
        <v>6713.3699794950862</v>
      </c>
      <c r="L192" s="183">
        <f t="shared" si="385"/>
        <v>6677.1154543434241</v>
      </c>
      <c r="M192" s="183">
        <f t="shared" si="385"/>
        <v>6640.8609291917619</v>
      </c>
      <c r="N192" s="183">
        <f t="shared" si="385"/>
        <v>6604.6064040400997</v>
      </c>
      <c r="O192" s="109">
        <v>6568.3518788884376</v>
      </c>
      <c r="P192" s="183">
        <f t="shared" si="386"/>
        <v>6568.3518788884376</v>
      </c>
      <c r="Q192" s="183">
        <f t="shared" si="386"/>
        <v>6568.3518788884376</v>
      </c>
      <c r="R192" s="183">
        <f t="shared" si="386"/>
        <v>6568.3518788884376</v>
      </c>
      <c r="S192" s="183">
        <f t="shared" si="386"/>
        <v>6568.3518788884376</v>
      </c>
      <c r="T192" s="109">
        <v>6568.3518788884376</v>
      </c>
      <c r="U192" s="195"/>
      <c r="V192" t="s">
        <v>655</v>
      </c>
      <c r="W192" s="39">
        <f t="shared" ref="W192:AL192" si="404">E192/SUM(E164:E196)</f>
        <v>2.6699909313035827E-2</v>
      </c>
      <c r="X192" s="39">
        <f t="shared" si="404"/>
        <v>2.6000412009717574E-2</v>
      </c>
      <c r="Y192" s="39">
        <f t="shared" si="404"/>
        <v>2.519482269034189E-2</v>
      </c>
      <c r="Z192" s="39">
        <f t="shared" si="404"/>
        <v>2.4257024501358145E-2</v>
      </c>
      <c r="AA192" s="39">
        <f t="shared" si="404"/>
        <v>2.3151561981334227E-2</v>
      </c>
      <c r="AB192" s="39">
        <f t="shared" si="404"/>
        <v>2.1829057297082247E-2</v>
      </c>
      <c r="AC192" s="39">
        <f t="shared" si="404"/>
        <v>2.1835701071213923E-2</v>
      </c>
      <c r="AD192" s="39">
        <f t="shared" si="404"/>
        <v>2.1842421103835934E-2</v>
      </c>
      <c r="AE192" s="39">
        <f t="shared" si="404"/>
        <v>2.1849218715490972E-2</v>
      </c>
      <c r="AF192" s="39">
        <f t="shared" si="404"/>
        <v>2.1856095257388589E-2</v>
      </c>
      <c r="AG192" s="39">
        <f t="shared" si="404"/>
        <v>2.1863052112300645E-2</v>
      </c>
      <c r="AH192" s="39">
        <f t="shared" si="404"/>
        <v>2.1863052112300645E-2</v>
      </c>
      <c r="AI192" s="39">
        <f t="shared" si="404"/>
        <v>2.1863052112300645E-2</v>
      </c>
      <c r="AJ192" s="39">
        <f t="shared" si="404"/>
        <v>2.1863052112300645E-2</v>
      </c>
      <c r="AK192" s="39">
        <f t="shared" si="404"/>
        <v>2.1863052112300645E-2</v>
      </c>
      <c r="AL192" s="39">
        <f t="shared" si="404"/>
        <v>2.1863052112300645E-2</v>
      </c>
      <c r="AM192" s="184">
        <f t="shared" ref="AM192:BF192" si="405">AL192</f>
        <v>2.1863052112300645E-2</v>
      </c>
      <c r="AN192" s="184">
        <f t="shared" si="405"/>
        <v>2.1863052112300645E-2</v>
      </c>
      <c r="AO192" s="184">
        <f t="shared" si="405"/>
        <v>2.1863052112300645E-2</v>
      </c>
      <c r="AP192" s="184">
        <f t="shared" si="405"/>
        <v>2.1863052112300645E-2</v>
      </c>
      <c r="AQ192" s="184">
        <f t="shared" si="405"/>
        <v>2.1863052112300645E-2</v>
      </c>
      <c r="AR192" s="184">
        <f t="shared" si="405"/>
        <v>2.1863052112300645E-2</v>
      </c>
      <c r="AS192" s="184">
        <f t="shared" si="405"/>
        <v>2.1863052112300645E-2</v>
      </c>
      <c r="AT192" s="184">
        <f t="shared" si="405"/>
        <v>2.1863052112300645E-2</v>
      </c>
      <c r="AU192" s="184">
        <f t="shared" si="405"/>
        <v>2.1863052112300645E-2</v>
      </c>
      <c r="AV192" s="184">
        <f t="shared" si="405"/>
        <v>2.1863052112300645E-2</v>
      </c>
      <c r="AW192" s="184">
        <f t="shared" si="405"/>
        <v>2.1863052112300645E-2</v>
      </c>
      <c r="AX192" s="184">
        <f t="shared" si="405"/>
        <v>2.1863052112300645E-2</v>
      </c>
      <c r="AY192" s="184">
        <f t="shared" si="405"/>
        <v>2.1863052112300645E-2</v>
      </c>
      <c r="AZ192" s="184">
        <f t="shared" si="405"/>
        <v>2.1863052112300645E-2</v>
      </c>
      <c r="BA192" s="184">
        <f t="shared" si="405"/>
        <v>2.1863052112300645E-2</v>
      </c>
      <c r="BB192" s="184">
        <f t="shared" si="405"/>
        <v>2.1863052112300645E-2</v>
      </c>
      <c r="BC192" s="184">
        <f t="shared" si="405"/>
        <v>2.1863052112300645E-2</v>
      </c>
      <c r="BD192" s="184">
        <f t="shared" si="405"/>
        <v>2.1863052112300645E-2</v>
      </c>
      <c r="BE192" s="184">
        <f t="shared" si="405"/>
        <v>2.1863052112300645E-2</v>
      </c>
      <c r="BF192" s="184">
        <f t="shared" si="405"/>
        <v>2.1863052112300645E-2</v>
      </c>
    </row>
    <row r="193" spans="2:58">
      <c r="B193" t="s">
        <v>656</v>
      </c>
      <c r="C193" s="109">
        <v>8262.1766824325969</v>
      </c>
      <c r="D193" s="182">
        <f t="shared" ref="D193:I193" si="406">C193+($J193-$C193)/(COLUMN($J193)-COLUMN($C193))</f>
        <v>7531.70463651103</v>
      </c>
      <c r="E193" s="182">
        <f t="shared" si="406"/>
        <v>6801.2325905894631</v>
      </c>
      <c r="F193" s="182">
        <f t="shared" si="406"/>
        <v>6070.7605446678963</v>
      </c>
      <c r="G193" s="182">
        <f t="shared" si="406"/>
        <v>5340.2884987463294</v>
      </c>
      <c r="H193" s="182">
        <f t="shared" si="406"/>
        <v>4609.8164528247626</v>
      </c>
      <c r="I193" s="182">
        <f t="shared" si="406"/>
        <v>3879.3444069031952</v>
      </c>
      <c r="J193" s="109">
        <v>3148.8723609816261</v>
      </c>
      <c r="K193" s="183">
        <f t="shared" si="385"/>
        <v>3131.271619667094</v>
      </c>
      <c r="L193" s="183">
        <f t="shared" si="385"/>
        <v>3113.6708783525619</v>
      </c>
      <c r="M193" s="183">
        <f t="shared" si="385"/>
        <v>3096.0701370380298</v>
      </c>
      <c r="N193" s="183">
        <f t="shared" si="385"/>
        <v>3078.4693957234977</v>
      </c>
      <c r="O193" s="109">
        <v>3060.8686544089655</v>
      </c>
      <c r="P193" s="183">
        <f t="shared" si="386"/>
        <v>3060.8686544089655</v>
      </c>
      <c r="Q193" s="183">
        <f t="shared" si="386"/>
        <v>3060.8686544089655</v>
      </c>
      <c r="R193" s="183">
        <f t="shared" si="386"/>
        <v>3060.8686544089655</v>
      </c>
      <c r="S193" s="183">
        <f t="shared" si="386"/>
        <v>3060.8686544089655</v>
      </c>
      <c r="T193" s="109">
        <v>3060.8686544089655</v>
      </c>
      <c r="U193" s="195"/>
      <c r="V193" t="s">
        <v>656</v>
      </c>
      <c r="W193" s="39">
        <f t="shared" ref="W193:AL193" si="407">E193/SUM(E164:E196)</f>
        <v>1.4754072367308566E-2</v>
      </c>
      <c r="X193" s="39">
        <f t="shared" si="407"/>
        <v>1.4097742849200501E-2</v>
      </c>
      <c r="Y193" s="39">
        <f t="shared" si="407"/>
        <v>1.3341868527354422E-2</v>
      </c>
      <c r="Z193" s="39">
        <f t="shared" si="407"/>
        <v>1.2461944286705452E-2</v>
      </c>
      <c r="AA193" s="39">
        <f t="shared" si="407"/>
        <v>1.1424702713918832E-2</v>
      </c>
      <c r="AB193" s="39">
        <f t="shared" si="407"/>
        <v>1.0183813209422975E-2</v>
      </c>
      <c r="AC193" s="39">
        <f t="shared" si="407"/>
        <v>1.0184677929067288E-2</v>
      </c>
      <c r="AD193" s="39">
        <f t="shared" si="407"/>
        <v>1.0185552574126479E-2</v>
      </c>
      <c r="AE193" s="39">
        <f t="shared" si="407"/>
        <v>1.0186437316475635E-2</v>
      </c>
      <c r="AF193" s="39">
        <f t="shared" si="407"/>
        <v>1.0187332331981267E-2</v>
      </c>
      <c r="AG193" s="39">
        <f t="shared" si="407"/>
        <v>1.0188237800617898E-2</v>
      </c>
      <c r="AH193" s="39">
        <f t="shared" si="407"/>
        <v>1.0188237800617898E-2</v>
      </c>
      <c r="AI193" s="39">
        <f t="shared" si="407"/>
        <v>1.0188237800617898E-2</v>
      </c>
      <c r="AJ193" s="39">
        <f t="shared" si="407"/>
        <v>1.0188237800617898E-2</v>
      </c>
      <c r="AK193" s="39">
        <f t="shared" si="407"/>
        <v>1.0188237800617898E-2</v>
      </c>
      <c r="AL193" s="39">
        <f t="shared" si="407"/>
        <v>1.0188237800617898E-2</v>
      </c>
      <c r="AM193" s="184">
        <f t="shared" ref="AM193:BF193" si="408">AL193</f>
        <v>1.0188237800617898E-2</v>
      </c>
      <c r="AN193" s="184">
        <f t="shared" si="408"/>
        <v>1.0188237800617898E-2</v>
      </c>
      <c r="AO193" s="184">
        <f t="shared" si="408"/>
        <v>1.0188237800617898E-2</v>
      </c>
      <c r="AP193" s="184">
        <f t="shared" si="408"/>
        <v>1.0188237800617898E-2</v>
      </c>
      <c r="AQ193" s="184">
        <f t="shared" si="408"/>
        <v>1.0188237800617898E-2</v>
      </c>
      <c r="AR193" s="184">
        <f t="shared" si="408"/>
        <v>1.0188237800617898E-2</v>
      </c>
      <c r="AS193" s="184">
        <f t="shared" si="408"/>
        <v>1.0188237800617898E-2</v>
      </c>
      <c r="AT193" s="184">
        <f t="shared" si="408"/>
        <v>1.0188237800617898E-2</v>
      </c>
      <c r="AU193" s="184">
        <f t="shared" si="408"/>
        <v>1.0188237800617898E-2</v>
      </c>
      <c r="AV193" s="184">
        <f t="shared" si="408"/>
        <v>1.0188237800617898E-2</v>
      </c>
      <c r="AW193" s="184">
        <f t="shared" si="408"/>
        <v>1.0188237800617898E-2</v>
      </c>
      <c r="AX193" s="184">
        <f t="shared" si="408"/>
        <v>1.0188237800617898E-2</v>
      </c>
      <c r="AY193" s="184">
        <f t="shared" si="408"/>
        <v>1.0188237800617898E-2</v>
      </c>
      <c r="AZ193" s="184">
        <f t="shared" si="408"/>
        <v>1.0188237800617898E-2</v>
      </c>
      <c r="BA193" s="184">
        <f t="shared" si="408"/>
        <v>1.0188237800617898E-2</v>
      </c>
      <c r="BB193" s="184">
        <f t="shared" si="408"/>
        <v>1.0188237800617898E-2</v>
      </c>
      <c r="BC193" s="184">
        <f t="shared" si="408"/>
        <v>1.0188237800617898E-2</v>
      </c>
      <c r="BD193" s="184">
        <f t="shared" si="408"/>
        <v>1.0188237800617898E-2</v>
      </c>
      <c r="BE193" s="184">
        <f t="shared" si="408"/>
        <v>1.0188237800617898E-2</v>
      </c>
      <c r="BF193" s="184">
        <f t="shared" si="408"/>
        <v>1.0188237800617898E-2</v>
      </c>
    </row>
    <row r="194" spans="2:58">
      <c r="B194" t="s">
        <v>657</v>
      </c>
      <c r="C194" s="109">
        <v>21327.833825451355</v>
      </c>
      <c r="D194" s="182">
        <f t="shared" ref="D194:I194" si="409">C194+($J194-$C194)/(COLUMN($J194)-COLUMN($C194))</f>
        <v>20083.864207847571</v>
      </c>
      <c r="E194" s="182">
        <f t="shared" si="409"/>
        <v>18839.894590243788</v>
      </c>
      <c r="F194" s="182">
        <f t="shared" si="409"/>
        <v>17595.924972640005</v>
      </c>
      <c r="G194" s="182">
        <f t="shared" si="409"/>
        <v>16351.955355036223</v>
      </c>
      <c r="H194" s="182">
        <f t="shared" si="409"/>
        <v>15107.985737432442</v>
      </c>
      <c r="I194" s="182">
        <f t="shared" si="409"/>
        <v>13864.016119828661</v>
      </c>
      <c r="J194" s="109">
        <v>12620.046502224881</v>
      </c>
      <c r="K194" s="183">
        <f t="shared" si="385"/>
        <v>12548.648809082686</v>
      </c>
      <c r="L194" s="183">
        <f t="shared" si="385"/>
        <v>12477.251115940491</v>
      </c>
      <c r="M194" s="183">
        <f t="shared" si="385"/>
        <v>12405.853422798296</v>
      </c>
      <c r="N194" s="183">
        <f t="shared" si="385"/>
        <v>12334.455729656102</v>
      </c>
      <c r="O194" s="109">
        <v>12263.058036513907</v>
      </c>
      <c r="P194" s="183">
        <f t="shared" si="386"/>
        <v>12263.058036513907</v>
      </c>
      <c r="Q194" s="183">
        <f t="shared" si="386"/>
        <v>12263.058036513907</v>
      </c>
      <c r="R194" s="183">
        <f t="shared" si="386"/>
        <v>12263.058036513907</v>
      </c>
      <c r="S194" s="183">
        <f t="shared" si="386"/>
        <v>12263.058036513907</v>
      </c>
      <c r="T194" s="109">
        <v>12263.058036513907</v>
      </c>
      <c r="U194" s="195"/>
      <c r="V194" t="s">
        <v>657</v>
      </c>
      <c r="W194" s="39">
        <f t="shared" ref="W194:AL194" si="410">E194/SUM(E164:E196)</f>
        <v>4.0869822414473664E-2</v>
      </c>
      <c r="X194" s="39">
        <f t="shared" si="410"/>
        <v>4.0861902496876455E-2</v>
      </c>
      <c r="Y194" s="39">
        <f t="shared" si="410"/>
        <v>4.0852781373755052E-2</v>
      </c>
      <c r="Z194" s="39">
        <f t="shared" si="410"/>
        <v>4.0842163342285409E-2</v>
      </c>
      <c r="AA194" s="39">
        <f t="shared" si="410"/>
        <v>4.0829646965133054E-2</v>
      </c>
      <c r="AB194" s="39">
        <f t="shared" si="410"/>
        <v>4.0814673171708116E-2</v>
      </c>
      <c r="AC194" s="39">
        <f t="shared" si="410"/>
        <v>4.0815349828728247E-2</v>
      </c>
      <c r="AD194" s="39">
        <f t="shared" si="410"/>
        <v>4.0816034252545041E-2</v>
      </c>
      <c r="AE194" s="39">
        <f t="shared" si="410"/>
        <v>4.0816726577653527E-2</v>
      </c>
      <c r="AF194" s="39">
        <f t="shared" si="410"/>
        <v>4.0817426941672064E-2</v>
      </c>
      <c r="AG194" s="39">
        <f t="shared" si="410"/>
        <v>4.0818135485433629E-2</v>
      </c>
      <c r="AH194" s="39">
        <f t="shared" si="410"/>
        <v>4.0818135485433629E-2</v>
      </c>
      <c r="AI194" s="39">
        <f t="shared" si="410"/>
        <v>4.0818135485433629E-2</v>
      </c>
      <c r="AJ194" s="39">
        <f t="shared" si="410"/>
        <v>4.0818135485433629E-2</v>
      </c>
      <c r="AK194" s="39">
        <f t="shared" si="410"/>
        <v>4.0818135485433629E-2</v>
      </c>
      <c r="AL194" s="39">
        <f t="shared" si="410"/>
        <v>4.0818135485433629E-2</v>
      </c>
      <c r="AM194" s="184">
        <f t="shared" ref="AM194:BF194" si="411">AL194</f>
        <v>4.0818135485433629E-2</v>
      </c>
      <c r="AN194" s="184">
        <f t="shared" si="411"/>
        <v>4.0818135485433629E-2</v>
      </c>
      <c r="AO194" s="184">
        <f t="shared" si="411"/>
        <v>4.0818135485433629E-2</v>
      </c>
      <c r="AP194" s="184">
        <f t="shared" si="411"/>
        <v>4.0818135485433629E-2</v>
      </c>
      <c r="AQ194" s="184">
        <f t="shared" si="411"/>
        <v>4.0818135485433629E-2</v>
      </c>
      <c r="AR194" s="184">
        <f t="shared" si="411"/>
        <v>4.0818135485433629E-2</v>
      </c>
      <c r="AS194" s="184">
        <f t="shared" si="411"/>
        <v>4.0818135485433629E-2</v>
      </c>
      <c r="AT194" s="184">
        <f t="shared" si="411"/>
        <v>4.0818135485433629E-2</v>
      </c>
      <c r="AU194" s="184">
        <f t="shared" si="411"/>
        <v>4.0818135485433629E-2</v>
      </c>
      <c r="AV194" s="184">
        <f t="shared" si="411"/>
        <v>4.0818135485433629E-2</v>
      </c>
      <c r="AW194" s="184">
        <f t="shared" si="411"/>
        <v>4.0818135485433629E-2</v>
      </c>
      <c r="AX194" s="184">
        <f t="shared" si="411"/>
        <v>4.0818135485433629E-2</v>
      </c>
      <c r="AY194" s="184">
        <f t="shared" si="411"/>
        <v>4.0818135485433629E-2</v>
      </c>
      <c r="AZ194" s="184">
        <f t="shared" si="411"/>
        <v>4.0818135485433629E-2</v>
      </c>
      <c r="BA194" s="184">
        <f t="shared" si="411"/>
        <v>4.0818135485433629E-2</v>
      </c>
      <c r="BB194" s="184">
        <f t="shared" si="411"/>
        <v>4.0818135485433629E-2</v>
      </c>
      <c r="BC194" s="184">
        <f t="shared" si="411"/>
        <v>4.0818135485433629E-2</v>
      </c>
      <c r="BD194" s="184">
        <f t="shared" si="411"/>
        <v>4.0818135485433629E-2</v>
      </c>
      <c r="BE194" s="184">
        <f t="shared" si="411"/>
        <v>4.0818135485433629E-2</v>
      </c>
      <c r="BF194" s="184">
        <f t="shared" si="411"/>
        <v>4.0818135485433629E-2</v>
      </c>
    </row>
    <row r="195" spans="2:58">
      <c r="B195" t="s">
        <v>658</v>
      </c>
      <c r="C195" s="109">
        <v>8644.7221651865148</v>
      </c>
      <c r="D195" s="182">
        <f t="shared" ref="D195:I195" si="412">C195+($J195-$C195)/(COLUMN($J195)-COLUMN($C195))</f>
        <v>9107.6266068943787</v>
      </c>
      <c r="E195" s="182">
        <f t="shared" si="412"/>
        <v>9570.5310486022427</v>
      </c>
      <c r="F195" s="182">
        <f t="shared" si="412"/>
        <v>10033.435490310107</v>
      </c>
      <c r="G195" s="182">
        <f t="shared" si="412"/>
        <v>10496.339932017971</v>
      </c>
      <c r="H195" s="182">
        <f t="shared" si="412"/>
        <v>10959.244373725835</v>
      </c>
      <c r="I195" s="182">
        <f t="shared" si="412"/>
        <v>11422.148815433698</v>
      </c>
      <c r="J195" s="109">
        <v>11885.053257141557</v>
      </c>
      <c r="K195" s="183">
        <f t="shared" si="385"/>
        <v>11816.864444790741</v>
      </c>
      <c r="L195" s="183">
        <f t="shared" si="385"/>
        <v>11748.675632439925</v>
      </c>
      <c r="M195" s="183">
        <f t="shared" si="385"/>
        <v>11680.486820089109</v>
      </c>
      <c r="N195" s="183">
        <f t="shared" si="385"/>
        <v>11612.298007738293</v>
      </c>
      <c r="O195" s="109">
        <v>11544.109195387475</v>
      </c>
      <c r="P195" s="183">
        <f t="shared" si="386"/>
        <v>11544.109195387475</v>
      </c>
      <c r="Q195" s="183">
        <f t="shared" si="386"/>
        <v>11544.109195387475</v>
      </c>
      <c r="R195" s="183">
        <f t="shared" si="386"/>
        <v>11544.109195387475</v>
      </c>
      <c r="S195" s="183">
        <f t="shared" si="386"/>
        <v>11544.109195387475</v>
      </c>
      <c r="T195" s="109">
        <v>11544.109195387475</v>
      </c>
      <c r="U195" s="195"/>
      <c r="V195" t="s">
        <v>658</v>
      </c>
      <c r="W195" s="39">
        <f t="shared" ref="W195:AL195" si="413">E195/SUM(E164:E196)</f>
        <v>2.0761576053144923E-2</v>
      </c>
      <c r="X195" s="39">
        <f t="shared" si="413"/>
        <v>2.3300011982958529E-2</v>
      </c>
      <c r="Y195" s="39">
        <f t="shared" si="413"/>
        <v>2.6223449805058207E-2</v>
      </c>
      <c r="Z195" s="39">
        <f t="shared" si="413"/>
        <v>2.9626666095582448E-2</v>
      </c>
      <c r="AA195" s="39">
        <f t="shared" si="413"/>
        <v>3.3638326707538059E-2</v>
      </c>
      <c r="AB195" s="39">
        <f t="shared" si="413"/>
        <v>3.8437620989198298E-2</v>
      </c>
      <c r="AC195" s="39">
        <f t="shared" si="413"/>
        <v>3.8435170473788388E-2</v>
      </c>
      <c r="AD195" s="39">
        <f t="shared" si="413"/>
        <v>3.8432691830901221E-2</v>
      </c>
      <c r="AE195" s="39">
        <f t="shared" si="413"/>
        <v>3.8430184573462728E-2</v>
      </c>
      <c r="AF195" s="39">
        <f t="shared" si="413"/>
        <v>3.8427648203087514E-2</v>
      </c>
      <c r="AG195" s="39">
        <f t="shared" si="413"/>
        <v>3.8425082209748683E-2</v>
      </c>
      <c r="AH195" s="39">
        <f t="shared" si="413"/>
        <v>3.8425082209748683E-2</v>
      </c>
      <c r="AI195" s="39">
        <f t="shared" si="413"/>
        <v>3.8425082209748683E-2</v>
      </c>
      <c r="AJ195" s="39">
        <f t="shared" si="413"/>
        <v>3.8425082209748683E-2</v>
      </c>
      <c r="AK195" s="39">
        <f t="shared" si="413"/>
        <v>3.8425082209748683E-2</v>
      </c>
      <c r="AL195" s="39">
        <f t="shared" si="413"/>
        <v>3.8425082209748683E-2</v>
      </c>
      <c r="AM195" s="184">
        <f t="shared" ref="AM195:BF195" si="414">AL195</f>
        <v>3.8425082209748683E-2</v>
      </c>
      <c r="AN195" s="184">
        <f t="shared" si="414"/>
        <v>3.8425082209748683E-2</v>
      </c>
      <c r="AO195" s="184">
        <f t="shared" si="414"/>
        <v>3.8425082209748683E-2</v>
      </c>
      <c r="AP195" s="184">
        <f t="shared" si="414"/>
        <v>3.8425082209748683E-2</v>
      </c>
      <c r="AQ195" s="184">
        <f t="shared" si="414"/>
        <v>3.8425082209748683E-2</v>
      </c>
      <c r="AR195" s="184">
        <f t="shared" si="414"/>
        <v>3.8425082209748683E-2</v>
      </c>
      <c r="AS195" s="184">
        <f t="shared" si="414"/>
        <v>3.8425082209748683E-2</v>
      </c>
      <c r="AT195" s="184">
        <f t="shared" si="414"/>
        <v>3.8425082209748683E-2</v>
      </c>
      <c r="AU195" s="184">
        <f t="shared" si="414"/>
        <v>3.8425082209748683E-2</v>
      </c>
      <c r="AV195" s="184">
        <f t="shared" si="414"/>
        <v>3.8425082209748683E-2</v>
      </c>
      <c r="AW195" s="184">
        <f t="shared" si="414"/>
        <v>3.8425082209748683E-2</v>
      </c>
      <c r="AX195" s="184">
        <f t="shared" si="414"/>
        <v>3.8425082209748683E-2</v>
      </c>
      <c r="AY195" s="184">
        <f t="shared" si="414"/>
        <v>3.8425082209748683E-2</v>
      </c>
      <c r="AZ195" s="184">
        <f t="shared" si="414"/>
        <v>3.8425082209748683E-2</v>
      </c>
      <c r="BA195" s="184">
        <f t="shared" si="414"/>
        <v>3.8425082209748683E-2</v>
      </c>
      <c r="BB195" s="184">
        <f t="shared" si="414"/>
        <v>3.8425082209748683E-2</v>
      </c>
      <c r="BC195" s="184">
        <f t="shared" si="414"/>
        <v>3.8425082209748683E-2</v>
      </c>
      <c r="BD195" s="184">
        <f t="shared" si="414"/>
        <v>3.8425082209748683E-2</v>
      </c>
      <c r="BE195" s="184">
        <f t="shared" si="414"/>
        <v>3.8425082209748683E-2</v>
      </c>
      <c r="BF195" s="184">
        <f t="shared" si="414"/>
        <v>3.8425082209748683E-2</v>
      </c>
    </row>
    <row r="196" spans="2:58">
      <c r="B196" t="s">
        <v>659</v>
      </c>
      <c r="C196" s="109">
        <v>18467.332400929736</v>
      </c>
      <c r="D196" s="182">
        <f t="shared" ref="D196:I196" si="415">C196+($J196-$C196)/(COLUMN($J196)-COLUMN($C196))</f>
        <v>16404.925233767306</v>
      </c>
      <c r="E196" s="182">
        <f t="shared" si="415"/>
        <v>14342.518066604875</v>
      </c>
      <c r="F196" s="182">
        <f t="shared" si="415"/>
        <v>12280.110899442443</v>
      </c>
      <c r="G196" s="182">
        <f t="shared" si="415"/>
        <v>10217.703732280012</v>
      </c>
      <c r="H196" s="182">
        <f t="shared" si="415"/>
        <v>8155.29656511758</v>
      </c>
      <c r="I196" s="182">
        <f t="shared" si="415"/>
        <v>6092.8893979551485</v>
      </c>
      <c r="J196" s="109">
        <v>4030.4822307927188</v>
      </c>
      <c r="K196" s="183">
        <f t="shared" si="385"/>
        <v>4007.7077584164963</v>
      </c>
      <c r="L196" s="183">
        <f t="shared" si="385"/>
        <v>3984.9332860402737</v>
      </c>
      <c r="M196" s="183">
        <f t="shared" si="385"/>
        <v>3962.1588136640512</v>
      </c>
      <c r="N196" s="183">
        <f t="shared" si="385"/>
        <v>3939.3843412878286</v>
      </c>
      <c r="O196" s="109">
        <v>3916.6098689116061</v>
      </c>
      <c r="P196" s="183">
        <f t="shared" si="386"/>
        <v>3916.6098689116061</v>
      </c>
      <c r="Q196" s="183">
        <f t="shared" si="386"/>
        <v>3916.6098689116061</v>
      </c>
      <c r="R196" s="183">
        <f t="shared" si="386"/>
        <v>3916.6098689116061</v>
      </c>
      <c r="S196" s="183">
        <f t="shared" si="386"/>
        <v>3916.6098689116061</v>
      </c>
      <c r="T196" s="109">
        <v>3916.6098689116061</v>
      </c>
      <c r="U196" s="195"/>
      <c r="V196" t="s">
        <v>659</v>
      </c>
      <c r="W196" s="39">
        <f t="shared" ref="W196:AL196" si="416">E196/SUM(E164:E196)</f>
        <v>3.1113558706537127E-2</v>
      </c>
      <c r="X196" s="39">
        <f t="shared" si="416"/>
        <v>2.8517324039746744E-2</v>
      </c>
      <c r="Y196" s="39">
        <f t="shared" si="416"/>
        <v>2.5527321207373225E-2</v>
      </c>
      <c r="Z196" s="39">
        <f t="shared" si="416"/>
        <v>2.2046615624745573E-2</v>
      </c>
      <c r="AA196" s="39">
        <f t="shared" si="416"/>
        <v>1.7943611790836929E-2</v>
      </c>
      <c r="AB196" s="39">
        <f t="shared" si="416"/>
        <v>1.3035040318209639E-2</v>
      </c>
      <c r="AC196" s="39">
        <f t="shared" si="416"/>
        <v>1.3035347204288771E-2</v>
      </c>
      <c r="AD196" s="39">
        <f t="shared" si="416"/>
        <v>1.3035657612864094E-2</v>
      </c>
      <c r="AE196" s="39">
        <f t="shared" si="416"/>
        <v>1.3035971604933498E-2</v>
      </c>
      <c r="AF196" s="39">
        <f t="shared" si="416"/>
        <v>1.3036289242911413E-2</v>
      </c>
      <c r="AG196" s="39">
        <f t="shared" si="416"/>
        <v>1.3036610590670189E-2</v>
      </c>
      <c r="AH196" s="39">
        <f t="shared" si="416"/>
        <v>1.3036610590670189E-2</v>
      </c>
      <c r="AI196" s="39">
        <f t="shared" si="416"/>
        <v>1.3036610590670189E-2</v>
      </c>
      <c r="AJ196" s="39">
        <f t="shared" si="416"/>
        <v>1.3036610590670189E-2</v>
      </c>
      <c r="AK196" s="39">
        <f t="shared" si="416"/>
        <v>1.3036610590670189E-2</v>
      </c>
      <c r="AL196" s="39">
        <f t="shared" si="416"/>
        <v>1.3036610590670189E-2</v>
      </c>
      <c r="AM196" s="184">
        <f t="shared" ref="AM196:BF198" si="417">AL196</f>
        <v>1.3036610590670189E-2</v>
      </c>
      <c r="AN196" s="184">
        <f t="shared" si="417"/>
        <v>1.3036610590670189E-2</v>
      </c>
      <c r="AO196" s="184">
        <f t="shared" si="417"/>
        <v>1.3036610590670189E-2</v>
      </c>
      <c r="AP196" s="184">
        <f t="shared" si="417"/>
        <v>1.3036610590670189E-2</v>
      </c>
      <c r="AQ196" s="184">
        <f t="shared" si="417"/>
        <v>1.3036610590670189E-2</v>
      </c>
      <c r="AR196" s="184">
        <f t="shared" si="417"/>
        <v>1.3036610590670189E-2</v>
      </c>
      <c r="AS196" s="184">
        <f t="shared" si="417"/>
        <v>1.3036610590670189E-2</v>
      </c>
      <c r="AT196" s="184">
        <f t="shared" si="417"/>
        <v>1.3036610590670189E-2</v>
      </c>
      <c r="AU196" s="184">
        <f t="shared" si="417"/>
        <v>1.3036610590670189E-2</v>
      </c>
      <c r="AV196" s="184">
        <f t="shared" si="417"/>
        <v>1.3036610590670189E-2</v>
      </c>
      <c r="AW196" s="184">
        <f t="shared" si="417"/>
        <v>1.3036610590670189E-2</v>
      </c>
      <c r="AX196" s="184">
        <f t="shared" si="417"/>
        <v>1.3036610590670189E-2</v>
      </c>
      <c r="AY196" s="184">
        <f t="shared" si="417"/>
        <v>1.3036610590670189E-2</v>
      </c>
      <c r="AZ196" s="184">
        <f t="shared" si="417"/>
        <v>1.3036610590670189E-2</v>
      </c>
      <c r="BA196" s="184">
        <f t="shared" si="417"/>
        <v>1.3036610590670189E-2</v>
      </c>
      <c r="BB196" s="184">
        <f t="shared" si="417"/>
        <v>1.3036610590670189E-2</v>
      </c>
      <c r="BC196" s="184">
        <f t="shared" si="417"/>
        <v>1.3036610590670189E-2</v>
      </c>
      <c r="BD196" s="184">
        <f t="shared" si="417"/>
        <v>1.3036610590670189E-2</v>
      </c>
      <c r="BE196" s="184">
        <f t="shared" si="417"/>
        <v>1.3036610590670189E-2</v>
      </c>
      <c r="BF196" s="184">
        <f t="shared" si="417"/>
        <v>1.3036610590670189E-2</v>
      </c>
    </row>
    <row r="197" spans="2:58">
      <c r="B197" t="s">
        <v>660</v>
      </c>
      <c r="C197" s="109">
        <f>SUM(C169,C170,C171,C175,C176,C177,C183,C184,C186,C187,C192,C194)</f>
        <v>178748.51797746267</v>
      </c>
      <c r="D197" s="182">
        <f t="shared" ref="D197:T197" si="418">SUM(D169,D170,D171,D175,D176,D177,D183,D184,D186,D187,D192,D194)</f>
        <v>166682.74501783669</v>
      </c>
      <c r="E197" s="182">
        <f t="shared" si="418"/>
        <v>154616.97205821073</v>
      </c>
      <c r="F197" s="182">
        <f t="shared" si="418"/>
        <v>142551.19909858482</v>
      </c>
      <c r="G197" s="182">
        <f t="shared" si="418"/>
        <v>130485.42613895884</v>
      </c>
      <c r="H197" s="182">
        <f t="shared" si="418"/>
        <v>118419.65317933288</v>
      </c>
      <c r="I197" s="182">
        <f t="shared" si="418"/>
        <v>106353.88021970692</v>
      </c>
      <c r="J197" s="109">
        <f>SUM(J169,J170,J171,J175,J176,J177,J183,J184,J186,J187,J192,J194)</f>
        <v>94288.107260080986</v>
      </c>
      <c r="K197" s="183">
        <f t="shared" si="418"/>
        <v>93762.185702198636</v>
      </c>
      <c r="L197" s="183">
        <f t="shared" si="418"/>
        <v>93236.264144316301</v>
      </c>
      <c r="M197" s="183">
        <f t="shared" si="418"/>
        <v>92710.342586433981</v>
      </c>
      <c r="N197" s="183">
        <f t="shared" si="418"/>
        <v>92184.421028551616</v>
      </c>
      <c r="O197" s="109">
        <f t="shared" si="418"/>
        <v>91658.499470669296</v>
      </c>
      <c r="P197" s="183">
        <f t="shared" si="418"/>
        <v>91658.499470669296</v>
      </c>
      <c r="Q197" s="183">
        <f t="shared" si="418"/>
        <v>91658.499470669296</v>
      </c>
      <c r="R197" s="183">
        <f t="shared" si="418"/>
        <v>91658.499470669296</v>
      </c>
      <c r="S197" s="183">
        <f t="shared" si="418"/>
        <v>91658.499470669296</v>
      </c>
      <c r="T197" s="109">
        <f t="shared" si="418"/>
        <v>91658.499470669296</v>
      </c>
      <c r="U197" s="195"/>
      <c r="V197" t="s">
        <v>660</v>
      </c>
      <c r="W197" s="193">
        <f>E197/SUM(E$164:E$196)</f>
        <v>0.33541420096665936</v>
      </c>
      <c r="X197" s="172">
        <f t="shared" ref="X197:AL198" si="419">F197/SUM(F$164:F$196)</f>
        <v>0.33103762419062271</v>
      </c>
      <c r="Y197" s="172">
        <f t="shared" si="419"/>
        <v>0.32599725664456108</v>
      </c>
      <c r="Z197" s="172">
        <f t="shared" si="419"/>
        <v>0.32012969181615425</v>
      </c>
      <c r="AA197" s="172">
        <f t="shared" si="419"/>
        <v>0.31321309389795682</v>
      </c>
      <c r="AB197" s="172">
        <f t="shared" si="419"/>
        <v>0.30493851834228286</v>
      </c>
      <c r="AC197" s="172">
        <f t="shared" si="419"/>
        <v>0.30496800638579435</v>
      </c>
      <c r="AD197" s="172">
        <f t="shared" si="419"/>
        <v>0.30499783289862109</v>
      </c>
      <c r="AE197" s="172">
        <f t="shared" si="419"/>
        <v>0.30502800374192274</v>
      </c>
      <c r="AF197" s="172">
        <f t="shared" si="419"/>
        <v>0.30505852491297181</v>
      </c>
      <c r="AG197" s="172">
        <f t="shared" si="419"/>
        <v>0.30508940254912925</v>
      </c>
      <c r="AH197" s="172">
        <f t="shared" si="419"/>
        <v>0.30508940254912925</v>
      </c>
      <c r="AI197" s="172">
        <f t="shared" si="419"/>
        <v>0.30508940254912925</v>
      </c>
      <c r="AJ197" s="172">
        <f t="shared" si="419"/>
        <v>0.30508940254912925</v>
      </c>
      <c r="AK197" s="172">
        <f t="shared" si="419"/>
        <v>0.30508940254912925</v>
      </c>
      <c r="AL197" s="172">
        <f t="shared" si="419"/>
        <v>0.30508940254912925</v>
      </c>
      <c r="AM197" s="184">
        <f>AL197</f>
        <v>0.30508940254912925</v>
      </c>
      <c r="AN197" s="184">
        <f t="shared" si="417"/>
        <v>0.30508940254912925</v>
      </c>
      <c r="AO197" s="184">
        <f t="shared" si="417"/>
        <v>0.30508940254912925</v>
      </c>
      <c r="AP197" s="184">
        <f t="shared" si="417"/>
        <v>0.30508940254912925</v>
      </c>
      <c r="AQ197" s="184">
        <f t="shared" si="417"/>
        <v>0.30508940254912925</v>
      </c>
      <c r="AR197" s="184">
        <f t="shared" si="417"/>
        <v>0.30508940254912925</v>
      </c>
      <c r="AS197" s="184">
        <f t="shared" si="417"/>
        <v>0.30508940254912925</v>
      </c>
      <c r="AT197" s="184">
        <f t="shared" si="417"/>
        <v>0.30508940254912925</v>
      </c>
      <c r="AU197" s="184">
        <f t="shared" si="417"/>
        <v>0.30508940254912925</v>
      </c>
      <c r="AV197" s="184">
        <f t="shared" si="417"/>
        <v>0.30508940254912925</v>
      </c>
      <c r="AW197" s="184">
        <f t="shared" si="417"/>
        <v>0.30508940254912925</v>
      </c>
      <c r="AX197" s="184">
        <f t="shared" si="417"/>
        <v>0.30508940254912925</v>
      </c>
      <c r="AY197" s="184">
        <f t="shared" si="417"/>
        <v>0.30508940254912925</v>
      </c>
      <c r="AZ197" s="184">
        <f t="shared" si="417"/>
        <v>0.30508940254912925</v>
      </c>
      <c r="BA197" s="184">
        <f t="shared" si="417"/>
        <v>0.30508940254912925</v>
      </c>
      <c r="BB197" s="184">
        <f t="shared" si="417"/>
        <v>0.30508940254912925</v>
      </c>
      <c r="BC197" s="184">
        <f t="shared" si="417"/>
        <v>0.30508940254912925</v>
      </c>
      <c r="BD197" s="184">
        <f t="shared" si="417"/>
        <v>0.30508940254912925</v>
      </c>
      <c r="BE197" s="184">
        <f t="shared" si="417"/>
        <v>0.30508940254912925</v>
      </c>
      <c r="BF197" s="184">
        <f t="shared" si="417"/>
        <v>0.30508940254912925</v>
      </c>
    </row>
    <row r="198" spans="2:58">
      <c r="B198" t="s">
        <v>661</v>
      </c>
      <c r="C198" s="109">
        <f>SUM(C164,C165,C166,C167,C172,C173,C174,C178,C179,C180,C181,C182,C185,C188,C189,C190,C191,C193,C195,C196,C168)</f>
        <v>342932.55687648518</v>
      </c>
      <c r="D198" s="182">
        <f t="shared" ref="D198:T198" si="420">SUM(D164,D165,D166,D167,D172,D173,D174,D178,D179,D180,D181,D182,D185,D188,D189,D190,D191,D193,D195,D196,D168)</f>
        <v>324644.41404383042</v>
      </c>
      <c r="E198" s="182">
        <f t="shared" si="420"/>
        <v>306356.27121117571</v>
      </c>
      <c r="F198" s="182">
        <f t="shared" si="420"/>
        <v>288068.12837852101</v>
      </c>
      <c r="G198" s="182">
        <f t="shared" si="420"/>
        <v>269779.98554586631</v>
      </c>
      <c r="H198" s="182">
        <f t="shared" si="420"/>
        <v>251491.84271321163</v>
      </c>
      <c r="I198" s="182">
        <f t="shared" si="420"/>
        <v>233203.69988055687</v>
      </c>
      <c r="J198" s="109">
        <f t="shared" si="420"/>
        <v>214915.55704790217</v>
      </c>
      <c r="K198" s="183">
        <f t="shared" si="420"/>
        <v>213687.06713380697</v>
      </c>
      <c r="L198" s="183">
        <f t="shared" si="420"/>
        <v>212458.57721971176</v>
      </c>
      <c r="M198" s="183">
        <f t="shared" si="420"/>
        <v>211230.08730561667</v>
      </c>
      <c r="N198" s="183">
        <f t="shared" si="420"/>
        <v>210001.59739152141</v>
      </c>
      <c r="O198" s="109">
        <f t="shared" si="420"/>
        <v>208773.10747742627</v>
      </c>
      <c r="P198" s="183">
        <f t="shared" si="420"/>
        <v>208773.10747742627</v>
      </c>
      <c r="Q198" s="183">
        <f t="shared" si="420"/>
        <v>208773.10747742627</v>
      </c>
      <c r="R198" s="183">
        <f t="shared" si="420"/>
        <v>208773.10747742627</v>
      </c>
      <c r="S198" s="183">
        <f t="shared" si="420"/>
        <v>208773.10747742627</v>
      </c>
      <c r="T198" s="109">
        <f t="shared" si="420"/>
        <v>208773.10747742627</v>
      </c>
      <c r="U198" s="195"/>
      <c r="V198" t="s">
        <v>661</v>
      </c>
      <c r="W198" s="193">
        <f>E198/SUM(E$164:E$196)</f>
        <v>0.6645857990333407</v>
      </c>
      <c r="X198" s="172">
        <f t="shared" si="419"/>
        <v>0.66896237580937756</v>
      </c>
      <c r="Y198" s="172">
        <f t="shared" si="419"/>
        <v>0.67400274335543897</v>
      </c>
      <c r="Z198" s="172">
        <f t="shared" si="419"/>
        <v>0.67987030818384575</v>
      </c>
      <c r="AA198" s="172">
        <f t="shared" si="419"/>
        <v>0.68678690610204307</v>
      </c>
      <c r="AB198" s="172">
        <f t="shared" si="419"/>
        <v>0.6950614816577172</v>
      </c>
      <c r="AC198" s="172">
        <f t="shared" si="419"/>
        <v>0.69503199361420587</v>
      </c>
      <c r="AD198" s="172">
        <f t="shared" si="419"/>
        <v>0.69500216710137896</v>
      </c>
      <c r="AE198" s="172">
        <f t="shared" si="419"/>
        <v>0.69497199625807782</v>
      </c>
      <c r="AF198" s="172">
        <f t="shared" si="419"/>
        <v>0.69494147508702797</v>
      </c>
      <c r="AG198" s="172">
        <f t="shared" si="419"/>
        <v>0.6949105974508708</v>
      </c>
      <c r="AH198" s="172">
        <f t="shared" si="419"/>
        <v>0.6949105974508708</v>
      </c>
      <c r="AI198" s="172">
        <f t="shared" si="419"/>
        <v>0.6949105974508708</v>
      </c>
      <c r="AJ198" s="172">
        <f t="shared" si="419"/>
        <v>0.6949105974508708</v>
      </c>
      <c r="AK198" s="172">
        <f t="shared" si="419"/>
        <v>0.6949105974508708</v>
      </c>
      <c r="AL198" s="172">
        <f t="shared" si="419"/>
        <v>0.6949105974508708</v>
      </c>
      <c r="AM198" s="184">
        <f>AL198</f>
        <v>0.6949105974508708</v>
      </c>
      <c r="AN198" s="184">
        <f t="shared" si="417"/>
        <v>0.6949105974508708</v>
      </c>
      <c r="AO198" s="184">
        <f t="shared" si="417"/>
        <v>0.6949105974508708</v>
      </c>
      <c r="AP198" s="184">
        <f t="shared" si="417"/>
        <v>0.6949105974508708</v>
      </c>
      <c r="AQ198" s="184">
        <f t="shared" si="417"/>
        <v>0.6949105974508708</v>
      </c>
      <c r="AR198" s="184">
        <f t="shared" si="417"/>
        <v>0.6949105974508708</v>
      </c>
      <c r="AS198" s="184">
        <f t="shared" si="417"/>
        <v>0.6949105974508708</v>
      </c>
      <c r="AT198" s="184">
        <f t="shared" si="417"/>
        <v>0.6949105974508708</v>
      </c>
      <c r="AU198" s="184">
        <f t="shared" si="417"/>
        <v>0.6949105974508708</v>
      </c>
      <c r="AV198" s="184">
        <f t="shared" si="417"/>
        <v>0.6949105974508708</v>
      </c>
      <c r="AW198" s="184">
        <f t="shared" si="417"/>
        <v>0.6949105974508708</v>
      </c>
      <c r="AX198" s="184">
        <f t="shared" si="417"/>
        <v>0.6949105974508708</v>
      </c>
      <c r="AY198" s="184">
        <f t="shared" si="417"/>
        <v>0.6949105974508708</v>
      </c>
      <c r="AZ198" s="184">
        <f t="shared" si="417"/>
        <v>0.6949105974508708</v>
      </c>
      <c r="BA198" s="184">
        <f t="shared" si="417"/>
        <v>0.6949105974508708</v>
      </c>
      <c r="BB198" s="184">
        <f t="shared" si="417"/>
        <v>0.6949105974508708</v>
      </c>
      <c r="BC198" s="184">
        <f t="shared" si="417"/>
        <v>0.6949105974508708</v>
      </c>
      <c r="BD198" s="184">
        <f t="shared" si="417"/>
        <v>0.6949105974508708</v>
      </c>
      <c r="BE198" s="184">
        <f t="shared" si="417"/>
        <v>0.6949105974508708</v>
      </c>
      <c r="BF198" s="184">
        <f t="shared" si="417"/>
        <v>0.6949105974508708</v>
      </c>
    </row>
    <row r="199" spans="2:58">
      <c r="B199" t="s">
        <v>122</v>
      </c>
      <c r="C199" s="203">
        <f>SUM(C164:C196)</f>
        <v>521681.07485394774</v>
      </c>
      <c r="D199" s="203">
        <f t="shared" ref="D199:T199" si="421">SUM(D164:D196)</f>
        <v>491327.15906166722</v>
      </c>
      <c r="E199" s="203">
        <f t="shared" si="421"/>
        <v>460973.24326938641</v>
      </c>
      <c r="F199" s="203">
        <f t="shared" si="421"/>
        <v>430619.32747710572</v>
      </c>
      <c r="G199" s="203">
        <f t="shared" si="421"/>
        <v>400265.41168482514</v>
      </c>
      <c r="H199" s="203">
        <f t="shared" si="421"/>
        <v>369911.49589254451</v>
      </c>
      <c r="I199" s="203">
        <f t="shared" si="421"/>
        <v>339557.58010026382</v>
      </c>
      <c r="J199" s="203">
        <f t="shared" si="421"/>
        <v>309203.66430798313</v>
      </c>
      <c r="K199" s="203">
        <f t="shared" si="421"/>
        <v>307449.25283600553</v>
      </c>
      <c r="L199" s="203">
        <f t="shared" si="421"/>
        <v>305694.84136402805</v>
      </c>
      <c r="M199" s="203">
        <f t="shared" si="421"/>
        <v>303940.42989205051</v>
      </c>
      <c r="N199" s="203">
        <f t="shared" si="421"/>
        <v>302186.01842007309</v>
      </c>
      <c r="O199" s="203">
        <f t="shared" si="421"/>
        <v>300431.60694809555</v>
      </c>
      <c r="P199" s="203">
        <f t="shared" si="421"/>
        <v>300431.60694809555</v>
      </c>
      <c r="Q199" s="203">
        <f t="shared" si="421"/>
        <v>300431.60694809555</v>
      </c>
      <c r="R199" s="203">
        <f t="shared" si="421"/>
        <v>300431.60694809555</v>
      </c>
      <c r="S199" s="203">
        <f t="shared" si="421"/>
        <v>300431.60694809555</v>
      </c>
      <c r="T199" s="203">
        <f t="shared" si="421"/>
        <v>300431.60694809555</v>
      </c>
      <c r="V199" s="181" t="s">
        <v>122</v>
      </c>
      <c r="W199" s="196">
        <f t="shared" ref="W199:BF199" si="422">SUM(W164:W196)</f>
        <v>1</v>
      </c>
      <c r="X199" s="196">
        <f t="shared" si="422"/>
        <v>1.0000000000000002</v>
      </c>
      <c r="Y199" s="196">
        <f t="shared" si="422"/>
        <v>1</v>
      </c>
      <c r="Z199" s="196">
        <f t="shared" si="422"/>
        <v>0.99999999999999956</v>
      </c>
      <c r="AA199" s="196">
        <f t="shared" si="422"/>
        <v>1.0000000000000002</v>
      </c>
      <c r="AB199" s="196">
        <f t="shared" si="422"/>
        <v>1</v>
      </c>
      <c r="AC199" s="196">
        <f t="shared" si="422"/>
        <v>1.0000000000000002</v>
      </c>
      <c r="AD199" s="196">
        <f t="shared" si="422"/>
        <v>1</v>
      </c>
      <c r="AE199" s="196">
        <f t="shared" si="422"/>
        <v>1.0000000000000002</v>
      </c>
      <c r="AF199" s="196">
        <f t="shared" si="422"/>
        <v>0.99999999999999989</v>
      </c>
      <c r="AG199" s="196">
        <f t="shared" si="422"/>
        <v>1</v>
      </c>
      <c r="AH199" s="196">
        <f t="shared" si="422"/>
        <v>1</v>
      </c>
      <c r="AI199" s="196">
        <f t="shared" si="422"/>
        <v>1</v>
      </c>
      <c r="AJ199" s="196">
        <f t="shared" si="422"/>
        <v>1</v>
      </c>
      <c r="AK199" s="196">
        <f t="shared" si="422"/>
        <v>1</v>
      </c>
      <c r="AL199" s="196">
        <f t="shared" si="422"/>
        <v>1</v>
      </c>
      <c r="AM199" s="196">
        <f t="shared" si="422"/>
        <v>1</v>
      </c>
      <c r="AN199" s="196">
        <f t="shared" si="422"/>
        <v>1</v>
      </c>
      <c r="AO199" s="196">
        <f t="shared" si="422"/>
        <v>1</v>
      </c>
      <c r="AP199" s="196">
        <f t="shared" si="422"/>
        <v>1</v>
      </c>
      <c r="AQ199" s="196">
        <f t="shared" si="422"/>
        <v>1</v>
      </c>
      <c r="AR199" s="196">
        <f t="shared" si="422"/>
        <v>1</v>
      </c>
      <c r="AS199" s="196">
        <f t="shared" si="422"/>
        <v>1</v>
      </c>
      <c r="AT199" s="196">
        <f t="shared" si="422"/>
        <v>1</v>
      </c>
      <c r="AU199" s="196">
        <f t="shared" si="422"/>
        <v>1</v>
      </c>
      <c r="AV199" s="196">
        <f t="shared" si="422"/>
        <v>1</v>
      </c>
      <c r="AW199" s="196">
        <f t="shared" si="422"/>
        <v>1</v>
      </c>
      <c r="AX199" s="196">
        <f t="shared" si="422"/>
        <v>1</v>
      </c>
      <c r="AY199" s="196">
        <f t="shared" si="422"/>
        <v>1</v>
      </c>
      <c r="AZ199" s="196">
        <f t="shared" si="422"/>
        <v>1</v>
      </c>
      <c r="BA199" s="196">
        <f t="shared" si="422"/>
        <v>1</v>
      </c>
      <c r="BB199" s="196">
        <f t="shared" si="422"/>
        <v>1</v>
      </c>
      <c r="BC199" s="196">
        <f t="shared" si="422"/>
        <v>1</v>
      </c>
      <c r="BD199" s="196">
        <f t="shared" si="422"/>
        <v>1</v>
      </c>
      <c r="BE199" s="196">
        <f t="shared" si="422"/>
        <v>1</v>
      </c>
      <c r="BF199" s="197">
        <f t="shared" si="422"/>
        <v>1</v>
      </c>
    </row>
    <row r="200" spans="2:58">
      <c r="V200" s="181" t="s">
        <v>662</v>
      </c>
      <c r="W200" s="196">
        <f t="shared" ref="W200:BF200" si="423">INDEX(W164:W199,MATCH($V$5,$V164:$V199,0))</f>
        <v>0.33541420096665936</v>
      </c>
      <c r="X200" s="196">
        <f t="shared" si="423"/>
        <v>0.33103762419062271</v>
      </c>
      <c r="Y200" s="196">
        <f t="shared" si="423"/>
        <v>0.32599725664456108</v>
      </c>
      <c r="Z200" s="196">
        <f t="shared" si="423"/>
        <v>0.32012969181615425</v>
      </c>
      <c r="AA200" s="196">
        <f t="shared" si="423"/>
        <v>0.31321309389795682</v>
      </c>
      <c r="AB200" s="196">
        <f t="shared" si="423"/>
        <v>0.30493851834228286</v>
      </c>
      <c r="AC200" s="196">
        <f t="shared" si="423"/>
        <v>0.30496800638579435</v>
      </c>
      <c r="AD200" s="196">
        <f t="shared" si="423"/>
        <v>0.30499783289862109</v>
      </c>
      <c r="AE200" s="196">
        <f t="shared" si="423"/>
        <v>0.30502800374192274</v>
      </c>
      <c r="AF200" s="196">
        <f t="shared" si="423"/>
        <v>0.30505852491297181</v>
      </c>
      <c r="AG200" s="196">
        <f t="shared" si="423"/>
        <v>0.30508940254912925</v>
      </c>
      <c r="AH200" s="196">
        <f t="shared" si="423"/>
        <v>0.30508940254912925</v>
      </c>
      <c r="AI200" s="196">
        <f t="shared" si="423"/>
        <v>0.30508940254912925</v>
      </c>
      <c r="AJ200" s="196">
        <f t="shared" si="423"/>
        <v>0.30508940254912925</v>
      </c>
      <c r="AK200" s="196">
        <f t="shared" si="423"/>
        <v>0.30508940254912925</v>
      </c>
      <c r="AL200" s="196">
        <f t="shared" si="423"/>
        <v>0.30508940254912925</v>
      </c>
      <c r="AM200" s="196">
        <f t="shared" si="423"/>
        <v>0.30508940254912925</v>
      </c>
      <c r="AN200" s="196">
        <f t="shared" si="423"/>
        <v>0.30508940254912925</v>
      </c>
      <c r="AO200" s="196">
        <f t="shared" si="423"/>
        <v>0.30508940254912925</v>
      </c>
      <c r="AP200" s="196">
        <f t="shared" si="423"/>
        <v>0.30508940254912925</v>
      </c>
      <c r="AQ200" s="196">
        <f t="shared" si="423"/>
        <v>0.30508940254912925</v>
      </c>
      <c r="AR200" s="196">
        <f t="shared" si="423"/>
        <v>0.30508940254912925</v>
      </c>
      <c r="AS200" s="196">
        <f t="shared" si="423"/>
        <v>0.30508940254912925</v>
      </c>
      <c r="AT200" s="196">
        <f t="shared" si="423"/>
        <v>0.30508940254912925</v>
      </c>
      <c r="AU200" s="196">
        <f t="shared" si="423"/>
        <v>0.30508940254912925</v>
      </c>
      <c r="AV200" s="196">
        <f t="shared" si="423"/>
        <v>0.30508940254912925</v>
      </c>
      <c r="AW200" s="196">
        <f t="shared" si="423"/>
        <v>0.30508940254912925</v>
      </c>
      <c r="AX200" s="196">
        <f t="shared" si="423"/>
        <v>0.30508940254912925</v>
      </c>
      <c r="AY200" s="196">
        <f t="shared" si="423"/>
        <v>0.30508940254912925</v>
      </c>
      <c r="AZ200" s="196">
        <f t="shared" si="423"/>
        <v>0.30508940254912925</v>
      </c>
      <c r="BA200" s="196">
        <f t="shared" si="423"/>
        <v>0.30508940254912925</v>
      </c>
      <c r="BB200" s="196">
        <f t="shared" si="423"/>
        <v>0.30508940254912925</v>
      </c>
      <c r="BC200" s="196">
        <f t="shared" si="423"/>
        <v>0.30508940254912925</v>
      </c>
      <c r="BD200" s="196">
        <f t="shared" si="423"/>
        <v>0.30508940254912925</v>
      </c>
      <c r="BE200" s="196">
        <f t="shared" si="423"/>
        <v>0.30508940254912925</v>
      </c>
      <c r="BF200" s="197">
        <f t="shared" si="423"/>
        <v>0.30508940254912925</v>
      </c>
    </row>
    <row r="201" spans="2:58">
      <c r="C201" s="35" t="s">
        <v>671</v>
      </c>
      <c r="W201" s="35" t="s">
        <v>672</v>
      </c>
    </row>
    <row r="202" spans="2:58">
      <c r="C202" s="591">
        <v>2013</v>
      </c>
      <c r="D202" s="181">
        <v>2014</v>
      </c>
      <c r="E202" s="181">
        <v>2015</v>
      </c>
      <c r="F202" s="591">
        <v>2016</v>
      </c>
      <c r="G202" s="181">
        <v>2017</v>
      </c>
      <c r="H202" s="181">
        <v>2018</v>
      </c>
      <c r="I202" s="181">
        <v>2019</v>
      </c>
      <c r="J202" s="591">
        <v>2020</v>
      </c>
      <c r="K202" s="181">
        <v>2021</v>
      </c>
      <c r="L202" s="181">
        <v>2022</v>
      </c>
      <c r="M202" s="591">
        <v>2023</v>
      </c>
      <c r="N202" s="181">
        <v>2024</v>
      </c>
      <c r="O202" s="591">
        <v>2025</v>
      </c>
      <c r="P202" s="591">
        <v>2026</v>
      </c>
      <c r="Q202" s="181">
        <v>2027</v>
      </c>
      <c r="R202" s="591">
        <v>2028</v>
      </c>
      <c r="S202" s="591">
        <v>2029</v>
      </c>
      <c r="T202" s="591">
        <v>2030</v>
      </c>
      <c r="U202" s="81"/>
      <c r="W202" s="181">
        <v>2015</v>
      </c>
      <c r="X202" s="591">
        <v>2016</v>
      </c>
      <c r="Y202" s="181">
        <v>2017</v>
      </c>
      <c r="Z202" s="181">
        <v>2018</v>
      </c>
      <c r="AA202" s="181">
        <v>2019</v>
      </c>
      <c r="AB202" s="591">
        <v>2020</v>
      </c>
      <c r="AC202" s="181">
        <v>2021</v>
      </c>
      <c r="AD202" s="181">
        <v>2022</v>
      </c>
      <c r="AE202" s="591">
        <v>2023</v>
      </c>
      <c r="AF202" s="181">
        <v>2024</v>
      </c>
      <c r="AG202" s="591">
        <v>2025</v>
      </c>
      <c r="AH202" s="591">
        <v>2026</v>
      </c>
      <c r="AI202" s="181">
        <v>2027</v>
      </c>
      <c r="AJ202" s="591">
        <v>2028</v>
      </c>
      <c r="AK202" s="591">
        <v>2029</v>
      </c>
      <c r="AL202" s="591">
        <v>2030</v>
      </c>
      <c r="AM202" s="181">
        <v>2031</v>
      </c>
      <c r="AN202" s="591">
        <v>2032</v>
      </c>
      <c r="AO202" s="591">
        <v>2033</v>
      </c>
      <c r="AP202" s="591">
        <v>2034</v>
      </c>
      <c r="AQ202" s="181">
        <v>2035</v>
      </c>
      <c r="AR202" s="591">
        <v>2036</v>
      </c>
      <c r="AS202" s="591">
        <v>2037</v>
      </c>
      <c r="AT202" s="591">
        <v>2038</v>
      </c>
      <c r="AU202" s="181">
        <v>2039</v>
      </c>
      <c r="AV202" s="591">
        <v>2040</v>
      </c>
      <c r="AW202" s="591">
        <v>2041</v>
      </c>
      <c r="AX202" s="591">
        <v>2042</v>
      </c>
      <c r="AY202" s="181">
        <v>2043</v>
      </c>
      <c r="AZ202" s="591">
        <v>2044</v>
      </c>
      <c r="BA202" s="591">
        <v>2045</v>
      </c>
      <c r="BB202" s="591">
        <v>2046</v>
      </c>
      <c r="BC202" s="181">
        <v>2047</v>
      </c>
      <c r="BD202" s="591">
        <v>2048</v>
      </c>
      <c r="BE202" s="591">
        <v>2049</v>
      </c>
      <c r="BF202" s="591">
        <v>2050</v>
      </c>
    </row>
    <row r="203" spans="2:58">
      <c r="B203" t="s">
        <v>626</v>
      </c>
      <c r="C203" s="185">
        <v>20342.775401925275</v>
      </c>
      <c r="D203" s="187">
        <f>C203+($T203-$C203)/(COLUMN($T203)-COLUMN($C203))</f>
        <v>19265.804939470407</v>
      </c>
      <c r="E203" s="187">
        <f t="shared" ref="E203:S203" si="424">D203+($T203-$C203)/(COLUMN($T203)-COLUMN($C203))</f>
        <v>18188.834477015538</v>
      </c>
      <c r="F203" s="187">
        <f t="shared" si="424"/>
        <v>17111.86401456067</v>
      </c>
      <c r="G203" s="187">
        <f t="shared" si="424"/>
        <v>16034.893552105803</v>
      </c>
      <c r="H203" s="187">
        <f t="shared" si="424"/>
        <v>14957.923089650936</v>
      </c>
      <c r="I203" s="187">
        <f t="shared" si="424"/>
        <v>13880.952627196069</v>
      </c>
      <c r="J203" s="187">
        <f t="shared" si="424"/>
        <v>12803.982164741203</v>
      </c>
      <c r="K203" s="187">
        <f t="shared" si="424"/>
        <v>11727.011702286336</v>
      </c>
      <c r="L203" s="187">
        <f t="shared" si="424"/>
        <v>10650.041239831469</v>
      </c>
      <c r="M203" s="187">
        <f t="shared" si="424"/>
        <v>9573.0707773766026</v>
      </c>
      <c r="N203" s="187">
        <f t="shared" si="424"/>
        <v>8496.1003149217358</v>
      </c>
      <c r="O203" s="187">
        <f t="shared" si="424"/>
        <v>7419.1298524668682</v>
      </c>
      <c r="P203" s="187">
        <f t="shared" si="424"/>
        <v>6342.1593900120006</v>
      </c>
      <c r="Q203" s="187">
        <f t="shared" si="424"/>
        <v>5265.188927557133</v>
      </c>
      <c r="R203" s="187">
        <f t="shared" si="424"/>
        <v>4188.2184651022653</v>
      </c>
      <c r="S203" s="187">
        <f t="shared" si="424"/>
        <v>3111.2480026473977</v>
      </c>
      <c r="T203" s="208">
        <f>C203*0.1</f>
        <v>2034.2775401925276</v>
      </c>
      <c r="U203" s="195"/>
      <c r="V203" t="s">
        <v>626</v>
      </c>
      <c r="W203" s="39">
        <f t="shared" ref="W203:AK203" si="425">E203/SUM(E203:E235)</f>
        <v>2.682655088865548E-2</v>
      </c>
      <c r="X203" s="39">
        <f t="shared" si="425"/>
        <v>2.682655088865548E-2</v>
      </c>
      <c r="Y203" s="39">
        <f t="shared" si="425"/>
        <v>2.6826550888655473E-2</v>
      </c>
      <c r="Z203" s="39">
        <f t="shared" si="425"/>
        <v>2.6826550888655484E-2</v>
      </c>
      <c r="AA203" s="39">
        <f t="shared" si="425"/>
        <v>2.682655088865548E-2</v>
      </c>
      <c r="AB203" s="39">
        <f>J203/SUM(J203:J235)</f>
        <v>2.6826550888655484E-2</v>
      </c>
      <c r="AC203" s="39">
        <f>K203/SUM(K203:K235)</f>
        <v>2.682655088865548E-2</v>
      </c>
      <c r="AD203" s="39">
        <f>L203/SUM(L203:L235)</f>
        <v>2.6826550888655487E-2</v>
      </c>
      <c r="AE203" s="39">
        <f t="shared" si="425"/>
        <v>2.6826550888655484E-2</v>
      </c>
      <c r="AF203" s="39">
        <f t="shared" si="425"/>
        <v>2.6826550888655494E-2</v>
      </c>
      <c r="AG203" s="39">
        <f>O203/SUM(O203:O235)</f>
        <v>2.6826550888655494E-2</v>
      </c>
      <c r="AH203" s="39">
        <f>P203/SUM(P203:P235)</f>
        <v>2.6826550888655491E-2</v>
      </c>
      <c r="AI203" s="39">
        <f t="shared" si="425"/>
        <v>2.6826550888655491E-2</v>
      </c>
      <c r="AJ203" s="39">
        <f t="shared" si="425"/>
        <v>2.6826550888655491E-2</v>
      </c>
      <c r="AK203" s="39">
        <f t="shared" si="425"/>
        <v>2.6826550888655487E-2</v>
      </c>
      <c r="AL203" s="39">
        <f>T203/SUM(T203:T235)</f>
        <v>2.6826550888655487E-2</v>
      </c>
      <c r="AM203" s="184">
        <f>AL203</f>
        <v>2.6826550888655487E-2</v>
      </c>
      <c r="AN203" s="184">
        <f t="shared" ref="AN203:BF217" si="426">AM203</f>
        <v>2.6826550888655487E-2</v>
      </c>
      <c r="AO203" s="184">
        <f t="shared" si="426"/>
        <v>2.6826550888655487E-2</v>
      </c>
      <c r="AP203" s="184">
        <f t="shared" si="426"/>
        <v>2.6826550888655487E-2</v>
      </c>
      <c r="AQ203" s="184">
        <f t="shared" si="426"/>
        <v>2.6826550888655487E-2</v>
      </c>
      <c r="AR203" s="184">
        <f t="shared" si="426"/>
        <v>2.6826550888655487E-2</v>
      </c>
      <c r="AS203" s="184">
        <f t="shared" si="426"/>
        <v>2.6826550888655487E-2</v>
      </c>
      <c r="AT203" s="184">
        <f t="shared" si="426"/>
        <v>2.6826550888655487E-2</v>
      </c>
      <c r="AU203" s="184">
        <f t="shared" si="426"/>
        <v>2.6826550888655487E-2</v>
      </c>
      <c r="AV203" s="184">
        <f t="shared" si="426"/>
        <v>2.6826550888655487E-2</v>
      </c>
      <c r="AW203" s="184">
        <f t="shared" si="426"/>
        <v>2.6826550888655487E-2</v>
      </c>
      <c r="AX203" s="184">
        <f t="shared" si="426"/>
        <v>2.6826550888655487E-2</v>
      </c>
      <c r="AY203" s="184">
        <f t="shared" si="426"/>
        <v>2.6826550888655487E-2</v>
      </c>
      <c r="AZ203" s="184">
        <f t="shared" si="426"/>
        <v>2.6826550888655487E-2</v>
      </c>
      <c r="BA203" s="184">
        <f t="shared" si="426"/>
        <v>2.6826550888655487E-2</v>
      </c>
      <c r="BB203" s="184">
        <f t="shared" si="426"/>
        <v>2.6826550888655487E-2</v>
      </c>
      <c r="BC203" s="184">
        <f t="shared" si="426"/>
        <v>2.6826550888655487E-2</v>
      </c>
      <c r="BD203" s="184">
        <f t="shared" si="426"/>
        <v>2.6826550888655487E-2</v>
      </c>
      <c r="BE203" s="184">
        <f t="shared" si="426"/>
        <v>2.6826550888655487E-2</v>
      </c>
      <c r="BF203" s="184">
        <f t="shared" si="426"/>
        <v>2.6826550888655487E-2</v>
      </c>
    </row>
    <row r="204" spans="2:58">
      <c r="B204" t="s">
        <v>627</v>
      </c>
      <c r="C204" s="109">
        <v>12340.215621980315</v>
      </c>
      <c r="D204" s="187">
        <f t="shared" ref="D204:S204" si="427">C204+($T204-$C204)/(COLUMN($T204)-COLUMN($C204))</f>
        <v>11686.910089051946</v>
      </c>
      <c r="E204" s="187">
        <f t="shared" si="427"/>
        <v>11033.604556123577</v>
      </c>
      <c r="F204" s="187">
        <f t="shared" si="427"/>
        <v>10380.299023195208</v>
      </c>
      <c r="G204" s="187">
        <f t="shared" si="427"/>
        <v>9726.9934902668392</v>
      </c>
      <c r="H204" s="187">
        <f t="shared" si="427"/>
        <v>9073.6879573384704</v>
      </c>
      <c r="I204" s="187">
        <f t="shared" si="427"/>
        <v>8420.3824244101015</v>
      </c>
      <c r="J204" s="187">
        <f t="shared" si="427"/>
        <v>7767.0768914817318</v>
      </c>
      <c r="K204" s="187">
        <f t="shared" si="427"/>
        <v>7113.771358553362</v>
      </c>
      <c r="L204" s="187">
        <f t="shared" si="427"/>
        <v>6460.4658256249922</v>
      </c>
      <c r="M204" s="187">
        <f t="shared" si="427"/>
        <v>5807.1602926966225</v>
      </c>
      <c r="N204" s="187">
        <f t="shared" si="427"/>
        <v>5153.8547597682527</v>
      </c>
      <c r="O204" s="187">
        <f t="shared" si="427"/>
        <v>4500.549226839883</v>
      </c>
      <c r="P204" s="187">
        <f t="shared" si="427"/>
        <v>3847.2436939115132</v>
      </c>
      <c r="Q204" s="187">
        <f t="shared" si="427"/>
        <v>3193.9381609831435</v>
      </c>
      <c r="R204" s="187">
        <f t="shared" si="427"/>
        <v>2540.6326280547737</v>
      </c>
      <c r="S204" s="187">
        <f t="shared" si="427"/>
        <v>1887.3270951264039</v>
      </c>
      <c r="T204" s="208">
        <f t="shared" ref="T204:T234" si="428">C204*0.1</f>
        <v>1234.0215621980315</v>
      </c>
      <c r="U204" s="195"/>
      <c r="V204" t="s">
        <v>627</v>
      </c>
      <c r="W204" s="39">
        <f t="shared" ref="W204:AK204" si="429">E204/SUM(E203:E235)</f>
        <v>1.6273365645510969E-2</v>
      </c>
      <c r="X204" s="39">
        <f t="shared" si="429"/>
        <v>1.6273365645510969E-2</v>
      </c>
      <c r="Y204" s="39">
        <f t="shared" si="429"/>
        <v>1.6273365645510966E-2</v>
      </c>
      <c r="Z204" s="39">
        <f t="shared" si="429"/>
        <v>1.6273365645510973E-2</v>
      </c>
      <c r="AA204" s="39">
        <f t="shared" si="429"/>
        <v>1.6273365645510973E-2</v>
      </c>
      <c r="AB204" s="39">
        <f>J204/SUM(J203:J235)</f>
        <v>1.6273365645510973E-2</v>
      </c>
      <c r="AC204" s="39">
        <f>K204/SUM(K203:K235)</f>
        <v>1.6273365645510973E-2</v>
      </c>
      <c r="AD204" s="39">
        <f>L204/SUM(L203:L235)</f>
        <v>1.6273365645510976E-2</v>
      </c>
      <c r="AE204" s="39">
        <f t="shared" si="429"/>
        <v>1.6273365645510973E-2</v>
      </c>
      <c r="AF204" s="39">
        <f t="shared" si="429"/>
        <v>1.6273365645510976E-2</v>
      </c>
      <c r="AG204" s="39">
        <f>O204/SUM(O203:O235)</f>
        <v>1.6273365645510976E-2</v>
      </c>
      <c r="AH204" s="39">
        <f>P204/SUM(P203:P235)</f>
        <v>1.6273365645510976E-2</v>
      </c>
      <c r="AI204" s="39">
        <f t="shared" si="429"/>
        <v>1.6273365645510976E-2</v>
      </c>
      <c r="AJ204" s="39">
        <f t="shared" si="429"/>
        <v>1.6273365645510979E-2</v>
      </c>
      <c r="AK204" s="39">
        <f t="shared" si="429"/>
        <v>1.6273365645510976E-2</v>
      </c>
      <c r="AL204" s="39">
        <f>T204/SUM(T203:T235)</f>
        <v>1.6273365645510966E-2</v>
      </c>
      <c r="AM204" s="184">
        <f t="shared" ref="AM204:BB204" si="430">AL204</f>
        <v>1.6273365645510966E-2</v>
      </c>
      <c r="AN204" s="184">
        <f t="shared" si="430"/>
        <v>1.6273365645510966E-2</v>
      </c>
      <c r="AO204" s="184">
        <f t="shared" si="430"/>
        <v>1.6273365645510966E-2</v>
      </c>
      <c r="AP204" s="184">
        <f t="shared" si="430"/>
        <v>1.6273365645510966E-2</v>
      </c>
      <c r="AQ204" s="184">
        <f t="shared" si="430"/>
        <v>1.6273365645510966E-2</v>
      </c>
      <c r="AR204" s="184">
        <f t="shared" si="430"/>
        <v>1.6273365645510966E-2</v>
      </c>
      <c r="AS204" s="184">
        <f t="shared" si="430"/>
        <v>1.6273365645510966E-2</v>
      </c>
      <c r="AT204" s="184">
        <f t="shared" si="430"/>
        <v>1.6273365645510966E-2</v>
      </c>
      <c r="AU204" s="184">
        <f t="shared" si="430"/>
        <v>1.6273365645510966E-2</v>
      </c>
      <c r="AV204" s="184">
        <f t="shared" si="430"/>
        <v>1.6273365645510966E-2</v>
      </c>
      <c r="AW204" s="184">
        <f t="shared" si="430"/>
        <v>1.6273365645510966E-2</v>
      </c>
      <c r="AX204" s="184">
        <f t="shared" si="430"/>
        <v>1.6273365645510966E-2</v>
      </c>
      <c r="AY204" s="184">
        <f t="shared" si="430"/>
        <v>1.6273365645510966E-2</v>
      </c>
      <c r="AZ204" s="184">
        <f t="shared" si="430"/>
        <v>1.6273365645510966E-2</v>
      </c>
      <c r="BA204" s="184">
        <f t="shared" si="430"/>
        <v>1.6273365645510966E-2</v>
      </c>
      <c r="BB204" s="184">
        <f t="shared" si="430"/>
        <v>1.6273365645510966E-2</v>
      </c>
      <c r="BC204" s="184">
        <f t="shared" si="426"/>
        <v>1.6273365645510966E-2</v>
      </c>
      <c r="BD204" s="184">
        <f t="shared" si="426"/>
        <v>1.6273365645510966E-2</v>
      </c>
      <c r="BE204" s="184">
        <f t="shared" si="426"/>
        <v>1.6273365645510966E-2</v>
      </c>
      <c r="BF204" s="184">
        <f t="shared" si="426"/>
        <v>1.6273365645510966E-2</v>
      </c>
    </row>
    <row r="205" spans="2:58">
      <c r="B205" t="s">
        <v>628</v>
      </c>
      <c r="C205" s="109">
        <v>47347.785617316593</v>
      </c>
      <c r="D205" s="187">
        <f t="shared" ref="D205:S205" si="431">C205+($T205-$C205)/(COLUMN($T205)-COLUMN($C205))</f>
        <v>44841.138143458658</v>
      </c>
      <c r="E205" s="187">
        <f t="shared" si="431"/>
        <v>42334.490669600724</v>
      </c>
      <c r="F205" s="187">
        <f t="shared" si="431"/>
        <v>39827.843195742789</v>
      </c>
      <c r="G205" s="187">
        <f t="shared" si="431"/>
        <v>37321.195721884855</v>
      </c>
      <c r="H205" s="187">
        <f t="shared" si="431"/>
        <v>34814.54824802692</v>
      </c>
      <c r="I205" s="187">
        <f t="shared" si="431"/>
        <v>32307.900774168982</v>
      </c>
      <c r="J205" s="187">
        <f t="shared" si="431"/>
        <v>29801.253300311044</v>
      </c>
      <c r="K205" s="187">
        <f t="shared" si="431"/>
        <v>27294.605826453106</v>
      </c>
      <c r="L205" s="187">
        <f t="shared" si="431"/>
        <v>24787.958352595168</v>
      </c>
      <c r="M205" s="187">
        <f t="shared" si="431"/>
        <v>22281.310878737229</v>
      </c>
      <c r="N205" s="187">
        <f t="shared" si="431"/>
        <v>19774.663404879291</v>
      </c>
      <c r="O205" s="187">
        <f t="shared" si="431"/>
        <v>17268.015931021353</v>
      </c>
      <c r="P205" s="187">
        <f t="shared" si="431"/>
        <v>14761.368457163415</v>
      </c>
      <c r="Q205" s="187">
        <f t="shared" si="431"/>
        <v>12254.720983305477</v>
      </c>
      <c r="R205" s="187">
        <f t="shared" si="431"/>
        <v>9748.0735094475385</v>
      </c>
      <c r="S205" s="187">
        <f t="shared" si="431"/>
        <v>7241.4260355896013</v>
      </c>
      <c r="T205" s="208">
        <f t="shared" si="428"/>
        <v>4734.7785617316595</v>
      </c>
      <c r="U205" s="195"/>
      <c r="V205" t="s">
        <v>628</v>
      </c>
      <c r="W205" s="39">
        <f t="shared" ref="W205:AK205" si="432">E205/SUM(E203:E235)</f>
        <v>6.2438765371606184E-2</v>
      </c>
      <c r="X205" s="39">
        <f t="shared" si="432"/>
        <v>6.2438765371606197E-2</v>
      </c>
      <c r="Y205" s="39">
        <f t="shared" si="432"/>
        <v>6.2438765371606184E-2</v>
      </c>
      <c r="Z205" s="39">
        <f t="shared" si="432"/>
        <v>6.2438765371606204E-2</v>
      </c>
      <c r="AA205" s="39">
        <f t="shared" si="432"/>
        <v>6.2438765371606191E-2</v>
      </c>
      <c r="AB205" s="39">
        <f>J205/SUM(J203:J235)</f>
        <v>6.2438765371606197E-2</v>
      </c>
      <c r="AC205" s="39">
        <f>K205/SUM(K203:K235)</f>
        <v>6.2438765371606191E-2</v>
      </c>
      <c r="AD205" s="39">
        <f>L205/SUM(L203:L235)</f>
        <v>6.2438765371606197E-2</v>
      </c>
      <c r="AE205" s="39">
        <f t="shared" si="432"/>
        <v>6.2438765371606191E-2</v>
      </c>
      <c r="AF205" s="39">
        <f t="shared" si="432"/>
        <v>6.2438765371606197E-2</v>
      </c>
      <c r="AG205" s="39">
        <f>O205/SUM(O203:O235)</f>
        <v>6.2438765371606197E-2</v>
      </c>
      <c r="AH205" s="39">
        <f>P205/SUM(P203:P235)</f>
        <v>6.2438765371606191E-2</v>
      </c>
      <c r="AI205" s="39">
        <f t="shared" si="432"/>
        <v>6.2438765371606184E-2</v>
      </c>
      <c r="AJ205" s="39">
        <f t="shared" si="432"/>
        <v>6.2438765371606184E-2</v>
      </c>
      <c r="AK205" s="39">
        <f t="shared" si="432"/>
        <v>6.243876537160617E-2</v>
      </c>
      <c r="AL205" s="39">
        <f>T205/SUM(T203:T235)</f>
        <v>6.2438765371606184E-2</v>
      </c>
      <c r="AM205" s="184">
        <f t="shared" ref="AM205:AM217" si="433">AL205</f>
        <v>6.2438765371606184E-2</v>
      </c>
      <c r="AN205" s="184">
        <f t="shared" si="426"/>
        <v>6.2438765371606184E-2</v>
      </c>
      <c r="AO205" s="184">
        <f t="shared" si="426"/>
        <v>6.2438765371606184E-2</v>
      </c>
      <c r="AP205" s="184">
        <f t="shared" si="426"/>
        <v>6.2438765371606184E-2</v>
      </c>
      <c r="AQ205" s="184">
        <f t="shared" si="426"/>
        <v>6.2438765371606184E-2</v>
      </c>
      <c r="AR205" s="184">
        <f t="shared" si="426"/>
        <v>6.2438765371606184E-2</v>
      </c>
      <c r="AS205" s="184">
        <f t="shared" si="426"/>
        <v>6.2438765371606184E-2</v>
      </c>
      <c r="AT205" s="184">
        <f t="shared" si="426"/>
        <v>6.2438765371606184E-2</v>
      </c>
      <c r="AU205" s="184">
        <f t="shared" si="426"/>
        <v>6.2438765371606184E-2</v>
      </c>
      <c r="AV205" s="184">
        <f t="shared" si="426"/>
        <v>6.2438765371606184E-2</v>
      </c>
      <c r="AW205" s="184">
        <f t="shared" si="426"/>
        <v>6.2438765371606184E-2</v>
      </c>
      <c r="AX205" s="184">
        <f t="shared" si="426"/>
        <v>6.2438765371606184E-2</v>
      </c>
      <c r="AY205" s="184">
        <f t="shared" si="426"/>
        <v>6.2438765371606184E-2</v>
      </c>
      <c r="AZ205" s="184">
        <f t="shared" si="426"/>
        <v>6.2438765371606184E-2</v>
      </c>
      <c r="BA205" s="184">
        <f t="shared" si="426"/>
        <v>6.2438765371606184E-2</v>
      </c>
      <c r="BB205" s="184">
        <f t="shared" si="426"/>
        <v>6.2438765371606184E-2</v>
      </c>
      <c r="BC205" s="184">
        <f t="shared" si="426"/>
        <v>6.2438765371606184E-2</v>
      </c>
      <c r="BD205" s="184">
        <f t="shared" si="426"/>
        <v>6.2438765371606184E-2</v>
      </c>
      <c r="BE205" s="184">
        <f t="shared" si="426"/>
        <v>6.2438765371606184E-2</v>
      </c>
      <c r="BF205" s="184">
        <f t="shared" si="426"/>
        <v>6.2438765371606184E-2</v>
      </c>
    </row>
    <row r="206" spans="2:58">
      <c r="B206" t="s">
        <v>629</v>
      </c>
      <c r="C206" s="109">
        <v>738.548404</v>
      </c>
      <c r="D206" s="187">
        <f t="shared" ref="D206:S206" si="434">C206+($T206-$C206)/(COLUMN($T206)-COLUMN($C206))</f>
        <v>699.44878261176473</v>
      </c>
      <c r="E206" s="187">
        <f t="shared" si="434"/>
        <v>660.34916122352945</v>
      </c>
      <c r="F206" s="187">
        <f t="shared" si="434"/>
        <v>621.24953983529417</v>
      </c>
      <c r="G206" s="187">
        <f t="shared" si="434"/>
        <v>582.14991844705889</v>
      </c>
      <c r="H206" s="187">
        <f t="shared" si="434"/>
        <v>543.05029705882362</v>
      </c>
      <c r="I206" s="187">
        <f t="shared" si="434"/>
        <v>503.95067567058834</v>
      </c>
      <c r="J206" s="187">
        <f t="shared" si="434"/>
        <v>464.85105428235306</v>
      </c>
      <c r="K206" s="187">
        <f t="shared" si="434"/>
        <v>425.75143289411778</v>
      </c>
      <c r="L206" s="187">
        <f t="shared" si="434"/>
        <v>386.65181150588251</v>
      </c>
      <c r="M206" s="187">
        <f t="shared" si="434"/>
        <v>347.55219011764723</v>
      </c>
      <c r="N206" s="187">
        <f t="shared" si="434"/>
        <v>308.45256872941195</v>
      </c>
      <c r="O206" s="187">
        <f t="shared" si="434"/>
        <v>269.35294734117667</v>
      </c>
      <c r="P206" s="187">
        <f t="shared" si="434"/>
        <v>230.25332595294137</v>
      </c>
      <c r="Q206" s="187">
        <f t="shared" si="434"/>
        <v>191.15370456470606</v>
      </c>
      <c r="R206" s="187">
        <f t="shared" si="434"/>
        <v>152.05408317647075</v>
      </c>
      <c r="S206" s="187">
        <f t="shared" si="434"/>
        <v>112.95446178823545</v>
      </c>
      <c r="T206" s="208">
        <f t="shared" si="428"/>
        <v>73.8548404</v>
      </c>
      <c r="U206" s="195"/>
      <c r="V206" t="s">
        <v>629</v>
      </c>
      <c r="W206" s="39">
        <f t="shared" ref="W206:AK206" si="435">E206/SUM(E203:E235)</f>
        <v>9.7394312979369479E-4</v>
      </c>
      <c r="X206" s="39">
        <f t="shared" si="435"/>
        <v>9.739431297936949E-4</v>
      </c>
      <c r="Y206" s="39">
        <f t="shared" si="435"/>
        <v>9.7394312979369468E-4</v>
      </c>
      <c r="Z206" s="39">
        <f t="shared" si="435"/>
        <v>9.7394312979369501E-4</v>
      </c>
      <c r="AA206" s="39">
        <f t="shared" si="435"/>
        <v>9.7394312979369479E-4</v>
      </c>
      <c r="AB206" s="39">
        <f>J206/SUM(J203:J235)</f>
        <v>9.7394312979369501E-4</v>
      </c>
      <c r="AC206" s="39">
        <f>K206/SUM(K203:K235)</f>
        <v>9.739431297936949E-4</v>
      </c>
      <c r="AD206" s="39">
        <f>L206/SUM(L203:L235)</f>
        <v>9.7394312979369512E-4</v>
      </c>
      <c r="AE206" s="39">
        <f t="shared" si="435"/>
        <v>9.7394312979369501E-4</v>
      </c>
      <c r="AF206" s="39">
        <f t="shared" si="435"/>
        <v>9.7394312979369533E-4</v>
      </c>
      <c r="AG206" s="39">
        <f>O206/SUM(O203:O235)</f>
        <v>9.7394312979369544E-4</v>
      </c>
      <c r="AH206" s="39">
        <f>P206/SUM(P203:P235)</f>
        <v>9.7394312979369533E-4</v>
      </c>
      <c r="AI206" s="39">
        <f t="shared" si="435"/>
        <v>9.7394312979369533E-4</v>
      </c>
      <c r="AJ206" s="39">
        <f t="shared" si="435"/>
        <v>9.7394312979369544E-4</v>
      </c>
      <c r="AK206" s="39">
        <f t="shared" si="435"/>
        <v>9.7394312979369533E-4</v>
      </c>
      <c r="AL206" s="39">
        <f>T206/SUM(T203:T235)</f>
        <v>9.739431297936949E-4</v>
      </c>
      <c r="AM206" s="184">
        <f t="shared" si="433"/>
        <v>9.739431297936949E-4</v>
      </c>
      <c r="AN206" s="184">
        <f t="shared" si="426"/>
        <v>9.739431297936949E-4</v>
      </c>
      <c r="AO206" s="184">
        <f t="shared" si="426"/>
        <v>9.739431297936949E-4</v>
      </c>
      <c r="AP206" s="184">
        <f t="shared" si="426"/>
        <v>9.739431297936949E-4</v>
      </c>
      <c r="AQ206" s="184">
        <f t="shared" si="426"/>
        <v>9.739431297936949E-4</v>
      </c>
      <c r="AR206" s="184">
        <f t="shared" si="426"/>
        <v>9.739431297936949E-4</v>
      </c>
      <c r="AS206" s="184">
        <f t="shared" si="426"/>
        <v>9.739431297936949E-4</v>
      </c>
      <c r="AT206" s="184">
        <f t="shared" si="426"/>
        <v>9.739431297936949E-4</v>
      </c>
      <c r="AU206" s="184">
        <f t="shared" si="426"/>
        <v>9.739431297936949E-4</v>
      </c>
      <c r="AV206" s="184">
        <f t="shared" si="426"/>
        <v>9.739431297936949E-4</v>
      </c>
      <c r="AW206" s="184">
        <f t="shared" si="426"/>
        <v>9.739431297936949E-4</v>
      </c>
      <c r="AX206" s="184">
        <f t="shared" si="426"/>
        <v>9.739431297936949E-4</v>
      </c>
      <c r="AY206" s="184">
        <f t="shared" si="426"/>
        <v>9.739431297936949E-4</v>
      </c>
      <c r="AZ206" s="184">
        <f t="shared" si="426"/>
        <v>9.739431297936949E-4</v>
      </c>
      <c r="BA206" s="184">
        <f t="shared" si="426"/>
        <v>9.739431297936949E-4</v>
      </c>
      <c r="BB206" s="184">
        <f t="shared" si="426"/>
        <v>9.739431297936949E-4</v>
      </c>
      <c r="BC206" s="184">
        <f t="shared" si="426"/>
        <v>9.739431297936949E-4</v>
      </c>
      <c r="BD206" s="184">
        <f t="shared" si="426"/>
        <v>9.739431297936949E-4</v>
      </c>
      <c r="BE206" s="184">
        <f t="shared" si="426"/>
        <v>9.739431297936949E-4</v>
      </c>
      <c r="BF206" s="184">
        <f t="shared" si="426"/>
        <v>9.739431297936949E-4</v>
      </c>
    </row>
    <row r="207" spans="2:58">
      <c r="B207" t="s">
        <v>630</v>
      </c>
      <c r="C207" s="109">
        <v>12888.541407860565</v>
      </c>
      <c r="D207" s="187">
        <f t="shared" ref="D207:S207" si="436">C207+($T207-$C207)/(COLUMN($T207)-COLUMN($C207))</f>
        <v>12206.206862738534</v>
      </c>
      <c r="E207" s="187">
        <f t="shared" si="436"/>
        <v>11523.872317616504</v>
      </c>
      <c r="F207" s="187">
        <f t="shared" si="436"/>
        <v>10841.537772494474</v>
      </c>
      <c r="G207" s="187">
        <f t="shared" si="436"/>
        <v>10159.203227372444</v>
      </c>
      <c r="H207" s="187">
        <f t="shared" si="436"/>
        <v>9476.8686822504133</v>
      </c>
      <c r="I207" s="187">
        <f t="shared" si="436"/>
        <v>8794.534137128383</v>
      </c>
      <c r="J207" s="187">
        <f t="shared" si="436"/>
        <v>8112.1995920063528</v>
      </c>
      <c r="K207" s="187">
        <f t="shared" si="436"/>
        <v>7429.8650468843225</v>
      </c>
      <c r="L207" s="187">
        <f t="shared" si="436"/>
        <v>6747.5305017622923</v>
      </c>
      <c r="M207" s="187">
        <f t="shared" si="436"/>
        <v>6065.195956640262</v>
      </c>
      <c r="N207" s="187">
        <f t="shared" si="436"/>
        <v>5382.8614115182318</v>
      </c>
      <c r="O207" s="187">
        <f t="shared" si="436"/>
        <v>4700.5268663962015</v>
      </c>
      <c r="P207" s="187">
        <f t="shared" si="436"/>
        <v>4018.1923212741717</v>
      </c>
      <c r="Q207" s="187">
        <f t="shared" si="436"/>
        <v>3335.8577761521419</v>
      </c>
      <c r="R207" s="187">
        <f t="shared" si="436"/>
        <v>2653.5232310301121</v>
      </c>
      <c r="S207" s="187">
        <f t="shared" si="436"/>
        <v>1971.1886859080823</v>
      </c>
      <c r="T207" s="208">
        <f t="shared" si="428"/>
        <v>1288.8541407860566</v>
      </c>
      <c r="U207" s="195"/>
      <c r="V207" t="s">
        <v>630</v>
      </c>
      <c r="W207" s="39">
        <f t="shared" ref="W207:AK207" si="437">E207/SUM(E203:E235)</f>
        <v>1.6996457225093874E-2</v>
      </c>
      <c r="X207" s="39">
        <f t="shared" si="437"/>
        <v>1.6996457225093877E-2</v>
      </c>
      <c r="Y207" s="39">
        <f t="shared" si="437"/>
        <v>1.699645722509387E-2</v>
      </c>
      <c r="Z207" s="39">
        <f t="shared" si="437"/>
        <v>1.6996457225093874E-2</v>
      </c>
      <c r="AA207" s="39">
        <f t="shared" si="437"/>
        <v>1.699645722509387E-2</v>
      </c>
      <c r="AB207" s="39">
        <f>J207/SUM(J203:J235)</f>
        <v>1.699645722509387E-2</v>
      </c>
      <c r="AC207" s="39">
        <f>K207/SUM(K203:K235)</f>
        <v>1.6996457225093867E-2</v>
      </c>
      <c r="AD207" s="39">
        <f>L207/SUM(L203:L235)</f>
        <v>1.6996457225093867E-2</v>
      </c>
      <c r="AE207" s="39">
        <f t="shared" si="437"/>
        <v>1.6996457225093863E-2</v>
      </c>
      <c r="AF207" s="39">
        <f t="shared" si="437"/>
        <v>1.6996457225093863E-2</v>
      </c>
      <c r="AG207" s="39">
        <f>O207/SUM(O203:O235)</f>
        <v>1.699645722509386E-2</v>
      </c>
      <c r="AH207" s="39">
        <f>P207/SUM(P203:P235)</f>
        <v>1.6996457225093853E-2</v>
      </c>
      <c r="AI207" s="39">
        <f t="shared" si="437"/>
        <v>1.6996457225093849E-2</v>
      </c>
      <c r="AJ207" s="39">
        <f t="shared" si="437"/>
        <v>1.6996457225093842E-2</v>
      </c>
      <c r="AK207" s="39">
        <f t="shared" si="437"/>
        <v>1.6996457225093829E-2</v>
      </c>
      <c r="AL207" s="39">
        <f>T207/SUM(T203:T235)</f>
        <v>1.6996457225093881E-2</v>
      </c>
      <c r="AM207" s="184">
        <f t="shared" si="433"/>
        <v>1.6996457225093881E-2</v>
      </c>
      <c r="AN207" s="184">
        <f t="shared" si="426"/>
        <v>1.6996457225093881E-2</v>
      </c>
      <c r="AO207" s="184">
        <f t="shared" si="426"/>
        <v>1.6996457225093881E-2</v>
      </c>
      <c r="AP207" s="184">
        <f t="shared" si="426"/>
        <v>1.6996457225093881E-2</v>
      </c>
      <c r="AQ207" s="184">
        <f t="shared" si="426"/>
        <v>1.6996457225093881E-2</v>
      </c>
      <c r="AR207" s="184">
        <f t="shared" si="426"/>
        <v>1.6996457225093881E-2</v>
      </c>
      <c r="AS207" s="184">
        <f t="shared" si="426"/>
        <v>1.6996457225093881E-2</v>
      </c>
      <c r="AT207" s="184">
        <f t="shared" si="426"/>
        <v>1.6996457225093881E-2</v>
      </c>
      <c r="AU207" s="184">
        <f t="shared" si="426"/>
        <v>1.6996457225093881E-2</v>
      </c>
      <c r="AV207" s="184">
        <f t="shared" si="426"/>
        <v>1.6996457225093881E-2</v>
      </c>
      <c r="AW207" s="184">
        <f t="shared" si="426"/>
        <v>1.6996457225093881E-2</v>
      </c>
      <c r="AX207" s="184">
        <f t="shared" si="426"/>
        <v>1.6996457225093881E-2</v>
      </c>
      <c r="AY207" s="184">
        <f t="shared" si="426"/>
        <v>1.6996457225093881E-2</v>
      </c>
      <c r="AZ207" s="184">
        <f t="shared" si="426"/>
        <v>1.6996457225093881E-2</v>
      </c>
      <c r="BA207" s="184">
        <f t="shared" si="426"/>
        <v>1.6996457225093881E-2</v>
      </c>
      <c r="BB207" s="184">
        <f t="shared" si="426"/>
        <v>1.6996457225093881E-2</v>
      </c>
      <c r="BC207" s="184">
        <f t="shared" si="426"/>
        <v>1.6996457225093881E-2</v>
      </c>
      <c r="BD207" s="184">
        <f t="shared" si="426"/>
        <v>1.6996457225093881E-2</v>
      </c>
      <c r="BE207" s="184">
        <f t="shared" si="426"/>
        <v>1.6996457225093881E-2</v>
      </c>
      <c r="BF207" s="184">
        <f t="shared" si="426"/>
        <v>1.6996457225093881E-2</v>
      </c>
    </row>
    <row r="208" spans="2:58">
      <c r="B208" t="s">
        <v>631</v>
      </c>
      <c r="C208" s="109">
        <v>20.969488000000002</v>
      </c>
      <c r="D208" s="187">
        <f t="shared" ref="D208:S208" si="438">C208+($T208-$C208)/(COLUMN($T208)-COLUMN($C208))</f>
        <v>19.859338635294119</v>
      </c>
      <c r="E208" s="187">
        <f t="shared" si="438"/>
        <v>18.749189270588236</v>
      </c>
      <c r="F208" s="187">
        <f t="shared" si="438"/>
        <v>17.639039905882353</v>
      </c>
      <c r="G208" s="187">
        <f t="shared" si="438"/>
        <v>16.528890541176469</v>
      </c>
      <c r="H208" s="187">
        <f t="shared" si="438"/>
        <v>15.418741176470586</v>
      </c>
      <c r="I208" s="187">
        <f t="shared" si="438"/>
        <v>14.308591811764703</v>
      </c>
      <c r="J208" s="187">
        <f t="shared" si="438"/>
        <v>13.19844244705882</v>
      </c>
      <c r="K208" s="187">
        <f t="shared" si="438"/>
        <v>12.088293082352937</v>
      </c>
      <c r="L208" s="187">
        <f t="shared" si="438"/>
        <v>10.978143717647054</v>
      </c>
      <c r="M208" s="187">
        <f t="shared" si="438"/>
        <v>9.8679943529411709</v>
      </c>
      <c r="N208" s="187">
        <f t="shared" si="438"/>
        <v>8.7578449882352878</v>
      </c>
      <c r="O208" s="187">
        <f t="shared" si="438"/>
        <v>7.6476956235294056</v>
      </c>
      <c r="P208" s="187">
        <f t="shared" si="438"/>
        <v>6.5375462588235234</v>
      </c>
      <c r="Q208" s="187">
        <f t="shared" si="438"/>
        <v>5.4273968941176411</v>
      </c>
      <c r="R208" s="187">
        <f t="shared" si="438"/>
        <v>4.3172475294117589</v>
      </c>
      <c r="S208" s="187">
        <f t="shared" si="438"/>
        <v>3.2070981647058767</v>
      </c>
      <c r="T208" s="208">
        <f t="shared" si="428"/>
        <v>2.0969488000000003</v>
      </c>
      <c r="U208" s="195"/>
      <c r="V208" t="s">
        <v>631</v>
      </c>
      <c r="W208" s="39">
        <f t="shared" ref="W208:AK208" si="439">E208/SUM(E203:E235)</f>
        <v>2.7653013211157551E-5</v>
      </c>
      <c r="X208" s="39">
        <f t="shared" si="439"/>
        <v>2.7653013211157555E-5</v>
      </c>
      <c r="Y208" s="39">
        <f t="shared" si="439"/>
        <v>2.7653013211157545E-5</v>
      </c>
      <c r="Z208" s="39">
        <f t="shared" si="439"/>
        <v>2.7653013211157551E-5</v>
      </c>
      <c r="AA208" s="39">
        <f t="shared" si="439"/>
        <v>2.7653013211157541E-5</v>
      </c>
      <c r="AB208" s="39">
        <f>J208/SUM(J203:J235)</f>
        <v>2.7653013211157545E-5</v>
      </c>
      <c r="AC208" s="39">
        <f>K208/SUM(K203:K235)</f>
        <v>2.7653013211157538E-5</v>
      </c>
      <c r="AD208" s="39">
        <f>L208/SUM(L203:L235)</f>
        <v>2.7653013211157538E-5</v>
      </c>
      <c r="AE208" s="39">
        <f t="shared" si="439"/>
        <v>2.7653013211157531E-5</v>
      </c>
      <c r="AF208" s="39">
        <f t="shared" si="439"/>
        <v>2.7653013211157531E-5</v>
      </c>
      <c r="AG208" s="39">
        <f>O208/SUM(O203:O235)</f>
        <v>2.7653013211157528E-5</v>
      </c>
      <c r="AH208" s="39">
        <f>P208/SUM(P203:P235)</f>
        <v>2.7653013211157521E-5</v>
      </c>
      <c r="AI208" s="39">
        <f t="shared" si="439"/>
        <v>2.7653013211157514E-5</v>
      </c>
      <c r="AJ208" s="39">
        <f t="shared" si="439"/>
        <v>2.7653013211157504E-5</v>
      </c>
      <c r="AK208" s="39">
        <f t="shared" si="439"/>
        <v>2.765301321115748E-5</v>
      </c>
      <c r="AL208" s="39">
        <f>T208/SUM(T203:T235)</f>
        <v>2.7653013211157558E-5</v>
      </c>
      <c r="AM208" s="184">
        <f t="shared" si="433"/>
        <v>2.7653013211157558E-5</v>
      </c>
      <c r="AN208" s="184">
        <f t="shared" si="426"/>
        <v>2.7653013211157558E-5</v>
      </c>
      <c r="AO208" s="184">
        <f t="shared" si="426"/>
        <v>2.7653013211157558E-5</v>
      </c>
      <c r="AP208" s="184">
        <f t="shared" si="426"/>
        <v>2.7653013211157558E-5</v>
      </c>
      <c r="AQ208" s="184">
        <f t="shared" si="426"/>
        <v>2.7653013211157558E-5</v>
      </c>
      <c r="AR208" s="184">
        <f t="shared" si="426"/>
        <v>2.7653013211157558E-5</v>
      </c>
      <c r="AS208" s="184">
        <f t="shared" si="426"/>
        <v>2.7653013211157558E-5</v>
      </c>
      <c r="AT208" s="184">
        <f t="shared" si="426"/>
        <v>2.7653013211157558E-5</v>
      </c>
      <c r="AU208" s="184">
        <f t="shared" si="426"/>
        <v>2.7653013211157558E-5</v>
      </c>
      <c r="AV208" s="184">
        <f t="shared" si="426"/>
        <v>2.7653013211157558E-5</v>
      </c>
      <c r="AW208" s="184">
        <f t="shared" si="426"/>
        <v>2.7653013211157558E-5</v>
      </c>
      <c r="AX208" s="184">
        <f t="shared" si="426"/>
        <v>2.7653013211157558E-5</v>
      </c>
      <c r="AY208" s="184">
        <f t="shared" si="426"/>
        <v>2.7653013211157558E-5</v>
      </c>
      <c r="AZ208" s="184">
        <f t="shared" si="426"/>
        <v>2.7653013211157558E-5</v>
      </c>
      <c r="BA208" s="184">
        <f t="shared" si="426"/>
        <v>2.7653013211157558E-5</v>
      </c>
      <c r="BB208" s="184">
        <f t="shared" si="426"/>
        <v>2.7653013211157558E-5</v>
      </c>
      <c r="BC208" s="184">
        <f t="shared" si="426"/>
        <v>2.7653013211157558E-5</v>
      </c>
      <c r="BD208" s="184">
        <f t="shared" si="426"/>
        <v>2.7653013211157558E-5</v>
      </c>
      <c r="BE208" s="184">
        <f t="shared" si="426"/>
        <v>2.7653013211157558E-5</v>
      </c>
      <c r="BF208" s="184">
        <f t="shared" si="426"/>
        <v>2.7653013211157558E-5</v>
      </c>
    </row>
    <row r="209" spans="2:58">
      <c r="B209" t="s">
        <v>632</v>
      </c>
      <c r="C209" s="109">
        <v>0</v>
      </c>
      <c r="D209" s="187">
        <f t="shared" ref="D209:S209" si="440">C209+($T209-$C209)/(COLUMN($T209)-COLUMN($C209))</f>
        <v>0</v>
      </c>
      <c r="E209" s="187">
        <f t="shared" si="440"/>
        <v>0</v>
      </c>
      <c r="F209" s="187">
        <f t="shared" si="440"/>
        <v>0</v>
      </c>
      <c r="G209" s="187">
        <f t="shared" si="440"/>
        <v>0</v>
      </c>
      <c r="H209" s="187">
        <f t="shared" si="440"/>
        <v>0</v>
      </c>
      <c r="I209" s="187">
        <f t="shared" si="440"/>
        <v>0</v>
      </c>
      <c r="J209" s="187">
        <f t="shared" si="440"/>
        <v>0</v>
      </c>
      <c r="K209" s="187">
        <f t="shared" si="440"/>
        <v>0</v>
      </c>
      <c r="L209" s="187">
        <f t="shared" si="440"/>
        <v>0</v>
      </c>
      <c r="M209" s="187">
        <f t="shared" si="440"/>
        <v>0</v>
      </c>
      <c r="N209" s="187">
        <f t="shared" si="440"/>
        <v>0</v>
      </c>
      <c r="O209" s="187">
        <f t="shared" si="440"/>
        <v>0</v>
      </c>
      <c r="P209" s="187">
        <f t="shared" si="440"/>
        <v>0</v>
      </c>
      <c r="Q209" s="187">
        <f t="shared" si="440"/>
        <v>0</v>
      </c>
      <c r="R209" s="187">
        <f t="shared" si="440"/>
        <v>0</v>
      </c>
      <c r="S209" s="187">
        <f t="shared" si="440"/>
        <v>0</v>
      </c>
      <c r="T209" s="208">
        <f t="shared" si="428"/>
        <v>0</v>
      </c>
      <c r="U209" s="195"/>
      <c r="V209" t="s">
        <v>632</v>
      </c>
      <c r="W209" s="39">
        <f t="shared" ref="W209:AK209" si="441">E209/SUM(E203:E235)</f>
        <v>0</v>
      </c>
      <c r="X209" s="39">
        <f t="shared" si="441"/>
        <v>0</v>
      </c>
      <c r="Y209" s="39">
        <f t="shared" si="441"/>
        <v>0</v>
      </c>
      <c r="Z209" s="39">
        <f t="shared" si="441"/>
        <v>0</v>
      </c>
      <c r="AA209" s="39">
        <f t="shared" si="441"/>
        <v>0</v>
      </c>
      <c r="AB209" s="39">
        <f>J209/SUM(J203:J235)</f>
        <v>0</v>
      </c>
      <c r="AC209" s="39">
        <f>K209/SUM(K203:K235)</f>
        <v>0</v>
      </c>
      <c r="AD209" s="39">
        <f>L209/SUM(L203:L235)</f>
        <v>0</v>
      </c>
      <c r="AE209" s="39">
        <f t="shared" si="441"/>
        <v>0</v>
      </c>
      <c r="AF209" s="39">
        <f t="shared" si="441"/>
        <v>0</v>
      </c>
      <c r="AG209" s="39">
        <f>O209/SUM(O203:O235)</f>
        <v>0</v>
      </c>
      <c r="AH209" s="39">
        <f>P209/SUM(P203:P235)</f>
        <v>0</v>
      </c>
      <c r="AI209" s="39">
        <f t="shared" si="441"/>
        <v>0</v>
      </c>
      <c r="AJ209" s="39">
        <f t="shared" si="441"/>
        <v>0</v>
      </c>
      <c r="AK209" s="39">
        <f t="shared" si="441"/>
        <v>0</v>
      </c>
      <c r="AL209" s="39">
        <f>T209/SUM(T203:T235)</f>
        <v>0</v>
      </c>
      <c r="AM209" s="184">
        <f t="shared" si="433"/>
        <v>0</v>
      </c>
      <c r="AN209" s="184">
        <f t="shared" si="426"/>
        <v>0</v>
      </c>
      <c r="AO209" s="184">
        <f t="shared" si="426"/>
        <v>0</v>
      </c>
      <c r="AP209" s="184">
        <f t="shared" si="426"/>
        <v>0</v>
      </c>
      <c r="AQ209" s="184">
        <f t="shared" si="426"/>
        <v>0</v>
      </c>
      <c r="AR209" s="184">
        <f t="shared" si="426"/>
        <v>0</v>
      </c>
      <c r="AS209" s="184">
        <f t="shared" si="426"/>
        <v>0</v>
      </c>
      <c r="AT209" s="184">
        <f t="shared" si="426"/>
        <v>0</v>
      </c>
      <c r="AU209" s="184">
        <f t="shared" si="426"/>
        <v>0</v>
      </c>
      <c r="AV209" s="184">
        <f t="shared" si="426"/>
        <v>0</v>
      </c>
      <c r="AW209" s="184">
        <f t="shared" si="426"/>
        <v>0</v>
      </c>
      <c r="AX209" s="184">
        <f t="shared" si="426"/>
        <v>0</v>
      </c>
      <c r="AY209" s="184">
        <f t="shared" si="426"/>
        <v>0</v>
      </c>
      <c r="AZ209" s="184">
        <f t="shared" si="426"/>
        <v>0</v>
      </c>
      <c r="BA209" s="184">
        <f t="shared" si="426"/>
        <v>0</v>
      </c>
      <c r="BB209" s="184">
        <f t="shared" si="426"/>
        <v>0</v>
      </c>
      <c r="BC209" s="184">
        <f t="shared" si="426"/>
        <v>0</v>
      </c>
      <c r="BD209" s="184">
        <f t="shared" si="426"/>
        <v>0</v>
      </c>
      <c r="BE209" s="184">
        <f t="shared" si="426"/>
        <v>0</v>
      </c>
      <c r="BF209" s="184">
        <f t="shared" si="426"/>
        <v>0</v>
      </c>
    </row>
    <row r="210" spans="2:58">
      <c r="B210" t="s">
        <v>633</v>
      </c>
      <c r="C210" s="109">
        <v>41.525621999999998</v>
      </c>
      <c r="D210" s="187">
        <f t="shared" ref="D210:S210" si="442">C210+($T210-$C210)/(COLUMN($T210)-COLUMN($C210))</f>
        <v>39.327206717647059</v>
      </c>
      <c r="E210" s="187">
        <f t="shared" si="442"/>
        <v>37.128791435294119</v>
      </c>
      <c r="F210" s="187">
        <f t="shared" si="442"/>
        <v>34.930376152941179</v>
      </c>
      <c r="G210" s="187">
        <f t="shared" si="442"/>
        <v>32.731960870588239</v>
      </c>
      <c r="H210" s="187">
        <f t="shared" si="442"/>
        <v>30.533545588235299</v>
      </c>
      <c r="I210" s="187">
        <f t="shared" si="442"/>
        <v>28.335130305882359</v>
      </c>
      <c r="J210" s="187">
        <f t="shared" si="442"/>
        <v>26.136715023529419</v>
      </c>
      <c r="K210" s="187">
        <f t="shared" si="442"/>
        <v>23.938299741176479</v>
      </c>
      <c r="L210" s="187">
        <f t="shared" si="442"/>
        <v>21.739884458823539</v>
      </c>
      <c r="M210" s="187">
        <f t="shared" si="442"/>
        <v>19.541469176470599</v>
      </c>
      <c r="N210" s="187">
        <f t="shared" si="442"/>
        <v>17.343053894117659</v>
      </c>
      <c r="O210" s="187">
        <f t="shared" si="442"/>
        <v>15.144638611764718</v>
      </c>
      <c r="P210" s="187">
        <f t="shared" si="442"/>
        <v>12.946223329411776</v>
      </c>
      <c r="Q210" s="187">
        <f t="shared" si="442"/>
        <v>10.747808047058834</v>
      </c>
      <c r="R210" s="187">
        <f t="shared" si="442"/>
        <v>8.5493927647058925</v>
      </c>
      <c r="S210" s="187">
        <f t="shared" si="442"/>
        <v>6.3509774823529508</v>
      </c>
      <c r="T210" s="208">
        <f t="shared" si="428"/>
        <v>4.1525622000000002</v>
      </c>
      <c r="U210" s="195"/>
      <c r="V210" t="s">
        <v>633</v>
      </c>
      <c r="W210" s="39">
        <f t="shared" ref="W210:AK210" si="443">E210/SUM(E203:E235)</f>
        <v>5.4760925672936541E-5</v>
      </c>
      <c r="X210" s="39">
        <f t="shared" si="443"/>
        <v>5.4760925672936548E-5</v>
      </c>
      <c r="Y210" s="39">
        <f t="shared" si="443"/>
        <v>5.4760925672936534E-5</v>
      </c>
      <c r="Z210" s="39">
        <f t="shared" si="443"/>
        <v>5.4760925672936554E-5</v>
      </c>
      <c r="AA210" s="39">
        <f t="shared" si="443"/>
        <v>5.4760925672936541E-5</v>
      </c>
      <c r="AB210" s="39">
        <f>J210/SUM(J203:J235)</f>
        <v>5.4760925672936554E-5</v>
      </c>
      <c r="AC210" s="39">
        <f>K210/SUM(K203:K235)</f>
        <v>5.4760925672936548E-5</v>
      </c>
      <c r="AD210" s="39">
        <f>L210/SUM(L203:L235)</f>
        <v>5.4760925672936561E-5</v>
      </c>
      <c r="AE210" s="39">
        <f t="shared" si="443"/>
        <v>5.4760925672936554E-5</v>
      </c>
      <c r="AF210" s="39">
        <f t="shared" si="443"/>
        <v>5.4760925672936575E-5</v>
      </c>
      <c r="AG210" s="39">
        <f>O210/SUM(O203:O235)</f>
        <v>5.4760925672936575E-5</v>
      </c>
      <c r="AH210" s="39">
        <f>P210/SUM(P203:P235)</f>
        <v>5.4760925672936575E-5</v>
      </c>
      <c r="AI210" s="39">
        <f t="shared" si="443"/>
        <v>5.4760925672936575E-5</v>
      </c>
      <c r="AJ210" s="39">
        <f t="shared" si="443"/>
        <v>5.4760925672936582E-5</v>
      </c>
      <c r="AK210" s="39">
        <f t="shared" si="443"/>
        <v>5.4760925672936582E-5</v>
      </c>
      <c r="AL210" s="39">
        <f>T210/SUM(T203:T235)</f>
        <v>5.4760925672936548E-5</v>
      </c>
      <c r="AM210" s="184">
        <f t="shared" si="433"/>
        <v>5.4760925672936548E-5</v>
      </c>
      <c r="AN210" s="184">
        <f t="shared" si="426"/>
        <v>5.4760925672936548E-5</v>
      </c>
      <c r="AO210" s="184">
        <f t="shared" si="426"/>
        <v>5.4760925672936548E-5</v>
      </c>
      <c r="AP210" s="184">
        <f t="shared" si="426"/>
        <v>5.4760925672936548E-5</v>
      </c>
      <c r="AQ210" s="184">
        <f t="shared" si="426"/>
        <v>5.4760925672936548E-5</v>
      </c>
      <c r="AR210" s="184">
        <f t="shared" si="426"/>
        <v>5.4760925672936548E-5</v>
      </c>
      <c r="AS210" s="184">
        <f t="shared" si="426"/>
        <v>5.4760925672936548E-5</v>
      </c>
      <c r="AT210" s="184">
        <f t="shared" si="426"/>
        <v>5.4760925672936548E-5</v>
      </c>
      <c r="AU210" s="184">
        <f t="shared" si="426"/>
        <v>5.4760925672936548E-5</v>
      </c>
      <c r="AV210" s="184">
        <f t="shared" si="426"/>
        <v>5.4760925672936548E-5</v>
      </c>
      <c r="AW210" s="184">
        <f t="shared" si="426"/>
        <v>5.4760925672936548E-5</v>
      </c>
      <c r="AX210" s="184">
        <f t="shared" si="426"/>
        <v>5.4760925672936548E-5</v>
      </c>
      <c r="AY210" s="184">
        <f t="shared" si="426"/>
        <v>5.4760925672936548E-5</v>
      </c>
      <c r="AZ210" s="184">
        <f t="shared" si="426"/>
        <v>5.4760925672936548E-5</v>
      </c>
      <c r="BA210" s="184">
        <f t="shared" si="426"/>
        <v>5.4760925672936548E-5</v>
      </c>
      <c r="BB210" s="184">
        <f t="shared" si="426"/>
        <v>5.4760925672936548E-5</v>
      </c>
      <c r="BC210" s="184">
        <f t="shared" si="426"/>
        <v>5.4760925672936548E-5</v>
      </c>
      <c r="BD210" s="184">
        <f t="shared" si="426"/>
        <v>5.4760925672936548E-5</v>
      </c>
      <c r="BE210" s="184">
        <f t="shared" si="426"/>
        <v>5.4760925672936548E-5</v>
      </c>
      <c r="BF210" s="184">
        <f t="shared" si="426"/>
        <v>5.4760925672936548E-5</v>
      </c>
    </row>
    <row r="211" spans="2:58">
      <c r="B211" t="s">
        <v>634</v>
      </c>
      <c r="C211" s="109">
        <v>17307.545848249432</v>
      </c>
      <c r="D211" s="187">
        <f t="shared" ref="D211:S211" si="444">C211+($T211-$C211)/(COLUMN($T211)-COLUMN($C211))</f>
        <v>16391.264009224462</v>
      </c>
      <c r="E211" s="187">
        <f t="shared" si="444"/>
        <v>15474.982170199492</v>
      </c>
      <c r="F211" s="187">
        <f t="shared" si="444"/>
        <v>14558.700331174521</v>
      </c>
      <c r="G211" s="187">
        <f t="shared" si="444"/>
        <v>13642.418492149551</v>
      </c>
      <c r="H211" s="187">
        <f t="shared" si="444"/>
        <v>12726.13665312458</v>
      </c>
      <c r="I211" s="187">
        <f t="shared" si="444"/>
        <v>11809.85481409961</v>
      </c>
      <c r="J211" s="187">
        <f t="shared" si="444"/>
        <v>10893.57297507464</v>
      </c>
      <c r="K211" s="187">
        <f t="shared" si="444"/>
        <v>9977.2911360496691</v>
      </c>
      <c r="L211" s="187">
        <f t="shared" si="444"/>
        <v>9061.0092970246988</v>
      </c>
      <c r="M211" s="187">
        <f t="shared" si="444"/>
        <v>8144.7274579997284</v>
      </c>
      <c r="N211" s="187">
        <f t="shared" si="444"/>
        <v>7228.445618974758</v>
      </c>
      <c r="O211" s="187">
        <f t="shared" si="444"/>
        <v>6312.1637799497876</v>
      </c>
      <c r="P211" s="187">
        <f t="shared" si="444"/>
        <v>5395.8819409248172</v>
      </c>
      <c r="Q211" s="187">
        <f t="shared" si="444"/>
        <v>4479.6001018998468</v>
      </c>
      <c r="R211" s="187">
        <f t="shared" si="444"/>
        <v>3563.3182628748768</v>
      </c>
      <c r="S211" s="187">
        <f t="shared" si="444"/>
        <v>2647.0364238499069</v>
      </c>
      <c r="T211" s="208">
        <f t="shared" si="428"/>
        <v>1730.7545848249433</v>
      </c>
      <c r="U211" s="195"/>
      <c r="V211" t="s">
        <v>634</v>
      </c>
      <c r="W211" s="39">
        <f t="shared" ref="W211:AK211" si="445">E211/SUM(E203:E235)</f>
        <v>2.2823914155384078E-2</v>
      </c>
      <c r="X211" s="39">
        <f t="shared" si="445"/>
        <v>2.2823914155384078E-2</v>
      </c>
      <c r="Y211" s="39">
        <f t="shared" si="445"/>
        <v>2.2823914155384071E-2</v>
      </c>
      <c r="Z211" s="39">
        <f t="shared" si="445"/>
        <v>2.2823914155384078E-2</v>
      </c>
      <c r="AA211" s="39">
        <f t="shared" si="445"/>
        <v>2.2823914155384071E-2</v>
      </c>
      <c r="AB211" s="39">
        <f>J211/SUM(J203:J235)</f>
        <v>2.2823914155384071E-2</v>
      </c>
      <c r="AC211" s="39">
        <f>K211/SUM(K203:K235)</f>
        <v>2.2823914155384067E-2</v>
      </c>
      <c r="AD211" s="39">
        <f>L211/SUM(L203:L235)</f>
        <v>2.2823914155384067E-2</v>
      </c>
      <c r="AE211" s="39">
        <f t="shared" si="445"/>
        <v>2.282391415538406E-2</v>
      </c>
      <c r="AF211" s="39">
        <f t="shared" si="445"/>
        <v>2.282391415538406E-2</v>
      </c>
      <c r="AG211" s="39">
        <f>O211/SUM(O203:O235)</f>
        <v>2.2823914155384057E-2</v>
      </c>
      <c r="AH211" s="39">
        <f>P211/SUM(P203:P235)</f>
        <v>2.282391415538405E-2</v>
      </c>
      <c r="AI211" s="39">
        <f t="shared" si="445"/>
        <v>2.282391415538404E-2</v>
      </c>
      <c r="AJ211" s="39">
        <f t="shared" si="445"/>
        <v>2.2823914155384029E-2</v>
      </c>
      <c r="AK211" s="39">
        <f t="shared" si="445"/>
        <v>2.2823914155384008E-2</v>
      </c>
      <c r="AL211" s="39">
        <f>T211/SUM(T203:T235)</f>
        <v>2.2823914155384085E-2</v>
      </c>
      <c r="AM211" s="184">
        <f t="shared" si="433"/>
        <v>2.2823914155384085E-2</v>
      </c>
      <c r="AN211" s="184">
        <f t="shared" si="426"/>
        <v>2.2823914155384085E-2</v>
      </c>
      <c r="AO211" s="184">
        <f t="shared" si="426"/>
        <v>2.2823914155384085E-2</v>
      </c>
      <c r="AP211" s="184">
        <f t="shared" si="426"/>
        <v>2.2823914155384085E-2</v>
      </c>
      <c r="AQ211" s="184">
        <f t="shared" si="426"/>
        <v>2.2823914155384085E-2</v>
      </c>
      <c r="AR211" s="184">
        <f t="shared" si="426"/>
        <v>2.2823914155384085E-2</v>
      </c>
      <c r="AS211" s="184">
        <f t="shared" si="426"/>
        <v>2.2823914155384085E-2</v>
      </c>
      <c r="AT211" s="184">
        <f t="shared" si="426"/>
        <v>2.2823914155384085E-2</v>
      </c>
      <c r="AU211" s="184">
        <f t="shared" si="426"/>
        <v>2.2823914155384085E-2</v>
      </c>
      <c r="AV211" s="184">
        <f t="shared" si="426"/>
        <v>2.2823914155384085E-2</v>
      </c>
      <c r="AW211" s="184">
        <f t="shared" si="426"/>
        <v>2.2823914155384085E-2</v>
      </c>
      <c r="AX211" s="184">
        <f t="shared" si="426"/>
        <v>2.2823914155384085E-2</v>
      </c>
      <c r="AY211" s="184">
        <f t="shared" si="426"/>
        <v>2.2823914155384085E-2</v>
      </c>
      <c r="AZ211" s="184">
        <f t="shared" si="426"/>
        <v>2.2823914155384085E-2</v>
      </c>
      <c r="BA211" s="184">
        <f t="shared" si="426"/>
        <v>2.2823914155384085E-2</v>
      </c>
      <c r="BB211" s="184">
        <f t="shared" si="426"/>
        <v>2.2823914155384085E-2</v>
      </c>
      <c r="BC211" s="184">
        <f t="shared" si="426"/>
        <v>2.2823914155384085E-2</v>
      </c>
      <c r="BD211" s="184">
        <f t="shared" si="426"/>
        <v>2.2823914155384085E-2</v>
      </c>
      <c r="BE211" s="184">
        <f t="shared" si="426"/>
        <v>2.2823914155384085E-2</v>
      </c>
      <c r="BF211" s="184">
        <f t="shared" si="426"/>
        <v>2.2823914155384085E-2</v>
      </c>
    </row>
    <row r="212" spans="2:58">
      <c r="B212" t="s">
        <v>635</v>
      </c>
      <c r="C212" s="109">
        <v>12294.434495563935</v>
      </c>
      <c r="D212" s="187">
        <f t="shared" ref="D212:S212" si="446">C212+($T212-$C212)/(COLUMN($T212)-COLUMN($C212))</f>
        <v>11643.552669328197</v>
      </c>
      <c r="E212" s="187">
        <f t="shared" si="446"/>
        <v>10992.670843092459</v>
      </c>
      <c r="F212" s="187">
        <f t="shared" si="446"/>
        <v>10341.789016856721</v>
      </c>
      <c r="G212" s="187">
        <f t="shared" si="446"/>
        <v>9690.9071906209829</v>
      </c>
      <c r="H212" s="187">
        <f t="shared" si="446"/>
        <v>9040.0253643852448</v>
      </c>
      <c r="I212" s="187">
        <f t="shared" si="446"/>
        <v>8389.1435381495066</v>
      </c>
      <c r="J212" s="187">
        <f t="shared" si="446"/>
        <v>7738.2617119137685</v>
      </c>
      <c r="K212" s="187">
        <f t="shared" si="446"/>
        <v>7087.3798856780304</v>
      </c>
      <c r="L212" s="187">
        <f t="shared" si="446"/>
        <v>6436.4980594422923</v>
      </c>
      <c r="M212" s="187">
        <f t="shared" si="446"/>
        <v>5785.6162332065542</v>
      </c>
      <c r="N212" s="187">
        <f t="shared" si="446"/>
        <v>5134.7344069708161</v>
      </c>
      <c r="O212" s="187">
        <f t="shared" si="446"/>
        <v>4483.8525807350779</v>
      </c>
      <c r="P212" s="187">
        <f t="shared" si="446"/>
        <v>3832.9707544993403</v>
      </c>
      <c r="Q212" s="187">
        <f t="shared" si="446"/>
        <v>3182.0889282636026</v>
      </c>
      <c r="R212" s="187">
        <f t="shared" si="446"/>
        <v>2531.2071020278649</v>
      </c>
      <c r="S212" s="187">
        <f t="shared" si="446"/>
        <v>1880.3252757921273</v>
      </c>
      <c r="T212" s="208">
        <f t="shared" si="428"/>
        <v>1229.4434495563937</v>
      </c>
      <c r="U212" s="195"/>
      <c r="V212" t="s">
        <v>635</v>
      </c>
      <c r="W212" s="39">
        <f t="shared" ref="W212:AK212" si="447">E212/SUM(E203:E235)</f>
        <v>1.6212992874672982E-2</v>
      </c>
      <c r="X212" s="39">
        <f t="shared" si="447"/>
        <v>1.6212992874672982E-2</v>
      </c>
      <c r="Y212" s="39">
        <f t="shared" si="447"/>
        <v>1.6212992874672979E-2</v>
      </c>
      <c r="Z212" s="39">
        <f t="shared" si="447"/>
        <v>1.6212992874672982E-2</v>
      </c>
      <c r="AA212" s="39">
        <f t="shared" si="447"/>
        <v>1.6212992874672979E-2</v>
      </c>
      <c r="AB212" s="39">
        <f>J212/SUM(J203:J235)</f>
        <v>1.6212992874672979E-2</v>
      </c>
      <c r="AC212" s="39">
        <f>K212/SUM(K203:K235)</f>
        <v>1.6212992874672975E-2</v>
      </c>
      <c r="AD212" s="39">
        <f>L212/SUM(L203:L235)</f>
        <v>1.6212992874672975E-2</v>
      </c>
      <c r="AE212" s="39">
        <f t="shared" si="447"/>
        <v>1.6212992874672968E-2</v>
      </c>
      <c r="AF212" s="39">
        <f t="shared" si="447"/>
        <v>1.6212992874672968E-2</v>
      </c>
      <c r="AG212" s="39">
        <f>O212/SUM(O203:O235)</f>
        <v>1.6212992874672965E-2</v>
      </c>
      <c r="AH212" s="39">
        <f>P212/SUM(P203:P235)</f>
        <v>1.6212992874672962E-2</v>
      </c>
      <c r="AI212" s="39">
        <f t="shared" si="447"/>
        <v>1.6212992874672958E-2</v>
      </c>
      <c r="AJ212" s="39">
        <f t="shared" si="447"/>
        <v>1.6212992874672951E-2</v>
      </c>
      <c r="AK212" s="39">
        <f t="shared" si="447"/>
        <v>1.6212992874672937E-2</v>
      </c>
      <c r="AL212" s="39">
        <f>T212/SUM(T203:T235)</f>
        <v>1.6212992874672989E-2</v>
      </c>
      <c r="AM212" s="184">
        <f t="shared" si="433"/>
        <v>1.6212992874672989E-2</v>
      </c>
      <c r="AN212" s="184">
        <f t="shared" si="426"/>
        <v>1.6212992874672989E-2</v>
      </c>
      <c r="AO212" s="184">
        <f t="shared" si="426"/>
        <v>1.6212992874672989E-2</v>
      </c>
      <c r="AP212" s="184">
        <f t="shared" si="426"/>
        <v>1.6212992874672989E-2</v>
      </c>
      <c r="AQ212" s="184">
        <f t="shared" si="426"/>
        <v>1.6212992874672989E-2</v>
      </c>
      <c r="AR212" s="184">
        <f t="shared" si="426"/>
        <v>1.6212992874672989E-2</v>
      </c>
      <c r="AS212" s="184">
        <f t="shared" si="426"/>
        <v>1.6212992874672989E-2</v>
      </c>
      <c r="AT212" s="184">
        <f t="shared" si="426"/>
        <v>1.6212992874672989E-2</v>
      </c>
      <c r="AU212" s="184">
        <f t="shared" si="426"/>
        <v>1.6212992874672989E-2</v>
      </c>
      <c r="AV212" s="184">
        <f t="shared" si="426"/>
        <v>1.6212992874672989E-2</v>
      </c>
      <c r="AW212" s="184">
        <f t="shared" si="426"/>
        <v>1.6212992874672989E-2</v>
      </c>
      <c r="AX212" s="184">
        <f t="shared" si="426"/>
        <v>1.6212992874672989E-2</v>
      </c>
      <c r="AY212" s="184">
        <f t="shared" si="426"/>
        <v>1.6212992874672989E-2</v>
      </c>
      <c r="AZ212" s="184">
        <f t="shared" si="426"/>
        <v>1.6212992874672989E-2</v>
      </c>
      <c r="BA212" s="184">
        <f t="shared" si="426"/>
        <v>1.6212992874672989E-2</v>
      </c>
      <c r="BB212" s="184">
        <f t="shared" si="426"/>
        <v>1.6212992874672989E-2</v>
      </c>
      <c r="BC212" s="184">
        <f t="shared" si="426"/>
        <v>1.6212992874672989E-2</v>
      </c>
      <c r="BD212" s="184">
        <f t="shared" si="426"/>
        <v>1.6212992874672989E-2</v>
      </c>
      <c r="BE212" s="184">
        <f t="shared" si="426"/>
        <v>1.6212992874672989E-2</v>
      </c>
      <c r="BF212" s="184">
        <f t="shared" si="426"/>
        <v>1.6212992874672989E-2</v>
      </c>
    </row>
    <row r="213" spans="2:58">
      <c r="B213" t="s">
        <v>636</v>
      </c>
      <c r="C213" s="109">
        <v>43840.498144514662</v>
      </c>
      <c r="D213" s="187">
        <f t="shared" ref="D213:S213" si="448">C213+($T213-$C213)/(COLUMN($T213)-COLUMN($C213))</f>
        <v>41519.530595687414</v>
      </c>
      <c r="E213" s="187">
        <f t="shared" si="448"/>
        <v>39198.563046860167</v>
      </c>
      <c r="F213" s="187">
        <f t="shared" si="448"/>
        <v>36877.595498032919</v>
      </c>
      <c r="G213" s="187">
        <f t="shared" si="448"/>
        <v>34556.627949205671</v>
      </c>
      <c r="H213" s="187">
        <f t="shared" si="448"/>
        <v>32235.660400378423</v>
      </c>
      <c r="I213" s="187">
        <f t="shared" si="448"/>
        <v>29914.692851551175</v>
      </c>
      <c r="J213" s="187">
        <f t="shared" si="448"/>
        <v>27593.725302723928</v>
      </c>
      <c r="K213" s="187">
        <f t="shared" si="448"/>
        <v>25272.75775389668</v>
      </c>
      <c r="L213" s="187">
        <f t="shared" si="448"/>
        <v>22951.790205069432</v>
      </c>
      <c r="M213" s="187">
        <f t="shared" si="448"/>
        <v>20630.822656242184</v>
      </c>
      <c r="N213" s="187">
        <f t="shared" si="448"/>
        <v>18309.855107414936</v>
      </c>
      <c r="O213" s="187">
        <f t="shared" si="448"/>
        <v>15988.887558587689</v>
      </c>
      <c r="P213" s="187">
        <f t="shared" si="448"/>
        <v>13667.920009760441</v>
      </c>
      <c r="Q213" s="187">
        <f t="shared" si="448"/>
        <v>11346.952460933193</v>
      </c>
      <c r="R213" s="187">
        <f t="shared" si="448"/>
        <v>9025.9849121059451</v>
      </c>
      <c r="S213" s="187">
        <f t="shared" si="448"/>
        <v>6705.0173632786982</v>
      </c>
      <c r="T213" s="208">
        <f t="shared" si="428"/>
        <v>4384.0498144514668</v>
      </c>
      <c r="U213" s="195"/>
      <c r="V213" t="s">
        <v>636</v>
      </c>
      <c r="W213" s="39">
        <f t="shared" ref="W213:AK213" si="449">E213/SUM(E203:E235)</f>
        <v>5.781361349280402E-2</v>
      </c>
      <c r="X213" s="39">
        <f t="shared" si="449"/>
        <v>5.7813613492804027E-2</v>
      </c>
      <c r="Y213" s="39">
        <f t="shared" si="449"/>
        <v>5.7813613492804006E-2</v>
      </c>
      <c r="Z213" s="39">
        <f t="shared" si="449"/>
        <v>5.781361349280402E-2</v>
      </c>
      <c r="AA213" s="39">
        <f t="shared" si="449"/>
        <v>5.7813613492804006E-2</v>
      </c>
      <c r="AB213" s="39">
        <f>J213/SUM(J203:J235)</f>
        <v>5.7813613492804006E-2</v>
      </c>
      <c r="AC213" s="39">
        <f>K213/SUM(K203:K235)</f>
        <v>5.7813613492803999E-2</v>
      </c>
      <c r="AD213" s="39">
        <f>L213/SUM(L203:L235)</f>
        <v>5.7813613492803999E-2</v>
      </c>
      <c r="AE213" s="39">
        <f t="shared" si="449"/>
        <v>5.7813613492803985E-2</v>
      </c>
      <c r="AF213" s="39">
        <f t="shared" si="449"/>
        <v>5.7813613492803985E-2</v>
      </c>
      <c r="AG213" s="39">
        <f>O213/SUM(O203:O235)</f>
        <v>5.7813613492803978E-2</v>
      </c>
      <c r="AH213" s="39">
        <f>P213/SUM(P203:P235)</f>
        <v>5.7813613492803957E-2</v>
      </c>
      <c r="AI213" s="39">
        <f t="shared" si="449"/>
        <v>5.7813613492803936E-2</v>
      </c>
      <c r="AJ213" s="39">
        <f t="shared" si="449"/>
        <v>5.7813613492803909E-2</v>
      </c>
      <c r="AK213" s="39">
        <f t="shared" si="449"/>
        <v>5.7813613492803853E-2</v>
      </c>
      <c r="AL213" s="39">
        <f>T213/SUM(T203:T235)</f>
        <v>5.781361349280404E-2</v>
      </c>
      <c r="AM213" s="184">
        <f t="shared" si="433"/>
        <v>5.781361349280404E-2</v>
      </c>
      <c r="AN213" s="184">
        <f t="shared" si="426"/>
        <v>5.781361349280404E-2</v>
      </c>
      <c r="AO213" s="184">
        <f t="shared" si="426"/>
        <v>5.781361349280404E-2</v>
      </c>
      <c r="AP213" s="184">
        <f t="shared" si="426"/>
        <v>5.781361349280404E-2</v>
      </c>
      <c r="AQ213" s="184">
        <f t="shared" si="426"/>
        <v>5.781361349280404E-2</v>
      </c>
      <c r="AR213" s="184">
        <f t="shared" si="426"/>
        <v>5.781361349280404E-2</v>
      </c>
      <c r="AS213" s="184">
        <f t="shared" si="426"/>
        <v>5.781361349280404E-2</v>
      </c>
      <c r="AT213" s="184">
        <f t="shared" si="426"/>
        <v>5.781361349280404E-2</v>
      </c>
      <c r="AU213" s="184">
        <f t="shared" si="426"/>
        <v>5.781361349280404E-2</v>
      </c>
      <c r="AV213" s="184">
        <f t="shared" si="426"/>
        <v>5.781361349280404E-2</v>
      </c>
      <c r="AW213" s="184">
        <f t="shared" si="426"/>
        <v>5.781361349280404E-2</v>
      </c>
      <c r="AX213" s="184">
        <f t="shared" si="426"/>
        <v>5.781361349280404E-2</v>
      </c>
      <c r="AY213" s="184">
        <f t="shared" si="426"/>
        <v>5.781361349280404E-2</v>
      </c>
      <c r="AZ213" s="184">
        <f t="shared" si="426"/>
        <v>5.781361349280404E-2</v>
      </c>
      <c r="BA213" s="184">
        <f t="shared" si="426"/>
        <v>5.781361349280404E-2</v>
      </c>
      <c r="BB213" s="184">
        <f t="shared" si="426"/>
        <v>5.781361349280404E-2</v>
      </c>
      <c r="BC213" s="184">
        <f t="shared" si="426"/>
        <v>5.781361349280404E-2</v>
      </c>
      <c r="BD213" s="184">
        <f t="shared" si="426"/>
        <v>5.781361349280404E-2</v>
      </c>
      <c r="BE213" s="184">
        <f t="shared" si="426"/>
        <v>5.781361349280404E-2</v>
      </c>
      <c r="BF213" s="184">
        <f t="shared" si="426"/>
        <v>5.781361349280404E-2</v>
      </c>
    </row>
    <row r="214" spans="2:58">
      <c r="B214" t="s">
        <v>637</v>
      </c>
      <c r="C214" s="109">
        <v>10082.585882664922</v>
      </c>
      <c r="D214" s="187">
        <f t="shared" ref="D214:S214" si="450">C214+($T214-$C214)/(COLUMN($T214)-COLUMN($C214))</f>
        <v>9548.8019241708971</v>
      </c>
      <c r="E214" s="187">
        <f t="shared" si="450"/>
        <v>9015.0179656768723</v>
      </c>
      <c r="F214" s="187">
        <f t="shared" si="450"/>
        <v>8481.2340071828476</v>
      </c>
      <c r="G214" s="187">
        <f t="shared" si="450"/>
        <v>7947.4500486888219</v>
      </c>
      <c r="H214" s="187">
        <f t="shared" si="450"/>
        <v>7413.6660901947962</v>
      </c>
      <c r="I214" s="187">
        <f t="shared" si="450"/>
        <v>6879.8821317007705</v>
      </c>
      <c r="J214" s="187">
        <f t="shared" si="450"/>
        <v>6346.0981732067448</v>
      </c>
      <c r="K214" s="187">
        <f t="shared" si="450"/>
        <v>5812.3142147127191</v>
      </c>
      <c r="L214" s="187">
        <f t="shared" si="450"/>
        <v>5278.5302562186935</v>
      </c>
      <c r="M214" s="187">
        <f t="shared" si="450"/>
        <v>4744.7462977246678</v>
      </c>
      <c r="N214" s="187">
        <f t="shared" si="450"/>
        <v>4210.9623392306421</v>
      </c>
      <c r="O214" s="187">
        <f t="shared" si="450"/>
        <v>3677.1783807366169</v>
      </c>
      <c r="P214" s="187">
        <f t="shared" si="450"/>
        <v>3143.3944222425916</v>
      </c>
      <c r="Q214" s="187">
        <f t="shared" si="450"/>
        <v>2609.6104637485664</v>
      </c>
      <c r="R214" s="187">
        <f t="shared" si="450"/>
        <v>2075.8265052545412</v>
      </c>
      <c r="S214" s="187">
        <f t="shared" si="450"/>
        <v>1542.042546760516</v>
      </c>
      <c r="T214" s="208">
        <f t="shared" si="428"/>
        <v>1008.2585882664922</v>
      </c>
      <c r="U214" s="195"/>
      <c r="V214" t="s">
        <v>637</v>
      </c>
      <c r="W214" s="39">
        <f t="shared" ref="W214:AK214" si="451">E214/SUM(E203:E235)</f>
        <v>1.3296170159994547E-2</v>
      </c>
      <c r="X214" s="39">
        <f t="shared" si="451"/>
        <v>1.329617015999455E-2</v>
      </c>
      <c r="Y214" s="39">
        <f t="shared" si="451"/>
        <v>1.3296170159994545E-2</v>
      </c>
      <c r="Z214" s="39">
        <f t="shared" si="451"/>
        <v>1.3296170159994548E-2</v>
      </c>
      <c r="AA214" s="39">
        <f t="shared" si="451"/>
        <v>1.3296170159994545E-2</v>
      </c>
      <c r="AB214" s="39">
        <f>J214/SUM(J203:J235)</f>
        <v>1.3296170159994545E-2</v>
      </c>
      <c r="AC214" s="39">
        <f>K214/SUM(K203:K235)</f>
        <v>1.3296170159994543E-2</v>
      </c>
      <c r="AD214" s="39">
        <f>L214/SUM(L203:L235)</f>
        <v>1.3296170159994543E-2</v>
      </c>
      <c r="AE214" s="39">
        <f t="shared" si="451"/>
        <v>1.329617015999454E-2</v>
      </c>
      <c r="AF214" s="39">
        <f t="shared" si="451"/>
        <v>1.329617015999454E-2</v>
      </c>
      <c r="AG214" s="39">
        <f>O214/SUM(O203:O235)</f>
        <v>1.3296170159994538E-2</v>
      </c>
      <c r="AH214" s="39">
        <f>P214/SUM(P203:P235)</f>
        <v>1.3296170159994536E-2</v>
      </c>
      <c r="AI214" s="39">
        <f t="shared" si="451"/>
        <v>1.3296170159994534E-2</v>
      </c>
      <c r="AJ214" s="39">
        <f t="shared" si="451"/>
        <v>1.3296170159994531E-2</v>
      </c>
      <c r="AK214" s="39">
        <f t="shared" si="451"/>
        <v>1.3296170159994522E-2</v>
      </c>
      <c r="AL214" s="39">
        <f>T214/SUM(T203:T235)</f>
        <v>1.3296170159994548E-2</v>
      </c>
      <c r="AM214" s="184">
        <f t="shared" si="433"/>
        <v>1.3296170159994548E-2</v>
      </c>
      <c r="AN214" s="184">
        <f t="shared" si="426"/>
        <v>1.3296170159994548E-2</v>
      </c>
      <c r="AO214" s="184">
        <f t="shared" si="426"/>
        <v>1.3296170159994548E-2</v>
      </c>
      <c r="AP214" s="184">
        <f t="shared" si="426"/>
        <v>1.3296170159994548E-2</v>
      </c>
      <c r="AQ214" s="184">
        <f t="shared" si="426"/>
        <v>1.3296170159994548E-2</v>
      </c>
      <c r="AR214" s="184">
        <f t="shared" si="426"/>
        <v>1.3296170159994548E-2</v>
      </c>
      <c r="AS214" s="184">
        <f t="shared" si="426"/>
        <v>1.3296170159994548E-2</v>
      </c>
      <c r="AT214" s="184">
        <f t="shared" si="426"/>
        <v>1.3296170159994548E-2</v>
      </c>
      <c r="AU214" s="184">
        <f t="shared" si="426"/>
        <v>1.3296170159994548E-2</v>
      </c>
      <c r="AV214" s="184">
        <f t="shared" si="426"/>
        <v>1.3296170159994548E-2</v>
      </c>
      <c r="AW214" s="184">
        <f t="shared" si="426"/>
        <v>1.3296170159994548E-2</v>
      </c>
      <c r="AX214" s="184">
        <f t="shared" si="426"/>
        <v>1.3296170159994548E-2</v>
      </c>
      <c r="AY214" s="184">
        <f t="shared" si="426"/>
        <v>1.3296170159994548E-2</v>
      </c>
      <c r="AZ214" s="184">
        <f t="shared" si="426"/>
        <v>1.3296170159994548E-2</v>
      </c>
      <c r="BA214" s="184">
        <f t="shared" si="426"/>
        <v>1.3296170159994548E-2</v>
      </c>
      <c r="BB214" s="184">
        <f t="shared" si="426"/>
        <v>1.3296170159994548E-2</v>
      </c>
      <c r="BC214" s="184">
        <f t="shared" si="426"/>
        <v>1.3296170159994548E-2</v>
      </c>
      <c r="BD214" s="184">
        <f t="shared" si="426"/>
        <v>1.3296170159994548E-2</v>
      </c>
      <c r="BE214" s="184">
        <f t="shared" si="426"/>
        <v>1.3296170159994548E-2</v>
      </c>
      <c r="BF214" s="184">
        <f t="shared" si="426"/>
        <v>1.3296170159994548E-2</v>
      </c>
    </row>
    <row r="215" spans="2:58">
      <c r="B215" t="s">
        <v>638</v>
      </c>
      <c r="C215" s="109">
        <v>0</v>
      </c>
      <c r="D215" s="187">
        <f t="shared" ref="D215:S215" si="452">C215+($T215-$C215)/(COLUMN($T215)-COLUMN($C215))</f>
        <v>0</v>
      </c>
      <c r="E215" s="187">
        <f t="shared" si="452"/>
        <v>0</v>
      </c>
      <c r="F215" s="187">
        <f t="shared" si="452"/>
        <v>0</v>
      </c>
      <c r="G215" s="187">
        <f t="shared" si="452"/>
        <v>0</v>
      </c>
      <c r="H215" s="187">
        <f t="shared" si="452"/>
        <v>0</v>
      </c>
      <c r="I215" s="187">
        <f t="shared" si="452"/>
        <v>0</v>
      </c>
      <c r="J215" s="187">
        <f t="shared" si="452"/>
        <v>0</v>
      </c>
      <c r="K215" s="187">
        <f t="shared" si="452"/>
        <v>0</v>
      </c>
      <c r="L215" s="187">
        <f t="shared" si="452"/>
        <v>0</v>
      </c>
      <c r="M215" s="187">
        <f t="shared" si="452"/>
        <v>0</v>
      </c>
      <c r="N215" s="187">
        <f t="shared" si="452"/>
        <v>0</v>
      </c>
      <c r="O215" s="187">
        <f t="shared" si="452"/>
        <v>0</v>
      </c>
      <c r="P215" s="187">
        <f t="shared" si="452"/>
        <v>0</v>
      </c>
      <c r="Q215" s="187">
        <f t="shared" si="452"/>
        <v>0</v>
      </c>
      <c r="R215" s="187">
        <f t="shared" si="452"/>
        <v>0</v>
      </c>
      <c r="S215" s="187">
        <f t="shared" si="452"/>
        <v>0</v>
      </c>
      <c r="T215" s="208">
        <f t="shared" si="428"/>
        <v>0</v>
      </c>
      <c r="U215" s="195"/>
      <c r="V215" t="s">
        <v>638</v>
      </c>
      <c r="W215" s="39">
        <f t="shared" ref="W215:AK215" si="453">E215/SUM(E203:E235)</f>
        <v>0</v>
      </c>
      <c r="X215" s="39">
        <f t="shared" si="453"/>
        <v>0</v>
      </c>
      <c r="Y215" s="39">
        <f t="shared" si="453"/>
        <v>0</v>
      </c>
      <c r="Z215" s="39">
        <f t="shared" si="453"/>
        <v>0</v>
      </c>
      <c r="AA215" s="39">
        <f t="shared" si="453"/>
        <v>0</v>
      </c>
      <c r="AB215" s="39">
        <f>J215/SUM(J203:J235)</f>
        <v>0</v>
      </c>
      <c r="AC215" s="39">
        <f>K215/SUM(K203:K235)</f>
        <v>0</v>
      </c>
      <c r="AD215" s="39">
        <f>L215/SUM(L203:L235)</f>
        <v>0</v>
      </c>
      <c r="AE215" s="39">
        <f t="shared" si="453"/>
        <v>0</v>
      </c>
      <c r="AF215" s="39">
        <f t="shared" si="453"/>
        <v>0</v>
      </c>
      <c r="AG215" s="39">
        <f>O215/SUM(O203:O235)</f>
        <v>0</v>
      </c>
      <c r="AH215" s="39">
        <f>P215/SUM(P203:P235)</f>
        <v>0</v>
      </c>
      <c r="AI215" s="39">
        <f t="shared" si="453"/>
        <v>0</v>
      </c>
      <c r="AJ215" s="39">
        <f t="shared" si="453"/>
        <v>0</v>
      </c>
      <c r="AK215" s="39">
        <f t="shared" si="453"/>
        <v>0</v>
      </c>
      <c r="AL215" s="39">
        <f>T215/SUM(T203:T235)</f>
        <v>0</v>
      </c>
      <c r="AM215" s="184">
        <f t="shared" si="433"/>
        <v>0</v>
      </c>
      <c r="AN215" s="184">
        <f t="shared" si="426"/>
        <v>0</v>
      </c>
      <c r="AO215" s="184">
        <f t="shared" si="426"/>
        <v>0</v>
      </c>
      <c r="AP215" s="184">
        <f t="shared" si="426"/>
        <v>0</v>
      </c>
      <c r="AQ215" s="184">
        <f t="shared" si="426"/>
        <v>0</v>
      </c>
      <c r="AR215" s="184">
        <f t="shared" si="426"/>
        <v>0</v>
      </c>
      <c r="AS215" s="184">
        <f t="shared" si="426"/>
        <v>0</v>
      </c>
      <c r="AT215" s="184">
        <f t="shared" si="426"/>
        <v>0</v>
      </c>
      <c r="AU215" s="184">
        <f t="shared" si="426"/>
        <v>0</v>
      </c>
      <c r="AV215" s="184">
        <f t="shared" si="426"/>
        <v>0</v>
      </c>
      <c r="AW215" s="184">
        <f t="shared" si="426"/>
        <v>0</v>
      </c>
      <c r="AX215" s="184">
        <f t="shared" si="426"/>
        <v>0</v>
      </c>
      <c r="AY215" s="184">
        <f t="shared" si="426"/>
        <v>0</v>
      </c>
      <c r="AZ215" s="184">
        <f t="shared" si="426"/>
        <v>0</v>
      </c>
      <c r="BA215" s="184">
        <f t="shared" si="426"/>
        <v>0</v>
      </c>
      <c r="BB215" s="184">
        <f t="shared" si="426"/>
        <v>0</v>
      </c>
      <c r="BC215" s="184">
        <f t="shared" si="426"/>
        <v>0</v>
      </c>
      <c r="BD215" s="184">
        <f t="shared" si="426"/>
        <v>0</v>
      </c>
      <c r="BE215" s="184">
        <f t="shared" si="426"/>
        <v>0</v>
      </c>
      <c r="BF215" s="184">
        <f t="shared" si="426"/>
        <v>0</v>
      </c>
    </row>
    <row r="216" spans="2:58">
      <c r="B216" t="s">
        <v>639</v>
      </c>
      <c r="C216" s="109">
        <v>84.167381149757361</v>
      </c>
      <c r="D216" s="187">
        <f t="shared" ref="D216:S216" si="454">C216+($T216-$C216)/(COLUMN($T216)-COLUMN($C216))</f>
        <v>79.711460971240797</v>
      </c>
      <c r="E216" s="187">
        <f t="shared" si="454"/>
        <v>75.255540792724233</v>
      </c>
      <c r="F216" s="187">
        <f t="shared" si="454"/>
        <v>70.799620614207669</v>
      </c>
      <c r="G216" s="187">
        <f t="shared" si="454"/>
        <v>66.343700435691105</v>
      </c>
      <c r="H216" s="187">
        <f t="shared" si="454"/>
        <v>61.887780257174541</v>
      </c>
      <c r="I216" s="187">
        <f t="shared" si="454"/>
        <v>57.431860078657976</v>
      </c>
      <c r="J216" s="187">
        <f t="shared" si="454"/>
        <v>52.975939900141412</v>
      </c>
      <c r="K216" s="187">
        <f t="shared" si="454"/>
        <v>48.520019721624848</v>
      </c>
      <c r="L216" s="187">
        <f t="shared" si="454"/>
        <v>44.064099543108284</v>
      </c>
      <c r="M216" s="187">
        <f t="shared" si="454"/>
        <v>39.60817936459172</v>
      </c>
      <c r="N216" s="187">
        <f t="shared" si="454"/>
        <v>35.152259186075156</v>
      </c>
      <c r="O216" s="187">
        <f t="shared" si="454"/>
        <v>30.696339007558588</v>
      </c>
      <c r="P216" s="187">
        <f t="shared" si="454"/>
        <v>26.240418829042021</v>
      </c>
      <c r="Q216" s="187">
        <f t="shared" si="454"/>
        <v>21.784498650525453</v>
      </c>
      <c r="R216" s="187">
        <f t="shared" si="454"/>
        <v>17.328578472008886</v>
      </c>
      <c r="S216" s="187">
        <f t="shared" si="454"/>
        <v>12.872658293492318</v>
      </c>
      <c r="T216" s="208">
        <f t="shared" si="428"/>
        <v>8.4167381149757361</v>
      </c>
      <c r="U216" s="195"/>
      <c r="V216" t="s">
        <v>639</v>
      </c>
      <c r="W216" s="39">
        <f t="shared" ref="W216:AK216" si="455">E216/SUM(E203:E235)</f>
        <v>1.1099373064725155E-4</v>
      </c>
      <c r="X216" s="39">
        <f t="shared" si="455"/>
        <v>1.1099373064725156E-4</v>
      </c>
      <c r="Y216" s="39">
        <f t="shared" si="455"/>
        <v>1.1099373064725154E-4</v>
      </c>
      <c r="Z216" s="39">
        <f t="shared" si="455"/>
        <v>1.1099373064725156E-4</v>
      </c>
      <c r="AA216" s="39">
        <f t="shared" si="455"/>
        <v>1.1099373064725155E-4</v>
      </c>
      <c r="AB216" s="39">
        <f>J216/SUM(J203:J235)</f>
        <v>1.1099373064725156E-4</v>
      </c>
      <c r="AC216" s="39">
        <f>K216/SUM(K203:K235)</f>
        <v>1.1099373064725156E-4</v>
      </c>
      <c r="AD216" s="39">
        <f>L216/SUM(L203:L235)</f>
        <v>1.1099373064725158E-4</v>
      </c>
      <c r="AE216" s="39">
        <f t="shared" si="455"/>
        <v>1.1099373064725158E-4</v>
      </c>
      <c r="AF216" s="39">
        <f t="shared" si="455"/>
        <v>1.109937306472516E-4</v>
      </c>
      <c r="AG216" s="39">
        <f>O216/SUM(O203:O235)</f>
        <v>1.109937306472516E-4</v>
      </c>
      <c r="AH216" s="39">
        <f>P216/SUM(P203:P235)</f>
        <v>1.109937306472516E-4</v>
      </c>
      <c r="AI216" s="39">
        <f t="shared" si="455"/>
        <v>1.109937306472516E-4</v>
      </c>
      <c r="AJ216" s="39">
        <f t="shared" si="455"/>
        <v>1.109937306472516E-4</v>
      </c>
      <c r="AK216" s="39">
        <f t="shared" si="455"/>
        <v>1.1099373064725159E-4</v>
      </c>
      <c r="AL216" s="39">
        <f>T216/SUM(T203:T235)</f>
        <v>1.1099373064725155E-4</v>
      </c>
      <c r="AM216" s="184">
        <f t="shared" si="433"/>
        <v>1.1099373064725155E-4</v>
      </c>
      <c r="AN216" s="184">
        <f t="shared" si="426"/>
        <v>1.1099373064725155E-4</v>
      </c>
      <c r="AO216" s="184">
        <f t="shared" si="426"/>
        <v>1.1099373064725155E-4</v>
      </c>
      <c r="AP216" s="184">
        <f t="shared" si="426"/>
        <v>1.1099373064725155E-4</v>
      </c>
      <c r="AQ216" s="184">
        <f t="shared" si="426"/>
        <v>1.1099373064725155E-4</v>
      </c>
      <c r="AR216" s="184">
        <f t="shared" si="426"/>
        <v>1.1099373064725155E-4</v>
      </c>
      <c r="AS216" s="184">
        <f t="shared" si="426"/>
        <v>1.1099373064725155E-4</v>
      </c>
      <c r="AT216" s="184">
        <f t="shared" si="426"/>
        <v>1.1099373064725155E-4</v>
      </c>
      <c r="AU216" s="184">
        <f t="shared" si="426"/>
        <v>1.1099373064725155E-4</v>
      </c>
      <c r="AV216" s="184">
        <f t="shared" si="426"/>
        <v>1.1099373064725155E-4</v>
      </c>
      <c r="AW216" s="184">
        <f t="shared" si="426"/>
        <v>1.1099373064725155E-4</v>
      </c>
      <c r="AX216" s="184">
        <f t="shared" si="426"/>
        <v>1.1099373064725155E-4</v>
      </c>
      <c r="AY216" s="184">
        <f t="shared" si="426"/>
        <v>1.1099373064725155E-4</v>
      </c>
      <c r="AZ216" s="184">
        <f t="shared" si="426"/>
        <v>1.1099373064725155E-4</v>
      </c>
      <c r="BA216" s="184">
        <f t="shared" si="426"/>
        <v>1.1099373064725155E-4</v>
      </c>
      <c r="BB216" s="184">
        <f t="shared" si="426"/>
        <v>1.1099373064725155E-4</v>
      </c>
      <c r="BC216" s="184">
        <f t="shared" si="426"/>
        <v>1.1099373064725155E-4</v>
      </c>
      <c r="BD216" s="184">
        <f t="shared" si="426"/>
        <v>1.1099373064725155E-4</v>
      </c>
      <c r="BE216" s="184">
        <f t="shared" si="426"/>
        <v>1.1099373064725155E-4</v>
      </c>
      <c r="BF216" s="184">
        <f t="shared" si="426"/>
        <v>1.1099373064725155E-4</v>
      </c>
    </row>
    <row r="217" spans="2:58">
      <c r="B217" t="s">
        <v>640</v>
      </c>
      <c r="C217" s="109">
        <v>0</v>
      </c>
      <c r="D217" s="187">
        <f t="shared" ref="D217:S217" si="456">C217+($T217-$C217)/(COLUMN($T217)-COLUMN($C217))</f>
        <v>0</v>
      </c>
      <c r="E217" s="187">
        <f t="shared" si="456"/>
        <v>0</v>
      </c>
      <c r="F217" s="187">
        <f t="shared" si="456"/>
        <v>0</v>
      </c>
      <c r="G217" s="187">
        <f t="shared" si="456"/>
        <v>0</v>
      </c>
      <c r="H217" s="187">
        <f t="shared" si="456"/>
        <v>0</v>
      </c>
      <c r="I217" s="187">
        <f t="shared" si="456"/>
        <v>0</v>
      </c>
      <c r="J217" s="187">
        <f t="shared" si="456"/>
        <v>0</v>
      </c>
      <c r="K217" s="187">
        <f t="shared" si="456"/>
        <v>0</v>
      </c>
      <c r="L217" s="187">
        <f t="shared" si="456"/>
        <v>0</v>
      </c>
      <c r="M217" s="187">
        <f t="shared" si="456"/>
        <v>0</v>
      </c>
      <c r="N217" s="187">
        <f t="shared" si="456"/>
        <v>0</v>
      </c>
      <c r="O217" s="187">
        <f t="shared" si="456"/>
        <v>0</v>
      </c>
      <c r="P217" s="187">
        <f t="shared" si="456"/>
        <v>0</v>
      </c>
      <c r="Q217" s="187">
        <f t="shared" si="456"/>
        <v>0</v>
      </c>
      <c r="R217" s="187">
        <f t="shared" si="456"/>
        <v>0</v>
      </c>
      <c r="S217" s="187">
        <f t="shared" si="456"/>
        <v>0</v>
      </c>
      <c r="T217" s="208">
        <f t="shared" si="428"/>
        <v>0</v>
      </c>
      <c r="U217" s="195"/>
      <c r="V217" t="s">
        <v>640</v>
      </c>
      <c r="W217" s="39">
        <f t="shared" ref="W217:AK217" si="457">E217/SUM(E203:E235)</f>
        <v>0</v>
      </c>
      <c r="X217" s="39">
        <f t="shared" si="457"/>
        <v>0</v>
      </c>
      <c r="Y217" s="39">
        <f t="shared" si="457"/>
        <v>0</v>
      </c>
      <c r="Z217" s="39">
        <f t="shared" si="457"/>
        <v>0</v>
      </c>
      <c r="AA217" s="39">
        <f t="shared" si="457"/>
        <v>0</v>
      </c>
      <c r="AB217" s="39">
        <f>J217/SUM(J203:J235)</f>
        <v>0</v>
      </c>
      <c r="AC217" s="39">
        <f>K217/SUM(K203:K235)</f>
        <v>0</v>
      </c>
      <c r="AD217" s="39">
        <f>L217/SUM(L203:L235)</f>
        <v>0</v>
      </c>
      <c r="AE217" s="39">
        <f t="shared" si="457"/>
        <v>0</v>
      </c>
      <c r="AF217" s="39">
        <f t="shared" si="457"/>
        <v>0</v>
      </c>
      <c r="AG217" s="39">
        <f>O217/SUM(O203:O235)</f>
        <v>0</v>
      </c>
      <c r="AH217" s="39">
        <f>P217/SUM(P203:P235)</f>
        <v>0</v>
      </c>
      <c r="AI217" s="39">
        <f t="shared" si="457"/>
        <v>0</v>
      </c>
      <c r="AJ217" s="39">
        <f t="shared" si="457"/>
        <v>0</v>
      </c>
      <c r="AK217" s="39">
        <f t="shared" si="457"/>
        <v>0</v>
      </c>
      <c r="AL217" s="39">
        <f>T217/SUM(T203:T235)</f>
        <v>0</v>
      </c>
      <c r="AM217" s="184">
        <f t="shared" si="433"/>
        <v>0</v>
      </c>
      <c r="AN217" s="184">
        <f t="shared" si="426"/>
        <v>0</v>
      </c>
      <c r="AO217" s="184">
        <f t="shared" si="426"/>
        <v>0</v>
      </c>
      <c r="AP217" s="184">
        <f t="shared" si="426"/>
        <v>0</v>
      </c>
      <c r="AQ217" s="184">
        <f t="shared" si="426"/>
        <v>0</v>
      </c>
      <c r="AR217" s="184">
        <f t="shared" ref="AR217:BF217" si="458">AQ217</f>
        <v>0</v>
      </c>
      <c r="AS217" s="184">
        <f t="shared" si="458"/>
        <v>0</v>
      </c>
      <c r="AT217" s="184">
        <f t="shared" si="458"/>
        <v>0</v>
      </c>
      <c r="AU217" s="184">
        <f t="shared" si="458"/>
        <v>0</v>
      </c>
      <c r="AV217" s="184">
        <f t="shared" si="458"/>
        <v>0</v>
      </c>
      <c r="AW217" s="184">
        <f t="shared" si="458"/>
        <v>0</v>
      </c>
      <c r="AX217" s="184">
        <f t="shared" si="458"/>
        <v>0</v>
      </c>
      <c r="AY217" s="184">
        <f t="shared" si="458"/>
        <v>0</v>
      </c>
      <c r="AZ217" s="184">
        <f t="shared" si="458"/>
        <v>0</v>
      </c>
      <c r="BA217" s="184">
        <f t="shared" si="458"/>
        <v>0</v>
      </c>
      <c r="BB217" s="184">
        <f t="shared" si="458"/>
        <v>0</v>
      </c>
      <c r="BC217" s="184">
        <f t="shared" si="458"/>
        <v>0</v>
      </c>
      <c r="BD217" s="184">
        <f t="shared" si="458"/>
        <v>0</v>
      </c>
      <c r="BE217" s="184">
        <f t="shared" si="458"/>
        <v>0</v>
      </c>
      <c r="BF217" s="184">
        <f t="shared" si="458"/>
        <v>0</v>
      </c>
    </row>
    <row r="218" spans="2:58">
      <c r="B218" t="s">
        <v>641</v>
      </c>
      <c r="C218" s="109">
        <v>5197.1993945915028</v>
      </c>
      <c r="D218" s="187">
        <f t="shared" ref="D218:S218" si="459">C218+($T218-$C218)/(COLUMN($T218)-COLUMN($C218))</f>
        <v>4922.0535442895998</v>
      </c>
      <c r="E218" s="187">
        <f t="shared" si="459"/>
        <v>4646.9076939876968</v>
      </c>
      <c r="F218" s="187">
        <f t="shared" si="459"/>
        <v>4371.7618436857938</v>
      </c>
      <c r="G218" s="187">
        <f t="shared" si="459"/>
        <v>4096.6159933838908</v>
      </c>
      <c r="H218" s="187">
        <f t="shared" si="459"/>
        <v>3821.4701430819878</v>
      </c>
      <c r="I218" s="187">
        <f t="shared" si="459"/>
        <v>3546.3242927800848</v>
      </c>
      <c r="J218" s="187">
        <f t="shared" si="459"/>
        <v>3271.1784424781818</v>
      </c>
      <c r="K218" s="187">
        <f t="shared" si="459"/>
        <v>2996.0325921762787</v>
      </c>
      <c r="L218" s="187">
        <f t="shared" si="459"/>
        <v>2720.8867418743757</v>
      </c>
      <c r="M218" s="187">
        <f t="shared" si="459"/>
        <v>2445.7408915724727</v>
      </c>
      <c r="N218" s="187">
        <f t="shared" si="459"/>
        <v>2170.5950412705697</v>
      </c>
      <c r="O218" s="187">
        <f t="shared" si="459"/>
        <v>1895.4491909686667</v>
      </c>
      <c r="P218" s="187">
        <f t="shared" si="459"/>
        <v>1620.3033406667637</v>
      </c>
      <c r="Q218" s="187">
        <f t="shared" si="459"/>
        <v>1345.1574903648607</v>
      </c>
      <c r="R218" s="187">
        <f t="shared" si="459"/>
        <v>1070.0116400629577</v>
      </c>
      <c r="S218" s="187">
        <f t="shared" si="459"/>
        <v>794.86578976105466</v>
      </c>
      <c r="T218" s="208">
        <f t="shared" si="428"/>
        <v>519.71993945915028</v>
      </c>
      <c r="U218" s="195"/>
      <c r="V218" t="s">
        <v>641</v>
      </c>
      <c r="W218" s="39">
        <f t="shared" ref="W218:AK218" si="460">E218/SUM(E203:E235)</f>
        <v>6.853683004547315E-3</v>
      </c>
      <c r="X218" s="39">
        <f t="shared" si="460"/>
        <v>6.8536830045473158E-3</v>
      </c>
      <c r="Y218" s="39">
        <f t="shared" si="460"/>
        <v>6.8536830045473132E-3</v>
      </c>
      <c r="Z218" s="39">
        <f t="shared" si="460"/>
        <v>6.8536830045473158E-3</v>
      </c>
      <c r="AA218" s="39">
        <f t="shared" si="460"/>
        <v>6.8536830045473141E-3</v>
      </c>
      <c r="AB218" s="39">
        <f>J218/SUM(J203:J235)</f>
        <v>6.8536830045473158E-3</v>
      </c>
      <c r="AC218" s="39">
        <f>K218/SUM(K203:K235)</f>
        <v>6.853683004547315E-3</v>
      </c>
      <c r="AD218" s="39">
        <f>L218/SUM(L203:L235)</f>
        <v>6.8536830045473158E-3</v>
      </c>
      <c r="AE218" s="39">
        <f t="shared" si="460"/>
        <v>6.853683004547315E-3</v>
      </c>
      <c r="AF218" s="39">
        <f t="shared" si="460"/>
        <v>6.8536830045473167E-3</v>
      </c>
      <c r="AG218" s="39">
        <f>O218/SUM(O203:O235)</f>
        <v>6.8536830045473176E-3</v>
      </c>
      <c r="AH218" s="39">
        <f>P218/SUM(P203:P235)</f>
        <v>6.8536830045473176E-3</v>
      </c>
      <c r="AI218" s="39">
        <f t="shared" si="460"/>
        <v>6.8536830045473184E-3</v>
      </c>
      <c r="AJ218" s="39">
        <f t="shared" si="460"/>
        <v>6.8536830045473193E-3</v>
      </c>
      <c r="AK218" s="39">
        <f t="shared" si="460"/>
        <v>6.8536830045473202E-3</v>
      </c>
      <c r="AL218" s="39">
        <f>T218/SUM(T203:T235)</f>
        <v>6.853683004547315E-3</v>
      </c>
      <c r="AM218" s="184">
        <f t="shared" ref="AM218:BF218" si="461">AL218</f>
        <v>6.853683004547315E-3</v>
      </c>
      <c r="AN218" s="184">
        <f t="shared" si="461"/>
        <v>6.853683004547315E-3</v>
      </c>
      <c r="AO218" s="184">
        <f t="shared" si="461"/>
        <v>6.853683004547315E-3</v>
      </c>
      <c r="AP218" s="184">
        <f t="shared" si="461"/>
        <v>6.853683004547315E-3</v>
      </c>
      <c r="AQ218" s="184">
        <f t="shared" si="461"/>
        <v>6.853683004547315E-3</v>
      </c>
      <c r="AR218" s="184">
        <f t="shared" si="461"/>
        <v>6.853683004547315E-3</v>
      </c>
      <c r="AS218" s="184">
        <f t="shared" si="461"/>
        <v>6.853683004547315E-3</v>
      </c>
      <c r="AT218" s="184">
        <f t="shared" si="461"/>
        <v>6.853683004547315E-3</v>
      </c>
      <c r="AU218" s="184">
        <f t="shared" si="461"/>
        <v>6.853683004547315E-3</v>
      </c>
      <c r="AV218" s="184">
        <f t="shared" si="461"/>
        <v>6.853683004547315E-3</v>
      </c>
      <c r="AW218" s="184">
        <f t="shared" si="461"/>
        <v>6.853683004547315E-3</v>
      </c>
      <c r="AX218" s="184">
        <f t="shared" si="461"/>
        <v>6.853683004547315E-3</v>
      </c>
      <c r="AY218" s="184">
        <f t="shared" si="461"/>
        <v>6.853683004547315E-3</v>
      </c>
      <c r="AZ218" s="184">
        <f t="shared" si="461"/>
        <v>6.853683004547315E-3</v>
      </c>
      <c r="BA218" s="184">
        <f t="shared" si="461"/>
        <v>6.853683004547315E-3</v>
      </c>
      <c r="BB218" s="184">
        <f t="shared" si="461"/>
        <v>6.853683004547315E-3</v>
      </c>
      <c r="BC218" s="184">
        <f t="shared" si="461"/>
        <v>6.853683004547315E-3</v>
      </c>
      <c r="BD218" s="184">
        <f t="shared" si="461"/>
        <v>6.853683004547315E-3</v>
      </c>
      <c r="BE218" s="184">
        <f t="shared" si="461"/>
        <v>6.853683004547315E-3</v>
      </c>
      <c r="BF218" s="184">
        <f t="shared" si="461"/>
        <v>6.853683004547315E-3</v>
      </c>
    </row>
    <row r="219" spans="2:58">
      <c r="B219" t="s">
        <v>642</v>
      </c>
      <c r="C219" s="109">
        <v>252407.88353745229</v>
      </c>
      <c r="D219" s="187">
        <f t="shared" ref="D219:S219" si="462">C219+($T219-$C219)/(COLUMN($T219)-COLUMN($C219))</f>
        <v>239045.11323252835</v>
      </c>
      <c r="E219" s="187">
        <f t="shared" si="462"/>
        <v>225682.34292760442</v>
      </c>
      <c r="F219" s="187">
        <f t="shared" si="462"/>
        <v>212319.57262268048</v>
      </c>
      <c r="G219" s="187">
        <f t="shared" si="462"/>
        <v>198956.80231775655</v>
      </c>
      <c r="H219" s="187">
        <f t="shared" si="462"/>
        <v>185594.03201283261</v>
      </c>
      <c r="I219" s="187">
        <f t="shared" si="462"/>
        <v>172231.26170790868</v>
      </c>
      <c r="J219" s="187">
        <f t="shared" si="462"/>
        <v>158868.49140298474</v>
      </c>
      <c r="K219" s="187">
        <f t="shared" si="462"/>
        <v>145505.72109806081</v>
      </c>
      <c r="L219" s="187">
        <f t="shared" si="462"/>
        <v>132142.95079313687</v>
      </c>
      <c r="M219" s="187">
        <f t="shared" si="462"/>
        <v>118780.18048821292</v>
      </c>
      <c r="N219" s="187">
        <f t="shared" si="462"/>
        <v>105417.41018328897</v>
      </c>
      <c r="O219" s="187">
        <f t="shared" si="462"/>
        <v>92054.639878365022</v>
      </c>
      <c r="P219" s="187">
        <f t="shared" si="462"/>
        <v>78691.869573441072</v>
      </c>
      <c r="Q219" s="187">
        <f t="shared" si="462"/>
        <v>65329.099268517122</v>
      </c>
      <c r="R219" s="187">
        <f t="shared" si="462"/>
        <v>51966.328963593172</v>
      </c>
      <c r="S219" s="187">
        <f t="shared" si="462"/>
        <v>38603.558658669222</v>
      </c>
      <c r="T219" s="208">
        <f t="shared" si="428"/>
        <v>25240.788353745229</v>
      </c>
      <c r="U219" s="195"/>
      <c r="V219" t="s">
        <v>642</v>
      </c>
      <c r="W219" s="39">
        <f t="shared" ref="W219:AK219" si="463">E219/SUM(E203:E235)</f>
        <v>0.33285688892649573</v>
      </c>
      <c r="X219" s="39">
        <f t="shared" si="463"/>
        <v>0.33285688892649579</v>
      </c>
      <c r="Y219" s="39">
        <f t="shared" si="463"/>
        <v>0.33285688892649573</v>
      </c>
      <c r="Z219" s="39">
        <f t="shared" si="463"/>
        <v>0.33285688892649584</v>
      </c>
      <c r="AA219" s="39">
        <f t="shared" si="463"/>
        <v>0.33285688892649579</v>
      </c>
      <c r="AB219" s="39">
        <f>J219/SUM(J203:J235)</f>
        <v>0.33285688892649584</v>
      </c>
      <c r="AC219" s="39">
        <f>K219/SUM(K203:K235)</f>
        <v>0.33285688892649584</v>
      </c>
      <c r="AD219" s="39">
        <f>L219/SUM(L203:L235)</f>
        <v>0.3328568889264959</v>
      </c>
      <c r="AE219" s="39">
        <f t="shared" si="463"/>
        <v>0.33285688892649584</v>
      </c>
      <c r="AF219" s="39">
        <f t="shared" si="463"/>
        <v>0.33285688892649595</v>
      </c>
      <c r="AG219" s="39">
        <f>O219/SUM(O203:O235)</f>
        <v>0.33285688892649595</v>
      </c>
      <c r="AH219" s="39">
        <f>P219/SUM(P203:P235)</f>
        <v>0.3328568889264959</v>
      </c>
      <c r="AI219" s="39">
        <f t="shared" si="463"/>
        <v>0.3328568889264959</v>
      </c>
      <c r="AJ219" s="39">
        <f t="shared" si="463"/>
        <v>0.33285688892649595</v>
      </c>
      <c r="AK219" s="39">
        <f t="shared" si="463"/>
        <v>0.3328568889264959</v>
      </c>
      <c r="AL219" s="39">
        <f>T219/SUM(T203:T235)</f>
        <v>0.33285688892649573</v>
      </c>
      <c r="AM219" s="184">
        <f t="shared" ref="AM219:BF219" si="464">AL219</f>
        <v>0.33285688892649573</v>
      </c>
      <c r="AN219" s="184">
        <f t="shared" si="464"/>
        <v>0.33285688892649573</v>
      </c>
      <c r="AO219" s="184">
        <f t="shared" si="464"/>
        <v>0.33285688892649573</v>
      </c>
      <c r="AP219" s="184">
        <f t="shared" si="464"/>
        <v>0.33285688892649573</v>
      </c>
      <c r="AQ219" s="184">
        <f t="shared" si="464"/>
        <v>0.33285688892649573</v>
      </c>
      <c r="AR219" s="184">
        <f t="shared" si="464"/>
        <v>0.33285688892649573</v>
      </c>
      <c r="AS219" s="184">
        <f t="shared" si="464"/>
        <v>0.33285688892649573</v>
      </c>
      <c r="AT219" s="184">
        <f t="shared" si="464"/>
        <v>0.33285688892649573</v>
      </c>
      <c r="AU219" s="184">
        <f t="shared" si="464"/>
        <v>0.33285688892649573</v>
      </c>
      <c r="AV219" s="184">
        <f t="shared" si="464"/>
        <v>0.33285688892649573</v>
      </c>
      <c r="AW219" s="184">
        <f t="shared" si="464"/>
        <v>0.33285688892649573</v>
      </c>
      <c r="AX219" s="184">
        <f t="shared" si="464"/>
        <v>0.33285688892649573</v>
      </c>
      <c r="AY219" s="184">
        <f t="shared" si="464"/>
        <v>0.33285688892649573</v>
      </c>
      <c r="AZ219" s="184">
        <f t="shared" si="464"/>
        <v>0.33285688892649573</v>
      </c>
      <c r="BA219" s="184">
        <f t="shared" si="464"/>
        <v>0.33285688892649573</v>
      </c>
      <c r="BB219" s="184">
        <f t="shared" si="464"/>
        <v>0.33285688892649573</v>
      </c>
      <c r="BC219" s="184">
        <f t="shared" si="464"/>
        <v>0.33285688892649573</v>
      </c>
      <c r="BD219" s="184">
        <f t="shared" si="464"/>
        <v>0.33285688892649573</v>
      </c>
      <c r="BE219" s="184">
        <f t="shared" si="464"/>
        <v>0.33285688892649573</v>
      </c>
      <c r="BF219" s="184">
        <f t="shared" si="464"/>
        <v>0.33285688892649573</v>
      </c>
    </row>
    <row r="220" spans="2:58">
      <c r="B220" t="s">
        <v>643</v>
      </c>
      <c r="C220" s="109">
        <v>163787.90400497487</v>
      </c>
      <c r="D220" s="187">
        <f t="shared" ref="D220:S220" si="465">C220+($T220-$C220)/(COLUMN($T220)-COLUMN($C220))</f>
        <v>155116.77967529974</v>
      </c>
      <c r="E220" s="187">
        <f t="shared" si="465"/>
        <v>146445.6553456246</v>
      </c>
      <c r="F220" s="187">
        <f t="shared" si="465"/>
        <v>137774.53101594947</v>
      </c>
      <c r="G220" s="187">
        <f t="shared" si="465"/>
        <v>129103.40668627433</v>
      </c>
      <c r="H220" s="187">
        <f t="shared" si="465"/>
        <v>120432.2823565992</v>
      </c>
      <c r="I220" s="187">
        <f t="shared" si="465"/>
        <v>111761.15802692407</v>
      </c>
      <c r="J220" s="187">
        <f t="shared" si="465"/>
        <v>103090.03369724893</v>
      </c>
      <c r="K220" s="187">
        <f t="shared" si="465"/>
        <v>94418.909367573797</v>
      </c>
      <c r="L220" s="187">
        <f t="shared" si="465"/>
        <v>85747.785037898662</v>
      </c>
      <c r="M220" s="187">
        <f t="shared" si="465"/>
        <v>77076.660708223528</v>
      </c>
      <c r="N220" s="187">
        <f t="shared" si="465"/>
        <v>68405.536378548393</v>
      </c>
      <c r="O220" s="187">
        <f t="shared" si="465"/>
        <v>59734.412048873251</v>
      </c>
      <c r="P220" s="187">
        <f t="shared" si="465"/>
        <v>51063.28771919811</v>
      </c>
      <c r="Q220" s="187">
        <f t="shared" si="465"/>
        <v>42392.163389522968</v>
      </c>
      <c r="R220" s="187">
        <f t="shared" si="465"/>
        <v>33721.039059847826</v>
      </c>
      <c r="S220" s="187">
        <f t="shared" si="465"/>
        <v>25049.914730172684</v>
      </c>
      <c r="T220" s="208">
        <f t="shared" si="428"/>
        <v>16378.790400497488</v>
      </c>
      <c r="U220" s="195"/>
      <c r="V220" t="s">
        <v>643</v>
      </c>
      <c r="W220" s="39">
        <f t="shared" ref="W220:AK220" si="466">E220/SUM(E203:E235)</f>
        <v>0.21599140013706464</v>
      </c>
      <c r="X220" s="39">
        <f t="shared" si="466"/>
        <v>0.21599140013706467</v>
      </c>
      <c r="Y220" s="39">
        <f t="shared" si="466"/>
        <v>0.21599140013706461</v>
      </c>
      <c r="Z220" s="39">
        <f t="shared" si="466"/>
        <v>0.21599140013706469</v>
      </c>
      <c r="AA220" s="39">
        <f t="shared" si="466"/>
        <v>0.21599140013706467</v>
      </c>
      <c r="AB220" s="39">
        <f>J220/SUM(J203:J235)</f>
        <v>0.21599140013706469</v>
      </c>
      <c r="AC220" s="39">
        <f>K220/SUM(K203:K235)</f>
        <v>0.21599140013706469</v>
      </c>
      <c r="AD220" s="39">
        <f>L220/SUM(L203:L235)</f>
        <v>0.21599140013706475</v>
      </c>
      <c r="AE220" s="39">
        <f t="shared" si="466"/>
        <v>0.21599140013706475</v>
      </c>
      <c r="AF220" s="39">
        <f t="shared" si="466"/>
        <v>0.2159914001370648</v>
      </c>
      <c r="AG220" s="39">
        <f>O220/SUM(O203:O235)</f>
        <v>0.21599140013706483</v>
      </c>
      <c r="AH220" s="39">
        <f>P220/SUM(P203:P235)</f>
        <v>0.21599140013706483</v>
      </c>
      <c r="AI220" s="39">
        <f t="shared" si="466"/>
        <v>0.21599140013706486</v>
      </c>
      <c r="AJ220" s="39">
        <f t="shared" si="466"/>
        <v>0.21599140013706492</v>
      </c>
      <c r="AK220" s="39">
        <f t="shared" si="466"/>
        <v>0.21599140013706494</v>
      </c>
      <c r="AL220" s="39">
        <f>T220/SUM(T203:T235)</f>
        <v>0.21599140013706467</v>
      </c>
      <c r="AM220" s="184">
        <f t="shared" ref="AM220:BF220" si="467">AL220</f>
        <v>0.21599140013706467</v>
      </c>
      <c r="AN220" s="184">
        <f t="shared" si="467"/>
        <v>0.21599140013706467</v>
      </c>
      <c r="AO220" s="184">
        <f t="shared" si="467"/>
        <v>0.21599140013706467</v>
      </c>
      <c r="AP220" s="184">
        <f t="shared" si="467"/>
        <v>0.21599140013706467</v>
      </c>
      <c r="AQ220" s="184">
        <f t="shared" si="467"/>
        <v>0.21599140013706467</v>
      </c>
      <c r="AR220" s="184">
        <f t="shared" si="467"/>
        <v>0.21599140013706467</v>
      </c>
      <c r="AS220" s="184">
        <f t="shared" si="467"/>
        <v>0.21599140013706467</v>
      </c>
      <c r="AT220" s="184">
        <f t="shared" si="467"/>
        <v>0.21599140013706467</v>
      </c>
      <c r="AU220" s="184">
        <f t="shared" si="467"/>
        <v>0.21599140013706467</v>
      </c>
      <c r="AV220" s="184">
        <f t="shared" si="467"/>
        <v>0.21599140013706467</v>
      </c>
      <c r="AW220" s="184">
        <f t="shared" si="467"/>
        <v>0.21599140013706467</v>
      </c>
      <c r="AX220" s="184">
        <f t="shared" si="467"/>
        <v>0.21599140013706467</v>
      </c>
      <c r="AY220" s="184">
        <f t="shared" si="467"/>
        <v>0.21599140013706467</v>
      </c>
      <c r="AZ220" s="184">
        <f t="shared" si="467"/>
        <v>0.21599140013706467</v>
      </c>
      <c r="BA220" s="184">
        <f t="shared" si="467"/>
        <v>0.21599140013706467</v>
      </c>
      <c r="BB220" s="184">
        <f t="shared" si="467"/>
        <v>0.21599140013706467</v>
      </c>
      <c r="BC220" s="184">
        <f t="shared" si="467"/>
        <v>0.21599140013706467</v>
      </c>
      <c r="BD220" s="184">
        <f t="shared" si="467"/>
        <v>0.21599140013706467</v>
      </c>
      <c r="BE220" s="184">
        <f t="shared" si="467"/>
        <v>0.21599140013706467</v>
      </c>
      <c r="BF220" s="184">
        <f t="shared" si="467"/>
        <v>0.21599140013706467</v>
      </c>
    </row>
    <row r="221" spans="2:58">
      <c r="B221" t="s">
        <v>644</v>
      </c>
      <c r="C221" s="109">
        <v>61382.575105875789</v>
      </c>
      <c r="D221" s="187">
        <f t="shared" ref="D221:S221" si="468">C221+($T221-$C221)/(COLUMN($T221)-COLUMN($C221))</f>
        <v>58132.909364976484</v>
      </c>
      <c r="E221" s="187">
        <f t="shared" si="468"/>
        <v>54883.243624077179</v>
      </c>
      <c r="F221" s="187">
        <f t="shared" si="468"/>
        <v>51633.577883177873</v>
      </c>
      <c r="G221" s="187">
        <f t="shared" si="468"/>
        <v>48383.912142278568</v>
      </c>
      <c r="H221" s="187">
        <f t="shared" si="468"/>
        <v>45134.246401379263</v>
      </c>
      <c r="I221" s="187">
        <f t="shared" si="468"/>
        <v>41884.580660479958</v>
      </c>
      <c r="J221" s="187">
        <f t="shared" si="468"/>
        <v>38634.914919580653</v>
      </c>
      <c r="K221" s="187">
        <f t="shared" si="468"/>
        <v>35385.249178681348</v>
      </c>
      <c r="L221" s="187">
        <f t="shared" si="468"/>
        <v>32135.583437782043</v>
      </c>
      <c r="M221" s="187">
        <f t="shared" si="468"/>
        <v>28885.917696882738</v>
      </c>
      <c r="N221" s="187">
        <f t="shared" si="468"/>
        <v>25636.251955983433</v>
      </c>
      <c r="O221" s="187">
        <f t="shared" si="468"/>
        <v>22386.586215084128</v>
      </c>
      <c r="P221" s="187">
        <f t="shared" si="468"/>
        <v>19136.920474184823</v>
      </c>
      <c r="Q221" s="187">
        <f t="shared" si="468"/>
        <v>15887.254733285516</v>
      </c>
      <c r="R221" s="187">
        <f t="shared" si="468"/>
        <v>12637.588992386209</v>
      </c>
      <c r="S221" s="187">
        <f t="shared" si="468"/>
        <v>9387.9232514869018</v>
      </c>
      <c r="T221" s="208">
        <f t="shared" si="428"/>
        <v>6138.2575105875794</v>
      </c>
      <c r="U221" s="195"/>
      <c r="V221" t="s">
        <v>644</v>
      </c>
      <c r="W221" s="39">
        <f t="shared" ref="W221:AK221" si="469">E221/SUM(E203:E235)</f>
        <v>8.0946809971595576E-2</v>
      </c>
      <c r="X221" s="39">
        <f t="shared" si="469"/>
        <v>8.094680997159559E-2</v>
      </c>
      <c r="Y221" s="39">
        <f t="shared" si="469"/>
        <v>8.0946809971595576E-2</v>
      </c>
      <c r="Z221" s="39">
        <f t="shared" si="469"/>
        <v>8.0946809971595604E-2</v>
      </c>
      <c r="AA221" s="39">
        <f t="shared" si="469"/>
        <v>8.094680997159559E-2</v>
      </c>
      <c r="AB221" s="39">
        <f>J221/SUM(J203:J235)</f>
        <v>8.094680997159559E-2</v>
      </c>
      <c r="AC221" s="39">
        <f>K221/SUM(K203:K235)</f>
        <v>8.094680997159559E-2</v>
      </c>
      <c r="AD221" s="39">
        <f>L221/SUM(L203:L235)</f>
        <v>8.0946809971595604E-2</v>
      </c>
      <c r="AE221" s="39">
        <f t="shared" si="469"/>
        <v>8.0946809971595604E-2</v>
      </c>
      <c r="AF221" s="39">
        <f t="shared" si="469"/>
        <v>8.0946809971595618E-2</v>
      </c>
      <c r="AG221" s="39">
        <f>O221/SUM(O203:O235)</f>
        <v>8.0946809971595632E-2</v>
      </c>
      <c r="AH221" s="39">
        <f>P221/SUM(P203:P235)</f>
        <v>8.0946809971595632E-2</v>
      </c>
      <c r="AI221" s="39">
        <f t="shared" si="469"/>
        <v>8.0946809971595646E-2</v>
      </c>
      <c r="AJ221" s="39">
        <f t="shared" si="469"/>
        <v>8.094680997159566E-2</v>
      </c>
      <c r="AK221" s="39">
        <f t="shared" si="469"/>
        <v>8.094680997159566E-2</v>
      </c>
      <c r="AL221" s="39">
        <f>T221/SUM(T203:T235)</f>
        <v>8.094680997159559E-2</v>
      </c>
      <c r="AM221" s="184">
        <f t="shared" ref="AM221:BF221" si="470">AL221</f>
        <v>8.094680997159559E-2</v>
      </c>
      <c r="AN221" s="184">
        <f t="shared" si="470"/>
        <v>8.094680997159559E-2</v>
      </c>
      <c r="AO221" s="184">
        <f t="shared" si="470"/>
        <v>8.094680997159559E-2</v>
      </c>
      <c r="AP221" s="184">
        <f t="shared" si="470"/>
        <v>8.094680997159559E-2</v>
      </c>
      <c r="AQ221" s="184">
        <f t="shared" si="470"/>
        <v>8.094680997159559E-2</v>
      </c>
      <c r="AR221" s="184">
        <f t="shared" si="470"/>
        <v>8.094680997159559E-2</v>
      </c>
      <c r="AS221" s="184">
        <f t="shared" si="470"/>
        <v>8.094680997159559E-2</v>
      </c>
      <c r="AT221" s="184">
        <f t="shared" si="470"/>
        <v>8.094680997159559E-2</v>
      </c>
      <c r="AU221" s="184">
        <f t="shared" si="470"/>
        <v>8.094680997159559E-2</v>
      </c>
      <c r="AV221" s="184">
        <f t="shared" si="470"/>
        <v>8.094680997159559E-2</v>
      </c>
      <c r="AW221" s="184">
        <f t="shared" si="470"/>
        <v>8.094680997159559E-2</v>
      </c>
      <c r="AX221" s="184">
        <f t="shared" si="470"/>
        <v>8.094680997159559E-2</v>
      </c>
      <c r="AY221" s="184">
        <f t="shared" si="470"/>
        <v>8.094680997159559E-2</v>
      </c>
      <c r="AZ221" s="184">
        <f t="shared" si="470"/>
        <v>8.094680997159559E-2</v>
      </c>
      <c r="BA221" s="184">
        <f t="shared" si="470"/>
        <v>8.094680997159559E-2</v>
      </c>
      <c r="BB221" s="184">
        <f t="shared" si="470"/>
        <v>8.094680997159559E-2</v>
      </c>
      <c r="BC221" s="184">
        <f t="shared" si="470"/>
        <v>8.094680997159559E-2</v>
      </c>
      <c r="BD221" s="184">
        <f t="shared" si="470"/>
        <v>8.094680997159559E-2</v>
      </c>
      <c r="BE221" s="184">
        <f t="shared" si="470"/>
        <v>8.094680997159559E-2</v>
      </c>
      <c r="BF221" s="184">
        <f t="shared" si="470"/>
        <v>8.094680997159559E-2</v>
      </c>
    </row>
    <row r="222" spans="2:58">
      <c r="B222" t="s">
        <v>645</v>
      </c>
      <c r="C222" s="109">
        <v>0</v>
      </c>
      <c r="D222" s="187">
        <f t="shared" ref="D222:S222" si="471">C222+($T222-$C222)/(COLUMN($T222)-COLUMN($C222))</f>
        <v>0</v>
      </c>
      <c r="E222" s="187">
        <f t="shared" si="471"/>
        <v>0</v>
      </c>
      <c r="F222" s="187">
        <f t="shared" si="471"/>
        <v>0</v>
      </c>
      <c r="G222" s="187">
        <f t="shared" si="471"/>
        <v>0</v>
      </c>
      <c r="H222" s="187">
        <f t="shared" si="471"/>
        <v>0</v>
      </c>
      <c r="I222" s="187">
        <f t="shared" si="471"/>
        <v>0</v>
      </c>
      <c r="J222" s="187">
        <f t="shared" si="471"/>
        <v>0</v>
      </c>
      <c r="K222" s="187">
        <f t="shared" si="471"/>
        <v>0</v>
      </c>
      <c r="L222" s="187">
        <f t="shared" si="471"/>
        <v>0</v>
      </c>
      <c r="M222" s="187">
        <f t="shared" si="471"/>
        <v>0</v>
      </c>
      <c r="N222" s="187">
        <f t="shared" si="471"/>
        <v>0</v>
      </c>
      <c r="O222" s="187">
        <f t="shared" si="471"/>
        <v>0</v>
      </c>
      <c r="P222" s="187">
        <f t="shared" si="471"/>
        <v>0</v>
      </c>
      <c r="Q222" s="187">
        <f t="shared" si="471"/>
        <v>0</v>
      </c>
      <c r="R222" s="187">
        <f t="shared" si="471"/>
        <v>0</v>
      </c>
      <c r="S222" s="187">
        <f t="shared" si="471"/>
        <v>0</v>
      </c>
      <c r="T222" s="208">
        <f t="shared" si="428"/>
        <v>0</v>
      </c>
      <c r="U222" s="195"/>
      <c r="V222" t="s">
        <v>645</v>
      </c>
      <c r="W222" s="39">
        <f t="shared" ref="W222:AK222" si="472">E222/SUM(E203:E235)</f>
        <v>0</v>
      </c>
      <c r="X222" s="39">
        <f t="shared" si="472"/>
        <v>0</v>
      </c>
      <c r="Y222" s="39">
        <f t="shared" si="472"/>
        <v>0</v>
      </c>
      <c r="Z222" s="39">
        <f t="shared" si="472"/>
        <v>0</v>
      </c>
      <c r="AA222" s="39">
        <f t="shared" si="472"/>
        <v>0</v>
      </c>
      <c r="AB222" s="39">
        <f>J222/SUM(J203:J235)</f>
        <v>0</v>
      </c>
      <c r="AC222" s="39">
        <f>K222/SUM(K203:K235)</f>
        <v>0</v>
      </c>
      <c r="AD222" s="39">
        <f>L222/SUM(L203:L235)</f>
        <v>0</v>
      </c>
      <c r="AE222" s="39">
        <f t="shared" si="472"/>
        <v>0</v>
      </c>
      <c r="AF222" s="39">
        <f t="shared" si="472"/>
        <v>0</v>
      </c>
      <c r="AG222" s="39">
        <f>O222/SUM(O203:O235)</f>
        <v>0</v>
      </c>
      <c r="AH222" s="39">
        <f>P222/SUM(P203:P235)</f>
        <v>0</v>
      </c>
      <c r="AI222" s="39">
        <f t="shared" si="472"/>
        <v>0</v>
      </c>
      <c r="AJ222" s="39">
        <f t="shared" si="472"/>
        <v>0</v>
      </c>
      <c r="AK222" s="39">
        <f t="shared" si="472"/>
        <v>0</v>
      </c>
      <c r="AL222" s="39">
        <f>T222/SUM(T203:T235)</f>
        <v>0</v>
      </c>
      <c r="AM222" s="184">
        <f t="shared" ref="AM222:BF222" si="473">AL222</f>
        <v>0</v>
      </c>
      <c r="AN222" s="184">
        <f t="shared" si="473"/>
        <v>0</v>
      </c>
      <c r="AO222" s="184">
        <f t="shared" si="473"/>
        <v>0</v>
      </c>
      <c r="AP222" s="184">
        <f t="shared" si="473"/>
        <v>0</v>
      </c>
      <c r="AQ222" s="184">
        <f t="shared" si="473"/>
        <v>0</v>
      </c>
      <c r="AR222" s="184">
        <f t="shared" si="473"/>
        <v>0</v>
      </c>
      <c r="AS222" s="184">
        <f t="shared" si="473"/>
        <v>0</v>
      </c>
      <c r="AT222" s="184">
        <f t="shared" si="473"/>
        <v>0</v>
      </c>
      <c r="AU222" s="184">
        <f t="shared" si="473"/>
        <v>0</v>
      </c>
      <c r="AV222" s="184">
        <f t="shared" si="473"/>
        <v>0</v>
      </c>
      <c r="AW222" s="184">
        <f t="shared" si="473"/>
        <v>0</v>
      </c>
      <c r="AX222" s="184">
        <f t="shared" si="473"/>
        <v>0</v>
      </c>
      <c r="AY222" s="184">
        <f t="shared" si="473"/>
        <v>0</v>
      </c>
      <c r="AZ222" s="184">
        <f t="shared" si="473"/>
        <v>0</v>
      </c>
      <c r="BA222" s="184">
        <f t="shared" si="473"/>
        <v>0</v>
      </c>
      <c r="BB222" s="184">
        <f t="shared" si="473"/>
        <v>0</v>
      </c>
      <c r="BC222" s="184">
        <f t="shared" si="473"/>
        <v>0</v>
      </c>
      <c r="BD222" s="184">
        <f t="shared" si="473"/>
        <v>0</v>
      </c>
      <c r="BE222" s="184">
        <f t="shared" si="473"/>
        <v>0</v>
      </c>
      <c r="BF222" s="184">
        <f t="shared" si="473"/>
        <v>0</v>
      </c>
    </row>
    <row r="223" spans="2:58">
      <c r="B223" t="s">
        <v>646</v>
      </c>
      <c r="C223" s="109">
        <v>86.913501003606783</v>
      </c>
      <c r="D223" s="187">
        <f t="shared" ref="D223:S223" si="474">C223+($T223-$C223)/(COLUMN($T223)-COLUMN($C223))</f>
        <v>82.312198009298186</v>
      </c>
      <c r="E223" s="187">
        <f t="shared" si="474"/>
        <v>77.710895014989589</v>
      </c>
      <c r="F223" s="187">
        <f t="shared" si="474"/>
        <v>73.109592020680992</v>
      </c>
      <c r="G223" s="187">
        <f t="shared" si="474"/>
        <v>68.508289026372395</v>
      </c>
      <c r="H223" s="187">
        <f t="shared" si="474"/>
        <v>63.906986032063799</v>
      </c>
      <c r="I223" s="187">
        <f t="shared" si="474"/>
        <v>59.305683037755202</v>
      </c>
      <c r="J223" s="187">
        <f t="shared" si="474"/>
        <v>54.704380043446605</v>
      </c>
      <c r="K223" s="187">
        <f t="shared" si="474"/>
        <v>50.103077049138008</v>
      </c>
      <c r="L223" s="187">
        <f t="shared" si="474"/>
        <v>45.501774054829411</v>
      </c>
      <c r="M223" s="187">
        <f t="shared" si="474"/>
        <v>40.900471060520815</v>
      </c>
      <c r="N223" s="187">
        <f t="shared" si="474"/>
        <v>36.299168066212218</v>
      </c>
      <c r="O223" s="187">
        <f t="shared" si="474"/>
        <v>31.697865071903625</v>
      </c>
      <c r="P223" s="187">
        <f t="shared" si="474"/>
        <v>27.096562077595031</v>
      </c>
      <c r="Q223" s="187">
        <f t="shared" si="474"/>
        <v>22.495259083286438</v>
      </c>
      <c r="R223" s="187">
        <f t="shared" si="474"/>
        <v>17.893956088977845</v>
      </c>
      <c r="S223" s="187">
        <f t="shared" si="474"/>
        <v>13.292653094669252</v>
      </c>
      <c r="T223" s="208">
        <f t="shared" si="428"/>
        <v>8.6913501003606779</v>
      </c>
      <c r="U223" s="195"/>
      <c r="V223" t="s">
        <v>646</v>
      </c>
      <c r="W223" s="39">
        <f t="shared" ref="W223:AK223" si="475">E223/SUM(E203:E235)</f>
        <v>1.1461511084489489E-4</v>
      </c>
      <c r="X223" s="39">
        <f t="shared" si="475"/>
        <v>1.1461511084489489E-4</v>
      </c>
      <c r="Y223" s="39">
        <f t="shared" si="475"/>
        <v>1.1461511084489487E-4</v>
      </c>
      <c r="Z223" s="39">
        <f t="shared" si="475"/>
        <v>1.1461511084489489E-4</v>
      </c>
      <c r="AA223" s="39">
        <f t="shared" si="475"/>
        <v>1.1461511084489485E-4</v>
      </c>
      <c r="AB223" s="39">
        <f>J223/SUM(J203:J235)</f>
        <v>1.1461511084489487E-4</v>
      </c>
      <c r="AC223" s="39">
        <f>K223/SUM(K203:K235)</f>
        <v>1.1461511084489484E-4</v>
      </c>
      <c r="AD223" s="39">
        <f>L223/SUM(L203:L235)</f>
        <v>1.1461511084489484E-4</v>
      </c>
      <c r="AE223" s="39">
        <f t="shared" si="475"/>
        <v>1.1461511084489481E-4</v>
      </c>
      <c r="AF223" s="39">
        <f t="shared" si="475"/>
        <v>1.1461511084489481E-4</v>
      </c>
      <c r="AG223" s="39">
        <f>O223/SUM(O203:O235)</f>
        <v>1.146151108448948E-4</v>
      </c>
      <c r="AH223" s="39">
        <f>P223/SUM(P203:P235)</f>
        <v>1.1461511084489477E-4</v>
      </c>
      <c r="AI223" s="39">
        <f t="shared" si="475"/>
        <v>1.1461511084489475E-4</v>
      </c>
      <c r="AJ223" s="39">
        <f t="shared" si="475"/>
        <v>1.1461511084489472E-4</v>
      </c>
      <c r="AK223" s="39">
        <f t="shared" si="475"/>
        <v>1.1461511084489462E-4</v>
      </c>
      <c r="AL223" s="39">
        <f>T223/SUM(T203:T235)</f>
        <v>1.1461511084489491E-4</v>
      </c>
      <c r="AM223" s="184">
        <f t="shared" ref="AM223:BF223" si="476">AL223</f>
        <v>1.1461511084489491E-4</v>
      </c>
      <c r="AN223" s="184">
        <f t="shared" si="476"/>
        <v>1.1461511084489491E-4</v>
      </c>
      <c r="AO223" s="184">
        <f t="shared" si="476"/>
        <v>1.1461511084489491E-4</v>
      </c>
      <c r="AP223" s="184">
        <f t="shared" si="476"/>
        <v>1.1461511084489491E-4</v>
      </c>
      <c r="AQ223" s="184">
        <f t="shared" si="476"/>
        <v>1.1461511084489491E-4</v>
      </c>
      <c r="AR223" s="184">
        <f t="shared" si="476"/>
        <v>1.1461511084489491E-4</v>
      </c>
      <c r="AS223" s="184">
        <f t="shared" si="476"/>
        <v>1.1461511084489491E-4</v>
      </c>
      <c r="AT223" s="184">
        <f t="shared" si="476"/>
        <v>1.1461511084489491E-4</v>
      </c>
      <c r="AU223" s="184">
        <f t="shared" si="476"/>
        <v>1.1461511084489491E-4</v>
      </c>
      <c r="AV223" s="184">
        <f t="shared" si="476"/>
        <v>1.1461511084489491E-4</v>
      </c>
      <c r="AW223" s="184">
        <f t="shared" si="476"/>
        <v>1.1461511084489491E-4</v>
      </c>
      <c r="AX223" s="184">
        <f t="shared" si="476"/>
        <v>1.1461511084489491E-4</v>
      </c>
      <c r="AY223" s="184">
        <f t="shared" si="476"/>
        <v>1.1461511084489491E-4</v>
      </c>
      <c r="AZ223" s="184">
        <f t="shared" si="476"/>
        <v>1.1461511084489491E-4</v>
      </c>
      <c r="BA223" s="184">
        <f t="shared" si="476"/>
        <v>1.1461511084489491E-4</v>
      </c>
      <c r="BB223" s="184">
        <f t="shared" si="476"/>
        <v>1.1461511084489491E-4</v>
      </c>
      <c r="BC223" s="184">
        <f t="shared" si="476"/>
        <v>1.1461511084489491E-4</v>
      </c>
      <c r="BD223" s="184">
        <f t="shared" si="476"/>
        <v>1.1461511084489491E-4</v>
      </c>
      <c r="BE223" s="184">
        <f t="shared" si="476"/>
        <v>1.1461511084489491E-4</v>
      </c>
      <c r="BF223" s="184">
        <f t="shared" si="476"/>
        <v>1.1461511084489491E-4</v>
      </c>
    </row>
    <row r="224" spans="2:58">
      <c r="B224" t="s">
        <v>648</v>
      </c>
      <c r="C224" s="109">
        <v>161.7731525681512</v>
      </c>
      <c r="D224" s="187">
        <f t="shared" ref="D224:S224" si="477">C224+($T224-$C224)/(COLUMN($T224)-COLUMN($C224))</f>
        <v>153.20869154983731</v>
      </c>
      <c r="E224" s="187">
        <f t="shared" si="477"/>
        <v>144.64423053152342</v>
      </c>
      <c r="F224" s="187">
        <f t="shared" si="477"/>
        <v>136.07976951320953</v>
      </c>
      <c r="G224" s="187">
        <f t="shared" si="477"/>
        <v>127.51530849489563</v>
      </c>
      <c r="H224" s="187">
        <f t="shared" si="477"/>
        <v>118.95084747658174</v>
      </c>
      <c r="I224" s="187">
        <f t="shared" si="477"/>
        <v>110.38638645826785</v>
      </c>
      <c r="J224" s="187">
        <f t="shared" si="477"/>
        <v>101.82192543995396</v>
      </c>
      <c r="K224" s="187">
        <f t="shared" si="477"/>
        <v>93.257464421640066</v>
      </c>
      <c r="L224" s="187">
        <f t="shared" si="477"/>
        <v>84.693003403326173</v>
      </c>
      <c r="M224" s="187">
        <f t="shared" si="477"/>
        <v>76.128542385012281</v>
      </c>
      <c r="N224" s="187">
        <f t="shared" si="477"/>
        <v>67.564081366698389</v>
      </c>
      <c r="O224" s="187">
        <f t="shared" si="477"/>
        <v>58.999620348384504</v>
      </c>
      <c r="P224" s="187">
        <f t="shared" si="477"/>
        <v>50.435159330070618</v>
      </c>
      <c r="Q224" s="187">
        <f t="shared" si="477"/>
        <v>41.870698311756733</v>
      </c>
      <c r="R224" s="187">
        <f t="shared" si="477"/>
        <v>33.306237293442848</v>
      </c>
      <c r="S224" s="187">
        <f t="shared" si="477"/>
        <v>24.741776275128963</v>
      </c>
      <c r="T224" s="208">
        <f t="shared" si="428"/>
        <v>16.17731525681512</v>
      </c>
      <c r="U224" s="195"/>
      <c r="V224" t="s">
        <v>648</v>
      </c>
      <c r="W224" s="39">
        <f t="shared" ref="W224:AK224" si="478">E224/SUM(E203:E235)</f>
        <v>2.1333449463228148E-4</v>
      </c>
      <c r="X224" s="39">
        <f t="shared" si="478"/>
        <v>2.133344946322815E-4</v>
      </c>
      <c r="Y224" s="39">
        <f t="shared" si="478"/>
        <v>2.1333449463228142E-4</v>
      </c>
      <c r="Z224" s="39">
        <f t="shared" si="478"/>
        <v>2.1333449463228148E-4</v>
      </c>
      <c r="AA224" s="39">
        <f t="shared" si="478"/>
        <v>2.1333449463228142E-4</v>
      </c>
      <c r="AB224" s="39">
        <f>J224/SUM(J203:J235)</f>
        <v>2.1333449463228142E-4</v>
      </c>
      <c r="AC224" s="39">
        <f>K224/SUM(K203:K235)</f>
        <v>2.1333449463228137E-4</v>
      </c>
      <c r="AD224" s="39">
        <f>L224/SUM(L203:L235)</f>
        <v>2.1333449463228137E-4</v>
      </c>
      <c r="AE224" s="39">
        <f t="shared" si="478"/>
        <v>2.1333449463228132E-4</v>
      </c>
      <c r="AF224" s="39">
        <f t="shared" si="478"/>
        <v>2.1333449463228132E-4</v>
      </c>
      <c r="AG224" s="39">
        <f>O224/SUM(O203:O235)</f>
        <v>2.1333449463228129E-4</v>
      </c>
      <c r="AH224" s="39">
        <f>P224/SUM(P203:P235)</f>
        <v>2.1333449463228123E-4</v>
      </c>
      <c r="AI224" s="39">
        <f t="shared" si="478"/>
        <v>2.1333449463228121E-4</v>
      </c>
      <c r="AJ224" s="39">
        <f t="shared" si="478"/>
        <v>2.1333449463228113E-4</v>
      </c>
      <c r="AK224" s="39">
        <f t="shared" si="478"/>
        <v>2.1333449463228096E-4</v>
      </c>
      <c r="AL224" s="39">
        <f>T224/SUM(T203:T235)</f>
        <v>2.1333449463228153E-4</v>
      </c>
      <c r="AM224" s="184">
        <f t="shared" ref="AM224:BF224" si="479">AL224</f>
        <v>2.1333449463228153E-4</v>
      </c>
      <c r="AN224" s="184">
        <f t="shared" si="479"/>
        <v>2.1333449463228153E-4</v>
      </c>
      <c r="AO224" s="184">
        <f t="shared" si="479"/>
        <v>2.1333449463228153E-4</v>
      </c>
      <c r="AP224" s="184">
        <f t="shared" si="479"/>
        <v>2.1333449463228153E-4</v>
      </c>
      <c r="AQ224" s="184">
        <f t="shared" si="479"/>
        <v>2.1333449463228153E-4</v>
      </c>
      <c r="AR224" s="184">
        <f t="shared" si="479"/>
        <v>2.1333449463228153E-4</v>
      </c>
      <c r="AS224" s="184">
        <f t="shared" si="479"/>
        <v>2.1333449463228153E-4</v>
      </c>
      <c r="AT224" s="184">
        <f t="shared" si="479"/>
        <v>2.1333449463228153E-4</v>
      </c>
      <c r="AU224" s="184">
        <f t="shared" si="479"/>
        <v>2.1333449463228153E-4</v>
      </c>
      <c r="AV224" s="184">
        <f t="shared" si="479"/>
        <v>2.1333449463228153E-4</v>
      </c>
      <c r="AW224" s="184">
        <f t="shared" si="479"/>
        <v>2.1333449463228153E-4</v>
      </c>
      <c r="AX224" s="184">
        <f t="shared" si="479"/>
        <v>2.1333449463228153E-4</v>
      </c>
      <c r="AY224" s="184">
        <f t="shared" si="479"/>
        <v>2.1333449463228153E-4</v>
      </c>
      <c r="AZ224" s="184">
        <f t="shared" si="479"/>
        <v>2.1333449463228153E-4</v>
      </c>
      <c r="BA224" s="184">
        <f t="shared" si="479"/>
        <v>2.1333449463228153E-4</v>
      </c>
      <c r="BB224" s="184">
        <f t="shared" si="479"/>
        <v>2.1333449463228153E-4</v>
      </c>
      <c r="BC224" s="184">
        <f t="shared" si="479"/>
        <v>2.1333449463228153E-4</v>
      </c>
      <c r="BD224" s="184">
        <f t="shared" si="479"/>
        <v>2.1333449463228153E-4</v>
      </c>
      <c r="BE224" s="184">
        <f t="shared" si="479"/>
        <v>2.1333449463228153E-4</v>
      </c>
      <c r="BF224" s="184">
        <f t="shared" si="479"/>
        <v>2.1333449463228153E-4</v>
      </c>
    </row>
    <row r="225" spans="2:58">
      <c r="B225" t="s">
        <v>649</v>
      </c>
      <c r="C225" s="109">
        <v>0</v>
      </c>
      <c r="D225" s="187">
        <f t="shared" ref="D225:S225" si="480">C225+($T225-$C225)/(COLUMN($T225)-COLUMN($C225))</f>
        <v>0</v>
      </c>
      <c r="E225" s="187">
        <f t="shared" si="480"/>
        <v>0</v>
      </c>
      <c r="F225" s="187">
        <f t="shared" si="480"/>
        <v>0</v>
      </c>
      <c r="G225" s="187">
        <f t="shared" si="480"/>
        <v>0</v>
      </c>
      <c r="H225" s="187">
        <f t="shared" si="480"/>
        <v>0</v>
      </c>
      <c r="I225" s="187">
        <f t="shared" si="480"/>
        <v>0</v>
      </c>
      <c r="J225" s="187">
        <f t="shared" si="480"/>
        <v>0</v>
      </c>
      <c r="K225" s="187">
        <f t="shared" si="480"/>
        <v>0</v>
      </c>
      <c r="L225" s="187">
        <f t="shared" si="480"/>
        <v>0</v>
      </c>
      <c r="M225" s="187">
        <f t="shared" si="480"/>
        <v>0</v>
      </c>
      <c r="N225" s="187">
        <f t="shared" si="480"/>
        <v>0</v>
      </c>
      <c r="O225" s="187">
        <f t="shared" si="480"/>
        <v>0</v>
      </c>
      <c r="P225" s="187">
        <f t="shared" si="480"/>
        <v>0</v>
      </c>
      <c r="Q225" s="187">
        <f t="shared" si="480"/>
        <v>0</v>
      </c>
      <c r="R225" s="187">
        <f t="shared" si="480"/>
        <v>0</v>
      </c>
      <c r="S225" s="187">
        <f t="shared" si="480"/>
        <v>0</v>
      </c>
      <c r="T225" s="208">
        <f t="shared" si="428"/>
        <v>0</v>
      </c>
      <c r="U225" s="195"/>
      <c r="V225" t="s">
        <v>649</v>
      </c>
      <c r="W225" s="39">
        <f t="shared" ref="W225:AK225" si="481">E225/SUM(E203:E235)</f>
        <v>0</v>
      </c>
      <c r="X225" s="39">
        <f t="shared" si="481"/>
        <v>0</v>
      </c>
      <c r="Y225" s="39">
        <f t="shared" si="481"/>
        <v>0</v>
      </c>
      <c r="Z225" s="39">
        <f t="shared" si="481"/>
        <v>0</v>
      </c>
      <c r="AA225" s="39">
        <f t="shared" si="481"/>
        <v>0</v>
      </c>
      <c r="AB225" s="39">
        <f>J225/SUM(J203:J235)</f>
        <v>0</v>
      </c>
      <c r="AC225" s="39">
        <f>K225/SUM(K203:K235)</f>
        <v>0</v>
      </c>
      <c r="AD225" s="39">
        <f>L225/SUM(L203:L235)</f>
        <v>0</v>
      </c>
      <c r="AE225" s="39">
        <f t="shared" si="481"/>
        <v>0</v>
      </c>
      <c r="AF225" s="39">
        <f t="shared" si="481"/>
        <v>0</v>
      </c>
      <c r="AG225" s="39">
        <f>O225/SUM(O203:O235)</f>
        <v>0</v>
      </c>
      <c r="AH225" s="39">
        <f>P225/SUM(P203:P235)</f>
        <v>0</v>
      </c>
      <c r="AI225" s="39">
        <f t="shared" si="481"/>
        <v>0</v>
      </c>
      <c r="AJ225" s="39">
        <f t="shared" si="481"/>
        <v>0</v>
      </c>
      <c r="AK225" s="39">
        <f t="shared" si="481"/>
        <v>0</v>
      </c>
      <c r="AL225" s="39">
        <f>T225/SUM(T203:T235)</f>
        <v>0</v>
      </c>
      <c r="AM225" s="184">
        <f t="shared" ref="AM225:BF225" si="482">AL225</f>
        <v>0</v>
      </c>
      <c r="AN225" s="184">
        <f t="shared" si="482"/>
        <v>0</v>
      </c>
      <c r="AO225" s="184">
        <f t="shared" si="482"/>
        <v>0</v>
      </c>
      <c r="AP225" s="184">
        <f t="shared" si="482"/>
        <v>0</v>
      </c>
      <c r="AQ225" s="184">
        <f t="shared" si="482"/>
        <v>0</v>
      </c>
      <c r="AR225" s="184">
        <f t="shared" si="482"/>
        <v>0</v>
      </c>
      <c r="AS225" s="184">
        <f t="shared" si="482"/>
        <v>0</v>
      </c>
      <c r="AT225" s="184">
        <f t="shared" si="482"/>
        <v>0</v>
      </c>
      <c r="AU225" s="184">
        <f t="shared" si="482"/>
        <v>0</v>
      </c>
      <c r="AV225" s="184">
        <f t="shared" si="482"/>
        <v>0</v>
      </c>
      <c r="AW225" s="184">
        <f t="shared" si="482"/>
        <v>0</v>
      </c>
      <c r="AX225" s="184">
        <f t="shared" si="482"/>
        <v>0</v>
      </c>
      <c r="AY225" s="184">
        <f t="shared" si="482"/>
        <v>0</v>
      </c>
      <c r="AZ225" s="184">
        <f t="shared" si="482"/>
        <v>0</v>
      </c>
      <c r="BA225" s="184">
        <f t="shared" si="482"/>
        <v>0</v>
      </c>
      <c r="BB225" s="184">
        <f t="shared" si="482"/>
        <v>0</v>
      </c>
      <c r="BC225" s="184">
        <f t="shared" si="482"/>
        <v>0</v>
      </c>
      <c r="BD225" s="184">
        <f t="shared" si="482"/>
        <v>0</v>
      </c>
      <c r="BE225" s="184">
        <f t="shared" si="482"/>
        <v>0</v>
      </c>
      <c r="BF225" s="184">
        <f t="shared" si="482"/>
        <v>0</v>
      </c>
    </row>
    <row r="226" spans="2:58">
      <c r="B226" t="s">
        <v>650</v>
      </c>
      <c r="C226" s="109">
        <v>1643.7250366913065</v>
      </c>
      <c r="D226" s="187">
        <f t="shared" ref="D226:S226" si="483">C226+($T226-$C226)/(COLUMN($T226)-COLUMN($C226))</f>
        <v>1556.704299454708</v>
      </c>
      <c r="E226" s="187">
        <f t="shared" si="483"/>
        <v>1469.6835622181095</v>
      </c>
      <c r="F226" s="187">
        <f t="shared" si="483"/>
        <v>1382.662824981511</v>
      </c>
      <c r="G226" s="187">
        <f t="shared" si="483"/>
        <v>1295.6420877449125</v>
      </c>
      <c r="H226" s="187">
        <f t="shared" si="483"/>
        <v>1208.621350508314</v>
      </c>
      <c r="I226" s="187">
        <f t="shared" si="483"/>
        <v>1121.6006132717155</v>
      </c>
      <c r="J226" s="187">
        <f t="shared" si="483"/>
        <v>1034.579876035117</v>
      </c>
      <c r="K226" s="187">
        <f t="shared" si="483"/>
        <v>947.55913879851835</v>
      </c>
      <c r="L226" s="187">
        <f t="shared" si="483"/>
        <v>860.53840156191973</v>
      </c>
      <c r="M226" s="187">
        <f t="shared" si="483"/>
        <v>773.51766432532111</v>
      </c>
      <c r="N226" s="187">
        <f t="shared" si="483"/>
        <v>686.49692708872249</v>
      </c>
      <c r="O226" s="187">
        <f t="shared" si="483"/>
        <v>599.47618985212387</v>
      </c>
      <c r="P226" s="187">
        <f t="shared" si="483"/>
        <v>512.45545261552525</v>
      </c>
      <c r="Q226" s="187">
        <f t="shared" si="483"/>
        <v>425.43471537892663</v>
      </c>
      <c r="R226" s="187">
        <f t="shared" si="483"/>
        <v>338.41397814232801</v>
      </c>
      <c r="S226" s="187">
        <f t="shared" si="483"/>
        <v>251.39324090572941</v>
      </c>
      <c r="T226" s="208">
        <f t="shared" si="428"/>
        <v>164.37250366913065</v>
      </c>
      <c r="U226" s="195"/>
      <c r="V226" t="s">
        <v>650</v>
      </c>
      <c r="W226" s="39">
        <f t="shared" ref="W226:AK226" si="484">E226/SUM(E203:E235)</f>
        <v>2.167623270302791E-3</v>
      </c>
      <c r="X226" s="39">
        <f t="shared" si="484"/>
        <v>2.1676232703027915E-3</v>
      </c>
      <c r="Y226" s="39">
        <f t="shared" si="484"/>
        <v>2.167623270302791E-3</v>
      </c>
      <c r="Z226" s="39">
        <f t="shared" si="484"/>
        <v>2.1676232703027919E-3</v>
      </c>
      <c r="AA226" s="39">
        <f t="shared" si="484"/>
        <v>2.1676232703027915E-3</v>
      </c>
      <c r="AB226" s="39">
        <f>J226/SUM(J203:J235)</f>
        <v>2.1676232703027919E-3</v>
      </c>
      <c r="AC226" s="39">
        <f>K226/SUM(K203:K235)</f>
        <v>2.1676232703027915E-3</v>
      </c>
      <c r="AD226" s="39">
        <f>L226/SUM(L203:L235)</f>
        <v>2.1676232703027919E-3</v>
      </c>
      <c r="AE226" s="39">
        <f t="shared" si="484"/>
        <v>2.1676232703027915E-3</v>
      </c>
      <c r="AF226" s="39">
        <f t="shared" si="484"/>
        <v>2.1676232703027919E-3</v>
      </c>
      <c r="AG226" s="39">
        <f>O226/SUM(O203:O235)</f>
        <v>2.1676232703027919E-3</v>
      </c>
      <c r="AH226" s="39">
        <f>P226/SUM(P203:P235)</f>
        <v>2.1676232703027915E-3</v>
      </c>
      <c r="AI226" s="39">
        <f t="shared" si="484"/>
        <v>2.1676232703027915E-3</v>
      </c>
      <c r="AJ226" s="39">
        <f t="shared" si="484"/>
        <v>2.1676232703027915E-3</v>
      </c>
      <c r="AK226" s="39">
        <f t="shared" si="484"/>
        <v>2.1676232703027906E-3</v>
      </c>
      <c r="AL226" s="39">
        <f>T226/SUM(T203:T235)</f>
        <v>2.167623270302791E-3</v>
      </c>
      <c r="AM226" s="184">
        <f t="shared" ref="AM226:BF226" si="485">AL226</f>
        <v>2.167623270302791E-3</v>
      </c>
      <c r="AN226" s="184">
        <f t="shared" si="485"/>
        <v>2.167623270302791E-3</v>
      </c>
      <c r="AO226" s="184">
        <f t="shared" si="485"/>
        <v>2.167623270302791E-3</v>
      </c>
      <c r="AP226" s="184">
        <f t="shared" si="485"/>
        <v>2.167623270302791E-3</v>
      </c>
      <c r="AQ226" s="184">
        <f t="shared" si="485"/>
        <v>2.167623270302791E-3</v>
      </c>
      <c r="AR226" s="184">
        <f t="shared" si="485"/>
        <v>2.167623270302791E-3</v>
      </c>
      <c r="AS226" s="184">
        <f t="shared" si="485"/>
        <v>2.167623270302791E-3</v>
      </c>
      <c r="AT226" s="184">
        <f t="shared" si="485"/>
        <v>2.167623270302791E-3</v>
      </c>
      <c r="AU226" s="184">
        <f t="shared" si="485"/>
        <v>2.167623270302791E-3</v>
      </c>
      <c r="AV226" s="184">
        <f t="shared" si="485"/>
        <v>2.167623270302791E-3</v>
      </c>
      <c r="AW226" s="184">
        <f t="shared" si="485"/>
        <v>2.167623270302791E-3</v>
      </c>
      <c r="AX226" s="184">
        <f t="shared" si="485"/>
        <v>2.167623270302791E-3</v>
      </c>
      <c r="AY226" s="184">
        <f t="shared" si="485"/>
        <v>2.167623270302791E-3</v>
      </c>
      <c r="AZ226" s="184">
        <f t="shared" si="485"/>
        <v>2.167623270302791E-3</v>
      </c>
      <c r="BA226" s="184">
        <f t="shared" si="485"/>
        <v>2.167623270302791E-3</v>
      </c>
      <c r="BB226" s="184">
        <f t="shared" si="485"/>
        <v>2.167623270302791E-3</v>
      </c>
      <c r="BC226" s="184">
        <f t="shared" si="485"/>
        <v>2.167623270302791E-3</v>
      </c>
      <c r="BD226" s="184">
        <f t="shared" si="485"/>
        <v>2.167623270302791E-3</v>
      </c>
      <c r="BE226" s="184">
        <f t="shared" si="485"/>
        <v>2.167623270302791E-3</v>
      </c>
      <c r="BF226" s="184">
        <f t="shared" si="485"/>
        <v>2.167623270302791E-3</v>
      </c>
    </row>
    <row r="227" spans="2:58">
      <c r="B227" t="s">
        <v>651</v>
      </c>
      <c r="C227" s="109">
        <v>11170.939731642349</v>
      </c>
      <c r="D227" s="187">
        <f t="shared" ref="D227:S227" si="486">C227+($T227-$C227)/(COLUMN($T227)-COLUMN($C227))</f>
        <v>10579.537039967166</v>
      </c>
      <c r="E227" s="187">
        <f t="shared" si="486"/>
        <v>9988.1343482919838</v>
      </c>
      <c r="F227" s="187">
        <f t="shared" si="486"/>
        <v>9396.731656616801</v>
      </c>
      <c r="G227" s="187">
        <f t="shared" si="486"/>
        <v>8805.3289649416183</v>
      </c>
      <c r="H227" s="187">
        <f t="shared" si="486"/>
        <v>8213.9262732664356</v>
      </c>
      <c r="I227" s="187">
        <f t="shared" si="486"/>
        <v>7622.5235815912529</v>
      </c>
      <c r="J227" s="187">
        <f t="shared" si="486"/>
        <v>7031.1208899160702</v>
      </c>
      <c r="K227" s="187">
        <f t="shared" si="486"/>
        <v>6439.7181982408874</v>
      </c>
      <c r="L227" s="187">
        <f t="shared" si="486"/>
        <v>5848.3155065657047</v>
      </c>
      <c r="M227" s="187">
        <f t="shared" si="486"/>
        <v>5256.912814890522</v>
      </c>
      <c r="N227" s="187">
        <f t="shared" si="486"/>
        <v>4665.5101232153393</v>
      </c>
      <c r="O227" s="187">
        <f t="shared" si="486"/>
        <v>4074.1074315401561</v>
      </c>
      <c r="P227" s="187">
        <f t="shared" si="486"/>
        <v>3482.7047398649729</v>
      </c>
      <c r="Q227" s="187">
        <f t="shared" si="486"/>
        <v>2891.3020481897897</v>
      </c>
      <c r="R227" s="187">
        <f t="shared" si="486"/>
        <v>2299.8993565146066</v>
      </c>
      <c r="S227" s="187">
        <f t="shared" si="486"/>
        <v>1708.4966648394234</v>
      </c>
      <c r="T227" s="208">
        <f t="shared" si="428"/>
        <v>1117.093973164235</v>
      </c>
      <c r="U227" s="195"/>
      <c r="V227" t="s">
        <v>651</v>
      </c>
      <c r="W227" s="39">
        <f t="shared" ref="W227:AK227" si="487">E227/SUM(E203:E235)</f>
        <v>1.4731410894731942E-2</v>
      </c>
      <c r="X227" s="39">
        <f t="shared" si="487"/>
        <v>1.4731410894731943E-2</v>
      </c>
      <c r="Y227" s="39">
        <f t="shared" si="487"/>
        <v>1.473141089473194E-2</v>
      </c>
      <c r="Z227" s="39">
        <f t="shared" si="487"/>
        <v>1.4731410894731945E-2</v>
      </c>
      <c r="AA227" s="39">
        <f t="shared" si="487"/>
        <v>1.4731410894731943E-2</v>
      </c>
      <c r="AB227" s="39">
        <f>J227/SUM(J203:J235)</f>
        <v>1.4731410894731947E-2</v>
      </c>
      <c r="AC227" s="39">
        <f>K227/SUM(K203:K235)</f>
        <v>1.4731410894731947E-2</v>
      </c>
      <c r="AD227" s="39">
        <f>L227/SUM(L203:L235)</f>
        <v>1.473141089473195E-2</v>
      </c>
      <c r="AE227" s="39">
        <f t="shared" si="487"/>
        <v>1.473141089473195E-2</v>
      </c>
      <c r="AF227" s="39">
        <f t="shared" si="487"/>
        <v>1.4731410894731956E-2</v>
      </c>
      <c r="AG227" s="39">
        <f>O227/SUM(O203:O235)</f>
        <v>1.4731410894731957E-2</v>
      </c>
      <c r="AH227" s="39">
        <f>P227/SUM(P203:P235)</f>
        <v>1.4731410894731959E-2</v>
      </c>
      <c r="AI227" s="39">
        <f t="shared" si="487"/>
        <v>1.4731410894731962E-2</v>
      </c>
      <c r="AJ227" s="39">
        <f t="shared" si="487"/>
        <v>1.4731410894731968E-2</v>
      </c>
      <c r="AK227" s="39">
        <f t="shared" si="487"/>
        <v>1.4731410894731973E-2</v>
      </c>
      <c r="AL227" s="39">
        <f>T227/SUM(T203:T235)</f>
        <v>1.4731410894731942E-2</v>
      </c>
      <c r="AM227" s="184">
        <f t="shared" ref="AM227:BF227" si="488">AL227</f>
        <v>1.4731410894731942E-2</v>
      </c>
      <c r="AN227" s="184">
        <f t="shared" si="488"/>
        <v>1.4731410894731942E-2</v>
      </c>
      <c r="AO227" s="184">
        <f t="shared" si="488"/>
        <v>1.4731410894731942E-2</v>
      </c>
      <c r="AP227" s="184">
        <f t="shared" si="488"/>
        <v>1.4731410894731942E-2</v>
      </c>
      <c r="AQ227" s="184">
        <f t="shared" si="488"/>
        <v>1.4731410894731942E-2</v>
      </c>
      <c r="AR227" s="184">
        <f t="shared" si="488"/>
        <v>1.4731410894731942E-2</v>
      </c>
      <c r="AS227" s="184">
        <f t="shared" si="488"/>
        <v>1.4731410894731942E-2</v>
      </c>
      <c r="AT227" s="184">
        <f t="shared" si="488"/>
        <v>1.4731410894731942E-2</v>
      </c>
      <c r="AU227" s="184">
        <f t="shared" si="488"/>
        <v>1.4731410894731942E-2</v>
      </c>
      <c r="AV227" s="184">
        <f t="shared" si="488"/>
        <v>1.4731410894731942E-2</v>
      </c>
      <c r="AW227" s="184">
        <f t="shared" si="488"/>
        <v>1.4731410894731942E-2</v>
      </c>
      <c r="AX227" s="184">
        <f t="shared" si="488"/>
        <v>1.4731410894731942E-2</v>
      </c>
      <c r="AY227" s="184">
        <f t="shared" si="488"/>
        <v>1.4731410894731942E-2</v>
      </c>
      <c r="AZ227" s="184">
        <f t="shared" si="488"/>
        <v>1.4731410894731942E-2</v>
      </c>
      <c r="BA227" s="184">
        <f t="shared" si="488"/>
        <v>1.4731410894731942E-2</v>
      </c>
      <c r="BB227" s="184">
        <f t="shared" si="488"/>
        <v>1.4731410894731942E-2</v>
      </c>
      <c r="BC227" s="184">
        <f t="shared" si="488"/>
        <v>1.4731410894731942E-2</v>
      </c>
      <c r="BD227" s="184">
        <f t="shared" si="488"/>
        <v>1.4731410894731942E-2</v>
      </c>
      <c r="BE227" s="184">
        <f t="shared" si="488"/>
        <v>1.4731410894731942E-2</v>
      </c>
      <c r="BF227" s="184">
        <f t="shared" si="488"/>
        <v>1.4731410894731942E-2</v>
      </c>
    </row>
    <row r="228" spans="2:58">
      <c r="B228" t="s">
        <v>652</v>
      </c>
      <c r="C228" s="109">
        <v>5955.6072733216806</v>
      </c>
      <c r="D228" s="187">
        <f t="shared" ref="D228:S228" si="489">C228+($T228-$C228)/(COLUMN($T228)-COLUMN($C228))</f>
        <v>5640.3104176752386</v>
      </c>
      <c r="E228" s="187">
        <f t="shared" si="489"/>
        <v>5325.0135620287965</v>
      </c>
      <c r="F228" s="187">
        <f t="shared" si="489"/>
        <v>5009.7167063823545</v>
      </c>
      <c r="G228" s="187">
        <f t="shared" si="489"/>
        <v>4694.4198507359124</v>
      </c>
      <c r="H228" s="187">
        <f t="shared" si="489"/>
        <v>4379.1229950894704</v>
      </c>
      <c r="I228" s="187">
        <f t="shared" si="489"/>
        <v>4063.8261394430283</v>
      </c>
      <c r="J228" s="187">
        <f t="shared" si="489"/>
        <v>3748.5292837965862</v>
      </c>
      <c r="K228" s="187">
        <f t="shared" si="489"/>
        <v>3433.2324281501442</v>
      </c>
      <c r="L228" s="187">
        <f t="shared" si="489"/>
        <v>3117.9355725037021</v>
      </c>
      <c r="M228" s="187">
        <f t="shared" si="489"/>
        <v>2802.6387168572601</v>
      </c>
      <c r="N228" s="187">
        <f t="shared" si="489"/>
        <v>2487.341861210818</v>
      </c>
      <c r="O228" s="187">
        <f t="shared" si="489"/>
        <v>2172.045005564376</v>
      </c>
      <c r="P228" s="187">
        <f t="shared" si="489"/>
        <v>1856.7481499179341</v>
      </c>
      <c r="Q228" s="187">
        <f t="shared" si="489"/>
        <v>1541.4512942714923</v>
      </c>
      <c r="R228" s="187">
        <f t="shared" si="489"/>
        <v>1226.1544386250505</v>
      </c>
      <c r="S228" s="187">
        <f t="shared" si="489"/>
        <v>910.85758297860866</v>
      </c>
      <c r="T228" s="208">
        <f t="shared" si="428"/>
        <v>595.56072733216809</v>
      </c>
      <c r="U228" s="195"/>
      <c r="V228" t="s">
        <v>652</v>
      </c>
      <c r="W228" s="39">
        <f t="shared" ref="W228:AK228" si="490">E228/SUM(E203:E235)</f>
        <v>7.8538153439717002E-3</v>
      </c>
      <c r="X228" s="39">
        <f t="shared" si="490"/>
        <v>7.8538153439717002E-3</v>
      </c>
      <c r="Y228" s="39">
        <f t="shared" si="490"/>
        <v>7.8538153439716967E-3</v>
      </c>
      <c r="Z228" s="39">
        <f t="shared" si="490"/>
        <v>7.8538153439717002E-3</v>
      </c>
      <c r="AA228" s="39">
        <f t="shared" si="490"/>
        <v>7.8538153439716967E-3</v>
      </c>
      <c r="AB228" s="39">
        <f>J228/SUM(J203:J235)</f>
        <v>7.8538153439716984E-3</v>
      </c>
      <c r="AC228" s="39">
        <f>K228/SUM(K203:K235)</f>
        <v>7.8538153439716967E-3</v>
      </c>
      <c r="AD228" s="39">
        <f>L228/SUM(L203:L235)</f>
        <v>7.8538153439716967E-3</v>
      </c>
      <c r="AE228" s="39">
        <f t="shared" si="490"/>
        <v>7.853815343971695E-3</v>
      </c>
      <c r="AF228" s="39">
        <f t="shared" si="490"/>
        <v>7.853815343971695E-3</v>
      </c>
      <c r="AG228" s="39">
        <f>O228/SUM(O203:O235)</f>
        <v>7.8538153439716932E-3</v>
      </c>
      <c r="AH228" s="39">
        <f>P228/SUM(P203:P235)</f>
        <v>7.8538153439716915E-3</v>
      </c>
      <c r="AI228" s="39">
        <f t="shared" si="490"/>
        <v>7.8538153439716898E-3</v>
      </c>
      <c r="AJ228" s="39">
        <f t="shared" si="490"/>
        <v>7.853815343971688E-3</v>
      </c>
      <c r="AK228" s="39">
        <f t="shared" si="490"/>
        <v>7.8538153439716828E-3</v>
      </c>
      <c r="AL228" s="39">
        <f>T228/SUM(T203:T235)</f>
        <v>7.8538153439717019E-3</v>
      </c>
      <c r="AM228" s="184">
        <f t="shared" ref="AM228:BF228" si="491">AL228</f>
        <v>7.8538153439717019E-3</v>
      </c>
      <c r="AN228" s="184">
        <f t="shared" si="491"/>
        <v>7.8538153439717019E-3</v>
      </c>
      <c r="AO228" s="184">
        <f t="shared" si="491"/>
        <v>7.8538153439717019E-3</v>
      </c>
      <c r="AP228" s="184">
        <f t="shared" si="491"/>
        <v>7.8538153439717019E-3</v>
      </c>
      <c r="AQ228" s="184">
        <f t="shared" si="491"/>
        <v>7.8538153439717019E-3</v>
      </c>
      <c r="AR228" s="184">
        <f t="shared" si="491"/>
        <v>7.8538153439717019E-3</v>
      </c>
      <c r="AS228" s="184">
        <f t="shared" si="491"/>
        <v>7.8538153439717019E-3</v>
      </c>
      <c r="AT228" s="184">
        <f t="shared" si="491"/>
        <v>7.8538153439717019E-3</v>
      </c>
      <c r="AU228" s="184">
        <f t="shared" si="491"/>
        <v>7.8538153439717019E-3</v>
      </c>
      <c r="AV228" s="184">
        <f t="shared" si="491"/>
        <v>7.8538153439717019E-3</v>
      </c>
      <c r="AW228" s="184">
        <f t="shared" si="491"/>
        <v>7.8538153439717019E-3</v>
      </c>
      <c r="AX228" s="184">
        <f t="shared" si="491"/>
        <v>7.8538153439717019E-3</v>
      </c>
      <c r="AY228" s="184">
        <f t="shared" si="491"/>
        <v>7.8538153439717019E-3</v>
      </c>
      <c r="AZ228" s="184">
        <f t="shared" si="491"/>
        <v>7.8538153439717019E-3</v>
      </c>
      <c r="BA228" s="184">
        <f t="shared" si="491"/>
        <v>7.8538153439717019E-3</v>
      </c>
      <c r="BB228" s="184">
        <f t="shared" si="491"/>
        <v>7.8538153439717019E-3</v>
      </c>
      <c r="BC228" s="184">
        <f t="shared" si="491"/>
        <v>7.8538153439717019E-3</v>
      </c>
      <c r="BD228" s="184">
        <f t="shared" si="491"/>
        <v>7.8538153439717019E-3</v>
      </c>
      <c r="BE228" s="184">
        <f t="shared" si="491"/>
        <v>7.8538153439717019E-3</v>
      </c>
      <c r="BF228" s="184">
        <f t="shared" si="491"/>
        <v>7.8538153439717019E-3</v>
      </c>
    </row>
    <row r="229" spans="2:58">
      <c r="B229" t="s">
        <v>653</v>
      </c>
      <c r="C229" s="109">
        <v>51758.069764129097</v>
      </c>
      <c r="D229" s="187">
        <f t="shared" ref="D229:S229" si="492">C229+($T229-$C229)/(COLUMN($T229)-COLUMN($C229))</f>
        <v>49017.936658969324</v>
      </c>
      <c r="E229" s="187">
        <f t="shared" si="492"/>
        <v>46277.80355380955</v>
      </c>
      <c r="F229" s="187">
        <f t="shared" si="492"/>
        <v>43537.670448649777</v>
      </c>
      <c r="G229" s="187">
        <f t="shared" si="492"/>
        <v>40797.537343490003</v>
      </c>
      <c r="H229" s="187">
        <f t="shared" si="492"/>
        <v>38057.404238330229</v>
      </c>
      <c r="I229" s="187">
        <f t="shared" si="492"/>
        <v>35317.271133170456</v>
      </c>
      <c r="J229" s="187">
        <f t="shared" si="492"/>
        <v>32577.138028010679</v>
      </c>
      <c r="K229" s="187">
        <f t="shared" si="492"/>
        <v>29837.004922850901</v>
      </c>
      <c r="L229" s="187">
        <f t="shared" si="492"/>
        <v>27096.871817691124</v>
      </c>
      <c r="M229" s="187">
        <f t="shared" si="492"/>
        <v>24356.738712531347</v>
      </c>
      <c r="N229" s="187">
        <f t="shared" si="492"/>
        <v>21616.60560737157</v>
      </c>
      <c r="O229" s="187">
        <f t="shared" si="492"/>
        <v>18876.472502211793</v>
      </c>
      <c r="P229" s="187">
        <f t="shared" si="492"/>
        <v>16136.339397052017</v>
      </c>
      <c r="Q229" s="187">
        <f t="shared" si="492"/>
        <v>13396.206291892242</v>
      </c>
      <c r="R229" s="187">
        <f t="shared" si="492"/>
        <v>10656.073186732467</v>
      </c>
      <c r="S229" s="187">
        <f t="shared" si="492"/>
        <v>7915.9400815726913</v>
      </c>
      <c r="T229" s="208">
        <f t="shared" si="428"/>
        <v>5175.8069764129104</v>
      </c>
      <c r="U229" s="195"/>
      <c r="V229" t="s">
        <v>653</v>
      </c>
      <c r="W229" s="39">
        <f t="shared" ref="W229:AK229" si="493">E229/SUM(E203:E235)</f>
        <v>6.8254722622291791E-2</v>
      </c>
      <c r="X229" s="39">
        <f t="shared" si="493"/>
        <v>6.8254722622291805E-2</v>
      </c>
      <c r="Y229" s="39">
        <f t="shared" si="493"/>
        <v>6.8254722622291791E-2</v>
      </c>
      <c r="Z229" s="39">
        <f t="shared" si="493"/>
        <v>6.8254722622291805E-2</v>
      </c>
      <c r="AA229" s="39">
        <f t="shared" si="493"/>
        <v>6.8254722622291805E-2</v>
      </c>
      <c r="AB229" s="39">
        <f>J229/SUM(J203:J235)</f>
        <v>6.8254722622291805E-2</v>
      </c>
      <c r="AC229" s="39">
        <f>K229/SUM(K203:K235)</f>
        <v>6.8254722622291791E-2</v>
      </c>
      <c r="AD229" s="39">
        <f>L229/SUM(L203:L235)</f>
        <v>6.8254722622291805E-2</v>
      </c>
      <c r="AE229" s="39">
        <f t="shared" si="493"/>
        <v>6.8254722622291791E-2</v>
      </c>
      <c r="AF229" s="39">
        <f t="shared" si="493"/>
        <v>6.8254722622291805E-2</v>
      </c>
      <c r="AG229" s="39">
        <f>O229/SUM(O203:O235)</f>
        <v>6.8254722622291791E-2</v>
      </c>
      <c r="AH229" s="39">
        <f>P229/SUM(P203:P235)</f>
        <v>6.8254722622291791E-2</v>
      </c>
      <c r="AI229" s="39">
        <f t="shared" si="493"/>
        <v>6.8254722622291791E-2</v>
      </c>
      <c r="AJ229" s="39">
        <f t="shared" si="493"/>
        <v>6.8254722622291791E-2</v>
      </c>
      <c r="AK229" s="39">
        <f t="shared" si="493"/>
        <v>6.8254722622291777E-2</v>
      </c>
      <c r="AL229" s="39">
        <f>T229/SUM(T203:T235)</f>
        <v>6.8254722622291805E-2</v>
      </c>
      <c r="AM229" s="184">
        <f t="shared" ref="AM229:BF229" si="494">AL229</f>
        <v>6.8254722622291805E-2</v>
      </c>
      <c r="AN229" s="184">
        <f t="shared" si="494"/>
        <v>6.8254722622291805E-2</v>
      </c>
      <c r="AO229" s="184">
        <f t="shared" si="494"/>
        <v>6.8254722622291805E-2</v>
      </c>
      <c r="AP229" s="184">
        <f t="shared" si="494"/>
        <v>6.8254722622291805E-2</v>
      </c>
      <c r="AQ229" s="184">
        <f t="shared" si="494"/>
        <v>6.8254722622291805E-2</v>
      </c>
      <c r="AR229" s="184">
        <f t="shared" si="494"/>
        <v>6.8254722622291805E-2</v>
      </c>
      <c r="AS229" s="184">
        <f t="shared" si="494"/>
        <v>6.8254722622291805E-2</v>
      </c>
      <c r="AT229" s="184">
        <f t="shared" si="494"/>
        <v>6.8254722622291805E-2</v>
      </c>
      <c r="AU229" s="184">
        <f t="shared" si="494"/>
        <v>6.8254722622291805E-2</v>
      </c>
      <c r="AV229" s="184">
        <f t="shared" si="494"/>
        <v>6.8254722622291805E-2</v>
      </c>
      <c r="AW229" s="184">
        <f t="shared" si="494"/>
        <v>6.8254722622291805E-2</v>
      </c>
      <c r="AX229" s="184">
        <f t="shared" si="494"/>
        <v>6.8254722622291805E-2</v>
      </c>
      <c r="AY229" s="184">
        <f t="shared" si="494"/>
        <v>6.8254722622291805E-2</v>
      </c>
      <c r="AZ229" s="184">
        <f t="shared" si="494"/>
        <v>6.8254722622291805E-2</v>
      </c>
      <c r="BA229" s="184">
        <f t="shared" si="494"/>
        <v>6.8254722622291805E-2</v>
      </c>
      <c r="BB229" s="184">
        <f t="shared" si="494"/>
        <v>6.8254722622291805E-2</v>
      </c>
      <c r="BC229" s="184">
        <f t="shared" si="494"/>
        <v>6.8254722622291805E-2</v>
      </c>
      <c r="BD229" s="184">
        <f t="shared" si="494"/>
        <v>6.8254722622291805E-2</v>
      </c>
      <c r="BE229" s="184">
        <f t="shared" si="494"/>
        <v>6.8254722622291805E-2</v>
      </c>
      <c r="BF229" s="184">
        <f t="shared" si="494"/>
        <v>6.8254722622291805E-2</v>
      </c>
    </row>
    <row r="230" spans="2:58">
      <c r="B230" t="s">
        <v>654</v>
      </c>
      <c r="C230" s="109">
        <v>2397.1106426480032</v>
      </c>
      <c r="D230" s="187">
        <f t="shared" ref="D230:S230" si="495">C230+($T230-$C230)/(COLUMN($T230)-COLUMN($C230))</f>
        <v>2270.2047850960503</v>
      </c>
      <c r="E230" s="187">
        <f t="shared" si="495"/>
        <v>2143.2989275440973</v>
      </c>
      <c r="F230" s="187">
        <f t="shared" si="495"/>
        <v>2016.3930699921441</v>
      </c>
      <c r="G230" s="187">
        <f t="shared" si="495"/>
        <v>1889.4872124401909</v>
      </c>
      <c r="H230" s="187">
        <f t="shared" si="495"/>
        <v>1762.5813548882377</v>
      </c>
      <c r="I230" s="187">
        <f t="shared" si="495"/>
        <v>1635.6754973362845</v>
      </c>
      <c r="J230" s="187">
        <f t="shared" si="495"/>
        <v>1508.7696397843313</v>
      </c>
      <c r="K230" s="187">
        <f t="shared" si="495"/>
        <v>1381.8637822323781</v>
      </c>
      <c r="L230" s="187">
        <f t="shared" si="495"/>
        <v>1254.9579246804249</v>
      </c>
      <c r="M230" s="187">
        <f t="shared" si="495"/>
        <v>1128.0520671284717</v>
      </c>
      <c r="N230" s="187">
        <f t="shared" si="495"/>
        <v>1001.1462095765186</v>
      </c>
      <c r="O230" s="187">
        <f t="shared" si="495"/>
        <v>874.24035202456548</v>
      </c>
      <c r="P230" s="187">
        <f t="shared" si="495"/>
        <v>747.33449447261239</v>
      </c>
      <c r="Q230" s="187">
        <f t="shared" si="495"/>
        <v>620.4286369206593</v>
      </c>
      <c r="R230" s="187">
        <f t="shared" si="495"/>
        <v>493.52277936870621</v>
      </c>
      <c r="S230" s="187">
        <f t="shared" si="495"/>
        <v>366.61692181675312</v>
      </c>
      <c r="T230" s="208">
        <f t="shared" si="428"/>
        <v>239.71106426480034</v>
      </c>
      <c r="U230" s="195"/>
      <c r="V230" t="s">
        <v>654</v>
      </c>
      <c r="W230" s="39">
        <f t="shared" ref="W230:AK230" si="496">E230/SUM(E203:E235)</f>
        <v>3.16113260704084E-3</v>
      </c>
      <c r="X230" s="39">
        <f t="shared" si="496"/>
        <v>3.16113260704084E-3</v>
      </c>
      <c r="Y230" s="39">
        <f t="shared" si="496"/>
        <v>3.1611326070408391E-3</v>
      </c>
      <c r="Z230" s="39">
        <f t="shared" si="496"/>
        <v>3.16113260704084E-3</v>
      </c>
      <c r="AA230" s="39">
        <f t="shared" si="496"/>
        <v>3.1611326070408391E-3</v>
      </c>
      <c r="AB230" s="39">
        <f>J230/SUM(J203:J235)</f>
        <v>3.1611326070408391E-3</v>
      </c>
      <c r="AC230" s="39">
        <f>K230/SUM(K203:K235)</f>
        <v>3.1611326070408387E-3</v>
      </c>
      <c r="AD230" s="39">
        <f>L230/SUM(L203:L235)</f>
        <v>3.1611326070408387E-3</v>
      </c>
      <c r="AE230" s="39">
        <f t="shared" si="496"/>
        <v>3.1611326070408378E-3</v>
      </c>
      <c r="AF230" s="39">
        <f t="shared" si="496"/>
        <v>3.1611326070408383E-3</v>
      </c>
      <c r="AG230" s="39">
        <f>O230/SUM(O203:O235)</f>
        <v>3.1611326070408378E-3</v>
      </c>
      <c r="AH230" s="39">
        <f>P230/SUM(P203:P235)</f>
        <v>3.1611326070408374E-3</v>
      </c>
      <c r="AI230" s="39">
        <f t="shared" si="496"/>
        <v>3.161132607040837E-3</v>
      </c>
      <c r="AJ230" s="39">
        <f t="shared" si="496"/>
        <v>3.1611326070408361E-3</v>
      </c>
      <c r="AK230" s="39">
        <f t="shared" si="496"/>
        <v>3.1611326070408344E-3</v>
      </c>
      <c r="AL230" s="39">
        <f>T230/SUM(T203:T235)</f>
        <v>3.1611326070408404E-3</v>
      </c>
      <c r="AM230" s="184">
        <f t="shared" ref="AM230:BF230" si="497">AL230</f>
        <v>3.1611326070408404E-3</v>
      </c>
      <c r="AN230" s="184">
        <f t="shared" si="497"/>
        <v>3.1611326070408404E-3</v>
      </c>
      <c r="AO230" s="184">
        <f t="shared" si="497"/>
        <v>3.1611326070408404E-3</v>
      </c>
      <c r="AP230" s="184">
        <f t="shared" si="497"/>
        <v>3.1611326070408404E-3</v>
      </c>
      <c r="AQ230" s="184">
        <f t="shared" si="497"/>
        <v>3.1611326070408404E-3</v>
      </c>
      <c r="AR230" s="184">
        <f t="shared" si="497"/>
        <v>3.1611326070408404E-3</v>
      </c>
      <c r="AS230" s="184">
        <f t="shared" si="497"/>
        <v>3.1611326070408404E-3</v>
      </c>
      <c r="AT230" s="184">
        <f t="shared" si="497"/>
        <v>3.1611326070408404E-3</v>
      </c>
      <c r="AU230" s="184">
        <f t="shared" si="497"/>
        <v>3.1611326070408404E-3</v>
      </c>
      <c r="AV230" s="184">
        <f t="shared" si="497"/>
        <v>3.1611326070408404E-3</v>
      </c>
      <c r="AW230" s="184">
        <f t="shared" si="497"/>
        <v>3.1611326070408404E-3</v>
      </c>
      <c r="AX230" s="184">
        <f t="shared" si="497"/>
        <v>3.1611326070408404E-3</v>
      </c>
      <c r="AY230" s="184">
        <f t="shared" si="497"/>
        <v>3.1611326070408404E-3</v>
      </c>
      <c r="AZ230" s="184">
        <f t="shared" si="497"/>
        <v>3.1611326070408404E-3</v>
      </c>
      <c r="BA230" s="184">
        <f t="shared" si="497"/>
        <v>3.1611326070408404E-3</v>
      </c>
      <c r="BB230" s="184">
        <f t="shared" si="497"/>
        <v>3.1611326070408404E-3</v>
      </c>
      <c r="BC230" s="184">
        <f t="shared" si="497"/>
        <v>3.1611326070408404E-3</v>
      </c>
      <c r="BD230" s="184">
        <f t="shared" si="497"/>
        <v>3.1611326070408404E-3</v>
      </c>
      <c r="BE230" s="184">
        <f t="shared" si="497"/>
        <v>3.1611326070408404E-3</v>
      </c>
      <c r="BF230" s="184">
        <f t="shared" si="497"/>
        <v>3.1611326070408404E-3</v>
      </c>
    </row>
    <row r="231" spans="2:58">
      <c r="B231" t="s">
        <v>655</v>
      </c>
      <c r="C231" s="109">
        <v>43.118769407702118</v>
      </c>
      <c r="D231" s="187">
        <f t="shared" ref="D231:S231" si="498">C231+($T231-$C231)/(COLUMN($T231)-COLUMN($C231))</f>
        <v>40.836011027294361</v>
      </c>
      <c r="E231" s="187">
        <f t="shared" si="498"/>
        <v>38.553252646886605</v>
      </c>
      <c r="F231" s="187">
        <f t="shared" si="498"/>
        <v>36.270494266478849</v>
      </c>
      <c r="G231" s="187">
        <f t="shared" si="498"/>
        <v>33.987735886071093</v>
      </c>
      <c r="H231" s="187">
        <f t="shared" si="498"/>
        <v>31.704977505663333</v>
      </c>
      <c r="I231" s="187">
        <f t="shared" si="498"/>
        <v>29.422219125255573</v>
      </c>
      <c r="J231" s="187">
        <f t="shared" si="498"/>
        <v>27.139460744847813</v>
      </c>
      <c r="K231" s="187">
        <f t="shared" si="498"/>
        <v>24.856702364440054</v>
      </c>
      <c r="L231" s="187">
        <f t="shared" si="498"/>
        <v>22.573943984032294</v>
      </c>
      <c r="M231" s="187">
        <f t="shared" si="498"/>
        <v>20.291185603624534</v>
      </c>
      <c r="N231" s="187">
        <f t="shared" si="498"/>
        <v>18.008427223216774</v>
      </c>
      <c r="O231" s="187">
        <f t="shared" si="498"/>
        <v>15.725668842809014</v>
      </c>
      <c r="P231" s="187">
        <f t="shared" si="498"/>
        <v>13.442910462401255</v>
      </c>
      <c r="Q231" s="187">
        <f t="shared" si="498"/>
        <v>11.160152081993495</v>
      </c>
      <c r="R231" s="187">
        <f t="shared" si="498"/>
        <v>8.8773937015857349</v>
      </c>
      <c r="S231" s="187">
        <f t="shared" si="498"/>
        <v>6.5946353211779751</v>
      </c>
      <c r="T231" s="208">
        <f t="shared" si="428"/>
        <v>4.3118769407702118</v>
      </c>
      <c r="U231" s="195"/>
      <c r="V231" t="s">
        <v>655</v>
      </c>
      <c r="W231" s="39">
        <f t="shared" ref="W231:AK231" si="499">E231/SUM(E203:E235)</f>
        <v>5.6861850898793662E-5</v>
      </c>
      <c r="X231" s="39">
        <f t="shared" si="499"/>
        <v>5.6861850898793676E-5</v>
      </c>
      <c r="Y231" s="39">
        <f t="shared" si="499"/>
        <v>5.6861850898793662E-5</v>
      </c>
      <c r="Z231" s="39">
        <f t="shared" si="499"/>
        <v>5.6861850898793676E-5</v>
      </c>
      <c r="AA231" s="39">
        <f t="shared" si="499"/>
        <v>5.6861850898793669E-5</v>
      </c>
      <c r="AB231" s="39">
        <f>J231/SUM(J203:J235)</f>
        <v>5.6861850898793676E-5</v>
      </c>
      <c r="AC231" s="39">
        <f>K231/SUM(K203:K235)</f>
        <v>5.6861850898793662E-5</v>
      </c>
      <c r="AD231" s="39">
        <f>L231/SUM(L203:L235)</f>
        <v>5.6861850898793676E-5</v>
      </c>
      <c r="AE231" s="39">
        <f t="shared" si="499"/>
        <v>5.6861850898793662E-5</v>
      </c>
      <c r="AF231" s="39">
        <f t="shared" si="499"/>
        <v>5.6861850898793676E-5</v>
      </c>
      <c r="AG231" s="39">
        <f>O231/SUM(O203:O235)</f>
        <v>5.6861850898793676E-5</v>
      </c>
      <c r="AH231" s="39">
        <f>P231/SUM(P203:P235)</f>
        <v>5.6861850898793669E-5</v>
      </c>
      <c r="AI231" s="39">
        <f t="shared" si="499"/>
        <v>5.6861850898793662E-5</v>
      </c>
      <c r="AJ231" s="39">
        <f t="shared" si="499"/>
        <v>5.6861850898793662E-5</v>
      </c>
      <c r="AK231" s="39">
        <f t="shared" si="499"/>
        <v>5.6861850898793648E-5</v>
      </c>
      <c r="AL231" s="39">
        <f>T231/SUM(T203:T235)</f>
        <v>5.6861850898793662E-5</v>
      </c>
      <c r="AM231" s="184">
        <f t="shared" ref="AM231:BF231" si="500">AL231</f>
        <v>5.6861850898793662E-5</v>
      </c>
      <c r="AN231" s="184">
        <f t="shared" si="500"/>
        <v>5.6861850898793662E-5</v>
      </c>
      <c r="AO231" s="184">
        <f t="shared" si="500"/>
        <v>5.6861850898793662E-5</v>
      </c>
      <c r="AP231" s="184">
        <f t="shared" si="500"/>
        <v>5.6861850898793662E-5</v>
      </c>
      <c r="AQ231" s="184">
        <f t="shared" si="500"/>
        <v>5.6861850898793662E-5</v>
      </c>
      <c r="AR231" s="184">
        <f t="shared" si="500"/>
        <v>5.6861850898793662E-5</v>
      </c>
      <c r="AS231" s="184">
        <f t="shared" si="500"/>
        <v>5.6861850898793662E-5</v>
      </c>
      <c r="AT231" s="184">
        <f t="shared" si="500"/>
        <v>5.6861850898793662E-5</v>
      </c>
      <c r="AU231" s="184">
        <f t="shared" si="500"/>
        <v>5.6861850898793662E-5</v>
      </c>
      <c r="AV231" s="184">
        <f t="shared" si="500"/>
        <v>5.6861850898793662E-5</v>
      </c>
      <c r="AW231" s="184">
        <f t="shared" si="500"/>
        <v>5.6861850898793662E-5</v>
      </c>
      <c r="AX231" s="184">
        <f t="shared" si="500"/>
        <v>5.6861850898793662E-5</v>
      </c>
      <c r="AY231" s="184">
        <f t="shared" si="500"/>
        <v>5.6861850898793662E-5</v>
      </c>
      <c r="AZ231" s="184">
        <f t="shared" si="500"/>
        <v>5.6861850898793662E-5</v>
      </c>
      <c r="BA231" s="184">
        <f t="shared" si="500"/>
        <v>5.6861850898793662E-5</v>
      </c>
      <c r="BB231" s="184">
        <f t="shared" si="500"/>
        <v>5.6861850898793662E-5</v>
      </c>
      <c r="BC231" s="184">
        <f t="shared" si="500"/>
        <v>5.6861850898793662E-5</v>
      </c>
      <c r="BD231" s="184">
        <f t="shared" si="500"/>
        <v>5.6861850898793662E-5</v>
      </c>
      <c r="BE231" s="184">
        <f t="shared" si="500"/>
        <v>5.6861850898793662E-5</v>
      </c>
      <c r="BF231" s="184">
        <f t="shared" si="500"/>
        <v>5.6861850898793662E-5</v>
      </c>
    </row>
    <row r="232" spans="2:58">
      <c r="B232" t="s">
        <v>656</v>
      </c>
      <c r="C232" s="109">
        <v>15113.648794005388</v>
      </c>
      <c r="D232" s="187">
        <f t="shared" ref="D232:S232" si="501">C232+($T232-$C232)/(COLUMN($T232)-COLUMN($C232))</f>
        <v>14313.514446087456</v>
      </c>
      <c r="E232" s="187">
        <f t="shared" si="501"/>
        <v>13513.380098169524</v>
      </c>
      <c r="F232" s="187">
        <f t="shared" si="501"/>
        <v>12713.245750251592</v>
      </c>
      <c r="G232" s="187">
        <f t="shared" si="501"/>
        <v>11913.111402333659</v>
      </c>
      <c r="H232" s="187">
        <f t="shared" si="501"/>
        <v>11112.977054415727</v>
      </c>
      <c r="I232" s="187">
        <f t="shared" si="501"/>
        <v>10312.842706497795</v>
      </c>
      <c r="J232" s="187">
        <f t="shared" si="501"/>
        <v>9512.7083585798628</v>
      </c>
      <c r="K232" s="187">
        <f t="shared" si="501"/>
        <v>8712.5740106619305</v>
      </c>
      <c r="L232" s="187">
        <f t="shared" si="501"/>
        <v>7912.4396627439983</v>
      </c>
      <c r="M232" s="187">
        <f t="shared" si="501"/>
        <v>7112.305314826066</v>
      </c>
      <c r="N232" s="187">
        <f t="shared" si="501"/>
        <v>6312.1709669081338</v>
      </c>
      <c r="O232" s="187">
        <f t="shared" si="501"/>
        <v>5512.0366189902015</v>
      </c>
      <c r="P232" s="187">
        <f t="shared" si="501"/>
        <v>4711.9022710722693</v>
      </c>
      <c r="Q232" s="187">
        <f t="shared" si="501"/>
        <v>3911.767923154337</v>
      </c>
      <c r="R232" s="187">
        <f t="shared" si="501"/>
        <v>3111.6335752364048</v>
      </c>
      <c r="S232" s="187">
        <f t="shared" si="501"/>
        <v>2311.4992273184725</v>
      </c>
      <c r="T232" s="208">
        <f t="shared" si="428"/>
        <v>1511.3648794005389</v>
      </c>
      <c r="U232" s="195"/>
      <c r="V232" t="s">
        <v>656</v>
      </c>
      <c r="W232" s="39">
        <f t="shared" ref="W232:AK232" si="502">E232/SUM(E203:E235)</f>
        <v>1.9930764631421922E-2</v>
      </c>
      <c r="X232" s="39">
        <f t="shared" si="502"/>
        <v>1.9930764631421922E-2</v>
      </c>
      <c r="Y232" s="39">
        <f t="shared" si="502"/>
        <v>1.9930764631421918E-2</v>
      </c>
      <c r="Z232" s="39">
        <f t="shared" si="502"/>
        <v>1.9930764631421925E-2</v>
      </c>
      <c r="AA232" s="39">
        <f t="shared" si="502"/>
        <v>1.9930764631421918E-2</v>
      </c>
      <c r="AB232" s="39">
        <f>J232/SUM(J203:J235)</f>
        <v>1.9930764631421922E-2</v>
      </c>
      <c r="AC232" s="39">
        <f>K232/SUM(K203:K235)</f>
        <v>1.9930764631421918E-2</v>
      </c>
      <c r="AD232" s="39">
        <f>L232/SUM(L203:L235)</f>
        <v>1.9930764631421922E-2</v>
      </c>
      <c r="AE232" s="39">
        <f t="shared" si="502"/>
        <v>1.9930764631421918E-2</v>
      </c>
      <c r="AF232" s="39">
        <f t="shared" si="502"/>
        <v>1.9930764631421922E-2</v>
      </c>
      <c r="AG232" s="39">
        <f>O232/SUM(O203:O235)</f>
        <v>1.9930764631421922E-2</v>
      </c>
      <c r="AH232" s="39">
        <f>P232/SUM(P203:P235)</f>
        <v>1.9930764631421922E-2</v>
      </c>
      <c r="AI232" s="39">
        <f t="shared" si="502"/>
        <v>1.9930764631421922E-2</v>
      </c>
      <c r="AJ232" s="39">
        <f t="shared" si="502"/>
        <v>1.9930764631421922E-2</v>
      </c>
      <c r="AK232" s="39">
        <f t="shared" si="502"/>
        <v>1.9930764631421918E-2</v>
      </c>
      <c r="AL232" s="39">
        <f>T232/SUM(T203:T235)</f>
        <v>1.9930764631421925E-2</v>
      </c>
      <c r="AM232" s="184">
        <f t="shared" ref="AM232:BF232" si="503">AL232</f>
        <v>1.9930764631421925E-2</v>
      </c>
      <c r="AN232" s="184">
        <f t="shared" si="503"/>
        <v>1.9930764631421925E-2</v>
      </c>
      <c r="AO232" s="184">
        <f t="shared" si="503"/>
        <v>1.9930764631421925E-2</v>
      </c>
      <c r="AP232" s="184">
        <f t="shared" si="503"/>
        <v>1.9930764631421925E-2</v>
      </c>
      <c r="AQ232" s="184">
        <f t="shared" si="503"/>
        <v>1.9930764631421925E-2</v>
      </c>
      <c r="AR232" s="184">
        <f t="shared" si="503"/>
        <v>1.9930764631421925E-2</v>
      </c>
      <c r="AS232" s="184">
        <f t="shared" si="503"/>
        <v>1.9930764631421925E-2</v>
      </c>
      <c r="AT232" s="184">
        <f t="shared" si="503"/>
        <v>1.9930764631421925E-2</v>
      </c>
      <c r="AU232" s="184">
        <f t="shared" si="503"/>
        <v>1.9930764631421925E-2</v>
      </c>
      <c r="AV232" s="184">
        <f t="shared" si="503"/>
        <v>1.9930764631421925E-2</v>
      </c>
      <c r="AW232" s="184">
        <f t="shared" si="503"/>
        <v>1.9930764631421925E-2</v>
      </c>
      <c r="AX232" s="184">
        <f t="shared" si="503"/>
        <v>1.9930764631421925E-2</v>
      </c>
      <c r="AY232" s="184">
        <f t="shared" si="503"/>
        <v>1.9930764631421925E-2</v>
      </c>
      <c r="AZ232" s="184">
        <f t="shared" si="503"/>
        <v>1.9930764631421925E-2</v>
      </c>
      <c r="BA232" s="184">
        <f t="shared" si="503"/>
        <v>1.9930764631421925E-2</v>
      </c>
      <c r="BB232" s="184">
        <f t="shared" si="503"/>
        <v>1.9930764631421925E-2</v>
      </c>
      <c r="BC232" s="184">
        <f t="shared" si="503"/>
        <v>1.9930764631421925E-2</v>
      </c>
      <c r="BD232" s="184">
        <f t="shared" si="503"/>
        <v>1.9930764631421925E-2</v>
      </c>
      <c r="BE232" s="184">
        <f t="shared" si="503"/>
        <v>1.9930764631421925E-2</v>
      </c>
      <c r="BF232" s="184">
        <f t="shared" si="503"/>
        <v>1.9930764631421925E-2</v>
      </c>
    </row>
    <row r="233" spans="2:58">
      <c r="B233" t="s">
        <v>657</v>
      </c>
      <c r="C233" s="109">
        <v>6816.035443352107</v>
      </c>
      <c r="D233" s="187">
        <f t="shared" ref="D233:S233" si="504">C233+($T233-$C233)/(COLUMN($T233)-COLUMN($C233))</f>
        <v>6455.1865081158194</v>
      </c>
      <c r="E233" s="187">
        <f t="shared" si="504"/>
        <v>6094.3375728795318</v>
      </c>
      <c r="F233" s="187">
        <f t="shared" si="504"/>
        <v>5733.4886376432441</v>
      </c>
      <c r="G233" s="187">
        <f t="shared" si="504"/>
        <v>5372.6397024069565</v>
      </c>
      <c r="H233" s="187">
        <f t="shared" si="504"/>
        <v>5011.7907671706689</v>
      </c>
      <c r="I233" s="187">
        <f t="shared" si="504"/>
        <v>4650.9418319343813</v>
      </c>
      <c r="J233" s="187">
        <f t="shared" si="504"/>
        <v>4290.0928966980937</v>
      </c>
      <c r="K233" s="187">
        <f t="shared" si="504"/>
        <v>3929.2439614618056</v>
      </c>
      <c r="L233" s="187">
        <f t="shared" si="504"/>
        <v>3568.3950262255175</v>
      </c>
      <c r="M233" s="187">
        <f t="shared" si="504"/>
        <v>3207.5460909892295</v>
      </c>
      <c r="N233" s="187">
        <f t="shared" si="504"/>
        <v>2846.6971557529414</v>
      </c>
      <c r="O233" s="187">
        <f t="shared" si="504"/>
        <v>2485.8482205166533</v>
      </c>
      <c r="P233" s="187">
        <f t="shared" si="504"/>
        <v>2124.9992852803653</v>
      </c>
      <c r="Q233" s="187">
        <f t="shared" si="504"/>
        <v>1764.1503500440772</v>
      </c>
      <c r="R233" s="187">
        <f t="shared" si="504"/>
        <v>1403.3014148077891</v>
      </c>
      <c r="S233" s="187">
        <f t="shared" si="504"/>
        <v>1042.452479571501</v>
      </c>
      <c r="T233" s="208">
        <f t="shared" si="428"/>
        <v>681.6035443352107</v>
      </c>
      <c r="U233" s="195"/>
      <c r="V233" t="s">
        <v>657</v>
      </c>
      <c r="W233" s="39">
        <f t="shared" ref="W233:AK233" si="505">E233/SUM(E203:E235)</f>
        <v>8.9884845143922421E-3</v>
      </c>
      <c r="X233" s="39">
        <f t="shared" si="505"/>
        <v>8.9884845143922438E-3</v>
      </c>
      <c r="Y233" s="39">
        <f t="shared" si="505"/>
        <v>8.9884845143922421E-3</v>
      </c>
      <c r="Z233" s="39">
        <f t="shared" si="505"/>
        <v>8.9884845143922455E-3</v>
      </c>
      <c r="AA233" s="39">
        <f t="shared" si="505"/>
        <v>8.9884845143922455E-3</v>
      </c>
      <c r="AB233" s="39">
        <f>J233/SUM(J203:J235)</f>
        <v>8.9884845143922473E-3</v>
      </c>
      <c r="AC233" s="39">
        <f>K233/SUM(K203:K235)</f>
        <v>8.9884845143922455E-3</v>
      </c>
      <c r="AD233" s="39">
        <f>L233/SUM(L203:L235)</f>
        <v>8.9884845143922473E-3</v>
      </c>
      <c r="AE233" s="39">
        <f t="shared" si="505"/>
        <v>8.9884845143922473E-3</v>
      </c>
      <c r="AF233" s="39">
        <f t="shared" si="505"/>
        <v>8.988484514392249E-3</v>
      </c>
      <c r="AG233" s="39">
        <f>O233/SUM(O203:O235)</f>
        <v>8.988484514392249E-3</v>
      </c>
      <c r="AH233" s="39">
        <f>P233/SUM(P203:P235)</f>
        <v>8.988484514392249E-3</v>
      </c>
      <c r="AI233" s="39">
        <f t="shared" si="505"/>
        <v>8.9884845143922507E-3</v>
      </c>
      <c r="AJ233" s="39">
        <f t="shared" si="505"/>
        <v>8.9884845143922525E-3</v>
      </c>
      <c r="AK233" s="39">
        <f t="shared" si="505"/>
        <v>8.9884845143922542E-3</v>
      </c>
      <c r="AL233" s="39">
        <f>T233/SUM(T203:T235)</f>
        <v>8.9884845143922421E-3</v>
      </c>
      <c r="AM233" s="184">
        <f t="shared" ref="AM233:BF233" si="506">AL233</f>
        <v>8.9884845143922421E-3</v>
      </c>
      <c r="AN233" s="184">
        <f t="shared" si="506"/>
        <v>8.9884845143922421E-3</v>
      </c>
      <c r="AO233" s="184">
        <f t="shared" si="506"/>
        <v>8.9884845143922421E-3</v>
      </c>
      <c r="AP233" s="184">
        <f t="shared" si="506"/>
        <v>8.9884845143922421E-3</v>
      </c>
      <c r="AQ233" s="184">
        <f t="shared" si="506"/>
        <v>8.9884845143922421E-3</v>
      </c>
      <c r="AR233" s="184">
        <f t="shared" si="506"/>
        <v>8.9884845143922421E-3</v>
      </c>
      <c r="AS233" s="184">
        <f t="shared" si="506"/>
        <v>8.9884845143922421E-3</v>
      </c>
      <c r="AT233" s="184">
        <f t="shared" si="506"/>
        <v>8.9884845143922421E-3</v>
      </c>
      <c r="AU233" s="184">
        <f t="shared" si="506"/>
        <v>8.9884845143922421E-3</v>
      </c>
      <c r="AV233" s="184">
        <f t="shared" si="506"/>
        <v>8.9884845143922421E-3</v>
      </c>
      <c r="AW233" s="184">
        <f t="shared" si="506"/>
        <v>8.9884845143922421E-3</v>
      </c>
      <c r="AX233" s="184">
        <f t="shared" si="506"/>
        <v>8.9884845143922421E-3</v>
      </c>
      <c r="AY233" s="184">
        <f t="shared" si="506"/>
        <v>8.9884845143922421E-3</v>
      </c>
      <c r="AZ233" s="184">
        <f t="shared" si="506"/>
        <v>8.9884845143922421E-3</v>
      </c>
      <c r="BA233" s="184">
        <f t="shared" si="506"/>
        <v>8.9884845143922421E-3</v>
      </c>
      <c r="BB233" s="184">
        <f t="shared" si="506"/>
        <v>8.9884845143922421E-3</v>
      </c>
      <c r="BC233" s="184">
        <f t="shared" si="506"/>
        <v>8.9884845143922421E-3</v>
      </c>
      <c r="BD233" s="184">
        <f t="shared" si="506"/>
        <v>8.9884845143922421E-3</v>
      </c>
      <c r="BE233" s="184">
        <f t="shared" si="506"/>
        <v>8.9884845143922421E-3</v>
      </c>
      <c r="BF233" s="184">
        <f t="shared" si="506"/>
        <v>8.9884845143922421E-3</v>
      </c>
    </row>
    <row r="234" spans="2:58">
      <c r="B234" t="s">
        <v>658</v>
      </c>
      <c r="C234" s="109">
        <v>1647.076824955783</v>
      </c>
      <c r="D234" s="187">
        <f t="shared" ref="D234:S234" si="507">C234+($T234-$C234)/(COLUMN($T234)-COLUMN($C234))</f>
        <v>1559.8786401051827</v>
      </c>
      <c r="E234" s="187">
        <f t="shared" si="507"/>
        <v>1472.6804552545825</v>
      </c>
      <c r="F234" s="187">
        <f t="shared" si="507"/>
        <v>1385.4822704039823</v>
      </c>
      <c r="G234" s="187">
        <f t="shared" si="507"/>
        <v>1298.2840855533821</v>
      </c>
      <c r="H234" s="187">
        <f t="shared" si="507"/>
        <v>1211.0859007027818</v>
      </c>
      <c r="I234" s="187">
        <f t="shared" si="507"/>
        <v>1123.8877158521816</v>
      </c>
      <c r="J234" s="187">
        <f t="shared" si="507"/>
        <v>1036.6895310015814</v>
      </c>
      <c r="K234" s="187">
        <f t="shared" si="507"/>
        <v>949.49134615098114</v>
      </c>
      <c r="L234" s="187">
        <f t="shared" si="507"/>
        <v>862.29316130038092</v>
      </c>
      <c r="M234" s="187">
        <f t="shared" si="507"/>
        <v>775.09497644978069</v>
      </c>
      <c r="N234" s="187">
        <f t="shared" si="507"/>
        <v>687.89679159918046</v>
      </c>
      <c r="O234" s="187">
        <f t="shared" si="507"/>
        <v>600.69860674858023</v>
      </c>
      <c r="P234" s="187">
        <f t="shared" si="507"/>
        <v>513.50042189798</v>
      </c>
      <c r="Q234" s="187">
        <f t="shared" si="507"/>
        <v>426.30223704737972</v>
      </c>
      <c r="R234" s="187">
        <f t="shared" si="507"/>
        <v>339.10405219677943</v>
      </c>
      <c r="S234" s="187">
        <f t="shared" si="507"/>
        <v>251.90586734617915</v>
      </c>
      <c r="T234" s="208">
        <f t="shared" si="428"/>
        <v>164.7076824955783</v>
      </c>
      <c r="U234" s="195"/>
      <c r="V234" t="s">
        <v>658</v>
      </c>
      <c r="W234" s="39">
        <f t="shared" ref="W234:AK234" si="508">E234/SUM(E203:E235)</f>
        <v>2.1720433613016065E-3</v>
      </c>
      <c r="X234" s="39">
        <f t="shared" si="508"/>
        <v>2.1720433613016069E-3</v>
      </c>
      <c r="Y234" s="39">
        <f t="shared" si="508"/>
        <v>2.1720433613016065E-3</v>
      </c>
      <c r="Z234" s="39">
        <f t="shared" si="508"/>
        <v>2.1720433613016069E-3</v>
      </c>
      <c r="AA234" s="39">
        <f t="shared" si="508"/>
        <v>2.1720433613016065E-3</v>
      </c>
      <c r="AB234" s="39">
        <f t="shared" ref="AB234:AD234" si="509">J234/SUM(J203:J235)</f>
        <v>2.1720433613016069E-3</v>
      </c>
      <c r="AC234" s="39">
        <f t="shared" si="509"/>
        <v>2.1720433613016069E-3</v>
      </c>
      <c r="AD234" s="39">
        <f t="shared" si="509"/>
        <v>2.1720433613016074E-3</v>
      </c>
      <c r="AE234" s="39">
        <f t="shared" si="508"/>
        <v>2.1720433613016074E-3</v>
      </c>
      <c r="AF234" s="39">
        <f t="shared" si="508"/>
        <v>2.1720433613016078E-3</v>
      </c>
      <c r="AG234" s="39">
        <f>O234/SUM(O203:O235)</f>
        <v>2.1720433613016082E-3</v>
      </c>
      <c r="AH234" s="39">
        <f>P234/SUM(P203:P235)</f>
        <v>2.1720433613016087E-3</v>
      </c>
      <c r="AI234" s="39">
        <f t="shared" si="508"/>
        <v>2.1720433613016087E-3</v>
      </c>
      <c r="AJ234" s="39">
        <f t="shared" si="508"/>
        <v>2.1720433613016095E-3</v>
      </c>
      <c r="AK234" s="39">
        <f t="shared" si="508"/>
        <v>2.1720433613016095E-3</v>
      </c>
      <c r="AL234" s="39">
        <f>T234/SUM(T203:T235)</f>
        <v>2.1720433613016065E-3</v>
      </c>
      <c r="AM234" s="184">
        <f t="shared" ref="AM234:BF234" si="510">AL234</f>
        <v>2.1720433613016065E-3</v>
      </c>
      <c r="AN234" s="184">
        <f t="shared" si="510"/>
        <v>2.1720433613016065E-3</v>
      </c>
      <c r="AO234" s="184">
        <f t="shared" si="510"/>
        <v>2.1720433613016065E-3</v>
      </c>
      <c r="AP234" s="184">
        <f t="shared" si="510"/>
        <v>2.1720433613016065E-3</v>
      </c>
      <c r="AQ234" s="184">
        <f t="shared" si="510"/>
        <v>2.1720433613016065E-3</v>
      </c>
      <c r="AR234" s="184">
        <f t="shared" si="510"/>
        <v>2.1720433613016065E-3</v>
      </c>
      <c r="AS234" s="184">
        <f t="shared" si="510"/>
        <v>2.1720433613016065E-3</v>
      </c>
      <c r="AT234" s="184">
        <f t="shared" si="510"/>
        <v>2.1720433613016065E-3</v>
      </c>
      <c r="AU234" s="184">
        <f t="shared" si="510"/>
        <v>2.1720433613016065E-3</v>
      </c>
      <c r="AV234" s="184">
        <f t="shared" si="510"/>
        <v>2.1720433613016065E-3</v>
      </c>
      <c r="AW234" s="184">
        <f t="shared" si="510"/>
        <v>2.1720433613016065E-3</v>
      </c>
      <c r="AX234" s="184">
        <f t="shared" si="510"/>
        <v>2.1720433613016065E-3</v>
      </c>
      <c r="AY234" s="184">
        <f t="shared" si="510"/>
        <v>2.1720433613016065E-3</v>
      </c>
      <c r="AZ234" s="184">
        <f t="shared" si="510"/>
        <v>2.1720433613016065E-3</v>
      </c>
      <c r="BA234" s="184">
        <f t="shared" si="510"/>
        <v>2.1720433613016065E-3</v>
      </c>
      <c r="BB234" s="184">
        <f t="shared" si="510"/>
        <v>2.1720433613016065E-3</v>
      </c>
      <c r="BC234" s="184">
        <f t="shared" si="510"/>
        <v>2.1720433613016065E-3</v>
      </c>
      <c r="BD234" s="184">
        <f t="shared" si="510"/>
        <v>2.1720433613016065E-3</v>
      </c>
      <c r="BE234" s="184">
        <f t="shared" si="510"/>
        <v>2.1720433613016065E-3</v>
      </c>
      <c r="BF234" s="184">
        <f t="shared" si="510"/>
        <v>2.1720433613016065E-3</v>
      </c>
    </row>
    <row r="235" spans="2:58">
      <c r="B235" t="s">
        <v>659</v>
      </c>
      <c r="C235" s="109">
        <v>1408.350457</v>
      </c>
      <c r="D235" s="187">
        <f t="shared" ref="D235:S235" si="511">C235+($T235-$C235)/(COLUMN($T235)-COLUMN($C235))</f>
        <v>1333.7907269235293</v>
      </c>
      <c r="E235" s="187">
        <f t="shared" si="511"/>
        <v>1259.2309968470586</v>
      </c>
      <c r="F235" s="187">
        <f t="shared" si="511"/>
        <v>1184.6712667705879</v>
      </c>
      <c r="G235" s="187">
        <f t="shared" si="511"/>
        <v>1110.1115366941171</v>
      </c>
      <c r="H235" s="187">
        <f t="shared" si="511"/>
        <v>1035.5518066176464</v>
      </c>
      <c r="I235" s="187">
        <f t="shared" si="511"/>
        <v>960.99207654117583</v>
      </c>
      <c r="J235" s="187">
        <f t="shared" si="511"/>
        <v>886.43234646470523</v>
      </c>
      <c r="K235" s="187">
        <f t="shared" si="511"/>
        <v>811.87261638823463</v>
      </c>
      <c r="L235" s="187">
        <f t="shared" si="511"/>
        <v>737.31288631176403</v>
      </c>
      <c r="M235" s="187">
        <f t="shared" si="511"/>
        <v>662.75315623529343</v>
      </c>
      <c r="N235" s="187">
        <f t="shared" si="511"/>
        <v>588.19342615882283</v>
      </c>
      <c r="O235" s="187">
        <f t="shared" si="511"/>
        <v>513.63369608235223</v>
      </c>
      <c r="P235" s="187">
        <f t="shared" si="511"/>
        <v>439.07396600588163</v>
      </c>
      <c r="Q235" s="187">
        <f t="shared" si="511"/>
        <v>364.51423592941103</v>
      </c>
      <c r="R235" s="187">
        <f t="shared" si="511"/>
        <v>289.95450585294043</v>
      </c>
      <c r="S235" s="187">
        <f t="shared" si="511"/>
        <v>215.39477577646983</v>
      </c>
      <c r="T235" s="208">
        <f>C235*0.1</f>
        <v>140.83504569999999</v>
      </c>
      <c r="V235" t="s">
        <v>659</v>
      </c>
      <c r="W235" s="39">
        <f t="shared" ref="W235:AL235" si="512">E235/SUM(E204:E238)</f>
        <v>6.2466205796828642E-4</v>
      </c>
      <c r="X235" s="39">
        <f t="shared" si="512"/>
        <v>6.2466205796828642E-4</v>
      </c>
      <c r="Y235" s="39">
        <f t="shared" si="512"/>
        <v>6.2466205796828621E-4</v>
      </c>
      <c r="Z235" s="39">
        <f t="shared" si="512"/>
        <v>6.2466205796828621E-4</v>
      </c>
      <c r="AA235" s="39">
        <f t="shared" si="512"/>
        <v>6.246620579682861E-4</v>
      </c>
      <c r="AB235" s="39">
        <f t="shared" si="512"/>
        <v>6.246620579682861E-4</v>
      </c>
      <c r="AC235" s="39">
        <f t="shared" si="512"/>
        <v>6.2466205796828588E-4</v>
      </c>
      <c r="AD235" s="39">
        <f t="shared" si="512"/>
        <v>6.2466205796828588E-4</v>
      </c>
      <c r="AE235" s="39">
        <f t="shared" si="512"/>
        <v>6.2466205796828588E-4</v>
      </c>
      <c r="AF235" s="39">
        <f t="shared" si="512"/>
        <v>6.2466205796828577E-4</v>
      </c>
      <c r="AG235" s="39">
        <f t="shared" si="512"/>
        <v>6.2466205796828556E-4</v>
      </c>
      <c r="AH235" s="39">
        <f t="shared" si="512"/>
        <v>6.2466205796828534E-4</v>
      </c>
      <c r="AI235" s="39">
        <f t="shared" si="512"/>
        <v>6.2466205796828523E-4</v>
      </c>
      <c r="AJ235" s="39">
        <f t="shared" si="512"/>
        <v>6.2466205796828458E-4</v>
      </c>
      <c r="AK235" s="39">
        <f t="shared" si="512"/>
        <v>6.2466205796828382E-4</v>
      </c>
      <c r="AL235" s="39">
        <f t="shared" si="512"/>
        <v>6.2466205796828664E-4</v>
      </c>
      <c r="AM235" s="184">
        <f t="shared" ref="AM235:BF237" si="513">AL235</f>
        <v>6.2466205796828664E-4</v>
      </c>
      <c r="AN235" s="184">
        <f t="shared" si="513"/>
        <v>6.2466205796828664E-4</v>
      </c>
      <c r="AO235" s="184">
        <f t="shared" si="513"/>
        <v>6.2466205796828664E-4</v>
      </c>
      <c r="AP235" s="184">
        <f t="shared" si="513"/>
        <v>6.2466205796828664E-4</v>
      </c>
      <c r="AQ235" s="184">
        <f t="shared" si="513"/>
        <v>6.2466205796828664E-4</v>
      </c>
      <c r="AR235" s="184">
        <f t="shared" si="513"/>
        <v>6.2466205796828664E-4</v>
      </c>
      <c r="AS235" s="184">
        <f t="shared" si="513"/>
        <v>6.2466205796828664E-4</v>
      </c>
      <c r="AT235" s="184">
        <f t="shared" si="513"/>
        <v>6.2466205796828664E-4</v>
      </c>
      <c r="AU235" s="184">
        <f t="shared" si="513"/>
        <v>6.2466205796828664E-4</v>
      </c>
      <c r="AV235" s="184">
        <f t="shared" si="513"/>
        <v>6.2466205796828664E-4</v>
      </c>
      <c r="AW235" s="184">
        <f t="shared" si="513"/>
        <v>6.2466205796828664E-4</v>
      </c>
      <c r="AX235" s="184">
        <f t="shared" si="513"/>
        <v>6.2466205796828664E-4</v>
      </c>
      <c r="AY235" s="184">
        <f t="shared" si="513"/>
        <v>6.2466205796828664E-4</v>
      </c>
      <c r="AZ235" s="184">
        <f t="shared" si="513"/>
        <v>6.2466205796828664E-4</v>
      </c>
      <c r="BA235" s="184">
        <f t="shared" si="513"/>
        <v>6.2466205796828664E-4</v>
      </c>
      <c r="BB235" s="184">
        <f t="shared" si="513"/>
        <v>6.2466205796828664E-4</v>
      </c>
      <c r="BC235" s="184">
        <f t="shared" si="513"/>
        <v>6.2466205796828664E-4</v>
      </c>
      <c r="BD235" s="184">
        <f t="shared" si="513"/>
        <v>6.2466205796828664E-4</v>
      </c>
      <c r="BE235" s="184">
        <f t="shared" si="513"/>
        <v>6.2466205796828664E-4</v>
      </c>
      <c r="BF235" s="184">
        <f t="shared" si="513"/>
        <v>6.2466205796828664E-4</v>
      </c>
    </row>
    <row r="236" spans="2:58">
      <c r="B236" t="s">
        <v>660</v>
      </c>
      <c r="C236" s="109">
        <f>SUM(C208,C209,C210,C214,C215,C216,C222,C223,C225,C226,C231,C233)</f>
        <v>18819.041124269399</v>
      </c>
      <c r="D236" s="182">
        <f t="shared" ref="D236:T236" si="514">SUM(D208,D209,D210,D214,D215,D216,D222,D223,D225,D226,D231,D233)</f>
        <v>17822.7389471022</v>
      </c>
      <c r="E236" s="182">
        <f t="shared" si="514"/>
        <v>16826.436769934997</v>
      </c>
      <c r="F236" s="182">
        <f t="shared" si="514"/>
        <v>15830.134592767792</v>
      </c>
      <c r="G236" s="182">
        <f t="shared" si="514"/>
        <v>14833.832415600587</v>
      </c>
      <c r="H236" s="182">
        <f t="shared" si="514"/>
        <v>13837.530238433386</v>
      </c>
      <c r="I236" s="182">
        <f t="shared" si="514"/>
        <v>12841.228061266185</v>
      </c>
      <c r="J236" s="109">
        <f t="shared" si="514"/>
        <v>11844.925884098979</v>
      </c>
      <c r="K236" s="183">
        <f t="shared" si="514"/>
        <v>10848.623706931776</v>
      </c>
      <c r="L236" s="183">
        <f t="shared" si="514"/>
        <v>9852.3215297645729</v>
      </c>
      <c r="M236" s="183">
        <f t="shared" si="514"/>
        <v>8856.0193525973664</v>
      </c>
      <c r="N236" s="183">
        <f t="shared" si="514"/>
        <v>7859.7171754301635</v>
      </c>
      <c r="O236" s="109">
        <f t="shared" si="514"/>
        <v>6863.4149982629588</v>
      </c>
      <c r="P236" s="183">
        <f t="shared" si="514"/>
        <v>5867.1128210957559</v>
      </c>
      <c r="Q236" s="183">
        <f t="shared" si="514"/>
        <v>4870.810643928553</v>
      </c>
      <c r="R236" s="183">
        <f t="shared" si="514"/>
        <v>3874.5084667613482</v>
      </c>
      <c r="S236" s="183">
        <f t="shared" si="514"/>
        <v>2878.2062895941449</v>
      </c>
      <c r="T236" s="109">
        <f t="shared" si="514"/>
        <v>1881.9041124269402</v>
      </c>
      <c r="U236" s="195"/>
      <c r="V236" t="s">
        <v>660</v>
      </c>
      <c r="W236" s="193">
        <f>E236/SUM(E$203:E$235)</f>
        <v>2.4817162575964617E-2</v>
      </c>
      <c r="X236" s="172">
        <f t="shared" ref="X236:AL237" si="515">F236/SUM(F$203:F$235)</f>
        <v>2.4817162575964617E-2</v>
      </c>
      <c r="Y236" s="172">
        <f t="shared" si="515"/>
        <v>2.4817162575964606E-2</v>
      </c>
      <c r="Z236" s="172">
        <f t="shared" si="515"/>
        <v>2.481716257596462E-2</v>
      </c>
      <c r="AA236" s="172">
        <f t="shared" si="515"/>
        <v>2.481716257596462E-2</v>
      </c>
      <c r="AB236" s="172">
        <f t="shared" si="515"/>
        <v>2.4817162575964617E-2</v>
      </c>
      <c r="AC236" s="172">
        <f t="shared" si="515"/>
        <v>2.4817162575964617E-2</v>
      </c>
      <c r="AD236" s="172">
        <f t="shared" si="515"/>
        <v>2.481716257596462E-2</v>
      </c>
      <c r="AE236" s="172">
        <f t="shared" si="515"/>
        <v>2.481716257596461E-2</v>
      </c>
      <c r="AF236" s="172">
        <f t="shared" si="515"/>
        <v>2.4817162575964617E-2</v>
      </c>
      <c r="AG236" s="172">
        <f t="shared" si="515"/>
        <v>2.4817162575964613E-2</v>
      </c>
      <c r="AH236" s="172">
        <f t="shared" si="515"/>
        <v>2.4817162575964613E-2</v>
      </c>
      <c r="AI236" s="172">
        <f t="shared" si="515"/>
        <v>2.4817162575964617E-2</v>
      </c>
      <c r="AJ236" s="172">
        <f t="shared" si="515"/>
        <v>2.481716257596461E-2</v>
      </c>
      <c r="AK236" s="172">
        <f t="shared" si="515"/>
        <v>2.4817162575964603E-2</v>
      </c>
      <c r="AL236" s="172">
        <f t="shared" si="515"/>
        <v>2.4817162575964617E-2</v>
      </c>
      <c r="AM236" s="184">
        <f>AL236</f>
        <v>2.4817162575964617E-2</v>
      </c>
      <c r="AN236" s="184">
        <f t="shared" si="513"/>
        <v>2.4817162575964617E-2</v>
      </c>
      <c r="AO236" s="184">
        <f t="shared" si="513"/>
        <v>2.4817162575964617E-2</v>
      </c>
      <c r="AP236" s="184">
        <f t="shared" si="513"/>
        <v>2.4817162575964617E-2</v>
      </c>
      <c r="AQ236" s="184">
        <f t="shared" si="513"/>
        <v>2.4817162575964617E-2</v>
      </c>
      <c r="AR236" s="184">
        <f t="shared" si="513"/>
        <v>2.4817162575964617E-2</v>
      </c>
      <c r="AS236" s="184">
        <f t="shared" si="513"/>
        <v>2.4817162575964617E-2</v>
      </c>
      <c r="AT236" s="184">
        <f t="shared" si="513"/>
        <v>2.4817162575964617E-2</v>
      </c>
      <c r="AU236" s="184">
        <f t="shared" si="513"/>
        <v>2.4817162575964617E-2</v>
      </c>
      <c r="AV236" s="184">
        <f t="shared" si="513"/>
        <v>2.4817162575964617E-2</v>
      </c>
      <c r="AW236" s="184">
        <f t="shared" si="513"/>
        <v>2.4817162575964617E-2</v>
      </c>
      <c r="AX236" s="184">
        <f t="shared" si="513"/>
        <v>2.4817162575964617E-2</v>
      </c>
      <c r="AY236" s="184">
        <f t="shared" si="513"/>
        <v>2.4817162575964617E-2</v>
      </c>
      <c r="AZ236" s="184">
        <f t="shared" si="513"/>
        <v>2.4817162575964617E-2</v>
      </c>
      <c r="BA236" s="184">
        <f t="shared" si="513"/>
        <v>2.4817162575964617E-2</v>
      </c>
      <c r="BB236" s="184">
        <f t="shared" si="513"/>
        <v>2.4817162575964617E-2</v>
      </c>
      <c r="BC236" s="184">
        <f t="shared" si="513"/>
        <v>2.4817162575964617E-2</v>
      </c>
      <c r="BD236" s="184">
        <f t="shared" si="513"/>
        <v>2.4817162575964617E-2</v>
      </c>
      <c r="BE236" s="184">
        <f t="shared" si="513"/>
        <v>2.4817162575964617E-2</v>
      </c>
      <c r="BF236" s="184">
        <f t="shared" si="513"/>
        <v>2.4817162575964617E-2</v>
      </c>
    </row>
    <row r="237" spans="2:58">
      <c r="B237" t="s">
        <v>661</v>
      </c>
      <c r="C237" s="109">
        <f>SUM(C203,C204,C205,C206,C211,C212,C213,C217,C218,C219,C220,C221,C224,C227,C228,C229,C230,C232,C234,C235,C207)</f>
        <v>739488.48362457566</v>
      </c>
      <c r="D237" s="182">
        <f t="shared" ref="D237:T237" si="516">SUM(D203,D204,D205,D206,D211,D212,D213,D217,D218,D219,D220,D221,D224,D227,D228,D229,D230,D232,D234,D235,D207)</f>
        <v>700339.0933150393</v>
      </c>
      <c r="E237" s="182">
        <f t="shared" si="516"/>
        <v>661189.70300550305</v>
      </c>
      <c r="F237" s="182">
        <f t="shared" si="516"/>
        <v>622040.31269596668</v>
      </c>
      <c r="G237" s="182">
        <f t="shared" si="516"/>
        <v>582890.92238643055</v>
      </c>
      <c r="H237" s="182">
        <f t="shared" si="516"/>
        <v>543741.53207689384</v>
      </c>
      <c r="I237" s="182">
        <f t="shared" si="516"/>
        <v>504592.14176735777</v>
      </c>
      <c r="J237" s="109">
        <f t="shared" si="516"/>
        <v>465442.75145782123</v>
      </c>
      <c r="K237" s="183">
        <f t="shared" si="516"/>
        <v>426293.36114828504</v>
      </c>
      <c r="L237" s="183">
        <f t="shared" si="516"/>
        <v>387143.97083874856</v>
      </c>
      <c r="M237" s="183">
        <f t="shared" si="516"/>
        <v>347994.58052921214</v>
      </c>
      <c r="N237" s="183">
        <f t="shared" si="516"/>
        <v>308845.19021967583</v>
      </c>
      <c r="O237" s="109">
        <f t="shared" si="516"/>
        <v>269695.79991013947</v>
      </c>
      <c r="P237" s="183">
        <f t="shared" si="516"/>
        <v>230546.40960060313</v>
      </c>
      <c r="Q237" s="183">
        <f t="shared" si="516"/>
        <v>191397.01929106677</v>
      </c>
      <c r="R237" s="183">
        <f t="shared" si="516"/>
        <v>152247.62898153043</v>
      </c>
      <c r="S237" s="183">
        <f t="shared" si="516"/>
        <v>113098.23867199404</v>
      </c>
      <c r="T237" s="109">
        <f t="shared" si="516"/>
        <v>73948.848362457575</v>
      </c>
      <c r="U237" s="195"/>
      <c r="V237" t="s">
        <v>661</v>
      </c>
      <c r="W237" s="193">
        <f>E237/SUM(E$203:E$235)</f>
        <v>0.97518283742403533</v>
      </c>
      <c r="X237" s="172">
        <f t="shared" si="515"/>
        <v>0.97518283742403533</v>
      </c>
      <c r="Y237" s="172">
        <f t="shared" si="515"/>
        <v>0.97518283742403544</v>
      </c>
      <c r="Z237" s="172">
        <f t="shared" si="515"/>
        <v>0.97518283742403511</v>
      </c>
      <c r="AA237" s="172">
        <f t="shared" si="515"/>
        <v>0.97518283742403544</v>
      </c>
      <c r="AB237" s="172">
        <f t="shared" si="515"/>
        <v>0.97518283742403522</v>
      </c>
      <c r="AC237" s="172">
        <f t="shared" si="515"/>
        <v>0.97518283742403555</v>
      </c>
      <c r="AD237" s="172">
        <f t="shared" si="515"/>
        <v>0.97518283742403544</v>
      </c>
      <c r="AE237" s="172">
        <f t="shared" si="515"/>
        <v>0.97518283742403511</v>
      </c>
      <c r="AF237" s="172">
        <f t="shared" si="515"/>
        <v>0.97518283742403544</v>
      </c>
      <c r="AG237" s="172">
        <f t="shared" si="515"/>
        <v>0.97518283742403544</v>
      </c>
      <c r="AH237" s="172">
        <f t="shared" si="515"/>
        <v>0.97518283742403544</v>
      </c>
      <c r="AI237" s="172">
        <f t="shared" si="515"/>
        <v>0.97518283742403544</v>
      </c>
      <c r="AJ237" s="172">
        <f t="shared" si="515"/>
        <v>0.97518283742403566</v>
      </c>
      <c r="AK237" s="172">
        <f t="shared" si="515"/>
        <v>0.97518283742403533</v>
      </c>
      <c r="AL237" s="172">
        <f t="shared" si="515"/>
        <v>0.97518283742403533</v>
      </c>
      <c r="AM237" s="184">
        <f>AL237</f>
        <v>0.97518283742403533</v>
      </c>
      <c r="AN237" s="184">
        <f t="shared" si="513"/>
        <v>0.97518283742403533</v>
      </c>
      <c r="AO237" s="184">
        <f t="shared" si="513"/>
        <v>0.97518283742403533</v>
      </c>
      <c r="AP237" s="184">
        <f t="shared" si="513"/>
        <v>0.97518283742403533</v>
      </c>
      <c r="AQ237" s="184">
        <f t="shared" si="513"/>
        <v>0.97518283742403533</v>
      </c>
      <c r="AR237" s="184">
        <f t="shared" si="513"/>
        <v>0.97518283742403533</v>
      </c>
      <c r="AS237" s="184">
        <f t="shared" si="513"/>
        <v>0.97518283742403533</v>
      </c>
      <c r="AT237" s="184">
        <f t="shared" si="513"/>
        <v>0.97518283742403533</v>
      </c>
      <c r="AU237" s="184">
        <f t="shared" si="513"/>
        <v>0.97518283742403533</v>
      </c>
      <c r="AV237" s="184">
        <f t="shared" si="513"/>
        <v>0.97518283742403533</v>
      </c>
      <c r="AW237" s="184">
        <f t="shared" si="513"/>
        <v>0.97518283742403533</v>
      </c>
      <c r="AX237" s="184">
        <f t="shared" si="513"/>
        <v>0.97518283742403533</v>
      </c>
      <c r="AY237" s="184">
        <f t="shared" si="513"/>
        <v>0.97518283742403533</v>
      </c>
      <c r="AZ237" s="184">
        <f t="shared" si="513"/>
        <v>0.97518283742403533</v>
      </c>
      <c r="BA237" s="184">
        <f t="shared" si="513"/>
        <v>0.97518283742403533</v>
      </c>
      <c r="BB237" s="184">
        <f t="shared" si="513"/>
        <v>0.97518283742403533</v>
      </c>
      <c r="BC237" s="184">
        <f t="shared" si="513"/>
        <v>0.97518283742403533</v>
      </c>
      <c r="BD237" s="184">
        <f t="shared" si="513"/>
        <v>0.97518283742403533</v>
      </c>
      <c r="BE237" s="184">
        <f t="shared" si="513"/>
        <v>0.97518283742403533</v>
      </c>
      <c r="BF237" s="184">
        <f t="shared" si="513"/>
        <v>0.97518283742403533</v>
      </c>
    </row>
    <row r="238" spans="2:58">
      <c r="B238" t="s">
        <v>122</v>
      </c>
      <c r="C238" s="203">
        <f>SUM(C203:C235)</f>
        <v>758307.52474884503</v>
      </c>
      <c r="D238" s="203">
        <f t="shared" ref="D238:T238" si="517">SUM(D203:D235)</f>
        <v>718161.83226214151</v>
      </c>
      <c r="E238" s="203">
        <f t="shared" si="517"/>
        <v>678016.13977543812</v>
      </c>
      <c r="F238" s="203">
        <f t="shared" si="517"/>
        <v>637870.44728873449</v>
      </c>
      <c r="G238" s="203">
        <f t="shared" si="517"/>
        <v>597724.75480203109</v>
      </c>
      <c r="H238" s="203">
        <f t="shared" si="517"/>
        <v>557579.06231532735</v>
      </c>
      <c r="I238" s="203">
        <f t="shared" si="517"/>
        <v>517433.36982862389</v>
      </c>
      <c r="J238" s="203">
        <f t="shared" si="517"/>
        <v>477287.67734192027</v>
      </c>
      <c r="K238" s="203">
        <f t="shared" si="517"/>
        <v>437141.98485521675</v>
      </c>
      <c r="L238" s="203">
        <f t="shared" si="517"/>
        <v>396996.29236851312</v>
      </c>
      <c r="M238" s="203">
        <f t="shared" si="517"/>
        <v>356850.59988180961</v>
      </c>
      <c r="N238" s="203">
        <f t="shared" si="517"/>
        <v>316704.90739510598</v>
      </c>
      <c r="O238" s="203">
        <f t="shared" si="517"/>
        <v>276559.21490840241</v>
      </c>
      <c r="P238" s="203">
        <f t="shared" si="517"/>
        <v>236413.52242169887</v>
      </c>
      <c r="Q238" s="203">
        <f t="shared" si="517"/>
        <v>196267.8299349953</v>
      </c>
      <c r="R238" s="203">
        <f t="shared" si="517"/>
        <v>156122.13744829173</v>
      </c>
      <c r="S238" s="203">
        <f t="shared" si="517"/>
        <v>115976.44496158819</v>
      </c>
      <c r="T238" s="203">
        <f t="shared" si="517"/>
        <v>75830.752474884517</v>
      </c>
      <c r="V238" s="181" t="s">
        <v>122</v>
      </c>
      <c r="W238" s="196">
        <f t="shared" ref="W238:BF238" si="518">SUM(W203:W235)</f>
        <v>0.99876743341254959</v>
      </c>
      <c r="X238" s="196">
        <f t="shared" si="518"/>
        <v>0.9987674334125497</v>
      </c>
      <c r="Y238" s="196">
        <f t="shared" si="518"/>
        <v>0.99876743341254959</v>
      </c>
      <c r="Z238" s="196">
        <f t="shared" si="518"/>
        <v>0.99876743341254981</v>
      </c>
      <c r="AA238" s="196">
        <f t="shared" si="518"/>
        <v>0.9987674334125497</v>
      </c>
      <c r="AB238" s="196">
        <f t="shared" si="518"/>
        <v>0.9987674334125497</v>
      </c>
      <c r="AC238" s="196">
        <f t="shared" si="518"/>
        <v>0.9987674334125497</v>
      </c>
      <c r="AD238" s="196">
        <f t="shared" si="518"/>
        <v>0.99876743341254992</v>
      </c>
      <c r="AE238" s="196">
        <f t="shared" si="518"/>
        <v>0.99876743341254981</v>
      </c>
      <c r="AF238" s="196">
        <f t="shared" si="518"/>
        <v>0.99876743341255003</v>
      </c>
      <c r="AG238" s="196">
        <f t="shared" si="518"/>
        <v>0.99876743341255003</v>
      </c>
      <c r="AH238" s="196">
        <f t="shared" si="518"/>
        <v>0.99876743341254992</v>
      </c>
      <c r="AI238" s="196">
        <f t="shared" si="518"/>
        <v>0.99876743341254992</v>
      </c>
      <c r="AJ238" s="196">
        <f t="shared" si="518"/>
        <v>0.99876743341255003</v>
      </c>
      <c r="AK238" s="196">
        <f t="shared" si="518"/>
        <v>0.99876743341254992</v>
      </c>
      <c r="AL238" s="196">
        <f t="shared" si="518"/>
        <v>0.9987674334125497</v>
      </c>
      <c r="AM238" s="196">
        <f t="shared" si="518"/>
        <v>0.9987674334125497</v>
      </c>
      <c r="AN238" s="196">
        <f t="shared" si="518"/>
        <v>0.9987674334125497</v>
      </c>
      <c r="AO238" s="196">
        <f t="shared" si="518"/>
        <v>0.9987674334125497</v>
      </c>
      <c r="AP238" s="196">
        <f t="shared" si="518"/>
        <v>0.9987674334125497</v>
      </c>
      <c r="AQ238" s="196">
        <f t="shared" si="518"/>
        <v>0.9987674334125497</v>
      </c>
      <c r="AR238" s="196">
        <f t="shared" si="518"/>
        <v>0.9987674334125497</v>
      </c>
      <c r="AS238" s="196">
        <f t="shared" si="518"/>
        <v>0.9987674334125497</v>
      </c>
      <c r="AT238" s="196">
        <f t="shared" si="518"/>
        <v>0.9987674334125497</v>
      </c>
      <c r="AU238" s="196">
        <f t="shared" si="518"/>
        <v>0.9987674334125497</v>
      </c>
      <c r="AV238" s="196">
        <f t="shared" si="518"/>
        <v>0.9987674334125497</v>
      </c>
      <c r="AW238" s="196">
        <f t="shared" si="518"/>
        <v>0.9987674334125497</v>
      </c>
      <c r="AX238" s="196">
        <f t="shared" si="518"/>
        <v>0.9987674334125497</v>
      </c>
      <c r="AY238" s="196">
        <f t="shared" si="518"/>
        <v>0.9987674334125497</v>
      </c>
      <c r="AZ238" s="196">
        <f t="shared" si="518"/>
        <v>0.9987674334125497</v>
      </c>
      <c r="BA238" s="196">
        <f t="shared" si="518"/>
        <v>0.9987674334125497</v>
      </c>
      <c r="BB238" s="196">
        <f t="shared" si="518"/>
        <v>0.9987674334125497</v>
      </c>
      <c r="BC238" s="196">
        <f t="shared" si="518"/>
        <v>0.9987674334125497</v>
      </c>
      <c r="BD238" s="196">
        <f t="shared" si="518"/>
        <v>0.9987674334125497</v>
      </c>
      <c r="BE238" s="196">
        <f t="shared" si="518"/>
        <v>0.9987674334125497</v>
      </c>
      <c r="BF238" s="197">
        <f t="shared" si="518"/>
        <v>0.9987674334125497</v>
      </c>
    </row>
    <row r="239" spans="2:58">
      <c r="V239" s="181" t="s">
        <v>662</v>
      </c>
      <c r="W239" s="196">
        <f t="shared" ref="W239:BF239" si="519">INDEX(W203:W238,MATCH($V$5,$V203:$V238,0))</f>
        <v>2.4817162575964617E-2</v>
      </c>
      <c r="X239" s="196">
        <f t="shared" si="519"/>
        <v>2.4817162575964617E-2</v>
      </c>
      <c r="Y239" s="196">
        <f t="shared" si="519"/>
        <v>2.4817162575964606E-2</v>
      </c>
      <c r="Z239" s="196">
        <f t="shared" si="519"/>
        <v>2.481716257596462E-2</v>
      </c>
      <c r="AA239" s="196">
        <f t="shared" si="519"/>
        <v>2.481716257596462E-2</v>
      </c>
      <c r="AB239" s="196">
        <f t="shared" si="519"/>
        <v>2.4817162575964617E-2</v>
      </c>
      <c r="AC239" s="196">
        <f t="shared" si="519"/>
        <v>2.4817162575964617E-2</v>
      </c>
      <c r="AD239" s="196">
        <f t="shared" si="519"/>
        <v>2.481716257596462E-2</v>
      </c>
      <c r="AE239" s="196">
        <f t="shared" si="519"/>
        <v>2.481716257596461E-2</v>
      </c>
      <c r="AF239" s="196">
        <f t="shared" si="519"/>
        <v>2.4817162575964617E-2</v>
      </c>
      <c r="AG239" s="196">
        <f t="shared" si="519"/>
        <v>2.4817162575964613E-2</v>
      </c>
      <c r="AH239" s="196">
        <f t="shared" si="519"/>
        <v>2.4817162575964613E-2</v>
      </c>
      <c r="AI239" s="196">
        <f t="shared" si="519"/>
        <v>2.4817162575964617E-2</v>
      </c>
      <c r="AJ239" s="196">
        <f t="shared" si="519"/>
        <v>2.481716257596461E-2</v>
      </c>
      <c r="AK239" s="196">
        <f t="shared" si="519"/>
        <v>2.4817162575964603E-2</v>
      </c>
      <c r="AL239" s="196">
        <f t="shared" si="519"/>
        <v>2.4817162575964617E-2</v>
      </c>
      <c r="AM239" s="196">
        <f t="shared" si="519"/>
        <v>2.4817162575964617E-2</v>
      </c>
      <c r="AN239" s="196">
        <f t="shared" si="519"/>
        <v>2.4817162575964617E-2</v>
      </c>
      <c r="AO239" s="196">
        <f t="shared" si="519"/>
        <v>2.4817162575964617E-2</v>
      </c>
      <c r="AP239" s="196">
        <f t="shared" si="519"/>
        <v>2.4817162575964617E-2</v>
      </c>
      <c r="AQ239" s="196">
        <f t="shared" si="519"/>
        <v>2.4817162575964617E-2</v>
      </c>
      <c r="AR239" s="196">
        <f t="shared" si="519"/>
        <v>2.4817162575964617E-2</v>
      </c>
      <c r="AS239" s="196">
        <f t="shared" si="519"/>
        <v>2.4817162575964617E-2</v>
      </c>
      <c r="AT239" s="196">
        <f t="shared" si="519"/>
        <v>2.4817162575964617E-2</v>
      </c>
      <c r="AU239" s="196">
        <f t="shared" si="519"/>
        <v>2.4817162575964617E-2</v>
      </c>
      <c r="AV239" s="196">
        <f t="shared" si="519"/>
        <v>2.4817162575964617E-2</v>
      </c>
      <c r="AW239" s="196">
        <f t="shared" si="519"/>
        <v>2.4817162575964617E-2</v>
      </c>
      <c r="AX239" s="196">
        <f t="shared" si="519"/>
        <v>2.4817162575964617E-2</v>
      </c>
      <c r="AY239" s="196">
        <f t="shared" si="519"/>
        <v>2.4817162575964617E-2</v>
      </c>
      <c r="AZ239" s="196">
        <f t="shared" si="519"/>
        <v>2.4817162575964617E-2</v>
      </c>
      <c r="BA239" s="196">
        <f t="shared" si="519"/>
        <v>2.4817162575964617E-2</v>
      </c>
      <c r="BB239" s="196">
        <f t="shared" si="519"/>
        <v>2.4817162575964617E-2</v>
      </c>
      <c r="BC239" s="196">
        <f t="shared" si="519"/>
        <v>2.4817162575964617E-2</v>
      </c>
      <c r="BD239" s="196">
        <f t="shared" si="519"/>
        <v>2.4817162575964617E-2</v>
      </c>
      <c r="BE239" s="196">
        <f t="shared" si="519"/>
        <v>2.4817162575964617E-2</v>
      </c>
      <c r="BF239" s="197">
        <f t="shared" si="519"/>
        <v>2.4817162575964617E-2</v>
      </c>
    </row>
    <row r="240" spans="2:58">
      <c r="C240" s="35" t="s">
        <v>673</v>
      </c>
    </row>
    <row r="241" spans="2:58">
      <c r="C241" s="591">
        <v>2013</v>
      </c>
      <c r="D241" s="181">
        <v>2014</v>
      </c>
      <c r="E241" s="181">
        <v>2015</v>
      </c>
      <c r="F241" s="591">
        <v>2016</v>
      </c>
      <c r="G241" s="181">
        <v>2017</v>
      </c>
      <c r="H241" s="181">
        <v>2018</v>
      </c>
      <c r="I241" s="181">
        <v>2019</v>
      </c>
      <c r="J241" s="591">
        <v>2020</v>
      </c>
      <c r="K241" s="181">
        <v>2021</v>
      </c>
      <c r="L241" s="181">
        <v>2022</v>
      </c>
      <c r="M241" s="591">
        <v>2023</v>
      </c>
      <c r="N241" s="181">
        <v>2024</v>
      </c>
      <c r="O241" s="591">
        <v>2025</v>
      </c>
      <c r="P241" s="591">
        <v>2026</v>
      </c>
      <c r="Q241" s="181">
        <v>2027</v>
      </c>
      <c r="R241" s="591">
        <v>2028</v>
      </c>
      <c r="S241" s="591">
        <v>2029</v>
      </c>
      <c r="T241" s="591">
        <v>2030</v>
      </c>
      <c r="W241" s="181">
        <v>2015</v>
      </c>
      <c r="X241" s="591">
        <v>2016</v>
      </c>
      <c r="Y241" s="181">
        <v>2017</v>
      </c>
      <c r="Z241" s="181">
        <v>2018</v>
      </c>
      <c r="AA241" s="181">
        <v>2019</v>
      </c>
      <c r="AB241" s="591">
        <v>2020</v>
      </c>
      <c r="AC241" s="181">
        <v>2021</v>
      </c>
      <c r="AD241" s="181">
        <v>2022</v>
      </c>
      <c r="AE241" s="591">
        <v>2023</v>
      </c>
      <c r="AF241" s="181">
        <v>2024</v>
      </c>
      <c r="AG241" s="591">
        <v>2025</v>
      </c>
      <c r="AH241" s="591">
        <v>2026</v>
      </c>
      <c r="AI241" s="181">
        <v>2027</v>
      </c>
      <c r="AJ241" s="591">
        <v>2028</v>
      </c>
      <c r="AK241" s="591">
        <v>2029</v>
      </c>
      <c r="AL241" s="591">
        <v>2030</v>
      </c>
      <c r="AM241" s="181">
        <v>2031</v>
      </c>
      <c r="AN241" s="591">
        <v>2032</v>
      </c>
      <c r="AO241" s="591">
        <v>2033</v>
      </c>
      <c r="AP241" s="591">
        <v>2034</v>
      </c>
      <c r="AQ241" s="181">
        <v>2035</v>
      </c>
      <c r="AR241" s="591">
        <v>2036</v>
      </c>
      <c r="AS241" s="591">
        <v>2037</v>
      </c>
      <c r="AT241" s="591">
        <v>2038</v>
      </c>
      <c r="AU241" s="181">
        <v>2039</v>
      </c>
      <c r="AV241" s="591">
        <v>2040</v>
      </c>
      <c r="AW241" s="591">
        <v>2041</v>
      </c>
      <c r="AX241" s="591">
        <v>2042</v>
      </c>
      <c r="AY241" s="181">
        <v>2043</v>
      </c>
      <c r="AZ241" s="591">
        <v>2044</v>
      </c>
      <c r="BA241" s="591">
        <v>2045</v>
      </c>
      <c r="BB241" s="591">
        <v>2046</v>
      </c>
      <c r="BC241" s="181">
        <v>2047</v>
      </c>
      <c r="BD241" s="591">
        <v>2048</v>
      </c>
      <c r="BE241" s="591">
        <v>2049</v>
      </c>
      <c r="BF241" s="591">
        <v>2050</v>
      </c>
    </row>
    <row r="242" spans="2:58">
      <c r="B242" t="s">
        <v>626</v>
      </c>
      <c r="C242" s="185">
        <v>298056</v>
      </c>
      <c r="D242" s="183">
        <f>C242+($J242-$C242)/(COLUMN($J242)-COLUMN($C242))</f>
        <v>298056</v>
      </c>
      <c r="E242" s="182">
        <f t="shared" ref="E242:E274" si="520">D242+($J242-$C242)/(COLUMN($J242)-COLUMN($C242))</f>
        <v>298056</v>
      </c>
      <c r="F242" s="182">
        <f t="shared" ref="F242:F274" si="521">E242+($J242-$C242)/(COLUMN($J242)-COLUMN($C242))</f>
        <v>298056</v>
      </c>
      <c r="G242" s="182">
        <f t="shared" ref="G242:G274" si="522">F242+($J242-$C242)/(COLUMN($J242)-COLUMN($C242))</f>
        <v>298056</v>
      </c>
      <c r="H242" s="182">
        <f t="shared" ref="H242:H274" si="523">G242+($J242-$C242)/(COLUMN($J242)-COLUMN($C242))</f>
        <v>298056</v>
      </c>
      <c r="I242" s="182">
        <f t="shared" ref="I242:I274" si="524">H242+($J242-$C242)/(COLUMN($J242)-COLUMN($C242))</f>
        <v>298056</v>
      </c>
      <c r="J242" s="185">
        <v>298056</v>
      </c>
      <c r="K242" s="183">
        <f t="shared" ref="K242:K274" si="525">J242+($O242-$J242)/(COLUMN($O242)-COLUMN($J242))</f>
        <v>298056</v>
      </c>
      <c r="L242" s="183">
        <f t="shared" ref="L242:L274" si="526">K242+($O242-$J242)/(COLUMN($O242)-COLUMN($J242))</f>
        <v>298056</v>
      </c>
      <c r="M242" s="183">
        <f t="shared" ref="M242:M274" si="527">L242+($O242-$J242)/(COLUMN($O242)-COLUMN($J242))</f>
        <v>298056</v>
      </c>
      <c r="N242" s="183">
        <f t="shared" ref="N242:N274" si="528">M242+($O242-$J242)/(COLUMN($O242)-COLUMN($J242))</f>
        <v>298056</v>
      </c>
      <c r="O242" s="185">
        <v>298056</v>
      </c>
      <c r="P242" s="183">
        <f t="shared" ref="P242:P274" si="529">O242+($T242-$O242)/(COLUMN($T242)-COLUMN($O242))</f>
        <v>298056</v>
      </c>
      <c r="Q242" s="183">
        <f t="shared" ref="Q242:Q274" si="530">P242+($T242-$O242)/(COLUMN($T242)-COLUMN($O242))</f>
        <v>298056</v>
      </c>
      <c r="R242" s="183">
        <f t="shared" ref="R242:R274" si="531">Q242+($T242-$O242)/(COLUMN($T242)-COLUMN($O242))</f>
        <v>298056</v>
      </c>
      <c r="S242" s="183">
        <f t="shared" ref="S242:S274" si="532">R242+($T242-$O242)/(COLUMN($T242)-COLUMN($O242))</f>
        <v>298056</v>
      </c>
      <c r="T242" s="185">
        <v>298056</v>
      </c>
      <c r="V242" t="s">
        <v>626</v>
      </c>
      <c r="W242" s="39">
        <f t="shared" ref="W242:AL242" si="533">E242/SUM(E242:E274)</f>
        <v>0.15396846005264531</v>
      </c>
      <c r="X242" s="39">
        <f t="shared" si="533"/>
        <v>0.15396846005264531</v>
      </c>
      <c r="Y242" s="39">
        <f t="shared" si="533"/>
        <v>0.15396846005264531</v>
      </c>
      <c r="Z242" s="39">
        <f t="shared" si="533"/>
        <v>0.15396846005264531</v>
      </c>
      <c r="AA242" s="39">
        <f t="shared" si="533"/>
        <v>0.15396846005264531</v>
      </c>
      <c r="AB242" s="39">
        <f t="shared" si="533"/>
        <v>0.15396846005264531</v>
      </c>
      <c r="AC242" s="39">
        <f t="shared" si="533"/>
        <v>0.15396846005264531</v>
      </c>
      <c r="AD242" s="39">
        <f t="shared" si="533"/>
        <v>0.15396846005264531</v>
      </c>
      <c r="AE242" s="39">
        <f t="shared" si="533"/>
        <v>0.15396846005264531</v>
      </c>
      <c r="AF242" s="39">
        <f t="shared" si="533"/>
        <v>0.15396846005264531</v>
      </c>
      <c r="AG242" s="39">
        <f t="shared" si="533"/>
        <v>0.15396846005264531</v>
      </c>
      <c r="AH242" s="39">
        <f t="shared" si="533"/>
        <v>0.15396846005264531</v>
      </c>
      <c r="AI242" s="39">
        <f t="shared" si="533"/>
        <v>0.15396846005264531</v>
      </c>
      <c r="AJ242" s="39">
        <f t="shared" si="533"/>
        <v>0.15396846005264531</v>
      </c>
      <c r="AK242" s="39">
        <f t="shared" si="533"/>
        <v>0.15396846005264531</v>
      </c>
      <c r="AL242" s="39">
        <f t="shared" si="533"/>
        <v>0.15396846005264531</v>
      </c>
      <c r="AM242" s="184">
        <f>AL242</f>
        <v>0.15396846005264531</v>
      </c>
      <c r="AN242" s="184">
        <f t="shared" ref="AN242:BC257" si="534">AM242</f>
        <v>0.15396846005264531</v>
      </c>
      <c r="AO242" s="184">
        <f t="shared" si="534"/>
        <v>0.15396846005264531</v>
      </c>
      <c r="AP242" s="184">
        <f t="shared" si="534"/>
        <v>0.15396846005264531</v>
      </c>
      <c r="AQ242" s="184">
        <f t="shared" si="534"/>
        <v>0.15396846005264531</v>
      </c>
      <c r="AR242" s="184">
        <f t="shared" si="534"/>
        <v>0.15396846005264531</v>
      </c>
      <c r="AS242" s="184">
        <f t="shared" si="534"/>
        <v>0.15396846005264531</v>
      </c>
      <c r="AT242" s="184">
        <f t="shared" si="534"/>
        <v>0.15396846005264531</v>
      </c>
      <c r="AU242" s="184">
        <f t="shared" si="534"/>
        <v>0.15396846005264531</v>
      </c>
      <c r="AV242" s="184">
        <f t="shared" si="534"/>
        <v>0.15396846005264531</v>
      </c>
      <c r="AW242" s="184">
        <f t="shared" si="534"/>
        <v>0.15396846005264531</v>
      </c>
      <c r="AX242" s="184">
        <f t="shared" si="534"/>
        <v>0.15396846005264531</v>
      </c>
      <c r="AY242" s="184">
        <f t="shared" si="534"/>
        <v>0.15396846005264531</v>
      </c>
      <c r="AZ242" s="184">
        <f t="shared" si="534"/>
        <v>0.15396846005264531</v>
      </c>
      <c r="BA242" s="184">
        <f t="shared" si="534"/>
        <v>0.15396846005264531</v>
      </c>
      <c r="BB242" s="184">
        <f t="shared" si="534"/>
        <v>0.15396846005264531</v>
      </c>
      <c r="BC242" s="184">
        <f t="shared" si="534"/>
        <v>0.15396846005264531</v>
      </c>
      <c r="BD242" s="184">
        <f t="shared" ref="BC242:BF257" si="535">BC242</f>
        <v>0.15396846005264531</v>
      </c>
      <c r="BE242" s="184">
        <f t="shared" si="535"/>
        <v>0.15396846005264531</v>
      </c>
      <c r="BF242" s="184">
        <f t="shared" si="535"/>
        <v>0.15396846005264531</v>
      </c>
    </row>
    <row r="243" spans="2:58">
      <c r="B243" t="s">
        <v>627</v>
      </c>
      <c r="C243" s="109">
        <v>171.6</v>
      </c>
      <c r="D243" s="183">
        <f t="shared" ref="D243:D274" si="536">C243+($J243-$C243)/(COLUMN($J243)-COLUMN($C243))</f>
        <v>171.6</v>
      </c>
      <c r="E243" s="182">
        <f t="shared" si="520"/>
        <v>171.6</v>
      </c>
      <c r="F243" s="182">
        <f t="shared" si="521"/>
        <v>171.6</v>
      </c>
      <c r="G243" s="182">
        <f t="shared" si="522"/>
        <v>171.6</v>
      </c>
      <c r="H243" s="182">
        <f t="shared" si="523"/>
        <v>171.6</v>
      </c>
      <c r="I243" s="182">
        <f t="shared" si="524"/>
        <v>171.6</v>
      </c>
      <c r="J243" s="109">
        <v>171.6</v>
      </c>
      <c r="K243" s="183">
        <f t="shared" si="525"/>
        <v>171.6</v>
      </c>
      <c r="L243" s="183">
        <f t="shared" si="526"/>
        <v>171.6</v>
      </c>
      <c r="M243" s="183">
        <f t="shared" si="527"/>
        <v>171.6</v>
      </c>
      <c r="N243" s="183">
        <f t="shared" si="528"/>
        <v>171.6</v>
      </c>
      <c r="O243" s="109">
        <v>171.6</v>
      </c>
      <c r="P243" s="183">
        <f t="shared" si="529"/>
        <v>171.6</v>
      </c>
      <c r="Q243" s="183">
        <f t="shared" si="530"/>
        <v>171.6</v>
      </c>
      <c r="R243" s="183">
        <f t="shared" si="531"/>
        <v>171.6</v>
      </c>
      <c r="S243" s="183">
        <f t="shared" si="532"/>
        <v>171.6</v>
      </c>
      <c r="T243" s="109">
        <v>171.6</v>
      </c>
      <c r="V243" t="s">
        <v>627</v>
      </c>
      <c r="W243" s="39">
        <f t="shared" ref="W243:AL243" si="537">E243/SUM(E242:E274)</f>
        <v>8.8644374698157173E-5</v>
      </c>
      <c r="X243" s="39">
        <f t="shared" si="537"/>
        <v>8.8644374698157173E-5</v>
      </c>
      <c r="Y243" s="39">
        <f t="shared" si="537"/>
        <v>8.8644374698157173E-5</v>
      </c>
      <c r="Z243" s="39">
        <f t="shared" si="537"/>
        <v>8.8644374698157173E-5</v>
      </c>
      <c r="AA243" s="39">
        <f t="shared" si="537"/>
        <v>8.8644374698157173E-5</v>
      </c>
      <c r="AB243" s="39">
        <f t="shared" si="537"/>
        <v>8.8644374698157173E-5</v>
      </c>
      <c r="AC243" s="39">
        <f t="shared" si="537"/>
        <v>8.8644374698157173E-5</v>
      </c>
      <c r="AD243" s="39">
        <f t="shared" si="537"/>
        <v>8.8644374698157173E-5</v>
      </c>
      <c r="AE243" s="39">
        <f t="shared" si="537"/>
        <v>8.8644374698157173E-5</v>
      </c>
      <c r="AF243" s="39">
        <f t="shared" si="537"/>
        <v>8.8644374698157173E-5</v>
      </c>
      <c r="AG243" s="39">
        <f t="shared" si="537"/>
        <v>8.8644374698157173E-5</v>
      </c>
      <c r="AH243" s="39">
        <f t="shared" si="537"/>
        <v>8.8644374698157173E-5</v>
      </c>
      <c r="AI243" s="39">
        <f t="shared" si="537"/>
        <v>8.8644374698157173E-5</v>
      </c>
      <c r="AJ243" s="39">
        <f t="shared" si="537"/>
        <v>8.8644374698157173E-5</v>
      </c>
      <c r="AK243" s="39">
        <f t="shared" si="537"/>
        <v>8.8644374698157173E-5</v>
      </c>
      <c r="AL243" s="39">
        <f t="shared" si="537"/>
        <v>8.8644374698157173E-5</v>
      </c>
      <c r="AM243" s="184">
        <f t="shared" ref="AM243:AM274" si="538">AL243</f>
        <v>8.8644374698157173E-5</v>
      </c>
      <c r="AN243" s="184">
        <f t="shared" si="534"/>
        <v>8.8644374698157173E-5</v>
      </c>
      <c r="AO243" s="184">
        <f t="shared" si="534"/>
        <v>8.8644374698157173E-5</v>
      </c>
      <c r="AP243" s="184">
        <f t="shared" si="534"/>
        <v>8.8644374698157173E-5</v>
      </c>
      <c r="AQ243" s="184">
        <f t="shared" si="534"/>
        <v>8.8644374698157173E-5</v>
      </c>
      <c r="AR243" s="184">
        <f t="shared" si="534"/>
        <v>8.8644374698157173E-5</v>
      </c>
      <c r="AS243" s="184">
        <f t="shared" si="534"/>
        <v>8.8644374698157173E-5</v>
      </c>
      <c r="AT243" s="184">
        <f t="shared" si="534"/>
        <v>8.8644374698157173E-5</v>
      </c>
      <c r="AU243" s="184">
        <f t="shared" si="534"/>
        <v>8.8644374698157173E-5</v>
      </c>
      <c r="AV243" s="184">
        <f t="shared" si="534"/>
        <v>8.8644374698157173E-5</v>
      </c>
      <c r="AW243" s="184">
        <f t="shared" si="534"/>
        <v>8.8644374698157173E-5</v>
      </c>
      <c r="AX243" s="184">
        <f t="shared" si="534"/>
        <v>8.8644374698157173E-5</v>
      </c>
      <c r="AY243" s="184">
        <f t="shared" si="534"/>
        <v>8.8644374698157173E-5</v>
      </c>
      <c r="AZ243" s="184">
        <f t="shared" si="534"/>
        <v>8.8644374698157173E-5</v>
      </c>
      <c r="BA243" s="184">
        <f t="shared" si="534"/>
        <v>8.8644374698157173E-5</v>
      </c>
      <c r="BB243" s="184">
        <f t="shared" si="534"/>
        <v>8.8644374698157173E-5</v>
      </c>
      <c r="BC243" s="184">
        <f t="shared" si="535"/>
        <v>8.8644374698157173E-5</v>
      </c>
      <c r="BD243" s="184">
        <f t="shared" si="535"/>
        <v>8.8644374698157173E-5</v>
      </c>
      <c r="BE243" s="184">
        <f t="shared" si="535"/>
        <v>8.8644374698157173E-5</v>
      </c>
      <c r="BF243" s="184">
        <f t="shared" si="535"/>
        <v>8.8644374698157173E-5</v>
      </c>
    </row>
    <row r="244" spans="2:58">
      <c r="B244" t="s">
        <v>628</v>
      </c>
      <c r="C244" s="109">
        <v>17717.990234375</v>
      </c>
      <c r="D244" s="183">
        <f t="shared" si="536"/>
        <v>17717.990234375</v>
      </c>
      <c r="E244" s="182">
        <f t="shared" si="520"/>
        <v>17717.990234375</v>
      </c>
      <c r="F244" s="182">
        <f t="shared" si="521"/>
        <v>17717.990234375</v>
      </c>
      <c r="G244" s="182">
        <f t="shared" si="522"/>
        <v>17717.990234375</v>
      </c>
      <c r="H244" s="182">
        <f t="shared" si="523"/>
        <v>17717.990234375</v>
      </c>
      <c r="I244" s="182">
        <f t="shared" si="524"/>
        <v>17717.990234375</v>
      </c>
      <c r="J244" s="109">
        <v>17717.990234375</v>
      </c>
      <c r="K244" s="183">
        <f t="shared" si="525"/>
        <v>17717.990234375</v>
      </c>
      <c r="L244" s="183">
        <f t="shared" si="526"/>
        <v>17717.990234375</v>
      </c>
      <c r="M244" s="183">
        <f t="shared" si="527"/>
        <v>17717.990234375</v>
      </c>
      <c r="N244" s="183">
        <f t="shared" si="528"/>
        <v>17717.990234375</v>
      </c>
      <c r="O244" s="109">
        <v>17717.990234375</v>
      </c>
      <c r="P244" s="183">
        <f t="shared" si="529"/>
        <v>17717.990234375</v>
      </c>
      <c r="Q244" s="183">
        <f t="shared" si="530"/>
        <v>17717.990234375</v>
      </c>
      <c r="R244" s="183">
        <f t="shared" si="531"/>
        <v>17717.990234375</v>
      </c>
      <c r="S244" s="183">
        <f t="shared" si="532"/>
        <v>17717.990234375</v>
      </c>
      <c r="T244" s="109">
        <v>17717.990234375</v>
      </c>
      <c r="V244" t="s">
        <v>628</v>
      </c>
      <c r="W244" s="39">
        <f t="shared" ref="W244:AL244" si="539">E244/SUM(E242:E274)</f>
        <v>9.1526816155840744E-3</v>
      </c>
      <c r="X244" s="39">
        <f t="shared" si="539"/>
        <v>9.1526816155840744E-3</v>
      </c>
      <c r="Y244" s="39">
        <f t="shared" si="539"/>
        <v>9.1526816155840744E-3</v>
      </c>
      <c r="Z244" s="39">
        <f t="shared" si="539"/>
        <v>9.1526816155840744E-3</v>
      </c>
      <c r="AA244" s="39">
        <f t="shared" si="539"/>
        <v>9.1526816155840744E-3</v>
      </c>
      <c r="AB244" s="39">
        <f t="shared" si="539"/>
        <v>9.1526816155840744E-3</v>
      </c>
      <c r="AC244" s="39">
        <f t="shared" si="539"/>
        <v>9.1526816155840744E-3</v>
      </c>
      <c r="AD244" s="39">
        <f t="shared" si="539"/>
        <v>9.1526816155840744E-3</v>
      </c>
      <c r="AE244" s="39">
        <f t="shared" si="539"/>
        <v>9.1526816155840744E-3</v>
      </c>
      <c r="AF244" s="39">
        <f t="shared" si="539"/>
        <v>9.1526816155840744E-3</v>
      </c>
      <c r="AG244" s="39">
        <f t="shared" si="539"/>
        <v>9.1526816155840744E-3</v>
      </c>
      <c r="AH244" s="39">
        <f t="shared" si="539"/>
        <v>9.1526816155840744E-3</v>
      </c>
      <c r="AI244" s="39">
        <f t="shared" si="539"/>
        <v>9.1526816155840744E-3</v>
      </c>
      <c r="AJ244" s="39">
        <f t="shared" si="539"/>
        <v>9.1526816155840744E-3</v>
      </c>
      <c r="AK244" s="39">
        <f t="shared" si="539"/>
        <v>9.1526816155840744E-3</v>
      </c>
      <c r="AL244" s="39">
        <f t="shared" si="539"/>
        <v>9.1526816155840744E-3</v>
      </c>
      <c r="AM244" s="184">
        <f t="shared" si="538"/>
        <v>9.1526816155840744E-3</v>
      </c>
      <c r="AN244" s="184">
        <f t="shared" si="534"/>
        <v>9.1526816155840744E-3</v>
      </c>
      <c r="AO244" s="184">
        <f t="shared" si="534"/>
        <v>9.1526816155840744E-3</v>
      </c>
      <c r="AP244" s="184">
        <f t="shared" si="534"/>
        <v>9.1526816155840744E-3</v>
      </c>
      <c r="AQ244" s="184">
        <f t="shared" si="534"/>
        <v>9.1526816155840744E-3</v>
      </c>
      <c r="AR244" s="184">
        <f t="shared" si="534"/>
        <v>9.1526816155840744E-3</v>
      </c>
      <c r="AS244" s="184">
        <f t="shared" si="534"/>
        <v>9.1526816155840744E-3</v>
      </c>
      <c r="AT244" s="184">
        <f t="shared" si="534"/>
        <v>9.1526816155840744E-3</v>
      </c>
      <c r="AU244" s="184">
        <f t="shared" si="534"/>
        <v>9.1526816155840744E-3</v>
      </c>
      <c r="AV244" s="184">
        <f t="shared" si="534"/>
        <v>9.1526816155840744E-3</v>
      </c>
      <c r="AW244" s="184">
        <f t="shared" si="534"/>
        <v>9.1526816155840744E-3</v>
      </c>
      <c r="AX244" s="184">
        <f t="shared" si="534"/>
        <v>9.1526816155840744E-3</v>
      </c>
      <c r="AY244" s="184">
        <f t="shared" si="534"/>
        <v>9.1526816155840744E-3</v>
      </c>
      <c r="AZ244" s="184">
        <f t="shared" si="534"/>
        <v>9.1526816155840744E-3</v>
      </c>
      <c r="BA244" s="184">
        <f t="shared" si="534"/>
        <v>9.1526816155840744E-3</v>
      </c>
      <c r="BB244" s="184">
        <f t="shared" si="534"/>
        <v>9.1526816155840744E-3</v>
      </c>
      <c r="BC244" s="184">
        <f t="shared" si="534"/>
        <v>9.1526816155840744E-3</v>
      </c>
      <c r="BD244" s="184">
        <f t="shared" si="535"/>
        <v>9.1526816155840744E-3</v>
      </c>
      <c r="BE244" s="184">
        <f t="shared" si="535"/>
        <v>9.1526816155840744E-3</v>
      </c>
      <c r="BF244" s="184">
        <f t="shared" si="535"/>
        <v>9.1526816155840744E-3</v>
      </c>
    </row>
    <row r="245" spans="2:58">
      <c r="B245" t="s">
        <v>629</v>
      </c>
      <c r="C245" s="109">
        <v>10026.4</v>
      </c>
      <c r="D245" s="183">
        <f t="shared" si="536"/>
        <v>10026.4</v>
      </c>
      <c r="E245" s="182">
        <f t="shared" si="520"/>
        <v>10026.4</v>
      </c>
      <c r="F245" s="182">
        <f t="shared" si="521"/>
        <v>10026.4</v>
      </c>
      <c r="G245" s="182">
        <f t="shared" si="522"/>
        <v>10026.4</v>
      </c>
      <c r="H245" s="182">
        <f t="shared" si="523"/>
        <v>10026.4</v>
      </c>
      <c r="I245" s="182">
        <f t="shared" si="524"/>
        <v>10026.4</v>
      </c>
      <c r="J245" s="109">
        <v>10026.4</v>
      </c>
      <c r="K245" s="183">
        <f t="shared" si="525"/>
        <v>10026.4</v>
      </c>
      <c r="L245" s="183">
        <f t="shared" si="526"/>
        <v>10026.4</v>
      </c>
      <c r="M245" s="183">
        <f t="shared" si="527"/>
        <v>10026.4</v>
      </c>
      <c r="N245" s="183">
        <f t="shared" si="528"/>
        <v>10026.4</v>
      </c>
      <c r="O245" s="109">
        <v>10026.4</v>
      </c>
      <c r="P245" s="183">
        <f t="shared" si="529"/>
        <v>10026.4</v>
      </c>
      <c r="Q245" s="183">
        <f t="shared" si="530"/>
        <v>10026.4</v>
      </c>
      <c r="R245" s="183">
        <f t="shared" si="531"/>
        <v>10026.4</v>
      </c>
      <c r="S245" s="183">
        <f t="shared" si="532"/>
        <v>10026.4</v>
      </c>
      <c r="T245" s="109">
        <v>10026.4</v>
      </c>
      <c r="V245" t="s">
        <v>629</v>
      </c>
      <c r="W245" s="39">
        <f t="shared" ref="W245:AL245" si="540">E245/SUM(E242:E274)</f>
        <v>5.1793936973986189E-3</v>
      </c>
      <c r="X245" s="39">
        <f t="shared" si="540"/>
        <v>5.1793936973986189E-3</v>
      </c>
      <c r="Y245" s="39">
        <f t="shared" si="540"/>
        <v>5.1793936973986189E-3</v>
      </c>
      <c r="Z245" s="39">
        <f t="shared" si="540"/>
        <v>5.1793936973986189E-3</v>
      </c>
      <c r="AA245" s="39">
        <f t="shared" si="540"/>
        <v>5.1793936973986189E-3</v>
      </c>
      <c r="AB245" s="39">
        <f t="shared" si="540"/>
        <v>5.1793936973986189E-3</v>
      </c>
      <c r="AC245" s="39">
        <f t="shared" si="540"/>
        <v>5.1793936973986189E-3</v>
      </c>
      <c r="AD245" s="39">
        <f t="shared" si="540"/>
        <v>5.1793936973986189E-3</v>
      </c>
      <c r="AE245" s="39">
        <f t="shared" si="540"/>
        <v>5.1793936973986189E-3</v>
      </c>
      <c r="AF245" s="39">
        <f t="shared" si="540"/>
        <v>5.1793936973986189E-3</v>
      </c>
      <c r="AG245" s="39">
        <f t="shared" si="540"/>
        <v>5.1793936973986189E-3</v>
      </c>
      <c r="AH245" s="39">
        <f t="shared" si="540"/>
        <v>5.1793936973986189E-3</v>
      </c>
      <c r="AI245" s="39">
        <f t="shared" si="540"/>
        <v>5.1793936973986189E-3</v>
      </c>
      <c r="AJ245" s="39">
        <f t="shared" si="540"/>
        <v>5.1793936973986189E-3</v>
      </c>
      <c r="AK245" s="39">
        <f t="shared" si="540"/>
        <v>5.1793936973986189E-3</v>
      </c>
      <c r="AL245" s="39">
        <f t="shared" si="540"/>
        <v>5.1793936973986189E-3</v>
      </c>
      <c r="AM245" s="184">
        <f t="shared" si="538"/>
        <v>5.1793936973986189E-3</v>
      </c>
      <c r="AN245" s="184">
        <f t="shared" si="534"/>
        <v>5.1793936973986189E-3</v>
      </c>
      <c r="AO245" s="184">
        <f t="shared" si="534"/>
        <v>5.1793936973986189E-3</v>
      </c>
      <c r="AP245" s="184">
        <f t="shared" si="534"/>
        <v>5.1793936973986189E-3</v>
      </c>
      <c r="AQ245" s="184">
        <f t="shared" si="534"/>
        <v>5.1793936973986189E-3</v>
      </c>
      <c r="AR245" s="184">
        <f t="shared" si="534"/>
        <v>5.1793936973986189E-3</v>
      </c>
      <c r="AS245" s="184">
        <f t="shared" si="534"/>
        <v>5.1793936973986189E-3</v>
      </c>
      <c r="AT245" s="184">
        <f t="shared" si="534"/>
        <v>5.1793936973986189E-3</v>
      </c>
      <c r="AU245" s="184">
        <f t="shared" si="534"/>
        <v>5.1793936973986189E-3</v>
      </c>
      <c r="AV245" s="184">
        <f t="shared" si="534"/>
        <v>5.1793936973986189E-3</v>
      </c>
      <c r="AW245" s="184">
        <f t="shared" si="534"/>
        <v>5.1793936973986189E-3</v>
      </c>
      <c r="AX245" s="184">
        <f t="shared" si="534"/>
        <v>5.1793936973986189E-3</v>
      </c>
      <c r="AY245" s="184">
        <f t="shared" si="534"/>
        <v>5.1793936973986189E-3</v>
      </c>
      <c r="AZ245" s="184">
        <f t="shared" si="534"/>
        <v>5.1793936973986189E-3</v>
      </c>
      <c r="BA245" s="184">
        <f t="shared" si="534"/>
        <v>5.1793936973986189E-3</v>
      </c>
      <c r="BB245" s="184">
        <f t="shared" si="534"/>
        <v>5.1793936973986189E-3</v>
      </c>
      <c r="BC245" s="184">
        <f t="shared" si="534"/>
        <v>5.1793936973986189E-3</v>
      </c>
      <c r="BD245" s="184">
        <f t="shared" si="535"/>
        <v>5.1793936973986189E-3</v>
      </c>
      <c r="BE245" s="184">
        <f t="shared" si="535"/>
        <v>5.1793936973986189E-3</v>
      </c>
      <c r="BF245" s="184">
        <f t="shared" si="535"/>
        <v>5.1793936973986189E-3</v>
      </c>
    </row>
    <row r="246" spans="2:58">
      <c r="B246" t="s">
        <v>630</v>
      </c>
      <c r="C246" s="109">
        <v>0</v>
      </c>
      <c r="D246" s="183">
        <f t="shared" si="536"/>
        <v>0</v>
      </c>
      <c r="E246" s="182">
        <f t="shared" si="520"/>
        <v>0</v>
      </c>
      <c r="F246" s="182">
        <f t="shared" si="521"/>
        <v>0</v>
      </c>
      <c r="G246" s="182">
        <f t="shared" si="522"/>
        <v>0</v>
      </c>
      <c r="H246" s="182">
        <f t="shared" si="523"/>
        <v>0</v>
      </c>
      <c r="I246" s="182">
        <f t="shared" si="524"/>
        <v>0</v>
      </c>
      <c r="J246" s="109">
        <v>0</v>
      </c>
      <c r="K246" s="183">
        <f t="shared" si="525"/>
        <v>0</v>
      </c>
      <c r="L246" s="183">
        <f t="shared" si="526"/>
        <v>0</v>
      </c>
      <c r="M246" s="183">
        <f t="shared" si="527"/>
        <v>0</v>
      </c>
      <c r="N246" s="183">
        <f t="shared" si="528"/>
        <v>0</v>
      </c>
      <c r="O246" s="109">
        <v>0</v>
      </c>
      <c r="P246" s="183">
        <f t="shared" si="529"/>
        <v>0</v>
      </c>
      <c r="Q246" s="183">
        <f t="shared" si="530"/>
        <v>0</v>
      </c>
      <c r="R246" s="183">
        <f t="shared" si="531"/>
        <v>0</v>
      </c>
      <c r="S246" s="183">
        <f t="shared" si="532"/>
        <v>0</v>
      </c>
      <c r="T246" s="109">
        <v>0</v>
      </c>
      <c r="V246" t="s">
        <v>630</v>
      </c>
      <c r="W246" s="39">
        <f t="shared" ref="W246:AL246" si="541">E246/SUM(E242:E274)</f>
        <v>0</v>
      </c>
      <c r="X246" s="39">
        <f t="shared" si="541"/>
        <v>0</v>
      </c>
      <c r="Y246" s="39">
        <f t="shared" si="541"/>
        <v>0</v>
      </c>
      <c r="Z246" s="39">
        <f t="shared" si="541"/>
        <v>0</v>
      </c>
      <c r="AA246" s="39">
        <f t="shared" si="541"/>
        <v>0</v>
      </c>
      <c r="AB246" s="39">
        <f t="shared" si="541"/>
        <v>0</v>
      </c>
      <c r="AC246" s="39">
        <f t="shared" si="541"/>
        <v>0</v>
      </c>
      <c r="AD246" s="39">
        <f t="shared" si="541"/>
        <v>0</v>
      </c>
      <c r="AE246" s="39">
        <f t="shared" si="541"/>
        <v>0</v>
      </c>
      <c r="AF246" s="39">
        <f t="shared" si="541"/>
        <v>0</v>
      </c>
      <c r="AG246" s="39">
        <f t="shared" si="541"/>
        <v>0</v>
      </c>
      <c r="AH246" s="39">
        <f t="shared" si="541"/>
        <v>0</v>
      </c>
      <c r="AI246" s="39">
        <f t="shared" si="541"/>
        <v>0</v>
      </c>
      <c r="AJ246" s="39">
        <f t="shared" si="541"/>
        <v>0</v>
      </c>
      <c r="AK246" s="39">
        <f t="shared" si="541"/>
        <v>0</v>
      </c>
      <c r="AL246" s="39">
        <f t="shared" si="541"/>
        <v>0</v>
      </c>
      <c r="AM246" s="184">
        <f t="shared" si="538"/>
        <v>0</v>
      </c>
      <c r="AN246" s="184">
        <f t="shared" si="534"/>
        <v>0</v>
      </c>
      <c r="AO246" s="184">
        <f t="shared" si="534"/>
        <v>0</v>
      </c>
      <c r="AP246" s="184">
        <f t="shared" si="534"/>
        <v>0</v>
      </c>
      <c r="AQ246" s="184">
        <f t="shared" si="534"/>
        <v>0</v>
      </c>
      <c r="AR246" s="184">
        <f t="shared" si="534"/>
        <v>0</v>
      </c>
      <c r="AS246" s="184">
        <f t="shared" si="534"/>
        <v>0</v>
      </c>
      <c r="AT246" s="184">
        <f t="shared" si="534"/>
        <v>0</v>
      </c>
      <c r="AU246" s="184">
        <f t="shared" si="534"/>
        <v>0</v>
      </c>
      <c r="AV246" s="184">
        <f t="shared" si="534"/>
        <v>0</v>
      </c>
      <c r="AW246" s="184">
        <f t="shared" si="534"/>
        <v>0</v>
      </c>
      <c r="AX246" s="184">
        <f t="shared" si="534"/>
        <v>0</v>
      </c>
      <c r="AY246" s="184">
        <f t="shared" si="534"/>
        <v>0</v>
      </c>
      <c r="AZ246" s="184">
        <f t="shared" si="534"/>
        <v>0</v>
      </c>
      <c r="BA246" s="184">
        <f t="shared" si="534"/>
        <v>0</v>
      </c>
      <c r="BB246" s="184">
        <f t="shared" si="534"/>
        <v>0</v>
      </c>
      <c r="BC246" s="184">
        <f t="shared" si="534"/>
        <v>0</v>
      </c>
      <c r="BD246" s="184">
        <f t="shared" si="535"/>
        <v>0</v>
      </c>
      <c r="BE246" s="184">
        <f t="shared" si="535"/>
        <v>0</v>
      </c>
      <c r="BF246" s="184">
        <f t="shared" si="535"/>
        <v>0</v>
      </c>
    </row>
    <row r="247" spans="2:58">
      <c r="B247" t="s">
        <v>631</v>
      </c>
      <c r="C247" s="109">
        <v>0</v>
      </c>
      <c r="D247" s="183">
        <f t="shared" si="536"/>
        <v>0</v>
      </c>
      <c r="E247" s="182">
        <f t="shared" si="520"/>
        <v>0</v>
      </c>
      <c r="F247" s="182">
        <f t="shared" si="521"/>
        <v>0</v>
      </c>
      <c r="G247" s="182">
        <f t="shared" si="522"/>
        <v>0</v>
      </c>
      <c r="H247" s="182">
        <f t="shared" si="523"/>
        <v>0</v>
      </c>
      <c r="I247" s="182">
        <f t="shared" si="524"/>
        <v>0</v>
      </c>
      <c r="J247" s="109">
        <v>0</v>
      </c>
      <c r="K247" s="183">
        <f t="shared" si="525"/>
        <v>0</v>
      </c>
      <c r="L247" s="183">
        <f t="shared" si="526"/>
        <v>0</v>
      </c>
      <c r="M247" s="183">
        <f t="shared" si="527"/>
        <v>0</v>
      </c>
      <c r="N247" s="183">
        <f t="shared" si="528"/>
        <v>0</v>
      </c>
      <c r="O247" s="109">
        <v>0</v>
      </c>
      <c r="P247" s="183">
        <f t="shared" si="529"/>
        <v>0</v>
      </c>
      <c r="Q247" s="183">
        <f t="shared" si="530"/>
        <v>0</v>
      </c>
      <c r="R247" s="183">
        <f t="shared" si="531"/>
        <v>0</v>
      </c>
      <c r="S247" s="183">
        <f t="shared" si="532"/>
        <v>0</v>
      </c>
      <c r="T247" s="109">
        <v>0</v>
      </c>
      <c r="V247" t="s">
        <v>631</v>
      </c>
      <c r="W247" s="39">
        <f t="shared" ref="W247:AL247" si="542">E247/SUM(E242:E274)</f>
        <v>0</v>
      </c>
      <c r="X247" s="39">
        <f t="shared" si="542"/>
        <v>0</v>
      </c>
      <c r="Y247" s="39">
        <f t="shared" si="542"/>
        <v>0</v>
      </c>
      <c r="Z247" s="39">
        <f t="shared" si="542"/>
        <v>0</v>
      </c>
      <c r="AA247" s="39">
        <f t="shared" si="542"/>
        <v>0</v>
      </c>
      <c r="AB247" s="39">
        <f t="shared" si="542"/>
        <v>0</v>
      </c>
      <c r="AC247" s="39">
        <f t="shared" si="542"/>
        <v>0</v>
      </c>
      <c r="AD247" s="39">
        <f t="shared" si="542"/>
        <v>0</v>
      </c>
      <c r="AE247" s="39">
        <f t="shared" si="542"/>
        <v>0</v>
      </c>
      <c r="AF247" s="39">
        <f t="shared" si="542"/>
        <v>0</v>
      </c>
      <c r="AG247" s="39">
        <f t="shared" si="542"/>
        <v>0</v>
      </c>
      <c r="AH247" s="39">
        <f t="shared" si="542"/>
        <v>0</v>
      </c>
      <c r="AI247" s="39">
        <f t="shared" si="542"/>
        <v>0</v>
      </c>
      <c r="AJ247" s="39">
        <f t="shared" si="542"/>
        <v>0</v>
      </c>
      <c r="AK247" s="39">
        <f t="shared" si="542"/>
        <v>0</v>
      </c>
      <c r="AL247" s="39">
        <f t="shared" si="542"/>
        <v>0</v>
      </c>
      <c r="AM247" s="184">
        <f t="shared" si="538"/>
        <v>0</v>
      </c>
      <c r="AN247" s="184">
        <f t="shared" si="534"/>
        <v>0</v>
      </c>
      <c r="AO247" s="184">
        <f t="shared" si="534"/>
        <v>0</v>
      </c>
      <c r="AP247" s="184">
        <f t="shared" si="534"/>
        <v>0</v>
      </c>
      <c r="AQ247" s="184">
        <f t="shared" si="534"/>
        <v>0</v>
      </c>
      <c r="AR247" s="184">
        <f t="shared" si="534"/>
        <v>0</v>
      </c>
      <c r="AS247" s="184">
        <f t="shared" si="534"/>
        <v>0</v>
      </c>
      <c r="AT247" s="184">
        <f t="shared" si="534"/>
        <v>0</v>
      </c>
      <c r="AU247" s="184">
        <f t="shared" si="534"/>
        <v>0</v>
      </c>
      <c r="AV247" s="184">
        <f t="shared" si="534"/>
        <v>0</v>
      </c>
      <c r="AW247" s="184">
        <f t="shared" si="534"/>
        <v>0</v>
      </c>
      <c r="AX247" s="184">
        <f t="shared" si="534"/>
        <v>0</v>
      </c>
      <c r="AY247" s="184">
        <f t="shared" si="534"/>
        <v>0</v>
      </c>
      <c r="AZ247" s="184">
        <f t="shared" si="534"/>
        <v>0</v>
      </c>
      <c r="BA247" s="184">
        <f t="shared" si="534"/>
        <v>0</v>
      </c>
      <c r="BB247" s="184">
        <f t="shared" si="534"/>
        <v>0</v>
      </c>
      <c r="BC247" s="184">
        <f t="shared" si="534"/>
        <v>0</v>
      </c>
      <c r="BD247" s="184">
        <f t="shared" si="535"/>
        <v>0</v>
      </c>
      <c r="BE247" s="184">
        <f t="shared" si="535"/>
        <v>0</v>
      </c>
      <c r="BF247" s="184">
        <f t="shared" si="535"/>
        <v>0</v>
      </c>
    </row>
    <row r="248" spans="2:58">
      <c r="B248" t="s">
        <v>632</v>
      </c>
      <c r="C248" s="109">
        <v>0</v>
      </c>
      <c r="D248" s="183">
        <f t="shared" si="536"/>
        <v>0</v>
      </c>
      <c r="E248" s="182">
        <f t="shared" si="520"/>
        <v>0</v>
      </c>
      <c r="F248" s="182">
        <f t="shared" si="521"/>
        <v>0</v>
      </c>
      <c r="G248" s="182">
        <f t="shared" si="522"/>
        <v>0</v>
      </c>
      <c r="H248" s="182">
        <f t="shared" si="523"/>
        <v>0</v>
      </c>
      <c r="I248" s="182">
        <f t="shared" si="524"/>
        <v>0</v>
      </c>
      <c r="J248" s="109">
        <v>0</v>
      </c>
      <c r="K248" s="183">
        <f t="shared" si="525"/>
        <v>0</v>
      </c>
      <c r="L248" s="183">
        <f t="shared" si="526"/>
        <v>0</v>
      </c>
      <c r="M248" s="183">
        <f t="shared" si="527"/>
        <v>0</v>
      </c>
      <c r="N248" s="183">
        <f t="shared" si="528"/>
        <v>0</v>
      </c>
      <c r="O248" s="109">
        <v>0</v>
      </c>
      <c r="P248" s="183">
        <f t="shared" si="529"/>
        <v>0</v>
      </c>
      <c r="Q248" s="183">
        <f t="shared" si="530"/>
        <v>0</v>
      </c>
      <c r="R248" s="183">
        <f t="shared" si="531"/>
        <v>0</v>
      </c>
      <c r="S248" s="183">
        <f t="shared" si="532"/>
        <v>0</v>
      </c>
      <c r="T248" s="109">
        <v>0</v>
      </c>
      <c r="V248" t="s">
        <v>632</v>
      </c>
      <c r="W248" s="39">
        <f t="shared" ref="W248:AL248" si="543">E248/SUM(E242:E274)</f>
        <v>0</v>
      </c>
      <c r="X248" s="39">
        <f t="shared" si="543"/>
        <v>0</v>
      </c>
      <c r="Y248" s="39">
        <f t="shared" si="543"/>
        <v>0</v>
      </c>
      <c r="Z248" s="39">
        <f t="shared" si="543"/>
        <v>0</v>
      </c>
      <c r="AA248" s="39">
        <f t="shared" si="543"/>
        <v>0</v>
      </c>
      <c r="AB248" s="39">
        <f t="shared" si="543"/>
        <v>0</v>
      </c>
      <c r="AC248" s="39">
        <f t="shared" si="543"/>
        <v>0</v>
      </c>
      <c r="AD248" s="39">
        <f t="shared" si="543"/>
        <v>0</v>
      </c>
      <c r="AE248" s="39">
        <f t="shared" si="543"/>
        <v>0</v>
      </c>
      <c r="AF248" s="39">
        <f t="shared" si="543"/>
        <v>0</v>
      </c>
      <c r="AG248" s="39">
        <f t="shared" si="543"/>
        <v>0</v>
      </c>
      <c r="AH248" s="39">
        <f t="shared" si="543"/>
        <v>0</v>
      </c>
      <c r="AI248" s="39">
        <f t="shared" si="543"/>
        <v>0</v>
      </c>
      <c r="AJ248" s="39">
        <f t="shared" si="543"/>
        <v>0</v>
      </c>
      <c r="AK248" s="39">
        <f t="shared" si="543"/>
        <v>0</v>
      </c>
      <c r="AL248" s="39">
        <f t="shared" si="543"/>
        <v>0</v>
      </c>
      <c r="AM248" s="184">
        <f t="shared" si="538"/>
        <v>0</v>
      </c>
      <c r="AN248" s="184">
        <f t="shared" si="534"/>
        <v>0</v>
      </c>
      <c r="AO248" s="184">
        <f t="shared" si="534"/>
        <v>0</v>
      </c>
      <c r="AP248" s="184">
        <f t="shared" si="534"/>
        <v>0</v>
      </c>
      <c r="AQ248" s="184">
        <f t="shared" si="534"/>
        <v>0</v>
      </c>
      <c r="AR248" s="184">
        <f t="shared" si="534"/>
        <v>0</v>
      </c>
      <c r="AS248" s="184">
        <f t="shared" si="534"/>
        <v>0</v>
      </c>
      <c r="AT248" s="184">
        <f t="shared" si="534"/>
        <v>0</v>
      </c>
      <c r="AU248" s="184">
        <f t="shared" si="534"/>
        <v>0</v>
      </c>
      <c r="AV248" s="184">
        <f t="shared" si="534"/>
        <v>0</v>
      </c>
      <c r="AW248" s="184">
        <f t="shared" si="534"/>
        <v>0</v>
      </c>
      <c r="AX248" s="184">
        <f t="shared" si="534"/>
        <v>0</v>
      </c>
      <c r="AY248" s="184">
        <f t="shared" si="534"/>
        <v>0</v>
      </c>
      <c r="AZ248" s="184">
        <f t="shared" si="534"/>
        <v>0</v>
      </c>
      <c r="BA248" s="184">
        <f t="shared" si="534"/>
        <v>0</v>
      </c>
      <c r="BB248" s="184">
        <f t="shared" si="534"/>
        <v>0</v>
      </c>
      <c r="BC248" s="184">
        <f t="shared" si="534"/>
        <v>0</v>
      </c>
      <c r="BD248" s="184">
        <f t="shared" si="535"/>
        <v>0</v>
      </c>
      <c r="BE248" s="184">
        <f t="shared" si="535"/>
        <v>0</v>
      </c>
      <c r="BF248" s="184">
        <f t="shared" si="535"/>
        <v>0</v>
      </c>
    </row>
    <row r="249" spans="2:58">
      <c r="B249" t="s">
        <v>633</v>
      </c>
      <c r="C249" s="109">
        <v>0</v>
      </c>
      <c r="D249" s="183">
        <f t="shared" si="536"/>
        <v>0</v>
      </c>
      <c r="E249" s="182">
        <f t="shared" si="520"/>
        <v>0</v>
      </c>
      <c r="F249" s="182">
        <f t="shared" si="521"/>
        <v>0</v>
      </c>
      <c r="G249" s="182">
        <f t="shared" si="522"/>
        <v>0</v>
      </c>
      <c r="H249" s="182">
        <f t="shared" si="523"/>
        <v>0</v>
      </c>
      <c r="I249" s="182">
        <f t="shared" si="524"/>
        <v>0</v>
      </c>
      <c r="J249" s="109">
        <v>0</v>
      </c>
      <c r="K249" s="183">
        <f t="shared" si="525"/>
        <v>0</v>
      </c>
      <c r="L249" s="183">
        <f t="shared" si="526"/>
        <v>0</v>
      </c>
      <c r="M249" s="183">
        <f t="shared" si="527"/>
        <v>0</v>
      </c>
      <c r="N249" s="183">
        <f t="shared" si="528"/>
        <v>0</v>
      </c>
      <c r="O249" s="109">
        <v>0</v>
      </c>
      <c r="P249" s="183">
        <f t="shared" si="529"/>
        <v>0</v>
      </c>
      <c r="Q249" s="183">
        <f t="shared" si="530"/>
        <v>0</v>
      </c>
      <c r="R249" s="183">
        <f t="shared" si="531"/>
        <v>0</v>
      </c>
      <c r="S249" s="183">
        <f t="shared" si="532"/>
        <v>0</v>
      </c>
      <c r="T249" s="109">
        <v>0</v>
      </c>
      <c r="V249" t="s">
        <v>633</v>
      </c>
      <c r="W249" s="39">
        <f t="shared" ref="W249:AL249" si="544">E249/SUM(E242:E274)</f>
        <v>0</v>
      </c>
      <c r="X249" s="39">
        <f t="shared" si="544"/>
        <v>0</v>
      </c>
      <c r="Y249" s="39">
        <f t="shared" si="544"/>
        <v>0</v>
      </c>
      <c r="Z249" s="39">
        <f t="shared" si="544"/>
        <v>0</v>
      </c>
      <c r="AA249" s="39">
        <f t="shared" si="544"/>
        <v>0</v>
      </c>
      <c r="AB249" s="39">
        <f t="shared" si="544"/>
        <v>0</v>
      </c>
      <c r="AC249" s="39">
        <f t="shared" si="544"/>
        <v>0</v>
      </c>
      <c r="AD249" s="39">
        <f t="shared" si="544"/>
        <v>0</v>
      </c>
      <c r="AE249" s="39">
        <f t="shared" si="544"/>
        <v>0</v>
      </c>
      <c r="AF249" s="39">
        <f t="shared" si="544"/>
        <v>0</v>
      </c>
      <c r="AG249" s="39">
        <f t="shared" si="544"/>
        <v>0</v>
      </c>
      <c r="AH249" s="39">
        <f t="shared" si="544"/>
        <v>0</v>
      </c>
      <c r="AI249" s="39">
        <f t="shared" si="544"/>
        <v>0</v>
      </c>
      <c r="AJ249" s="39">
        <f t="shared" si="544"/>
        <v>0</v>
      </c>
      <c r="AK249" s="39">
        <f t="shared" si="544"/>
        <v>0</v>
      </c>
      <c r="AL249" s="39">
        <f t="shared" si="544"/>
        <v>0</v>
      </c>
      <c r="AM249" s="184">
        <f t="shared" si="538"/>
        <v>0</v>
      </c>
      <c r="AN249" s="184">
        <f t="shared" si="534"/>
        <v>0</v>
      </c>
      <c r="AO249" s="184">
        <f t="shared" si="534"/>
        <v>0</v>
      </c>
      <c r="AP249" s="184">
        <f t="shared" si="534"/>
        <v>0</v>
      </c>
      <c r="AQ249" s="184">
        <f t="shared" si="534"/>
        <v>0</v>
      </c>
      <c r="AR249" s="184">
        <f t="shared" si="534"/>
        <v>0</v>
      </c>
      <c r="AS249" s="184">
        <f t="shared" si="534"/>
        <v>0</v>
      </c>
      <c r="AT249" s="184">
        <f t="shared" si="534"/>
        <v>0</v>
      </c>
      <c r="AU249" s="184">
        <f t="shared" si="534"/>
        <v>0</v>
      </c>
      <c r="AV249" s="184">
        <f t="shared" si="534"/>
        <v>0</v>
      </c>
      <c r="AW249" s="184">
        <f t="shared" si="534"/>
        <v>0</v>
      </c>
      <c r="AX249" s="184">
        <f t="shared" si="534"/>
        <v>0</v>
      </c>
      <c r="AY249" s="184">
        <f t="shared" si="534"/>
        <v>0</v>
      </c>
      <c r="AZ249" s="184">
        <f t="shared" si="534"/>
        <v>0</v>
      </c>
      <c r="BA249" s="184">
        <f t="shared" si="534"/>
        <v>0</v>
      </c>
      <c r="BB249" s="184">
        <f t="shared" si="534"/>
        <v>0</v>
      </c>
      <c r="BC249" s="184">
        <f t="shared" si="534"/>
        <v>0</v>
      </c>
      <c r="BD249" s="184">
        <f t="shared" si="535"/>
        <v>0</v>
      </c>
      <c r="BE249" s="184">
        <f t="shared" si="535"/>
        <v>0</v>
      </c>
      <c r="BF249" s="184">
        <f t="shared" si="535"/>
        <v>0</v>
      </c>
    </row>
    <row r="250" spans="2:58">
      <c r="B250" t="s">
        <v>634</v>
      </c>
      <c r="C250" s="109">
        <v>5092.3999999999996</v>
      </c>
      <c r="D250" s="183">
        <f t="shared" si="536"/>
        <v>5092.3999999999996</v>
      </c>
      <c r="E250" s="182">
        <f t="shared" si="520"/>
        <v>5092.3999999999996</v>
      </c>
      <c r="F250" s="182">
        <f t="shared" si="521"/>
        <v>5092.3999999999996</v>
      </c>
      <c r="G250" s="182">
        <f t="shared" si="522"/>
        <v>5092.3999999999996</v>
      </c>
      <c r="H250" s="182">
        <f t="shared" si="523"/>
        <v>5092.3999999999996</v>
      </c>
      <c r="I250" s="182">
        <f t="shared" si="524"/>
        <v>5092.3999999999996</v>
      </c>
      <c r="J250" s="109">
        <v>5092.3999999999996</v>
      </c>
      <c r="K250" s="183">
        <f t="shared" si="525"/>
        <v>5092.3999999999996</v>
      </c>
      <c r="L250" s="183">
        <f t="shared" si="526"/>
        <v>5092.3999999999996</v>
      </c>
      <c r="M250" s="183">
        <f t="shared" si="527"/>
        <v>5092.3999999999996</v>
      </c>
      <c r="N250" s="183">
        <f t="shared" si="528"/>
        <v>5092.3999999999996</v>
      </c>
      <c r="O250" s="109">
        <v>5092.3999999999996</v>
      </c>
      <c r="P250" s="183">
        <f t="shared" si="529"/>
        <v>5092.3999999999996</v>
      </c>
      <c r="Q250" s="183">
        <f t="shared" si="530"/>
        <v>5092.3999999999996</v>
      </c>
      <c r="R250" s="183">
        <f t="shared" si="531"/>
        <v>5092.3999999999996</v>
      </c>
      <c r="S250" s="183">
        <f t="shared" si="532"/>
        <v>5092.3999999999996</v>
      </c>
      <c r="T250" s="109">
        <v>5092.3999999999996</v>
      </c>
      <c r="V250" t="s">
        <v>634</v>
      </c>
      <c r="W250" s="39">
        <f t="shared" ref="W250:AL250" si="545">E250/SUM(E242:E274)</f>
        <v>2.6306096370215357E-3</v>
      </c>
      <c r="X250" s="39">
        <f t="shared" si="545"/>
        <v>2.6306096370215357E-3</v>
      </c>
      <c r="Y250" s="39">
        <f t="shared" si="545"/>
        <v>2.6306096370215357E-3</v>
      </c>
      <c r="Z250" s="39">
        <f t="shared" si="545"/>
        <v>2.6306096370215357E-3</v>
      </c>
      <c r="AA250" s="39">
        <f t="shared" si="545"/>
        <v>2.6306096370215357E-3</v>
      </c>
      <c r="AB250" s="39">
        <f t="shared" si="545"/>
        <v>2.6306096370215357E-3</v>
      </c>
      <c r="AC250" s="39">
        <f t="shared" si="545"/>
        <v>2.6306096370215357E-3</v>
      </c>
      <c r="AD250" s="39">
        <f t="shared" si="545"/>
        <v>2.6306096370215357E-3</v>
      </c>
      <c r="AE250" s="39">
        <f t="shared" si="545"/>
        <v>2.6306096370215357E-3</v>
      </c>
      <c r="AF250" s="39">
        <f t="shared" si="545"/>
        <v>2.6306096370215357E-3</v>
      </c>
      <c r="AG250" s="39">
        <f t="shared" si="545"/>
        <v>2.6306096370215357E-3</v>
      </c>
      <c r="AH250" s="39">
        <f t="shared" si="545"/>
        <v>2.6306096370215357E-3</v>
      </c>
      <c r="AI250" s="39">
        <f t="shared" si="545"/>
        <v>2.6306096370215357E-3</v>
      </c>
      <c r="AJ250" s="39">
        <f t="shared" si="545"/>
        <v>2.6306096370215357E-3</v>
      </c>
      <c r="AK250" s="39">
        <f t="shared" si="545"/>
        <v>2.6306096370215357E-3</v>
      </c>
      <c r="AL250" s="39">
        <f t="shared" si="545"/>
        <v>2.6306096370215357E-3</v>
      </c>
      <c r="AM250" s="184">
        <f t="shared" si="538"/>
        <v>2.6306096370215357E-3</v>
      </c>
      <c r="AN250" s="184">
        <f t="shared" si="534"/>
        <v>2.6306096370215357E-3</v>
      </c>
      <c r="AO250" s="184">
        <f t="shared" si="534"/>
        <v>2.6306096370215357E-3</v>
      </c>
      <c r="AP250" s="184">
        <f t="shared" si="534"/>
        <v>2.6306096370215357E-3</v>
      </c>
      <c r="AQ250" s="184">
        <f t="shared" si="534"/>
        <v>2.6306096370215357E-3</v>
      </c>
      <c r="AR250" s="184">
        <f t="shared" si="534"/>
        <v>2.6306096370215357E-3</v>
      </c>
      <c r="AS250" s="184">
        <f t="shared" si="534"/>
        <v>2.6306096370215357E-3</v>
      </c>
      <c r="AT250" s="184">
        <f t="shared" si="534"/>
        <v>2.6306096370215357E-3</v>
      </c>
      <c r="AU250" s="184">
        <f t="shared" si="534"/>
        <v>2.6306096370215357E-3</v>
      </c>
      <c r="AV250" s="184">
        <f t="shared" si="534"/>
        <v>2.6306096370215357E-3</v>
      </c>
      <c r="AW250" s="184">
        <f t="shared" si="534"/>
        <v>2.6306096370215357E-3</v>
      </c>
      <c r="AX250" s="184">
        <f t="shared" si="534"/>
        <v>2.6306096370215357E-3</v>
      </c>
      <c r="AY250" s="184">
        <f t="shared" si="534"/>
        <v>2.6306096370215357E-3</v>
      </c>
      <c r="AZ250" s="184">
        <f t="shared" si="534"/>
        <v>2.6306096370215357E-3</v>
      </c>
      <c r="BA250" s="184">
        <f t="shared" si="534"/>
        <v>2.6306096370215357E-3</v>
      </c>
      <c r="BB250" s="184">
        <f t="shared" si="534"/>
        <v>2.6306096370215357E-3</v>
      </c>
      <c r="BC250" s="184">
        <f t="shared" si="534"/>
        <v>2.6306096370215357E-3</v>
      </c>
      <c r="BD250" s="184">
        <f t="shared" si="535"/>
        <v>2.6306096370215357E-3</v>
      </c>
      <c r="BE250" s="184">
        <f t="shared" si="535"/>
        <v>2.6306096370215357E-3</v>
      </c>
      <c r="BF250" s="184">
        <f t="shared" si="535"/>
        <v>2.6306096370215357E-3</v>
      </c>
    </row>
    <row r="251" spans="2:58">
      <c r="B251" t="s">
        <v>635</v>
      </c>
      <c r="C251" s="109">
        <v>0</v>
      </c>
      <c r="D251" s="183">
        <f t="shared" si="536"/>
        <v>0</v>
      </c>
      <c r="E251" s="182">
        <f t="shared" si="520"/>
        <v>0</v>
      </c>
      <c r="F251" s="182">
        <f t="shared" si="521"/>
        <v>0</v>
      </c>
      <c r="G251" s="182">
        <f t="shared" si="522"/>
        <v>0</v>
      </c>
      <c r="H251" s="182">
        <f t="shared" si="523"/>
        <v>0</v>
      </c>
      <c r="I251" s="182">
        <f t="shared" si="524"/>
        <v>0</v>
      </c>
      <c r="J251" s="109">
        <v>0</v>
      </c>
      <c r="K251" s="183">
        <f t="shared" si="525"/>
        <v>0</v>
      </c>
      <c r="L251" s="183">
        <f t="shared" si="526"/>
        <v>0</v>
      </c>
      <c r="M251" s="183">
        <f t="shared" si="527"/>
        <v>0</v>
      </c>
      <c r="N251" s="183">
        <f t="shared" si="528"/>
        <v>0</v>
      </c>
      <c r="O251" s="109">
        <v>0</v>
      </c>
      <c r="P251" s="183">
        <f t="shared" si="529"/>
        <v>0</v>
      </c>
      <c r="Q251" s="183">
        <f t="shared" si="530"/>
        <v>0</v>
      </c>
      <c r="R251" s="183">
        <f t="shared" si="531"/>
        <v>0</v>
      </c>
      <c r="S251" s="183">
        <f t="shared" si="532"/>
        <v>0</v>
      </c>
      <c r="T251" s="109">
        <v>0</v>
      </c>
      <c r="V251" t="s">
        <v>635</v>
      </c>
      <c r="W251" s="39">
        <f t="shared" ref="W251:AL251" si="546">E251/SUM(E242:E274)</f>
        <v>0</v>
      </c>
      <c r="X251" s="39">
        <f t="shared" si="546"/>
        <v>0</v>
      </c>
      <c r="Y251" s="39">
        <f t="shared" si="546"/>
        <v>0</v>
      </c>
      <c r="Z251" s="39">
        <f t="shared" si="546"/>
        <v>0</v>
      </c>
      <c r="AA251" s="39">
        <f t="shared" si="546"/>
        <v>0</v>
      </c>
      <c r="AB251" s="39">
        <f t="shared" si="546"/>
        <v>0</v>
      </c>
      <c r="AC251" s="39">
        <f t="shared" si="546"/>
        <v>0</v>
      </c>
      <c r="AD251" s="39">
        <f t="shared" si="546"/>
        <v>0</v>
      </c>
      <c r="AE251" s="39">
        <f t="shared" si="546"/>
        <v>0</v>
      </c>
      <c r="AF251" s="39">
        <f t="shared" si="546"/>
        <v>0</v>
      </c>
      <c r="AG251" s="39">
        <f t="shared" si="546"/>
        <v>0</v>
      </c>
      <c r="AH251" s="39">
        <f t="shared" si="546"/>
        <v>0</v>
      </c>
      <c r="AI251" s="39">
        <f t="shared" si="546"/>
        <v>0</v>
      </c>
      <c r="AJ251" s="39">
        <f t="shared" si="546"/>
        <v>0</v>
      </c>
      <c r="AK251" s="39">
        <f t="shared" si="546"/>
        <v>0</v>
      </c>
      <c r="AL251" s="39">
        <f t="shared" si="546"/>
        <v>0</v>
      </c>
      <c r="AM251" s="184">
        <f t="shared" si="538"/>
        <v>0</v>
      </c>
      <c r="AN251" s="184">
        <f t="shared" si="534"/>
        <v>0</v>
      </c>
      <c r="AO251" s="184">
        <f t="shared" si="534"/>
        <v>0</v>
      </c>
      <c r="AP251" s="184">
        <f t="shared" si="534"/>
        <v>0</v>
      </c>
      <c r="AQ251" s="184">
        <f t="shared" si="534"/>
        <v>0</v>
      </c>
      <c r="AR251" s="184">
        <f t="shared" si="534"/>
        <v>0</v>
      </c>
      <c r="AS251" s="184">
        <f t="shared" si="534"/>
        <v>0</v>
      </c>
      <c r="AT251" s="184">
        <f t="shared" si="534"/>
        <v>0</v>
      </c>
      <c r="AU251" s="184">
        <f t="shared" si="534"/>
        <v>0</v>
      </c>
      <c r="AV251" s="184">
        <f t="shared" si="534"/>
        <v>0</v>
      </c>
      <c r="AW251" s="184">
        <f t="shared" si="534"/>
        <v>0</v>
      </c>
      <c r="AX251" s="184">
        <f t="shared" si="534"/>
        <v>0</v>
      </c>
      <c r="AY251" s="184">
        <f t="shared" si="534"/>
        <v>0</v>
      </c>
      <c r="AZ251" s="184">
        <f t="shared" si="534"/>
        <v>0</v>
      </c>
      <c r="BA251" s="184">
        <f t="shared" si="534"/>
        <v>0</v>
      </c>
      <c r="BB251" s="184">
        <f t="shared" si="534"/>
        <v>0</v>
      </c>
      <c r="BC251" s="184">
        <f t="shared" si="534"/>
        <v>0</v>
      </c>
      <c r="BD251" s="184">
        <f t="shared" si="535"/>
        <v>0</v>
      </c>
      <c r="BE251" s="184">
        <f t="shared" si="535"/>
        <v>0</v>
      </c>
      <c r="BF251" s="184">
        <f t="shared" si="535"/>
        <v>0</v>
      </c>
    </row>
    <row r="252" spans="2:58">
      <c r="B252" t="s">
        <v>636</v>
      </c>
      <c r="C252" s="109">
        <v>792013.2</v>
      </c>
      <c r="D252" s="183">
        <f t="shared" si="536"/>
        <v>792013.2</v>
      </c>
      <c r="E252" s="182">
        <f t="shared" si="520"/>
        <v>792013.2</v>
      </c>
      <c r="F252" s="182">
        <f t="shared" si="521"/>
        <v>792013.2</v>
      </c>
      <c r="G252" s="182">
        <f t="shared" si="522"/>
        <v>792013.2</v>
      </c>
      <c r="H252" s="182">
        <f t="shared" si="523"/>
        <v>792013.2</v>
      </c>
      <c r="I252" s="182">
        <f t="shared" si="524"/>
        <v>792013.2</v>
      </c>
      <c r="J252" s="109">
        <v>792013.2</v>
      </c>
      <c r="K252" s="183">
        <f t="shared" si="525"/>
        <v>792013.2</v>
      </c>
      <c r="L252" s="183">
        <f t="shared" si="526"/>
        <v>792013.2</v>
      </c>
      <c r="M252" s="183">
        <f t="shared" si="527"/>
        <v>792013.2</v>
      </c>
      <c r="N252" s="183">
        <f t="shared" si="528"/>
        <v>792013.2</v>
      </c>
      <c r="O252" s="109">
        <v>792013.2</v>
      </c>
      <c r="P252" s="183">
        <f t="shared" si="529"/>
        <v>792013.2</v>
      </c>
      <c r="Q252" s="183">
        <f t="shared" si="530"/>
        <v>792013.2</v>
      </c>
      <c r="R252" s="183">
        <f t="shared" si="531"/>
        <v>792013.2</v>
      </c>
      <c r="S252" s="183">
        <f t="shared" si="532"/>
        <v>792013.2</v>
      </c>
      <c r="T252" s="109">
        <v>792013.2</v>
      </c>
      <c r="V252" t="s">
        <v>636</v>
      </c>
      <c r="W252" s="39">
        <f t="shared" ref="W252:AL252" si="547">E252/SUM(E242:E274)</f>
        <v>0.40913470202031754</v>
      </c>
      <c r="X252" s="39">
        <f t="shared" si="547"/>
        <v>0.40913470202031754</v>
      </c>
      <c r="Y252" s="39">
        <f t="shared" si="547"/>
        <v>0.40913470202031754</v>
      </c>
      <c r="Z252" s="39">
        <f t="shared" si="547"/>
        <v>0.40913470202031754</v>
      </c>
      <c r="AA252" s="39">
        <f t="shared" si="547"/>
        <v>0.40913470202031754</v>
      </c>
      <c r="AB252" s="39">
        <f t="shared" si="547"/>
        <v>0.40913470202031754</v>
      </c>
      <c r="AC252" s="39">
        <f t="shared" si="547"/>
        <v>0.40913470202031754</v>
      </c>
      <c r="AD252" s="39">
        <f t="shared" si="547"/>
        <v>0.40913470202031754</v>
      </c>
      <c r="AE252" s="39">
        <f t="shared" si="547"/>
        <v>0.40913470202031754</v>
      </c>
      <c r="AF252" s="39">
        <f t="shared" si="547"/>
        <v>0.40913470202031754</v>
      </c>
      <c r="AG252" s="39">
        <f t="shared" si="547"/>
        <v>0.40913470202031754</v>
      </c>
      <c r="AH252" s="39">
        <f t="shared" si="547"/>
        <v>0.40913470202031754</v>
      </c>
      <c r="AI252" s="39">
        <f t="shared" si="547"/>
        <v>0.40913470202031754</v>
      </c>
      <c r="AJ252" s="39">
        <f t="shared" si="547"/>
        <v>0.40913470202031754</v>
      </c>
      <c r="AK252" s="39">
        <f t="shared" si="547"/>
        <v>0.40913470202031754</v>
      </c>
      <c r="AL252" s="39">
        <f t="shared" si="547"/>
        <v>0.40913470202031754</v>
      </c>
      <c r="AM252" s="184">
        <f t="shared" si="538"/>
        <v>0.40913470202031754</v>
      </c>
      <c r="AN252" s="184">
        <f t="shared" si="534"/>
        <v>0.40913470202031754</v>
      </c>
      <c r="AO252" s="184">
        <f t="shared" si="534"/>
        <v>0.40913470202031754</v>
      </c>
      <c r="AP252" s="184">
        <f t="shared" si="534"/>
        <v>0.40913470202031754</v>
      </c>
      <c r="AQ252" s="184">
        <f t="shared" si="534"/>
        <v>0.40913470202031754</v>
      </c>
      <c r="AR252" s="184">
        <f t="shared" si="534"/>
        <v>0.40913470202031754</v>
      </c>
      <c r="AS252" s="184">
        <f t="shared" si="534"/>
        <v>0.40913470202031754</v>
      </c>
      <c r="AT252" s="184">
        <f t="shared" si="534"/>
        <v>0.40913470202031754</v>
      </c>
      <c r="AU252" s="184">
        <f t="shared" si="534"/>
        <v>0.40913470202031754</v>
      </c>
      <c r="AV252" s="184">
        <f t="shared" si="534"/>
        <v>0.40913470202031754</v>
      </c>
      <c r="AW252" s="184">
        <f t="shared" si="534"/>
        <v>0.40913470202031754</v>
      </c>
      <c r="AX252" s="184">
        <f t="shared" si="534"/>
        <v>0.40913470202031754</v>
      </c>
      <c r="AY252" s="184">
        <f t="shared" si="534"/>
        <v>0.40913470202031754</v>
      </c>
      <c r="AZ252" s="184">
        <f t="shared" si="534"/>
        <v>0.40913470202031754</v>
      </c>
      <c r="BA252" s="184">
        <f t="shared" si="534"/>
        <v>0.40913470202031754</v>
      </c>
      <c r="BB252" s="184">
        <f t="shared" si="534"/>
        <v>0.40913470202031754</v>
      </c>
      <c r="BC252" s="184">
        <f t="shared" si="534"/>
        <v>0.40913470202031754</v>
      </c>
      <c r="BD252" s="184">
        <f t="shared" si="535"/>
        <v>0.40913470202031754</v>
      </c>
      <c r="BE252" s="184">
        <f t="shared" si="535"/>
        <v>0.40913470202031754</v>
      </c>
      <c r="BF252" s="184">
        <f t="shared" si="535"/>
        <v>0.40913470202031754</v>
      </c>
    </row>
    <row r="253" spans="2:58">
      <c r="B253" t="s">
        <v>637</v>
      </c>
      <c r="C253" s="109">
        <v>10179.630078124999</v>
      </c>
      <c r="D253" s="183">
        <f t="shared" si="536"/>
        <v>10179.630078124999</v>
      </c>
      <c r="E253" s="182">
        <f t="shared" si="520"/>
        <v>10179.630078124999</v>
      </c>
      <c r="F253" s="182">
        <f t="shared" si="521"/>
        <v>10179.630078124999</v>
      </c>
      <c r="G253" s="182">
        <f t="shared" si="522"/>
        <v>10179.630078124999</v>
      </c>
      <c r="H253" s="182">
        <f t="shared" si="523"/>
        <v>10179.630078124999</v>
      </c>
      <c r="I253" s="182">
        <f t="shared" si="524"/>
        <v>10179.630078124999</v>
      </c>
      <c r="J253" s="109">
        <v>10179.630078124999</v>
      </c>
      <c r="K253" s="183">
        <f t="shared" si="525"/>
        <v>10179.630078124999</v>
      </c>
      <c r="L253" s="183">
        <f t="shared" si="526"/>
        <v>10179.630078124999</v>
      </c>
      <c r="M253" s="183">
        <f t="shared" si="527"/>
        <v>10179.630078124999</v>
      </c>
      <c r="N253" s="183">
        <f t="shared" si="528"/>
        <v>10179.630078124999</v>
      </c>
      <c r="O253" s="109">
        <v>10179.630078124999</v>
      </c>
      <c r="P253" s="183">
        <f t="shared" si="529"/>
        <v>10179.630078124999</v>
      </c>
      <c r="Q253" s="183">
        <f t="shared" si="530"/>
        <v>10179.630078124999</v>
      </c>
      <c r="R253" s="183">
        <f t="shared" si="531"/>
        <v>10179.630078124999</v>
      </c>
      <c r="S253" s="183">
        <f t="shared" si="532"/>
        <v>10179.630078124999</v>
      </c>
      <c r="T253" s="109">
        <v>10179.630078124999</v>
      </c>
      <c r="V253" t="s">
        <v>637</v>
      </c>
      <c r="W253" s="39">
        <f t="shared" ref="W253:AL253" si="548">E253/SUM(E242:E274)</f>
        <v>5.2585486184961736E-3</v>
      </c>
      <c r="X253" s="39">
        <f t="shared" si="548"/>
        <v>5.2585486184961736E-3</v>
      </c>
      <c r="Y253" s="39">
        <f t="shared" si="548"/>
        <v>5.2585486184961736E-3</v>
      </c>
      <c r="Z253" s="39">
        <f t="shared" si="548"/>
        <v>5.2585486184961736E-3</v>
      </c>
      <c r="AA253" s="39">
        <f t="shared" si="548"/>
        <v>5.2585486184961736E-3</v>
      </c>
      <c r="AB253" s="39">
        <f t="shared" si="548"/>
        <v>5.2585486184961736E-3</v>
      </c>
      <c r="AC253" s="39">
        <f t="shared" si="548"/>
        <v>5.2585486184961736E-3</v>
      </c>
      <c r="AD253" s="39">
        <f t="shared" si="548"/>
        <v>5.2585486184961736E-3</v>
      </c>
      <c r="AE253" s="39">
        <f t="shared" si="548"/>
        <v>5.2585486184961736E-3</v>
      </c>
      <c r="AF253" s="39">
        <f t="shared" si="548"/>
        <v>5.2585486184961736E-3</v>
      </c>
      <c r="AG253" s="39">
        <f t="shared" si="548"/>
        <v>5.2585486184961736E-3</v>
      </c>
      <c r="AH253" s="39">
        <f t="shared" si="548"/>
        <v>5.2585486184961736E-3</v>
      </c>
      <c r="AI253" s="39">
        <f t="shared" si="548"/>
        <v>5.2585486184961736E-3</v>
      </c>
      <c r="AJ253" s="39">
        <f t="shared" si="548"/>
        <v>5.2585486184961736E-3</v>
      </c>
      <c r="AK253" s="39">
        <f t="shared" si="548"/>
        <v>5.2585486184961736E-3</v>
      </c>
      <c r="AL253" s="39">
        <f t="shared" si="548"/>
        <v>5.2585486184961736E-3</v>
      </c>
      <c r="AM253" s="184">
        <f t="shared" si="538"/>
        <v>5.2585486184961736E-3</v>
      </c>
      <c r="AN253" s="184">
        <f t="shared" si="534"/>
        <v>5.2585486184961736E-3</v>
      </c>
      <c r="AO253" s="184">
        <f t="shared" si="534"/>
        <v>5.2585486184961736E-3</v>
      </c>
      <c r="AP253" s="184">
        <f t="shared" si="534"/>
        <v>5.2585486184961736E-3</v>
      </c>
      <c r="AQ253" s="184">
        <f t="shared" si="534"/>
        <v>5.2585486184961736E-3</v>
      </c>
      <c r="AR253" s="184">
        <f t="shared" si="534"/>
        <v>5.2585486184961736E-3</v>
      </c>
      <c r="AS253" s="184">
        <f t="shared" si="534"/>
        <v>5.2585486184961736E-3</v>
      </c>
      <c r="AT253" s="184">
        <f t="shared" si="534"/>
        <v>5.2585486184961736E-3</v>
      </c>
      <c r="AU253" s="184">
        <f t="shared" si="534"/>
        <v>5.2585486184961736E-3</v>
      </c>
      <c r="AV253" s="184">
        <f t="shared" si="534"/>
        <v>5.2585486184961736E-3</v>
      </c>
      <c r="AW253" s="184">
        <f t="shared" si="534"/>
        <v>5.2585486184961736E-3</v>
      </c>
      <c r="AX253" s="184">
        <f t="shared" si="534"/>
        <v>5.2585486184961736E-3</v>
      </c>
      <c r="AY253" s="184">
        <f t="shared" si="534"/>
        <v>5.2585486184961736E-3</v>
      </c>
      <c r="AZ253" s="184">
        <f t="shared" si="534"/>
        <v>5.2585486184961736E-3</v>
      </c>
      <c r="BA253" s="184">
        <f t="shared" si="534"/>
        <v>5.2585486184961736E-3</v>
      </c>
      <c r="BB253" s="184">
        <f t="shared" si="534"/>
        <v>5.2585486184961736E-3</v>
      </c>
      <c r="BC253" s="184">
        <f t="shared" si="534"/>
        <v>5.2585486184961736E-3</v>
      </c>
      <c r="BD253" s="184">
        <f t="shared" si="535"/>
        <v>5.2585486184961736E-3</v>
      </c>
      <c r="BE253" s="184">
        <f t="shared" si="535"/>
        <v>5.2585486184961736E-3</v>
      </c>
      <c r="BF253" s="184">
        <f t="shared" si="535"/>
        <v>5.2585486184961736E-3</v>
      </c>
    </row>
    <row r="254" spans="2:58">
      <c r="B254" t="s">
        <v>638</v>
      </c>
      <c r="C254" s="109">
        <v>26.4</v>
      </c>
      <c r="D254" s="183">
        <f t="shared" si="536"/>
        <v>26.4</v>
      </c>
      <c r="E254" s="182">
        <f t="shared" si="520"/>
        <v>26.4</v>
      </c>
      <c r="F254" s="182">
        <f t="shared" si="521"/>
        <v>26.4</v>
      </c>
      <c r="G254" s="182">
        <f t="shared" si="522"/>
        <v>26.4</v>
      </c>
      <c r="H254" s="182">
        <f t="shared" si="523"/>
        <v>26.4</v>
      </c>
      <c r="I254" s="182">
        <f t="shared" si="524"/>
        <v>26.4</v>
      </c>
      <c r="J254" s="109">
        <v>26.4</v>
      </c>
      <c r="K254" s="183">
        <f t="shared" si="525"/>
        <v>26.4</v>
      </c>
      <c r="L254" s="183">
        <f t="shared" si="526"/>
        <v>26.4</v>
      </c>
      <c r="M254" s="183">
        <f t="shared" si="527"/>
        <v>26.4</v>
      </c>
      <c r="N254" s="183">
        <f t="shared" si="528"/>
        <v>26.4</v>
      </c>
      <c r="O254" s="109">
        <v>26.4</v>
      </c>
      <c r="P254" s="183">
        <f t="shared" si="529"/>
        <v>26.4</v>
      </c>
      <c r="Q254" s="183">
        <f t="shared" si="530"/>
        <v>26.4</v>
      </c>
      <c r="R254" s="183">
        <f t="shared" si="531"/>
        <v>26.4</v>
      </c>
      <c r="S254" s="183">
        <f t="shared" si="532"/>
        <v>26.4</v>
      </c>
      <c r="T254" s="109">
        <v>26.4</v>
      </c>
      <c r="V254" t="s">
        <v>638</v>
      </c>
      <c r="W254" s="39">
        <f t="shared" ref="W254:AL254" si="549">E254/SUM(E242:E274)</f>
        <v>1.3637596107408794E-5</v>
      </c>
      <c r="X254" s="39">
        <f t="shared" si="549"/>
        <v>1.3637596107408794E-5</v>
      </c>
      <c r="Y254" s="39">
        <f t="shared" si="549"/>
        <v>1.3637596107408794E-5</v>
      </c>
      <c r="Z254" s="39">
        <f t="shared" si="549"/>
        <v>1.3637596107408794E-5</v>
      </c>
      <c r="AA254" s="39">
        <f t="shared" si="549"/>
        <v>1.3637596107408794E-5</v>
      </c>
      <c r="AB254" s="39">
        <f t="shared" si="549"/>
        <v>1.3637596107408794E-5</v>
      </c>
      <c r="AC254" s="39">
        <f t="shared" si="549"/>
        <v>1.3637596107408794E-5</v>
      </c>
      <c r="AD254" s="39">
        <f t="shared" si="549"/>
        <v>1.3637596107408794E-5</v>
      </c>
      <c r="AE254" s="39">
        <f t="shared" si="549"/>
        <v>1.3637596107408794E-5</v>
      </c>
      <c r="AF254" s="39">
        <f t="shared" si="549"/>
        <v>1.3637596107408794E-5</v>
      </c>
      <c r="AG254" s="39">
        <f t="shared" si="549"/>
        <v>1.3637596107408794E-5</v>
      </c>
      <c r="AH254" s="39">
        <f t="shared" si="549"/>
        <v>1.3637596107408794E-5</v>
      </c>
      <c r="AI254" s="39">
        <f t="shared" si="549"/>
        <v>1.3637596107408794E-5</v>
      </c>
      <c r="AJ254" s="39">
        <f t="shared" si="549"/>
        <v>1.3637596107408794E-5</v>
      </c>
      <c r="AK254" s="39">
        <f t="shared" si="549"/>
        <v>1.3637596107408794E-5</v>
      </c>
      <c r="AL254" s="39">
        <f t="shared" si="549"/>
        <v>1.3637596107408794E-5</v>
      </c>
      <c r="AM254" s="184">
        <f t="shared" si="538"/>
        <v>1.3637596107408794E-5</v>
      </c>
      <c r="AN254" s="184">
        <f t="shared" si="534"/>
        <v>1.3637596107408794E-5</v>
      </c>
      <c r="AO254" s="184">
        <f t="shared" si="534"/>
        <v>1.3637596107408794E-5</v>
      </c>
      <c r="AP254" s="184">
        <f t="shared" si="534"/>
        <v>1.3637596107408794E-5</v>
      </c>
      <c r="AQ254" s="184">
        <f t="shared" si="534"/>
        <v>1.3637596107408794E-5</v>
      </c>
      <c r="AR254" s="184">
        <f t="shared" si="534"/>
        <v>1.3637596107408794E-5</v>
      </c>
      <c r="AS254" s="184">
        <f t="shared" si="534"/>
        <v>1.3637596107408794E-5</v>
      </c>
      <c r="AT254" s="184">
        <f t="shared" si="534"/>
        <v>1.3637596107408794E-5</v>
      </c>
      <c r="AU254" s="184">
        <f t="shared" si="534"/>
        <v>1.3637596107408794E-5</v>
      </c>
      <c r="AV254" s="184">
        <f t="shared" si="534"/>
        <v>1.3637596107408794E-5</v>
      </c>
      <c r="AW254" s="184">
        <f t="shared" si="534"/>
        <v>1.3637596107408794E-5</v>
      </c>
      <c r="AX254" s="184">
        <f t="shared" si="534"/>
        <v>1.3637596107408794E-5</v>
      </c>
      <c r="AY254" s="184">
        <f t="shared" si="534"/>
        <v>1.3637596107408794E-5</v>
      </c>
      <c r="AZ254" s="184">
        <f t="shared" si="534"/>
        <v>1.3637596107408794E-5</v>
      </c>
      <c r="BA254" s="184">
        <f t="shared" si="534"/>
        <v>1.3637596107408794E-5</v>
      </c>
      <c r="BB254" s="184">
        <f t="shared" si="534"/>
        <v>1.3637596107408794E-5</v>
      </c>
      <c r="BC254" s="184">
        <f t="shared" si="534"/>
        <v>1.3637596107408794E-5</v>
      </c>
      <c r="BD254" s="184">
        <f t="shared" si="535"/>
        <v>1.3637596107408794E-5</v>
      </c>
      <c r="BE254" s="184">
        <f t="shared" si="535"/>
        <v>1.3637596107408794E-5</v>
      </c>
      <c r="BF254" s="184">
        <f t="shared" si="535"/>
        <v>1.3637596107408794E-5</v>
      </c>
    </row>
    <row r="255" spans="2:58">
      <c r="B255" t="s">
        <v>639</v>
      </c>
      <c r="C255" s="109">
        <v>39.599999999999994</v>
      </c>
      <c r="D255" s="183">
        <f t="shared" si="536"/>
        <v>39.599999999999994</v>
      </c>
      <c r="E255" s="182">
        <f t="shared" si="520"/>
        <v>39.599999999999994</v>
      </c>
      <c r="F255" s="182">
        <f t="shared" si="521"/>
        <v>39.599999999999994</v>
      </c>
      <c r="G255" s="182">
        <f t="shared" si="522"/>
        <v>39.599999999999994</v>
      </c>
      <c r="H255" s="182">
        <f t="shared" si="523"/>
        <v>39.599999999999994</v>
      </c>
      <c r="I255" s="182">
        <f t="shared" si="524"/>
        <v>39.599999999999994</v>
      </c>
      <c r="J255" s="109">
        <v>39.599999999999994</v>
      </c>
      <c r="K255" s="183">
        <f t="shared" si="525"/>
        <v>39.599999999999994</v>
      </c>
      <c r="L255" s="183">
        <f t="shared" si="526"/>
        <v>39.599999999999994</v>
      </c>
      <c r="M255" s="183">
        <f t="shared" si="527"/>
        <v>39.599999999999994</v>
      </c>
      <c r="N255" s="183">
        <f t="shared" si="528"/>
        <v>39.599999999999994</v>
      </c>
      <c r="O255" s="109">
        <v>39.599999999999994</v>
      </c>
      <c r="P255" s="183">
        <f t="shared" si="529"/>
        <v>39.599999999999994</v>
      </c>
      <c r="Q255" s="183">
        <f t="shared" si="530"/>
        <v>39.599999999999994</v>
      </c>
      <c r="R255" s="183">
        <f t="shared" si="531"/>
        <v>39.599999999999994</v>
      </c>
      <c r="S255" s="183">
        <f t="shared" si="532"/>
        <v>39.599999999999994</v>
      </c>
      <c r="T255" s="109">
        <v>39.599999999999994</v>
      </c>
      <c r="V255" t="s">
        <v>639</v>
      </c>
      <c r="W255" s="39">
        <f t="shared" ref="W255:AL255" si="550">E255/SUM(E242:E274)</f>
        <v>2.0456394161113191E-5</v>
      </c>
      <c r="X255" s="39">
        <f t="shared" si="550"/>
        <v>2.0456394161113191E-5</v>
      </c>
      <c r="Y255" s="39">
        <f t="shared" si="550"/>
        <v>2.0456394161113191E-5</v>
      </c>
      <c r="Z255" s="39">
        <f t="shared" si="550"/>
        <v>2.0456394161113191E-5</v>
      </c>
      <c r="AA255" s="39">
        <f t="shared" si="550"/>
        <v>2.0456394161113191E-5</v>
      </c>
      <c r="AB255" s="39">
        <f t="shared" si="550"/>
        <v>2.0456394161113191E-5</v>
      </c>
      <c r="AC255" s="39">
        <f t="shared" si="550"/>
        <v>2.0456394161113191E-5</v>
      </c>
      <c r="AD255" s="39">
        <f t="shared" si="550"/>
        <v>2.0456394161113191E-5</v>
      </c>
      <c r="AE255" s="39">
        <f t="shared" si="550"/>
        <v>2.0456394161113191E-5</v>
      </c>
      <c r="AF255" s="39">
        <f t="shared" si="550"/>
        <v>2.0456394161113191E-5</v>
      </c>
      <c r="AG255" s="39">
        <f t="shared" si="550"/>
        <v>2.0456394161113191E-5</v>
      </c>
      <c r="AH255" s="39">
        <f t="shared" si="550"/>
        <v>2.0456394161113191E-5</v>
      </c>
      <c r="AI255" s="39">
        <f t="shared" si="550"/>
        <v>2.0456394161113191E-5</v>
      </c>
      <c r="AJ255" s="39">
        <f t="shared" si="550"/>
        <v>2.0456394161113191E-5</v>
      </c>
      <c r="AK255" s="39">
        <f t="shared" si="550"/>
        <v>2.0456394161113191E-5</v>
      </c>
      <c r="AL255" s="39">
        <f t="shared" si="550"/>
        <v>2.0456394161113191E-5</v>
      </c>
      <c r="AM255" s="184">
        <f t="shared" si="538"/>
        <v>2.0456394161113191E-5</v>
      </c>
      <c r="AN255" s="184">
        <f t="shared" si="534"/>
        <v>2.0456394161113191E-5</v>
      </c>
      <c r="AO255" s="184">
        <f t="shared" si="534"/>
        <v>2.0456394161113191E-5</v>
      </c>
      <c r="AP255" s="184">
        <f t="shared" si="534"/>
        <v>2.0456394161113191E-5</v>
      </c>
      <c r="AQ255" s="184">
        <f t="shared" si="534"/>
        <v>2.0456394161113191E-5</v>
      </c>
      <c r="AR255" s="184">
        <f t="shared" si="534"/>
        <v>2.0456394161113191E-5</v>
      </c>
      <c r="AS255" s="184">
        <f t="shared" si="534"/>
        <v>2.0456394161113191E-5</v>
      </c>
      <c r="AT255" s="184">
        <f t="shared" si="534"/>
        <v>2.0456394161113191E-5</v>
      </c>
      <c r="AU255" s="184">
        <f t="shared" si="534"/>
        <v>2.0456394161113191E-5</v>
      </c>
      <c r="AV255" s="184">
        <f t="shared" si="534"/>
        <v>2.0456394161113191E-5</v>
      </c>
      <c r="AW255" s="184">
        <f t="shared" si="534"/>
        <v>2.0456394161113191E-5</v>
      </c>
      <c r="AX255" s="184">
        <f t="shared" si="534"/>
        <v>2.0456394161113191E-5</v>
      </c>
      <c r="AY255" s="184">
        <f t="shared" si="534"/>
        <v>2.0456394161113191E-5</v>
      </c>
      <c r="AZ255" s="184">
        <f t="shared" si="534"/>
        <v>2.0456394161113191E-5</v>
      </c>
      <c r="BA255" s="184">
        <f t="shared" si="534"/>
        <v>2.0456394161113191E-5</v>
      </c>
      <c r="BB255" s="184">
        <f t="shared" si="534"/>
        <v>2.0456394161113191E-5</v>
      </c>
      <c r="BC255" s="184">
        <f t="shared" si="534"/>
        <v>2.0456394161113191E-5</v>
      </c>
      <c r="BD255" s="184">
        <f t="shared" si="535"/>
        <v>2.0456394161113191E-5</v>
      </c>
      <c r="BE255" s="184">
        <f t="shared" si="535"/>
        <v>2.0456394161113191E-5</v>
      </c>
      <c r="BF255" s="184">
        <f t="shared" si="535"/>
        <v>2.0456394161113191E-5</v>
      </c>
    </row>
    <row r="256" spans="2:58">
      <c r="B256" t="s">
        <v>640</v>
      </c>
      <c r="C256" s="109">
        <v>0</v>
      </c>
      <c r="D256" s="183">
        <f t="shared" si="536"/>
        <v>0</v>
      </c>
      <c r="E256" s="182">
        <f t="shared" si="520"/>
        <v>0</v>
      </c>
      <c r="F256" s="182">
        <f t="shared" si="521"/>
        <v>0</v>
      </c>
      <c r="G256" s="182">
        <f t="shared" si="522"/>
        <v>0</v>
      </c>
      <c r="H256" s="182">
        <f t="shared" si="523"/>
        <v>0</v>
      </c>
      <c r="I256" s="182">
        <f t="shared" si="524"/>
        <v>0</v>
      </c>
      <c r="J256" s="109">
        <v>0</v>
      </c>
      <c r="K256" s="183">
        <f t="shared" si="525"/>
        <v>0</v>
      </c>
      <c r="L256" s="183">
        <f t="shared" si="526"/>
        <v>0</v>
      </c>
      <c r="M256" s="183">
        <f t="shared" si="527"/>
        <v>0</v>
      </c>
      <c r="N256" s="183">
        <f t="shared" si="528"/>
        <v>0</v>
      </c>
      <c r="O256" s="109">
        <v>0</v>
      </c>
      <c r="P256" s="183">
        <f t="shared" si="529"/>
        <v>0</v>
      </c>
      <c r="Q256" s="183">
        <f t="shared" si="530"/>
        <v>0</v>
      </c>
      <c r="R256" s="183">
        <f t="shared" si="531"/>
        <v>0</v>
      </c>
      <c r="S256" s="183">
        <f t="shared" si="532"/>
        <v>0</v>
      </c>
      <c r="T256" s="109">
        <v>0</v>
      </c>
      <c r="V256" t="s">
        <v>640</v>
      </c>
      <c r="W256" s="39">
        <f t="shared" ref="W256:AL256" si="551">E256/SUM(E242:E274)</f>
        <v>0</v>
      </c>
      <c r="X256" s="39">
        <f t="shared" si="551"/>
        <v>0</v>
      </c>
      <c r="Y256" s="39">
        <f t="shared" si="551"/>
        <v>0</v>
      </c>
      <c r="Z256" s="39">
        <f t="shared" si="551"/>
        <v>0</v>
      </c>
      <c r="AA256" s="39">
        <f t="shared" si="551"/>
        <v>0</v>
      </c>
      <c r="AB256" s="39">
        <f t="shared" si="551"/>
        <v>0</v>
      </c>
      <c r="AC256" s="39">
        <f t="shared" si="551"/>
        <v>0</v>
      </c>
      <c r="AD256" s="39">
        <f t="shared" si="551"/>
        <v>0</v>
      </c>
      <c r="AE256" s="39">
        <f t="shared" si="551"/>
        <v>0</v>
      </c>
      <c r="AF256" s="39">
        <f t="shared" si="551"/>
        <v>0</v>
      </c>
      <c r="AG256" s="39">
        <f t="shared" si="551"/>
        <v>0</v>
      </c>
      <c r="AH256" s="39">
        <f t="shared" si="551"/>
        <v>0</v>
      </c>
      <c r="AI256" s="39">
        <f t="shared" si="551"/>
        <v>0</v>
      </c>
      <c r="AJ256" s="39">
        <f t="shared" si="551"/>
        <v>0</v>
      </c>
      <c r="AK256" s="39">
        <f t="shared" si="551"/>
        <v>0</v>
      </c>
      <c r="AL256" s="39">
        <f t="shared" si="551"/>
        <v>0</v>
      </c>
      <c r="AM256" s="184">
        <f t="shared" si="538"/>
        <v>0</v>
      </c>
      <c r="AN256" s="184">
        <f t="shared" si="534"/>
        <v>0</v>
      </c>
      <c r="AO256" s="184">
        <f t="shared" si="534"/>
        <v>0</v>
      </c>
      <c r="AP256" s="184">
        <f t="shared" si="534"/>
        <v>0</v>
      </c>
      <c r="AQ256" s="184">
        <f t="shared" si="534"/>
        <v>0</v>
      </c>
      <c r="AR256" s="184">
        <f t="shared" si="534"/>
        <v>0</v>
      </c>
      <c r="AS256" s="184">
        <f t="shared" si="534"/>
        <v>0</v>
      </c>
      <c r="AT256" s="184">
        <f t="shared" si="534"/>
        <v>0</v>
      </c>
      <c r="AU256" s="184">
        <f t="shared" si="534"/>
        <v>0</v>
      </c>
      <c r="AV256" s="184">
        <f t="shared" si="534"/>
        <v>0</v>
      </c>
      <c r="AW256" s="184">
        <f t="shared" si="534"/>
        <v>0</v>
      </c>
      <c r="AX256" s="184">
        <f t="shared" si="534"/>
        <v>0</v>
      </c>
      <c r="AY256" s="184">
        <f t="shared" si="534"/>
        <v>0</v>
      </c>
      <c r="AZ256" s="184">
        <f t="shared" si="534"/>
        <v>0</v>
      </c>
      <c r="BA256" s="184">
        <f t="shared" si="534"/>
        <v>0</v>
      </c>
      <c r="BB256" s="184">
        <f t="shared" si="534"/>
        <v>0</v>
      </c>
      <c r="BC256" s="184">
        <f t="shared" si="534"/>
        <v>0</v>
      </c>
      <c r="BD256" s="184">
        <f t="shared" si="535"/>
        <v>0</v>
      </c>
      <c r="BE256" s="184">
        <f t="shared" si="535"/>
        <v>0</v>
      </c>
      <c r="BF256" s="184">
        <f t="shared" si="535"/>
        <v>0</v>
      </c>
    </row>
    <row r="257" spans="2:58">
      <c r="B257" t="s">
        <v>641</v>
      </c>
      <c r="C257" s="109">
        <v>28057.8</v>
      </c>
      <c r="D257" s="183">
        <f t="shared" si="536"/>
        <v>28057.8</v>
      </c>
      <c r="E257" s="182">
        <f t="shared" si="520"/>
        <v>28057.8</v>
      </c>
      <c r="F257" s="182">
        <f t="shared" si="521"/>
        <v>28057.8</v>
      </c>
      <c r="G257" s="182">
        <f t="shared" si="522"/>
        <v>28057.8</v>
      </c>
      <c r="H257" s="182">
        <f t="shared" si="523"/>
        <v>28057.8</v>
      </c>
      <c r="I257" s="182">
        <f t="shared" si="524"/>
        <v>28057.8</v>
      </c>
      <c r="J257" s="109">
        <v>28057.8</v>
      </c>
      <c r="K257" s="183">
        <f t="shared" si="525"/>
        <v>28057.8</v>
      </c>
      <c r="L257" s="183">
        <f t="shared" si="526"/>
        <v>28057.8</v>
      </c>
      <c r="M257" s="183">
        <f t="shared" si="527"/>
        <v>28057.8</v>
      </c>
      <c r="N257" s="183">
        <f t="shared" si="528"/>
        <v>28057.8</v>
      </c>
      <c r="O257" s="109">
        <v>28057.8</v>
      </c>
      <c r="P257" s="183">
        <f t="shared" si="529"/>
        <v>28057.8</v>
      </c>
      <c r="Q257" s="183">
        <f t="shared" si="530"/>
        <v>28057.8</v>
      </c>
      <c r="R257" s="183">
        <f t="shared" si="531"/>
        <v>28057.8</v>
      </c>
      <c r="S257" s="183">
        <f t="shared" si="532"/>
        <v>28057.8</v>
      </c>
      <c r="T257" s="109">
        <v>28057.8</v>
      </c>
      <c r="V257" t="s">
        <v>641</v>
      </c>
      <c r="W257" s="39">
        <f t="shared" ref="W257:AL257" si="552">E257/SUM(E242:E274)</f>
        <v>1.4493975153880852E-2</v>
      </c>
      <c r="X257" s="39">
        <f t="shared" si="552"/>
        <v>1.4493975153880852E-2</v>
      </c>
      <c r="Y257" s="39">
        <f t="shared" si="552"/>
        <v>1.4493975153880852E-2</v>
      </c>
      <c r="Z257" s="39">
        <f t="shared" si="552"/>
        <v>1.4493975153880852E-2</v>
      </c>
      <c r="AA257" s="39">
        <f t="shared" si="552"/>
        <v>1.4493975153880852E-2</v>
      </c>
      <c r="AB257" s="39">
        <f t="shared" si="552"/>
        <v>1.4493975153880852E-2</v>
      </c>
      <c r="AC257" s="39">
        <f t="shared" si="552"/>
        <v>1.4493975153880852E-2</v>
      </c>
      <c r="AD257" s="39">
        <f t="shared" si="552"/>
        <v>1.4493975153880852E-2</v>
      </c>
      <c r="AE257" s="39">
        <f t="shared" si="552"/>
        <v>1.4493975153880852E-2</v>
      </c>
      <c r="AF257" s="39">
        <f t="shared" si="552"/>
        <v>1.4493975153880852E-2</v>
      </c>
      <c r="AG257" s="39">
        <f t="shared" si="552"/>
        <v>1.4493975153880852E-2</v>
      </c>
      <c r="AH257" s="39">
        <f t="shared" si="552"/>
        <v>1.4493975153880852E-2</v>
      </c>
      <c r="AI257" s="39">
        <f t="shared" si="552"/>
        <v>1.4493975153880852E-2</v>
      </c>
      <c r="AJ257" s="39">
        <f t="shared" si="552"/>
        <v>1.4493975153880852E-2</v>
      </c>
      <c r="AK257" s="39">
        <f t="shared" si="552"/>
        <v>1.4493975153880852E-2</v>
      </c>
      <c r="AL257" s="39">
        <f t="shared" si="552"/>
        <v>1.4493975153880852E-2</v>
      </c>
      <c r="AM257" s="184">
        <f t="shared" si="538"/>
        <v>1.4493975153880852E-2</v>
      </c>
      <c r="AN257" s="184">
        <f t="shared" si="534"/>
        <v>1.4493975153880852E-2</v>
      </c>
      <c r="AO257" s="184">
        <f t="shared" si="534"/>
        <v>1.4493975153880852E-2</v>
      </c>
      <c r="AP257" s="184">
        <f t="shared" si="534"/>
        <v>1.4493975153880852E-2</v>
      </c>
      <c r="AQ257" s="184">
        <f t="shared" si="534"/>
        <v>1.4493975153880852E-2</v>
      </c>
      <c r="AR257" s="184">
        <f t="shared" si="534"/>
        <v>1.4493975153880852E-2</v>
      </c>
      <c r="AS257" s="184">
        <f t="shared" si="534"/>
        <v>1.4493975153880852E-2</v>
      </c>
      <c r="AT257" s="184">
        <f t="shared" si="534"/>
        <v>1.4493975153880852E-2</v>
      </c>
      <c r="AU257" s="184">
        <f t="shared" si="534"/>
        <v>1.4493975153880852E-2</v>
      </c>
      <c r="AV257" s="184">
        <f t="shared" si="534"/>
        <v>1.4493975153880852E-2</v>
      </c>
      <c r="AW257" s="184">
        <f t="shared" si="534"/>
        <v>1.4493975153880852E-2</v>
      </c>
      <c r="AX257" s="184">
        <f t="shared" si="534"/>
        <v>1.4493975153880852E-2</v>
      </c>
      <c r="AY257" s="184">
        <f t="shared" si="534"/>
        <v>1.4493975153880852E-2</v>
      </c>
      <c r="AZ257" s="184">
        <f t="shared" si="534"/>
        <v>1.4493975153880852E-2</v>
      </c>
      <c r="BA257" s="184">
        <f t="shared" si="534"/>
        <v>1.4493975153880852E-2</v>
      </c>
      <c r="BB257" s="184">
        <f t="shared" si="534"/>
        <v>1.4493975153880852E-2</v>
      </c>
      <c r="BC257" s="184">
        <f t="shared" si="534"/>
        <v>1.4493975153880852E-2</v>
      </c>
      <c r="BD257" s="184">
        <f t="shared" si="535"/>
        <v>1.4493975153880852E-2</v>
      </c>
      <c r="BE257" s="184">
        <f t="shared" si="535"/>
        <v>1.4493975153880852E-2</v>
      </c>
      <c r="BF257" s="184">
        <f t="shared" si="535"/>
        <v>1.4493975153880852E-2</v>
      </c>
    </row>
    <row r="258" spans="2:58">
      <c r="B258" t="s">
        <v>642</v>
      </c>
      <c r="C258" s="109">
        <v>13513.2</v>
      </c>
      <c r="D258" s="183">
        <f t="shared" si="536"/>
        <v>13513.2</v>
      </c>
      <c r="E258" s="182">
        <f t="shared" si="520"/>
        <v>13513.2</v>
      </c>
      <c r="F258" s="182">
        <f t="shared" si="521"/>
        <v>13513.2</v>
      </c>
      <c r="G258" s="182">
        <f t="shared" si="522"/>
        <v>13513.2</v>
      </c>
      <c r="H258" s="182">
        <f t="shared" si="523"/>
        <v>13513.2</v>
      </c>
      <c r="I258" s="182">
        <f t="shared" si="524"/>
        <v>13513.2</v>
      </c>
      <c r="J258" s="109">
        <v>13513.2</v>
      </c>
      <c r="K258" s="183">
        <f t="shared" si="525"/>
        <v>13513.2</v>
      </c>
      <c r="L258" s="183">
        <f t="shared" si="526"/>
        <v>13513.2</v>
      </c>
      <c r="M258" s="183">
        <f t="shared" si="527"/>
        <v>13513.2</v>
      </c>
      <c r="N258" s="183">
        <f t="shared" si="528"/>
        <v>13513.2</v>
      </c>
      <c r="O258" s="109">
        <v>13513.2</v>
      </c>
      <c r="P258" s="183">
        <f t="shared" si="529"/>
        <v>13513.2</v>
      </c>
      <c r="Q258" s="183">
        <f t="shared" si="530"/>
        <v>13513.2</v>
      </c>
      <c r="R258" s="183">
        <f t="shared" si="531"/>
        <v>13513.2</v>
      </c>
      <c r="S258" s="183">
        <f t="shared" si="532"/>
        <v>13513.2</v>
      </c>
      <c r="T258" s="109">
        <v>13513.2</v>
      </c>
      <c r="V258" t="s">
        <v>642</v>
      </c>
      <c r="W258" s="39">
        <f t="shared" ref="W258:AL258" si="553">E258/SUM(E242:E274)</f>
        <v>6.9805895347968385E-3</v>
      </c>
      <c r="X258" s="39">
        <f t="shared" si="553"/>
        <v>6.9805895347968385E-3</v>
      </c>
      <c r="Y258" s="39">
        <f t="shared" si="553"/>
        <v>6.9805895347968385E-3</v>
      </c>
      <c r="Z258" s="39">
        <f t="shared" si="553"/>
        <v>6.9805895347968385E-3</v>
      </c>
      <c r="AA258" s="39">
        <f t="shared" si="553"/>
        <v>6.9805895347968385E-3</v>
      </c>
      <c r="AB258" s="39">
        <f t="shared" si="553"/>
        <v>6.9805895347968385E-3</v>
      </c>
      <c r="AC258" s="39">
        <f t="shared" si="553"/>
        <v>6.9805895347968385E-3</v>
      </c>
      <c r="AD258" s="39">
        <f t="shared" si="553"/>
        <v>6.9805895347968385E-3</v>
      </c>
      <c r="AE258" s="39">
        <f t="shared" si="553"/>
        <v>6.9805895347968385E-3</v>
      </c>
      <c r="AF258" s="39">
        <f t="shared" si="553"/>
        <v>6.9805895347968385E-3</v>
      </c>
      <c r="AG258" s="39">
        <f t="shared" si="553"/>
        <v>6.9805895347968385E-3</v>
      </c>
      <c r="AH258" s="39">
        <f t="shared" si="553"/>
        <v>6.9805895347968385E-3</v>
      </c>
      <c r="AI258" s="39">
        <f t="shared" si="553"/>
        <v>6.9805895347968385E-3</v>
      </c>
      <c r="AJ258" s="39">
        <f t="shared" si="553"/>
        <v>6.9805895347968385E-3</v>
      </c>
      <c r="AK258" s="39">
        <f t="shared" si="553"/>
        <v>6.9805895347968385E-3</v>
      </c>
      <c r="AL258" s="39">
        <f t="shared" si="553"/>
        <v>6.9805895347968385E-3</v>
      </c>
      <c r="AM258" s="184">
        <f t="shared" si="538"/>
        <v>6.9805895347968385E-3</v>
      </c>
      <c r="AN258" s="184">
        <f t="shared" ref="AN258:AN276" si="554">AM258</f>
        <v>6.9805895347968385E-3</v>
      </c>
      <c r="AO258" s="184">
        <f t="shared" ref="AO258:AO276" si="555">AN258</f>
        <v>6.9805895347968385E-3</v>
      </c>
      <c r="AP258" s="184">
        <f t="shared" ref="AP258:AP276" si="556">AO258</f>
        <v>6.9805895347968385E-3</v>
      </c>
      <c r="AQ258" s="184">
        <f t="shared" ref="AQ258:AQ276" si="557">AP258</f>
        <v>6.9805895347968385E-3</v>
      </c>
      <c r="AR258" s="184">
        <f t="shared" ref="AR258:AR276" si="558">AQ258</f>
        <v>6.9805895347968385E-3</v>
      </c>
      <c r="AS258" s="184">
        <f t="shared" ref="AS258:AS276" si="559">AR258</f>
        <v>6.9805895347968385E-3</v>
      </c>
      <c r="AT258" s="184">
        <f t="shared" ref="AT258:AT276" si="560">AS258</f>
        <v>6.9805895347968385E-3</v>
      </c>
      <c r="AU258" s="184">
        <f t="shared" ref="AU258:AU276" si="561">AT258</f>
        <v>6.9805895347968385E-3</v>
      </c>
      <c r="AV258" s="184">
        <f t="shared" ref="AV258:AV276" si="562">AU258</f>
        <v>6.9805895347968385E-3</v>
      </c>
      <c r="AW258" s="184">
        <f t="shared" ref="AW258:AW276" si="563">AV258</f>
        <v>6.9805895347968385E-3</v>
      </c>
      <c r="AX258" s="184">
        <f t="shared" ref="AX258:AX276" si="564">AW258</f>
        <v>6.9805895347968385E-3</v>
      </c>
      <c r="AY258" s="184">
        <f t="shared" ref="AY258:AY276" si="565">AX258</f>
        <v>6.9805895347968385E-3</v>
      </c>
      <c r="AZ258" s="184">
        <f t="shared" ref="AZ258:AZ276" si="566">AY258</f>
        <v>6.9805895347968385E-3</v>
      </c>
      <c r="BA258" s="184">
        <f t="shared" ref="BA258:BA276" si="567">AZ258</f>
        <v>6.9805895347968385E-3</v>
      </c>
      <c r="BB258" s="184">
        <f t="shared" ref="BB258:BB276" si="568">BA258</f>
        <v>6.9805895347968385E-3</v>
      </c>
      <c r="BC258" s="184">
        <f t="shared" ref="BC258:BC276" si="569">BB258</f>
        <v>6.9805895347968385E-3</v>
      </c>
      <c r="BD258" s="184">
        <f t="shared" ref="BD258:BD276" si="570">BC258</f>
        <v>6.9805895347968385E-3</v>
      </c>
      <c r="BE258" s="184">
        <f t="shared" ref="BE258:BE276" si="571">BD258</f>
        <v>6.9805895347968385E-3</v>
      </c>
      <c r="BF258" s="184">
        <f t="shared" ref="BF258:BF276" si="572">BE258</f>
        <v>6.9805895347968385E-3</v>
      </c>
    </row>
    <row r="259" spans="2:58">
      <c r="B259" t="s">
        <v>643</v>
      </c>
      <c r="C259" s="109">
        <v>74516.2</v>
      </c>
      <c r="D259" s="183">
        <f t="shared" si="536"/>
        <v>74516.2</v>
      </c>
      <c r="E259" s="182">
        <f t="shared" si="520"/>
        <v>74516.2</v>
      </c>
      <c r="F259" s="182">
        <f t="shared" si="521"/>
        <v>74516.2</v>
      </c>
      <c r="G259" s="182">
        <f t="shared" si="522"/>
        <v>74516.2</v>
      </c>
      <c r="H259" s="182">
        <f t="shared" si="523"/>
        <v>74516.2</v>
      </c>
      <c r="I259" s="182">
        <f t="shared" si="524"/>
        <v>74516.2</v>
      </c>
      <c r="J259" s="109">
        <v>74516.2</v>
      </c>
      <c r="K259" s="183">
        <f t="shared" si="525"/>
        <v>74516.2</v>
      </c>
      <c r="L259" s="183">
        <f t="shared" si="526"/>
        <v>74516.2</v>
      </c>
      <c r="M259" s="183">
        <f t="shared" si="527"/>
        <v>74516.2</v>
      </c>
      <c r="N259" s="183">
        <f t="shared" si="528"/>
        <v>74516.2</v>
      </c>
      <c r="O259" s="109">
        <v>74516.2</v>
      </c>
      <c r="P259" s="183">
        <f t="shared" si="529"/>
        <v>74516.2</v>
      </c>
      <c r="Q259" s="183">
        <f t="shared" si="530"/>
        <v>74516.2</v>
      </c>
      <c r="R259" s="183">
        <f t="shared" si="531"/>
        <v>74516.2</v>
      </c>
      <c r="S259" s="183">
        <f t="shared" si="532"/>
        <v>74516.2</v>
      </c>
      <c r="T259" s="109">
        <v>74516.2</v>
      </c>
      <c r="V259" t="s">
        <v>643</v>
      </c>
      <c r="W259" s="39">
        <f t="shared" ref="W259:AL259" si="573">E259/SUM(E242:E274)</f>
        <v>3.849325147950361E-2</v>
      </c>
      <c r="X259" s="39">
        <f t="shared" si="573"/>
        <v>3.849325147950361E-2</v>
      </c>
      <c r="Y259" s="39">
        <f t="shared" si="573"/>
        <v>3.849325147950361E-2</v>
      </c>
      <c r="Z259" s="39">
        <f t="shared" si="573"/>
        <v>3.849325147950361E-2</v>
      </c>
      <c r="AA259" s="39">
        <f t="shared" si="573"/>
        <v>3.849325147950361E-2</v>
      </c>
      <c r="AB259" s="39">
        <f t="shared" si="573"/>
        <v>3.849325147950361E-2</v>
      </c>
      <c r="AC259" s="39">
        <f t="shared" si="573"/>
        <v>3.849325147950361E-2</v>
      </c>
      <c r="AD259" s="39">
        <f t="shared" si="573"/>
        <v>3.849325147950361E-2</v>
      </c>
      <c r="AE259" s="39">
        <f t="shared" si="573"/>
        <v>3.849325147950361E-2</v>
      </c>
      <c r="AF259" s="39">
        <f t="shared" si="573"/>
        <v>3.849325147950361E-2</v>
      </c>
      <c r="AG259" s="39">
        <f t="shared" si="573"/>
        <v>3.849325147950361E-2</v>
      </c>
      <c r="AH259" s="39">
        <f t="shared" si="573"/>
        <v>3.849325147950361E-2</v>
      </c>
      <c r="AI259" s="39">
        <f t="shared" si="573"/>
        <v>3.849325147950361E-2</v>
      </c>
      <c r="AJ259" s="39">
        <f t="shared" si="573"/>
        <v>3.849325147950361E-2</v>
      </c>
      <c r="AK259" s="39">
        <f t="shared" si="573"/>
        <v>3.849325147950361E-2</v>
      </c>
      <c r="AL259" s="39">
        <f t="shared" si="573"/>
        <v>3.849325147950361E-2</v>
      </c>
      <c r="AM259" s="184">
        <f t="shared" si="538"/>
        <v>3.849325147950361E-2</v>
      </c>
      <c r="AN259" s="184">
        <f t="shared" si="554"/>
        <v>3.849325147950361E-2</v>
      </c>
      <c r="AO259" s="184">
        <f t="shared" si="555"/>
        <v>3.849325147950361E-2</v>
      </c>
      <c r="AP259" s="184">
        <f t="shared" si="556"/>
        <v>3.849325147950361E-2</v>
      </c>
      <c r="AQ259" s="184">
        <f t="shared" si="557"/>
        <v>3.849325147950361E-2</v>
      </c>
      <c r="AR259" s="184">
        <f t="shared" si="558"/>
        <v>3.849325147950361E-2</v>
      </c>
      <c r="AS259" s="184">
        <f t="shared" si="559"/>
        <v>3.849325147950361E-2</v>
      </c>
      <c r="AT259" s="184">
        <f t="shared" si="560"/>
        <v>3.849325147950361E-2</v>
      </c>
      <c r="AU259" s="184">
        <f t="shared" si="561"/>
        <v>3.849325147950361E-2</v>
      </c>
      <c r="AV259" s="184">
        <f t="shared" si="562"/>
        <v>3.849325147950361E-2</v>
      </c>
      <c r="AW259" s="184">
        <f t="shared" si="563"/>
        <v>3.849325147950361E-2</v>
      </c>
      <c r="AX259" s="184">
        <f t="shared" si="564"/>
        <v>3.849325147950361E-2</v>
      </c>
      <c r="AY259" s="184">
        <f t="shared" si="565"/>
        <v>3.849325147950361E-2</v>
      </c>
      <c r="AZ259" s="184">
        <f t="shared" si="566"/>
        <v>3.849325147950361E-2</v>
      </c>
      <c r="BA259" s="184">
        <f t="shared" si="567"/>
        <v>3.849325147950361E-2</v>
      </c>
      <c r="BB259" s="184">
        <f t="shared" si="568"/>
        <v>3.849325147950361E-2</v>
      </c>
      <c r="BC259" s="184">
        <f t="shared" si="569"/>
        <v>3.849325147950361E-2</v>
      </c>
      <c r="BD259" s="184">
        <f t="shared" si="570"/>
        <v>3.849325147950361E-2</v>
      </c>
      <c r="BE259" s="184">
        <f t="shared" si="571"/>
        <v>3.849325147950361E-2</v>
      </c>
      <c r="BF259" s="184">
        <f t="shared" si="572"/>
        <v>3.849325147950361E-2</v>
      </c>
    </row>
    <row r="260" spans="2:58">
      <c r="B260" t="s">
        <v>644</v>
      </c>
      <c r="C260" s="109">
        <v>20000</v>
      </c>
      <c r="D260" s="183">
        <f t="shared" si="536"/>
        <v>20000</v>
      </c>
      <c r="E260" s="182">
        <f t="shared" si="520"/>
        <v>20000</v>
      </c>
      <c r="F260" s="182">
        <f t="shared" si="521"/>
        <v>20000</v>
      </c>
      <c r="G260" s="182">
        <f t="shared" si="522"/>
        <v>20000</v>
      </c>
      <c r="H260" s="182">
        <f t="shared" si="523"/>
        <v>20000</v>
      </c>
      <c r="I260" s="182">
        <f t="shared" si="524"/>
        <v>20000</v>
      </c>
      <c r="J260" s="109">
        <v>20000</v>
      </c>
      <c r="K260" s="183">
        <f t="shared" si="525"/>
        <v>20000</v>
      </c>
      <c r="L260" s="183">
        <f t="shared" si="526"/>
        <v>20000</v>
      </c>
      <c r="M260" s="183">
        <f t="shared" si="527"/>
        <v>20000</v>
      </c>
      <c r="N260" s="183">
        <f t="shared" si="528"/>
        <v>20000</v>
      </c>
      <c r="O260" s="109">
        <v>20000</v>
      </c>
      <c r="P260" s="183">
        <f t="shared" si="529"/>
        <v>20000</v>
      </c>
      <c r="Q260" s="183">
        <f t="shared" si="530"/>
        <v>20000</v>
      </c>
      <c r="R260" s="183">
        <f t="shared" si="531"/>
        <v>20000</v>
      </c>
      <c r="S260" s="183">
        <f t="shared" si="532"/>
        <v>20000</v>
      </c>
      <c r="T260" s="109">
        <v>20000</v>
      </c>
      <c r="V260" t="s">
        <v>644</v>
      </c>
      <c r="W260" s="39">
        <f t="shared" ref="W260:AL260" si="574">E260/SUM(E242:E274)</f>
        <v>1.0331512202582421E-2</v>
      </c>
      <c r="X260" s="39">
        <f t="shared" si="574"/>
        <v>1.0331512202582421E-2</v>
      </c>
      <c r="Y260" s="39">
        <f t="shared" si="574"/>
        <v>1.0331512202582421E-2</v>
      </c>
      <c r="Z260" s="39">
        <f t="shared" si="574"/>
        <v>1.0331512202582421E-2</v>
      </c>
      <c r="AA260" s="39">
        <f t="shared" si="574"/>
        <v>1.0331512202582421E-2</v>
      </c>
      <c r="AB260" s="39">
        <f t="shared" si="574"/>
        <v>1.0331512202582421E-2</v>
      </c>
      <c r="AC260" s="39">
        <f t="shared" si="574"/>
        <v>1.0331512202582421E-2</v>
      </c>
      <c r="AD260" s="39">
        <f t="shared" si="574"/>
        <v>1.0331512202582421E-2</v>
      </c>
      <c r="AE260" s="39">
        <f t="shared" si="574"/>
        <v>1.0331512202582421E-2</v>
      </c>
      <c r="AF260" s="39">
        <f t="shared" si="574"/>
        <v>1.0331512202582421E-2</v>
      </c>
      <c r="AG260" s="39">
        <f t="shared" si="574"/>
        <v>1.0331512202582421E-2</v>
      </c>
      <c r="AH260" s="39">
        <f t="shared" si="574"/>
        <v>1.0331512202582421E-2</v>
      </c>
      <c r="AI260" s="39">
        <f t="shared" si="574"/>
        <v>1.0331512202582421E-2</v>
      </c>
      <c r="AJ260" s="39">
        <f t="shared" si="574"/>
        <v>1.0331512202582421E-2</v>
      </c>
      <c r="AK260" s="39">
        <f t="shared" si="574"/>
        <v>1.0331512202582421E-2</v>
      </c>
      <c r="AL260" s="39">
        <f t="shared" si="574"/>
        <v>1.0331512202582421E-2</v>
      </c>
      <c r="AM260" s="184">
        <f t="shared" si="538"/>
        <v>1.0331512202582421E-2</v>
      </c>
      <c r="AN260" s="184">
        <f t="shared" si="554"/>
        <v>1.0331512202582421E-2</v>
      </c>
      <c r="AO260" s="184">
        <f t="shared" si="555"/>
        <v>1.0331512202582421E-2</v>
      </c>
      <c r="AP260" s="184">
        <f t="shared" si="556"/>
        <v>1.0331512202582421E-2</v>
      </c>
      <c r="AQ260" s="184">
        <f t="shared" si="557"/>
        <v>1.0331512202582421E-2</v>
      </c>
      <c r="AR260" s="184">
        <f t="shared" si="558"/>
        <v>1.0331512202582421E-2</v>
      </c>
      <c r="AS260" s="184">
        <f t="shared" si="559"/>
        <v>1.0331512202582421E-2</v>
      </c>
      <c r="AT260" s="184">
        <f t="shared" si="560"/>
        <v>1.0331512202582421E-2</v>
      </c>
      <c r="AU260" s="184">
        <f t="shared" si="561"/>
        <v>1.0331512202582421E-2</v>
      </c>
      <c r="AV260" s="184">
        <f t="shared" si="562"/>
        <v>1.0331512202582421E-2</v>
      </c>
      <c r="AW260" s="184">
        <f t="shared" si="563"/>
        <v>1.0331512202582421E-2</v>
      </c>
      <c r="AX260" s="184">
        <f t="shared" si="564"/>
        <v>1.0331512202582421E-2</v>
      </c>
      <c r="AY260" s="184">
        <f t="shared" si="565"/>
        <v>1.0331512202582421E-2</v>
      </c>
      <c r="AZ260" s="184">
        <f t="shared" si="566"/>
        <v>1.0331512202582421E-2</v>
      </c>
      <c r="BA260" s="184">
        <f t="shared" si="567"/>
        <v>1.0331512202582421E-2</v>
      </c>
      <c r="BB260" s="184">
        <f t="shared" si="568"/>
        <v>1.0331512202582421E-2</v>
      </c>
      <c r="BC260" s="184">
        <f t="shared" si="569"/>
        <v>1.0331512202582421E-2</v>
      </c>
      <c r="BD260" s="184">
        <f t="shared" si="570"/>
        <v>1.0331512202582421E-2</v>
      </c>
      <c r="BE260" s="184">
        <f t="shared" si="571"/>
        <v>1.0331512202582421E-2</v>
      </c>
      <c r="BF260" s="184">
        <f t="shared" si="572"/>
        <v>1.0331512202582421E-2</v>
      </c>
    </row>
    <row r="261" spans="2:58">
      <c r="B261" t="s">
        <v>645</v>
      </c>
      <c r="C261" s="109">
        <v>10658.803000190735</v>
      </c>
      <c r="D261" s="183">
        <f t="shared" si="536"/>
        <v>10658.803000190735</v>
      </c>
      <c r="E261" s="182">
        <f t="shared" si="520"/>
        <v>10658.803000190735</v>
      </c>
      <c r="F261" s="182">
        <f t="shared" si="521"/>
        <v>10658.803000190735</v>
      </c>
      <c r="G261" s="182">
        <f t="shared" si="522"/>
        <v>10658.803000190735</v>
      </c>
      <c r="H261" s="182">
        <f t="shared" si="523"/>
        <v>10658.803000190735</v>
      </c>
      <c r="I261" s="182">
        <f t="shared" si="524"/>
        <v>10658.803000190735</v>
      </c>
      <c r="J261" s="109">
        <v>10658.803000190735</v>
      </c>
      <c r="K261" s="183">
        <f t="shared" si="525"/>
        <v>10658.803000190735</v>
      </c>
      <c r="L261" s="183">
        <f t="shared" si="526"/>
        <v>10658.803000190735</v>
      </c>
      <c r="M261" s="183">
        <f t="shared" si="527"/>
        <v>10658.803000190735</v>
      </c>
      <c r="N261" s="183">
        <f t="shared" si="528"/>
        <v>10658.803000190735</v>
      </c>
      <c r="O261" s="109">
        <v>10658.803000190735</v>
      </c>
      <c r="P261" s="183">
        <f t="shared" si="529"/>
        <v>10658.803000190735</v>
      </c>
      <c r="Q261" s="183">
        <f t="shared" si="530"/>
        <v>10658.803000190735</v>
      </c>
      <c r="R261" s="183">
        <f t="shared" si="531"/>
        <v>10658.803000190735</v>
      </c>
      <c r="S261" s="183">
        <f t="shared" si="532"/>
        <v>10658.803000190735</v>
      </c>
      <c r="T261" s="109">
        <v>10658.803000190735</v>
      </c>
      <c r="V261" t="s">
        <v>645</v>
      </c>
      <c r="W261" s="39">
        <f t="shared" ref="W261:AL261" si="575">E261/SUM(E242:E274)</f>
        <v>5.5060776630696355E-3</v>
      </c>
      <c r="X261" s="39">
        <f t="shared" si="575"/>
        <v>5.5060776630696355E-3</v>
      </c>
      <c r="Y261" s="39">
        <f t="shared" si="575"/>
        <v>5.5060776630696355E-3</v>
      </c>
      <c r="Z261" s="39">
        <f t="shared" si="575"/>
        <v>5.5060776630696355E-3</v>
      </c>
      <c r="AA261" s="39">
        <f t="shared" si="575"/>
        <v>5.5060776630696355E-3</v>
      </c>
      <c r="AB261" s="39">
        <f t="shared" si="575"/>
        <v>5.5060776630696355E-3</v>
      </c>
      <c r="AC261" s="39">
        <f t="shared" si="575"/>
        <v>5.5060776630696355E-3</v>
      </c>
      <c r="AD261" s="39">
        <f t="shared" si="575"/>
        <v>5.5060776630696355E-3</v>
      </c>
      <c r="AE261" s="39">
        <f t="shared" si="575"/>
        <v>5.5060776630696355E-3</v>
      </c>
      <c r="AF261" s="39">
        <f t="shared" si="575"/>
        <v>5.5060776630696355E-3</v>
      </c>
      <c r="AG261" s="39">
        <f t="shared" si="575"/>
        <v>5.5060776630696355E-3</v>
      </c>
      <c r="AH261" s="39">
        <f t="shared" si="575"/>
        <v>5.5060776630696355E-3</v>
      </c>
      <c r="AI261" s="39">
        <f t="shared" si="575"/>
        <v>5.5060776630696355E-3</v>
      </c>
      <c r="AJ261" s="39">
        <f t="shared" si="575"/>
        <v>5.5060776630696355E-3</v>
      </c>
      <c r="AK261" s="39">
        <f t="shared" si="575"/>
        <v>5.5060776630696355E-3</v>
      </c>
      <c r="AL261" s="39">
        <f t="shared" si="575"/>
        <v>5.5060776630696355E-3</v>
      </c>
      <c r="AM261" s="184">
        <f t="shared" si="538"/>
        <v>5.5060776630696355E-3</v>
      </c>
      <c r="AN261" s="184">
        <f t="shared" si="554"/>
        <v>5.5060776630696355E-3</v>
      </c>
      <c r="AO261" s="184">
        <f t="shared" si="555"/>
        <v>5.5060776630696355E-3</v>
      </c>
      <c r="AP261" s="184">
        <f t="shared" si="556"/>
        <v>5.5060776630696355E-3</v>
      </c>
      <c r="AQ261" s="184">
        <f t="shared" si="557"/>
        <v>5.5060776630696355E-3</v>
      </c>
      <c r="AR261" s="184">
        <f t="shared" si="558"/>
        <v>5.5060776630696355E-3</v>
      </c>
      <c r="AS261" s="184">
        <f t="shared" si="559"/>
        <v>5.5060776630696355E-3</v>
      </c>
      <c r="AT261" s="184">
        <f t="shared" si="560"/>
        <v>5.5060776630696355E-3</v>
      </c>
      <c r="AU261" s="184">
        <f t="shared" si="561"/>
        <v>5.5060776630696355E-3</v>
      </c>
      <c r="AV261" s="184">
        <f t="shared" si="562"/>
        <v>5.5060776630696355E-3</v>
      </c>
      <c r="AW261" s="184">
        <f t="shared" si="563"/>
        <v>5.5060776630696355E-3</v>
      </c>
      <c r="AX261" s="184">
        <f t="shared" si="564"/>
        <v>5.5060776630696355E-3</v>
      </c>
      <c r="AY261" s="184">
        <f t="shared" si="565"/>
        <v>5.5060776630696355E-3</v>
      </c>
      <c r="AZ261" s="184">
        <f t="shared" si="566"/>
        <v>5.5060776630696355E-3</v>
      </c>
      <c r="BA261" s="184">
        <f t="shared" si="567"/>
        <v>5.5060776630696355E-3</v>
      </c>
      <c r="BB261" s="184">
        <f t="shared" si="568"/>
        <v>5.5060776630696355E-3</v>
      </c>
      <c r="BC261" s="184">
        <f t="shared" si="569"/>
        <v>5.5060776630696355E-3</v>
      </c>
      <c r="BD261" s="184">
        <f t="shared" si="570"/>
        <v>5.5060776630696355E-3</v>
      </c>
      <c r="BE261" s="184">
        <f t="shared" si="571"/>
        <v>5.5060776630696355E-3</v>
      </c>
      <c r="BF261" s="184">
        <f t="shared" si="572"/>
        <v>5.5060776630696355E-3</v>
      </c>
    </row>
    <row r="262" spans="2:58">
      <c r="B262" t="s">
        <v>646</v>
      </c>
      <c r="C262" s="109">
        <v>0</v>
      </c>
      <c r="D262" s="183">
        <f t="shared" si="536"/>
        <v>0</v>
      </c>
      <c r="E262" s="182">
        <f t="shared" si="520"/>
        <v>0</v>
      </c>
      <c r="F262" s="182">
        <f t="shared" si="521"/>
        <v>0</v>
      </c>
      <c r="G262" s="182">
        <f t="shared" si="522"/>
        <v>0</v>
      </c>
      <c r="H262" s="182">
        <f t="shared" si="523"/>
        <v>0</v>
      </c>
      <c r="I262" s="182">
        <f t="shared" si="524"/>
        <v>0</v>
      </c>
      <c r="J262" s="109">
        <v>0</v>
      </c>
      <c r="K262" s="183">
        <f t="shared" si="525"/>
        <v>0</v>
      </c>
      <c r="L262" s="183">
        <f t="shared" si="526"/>
        <v>0</v>
      </c>
      <c r="M262" s="183">
        <f t="shared" si="527"/>
        <v>0</v>
      </c>
      <c r="N262" s="183">
        <f t="shared" si="528"/>
        <v>0</v>
      </c>
      <c r="O262" s="109">
        <v>0</v>
      </c>
      <c r="P262" s="183">
        <f t="shared" si="529"/>
        <v>0</v>
      </c>
      <c r="Q262" s="183">
        <f t="shared" si="530"/>
        <v>0</v>
      </c>
      <c r="R262" s="183">
        <f t="shared" si="531"/>
        <v>0</v>
      </c>
      <c r="S262" s="183">
        <f t="shared" si="532"/>
        <v>0</v>
      </c>
      <c r="T262" s="109">
        <v>0</v>
      </c>
      <c r="V262" t="s">
        <v>646</v>
      </c>
      <c r="W262" s="39">
        <f t="shared" ref="W262:AL262" si="576">E262/SUM(E242:E274)</f>
        <v>0</v>
      </c>
      <c r="X262" s="39">
        <f t="shared" si="576"/>
        <v>0</v>
      </c>
      <c r="Y262" s="39">
        <f t="shared" si="576"/>
        <v>0</v>
      </c>
      <c r="Z262" s="39">
        <f t="shared" si="576"/>
        <v>0</v>
      </c>
      <c r="AA262" s="39">
        <f t="shared" si="576"/>
        <v>0</v>
      </c>
      <c r="AB262" s="39">
        <f t="shared" si="576"/>
        <v>0</v>
      </c>
      <c r="AC262" s="39">
        <f t="shared" si="576"/>
        <v>0</v>
      </c>
      <c r="AD262" s="39">
        <f t="shared" si="576"/>
        <v>0</v>
      </c>
      <c r="AE262" s="39">
        <f t="shared" si="576"/>
        <v>0</v>
      </c>
      <c r="AF262" s="39">
        <f t="shared" si="576"/>
        <v>0</v>
      </c>
      <c r="AG262" s="39">
        <f t="shared" si="576"/>
        <v>0</v>
      </c>
      <c r="AH262" s="39">
        <f t="shared" si="576"/>
        <v>0</v>
      </c>
      <c r="AI262" s="39">
        <f t="shared" si="576"/>
        <v>0</v>
      </c>
      <c r="AJ262" s="39">
        <f t="shared" si="576"/>
        <v>0</v>
      </c>
      <c r="AK262" s="39">
        <f t="shared" si="576"/>
        <v>0</v>
      </c>
      <c r="AL262" s="39">
        <f t="shared" si="576"/>
        <v>0</v>
      </c>
      <c r="AM262" s="184">
        <f t="shared" si="538"/>
        <v>0</v>
      </c>
      <c r="AN262" s="184">
        <f t="shared" si="554"/>
        <v>0</v>
      </c>
      <c r="AO262" s="184">
        <f t="shared" si="555"/>
        <v>0</v>
      </c>
      <c r="AP262" s="184">
        <f t="shared" si="556"/>
        <v>0</v>
      </c>
      <c r="AQ262" s="184">
        <f t="shared" si="557"/>
        <v>0</v>
      </c>
      <c r="AR262" s="184">
        <f t="shared" si="558"/>
        <v>0</v>
      </c>
      <c r="AS262" s="184">
        <f t="shared" si="559"/>
        <v>0</v>
      </c>
      <c r="AT262" s="184">
        <f t="shared" si="560"/>
        <v>0</v>
      </c>
      <c r="AU262" s="184">
        <f t="shared" si="561"/>
        <v>0</v>
      </c>
      <c r="AV262" s="184">
        <f t="shared" si="562"/>
        <v>0</v>
      </c>
      <c r="AW262" s="184">
        <f t="shared" si="563"/>
        <v>0</v>
      </c>
      <c r="AX262" s="184">
        <f t="shared" si="564"/>
        <v>0</v>
      </c>
      <c r="AY262" s="184">
        <f t="shared" si="565"/>
        <v>0</v>
      </c>
      <c r="AZ262" s="184">
        <f t="shared" si="566"/>
        <v>0</v>
      </c>
      <c r="BA262" s="184">
        <f t="shared" si="567"/>
        <v>0</v>
      </c>
      <c r="BB262" s="184">
        <f t="shared" si="568"/>
        <v>0</v>
      </c>
      <c r="BC262" s="184">
        <f t="shared" si="569"/>
        <v>0</v>
      </c>
      <c r="BD262" s="184">
        <f t="shared" si="570"/>
        <v>0</v>
      </c>
      <c r="BE262" s="184">
        <f t="shared" si="571"/>
        <v>0</v>
      </c>
      <c r="BF262" s="184">
        <f t="shared" si="572"/>
        <v>0</v>
      </c>
    </row>
    <row r="263" spans="2:58">
      <c r="B263" t="s">
        <v>648</v>
      </c>
      <c r="C263" s="109">
        <v>14000</v>
      </c>
      <c r="D263" s="183">
        <f t="shared" si="536"/>
        <v>14000</v>
      </c>
      <c r="E263" s="182">
        <f t="shared" si="520"/>
        <v>14000</v>
      </c>
      <c r="F263" s="182">
        <f t="shared" si="521"/>
        <v>14000</v>
      </c>
      <c r="G263" s="182">
        <f t="shared" si="522"/>
        <v>14000</v>
      </c>
      <c r="H263" s="182">
        <f t="shared" si="523"/>
        <v>14000</v>
      </c>
      <c r="I263" s="182">
        <f t="shared" si="524"/>
        <v>14000</v>
      </c>
      <c r="J263" s="109">
        <v>14000</v>
      </c>
      <c r="K263" s="183">
        <f t="shared" si="525"/>
        <v>14000</v>
      </c>
      <c r="L263" s="183">
        <f t="shared" si="526"/>
        <v>14000</v>
      </c>
      <c r="M263" s="183">
        <f t="shared" si="527"/>
        <v>14000</v>
      </c>
      <c r="N263" s="183">
        <f t="shared" si="528"/>
        <v>14000</v>
      </c>
      <c r="O263" s="109">
        <v>14000</v>
      </c>
      <c r="P263" s="183">
        <f t="shared" si="529"/>
        <v>14000</v>
      </c>
      <c r="Q263" s="183">
        <f t="shared" si="530"/>
        <v>14000</v>
      </c>
      <c r="R263" s="183">
        <f t="shared" si="531"/>
        <v>14000</v>
      </c>
      <c r="S263" s="183">
        <f t="shared" si="532"/>
        <v>14000</v>
      </c>
      <c r="T263" s="109">
        <v>14000</v>
      </c>
      <c r="V263" t="s">
        <v>648</v>
      </c>
      <c r="W263" s="39">
        <f t="shared" ref="W263:AL263" si="577">E263/SUM(E242:E274)</f>
        <v>7.2320585418076946E-3</v>
      </c>
      <c r="X263" s="39">
        <f t="shared" si="577"/>
        <v>7.2320585418076946E-3</v>
      </c>
      <c r="Y263" s="39">
        <f t="shared" si="577"/>
        <v>7.2320585418076946E-3</v>
      </c>
      <c r="Z263" s="39">
        <f t="shared" si="577"/>
        <v>7.2320585418076946E-3</v>
      </c>
      <c r="AA263" s="39">
        <f t="shared" si="577"/>
        <v>7.2320585418076946E-3</v>
      </c>
      <c r="AB263" s="39">
        <f t="shared" si="577"/>
        <v>7.2320585418076946E-3</v>
      </c>
      <c r="AC263" s="39">
        <f t="shared" si="577"/>
        <v>7.2320585418076946E-3</v>
      </c>
      <c r="AD263" s="39">
        <f t="shared" si="577"/>
        <v>7.2320585418076946E-3</v>
      </c>
      <c r="AE263" s="39">
        <f t="shared" si="577"/>
        <v>7.2320585418076946E-3</v>
      </c>
      <c r="AF263" s="39">
        <f t="shared" si="577"/>
        <v>7.2320585418076946E-3</v>
      </c>
      <c r="AG263" s="39">
        <f t="shared" si="577"/>
        <v>7.2320585418076946E-3</v>
      </c>
      <c r="AH263" s="39">
        <f t="shared" si="577"/>
        <v>7.2320585418076946E-3</v>
      </c>
      <c r="AI263" s="39">
        <f t="shared" si="577"/>
        <v>7.2320585418076946E-3</v>
      </c>
      <c r="AJ263" s="39">
        <f t="shared" si="577"/>
        <v>7.2320585418076946E-3</v>
      </c>
      <c r="AK263" s="39">
        <f t="shared" si="577"/>
        <v>7.2320585418076946E-3</v>
      </c>
      <c r="AL263" s="39">
        <f t="shared" si="577"/>
        <v>7.2320585418076946E-3</v>
      </c>
      <c r="AM263" s="184">
        <f t="shared" si="538"/>
        <v>7.2320585418076946E-3</v>
      </c>
      <c r="AN263" s="184">
        <f t="shared" si="554"/>
        <v>7.2320585418076946E-3</v>
      </c>
      <c r="AO263" s="184">
        <f t="shared" si="555"/>
        <v>7.2320585418076946E-3</v>
      </c>
      <c r="AP263" s="184">
        <f t="shared" si="556"/>
        <v>7.2320585418076946E-3</v>
      </c>
      <c r="AQ263" s="184">
        <f t="shared" si="557"/>
        <v>7.2320585418076946E-3</v>
      </c>
      <c r="AR263" s="184">
        <f t="shared" si="558"/>
        <v>7.2320585418076946E-3</v>
      </c>
      <c r="AS263" s="184">
        <f t="shared" si="559"/>
        <v>7.2320585418076946E-3</v>
      </c>
      <c r="AT263" s="184">
        <f t="shared" si="560"/>
        <v>7.2320585418076946E-3</v>
      </c>
      <c r="AU263" s="184">
        <f t="shared" si="561"/>
        <v>7.2320585418076946E-3</v>
      </c>
      <c r="AV263" s="184">
        <f t="shared" si="562"/>
        <v>7.2320585418076946E-3</v>
      </c>
      <c r="AW263" s="184">
        <f t="shared" si="563"/>
        <v>7.2320585418076946E-3</v>
      </c>
      <c r="AX263" s="184">
        <f t="shared" si="564"/>
        <v>7.2320585418076946E-3</v>
      </c>
      <c r="AY263" s="184">
        <f t="shared" si="565"/>
        <v>7.2320585418076946E-3</v>
      </c>
      <c r="AZ263" s="184">
        <f t="shared" si="566"/>
        <v>7.2320585418076946E-3</v>
      </c>
      <c r="BA263" s="184">
        <f t="shared" si="567"/>
        <v>7.2320585418076946E-3</v>
      </c>
      <c r="BB263" s="184">
        <f t="shared" si="568"/>
        <v>7.2320585418076946E-3</v>
      </c>
      <c r="BC263" s="184">
        <f t="shared" si="569"/>
        <v>7.2320585418076946E-3</v>
      </c>
      <c r="BD263" s="184">
        <f t="shared" si="570"/>
        <v>7.2320585418076946E-3</v>
      </c>
      <c r="BE263" s="184">
        <f t="shared" si="571"/>
        <v>7.2320585418076946E-3</v>
      </c>
      <c r="BF263" s="184">
        <f t="shared" si="572"/>
        <v>7.2320585418076946E-3</v>
      </c>
    </row>
    <row r="264" spans="2:58">
      <c r="B264" t="s">
        <v>649</v>
      </c>
      <c r="C264" s="109">
        <v>0</v>
      </c>
      <c r="D264" s="183">
        <f t="shared" si="536"/>
        <v>0</v>
      </c>
      <c r="E264" s="182">
        <f t="shared" si="520"/>
        <v>0</v>
      </c>
      <c r="F264" s="182">
        <f t="shared" si="521"/>
        <v>0</v>
      </c>
      <c r="G264" s="182">
        <f t="shared" si="522"/>
        <v>0</v>
      </c>
      <c r="H264" s="182">
        <f t="shared" si="523"/>
        <v>0</v>
      </c>
      <c r="I264" s="182">
        <f t="shared" si="524"/>
        <v>0</v>
      </c>
      <c r="J264" s="109">
        <v>0</v>
      </c>
      <c r="K264" s="183">
        <f t="shared" si="525"/>
        <v>0</v>
      </c>
      <c r="L264" s="183">
        <f t="shared" si="526"/>
        <v>0</v>
      </c>
      <c r="M264" s="183">
        <f t="shared" si="527"/>
        <v>0</v>
      </c>
      <c r="N264" s="183">
        <f t="shared" si="528"/>
        <v>0</v>
      </c>
      <c r="O264" s="109">
        <v>0</v>
      </c>
      <c r="P264" s="183">
        <f t="shared" si="529"/>
        <v>0</v>
      </c>
      <c r="Q264" s="183">
        <f t="shared" si="530"/>
        <v>0</v>
      </c>
      <c r="R264" s="183">
        <f t="shared" si="531"/>
        <v>0</v>
      </c>
      <c r="S264" s="183">
        <f t="shared" si="532"/>
        <v>0</v>
      </c>
      <c r="T264" s="109">
        <v>0</v>
      </c>
      <c r="V264" t="s">
        <v>649</v>
      </c>
      <c r="W264" s="39">
        <f t="shared" ref="W264:AL264" si="578">E264/SUM(E242:E274)</f>
        <v>0</v>
      </c>
      <c r="X264" s="39">
        <f t="shared" si="578"/>
        <v>0</v>
      </c>
      <c r="Y264" s="39">
        <f t="shared" si="578"/>
        <v>0</v>
      </c>
      <c r="Z264" s="39">
        <f t="shared" si="578"/>
        <v>0</v>
      </c>
      <c r="AA264" s="39">
        <f t="shared" si="578"/>
        <v>0</v>
      </c>
      <c r="AB264" s="39">
        <f t="shared" si="578"/>
        <v>0</v>
      </c>
      <c r="AC264" s="39">
        <f t="shared" si="578"/>
        <v>0</v>
      </c>
      <c r="AD264" s="39">
        <f t="shared" si="578"/>
        <v>0</v>
      </c>
      <c r="AE264" s="39">
        <f t="shared" si="578"/>
        <v>0</v>
      </c>
      <c r="AF264" s="39">
        <f t="shared" si="578"/>
        <v>0</v>
      </c>
      <c r="AG264" s="39">
        <f t="shared" si="578"/>
        <v>0</v>
      </c>
      <c r="AH264" s="39">
        <f t="shared" si="578"/>
        <v>0</v>
      </c>
      <c r="AI264" s="39">
        <f t="shared" si="578"/>
        <v>0</v>
      </c>
      <c r="AJ264" s="39">
        <f t="shared" si="578"/>
        <v>0</v>
      </c>
      <c r="AK264" s="39">
        <f t="shared" si="578"/>
        <v>0</v>
      </c>
      <c r="AL264" s="39">
        <f t="shared" si="578"/>
        <v>0</v>
      </c>
      <c r="AM264" s="184">
        <f t="shared" si="538"/>
        <v>0</v>
      </c>
      <c r="AN264" s="184">
        <f t="shared" si="554"/>
        <v>0</v>
      </c>
      <c r="AO264" s="184">
        <f t="shared" si="555"/>
        <v>0</v>
      </c>
      <c r="AP264" s="184">
        <f t="shared" si="556"/>
        <v>0</v>
      </c>
      <c r="AQ264" s="184">
        <f t="shared" si="557"/>
        <v>0</v>
      </c>
      <c r="AR264" s="184">
        <f t="shared" si="558"/>
        <v>0</v>
      </c>
      <c r="AS264" s="184">
        <f t="shared" si="559"/>
        <v>0</v>
      </c>
      <c r="AT264" s="184">
        <f t="shared" si="560"/>
        <v>0</v>
      </c>
      <c r="AU264" s="184">
        <f t="shared" si="561"/>
        <v>0</v>
      </c>
      <c r="AV264" s="184">
        <f t="shared" si="562"/>
        <v>0</v>
      </c>
      <c r="AW264" s="184">
        <f t="shared" si="563"/>
        <v>0</v>
      </c>
      <c r="AX264" s="184">
        <f t="shared" si="564"/>
        <v>0</v>
      </c>
      <c r="AY264" s="184">
        <f t="shared" si="565"/>
        <v>0</v>
      </c>
      <c r="AZ264" s="184">
        <f t="shared" si="566"/>
        <v>0</v>
      </c>
      <c r="BA264" s="184">
        <f t="shared" si="567"/>
        <v>0</v>
      </c>
      <c r="BB264" s="184">
        <f t="shared" si="568"/>
        <v>0</v>
      </c>
      <c r="BC264" s="184">
        <f t="shared" si="569"/>
        <v>0</v>
      </c>
      <c r="BD264" s="184">
        <f t="shared" si="570"/>
        <v>0</v>
      </c>
      <c r="BE264" s="184">
        <f t="shared" si="571"/>
        <v>0</v>
      </c>
      <c r="BF264" s="184">
        <f t="shared" si="572"/>
        <v>0</v>
      </c>
    </row>
    <row r="265" spans="2:58">
      <c r="B265" t="s">
        <v>650</v>
      </c>
      <c r="C265" s="109">
        <v>404000</v>
      </c>
      <c r="D265" s="183">
        <f t="shared" si="536"/>
        <v>404000</v>
      </c>
      <c r="E265" s="182">
        <f t="shared" si="520"/>
        <v>404000</v>
      </c>
      <c r="F265" s="182">
        <f t="shared" si="521"/>
        <v>404000</v>
      </c>
      <c r="G265" s="182">
        <f t="shared" si="522"/>
        <v>404000</v>
      </c>
      <c r="H265" s="182">
        <f t="shared" si="523"/>
        <v>404000</v>
      </c>
      <c r="I265" s="182">
        <f t="shared" si="524"/>
        <v>404000</v>
      </c>
      <c r="J265" s="109">
        <v>404000</v>
      </c>
      <c r="K265" s="183">
        <f t="shared" si="525"/>
        <v>404000</v>
      </c>
      <c r="L265" s="183">
        <f t="shared" si="526"/>
        <v>404000</v>
      </c>
      <c r="M265" s="183">
        <f t="shared" si="527"/>
        <v>404000</v>
      </c>
      <c r="N265" s="183">
        <f t="shared" si="528"/>
        <v>404000</v>
      </c>
      <c r="O265" s="109">
        <v>404000</v>
      </c>
      <c r="P265" s="183">
        <f t="shared" si="529"/>
        <v>404000</v>
      </c>
      <c r="Q265" s="183">
        <f t="shared" si="530"/>
        <v>404000</v>
      </c>
      <c r="R265" s="183">
        <f t="shared" si="531"/>
        <v>404000</v>
      </c>
      <c r="S265" s="183">
        <f t="shared" si="532"/>
        <v>404000</v>
      </c>
      <c r="T265" s="109">
        <v>404000</v>
      </c>
      <c r="V265" t="s">
        <v>650</v>
      </c>
      <c r="W265" s="39">
        <f t="shared" ref="W265:AL265" si="579">E265/SUM(E242:E274)</f>
        <v>0.2086965464921649</v>
      </c>
      <c r="X265" s="39">
        <f t="shared" si="579"/>
        <v>0.2086965464921649</v>
      </c>
      <c r="Y265" s="39">
        <f t="shared" si="579"/>
        <v>0.2086965464921649</v>
      </c>
      <c r="Z265" s="39">
        <f t="shared" si="579"/>
        <v>0.2086965464921649</v>
      </c>
      <c r="AA265" s="39">
        <f t="shared" si="579"/>
        <v>0.2086965464921649</v>
      </c>
      <c r="AB265" s="39">
        <f t="shared" si="579"/>
        <v>0.2086965464921649</v>
      </c>
      <c r="AC265" s="39">
        <f t="shared" si="579"/>
        <v>0.2086965464921649</v>
      </c>
      <c r="AD265" s="39">
        <f t="shared" si="579"/>
        <v>0.2086965464921649</v>
      </c>
      <c r="AE265" s="39">
        <f t="shared" si="579"/>
        <v>0.2086965464921649</v>
      </c>
      <c r="AF265" s="39">
        <f t="shared" si="579"/>
        <v>0.2086965464921649</v>
      </c>
      <c r="AG265" s="39">
        <f t="shared" si="579"/>
        <v>0.2086965464921649</v>
      </c>
      <c r="AH265" s="39">
        <f t="shared" si="579"/>
        <v>0.2086965464921649</v>
      </c>
      <c r="AI265" s="39">
        <f t="shared" si="579"/>
        <v>0.2086965464921649</v>
      </c>
      <c r="AJ265" s="39">
        <f t="shared" si="579"/>
        <v>0.2086965464921649</v>
      </c>
      <c r="AK265" s="39">
        <f t="shared" si="579"/>
        <v>0.2086965464921649</v>
      </c>
      <c r="AL265" s="39">
        <f t="shared" si="579"/>
        <v>0.2086965464921649</v>
      </c>
      <c r="AM265" s="184">
        <f t="shared" si="538"/>
        <v>0.2086965464921649</v>
      </c>
      <c r="AN265" s="184">
        <f t="shared" si="554"/>
        <v>0.2086965464921649</v>
      </c>
      <c r="AO265" s="184">
        <f t="shared" si="555"/>
        <v>0.2086965464921649</v>
      </c>
      <c r="AP265" s="184">
        <f t="shared" si="556"/>
        <v>0.2086965464921649</v>
      </c>
      <c r="AQ265" s="184">
        <f t="shared" si="557"/>
        <v>0.2086965464921649</v>
      </c>
      <c r="AR265" s="184">
        <f t="shared" si="558"/>
        <v>0.2086965464921649</v>
      </c>
      <c r="AS265" s="184">
        <f t="shared" si="559"/>
        <v>0.2086965464921649</v>
      </c>
      <c r="AT265" s="184">
        <f t="shared" si="560"/>
        <v>0.2086965464921649</v>
      </c>
      <c r="AU265" s="184">
        <f t="shared" si="561"/>
        <v>0.2086965464921649</v>
      </c>
      <c r="AV265" s="184">
        <f t="shared" si="562"/>
        <v>0.2086965464921649</v>
      </c>
      <c r="AW265" s="184">
        <f t="shared" si="563"/>
        <v>0.2086965464921649</v>
      </c>
      <c r="AX265" s="184">
        <f t="shared" si="564"/>
        <v>0.2086965464921649</v>
      </c>
      <c r="AY265" s="184">
        <f t="shared" si="565"/>
        <v>0.2086965464921649</v>
      </c>
      <c r="AZ265" s="184">
        <f t="shared" si="566"/>
        <v>0.2086965464921649</v>
      </c>
      <c r="BA265" s="184">
        <f t="shared" si="567"/>
        <v>0.2086965464921649</v>
      </c>
      <c r="BB265" s="184">
        <f t="shared" si="568"/>
        <v>0.2086965464921649</v>
      </c>
      <c r="BC265" s="184">
        <f t="shared" si="569"/>
        <v>0.2086965464921649</v>
      </c>
      <c r="BD265" s="184">
        <f t="shared" si="570"/>
        <v>0.2086965464921649</v>
      </c>
      <c r="BE265" s="184">
        <f t="shared" si="571"/>
        <v>0.2086965464921649</v>
      </c>
      <c r="BF265" s="184">
        <f t="shared" si="572"/>
        <v>0.2086965464921649</v>
      </c>
    </row>
    <row r="266" spans="2:58">
      <c r="B266" t="s">
        <v>651</v>
      </c>
      <c r="C266" s="109">
        <v>0.84219998121261597</v>
      </c>
      <c r="D266" s="183">
        <f t="shared" si="536"/>
        <v>0.84219998121261597</v>
      </c>
      <c r="E266" s="182">
        <f t="shared" si="520"/>
        <v>0.84219998121261597</v>
      </c>
      <c r="F266" s="182">
        <f t="shared" si="521"/>
        <v>0.84219998121261597</v>
      </c>
      <c r="G266" s="182">
        <f t="shared" si="522"/>
        <v>0.84219998121261597</v>
      </c>
      <c r="H266" s="182">
        <f t="shared" si="523"/>
        <v>0.84219998121261597</v>
      </c>
      <c r="I266" s="182">
        <f t="shared" si="524"/>
        <v>0.84219998121261597</v>
      </c>
      <c r="J266" s="109">
        <v>0.84219998121261597</v>
      </c>
      <c r="K266" s="183">
        <f t="shared" si="525"/>
        <v>0.84219998121261597</v>
      </c>
      <c r="L266" s="183">
        <f t="shared" si="526"/>
        <v>0.84219998121261597</v>
      </c>
      <c r="M266" s="183">
        <f t="shared" si="527"/>
        <v>0.84219998121261597</v>
      </c>
      <c r="N266" s="183">
        <f t="shared" si="528"/>
        <v>0.84219998121261597</v>
      </c>
      <c r="O266" s="109">
        <v>0.84219998121261597</v>
      </c>
      <c r="P266" s="183">
        <f t="shared" si="529"/>
        <v>0.84219998121261597</v>
      </c>
      <c r="Q266" s="183">
        <f t="shared" si="530"/>
        <v>0.84219998121261597</v>
      </c>
      <c r="R266" s="183">
        <f t="shared" si="531"/>
        <v>0.84219998121261597</v>
      </c>
      <c r="S266" s="183">
        <f t="shared" si="532"/>
        <v>0.84219998121261597</v>
      </c>
      <c r="T266" s="109">
        <v>0.84219998121261597</v>
      </c>
      <c r="V266" t="s">
        <v>651</v>
      </c>
      <c r="W266" s="39">
        <f t="shared" ref="W266:AL266" si="580">E266/SUM(E242:E274)</f>
        <v>4.3505996914564136E-7</v>
      </c>
      <c r="X266" s="39">
        <f t="shared" si="580"/>
        <v>4.3505996914564136E-7</v>
      </c>
      <c r="Y266" s="39">
        <f t="shared" si="580"/>
        <v>4.3505996914564136E-7</v>
      </c>
      <c r="Z266" s="39">
        <f t="shared" si="580"/>
        <v>4.3505996914564136E-7</v>
      </c>
      <c r="AA266" s="39">
        <f t="shared" si="580"/>
        <v>4.3505996914564136E-7</v>
      </c>
      <c r="AB266" s="39">
        <f t="shared" si="580"/>
        <v>4.3505996914564136E-7</v>
      </c>
      <c r="AC266" s="39">
        <f t="shared" si="580"/>
        <v>4.3505996914564136E-7</v>
      </c>
      <c r="AD266" s="39">
        <f t="shared" si="580"/>
        <v>4.3505996914564136E-7</v>
      </c>
      <c r="AE266" s="39">
        <f t="shared" si="580"/>
        <v>4.3505996914564136E-7</v>
      </c>
      <c r="AF266" s="39">
        <f t="shared" si="580"/>
        <v>4.3505996914564136E-7</v>
      </c>
      <c r="AG266" s="39">
        <f t="shared" si="580"/>
        <v>4.3505996914564136E-7</v>
      </c>
      <c r="AH266" s="39">
        <f t="shared" si="580"/>
        <v>4.3505996914564136E-7</v>
      </c>
      <c r="AI266" s="39">
        <f t="shared" si="580"/>
        <v>4.3505996914564136E-7</v>
      </c>
      <c r="AJ266" s="39">
        <f t="shared" si="580"/>
        <v>4.3505996914564136E-7</v>
      </c>
      <c r="AK266" s="39">
        <f t="shared" si="580"/>
        <v>4.3505996914564136E-7</v>
      </c>
      <c r="AL266" s="39">
        <f t="shared" si="580"/>
        <v>4.3505996914564136E-7</v>
      </c>
      <c r="AM266" s="184">
        <f t="shared" si="538"/>
        <v>4.3505996914564136E-7</v>
      </c>
      <c r="AN266" s="184">
        <f t="shared" si="554"/>
        <v>4.3505996914564136E-7</v>
      </c>
      <c r="AO266" s="184">
        <f t="shared" si="555"/>
        <v>4.3505996914564136E-7</v>
      </c>
      <c r="AP266" s="184">
        <f t="shared" si="556"/>
        <v>4.3505996914564136E-7</v>
      </c>
      <c r="AQ266" s="184">
        <f t="shared" si="557"/>
        <v>4.3505996914564136E-7</v>
      </c>
      <c r="AR266" s="184">
        <f t="shared" si="558"/>
        <v>4.3505996914564136E-7</v>
      </c>
      <c r="AS266" s="184">
        <f t="shared" si="559"/>
        <v>4.3505996914564136E-7</v>
      </c>
      <c r="AT266" s="184">
        <f t="shared" si="560"/>
        <v>4.3505996914564136E-7</v>
      </c>
      <c r="AU266" s="184">
        <f t="shared" si="561"/>
        <v>4.3505996914564136E-7</v>
      </c>
      <c r="AV266" s="184">
        <f t="shared" si="562"/>
        <v>4.3505996914564136E-7</v>
      </c>
      <c r="AW266" s="184">
        <f t="shared" si="563"/>
        <v>4.3505996914564136E-7</v>
      </c>
      <c r="AX266" s="184">
        <f t="shared" si="564"/>
        <v>4.3505996914564136E-7</v>
      </c>
      <c r="AY266" s="184">
        <f t="shared" si="565"/>
        <v>4.3505996914564136E-7</v>
      </c>
      <c r="AZ266" s="184">
        <f t="shared" si="566"/>
        <v>4.3505996914564136E-7</v>
      </c>
      <c r="BA266" s="184">
        <f t="shared" si="567"/>
        <v>4.3505996914564136E-7</v>
      </c>
      <c r="BB266" s="184">
        <f t="shared" si="568"/>
        <v>4.3505996914564136E-7</v>
      </c>
      <c r="BC266" s="184">
        <f t="shared" si="569"/>
        <v>4.3505996914564136E-7</v>
      </c>
      <c r="BD266" s="184">
        <f t="shared" si="570"/>
        <v>4.3505996914564136E-7</v>
      </c>
      <c r="BE266" s="184">
        <f t="shared" si="571"/>
        <v>4.3505996914564136E-7</v>
      </c>
      <c r="BF266" s="184">
        <f t="shared" si="572"/>
        <v>4.3505996914564136E-7</v>
      </c>
    </row>
    <row r="267" spans="2:58">
      <c r="B267" t="s">
        <v>652</v>
      </c>
      <c r="C267" s="109">
        <v>224950.84219998121</v>
      </c>
      <c r="D267" s="183">
        <f t="shared" si="536"/>
        <v>224950.84219998121</v>
      </c>
      <c r="E267" s="182">
        <f t="shared" si="520"/>
        <v>224950.84219998121</v>
      </c>
      <c r="F267" s="182">
        <f t="shared" si="521"/>
        <v>224950.84219998121</v>
      </c>
      <c r="G267" s="182">
        <f t="shared" si="522"/>
        <v>224950.84219998121</v>
      </c>
      <c r="H267" s="182">
        <f t="shared" si="523"/>
        <v>224950.84219998121</v>
      </c>
      <c r="I267" s="182">
        <f t="shared" si="524"/>
        <v>224950.84219998121</v>
      </c>
      <c r="J267" s="109">
        <v>224950.84219998121</v>
      </c>
      <c r="K267" s="183">
        <f t="shared" si="525"/>
        <v>224950.84219998121</v>
      </c>
      <c r="L267" s="183">
        <f t="shared" si="526"/>
        <v>224950.84219998121</v>
      </c>
      <c r="M267" s="183">
        <f t="shared" si="527"/>
        <v>224950.84219998121</v>
      </c>
      <c r="N267" s="183">
        <f t="shared" si="528"/>
        <v>224950.84219998121</v>
      </c>
      <c r="O267" s="109">
        <v>224950.84219998121</v>
      </c>
      <c r="P267" s="183">
        <f t="shared" si="529"/>
        <v>224950.84219998121</v>
      </c>
      <c r="Q267" s="183">
        <f t="shared" si="530"/>
        <v>224950.84219998121</v>
      </c>
      <c r="R267" s="183">
        <f t="shared" si="531"/>
        <v>224950.84219998121</v>
      </c>
      <c r="S267" s="183">
        <f t="shared" si="532"/>
        <v>224950.84219998121</v>
      </c>
      <c r="T267" s="109">
        <v>224950.84219998121</v>
      </c>
      <c r="V267" t="s">
        <v>652</v>
      </c>
      <c r="W267" s="39">
        <f t="shared" ref="W267:AL267" si="581">E267/SUM(E242:E274)</f>
        <v>0.11620411855851492</v>
      </c>
      <c r="X267" s="39">
        <f t="shared" si="581"/>
        <v>0.11620411855851492</v>
      </c>
      <c r="Y267" s="39">
        <f t="shared" si="581"/>
        <v>0.11620411855851492</v>
      </c>
      <c r="Z267" s="39">
        <f t="shared" si="581"/>
        <v>0.11620411855851492</v>
      </c>
      <c r="AA267" s="39">
        <f t="shared" si="581"/>
        <v>0.11620411855851492</v>
      </c>
      <c r="AB267" s="39">
        <f t="shared" si="581"/>
        <v>0.11620411855851492</v>
      </c>
      <c r="AC267" s="39">
        <f t="shared" si="581"/>
        <v>0.11620411855851492</v>
      </c>
      <c r="AD267" s="39">
        <f t="shared" si="581"/>
        <v>0.11620411855851492</v>
      </c>
      <c r="AE267" s="39">
        <f t="shared" si="581"/>
        <v>0.11620411855851492</v>
      </c>
      <c r="AF267" s="39">
        <f t="shared" si="581"/>
        <v>0.11620411855851492</v>
      </c>
      <c r="AG267" s="39">
        <f t="shared" si="581"/>
        <v>0.11620411855851492</v>
      </c>
      <c r="AH267" s="39">
        <f t="shared" si="581"/>
        <v>0.11620411855851492</v>
      </c>
      <c r="AI267" s="39">
        <f t="shared" si="581"/>
        <v>0.11620411855851492</v>
      </c>
      <c r="AJ267" s="39">
        <f t="shared" si="581"/>
        <v>0.11620411855851492</v>
      </c>
      <c r="AK267" s="39">
        <f t="shared" si="581"/>
        <v>0.11620411855851492</v>
      </c>
      <c r="AL267" s="39">
        <f t="shared" si="581"/>
        <v>0.11620411855851492</v>
      </c>
      <c r="AM267" s="184">
        <f t="shared" si="538"/>
        <v>0.11620411855851492</v>
      </c>
      <c r="AN267" s="184">
        <f t="shared" si="554"/>
        <v>0.11620411855851492</v>
      </c>
      <c r="AO267" s="184">
        <f t="shared" si="555"/>
        <v>0.11620411855851492</v>
      </c>
      <c r="AP267" s="184">
        <f t="shared" si="556"/>
        <v>0.11620411855851492</v>
      </c>
      <c r="AQ267" s="184">
        <f t="shared" si="557"/>
        <v>0.11620411855851492</v>
      </c>
      <c r="AR267" s="184">
        <f t="shared" si="558"/>
        <v>0.11620411855851492</v>
      </c>
      <c r="AS267" s="184">
        <f t="shared" si="559"/>
        <v>0.11620411855851492</v>
      </c>
      <c r="AT267" s="184">
        <f t="shared" si="560"/>
        <v>0.11620411855851492</v>
      </c>
      <c r="AU267" s="184">
        <f t="shared" si="561"/>
        <v>0.11620411855851492</v>
      </c>
      <c r="AV267" s="184">
        <f t="shared" si="562"/>
        <v>0.11620411855851492</v>
      </c>
      <c r="AW267" s="184">
        <f t="shared" si="563"/>
        <v>0.11620411855851492</v>
      </c>
      <c r="AX267" s="184">
        <f t="shared" si="564"/>
        <v>0.11620411855851492</v>
      </c>
      <c r="AY267" s="184">
        <f t="shared" si="565"/>
        <v>0.11620411855851492</v>
      </c>
      <c r="AZ267" s="184">
        <f t="shared" si="566"/>
        <v>0.11620411855851492</v>
      </c>
      <c r="BA267" s="184">
        <f t="shared" si="567"/>
        <v>0.11620411855851492</v>
      </c>
      <c r="BB267" s="184">
        <f t="shared" si="568"/>
        <v>0.11620411855851492</v>
      </c>
      <c r="BC267" s="184">
        <f t="shared" si="569"/>
        <v>0.11620411855851492</v>
      </c>
      <c r="BD267" s="184">
        <f t="shared" si="570"/>
        <v>0.11620411855851492</v>
      </c>
      <c r="BE267" s="184">
        <f t="shared" si="571"/>
        <v>0.11620411855851492</v>
      </c>
      <c r="BF267" s="184">
        <f t="shared" si="572"/>
        <v>0.11620411855851492</v>
      </c>
    </row>
    <row r="268" spans="2:58">
      <c r="B268" t="s">
        <v>653</v>
      </c>
      <c r="C268" s="109">
        <v>13.2</v>
      </c>
      <c r="D268" s="183">
        <f t="shared" si="536"/>
        <v>13.2</v>
      </c>
      <c r="E268" s="182">
        <f t="shared" si="520"/>
        <v>13.2</v>
      </c>
      <c r="F268" s="182">
        <f t="shared" si="521"/>
        <v>13.2</v>
      </c>
      <c r="G268" s="182">
        <f t="shared" si="522"/>
        <v>13.2</v>
      </c>
      <c r="H268" s="182">
        <f t="shared" si="523"/>
        <v>13.2</v>
      </c>
      <c r="I268" s="182">
        <f t="shared" si="524"/>
        <v>13.2</v>
      </c>
      <c r="J268" s="109">
        <v>13.2</v>
      </c>
      <c r="K268" s="183">
        <f t="shared" si="525"/>
        <v>13.2</v>
      </c>
      <c r="L268" s="183">
        <f t="shared" si="526"/>
        <v>13.2</v>
      </c>
      <c r="M268" s="183">
        <f t="shared" si="527"/>
        <v>13.2</v>
      </c>
      <c r="N268" s="183">
        <f t="shared" si="528"/>
        <v>13.2</v>
      </c>
      <c r="O268" s="109">
        <v>13.2</v>
      </c>
      <c r="P268" s="183">
        <f t="shared" si="529"/>
        <v>13.2</v>
      </c>
      <c r="Q268" s="183">
        <f t="shared" si="530"/>
        <v>13.2</v>
      </c>
      <c r="R268" s="183">
        <f t="shared" si="531"/>
        <v>13.2</v>
      </c>
      <c r="S268" s="183">
        <f t="shared" si="532"/>
        <v>13.2</v>
      </c>
      <c r="T268" s="109">
        <v>13.2</v>
      </c>
      <c r="V268" t="s">
        <v>653</v>
      </c>
      <c r="W268" s="39">
        <f t="shared" ref="W268:AL268" si="582">E268/SUM(E242:E274)</f>
        <v>6.8187980537043971E-6</v>
      </c>
      <c r="X268" s="39">
        <f t="shared" si="582"/>
        <v>6.8187980537043971E-6</v>
      </c>
      <c r="Y268" s="39">
        <f t="shared" si="582"/>
        <v>6.8187980537043971E-6</v>
      </c>
      <c r="Z268" s="39">
        <f t="shared" si="582"/>
        <v>6.8187980537043971E-6</v>
      </c>
      <c r="AA268" s="39">
        <f t="shared" si="582"/>
        <v>6.8187980537043971E-6</v>
      </c>
      <c r="AB268" s="39">
        <f t="shared" si="582"/>
        <v>6.8187980537043971E-6</v>
      </c>
      <c r="AC268" s="39">
        <f t="shared" si="582"/>
        <v>6.8187980537043971E-6</v>
      </c>
      <c r="AD268" s="39">
        <f t="shared" si="582"/>
        <v>6.8187980537043971E-6</v>
      </c>
      <c r="AE268" s="39">
        <f t="shared" si="582"/>
        <v>6.8187980537043971E-6</v>
      </c>
      <c r="AF268" s="39">
        <f t="shared" si="582"/>
        <v>6.8187980537043971E-6</v>
      </c>
      <c r="AG268" s="39">
        <f t="shared" si="582"/>
        <v>6.8187980537043971E-6</v>
      </c>
      <c r="AH268" s="39">
        <f t="shared" si="582"/>
        <v>6.8187980537043971E-6</v>
      </c>
      <c r="AI268" s="39">
        <f t="shared" si="582"/>
        <v>6.8187980537043971E-6</v>
      </c>
      <c r="AJ268" s="39">
        <f t="shared" si="582"/>
        <v>6.8187980537043971E-6</v>
      </c>
      <c r="AK268" s="39">
        <f t="shared" si="582"/>
        <v>6.8187980537043971E-6</v>
      </c>
      <c r="AL268" s="39">
        <f t="shared" si="582"/>
        <v>6.8187980537043971E-6</v>
      </c>
      <c r="AM268" s="184">
        <f t="shared" si="538"/>
        <v>6.8187980537043971E-6</v>
      </c>
      <c r="AN268" s="184">
        <f t="shared" si="554"/>
        <v>6.8187980537043971E-6</v>
      </c>
      <c r="AO268" s="184">
        <f t="shared" si="555"/>
        <v>6.8187980537043971E-6</v>
      </c>
      <c r="AP268" s="184">
        <f t="shared" si="556"/>
        <v>6.8187980537043971E-6</v>
      </c>
      <c r="AQ268" s="184">
        <f t="shared" si="557"/>
        <v>6.8187980537043971E-6</v>
      </c>
      <c r="AR268" s="184">
        <f t="shared" si="558"/>
        <v>6.8187980537043971E-6</v>
      </c>
      <c r="AS268" s="184">
        <f t="shared" si="559"/>
        <v>6.8187980537043971E-6</v>
      </c>
      <c r="AT268" s="184">
        <f t="shared" si="560"/>
        <v>6.8187980537043971E-6</v>
      </c>
      <c r="AU268" s="184">
        <f t="shared" si="561"/>
        <v>6.8187980537043971E-6</v>
      </c>
      <c r="AV268" s="184">
        <f t="shared" si="562"/>
        <v>6.8187980537043971E-6</v>
      </c>
      <c r="AW268" s="184">
        <f t="shared" si="563"/>
        <v>6.8187980537043971E-6</v>
      </c>
      <c r="AX268" s="184">
        <f t="shared" si="564"/>
        <v>6.8187980537043971E-6</v>
      </c>
      <c r="AY268" s="184">
        <f t="shared" si="565"/>
        <v>6.8187980537043971E-6</v>
      </c>
      <c r="AZ268" s="184">
        <f t="shared" si="566"/>
        <v>6.8187980537043971E-6</v>
      </c>
      <c r="BA268" s="184">
        <f t="shared" si="567"/>
        <v>6.8187980537043971E-6</v>
      </c>
      <c r="BB268" s="184">
        <f t="shared" si="568"/>
        <v>6.8187980537043971E-6</v>
      </c>
      <c r="BC268" s="184">
        <f t="shared" si="569"/>
        <v>6.8187980537043971E-6</v>
      </c>
      <c r="BD268" s="184">
        <f t="shared" si="570"/>
        <v>6.8187980537043971E-6</v>
      </c>
      <c r="BE268" s="184">
        <f t="shared" si="571"/>
        <v>6.8187980537043971E-6</v>
      </c>
      <c r="BF268" s="184">
        <f t="shared" si="572"/>
        <v>6.8187980537043971E-6</v>
      </c>
    </row>
    <row r="269" spans="2:58">
      <c r="B269" t="s">
        <v>654</v>
      </c>
      <c r="C269" s="109">
        <v>10000</v>
      </c>
      <c r="D269" s="183">
        <f t="shared" si="536"/>
        <v>10000</v>
      </c>
      <c r="E269" s="182">
        <f t="shared" si="520"/>
        <v>10000</v>
      </c>
      <c r="F269" s="182">
        <f t="shared" si="521"/>
        <v>10000</v>
      </c>
      <c r="G269" s="182">
        <f t="shared" si="522"/>
        <v>10000</v>
      </c>
      <c r="H269" s="182">
        <f t="shared" si="523"/>
        <v>10000</v>
      </c>
      <c r="I269" s="182">
        <f t="shared" si="524"/>
        <v>10000</v>
      </c>
      <c r="J269" s="109">
        <v>10000</v>
      </c>
      <c r="K269" s="183">
        <f t="shared" si="525"/>
        <v>10000</v>
      </c>
      <c r="L269" s="183">
        <f t="shared" si="526"/>
        <v>10000</v>
      </c>
      <c r="M269" s="183">
        <f t="shared" si="527"/>
        <v>10000</v>
      </c>
      <c r="N269" s="183">
        <f t="shared" si="528"/>
        <v>10000</v>
      </c>
      <c r="O269" s="109">
        <v>10000</v>
      </c>
      <c r="P269" s="183">
        <f t="shared" si="529"/>
        <v>10000</v>
      </c>
      <c r="Q269" s="183">
        <f t="shared" si="530"/>
        <v>10000</v>
      </c>
      <c r="R269" s="183">
        <f t="shared" si="531"/>
        <v>10000</v>
      </c>
      <c r="S269" s="183">
        <f t="shared" si="532"/>
        <v>10000</v>
      </c>
      <c r="T269" s="109">
        <v>10000</v>
      </c>
      <c r="V269" t="s">
        <v>654</v>
      </c>
      <c r="W269" s="39">
        <f t="shared" ref="W269:AL269" si="583">E269/SUM(E242:E274)</f>
        <v>5.1657561012912103E-3</v>
      </c>
      <c r="X269" s="39">
        <f t="shared" si="583"/>
        <v>5.1657561012912103E-3</v>
      </c>
      <c r="Y269" s="39">
        <f t="shared" si="583"/>
        <v>5.1657561012912103E-3</v>
      </c>
      <c r="Z269" s="39">
        <f t="shared" si="583"/>
        <v>5.1657561012912103E-3</v>
      </c>
      <c r="AA269" s="39">
        <f t="shared" si="583"/>
        <v>5.1657561012912103E-3</v>
      </c>
      <c r="AB269" s="39">
        <f t="shared" si="583"/>
        <v>5.1657561012912103E-3</v>
      </c>
      <c r="AC269" s="39">
        <f t="shared" si="583"/>
        <v>5.1657561012912103E-3</v>
      </c>
      <c r="AD269" s="39">
        <f t="shared" si="583"/>
        <v>5.1657561012912103E-3</v>
      </c>
      <c r="AE269" s="39">
        <f t="shared" si="583"/>
        <v>5.1657561012912103E-3</v>
      </c>
      <c r="AF269" s="39">
        <f t="shared" si="583"/>
        <v>5.1657561012912103E-3</v>
      </c>
      <c r="AG269" s="39">
        <f t="shared" si="583"/>
        <v>5.1657561012912103E-3</v>
      </c>
      <c r="AH269" s="39">
        <f t="shared" si="583"/>
        <v>5.1657561012912103E-3</v>
      </c>
      <c r="AI269" s="39">
        <f t="shared" si="583"/>
        <v>5.1657561012912103E-3</v>
      </c>
      <c r="AJ269" s="39">
        <f t="shared" si="583"/>
        <v>5.1657561012912103E-3</v>
      </c>
      <c r="AK269" s="39">
        <f t="shared" si="583"/>
        <v>5.1657561012912103E-3</v>
      </c>
      <c r="AL269" s="39">
        <f t="shared" si="583"/>
        <v>5.1657561012912103E-3</v>
      </c>
      <c r="AM269" s="184">
        <f t="shared" si="538"/>
        <v>5.1657561012912103E-3</v>
      </c>
      <c r="AN269" s="184">
        <f t="shared" si="554"/>
        <v>5.1657561012912103E-3</v>
      </c>
      <c r="AO269" s="184">
        <f t="shared" si="555"/>
        <v>5.1657561012912103E-3</v>
      </c>
      <c r="AP269" s="184">
        <f t="shared" si="556"/>
        <v>5.1657561012912103E-3</v>
      </c>
      <c r="AQ269" s="184">
        <f t="shared" si="557"/>
        <v>5.1657561012912103E-3</v>
      </c>
      <c r="AR269" s="184">
        <f t="shared" si="558"/>
        <v>5.1657561012912103E-3</v>
      </c>
      <c r="AS269" s="184">
        <f t="shared" si="559"/>
        <v>5.1657561012912103E-3</v>
      </c>
      <c r="AT269" s="184">
        <f t="shared" si="560"/>
        <v>5.1657561012912103E-3</v>
      </c>
      <c r="AU269" s="184">
        <f t="shared" si="561"/>
        <v>5.1657561012912103E-3</v>
      </c>
      <c r="AV269" s="184">
        <f t="shared" si="562"/>
        <v>5.1657561012912103E-3</v>
      </c>
      <c r="AW269" s="184">
        <f t="shared" si="563"/>
        <v>5.1657561012912103E-3</v>
      </c>
      <c r="AX269" s="184">
        <f t="shared" si="564"/>
        <v>5.1657561012912103E-3</v>
      </c>
      <c r="AY269" s="184">
        <f t="shared" si="565"/>
        <v>5.1657561012912103E-3</v>
      </c>
      <c r="AZ269" s="184">
        <f t="shared" si="566"/>
        <v>5.1657561012912103E-3</v>
      </c>
      <c r="BA269" s="184">
        <f t="shared" si="567"/>
        <v>5.1657561012912103E-3</v>
      </c>
      <c r="BB269" s="184">
        <f t="shared" si="568"/>
        <v>5.1657561012912103E-3</v>
      </c>
      <c r="BC269" s="184">
        <f t="shared" si="569"/>
        <v>5.1657561012912103E-3</v>
      </c>
      <c r="BD269" s="184">
        <f t="shared" si="570"/>
        <v>5.1657561012912103E-3</v>
      </c>
      <c r="BE269" s="184">
        <f t="shared" si="571"/>
        <v>5.1657561012912103E-3</v>
      </c>
      <c r="BF269" s="184">
        <f t="shared" si="572"/>
        <v>5.1657561012912103E-3</v>
      </c>
    </row>
    <row r="270" spans="2:58">
      <c r="B270" t="s">
        <v>655</v>
      </c>
      <c r="C270" s="109">
        <v>0</v>
      </c>
      <c r="D270" s="183">
        <f t="shared" si="536"/>
        <v>0</v>
      </c>
      <c r="E270" s="182">
        <f t="shared" si="520"/>
        <v>0</v>
      </c>
      <c r="F270" s="182">
        <f t="shared" si="521"/>
        <v>0</v>
      </c>
      <c r="G270" s="182">
        <f t="shared" si="522"/>
        <v>0</v>
      </c>
      <c r="H270" s="182">
        <f t="shared" si="523"/>
        <v>0</v>
      </c>
      <c r="I270" s="182">
        <f t="shared" si="524"/>
        <v>0</v>
      </c>
      <c r="J270" s="109">
        <v>0</v>
      </c>
      <c r="K270" s="183">
        <f t="shared" si="525"/>
        <v>0</v>
      </c>
      <c r="L270" s="183">
        <f t="shared" si="526"/>
        <v>0</v>
      </c>
      <c r="M270" s="183">
        <f t="shared" si="527"/>
        <v>0</v>
      </c>
      <c r="N270" s="183">
        <f t="shared" si="528"/>
        <v>0</v>
      </c>
      <c r="O270" s="109">
        <v>0</v>
      </c>
      <c r="P270" s="183">
        <f t="shared" si="529"/>
        <v>0</v>
      </c>
      <c r="Q270" s="183">
        <f t="shared" si="530"/>
        <v>0</v>
      </c>
      <c r="R270" s="183">
        <f t="shared" si="531"/>
        <v>0</v>
      </c>
      <c r="S270" s="183">
        <f t="shared" si="532"/>
        <v>0</v>
      </c>
      <c r="T270" s="109">
        <v>0</v>
      </c>
      <c r="V270" t="s">
        <v>655</v>
      </c>
      <c r="W270" s="39">
        <f t="shared" ref="W270:AL270" si="584">E270/SUM(E242:E274)</f>
        <v>0</v>
      </c>
      <c r="X270" s="39">
        <f t="shared" si="584"/>
        <v>0</v>
      </c>
      <c r="Y270" s="39">
        <f t="shared" si="584"/>
        <v>0</v>
      </c>
      <c r="Z270" s="39">
        <f t="shared" si="584"/>
        <v>0</v>
      </c>
      <c r="AA270" s="39">
        <f t="shared" si="584"/>
        <v>0</v>
      </c>
      <c r="AB270" s="39">
        <f t="shared" si="584"/>
        <v>0</v>
      </c>
      <c r="AC270" s="39">
        <f t="shared" si="584"/>
        <v>0</v>
      </c>
      <c r="AD270" s="39">
        <f t="shared" si="584"/>
        <v>0</v>
      </c>
      <c r="AE270" s="39">
        <f t="shared" si="584"/>
        <v>0</v>
      </c>
      <c r="AF270" s="39">
        <f t="shared" si="584"/>
        <v>0</v>
      </c>
      <c r="AG270" s="39">
        <f t="shared" si="584"/>
        <v>0</v>
      </c>
      <c r="AH270" s="39">
        <f t="shared" si="584"/>
        <v>0</v>
      </c>
      <c r="AI270" s="39">
        <f t="shared" si="584"/>
        <v>0</v>
      </c>
      <c r="AJ270" s="39">
        <f t="shared" si="584"/>
        <v>0</v>
      </c>
      <c r="AK270" s="39">
        <f t="shared" si="584"/>
        <v>0</v>
      </c>
      <c r="AL270" s="39">
        <f t="shared" si="584"/>
        <v>0</v>
      </c>
      <c r="AM270" s="184">
        <f t="shared" si="538"/>
        <v>0</v>
      </c>
      <c r="AN270" s="184">
        <f t="shared" si="554"/>
        <v>0</v>
      </c>
      <c r="AO270" s="184">
        <f t="shared" si="555"/>
        <v>0</v>
      </c>
      <c r="AP270" s="184">
        <f t="shared" si="556"/>
        <v>0</v>
      </c>
      <c r="AQ270" s="184">
        <f t="shared" si="557"/>
        <v>0</v>
      </c>
      <c r="AR270" s="184">
        <f t="shared" si="558"/>
        <v>0</v>
      </c>
      <c r="AS270" s="184">
        <f t="shared" si="559"/>
        <v>0</v>
      </c>
      <c r="AT270" s="184">
        <f t="shared" si="560"/>
        <v>0</v>
      </c>
      <c r="AU270" s="184">
        <f t="shared" si="561"/>
        <v>0</v>
      </c>
      <c r="AV270" s="184">
        <f t="shared" si="562"/>
        <v>0</v>
      </c>
      <c r="AW270" s="184">
        <f t="shared" si="563"/>
        <v>0</v>
      </c>
      <c r="AX270" s="184">
        <f t="shared" si="564"/>
        <v>0</v>
      </c>
      <c r="AY270" s="184">
        <f t="shared" si="565"/>
        <v>0</v>
      </c>
      <c r="AZ270" s="184">
        <f t="shared" si="566"/>
        <v>0</v>
      </c>
      <c r="BA270" s="184">
        <f t="shared" si="567"/>
        <v>0</v>
      </c>
      <c r="BB270" s="184">
        <f t="shared" si="568"/>
        <v>0</v>
      </c>
      <c r="BC270" s="184">
        <f t="shared" si="569"/>
        <v>0</v>
      </c>
      <c r="BD270" s="184">
        <f t="shared" si="570"/>
        <v>0</v>
      </c>
      <c r="BE270" s="184">
        <f t="shared" si="571"/>
        <v>0</v>
      </c>
      <c r="BF270" s="184">
        <f t="shared" si="572"/>
        <v>0</v>
      </c>
    </row>
    <row r="271" spans="2:58">
      <c r="B271" t="s">
        <v>656</v>
      </c>
      <c r="C271" s="109">
        <v>2751.330078125</v>
      </c>
      <c r="D271" s="183">
        <f t="shared" si="536"/>
        <v>2751.330078125</v>
      </c>
      <c r="E271" s="182">
        <f t="shared" si="520"/>
        <v>2751.330078125</v>
      </c>
      <c r="F271" s="182">
        <f t="shared" si="521"/>
        <v>2751.330078125</v>
      </c>
      <c r="G271" s="182">
        <f t="shared" si="522"/>
        <v>2751.330078125</v>
      </c>
      <c r="H271" s="182">
        <f t="shared" si="523"/>
        <v>2751.330078125</v>
      </c>
      <c r="I271" s="182">
        <f t="shared" si="524"/>
        <v>2751.330078125</v>
      </c>
      <c r="J271" s="109">
        <v>2751.330078125</v>
      </c>
      <c r="K271" s="183">
        <f t="shared" si="525"/>
        <v>2751.330078125</v>
      </c>
      <c r="L271" s="183">
        <f t="shared" si="526"/>
        <v>2751.330078125</v>
      </c>
      <c r="M271" s="183">
        <f t="shared" si="527"/>
        <v>2751.330078125</v>
      </c>
      <c r="N271" s="183">
        <f t="shared" si="528"/>
        <v>2751.330078125</v>
      </c>
      <c r="O271" s="109">
        <v>2751.330078125</v>
      </c>
      <c r="P271" s="183">
        <f t="shared" si="529"/>
        <v>2751.330078125</v>
      </c>
      <c r="Q271" s="183">
        <f t="shared" si="530"/>
        <v>2751.330078125</v>
      </c>
      <c r="R271" s="183">
        <f t="shared" si="531"/>
        <v>2751.330078125</v>
      </c>
      <c r="S271" s="183">
        <f t="shared" si="532"/>
        <v>2751.330078125</v>
      </c>
      <c r="T271" s="109">
        <v>2751.330078125</v>
      </c>
      <c r="V271" t="s">
        <v>656</v>
      </c>
      <c r="W271" s="39">
        <f t="shared" ref="W271:AL271" si="585">E271/SUM(E242:E274)</f>
        <v>1.4212700137740241E-3</v>
      </c>
      <c r="X271" s="39">
        <f t="shared" si="585"/>
        <v>1.4212700137740241E-3</v>
      </c>
      <c r="Y271" s="39">
        <f t="shared" si="585"/>
        <v>1.4212700137740241E-3</v>
      </c>
      <c r="Z271" s="39">
        <f t="shared" si="585"/>
        <v>1.4212700137740241E-3</v>
      </c>
      <c r="AA271" s="39">
        <f t="shared" si="585"/>
        <v>1.4212700137740241E-3</v>
      </c>
      <c r="AB271" s="39">
        <f t="shared" si="585"/>
        <v>1.4212700137740241E-3</v>
      </c>
      <c r="AC271" s="39">
        <f t="shared" si="585"/>
        <v>1.4212700137740241E-3</v>
      </c>
      <c r="AD271" s="39">
        <f t="shared" si="585"/>
        <v>1.4212700137740241E-3</v>
      </c>
      <c r="AE271" s="39">
        <f t="shared" si="585"/>
        <v>1.4212700137740241E-3</v>
      </c>
      <c r="AF271" s="39">
        <f t="shared" si="585"/>
        <v>1.4212700137740241E-3</v>
      </c>
      <c r="AG271" s="39">
        <f t="shared" si="585"/>
        <v>1.4212700137740241E-3</v>
      </c>
      <c r="AH271" s="39">
        <f t="shared" si="585"/>
        <v>1.4212700137740241E-3</v>
      </c>
      <c r="AI271" s="39">
        <f t="shared" si="585"/>
        <v>1.4212700137740241E-3</v>
      </c>
      <c r="AJ271" s="39">
        <f t="shared" si="585"/>
        <v>1.4212700137740241E-3</v>
      </c>
      <c r="AK271" s="39">
        <f t="shared" si="585"/>
        <v>1.4212700137740241E-3</v>
      </c>
      <c r="AL271" s="39">
        <f t="shared" si="585"/>
        <v>1.4212700137740241E-3</v>
      </c>
      <c r="AM271" s="184">
        <f t="shared" si="538"/>
        <v>1.4212700137740241E-3</v>
      </c>
      <c r="AN271" s="184">
        <f t="shared" si="554"/>
        <v>1.4212700137740241E-3</v>
      </c>
      <c r="AO271" s="184">
        <f t="shared" si="555"/>
        <v>1.4212700137740241E-3</v>
      </c>
      <c r="AP271" s="184">
        <f t="shared" si="556"/>
        <v>1.4212700137740241E-3</v>
      </c>
      <c r="AQ271" s="184">
        <f t="shared" si="557"/>
        <v>1.4212700137740241E-3</v>
      </c>
      <c r="AR271" s="184">
        <f t="shared" si="558"/>
        <v>1.4212700137740241E-3</v>
      </c>
      <c r="AS271" s="184">
        <f t="shared" si="559"/>
        <v>1.4212700137740241E-3</v>
      </c>
      <c r="AT271" s="184">
        <f t="shared" si="560"/>
        <v>1.4212700137740241E-3</v>
      </c>
      <c r="AU271" s="184">
        <f t="shared" si="561"/>
        <v>1.4212700137740241E-3</v>
      </c>
      <c r="AV271" s="184">
        <f t="shared" si="562"/>
        <v>1.4212700137740241E-3</v>
      </c>
      <c r="AW271" s="184">
        <f t="shared" si="563"/>
        <v>1.4212700137740241E-3</v>
      </c>
      <c r="AX271" s="184">
        <f t="shared" si="564"/>
        <v>1.4212700137740241E-3</v>
      </c>
      <c r="AY271" s="184">
        <f t="shared" si="565"/>
        <v>1.4212700137740241E-3</v>
      </c>
      <c r="AZ271" s="184">
        <f t="shared" si="566"/>
        <v>1.4212700137740241E-3</v>
      </c>
      <c r="BA271" s="184">
        <f t="shared" si="567"/>
        <v>1.4212700137740241E-3</v>
      </c>
      <c r="BB271" s="184">
        <f t="shared" si="568"/>
        <v>1.4212700137740241E-3</v>
      </c>
      <c r="BC271" s="184">
        <f t="shared" si="569"/>
        <v>1.4212700137740241E-3</v>
      </c>
      <c r="BD271" s="184">
        <f t="shared" si="570"/>
        <v>1.4212700137740241E-3</v>
      </c>
      <c r="BE271" s="184">
        <f t="shared" si="571"/>
        <v>1.4212700137740241E-3</v>
      </c>
      <c r="BF271" s="184">
        <f t="shared" si="572"/>
        <v>1.4212700137740241E-3</v>
      </c>
    </row>
    <row r="272" spans="2:58">
      <c r="B272" t="s">
        <v>657</v>
      </c>
      <c r="C272" s="109">
        <v>0</v>
      </c>
      <c r="D272" s="183">
        <f t="shared" si="536"/>
        <v>0</v>
      </c>
      <c r="E272" s="182">
        <f t="shared" si="520"/>
        <v>0</v>
      </c>
      <c r="F272" s="182">
        <f t="shared" si="521"/>
        <v>0</v>
      </c>
      <c r="G272" s="182">
        <f t="shared" si="522"/>
        <v>0</v>
      </c>
      <c r="H272" s="182">
        <f t="shared" si="523"/>
        <v>0</v>
      </c>
      <c r="I272" s="182">
        <f t="shared" si="524"/>
        <v>0</v>
      </c>
      <c r="J272" s="109">
        <v>0</v>
      </c>
      <c r="K272" s="183">
        <f>J272+($O272-$J272)/(COLUMN($O272)-COLUMN($J272))</f>
        <v>0</v>
      </c>
      <c r="L272" s="183">
        <f t="shared" si="526"/>
        <v>0</v>
      </c>
      <c r="M272" s="183">
        <f t="shared" si="527"/>
        <v>0</v>
      </c>
      <c r="N272" s="183">
        <f t="shared" si="528"/>
        <v>0</v>
      </c>
      <c r="O272" s="109">
        <v>0</v>
      </c>
      <c r="P272" s="183">
        <f t="shared" si="529"/>
        <v>0</v>
      </c>
      <c r="Q272" s="183">
        <f t="shared" si="530"/>
        <v>0</v>
      </c>
      <c r="R272" s="183">
        <f t="shared" si="531"/>
        <v>0</v>
      </c>
      <c r="S272" s="183">
        <f t="shared" si="532"/>
        <v>0</v>
      </c>
      <c r="T272" s="109">
        <v>0</v>
      </c>
      <c r="V272" t="s">
        <v>657</v>
      </c>
      <c r="W272" s="39">
        <f t="shared" ref="W272:AL272" si="586">E272/SUM(E242:E274)</f>
        <v>0</v>
      </c>
      <c r="X272" s="39">
        <f t="shared" si="586"/>
        <v>0</v>
      </c>
      <c r="Y272" s="39">
        <f t="shared" si="586"/>
        <v>0</v>
      </c>
      <c r="Z272" s="39">
        <f t="shared" si="586"/>
        <v>0</v>
      </c>
      <c r="AA272" s="39">
        <f t="shared" si="586"/>
        <v>0</v>
      </c>
      <c r="AB272" s="39">
        <f t="shared" si="586"/>
        <v>0</v>
      </c>
      <c r="AC272" s="39">
        <f t="shared" si="586"/>
        <v>0</v>
      </c>
      <c r="AD272" s="39">
        <f t="shared" si="586"/>
        <v>0</v>
      </c>
      <c r="AE272" s="39">
        <f t="shared" si="586"/>
        <v>0</v>
      </c>
      <c r="AF272" s="39">
        <f t="shared" si="586"/>
        <v>0</v>
      </c>
      <c r="AG272" s="39">
        <f t="shared" si="586"/>
        <v>0</v>
      </c>
      <c r="AH272" s="39">
        <f t="shared" si="586"/>
        <v>0</v>
      </c>
      <c r="AI272" s="39">
        <f t="shared" si="586"/>
        <v>0</v>
      </c>
      <c r="AJ272" s="39">
        <f t="shared" si="586"/>
        <v>0</v>
      </c>
      <c r="AK272" s="39">
        <f t="shared" si="586"/>
        <v>0</v>
      </c>
      <c r="AL272" s="39">
        <f t="shared" si="586"/>
        <v>0</v>
      </c>
      <c r="AM272" s="184">
        <f t="shared" si="538"/>
        <v>0</v>
      </c>
      <c r="AN272" s="184">
        <f t="shared" si="554"/>
        <v>0</v>
      </c>
      <c r="AO272" s="184">
        <f t="shared" si="555"/>
        <v>0</v>
      </c>
      <c r="AP272" s="184">
        <f t="shared" si="556"/>
        <v>0</v>
      </c>
      <c r="AQ272" s="184">
        <f t="shared" si="557"/>
        <v>0</v>
      </c>
      <c r="AR272" s="184">
        <f t="shared" si="558"/>
        <v>0</v>
      </c>
      <c r="AS272" s="184">
        <f t="shared" si="559"/>
        <v>0</v>
      </c>
      <c r="AT272" s="184">
        <f t="shared" si="560"/>
        <v>0</v>
      </c>
      <c r="AU272" s="184">
        <f t="shared" si="561"/>
        <v>0</v>
      </c>
      <c r="AV272" s="184">
        <f t="shared" si="562"/>
        <v>0</v>
      </c>
      <c r="AW272" s="184">
        <f t="shared" si="563"/>
        <v>0</v>
      </c>
      <c r="AX272" s="184">
        <f t="shared" si="564"/>
        <v>0</v>
      </c>
      <c r="AY272" s="184">
        <f t="shared" si="565"/>
        <v>0</v>
      </c>
      <c r="AZ272" s="184">
        <f t="shared" si="566"/>
        <v>0</v>
      </c>
      <c r="BA272" s="184">
        <f t="shared" si="567"/>
        <v>0</v>
      </c>
      <c r="BB272" s="184">
        <f t="shared" si="568"/>
        <v>0</v>
      </c>
      <c r="BC272" s="184">
        <f t="shared" si="569"/>
        <v>0</v>
      </c>
      <c r="BD272" s="184">
        <f t="shared" si="570"/>
        <v>0</v>
      </c>
      <c r="BE272" s="184">
        <f t="shared" si="571"/>
        <v>0</v>
      </c>
      <c r="BF272" s="184">
        <f t="shared" si="572"/>
        <v>0</v>
      </c>
    </row>
    <row r="273" spans="2:58">
      <c r="B273" t="s">
        <v>658</v>
      </c>
      <c r="C273" s="109">
        <v>13.2</v>
      </c>
      <c r="D273" s="183">
        <f t="shared" si="536"/>
        <v>13.2</v>
      </c>
      <c r="E273" s="182">
        <f t="shared" si="520"/>
        <v>13.2</v>
      </c>
      <c r="F273" s="182">
        <f t="shared" si="521"/>
        <v>13.2</v>
      </c>
      <c r="G273" s="182">
        <f t="shared" si="522"/>
        <v>13.2</v>
      </c>
      <c r="H273" s="182">
        <f t="shared" si="523"/>
        <v>13.2</v>
      </c>
      <c r="I273" s="182">
        <f t="shared" si="524"/>
        <v>13.2</v>
      </c>
      <c r="J273" s="109">
        <v>13.2</v>
      </c>
      <c r="K273" s="183">
        <f t="shared" si="525"/>
        <v>13.2</v>
      </c>
      <c r="L273" s="183">
        <f t="shared" si="526"/>
        <v>13.2</v>
      </c>
      <c r="M273" s="183">
        <f t="shared" si="527"/>
        <v>13.2</v>
      </c>
      <c r="N273" s="183">
        <f t="shared" si="528"/>
        <v>13.2</v>
      </c>
      <c r="O273" s="109">
        <v>13.2</v>
      </c>
      <c r="P273" s="183">
        <f t="shared" si="529"/>
        <v>13.2</v>
      </c>
      <c r="Q273" s="183">
        <f t="shared" si="530"/>
        <v>13.2</v>
      </c>
      <c r="R273" s="183">
        <f t="shared" si="531"/>
        <v>13.2</v>
      </c>
      <c r="S273" s="183">
        <f t="shared" si="532"/>
        <v>13.2</v>
      </c>
      <c r="T273" s="109">
        <v>13.2</v>
      </c>
      <c r="V273" t="s">
        <v>658</v>
      </c>
      <c r="W273" s="39">
        <f t="shared" ref="W273:AL273" si="587">E273/SUM(E242:E274)</f>
        <v>6.8187980537043971E-6</v>
      </c>
      <c r="X273" s="39">
        <f t="shared" si="587"/>
        <v>6.8187980537043971E-6</v>
      </c>
      <c r="Y273" s="39">
        <f t="shared" si="587"/>
        <v>6.8187980537043971E-6</v>
      </c>
      <c r="Z273" s="39">
        <f t="shared" si="587"/>
        <v>6.8187980537043971E-6</v>
      </c>
      <c r="AA273" s="39">
        <f t="shared" si="587"/>
        <v>6.8187980537043971E-6</v>
      </c>
      <c r="AB273" s="39">
        <f t="shared" si="587"/>
        <v>6.8187980537043971E-6</v>
      </c>
      <c r="AC273" s="39">
        <f t="shared" si="587"/>
        <v>6.8187980537043971E-6</v>
      </c>
      <c r="AD273" s="39">
        <f t="shared" si="587"/>
        <v>6.8187980537043971E-6</v>
      </c>
      <c r="AE273" s="39">
        <f t="shared" si="587"/>
        <v>6.8187980537043971E-6</v>
      </c>
      <c r="AF273" s="39">
        <f t="shared" si="587"/>
        <v>6.8187980537043971E-6</v>
      </c>
      <c r="AG273" s="39">
        <f t="shared" si="587"/>
        <v>6.8187980537043971E-6</v>
      </c>
      <c r="AH273" s="39">
        <f t="shared" si="587"/>
        <v>6.8187980537043971E-6</v>
      </c>
      <c r="AI273" s="39">
        <f t="shared" si="587"/>
        <v>6.8187980537043971E-6</v>
      </c>
      <c r="AJ273" s="39">
        <f t="shared" si="587"/>
        <v>6.8187980537043971E-6</v>
      </c>
      <c r="AK273" s="39">
        <f t="shared" si="587"/>
        <v>6.8187980537043971E-6</v>
      </c>
      <c r="AL273" s="39">
        <f t="shared" si="587"/>
        <v>6.8187980537043971E-6</v>
      </c>
      <c r="AM273" s="184">
        <f t="shared" si="538"/>
        <v>6.8187980537043971E-6</v>
      </c>
      <c r="AN273" s="184">
        <f t="shared" si="554"/>
        <v>6.8187980537043971E-6</v>
      </c>
      <c r="AO273" s="184">
        <f t="shared" si="555"/>
        <v>6.8187980537043971E-6</v>
      </c>
      <c r="AP273" s="184">
        <f t="shared" si="556"/>
        <v>6.8187980537043971E-6</v>
      </c>
      <c r="AQ273" s="184">
        <f t="shared" si="557"/>
        <v>6.8187980537043971E-6</v>
      </c>
      <c r="AR273" s="184">
        <f t="shared" si="558"/>
        <v>6.8187980537043971E-6</v>
      </c>
      <c r="AS273" s="184">
        <f t="shared" si="559"/>
        <v>6.8187980537043971E-6</v>
      </c>
      <c r="AT273" s="184">
        <f t="shared" si="560"/>
        <v>6.8187980537043971E-6</v>
      </c>
      <c r="AU273" s="184">
        <f t="shared" si="561"/>
        <v>6.8187980537043971E-6</v>
      </c>
      <c r="AV273" s="184">
        <f t="shared" si="562"/>
        <v>6.8187980537043971E-6</v>
      </c>
      <c r="AW273" s="184">
        <f t="shared" si="563"/>
        <v>6.8187980537043971E-6</v>
      </c>
      <c r="AX273" s="184">
        <f t="shared" si="564"/>
        <v>6.8187980537043971E-6</v>
      </c>
      <c r="AY273" s="184">
        <f t="shared" si="565"/>
        <v>6.8187980537043971E-6</v>
      </c>
      <c r="AZ273" s="184">
        <f t="shared" si="566"/>
        <v>6.8187980537043971E-6</v>
      </c>
      <c r="BA273" s="184">
        <f t="shared" si="567"/>
        <v>6.8187980537043971E-6</v>
      </c>
      <c r="BB273" s="184">
        <f t="shared" si="568"/>
        <v>6.8187980537043971E-6</v>
      </c>
      <c r="BC273" s="184">
        <f t="shared" si="569"/>
        <v>6.8187980537043971E-6</v>
      </c>
      <c r="BD273" s="184">
        <f t="shared" si="570"/>
        <v>6.8187980537043971E-6</v>
      </c>
      <c r="BE273" s="184">
        <f t="shared" si="571"/>
        <v>6.8187980537043971E-6</v>
      </c>
      <c r="BF273" s="184">
        <f t="shared" si="572"/>
        <v>6.8187980537043971E-6</v>
      </c>
    </row>
    <row r="274" spans="2:58">
      <c r="B274" t="s">
        <v>659</v>
      </c>
      <c r="C274" s="109">
        <v>26.4</v>
      </c>
      <c r="D274" s="183">
        <f t="shared" si="536"/>
        <v>26.4</v>
      </c>
      <c r="E274" s="182">
        <f t="shared" si="520"/>
        <v>26.4</v>
      </c>
      <c r="F274" s="182">
        <f t="shared" si="521"/>
        <v>26.4</v>
      </c>
      <c r="G274" s="182">
        <f t="shared" si="522"/>
        <v>26.4</v>
      </c>
      <c r="H274" s="182">
        <f t="shared" si="523"/>
        <v>26.4</v>
      </c>
      <c r="I274" s="182">
        <f t="shared" si="524"/>
        <v>26.4</v>
      </c>
      <c r="J274" s="109">
        <v>26.4</v>
      </c>
      <c r="K274" s="183">
        <f t="shared" si="525"/>
        <v>26.4</v>
      </c>
      <c r="L274" s="183">
        <f t="shared" si="526"/>
        <v>26.4</v>
      </c>
      <c r="M274" s="183">
        <f t="shared" si="527"/>
        <v>26.4</v>
      </c>
      <c r="N274" s="183">
        <f t="shared" si="528"/>
        <v>26.4</v>
      </c>
      <c r="O274" s="109">
        <v>26.4</v>
      </c>
      <c r="P274" s="183">
        <f t="shared" si="529"/>
        <v>26.4</v>
      </c>
      <c r="Q274" s="183">
        <f t="shared" si="530"/>
        <v>26.4</v>
      </c>
      <c r="R274" s="183">
        <f t="shared" si="531"/>
        <v>26.4</v>
      </c>
      <c r="S274" s="183">
        <f t="shared" si="532"/>
        <v>26.4</v>
      </c>
      <c r="T274" s="109">
        <v>26.4</v>
      </c>
      <c r="V274" t="s">
        <v>659</v>
      </c>
      <c r="W274" s="39">
        <f t="shared" ref="W274:AL274" si="588">E274/SUM(E243:E277)</f>
        <v>4.7917937366432205E-6</v>
      </c>
      <c r="X274" s="39">
        <f t="shared" si="588"/>
        <v>4.7917937366432205E-6</v>
      </c>
      <c r="Y274" s="39">
        <f t="shared" si="588"/>
        <v>4.7917937366432205E-6</v>
      </c>
      <c r="Z274" s="39">
        <f t="shared" si="588"/>
        <v>4.7917937366432205E-6</v>
      </c>
      <c r="AA274" s="39">
        <f t="shared" si="588"/>
        <v>4.7917937366432205E-6</v>
      </c>
      <c r="AB274" s="39">
        <f t="shared" si="588"/>
        <v>4.7917937366432205E-6</v>
      </c>
      <c r="AC274" s="39">
        <f t="shared" si="588"/>
        <v>4.7917937366432205E-6</v>
      </c>
      <c r="AD274" s="39">
        <f t="shared" si="588"/>
        <v>4.7917937366432205E-6</v>
      </c>
      <c r="AE274" s="39">
        <f t="shared" si="588"/>
        <v>4.7917937366432205E-6</v>
      </c>
      <c r="AF274" s="39">
        <f t="shared" si="588"/>
        <v>4.7917937366432205E-6</v>
      </c>
      <c r="AG274" s="39">
        <f t="shared" si="588"/>
        <v>4.7917937366432205E-6</v>
      </c>
      <c r="AH274" s="39">
        <f t="shared" si="588"/>
        <v>4.7917937366432205E-6</v>
      </c>
      <c r="AI274" s="39">
        <f t="shared" si="588"/>
        <v>4.7917937366432205E-6</v>
      </c>
      <c r="AJ274" s="39">
        <f t="shared" si="588"/>
        <v>4.7917937366432205E-6</v>
      </c>
      <c r="AK274" s="39">
        <f t="shared" si="588"/>
        <v>4.7917937366432205E-6</v>
      </c>
      <c r="AL274" s="39">
        <f t="shared" si="588"/>
        <v>4.7917937366432205E-6</v>
      </c>
      <c r="AM274" s="184">
        <f t="shared" si="538"/>
        <v>4.7917937366432205E-6</v>
      </c>
      <c r="AN274" s="184">
        <f t="shared" si="554"/>
        <v>4.7917937366432205E-6</v>
      </c>
      <c r="AO274" s="184">
        <f t="shared" si="555"/>
        <v>4.7917937366432205E-6</v>
      </c>
      <c r="AP274" s="184">
        <f t="shared" si="556"/>
        <v>4.7917937366432205E-6</v>
      </c>
      <c r="AQ274" s="184">
        <f t="shared" si="557"/>
        <v>4.7917937366432205E-6</v>
      </c>
      <c r="AR274" s="184">
        <f t="shared" si="558"/>
        <v>4.7917937366432205E-6</v>
      </c>
      <c r="AS274" s="184">
        <f t="shared" si="559"/>
        <v>4.7917937366432205E-6</v>
      </c>
      <c r="AT274" s="184">
        <f t="shared" si="560"/>
        <v>4.7917937366432205E-6</v>
      </c>
      <c r="AU274" s="184">
        <f t="shared" si="561"/>
        <v>4.7917937366432205E-6</v>
      </c>
      <c r="AV274" s="184">
        <f t="shared" si="562"/>
        <v>4.7917937366432205E-6</v>
      </c>
      <c r="AW274" s="184">
        <f t="shared" si="563"/>
        <v>4.7917937366432205E-6</v>
      </c>
      <c r="AX274" s="184">
        <f t="shared" si="564"/>
        <v>4.7917937366432205E-6</v>
      </c>
      <c r="AY274" s="184">
        <f t="shared" si="565"/>
        <v>4.7917937366432205E-6</v>
      </c>
      <c r="AZ274" s="184">
        <f t="shared" si="566"/>
        <v>4.7917937366432205E-6</v>
      </c>
      <c r="BA274" s="184">
        <f t="shared" si="567"/>
        <v>4.7917937366432205E-6</v>
      </c>
      <c r="BB274" s="184">
        <f t="shared" si="568"/>
        <v>4.7917937366432205E-6</v>
      </c>
      <c r="BC274" s="184">
        <f t="shared" si="569"/>
        <v>4.7917937366432205E-6</v>
      </c>
      <c r="BD274" s="184">
        <f t="shared" si="570"/>
        <v>4.7917937366432205E-6</v>
      </c>
      <c r="BE274" s="184">
        <f t="shared" si="571"/>
        <v>4.7917937366432205E-6</v>
      </c>
      <c r="BF274" s="184">
        <f t="shared" si="572"/>
        <v>4.7917937366432205E-6</v>
      </c>
    </row>
    <row r="275" spans="2:58">
      <c r="B275" t="s">
        <v>660</v>
      </c>
      <c r="C275" s="109">
        <f>SUM(C247,C248,C249,C253,C254,C255,C261,C262,C264,C265,C270,C272)</f>
        <v>424904.43307831575</v>
      </c>
      <c r="D275" s="182">
        <f t="shared" ref="D275:T275" si="589">SUM(D247,D248,D249,D253,D254,D255,D261,D262,D264,D265,D270,D272)</f>
        <v>424904.43307831575</v>
      </c>
      <c r="E275" s="182">
        <f t="shared" si="589"/>
        <v>424904.43307831575</v>
      </c>
      <c r="F275" s="182">
        <f t="shared" si="589"/>
        <v>424904.43307831575</v>
      </c>
      <c r="G275" s="182">
        <f t="shared" si="589"/>
        <v>424904.43307831575</v>
      </c>
      <c r="H275" s="182">
        <f t="shared" si="589"/>
        <v>424904.43307831575</v>
      </c>
      <c r="I275" s="182">
        <f t="shared" si="589"/>
        <v>424904.43307831575</v>
      </c>
      <c r="J275" s="109">
        <f t="shared" si="589"/>
        <v>424904.43307831575</v>
      </c>
      <c r="K275" s="183">
        <f t="shared" si="589"/>
        <v>424904.43307831575</v>
      </c>
      <c r="L275" s="183">
        <f t="shared" si="589"/>
        <v>424904.43307831575</v>
      </c>
      <c r="M275" s="183">
        <f t="shared" si="589"/>
        <v>424904.43307831575</v>
      </c>
      <c r="N275" s="183">
        <f t="shared" si="589"/>
        <v>424904.43307831575</v>
      </c>
      <c r="O275" s="109">
        <f t="shared" si="589"/>
        <v>424904.43307831575</v>
      </c>
      <c r="P275" s="183">
        <f t="shared" si="589"/>
        <v>424904.43307831575</v>
      </c>
      <c r="Q275" s="183">
        <f t="shared" si="589"/>
        <v>424904.43307831575</v>
      </c>
      <c r="R275" s="183">
        <f t="shared" si="589"/>
        <v>424904.43307831575</v>
      </c>
      <c r="S275" s="183">
        <f t="shared" si="589"/>
        <v>424904.43307831575</v>
      </c>
      <c r="T275" s="109">
        <f t="shared" si="589"/>
        <v>424904.43307831575</v>
      </c>
      <c r="U275" s="195"/>
      <c r="V275" t="s">
        <v>660</v>
      </c>
      <c r="W275" s="193">
        <f>E275/SUM(E$242:E$274)</f>
        <v>0.21949526676399925</v>
      </c>
      <c r="X275" s="172">
        <f t="shared" ref="X275:AL276" si="590">F275/SUM(F$242:F$274)</f>
        <v>0.21949526676399925</v>
      </c>
      <c r="Y275" s="172">
        <f t="shared" si="590"/>
        <v>0.21949526676399925</v>
      </c>
      <c r="Z275" s="172">
        <f t="shared" si="590"/>
        <v>0.21949526676399925</v>
      </c>
      <c r="AA275" s="172">
        <f t="shared" si="590"/>
        <v>0.21949526676399925</v>
      </c>
      <c r="AB275" s="172">
        <f t="shared" si="590"/>
        <v>0.21949526676399925</v>
      </c>
      <c r="AC275" s="172">
        <f t="shared" si="590"/>
        <v>0.21949526676399925</v>
      </c>
      <c r="AD275" s="172">
        <f t="shared" si="590"/>
        <v>0.21949526676399925</v>
      </c>
      <c r="AE275" s="172">
        <f t="shared" si="590"/>
        <v>0.21949526676399925</v>
      </c>
      <c r="AF275" s="172">
        <f t="shared" si="590"/>
        <v>0.21949526676399925</v>
      </c>
      <c r="AG275" s="172">
        <f t="shared" si="590"/>
        <v>0.21949526676399925</v>
      </c>
      <c r="AH275" s="172">
        <f t="shared" si="590"/>
        <v>0.21949526676399925</v>
      </c>
      <c r="AI275" s="172">
        <f t="shared" si="590"/>
        <v>0.21949526676399925</v>
      </c>
      <c r="AJ275" s="172">
        <f t="shared" si="590"/>
        <v>0.21949526676399925</v>
      </c>
      <c r="AK275" s="172">
        <f t="shared" si="590"/>
        <v>0.21949526676399925</v>
      </c>
      <c r="AL275" s="172">
        <f t="shared" si="590"/>
        <v>0.21949526676399925</v>
      </c>
      <c r="AM275" s="184">
        <f>AL275</f>
        <v>0.21949526676399925</v>
      </c>
      <c r="AN275" s="184">
        <f t="shared" si="554"/>
        <v>0.21949526676399925</v>
      </c>
      <c r="AO275" s="184">
        <f t="shared" si="555"/>
        <v>0.21949526676399925</v>
      </c>
      <c r="AP275" s="184">
        <f t="shared" si="556"/>
        <v>0.21949526676399925</v>
      </c>
      <c r="AQ275" s="184">
        <f t="shared" si="557"/>
        <v>0.21949526676399925</v>
      </c>
      <c r="AR275" s="184">
        <f t="shared" si="558"/>
        <v>0.21949526676399925</v>
      </c>
      <c r="AS275" s="184">
        <f t="shared" si="559"/>
        <v>0.21949526676399925</v>
      </c>
      <c r="AT275" s="184">
        <f t="shared" si="560"/>
        <v>0.21949526676399925</v>
      </c>
      <c r="AU275" s="184">
        <f t="shared" si="561"/>
        <v>0.21949526676399925</v>
      </c>
      <c r="AV275" s="184">
        <f t="shared" si="562"/>
        <v>0.21949526676399925</v>
      </c>
      <c r="AW275" s="184">
        <f t="shared" si="563"/>
        <v>0.21949526676399925</v>
      </c>
      <c r="AX275" s="184">
        <f t="shared" si="564"/>
        <v>0.21949526676399925</v>
      </c>
      <c r="AY275" s="184">
        <f t="shared" si="565"/>
        <v>0.21949526676399925</v>
      </c>
      <c r="AZ275" s="184">
        <f t="shared" si="566"/>
        <v>0.21949526676399925</v>
      </c>
      <c r="BA275" s="184">
        <f t="shared" si="567"/>
        <v>0.21949526676399925</v>
      </c>
      <c r="BB275" s="184">
        <f t="shared" si="568"/>
        <v>0.21949526676399925</v>
      </c>
      <c r="BC275" s="184">
        <f t="shared" si="569"/>
        <v>0.21949526676399925</v>
      </c>
      <c r="BD275" s="184">
        <f t="shared" si="570"/>
        <v>0.21949526676399925</v>
      </c>
      <c r="BE275" s="184">
        <f t="shared" si="571"/>
        <v>0.21949526676399925</v>
      </c>
      <c r="BF275" s="184">
        <f t="shared" si="572"/>
        <v>0.21949526676399925</v>
      </c>
    </row>
    <row r="276" spans="2:58">
      <c r="B276" t="s">
        <v>661</v>
      </c>
      <c r="C276" s="109">
        <f>SUM(C242,C243,C244,C245,C250,C251,C252,C256,C257,C258,C259,C260,C263,C266,C267,C268,C269,C271,C273,C274,C246)</f>
        <v>1510920.6047124623</v>
      </c>
      <c r="D276" s="182">
        <f t="shared" ref="D276:T276" si="591">SUM(D242,D243,D244,D245,D250,D251,D252,D256,D257,D258,D259,D260,D263,D266,D267,D268,D269,D271,D273,D274,D246)</f>
        <v>1510920.6047124623</v>
      </c>
      <c r="E276" s="182">
        <f t="shared" si="591"/>
        <v>1510920.6047124623</v>
      </c>
      <c r="F276" s="182">
        <f t="shared" si="591"/>
        <v>1510920.6047124623</v>
      </c>
      <c r="G276" s="182">
        <f t="shared" si="591"/>
        <v>1510920.6047124623</v>
      </c>
      <c r="H276" s="182">
        <f t="shared" si="591"/>
        <v>1510920.6047124623</v>
      </c>
      <c r="I276" s="182">
        <f t="shared" si="591"/>
        <v>1510920.6047124623</v>
      </c>
      <c r="J276" s="109">
        <f t="shared" si="591"/>
        <v>1510920.6047124623</v>
      </c>
      <c r="K276" s="183">
        <f t="shared" si="591"/>
        <v>1510920.6047124623</v>
      </c>
      <c r="L276" s="183">
        <f t="shared" si="591"/>
        <v>1510920.6047124623</v>
      </c>
      <c r="M276" s="183">
        <f t="shared" si="591"/>
        <v>1510920.6047124623</v>
      </c>
      <c r="N276" s="183">
        <f t="shared" si="591"/>
        <v>1510920.6047124623</v>
      </c>
      <c r="O276" s="109">
        <f t="shared" si="591"/>
        <v>1510920.6047124623</v>
      </c>
      <c r="P276" s="183">
        <f t="shared" si="591"/>
        <v>1510920.6047124623</v>
      </c>
      <c r="Q276" s="183">
        <f t="shared" si="591"/>
        <v>1510920.6047124623</v>
      </c>
      <c r="R276" s="183">
        <f t="shared" si="591"/>
        <v>1510920.6047124623</v>
      </c>
      <c r="S276" s="183">
        <f t="shared" si="591"/>
        <v>1510920.6047124623</v>
      </c>
      <c r="T276" s="109">
        <f t="shared" si="591"/>
        <v>1510920.6047124623</v>
      </c>
      <c r="U276" s="195"/>
      <c r="V276" t="s">
        <v>661</v>
      </c>
      <c r="W276" s="193">
        <f>E276/SUM(E$242:E$274)</f>
        <v>0.78050473323600078</v>
      </c>
      <c r="X276" s="172">
        <f t="shared" si="590"/>
        <v>0.78050473323600078</v>
      </c>
      <c r="Y276" s="172">
        <f t="shared" si="590"/>
        <v>0.78050473323600078</v>
      </c>
      <c r="Z276" s="172">
        <f t="shared" si="590"/>
        <v>0.78050473323600078</v>
      </c>
      <c r="AA276" s="172">
        <f t="shared" si="590"/>
        <v>0.78050473323600078</v>
      </c>
      <c r="AB276" s="172">
        <f t="shared" si="590"/>
        <v>0.78050473323600078</v>
      </c>
      <c r="AC276" s="172">
        <f t="shared" si="590"/>
        <v>0.78050473323600078</v>
      </c>
      <c r="AD276" s="172">
        <f t="shared" si="590"/>
        <v>0.78050473323600078</v>
      </c>
      <c r="AE276" s="172">
        <f t="shared" si="590"/>
        <v>0.78050473323600078</v>
      </c>
      <c r="AF276" s="172">
        <f t="shared" si="590"/>
        <v>0.78050473323600078</v>
      </c>
      <c r="AG276" s="172">
        <f t="shared" si="590"/>
        <v>0.78050473323600078</v>
      </c>
      <c r="AH276" s="172">
        <f t="shared" si="590"/>
        <v>0.78050473323600078</v>
      </c>
      <c r="AI276" s="172">
        <f t="shared" si="590"/>
        <v>0.78050473323600078</v>
      </c>
      <c r="AJ276" s="172">
        <f t="shared" si="590"/>
        <v>0.78050473323600078</v>
      </c>
      <c r="AK276" s="172">
        <f t="shared" si="590"/>
        <v>0.78050473323600078</v>
      </c>
      <c r="AL276" s="172">
        <f t="shared" si="590"/>
        <v>0.78050473323600078</v>
      </c>
      <c r="AM276" s="184">
        <f>AL276</f>
        <v>0.78050473323600078</v>
      </c>
      <c r="AN276" s="184">
        <f t="shared" si="554"/>
        <v>0.78050473323600078</v>
      </c>
      <c r="AO276" s="184">
        <f t="shared" si="555"/>
        <v>0.78050473323600078</v>
      </c>
      <c r="AP276" s="184">
        <f t="shared" si="556"/>
        <v>0.78050473323600078</v>
      </c>
      <c r="AQ276" s="184">
        <f t="shared" si="557"/>
        <v>0.78050473323600078</v>
      </c>
      <c r="AR276" s="184">
        <f t="shared" si="558"/>
        <v>0.78050473323600078</v>
      </c>
      <c r="AS276" s="184">
        <f t="shared" si="559"/>
        <v>0.78050473323600078</v>
      </c>
      <c r="AT276" s="184">
        <f t="shared" si="560"/>
        <v>0.78050473323600078</v>
      </c>
      <c r="AU276" s="184">
        <f t="shared" si="561"/>
        <v>0.78050473323600078</v>
      </c>
      <c r="AV276" s="184">
        <f t="shared" si="562"/>
        <v>0.78050473323600078</v>
      </c>
      <c r="AW276" s="184">
        <f t="shared" si="563"/>
        <v>0.78050473323600078</v>
      </c>
      <c r="AX276" s="184">
        <f t="shared" si="564"/>
        <v>0.78050473323600078</v>
      </c>
      <c r="AY276" s="184">
        <f t="shared" si="565"/>
        <v>0.78050473323600078</v>
      </c>
      <c r="AZ276" s="184">
        <f t="shared" si="566"/>
        <v>0.78050473323600078</v>
      </c>
      <c r="BA276" s="184">
        <f t="shared" si="567"/>
        <v>0.78050473323600078</v>
      </c>
      <c r="BB276" s="184">
        <f t="shared" si="568"/>
        <v>0.78050473323600078</v>
      </c>
      <c r="BC276" s="184">
        <f t="shared" si="569"/>
        <v>0.78050473323600078</v>
      </c>
      <c r="BD276" s="184">
        <f t="shared" si="570"/>
        <v>0.78050473323600078</v>
      </c>
      <c r="BE276" s="184">
        <f t="shared" si="571"/>
        <v>0.78050473323600078</v>
      </c>
      <c r="BF276" s="184">
        <f t="shared" si="572"/>
        <v>0.78050473323600078</v>
      </c>
    </row>
    <row r="277" spans="2:58">
      <c r="B277" t="s">
        <v>122</v>
      </c>
      <c r="C277" s="36">
        <f>SUM(C242:C274)</f>
        <v>1935825.0377907781</v>
      </c>
      <c r="D277" s="36">
        <f t="shared" ref="D277:T277" si="592">SUM(D242:D274)</f>
        <v>1935825.0377907781</v>
      </c>
      <c r="E277" s="36">
        <f t="shared" si="592"/>
        <v>1935825.0377907781</v>
      </c>
      <c r="F277" s="36">
        <f t="shared" si="592"/>
        <v>1935825.0377907781</v>
      </c>
      <c r="G277" s="36">
        <f t="shared" si="592"/>
        <v>1935825.0377907781</v>
      </c>
      <c r="H277" s="36">
        <f t="shared" si="592"/>
        <v>1935825.0377907781</v>
      </c>
      <c r="I277" s="36">
        <f t="shared" si="592"/>
        <v>1935825.0377907781</v>
      </c>
      <c r="J277" s="36">
        <f t="shared" si="592"/>
        <v>1935825.0377907781</v>
      </c>
      <c r="K277" s="36">
        <f t="shared" si="592"/>
        <v>1935825.0377907781</v>
      </c>
      <c r="L277" s="36">
        <f t="shared" si="592"/>
        <v>1935825.0377907781</v>
      </c>
      <c r="M277" s="36">
        <f t="shared" si="592"/>
        <v>1935825.0377907781</v>
      </c>
      <c r="N277" s="36">
        <f t="shared" si="592"/>
        <v>1935825.0377907781</v>
      </c>
      <c r="O277" s="36">
        <f t="shared" si="592"/>
        <v>1935825.0377907781</v>
      </c>
      <c r="P277" s="36">
        <f t="shared" si="592"/>
        <v>1935825.0377907781</v>
      </c>
      <c r="Q277" s="36">
        <f t="shared" si="592"/>
        <v>1935825.0377907781</v>
      </c>
      <c r="R277" s="36">
        <f t="shared" si="592"/>
        <v>1935825.0377907781</v>
      </c>
      <c r="S277" s="36">
        <f t="shared" si="592"/>
        <v>1935825.0377907781</v>
      </c>
      <c r="T277" s="36">
        <f t="shared" si="592"/>
        <v>1935825.0377907781</v>
      </c>
      <c r="V277" s="181" t="s">
        <v>122</v>
      </c>
      <c r="W277" s="196">
        <f>SUM(W242:W274)</f>
        <v>0.99999115419762952</v>
      </c>
      <c r="X277" s="196">
        <f t="shared" ref="X277:BF277" si="593">SUM(X242:X274)</f>
        <v>0.99999115419762952</v>
      </c>
      <c r="Y277" s="196">
        <f t="shared" si="593"/>
        <v>0.99999115419762952</v>
      </c>
      <c r="Z277" s="196">
        <f t="shared" si="593"/>
        <v>0.99999115419762952</v>
      </c>
      <c r="AA277" s="196">
        <f t="shared" si="593"/>
        <v>0.99999115419762952</v>
      </c>
      <c r="AB277" s="196">
        <f t="shared" si="593"/>
        <v>0.99999115419762952</v>
      </c>
      <c r="AC277" s="196">
        <f t="shared" si="593"/>
        <v>0.99999115419762952</v>
      </c>
      <c r="AD277" s="196">
        <f t="shared" si="593"/>
        <v>0.99999115419762952</v>
      </c>
      <c r="AE277" s="196">
        <f t="shared" si="593"/>
        <v>0.99999115419762952</v>
      </c>
      <c r="AF277" s="196">
        <f t="shared" si="593"/>
        <v>0.99999115419762952</v>
      </c>
      <c r="AG277" s="196">
        <f t="shared" si="593"/>
        <v>0.99999115419762952</v>
      </c>
      <c r="AH277" s="196">
        <f t="shared" si="593"/>
        <v>0.99999115419762952</v>
      </c>
      <c r="AI277" s="196">
        <f t="shared" si="593"/>
        <v>0.99999115419762952</v>
      </c>
      <c r="AJ277" s="196">
        <f t="shared" si="593"/>
        <v>0.99999115419762952</v>
      </c>
      <c r="AK277" s="196">
        <f t="shared" si="593"/>
        <v>0.99999115419762952</v>
      </c>
      <c r="AL277" s="196">
        <f t="shared" si="593"/>
        <v>0.99999115419762952</v>
      </c>
      <c r="AM277" s="196">
        <f t="shared" si="593"/>
        <v>0.99999115419762952</v>
      </c>
      <c r="AN277" s="196">
        <f t="shared" si="593"/>
        <v>0.99999115419762952</v>
      </c>
      <c r="AO277" s="196">
        <f t="shared" si="593"/>
        <v>0.99999115419762952</v>
      </c>
      <c r="AP277" s="196">
        <f t="shared" si="593"/>
        <v>0.99999115419762952</v>
      </c>
      <c r="AQ277" s="196">
        <f t="shared" si="593"/>
        <v>0.99999115419762952</v>
      </c>
      <c r="AR277" s="196">
        <f t="shared" si="593"/>
        <v>0.99999115419762952</v>
      </c>
      <c r="AS277" s="196">
        <f t="shared" si="593"/>
        <v>0.99999115419762952</v>
      </c>
      <c r="AT277" s="196">
        <f t="shared" si="593"/>
        <v>0.99999115419762952</v>
      </c>
      <c r="AU277" s="196">
        <f t="shared" si="593"/>
        <v>0.99999115419762952</v>
      </c>
      <c r="AV277" s="196">
        <f t="shared" si="593"/>
        <v>0.99999115419762952</v>
      </c>
      <c r="AW277" s="196">
        <f t="shared" si="593"/>
        <v>0.99999115419762952</v>
      </c>
      <c r="AX277" s="196">
        <f t="shared" si="593"/>
        <v>0.99999115419762952</v>
      </c>
      <c r="AY277" s="196">
        <f t="shared" si="593"/>
        <v>0.99999115419762952</v>
      </c>
      <c r="AZ277" s="196">
        <f t="shared" si="593"/>
        <v>0.99999115419762952</v>
      </c>
      <c r="BA277" s="196">
        <f t="shared" si="593"/>
        <v>0.99999115419762952</v>
      </c>
      <c r="BB277" s="196">
        <f t="shared" si="593"/>
        <v>0.99999115419762952</v>
      </c>
      <c r="BC277" s="196">
        <f t="shared" si="593"/>
        <v>0.99999115419762952</v>
      </c>
      <c r="BD277" s="196">
        <f t="shared" si="593"/>
        <v>0.99999115419762952</v>
      </c>
      <c r="BE277" s="196">
        <f t="shared" si="593"/>
        <v>0.99999115419762952</v>
      </c>
      <c r="BF277" s="197">
        <f t="shared" si="593"/>
        <v>0.99999115419762952</v>
      </c>
    </row>
    <row r="278" spans="2:58">
      <c r="B278" t="s">
        <v>662</v>
      </c>
      <c r="C278" s="218">
        <f>INDEX(C242:C277,MATCH($V$5,$B242:$B277,0))</f>
        <v>424904.43307831575</v>
      </c>
      <c r="D278" s="218">
        <f t="shared" ref="D278:T278" si="594">INDEX(D242:D277,MATCH($V$5,$B242:$B277,0))</f>
        <v>424904.43307831575</v>
      </c>
      <c r="E278" s="218">
        <f t="shared" si="594"/>
        <v>424904.43307831575</v>
      </c>
      <c r="F278" s="218">
        <f t="shared" si="594"/>
        <v>424904.43307831575</v>
      </c>
      <c r="G278" s="218">
        <f t="shared" si="594"/>
        <v>424904.43307831575</v>
      </c>
      <c r="H278" s="218">
        <f t="shared" si="594"/>
        <v>424904.43307831575</v>
      </c>
      <c r="I278" s="218">
        <f t="shared" si="594"/>
        <v>424904.43307831575</v>
      </c>
      <c r="J278" s="218">
        <f t="shared" si="594"/>
        <v>424904.43307831575</v>
      </c>
      <c r="K278" s="218">
        <f t="shared" si="594"/>
        <v>424904.43307831575</v>
      </c>
      <c r="L278" s="218">
        <f t="shared" si="594"/>
        <v>424904.43307831575</v>
      </c>
      <c r="M278" s="218">
        <f t="shared" si="594"/>
        <v>424904.43307831575</v>
      </c>
      <c r="N278" s="218">
        <f t="shared" si="594"/>
        <v>424904.43307831575</v>
      </c>
      <c r="O278" s="218">
        <f t="shared" si="594"/>
        <v>424904.43307831575</v>
      </c>
      <c r="P278" s="218">
        <f t="shared" si="594"/>
        <v>424904.43307831575</v>
      </c>
      <c r="Q278" s="218">
        <f t="shared" si="594"/>
        <v>424904.43307831575</v>
      </c>
      <c r="R278" s="218">
        <f t="shared" si="594"/>
        <v>424904.43307831575</v>
      </c>
      <c r="S278" s="218">
        <f t="shared" si="594"/>
        <v>424904.43307831575</v>
      </c>
      <c r="T278" s="218">
        <f t="shared" si="594"/>
        <v>424904.43307831575</v>
      </c>
      <c r="V278" s="181" t="s">
        <v>662</v>
      </c>
      <c r="W278" s="196">
        <f>INDEX(W242:W277,MATCH($V$5,$V242:$V277,0))</f>
        <v>0.21949526676399925</v>
      </c>
      <c r="X278" s="196">
        <f t="shared" ref="X278:BF278" si="595">INDEX(X242:X277,MATCH($V$5,$V242:$V277,0))</f>
        <v>0.21949526676399925</v>
      </c>
      <c r="Y278" s="196">
        <f t="shared" si="595"/>
        <v>0.21949526676399925</v>
      </c>
      <c r="Z278" s="196">
        <f t="shared" si="595"/>
        <v>0.21949526676399925</v>
      </c>
      <c r="AA278" s="196">
        <f t="shared" si="595"/>
        <v>0.21949526676399925</v>
      </c>
      <c r="AB278" s="196">
        <f t="shared" si="595"/>
        <v>0.21949526676399925</v>
      </c>
      <c r="AC278" s="196">
        <f t="shared" si="595"/>
        <v>0.21949526676399925</v>
      </c>
      <c r="AD278" s="196">
        <f t="shared" si="595"/>
        <v>0.21949526676399925</v>
      </c>
      <c r="AE278" s="196">
        <f t="shared" si="595"/>
        <v>0.21949526676399925</v>
      </c>
      <c r="AF278" s="196">
        <f t="shared" si="595"/>
        <v>0.21949526676399925</v>
      </c>
      <c r="AG278" s="196">
        <f t="shared" si="595"/>
        <v>0.21949526676399925</v>
      </c>
      <c r="AH278" s="196">
        <f t="shared" si="595"/>
        <v>0.21949526676399925</v>
      </c>
      <c r="AI278" s="196">
        <f t="shared" si="595"/>
        <v>0.21949526676399925</v>
      </c>
      <c r="AJ278" s="196">
        <f t="shared" si="595"/>
        <v>0.21949526676399925</v>
      </c>
      <c r="AK278" s="196">
        <f t="shared" si="595"/>
        <v>0.21949526676399925</v>
      </c>
      <c r="AL278" s="196">
        <f t="shared" si="595"/>
        <v>0.21949526676399925</v>
      </c>
      <c r="AM278" s="196">
        <f t="shared" si="595"/>
        <v>0.21949526676399925</v>
      </c>
      <c r="AN278" s="196">
        <f t="shared" si="595"/>
        <v>0.21949526676399925</v>
      </c>
      <c r="AO278" s="196">
        <f t="shared" si="595"/>
        <v>0.21949526676399925</v>
      </c>
      <c r="AP278" s="196">
        <f t="shared" si="595"/>
        <v>0.21949526676399925</v>
      </c>
      <c r="AQ278" s="196">
        <f t="shared" si="595"/>
        <v>0.21949526676399925</v>
      </c>
      <c r="AR278" s="196">
        <f t="shared" si="595"/>
        <v>0.21949526676399925</v>
      </c>
      <c r="AS278" s="196">
        <f t="shared" si="595"/>
        <v>0.21949526676399925</v>
      </c>
      <c r="AT278" s="196">
        <f t="shared" si="595"/>
        <v>0.21949526676399925</v>
      </c>
      <c r="AU278" s="196">
        <f t="shared" si="595"/>
        <v>0.21949526676399925</v>
      </c>
      <c r="AV278" s="196">
        <f t="shared" si="595"/>
        <v>0.21949526676399925</v>
      </c>
      <c r="AW278" s="196">
        <f t="shared" si="595"/>
        <v>0.21949526676399925</v>
      </c>
      <c r="AX278" s="196">
        <f t="shared" si="595"/>
        <v>0.21949526676399925</v>
      </c>
      <c r="AY278" s="196">
        <f t="shared" si="595"/>
        <v>0.21949526676399925</v>
      </c>
      <c r="AZ278" s="196">
        <f t="shared" si="595"/>
        <v>0.21949526676399925</v>
      </c>
      <c r="BA278" s="196">
        <f t="shared" si="595"/>
        <v>0.21949526676399925</v>
      </c>
      <c r="BB278" s="196">
        <f t="shared" si="595"/>
        <v>0.21949526676399925</v>
      </c>
      <c r="BC278" s="196">
        <f t="shared" si="595"/>
        <v>0.21949526676399925</v>
      </c>
      <c r="BD278" s="196">
        <f t="shared" si="595"/>
        <v>0.21949526676399925</v>
      </c>
      <c r="BE278" s="196">
        <f t="shared" si="595"/>
        <v>0.21949526676399925</v>
      </c>
      <c r="BF278" s="197">
        <f t="shared" si="595"/>
        <v>0.21949526676399925</v>
      </c>
    </row>
  </sheetData>
  <conditionalFormatting sqref="C8:C42">
    <cfRule type="cellIs" dxfId="354" priority="126" operator="lessThan">
      <formula>0</formula>
    </cfRule>
  </conditionalFormatting>
  <conditionalFormatting sqref="J8:J42">
    <cfRule type="cellIs" dxfId="353" priority="125" operator="lessThan">
      <formula>0</formula>
    </cfRule>
  </conditionalFormatting>
  <conditionalFormatting sqref="O8:O42">
    <cfRule type="cellIs" dxfId="352" priority="124" operator="lessThan">
      <formula>0</formula>
    </cfRule>
  </conditionalFormatting>
  <conditionalFormatting sqref="C43:U43 T8:U42">
    <cfRule type="cellIs" dxfId="351" priority="123" operator="lessThan">
      <formula>0</formula>
    </cfRule>
  </conditionalFormatting>
  <conditionalFormatting sqref="D8:I42">
    <cfRule type="cellIs" dxfId="350" priority="122" operator="lessThan">
      <formula>0</formula>
    </cfRule>
  </conditionalFormatting>
  <conditionalFormatting sqref="P8:S42">
    <cfRule type="cellIs" dxfId="349" priority="119" operator="lessThan">
      <formula>0</formula>
    </cfRule>
  </conditionalFormatting>
  <conditionalFormatting sqref="K8:N42">
    <cfRule type="cellIs" dxfId="348" priority="120" operator="lessThan">
      <formula>0</formula>
    </cfRule>
  </conditionalFormatting>
  <conditionalFormatting sqref="P47:S79">
    <cfRule type="cellIs" dxfId="347" priority="100" operator="lessThan">
      <formula>0</formula>
    </cfRule>
  </conditionalFormatting>
  <conditionalFormatting sqref="O125:O157">
    <cfRule type="cellIs" dxfId="346" priority="90" operator="lessThan">
      <formula>0</formula>
    </cfRule>
  </conditionalFormatting>
  <conditionalFormatting sqref="T86:U118 U121">
    <cfRule type="cellIs" dxfId="345" priority="96" operator="lessThan">
      <formula>0</formula>
    </cfRule>
  </conditionalFormatting>
  <conditionalFormatting sqref="D47:I79">
    <cfRule type="cellIs" dxfId="344" priority="102" operator="lessThan">
      <formula>0</formula>
    </cfRule>
  </conditionalFormatting>
  <conditionalFormatting sqref="P125:S157">
    <cfRule type="cellIs" dxfId="343" priority="86" operator="lessThan">
      <formula>0</formula>
    </cfRule>
  </conditionalFormatting>
  <conditionalFormatting sqref="C125:C157">
    <cfRule type="cellIs" dxfId="342" priority="92" operator="lessThan">
      <formula>0</formula>
    </cfRule>
  </conditionalFormatting>
  <conditionalFormatting sqref="J86:J118">
    <cfRule type="cellIs" dxfId="341" priority="98" operator="lessThan">
      <formula>0</formula>
    </cfRule>
  </conditionalFormatting>
  <conditionalFormatting sqref="O47:O79">
    <cfRule type="cellIs" dxfId="340" priority="104" operator="lessThan">
      <formula>0</formula>
    </cfRule>
  </conditionalFormatting>
  <conditionalFormatting sqref="T164:U196">
    <cfRule type="cellIs" dxfId="339" priority="82" operator="lessThan">
      <formula>0</formula>
    </cfRule>
  </conditionalFormatting>
  <conditionalFormatting sqref="D125:I157">
    <cfRule type="cellIs" dxfId="338" priority="88" operator="lessThan">
      <formula>0</formula>
    </cfRule>
  </conditionalFormatting>
  <conditionalFormatting sqref="K86:N118">
    <cfRule type="cellIs" dxfId="337" priority="94" operator="lessThan">
      <formula>0</formula>
    </cfRule>
  </conditionalFormatting>
  <conditionalFormatting sqref="P164:S196">
    <cfRule type="cellIs" dxfId="336" priority="79" operator="lessThan">
      <formula>0</formula>
    </cfRule>
  </conditionalFormatting>
  <conditionalFormatting sqref="C47:C79">
    <cfRule type="cellIs" dxfId="335" priority="106" operator="lessThan">
      <formula>0</formula>
    </cfRule>
  </conditionalFormatting>
  <conditionalFormatting sqref="J47:J79">
    <cfRule type="cellIs" dxfId="334" priority="105" operator="lessThan">
      <formula>0</formula>
    </cfRule>
  </conditionalFormatting>
  <conditionalFormatting sqref="T47:U79 U82">
    <cfRule type="cellIs" dxfId="333" priority="103" operator="lessThan">
      <formula>0</formula>
    </cfRule>
  </conditionalFormatting>
  <conditionalFormatting sqref="K47:N79">
    <cfRule type="cellIs" dxfId="332" priority="101" operator="lessThan">
      <formula>0</formula>
    </cfRule>
  </conditionalFormatting>
  <conditionalFormatting sqref="C86:C118">
    <cfRule type="cellIs" dxfId="331" priority="99" operator="lessThan">
      <formula>0</formula>
    </cfRule>
  </conditionalFormatting>
  <conditionalFormatting sqref="O86:O118">
    <cfRule type="cellIs" dxfId="330" priority="97" operator="lessThan">
      <formula>0</formula>
    </cfRule>
  </conditionalFormatting>
  <conditionalFormatting sqref="D86:I118">
    <cfRule type="cellIs" dxfId="329" priority="95" operator="lessThan">
      <formula>0</formula>
    </cfRule>
  </conditionalFormatting>
  <conditionalFormatting sqref="P86:S118">
    <cfRule type="cellIs" dxfId="328" priority="93" operator="lessThan">
      <formula>0</formula>
    </cfRule>
  </conditionalFormatting>
  <conditionalFormatting sqref="J125:J157">
    <cfRule type="cellIs" dxfId="327" priority="91" operator="lessThan">
      <formula>0</formula>
    </cfRule>
  </conditionalFormatting>
  <conditionalFormatting sqref="T125:U157">
    <cfRule type="cellIs" dxfId="326" priority="89" operator="lessThan">
      <formula>0</formula>
    </cfRule>
  </conditionalFormatting>
  <conditionalFormatting sqref="K125:N157">
    <cfRule type="cellIs" dxfId="325" priority="87" operator="lessThan">
      <formula>0</formula>
    </cfRule>
  </conditionalFormatting>
  <conditionalFormatting sqref="C164:C196">
    <cfRule type="cellIs" dxfId="324" priority="85" operator="lessThan">
      <formula>0</formula>
    </cfRule>
  </conditionalFormatting>
  <conditionalFormatting sqref="J164:J196">
    <cfRule type="cellIs" dxfId="323" priority="84" operator="lessThan">
      <formula>0</formula>
    </cfRule>
  </conditionalFormatting>
  <conditionalFormatting sqref="O164:O196">
    <cfRule type="cellIs" dxfId="322" priority="83" operator="lessThan">
      <formula>0</formula>
    </cfRule>
  </conditionalFormatting>
  <conditionalFormatting sqref="D164:I196">
    <cfRule type="cellIs" dxfId="321" priority="81" operator="lessThan">
      <formula>0</formula>
    </cfRule>
  </conditionalFormatting>
  <conditionalFormatting sqref="K164:N196">
    <cfRule type="cellIs" dxfId="320" priority="80" operator="lessThan">
      <formula>0</formula>
    </cfRule>
  </conditionalFormatting>
  <conditionalFormatting sqref="T203:U203 U204:U234 T204:T235">
    <cfRule type="cellIs" dxfId="319" priority="72" operator="lessThan">
      <formula>0</formula>
    </cfRule>
  </conditionalFormatting>
  <conditionalFormatting sqref="C203:C234">
    <cfRule type="cellIs" dxfId="318" priority="75" operator="lessThan">
      <formula>0</formula>
    </cfRule>
  </conditionalFormatting>
  <conditionalFormatting sqref="D203:S235">
    <cfRule type="cellIs" dxfId="317" priority="71" operator="lessThan">
      <formula>0</formula>
    </cfRule>
  </conditionalFormatting>
  <conditionalFormatting sqref="C235">
    <cfRule type="cellIs" dxfId="316" priority="66" operator="lessThan">
      <formula>0</formula>
    </cfRule>
  </conditionalFormatting>
  <conditionalFormatting sqref="P242:S274">
    <cfRule type="cellIs" dxfId="315" priority="51" operator="lessThan">
      <formula>0</formula>
    </cfRule>
  </conditionalFormatting>
  <conditionalFormatting sqref="D242:I274">
    <cfRule type="cellIs" dxfId="314" priority="53" operator="lessThan">
      <formula>0</formula>
    </cfRule>
  </conditionalFormatting>
  <conditionalFormatting sqref="K242:N274">
    <cfRule type="cellIs" dxfId="313" priority="52" operator="lessThan">
      <formula>0</formula>
    </cfRule>
  </conditionalFormatting>
  <conditionalFormatting sqref="C242:C273">
    <cfRule type="cellIs" dxfId="312" priority="50" operator="lessThan">
      <formula>0</formula>
    </cfRule>
  </conditionalFormatting>
  <conditionalFormatting sqref="C274">
    <cfRule type="cellIs" dxfId="311" priority="49" operator="lessThan">
      <formula>0</formula>
    </cfRule>
  </conditionalFormatting>
  <conditionalFormatting sqref="T242:T273">
    <cfRule type="cellIs" dxfId="310" priority="48" operator="lessThan">
      <formula>0</formula>
    </cfRule>
  </conditionalFormatting>
  <conditionalFormatting sqref="T274">
    <cfRule type="cellIs" dxfId="309" priority="47" operator="lessThan">
      <formula>0</formula>
    </cfRule>
  </conditionalFormatting>
  <conditionalFormatting sqref="O242:O273">
    <cfRule type="cellIs" dxfId="308" priority="46" operator="lessThan">
      <formula>0</formula>
    </cfRule>
  </conditionalFormatting>
  <conditionalFormatting sqref="O274">
    <cfRule type="cellIs" dxfId="307" priority="45" operator="lessThan">
      <formula>0</formula>
    </cfRule>
  </conditionalFormatting>
  <conditionalFormatting sqref="J242:J273">
    <cfRule type="cellIs" dxfId="306" priority="44" operator="lessThan">
      <formula>0</formula>
    </cfRule>
  </conditionalFormatting>
  <conditionalFormatting sqref="J274">
    <cfRule type="cellIs" dxfId="305" priority="43" operator="lessThan">
      <formula>0</formula>
    </cfRule>
  </conditionalFormatting>
  <conditionalFormatting sqref="C80:C81">
    <cfRule type="cellIs" dxfId="304" priority="42" operator="lessThan">
      <formula>0</formula>
    </cfRule>
  </conditionalFormatting>
  <conditionalFormatting sqref="J80:J81">
    <cfRule type="cellIs" dxfId="303" priority="41" operator="lessThan">
      <formula>0</formula>
    </cfRule>
  </conditionalFormatting>
  <conditionalFormatting sqref="O80:O81">
    <cfRule type="cellIs" dxfId="302" priority="40" operator="lessThan">
      <formula>0</formula>
    </cfRule>
  </conditionalFormatting>
  <conditionalFormatting sqref="T80:U81">
    <cfRule type="cellIs" dxfId="301" priority="39" operator="lessThan">
      <formula>0</formula>
    </cfRule>
  </conditionalFormatting>
  <conditionalFormatting sqref="D80:I81">
    <cfRule type="cellIs" dxfId="300" priority="38" operator="lessThan">
      <formula>0</formula>
    </cfRule>
  </conditionalFormatting>
  <conditionalFormatting sqref="P80:S81">
    <cfRule type="cellIs" dxfId="299" priority="36" operator="lessThan">
      <formula>0</formula>
    </cfRule>
  </conditionalFormatting>
  <conditionalFormatting sqref="K80:N81">
    <cfRule type="cellIs" dxfId="298" priority="37" operator="lessThan">
      <formula>0</formula>
    </cfRule>
  </conditionalFormatting>
  <conditionalFormatting sqref="C119:C120">
    <cfRule type="cellIs" dxfId="297" priority="35" operator="lessThan">
      <formula>0</formula>
    </cfRule>
  </conditionalFormatting>
  <conditionalFormatting sqref="J119:J120">
    <cfRule type="cellIs" dxfId="296" priority="34" operator="lessThan">
      <formula>0</formula>
    </cfRule>
  </conditionalFormatting>
  <conditionalFormatting sqref="O119:O120">
    <cfRule type="cellIs" dxfId="295" priority="33" operator="lessThan">
      <formula>0</formula>
    </cfRule>
  </conditionalFormatting>
  <conditionalFormatting sqref="T119:U120">
    <cfRule type="cellIs" dxfId="294" priority="32" operator="lessThan">
      <formula>0</formula>
    </cfRule>
  </conditionalFormatting>
  <conditionalFormatting sqref="D119:I120">
    <cfRule type="cellIs" dxfId="293" priority="31" operator="lessThan">
      <formula>0</formula>
    </cfRule>
  </conditionalFormatting>
  <conditionalFormatting sqref="P119:S120">
    <cfRule type="cellIs" dxfId="292" priority="29" operator="lessThan">
      <formula>0</formula>
    </cfRule>
  </conditionalFormatting>
  <conditionalFormatting sqref="K119:N120">
    <cfRule type="cellIs" dxfId="291" priority="30" operator="lessThan">
      <formula>0</formula>
    </cfRule>
  </conditionalFormatting>
  <conditionalFormatting sqref="C158:C159">
    <cfRule type="cellIs" dxfId="290" priority="28" operator="lessThan">
      <formula>0</formula>
    </cfRule>
  </conditionalFormatting>
  <conditionalFormatting sqref="J158:J159">
    <cfRule type="cellIs" dxfId="289" priority="27" operator="lessThan">
      <formula>0</formula>
    </cfRule>
  </conditionalFormatting>
  <conditionalFormatting sqref="O158:O159">
    <cfRule type="cellIs" dxfId="288" priority="26" operator="lessThan">
      <formula>0</formula>
    </cfRule>
  </conditionalFormatting>
  <conditionalFormatting sqref="T158:U159">
    <cfRule type="cellIs" dxfId="287" priority="25" operator="lessThan">
      <formula>0</formula>
    </cfRule>
  </conditionalFormatting>
  <conditionalFormatting sqref="D158:I159">
    <cfRule type="cellIs" dxfId="286" priority="24" operator="lessThan">
      <formula>0</formula>
    </cfRule>
  </conditionalFormatting>
  <conditionalFormatting sqref="P158:S159">
    <cfRule type="cellIs" dxfId="285" priority="22" operator="lessThan">
      <formula>0</formula>
    </cfRule>
  </conditionalFormatting>
  <conditionalFormatting sqref="K158:N159">
    <cfRule type="cellIs" dxfId="284" priority="23" operator="lessThan">
      <formula>0</formula>
    </cfRule>
  </conditionalFormatting>
  <conditionalFormatting sqref="C197:C198">
    <cfRule type="cellIs" dxfId="283" priority="21" operator="lessThan">
      <formula>0</formula>
    </cfRule>
  </conditionalFormatting>
  <conditionalFormatting sqref="J197:J198">
    <cfRule type="cellIs" dxfId="282" priority="20" operator="lessThan">
      <formula>0</formula>
    </cfRule>
  </conditionalFormatting>
  <conditionalFormatting sqref="O197:O198">
    <cfRule type="cellIs" dxfId="281" priority="19" operator="lessThan">
      <formula>0</formula>
    </cfRule>
  </conditionalFormatting>
  <conditionalFormatting sqref="T197:U198">
    <cfRule type="cellIs" dxfId="280" priority="18" operator="lessThan">
      <formula>0</formula>
    </cfRule>
  </conditionalFormatting>
  <conditionalFormatting sqref="D197:I198">
    <cfRule type="cellIs" dxfId="279" priority="17" operator="lessThan">
      <formula>0</formula>
    </cfRule>
  </conditionalFormatting>
  <conditionalFormatting sqref="P197:S198">
    <cfRule type="cellIs" dxfId="278" priority="15" operator="lessThan">
      <formula>0</formula>
    </cfRule>
  </conditionalFormatting>
  <conditionalFormatting sqref="K197:N198">
    <cfRule type="cellIs" dxfId="277" priority="16" operator="lessThan">
      <formula>0</formula>
    </cfRule>
  </conditionalFormatting>
  <conditionalFormatting sqref="C236:C237">
    <cfRule type="cellIs" dxfId="276" priority="14" operator="lessThan">
      <formula>0</formula>
    </cfRule>
  </conditionalFormatting>
  <conditionalFormatting sqref="J236:J237">
    <cfRule type="cellIs" dxfId="275" priority="13" operator="lessThan">
      <formula>0</formula>
    </cfRule>
  </conditionalFormatting>
  <conditionalFormatting sqref="O236:O237">
    <cfRule type="cellIs" dxfId="274" priority="12" operator="lessThan">
      <formula>0</formula>
    </cfRule>
  </conditionalFormatting>
  <conditionalFormatting sqref="T236:U237">
    <cfRule type="cellIs" dxfId="273" priority="11" operator="lessThan">
      <formula>0</formula>
    </cfRule>
  </conditionalFormatting>
  <conditionalFormatting sqref="D236:I237">
    <cfRule type="cellIs" dxfId="272" priority="10" operator="lessThan">
      <formula>0</formula>
    </cfRule>
  </conditionalFormatting>
  <conditionalFormatting sqref="P236:S237">
    <cfRule type="cellIs" dxfId="271" priority="8" operator="lessThan">
      <formula>0</formula>
    </cfRule>
  </conditionalFormatting>
  <conditionalFormatting sqref="K236:N237">
    <cfRule type="cellIs" dxfId="270" priority="9" operator="lessThan">
      <formula>0</formula>
    </cfRule>
  </conditionalFormatting>
  <conditionalFormatting sqref="C275:C276">
    <cfRule type="cellIs" dxfId="269" priority="7" operator="lessThan">
      <formula>0</formula>
    </cfRule>
  </conditionalFormatting>
  <conditionalFormatting sqref="J275:J276">
    <cfRule type="cellIs" dxfId="268" priority="6" operator="lessThan">
      <formula>0</formula>
    </cfRule>
  </conditionalFormatting>
  <conditionalFormatting sqref="O275:O276">
    <cfRule type="cellIs" dxfId="267" priority="5" operator="lessThan">
      <formula>0</formula>
    </cfRule>
  </conditionalFormatting>
  <conditionalFormatting sqref="T275:U276">
    <cfRule type="cellIs" dxfId="266" priority="4" operator="lessThan">
      <formula>0</formula>
    </cfRule>
  </conditionalFormatting>
  <conditionalFormatting sqref="D275:I276">
    <cfRule type="cellIs" dxfId="265" priority="3" operator="lessThan">
      <formula>0</formula>
    </cfRule>
  </conditionalFormatting>
  <conditionalFormatting sqref="P275:S276">
    <cfRule type="cellIs" dxfId="264" priority="1" operator="lessThan">
      <formula>0</formula>
    </cfRule>
  </conditionalFormatting>
  <conditionalFormatting sqref="K275:N276">
    <cfRule type="cellIs" dxfId="263" priority="2" operator="lessThan">
      <formula>0</formula>
    </cfRule>
  </conditionalFormatting>
  <hyperlinks>
    <hyperlink ref="D5" r:id="rId1" xr:uid="{00000000-0004-0000-0D00-000000000000}"/>
  </hyperlinks>
  <pageMargins left="0.7" right="0.7" top="0.75" bottom="0.75" header="0.3" footer="0.3"/>
  <pageSetup paperSize="9" orientation="portrait"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tabColor theme="5" tint="0.79998168889431442"/>
  </sheetPr>
  <dimension ref="A2:BB137"/>
  <sheetViews>
    <sheetView topLeftCell="A38" zoomScale="80" zoomScaleNormal="80" workbookViewId="0">
      <selection activeCell="O59" sqref="O59"/>
    </sheetView>
  </sheetViews>
  <sheetFormatPr defaultRowHeight="15"/>
  <cols>
    <col min="3" max="3" width="20.140625" customWidth="1"/>
    <col min="4" max="4" width="15.5703125" customWidth="1"/>
    <col min="5" max="5" width="35.42578125" customWidth="1"/>
    <col min="15" max="15" width="18" customWidth="1"/>
    <col min="16" max="36" width="11.5703125" bestFit="1" customWidth="1"/>
    <col min="37" max="37" width="14.140625" customWidth="1"/>
    <col min="38" max="38" width="16.42578125" customWidth="1"/>
    <col min="39" max="40" width="12.85546875" bestFit="1" customWidth="1"/>
    <col min="41" max="49" width="11.5703125" bestFit="1" customWidth="1"/>
    <col min="50" max="50" width="11.85546875" bestFit="1" customWidth="1"/>
  </cols>
  <sheetData>
    <row r="2" spans="1:50">
      <c r="A2" s="42"/>
      <c r="B2" s="42" t="s">
        <v>674</v>
      </c>
      <c r="C2" s="42"/>
      <c r="D2" s="42"/>
      <c r="E2" s="42"/>
      <c r="F2" s="42"/>
      <c r="G2" s="42"/>
      <c r="H2" s="42"/>
      <c r="I2" s="42"/>
      <c r="J2" s="42"/>
      <c r="K2" s="42"/>
      <c r="L2" s="42"/>
      <c r="M2" s="42"/>
      <c r="N2" s="42"/>
      <c r="O2" s="108"/>
      <c r="P2" s="108"/>
      <c r="Q2" s="108"/>
      <c r="R2" s="108"/>
      <c r="S2" s="108"/>
      <c r="T2" s="108"/>
      <c r="U2" s="108"/>
      <c r="V2" s="108"/>
      <c r="W2" s="108"/>
      <c r="X2" s="108"/>
      <c r="Y2" s="108"/>
      <c r="Z2" s="108"/>
      <c r="AA2" s="108"/>
      <c r="AB2" s="108"/>
      <c r="AC2" s="108"/>
      <c r="AD2" s="108"/>
      <c r="AE2" s="108"/>
      <c r="AF2" s="108"/>
      <c r="AG2" s="108"/>
      <c r="AH2" s="108"/>
      <c r="AI2" s="108"/>
      <c r="AJ2" s="108"/>
      <c r="AK2" s="108"/>
      <c r="AL2" s="108"/>
      <c r="AM2" s="108"/>
      <c r="AN2" s="108"/>
      <c r="AO2" s="108"/>
      <c r="AP2" s="108"/>
      <c r="AQ2" s="108"/>
      <c r="AR2" s="108"/>
      <c r="AS2" s="108"/>
      <c r="AT2" s="108"/>
      <c r="AU2" s="108"/>
      <c r="AV2" s="108"/>
      <c r="AW2" s="108"/>
      <c r="AX2" s="108"/>
    </row>
    <row r="3" spans="1:50">
      <c r="A3" s="168"/>
      <c r="B3" s="168"/>
      <c r="C3" s="168"/>
      <c r="D3" s="168"/>
      <c r="E3" s="168"/>
      <c r="F3" s="168"/>
      <c r="G3" s="168"/>
      <c r="H3" s="168"/>
      <c r="I3" s="168"/>
      <c r="J3" s="168"/>
      <c r="K3" s="168"/>
      <c r="L3" s="168"/>
      <c r="M3" s="168"/>
      <c r="N3" s="168"/>
      <c r="O3" s="523"/>
      <c r="P3" s="523"/>
      <c r="Q3" s="523"/>
      <c r="R3" s="523"/>
      <c r="S3" s="523"/>
      <c r="T3" s="523"/>
      <c r="U3" s="523"/>
      <c r="V3" s="523"/>
      <c r="W3" s="523"/>
      <c r="X3" s="523"/>
      <c r="Y3" s="523"/>
      <c r="Z3" s="523"/>
      <c r="AA3" s="523"/>
      <c r="AB3" s="523"/>
      <c r="AC3" s="523"/>
      <c r="AD3" s="523"/>
      <c r="AE3" s="523"/>
      <c r="AF3" s="523"/>
      <c r="AG3" s="523"/>
      <c r="AH3" s="523"/>
      <c r="AI3" s="523"/>
      <c r="AJ3" s="523"/>
      <c r="AK3" s="523"/>
      <c r="AL3" s="523"/>
      <c r="AM3" s="523"/>
      <c r="AN3" s="523"/>
      <c r="AO3" s="523"/>
      <c r="AP3" s="523"/>
      <c r="AQ3" s="523"/>
      <c r="AR3" s="523"/>
      <c r="AS3" s="523"/>
      <c r="AT3" s="523"/>
      <c r="AU3" s="523"/>
      <c r="AV3" s="523"/>
      <c r="AW3" s="523"/>
      <c r="AX3" s="523"/>
    </row>
    <row r="4" spans="1:50" ht="101.25" customHeight="1" thickBot="1">
      <c r="A4" s="168"/>
      <c r="B4" s="168"/>
      <c r="C4" s="168"/>
      <c r="D4" s="728" t="s">
        <v>675</v>
      </c>
      <c r="E4" s="729"/>
      <c r="F4" s="729"/>
      <c r="G4" s="729"/>
      <c r="H4" s="729"/>
      <c r="I4" s="729"/>
      <c r="J4" s="729"/>
      <c r="K4" s="729"/>
      <c r="L4" s="729"/>
      <c r="M4" s="729"/>
      <c r="N4" s="729"/>
      <c r="O4" s="729"/>
      <c r="P4" s="729"/>
      <c r="Q4" s="729"/>
      <c r="R4" s="729"/>
      <c r="S4" s="729"/>
      <c r="T4" s="729"/>
      <c r="U4" s="729"/>
      <c r="V4" s="523"/>
      <c r="W4" s="523"/>
      <c r="X4" s="523"/>
      <c r="Y4" s="523"/>
      <c r="Z4" s="523"/>
      <c r="AA4" s="523"/>
      <c r="AB4" s="523"/>
      <c r="AC4" s="523"/>
      <c r="AD4" s="523"/>
      <c r="AE4" s="523"/>
      <c r="AF4" s="523"/>
      <c r="AG4" s="523"/>
      <c r="AH4" s="523"/>
      <c r="AI4" s="523"/>
      <c r="AJ4" s="523"/>
      <c r="AK4" s="523"/>
      <c r="AL4" s="523"/>
      <c r="AM4" s="523"/>
      <c r="AN4" s="523"/>
      <c r="AO4" s="523"/>
      <c r="AP4" s="523"/>
      <c r="AQ4" s="523"/>
      <c r="AR4" s="523"/>
      <c r="AS4" s="523"/>
      <c r="AT4" s="523"/>
      <c r="AU4" s="523"/>
      <c r="AV4" s="523"/>
      <c r="AW4" s="523"/>
      <c r="AX4" s="523"/>
    </row>
    <row r="5" spans="1:50" ht="21.6" customHeight="1" thickBot="1">
      <c r="A5" s="168"/>
      <c r="B5" s="168"/>
      <c r="C5" s="602" t="s">
        <v>676</v>
      </c>
      <c r="D5" s="603"/>
      <c r="E5" s="604" t="str">
        <f>Dashboard!D6</f>
        <v>High Electrification</v>
      </c>
      <c r="F5" s="596"/>
      <c r="G5" s="596"/>
      <c r="H5" s="596"/>
      <c r="I5" s="596"/>
      <c r="J5" s="596"/>
      <c r="K5" s="596"/>
      <c r="L5" s="596"/>
      <c r="M5" s="596"/>
      <c r="N5" s="596"/>
      <c r="O5" s="596"/>
      <c r="P5" s="596"/>
      <c r="Q5" s="596"/>
      <c r="R5" s="596"/>
      <c r="S5" s="596"/>
      <c r="T5" s="596"/>
      <c r="U5" s="596"/>
      <c r="V5" s="523"/>
      <c r="W5" s="523"/>
      <c r="X5" s="523"/>
      <c r="Y5" s="523"/>
      <c r="Z5" s="523"/>
      <c r="AA5" s="523"/>
      <c r="AB5" s="523"/>
      <c r="AC5" s="523"/>
      <c r="AD5" s="523"/>
      <c r="AE5" s="523"/>
      <c r="AF5" s="523"/>
      <c r="AG5" s="523"/>
      <c r="AH5" s="523"/>
      <c r="AI5" s="523"/>
      <c r="AJ5" s="523"/>
      <c r="AK5" s="523"/>
      <c r="AL5" s="523"/>
      <c r="AM5" s="523"/>
      <c r="AN5" s="523"/>
      <c r="AO5" s="523"/>
      <c r="AP5" s="523"/>
      <c r="AQ5" s="523"/>
      <c r="AR5" s="523"/>
      <c r="AS5" s="523"/>
      <c r="AT5" s="523"/>
      <c r="AU5" s="523"/>
      <c r="AV5" s="523"/>
      <c r="AW5" s="523"/>
      <c r="AX5" s="523"/>
    </row>
    <row r="6" spans="1:50" ht="21.6" customHeight="1">
      <c r="A6" s="168"/>
      <c r="B6" s="168"/>
      <c r="C6" s="60"/>
      <c r="D6" s="595"/>
      <c r="E6" s="596"/>
      <c r="F6" s="596"/>
      <c r="G6" s="596"/>
      <c r="H6" s="596"/>
      <c r="I6" s="596"/>
      <c r="J6" s="596"/>
      <c r="K6" s="596"/>
      <c r="L6" s="596"/>
      <c r="M6" s="596"/>
      <c r="N6" s="596"/>
      <c r="O6" s="596"/>
      <c r="P6" s="596"/>
      <c r="Q6" s="596"/>
      <c r="R6" s="596"/>
      <c r="S6" s="596"/>
      <c r="T6" s="596"/>
      <c r="U6" s="596"/>
      <c r="V6" s="523"/>
      <c r="W6" s="523"/>
      <c r="X6" s="523"/>
      <c r="Y6" s="523"/>
      <c r="Z6" s="523"/>
      <c r="AA6" s="523"/>
      <c r="AB6" s="523"/>
      <c r="AC6" s="523"/>
      <c r="AD6" s="523"/>
      <c r="AE6" s="523"/>
      <c r="AF6" s="523"/>
      <c r="AG6" s="523"/>
      <c r="AH6" s="523"/>
      <c r="AI6" s="523"/>
      <c r="AJ6" s="523"/>
      <c r="AK6" s="523"/>
      <c r="AL6" s="523"/>
      <c r="AM6" s="523"/>
      <c r="AN6" s="523"/>
      <c r="AO6" s="523"/>
      <c r="AP6" s="523"/>
      <c r="AQ6" s="523"/>
      <c r="AR6" s="523"/>
      <c r="AS6" s="523"/>
      <c r="AT6" s="523"/>
      <c r="AU6" s="523"/>
      <c r="AV6" s="523"/>
      <c r="AW6" s="523"/>
      <c r="AX6" s="523"/>
    </row>
    <row r="7" spans="1:50">
      <c r="C7" s="35"/>
      <c r="E7" s="78"/>
      <c r="O7" s="82">
        <v>2015</v>
      </c>
      <c r="P7" s="82">
        <v>2016</v>
      </c>
      <c r="Q7" s="82">
        <v>2017</v>
      </c>
      <c r="R7" s="82">
        <v>2018</v>
      </c>
      <c r="S7" s="82">
        <v>2019</v>
      </c>
      <c r="T7" s="82">
        <v>2020</v>
      </c>
      <c r="U7" s="82">
        <v>2021</v>
      </c>
      <c r="V7" s="82">
        <v>2022</v>
      </c>
      <c r="W7" s="82">
        <v>2023</v>
      </c>
      <c r="X7" s="82">
        <v>2024</v>
      </c>
      <c r="Y7" s="82">
        <v>2025</v>
      </c>
      <c r="Z7" s="82">
        <v>2026</v>
      </c>
      <c r="AA7" s="82">
        <v>2027</v>
      </c>
      <c r="AB7" s="82">
        <v>2028</v>
      </c>
      <c r="AC7" s="82">
        <v>2029</v>
      </c>
      <c r="AD7" s="82">
        <v>2030</v>
      </c>
      <c r="AE7" s="82">
        <v>2031</v>
      </c>
      <c r="AF7" s="82">
        <v>2032</v>
      </c>
      <c r="AG7" s="82">
        <v>2033</v>
      </c>
      <c r="AH7" s="82">
        <v>2034</v>
      </c>
      <c r="AI7" s="82">
        <v>2035</v>
      </c>
      <c r="AJ7" s="82">
        <v>2036</v>
      </c>
      <c r="AK7" s="82">
        <v>2037</v>
      </c>
      <c r="AL7" s="82">
        <v>2038</v>
      </c>
      <c r="AM7" s="82">
        <v>2039</v>
      </c>
      <c r="AN7" s="82">
        <v>2040</v>
      </c>
      <c r="AO7" s="82">
        <v>2041</v>
      </c>
      <c r="AP7" s="82">
        <v>2042</v>
      </c>
      <c r="AQ7" s="82">
        <v>2043</v>
      </c>
      <c r="AR7" s="82">
        <v>2044</v>
      </c>
      <c r="AS7" s="82">
        <v>2045</v>
      </c>
      <c r="AT7" s="82">
        <v>2046</v>
      </c>
      <c r="AU7" s="82">
        <v>2047</v>
      </c>
      <c r="AV7" s="82">
        <v>2048</v>
      </c>
      <c r="AW7" s="82">
        <v>2049</v>
      </c>
      <c r="AX7" s="82">
        <v>2050</v>
      </c>
    </row>
    <row r="8" spans="1:50" s="156" customFormat="1">
      <c r="A8" s="244"/>
      <c r="B8" s="244"/>
      <c r="C8" s="243" t="s">
        <v>677</v>
      </c>
      <c r="D8" s="244"/>
      <c r="E8" s="244"/>
      <c r="F8" s="244"/>
      <c r="G8" s="244"/>
      <c r="H8" s="244"/>
      <c r="I8" s="244"/>
      <c r="J8" s="244"/>
      <c r="K8" s="244"/>
      <c r="L8" s="244"/>
      <c r="M8" s="244"/>
      <c r="N8" s="244"/>
      <c r="O8" s="245"/>
      <c r="P8" s="245"/>
      <c r="Q8" s="245"/>
      <c r="R8" s="245"/>
      <c r="S8" s="245"/>
      <c r="T8" s="245"/>
      <c r="U8" s="245"/>
      <c r="V8" s="245"/>
      <c r="W8" s="245"/>
      <c r="X8" s="245"/>
      <c r="Y8" s="245"/>
      <c r="Z8" s="245"/>
      <c r="AA8" s="245"/>
      <c r="AB8" s="245"/>
      <c r="AC8" s="245"/>
      <c r="AD8" s="245"/>
      <c r="AE8" s="245"/>
      <c r="AF8" s="245"/>
      <c r="AG8" s="245"/>
      <c r="AH8" s="245"/>
      <c r="AI8" s="245"/>
      <c r="AJ8" s="245"/>
      <c r="AK8" s="245"/>
      <c r="AL8" s="245"/>
      <c r="AM8" s="245"/>
      <c r="AN8" s="245"/>
      <c r="AO8" s="245"/>
      <c r="AP8" s="245"/>
      <c r="AQ8" s="245"/>
      <c r="AR8" s="245"/>
      <c r="AS8" s="245"/>
      <c r="AT8" s="245"/>
      <c r="AU8" s="245"/>
      <c r="AV8" s="245"/>
      <c r="AW8" s="245"/>
      <c r="AX8" s="245"/>
    </row>
    <row r="9" spans="1:50">
      <c r="C9" t="str">
        <f>" For selected region ("&amp;Dashboard!D5&amp;")"</f>
        <v xml:space="preserve"> For selected region (Inner London)</v>
      </c>
      <c r="E9" s="78"/>
      <c r="O9" s="178"/>
      <c r="P9" s="178"/>
      <c r="Q9" s="178"/>
      <c r="R9" s="178"/>
      <c r="S9" s="178"/>
      <c r="T9" s="178"/>
      <c r="U9" s="178"/>
      <c r="V9" s="178"/>
      <c r="W9" s="178"/>
      <c r="X9" s="178"/>
      <c r="Y9" s="178"/>
      <c r="Z9" s="178"/>
      <c r="AA9" s="178"/>
      <c r="AB9" s="178"/>
      <c r="AC9" s="178"/>
      <c r="AD9" s="178"/>
      <c r="AE9" s="178"/>
      <c r="AF9" s="178"/>
      <c r="AG9" s="178"/>
      <c r="AH9" s="178"/>
      <c r="AI9" s="178"/>
      <c r="AJ9" s="178"/>
      <c r="AK9" s="178"/>
      <c r="AL9" s="178"/>
      <c r="AM9" s="178"/>
      <c r="AN9" s="178"/>
      <c r="AO9" s="178"/>
      <c r="AP9" s="178"/>
      <c r="AQ9" s="178"/>
      <c r="AR9" s="178"/>
      <c r="AS9" s="178"/>
      <c r="AT9" s="178"/>
      <c r="AU9" s="178"/>
      <c r="AV9" s="178"/>
      <c r="AW9" s="178"/>
      <c r="AX9" s="178"/>
    </row>
    <row r="10" spans="1:50">
      <c r="C10" s="35"/>
      <c r="D10" t="str">
        <f>$E$5&amp;E10</f>
        <v>High ElectrificationLarge industrial - electricity</v>
      </c>
      <c r="E10" s="78" t="s">
        <v>678</v>
      </c>
      <c r="G10" s="44" t="s">
        <v>679</v>
      </c>
      <c r="I10" s="44"/>
      <c r="K10" s="44"/>
      <c r="M10" s="44" t="s">
        <v>56</v>
      </c>
      <c r="O10" s="105">
        <f>IFERROR(INDEX(O$26:O$42,MATCH($D10,$D$26:$D$42,0),1),"")*'Industrial - to hide'!$A$45</f>
        <v>17013.240600130874</v>
      </c>
      <c r="P10" s="105">
        <f>IFERROR(INDEX(P$26:P$42,MATCH($D10,$D$26:$D$42,0),1),"")*'Industrial - to hide'!$A$45</f>
        <v>17013.240600130874</v>
      </c>
      <c r="Q10" s="105">
        <f>IFERROR(INDEX(Q$26:Q$42,MATCH($D10,$D$26:$D$42,0),1),"")*'Industrial - to hide'!$A$45</f>
        <v>17013.240600130874</v>
      </c>
      <c r="R10" s="105">
        <f>IFERROR(INDEX(R$26:R$42,MATCH($D10,$D$26:$D$42,0),1),"")*'Industrial - to hide'!$A$45</f>
        <v>17013.240600130874</v>
      </c>
      <c r="S10" s="105">
        <f>IFERROR(INDEX(S$26:S$42,MATCH($D10,$D$26:$D$42,0),1),"")*'Industrial - to hide'!$A$45</f>
        <v>17013.240600130874</v>
      </c>
      <c r="T10" s="105">
        <f>IFERROR(INDEX(T$26:T$42,MATCH($D10,$D$26:$D$42,0),1),"")*'Industrial - to hide'!$A$45</f>
        <v>17013.240600130874</v>
      </c>
      <c r="U10" s="105">
        <f>IFERROR(INDEX(U$26:U$42,MATCH($D10,$D$26:$D$42,0),1),"")*'Industrial - to hide'!$A$45</f>
        <v>17637.888343290961</v>
      </c>
      <c r="V10" s="105">
        <f>IFERROR(INDEX(V$26:V$42,MATCH($D10,$D$26:$D$42,0),1),"")*'Industrial - to hide'!$A$45</f>
        <v>18262.536086451048</v>
      </c>
      <c r="W10" s="105">
        <f>IFERROR(INDEX(W$26:W$42,MATCH($D10,$D$26:$D$42,0),1),"")*'Industrial - to hide'!$A$45</f>
        <v>18887.183829611131</v>
      </c>
      <c r="X10" s="105">
        <f>IFERROR(INDEX(X$26:X$42,MATCH($D10,$D$26:$D$42,0),1),"")*'Industrial - to hide'!$A$45</f>
        <v>19511.831572771214</v>
      </c>
      <c r="Y10" s="105">
        <f>IFERROR(INDEX(Y$26:Y$42,MATCH($D10,$D$26:$D$42,0),1),"")*'Industrial - to hide'!$A$45</f>
        <v>20136.479315931301</v>
      </c>
      <c r="Z10" s="105">
        <f>IFERROR(INDEX(Z$26:Z$42,MATCH($D10,$D$26:$D$42,0),1),"")*'Industrial - to hide'!$A$45</f>
        <v>25355.358807130011</v>
      </c>
      <c r="AA10" s="105">
        <f>IFERROR(INDEX(AA$26:AA$42,MATCH($D10,$D$26:$D$42,0),1),"")*'Industrial - to hide'!$A$45</f>
        <v>30574.238298328721</v>
      </c>
      <c r="AB10" s="105">
        <f>IFERROR(INDEX(AB$26:AB$42,MATCH($D10,$D$26:$D$42,0),1),"")*'Industrial - to hide'!$A$45</f>
        <v>35793.11778952743</v>
      </c>
      <c r="AC10" s="105">
        <f>IFERROR(INDEX(AC$26:AC$42,MATCH($D10,$D$26:$D$42,0),1),"")*'Industrial - to hide'!$A$45</f>
        <v>41011.997280726144</v>
      </c>
      <c r="AD10" s="105">
        <f>IFERROR(INDEX(AD$26:AD$42,MATCH($D10,$D$26:$D$42,0),1),"")*'Industrial - to hide'!$A$45</f>
        <v>46230.87677192485</v>
      </c>
      <c r="AE10" s="105">
        <f>IFERROR(INDEX(AE$26:AE$42,MATCH($D10,$D$26:$D$42,0),1),"")*'Industrial - to hide'!$A$45</f>
        <v>48218.141259294614</v>
      </c>
      <c r="AF10" s="105">
        <f>IFERROR(INDEX(AF$26:AF$42,MATCH($D10,$D$26:$D$42,0),1),"")*'Industrial - to hide'!$A$45</f>
        <v>50205.405746664372</v>
      </c>
      <c r="AG10" s="105">
        <f>IFERROR(INDEX(AG$26:AG$42,MATCH($D10,$D$26:$D$42,0),1),"")*'Industrial - to hide'!$A$45</f>
        <v>52192.670234034129</v>
      </c>
      <c r="AH10" s="105">
        <f>IFERROR(INDEX(AH$26:AH$42,MATCH($D10,$D$26:$D$42,0),1),"")*'Industrial - to hide'!$A$45</f>
        <v>54179.934721403886</v>
      </c>
      <c r="AI10" s="105">
        <f>IFERROR(INDEX(AI$26:AI$42,MATCH($D10,$D$26:$D$42,0),1),"")*'Industrial - to hide'!$A$45</f>
        <v>56167.199208773643</v>
      </c>
      <c r="AJ10" s="105">
        <f>IFERROR(INDEX(AJ$26:AJ$42,MATCH($D10,$D$26:$D$42,0),1),"")*'Industrial - to hide'!$A$45</f>
        <v>56921.622678002313</v>
      </c>
      <c r="AK10" s="105">
        <f>IFERROR(INDEX(AK$26:AK$42,MATCH($D10,$D$26:$D$42,0),1),"")*'Industrial - to hide'!$A$45</f>
        <v>57676.046147230991</v>
      </c>
      <c r="AL10" s="105">
        <f>IFERROR(INDEX(AL$26:AL$42,MATCH($D10,$D$26:$D$42,0),1),"")*'Industrial - to hide'!$A$45</f>
        <v>58430.469616459675</v>
      </c>
      <c r="AM10" s="105">
        <f>IFERROR(INDEX(AM$26:AM$42,MATCH($D10,$D$26:$D$42,0),1),"")*'Industrial - to hide'!$A$45</f>
        <v>59184.893085688345</v>
      </c>
      <c r="AN10" s="105">
        <f>IFERROR(INDEX(AN$26:AN$42,MATCH($D10,$D$26:$D$42,0),1),"")*'Industrial - to hide'!$A$45</f>
        <v>59939.316554917023</v>
      </c>
      <c r="AO10" s="105">
        <f>IFERROR(INDEX(AO$26:AO$42,MATCH($D10,$D$26:$D$42,0),1),"")*'Industrial - to hide'!$A$45</f>
        <v>59659.182719629986</v>
      </c>
      <c r="AP10" s="105">
        <f>IFERROR(INDEX(AP$26:AP$42,MATCH($D10,$D$26:$D$42,0),1),"")*'Industrial - to hide'!$A$45</f>
        <v>59379.048884342956</v>
      </c>
      <c r="AQ10" s="105">
        <f>IFERROR(INDEX(AQ$26:AQ$42,MATCH($D10,$D$26:$D$42,0),1),"")*'Industrial - to hide'!$A$45</f>
        <v>59098.915049055926</v>
      </c>
      <c r="AR10" s="105">
        <f>IFERROR(INDEX(AR$26:AR$42,MATCH($D10,$D$26:$D$42,0),1),"")*'Industrial - to hide'!$A$45</f>
        <v>58818.781213768896</v>
      </c>
      <c r="AS10" s="105">
        <f>IFERROR(INDEX(AS$26:AS$42,MATCH($D10,$D$26:$D$42,0),1),"")*'Industrial - to hide'!$A$45</f>
        <v>58538.647378481866</v>
      </c>
      <c r="AT10" s="105">
        <f>IFERROR(INDEX(AT$26:AT$42,MATCH($D10,$D$26:$D$42,0),1),"")*'Industrial - to hide'!$A$45</f>
        <v>58258.513543194829</v>
      </c>
      <c r="AU10" s="105">
        <f>IFERROR(INDEX(AU$26:AU$42,MATCH($D10,$D$26:$D$42,0),1),"")*'Industrial - to hide'!$A$45</f>
        <v>57978.379707907814</v>
      </c>
      <c r="AV10" s="105">
        <f>IFERROR(INDEX(AV$26:AV$42,MATCH($D10,$D$26:$D$42,0),1),"")*'Industrial - to hide'!$A$45</f>
        <v>57698.245872620777</v>
      </c>
      <c r="AW10" s="105">
        <f>IFERROR(INDEX(AW$26:AW$42,MATCH($D10,$D$26:$D$42,0),1),"")*'Industrial - to hide'!$A$45</f>
        <v>57418.112037333762</v>
      </c>
      <c r="AX10" s="105">
        <f>IFERROR(INDEX(AX$26:AX$42,MATCH($D10,$D$26:$D$42,0),1),"")*'Industrial - to hide'!$A$45</f>
        <v>57137.978202046732</v>
      </c>
    </row>
    <row r="11" spans="1:50">
      <c r="C11" s="35"/>
      <c r="D11" t="str">
        <f t="shared" ref="D11:D22" si="0">$E$5&amp;E11</f>
        <v>High ElectrificationLarge industrial - gas</v>
      </c>
      <c r="E11" s="78" t="s">
        <v>543</v>
      </c>
      <c r="G11" s="44" t="s">
        <v>679</v>
      </c>
      <c r="I11" s="44"/>
      <c r="K11" s="44"/>
      <c r="M11" s="44" t="s">
        <v>56</v>
      </c>
      <c r="O11" s="105">
        <f>IFERROR(INDEX(O$26:O$42,MATCH($D11,$D$26:$D$42,0),1),"")*'Industrial - to hide'!$A$45</f>
        <v>76787.628821049904</v>
      </c>
      <c r="P11" s="105">
        <f>IFERROR(INDEX(P$26:P$42,MATCH($D11,$D$26:$D$42,0),1),"")*'Industrial - to hide'!$A$45</f>
        <v>76787.628821049904</v>
      </c>
      <c r="Q11" s="105">
        <f>IFERROR(INDEX(Q$26:Q$42,MATCH($D11,$D$26:$D$42,0),1),"")*'Industrial - to hide'!$A$45</f>
        <v>76787.628821049904</v>
      </c>
      <c r="R11" s="105">
        <f>IFERROR(INDEX(R$26:R$42,MATCH($D11,$D$26:$D$42,0),1),"")*'Industrial - to hide'!$A$45</f>
        <v>76787.628821049904</v>
      </c>
      <c r="S11" s="105">
        <f>IFERROR(INDEX(S$26:S$42,MATCH($D11,$D$26:$D$42,0),1),"")*'Industrial - to hide'!$A$45</f>
        <v>76787.628821049904</v>
      </c>
      <c r="T11" s="105">
        <f>IFERROR(INDEX(T$26:T$42,MATCH($D11,$D$26:$D$42,0),1),"")*'Industrial - to hide'!$A$45</f>
        <v>76787.628821049904</v>
      </c>
      <c r="U11" s="105">
        <f>IFERROR(INDEX(U$26:U$42,MATCH($D11,$D$26:$D$42,0),1),"")*'Industrial - to hide'!$A$45</f>
        <v>75787.077545005057</v>
      </c>
      <c r="V11" s="105">
        <f>IFERROR(INDEX(V$26:V$42,MATCH($D11,$D$26:$D$42,0),1),"")*'Industrial - to hide'!$A$45</f>
        <v>74786.526268960195</v>
      </c>
      <c r="W11" s="105">
        <f>IFERROR(INDEX(W$26:W$42,MATCH($D11,$D$26:$D$42,0),1),"")*'Industrial - to hide'!$A$45</f>
        <v>73785.974992915333</v>
      </c>
      <c r="X11" s="105">
        <f>IFERROR(INDEX(X$26:X$42,MATCH($D11,$D$26:$D$42,0),1),"")*'Industrial - to hide'!$A$45</f>
        <v>72785.423716870471</v>
      </c>
      <c r="Y11" s="105">
        <f>IFERROR(INDEX(Y$26:Y$42,MATCH($D11,$D$26:$D$42,0),1),"")*'Industrial - to hide'!$A$45</f>
        <v>71784.872440825609</v>
      </c>
      <c r="Z11" s="105">
        <f>IFERROR(INDEX(Z$26:Z$42,MATCH($D11,$D$26:$D$42,0),1),"")*'Industrial - to hide'!$A$45</f>
        <v>65062.432711992675</v>
      </c>
      <c r="AA11" s="105">
        <f>IFERROR(INDEX(AA$26:AA$42,MATCH($D11,$D$26:$D$42,0),1),"")*'Industrial - to hide'!$A$45</f>
        <v>58339.992983159747</v>
      </c>
      <c r="AB11" s="105">
        <f>IFERROR(INDEX(AB$26:AB$42,MATCH($D11,$D$26:$D$42,0),1),"")*'Industrial - to hide'!$A$45</f>
        <v>51617.553254326813</v>
      </c>
      <c r="AC11" s="105">
        <f>IFERROR(INDEX(AC$26:AC$42,MATCH($D11,$D$26:$D$42,0),1),"")*'Industrial - to hide'!$A$45</f>
        <v>44895.113525493878</v>
      </c>
      <c r="AD11" s="105">
        <f>IFERROR(INDEX(AD$26:AD$42,MATCH($D11,$D$26:$D$42,0),1),"")*'Industrial - to hide'!$A$45</f>
        <v>38172.673796660943</v>
      </c>
      <c r="AE11" s="105">
        <f>IFERROR(INDEX(AE$26:AE$42,MATCH($D11,$D$26:$D$42,0),1),"")*'Industrial - to hide'!$A$45</f>
        <v>32505.833420917294</v>
      </c>
      <c r="AF11" s="105">
        <f>IFERROR(INDEX(AF$26:AF$42,MATCH($D11,$D$26:$D$42,0),1),"")*'Industrial - to hide'!$A$45</f>
        <v>26838.99304517364</v>
      </c>
      <c r="AG11" s="105">
        <f>IFERROR(INDEX(AG$26:AG$42,MATCH($D11,$D$26:$D$42,0),1),"")*'Industrial - to hide'!$A$45</f>
        <v>21172.152669429994</v>
      </c>
      <c r="AH11" s="105">
        <f>IFERROR(INDEX(AH$26:AH$42,MATCH($D11,$D$26:$D$42,0),1),"")*'Industrial - to hide'!$A$45</f>
        <v>15505.312293686342</v>
      </c>
      <c r="AI11" s="105">
        <f>IFERROR(INDEX(AI$26:AI$42,MATCH($D11,$D$26:$D$42,0),1),"")*'Industrial - to hide'!$A$45</f>
        <v>9838.471917942692</v>
      </c>
      <c r="AJ11" s="105">
        <f>IFERROR(INDEX(AJ$26:AJ$42,MATCH($D11,$D$26:$D$42,0),1),"")*'Industrial - to hide'!$A$45</f>
        <v>7870.7775343541534</v>
      </c>
      <c r="AK11" s="105">
        <f>IFERROR(INDEX(AK$26:AK$42,MATCH($D11,$D$26:$D$42,0),1),"")*'Industrial - to hide'!$A$45</f>
        <v>5903.0831507656158</v>
      </c>
      <c r="AL11" s="105">
        <f>IFERROR(INDEX(AL$26:AL$42,MATCH($D11,$D$26:$D$42,0),1),"")*'Industrial - to hide'!$A$45</f>
        <v>3935.3887671770767</v>
      </c>
      <c r="AM11" s="105">
        <f>IFERROR(INDEX(AM$26:AM$42,MATCH($D11,$D$26:$D$42,0),1),"")*'Industrial - to hide'!$A$45</f>
        <v>1967.6943835885384</v>
      </c>
      <c r="AN11" s="105">
        <f>IFERROR(INDEX(AN$26:AN$42,MATCH($D11,$D$26:$D$42,0),1),"")*'Industrial - to hide'!$A$45</f>
        <v>0</v>
      </c>
      <c r="AO11" s="105">
        <f>IFERROR(INDEX(AO$26:AO$42,MATCH($D11,$D$26:$D$42,0),1),"")*'Industrial - to hide'!$A$45</f>
        <v>0</v>
      </c>
      <c r="AP11" s="105">
        <f>IFERROR(INDEX(AP$26:AP$42,MATCH($D11,$D$26:$D$42,0),1),"")*'Industrial - to hide'!$A$45</f>
        <v>0</v>
      </c>
      <c r="AQ11" s="105">
        <f>IFERROR(INDEX(AQ$26:AQ$42,MATCH($D11,$D$26:$D$42,0),1),"")*'Industrial - to hide'!$A$45</f>
        <v>0</v>
      </c>
      <c r="AR11" s="105">
        <f>IFERROR(INDEX(AR$26:AR$42,MATCH($D11,$D$26:$D$42,0),1),"")*'Industrial - to hide'!$A$45</f>
        <v>0</v>
      </c>
      <c r="AS11" s="105">
        <f>IFERROR(INDEX(AS$26:AS$42,MATCH($D11,$D$26:$D$42,0),1),"")*'Industrial - to hide'!$A$45</f>
        <v>0</v>
      </c>
      <c r="AT11" s="105">
        <f>IFERROR(INDEX(AT$26:AT$42,MATCH($D11,$D$26:$D$42,0),1),"")*'Industrial - to hide'!$A$45</f>
        <v>0</v>
      </c>
      <c r="AU11" s="105">
        <f>IFERROR(INDEX(AU$26:AU$42,MATCH($D11,$D$26:$D$42,0),1),"")*'Industrial - to hide'!$A$45</f>
        <v>0</v>
      </c>
      <c r="AV11" s="105">
        <f>IFERROR(INDEX(AV$26:AV$42,MATCH($D11,$D$26:$D$42,0),1),"")*'Industrial - to hide'!$A$45</f>
        <v>0</v>
      </c>
      <c r="AW11" s="105">
        <f>IFERROR(INDEX(AW$26:AW$42,MATCH($D11,$D$26:$D$42,0),1),"")*'Industrial - to hide'!$A$45</f>
        <v>0</v>
      </c>
      <c r="AX11" s="105">
        <f>IFERROR(INDEX(AX$26:AX$42,MATCH($D11,$D$26:$D$42,0),1),"")*'Industrial - to hide'!$A$45</f>
        <v>0</v>
      </c>
    </row>
    <row r="12" spans="1:50">
      <c r="C12" s="35"/>
      <c r="D12" t="str">
        <f t="shared" si="0"/>
        <v>High ElectrificationLarge industrial - hydrogen</v>
      </c>
      <c r="E12" s="78" t="s">
        <v>680</v>
      </c>
      <c r="G12" s="44" t="s">
        <v>679</v>
      </c>
      <c r="I12" s="44"/>
      <c r="K12" s="44"/>
      <c r="M12" s="44" t="s">
        <v>56</v>
      </c>
      <c r="O12" s="105">
        <f>IFERROR(INDEX(O$26:O$42,MATCH($D12,$D$26:$D$42,0),1),"")*'Industrial - to hide'!$A$45</f>
        <v>0</v>
      </c>
      <c r="P12" s="105">
        <f>IFERROR(INDEX(P$26:P$42,MATCH($D12,$D$26:$D$42,0),1),"")*'Industrial - to hide'!$A$45</f>
        <v>0</v>
      </c>
      <c r="Q12" s="105">
        <f>IFERROR(INDEX(Q$26:Q$42,MATCH($D12,$D$26:$D$42,0),1),"")*'Industrial - to hide'!$A$45</f>
        <v>0</v>
      </c>
      <c r="R12" s="105">
        <f>IFERROR(INDEX(R$26:R$42,MATCH($D12,$D$26:$D$42,0),1),"")*'Industrial - to hide'!$A$45</f>
        <v>0</v>
      </c>
      <c r="S12" s="105">
        <f>IFERROR(INDEX(S$26:S$42,MATCH($D12,$D$26:$D$42,0),1),"")*'Industrial - to hide'!$A$45</f>
        <v>0</v>
      </c>
      <c r="T12" s="105">
        <f>IFERROR(INDEX(T$26:T$42,MATCH($D12,$D$26:$D$42,0),1),"")*'Industrial - to hide'!$A$45</f>
        <v>0</v>
      </c>
      <c r="U12" s="105">
        <f>IFERROR(INDEX(U$26:U$42,MATCH($D12,$D$26:$D$42,0),1),"")*'Industrial - to hide'!$A$45</f>
        <v>0</v>
      </c>
      <c r="V12" s="105">
        <f>IFERROR(INDEX(V$26:V$42,MATCH($D12,$D$26:$D$42,0),1),"")*'Industrial - to hide'!$A$45</f>
        <v>0</v>
      </c>
      <c r="W12" s="105">
        <f>IFERROR(INDEX(W$26:W$42,MATCH($D12,$D$26:$D$42,0),1),"")*'Industrial - to hide'!$A$45</f>
        <v>0</v>
      </c>
      <c r="X12" s="105">
        <f>IFERROR(INDEX(X$26:X$42,MATCH($D12,$D$26:$D$42,0),1),"")*'Industrial - to hide'!$A$45</f>
        <v>0</v>
      </c>
      <c r="Y12" s="105">
        <f>IFERROR(INDEX(Y$26:Y$42,MATCH($D12,$D$26:$D$42,0),1),"")*'Industrial - to hide'!$A$45</f>
        <v>0</v>
      </c>
      <c r="Z12" s="105">
        <f>IFERROR(INDEX(Z$26:Z$42,MATCH($D12,$D$26:$D$42,0),1),"")*'Industrial - to hide'!$A$45</f>
        <v>1137.6659858347568</v>
      </c>
      <c r="AA12" s="105">
        <f>IFERROR(INDEX(AA$26:AA$42,MATCH($D12,$D$26:$D$42,0),1),"")*'Industrial - to hide'!$A$45</f>
        <v>2275.3319716695137</v>
      </c>
      <c r="AB12" s="105">
        <f>IFERROR(INDEX(AB$26:AB$42,MATCH($D12,$D$26:$D$42,0),1),"")*'Industrial - to hide'!$A$45</f>
        <v>3412.9979575042707</v>
      </c>
      <c r="AC12" s="105">
        <f>IFERROR(INDEX(AC$26:AC$42,MATCH($D12,$D$26:$D$42,0),1),"")*'Industrial - to hide'!$A$45</f>
        <v>4550.6639433390274</v>
      </c>
      <c r="AD12" s="105">
        <f>IFERROR(INDEX(AD$26:AD$42,MATCH($D12,$D$26:$D$42,0),1),"")*'Industrial - to hide'!$A$45</f>
        <v>5688.3299291737849</v>
      </c>
      <c r="AE12" s="105">
        <f>IFERROR(INDEX(AE$26:AE$42,MATCH($D12,$D$26:$D$42,0),1),"")*'Industrial - to hide'!$A$45</f>
        <v>8953.012191455402</v>
      </c>
      <c r="AF12" s="105">
        <f>IFERROR(INDEX(AF$26:AF$42,MATCH($D12,$D$26:$D$42,0),1),"")*'Industrial - to hide'!$A$45</f>
        <v>12217.694453737016</v>
      </c>
      <c r="AG12" s="105">
        <f>IFERROR(INDEX(AG$26:AG$42,MATCH($D12,$D$26:$D$42,0),1),"")*'Industrial - to hide'!$A$45</f>
        <v>15482.376716018634</v>
      </c>
      <c r="AH12" s="105">
        <f>IFERROR(INDEX(AH$26:AH$42,MATCH($D12,$D$26:$D$42,0),1),"")*'Industrial - to hide'!$A$45</f>
        <v>18747.058978300247</v>
      </c>
      <c r="AI12" s="105">
        <f>IFERROR(INDEX(AI$26:AI$42,MATCH($D12,$D$26:$D$42,0),1),"")*'Industrial - to hide'!$A$45</f>
        <v>22011.741240581865</v>
      </c>
      <c r="AJ12" s="105">
        <f>IFERROR(INDEX(AJ$26:AJ$42,MATCH($D12,$D$26:$D$42,0),1),"")*'Industrial - to hide'!$A$45</f>
        <v>22840.005325102789</v>
      </c>
      <c r="AK12" s="105">
        <f>IFERROR(INDEX(AK$26:AK$42,MATCH($D12,$D$26:$D$42,0),1),"")*'Industrial - to hide'!$A$45</f>
        <v>23668.269409623717</v>
      </c>
      <c r="AL12" s="105">
        <f>IFERROR(INDEX(AL$26:AL$42,MATCH($D12,$D$26:$D$42,0),1),"")*'Industrial - to hide'!$A$45</f>
        <v>24496.533494144642</v>
      </c>
      <c r="AM12" s="105">
        <f>IFERROR(INDEX(AM$26:AM$42,MATCH($D12,$D$26:$D$42,0),1),"")*'Industrial - to hide'!$A$45</f>
        <v>25324.79757866557</v>
      </c>
      <c r="AN12" s="105">
        <f>IFERROR(INDEX(AN$26:AN$42,MATCH($D12,$D$26:$D$42,0),1),"")*'Industrial - to hide'!$A$45</f>
        <v>26153.061663186494</v>
      </c>
      <c r="AO12" s="105">
        <f>IFERROR(INDEX(AO$26:AO$42,MATCH($D12,$D$26:$D$42,0),1),"")*'Industrial - to hide'!$A$45</f>
        <v>26048.188668634586</v>
      </c>
      <c r="AP12" s="105">
        <f>IFERROR(INDEX(AP$26:AP$42,MATCH($D12,$D$26:$D$42,0),1),"")*'Industrial - to hide'!$A$45</f>
        <v>25943.315674082674</v>
      </c>
      <c r="AQ12" s="105">
        <f>IFERROR(INDEX(AQ$26:AQ$42,MATCH($D12,$D$26:$D$42,0),1),"")*'Industrial - to hide'!$A$45</f>
        <v>25838.442679530763</v>
      </c>
      <c r="AR12" s="105">
        <f>IFERROR(INDEX(AR$26:AR$42,MATCH($D12,$D$26:$D$42,0),1),"")*'Industrial - to hide'!$A$45</f>
        <v>25733.569684978855</v>
      </c>
      <c r="AS12" s="105">
        <f>IFERROR(INDEX(AS$26:AS$42,MATCH($D12,$D$26:$D$42,0),1),"")*'Industrial - to hide'!$A$45</f>
        <v>25628.696690426947</v>
      </c>
      <c r="AT12" s="105">
        <f>IFERROR(INDEX(AT$26:AT$42,MATCH($D12,$D$26:$D$42,0),1),"")*'Industrial - to hide'!$A$45</f>
        <v>25523.823695875035</v>
      </c>
      <c r="AU12" s="105">
        <f>IFERROR(INDEX(AU$26:AU$42,MATCH($D12,$D$26:$D$42,0),1),"")*'Industrial - to hide'!$A$45</f>
        <v>25418.950701323127</v>
      </c>
      <c r="AV12" s="105">
        <f>IFERROR(INDEX(AV$26:AV$42,MATCH($D12,$D$26:$D$42,0),1),"")*'Industrial - to hide'!$A$45</f>
        <v>25314.077706771215</v>
      </c>
      <c r="AW12" s="105">
        <f>IFERROR(INDEX(AW$26:AW$42,MATCH($D12,$D$26:$D$42,0),1),"")*'Industrial - to hide'!$A$45</f>
        <v>25209.204712219307</v>
      </c>
      <c r="AX12" s="105">
        <f>IFERROR(INDEX(AX$26:AX$42,MATCH($D12,$D$26:$D$42,0),1),"")*'Industrial - to hide'!$A$45</f>
        <v>25104.331717667395</v>
      </c>
    </row>
    <row r="13" spans="1:50">
      <c r="C13" s="35"/>
      <c r="E13" s="78"/>
      <c r="O13" s="36"/>
      <c r="P13" s="36"/>
      <c r="Q13" s="36"/>
      <c r="R13" s="36"/>
      <c r="S13" s="36"/>
      <c r="T13" s="36"/>
      <c r="U13" s="36"/>
      <c r="V13" s="36"/>
      <c r="W13" s="36"/>
      <c r="X13" s="36"/>
      <c r="Y13" s="36"/>
      <c r="Z13" s="36"/>
      <c r="AA13" s="36"/>
      <c r="AB13" s="36"/>
      <c r="AC13" s="36"/>
      <c r="AD13" s="36"/>
      <c r="AE13" s="36"/>
      <c r="AF13" s="36"/>
      <c r="AG13" s="36"/>
      <c r="AH13" s="36"/>
      <c r="AI13" s="36"/>
      <c r="AJ13" s="36"/>
      <c r="AK13" s="36"/>
      <c r="AL13" s="36"/>
      <c r="AM13" s="36"/>
      <c r="AN13" s="36"/>
      <c r="AO13" s="36"/>
      <c r="AP13" s="36"/>
      <c r="AQ13" s="36"/>
      <c r="AR13" s="36"/>
      <c r="AS13" s="36"/>
      <c r="AT13" s="36"/>
      <c r="AU13" s="36"/>
      <c r="AV13" s="36"/>
      <c r="AW13" s="36"/>
      <c r="AX13" s="36"/>
    </row>
    <row r="14" spans="1:50" ht="18">
      <c r="C14" s="35"/>
      <c r="D14" t="str">
        <f t="shared" si="0"/>
        <v>High ElectrificationLarge industry - electricity emissions</v>
      </c>
      <c r="E14" s="78" t="s">
        <v>681</v>
      </c>
      <c r="G14" s="98" t="s">
        <v>682</v>
      </c>
      <c r="I14" s="44"/>
      <c r="K14" s="44"/>
      <c r="M14" s="44"/>
      <c r="O14" s="174">
        <f>O10*'2.5 Emission factors'!O29</f>
        <v>6247.1898784084342</v>
      </c>
      <c r="P14" s="174">
        <f>P10*'2.5 Emission factors'!P29</f>
        <v>4984.2220414106278</v>
      </c>
      <c r="Q14" s="174">
        <f>Q10*'2.5 Emission factors'!Q29</f>
        <v>4453.2775963816584</v>
      </c>
      <c r="R14" s="174">
        <f>R10*'2.5 Emission factors'!R29</f>
        <v>4137.8693255281942</v>
      </c>
      <c r="S14" s="174">
        <f>S10*'2.5 Emission factors'!S29</f>
        <v>3689.3262095546797</v>
      </c>
      <c r="T14" s="174">
        <f>T10*'2.5 Emission factors'!T29</f>
        <v>2762.5511739876374</v>
      </c>
      <c r="U14" s="174">
        <f>U10*'2.5 Emission factors'!U29</f>
        <v>2671.8137582077293</v>
      </c>
      <c r="V14" s="174">
        <f>V10*'2.5 Emission factors'!V29</f>
        <v>2584.7279729535285</v>
      </c>
      <c r="W14" s="174">
        <f>W10*'2.5 Emission factors'!W29</f>
        <v>2564.172346362338</v>
      </c>
      <c r="X14" s="174">
        <f>X10*'2.5 Emission factors'!X29</f>
        <v>2890.2818174200597</v>
      </c>
      <c r="Y14" s="174">
        <f>Y10*'2.5 Emission factors'!Y29</f>
        <v>2522.8048745781307</v>
      </c>
      <c r="Z14" s="174">
        <f>Z10*'2.5 Emission factors'!Z29</f>
        <v>2341.7199644426159</v>
      </c>
      <c r="AA14" s="174">
        <f>AA10*'2.5 Emission factors'!AA29</f>
        <v>2336.8788942338974</v>
      </c>
      <c r="AB14" s="174">
        <f>AB10*'2.5 Emission factors'!AB29</f>
        <v>2529.7453859368052</v>
      </c>
      <c r="AC14" s="174">
        <f>AC10*'2.5 Emission factors'!AC29</f>
        <v>2713.965138107681</v>
      </c>
      <c r="AD14" s="174">
        <f>AD10*'2.5 Emission factors'!AD29</f>
        <v>2428.0766973319319</v>
      </c>
      <c r="AE14" s="174">
        <f>AE10*'2.5 Emission factors'!AE29</f>
        <v>2005.5243952118758</v>
      </c>
      <c r="AF14" s="174">
        <f>AF10*'2.5 Emission factors'!AF29</f>
        <v>1804.8565047881884</v>
      </c>
      <c r="AG14" s="174">
        <f>AG10*'2.5 Emission factors'!AG29</f>
        <v>1629.4330101755377</v>
      </c>
      <c r="AH14" s="174">
        <f>AH10*'2.5 Emission factors'!AH29</f>
        <v>1535.5453856804897</v>
      </c>
      <c r="AI14" s="174">
        <f>AI10*'2.5 Emission factors'!AI29</f>
        <v>1420.0969538262652</v>
      </c>
      <c r="AJ14" s="174">
        <f>AJ10*'2.5 Emission factors'!AJ29</f>
        <v>1190.5174502622735</v>
      </c>
      <c r="AK14" s="174">
        <f>AK10*'2.5 Emission factors'!AK29</f>
        <v>1072.9551832446548</v>
      </c>
      <c r="AL14" s="174">
        <f>AL10*'2.5 Emission factors'!AL29</f>
        <v>1061.7841648906906</v>
      </c>
      <c r="AM14" s="174">
        <f>AM10*'2.5 Emission factors'!AM29</f>
        <v>1018.3160378243159</v>
      </c>
      <c r="AN14" s="174">
        <f>AN10*'2.5 Emission factors'!AN29</f>
        <v>934.51930425554906</v>
      </c>
      <c r="AO14" s="174">
        <f>AO10*'2.5 Emission factors'!AO29</f>
        <v>772.15465612032142</v>
      </c>
      <c r="AP14" s="174">
        <f>AP10*'2.5 Emission factors'!AP29</f>
        <v>729.34564583680401</v>
      </c>
      <c r="AQ14" s="174">
        <f>AQ10*'2.5 Emission factors'!AQ29</f>
        <v>711.08428492274857</v>
      </c>
      <c r="AR14" s="174">
        <f>AR10*'2.5 Emission factors'!AR29</f>
        <v>665.17929947476546</v>
      </c>
      <c r="AS14" s="174">
        <f>AS10*'2.5 Emission factors'!AS29</f>
        <v>562.20111395391359</v>
      </c>
      <c r="AT14" s="174">
        <f>AT10*'2.5 Emission factors'!AT29</f>
        <v>507.98875241133112</v>
      </c>
      <c r="AU14" s="174">
        <f>AU10*'2.5 Emission factors'!AU29</f>
        <v>466.13475011838125</v>
      </c>
      <c r="AV14" s="174">
        <f>AV10*'2.5 Emission factors'!AV29</f>
        <v>440.27272400569314</v>
      </c>
      <c r="AW14" s="174">
        <f>AW10*'2.5 Emission factors'!AW29</f>
        <v>407.70269292008152</v>
      </c>
      <c r="AX14" s="174">
        <f>AX10*'2.5 Emission factors'!AX29</f>
        <v>398.74821364356774</v>
      </c>
    </row>
    <row r="15" spans="1:50" ht="18">
      <c r="C15" s="35"/>
      <c r="D15" t="str">
        <f t="shared" si="0"/>
        <v>High ElectrificationLarge industry - gas emissions</v>
      </c>
      <c r="E15" s="78" t="s">
        <v>683</v>
      </c>
      <c r="G15" s="98" t="s">
        <v>682</v>
      </c>
      <c r="I15" s="44"/>
      <c r="K15" s="44"/>
      <c r="M15" s="44"/>
      <c r="O15" s="36">
        <f>O11*'2.5 Emission factors'!O14</f>
        <v>14128.923703073182</v>
      </c>
      <c r="P15" s="36">
        <f>P11*'2.5 Emission factors'!P14</f>
        <v>14095.485692672377</v>
      </c>
      <c r="Q15" s="36">
        <f>Q11*'2.5 Emission factors'!Q14</f>
        <v>14091.981916865414</v>
      </c>
      <c r="R15" s="36">
        <f>R11*'2.5 Emission factors'!R14</f>
        <v>14084.84647588382</v>
      </c>
      <c r="S15" s="36">
        <f>S11*'2.5 Emission factors'!S14</f>
        <v>14074.092841627467</v>
      </c>
      <c r="T15" s="36">
        <f>T11*'2.5 Emission factors'!T14</f>
        <v>14063.298997228019</v>
      </c>
      <c r="U15" s="36">
        <f>U11*'2.5 Emission factors'!U14</f>
        <v>13872.232983583775</v>
      </c>
      <c r="V15" s="36">
        <f>V11*'2.5 Emission factors'!V14</f>
        <v>13675.677758118909</v>
      </c>
      <c r="W15" s="36">
        <f>W11*'2.5 Emission factors'!W14</f>
        <v>13471.88650497042</v>
      </c>
      <c r="X15" s="36">
        <f>X11*'2.5 Emission factors'!X14</f>
        <v>13267.889233773973</v>
      </c>
      <c r="Y15" s="36">
        <f>Y11*'2.5 Emission factors'!Y14</f>
        <v>13056.155349420485</v>
      </c>
      <c r="Z15" s="36">
        <f>Z11*'2.5 Emission factors'!Z14</f>
        <v>11798.861378151068</v>
      </c>
      <c r="AA15" s="36">
        <f>AA11*'2.5 Emission factors'!AA14</f>
        <v>10481.0000491928</v>
      </c>
      <c r="AB15" s="36">
        <f>AB11*'2.5 Emission factors'!AB14</f>
        <v>9184.4681866421543</v>
      </c>
      <c r="AC15" s="36">
        <f>AC11*'2.5 Emission factors'!AC14</f>
        <v>7906.2174700370824</v>
      </c>
      <c r="AD15" s="36">
        <f>AD11*'2.5 Emission factors'!AD14</f>
        <v>6643.9189183577655</v>
      </c>
      <c r="AE15" s="36">
        <f>AE11*'2.5 Emission factors'!AE14</f>
        <v>5585.7244935725766</v>
      </c>
      <c r="AF15" s="36">
        <f>AF11*'2.5 Emission factors'!AF14</f>
        <v>4554.5700182906639</v>
      </c>
      <c r="AG15" s="36">
        <f>AG11*'2.5 Emission factors'!AG14</f>
        <v>3545.6351826361388</v>
      </c>
      <c r="AH15" s="36">
        <f>AH11*'2.5 Emission factors'!AH14</f>
        <v>2558.9900754867258</v>
      </c>
      <c r="AI15" s="36">
        <f>AI11*'2.5 Emission factors'!AI14</f>
        <v>1610.8657292426501</v>
      </c>
      <c r="AJ15" s="36">
        <f>AJ11*'2.5 Emission factors'!AJ14</f>
        <v>1264.6829683880965</v>
      </c>
      <c r="AK15" s="36">
        <f>AK11*'2.5 Emission factors'!AK14</f>
        <v>927.19385481507516</v>
      </c>
      <c r="AL15" s="36">
        <f>AL11*'2.5 Emission factors'!AL14</f>
        <v>602.47159803321995</v>
      </c>
      <c r="AM15" s="36">
        <f>AM11*'2.5 Emission factors'!AM14</f>
        <v>295.98764693624605</v>
      </c>
      <c r="AN15" s="36">
        <f>AN11*'2.5 Emission factors'!AN14</f>
        <v>0</v>
      </c>
      <c r="AO15" s="36">
        <f>AO11*'2.5 Emission factors'!AO14</f>
        <v>0</v>
      </c>
      <c r="AP15" s="36">
        <f>AP11*'2.5 Emission factors'!AP14</f>
        <v>0</v>
      </c>
      <c r="AQ15" s="36">
        <f>AQ11*'2.5 Emission factors'!AQ14</f>
        <v>0</v>
      </c>
      <c r="AR15" s="36">
        <f>AR11*'2.5 Emission factors'!AR14</f>
        <v>0</v>
      </c>
      <c r="AS15" s="36">
        <f>AS11*'2.5 Emission factors'!AS14</f>
        <v>0</v>
      </c>
      <c r="AT15" s="36">
        <f>AT11*'2.5 Emission factors'!AT14</f>
        <v>0</v>
      </c>
      <c r="AU15" s="36">
        <f>AU11*'2.5 Emission factors'!AU14</f>
        <v>0</v>
      </c>
      <c r="AV15" s="36">
        <f>AV11*'2.5 Emission factors'!AV14</f>
        <v>0</v>
      </c>
      <c r="AW15" s="36">
        <f>AW11*'2.5 Emission factors'!AW14</f>
        <v>0</v>
      </c>
      <c r="AX15" s="36">
        <f>AX11*'2.5 Emission factors'!AX14</f>
        <v>0</v>
      </c>
    </row>
    <row r="16" spans="1:50" ht="18">
      <c r="C16" s="35"/>
      <c r="D16" t="str">
        <f t="shared" si="0"/>
        <v>High ElectrificationLarge industrial - hydrogen</v>
      </c>
      <c r="E16" s="78" t="str">
        <f>E12</f>
        <v>Large industrial - hydrogen</v>
      </c>
      <c r="G16" s="98" t="s">
        <v>682</v>
      </c>
      <c r="I16" s="44"/>
      <c r="K16" s="44"/>
      <c r="M16" s="44"/>
      <c r="O16" s="36">
        <f>O12*'2.5 Emission factors'!O62</f>
        <v>0</v>
      </c>
      <c r="P16" s="36">
        <f>P12*'2.5 Emission factors'!P62</f>
        <v>0</v>
      </c>
      <c r="Q16" s="36">
        <f>Q12*'2.5 Emission factors'!Q62</f>
        <v>0</v>
      </c>
      <c r="R16" s="36">
        <f>R12*'2.5 Emission factors'!R62</f>
        <v>0</v>
      </c>
      <c r="S16" s="36">
        <f>S12*'2.5 Emission factors'!S62</f>
        <v>0</v>
      </c>
      <c r="T16" s="36">
        <f>T12*'2.5 Emission factors'!T62</f>
        <v>0</v>
      </c>
      <c r="U16" s="36">
        <f>U12*'2.5 Emission factors'!U62</f>
        <v>0</v>
      </c>
      <c r="V16" s="36">
        <f>V12*'2.5 Emission factors'!V62</f>
        <v>0</v>
      </c>
      <c r="W16" s="36">
        <f>W12*'2.5 Emission factors'!W62</f>
        <v>0</v>
      </c>
      <c r="X16" s="36">
        <f>X12*'2.5 Emission factors'!X62</f>
        <v>0</v>
      </c>
      <c r="Y16" s="36">
        <f>Y12*'2.5 Emission factors'!Y62</f>
        <v>0</v>
      </c>
      <c r="Z16" s="36">
        <f>Z12*'2.5 Emission factors'!Z62</f>
        <v>14.008399830059409</v>
      </c>
      <c r="AA16" s="36">
        <f>AA12*'2.5 Emission factors'!AA62</f>
        <v>27.606511798987366</v>
      </c>
      <c r="AB16" s="36">
        <f>AB12*'2.5 Emission factors'!AB62</f>
        <v>40.794335906783886</v>
      </c>
      <c r="AC16" s="36">
        <f>AC12*'2.5 Emission factors'!AC62</f>
        <v>53.571872153448943</v>
      </c>
      <c r="AD16" s="36">
        <f>AD12*'2.5 Emission factors'!AD62</f>
        <v>65.939120538982579</v>
      </c>
      <c r="AE16" s="36">
        <f>AE12*'2.5 Emission factors'!AE62</f>
        <v>126.35200746538045</v>
      </c>
      <c r="AF16" s="36">
        <f>AF12*'2.5 Emission factors'!AF62</f>
        <v>194.63800822659786</v>
      </c>
      <c r="AG16" s="36">
        <f>AG12*'2.5 Emission factors'!AG62</f>
        <v>266.25260017007605</v>
      </c>
      <c r="AH16" s="36">
        <f>AH12*'2.5 Emission factors'!AH62</f>
        <v>339.63202055845341</v>
      </c>
      <c r="AI16" s="36">
        <f>AI12*'2.5 Emission factors'!AI62</f>
        <v>406.76963606300478</v>
      </c>
      <c r="AJ16" s="36">
        <f>AJ12*'2.5 Emission factors'!AJ62</f>
        <v>390.26428045495737</v>
      </c>
      <c r="AK16" s="36">
        <f>AK12*'2.5 Emission factors'!AK62</f>
        <v>387.19205330888178</v>
      </c>
      <c r="AL16" s="36">
        <f>AL12*'2.5 Emission factors'!AL62</f>
        <v>401.27872978886353</v>
      </c>
      <c r="AM16" s="36">
        <f>AM12*'2.5 Emission factors'!AM62</f>
        <v>407.77657233762847</v>
      </c>
      <c r="AN16" s="36">
        <f>AN12*'2.5 Emission factors'!AN62</f>
        <v>403.42683491559683</v>
      </c>
      <c r="AO16" s="36">
        <f>AO12*'2.5 Emission factors'!AO62</f>
        <v>369.8346592676661</v>
      </c>
      <c r="AP16" s="36">
        <f>AP12*'2.5 Emission factors'!AP62</f>
        <v>362.20828223836719</v>
      </c>
      <c r="AQ16" s="36">
        <f>AQ12*'2.5 Emission factors'!AQ62</f>
        <v>360.03996391748109</v>
      </c>
      <c r="AR16" s="36">
        <f>AR12*'2.5 Emission factors'!AR62</f>
        <v>349.70654053071519</v>
      </c>
      <c r="AS16" s="36">
        <f>AS12*'2.5 Emission factors'!AS62</f>
        <v>321.45223497714812</v>
      </c>
      <c r="AT16" s="36">
        <f>AT12*'2.5 Emission factors'!AT62</f>
        <v>305.45140952566226</v>
      </c>
      <c r="AU16" s="36">
        <f>AU12*'2.5 Emission factors'!AU62</f>
        <v>292.00829005482177</v>
      </c>
      <c r="AV16" s="36">
        <f>AV12*'2.5 Emission factors'!AV62</f>
        <v>282.83569273959444</v>
      </c>
      <c r="AW16" s="36">
        <f>AW12*'2.5 Emission factors'!AW62</f>
        <v>270.69127204127773</v>
      </c>
      <c r="AX16" s="36">
        <f>AX12*'2.5 Emission factors'!AX62</f>
        <v>266.25296336098518</v>
      </c>
    </row>
    <row r="17" spans="1:50" ht="18">
      <c r="C17" s="35"/>
      <c r="D17" t="str">
        <f t="shared" si="0"/>
        <v>High ElectrificationLarge industry emissions</v>
      </c>
      <c r="E17" s="78" t="s">
        <v>684</v>
      </c>
      <c r="G17" s="98" t="s">
        <v>682</v>
      </c>
      <c r="I17" s="44"/>
      <c r="K17" s="44"/>
      <c r="M17" s="44"/>
      <c r="O17" s="36">
        <f>O14+O15+O16</f>
        <v>20376.113581481615</v>
      </c>
      <c r="P17" s="36">
        <f t="shared" ref="P17:AX17" si="1">P14+P15+P16</f>
        <v>19079.707734083004</v>
      </c>
      <c r="Q17" s="36">
        <f t="shared" si="1"/>
        <v>18545.259513247074</v>
      </c>
      <c r="R17" s="36">
        <f t="shared" si="1"/>
        <v>18222.715801412014</v>
      </c>
      <c r="S17" s="36">
        <f t="shared" si="1"/>
        <v>17763.419051182147</v>
      </c>
      <c r="T17" s="36">
        <f t="shared" si="1"/>
        <v>16825.850171215658</v>
      </c>
      <c r="U17" s="36">
        <f t="shared" si="1"/>
        <v>16544.046741791506</v>
      </c>
      <c r="V17" s="36">
        <f t="shared" si="1"/>
        <v>16260.405731072438</v>
      </c>
      <c r="W17" s="36">
        <f t="shared" si="1"/>
        <v>16036.058851332758</v>
      </c>
      <c r="X17" s="36">
        <f t="shared" si="1"/>
        <v>16158.171051194033</v>
      </c>
      <c r="Y17" s="36">
        <f t="shared" si="1"/>
        <v>15578.960223998616</v>
      </c>
      <c r="Z17" s="36">
        <f t="shared" si="1"/>
        <v>14154.589742423745</v>
      </c>
      <c r="AA17" s="36">
        <f t="shared" si="1"/>
        <v>12845.485455225686</v>
      </c>
      <c r="AB17" s="36">
        <f t="shared" si="1"/>
        <v>11755.007908485743</v>
      </c>
      <c r="AC17" s="36">
        <f t="shared" si="1"/>
        <v>10673.754480298212</v>
      </c>
      <c r="AD17" s="36">
        <f t="shared" si="1"/>
        <v>9137.934736228679</v>
      </c>
      <c r="AE17" s="36">
        <f t="shared" si="1"/>
        <v>7717.6008962498327</v>
      </c>
      <c r="AF17" s="36">
        <f t="shared" si="1"/>
        <v>6554.0645313054501</v>
      </c>
      <c r="AG17" s="36">
        <f t="shared" si="1"/>
        <v>5441.3207929817527</v>
      </c>
      <c r="AH17" s="36">
        <f t="shared" si="1"/>
        <v>4434.1674817256689</v>
      </c>
      <c r="AI17" s="36">
        <f t="shared" si="1"/>
        <v>3437.7323191319201</v>
      </c>
      <c r="AJ17" s="36">
        <f t="shared" si="1"/>
        <v>2845.4646991053273</v>
      </c>
      <c r="AK17" s="36">
        <f t="shared" si="1"/>
        <v>2387.3410913686116</v>
      </c>
      <c r="AL17" s="36">
        <f t="shared" si="1"/>
        <v>2065.534492712774</v>
      </c>
      <c r="AM17" s="36">
        <f t="shared" si="1"/>
        <v>1722.0802570981905</v>
      </c>
      <c r="AN17" s="36">
        <f t="shared" si="1"/>
        <v>1337.9461391711459</v>
      </c>
      <c r="AO17" s="36">
        <f t="shared" si="1"/>
        <v>1141.9893153879875</v>
      </c>
      <c r="AP17" s="36">
        <f t="shared" si="1"/>
        <v>1091.5539280751711</v>
      </c>
      <c r="AQ17" s="36">
        <f t="shared" si="1"/>
        <v>1071.1242488402297</v>
      </c>
      <c r="AR17" s="36">
        <f t="shared" si="1"/>
        <v>1014.8858400054806</v>
      </c>
      <c r="AS17" s="36">
        <f t="shared" si="1"/>
        <v>883.65334893106171</v>
      </c>
      <c r="AT17" s="36">
        <f t="shared" si="1"/>
        <v>813.44016193699338</v>
      </c>
      <c r="AU17" s="36">
        <f t="shared" si="1"/>
        <v>758.14304017320296</v>
      </c>
      <c r="AV17" s="36">
        <f t="shared" si="1"/>
        <v>723.10841674528751</v>
      </c>
      <c r="AW17" s="36">
        <f t="shared" si="1"/>
        <v>678.39396496135919</v>
      </c>
      <c r="AX17" s="36">
        <f t="shared" si="1"/>
        <v>665.00117700455291</v>
      </c>
    </row>
    <row r="18" spans="1:50" s="38" customFormat="1">
      <c r="C18" s="60"/>
      <c r="D18"/>
      <c r="E18" s="55"/>
      <c r="G18" s="98"/>
      <c r="I18" s="98"/>
      <c r="K18" s="98"/>
      <c r="M18" s="98"/>
      <c r="O18" s="173"/>
      <c r="P18" s="173"/>
      <c r="Q18" s="173"/>
      <c r="R18" s="173"/>
      <c r="S18" s="173"/>
      <c r="T18" s="173"/>
      <c r="U18" s="173"/>
      <c r="V18" s="173"/>
      <c r="W18" s="173"/>
      <c r="X18" s="173"/>
      <c r="Y18" s="173"/>
      <c r="Z18" s="173"/>
      <c r="AA18" s="173"/>
      <c r="AB18" s="173"/>
      <c r="AC18" s="173"/>
      <c r="AD18" s="173"/>
      <c r="AE18" s="173"/>
      <c r="AF18" s="173"/>
      <c r="AG18" s="173"/>
      <c r="AH18" s="173"/>
      <c r="AI18" s="173"/>
      <c r="AJ18" s="173"/>
      <c r="AK18" s="173"/>
      <c r="AL18" s="173"/>
      <c r="AM18" s="173"/>
      <c r="AN18" s="173"/>
      <c r="AO18" s="173"/>
      <c r="AP18" s="173"/>
      <c r="AQ18" s="173"/>
      <c r="AR18" s="173"/>
      <c r="AS18" s="173"/>
      <c r="AT18" s="173"/>
      <c r="AU18" s="173"/>
      <c r="AV18" s="173"/>
      <c r="AW18" s="173"/>
      <c r="AX18" s="173"/>
    </row>
    <row r="19" spans="1:50" s="38" customFormat="1" ht="18">
      <c r="C19" s="60"/>
      <c r="D19" t="str">
        <f t="shared" si="0"/>
        <v>High ElectrificationIPPU</v>
      </c>
      <c r="E19" s="78" t="s">
        <v>685</v>
      </c>
      <c r="G19" s="98" t="s">
        <v>682</v>
      </c>
      <c r="I19" s="98"/>
      <c r="K19" s="98"/>
      <c r="M19" s="98"/>
      <c r="O19" s="105">
        <f>IFERROR(INDEX(O$26:O$42,MATCH($D19,$D$26:$D$42,0),1),"")*'Industrial - to hide'!$A$45</f>
        <v>110221.83599912233</v>
      </c>
      <c r="P19" s="105">
        <f>IFERROR(INDEX(P$26:P$42,MATCH($D19,$D$26:$D$42,0),1),"")*'Industrial - to hide'!$A$45</f>
        <v>92806.785911261031</v>
      </c>
      <c r="Q19" s="105">
        <f>IFERROR(INDEX(Q$26:Q$42,MATCH($D19,$D$26:$D$42,0),1),"")*'Industrial - to hide'!$A$45</f>
        <v>87460.301671893205</v>
      </c>
      <c r="R19" s="105">
        <f>IFERROR(INDEX(R$26:R$42,MATCH($D19,$D$26:$D$42,0),1),"")*'Industrial - to hide'!$A$45</f>
        <v>82113.817432525364</v>
      </c>
      <c r="S19" s="105">
        <f>IFERROR(INDEX(S$26:S$42,MATCH($D19,$D$26:$D$42,0),1),"")*'Industrial - to hide'!$A$45</f>
        <v>76767.333193157523</v>
      </c>
      <c r="T19" s="105">
        <f>IFERROR(INDEX(T$26:T$42,MATCH($D19,$D$26:$D$42,0),1),"")*'Industrial - to hide'!$A$45</f>
        <v>71420.848953789697</v>
      </c>
      <c r="U19" s="105">
        <f>IFERROR(INDEX(U$26:U$42,MATCH($D19,$D$26:$D$42,0),1),"")*'Industrial - to hide'!$A$45</f>
        <v>66074.364714421856</v>
      </c>
      <c r="V19" s="105">
        <f>IFERROR(INDEX(V$26:V$42,MATCH($D19,$D$26:$D$42,0),1),"")*'Industrial - to hide'!$A$45</f>
        <v>60727.880475054073</v>
      </c>
      <c r="W19" s="105">
        <f>IFERROR(INDEX(W$26:W$42,MATCH($D19,$D$26:$D$42,0),1),"")*'Industrial - to hide'!$A$45</f>
        <v>55381.396235686218</v>
      </c>
      <c r="X19" s="105">
        <f>IFERROR(INDEX(X$26:X$42,MATCH($D19,$D$26:$D$42,0),1),"")*'Industrial - to hide'!$A$45</f>
        <v>50034.911996318391</v>
      </c>
      <c r="Y19" s="105">
        <f>IFERROR(INDEX(Y$26:Y$42,MATCH($D19,$D$26:$D$42,0),1),"")*'Industrial - to hide'!$A$45</f>
        <v>44688.42775695055</v>
      </c>
      <c r="Z19" s="105">
        <f>IFERROR(INDEX(Z$26:Z$42,MATCH($D19,$D$26:$D$42,0),1),"")*'Industrial - to hide'!$A$45</f>
        <v>39341.943517582724</v>
      </c>
      <c r="AA19" s="105">
        <f>IFERROR(INDEX(AA$26:AA$42,MATCH($D19,$D$26:$D$42,0),1),"")*'Industrial - to hide'!$A$45</f>
        <v>33995.459278214897</v>
      </c>
      <c r="AB19" s="105">
        <f>IFERROR(INDEX(AB$26:AB$42,MATCH($D19,$D$26:$D$42,0),1),"")*'Industrial - to hide'!$A$45</f>
        <v>28648.975038847078</v>
      </c>
      <c r="AC19" s="105">
        <f>IFERROR(INDEX(AC$26:AC$42,MATCH($D19,$D$26:$D$42,0),1),"")*'Industrial - to hide'!$A$45</f>
        <v>28648.975038847078</v>
      </c>
      <c r="AD19" s="105">
        <f>IFERROR(INDEX(AD$26:AD$42,MATCH($D19,$D$26:$D$42,0),1),"")*'Industrial - to hide'!$A$45</f>
        <v>28648.975038847078</v>
      </c>
      <c r="AE19" s="105">
        <f>IFERROR(INDEX(AE$26:AE$42,MATCH($D19,$D$26:$D$42,0),1),"")*'Industrial - to hide'!$A$45</f>
        <v>28648.975038847078</v>
      </c>
      <c r="AF19" s="105">
        <f>IFERROR(INDEX(AF$26:AF$42,MATCH($D19,$D$26:$D$42,0),1),"")*'Industrial - to hide'!$A$45</f>
        <v>28648.975038847078</v>
      </c>
      <c r="AG19" s="105">
        <f>IFERROR(INDEX(AG$26:AG$42,MATCH($D19,$D$26:$D$42,0),1),"")*'Industrial - to hide'!$A$45</f>
        <v>28648.975038847078</v>
      </c>
      <c r="AH19" s="105">
        <f>IFERROR(INDEX(AH$26:AH$42,MATCH($D19,$D$26:$D$42,0),1),"")*'Industrial - to hide'!$A$45</f>
        <v>28648.975038847078</v>
      </c>
      <c r="AI19" s="105">
        <f>IFERROR(INDEX(AI$26:AI$42,MATCH($D19,$D$26:$D$42,0),1),"")*'Industrial - to hide'!$A$45</f>
        <v>28648.975038847078</v>
      </c>
      <c r="AJ19" s="105">
        <f>IFERROR(INDEX(AJ$26:AJ$42,MATCH($D19,$D$26:$D$42,0),1),"")*'Industrial - to hide'!$A$45</f>
        <v>28648.975038847078</v>
      </c>
      <c r="AK19" s="105">
        <f>IFERROR(INDEX(AK$26:AK$42,MATCH($D19,$D$26:$D$42,0),1),"")*'Industrial - to hide'!$A$45</f>
        <v>28648.975038847078</v>
      </c>
      <c r="AL19" s="105">
        <f>IFERROR(INDEX(AL$26:AL$42,MATCH($D19,$D$26:$D$42,0),1),"")*'Industrial - to hide'!$A$45</f>
        <v>28648.975038847078</v>
      </c>
      <c r="AM19" s="105">
        <f>IFERROR(INDEX(AM$26:AM$42,MATCH($D19,$D$26:$D$42,0),1),"")*'Industrial - to hide'!$A$45</f>
        <v>28648.975038847078</v>
      </c>
      <c r="AN19" s="105">
        <f>IFERROR(INDEX(AN$26:AN$42,MATCH($D19,$D$26:$D$42,0),1),"")*'Industrial - to hide'!$A$45</f>
        <v>28648.975038847078</v>
      </c>
      <c r="AO19" s="105">
        <f>IFERROR(INDEX(AO$26:AO$42,MATCH($D19,$D$26:$D$42,0),1),"")*'Industrial - to hide'!$A$45</f>
        <v>28648.975038847078</v>
      </c>
      <c r="AP19" s="105">
        <f>IFERROR(INDEX(AP$26:AP$42,MATCH($D19,$D$26:$D$42,0),1),"")*'Industrial - to hide'!$A$45</f>
        <v>28648.975038847078</v>
      </c>
      <c r="AQ19" s="105">
        <f>IFERROR(INDEX(AQ$26:AQ$42,MATCH($D19,$D$26:$D$42,0),1),"")*'Industrial - to hide'!$A$45</f>
        <v>28648.975038847078</v>
      </c>
      <c r="AR19" s="105">
        <f>IFERROR(INDEX(AR$26:AR$42,MATCH($D19,$D$26:$D$42,0),1),"")*'Industrial - to hide'!$A$45</f>
        <v>28648.975038847078</v>
      </c>
      <c r="AS19" s="105">
        <f>IFERROR(INDEX(AS$26:AS$42,MATCH($D19,$D$26:$D$42,0),1),"")*'Industrial - to hide'!$A$45</f>
        <v>28648.975038847078</v>
      </c>
      <c r="AT19" s="105">
        <f>IFERROR(INDEX(AT$26:AT$42,MATCH($D19,$D$26:$D$42,0),1),"")*'Industrial - to hide'!$A$45</f>
        <v>28648.975038847078</v>
      </c>
      <c r="AU19" s="105">
        <f>IFERROR(INDEX(AU$26:AU$42,MATCH($D19,$D$26:$D$42,0),1),"")*'Industrial - to hide'!$A$45</f>
        <v>28648.975038847078</v>
      </c>
      <c r="AV19" s="105">
        <f>IFERROR(INDEX(AV$26:AV$42,MATCH($D19,$D$26:$D$42,0),1),"")*'Industrial - to hide'!$A$45</f>
        <v>28648.975038847078</v>
      </c>
      <c r="AW19" s="105">
        <f>IFERROR(INDEX(AW$26:AW$42,MATCH($D19,$D$26:$D$42,0),1),"")*'Industrial - to hide'!$A$45</f>
        <v>28648.975038847078</v>
      </c>
      <c r="AX19" s="105">
        <f>IFERROR(INDEX(AX$26:AX$42,MATCH($D19,$D$26:$D$42,0),1),"")*'Industrial - to hide'!$A$45</f>
        <v>28648.975038847078</v>
      </c>
    </row>
    <row r="20" spans="1:50">
      <c r="D20" t="str">
        <f t="shared" si="0"/>
        <v>High Electrification% reduction assumption for balancing figure</v>
      </c>
      <c r="E20" t="s">
        <v>686</v>
      </c>
      <c r="I20" s="597"/>
      <c r="O20" s="39"/>
      <c r="P20" s="219"/>
      <c r="Q20" s="219"/>
      <c r="R20" s="219"/>
      <c r="S20" s="219"/>
      <c r="T20" s="219"/>
      <c r="U20" s="219"/>
      <c r="V20" s="219"/>
      <c r="W20" s="219"/>
      <c r="X20" s="219"/>
      <c r="Y20" s="219"/>
      <c r="Z20" s="219"/>
      <c r="AA20" s="219"/>
      <c r="AB20" s="219"/>
      <c r="AC20" s="219"/>
      <c r="AD20" s="219"/>
      <c r="AE20" s="219"/>
      <c r="AF20" s="219"/>
      <c r="AG20" s="219"/>
      <c r="AH20" s="219"/>
      <c r="AI20" s="219"/>
      <c r="AJ20" s="219"/>
      <c r="AK20" s="219"/>
      <c r="AL20" s="219"/>
      <c r="AM20" s="219"/>
      <c r="AN20" s="219"/>
      <c r="AO20" s="219"/>
      <c r="AP20" s="219"/>
      <c r="AQ20" s="219"/>
      <c r="AR20" s="219"/>
      <c r="AS20" s="219"/>
      <c r="AT20" s="219"/>
      <c r="AU20" s="219"/>
      <c r="AV20" s="219"/>
      <c r="AW20" s="219"/>
      <c r="AX20" s="220"/>
    </row>
    <row r="21" spans="1:50">
      <c r="O21" s="174"/>
      <c r="P21" s="174"/>
      <c r="Q21" s="174"/>
      <c r="R21" s="174"/>
      <c r="S21" s="174"/>
      <c r="T21" s="174"/>
      <c r="U21" s="174"/>
      <c r="V21" s="174"/>
      <c r="W21" s="174"/>
      <c r="X21" s="174"/>
      <c r="Y21" s="174"/>
      <c r="Z21" s="174"/>
      <c r="AA21" s="174"/>
      <c r="AB21" s="174"/>
      <c r="AC21" s="174"/>
      <c r="AD21" s="174"/>
      <c r="AE21" s="174"/>
      <c r="AF21" s="219"/>
      <c r="AG21" s="219"/>
      <c r="AH21" s="219"/>
      <c r="AI21" s="219"/>
      <c r="AJ21" s="219"/>
      <c r="AK21" s="219"/>
      <c r="AL21" s="219"/>
      <c r="AM21" s="219"/>
      <c r="AN21" s="219"/>
      <c r="AO21" s="219"/>
      <c r="AP21" s="219"/>
      <c r="AQ21" s="219"/>
      <c r="AR21" s="219"/>
      <c r="AS21" s="219"/>
      <c r="AT21" s="219"/>
      <c r="AU21" s="219"/>
      <c r="AV21" s="219"/>
      <c r="AW21" s="219"/>
      <c r="AX21" s="219"/>
    </row>
    <row r="22" spans="1:50" s="38" customFormat="1" ht="18">
      <c r="C22" s="60"/>
      <c r="D22" t="str">
        <f t="shared" si="0"/>
        <v>High ElectrificationTotal Industrial Emissions</v>
      </c>
      <c r="E22" s="205" t="s">
        <v>687</v>
      </c>
      <c r="G22" s="98" t="s">
        <v>688</v>
      </c>
      <c r="I22" s="98"/>
      <c r="K22" s="98"/>
      <c r="M22" s="98"/>
      <c r="O22" s="206">
        <f>SUM(O17:O19)/1000</f>
        <v>130.59794958060394</v>
      </c>
      <c r="P22" s="206">
        <f>SUM(P17:P19)/1000</f>
        <v>111.88649364534403</v>
      </c>
      <c r="Q22" s="206">
        <f t="shared" ref="Q22:AX22" si="2">SUM(Q17:Q19)/1000</f>
        <v>106.00556118514028</v>
      </c>
      <c r="R22" s="206">
        <f>SUM(R17:R19)/1000</f>
        <v>100.33653323393737</v>
      </c>
      <c r="S22" s="206">
        <f t="shared" si="2"/>
        <v>94.530752244339681</v>
      </c>
      <c r="T22" s="206">
        <f t="shared" si="2"/>
        <v>88.24669912500535</v>
      </c>
      <c r="U22" s="206">
        <f t="shared" si="2"/>
        <v>82.618411456213366</v>
      </c>
      <c r="V22" s="206">
        <f t="shared" si="2"/>
        <v>76.988286206126503</v>
      </c>
      <c r="W22" s="206">
        <f t="shared" si="2"/>
        <v>71.417455087018965</v>
      </c>
      <c r="X22" s="206">
        <f t="shared" si="2"/>
        <v>66.193083047512431</v>
      </c>
      <c r="Y22" s="206">
        <f t="shared" si="2"/>
        <v>60.267387980949159</v>
      </c>
      <c r="Z22" s="206">
        <f t="shared" si="2"/>
        <v>53.496533260006473</v>
      </c>
      <c r="AA22" s="206">
        <f t="shared" si="2"/>
        <v>46.840944733440587</v>
      </c>
      <c r="AB22" s="206">
        <f t="shared" si="2"/>
        <v>40.403982947332821</v>
      </c>
      <c r="AC22" s="206">
        <f t="shared" si="2"/>
        <v>39.322729519145284</v>
      </c>
      <c r="AD22" s="206">
        <f t="shared" si="2"/>
        <v>37.786909775075756</v>
      </c>
      <c r="AE22" s="206">
        <f t="shared" si="2"/>
        <v>36.366575935096911</v>
      </c>
      <c r="AF22" s="206">
        <f t="shared" si="2"/>
        <v>35.203039570152526</v>
      </c>
      <c r="AG22" s="206">
        <f t="shared" si="2"/>
        <v>34.090295831828833</v>
      </c>
      <c r="AH22" s="206">
        <f t="shared" si="2"/>
        <v>33.08314252057275</v>
      </c>
      <c r="AI22" s="206">
        <f t="shared" si="2"/>
        <v>32.086707357978995</v>
      </c>
      <c r="AJ22" s="206">
        <f t="shared" si="2"/>
        <v>31.494439737952405</v>
      </c>
      <c r="AK22" s="206">
        <f t="shared" si="2"/>
        <v>31.036316130215692</v>
      </c>
      <c r="AL22" s="206">
        <f t="shared" si="2"/>
        <v>30.714509531559852</v>
      </c>
      <c r="AM22" s="206">
        <f t="shared" si="2"/>
        <v>30.371055295945268</v>
      </c>
      <c r="AN22" s="206">
        <f t="shared" si="2"/>
        <v>29.986921178018225</v>
      </c>
      <c r="AO22" s="206">
        <f t="shared" si="2"/>
        <v>29.790964354235069</v>
      </c>
      <c r="AP22" s="206">
        <f t="shared" si="2"/>
        <v>29.740528966922252</v>
      </c>
      <c r="AQ22" s="206">
        <f t="shared" si="2"/>
        <v>29.720099287687308</v>
      </c>
      <c r="AR22" s="206">
        <f t="shared" si="2"/>
        <v>29.66386087885256</v>
      </c>
      <c r="AS22" s="206">
        <f t="shared" si="2"/>
        <v>29.532628387778139</v>
      </c>
      <c r="AT22" s="206">
        <f t="shared" si="2"/>
        <v>29.462415200784072</v>
      </c>
      <c r="AU22" s="206">
        <f t="shared" si="2"/>
        <v>29.407118079020282</v>
      </c>
      <c r="AV22" s="206">
        <f t="shared" si="2"/>
        <v>29.372083455592364</v>
      </c>
      <c r="AW22" s="206">
        <f t="shared" si="2"/>
        <v>29.327369003808439</v>
      </c>
      <c r="AX22" s="206">
        <f t="shared" si="2"/>
        <v>29.313976215851632</v>
      </c>
    </row>
    <row r="23" spans="1:50" s="38" customFormat="1">
      <c r="C23" s="60"/>
      <c r="E23" s="205"/>
      <c r="O23" s="206"/>
      <c r="P23" s="206"/>
      <c r="Q23" s="206"/>
      <c r="R23" s="206"/>
      <c r="S23" s="206"/>
      <c r="T23" s="206"/>
      <c r="U23" s="206"/>
      <c r="V23" s="206"/>
      <c r="W23" s="206"/>
      <c r="X23" s="206"/>
      <c r="Y23" s="206"/>
      <c r="Z23" s="206"/>
      <c r="AA23" s="206"/>
      <c r="AB23" s="206"/>
      <c r="AC23" s="206"/>
      <c r="AD23" s="206"/>
      <c r="AE23" s="206"/>
      <c r="AF23" s="206"/>
      <c r="AG23" s="206"/>
      <c r="AH23" s="206"/>
      <c r="AI23" s="206"/>
      <c r="AJ23" s="206"/>
      <c r="AK23" s="206"/>
      <c r="AL23" s="206"/>
      <c r="AM23" s="206"/>
      <c r="AN23" s="206"/>
      <c r="AO23" s="206"/>
      <c r="AP23" s="206"/>
      <c r="AQ23" s="206"/>
      <c r="AR23" s="206"/>
      <c r="AS23" s="206"/>
      <c r="AT23" s="206"/>
      <c r="AU23" s="206"/>
      <c r="AV23" s="206"/>
      <c r="AW23" s="206"/>
      <c r="AX23" s="206"/>
    </row>
    <row r="24" spans="1:50" s="601" customFormat="1">
      <c r="A24" s="598"/>
      <c r="B24" s="598"/>
      <c r="C24" s="599" t="s">
        <v>689</v>
      </c>
      <c r="D24" s="598"/>
      <c r="E24" s="598"/>
      <c r="F24" s="598"/>
      <c r="G24" s="598"/>
      <c r="H24" s="598"/>
      <c r="I24" s="598"/>
      <c r="J24" s="598"/>
      <c r="K24" s="598"/>
      <c r="L24" s="598"/>
      <c r="M24" s="598"/>
      <c r="N24" s="598"/>
      <c r="O24" s="600"/>
      <c r="P24" s="600"/>
      <c r="Q24" s="600"/>
      <c r="R24" s="600"/>
      <c r="S24" s="600"/>
      <c r="T24" s="600"/>
      <c r="U24" s="600"/>
      <c r="V24" s="600"/>
      <c r="W24" s="600"/>
      <c r="X24" s="600"/>
      <c r="Y24" s="600"/>
      <c r="Z24" s="600"/>
      <c r="AA24" s="600"/>
      <c r="AB24" s="600"/>
      <c r="AC24" s="600"/>
      <c r="AD24" s="600"/>
      <c r="AE24" s="600"/>
      <c r="AF24" s="600"/>
      <c r="AG24" s="600"/>
      <c r="AH24" s="600"/>
      <c r="AI24" s="600"/>
      <c r="AJ24" s="600"/>
      <c r="AK24" s="600"/>
      <c r="AL24" s="600"/>
      <c r="AM24" s="600"/>
      <c r="AN24" s="600"/>
      <c r="AO24" s="600"/>
      <c r="AP24" s="600"/>
      <c r="AQ24" s="600"/>
      <c r="AR24" s="600"/>
      <c r="AS24" s="600"/>
      <c r="AT24" s="600"/>
      <c r="AU24" s="600"/>
      <c r="AV24" s="600"/>
      <c r="AW24" s="600"/>
      <c r="AX24" s="600"/>
    </row>
    <row r="25" spans="1:50" s="38" customFormat="1">
      <c r="C25" s="60"/>
      <c r="E25" s="205"/>
      <c r="Q25" s="206"/>
      <c r="R25" s="206"/>
      <c r="S25" s="206"/>
      <c r="T25" s="206"/>
      <c r="U25" s="206"/>
      <c r="V25" s="206"/>
      <c r="W25" s="206"/>
      <c r="X25" s="206"/>
      <c r="Y25" s="206"/>
      <c r="Z25" s="206"/>
      <c r="AA25" s="206"/>
      <c r="AB25" s="206"/>
      <c r="AC25" s="206"/>
      <c r="AD25" s="206"/>
      <c r="AE25" s="206"/>
      <c r="AF25" s="206"/>
      <c r="AG25" s="206"/>
      <c r="AH25" s="206"/>
      <c r="AI25" s="206"/>
      <c r="AJ25" s="206"/>
      <c r="AK25" s="206"/>
      <c r="AL25" s="206"/>
      <c r="AM25" s="206"/>
      <c r="AN25" s="206"/>
      <c r="AO25" s="206"/>
      <c r="AP25" s="206"/>
      <c r="AQ25" s="206"/>
      <c r="AR25" s="206"/>
      <c r="AS25" s="206"/>
      <c r="AT25" s="206"/>
      <c r="AU25" s="206"/>
      <c r="AV25" s="206"/>
      <c r="AW25" s="206"/>
      <c r="AX25" s="206"/>
    </row>
    <row r="26" spans="1:50" s="38" customFormat="1">
      <c r="C26" t="str">
        <f>INDEX('Scenario names'!$C$3:$C$6,1)</f>
        <v>High Electrification</v>
      </c>
      <c r="D26" s="38" t="str">
        <f>C26&amp;E26</f>
        <v>High ElectrificationLarge industrial - electricity</v>
      </c>
      <c r="E26" s="78" t="s">
        <v>678</v>
      </c>
      <c r="G26" s="44" t="s">
        <v>679</v>
      </c>
      <c r="I26" s="98"/>
      <c r="K26" s="98"/>
      <c r="M26" s="98"/>
      <c r="O26" s="206">
        <v>334684.60756312398</v>
      </c>
      <c r="P26" s="206">
        <v>334684.60756312398</v>
      </c>
      <c r="Q26" s="206">
        <v>334684.60756312398</v>
      </c>
      <c r="R26" s="206">
        <v>334684.60756312398</v>
      </c>
      <c r="S26" s="206">
        <v>334684.60756312398</v>
      </c>
      <c r="T26" s="206">
        <v>334684.60756312398</v>
      </c>
      <c r="U26" s="206">
        <v>346972.68305081892</v>
      </c>
      <c r="V26" s="206">
        <v>359260.75853851385</v>
      </c>
      <c r="W26" s="206">
        <v>371548.83402620873</v>
      </c>
      <c r="X26" s="206">
        <v>383836.90951390367</v>
      </c>
      <c r="Y26" s="206">
        <v>396124.9850015986</v>
      </c>
      <c r="Z26" s="206">
        <v>498790.82483093953</v>
      </c>
      <c r="AA26" s="206">
        <v>601456.66466028045</v>
      </c>
      <c r="AB26" s="206">
        <v>704122.50448962138</v>
      </c>
      <c r="AC26" s="206">
        <v>806788.34431896231</v>
      </c>
      <c r="AD26" s="206">
        <v>909454.18414830323</v>
      </c>
      <c r="AE26" s="206">
        <v>948547.66731895588</v>
      </c>
      <c r="AF26" s="206">
        <v>987641.15048960852</v>
      </c>
      <c r="AG26" s="206">
        <v>1026734.6336602612</v>
      </c>
      <c r="AH26" s="206">
        <v>1065828.1168309138</v>
      </c>
      <c r="AI26" s="206">
        <v>1104921.6000015663</v>
      </c>
      <c r="AJ26" s="206">
        <v>1119762.6246287774</v>
      </c>
      <c r="AK26" s="206">
        <v>1134603.6492559884</v>
      </c>
      <c r="AL26" s="206">
        <v>1149444.6738831997</v>
      </c>
      <c r="AM26" s="206">
        <v>1164285.6985104107</v>
      </c>
      <c r="AN26" s="206">
        <v>1179126.7231376218</v>
      </c>
      <c r="AO26" s="206">
        <v>1173615.9280497376</v>
      </c>
      <c r="AP26" s="206">
        <v>1168105.1329618534</v>
      </c>
      <c r="AQ26" s="206">
        <v>1162594.3378739692</v>
      </c>
      <c r="AR26" s="206">
        <v>1157083.542786085</v>
      </c>
      <c r="AS26" s="206">
        <v>1151572.7476982009</v>
      </c>
      <c r="AT26" s="206">
        <v>1146061.9526103167</v>
      </c>
      <c r="AU26" s="206">
        <v>1140551.1575224327</v>
      </c>
      <c r="AV26" s="206">
        <v>1135040.3624345486</v>
      </c>
      <c r="AW26" s="206">
        <v>1129529.5673466646</v>
      </c>
      <c r="AX26" s="206">
        <v>1124018.7722587804</v>
      </c>
    </row>
    <row r="27" spans="1:50" s="38" customFormat="1">
      <c r="C27" t="str">
        <f>INDEX('Scenario names'!$C$3:$C$6,1)</f>
        <v>High Electrification</v>
      </c>
      <c r="D27" s="38" t="str">
        <f t="shared" ref="D27:D42" si="3">C27&amp;E27</f>
        <v>High ElectrificationLarge industrial - gas</v>
      </c>
      <c r="E27" s="78" t="s">
        <v>543</v>
      </c>
      <c r="G27" s="44" t="s">
        <v>679</v>
      </c>
      <c r="I27" s="98"/>
      <c r="K27" s="98"/>
      <c r="M27" s="98"/>
      <c r="O27" s="206">
        <v>1510566.8591719219</v>
      </c>
      <c r="P27" s="206">
        <v>1510566.8591719219</v>
      </c>
      <c r="Q27" s="206">
        <v>1510566.8591719219</v>
      </c>
      <c r="R27" s="206">
        <v>1510566.8591719219</v>
      </c>
      <c r="S27" s="206">
        <v>1510566.8591719219</v>
      </c>
      <c r="T27" s="206">
        <v>1510566.8591719219</v>
      </c>
      <c r="U27" s="206">
        <v>1490884.0063256933</v>
      </c>
      <c r="V27" s="206">
        <v>1471201.1534794648</v>
      </c>
      <c r="W27" s="206">
        <v>1451518.3006332363</v>
      </c>
      <c r="X27" s="206">
        <v>1431835.4477870078</v>
      </c>
      <c r="Y27" s="206">
        <v>1412152.5949407793</v>
      </c>
      <c r="Z27" s="206">
        <v>1279908.7058786391</v>
      </c>
      <c r="AA27" s="206">
        <v>1147664.8168164992</v>
      </c>
      <c r="AB27" s="206">
        <v>1015420.9277543591</v>
      </c>
      <c r="AC27" s="206">
        <v>883177.03869221907</v>
      </c>
      <c r="AD27" s="206">
        <v>750933.14963007905</v>
      </c>
      <c r="AE27" s="206">
        <v>639455.0196338431</v>
      </c>
      <c r="AF27" s="206">
        <v>527976.88963760703</v>
      </c>
      <c r="AG27" s="206">
        <v>416498.75964137109</v>
      </c>
      <c r="AH27" s="206">
        <v>305020.62964513508</v>
      </c>
      <c r="AI27" s="206">
        <v>193542.4996488991</v>
      </c>
      <c r="AJ27" s="206">
        <v>154833.99971911928</v>
      </c>
      <c r="AK27" s="206">
        <v>116125.49978933946</v>
      </c>
      <c r="AL27" s="206">
        <v>77416.999859559641</v>
      </c>
      <c r="AM27" s="206">
        <v>38708.49992977982</v>
      </c>
      <c r="AN27" s="206">
        <v>0</v>
      </c>
      <c r="AO27" s="206">
        <v>0</v>
      </c>
      <c r="AP27" s="206">
        <v>0</v>
      </c>
      <c r="AQ27" s="206">
        <v>0</v>
      </c>
      <c r="AR27" s="206">
        <v>0</v>
      </c>
      <c r="AS27" s="206">
        <v>0</v>
      </c>
      <c r="AT27" s="206">
        <v>0</v>
      </c>
      <c r="AU27" s="206">
        <v>0</v>
      </c>
      <c r="AV27" s="206">
        <v>0</v>
      </c>
      <c r="AW27" s="206">
        <v>0</v>
      </c>
      <c r="AX27" s="206">
        <v>0</v>
      </c>
    </row>
    <row r="28" spans="1:50" s="38" customFormat="1">
      <c r="C28" t="str">
        <f>INDEX('Scenario names'!$C$3:$C$6,1)</f>
        <v>High Electrification</v>
      </c>
      <c r="D28" s="38" t="str">
        <f t="shared" si="3"/>
        <v>High ElectrificationLarge industrial - hydrogen</v>
      </c>
      <c r="E28" s="78" t="s">
        <v>680</v>
      </c>
      <c r="G28" s="44" t="s">
        <v>679</v>
      </c>
      <c r="I28" s="98"/>
      <c r="K28" s="98"/>
      <c r="M28" s="98"/>
      <c r="O28" s="206">
        <v>0</v>
      </c>
      <c r="P28" s="206">
        <v>0</v>
      </c>
      <c r="Q28" s="206">
        <v>0</v>
      </c>
      <c r="R28" s="206">
        <v>0</v>
      </c>
      <c r="S28" s="206">
        <v>0</v>
      </c>
      <c r="T28" s="206">
        <v>0</v>
      </c>
      <c r="U28" s="206">
        <v>0</v>
      </c>
      <c r="V28" s="206">
        <v>0</v>
      </c>
      <c r="W28" s="206">
        <v>0</v>
      </c>
      <c r="X28" s="206">
        <v>0</v>
      </c>
      <c r="Y28" s="206">
        <v>0</v>
      </c>
      <c r="Z28" s="206">
        <v>22380.174533245077</v>
      </c>
      <c r="AA28" s="206">
        <v>44760.349066490155</v>
      </c>
      <c r="AB28" s="206">
        <v>67140.523599735228</v>
      </c>
      <c r="AC28" s="206">
        <v>89520.698132980309</v>
      </c>
      <c r="AD28" s="206">
        <v>111900.87266622539</v>
      </c>
      <c r="AE28" s="206">
        <v>176123.72870234173</v>
      </c>
      <c r="AF28" s="206">
        <v>240346.58473845804</v>
      </c>
      <c r="AG28" s="206">
        <v>304569.44077457441</v>
      </c>
      <c r="AH28" s="206">
        <v>368792.29681069066</v>
      </c>
      <c r="AI28" s="206">
        <v>433015.15284680703</v>
      </c>
      <c r="AJ28" s="206">
        <v>449308.77065906458</v>
      </c>
      <c r="AK28" s="206">
        <v>465602.38847132219</v>
      </c>
      <c r="AL28" s="206">
        <v>481896.00628357974</v>
      </c>
      <c r="AM28" s="206">
        <v>498189.62409583735</v>
      </c>
      <c r="AN28" s="206">
        <v>514483.2419080949</v>
      </c>
      <c r="AO28" s="206">
        <v>512420.17950566788</v>
      </c>
      <c r="AP28" s="206">
        <v>510357.1171032408</v>
      </c>
      <c r="AQ28" s="206">
        <v>508294.05470081372</v>
      </c>
      <c r="AR28" s="206">
        <v>506230.9922983867</v>
      </c>
      <c r="AS28" s="206">
        <v>504167.92989595962</v>
      </c>
      <c r="AT28" s="206">
        <v>502104.86749353254</v>
      </c>
      <c r="AU28" s="206">
        <v>500041.80509110552</v>
      </c>
      <c r="AV28" s="206">
        <v>497978.74268867844</v>
      </c>
      <c r="AW28" s="206">
        <v>495915.68028625142</v>
      </c>
      <c r="AX28" s="206">
        <v>493852.61788382434</v>
      </c>
    </row>
    <row r="29" spans="1:50" s="38" customFormat="1">
      <c r="C29" t="str">
        <f>INDEX('Scenario names'!$C$3:$C$6,2)</f>
        <v>High Hydrogen</v>
      </c>
      <c r="D29" s="38" t="str">
        <f t="shared" si="3"/>
        <v>High HydrogenLarge industrial - electricity</v>
      </c>
      <c r="E29" s="78" t="s">
        <v>678</v>
      </c>
      <c r="G29" s="44" t="s">
        <v>679</v>
      </c>
      <c r="I29" s="98"/>
      <c r="K29" s="98"/>
      <c r="M29" s="98"/>
      <c r="O29" s="69">
        <v>334684.60756312398</v>
      </c>
      <c r="P29" s="69">
        <v>334684.60756312398</v>
      </c>
      <c r="Q29" s="69">
        <v>334684.60756312398</v>
      </c>
      <c r="R29" s="69">
        <v>334684.60756312398</v>
      </c>
      <c r="S29" s="69">
        <v>334684.60756312398</v>
      </c>
      <c r="T29" s="69">
        <v>334684.60756312398</v>
      </c>
      <c r="U29" s="69">
        <v>341830.97484210652</v>
      </c>
      <c r="V29" s="69">
        <v>348977.34212108905</v>
      </c>
      <c r="W29" s="69">
        <v>356123.70940007153</v>
      </c>
      <c r="X29" s="69">
        <v>363270.07667905407</v>
      </c>
      <c r="Y29" s="69">
        <v>370416.4439580366</v>
      </c>
      <c r="Z29" s="69">
        <v>380906.40745511075</v>
      </c>
      <c r="AA29" s="69">
        <v>391396.37095218484</v>
      </c>
      <c r="AB29" s="69">
        <v>401886.33444925898</v>
      </c>
      <c r="AC29" s="69">
        <v>412376.29794633307</v>
      </c>
      <c r="AD29" s="69">
        <v>422866.26144340722</v>
      </c>
      <c r="AE29" s="69">
        <v>421928.54993291269</v>
      </c>
      <c r="AF29" s="69">
        <v>420990.83842241816</v>
      </c>
      <c r="AG29" s="69">
        <v>420053.12691192364</v>
      </c>
      <c r="AH29" s="69">
        <v>419115.41540142911</v>
      </c>
      <c r="AI29" s="69">
        <v>418177.70389093459</v>
      </c>
      <c r="AJ29" s="69">
        <v>434845.47224848182</v>
      </c>
      <c r="AK29" s="69">
        <v>451513.24060602905</v>
      </c>
      <c r="AL29" s="69">
        <v>468181.00896357629</v>
      </c>
      <c r="AM29" s="69">
        <v>484848.77732112352</v>
      </c>
      <c r="AN29" s="69">
        <v>501516.54567867075</v>
      </c>
      <c r="AO29" s="69">
        <v>502842.61098920478</v>
      </c>
      <c r="AP29" s="69">
        <v>504168.67629973876</v>
      </c>
      <c r="AQ29" s="69">
        <v>505494.74161027279</v>
      </c>
      <c r="AR29" s="69">
        <v>506820.80692080676</v>
      </c>
      <c r="AS29" s="69">
        <v>508146.87223134079</v>
      </c>
      <c r="AT29" s="69">
        <v>505465.24127668049</v>
      </c>
      <c r="AU29" s="69">
        <v>502783.61032202025</v>
      </c>
      <c r="AV29" s="69">
        <v>500101.97936735995</v>
      </c>
      <c r="AW29" s="69">
        <v>497420.34841269971</v>
      </c>
      <c r="AX29" s="69">
        <v>494738.71745803941</v>
      </c>
    </row>
    <row r="30" spans="1:50" s="38" customFormat="1">
      <c r="C30" t="str">
        <f>INDEX('Scenario names'!$C$3:$C$6,2)</f>
        <v>High Hydrogen</v>
      </c>
      <c r="D30" s="38" t="str">
        <f t="shared" si="3"/>
        <v>High HydrogenLarge industrial - gas</v>
      </c>
      <c r="E30" s="78" t="s">
        <v>543</v>
      </c>
      <c r="G30" s="44" t="s">
        <v>679</v>
      </c>
      <c r="I30" s="98"/>
      <c r="K30" s="98"/>
      <c r="M30" s="98"/>
      <c r="O30" s="69">
        <v>1510566.8591719219</v>
      </c>
      <c r="P30" s="69">
        <v>1510566.8591719219</v>
      </c>
      <c r="Q30" s="69">
        <v>1510566.8591719219</v>
      </c>
      <c r="R30" s="69">
        <v>1510566.8591719219</v>
      </c>
      <c r="S30" s="69">
        <v>1510566.8591719219</v>
      </c>
      <c r="T30" s="69">
        <v>1510566.8591719219</v>
      </c>
      <c r="U30" s="69">
        <v>1496025.7145344056</v>
      </c>
      <c r="V30" s="69">
        <v>1481484.5698968896</v>
      </c>
      <c r="W30" s="69">
        <v>1466943.4252593734</v>
      </c>
      <c r="X30" s="69">
        <v>1452402.2806218574</v>
      </c>
      <c r="Y30" s="69">
        <v>1437861.1359843411</v>
      </c>
      <c r="Z30" s="69">
        <v>1330948.392613441</v>
      </c>
      <c r="AA30" s="69">
        <v>1224035.6492425408</v>
      </c>
      <c r="AB30" s="69">
        <v>1117122.9058716404</v>
      </c>
      <c r="AC30" s="69">
        <v>1010210.1625007404</v>
      </c>
      <c r="AD30" s="69">
        <v>903297.41912984021</v>
      </c>
      <c r="AE30" s="69">
        <v>751916.55360667268</v>
      </c>
      <c r="AF30" s="69">
        <v>600535.68808350526</v>
      </c>
      <c r="AG30" s="69">
        <v>449154.82256033778</v>
      </c>
      <c r="AH30" s="69">
        <v>297773.9570371703</v>
      </c>
      <c r="AI30" s="69">
        <v>146393.09151400285</v>
      </c>
      <c r="AJ30" s="69">
        <v>121122.16947639658</v>
      </c>
      <c r="AK30" s="69">
        <v>95851.24743879032</v>
      </c>
      <c r="AL30" s="69">
        <v>70580.325401184062</v>
      </c>
      <c r="AM30" s="69">
        <v>45309.403363577789</v>
      </c>
      <c r="AN30" s="69">
        <v>20038.481325971516</v>
      </c>
      <c r="AO30" s="69">
        <v>16030.785060777212</v>
      </c>
      <c r="AP30" s="69">
        <v>12023.088795582909</v>
      </c>
      <c r="AQ30" s="69">
        <v>8015.3925303886062</v>
      </c>
      <c r="AR30" s="69">
        <v>4007.6962651943031</v>
      </c>
      <c r="AS30" s="69">
        <v>0</v>
      </c>
      <c r="AT30" s="69">
        <v>0</v>
      </c>
      <c r="AU30" s="69">
        <v>0</v>
      </c>
      <c r="AV30" s="69">
        <v>0</v>
      </c>
      <c r="AW30" s="69">
        <v>0</v>
      </c>
      <c r="AX30" s="69">
        <v>0</v>
      </c>
    </row>
    <row r="31" spans="1:50" s="38" customFormat="1">
      <c r="C31" t="str">
        <f>INDEX('Scenario names'!$C$3:$C$6,2)</f>
        <v>High Hydrogen</v>
      </c>
      <c r="D31" s="38" t="str">
        <f t="shared" si="3"/>
        <v>High HydrogenLarge industrial - hydrogen</v>
      </c>
      <c r="E31" s="78" t="s">
        <v>680</v>
      </c>
      <c r="G31" s="44" t="s">
        <v>679</v>
      </c>
      <c r="I31" s="98"/>
      <c r="K31" s="98"/>
      <c r="M31" s="98"/>
      <c r="O31" s="69">
        <v>0</v>
      </c>
      <c r="P31" s="69">
        <v>0</v>
      </c>
      <c r="Q31" s="69">
        <v>0</v>
      </c>
      <c r="R31" s="69">
        <v>0</v>
      </c>
      <c r="S31" s="69">
        <v>0</v>
      </c>
      <c r="T31" s="69">
        <v>0</v>
      </c>
      <c r="U31" s="69">
        <v>0</v>
      </c>
      <c r="V31" s="69">
        <v>0</v>
      </c>
      <c r="W31" s="69">
        <v>0</v>
      </c>
      <c r="X31" s="69">
        <v>0</v>
      </c>
      <c r="Y31" s="69">
        <v>0</v>
      </c>
      <c r="Z31" s="69">
        <v>88228.808156040221</v>
      </c>
      <c r="AA31" s="69">
        <v>176457.61631208044</v>
      </c>
      <c r="AB31" s="69">
        <v>264686.42446812068</v>
      </c>
      <c r="AC31" s="69">
        <v>352915.23262416088</v>
      </c>
      <c r="AD31" s="69">
        <v>441144.04078020109</v>
      </c>
      <c r="AE31" s="69">
        <v>585899.50147405383</v>
      </c>
      <c r="AF31" s="69">
        <v>730654.96216790669</v>
      </c>
      <c r="AG31" s="69">
        <v>875410.42286175955</v>
      </c>
      <c r="AH31" s="69">
        <v>1020165.8835556123</v>
      </c>
      <c r="AI31" s="69">
        <v>1164921.344249465</v>
      </c>
      <c r="AJ31" s="69">
        <v>1166377.646346746</v>
      </c>
      <c r="AK31" s="69">
        <v>1167833.9484440268</v>
      </c>
      <c r="AL31" s="69">
        <v>1169290.2505413077</v>
      </c>
      <c r="AM31" s="69">
        <v>1170746.5526385885</v>
      </c>
      <c r="AN31" s="69">
        <v>1172202.8547358694</v>
      </c>
      <c r="AO31" s="69">
        <v>1167309.806440803</v>
      </c>
      <c r="AP31" s="69">
        <v>1162416.7581457365</v>
      </c>
      <c r="AQ31" s="69">
        <v>1157523.7098506698</v>
      </c>
      <c r="AR31" s="69">
        <v>1152630.6615556034</v>
      </c>
      <c r="AS31" s="69">
        <v>1147737.6132605369</v>
      </c>
      <c r="AT31" s="69">
        <v>1142844.5649654705</v>
      </c>
      <c r="AU31" s="69">
        <v>1137951.516670404</v>
      </c>
      <c r="AV31" s="69">
        <v>1133058.4683753378</v>
      </c>
      <c r="AW31" s="69">
        <v>1128165.4200802713</v>
      </c>
      <c r="AX31" s="69">
        <v>1123272.3717852049</v>
      </c>
    </row>
    <row r="32" spans="1:50" s="38" customFormat="1">
      <c r="C32" t="str">
        <f>INDEX('Scenario names'!$C$3:$C$6,3)</f>
        <v>Accelerated Green</v>
      </c>
      <c r="D32" s="38" t="str">
        <f t="shared" si="3"/>
        <v>Accelerated GreenLarge industrial - electricity</v>
      </c>
      <c r="E32" s="78" t="s">
        <v>678</v>
      </c>
      <c r="G32" s="44" t="s">
        <v>679</v>
      </c>
      <c r="I32" s="98"/>
      <c r="K32" s="98"/>
      <c r="M32" s="98"/>
      <c r="O32" s="69">
        <v>334684.60756312398</v>
      </c>
      <c r="P32" s="69">
        <v>334684.60756312398</v>
      </c>
      <c r="Q32" s="69">
        <v>334684.60756312398</v>
      </c>
      <c r="R32" s="69">
        <v>334684.60756312398</v>
      </c>
      <c r="S32" s="69">
        <v>334684.60756312398</v>
      </c>
      <c r="T32" s="69">
        <v>334684.60756312398</v>
      </c>
      <c r="U32" s="69">
        <v>351259.50756487309</v>
      </c>
      <c r="V32" s="69">
        <v>367834.40756662225</v>
      </c>
      <c r="W32" s="69">
        <v>384409.30756837135</v>
      </c>
      <c r="X32" s="69">
        <v>400984.20757012046</v>
      </c>
      <c r="Y32" s="69">
        <v>417559.10757186962</v>
      </c>
      <c r="Z32" s="69">
        <v>443278.40736664023</v>
      </c>
      <c r="AA32" s="69">
        <v>468997.70716141083</v>
      </c>
      <c r="AB32" s="69">
        <v>494717.00695618137</v>
      </c>
      <c r="AC32" s="69">
        <v>520436.30675095198</v>
      </c>
      <c r="AD32" s="69">
        <v>546155.60654572258</v>
      </c>
      <c r="AE32" s="69">
        <v>569482.65363175876</v>
      </c>
      <c r="AF32" s="69">
        <v>592809.70071779494</v>
      </c>
      <c r="AG32" s="69">
        <v>616136.74780383101</v>
      </c>
      <c r="AH32" s="69">
        <v>639463.79488986719</v>
      </c>
      <c r="AI32" s="69">
        <v>662790.84197590337</v>
      </c>
      <c r="AJ32" s="69">
        <v>674258.51937665464</v>
      </c>
      <c r="AK32" s="69">
        <v>685726.19677740592</v>
      </c>
      <c r="AL32" s="69">
        <v>697193.87417815719</v>
      </c>
      <c r="AM32" s="69">
        <v>708661.55157890846</v>
      </c>
      <c r="AN32" s="69">
        <v>720129.22897965973</v>
      </c>
      <c r="AO32" s="69">
        <v>713639.04338611558</v>
      </c>
      <c r="AP32" s="69">
        <v>707148.8577925713</v>
      </c>
      <c r="AQ32" s="69">
        <v>700658.67219902715</v>
      </c>
      <c r="AR32" s="69">
        <v>694168.48660548287</v>
      </c>
      <c r="AS32" s="69">
        <v>687678.30101193872</v>
      </c>
      <c r="AT32" s="69">
        <v>679260.30111856875</v>
      </c>
      <c r="AU32" s="69">
        <v>670842.30122519878</v>
      </c>
      <c r="AV32" s="69">
        <v>662424.30133182881</v>
      </c>
      <c r="AW32" s="69">
        <v>654006.30143845885</v>
      </c>
      <c r="AX32" s="69">
        <v>645588.30154508888</v>
      </c>
    </row>
    <row r="33" spans="1:50" s="38" customFormat="1">
      <c r="C33" t="str">
        <f>INDEX('Scenario names'!$C$3:$C$6,3)</f>
        <v>Accelerated Green</v>
      </c>
      <c r="D33" s="38" t="str">
        <f t="shared" si="3"/>
        <v>Accelerated GreenLarge industrial - gas</v>
      </c>
      <c r="E33" s="78" t="s">
        <v>543</v>
      </c>
      <c r="G33" s="44" t="s">
        <v>679</v>
      </c>
      <c r="I33" s="98"/>
      <c r="K33" s="98"/>
      <c r="M33" s="98"/>
      <c r="O33" s="173">
        <v>1510566.8591719219</v>
      </c>
      <c r="P33" s="173">
        <v>1510566.8591719219</v>
      </c>
      <c r="Q33" s="173">
        <v>1510566.8591719219</v>
      </c>
      <c r="R33" s="173">
        <v>1510566.8591719219</v>
      </c>
      <c r="S33" s="173">
        <v>1510566.8591719219</v>
      </c>
      <c r="T33" s="173">
        <v>1510566.8591719219</v>
      </c>
      <c r="U33" s="173">
        <v>1477508.4965124058</v>
      </c>
      <c r="V33" s="173">
        <v>1444450.1338528898</v>
      </c>
      <c r="W33" s="173">
        <v>1411391.7711933737</v>
      </c>
      <c r="X33" s="173">
        <v>1378333.4085338577</v>
      </c>
      <c r="Y33" s="173">
        <v>1345275.0458743416</v>
      </c>
      <c r="Z33" s="173">
        <v>1245278.7870803804</v>
      </c>
      <c r="AA33" s="173">
        <v>1145282.5282864191</v>
      </c>
      <c r="AB33" s="173">
        <v>1045286.2694924579</v>
      </c>
      <c r="AC33" s="173">
        <v>945290.01069849671</v>
      </c>
      <c r="AD33" s="173">
        <v>845293.75190453546</v>
      </c>
      <c r="AE33" s="173">
        <v>733558.18577817769</v>
      </c>
      <c r="AF33" s="173">
        <v>621822.61965181981</v>
      </c>
      <c r="AG33" s="173">
        <v>510087.05352546205</v>
      </c>
      <c r="AH33" s="173">
        <v>398351.48739910423</v>
      </c>
      <c r="AI33" s="173">
        <v>286615.9212727464</v>
      </c>
      <c r="AJ33" s="173">
        <v>234112.27276776155</v>
      </c>
      <c r="AK33" s="173">
        <v>181608.62426277666</v>
      </c>
      <c r="AL33" s="173">
        <v>129104.97575779178</v>
      </c>
      <c r="AM33" s="173">
        <v>76601.327252806921</v>
      </c>
      <c r="AN33" s="173">
        <v>24097.678747822079</v>
      </c>
      <c r="AO33" s="173">
        <v>19278.142998257663</v>
      </c>
      <c r="AP33" s="173">
        <v>14458.607248693248</v>
      </c>
      <c r="AQ33" s="173">
        <v>9639.0714991288332</v>
      </c>
      <c r="AR33" s="173">
        <v>4819.5357495644166</v>
      </c>
      <c r="AS33" s="173">
        <v>0</v>
      </c>
      <c r="AT33" s="173">
        <v>0</v>
      </c>
      <c r="AU33" s="173">
        <v>0</v>
      </c>
      <c r="AV33" s="173">
        <v>0</v>
      </c>
      <c r="AW33" s="173">
        <v>0</v>
      </c>
      <c r="AX33" s="173">
        <v>0</v>
      </c>
    </row>
    <row r="34" spans="1:50" s="38" customFormat="1">
      <c r="C34" t="str">
        <f>INDEX('Scenario names'!$C$3:$C$6,3)</f>
        <v>Accelerated Green</v>
      </c>
      <c r="D34" s="38" t="str">
        <f t="shared" si="3"/>
        <v>Accelerated GreenLarge industrial - hydrogen</v>
      </c>
      <c r="E34" s="78" t="s">
        <v>680</v>
      </c>
      <c r="G34" s="44" t="s">
        <v>679</v>
      </c>
      <c r="I34" s="98"/>
      <c r="K34" s="98"/>
      <c r="M34" s="98"/>
      <c r="O34" s="173">
        <v>0</v>
      </c>
      <c r="P34" s="173">
        <v>0</v>
      </c>
      <c r="Q34" s="173">
        <v>0</v>
      </c>
      <c r="R34" s="173">
        <v>0</v>
      </c>
      <c r="S34" s="173">
        <v>0</v>
      </c>
      <c r="T34" s="173">
        <v>0</v>
      </c>
      <c r="U34" s="173">
        <v>0</v>
      </c>
      <c r="V34" s="173">
        <v>0</v>
      </c>
      <c r="W34" s="173">
        <v>0</v>
      </c>
      <c r="X34" s="173">
        <v>0</v>
      </c>
      <c r="Y34" s="173">
        <v>0</v>
      </c>
      <c r="Z34" s="173">
        <v>57073.888776651016</v>
      </c>
      <c r="AA34" s="173">
        <v>114147.77755330203</v>
      </c>
      <c r="AB34" s="173">
        <v>171221.66632995306</v>
      </c>
      <c r="AC34" s="173">
        <v>228295.55510660406</v>
      </c>
      <c r="AD34" s="173">
        <v>285369.44388325507</v>
      </c>
      <c r="AE34" s="173">
        <v>356934.69648342341</v>
      </c>
      <c r="AF34" s="173">
        <v>428499.94908359181</v>
      </c>
      <c r="AG34" s="173">
        <v>500065.20168376015</v>
      </c>
      <c r="AH34" s="173">
        <v>571630.4542839285</v>
      </c>
      <c r="AI34" s="173">
        <v>643195.70688409684</v>
      </c>
      <c r="AJ34" s="173">
        <v>667388.41154817713</v>
      </c>
      <c r="AK34" s="173">
        <v>691581.11621225753</v>
      </c>
      <c r="AL34" s="173">
        <v>715773.82087633782</v>
      </c>
      <c r="AM34" s="173">
        <v>739966.52554041822</v>
      </c>
      <c r="AN34" s="173">
        <v>764159.23020449851</v>
      </c>
      <c r="AO34" s="173">
        <v>758625.68510745384</v>
      </c>
      <c r="AP34" s="173">
        <v>753092.14001040917</v>
      </c>
      <c r="AQ34" s="173">
        <v>747558.5949133645</v>
      </c>
      <c r="AR34" s="173">
        <v>742025.04981631984</v>
      </c>
      <c r="AS34" s="173">
        <v>736491.50471927517</v>
      </c>
      <c r="AT34" s="173">
        <v>728066.2381724919</v>
      </c>
      <c r="AU34" s="173">
        <v>719640.97162570863</v>
      </c>
      <c r="AV34" s="173">
        <v>711215.70507892524</v>
      </c>
      <c r="AW34" s="173">
        <v>702790.43853214197</v>
      </c>
      <c r="AX34" s="173">
        <v>694365.1719853587</v>
      </c>
    </row>
    <row r="35" spans="1:50" s="38" customFormat="1">
      <c r="C35" t="str">
        <f>INDEX('Scenario names'!$C$3:$C$6,4)</f>
        <v>No Constraints</v>
      </c>
      <c r="D35" s="38" t="str">
        <f t="shared" si="3"/>
        <v>No ConstraintsLarge industrial - electricity</v>
      </c>
      <c r="E35" s="78" t="s">
        <v>678</v>
      </c>
      <c r="G35" s="44" t="s">
        <v>679</v>
      </c>
      <c r="I35" s="98"/>
      <c r="K35" s="98"/>
      <c r="M35" s="98"/>
      <c r="O35" s="206">
        <v>334684.60756312398</v>
      </c>
      <c r="P35" s="206">
        <v>334684.60756312398</v>
      </c>
      <c r="Q35" s="206">
        <v>334684.60756312398</v>
      </c>
      <c r="R35" s="206">
        <v>334684.60756312398</v>
      </c>
      <c r="S35" s="206">
        <v>334684.60756312398</v>
      </c>
      <c r="T35" s="206">
        <v>334684.60756312398</v>
      </c>
      <c r="U35" s="206">
        <v>351259.50756487309</v>
      </c>
      <c r="V35" s="206">
        <v>367834.40756662225</v>
      </c>
      <c r="W35" s="206">
        <v>384409.30756837135</v>
      </c>
      <c r="X35" s="206">
        <v>400984.20757012046</v>
      </c>
      <c r="Y35" s="206">
        <v>417559.10757186962</v>
      </c>
      <c r="Z35" s="206">
        <v>443278.40736664023</v>
      </c>
      <c r="AA35" s="206">
        <v>468997.70716141083</v>
      </c>
      <c r="AB35" s="206">
        <v>494717.00695618137</v>
      </c>
      <c r="AC35" s="206">
        <v>520436.30675095198</v>
      </c>
      <c r="AD35" s="206">
        <v>546155.60654572258</v>
      </c>
      <c r="AE35" s="206">
        <v>569482.65363175876</v>
      </c>
      <c r="AF35" s="206">
        <v>592809.70071779494</v>
      </c>
      <c r="AG35" s="206">
        <v>616136.74780383101</v>
      </c>
      <c r="AH35" s="206">
        <v>639463.79488986719</v>
      </c>
      <c r="AI35" s="206">
        <v>662790.84197590337</v>
      </c>
      <c r="AJ35" s="206">
        <v>674258.51937665464</v>
      </c>
      <c r="AK35" s="206">
        <v>685726.19677740592</v>
      </c>
      <c r="AL35" s="206">
        <v>697193.87417815719</v>
      </c>
      <c r="AM35" s="206">
        <v>708661.55157890846</v>
      </c>
      <c r="AN35" s="206">
        <v>720129.22897965973</v>
      </c>
      <c r="AO35" s="206">
        <v>713639.04338611558</v>
      </c>
      <c r="AP35" s="206">
        <v>707148.8577925713</v>
      </c>
      <c r="AQ35" s="206">
        <v>700658.67219902715</v>
      </c>
      <c r="AR35" s="206">
        <v>694168.48660548287</v>
      </c>
      <c r="AS35" s="206">
        <v>687678.30101193872</v>
      </c>
      <c r="AT35" s="206">
        <v>679260.30111856875</v>
      </c>
      <c r="AU35" s="206">
        <v>670842.30122519878</v>
      </c>
      <c r="AV35" s="206">
        <v>662424.30133182881</v>
      </c>
      <c r="AW35" s="206">
        <v>654006.30143845885</v>
      </c>
      <c r="AX35" s="206">
        <v>645588.30154508888</v>
      </c>
    </row>
    <row r="36" spans="1:50" s="38" customFormat="1">
      <c r="C36" t="str">
        <f>INDEX('Scenario names'!$C$3:$C$6,4)</f>
        <v>No Constraints</v>
      </c>
      <c r="D36" s="38" t="str">
        <f t="shared" si="3"/>
        <v>No ConstraintsLarge industrial - gas</v>
      </c>
      <c r="E36" s="78" t="s">
        <v>543</v>
      </c>
      <c r="G36" s="44" t="s">
        <v>679</v>
      </c>
      <c r="I36" s="98"/>
      <c r="K36" s="98"/>
      <c r="M36" s="98"/>
      <c r="O36" s="206">
        <v>1510587.8702366378</v>
      </c>
      <c r="P36" s="206">
        <v>1510587.8702366378</v>
      </c>
      <c r="Q36" s="206">
        <v>1510587.8702366378</v>
      </c>
      <c r="R36" s="206">
        <v>1510587.8702366378</v>
      </c>
      <c r="S36" s="206">
        <v>1510587.8702366378</v>
      </c>
      <c r="T36" s="206">
        <v>1510587.8702366378</v>
      </c>
      <c r="U36" s="206">
        <v>1468775.1135784681</v>
      </c>
      <c r="V36" s="206">
        <v>1426962.3569202984</v>
      </c>
      <c r="W36" s="206">
        <v>1385149.6002621285</v>
      </c>
      <c r="X36" s="206">
        <v>1343336.8436039588</v>
      </c>
      <c r="Y36" s="206">
        <v>1301524.0869457892</v>
      </c>
      <c r="Z36" s="206">
        <v>1174603.5289115203</v>
      </c>
      <c r="AA36" s="206">
        <v>1047682.9708772514</v>
      </c>
      <c r="AB36" s="206">
        <v>920762.41284298257</v>
      </c>
      <c r="AC36" s="206">
        <v>793841.85480871378</v>
      </c>
      <c r="AD36" s="206">
        <v>666921.29677444487</v>
      </c>
      <c r="AE36" s="206">
        <v>560500.77592937497</v>
      </c>
      <c r="AF36" s="206">
        <v>454080.25508430513</v>
      </c>
      <c r="AG36" s="206">
        <v>347659.73423923529</v>
      </c>
      <c r="AH36" s="206">
        <v>241239.21339416539</v>
      </c>
      <c r="AI36" s="206">
        <v>134818.69254909546</v>
      </c>
      <c r="AJ36" s="206">
        <v>107854.95403927637</v>
      </c>
      <c r="AK36" s="206">
        <v>80891.215529457273</v>
      </c>
      <c r="AL36" s="206">
        <v>53927.477019638172</v>
      </c>
      <c r="AM36" s="206">
        <v>26963.738509819086</v>
      </c>
      <c r="AN36" s="206">
        <v>0</v>
      </c>
      <c r="AO36" s="206">
        <v>0</v>
      </c>
      <c r="AP36" s="206">
        <v>0</v>
      </c>
      <c r="AQ36" s="206">
        <v>0</v>
      </c>
      <c r="AR36" s="206">
        <v>0</v>
      </c>
      <c r="AS36" s="206">
        <v>0</v>
      </c>
      <c r="AT36" s="206">
        <v>0</v>
      </c>
      <c r="AU36" s="206">
        <v>0</v>
      </c>
      <c r="AV36" s="206">
        <v>0</v>
      </c>
      <c r="AW36" s="206">
        <v>0</v>
      </c>
      <c r="AX36" s="206">
        <v>0</v>
      </c>
    </row>
    <row r="37" spans="1:50" s="38" customFormat="1">
      <c r="C37" t="str">
        <f>INDEX('Scenario names'!$C$3:$C$6,4)</f>
        <v>No Constraints</v>
      </c>
      <c r="D37" s="38" t="str">
        <f t="shared" si="3"/>
        <v>No ConstraintsLarge industrial - hydrogen</v>
      </c>
      <c r="E37" s="78" t="s">
        <v>680</v>
      </c>
      <c r="G37" s="44" t="s">
        <v>679</v>
      </c>
      <c r="I37" s="98"/>
      <c r="K37" s="98"/>
      <c r="M37" s="98"/>
      <c r="O37" s="206">
        <v>0</v>
      </c>
      <c r="P37" s="206">
        <v>0</v>
      </c>
      <c r="Q37" s="206">
        <v>0</v>
      </c>
      <c r="R37" s="206">
        <v>0</v>
      </c>
      <c r="S37" s="206">
        <v>0</v>
      </c>
      <c r="T37" s="206">
        <v>0</v>
      </c>
      <c r="U37" s="206">
        <v>0</v>
      </c>
      <c r="V37" s="206">
        <v>0</v>
      </c>
      <c r="W37" s="206">
        <v>0</v>
      </c>
      <c r="X37" s="206">
        <v>0</v>
      </c>
      <c r="Y37" s="206">
        <v>0</v>
      </c>
      <c r="Z37" s="206">
        <v>52922.720594777216</v>
      </c>
      <c r="AA37" s="206">
        <v>105845.44118955443</v>
      </c>
      <c r="AB37" s="206">
        <v>158768.16178433166</v>
      </c>
      <c r="AC37" s="206">
        <v>211690.88237910887</v>
      </c>
      <c r="AD37" s="206">
        <v>264613.60297388607</v>
      </c>
      <c r="AE37" s="206">
        <v>330306.8395718633</v>
      </c>
      <c r="AF37" s="206">
        <v>396000.07616984047</v>
      </c>
      <c r="AG37" s="206">
        <v>461693.31276781764</v>
      </c>
      <c r="AH37" s="206">
        <v>527386.54936579487</v>
      </c>
      <c r="AI37" s="206">
        <v>593079.7859637721</v>
      </c>
      <c r="AJ37" s="206">
        <v>592189.53245884366</v>
      </c>
      <c r="AK37" s="206">
        <v>591299.27895391523</v>
      </c>
      <c r="AL37" s="206">
        <v>590409.02544898679</v>
      </c>
      <c r="AM37" s="206">
        <v>589518.77194405836</v>
      </c>
      <c r="AN37" s="206">
        <v>588628.51843912993</v>
      </c>
      <c r="AO37" s="206">
        <v>579266.81382604362</v>
      </c>
      <c r="AP37" s="206">
        <v>569905.10921295732</v>
      </c>
      <c r="AQ37" s="206">
        <v>560543.40459987114</v>
      </c>
      <c r="AR37" s="206">
        <v>551181.69998678484</v>
      </c>
      <c r="AS37" s="206">
        <v>541819.99537369853</v>
      </c>
      <c r="AT37" s="206">
        <v>532458.29076061223</v>
      </c>
      <c r="AU37" s="206">
        <v>523096.58614752593</v>
      </c>
      <c r="AV37" s="206">
        <v>513734.88153443963</v>
      </c>
      <c r="AW37" s="206">
        <v>504373.17692135344</v>
      </c>
      <c r="AX37" s="206">
        <v>495011.47230826714</v>
      </c>
    </row>
    <row r="38" spans="1:50" s="38" customFormat="1">
      <c r="C38"/>
      <c r="E38" s="78"/>
      <c r="Q38" s="206"/>
      <c r="R38" s="206"/>
      <c r="S38" s="206"/>
      <c r="T38" s="206"/>
      <c r="U38" s="206"/>
      <c r="V38" s="206"/>
      <c r="W38" s="206"/>
      <c r="X38" s="206"/>
      <c r="Y38" s="206"/>
      <c r="Z38" s="206"/>
      <c r="AA38" s="206"/>
      <c r="AB38" s="206"/>
      <c r="AC38" s="206"/>
      <c r="AD38" s="206"/>
      <c r="AE38" s="206"/>
      <c r="AF38" s="206"/>
      <c r="AG38" s="206"/>
      <c r="AH38" s="206"/>
      <c r="AI38" s="206"/>
      <c r="AJ38" s="206"/>
      <c r="AK38" s="206"/>
      <c r="AL38" s="206"/>
      <c r="AM38" s="206"/>
      <c r="AN38" s="206"/>
      <c r="AO38" s="206"/>
      <c r="AP38" s="206"/>
      <c r="AQ38" s="206"/>
      <c r="AR38" s="206"/>
      <c r="AS38" s="206"/>
      <c r="AT38" s="206"/>
      <c r="AU38" s="206"/>
      <c r="AV38" s="206"/>
      <c r="AW38" s="206"/>
      <c r="AX38" s="206"/>
    </row>
    <row r="39" spans="1:50" s="38" customFormat="1" ht="18">
      <c r="C39" t="str">
        <f>INDEX('Scenario names'!$C$3:$C$6,1)</f>
        <v>High Electrification</v>
      </c>
      <c r="D39" s="38" t="str">
        <f t="shared" si="3"/>
        <v>High ElectrificationIPPU</v>
      </c>
      <c r="E39" s="78" t="s">
        <v>685</v>
      </c>
      <c r="G39" s="98" t="s">
        <v>690</v>
      </c>
      <c r="I39" s="98"/>
      <c r="K39" s="98"/>
      <c r="M39" s="98"/>
      <c r="O39" s="206">
        <v>2168284.8549129139</v>
      </c>
      <c r="P39" s="206">
        <v>1825695.847836674</v>
      </c>
      <c r="Q39" s="206">
        <v>1720519.7663627258</v>
      </c>
      <c r="R39" s="206">
        <v>1615343.6848887773</v>
      </c>
      <c r="S39" s="206">
        <v>1510167.6034148289</v>
      </c>
      <c r="T39" s="206">
        <v>1404991.5219408807</v>
      </c>
      <c r="U39" s="206">
        <v>1299815.4404669323</v>
      </c>
      <c r="V39" s="206">
        <v>1194639.3589929848</v>
      </c>
      <c r="W39" s="206">
        <v>1089463.2775190361</v>
      </c>
      <c r="X39" s="206">
        <v>984287.19604508777</v>
      </c>
      <c r="Y39" s="206">
        <v>879111.11457113933</v>
      </c>
      <c r="Z39" s="206">
        <v>773935.03309719113</v>
      </c>
      <c r="AA39" s="206">
        <v>668758.95162324281</v>
      </c>
      <c r="AB39" s="206">
        <v>563582.87014929485</v>
      </c>
      <c r="AC39" s="206">
        <v>563582.87014929485</v>
      </c>
      <c r="AD39" s="206">
        <v>563582.87014929485</v>
      </c>
      <c r="AE39" s="206">
        <v>563582.87014929485</v>
      </c>
      <c r="AF39" s="206">
        <v>563582.87014929485</v>
      </c>
      <c r="AG39" s="206">
        <v>563582.87014929485</v>
      </c>
      <c r="AH39" s="206">
        <v>563582.87014929485</v>
      </c>
      <c r="AI39" s="206">
        <v>563582.87014929485</v>
      </c>
      <c r="AJ39" s="206">
        <v>563582.87014929485</v>
      </c>
      <c r="AK39" s="206">
        <v>563582.87014929485</v>
      </c>
      <c r="AL39" s="206">
        <v>563582.87014929485</v>
      </c>
      <c r="AM39" s="206">
        <v>563582.87014929485</v>
      </c>
      <c r="AN39" s="206">
        <v>563582.87014929485</v>
      </c>
      <c r="AO39" s="206">
        <v>563582.87014929485</v>
      </c>
      <c r="AP39" s="206">
        <v>563582.87014929485</v>
      </c>
      <c r="AQ39" s="206">
        <v>563582.87014929485</v>
      </c>
      <c r="AR39" s="206">
        <v>563582.87014929485</v>
      </c>
      <c r="AS39" s="206">
        <v>563582.87014929485</v>
      </c>
      <c r="AT39" s="206">
        <v>563582.87014929485</v>
      </c>
      <c r="AU39" s="206">
        <v>563582.87014929485</v>
      </c>
      <c r="AV39" s="206">
        <v>563582.87014929485</v>
      </c>
      <c r="AW39" s="206">
        <v>563582.87014929485</v>
      </c>
      <c r="AX39" s="206">
        <v>563582.87014929485</v>
      </c>
    </row>
    <row r="40" spans="1:50" s="38" customFormat="1" ht="18">
      <c r="C40" t="str">
        <f>INDEX('Scenario names'!$C$3:$C$6,2)</f>
        <v>High Hydrogen</v>
      </c>
      <c r="D40" s="38" t="str">
        <f t="shared" si="3"/>
        <v>High HydrogenIPPU</v>
      </c>
      <c r="E40" s="78" t="s">
        <v>685</v>
      </c>
      <c r="G40" s="98" t="s">
        <v>690</v>
      </c>
      <c r="I40" s="98"/>
      <c r="K40" s="98"/>
      <c r="M40" s="98"/>
      <c r="O40" s="206">
        <v>2168284.8549129139</v>
      </c>
      <c r="P40" s="206">
        <v>1825695.847836674</v>
      </c>
      <c r="Q40" s="206">
        <v>1720519.7663627258</v>
      </c>
      <c r="R40" s="206">
        <v>1615343.6848887773</v>
      </c>
      <c r="S40" s="206">
        <v>1510167.6034148289</v>
      </c>
      <c r="T40" s="206">
        <v>1404991.5219408807</v>
      </c>
      <c r="U40" s="206">
        <v>1299815.4404669323</v>
      </c>
      <c r="V40" s="206">
        <v>1194639.3589929848</v>
      </c>
      <c r="W40" s="206">
        <v>1089463.2775190361</v>
      </c>
      <c r="X40" s="206">
        <v>984287.19604508777</v>
      </c>
      <c r="Y40" s="206">
        <v>879111.11457113933</v>
      </c>
      <c r="Z40" s="206">
        <v>773935.03309719113</v>
      </c>
      <c r="AA40" s="206">
        <v>668758.95162324281</v>
      </c>
      <c r="AB40" s="206">
        <v>563582.87014929485</v>
      </c>
      <c r="AC40" s="206">
        <v>563582.87014929485</v>
      </c>
      <c r="AD40" s="206">
        <v>563582.87014929485</v>
      </c>
      <c r="AE40" s="206">
        <v>563582.87014929485</v>
      </c>
      <c r="AF40" s="206">
        <v>563582.87014929485</v>
      </c>
      <c r="AG40" s="206">
        <v>563582.87014929485</v>
      </c>
      <c r="AH40" s="206">
        <v>563582.87014929485</v>
      </c>
      <c r="AI40" s="206">
        <v>563582.87014929485</v>
      </c>
      <c r="AJ40" s="206">
        <v>563582.87014929485</v>
      </c>
      <c r="AK40" s="206">
        <v>563582.87014929485</v>
      </c>
      <c r="AL40" s="206">
        <v>563582.87014929485</v>
      </c>
      <c r="AM40" s="206">
        <v>563582.87014929485</v>
      </c>
      <c r="AN40" s="206">
        <v>563582.87014929485</v>
      </c>
      <c r="AO40" s="206">
        <v>563582.87014929485</v>
      </c>
      <c r="AP40" s="206">
        <v>563582.87014929485</v>
      </c>
      <c r="AQ40" s="206">
        <v>563582.87014929485</v>
      </c>
      <c r="AR40" s="206">
        <v>563582.87014929485</v>
      </c>
      <c r="AS40" s="206">
        <v>563582.87014929485</v>
      </c>
      <c r="AT40" s="206">
        <v>563582.87014929485</v>
      </c>
      <c r="AU40" s="206">
        <v>563582.87014929485</v>
      </c>
      <c r="AV40" s="206">
        <v>563582.87014929485</v>
      </c>
      <c r="AW40" s="206">
        <v>563582.87014929485</v>
      </c>
      <c r="AX40" s="206">
        <v>563582.87014929485</v>
      </c>
    </row>
    <row r="41" spans="1:50" s="38" customFormat="1" ht="18">
      <c r="C41" t="str">
        <f>INDEX('Scenario names'!$C$3:$C$6,3)</f>
        <v>Accelerated Green</v>
      </c>
      <c r="D41" s="38" t="str">
        <f t="shared" si="3"/>
        <v>Accelerated GreenIPPU</v>
      </c>
      <c r="E41" s="78" t="s">
        <v>685</v>
      </c>
      <c r="G41" s="98" t="s">
        <v>690</v>
      </c>
      <c r="I41" s="98"/>
      <c r="K41" s="98"/>
      <c r="M41" s="98"/>
      <c r="O41" s="206">
        <v>2168284.8549129139</v>
      </c>
      <c r="P41" s="206">
        <v>1825695.847836674</v>
      </c>
      <c r="Q41" s="206">
        <v>1687595.6699529034</v>
      </c>
      <c r="R41" s="206">
        <v>1555585.7214906649</v>
      </c>
      <c r="S41" s="206">
        <v>1423575.7730284261</v>
      </c>
      <c r="T41" s="206">
        <v>1291565.8245661873</v>
      </c>
      <c r="U41" s="206">
        <v>1159555.8761039483</v>
      </c>
      <c r="V41" s="206">
        <v>1027545.9276417096</v>
      </c>
      <c r="W41" s="206">
        <v>895535.9791794708</v>
      </c>
      <c r="X41" s="206">
        <v>763526.03071723215</v>
      </c>
      <c r="Y41" s="206">
        <v>631516.08225499326</v>
      </c>
      <c r="Z41" s="206">
        <v>499506.1337927545</v>
      </c>
      <c r="AA41" s="206">
        <v>367496.18533051584</v>
      </c>
      <c r="AB41" s="206">
        <v>235486.23686827699</v>
      </c>
      <c r="AC41" s="206">
        <v>235486.23686827699</v>
      </c>
      <c r="AD41" s="206">
        <v>235486.23686827699</v>
      </c>
      <c r="AE41" s="206">
        <v>235486.23686827699</v>
      </c>
      <c r="AF41" s="206">
        <v>235486.23686827699</v>
      </c>
      <c r="AG41" s="206">
        <v>235486.23686827699</v>
      </c>
      <c r="AH41" s="206">
        <v>235486.23686827699</v>
      </c>
      <c r="AI41" s="206">
        <v>235486.23686827699</v>
      </c>
      <c r="AJ41" s="206">
        <v>235486.23686827699</v>
      </c>
      <c r="AK41" s="206">
        <v>235486.23686827699</v>
      </c>
      <c r="AL41" s="206">
        <v>235486.23686827699</v>
      </c>
      <c r="AM41" s="206">
        <v>235486.23686827699</v>
      </c>
      <c r="AN41" s="206">
        <v>235486.23686827699</v>
      </c>
      <c r="AO41" s="206">
        <v>235486.23686827699</v>
      </c>
      <c r="AP41" s="206">
        <v>235486.23686827699</v>
      </c>
      <c r="AQ41" s="206">
        <v>235486.23686827699</v>
      </c>
      <c r="AR41" s="206">
        <v>235486.23686827699</v>
      </c>
      <c r="AS41" s="206">
        <v>235486.23686827699</v>
      </c>
      <c r="AT41" s="206">
        <v>235486.23686827699</v>
      </c>
      <c r="AU41" s="206">
        <v>235486.23686827699</v>
      </c>
      <c r="AV41" s="206">
        <v>235486.23686827699</v>
      </c>
      <c r="AW41" s="206">
        <v>235486.23686827699</v>
      </c>
      <c r="AX41" s="206">
        <v>235486.23686827699</v>
      </c>
    </row>
    <row r="42" spans="1:50" s="38" customFormat="1" ht="18">
      <c r="C42" t="str">
        <f>INDEX('Scenario names'!$C$3:$C$6,4)</f>
        <v>No Constraints</v>
      </c>
      <c r="D42" s="38" t="str">
        <f t="shared" si="3"/>
        <v>No ConstraintsIPPU</v>
      </c>
      <c r="E42" s="78" t="s">
        <v>685</v>
      </c>
      <c r="G42" s="98" t="s">
        <v>690</v>
      </c>
      <c r="I42" s="98"/>
      <c r="K42" s="98"/>
      <c r="M42" s="98"/>
      <c r="O42" s="206">
        <v>2168284.8549129139</v>
      </c>
      <c r="P42" s="206">
        <v>1825695.847836674</v>
      </c>
      <c r="Q42" s="206">
        <v>1687595.6699529034</v>
      </c>
      <c r="R42" s="206">
        <v>1555585.7214906649</v>
      </c>
      <c r="S42" s="206">
        <v>1423575.7730284261</v>
      </c>
      <c r="T42" s="206">
        <v>1291565.8245661873</v>
      </c>
      <c r="U42" s="206">
        <v>1159555.8761039483</v>
      </c>
      <c r="V42" s="206">
        <v>1027545.9276417096</v>
      </c>
      <c r="W42" s="206">
        <v>895535.9791794708</v>
      </c>
      <c r="X42" s="206">
        <v>763526.03071723215</v>
      </c>
      <c r="Y42" s="206">
        <v>631516.08225499326</v>
      </c>
      <c r="Z42" s="206">
        <v>499506.1337927545</v>
      </c>
      <c r="AA42" s="206">
        <v>367496.18533051584</v>
      </c>
      <c r="AB42" s="206">
        <v>235486.23686827699</v>
      </c>
      <c r="AC42" s="206">
        <v>235486.23686827699</v>
      </c>
      <c r="AD42" s="206">
        <v>235486.23686827699</v>
      </c>
      <c r="AE42" s="206">
        <v>235486.23686827699</v>
      </c>
      <c r="AF42" s="206">
        <v>235486.23686827699</v>
      </c>
      <c r="AG42" s="206">
        <v>235486.23686827699</v>
      </c>
      <c r="AH42" s="206">
        <v>235486.23686827699</v>
      </c>
      <c r="AI42" s="206">
        <v>235486.23686827699</v>
      </c>
      <c r="AJ42" s="206">
        <v>235486.23686827699</v>
      </c>
      <c r="AK42" s="206">
        <v>235486.23686827699</v>
      </c>
      <c r="AL42" s="206">
        <v>235486.23686827699</v>
      </c>
      <c r="AM42" s="206">
        <v>235486.23686827699</v>
      </c>
      <c r="AN42" s="206">
        <v>235486.23686827699</v>
      </c>
      <c r="AO42" s="206">
        <v>235486.23686827699</v>
      </c>
      <c r="AP42" s="206">
        <v>235486.23686827699</v>
      </c>
      <c r="AQ42" s="206">
        <v>235486.23686827699</v>
      </c>
      <c r="AR42" s="206">
        <v>235486.23686827699</v>
      </c>
      <c r="AS42" s="206">
        <v>235486.23686827699</v>
      </c>
      <c r="AT42" s="206">
        <v>235486.23686827699</v>
      </c>
      <c r="AU42" s="206">
        <v>235486.23686827699</v>
      </c>
      <c r="AV42" s="206">
        <v>235486.23686827699</v>
      </c>
      <c r="AW42" s="206">
        <v>235486.23686827699</v>
      </c>
      <c r="AX42" s="206">
        <v>235486.23686827699</v>
      </c>
    </row>
    <row r="43" spans="1:50" s="92" customFormat="1">
      <c r="C43" s="179"/>
      <c r="E43" s="165"/>
    </row>
    <row r="44" spans="1:50" s="156" customFormat="1">
      <c r="A44" s="244"/>
      <c r="B44" s="244"/>
      <c r="C44" s="243" t="s">
        <v>691</v>
      </c>
      <c r="D44" s="244"/>
      <c r="E44" s="244"/>
      <c r="F44" s="244"/>
      <c r="G44" s="244"/>
      <c r="H44" s="244"/>
      <c r="I44" s="244"/>
      <c r="J44" s="244"/>
      <c r="K44" s="244"/>
      <c r="L44" s="244"/>
      <c r="M44" s="244"/>
      <c r="N44" s="244"/>
      <c r="O44" s="245"/>
      <c r="P44" s="245"/>
      <c r="Q44" s="245"/>
      <c r="R44" s="245"/>
      <c r="S44" s="245"/>
      <c r="T44" s="245"/>
      <c r="U44" s="245"/>
      <c r="V44" s="245"/>
      <c r="W44" s="245"/>
      <c r="X44" s="245"/>
      <c r="Y44" s="245"/>
      <c r="Z44" s="245"/>
      <c r="AA44" s="245"/>
      <c r="AB44" s="245"/>
      <c r="AC44" s="245"/>
      <c r="AD44" s="245"/>
      <c r="AE44" s="245"/>
      <c r="AF44" s="245"/>
      <c r="AG44" s="245"/>
      <c r="AH44" s="245"/>
      <c r="AI44" s="245"/>
      <c r="AJ44" s="245"/>
      <c r="AK44" s="245"/>
      <c r="AL44" s="245"/>
      <c r="AM44" s="245"/>
      <c r="AN44" s="245"/>
      <c r="AO44" s="245"/>
      <c r="AP44" s="245"/>
      <c r="AQ44" s="245"/>
      <c r="AR44" s="245"/>
      <c r="AS44" s="245"/>
      <c r="AT44" s="245"/>
      <c r="AU44" s="245"/>
      <c r="AV44" s="245"/>
      <c r="AW44" s="245"/>
      <c r="AX44" s="245"/>
    </row>
    <row r="45" spans="1:50">
      <c r="C45" s="35"/>
      <c r="E45" s="78"/>
      <c r="O45" s="82">
        <v>2015</v>
      </c>
      <c r="P45" s="82">
        <v>2016</v>
      </c>
      <c r="Q45" s="82">
        <v>2017</v>
      </c>
      <c r="R45" s="82">
        <v>2018</v>
      </c>
      <c r="S45" s="82">
        <v>2019</v>
      </c>
      <c r="T45" s="82">
        <v>2020</v>
      </c>
      <c r="U45" s="82">
        <v>2021</v>
      </c>
      <c r="V45" s="82">
        <v>2022</v>
      </c>
      <c r="W45" s="82">
        <v>2023</v>
      </c>
      <c r="X45" s="82">
        <v>2024</v>
      </c>
      <c r="Y45" s="82">
        <v>2025</v>
      </c>
      <c r="Z45" s="82">
        <v>2026</v>
      </c>
      <c r="AA45" s="82">
        <v>2027</v>
      </c>
      <c r="AB45" s="82">
        <v>2028</v>
      </c>
      <c r="AC45" s="82">
        <v>2029</v>
      </c>
      <c r="AD45" s="82">
        <v>2030</v>
      </c>
      <c r="AE45" s="82">
        <v>2031</v>
      </c>
      <c r="AF45" s="82">
        <v>2032</v>
      </c>
      <c r="AG45" s="82">
        <v>2033</v>
      </c>
      <c r="AH45" s="82">
        <v>2034</v>
      </c>
      <c r="AI45" s="82">
        <v>2035</v>
      </c>
      <c r="AJ45" s="82">
        <v>2036</v>
      </c>
      <c r="AK45" s="82">
        <v>2037</v>
      </c>
      <c r="AL45" s="82">
        <v>2038</v>
      </c>
      <c r="AM45" s="82">
        <v>2039</v>
      </c>
      <c r="AN45" s="82">
        <v>2040</v>
      </c>
      <c r="AO45" s="82">
        <v>2041</v>
      </c>
      <c r="AP45" s="82">
        <v>2042</v>
      </c>
      <c r="AQ45" s="82">
        <v>2043</v>
      </c>
      <c r="AR45" s="82">
        <v>2044</v>
      </c>
      <c r="AS45" s="82">
        <v>2045</v>
      </c>
      <c r="AT45" s="82">
        <v>2046</v>
      </c>
      <c r="AU45" s="82">
        <v>2047</v>
      </c>
      <c r="AV45" s="82">
        <v>2048</v>
      </c>
      <c r="AW45" s="82">
        <v>2049</v>
      </c>
      <c r="AX45" s="82">
        <v>2050</v>
      </c>
    </row>
    <row r="46" spans="1:50" ht="18">
      <c r="C46" s="35"/>
      <c r="E46" s="76" t="s">
        <v>190</v>
      </c>
      <c r="G46" s="44" t="s">
        <v>692</v>
      </c>
      <c r="I46" s="161"/>
      <c r="J46" t="s">
        <v>693</v>
      </c>
      <c r="K46" s="44"/>
      <c r="L46" t="s">
        <v>693</v>
      </c>
      <c r="M46" s="44"/>
      <c r="O46" s="109">
        <f>SUMIFS(O$68:O$71,$C$68:$C$71,$E$5)</f>
        <v>906.23800000000006</v>
      </c>
      <c r="P46" s="109">
        <f t="shared" ref="P46:AW46" si="4">SUMIFS(P$68:P$71,$C$68:$C$71,$E$5)</f>
        <v>915.56</v>
      </c>
      <c r="Q46" s="109">
        <f t="shared" si="4"/>
        <v>975.720965686677</v>
      </c>
      <c r="R46" s="109">
        <f t="shared" si="4"/>
        <v>988.76727442632807</v>
      </c>
      <c r="S46" s="109">
        <f t="shared" si="4"/>
        <v>997.77442496415165</v>
      </c>
      <c r="T46" s="109">
        <f t="shared" si="4"/>
        <v>393.08800761259147</v>
      </c>
      <c r="U46" s="109">
        <f t="shared" si="4"/>
        <v>393.08800761259147</v>
      </c>
      <c r="V46" s="109">
        <f t="shared" si="4"/>
        <v>458.87272754540538</v>
      </c>
      <c r="W46" s="109">
        <f t="shared" si="4"/>
        <v>524.54162095411664</v>
      </c>
      <c r="X46" s="109">
        <f t="shared" si="4"/>
        <v>590.09468783872512</v>
      </c>
      <c r="Y46" s="109">
        <f t="shared" si="4"/>
        <v>655.53192819923106</v>
      </c>
      <c r="Z46" s="109">
        <f t="shared" si="4"/>
        <v>716.62143967862414</v>
      </c>
      <c r="AA46" s="109">
        <f t="shared" si="4"/>
        <v>776.82140345290861</v>
      </c>
      <c r="AB46" s="109">
        <f t="shared" si="4"/>
        <v>836.13181952208447</v>
      </c>
      <c r="AC46" s="109">
        <f t="shared" si="4"/>
        <v>894.55268788615206</v>
      </c>
      <c r="AD46" s="109">
        <f t="shared" si="4"/>
        <v>952.08400854511126</v>
      </c>
      <c r="AE46" s="109">
        <f t="shared" si="4"/>
        <v>957.39764387787829</v>
      </c>
      <c r="AF46" s="109">
        <f t="shared" si="4"/>
        <v>953.36137226776077</v>
      </c>
      <c r="AG46" s="109">
        <f t="shared" si="4"/>
        <v>948.93836905743319</v>
      </c>
      <c r="AH46" s="109">
        <f t="shared" si="4"/>
        <v>944.12863424689544</v>
      </c>
      <c r="AI46" s="109">
        <f t="shared" si="4"/>
        <v>977.02566304251525</v>
      </c>
      <c r="AJ46" s="109">
        <f t="shared" si="4"/>
        <v>977.95460989683875</v>
      </c>
      <c r="AK46" s="109">
        <f t="shared" si="4"/>
        <v>978.63784808346725</v>
      </c>
      <c r="AL46" s="109">
        <f t="shared" si="4"/>
        <v>979.07537760240075</v>
      </c>
      <c r="AM46" s="109">
        <f t="shared" si="4"/>
        <v>979.26719845363959</v>
      </c>
      <c r="AN46" s="109">
        <f t="shared" si="4"/>
        <v>979.21331063718321</v>
      </c>
      <c r="AO46" s="109">
        <f t="shared" si="4"/>
        <v>971.04065473041237</v>
      </c>
      <c r="AP46" s="109">
        <f t="shared" si="4"/>
        <v>962.4492558829221</v>
      </c>
      <c r="AQ46" s="109">
        <f t="shared" si="4"/>
        <v>953.43911409471207</v>
      </c>
      <c r="AR46" s="109">
        <f t="shared" si="4"/>
        <v>944.01022936578249</v>
      </c>
      <c r="AS46" s="109">
        <f t="shared" si="4"/>
        <v>934.16260169613361</v>
      </c>
      <c r="AT46" s="109">
        <f t="shared" si="4"/>
        <v>909.44440860274983</v>
      </c>
      <c r="AU46" s="109">
        <f t="shared" si="4"/>
        <v>884.00639293358358</v>
      </c>
      <c r="AV46" s="109">
        <f t="shared" si="4"/>
        <v>857.84855468863509</v>
      </c>
      <c r="AW46" s="109">
        <f t="shared" si="4"/>
        <v>830.97089386790412</v>
      </c>
      <c r="AX46" s="109">
        <f>SUMIFS(AX$68:AX$71,$C$68:$C$71,$E$5)</f>
        <v>803.37341047139148</v>
      </c>
    </row>
    <row r="47" spans="1:50">
      <c r="E47" s="76" t="s">
        <v>694</v>
      </c>
      <c r="G47" s="44" t="s">
        <v>452</v>
      </c>
      <c r="I47" s="44"/>
      <c r="K47" s="44"/>
      <c r="M47" s="44"/>
      <c r="O47" s="39">
        <f>LAEI!W83</f>
        <v>3.9360152461254613E-2</v>
      </c>
      <c r="P47" s="39">
        <f>LAEI!X83</f>
        <v>3.9489407027584272E-2</v>
      </c>
      <c r="Q47" s="39">
        <f>LAEI!Y83</f>
        <v>3.9616285062540085E-2</v>
      </c>
      <c r="R47" s="39">
        <f>LAEI!Z83</f>
        <v>3.9740851512979805E-2</v>
      </c>
      <c r="S47" s="39">
        <f>LAEI!AA83</f>
        <v>3.9863168980597358E-2</v>
      </c>
      <c r="T47" s="39">
        <f>LAEI!AB83</f>
        <v>3.9983297826827614E-2</v>
      </c>
      <c r="U47" s="39">
        <f>LAEI!AC83</f>
        <v>4.0937830292519017E-2</v>
      </c>
      <c r="V47" s="39">
        <f>LAEI!AD83</f>
        <v>4.1923327674842477E-2</v>
      </c>
      <c r="W47" s="39">
        <f>LAEI!AE83</f>
        <v>4.2941321563257258E-2</v>
      </c>
      <c r="X47" s="39">
        <f>LAEI!AF83</f>
        <v>4.3993446247972516E-2</v>
      </c>
      <c r="Y47" s="39">
        <f>LAEI!AG83</f>
        <v>4.5081447474964294E-2</v>
      </c>
      <c r="Z47" s="39">
        <f>LAEI!AH83</f>
        <v>4.6207213278891386E-2</v>
      </c>
      <c r="AA47" s="39">
        <f>LAEI!AI83</f>
        <v>4.7372722709402945E-2</v>
      </c>
      <c r="AB47" s="39">
        <f>LAEI!AJ83</f>
        <v>4.8580118226627375E-2</v>
      </c>
      <c r="AC47" s="39">
        <f>LAEI!AK83</f>
        <v>4.983169909989469E-2</v>
      </c>
      <c r="AD47" s="39">
        <f>LAEI!AL83</f>
        <v>5.1129936021449988E-2</v>
      </c>
      <c r="AE47" s="39">
        <f>LAEI!AM83</f>
        <v>5.1129936021449988E-2</v>
      </c>
      <c r="AF47" s="39">
        <f>LAEI!AN83</f>
        <v>5.1129936021449988E-2</v>
      </c>
      <c r="AG47" s="39">
        <f>LAEI!AO83</f>
        <v>5.1129936021449988E-2</v>
      </c>
      <c r="AH47" s="39">
        <f>LAEI!AP83</f>
        <v>5.1129936021449988E-2</v>
      </c>
      <c r="AI47" s="39">
        <f>LAEI!AQ83</f>
        <v>5.1129936021449988E-2</v>
      </c>
      <c r="AJ47" s="39">
        <f>LAEI!AR83</f>
        <v>5.1129936021449988E-2</v>
      </c>
      <c r="AK47" s="39">
        <f>LAEI!AS83</f>
        <v>5.1129936021449988E-2</v>
      </c>
      <c r="AL47" s="39">
        <f>LAEI!AT83</f>
        <v>5.1129936021449988E-2</v>
      </c>
      <c r="AM47" s="39">
        <f>LAEI!AU83</f>
        <v>5.1129936021449988E-2</v>
      </c>
      <c r="AN47" s="39">
        <f>LAEI!AV83</f>
        <v>5.1129936021449988E-2</v>
      </c>
      <c r="AO47" s="39">
        <f>LAEI!AW83</f>
        <v>5.1129936021449988E-2</v>
      </c>
      <c r="AP47" s="39">
        <f>LAEI!AX83</f>
        <v>5.1129936021449988E-2</v>
      </c>
      <c r="AQ47" s="39">
        <f>LAEI!AY83</f>
        <v>5.1129936021449988E-2</v>
      </c>
      <c r="AR47" s="39">
        <f>LAEI!AZ83</f>
        <v>5.1129936021449988E-2</v>
      </c>
      <c r="AS47" s="39">
        <f>LAEI!BA83</f>
        <v>5.1129936021449988E-2</v>
      </c>
      <c r="AT47" s="39">
        <f>LAEI!BB83</f>
        <v>5.1129936021449988E-2</v>
      </c>
      <c r="AU47" s="39">
        <f>LAEI!BC83</f>
        <v>5.1129936021449988E-2</v>
      </c>
      <c r="AV47" s="39">
        <f>LAEI!BD83</f>
        <v>5.1129936021449988E-2</v>
      </c>
      <c r="AW47" s="39">
        <f>LAEI!BE83</f>
        <v>5.1129936021449988E-2</v>
      </c>
      <c r="AX47" s="39">
        <f>LAEI!BF83</f>
        <v>5.1129936021449988E-2</v>
      </c>
    </row>
    <row r="48" spans="1:50" ht="18">
      <c r="E48" s="198" t="s">
        <v>695</v>
      </c>
      <c r="G48" s="44" t="s">
        <v>692</v>
      </c>
      <c r="I48" s="44"/>
      <c r="K48" s="44"/>
      <c r="M48" s="44"/>
      <c r="O48" s="203">
        <f t="shared" ref="O48:AX48" si="5">O46*O47</f>
        <v>35.669665846182461</v>
      </c>
      <c r="P48" s="203">
        <f t="shared" si="5"/>
        <v>36.154921498175057</v>
      </c>
      <c r="Q48" s="203">
        <f t="shared" si="5"/>
        <v>38.654439918140291</v>
      </c>
      <c r="R48" s="203">
        <f t="shared" si="5"/>
        <v>39.294453433870459</v>
      </c>
      <c r="S48" s="203">
        <f t="shared" si="5"/>
        <v>39.774450506864333</v>
      </c>
      <c r="T48" s="203">
        <f t="shared" si="5"/>
        <v>15.716954880528526</v>
      </c>
      <c r="U48" s="203">
        <f t="shared" si="5"/>
        <v>16.092170145668693</v>
      </c>
      <c r="V48" s="203">
        <f t="shared" si="5"/>
        <v>19.237471717934746</v>
      </c>
      <c r="W48" s="203">
        <f t="shared" si="5"/>
        <v>22.524510418702924</v>
      </c>
      <c r="X48" s="203">
        <f t="shared" si="5"/>
        <v>25.960298930647074</v>
      </c>
      <c r="Y48" s="203">
        <f t="shared" si="5"/>
        <v>29.552328189275698</v>
      </c>
      <c r="Z48" s="203">
        <f t="shared" si="5"/>
        <v>33.113079703456386</v>
      </c>
      <c r="AA48" s="203">
        <f t="shared" si="5"/>
        <v>36.80014494050387</v>
      </c>
      <c r="AB48" s="203">
        <f t="shared" si="5"/>
        <v>40.619382645427926</v>
      </c>
      <c r="AC48" s="203">
        <f t="shared" si="5"/>
        <v>44.577080371744742</v>
      </c>
      <c r="AD48" s="203">
        <f t="shared" si="5"/>
        <v>48.679994443957185</v>
      </c>
      <c r="AE48" s="203">
        <f t="shared" si="5"/>
        <v>48.951680278562876</v>
      </c>
      <c r="AF48" s="203">
        <f t="shared" si="5"/>
        <v>48.745305969372374</v>
      </c>
      <c r="AG48" s="203">
        <f t="shared" si="5"/>
        <v>48.519158098205658</v>
      </c>
      <c r="AH48" s="203">
        <f t="shared" si="5"/>
        <v>48.273236665062718</v>
      </c>
      <c r="AI48" s="203">
        <f t="shared" si="5"/>
        <v>49.955259642678556</v>
      </c>
      <c r="AJ48" s="203">
        <f t="shared" si="5"/>
        <v>50.002756635907446</v>
      </c>
      <c r="AK48" s="203">
        <f t="shared" si="5"/>
        <v>50.03769056067717</v>
      </c>
      <c r="AL48" s="203">
        <f t="shared" si="5"/>
        <v>50.060061416987736</v>
      </c>
      <c r="AM48" s="203">
        <f t="shared" si="5"/>
        <v>50.069869204839165</v>
      </c>
      <c r="AN48" s="203">
        <f t="shared" si="5"/>
        <v>50.067113924231414</v>
      </c>
      <c r="AO48" s="203">
        <f t="shared" si="5"/>
        <v>49.649246550592892</v>
      </c>
      <c r="AP48" s="203">
        <f t="shared" si="5"/>
        <v>49.209968877185958</v>
      </c>
      <c r="AQ48" s="203">
        <f t="shared" si="5"/>
        <v>48.749280904010583</v>
      </c>
      <c r="AR48" s="203">
        <f t="shared" si="5"/>
        <v>48.267182631066788</v>
      </c>
      <c r="AS48" s="203">
        <f t="shared" si="5"/>
        <v>47.763674058354582</v>
      </c>
      <c r="AT48" s="203">
        <f t="shared" si="5"/>
        <v>46.499834426924018</v>
      </c>
      <c r="AU48" s="203">
        <f t="shared" si="5"/>
        <v>45.199190313246909</v>
      </c>
      <c r="AV48" s="203">
        <f t="shared" si="5"/>
        <v>43.861741717323255</v>
      </c>
      <c r="AW48" s="203">
        <f t="shared" si="5"/>
        <v>42.48748863915305</v>
      </c>
      <c r="AX48" s="203">
        <f t="shared" si="5"/>
        <v>41.076431078736327</v>
      </c>
    </row>
    <row r="49" spans="3:50">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row>
    <row r="50" spans="3:50" ht="18">
      <c r="C50" s="35"/>
      <c r="E50" s="76" t="s">
        <v>241</v>
      </c>
      <c r="G50" s="44" t="s">
        <v>692</v>
      </c>
      <c r="I50" s="44"/>
      <c r="J50" t="s">
        <v>693</v>
      </c>
      <c r="K50" s="44"/>
      <c r="L50" t="s">
        <v>693</v>
      </c>
      <c r="M50" s="44"/>
      <c r="O50" s="109">
        <f>SUMIFS(O$74:O$77,$C$74:$C$77,$E$5)</f>
        <v>42.954299999999996</v>
      </c>
      <c r="P50" s="109">
        <f t="shared" ref="P50:AX50" si="6">SUMIFS(P$74:P$77,$C$74:$C$77,$E$5)</f>
        <v>42.954299999999996</v>
      </c>
      <c r="Q50" s="109">
        <f t="shared" si="6"/>
        <v>41.843985689922235</v>
      </c>
      <c r="R50" s="109">
        <f t="shared" si="6"/>
        <v>40.733671379844466</v>
      </c>
      <c r="S50" s="109">
        <f t="shared" si="6"/>
        <v>41.011249957363908</v>
      </c>
      <c r="T50" s="109">
        <f t="shared" si="6"/>
        <v>41.288828534883343</v>
      </c>
      <c r="U50" s="109">
        <f t="shared" si="6"/>
        <v>41.566407112402793</v>
      </c>
      <c r="V50" s="109">
        <f t="shared" si="6"/>
        <v>41.843985689922235</v>
      </c>
      <c r="W50" s="109">
        <f t="shared" si="6"/>
        <v>42.121564267441677</v>
      </c>
      <c r="X50" s="109">
        <f t="shared" si="6"/>
        <v>42.399142844961112</v>
      </c>
      <c r="Y50" s="109">
        <f t="shared" si="6"/>
        <v>42.676721422480547</v>
      </c>
      <c r="Z50" s="109">
        <f t="shared" si="6"/>
        <v>42.954299999999996</v>
      </c>
      <c r="AA50" s="109">
        <f t="shared" si="6"/>
        <v>41.251162004999991</v>
      </c>
      <c r="AB50" s="109">
        <f t="shared" si="6"/>
        <v>39.548024009999992</v>
      </c>
      <c r="AC50" s="109">
        <f t="shared" si="6"/>
        <v>37.844886014999993</v>
      </c>
      <c r="AD50" s="109">
        <f t="shared" si="6"/>
        <v>36.141748019999994</v>
      </c>
      <c r="AE50" s="109">
        <f t="shared" si="6"/>
        <v>34.438610024999996</v>
      </c>
      <c r="AF50" s="109">
        <f t="shared" si="6"/>
        <v>32.468725826999993</v>
      </c>
      <c r="AG50" s="109">
        <f t="shared" si="6"/>
        <v>30.49884162899999</v>
      </c>
      <c r="AH50" s="109">
        <f t="shared" si="6"/>
        <v>28.528957430999991</v>
      </c>
      <c r="AI50" s="109">
        <f t="shared" si="6"/>
        <v>26.559073232999989</v>
      </c>
      <c r="AJ50" s="109">
        <f t="shared" si="6"/>
        <v>24.58918903499999</v>
      </c>
      <c r="AK50" s="109">
        <f t="shared" si="6"/>
        <v>22.619304836999987</v>
      </c>
      <c r="AL50" s="109">
        <f t="shared" si="6"/>
        <v>20.649420638999992</v>
      </c>
      <c r="AM50" s="109">
        <f t="shared" si="6"/>
        <v>18.679536440999993</v>
      </c>
      <c r="AN50" s="109">
        <f t="shared" si="6"/>
        <v>16.709652242999994</v>
      </c>
      <c r="AO50" s="109">
        <f t="shared" si="6"/>
        <v>14.739768044999996</v>
      </c>
      <c r="AP50" s="109">
        <f t="shared" si="6"/>
        <v>13.791766643999999</v>
      </c>
      <c r="AQ50" s="109">
        <f t="shared" si="6"/>
        <v>12.843765242999998</v>
      </c>
      <c r="AR50" s="109">
        <f t="shared" si="6"/>
        <v>11.895763842000001</v>
      </c>
      <c r="AS50" s="109">
        <f t="shared" si="6"/>
        <v>10.947762440999998</v>
      </c>
      <c r="AT50" s="109">
        <f t="shared" si="6"/>
        <v>9.999761040000001</v>
      </c>
      <c r="AU50" s="109">
        <f t="shared" si="6"/>
        <v>9.0517596390000001</v>
      </c>
      <c r="AV50" s="109">
        <f t="shared" si="6"/>
        <v>8.1037582380000011</v>
      </c>
      <c r="AW50" s="109">
        <f t="shared" si="6"/>
        <v>7.155756837000002</v>
      </c>
      <c r="AX50" s="109">
        <f t="shared" si="6"/>
        <v>6.207755436000002</v>
      </c>
    </row>
    <row r="51" spans="3:50">
      <c r="E51" s="76" t="s">
        <v>694</v>
      </c>
      <c r="G51" s="44" t="s">
        <v>452</v>
      </c>
      <c r="I51" s="44"/>
      <c r="K51" s="44"/>
      <c r="M51" s="44"/>
      <c r="O51" s="39">
        <f>LAEI!W122</f>
        <v>0.57314982517225654</v>
      </c>
      <c r="P51" s="39">
        <f>LAEI!X122</f>
        <v>0.57258891295642</v>
      </c>
      <c r="Q51" s="39">
        <f>LAEI!Y122</f>
        <v>0.57205034460097803</v>
      </c>
      <c r="R51" s="39">
        <f>LAEI!Z122</f>
        <v>0.57153281108146137</v>
      </c>
      <c r="S51" s="39">
        <f>LAEI!AA122</f>
        <v>0.57103510366780241</v>
      </c>
      <c r="T51" s="39">
        <f>LAEI!AB122</f>
        <v>0.57055610449946226</v>
      </c>
      <c r="U51" s="39">
        <f>LAEI!AC122</f>
        <v>0.56727525688193337</v>
      </c>
      <c r="V51" s="39">
        <f>LAEI!AD122</f>
        <v>0.56410277809069143</v>
      </c>
      <c r="W51" s="39">
        <f>LAEI!AE122</f>
        <v>0.56103338610637243</v>
      </c>
      <c r="X51" s="39">
        <f>LAEI!AF122</f>
        <v>0.55806213669048155</v>
      </c>
      <c r="Y51" s="39">
        <f>LAEI!AG122</f>
        <v>0.55518439680925757</v>
      </c>
      <c r="Z51" s="39">
        <f>LAEI!AH122</f>
        <v>0.55313546287086346</v>
      </c>
      <c r="AA51" s="39">
        <f>LAEI!AI122</f>
        <v>0.55113264941592921</v>
      </c>
      <c r="AB51" s="39">
        <f>LAEI!AJ122</f>
        <v>0.54917441655186161</v>
      </c>
      <c r="AC51" s="39">
        <f>LAEI!AK122</f>
        <v>0.54725929218439251</v>
      </c>
      <c r="AD51" s="39">
        <f>LAEI!AL122</f>
        <v>0.54538586832692515</v>
      </c>
      <c r="AE51" s="39">
        <f>LAEI!AM122</f>
        <v>0.54538586832692515</v>
      </c>
      <c r="AF51" s="39">
        <f>LAEI!AN122</f>
        <v>0.54538586832692515</v>
      </c>
      <c r="AG51" s="39">
        <f>LAEI!AO122</f>
        <v>0.54538586832692515</v>
      </c>
      <c r="AH51" s="39">
        <f>LAEI!AP122</f>
        <v>0.54538586832692515</v>
      </c>
      <c r="AI51" s="39">
        <f>LAEI!AQ122</f>
        <v>0.54538586832692515</v>
      </c>
      <c r="AJ51" s="39">
        <f>LAEI!AR122</f>
        <v>0.54538586832692515</v>
      </c>
      <c r="AK51" s="39">
        <f>LAEI!AS122</f>
        <v>0.54538586832692515</v>
      </c>
      <c r="AL51" s="39">
        <f>LAEI!AT122</f>
        <v>0.54538586832692515</v>
      </c>
      <c r="AM51" s="39">
        <f>LAEI!AU122</f>
        <v>0.54538586832692515</v>
      </c>
      <c r="AN51" s="39">
        <f>LAEI!AV122</f>
        <v>0.54538586832692515</v>
      </c>
      <c r="AO51" s="39">
        <f>LAEI!AW122</f>
        <v>0.54538586832692515</v>
      </c>
      <c r="AP51" s="39">
        <f>LAEI!AX122</f>
        <v>0.54538586832692515</v>
      </c>
      <c r="AQ51" s="39">
        <f>LAEI!AY122</f>
        <v>0.54538586832692515</v>
      </c>
      <c r="AR51" s="39">
        <f>LAEI!AZ122</f>
        <v>0.54538586832692515</v>
      </c>
      <c r="AS51" s="39">
        <f>LAEI!BA122</f>
        <v>0.54538586832692515</v>
      </c>
      <c r="AT51" s="39">
        <f>LAEI!BB122</f>
        <v>0.54538586832692515</v>
      </c>
      <c r="AU51" s="39">
        <f>LAEI!BC122</f>
        <v>0.54538586832692515</v>
      </c>
      <c r="AV51" s="39">
        <f>LAEI!BD122</f>
        <v>0.54538586832692515</v>
      </c>
      <c r="AW51" s="39">
        <f>LAEI!BE122</f>
        <v>0.54538586832692515</v>
      </c>
      <c r="AX51" s="39">
        <f>LAEI!BF122</f>
        <v>0.54538586832692515</v>
      </c>
    </row>
    <row r="52" spans="3:50" ht="18">
      <c r="E52" s="198" t="s">
        <v>696</v>
      </c>
      <c r="G52" s="44" t="s">
        <v>692</v>
      </c>
      <c r="I52" s="44"/>
      <c r="K52" s="44"/>
      <c r="M52" s="44"/>
      <c r="O52" s="203">
        <f>O50*O51</f>
        <v>24.619249535396659</v>
      </c>
      <c r="P52" s="203">
        <f t="shared" ref="P52:AX52" si="7">P50*P51</f>
        <v>24.595155943803949</v>
      </c>
      <c r="Q52" s="203">
        <f t="shared" si="7"/>
        <v>23.936866433398407</v>
      </c>
      <c r="R52" s="203">
        <f t="shared" si="7"/>
        <v>23.280629709390976</v>
      </c>
      <c r="S52" s="203">
        <f t="shared" si="7"/>
        <v>23.418863370949456</v>
      </c>
      <c r="T52" s="203">
        <f t="shared" si="7"/>
        <v>23.55759316820928</v>
      </c>
      <c r="U52" s="203">
        <f t="shared" si="7"/>
        <v>23.579594272347315</v>
      </c>
      <c r="V52" s="203">
        <f t="shared" si="7"/>
        <v>23.60430857407227</v>
      </c>
      <c r="W52" s="203">
        <f t="shared" si="7"/>
        <v>23.631603829059987</v>
      </c>
      <c r="X52" s="203">
        <f t="shared" si="7"/>
        <v>23.661356249903942</v>
      </c>
      <c r="Y52" s="203">
        <f t="shared" si="7"/>
        <v>23.693449840736584</v>
      </c>
      <c r="Z52" s="203">
        <f t="shared" si="7"/>
        <v>23.75954661279393</v>
      </c>
      <c r="AA52" s="203">
        <f t="shared" si="7"/>
        <v>22.734862207301358</v>
      </c>
      <c r="AB52" s="203">
        <f t="shared" si="7"/>
        <v>21.718763011470759</v>
      </c>
      <c r="AC52" s="203">
        <f t="shared" si="7"/>
        <v>20.710965533367911</v>
      </c>
      <c r="AD52" s="203">
        <f t="shared" si="7"/>
        <v>19.711198626740625</v>
      </c>
      <c r="AE52" s="203">
        <f t="shared" si="7"/>
        <v>18.782331232456972</v>
      </c>
      <c r="AF52" s="203">
        <f t="shared" si="7"/>
        <v>17.707984228627254</v>
      </c>
      <c r="AG52" s="203">
        <f t="shared" si="7"/>
        <v>16.633637224797532</v>
      </c>
      <c r="AH52" s="203">
        <f t="shared" si="7"/>
        <v>15.559290220967814</v>
      </c>
      <c r="AI52" s="203">
        <f t="shared" si="7"/>
        <v>14.484943217138094</v>
      </c>
      <c r="AJ52" s="203">
        <f t="shared" si="7"/>
        <v>13.410596213308375</v>
      </c>
      <c r="AK52" s="203">
        <f t="shared" si="7"/>
        <v>12.336249209478655</v>
      </c>
      <c r="AL52" s="203">
        <f t="shared" si="7"/>
        <v>11.261902205648941</v>
      </c>
      <c r="AM52" s="203">
        <f t="shared" si="7"/>
        <v>10.187555201819222</v>
      </c>
      <c r="AN52" s="203">
        <f t="shared" si="7"/>
        <v>9.1132081979895041</v>
      </c>
      <c r="AO52" s="203">
        <f t="shared" si="7"/>
        <v>8.0388611941597876</v>
      </c>
      <c r="AP52" s="203">
        <f t="shared" si="7"/>
        <v>7.5218346269002616</v>
      </c>
      <c r="AQ52" s="203">
        <f t="shared" si="7"/>
        <v>7.0048080596407347</v>
      </c>
      <c r="AR52" s="203">
        <f t="shared" si="7"/>
        <v>6.4877814923812096</v>
      </c>
      <c r="AS52" s="203">
        <f t="shared" si="7"/>
        <v>5.9707549251216818</v>
      </c>
      <c r="AT52" s="203">
        <f t="shared" si="7"/>
        <v>5.4537283578621567</v>
      </c>
      <c r="AU52" s="203">
        <f t="shared" si="7"/>
        <v>4.9367017906026298</v>
      </c>
      <c r="AV52" s="203">
        <f t="shared" si="7"/>
        <v>4.4196752233431038</v>
      </c>
      <c r="AW52" s="203">
        <f t="shared" si="7"/>
        <v>3.9026486560835774</v>
      </c>
      <c r="AX52" s="203">
        <f t="shared" si="7"/>
        <v>3.3856220888240509</v>
      </c>
    </row>
    <row r="53" spans="3:50">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row>
    <row r="54" spans="3:50" ht="18">
      <c r="C54" s="35"/>
      <c r="E54" s="76" t="s">
        <v>697</v>
      </c>
      <c r="G54" s="44" t="s">
        <v>692</v>
      </c>
      <c r="I54" s="44"/>
      <c r="J54" t="s">
        <v>693</v>
      </c>
      <c r="K54" s="44"/>
      <c r="L54" t="s">
        <v>693</v>
      </c>
      <c r="M54" s="44"/>
      <c r="O54" s="109">
        <f>SUMIFS(O$80:O$83,$C$80:$C$83,$E$5)</f>
        <v>296.07178702832579</v>
      </c>
      <c r="P54" s="109">
        <f t="shared" ref="P54:AX54" si="8">SUMIFS(P$80:P$83,$C$80:$C$83,$E$5)</f>
        <v>276.57621277722762</v>
      </c>
      <c r="Q54" s="109">
        <f t="shared" si="8"/>
        <v>257.08063852612952</v>
      </c>
      <c r="R54" s="109">
        <f t="shared" si="8"/>
        <v>237.58506427503139</v>
      </c>
      <c r="S54" s="109">
        <f t="shared" si="8"/>
        <v>218.08949002393319</v>
      </c>
      <c r="T54" s="109">
        <f t="shared" si="8"/>
        <v>198.59391577283506</v>
      </c>
      <c r="U54" s="109">
        <f t="shared" si="8"/>
        <v>197.46710039412153</v>
      </c>
      <c r="V54" s="109">
        <f t="shared" si="8"/>
        <v>196.34028501540803</v>
      </c>
      <c r="W54" s="109">
        <f t="shared" si="8"/>
        <v>195.21346963669453</v>
      </c>
      <c r="X54" s="109">
        <f t="shared" si="8"/>
        <v>194.08665425798108</v>
      </c>
      <c r="Y54" s="109">
        <f t="shared" si="8"/>
        <v>192.95983887926761</v>
      </c>
      <c r="Z54" s="109">
        <f t="shared" si="8"/>
        <v>192.95983887926761</v>
      </c>
      <c r="AA54" s="109">
        <f t="shared" si="8"/>
        <v>192.95983887926761</v>
      </c>
      <c r="AB54" s="109">
        <f t="shared" si="8"/>
        <v>192.95983887926761</v>
      </c>
      <c r="AC54" s="109">
        <f t="shared" si="8"/>
        <v>192.95983887926761</v>
      </c>
      <c r="AD54" s="109">
        <f t="shared" si="8"/>
        <v>192.95983887926761</v>
      </c>
      <c r="AE54" s="109">
        <f t="shared" si="8"/>
        <v>192.95983887926761</v>
      </c>
      <c r="AF54" s="109">
        <f t="shared" si="8"/>
        <v>192.95983887926761</v>
      </c>
      <c r="AG54" s="109">
        <f t="shared" si="8"/>
        <v>192.95983887926761</v>
      </c>
      <c r="AH54" s="109">
        <f t="shared" si="8"/>
        <v>192.95983887926761</v>
      </c>
      <c r="AI54" s="109">
        <f t="shared" si="8"/>
        <v>192.95983887926761</v>
      </c>
      <c r="AJ54" s="109">
        <f t="shared" si="8"/>
        <v>192.95983887926761</v>
      </c>
      <c r="AK54" s="109">
        <f t="shared" si="8"/>
        <v>192.95983887926761</v>
      </c>
      <c r="AL54" s="109">
        <f t="shared" si="8"/>
        <v>192.95983887926761</v>
      </c>
      <c r="AM54" s="109">
        <f t="shared" si="8"/>
        <v>192.95983887926761</v>
      </c>
      <c r="AN54" s="109">
        <f t="shared" si="8"/>
        <v>192.95983887926761</v>
      </c>
      <c r="AO54" s="109">
        <f t="shared" si="8"/>
        <v>192.95983887926761</v>
      </c>
      <c r="AP54" s="109">
        <f t="shared" si="8"/>
        <v>192.95983887926761</v>
      </c>
      <c r="AQ54" s="109">
        <f t="shared" si="8"/>
        <v>192.95983887926761</v>
      </c>
      <c r="AR54" s="109">
        <f t="shared" si="8"/>
        <v>192.95983887926761</v>
      </c>
      <c r="AS54" s="109">
        <f t="shared" si="8"/>
        <v>192.95983887926761</v>
      </c>
      <c r="AT54" s="109">
        <f t="shared" si="8"/>
        <v>192.95983887926761</v>
      </c>
      <c r="AU54" s="109">
        <f t="shared" si="8"/>
        <v>192.95983887926761</v>
      </c>
      <c r="AV54" s="109">
        <f t="shared" si="8"/>
        <v>192.95983887926761</v>
      </c>
      <c r="AW54" s="109">
        <f t="shared" si="8"/>
        <v>192.95983887926761</v>
      </c>
      <c r="AX54" s="109">
        <f t="shared" si="8"/>
        <v>192.95983887926761</v>
      </c>
    </row>
    <row r="55" spans="3:50">
      <c r="E55" s="76" t="s">
        <v>694</v>
      </c>
      <c r="G55" s="44" t="s">
        <v>452</v>
      </c>
      <c r="I55" s="44"/>
      <c r="K55" s="44"/>
      <c r="M55" s="44"/>
      <c r="O55" s="39">
        <f>LAEI!W200</f>
        <v>0.33541420096665936</v>
      </c>
      <c r="P55" s="39">
        <f>LAEI!X200</f>
        <v>0.33103762419062271</v>
      </c>
      <c r="Q55" s="39">
        <f>LAEI!Y200</f>
        <v>0.32599725664456108</v>
      </c>
      <c r="R55" s="39">
        <f>LAEI!Z200</f>
        <v>0.32012969181615425</v>
      </c>
      <c r="S55" s="39">
        <f>LAEI!AA200</f>
        <v>0.31321309389795682</v>
      </c>
      <c r="T55" s="39">
        <f>LAEI!AB200</f>
        <v>0.30493851834228286</v>
      </c>
      <c r="U55" s="39">
        <f>LAEI!AC200</f>
        <v>0.30496800638579435</v>
      </c>
      <c r="V55" s="39">
        <f>LAEI!AD200</f>
        <v>0.30499783289862109</v>
      </c>
      <c r="W55" s="39">
        <f>LAEI!AE200</f>
        <v>0.30502800374192274</v>
      </c>
      <c r="X55" s="39">
        <f>LAEI!AF200</f>
        <v>0.30505852491297181</v>
      </c>
      <c r="Y55" s="39">
        <f>LAEI!AG200</f>
        <v>0.30508940254912925</v>
      </c>
      <c r="Z55" s="39">
        <f>LAEI!AH200</f>
        <v>0.30508940254912925</v>
      </c>
      <c r="AA55" s="39">
        <f>LAEI!AI200</f>
        <v>0.30508940254912925</v>
      </c>
      <c r="AB55" s="39">
        <f>LAEI!AJ200</f>
        <v>0.30508940254912925</v>
      </c>
      <c r="AC55" s="39">
        <f>LAEI!AK200</f>
        <v>0.30508940254912925</v>
      </c>
      <c r="AD55" s="39">
        <f>LAEI!AL200</f>
        <v>0.30508940254912925</v>
      </c>
      <c r="AE55" s="39">
        <f>LAEI!AM200</f>
        <v>0.30508940254912925</v>
      </c>
      <c r="AF55" s="39">
        <f>LAEI!AN200</f>
        <v>0.30508940254912925</v>
      </c>
      <c r="AG55" s="39">
        <f>LAEI!AO200</f>
        <v>0.30508940254912925</v>
      </c>
      <c r="AH55" s="39">
        <f>LAEI!AP200</f>
        <v>0.30508940254912925</v>
      </c>
      <c r="AI55" s="39">
        <f>LAEI!AQ200</f>
        <v>0.30508940254912925</v>
      </c>
      <c r="AJ55" s="39">
        <f>LAEI!AR200</f>
        <v>0.30508940254912925</v>
      </c>
      <c r="AK55" s="39">
        <f>LAEI!AS200</f>
        <v>0.30508940254912925</v>
      </c>
      <c r="AL55" s="39">
        <f>LAEI!AT200</f>
        <v>0.30508940254912925</v>
      </c>
      <c r="AM55" s="39">
        <f>LAEI!AU200</f>
        <v>0.30508940254912925</v>
      </c>
      <c r="AN55" s="39">
        <f>LAEI!AV200</f>
        <v>0.30508940254912925</v>
      </c>
      <c r="AO55" s="39">
        <f>LAEI!AW200</f>
        <v>0.30508940254912925</v>
      </c>
      <c r="AP55" s="39">
        <f>LAEI!AX200</f>
        <v>0.30508940254912925</v>
      </c>
      <c r="AQ55" s="39">
        <f>LAEI!AY200</f>
        <v>0.30508940254912925</v>
      </c>
      <c r="AR55" s="39">
        <f>LAEI!AZ200</f>
        <v>0.30508940254912925</v>
      </c>
      <c r="AS55" s="39">
        <f>LAEI!BA200</f>
        <v>0.30508940254912925</v>
      </c>
      <c r="AT55" s="39">
        <f>LAEI!BB200</f>
        <v>0.30508940254912925</v>
      </c>
      <c r="AU55" s="39">
        <f>LAEI!BC200</f>
        <v>0.30508940254912925</v>
      </c>
      <c r="AV55" s="39">
        <f>LAEI!BD200</f>
        <v>0.30508940254912925</v>
      </c>
      <c r="AW55" s="39">
        <f>LAEI!BE200</f>
        <v>0.30508940254912925</v>
      </c>
      <c r="AX55" s="39">
        <f>LAEI!BF200</f>
        <v>0.30508940254912925</v>
      </c>
    </row>
    <row r="56" spans="3:50" ht="18">
      <c r="E56" s="198" t="s">
        <v>698</v>
      </c>
      <c r="G56" s="44" t="s">
        <v>692</v>
      </c>
      <c r="I56" s="44"/>
      <c r="K56" s="44"/>
      <c r="M56" s="44"/>
      <c r="O56" s="203">
        <f t="shared" ref="O56:AX56" si="9">O54*O55</f>
        <v>99.30668187487683</v>
      </c>
      <c r="P56" s="203">
        <f t="shared" si="9"/>
        <v>91.557132385413581</v>
      </c>
      <c r="Q56" s="203">
        <f t="shared" si="9"/>
        <v>83.807582895950276</v>
      </c>
      <c r="R56" s="203">
        <f t="shared" si="9"/>
        <v>76.058033406486999</v>
      </c>
      <c r="S56" s="203">
        <f t="shared" si="9"/>
        <v>68.308483917023707</v>
      </c>
      <c r="T56" s="203">
        <f t="shared" si="9"/>
        <v>60.558934427560445</v>
      </c>
      <c r="U56" s="203">
        <f t="shared" si="9"/>
        <v>60.221147933978749</v>
      </c>
      <c r="V56" s="203">
        <f t="shared" si="9"/>
        <v>59.883361440397053</v>
      </c>
      <c r="W56" s="203">
        <f t="shared" si="9"/>
        <v>59.545574946815378</v>
      </c>
      <c r="X56" s="203">
        <f t="shared" si="9"/>
        <v>59.207788453233668</v>
      </c>
      <c r="Y56" s="203">
        <f t="shared" si="9"/>
        <v>58.870001959651994</v>
      </c>
      <c r="Z56" s="203">
        <f t="shared" si="9"/>
        <v>58.870001959651994</v>
      </c>
      <c r="AA56" s="203">
        <f t="shared" si="9"/>
        <v>58.870001959651994</v>
      </c>
      <c r="AB56" s="203">
        <f t="shared" si="9"/>
        <v>58.870001959651994</v>
      </c>
      <c r="AC56" s="203">
        <f t="shared" si="9"/>
        <v>58.870001959651994</v>
      </c>
      <c r="AD56" s="203">
        <f t="shared" si="9"/>
        <v>58.870001959651994</v>
      </c>
      <c r="AE56" s="203">
        <f t="shared" si="9"/>
        <v>58.870001959651994</v>
      </c>
      <c r="AF56" s="203">
        <f t="shared" si="9"/>
        <v>58.870001959651994</v>
      </c>
      <c r="AG56" s="203">
        <f t="shared" si="9"/>
        <v>58.870001959651994</v>
      </c>
      <c r="AH56" s="203">
        <f t="shared" si="9"/>
        <v>58.870001959651994</v>
      </c>
      <c r="AI56" s="203">
        <f t="shared" si="9"/>
        <v>58.870001959651994</v>
      </c>
      <c r="AJ56" s="203">
        <f t="shared" si="9"/>
        <v>58.870001959651994</v>
      </c>
      <c r="AK56" s="203">
        <f t="shared" si="9"/>
        <v>58.870001959651994</v>
      </c>
      <c r="AL56" s="203">
        <f t="shared" si="9"/>
        <v>58.870001959651994</v>
      </c>
      <c r="AM56" s="203">
        <f t="shared" si="9"/>
        <v>58.870001959651994</v>
      </c>
      <c r="AN56" s="203">
        <f t="shared" si="9"/>
        <v>58.870001959651994</v>
      </c>
      <c r="AO56" s="203">
        <f t="shared" si="9"/>
        <v>58.870001959651994</v>
      </c>
      <c r="AP56" s="203">
        <f t="shared" si="9"/>
        <v>58.870001959651994</v>
      </c>
      <c r="AQ56" s="203">
        <f t="shared" si="9"/>
        <v>58.870001959651994</v>
      </c>
      <c r="AR56" s="203">
        <f t="shared" si="9"/>
        <v>58.870001959651994</v>
      </c>
      <c r="AS56" s="203">
        <f t="shared" si="9"/>
        <v>58.870001959651994</v>
      </c>
      <c r="AT56" s="203">
        <f t="shared" si="9"/>
        <v>58.870001959651994</v>
      </c>
      <c r="AU56" s="203">
        <f t="shared" si="9"/>
        <v>58.870001959651994</v>
      </c>
      <c r="AV56" s="203">
        <f t="shared" si="9"/>
        <v>58.870001959651994</v>
      </c>
      <c r="AW56" s="203">
        <f t="shared" si="9"/>
        <v>58.870001959651994</v>
      </c>
      <c r="AX56" s="203">
        <f t="shared" si="9"/>
        <v>58.870001959651994</v>
      </c>
    </row>
    <row r="57" spans="3:50">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row>
    <row r="58" spans="3:50" ht="18">
      <c r="C58" s="35"/>
      <c r="E58" s="76" t="s">
        <v>191</v>
      </c>
      <c r="G58" s="44" t="s">
        <v>699</v>
      </c>
      <c r="I58" s="45"/>
      <c r="J58" t="s">
        <v>693</v>
      </c>
      <c r="K58" s="44"/>
      <c r="L58" t="s">
        <v>693</v>
      </c>
      <c r="M58" s="44"/>
      <c r="O58" s="105">
        <f>SUMIFS(O$86:O$89,$C$86:$C$89,$E$5)</f>
        <v>1230.0752644863999</v>
      </c>
      <c r="P58" s="105">
        <f t="shared" ref="P58:AX58" si="10">SUMIFS(P$86:P$89,$C$86:$C$89,$E$5)</f>
        <v>1230.0752644863999</v>
      </c>
      <c r="Q58" s="105">
        <f t="shared" si="10"/>
        <v>1230.0752644863999</v>
      </c>
      <c r="R58" s="105">
        <f t="shared" si="10"/>
        <v>1230.0752644863999</v>
      </c>
      <c r="S58" s="105">
        <f t="shared" si="10"/>
        <v>1181.4752644864002</v>
      </c>
      <c r="T58" s="105">
        <f t="shared" si="10"/>
        <v>1132.8752644864001</v>
      </c>
      <c r="U58" s="105">
        <f t="shared" si="10"/>
        <v>1072.5125734032131</v>
      </c>
      <c r="V58" s="105">
        <f t="shared" si="10"/>
        <v>1012.1498823200257</v>
      </c>
      <c r="W58" s="105">
        <f t="shared" si="10"/>
        <v>951.78719123683845</v>
      </c>
      <c r="X58" s="105">
        <f t="shared" si="10"/>
        <v>891.42450015365125</v>
      </c>
      <c r="Y58" s="105">
        <f t="shared" si="10"/>
        <v>831.06180907046416</v>
      </c>
      <c r="Z58" s="105">
        <f t="shared" si="10"/>
        <v>770.69911798727674</v>
      </c>
      <c r="AA58" s="105">
        <f t="shared" si="10"/>
        <v>710.33642690408965</v>
      </c>
      <c r="AB58" s="105">
        <f t="shared" si="10"/>
        <v>649.97373582090256</v>
      </c>
      <c r="AC58" s="105">
        <f t="shared" si="10"/>
        <v>589.61104473771536</v>
      </c>
      <c r="AD58" s="105">
        <f t="shared" si="10"/>
        <v>529.24835365452805</v>
      </c>
      <c r="AE58" s="105">
        <f t="shared" si="10"/>
        <v>517.37906365452807</v>
      </c>
      <c r="AF58" s="105">
        <f t="shared" si="10"/>
        <v>505.50977365452809</v>
      </c>
      <c r="AG58" s="105">
        <f t="shared" si="10"/>
        <v>493.64048365452805</v>
      </c>
      <c r="AH58" s="105">
        <f t="shared" si="10"/>
        <v>481.77119365452813</v>
      </c>
      <c r="AI58" s="105">
        <f t="shared" si="10"/>
        <v>469.9019036545281</v>
      </c>
      <c r="AJ58" s="105">
        <f t="shared" si="10"/>
        <v>458.03261365452812</v>
      </c>
      <c r="AK58" s="105">
        <f t="shared" si="10"/>
        <v>446.1633236545282</v>
      </c>
      <c r="AL58" s="105">
        <f t="shared" si="10"/>
        <v>434.29403365452816</v>
      </c>
      <c r="AM58" s="105">
        <f t="shared" si="10"/>
        <v>422.42474365452819</v>
      </c>
      <c r="AN58" s="105">
        <f t="shared" si="10"/>
        <v>410.55545365452821</v>
      </c>
      <c r="AO58" s="105">
        <f t="shared" si="10"/>
        <v>398.68616365452817</v>
      </c>
      <c r="AP58" s="105">
        <f t="shared" si="10"/>
        <v>386.81687365452825</v>
      </c>
      <c r="AQ58" s="105">
        <f t="shared" si="10"/>
        <v>374.94758365452827</v>
      </c>
      <c r="AR58" s="105">
        <f t="shared" si="10"/>
        <v>363.0782936545283</v>
      </c>
      <c r="AS58" s="105">
        <f t="shared" si="10"/>
        <v>351.20900365452832</v>
      </c>
      <c r="AT58" s="105">
        <f t="shared" si="10"/>
        <v>339.33971365452834</v>
      </c>
      <c r="AU58" s="105">
        <f t="shared" si="10"/>
        <v>327.47042365452836</v>
      </c>
      <c r="AV58" s="105">
        <f t="shared" si="10"/>
        <v>315.60113365452838</v>
      </c>
      <c r="AW58" s="105">
        <f t="shared" si="10"/>
        <v>303.7318436545284</v>
      </c>
      <c r="AX58" s="105">
        <f t="shared" si="10"/>
        <v>291.86255365452803</v>
      </c>
    </row>
    <row r="59" spans="3:50">
      <c r="E59" s="76" t="s">
        <v>694</v>
      </c>
      <c r="G59" s="44" t="s">
        <v>452</v>
      </c>
      <c r="I59" s="44"/>
      <c r="K59" s="44"/>
      <c r="M59" s="44"/>
      <c r="O59" s="201">
        <f>LAEI!W239</f>
        <v>2.4817162575964617E-2</v>
      </c>
      <c r="P59" s="201">
        <f>LAEI!X239</f>
        <v>2.4817162575964617E-2</v>
      </c>
      <c r="Q59" s="201">
        <f>LAEI!Y239</f>
        <v>2.4817162575964606E-2</v>
      </c>
      <c r="R59" s="201">
        <f>LAEI!Z239</f>
        <v>2.481716257596462E-2</v>
      </c>
      <c r="S59" s="201">
        <f>LAEI!AA239</f>
        <v>2.481716257596462E-2</v>
      </c>
      <c r="T59" s="201">
        <f>LAEI!AB239</f>
        <v>2.4817162575964617E-2</v>
      </c>
      <c r="U59" s="201">
        <f>LAEI!AC239</f>
        <v>2.4817162575964617E-2</v>
      </c>
      <c r="V59" s="201">
        <f>LAEI!AD239</f>
        <v>2.481716257596462E-2</v>
      </c>
      <c r="W59" s="201">
        <f>LAEI!AE239</f>
        <v>2.481716257596461E-2</v>
      </c>
      <c r="X59" s="201">
        <f>LAEI!AF239</f>
        <v>2.4817162575964617E-2</v>
      </c>
      <c r="Y59" s="201">
        <f>LAEI!AG239</f>
        <v>2.4817162575964613E-2</v>
      </c>
      <c r="Z59" s="201">
        <f>LAEI!AH239</f>
        <v>2.4817162575964613E-2</v>
      </c>
      <c r="AA59" s="201">
        <f>LAEI!AI239</f>
        <v>2.4817162575964617E-2</v>
      </c>
      <c r="AB59" s="201">
        <f>LAEI!AJ239</f>
        <v>2.481716257596461E-2</v>
      </c>
      <c r="AC59" s="201">
        <f>LAEI!AK239</f>
        <v>2.4817162575964603E-2</v>
      </c>
      <c r="AD59" s="201">
        <f>LAEI!AL239</f>
        <v>2.4817162575964617E-2</v>
      </c>
      <c r="AE59" s="201">
        <f>LAEI!AM239</f>
        <v>2.4817162575964617E-2</v>
      </c>
      <c r="AF59" s="201">
        <f>LAEI!AN239</f>
        <v>2.4817162575964617E-2</v>
      </c>
      <c r="AG59" s="201">
        <f>LAEI!AO239</f>
        <v>2.4817162575964617E-2</v>
      </c>
      <c r="AH59" s="201">
        <f>LAEI!AP239</f>
        <v>2.4817162575964617E-2</v>
      </c>
      <c r="AI59" s="201">
        <f>LAEI!AQ239</f>
        <v>2.4817162575964617E-2</v>
      </c>
      <c r="AJ59" s="201">
        <f>LAEI!AR239</f>
        <v>2.4817162575964617E-2</v>
      </c>
      <c r="AK59" s="201">
        <f>LAEI!AS239</f>
        <v>2.4817162575964617E-2</v>
      </c>
      <c r="AL59" s="201">
        <f>LAEI!AT239</f>
        <v>2.4817162575964617E-2</v>
      </c>
      <c r="AM59" s="201">
        <f>LAEI!AU239</f>
        <v>2.4817162575964617E-2</v>
      </c>
      <c r="AN59" s="201">
        <f>LAEI!AV239</f>
        <v>2.4817162575964617E-2</v>
      </c>
      <c r="AO59" s="201">
        <f>LAEI!AW239</f>
        <v>2.4817162575964617E-2</v>
      </c>
      <c r="AP59" s="201">
        <f>LAEI!AX239</f>
        <v>2.4817162575964617E-2</v>
      </c>
      <c r="AQ59" s="201">
        <f>LAEI!AY239</f>
        <v>2.4817162575964617E-2</v>
      </c>
      <c r="AR59" s="201">
        <f>LAEI!AZ239</f>
        <v>2.4817162575964617E-2</v>
      </c>
      <c r="AS59" s="201">
        <f>LAEI!BA239</f>
        <v>2.4817162575964617E-2</v>
      </c>
      <c r="AT59" s="201">
        <f>LAEI!BB239</f>
        <v>2.4817162575964617E-2</v>
      </c>
      <c r="AU59" s="201">
        <f>LAEI!BC239</f>
        <v>2.4817162575964617E-2</v>
      </c>
      <c r="AV59" s="201">
        <f>LAEI!BD239</f>
        <v>2.4817162575964617E-2</v>
      </c>
      <c r="AW59" s="201">
        <f>LAEI!BE239</f>
        <v>2.4817162575964617E-2</v>
      </c>
      <c r="AX59" s="201">
        <f>LAEI!BF239</f>
        <v>2.4817162575964617E-2</v>
      </c>
    </row>
    <row r="60" spans="3:50" ht="18">
      <c r="E60" s="198" t="s">
        <v>700</v>
      </c>
      <c r="G60" s="44" t="s">
        <v>692</v>
      </c>
      <c r="I60" s="44"/>
      <c r="K60" s="44"/>
      <c r="M60" s="44"/>
      <c r="O60" s="202">
        <f t="shared" ref="O60:AX60" si="11">O58*O59</f>
        <v>30.526977819431661</v>
      </c>
      <c r="P60" s="202">
        <f t="shared" si="11"/>
        <v>30.526977819431661</v>
      </c>
      <c r="Q60" s="202">
        <f t="shared" si="11"/>
        <v>30.526977819431647</v>
      </c>
      <c r="R60" s="202">
        <f t="shared" si="11"/>
        <v>30.526977819431664</v>
      </c>
      <c r="S60" s="202">
        <f t="shared" si="11"/>
        <v>29.320863718239792</v>
      </c>
      <c r="T60" s="202">
        <f t="shared" si="11"/>
        <v>28.114749617047906</v>
      </c>
      <c r="U60" s="202">
        <f t="shared" si="11"/>
        <v>26.616718898913724</v>
      </c>
      <c r="V60" s="202">
        <f t="shared" si="11"/>
        <v>25.118688180779536</v>
      </c>
      <c r="W60" s="202">
        <f t="shared" si="11"/>
        <v>23.620657462645337</v>
      </c>
      <c r="X60" s="202">
        <f t="shared" si="11"/>
        <v>22.122626744511159</v>
      </c>
      <c r="Y60" s="202">
        <f t="shared" si="11"/>
        <v>20.62459602637697</v>
      </c>
      <c r="Z60" s="202">
        <f t="shared" si="11"/>
        <v>19.126565308242778</v>
      </c>
      <c r="AA60" s="202">
        <f t="shared" si="11"/>
        <v>17.6285345901086</v>
      </c>
      <c r="AB60" s="202">
        <f t="shared" si="11"/>
        <v>16.130503871974412</v>
      </c>
      <c r="AC60" s="202">
        <f t="shared" si="11"/>
        <v>14.632473153840222</v>
      </c>
      <c r="AD60" s="202">
        <f t="shared" si="11"/>
        <v>13.13444243570604</v>
      </c>
      <c r="AE60" s="202">
        <f t="shared" si="11"/>
        <v>12.839880336114769</v>
      </c>
      <c r="AF60" s="202">
        <f t="shared" si="11"/>
        <v>12.545318236523499</v>
      </c>
      <c r="AG60" s="202">
        <f t="shared" si="11"/>
        <v>12.250756136932226</v>
      </c>
      <c r="AH60" s="202">
        <f t="shared" si="11"/>
        <v>11.956194037340957</v>
      </c>
      <c r="AI60" s="202">
        <f t="shared" si="11"/>
        <v>11.661631937749686</v>
      </c>
      <c r="AJ60" s="202">
        <f t="shared" si="11"/>
        <v>11.367069838158415</v>
      </c>
      <c r="AK60" s="202">
        <f t="shared" si="11"/>
        <v>11.072507738567145</v>
      </c>
      <c r="AL60" s="202">
        <f t="shared" si="11"/>
        <v>10.777945638975874</v>
      </c>
      <c r="AM60" s="202">
        <f t="shared" si="11"/>
        <v>10.483383539384603</v>
      </c>
      <c r="AN60" s="202">
        <f t="shared" si="11"/>
        <v>10.188821439793333</v>
      </c>
      <c r="AO60" s="202">
        <f t="shared" si="11"/>
        <v>9.8942593402020602</v>
      </c>
      <c r="AP60" s="202">
        <f t="shared" si="11"/>
        <v>9.5996972406107925</v>
      </c>
      <c r="AQ60" s="202">
        <f t="shared" si="11"/>
        <v>9.3051351410195213</v>
      </c>
      <c r="AR60" s="202">
        <f t="shared" si="11"/>
        <v>9.0105730414282501</v>
      </c>
      <c r="AS60" s="202">
        <f t="shared" si="11"/>
        <v>8.7160109418369807</v>
      </c>
      <c r="AT60" s="202">
        <f t="shared" si="11"/>
        <v>8.4214488422457094</v>
      </c>
      <c r="AU60" s="202">
        <f t="shared" si="11"/>
        <v>8.12688674265444</v>
      </c>
      <c r="AV60" s="202">
        <f t="shared" si="11"/>
        <v>7.8323246430631688</v>
      </c>
      <c r="AW60" s="202">
        <f t="shared" si="11"/>
        <v>7.5377625434718984</v>
      </c>
      <c r="AX60" s="202">
        <f t="shared" si="11"/>
        <v>7.2432004438806183</v>
      </c>
    </row>
    <row r="61" spans="3:50">
      <c r="E61" s="198"/>
      <c r="O61" s="202"/>
      <c r="P61" s="202"/>
      <c r="Q61" s="202"/>
      <c r="R61" s="202"/>
      <c r="S61" s="202"/>
      <c r="T61" s="202"/>
      <c r="U61" s="202"/>
      <c r="V61" s="202"/>
      <c r="W61" s="202"/>
      <c r="X61" s="202"/>
      <c r="Y61" s="202"/>
      <c r="Z61" s="202"/>
      <c r="AA61" s="202"/>
      <c r="AB61" s="202"/>
      <c r="AC61" s="202"/>
      <c r="AD61" s="202"/>
      <c r="AE61" s="202"/>
      <c r="AF61" s="202"/>
      <c r="AG61" s="202"/>
      <c r="AH61" s="202"/>
      <c r="AI61" s="202"/>
      <c r="AJ61" s="202"/>
      <c r="AK61" s="202"/>
      <c r="AL61" s="202"/>
      <c r="AM61" s="202"/>
      <c r="AN61" s="202"/>
      <c r="AO61" s="202"/>
      <c r="AP61" s="202"/>
      <c r="AQ61" s="202"/>
      <c r="AR61" s="202"/>
      <c r="AS61" s="202"/>
      <c r="AT61" s="202"/>
      <c r="AU61" s="202"/>
      <c r="AV61" s="202"/>
      <c r="AW61" s="202"/>
      <c r="AX61" s="202"/>
    </row>
    <row r="62" spans="3:50" ht="18">
      <c r="E62" s="76" t="s">
        <v>195</v>
      </c>
      <c r="G62" s="44" t="s">
        <v>699</v>
      </c>
      <c r="I62" s="44"/>
      <c r="K62" s="44"/>
      <c r="M62" s="44"/>
      <c r="O62" s="105">
        <f>SUMIFS(O$92:O$95,$C$92:$C$95,$E$5)</f>
        <v>130.90448061007513</v>
      </c>
      <c r="P62" s="105">
        <f t="shared" ref="P62:AW62" si="12">SUMIFS(P$92:P$95,$C$92:$C$95,$E$5)</f>
        <v>130.90448061007513</v>
      </c>
      <c r="Q62" s="105">
        <f t="shared" si="12"/>
        <v>130.90448061007513</v>
      </c>
      <c r="R62" s="105">
        <f t="shared" si="12"/>
        <v>130.90448061007513</v>
      </c>
      <c r="S62" s="105">
        <f t="shared" si="12"/>
        <v>129.55624604254388</v>
      </c>
      <c r="T62" s="105">
        <f t="shared" si="12"/>
        <v>124.51411600130794</v>
      </c>
      <c r="U62" s="105">
        <f t="shared" si="12"/>
        <v>123.13751174989375</v>
      </c>
      <c r="V62" s="105">
        <f t="shared" si="12"/>
        <v>121.80656772978553</v>
      </c>
      <c r="W62" s="105">
        <f t="shared" si="12"/>
        <v>120.67756774653884</v>
      </c>
      <c r="X62" s="105">
        <f t="shared" si="12"/>
        <v>120.42463560242827</v>
      </c>
      <c r="Y62" s="105">
        <f t="shared" si="12"/>
        <v>118.47082169338726</v>
      </c>
      <c r="Z62" s="105">
        <f t="shared" si="12"/>
        <v>116.02986105424736</v>
      </c>
      <c r="AA62" s="105">
        <f t="shared" si="12"/>
        <v>114.41037929145946</v>
      </c>
      <c r="AB62" s="105">
        <f t="shared" si="12"/>
        <v>113.28201121717207</v>
      </c>
      <c r="AC62" s="105">
        <f t="shared" si="12"/>
        <v>112.21422274125932</v>
      </c>
      <c r="AD62" s="105">
        <f t="shared" si="12"/>
        <v>110.70433662560504</v>
      </c>
      <c r="AE62" s="105">
        <f t="shared" si="12"/>
        <v>109.3261434948264</v>
      </c>
      <c r="AF62" s="105">
        <f t="shared" si="12"/>
        <v>108.20322338232913</v>
      </c>
      <c r="AG62" s="105">
        <f t="shared" si="12"/>
        <v>107.12442569537804</v>
      </c>
      <c r="AH62" s="105">
        <f t="shared" si="12"/>
        <v>106.13508255746463</v>
      </c>
      <c r="AI62" s="105">
        <f t="shared" si="12"/>
        <v>105.13703420412678</v>
      </c>
      <c r="AJ62" s="105">
        <f t="shared" si="12"/>
        <v>104.07569935665873</v>
      </c>
      <c r="AK62" s="105">
        <f t="shared" si="12"/>
        <v>103.11370104638924</v>
      </c>
      <c r="AL62" s="105">
        <f t="shared" si="12"/>
        <v>102.24254050794131</v>
      </c>
      <c r="AM62" s="105">
        <f t="shared" si="12"/>
        <v>101.34555141955745</v>
      </c>
      <c r="AN62" s="105">
        <f t="shared" si="12"/>
        <v>100.41723652566478</v>
      </c>
      <c r="AO62" s="105">
        <f t="shared" si="12"/>
        <v>99.438987036374812</v>
      </c>
      <c r="AP62" s="105">
        <f t="shared" si="12"/>
        <v>98.556788610701147</v>
      </c>
      <c r="AQ62" s="105">
        <f t="shared" si="12"/>
        <v>97.694352086637664</v>
      </c>
      <c r="AR62" s="105">
        <f t="shared" si="12"/>
        <v>96.809097976344233</v>
      </c>
      <c r="AS62" s="105">
        <f t="shared" si="12"/>
        <v>95.876414138794971</v>
      </c>
      <c r="AT62" s="105">
        <f t="shared" si="12"/>
        <v>94.983372098533053</v>
      </c>
      <c r="AU62" s="105">
        <f t="shared" si="12"/>
        <v>94.100213607266397</v>
      </c>
      <c r="AV62" s="105">
        <f t="shared" si="12"/>
        <v>93.23012466763862</v>
      </c>
      <c r="AW62" s="105">
        <f t="shared" si="12"/>
        <v>92.354199553522918</v>
      </c>
      <c r="AX62" s="105">
        <f>SUMIFS(AX$92:AX$95,$C$92:$C$95,$E$5)</f>
        <v>91.497988070549255</v>
      </c>
    </row>
    <row r="63" spans="3:50">
      <c r="E63" s="76" t="s">
        <v>694</v>
      </c>
      <c r="G63" s="44" t="s">
        <v>452</v>
      </c>
      <c r="I63" s="44"/>
      <c r="K63" s="44"/>
      <c r="M63" s="44"/>
      <c r="O63" s="201">
        <f>IF(Dashboard!$D$5="Greater London",1,0)</f>
        <v>0</v>
      </c>
      <c r="P63" s="201">
        <f>IF(Dashboard!$D$5="Greater London",1,0)</f>
        <v>0</v>
      </c>
      <c r="Q63" s="201">
        <f>IF(Dashboard!$D$5="Greater London",1,0)</f>
        <v>0</v>
      </c>
      <c r="R63" s="201">
        <f>IF(Dashboard!$D$5="Greater London",1,0)</f>
        <v>0</v>
      </c>
      <c r="S63" s="201">
        <f>IF(Dashboard!$D$5="Greater London",1,0)</f>
        <v>0</v>
      </c>
      <c r="T63" s="201">
        <f>IF(Dashboard!$D$5="Greater London",1,0)</f>
        <v>0</v>
      </c>
      <c r="U63" s="201">
        <f>IF(Dashboard!$D$5="Greater London",1,0)</f>
        <v>0</v>
      </c>
      <c r="V63" s="201">
        <f>IF(Dashboard!$D$5="Greater London",1,0)</f>
        <v>0</v>
      </c>
      <c r="W63" s="201">
        <f>IF(Dashboard!$D$5="Greater London",1,0)</f>
        <v>0</v>
      </c>
      <c r="X63" s="201">
        <f>IF(Dashboard!$D$5="Greater London",1,0)</f>
        <v>0</v>
      </c>
      <c r="Y63" s="201">
        <f>IF(Dashboard!$D$5="Greater London",1,0)</f>
        <v>0</v>
      </c>
      <c r="Z63" s="201">
        <f>IF(Dashboard!$D$5="Greater London",1,0)</f>
        <v>0</v>
      </c>
      <c r="AA63" s="201">
        <f>IF(Dashboard!$D$5="Greater London",1,0)</f>
        <v>0</v>
      </c>
      <c r="AB63" s="201">
        <f>IF(Dashboard!$D$5="Greater London",1,0)</f>
        <v>0</v>
      </c>
      <c r="AC63" s="201">
        <f>IF(Dashboard!$D$5="Greater London",1,0)</f>
        <v>0</v>
      </c>
      <c r="AD63" s="201">
        <f>IF(Dashboard!$D$5="Greater London",1,0)</f>
        <v>0</v>
      </c>
      <c r="AE63" s="201">
        <f>IF(Dashboard!$D$5="Greater London",1,0)</f>
        <v>0</v>
      </c>
      <c r="AF63" s="201">
        <f>IF(Dashboard!$D$5="Greater London",1,0)</f>
        <v>0</v>
      </c>
      <c r="AG63" s="201">
        <f>IF(Dashboard!$D$5="Greater London",1,0)</f>
        <v>0</v>
      </c>
      <c r="AH63" s="201">
        <f>IF(Dashboard!$D$5="Greater London",1,0)</f>
        <v>0</v>
      </c>
      <c r="AI63" s="201">
        <f>IF(Dashboard!$D$5="Greater London",1,0)</f>
        <v>0</v>
      </c>
      <c r="AJ63" s="201">
        <f>IF(Dashboard!$D$5="Greater London",1,0)</f>
        <v>0</v>
      </c>
      <c r="AK63" s="201">
        <f>IF(Dashboard!$D$5="Greater London",1,0)</f>
        <v>0</v>
      </c>
      <c r="AL63" s="201">
        <f>IF(Dashboard!$D$5="Greater London",1,0)</f>
        <v>0</v>
      </c>
      <c r="AM63" s="201">
        <f>IF(Dashboard!$D$5="Greater London",1,0)</f>
        <v>0</v>
      </c>
      <c r="AN63" s="201">
        <f>IF(Dashboard!$D$5="Greater London",1,0)</f>
        <v>0</v>
      </c>
      <c r="AO63" s="201">
        <f>IF(Dashboard!$D$5="Greater London",1,0)</f>
        <v>0</v>
      </c>
      <c r="AP63" s="201">
        <f>IF(Dashboard!$D$5="Greater London",1,0)</f>
        <v>0</v>
      </c>
      <c r="AQ63" s="201">
        <f>IF(Dashboard!$D$5="Greater London",1,0)</f>
        <v>0</v>
      </c>
      <c r="AR63" s="201">
        <f>IF(Dashboard!$D$5="Greater London",1,0)</f>
        <v>0</v>
      </c>
      <c r="AS63" s="201">
        <f>IF(Dashboard!$D$5="Greater London",1,0)</f>
        <v>0</v>
      </c>
      <c r="AT63" s="201">
        <f>IF(Dashboard!$D$5="Greater London",1,0)</f>
        <v>0</v>
      </c>
      <c r="AU63" s="201">
        <f>IF(Dashboard!$D$5="Greater London",1,0)</f>
        <v>0</v>
      </c>
      <c r="AV63" s="201">
        <f>IF(Dashboard!$D$5="Greater London",1,0)</f>
        <v>0</v>
      </c>
      <c r="AW63" s="201">
        <f>IF(Dashboard!$D$5="Greater London",1,0)</f>
        <v>0</v>
      </c>
      <c r="AX63" s="201">
        <f>IF(Dashboard!$D$5="Greater London",1,0)</f>
        <v>0</v>
      </c>
    </row>
    <row r="64" spans="3:50" ht="18">
      <c r="E64" s="198" t="s">
        <v>701</v>
      </c>
      <c r="G64" s="44" t="s">
        <v>692</v>
      </c>
      <c r="I64" s="44"/>
      <c r="K64" s="44"/>
      <c r="M64" s="44"/>
      <c r="O64" s="202">
        <f t="shared" ref="O64:AX64" si="13">O62*O63</f>
        <v>0</v>
      </c>
      <c r="P64" s="202">
        <f t="shared" si="13"/>
        <v>0</v>
      </c>
      <c r="Q64" s="202">
        <f t="shared" si="13"/>
        <v>0</v>
      </c>
      <c r="R64" s="202">
        <f t="shared" si="13"/>
        <v>0</v>
      </c>
      <c r="S64" s="202">
        <f t="shared" si="13"/>
        <v>0</v>
      </c>
      <c r="T64" s="202">
        <f t="shared" si="13"/>
        <v>0</v>
      </c>
      <c r="U64" s="202">
        <f t="shared" si="13"/>
        <v>0</v>
      </c>
      <c r="V64" s="202">
        <f t="shared" si="13"/>
        <v>0</v>
      </c>
      <c r="W64" s="202">
        <f t="shared" si="13"/>
        <v>0</v>
      </c>
      <c r="X64" s="202">
        <f t="shared" si="13"/>
        <v>0</v>
      </c>
      <c r="Y64" s="202">
        <f t="shared" si="13"/>
        <v>0</v>
      </c>
      <c r="Z64" s="202">
        <f t="shared" si="13"/>
        <v>0</v>
      </c>
      <c r="AA64" s="202">
        <f t="shared" si="13"/>
        <v>0</v>
      </c>
      <c r="AB64" s="202">
        <f t="shared" si="13"/>
        <v>0</v>
      </c>
      <c r="AC64" s="202">
        <f t="shared" si="13"/>
        <v>0</v>
      </c>
      <c r="AD64" s="202">
        <f t="shared" si="13"/>
        <v>0</v>
      </c>
      <c r="AE64" s="202">
        <f t="shared" si="13"/>
        <v>0</v>
      </c>
      <c r="AF64" s="202">
        <f t="shared" si="13"/>
        <v>0</v>
      </c>
      <c r="AG64" s="202">
        <f t="shared" si="13"/>
        <v>0</v>
      </c>
      <c r="AH64" s="202">
        <f t="shared" si="13"/>
        <v>0</v>
      </c>
      <c r="AI64" s="202">
        <f t="shared" si="13"/>
        <v>0</v>
      </c>
      <c r="AJ64" s="202">
        <f t="shared" si="13"/>
        <v>0</v>
      </c>
      <c r="AK64" s="202">
        <f t="shared" si="13"/>
        <v>0</v>
      </c>
      <c r="AL64" s="202">
        <f t="shared" si="13"/>
        <v>0</v>
      </c>
      <c r="AM64" s="202">
        <f t="shared" si="13"/>
        <v>0</v>
      </c>
      <c r="AN64" s="202">
        <f t="shared" si="13"/>
        <v>0</v>
      </c>
      <c r="AO64" s="202">
        <f t="shared" si="13"/>
        <v>0</v>
      </c>
      <c r="AP64" s="202">
        <f t="shared" si="13"/>
        <v>0</v>
      </c>
      <c r="AQ64" s="202">
        <f t="shared" si="13"/>
        <v>0</v>
      </c>
      <c r="AR64" s="202">
        <f t="shared" si="13"/>
        <v>0</v>
      </c>
      <c r="AS64" s="202">
        <f t="shared" si="13"/>
        <v>0</v>
      </c>
      <c r="AT64" s="202">
        <f t="shared" si="13"/>
        <v>0</v>
      </c>
      <c r="AU64" s="202">
        <f t="shared" si="13"/>
        <v>0</v>
      </c>
      <c r="AV64" s="202">
        <f t="shared" si="13"/>
        <v>0</v>
      </c>
      <c r="AW64" s="202">
        <f t="shared" si="13"/>
        <v>0</v>
      </c>
      <c r="AX64" s="202">
        <f t="shared" si="13"/>
        <v>0</v>
      </c>
    </row>
    <row r="65" spans="2:50">
      <c r="E65" s="198"/>
      <c r="O65" s="202"/>
      <c r="P65" s="202"/>
      <c r="Q65" s="202"/>
      <c r="R65" s="202"/>
      <c r="S65" s="202"/>
      <c r="T65" s="202"/>
      <c r="U65" s="202"/>
      <c r="V65" s="202"/>
      <c r="W65" s="202"/>
      <c r="X65" s="202"/>
      <c r="Y65" s="202"/>
      <c r="Z65" s="202"/>
      <c r="AA65" s="202"/>
      <c r="AB65" s="202"/>
      <c r="AC65" s="202"/>
      <c r="AD65" s="202"/>
      <c r="AE65" s="202"/>
      <c r="AF65" s="202"/>
      <c r="AG65" s="202"/>
      <c r="AH65" s="202"/>
      <c r="AI65" s="202"/>
      <c r="AJ65" s="202"/>
      <c r="AK65" s="202"/>
      <c r="AL65" s="202"/>
      <c r="AM65" s="202"/>
      <c r="AN65" s="202"/>
      <c r="AO65" s="202"/>
      <c r="AP65" s="202"/>
      <c r="AQ65" s="202"/>
      <c r="AR65" s="202"/>
      <c r="AS65" s="202"/>
      <c r="AT65" s="202"/>
      <c r="AU65" s="202"/>
      <c r="AV65" s="202"/>
      <c r="AW65" s="202"/>
      <c r="AX65" s="202"/>
    </row>
    <row r="66" spans="2:50" s="630" customFormat="1">
      <c r="B66" s="630" t="s">
        <v>702</v>
      </c>
      <c r="E66" s="631"/>
      <c r="G66" s="632"/>
      <c r="I66" s="632"/>
      <c r="K66" s="632"/>
      <c r="M66" s="632"/>
      <c r="O66" s="633"/>
      <c r="P66" s="633"/>
      <c r="Q66" s="633"/>
      <c r="R66" s="633"/>
      <c r="S66" s="633"/>
      <c r="T66" s="633"/>
      <c r="U66" s="633"/>
      <c r="V66" s="633"/>
      <c r="W66" s="633"/>
      <c r="X66" s="633"/>
      <c r="Y66" s="633"/>
      <c r="Z66" s="633"/>
      <c r="AA66" s="633"/>
      <c r="AB66" s="633"/>
      <c r="AC66" s="633"/>
      <c r="AD66" s="633"/>
      <c r="AE66" s="633"/>
      <c r="AF66" s="633"/>
      <c r="AG66" s="633"/>
      <c r="AH66" s="633"/>
      <c r="AI66" s="633"/>
      <c r="AJ66" s="633"/>
      <c r="AK66" s="633"/>
      <c r="AL66" s="633"/>
      <c r="AM66" s="633"/>
      <c r="AN66" s="633"/>
      <c r="AO66" s="633"/>
      <c r="AP66" s="633"/>
      <c r="AQ66" s="633"/>
      <c r="AR66" s="633"/>
      <c r="AS66" s="633"/>
      <c r="AT66" s="633"/>
      <c r="AU66" s="633"/>
      <c r="AV66" s="633"/>
      <c r="AW66" s="633"/>
      <c r="AX66" s="633"/>
    </row>
    <row r="67" spans="2:50">
      <c r="C67" s="35" t="s">
        <v>190</v>
      </c>
      <c r="E67" s="198"/>
      <c r="G67" s="44"/>
      <c r="I67" s="44"/>
      <c r="K67" s="44"/>
      <c r="M67" s="44"/>
      <c r="O67" s="202"/>
      <c r="P67" s="202"/>
      <c r="Q67" s="202"/>
      <c r="R67" s="202"/>
      <c r="S67" s="202"/>
      <c r="T67" s="202"/>
      <c r="U67" s="202"/>
      <c r="V67" s="202"/>
      <c r="W67" s="202"/>
      <c r="X67" s="202"/>
      <c r="Y67" s="202"/>
      <c r="Z67" s="202"/>
      <c r="AA67" s="202"/>
      <c r="AB67" s="202"/>
      <c r="AC67" s="202"/>
      <c r="AD67" s="202"/>
      <c r="AE67" s="202"/>
      <c r="AF67" s="202"/>
      <c r="AG67" s="202"/>
      <c r="AH67" s="202"/>
      <c r="AI67" s="202"/>
      <c r="AJ67" s="202"/>
      <c r="AK67" s="202"/>
      <c r="AL67" s="202"/>
      <c r="AM67" s="202"/>
      <c r="AN67" s="202"/>
      <c r="AO67" s="202"/>
      <c r="AP67" s="202"/>
      <c r="AQ67" s="202"/>
      <c r="AR67" s="202"/>
      <c r="AS67" s="202"/>
      <c r="AT67" s="202"/>
      <c r="AU67" s="202"/>
      <c r="AV67" s="202"/>
      <c r="AW67" s="202"/>
      <c r="AX67" s="202"/>
    </row>
    <row r="68" spans="2:50" ht="18">
      <c r="C68" t="str">
        <f>INDEX('Scenario names'!$C$3:$C$6,1)</f>
        <v>High Electrification</v>
      </c>
      <c r="E68" s="76" t="s">
        <v>190</v>
      </c>
      <c r="G68" s="44" t="s">
        <v>692</v>
      </c>
      <c r="I68" s="44"/>
      <c r="K68" s="44"/>
      <c r="M68" s="44"/>
      <c r="O68" s="109">
        <v>906.23800000000006</v>
      </c>
      <c r="P68" s="109">
        <v>915.56</v>
      </c>
      <c r="Q68" s="109">
        <v>975.720965686677</v>
      </c>
      <c r="R68" s="109">
        <v>988.76727442632807</v>
      </c>
      <c r="S68" s="109">
        <v>997.77442496415165</v>
      </c>
      <c r="T68" s="109">
        <v>393.08800761259147</v>
      </c>
      <c r="U68" s="109">
        <v>393.08800761259147</v>
      </c>
      <c r="V68" s="109">
        <v>458.87272754540538</v>
      </c>
      <c r="W68" s="109">
        <v>524.54162095411664</v>
      </c>
      <c r="X68" s="109">
        <v>590.09468783872512</v>
      </c>
      <c r="Y68" s="109">
        <v>655.53192819923106</v>
      </c>
      <c r="Z68" s="109">
        <v>716.62143967862414</v>
      </c>
      <c r="AA68" s="109">
        <v>776.82140345290861</v>
      </c>
      <c r="AB68" s="109">
        <v>836.13181952208447</v>
      </c>
      <c r="AC68" s="109">
        <v>894.55268788615206</v>
      </c>
      <c r="AD68" s="109">
        <v>952.08400854511126</v>
      </c>
      <c r="AE68" s="109">
        <v>957.39764387787829</v>
      </c>
      <c r="AF68" s="109">
        <v>953.36137226776077</v>
      </c>
      <c r="AG68" s="109">
        <v>948.93836905743319</v>
      </c>
      <c r="AH68" s="109">
        <v>944.12863424689544</v>
      </c>
      <c r="AI68" s="109">
        <v>977.02566304251525</v>
      </c>
      <c r="AJ68" s="109">
        <v>977.95460989683875</v>
      </c>
      <c r="AK68" s="109">
        <v>978.63784808346725</v>
      </c>
      <c r="AL68" s="109">
        <v>979.07537760240075</v>
      </c>
      <c r="AM68" s="109">
        <v>979.26719845363959</v>
      </c>
      <c r="AN68" s="109">
        <v>979.21331063718321</v>
      </c>
      <c r="AO68" s="109">
        <v>971.04065473041237</v>
      </c>
      <c r="AP68" s="109">
        <v>962.4492558829221</v>
      </c>
      <c r="AQ68" s="109">
        <v>953.43911409471207</v>
      </c>
      <c r="AR68" s="109">
        <v>944.01022936578249</v>
      </c>
      <c r="AS68" s="109">
        <v>934.16260169613361</v>
      </c>
      <c r="AT68" s="109">
        <v>909.44440860274983</v>
      </c>
      <c r="AU68" s="109">
        <v>884.00639293358358</v>
      </c>
      <c r="AV68" s="109">
        <v>857.84855468863509</v>
      </c>
      <c r="AW68" s="109">
        <v>830.97089386790412</v>
      </c>
      <c r="AX68" s="109">
        <v>803.37341047139148</v>
      </c>
    </row>
    <row r="69" spans="2:50" ht="18">
      <c r="C69" t="str">
        <f>INDEX('Scenario names'!$C$3:$C$6,2)</f>
        <v>High Hydrogen</v>
      </c>
      <c r="E69" s="76" t="s">
        <v>190</v>
      </c>
      <c r="G69" s="44" t="s">
        <v>692</v>
      </c>
      <c r="I69" s="44"/>
      <c r="K69" s="44"/>
      <c r="M69" s="44"/>
      <c r="O69" s="109">
        <v>906.23800000000006</v>
      </c>
      <c r="P69" s="109">
        <v>915.56</v>
      </c>
      <c r="Q69" s="109">
        <v>975.720965686677</v>
      </c>
      <c r="R69" s="109">
        <v>988.76727442632807</v>
      </c>
      <c r="S69" s="109">
        <v>997.77442496415165</v>
      </c>
      <c r="T69" s="109">
        <v>393.08800761259147</v>
      </c>
      <c r="U69" s="109">
        <v>393.08800761259147</v>
      </c>
      <c r="V69" s="109">
        <v>458.87272754540538</v>
      </c>
      <c r="W69" s="109">
        <v>524.54162095411664</v>
      </c>
      <c r="X69" s="109">
        <v>590.09468783872512</v>
      </c>
      <c r="Y69" s="109">
        <v>655.53192819923106</v>
      </c>
      <c r="Z69" s="109">
        <v>716.62143967862414</v>
      </c>
      <c r="AA69" s="109">
        <v>776.82140345290861</v>
      </c>
      <c r="AB69" s="109">
        <v>836.13181952208447</v>
      </c>
      <c r="AC69" s="109">
        <v>894.55268788615206</v>
      </c>
      <c r="AD69" s="109">
        <v>952.08400854511126</v>
      </c>
      <c r="AE69" s="109">
        <v>957.39764387787829</v>
      </c>
      <c r="AF69" s="109">
        <v>953.36137226776077</v>
      </c>
      <c r="AG69" s="109">
        <v>948.93836905743319</v>
      </c>
      <c r="AH69" s="109">
        <v>944.12863424689544</v>
      </c>
      <c r="AI69" s="109">
        <v>977.02566304251525</v>
      </c>
      <c r="AJ69" s="109">
        <v>977.95460989683875</v>
      </c>
      <c r="AK69" s="109">
        <v>978.63784808346725</v>
      </c>
      <c r="AL69" s="109">
        <v>979.07537760240075</v>
      </c>
      <c r="AM69" s="109">
        <v>979.26719845363959</v>
      </c>
      <c r="AN69" s="109">
        <v>979.21331063718321</v>
      </c>
      <c r="AO69" s="109">
        <v>971.04065473041237</v>
      </c>
      <c r="AP69" s="109">
        <v>962.4492558829221</v>
      </c>
      <c r="AQ69" s="109">
        <v>953.43911409471207</v>
      </c>
      <c r="AR69" s="109">
        <v>944.01022936578249</v>
      </c>
      <c r="AS69" s="109">
        <v>934.16260169613361</v>
      </c>
      <c r="AT69" s="109">
        <v>909.44440860274983</v>
      </c>
      <c r="AU69" s="109">
        <v>884.00639293358358</v>
      </c>
      <c r="AV69" s="109">
        <v>857.84855468863509</v>
      </c>
      <c r="AW69" s="109">
        <v>830.97089386790412</v>
      </c>
      <c r="AX69" s="109">
        <v>803.37341047139148</v>
      </c>
    </row>
    <row r="70" spans="2:50" ht="18">
      <c r="C70" t="str">
        <f>INDEX('Scenario names'!$C$3:$C$6,3)</f>
        <v>Accelerated Green</v>
      </c>
      <c r="E70" s="76" t="s">
        <v>190</v>
      </c>
      <c r="G70" s="44" t="s">
        <v>692</v>
      </c>
      <c r="I70" s="44"/>
      <c r="K70" s="44"/>
      <c r="M70" s="44"/>
      <c r="O70" s="109">
        <v>906.23800000000006</v>
      </c>
      <c r="P70" s="109">
        <v>915.56</v>
      </c>
      <c r="Q70" s="109">
        <v>975.720965686677</v>
      </c>
      <c r="R70" s="109">
        <v>988.76727442632807</v>
      </c>
      <c r="S70" s="109">
        <v>997.77442496415165</v>
      </c>
      <c r="T70" s="109">
        <v>393.08800761259147</v>
      </c>
      <c r="U70" s="109">
        <v>393.08800761259147</v>
      </c>
      <c r="V70" s="109">
        <v>403.98927737533847</v>
      </c>
      <c r="W70" s="109">
        <v>414.87085076566308</v>
      </c>
      <c r="X70" s="109">
        <v>425.73272778356545</v>
      </c>
      <c r="Y70" s="109">
        <v>436.57490842904537</v>
      </c>
      <c r="Z70" s="109">
        <v>444.7708638781545</v>
      </c>
      <c r="AA70" s="109">
        <v>452.81555118706001</v>
      </c>
      <c r="AB70" s="109">
        <v>460.70897035576206</v>
      </c>
      <c r="AC70" s="109">
        <v>468.4511213842606</v>
      </c>
      <c r="AD70" s="109">
        <v>476.04200427255563</v>
      </c>
      <c r="AE70" s="109">
        <v>489.33657353758224</v>
      </c>
      <c r="AF70" s="109">
        <v>497.60813089097752</v>
      </c>
      <c r="AG70" s="109">
        <v>505.33826400407872</v>
      </c>
      <c r="AH70" s="109">
        <v>512.52697287688602</v>
      </c>
      <c r="AI70" s="109">
        <v>540.23771956468477</v>
      </c>
      <c r="AJ70" s="109">
        <v>550.38375719775559</v>
      </c>
      <c r="AK70" s="109">
        <v>560.18580269605354</v>
      </c>
      <c r="AL70" s="109">
        <v>569.64385605957852</v>
      </c>
      <c r="AM70" s="109">
        <v>578.75791728833065</v>
      </c>
      <c r="AN70" s="109">
        <v>587.52798638230979</v>
      </c>
      <c r="AO70" s="109">
        <v>591.16101397873445</v>
      </c>
      <c r="AP70" s="109">
        <v>594.20780145815183</v>
      </c>
      <c r="AQ70" s="109">
        <v>596.66834882056162</v>
      </c>
      <c r="AR70" s="109">
        <v>598.54265606596414</v>
      </c>
      <c r="AS70" s="109">
        <v>599.83072319435928</v>
      </c>
      <c r="AT70" s="109">
        <v>591.13886559178729</v>
      </c>
      <c r="AU70" s="109">
        <v>581.43925638311987</v>
      </c>
      <c r="AV70" s="109">
        <v>570.73189556835712</v>
      </c>
      <c r="AW70" s="109">
        <v>559.01678314749904</v>
      </c>
      <c r="AX70" s="109">
        <v>546.29391912054632</v>
      </c>
    </row>
    <row r="71" spans="2:50" ht="18">
      <c r="C71" t="str">
        <f>INDEX('Scenario names'!$C$3:$C$6,4)</f>
        <v>No Constraints</v>
      </c>
      <c r="E71" s="76" t="s">
        <v>190</v>
      </c>
      <c r="G71" s="44" t="s">
        <v>692</v>
      </c>
      <c r="I71" s="44"/>
      <c r="K71" s="44"/>
      <c r="M71" s="44"/>
      <c r="O71" s="109">
        <v>906.23800000000006</v>
      </c>
      <c r="P71" s="109">
        <v>915.56</v>
      </c>
      <c r="Q71" s="109">
        <v>975.720965686677</v>
      </c>
      <c r="R71" s="109">
        <v>988.76727442632807</v>
      </c>
      <c r="S71" s="109">
        <v>997.77442496415165</v>
      </c>
      <c r="T71" s="109">
        <v>393.08800761259147</v>
      </c>
      <c r="U71" s="109">
        <v>393.08800761259147</v>
      </c>
      <c r="V71" s="109">
        <v>392.74405560593044</v>
      </c>
      <c r="W71" s="109">
        <v>392.40010359926947</v>
      </c>
      <c r="X71" s="109">
        <v>392.05615159260844</v>
      </c>
      <c r="Y71" s="109">
        <v>391.71219958594736</v>
      </c>
      <c r="Z71" s="109">
        <v>389.07064817479085</v>
      </c>
      <c r="AA71" s="109">
        <v>386.42909676363416</v>
      </c>
      <c r="AB71" s="109">
        <v>383.78754535247754</v>
      </c>
      <c r="AC71" s="109">
        <v>381.14599394132097</v>
      </c>
      <c r="AD71" s="109">
        <v>378.50444253016434</v>
      </c>
      <c r="AE71" s="109">
        <v>397.30908886294367</v>
      </c>
      <c r="AF71" s="109">
        <v>411.85049115391087</v>
      </c>
      <c r="AG71" s="109">
        <v>425.691992192074</v>
      </c>
      <c r="AH71" s="109">
        <v>438.83359197743289</v>
      </c>
      <c r="AI71" s="109">
        <v>469.58401791828572</v>
      </c>
      <c r="AJ71" s="109">
        <v>485.14511731854395</v>
      </c>
      <c r="AK71" s="109">
        <v>500.26153672820635</v>
      </c>
      <c r="AL71" s="109">
        <v>514.93327614727286</v>
      </c>
      <c r="AM71" s="109">
        <v>529.16033557574337</v>
      </c>
      <c r="AN71" s="109">
        <v>542.94271501361811</v>
      </c>
      <c r="AO71" s="109">
        <v>551.80644633135717</v>
      </c>
      <c r="AP71" s="109">
        <v>559.91234273554528</v>
      </c>
      <c r="AQ71" s="109">
        <v>567.26040422618291</v>
      </c>
      <c r="AR71" s="109">
        <v>573.85063080326972</v>
      </c>
      <c r="AS71" s="109">
        <v>579.68302246680571</v>
      </c>
      <c r="AT71" s="109">
        <v>575.61065075653823</v>
      </c>
      <c r="AU71" s="109">
        <v>570.23555456677843</v>
      </c>
      <c r="AV71" s="109">
        <v>563.55773389752653</v>
      </c>
      <c r="AW71" s="109">
        <v>555.57718874878231</v>
      </c>
      <c r="AX71" s="109">
        <v>546.29391912054632</v>
      </c>
    </row>
    <row r="72" spans="2:50">
      <c r="E72" s="198"/>
      <c r="G72" s="44"/>
      <c r="I72" s="44"/>
      <c r="K72" s="44"/>
      <c r="M72" s="44"/>
      <c r="O72" s="202"/>
      <c r="P72" s="202"/>
      <c r="Q72" s="202"/>
      <c r="R72" s="202"/>
      <c r="S72" s="202"/>
      <c r="T72" s="202"/>
      <c r="U72" s="202"/>
      <c r="V72" s="202"/>
      <c r="W72" s="202"/>
      <c r="X72" s="202"/>
      <c r="Y72" s="202"/>
      <c r="Z72" s="202"/>
      <c r="AA72" s="202"/>
      <c r="AB72" s="202"/>
      <c r="AC72" s="202"/>
      <c r="AD72" s="202"/>
      <c r="AE72" s="202"/>
      <c r="AF72" s="202"/>
      <c r="AG72" s="202"/>
      <c r="AH72" s="202"/>
      <c r="AI72" s="202"/>
      <c r="AJ72" s="202"/>
      <c r="AK72" s="202"/>
      <c r="AL72" s="202"/>
      <c r="AM72" s="202"/>
      <c r="AN72" s="202"/>
      <c r="AO72" s="202"/>
      <c r="AP72" s="202"/>
      <c r="AQ72" s="202"/>
      <c r="AR72" s="202"/>
      <c r="AS72" s="202"/>
      <c r="AT72" s="202"/>
      <c r="AU72" s="202"/>
      <c r="AV72" s="202"/>
      <c r="AW72" s="202"/>
      <c r="AX72" s="202"/>
    </row>
    <row r="73" spans="2:50">
      <c r="C73" s="35" t="s">
        <v>241</v>
      </c>
      <c r="E73" s="198"/>
      <c r="G73" s="44"/>
      <c r="I73" s="44"/>
      <c r="K73" s="44"/>
      <c r="M73" s="44"/>
      <c r="O73" s="202"/>
      <c r="P73" s="202"/>
      <c r="Q73" s="202"/>
      <c r="R73" s="202"/>
      <c r="S73" s="202"/>
      <c r="T73" s="202"/>
      <c r="U73" s="202"/>
      <c r="V73" s="202"/>
      <c r="W73" s="202"/>
      <c r="X73" s="202"/>
      <c r="Y73" s="202"/>
      <c r="Z73" s="202"/>
      <c r="AA73" s="202"/>
      <c r="AB73" s="202"/>
      <c r="AC73" s="202"/>
      <c r="AD73" s="202"/>
      <c r="AE73" s="202"/>
      <c r="AF73" s="202"/>
      <c r="AG73" s="202"/>
      <c r="AH73" s="202"/>
      <c r="AI73" s="202"/>
      <c r="AJ73" s="202"/>
      <c r="AK73" s="202"/>
      <c r="AL73" s="202"/>
      <c r="AM73" s="202"/>
      <c r="AN73" s="202"/>
      <c r="AO73" s="202"/>
      <c r="AP73" s="202"/>
      <c r="AQ73" s="202"/>
      <c r="AR73" s="202"/>
      <c r="AS73" s="202"/>
      <c r="AT73" s="202"/>
      <c r="AU73" s="202"/>
      <c r="AV73" s="202"/>
      <c r="AW73" s="202"/>
      <c r="AX73" s="202"/>
    </row>
    <row r="74" spans="2:50" ht="18">
      <c r="C74" t="str">
        <f>INDEX('Scenario names'!$C$3:$C$6,1)</f>
        <v>High Electrification</v>
      </c>
      <c r="E74" s="76" t="s">
        <v>241</v>
      </c>
      <c r="G74" s="44" t="s">
        <v>692</v>
      </c>
      <c r="I74" s="44"/>
      <c r="K74" s="44"/>
      <c r="M74" s="44"/>
      <c r="O74" s="109">
        <v>42.954299999999996</v>
      </c>
      <c r="P74" s="109">
        <v>42.954299999999996</v>
      </c>
      <c r="Q74" s="109">
        <v>41.843985689922235</v>
      </c>
      <c r="R74" s="109">
        <v>40.733671379844466</v>
      </c>
      <c r="S74" s="109">
        <v>41.011249957363908</v>
      </c>
      <c r="T74" s="109">
        <v>41.288828534883343</v>
      </c>
      <c r="U74" s="109">
        <v>41.566407112402793</v>
      </c>
      <c r="V74" s="109">
        <v>41.843985689922235</v>
      </c>
      <c r="W74" s="109">
        <v>42.121564267441677</v>
      </c>
      <c r="X74" s="109">
        <v>42.399142844961112</v>
      </c>
      <c r="Y74" s="109">
        <v>42.676721422480547</v>
      </c>
      <c r="Z74" s="109">
        <v>42.954299999999996</v>
      </c>
      <c r="AA74" s="109">
        <v>41.251162004999991</v>
      </c>
      <c r="AB74" s="109">
        <v>39.548024009999992</v>
      </c>
      <c r="AC74" s="109">
        <v>37.844886014999993</v>
      </c>
      <c r="AD74" s="109">
        <v>36.141748019999994</v>
      </c>
      <c r="AE74" s="109">
        <v>34.438610024999996</v>
      </c>
      <c r="AF74" s="109">
        <v>32.468725826999993</v>
      </c>
      <c r="AG74" s="109">
        <v>30.49884162899999</v>
      </c>
      <c r="AH74" s="109">
        <v>28.528957430999991</v>
      </c>
      <c r="AI74" s="109">
        <v>26.559073232999989</v>
      </c>
      <c r="AJ74" s="109">
        <v>24.58918903499999</v>
      </c>
      <c r="AK74" s="109">
        <v>22.619304836999987</v>
      </c>
      <c r="AL74" s="109">
        <v>20.649420638999992</v>
      </c>
      <c r="AM74" s="109">
        <v>18.679536440999993</v>
      </c>
      <c r="AN74" s="109">
        <v>16.709652242999994</v>
      </c>
      <c r="AO74" s="109">
        <v>14.739768044999996</v>
      </c>
      <c r="AP74" s="109">
        <v>13.791766643999999</v>
      </c>
      <c r="AQ74" s="109">
        <v>12.843765242999998</v>
      </c>
      <c r="AR74" s="109">
        <v>11.895763842000001</v>
      </c>
      <c r="AS74" s="109">
        <v>10.947762440999998</v>
      </c>
      <c r="AT74" s="109">
        <v>9.999761040000001</v>
      </c>
      <c r="AU74" s="109">
        <v>9.0517596390000001</v>
      </c>
      <c r="AV74" s="109">
        <v>8.1037582380000011</v>
      </c>
      <c r="AW74" s="109">
        <v>7.155756837000002</v>
      </c>
      <c r="AX74" s="109">
        <v>6.207755436000002</v>
      </c>
    </row>
    <row r="75" spans="2:50" ht="18">
      <c r="C75" t="str">
        <f>INDEX('Scenario names'!$C$3:$C$6,2)</f>
        <v>High Hydrogen</v>
      </c>
      <c r="E75" s="76" t="s">
        <v>241</v>
      </c>
      <c r="G75" s="44" t="s">
        <v>692</v>
      </c>
      <c r="I75" s="44"/>
      <c r="K75" s="44"/>
      <c r="M75" s="44"/>
      <c r="O75" s="109">
        <v>42.954299999999996</v>
      </c>
      <c r="P75" s="109">
        <v>42.954299999999996</v>
      </c>
      <c r="Q75" s="109">
        <v>41.843985689922235</v>
      </c>
      <c r="R75" s="109">
        <v>40.733671379844466</v>
      </c>
      <c r="S75" s="109">
        <v>41.011249957363908</v>
      </c>
      <c r="T75" s="109">
        <v>41.288828534883343</v>
      </c>
      <c r="U75" s="109">
        <v>41.566407112402793</v>
      </c>
      <c r="V75" s="109">
        <v>41.843985689922235</v>
      </c>
      <c r="W75" s="109">
        <v>42.121564267441677</v>
      </c>
      <c r="X75" s="109">
        <v>42.399142844961112</v>
      </c>
      <c r="Y75" s="109">
        <v>42.676721422480547</v>
      </c>
      <c r="Z75" s="109">
        <v>42.954299999999996</v>
      </c>
      <c r="AA75" s="109">
        <v>41.251162004999991</v>
      </c>
      <c r="AB75" s="109">
        <v>39.548024009999992</v>
      </c>
      <c r="AC75" s="109">
        <v>37.844886014999993</v>
      </c>
      <c r="AD75" s="109">
        <v>36.141748019999994</v>
      </c>
      <c r="AE75" s="109">
        <v>34.438610024999996</v>
      </c>
      <c r="AF75" s="109">
        <v>32.468725826999993</v>
      </c>
      <c r="AG75" s="109">
        <v>30.49884162899999</v>
      </c>
      <c r="AH75" s="109">
        <v>28.528957430999991</v>
      </c>
      <c r="AI75" s="109">
        <v>26.559073232999989</v>
      </c>
      <c r="AJ75" s="109">
        <v>24.58918903499999</v>
      </c>
      <c r="AK75" s="109">
        <v>22.619304836999987</v>
      </c>
      <c r="AL75" s="109">
        <v>20.649420638999992</v>
      </c>
      <c r="AM75" s="109">
        <v>18.679536440999993</v>
      </c>
      <c r="AN75" s="109">
        <v>16.709652242999994</v>
      </c>
      <c r="AO75" s="109">
        <v>14.739768044999996</v>
      </c>
      <c r="AP75" s="109">
        <v>13.791766643999999</v>
      </c>
      <c r="AQ75" s="109">
        <v>12.843765242999998</v>
      </c>
      <c r="AR75" s="109">
        <v>11.895763842000001</v>
      </c>
      <c r="AS75" s="109">
        <v>10.947762440999998</v>
      </c>
      <c r="AT75" s="109">
        <v>9.999761040000001</v>
      </c>
      <c r="AU75" s="109">
        <v>9.0517596390000001</v>
      </c>
      <c r="AV75" s="109">
        <v>8.1037582380000011</v>
      </c>
      <c r="AW75" s="109">
        <v>7.155756837000002</v>
      </c>
      <c r="AX75" s="109">
        <v>6.207755436000002</v>
      </c>
    </row>
    <row r="76" spans="2:50" ht="18">
      <c r="C76" t="str">
        <f>INDEX('Scenario names'!$C$3:$C$6,3)</f>
        <v>Accelerated Green</v>
      </c>
      <c r="E76" s="76" t="s">
        <v>241</v>
      </c>
      <c r="G76" s="44" t="s">
        <v>692</v>
      </c>
      <c r="I76" s="44"/>
      <c r="K76" s="44"/>
      <c r="M76" s="44"/>
      <c r="O76" s="109">
        <v>42.954299999999996</v>
      </c>
      <c r="P76" s="109">
        <v>42.954299999999996</v>
      </c>
      <c r="Q76" s="109">
        <v>41.843985689922235</v>
      </c>
      <c r="R76" s="109">
        <v>40.733671379844466</v>
      </c>
      <c r="S76" s="109">
        <v>41.011249957363908</v>
      </c>
      <c r="T76" s="109">
        <v>41.288828534883343</v>
      </c>
      <c r="U76" s="109">
        <v>41.566407112402793</v>
      </c>
      <c r="V76" s="109">
        <v>41.843985689922235</v>
      </c>
      <c r="W76" s="109">
        <v>42.121564267441677</v>
      </c>
      <c r="X76" s="109">
        <v>42.399142844961112</v>
      </c>
      <c r="Y76" s="109">
        <v>42.676721422480547</v>
      </c>
      <c r="Z76" s="109">
        <v>42.954299999999996</v>
      </c>
      <c r="AA76" s="109">
        <v>38.866768811999997</v>
      </c>
      <c r="AB76" s="109">
        <v>34.779237623999997</v>
      </c>
      <c r="AC76" s="109">
        <v>30.691706435999993</v>
      </c>
      <c r="AD76" s="109">
        <v>26.604175247999994</v>
      </c>
      <c r="AE76" s="109">
        <v>22.516644059999997</v>
      </c>
      <c r="AF76" s="109">
        <v>21.619736798849996</v>
      </c>
      <c r="AG76" s="109">
        <v>20.722829537699997</v>
      </c>
      <c r="AH76" s="109">
        <v>19.825922276549996</v>
      </c>
      <c r="AI76" s="109">
        <v>18.929015015399994</v>
      </c>
      <c r="AJ76" s="109">
        <v>18.032107754249996</v>
      </c>
      <c r="AK76" s="109">
        <v>17.135200493099994</v>
      </c>
      <c r="AL76" s="109">
        <v>16.238293231949992</v>
      </c>
      <c r="AM76" s="109">
        <v>15.341385970799992</v>
      </c>
      <c r="AN76" s="109">
        <v>14.444478709649992</v>
      </c>
      <c r="AO76" s="109">
        <v>13.547571448499992</v>
      </c>
      <c r="AP76" s="109">
        <v>12.650664187349994</v>
      </c>
      <c r="AQ76" s="109">
        <v>11.753756926199992</v>
      </c>
      <c r="AR76" s="109">
        <v>10.856849665049994</v>
      </c>
      <c r="AS76" s="109">
        <v>9.9599424038999924</v>
      </c>
      <c r="AT76" s="109">
        <v>9.063035142749996</v>
      </c>
      <c r="AU76" s="109">
        <v>8.1661278815999943</v>
      </c>
      <c r="AV76" s="109">
        <v>7.2692206204499952</v>
      </c>
      <c r="AW76" s="109">
        <v>6.3723133592999961</v>
      </c>
      <c r="AX76" s="109">
        <v>5.4754060981499961</v>
      </c>
    </row>
    <row r="77" spans="2:50" ht="18">
      <c r="C77" t="str">
        <f>INDEX('Scenario names'!$C$3:$C$6,4)</f>
        <v>No Constraints</v>
      </c>
      <c r="E77" s="76" t="s">
        <v>241</v>
      </c>
      <c r="G77" s="44" t="s">
        <v>692</v>
      </c>
      <c r="I77" s="44"/>
      <c r="K77" s="44"/>
      <c r="M77" s="44"/>
      <c r="O77" s="109">
        <v>42.954299999999996</v>
      </c>
      <c r="P77" s="109">
        <v>42.954299999999996</v>
      </c>
      <c r="Q77" s="109">
        <v>41.843985689922235</v>
      </c>
      <c r="R77" s="109">
        <v>40.733671379844466</v>
      </c>
      <c r="S77" s="109">
        <v>41.011249957363908</v>
      </c>
      <c r="T77" s="109">
        <v>41.288828534883343</v>
      </c>
      <c r="U77" s="109">
        <v>41.566407112402793</v>
      </c>
      <c r="V77" s="109">
        <v>41.843985689922235</v>
      </c>
      <c r="W77" s="109">
        <v>42.121564267441677</v>
      </c>
      <c r="X77" s="109">
        <v>42.399142844961112</v>
      </c>
      <c r="Y77" s="109">
        <v>42.676721422480547</v>
      </c>
      <c r="Z77" s="109">
        <v>42.954299999999996</v>
      </c>
      <c r="AA77" s="109">
        <v>38.866768811999997</v>
      </c>
      <c r="AB77" s="109">
        <v>34.779237623999997</v>
      </c>
      <c r="AC77" s="109">
        <v>30.691706435999993</v>
      </c>
      <c r="AD77" s="109">
        <v>26.604175247999994</v>
      </c>
      <c r="AE77" s="109">
        <v>22.516644059999997</v>
      </c>
      <c r="AF77" s="109">
        <v>21.619736798849996</v>
      </c>
      <c r="AG77" s="109">
        <v>20.722829537699997</v>
      </c>
      <c r="AH77" s="109">
        <v>19.825922276549996</v>
      </c>
      <c r="AI77" s="109">
        <v>18.929015015399994</v>
      </c>
      <c r="AJ77" s="109">
        <v>18.032107754249996</v>
      </c>
      <c r="AK77" s="109">
        <v>17.135200493099994</v>
      </c>
      <c r="AL77" s="109">
        <v>16.238293231949992</v>
      </c>
      <c r="AM77" s="109">
        <v>15.341385970799992</v>
      </c>
      <c r="AN77" s="109">
        <v>14.444478709649992</v>
      </c>
      <c r="AO77" s="109">
        <v>13.547571448499992</v>
      </c>
      <c r="AP77" s="109">
        <v>12.650664187349994</v>
      </c>
      <c r="AQ77" s="109">
        <v>11.753756926199992</v>
      </c>
      <c r="AR77" s="109">
        <v>10.856849665049994</v>
      </c>
      <c r="AS77" s="109">
        <v>9.9599424038999924</v>
      </c>
      <c r="AT77" s="109">
        <v>9.063035142749996</v>
      </c>
      <c r="AU77" s="109">
        <v>8.1661278815999943</v>
      </c>
      <c r="AV77" s="109">
        <v>7.2692206204499952</v>
      </c>
      <c r="AW77" s="109">
        <v>6.3723133592999961</v>
      </c>
      <c r="AX77" s="109">
        <v>5.4754060981499961</v>
      </c>
    </row>
    <row r="78" spans="2:50">
      <c r="E78" s="198"/>
      <c r="G78" s="44"/>
      <c r="I78" s="44"/>
      <c r="K78" s="44"/>
      <c r="M78" s="44"/>
      <c r="O78" s="202"/>
      <c r="P78" s="202"/>
      <c r="Q78" s="202"/>
      <c r="R78" s="202"/>
      <c r="S78" s="202"/>
      <c r="T78" s="202"/>
      <c r="U78" s="202"/>
      <c r="V78" s="202"/>
      <c r="W78" s="202"/>
      <c r="X78" s="202"/>
      <c r="Y78" s="202"/>
      <c r="Z78" s="202"/>
      <c r="AA78" s="202"/>
      <c r="AB78" s="202"/>
      <c r="AC78" s="202"/>
      <c r="AD78" s="202"/>
      <c r="AE78" s="202"/>
      <c r="AF78" s="202"/>
      <c r="AG78" s="202"/>
      <c r="AH78" s="202"/>
      <c r="AI78" s="202"/>
      <c r="AJ78" s="202"/>
      <c r="AK78" s="202"/>
      <c r="AL78" s="202"/>
      <c r="AM78" s="202"/>
      <c r="AN78" s="202"/>
      <c r="AO78" s="202"/>
      <c r="AP78" s="202"/>
      <c r="AQ78" s="202"/>
      <c r="AR78" s="202"/>
      <c r="AS78" s="202"/>
      <c r="AT78" s="202"/>
      <c r="AU78" s="202"/>
      <c r="AV78" s="202"/>
      <c r="AW78" s="202"/>
      <c r="AX78" s="202"/>
    </row>
    <row r="79" spans="2:50">
      <c r="C79" s="35" t="s">
        <v>703</v>
      </c>
      <c r="E79" s="198"/>
      <c r="G79" s="44"/>
      <c r="I79" s="44"/>
      <c r="K79" s="44"/>
      <c r="M79" s="44"/>
      <c r="O79" s="202"/>
      <c r="P79" s="202"/>
      <c r="Q79" s="202"/>
      <c r="R79" s="202"/>
      <c r="S79" s="202"/>
      <c r="T79" s="202"/>
      <c r="U79" s="202"/>
      <c r="V79" s="202"/>
      <c r="W79" s="202"/>
      <c r="X79" s="202"/>
      <c r="Y79" s="202"/>
      <c r="Z79" s="202"/>
      <c r="AA79" s="202"/>
      <c r="AB79" s="202"/>
      <c r="AC79" s="202"/>
      <c r="AD79" s="202"/>
      <c r="AE79" s="202"/>
      <c r="AF79" s="202"/>
      <c r="AG79" s="202"/>
      <c r="AH79" s="202"/>
      <c r="AI79" s="202"/>
      <c r="AJ79" s="202"/>
      <c r="AK79" s="202"/>
      <c r="AL79" s="202"/>
      <c r="AM79" s="202"/>
      <c r="AN79" s="202"/>
      <c r="AO79" s="202"/>
      <c r="AP79" s="202"/>
      <c r="AQ79" s="202"/>
      <c r="AR79" s="202"/>
      <c r="AS79" s="202"/>
      <c r="AT79" s="202"/>
      <c r="AU79" s="202"/>
      <c r="AV79" s="202"/>
      <c r="AW79" s="202"/>
      <c r="AX79" s="202"/>
    </row>
    <row r="80" spans="2:50" ht="18">
      <c r="C80" t="str">
        <f>INDEX('Scenario names'!$C$3:$C$6,1)</f>
        <v>High Electrification</v>
      </c>
      <c r="E80" s="76" t="s">
        <v>703</v>
      </c>
      <c r="G80" s="44" t="s">
        <v>692</v>
      </c>
      <c r="I80" s="44"/>
      <c r="K80" s="44"/>
      <c r="M80" s="44"/>
      <c r="O80" s="109">
        <v>296.07178702832579</v>
      </c>
      <c r="P80" s="109">
        <v>276.57621277722762</v>
      </c>
      <c r="Q80" s="109">
        <v>257.08063852612952</v>
      </c>
      <c r="R80" s="109">
        <v>237.58506427503139</v>
      </c>
      <c r="S80" s="109">
        <v>218.08949002393319</v>
      </c>
      <c r="T80" s="109">
        <v>198.59391577283506</v>
      </c>
      <c r="U80" s="109">
        <v>197.46710039412153</v>
      </c>
      <c r="V80" s="109">
        <v>196.34028501540803</v>
      </c>
      <c r="W80" s="109">
        <v>195.21346963669453</v>
      </c>
      <c r="X80" s="109">
        <v>194.08665425798108</v>
      </c>
      <c r="Y80" s="109">
        <v>192.95983887926761</v>
      </c>
      <c r="Z80" s="109">
        <v>192.95983887926761</v>
      </c>
      <c r="AA80" s="109">
        <v>192.95983887926761</v>
      </c>
      <c r="AB80" s="109">
        <v>192.95983887926761</v>
      </c>
      <c r="AC80" s="109">
        <v>192.95983887926761</v>
      </c>
      <c r="AD80" s="109">
        <v>192.95983887926761</v>
      </c>
      <c r="AE80" s="109">
        <v>192.95983887926761</v>
      </c>
      <c r="AF80" s="109">
        <v>192.95983887926761</v>
      </c>
      <c r="AG80" s="109">
        <v>192.95983887926761</v>
      </c>
      <c r="AH80" s="109">
        <v>192.95983887926761</v>
      </c>
      <c r="AI80" s="109">
        <v>192.95983887926761</v>
      </c>
      <c r="AJ80" s="109">
        <v>192.95983887926761</v>
      </c>
      <c r="AK80" s="109">
        <v>192.95983887926761</v>
      </c>
      <c r="AL80" s="109">
        <v>192.95983887926761</v>
      </c>
      <c r="AM80" s="109">
        <v>192.95983887926761</v>
      </c>
      <c r="AN80" s="109">
        <v>192.95983887926761</v>
      </c>
      <c r="AO80" s="109">
        <v>192.95983887926761</v>
      </c>
      <c r="AP80" s="109">
        <v>192.95983887926761</v>
      </c>
      <c r="AQ80" s="109">
        <v>192.95983887926761</v>
      </c>
      <c r="AR80" s="109">
        <v>192.95983887926761</v>
      </c>
      <c r="AS80" s="109">
        <v>192.95983887926761</v>
      </c>
      <c r="AT80" s="109">
        <v>192.95983887926761</v>
      </c>
      <c r="AU80" s="109">
        <v>192.95983887926761</v>
      </c>
      <c r="AV80" s="109">
        <v>192.95983887926761</v>
      </c>
      <c r="AW80" s="109">
        <v>192.95983887926761</v>
      </c>
      <c r="AX80" s="109">
        <v>192.95983887926761</v>
      </c>
    </row>
    <row r="81" spans="3:54" ht="18">
      <c r="C81" t="str">
        <f>INDEX('Scenario names'!$C$3:$C$6,2)</f>
        <v>High Hydrogen</v>
      </c>
      <c r="E81" s="76" t="s">
        <v>703</v>
      </c>
      <c r="G81" s="44" t="s">
        <v>692</v>
      </c>
      <c r="I81" s="44"/>
      <c r="K81" s="44"/>
      <c r="M81" s="44"/>
      <c r="O81" s="109">
        <v>296.07178702832579</v>
      </c>
      <c r="P81" s="109">
        <v>276.57621277722762</v>
      </c>
      <c r="Q81" s="109">
        <v>257.08063852612952</v>
      </c>
      <c r="R81" s="109">
        <v>237.58506427503139</v>
      </c>
      <c r="S81" s="109">
        <v>218.08949002393319</v>
      </c>
      <c r="T81" s="109">
        <v>198.59391577283506</v>
      </c>
      <c r="U81" s="109">
        <v>197.46710039412153</v>
      </c>
      <c r="V81" s="109">
        <v>196.34028501540803</v>
      </c>
      <c r="W81" s="109">
        <v>195.21346963669453</v>
      </c>
      <c r="X81" s="109">
        <v>194.08665425798108</v>
      </c>
      <c r="Y81" s="109">
        <v>192.95983887926761</v>
      </c>
      <c r="Z81" s="109">
        <v>192.95983887926761</v>
      </c>
      <c r="AA81" s="109">
        <v>192.95983887926761</v>
      </c>
      <c r="AB81" s="109">
        <v>192.95983887926761</v>
      </c>
      <c r="AC81" s="109">
        <v>192.95983887926761</v>
      </c>
      <c r="AD81" s="109">
        <v>192.95983887926761</v>
      </c>
      <c r="AE81" s="109">
        <v>192.95983887926761</v>
      </c>
      <c r="AF81" s="109">
        <v>192.95983887926761</v>
      </c>
      <c r="AG81" s="109">
        <v>192.95983887926761</v>
      </c>
      <c r="AH81" s="109">
        <v>192.95983887926761</v>
      </c>
      <c r="AI81" s="109">
        <v>192.95983887926761</v>
      </c>
      <c r="AJ81" s="109">
        <v>192.95983887926761</v>
      </c>
      <c r="AK81" s="109">
        <v>192.95983887926761</v>
      </c>
      <c r="AL81" s="109">
        <v>192.95983887926761</v>
      </c>
      <c r="AM81" s="109">
        <v>192.95983887926761</v>
      </c>
      <c r="AN81" s="109">
        <v>192.95983887926761</v>
      </c>
      <c r="AO81" s="109">
        <v>192.95983887926761</v>
      </c>
      <c r="AP81" s="109">
        <v>192.95983887926761</v>
      </c>
      <c r="AQ81" s="109">
        <v>192.95983887926761</v>
      </c>
      <c r="AR81" s="109">
        <v>192.95983887926761</v>
      </c>
      <c r="AS81" s="109">
        <v>192.95983887926761</v>
      </c>
      <c r="AT81" s="109">
        <v>192.95983887926761</v>
      </c>
      <c r="AU81" s="109">
        <v>192.95983887926761</v>
      </c>
      <c r="AV81" s="109">
        <v>192.95983887926761</v>
      </c>
      <c r="AW81" s="109">
        <v>192.95983887926761</v>
      </c>
      <c r="AX81" s="109">
        <v>192.95983887926761</v>
      </c>
    </row>
    <row r="82" spans="3:54" ht="18">
      <c r="C82" t="str">
        <f>INDEX('Scenario names'!$C$3:$C$6,3)</f>
        <v>Accelerated Green</v>
      </c>
      <c r="E82" s="76" t="s">
        <v>703</v>
      </c>
      <c r="G82" s="44" t="s">
        <v>692</v>
      </c>
      <c r="I82" s="44"/>
      <c r="K82" s="44"/>
      <c r="M82" s="44"/>
      <c r="O82" s="109">
        <v>296.07178702832579</v>
      </c>
      <c r="P82" s="109">
        <v>276.57621277722762</v>
      </c>
      <c r="Q82" s="109">
        <v>257.08063852612952</v>
      </c>
      <c r="R82" s="109">
        <v>237.58506427503139</v>
      </c>
      <c r="S82" s="109">
        <v>218.08949002393319</v>
      </c>
      <c r="T82" s="109">
        <v>198.59391577283506</v>
      </c>
      <c r="U82" s="109">
        <v>197.46710039412153</v>
      </c>
      <c r="V82" s="109">
        <v>196.34028501540803</v>
      </c>
      <c r="W82" s="109">
        <v>195.21346963669453</v>
      </c>
      <c r="X82" s="109">
        <v>194.08665425798108</v>
      </c>
      <c r="Y82" s="109">
        <v>192.95983887926761</v>
      </c>
      <c r="Z82" s="109">
        <v>192.95983887926761</v>
      </c>
      <c r="AA82" s="109">
        <v>192.95983887926761</v>
      </c>
      <c r="AB82" s="109">
        <v>192.95983887926761</v>
      </c>
      <c r="AC82" s="109">
        <v>192.95983887926761</v>
      </c>
      <c r="AD82" s="109">
        <v>192.95983887926761</v>
      </c>
      <c r="AE82" s="109">
        <v>192.95983887926761</v>
      </c>
      <c r="AF82" s="109">
        <v>192.95983887926761</v>
      </c>
      <c r="AG82" s="109">
        <v>192.95983887926761</v>
      </c>
      <c r="AH82" s="109">
        <v>192.95983887926761</v>
      </c>
      <c r="AI82" s="109">
        <v>192.95983887926761</v>
      </c>
      <c r="AJ82" s="109">
        <v>192.95983887926761</v>
      </c>
      <c r="AK82" s="109">
        <v>192.95983887926761</v>
      </c>
      <c r="AL82" s="109">
        <v>192.95983887926761</v>
      </c>
      <c r="AM82" s="109">
        <v>192.95983887926761</v>
      </c>
      <c r="AN82" s="109">
        <v>192.95983887926761</v>
      </c>
      <c r="AO82" s="109">
        <v>192.95983887926761</v>
      </c>
      <c r="AP82" s="109">
        <v>192.95983887926761</v>
      </c>
      <c r="AQ82" s="109">
        <v>192.95983887926761</v>
      </c>
      <c r="AR82" s="109">
        <v>192.95983887926761</v>
      </c>
      <c r="AS82" s="109">
        <v>192.95983887926761</v>
      </c>
      <c r="AT82" s="109">
        <v>192.95983887926761</v>
      </c>
      <c r="AU82" s="109">
        <v>192.95983887926761</v>
      </c>
      <c r="AV82" s="109">
        <v>192.95983887926761</v>
      </c>
      <c r="AW82" s="109">
        <v>192.95983887926761</v>
      </c>
      <c r="AX82" s="109">
        <v>192.95983887926761</v>
      </c>
    </row>
    <row r="83" spans="3:54" ht="18">
      <c r="C83" t="str">
        <f>INDEX('Scenario names'!$C$3:$C$6,4)</f>
        <v>No Constraints</v>
      </c>
      <c r="E83" s="76" t="s">
        <v>703</v>
      </c>
      <c r="G83" s="44" t="s">
        <v>692</v>
      </c>
      <c r="I83" s="44"/>
      <c r="K83" s="44"/>
      <c r="M83" s="44"/>
      <c r="O83" s="109">
        <v>296.07178702832579</v>
      </c>
      <c r="P83" s="109">
        <v>276.57621277722762</v>
      </c>
      <c r="Q83" s="109">
        <v>257.08063852612952</v>
      </c>
      <c r="R83" s="109">
        <v>237.58506427503139</v>
      </c>
      <c r="S83" s="109">
        <v>218.08949002393319</v>
      </c>
      <c r="T83" s="109">
        <v>198.59391577283506</v>
      </c>
      <c r="U83" s="109">
        <v>197.46710039412153</v>
      </c>
      <c r="V83" s="109">
        <v>196.34028501540803</v>
      </c>
      <c r="W83" s="109">
        <v>195.21346963669453</v>
      </c>
      <c r="X83" s="109">
        <v>194.08665425798108</v>
      </c>
      <c r="Y83" s="109">
        <v>192.95983887926761</v>
      </c>
      <c r="Z83" s="109">
        <v>192.95983887926761</v>
      </c>
      <c r="AA83" s="109">
        <v>192.95983887926761</v>
      </c>
      <c r="AB83" s="109">
        <v>192.95983887926761</v>
      </c>
      <c r="AC83" s="109">
        <v>192.95983887926761</v>
      </c>
      <c r="AD83" s="109">
        <v>192.95983887926761</v>
      </c>
      <c r="AE83" s="109">
        <v>192.95983887926761</v>
      </c>
      <c r="AF83" s="109">
        <v>192.95983887926761</v>
      </c>
      <c r="AG83" s="109">
        <v>192.95983887926761</v>
      </c>
      <c r="AH83" s="109">
        <v>192.95983887926761</v>
      </c>
      <c r="AI83" s="109">
        <v>192.95983887926761</v>
      </c>
      <c r="AJ83" s="109">
        <v>192.95983887926761</v>
      </c>
      <c r="AK83" s="109">
        <v>192.95983887926761</v>
      </c>
      <c r="AL83" s="109">
        <v>192.95983887926761</v>
      </c>
      <c r="AM83" s="109">
        <v>192.95983887926761</v>
      </c>
      <c r="AN83" s="109">
        <v>192.95983887926761</v>
      </c>
      <c r="AO83" s="109">
        <v>192.95983887926761</v>
      </c>
      <c r="AP83" s="109">
        <v>192.95983887926761</v>
      </c>
      <c r="AQ83" s="109">
        <v>192.95983887926761</v>
      </c>
      <c r="AR83" s="109">
        <v>192.95983887926761</v>
      </c>
      <c r="AS83" s="109">
        <v>192.95983887926761</v>
      </c>
      <c r="AT83" s="109">
        <v>192.95983887926761</v>
      </c>
      <c r="AU83" s="109">
        <v>192.95983887926761</v>
      </c>
      <c r="AV83" s="109">
        <v>192.95983887926761</v>
      </c>
      <c r="AW83" s="109">
        <v>192.95983887926761</v>
      </c>
      <c r="AX83" s="109">
        <v>192.95983887926761</v>
      </c>
    </row>
    <row r="84" spans="3:54">
      <c r="E84" s="198"/>
      <c r="G84" s="44"/>
      <c r="I84" s="44"/>
      <c r="K84" s="44"/>
      <c r="M84" s="44"/>
      <c r="O84" s="202"/>
      <c r="P84" s="202"/>
      <c r="Q84" s="202"/>
      <c r="R84" s="202"/>
      <c r="S84" s="202"/>
      <c r="T84" s="202"/>
      <c r="U84" s="202"/>
      <c r="V84" s="202"/>
      <c r="W84" s="202"/>
      <c r="X84" s="202"/>
      <c r="Y84" s="202"/>
      <c r="Z84" s="202"/>
      <c r="AA84" s="202"/>
      <c r="AB84" s="202"/>
      <c r="AC84" s="202"/>
      <c r="AD84" s="202"/>
      <c r="AE84" s="202"/>
      <c r="AF84" s="202"/>
      <c r="AG84" s="202"/>
      <c r="AH84" s="202"/>
      <c r="AI84" s="202"/>
      <c r="AJ84" s="202"/>
      <c r="AK84" s="202"/>
      <c r="AL84" s="202"/>
      <c r="AM84" s="202"/>
      <c r="AN84" s="202"/>
      <c r="AO84" s="202"/>
      <c r="AP84" s="202"/>
      <c r="AQ84" s="202"/>
      <c r="AR84" s="202"/>
      <c r="AS84" s="202"/>
      <c r="AT84" s="202"/>
      <c r="AU84" s="202"/>
      <c r="AV84" s="202"/>
      <c r="AW84" s="202"/>
      <c r="AX84" s="202"/>
    </row>
    <row r="85" spans="3:54">
      <c r="C85" s="35" t="s">
        <v>191</v>
      </c>
      <c r="E85" s="198"/>
      <c r="G85" s="44"/>
      <c r="I85" s="44"/>
      <c r="K85" s="44"/>
      <c r="M85" s="44"/>
      <c r="O85" s="202"/>
      <c r="P85" s="202"/>
      <c r="Q85" s="202"/>
      <c r="R85" s="202"/>
      <c r="S85" s="202"/>
      <c r="T85" s="202"/>
      <c r="U85" s="202"/>
      <c r="V85" s="202"/>
      <c r="W85" s="202"/>
      <c r="X85" s="202"/>
      <c r="Y85" s="202"/>
      <c r="Z85" s="202"/>
      <c r="AA85" s="202"/>
      <c r="AB85" s="202"/>
      <c r="AC85" s="202"/>
      <c r="AD85" s="202"/>
      <c r="AE85" s="202"/>
      <c r="AF85" s="202"/>
      <c r="AG85" s="202"/>
      <c r="AH85" s="202"/>
      <c r="AI85" s="202"/>
      <c r="AJ85" s="202"/>
      <c r="AK85" s="202"/>
      <c r="AL85" s="202"/>
      <c r="AM85" s="202"/>
      <c r="AN85" s="202"/>
      <c r="AO85" s="202"/>
      <c r="AP85" s="202"/>
      <c r="AQ85" s="202"/>
      <c r="AR85" s="202"/>
      <c r="AS85" s="202"/>
      <c r="AT85" s="202"/>
      <c r="AU85" s="202"/>
      <c r="AV85" s="202"/>
      <c r="AW85" s="202"/>
      <c r="AX85" s="202"/>
    </row>
    <row r="86" spans="3:54" ht="18">
      <c r="C86" t="str">
        <f>INDEX('Scenario names'!$C$3:$C$6,1)</f>
        <v>High Electrification</v>
      </c>
      <c r="E86" s="76" t="s">
        <v>191</v>
      </c>
      <c r="G86" s="44" t="s">
        <v>692</v>
      </c>
      <c r="I86" s="44"/>
      <c r="K86" s="44"/>
      <c r="M86" s="44"/>
      <c r="O86" s="109">
        <v>1230.0752644863999</v>
      </c>
      <c r="P86" s="109">
        <v>1230.0752644863999</v>
      </c>
      <c r="Q86" s="109">
        <v>1230.0752644863999</v>
      </c>
      <c r="R86" s="109">
        <v>1230.0752644863999</v>
      </c>
      <c r="S86" s="109">
        <v>1181.4752644864002</v>
      </c>
      <c r="T86" s="109">
        <v>1132.8752644864001</v>
      </c>
      <c r="U86" s="109">
        <v>1072.5125734032131</v>
      </c>
      <c r="V86" s="109">
        <v>1012.1498823200257</v>
      </c>
      <c r="W86" s="109">
        <v>951.78719123683845</v>
      </c>
      <c r="X86" s="109">
        <v>891.42450015365125</v>
      </c>
      <c r="Y86" s="109">
        <v>831.06180907046416</v>
      </c>
      <c r="Z86" s="109">
        <v>770.69911798727674</v>
      </c>
      <c r="AA86" s="109">
        <v>710.33642690408965</v>
      </c>
      <c r="AB86" s="109">
        <v>649.97373582090256</v>
      </c>
      <c r="AC86" s="109">
        <v>589.61104473771536</v>
      </c>
      <c r="AD86" s="109">
        <v>529.24835365452805</v>
      </c>
      <c r="AE86" s="109">
        <v>517.37906365452807</v>
      </c>
      <c r="AF86" s="109">
        <v>505.50977365452809</v>
      </c>
      <c r="AG86" s="109">
        <v>493.64048365452805</v>
      </c>
      <c r="AH86" s="109">
        <v>481.77119365452813</v>
      </c>
      <c r="AI86" s="109">
        <v>469.9019036545281</v>
      </c>
      <c r="AJ86" s="109">
        <v>458.03261365452812</v>
      </c>
      <c r="AK86" s="109">
        <v>446.1633236545282</v>
      </c>
      <c r="AL86" s="109">
        <v>434.29403365452816</v>
      </c>
      <c r="AM86" s="109">
        <v>422.42474365452819</v>
      </c>
      <c r="AN86" s="109">
        <v>410.55545365452821</v>
      </c>
      <c r="AO86" s="109">
        <v>398.68616365452817</v>
      </c>
      <c r="AP86" s="109">
        <v>386.81687365452825</v>
      </c>
      <c r="AQ86" s="109">
        <v>374.94758365452827</v>
      </c>
      <c r="AR86" s="109">
        <v>363.0782936545283</v>
      </c>
      <c r="AS86" s="109">
        <v>351.20900365452832</v>
      </c>
      <c r="AT86" s="109">
        <v>339.33971365452834</v>
      </c>
      <c r="AU86" s="109">
        <v>327.47042365452836</v>
      </c>
      <c r="AV86" s="109">
        <v>315.60113365452838</v>
      </c>
      <c r="AW86" s="109">
        <v>303.7318436545284</v>
      </c>
      <c r="AX86" s="109">
        <v>291.86255365452803</v>
      </c>
      <c r="AY86">
        <v>0</v>
      </c>
      <c r="AZ86">
        <v>700.82691083187183</v>
      </c>
      <c r="BA86">
        <v>34.81760432334363</v>
      </c>
      <c r="BB86">
        <v>430.25688665929562</v>
      </c>
    </row>
    <row r="87" spans="3:54" ht="18">
      <c r="C87" t="str">
        <f>INDEX('Scenario names'!$C$3:$C$6,2)</f>
        <v>High Hydrogen</v>
      </c>
      <c r="E87" s="76" t="s">
        <v>191</v>
      </c>
      <c r="G87" s="44" t="s">
        <v>692</v>
      </c>
      <c r="I87" s="44"/>
      <c r="K87" s="44"/>
      <c r="M87" s="44"/>
      <c r="O87" s="109">
        <v>1230.0752644863999</v>
      </c>
      <c r="P87" s="109">
        <v>1230.0752644863999</v>
      </c>
      <c r="Q87" s="109">
        <v>1230.0752644863999</v>
      </c>
      <c r="R87" s="109">
        <v>1230.0752644863999</v>
      </c>
      <c r="S87" s="109">
        <v>1181.4752644864002</v>
      </c>
      <c r="T87" s="109">
        <v>1132.8752644864001</v>
      </c>
      <c r="U87" s="109">
        <v>1072.5125734032131</v>
      </c>
      <c r="V87" s="109">
        <v>1012.1498823200257</v>
      </c>
      <c r="W87" s="109">
        <v>951.78719123683845</v>
      </c>
      <c r="X87" s="109">
        <v>891.42450015365125</v>
      </c>
      <c r="Y87" s="109">
        <v>831.06180907046416</v>
      </c>
      <c r="Z87" s="109">
        <v>770.69911798727674</v>
      </c>
      <c r="AA87" s="109">
        <v>710.33642690408965</v>
      </c>
      <c r="AB87" s="109">
        <v>649.97373582090256</v>
      </c>
      <c r="AC87" s="109">
        <v>589.61104473771536</v>
      </c>
      <c r="AD87" s="109">
        <v>529.24835365452805</v>
      </c>
      <c r="AE87" s="109">
        <v>517.37906365452807</v>
      </c>
      <c r="AF87" s="109">
        <v>505.50977365452809</v>
      </c>
      <c r="AG87" s="109">
        <v>493.64048365452805</v>
      </c>
      <c r="AH87" s="109">
        <v>481.77119365452813</v>
      </c>
      <c r="AI87" s="109">
        <v>469.9019036545281</v>
      </c>
      <c r="AJ87" s="109">
        <v>458.03261365452812</v>
      </c>
      <c r="AK87" s="109">
        <v>446.1633236545282</v>
      </c>
      <c r="AL87" s="109">
        <v>434.29403365452816</v>
      </c>
      <c r="AM87" s="109">
        <v>422.42474365452819</v>
      </c>
      <c r="AN87" s="109">
        <v>410.55545365452821</v>
      </c>
      <c r="AO87" s="109">
        <v>398.68616365452817</v>
      </c>
      <c r="AP87" s="109">
        <v>386.81687365452825</v>
      </c>
      <c r="AQ87" s="109">
        <v>374.94758365452827</v>
      </c>
      <c r="AR87" s="109">
        <v>363.0782936545283</v>
      </c>
      <c r="AS87" s="109">
        <v>351.20900365452832</v>
      </c>
      <c r="AT87" s="109">
        <v>339.33971365452834</v>
      </c>
      <c r="AU87" s="109">
        <v>327.47042365452836</v>
      </c>
      <c r="AV87" s="109">
        <v>315.60113365452838</v>
      </c>
      <c r="AW87" s="109">
        <v>303.7318436545284</v>
      </c>
      <c r="AX87" s="109">
        <v>291.86255365452803</v>
      </c>
      <c r="AY87">
        <v>0</v>
      </c>
      <c r="AZ87">
        <v>700.82691083187183</v>
      </c>
      <c r="BA87">
        <v>37.360983591297121</v>
      </c>
      <c r="BB87">
        <v>430.25688665929562</v>
      </c>
    </row>
    <row r="88" spans="3:54" ht="18">
      <c r="C88" t="str">
        <f>INDEX('Scenario names'!$C$3:$C$6,3)</f>
        <v>Accelerated Green</v>
      </c>
      <c r="E88" s="76" t="s">
        <v>191</v>
      </c>
      <c r="G88" s="44" t="s">
        <v>692</v>
      </c>
      <c r="I88" s="44"/>
      <c r="K88" s="44"/>
      <c r="M88" s="44"/>
      <c r="O88" s="109">
        <v>1230.0752644863999</v>
      </c>
      <c r="P88" s="109">
        <v>1230.0752644863999</v>
      </c>
      <c r="Q88" s="109">
        <v>1230.0752644863999</v>
      </c>
      <c r="R88" s="109">
        <v>1230.0752644863999</v>
      </c>
      <c r="S88" s="109">
        <v>1181.4752644864002</v>
      </c>
      <c r="T88" s="109">
        <v>1132.8752644864001</v>
      </c>
      <c r="U88" s="109">
        <v>1072.5125734032131</v>
      </c>
      <c r="V88" s="109">
        <v>1012.1498823200257</v>
      </c>
      <c r="W88" s="109">
        <v>951.78719123683845</v>
      </c>
      <c r="X88" s="109">
        <v>891.42450015365125</v>
      </c>
      <c r="Y88" s="109">
        <v>831.06180907046416</v>
      </c>
      <c r="Z88" s="109">
        <v>770.69911798727674</v>
      </c>
      <c r="AA88" s="109">
        <v>710.33642690408965</v>
      </c>
      <c r="AB88" s="109">
        <v>649.97373582090256</v>
      </c>
      <c r="AC88" s="109">
        <v>589.61104473771536</v>
      </c>
      <c r="AD88" s="109">
        <v>529.24835365452805</v>
      </c>
      <c r="AE88" s="109">
        <v>517.37906365452807</v>
      </c>
      <c r="AF88" s="109">
        <v>505.50977365452809</v>
      </c>
      <c r="AG88" s="109">
        <v>493.64048365452805</v>
      </c>
      <c r="AH88" s="109">
        <v>481.77119365452813</v>
      </c>
      <c r="AI88" s="109">
        <v>469.9019036545281</v>
      </c>
      <c r="AJ88" s="109">
        <v>458.03261365452812</v>
      </c>
      <c r="AK88" s="109">
        <v>446.1633236545282</v>
      </c>
      <c r="AL88" s="109">
        <v>434.29403365452816</v>
      </c>
      <c r="AM88" s="109">
        <v>422.42474365452819</v>
      </c>
      <c r="AN88" s="109">
        <v>410.55545365452821</v>
      </c>
      <c r="AO88" s="109">
        <v>398.68616365452817</v>
      </c>
      <c r="AP88" s="109">
        <v>386.81687365452825</v>
      </c>
      <c r="AQ88" s="109">
        <v>374.94758365452827</v>
      </c>
      <c r="AR88" s="109">
        <v>363.0782936545283</v>
      </c>
      <c r="AS88" s="109">
        <v>351.20900365452832</v>
      </c>
      <c r="AT88" s="109">
        <v>339.33971365452834</v>
      </c>
      <c r="AU88" s="109">
        <v>327.47042365452836</v>
      </c>
      <c r="AV88" s="109">
        <v>315.60113365452838</v>
      </c>
      <c r="AW88" s="109">
        <v>303.7318436545284</v>
      </c>
      <c r="AX88" s="109">
        <v>291.86255365452803</v>
      </c>
      <c r="AY88">
        <v>0</v>
      </c>
      <c r="AZ88">
        <v>700.82691083187183</v>
      </c>
      <c r="BA88">
        <v>31.925592058448228</v>
      </c>
      <c r="BB88">
        <v>430.25688665929562</v>
      </c>
    </row>
    <row r="89" spans="3:54" ht="18">
      <c r="C89" t="str">
        <f>INDEX('Scenario names'!$C$3:$C$6,4)</f>
        <v>No Constraints</v>
      </c>
      <c r="E89" s="76" t="s">
        <v>191</v>
      </c>
      <c r="G89" s="44" t="s">
        <v>692</v>
      </c>
      <c r="I89" s="44"/>
      <c r="K89" s="44"/>
      <c r="M89" s="44"/>
      <c r="O89" s="109">
        <v>1230.0752644863999</v>
      </c>
      <c r="P89" s="109">
        <v>1230.0752644863999</v>
      </c>
      <c r="Q89" s="109">
        <v>1230.0752644863999</v>
      </c>
      <c r="R89" s="109">
        <v>1230.0752644863999</v>
      </c>
      <c r="S89" s="109">
        <v>1181.4752644864002</v>
      </c>
      <c r="T89" s="109">
        <v>1132.8752644864001</v>
      </c>
      <c r="U89" s="109">
        <v>1072.5125734032131</v>
      </c>
      <c r="V89" s="109">
        <v>1012.1498823200257</v>
      </c>
      <c r="W89" s="109">
        <v>951.78719123683845</v>
      </c>
      <c r="X89" s="109">
        <v>891.42450015365125</v>
      </c>
      <c r="Y89" s="109">
        <v>831.06180907046416</v>
      </c>
      <c r="Z89" s="109">
        <v>770.69911798727674</v>
      </c>
      <c r="AA89" s="109">
        <v>710.33642690408965</v>
      </c>
      <c r="AB89" s="109">
        <v>649.97373582090256</v>
      </c>
      <c r="AC89" s="109">
        <v>589.61104473771536</v>
      </c>
      <c r="AD89" s="109">
        <v>529.24835365452805</v>
      </c>
      <c r="AE89" s="109">
        <v>517.37906365452807</v>
      </c>
      <c r="AF89" s="109">
        <v>505.50977365452809</v>
      </c>
      <c r="AG89" s="109">
        <v>493.64048365452805</v>
      </c>
      <c r="AH89" s="109">
        <v>481.77119365452813</v>
      </c>
      <c r="AI89" s="109">
        <v>469.9019036545281</v>
      </c>
      <c r="AJ89" s="109">
        <v>458.03261365452812</v>
      </c>
      <c r="AK89" s="109">
        <v>446.1633236545282</v>
      </c>
      <c r="AL89" s="109">
        <v>434.29403365452816</v>
      </c>
      <c r="AM89" s="109">
        <v>422.42474365452819</v>
      </c>
      <c r="AN89" s="109">
        <v>410.55545365452821</v>
      </c>
      <c r="AO89" s="109">
        <v>398.68616365452817</v>
      </c>
      <c r="AP89" s="109">
        <v>386.81687365452825</v>
      </c>
      <c r="AQ89" s="109">
        <v>374.94758365452827</v>
      </c>
      <c r="AR89" s="109">
        <v>363.0782936545283</v>
      </c>
      <c r="AS89" s="109">
        <v>351.20900365452832</v>
      </c>
      <c r="AT89" s="109">
        <v>339.33971365452834</v>
      </c>
      <c r="AU89" s="109">
        <v>327.47042365452836</v>
      </c>
      <c r="AV89" s="109">
        <v>315.60113365452838</v>
      </c>
      <c r="AW89" s="109">
        <v>303.7318436545284</v>
      </c>
      <c r="AX89" s="109">
        <v>291.86255365452803</v>
      </c>
      <c r="AY89">
        <v>0</v>
      </c>
      <c r="AZ89">
        <v>700.82691083187183</v>
      </c>
      <c r="BA89">
        <v>27.276757313282399</v>
      </c>
      <c r="BB89">
        <v>430.25688665929562</v>
      </c>
    </row>
    <row r="90" spans="3:54">
      <c r="E90" s="198"/>
      <c r="G90" s="44"/>
      <c r="I90" s="44"/>
      <c r="K90" s="44"/>
      <c r="M90" s="44"/>
      <c r="O90" s="202"/>
      <c r="P90" s="202"/>
      <c r="Q90" s="202"/>
      <c r="R90" s="202"/>
      <c r="S90" s="202"/>
      <c r="T90" s="202"/>
      <c r="U90" s="202"/>
      <c r="V90" s="202"/>
      <c r="W90" s="202"/>
      <c r="X90" s="202"/>
      <c r="Y90" s="202"/>
      <c r="Z90" s="202"/>
      <c r="AA90" s="202"/>
      <c r="AB90" s="202"/>
      <c r="AC90" s="202"/>
      <c r="AD90" s="202"/>
      <c r="AE90" s="202"/>
      <c r="AF90" s="202"/>
      <c r="AG90" s="202"/>
      <c r="AH90" s="202"/>
      <c r="AI90" s="202"/>
      <c r="AJ90" s="202"/>
      <c r="AK90" s="202"/>
      <c r="AL90" s="202"/>
      <c r="AM90" s="202"/>
      <c r="AN90" s="202"/>
      <c r="AO90" s="202"/>
      <c r="AP90" s="202"/>
      <c r="AQ90" s="202"/>
      <c r="AR90" s="202"/>
      <c r="AS90" s="202"/>
      <c r="AT90" s="202"/>
      <c r="AU90" s="202"/>
      <c r="AV90" s="202"/>
      <c r="AW90" s="202"/>
      <c r="AX90" s="202"/>
    </row>
    <row r="91" spans="3:54">
      <c r="C91" s="35" t="s">
        <v>195</v>
      </c>
      <c r="E91" s="198"/>
      <c r="G91" s="44"/>
      <c r="I91" s="44"/>
      <c r="K91" s="44"/>
      <c r="M91" s="44"/>
      <c r="O91" s="202"/>
      <c r="P91" s="202"/>
      <c r="Q91" s="202"/>
      <c r="R91" s="202"/>
      <c r="S91" s="202"/>
      <c r="T91" s="202"/>
      <c r="U91" s="202"/>
      <c r="V91" s="202"/>
      <c r="W91" s="202"/>
      <c r="X91" s="202"/>
      <c r="Y91" s="202"/>
      <c r="Z91" s="202"/>
      <c r="AA91" s="202"/>
      <c r="AB91" s="202"/>
      <c r="AC91" s="202"/>
      <c r="AD91" s="202"/>
      <c r="AE91" s="202"/>
      <c r="AF91" s="202"/>
      <c r="AG91" s="202"/>
      <c r="AH91" s="202"/>
      <c r="AI91" s="202"/>
      <c r="AJ91" s="202"/>
      <c r="AK91" s="202"/>
      <c r="AL91" s="202"/>
      <c r="AM91" s="202"/>
      <c r="AN91" s="202"/>
      <c r="AO91" s="202"/>
      <c r="AP91" s="202"/>
      <c r="AQ91" s="202"/>
      <c r="AR91" s="202"/>
      <c r="AS91" s="202"/>
      <c r="AT91" s="202"/>
      <c r="AU91" s="202"/>
      <c r="AV91" s="202"/>
      <c r="AW91" s="202"/>
      <c r="AX91" s="202"/>
    </row>
    <row r="92" spans="3:54" ht="18">
      <c r="C92" t="str">
        <f>INDEX('Scenario names'!$C$3:$C$6,1)</f>
        <v>High Electrification</v>
      </c>
      <c r="E92" s="76" t="s">
        <v>195</v>
      </c>
      <c r="G92" s="44" t="s">
        <v>692</v>
      </c>
      <c r="I92" s="44"/>
      <c r="K92" s="44"/>
      <c r="M92" s="44"/>
      <c r="O92" s="109">
        <v>130.90448061007513</v>
      </c>
      <c r="P92" s="109">
        <v>130.90448061007513</v>
      </c>
      <c r="Q92" s="109">
        <v>130.90448061007513</v>
      </c>
      <c r="R92" s="109">
        <v>130.90448061007513</v>
      </c>
      <c r="S92" s="109">
        <v>129.55624604254388</v>
      </c>
      <c r="T92" s="109">
        <v>124.51411600130794</v>
      </c>
      <c r="U92" s="109">
        <v>123.13751174989375</v>
      </c>
      <c r="V92" s="109">
        <v>121.80656772978553</v>
      </c>
      <c r="W92" s="109">
        <v>120.67756774653884</v>
      </c>
      <c r="X92" s="109">
        <v>120.42463560242827</v>
      </c>
      <c r="Y92" s="109">
        <v>118.47082169338726</v>
      </c>
      <c r="Z92" s="109">
        <v>116.02986105424736</v>
      </c>
      <c r="AA92" s="109">
        <v>114.41037929145946</v>
      </c>
      <c r="AB92" s="109">
        <v>113.28201121717207</v>
      </c>
      <c r="AC92" s="109">
        <v>112.21422274125932</v>
      </c>
      <c r="AD92" s="109">
        <v>110.70433662560504</v>
      </c>
      <c r="AE92" s="109">
        <v>109.3261434948264</v>
      </c>
      <c r="AF92" s="109">
        <v>108.20322338232913</v>
      </c>
      <c r="AG92" s="109">
        <v>107.12442569537804</v>
      </c>
      <c r="AH92" s="109">
        <v>106.13508255746463</v>
      </c>
      <c r="AI92" s="109">
        <v>105.13703420412678</v>
      </c>
      <c r="AJ92" s="109">
        <v>104.07569935665873</v>
      </c>
      <c r="AK92" s="109">
        <v>103.11370104638924</v>
      </c>
      <c r="AL92" s="109">
        <v>102.24254050794131</v>
      </c>
      <c r="AM92" s="109">
        <v>101.34555141955745</v>
      </c>
      <c r="AN92" s="109">
        <v>100.41723652566478</v>
      </c>
      <c r="AO92" s="109">
        <v>99.438987036374812</v>
      </c>
      <c r="AP92" s="109">
        <v>98.556788610701147</v>
      </c>
      <c r="AQ92" s="109">
        <v>97.694352086637664</v>
      </c>
      <c r="AR92" s="109">
        <v>96.809097976344233</v>
      </c>
      <c r="AS92" s="109">
        <v>95.876414138794971</v>
      </c>
      <c r="AT92" s="109">
        <v>94.983372098533053</v>
      </c>
      <c r="AU92" s="109">
        <v>94.100213607266397</v>
      </c>
      <c r="AV92" s="109">
        <v>93.23012466763862</v>
      </c>
      <c r="AW92" s="109">
        <v>92.354199553522918</v>
      </c>
      <c r="AX92" s="109">
        <v>91.497988070549255</v>
      </c>
      <c r="AY92">
        <v>0</v>
      </c>
      <c r="AZ92">
        <v>20.200143984470078</v>
      </c>
      <c r="BA92">
        <v>1.0035582390679281</v>
      </c>
      <c r="BB92">
        <v>845.68791006749268</v>
      </c>
    </row>
    <row r="93" spans="3:54" ht="18">
      <c r="C93" t="str">
        <f>INDEX('Scenario names'!$C$3:$C$6,2)</f>
        <v>High Hydrogen</v>
      </c>
      <c r="E93" s="76" t="s">
        <v>195</v>
      </c>
      <c r="G93" s="44" t="s">
        <v>692</v>
      </c>
      <c r="I93" s="44"/>
      <c r="K93" s="44"/>
      <c r="M93" s="44"/>
      <c r="O93" s="109">
        <v>130.90448061007513</v>
      </c>
      <c r="P93" s="109">
        <v>130.90448061007513</v>
      </c>
      <c r="Q93" s="109">
        <v>130.90448061007513</v>
      </c>
      <c r="R93" s="109">
        <v>130.90448061007513</v>
      </c>
      <c r="S93" s="109">
        <v>129.55624604254388</v>
      </c>
      <c r="T93" s="109">
        <v>124.51411600130794</v>
      </c>
      <c r="U93" s="109">
        <v>123.13751174989375</v>
      </c>
      <c r="V93" s="109">
        <v>121.80656772978553</v>
      </c>
      <c r="W93" s="109">
        <v>120.67756774653884</v>
      </c>
      <c r="X93" s="109">
        <v>120.42463560242827</v>
      </c>
      <c r="Y93" s="109">
        <v>118.47082169338726</v>
      </c>
      <c r="Z93" s="109">
        <v>116.02986105424736</v>
      </c>
      <c r="AA93" s="109">
        <v>114.41037929145946</v>
      </c>
      <c r="AB93" s="109">
        <v>113.28201121717207</v>
      </c>
      <c r="AC93" s="109">
        <v>112.21422274125932</v>
      </c>
      <c r="AD93" s="109">
        <v>110.70433662560504</v>
      </c>
      <c r="AE93" s="109">
        <v>109.3261434948264</v>
      </c>
      <c r="AF93" s="109">
        <v>108.20322338232913</v>
      </c>
      <c r="AG93" s="109">
        <v>107.12442569537804</v>
      </c>
      <c r="AH93" s="109">
        <v>106.13508255746463</v>
      </c>
      <c r="AI93" s="109">
        <v>105.13703420412678</v>
      </c>
      <c r="AJ93" s="109">
        <v>104.07569935665873</v>
      </c>
      <c r="AK93" s="109">
        <v>103.11370104638924</v>
      </c>
      <c r="AL93" s="109">
        <v>102.24254050794131</v>
      </c>
      <c r="AM93" s="109">
        <v>101.34555141955745</v>
      </c>
      <c r="AN93" s="109">
        <v>100.41723652566478</v>
      </c>
      <c r="AO93" s="109">
        <v>99.438987036374812</v>
      </c>
      <c r="AP93" s="109">
        <v>98.556788610701147</v>
      </c>
      <c r="AQ93" s="109">
        <v>97.694352086637664</v>
      </c>
      <c r="AR93" s="109">
        <v>96.809097976344233</v>
      </c>
      <c r="AS93" s="109">
        <v>95.876414138794971</v>
      </c>
      <c r="AT93" s="109">
        <v>94.983372098533053</v>
      </c>
      <c r="AU93" s="109">
        <v>94.100213607266397</v>
      </c>
      <c r="AV93" s="109">
        <v>93.23012466763862</v>
      </c>
      <c r="AW93" s="109">
        <v>92.354199553522918</v>
      </c>
      <c r="AX93" s="109">
        <v>91.497988070549255</v>
      </c>
      <c r="AY93">
        <v>0</v>
      </c>
      <c r="AZ93">
        <v>20.200143984470078</v>
      </c>
      <c r="BA93">
        <v>1.0768668215805393</v>
      </c>
      <c r="BB93">
        <v>845.68791006749268</v>
      </c>
    </row>
    <row r="94" spans="3:54" ht="18">
      <c r="C94" t="str">
        <f>INDEX('Scenario names'!$C$3:$C$6,3)</f>
        <v>Accelerated Green</v>
      </c>
      <c r="E94" s="76" t="s">
        <v>195</v>
      </c>
      <c r="G94" s="44" t="s">
        <v>692</v>
      </c>
      <c r="I94" s="44"/>
      <c r="K94" s="44"/>
      <c r="M94" s="44"/>
      <c r="O94" s="109">
        <v>130.90448061007513</v>
      </c>
      <c r="P94" s="109">
        <v>130.90448061007513</v>
      </c>
      <c r="Q94" s="109">
        <v>130.90448061007513</v>
      </c>
      <c r="R94" s="109">
        <v>130.90448061007513</v>
      </c>
      <c r="S94" s="109">
        <v>129.55624604254388</v>
      </c>
      <c r="T94" s="109">
        <v>124.51411600130794</v>
      </c>
      <c r="U94" s="109">
        <v>123.13751174989375</v>
      </c>
      <c r="V94" s="109">
        <v>121.80656772978553</v>
      </c>
      <c r="W94" s="109">
        <v>120.67756774653884</v>
      </c>
      <c r="X94" s="109">
        <v>120.42463560242827</v>
      </c>
      <c r="Y94" s="109">
        <v>118.47082169338726</v>
      </c>
      <c r="Z94" s="109">
        <v>116.02986105424736</v>
      </c>
      <c r="AA94" s="109">
        <v>114.41037929145946</v>
      </c>
      <c r="AB94" s="109">
        <v>113.28201121717207</v>
      </c>
      <c r="AC94" s="109">
        <v>112.21422274125932</v>
      </c>
      <c r="AD94" s="109">
        <v>110.70433662560504</v>
      </c>
      <c r="AE94" s="109">
        <v>109.3261434948264</v>
      </c>
      <c r="AF94" s="109">
        <v>108.20322338232913</v>
      </c>
      <c r="AG94" s="109">
        <v>107.12442569537804</v>
      </c>
      <c r="AH94" s="109">
        <v>106.13508255746463</v>
      </c>
      <c r="AI94" s="109">
        <v>105.13703420412678</v>
      </c>
      <c r="AJ94" s="109">
        <v>104.07569935665873</v>
      </c>
      <c r="AK94" s="109">
        <v>103.11370104638924</v>
      </c>
      <c r="AL94" s="109">
        <v>102.24254050794131</v>
      </c>
      <c r="AM94" s="109">
        <v>101.34555141955745</v>
      </c>
      <c r="AN94" s="109">
        <v>100.41723652566478</v>
      </c>
      <c r="AO94" s="109">
        <v>99.438987036374812</v>
      </c>
      <c r="AP94" s="109">
        <v>98.556788610701147</v>
      </c>
      <c r="AQ94" s="109">
        <v>97.694352086637664</v>
      </c>
      <c r="AR94" s="109">
        <v>96.809097976344233</v>
      </c>
      <c r="AS94" s="109">
        <v>95.876414138794971</v>
      </c>
      <c r="AT94" s="109">
        <v>94.983372098533053</v>
      </c>
      <c r="AU94" s="109">
        <v>94.100213607266397</v>
      </c>
      <c r="AV94" s="109">
        <v>93.23012466763862</v>
      </c>
      <c r="AW94" s="109">
        <v>92.354199553522918</v>
      </c>
      <c r="AX94" s="109">
        <v>91.497988070549255</v>
      </c>
      <c r="AY94">
        <v>0</v>
      </c>
      <c r="AZ94">
        <v>20.200143984470078</v>
      </c>
      <c r="BA94">
        <v>0.92020090325101733</v>
      </c>
      <c r="BB94">
        <v>845.68791006749268</v>
      </c>
    </row>
    <row r="95" spans="3:54" ht="18">
      <c r="C95" t="str">
        <f>INDEX('Scenario names'!$C$3:$C$6,4)</f>
        <v>No Constraints</v>
      </c>
      <c r="E95" s="76" t="s">
        <v>195</v>
      </c>
      <c r="G95" s="44" t="s">
        <v>692</v>
      </c>
      <c r="I95" s="44"/>
      <c r="K95" s="44"/>
      <c r="M95" s="44"/>
      <c r="O95" s="109">
        <v>130.90448061007513</v>
      </c>
      <c r="P95" s="109">
        <v>130.90448061007513</v>
      </c>
      <c r="Q95" s="109">
        <v>130.90448061007513</v>
      </c>
      <c r="R95" s="109">
        <v>130.90448061007513</v>
      </c>
      <c r="S95" s="109">
        <v>129.55624604254388</v>
      </c>
      <c r="T95" s="109">
        <v>124.51411600130794</v>
      </c>
      <c r="U95" s="109">
        <v>123.13751174989375</v>
      </c>
      <c r="V95" s="109">
        <v>121.80656772978553</v>
      </c>
      <c r="W95" s="109">
        <v>120.67756774653884</v>
      </c>
      <c r="X95" s="109">
        <v>120.42463560242827</v>
      </c>
      <c r="Y95" s="109">
        <v>118.47082169338726</v>
      </c>
      <c r="Z95" s="109">
        <v>116.02986105424736</v>
      </c>
      <c r="AA95" s="109">
        <v>114.41037929145946</v>
      </c>
      <c r="AB95" s="109">
        <v>113.28201121717207</v>
      </c>
      <c r="AC95" s="109">
        <v>112.21422274125932</v>
      </c>
      <c r="AD95" s="109">
        <v>110.70433662560504</v>
      </c>
      <c r="AE95" s="109">
        <v>109.3261434948264</v>
      </c>
      <c r="AF95" s="109">
        <v>108.20322338232913</v>
      </c>
      <c r="AG95" s="109">
        <v>107.12442569537804</v>
      </c>
      <c r="AH95" s="109">
        <v>106.13508255746463</v>
      </c>
      <c r="AI95" s="109">
        <v>105.13703420412678</v>
      </c>
      <c r="AJ95" s="109">
        <v>104.07569935665873</v>
      </c>
      <c r="AK95" s="109">
        <v>103.11370104638924</v>
      </c>
      <c r="AL95" s="109">
        <v>102.24254050794131</v>
      </c>
      <c r="AM95" s="109">
        <v>101.34555141955745</v>
      </c>
      <c r="AN95" s="109">
        <v>100.41723652566478</v>
      </c>
      <c r="AO95" s="109">
        <v>99.438987036374812</v>
      </c>
      <c r="AP95" s="109">
        <v>98.556788610701147</v>
      </c>
      <c r="AQ95" s="109">
        <v>97.694352086637664</v>
      </c>
      <c r="AR95" s="109">
        <v>96.809097976344233</v>
      </c>
      <c r="AS95" s="109">
        <v>95.876414138794971</v>
      </c>
      <c r="AT95" s="109">
        <v>94.983372098533053</v>
      </c>
      <c r="AU95" s="109">
        <v>94.100213607266397</v>
      </c>
      <c r="AV95" s="109">
        <v>93.23012466763862</v>
      </c>
      <c r="AW95" s="109">
        <v>92.354199553522918</v>
      </c>
      <c r="AX95" s="109">
        <v>91.497988070549255</v>
      </c>
      <c r="AY95">
        <v>0</v>
      </c>
      <c r="AZ95">
        <v>20.200143984470078</v>
      </c>
      <c r="BA95">
        <v>0.78620614682693746</v>
      </c>
      <c r="BB95">
        <v>845.68791006749268</v>
      </c>
    </row>
    <row r="96" spans="3:54">
      <c r="E96" s="198"/>
      <c r="G96" s="44"/>
      <c r="I96" s="44"/>
      <c r="K96" s="44"/>
      <c r="M96" s="44"/>
      <c r="O96" s="202"/>
      <c r="P96" s="202"/>
      <c r="Q96" s="202"/>
      <c r="R96" s="202"/>
      <c r="S96" s="202"/>
      <c r="T96" s="202"/>
      <c r="U96" s="202"/>
      <c r="V96" s="202"/>
      <c r="W96" s="202"/>
      <c r="X96" s="202"/>
      <c r="Y96" s="202"/>
      <c r="Z96" s="202"/>
      <c r="AA96" s="202"/>
      <c r="AB96" s="202"/>
      <c r="AC96" s="202"/>
      <c r="AD96" s="202"/>
      <c r="AE96" s="202"/>
      <c r="AF96" s="202"/>
      <c r="AG96" s="202"/>
      <c r="AH96" s="202"/>
      <c r="AI96" s="202"/>
      <c r="AJ96" s="202"/>
      <c r="AK96" s="202"/>
      <c r="AL96" s="202"/>
      <c r="AM96" s="202"/>
      <c r="AN96" s="202"/>
      <c r="AO96" s="202"/>
      <c r="AP96" s="202"/>
      <c r="AQ96" s="202"/>
      <c r="AR96" s="202"/>
      <c r="AS96" s="202"/>
      <c r="AT96" s="202"/>
      <c r="AU96" s="202"/>
      <c r="AV96" s="202"/>
      <c r="AW96" s="202"/>
      <c r="AX96" s="202"/>
    </row>
    <row r="97" spans="1:50">
      <c r="E97" s="198"/>
      <c r="G97" s="44"/>
      <c r="I97" s="44"/>
      <c r="K97" s="44"/>
      <c r="M97" s="44"/>
      <c r="O97" s="202"/>
      <c r="P97" s="202"/>
      <c r="Q97" s="202"/>
      <c r="R97" s="202"/>
      <c r="S97" s="202"/>
      <c r="T97" s="202"/>
      <c r="U97" s="202"/>
      <c r="V97" s="202"/>
      <c r="W97" s="202"/>
      <c r="X97" s="202"/>
      <c r="Y97" s="202"/>
      <c r="Z97" s="202"/>
      <c r="AA97" s="202"/>
      <c r="AB97" s="202"/>
      <c r="AC97" s="202"/>
      <c r="AD97" s="202"/>
      <c r="AE97" s="202"/>
      <c r="AF97" s="202"/>
      <c r="AG97" s="202"/>
      <c r="AH97" s="202"/>
      <c r="AI97" s="202"/>
      <c r="AJ97" s="202"/>
      <c r="AK97" s="202"/>
      <c r="AL97" s="202"/>
      <c r="AM97" s="202"/>
      <c r="AN97" s="202"/>
      <c r="AO97" s="202"/>
      <c r="AP97" s="202"/>
      <c r="AQ97" s="202"/>
      <c r="AR97" s="202"/>
      <c r="AS97" s="202"/>
      <c r="AT97" s="202"/>
      <c r="AU97" s="202"/>
      <c r="AV97" s="202"/>
      <c r="AW97" s="202"/>
      <c r="AX97" s="202"/>
    </row>
    <row r="98" spans="1:50">
      <c r="A98" s="42"/>
      <c r="B98" s="42" t="s">
        <v>239</v>
      </c>
      <c r="C98" s="42"/>
      <c r="D98" s="42"/>
      <c r="E98" s="42"/>
      <c r="F98" s="42"/>
      <c r="G98" s="42"/>
      <c r="H98" s="42"/>
      <c r="I98" s="42"/>
      <c r="J98" s="42"/>
      <c r="K98" s="42"/>
      <c r="L98" s="42"/>
      <c r="M98" s="42"/>
      <c r="N98" s="42"/>
      <c r="O98" s="108"/>
      <c r="P98" s="108"/>
      <c r="Q98" s="108"/>
      <c r="R98" s="108"/>
      <c r="S98" s="108"/>
      <c r="T98" s="108"/>
      <c r="U98" s="108"/>
      <c r="V98" s="108"/>
      <c r="W98" s="108"/>
      <c r="X98" s="108"/>
      <c r="Y98" s="108"/>
      <c r="Z98" s="108"/>
      <c r="AA98" s="108"/>
      <c r="AB98" s="108"/>
      <c r="AC98" s="108"/>
      <c r="AD98" s="108"/>
      <c r="AE98" s="108"/>
      <c r="AF98" s="108"/>
      <c r="AG98" s="108"/>
      <c r="AH98" s="108"/>
      <c r="AI98" s="108"/>
      <c r="AJ98" s="108"/>
      <c r="AK98" s="108"/>
      <c r="AL98" s="108"/>
      <c r="AM98" s="108"/>
      <c r="AN98" s="108"/>
      <c r="AO98" s="108"/>
      <c r="AP98" s="108"/>
      <c r="AQ98" s="108"/>
      <c r="AR98" s="108"/>
      <c r="AS98" s="108"/>
      <c r="AT98" s="108"/>
      <c r="AU98" s="108"/>
      <c r="AV98" s="108"/>
      <c r="AW98" s="108"/>
      <c r="AX98" s="108"/>
    </row>
    <row r="99" spans="1:50">
      <c r="C99" s="35"/>
      <c r="E99" s="78"/>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row>
    <row r="100" spans="1:50" s="36" customFormat="1">
      <c r="A100"/>
      <c r="B100"/>
      <c r="C100"/>
      <c r="D100"/>
      <c r="E100" s="35" t="s">
        <v>22</v>
      </c>
      <c r="F100"/>
      <c r="G100"/>
      <c r="H100"/>
      <c r="I100"/>
      <c r="J100"/>
      <c r="K100"/>
      <c r="L100"/>
      <c r="M100"/>
      <c r="N100"/>
      <c r="O100" s="78"/>
      <c r="P100" s="78"/>
      <c r="Q100" s="78"/>
      <c r="R100" s="78"/>
      <c r="S100" s="78"/>
      <c r="T100" s="78"/>
      <c r="U100" s="78"/>
      <c r="V100" s="78"/>
      <c r="W100" s="78"/>
      <c r="X100" s="78"/>
      <c r="Y100" s="78"/>
      <c r="Z100" s="78"/>
      <c r="AA100" s="78"/>
      <c r="AB100" s="78"/>
      <c r="AC100" s="106"/>
      <c r="AD100" s="106"/>
      <c r="AE100" s="106"/>
      <c r="AF100" s="106"/>
      <c r="AG100" s="106"/>
      <c r="AH100" s="106"/>
      <c r="AI100" s="106"/>
      <c r="AJ100" s="106"/>
      <c r="AK100" s="106"/>
      <c r="AL100" s="106"/>
      <c r="AM100" s="106"/>
      <c r="AN100" s="106"/>
      <c r="AO100" s="106"/>
      <c r="AP100" s="106"/>
      <c r="AQ100" s="106"/>
      <c r="AR100" s="106"/>
      <c r="AS100" s="106"/>
      <c r="AT100" s="106"/>
      <c r="AU100" s="106"/>
      <c r="AV100" s="106"/>
      <c r="AW100" s="106"/>
      <c r="AX100" s="106"/>
    </row>
    <row r="101" spans="1:50">
      <c r="C101" t="s">
        <v>704</v>
      </c>
      <c r="E101" t="s">
        <v>705</v>
      </c>
      <c r="G101" s="44" t="s">
        <v>679</v>
      </c>
      <c r="I101" s="45"/>
      <c r="K101" s="44"/>
      <c r="M101" s="44"/>
      <c r="O101" s="105">
        <v>824998.78306138469</v>
      </c>
      <c r="P101" s="217">
        <v>824998.78306138469</v>
      </c>
      <c r="Q101" s="217">
        <v>827201.28323660302</v>
      </c>
      <c r="R101" s="217">
        <v>852086.38502724515</v>
      </c>
      <c r="S101" s="217">
        <v>876971.48681788717</v>
      </c>
      <c r="T101" s="105">
        <v>901856.5886085293</v>
      </c>
      <c r="U101" s="217">
        <v>902310.64422398654</v>
      </c>
      <c r="V101" s="217">
        <v>902764.69983944378</v>
      </c>
      <c r="W101" s="217">
        <v>903218.75545490091</v>
      </c>
      <c r="X101" s="217">
        <v>903672.81107035815</v>
      </c>
      <c r="Y101" s="105">
        <v>904126.86668581527</v>
      </c>
      <c r="Z101" s="217">
        <v>903793.36742021737</v>
      </c>
      <c r="AA101" s="217">
        <v>903459.86815461959</v>
      </c>
      <c r="AB101" s="217">
        <v>903126.36888902157</v>
      </c>
      <c r="AC101" s="217">
        <v>902792.86962342367</v>
      </c>
      <c r="AD101" s="105">
        <v>902459.37035782589</v>
      </c>
      <c r="AE101" s="217">
        <v>935148.46077587653</v>
      </c>
      <c r="AF101" s="217">
        <v>967837.5511939273</v>
      </c>
      <c r="AG101" s="217">
        <v>1000526.6416119781</v>
      </c>
      <c r="AH101" s="217">
        <v>1033215.7320300287</v>
      </c>
      <c r="AI101" s="217">
        <v>1065904.8224480795</v>
      </c>
      <c r="AJ101" s="217">
        <v>1098593.9128661302</v>
      </c>
      <c r="AK101" s="217">
        <v>1131283.0032841808</v>
      </c>
      <c r="AL101" s="217">
        <v>1163972.0937022315</v>
      </c>
      <c r="AM101" s="217">
        <v>1196661.1841202823</v>
      </c>
      <c r="AN101" s="105">
        <v>1229350.2745383331</v>
      </c>
      <c r="AO101" s="217">
        <v>1229350.2745383331</v>
      </c>
      <c r="AP101" s="217">
        <v>1229350.2745383331</v>
      </c>
      <c r="AQ101" s="217">
        <v>1229350.2745383331</v>
      </c>
      <c r="AR101" s="217">
        <v>1229350.2745383331</v>
      </c>
      <c r="AS101" s="217">
        <v>1229350.2745383331</v>
      </c>
      <c r="AT101" s="217">
        <v>1229350.2745383331</v>
      </c>
      <c r="AU101" s="217">
        <v>1229350.2745383331</v>
      </c>
      <c r="AV101" s="217">
        <v>1229350.2745383331</v>
      </c>
      <c r="AW101" s="217">
        <v>1229350.2745383331</v>
      </c>
      <c r="AX101" s="105">
        <v>1229350.2745383331</v>
      </c>
    </row>
    <row r="102" spans="1:50" ht="18">
      <c r="E102" t="s">
        <v>706</v>
      </c>
      <c r="G102" s="44" t="s">
        <v>707</v>
      </c>
      <c r="I102" s="45"/>
      <c r="K102" s="44"/>
      <c r="M102" s="44"/>
      <c r="O102" s="105">
        <v>73105.744482822614</v>
      </c>
      <c r="P102" s="217">
        <f t="shared" ref="P102:S103" si="14">O102+( $T102 - $O102 )/(COLUMN($T102)-COLUMN($O102))</f>
        <v>71299.998179743779</v>
      </c>
      <c r="Q102" s="217">
        <f t="shared" si="14"/>
        <v>69494.251876664945</v>
      </c>
      <c r="R102" s="217">
        <f t="shared" si="14"/>
        <v>67688.50557358611</v>
      </c>
      <c r="S102" s="217">
        <f t="shared" si="14"/>
        <v>65882.759270507275</v>
      </c>
      <c r="T102" s="105">
        <v>64077.012967428454</v>
      </c>
      <c r="U102" s="217">
        <f t="shared" ref="U102:X103" si="15">T102+( $Y102 - $T102 )/(COLUMN($Y102)-COLUMN($T102))</f>
        <v>64077.012967428454</v>
      </c>
      <c r="V102" s="217">
        <f t="shared" si="15"/>
        <v>64077.012967428454</v>
      </c>
      <c r="W102" s="217">
        <f t="shared" si="15"/>
        <v>64077.012967428454</v>
      </c>
      <c r="X102" s="217">
        <f t="shared" si="15"/>
        <v>64077.012967428454</v>
      </c>
      <c r="Y102" s="105">
        <v>64077.012967428454</v>
      </c>
      <c r="Z102" s="217">
        <f t="shared" ref="Z102:AC103" si="16">Y102+( $AD102 - $Y102 )/(COLUMN($AD102)-COLUMN($Y102))</f>
        <v>64077.012967428454</v>
      </c>
      <c r="AA102" s="217">
        <f t="shared" si="16"/>
        <v>64077.012967428454</v>
      </c>
      <c r="AB102" s="217">
        <f t="shared" si="16"/>
        <v>64077.012967428454</v>
      </c>
      <c r="AC102" s="217">
        <f t="shared" si="16"/>
        <v>64077.012967428454</v>
      </c>
      <c r="AD102" s="105">
        <v>64077.012967428454</v>
      </c>
      <c r="AE102" s="217">
        <f t="shared" ref="AE102:AM102" si="17">AD102+( $AN102 - $AD102 )/(COLUMN($AN102)-COLUMN($AD102))</f>
        <v>64077.012967428454</v>
      </c>
      <c r="AF102" s="217">
        <f t="shared" si="17"/>
        <v>64077.012967428454</v>
      </c>
      <c r="AG102" s="217">
        <f t="shared" si="17"/>
        <v>64077.012967428454</v>
      </c>
      <c r="AH102" s="217">
        <f t="shared" si="17"/>
        <v>64077.012967428454</v>
      </c>
      <c r="AI102" s="217">
        <f t="shared" si="17"/>
        <v>64077.012967428454</v>
      </c>
      <c r="AJ102" s="217">
        <f t="shared" si="17"/>
        <v>64077.012967428454</v>
      </c>
      <c r="AK102" s="217">
        <f t="shared" si="17"/>
        <v>64077.012967428454</v>
      </c>
      <c r="AL102" s="217">
        <f t="shared" si="17"/>
        <v>64077.012967428454</v>
      </c>
      <c r="AM102" s="217">
        <f t="shared" si="17"/>
        <v>64077.012967428454</v>
      </c>
      <c r="AN102" s="105">
        <v>64077.012967428454</v>
      </c>
      <c r="AO102" s="217">
        <f t="shared" ref="AO102:AW102" si="18">AN102+( $AX102 - $AN102 )/(COLUMN($AX102)-COLUMN($AN102))</f>
        <v>64077.012967428454</v>
      </c>
      <c r="AP102" s="217">
        <f t="shared" si="18"/>
        <v>64077.012967428454</v>
      </c>
      <c r="AQ102" s="217">
        <f t="shared" si="18"/>
        <v>64077.012967428454</v>
      </c>
      <c r="AR102" s="217">
        <f t="shared" si="18"/>
        <v>64077.012967428454</v>
      </c>
      <c r="AS102" s="217">
        <f t="shared" si="18"/>
        <v>64077.012967428454</v>
      </c>
      <c r="AT102" s="217">
        <f t="shared" si="18"/>
        <v>64077.012967428454</v>
      </c>
      <c r="AU102" s="217">
        <f t="shared" si="18"/>
        <v>64077.012967428454</v>
      </c>
      <c r="AV102" s="217">
        <f t="shared" si="18"/>
        <v>64077.012967428454</v>
      </c>
      <c r="AW102" s="217">
        <f t="shared" si="18"/>
        <v>64077.012967428454</v>
      </c>
      <c r="AX102" s="105">
        <v>64077.012967428454</v>
      </c>
    </row>
    <row r="103" spans="1:50">
      <c r="E103" t="s">
        <v>708</v>
      </c>
      <c r="G103" s="44" t="s">
        <v>679</v>
      </c>
      <c r="I103" s="45"/>
      <c r="K103" s="44"/>
      <c r="M103" s="44"/>
      <c r="O103" s="105">
        <v>1084631.5477093232</v>
      </c>
      <c r="P103" s="217">
        <f t="shared" si="14"/>
        <v>1116245.3313264113</v>
      </c>
      <c r="Q103" s="217">
        <f t="shared" si="14"/>
        <v>1147859.1149434994</v>
      </c>
      <c r="R103" s="217">
        <f t="shared" si="14"/>
        <v>1179472.8985605875</v>
      </c>
      <c r="S103" s="217">
        <f t="shared" si="14"/>
        <v>1211086.6821776757</v>
      </c>
      <c r="T103" s="105">
        <v>1242700.4657947633</v>
      </c>
      <c r="U103" s="217">
        <f t="shared" si="15"/>
        <v>1249693.8039820364</v>
      </c>
      <c r="V103" s="217">
        <f t="shared" si="15"/>
        <v>1256687.1421693095</v>
      </c>
      <c r="W103" s="217">
        <f t="shared" si="15"/>
        <v>1263680.4803565827</v>
      </c>
      <c r="X103" s="217">
        <f t="shared" si="15"/>
        <v>1270673.8185438558</v>
      </c>
      <c r="Y103" s="105">
        <v>1277667.1567311285</v>
      </c>
      <c r="Z103" s="217">
        <f t="shared" si="16"/>
        <v>1277195.8721473538</v>
      </c>
      <c r="AA103" s="217">
        <f t="shared" si="16"/>
        <v>1276724.5875635792</v>
      </c>
      <c r="AB103" s="217">
        <f t="shared" si="16"/>
        <v>1276253.3029798046</v>
      </c>
      <c r="AC103" s="217">
        <f t="shared" si="16"/>
        <v>1275782.0183960299</v>
      </c>
      <c r="AD103" s="105">
        <v>1275310.7338122551</v>
      </c>
      <c r="AE103" s="217">
        <f t="shared" ref="AE103:AM103" si="19">AD103+( $AN103 - $AD103 )/(COLUMN($AN103)-COLUMN($AD103))</f>
        <v>1275310.7338122551</v>
      </c>
      <c r="AF103" s="217">
        <f t="shared" si="19"/>
        <v>1275310.7338122551</v>
      </c>
      <c r="AG103" s="217">
        <f t="shared" si="19"/>
        <v>1275310.7338122551</v>
      </c>
      <c r="AH103" s="217">
        <f t="shared" si="19"/>
        <v>1275310.7338122551</v>
      </c>
      <c r="AI103" s="217">
        <f t="shared" si="19"/>
        <v>1275310.7338122551</v>
      </c>
      <c r="AJ103" s="217">
        <f t="shared" si="19"/>
        <v>1275310.7338122551</v>
      </c>
      <c r="AK103" s="217">
        <f t="shared" si="19"/>
        <v>1275310.7338122551</v>
      </c>
      <c r="AL103" s="217">
        <f t="shared" si="19"/>
        <v>1275310.7338122551</v>
      </c>
      <c r="AM103" s="217">
        <f t="shared" si="19"/>
        <v>1275310.7338122551</v>
      </c>
      <c r="AN103" s="105">
        <v>1275310.7338122551</v>
      </c>
      <c r="AO103" s="217">
        <f t="shared" ref="AO103:AW103" si="20">AN103+( $AX103 - $AN103 )/(COLUMN($AX103)-COLUMN($AN103))</f>
        <v>1275310.7338122551</v>
      </c>
      <c r="AP103" s="217">
        <f t="shared" si="20"/>
        <v>1275310.7338122551</v>
      </c>
      <c r="AQ103" s="217">
        <f t="shared" si="20"/>
        <v>1275310.7338122551</v>
      </c>
      <c r="AR103" s="217">
        <f t="shared" si="20"/>
        <v>1275310.7338122551</v>
      </c>
      <c r="AS103" s="217">
        <f t="shared" si="20"/>
        <v>1275310.7338122551</v>
      </c>
      <c r="AT103" s="217">
        <f t="shared" si="20"/>
        <v>1275310.7338122551</v>
      </c>
      <c r="AU103" s="217">
        <f t="shared" si="20"/>
        <v>1275310.7338122551</v>
      </c>
      <c r="AV103" s="217">
        <f t="shared" si="20"/>
        <v>1275310.7338122551</v>
      </c>
      <c r="AW103" s="217">
        <f t="shared" si="20"/>
        <v>1275310.7338122551</v>
      </c>
      <c r="AX103" s="105">
        <v>1275310.7338122551</v>
      </c>
    </row>
    <row r="104" spans="1:50">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159"/>
      <c r="AK104" s="159"/>
      <c r="AL104" s="159"/>
      <c r="AM104" s="159"/>
      <c r="AN104" s="159"/>
      <c r="AO104" s="159"/>
      <c r="AP104" s="159"/>
      <c r="AQ104" s="159"/>
      <c r="AR104" s="159"/>
      <c r="AS104" s="159"/>
      <c r="AT104" s="159"/>
      <c r="AU104" s="159"/>
      <c r="AV104" s="159"/>
      <c r="AW104" s="159"/>
      <c r="AX104" s="159"/>
    </row>
    <row r="105" spans="1:50">
      <c r="E105" s="35" t="s">
        <v>709</v>
      </c>
      <c r="P105" s="217"/>
      <c r="Q105" s="217"/>
      <c r="R105" s="217"/>
      <c r="S105" s="217"/>
      <c r="U105" s="217"/>
      <c r="V105" s="217"/>
      <c r="W105" s="217"/>
      <c r="X105" s="217"/>
      <c r="Z105" s="217"/>
      <c r="AA105" s="217"/>
      <c r="AB105" s="217"/>
      <c r="AC105" s="217"/>
      <c r="AE105" s="217"/>
      <c r="AF105" s="217"/>
      <c r="AG105" s="217"/>
      <c r="AH105" s="217"/>
      <c r="AI105" s="217"/>
      <c r="AJ105" s="217"/>
      <c r="AK105" s="217"/>
      <c r="AL105" s="217"/>
      <c r="AM105" s="217"/>
      <c r="AO105" s="217"/>
      <c r="AP105" s="217"/>
      <c r="AQ105" s="217"/>
      <c r="AR105" s="217"/>
      <c r="AS105" s="217"/>
      <c r="AT105" s="217"/>
      <c r="AU105" s="217"/>
      <c r="AV105" s="217"/>
      <c r="AW105" s="217"/>
    </row>
    <row r="106" spans="1:50">
      <c r="E106" t="s">
        <v>705</v>
      </c>
      <c r="G106" s="44" t="s">
        <v>679</v>
      </c>
      <c r="I106" s="45"/>
      <c r="K106" s="44"/>
      <c r="M106" s="44"/>
      <c r="O106" s="105">
        <v>824998.78306138469</v>
      </c>
      <c r="P106" s="217">
        <v>824998.78306138469</v>
      </c>
      <c r="Q106" s="217">
        <v>827201.28323660302</v>
      </c>
      <c r="R106" s="217">
        <v>852086.38502724515</v>
      </c>
      <c r="S106" s="217">
        <v>876971.48681788717</v>
      </c>
      <c r="T106" s="105">
        <v>901856.5886085293</v>
      </c>
      <c r="U106" s="217">
        <v>902310.64422398654</v>
      </c>
      <c r="V106" s="217">
        <v>902764.69983944378</v>
      </c>
      <c r="W106" s="217">
        <v>903218.75545490091</v>
      </c>
      <c r="X106" s="217">
        <v>903672.81107035815</v>
      </c>
      <c r="Y106" s="105">
        <v>904126.86668581527</v>
      </c>
      <c r="Z106" s="217">
        <v>903793.36742021737</v>
      </c>
      <c r="AA106" s="217">
        <v>903459.86815461959</v>
      </c>
      <c r="AB106" s="217">
        <v>903126.36888902157</v>
      </c>
      <c r="AC106" s="217">
        <v>902792.86962342367</v>
      </c>
      <c r="AD106" s="105">
        <v>902459.37035782589</v>
      </c>
      <c r="AE106" s="217">
        <v>935148.46077587653</v>
      </c>
      <c r="AF106" s="217">
        <v>967837.5511939273</v>
      </c>
      <c r="AG106" s="217">
        <v>1000526.6416119781</v>
      </c>
      <c r="AH106" s="217">
        <v>1033215.7320300287</v>
      </c>
      <c r="AI106" s="217">
        <v>1065904.8224480795</v>
      </c>
      <c r="AJ106" s="217">
        <v>1098593.9128661302</v>
      </c>
      <c r="AK106" s="217">
        <v>1131283.0032841808</v>
      </c>
      <c r="AL106" s="217">
        <v>1163972.0937022315</v>
      </c>
      <c r="AM106" s="217">
        <v>1196661.1841202823</v>
      </c>
      <c r="AN106" s="105">
        <v>1229350.2745383331</v>
      </c>
      <c r="AO106" s="217">
        <v>1229350.2745383331</v>
      </c>
      <c r="AP106" s="217">
        <v>1229350.2745383331</v>
      </c>
      <c r="AQ106" s="217">
        <v>1229350.2745383331</v>
      </c>
      <c r="AR106" s="217">
        <v>1229350.2745383331</v>
      </c>
      <c r="AS106" s="217">
        <v>1229350.2745383331</v>
      </c>
      <c r="AT106" s="217">
        <v>1229350.2745383331</v>
      </c>
      <c r="AU106" s="217">
        <v>1229350.2745383331</v>
      </c>
      <c r="AV106" s="217">
        <v>1229350.2745383331</v>
      </c>
      <c r="AW106" s="217">
        <v>1229350.2745383331</v>
      </c>
      <c r="AX106" s="105">
        <v>1229350.2745383331</v>
      </c>
    </row>
    <row r="107" spans="1:50" ht="18">
      <c r="E107" t="s">
        <v>706</v>
      </c>
      <c r="G107" s="44" t="s">
        <v>707</v>
      </c>
      <c r="I107" s="45"/>
      <c r="K107" s="44"/>
      <c r="M107" s="44"/>
      <c r="O107" s="105">
        <v>104204.47485371827</v>
      </c>
      <c r="P107" s="217">
        <v>101630.57527082595</v>
      </c>
      <c r="Q107" s="217">
        <v>99056.675687933559</v>
      </c>
      <c r="R107" s="217">
        <v>96482.776105041194</v>
      </c>
      <c r="S107" s="217">
        <v>93908.876522148828</v>
      </c>
      <c r="T107" s="105">
        <v>91334.976939256478</v>
      </c>
      <c r="U107" s="217">
        <v>91334.976939256478</v>
      </c>
      <c r="V107" s="217">
        <v>91334.976939256478</v>
      </c>
      <c r="W107" s="217">
        <v>91334.976939256478</v>
      </c>
      <c r="X107" s="217">
        <v>91334.976939256478</v>
      </c>
      <c r="Y107" s="105">
        <v>91334.976939256478</v>
      </c>
      <c r="Z107" s="217">
        <v>91334.976939256478</v>
      </c>
      <c r="AA107" s="217">
        <v>91334.976939256478</v>
      </c>
      <c r="AB107" s="217">
        <v>91334.976939256478</v>
      </c>
      <c r="AC107" s="217">
        <v>91334.976939256478</v>
      </c>
      <c r="AD107" s="105">
        <v>91334.976939256478</v>
      </c>
      <c r="AE107" s="217">
        <v>82201.479245330818</v>
      </c>
      <c r="AF107" s="217">
        <v>73067.981551405173</v>
      </c>
      <c r="AG107" s="217">
        <v>63934.483857479536</v>
      </c>
      <c r="AH107" s="217">
        <v>54800.986163553876</v>
      </c>
      <c r="AI107" s="217">
        <v>45667.488469628239</v>
      </c>
      <c r="AJ107" s="217">
        <v>36533.990775702587</v>
      </c>
      <c r="AK107" s="217">
        <v>27400.493081776938</v>
      </c>
      <c r="AL107" s="217">
        <v>18266.995387851293</v>
      </c>
      <c r="AM107" s="217">
        <v>9133.4976939256467</v>
      </c>
      <c r="AN107" s="105">
        <v>0</v>
      </c>
      <c r="AO107" s="217">
        <v>0</v>
      </c>
      <c r="AP107" s="217">
        <v>0</v>
      </c>
      <c r="AQ107" s="217">
        <v>0</v>
      </c>
      <c r="AR107" s="217">
        <v>0</v>
      </c>
      <c r="AS107" s="217">
        <v>0</v>
      </c>
      <c r="AT107" s="217">
        <v>0</v>
      </c>
      <c r="AU107" s="217">
        <v>0</v>
      </c>
      <c r="AV107" s="217">
        <v>0</v>
      </c>
      <c r="AW107" s="217">
        <v>0</v>
      </c>
      <c r="AX107" s="105">
        <v>0</v>
      </c>
    </row>
    <row r="108" spans="1:50">
      <c r="E108" t="s">
        <v>708</v>
      </c>
      <c r="G108" s="44" t="s">
        <v>679</v>
      </c>
      <c r="I108" s="45"/>
      <c r="K108" s="44"/>
      <c r="M108" s="44"/>
      <c r="O108" s="105">
        <v>1094910.6769184438</v>
      </c>
      <c r="P108" s="217">
        <v>1126824.0665789624</v>
      </c>
      <c r="Q108" s="217">
        <v>1158737.456239481</v>
      </c>
      <c r="R108" s="217">
        <v>1190650.8458999998</v>
      </c>
      <c r="S108" s="217">
        <v>1222564.2355605185</v>
      </c>
      <c r="T108" s="105">
        <v>1254477.6252210371</v>
      </c>
      <c r="U108" s="217">
        <v>1261537.2397645363</v>
      </c>
      <c r="V108" s="217">
        <v>1268596.8543080352</v>
      </c>
      <c r="W108" s="217">
        <v>1275656.4688515346</v>
      </c>
      <c r="X108" s="217">
        <v>1282716.0833950336</v>
      </c>
      <c r="Y108" s="105">
        <v>1289775.6979385328</v>
      </c>
      <c r="Z108" s="217">
        <v>1289299.9469577211</v>
      </c>
      <c r="AA108" s="217">
        <v>1288824.1959769097</v>
      </c>
      <c r="AB108" s="217">
        <v>1288348.4449960976</v>
      </c>
      <c r="AC108" s="217">
        <v>1287872.6940152862</v>
      </c>
      <c r="AD108" s="105">
        <v>1287396.9430344747</v>
      </c>
      <c r="AE108" s="217">
        <v>1319777.2626889439</v>
      </c>
      <c r="AF108" s="217">
        <v>1352157.5823434128</v>
      </c>
      <c r="AG108" s="217">
        <v>1384537.9019978819</v>
      </c>
      <c r="AH108" s="217">
        <v>1416918.2216523513</v>
      </c>
      <c r="AI108" s="217">
        <v>1449298.5413068205</v>
      </c>
      <c r="AJ108" s="217">
        <v>1481678.8609612896</v>
      </c>
      <c r="AK108" s="217">
        <v>1514059.180615759</v>
      </c>
      <c r="AL108" s="217">
        <v>1546439.5002702281</v>
      </c>
      <c r="AM108" s="217">
        <v>1578819.819924697</v>
      </c>
      <c r="AN108" s="105">
        <v>1611200.1395791662</v>
      </c>
      <c r="AO108" s="217">
        <v>1611200.1395791662</v>
      </c>
      <c r="AP108" s="217">
        <v>1611200.1395791662</v>
      </c>
      <c r="AQ108" s="217">
        <v>1611200.1395791662</v>
      </c>
      <c r="AR108" s="217">
        <v>1611200.1395791662</v>
      </c>
      <c r="AS108" s="217">
        <v>1611200.1395791662</v>
      </c>
      <c r="AT108" s="217">
        <v>1611200.1395791662</v>
      </c>
      <c r="AU108" s="217">
        <v>1611200.1395791662</v>
      </c>
      <c r="AV108" s="217">
        <v>1611200.1395791662</v>
      </c>
      <c r="AW108" s="217">
        <v>1611200.1395791662</v>
      </c>
      <c r="AX108" s="105">
        <v>1611200.1395791662</v>
      </c>
    </row>
    <row r="109" spans="1:50">
      <c r="P109" s="217"/>
      <c r="Q109" s="217"/>
      <c r="R109" s="217"/>
      <c r="S109" s="217"/>
      <c r="U109" s="217"/>
      <c r="V109" s="217"/>
      <c r="W109" s="217"/>
      <c r="X109" s="217"/>
      <c r="Z109" s="217"/>
      <c r="AA109" s="217"/>
      <c r="AB109" s="217"/>
      <c r="AC109" s="217"/>
      <c r="AE109" s="217"/>
      <c r="AF109" s="217"/>
      <c r="AG109" s="217"/>
      <c r="AH109" s="217"/>
      <c r="AI109" s="217"/>
      <c r="AJ109" s="217"/>
      <c r="AK109" s="217"/>
      <c r="AL109" s="217"/>
      <c r="AM109" s="217"/>
      <c r="AO109" s="217"/>
      <c r="AP109" s="217"/>
      <c r="AQ109" s="217"/>
      <c r="AR109" s="217"/>
      <c r="AS109" s="217"/>
      <c r="AT109" s="217"/>
      <c r="AU109" s="217"/>
      <c r="AV109" s="217"/>
      <c r="AW109" s="217"/>
    </row>
    <row r="110" spans="1:50">
      <c r="C110" s="35"/>
      <c r="E110" s="76" t="s">
        <v>694</v>
      </c>
      <c r="F110" s="35"/>
      <c r="G110" s="44" t="s">
        <v>452</v>
      </c>
      <c r="I110" s="44"/>
      <c r="K110" s="44"/>
      <c r="M110" s="44"/>
      <c r="O110" s="39">
        <f>LAEI!W161</f>
        <v>0.2537973050606156</v>
      </c>
      <c r="P110" s="39">
        <f>LAEI!X161</f>
        <v>0.25230963310544341</v>
      </c>
      <c r="Q110" s="39">
        <f>LAEI!Y161</f>
        <v>0.25074464948604835</v>
      </c>
      <c r="R110" s="39">
        <f>LAEI!Z161</f>
        <v>0.2490961668039644</v>
      </c>
      <c r="S110" s="39">
        <f>LAEI!AA161</f>
        <v>0.24735731931197211</v>
      </c>
      <c r="T110" s="39">
        <f>LAEI!AB161</f>
        <v>0.24552046733179053</v>
      </c>
      <c r="U110" s="39">
        <f>LAEI!AC161</f>
        <v>0.24552046733179053</v>
      </c>
      <c r="V110" s="39">
        <f>LAEI!AD161</f>
        <v>0.24552046733179053</v>
      </c>
      <c r="W110" s="39">
        <f>LAEI!AE161</f>
        <v>0.24552046733179053</v>
      </c>
      <c r="X110" s="39">
        <f>LAEI!AF161</f>
        <v>0.24552046733179053</v>
      </c>
      <c r="Y110" s="39">
        <f>LAEI!AG161</f>
        <v>0.24552046733179053</v>
      </c>
      <c r="Z110" s="39">
        <f>LAEI!AH161</f>
        <v>0.24552046733179053</v>
      </c>
      <c r="AA110" s="39">
        <f>LAEI!AI161</f>
        <v>0.24552046733179053</v>
      </c>
      <c r="AB110" s="39">
        <f>LAEI!AJ161</f>
        <v>0.24552046733179053</v>
      </c>
      <c r="AC110" s="39">
        <f>LAEI!AK161</f>
        <v>0.24552046733179053</v>
      </c>
      <c r="AD110" s="39">
        <f>LAEI!AL161</f>
        <v>0.24552046733179053</v>
      </c>
      <c r="AE110" s="39">
        <f>LAEI!AM161</f>
        <v>0.24552046733179053</v>
      </c>
      <c r="AF110" s="39">
        <f>LAEI!AN161</f>
        <v>0.24552046733179053</v>
      </c>
      <c r="AG110" s="39">
        <f>LAEI!AO161</f>
        <v>0.24552046733179053</v>
      </c>
      <c r="AH110" s="39">
        <f>LAEI!AP161</f>
        <v>0.24552046733179053</v>
      </c>
      <c r="AI110" s="39">
        <f>LAEI!AQ161</f>
        <v>0.24552046733179053</v>
      </c>
      <c r="AJ110" s="39">
        <f>LAEI!AR161</f>
        <v>0.24552046733179053</v>
      </c>
      <c r="AK110" s="39">
        <f>LAEI!AS161</f>
        <v>0.24552046733179053</v>
      </c>
      <c r="AL110" s="39">
        <f>LAEI!AT161</f>
        <v>0.24552046733179053</v>
      </c>
      <c r="AM110" s="39">
        <f>LAEI!AU161</f>
        <v>0.24552046733179053</v>
      </c>
      <c r="AN110" s="39">
        <f>LAEI!AV161</f>
        <v>0.24552046733179053</v>
      </c>
      <c r="AO110" s="39">
        <f>LAEI!AW161</f>
        <v>0.24552046733179053</v>
      </c>
      <c r="AP110" s="39">
        <f>LAEI!AX161</f>
        <v>0.24552046733179053</v>
      </c>
      <c r="AQ110" s="39">
        <f>LAEI!AY161</f>
        <v>0.24552046733179053</v>
      </c>
      <c r="AR110" s="39">
        <f>LAEI!AZ161</f>
        <v>0.24552046733179053</v>
      </c>
      <c r="AS110" s="39">
        <f>LAEI!BA161</f>
        <v>0.24552046733179053</v>
      </c>
      <c r="AT110" s="39">
        <f>LAEI!BB161</f>
        <v>0.24552046733179053</v>
      </c>
      <c r="AU110" s="39">
        <f>LAEI!BC161</f>
        <v>0.24552046733179053</v>
      </c>
      <c r="AV110" s="39">
        <f>LAEI!BD161</f>
        <v>0.24552046733179053</v>
      </c>
      <c r="AW110" s="39">
        <f>LAEI!BE161</f>
        <v>0.24552046733179053</v>
      </c>
      <c r="AX110" s="39">
        <f>LAEI!BF161</f>
        <v>0.24552046733179053</v>
      </c>
    </row>
    <row r="111" spans="1:50">
      <c r="C111" s="35"/>
      <c r="E111" s="35" t="s">
        <v>710</v>
      </c>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row>
    <row r="112" spans="1:50">
      <c r="C112" s="35"/>
      <c r="E112" t="s">
        <v>705</v>
      </c>
      <c r="G112" s="44" t="s">
        <v>679</v>
      </c>
      <c r="I112" s="45"/>
      <c r="K112" s="44"/>
      <c r="M112" s="44"/>
      <c r="O112" s="104">
        <f>O106*O110</f>
        <v>209382.46781926687</v>
      </c>
      <c r="P112" s="104">
        <f t="shared" ref="P112:AX112" si="21">P106*P110</f>
        <v>208155.14026665527</v>
      </c>
      <c r="Q112" s="104">
        <f t="shared" si="21"/>
        <v>207416.29581957142</v>
      </c>
      <c r="R112" s="104">
        <f t="shared" si="21"/>
        <v>212251.45229613371</v>
      </c>
      <c r="S112" s="104">
        <f t="shared" si="21"/>
        <v>216925.31609230707</v>
      </c>
      <c r="T112" s="104">
        <f t="shared" si="21"/>
        <v>221424.25110142046</v>
      </c>
      <c r="U112" s="104">
        <f t="shared" si="21"/>
        <v>221535.73104832217</v>
      </c>
      <c r="V112" s="104">
        <f t="shared" si="21"/>
        <v>221647.21099522384</v>
      </c>
      <c r="W112" s="104">
        <f t="shared" si="21"/>
        <v>221758.69094212551</v>
      </c>
      <c r="X112" s="104">
        <f t="shared" si="21"/>
        <v>221870.17088902718</v>
      </c>
      <c r="Y112" s="104">
        <f t="shared" si="21"/>
        <v>221981.65083592883</v>
      </c>
      <c r="Z112" s="104">
        <f t="shared" si="21"/>
        <v>221899.76994038443</v>
      </c>
      <c r="AA112" s="104">
        <f t="shared" si="21"/>
        <v>221817.88904484006</v>
      </c>
      <c r="AB112" s="104">
        <f t="shared" si="21"/>
        <v>221736.00814929564</v>
      </c>
      <c r="AC112" s="104">
        <f t="shared" si="21"/>
        <v>221654.12725375121</v>
      </c>
      <c r="AD112" s="104">
        <f t="shared" si="21"/>
        <v>221572.24635820684</v>
      </c>
      <c r="AE112" s="104">
        <f t="shared" si="21"/>
        <v>229598.08711429778</v>
      </c>
      <c r="AF112" s="104">
        <f t="shared" si="21"/>
        <v>237623.92787038878</v>
      </c>
      <c r="AG112" s="104">
        <f t="shared" si="21"/>
        <v>245649.76862647975</v>
      </c>
      <c r="AH112" s="104">
        <f t="shared" si="21"/>
        <v>253675.60938257069</v>
      </c>
      <c r="AI112" s="104">
        <f t="shared" si="21"/>
        <v>261701.45013866169</v>
      </c>
      <c r="AJ112" s="104">
        <f t="shared" si="21"/>
        <v>269727.29089475266</v>
      </c>
      <c r="AK112" s="104">
        <f t="shared" si="21"/>
        <v>277753.1316508436</v>
      </c>
      <c r="AL112" s="104">
        <f t="shared" si="21"/>
        <v>285778.97240693454</v>
      </c>
      <c r="AM112" s="104">
        <f t="shared" si="21"/>
        <v>293804.81316302554</v>
      </c>
      <c r="AN112" s="104">
        <f t="shared" si="21"/>
        <v>301830.65391911654</v>
      </c>
      <c r="AO112" s="104">
        <f t="shared" si="21"/>
        <v>301830.65391911654</v>
      </c>
      <c r="AP112" s="104">
        <f t="shared" si="21"/>
        <v>301830.65391911654</v>
      </c>
      <c r="AQ112" s="104">
        <f t="shared" si="21"/>
        <v>301830.65391911654</v>
      </c>
      <c r="AR112" s="104">
        <f t="shared" si="21"/>
        <v>301830.65391911654</v>
      </c>
      <c r="AS112" s="104">
        <f t="shared" si="21"/>
        <v>301830.65391911654</v>
      </c>
      <c r="AT112" s="104">
        <f t="shared" si="21"/>
        <v>301830.65391911654</v>
      </c>
      <c r="AU112" s="104">
        <f t="shared" si="21"/>
        <v>301830.65391911654</v>
      </c>
      <c r="AV112" s="104">
        <f t="shared" si="21"/>
        <v>301830.65391911654</v>
      </c>
      <c r="AW112" s="104">
        <f t="shared" si="21"/>
        <v>301830.65391911654</v>
      </c>
      <c r="AX112" s="104">
        <f t="shared" si="21"/>
        <v>301830.65391911654</v>
      </c>
    </row>
    <row r="113" spans="1:50">
      <c r="C113" s="35"/>
      <c r="E113" t="s">
        <v>711</v>
      </c>
      <c r="G113" s="44" t="s">
        <v>679</v>
      </c>
      <c r="I113" s="45"/>
      <c r="K113" s="44"/>
      <c r="M113" s="44"/>
      <c r="O113" s="104">
        <f>O108*O110</f>
        <v>277885.37908399542</v>
      </c>
      <c r="P113" s="104">
        <f t="shared" ref="P113:AX113" si="22">P108*P110</f>
        <v>284308.56681292172</v>
      </c>
      <c r="Q113" s="104">
        <f t="shared" si="22"/>
        <v>290547.21731112397</v>
      </c>
      <c r="R113" s="104">
        <f t="shared" si="22"/>
        <v>296586.56171558768</v>
      </c>
      <c r="S113" s="104">
        <f t="shared" si="22"/>
        <v>302410.21199494024</v>
      </c>
      <c r="T113" s="104">
        <f t="shared" si="22"/>
        <v>307999.93280154379</v>
      </c>
      <c r="U113" s="104">
        <f t="shared" si="22"/>
        <v>309733.21266344603</v>
      </c>
      <c r="V113" s="104">
        <f t="shared" si="22"/>
        <v>311466.49252534821</v>
      </c>
      <c r="W113" s="104">
        <f t="shared" si="22"/>
        <v>313199.7723872505</v>
      </c>
      <c r="X113" s="104">
        <f t="shared" si="22"/>
        <v>314933.05224915262</v>
      </c>
      <c r="Y113" s="104">
        <f t="shared" si="22"/>
        <v>316666.33211105486</v>
      </c>
      <c r="Z113" s="104">
        <f t="shared" si="22"/>
        <v>316549.52550791245</v>
      </c>
      <c r="AA113" s="104">
        <f t="shared" si="22"/>
        <v>316432.71890477004</v>
      </c>
      <c r="AB113" s="104">
        <f t="shared" si="22"/>
        <v>316315.91230162751</v>
      </c>
      <c r="AC113" s="104">
        <f t="shared" si="22"/>
        <v>316199.1056984851</v>
      </c>
      <c r="AD113" s="104">
        <f t="shared" si="22"/>
        <v>316082.29909534275</v>
      </c>
      <c r="AE113" s="104">
        <f t="shared" si="22"/>
        <v>324032.33030926075</v>
      </c>
      <c r="AF113" s="104">
        <f t="shared" si="22"/>
        <v>331982.36152317876</v>
      </c>
      <c r="AG113" s="104">
        <f t="shared" si="22"/>
        <v>339932.39273709676</v>
      </c>
      <c r="AH113" s="104">
        <f t="shared" si="22"/>
        <v>347882.42395101488</v>
      </c>
      <c r="AI113" s="104">
        <f t="shared" si="22"/>
        <v>355832.45516493288</v>
      </c>
      <c r="AJ113" s="104">
        <f t="shared" si="22"/>
        <v>363782.48637885094</v>
      </c>
      <c r="AK113" s="104">
        <f t="shared" si="22"/>
        <v>371732.517592769</v>
      </c>
      <c r="AL113" s="104">
        <f t="shared" si="22"/>
        <v>379682.548806687</v>
      </c>
      <c r="AM113" s="104">
        <f t="shared" si="22"/>
        <v>387632.580020605</v>
      </c>
      <c r="AN113" s="104">
        <f t="shared" si="22"/>
        <v>395582.61123452301</v>
      </c>
      <c r="AO113" s="104">
        <f t="shared" si="22"/>
        <v>395582.61123452301</v>
      </c>
      <c r="AP113" s="104">
        <f t="shared" si="22"/>
        <v>395582.61123452301</v>
      </c>
      <c r="AQ113" s="104">
        <f t="shared" si="22"/>
        <v>395582.61123452301</v>
      </c>
      <c r="AR113" s="104">
        <f t="shared" si="22"/>
        <v>395582.61123452301</v>
      </c>
      <c r="AS113" s="104">
        <f t="shared" si="22"/>
        <v>395582.61123452301</v>
      </c>
      <c r="AT113" s="104">
        <f t="shared" si="22"/>
        <v>395582.61123452301</v>
      </c>
      <c r="AU113" s="104">
        <f t="shared" si="22"/>
        <v>395582.61123452301</v>
      </c>
      <c r="AV113" s="104">
        <f t="shared" si="22"/>
        <v>395582.61123452301</v>
      </c>
      <c r="AW113" s="104">
        <f t="shared" si="22"/>
        <v>395582.61123452301</v>
      </c>
      <c r="AX113" s="104">
        <f t="shared" si="22"/>
        <v>395582.61123452301</v>
      </c>
    </row>
    <row r="114" spans="1:50" ht="18">
      <c r="C114" s="35"/>
      <c r="E114" t="s">
        <v>705</v>
      </c>
      <c r="G114" s="44" t="s">
        <v>692</v>
      </c>
      <c r="I114" s="45"/>
      <c r="K114" s="44"/>
      <c r="M114" s="44"/>
      <c r="O114" s="490">
        <f>O112*'2.5 Emission factors'!O29/1000</f>
        <v>76.884355216056932</v>
      </c>
      <c r="P114" s="490">
        <f>P112*'2.5 Emission factors'!P29/1000</f>
        <v>60.981412215025237</v>
      </c>
      <c r="Q114" s="490">
        <f>Q112*'2.5 Emission factors'!Q29/1000</f>
        <v>54.291969708032148</v>
      </c>
      <c r="R114" s="490">
        <f>R112*'2.5 Emission factors'!R29/1000</f>
        <v>51.622662278004015</v>
      </c>
      <c r="S114" s="490">
        <f>S112*'2.5 Emission factors'!S29/1000</f>
        <v>47.040318360578858</v>
      </c>
      <c r="T114" s="490">
        <f>T112*'2.5 Emission factors'!T29/1000</f>
        <v>35.954104171362694</v>
      </c>
      <c r="U114" s="490">
        <f>U112*'2.5 Emission factors'!U29/1000</f>
        <v>33.558564530467741</v>
      </c>
      <c r="V114" s="490">
        <f>V112*'2.5 Emission factors'!V29/1000</f>
        <v>31.370108930901445</v>
      </c>
      <c r="W114" s="490">
        <f>W112*'2.5 Emission factors'!W29/1000</f>
        <v>30.106526627215974</v>
      </c>
      <c r="X114" s="490">
        <f>X112*'2.5 Emission factors'!X29/1000</f>
        <v>32.865562536083296</v>
      </c>
      <c r="Y114" s="490">
        <f>Y112*'2.5 Emission factors'!Y29/1000</f>
        <v>27.811037967928968</v>
      </c>
      <c r="Z114" s="490">
        <f>Z112*'2.5 Emission factors'!Z29/1000</f>
        <v>20.493779059774173</v>
      </c>
      <c r="AA114" s="490">
        <f>AA112*'2.5 Emission factors'!AA29/1000</f>
        <v>16.954193207185753</v>
      </c>
      <c r="AB114" s="490">
        <f>AB112*'2.5 Emission factors'!AB29/1000</f>
        <v>15.671606111827691</v>
      </c>
      <c r="AC114" s="490">
        <f>AC112*'2.5 Emission factors'!AC29/1000</f>
        <v>14.667941431057107</v>
      </c>
      <c r="AD114" s="490">
        <f>AD112*'2.5 Emission factors'!AD29/1000</f>
        <v>11.637123189594494</v>
      </c>
      <c r="AE114" s="490">
        <f>AE112*'2.5 Emission factors'!AE29/1000</f>
        <v>9.5496125063291544</v>
      </c>
      <c r="AF114" s="490">
        <f>AF112*'2.5 Emission factors'!AF29/1000</f>
        <v>8.5424484780443155</v>
      </c>
      <c r="AG114" s="490">
        <f>AG112*'2.5 Emission factors'!AG29/1000</f>
        <v>7.6690815041104896</v>
      </c>
      <c r="AH114" s="490">
        <f>AH112*'2.5 Emission factors'!AH29/1000</f>
        <v>7.1895695971226043</v>
      </c>
      <c r="AI114" s="490">
        <f>AI112*'2.5 Emission factors'!AI29/1000</f>
        <v>6.6166986673563235</v>
      </c>
      <c r="AJ114" s="490">
        <f>AJ112*'2.5 Emission factors'!AJ29/1000</f>
        <v>5.6413544012733894</v>
      </c>
      <c r="AK114" s="490">
        <f>AK112*'2.5 Emission factors'!AK29/1000</f>
        <v>5.1670785737713976</v>
      </c>
      <c r="AL114" s="490">
        <f>AL112*'2.5 Emission factors'!AL29/1000</f>
        <v>5.1931054046318987</v>
      </c>
      <c r="AM114" s="490">
        <f>AM112*'2.5 Emission factors'!AM29/1000</f>
        <v>5.0551101410409167</v>
      </c>
      <c r="AN114" s="490">
        <f>AN112*'2.5 Emission factors'!AN29/1000</f>
        <v>4.7058690174596478</v>
      </c>
      <c r="AO114" s="490">
        <f>AO112*'2.5 Emission factors'!AO29/1000</f>
        <v>3.9065225864517616</v>
      </c>
      <c r="AP114" s="490">
        <f>AP112*'2.5 Emission factors'!AP29/1000</f>
        <v>3.7073492646331196</v>
      </c>
      <c r="AQ114" s="490">
        <f>AQ112*'2.5 Emission factors'!AQ29/1000</f>
        <v>3.6316577813938924</v>
      </c>
      <c r="AR114" s="490">
        <f>AR112*'2.5 Emission factors'!AR29/1000</f>
        <v>3.4133910766401541</v>
      </c>
      <c r="AS114" s="490">
        <f>AS112*'2.5 Emission factors'!AS29/1000</f>
        <v>2.898760689867621</v>
      </c>
      <c r="AT114" s="490">
        <f>AT112*'2.5 Emission factors'!AT29/1000</f>
        <v>2.6318312637720624</v>
      </c>
      <c r="AU114" s="490">
        <f>AU112*'2.5 Emission factors'!AU29/1000</f>
        <v>2.4266589917045476</v>
      </c>
      <c r="AV114" s="490">
        <f>AV112*'2.5 Emission factors'!AV29/1000</f>
        <v>2.3031515461104788</v>
      </c>
      <c r="AW114" s="490">
        <f>AW112*'2.5 Emission factors'!AW29/1000</f>
        <v>2.1431768834307907</v>
      </c>
      <c r="AX114" s="490">
        <f>AX112*'2.5 Emission factors'!AX29/1000</f>
        <v>2.1063824422966095</v>
      </c>
    </row>
    <row r="115" spans="1:50" ht="18">
      <c r="C115" s="35"/>
      <c r="E115" t="s">
        <v>706</v>
      </c>
      <c r="G115" s="44" t="s">
        <v>692</v>
      </c>
      <c r="I115" s="45"/>
      <c r="K115" s="44"/>
      <c r="M115" s="44"/>
      <c r="O115" s="104">
        <f>O107/1000*O110</f>
        <v>26.446814893130384</v>
      </c>
      <c r="P115" s="104">
        <f t="shared" ref="P115:AX115" si="23">P107/1000*P110</f>
        <v>25.642373158877248</v>
      </c>
      <c r="Q115" s="104">
        <f t="shared" si="23"/>
        <v>24.83793142462407</v>
      </c>
      <c r="R115" s="104">
        <f t="shared" si="23"/>
        <v>24.033489690370892</v>
      </c>
      <c r="S115" s="104">
        <f t="shared" si="23"/>
        <v>23.229047956117729</v>
      </c>
      <c r="T115" s="104">
        <f t="shared" si="23"/>
        <v>22.424606221864561</v>
      </c>
      <c r="U115" s="104">
        <f t="shared" si="23"/>
        <v>22.424606221864561</v>
      </c>
      <c r="V115" s="104">
        <f t="shared" si="23"/>
        <v>22.424606221864561</v>
      </c>
      <c r="W115" s="104">
        <f t="shared" si="23"/>
        <v>22.424606221864561</v>
      </c>
      <c r="X115" s="104">
        <f t="shared" si="23"/>
        <v>22.424606221864561</v>
      </c>
      <c r="Y115" s="104">
        <f t="shared" si="23"/>
        <v>22.424606221864561</v>
      </c>
      <c r="Z115" s="104">
        <f t="shared" si="23"/>
        <v>22.424606221864561</v>
      </c>
      <c r="AA115" s="104">
        <f t="shared" si="23"/>
        <v>22.424606221864561</v>
      </c>
      <c r="AB115" s="104">
        <f t="shared" si="23"/>
        <v>22.424606221864561</v>
      </c>
      <c r="AC115" s="104">
        <f t="shared" si="23"/>
        <v>22.424606221864561</v>
      </c>
      <c r="AD115" s="104">
        <f t="shared" si="23"/>
        <v>22.424606221864561</v>
      </c>
      <c r="AE115" s="104">
        <f t="shared" si="23"/>
        <v>20.182145599678101</v>
      </c>
      <c r="AF115" s="104">
        <f t="shared" si="23"/>
        <v>17.939684977491645</v>
      </c>
      <c r="AG115" s="104">
        <f t="shared" si="23"/>
        <v>15.697224355305194</v>
      </c>
      <c r="AH115" s="104">
        <f t="shared" si="23"/>
        <v>13.454763733118735</v>
      </c>
      <c r="AI115" s="104">
        <f t="shared" si="23"/>
        <v>11.212303110932281</v>
      </c>
      <c r="AJ115" s="104">
        <f t="shared" si="23"/>
        <v>8.9698424887458224</v>
      </c>
      <c r="AK115" s="104">
        <f t="shared" si="23"/>
        <v>6.7273818665593677</v>
      </c>
      <c r="AL115" s="104">
        <f t="shared" si="23"/>
        <v>4.4849212443729112</v>
      </c>
      <c r="AM115" s="104">
        <f t="shared" si="23"/>
        <v>2.2424606221864556</v>
      </c>
      <c r="AN115" s="104">
        <f t="shared" si="23"/>
        <v>0</v>
      </c>
      <c r="AO115" s="104">
        <f t="shared" si="23"/>
        <v>0</v>
      </c>
      <c r="AP115" s="104">
        <f t="shared" si="23"/>
        <v>0</v>
      </c>
      <c r="AQ115" s="104">
        <f t="shared" si="23"/>
        <v>0</v>
      </c>
      <c r="AR115" s="104">
        <f t="shared" si="23"/>
        <v>0</v>
      </c>
      <c r="AS115" s="104">
        <f t="shared" si="23"/>
        <v>0</v>
      </c>
      <c r="AT115" s="104">
        <f t="shared" si="23"/>
        <v>0</v>
      </c>
      <c r="AU115" s="104">
        <f t="shared" si="23"/>
        <v>0</v>
      </c>
      <c r="AV115" s="104">
        <f t="shared" si="23"/>
        <v>0</v>
      </c>
      <c r="AW115" s="104">
        <f t="shared" si="23"/>
        <v>0</v>
      </c>
      <c r="AX115" s="104">
        <f t="shared" si="23"/>
        <v>0</v>
      </c>
    </row>
    <row r="116" spans="1:50" ht="18">
      <c r="C116" s="35"/>
      <c r="E116" t="s">
        <v>712</v>
      </c>
      <c r="G116" s="44" t="s">
        <v>692</v>
      </c>
      <c r="I116" s="45"/>
      <c r="K116" s="44"/>
      <c r="M116" s="44"/>
      <c r="O116" s="490">
        <f>O113*'2.5 Emission factors'!O29/1000</f>
        <v>102.03833404659385</v>
      </c>
      <c r="P116" s="490">
        <f>P113*'2.5 Emission factors'!P29/1000</f>
        <v>83.291423343529871</v>
      </c>
      <c r="Q116" s="490">
        <f>Q113*'2.5 Emission factors'!Q29/1000</f>
        <v>76.051790717208135</v>
      </c>
      <c r="R116" s="490">
        <f>R113*'2.5 Emission factors'!R29/1000</f>
        <v>72.134196237568304</v>
      </c>
      <c r="S116" s="490">
        <f>S113*'2.5 Emission factors'!S29/1000</f>
        <v>65.577743086836591</v>
      </c>
      <c r="T116" s="490">
        <f>T113*'2.5 Emission factors'!T29/1000</f>
        <v>50.011963972488168</v>
      </c>
      <c r="U116" s="490">
        <f>U113*'2.5 Emission factors'!U29/1000</f>
        <v>46.91885121740529</v>
      </c>
      <c r="V116" s="490">
        <f>V113*'2.5 Emission factors'!V29/1000</f>
        <v>44.082385494381519</v>
      </c>
      <c r="W116" s="490">
        <f>W113*'2.5 Emission factors'!W29/1000</f>
        <v>42.520801538622045</v>
      </c>
      <c r="X116" s="490">
        <f>X113*'2.5 Emission factors'!X29/1000</f>
        <v>46.650939519720737</v>
      </c>
      <c r="Y116" s="490">
        <f>Y113*'2.5 Emission factors'!Y29/1000</f>
        <v>39.673636772863951</v>
      </c>
      <c r="Z116" s="490">
        <f>Z113*'2.5 Emission factors'!Z29/1000</f>
        <v>29.235253551539881</v>
      </c>
      <c r="AA116" s="490">
        <f>AA113*'2.5 Emission factors'!AA29/1000</f>
        <v>24.185882736906191</v>
      </c>
      <c r="AB116" s="490">
        <f>AB113*'2.5 Emission factors'!AB29/1000</f>
        <v>22.356217313864747</v>
      </c>
      <c r="AC116" s="490">
        <f>AC113*'2.5 Emission factors'!AC29/1000</f>
        <v>20.924446661119067</v>
      </c>
      <c r="AD116" s="490">
        <f>AD113*'2.5 Emission factors'!AD29/1000</f>
        <v>16.600854633554672</v>
      </c>
      <c r="AE116" s="490">
        <f>AE113*'2.5 Emission factors'!AE29/1000</f>
        <v>13.477391004724964</v>
      </c>
      <c r="AF116" s="490">
        <f>AF113*'2.5 Emission factors'!AF29/1000</f>
        <v>11.934581859441749</v>
      </c>
      <c r="AG116" s="490">
        <f>AG113*'2.5 Emission factors'!AG29/1000</f>
        <v>10.61254500814162</v>
      </c>
      <c r="AH116" s="490">
        <f>AH113*'2.5 Emission factors'!AH29/1000</f>
        <v>9.8595403188312112</v>
      </c>
      <c r="AI116" s="490">
        <f>AI113*'2.5 Emission factors'!AI29/1000</f>
        <v>8.9966491612654398</v>
      </c>
      <c r="AJ116" s="490">
        <f>AJ113*'2.5 Emission factors'!AJ29/1000</f>
        <v>7.6085216435895768</v>
      </c>
      <c r="AK116" s="490">
        <f>AK113*'2.5 Emission factors'!AK29/1000</f>
        <v>6.9153896318340999</v>
      </c>
      <c r="AL116" s="490">
        <f>AL113*'2.5 Emission factors'!AL29/1000</f>
        <v>6.8994981668727426</v>
      </c>
      <c r="AM116" s="490">
        <f>AM113*'2.5 Emission factors'!AM29/1000</f>
        <v>6.6694802075033373</v>
      </c>
      <c r="AN116" s="490">
        <f>AN113*'2.5 Emission factors'!AN29/1000</f>
        <v>6.1675642612270272</v>
      </c>
      <c r="AO116" s="490">
        <f>AO113*'2.5 Emission factors'!AO29/1000</f>
        <v>5.1199319404096988</v>
      </c>
      <c r="AP116" s="490">
        <f>AP113*'2.5 Emission factors'!AP29/1000</f>
        <v>4.8588931701250013</v>
      </c>
      <c r="AQ116" s="490">
        <f>AQ113*'2.5 Emission factors'!AQ29/1000</f>
        <v>4.7596910705396764</v>
      </c>
      <c r="AR116" s="490">
        <f>AR113*'2.5 Emission factors'!AR29/1000</f>
        <v>4.4736283002712334</v>
      </c>
      <c r="AS116" s="490">
        <f>AS113*'2.5 Emission factors'!AS29/1000</f>
        <v>3.7991479929308603</v>
      </c>
      <c r="AT116" s="490">
        <f>AT113*'2.5 Emission factors'!AT29/1000</f>
        <v>3.4493073189663468</v>
      </c>
      <c r="AU116" s="490">
        <f>AU113*'2.5 Emission factors'!AU29/1000</f>
        <v>3.1804062577801058</v>
      </c>
      <c r="AV116" s="490">
        <f>AV113*'2.5 Emission factors'!AV29/1000</f>
        <v>3.0185360262425887</v>
      </c>
      <c r="AW116" s="490">
        <f>AW113*'2.5 Emission factors'!AW29/1000</f>
        <v>2.8088714544951769</v>
      </c>
      <c r="AX116" s="490">
        <f>AX113*'2.5 Emission factors'!AX29/1000</f>
        <v>2.7606482508086656</v>
      </c>
    </row>
    <row r="117" spans="1:50">
      <c r="C117" s="35"/>
      <c r="E117" s="78"/>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row>
    <row r="118" spans="1:50" ht="18">
      <c r="C118" s="35"/>
      <c r="E118" s="198" t="s">
        <v>713</v>
      </c>
      <c r="F118" s="35"/>
      <c r="G118" s="44" t="s">
        <v>692</v>
      </c>
      <c r="I118" s="44"/>
      <c r="K118" s="44"/>
      <c r="M118" s="44"/>
      <c r="O118" s="36">
        <f>SUM(O114:O116)</f>
        <v>205.36950415578116</v>
      </c>
      <c r="P118" s="36">
        <f t="shared" ref="P118:AX118" si="24">SUM(P114:P116)</f>
        <v>169.91520871743234</v>
      </c>
      <c r="Q118" s="36">
        <f t="shared" si="24"/>
        <v>155.18169184986436</v>
      </c>
      <c r="R118" s="36">
        <f t="shared" si="24"/>
        <v>147.79034820594319</v>
      </c>
      <c r="S118" s="36">
        <f t="shared" si="24"/>
        <v>135.84710940353318</v>
      </c>
      <c r="T118" s="36">
        <f t="shared" si="24"/>
        <v>108.39067436571543</v>
      </c>
      <c r="U118" s="36">
        <f t="shared" si="24"/>
        <v>102.90202196973759</v>
      </c>
      <c r="V118" s="36">
        <f t="shared" si="24"/>
        <v>97.877100647147529</v>
      </c>
      <c r="W118" s="36">
        <f t="shared" si="24"/>
        <v>95.051934387702573</v>
      </c>
      <c r="X118" s="36">
        <f t="shared" si="24"/>
        <v>101.94110827766859</v>
      </c>
      <c r="Y118" s="36">
        <f t="shared" si="24"/>
        <v>89.909280962657476</v>
      </c>
      <c r="Z118" s="36">
        <f t="shared" si="24"/>
        <v>72.153638833178618</v>
      </c>
      <c r="AA118" s="36">
        <f t="shared" si="24"/>
        <v>63.564682165956512</v>
      </c>
      <c r="AB118" s="36">
        <f t="shared" si="24"/>
        <v>60.452429647556997</v>
      </c>
      <c r="AC118" s="36">
        <f t="shared" si="24"/>
        <v>58.01699431404073</v>
      </c>
      <c r="AD118" s="36">
        <f t="shared" si="24"/>
        <v>50.66258404501373</v>
      </c>
      <c r="AE118" s="36">
        <f t="shared" si="24"/>
        <v>43.20914911073222</v>
      </c>
      <c r="AF118" s="36">
        <f t="shared" si="24"/>
        <v>38.416715314977708</v>
      </c>
      <c r="AG118" s="36">
        <f t="shared" si="24"/>
        <v>33.978850867557298</v>
      </c>
      <c r="AH118" s="36">
        <f t="shared" si="24"/>
        <v>30.503873649072549</v>
      </c>
      <c r="AI118" s="36">
        <f t="shared" si="24"/>
        <v>26.825650939554045</v>
      </c>
      <c r="AJ118" s="36">
        <f t="shared" si="24"/>
        <v>22.219718533608788</v>
      </c>
      <c r="AK118" s="36">
        <f t="shared" si="24"/>
        <v>18.809850072164863</v>
      </c>
      <c r="AL118" s="36">
        <f t="shared" si="24"/>
        <v>16.577524815877553</v>
      </c>
      <c r="AM118" s="36">
        <f t="shared" si="24"/>
        <v>13.96705097073071</v>
      </c>
      <c r="AN118" s="36">
        <f t="shared" si="24"/>
        <v>10.873433278686676</v>
      </c>
      <c r="AO118" s="36">
        <f t="shared" si="24"/>
        <v>9.0264545268614604</v>
      </c>
      <c r="AP118" s="36">
        <f t="shared" si="24"/>
        <v>8.5662424347581201</v>
      </c>
      <c r="AQ118" s="36">
        <f t="shared" si="24"/>
        <v>8.3913488519335679</v>
      </c>
      <c r="AR118" s="36">
        <f t="shared" si="24"/>
        <v>7.8870193769113879</v>
      </c>
      <c r="AS118" s="36">
        <f t="shared" si="24"/>
        <v>6.6979086827984808</v>
      </c>
      <c r="AT118" s="36">
        <f t="shared" si="24"/>
        <v>6.0811385827384097</v>
      </c>
      <c r="AU118" s="36">
        <f t="shared" si="24"/>
        <v>5.6070652494846538</v>
      </c>
      <c r="AV118" s="36">
        <f t="shared" si="24"/>
        <v>5.321687572353067</v>
      </c>
      <c r="AW118" s="36">
        <f t="shared" si="24"/>
        <v>4.9520483379259677</v>
      </c>
      <c r="AX118" s="36">
        <f t="shared" si="24"/>
        <v>4.8670306931052751</v>
      </c>
    </row>
    <row r="119" spans="1:50">
      <c r="O119" s="36"/>
      <c r="P119" s="36"/>
      <c r="Q119" s="36"/>
      <c r="R119" s="36"/>
      <c r="S119" s="36"/>
      <c r="T119" s="36"/>
      <c r="U119" s="36"/>
      <c r="V119" s="36"/>
      <c r="W119" s="36"/>
      <c r="X119" s="36"/>
      <c r="Y119" s="36"/>
      <c r="Z119" s="36"/>
      <c r="AA119" s="36"/>
      <c r="AB119" s="36"/>
      <c r="AC119" s="36"/>
      <c r="AD119" s="36"/>
      <c r="AE119" s="36"/>
      <c r="AF119" s="36"/>
      <c r="AG119" s="36"/>
      <c r="AH119" s="36"/>
      <c r="AI119" s="36"/>
      <c r="AJ119" s="36"/>
      <c r="AK119" s="36"/>
      <c r="AL119" s="36"/>
      <c r="AM119" s="36"/>
      <c r="AN119" s="36"/>
      <c r="AO119" s="36"/>
      <c r="AP119" s="36"/>
      <c r="AQ119" s="36"/>
      <c r="AR119" s="36"/>
      <c r="AS119" s="36"/>
      <c r="AT119" s="36"/>
      <c r="AU119" s="36"/>
      <c r="AV119" s="36"/>
      <c r="AW119" s="36"/>
      <c r="AX119" s="36"/>
    </row>
    <row r="120" spans="1:50" s="156" customFormat="1">
      <c r="A120" s="244"/>
      <c r="B120" s="244"/>
      <c r="C120" s="243" t="s">
        <v>691</v>
      </c>
      <c r="D120" s="244"/>
      <c r="E120" s="244"/>
      <c r="F120" s="244"/>
      <c r="G120" s="244"/>
      <c r="H120" s="244"/>
      <c r="I120" s="244"/>
      <c r="J120" s="244"/>
      <c r="K120" s="244"/>
      <c r="L120" s="244"/>
      <c r="M120" s="244"/>
      <c r="N120" s="244"/>
      <c r="O120" s="245"/>
      <c r="P120" s="245"/>
      <c r="Q120" s="245"/>
      <c r="R120" s="245"/>
      <c r="S120" s="245"/>
      <c r="T120" s="245"/>
      <c r="U120" s="245"/>
      <c r="V120" s="245"/>
      <c r="W120" s="245"/>
      <c r="X120" s="245"/>
      <c r="Y120" s="245"/>
      <c r="Z120" s="245"/>
      <c r="AA120" s="245"/>
      <c r="AB120" s="245"/>
      <c r="AC120" s="245"/>
      <c r="AD120" s="245"/>
      <c r="AE120" s="245"/>
      <c r="AF120" s="245"/>
      <c r="AG120" s="245"/>
      <c r="AH120" s="245"/>
      <c r="AI120" s="245"/>
      <c r="AJ120" s="245"/>
      <c r="AK120" s="245"/>
      <c r="AL120" s="245"/>
      <c r="AM120" s="245"/>
      <c r="AN120" s="245"/>
      <c r="AO120" s="245"/>
      <c r="AP120" s="245"/>
      <c r="AQ120" s="245"/>
      <c r="AR120" s="245"/>
      <c r="AS120" s="245"/>
      <c r="AT120" s="245"/>
      <c r="AU120" s="245"/>
      <c r="AV120" s="245"/>
      <c r="AW120" s="245"/>
      <c r="AX120" s="245"/>
    </row>
    <row r="121" spans="1:50">
      <c r="O121" s="36"/>
      <c r="P121" s="36"/>
      <c r="Q121" s="36"/>
      <c r="R121" s="36"/>
      <c r="S121" s="36"/>
      <c r="T121" s="36"/>
      <c r="U121" s="36"/>
      <c r="V121" s="36"/>
      <c r="W121" s="36"/>
      <c r="X121" s="36"/>
      <c r="Y121" s="36"/>
      <c r="Z121" s="36"/>
      <c r="AA121" s="36"/>
      <c r="AB121" s="36"/>
      <c r="AC121" s="36"/>
      <c r="AD121" s="36"/>
      <c r="AE121" s="36"/>
      <c r="AF121" s="36"/>
      <c r="AG121" s="36"/>
      <c r="AH121" s="36"/>
      <c r="AI121" s="36"/>
      <c r="AJ121" s="36"/>
      <c r="AK121" s="36"/>
      <c r="AL121" s="36"/>
      <c r="AM121" s="36"/>
      <c r="AN121" s="36"/>
      <c r="AO121" s="36"/>
      <c r="AP121" s="36"/>
      <c r="AQ121" s="36"/>
      <c r="AR121" s="36"/>
      <c r="AS121" s="36"/>
      <c r="AT121" s="36"/>
      <c r="AU121" s="36"/>
      <c r="AV121" s="36"/>
      <c r="AW121" s="36"/>
      <c r="AX121" s="36"/>
    </row>
    <row r="122" spans="1:50" s="156" customFormat="1">
      <c r="A122" s="244"/>
      <c r="B122" s="244"/>
      <c r="C122" s="243"/>
      <c r="D122" s="243" t="s">
        <v>714</v>
      </c>
      <c r="E122" s="244"/>
      <c r="F122" s="244"/>
      <c r="G122" s="244"/>
      <c r="H122" s="244"/>
      <c r="I122" s="244"/>
      <c r="J122" s="244"/>
      <c r="K122" s="244"/>
      <c r="L122" s="244"/>
      <c r="M122" s="244"/>
      <c r="N122" s="244"/>
      <c r="O122" s="245"/>
      <c r="P122" s="245"/>
      <c r="Q122" s="245"/>
      <c r="R122" s="245"/>
      <c r="S122" s="245"/>
      <c r="T122" s="245"/>
      <c r="U122" s="245"/>
      <c r="V122" s="245"/>
      <c r="W122" s="245"/>
      <c r="X122" s="245"/>
      <c r="Y122" s="245"/>
      <c r="Z122" s="245"/>
      <c r="AA122" s="245"/>
      <c r="AB122" s="245"/>
      <c r="AC122" s="245"/>
      <c r="AD122" s="245"/>
      <c r="AE122" s="245"/>
      <c r="AF122" s="245"/>
      <c r="AG122" s="245"/>
      <c r="AH122" s="245"/>
      <c r="AI122" s="245"/>
      <c r="AJ122" s="245"/>
      <c r="AK122" s="245"/>
      <c r="AL122" s="245"/>
      <c r="AM122" s="245"/>
      <c r="AN122" s="245"/>
      <c r="AO122" s="245"/>
      <c r="AP122" s="245"/>
      <c r="AQ122" s="245"/>
      <c r="AR122" s="245"/>
      <c r="AS122" s="245"/>
      <c r="AT122" s="245"/>
      <c r="AU122" s="245"/>
      <c r="AV122" s="245"/>
      <c r="AW122" s="245"/>
      <c r="AX122" s="245"/>
    </row>
    <row r="123" spans="1:50">
      <c r="C123" s="35"/>
      <c r="E123" s="78"/>
      <c r="O123" s="82">
        <v>2015</v>
      </c>
      <c r="P123" s="82">
        <v>2016</v>
      </c>
      <c r="Q123" s="82">
        <v>2017</v>
      </c>
      <c r="R123" s="82">
        <v>2018</v>
      </c>
      <c r="S123" s="82">
        <v>2019</v>
      </c>
      <c r="T123" s="82">
        <v>2020</v>
      </c>
      <c r="U123" s="82">
        <v>2021</v>
      </c>
      <c r="V123" s="82">
        <v>2022</v>
      </c>
      <c r="W123" s="82">
        <v>2023</v>
      </c>
      <c r="X123" s="82">
        <v>2024</v>
      </c>
      <c r="Y123" s="82">
        <v>2025</v>
      </c>
      <c r="Z123" s="82">
        <v>2026</v>
      </c>
      <c r="AA123" s="82">
        <v>2027</v>
      </c>
      <c r="AB123" s="82">
        <v>2028</v>
      </c>
      <c r="AC123" s="82">
        <v>2029</v>
      </c>
      <c r="AD123" s="82">
        <v>2030</v>
      </c>
      <c r="AE123" s="82">
        <v>2031</v>
      </c>
      <c r="AF123" s="82">
        <v>2032</v>
      </c>
      <c r="AG123" s="82">
        <v>2033</v>
      </c>
      <c r="AH123" s="82">
        <v>2034</v>
      </c>
      <c r="AI123" s="82">
        <v>2035</v>
      </c>
      <c r="AJ123" s="82">
        <v>2036</v>
      </c>
      <c r="AK123" s="82">
        <v>2037</v>
      </c>
      <c r="AL123" s="82">
        <v>2038</v>
      </c>
      <c r="AM123" s="82">
        <v>2039</v>
      </c>
      <c r="AN123" s="82">
        <v>2040</v>
      </c>
      <c r="AO123" s="82">
        <v>2041</v>
      </c>
      <c r="AP123" s="82">
        <v>2042</v>
      </c>
      <c r="AQ123" s="82">
        <v>2043</v>
      </c>
      <c r="AR123" s="82">
        <v>2044</v>
      </c>
      <c r="AS123" s="82">
        <v>2045</v>
      </c>
      <c r="AT123" s="82">
        <v>2046</v>
      </c>
      <c r="AU123" s="82">
        <v>2047</v>
      </c>
      <c r="AV123" s="82">
        <v>2048</v>
      </c>
      <c r="AW123" s="82">
        <v>2049</v>
      </c>
      <c r="AX123" s="82">
        <v>2050</v>
      </c>
    </row>
    <row r="124" spans="1:50">
      <c r="C124" s="35"/>
      <c r="E124" s="78" t="s">
        <v>678</v>
      </c>
      <c r="G124" s="44" t="s">
        <v>679</v>
      </c>
      <c r="I124" s="44" t="s">
        <v>715</v>
      </c>
      <c r="J124" t="s">
        <v>693</v>
      </c>
      <c r="K124" s="44"/>
      <c r="M124" s="44"/>
      <c r="O124" s="104">
        <f t="shared" ref="O124:AX124" si="25">O10</f>
        <v>17013.240600130874</v>
      </c>
      <c r="P124" s="104">
        <f t="shared" si="25"/>
        <v>17013.240600130874</v>
      </c>
      <c r="Q124" s="104">
        <f t="shared" si="25"/>
        <v>17013.240600130874</v>
      </c>
      <c r="R124" s="104">
        <f t="shared" si="25"/>
        <v>17013.240600130874</v>
      </c>
      <c r="S124" s="104">
        <f t="shared" si="25"/>
        <v>17013.240600130874</v>
      </c>
      <c r="T124" s="104">
        <f t="shared" si="25"/>
        <v>17013.240600130874</v>
      </c>
      <c r="U124" s="104">
        <f t="shared" si="25"/>
        <v>17637.888343290961</v>
      </c>
      <c r="V124" s="104">
        <f t="shared" si="25"/>
        <v>18262.536086451048</v>
      </c>
      <c r="W124" s="104">
        <f t="shared" si="25"/>
        <v>18887.183829611131</v>
      </c>
      <c r="X124" s="104">
        <f t="shared" si="25"/>
        <v>19511.831572771214</v>
      </c>
      <c r="Y124" s="104">
        <f t="shared" si="25"/>
        <v>20136.479315931301</v>
      </c>
      <c r="Z124" s="104">
        <f t="shared" si="25"/>
        <v>25355.358807130011</v>
      </c>
      <c r="AA124" s="104">
        <f t="shared" si="25"/>
        <v>30574.238298328721</v>
      </c>
      <c r="AB124" s="104">
        <f t="shared" si="25"/>
        <v>35793.11778952743</v>
      </c>
      <c r="AC124" s="104">
        <f t="shared" si="25"/>
        <v>41011.997280726144</v>
      </c>
      <c r="AD124" s="104">
        <f t="shared" si="25"/>
        <v>46230.87677192485</v>
      </c>
      <c r="AE124" s="104">
        <f t="shared" si="25"/>
        <v>48218.141259294614</v>
      </c>
      <c r="AF124" s="104">
        <f t="shared" si="25"/>
        <v>50205.405746664372</v>
      </c>
      <c r="AG124" s="104">
        <f t="shared" si="25"/>
        <v>52192.670234034129</v>
      </c>
      <c r="AH124" s="104">
        <f t="shared" si="25"/>
        <v>54179.934721403886</v>
      </c>
      <c r="AI124" s="104">
        <f t="shared" si="25"/>
        <v>56167.199208773643</v>
      </c>
      <c r="AJ124" s="104">
        <f t="shared" si="25"/>
        <v>56921.622678002313</v>
      </c>
      <c r="AK124" s="104">
        <f t="shared" si="25"/>
        <v>57676.046147230991</v>
      </c>
      <c r="AL124" s="104">
        <f t="shared" si="25"/>
        <v>58430.469616459675</v>
      </c>
      <c r="AM124" s="104">
        <f t="shared" si="25"/>
        <v>59184.893085688345</v>
      </c>
      <c r="AN124" s="104">
        <f t="shared" si="25"/>
        <v>59939.316554917023</v>
      </c>
      <c r="AO124" s="104">
        <f t="shared" si="25"/>
        <v>59659.182719629986</v>
      </c>
      <c r="AP124" s="104">
        <f t="shared" si="25"/>
        <v>59379.048884342956</v>
      </c>
      <c r="AQ124" s="104">
        <f t="shared" si="25"/>
        <v>59098.915049055926</v>
      </c>
      <c r="AR124" s="104">
        <f t="shared" si="25"/>
        <v>58818.781213768896</v>
      </c>
      <c r="AS124" s="104">
        <f t="shared" si="25"/>
        <v>58538.647378481866</v>
      </c>
      <c r="AT124" s="104">
        <f t="shared" si="25"/>
        <v>58258.513543194829</v>
      </c>
      <c r="AU124" s="104">
        <f t="shared" si="25"/>
        <v>57978.379707907814</v>
      </c>
      <c r="AV124" s="104">
        <f t="shared" si="25"/>
        <v>57698.245872620777</v>
      </c>
      <c r="AW124" s="104">
        <f t="shared" si="25"/>
        <v>57418.112037333762</v>
      </c>
      <c r="AX124" s="104">
        <f t="shared" si="25"/>
        <v>57137.978202046732</v>
      </c>
    </row>
    <row r="125" spans="1:50">
      <c r="C125" s="35"/>
      <c r="E125" s="78" t="s">
        <v>716</v>
      </c>
      <c r="G125" s="44" t="s">
        <v>679</v>
      </c>
      <c r="I125" s="44" t="s">
        <v>715</v>
      </c>
      <c r="J125" t="s">
        <v>693</v>
      </c>
      <c r="K125" s="44"/>
      <c r="M125" s="44"/>
      <c r="O125" s="104">
        <f>0</f>
        <v>0</v>
      </c>
      <c r="P125" s="104">
        <f>0</f>
        <v>0</v>
      </c>
      <c r="Q125" s="104">
        <f>0</f>
        <v>0</v>
      </c>
      <c r="R125" s="104">
        <f>0</f>
        <v>0</v>
      </c>
      <c r="S125" s="104">
        <f>0</f>
        <v>0</v>
      </c>
      <c r="T125" s="104">
        <f>0</f>
        <v>0</v>
      </c>
      <c r="U125" s="104">
        <f>0</f>
        <v>0</v>
      </c>
      <c r="V125" s="104">
        <f>0</f>
        <v>0</v>
      </c>
      <c r="W125" s="104">
        <f>0</f>
        <v>0</v>
      </c>
      <c r="X125" s="104">
        <f>0</f>
        <v>0</v>
      </c>
      <c r="Y125" s="104">
        <f>0</f>
        <v>0</v>
      </c>
      <c r="Z125" s="104">
        <f>0</f>
        <v>0</v>
      </c>
      <c r="AA125" s="104">
        <f>0</f>
        <v>0</v>
      </c>
      <c r="AB125" s="104">
        <f>0</f>
        <v>0</v>
      </c>
      <c r="AC125" s="104">
        <f>0</f>
        <v>0</v>
      </c>
      <c r="AD125" s="104">
        <f>0</f>
        <v>0</v>
      </c>
      <c r="AE125" s="104">
        <f>0</f>
        <v>0</v>
      </c>
      <c r="AF125" s="104">
        <f>0</f>
        <v>0</v>
      </c>
      <c r="AG125" s="104">
        <f>0</f>
        <v>0</v>
      </c>
      <c r="AH125" s="104">
        <f>0</f>
        <v>0</v>
      </c>
      <c r="AI125" s="104">
        <f>0</f>
        <v>0</v>
      </c>
      <c r="AJ125" s="104">
        <f>0</f>
        <v>0</v>
      </c>
      <c r="AK125" s="104">
        <f>0</f>
        <v>0</v>
      </c>
      <c r="AL125" s="104">
        <f>0</f>
        <v>0</v>
      </c>
      <c r="AM125" s="104">
        <f>0</f>
        <v>0</v>
      </c>
      <c r="AN125" s="104">
        <f>0</f>
        <v>0</v>
      </c>
      <c r="AO125" s="104">
        <f>0</f>
        <v>0</v>
      </c>
      <c r="AP125" s="104">
        <f>0</f>
        <v>0</v>
      </c>
      <c r="AQ125" s="104">
        <f>0</f>
        <v>0</v>
      </c>
      <c r="AR125" s="104">
        <f>0</f>
        <v>0</v>
      </c>
      <c r="AS125" s="104">
        <f>0</f>
        <v>0</v>
      </c>
      <c r="AT125" s="104">
        <f>0</f>
        <v>0</v>
      </c>
      <c r="AU125" s="104">
        <f>0</f>
        <v>0</v>
      </c>
      <c r="AV125" s="104">
        <f>0</f>
        <v>0</v>
      </c>
      <c r="AW125" s="104">
        <f>0</f>
        <v>0</v>
      </c>
      <c r="AX125" s="104">
        <f>0</f>
        <v>0</v>
      </c>
    </row>
    <row r="126" spans="1:50">
      <c r="C126" s="35"/>
      <c r="E126" t="s">
        <v>705</v>
      </c>
      <c r="G126" s="44" t="s">
        <v>679</v>
      </c>
      <c r="I126" s="44" t="s">
        <v>715</v>
      </c>
      <c r="J126" t="s">
        <v>693</v>
      </c>
      <c r="K126" s="44"/>
      <c r="M126" s="44"/>
      <c r="O126" s="104">
        <f>'Industrial and Other Transport'!O112*Transport!O15</f>
        <v>57140.260076369945</v>
      </c>
      <c r="P126" s="104">
        <f>'Industrial and Other Transport'!P112*Transport!P15</f>
        <v>56605.756901838206</v>
      </c>
      <c r="Q126" s="104">
        <f>'Industrial and Other Transport'!Q112*Transport!Q15</f>
        <v>56201.095890690005</v>
      </c>
      <c r="R126" s="104">
        <f>'Industrial and Other Transport'!R112*Transport!R15</f>
        <v>57297.550020808696</v>
      </c>
      <c r="S126" s="104">
        <f>'Industrial and Other Transport'!S112*Transport!S15</f>
        <v>58335.395393417573</v>
      </c>
      <c r="T126" s="104">
        <f>'Industrial and Other Transport'!T112*Transport!T15</f>
        <v>59310.909189861472</v>
      </c>
      <c r="U126" s="104">
        <f>'Industrial and Other Transport'!U112*Transport!U15</f>
        <v>59389.015127148479</v>
      </c>
      <c r="V126" s="104">
        <f>'Industrial and Other Transport'!V112*Transport!V15</f>
        <v>59467.98139374423</v>
      </c>
      <c r="W126" s="104">
        <f>'Industrial and Other Transport'!W112*Transport!W15</f>
        <v>59547.829876815027</v>
      </c>
      <c r="X126" s="104">
        <f>'Industrial and Other Transport'!X112*Transport!X15</f>
        <v>59628.583212302736</v>
      </c>
      <c r="Y126" s="104">
        <f>'Industrial and Other Transport'!Y112*Transport!Y15</f>
        <v>59710.264817221279</v>
      </c>
      <c r="Z126" s="104">
        <f>'Industrial and Other Transport'!Z112*Transport!Z15</f>
        <v>59671.644833050173</v>
      </c>
      <c r="AA126" s="104">
        <f>'Industrial and Other Transport'!AA112*Transport!AA15</f>
        <v>59632.893753143202</v>
      </c>
      <c r="AB126" s="104">
        <f>'Industrial and Other Transport'!AB112*Transport!AB15</f>
        <v>59594.009870954746</v>
      </c>
      <c r="AC126" s="104">
        <f>'Industrial and Other Transport'!AC112*Transport!AC15</f>
        <v>59554.991450190093</v>
      </c>
      <c r="AD126" s="104">
        <f>'Industrial and Other Transport'!AD112*Transport!AD15</f>
        <v>59515.83672415428</v>
      </c>
      <c r="AE126" s="104">
        <f>'Industrial and Other Transport'!AE112*Transport!AE15</f>
        <v>61671.633020236193</v>
      </c>
      <c r="AF126" s="104">
        <f>'Industrial and Other Transport'!AF112*Transport!AF15</f>
        <v>63827.429316318121</v>
      </c>
      <c r="AG126" s="104">
        <f>'Industrial and Other Transport'!AG112*Transport!AG15</f>
        <v>65983.225612400041</v>
      </c>
      <c r="AH126" s="104">
        <f>'Industrial and Other Transport'!AH112*Transport!AH15</f>
        <v>68139.021908481955</v>
      </c>
      <c r="AI126" s="104">
        <f>'Industrial and Other Transport'!AI112*Transport!AI15</f>
        <v>70294.818204563882</v>
      </c>
      <c r="AJ126" s="104">
        <f>'Industrial and Other Transport'!AJ112*Transport!AJ15</f>
        <v>72450.61450064581</v>
      </c>
      <c r="AK126" s="104">
        <f>'Industrial and Other Transport'!AK112*Transport!AK15</f>
        <v>74606.410796727723</v>
      </c>
      <c r="AL126" s="104">
        <f>'Industrial and Other Transport'!AL112*Transport!AL15</f>
        <v>76762.207092809636</v>
      </c>
      <c r="AM126" s="104">
        <f>'Industrial and Other Transport'!AM112*Transport!AM15</f>
        <v>78918.003388891564</v>
      </c>
      <c r="AN126" s="104">
        <f>'Industrial and Other Transport'!AN112*Transport!AN15</f>
        <v>81073.799684973492</v>
      </c>
      <c r="AO126" s="104">
        <f>'Industrial and Other Transport'!AO112*Transport!AO15</f>
        <v>81073.799684973492</v>
      </c>
      <c r="AP126" s="104">
        <f>'Industrial and Other Transport'!AP112*Transport!AP15</f>
        <v>81073.799684973492</v>
      </c>
      <c r="AQ126" s="104">
        <f>'Industrial and Other Transport'!AQ112*Transport!AQ15</f>
        <v>81073.799684973492</v>
      </c>
      <c r="AR126" s="104">
        <f>'Industrial and Other Transport'!AR112*Transport!AR15</f>
        <v>81073.799684973492</v>
      </c>
      <c r="AS126" s="104">
        <f>'Industrial and Other Transport'!AS112*Transport!AS15</f>
        <v>81073.799684973492</v>
      </c>
      <c r="AT126" s="104">
        <f>'Industrial and Other Transport'!AT112*Transport!AT15</f>
        <v>81073.799684973492</v>
      </c>
      <c r="AU126" s="104">
        <f>'Industrial and Other Transport'!AU112*Transport!AU15</f>
        <v>81073.799684973492</v>
      </c>
      <c r="AV126" s="104">
        <f>'Industrial and Other Transport'!AV112*Transport!AV15</f>
        <v>81073.799684973492</v>
      </c>
      <c r="AW126" s="104">
        <f>'Industrial and Other Transport'!AW112*Transport!AW15</f>
        <v>81073.799684973492</v>
      </c>
      <c r="AX126" s="104">
        <f>'Industrial and Other Transport'!AX112*Transport!AX15</f>
        <v>81073.799684973492</v>
      </c>
    </row>
    <row r="127" spans="1:50">
      <c r="C127" s="35"/>
      <c r="E127" t="s">
        <v>711</v>
      </c>
      <c r="G127" s="44" t="s">
        <v>679</v>
      </c>
      <c r="I127" s="44" t="s">
        <v>715</v>
      </c>
      <c r="J127" t="s">
        <v>693</v>
      </c>
      <c r="K127" s="44"/>
      <c r="M127" s="44"/>
      <c r="O127" s="104">
        <f>'Industrial and Other Transport'!O113*Transport!O15</f>
        <v>75834.634091646978</v>
      </c>
      <c r="P127" s="104">
        <f>'Industrial and Other Transport'!P113*Transport!P15</f>
        <v>77314.93729871785</v>
      </c>
      <c r="Q127" s="104">
        <f>'Industrial and Other Transport'!Q113*Transport!Q15</f>
        <v>78726.080592433587</v>
      </c>
      <c r="R127" s="104">
        <f>'Industrial and Other Transport'!R113*Transport!R15</f>
        <v>80063.920277393088</v>
      </c>
      <c r="S127" s="104">
        <f>'Industrial and Other Transport'!S113*Transport!S15</f>
        <v>81323.930307079951</v>
      </c>
      <c r="T127" s="104">
        <f>'Industrial and Other Transport'!T113*Transport!T15</f>
        <v>82501.153121247291</v>
      </c>
      <c r="U127" s="104">
        <f>'Industrial and Other Transport'!U113*Transport!U15</f>
        <v>83032.88307129727</v>
      </c>
      <c r="V127" s="104">
        <f>'Industrial and Other Transport'!V113*Transport!V15</f>
        <v>83566.508683347754</v>
      </c>
      <c r="W127" s="104">
        <f>'Industrial and Other Transport'!W113*Transport!W15</f>
        <v>84102.078183896505</v>
      </c>
      <c r="X127" s="104">
        <f>'Industrial and Other Transport'!X113*Transport!X15</f>
        <v>84639.641449304079</v>
      </c>
      <c r="Y127" s="104">
        <f>'Industrial and Other Transport'!Y113*Transport!Y15</f>
        <v>85179.250076956523</v>
      </c>
      <c r="Z127" s="104">
        <f>'Industrial and Other Transport'!Z113*Transport!Z15</f>
        <v>85124.157015815887</v>
      </c>
      <c r="AA127" s="104">
        <f>'Industrial and Other Transport'!AA113*Transport!AA15</f>
        <v>85068.876940993185</v>
      </c>
      <c r="AB127" s="104">
        <f>'Industrial and Other Transport'!AB113*Transport!AB15</f>
        <v>85013.407418027986</v>
      </c>
      <c r="AC127" s="104">
        <f>'Industrial and Other Transport'!AC113*Transport!AC15</f>
        <v>84957.745970021584</v>
      </c>
      <c r="AD127" s="104">
        <f>'Industrial and Other Transport'!AD113*Transport!AD15</f>
        <v>84901.890076707889</v>
      </c>
      <c r="AE127" s="104">
        <f>'Industrial and Other Transport'!AE113*Transport!AE15</f>
        <v>87037.323405819639</v>
      </c>
      <c r="AF127" s="104">
        <f>'Industrial and Other Transport'!AF113*Transport!AF15</f>
        <v>89172.75673493139</v>
      </c>
      <c r="AG127" s="104">
        <f>'Industrial and Other Transport'!AG113*Transport!AG15</f>
        <v>91308.190064043141</v>
      </c>
      <c r="AH127" s="104">
        <f>'Industrial and Other Transport'!AH113*Transport!AH15</f>
        <v>93443.623393154907</v>
      </c>
      <c r="AI127" s="104">
        <f>'Industrial and Other Transport'!AI113*Transport!AI15</f>
        <v>95579.056722266658</v>
      </c>
      <c r="AJ127" s="104">
        <f>'Industrial and Other Transport'!AJ113*Transport!AJ15</f>
        <v>97714.490051378423</v>
      </c>
      <c r="AK127" s="104">
        <f>'Industrial and Other Transport'!AK113*Transport!AK15</f>
        <v>99849.923380490189</v>
      </c>
      <c r="AL127" s="104">
        <f>'Industrial and Other Transport'!AL113*Transport!AL15</f>
        <v>101985.35670960194</v>
      </c>
      <c r="AM127" s="104">
        <f>'Industrial and Other Transport'!AM113*Transport!AM15</f>
        <v>104120.79003871368</v>
      </c>
      <c r="AN127" s="104">
        <f>'Industrial and Other Transport'!AN113*Transport!AN15</f>
        <v>106256.22336782543</v>
      </c>
      <c r="AO127" s="104">
        <f>'Industrial and Other Transport'!AO113*Transport!AO15</f>
        <v>106256.22336782543</v>
      </c>
      <c r="AP127" s="104">
        <f>'Industrial and Other Transport'!AP113*Transport!AP15</f>
        <v>106256.22336782543</v>
      </c>
      <c r="AQ127" s="104">
        <f>'Industrial and Other Transport'!AQ113*Transport!AQ15</f>
        <v>106256.22336782543</v>
      </c>
      <c r="AR127" s="104">
        <f>'Industrial and Other Transport'!AR113*Transport!AR15</f>
        <v>106256.22336782543</v>
      </c>
      <c r="AS127" s="104">
        <f>'Industrial and Other Transport'!AS113*Transport!AS15</f>
        <v>106256.22336782543</v>
      </c>
      <c r="AT127" s="104">
        <f>'Industrial and Other Transport'!AT113*Transport!AT15</f>
        <v>106256.22336782543</v>
      </c>
      <c r="AU127" s="104">
        <f>'Industrial and Other Transport'!AU113*Transport!AU15</f>
        <v>106256.22336782543</v>
      </c>
      <c r="AV127" s="104">
        <f>'Industrial and Other Transport'!AV113*Transport!AV15</f>
        <v>106256.22336782543</v>
      </c>
      <c r="AW127" s="104">
        <f>'Industrial and Other Transport'!AW113*Transport!AW15</f>
        <v>106256.22336782543</v>
      </c>
      <c r="AX127" s="104">
        <f>'Industrial and Other Transport'!AX113*Transport!AX15</f>
        <v>106256.22336782543</v>
      </c>
    </row>
    <row r="128" spans="1:50">
      <c r="C128" s="35"/>
      <c r="G128" s="44"/>
      <c r="I128" s="44"/>
      <c r="K128" s="44"/>
      <c r="M128" s="44"/>
      <c r="O128" s="104"/>
      <c r="P128" s="104"/>
      <c r="Q128" s="104"/>
      <c r="R128" s="104"/>
      <c r="S128" s="104"/>
      <c r="T128" s="104"/>
      <c r="U128" s="104"/>
      <c r="V128" s="104"/>
      <c r="W128" s="104"/>
      <c r="X128" s="104"/>
      <c r="Y128" s="104"/>
      <c r="Z128" s="104"/>
      <c r="AA128" s="104"/>
      <c r="AB128" s="104"/>
      <c r="AC128" s="104"/>
      <c r="AD128" s="104"/>
      <c r="AE128" s="104"/>
      <c r="AF128" s="104"/>
      <c r="AG128" s="104"/>
      <c r="AH128" s="104"/>
      <c r="AI128" s="104"/>
      <c r="AJ128" s="104"/>
      <c r="AK128" s="104"/>
      <c r="AL128" s="104"/>
      <c r="AM128" s="104"/>
      <c r="AN128" s="104"/>
      <c r="AO128" s="104"/>
      <c r="AP128" s="104"/>
      <c r="AQ128" s="104"/>
      <c r="AR128" s="104"/>
      <c r="AS128" s="104"/>
      <c r="AT128" s="104"/>
      <c r="AU128" s="104"/>
      <c r="AV128" s="104"/>
      <c r="AW128" s="104"/>
      <c r="AX128" s="104"/>
    </row>
    <row r="129" spans="1:50">
      <c r="C129" s="35"/>
      <c r="G129" s="44"/>
      <c r="I129" s="44"/>
      <c r="K129" s="44"/>
      <c r="M129" s="44"/>
      <c r="O129" s="104"/>
      <c r="P129" s="104"/>
      <c r="Q129" s="104"/>
      <c r="R129" s="104"/>
      <c r="S129" s="104"/>
      <c r="T129" s="104"/>
      <c r="U129" s="104"/>
      <c r="V129" s="104"/>
      <c r="W129" s="104"/>
      <c r="X129" s="104"/>
      <c r="Y129" s="104"/>
      <c r="Z129" s="104"/>
      <c r="AA129" s="104"/>
      <c r="AB129" s="104"/>
      <c r="AC129" s="104"/>
      <c r="AD129" s="104"/>
      <c r="AE129" s="104"/>
      <c r="AF129" s="104"/>
      <c r="AG129" s="104"/>
      <c r="AH129" s="104"/>
      <c r="AI129" s="104"/>
      <c r="AJ129" s="104"/>
      <c r="AK129" s="104"/>
      <c r="AL129" s="104"/>
      <c r="AM129" s="104"/>
      <c r="AN129" s="104"/>
      <c r="AO129" s="104"/>
      <c r="AP129" s="104"/>
      <c r="AQ129" s="104"/>
      <c r="AR129" s="104"/>
      <c r="AS129" s="104"/>
      <c r="AT129" s="104"/>
      <c r="AU129" s="104"/>
      <c r="AV129" s="104"/>
      <c r="AW129" s="104"/>
      <c r="AX129" s="104"/>
    </row>
    <row r="130" spans="1:50">
      <c r="C130" s="35"/>
      <c r="G130" s="44"/>
      <c r="I130" s="44"/>
      <c r="K130" s="44"/>
      <c r="M130" s="44"/>
      <c r="O130" s="104"/>
      <c r="P130" s="104"/>
      <c r="Q130" s="104"/>
      <c r="R130" s="104"/>
      <c r="S130" s="104"/>
      <c r="T130" s="104"/>
      <c r="U130" s="104"/>
      <c r="V130" s="104"/>
      <c r="W130" s="104"/>
      <c r="X130" s="104"/>
      <c r="Y130" s="104"/>
      <c r="Z130" s="104"/>
      <c r="AA130" s="104"/>
      <c r="AB130" s="104"/>
      <c r="AC130" s="104"/>
      <c r="AD130" s="104"/>
      <c r="AE130" s="104"/>
      <c r="AF130" s="104"/>
      <c r="AG130" s="104"/>
      <c r="AH130" s="104"/>
      <c r="AI130" s="104"/>
      <c r="AJ130" s="104"/>
      <c r="AK130" s="104"/>
      <c r="AL130" s="104"/>
      <c r="AM130" s="104"/>
      <c r="AN130" s="104"/>
      <c r="AO130" s="104"/>
      <c r="AP130" s="104"/>
      <c r="AQ130" s="104"/>
      <c r="AR130" s="104"/>
      <c r="AS130" s="104"/>
      <c r="AT130" s="104"/>
      <c r="AU130" s="104"/>
      <c r="AV130" s="104"/>
      <c r="AW130" s="104"/>
      <c r="AX130" s="104"/>
    </row>
    <row r="131" spans="1:50">
      <c r="C131" s="35"/>
      <c r="G131" s="44"/>
      <c r="I131" s="44"/>
      <c r="K131" s="44"/>
      <c r="M131" s="44"/>
      <c r="O131" s="104"/>
      <c r="P131" s="104"/>
      <c r="Q131" s="104"/>
      <c r="R131" s="104"/>
      <c r="S131" s="104"/>
      <c r="T131" s="104"/>
      <c r="U131" s="104"/>
      <c r="V131" s="104"/>
      <c r="W131" s="104"/>
      <c r="X131" s="104"/>
      <c r="Y131" s="104"/>
      <c r="Z131" s="104"/>
      <c r="AA131" s="104"/>
      <c r="AB131" s="104"/>
      <c r="AC131" s="104"/>
      <c r="AD131" s="104"/>
      <c r="AE131" s="104"/>
      <c r="AF131" s="104"/>
      <c r="AG131" s="104"/>
      <c r="AH131" s="104"/>
      <c r="AI131" s="104"/>
      <c r="AJ131" s="104"/>
      <c r="AK131" s="104"/>
      <c r="AL131" s="104"/>
      <c r="AM131" s="104"/>
      <c r="AN131" s="104"/>
      <c r="AO131" s="104"/>
      <c r="AP131" s="104"/>
      <c r="AQ131" s="104"/>
      <c r="AR131" s="104"/>
      <c r="AS131" s="104"/>
      <c r="AT131" s="104"/>
      <c r="AU131" s="104"/>
      <c r="AV131" s="104"/>
      <c r="AW131" s="104"/>
      <c r="AX131" s="104"/>
    </row>
    <row r="132" spans="1:50">
      <c r="C132" s="35"/>
      <c r="G132" s="44"/>
      <c r="I132" s="44"/>
      <c r="K132" s="44"/>
      <c r="M132" s="44"/>
      <c r="O132" s="104"/>
      <c r="P132" s="104"/>
      <c r="Q132" s="104"/>
      <c r="R132" s="104"/>
      <c r="S132" s="104"/>
      <c r="T132" s="104"/>
      <c r="U132" s="104"/>
      <c r="V132" s="104"/>
      <c r="W132" s="104"/>
      <c r="X132" s="104"/>
      <c r="Y132" s="104"/>
      <c r="Z132" s="104"/>
      <c r="AA132" s="104"/>
      <c r="AB132" s="104"/>
      <c r="AC132" s="104"/>
      <c r="AD132" s="104"/>
      <c r="AE132" s="104"/>
      <c r="AF132" s="104"/>
      <c r="AG132" s="104"/>
      <c r="AH132" s="104"/>
      <c r="AI132" s="104"/>
      <c r="AJ132" s="104"/>
      <c r="AK132" s="104"/>
      <c r="AL132" s="104"/>
      <c r="AM132" s="104"/>
      <c r="AN132" s="104"/>
      <c r="AO132" s="104"/>
      <c r="AP132" s="104"/>
      <c r="AQ132" s="104"/>
      <c r="AR132" s="104"/>
      <c r="AS132" s="104"/>
      <c r="AT132" s="104"/>
      <c r="AU132" s="104"/>
      <c r="AV132" s="104"/>
      <c r="AW132" s="104"/>
      <c r="AX132" s="104"/>
    </row>
    <row r="133" spans="1:50">
      <c r="C133" s="35"/>
      <c r="E133" s="78"/>
      <c r="O133" s="36"/>
      <c r="P133" s="36"/>
      <c r="Q133" s="36"/>
      <c r="R133" s="36"/>
      <c r="S133" s="36"/>
      <c r="T133" s="36"/>
      <c r="U133" s="36"/>
      <c r="V133" s="36"/>
      <c r="W133" s="36"/>
      <c r="X133" s="36"/>
      <c r="Y133" s="36"/>
      <c r="Z133" s="36"/>
      <c r="AA133" s="36"/>
      <c r="AB133" s="36"/>
      <c r="AC133" s="36"/>
      <c r="AD133" s="36"/>
      <c r="AE133" s="36"/>
      <c r="AF133" s="36"/>
      <c r="AG133" s="36"/>
      <c r="AH133" s="36"/>
      <c r="AI133" s="36"/>
      <c r="AJ133" s="36"/>
      <c r="AK133" s="36"/>
      <c r="AL133" s="36"/>
      <c r="AM133" s="36"/>
      <c r="AN133" s="36"/>
      <c r="AO133" s="36"/>
      <c r="AP133" s="36"/>
      <c r="AQ133" s="36"/>
      <c r="AR133" s="36"/>
      <c r="AS133" s="36"/>
      <c r="AT133" s="36"/>
      <c r="AU133" s="36"/>
      <c r="AV133" s="36"/>
      <c r="AW133" s="36"/>
      <c r="AX133" s="36"/>
    </row>
    <row r="134" spans="1:50" ht="18">
      <c r="A134" s="35"/>
      <c r="B134" s="35"/>
      <c r="C134" s="35"/>
      <c r="D134" s="35"/>
      <c r="E134" s="198" t="s">
        <v>717</v>
      </c>
      <c r="F134" s="35"/>
      <c r="G134" s="44" t="s">
        <v>692</v>
      </c>
      <c r="I134" s="44"/>
      <c r="K134" s="44"/>
      <c r="M134" s="44"/>
      <c r="N134" s="35"/>
      <c r="O134" s="199">
        <f>SUM(O124:O132)/1000</f>
        <v>149.98813476814777</v>
      </c>
      <c r="P134" s="199">
        <f t="shared" ref="P134:AX134" si="26">SUM(P124:P132)/1000</f>
        <v>150.93393480068693</v>
      </c>
      <c r="Q134" s="199">
        <f t="shared" si="26"/>
        <v>151.94041708325446</v>
      </c>
      <c r="R134" s="199">
        <f t="shared" si="26"/>
        <v>154.37471089833264</v>
      </c>
      <c r="S134" s="199">
        <f t="shared" si="26"/>
        <v>156.6725663006284</v>
      </c>
      <c r="T134" s="199">
        <f t="shared" si="26"/>
        <v>158.82530291123962</v>
      </c>
      <c r="U134" s="199">
        <f t="shared" si="26"/>
        <v>160.05978654173671</v>
      </c>
      <c r="V134" s="199">
        <f t="shared" si="26"/>
        <v>161.29702616354305</v>
      </c>
      <c r="W134" s="199">
        <f t="shared" si="26"/>
        <v>162.53709189032267</v>
      </c>
      <c r="X134" s="199">
        <f t="shared" si="26"/>
        <v>163.78005623437801</v>
      </c>
      <c r="Y134" s="199">
        <f t="shared" si="26"/>
        <v>165.0259942101091</v>
      </c>
      <c r="Z134" s="199">
        <f t="shared" si="26"/>
        <v>170.15116065599605</v>
      </c>
      <c r="AA134" s="199">
        <f t="shared" si="26"/>
        <v>175.27600899246511</v>
      </c>
      <c r="AB134" s="199">
        <f t="shared" si="26"/>
        <v>180.40053507851019</v>
      </c>
      <c r="AC134" s="199">
        <f t="shared" si="26"/>
        <v>185.52473470093781</v>
      </c>
      <c r="AD134" s="199">
        <f t="shared" si="26"/>
        <v>190.64860357278701</v>
      </c>
      <c r="AE134" s="199">
        <f t="shared" si="26"/>
        <v>196.92709768535045</v>
      </c>
      <c r="AF134" s="199">
        <f t="shared" si="26"/>
        <v>203.20559179791388</v>
      </c>
      <c r="AG134" s="199">
        <f t="shared" si="26"/>
        <v>209.48408591047732</v>
      </c>
      <c r="AH134" s="199">
        <f t="shared" si="26"/>
        <v>215.76258002304075</v>
      </c>
      <c r="AI134" s="199">
        <f t="shared" si="26"/>
        <v>222.04107413560419</v>
      </c>
      <c r="AJ134" s="199">
        <f t="shared" si="26"/>
        <v>227.08672723002655</v>
      </c>
      <c r="AK134" s="199">
        <f t="shared" si="26"/>
        <v>232.13238032444889</v>
      </c>
      <c r="AL134" s="199">
        <f t="shared" si="26"/>
        <v>237.17803341887125</v>
      </c>
      <c r="AM134" s="199">
        <f t="shared" si="26"/>
        <v>242.22368651329359</v>
      </c>
      <c r="AN134" s="199">
        <f t="shared" si="26"/>
        <v>247.26933960771595</v>
      </c>
      <c r="AO134" s="199">
        <f t="shared" si="26"/>
        <v>246.9892057724289</v>
      </c>
      <c r="AP134" s="199">
        <f t="shared" si="26"/>
        <v>246.70907193714189</v>
      </c>
      <c r="AQ134" s="199">
        <f t="shared" si="26"/>
        <v>246.42893810185487</v>
      </c>
      <c r="AR134" s="199">
        <f t="shared" si="26"/>
        <v>246.14880426656779</v>
      </c>
      <c r="AS134" s="199">
        <f t="shared" si="26"/>
        <v>245.8686704312808</v>
      </c>
      <c r="AT134" s="199">
        <f t="shared" si="26"/>
        <v>245.58853659599373</v>
      </c>
      <c r="AU134" s="199">
        <f t="shared" si="26"/>
        <v>245.30840276070671</v>
      </c>
      <c r="AV134" s="199">
        <f t="shared" si="26"/>
        <v>245.02826892541972</v>
      </c>
      <c r="AW134" s="199">
        <f t="shared" si="26"/>
        <v>244.74813509013271</v>
      </c>
      <c r="AX134" s="199">
        <f t="shared" si="26"/>
        <v>244.46800125484563</v>
      </c>
    </row>
    <row r="135" spans="1:50">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36"/>
      <c r="AO135" s="36"/>
      <c r="AP135" s="36"/>
      <c r="AQ135" s="36"/>
      <c r="AR135" s="36"/>
      <c r="AS135" s="36"/>
      <c r="AT135" s="36"/>
      <c r="AU135" s="36"/>
      <c r="AV135" s="36"/>
      <c r="AW135" s="36"/>
      <c r="AX135" s="36"/>
    </row>
    <row r="136" spans="1:50">
      <c r="O136" s="36"/>
      <c r="P136" s="36"/>
      <c r="Q136" s="36"/>
      <c r="R136" s="36"/>
      <c r="S136" s="36"/>
      <c r="T136" s="36"/>
      <c r="U136" s="36"/>
      <c r="V136" s="36"/>
      <c r="W136" s="36"/>
      <c r="X136" s="36"/>
      <c r="Y136" s="36"/>
      <c r="Z136" s="36"/>
      <c r="AA136" s="36"/>
      <c r="AB136" s="36"/>
      <c r="AC136" s="36"/>
      <c r="AD136" s="36"/>
      <c r="AE136" s="36"/>
      <c r="AF136" s="36"/>
      <c r="AG136" s="36"/>
      <c r="AH136" s="36"/>
      <c r="AI136" s="36"/>
      <c r="AJ136" s="36"/>
      <c r="AK136" s="36"/>
      <c r="AL136" s="36"/>
      <c r="AM136" s="36"/>
      <c r="AN136" s="36"/>
      <c r="AO136" s="36"/>
      <c r="AP136" s="36"/>
      <c r="AQ136" s="36"/>
      <c r="AR136" s="36"/>
      <c r="AS136" s="36"/>
      <c r="AT136" s="36"/>
      <c r="AU136" s="36"/>
      <c r="AV136" s="36"/>
      <c r="AW136" s="36"/>
      <c r="AX136" s="36"/>
    </row>
    <row r="137" spans="1:50">
      <c r="O137" s="36"/>
      <c r="P137" s="36"/>
      <c r="Q137" s="36"/>
      <c r="R137" s="36"/>
      <c r="S137" s="36"/>
      <c r="T137" s="36"/>
      <c r="U137" s="36"/>
      <c r="V137" s="36"/>
      <c r="W137" s="36"/>
      <c r="X137" s="36"/>
      <c r="Y137" s="36"/>
      <c r="Z137" s="36"/>
      <c r="AA137" s="36"/>
      <c r="AB137" s="36"/>
      <c r="AC137" s="36"/>
      <c r="AD137" s="36"/>
      <c r="AE137" s="36"/>
      <c r="AF137" s="36"/>
      <c r="AG137" s="36"/>
      <c r="AH137" s="36"/>
      <c r="AI137" s="36"/>
      <c r="AJ137" s="36"/>
      <c r="AK137" s="36"/>
      <c r="AL137" s="36"/>
      <c r="AM137" s="36"/>
      <c r="AN137" s="36"/>
      <c r="AO137" s="36"/>
      <c r="AP137" s="36"/>
      <c r="AQ137" s="36"/>
      <c r="AR137" s="36"/>
      <c r="AS137" s="36"/>
      <c r="AT137" s="36"/>
      <c r="AU137" s="36"/>
      <c r="AV137" s="36"/>
      <c r="AW137" s="36"/>
      <c r="AX137" s="36"/>
    </row>
  </sheetData>
  <mergeCells count="1">
    <mergeCell ref="D4:U4"/>
  </mergeCells>
  <phoneticPr fontId="82" type="noConversion"/>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theme="6"/>
  </sheetPr>
  <dimension ref="B1:BB416"/>
  <sheetViews>
    <sheetView zoomScale="90" zoomScaleNormal="90" workbookViewId="0">
      <pane xSplit="4" ySplit="2" topLeftCell="E183" activePane="bottomRight" state="frozen"/>
      <selection pane="topRight" activeCell="O35" sqref="O35"/>
      <selection pane="bottomLeft" activeCell="O35" sqref="O35"/>
      <selection pane="bottomRight" activeCell="O35" sqref="O35"/>
    </sheetView>
  </sheetViews>
  <sheetFormatPr defaultRowHeight="15"/>
  <cols>
    <col min="1" max="1" width="2.85546875" customWidth="1"/>
    <col min="2" max="2" width="3" customWidth="1"/>
    <col min="3" max="3" width="2.85546875" customWidth="1"/>
    <col min="4" max="4" width="3.140625" customWidth="1"/>
    <col min="5" max="5" width="27.42578125" customWidth="1"/>
    <col min="6" max="6" width="2.42578125" customWidth="1"/>
    <col min="7" max="7" width="14.42578125" customWidth="1"/>
    <col min="8" max="8" width="1.5703125" customWidth="1"/>
    <col min="9" max="9" width="12.85546875" customWidth="1"/>
    <col min="10" max="10" width="1.85546875" customWidth="1"/>
    <col min="11" max="11" width="14.5703125" customWidth="1"/>
    <col min="12" max="12" width="1.85546875" customWidth="1"/>
    <col min="13" max="13" width="14.5703125" customWidth="1"/>
    <col min="14" max="14" width="2.140625" customWidth="1"/>
    <col min="15" max="18" width="13.5703125" bestFit="1" customWidth="1"/>
    <col min="19" max="27" width="14.140625" bestFit="1" customWidth="1"/>
    <col min="28" max="29" width="14.42578125" bestFit="1" customWidth="1"/>
    <col min="30" max="30" width="15.85546875" bestFit="1" customWidth="1"/>
    <col min="31" max="37" width="14.42578125" bestFit="1" customWidth="1"/>
    <col min="38" max="49" width="14.5703125" bestFit="1" customWidth="1"/>
    <col min="50" max="50" width="17.140625" customWidth="1"/>
  </cols>
  <sheetData>
    <row r="1" spans="2:50" s="38" customFormat="1"/>
    <row r="2" spans="2:50" s="38" customFormat="1">
      <c r="E2" s="60" t="s">
        <v>178</v>
      </c>
      <c r="F2" s="60"/>
      <c r="G2" s="60" t="s">
        <v>179</v>
      </c>
      <c r="H2" s="60"/>
      <c r="I2" s="60" t="s">
        <v>180</v>
      </c>
      <c r="J2" s="60"/>
      <c r="K2" s="60" t="s">
        <v>718</v>
      </c>
      <c r="L2" s="60"/>
      <c r="M2" s="60" t="s">
        <v>719</v>
      </c>
      <c r="O2" s="82">
        <v>2015</v>
      </c>
      <c r="P2" s="82">
        <v>2016</v>
      </c>
      <c r="Q2" s="82">
        <v>2017</v>
      </c>
      <c r="R2" s="82">
        <v>2018</v>
      </c>
      <c r="S2" s="82">
        <v>2019</v>
      </c>
      <c r="T2" s="82">
        <v>2020</v>
      </c>
      <c r="U2" s="82">
        <v>2021</v>
      </c>
      <c r="V2" s="82">
        <v>2022</v>
      </c>
      <c r="W2" s="82">
        <v>2023</v>
      </c>
      <c r="X2" s="82">
        <v>2024</v>
      </c>
      <c r="Y2" s="82">
        <v>2025</v>
      </c>
      <c r="Z2" s="82">
        <v>2026</v>
      </c>
      <c r="AA2" s="82">
        <v>2027</v>
      </c>
      <c r="AB2" s="82">
        <v>2028</v>
      </c>
      <c r="AC2" s="82">
        <v>2029</v>
      </c>
      <c r="AD2" s="82">
        <v>2030</v>
      </c>
      <c r="AE2" s="82">
        <v>2031</v>
      </c>
      <c r="AF2" s="82">
        <v>2032</v>
      </c>
      <c r="AG2" s="82">
        <v>2033</v>
      </c>
      <c r="AH2" s="82">
        <v>2034</v>
      </c>
      <c r="AI2" s="82">
        <v>2035</v>
      </c>
      <c r="AJ2" s="82">
        <v>2036</v>
      </c>
      <c r="AK2" s="82">
        <v>2037</v>
      </c>
      <c r="AL2" s="82">
        <v>2038</v>
      </c>
      <c r="AM2" s="82">
        <v>2039</v>
      </c>
      <c r="AN2" s="82">
        <v>2040</v>
      </c>
      <c r="AO2" s="82">
        <v>2041</v>
      </c>
      <c r="AP2" s="82">
        <v>2042</v>
      </c>
      <c r="AQ2" s="82">
        <v>2043</v>
      </c>
      <c r="AR2" s="82">
        <v>2044</v>
      </c>
      <c r="AS2" s="82">
        <v>2045</v>
      </c>
      <c r="AT2" s="82">
        <v>2046</v>
      </c>
      <c r="AU2" s="82">
        <v>2047</v>
      </c>
      <c r="AV2" s="82">
        <v>2048</v>
      </c>
      <c r="AW2" s="82">
        <v>2049</v>
      </c>
      <c r="AX2" s="82">
        <v>2050</v>
      </c>
    </row>
    <row r="4" spans="2:50" s="67" customFormat="1">
      <c r="B4" s="67" t="s">
        <v>157</v>
      </c>
      <c r="O4" s="68"/>
      <c r="P4" s="68"/>
      <c r="Q4" s="68"/>
      <c r="R4" s="68"/>
      <c r="S4" s="68"/>
      <c r="T4" s="68"/>
      <c r="U4" s="68"/>
      <c r="V4" s="68"/>
      <c r="W4" s="68"/>
      <c r="X4" s="68"/>
      <c r="Y4" s="68"/>
      <c r="Z4" s="68"/>
      <c r="AA4" s="68"/>
      <c r="AB4" s="68"/>
      <c r="AC4" s="68"/>
      <c r="AD4" s="68"/>
      <c r="AE4" s="68"/>
      <c r="AF4" s="68"/>
      <c r="AG4" s="68"/>
      <c r="AH4" s="68"/>
      <c r="AI4" s="68"/>
      <c r="AJ4" s="68"/>
      <c r="AK4" s="68"/>
      <c r="AL4" s="68"/>
      <c r="AM4" s="68"/>
      <c r="AN4" s="68"/>
      <c r="AO4" s="68"/>
      <c r="AP4" s="68"/>
      <c r="AQ4" s="68"/>
      <c r="AR4" s="68"/>
      <c r="AS4" s="68"/>
      <c r="AT4" s="68"/>
      <c r="AU4" s="68"/>
      <c r="AV4" s="68"/>
      <c r="AW4" s="68"/>
      <c r="AX4" s="68"/>
    </row>
    <row r="6" spans="2:50" s="43" customFormat="1">
      <c r="C6" s="43" t="s">
        <v>26</v>
      </c>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row>
    <row r="8" spans="2:50">
      <c r="D8" t="s">
        <v>661</v>
      </c>
      <c r="E8" t="s">
        <v>626</v>
      </c>
      <c r="G8" s="44"/>
      <c r="I8" s="44"/>
      <c r="K8" s="44"/>
      <c r="M8" s="44"/>
      <c r="O8" s="36">
        <v>914757.50938949757</v>
      </c>
      <c r="P8" s="36">
        <v>933260.36118594464</v>
      </c>
      <c r="Q8" s="36">
        <v>951763.21298239205</v>
      </c>
      <c r="R8" s="36">
        <v>970266.06477883947</v>
      </c>
      <c r="S8" s="36">
        <v>988768.91657528665</v>
      </c>
      <c r="T8" s="36">
        <v>1007271.7683717341</v>
      </c>
      <c r="U8" s="36">
        <v>1025774.6201681816</v>
      </c>
      <c r="V8" s="36">
        <v>1044277.4719646288</v>
      </c>
      <c r="W8" s="36">
        <v>1062780.3237610762</v>
      </c>
      <c r="X8" s="36">
        <v>1081283.1755575237</v>
      </c>
      <c r="Y8" s="36">
        <v>1099786.0273539708</v>
      </c>
      <c r="Z8" s="36">
        <v>1277508.4672056756</v>
      </c>
      <c r="AA8" s="36">
        <v>1455230.9070573794</v>
      </c>
      <c r="AB8" s="36">
        <v>1632953.3469090841</v>
      </c>
      <c r="AC8" s="36">
        <v>1810675.7867607882</v>
      </c>
      <c r="AD8" s="36">
        <v>1988398.2266124927</v>
      </c>
      <c r="AE8" s="36">
        <v>2166120.6664641965</v>
      </c>
      <c r="AF8" s="36">
        <v>2343843.1063159001</v>
      </c>
      <c r="AG8" s="36">
        <v>2521565.5461676051</v>
      </c>
      <c r="AH8" s="36">
        <v>2699287.9860193096</v>
      </c>
      <c r="AI8" s="36">
        <v>2877010.4258710132</v>
      </c>
      <c r="AJ8" s="36">
        <v>3054732.8657227182</v>
      </c>
      <c r="AK8" s="36">
        <v>3232455.3055744218</v>
      </c>
      <c r="AL8" s="36">
        <v>3410177.7454261254</v>
      </c>
      <c r="AM8" s="36">
        <v>3587900.1852778303</v>
      </c>
      <c r="AN8" s="36">
        <v>3765622.6251295339</v>
      </c>
      <c r="AO8" s="36">
        <v>3943345.064981238</v>
      </c>
      <c r="AP8" s="36">
        <v>4121067.504832943</v>
      </c>
      <c r="AQ8" s="36">
        <v>4298789.944684647</v>
      </c>
      <c r="AR8" s="36">
        <v>4476512.3845363501</v>
      </c>
      <c r="AS8" s="36">
        <v>4654234.8243880561</v>
      </c>
      <c r="AT8" s="36">
        <v>4831957.2642397592</v>
      </c>
      <c r="AU8" s="36">
        <v>5009679.7040914642</v>
      </c>
      <c r="AV8" s="36">
        <v>5187402.1439431692</v>
      </c>
      <c r="AW8" s="36">
        <v>5365124.5837948723</v>
      </c>
      <c r="AX8" s="36">
        <v>5542847.0236465763</v>
      </c>
    </row>
    <row r="9" spans="2:50">
      <c r="D9" t="s">
        <v>661</v>
      </c>
      <c r="E9" t="s">
        <v>627</v>
      </c>
      <c r="G9" s="44"/>
      <c r="I9" s="44"/>
      <c r="K9" s="44"/>
      <c r="M9" s="44"/>
      <c r="O9" s="36">
        <v>2644372.5341043859</v>
      </c>
      <c r="P9" s="36">
        <v>2696523.9667843562</v>
      </c>
      <c r="Q9" s="36">
        <v>2748675.3994643246</v>
      </c>
      <c r="R9" s="36">
        <v>2800826.8321442939</v>
      </c>
      <c r="S9" s="36">
        <v>2852978.2648242624</v>
      </c>
      <c r="T9" s="36">
        <v>2905129.6975042331</v>
      </c>
      <c r="U9" s="36">
        <v>2957281.1301842006</v>
      </c>
      <c r="V9" s="36">
        <v>3009432.5628641704</v>
      </c>
      <c r="W9" s="36">
        <v>3061583.9955441402</v>
      </c>
      <c r="X9" s="36">
        <v>3113735.4282241091</v>
      </c>
      <c r="Y9" s="36">
        <v>3165886.8609040785</v>
      </c>
      <c r="Z9" s="36">
        <v>3680904.3077663323</v>
      </c>
      <c r="AA9" s="36">
        <v>4195921.7546285857</v>
      </c>
      <c r="AB9" s="36">
        <v>4710939.2014908399</v>
      </c>
      <c r="AC9" s="36">
        <v>5225956.6483530914</v>
      </c>
      <c r="AD9" s="36">
        <v>5740974.0952153467</v>
      </c>
      <c r="AE9" s="36">
        <v>6255991.5420776</v>
      </c>
      <c r="AF9" s="36">
        <v>6771008.9889398515</v>
      </c>
      <c r="AG9" s="36">
        <v>7286026.4358021105</v>
      </c>
      <c r="AH9" s="36">
        <v>7801043.882664362</v>
      </c>
      <c r="AI9" s="36">
        <v>8316061.3295266153</v>
      </c>
      <c r="AJ9" s="36">
        <v>8831078.7763888668</v>
      </c>
      <c r="AK9" s="36">
        <v>9346096.2232511174</v>
      </c>
      <c r="AL9" s="36">
        <v>9861113.6701133735</v>
      </c>
      <c r="AM9" s="36">
        <v>10376131.11697563</v>
      </c>
      <c r="AN9" s="36">
        <v>10891148.563837882</v>
      </c>
      <c r="AO9" s="36">
        <v>11406166.010700135</v>
      </c>
      <c r="AP9" s="36">
        <v>11921183.457562391</v>
      </c>
      <c r="AQ9" s="36">
        <v>12436200.904424641</v>
      </c>
      <c r="AR9" s="36">
        <v>12951218.351286892</v>
      </c>
      <c r="AS9" s="36">
        <v>13466235.798149144</v>
      </c>
      <c r="AT9" s="36">
        <v>13981253.245011399</v>
      </c>
      <c r="AU9" s="36">
        <v>14496270.691873657</v>
      </c>
      <c r="AV9" s="36">
        <v>15011288.138735909</v>
      </c>
      <c r="AW9" s="36">
        <v>15526305.585598161</v>
      </c>
      <c r="AX9" s="36">
        <v>16041323.032460412</v>
      </c>
    </row>
    <row r="10" spans="2:50">
      <c r="D10" t="s">
        <v>661</v>
      </c>
      <c r="E10" t="s">
        <v>628</v>
      </c>
      <c r="G10" s="44"/>
      <c r="I10" s="44"/>
      <c r="K10" s="44"/>
      <c r="M10" s="44"/>
      <c r="O10" s="36">
        <v>1916341.7509470971</v>
      </c>
      <c r="P10" s="36">
        <v>1953336.8177931141</v>
      </c>
      <c r="Q10" s="36">
        <v>1990331.8846391309</v>
      </c>
      <c r="R10" s="36">
        <v>2027326.9514851477</v>
      </c>
      <c r="S10" s="36">
        <v>2064322.0183311643</v>
      </c>
      <c r="T10" s="36">
        <v>2101317.0851771813</v>
      </c>
      <c r="U10" s="36">
        <v>2138312.1520231981</v>
      </c>
      <c r="V10" s="36">
        <v>2175307.2188692149</v>
      </c>
      <c r="W10" s="36">
        <v>2212302.2857152321</v>
      </c>
      <c r="X10" s="36">
        <v>2249297.3525612485</v>
      </c>
      <c r="Y10" s="36">
        <v>2286292.4194072648</v>
      </c>
      <c r="Z10" s="36">
        <v>2664402.4212854179</v>
      </c>
      <c r="AA10" s="36">
        <v>3042512.4231635691</v>
      </c>
      <c r="AB10" s="36">
        <v>3420622.4250417207</v>
      </c>
      <c r="AC10" s="36">
        <v>3798732.4269198724</v>
      </c>
      <c r="AD10" s="36">
        <v>4176842.4287980236</v>
      </c>
      <c r="AE10" s="36">
        <v>4554952.4306761734</v>
      </c>
      <c r="AF10" s="36">
        <v>4933062.432554327</v>
      </c>
      <c r="AG10" s="36">
        <v>5311172.4344324786</v>
      </c>
      <c r="AH10" s="36">
        <v>5689282.4363106303</v>
      </c>
      <c r="AI10" s="36">
        <v>6067392.438188781</v>
      </c>
      <c r="AJ10" s="36">
        <v>6445502.4400669327</v>
      </c>
      <c r="AK10" s="36">
        <v>6823612.4419450853</v>
      </c>
      <c r="AL10" s="36">
        <v>7201722.443823236</v>
      </c>
      <c r="AM10" s="36">
        <v>7579832.4457013877</v>
      </c>
      <c r="AN10" s="36">
        <v>7957942.4475795394</v>
      </c>
      <c r="AO10" s="36">
        <v>8336052.449457692</v>
      </c>
      <c r="AP10" s="36">
        <v>8714162.4513358418</v>
      </c>
      <c r="AQ10" s="36">
        <v>9092272.4532139953</v>
      </c>
      <c r="AR10" s="36">
        <v>9470382.455092147</v>
      </c>
      <c r="AS10" s="36">
        <v>9848492.4569702968</v>
      </c>
      <c r="AT10" s="36">
        <v>10226602.458848448</v>
      </c>
      <c r="AU10" s="36">
        <v>10604712.460726602</v>
      </c>
      <c r="AV10" s="36">
        <v>10982822.46260475</v>
      </c>
      <c r="AW10" s="36">
        <v>11360932.464482903</v>
      </c>
      <c r="AX10" s="36">
        <v>11739042.466361053</v>
      </c>
    </row>
    <row r="11" spans="2:50">
      <c r="D11" t="s">
        <v>661</v>
      </c>
      <c r="E11" t="s">
        <v>629</v>
      </c>
      <c r="G11" s="44"/>
      <c r="I11" s="44"/>
      <c r="K11" s="44"/>
      <c r="M11" s="44"/>
      <c r="O11" s="36">
        <v>1793981.7627948455</v>
      </c>
      <c r="P11" s="36">
        <v>1829111.3923554083</v>
      </c>
      <c r="Q11" s="36">
        <v>1864241.0219159715</v>
      </c>
      <c r="R11" s="36">
        <v>1899370.6514765341</v>
      </c>
      <c r="S11" s="36">
        <v>1934500.2810370966</v>
      </c>
      <c r="T11" s="36">
        <v>1969629.9105976603</v>
      </c>
      <c r="U11" s="36">
        <v>2004759.5401582229</v>
      </c>
      <c r="V11" s="36">
        <v>2039889.1697187861</v>
      </c>
      <c r="W11" s="36">
        <v>2075018.7992793487</v>
      </c>
      <c r="X11" s="36">
        <v>2110148.4288399122</v>
      </c>
      <c r="Y11" s="36">
        <v>2145278.058400475</v>
      </c>
      <c r="Z11" s="36">
        <v>2496743.7753922651</v>
      </c>
      <c r="AA11" s="36">
        <v>2848209.492384057</v>
      </c>
      <c r="AB11" s="36">
        <v>3199675.2093758476</v>
      </c>
      <c r="AC11" s="36">
        <v>3551140.9263676391</v>
      </c>
      <c r="AD11" s="36">
        <v>3902606.6433594306</v>
      </c>
      <c r="AE11" s="36">
        <v>4254072.3603512216</v>
      </c>
      <c r="AF11" s="36">
        <v>4605538.0773430131</v>
      </c>
      <c r="AG11" s="36">
        <v>4957003.7943348028</v>
      </c>
      <c r="AH11" s="36">
        <v>5308469.5113265961</v>
      </c>
      <c r="AI11" s="36">
        <v>5659935.2283183867</v>
      </c>
      <c r="AJ11" s="36">
        <v>6011400.9453101773</v>
      </c>
      <c r="AK11" s="36">
        <v>6362866.6623019669</v>
      </c>
      <c r="AL11" s="36">
        <v>6714332.3792937603</v>
      </c>
      <c r="AM11" s="36">
        <v>7065798.0962855509</v>
      </c>
      <c r="AN11" s="36">
        <v>7417263.8132773424</v>
      </c>
      <c r="AO11" s="36">
        <v>7768729.5302691329</v>
      </c>
      <c r="AP11" s="36">
        <v>8120195.2472609254</v>
      </c>
      <c r="AQ11" s="36">
        <v>8471660.9642527159</v>
      </c>
      <c r="AR11" s="36">
        <v>8823126.6812445056</v>
      </c>
      <c r="AS11" s="36">
        <v>9174592.3982362989</v>
      </c>
      <c r="AT11" s="36">
        <v>9526058.1152280886</v>
      </c>
      <c r="AU11" s="36">
        <v>9877523.8322198838</v>
      </c>
      <c r="AV11" s="36">
        <v>10228989.549211675</v>
      </c>
      <c r="AW11" s="36">
        <v>10580455.266203463</v>
      </c>
      <c r="AX11" s="36">
        <v>10931920.983195258</v>
      </c>
    </row>
    <row r="12" spans="2:50">
      <c r="D12" t="s">
        <v>661</v>
      </c>
      <c r="E12" t="s">
        <v>630</v>
      </c>
      <c r="G12" s="44"/>
      <c r="I12" s="44"/>
      <c r="K12" s="44"/>
      <c r="M12" s="44"/>
      <c r="O12" s="36">
        <v>2754959.5909112822</v>
      </c>
      <c r="P12" s="36">
        <v>2808152.5996203944</v>
      </c>
      <c r="Q12" s="36">
        <v>2861345.6083295071</v>
      </c>
      <c r="R12" s="36">
        <v>2914538.6170386192</v>
      </c>
      <c r="S12" s="36">
        <v>2967731.6257477314</v>
      </c>
      <c r="T12" s="36">
        <v>3020924.6344568436</v>
      </c>
      <c r="U12" s="36">
        <v>3074117.6431659553</v>
      </c>
      <c r="V12" s="36">
        <v>3127310.6518750661</v>
      </c>
      <c r="W12" s="36">
        <v>3180503.6605841788</v>
      </c>
      <c r="X12" s="36">
        <v>3233696.6692932919</v>
      </c>
      <c r="Y12" s="36">
        <v>3286889.6780024036</v>
      </c>
      <c r="Z12" s="36">
        <v>3830505.7632430266</v>
      </c>
      <c r="AA12" s="36">
        <v>4374121.84848365</v>
      </c>
      <c r="AB12" s="36">
        <v>4917737.933724273</v>
      </c>
      <c r="AC12" s="36">
        <v>5461354.018964895</v>
      </c>
      <c r="AD12" s="36">
        <v>6004970.1042055171</v>
      </c>
      <c r="AE12" s="36">
        <v>6548586.1894461401</v>
      </c>
      <c r="AF12" s="36">
        <v>7092202.2746867631</v>
      </c>
      <c r="AG12" s="36">
        <v>7635818.3599273842</v>
      </c>
      <c r="AH12" s="36">
        <v>8179434.4451680109</v>
      </c>
      <c r="AI12" s="36">
        <v>8723050.530408632</v>
      </c>
      <c r="AJ12" s="36">
        <v>9266666.615649255</v>
      </c>
      <c r="AK12" s="36">
        <v>9810282.7008898742</v>
      </c>
      <c r="AL12" s="36">
        <v>10353898.786130499</v>
      </c>
      <c r="AM12" s="36">
        <v>10897514.871371122</v>
      </c>
      <c r="AN12" s="36">
        <v>11441130.956611745</v>
      </c>
      <c r="AO12" s="36">
        <v>11984747.04185237</v>
      </c>
      <c r="AP12" s="36">
        <v>12528363.127092993</v>
      </c>
      <c r="AQ12" s="36">
        <v>13071979.212333616</v>
      </c>
      <c r="AR12" s="36">
        <v>13615595.297574239</v>
      </c>
      <c r="AS12" s="36">
        <v>14159211.382814862</v>
      </c>
      <c r="AT12" s="36">
        <v>14702827.468055479</v>
      </c>
      <c r="AU12" s="36">
        <v>15246443.553296108</v>
      </c>
      <c r="AV12" s="36">
        <v>15790059.638536729</v>
      </c>
      <c r="AW12" s="36">
        <v>16333675.723777348</v>
      </c>
      <c r="AX12" s="36">
        <v>16877291.809017975</v>
      </c>
    </row>
    <row r="13" spans="2:50">
      <c r="D13" t="s">
        <v>660</v>
      </c>
      <c r="E13" t="s">
        <v>631</v>
      </c>
      <c r="G13" s="44"/>
      <c r="I13" s="44"/>
      <c r="K13" s="44"/>
      <c r="M13" s="44"/>
      <c r="O13" s="36">
        <v>351312.83046755288</v>
      </c>
      <c r="P13" s="36">
        <v>359882.3899450067</v>
      </c>
      <c r="Q13" s="36">
        <v>368451.94942246063</v>
      </c>
      <c r="R13" s="36">
        <v>377021.50889991445</v>
      </c>
      <c r="S13" s="36">
        <v>385591.06837736821</v>
      </c>
      <c r="T13" s="36">
        <v>394160.6278548222</v>
      </c>
      <c r="U13" s="36">
        <v>402730.18733227585</v>
      </c>
      <c r="V13" s="36">
        <v>411299.74680972961</v>
      </c>
      <c r="W13" s="36">
        <v>419869.30628718366</v>
      </c>
      <c r="X13" s="36">
        <v>428438.86576463759</v>
      </c>
      <c r="Y13" s="36">
        <v>437008.42524209124</v>
      </c>
      <c r="Z13" s="36">
        <v>507185.93795742467</v>
      </c>
      <c r="AA13" s="36">
        <v>577363.45067275816</v>
      </c>
      <c r="AB13" s="36">
        <v>647540.96338809154</v>
      </c>
      <c r="AC13" s="36">
        <v>717718.47610342503</v>
      </c>
      <c r="AD13" s="36">
        <v>787895.9888187584</v>
      </c>
      <c r="AE13" s="36">
        <v>858073.50153409189</v>
      </c>
      <c r="AF13" s="36">
        <v>928251.01424942538</v>
      </c>
      <c r="AG13" s="36">
        <v>998428.52696475852</v>
      </c>
      <c r="AH13" s="36">
        <v>1068606.0396800919</v>
      </c>
      <c r="AI13" s="36">
        <v>1138783.5523954255</v>
      </c>
      <c r="AJ13" s="36">
        <v>1208961.0651107591</v>
      </c>
      <c r="AK13" s="36">
        <v>1279138.5778260925</v>
      </c>
      <c r="AL13" s="36">
        <v>1349316.0905414261</v>
      </c>
      <c r="AM13" s="36">
        <v>1419493.6032567597</v>
      </c>
      <c r="AN13" s="36">
        <v>1489671.1159720921</v>
      </c>
      <c r="AO13" s="36">
        <v>1559848.628687426</v>
      </c>
      <c r="AP13" s="36">
        <v>1630026.1414027598</v>
      </c>
      <c r="AQ13" s="36">
        <v>1700203.6541180927</v>
      </c>
      <c r="AR13" s="36">
        <v>1770381.1668334266</v>
      </c>
      <c r="AS13" s="36">
        <v>1840558.6795487595</v>
      </c>
      <c r="AT13" s="36">
        <v>1910736.1922640936</v>
      </c>
      <c r="AU13" s="36">
        <v>1980913.7049794269</v>
      </c>
      <c r="AV13" s="36">
        <v>2051091.2176947598</v>
      </c>
      <c r="AW13" s="36">
        <v>2121268.7304100934</v>
      </c>
      <c r="AX13" s="36">
        <v>2191446.2431254275</v>
      </c>
    </row>
    <row r="14" spans="2:50">
      <c r="D14" t="s">
        <v>660</v>
      </c>
      <c r="E14" t="s">
        <v>632</v>
      </c>
      <c r="G14" s="44"/>
      <c r="I14" s="44"/>
      <c r="K14" s="44"/>
      <c r="M14" s="44"/>
      <c r="O14" s="36">
        <v>38293.175709502502</v>
      </c>
      <c r="P14" s="36">
        <v>38873.725555987548</v>
      </c>
      <c r="Q14" s="36">
        <v>39454.275402472595</v>
      </c>
      <c r="R14" s="36">
        <v>40034.825248957641</v>
      </c>
      <c r="S14" s="36">
        <v>40615.375095442687</v>
      </c>
      <c r="T14" s="36">
        <v>41195.924941927733</v>
      </c>
      <c r="U14" s="36">
        <v>41776.474788412779</v>
      </c>
      <c r="V14" s="36">
        <v>42357.024634897825</v>
      </c>
      <c r="W14" s="36">
        <v>42937.574481382871</v>
      </c>
      <c r="X14" s="36">
        <v>43518.124327867918</v>
      </c>
      <c r="Y14" s="36">
        <v>44098.674174352949</v>
      </c>
      <c r="Z14" s="36">
        <v>50796.909217421759</v>
      </c>
      <c r="AA14" s="36">
        <v>57495.144260490568</v>
      </c>
      <c r="AB14" s="36">
        <v>64193.379303559377</v>
      </c>
      <c r="AC14" s="36">
        <v>70891.614346628179</v>
      </c>
      <c r="AD14" s="36">
        <v>77589.849389696989</v>
      </c>
      <c r="AE14" s="36">
        <v>84288.084432765798</v>
      </c>
      <c r="AF14" s="36">
        <v>90986.319475834607</v>
      </c>
      <c r="AG14" s="36">
        <v>97684.554518903416</v>
      </c>
      <c r="AH14" s="36">
        <v>104382.78956197223</v>
      </c>
      <c r="AI14" s="36">
        <v>111081.02460504104</v>
      </c>
      <c r="AJ14" s="36">
        <v>117779.25964810984</v>
      </c>
      <c r="AK14" s="36">
        <v>124477.49469117865</v>
      </c>
      <c r="AL14" s="36">
        <v>131175.72973424746</v>
      </c>
      <c r="AM14" s="36">
        <v>137873.96477731626</v>
      </c>
      <c r="AN14" s="36">
        <v>144572.19982038505</v>
      </c>
      <c r="AO14" s="36">
        <v>151270.43486345385</v>
      </c>
      <c r="AP14" s="36">
        <v>157968.66990652264</v>
      </c>
      <c r="AQ14" s="36">
        <v>164666.90494959144</v>
      </c>
      <c r="AR14" s="36">
        <v>171365.13999266023</v>
      </c>
      <c r="AS14" s="36">
        <v>178063.37503572903</v>
      </c>
      <c r="AT14" s="36">
        <v>184761.61007879782</v>
      </c>
      <c r="AU14" s="36">
        <v>191459.84512186662</v>
      </c>
      <c r="AV14" s="36">
        <v>198158.08016493541</v>
      </c>
      <c r="AW14" s="36">
        <v>204856.31520800421</v>
      </c>
      <c r="AX14" s="36">
        <v>211554.55025107315</v>
      </c>
    </row>
    <row r="15" spans="2:50">
      <c r="D15" t="s">
        <v>661</v>
      </c>
      <c r="E15" t="s">
        <v>634</v>
      </c>
      <c r="G15" s="44"/>
      <c r="I15" s="44"/>
      <c r="K15" s="44"/>
      <c r="M15" s="44"/>
      <c r="O15" s="36">
        <v>2429320.346584498</v>
      </c>
      <c r="P15" s="36">
        <v>2476854.7572378814</v>
      </c>
      <c r="Q15" s="36">
        <v>2524389.1678912644</v>
      </c>
      <c r="R15" s="36">
        <v>2571923.5785446474</v>
      </c>
      <c r="S15" s="36">
        <v>2619457.9891980304</v>
      </c>
      <c r="T15" s="36">
        <v>2666992.3998514134</v>
      </c>
      <c r="U15" s="36">
        <v>2714526.8105047964</v>
      </c>
      <c r="V15" s="36">
        <v>2762061.221158179</v>
      </c>
      <c r="W15" s="36">
        <v>2809595.631811562</v>
      </c>
      <c r="X15" s="36">
        <v>2857130.0424649455</v>
      </c>
      <c r="Y15" s="36">
        <v>2904664.4531183266</v>
      </c>
      <c r="Z15" s="36">
        <v>3383768.5407684203</v>
      </c>
      <c r="AA15" s="36">
        <v>3862872.6284185131</v>
      </c>
      <c r="AB15" s="36">
        <v>4341976.716068605</v>
      </c>
      <c r="AC15" s="36">
        <v>4821080.8037187001</v>
      </c>
      <c r="AD15" s="36">
        <v>5300184.8913687915</v>
      </c>
      <c r="AE15" s="36">
        <v>5779288.9790188819</v>
      </c>
      <c r="AF15" s="36">
        <v>6258393.0666689761</v>
      </c>
      <c r="AG15" s="36">
        <v>6737497.1543190684</v>
      </c>
      <c r="AH15" s="36">
        <v>7216601.2419691607</v>
      </c>
      <c r="AI15" s="36">
        <v>7695705.3296192568</v>
      </c>
      <c r="AJ15" s="36">
        <v>8174809.4172693463</v>
      </c>
      <c r="AK15" s="36">
        <v>8653913.5049194414</v>
      </c>
      <c r="AL15" s="36">
        <v>9133017.5925695337</v>
      </c>
      <c r="AM15" s="36">
        <v>9612121.6802196242</v>
      </c>
      <c r="AN15" s="36">
        <v>10091225.767869718</v>
      </c>
      <c r="AO15" s="36">
        <v>10570329.855519811</v>
      </c>
      <c r="AP15" s="36">
        <v>11049433.943169905</v>
      </c>
      <c r="AQ15" s="36">
        <v>11528538.030819995</v>
      </c>
      <c r="AR15" s="36">
        <v>12007642.11847009</v>
      </c>
      <c r="AS15" s="36">
        <v>12486746.206120178</v>
      </c>
      <c r="AT15" s="36">
        <v>12965850.293770274</v>
      </c>
      <c r="AU15" s="36">
        <v>13444954.381420368</v>
      </c>
      <c r="AV15" s="36">
        <v>13924058.469070457</v>
      </c>
      <c r="AW15" s="36">
        <v>14403162.556720557</v>
      </c>
      <c r="AX15" s="36">
        <v>14882266.644370645</v>
      </c>
    </row>
    <row r="16" spans="2:50">
      <c r="D16" t="s">
        <v>661</v>
      </c>
      <c r="E16" t="s">
        <v>635</v>
      </c>
      <c r="G16" s="44"/>
      <c r="I16" s="44"/>
      <c r="K16" s="44"/>
      <c r="M16" s="44"/>
      <c r="O16" s="36">
        <v>2018771.6403892215</v>
      </c>
      <c r="P16" s="36">
        <v>2058372.8045269386</v>
      </c>
      <c r="Q16" s="36">
        <v>2097973.968664655</v>
      </c>
      <c r="R16" s="36">
        <v>2137575.1328023714</v>
      </c>
      <c r="S16" s="36">
        <v>2177176.2969400878</v>
      </c>
      <c r="T16" s="36">
        <v>2216777.4610778042</v>
      </c>
      <c r="U16" s="36">
        <v>2256378.6252155211</v>
      </c>
      <c r="V16" s="36">
        <v>2295979.789353238</v>
      </c>
      <c r="W16" s="36">
        <v>2335580.953490953</v>
      </c>
      <c r="X16" s="36">
        <v>2375182.1176286698</v>
      </c>
      <c r="Y16" s="36">
        <v>2414783.2817663862</v>
      </c>
      <c r="Z16" s="36">
        <v>2807707.6436809707</v>
      </c>
      <c r="AA16" s="36">
        <v>3200632.0055955546</v>
      </c>
      <c r="AB16" s="36">
        <v>3593556.3675101385</v>
      </c>
      <c r="AC16" s="36">
        <v>3986480.7294247225</v>
      </c>
      <c r="AD16" s="36">
        <v>4379405.0913393078</v>
      </c>
      <c r="AE16" s="36">
        <v>4772329.4532538913</v>
      </c>
      <c r="AF16" s="36">
        <v>5165253.8151684757</v>
      </c>
      <c r="AG16" s="36">
        <v>5558178.1770830592</v>
      </c>
      <c r="AH16" s="36">
        <v>5951102.5389976427</v>
      </c>
      <c r="AI16" s="36">
        <v>6344026.9009122299</v>
      </c>
      <c r="AJ16" s="36">
        <v>6736951.2628268106</v>
      </c>
      <c r="AK16" s="36">
        <v>7129875.624741395</v>
      </c>
      <c r="AL16" s="36">
        <v>7522799.9866559813</v>
      </c>
      <c r="AM16" s="36">
        <v>7915724.3485705629</v>
      </c>
      <c r="AN16" s="36">
        <v>8308648.7104851482</v>
      </c>
      <c r="AO16" s="36">
        <v>8701573.0723997317</v>
      </c>
      <c r="AP16" s="36">
        <v>9094497.4343143161</v>
      </c>
      <c r="AQ16" s="36">
        <v>9487421.7962289006</v>
      </c>
      <c r="AR16" s="36">
        <v>9880346.158143485</v>
      </c>
      <c r="AS16" s="36">
        <v>10273270.520058069</v>
      </c>
      <c r="AT16" s="36">
        <v>10666194.881972654</v>
      </c>
      <c r="AU16" s="36">
        <v>11059119.243887233</v>
      </c>
      <c r="AV16" s="36">
        <v>11452043.605801821</v>
      </c>
      <c r="AW16" s="36">
        <v>11844967.967716407</v>
      </c>
      <c r="AX16" s="36">
        <v>12237892.329630993</v>
      </c>
    </row>
    <row r="17" spans="4:50">
      <c r="D17" t="s">
        <v>661</v>
      </c>
      <c r="E17" t="s">
        <v>636</v>
      </c>
      <c r="G17" s="44"/>
      <c r="I17" s="44"/>
      <c r="K17" s="44"/>
      <c r="M17" s="44"/>
      <c r="O17" s="36">
        <v>1796845.8460176184</v>
      </c>
      <c r="P17" s="36">
        <v>1831550.722318433</v>
      </c>
      <c r="Q17" s="36">
        <v>1866255.5986192471</v>
      </c>
      <c r="R17" s="36">
        <v>1900960.4749200614</v>
      </c>
      <c r="S17" s="36">
        <v>1935665.351220876</v>
      </c>
      <c r="T17" s="36">
        <v>1970370.2275216903</v>
      </c>
      <c r="U17" s="36">
        <v>2005075.1038225046</v>
      </c>
      <c r="V17" s="36">
        <v>2039779.9801233197</v>
      </c>
      <c r="W17" s="36">
        <v>2074484.8564241335</v>
      </c>
      <c r="X17" s="36">
        <v>2109189.7327249474</v>
      </c>
      <c r="Y17" s="36">
        <v>2143894.609025761</v>
      </c>
      <c r="Z17" s="36">
        <v>2498682.7030800688</v>
      </c>
      <c r="AA17" s="36">
        <v>2853470.7971343747</v>
      </c>
      <c r="AB17" s="36">
        <v>3208258.8911886811</v>
      </c>
      <c r="AC17" s="36">
        <v>3563046.9852429861</v>
      </c>
      <c r="AD17" s="36">
        <v>3917835.0792972934</v>
      </c>
      <c r="AE17" s="36">
        <v>4272623.1733515989</v>
      </c>
      <c r="AF17" s="36">
        <v>4627411.2674059067</v>
      </c>
      <c r="AG17" s="36">
        <v>4982199.3614602126</v>
      </c>
      <c r="AH17" s="36">
        <v>5336987.4555145185</v>
      </c>
      <c r="AI17" s="36">
        <v>5691775.5495688254</v>
      </c>
      <c r="AJ17" s="36">
        <v>6046563.6436231323</v>
      </c>
      <c r="AK17" s="36">
        <v>6401351.7376774382</v>
      </c>
      <c r="AL17" s="36">
        <v>6756139.8317317432</v>
      </c>
      <c r="AM17" s="36">
        <v>7110927.925786051</v>
      </c>
      <c r="AN17" s="36">
        <v>7465716.0198403578</v>
      </c>
      <c r="AO17" s="36">
        <v>7820504.1138946619</v>
      </c>
      <c r="AP17" s="36">
        <v>8175292.2079489706</v>
      </c>
      <c r="AQ17" s="36">
        <v>8530080.3020032756</v>
      </c>
      <c r="AR17" s="36">
        <v>8884868.3960575834</v>
      </c>
      <c r="AS17" s="36">
        <v>9239656.4901118893</v>
      </c>
      <c r="AT17" s="36">
        <v>9594444.5841661952</v>
      </c>
      <c r="AU17" s="36">
        <v>9949232.6782204993</v>
      </c>
      <c r="AV17" s="36">
        <v>10304020.772274811</v>
      </c>
      <c r="AW17" s="36">
        <v>10658808.866329113</v>
      </c>
      <c r="AX17" s="36">
        <v>11013596.960383423</v>
      </c>
    </row>
    <row r="18" spans="4:50">
      <c r="D18" t="s">
        <v>660</v>
      </c>
      <c r="E18" t="s">
        <v>637</v>
      </c>
      <c r="G18" s="44"/>
      <c r="I18" s="44"/>
      <c r="K18" s="44"/>
      <c r="M18" s="44"/>
      <c r="O18" s="36">
        <v>1364026.2246228938</v>
      </c>
      <c r="P18" s="36">
        <v>1393075.1647536794</v>
      </c>
      <c r="Q18" s="36">
        <v>1422124.1048844643</v>
      </c>
      <c r="R18" s="36">
        <v>1451173.0450152496</v>
      </c>
      <c r="S18" s="36">
        <v>1480221.9851460352</v>
      </c>
      <c r="T18" s="36">
        <v>1509270.925276821</v>
      </c>
      <c r="U18" s="36">
        <v>1538319.8654076057</v>
      </c>
      <c r="V18" s="36">
        <v>1567368.8055383912</v>
      </c>
      <c r="W18" s="36">
        <v>1596417.7456691761</v>
      </c>
      <c r="X18" s="36">
        <v>1625466.6857999617</v>
      </c>
      <c r="Y18" s="36">
        <v>1654515.6259307468</v>
      </c>
      <c r="Z18" s="36">
        <v>1921086.8039868271</v>
      </c>
      <c r="AA18" s="36">
        <v>2187657.9820429068</v>
      </c>
      <c r="AB18" s="36">
        <v>2454229.1600989867</v>
      </c>
      <c r="AC18" s="36">
        <v>2720800.3381550647</v>
      </c>
      <c r="AD18" s="36">
        <v>2987371.5162111456</v>
      </c>
      <c r="AE18" s="36">
        <v>3253942.6942672245</v>
      </c>
      <c r="AF18" s="36">
        <v>3520513.8723233049</v>
      </c>
      <c r="AG18" s="36">
        <v>3787085.0503793843</v>
      </c>
      <c r="AH18" s="36">
        <v>4053656.2284354637</v>
      </c>
      <c r="AI18" s="36">
        <v>4320227.4064915432</v>
      </c>
      <c r="AJ18" s="36">
        <v>4586798.584547624</v>
      </c>
      <c r="AK18" s="36">
        <v>4853369.762603703</v>
      </c>
      <c r="AL18" s="36">
        <v>5119940.9406597838</v>
      </c>
      <c r="AM18" s="36">
        <v>5386512.1187158627</v>
      </c>
      <c r="AN18" s="36">
        <v>5653083.2967719408</v>
      </c>
      <c r="AO18" s="36">
        <v>5919654.4748280225</v>
      </c>
      <c r="AP18" s="36">
        <v>6186225.6528841015</v>
      </c>
      <c r="AQ18" s="36">
        <v>6452796.8309401814</v>
      </c>
      <c r="AR18" s="36">
        <v>6719368.0089962622</v>
      </c>
      <c r="AS18" s="36">
        <v>6985939.1870523402</v>
      </c>
      <c r="AT18" s="36">
        <v>7252510.3651084201</v>
      </c>
      <c r="AU18" s="36">
        <v>7519081.5431644982</v>
      </c>
      <c r="AV18" s="36">
        <v>7785652.7212205799</v>
      </c>
      <c r="AW18" s="36">
        <v>8052223.8992766589</v>
      </c>
      <c r="AX18" s="36">
        <v>8318795.0773327388</v>
      </c>
    </row>
    <row r="19" spans="4:50">
      <c r="D19" t="s">
        <v>660</v>
      </c>
      <c r="E19" t="s">
        <v>638</v>
      </c>
      <c r="G19" s="44"/>
      <c r="I19" s="44"/>
      <c r="K19" s="44"/>
      <c r="M19" s="44"/>
      <c r="O19" s="36">
        <v>662741.12371361861</v>
      </c>
      <c r="P19" s="36">
        <v>679152.46816871304</v>
      </c>
      <c r="Q19" s="36">
        <v>695563.81262380676</v>
      </c>
      <c r="R19" s="36">
        <v>711975.15707890061</v>
      </c>
      <c r="S19" s="36">
        <v>728386.5015339948</v>
      </c>
      <c r="T19" s="36">
        <v>744797.84598908876</v>
      </c>
      <c r="U19" s="36">
        <v>761209.19044418284</v>
      </c>
      <c r="V19" s="36">
        <v>777620.53489927691</v>
      </c>
      <c r="W19" s="36">
        <v>794031.87935437076</v>
      </c>
      <c r="X19" s="36">
        <v>810443.22380946472</v>
      </c>
      <c r="Y19" s="36">
        <v>826854.56826455903</v>
      </c>
      <c r="Z19" s="36">
        <v>960338.6838715031</v>
      </c>
      <c r="AA19" s="36">
        <v>1093822.7994784471</v>
      </c>
      <c r="AB19" s="36">
        <v>1227306.9150853918</v>
      </c>
      <c r="AC19" s="36">
        <v>1360791.0306923361</v>
      </c>
      <c r="AD19" s="36">
        <v>1494275.14629928</v>
      </c>
      <c r="AE19" s="36">
        <v>1627759.2619062241</v>
      </c>
      <c r="AF19" s="36">
        <v>1761243.3775131681</v>
      </c>
      <c r="AG19" s="36">
        <v>1894727.4931201132</v>
      </c>
      <c r="AH19" s="36">
        <v>2028211.608727057</v>
      </c>
      <c r="AI19" s="36">
        <v>2161695.7243340011</v>
      </c>
      <c r="AJ19" s="36">
        <v>2295179.8399409456</v>
      </c>
      <c r="AK19" s="36">
        <v>2428663.9555478892</v>
      </c>
      <c r="AL19" s="36">
        <v>2562148.0711548342</v>
      </c>
      <c r="AM19" s="36">
        <v>2695632.1867617778</v>
      </c>
      <c r="AN19" s="36">
        <v>2829116.3023687229</v>
      </c>
      <c r="AO19" s="36">
        <v>2962600.4179756669</v>
      </c>
      <c r="AP19" s="36">
        <v>3096084.5335826105</v>
      </c>
      <c r="AQ19" s="36">
        <v>3229568.6491895546</v>
      </c>
      <c r="AR19" s="36">
        <v>3363052.7647965001</v>
      </c>
      <c r="AS19" s="36">
        <v>3496536.8804034432</v>
      </c>
      <c r="AT19" s="36">
        <v>3630020.9960103873</v>
      </c>
      <c r="AU19" s="36">
        <v>3763505.1116173337</v>
      </c>
      <c r="AV19" s="36">
        <v>3896989.2272242759</v>
      </c>
      <c r="AW19" s="36">
        <v>4030473.3428312219</v>
      </c>
      <c r="AX19" s="36">
        <v>4163957.4584381646</v>
      </c>
    </row>
    <row r="20" spans="4:50">
      <c r="D20" t="s">
        <v>660</v>
      </c>
      <c r="E20" t="s">
        <v>639</v>
      </c>
      <c r="G20" s="44"/>
      <c r="I20" s="44"/>
      <c r="K20" s="44"/>
      <c r="M20" s="44"/>
      <c r="O20" s="36">
        <v>397162.16942581139</v>
      </c>
      <c r="P20" s="36">
        <v>406494.67773124709</v>
      </c>
      <c r="Q20" s="36">
        <v>415827.1860366828</v>
      </c>
      <c r="R20" s="36">
        <v>425159.69434211869</v>
      </c>
      <c r="S20" s="36">
        <v>434492.20264755422</v>
      </c>
      <c r="T20" s="36">
        <v>443824.71095298999</v>
      </c>
      <c r="U20" s="36">
        <v>453157.2192584257</v>
      </c>
      <c r="V20" s="36">
        <v>462489.72756386147</v>
      </c>
      <c r="W20" s="36">
        <v>471822.23586929718</v>
      </c>
      <c r="X20" s="36">
        <v>481154.74417473288</v>
      </c>
      <c r="Y20" s="36">
        <v>490487.25248016848</v>
      </c>
      <c r="Z20" s="36">
        <v>568921.65510496346</v>
      </c>
      <c r="AA20" s="36">
        <v>647356.05772975821</v>
      </c>
      <c r="AB20" s="36">
        <v>725790.46035455307</v>
      </c>
      <c r="AC20" s="36">
        <v>804224.86297934817</v>
      </c>
      <c r="AD20" s="36">
        <v>882659.26560414291</v>
      </c>
      <c r="AE20" s="36">
        <v>961093.66822893766</v>
      </c>
      <c r="AF20" s="36">
        <v>1039528.0708537325</v>
      </c>
      <c r="AG20" s="36">
        <v>1117962.4734785273</v>
      </c>
      <c r="AH20" s="36">
        <v>1196396.8761033223</v>
      </c>
      <c r="AI20" s="36">
        <v>1274831.278728117</v>
      </c>
      <c r="AJ20" s="36">
        <v>1353265.681352912</v>
      </c>
      <c r="AK20" s="36">
        <v>1431700.0839777067</v>
      </c>
      <c r="AL20" s="36">
        <v>1510134.4866025012</v>
      </c>
      <c r="AM20" s="36">
        <v>1588568.8892272965</v>
      </c>
      <c r="AN20" s="36">
        <v>1667003.2918520914</v>
      </c>
      <c r="AO20" s="36">
        <v>1745437.694476886</v>
      </c>
      <c r="AP20" s="36">
        <v>1823872.0971016809</v>
      </c>
      <c r="AQ20" s="36">
        <v>1902306.4997264761</v>
      </c>
      <c r="AR20" s="36">
        <v>1980740.9023512707</v>
      </c>
      <c r="AS20" s="36">
        <v>2059175.3049760663</v>
      </c>
      <c r="AT20" s="36">
        <v>2137609.7076008604</v>
      </c>
      <c r="AU20" s="36">
        <v>2216044.1102256556</v>
      </c>
      <c r="AV20" s="36">
        <v>2294478.5128504504</v>
      </c>
      <c r="AW20" s="36">
        <v>2372912.9154752451</v>
      </c>
      <c r="AX20" s="36">
        <v>2451347.3181000398</v>
      </c>
    </row>
    <row r="21" spans="4:50">
      <c r="D21" t="s">
        <v>661</v>
      </c>
      <c r="E21" t="s">
        <v>640</v>
      </c>
      <c r="G21" s="44"/>
      <c r="I21" s="44"/>
      <c r="K21" s="44"/>
      <c r="M21" s="44"/>
      <c r="O21" s="36">
        <v>985976.60331554397</v>
      </c>
      <c r="P21" s="36">
        <v>1004997.1510101589</v>
      </c>
      <c r="Q21" s="36">
        <v>1024017.6987047736</v>
      </c>
      <c r="R21" s="36">
        <v>1043038.2463993881</v>
      </c>
      <c r="S21" s="36">
        <v>1062058.794094003</v>
      </c>
      <c r="T21" s="36">
        <v>1081079.3417886177</v>
      </c>
      <c r="U21" s="36">
        <v>1100099.8894832323</v>
      </c>
      <c r="V21" s="36">
        <v>1119120.4371778469</v>
      </c>
      <c r="W21" s="36">
        <v>1138140.9848724615</v>
      </c>
      <c r="X21" s="36">
        <v>1157161.5325670759</v>
      </c>
      <c r="Y21" s="36">
        <v>1176182.0802616905</v>
      </c>
      <c r="Z21" s="36">
        <v>1369731.6604930442</v>
      </c>
      <c r="AA21" s="36">
        <v>1563281.2407243981</v>
      </c>
      <c r="AB21" s="36">
        <v>1756830.820955751</v>
      </c>
      <c r="AC21" s="36">
        <v>1950380.4011871046</v>
      </c>
      <c r="AD21" s="36">
        <v>2143929.9814184592</v>
      </c>
      <c r="AE21" s="36">
        <v>2337479.5616498124</v>
      </c>
      <c r="AF21" s="36">
        <v>2531029.1418811665</v>
      </c>
      <c r="AG21" s="36">
        <v>2724578.7221125192</v>
      </c>
      <c r="AH21" s="36">
        <v>2918128.3023438733</v>
      </c>
      <c r="AI21" s="36">
        <v>3111677.882575226</v>
      </c>
      <c r="AJ21" s="36">
        <v>3305227.4628065797</v>
      </c>
      <c r="AK21" s="36">
        <v>3498777.0430379333</v>
      </c>
      <c r="AL21" s="36">
        <v>3692326.6232692869</v>
      </c>
      <c r="AM21" s="36">
        <v>3885876.203500641</v>
      </c>
      <c r="AN21" s="36">
        <v>4079425.7837319942</v>
      </c>
      <c r="AO21" s="36">
        <v>4272975.3639633469</v>
      </c>
      <c r="AP21" s="36">
        <v>4466524.9441946996</v>
      </c>
      <c r="AQ21" s="36">
        <v>4660074.5244260533</v>
      </c>
      <c r="AR21" s="36">
        <v>4853624.1046574088</v>
      </c>
      <c r="AS21" s="36">
        <v>5047173.6848887596</v>
      </c>
      <c r="AT21" s="36">
        <v>5240723.2651201133</v>
      </c>
      <c r="AU21" s="36">
        <v>5434272.845351465</v>
      </c>
      <c r="AV21" s="36">
        <v>5627822.4255828205</v>
      </c>
      <c r="AW21" s="36">
        <v>5821372.0058141733</v>
      </c>
      <c r="AX21" s="36">
        <v>6014921.5860455288</v>
      </c>
    </row>
    <row r="22" spans="4:50">
      <c r="D22" t="s">
        <v>661</v>
      </c>
      <c r="E22" t="s">
        <v>641</v>
      </c>
      <c r="G22" s="44"/>
      <c r="I22" s="44"/>
      <c r="K22" s="44"/>
      <c r="M22" s="44"/>
      <c r="O22" s="36">
        <v>1943260.7835269044</v>
      </c>
      <c r="P22" s="36">
        <v>1980470.7434741319</v>
      </c>
      <c r="Q22" s="36">
        <v>2017680.7034213587</v>
      </c>
      <c r="R22" s="36">
        <v>2054890.6633685851</v>
      </c>
      <c r="S22" s="36">
        <v>2092100.6233158119</v>
      </c>
      <c r="T22" s="36">
        <v>2129310.5832630391</v>
      </c>
      <c r="U22" s="36">
        <v>2166520.5432102662</v>
      </c>
      <c r="V22" s="36">
        <v>2203730.5031574932</v>
      </c>
      <c r="W22" s="36">
        <v>2240940.4631047193</v>
      </c>
      <c r="X22" s="36">
        <v>2278150.4230519459</v>
      </c>
      <c r="Y22" s="36">
        <v>2315360.3829991724</v>
      </c>
      <c r="Z22" s="36">
        <v>2696414.0090001682</v>
      </c>
      <c r="AA22" s="36">
        <v>3077467.6350011621</v>
      </c>
      <c r="AB22" s="36">
        <v>3458521.2610021564</v>
      </c>
      <c r="AC22" s="36">
        <v>3839574.8870031517</v>
      </c>
      <c r="AD22" s="36">
        <v>4220628.5130041447</v>
      </c>
      <c r="AE22" s="36">
        <v>4601682.1390051395</v>
      </c>
      <c r="AF22" s="36">
        <v>4982735.7650061343</v>
      </c>
      <c r="AG22" s="36">
        <v>5363789.39100713</v>
      </c>
      <c r="AH22" s="36">
        <v>5744843.017008123</v>
      </c>
      <c r="AI22" s="36">
        <v>6125896.6430091187</v>
      </c>
      <c r="AJ22" s="36">
        <v>6506950.2690101145</v>
      </c>
      <c r="AK22" s="36">
        <v>6888003.8950111065</v>
      </c>
      <c r="AL22" s="36">
        <v>7269057.5210121023</v>
      </c>
      <c r="AM22" s="36">
        <v>7650111.1470130961</v>
      </c>
      <c r="AN22" s="36">
        <v>8031164.7730140919</v>
      </c>
      <c r="AO22" s="36">
        <v>8412218.3990150839</v>
      </c>
      <c r="AP22" s="36">
        <v>8793272.0250160806</v>
      </c>
      <c r="AQ22" s="36">
        <v>9174325.6510170773</v>
      </c>
      <c r="AR22" s="36">
        <v>9555379.2770180665</v>
      </c>
      <c r="AS22" s="36">
        <v>9936432.9030190632</v>
      </c>
      <c r="AT22" s="36">
        <v>10317486.529020056</v>
      </c>
      <c r="AU22" s="36">
        <v>10698540.155021053</v>
      </c>
      <c r="AV22" s="36">
        <v>11079593.781022049</v>
      </c>
      <c r="AW22" s="36">
        <v>11460647.407023037</v>
      </c>
      <c r="AX22" s="36">
        <v>11841701.033024037</v>
      </c>
    </row>
    <row r="23" spans="4:50">
      <c r="D23" t="s">
        <v>661</v>
      </c>
      <c r="E23" t="s">
        <v>642</v>
      </c>
      <c r="G23" s="44"/>
      <c r="I23" s="44"/>
      <c r="K23" s="44"/>
      <c r="M23" s="44"/>
      <c r="O23" s="36">
        <v>1982104.322754598</v>
      </c>
      <c r="P23" s="36">
        <v>2020179.0996775967</v>
      </c>
      <c r="Q23" s="36">
        <v>2058253.876600595</v>
      </c>
      <c r="R23" s="36">
        <v>2096328.6535235946</v>
      </c>
      <c r="S23" s="36">
        <v>2134403.4304465931</v>
      </c>
      <c r="T23" s="36">
        <v>2172478.207369592</v>
      </c>
      <c r="U23" s="36">
        <v>2210552.9842925915</v>
      </c>
      <c r="V23" s="36">
        <v>2248627.7612155899</v>
      </c>
      <c r="W23" s="36">
        <v>2286702.5381385889</v>
      </c>
      <c r="X23" s="36">
        <v>2324777.3150615878</v>
      </c>
      <c r="Y23" s="36">
        <v>2362852.0919845868</v>
      </c>
      <c r="Z23" s="36">
        <v>2751332.2392662545</v>
      </c>
      <c r="AA23" s="36">
        <v>3139812.3865479208</v>
      </c>
      <c r="AB23" s="36">
        <v>3528292.5338295884</v>
      </c>
      <c r="AC23" s="36">
        <v>3916772.6811112557</v>
      </c>
      <c r="AD23" s="36">
        <v>4305252.8283929219</v>
      </c>
      <c r="AE23" s="36">
        <v>4693732.9756745901</v>
      </c>
      <c r="AF23" s="36">
        <v>5082213.1229562564</v>
      </c>
      <c r="AG23" s="36">
        <v>5470693.2702379227</v>
      </c>
      <c r="AH23" s="36">
        <v>5859173.4175195899</v>
      </c>
      <c r="AI23" s="36">
        <v>6247653.564801259</v>
      </c>
      <c r="AJ23" s="36">
        <v>6636133.7120829234</v>
      </c>
      <c r="AK23" s="36">
        <v>7024613.8593645934</v>
      </c>
      <c r="AL23" s="36">
        <v>7413094.0066462588</v>
      </c>
      <c r="AM23" s="36">
        <v>7801574.1539279269</v>
      </c>
      <c r="AN23" s="36">
        <v>8190054.3012095932</v>
      </c>
      <c r="AO23" s="36">
        <v>8578534.4484912623</v>
      </c>
      <c r="AP23" s="36">
        <v>8967014.5957729276</v>
      </c>
      <c r="AQ23" s="36">
        <v>9355494.743054593</v>
      </c>
      <c r="AR23" s="36">
        <v>9743974.8903362621</v>
      </c>
      <c r="AS23" s="36">
        <v>10132455.037617927</v>
      </c>
      <c r="AT23" s="36">
        <v>10520935.184899595</v>
      </c>
      <c r="AU23" s="36">
        <v>10909415.332181266</v>
      </c>
      <c r="AV23" s="36">
        <v>11297895.479462931</v>
      </c>
      <c r="AW23" s="36">
        <v>11686375.626744598</v>
      </c>
      <c r="AX23" s="36">
        <v>12074855.774026264</v>
      </c>
    </row>
    <row r="24" spans="4:50">
      <c r="D24" t="s">
        <v>661</v>
      </c>
      <c r="E24" t="s">
        <v>643</v>
      </c>
      <c r="G24" s="44"/>
      <c r="I24" s="44"/>
      <c r="K24" s="44"/>
      <c r="M24" s="44"/>
      <c r="O24" s="36">
        <v>2302063.8972618226</v>
      </c>
      <c r="P24" s="36">
        <v>2346020.0017619864</v>
      </c>
      <c r="Q24" s="36">
        <v>2389976.1062621498</v>
      </c>
      <c r="R24" s="36">
        <v>2433932.2107623136</v>
      </c>
      <c r="S24" s="36">
        <v>2477888.3152624764</v>
      </c>
      <c r="T24" s="36">
        <v>2521844.4197626403</v>
      </c>
      <c r="U24" s="36">
        <v>2565800.5242628036</v>
      </c>
      <c r="V24" s="36">
        <v>2609756.6287629665</v>
      </c>
      <c r="W24" s="36">
        <v>2653712.7332631294</v>
      </c>
      <c r="X24" s="36">
        <v>2697668.8377632936</v>
      </c>
      <c r="Y24" s="36">
        <v>2741624.942263457</v>
      </c>
      <c r="Z24" s="36">
        <v>3191025.1391807981</v>
      </c>
      <c r="AA24" s="36">
        <v>3640425.3360981378</v>
      </c>
      <c r="AB24" s="36">
        <v>4089825.5330154803</v>
      </c>
      <c r="AC24" s="36">
        <v>4539225.7299328195</v>
      </c>
      <c r="AD24" s="36">
        <v>4988625.9268501606</v>
      </c>
      <c r="AE24" s="36">
        <v>5438026.1237675026</v>
      </c>
      <c r="AF24" s="36">
        <v>5887426.3206848418</v>
      </c>
      <c r="AG24" s="36">
        <v>6336826.517602182</v>
      </c>
      <c r="AH24" s="36">
        <v>6786226.7145195249</v>
      </c>
      <c r="AI24" s="36">
        <v>7235626.911436866</v>
      </c>
      <c r="AJ24" s="36">
        <v>7685027.1083542071</v>
      </c>
      <c r="AK24" s="36">
        <v>8134427.3052715473</v>
      </c>
      <c r="AL24" s="36">
        <v>8583827.5021888856</v>
      </c>
      <c r="AM24" s="36">
        <v>9033227.6991062313</v>
      </c>
      <c r="AN24" s="36">
        <v>9482627.8960235678</v>
      </c>
      <c r="AO24" s="36">
        <v>9932028.0929409135</v>
      </c>
      <c r="AP24" s="36">
        <v>10381428.289858248</v>
      </c>
      <c r="AQ24" s="36">
        <v>10830828.486775592</v>
      </c>
      <c r="AR24" s="36">
        <v>11280228.68369293</v>
      </c>
      <c r="AS24" s="36">
        <v>11729628.880610272</v>
      </c>
      <c r="AT24" s="36">
        <v>12179029.077527612</v>
      </c>
      <c r="AU24" s="36">
        <v>12628429.274444956</v>
      </c>
      <c r="AV24" s="36">
        <v>13077829.471362295</v>
      </c>
      <c r="AW24" s="36">
        <v>13527229.668279635</v>
      </c>
      <c r="AX24" s="36">
        <v>13976629.865196979</v>
      </c>
    </row>
    <row r="25" spans="4:50">
      <c r="D25" t="s">
        <v>661</v>
      </c>
      <c r="E25" t="s">
        <v>644</v>
      </c>
      <c r="G25" s="44"/>
      <c r="I25" s="44"/>
      <c r="K25" s="44"/>
      <c r="M25" s="44"/>
      <c r="O25" s="36">
        <v>1694997.0313407576</v>
      </c>
      <c r="P25" s="36">
        <v>1728737.1246632361</v>
      </c>
      <c r="Q25" s="36">
        <v>1762477.2179857141</v>
      </c>
      <c r="R25" s="36">
        <v>1796217.3113081923</v>
      </c>
      <c r="S25" s="36">
        <v>1829957.4046306708</v>
      </c>
      <c r="T25" s="36">
        <v>1863697.497953149</v>
      </c>
      <c r="U25" s="36">
        <v>1897437.591275627</v>
      </c>
      <c r="V25" s="36">
        <v>1931177.6845981055</v>
      </c>
      <c r="W25" s="36">
        <v>1964917.777920583</v>
      </c>
      <c r="X25" s="36">
        <v>1998657.8712430615</v>
      </c>
      <c r="Y25" s="36">
        <v>2032397.9645655397</v>
      </c>
      <c r="Z25" s="36">
        <v>2365084.2108729621</v>
      </c>
      <c r="AA25" s="36">
        <v>2697770.4571803841</v>
      </c>
      <c r="AB25" s="36">
        <v>3030456.7034878056</v>
      </c>
      <c r="AC25" s="36">
        <v>3363142.9497952284</v>
      </c>
      <c r="AD25" s="36">
        <v>3695829.1961026513</v>
      </c>
      <c r="AE25" s="36">
        <v>4028515.4424100746</v>
      </c>
      <c r="AF25" s="36">
        <v>4361201.6887174947</v>
      </c>
      <c r="AG25" s="36">
        <v>4693887.9350249181</v>
      </c>
      <c r="AH25" s="36">
        <v>5026574.1813323405</v>
      </c>
      <c r="AI25" s="36">
        <v>5359260.4276397619</v>
      </c>
      <c r="AJ25" s="36">
        <v>5691946.6739471853</v>
      </c>
      <c r="AK25" s="36">
        <v>6024632.9202546068</v>
      </c>
      <c r="AL25" s="36">
        <v>6357319.1665620292</v>
      </c>
      <c r="AM25" s="36">
        <v>6690005.4128694516</v>
      </c>
      <c r="AN25" s="36">
        <v>7022691.659176873</v>
      </c>
      <c r="AO25" s="36">
        <v>7355377.9054842955</v>
      </c>
      <c r="AP25" s="36">
        <v>7688064.1517917151</v>
      </c>
      <c r="AQ25" s="36">
        <v>8020750.3980991403</v>
      </c>
      <c r="AR25" s="36">
        <v>8353436.6444065636</v>
      </c>
      <c r="AS25" s="36">
        <v>8686122.8907139823</v>
      </c>
      <c r="AT25" s="36">
        <v>9018809.1370214056</v>
      </c>
      <c r="AU25" s="36">
        <v>9351495.3833288308</v>
      </c>
      <c r="AV25" s="36">
        <v>9684181.6296362504</v>
      </c>
      <c r="AW25" s="36">
        <v>10016867.875943676</v>
      </c>
      <c r="AX25" s="36">
        <v>10349554.122251097</v>
      </c>
    </row>
    <row r="26" spans="4:50">
      <c r="D26" t="s">
        <v>660</v>
      </c>
      <c r="E26" t="s">
        <v>645</v>
      </c>
      <c r="G26" s="44"/>
      <c r="I26" s="44"/>
      <c r="K26" s="44"/>
      <c r="M26" s="44"/>
      <c r="O26" s="36">
        <v>446870.20802475838</v>
      </c>
      <c r="P26" s="36">
        <v>456900.13491971523</v>
      </c>
      <c r="Q26" s="36">
        <v>466930.06181467202</v>
      </c>
      <c r="R26" s="36">
        <v>476959.98870962881</v>
      </c>
      <c r="S26" s="36">
        <v>486989.91560458543</v>
      </c>
      <c r="T26" s="36">
        <v>497019.84249954228</v>
      </c>
      <c r="U26" s="36">
        <v>507049.76939449908</v>
      </c>
      <c r="V26" s="36">
        <v>517079.69628945581</v>
      </c>
      <c r="W26" s="36">
        <v>527109.6231844126</v>
      </c>
      <c r="X26" s="36">
        <v>537139.55007936945</v>
      </c>
      <c r="Y26" s="36">
        <v>547169.47697432607</v>
      </c>
      <c r="Z26" s="36">
        <v>635301.47055518301</v>
      </c>
      <c r="AA26" s="36">
        <v>723433.46413604007</v>
      </c>
      <c r="AB26" s="36">
        <v>811565.45771689666</v>
      </c>
      <c r="AC26" s="36">
        <v>899697.45129775384</v>
      </c>
      <c r="AD26" s="36">
        <v>987829.44487861067</v>
      </c>
      <c r="AE26" s="36">
        <v>1075961.4384594674</v>
      </c>
      <c r="AF26" s="36">
        <v>1164093.4320403247</v>
      </c>
      <c r="AG26" s="36">
        <v>1252225.4256211813</v>
      </c>
      <c r="AH26" s="36">
        <v>1340357.4192020381</v>
      </c>
      <c r="AI26" s="36">
        <v>1428489.4127828949</v>
      </c>
      <c r="AJ26" s="36">
        <v>1516621.4063637517</v>
      </c>
      <c r="AK26" s="36">
        <v>1604753.399944609</v>
      </c>
      <c r="AL26" s="36">
        <v>1692885.3935254661</v>
      </c>
      <c r="AM26" s="36">
        <v>1781017.3871063229</v>
      </c>
      <c r="AN26" s="36">
        <v>1869149.3806871795</v>
      </c>
      <c r="AO26" s="36">
        <v>1957281.3742680361</v>
      </c>
      <c r="AP26" s="36">
        <v>2045413.3678488936</v>
      </c>
      <c r="AQ26" s="36">
        <v>2133545.36142975</v>
      </c>
      <c r="AR26" s="36">
        <v>2221677.3550106068</v>
      </c>
      <c r="AS26" s="36">
        <v>2309809.3485914646</v>
      </c>
      <c r="AT26" s="36">
        <v>2397941.3421723214</v>
      </c>
      <c r="AU26" s="36">
        <v>2486073.3357531773</v>
      </c>
      <c r="AV26" s="36">
        <v>2574205.3293340346</v>
      </c>
      <c r="AW26" s="36">
        <v>2662337.3229148923</v>
      </c>
      <c r="AX26" s="36">
        <v>2750469.3164957487</v>
      </c>
    </row>
    <row r="27" spans="4:50">
      <c r="D27" t="s">
        <v>660</v>
      </c>
      <c r="E27" t="s">
        <v>646</v>
      </c>
      <c r="G27" s="44"/>
      <c r="I27" s="44"/>
      <c r="K27" s="44"/>
      <c r="M27" s="44"/>
      <c r="O27" s="36">
        <v>241964.53204252507</v>
      </c>
      <c r="P27" s="36">
        <v>247283.11864122824</v>
      </c>
      <c r="Q27" s="36">
        <v>252601.70523993138</v>
      </c>
      <c r="R27" s="36">
        <v>257920.29183863453</v>
      </c>
      <c r="S27" s="36">
        <v>263238.87843733764</v>
      </c>
      <c r="T27" s="36">
        <v>268557.46503604081</v>
      </c>
      <c r="U27" s="36">
        <v>273876.05163474398</v>
      </c>
      <c r="V27" s="36">
        <v>279194.63823344716</v>
      </c>
      <c r="W27" s="36">
        <v>284513.22483215021</v>
      </c>
      <c r="X27" s="36">
        <v>289831.81143085338</v>
      </c>
      <c r="Y27" s="36">
        <v>295150.39802955661</v>
      </c>
      <c r="Z27" s="36">
        <v>342952.6878079818</v>
      </c>
      <c r="AA27" s="36">
        <v>390754.97758640704</v>
      </c>
      <c r="AB27" s="36">
        <v>438557.26736483234</v>
      </c>
      <c r="AC27" s="36">
        <v>486359.55714325735</v>
      </c>
      <c r="AD27" s="36">
        <v>534161.84692168259</v>
      </c>
      <c r="AE27" s="36">
        <v>581964.13670010795</v>
      </c>
      <c r="AF27" s="36">
        <v>629766.42647853319</v>
      </c>
      <c r="AG27" s="36">
        <v>677568.71625695797</v>
      </c>
      <c r="AH27" s="36">
        <v>725371.00603538344</v>
      </c>
      <c r="AI27" s="36">
        <v>773173.29581380857</v>
      </c>
      <c r="AJ27" s="36">
        <v>820975.58559223393</v>
      </c>
      <c r="AK27" s="36">
        <v>868777.87537065905</v>
      </c>
      <c r="AL27" s="36">
        <v>916580.16514908429</v>
      </c>
      <c r="AM27" s="36">
        <v>964382.45492750953</v>
      </c>
      <c r="AN27" s="36">
        <v>1012184.7447059348</v>
      </c>
      <c r="AO27" s="36">
        <v>1059987.0344843599</v>
      </c>
      <c r="AP27" s="36">
        <v>1107789.324262785</v>
      </c>
      <c r="AQ27" s="36">
        <v>1155591.6140412104</v>
      </c>
      <c r="AR27" s="36">
        <v>1203393.9038196355</v>
      </c>
      <c r="AS27" s="36">
        <v>1251196.1935980611</v>
      </c>
      <c r="AT27" s="36">
        <v>1298998.4833764862</v>
      </c>
      <c r="AU27" s="36">
        <v>1346800.7731549111</v>
      </c>
      <c r="AV27" s="36">
        <v>1394603.0629333365</v>
      </c>
      <c r="AW27" s="36">
        <v>1442405.3527117616</v>
      </c>
      <c r="AX27" s="36">
        <v>1490207.642490187</v>
      </c>
    </row>
    <row r="28" spans="4:50">
      <c r="D28" t="s">
        <v>661</v>
      </c>
      <c r="E28" t="s">
        <v>648</v>
      </c>
      <c r="G28" s="44"/>
      <c r="I28" s="44"/>
      <c r="K28" s="44"/>
      <c r="M28" s="44"/>
      <c r="O28" s="36">
        <v>1051510.0775631624</v>
      </c>
      <c r="P28" s="36">
        <v>1071849.8490806965</v>
      </c>
      <c r="Q28" s="36">
        <v>1092189.6205982303</v>
      </c>
      <c r="R28" s="36">
        <v>1112529.3921157643</v>
      </c>
      <c r="S28" s="36">
        <v>1132869.1636332984</v>
      </c>
      <c r="T28" s="36">
        <v>1153208.9351508324</v>
      </c>
      <c r="U28" s="36">
        <v>1173548.706668366</v>
      </c>
      <c r="V28" s="36">
        <v>1193888.4781859</v>
      </c>
      <c r="W28" s="36">
        <v>1214228.2497034338</v>
      </c>
      <c r="X28" s="36">
        <v>1234568.0212209679</v>
      </c>
      <c r="Y28" s="36">
        <v>1254907.7927385017</v>
      </c>
      <c r="Z28" s="36">
        <v>1462475.1474132221</v>
      </c>
      <c r="AA28" s="36">
        <v>1670042.5020879428</v>
      </c>
      <c r="AB28" s="36">
        <v>1877609.8567626635</v>
      </c>
      <c r="AC28" s="36">
        <v>2085177.2114373837</v>
      </c>
      <c r="AD28" s="36">
        <v>2292744.5661121043</v>
      </c>
      <c r="AE28" s="36">
        <v>2500311.9207868259</v>
      </c>
      <c r="AF28" s="36">
        <v>2707879.2754615452</v>
      </c>
      <c r="AG28" s="36">
        <v>2915446.6301362664</v>
      </c>
      <c r="AH28" s="36">
        <v>3123013.9848109866</v>
      </c>
      <c r="AI28" s="36">
        <v>3330581.3394857072</v>
      </c>
      <c r="AJ28" s="36">
        <v>3538148.6941604279</v>
      </c>
      <c r="AK28" s="36">
        <v>3745716.0488351481</v>
      </c>
      <c r="AL28" s="36">
        <v>3953283.4035098692</v>
      </c>
      <c r="AM28" s="36">
        <v>4160850.7581845894</v>
      </c>
      <c r="AN28" s="36">
        <v>4368418.1128593097</v>
      </c>
      <c r="AO28" s="36">
        <v>4575985.4675340308</v>
      </c>
      <c r="AP28" s="36">
        <v>4783552.822208751</v>
      </c>
      <c r="AQ28" s="36">
        <v>4991120.1768834712</v>
      </c>
      <c r="AR28" s="36">
        <v>5198687.5315581914</v>
      </c>
      <c r="AS28" s="36">
        <v>5406254.8862329116</v>
      </c>
      <c r="AT28" s="36">
        <v>5613822.2409076318</v>
      </c>
      <c r="AU28" s="36">
        <v>5821389.595582352</v>
      </c>
      <c r="AV28" s="36">
        <v>6028956.9502570741</v>
      </c>
      <c r="AW28" s="36">
        <v>6236524.3049317934</v>
      </c>
      <c r="AX28" s="36">
        <v>6444091.6596065145</v>
      </c>
    </row>
    <row r="29" spans="4:50">
      <c r="D29" t="s">
        <v>660</v>
      </c>
      <c r="E29" t="s">
        <v>649</v>
      </c>
      <c r="G29" s="44"/>
      <c r="I29" s="44"/>
      <c r="K29" s="44"/>
      <c r="M29" s="44"/>
      <c r="O29" s="36">
        <v>1047204.3958762118</v>
      </c>
      <c r="P29" s="36">
        <v>1069371.4774403276</v>
      </c>
      <c r="Q29" s="36">
        <v>1091538.5590044435</v>
      </c>
      <c r="R29" s="36">
        <v>1113705.6405685593</v>
      </c>
      <c r="S29" s="36">
        <v>1135872.7221326751</v>
      </c>
      <c r="T29" s="36">
        <v>1158039.8036967914</v>
      </c>
      <c r="U29" s="36">
        <v>1180206.8852609075</v>
      </c>
      <c r="V29" s="36">
        <v>1202373.9668250233</v>
      </c>
      <c r="W29" s="36">
        <v>1224541.0483891394</v>
      </c>
      <c r="X29" s="36">
        <v>1246708.1299532547</v>
      </c>
      <c r="Y29" s="36">
        <v>1268875.2115173708</v>
      </c>
      <c r="Z29" s="36">
        <v>1475842.971810123</v>
      </c>
      <c r="AA29" s="36">
        <v>1682810.7321028758</v>
      </c>
      <c r="AB29" s="36">
        <v>1889778.4923956273</v>
      </c>
      <c r="AC29" s="36">
        <v>2096746.25268838</v>
      </c>
      <c r="AD29" s="36">
        <v>2303714.0129811326</v>
      </c>
      <c r="AE29" s="36">
        <v>2510681.7732738848</v>
      </c>
      <c r="AF29" s="36">
        <v>2717649.5335666365</v>
      </c>
      <c r="AG29" s="36">
        <v>2924617.2938593891</v>
      </c>
      <c r="AH29" s="36">
        <v>3131585.0541521413</v>
      </c>
      <c r="AI29" s="36">
        <v>3338552.814444894</v>
      </c>
      <c r="AJ29" s="36">
        <v>3545520.5747376457</v>
      </c>
      <c r="AK29" s="36">
        <v>3752488.3350303988</v>
      </c>
      <c r="AL29" s="36">
        <v>3959456.0953231505</v>
      </c>
      <c r="AM29" s="36">
        <v>4166423.8556159027</v>
      </c>
      <c r="AN29" s="36">
        <v>4373391.6159086544</v>
      </c>
      <c r="AO29" s="36">
        <v>4580359.3762014071</v>
      </c>
      <c r="AP29" s="36">
        <v>4787327.1364941588</v>
      </c>
      <c r="AQ29" s="36">
        <v>4994294.8967869105</v>
      </c>
      <c r="AR29" s="36">
        <v>5201262.6570796631</v>
      </c>
      <c r="AS29" s="36">
        <v>5408230.4173724167</v>
      </c>
      <c r="AT29" s="36">
        <v>5615198.1776651675</v>
      </c>
      <c r="AU29" s="36">
        <v>5822165.9379579192</v>
      </c>
      <c r="AV29" s="36">
        <v>6029133.6982506746</v>
      </c>
      <c r="AW29" s="36">
        <v>6236101.4585434254</v>
      </c>
      <c r="AX29" s="36">
        <v>6443069.218836179</v>
      </c>
    </row>
    <row r="30" spans="4:50">
      <c r="D30" t="s">
        <v>660</v>
      </c>
      <c r="E30" t="s">
        <v>650</v>
      </c>
      <c r="G30" s="44"/>
      <c r="I30" s="44"/>
      <c r="K30" s="44"/>
      <c r="M30" s="44"/>
      <c r="O30" s="36">
        <v>1373498.2261270678</v>
      </c>
      <c r="P30" s="36">
        <v>1402729.7431790254</v>
      </c>
      <c r="Q30" s="36">
        <v>1431961.2602309831</v>
      </c>
      <c r="R30" s="36">
        <v>1461192.7772829407</v>
      </c>
      <c r="S30" s="36">
        <v>1490424.2943348982</v>
      </c>
      <c r="T30" s="36">
        <v>1519655.8113868558</v>
      </c>
      <c r="U30" s="36">
        <v>1548887.3284388138</v>
      </c>
      <c r="V30" s="36">
        <v>1578118.8454907709</v>
      </c>
      <c r="W30" s="36">
        <v>1607350.3625427287</v>
      </c>
      <c r="X30" s="36">
        <v>1636581.8795946862</v>
      </c>
      <c r="Y30" s="36">
        <v>1665813.3966466442</v>
      </c>
      <c r="Z30" s="36">
        <v>1937390.5859908615</v>
      </c>
      <c r="AA30" s="36">
        <v>2208967.7753350781</v>
      </c>
      <c r="AB30" s="36">
        <v>2480544.9646792961</v>
      </c>
      <c r="AC30" s="36">
        <v>2752122.1540235141</v>
      </c>
      <c r="AD30" s="36">
        <v>3023699.3433677312</v>
      </c>
      <c r="AE30" s="36">
        <v>3295276.5327119478</v>
      </c>
      <c r="AF30" s="36">
        <v>3566853.7220561644</v>
      </c>
      <c r="AG30" s="36">
        <v>3838430.9114003824</v>
      </c>
      <c r="AH30" s="36">
        <v>4110008.1007446013</v>
      </c>
      <c r="AI30" s="36">
        <v>4381585.2900888175</v>
      </c>
      <c r="AJ30" s="36">
        <v>4653162.4794330336</v>
      </c>
      <c r="AK30" s="36">
        <v>4924739.6687772516</v>
      </c>
      <c r="AL30" s="36">
        <v>5196316.8581214687</v>
      </c>
      <c r="AM30" s="36">
        <v>5467894.0474656876</v>
      </c>
      <c r="AN30" s="36">
        <v>5739471.2368099038</v>
      </c>
      <c r="AO30" s="36">
        <v>6011048.426154119</v>
      </c>
      <c r="AP30" s="36">
        <v>6282625.6154983388</v>
      </c>
      <c r="AQ30" s="36">
        <v>6554202.804842555</v>
      </c>
      <c r="AR30" s="36">
        <v>6825779.994186773</v>
      </c>
      <c r="AS30" s="36">
        <v>7097357.1835309891</v>
      </c>
      <c r="AT30" s="36">
        <v>7368934.372875208</v>
      </c>
      <c r="AU30" s="36">
        <v>7640511.562219426</v>
      </c>
      <c r="AV30" s="36">
        <v>7912088.7515636403</v>
      </c>
      <c r="AW30" s="36">
        <v>8183665.9409078574</v>
      </c>
      <c r="AX30" s="36">
        <v>8455243.1302520763</v>
      </c>
    </row>
    <row r="31" spans="4:50">
      <c r="D31" t="s">
        <v>661</v>
      </c>
      <c r="E31" t="s">
        <v>651</v>
      </c>
      <c r="G31" s="44"/>
      <c r="I31" s="44"/>
      <c r="K31" s="44"/>
      <c r="M31" s="44"/>
      <c r="O31" s="36">
        <v>1305785.2188927613</v>
      </c>
      <c r="P31" s="36">
        <v>1330734.2571273681</v>
      </c>
      <c r="Q31" s="36">
        <v>1355683.2953619747</v>
      </c>
      <c r="R31" s="36">
        <v>1380632.3335965811</v>
      </c>
      <c r="S31" s="36">
        <v>1405581.371831188</v>
      </c>
      <c r="T31" s="36">
        <v>1430530.4100657941</v>
      </c>
      <c r="U31" s="36">
        <v>1455479.448300401</v>
      </c>
      <c r="V31" s="36">
        <v>1480428.4865350071</v>
      </c>
      <c r="W31" s="36">
        <v>1505377.5247696135</v>
      </c>
      <c r="X31" s="36">
        <v>1530326.5630042199</v>
      </c>
      <c r="Y31" s="36">
        <v>1555275.6012388272</v>
      </c>
      <c r="Z31" s="36">
        <v>1811846.8682727357</v>
      </c>
      <c r="AA31" s="36">
        <v>2068418.1353066445</v>
      </c>
      <c r="AB31" s="36">
        <v>2324989.4023405523</v>
      </c>
      <c r="AC31" s="36">
        <v>2581560.6693744622</v>
      </c>
      <c r="AD31" s="36">
        <v>2838131.9364083693</v>
      </c>
      <c r="AE31" s="36">
        <v>3094703.2034422792</v>
      </c>
      <c r="AF31" s="36">
        <v>3351274.4704761868</v>
      </c>
      <c r="AG31" s="36">
        <v>3607845.7375100963</v>
      </c>
      <c r="AH31" s="36">
        <v>3864417.0045440048</v>
      </c>
      <c r="AI31" s="36">
        <v>4120988.2715779142</v>
      </c>
      <c r="AJ31" s="36">
        <v>4377559.5386118218</v>
      </c>
      <c r="AK31" s="36">
        <v>4634130.8056457294</v>
      </c>
      <c r="AL31" s="36">
        <v>4890702.0726796389</v>
      </c>
      <c r="AM31" s="36">
        <v>5147273.3397135474</v>
      </c>
      <c r="AN31" s="36">
        <v>5403844.6067474578</v>
      </c>
      <c r="AO31" s="36">
        <v>5660415.8737813653</v>
      </c>
      <c r="AP31" s="36">
        <v>5916987.1408152739</v>
      </c>
      <c r="AQ31" s="36">
        <v>6173558.4078491824</v>
      </c>
      <c r="AR31" s="36">
        <v>6430129.6748830937</v>
      </c>
      <c r="AS31" s="36">
        <v>6686700.9419169985</v>
      </c>
      <c r="AT31" s="36">
        <v>6943272.2089509098</v>
      </c>
      <c r="AU31" s="36">
        <v>7199843.4759848164</v>
      </c>
      <c r="AV31" s="36">
        <v>7456414.7430187259</v>
      </c>
      <c r="AW31" s="36">
        <v>7712986.0100526325</v>
      </c>
      <c r="AX31" s="36">
        <v>7969557.277086542</v>
      </c>
    </row>
    <row r="32" spans="4:50">
      <c r="D32" t="s">
        <v>661</v>
      </c>
      <c r="E32" t="s">
        <v>652</v>
      </c>
      <c r="G32" s="44"/>
      <c r="I32" s="44"/>
      <c r="K32" s="44"/>
      <c r="M32" s="44"/>
      <c r="O32" s="36">
        <v>1309551.8840455625</v>
      </c>
      <c r="P32" s="36">
        <v>1337123.4446556645</v>
      </c>
      <c r="Q32" s="36">
        <v>1364695.0052657661</v>
      </c>
      <c r="R32" s="36">
        <v>1392266.5658758676</v>
      </c>
      <c r="S32" s="36">
        <v>1419838.1264859694</v>
      </c>
      <c r="T32" s="36">
        <v>1447409.6870960712</v>
      </c>
      <c r="U32" s="36">
        <v>1474981.247706173</v>
      </c>
      <c r="V32" s="36">
        <v>1502552.8083162745</v>
      </c>
      <c r="W32" s="36">
        <v>1530124.3689263761</v>
      </c>
      <c r="X32" s="36">
        <v>1557695.9295364781</v>
      </c>
      <c r="Y32" s="36">
        <v>1585267.4901465797</v>
      </c>
      <c r="Z32" s="36">
        <v>1842361.395673672</v>
      </c>
      <c r="AA32" s="36">
        <v>2099455.3012007647</v>
      </c>
      <c r="AB32" s="36">
        <v>2356549.2067278577</v>
      </c>
      <c r="AC32" s="36">
        <v>2613643.1122549498</v>
      </c>
      <c r="AD32" s="36">
        <v>2870737.0177820427</v>
      </c>
      <c r="AE32" s="36">
        <v>3127830.9233091357</v>
      </c>
      <c r="AF32" s="36">
        <v>3384924.8288362268</v>
      </c>
      <c r="AG32" s="36">
        <v>3642018.7343633207</v>
      </c>
      <c r="AH32" s="36">
        <v>3899112.6398904123</v>
      </c>
      <c r="AI32" s="36">
        <v>4156206.5454175058</v>
      </c>
      <c r="AJ32" s="36">
        <v>4413300.4509445988</v>
      </c>
      <c r="AK32" s="36">
        <v>4670394.3564716903</v>
      </c>
      <c r="AL32" s="36">
        <v>4927488.2619987829</v>
      </c>
      <c r="AM32" s="36">
        <v>5184582.1675258754</v>
      </c>
      <c r="AN32" s="36">
        <v>5441676.0730529679</v>
      </c>
      <c r="AO32" s="36">
        <v>5698769.9785800604</v>
      </c>
      <c r="AP32" s="36">
        <v>5955863.884107152</v>
      </c>
      <c r="AQ32" s="36">
        <v>6212957.7896342454</v>
      </c>
      <c r="AR32" s="36">
        <v>6470051.695161338</v>
      </c>
      <c r="AS32" s="36">
        <v>6727145.6006884323</v>
      </c>
      <c r="AT32" s="36">
        <v>6984239.506215523</v>
      </c>
      <c r="AU32" s="36">
        <v>7241333.4117426146</v>
      </c>
      <c r="AV32" s="36">
        <v>7498427.3172697071</v>
      </c>
      <c r="AW32" s="36">
        <v>7755521.2227968024</v>
      </c>
      <c r="AX32" s="36">
        <v>8012615.1283238931</v>
      </c>
    </row>
    <row r="33" spans="3:50">
      <c r="D33" t="s">
        <v>661</v>
      </c>
      <c r="E33" t="s">
        <v>653</v>
      </c>
      <c r="G33" s="44"/>
      <c r="I33" s="44"/>
      <c r="K33" s="44"/>
      <c r="M33" s="44"/>
      <c r="O33" s="36">
        <v>2044278.5721381977</v>
      </c>
      <c r="P33" s="36">
        <v>2083271.119506618</v>
      </c>
      <c r="Q33" s="36">
        <v>2122263.6668750374</v>
      </c>
      <c r="R33" s="36">
        <v>2161256.2142434572</v>
      </c>
      <c r="S33" s="36">
        <v>2200248.761611877</v>
      </c>
      <c r="T33" s="36">
        <v>2239241.3089802968</v>
      </c>
      <c r="U33" s="36">
        <v>2278233.8563487162</v>
      </c>
      <c r="V33" s="36">
        <v>2317226.4037171369</v>
      </c>
      <c r="W33" s="36">
        <v>2356218.9510855563</v>
      </c>
      <c r="X33" s="36">
        <v>2395211.4984539761</v>
      </c>
      <c r="Y33" s="36">
        <v>2434204.0458223964</v>
      </c>
      <c r="Z33" s="36">
        <v>2832484.658797272</v>
      </c>
      <c r="AA33" s="36">
        <v>3230765.2717721486</v>
      </c>
      <c r="AB33" s="36">
        <v>3629045.8847470251</v>
      </c>
      <c r="AC33" s="36">
        <v>4027326.4977219021</v>
      </c>
      <c r="AD33" s="36">
        <v>4425607.1106967786</v>
      </c>
      <c r="AE33" s="36">
        <v>4823887.7236716552</v>
      </c>
      <c r="AF33" s="36">
        <v>5222168.3366465317</v>
      </c>
      <c r="AG33" s="36">
        <v>5620448.9496214101</v>
      </c>
      <c r="AH33" s="36">
        <v>6018729.5625962866</v>
      </c>
      <c r="AI33" s="36">
        <v>6417010.1755711595</v>
      </c>
      <c r="AJ33" s="36">
        <v>6815290.7885460388</v>
      </c>
      <c r="AK33" s="36">
        <v>7213571.4015209153</v>
      </c>
      <c r="AL33" s="36">
        <v>7611852.0144957919</v>
      </c>
      <c r="AM33" s="36">
        <v>8010132.6274706684</v>
      </c>
      <c r="AN33" s="36">
        <v>8408413.2404455449</v>
      </c>
      <c r="AO33" s="36">
        <v>8806693.8534204215</v>
      </c>
      <c r="AP33" s="36">
        <v>9204974.466395298</v>
      </c>
      <c r="AQ33" s="36">
        <v>9603255.0793701727</v>
      </c>
      <c r="AR33" s="36">
        <v>10001535.692345055</v>
      </c>
      <c r="AS33" s="36">
        <v>10399816.305319929</v>
      </c>
      <c r="AT33" s="36">
        <v>10798096.918294804</v>
      </c>
      <c r="AU33" s="36">
        <v>11196377.531269683</v>
      </c>
      <c r="AV33" s="36">
        <v>11594658.144244557</v>
      </c>
      <c r="AW33" s="36">
        <v>11992938.757219434</v>
      </c>
      <c r="AX33" s="36">
        <v>12391219.370194308</v>
      </c>
    </row>
    <row r="34" spans="3:50">
      <c r="D34" t="s">
        <v>661</v>
      </c>
      <c r="E34" t="s">
        <v>654</v>
      </c>
      <c r="G34" s="44"/>
      <c r="I34" s="44"/>
      <c r="K34" s="44"/>
      <c r="M34" s="44"/>
      <c r="O34" s="36">
        <v>1165035.3618758831</v>
      </c>
      <c r="P34" s="36">
        <v>1187371.3862060758</v>
      </c>
      <c r="Q34" s="36">
        <v>1209707.410536268</v>
      </c>
      <c r="R34" s="36">
        <v>1232043.4348664607</v>
      </c>
      <c r="S34" s="36">
        <v>1254379.4591966537</v>
      </c>
      <c r="T34" s="36">
        <v>1276715.4835268457</v>
      </c>
      <c r="U34" s="36">
        <v>1299051.5078570386</v>
      </c>
      <c r="V34" s="36">
        <v>1321387.5321872314</v>
      </c>
      <c r="W34" s="36">
        <v>1343723.5565174238</v>
      </c>
      <c r="X34" s="36">
        <v>1366059.5808476163</v>
      </c>
      <c r="Y34" s="36">
        <v>1388395.605177809</v>
      </c>
      <c r="Z34" s="36">
        <v>1617955.4468134681</v>
      </c>
      <c r="AA34" s="36">
        <v>1847515.2884491279</v>
      </c>
      <c r="AB34" s="36">
        <v>2077075.1300847875</v>
      </c>
      <c r="AC34" s="36">
        <v>2306634.9717204459</v>
      </c>
      <c r="AD34" s="36">
        <v>2536194.8133561057</v>
      </c>
      <c r="AE34" s="36">
        <v>2765754.6549917646</v>
      </c>
      <c r="AF34" s="36">
        <v>2995314.4966274239</v>
      </c>
      <c r="AG34" s="36">
        <v>3224874.3382630837</v>
      </c>
      <c r="AH34" s="36">
        <v>3454434.1798987426</v>
      </c>
      <c r="AI34" s="36">
        <v>3683994.0215344024</v>
      </c>
      <c r="AJ34" s="36">
        <v>3913553.8631700613</v>
      </c>
      <c r="AK34" s="36">
        <v>4143113.7048057206</v>
      </c>
      <c r="AL34" s="36">
        <v>4372673.5464413809</v>
      </c>
      <c r="AM34" s="36">
        <v>4602233.3880770383</v>
      </c>
      <c r="AN34" s="36">
        <v>4831793.2297126986</v>
      </c>
      <c r="AO34" s="36">
        <v>5061353.0713483579</v>
      </c>
      <c r="AP34" s="36">
        <v>5290912.9129840182</v>
      </c>
      <c r="AQ34" s="36">
        <v>5520472.7546196766</v>
      </c>
      <c r="AR34" s="36">
        <v>5750032.5962553369</v>
      </c>
      <c r="AS34" s="36">
        <v>5979592.4378909953</v>
      </c>
      <c r="AT34" s="36">
        <v>6209152.2795266546</v>
      </c>
      <c r="AU34" s="36">
        <v>6438712.121162314</v>
      </c>
      <c r="AV34" s="36">
        <v>6668271.9627979752</v>
      </c>
      <c r="AW34" s="36">
        <v>6897831.8044336345</v>
      </c>
      <c r="AX34" s="36">
        <v>7127391.6460692929</v>
      </c>
    </row>
    <row r="35" spans="3:50">
      <c r="D35" t="s">
        <v>660</v>
      </c>
      <c r="E35" t="s">
        <v>655</v>
      </c>
      <c r="G35" s="44"/>
      <c r="I35" s="44"/>
      <c r="K35" s="44"/>
      <c r="M35" s="44"/>
      <c r="O35" s="36">
        <v>984021.7558922451</v>
      </c>
      <c r="P35" s="36">
        <v>1006281.5292611914</v>
      </c>
      <c r="Q35" s="36">
        <v>1028541.3026301374</v>
      </c>
      <c r="R35" s="36">
        <v>1050801.0759990839</v>
      </c>
      <c r="S35" s="36">
        <v>1073060.8493680302</v>
      </c>
      <c r="T35" s="36">
        <v>1095320.6227369765</v>
      </c>
      <c r="U35" s="36">
        <v>1117580.396105923</v>
      </c>
      <c r="V35" s="36">
        <v>1139840.1694748693</v>
      </c>
      <c r="W35" s="36">
        <v>1162099.9428438155</v>
      </c>
      <c r="X35" s="36">
        <v>1184359.7162127616</v>
      </c>
      <c r="Y35" s="36">
        <v>1206619.4895817081</v>
      </c>
      <c r="Z35" s="36">
        <v>1399276.4807614877</v>
      </c>
      <c r="AA35" s="36">
        <v>1591933.4719412674</v>
      </c>
      <c r="AB35" s="36">
        <v>1784590.4631210475</v>
      </c>
      <c r="AC35" s="36">
        <v>1977247.4543008273</v>
      </c>
      <c r="AD35" s="36">
        <v>2169904.445480607</v>
      </c>
      <c r="AE35" s="36">
        <v>2362561.4366603866</v>
      </c>
      <c r="AF35" s="36">
        <v>2555218.4278401658</v>
      </c>
      <c r="AG35" s="36">
        <v>2747875.4190199459</v>
      </c>
      <c r="AH35" s="36">
        <v>2940532.4101997251</v>
      </c>
      <c r="AI35" s="36">
        <v>3133189.4013795061</v>
      </c>
      <c r="AJ35" s="36">
        <v>3325846.3925592848</v>
      </c>
      <c r="AK35" s="36">
        <v>3518503.3837390649</v>
      </c>
      <c r="AL35" s="36">
        <v>3711160.3749188446</v>
      </c>
      <c r="AM35" s="36">
        <v>3903817.3660986251</v>
      </c>
      <c r="AN35" s="36">
        <v>4096474.3572784043</v>
      </c>
      <c r="AO35" s="36">
        <v>4289131.3484581839</v>
      </c>
      <c r="AP35" s="36">
        <v>4481788.339637964</v>
      </c>
      <c r="AQ35" s="36">
        <v>4674445.3308177441</v>
      </c>
      <c r="AR35" s="36">
        <v>4867102.3219975233</v>
      </c>
      <c r="AS35" s="36">
        <v>5059759.3131773034</v>
      </c>
      <c r="AT35" s="36">
        <v>5252416.3043570817</v>
      </c>
      <c r="AU35" s="36">
        <v>5445073.2955368636</v>
      </c>
      <c r="AV35" s="36">
        <v>5637730.2867166428</v>
      </c>
      <c r="AW35" s="36">
        <v>5830387.2778964229</v>
      </c>
      <c r="AX35" s="36">
        <v>6023044.2690762021</v>
      </c>
    </row>
    <row r="36" spans="3:50">
      <c r="D36" t="s">
        <v>661</v>
      </c>
      <c r="E36" t="s">
        <v>656</v>
      </c>
      <c r="G36" s="44"/>
      <c r="I36" s="44"/>
      <c r="K36" s="44"/>
      <c r="M36" s="44"/>
      <c r="O36" s="36">
        <v>1368577.2291641422</v>
      </c>
      <c r="P36" s="36">
        <v>1395621.1424770837</v>
      </c>
      <c r="Q36" s="36">
        <v>1422665.0557900248</v>
      </c>
      <c r="R36" s="36">
        <v>1449708.9691029664</v>
      </c>
      <c r="S36" s="36">
        <v>1476752.8824159079</v>
      </c>
      <c r="T36" s="36">
        <v>1503796.7957288495</v>
      </c>
      <c r="U36" s="36">
        <v>1530840.7090417906</v>
      </c>
      <c r="V36" s="36">
        <v>1557884.6223547321</v>
      </c>
      <c r="W36" s="36">
        <v>1584928.5356676732</v>
      </c>
      <c r="X36" s="36">
        <v>1611972.4489806145</v>
      </c>
      <c r="Y36" s="36">
        <v>1639016.3622935559</v>
      </c>
      <c r="Z36" s="36">
        <v>1909053.8760090598</v>
      </c>
      <c r="AA36" s="36">
        <v>2179091.3897245638</v>
      </c>
      <c r="AB36" s="36">
        <v>2449128.9034400675</v>
      </c>
      <c r="AC36" s="36">
        <v>2719166.4171555713</v>
      </c>
      <c r="AD36" s="36">
        <v>2989203.9308710755</v>
      </c>
      <c r="AE36" s="36">
        <v>3259241.4445865788</v>
      </c>
      <c r="AF36" s="36">
        <v>3529278.9583020825</v>
      </c>
      <c r="AG36" s="36">
        <v>3799316.4720175867</v>
      </c>
      <c r="AH36" s="36">
        <v>4069353.98573309</v>
      </c>
      <c r="AI36" s="36">
        <v>4339391.4994485937</v>
      </c>
      <c r="AJ36" s="36">
        <v>4609429.0131640974</v>
      </c>
      <c r="AK36" s="36">
        <v>4879466.5268796021</v>
      </c>
      <c r="AL36" s="36">
        <v>5149504.0405951058</v>
      </c>
      <c r="AM36" s="36">
        <v>5419541.5543106087</v>
      </c>
      <c r="AN36" s="36">
        <v>5689579.0680261133</v>
      </c>
      <c r="AO36" s="36">
        <v>5959616.5817416161</v>
      </c>
      <c r="AP36" s="36">
        <v>6229654.0954571199</v>
      </c>
      <c r="AQ36" s="36">
        <v>6499691.6091726236</v>
      </c>
      <c r="AR36" s="36">
        <v>6769729.1228881283</v>
      </c>
      <c r="AS36" s="36">
        <v>7039766.6366036311</v>
      </c>
      <c r="AT36" s="36">
        <v>7309804.1503191339</v>
      </c>
      <c r="AU36" s="36">
        <v>7579841.6640346367</v>
      </c>
      <c r="AV36" s="36">
        <v>7849879.1777501432</v>
      </c>
      <c r="AW36" s="36">
        <v>8119916.691465646</v>
      </c>
      <c r="AX36" s="36">
        <v>8389954.2051811498</v>
      </c>
    </row>
    <row r="37" spans="3:50">
      <c r="D37" t="s">
        <v>660</v>
      </c>
      <c r="E37" t="s">
        <v>657</v>
      </c>
      <c r="G37" s="44"/>
      <c r="I37" s="44"/>
      <c r="K37" s="44"/>
      <c r="M37" s="44"/>
      <c r="O37" s="36">
        <v>521253.42985207221</v>
      </c>
      <c r="P37" s="36">
        <v>537380.31255000166</v>
      </c>
      <c r="Q37" s="36">
        <v>553507.19524793094</v>
      </c>
      <c r="R37" s="36">
        <v>569634.07794586057</v>
      </c>
      <c r="S37" s="36">
        <v>585760.96064378985</v>
      </c>
      <c r="T37" s="36">
        <v>601887.84334171913</v>
      </c>
      <c r="U37" s="36">
        <v>618014.72603964887</v>
      </c>
      <c r="V37" s="36">
        <v>634141.60873757803</v>
      </c>
      <c r="W37" s="36">
        <v>650268.49143550743</v>
      </c>
      <c r="X37" s="36">
        <v>666395.37413343694</v>
      </c>
      <c r="Y37" s="36">
        <v>682522.25683136634</v>
      </c>
      <c r="Z37" s="36">
        <v>785153.97832525661</v>
      </c>
      <c r="AA37" s="36">
        <v>887785.69981914677</v>
      </c>
      <c r="AB37" s="36">
        <v>990417.42131303728</v>
      </c>
      <c r="AC37" s="36">
        <v>1093049.142806927</v>
      </c>
      <c r="AD37" s="36">
        <v>1195680.864300817</v>
      </c>
      <c r="AE37" s="36">
        <v>1298312.5857947071</v>
      </c>
      <c r="AF37" s="36">
        <v>1400944.3072885978</v>
      </c>
      <c r="AG37" s="36">
        <v>1503576.0287824876</v>
      </c>
      <c r="AH37" s="36">
        <v>1606207.7502763779</v>
      </c>
      <c r="AI37" s="36">
        <v>1708839.4717702682</v>
      </c>
      <c r="AJ37" s="36">
        <v>1811471.1932641582</v>
      </c>
      <c r="AK37" s="36">
        <v>1914102.9147580485</v>
      </c>
      <c r="AL37" s="36">
        <v>2016734.636251939</v>
      </c>
      <c r="AM37" s="36">
        <v>2119366.3577458286</v>
      </c>
      <c r="AN37" s="36">
        <v>2221998.0792397191</v>
      </c>
      <c r="AO37" s="36">
        <v>2324629.8007336087</v>
      </c>
      <c r="AP37" s="36">
        <v>2427261.5222274992</v>
      </c>
      <c r="AQ37" s="36">
        <v>2529893.2437213892</v>
      </c>
      <c r="AR37" s="36">
        <v>2632524.9652152802</v>
      </c>
      <c r="AS37" s="36">
        <v>2735156.6867091698</v>
      </c>
      <c r="AT37" s="36">
        <v>2837788.4082030603</v>
      </c>
      <c r="AU37" s="36">
        <v>2940420.1296969512</v>
      </c>
      <c r="AV37" s="36">
        <v>3043051.8511908408</v>
      </c>
      <c r="AW37" s="36">
        <v>3145683.5726847309</v>
      </c>
      <c r="AX37" s="36">
        <v>3248315.2941786204</v>
      </c>
    </row>
    <row r="38" spans="3:50">
      <c r="D38" t="s">
        <v>661</v>
      </c>
      <c r="E38" t="s">
        <v>658</v>
      </c>
      <c r="G38" s="44"/>
      <c r="I38" s="44"/>
      <c r="K38" s="44"/>
      <c r="M38" s="44"/>
      <c r="O38" s="36">
        <v>1326383.2895839426</v>
      </c>
      <c r="P38" s="36">
        <v>1351670.9300878411</v>
      </c>
      <c r="Q38" s="36">
        <v>1376958.5705917401</v>
      </c>
      <c r="R38" s="36">
        <v>1402246.2110956386</v>
      </c>
      <c r="S38" s="36">
        <v>1427533.8515995368</v>
      </c>
      <c r="T38" s="36">
        <v>1452821.4921034353</v>
      </c>
      <c r="U38" s="36">
        <v>1478109.1326073341</v>
      </c>
      <c r="V38" s="36">
        <v>1503396.7731112323</v>
      </c>
      <c r="W38" s="36">
        <v>1528684.4136151313</v>
      </c>
      <c r="X38" s="36">
        <v>1553972.05411903</v>
      </c>
      <c r="Y38" s="36">
        <v>1579259.694622928</v>
      </c>
      <c r="Z38" s="36">
        <v>1839834.0599660391</v>
      </c>
      <c r="AA38" s="36">
        <v>2100408.4253091519</v>
      </c>
      <c r="AB38" s="36">
        <v>2360982.790652263</v>
      </c>
      <c r="AC38" s="36">
        <v>2621557.155995375</v>
      </c>
      <c r="AD38" s="36">
        <v>2882131.5213384866</v>
      </c>
      <c r="AE38" s="36">
        <v>3142705.8866815977</v>
      </c>
      <c r="AF38" s="36">
        <v>3403280.2520247088</v>
      </c>
      <c r="AG38" s="36">
        <v>3663854.6173678208</v>
      </c>
      <c r="AH38" s="36">
        <v>3924428.9827109324</v>
      </c>
      <c r="AI38" s="36">
        <v>4185003.3480540449</v>
      </c>
      <c r="AJ38" s="36">
        <v>4445577.7133971564</v>
      </c>
      <c r="AK38" s="36">
        <v>4706152.078740268</v>
      </c>
      <c r="AL38" s="36">
        <v>4966726.4440833787</v>
      </c>
      <c r="AM38" s="36">
        <v>5227300.8094264902</v>
      </c>
      <c r="AN38" s="36">
        <v>5487875.1747696018</v>
      </c>
      <c r="AO38" s="36">
        <v>5748449.5401127143</v>
      </c>
      <c r="AP38" s="36">
        <v>6009023.9054558268</v>
      </c>
      <c r="AQ38" s="36">
        <v>6269598.2707989374</v>
      </c>
      <c r="AR38" s="36">
        <v>6530172.636142049</v>
      </c>
      <c r="AS38" s="36">
        <v>6790747.0014851596</v>
      </c>
      <c r="AT38" s="36">
        <v>7051321.3668282731</v>
      </c>
      <c r="AU38" s="36">
        <v>7311895.7321713837</v>
      </c>
      <c r="AV38" s="36">
        <v>7572470.0975144953</v>
      </c>
      <c r="AW38" s="36">
        <v>7833044.462857605</v>
      </c>
      <c r="AX38" s="36">
        <v>8093618.8282007193</v>
      </c>
    </row>
    <row r="39" spans="3:50">
      <c r="D39" t="s">
        <v>661</v>
      </c>
      <c r="E39" t="s">
        <v>659</v>
      </c>
      <c r="G39" s="44"/>
      <c r="I39" s="44"/>
      <c r="K39" s="44"/>
      <c r="M39" s="44"/>
      <c r="O39" s="36">
        <v>1149892.8237105426</v>
      </c>
      <c r="P39" s="36">
        <v>1173899.7240907194</v>
      </c>
      <c r="Q39" s="36">
        <v>1197906.6244708954</v>
      </c>
      <c r="R39" s="36">
        <v>1221913.5248510719</v>
      </c>
      <c r="S39" s="36">
        <v>1245920.4252312484</v>
      </c>
      <c r="T39" s="36">
        <v>1269927.3256114246</v>
      </c>
      <c r="U39" s="36">
        <v>1293934.2259916009</v>
      </c>
      <c r="V39" s="36">
        <v>1317941.1263717774</v>
      </c>
      <c r="W39" s="36">
        <v>1341948.0267519541</v>
      </c>
      <c r="X39" s="36">
        <v>1365954.9271321301</v>
      </c>
      <c r="Y39" s="36">
        <v>1389961.8275123069</v>
      </c>
      <c r="Z39" s="36">
        <v>1617072.294611915</v>
      </c>
      <c r="AA39" s="36">
        <v>1844182.7617115232</v>
      </c>
      <c r="AB39" s="36">
        <v>2071293.2288111311</v>
      </c>
      <c r="AC39" s="36">
        <v>2298403.6959107392</v>
      </c>
      <c r="AD39" s="36">
        <v>2525514.1630103481</v>
      </c>
      <c r="AE39" s="36">
        <v>2752624.6301099551</v>
      </c>
      <c r="AF39" s="36">
        <v>2979735.0972095649</v>
      </c>
      <c r="AG39" s="36">
        <v>3206845.5643091719</v>
      </c>
      <c r="AH39" s="36">
        <v>3433956.0314087803</v>
      </c>
      <c r="AI39" s="36">
        <v>3661066.4985083882</v>
      </c>
      <c r="AJ39" s="36">
        <v>3888176.9656079961</v>
      </c>
      <c r="AK39" s="36">
        <v>4115287.4327076036</v>
      </c>
      <c r="AL39" s="36">
        <v>4342397.8998072138</v>
      </c>
      <c r="AM39" s="36">
        <v>4569508.3669068208</v>
      </c>
      <c r="AN39" s="36">
        <v>4796618.8340064287</v>
      </c>
      <c r="AO39" s="36">
        <v>5023729.3011060376</v>
      </c>
      <c r="AP39" s="36">
        <v>5250839.7682056446</v>
      </c>
      <c r="AQ39" s="36">
        <v>5477950.2353052543</v>
      </c>
      <c r="AR39" s="36">
        <v>5705060.7024048613</v>
      </c>
      <c r="AS39" s="36">
        <v>5932171.1695044674</v>
      </c>
      <c r="AT39" s="36">
        <v>6159281.636604079</v>
      </c>
      <c r="AU39" s="36">
        <v>6386392.103703686</v>
      </c>
      <c r="AV39" s="36">
        <v>6613502.5708032921</v>
      </c>
      <c r="AW39" s="36">
        <v>6840613.0379029019</v>
      </c>
      <c r="AX39" s="36">
        <v>7067723.5050025098</v>
      </c>
    </row>
    <row r="40" spans="3:50">
      <c r="D40" t="s">
        <v>660</v>
      </c>
      <c r="E40" t="s">
        <v>633</v>
      </c>
      <c r="G40" s="44"/>
      <c r="I40" s="44"/>
      <c r="K40" s="44"/>
      <c r="M40" s="44"/>
      <c r="O40" s="36">
        <v>375983.85193336487</v>
      </c>
      <c r="P40" s="36">
        <v>383723.1980043567</v>
      </c>
      <c r="Q40" s="36">
        <v>391462.54407534865</v>
      </c>
      <c r="R40" s="36">
        <v>399201.89014634071</v>
      </c>
      <c r="S40" s="36">
        <v>406941.23621733271</v>
      </c>
      <c r="T40" s="36">
        <v>414680.5822883246</v>
      </c>
      <c r="U40" s="36">
        <v>422419.92835931655</v>
      </c>
      <c r="V40" s="36">
        <v>430159.27443030843</v>
      </c>
      <c r="W40" s="36">
        <v>437898.62050130032</v>
      </c>
      <c r="X40" s="36">
        <v>445637.96657229221</v>
      </c>
      <c r="Y40" s="36">
        <v>453377.31264328421</v>
      </c>
      <c r="Z40" s="36">
        <v>526328.2654031131</v>
      </c>
      <c r="AA40" s="36">
        <v>599279.21816294186</v>
      </c>
      <c r="AB40" s="36">
        <v>672230.17092277086</v>
      </c>
      <c r="AC40" s="36">
        <v>745181.12368259975</v>
      </c>
      <c r="AD40" s="36">
        <v>818132.07644242852</v>
      </c>
      <c r="AE40" s="36">
        <v>891083.02920225752</v>
      </c>
      <c r="AF40" s="36">
        <v>964033.98196208628</v>
      </c>
      <c r="AG40" s="36">
        <v>1036984.9347219153</v>
      </c>
      <c r="AH40" s="36">
        <v>1109935.8874817442</v>
      </c>
      <c r="AI40" s="36">
        <v>1182886.8402415733</v>
      </c>
      <c r="AJ40" s="36">
        <v>1255837.7930014019</v>
      </c>
      <c r="AK40" s="36">
        <v>1328788.7457612313</v>
      </c>
      <c r="AL40" s="36">
        <v>1401739.6985210597</v>
      </c>
      <c r="AM40" s="36">
        <v>1474690.6512808891</v>
      </c>
      <c r="AN40" s="36">
        <v>1547641.6040407177</v>
      </c>
      <c r="AO40" s="36">
        <v>1620592.5568005466</v>
      </c>
      <c r="AP40" s="36">
        <v>1693543.5095603755</v>
      </c>
      <c r="AQ40" s="36">
        <v>1766494.4623202044</v>
      </c>
      <c r="AR40" s="36">
        <v>1839445.415080033</v>
      </c>
      <c r="AS40" s="36">
        <v>1912396.3678398626</v>
      </c>
      <c r="AT40" s="36">
        <v>1985347.3205996908</v>
      </c>
      <c r="AU40" s="36">
        <v>2058298.2733595201</v>
      </c>
      <c r="AV40" s="36">
        <v>2131249.2261193488</v>
      </c>
      <c r="AW40" s="36">
        <v>2204200.1788791781</v>
      </c>
      <c r="AX40" s="36">
        <v>2277151.1316390065</v>
      </c>
    </row>
    <row r="41" spans="3:50">
      <c r="E41" t="s">
        <v>660</v>
      </c>
      <c r="G41" s="44"/>
      <c r="I41" s="44"/>
      <c r="K41" s="44"/>
      <c r="M41" s="44"/>
      <c r="O41" s="36">
        <f>SUMIF($D8:$D40,$E41,O8:O40)</f>
        <v>7804331.9236876247</v>
      </c>
      <c r="P41" s="36">
        <f t="shared" ref="P41:AX41" si="0">SUMIF($D8:$D40,$E41,P8:P40)</f>
        <v>7981147.9401504798</v>
      </c>
      <c r="Q41" s="36">
        <f t="shared" si="0"/>
        <v>8157963.9566133348</v>
      </c>
      <c r="R41" s="36">
        <f t="shared" si="0"/>
        <v>8334779.9730761908</v>
      </c>
      <c r="S41" s="36">
        <f t="shared" si="0"/>
        <v>8511595.989539044</v>
      </c>
      <c r="T41" s="36">
        <f t="shared" si="0"/>
        <v>8688412.006001899</v>
      </c>
      <c r="U41" s="36">
        <f t="shared" si="0"/>
        <v>8865228.0224647559</v>
      </c>
      <c r="V41" s="36">
        <f t="shared" si="0"/>
        <v>9042044.0389276091</v>
      </c>
      <c r="W41" s="36">
        <f t="shared" si="0"/>
        <v>9218860.055390466</v>
      </c>
      <c r="X41" s="36">
        <f t="shared" si="0"/>
        <v>9395676.071853321</v>
      </c>
      <c r="Y41" s="36">
        <f t="shared" si="0"/>
        <v>9572492.0883161761</v>
      </c>
      <c r="Z41" s="36">
        <f t="shared" si="0"/>
        <v>11110576.430792145</v>
      </c>
      <c r="AA41" s="36">
        <f t="shared" si="0"/>
        <v>12648660.77326812</v>
      </c>
      <c r="AB41" s="36">
        <f t="shared" si="0"/>
        <v>14186745.115744092</v>
      </c>
      <c r="AC41" s="36">
        <f t="shared" si="0"/>
        <v>15724829.458220059</v>
      </c>
      <c r="AD41" s="36">
        <f t="shared" si="0"/>
        <v>17262913.800696034</v>
      </c>
      <c r="AE41" s="36">
        <f t="shared" si="0"/>
        <v>18800998.143172003</v>
      </c>
      <c r="AF41" s="36">
        <f t="shared" si="0"/>
        <v>20339082.485647973</v>
      </c>
      <c r="AG41" s="36">
        <f t="shared" si="0"/>
        <v>21877166.828123946</v>
      </c>
      <c r="AH41" s="36">
        <f t="shared" si="0"/>
        <v>23415251.170599923</v>
      </c>
      <c r="AI41" s="36">
        <f t="shared" si="0"/>
        <v>24953335.513075888</v>
      </c>
      <c r="AJ41" s="36">
        <f t="shared" si="0"/>
        <v>26491419.855551861</v>
      </c>
      <c r="AK41" s="36">
        <f t="shared" si="0"/>
        <v>28029504.198027834</v>
      </c>
      <c r="AL41" s="36">
        <f t="shared" si="0"/>
        <v>29567588.540503804</v>
      </c>
      <c r="AM41" s="36">
        <f t="shared" si="0"/>
        <v>31105672.88297978</v>
      </c>
      <c r="AN41" s="36">
        <f t="shared" si="0"/>
        <v>32643757.225455739</v>
      </c>
      <c r="AO41" s="36">
        <f t="shared" si="0"/>
        <v>34181841.567931719</v>
      </c>
      <c r="AP41" s="36">
        <f t="shared" si="0"/>
        <v>35719925.910407692</v>
      </c>
      <c r="AQ41" s="36">
        <f t="shared" si="0"/>
        <v>37258010.252883658</v>
      </c>
      <c r="AR41" s="36">
        <f t="shared" si="0"/>
        <v>38796094.595359631</v>
      </c>
      <c r="AS41" s="36">
        <f t="shared" si="0"/>
        <v>40334178.937835611</v>
      </c>
      <c r="AT41" s="36">
        <f t="shared" si="0"/>
        <v>41872263.28031157</v>
      </c>
      <c r="AU41" s="36">
        <f t="shared" si="0"/>
        <v>43410347.62278755</v>
      </c>
      <c r="AV41" s="36">
        <f t="shared" si="0"/>
        <v>44948431.965263516</v>
      </c>
      <c r="AW41" s="36">
        <f t="shared" si="0"/>
        <v>46486516.307739496</v>
      </c>
      <c r="AX41" s="36">
        <f t="shared" si="0"/>
        <v>48024600.650215462</v>
      </c>
    </row>
    <row r="42" spans="3:50">
      <c r="E42" t="s">
        <v>661</v>
      </c>
      <c r="G42" s="44"/>
      <c r="I42" s="44"/>
      <c r="K42" s="44"/>
      <c r="M42" s="44"/>
      <c r="O42" s="36">
        <f>SUMIF($D8:$D40,$E42,O8:O40)</f>
        <v>35898768.076312274</v>
      </c>
      <c r="P42" s="36">
        <f t="shared" ref="P42:AX42" si="1">SUMIF($D8:$D40,$E42,P8:P40)</f>
        <v>36599109.395641647</v>
      </c>
      <c r="Q42" s="36">
        <f t="shared" si="1"/>
        <v>37299450.714971021</v>
      </c>
      <c r="R42" s="36">
        <f t="shared" si="1"/>
        <v>37999792.034300394</v>
      </c>
      <c r="S42" s="36">
        <f t="shared" si="1"/>
        <v>38700133.353629775</v>
      </c>
      <c r="T42" s="36">
        <f t="shared" si="1"/>
        <v>39400474.672959149</v>
      </c>
      <c r="U42" s="36">
        <f t="shared" si="1"/>
        <v>40100815.992288522</v>
      </c>
      <c r="V42" s="36">
        <f t="shared" si="1"/>
        <v>40801157.311617903</v>
      </c>
      <c r="W42" s="36">
        <f t="shared" si="1"/>
        <v>41501498.630947277</v>
      </c>
      <c r="X42" s="36">
        <f t="shared" si="1"/>
        <v>42201839.950276636</v>
      </c>
      <c r="Y42" s="36">
        <f t="shared" si="1"/>
        <v>42902181.269606024</v>
      </c>
      <c r="Z42" s="36">
        <f t="shared" si="1"/>
        <v>49946894.6287928</v>
      </c>
      <c r="AA42" s="36">
        <f t="shared" si="1"/>
        <v>56991607.987979546</v>
      </c>
      <c r="AB42" s="36">
        <f t="shared" si="1"/>
        <v>64036321.347166315</v>
      </c>
      <c r="AC42" s="36">
        <f t="shared" si="1"/>
        <v>71081034.706353083</v>
      </c>
      <c r="AD42" s="36">
        <f t="shared" si="1"/>
        <v>78125748.065539852</v>
      </c>
      <c r="AE42" s="36">
        <f t="shared" si="1"/>
        <v>85170461.42472662</v>
      </c>
      <c r="AF42" s="36">
        <f t="shared" si="1"/>
        <v>92215174.783913344</v>
      </c>
      <c r="AG42" s="36">
        <f t="shared" si="1"/>
        <v>99259888.143100142</v>
      </c>
      <c r="AH42" s="36">
        <f t="shared" si="1"/>
        <v>106304601.50228694</v>
      </c>
      <c r="AI42" s="36">
        <f t="shared" si="1"/>
        <v>113349314.86147369</v>
      </c>
      <c r="AJ42" s="36">
        <f t="shared" si="1"/>
        <v>120394028.22066048</v>
      </c>
      <c r="AK42" s="36">
        <f t="shared" si="1"/>
        <v>127438741.57984723</v>
      </c>
      <c r="AL42" s="36">
        <f t="shared" si="1"/>
        <v>134483454.93903399</v>
      </c>
      <c r="AM42" s="36">
        <f t="shared" si="1"/>
        <v>141528168.29822075</v>
      </c>
      <c r="AN42" s="36">
        <f t="shared" si="1"/>
        <v>148572881.65740752</v>
      </c>
      <c r="AO42" s="36">
        <f t="shared" si="1"/>
        <v>155617595.01659426</v>
      </c>
      <c r="AP42" s="36">
        <f t="shared" si="1"/>
        <v>162662308.37578103</v>
      </c>
      <c r="AQ42" s="36">
        <f t="shared" si="1"/>
        <v>169707021.73496783</v>
      </c>
      <c r="AR42" s="36">
        <f t="shared" si="1"/>
        <v>176751735.09415454</v>
      </c>
      <c r="AS42" s="36">
        <f t="shared" si="1"/>
        <v>183796448.45334134</v>
      </c>
      <c r="AT42" s="36">
        <f t="shared" si="1"/>
        <v>190841161.81252807</v>
      </c>
      <c r="AU42" s="36">
        <f t="shared" si="1"/>
        <v>197885875.1717149</v>
      </c>
      <c r="AV42" s="36">
        <f t="shared" si="1"/>
        <v>204930588.53090161</v>
      </c>
      <c r="AW42" s="36">
        <f t="shared" si="1"/>
        <v>211975301.89008838</v>
      </c>
      <c r="AX42" s="36">
        <f t="shared" si="1"/>
        <v>219020015.24927518</v>
      </c>
    </row>
    <row r="43" spans="3:50">
      <c r="E43" t="s">
        <v>122</v>
      </c>
      <c r="G43" s="44"/>
      <c r="I43" s="44"/>
      <c r="K43" s="44"/>
      <c r="M43" s="44"/>
      <c r="O43" s="159">
        <f>SUM(O8:O40)</f>
        <v>43703099.999999903</v>
      </c>
      <c r="P43" s="159">
        <f t="shared" ref="P43:AX43" si="2">SUM(P8:P40)</f>
        <v>44580257.335792132</v>
      </c>
      <c r="Q43" s="159">
        <f t="shared" si="2"/>
        <v>45457414.671584353</v>
      </c>
      <c r="R43" s="159">
        <f t="shared" si="2"/>
        <v>46334572.007376567</v>
      </c>
      <c r="S43" s="159">
        <f t="shared" si="2"/>
        <v>47211729.34316881</v>
      </c>
      <c r="T43" s="159">
        <f t="shared" si="2"/>
        <v>48088886.678961046</v>
      </c>
      <c r="U43" s="159">
        <f t="shared" si="2"/>
        <v>48966044.014753267</v>
      </c>
      <c r="V43" s="159">
        <f t="shared" si="2"/>
        <v>49843201.350545503</v>
      </c>
      <c r="W43" s="159">
        <f t="shared" si="2"/>
        <v>50720358.686337732</v>
      </c>
      <c r="X43" s="159">
        <f t="shared" si="2"/>
        <v>51597516.02212996</v>
      </c>
      <c r="Y43" s="159">
        <f t="shared" si="2"/>
        <v>52474673.357922189</v>
      </c>
      <c r="Z43" s="159">
        <f t="shared" si="2"/>
        <v>61057471.05958496</v>
      </c>
      <c r="AA43" s="159">
        <f t="shared" si="2"/>
        <v>69640268.761247665</v>
      </c>
      <c r="AB43" s="159">
        <f t="shared" si="2"/>
        <v>78223066.462910399</v>
      </c>
      <c r="AC43" s="159">
        <f t="shared" si="2"/>
        <v>86805864.164573118</v>
      </c>
      <c r="AD43" s="159">
        <f t="shared" si="2"/>
        <v>95388661.866235882</v>
      </c>
      <c r="AE43" s="159">
        <f t="shared" si="2"/>
        <v>103971459.56789862</v>
      </c>
      <c r="AF43" s="159">
        <f t="shared" si="2"/>
        <v>112554257.26956132</v>
      </c>
      <c r="AG43" s="159">
        <f t="shared" si="2"/>
        <v>121137054.97122408</v>
      </c>
      <c r="AH43" s="159">
        <f t="shared" si="2"/>
        <v>129719852.67288688</v>
      </c>
      <c r="AI43" s="159">
        <f t="shared" si="2"/>
        <v>138302650.37454963</v>
      </c>
      <c r="AJ43" s="159">
        <f t="shared" si="2"/>
        <v>146885448.07621232</v>
      </c>
      <c r="AK43" s="159">
        <f t="shared" si="2"/>
        <v>155468245.7778751</v>
      </c>
      <c r="AL43" s="159">
        <f t="shared" si="2"/>
        <v>164051043.47953779</v>
      </c>
      <c r="AM43" s="159">
        <f t="shared" si="2"/>
        <v>172633841.1812005</v>
      </c>
      <c r="AN43" s="159">
        <f t="shared" si="2"/>
        <v>181216638.88286328</v>
      </c>
      <c r="AO43" s="159">
        <f t="shared" si="2"/>
        <v>189799436.58452594</v>
      </c>
      <c r="AP43" s="159">
        <f t="shared" si="2"/>
        <v>198382234.28618869</v>
      </c>
      <c r="AQ43" s="159">
        <f t="shared" si="2"/>
        <v>206965031.98785153</v>
      </c>
      <c r="AR43" s="159">
        <f t="shared" si="2"/>
        <v>215547829.68951416</v>
      </c>
      <c r="AS43" s="159">
        <f t="shared" si="2"/>
        <v>224130627.39117694</v>
      </c>
      <c r="AT43" s="159">
        <f t="shared" si="2"/>
        <v>232713425.09283966</v>
      </c>
      <c r="AU43" s="159">
        <f t="shared" si="2"/>
        <v>241296222.79450244</v>
      </c>
      <c r="AV43" s="159">
        <f t="shared" si="2"/>
        <v>249879020.4961651</v>
      </c>
      <c r="AW43" s="159">
        <f t="shared" si="2"/>
        <v>258461818.19782791</v>
      </c>
      <c r="AX43" s="159">
        <f t="shared" si="2"/>
        <v>267044615.89949062</v>
      </c>
    </row>
    <row r="45" spans="3:50">
      <c r="D45" s="160" t="s">
        <v>720</v>
      </c>
      <c r="E45" t="str">
        <f xml:space="preserve"> Dashboard!$D$5</f>
        <v>Inner London</v>
      </c>
      <c r="G45" s="44"/>
      <c r="I45" s="44"/>
      <c r="K45" s="44"/>
      <c r="M45" s="44"/>
      <c r="O45" s="36">
        <f>INDEX(O8:O43,MATCH($E$45,$E$8:$E$43,0))</f>
        <v>7804331.9236876247</v>
      </c>
      <c r="P45" s="36">
        <f t="shared" ref="P45:AX45" si="3">INDEX(P8:P43,MATCH($E$45,$E$8:$E$43,0))</f>
        <v>7981147.9401504798</v>
      </c>
      <c r="Q45" s="36">
        <f t="shared" si="3"/>
        <v>8157963.9566133348</v>
      </c>
      <c r="R45" s="36">
        <f t="shared" si="3"/>
        <v>8334779.9730761908</v>
      </c>
      <c r="S45" s="36">
        <f t="shared" si="3"/>
        <v>8511595.989539044</v>
      </c>
      <c r="T45" s="36">
        <f t="shared" si="3"/>
        <v>8688412.006001899</v>
      </c>
      <c r="U45" s="36">
        <f t="shared" si="3"/>
        <v>8865228.0224647559</v>
      </c>
      <c r="V45" s="36">
        <f t="shared" si="3"/>
        <v>9042044.0389276091</v>
      </c>
      <c r="W45" s="36">
        <f t="shared" si="3"/>
        <v>9218860.055390466</v>
      </c>
      <c r="X45" s="36">
        <f t="shared" si="3"/>
        <v>9395676.071853321</v>
      </c>
      <c r="Y45" s="36">
        <f t="shared" si="3"/>
        <v>9572492.0883161761</v>
      </c>
      <c r="Z45" s="36">
        <f t="shared" si="3"/>
        <v>11110576.430792145</v>
      </c>
      <c r="AA45" s="36">
        <f t="shared" si="3"/>
        <v>12648660.77326812</v>
      </c>
      <c r="AB45" s="36">
        <f t="shared" si="3"/>
        <v>14186745.115744092</v>
      </c>
      <c r="AC45" s="36">
        <f t="shared" si="3"/>
        <v>15724829.458220059</v>
      </c>
      <c r="AD45" s="36">
        <f t="shared" si="3"/>
        <v>17262913.800696034</v>
      </c>
      <c r="AE45" s="36">
        <f t="shared" si="3"/>
        <v>18800998.143172003</v>
      </c>
      <c r="AF45" s="36">
        <f t="shared" si="3"/>
        <v>20339082.485647973</v>
      </c>
      <c r="AG45" s="36">
        <f t="shared" si="3"/>
        <v>21877166.828123946</v>
      </c>
      <c r="AH45" s="36">
        <f t="shared" si="3"/>
        <v>23415251.170599923</v>
      </c>
      <c r="AI45" s="36">
        <f t="shared" si="3"/>
        <v>24953335.513075888</v>
      </c>
      <c r="AJ45" s="36">
        <f t="shared" si="3"/>
        <v>26491419.855551861</v>
      </c>
      <c r="AK45" s="36">
        <f t="shared" si="3"/>
        <v>28029504.198027834</v>
      </c>
      <c r="AL45" s="36">
        <f t="shared" si="3"/>
        <v>29567588.540503804</v>
      </c>
      <c r="AM45" s="36">
        <f t="shared" si="3"/>
        <v>31105672.88297978</v>
      </c>
      <c r="AN45" s="36">
        <f t="shared" si="3"/>
        <v>32643757.225455739</v>
      </c>
      <c r="AO45" s="36">
        <f t="shared" si="3"/>
        <v>34181841.567931719</v>
      </c>
      <c r="AP45" s="36">
        <f t="shared" si="3"/>
        <v>35719925.910407692</v>
      </c>
      <c r="AQ45" s="36">
        <f t="shared" si="3"/>
        <v>37258010.252883658</v>
      </c>
      <c r="AR45" s="36">
        <f t="shared" si="3"/>
        <v>38796094.595359631</v>
      </c>
      <c r="AS45" s="36">
        <f t="shared" si="3"/>
        <v>40334178.937835611</v>
      </c>
      <c r="AT45" s="36">
        <f t="shared" si="3"/>
        <v>41872263.28031157</v>
      </c>
      <c r="AU45" s="36">
        <f t="shared" si="3"/>
        <v>43410347.62278755</v>
      </c>
      <c r="AV45" s="36">
        <f t="shared" si="3"/>
        <v>44948431.965263516</v>
      </c>
      <c r="AW45" s="36">
        <f t="shared" si="3"/>
        <v>46486516.307739496</v>
      </c>
      <c r="AX45" s="36">
        <f t="shared" si="3"/>
        <v>48024600.650215462</v>
      </c>
    </row>
    <row r="47" spans="3:50" s="43" customFormat="1">
      <c r="C47" s="43" t="s">
        <v>35</v>
      </c>
      <c r="O47" s="71"/>
      <c r="P47" s="71"/>
      <c r="Q47" s="71"/>
      <c r="R47" s="71"/>
      <c r="S47" s="71"/>
      <c r="T47" s="71"/>
      <c r="U47" s="71"/>
      <c r="V47" s="71"/>
      <c r="W47" s="71"/>
      <c r="X47" s="71"/>
      <c r="Y47" s="71"/>
      <c r="Z47" s="71"/>
      <c r="AA47" s="71"/>
      <c r="AB47" s="71"/>
      <c r="AC47" s="71"/>
      <c r="AD47" s="71"/>
      <c r="AE47" s="71"/>
      <c r="AF47" s="71"/>
      <c r="AG47" s="71"/>
      <c r="AH47" s="71"/>
      <c r="AI47" s="71"/>
      <c r="AJ47" s="71"/>
      <c r="AK47" s="71"/>
      <c r="AL47" s="71"/>
      <c r="AM47" s="71"/>
      <c r="AN47" s="71"/>
      <c r="AO47" s="71"/>
      <c r="AP47" s="71"/>
      <c r="AQ47" s="71"/>
      <c r="AR47" s="71"/>
      <c r="AS47" s="71"/>
      <c r="AT47" s="71"/>
      <c r="AU47" s="71"/>
      <c r="AV47" s="71"/>
      <c r="AW47" s="71"/>
      <c r="AX47" s="71"/>
    </row>
    <row r="49" spans="4:50">
      <c r="D49" t="s">
        <v>661</v>
      </c>
      <c r="E49" t="s">
        <v>626</v>
      </c>
      <c r="G49" s="44"/>
      <c r="I49" s="44"/>
      <c r="K49" s="44"/>
      <c r="M49" s="44"/>
      <c r="O49" s="36">
        <v>914757.50938950072</v>
      </c>
      <c r="P49" s="36">
        <v>1076385.8062362513</v>
      </c>
      <c r="Q49" s="36">
        <v>1238014.1030830014</v>
      </c>
      <c r="R49" s="36">
        <v>1399642.3999297519</v>
      </c>
      <c r="S49" s="36">
        <v>1561270.6967765025</v>
      </c>
      <c r="T49" s="36">
        <v>1722898.9936232527</v>
      </c>
      <c r="U49" s="36">
        <v>1884527.2904700029</v>
      </c>
      <c r="V49" s="36">
        <v>2046155.5873167538</v>
      </c>
      <c r="W49" s="36">
        <v>2207783.884163504</v>
      </c>
      <c r="X49" s="36">
        <v>2369412.1810102542</v>
      </c>
      <c r="Y49" s="36">
        <v>2531040.4778570058</v>
      </c>
      <c r="Z49" s="36">
        <v>2889463.3720954275</v>
      </c>
      <c r="AA49" s="36">
        <v>3247886.2663338487</v>
      </c>
      <c r="AB49" s="36">
        <v>3606309.1605722713</v>
      </c>
      <c r="AC49" s="36">
        <v>3964732.054810693</v>
      </c>
      <c r="AD49" s="36">
        <v>4323154.9490491142</v>
      </c>
      <c r="AE49" s="36">
        <v>4681577.8432875378</v>
      </c>
      <c r="AF49" s="36">
        <v>5040000.7375259576</v>
      </c>
      <c r="AG49" s="36">
        <v>5398423.6317643803</v>
      </c>
      <c r="AH49" s="36">
        <v>5756846.5260028029</v>
      </c>
      <c r="AI49" s="36">
        <v>6115269.4202412246</v>
      </c>
      <c r="AJ49" s="36">
        <v>6473692.3144796453</v>
      </c>
      <c r="AK49" s="36">
        <v>6832115.2087180689</v>
      </c>
      <c r="AL49" s="36">
        <v>7190538.1029564897</v>
      </c>
      <c r="AM49" s="36">
        <v>7548960.9971949123</v>
      </c>
      <c r="AN49" s="36">
        <v>7907383.8914333349</v>
      </c>
      <c r="AO49" s="36">
        <v>8265806.7856717557</v>
      </c>
      <c r="AP49" s="36">
        <v>8624229.6799101774</v>
      </c>
      <c r="AQ49" s="36">
        <v>8982652.5741485991</v>
      </c>
      <c r="AR49" s="36">
        <v>9341075.4683870226</v>
      </c>
      <c r="AS49" s="36">
        <v>9699498.3626254443</v>
      </c>
      <c r="AT49" s="36">
        <v>10057921.256863866</v>
      </c>
      <c r="AU49" s="36">
        <v>10416344.151102288</v>
      </c>
      <c r="AV49" s="36">
        <v>10774767.045340709</v>
      </c>
      <c r="AW49" s="36">
        <v>11133189.939579131</v>
      </c>
      <c r="AX49" s="36">
        <v>11491612.833817553</v>
      </c>
    </row>
    <row r="50" spans="4:50">
      <c r="D50" t="s">
        <v>661</v>
      </c>
      <c r="E50" t="s">
        <v>627</v>
      </c>
      <c r="G50" s="44"/>
      <c r="I50" s="44"/>
      <c r="K50" s="44"/>
      <c r="M50" s="44"/>
      <c r="O50" s="36">
        <v>2644372.5341043957</v>
      </c>
      <c r="P50" s="36">
        <v>3108530.4432041333</v>
      </c>
      <c r="Q50" s="36">
        <v>3572688.3523038682</v>
      </c>
      <c r="R50" s="36">
        <v>4036846.2614036044</v>
      </c>
      <c r="S50" s="36">
        <v>4501004.1705033397</v>
      </c>
      <c r="T50" s="36">
        <v>4965162.079603076</v>
      </c>
      <c r="U50" s="36">
        <v>5429319.9887028122</v>
      </c>
      <c r="V50" s="36">
        <v>5893477.8978025503</v>
      </c>
      <c r="W50" s="36">
        <v>6357635.8069022875</v>
      </c>
      <c r="X50" s="36">
        <v>6821793.7160020238</v>
      </c>
      <c r="Y50" s="36">
        <v>7285951.6251017582</v>
      </c>
      <c r="Z50" s="36">
        <v>8324809.5097770616</v>
      </c>
      <c r="AA50" s="36">
        <v>9363667.3944523651</v>
      </c>
      <c r="AB50" s="36">
        <v>10402525.279127667</v>
      </c>
      <c r="AC50" s="36">
        <v>11441383.163802974</v>
      </c>
      <c r="AD50" s="36">
        <v>12480241.048478272</v>
      </c>
      <c r="AE50" s="36">
        <v>13519098.933153575</v>
      </c>
      <c r="AF50" s="36">
        <v>14557956.817828879</v>
      </c>
      <c r="AG50" s="36">
        <v>15596814.702504173</v>
      </c>
      <c r="AH50" s="36">
        <v>16635672.587179484</v>
      </c>
      <c r="AI50" s="36">
        <v>17674530.471854787</v>
      </c>
      <c r="AJ50" s="36">
        <v>18713388.356530089</v>
      </c>
      <c r="AK50" s="36">
        <v>19752246.241205383</v>
      </c>
      <c r="AL50" s="36">
        <v>20791104.125880692</v>
      </c>
      <c r="AM50" s="36">
        <v>21829962.010555997</v>
      </c>
      <c r="AN50" s="36">
        <v>22868819.895231303</v>
      </c>
      <c r="AO50" s="36">
        <v>23907677.779906612</v>
      </c>
      <c r="AP50" s="36">
        <v>24946535.664581906</v>
      </c>
      <c r="AQ50" s="36">
        <v>25985393.549257204</v>
      </c>
      <c r="AR50" s="36">
        <v>27024251.433932509</v>
      </c>
      <c r="AS50" s="36">
        <v>28063109.318607818</v>
      </c>
      <c r="AT50" s="36">
        <v>29101967.203283112</v>
      </c>
      <c r="AU50" s="36">
        <v>30140825.087958422</v>
      </c>
      <c r="AV50" s="36">
        <v>31179682.972633716</v>
      </c>
      <c r="AW50" s="36">
        <v>32218540.857309021</v>
      </c>
      <c r="AX50" s="36">
        <v>33257398.741984319</v>
      </c>
    </row>
    <row r="51" spans="4:50">
      <c r="D51" t="s">
        <v>661</v>
      </c>
      <c r="E51" t="s">
        <v>628</v>
      </c>
      <c r="G51" s="44"/>
      <c r="I51" s="44"/>
      <c r="K51" s="44"/>
      <c r="M51" s="44"/>
      <c r="O51" s="36">
        <v>1916341.7509471036</v>
      </c>
      <c r="P51" s="36">
        <v>2250873.4402851244</v>
      </c>
      <c r="Q51" s="36">
        <v>2585405.1296231444</v>
      </c>
      <c r="R51" s="36">
        <v>2919936.8189611654</v>
      </c>
      <c r="S51" s="36">
        <v>3254468.5082991854</v>
      </c>
      <c r="T51" s="36">
        <v>3589000.1976372073</v>
      </c>
      <c r="U51" s="36">
        <v>3923531.8869752265</v>
      </c>
      <c r="V51" s="36">
        <v>4258063.5763132479</v>
      </c>
      <c r="W51" s="36">
        <v>4592595.2656512689</v>
      </c>
      <c r="X51" s="36">
        <v>4927126.9549892889</v>
      </c>
      <c r="Y51" s="36">
        <v>5261658.6443273099</v>
      </c>
      <c r="Z51" s="36">
        <v>6024703.0628791871</v>
      </c>
      <c r="AA51" s="36">
        <v>6787747.4814310651</v>
      </c>
      <c r="AB51" s="36">
        <v>7550791.8999829385</v>
      </c>
      <c r="AC51" s="36">
        <v>8313836.3185348148</v>
      </c>
      <c r="AD51" s="36">
        <v>9076880.7370866928</v>
      </c>
      <c r="AE51" s="36">
        <v>9839925.1556385681</v>
      </c>
      <c r="AF51" s="36">
        <v>10602969.574190445</v>
      </c>
      <c r="AG51" s="36">
        <v>11366013.992742324</v>
      </c>
      <c r="AH51" s="36">
        <v>12129058.411294198</v>
      </c>
      <c r="AI51" s="36">
        <v>12892102.829846077</v>
      </c>
      <c r="AJ51" s="36">
        <v>13655147.24839795</v>
      </c>
      <c r="AK51" s="36">
        <v>14418191.666949831</v>
      </c>
      <c r="AL51" s="36">
        <v>15181236.085501704</v>
      </c>
      <c r="AM51" s="36">
        <v>15944280.504053582</v>
      </c>
      <c r="AN51" s="36">
        <v>16707324.922605459</v>
      </c>
      <c r="AO51" s="36">
        <v>17470369.341157336</v>
      </c>
      <c r="AP51" s="36">
        <v>18233413.759709205</v>
      </c>
      <c r="AQ51" s="36">
        <v>18996458.178261086</v>
      </c>
      <c r="AR51" s="36">
        <v>19759502.59681296</v>
      </c>
      <c r="AS51" s="36">
        <v>20522547.015364841</v>
      </c>
      <c r="AT51" s="36">
        <v>21285591.43391671</v>
      </c>
      <c r="AU51" s="36">
        <v>22048635.852468587</v>
      </c>
      <c r="AV51" s="36">
        <v>22811680.271020465</v>
      </c>
      <c r="AW51" s="36">
        <v>23574724.689572345</v>
      </c>
      <c r="AX51" s="36">
        <v>24337769.108124226</v>
      </c>
    </row>
    <row r="52" spans="4:50">
      <c r="D52" t="s">
        <v>661</v>
      </c>
      <c r="E52" t="s">
        <v>629</v>
      </c>
      <c r="G52" s="44"/>
      <c r="I52" s="44"/>
      <c r="K52" s="44"/>
      <c r="M52" s="44"/>
      <c r="O52" s="36">
        <v>1793981.762794852</v>
      </c>
      <c r="P52" s="36">
        <v>2108296.4967560861</v>
      </c>
      <c r="Q52" s="36">
        <v>2422611.23071732</v>
      </c>
      <c r="R52" s="36">
        <v>2736925.9646785543</v>
      </c>
      <c r="S52" s="36">
        <v>3051240.6986397891</v>
      </c>
      <c r="T52" s="36">
        <v>3365555.4326010239</v>
      </c>
      <c r="U52" s="36">
        <v>3679870.1665622578</v>
      </c>
      <c r="V52" s="36">
        <v>3994184.9005234935</v>
      </c>
      <c r="W52" s="36">
        <v>4308499.634484726</v>
      </c>
      <c r="X52" s="36">
        <v>4622814.3684459608</v>
      </c>
      <c r="Y52" s="36">
        <v>4937129.1024071965</v>
      </c>
      <c r="Z52" s="36">
        <v>5646220.669964008</v>
      </c>
      <c r="AA52" s="36">
        <v>6355312.2375208242</v>
      </c>
      <c r="AB52" s="36">
        <v>7064403.8050776413</v>
      </c>
      <c r="AC52" s="36">
        <v>7773495.3726344537</v>
      </c>
      <c r="AD52" s="36">
        <v>8482586.9401912671</v>
      </c>
      <c r="AE52" s="36">
        <v>9191678.5077480823</v>
      </c>
      <c r="AF52" s="36">
        <v>9900770.0753048994</v>
      </c>
      <c r="AG52" s="36">
        <v>10609861.642861713</v>
      </c>
      <c r="AH52" s="36">
        <v>11318953.210418526</v>
      </c>
      <c r="AI52" s="36">
        <v>12028044.777975343</v>
      </c>
      <c r="AJ52" s="36">
        <v>12737136.345532155</v>
      </c>
      <c r="AK52" s="36">
        <v>13446227.913088962</v>
      </c>
      <c r="AL52" s="36">
        <v>14155319.480645781</v>
      </c>
      <c r="AM52" s="36">
        <v>14864411.048202604</v>
      </c>
      <c r="AN52" s="36">
        <v>15573502.615759408</v>
      </c>
      <c r="AO52" s="36">
        <v>16282594.183316223</v>
      </c>
      <c r="AP52" s="36">
        <v>16991685.75087304</v>
      </c>
      <c r="AQ52" s="36">
        <v>17700777.318429854</v>
      </c>
      <c r="AR52" s="36">
        <v>18409868.885986667</v>
      </c>
      <c r="AS52" s="36">
        <v>19118960.45354348</v>
      </c>
      <c r="AT52" s="36">
        <v>19828052.021100298</v>
      </c>
      <c r="AU52" s="36">
        <v>20537143.588657111</v>
      </c>
      <c r="AV52" s="36">
        <v>21246235.156213928</v>
      </c>
      <c r="AW52" s="36">
        <v>21955326.723770738</v>
      </c>
      <c r="AX52" s="36">
        <v>22664418.291327562</v>
      </c>
    </row>
    <row r="53" spans="4:50">
      <c r="D53" t="s">
        <v>661</v>
      </c>
      <c r="E53" t="s">
        <v>630</v>
      </c>
      <c r="G53" s="44"/>
      <c r="I53" s="44"/>
      <c r="K53" s="44"/>
      <c r="M53" s="44"/>
      <c r="O53" s="36">
        <v>2754959.5909112925</v>
      </c>
      <c r="P53" s="36">
        <v>3235906.3046999183</v>
      </c>
      <c r="Q53" s="36">
        <v>3716853.0184885459</v>
      </c>
      <c r="R53" s="36">
        <v>4197799.7322771726</v>
      </c>
      <c r="S53" s="36">
        <v>4678746.4460657975</v>
      </c>
      <c r="T53" s="36">
        <v>5159693.1598544251</v>
      </c>
      <c r="U53" s="36">
        <v>5640639.8736430518</v>
      </c>
      <c r="V53" s="36">
        <v>6121586.5874316785</v>
      </c>
      <c r="W53" s="36">
        <v>6602533.3012203053</v>
      </c>
      <c r="X53" s="36">
        <v>7083480.0150089329</v>
      </c>
      <c r="Y53" s="36">
        <v>7564426.7287975587</v>
      </c>
      <c r="Z53" s="36">
        <v>8661471.9283114746</v>
      </c>
      <c r="AA53" s="36">
        <v>9758517.1278253868</v>
      </c>
      <c r="AB53" s="36">
        <v>10855562.327339301</v>
      </c>
      <c r="AC53" s="36">
        <v>11952607.526853215</v>
      </c>
      <c r="AD53" s="36">
        <v>13049652.726367135</v>
      </c>
      <c r="AE53" s="36">
        <v>14146697.925881045</v>
      </c>
      <c r="AF53" s="36">
        <v>15243743.125394961</v>
      </c>
      <c r="AG53" s="36">
        <v>16340788.324908873</v>
      </c>
      <c r="AH53" s="36">
        <v>17437833.524422791</v>
      </c>
      <c r="AI53" s="36">
        <v>18534878.723936699</v>
      </c>
      <c r="AJ53" s="36">
        <v>19631923.923450619</v>
      </c>
      <c r="AK53" s="36">
        <v>20728969.122964531</v>
      </c>
      <c r="AL53" s="36">
        <v>21826014.322478447</v>
      </c>
      <c r="AM53" s="36">
        <v>22923059.521992363</v>
      </c>
      <c r="AN53" s="36">
        <v>24020104.721506275</v>
      </c>
      <c r="AO53" s="36">
        <v>25117149.921020187</v>
      </c>
      <c r="AP53" s="36">
        <v>26214195.120534103</v>
      </c>
      <c r="AQ53" s="36">
        <v>27311240.320048016</v>
      </c>
      <c r="AR53" s="36">
        <v>28408285.519561924</v>
      </c>
      <c r="AS53" s="36">
        <v>29505330.71907584</v>
      </c>
      <c r="AT53" s="36">
        <v>30602375.918589763</v>
      </c>
      <c r="AU53" s="36">
        <v>31699421.118103676</v>
      </c>
      <c r="AV53" s="36">
        <v>32796466.317617591</v>
      </c>
      <c r="AW53" s="36">
        <v>33893511.5171315</v>
      </c>
      <c r="AX53" s="36">
        <v>34990556.716645427</v>
      </c>
    </row>
    <row r="54" spans="4:50">
      <c r="D54" t="s">
        <v>660</v>
      </c>
      <c r="E54" t="s">
        <v>631</v>
      </c>
      <c r="G54" s="44"/>
      <c r="I54" s="44"/>
      <c r="K54" s="44"/>
      <c r="M54" s="44"/>
      <c r="O54" s="36">
        <v>351312.83046755416</v>
      </c>
      <c r="P54" s="36">
        <v>416754.38485841069</v>
      </c>
      <c r="Q54" s="36">
        <v>482195.93924926728</v>
      </c>
      <c r="R54" s="36">
        <v>547637.49364012387</v>
      </c>
      <c r="S54" s="36">
        <v>613079.04803098028</v>
      </c>
      <c r="T54" s="36">
        <v>678520.60242183704</v>
      </c>
      <c r="U54" s="36">
        <v>743962.15681269369</v>
      </c>
      <c r="V54" s="36">
        <v>809403.71120355022</v>
      </c>
      <c r="W54" s="36">
        <v>874845.26559440675</v>
      </c>
      <c r="X54" s="36">
        <v>940286.81998526305</v>
      </c>
      <c r="Y54" s="36">
        <v>1005728.37437612</v>
      </c>
      <c r="Z54" s="36">
        <v>1147234.3777852738</v>
      </c>
      <c r="AA54" s="36">
        <v>1288740.3811944281</v>
      </c>
      <c r="AB54" s="36">
        <v>1430246.3846035821</v>
      </c>
      <c r="AC54" s="36">
        <v>1571752.3880127368</v>
      </c>
      <c r="AD54" s="36">
        <v>1713258.3914218908</v>
      </c>
      <c r="AE54" s="36">
        <v>1854764.3948310453</v>
      </c>
      <c r="AF54" s="36">
        <v>1996270.3982401998</v>
      </c>
      <c r="AG54" s="36">
        <v>2137776.4016493545</v>
      </c>
      <c r="AH54" s="36">
        <v>2279282.4050585083</v>
      </c>
      <c r="AI54" s="36">
        <v>2420788.408467663</v>
      </c>
      <c r="AJ54" s="36">
        <v>2562294.4118768172</v>
      </c>
      <c r="AK54" s="36">
        <v>2703800.4152859715</v>
      </c>
      <c r="AL54" s="36">
        <v>2845306.4186951248</v>
      </c>
      <c r="AM54" s="36">
        <v>2986812.4221042795</v>
      </c>
      <c r="AN54" s="36">
        <v>3128318.4255134342</v>
      </c>
      <c r="AO54" s="36">
        <v>3269824.428922588</v>
      </c>
      <c r="AP54" s="36">
        <v>3411330.4323317432</v>
      </c>
      <c r="AQ54" s="36">
        <v>3552836.4357408974</v>
      </c>
      <c r="AR54" s="36">
        <v>3694342.4391500503</v>
      </c>
      <c r="AS54" s="36">
        <v>3835848.4425592045</v>
      </c>
      <c r="AT54" s="36">
        <v>3977354.4459683592</v>
      </c>
      <c r="AU54" s="36">
        <v>4118860.4493775149</v>
      </c>
      <c r="AV54" s="36">
        <v>4260366.4527866691</v>
      </c>
      <c r="AW54" s="36">
        <v>4401872.4561958238</v>
      </c>
      <c r="AX54" s="36">
        <v>4543378.4596049776</v>
      </c>
    </row>
    <row r="55" spans="4:50">
      <c r="D55" t="s">
        <v>660</v>
      </c>
      <c r="E55" t="s">
        <v>632</v>
      </c>
      <c r="G55" s="44"/>
      <c r="I55" s="44"/>
      <c r="K55" s="44"/>
      <c r="M55" s="44"/>
      <c r="O55" s="36">
        <v>38293.175709502641</v>
      </c>
      <c r="P55" s="36">
        <v>44612.698601970151</v>
      </c>
      <c r="Q55" s="36">
        <v>50932.221494437661</v>
      </c>
      <c r="R55" s="36">
        <v>57251.744386905171</v>
      </c>
      <c r="S55" s="36">
        <v>63571.267279372682</v>
      </c>
      <c r="T55" s="36">
        <v>69890.790171840184</v>
      </c>
      <c r="U55" s="36">
        <v>76210.313064307687</v>
      </c>
      <c r="V55" s="36">
        <v>82529.83595677519</v>
      </c>
      <c r="W55" s="36">
        <v>88849.358849242693</v>
      </c>
      <c r="X55" s="36">
        <v>95168.881741710196</v>
      </c>
      <c r="Y55" s="36">
        <v>101488.40463417771</v>
      </c>
      <c r="Z55" s="36">
        <v>114972.94263556914</v>
      </c>
      <c r="AA55" s="36">
        <v>128457.48063696056</v>
      </c>
      <c r="AB55" s="36">
        <v>141942.01863835199</v>
      </c>
      <c r="AC55" s="36">
        <v>155426.55663974342</v>
      </c>
      <c r="AD55" s="36">
        <v>168911.09464113484</v>
      </c>
      <c r="AE55" s="36">
        <v>182395.63264252627</v>
      </c>
      <c r="AF55" s="36">
        <v>195880.17064391769</v>
      </c>
      <c r="AG55" s="36">
        <v>209364.70864530912</v>
      </c>
      <c r="AH55" s="36">
        <v>222849.24664670054</v>
      </c>
      <c r="AI55" s="36">
        <v>236333.78464809197</v>
      </c>
      <c r="AJ55" s="36">
        <v>249818.32264948339</v>
      </c>
      <c r="AK55" s="36">
        <v>263302.86065087485</v>
      </c>
      <c r="AL55" s="36">
        <v>276787.3986522663</v>
      </c>
      <c r="AM55" s="36">
        <v>290271.93665365776</v>
      </c>
      <c r="AN55" s="36">
        <v>303756.47465504921</v>
      </c>
      <c r="AO55" s="36">
        <v>317241.01265644067</v>
      </c>
      <c r="AP55" s="36">
        <v>330725.55065783212</v>
      </c>
      <c r="AQ55" s="36">
        <v>344210.08865922358</v>
      </c>
      <c r="AR55" s="36">
        <v>357694.62666061503</v>
      </c>
      <c r="AS55" s="36">
        <v>371179.16466200649</v>
      </c>
      <c r="AT55" s="36">
        <v>384663.70266339794</v>
      </c>
      <c r="AU55" s="36">
        <v>398148.24066478939</v>
      </c>
      <c r="AV55" s="36">
        <v>411632.77866618085</v>
      </c>
      <c r="AW55" s="36">
        <v>425117.3166675723</v>
      </c>
      <c r="AX55" s="36">
        <v>438601.85466896347</v>
      </c>
    </row>
    <row r="56" spans="4:50">
      <c r="D56" t="s">
        <v>661</v>
      </c>
      <c r="E56" t="s">
        <v>634</v>
      </c>
      <c r="G56" s="44"/>
      <c r="I56" s="44"/>
      <c r="K56" s="44"/>
      <c r="M56" s="44"/>
      <c r="O56" s="36">
        <v>2429320.3465845063</v>
      </c>
      <c r="P56" s="36">
        <v>2854865.9178038989</v>
      </c>
      <c r="Q56" s="36">
        <v>3280411.489023292</v>
      </c>
      <c r="R56" s="36">
        <v>3705957.060242685</v>
      </c>
      <c r="S56" s="36">
        <v>4131502.6314620767</v>
      </c>
      <c r="T56" s="36">
        <v>4557048.2026814688</v>
      </c>
      <c r="U56" s="36">
        <v>4982593.7739008619</v>
      </c>
      <c r="V56" s="36">
        <v>5408139.345120254</v>
      </c>
      <c r="W56" s="36">
        <v>5833684.916339648</v>
      </c>
      <c r="X56" s="36">
        <v>6259230.4875590401</v>
      </c>
      <c r="Y56" s="36">
        <v>6684776.0587784313</v>
      </c>
      <c r="Z56" s="36">
        <v>7651561.2124301326</v>
      </c>
      <c r="AA56" s="36">
        <v>8618346.3660818338</v>
      </c>
      <c r="AB56" s="36">
        <v>9585131.5197335333</v>
      </c>
      <c r="AC56" s="36">
        <v>10551916.673385238</v>
      </c>
      <c r="AD56" s="36">
        <v>11518701.827036934</v>
      </c>
      <c r="AE56" s="36">
        <v>12485486.980688641</v>
      </c>
      <c r="AF56" s="36">
        <v>13452272.134340337</v>
      </c>
      <c r="AG56" s="36">
        <v>14419057.28799204</v>
      </c>
      <c r="AH56" s="36">
        <v>15385842.441643739</v>
      </c>
      <c r="AI56" s="36">
        <v>16352627.59529544</v>
      </c>
      <c r="AJ56" s="36">
        <v>17319412.74894714</v>
      </c>
      <c r="AK56" s="36">
        <v>18286197.902598839</v>
      </c>
      <c r="AL56" s="36">
        <v>19252983.056250539</v>
      </c>
      <c r="AM56" s="36">
        <v>20219768.209902242</v>
      </c>
      <c r="AN56" s="36">
        <v>21186553.363553938</v>
      </c>
      <c r="AO56" s="36">
        <v>22153338.517205633</v>
      </c>
      <c r="AP56" s="36">
        <v>23120123.67085734</v>
      </c>
      <c r="AQ56" s="36">
        <v>24086908.824509043</v>
      </c>
      <c r="AR56" s="36">
        <v>25053693.978160743</v>
      </c>
      <c r="AS56" s="36">
        <v>26020479.131812442</v>
      </c>
      <c r="AT56" s="36">
        <v>26987264.285464145</v>
      </c>
      <c r="AU56" s="36">
        <v>27954049.439115845</v>
      </c>
      <c r="AV56" s="36">
        <v>28920834.592767537</v>
      </c>
      <c r="AW56" s="36">
        <v>29887619.746419236</v>
      </c>
      <c r="AX56" s="36">
        <v>30854404.900070954</v>
      </c>
    </row>
    <row r="57" spans="4:50">
      <c r="D57" t="s">
        <v>661</v>
      </c>
      <c r="E57" t="s">
        <v>635</v>
      </c>
      <c r="G57" s="44"/>
      <c r="I57" s="44"/>
      <c r="K57" s="44"/>
      <c r="M57" s="44"/>
      <c r="O57" s="36">
        <v>2018771.6403892294</v>
      </c>
      <c r="P57" s="36">
        <v>2372631.1450646794</v>
      </c>
      <c r="Q57" s="36">
        <v>2726490.6497401297</v>
      </c>
      <c r="R57" s="36">
        <v>3080350.154415579</v>
      </c>
      <c r="S57" s="36">
        <v>3434209.6590910293</v>
      </c>
      <c r="T57" s="36">
        <v>3788069.1637664796</v>
      </c>
      <c r="U57" s="36">
        <v>4141928.6684419299</v>
      </c>
      <c r="V57" s="36">
        <v>4495788.1731173806</v>
      </c>
      <c r="W57" s="36">
        <v>4849647.6777928304</v>
      </c>
      <c r="X57" s="36">
        <v>5203507.1824682793</v>
      </c>
      <c r="Y57" s="36">
        <v>5557366.6871437291</v>
      </c>
      <c r="Z57" s="36">
        <v>6349952.0620196322</v>
      </c>
      <c r="AA57" s="36">
        <v>7142537.4368955363</v>
      </c>
      <c r="AB57" s="36">
        <v>7935122.8117714422</v>
      </c>
      <c r="AC57" s="36">
        <v>8727708.1866473388</v>
      </c>
      <c r="AD57" s="36">
        <v>9520293.5615232438</v>
      </c>
      <c r="AE57" s="36">
        <v>10312878.936399149</v>
      </c>
      <c r="AF57" s="36">
        <v>11105464.311275048</v>
      </c>
      <c r="AG57" s="36">
        <v>11898049.686150953</v>
      </c>
      <c r="AH57" s="36">
        <v>12690635.061026856</v>
      </c>
      <c r="AI57" s="36">
        <v>13483220.435902756</v>
      </c>
      <c r="AJ57" s="36">
        <v>14275805.810778657</v>
      </c>
      <c r="AK57" s="36">
        <v>15068391.185654564</v>
      </c>
      <c r="AL57" s="36">
        <v>15860976.560530463</v>
      </c>
      <c r="AM57" s="36">
        <v>16653561.935406368</v>
      </c>
      <c r="AN57" s="36">
        <v>17446147.310282271</v>
      </c>
      <c r="AO57" s="36">
        <v>18238732.685158178</v>
      </c>
      <c r="AP57" s="36">
        <v>19031318.060034081</v>
      </c>
      <c r="AQ57" s="36">
        <v>19823903.434909981</v>
      </c>
      <c r="AR57" s="36">
        <v>20616488.80978588</v>
      </c>
      <c r="AS57" s="36">
        <v>21409074.184661783</v>
      </c>
      <c r="AT57" s="36">
        <v>22201659.55953769</v>
      </c>
      <c r="AU57" s="36">
        <v>22994244.93441359</v>
      </c>
      <c r="AV57" s="36">
        <v>23786830.309289485</v>
      </c>
      <c r="AW57" s="36">
        <v>24579415.6841654</v>
      </c>
      <c r="AX57" s="36">
        <v>25372001.059041303</v>
      </c>
    </row>
    <row r="58" spans="4:50">
      <c r="D58" t="s">
        <v>661</v>
      </c>
      <c r="E58" t="s">
        <v>636</v>
      </c>
      <c r="G58" s="44"/>
      <c r="I58" s="44"/>
      <c r="K58" s="44"/>
      <c r="M58" s="44"/>
      <c r="O58" s="36">
        <v>1796845.8460176252</v>
      </c>
      <c r="P58" s="36">
        <v>2110555.7855087882</v>
      </c>
      <c r="Q58" s="36">
        <v>2424265.7249999517</v>
      </c>
      <c r="R58" s="36">
        <v>2737975.6644911151</v>
      </c>
      <c r="S58" s="36">
        <v>3051685.6039822772</v>
      </c>
      <c r="T58" s="36">
        <v>3365395.5434734426</v>
      </c>
      <c r="U58" s="36">
        <v>3679105.4829646051</v>
      </c>
      <c r="V58" s="36">
        <v>3992815.4224557681</v>
      </c>
      <c r="W58" s="36">
        <v>4306525.3619469311</v>
      </c>
      <c r="X58" s="36">
        <v>4620235.3014380941</v>
      </c>
      <c r="Y58" s="36">
        <v>4933945.240929259</v>
      </c>
      <c r="Z58" s="36">
        <v>5649937.4958816105</v>
      </c>
      <c r="AA58" s="36">
        <v>6365929.7508339621</v>
      </c>
      <c r="AB58" s="36">
        <v>7081922.0057863165</v>
      </c>
      <c r="AC58" s="36">
        <v>7797914.2607386671</v>
      </c>
      <c r="AD58" s="36">
        <v>8513906.5156910196</v>
      </c>
      <c r="AE58" s="36">
        <v>9229898.7706433702</v>
      </c>
      <c r="AF58" s="36">
        <v>9945891.0255957209</v>
      </c>
      <c r="AG58" s="36">
        <v>10661883.280548075</v>
      </c>
      <c r="AH58" s="36">
        <v>11377875.535500428</v>
      </c>
      <c r="AI58" s="36">
        <v>12093867.79045278</v>
      </c>
      <c r="AJ58" s="36">
        <v>12809860.045405133</v>
      </c>
      <c r="AK58" s="36">
        <v>13525852.300357485</v>
      </c>
      <c r="AL58" s="36">
        <v>14241844.555309836</v>
      </c>
      <c r="AM58" s="36">
        <v>14957836.810262188</v>
      </c>
      <c r="AN58" s="36">
        <v>15673829.065214543</v>
      </c>
      <c r="AO58" s="36">
        <v>16389821.320166893</v>
      </c>
      <c r="AP58" s="36">
        <v>17105813.57511925</v>
      </c>
      <c r="AQ58" s="36">
        <v>17821805.830071595</v>
      </c>
      <c r="AR58" s="36">
        <v>18537798.085023947</v>
      </c>
      <c r="AS58" s="36">
        <v>19253790.339976307</v>
      </c>
      <c r="AT58" s="36">
        <v>19969782.594928652</v>
      </c>
      <c r="AU58" s="36">
        <v>20685774.849881008</v>
      </c>
      <c r="AV58" s="36">
        <v>21401767.104833361</v>
      </c>
      <c r="AW58" s="36">
        <v>22117759.359785706</v>
      </c>
      <c r="AX58" s="36">
        <v>22833751.614738069</v>
      </c>
    </row>
    <row r="59" spans="4:50">
      <c r="D59" t="s">
        <v>660</v>
      </c>
      <c r="E59" t="s">
        <v>637</v>
      </c>
      <c r="G59" s="44"/>
      <c r="I59" s="44"/>
      <c r="K59" s="44"/>
      <c r="M59" s="44"/>
      <c r="O59" s="36">
        <v>1364026.2246228983</v>
      </c>
      <c r="P59" s="36">
        <v>1608392.7623719724</v>
      </c>
      <c r="Q59" s="36">
        <v>1852759.3001210473</v>
      </c>
      <c r="R59" s="36">
        <v>2097125.8378701215</v>
      </c>
      <c r="S59" s="36">
        <v>2341492.3756191959</v>
      </c>
      <c r="T59" s="36">
        <v>2585858.9133682707</v>
      </c>
      <c r="U59" s="36">
        <v>2830225.4511173442</v>
      </c>
      <c r="V59" s="36">
        <v>3074591.9888664191</v>
      </c>
      <c r="W59" s="36">
        <v>3318958.526615493</v>
      </c>
      <c r="X59" s="36">
        <v>3563325.0643645679</v>
      </c>
      <c r="Y59" s="36">
        <v>3807691.6021136427</v>
      </c>
      <c r="Z59" s="36">
        <v>4345255.9252208583</v>
      </c>
      <c r="AA59" s="36">
        <v>4882820.2483280748</v>
      </c>
      <c r="AB59" s="36">
        <v>5420384.5714352913</v>
      </c>
      <c r="AC59" s="36">
        <v>5957948.8945425069</v>
      </c>
      <c r="AD59" s="36">
        <v>6495513.2176497243</v>
      </c>
      <c r="AE59" s="36">
        <v>7033077.5407569408</v>
      </c>
      <c r="AF59" s="36">
        <v>7570641.8638641564</v>
      </c>
      <c r="AG59" s="36">
        <v>8108206.186971372</v>
      </c>
      <c r="AH59" s="36">
        <v>8645770.5100785885</v>
      </c>
      <c r="AI59" s="36">
        <v>9183334.833185805</v>
      </c>
      <c r="AJ59" s="36">
        <v>9720899.1562930215</v>
      </c>
      <c r="AK59" s="36">
        <v>10258463.479400242</v>
      </c>
      <c r="AL59" s="36">
        <v>10796027.802507453</v>
      </c>
      <c r="AM59" s="36">
        <v>11333592.125614671</v>
      </c>
      <c r="AN59" s="36">
        <v>11871156.448721889</v>
      </c>
      <c r="AO59" s="36">
        <v>12408720.771829098</v>
      </c>
      <c r="AP59" s="36">
        <v>12946285.094936315</v>
      </c>
      <c r="AQ59" s="36">
        <v>13483849.418043531</v>
      </c>
      <c r="AR59" s="36">
        <v>14021413.741150754</v>
      </c>
      <c r="AS59" s="36">
        <v>14558978.064257972</v>
      </c>
      <c r="AT59" s="36">
        <v>15096542.387365185</v>
      </c>
      <c r="AU59" s="36">
        <v>15634106.710472399</v>
      </c>
      <c r="AV59" s="36">
        <v>16171671.033579621</v>
      </c>
      <c r="AW59" s="36">
        <v>16709235.356686836</v>
      </c>
      <c r="AX59" s="36">
        <v>17246799.679794047</v>
      </c>
    </row>
    <row r="60" spans="4:50">
      <c r="D60" t="s">
        <v>660</v>
      </c>
      <c r="E60" t="s">
        <v>638</v>
      </c>
      <c r="G60" s="44"/>
      <c r="I60" s="44"/>
      <c r="K60" s="44"/>
      <c r="M60" s="44"/>
      <c r="O60" s="36">
        <v>662741.12371362105</v>
      </c>
      <c r="P60" s="36">
        <v>786758.7889722907</v>
      </c>
      <c r="Q60" s="36">
        <v>910776.45423096011</v>
      </c>
      <c r="R60" s="36">
        <v>1034794.1194896296</v>
      </c>
      <c r="S60" s="36">
        <v>1158811.784748299</v>
      </c>
      <c r="T60" s="36">
        <v>1282829.4500069679</v>
      </c>
      <c r="U60" s="36">
        <v>1406847.1152656374</v>
      </c>
      <c r="V60" s="36">
        <v>1530864.7805243074</v>
      </c>
      <c r="W60" s="36">
        <v>1654882.4457829765</v>
      </c>
      <c r="X60" s="36">
        <v>1778900.1110416458</v>
      </c>
      <c r="Y60" s="36">
        <v>1902917.7763003155</v>
      </c>
      <c r="Z60" s="36">
        <v>2172115.2098726872</v>
      </c>
      <c r="AA60" s="36">
        <v>2441312.6434450592</v>
      </c>
      <c r="AB60" s="36">
        <v>2710510.0770174316</v>
      </c>
      <c r="AC60" s="36">
        <v>2979707.5105898026</v>
      </c>
      <c r="AD60" s="36">
        <v>3248904.9441621755</v>
      </c>
      <c r="AE60" s="36">
        <v>3518102.3777345479</v>
      </c>
      <c r="AF60" s="36">
        <v>3787299.8113069194</v>
      </c>
      <c r="AG60" s="36">
        <v>4056497.2448792905</v>
      </c>
      <c r="AH60" s="36">
        <v>4325694.6784516629</v>
      </c>
      <c r="AI60" s="36">
        <v>4594892.1120240344</v>
      </c>
      <c r="AJ60" s="36">
        <v>4864089.5455964068</v>
      </c>
      <c r="AK60" s="36">
        <v>5133286.9791687774</v>
      </c>
      <c r="AL60" s="36">
        <v>5402484.4127411507</v>
      </c>
      <c r="AM60" s="36">
        <v>5671681.8463135231</v>
      </c>
      <c r="AN60" s="36">
        <v>5940879.2798858937</v>
      </c>
      <c r="AO60" s="36">
        <v>6210076.713458267</v>
      </c>
      <c r="AP60" s="36">
        <v>6479274.1470306367</v>
      </c>
      <c r="AQ60" s="36">
        <v>6748471.580603011</v>
      </c>
      <c r="AR60" s="36">
        <v>7017669.0141753787</v>
      </c>
      <c r="AS60" s="36">
        <v>7286866.4477477539</v>
      </c>
      <c r="AT60" s="36">
        <v>7556063.8813201254</v>
      </c>
      <c r="AU60" s="36">
        <v>7825261.3148924951</v>
      </c>
      <c r="AV60" s="36">
        <v>8094458.7484648684</v>
      </c>
      <c r="AW60" s="36">
        <v>8363656.1820372399</v>
      </c>
      <c r="AX60" s="36">
        <v>8632853.6156096105</v>
      </c>
    </row>
    <row r="61" spans="4:50">
      <c r="D61" t="s">
        <v>660</v>
      </c>
      <c r="E61" t="s">
        <v>639</v>
      </c>
      <c r="G61" s="44"/>
      <c r="I61" s="44"/>
      <c r="K61" s="44"/>
      <c r="M61" s="44"/>
      <c r="O61" s="36">
        <v>397162.16942581278</v>
      </c>
      <c r="P61" s="36">
        <v>470326.37276707747</v>
      </c>
      <c r="Q61" s="36">
        <v>543490.57610834204</v>
      </c>
      <c r="R61" s="36">
        <v>616654.77944960678</v>
      </c>
      <c r="S61" s="36">
        <v>689818.98279087141</v>
      </c>
      <c r="T61" s="36">
        <v>762983.18613213603</v>
      </c>
      <c r="U61" s="36">
        <v>836147.38947340066</v>
      </c>
      <c r="V61" s="36">
        <v>909311.59281466552</v>
      </c>
      <c r="W61" s="36">
        <v>982475.79615592991</v>
      </c>
      <c r="X61" s="36">
        <v>1055639.9994971948</v>
      </c>
      <c r="Y61" s="36">
        <v>1128804.2028384595</v>
      </c>
      <c r="Z61" s="36">
        <v>1286940.5915308055</v>
      </c>
      <c r="AA61" s="36">
        <v>1445076.9802231519</v>
      </c>
      <c r="AB61" s="36">
        <v>1603213.3689154987</v>
      </c>
      <c r="AC61" s="36">
        <v>1761349.7576078447</v>
      </c>
      <c r="AD61" s="36">
        <v>1919486.1463001915</v>
      </c>
      <c r="AE61" s="36">
        <v>2077622.5349925375</v>
      </c>
      <c r="AF61" s="36">
        <v>2235758.9236848848</v>
      </c>
      <c r="AG61" s="36">
        <v>2393895.3123772303</v>
      </c>
      <c r="AH61" s="36">
        <v>2552031.7010695771</v>
      </c>
      <c r="AI61" s="36">
        <v>2710168.0897619231</v>
      </c>
      <c r="AJ61" s="36">
        <v>2868304.4784542695</v>
      </c>
      <c r="AK61" s="36">
        <v>3026440.8671466159</v>
      </c>
      <c r="AL61" s="36">
        <v>3184577.2558389623</v>
      </c>
      <c r="AM61" s="36">
        <v>3342713.6445313087</v>
      </c>
      <c r="AN61" s="36">
        <v>3500850.0332236551</v>
      </c>
      <c r="AO61" s="36">
        <v>3658986.421916001</v>
      </c>
      <c r="AP61" s="36">
        <v>3817122.8106083483</v>
      </c>
      <c r="AQ61" s="36">
        <v>3975259.1993006947</v>
      </c>
      <c r="AR61" s="36">
        <v>4133395.5879930411</v>
      </c>
      <c r="AS61" s="36">
        <v>4291531.976685388</v>
      </c>
      <c r="AT61" s="36">
        <v>4449668.3653777335</v>
      </c>
      <c r="AU61" s="36">
        <v>4607804.7540700799</v>
      </c>
      <c r="AV61" s="36">
        <v>4765941.1427624254</v>
      </c>
      <c r="AW61" s="36">
        <v>4924077.5314547736</v>
      </c>
      <c r="AX61" s="36">
        <v>5082213.9201471191</v>
      </c>
    </row>
    <row r="62" spans="4:50">
      <c r="D62" t="s">
        <v>661</v>
      </c>
      <c r="E62" t="s">
        <v>640</v>
      </c>
      <c r="G62" s="44"/>
      <c r="I62" s="44"/>
      <c r="K62" s="44"/>
      <c r="M62" s="44"/>
      <c r="O62" s="36">
        <v>985976.60331554746</v>
      </c>
      <c r="P62" s="36">
        <v>1158064.7291668579</v>
      </c>
      <c r="Q62" s="36">
        <v>1330152.855018168</v>
      </c>
      <c r="R62" s="36">
        <v>1502240.9808694792</v>
      </c>
      <c r="S62" s="36">
        <v>1674329.1067207889</v>
      </c>
      <c r="T62" s="36">
        <v>1846417.2325720987</v>
      </c>
      <c r="U62" s="36">
        <v>2018505.3584234093</v>
      </c>
      <c r="V62" s="36">
        <v>2190593.4842747194</v>
      </c>
      <c r="W62" s="36">
        <v>2362681.6101260302</v>
      </c>
      <c r="X62" s="36">
        <v>2534769.73597734</v>
      </c>
      <c r="Y62" s="36">
        <v>2706857.8618286503</v>
      </c>
      <c r="Z62" s="36">
        <v>3097396.8813531878</v>
      </c>
      <c r="AA62" s="36">
        <v>3487935.9008777253</v>
      </c>
      <c r="AB62" s="36">
        <v>3878474.9204022614</v>
      </c>
      <c r="AC62" s="36">
        <v>4269013.9399267975</v>
      </c>
      <c r="AD62" s="36">
        <v>4659552.9594513327</v>
      </c>
      <c r="AE62" s="36">
        <v>5050091.9789758706</v>
      </c>
      <c r="AF62" s="36">
        <v>5440630.9985004067</v>
      </c>
      <c r="AG62" s="36">
        <v>5831170.0180249438</v>
      </c>
      <c r="AH62" s="36">
        <v>6221709.0375494789</v>
      </c>
      <c r="AI62" s="36">
        <v>6612248.057074016</v>
      </c>
      <c r="AJ62" s="36">
        <v>7002787.0765985521</v>
      </c>
      <c r="AK62" s="36">
        <v>7393326.0961230919</v>
      </c>
      <c r="AL62" s="36">
        <v>7783865.1156476252</v>
      </c>
      <c r="AM62" s="36">
        <v>8174404.1351721659</v>
      </c>
      <c r="AN62" s="36">
        <v>8564943.1546966992</v>
      </c>
      <c r="AO62" s="36">
        <v>8955482.1742212344</v>
      </c>
      <c r="AP62" s="36">
        <v>9346021.1937457714</v>
      </c>
      <c r="AQ62" s="36">
        <v>9736560.2132703084</v>
      </c>
      <c r="AR62" s="36">
        <v>10127099.232794847</v>
      </c>
      <c r="AS62" s="36">
        <v>10517638.252319384</v>
      </c>
      <c r="AT62" s="36">
        <v>10908177.27184392</v>
      </c>
      <c r="AU62" s="36">
        <v>11298716.291368458</v>
      </c>
      <c r="AV62" s="36">
        <v>11689255.310892992</v>
      </c>
      <c r="AW62" s="36">
        <v>12079794.330417527</v>
      </c>
      <c r="AX62" s="36">
        <v>12470333.349942064</v>
      </c>
    </row>
    <row r="63" spans="4:50">
      <c r="D63" t="s">
        <v>661</v>
      </c>
      <c r="E63" t="s">
        <v>641</v>
      </c>
      <c r="G63" s="44"/>
      <c r="I63" s="44"/>
      <c r="K63" s="44"/>
      <c r="M63" s="44"/>
      <c r="O63" s="36">
        <v>1943260.7835269116</v>
      </c>
      <c r="P63" s="36">
        <v>2281790.2520206301</v>
      </c>
      <c r="Q63" s="36">
        <v>2620319.7205143482</v>
      </c>
      <c r="R63" s="36">
        <v>2958849.1890080664</v>
      </c>
      <c r="S63" s="36">
        <v>3297378.6575017851</v>
      </c>
      <c r="T63" s="36">
        <v>3635908.1259955023</v>
      </c>
      <c r="U63" s="36">
        <v>3974437.594489221</v>
      </c>
      <c r="V63" s="36">
        <v>4312967.0629829401</v>
      </c>
      <c r="W63" s="36">
        <v>4651496.5314766569</v>
      </c>
      <c r="X63" s="36">
        <v>4990025.9999703756</v>
      </c>
      <c r="Y63" s="36">
        <v>5328555.4684640951</v>
      </c>
      <c r="Z63" s="36">
        <v>6097437.4187837187</v>
      </c>
      <c r="AA63" s="36">
        <v>6866319.3691033451</v>
      </c>
      <c r="AB63" s="36">
        <v>7635201.3194229677</v>
      </c>
      <c r="AC63" s="36">
        <v>8404083.269742595</v>
      </c>
      <c r="AD63" s="36">
        <v>9172965.2200622149</v>
      </c>
      <c r="AE63" s="36">
        <v>9941847.170381844</v>
      </c>
      <c r="AF63" s="36">
        <v>10710729.120701468</v>
      </c>
      <c r="AG63" s="36">
        <v>11479611.071021091</v>
      </c>
      <c r="AH63" s="36">
        <v>12248493.021340718</v>
      </c>
      <c r="AI63" s="36">
        <v>13017374.971660344</v>
      </c>
      <c r="AJ63" s="36">
        <v>13786256.921979966</v>
      </c>
      <c r="AK63" s="36">
        <v>14555138.872299595</v>
      </c>
      <c r="AL63" s="36">
        <v>15324020.822619222</v>
      </c>
      <c r="AM63" s="36">
        <v>16092902.772938842</v>
      </c>
      <c r="AN63" s="36">
        <v>16861784.723258469</v>
      </c>
      <c r="AO63" s="36">
        <v>17630666.673578095</v>
      </c>
      <c r="AP63" s="36">
        <v>18399548.623897716</v>
      </c>
      <c r="AQ63" s="36">
        <v>19168430.574217346</v>
      </c>
      <c r="AR63" s="36">
        <v>19937312.524536971</v>
      </c>
      <c r="AS63" s="36">
        <v>20706194.474856593</v>
      </c>
      <c r="AT63" s="36">
        <v>21475076.425176222</v>
      </c>
      <c r="AU63" s="36">
        <v>22243958.375495847</v>
      </c>
      <c r="AV63" s="36">
        <v>23012840.325815469</v>
      </c>
      <c r="AW63" s="36">
        <v>23781722.276135094</v>
      </c>
      <c r="AX63" s="36">
        <v>24550604.226454716</v>
      </c>
    </row>
    <row r="64" spans="4:50">
      <c r="D64" t="s">
        <v>661</v>
      </c>
      <c r="E64" t="s">
        <v>642</v>
      </c>
      <c r="G64" s="44"/>
      <c r="I64" s="44"/>
      <c r="K64" s="44"/>
      <c r="M64" s="44"/>
      <c r="O64" s="36">
        <v>1982104.3227546045</v>
      </c>
      <c r="P64" s="36">
        <v>2327679.1486343881</v>
      </c>
      <c r="Q64" s="36">
        <v>2673253.974514171</v>
      </c>
      <c r="R64" s="36">
        <v>3018828.8003939553</v>
      </c>
      <c r="S64" s="36">
        <v>3364403.6262737378</v>
      </c>
      <c r="T64" s="36">
        <v>3709978.4521535216</v>
      </c>
      <c r="U64" s="36">
        <v>4055553.278033304</v>
      </c>
      <c r="V64" s="36">
        <v>4401128.1039130883</v>
      </c>
      <c r="W64" s="36">
        <v>4746702.9297928726</v>
      </c>
      <c r="X64" s="36">
        <v>5092277.755672656</v>
      </c>
      <c r="Y64" s="36">
        <v>5437852.5815524375</v>
      </c>
      <c r="Z64" s="36">
        <v>6221698.0105836047</v>
      </c>
      <c r="AA64" s="36">
        <v>7005543.4396147719</v>
      </c>
      <c r="AB64" s="36">
        <v>7789388.8686459372</v>
      </c>
      <c r="AC64" s="36">
        <v>8573234.2976771034</v>
      </c>
      <c r="AD64" s="36">
        <v>9357079.7267082706</v>
      </c>
      <c r="AE64" s="36">
        <v>10140925.155739438</v>
      </c>
      <c r="AF64" s="36">
        <v>10924770.584770605</v>
      </c>
      <c r="AG64" s="36">
        <v>11708616.013801768</v>
      </c>
      <c r="AH64" s="36">
        <v>12492461.442832939</v>
      </c>
      <c r="AI64" s="36">
        <v>13276306.871864103</v>
      </c>
      <c r="AJ64" s="36">
        <v>14060152.300895272</v>
      </c>
      <c r="AK64" s="36">
        <v>14843997.729926439</v>
      </c>
      <c r="AL64" s="36">
        <v>15627843.158957602</v>
      </c>
      <c r="AM64" s="36">
        <v>16411688.58798877</v>
      </c>
      <c r="AN64" s="36">
        <v>17195534.017019942</v>
      </c>
      <c r="AO64" s="36">
        <v>17979379.446051106</v>
      </c>
      <c r="AP64" s="36">
        <v>18763224.875082269</v>
      </c>
      <c r="AQ64" s="36">
        <v>19547070.30411344</v>
      </c>
      <c r="AR64" s="36">
        <v>20330915.733144611</v>
      </c>
      <c r="AS64" s="36">
        <v>21114761.162175771</v>
      </c>
      <c r="AT64" s="36">
        <v>21898606.591206938</v>
      </c>
      <c r="AU64" s="36">
        <v>22682452.020238109</v>
      </c>
      <c r="AV64" s="36">
        <v>23466297.449269272</v>
      </c>
      <c r="AW64" s="36">
        <v>24250142.87830044</v>
      </c>
      <c r="AX64" s="36">
        <v>25033988.307331603</v>
      </c>
    </row>
    <row r="65" spans="4:50">
      <c r="D65" t="s">
        <v>661</v>
      </c>
      <c r="E65" t="s">
        <v>643</v>
      </c>
      <c r="G65" s="44"/>
      <c r="I65" s="44"/>
      <c r="K65" s="44"/>
      <c r="M65" s="44"/>
      <c r="O65" s="36">
        <v>2302063.8972618305</v>
      </c>
      <c r="P65" s="36">
        <v>2702813.3054253934</v>
      </c>
      <c r="Q65" s="36">
        <v>3103562.7135889563</v>
      </c>
      <c r="R65" s="36">
        <v>3504312.1217525178</v>
      </c>
      <c r="S65" s="36">
        <v>3905061.5299160792</v>
      </c>
      <c r="T65" s="36">
        <v>4305810.938079644</v>
      </c>
      <c r="U65" s="36">
        <v>4706560.3462432045</v>
      </c>
      <c r="V65" s="36">
        <v>5107309.7544067688</v>
      </c>
      <c r="W65" s="36">
        <v>5508059.1625703312</v>
      </c>
      <c r="X65" s="36">
        <v>5908808.5707338918</v>
      </c>
      <c r="Y65" s="36">
        <v>6309557.9788974551</v>
      </c>
      <c r="Z65" s="36">
        <v>7216248.0169414813</v>
      </c>
      <c r="AA65" s="36">
        <v>8122938.0549855055</v>
      </c>
      <c r="AB65" s="36">
        <v>9029628.093029527</v>
      </c>
      <c r="AC65" s="36">
        <v>9936318.1310735513</v>
      </c>
      <c r="AD65" s="36">
        <v>10843008.169117576</v>
      </c>
      <c r="AE65" s="36">
        <v>11749698.2071616</v>
      </c>
      <c r="AF65" s="36">
        <v>12656388.245205622</v>
      </c>
      <c r="AG65" s="36">
        <v>13563078.283249643</v>
      </c>
      <c r="AH65" s="36">
        <v>14469768.321293674</v>
      </c>
      <c r="AI65" s="36">
        <v>15376458.359337693</v>
      </c>
      <c r="AJ65" s="36">
        <v>16283148.397381719</v>
      </c>
      <c r="AK65" s="36">
        <v>17189838.435425743</v>
      </c>
      <c r="AL65" s="36">
        <v>18096528.473469764</v>
      </c>
      <c r="AM65" s="36">
        <v>19003218.511513788</v>
      </c>
      <c r="AN65" s="36">
        <v>19909908.549557816</v>
      </c>
      <c r="AO65" s="36">
        <v>20816598.58760184</v>
      </c>
      <c r="AP65" s="36">
        <v>21723288.625645857</v>
      </c>
      <c r="AQ65" s="36">
        <v>22629978.663689889</v>
      </c>
      <c r="AR65" s="36">
        <v>23536668.701733917</v>
      </c>
      <c r="AS65" s="36">
        <v>24443358.739777938</v>
      </c>
      <c r="AT65" s="36">
        <v>25350048.777821954</v>
      </c>
      <c r="AU65" s="36">
        <v>26256738.815865982</v>
      </c>
      <c r="AV65" s="36">
        <v>27163428.85391001</v>
      </c>
      <c r="AW65" s="36">
        <v>28070118.891954035</v>
      </c>
      <c r="AX65" s="36">
        <v>28976808.929998059</v>
      </c>
    </row>
    <row r="66" spans="4:50">
      <c r="D66" t="s">
        <v>661</v>
      </c>
      <c r="E66" t="s">
        <v>644</v>
      </c>
      <c r="G66" s="44"/>
      <c r="I66" s="44"/>
      <c r="K66" s="44"/>
      <c r="M66" s="44"/>
      <c r="O66" s="36">
        <v>1694997.0313407637</v>
      </c>
      <c r="P66" s="36">
        <v>1993232.0863765075</v>
      </c>
      <c r="Q66" s="36">
        <v>2291467.1414122507</v>
      </c>
      <c r="R66" s="36">
        <v>2589702.196447995</v>
      </c>
      <c r="S66" s="36">
        <v>2887937.2514837394</v>
      </c>
      <c r="T66" s="36">
        <v>3186172.3065194818</v>
      </c>
      <c r="U66" s="36">
        <v>3484407.3615552266</v>
      </c>
      <c r="V66" s="36">
        <v>3782642.4165909691</v>
      </c>
      <c r="W66" s="36">
        <v>4080877.4716267125</v>
      </c>
      <c r="X66" s="36">
        <v>4379112.5266624577</v>
      </c>
      <c r="Y66" s="36">
        <v>4677347.5816982016</v>
      </c>
      <c r="Z66" s="36">
        <v>5348535.1245402936</v>
      </c>
      <c r="AA66" s="36">
        <v>6019722.6673823837</v>
      </c>
      <c r="AB66" s="36">
        <v>6690910.2102244738</v>
      </c>
      <c r="AC66" s="36">
        <v>7362097.7530665668</v>
      </c>
      <c r="AD66" s="36">
        <v>8033285.2959086588</v>
      </c>
      <c r="AE66" s="36">
        <v>8704472.8387507498</v>
      </c>
      <c r="AF66" s="36">
        <v>9375660.3815928437</v>
      </c>
      <c r="AG66" s="36">
        <v>10046847.924434936</v>
      </c>
      <c r="AH66" s="36">
        <v>10718035.467277022</v>
      </c>
      <c r="AI66" s="36">
        <v>11389223.010119118</v>
      </c>
      <c r="AJ66" s="36">
        <v>12060410.552961206</v>
      </c>
      <c r="AK66" s="36">
        <v>12731598.095803302</v>
      </c>
      <c r="AL66" s="36">
        <v>13402785.638645392</v>
      </c>
      <c r="AM66" s="36">
        <v>14073973.181487484</v>
      </c>
      <c r="AN66" s="36">
        <v>14745160.724329572</v>
      </c>
      <c r="AO66" s="36">
        <v>15416348.267171666</v>
      </c>
      <c r="AP66" s="36">
        <v>16087535.810013756</v>
      </c>
      <c r="AQ66" s="36">
        <v>16758723.352855852</v>
      </c>
      <c r="AR66" s="36">
        <v>17429910.895697944</v>
      </c>
      <c r="AS66" s="36">
        <v>18101098.438540034</v>
      </c>
      <c r="AT66" s="36">
        <v>18772285.98138212</v>
      </c>
      <c r="AU66" s="36">
        <v>19443473.524224211</v>
      </c>
      <c r="AV66" s="36">
        <v>20114661.067066301</v>
      </c>
      <c r="AW66" s="36">
        <v>20785848.609908395</v>
      </c>
      <c r="AX66" s="36">
        <v>21457036.152750485</v>
      </c>
    </row>
    <row r="67" spans="4:50">
      <c r="D67" t="s">
        <v>660</v>
      </c>
      <c r="E67" t="s">
        <v>645</v>
      </c>
      <c r="G67" s="44"/>
      <c r="I67" s="44"/>
      <c r="K67" s="44"/>
      <c r="M67" s="44"/>
      <c r="O67" s="36">
        <v>446870.20802475995</v>
      </c>
      <c r="P67" s="36">
        <v>528108.41813305358</v>
      </c>
      <c r="Q67" s="36">
        <v>609346.6282413468</v>
      </c>
      <c r="R67" s="36">
        <v>690584.83834964037</v>
      </c>
      <c r="S67" s="36">
        <v>771823.04845793371</v>
      </c>
      <c r="T67" s="36">
        <v>853061.25856622704</v>
      </c>
      <c r="U67" s="36">
        <v>934299.46867452061</v>
      </c>
      <c r="V67" s="36">
        <v>1015537.6787828142</v>
      </c>
      <c r="W67" s="36">
        <v>1096775.8888911076</v>
      </c>
      <c r="X67" s="36">
        <v>1178014.0989994011</v>
      </c>
      <c r="Y67" s="36">
        <v>1259252.3091076945</v>
      </c>
      <c r="Z67" s="36">
        <v>1436976.7563301553</v>
      </c>
      <c r="AA67" s="36">
        <v>1614701.2035526161</v>
      </c>
      <c r="AB67" s="36">
        <v>1792425.6507750771</v>
      </c>
      <c r="AC67" s="36">
        <v>1970150.097997538</v>
      </c>
      <c r="AD67" s="36">
        <v>2147874.5452199988</v>
      </c>
      <c r="AE67" s="36">
        <v>2325598.9924424593</v>
      </c>
      <c r="AF67" s="36">
        <v>2503323.4396649203</v>
      </c>
      <c r="AG67" s="36">
        <v>2681047.8868873813</v>
      </c>
      <c r="AH67" s="36">
        <v>2858772.3341098432</v>
      </c>
      <c r="AI67" s="36">
        <v>3036496.7813323033</v>
      </c>
      <c r="AJ67" s="36">
        <v>3214221.2285547638</v>
      </c>
      <c r="AK67" s="36">
        <v>3391945.6757772258</v>
      </c>
      <c r="AL67" s="36">
        <v>3569670.1229996858</v>
      </c>
      <c r="AM67" s="36">
        <v>3747394.5702221473</v>
      </c>
      <c r="AN67" s="36">
        <v>3925119.0174446073</v>
      </c>
      <c r="AO67" s="36">
        <v>4102843.4646670683</v>
      </c>
      <c r="AP67" s="36">
        <v>4280567.9118895298</v>
      </c>
      <c r="AQ67" s="36">
        <v>4458292.3591119908</v>
      </c>
      <c r="AR67" s="36">
        <v>4636016.8063344518</v>
      </c>
      <c r="AS67" s="36">
        <v>4813741.2535569137</v>
      </c>
      <c r="AT67" s="36">
        <v>4991465.7007793738</v>
      </c>
      <c r="AU67" s="36">
        <v>5169190.1480018338</v>
      </c>
      <c r="AV67" s="36">
        <v>5346914.5952242957</v>
      </c>
      <c r="AW67" s="36">
        <v>5524639.0424467586</v>
      </c>
      <c r="AX67" s="36">
        <v>5702363.4896692187</v>
      </c>
    </row>
    <row r="68" spans="4:50">
      <c r="D68" t="s">
        <v>660</v>
      </c>
      <c r="E68" t="s">
        <v>646</v>
      </c>
      <c r="G68" s="44"/>
      <c r="I68" s="44"/>
      <c r="K68" s="44"/>
      <c r="M68" s="44"/>
      <c r="O68" s="36">
        <v>241964.53204252594</v>
      </c>
      <c r="P68" s="36">
        <v>285693.80128682527</v>
      </c>
      <c r="Q68" s="36">
        <v>329423.07053112477</v>
      </c>
      <c r="R68" s="36">
        <v>373152.33977542404</v>
      </c>
      <c r="S68" s="36">
        <v>416881.60901972349</v>
      </c>
      <c r="T68" s="36">
        <v>460610.87826402276</v>
      </c>
      <c r="U68" s="36">
        <v>504340.14750832214</v>
      </c>
      <c r="V68" s="36">
        <v>548069.41675262142</v>
      </c>
      <c r="W68" s="36">
        <v>591798.6859969208</v>
      </c>
      <c r="X68" s="36">
        <v>635527.9552412203</v>
      </c>
      <c r="Y68" s="36">
        <v>679257.22448551957</v>
      </c>
      <c r="Z68" s="36">
        <v>775668.83626169234</v>
      </c>
      <c r="AA68" s="36">
        <v>872080.44803786534</v>
      </c>
      <c r="AB68" s="36">
        <v>968492.05981403822</v>
      </c>
      <c r="AC68" s="36">
        <v>1064903.6715902113</v>
      </c>
      <c r="AD68" s="36">
        <v>1161315.283366384</v>
      </c>
      <c r="AE68" s="36">
        <v>1257726.8951425569</v>
      </c>
      <c r="AF68" s="36">
        <v>1354138.50691873</v>
      </c>
      <c r="AG68" s="36">
        <v>1450550.1186949029</v>
      </c>
      <c r="AH68" s="36">
        <v>1546961.730471076</v>
      </c>
      <c r="AI68" s="36">
        <v>1643373.3422472486</v>
      </c>
      <c r="AJ68" s="36">
        <v>1739784.9540234217</v>
      </c>
      <c r="AK68" s="36">
        <v>1836196.5657995944</v>
      </c>
      <c r="AL68" s="36">
        <v>1932608.1775757675</v>
      </c>
      <c r="AM68" s="36">
        <v>2029019.7893519404</v>
      </c>
      <c r="AN68" s="36">
        <v>2125431.4011281133</v>
      </c>
      <c r="AO68" s="36">
        <v>2221843.0129042864</v>
      </c>
      <c r="AP68" s="36">
        <v>2318254.6246804586</v>
      </c>
      <c r="AQ68" s="36">
        <v>2414666.2364566321</v>
      </c>
      <c r="AR68" s="36">
        <v>2511077.8482328048</v>
      </c>
      <c r="AS68" s="36">
        <v>2607489.4600089779</v>
      </c>
      <c r="AT68" s="36">
        <v>2703901.0717851506</v>
      </c>
      <c r="AU68" s="36">
        <v>2800312.6835613241</v>
      </c>
      <c r="AV68" s="36">
        <v>2896724.2953374968</v>
      </c>
      <c r="AW68" s="36">
        <v>2993135.9071136694</v>
      </c>
      <c r="AX68" s="36">
        <v>3089547.5188898426</v>
      </c>
    </row>
    <row r="69" spans="4:50">
      <c r="D69" t="s">
        <v>661</v>
      </c>
      <c r="E69" t="s">
        <v>648</v>
      </c>
      <c r="G69" s="44"/>
      <c r="I69" s="44"/>
      <c r="K69" s="44"/>
      <c r="M69" s="44"/>
      <c r="O69" s="36">
        <v>1051510.0775631659</v>
      </c>
      <c r="P69" s="36">
        <v>1235162.7407392007</v>
      </c>
      <c r="Q69" s="36">
        <v>1418815.4039152346</v>
      </c>
      <c r="R69" s="36">
        <v>1602468.0670912687</v>
      </c>
      <c r="S69" s="36">
        <v>1786120.7302673031</v>
      </c>
      <c r="T69" s="36">
        <v>1969773.3934433379</v>
      </c>
      <c r="U69" s="36">
        <v>2153426.0566193727</v>
      </c>
      <c r="V69" s="36">
        <v>2337078.7197954063</v>
      </c>
      <c r="W69" s="36">
        <v>2520731.3829714409</v>
      </c>
      <c r="X69" s="36">
        <v>2704384.0461474746</v>
      </c>
      <c r="Y69" s="36">
        <v>2888036.7093235087</v>
      </c>
      <c r="Z69" s="36">
        <v>3306919.3556729145</v>
      </c>
      <c r="AA69" s="36">
        <v>3725802.0020223195</v>
      </c>
      <c r="AB69" s="36">
        <v>4144684.6483717239</v>
      </c>
      <c r="AC69" s="36">
        <v>4563567.2947211284</v>
      </c>
      <c r="AD69" s="36">
        <v>4982449.9410705334</v>
      </c>
      <c r="AE69" s="36">
        <v>5401332.5874199374</v>
      </c>
      <c r="AF69" s="36">
        <v>5820215.2337693432</v>
      </c>
      <c r="AG69" s="36">
        <v>6239097.8801187491</v>
      </c>
      <c r="AH69" s="36">
        <v>6657980.5264681522</v>
      </c>
      <c r="AI69" s="36">
        <v>7076863.1728175581</v>
      </c>
      <c r="AJ69" s="36">
        <v>7495745.8191669621</v>
      </c>
      <c r="AK69" s="36">
        <v>7914628.465516367</v>
      </c>
      <c r="AL69" s="36">
        <v>8333511.1118657701</v>
      </c>
      <c r="AM69" s="36">
        <v>8752393.7582151778</v>
      </c>
      <c r="AN69" s="36">
        <v>9171276.4045645818</v>
      </c>
      <c r="AO69" s="36">
        <v>9590159.0509139858</v>
      </c>
      <c r="AP69" s="36">
        <v>10009041.697263392</v>
      </c>
      <c r="AQ69" s="36">
        <v>10427924.343612796</v>
      </c>
      <c r="AR69" s="36">
        <v>10846806.989962202</v>
      </c>
      <c r="AS69" s="36">
        <v>11265689.636311606</v>
      </c>
      <c r="AT69" s="36">
        <v>11684572.282661011</v>
      </c>
      <c r="AU69" s="36">
        <v>12103454.929010414</v>
      </c>
      <c r="AV69" s="36">
        <v>12522337.575359821</v>
      </c>
      <c r="AW69" s="36">
        <v>12941220.221709225</v>
      </c>
      <c r="AX69" s="36">
        <v>13360102.868058629</v>
      </c>
    </row>
    <row r="70" spans="4:50">
      <c r="D70" t="s">
        <v>660</v>
      </c>
      <c r="E70" t="s">
        <v>649</v>
      </c>
      <c r="G70" s="44"/>
      <c r="I70" s="44"/>
      <c r="K70" s="44"/>
      <c r="M70" s="44"/>
      <c r="O70" s="36">
        <v>1047204.3958762154</v>
      </c>
      <c r="P70" s="36">
        <v>1234502.0799800465</v>
      </c>
      <c r="Q70" s="36">
        <v>1421799.7640838779</v>
      </c>
      <c r="R70" s="36">
        <v>1609097.4481877093</v>
      </c>
      <c r="S70" s="36">
        <v>1796395.132291541</v>
      </c>
      <c r="T70" s="36">
        <v>1983692.8163953722</v>
      </c>
      <c r="U70" s="36">
        <v>2170990.5004992033</v>
      </c>
      <c r="V70" s="36">
        <v>2358288.1846030345</v>
      </c>
      <c r="W70" s="36">
        <v>2545585.8687068652</v>
      </c>
      <c r="X70" s="36">
        <v>2732883.5528106974</v>
      </c>
      <c r="Y70" s="36">
        <v>2920181.2369145285</v>
      </c>
      <c r="Z70" s="36">
        <v>3337693.3118463755</v>
      </c>
      <c r="AA70" s="36">
        <v>3755205.3867782233</v>
      </c>
      <c r="AB70" s="36">
        <v>4172717.4617100698</v>
      </c>
      <c r="AC70" s="36">
        <v>4590229.5366419172</v>
      </c>
      <c r="AD70" s="36">
        <v>5007741.6115737651</v>
      </c>
      <c r="AE70" s="36">
        <v>5425253.686505612</v>
      </c>
      <c r="AF70" s="36">
        <v>5842765.7614374598</v>
      </c>
      <c r="AG70" s="36">
        <v>6260277.8363693049</v>
      </c>
      <c r="AH70" s="36">
        <v>6677789.9113011528</v>
      </c>
      <c r="AI70" s="36">
        <v>7095301.9862330006</v>
      </c>
      <c r="AJ70" s="36">
        <v>7512814.0611648476</v>
      </c>
      <c r="AK70" s="36">
        <v>7930326.1360966945</v>
      </c>
      <c r="AL70" s="36">
        <v>8347838.2110285424</v>
      </c>
      <c r="AM70" s="36">
        <v>8765350.2859603893</v>
      </c>
      <c r="AN70" s="36">
        <v>9182862.3608922344</v>
      </c>
      <c r="AO70" s="36">
        <v>9600374.435824085</v>
      </c>
      <c r="AP70" s="36">
        <v>10017886.51075593</v>
      </c>
      <c r="AQ70" s="36">
        <v>10435398.585687775</v>
      </c>
      <c r="AR70" s="36">
        <v>10852910.660619624</v>
      </c>
      <c r="AS70" s="36">
        <v>11270422.735551469</v>
      </c>
      <c r="AT70" s="36">
        <v>11687934.81048332</v>
      </c>
      <c r="AU70" s="36">
        <v>12105446.885415167</v>
      </c>
      <c r="AV70" s="36">
        <v>12522958.96034701</v>
      </c>
      <c r="AW70" s="36">
        <v>12940471.035278862</v>
      </c>
      <c r="AX70" s="36">
        <v>13357983.110210706</v>
      </c>
    </row>
    <row r="71" spans="4:50">
      <c r="D71" t="s">
        <v>660</v>
      </c>
      <c r="E71" t="s">
        <v>650</v>
      </c>
      <c r="G71" s="44"/>
      <c r="I71" s="44"/>
      <c r="K71" s="44"/>
      <c r="M71" s="44"/>
      <c r="O71" s="36">
        <v>1373498.2261270727</v>
      </c>
      <c r="P71" s="36">
        <v>1619517.62539957</v>
      </c>
      <c r="Q71" s="36">
        <v>1865537.0246720675</v>
      </c>
      <c r="R71" s="36">
        <v>2111556.423944565</v>
      </c>
      <c r="S71" s="36">
        <v>2357575.8232170613</v>
      </c>
      <c r="T71" s="36">
        <v>2603595.2224895591</v>
      </c>
      <c r="U71" s="36">
        <v>2849614.6217620568</v>
      </c>
      <c r="V71" s="36">
        <v>3095634.0210345546</v>
      </c>
      <c r="W71" s="36">
        <v>3341653.4203070514</v>
      </c>
      <c r="X71" s="36">
        <v>3587672.8195795491</v>
      </c>
      <c r="Y71" s="36">
        <v>3833692.2188520469</v>
      </c>
      <c r="Z71" s="36">
        <v>4381532.0610122057</v>
      </c>
      <c r="AA71" s="36">
        <v>4929371.9031723673</v>
      </c>
      <c r="AB71" s="36">
        <v>5477211.7453325279</v>
      </c>
      <c r="AC71" s="36">
        <v>6025051.5874926876</v>
      </c>
      <c r="AD71" s="36">
        <v>6572891.4296528464</v>
      </c>
      <c r="AE71" s="36">
        <v>7120731.271813008</v>
      </c>
      <c r="AF71" s="36">
        <v>7668571.1139731668</v>
      </c>
      <c r="AG71" s="36">
        <v>8216410.9561333284</v>
      </c>
      <c r="AH71" s="36">
        <v>8764250.7982934881</v>
      </c>
      <c r="AI71" s="36">
        <v>9312090.6404536478</v>
      </c>
      <c r="AJ71" s="36">
        <v>9859930.4826138113</v>
      </c>
      <c r="AK71" s="36">
        <v>10407770.324773969</v>
      </c>
      <c r="AL71" s="36">
        <v>10955610.166934129</v>
      </c>
      <c r="AM71" s="36">
        <v>11503450.009094292</v>
      </c>
      <c r="AN71" s="36">
        <v>12051289.851254446</v>
      </c>
      <c r="AO71" s="36">
        <v>12599129.693414612</v>
      </c>
      <c r="AP71" s="36">
        <v>13146969.535574771</v>
      </c>
      <c r="AQ71" s="36">
        <v>13694809.377734927</v>
      </c>
      <c r="AR71" s="36">
        <v>14242649.219895091</v>
      </c>
      <c r="AS71" s="36">
        <v>14790489.062055247</v>
      </c>
      <c r="AT71" s="36">
        <v>15338328.904215412</v>
      </c>
      <c r="AU71" s="36">
        <v>15886168.74637557</v>
      </c>
      <c r="AV71" s="36">
        <v>16434008.588535734</v>
      </c>
      <c r="AW71" s="36">
        <v>16981848.430695891</v>
      </c>
      <c r="AX71" s="36">
        <v>17529688.272856053</v>
      </c>
    </row>
    <row r="72" spans="4:50">
      <c r="D72" t="s">
        <v>661</v>
      </c>
      <c r="E72" t="s">
        <v>651</v>
      </c>
      <c r="G72" s="44"/>
      <c r="I72" s="44"/>
      <c r="K72" s="44"/>
      <c r="M72" s="44"/>
      <c r="O72" s="36">
        <v>1305785.2188927659</v>
      </c>
      <c r="P72" s="36">
        <v>1533136.8218687596</v>
      </c>
      <c r="Q72" s="36">
        <v>1760488.424844753</v>
      </c>
      <c r="R72" s="36">
        <v>1987840.0278207462</v>
      </c>
      <c r="S72" s="36">
        <v>2215191.6307967403</v>
      </c>
      <c r="T72" s="36">
        <v>2442543.2337727332</v>
      </c>
      <c r="U72" s="36">
        <v>2669894.8367487257</v>
      </c>
      <c r="V72" s="36">
        <v>2897246.4397247192</v>
      </c>
      <c r="W72" s="36">
        <v>3124598.0427007135</v>
      </c>
      <c r="X72" s="36">
        <v>3351949.6456767069</v>
      </c>
      <c r="Y72" s="36">
        <v>3579301.2486526999</v>
      </c>
      <c r="Z72" s="36">
        <v>4097039.1339402753</v>
      </c>
      <c r="AA72" s="36">
        <v>4614777.0192278493</v>
      </c>
      <c r="AB72" s="36">
        <v>5132514.9045154266</v>
      </c>
      <c r="AC72" s="36">
        <v>5650252.7898030002</v>
      </c>
      <c r="AD72" s="36">
        <v>6167990.6750905737</v>
      </c>
      <c r="AE72" s="36">
        <v>6685728.5603781482</v>
      </c>
      <c r="AF72" s="36">
        <v>7203466.4456657246</v>
      </c>
      <c r="AG72" s="36">
        <v>7721204.3309532991</v>
      </c>
      <c r="AH72" s="36">
        <v>8238942.2162408736</v>
      </c>
      <c r="AI72" s="36">
        <v>8756680.101528449</v>
      </c>
      <c r="AJ72" s="36">
        <v>9274417.9868160244</v>
      </c>
      <c r="AK72" s="36">
        <v>9792155.872103598</v>
      </c>
      <c r="AL72" s="36">
        <v>10309893.757391175</v>
      </c>
      <c r="AM72" s="36">
        <v>10827631.642678747</v>
      </c>
      <c r="AN72" s="36">
        <v>11345369.527966322</v>
      </c>
      <c r="AO72" s="36">
        <v>11863107.413253898</v>
      </c>
      <c r="AP72" s="36">
        <v>12380845.298541469</v>
      </c>
      <c r="AQ72" s="36">
        <v>12898583.183829047</v>
      </c>
      <c r="AR72" s="36">
        <v>13416321.06911662</v>
      </c>
      <c r="AS72" s="36">
        <v>13934058.954404196</v>
      </c>
      <c r="AT72" s="36">
        <v>14451796.839691775</v>
      </c>
      <c r="AU72" s="36">
        <v>14969534.724979348</v>
      </c>
      <c r="AV72" s="36">
        <v>15487272.610266924</v>
      </c>
      <c r="AW72" s="36">
        <v>16005010.495554494</v>
      </c>
      <c r="AX72" s="36">
        <v>16522748.380842075</v>
      </c>
    </row>
    <row r="73" spans="4:50">
      <c r="D73" t="s">
        <v>661</v>
      </c>
      <c r="E73" t="s">
        <v>652</v>
      </c>
      <c r="G73" s="44"/>
      <c r="I73" s="44"/>
      <c r="K73" s="44"/>
      <c r="M73" s="44"/>
      <c r="O73" s="36">
        <v>1309551.8840455674</v>
      </c>
      <c r="P73" s="36">
        <v>1543429.1344968986</v>
      </c>
      <c r="Q73" s="36">
        <v>1777306.3849482292</v>
      </c>
      <c r="R73" s="36">
        <v>2011183.6353995604</v>
      </c>
      <c r="S73" s="36">
        <v>2245060.8858508915</v>
      </c>
      <c r="T73" s="36">
        <v>2478938.1363022225</v>
      </c>
      <c r="U73" s="36">
        <v>2712815.3867535535</v>
      </c>
      <c r="V73" s="36">
        <v>2946692.6372048855</v>
      </c>
      <c r="W73" s="36">
        <v>3180569.8876562156</v>
      </c>
      <c r="X73" s="36">
        <v>3414447.138107548</v>
      </c>
      <c r="Y73" s="36">
        <v>3648324.3885588776</v>
      </c>
      <c r="Z73" s="36">
        <v>4166872.1064094328</v>
      </c>
      <c r="AA73" s="36">
        <v>4685419.824259988</v>
      </c>
      <c r="AB73" s="36">
        <v>5203967.54211054</v>
      </c>
      <c r="AC73" s="36">
        <v>5722515.2599610947</v>
      </c>
      <c r="AD73" s="36">
        <v>6241062.9778116494</v>
      </c>
      <c r="AE73" s="36">
        <v>6759610.6956622042</v>
      </c>
      <c r="AF73" s="36">
        <v>7278158.4135127598</v>
      </c>
      <c r="AG73" s="36">
        <v>7796706.1313633155</v>
      </c>
      <c r="AH73" s="36">
        <v>8315253.8492138693</v>
      </c>
      <c r="AI73" s="36">
        <v>8833801.5670644231</v>
      </c>
      <c r="AJ73" s="36">
        <v>9352349.2849149723</v>
      </c>
      <c r="AK73" s="36">
        <v>9870897.0027655289</v>
      </c>
      <c r="AL73" s="36">
        <v>10389444.720616084</v>
      </c>
      <c r="AM73" s="36">
        <v>10907992.438466636</v>
      </c>
      <c r="AN73" s="36">
        <v>11426540.156317193</v>
      </c>
      <c r="AO73" s="36">
        <v>11945087.87416775</v>
      </c>
      <c r="AP73" s="36">
        <v>12463635.592018301</v>
      </c>
      <c r="AQ73" s="36">
        <v>12982183.309868854</v>
      </c>
      <c r="AR73" s="36">
        <v>13500731.027719406</v>
      </c>
      <c r="AS73" s="36">
        <v>14019278.745569959</v>
      </c>
      <c r="AT73" s="36">
        <v>14537826.463420516</v>
      </c>
      <c r="AU73" s="36">
        <v>15056374.181271071</v>
      </c>
      <c r="AV73" s="36">
        <v>15574921.899121625</v>
      </c>
      <c r="AW73" s="36">
        <v>16093469.616972173</v>
      </c>
      <c r="AX73" s="36">
        <v>16612017.334822731</v>
      </c>
    </row>
    <row r="74" spans="4:50">
      <c r="D74" t="s">
        <v>661</v>
      </c>
      <c r="E74" t="s">
        <v>653</v>
      </c>
      <c r="G74" s="44"/>
      <c r="I74" s="44"/>
      <c r="K74" s="44"/>
      <c r="M74" s="44"/>
      <c r="O74" s="36">
        <v>2044278.5721382054</v>
      </c>
      <c r="P74" s="36">
        <v>2400056.8657665616</v>
      </c>
      <c r="Q74" s="36">
        <v>2755835.159394918</v>
      </c>
      <c r="R74" s="36">
        <v>3111613.453023274</v>
      </c>
      <c r="S74" s="36">
        <v>3467391.7466516308</v>
      </c>
      <c r="T74" s="36">
        <v>3823170.0402799877</v>
      </c>
      <c r="U74" s="36">
        <v>4178948.3339083437</v>
      </c>
      <c r="V74" s="36">
        <v>4534726.6275367001</v>
      </c>
      <c r="W74" s="36">
        <v>4890504.9211650575</v>
      </c>
      <c r="X74" s="36">
        <v>5246283.214793412</v>
      </c>
      <c r="Y74" s="36">
        <v>5602061.5084217703</v>
      </c>
      <c r="Z74" s="36">
        <v>6405574.3970721299</v>
      </c>
      <c r="AA74" s="36">
        <v>7209087.2857224932</v>
      </c>
      <c r="AB74" s="36">
        <v>8012600.1743728518</v>
      </c>
      <c r="AC74" s="36">
        <v>8816113.0630232133</v>
      </c>
      <c r="AD74" s="36">
        <v>9619625.9516735747</v>
      </c>
      <c r="AE74" s="36">
        <v>10423138.84032394</v>
      </c>
      <c r="AF74" s="36">
        <v>11226651.728974296</v>
      </c>
      <c r="AG74" s="36">
        <v>12030164.617624663</v>
      </c>
      <c r="AH74" s="36">
        <v>12833677.506275022</v>
      </c>
      <c r="AI74" s="36">
        <v>13637190.394925384</v>
      </c>
      <c r="AJ74" s="36">
        <v>14440703.28357574</v>
      </c>
      <c r="AK74" s="36">
        <v>15244216.172226105</v>
      </c>
      <c r="AL74" s="36">
        <v>16047729.06087647</v>
      </c>
      <c r="AM74" s="36">
        <v>16851241.949526828</v>
      </c>
      <c r="AN74" s="36">
        <v>17654754.838177189</v>
      </c>
      <c r="AO74" s="36">
        <v>18458267.726827547</v>
      </c>
      <c r="AP74" s="36">
        <v>19261780.615477912</v>
      </c>
      <c r="AQ74" s="36">
        <v>20065293.504128274</v>
      </c>
      <c r="AR74" s="36">
        <v>20868806.392778642</v>
      </c>
      <c r="AS74" s="36">
        <v>21672319.281428993</v>
      </c>
      <c r="AT74" s="36">
        <v>22475832.170079358</v>
      </c>
      <c r="AU74" s="36">
        <v>23279345.058729719</v>
      </c>
      <c r="AV74" s="36">
        <v>24082857.947380081</v>
      </c>
      <c r="AW74" s="36">
        <v>24886370.836030435</v>
      </c>
      <c r="AX74" s="36">
        <v>25689883.724680804</v>
      </c>
    </row>
    <row r="75" spans="4:50">
      <c r="D75" t="s">
        <v>661</v>
      </c>
      <c r="E75" t="s">
        <v>654</v>
      </c>
      <c r="G75" s="44"/>
      <c r="I75" s="44"/>
      <c r="K75" s="44"/>
      <c r="M75" s="44"/>
      <c r="O75" s="36">
        <v>1165035.361875887</v>
      </c>
      <c r="P75" s="36">
        <v>1368056.2957744042</v>
      </c>
      <c r="Q75" s="36">
        <v>1571077.2296729207</v>
      </c>
      <c r="R75" s="36">
        <v>1774098.1635714376</v>
      </c>
      <c r="S75" s="36">
        <v>1977119.0974699548</v>
      </c>
      <c r="T75" s="36">
        <v>2180140.0313684712</v>
      </c>
      <c r="U75" s="36">
        <v>2383160.9652669881</v>
      </c>
      <c r="V75" s="36">
        <v>2586181.8991655046</v>
      </c>
      <c r="W75" s="36">
        <v>2789202.8330640215</v>
      </c>
      <c r="X75" s="36">
        <v>2992223.766962538</v>
      </c>
      <c r="Y75" s="36">
        <v>3195244.7008610554</v>
      </c>
      <c r="Z75" s="36">
        <v>3658504.6281710519</v>
      </c>
      <c r="AA75" s="36">
        <v>4121764.5554810506</v>
      </c>
      <c r="AB75" s="36">
        <v>4585024.4827910475</v>
      </c>
      <c r="AC75" s="36">
        <v>5048284.4101010449</v>
      </c>
      <c r="AD75" s="36">
        <v>5511544.3374110404</v>
      </c>
      <c r="AE75" s="36">
        <v>5974804.2647210397</v>
      </c>
      <c r="AF75" s="36">
        <v>6438064.1920310371</v>
      </c>
      <c r="AG75" s="36">
        <v>6901324.1193410326</v>
      </c>
      <c r="AH75" s="36">
        <v>7364584.0466510318</v>
      </c>
      <c r="AI75" s="36">
        <v>7827843.9739610292</v>
      </c>
      <c r="AJ75" s="36">
        <v>8291103.9012710266</v>
      </c>
      <c r="AK75" s="36">
        <v>8754363.8285810221</v>
      </c>
      <c r="AL75" s="36">
        <v>9217623.7558910213</v>
      </c>
      <c r="AM75" s="36">
        <v>9680883.6832010169</v>
      </c>
      <c r="AN75" s="36">
        <v>10144143.610511014</v>
      </c>
      <c r="AO75" s="36">
        <v>10607403.537821012</v>
      </c>
      <c r="AP75" s="36">
        <v>11070663.465131011</v>
      </c>
      <c r="AQ75" s="36">
        <v>11533923.392441008</v>
      </c>
      <c r="AR75" s="36">
        <v>11997183.319751002</v>
      </c>
      <c r="AS75" s="36">
        <v>12460443.247061001</v>
      </c>
      <c r="AT75" s="36">
        <v>12923703.174370999</v>
      </c>
      <c r="AU75" s="36">
        <v>13386963.101680996</v>
      </c>
      <c r="AV75" s="36">
        <v>13850223.028990995</v>
      </c>
      <c r="AW75" s="36">
        <v>14313482.956300993</v>
      </c>
      <c r="AX75" s="36">
        <v>14776742.88361099</v>
      </c>
    </row>
    <row r="76" spans="4:50">
      <c r="D76" t="s">
        <v>660</v>
      </c>
      <c r="E76" t="s">
        <v>655</v>
      </c>
      <c r="G76" s="44"/>
      <c r="I76" s="44"/>
      <c r="K76" s="44"/>
      <c r="M76" s="44"/>
      <c r="O76" s="36">
        <v>984021.75589224847</v>
      </c>
      <c r="P76" s="36">
        <v>1163310.2122571534</v>
      </c>
      <c r="Q76" s="36">
        <v>1342598.6686220588</v>
      </c>
      <c r="R76" s="36">
        <v>1521887.1249869638</v>
      </c>
      <c r="S76" s="36">
        <v>1701175.5813518686</v>
      </c>
      <c r="T76" s="36">
        <v>1880464.037716774</v>
      </c>
      <c r="U76" s="36">
        <v>2059752.4940816786</v>
      </c>
      <c r="V76" s="36">
        <v>2239040.9504465833</v>
      </c>
      <c r="W76" s="36">
        <v>2418329.4068114888</v>
      </c>
      <c r="X76" s="36">
        <v>2597617.8631763938</v>
      </c>
      <c r="Y76" s="36">
        <v>2776906.3195412983</v>
      </c>
      <c r="Z76" s="36">
        <v>3165317.0093065975</v>
      </c>
      <c r="AA76" s="36">
        <v>3553727.6990718963</v>
      </c>
      <c r="AB76" s="36">
        <v>3942138.3888371941</v>
      </c>
      <c r="AC76" s="36">
        <v>4330549.0786024937</v>
      </c>
      <c r="AD76" s="36">
        <v>4718959.7683677915</v>
      </c>
      <c r="AE76" s="36">
        <v>5107370.4581330912</v>
      </c>
      <c r="AF76" s="36">
        <v>5495781.1478983881</v>
      </c>
      <c r="AG76" s="36">
        <v>5884191.8376636868</v>
      </c>
      <c r="AH76" s="36">
        <v>6272602.5274289865</v>
      </c>
      <c r="AI76" s="36">
        <v>6661013.2171942862</v>
      </c>
      <c r="AJ76" s="36">
        <v>7049423.9069595849</v>
      </c>
      <c r="AK76" s="36">
        <v>7437834.5967248818</v>
      </c>
      <c r="AL76" s="36">
        <v>7826245.2864901815</v>
      </c>
      <c r="AM76" s="36">
        <v>8214655.9762554783</v>
      </c>
      <c r="AN76" s="36">
        <v>8603066.6660207771</v>
      </c>
      <c r="AO76" s="36">
        <v>8991477.3557860758</v>
      </c>
      <c r="AP76" s="36">
        <v>9379888.0455513746</v>
      </c>
      <c r="AQ76" s="36">
        <v>9768298.7353166733</v>
      </c>
      <c r="AR76" s="36">
        <v>10156709.425081974</v>
      </c>
      <c r="AS76" s="36">
        <v>10545120.114847269</v>
      </c>
      <c r="AT76" s="36">
        <v>10933530.804612568</v>
      </c>
      <c r="AU76" s="36">
        <v>11321941.49437787</v>
      </c>
      <c r="AV76" s="36">
        <v>11710352.184143167</v>
      </c>
      <c r="AW76" s="36">
        <v>12098762.873908462</v>
      </c>
      <c r="AX76" s="36">
        <v>12487173.563673763</v>
      </c>
    </row>
    <row r="77" spans="4:50">
      <c r="D77" t="s">
        <v>661</v>
      </c>
      <c r="E77" t="s">
        <v>656</v>
      </c>
      <c r="G77" s="44"/>
      <c r="I77" s="44"/>
      <c r="K77" s="44"/>
      <c r="M77" s="44"/>
      <c r="O77" s="36">
        <v>1368577.2291641473</v>
      </c>
      <c r="P77" s="36">
        <v>1608921.6759112088</v>
      </c>
      <c r="Q77" s="36">
        <v>1849266.1226582706</v>
      </c>
      <c r="R77" s="36">
        <v>2089610.5694053322</v>
      </c>
      <c r="S77" s="36">
        <v>2329955.0161523935</v>
      </c>
      <c r="T77" s="36">
        <v>2570299.4628994553</v>
      </c>
      <c r="U77" s="36">
        <v>2810643.9096465167</v>
      </c>
      <c r="V77" s="36">
        <v>3050988.3563935785</v>
      </c>
      <c r="W77" s="36">
        <v>3291332.8031406398</v>
      </c>
      <c r="X77" s="36">
        <v>3531677.2498877016</v>
      </c>
      <c r="Y77" s="36">
        <v>3772021.6966347629</v>
      </c>
      <c r="Z77" s="36">
        <v>4316913.9937734576</v>
      </c>
      <c r="AA77" s="36">
        <v>4861806.2909121523</v>
      </c>
      <c r="AB77" s="36">
        <v>5406698.588050846</v>
      </c>
      <c r="AC77" s="36">
        <v>5951590.8851895398</v>
      </c>
      <c r="AD77" s="36">
        <v>6496483.1823282335</v>
      </c>
      <c r="AE77" s="36">
        <v>7041375.4794669291</v>
      </c>
      <c r="AF77" s="36">
        <v>7586267.7766056228</v>
      </c>
      <c r="AG77" s="36">
        <v>8131160.0737443175</v>
      </c>
      <c r="AH77" s="36">
        <v>8676052.3708830122</v>
      </c>
      <c r="AI77" s="36">
        <v>9220944.668021705</v>
      </c>
      <c r="AJ77" s="36">
        <v>9765836.9651604015</v>
      </c>
      <c r="AK77" s="36">
        <v>10310729.262299094</v>
      </c>
      <c r="AL77" s="36">
        <v>10855621.559437787</v>
      </c>
      <c r="AM77" s="36">
        <v>11400513.856576484</v>
      </c>
      <c r="AN77" s="36">
        <v>11945406.153715178</v>
      </c>
      <c r="AO77" s="36">
        <v>12490298.450853873</v>
      </c>
      <c r="AP77" s="36">
        <v>13035190.747992564</v>
      </c>
      <c r="AQ77" s="36">
        <v>13580083.045131261</v>
      </c>
      <c r="AR77" s="36">
        <v>14124975.342269955</v>
      </c>
      <c r="AS77" s="36">
        <v>14669867.639408648</v>
      </c>
      <c r="AT77" s="36">
        <v>15214759.936547345</v>
      </c>
      <c r="AU77" s="36">
        <v>15759652.233686037</v>
      </c>
      <c r="AV77" s="36">
        <v>16304544.530824734</v>
      </c>
      <c r="AW77" s="36">
        <v>16849436.827963427</v>
      </c>
      <c r="AX77" s="36">
        <v>17394329.125102121</v>
      </c>
    </row>
    <row r="78" spans="4:50">
      <c r="D78" t="s">
        <v>660</v>
      </c>
      <c r="E78" t="s">
        <v>657</v>
      </c>
      <c r="G78" s="44"/>
      <c r="I78" s="44"/>
      <c r="K78" s="44"/>
      <c r="M78" s="44"/>
      <c r="O78" s="36">
        <v>521253.42985207413</v>
      </c>
      <c r="P78" s="36">
        <v>626203.31933138159</v>
      </c>
      <c r="Q78" s="36">
        <v>731153.20881068893</v>
      </c>
      <c r="R78" s="36">
        <v>836103.09828999627</v>
      </c>
      <c r="S78" s="36">
        <v>941052.98776930384</v>
      </c>
      <c r="T78" s="36">
        <v>1046002.8772486111</v>
      </c>
      <c r="U78" s="36">
        <v>1150952.7667279188</v>
      </c>
      <c r="V78" s="36">
        <v>1255902.6562072262</v>
      </c>
      <c r="W78" s="36">
        <v>1360852.5456865332</v>
      </c>
      <c r="X78" s="36">
        <v>1465802.4351658411</v>
      </c>
      <c r="Y78" s="36">
        <v>1570752.3246451486</v>
      </c>
      <c r="Z78" s="36">
        <v>1777302.7977375379</v>
      </c>
      <c r="AA78" s="36">
        <v>1983853.2708299274</v>
      </c>
      <c r="AB78" s="36">
        <v>2190403.7439223165</v>
      </c>
      <c r="AC78" s="36">
        <v>2396954.2170147053</v>
      </c>
      <c r="AD78" s="36">
        <v>2603504.6901070955</v>
      </c>
      <c r="AE78" s="36">
        <v>2810055.1631994848</v>
      </c>
      <c r="AF78" s="36">
        <v>3016605.6362918741</v>
      </c>
      <c r="AG78" s="36">
        <v>3223156.1093842639</v>
      </c>
      <c r="AH78" s="36">
        <v>3429706.5824766522</v>
      </c>
      <c r="AI78" s="36">
        <v>3636257.0555690429</v>
      </c>
      <c r="AJ78" s="36">
        <v>3842807.5286614322</v>
      </c>
      <c r="AK78" s="36">
        <v>4049358.001753822</v>
      </c>
      <c r="AL78" s="36">
        <v>4255908.4748462103</v>
      </c>
      <c r="AM78" s="36">
        <v>4462458.9479385996</v>
      </c>
      <c r="AN78" s="36">
        <v>4669009.4210309898</v>
      </c>
      <c r="AO78" s="36">
        <v>4875559.8941233791</v>
      </c>
      <c r="AP78" s="36">
        <v>5082110.3672157684</v>
      </c>
      <c r="AQ78" s="36">
        <v>5288660.8403081568</v>
      </c>
      <c r="AR78" s="36">
        <v>5495211.3134005461</v>
      </c>
      <c r="AS78" s="36">
        <v>5701761.7864929363</v>
      </c>
      <c r="AT78" s="36">
        <v>5908312.2595853265</v>
      </c>
      <c r="AU78" s="36">
        <v>6114862.732677714</v>
      </c>
      <c r="AV78" s="36">
        <v>6321413.2057701042</v>
      </c>
      <c r="AW78" s="36">
        <v>6527963.6788624944</v>
      </c>
      <c r="AX78" s="36">
        <v>6734514.1519548856</v>
      </c>
    </row>
    <row r="79" spans="4:50">
      <c r="D79" t="s">
        <v>661</v>
      </c>
      <c r="E79" t="s">
        <v>658</v>
      </c>
      <c r="G79" s="44"/>
      <c r="I79" s="44"/>
      <c r="K79" s="44"/>
      <c r="M79" s="44"/>
      <c r="O79" s="36">
        <v>1326383.289583947</v>
      </c>
      <c r="P79" s="36">
        <v>1557194.769290217</v>
      </c>
      <c r="Q79" s="36">
        <v>1788006.2489964874</v>
      </c>
      <c r="R79" s="36">
        <v>2018817.728702757</v>
      </c>
      <c r="S79" s="36">
        <v>2249629.2084090263</v>
      </c>
      <c r="T79" s="36">
        <v>2480440.6881152969</v>
      </c>
      <c r="U79" s="36">
        <v>2711252.1678215666</v>
      </c>
      <c r="V79" s="36">
        <v>2942063.6475278363</v>
      </c>
      <c r="W79" s="36">
        <v>3172875.127234106</v>
      </c>
      <c r="X79" s="36">
        <v>3403686.6069403761</v>
      </c>
      <c r="Y79" s="36">
        <v>3634498.0866466458</v>
      </c>
      <c r="Z79" s="36">
        <v>4160316.4380123988</v>
      </c>
      <c r="AA79" s="36">
        <v>4686134.7893781513</v>
      </c>
      <c r="AB79" s="36">
        <v>5211953.1407439001</v>
      </c>
      <c r="AC79" s="36">
        <v>5737771.4921096545</v>
      </c>
      <c r="AD79" s="36">
        <v>6263589.8434754061</v>
      </c>
      <c r="AE79" s="36">
        <v>6789408.1948411567</v>
      </c>
      <c r="AF79" s="36">
        <v>7315226.5462069111</v>
      </c>
      <c r="AG79" s="36">
        <v>7841044.8975726618</v>
      </c>
      <c r="AH79" s="36">
        <v>8366863.2489384133</v>
      </c>
      <c r="AI79" s="36">
        <v>8892681.600304164</v>
      </c>
      <c r="AJ79" s="36">
        <v>9418499.9516699184</v>
      </c>
      <c r="AK79" s="36">
        <v>9944318.303035669</v>
      </c>
      <c r="AL79" s="36">
        <v>10470136.654401423</v>
      </c>
      <c r="AM79" s="36">
        <v>10995955.005767174</v>
      </c>
      <c r="AN79" s="36">
        <v>11521773.357132925</v>
      </c>
      <c r="AO79" s="36">
        <v>12047591.708498677</v>
      </c>
      <c r="AP79" s="36">
        <v>12573410.05986443</v>
      </c>
      <c r="AQ79" s="36">
        <v>13099228.411230182</v>
      </c>
      <c r="AR79" s="36">
        <v>13625046.762595931</v>
      </c>
      <c r="AS79" s="36">
        <v>14150865.113961684</v>
      </c>
      <c r="AT79" s="36">
        <v>14676683.465327438</v>
      </c>
      <c r="AU79" s="36">
        <v>15202501.816693189</v>
      </c>
      <c r="AV79" s="36">
        <v>15728320.168058943</v>
      </c>
      <c r="AW79" s="36">
        <v>16254138.519424692</v>
      </c>
      <c r="AX79" s="36">
        <v>16779956.870790448</v>
      </c>
    </row>
    <row r="80" spans="4:50">
      <c r="D80" t="s">
        <v>661</v>
      </c>
      <c r="E80" t="s">
        <v>659</v>
      </c>
      <c r="G80" s="44"/>
      <c r="I80" s="44"/>
      <c r="K80" s="44"/>
      <c r="M80" s="44"/>
      <c r="O80" s="36">
        <v>1149892.8237105466</v>
      </c>
      <c r="P80" s="36">
        <v>1354788.4608246021</v>
      </c>
      <c r="Q80" s="36">
        <v>1559684.097938658</v>
      </c>
      <c r="R80" s="36">
        <v>1764579.7350527139</v>
      </c>
      <c r="S80" s="36">
        <v>1969475.37216677</v>
      </c>
      <c r="T80" s="36">
        <v>2174371.009280826</v>
      </c>
      <c r="U80" s="36">
        <v>2379266.6463948814</v>
      </c>
      <c r="V80" s="36">
        <v>2584162.2835089373</v>
      </c>
      <c r="W80" s="36">
        <v>2789057.9206229933</v>
      </c>
      <c r="X80" s="36">
        <v>2993953.5577370478</v>
      </c>
      <c r="Y80" s="36">
        <v>3198849.1948511046</v>
      </c>
      <c r="Z80" s="36">
        <v>3657016.7042651935</v>
      </c>
      <c r="AA80" s="36">
        <v>4115184.213679282</v>
      </c>
      <c r="AB80" s="36">
        <v>4573351.72309337</v>
      </c>
      <c r="AC80" s="36">
        <v>5031519.2325074589</v>
      </c>
      <c r="AD80" s="36">
        <v>5489686.7419215469</v>
      </c>
      <c r="AE80" s="36">
        <v>5947854.2513356348</v>
      </c>
      <c r="AF80" s="36">
        <v>6406021.7607497247</v>
      </c>
      <c r="AG80" s="36">
        <v>6864189.2701638117</v>
      </c>
      <c r="AH80" s="36">
        <v>7322356.7795779016</v>
      </c>
      <c r="AI80" s="36">
        <v>7780524.2889919886</v>
      </c>
      <c r="AJ80" s="36">
        <v>8238691.7984060794</v>
      </c>
      <c r="AK80" s="36">
        <v>8696859.3078201655</v>
      </c>
      <c r="AL80" s="36">
        <v>9155026.8172342516</v>
      </c>
      <c r="AM80" s="36">
        <v>9613194.3266483415</v>
      </c>
      <c r="AN80" s="36">
        <v>10071361.836062429</v>
      </c>
      <c r="AO80" s="36">
        <v>10529529.345476517</v>
      </c>
      <c r="AP80" s="36">
        <v>10987696.854890604</v>
      </c>
      <c r="AQ80" s="36">
        <v>11445864.364304699</v>
      </c>
      <c r="AR80" s="36">
        <v>11904031.873718783</v>
      </c>
      <c r="AS80" s="36">
        <v>12362199.383132871</v>
      </c>
      <c r="AT80" s="36">
        <v>12820366.892546959</v>
      </c>
      <c r="AU80" s="36">
        <v>13278534.401961049</v>
      </c>
      <c r="AV80" s="36">
        <v>13736701.911375135</v>
      </c>
      <c r="AW80" s="36">
        <v>14194869.420789223</v>
      </c>
      <c r="AX80" s="36">
        <v>14653036.930203315</v>
      </c>
    </row>
    <row r="81" spans="3:50">
      <c r="D81" t="s">
        <v>660</v>
      </c>
      <c r="E81" t="s">
        <v>633</v>
      </c>
      <c r="G81" s="44"/>
      <c r="I81" s="44"/>
      <c r="K81" s="44"/>
      <c r="M81" s="44"/>
      <c r="O81" s="36">
        <v>375983.85193336621</v>
      </c>
      <c r="P81" s="36">
        <v>442725.42937831196</v>
      </c>
      <c r="Q81" s="36">
        <v>509467.00682325766</v>
      </c>
      <c r="R81" s="36">
        <v>576208.58426820324</v>
      </c>
      <c r="S81" s="36">
        <v>642950.16171314905</v>
      </c>
      <c r="T81" s="36">
        <v>709691.73915809474</v>
      </c>
      <c r="U81" s="36">
        <v>776433.31660304032</v>
      </c>
      <c r="V81" s="36">
        <v>843174.89404798625</v>
      </c>
      <c r="W81" s="36">
        <v>909916.47149293195</v>
      </c>
      <c r="X81" s="36">
        <v>976658.04893787764</v>
      </c>
      <c r="Y81" s="36">
        <v>1043399.6263828232</v>
      </c>
      <c r="Z81" s="36">
        <v>1190506.2275092904</v>
      </c>
      <c r="AA81" s="36">
        <v>1337612.8286357564</v>
      </c>
      <c r="AB81" s="36">
        <v>1484719.4297622233</v>
      </c>
      <c r="AC81" s="36">
        <v>1631826.0308886894</v>
      </c>
      <c r="AD81" s="36">
        <v>1778932.6320151563</v>
      </c>
      <c r="AE81" s="36">
        <v>1926039.2331416227</v>
      </c>
      <c r="AF81" s="36">
        <v>2073145.8342680894</v>
      </c>
      <c r="AG81" s="36">
        <v>2220252.4353945558</v>
      </c>
      <c r="AH81" s="36">
        <v>2367359.0365210222</v>
      </c>
      <c r="AI81" s="36">
        <v>2514465.6376474886</v>
      </c>
      <c r="AJ81" s="36">
        <v>2661572.2387739555</v>
      </c>
      <c r="AK81" s="36">
        <v>2808678.8399004214</v>
      </c>
      <c r="AL81" s="36">
        <v>2955785.4410268888</v>
      </c>
      <c r="AM81" s="36">
        <v>3102892.0421533557</v>
      </c>
      <c r="AN81" s="36">
        <v>3249998.6432798221</v>
      </c>
      <c r="AO81" s="36">
        <v>3397105.2444062885</v>
      </c>
      <c r="AP81" s="36">
        <v>3544211.8455327554</v>
      </c>
      <c r="AQ81" s="36">
        <v>3691318.4466592218</v>
      </c>
      <c r="AR81" s="36">
        <v>3838425.0477856887</v>
      </c>
      <c r="AS81" s="36">
        <v>3985531.6489121555</v>
      </c>
      <c r="AT81" s="36">
        <v>4132638.2500386219</v>
      </c>
      <c r="AU81" s="36">
        <v>4279744.8511650888</v>
      </c>
      <c r="AV81" s="36">
        <v>4426851.4522915548</v>
      </c>
      <c r="AW81" s="36">
        <v>4573958.0534180216</v>
      </c>
      <c r="AX81" s="36">
        <v>4721064.6545444867</v>
      </c>
    </row>
    <row r="82" spans="3:50">
      <c r="E82" t="s">
        <v>660</v>
      </c>
      <c r="G82" s="44"/>
      <c r="I82" s="44"/>
      <c r="K82" s="44"/>
      <c r="M82" s="44"/>
      <c r="O82" s="36">
        <f>SUMIF($D49:$D81,$E82,O49:O81)</f>
        <v>7804331.9236876527</v>
      </c>
      <c r="P82" s="36">
        <f t="shared" ref="P82" si="4">SUMIF($D49:$D81,$E82,P49:P81)</f>
        <v>9226905.8933380637</v>
      </c>
      <c r="Q82" s="36">
        <f t="shared" ref="Q82" si="5">SUMIF($D49:$D81,$E82,Q49:Q81)</f>
        <v>10649479.862988479</v>
      </c>
      <c r="R82" s="36">
        <f t="shared" ref="R82" si="6">SUMIF($D49:$D81,$E82,R49:R81)</f>
        <v>12072053.832638888</v>
      </c>
      <c r="S82" s="36">
        <f t="shared" ref="S82" si="7">SUMIF($D49:$D81,$E82,S49:S81)</f>
        <v>13494627.802289302</v>
      </c>
      <c r="T82" s="36">
        <f t="shared" ref="T82" si="8">SUMIF($D49:$D81,$E82,T49:T81)</f>
        <v>14917201.771939712</v>
      </c>
      <c r="U82" s="36">
        <f t="shared" ref="U82" si="9">SUMIF($D49:$D81,$E82,U49:U81)</f>
        <v>16339775.741590125</v>
      </c>
      <c r="V82" s="36">
        <f t="shared" ref="V82" si="10">SUMIF($D49:$D81,$E82,V49:V81)</f>
        <v>17762349.711240537</v>
      </c>
      <c r="W82" s="36">
        <f t="shared" ref="W82" si="11">SUMIF($D49:$D81,$E82,W49:W81)</f>
        <v>19184923.680890944</v>
      </c>
      <c r="X82" s="36">
        <f t="shared" ref="X82" si="12">SUMIF($D49:$D81,$E82,X49:X81)</f>
        <v>20607497.650541358</v>
      </c>
      <c r="Y82" s="36">
        <f t="shared" ref="Y82" si="13">SUMIF($D49:$D81,$E82,Y49:Y81)</f>
        <v>22030071.620191779</v>
      </c>
      <c r="Z82" s="36">
        <f t="shared" ref="Z82" si="14">SUMIF($D49:$D81,$E82,Z49:Z81)</f>
        <v>25131516.047049049</v>
      </c>
      <c r="AA82" s="36">
        <f t="shared" ref="AA82" si="15">SUMIF($D49:$D81,$E82,AA49:AA81)</f>
        <v>28232960.473906323</v>
      </c>
      <c r="AB82" s="36">
        <f t="shared" ref="AB82" si="16">SUMIF($D49:$D81,$E82,AB49:AB81)</f>
        <v>31334404.900763601</v>
      </c>
      <c r="AC82" s="36">
        <f t="shared" ref="AC82" si="17">SUMIF($D49:$D81,$E82,AC49:AC81)</f>
        <v>34435849.327620871</v>
      </c>
      <c r="AD82" s="36">
        <f t="shared" ref="AD82" si="18">SUMIF($D49:$D81,$E82,AD49:AD81)</f>
        <v>37537293.754478149</v>
      </c>
      <c r="AE82" s="36">
        <f t="shared" ref="AE82" si="19">SUMIF($D49:$D81,$E82,AE49:AE81)</f>
        <v>40638738.181335434</v>
      </c>
      <c r="AF82" s="36">
        <f t="shared" ref="AF82" si="20">SUMIF($D49:$D81,$E82,AF49:AF81)</f>
        <v>43740182.608192712</v>
      </c>
      <c r="AG82" s="36">
        <f t="shared" ref="AG82" si="21">SUMIF($D49:$D81,$E82,AG49:AG81)</f>
        <v>46841627.035049975</v>
      </c>
      <c r="AH82" s="36">
        <f t="shared" ref="AH82" si="22">SUMIF($D49:$D81,$E82,AH49:AH81)</f>
        <v>49943071.46190726</v>
      </c>
      <c r="AI82" s="36">
        <f t="shared" ref="AI82" si="23">SUMIF($D49:$D81,$E82,AI49:AI81)</f>
        <v>53044515.888764538</v>
      </c>
      <c r="AJ82" s="36">
        <f t="shared" ref="AJ82" si="24">SUMIF($D49:$D81,$E82,AJ49:AJ81)</f>
        <v>56145960.315621816</v>
      </c>
      <c r="AK82" s="36">
        <f t="shared" ref="AK82" si="25">SUMIF($D49:$D81,$E82,AK49:AK81)</f>
        <v>59247404.742479086</v>
      </c>
      <c r="AL82" s="36">
        <f t="shared" ref="AL82" si="26">SUMIF($D49:$D81,$E82,AL49:AL81)</f>
        <v>62348849.169336356</v>
      </c>
      <c r="AM82" s="36">
        <f t="shared" ref="AM82" si="27">SUMIF($D49:$D81,$E82,AM49:AM81)</f>
        <v>65450293.596193641</v>
      </c>
      <c r="AN82" s="36">
        <f t="shared" ref="AN82" si="28">SUMIF($D49:$D81,$E82,AN49:AN81)</f>
        <v>68551738.023050919</v>
      </c>
      <c r="AO82" s="36">
        <f t="shared" ref="AO82" si="29">SUMIF($D49:$D81,$E82,AO49:AO81)</f>
        <v>71653182.449908182</v>
      </c>
      <c r="AP82" s="36">
        <f t="shared" ref="AP82" si="30">SUMIF($D49:$D81,$E82,AP49:AP81)</f>
        <v>74754626.876765475</v>
      </c>
      <c r="AQ82" s="36">
        <f t="shared" ref="AQ82" si="31">SUMIF($D49:$D81,$E82,AQ49:AQ81)</f>
        <v>77856071.303622752</v>
      </c>
      <c r="AR82" s="36">
        <f t="shared" ref="AR82" si="32">SUMIF($D49:$D81,$E82,AR49:AR81)</f>
        <v>80957515.730480015</v>
      </c>
      <c r="AS82" s="36">
        <f t="shared" ref="AS82" si="33">SUMIF($D49:$D81,$E82,AS49:AS81)</f>
        <v>84058960.157337308</v>
      </c>
      <c r="AT82" s="36">
        <f t="shared" ref="AT82" si="34">SUMIF($D49:$D81,$E82,AT49:AT81)</f>
        <v>87160404.584194571</v>
      </c>
      <c r="AU82" s="36">
        <f t="shared" ref="AU82" si="35">SUMIF($D49:$D81,$E82,AU49:AU81)</f>
        <v>90261849.011051849</v>
      </c>
      <c r="AV82" s="36">
        <f t="shared" ref="AV82" si="36">SUMIF($D49:$D81,$E82,AV49:AV81)</f>
        <v>93363293.437909126</v>
      </c>
      <c r="AW82" s="36">
        <f t="shared" ref="AW82" si="37">SUMIF($D49:$D81,$E82,AW49:AW81)</f>
        <v>96464737.864766419</v>
      </c>
      <c r="AX82" s="36">
        <f t="shared" ref="AX82" si="38">SUMIF($D49:$D81,$E82,AX49:AX81)</f>
        <v>99566182.291623682</v>
      </c>
    </row>
    <row r="83" spans="3:50">
      <c r="E83" t="s">
        <v>661</v>
      </c>
      <c r="G83" s="44"/>
      <c r="I83" s="44"/>
      <c r="K83" s="44"/>
      <c r="M83" s="44"/>
      <c r="O83" s="36">
        <f>SUMIF($D49:$D81,$E83,O49:O81)</f>
        <v>35898768.076312393</v>
      </c>
      <c r="P83" s="36">
        <f t="shared" ref="P83:AX83" si="39">SUMIF($D49:$D81,$E83,P49:P81)</f>
        <v>42182371.625854515</v>
      </c>
      <c r="Q83" s="36">
        <f t="shared" si="39"/>
        <v>48465975.175396621</v>
      </c>
      <c r="R83" s="36">
        <f t="shared" si="39"/>
        <v>54749578.724938728</v>
      </c>
      <c r="S83" s="36">
        <f t="shared" si="39"/>
        <v>61033182.274480835</v>
      </c>
      <c r="T83" s="36">
        <f t="shared" si="39"/>
        <v>67316785.824022949</v>
      </c>
      <c r="U83" s="36">
        <f t="shared" si="39"/>
        <v>73600389.373565063</v>
      </c>
      <c r="V83" s="36">
        <f t="shared" si="39"/>
        <v>79883992.923107192</v>
      </c>
      <c r="W83" s="36">
        <f t="shared" si="39"/>
        <v>86167596.472649291</v>
      </c>
      <c r="X83" s="36">
        <f t="shared" si="39"/>
        <v>92451200.022191405</v>
      </c>
      <c r="Y83" s="36">
        <f t="shared" si="39"/>
        <v>98734803.571733505</v>
      </c>
      <c r="Z83" s="36">
        <f t="shared" si="39"/>
        <v>112948591.52287768</v>
      </c>
      <c r="AA83" s="36">
        <f t="shared" si="39"/>
        <v>127162379.47402184</v>
      </c>
      <c r="AB83" s="36">
        <f t="shared" si="39"/>
        <v>141376167.42516598</v>
      </c>
      <c r="AC83" s="36">
        <f t="shared" si="39"/>
        <v>155589955.37631014</v>
      </c>
      <c r="AD83" s="36">
        <f t="shared" si="39"/>
        <v>169803743.32745427</v>
      </c>
      <c r="AE83" s="36">
        <f t="shared" si="39"/>
        <v>184017531.27859843</v>
      </c>
      <c r="AF83" s="36">
        <f t="shared" si="39"/>
        <v>198231319.22974265</v>
      </c>
      <c r="AG83" s="36">
        <f t="shared" si="39"/>
        <v>212445107.18088681</v>
      </c>
      <c r="AH83" s="36">
        <f t="shared" si="39"/>
        <v>226658895.13203096</v>
      </c>
      <c r="AI83" s="36">
        <f t="shared" si="39"/>
        <v>240872683.08317506</v>
      </c>
      <c r="AJ83" s="36">
        <f t="shared" si="39"/>
        <v>255086471.03431922</v>
      </c>
      <c r="AK83" s="36">
        <f t="shared" si="39"/>
        <v>269300258.98546338</v>
      </c>
      <c r="AL83" s="36">
        <f t="shared" si="39"/>
        <v>283514046.93660754</v>
      </c>
      <c r="AM83" s="36">
        <f t="shared" si="39"/>
        <v>297727834.8877517</v>
      </c>
      <c r="AN83" s="36">
        <f t="shared" si="39"/>
        <v>311941622.83889586</v>
      </c>
      <c r="AO83" s="36">
        <f t="shared" si="39"/>
        <v>326155410.79004002</v>
      </c>
      <c r="AP83" s="36">
        <f t="shared" si="39"/>
        <v>340369198.74118406</v>
      </c>
      <c r="AQ83" s="36">
        <f t="shared" si="39"/>
        <v>354582986.69232845</v>
      </c>
      <c r="AR83" s="36">
        <f t="shared" si="39"/>
        <v>368796774.64347249</v>
      </c>
      <c r="AS83" s="36">
        <f t="shared" si="39"/>
        <v>383010562.59461665</v>
      </c>
      <c r="AT83" s="36">
        <f t="shared" si="39"/>
        <v>397224350.54576075</v>
      </c>
      <c r="AU83" s="36">
        <f t="shared" si="39"/>
        <v>411438138.49690485</v>
      </c>
      <c r="AV83" s="36">
        <f t="shared" si="39"/>
        <v>425651926.44804907</v>
      </c>
      <c r="AW83" s="36">
        <f t="shared" si="39"/>
        <v>439865714.39919311</v>
      </c>
      <c r="AX83" s="36">
        <f t="shared" si="39"/>
        <v>454079502.35033733</v>
      </c>
    </row>
    <row r="84" spans="3:50">
      <c r="E84" t="s">
        <v>122</v>
      </c>
      <c r="G84" s="44"/>
      <c r="I84" s="44"/>
      <c r="K84" s="44"/>
      <c r="M84" s="44"/>
      <c r="O84" s="159">
        <f t="shared" ref="O84:AX84" si="40">SUM(O49:O81)</f>
        <v>43703100.000000037</v>
      </c>
      <c r="P84" s="159">
        <f t="shared" si="40"/>
        <v>51409277.519192584</v>
      </c>
      <c r="Q84" s="159">
        <f t="shared" si="40"/>
        <v>59115455.038385093</v>
      </c>
      <c r="R84" s="159">
        <f t="shared" si="40"/>
        <v>66821632.55757761</v>
      </c>
      <c r="S84" s="159">
        <f t="shared" si="40"/>
        <v>74527810.076770142</v>
      </c>
      <c r="T84" s="159">
        <f t="shared" si="40"/>
        <v>82233987.595962688</v>
      </c>
      <c r="U84" s="159">
        <f t="shared" si="40"/>
        <v>89940165.11515519</v>
      </c>
      <c r="V84" s="159">
        <f t="shared" si="40"/>
        <v>97646342.634347737</v>
      </c>
      <c r="W84" s="159">
        <f t="shared" si="40"/>
        <v>105352520.15354022</v>
      </c>
      <c r="X84" s="159">
        <f t="shared" si="40"/>
        <v>113058697.67273274</v>
      </c>
      <c r="Y84" s="159">
        <f t="shared" si="40"/>
        <v>120764875.19192529</v>
      </c>
      <c r="Z84" s="159">
        <f t="shared" si="40"/>
        <v>138080107.56992677</v>
      </c>
      <c r="AA84" s="159">
        <f t="shared" si="40"/>
        <v>155395339.94792816</v>
      </c>
      <c r="AB84" s="159">
        <f t="shared" si="40"/>
        <v>172710572.32592955</v>
      </c>
      <c r="AC84" s="159">
        <f t="shared" si="40"/>
        <v>190025804.703931</v>
      </c>
      <c r="AD84" s="159">
        <f t="shared" si="40"/>
        <v>207341037.08193246</v>
      </c>
      <c r="AE84" s="159">
        <f t="shared" si="40"/>
        <v>224656269.45993385</v>
      </c>
      <c r="AF84" s="159">
        <f t="shared" si="40"/>
        <v>241971501.8379353</v>
      </c>
      <c r="AG84" s="159">
        <f t="shared" si="40"/>
        <v>259286734.21593678</v>
      </c>
      <c r="AH84" s="159">
        <f t="shared" si="40"/>
        <v>276601966.59393823</v>
      </c>
      <c r="AI84" s="159">
        <f t="shared" si="40"/>
        <v>293917198.97193968</v>
      </c>
      <c r="AJ84" s="159">
        <f t="shared" si="40"/>
        <v>311232431.34994107</v>
      </c>
      <c r="AK84" s="159">
        <f t="shared" si="40"/>
        <v>328547663.72794247</v>
      </c>
      <c r="AL84" s="159">
        <f t="shared" si="40"/>
        <v>345862896.10594398</v>
      </c>
      <c r="AM84" s="159">
        <f t="shared" si="40"/>
        <v>363178128.48394543</v>
      </c>
      <c r="AN84" s="159">
        <f t="shared" si="40"/>
        <v>380493360.86194676</v>
      </c>
      <c r="AO84" s="159">
        <f t="shared" si="40"/>
        <v>397808593.23994821</v>
      </c>
      <c r="AP84" s="159">
        <f t="shared" si="40"/>
        <v>415123825.61794966</v>
      </c>
      <c r="AQ84" s="159">
        <f t="shared" si="40"/>
        <v>432439057.99595112</v>
      </c>
      <c r="AR84" s="159">
        <f t="shared" si="40"/>
        <v>449754290.37395251</v>
      </c>
      <c r="AS84" s="159">
        <f t="shared" si="40"/>
        <v>467069522.75195384</v>
      </c>
      <c r="AT84" s="159">
        <f t="shared" si="40"/>
        <v>484384755.12995535</v>
      </c>
      <c r="AU84" s="159">
        <f t="shared" si="40"/>
        <v>501699987.5079568</v>
      </c>
      <c r="AV84" s="159">
        <f t="shared" si="40"/>
        <v>519015219.88595825</v>
      </c>
      <c r="AW84" s="159">
        <f t="shared" si="40"/>
        <v>536330452.26395953</v>
      </c>
      <c r="AX84" s="159">
        <f t="shared" si="40"/>
        <v>553645684.64196098</v>
      </c>
    </row>
    <row r="85" spans="3:50">
      <c r="D85" s="76"/>
      <c r="O85" s="159"/>
      <c r="P85" s="159"/>
      <c r="Q85" s="159"/>
      <c r="R85" s="159"/>
      <c r="S85" s="159"/>
      <c r="T85" s="159"/>
      <c r="U85" s="159"/>
      <c r="V85" s="159"/>
      <c r="W85" s="159"/>
      <c r="X85" s="159"/>
      <c r="Y85" s="159"/>
      <c r="Z85" s="159"/>
      <c r="AA85" s="159"/>
      <c r="AB85" s="159"/>
      <c r="AC85" s="159"/>
      <c r="AD85" s="159"/>
      <c r="AE85" s="159"/>
      <c r="AF85" s="159"/>
      <c r="AG85" s="159"/>
      <c r="AH85" s="159"/>
      <c r="AI85" s="159"/>
      <c r="AJ85" s="159"/>
      <c r="AK85" s="159"/>
      <c r="AL85" s="159"/>
      <c r="AM85" s="159"/>
      <c r="AN85" s="159"/>
      <c r="AO85" s="159"/>
      <c r="AP85" s="159"/>
      <c r="AQ85" s="159"/>
      <c r="AR85" s="159"/>
      <c r="AS85" s="159"/>
      <c r="AT85" s="159"/>
      <c r="AU85" s="159"/>
      <c r="AV85" s="159"/>
      <c r="AW85" s="159"/>
      <c r="AX85" s="159"/>
    </row>
    <row r="86" spans="3:50">
      <c r="D86" s="160" t="s">
        <v>720</v>
      </c>
      <c r="E86" t="str">
        <f xml:space="preserve"> Dashboard!$D$5</f>
        <v>Inner London</v>
      </c>
      <c r="G86" s="44"/>
      <c r="I86" s="44"/>
      <c r="K86" s="44"/>
      <c r="M86" s="44"/>
      <c r="O86" s="36">
        <f>INDEX(O49:O84,MATCH($E$86,$E$49:$E$84,0))</f>
        <v>7804331.9236876527</v>
      </c>
      <c r="P86" s="36">
        <f t="shared" ref="P86:AX86" si="41">INDEX(P49:P84,MATCH($E$86,$E$49:$E$84,0))</f>
        <v>9226905.8933380637</v>
      </c>
      <c r="Q86" s="36">
        <f t="shared" si="41"/>
        <v>10649479.862988479</v>
      </c>
      <c r="R86" s="36">
        <f t="shared" si="41"/>
        <v>12072053.832638888</v>
      </c>
      <c r="S86" s="36">
        <f t="shared" si="41"/>
        <v>13494627.802289302</v>
      </c>
      <c r="T86" s="36">
        <f>INDEX(T49:T84,MATCH($E$86,$E$49:$E$84,0))</f>
        <v>14917201.771939712</v>
      </c>
      <c r="U86" s="36">
        <f t="shared" si="41"/>
        <v>16339775.741590125</v>
      </c>
      <c r="V86" s="36">
        <f t="shared" si="41"/>
        <v>17762349.711240537</v>
      </c>
      <c r="W86" s="36">
        <f t="shared" si="41"/>
        <v>19184923.680890944</v>
      </c>
      <c r="X86" s="36">
        <f t="shared" si="41"/>
        <v>20607497.650541358</v>
      </c>
      <c r="Y86" s="36">
        <f t="shared" si="41"/>
        <v>22030071.620191779</v>
      </c>
      <c r="Z86" s="36">
        <f t="shared" si="41"/>
        <v>25131516.047049049</v>
      </c>
      <c r="AA86" s="36">
        <f t="shared" si="41"/>
        <v>28232960.473906323</v>
      </c>
      <c r="AB86" s="36">
        <f t="shared" si="41"/>
        <v>31334404.900763601</v>
      </c>
      <c r="AC86" s="36">
        <f t="shared" si="41"/>
        <v>34435849.327620871</v>
      </c>
      <c r="AD86" s="36">
        <f t="shared" si="41"/>
        <v>37537293.754478149</v>
      </c>
      <c r="AE86" s="36">
        <f t="shared" si="41"/>
        <v>40638738.181335434</v>
      </c>
      <c r="AF86" s="36">
        <f t="shared" si="41"/>
        <v>43740182.608192712</v>
      </c>
      <c r="AG86" s="36">
        <f t="shared" si="41"/>
        <v>46841627.035049975</v>
      </c>
      <c r="AH86" s="36">
        <f t="shared" si="41"/>
        <v>49943071.46190726</v>
      </c>
      <c r="AI86" s="36">
        <f t="shared" si="41"/>
        <v>53044515.888764538</v>
      </c>
      <c r="AJ86" s="36">
        <f t="shared" si="41"/>
        <v>56145960.315621816</v>
      </c>
      <c r="AK86" s="36">
        <f t="shared" si="41"/>
        <v>59247404.742479086</v>
      </c>
      <c r="AL86" s="36">
        <f t="shared" si="41"/>
        <v>62348849.169336356</v>
      </c>
      <c r="AM86" s="36">
        <f t="shared" si="41"/>
        <v>65450293.596193641</v>
      </c>
      <c r="AN86" s="36">
        <f t="shared" si="41"/>
        <v>68551738.023050919</v>
      </c>
      <c r="AO86" s="36">
        <f t="shared" si="41"/>
        <v>71653182.449908182</v>
      </c>
      <c r="AP86" s="36">
        <f t="shared" si="41"/>
        <v>74754626.876765475</v>
      </c>
      <c r="AQ86" s="36">
        <f t="shared" si="41"/>
        <v>77856071.303622752</v>
      </c>
      <c r="AR86" s="36">
        <f t="shared" si="41"/>
        <v>80957515.730480015</v>
      </c>
      <c r="AS86" s="36">
        <f t="shared" si="41"/>
        <v>84058960.157337308</v>
      </c>
      <c r="AT86" s="36">
        <f t="shared" si="41"/>
        <v>87160404.584194571</v>
      </c>
      <c r="AU86" s="36">
        <f t="shared" si="41"/>
        <v>90261849.011051849</v>
      </c>
      <c r="AV86" s="36">
        <f t="shared" si="41"/>
        <v>93363293.437909126</v>
      </c>
      <c r="AW86" s="36">
        <f t="shared" si="41"/>
        <v>96464737.864766419</v>
      </c>
      <c r="AX86" s="36">
        <f t="shared" si="41"/>
        <v>99566182.291623682</v>
      </c>
    </row>
    <row r="88" spans="3:50" s="43" customFormat="1">
      <c r="C88" s="43" t="s">
        <v>30</v>
      </c>
      <c r="O88" s="71"/>
      <c r="P88" s="71"/>
      <c r="Q88" s="71"/>
      <c r="R88" s="71"/>
      <c r="S88" s="71"/>
      <c r="T88" s="71"/>
      <c r="U88" s="71"/>
      <c r="V88" s="71"/>
      <c r="W88" s="71"/>
      <c r="X88" s="71"/>
      <c r="Y88" s="71"/>
      <c r="Z88" s="71"/>
      <c r="AA88" s="71"/>
      <c r="AB88" s="71"/>
      <c r="AC88" s="71"/>
      <c r="AD88" s="71"/>
      <c r="AE88" s="71"/>
      <c r="AF88" s="71"/>
      <c r="AG88" s="71"/>
      <c r="AH88" s="71"/>
      <c r="AI88" s="71"/>
      <c r="AJ88" s="71"/>
      <c r="AK88" s="71"/>
      <c r="AL88" s="71"/>
      <c r="AM88" s="71"/>
      <c r="AN88" s="71"/>
      <c r="AO88" s="71"/>
      <c r="AP88" s="71"/>
      <c r="AQ88" s="71"/>
      <c r="AR88" s="71"/>
      <c r="AS88" s="71"/>
      <c r="AT88" s="71"/>
      <c r="AU88" s="71"/>
      <c r="AV88" s="71"/>
      <c r="AW88" s="71"/>
      <c r="AX88" s="71"/>
    </row>
    <row r="90" spans="3:50">
      <c r="D90" t="s">
        <v>661</v>
      </c>
      <c r="E90" t="s">
        <v>626</v>
      </c>
      <c r="G90" s="44"/>
      <c r="I90" s="44"/>
      <c r="K90" s="44"/>
      <c r="M90" s="44"/>
      <c r="O90" s="36">
        <v>914757.5093894999</v>
      </c>
      <c r="P90" s="36">
        <v>1607182.9567093437</v>
      </c>
      <c r="Q90" s="36">
        <v>2299608.4040291877</v>
      </c>
      <c r="R90" s="36">
        <v>2992033.8513490325</v>
      </c>
      <c r="S90" s="36">
        <v>3684459.2986688768</v>
      </c>
      <c r="T90" s="36">
        <v>4376884.7459887201</v>
      </c>
      <c r="U90" s="36">
        <v>5069310.1933085648</v>
      </c>
      <c r="V90" s="36">
        <v>5761735.6406284068</v>
      </c>
      <c r="W90" s="36">
        <v>6454161.0879482515</v>
      </c>
      <c r="X90" s="36">
        <v>7146586.5352680963</v>
      </c>
      <c r="Y90" s="36">
        <v>7839011.9825879391</v>
      </c>
      <c r="Z90" s="36">
        <v>8830215.7128012795</v>
      </c>
      <c r="AA90" s="36">
        <v>9821419.4430146199</v>
      </c>
      <c r="AB90" s="36">
        <v>10812623.173227962</v>
      </c>
      <c r="AC90" s="36">
        <v>11803826.903441302</v>
      </c>
      <c r="AD90" s="36">
        <v>12795030.633654645</v>
      </c>
      <c r="AE90" s="36">
        <v>13786234.363867981</v>
      </c>
      <c r="AF90" s="36">
        <v>14777438.094081322</v>
      </c>
      <c r="AG90" s="36">
        <v>15768641.824294664</v>
      </c>
      <c r="AH90" s="36">
        <v>16759845.554508006</v>
      </c>
      <c r="AI90" s="36">
        <v>17751049.284721348</v>
      </c>
      <c r="AJ90" s="36">
        <v>18742253.014934689</v>
      </c>
      <c r="AK90" s="36">
        <v>19733456.745148029</v>
      </c>
      <c r="AL90" s="36">
        <v>20724660.47536137</v>
      </c>
      <c r="AM90" s="36">
        <v>21715864.205574702</v>
      </c>
      <c r="AN90" s="36">
        <v>22707067.935788047</v>
      </c>
      <c r="AO90" s="36">
        <v>23698271.666001387</v>
      </c>
      <c r="AP90" s="36">
        <v>24689475.396214727</v>
      </c>
      <c r="AQ90" s="36">
        <v>25680679.126428071</v>
      </c>
      <c r="AR90" s="36">
        <v>26671882.856641408</v>
      </c>
      <c r="AS90" s="36">
        <v>27663086.586854745</v>
      </c>
      <c r="AT90" s="36">
        <v>28654290.317068089</v>
      </c>
      <c r="AU90" s="36">
        <v>29645494.047281433</v>
      </c>
      <c r="AV90" s="36">
        <v>30636697.777494781</v>
      </c>
      <c r="AW90" s="36">
        <v>31627901.507708114</v>
      </c>
      <c r="AX90" s="36">
        <v>32619105.237921447</v>
      </c>
    </row>
    <row r="91" spans="3:50">
      <c r="D91" t="s">
        <v>661</v>
      </c>
      <c r="E91" t="s">
        <v>627</v>
      </c>
      <c r="G91" s="44"/>
      <c r="I91" s="44"/>
      <c r="K91" s="44"/>
      <c r="M91" s="44"/>
      <c r="O91" s="36">
        <v>2644372.5341043943</v>
      </c>
      <c r="P91" s="36">
        <v>4636503.778645711</v>
      </c>
      <c r="Q91" s="36">
        <v>6628635.0231870264</v>
      </c>
      <c r="R91" s="36">
        <v>8620766.2677283455</v>
      </c>
      <c r="S91" s="36">
        <v>10612897.512269659</v>
      </c>
      <c r="T91" s="36">
        <v>12605028.756810978</v>
      </c>
      <c r="U91" s="36">
        <v>14597160.001352293</v>
      </c>
      <c r="V91" s="36">
        <v>16589291.245893614</v>
      </c>
      <c r="W91" s="36">
        <v>18581422.490434926</v>
      </c>
      <c r="X91" s="36">
        <v>20573553.734976247</v>
      </c>
      <c r="Y91" s="36">
        <v>22565684.979517553</v>
      </c>
      <c r="Z91" s="36">
        <v>25198865.80115018</v>
      </c>
      <c r="AA91" s="36">
        <v>27832046.622782793</v>
      </c>
      <c r="AB91" s="36">
        <v>30465227.444415409</v>
      </c>
      <c r="AC91" s="36">
        <v>33098408.266048022</v>
      </c>
      <c r="AD91" s="36">
        <v>35731589.087680645</v>
      </c>
      <c r="AE91" s="36">
        <v>38364769.909313262</v>
      </c>
      <c r="AF91" s="36">
        <v>40997950.730945885</v>
      </c>
      <c r="AG91" s="36">
        <v>43631131.552578494</v>
      </c>
      <c r="AH91" s="36">
        <v>46264312.374211118</v>
      </c>
      <c r="AI91" s="36">
        <v>48897493.195843719</v>
      </c>
      <c r="AJ91" s="36">
        <v>51530674.017476343</v>
      </c>
      <c r="AK91" s="36">
        <v>54163854.839108951</v>
      </c>
      <c r="AL91" s="36">
        <v>56797035.660741583</v>
      </c>
      <c r="AM91" s="36">
        <v>59430216.482374206</v>
      </c>
      <c r="AN91" s="36">
        <v>62063397.304006822</v>
      </c>
      <c r="AO91" s="36">
        <v>64696578.125639446</v>
      </c>
      <c r="AP91" s="36">
        <v>67329758.947272062</v>
      </c>
      <c r="AQ91" s="36">
        <v>69962939.768904671</v>
      </c>
      <c r="AR91" s="36">
        <v>72596120.59053728</v>
      </c>
      <c r="AS91" s="36">
        <v>75229301.412169933</v>
      </c>
      <c r="AT91" s="36">
        <v>77862482.233802542</v>
      </c>
      <c r="AU91" s="36">
        <v>80495663.055435136</v>
      </c>
      <c r="AV91" s="36">
        <v>83128843.877067775</v>
      </c>
      <c r="AW91" s="36">
        <v>85762024.698700398</v>
      </c>
      <c r="AX91" s="36">
        <v>88395205.520333007</v>
      </c>
    </row>
    <row r="92" spans="3:50">
      <c r="D92" t="s">
        <v>661</v>
      </c>
      <c r="E92" t="s">
        <v>628</v>
      </c>
      <c r="G92" s="44"/>
      <c r="I92" s="44"/>
      <c r="K92" s="44"/>
      <c r="M92" s="44"/>
      <c r="O92" s="36">
        <v>1916341.7509471027</v>
      </c>
      <c r="P92" s="36">
        <v>3354322.1759354281</v>
      </c>
      <c r="Q92" s="36">
        <v>4792302.6009237543</v>
      </c>
      <c r="R92" s="36">
        <v>6230283.025912079</v>
      </c>
      <c r="S92" s="36">
        <v>7668263.4509004056</v>
      </c>
      <c r="T92" s="36">
        <v>9106243.8758887313</v>
      </c>
      <c r="U92" s="36">
        <v>10544224.300877057</v>
      </c>
      <c r="V92" s="36">
        <v>11982204.725865383</v>
      </c>
      <c r="W92" s="36">
        <v>13420185.150853708</v>
      </c>
      <c r="X92" s="36">
        <v>14858165.57584203</v>
      </c>
      <c r="Y92" s="36">
        <v>16296146.000830358</v>
      </c>
      <c r="Z92" s="36">
        <v>18332822.081525646</v>
      </c>
      <c r="AA92" s="36">
        <v>20369498.16222094</v>
      </c>
      <c r="AB92" s="36">
        <v>22406174.242916226</v>
      </c>
      <c r="AC92" s="36">
        <v>24442850.32361152</v>
      </c>
      <c r="AD92" s="36">
        <v>26479526.40430681</v>
      </c>
      <c r="AE92" s="36">
        <v>28516202.4850021</v>
      </c>
      <c r="AF92" s="36">
        <v>30552878.565697383</v>
      </c>
      <c r="AG92" s="36">
        <v>32589554.646392677</v>
      </c>
      <c r="AH92" s="36">
        <v>34626230.727087967</v>
      </c>
      <c r="AI92" s="36">
        <v>36662906.807783246</v>
      </c>
      <c r="AJ92" s="36">
        <v>38699582.888478547</v>
      </c>
      <c r="AK92" s="36">
        <v>40736258.969173841</v>
      </c>
      <c r="AL92" s="36">
        <v>42772935.049869128</v>
      </c>
      <c r="AM92" s="36">
        <v>44809611.130564414</v>
      </c>
      <c r="AN92" s="36">
        <v>46846287.211259693</v>
      </c>
      <c r="AO92" s="36">
        <v>48882963.291955009</v>
      </c>
      <c r="AP92" s="36">
        <v>50919639.372650295</v>
      </c>
      <c r="AQ92" s="36">
        <v>52956315.453345567</v>
      </c>
      <c r="AR92" s="36">
        <v>54992991.534040861</v>
      </c>
      <c r="AS92" s="36">
        <v>57029667.61473617</v>
      </c>
      <c r="AT92" s="36">
        <v>59066343.695431449</v>
      </c>
      <c r="AU92" s="36">
        <v>61103019.776126735</v>
      </c>
      <c r="AV92" s="36">
        <v>63139695.856822014</v>
      </c>
      <c r="AW92" s="36">
        <v>65176371.937517315</v>
      </c>
      <c r="AX92" s="36">
        <v>67213048.018212602</v>
      </c>
    </row>
    <row r="93" spans="3:50">
      <c r="D93" t="s">
        <v>661</v>
      </c>
      <c r="E93" t="s">
        <v>629</v>
      </c>
      <c r="G93" s="44"/>
      <c r="I93" s="44"/>
      <c r="K93" s="44"/>
      <c r="M93" s="44"/>
      <c r="O93" s="36">
        <v>1793981.7627948506</v>
      </c>
      <c r="P93" s="36">
        <v>3143686.5199509566</v>
      </c>
      <c r="Q93" s="36">
        <v>4493391.27710706</v>
      </c>
      <c r="R93" s="36">
        <v>5843096.0342631666</v>
      </c>
      <c r="S93" s="36">
        <v>7192800.7914192714</v>
      </c>
      <c r="T93" s="36">
        <v>8542505.5485753752</v>
      </c>
      <c r="U93" s="36">
        <v>9892210.3057314828</v>
      </c>
      <c r="V93" s="36">
        <v>11241915.062887589</v>
      </c>
      <c r="W93" s="36">
        <v>12591619.820043691</v>
      </c>
      <c r="X93" s="36">
        <v>13941324.577199798</v>
      </c>
      <c r="Y93" s="36">
        <v>15291029.334355904</v>
      </c>
      <c r="Z93" s="36">
        <v>17125120.32124972</v>
      </c>
      <c r="AA93" s="36">
        <v>18959211.308143549</v>
      </c>
      <c r="AB93" s="36">
        <v>20793302.295037359</v>
      </c>
      <c r="AC93" s="36">
        <v>22627393.281931184</v>
      </c>
      <c r="AD93" s="36">
        <v>24461484.268825013</v>
      </c>
      <c r="AE93" s="36">
        <v>26295575.255718842</v>
      </c>
      <c r="AF93" s="36">
        <v>28129666.24261266</v>
      </c>
      <c r="AG93" s="36">
        <v>29963757.229506474</v>
      </c>
      <c r="AH93" s="36">
        <v>31797848.216400288</v>
      </c>
      <c r="AI93" s="36">
        <v>33631939.203294121</v>
      </c>
      <c r="AJ93" s="36">
        <v>35466030.190187946</v>
      </c>
      <c r="AK93" s="36">
        <v>37300121.177081771</v>
      </c>
      <c r="AL93" s="36">
        <v>39134212.163975589</v>
      </c>
      <c r="AM93" s="36">
        <v>40968303.150869407</v>
      </c>
      <c r="AN93" s="36">
        <v>42802394.137763239</v>
      </c>
      <c r="AO93" s="36">
        <v>44636485.124657065</v>
      </c>
      <c r="AP93" s="36">
        <v>46470576.11155089</v>
      </c>
      <c r="AQ93" s="36">
        <v>48304667.098444693</v>
      </c>
      <c r="AR93" s="36">
        <v>50138758.08533854</v>
      </c>
      <c r="AS93" s="36">
        <v>51972849.072232343</v>
      </c>
      <c r="AT93" s="36">
        <v>53806940.059126161</v>
      </c>
      <c r="AU93" s="36">
        <v>55641031.046019986</v>
      </c>
      <c r="AV93" s="36">
        <v>57475122.032913826</v>
      </c>
      <c r="AW93" s="36">
        <v>59309213.019807644</v>
      </c>
      <c r="AX93" s="36">
        <v>61143304.006701455</v>
      </c>
    </row>
    <row r="94" spans="3:50">
      <c r="D94" t="s">
        <v>661</v>
      </c>
      <c r="E94" t="s">
        <v>630</v>
      </c>
      <c r="G94" s="44"/>
      <c r="I94" s="44"/>
      <c r="K94" s="44"/>
      <c r="M94" s="44"/>
      <c r="O94" s="36">
        <v>2754959.5909112915</v>
      </c>
      <c r="P94" s="36">
        <v>4822280.0461455053</v>
      </c>
      <c r="Q94" s="36">
        <v>6889600.5013797199</v>
      </c>
      <c r="R94" s="36">
        <v>8956920.9566139374</v>
      </c>
      <c r="S94" s="36">
        <v>11024241.411848152</v>
      </c>
      <c r="T94" s="36">
        <v>13091561.867082369</v>
      </c>
      <c r="U94" s="36">
        <v>15158882.32231658</v>
      </c>
      <c r="V94" s="36">
        <v>17226202.777550794</v>
      </c>
      <c r="W94" s="36">
        <v>19293523.232785013</v>
      </c>
      <c r="X94" s="36">
        <v>21360843.688019227</v>
      </c>
      <c r="Y94" s="36">
        <v>23428164.143253446</v>
      </c>
      <c r="Z94" s="36">
        <v>25940344.494653165</v>
      </c>
      <c r="AA94" s="36">
        <v>28452524.846052881</v>
      </c>
      <c r="AB94" s="36">
        <v>30964705.197452601</v>
      </c>
      <c r="AC94" s="36">
        <v>33476885.548852324</v>
      </c>
      <c r="AD94" s="36">
        <v>35989065.900252044</v>
      </c>
      <c r="AE94" s="36">
        <v>38501246.251651764</v>
      </c>
      <c r="AF94" s="36">
        <v>41013426.603051476</v>
      </c>
      <c r="AG94" s="36">
        <v>43525606.954451203</v>
      </c>
      <c r="AH94" s="36">
        <v>46037787.305850931</v>
      </c>
      <c r="AI94" s="36">
        <v>48549967.657250643</v>
      </c>
      <c r="AJ94" s="36">
        <v>51062148.00865037</v>
      </c>
      <c r="AK94" s="36">
        <v>53574328.360050082</v>
      </c>
      <c r="AL94" s="36">
        <v>56086508.711449809</v>
      </c>
      <c r="AM94" s="36">
        <v>58598689.062849529</v>
      </c>
      <c r="AN94" s="36">
        <v>61110869.414249249</v>
      </c>
      <c r="AO94" s="36">
        <v>63623049.765648969</v>
      </c>
      <c r="AP94" s="36">
        <v>66135230.117048696</v>
      </c>
      <c r="AQ94" s="36">
        <v>68647410.468448415</v>
      </c>
      <c r="AR94" s="36">
        <v>71159590.819848135</v>
      </c>
      <c r="AS94" s="36">
        <v>73671771.17124787</v>
      </c>
      <c r="AT94" s="36">
        <v>76183951.522647589</v>
      </c>
      <c r="AU94" s="36">
        <v>78696131.874047279</v>
      </c>
      <c r="AV94" s="36">
        <v>81208312.225446999</v>
      </c>
      <c r="AW94" s="36">
        <v>83720492.576846749</v>
      </c>
      <c r="AX94" s="36">
        <v>86232672.928246439</v>
      </c>
    </row>
    <row r="95" spans="3:50">
      <c r="D95" t="s">
        <v>660</v>
      </c>
      <c r="E95" t="s">
        <v>631</v>
      </c>
      <c r="G95" s="44"/>
      <c r="I95" s="44"/>
      <c r="K95" s="44"/>
      <c r="M95" s="44"/>
      <c r="O95" s="36">
        <v>351312.83046755381</v>
      </c>
      <c r="P95" s="36">
        <v>627670.70956325019</v>
      </c>
      <c r="Q95" s="36">
        <v>904028.58865894657</v>
      </c>
      <c r="R95" s="36">
        <v>1180386.4677546429</v>
      </c>
      <c r="S95" s="36">
        <v>1456744.3468503389</v>
      </c>
      <c r="T95" s="36">
        <v>1733102.2259460357</v>
      </c>
      <c r="U95" s="36">
        <v>2009460.1050417318</v>
      </c>
      <c r="V95" s="36">
        <v>2285817.9841374285</v>
      </c>
      <c r="W95" s="36">
        <v>2562175.8632331248</v>
      </c>
      <c r="X95" s="36">
        <v>2838533.7423288203</v>
      </c>
      <c r="Y95" s="36">
        <v>3114891.6214245171</v>
      </c>
      <c r="Z95" s="36">
        <v>3705092.8532092082</v>
      </c>
      <c r="AA95" s="36">
        <v>4295294.0849938989</v>
      </c>
      <c r="AB95" s="36">
        <v>4885495.316778589</v>
      </c>
      <c r="AC95" s="36">
        <v>5475696.5485632792</v>
      </c>
      <c r="AD95" s="36">
        <v>6065897.7803479703</v>
      </c>
      <c r="AE95" s="36">
        <v>6656099.0121326614</v>
      </c>
      <c r="AF95" s="36">
        <v>7246300.2439173507</v>
      </c>
      <c r="AG95" s="36">
        <v>7836501.4757020427</v>
      </c>
      <c r="AH95" s="36">
        <v>8426702.7074867319</v>
      </c>
      <c r="AI95" s="36">
        <v>9016903.939271424</v>
      </c>
      <c r="AJ95" s="36">
        <v>9607105.1710561141</v>
      </c>
      <c r="AK95" s="36">
        <v>10197306.402840806</v>
      </c>
      <c r="AL95" s="36">
        <v>10787507.634625494</v>
      </c>
      <c r="AM95" s="36">
        <v>11377708.866410185</v>
      </c>
      <c r="AN95" s="36">
        <v>11967910.098194877</v>
      </c>
      <c r="AO95" s="36">
        <v>12558111.329979569</v>
      </c>
      <c r="AP95" s="36">
        <v>13148312.561764259</v>
      </c>
      <c r="AQ95" s="36">
        <v>13738513.793548949</v>
      </c>
      <c r="AR95" s="36">
        <v>14328715.025333636</v>
      </c>
      <c r="AS95" s="36">
        <v>14918916.257118328</v>
      </c>
      <c r="AT95" s="36">
        <v>15509117.488903016</v>
      </c>
      <c r="AU95" s="36">
        <v>16099318.72068771</v>
      </c>
      <c r="AV95" s="36">
        <v>16689519.952472402</v>
      </c>
      <c r="AW95" s="36">
        <v>17279721.18425709</v>
      </c>
      <c r="AX95" s="36">
        <v>17869922.416041784</v>
      </c>
    </row>
    <row r="96" spans="3:50">
      <c r="D96" t="s">
        <v>660</v>
      </c>
      <c r="E96" t="s">
        <v>632</v>
      </c>
      <c r="G96" s="44"/>
      <c r="I96" s="44"/>
      <c r="K96" s="44"/>
      <c r="M96" s="44"/>
      <c r="O96" s="36">
        <v>38293.175709502611</v>
      </c>
      <c r="P96" s="36">
        <v>65896.339245873445</v>
      </c>
      <c r="Q96" s="36">
        <v>93499.502782244279</v>
      </c>
      <c r="R96" s="36">
        <v>121102.66631861511</v>
      </c>
      <c r="S96" s="36">
        <v>148705.82985498593</v>
      </c>
      <c r="T96" s="36">
        <v>176308.99339135675</v>
      </c>
      <c r="U96" s="36">
        <v>203912.15692772757</v>
      </c>
      <c r="V96" s="36">
        <v>231515.32046409839</v>
      </c>
      <c r="W96" s="36">
        <v>259118.48400046921</v>
      </c>
      <c r="X96" s="36">
        <v>286721.64753684006</v>
      </c>
      <c r="Y96" s="36">
        <v>314324.81107321091</v>
      </c>
      <c r="Z96" s="36">
        <v>349290.67251221911</v>
      </c>
      <c r="AA96" s="36">
        <v>384256.53395122732</v>
      </c>
      <c r="AB96" s="36">
        <v>419222.39539023553</v>
      </c>
      <c r="AC96" s="36">
        <v>454188.25682924374</v>
      </c>
      <c r="AD96" s="36">
        <v>489154.11826825194</v>
      </c>
      <c r="AE96" s="36">
        <v>524119.97970726015</v>
      </c>
      <c r="AF96" s="36">
        <v>559085.84114626842</v>
      </c>
      <c r="AG96" s="36">
        <v>594051.70258527668</v>
      </c>
      <c r="AH96" s="36">
        <v>629017.56402428495</v>
      </c>
      <c r="AI96" s="36">
        <v>663983.42546329321</v>
      </c>
      <c r="AJ96" s="36">
        <v>698949.28690230148</v>
      </c>
      <c r="AK96" s="36">
        <v>733915.14834130974</v>
      </c>
      <c r="AL96" s="36">
        <v>768881.00978031801</v>
      </c>
      <c r="AM96" s="36">
        <v>803846.87121932628</v>
      </c>
      <c r="AN96" s="36">
        <v>838812.73265833454</v>
      </c>
      <c r="AO96" s="36">
        <v>873778.59409734281</v>
      </c>
      <c r="AP96" s="36">
        <v>908744.45553635107</v>
      </c>
      <c r="AQ96" s="36">
        <v>943710.31697535934</v>
      </c>
      <c r="AR96" s="36">
        <v>978676.17841436761</v>
      </c>
      <c r="AS96" s="36">
        <v>1013642.0398533759</v>
      </c>
      <c r="AT96" s="36">
        <v>1048607.9012923841</v>
      </c>
      <c r="AU96" s="36">
        <v>1083573.7627313924</v>
      </c>
      <c r="AV96" s="36">
        <v>1118539.6241704007</v>
      </c>
      <c r="AW96" s="36">
        <v>1153505.4856094089</v>
      </c>
      <c r="AX96" s="36">
        <v>1188471.347048416</v>
      </c>
    </row>
    <row r="97" spans="4:50">
      <c r="D97" t="s">
        <v>661</v>
      </c>
      <c r="E97" t="s">
        <v>634</v>
      </c>
      <c r="G97" s="44"/>
      <c r="I97" s="44"/>
      <c r="K97" s="44"/>
      <c r="M97" s="44"/>
      <c r="O97" s="36">
        <v>2429320.3465845049</v>
      </c>
      <c r="P97" s="36">
        <v>4256763.7201474654</v>
      </c>
      <c r="Q97" s="36">
        <v>6084207.0937104253</v>
      </c>
      <c r="R97" s="36">
        <v>7911650.4672733853</v>
      </c>
      <c r="S97" s="36">
        <v>9739093.8408363461</v>
      </c>
      <c r="T97" s="36">
        <v>11566537.214399306</v>
      </c>
      <c r="U97" s="36">
        <v>13393980.587962262</v>
      </c>
      <c r="V97" s="36">
        <v>15221423.961525226</v>
      </c>
      <c r="W97" s="36">
        <v>17048867.335088182</v>
      </c>
      <c r="X97" s="36">
        <v>18876310.708651148</v>
      </c>
      <c r="Y97" s="36">
        <v>20703754.082214102</v>
      </c>
      <c r="Z97" s="36">
        <v>23282708.987252627</v>
      </c>
      <c r="AA97" s="36">
        <v>25861663.892291129</v>
      </c>
      <c r="AB97" s="36">
        <v>28440618.797329646</v>
      </c>
      <c r="AC97" s="36">
        <v>31019573.702368163</v>
      </c>
      <c r="AD97" s="36">
        <v>33598528.607406676</v>
      </c>
      <c r="AE97" s="36">
        <v>36177483.512445197</v>
      </c>
      <c r="AF97" s="36">
        <v>38756438.41748371</v>
      </c>
      <c r="AG97" s="36">
        <v>41335393.322522223</v>
      </c>
      <c r="AH97" s="36">
        <v>43914348.227560736</v>
      </c>
      <c r="AI97" s="36">
        <v>46493303.132599264</v>
      </c>
      <c r="AJ97" s="36">
        <v>49072258.03763777</v>
      </c>
      <c r="AK97" s="36">
        <v>51651212.942676269</v>
      </c>
      <c r="AL97" s="36">
        <v>54230167.847714789</v>
      </c>
      <c r="AM97" s="36">
        <v>56809122.752753317</v>
      </c>
      <c r="AN97" s="36">
        <v>59388077.657791823</v>
      </c>
      <c r="AO97" s="36">
        <v>61967032.562830329</v>
      </c>
      <c r="AP97" s="36">
        <v>64545987.467868842</v>
      </c>
      <c r="AQ97" s="36">
        <v>67124942.37290737</v>
      </c>
      <c r="AR97" s="36">
        <v>69703897.277945876</v>
      </c>
      <c r="AS97" s="36">
        <v>72282852.182984382</v>
      </c>
      <c r="AT97" s="36">
        <v>74861807.088022888</v>
      </c>
      <c r="AU97" s="36">
        <v>77440761.993061423</v>
      </c>
      <c r="AV97" s="36">
        <v>80019716.898099914</v>
      </c>
      <c r="AW97" s="36">
        <v>82598671.803138435</v>
      </c>
      <c r="AX97" s="36">
        <v>85177626.708176956</v>
      </c>
    </row>
    <row r="98" spans="4:50">
      <c r="D98" t="s">
        <v>661</v>
      </c>
      <c r="E98" t="s">
        <v>635</v>
      </c>
      <c r="G98" s="44"/>
      <c r="I98" s="44"/>
      <c r="K98" s="44"/>
      <c r="M98" s="44"/>
      <c r="O98" s="36">
        <v>2018771.6403892282</v>
      </c>
      <c r="P98" s="36">
        <v>3538094.2925239266</v>
      </c>
      <c r="Q98" s="36">
        <v>5057416.9446586268</v>
      </c>
      <c r="R98" s="36">
        <v>6576739.5967933265</v>
      </c>
      <c r="S98" s="36">
        <v>8096062.2489280254</v>
      </c>
      <c r="T98" s="36">
        <v>9615384.901062727</v>
      </c>
      <c r="U98" s="36">
        <v>11134707.553197425</v>
      </c>
      <c r="V98" s="36">
        <v>12654030.205332125</v>
      </c>
      <c r="W98" s="36">
        <v>14173352.857466824</v>
      </c>
      <c r="X98" s="36">
        <v>15692675.509601528</v>
      </c>
      <c r="Y98" s="36">
        <v>17211998.16173622</v>
      </c>
      <c r="Z98" s="36">
        <v>19186405.579174079</v>
      </c>
      <c r="AA98" s="36">
        <v>21160812.99661193</v>
      </c>
      <c r="AB98" s="36">
        <v>23135220.414049778</v>
      </c>
      <c r="AC98" s="36">
        <v>25109627.831487626</v>
      </c>
      <c r="AD98" s="36">
        <v>27084035.248925485</v>
      </c>
      <c r="AE98" s="36">
        <v>29058442.666363329</v>
      </c>
      <c r="AF98" s="36">
        <v>31032850.083801173</v>
      </c>
      <c r="AG98" s="36">
        <v>33007257.501239024</v>
      </c>
      <c r="AH98" s="36">
        <v>34981664.918676883</v>
      </c>
      <c r="AI98" s="36">
        <v>36956072.336114734</v>
      </c>
      <c r="AJ98" s="36">
        <v>38930479.753552586</v>
      </c>
      <c r="AK98" s="36">
        <v>40904887.17099043</v>
      </c>
      <c r="AL98" s="36">
        <v>42879294.588428274</v>
      </c>
      <c r="AM98" s="36">
        <v>44853702.00586614</v>
      </c>
      <c r="AN98" s="36">
        <v>46828109.423303992</v>
      </c>
      <c r="AO98" s="36">
        <v>48802516.840741828</v>
      </c>
      <c r="AP98" s="36">
        <v>50776924.258179694</v>
      </c>
      <c r="AQ98" s="36">
        <v>52751331.675617538</v>
      </c>
      <c r="AR98" s="36">
        <v>54725739.093055412</v>
      </c>
      <c r="AS98" s="36">
        <v>56700146.510493226</v>
      </c>
      <c r="AT98" s="36">
        <v>58674553.927931085</v>
      </c>
      <c r="AU98" s="36">
        <v>60648961.345368929</v>
      </c>
      <c r="AV98" s="36">
        <v>62623368.762806788</v>
      </c>
      <c r="AW98" s="36">
        <v>64597776.18024464</v>
      </c>
      <c r="AX98" s="36">
        <v>66572183.597682498</v>
      </c>
    </row>
    <row r="99" spans="4:50">
      <c r="D99" t="s">
        <v>661</v>
      </c>
      <c r="E99" t="s">
        <v>636</v>
      </c>
      <c r="G99" s="44"/>
      <c r="I99" s="44"/>
      <c r="K99" s="44"/>
      <c r="M99" s="44"/>
      <c r="O99" s="36">
        <v>1796845.846017624</v>
      </c>
      <c r="P99" s="36">
        <v>3145278.1051980141</v>
      </c>
      <c r="Q99" s="36">
        <v>4493710.3643784067</v>
      </c>
      <c r="R99" s="36">
        <v>5842142.6235587979</v>
      </c>
      <c r="S99" s="36">
        <v>7190574.8827391891</v>
      </c>
      <c r="T99" s="36">
        <v>8539007.1419195775</v>
      </c>
      <c r="U99" s="36">
        <v>9887439.4010999687</v>
      </c>
      <c r="V99" s="36">
        <v>11235871.66028036</v>
      </c>
      <c r="W99" s="36">
        <v>12584303.919460751</v>
      </c>
      <c r="X99" s="36">
        <v>13932736.17864114</v>
      </c>
      <c r="Y99" s="36">
        <v>15281168.437821535</v>
      </c>
      <c r="Z99" s="36">
        <v>17138903.670007203</v>
      </c>
      <c r="AA99" s="36">
        <v>18996638.902192879</v>
      </c>
      <c r="AB99" s="36">
        <v>20854374.134378564</v>
      </c>
      <c r="AC99" s="36">
        <v>22712109.366564237</v>
      </c>
      <c r="AD99" s="36">
        <v>24569844.59874991</v>
      </c>
      <c r="AE99" s="36">
        <v>26427579.830935594</v>
      </c>
      <c r="AF99" s="36">
        <v>28285315.06312127</v>
      </c>
      <c r="AG99" s="36">
        <v>30143050.295306943</v>
      </c>
      <c r="AH99" s="36">
        <v>32000785.527492616</v>
      </c>
      <c r="AI99" s="36">
        <v>33858520.759678289</v>
      </c>
      <c r="AJ99" s="36">
        <v>35716255.991863966</v>
      </c>
      <c r="AK99" s="36">
        <v>37573991.224049643</v>
      </c>
      <c r="AL99" s="36">
        <v>39431726.456235327</v>
      </c>
      <c r="AM99" s="36">
        <v>41289461.688420996</v>
      </c>
      <c r="AN99" s="36">
        <v>43147196.92060668</v>
      </c>
      <c r="AO99" s="36">
        <v>45004932.152792364</v>
      </c>
      <c r="AP99" s="36">
        <v>46862667.384978019</v>
      </c>
      <c r="AQ99" s="36">
        <v>48720402.617163688</v>
      </c>
      <c r="AR99" s="36">
        <v>50578137.84934938</v>
      </c>
      <c r="AS99" s="36">
        <v>52435873.081535064</v>
      </c>
      <c r="AT99" s="36">
        <v>54293608.31372074</v>
      </c>
      <c r="AU99" s="36">
        <v>56151343.54590641</v>
      </c>
      <c r="AV99" s="36">
        <v>58009078.778092079</v>
      </c>
      <c r="AW99" s="36">
        <v>59866814.010277763</v>
      </c>
      <c r="AX99" s="36">
        <v>61724549.24246341</v>
      </c>
    </row>
    <row r="100" spans="4:50">
      <c r="D100" t="s">
        <v>660</v>
      </c>
      <c r="E100" t="s">
        <v>637</v>
      </c>
      <c r="G100" s="44"/>
      <c r="I100" s="44"/>
      <c r="K100" s="44"/>
      <c r="M100" s="44"/>
      <c r="O100" s="36">
        <v>1364026.2246228976</v>
      </c>
      <c r="P100" s="36">
        <v>2406922.8016835102</v>
      </c>
      <c r="Q100" s="36">
        <v>3449819.378744123</v>
      </c>
      <c r="R100" s="36">
        <v>4492715.9558047364</v>
      </c>
      <c r="S100" s="36">
        <v>5535612.5328653492</v>
      </c>
      <c r="T100" s="36">
        <v>6578509.109925963</v>
      </c>
      <c r="U100" s="36">
        <v>7621405.6869865749</v>
      </c>
      <c r="V100" s="36">
        <v>8664302.2640471887</v>
      </c>
      <c r="W100" s="36">
        <v>9707198.8411078025</v>
      </c>
      <c r="X100" s="36">
        <v>10750095.418168413</v>
      </c>
      <c r="Y100" s="36">
        <v>11792991.995229028</v>
      </c>
      <c r="Z100" s="36">
        <v>12925185.759710034</v>
      </c>
      <c r="AA100" s="36">
        <v>14057379.524191044</v>
      </c>
      <c r="AB100" s="36">
        <v>15189573.288672054</v>
      </c>
      <c r="AC100" s="36">
        <v>16321767.053153064</v>
      </c>
      <c r="AD100" s="36">
        <v>17453960.817634068</v>
      </c>
      <c r="AE100" s="36">
        <v>18586154.582115073</v>
      </c>
      <c r="AF100" s="36">
        <v>19718348.346596085</v>
      </c>
      <c r="AG100" s="36">
        <v>20850542.111077093</v>
      </c>
      <c r="AH100" s="36">
        <v>21982735.875558101</v>
      </c>
      <c r="AI100" s="36">
        <v>23114929.640039109</v>
      </c>
      <c r="AJ100" s="36">
        <v>24247123.40452012</v>
      </c>
      <c r="AK100" s="36">
        <v>25379317.169001125</v>
      </c>
      <c r="AL100" s="36">
        <v>26511510.933482133</v>
      </c>
      <c r="AM100" s="36">
        <v>27643704.697963145</v>
      </c>
      <c r="AN100" s="36">
        <v>28775898.462444145</v>
      </c>
      <c r="AO100" s="36">
        <v>29908092.22692515</v>
      </c>
      <c r="AP100" s="36">
        <v>31040285.991406165</v>
      </c>
      <c r="AQ100" s="36">
        <v>32172479.755887173</v>
      </c>
      <c r="AR100" s="36">
        <v>33304673.520368177</v>
      </c>
      <c r="AS100" s="36">
        <v>34436867.284849197</v>
      </c>
      <c r="AT100" s="36">
        <v>35569061.049330197</v>
      </c>
      <c r="AU100" s="36">
        <v>36701254.813811213</v>
      </c>
      <c r="AV100" s="36">
        <v>37833448.578292213</v>
      </c>
      <c r="AW100" s="36">
        <v>38965642.342773214</v>
      </c>
      <c r="AX100" s="36">
        <v>40097836.107254222</v>
      </c>
    </row>
    <row r="101" spans="4:50">
      <c r="D101" t="s">
        <v>660</v>
      </c>
      <c r="E101" t="s">
        <v>638</v>
      </c>
      <c r="G101" s="44"/>
      <c r="I101" s="44"/>
      <c r="K101" s="44"/>
      <c r="M101" s="44"/>
      <c r="O101" s="36">
        <v>662741.12371362071</v>
      </c>
      <c r="P101" s="36">
        <v>1185829.1879174737</v>
      </c>
      <c r="Q101" s="36">
        <v>1708917.252121327</v>
      </c>
      <c r="R101" s="36">
        <v>2232005.3163251793</v>
      </c>
      <c r="S101" s="36">
        <v>2755093.3805290326</v>
      </c>
      <c r="T101" s="36">
        <v>3278181.4447328853</v>
      </c>
      <c r="U101" s="36">
        <v>3801269.5089367386</v>
      </c>
      <c r="V101" s="36">
        <v>4324357.5731405914</v>
      </c>
      <c r="W101" s="36">
        <v>4847445.637344446</v>
      </c>
      <c r="X101" s="36">
        <v>5370533.7015482988</v>
      </c>
      <c r="Y101" s="36">
        <v>5893621.7657521516</v>
      </c>
      <c r="Z101" s="36">
        <v>6337903.2348683169</v>
      </c>
      <c r="AA101" s="36">
        <v>6782184.7039844776</v>
      </c>
      <c r="AB101" s="36">
        <v>7226466.173100641</v>
      </c>
      <c r="AC101" s="36">
        <v>7670747.6422168054</v>
      </c>
      <c r="AD101" s="36">
        <v>8115029.1113329679</v>
      </c>
      <c r="AE101" s="36">
        <v>8559310.5804491285</v>
      </c>
      <c r="AF101" s="36">
        <v>9003592.0495652948</v>
      </c>
      <c r="AG101" s="36">
        <v>9447873.518681461</v>
      </c>
      <c r="AH101" s="36">
        <v>9892154.9877976235</v>
      </c>
      <c r="AI101" s="36">
        <v>10336436.456913786</v>
      </c>
      <c r="AJ101" s="36">
        <v>10780717.926029947</v>
      </c>
      <c r="AK101" s="36">
        <v>11224999.395146113</v>
      </c>
      <c r="AL101" s="36">
        <v>11669280.864262275</v>
      </c>
      <c r="AM101" s="36">
        <v>12113562.333378434</v>
      </c>
      <c r="AN101" s="36">
        <v>12557843.8024946</v>
      </c>
      <c r="AO101" s="36">
        <v>13002125.271610767</v>
      </c>
      <c r="AP101" s="36">
        <v>13446406.740726924</v>
      </c>
      <c r="AQ101" s="36">
        <v>13890688.209843092</v>
      </c>
      <c r="AR101" s="36">
        <v>14334969.678959254</v>
      </c>
      <c r="AS101" s="36">
        <v>14779251.148075419</v>
      </c>
      <c r="AT101" s="36">
        <v>15223532.617191583</v>
      </c>
      <c r="AU101" s="36">
        <v>15667814.086307742</v>
      </c>
      <c r="AV101" s="36">
        <v>16112095.55542391</v>
      </c>
      <c r="AW101" s="36">
        <v>16556377.02454007</v>
      </c>
      <c r="AX101" s="36">
        <v>17000658.493656237</v>
      </c>
    </row>
    <row r="102" spans="4:50">
      <c r="D102" t="s">
        <v>660</v>
      </c>
      <c r="E102" t="s">
        <v>639</v>
      </c>
      <c r="G102" s="44"/>
      <c r="I102" s="44"/>
      <c r="K102" s="44"/>
      <c r="M102" s="44"/>
      <c r="O102" s="36">
        <v>397162.16942581232</v>
      </c>
      <c r="P102" s="36">
        <v>707053.54467545031</v>
      </c>
      <c r="Q102" s="36">
        <v>1016944.9199250882</v>
      </c>
      <c r="R102" s="36">
        <v>1326836.2951747258</v>
      </c>
      <c r="S102" s="36">
        <v>1636727.6704243638</v>
      </c>
      <c r="T102" s="36">
        <v>1946619.0456740018</v>
      </c>
      <c r="U102" s="36">
        <v>2256510.4209236391</v>
      </c>
      <c r="V102" s="36">
        <v>2566401.7961732773</v>
      </c>
      <c r="W102" s="36">
        <v>2876293.1714229146</v>
      </c>
      <c r="X102" s="36">
        <v>3186184.5466725524</v>
      </c>
      <c r="Y102" s="36">
        <v>3496075.9219221906</v>
      </c>
      <c r="Z102" s="36">
        <v>4227016.5158853577</v>
      </c>
      <c r="AA102" s="36">
        <v>4957957.1098485244</v>
      </c>
      <c r="AB102" s="36">
        <v>5688897.7038116893</v>
      </c>
      <c r="AC102" s="36">
        <v>6419838.2977748578</v>
      </c>
      <c r="AD102" s="36">
        <v>7150778.8917380245</v>
      </c>
      <c r="AE102" s="36">
        <v>7881719.4857011903</v>
      </c>
      <c r="AF102" s="36">
        <v>8612660.0796643607</v>
      </c>
      <c r="AG102" s="36">
        <v>9343600.6736275237</v>
      </c>
      <c r="AH102" s="36">
        <v>10074541.26759069</v>
      </c>
      <c r="AI102" s="36">
        <v>10805481.861553859</v>
      </c>
      <c r="AJ102" s="36">
        <v>11536422.455517026</v>
      </c>
      <c r="AK102" s="36">
        <v>12267363.049480192</v>
      </c>
      <c r="AL102" s="36">
        <v>12998303.643443361</v>
      </c>
      <c r="AM102" s="36">
        <v>13729244.237406526</v>
      </c>
      <c r="AN102" s="36">
        <v>14460184.831369692</v>
      </c>
      <c r="AO102" s="36">
        <v>15191125.425332863</v>
      </c>
      <c r="AP102" s="36">
        <v>15922066.019296028</v>
      </c>
      <c r="AQ102" s="36">
        <v>16653006.613259193</v>
      </c>
      <c r="AR102" s="36">
        <v>17383947.207222357</v>
      </c>
      <c r="AS102" s="36">
        <v>18114887.801185533</v>
      </c>
      <c r="AT102" s="36">
        <v>18845828.395148695</v>
      </c>
      <c r="AU102" s="36">
        <v>19576768.989111863</v>
      </c>
      <c r="AV102" s="36">
        <v>20307709.583075028</v>
      </c>
      <c r="AW102" s="36">
        <v>21038650.177038196</v>
      </c>
      <c r="AX102" s="36">
        <v>21769590.771001361</v>
      </c>
    </row>
    <row r="103" spans="4:50">
      <c r="D103" t="s">
        <v>661</v>
      </c>
      <c r="E103" t="s">
        <v>640</v>
      </c>
      <c r="G103" s="44"/>
      <c r="I103" s="44"/>
      <c r="K103" s="44"/>
      <c r="M103" s="44"/>
      <c r="O103" s="36">
        <v>985976.60331554699</v>
      </c>
      <c r="P103" s="36">
        <v>1725733.4220875057</v>
      </c>
      <c r="Q103" s="36">
        <v>2465490.2408594647</v>
      </c>
      <c r="R103" s="36">
        <v>3205247.0596314212</v>
      </c>
      <c r="S103" s="36">
        <v>3945003.87840338</v>
      </c>
      <c r="T103" s="36">
        <v>4684760.6971753389</v>
      </c>
      <c r="U103" s="36">
        <v>5424517.5159472963</v>
      </c>
      <c r="V103" s="36">
        <v>6164274.3347192546</v>
      </c>
      <c r="W103" s="36">
        <v>6904031.1534912139</v>
      </c>
      <c r="X103" s="36">
        <v>7643787.9722631741</v>
      </c>
      <c r="Y103" s="36">
        <v>8383544.7910351306</v>
      </c>
      <c r="Z103" s="36">
        <v>10354508.257139385</v>
      </c>
      <c r="AA103" s="36">
        <v>12325471.723243641</v>
      </c>
      <c r="AB103" s="36">
        <v>14296435.189347897</v>
      </c>
      <c r="AC103" s="36">
        <v>16267398.655452155</v>
      </c>
      <c r="AD103" s="36">
        <v>18238362.121556409</v>
      </c>
      <c r="AE103" s="36">
        <v>20209325.587660667</v>
      </c>
      <c r="AF103" s="36">
        <v>22180289.053764924</v>
      </c>
      <c r="AG103" s="36">
        <v>24151252.519869171</v>
      </c>
      <c r="AH103" s="36">
        <v>26122215.985973433</v>
      </c>
      <c r="AI103" s="36">
        <v>28093179.452077691</v>
      </c>
      <c r="AJ103" s="36">
        <v>30064142.918181948</v>
      </c>
      <c r="AK103" s="36">
        <v>32035106.384286199</v>
      </c>
      <c r="AL103" s="36">
        <v>34006069.850390449</v>
      </c>
      <c r="AM103" s="36">
        <v>35977033.316494711</v>
      </c>
      <c r="AN103" s="36">
        <v>37947996.78259898</v>
      </c>
      <c r="AO103" s="36">
        <v>39918960.248703226</v>
      </c>
      <c r="AP103" s="36">
        <v>41889923.714807473</v>
      </c>
      <c r="AQ103" s="36">
        <v>43860887.18091175</v>
      </c>
      <c r="AR103" s="36">
        <v>45831850.647015996</v>
      </c>
      <c r="AS103" s="36">
        <v>47802814.113120243</v>
      </c>
      <c r="AT103" s="36">
        <v>49773777.579224512</v>
      </c>
      <c r="AU103" s="36">
        <v>51744741.045328751</v>
      </c>
      <c r="AV103" s="36">
        <v>53715704.511433005</v>
      </c>
      <c r="AW103" s="36">
        <v>55686667.977537267</v>
      </c>
      <c r="AX103" s="36">
        <v>57657631.443641521</v>
      </c>
    </row>
    <row r="104" spans="4:50">
      <c r="D104" t="s">
        <v>661</v>
      </c>
      <c r="E104" t="s">
        <v>641</v>
      </c>
      <c r="G104" s="44"/>
      <c r="I104" s="44"/>
      <c r="K104" s="44"/>
      <c r="M104" s="44"/>
      <c r="O104" s="36">
        <v>1943260.7835269102</v>
      </c>
      <c r="P104" s="36">
        <v>3399268.2550564832</v>
      </c>
      <c r="Q104" s="36">
        <v>4855275.7265860559</v>
      </c>
      <c r="R104" s="36">
        <v>6311283.1981156282</v>
      </c>
      <c r="S104" s="36">
        <v>7767290.6696452014</v>
      </c>
      <c r="T104" s="36">
        <v>9223298.1411747746</v>
      </c>
      <c r="U104" s="36">
        <v>10679305.612704346</v>
      </c>
      <c r="V104" s="36">
        <v>12135313.084233921</v>
      </c>
      <c r="W104" s="36">
        <v>13591320.555763494</v>
      </c>
      <c r="X104" s="36">
        <v>15047328.027293067</v>
      </c>
      <c r="Y104" s="36">
        <v>16503335.498822642</v>
      </c>
      <c r="Z104" s="36">
        <v>18403306.724302374</v>
      </c>
      <c r="AA104" s="36">
        <v>20303277.949782114</v>
      </c>
      <c r="AB104" s="36">
        <v>22203249.175261855</v>
      </c>
      <c r="AC104" s="36">
        <v>24103220.400741603</v>
      </c>
      <c r="AD104" s="36">
        <v>26003191.626221336</v>
      </c>
      <c r="AE104" s="36">
        <v>27903162.85170107</v>
      </c>
      <c r="AF104" s="36">
        <v>29803134.077180814</v>
      </c>
      <c r="AG104" s="36">
        <v>31703105.302660562</v>
      </c>
      <c r="AH104" s="36">
        <v>33603076.528140299</v>
      </c>
      <c r="AI104" s="36">
        <v>35503047.753620036</v>
      </c>
      <c r="AJ104" s="36">
        <v>37403018.979099773</v>
      </c>
      <c r="AK104" s="36">
        <v>39302990.204579517</v>
      </c>
      <c r="AL104" s="36">
        <v>41202961.430059254</v>
      </c>
      <c r="AM104" s="36">
        <v>43102932.655538991</v>
      </c>
      <c r="AN104" s="36">
        <v>45002903.881018735</v>
      </c>
      <c r="AO104" s="36">
        <v>46902875.106498465</v>
      </c>
      <c r="AP104" s="36">
        <v>48802846.331978209</v>
      </c>
      <c r="AQ104" s="36">
        <v>50702817.557457946</v>
      </c>
      <c r="AR104" s="36">
        <v>52602788.782937676</v>
      </c>
      <c r="AS104" s="36">
        <v>54502760.008417413</v>
      </c>
      <c r="AT104" s="36">
        <v>56402731.233897172</v>
      </c>
      <c r="AU104" s="36">
        <v>58302702.459376916</v>
      </c>
      <c r="AV104" s="36">
        <v>60202673.684856623</v>
      </c>
      <c r="AW104" s="36">
        <v>62102644.910336383</v>
      </c>
      <c r="AX104" s="36">
        <v>64002616.13581612</v>
      </c>
    </row>
    <row r="105" spans="4:50">
      <c r="D105" t="s">
        <v>661</v>
      </c>
      <c r="E105" t="s">
        <v>642</v>
      </c>
      <c r="G105" s="44"/>
      <c r="I105" s="44"/>
      <c r="K105" s="44"/>
      <c r="M105" s="44"/>
      <c r="O105" s="36">
        <v>1982104.3227546038</v>
      </c>
      <c r="P105" s="36">
        <v>3468078.3955973051</v>
      </c>
      <c r="Q105" s="36">
        <v>4954052.4684400037</v>
      </c>
      <c r="R105" s="36">
        <v>6440026.5412827041</v>
      </c>
      <c r="S105" s="36">
        <v>7926000.6141254036</v>
      </c>
      <c r="T105" s="36">
        <v>9411974.6869681031</v>
      </c>
      <c r="U105" s="36">
        <v>10897948.759810805</v>
      </c>
      <c r="V105" s="36">
        <v>12383922.832653504</v>
      </c>
      <c r="W105" s="36">
        <v>13869896.905496202</v>
      </c>
      <c r="X105" s="36">
        <v>15355870.978338901</v>
      </c>
      <c r="Y105" s="36">
        <v>16841845.051181603</v>
      </c>
      <c r="Z105" s="36">
        <v>19102312.223074704</v>
      </c>
      <c r="AA105" s="36">
        <v>21362779.394967813</v>
      </c>
      <c r="AB105" s="36">
        <v>23623246.566860911</v>
      </c>
      <c r="AC105" s="36">
        <v>25883713.738754019</v>
      </c>
      <c r="AD105" s="36">
        <v>28144180.910647124</v>
      </c>
      <c r="AE105" s="36">
        <v>30404648.082540218</v>
      </c>
      <c r="AF105" s="36">
        <v>32665115.254433326</v>
      </c>
      <c r="AG105" s="36">
        <v>34925582.426326431</v>
      </c>
      <c r="AH105" s="36">
        <v>37186049.598219536</v>
      </c>
      <c r="AI105" s="36">
        <v>39446516.770112634</v>
      </c>
      <c r="AJ105" s="36">
        <v>41706983.942005739</v>
      </c>
      <c r="AK105" s="36">
        <v>43967451.113898844</v>
      </c>
      <c r="AL105" s="36">
        <v>46227918.285791941</v>
      </c>
      <c r="AM105" s="36">
        <v>48488385.457685061</v>
      </c>
      <c r="AN105" s="36">
        <v>50748852.629578158</v>
      </c>
      <c r="AO105" s="36">
        <v>53009319.801471248</v>
      </c>
      <c r="AP105" s="36">
        <v>55269786.973364376</v>
      </c>
      <c r="AQ105" s="36">
        <v>57530254.145257473</v>
      </c>
      <c r="AR105" s="36">
        <v>59790721.31715057</v>
      </c>
      <c r="AS105" s="36">
        <v>62051188.489043675</v>
      </c>
      <c r="AT105" s="36">
        <v>64311655.660936788</v>
      </c>
      <c r="AU105" s="36">
        <v>66572122.832829878</v>
      </c>
      <c r="AV105" s="36">
        <v>68832590.004722983</v>
      </c>
      <c r="AW105" s="36">
        <v>71093057.176616088</v>
      </c>
      <c r="AX105" s="36">
        <v>73353524.348509178</v>
      </c>
    </row>
    <row r="106" spans="4:50">
      <c r="D106" t="s">
        <v>661</v>
      </c>
      <c r="E106" t="s">
        <v>643</v>
      </c>
      <c r="G106" s="44"/>
      <c r="I106" s="44"/>
      <c r="K106" s="44"/>
      <c r="M106" s="44"/>
      <c r="O106" s="36">
        <v>2302063.8972618296</v>
      </c>
      <c r="P106" s="36">
        <v>4026022.2486419654</v>
      </c>
      <c r="Q106" s="36">
        <v>5749980.6000221036</v>
      </c>
      <c r="R106" s="36">
        <v>7473938.9514022395</v>
      </c>
      <c r="S106" s="36">
        <v>9197897.3027823772</v>
      </c>
      <c r="T106" s="36">
        <v>10921855.654162511</v>
      </c>
      <c r="U106" s="36">
        <v>12645814.005542645</v>
      </c>
      <c r="V106" s="36">
        <v>14369772.356922787</v>
      </c>
      <c r="W106" s="36">
        <v>16093730.708302923</v>
      </c>
      <c r="X106" s="36">
        <v>17817689.059683062</v>
      </c>
      <c r="Y106" s="36">
        <v>19541647.411063198</v>
      </c>
      <c r="Z106" s="36">
        <v>21425131.608177237</v>
      </c>
      <c r="AA106" s="36">
        <v>23308615.805291276</v>
      </c>
      <c r="AB106" s="36">
        <v>25192100.002405312</v>
      </c>
      <c r="AC106" s="36">
        <v>27075584.199519355</v>
      </c>
      <c r="AD106" s="36">
        <v>28959068.396633394</v>
      </c>
      <c r="AE106" s="36">
        <v>30842552.593747437</v>
      </c>
      <c r="AF106" s="36">
        <v>32726036.79086148</v>
      </c>
      <c r="AG106" s="36">
        <v>34609520.98797553</v>
      </c>
      <c r="AH106" s="36">
        <v>36493005.185089566</v>
      </c>
      <c r="AI106" s="36">
        <v>38376489.382203609</v>
      </c>
      <c r="AJ106" s="36">
        <v>40259973.579317644</v>
      </c>
      <c r="AK106" s="36">
        <v>42143457.776431687</v>
      </c>
      <c r="AL106" s="36">
        <v>44026941.973545723</v>
      </c>
      <c r="AM106" s="36">
        <v>45910426.170659766</v>
      </c>
      <c r="AN106" s="36">
        <v>47793910.367773816</v>
      </c>
      <c r="AO106" s="36">
        <v>49677394.564887837</v>
      </c>
      <c r="AP106" s="36">
        <v>51560878.762001894</v>
      </c>
      <c r="AQ106" s="36">
        <v>53444362.959115922</v>
      </c>
      <c r="AR106" s="36">
        <v>55327847.156229965</v>
      </c>
      <c r="AS106" s="36">
        <v>57211331.353344008</v>
      </c>
      <c r="AT106" s="36">
        <v>59094815.550458051</v>
      </c>
      <c r="AU106" s="36">
        <v>60978299.747572102</v>
      </c>
      <c r="AV106" s="36">
        <v>62861783.944686137</v>
      </c>
      <c r="AW106" s="36">
        <v>64745268.141800202</v>
      </c>
      <c r="AX106" s="36">
        <v>66628752.338914223</v>
      </c>
    </row>
    <row r="107" spans="4:50">
      <c r="D107" t="s">
        <v>661</v>
      </c>
      <c r="E107" t="s">
        <v>644</v>
      </c>
      <c r="G107" s="44"/>
      <c r="I107" s="44"/>
      <c r="K107" s="44"/>
      <c r="M107" s="44"/>
      <c r="O107" s="36">
        <v>1694997.0313407625</v>
      </c>
      <c r="P107" s="36">
        <v>2974142.0282987724</v>
      </c>
      <c r="Q107" s="36">
        <v>4253287.0252567828</v>
      </c>
      <c r="R107" s="36">
        <v>5532432.0222147927</v>
      </c>
      <c r="S107" s="36">
        <v>6811577.0191728026</v>
      </c>
      <c r="T107" s="36">
        <v>8090722.0161308115</v>
      </c>
      <c r="U107" s="36">
        <v>9369867.0130888242</v>
      </c>
      <c r="V107" s="36">
        <v>10649012.010046834</v>
      </c>
      <c r="W107" s="36">
        <v>11928157.00700484</v>
      </c>
      <c r="X107" s="36">
        <v>13207302.003962852</v>
      </c>
      <c r="Y107" s="36">
        <v>14486447.000920862</v>
      </c>
      <c r="Z107" s="36">
        <v>15114254.093864227</v>
      </c>
      <c r="AA107" s="36">
        <v>15742061.186807601</v>
      </c>
      <c r="AB107" s="36">
        <v>16369868.279750973</v>
      </c>
      <c r="AC107" s="36">
        <v>16997675.372694332</v>
      </c>
      <c r="AD107" s="36">
        <v>17625482.465637706</v>
      </c>
      <c r="AE107" s="36">
        <v>18253289.558581069</v>
      </c>
      <c r="AF107" s="36">
        <v>18881096.651524439</v>
      </c>
      <c r="AG107" s="36">
        <v>19508903.74446781</v>
      </c>
      <c r="AH107" s="36">
        <v>20136710.83741118</v>
      </c>
      <c r="AI107" s="36">
        <v>20764517.93035455</v>
      </c>
      <c r="AJ107" s="36">
        <v>21392325.023297917</v>
      </c>
      <c r="AK107" s="36">
        <v>22020132.116241284</v>
      </c>
      <c r="AL107" s="36">
        <v>22647939.20918465</v>
      </c>
      <c r="AM107" s="36">
        <v>23275746.302128024</v>
      </c>
      <c r="AN107" s="36">
        <v>23903553.395071387</v>
      </c>
      <c r="AO107" s="36">
        <v>24531360.488014761</v>
      </c>
      <c r="AP107" s="36">
        <v>25159167.580958124</v>
      </c>
      <c r="AQ107" s="36">
        <v>25786974.673901495</v>
      </c>
      <c r="AR107" s="36">
        <v>26414781.766844872</v>
      </c>
      <c r="AS107" s="36">
        <v>27042588.859788228</v>
      </c>
      <c r="AT107" s="36">
        <v>27670395.952731598</v>
      </c>
      <c r="AU107" s="36">
        <v>28298203.045674961</v>
      </c>
      <c r="AV107" s="36">
        <v>28926010.138618335</v>
      </c>
      <c r="AW107" s="36">
        <v>29553817.231561709</v>
      </c>
      <c r="AX107" s="36">
        <v>30181624.324505068</v>
      </c>
    </row>
    <row r="108" spans="4:50">
      <c r="D108" t="s">
        <v>660</v>
      </c>
      <c r="E108" t="s">
        <v>645</v>
      </c>
      <c r="G108" s="44"/>
      <c r="I108" s="44"/>
      <c r="K108" s="44"/>
      <c r="M108" s="44"/>
      <c r="O108" s="36">
        <v>446870.20802475972</v>
      </c>
      <c r="P108" s="36">
        <v>792192.51447550207</v>
      </c>
      <c r="Q108" s="36">
        <v>1137514.8209262446</v>
      </c>
      <c r="R108" s="36">
        <v>1482837.1273769869</v>
      </c>
      <c r="S108" s="36">
        <v>1828159.4338277292</v>
      </c>
      <c r="T108" s="36">
        <v>2173481.7402784717</v>
      </c>
      <c r="U108" s="36">
        <v>2518804.0467292145</v>
      </c>
      <c r="V108" s="36">
        <v>2864126.3531799563</v>
      </c>
      <c r="W108" s="36">
        <v>3209448.6596306986</v>
      </c>
      <c r="X108" s="36">
        <v>3554770.9660814409</v>
      </c>
      <c r="Y108" s="36">
        <v>3900093.2725321837</v>
      </c>
      <c r="Z108" s="36">
        <v>4127525.8923822241</v>
      </c>
      <c r="AA108" s="36">
        <v>4354958.5122322636</v>
      </c>
      <c r="AB108" s="36">
        <v>4582391.132082304</v>
      </c>
      <c r="AC108" s="36">
        <v>4809823.7519323453</v>
      </c>
      <c r="AD108" s="36">
        <v>5037256.3717823848</v>
      </c>
      <c r="AE108" s="36">
        <v>5264688.9916324243</v>
      </c>
      <c r="AF108" s="36">
        <v>5492121.6114824656</v>
      </c>
      <c r="AG108" s="36">
        <v>5719554.2313325051</v>
      </c>
      <c r="AH108" s="36">
        <v>5946986.8511825465</v>
      </c>
      <c r="AI108" s="36">
        <v>6174419.4710325859</v>
      </c>
      <c r="AJ108" s="36">
        <v>6401852.0908826264</v>
      </c>
      <c r="AK108" s="36">
        <v>6629284.7107326677</v>
      </c>
      <c r="AL108" s="36">
        <v>6856717.3305827063</v>
      </c>
      <c r="AM108" s="36">
        <v>7084149.9504327457</v>
      </c>
      <c r="AN108" s="36">
        <v>7311582.5702827871</v>
      </c>
      <c r="AO108" s="36">
        <v>7539015.1901328275</v>
      </c>
      <c r="AP108" s="36">
        <v>7766447.809982867</v>
      </c>
      <c r="AQ108" s="36">
        <v>7993880.4298329074</v>
      </c>
      <c r="AR108" s="36">
        <v>8221313.0496829487</v>
      </c>
      <c r="AS108" s="36">
        <v>8448745.6695329882</v>
      </c>
      <c r="AT108" s="36">
        <v>8676178.2893830277</v>
      </c>
      <c r="AU108" s="36">
        <v>8903610.909233069</v>
      </c>
      <c r="AV108" s="36">
        <v>9131043.5290831085</v>
      </c>
      <c r="AW108" s="36">
        <v>9358476.1489331461</v>
      </c>
      <c r="AX108" s="36">
        <v>9585908.7687831856</v>
      </c>
    </row>
    <row r="109" spans="4:50">
      <c r="D109" t="s">
        <v>660</v>
      </c>
      <c r="E109" t="s">
        <v>646</v>
      </c>
      <c r="G109" s="44"/>
      <c r="I109" s="44"/>
      <c r="K109" s="44"/>
      <c r="M109" s="44"/>
      <c r="O109" s="36">
        <v>241964.53204252577</v>
      </c>
      <c r="P109" s="36">
        <v>428144.22922326281</v>
      </c>
      <c r="Q109" s="36">
        <v>614323.92640399991</v>
      </c>
      <c r="R109" s="36">
        <v>800503.62358473707</v>
      </c>
      <c r="S109" s="36">
        <v>986683.32076547435</v>
      </c>
      <c r="T109" s="36">
        <v>1172863.0179462109</v>
      </c>
      <c r="U109" s="36">
        <v>1359042.7151269482</v>
      </c>
      <c r="V109" s="36">
        <v>1545222.4123076857</v>
      </c>
      <c r="W109" s="36">
        <v>1731402.109488423</v>
      </c>
      <c r="X109" s="36">
        <v>1917581.80666916</v>
      </c>
      <c r="Y109" s="36">
        <v>2103761.5038498966</v>
      </c>
      <c r="Z109" s="36">
        <v>3488027.4735814193</v>
      </c>
      <c r="AA109" s="36">
        <v>4872293.4433129421</v>
      </c>
      <c r="AB109" s="36">
        <v>6256559.4130444638</v>
      </c>
      <c r="AC109" s="36">
        <v>7640825.3827759875</v>
      </c>
      <c r="AD109" s="36">
        <v>9025091.3525075093</v>
      </c>
      <c r="AE109" s="36">
        <v>10409357.322239032</v>
      </c>
      <c r="AF109" s="36">
        <v>11793623.291970557</v>
      </c>
      <c r="AG109" s="36">
        <v>13177889.261702076</v>
      </c>
      <c r="AH109" s="36">
        <v>14562155.2314336</v>
      </c>
      <c r="AI109" s="36">
        <v>15946421.201165121</v>
      </c>
      <c r="AJ109" s="36">
        <v>17330687.170896642</v>
      </c>
      <c r="AK109" s="36">
        <v>18714953.140628166</v>
      </c>
      <c r="AL109" s="36">
        <v>20099219.110359684</v>
      </c>
      <c r="AM109" s="36">
        <v>21483485.080091212</v>
      </c>
      <c r="AN109" s="36">
        <v>22867751.049822737</v>
      </c>
      <c r="AO109" s="36">
        <v>24252017.019554257</v>
      </c>
      <c r="AP109" s="36">
        <v>25636282.989285775</v>
      </c>
      <c r="AQ109" s="36">
        <v>27020548.95901731</v>
      </c>
      <c r="AR109" s="36">
        <v>28404814.928748824</v>
      </c>
      <c r="AS109" s="36">
        <v>29789080.898480345</v>
      </c>
      <c r="AT109" s="36">
        <v>31173346.868211865</v>
      </c>
      <c r="AU109" s="36">
        <v>32557612.837943394</v>
      </c>
      <c r="AV109" s="36">
        <v>33941878.807674915</v>
      </c>
      <c r="AW109" s="36">
        <v>35326144.777406439</v>
      </c>
      <c r="AX109" s="36">
        <v>36710410.747137964</v>
      </c>
    </row>
    <row r="110" spans="4:50">
      <c r="D110" t="s">
        <v>661</v>
      </c>
      <c r="E110" t="s">
        <v>648</v>
      </c>
      <c r="G110" s="44"/>
      <c r="I110" s="44"/>
      <c r="K110" s="44"/>
      <c r="M110" s="44"/>
      <c r="O110" s="36">
        <v>1051510.0775631655</v>
      </c>
      <c r="P110" s="36">
        <v>1840827.3554230961</v>
      </c>
      <c r="Q110" s="36">
        <v>2630144.633283027</v>
      </c>
      <c r="R110" s="36">
        <v>3419461.9111429583</v>
      </c>
      <c r="S110" s="36">
        <v>4208779.1890028892</v>
      </c>
      <c r="T110" s="36">
        <v>4998096.466862821</v>
      </c>
      <c r="U110" s="36">
        <v>5787413.744722751</v>
      </c>
      <c r="V110" s="36">
        <v>6576731.0225826818</v>
      </c>
      <c r="W110" s="36">
        <v>7366048.3004426127</v>
      </c>
      <c r="X110" s="36">
        <v>8155365.5783025417</v>
      </c>
      <c r="Y110" s="36">
        <v>8944682.8561624773</v>
      </c>
      <c r="Z110" s="36">
        <v>9250981.3008944504</v>
      </c>
      <c r="AA110" s="36">
        <v>9557279.7456264254</v>
      </c>
      <c r="AB110" s="36">
        <v>9863578.1903584022</v>
      </c>
      <c r="AC110" s="36">
        <v>10169876.635090377</v>
      </c>
      <c r="AD110" s="36">
        <v>10476175.079822356</v>
      </c>
      <c r="AE110" s="36">
        <v>10782473.524554333</v>
      </c>
      <c r="AF110" s="36">
        <v>11088771.969286306</v>
      </c>
      <c r="AG110" s="36">
        <v>11395070.414018285</v>
      </c>
      <c r="AH110" s="36">
        <v>11701368.85875026</v>
      </c>
      <c r="AI110" s="36">
        <v>12007667.303482236</v>
      </c>
      <c r="AJ110" s="36">
        <v>12313965.748214211</v>
      </c>
      <c r="AK110" s="36">
        <v>12620264.192946188</v>
      </c>
      <c r="AL110" s="36">
        <v>12926562.637678165</v>
      </c>
      <c r="AM110" s="36">
        <v>13232861.082410138</v>
      </c>
      <c r="AN110" s="36">
        <v>13539159.527142113</v>
      </c>
      <c r="AO110" s="36">
        <v>13845457.971874092</v>
      </c>
      <c r="AP110" s="36">
        <v>14151756.41660607</v>
      </c>
      <c r="AQ110" s="36">
        <v>14458054.861338044</v>
      </c>
      <c r="AR110" s="36">
        <v>14764353.306070019</v>
      </c>
      <c r="AS110" s="36">
        <v>15070651.750801992</v>
      </c>
      <c r="AT110" s="36">
        <v>15376950.19553397</v>
      </c>
      <c r="AU110" s="36">
        <v>15683248.640265945</v>
      </c>
      <c r="AV110" s="36">
        <v>15989547.084997924</v>
      </c>
      <c r="AW110" s="36">
        <v>16295845.529729899</v>
      </c>
      <c r="AX110" s="36">
        <v>16602143.974461878</v>
      </c>
    </row>
    <row r="111" spans="4:50">
      <c r="D111" t="s">
        <v>660</v>
      </c>
      <c r="E111" t="s">
        <v>649</v>
      </c>
      <c r="G111" s="44"/>
      <c r="I111" s="44"/>
      <c r="K111" s="44"/>
      <c r="M111" s="44"/>
      <c r="O111" s="36">
        <v>1047204.3958762147</v>
      </c>
      <c r="P111" s="36">
        <v>1846907.8842252658</v>
      </c>
      <c r="Q111" s="36">
        <v>2646611.3725743177</v>
      </c>
      <c r="R111" s="36">
        <v>3446314.8609233694</v>
      </c>
      <c r="S111" s="36">
        <v>4246018.3492724206</v>
      </c>
      <c r="T111" s="36">
        <v>5045721.8376214728</v>
      </c>
      <c r="U111" s="36">
        <v>5845425.3259705221</v>
      </c>
      <c r="V111" s="36">
        <v>6645128.8143195743</v>
      </c>
      <c r="W111" s="36">
        <v>7444832.3026686246</v>
      </c>
      <c r="X111" s="36">
        <v>8244535.7910176776</v>
      </c>
      <c r="Y111" s="36">
        <v>9044239.2793667298</v>
      </c>
      <c r="Z111" s="36">
        <v>10516788.462513139</v>
      </c>
      <c r="AA111" s="36">
        <v>11989337.645659547</v>
      </c>
      <c r="AB111" s="36">
        <v>13461886.828805957</v>
      </c>
      <c r="AC111" s="36">
        <v>14934436.011952365</v>
      </c>
      <c r="AD111" s="36">
        <v>16406985.195098776</v>
      </c>
      <c r="AE111" s="36">
        <v>17879534.378245186</v>
      </c>
      <c r="AF111" s="36">
        <v>19352083.561391596</v>
      </c>
      <c r="AG111" s="36">
        <v>20824632.744538002</v>
      </c>
      <c r="AH111" s="36">
        <v>22297181.927684411</v>
      </c>
      <c r="AI111" s="36">
        <v>23769731.110830829</v>
      </c>
      <c r="AJ111" s="36">
        <v>25242280.293977227</v>
      </c>
      <c r="AK111" s="36">
        <v>26714829.477123637</v>
      </c>
      <c r="AL111" s="36">
        <v>28187378.660270046</v>
      </c>
      <c r="AM111" s="36">
        <v>29659927.843416456</v>
      </c>
      <c r="AN111" s="36">
        <v>31132477.02656287</v>
      </c>
      <c r="AO111" s="36">
        <v>32605026.209709272</v>
      </c>
      <c r="AP111" s="36">
        <v>34077575.392855689</v>
      </c>
      <c r="AQ111" s="36">
        <v>35550124.576002091</v>
      </c>
      <c r="AR111" s="36">
        <v>37022673.759148493</v>
      </c>
      <c r="AS111" s="36">
        <v>38495222.942294911</v>
      </c>
      <c r="AT111" s="36">
        <v>39967772.125441313</v>
      </c>
      <c r="AU111" s="36">
        <v>41440321.308587737</v>
      </c>
      <c r="AV111" s="36">
        <v>42912870.491734147</v>
      </c>
      <c r="AW111" s="36">
        <v>44385419.674880542</v>
      </c>
      <c r="AX111" s="36">
        <v>45857968.858026966</v>
      </c>
    </row>
    <row r="112" spans="4:50">
      <c r="D112" t="s">
        <v>660</v>
      </c>
      <c r="E112" t="s">
        <v>650</v>
      </c>
      <c r="G112" s="44"/>
      <c r="I112" s="44"/>
      <c r="K112" s="44"/>
      <c r="M112" s="44"/>
      <c r="O112" s="36">
        <v>1373498.2261270715</v>
      </c>
      <c r="P112" s="36">
        <v>2423500.3840160836</v>
      </c>
      <c r="Q112" s="36">
        <v>3473502.5419050967</v>
      </c>
      <c r="R112" s="36">
        <v>4523504.6997941099</v>
      </c>
      <c r="S112" s="36">
        <v>5573506.8576831203</v>
      </c>
      <c r="T112" s="36">
        <v>6623509.0155721335</v>
      </c>
      <c r="U112" s="36">
        <v>7673511.1734611467</v>
      </c>
      <c r="V112" s="36">
        <v>8723513.3313501589</v>
      </c>
      <c r="W112" s="36">
        <v>9773515.4892391711</v>
      </c>
      <c r="X112" s="36">
        <v>10823517.647128182</v>
      </c>
      <c r="Y112" s="36">
        <v>11873519.805017196</v>
      </c>
      <c r="Z112" s="36">
        <v>13810436.120600626</v>
      </c>
      <c r="AA112" s="36">
        <v>15747352.436184045</v>
      </c>
      <c r="AB112" s="36">
        <v>17684268.751767471</v>
      </c>
      <c r="AC112" s="36">
        <v>19621185.067350902</v>
      </c>
      <c r="AD112" s="36">
        <v>21558101.382934324</v>
      </c>
      <c r="AE112" s="36">
        <v>23495017.698517743</v>
      </c>
      <c r="AF112" s="36">
        <v>25431934.014101177</v>
      </c>
      <c r="AG112" s="36">
        <v>27368850.329684597</v>
      </c>
      <c r="AH112" s="36">
        <v>29305766.64526803</v>
      </c>
      <c r="AI112" s="36">
        <v>31242682.960851453</v>
      </c>
      <c r="AJ112" s="36">
        <v>33179599.276434883</v>
      </c>
      <c r="AK112" s="36">
        <v>35116515.592018306</v>
      </c>
      <c r="AL112" s="36">
        <v>37053431.907601729</v>
      </c>
      <c r="AM112" s="36">
        <v>38990348.223185152</v>
      </c>
      <c r="AN112" s="36">
        <v>40927264.538768575</v>
      </c>
      <c r="AO112" s="36">
        <v>42864180.854352012</v>
      </c>
      <c r="AP112" s="36">
        <v>44801097.169935435</v>
      </c>
      <c r="AQ112" s="36">
        <v>46738013.48551885</v>
      </c>
      <c r="AR112" s="36">
        <v>48674929.801102288</v>
      </c>
      <c r="AS112" s="36">
        <v>50611846.116685711</v>
      </c>
      <c r="AT112" s="36">
        <v>52548762.432269126</v>
      </c>
      <c r="AU112" s="36">
        <v>54485678.747852579</v>
      </c>
      <c r="AV112" s="36">
        <v>56422595.063435994</v>
      </c>
      <c r="AW112" s="36">
        <v>58359511.379019402</v>
      </c>
      <c r="AX112" s="36">
        <v>60296427.694602832</v>
      </c>
    </row>
    <row r="113" spans="4:50">
      <c r="D113" t="s">
        <v>661</v>
      </c>
      <c r="E113" t="s">
        <v>651</v>
      </c>
      <c r="G113" s="44"/>
      <c r="I113" s="44"/>
      <c r="K113" s="44"/>
      <c r="M113" s="44"/>
      <c r="O113" s="36">
        <v>1305785.218892765</v>
      </c>
      <c r="P113" s="36">
        <v>2283769.978505685</v>
      </c>
      <c r="Q113" s="36">
        <v>3261754.7381186057</v>
      </c>
      <c r="R113" s="36">
        <v>4239739.4977315264</v>
      </c>
      <c r="S113" s="36">
        <v>5217724.2573444452</v>
      </c>
      <c r="T113" s="36">
        <v>6195709.0169573668</v>
      </c>
      <c r="U113" s="36">
        <v>7173693.7765702857</v>
      </c>
      <c r="V113" s="36">
        <v>8151678.5361832073</v>
      </c>
      <c r="W113" s="36">
        <v>9129663.2957961261</v>
      </c>
      <c r="X113" s="36">
        <v>10107648.055409048</v>
      </c>
      <c r="Y113" s="36">
        <v>11085632.815021968</v>
      </c>
      <c r="Z113" s="36">
        <v>11840832.010929801</v>
      </c>
      <c r="AA113" s="36">
        <v>12596031.206837635</v>
      </c>
      <c r="AB113" s="36">
        <v>13351230.402745474</v>
      </c>
      <c r="AC113" s="36">
        <v>14106429.598653305</v>
      </c>
      <c r="AD113" s="36">
        <v>14861628.794561142</v>
      </c>
      <c r="AE113" s="36">
        <v>15616827.990468977</v>
      </c>
      <c r="AF113" s="36">
        <v>16372027.186376816</v>
      </c>
      <c r="AG113" s="36">
        <v>17127226.382284649</v>
      </c>
      <c r="AH113" s="36">
        <v>17882425.578192484</v>
      </c>
      <c r="AI113" s="36">
        <v>18637624.774100319</v>
      </c>
      <c r="AJ113" s="36">
        <v>19392823.970008157</v>
      </c>
      <c r="AK113" s="36">
        <v>20148023.165915992</v>
      </c>
      <c r="AL113" s="36">
        <v>20903222.361823823</v>
      </c>
      <c r="AM113" s="36">
        <v>21658421.557731662</v>
      </c>
      <c r="AN113" s="36">
        <v>22413620.753639504</v>
      </c>
      <c r="AO113" s="36">
        <v>23168819.949547339</v>
      </c>
      <c r="AP113" s="36">
        <v>23924019.145455174</v>
      </c>
      <c r="AQ113" s="36">
        <v>24679218.341363002</v>
      </c>
      <c r="AR113" s="36">
        <v>25434417.537270837</v>
      </c>
      <c r="AS113" s="36">
        <v>26189616.733178679</v>
      </c>
      <c r="AT113" s="36">
        <v>26944815.929086514</v>
      </c>
      <c r="AU113" s="36">
        <v>27700015.124994349</v>
      </c>
      <c r="AV113" s="36">
        <v>28455214.32090218</v>
      </c>
      <c r="AW113" s="36">
        <v>29210413.516810011</v>
      </c>
      <c r="AX113" s="36">
        <v>29965612.712717842</v>
      </c>
    </row>
    <row r="114" spans="4:50">
      <c r="D114" t="s">
        <v>661</v>
      </c>
      <c r="E114" t="s">
        <v>652</v>
      </c>
      <c r="G114" s="44"/>
      <c r="I114" s="44"/>
      <c r="K114" s="44"/>
      <c r="M114" s="44"/>
      <c r="O114" s="36">
        <v>1309551.8840455664</v>
      </c>
      <c r="P114" s="36">
        <v>2308537.4788281457</v>
      </c>
      <c r="Q114" s="36">
        <v>3307523.0736107239</v>
      </c>
      <c r="R114" s="36">
        <v>4306508.6683933046</v>
      </c>
      <c r="S114" s="36">
        <v>5305494.2631758833</v>
      </c>
      <c r="T114" s="36">
        <v>6304479.857958463</v>
      </c>
      <c r="U114" s="36">
        <v>7303465.4527410399</v>
      </c>
      <c r="V114" s="36">
        <v>8302451.0475236196</v>
      </c>
      <c r="W114" s="36">
        <v>9301436.6423061974</v>
      </c>
      <c r="X114" s="36">
        <v>10300422.237088781</v>
      </c>
      <c r="Y114" s="36">
        <v>11299407.831871361</v>
      </c>
      <c r="Z114" s="36">
        <v>13567284.053543106</v>
      </c>
      <c r="AA114" s="36">
        <v>15835160.275214849</v>
      </c>
      <c r="AB114" s="36">
        <v>18103036.496886604</v>
      </c>
      <c r="AC114" s="36">
        <v>20370912.718558349</v>
      </c>
      <c r="AD114" s="36">
        <v>22638788.940230094</v>
      </c>
      <c r="AE114" s="36">
        <v>24906665.161901847</v>
      </c>
      <c r="AF114" s="36">
        <v>27174541.383573595</v>
      </c>
      <c r="AG114" s="36">
        <v>29442417.605245337</v>
      </c>
      <c r="AH114" s="36">
        <v>31710293.826917082</v>
      </c>
      <c r="AI114" s="36">
        <v>33978170.048588835</v>
      </c>
      <c r="AJ114" s="36">
        <v>36246046.270260572</v>
      </c>
      <c r="AK114" s="36">
        <v>38513922.491932333</v>
      </c>
      <c r="AL114" s="36">
        <v>40781798.713604078</v>
      </c>
      <c r="AM114" s="36">
        <v>43049674.935275823</v>
      </c>
      <c r="AN114" s="36">
        <v>45317551.156947561</v>
      </c>
      <c r="AO114" s="36">
        <v>47585427.378619321</v>
      </c>
      <c r="AP114" s="36">
        <v>49853303.600291066</v>
      </c>
      <c r="AQ114" s="36">
        <v>52121179.821962819</v>
      </c>
      <c r="AR114" s="36">
        <v>54389056.043634549</v>
      </c>
      <c r="AS114" s="36">
        <v>56656932.265306309</v>
      </c>
      <c r="AT114" s="36">
        <v>58924808.486978054</v>
      </c>
      <c r="AU114" s="36">
        <v>61192684.708649814</v>
      </c>
      <c r="AV114" s="36">
        <v>63460560.930321552</v>
      </c>
      <c r="AW114" s="36">
        <v>65728437.15199329</v>
      </c>
      <c r="AX114" s="36">
        <v>67996313.37366505</v>
      </c>
    </row>
    <row r="115" spans="4:50">
      <c r="D115" t="s">
        <v>661</v>
      </c>
      <c r="E115" t="s">
        <v>653</v>
      </c>
      <c r="G115" s="44"/>
      <c r="I115" s="44"/>
      <c r="K115" s="44"/>
      <c r="M115" s="44"/>
      <c r="O115" s="36">
        <v>2044278.5721382035</v>
      </c>
      <c r="P115" s="36">
        <v>3574893.1876111417</v>
      </c>
      <c r="Q115" s="36">
        <v>5105507.8030840792</v>
      </c>
      <c r="R115" s="36">
        <v>6636122.4185570171</v>
      </c>
      <c r="S115" s="36">
        <v>8166737.034029956</v>
      </c>
      <c r="T115" s="36">
        <v>9697351.6495028939</v>
      </c>
      <c r="U115" s="36">
        <v>11227966.264975833</v>
      </c>
      <c r="V115" s="36">
        <v>12758580.88044877</v>
      </c>
      <c r="W115" s="36">
        <v>14289195.495921705</v>
      </c>
      <c r="X115" s="36">
        <v>15819810.111394642</v>
      </c>
      <c r="Y115" s="36">
        <v>17350424.726867579</v>
      </c>
      <c r="Z115" s="36">
        <v>18681110.749036003</v>
      </c>
      <c r="AA115" s="36">
        <v>20011796.771204427</v>
      </c>
      <c r="AB115" s="36">
        <v>21342482.793372855</v>
      </c>
      <c r="AC115" s="36">
        <v>22673168.815541275</v>
      </c>
      <c r="AD115" s="36">
        <v>24003854.837709691</v>
      </c>
      <c r="AE115" s="36">
        <v>25334540.859878115</v>
      </c>
      <c r="AF115" s="36">
        <v>26665226.882046539</v>
      </c>
      <c r="AG115" s="36">
        <v>27995912.904214967</v>
      </c>
      <c r="AH115" s="36">
        <v>29326598.926383387</v>
      </c>
      <c r="AI115" s="36">
        <v>30657284.948551808</v>
      </c>
      <c r="AJ115" s="36">
        <v>31987970.970720228</v>
      </c>
      <c r="AK115" s="36">
        <v>33318656.992888652</v>
      </c>
      <c r="AL115" s="36">
        <v>34649343.015057072</v>
      </c>
      <c r="AM115" s="36">
        <v>35980029.0372255</v>
      </c>
      <c r="AN115" s="36">
        <v>37310715.05939392</v>
      </c>
      <c r="AO115" s="36">
        <v>38641401.08156234</v>
      </c>
      <c r="AP115" s="36">
        <v>39972087.103730768</v>
      </c>
      <c r="AQ115" s="36">
        <v>41302773.125899181</v>
      </c>
      <c r="AR115" s="36">
        <v>42633459.148067608</v>
      </c>
      <c r="AS115" s="36">
        <v>43964145.170236029</v>
      </c>
      <c r="AT115" s="36">
        <v>45294831.192404464</v>
      </c>
      <c r="AU115" s="36">
        <v>46625517.214572877</v>
      </c>
      <c r="AV115" s="36">
        <v>47956203.236741312</v>
      </c>
      <c r="AW115" s="36">
        <v>49286889.258909725</v>
      </c>
      <c r="AX115" s="36">
        <v>50617575.281078145</v>
      </c>
    </row>
    <row r="116" spans="4:50">
      <c r="D116" t="s">
        <v>661</v>
      </c>
      <c r="E116" t="s">
        <v>654</v>
      </c>
      <c r="G116" s="44"/>
      <c r="I116" s="44"/>
      <c r="K116" s="44"/>
      <c r="M116" s="44"/>
      <c r="O116" s="36">
        <v>1165035.3618758866</v>
      </c>
      <c r="P116" s="36">
        <v>2038147.0339981162</v>
      </c>
      <c r="Q116" s="36">
        <v>2911258.7061203457</v>
      </c>
      <c r="R116" s="36">
        <v>3784370.378242576</v>
      </c>
      <c r="S116" s="36">
        <v>4657482.0503648054</v>
      </c>
      <c r="T116" s="36">
        <v>5530593.7224870361</v>
      </c>
      <c r="U116" s="36">
        <v>6403705.3946092669</v>
      </c>
      <c r="V116" s="36">
        <v>7276817.0667314967</v>
      </c>
      <c r="W116" s="36">
        <v>8149928.7388537256</v>
      </c>
      <c r="X116" s="36">
        <v>9023040.4109759554</v>
      </c>
      <c r="Y116" s="36">
        <v>9896152.0830981862</v>
      </c>
      <c r="Z116" s="36">
        <v>10340654.678597601</v>
      </c>
      <c r="AA116" s="36">
        <v>10785157.274097009</v>
      </c>
      <c r="AB116" s="36">
        <v>11229659.869596422</v>
      </c>
      <c r="AC116" s="36">
        <v>11674162.465095833</v>
      </c>
      <c r="AD116" s="36">
        <v>12118665.060595242</v>
      </c>
      <c r="AE116" s="36">
        <v>12563167.656094654</v>
      </c>
      <c r="AF116" s="36">
        <v>13007670.251594063</v>
      </c>
      <c r="AG116" s="36">
        <v>13452172.84709348</v>
      </c>
      <c r="AH116" s="36">
        <v>13896675.442592887</v>
      </c>
      <c r="AI116" s="36">
        <v>14341178.038092302</v>
      </c>
      <c r="AJ116" s="36">
        <v>14785680.633591713</v>
      </c>
      <c r="AK116" s="36">
        <v>15230183.229091128</v>
      </c>
      <c r="AL116" s="36">
        <v>15674685.824590534</v>
      </c>
      <c r="AM116" s="36">
        <v>16119188.420089947</v>
      </c>
      <c r="AN116" s="36">
        <v>16563691.01558936</v>
      </c>
      <c r="AO116" s="36">
        <v>17008193.611088771</v>
      </c>
      <c r="AP116" s="36">
        <v>17452696.206588179</v>
      </c>
      <c r="AQ116" s="36">
        <v>17897198.802087594</v>
      </c>
      <c r="AR116" s="36">
        <v>18341701.397587001</v>
      </c>
      <c r="AS116" s="36">
        <v>18786203.993086413</v>
      </c>
      <c r="AT116" s="36">
        <v>19230706.588585827</v>
      </c>
      <c r="AU116" s="36">
        <v>19675209.184085239</v>
      </c>
      <c r="AV116" s="36">
        <v>20119711.77958465</v>
      </c>
      <c r="AW116" s="36">
        <v>20564214.375084061</v>
      </c>
      <c r="AX116" s="36">
        <v>21008716.970583476</v>
      </c>
    </row>
    <row r="117" spans="4:50">
      <c r="D117" t="s">
        <v>660</v>
      </c>
      <c r="E117" t="s">
        <v>655</v>
      </c>
      <c r="G117" s="44"/>
      <c r="I117" s="44"/>
      <c r="K117" s="44"/>
      <c r="M117" s="44"/>
      <c r="O117" s="36">
        <v>984021.75589224789</v>
      </c>
      <c r="P117" s="36">
        <v>1745669.1173945528</v>
      </c>
      <c r="Q117" s="36">
        <v>2507316.4788968577</v>
      </c>
      <c r="R117" s="36">
        <v>3268963.8403991628</v>
      </c>
      <c r="S117" s="36">
        <v>4030611.201901468</v>
      </c>
      <c r="T117" s="36">
        <v>4792258.5634037731</v>
      </c>
      <c r="U117" s="36">
        <v>5553905.9249060787</v>
      </c>
      <c r="V117" s="36">
        <v>6315553.2864083843</v>
      </c>
      <c r="W117" s="36">
        <v>7077200.6479106871</v>
      </c>
      <c r="X117" s="36">
        <v>7838848.0094129937</v>
      </c>
      <c r="Y117" s="36">
        <v>8600495.3709152956</v>
      </c>
      <c r="Z117" s="36">
        <v>10363227.6055142</v>
      </c>
      <c r="AA117" s="36">
        <v>12125959.840113098</v>
      </c>
      <c r="AB117" s="36">
        <v>13888692.074711993</v>
      </c>
      <c r="AC117" s="36">
        <v>15651424.309310896</v>
      </c>
      <c r="AD117" s="36">
        <v>17414156.543909803</v>
      </c>
      <c r="AE117" s="36">
        <v>19176888.778508697</v>
      </c>
      <c r="AF117" s="36">
        <v>20939621.013107594</v>
      </c>
      <c r="AG117" s="36">
        <v>22702353.247706495</v>
      </c>
      <c r="AH117" s="36">
        <v>24465085.482305393</v>
      </c>
      <c r="AI117" s="36">
        <v>26227817.71690429</v>
      </c>
      <c r="AJ117" s="36">
        <v>27990549.951503191</v>
      </c>
      <c r="AK117" s="36">
        <v>29753282.186102096</v>
      </c>
      <c r="AL117" s="36">
        <v>31516014.420700978</v>
      </c>
      <c r="AM117" s="36">
        <v>33278746.655299898</v>
      </c>
      <c r="AN117" s="36">
        <v>35041478.889898799</v>
      </c>
      <c r="AO117" s="36">
        <v>36804211.124497689</v>
      </c>
      <c r="AP117" s="36">
        <v>38566943.359096587</v>
      </c>
      <c r="AQ117" s="36">
        <v>40329675.593695492</v>
      </c>
      <c r="AR117" s="36">
        <v>42092407.828294381</v>
      </c>
      <c r="AS117" s="36">
        <v>43855140.062893286</v>
      </c>
      <c r="AT117" s="36">
        <v>45617872.297492184</v>
      </c>
      <c r="AU117" s="36">
        <v>47380604.532091089</v>
      </c>
      <c r="AV117" s="36">
        <v>49143336.766689993</v>
      </c>
      <c r="AW117" s="36">
        <v>50906069.001288883</v>
      </c>
      <c r="AX117" s="36">
        <v>52668801.235887788</v>
      </c>
    </row>
    <row r="118" spans="4:50">
      <c r="D118" t="s">
        <v>661</v>
      </c>
      <c r="E118" t="s">
        <v>656</v>
      </c>
      <c r="G118" s="44"/>
      <c r="I118" s="44"/>
      <c r="K118" s="44"/>
      <c r="M118" s="44"/>
      <c r="O118" s="36">
        <v>1368577.2291641461</v>
      </c>
      <c r="P118" s="36">
        <v>2399971.2010423243</v>
      </c>
      <c r="Q118" s="36">
        <v>3431365.1729205009</v>
      </c>
      <c r="R118" s="36">
        <v>4462759.1447986793</v>
      </c>
      <c r="S118" s="36">
        <v>5494153.1166768558</v>
      </c>
      <c r="T118" s="36">
        <v>6525547.0885550305</v>
      </c>
      <c r="U118" s="36">
        <v>7556941.0604332108</v>
      </c>
      <c r="V118" s="36">
        <v>8588335.0323113874</v>
      </c>
      <c r="W118" s="36">
        <v>9619729.0041895676</v>
      </c>
      <c r="X118" s="36">
        <v>10651122.976067742</v>
      </c>
      <c r="Y118" s="36">
        <v>11682516.947945919</v>
      </c>
      <c r="Z118" s="36">
        <v>11787310.227796834</v>
      </c>
      <c r="AA118" s="36">
        <v>11892103.507647742</v>
      </c>
      <c r="AB118" s="36">
        <v>11996896.787498657</v>
      </c>
      <c r="AC118" s="36">
        <v>12101690.067349568</v>
      </c>
      <c r="AD118" s="36">
        <v>12206483.347200479</v>
      </c>
      <c r="AE118" s="36">
        <v>12311276.627051394</v>
      </c>
      <c r="AF118" s="36">
        <v>12416069.906902306</v>
      </c>
      <c r="AG118" s="36">
        <v>12520863.186753219</v>
      </c>
      <c r="AH118" s="36">
        <v>12625656.46660413</v>
      </c>
      <c r="AI118" s="36">
        <v>12730449.74645504</v>
      </c>
      <c r="AJ118" s="36">
        <v>12835243.026305955</v>
      </c>
      <c r="AK118" s="36">
        <v>12940036.306156866</v>
      </c>
      <c r="AL118" s="36">
        <v>13044829.586007779</v>
      </c>
      <c r="AM118" s="36">
        <v>13149622.865858691</v>
      </c>
      <c r="AN118" s="36">
        <v>13254416.145709604</v>
      </c>
      <c r="AO118" s="36">
        <v>13359209.425560515</v>
      </c>
      <c r="AP118" s="36">
        <v>13464002.705411427</v>
      </c>
      <c r="AQ118" s="36">
        <v>13568795.98526234</v>
      </c>
      <c r="AR118" s="36">
        <v>13673589.265113249</v>
      </c>
      <c r="AS118" s="36">
        <v>13778382.544964166</v>
      </c>
      <c r="AT118" s="36">
        <v>13883175.824815076</v>
      </c>
      <c r="AU118" s="36">
        <v>13987969.104665989</v>
      </c>
      <c r="AV118" s="36">
        <v>14092762.384516902</v>
      </c>
      <c r="AW118" s="36">
        <v>14197555.664367815</v>
      </c>
      <c r="AX118" s="36">
        <v>14302348.944218729</v>
      </c>
    </row>
    <row r="119" spans="4:50">
      <c r="D119" t="s">
        <v>660</v>
      </c>
      <c r="E119" t="s">
        <v>657</v>
      </c>
      <c r="G119" s="44"/>
      <c r="I119" s="44"/>
      <c r="K119" s="44"/>
      <c r="M119" s="44"/>
      <c r="O119" s="36">
        <v>521253.42985207372</v>
      </c>
      <c r="P119" s="36">
        <v>955613.64102112222</v>
      </c>
      <c r="Q119" s="36">
        <v>1389973.8521901711</v>
      </c>
      <c r="R119" s="36">
        <v>1824334.0633592198</v>
      </c>
      <c r="S119" s="36">
        <v>2258694.2745282683</v>
      </c>
      <c r="T119" s="36">
        <v>2693054.4856973174</v>
      </c>
      <c r="U119" s="36">
        <v>3127414.6968663656</v>
      </c>
      <c r="V119" s="36">
        <v>3561774.9080354143</v>
      </c>
      <c r="W119" s="36">
        <v>3996135.1192044644</v>
      </c>
      <c r="X119" s="36">
        <v>4430495.3303735116</v>
      </c>
      <c r="Y119" s="36">
        <v>4864855.5415425599</v>
      </c>
      <c r="Z119" s="36">
        <v>6625650.4020774206</v>
      </c>
      <c r="AA119" s="36">
        <v>8386445.2626122804</v>
      </c>
      <c r="AB119" s="36">
        <v>10147240.123147137</v>
      </c>
      <c r="AC119" s="36">
        <v>11908034.983681997</v>
      </c>
      <c r="AD119" s="36">
        <v>13668829.844216859</v>
      </c>
      <c r="AE119" s="36">
        <v>15429624.704751713</v>
      </c>
      <c r="AF119" s="36">
        <v>17190419.565286569</v>
      </c>
      <c r="AG119" s="36">
        <v>18951214.425821427</v>
      </c>
      <c r="AH119" s="36">
        <v>20712009.286356293</v>
      </c>
      <c r="AI119" s="36">
        <v>22472804.146891154</v>
      </c>
      <c r="AJ119" s="36">
        <v>24233599.007426009</v>
      </c>
      <c r="AK119" s="36">
        <v>25994393.86796087</v>
      </c>
      <c r="AL119" s="36">
        <v>27755188.728495721</v>
      </c>
      <c r="AM119" s="36">
        <v>29515983.589030579</v>
      </c>
      <c r="AN119" s="36">
        <v>31276778.449565444</v>
      </c>
      <c r="AO119" s="36">
        <v>33037573.310100298</v>
      </c>
      <c r="AP119" s="36">
        <v>34798368.170635156</v>
      </c>
      <c r="AQ119" s="36">
        <v>36559163.031170018</v>
      </c>
      <c r="AR119" s="36">
        <v>38319957.891704872</v>
      </c>
      <c r="AS119" s="36">
        <v>40080752.752239734</v>
      </c>
      <c r="AT119" s="36">
        <v>41841547.612774596</v>
      </c>
      <c r="AU119" s="36">
        <v>43602342.473309457</v>
      </c>
      <c r="AV119" s="36">
        <v>45363137.333844312</v>
      </c>
      <c r="AW119" s="36">
        <v>47123932.194379173</v>
      </c>
      <c r="AX119" s="36">
        <v>48884727.054914027</v>
      </c>
    </row>
    <row r="120" spans="4:50">
      <c r="D120" t="s">
        <v>661</v>
      </c>
      <c r="E120" t="s">
        <v>658</v>
      </c>
      <c r="G120" s="44"/>
      <c r="I120" s="44"/>
      <c r="K120" s="44"/>
      <c r="M120" s="44"/>
      <c r="O120" s="36">
        <v>1326383.2895839461</v>
      </c>
      <c r="P120" s="36">
        <v>2319403.5307341893</v>
      </c>
      <c r="Q120" s="36">
        <v>3312423.7718844335</v>
      </c>
      <c r="R120" s="36">
        <v>4305444.0130346762</v>
      </c>
      <c r="S120" s="36">
        <v>5298464.2541849203</v>
      </c>
      <c r="T120" s="36">
        <v>6291484.4953351617</v>
      </c>
      <c r="U120" s="36">
        <v>7284504.7364854058</v>
      </c>
      <c r="V120" s="36">
        <v>8277524.977635649</v>
      </c>
      <c r="W120" s="36">
        <v>9270545.218785895</v>
      </c>
      <c r="X120" s="36">
        <v>10263565.459936136</v>
      </c>
      <c r="Y120" s="36">
        <v>11256585.70108638</v>
      </c>
      <c r="Z120" s="36">
        <v>12030539.758143188</v>
      </c>
      <c r="AA120" s="36">
        <v>12804493.815199995</v>
      </c>
      <c r="AB120" s="36">
        <v>13578447.872256808</v>
      </c>
      <c r="AC120" s="36">
        <v>14352401.929313619</v>
      </c>
      <c r="AD120" s="36">
        <v>15126355.986370428</v>
      </c>
      <c r="AE120" s="36">
        <v>15900310.04342724</v>
      </c>
      <c r="AF120" s="36">
        <v>16674264.100484043</v>
      </c>
      <c r="AG120" s="36">
        <v>17448218.157540854</v>
      </c>
      <c r="AH120" s="36">
        <v>18222172.214597665</v>
      </c>
      <c r="AI120" s="36">
        <v>18996126.271654472</v>
      </c>
      <c r="AJ120" s="36">
        <v>19770080.328711282</v>
      </c>
      <c r="AK120" s="36">
        <v>20544034.385768093</v>
      </c>
      <c r="AL120" s="36">
        <v>21317988.442824904</v>
      </c>
      <c r="AM120" s="36">
        <v>22091942.499881711</v>
      </c>
      <c r="AN120" s="36">
        <v>22865896.556938533</v>
      </c>
      <c r="AO120" s="36">
        <v>23639850.613995336</v>
      </c>
      <c r="AP120" s="36">
        <v>24413804.67105215</v>
      </c>
      <c r="AQ120" s="36">
        <v>25187758.728108957</v>
      </c>
      <c r="AR120" s="36">
        <v>25961712.785165768</v>
      </c>
      <c r="AS120" s="36">
        <v>26735666.842222575</v>
      </c>
      <c r="AT120" s="36">
        <v>27509620.899279382</v>
      </c>
      <c r="AU120" s="36">
        <v>28283574.956336197</v>
      </c>
      <c r="AV120" s="36">
        <v>29057529.013393</v>
      </c>
      <c r="AW120" s="36">
        <v>29831483.070449818</v>
      </c>
      <c r="AX120" s="36">
        <v>30605437.127506625</v>
      </c>
    </row>
    <row r="121" spans="4:50">
      <c r="D121" t="s">
        <v>661</v>
      </c>
      <c r="E121" t="s">
        <v>659</v>
      </c>
      <c r="G121" s="44"/>
      <c r="I121" s="44"/>
      <c r="K121" s="44"/>
      <c r="M121" s="44"/>
      <c r="O121" s="36">
        <v>1149892.8237105464</v>
      </c>
      <c r="P121" s="36">
        <v>2025635.1155006804</v>
      </c>
      <c r="Q121" s="36">
        <v>2901377.4072908149</v>
      </c>
      <c r="R121" s="36">
        <v>3777119.6990809501</v>
      </c>
      <c r="S121" s="36">
        <v>4652861.9908710849</v>
      </c>
      <c r="T121" s="36">
        <v>5528604.2826612191</v>
      </c>
      <c r="U121" s="36">
        <v>6404346.5744513553</v>
      </c>
      <c r="V121" s="36">
        <v>7280088.8662414886</v>
      </c>
      <c r="W121" s="36">
        <v>8155831.1580316219</v>
      </c>
      <c r="X121" s="36">
        <v>9031573.449821759</v>
      </c>
      <c r="Y121" s="36">
        <v>9907315.7416118924</v>
      </c>
      <c r="Z121" s="36">
        <v>10863713.739701953</v>
      </c>
      <c r="AA121" s="36">
        <v>11820111.737792008</v>
      </c>
      <c r="AB121" s="36">
        <v>12776509.735882068</v>
      </c>
      <c r="AC121" s="36">
        <v>13732907.733972123</v>
      </c>
      <c r="AD121" s="36">
        <v>14689305.732062191</v>
      </c>
      <c r="AE121" s="36">
        <v>15645703.730152246</v>
      </c>
      <c r="AF121" s="36">
        <v>16602101.7282423</v>
      </c>
      <c r="AG121" s="36">
        <v>17558499.726332366</v>
      </c>
      <c r="AH121" s="36">
        <v>18514897.724422418</v>
      </c>
      <c r="AI121" s="36">
        <v>19471295.72251248</v>
      </c>
      <c r="AJ121" s="36">
        <v>20427693.720602538</v>
      </c>
      <c r="AK121" s="36">
        <v>21384091.718692593</v>
      </c>
      <c r="AL121" s="36">
        <v>22340489.716782659</v>
      </c>
      <c r="AM121" s="36">
        <v>23296887.71487271</v>
      </c>
      <c r="AN121" s="36">
        <v>24253285.712962765</v>
      </c>
      <c r="AO121" s="36">
        <v>25209683.711052828</v>
      </c>
      <c r="AP121" s="36">
        <v>26166081.709142886</v>
      </c>
      <c r="AQ121" s="36">
        <v>27122479.707232956</v>
      </c>
      <c r="AR121" s="36">
        <v>28078877.705323007</v>
      </c>
      <c r="AS121" s="36">
        <v>29035275.703413062</v>
      </c>
      <c r="AT121" s="36">
        <v>29991673.70150312</v>
      </c>
      <c r="AU121" s="36">
        <v>30948071.699593183</v>
      </c>
      <c r="AV121" s="36">
        <v>31904469.697683237</v>
      </c>
      <c r="AW121" s="36">
        <v>32860867.6957733</v>
      </c>
      <c r="AX121" s="36">
        <v>33817265.693863362</v>
      </c>
    </row>
    <row r="122" spans="4:50">
      <c r="D122" t="s">
        <v>660</v>
      </c>
      <c r="E122" t="s">
        <v>633</v>
      </c>
      <c r="G122" s="44"/>
      <c r="I122" s="44"/>
      <c r="K122" s="44"/>
      <c r="M122" s="44"/>
      <c r="O122" s="36">
        <v>375983.85193336598</v>
      </c>
      <c r="P122" s="36">
        <v>661541.98064801551</v>
      </c>
      <c r="Q122" s="36">
        <v>947100.1093626651</v>
      </c>
      <c r="R122" s="36">
        <v>1232658.2380773148</v>
      </c>
      <c r="S122" s="36">
        <v>1518216.366791964</v>
      </c>
      <c r="T122" s="36">
        <v>1803774.4955066137</v>
      </c>
      <c r="U122" s="36">
        <v>2089332.6242212632</v>
      </c>
      <c r="V122" s="36">
        <v>2374890.7529359134</v>
      </c>
      <c r="W122" s="36">
        <v>2660448.8816505624</v>
      </c>
      <c r="X122" s="36">
        <v>2946007.0103652119</v>
      </c>
      <c r="Y122" s="36">
        <v>3231565.1390798609</v>
      </c>
      <c r="Z122" s="36">
        <v>4800522.8327182028</v>
      </c>
      <c r="AA122" s="36">
        <v>6369480.5263565443</v>
      </c>
      <c r="AB122" s="36">
        <v>7938438.2199948868</v>
      </c>
      <c r="AC122" s="36">
        <v>9507395.9136332273</v>
      </c>
      <c r="AD122" s="36">
        <v>11076353.607271571</v>
      </c>
      <c r="AE122" s="36">
        <v>12645311.300909908</v>
      </c>
      <c r="AF122" s="36">
        <v>14214268.994548254</v>
      </c>
      <c r="AG122" s="36">
        <v>15783226.688186595</v>
      </c>
      <c r="AH122" s="36">
        <v>17352184.381824937</v>
      </c>
      <c r="AI122" s="36">
        <v>18921142.075463276</v>
      </c>
      <c r="AJ122" s="36">
        <v>20490099.769101612</v>
      </c>
      <c r="AK122" s="36">
        <v>22059057.462739959</v>
      </c>
      <c r="AL122" s="36">
        <v>23628015.156378306</v>
      </c>
      <c r="AM122" s="36">
        <v>25196972.850016646</v>
      </c>
      <c r="AN122" s="36">
        <v>26765930.543654982</v>
      </c>
      <c r="AO122" s="36">
        <v>28334888.237293329</v>
      </c>
      <c r="AP122" s="36">
        <v>29903845.930931672</v>
      </c>
      <c r="AQ122" s="36">
        <v>31472803.624570008</v>
      </c>
      <c r="AR122" s="36">
        <v>33041761.318208344</v>
      </c>
      <c r="AS122" s="36">
        <v>34610719.011846699</v>
      </c>
      <c r="AT122" s="36">
        <v>36179676.705485038</v>
      </c>
      <c r="AU122" s="36">
        <v>37748634.399123378</v>
      </c>
      <c r="AV122" s="36">
        <v>39317592.092761718</v>
      </c>
      <c r="AW122" s="36">
        <v>40886549.78640005</v>
      </c>
      <c r="AX122" s="36">
        <v>42455507.480038404</v>
      </c>
    </row>
    <row r="123" spans="4:50">
      <c r="E123" t="s">
        <v>660</v>
      </c>
      <c r="G123" s="44"/>
      <c r="I123" s="44"/>
      <c r="K123" s="44"/>
      <c r="M123" s="44"/>
      <c r="O123" s="36">
        <f>SUMIF($D90:$D122,$E123,O90:O122)</f>
        <v>7804331.9236876462</v>
      </c>
      <c r="P123" s="36">
        <f t="shared" ref="P123" si="42">SUMIF($D90:$D122,$E123,P90:P122)</f>
        <v>13846942.334089361</v>
      </c>
      <c r="Q123" s="36">
        <f t="shared" ref="Q123" si="43">SUMIF($D90:$D122,$E123,Q90:Q122)</f>
        <v>19889552.744491082</v>
      </c>
      <c r="R123" s="36">
        <f t="shared" ref="R123" si="44">SUMIF($D90:$D122,$E123,R90:R122)</f>
        <v>25932163.154892802</v>
      </c>
      <c r="S123" s="36">
        <f t="shared" ref="S123" si="45">SUMIF($D90:$D122,$E123,S90:S122)</f>
        <v>31974773.565294519</v>
      </c>
      <c r="T123" s="36">
        <f t="shared" ref="T123" si="46">SUMIF($D90:$D122,$E123,T90:T122)</f>
        <v>38017383.975696236</v>
      </c>
      <c r="U123" s="36">
        <f t="shared" ref="U123" si="47">SUMIF($D90:$D122,$E123,U90:U122)</f>
        <v>44059994.386097953</v>
      </c>
      <c r="V123" s="36">
        <f t="shared" ref="V123" si="48">SUMIF($D90:$D122,$E123,V90:V122)</f>
        <v>50102604.796499677</v>
      </c>
      <c r="W123" s="36">
        <f t="shared" ref="W123" si="49">SUMIF($D90:$D122,$E123,W90:W122)</f>
        <v>56145215.206901379</v>
      </c>
      <c r="X123" s="36">
        <f t="shared" ref="X123" si="50">SUMIF($D90:$D122,$E123,X90:X122)</f>
        <v>62187825.617303103</v>
      </c>
      <c r="Y123" s="36">
        <f t="shared" ref="Y123" si="51">SUMIF($D90:$D122,$E123,Y90:Y122)</f>
        <v>68230436.02770482</v>
      </c>
      <c r="Z123" s="36">
        <f t="shared" ref="Z123" si="52">SUMIF($D90:$D122,$E123,Z90:Z122)</f>
        <v>81276667.825572386</v>
      </c>
      <c r="AA123" s="36">
        <f t="shared" ref="AA123" si="53">SUMIF($D90:$D122,$E123,AA90:AA122)</f>
        <v>94322899.623439908</v>
      </c>
      <c r="AB123" s="36">
        <f t="shared" ref="AB123" si="54">SUMIF($D90:$D122,$E123,AB90:AB122)</f>
        <v>107369131.42130743</v>
      </c>
      <c r="AC123" s="36">
        <f t="shared" ref="AC123" si="55">SUMIF($D90:$D122,$E123,AC90:AC122)</f>
        <v>120415363.21917495</v>
      </c>
      <c r="AD123" s="36">
        <f t="shared" ref="AD123" si="56">SUMIF($D90:$D122,$E123,AD90:AD122)</f>
        <v>133461595.01704252</v>
      </c>
      <c r="AE123" s="36">
        <f t="shared" ref="AE123" si="57">SUMIF($D90:$D122,$E123,AE90:AE122)</f>
        <v>146507826.81491002</v>
      </c>
      <c r="AF123" s="36">
        <f t="shared" ref="AF123" si="58">SUMIF($D90:$D122,$E123,AF90:AF122)</f>
        <v>159554058.61277759</v>
      </c>
      <c r="AG123" s="36">
        <f t="shared" ref="AG123" si="59">SUMIF($D90:$D122,$E123,AG90:AG122)</f>
        <v>172600290.41064507</v>
      </c>
      <c r="AH123" s="36">
        <f t="shared" ref="AH123" si="60">SUMIF($D90:$D122,$E123,AH90:AH122)</f>
        <v>185646522.20851266</v>
      </c>
      <c r="AI123" s="36">
        <f t="shared" ref="AI123" si="61">SUMIF($D90:$D122,$E123,AI90:AI122)</f>
        <v>198692754.00638017</v>
      </c>
      <c r="AJ123" s="36">
        <f t="shared" ref="AJ123" si="62">SUMIF($D90:$D122,$E123,AJ90:AJ122)</f>
        <v>211738985.80424768</v>
      </c>
      <c r="AK123" s="36">
        <f t="shared" ref="AK123" si="63">SUMIF($D90:$D122,$E123,AK90:AK122)</f>
        <v>224785217.60211521</v>
      </c>
      <c r="AL123" s="36">
        <f t="shared" ref="AL123" si="64">SUMIF($D90:$D122,$E123,AL90:AL122)</f>
        <v>237831449.39998272</v>
      </c>
      <c r="AM123" s="36">
        <f t="shared" ref="AM123" si="65">SUMIF($D90:$D122,$E123,AM90:AM122)</f>
        <v>250877681.19785029</v>
      </c>
      <c r="AN123" s="36">
        <f t="shared" ref="AN123" si="66">SUMIF($D90:$D122,$E123,AN90:AN122)</f>
        <v>263923912.99571782</v>
      </c>
      <c r="AO123" s="36">
        <f t="shared" ref="AO123" si="67">SUMIF($D90:$D122,$E123,AO90:AO122)</f>
        <v>276970144.7935853</v>
      </c>
      <c r="AP123" s="36">
        <f t="shared" ref="AP123" si="68">SUMIF($D90:$D122,$E123,AP90:AP122)</f>
        <v>290016376.5914529</v>
      </c>
      <c r="AQ123" s="36">
        <f t="shared" ref="AQ123" si="69">SUMIF($D90:$D122,$E123,AQ90:AQ122)</f>
        <v>303062608.38932043</v>
      </c>
      <c r="AR123" s="36">
        <f t="shared" ref="AR123" si="70">SUMIF($D90:$D122,$E123,AR90:AR122)</f>
        <v>316108840.18718791</v>
      </c>
      <c r="AS123" s="36">
        <f t="shared" ref="AS123" si="71">SUMIF($D90:$D122,$E123,AS90:AS122)</f>
        <v>329155071.98505551</v>
      </c>
      <c r="AT123" s="36">
        <f t="shared" ref="AT123" si="72">SUMIF($D90:$D122,$E123,AT90:AT122)</f>
        <v>342201303.78292304</v>
      </c>
      <c r="AU123" s="36">
        <f t="shared" ref="AU123" si="73">SUMIF($D90:$D122,$E123,AU90:AU122)</f>
        <v>355247535.58079064</v>
      </c>
      <c r="AV123" s="36">
        <f t="shared" ref="AV123" si="74">SUMIF($D90:$D122,$E123,AV90:AV122)</f>
        <v>368293767.37865812</v>
      </c>
      <c r="AW123" s="36">
        <f t="shared" ref="AW123" si="75">SUMIF($D90:$D122,$E123,AW90:AW122)</f>
        <v>381339999.17652559</v>
      </c>
      <c r="AX123" s="36">
        <f t="shared" ref="AX123" si="76">SUMIF($D90:$D122,$E123,AX90:AX122)</f>
        <v>394386230.97439313</v>
      </c>
    </row>
    <row r="124" spans="4:50">
      <c r="E124" t="s">
        <v>661</v>
      </c>
      <c r="G124" s="44"/>
      <c r="I124" s="44"/>
      <c r="K124" s="44"/>
      <c r="M124" s="44"/>
      <c r="O124" s="36">
        <f>SUMIF($D90:$D122,$E124,O90:O122)</f>
        <v>35898768.076312371</v>
      </c>
      <c r="P124" s="36">
        <f t="shared" ref="P124:AX124" si="77">SUMIF($D90:$D122,$E124,P90:P122)</f>
        <v>62888540.826581761</v>
      </c>
      <c r="Q124" s="36">
        <f t="shared" si="77"/>
        <v>89878313.576851144</v>
      </c>
      <c r="R124" s="36">
        <f t="shared" si="77"/>
        <v>116868086.32712054</v>
      </c>
      <c r="S124" s="36">
        <f t="shared" si="77"/>
        <v>143857859.07738993</v>
      </c>
      <c r="T124" s="36">
        <f t="shared" si="77"/>
        <v>170847631.82765934</v>
      </c>
      <c r="U124" s="36">
        <f t="shared" si="77"/>
        <v>197837404.57792872</v>
      </c>
      <c r="V124" s="36">
        <f t="shared" si="77"/>
        <v>224827177.32819808</v>
      </c>
      <c r="W124" s="36">
        <f t="shared" si="77"/>
        <v>251816950.07846743</v>
      </c>
      <c r="X124" s="36">
        <f t="shared" si="77"/>
        <v>278806722.82873684</v>
      </c>
      <c r="Y124" s="36">
        <f t="shared" si="77"/>
        <v>305796495.57900625</v>
      </c>
      <c r="Z124" s="36">
        <f t="shared" si="77"/>
        <v>337797326.0730148</v>
      </c>
      <c r="AA124" s="36">
        <f t="shared" si="77"/>
        <v>369798156.56702328</v>
      </c>
      <c r="AB124" s="36">
        <f t="shared" si="77"/>
        <v>401798987.06103176</v>
      </c>
      <c r="AC124" s="36">
        <f t="shared" si="77"/>
        <v>433799817.55504024</v>
      </c>
      <c r="AD124" s="36">
        <f t="shared" si="77"/>
        <v>465800648.04904866</v>
      </c>
      <c r="AE124" s="36">
        <f t="shared" si="77"/>
        <v>497801478.54305732</v>
      </c>
      <c r="AF124" s="36">
        <f t="shared" si="77"/>
        <v>529802309.03706574</v>
      </c>
      <c r="AG124" s="36">
        <f t="shared" si="77"/>
        <v>561803139.53107429</v>
      </c>
      <c r="AH124" s="36">
        <f t="shared" si="77"/>
        <v>593803970.02508283</v>
      </c>
      <c r="AI124" s="36">
        <f t="shared" si="77"/>
        <v>625804800.51909137</v>
      </c>
      <c r="AJ124" s="36">
        <f t="shared" si="77"/>
        <v>657805631.01309967</v>
      </c>
      <c r="AK124" s="36">
        <f t="shared" si="77"/>
        <v>689806461.50710833</v>
      </c>
      <c r="AL124" s="36">
        <f t="shared" si="77"/>
        <v>721807292.00111711</v>
      </c>
      <c r="AM124" s="36">
        <f t="shared" si="77"/>
        <v>753808122.49512541</v>
      </c>
      <c r="AN124" s="36">
        <f t="shared" si="77"/>
        <v>785808952.98913395</v>
      </c>
      <c r="AO124" s="36">
        <f t="shared" si="77"/>
        <v>817809783.4831425</v>
      </c>
      <c r="AP124" s="36">
        <f t="shared" si="77"/>
        <v>849810613.9771508</v>
      </c>
      <c r="AQ124" s="36">
        <f t="shared" si="77"/>
        <v>881811444.47115946</v>
      </c>
      <c r="AR124" s="36">
        <f t="shared" si="77"/>
        <v>913812274.96516788</v>
      </c>
      <c r="AS124" s="36">
        <f t="shared" si="77"/>
        <v>945813105.45917654</v>
      </c>
      <c r="AT124" s="36">
        <f t="shared" si="77"/>
        <v>977813935.95318532</v>
      </c>
      <c r="AU124" s="36">
        <f t="shared" si="77"/>
        <v>1009814766.4471935</v>
      </c>
      <c r="AV124" s="36">
        <f t="shared" si="77"/>
        <v>1041815596.9412022</v>
      </c>
      <c r="AW124" s="36">
        <f t="shared" si="77"/>
        <v>1073816427.4352105</v>
      </c>
      <c r="AX124" s="36">
        <f t="shared" si="77"/>
        <v>1105817257.929219</v>
      </c>
    </row>
    <row r="125" spans="4:50">
      <c r="E125" t="s">
        <v>122</v>
      </c>
      <c r="G125" s="44"/>
      <c r="I125" s="44"/>
      <c r="K125" s="44"/>
      <c r="M125" s="44"/>
      <c r="O125" s="159">
        <f t="shared" ref="O125:AX125" si="78">SUM(O90:O122)</f>
        <v>43703100.000000015</v>
      </c>
      <c r="P125" s="159">
        <f t="shared" si="78"/>
        <v>76735483.16067113</v>
      </c>
      <c r="Q125" s="159">
        <f t="shared" si="78"/>
        <v>109767866.32134221</v>
      </c>
      <c r="R125" s="159">
        <f t="shared" si="78"/>
        <v>142800249.48201334</v>
      </c>
      <c r="S125" s="159">
        <f t="shared" si="78"/>
        <v>175832632.64268443</v>
      </c>
      <c r="T125" s="159">
        <f t="shared" si="78"/>
        <v>208865015.8033556</v>
      </c>
      <c r="U125" s="159">
        <f t="shared" si="78"/>
        <v>241897398.96402666</v>
      </c>
      <c r="V125" s="159">
        <f t="shared" si="78"/>
        <v>274929782.12469774</v>
      </c>
      <c r="W125" s="159">
        <f t="shared" si="78"/>
        <v>307962165.2853688</v>
      </c>
      <c r="X125" s="159">
        <f t="shared" si="78"/>
        <v>340994548.44603997</v>
      </c>
      <c r="Y125" s="159">
        <f t="shared" si="78"/>
        <v>374026931.60671115</v>
      </c>
      <c r="Z125" s="159">
        <f t="shared" si="78"/>
        <v>419073993.89858723</v>
      </c>
      <c r="AA125" s="159">
        <f t="shared" si="78"/>
        <v>464121056.19046319</v>
      </c>
      <c r="AB125" s="159">
        <f t="shared" si="78"/>
        <v>509168118.48233908</v>
      </c>
      <c r="AC125" s="159">
        <f t="shared" si="78"/>
        <v>554215180.7742151</v>
      </c>
      <c r="AD125" s="159">
        <f t="shared" si="78"/>
        <v>599262243.06609118</v>
      </c>
      <c r="AE125" s="159">
        <f t="shared" si="78"/>
        <v>644309305.35796726</v>
      </c>
      <c r="AF125" s="159">
        <f t="shared" si="78"/>
        <v>689356367.64984322</v>
      </c>
      <c r="AG125" s="159">
        <f t="shared" si="78"/>
        <v>734403429.94171953</v>
      </c>
      <c r="AH125" s="159">
        <f t="shared" si="78"/>
        <v>779450492.23359549</v>
      </c>
      <c r="AI125" s="159">
        <f t="shared" si="78"/>
        <v>824497554.52547133</v>
      </c>
      <c r="AJ125" s="159">
        <f t="shared" si="78"/>
        <v>869544616.81734765</v>
      </c>
      <c r="AK125" s="159">
        <f t="shared" si="78"/>
        <v>914591679.10922396</v>
      </c>
      <c r="AL125" s="159">
        <f t="shared" si="78"/>
        <v>959638741.4010998</v>
      </c>
      <c r="AM125" s="159">
        <f t="shared" si="78"/>
        <v>1004685803.6929759</v>
      </c>
      <c r="AN125" s="159">
        <f t="shared" si="78"/>
        <v>1049732865.9848517</v>
      </c>
      <c r="AO125" s="159">
        <f t="shared" si="78"/>
        <v>1094779928.2767277</v>
      </c>
      <c r="AP125" s="159">
        <f t="shared" si="78"/>
        <v>1139826990.5686038</v>
      </c>
      <c r="AQ125" s="159">
        <f t="shared" si="78"/>
        <v>1184874052.8604796</v>
      </c>
      <c r="AR125" s="159">
        <f t="shared" si="78"/>
        <v>1229921115.1523559</v>
      </c>
      <c r="AS125" s="159">
        <f t="shared" si="78"/>
        <v>1274968177.4442322</v>
      </c>
      <c r="AT125" s="159">
        <f t="shared" si="78"/>
        <v>1320015239.7361081</v>
      </c>
      <c r="AU125" s="159">
        <f t="shared" si="78"/>
        <v>1365062302.0279841</v>
      </c>
      <c r="AV125" s="159">
        <f t="shared" si="78"/>
        <v>1410109364.3198605</v>
      </c>
      <c r="AW125" s="159">
        <f t="shared" si="78"/>
        <v>1455156426.6117363</v>
      </c>
      <c r="AX125" s="159">
        <f t="shared" si="78"/>
        <v>1500203488.9036124</v>
      </c>
    </row>
    <row r="127" spans="4:50">
      <c r="D127" s="160" t="s">
        <v>720</v>
      </c>
      <c r="E127" t="str">
        <f xml:space="preserve"> Dashboard!$D$5</f>
        <v>Inner London</v>
      </c>
      <c r="G127" s="44"/>
      <c r="I127" s="44"/>
      <c r="K127" s="44"/>
      <c r="M127" s="44"/>
      <c r="O127" s="36">
        <f>INDEX(O90:O125,MATCH($E$127,$E$90:$E$125,0))</f>
        <v>7804331.9236876462</v>
      </c>
      <c r="P127" s="36">
        <f t="shared" ref="P127:AX127" si="79">INDEX(P90:P125,MATCH($E$127,$E$90:$E$125,0))</f>
        <v>13846942.334089361</v>
      </c>
      <c r="Q127" s="36">
        <f>INDEX(Q90:Q125,MATCH($E$127,$E$90:$E$125,0))</f>
        <v>19889552.744491082</v>
      </c>
      <c r="R127" s="36">
        <f t="shared" si="79"/>
        <v>25932163.154892802</v>
      </c>
      <c r="S127" s="36">
        <f t="shared" si="79"/>
        <v>31974773.565294519</v>
      </c>
      <c r="T127" s="36">
        <f t="shared" si="79"/>
        <v>38017383.975696236</v>
      </c>
      <c r="U127" s="36">
        <f t="shared" si="79"/>
        <v>44059994.386097953</v>
      </c>
      <c r="V127" s="36">
        <f t="shared" si="79"/>
        <v>50102604.796499677</v>
      </c>
      <c r="W127" s="36">
        <f t="shared" si="79"/>
        <v>56145215.206901379</v>
      </c>
      <c r="X127" s="36">
        <f t="shared" si="79"/>
        <v>62187825.617303103</v>
      </c>
      <c r="Y127" s="36">
        <f t="shared" si="79"/>
        <v>68230436.02770482</v>
      </c>
      <c r="Z127" s="36">
        <f t="shared" si="79"/>
        <v>81276667.825572386</v>
      </c>
      <c r="AA127" s="36">
        <f t="shared" si="79"/>
        <v>94322899.623439908</v>
      </c>
      <c r="AB127" s="36">
        <f t="shared" si="79"/>
        <v>107369131.42130743</v>
      </c>
      <c r="AC127" s="36">
        <f t="shared" si="79"/>
        <v>120415363.21917495</v>
      </c>
      <c r="AD127" s="36">
        <f t="shared" si="79"/>
        <v>133461595.01704252</v>
      </c>
      <c r="AE127" s="36">
        <f t="shared" si="79"/>
        <v>146507826.81491002</v>
      </c>
      <c r="AF127" s="36">
        <f t="shared" si="79"/>
        <v>159554058.61277759</v>
      </c>
      <c r="AG127" s="36">
        <f t="shared" si="79"/>
        <v>172600290.41064507</v>
      </c>
      <c r="AH127" s="36">
        <f t="shared" si="79"/>
        <v>185646522.20851266</v>
      </c>
      <c r="AI127" s="36">
        <f t="shared" si="79"/>
        <v>198692754.00638017</v>
      </c>
      <c r="AJ127" s="36">
        <f t="shared" si="79"/>
        <v>211738985.80424768</v>
      </c>
      <c r="AK127" s="36">
        <f t="shared" si="79"/>
        <v>224785217.60211521</v>
      </c>
      <c r="AL127" s="36">
        <f t="shared" si="79"/>
        <v>237831449.39998272</v>
      </c>
      <c r="AM127" s="36">
        <f t="shared" si="79"/>
        <v>250877681.19785029</v>
      </c>
      <c r="AN127" s="36">
        <f t="shared" si="79"/>
        <v>263923912.99571782</v>
      </c>
      <c r="AO127" s="36">
        <f t="shared" si="79"/>
        <v>276970144.7935853</v>
      </c>
      <c r="AP127" s="36">
        <f t="shared" si="79"/>
        <v>290016376.5914529</v>
      </c>
      <c r="AQ127" s="36">
        <f t="shared" si="79"/>
        <v>303062608.38932043</v>
      </c>
      <c r="AR127" s="36">
        <f t="shared" si="79"/>
        <v>316108840.18718791</v>
      </c>
      <c r="AS127" s="36">
        <f t="shared" si="79"/>
        <v>329155071.98505551</v>
      </c>
      <c r="AT127" s="36">
        <f t="shared" si="79"/>
        <v>342201303.78292304</v>
      </c>
      <c r="AU127" s="36">
        <f t="shared" si="79"/>
        <v>355247535.58079064</v>
      </c>
      <c r="AV127" s="36">
        <f t="shared" si="79"/>
        <v>368293767.37865812</v>
      </c>
      <c r="AW127" s="36">
        <f t="shared" si="79"/>
        <v>381339999.17652559</v>
      </c>
      <c r="AX127" s="36">
        <f t="shared" si="79"/>
        <v>394386230.97439313</v>
      </c>
    </row>
    <row r="129" spans="3:50" s="43" customFormat="1">
      <c r="C129" s="43" t="s">
        <v>721</v>
      </c>
      <c r="O129" s="71"/>
      <c r="P129" s="71"/>
      <c r="Q129" s="71"/>
      <c r="R129" s="71"/>
      <c r="S129" s="71"/>
      <c r="T129" s="71"/>
      <c r="U129" s="71"/>
      <c r="V129" s="71"/>
      <c r="W129" s="71"/>
      <c r="X129" s="71"/>
      <c r="Y129" s="71"/>
      <c r="Z129" s="71"/>
      <c r="AA129" s="71"/>
      <c r="AB129" s="71"/>
      <c r="AC129" s="71"/>
      <c r="AD129" s="71"/>
      <c r="AE129" s="71"/>
      <c r="AF129" s="71"/>
      <c r="AG129" s="71"/>
      <c r="AH129" s="71"/>
      <c r="AI129" s="71"/>
      <c r="AJ129" s="71"/>
      <c r="AK129" s="71"/>
      <c r="AL129" s="71"/>
      <c r="AM129" s="71"/>
      <c r="AN129" s="71"/>
      <c r="AO129" s="71"/>
      <c r="AP129" s="71"/>
      <c r="AQ129" s="71"/>
      <c r="AR129" s="71"/>
      <c r="AS129" s="71"/>
      <c r="AT129" s="71"/>
      <c r="AU129" s="71"/>
      <c r="AV129" s="71"/>
      <c r="AW129" s="71"/>
      <c r="AX129" s="71"/>
    </row>
    <row r="131" spans="3:50">
      <c r="D131" t="s">
        <v>661</v>
      </c>
      <c r="E131" t="s">
        <v>626</v>
      </c>
      <c r="G131" s="44"/>
      <c r="I131" s="44"/>
      <c r="K131" s="44"/>
      <c r="M131" s="44"/>
      <c r="O131" s="36">
        <v>914757.5093894999</v>
      </c>
      <c r="P131" s="36">
        <v>1607182.9567093437</v>
      </c>
      <c r="Q131" s="36">
        <v>2299608.4040291877</v>
      </c>
      <c r="R131" s="36">
        <v>2992033.8513490325</v>
      </c>
      <c r="S131" s="36">
        <v>3684459.2986688768</v>
      </c>
      <c r="T131" s="36">
        <v>4322085.6082001189</v>
      </c>
      <c r="U131" s="36">
        <v>6425770.7800090695</v>
      </c>
      <c r="V131" s="36">
        <v>8529546.6631990653</v>
      </c>
      <c r="W131" s="36">
        <v>10633384.068342641</v>
      </c>
      <c r="X131" s="36">
        <v>12737265.116414284</v>
      </c>
      <c r="Y131" s="36">
        <v>14841178.244370259</v>
      </c>
      <c r="Z131" s="36">
        <v>17035725.21259211</v>
      </c>
      <c r="AA131" s="36">
        <v>19233005.00420893</v>
      </c>
      <c r="AB131" s="36">
        <v>21432292.285124358</v>
      </c>
      <c r="AC131" s="36">
        <v>23633097.544231746</v>
      </c>
      <c r="AD131" s="36">
        <v>25835078.458321378</v>
      </c>
      <c r="AE131" s="36">
        <v>28037988.438668948</v>
      </c>
      <c r="AF131" s="36">
        <v>30241645.351442579</v>
      </c>
      <c r="AG131" s="36">
        <v>32445911.749933191</v>
      </c>
      <c r="AH131" s="36">
        <v>34650681.961459853</v>
      </c>
      <c r="AI131" s="36">
        <v>36855873.407376602</v>
      </c>
      <c r="AJ131" s="36">
        <v>39061420.62109971</v>
      </c>
      <c r="AK131" s="36">
        <v>41267271.033942319</v>
      </c>
      <c r="AL131" s="36">
        <v>43473381.947869144</v>
      </c>
      <c r="AM131" s="36">
        <v>45679718.322646089</v>
      </c>
      <c r="AN131" s="36">
        <v>47886251.132748842</v>
      </c>
      <c r="AO131" s="36">
        <v>50092956.129922166</v>
      </c>
      <c r="AP131" s="36">
        <v>52299812.899168655</v>
      </c>
      <c r="AQ131" s="36">
        <v>54506804.130076267</v>
      </c>
      <c r="AR131" s="36">
        <v>56713915.048275873</v>
      </c>
      <c r="AS131" s="36">
        <v>58921132.967425235</v>
      </c>
      <c r="AT131" s="36">
        <v>61128446.932927102</v>
      </c>
      <c r="AU131" s="36">
        <v>63335847.436191231</v>
      </c>
      <c r="AV131" s="36">
        <v>65543326.183665179</v>
      </c>
      <c r="AW131" s="36">
        <v>67750875.908765689</v>
      </c>
      <c r="AX131" s="36">
        <v>69958490.217692986</v>
      </c>
    </row>
    <row r="132" spans="3:50">
      <c r="D132" t="s">
        <v>661</v>
      </c>
      <c r="E132" t="s">
        <v>627</v>
      </c>
      <c r="G132" s="44"/>
      <c r="I132" s="44"/>
      <c r="K132" s="44"/>
      <c r="M132" s="44"/>
      <c r="O132" s="36">
        <v>2644372.5341043943</v>
      </c>
      <c r="P132" s="36">
        <v>4636503.778645711</v>
      </c>
      <c r="Q132" s="36">
        <v>6628635.0231870264</v>
      </c>
      <c r="R132" s="36">
        <v>8620766.2677283455</v>
      </c>
      <c r="S132" s="36">
        <v>10612897.512269659</v>
      </c>
      <c r="T132" s="36">
        <v>12447212.239410831</v>
      </c>
      <c r="U132" s="36">
        <v>18503110.01516914</v>
      </c>
      <c r="V132" s="36">
        <v>24558421.735540897</v>
      </c>
      <c r="W132" s="36">
        <v>30613335.983491119</v>
      </c>
      <c r="X132" s="36">
        <v>36667968.269323871</v>
      </c>
      <c r="Y132" s="36">
        <v>42722393.297932647</v>
      </c>
      <c r="Z132" s="36">
        <v>48615001.877592303</v>
      </c>
      <c r="AA132" s="36">
        <v>54502701.476015247</v>
      </c>
      <c r="AB132" s="36">
        <v>60386795.013644859</v>
      </c>
      <c r="AC132" s="36">
        <v>66268161.801175721</v>
      </c>
      <c r="AD132" s="36">
        <v>72147416.755113795</v>
      </c>
      <c r="AE132" s="36">
        <v>78025002.823738471</v>
      </c>
      <c r="AF132" s="36">
        <v>83901247.174756631</v>
      </c>
      <c r="AG132" s="36">
        <v>89776396.704223439</v>
      </c>
      <c r="AH132" s="36">
        <v>95650641.232384592</v>
      </c>
      <c r="AI132" s="36">
        <v>101524129.09558123</v>
      </c>
      <c r="AJ132" s="36">
        <v>107396977.89169088</v>
      </c>
      <c r="AK132" s="36">
        <v>113269282.05004917</v>
      </c>
      <c r="AL132" s="36">
        <v>119141118.26930226</v>
      </c>
      <c r="AM132" s="36">
        <v>125012549.49235797</v>
      </c>
      <c r="AN132" s="36">
        <v>130883627.85787806</v>
      </c>
      <c r="AO132" s="36">
        <v>136754396.9230971</v>
      </c>
      <c r="AP132" s="36">
        <v>142624893.35955393</v>
      </c>
      <c r="AQ132" s="36">
        <v>148495148.26200876</v>
      </c>
      <c r="AR132" s="36">
        <v>154365188.16971785</v>
      </c>
      <c r="AS132" s="36">
        <v>160235035.871207</v>
      </c>
      <c r="AT132" s="36">
        <v>166104711.0442616</v>
      </c>
      <c r="AU132" s="36">
        <v>171974230.76919907</v>
      </c>
      <c r="AV132" s="36">
        <v>177843609.94375968</v>
      </c>
      <c r="AW132" s="36">
        <v>183712861.6209352</v>
      </c>
      <c r="AX132" s="36">
        <v>189581997.28593272</v>
      </c>
    </row>
    <row r="133" spans="3:50">
      <c r="D133" t="s">
        <v>661</v>
      </c>
      <c r="E133" t="s">
        <v>628</v>
      </c>
      <c r="G133" s="44"/>
      <c r="I133" s="44"/>
      <c r="K133" s="44"/>
      <c r="M133" s="44"/>
      <c r="O133" s="36">
        <v>1916341.7509471027</v>
      </c>
      <c r="P133" s="36">
        <v>3354322.1759354281</v>
      </c>
      <c r="Q133" s="36">
        <v>4792302.6009237543</v>
      </c>
      <c r="R133" s="36">
        <v>6230283.025912079</v>
      </c>
      <c r="S133" s="36">
        <v>7668263.4509004056</v>
      </c>
      <c r="T133" s="36">
        <v>8992232.5774763692</v>
      </c>
      <c r="U133" s="36">
        <v>13365678.13503954</v>
      </c>
      <c r="V133" s="36">
        <v>17738192.223988663</v>
      </c>
      <c r="W133" s="36">
        <v>22110074.575572863</v>
      </c>
      <c r="X133" s="36">
        <v>26481508.780328602</v>
      </c>
      <c r="Y133" s="36">
        <v>30852613.573217198</v>
      </c>
      <c r="Z133" s="36">
        <v>35368662.500446923</v>
      </c>
      <c r="AA133" s="36">
        <v>39889006.101440847</v>
      </c>
      <c r="AB133" s="36">
        <v>44412504.502572395</v>
      </c>
      <c r="AC133" s="36">
        <v>48938388.429650366</v>
      </c>
      <c r="AD133" s="36">
        <v>53466119.916514754</v>
      </c>
      <c r="AE133" s="36">
        <v>57995311.445213735</v>
      </c>
      <c r="AF133" s="36">
        <v>62525676.789644703</v>
      </c>
      <c r="AG133" s="36">
        <v>67056999.950202093</v>
      </c>
      <c r="AH133" s="36">
        <v>71589114.860651553</v>
      </c>
      <c r="AI133" s="36">
        <v>76121891.747387856</v>
      </c>
      <c r="AJ133" s="36">
        <v>80655227.728673428</v>
      </c>
      <c r="AK133" s="36">
        <v>85189040.192012757</v>
      </c>
      <c r="AL133" s="36">
        <v>89723262.036790326</v>
      </c>
      <c r="AM133" s="36">
        <v>94257838.196742356</v>
      </c>
      <c r="AN133" s="36">
        <v>98792723.057813346</v>
      </c>
      <c r="AO133" s="36">
        <v>103327878.51349947</v>
      </c>
      <c r="AP133" s="36">
        <v>107863272.48131987</v>
      </c>
      <c r="AQ133" s="36">
        <v>112398877.75769731</v>
      </c>
      <c r="AR133" s="36">
        <v>116934671.12448482</v>
      </c>
      <c r="AS133" s="36">
        <v>121470632.64490148</v>
      </c>
      <c r="AT133" s="36">
        <v>126006745.1036301</v>
      </c>
      <c r="AU133" s="36">
        <v>130542993.55777572</v>
      </c>
      <c r="AV133" s="36">
        <v>135079364.97389379</v>
      </c>
      <c r="AW133" s="36">
        <v>139615847.93243772</v>
      </c>
      <c r="AX133" s="36">
        <v>144152432.38545325</v>
      </c>
    </row>
    <row r="134" spans="3:50">
      <c r="D134" t="s">
        <v>661</v>
      </c>
      <c r="E134" t="s">
        <v>629</v>
      </c>
      <c r="G134" s="44"/>
      <c r="I134" s="44"/>
      <c r="K134" s="44"/>
      <c r="M134" s="44"/>
      <c r="O134" s="36">
        <v>1793981.7627948506</v>
      </c>
      <c r="P134" s="36">
        <v>3143686.5199509566</v>
      </c>
      <c r="Q134" s="36">
        <v>4493391.27710706</v>
      </c>
      <c r="R134" s="36">
        <v>5843096.0342631666</v>
      </c>
      <c r="S134" s="36">
        <v>7192800.7914192714</v>
      </c>
      <c r="T134" s="36">
        <v>8435552.3236714527</v>
      </c>
      <c r="U134" s="36">
        <v>12539196.361702064</v>
      </c>
      <c r="V134" s="36">
        <v>16642283.695987483</v>
      </c>
      <c r="W134" s="36">
        <v>20744993.464618269</v>
      </c>
      <c r="X134" s="36">
        <v>24847435.392750703</v>
      </c>
      <c r="Y134" s="36">
        <v>28949680.443803873</v>
      </c>
      <c r="Z134" s="36">
        <v>33038699.564547412</v>
      </c>
      <c r="AA134" s="36">
        <v>37127281.660364032</v>
      </c>
      <c r="AB134" s="36">
        <v>41215542.724508502</v>
      </c>
      <c r="AC134" s="36">
        <v>45303561.038129978</v>
      </c>
      <c r="AD134" s="36">
        <v>49391391.344530165</v>
      </c>
      <c r="AE134" s="36">
        <v>53479073.077438824</v>
      </c>
      <c r="AF134" s="36">
        <v>57566635.363152482</v>
      </c>
      <c r="AG134" s="36">
        <v>61654100.181736894</v>
      </c>
      <c r="AH134" s="36">
        <v>65741484.432050563</v>
      </c>
      <c r="AI134" s="36">
        <v>69828801.319823071</v>
      </c>
      <c r="AJ134" s="36">
        <v>73916061.314274177</v>
      </c>
      <c r="AK134" s="36">
        <v>78003272.822030768</v>
      </c>
      <c r="AL134" s="36">
        <v>82090442.671234757</v>
      </c>
      <c r="AM134" s="36">
        <v>86177576.465415284</v>
      </c>
      <c r="AN134" s="36">
        <v>90264678.846247286</v>
      </c>
      <c r="AO134" s="36">
        <v>94351753.691438973</v>
      </c>
      <c r="AP134" s="36">
        <v>98438804.265695572</v>
      </c>
      <c r="AQ134" s="36">
        <v>102525833.3372463</v>
      </c>
      <c r="AR134" s="36">
        <v>106612843.26876405</v>
      </c>
      <c r="AS134" s="36">
        <v>110699836.08901049</v>
      </c>
      <c r="AT134" s="36">
        <v>114786813.54981218</v>
      </c>
      <c r="AU134" s="36">
        <v>118873777.1717543</v>
      </c>
      <c r="AV134" s="36">
        <v>122960728.28111686</v>
      </c>
      <c r="AW134" s="36">
        <v>127047668.03995012</v>
      </c>
      <c r="AX134" s="36">
        <v>131134597.4707313</v>
      </c>
    </row>
    <row r="135" spans="3:50">
      <c r="D135" t="s">
        <v>661</v>
      </c>
      <c r="E135" t="s">
        <v>630</v>
      </c>
      <c r="G135" s="44"/>
      <c r="I135" s="44"/>
      <c r="K135" s="44"/>
      <c r="M135" s="44"/>
      <c r="O135" s="36">
        <v>2754959.5909112915</v>
      </c>
      <c r="P135" s="36">
        <v>4822280.0461455053</v>
      </c>
      <c r="Q135" s="36">
        <v>6889600.5013797199</v>
      </c>
      <c r="R135" s="36">
        <v>8956920.9566139374</v>
      </c>
      <c r="S135" s="36">
        <v>11024241.411848152</v>
      </c>
      <c r="T135" s="36">
        <v>12927653.895029934</v>
      </c>
      <c r="U135" s="36">
        <v>19215139.608721275</v>
      </c>
      <c r="V135" s="36">
        <v>25501291.552630771</v>
      </c>
      <c r="W135" s="36">
        <v>31786538.911893312</v>
      </c>
      <c r="X135" s="36">
        <v>38071144.5697731</v>
      </c>
      <c r="Y135" s="36">
        <v>44355278.5428451</v>
      </c>
      <c r="Z135" s="36">
        <v>50045502.296194352</v>
      </c>
      <c r="AA135" s="36">
        <v>55717766.247700967</v>
      </c>
      <c r="AB135" s="36">
        <v>61376837.209836043</v>
      </c>
      <c r="AC135" s="36">
        <v>67025932.193435721</v>
      </c>
      <c r="AD135" s="36">
        <v>72667300.907363042</v>
      </c>
      <c r="AE135" s="36">
        <v>78302563.904425412</v>
      </c>
      <c r="AF135" s="36">
        <v>83932918.147271752</v>
      </c>
      <c r="AG135" s="36">
        <v>89559266.919906169</v>
      </c>
      <c r="AH135" s="36">
        <v>95182304.691065133</v>
      </c>
      <c r="AI135" s="36">
        <v>100802574.15813643</v>
      </c>
      <c r="AJ135" s="36">
        <v>106420505.55999772</v>
      </c>
      <c r="AK135" s="36">
        <v>112036444.37202857</v>
      </c>
      <c r="AL135" s="36">
        <v>117650671.2008189</v>
      </c>
      <c r="AM135" s="36">
        <v>123263416.32676685</v>
      </c>
      <c r="AN135" s="36">
        <v>128874870.50228883</v>
      </c>
      <c r="AO135" s="36">
        <v>134485193.08413613</v>
      </c>
      <c r="AP135" s="36">
        <v>140094518.23732987</v>
      </c>
      <c r="AQ135" s="36">
        <v>145702959.7239123</v>
      </c>
      <c r="AR135" s="36">
        <v>151310614.63934195</v>
      </c>
      <c r="AS135" s="36">
        <v>156917566.35680497</v>
      </c>
      <c r="AT135" s="36">
        <v>162523886.86865792</v>
      </c>
      <c r="AU135" s="36">
        <v>168129638.66426492</v>
      </c>
      <c r="AV135" s="36">
        <v>173734876.24790093</v>
      </c>
      <c r="AW135" s="36">
        <v>179339647.37471795</v>
      </c>
      <c r="AX135" s="36">
        <v>184943994.06403407</v>
      </c>
    </row>
    <row r="136" spans="3:50">
      <c r="D136" t="s">
        <v>660</v>
      </c>
      <c r="E136" t="s">
        <v>631</v>
      </c>
      <c r="G136" s="44"/>
      <c r="I136" s="44"/>
      <c r="K136" s="44"/>
      <c r="M136" s="44"/>
      <c r="O136" s="36">
        <v>351312.83046755381</v>
      </c>
      <c r="P136" s="36">
        <v>627670.70956325019</v>
      </c>
      <c r="Q136" s="36">
        <v>904028.58865894657</v>
      </c>
      <c r="R136" s="36">
        <v>1180386.4677546429</v>
      </c>
      <c r="S136" s="36">
        <v>1456744.3468503389</v>
      </c>
      <c r="T136" s="36">
        <v>1711403.5719505453</v>
      </c>
      <c r="U136" s="36">
        <v>2547157.2135426342</v>
      </c>
      <c r="V136" s="36">
        <v>3383874.6473889532</v>
      </c>
      <c r="W136" s="36">
        <v>4221245.7410256704</v>
      </c>
      <c r="X136" s="36">
        <v>5059080.5329937078</v>
      </c>
      <c r="Y136" s="36">
        <v>5897256.1680145571</v>
      </c>
      <c r="Z136" s="36">
        <v>7148063.6246413086</v>
      </c>
      <c r="AA136" s="36">
        <v>8411351.649378255</v>
      </c>
      <c r="AB136" s="36">
        <v>9683807.7041342016</v>
      </c>
      <c r="AC136" s="36">
        <v>10963196.234018089</v>
      </c>
      <c r="AD136" s="36">
        <v>12247953.878535217</v>
      </c>
      <c r="AE136" s="36">
        <v>13536954.488306746</v>
      </c>
      <c r="AF136" s="36">
        <v>14829366.27387332</v>
      </c>
      <c r="AG136" s="36">
        <v>16124561.528001029</v>
      </c>
      <c r="AH136" s="36">
        <v>17422057.652694579</v>
      </c>
      <c r="AI136" s="36">
        <v>18721477.518419262</v>
      </c>
      <c r="AJ136" s="36">
        <v>20022522.144948896</v>
      </c>
      <c r="AK136" s="36">
        <v>21324951.455636632</v>
      </c>
      <c r="AL136" s="36">
        <v>22628570.452247724</v>
      </c>
      <c r="AM136" s="36">
        <v>23933219.109063573</v>
      </c>
      <c r="AN136" s="36">
        <v>25238764.86902453</v>
      </c>
      <c r="AO136" s="36">
        <v>26545096.992446143</v>
      </c>
      <c r="AP136" s="36">
        <v>27852122.245800637</v>
      </c>
      <c r="AQ136" s="36">
        <v>29159761.573933121</v>
      </c>
      <c r="AR136" s="36">
        <v>30467947.503577754</v>
      </c>
      <c r="AS136" s="36">
        <v>31776622.097306479</v>
      </c>
      <c r="AT136" s="36">
        <v>33085735.326420888</v>
      </c>
      <c r="AU136" s="36">
        <v>34395243.766011715</v>
      </c>
      <c r="AV136" s="36">
        <v>35705109.54014235</v>
      </c>
      <c r="AW136" s="36">
        <v>37015299.462955318</v>
      </c>
      <c r="AX136" s="36">
        <v>38325784.334520079</v>
      </c>
    </row>
    <row r="137" spans="3:50">
      <c r="D137" t="s">
        <v>660</v>
      </c>
      <c r="E137" t="s">
        <v>632</v>
      </c>
      <c r="G137" s="44"/>
      <c r="I137" s="44"/>
      <c r="K137" s="44"/>
      <c r="M137" s="44"/>
      <c r="O137" s="36">
        <v>38293.175709502611</v>
      </c>
      <c r="P137" s="36">
        <v>65896.339245873445</v>
      </c>
      <c r="Q137" s="36">
        <v>93499.502782244279</v>
      </c>
      <c r="R137" s="36">
        <v>121102.66631861511</v>
      </c>
      <c r="S137" s="36">
        <v>148705.82985498593</v>
      </c>
      <c r="T137" s="36">
        <v>174101.583010931</v>
      </c>
      <c r="U137" s="36">
        <v>258475.55776018367</v>
      </c>
      <c r="V137" s="36">
        <v>342730.18623406306</v>
      </c>
      <c r="W137" s="36">
        <v>426903.87209712277</v>
      </c>
      <c r="X137" s="36">
        <v>511020.13825329294</v>
      </c>
      <c r="Y137" s="36">
        <v>595094.19785648317</v>
      </c>
      <c r="Z137" s="36">
        <v>673870.27789290168</v>
      </c>
      <c r="AA137" s="36">
        <v>752478.58858530712</v>
      </c>
      <c r="AB137" s="36">
        <v>830963.65854310803</v>
      </c>
      <c r="AC137" s="36">
        <v>909355.53908882977</v>
      </c>
      <c r="AD137" s="36">
        <v>987675.24560913863</v>
      </c>
      <c r="AE137" s="36">
        <v>1065937.9163045459</v>
      </c>
      <c r="AF137" s="36">
        <v>1144154.7324586862</v>
      </c>
      <c r="AG137" s="36">
        <v>1222334.131991206</v>
      </c>
      <c r="AH137" s="36">
        <v>1300482.6021988685</v>
      </c>
      <c r="AI137" s="36">
        <v>1378605.2126245091</v>
      </c>
      <c r="AJ137" s="36">
        <v>1456705.98229322</v>
      </c>
      <c r="AK137" s="36">
        <v>1534788.1384220005</v>
      </c>
      <c r="AL137" s="36">
        <v>1612854.302263798</v>
      </c>
      <c r="AM137" s="36">
        <v>1690906.6249554502</v>
      </c>
      <c r="AN137" s="36">
        <v>1768946.8883878738</v>
      </c>
      <c r="AO137" s="36">
        <v>1846976.5811731287</v>
      </c>
      <c r="AP137" s="36">
        <v>1924996.9565977368</v>
      </c>
      <c r="AQ137" s="36">
        <v>2003009.0773562305</v>
      </c>
      <c r="AR137" s="36">
        <v>2081013.8504542385</v>
      </c>
      <c r="AS137" s="36">
        <v>2159012.0547124222</v>
      </c>
      <c r="AT137" s="36">
        <v>2237004.3626387836</v>
      </c>
      <c r="AU137" s="36">
        <v>2314991.3579702545</v>
      </c>
      <c r="AV137" s="36">
        <v>2392973.5498520089</v>
      </c>
      <c r="AW137" s="36">
        <v>2470951.3843830959</v>
      </c>
      <c r="AX137" s="36">
        <v>2548925.254081957</v>
      </c>
    </row>
    <row r="138" spans="3:50">
      <c r="D138" t="s">
        <v>661</v>
      </c>
      <c r="E138" t="s">
        <v>634</v>
      </c>
      <c r="G138" s="44"/>
      <c r="I138" s="44"/>
      <c r="K138" s="44"/>
      <c r="M138" s="44"/>
      <c r="O138" s="36">
        <v>2429320.3465845049</v>
      </c>
      <c r="P138" s="36">
        <v>4256763.7201474654</v>
      </c>
      <c r="Q138" s="36">
        <v>6084207.0937104253</v>
      </c>
      <c r="R138" s="36">
        <v>7911650.4672733853</v>
      </c>
      <c r="S138" s="36">
        <v>9739093.8408363461</v>
      </c>
      <c r="T138" s="36">
        <v>11421722.739416901</v>
      </c>
      <c r="U138" s="36">
        <v>16977980.397361293</v>
      </c>
      <c r="V138" s="36">
        <v>22533461.105828449</v>
      </c>
      <c r="W138" s="36">
        <v>28088414.874355778</v>
      </c>
      <c r="X138" s="36">
        <v>33642994.838077635</v>
      </c>
      <c r="Y138" s="36">
        <v>39197300.035291903</v>
      </c>
      <c r="Z138" s="36">
        <v>44918249.498318985</v>
      </c>
      <c r="AA138" s="36">
        <v>50644157.287404455</v>
      </c>
      <c r="AB138" s="36">
        <v>56373707.385217115</v>
      </c>
      <c r="AC138" s="36">
        <v>62106011.642277397</v>
      </c>
      <c r="AD138" s="36">
        <v>67840448.960970879</v>
      </c>
      <c r="AE138" s="36">
        <v>73576571.940525323</v>
      </c>
      <c r="AF138" s="36">
        <v>79314050.12456125</v>
      </c>
      <c r="AG138" s="36">
        <v>85052634.135237217</v>
      </c>
      <c r="AH138" s="36">
        <v>90792132.244244576</v>
      </c>
      <c r="AI138" s="36">
        <v>96532394.624172971</v>
      </c>
      <c r="AJ138" s="36">
        <v>102273302.49505703</v>
      </c>
      <c r="AK138" s="36">
        <v>108014760.47836249</v>
      </c>
      <c r="AL138" s="36">
        <v>113756691.1044727</v>
      </c>
      <c r="AM138" s="36">
        <v>119499030.79778077</v>
      </c>
      <c r="AN138" s="36">
        <v>125241726.89552987</v>
      </c>
      <c r="AO138" s="36">
        <v>130984735.40265037</v>
      </c>
      <c r="AP138" s="36">
        <v>136728019.27898306</v>
      </c>
      <c r="AQ138" s="36">
        <v>142471547.11720496</v>
      </c>
      <c r="AR138" s="36">
        <v>148215292.11128837</v>
      </c>
      <c r="AS138" s="36">
        <v>153959231.24363858</v>
      </c>
      <c r="AT138" s="36">
        <v>159703344.63867012</v>
      </c>
      <c r="AU138" s="36">
        <v>165447615.04437518</v>
      </c>
      <c r="AV138" s="36">
        <v>171192027.41326192</v>
      </c>
      <c r="AW138" s="36">
        <v>176936568.561131</v>
      </c>
      <c r="AX138" s="36">
        <v>182681226.88732633</v>
      </c>
    </row>
    <row r="139" spans="3:50">
      <c r="D139" t="s">
        <v>661</v>
      </c>
      <c r="E139" t="s">
        <v>635</v>
      </c>
      <c r="G139" s="44"/>
      <c r="I139" s="44"/>
      <c r="K139" s="44"/>
      <c r="M139" s="44"/>
      <c r="O139" s="36">
        <v>2018771.6403892282</v>
      </c>
      <c r="P139" s="36">
        <v>3538094.2925239266</v>
      </c>
      <c r="Q139" s="36">
        <v>5057416.9446586268</v>
      </c>
      <c r="R139" s="36">
        <v>6576739.5967933265</v>
      </c>
      <c r="S139" s="36">
        <v>8096062.2489280254</v>
      </c>
      <c r="T139" s="36">
        <v>9494999.0941102635</v>
      </c>
      <c r="U139" s="36">
        <v>14114164.592596112</v>
      </c>
      <c r="V139" s="36">
        <v>18732747.881181687</v>
      </c>
      <c r="W139" s="36">
        <v>23350936.30541791</v>
      </c>
      <c r="X139" s="36">
        <v>27968844.617671441</v>
      </c>
      <c r="Y139" s="36">
        <v>32586547.03264894</v>
      </c>
      <c r="Z139" s="36">
        <v>37015441.512975588</v>
      </c>
      <c r="AA139" s="36">
        <v>41438615.326263368</v>
      </c>
      <c r="AB139" s="36">
        <v>45857586.827070013</v>
      </c>
      <c r="AC139" s="36">
        <v>50273380.717561811</v>
      </c>
      <c r="AD139" s="36">
        <v>54686713.588904567</v>
      </c>
      <c r="AE139" s="36">
        <v>59098101.629590251</v>
      </c>
      <c r="AF139" s="36">
        <v>63507926.103556693</v>
      </c>
      <c r="AG139" s="36">
        <v>67916474.73040536</v>
      </c>
      <c r="AH139" s="36">
        <v>72323968.716608688</v>
      </c>
      <c r="AI139" s="36">
        <v>76730580.925491378</v>
      </c>
      <c r="AJ139" s="36">
        <v>81136448.399398744</v>
      </c>
      <c r="AK139" s="36">
        <v>85541681.181283042</v>
      </c>
      <c r="AL139" s="36">
        <v>89946368.651688948</v>
      </c>
      <c r="AM139" s="36">
        <v>94350584.16095154</v>
      </c>
      <c r="AN139" s="36">
        <v>98754388.468708932</v>
      </c>
      <c r="AO139" s="36">
        <v>103157832.33425801</v>
      </c>
      <c r="AP139" s="36">
        <v>107560958.49267028</v>
      </c>
      <c r="AQ139" s="36">
        <v>111963803.18013419</v>
      </c>
      <c r="AR139" s="36">
        <v>116366397.3240951</v>
      </c>
      <c r="AS139" s="36">
        <v>120768767.48109517</v>
      </c>
      <c r="AT139" s="36">
        <v>125170936.58258486</v>
      </c>
      <c r="AU139" s="36">
        <v>129572924.53306232</v>
      </c>
      <c r="AV139" s="36">
        <v>133974748.69356596</v>
      </c>
      <c r="AW139" s="36">
        <v>138376424.27536184</v>
      </c>
      <c r="AX139" s="36">
        <v>142777964.6627028</v>
      </c>
    </row>
    <row r="140" spans="3:50">
      <c r="D140" t="s">
        <v>661</v>
      </c>
      <c r="E140" t="s">
        <v>636</v>
      </c>
      <c r="G140" s="44"/>
      <c r="I140" s="44"/>
      <c r="K140" s="44"/>
      <c r="M140" s="44"/>
      <c r="O140" s="36">
        <v>1796845.846017624</v>
      </c>
      <c r="P140" s="36">
        <v>3145278.1051980141</v>
      </c>
      <c r="Q140" s="36">
        <v>4493710.3643784067</v>
      </c>
      <c r="R140" s="36">
        <v>5842142.6235587979</v>
      </c>
      <c r="S140" s="36">
        <v>7190574.8827391891</v>
      </c>
      <c r="T140" s="36">
        <v>8432097.7174992189</v>
      </c>
      <c r="U140" s="36">
        <v>12533148.844701456</v>
      </c>
      <c r="V140" s="36">
        <v>16633337.175744629</v>
      </c>
      <c r="W140" s="36">
        <v>20732940.344213594</v>
      </c>
      <c r="X140" s="36">
        <v>24832128.405446038</v>
      </c>
      <c r="Y140" s="36">
        <v>28931011.340676986</v>
      </c>
      <c r="Z140" s="36">
        <v>33065291.139383055</v>
      </c>
      <c r="AA140" s="36">
        <v>37200575.048129715</v>
      </c>
      <c r="AB140" s="36">
        <v>41336596.560398363</v>
      </c>
      <c r="AC140" s="36">
        <v>45473175.817139879</v>
      </c>
      <c r="AD140" s="36">
        <v>49610187.039947711</v>
      </c>
      <c r="AE140" s="36">
        <v>53747539.625742905</v>
      </c>
      <c r="AF140" s="36">
        <v>57885166.653841972</v>
      </c>
      <c r="AG140" s="36">
        <v>62023017.622766867</v>
      </c>
      <c r="AH140" s="36">
        <v>66161053.705639884</v>
      </c>
      <c r="AI140" s="36">
        <v>70299244.560929328</v>
      </c>
      <c r="AJ140" s="36">
        <v>74437566.134518057</v>
      </c>
      <c r="AK140" s="36">
        <v>78575999.11131005</v>
      </c>
      <c r="AL140" s="36">
        <v>82714527.802942187</v>
      </c>
      <c r="AM140" s="36">
        <v>86853139.334725529</v>
      </c>
      <c r="AN140" s="36">
        <v>90991823.041931331</v>
      </c>
      <c r="AO140" s="36">
        <v>95130570.015123039</v>
      </c>
      <c r="AP140" s="36">
        <v>99269372.753302217</v>
      </c>
      <c r="AQ140" s="36">
        <v>103408224.89617559</v>
      </c>
      <c r="AR140" s="36">
        <v>107547121.01525758</v>
      </c>
      <c r="AS140" s="36">
        <v>111686056.44925764</v>
      </c>
      <c r="AT140" s="36">
        <v>115825027.17317331</v>
      </c>
      <c r="AU140" s="36">
        <v>119964029.69330239</v>
      </c>
      <c r="AV140" s="36">
        <v>124103060.96237908</v>
      </c>
      <c r="AW140" s="36">
        <v>128242118.31047277</v>
      </c>
      <c r="AX140" s="36">
        <v>132381199.38833573</v>
      </c>
    </row>
    <row r="141" spans="3:50">
      <c r="D141" t="s">
        <v>660</v>
      </c>
      <c r="E141" t="s">
        <v>637</v>
      </c>
      <c r="G141" s="44"/>
      <c r="I141" s="44"/>
      <c r="K141" s="44"/>
      <c r="M141" s="44"/>
      <c r="O141" s="36">
        <v>1364026.2246228976</v>
      </c>
      <c r="P141" s="36">
        <v>2406922.8016835102</v>
      </c>
      <c r="Q141" s="36">
        <v>3449819.378744123</v>
      </c>
      <c r="R141" s="36">
        <v>4492715.9558047364</v>
      </c>
      <c r="S141" s="36">
        <v>5535612.5328653492</v>
      </c>
      <c r="T141" s="36">
        <v>6496145.3630878069</v>
      </c>
      <c r="U141" s="36">
        <v>9660763.318582803</v>
      </c>
      <c r="V141" s="36">
        <v>12826442.425461847</v>
      </c>
      <c r="W141" s="36">
        <v>15992841.222697642</v>
      </c>
      <c r="X141" s="36">
        <v>19159750.559548061</v>
      </c>
      <c r="Y141" s="36">
        <v>22327035.170297656</v>
      </c>
      <c r="Z141" s="36">
        <v>24935960.806134842</v>
      </c>
      <c r="AA141" s="36">
        <v>27528164.569646318</v>
      </c>
      <c r="AB141" s="36">
        <v>30108084.707436383</v>
      </c>
      <c r="AC141" s="36">
        <v>32678716.488881834</v>
      </c>
      <c r="AD141" s="36">
        <v>35242154.555377237</v>
      </c>
      <c r="AE141" s="36">
        <v>37799907.758600369</v>
      </c>
      <c r="AF141" s="36">
        <v>40353090.55720558</v>
      </c>
      <c r="AG141" s="36">
        <v>42902543.973823421</v>
      </c>
      <c r="AH141" s="36">
        <v>45448914.608992532</v>
      </c>
      <c r="AI141" s="36">
        <v>47992707.75316716</v>
      </c>
      <c r="AJ141" s="36">
        <v>50534323.989808336</v>
      </c>
      <c r="AK141" s="36">
        <v>53074084.981439911</v>
      </c>
      <c r="AL141" s="36">
        <v>55612251.993058577</v>
      </c>
      <c r="AM141" s="36">
        <v>58149039.43234279</v>
      </c>
      <c r="AN141" s="36">
        <v>60684624.903565705</v>
      </c>
      <c r="AO141" s="36">
        <v>63219156.779369332</v>
      </c>
      <c r="AP141" s="36">
        <v>65752759.97707592</v>
      </c>
      <c r="AQ141" s="36">
        <v>68285540.41736111</v>
      </c>
      <c r="AR141" s="36">
        <v>70817588.503107697</v>
      </c>
      <c r="AS141" s="36">
        <v>73348981.860772058</v>
      </c>
      <c r="AT141" s="36">
        <v>75879787.520436421</v>
      </c>
      <c r="AU141" s="36">
        <v>78410063.66421102</v>
      </c>
      <c r="AV141" s="36">
        <v>80939861.039511234</v>
      </c>
      <c r="AW141" s="36">
        <v>83469224.10983175</v>
      </c>
      <c r="AX141" s="36">
        <v>85998191.998192072</v>
      </c>
    </row>
    <row r="142" spans="3:50">
      <c r="D142" t="s">
        <v>660</v>
      </c>
      <c r="E142" t="s">
        <v>638</v>
      </c>
      <c r="G142" s="44"/>
      <c r="I142" s="44"/>
      <c r="K142" s="44"/>
      <c r="M142" s="44"/>
      <c r="O142" s="36">
        <v>662741.12371362071</v>
      </c>
      <c r="P142" s="36">
        <v>1185829.1879174737</v>
      </c>
      <c r="Q142" s="36">
        <v>1708917.252121327</v>
      </c>
      <c r="R142" s="36">
        <v>2232005.3163251793</v>
      </c>
      <c r="S142" s="36">
        <v>2755093.3805290326</v>
      </c>
      <c r="T142" s="36">
        <v>3237138.2080219826</v>
      </c>
      <c r="U142" s="36">
        <v>4818424.1259702928</v>
      </c>
      <c r="V142" s="36">
        <v>6401683.7996472316</v>
      </c>
      <c r="W142" s="36">
        <v>7986282.1069874037</v>
      </c>
      <c r="X142" s="36">
        <v>9571830.024820691</v>
      </c>
      <c r="Y142" s="36">
        <v>11158075.957112065</v>
      </c>
      <c r="Z142" s="36">
        <v>12227422.459984599</v>
      </c>
      <c r="AA142" s="36">
        <v>13281358.474510327</v>
      </c>
      <c r="AB142" s="36">
        <v>14323974.18546306</v>
      </c>
      <c r="AC142" s="36">
        <v>15358029.963387875</v>
      </c>
      <c r="AD142" s="36">
        <v>16385456.181042859</v>
      </c>
      <c r="AE142" s="36">
        <v>17407643.361016896</v>
      </c>
      <c r="AF142" s="36">
        <v>18425618.562467668</v>
      </c>
      <c r="AG142" s="36">
        <v>19440156.852277372</v>
      </c>
      <c r="AH142" s="36">
        <v>20451854.122453246</v>
      </c>
      <c r="AI142" s="36">
        <v>21461176.036917698</v>
      </c>
      <c r="AJ142" s="36">
        <v>22468491.764065161</v>
      </c>
      <c r="AK142" s="36">
        <v>23474097.740591187</v>
      </c>
      <c r="AL142" s="36">
        <v>24478234.742235929</v>
      </c>
      <c r="AM142" s="36">
        <v>25481100.362125713</v>
      </c>
      <c r="AN142" s="36">
        <v>26482858.276225101</v>
      </c>
      <c r="AO142" s="36">
        <v>27483645.221307691</v>
      </c>
      <c r="AP142" s="36">
        <v>28483576.318270274</v>
      </c>
      <c r="AQ142" s="36">
        <v>29482749.181142367</v>
      </c>
      <c r="AR142" s="36">
        <v>30481247.123116665</v>
      </c>
      <c r="AS142" s="36">
        <v>31479141.682928655</v>
      </c>
      <c r="AT142" s="36">
        <v>32476494.63394209</v>
      </c>
      <c r="AU142" s="36">
        <v>33473359.595435534</v>
      </c>
      <c r="AV142" s="36">
        <v>34469783.335046031</v>
      </c>
      <c r="AW142" s="36">
        <v>35465806.8292953</v>
      </c>
      <c r="AX142" s="36">
        <v>36461466.133047618</v>
      </c>
    </row>
    <row r="143" spans="3:50">
      <c r="D143" t="s">
        <v>660</v>
      </c>
      <c r="E143" t="s">
        <v>639</v>
      </c>
      <c r="G143" s="44"/>
      <c r="I143" s="44"/>
      <c r="K143" s="44"/>
      <c r="M143" s="44"/>
      <c r="O143" s="36">
        <v>397162.16942581232</v>
      </c>
      <c r="P143" s="36">
        <v>707053.54467545031</v>
      </c>
      <c r="Q143" s="36">
        <v>1016944.9199250882</v>
      </c>
      <c r="R143" s="36">
        <v>1326836.2951747258</v>
      </c>
      <c r="S143" s="36">
        <v>1636727.6704243638</v>
      </c>
      <c r="T143" s="36">
        <v>1922247.1347152842</v>
      </c>
      <c r="U143" s="36">
        <v>2860313.9627747955</v>
      </c>
      <c r="V143" s="36">
        <v>3799244.7488601529</v>
      </c>
      <c r="W143" s="36">
        <v>4738761.4855169188</v>
      </c>
      <c r="X143" s="36">
        <v>5678693.8884058623</v>
      </c>
      <c r="Y143" s="36">
        <v>6618931.8281879853</v>
      </c>
      <c r="Z143" s="36">
        <v>8154986.7155925967</v>
      </c>
      <c r="AA143" s="36">
        <v>9709025.712387342</v>
      </c>
      <c r="AB143" s="36">
        <v>11276275.554497618</v>
      </c>
      <c r="AC143" s="36">
        <v>12853514.877050178</v>
      </c>
      <c r="AD143" s="36">
        <v>14438490.92633182</v>
      </c>
      <c r="AE143" s="36">
        <v>16029580.956211137</v>
      </c>
      <c r="AF143" s="36">
        <v>17625586.384019904</v>
      </c>
      <c r="AG143" s="36">
        <v>19225602.703211598</v>
      </c>
      <c r="AH143" s="36">
        <v>20828934.505126789</v>
      </c>
      <c r="AI143" s="36">
        <v>22435038.357868243</v>
      </c>
      <c r="AJ143" s="36">
        <v>24043483.440254945</v>
      </c>
      <c r="AK143" s="36">
        <v>25653923.809326533</v>
      </c>
      <c r="AL143" s="36">
        <v>27266078.47870855</v>
      </c>
      <c r="AM143" s="36">
        <v>28879716.856331524</v>
      </c>
      <c r="AN143" s="36">
        <v>30494647.931606822</v>
      </c>
      <c r="AO143" s="36">
        <v>32110712.132103037</v>
      </c>
      <c r="AP143" s="36">
        <v>33727775.111214481</v>
      </c>
      <c r="AQ143" s="36">
        <v>35345722.952928618</v>
      </c>
      <c r="AR143" s="36">
        <v>36964458.430373818</v>
      </c>
      <c r="AS143" s="36">
        <v>38583898.057523243</v>
      </c>
      <c r="AT143" s="36">
        <v>40203969.744582817</v>
      </c>
      <c r="AU143" s="36">
        <v>41824610.917612672</v>
      </c>
      <c r="AV143" s="36">
        <v>43445766.998569481</v>
      </c>
      <c r="AW143" s="36">
        <v>45067390.167667672</v>
      </c>
      <c r="AX143" s="36">
        <v>46689438.34871801</v>
      </c>
    </row>
    <row r="144" spans="3:50">
      <c r="D144" t="s">
        <v>661</v>
      </c>
      <c r="E144" t="s">
        <v>640</v>
      </c>
      <c r="G144" s="44"/>
      <c r="I144" s="44"/>
      <c r="K144" s="44"/>
      <c r="M144" s="44"/>
      <c r="O144" s="36">
        <v>985976.60331554699</v>
      </c>
      <c r="P144" s="36">
        <v>1725733.4220875057</v>
      </c>
      <c r="Q144" s="36">
        <v>2465490.2408594647</v>
      </c>
      <c r="R144" s="36">
        <v>3205247.0596314212</v>
      </c>
      <c r="S144" s="36">
        <v>3945003.87840338</v>
      </c>
      <c r="T144" s="36">
        <v>4626106.9144394752</v>
      </c>
      <c r="U144" s="36">
        <v>6876025.4986234615</v>
      </c>
      <c r="V144" s="36">
        <v>9125456.0886125192</v>
      </c>
      <c r="W144" s="36">
        <v>11374555.712896295</v>
      </c>
      <c r="X144" s="36">
        <v>13623420.554120867</v>
      </c>
      <c r="Y144" s="36">
        <v>15872112.817250488</v>
      </c>
      <c r="Z144" s="36">
        <v>19976472.049761843</v>
      </c>
      <c r="AA144" s="36">
        <v>24136619.020072915</v>
      </c>
      <c r="AB144" s="36">
        <v>28337746.789521024</v>
      </c>
      <c r="AC144" s="36">
        <v>32569862.499688331</v>
      </c>
      <c r="AD144" s="36">
        <v>36825977.979475982</v>
      </c>
      <c r="AE144" s="36">
        <v>41101059.377402619</v>
      </c>
      <c r="AF144" s="36">
        <v>45391388.621353775</v>
      </c>
      <c r="AG144" s="36">
        <v>49694159.880194865</v>
      </c>
      <c r="AH144" s="36">
        <v>54007215.956418112</v>
      </c>
      <c r="AI144" s="36">
        <v>58328871.09314014</v>
      </c>
      <c r="AJ144" s="36">
        <v>62657788.858371869</v>
      </c>
      <c r="AK144" s="36">
        <v>66992896.117228024</v>
      </c>
      <c r="AL144" s="36">
        <v>71333321.233874813</v>
      </c>
      <c r="AM144" s="36">
        <v>75678348.8985001</v>
      </c>
      <c r="AN144" s="36">
        <v>80027386.585313201</v>
      </c>
      <c r="AO144" s="36">
        <v>84379939.291488439</v>
      </c>
      <c r="AP144" s="36">
        <v>88735590.266157195</v>
      </c>
      <c r="AQ144" s="36">
        <v>93093986.135321289</v>
      </c>
      <c r="AR144" s="36">
        <v>97454825.295653835</v>
      </c>
      <c r="AS144" s="36">
        <v>101817848.76871589</v>
      </c>
      <c r="AT144" s="36">
        <v>106182832.92783575</v>
      </c>
      <c r="AU144" s="36">
        <v>110549583.66506632</v>
      </c>
      <c r="AV144" s="36">
        <v>114917931.67619005</v>
      </c>
      <c r="AW144" s="36">
        <v>119287728.62149201</v>
      </c>
      <c r="AX144" s="36">
        <v>123658843.97822233</v>
      </c>
    </row>
    <row r="145" spans="4:50">
      <c r="D145" t="s">
        <v>661</v>
      </c>
      <c r="E145" t="s">
        <v>641</v>
      </c>
      <c r="G145" s="44"/>
      <c r="I145" s="44"/>
      <c r="K145" s="44"/>
      <c r="M145" s="44"/>
      <c r="O145" s="36">
        <v>1943260.7835269102</v>
      </c>
      <c r="P145" s="36">
        <v>3399268.2550564832</v>
      </c>
      <c r="Q145" s="36">
        <v>4855275.7265860559</v>
      </c>
      <c r="R145" s="36">
        <v>6311283.1981156282</v>
      </c>
      <c r="S145" s="36">
        <v>7767290.6696452014</v>
      </c>
      <c r="T145" s="36">
        <v>9107821.3088988513</v>
      </c>
      <c r="U145" s="36">
        <v>13536904.892402079</v>
      </c>
      <c r="V145" s="36">
        <v>17964850.46877544</v>
      </c>
      <c r="W145" s="36">
        <v>22392024.229958631</v>
      </c>
      <c r="X145" s="36">
        <v>26818650.47480223</v>
      </c>
      <c r="Y145" s="36">
        <v>31244874.26587785</v>
      </c>
      <c r="Z145" s="36">
        <v>35504645.24935206</v>
      </c>
      <c r="AA145" s="36">
        <v>39759328.95196104</v>
      </c>
      <c r="AB145" s="36">
        <v>44010275.617659844</v>
      </c>
      <c r="AC145" s="36">
        <v>48258396.494680144</v>
      </c>
      <c r="AD145" s="36">
        <v>52504328.833975524</v>
      </c>
      <c r="AE145" s="36">
        <v>56748531.672196902</v>
      </c>
      <c r="AF145" s="36">
        <v>60991344.060144179</v>
      </c>
      <c r="AG145" s="36">
        <v>65233021.861410357</v>
      </c>
      <c r="AH145" s="36">
        <v>69473761.790722355</v>
      </c>
      <c r="AI145" s="36">
        <v>73713717.572161362</v>
      </c>
      <c r="AJ145" s="36">
        <v>77953011.074889868</v>
      </c>
      <c r="AK145" s="36">
        <v>82191740.15802148</v>
      </c>
      <c r="AL145" s="36">
        <v>86429984.305981904</v>
      </c>
      <c r="AM145" s="36">
        <v>90667808.747835085</v>
      </c>
      <c r="AN145" s="36">
        <v>94905267.515976667</v>
      </c>
      <c r="AO145" s="36">
        <v>99142405.749688089</v>
      </c>
      <c r="AP145" s="36">
        <v>103379261.45245916</v>
      </c>
      <c r="AQ145" s="36">
        <v>107615866.84844609</v>
      </c>
      <c r="AR145" s="36">
        <v>111852249.44084029</v>
      </c>
      <c r="AS145" s="36">
        <v>116088432.84587197</v>
      </c>
      <c r="AT145" s="36">
        <v>120324437.45604564</v>
      </c>
      <c r="AU145" s="36">
        <v>124560280.9720546</v>
      </c>
      <c r="AV145" s="36">
        <v>128795978.83274142</v>
      </c>
      <c r="AW145" s="36">
        <v>133031544.56519718</v>
      </c>
      <c r="AX145" s="36">
        <v>137266990.07178432</v>
      </c>
    </row>
    <row r="146" spans="4:50">
      <c r="D146" t="s">
        <v>661</v>
      </c>
      <c r="E146" t="s">
        <v>642</v>
      </c>
      <c r="G146" s="44"/>
      <c r="I146" s="44"/>
      <c r="K146" s="44"/>
      <c r="M146" s="44"/>
      <c r="O146" s="36">
        <v>1982104.3227546038</v>
      </c>
      <c r="P146" s="36">
        <v>3468078.3955973051</v>
      </c>
      <c r="Q146" s="36">
        <v>4954052.4684400037</v>
      </c>
      <c r="R146" s="36">
        <v>6440026.5412827041</v>
      </c>
      <c r="S146" s="36">
        <v>7926000.6141254036</v>
      </c>
      <c r="T146" s="36">
        <v>9294135.6010276563</v>
      </c>
      <c r="U146" s="36">
        <v>13814053.201018196</v>
      </c>
      <c r="V146" s="36">
        <v>18332886.870015074</v>
      </c>
      <c r="W146" s="36">
        <v>22850985.39914855</v>
      </c>
      <c r="X146" s="36">
        <v>27368562.428974655</v>
      </c>
      <c r="Y146" s="36">
        <v>31885756.128941767</v>
      </c>
      <c r="Z146" s="36">
        <v>36853204.105271406</v>
      </c>
      <c r="AA146" s="36">
        <v>41834120.352069333</v>
      </c>
      <c r="AB146" s="36">
        <v>46824930.179581434</v>
      </c>
      <c r="AC146" s="36">
        <v>51823221.112858385</v>
      </c>
      <c r="AD146" s="36">
        <v>56827306.068283767</v>
      </c>
      <c r="AE146" s="36">
        <v>61835969.773901351</v>
      </c>
      <c r="AF146" s="36">
        <v>66848314.613087326</v>
      </c>
      <c r="AG146" s="36">
        <v>71863663.202350199</v>
      </c>
      <c r="AH146" s="36">
        <v>76881494.751268461</v>
      </c>
      <c r="AI146" s="36">
        <v>81901402.284572124</v>
      </c>
      <c r="AJ146" s="36">
        <v>86923063.160974756</v>
      </c>
      <c r="AK146" s="36">
        <v>91946218.304352239</v>
      </c>
      <c r="AL146" s="36">
        <v>96970657.284462705</v>
      </c>
      <c r="AM146" s="36">
        <v>101996207.41127788</v>
      </c>
      <c r="AN146" s="36">
        <v>107022725.63727644</v>
      </c>
      <c r="AO146" s="36">
        <v>112050092.4589223</v>
      </c>
      <c r="AP146" s="36">
        <v>117078207.26425961</v>
      </c>
      <c r="AQ146" s="36">
        <v>122106984.74177052</v>
      </c>
      <c r="AR146" s="36">
        <v>127136352.07840794</v>
      </c>
      <c r="AS146" s="36">
        <v>132166246.75162126</v>
      </c>
      <c r="AT146" s="36">
        <v>137196614.77348024</v>
      </c>
      <c r="AU146" s="36">
        <v>142227409.2824623</v>
      </c>
      <c r="AV146" s="36">
        <v>147258589.40515897</v>
      </c>
      <c r="AW146" s="36">
        <v>152290119.32941017</v>
      </c>
      <c r="AX146" s="36">
        <v>157321967.54442567</v>
      </c>
    </row>
    <row r="147" spans="4:50">
      <c r="D147" t="s">
        <v>661</v>
      </c>
      <c r="E147" t="s">
        <v>643</v>
      </c>
      <c r="G147" s="44"/>
      <c r="I147" s="44"/>
      <c r="K147" s="44"/>
      <c r="M147" s="44"/>
      <c r="O147" s="36">
        <v>2302063.8972618296</v>
      </c>
      <c r="P147" s="36">
        <v>4026022.2486419654</v>
      </c>
      <c r="Q147" s="36">
        <v>5749980.6000221036</v>
      </c>
      <c r="R147" s="36">
        <v>7473938.9514022395</v>
      </c>
      <c r="S147" s="36">
        <v>9197897.3027823772</v>
      </c>
      <c r="T147" s="36">
        <v>10785112.671965372</v>
      </c>
      <c r="U147" s="36">
        <v>16029617.251180748</v>
      </c>
      <c r="V147" s="36">
        <v>21272694.809814807</v>
      </c>
      <c r="W147" s="36">
        <v>26514804.539572895</v>
      </c>
      <c r="X147" s="36">
        <v>31756227.703258865</v>
      </c>
      <c r="Y147" s="36">
        <v>36997146.20419284</v>
      </c>
      <c r="Z147" s="36">
        <v>41334511.702969439</v>
      </c>
      <c r="AA147" s="36">
        <v>45644596.183415763</v>
      </c>
      <c r="AB147" s="36">
        <v>49934640.454731166</v>
      </c>
      <c r="AC147" s="36">
        <v>54209531.170585819</v>
      </c>
      <c r="AD147" s="36">
        <v>58472685.648679994</v>
      </c>
      <c r="AE147" s="36">
        <v>62726565.515886411</v>
      </c>
      <c r="AF147" s="36">
        <v>66972988.963755935</v>
      </c>
      <c r="AG147" s="36">
        <v>71213328.084680751</v>
      </c>
      <c r="AH147" s="36">
        <v>75448637.779739037</v>
      </c>
      <c r="AI147" s="36">
        <v>79679742.408660188</v>
      </c>
      <c r="AJ147" s="36">
        <v>83907295.506199732</v>
      </c>
      <c r="AK147" s="36">
        <v>88131821.850985318</v>
      </c>
      <c r="AL147" s="36">
        <v>92353747.685666293</v>
      </c>
      <c r="AM147" s="36">
        <v>96573422.80718486</v>
      </c>
      <c r="AN147" s="36">
        <v>100791136.96930405</v>
      </c>
      <c r="AO147" s="36">
        <v>105007132.23563291</v>
      </c>
      <c r="AP147" s="36">
        <v>109221612.40343128</v>
      </c>
      <c r="AQ147" s="36">
        <v>113434750.27774376</v>
      </c>
      <c r="AR147" s="36">
        <v>117646693.34700076</v>
      </c>
      <c r="AS147" s="36">
        <v>121857568.25544028</v>
      </c>
      <c r="AT147" s="36">
        <v>126067484.35977</v>
      </c>
      <c r="AU147" s="36">
        <v>130276536.58161013</v>
      </c>
      <c r="AV147" s="36">
        <v>134484807.71319488</v>
      </c>
      <c r="AW147" s="36">
        <v>138692370.29481104</v>
      </c>
      <c r="AX147" s="36">
        <v>142899288.15398872</v>
      </c>
    </row>
    <row r="148" spans="4:50">
      <c r="D148" t="s">
        <v>661</v>
      </c>
      <c r="E148" t="s">
        <v>644</v>
      </c>
      <c r="G148" s="44"/>
      <c r="I148" s="44"/>
      <c r="K148" s="44"/>
      <c r="M148" s="44"/>
      <c r="O148" s="36">
        <v>1694997.0313407625</v>
      </c>
      <c r="P148" s="36">
        <v>2974142.0282987724</v>
      </c>
      <c r="Q148" s="36">
        <v>4253287.0252567828</v>
      </c>
      <c r="R148" s="36">
        <v>5532432.0222147927</v>
      </c>
      <c r="S148" s="36">
        <v>6811577.0191728026</v>
      </c>
      <c r="T148" s="36">
        <v>7989425.1768714376</v>
      </c>
      <c r="U148" s="36">
        <v>11877082.950013939</v>
      </c>
      <c r="V148" s="36">
        <v>15764563.062590489</v>
      </c>
      <c r="W148" s="36">
        <v>19651922.682843313</v>
      </c>
      <c r="X148" s="36">
        <v>23539196.827302355</v>
      </c>
      <c r="Y148" s="36">
        <v>27426408.142485276</v>
      </c>
      <c r="Z148" s="36">
        <v>29159228.710923892</v>
      </c>
      <c r="AA148" s="36">
        <v>30827228.522224829</v>
      </c>
      <c r="AB148" s="36">
        <v>32447612.019745346</v>
      </c>
      <c r="AC148" s="36">
        <v>34031990.08204335</v>
      </c>
      <c r="AD148" s="36">
        <v>35588482.388451666</v>
      </c>
      <c r="AE148" s="36">
        <v>37122937.85984803</v>
      </c>
      <c r="AF148" s="36">
        <v>38639676.58984191</v>
      </c>
      <c r="AG148" s="36">
        <v>40141958.723148137</v>
      </c>
      <c r="AH148" s="36">
        <v>41632290.745623142</v>
      </c>
      <c r="AI148" s="36">
        <v>43112631.367941268</v>
      </c>
      <c r="AJ148" s="36">
        <v>44584533.414017007</v>
      </c>
      <c r="AK148" s="36">
        <v>46049243.778213188</v>
      </c>
      <c r="AL148" s="36">
        <v>47507775.229588553</v>
      </c>
      <c r="AM148" s="36">
        <v>48960958.899238124</v>
      </c>
      <c r="AN148" s="36">
        <v>50409483.253335528</v>
      </c>
      <c r="AO148" s="36">
        <v>51853923.444399998</v>
      </c>
      <c r="AP148" s="36">
        <v>53294763.702621028</v>
      </c>
      <c r="AQ148" s="36">
        <v>54732414.619483873</v>
      </c>
      <c r="AR148" s="36">
        <v>56167226.633216754</v>
      </c>
      <c r="AS148" s="36">
        <v>57599500.655438595</v>
      </c>
      <c r="AT148" s="36">
        <v>59029496.521926202</v>
      </c>
      <c r="AU148" s="36">
        <v>60457439.770128876</v>
      </c>
      <c r="AV148" s="36">
        <v>61883527.117605016</v>
      </c>
      <c r="AW148" s="36">
        <v>63307930.922887623</v>
      </c>
      <c r="AX148" s="36">
        <v>64730802.842663102</v>
      </c>
    </row>
    <row r="149" spans="4:50">
      <c r="D149" t="s">
        <v>660</v>
      </c>
      <c r="E149" t="s">
        <v>645</v>
      </c>
      <c r="G149" s="44"/>
      <c r="I149" s="44"/>
      <c r="K149" s="44"/>
      <c r="M149" s="44"/>
      <c r="O149" s="36">
        <v>446870.20802475972</v>
      </c>
      <c r="P149" s="36">
        <v>792192.51447550207</v>
      </c>
      <c r="Q149" s="36">
        <v>1137514.8209262446</v>
      </c>
      <c r="R149" s="36">
        <v>1482837.1273769869</v>
      </c>
      <c r="S149" s="36">
        <v>1828159.4338277292</v>
      </c>
      <c r="T149" s="36">
        <v>2146269.4803541759</v>
      </c>
      <c r="U149" s="36">
        <v>3192792.8705971777</v>
      </c>
      <c r="V149" s="36">
        <v>4239989.6320272973</v>
      </c>
      <c r="W149" s="36">
        <v>5287643.0848938776</v>
      </c>
      <c r="X149" s="36">
        <v>6335620.509129242</v>
      </c>
      <c r="Y149" s="36">
        <v>7383836.06963317</v>
      </c>
      <c r="Z149" s="36">
        <v>7963044.0747382259</v>
      </c>
      <c r="AA149" s="36">
        <v>8528190.7920609228</v>
      </c>
      <c r="AB149" s="36">
        <v>9083008.307430936</v>
      </c>
      <c r="AC149" s="36">
        <v>9630015.3187471796</v>
      </c>
      <c r="AD149" s="36">
        <v>10170973.193090817</v>
      </c>
      <c r="AE149" s="36">
        <v>10707150.711687345</v>
      </c>
      <c r="AF149" s="36">
        <v>11239485.013844784</v>
      </c>
      <c r="AG149" s="36">
        <v>11768683.30872068</v>
      </c>
      <c r="AH149" s="36">
        <v>12295289.317501066</v>
      </c>
      <c r="AI149" s="36">
        <v>12819727.934859961</v>
      </c>
      <c r="AJ149" s="36">
        <v>13342336.008203993</v>
      </c>
      <c r="AK149" s="36">
        <v>13863384.02095921</v>
      </c>
      <c r="AL149" s="36">
        <v>14383091.668757392</v>
      </c>
      <c r="AM149" s="36">
        <v>14901639.245288836</v>
      </c>
      <c r="AN149" s="36">
        <v>15419176.096556641</v>
      </c>
      <c r="AO149" s="36">
        <v>15935826.987920668</v>
      </c>
      <c r="AP149" s="36">
        <v>16451696.961351244</v>
      </c>
      <c r="AQ149" s="36">
        <v>16966875.084691603</v>
      </c>
      <c r="AR149" s="36">
        <v>17481437.376997899</v>
      </c>
      <c r="AS149" s="36">
        <v>17995449.113732163</v>
      </c>
      <c r="AT149" s="36">
        <v>18508966.659950811</v>
      </c>
      <c r="AU149" s="36">
        <v>19022038.940521762</v>
      </c>
      <c r="AV149" s="36">
        <v>19534708.628538039</v>
      </c>
      <c r="AW149" s="36">
        <v>20047013.112994183</v>
      </c>
      <c r="AX149" s="36">
        <v>20558985.292122282</v>
      </c>
    </row>
    <row r="150" spans="4:50">
      <c r="D150" t="s">
        <v>660</v>
      </c>
      <c r="E150" t="s">
        <v>646</v>
      </c>
      <c r="G150" s="44"/>
      <c r="I150" s="44"/>
      <c r="K150" s="44"/>
      <c r="M150" s="44"/>
      <c r="O150" s="36">
        <v>241964.53204252577</v>
      </c>
      <c r="P150" s="36">
        <v>428144.22922326281</v>
      </c>
      <c r="Q150" s="36">
        <v>614323.92640399991</v>
      </c>
      <c r="R150" s="36">
        <v>800503.62358473707</v>
      </c>
      <c r="S150" s="36">
        <v>986683.32076547435</v>
      </c>
      <c r="T150" s="36">
        <v>1158178.6280530356</v>
      </c>
      <c r="U150" s="36">
        <v>1722699.2696509801</v>
      </c>
      <c r="V150" s="36">
        <v>2287513.2586544598</v>
      </c>
      <c r="W150" s="36">
        <v>2852526.2007028251</v>
      </c>
      <c r="X150" s="36">
        <v>3417680.2776294244</v>
      </c>
      <c r="Y150" s="36">
        <v>3982938.0962335439</v>
      </c>
      <c r="Z150" s="36">
        <v>6729289.465461351</v>
      </c>
      <c r="AA150" s="36">
        <v>9541273.0024336353</v>
      </c>
      <c r="AB150" s="36">
        <v>12401468.902719891</v>
      </c>
      <c r="AC150" s="36">
        <v>15298120.945584293</v>
      </c>
      <c r="AD150" s="36">
        <v>18223007.811506167</v>
      </c>
      <c r="AE150" s="36">
        <v>21170207.364226613</v>
      </c>
      <c r="AF150" s="36">
        <v>24135345.432246178</v>
      </c>
      <c r="AG150" s="36">
        <v>27115121.061144594</v>
      </c>
      <c r="AH150" s="36">
        <v>30106996.389479972</v>
      </c>
      <c r="AI150" s="36">
        <v>33108988.187910039</v>
      </c>
      <c r="AJ150" s="36">
        <v>36119524.194644928</v>
      </c>
      <c r="AK150" s="36">
        <v>39137341.906998925</v>
      </c>
      <c r="AL150" s="36">
        <v>42161415.878314473</v>
      </c>
      <c r="AM150" s="36">
        <v>45190904.573597886</v>
      </c>
      <c r="AN150" s="36">
        <v>48225110.908621982</v>
      </c>
      <c r="AO150" s="36">
        <v>51263452.531246975</v>
      </c>
      <c r="AP150" s="36">
        <v>54305439.149806604</v>
      </c>
      <c r="AQ150" s="36">
        <v>57350655.033130549</v>
      </c>
      <c r="AR150" s="36">
        <v>60398745.356289178</v>
      </c>
      <c r="AS150" s="36">
        <v>63449405.440924518</v>
      </c>
      <c r="AT150" s="36">
        <v>66502372.198698282</v>
      </c>
      <c r="AU150" s="36">
        <v>69557417.268937707</v>
      </c>
      <c r="AV150" s="36">
        <v>72614341.471621364</v>
      </c>
      <c r="AW150" s="36">
        <v>75672970.290673852</v>
      </c>
      <c r="AX150" s="36">
        <v>78733150.171006769</v>
      </c>
    </row>
    <row r="151" spans="4:50">
      <c r="D151" t="s">
        <v>661</v>
      </c>
      <c r="E151" t="s">
        <v>648</v>
      </c>
      <c r="G151" s="44"/>
      <c r="I151" s="44"/>
      <c r="K151" s="44"/>
      <c r="M151" s="44"/>
      <c r="O151" s="36">
        <v>1051510.0775631655</v>
      </c>
      <c r="P151" s="36">
        <v>1840827.3554230961</v>
      </c>
      <c r="Q151" s="36">
        <v>2630144.633283027</v>
      </c>
      <c r="R151" s="36">
        <v>3419461.9111429583</v>
      </c>
      <c r="S151" s="36">
        <v>4208779.1890028892</v>
      </c>
      <c r="T151" s="36">
        <v>4935519.681577499</v>
      </c>
      <c r="U151" s="36">
        <v>7336026.5429704553</v>
      </c>
      <c r="V151" s="36">
        <v>9736047.8937748838</v>
      </c>
      <c r="W151" s="36">
        <v>12135739.963296819</v>
      </c>
      <c r="X151" s="36">
        <v>14535198.444668654</v>
      </c>
      <c r="Y151" s="36">
        <v>16934485.226267606</v>
      </c>
      <c r="Z151" s="36">
        <v>17847488.726735752</v>
      </c>
      <c r="AA151" s="36">
        <v>18715747.783788454</v>
      </c>
      <c r="AB151" s="36">
        <v>19551138.272936679</v>
      </c>
      <c r="AC151" s="36">
        <v>20361674.946268786</v>
      </c>
      <c r="AD151" s="36">
        <v>21152962.652424321</v>
      </c>
      <c r="AE151" s="36">
        <v>21929038.781906161</v>
      </c>
      <c r="AF151" s="36">
        <v>22692885.407010157</v>
      </c>
      <c r="AG151" s="36">
        <v>23446752.938980512</v>
      </c>
      <c r="AH151" s="36">
        <v>24192371.553759716</v>
      </c>
      <c r="AI151" s="36">
        <v>24931093.309281159</v>
      </c>
      <c r="AJ151" s="36">
        <v>25663990.088146098</v>
      </c>
      <c r="AK151" s="36">
        <v>26391922.596040886</v>
      </c>
      <c r="AL151" s="36">
        <v>27115589.926741075</v>
      </c>
      <c r="AM151" s="36">
        <v>27835565.793049384</v>
      </c>
      <c r="AN151" s="36">
        <v>28552325.429090045</v>
      </c>
      <c r="AO151" s="36">
        <v>29266265.850888293</v>
      </c>
      <c r="AP151" s="36">
        <v>29977721.312644046</v>
      </c>
      <c r="AQ151" s="36">
        <v>30686975.237265129</v>
      </c>
      <c r="AR151" s="36">
        <v>31394269.525095936</v>
      </c>
      <c r="AS151" s="36">
        <v>32099811.889275011</v>
      </c>
      <c r="AT151" s="36">
        <v>32803781.689126793</v>
      </c>
      <c r="AU151" s="36">
        <v>33506334.608541518</v>
      </c>
      <c r="AV151" s="36">
        <v>34207606.437627926</v>
      </c>
      <c r="AW151" s="36">
        <v>34907716.151957534</v>
      </c>
      <c r="AX151" s="36">
        <v>35606768.437040441</v>
      </c>
    </row>
    <row r="152" spans="4:50">
      <c r="D152" t="s">
        <v>660</v>
      </c>
      <c r="E152" t="s">
        <v>649</v>
      </c>
      <c r="G152" s="44"/>
      <c r="I152" s="44"/>
      <c r="K152" s="44"/>
      <c r="M152" s="44"/>
      <c r="O152" s="36">
        <v>1047204.3958762147</v>
      </c>
      <c r="P152" s="36">
        <v>1846907.8842252658</v>
      </c>
      <c r="Q152" s="36">
        <v>2646611.3725743177</v>
      </c>
      <c r="R152" s="36">
        <v>3446314.8609233694</v>
      </c>
      <c r="S152" s="36">
        <v>4246018.3492724206</v>
      </c>
      <c r="T152" s="36">
        <v>4982548.7768100863</v>
      </c>
      <c r="U152" s="36">
        <v>7409561.0298077576</v>
      </c>
      <c r="V152" s="36">
        <v>9837302.479661433</v>
      </c>
      <c r="W152" s="36">
        <v>12265538.482840225</v>
      </c>
      <c r="X152" s="36">
        <v>14694125.31615264</v>
      </c>
      <c r="Y152" s="36">
        <v>17122970.028361056</v>
      </c>
      <c r="Z152" s="36">
        <v>20289551.715775266</v>
      </c>
      <c r="AA152" s="36">
        <v>23478377.262476657</v>
      </c>
      <c r="AB152" s="36">
        <v>26683542.800104968</v>
      </c>
      <c r="AC152" s="36">
        <v>29901063.945258211</v>
      </c>
      <c r="AD152" s="36">
        <v>33128154.352751441</v>
      </c>
      <c r="AE152" s="36">
        <v>36362806.909759499</v>
      </c>
      <c r="AF152" s="36">
        <v>39603539.135074243</v>
      </c>
      <c r="AG152" s="36">
        <v>42849232.279031239</v>
      </c>
      <c r="AH152" s="36">
        <v>46099026.217171088</v>
      </c>
      <c r="AI152" s="36">
        <v>49352248.799297631</v>
      </c>
      <c r="AJ152" s="36">
        <v>52608367.159116432</v>
      </c>
      <c r="AK152" s="36">
        <v>55866953.412968434</v>
      </c>
      <c r="AL152" s="36">
        <v>59127660.019519277</v>
      </c>
      <c r="AM152" s="36">
        <v>62390201.768229179</v>
      </c>
      <c r="AN152" s="36">
        <v>65654342.405383073</v>
      </c>
      <c r="AO152" s="36">
        <v>68919884.561923966</v>
      </c>
      <c r="AP152" s="36">
        <v>72186662.069657117</v>
      </c>
      <c r="AQ152" s="36">
        <v>75454534.030209452</v>
      </c>
      <c r="AR152" s="36">
        <v>78723380.187370092</v>
      </c>
      <c r="AS152" s="36">
        <v>81993097.280455217</v>
      </c>
      <c r="AT152" s="36">
        <v>85263596.144346863</v>
      </c>
      <c r="AU152" s="36">
        <v>88534799.383724391</v>
      </c>
      <c r="AV152" s="36">
        <v>91806639.493086621</v>
      </c>
      <c r="AW152" s="36">
        <v>95079057.32596387</v>
      </c>
      <c r="AX152" s="36">
        <v>98352000.839921847</v>
      </c>
    </row>
    <row r="153" spans="4:50">
      <c r="D153" t="s">
        <v>660</v>
      </c>
      <c r="E153" t="s">
        <v>650</v>
      </c>
      <c r="G153" s="44"/>
      <c r="I153" s="44"/>
      <c r="K153" s="44"/>
      <c r="M153" s="44"/>
      <c r="O153" s="36">
        <v>1373498.2261270715</v>
      </c>
      <c r="P153" s="36">
        <v>2423500.3840160836</v>
      </c>
      <c r="Q153" s="36">
        <v>3473502.5419050967</v>
      </c>
      <c r="R153" s="36">
        <v>4523504.6997941099</v>
      </c>
      <c r="S153" s="36">
        <v>5573506.8576831203</v>
      </c>
      <c r="T153" s="36">
        <v>6540581.8643554999</v>
      </c>
      <c r="U153" s="36">
        <v>9726811.3408380635</v>
      </c>
      <c r="V153" s="36">
        <v>12914097.186637843</v>
      </c>
      <c r="W153" s="36">
        <v>16102099.479517842</v>
      </c>
      <c r="X153" s="36">
        <v>19290610.01127141</v>
      </c>
      <c r="Y153" s="36">
        <v>22479494.125756528</v>
      </c>
      <c r="Z153" s="36">
        <v>26643833.227713078</v>
      </c>
      <c r="AA153" s="36">
        <v>30837590.224657569</v>
      </c>
      <c r="AB153" s="36">
        <v>35052957.14688465</v>
      </c>
      <c r="AC153" s="36">
        <v>39284664.577293724</v>
      </c>
      <c r="AD153" s="36">
        <v>43529027.5253895</v>
      </c>
      <c r="AE153" s="36">
        <v>47783391.54917264</v>
      </c>
      <c r="AF153" s="36">
        <v>52045796.041181162</v>
      </c>
      <c r="AG153" s="36">
        <v>56314761.435314491</v>
      </c>
      <c r="AH153" s="36">
        <v>60589150.201852821</v>
      </c>
      <c r="AI153" s="36">
        <v>64868073.410344251</v>
      </c>
      <c r="AJ153" s="36">
        <v>69150826.335745901</v>
      </c>
      <c r="AK153" s="36">
        <v>73436843.094395727</v>
      </c>
      <c r="AL153" s="36">
        <v>77725664.05676876</v>
      </c>
      <c r="AM153" s="36">
        <v>82016912.02691175</v>
      </c>
      <c r="AN153" s="36">
        <v>86310274.555132762</v>
      </c>
      <c r="AO153" s="36">
        <v>90605490.617383972</v>
      </c>
      <c r="AP153" s="36">
        <v>94902340.453306228</v>
      </c>
      <c r="AQ153" s="36">
        <v>99200637.722323999</v>
      </c>
      <c r="AR153" s="36">
        <v>103500223.38348414</v>
      </c>
      <c r="AS153" s="36">
        <v>107800960.87271672</v>
      </c>
      <c r="AT153" s="36">
        <v>112102732.26758568</v>
      </c>
      <c r="AU153" s="36">
        <v>116405435.2114187</v>
      </c>
      <c r="AV153" s="36">
        <v>120708980.42700359</v>
      </c>
      <c r="AW153" s="36">
        <v>125013289.69209437</v>
      </c>
      <c r="AX153" s="36">
        <v>129318294.17965664</v>
      </c>
    </row>
    <row r="154" spans="4:50">
      <c r="D154" t="s">
        <v>661</v>
      </c>
      <c r="E154" t="s">
        <v>651</v>
      </c>
      <c r="G154" s="44"/>
      <c r="I154" s="44"/>
      <c r="K154" s="44"/>
      <c r="M154" s="44"/>
      <c r="O154" s="36">
        <v>1305785.218892765</v>
      </c>
      <c r="P154" s="36">
        <v>2283769.978505685</v>
      </c>
      <c r="Q154" s="36">
        <v>3261754.7381186057</v>
      </c>
      <c r="R154" s="36">
        <v>4239739.4977315264</v>
      </c>
      <c r="S154" s="36">
        <v>5217724.2573444452</v>
      </c>
      <c r="T154" s="36">
        <v>6118137.9745785408</v>
      </c>
      <c r="U154" s="36">
        <v>9093251.3688085526</v>
      </c>
      <c r="V154" s="36">
        <v>12067565.53832268</v>
      </c>
      <c r="W154" s="36">
        <v>15041337.660463033</v>
      </c>
      <c r="X154" s="36">
        <v>18014725.2607674</v>
      </c>
      <c r="Y154" s="36">
        <v>20987830.216974083</v>
      </c>
      <c r="Z154" s="36">
        <v>22843967.462112226</v>
      </c>
      <c r="AA154" s="36">
        <v>24666447.924346071</v>
      </c>
      <c r="AB154" s="36">
        <v>26464204.640570503</v>
      </c>
      <c r="AC154" s="36">
        <v>28243266.309557438</v>
      </c>
      <c r="AD154" s="36">
        <v>30007848.900027778</v>
      </c>
      <c r="AE154" s="36">
        <v>31760989.338251743</v>
      </c>
      <c r="AF154" s="36">
        <v>33504930.739847854</v>
      </c>
      <c r="AG154" s="36">
        <v>35241365.864786021</v>
      </c>
      <c r="AH154" s="36">
        <v>36971596.151896186</v>
      </c>
      <c r="AI154" s="36">
        <v>38696638.619535565</v>
      </c>
      <c r="AJ154" s="36">
        <v>40417299.538097881</v>
      </c>
      <c r="AK154" s="36">
        <v>42134226.330642141</v>
      </c>
      <c r="AL154" s="36">
        <v>43847944.855702691</v>
      </c>
      <c r="AM154" s="36">
        <v>45558886.66021087</v>
      </c>
      <c r="AN154" s="36">
        <v>47267409.215408407</v>
      </c>
      <c r="AO154" s="36">
        <v>48973811.156860948</v>
      </c>
      <c r="AP154" s="36">
        <v>50678343.910671584</v>
      </c>
      <c r="AQ154" s="36">
        <v>52381220.667631187</v>
      </c>
      <c r="AR154" s="36">
        <v>54082623.385246746</v>
      </c>
      <c r="AS154" s="36">
        <v>55782708.305399433</v>
      </c>
      <c r="AT154" s="36">
        <v>57481610.342223436</v>
      </c>
      <c r="AU154" s="36">
        <v>59179446.601184741</v>
      </c>
      <c r="AV154" s="36">
        <v>60876319.223641239</v>
      </c>
      <c r="AW154" s="36">
        <v>62572317.703051291</v>
      </c>
      <c r="AX154" s="36">
        <v>64267520.783884972</v>
      </c>
    </row>
    <row r="155" spans="4:50">
      <c r="D155" t="s">
        <v>661</v>
      </c>
      <c r="E155" t="s">
        <v>652</v>
      </c>
      <c r="G155" s="44"/>
      <c r="I155" s="44"/>
      <c r="K155" s="44"/>
      <c r="M155" s="44"/>
      <c r="O155" s="36">
        <v>1309551.8840455664</v>
      </c>
      <c r="P155" s="36">
        <v>2308537.4788281457</v>
      </c>
      <c r="Q155" s="36">
        <v>3307523.0736107239</v>
      </c>
      <c r="R155" s="36">
        <v>4306508.6683933046</v>
      </c>
      <c r="S155" s="36">
        <v>5305494.2631758833</v>
      </c>
      <c r="T155" s="36">
        <v>6225546.9912115484</v>
      </c>
      <c r="U155" s="36">
        <v>9257747.7229498997</v>
      </c>
      <c r="V155" s="36">
        <v>12290765.846566169</v>
      </c>
      <c r="W155" s="36">
        <v>15324338.338824896</v>
      </c>
      <c r="X155" s="36">
        <v>18358304.093478262</v>
      </c>
      <c r="Y155" s="36">
        <v>21392558.917006977</v>
      </c>
      <c r="Z155" s="36">
        <v>26174731.233606573</v>
      </c>
      <c r="AA155" s="36">
        <v>31009541.80632934</v>
      </c>
      <c r="AB155" s="36">
        <v>35883019.618237413</v>
      </c>
      <c r="AC155" s="36">
        <v>40785735.955037132</v>
      </c>
      <c r="AD155" s="36">
        <v>45711097.160942473</v>
      </c>
      <c r="AE155" s="36">
        <v>50654353.569198467</v>
      </c>
      <c r="AF155" s="36">
        <v>55611997.010448106</v>
      </c>
      <c r="AG155" s="36">
        <v>60581380.055996023</v>
      </c>
      <c r="AH155" s="36">
        <v>65560467.292337343</v>
      </c>
      <c r="AI155" s="36">
        <v>70547668.131538495</v>
      </c>
      <c r="AJ155" s="36">
        <v>75541721.589517474</v>
      </c>
      <c r="AK155" s="36">
        <v>80541615.114929333</v>
      </c>
      <c r="AL155" s="36">
        <v>85546526.2799059</v>
      </c>
      <c r="AM155" s="36">
        <v>90555780.157257363</v>
      </c>
      <c r="AN155" s="36">
        <v>95568817.672076553</v>
      </c>
      <c r="AO155" s="36">
        <v>100585171.76678886</v>
      </c>
      <c r="AP155" s="36">
        <v>105604449.21808325</v>
      </c>
      <c r="AQ155" s="36">
        <v>110626316.60159527</v>
      </c>
      <c r="AR155" s="36">
        <v>115650489.34093243</v>
      </c>
      <c r="AS155" s="36">
        <v>120676723.07821371</v>
      </c>
      <c r="AT155" s="36">
        <v>125704806.81155065</v>
      </c>
      <c r="AU155" s="36">
        <v>130734557.39130808</v>
      </c>
      <c r="AV155" s="36">
        <v>135765815.07129216</v>
      </c>
      <c r="AW155" s="36">
        <v>140798439.88626662</v>
      </c>
      <c r="AX155" s="36">
        <v>145832308.68210819</v>
      </c>
    </row>
    <row r="156" spans="4:50">
      <c r="D156" t="s">
        <v>661</v>
      </c>
      <c r="E156" t="s">
        <v>653</v>
      </c>
      <c r="G156" s="44"/>
      <c r="I156" s="44"/>
      <c r="K156" s="44"/>
      <c r="M156" s="44"/>
      <c r="O156" s="36">
        <v>2044278.5721382035</v>
      </c>
      <c r="P156" s="36">
        <v>3574893.1876111417</v>
      </c>
      <c r="Q156" s="36">
        <v>5105507.8030840792</v>
      </c>
      <c r="R156" s="36">
        <v>6636122.4185570171</v>
      </c>
      <c r="S156" s="36">
        <v>8166737.034029956</v>
      </c>
      <c r="T156" s="36">
        <v>9575939.608732881</v>
      </c>
      <c r="U156" s="36">
        <v>14232377.738423722</v>
      </c>
      <c r="V156" s="36">
        <v>18887522.400128398</v>
      </c>
      <c r="W156" s="36">
        <v>23541789.810528129</v>
      </c>
      <c r="X156" s="36">
        <v>28195434.909486596</v>
      </c>
      <c r="Y156" s="36">
        <v>32848622.576280423</v>
      </c>
      <c r="Z156" s="36">
        <v>36040599.656610012</v>
      </c>
      <c r="AA156" s="36">
        <v>39188529.690332457</v>
      </c>
      <c r="AB156" s="36">
        <v>42304103.452931888</v>
      </c>
      <c r="AC156" s="36">
        <v>45395210.77679491</v>
      </c>
      <c r="AD156" s="36">
        <v>48467369.152148411</v>
      </c>
      <c r="AE156" s="36">
        <v>51524553.041832425</v>
      </c>
      <c r="AF156" s="36">
        <v>54569698.038903303</v>
      </c>
      <c r="AG156" s="36">
        <v>57605019.479196995</v>
      </c>
      <c r="AH156" s="36">
        <v>60632220.571750462</v>
      </c>
      <c r="AI156" s="36">
        <v>63652632.301022567</v>
      </c>
      <c r="AJ156" s="36">
        <v>66667309.843014851</v>
      </c>
      <c r="AK156" s="36">
        <v>69677100.488264173</v>
      </c>
      <c r="AL156" s="36">
        <v>72682692.434315622</v>
      </c>
      <c r="AM156" s="36">
        <v>75684650.451957077</v>
      </c>
      <c r="AN156" s="36">
        <v>78683442.368208393</v>
      </c>
      <c r="AO156" s="36">
        <v>81679459.011115044</v>
      </c>
      <c r="AP156" s="36">
        <v>84673029.425116986</v>
      </c>
      <c r="AQ156" s="36">
        <v>87664432.615629807</v>
      </c>
      <c r="AR156" s="36">
        <v>90653906.712685525</v>
      </c>
      <c r="AS156" s="36">
        <v>93641656.191959664</v>
      </c>
      <c r="AT156" s="36">
        <v>96627857.61724256</v>
      </c>
      <c r="AU156" s="36">
        <v>99612664.24590078</v>
      </c>
      <c r="AV156" s="36">
        <v>102596209.75158837</v>
      </c>
      <c r="AW156" s="36">
        <v>105578611.25549722</v>
      </c>
      <c r="AX156" s="36">
        <v>108559971.81148587</v>
      </c>
    </row>
    <row r="157" spans="4:50">
      <c r="D157" t="s">
        <v>661</v>
      </c>
      <c r="E157" t="s">
        <v>654</v>
      </c>
      <c r="G157" s="44"/>
      <c r="I157" s="44"/>
      <c r="K157" s="44"/>
      <c r="M157" s="44"/>
      <c r="O157" s="36">
        <v>1165035.3618758866</v>
      </c>
      <c r="P157" s="36">
        <v>2038147.0339981162</v>
      </c>
      <c r="Q157" s="36">
        <v>2911258.7061203457</v>
      </c>
      <c r="R157" s="36">
        <v>3784370.378242576</v>
      </c>
      <c r="S157" s="36">
        <v>4657482.0503648054</v>
      </c>
      <c r="T157" s="36">
        <v>5461350.0057706898</v>
      </c>
      <c r="U157" s="36">
        <v>8117227.28326678</v>
      </c>
      <c r="V157" s="36">
        <v>10772439.86908781</v>
      </c>
      <c r="W157" s="36">
        <v>13427201.650060501</v>
      </c>
      <c r="X157" s="36">
        <v>16081643.635538658</v>
      </c>
      <c r="Y157" s="36">
        <v>18735850.554238979</v>
      </c>
      <c r="Z157" s="36">
        <v>19949744.983863924</v>
      </c>
      <c r="AA157" s="36">
        <v>21120265.255692873</v>
      </c>
      <c r="AB157" s="36">
        <v>22258923.549989119</v>
      </c>
      <c r="AC157" s="36">
        <v>23373489.169379763</v>
      </c>
      <c r="AD157" s="36">
        <v>24469395.315638188</v>
      </c>
      <c r="AE157" s="36">
        <v>25550555.735352557</v>
      </c>
      <c r="AF157" s="36">
        <v>26619861.175718404</v>
      </c>
      <c r="AG157" s="36">
        <v>27679493.129787408</v>
      </c>
      <c r="AH157" s="36">
        <v>28731128.787364952</v>
      </c>
      <c r="AI157" s="36">
        <v>29776078.800001856</v>
      </c>
      <c r="AJ157" s="36">
        <v>30815382.224205162</v>
      </c>
      <c r="AK157" s="36">
        <v>31849873.406798892</v>
      </c>
      <c r="AL157" s="36">
        <v>32880230.032014195</v>
      </c>
      <c r="AM157" s="36">
        <v>33907008.242865413</v>
      </c>
      <c r="AN157" s="36">
        <v>34930668.719569355</v>
      </c>
      <c r="AO157" s="36">
        <v>35951596.319650464</v>
      </c>
      <c r="AP157" s="36">
        <v>36970115.060870603</v>
      </c>
      <c r="AQ157" s="36">
        <v>37986499.686393194</v>
      </c>
      <c r="AR157" s="36">
        <v>39000984.688434571</v>
      </c>
      <c r="AS157" s="36">
        <v>40013771.418978624</v>
      </c>
      <c r="AT157" s="36">
        <v>41025033.744522423</v>
      </c>
      <c r="AU157" s="36">
        <v>42034922.581182145</v>
      </c>
      <c r="AV157" s="36">
        <v>43043569.560533784</v>
      </c>
      <c r="AW157" s="36">
        <v>44051090.014556453</v>
      </c>
      <c r="AX157" s="36">
        <v>45057585.422796816</v>
      </c>
    </row>
    <row r="158" spans="4:50">
      <c r="D158" t="s">
        <v>660</v>
      </c>
      <c r="E158" t="s">
        <v>655</v>
      </c>
      <c r="G158" s="44"/>
      <c r="I158" s="44"/>
      <c r="K158" s="44"/>
      <c r="M158" s="44"/>
      <c r="O158" s="36">
        <v>984021.75589224789</v>
      </c>
      <c r="P158" s="36">
        <v>1745669.1173945528</v>
      </c>
      <c r="Q158" s="36">
        <v>2507316.4788968577</v>
      </c>
      <c r="R158" s="36">
        <v>3268963.8403991628</v>
      </c>
      <c r="S158" s="36">
        <v>4030611.201901468</v>
      </c>
      <c r="T158" s="36">
        <v>4732258.8941012528</v>
      </c>
      <c r="U158" s="36">
        <v>7040036.0298110526</v>
      </c>
      <c r="V158" s="36">
        <v>9349406.1200047154</v>
      </c>
      <c r="W158" s="36">
        <v>11659856.578181691</v>
      </c>
      <c r="X158" s="36">
        <v>13971073.43630928</v>
      </c>
      <c r="Y158" s="36">
        <v>16282853.639355732</v>
      </c>
      <c r="Z158" s="36">
        <v>19993293.883766521</v>
      </c>
      <c r="AA158" s="36">
        <v>23745920.601283964</v>
      </c>
      <c r="AB158" s="36">
        <v>27529536.841748029</v>
      </c>
      <c r="AC158" s="36">
        <v>31336586.043994404</v>
      </c>
      <c r="AD158" s="36">
        <v>35161783.779871777</v>
      </c>
      <c r="AE158" s="36">
        <v>39001323.470219225</v>
      </c>
      <c r="AF158" s="36">
        <v>42852393.523180731</v>
      </c>
      <c r="AG158" s="36">
        <v>46712872.180026345</v>
      </c>
      <c r="AH158" s="36">
        <v>50581128.176283993</v>
      </c>
      <c r="AI158" s="36">
        <v>54455886.749071576</v>
      </c>
      <c r="AJ158" s="36">
        <v>58336137.293650679</v>
      </c>
      <c r="AK158" s="36">
        <v>62221068.309541754</v>
      </c>
      <c r="AL158" s="36">
        <v>66110020.669074208</v>
      </c>
      <c r="AM158" s="36">
        <v>70002453.4577149</v>
      </c>
      <c r="AN158" s="36">
        <v>73897918.609735996</v>
      </c>
      <c r="AO158" s="36">
        <v>77796041.805901557</v>
      </c>
      <c r="AP158" s="36">
        <v>81696507.900804982</v>
      </c>
      <c r="AQ158" s="36">
        <v>85599049.674385741</v>
      </c>
      <c r="AR158" s="36">
        <v>89503439.055366173</v>
      </c>
      <c r="AS158" s="36">
        <v>93409480.205245212</v>
      </c>
      <c r="AT158" s="36">
        <v>97317004.018392354</v>
      </c>
      <c r="AU158" s="36">
        <v>101225863.71112345</v>
      </c>
      <c r="AV158" s="36">
        <v>105135931.25623922</v>
      </c>
      <c r="AW158" s="36">
        <v>109047094.47981679</v>
      </c>
      <c r="AX158" s="36">
        <v>112959254.68105403</v>
      </c>
    </row>
    <row r="159" spans="4:50">
      <c r="D159" t="s">
        <v>661</v>
      </c>
      <c r="E159" t="s">
        <v>656</v>
      </c>
      <c r="G159" s="44"/>
      <c r="I159" s="44"/>
      <c r="K159" s="44"/>
      <c r="M159" s="44"/>
      <c r="O159" s="36">
        <v>1368577.2291641461</v>
      </c>
      <c r="P159" s="36">
        <v>2399971.2010423243</v>
      </c>
      <c r="Q159" s="36">
        <v>3431365.1729205009</v>
      </c>
      <c r="R159" s="36">
        <v>4462759.1447986793</v>
      </c>
      <c r="S159" s="36">
        <v>5494153.1166768558</v>
      </c>
      <c r="T159" s="36">
        <v>6443846.4327679528</v>
      </c>
      <c r="U159" s="36">
        <v>9579049.0620361064</v>
      </c>
      <c r="V159" s="36">
        <v>12713982.207156187</v>
      </c>
      <c r="W159" s="36">
        <v>15848732.583685882</v>
      </c>
      <c r="X159" s="36">
        <v>18983353.306393147</v>
      </c>
      <c r="Y159" s="36">
        <v>22117878.726612445</v>
      </c>
      <c r="Z159" s="36">
        <v>22740710.370779864</v>
      </c>
      <c r="AA159" s="36">
        <v>23287966.428909101</v>
      </c>
      <c r="AB159" s="36">
        <v>23779705.844255429</v>
      </c>
      <c r="AC159" s="36">
        <v>24229465.93094752</v>
      </c>
      <c r="AD159" s="36">
        <v>24646713.556561667</v>
      </c>
      <c r="AE159" s="36">
        <v>25038268.07407289</v>
      </c>
      <c r="AF159" s="36">
        <v>25409166.351618614</v>
      </c>
      <c r="AG159" s="36">
        <v>25763209.445500478</v>
      </c>
      <c r="AH159" s="36">
        <v>26103319.70877111</v>
      </c>
      <c r="AI159" s="36">
        <v>26431780.834395997</v>
      </c>
      <c r="AJ159" s="36">
        <v>26750403.28529685</v>
      </c>
      <c r="AK159" s="36">
        <v>27060640.836103216</v>
      </c>
      <c r="AL159" s="36">
        <v>27363674.29090495</v>
      </c>
      <c r="AM159" s="36">
        <v>27660472.679104906</v>
      </c>
      <c r="AN159" s="36">
        <v>27951838.694729466</v>
      </c>
      <c r="AO159" s="36">
        <v>28238442.917553078</v>
      </c>
      <c r="AP159" s="36">
        <v>28520849.919511754</v>
      </c>
      <c r="AQ159" s="36">
        <v>28799538.41596593</v>
      </c>
      <c r="AR159" s="36">
        <v>29074916.988605153</v>
      </c>
      <c r="AS159" s="36">
        <v>29347336.47523132</v>
      </c>
      <c r="AT159" s="36">
        <v>29617099.822646718</v>
      </c>
      <c r="AU159" s="36">
        <v>29884469.988670148</v>
      </c>
      <c r="AV159" s="36">
        <v>30149676.329535864</v>
      </c>
      <c r="AW159" s="36">
        <v>30412919.800890081</v>
      </c>
      <c r="AX159" s="36">
        <v>30674377.22175594</v>
      </c>
    </row>
    <row r="160" spans="4:50">
      <c r="D160" t="s">
        <v>660</v>
      </c>
      <c r="E160" t="s">
        <v>657</v>
      </c>
      <c r="G160" s="44"/>
      <c r="I160" s="44"/>
      <c r="K160" s="44"/>
      <c r="M160" s="44"/>
      <c r="O160" s="36">
        <v>521253.42985207372</v>
      </c>
      <c r="P160" s="36">
        <v>955613.64102112222</v>
      </c>
      <c r="Q160" s="36">
        <v>1389973.8521901711</v>
      </c>
      <c r="R160" s="36">
        <v>1824334.0633592198</v>
      </c>
      <c r="S160" s="36">
        <v>2258694.2745282683</v>
      </c>
      <c r="T160" s="36">
        <v>2659337.1108066058</v>
      </c>
      <c r="U160" s="36">
        <v>3964257.3071621037</v>
      </c>
      <c r="V160" s="36">
        <v>5272773.2018239861</v>
      </c>
      <c r="W160" s="36">
        <v>6583727.7583354255</v>
      </c>
      <c r="X160" s="36">
        <v>7896412.2720002737</v>
      </c>
      <c r="Y160" s="36">
        <v>9210368.3966189921</v>
      </c>
      <c r="Z160" s="36">
        <v>12782559.710388303</v>
      </c>
      <c r="AA160" s="36">
        <v>16422936.077540882</v>
      </c>
      <c r="AB160" s="36">
        <v>20113400.11784628</v>
      </c>
      <c r="AC160" s="36">
        <v>23841738.330425203</v>
      </c>
      <c r="AD160" s="36">
        <v>27599409.612192642</v>
      </c>
      <c r="AE160" s="36">
        <v>31380261.474348754</v>
      </c>
      <c r="AF160" s="36">
        <v>35179749.603831112</v>
      </c>
      <c r="AG160" s="36">
        <v>38994444.649437457</v>
      </c>
      <c r="AH160" s="36">
        <v>42821710.034869291</v>
      </c>
      <c r="AI160" s="36">
        <v>46659485.389378212</v>
      </c>
      <c r="AJ160" s="36">
        <v>50506137.295118064</v>
      </c>
      <c r="AK160" s="36">
        <v>54360354.142005272</v>
      </c>
      <c r="AL160" s="36">
        <v>58221070.596720964</v>
      </c>
      <c r="AM160" s="36">
        <v>62087412.391197518</v>
      </c>
      <c r="AN160" s="36">
        <v>65958655.326815948</v>
      </c>
      <c r="AO160" s="36">
        <v>69834194.399763241</v>
      </c>
      <c r="AP160" s="36">
        <v>73713520.247563884</v>
      </c>
      <c r="AQ160" s="36">
        <v>77596200.968407869</v>
      </c>
      <c r="AR160" s="36">
        <v>81481867.935787842</v>
      </c>
      <c r="AS160" s="36">
        <v>85370204.620312527</v>
      </c>
      <c r="AT160" s="36">
        <v>89260937.700331777</v>
      </c>
      <c r="AU160" s="36">
        <v>93153829.9326583</v>
      </c>
      <c r="AV160" s="36">
        <v>97048674.38979207</v>
      </c>
      <c r="AW160" s="36">
        <v>100945289.76752928</v>
      </c>
      <c r="AX160" s="36">
        <v>104843516.5379698</v>
      </c>
    </row>
    <row r="161" spans="3:54">
      <c r="D161" t="s">
        <v>661</v>
      </c>
      <c r="E161" t="s">
        <v>658</v>
      </c>
      <c r="G161" s="44"/>
      <c r="I161" s="44"/>
      <c r="K161" s="44"/>
      <c r="M161" s="44"/>
      <c r="O161" s="36">
        <v>1326383.2895839461</v>
      </c>
      <c r="P161" s="36">
        <v>2319403.5307341893</v>
      </c>
      <c r="Q161" s="36">
        <v>3312423.7718844335</v>
      </c>
      <c r="R161" s="36">
        <v>4305444.0130346762</v>
      </c>
      <c r="S161" s="36">
        <v>5298464.2541849203</v>
      </c>
      <c r="T161" s="36">
        <v>6212714.3321338817</v>
      </c>
      <c r="U161" s="36">
        <v>9233713.443760531</v>
      </c>
      <c r="V161" s="36">
        <v>12253865.841168417</v>
      </c>
      <c r="W161" s="36">
        <v>15273443.983039049</v>
      </c>
      <c r="X161" s="36">
        <v>18292614.754992943</v>
      </c>
      <c r="Y161" s="36">
        <v>21311486.088288859</v>
      </c>
      <c r="Z161" s="36">
        <v>23209961.811213117</v>
      </c>
      <c r="AA161" s="36">
        <v>25074674.292549428</v>
      </c>
      <c r="AB161" s="36">
        <v>26914584.824993357</v>
      </c>
      <c r="AC161" s="36">
        <v>28735741.176499318</v>
      </c>
      <c r="AD161" s="36">
        <v>30542372.65118276</v>
      </c>
      <c r="AE161" s="36">
        <v>32337525.781317398</v>
      </c>
      <c r="AF161" s="36">
        <v>34123450.777648315</v>
      </c>
      <c r="AG161" s="36">
        <v>35901845.754459918</v>
      </c>
      <c r="AH161" s="36">
        <v>37674016.267121248</v>
      </c>
      <c r="AI161" s="36">
        <v>39440982.550887465</v>
      </c>
      <c r="AJ161" s="36">
        <v>41203553.426440164</v>
      </c>
      <c r="AK161" s="36">
        <v>42962378.364681333</v>
      </c>
      <c r="AL161" s="36">
        <v>44717984.887471482</v>
      </c>
      <c r="AM161" s="36">
        <v>46470805.906754084</v>
      </c>
      <c r="AN161" s="36">
        <v>48221200.024476655</v>
      </c>
      <c r="AO161" s="36">
        <v>49969466.820809327</v>
      </c>
      <c r="AP161" s="36">
        <v>51715858.517133012</v>
      </c>
      <c r="AQ161" s="36">
        <v>53460588.978575476</v>
      </c>
      <c r="AR161" s="36">
        <v>55203840.738187626</v>
      </c>
      <c r="AS161" s="36">
        <v>56945770.532054253</v>
      </c>
      <c r="AT161" s="36">
        <v>58686513.701052144</v>
      </c>
      <c r="AU161" s="36">
        <v>60426187.721059784</v>
      </c>
      <c r="AV161" s="36">
        <v>62164895.05651509</v>
      </c>
      <c r="AW161" s="36">
        <v>63902725.483950324</v>
      </c>
      <c r="AX161" s="36">
        <v>65639757.996909596</v>
      </c>
    </row>
    <row r="162" spans="3:54">
      <c r="D162" t="s">
        <v>661</v>
      </c>
      <c r="E162" t="s">
        <v>659</v>
      </c>
      <c r="G162" s="44"/>
      <c r="I162" s="44"/>
      <c r="K162" s="44"/>
      <c r="M162" s="44"/>
      <c r="O162" s="36">
        <v>1149892.8237105464</v>
      </c>
      <c r="P162" s="36">
        <v>2025635.1155006804</v>
      </c>
      <c r="Q162" s="36">
        <v>2901377.4072908149</v>
      </c>
      <c r="R162" s="36">
        <v>3777119.6990809501</v>
      </c>
      <c r="S162" s="36">
        <v>4652861.9908710849</v>
      </c>
      <c r="T162" s="36">
        <v>5459385.4739772892</v>
      </c>
      <c r="U162" s="36">
        <v>8118040.0318532558</v>
      </c>
      <c r="V162" s="36">
        <v>10777283.369090885</v>
      </c>
      <c r="W162" s="36">
        <v>13436926.026194856</v>
      </c>
      <c r="X162" s="36">
        <v>16096851.955971258</v>
      </c>
      <c r="Y162" s="36">
        <v>18756986.10629952</v>
      </c>
      <c r="Z162" s="36">
        <v>20958858.546289381</v>
      </c>
      <c r="AA162" s="36">
        <v>23146987.003487863</v>
      </c>
      <c r="AB162" s="36">
        <v>25325019.346014377</v>
      </c>
      <c r="AC162" s="36">
        <v>27495417.435194485</v>
      </c>
      <c r="AD162" s="36">
        <v>29659902.891354021</v>
      </c>
      <c r="AE162" s="36">
        <v>31819715.864584375</v>
      </c>
      <c r="AF162" s="36">
        <v>33975772.346843213</v>
      </c>
      <c r="AG162" s="36">
        <v>36128763.588508293</v>
      </c>
      <c r="AH162" s="36">
        <v>38279221.041231796</v>
      </c>
      <c r="AI162" s="36">
        <v>40427560.011575885</v>
      </c>
      <c r="AJ162" s="36">
        <v>42574109.74569717</v>
      </c>
      <c r="AK162" s="36">
        <v>44719134.623331748</v>
      </c>
      <c r="AL162" s="36">
        <v>46862849.382491544</v>
      </c>
      <c r="AM162" s="36">
        <v>49005430.248385362</v>
      </c>
      <c r="AN162" s="36">
        <v>51147023.196895994</v>
      </c>
      <c r="AO162" s="36">
        <v>53287750.177946202</v>
      </c>
      <c r="AP162" s="36">
        <v>55427713.863144346</v>
      </c>
      <c r="AQ162" s="36">
        <v>57567001.310441598</v>
      </c>
      <c r="AR162" s="36">
        <v>59705686.823458984</v>
      </c>
      <c r="AS162" s="36">
        <v>61843834.204661936</v>
      </c>
      <c r="AT162" s="36">
        <v>63981498.547181152</v>
      </c>
      <c r="AU162" s="36">
        <v>66118727.671853028</v>
      </c>
      <c r="AV162" s="36">
        <v>68255563.288815692</v>
      </c>
      <c r="AW162" s="36">
        <v>70392041.943349108</v>
      </c>
      <c r="AX162" s="36">
        <v>72528195.791308537</v>
      </c>
    </row>
    <row r="163" spans="3:54">
      <c r="D163" t="s">
        <v>660</v>
      </c>
      <c r="E163" t="s">
        <v>633</v>
      </c>
      <c r="G163" s="44"/>
      <c r="I163" s="44"/>
      <c r="K163" s="44"/>
      <c r="M163" s="44"/>
      <c r="O163" s="36">
        <v>375983.85193336598</v>
      </c>
      <c r="P163" s="36">
        <v>661541.98064801551</v>
      </c>
      <c r="Q163" s="36">
        <v>947100.1093626651</v>
      </c>
      <c r="R163" s="36">
        <v>1232658.2380773148</v>
      </c>
      <c r="S163" s="36">
        <v>1518216.366791964</v>
      </c>
      <c r="T163" s="36">
        <v>1781191.01596459</v>
      </c>
      <c r="U163" s="36">
        <v>2648402.2508944659</v>
      </c>
      <c r="V163" s="36">
        <v>3515736.0143926218</v>
      </c>
      <c r="W163" s="36">
        <v>4383152.8787850905</v>
      </c>
      <c r="X163" s="36">
        <v>5250628.6939445948</v>
      </c>
      <c r="Y163" s="36">
        <v>6118147.841068102</v>
      </c>
      <c r="Z163" s="36">
        <v>9261425.8263706379</v>
      </c>
      <c r="AA163" s="36">
        <v>12473171.678331751</v>
      </c>
      <c r="AB163" s="36">
        <v>15735212.953651845</v>
      </c>
      <c r="AC163" s="36">
        <v>19035285.493132588</v>
      </c>
      <c r="AD163" s="36">
        <v>22364812.767488983</v>
      </c>
      <c r="AE163" s="36">
        <v>25717616.76905125</v>
      </c>
      <c r="AF163" s="36">
        <v>29089134.336167771</v>
      </c>
      <c r="AG163" s="36">
        <v>32475921.893609185</v>
      </c>
      <c r="AH163" s="36">
        <v>35875331.929267123</v>
      </c>
      <c r="AI163" s="36">
        <v>39285295.526529118</v>
      </c>
      <c r="AJ163" s="36">
        <v>42704172.492570803</v>
      </c>
      <c r="AK163" s="36">
        <v>46130645.777102508</v>
      </c>
      <c r="AL163" s="36">
        <v>49563645.628089085</v>
      </c>
      <c r="AM163" s="36">
        <v>53002294.151233889</v>
      </c>
      <c r="AN163" s="36">
        <v>56445864.144136719</v>
      </c>
      <c r="AO163" s="36">
        <v>59893748.093591429</v>
      </c>
      <c r="AP163" s="36">
        <v>63345434.5244238</v>
      </c>
      <c r="AQ163" s="36">
        <v>66800489.743411176</v>
      </c>
      <c r="AR163" s="36">
        <v>70258543.595082581</v>
      </c>
      <c r="AS163" s="36">
        <v>73719278.23716788</v>
      </c>
      <c r="AT163" s="36">
        <v>77182419.214352161</v>
      </c>
      <c r="AU163" s="36">
        <v>80647728.299427167</v>
      </c>
      <c r="AV163" s="36">
        <v>84114997.706613228</v>
      </c>
      <c r="AW163" s="36">
        <v>87584045.379705399</v>
      </c>
      <c r="AX163" s="36">
        <v>91054711.129124776</v>
      </c>
    </row>
    <row r="164" spans="3:54">
      <c r="E164" t="s">
        <v>660</v>
      </c>
      <c r="G164" s="44"/>
      <c r="I164" s="44"/>
      <c r="K164" s="44"/>
      <c r="M164" s="44"/>
      <c r="O164" s="36">
        <f>SUMIF($D131:$D163,$E164,O131:O163)</f>
        <v>7804331.9236876462</v>
      </c>
      <c r="P164" s="36">
        <f t="shared" ref="P164:AX164" si="80">SUMIF($D131:$D163,$E164,P131:P163)</f>
        <v>13846942.334089361</v>
      </c>
      <c r="Q164" s="36">
        <f t="shared" si="80"/>
        <v>19889552.744491082</v>
      </c>
      <c r="R164" s="36">
        <f t="shared" si="80"/>
        <v>25932163.154892802</v>
      </c>
      <c r="S164" s="36">
        <f t="shared" si="80"/>
        <v>31974773.565294519</v>
      </c>
      <c r="T164" s="36">
        <f t="shared" si="80"/>
        <v>37541401.6312318</v>
      </c>
      <c r="U164" s="36">
        <f t="shared" si="80"/>
        <v>55849694.277392305</v>
      </c>
      <c r="V164" s="36">
        <f t="shared" si="80"/>
        <v>74170793.700794607</v>
      </c>
      <c r="W164" s="36">
        <f t="shared" si="80"/>
        <v>92500578.891581744</v>
      </c>
      <c r="X164" s="36">
        <f t="shared" si="80"/>
        <v>110836525.66045848</v>
      </c>
      <c r="Y164" s="36">
        <f t="shared" si="80"/>
        <v>129177001.51849589</v>
      </c>
      <c r="Z164" s="36">
        <f t="shared" si="80"/>
        <v>156803301.78845963</v>
      </c>
      <c r="AA164" s="36">
        <f t="shared" si="80"/>
        <v>184709838.63329294</v>
      </c>
      <c r="AB164" s="36">
        <f t="shared" si="80"/>
        <v>212822232.88046095</v>
      </c>
      <c r="AC164" s="36">
        <f t="shared" si="80"/>
        <v>241090287.75686243</v>
      </c>
      <c r="AD164" s="36">
        <f t="shared" si="80"/>
        <v>269478899.82918757</v>
      </c>
      <c r="AE164" s="36">
        <f t="shared" si="80"/>
        <v>297962782.72890502</v>
      </c>
      <c r="AF164" s="36">
        <f t="shared" si="80"/>
        <v>326523259.59555107</v>
      </c>
      <c r="AG164" s="36">
        <f t="shared" si="80"/>
        <v>355146235.99658859</v>
      </c>
      <c r="AH164" s="36">
        <f t="shared" si="80"/>
        <v>383820875.75789136</v>
      </c>
      <c r="AI164" s="36">
        <f t="shared" si="80"/>
        <v>412538710.87638772</v>
      </c>
      <c r="AJ164" s="36">
        <f t="shared" si="80"/>
        <v>441293028.10042137</v>
      </c>
      <c r="AK164" s="36">
        <f t="shared" si="80"/>
        <v>470078436.78938812</v>
      </c>
      <c r="AL164" s="36">
        <f t="shared" si="80"/>
        <v>498890558.48575866</v>
      </c>
      <c r="AM164" s="36">
        <f t="shared" si="80"/>
        <v>527725799.99899304</v>
      </c>
      <c r="AN164" s="36">
        <f t="shared" si="80"/>
        <v>556581184.91519308</v>
      </c>
      <c r="AO164" s="36">
        <f t="shared" si="80"/>
        <v>585454226.70413113</v>
      </c>
      <c r="AP164" s="36">
        <f t="shared" si="80"/>
        <v>614342831.91587293</v>
      </c>
      <c r="AQ164" s="36">
        <f t="shared" si="80"/>
        <v>643245225.4592818</v>
      </c>
      <c r="AR164" s="36">
        <f t="shared" si="80"/>
        <v>672159892.30100799</v>
      </c>
      <c r="AS164" s="36">
        <f t="shared" si="80"/>
        <v>701085531.52379715</v>
      </c>
      <c r="AT164" s="36">
        <f t="shared" si="80"/>
        <v>730021019.79167891</v>
      </c>
      <c r="AU164" s="36">
        <f t="shared" si="80"/>
        <v>758965382.0490526</v>
      </c>
      <c r="AV164" s="36">
        <f t="shared" si="80"/>
        <v>787917767.83601522</v>
      </c>
      <c r="AW164" s="36">
        <f t="shared" si="80"/>
        <v>816877432.00291085</v>
      </c>
      <c r="AX164" s="36">
        <f t="shared" si="80"/>
        <v>845843718.89941585</v>
      </c>
    </row>
    <row r="165" spans="3:54">
      <c r="E165" t="s">
        <v>661</v>
      </c>
      <c r="G165" s="44"/>
      <c r="I165" s="44"/>
      <c r="K165" s="44"/>
      <c r="M165" s="44"/>
      <c r="O165" s="36">
        <f>SUMIF($D131:$D163,$E165,O131:O163)</f>
        <v>35898768.076312371</v>
      </c>
      <c r="P165" s="36">
        <f t="shared" ref="P165:AX165" si="81">SUMIF($D131:$D163,$E165,P131:P163)</f>
        <v>62888540.826581761</v>
      </c>
      <c r="Q165" s="36">
        <f t="shared" si="81"/>
        <v>89878313.576851144</v>
      </c>
      <c r="R165" s="36">
        <f t="shared" si="81"/>
        <v>116868086.32712054</v>
      </c>
      <c r="S165" s="36">
        <f t="shared" si="81"/>
        <v>143857859.07738993</v>
      </c>
      <c r="T165" s="36">
        <f t="shared" si="81"/>
        <v>168708598.36876819</v>
      </c>
      <c r="U165" s="36">
        <f t="shared" si="81"/>
        <v>250775305.72260764</v>
      </c>
      <c r="V165" s="36">
        <f t="shared" si="81"/>
        <v>332829206.29920542</v>
      </c>
      <c r="W165" s="36">
        <f t="shared" si="81"/>
        <v>414874421.10841823</v>
      </c>
      <c r="X165" s="36">
        <f t="shared" si="81"/>
        <v>496913474.33954149</v>
      </c>
      <c r="Y165" s="36">
        <f t="shared" si="81"/>
        <v>578947998.48150396</v>
      </c>
      <c r="Z165" s="36">
        <f t="shared" si="81"/>
        <v>651696698.21154022</v>
      </c>
      <c r="AA165" s="36">
        <f t="shared" si="81"/>
        <v>724165161.36670685</v>
      </c>
      <c r="AB165" s="36">
        <f t="shared" si="81"/>
        <v>796427767.11953914</v>
      </c>
      <c r="AC165" s="36">
        <f t="shared" si="81"/>
        <v>868534712.24313807</v>
      </c>
      <c r="AD165" s="36">
        <f t="shared" si="81"/>
        <v>940521100.17081273</v>
      </c>
      <c r="AE165" s="36">
        <f t="shared" si="81"/>
        <v>1012412217.271095</v>
      </c>
      <c r="AF165" s="36">
        <f t="shared" si="81"/>
        <v>1084226740.4044495</v>
      </c>
      <c r="AG165" s="36">
        <f t="shared" si="81"/>
        <v>1155978764.0034113</v>
      </c>
      <c r="AH165" s="36">
        <f t="shared" si="81"/>
        <v>1227679124.2421091</v>
      </c>
      <c r="AI165" s="36">
        <f t="shared" si="81"/>
        <v>1299336289.1236126</v>
      </c>
      <c r="AJ165" s="36">
        <f t="shared" si="81"/>
        <v>1370956971.8995788</v>
      </c>
      <c r="AK165" s="36">
        <f t="shared" si="81"/>
        <v>1442546563.2106111</v>
      </c>
      <c r="AL165" s="36">
        <f t="shared" si="81"/>
        <v>1514109441.5142407</v>
      </c>
      <c r="AM165" s="36">
        <f t="shared" si="81"/>
        <v>1585649200.0010064</v>
      </c>
      <c r="AN165" s="36">
        <f t="shared" si="81"/>
        <v>1657168815.0848076</v>
      </c>
      <c r="AO165" s="36">
        <f t="shared" si="81"/>
        <v>1728670773.2958694</v>
      </c>
      <c r="AP165" s="36">
        <f t="shared" si="81"/>
        <v>1800157168.0841269</v>
      </c>
      <c r="AQ165" s="36">
        <f t="shared" si="81"/>
        <v>1871629774.5407188</v>
      </c>
      <c r="AR165" s="36">
        <f t="shared" si="81"/>
        <v>1943090107.6989925</v>
      </c>
      <c r="AS165" s="36">
        <f t="shared" si="81"/>
        <v>2014539468.4762025</v>
      </c>
      <c r="AT165" s="36">
        <f t="shared" si="81"/>
        <v>2085978980.2083206</v>
      </c>
      <c r="AU165" s="36">
        <f t="shared" si="81"/>
        <v>2157409617.9509482</v>
      </c>
      <c r="AV165" s="36">
        <f t="shared" si="81"/>
        <v>2228832232.1639838</v>
      </c>
      <c r="AW165" s="36">
        <f t="shared" si="81"/>
        <v>2300247567.9970884</v>
      </c>
      <c r="AX165" s="36">
        <f t="shared" si="81"/>
        <v>2371656281.1005836</v>
      </c>
    </row>
    <row r="166" spans="3:54">
      <c r="E166" t="s">
        <v>122</v>
      </c>
      <c r="G166" s="44"/>
      <c r="I166" s="44"/>
      <c r="K166" s="44"/>
      <c r="M166" s="44"/>
      <c r="O166" s="159">
        <f>SUM(O131:O163)</f>
        <v>43703100.000000015</v>
      </c>
      <c r="P166" s="159">
        <f t="shared" ref="P166:AX166" si="82">SUM(P131:P163)</f>
        <v>76735483.16067113</v>
      </c>
      <c r="Q166" s="159">
        <f t="shared" si="82"/>
        <v>109767866.32134221</v>
      </c>
      <c r="R166" s="159">
        <f t="shared" si="82"/>
        <v>142800249.48201334</v>
      </c>
      <c r="S166" s="159">
        <f t="shared" si="82"/>
        <v>175832632.64268443</v>
      </c>
      <c r="T166" s="159">
        <f t="shared" si="82"/>
        <v>206250000</v>
      </c>
      <c r="U166" s="159">
        <f t="shared" si="82"/>
        <v>306624999.99999994</v>
      </c>
      <c r="V166" s="159">
        <f t="shared" si="82"/>
        <v>407000000</v>
      </c>
      <c r="W166" s="159">
        <f t="shared" si="82"/>
        <v>507374999.99999994</v>
      </c>
      <c r="X166" s="159">
        <f t="shared" si="82"/>
        <v>607750000</v>
      </c>
      <c r="Y166" s="159">
        <f t="shared" si="82"/>
        <v>708125000.00000024</v>
      </c>
      <c r="Z166" s="159">
        <f t="shared" si="82"/>
        <v>808499999.99999976</v>
      </c>
      <c r="AA166" s="159">
        <f t="shared" si="82"/>
        <v>908874999.99999964</v>
      </c>
      <c r="AB166" s="159">
        <f t="shared" si="82"/>
        <v>1009250000.0000002</v>
      </c>
      <c r="AC166" s="159">
        <f t="shared" si="82"/>
        <v>1109625000.0000005</v>
      </c>
      <c r="AD166" s="159">
        <f t="shared" si="82"/>
        <v>1210000000.0000005</v>
      </c>
      <c r="AE166" s="159">
        <f t="shared" si="82"/>
        <v>1310375000.0000002</v>
      </c>
      <c r="AF166" s="159">
        <f t="shared" si="82"/>
        <v>1410750000.0000002</v>
      </c>
      <c r="AG166" s="159">
        <f t="shared" si="82"/>
        <v>1511124999.9999995</v>
      </c>
      <c r="AH166" s="159">
        <f t="shared" si="82"/>
        <v>1611500000.0000005</v>
      </c>
      <c r="AI166" s="159">
        <f t="shared" si="82"/>
        <v>1711875000.0000005</v>
      </c>
      <c r="AJ166" s="159">
        <f t="shared" si="82"/>
        <v>1812250000.0000005</v>
      </c>
      <c r="AK166" s="159">
        <f t="shared" si="82"/>
        <v>1912624999.999999</v>
      </c>
      <c r="AL166" s="159">
        <f t="shared" si="82"/>
        <v>2012999999.9999998</v>
      </c>
      <c r="AM166" s="159">
        <f t="shared" si="82"/>
        <v>2113374999.9999993</v>
      </c>
      <c r="AN166" s="159">
        <f t="shared" si="82"/>
        <v>2213750000.0000005</v>
      </c>
      <c r="AO166" s="159">
        <f t="shared" si="82"/>
        <v>2314125000.0000005</v>
      </c>
      <c r="AP166" s="159">
        <f t="shared" si="82"/>
        <v>2414499999.9999995</v>
      </c>
      <c r="AQ166" s="159">
        <f t="shared" si="82"/>
        <v>2514875000.0000005</v>
      </c>
      <c r="AR166" s="159">
        <f t="shared" si="82"/>
        <v>2615250000.0000005</v>
      </c>
      <c r="AS166" s="159">
        <f t="shared" si="82"/>
        <v>2715624999.9999995</v>
      </c>
      <c r="AT166" s="159">
        <f t="shared" si="82"/>
        <v>2816000000</v>
      </c>
      <c r="AU166" s="159">
        <f t="shared" si="82"/>
        <v>2916375000.0000005</v>
      </c>
      <c r="AV166" s="159">
        <f t="shared" si="82"/>
        <v>3016749999.9999995</v>
      </c>
      <c r="AW166" s="159">
        <f t="shared" si="82"/>
        <v>3117124999.9999995</v>
      </c>
      <c r="AX166" s="159">
        <f t="shared" si="82"/>
        <v>3217499999.9999995</v>
      </c>
    </row>
    <row r="168" spans="3:54">
      <c r="D168" s="160" t="s">
        <v>720</v>
      </c>
      <c r="E168" t="str">
        <f xml:space="preserve"> Dashboard!$D$5</f>
        <v>Inner London</v>
      </c>
      <c r="G168" s="44"/>
      <c r="I168" s="44"/>
      <c r="K168" s="44"/>
      <c r="M168" s="44"/>
      <c r="O168" s="36">
        <f>INDEX(O131:O166,MATCH($E$127,$E$90:$E$125,0))</f>
        <v>7804331.9236876462</v>
      </c>
      <c r="P168" s="36">
        <f t="shared" ref="P168" si="83">INDEX(P131:P166,MATCH($E$127,$E$90:$E$125,0))</f>
        <v>13846942.334089361</v>
      </c>
      <c r="Q168" s="36">
        <f>INDEX(Q131:Q166,MATCH($E$127,$E$90:$E$125,0))</f>
        <v>19889552.744491082</v>
      </c>
      <c r="R168" s="36">
        <f t="shared" ref="R168:AX168" si="84">INDEX(R131:R166,MATCH($E$127,$E$90:$E$125,0))</f>
        <v>25932163.154892802</v>
      </c>
      <c r="S168" s="36">
        <f t="shared" si="84"/>
        <v>31974773.565294519</v>
      </c>
      <c r="T168" s="36">
        <f t="shared" si="84"/>
        <v>37541401.6312318</v>
      </c>
      <c r="U168" s="36">
        <f t="shared" si="84"/>
        <v>55849694.277392305</v>
      </c>
      <c r="V168" s="36">
        <f t="shared" si="84"/>
        <v>74170793.700794607</v>
      </c>
      <c r="W168" s="36">
        <f t="shared" si="84"/>
        <v>92500578.891581744</v>
      </c>
      <c r="X168" s="36">
        <f t="shared" si="84"/>
        <v>110836525.66045848</v>
      </c>
      <c r="Y168" s="36">
        <f t="shared" si="84"/>
        <v>129177001.51849589</v>
      </c>
      <c r="Z168" s="36">
        <f t="shared" si="84"/>
        <v>156803301.78845963</v>
      </c>
      <c r="AA168" s="36">
        <f t="shared" si="84"/>
        <v>184709838.63329294</v>
      </c>
      <c r="AB168" s="36">
        <f t="shared" si="84"/>
        <v>212822232.88046095</v>
      </c>
      <c r="AC168" s="36">
        <f t="shared" si="84"/>
        <v>241090287.75686243</v>
      </c>
      <c r="AD168" s="36">
        <f t="shared" si="84"/>
        <v>269478899.82918757</v>
      </c>
      <c r="AE168" s="36">
        <f t="shared" si="84"/>
        <v>297962782.72890502</v>
      </c>
      <c r="AF168" s="36">
        <f t="shared" si="84"/>
        <v>326523259.59555107</v>
      </c>
      <c r="AG168" s="36">
        <f t="shared" si="84"/>
        <v>355146235.99658859</v>
      </c>
      <c r="AH168" s="36">
        <f t="shared" si="84"/>
        <v>383820875.75789136</v>
      </c>
      <c r="AI168" s="36">
        <f t="shared" si="84"/>
        <v>412538710.87638772</v>
      </c>
      <c r="AJ168" s="36">
        <f t="shared" si="84"/>
        <v>441293028.10042137</v>
      </c>
      <c r="AK168" s="36">
        <f t="shared" si="84"/>
        <v>470078436.78938812</v>
      </c>
      <c r="AL168" s="36">
        <f t="shared" si="84"/>
        <v>498890558.48575866</v>
      </c>
      <c r="AM168" s="36">
        <f t="shared" si="84"/>
        <v>527725799.99899304</v>
      </c>
      <c r="AN168" s="36">
        <f t="shared" si="84"/>
        <v>556581184.91519308</v>
      </c>
      <c r="AO168" s="36">
        <f t="shared" si="84"/>
        <v>585454226.70413113</v>
      </c>
      <c r="AP168" s="36">
        <f t="shared" si="84"/>
        <v>614342831.91587293</v>
      </c>
      <c r="AQ168" s="36">
        <f t="shared" si="84"/>
        <v>643245225.4592818</v>
      </c>
      <c r="AR168" s="36">
        <f t="shared" si="84"/>
        <v>672159892.30100799</v>
      </c>
      <c r="AS168" s="36">
        <f t="shared" si="84"/>
        <v>701085531.52379715</v>
      </c>
      <c r="AT168" s="36">
        <f t="shared" si="84"/>
        <v>730021019.79167891</v>
      </c>
      <c r="AU168" s="36">
        <f t="shared" si="84"/>
        <v>758965382.0490526</v>
      </c>
      <c r="AV168" s="36">
        <f t="shared" si="84"/>
        <v>787917767.83601522</v>
      </c>
      <c r="AW168" s="36">
        <f t="shared" si="84"/>
        <v>816877432.00291085</v>
      </c>
      <c r="AX168" s="36">
        <f t="shared" si="84"/>
        <v>845843718.89941585</v>
      </c>
    </row>
    <row r="170" spans="3:54" s="43" customFormat="1">
      <c r="C170" s="43" t="str">
        <f>"Selected PV scenario: "&amp;Dashboard!$D$6</f>
        <v>Selected PV scenario: High Electrification</v>
      </c>
      <c r="O170" s="71"/>
      <c r="P170" s="71"/>
      <c r="Q170" s="71"/>
      <c r="R170" s="71"/>
      <c r="S170" s="71"/>
      <c r="T170" s="71"/>
      <c r="U170" s="71"/>
      <c r="V170" s="71"/>
      <c r="W170" s="71"/>
      <c r="X170" s="71"/>
      <c r="Y170" s="71"/>
      <c r="Z170" s="71"/>
      <c r="AA170" s="71"/>
      <c r="AB170" s="71"/>
      <c r="AC170" s="71"/>
      <c r="AD170" s="71"/>
      <c r="AE170" s="71"/>
      <c r="AF170" s="71"/>
      <c r="AG170" s="71"/>
      <c r="AH170" s="71"/>
      <c r="AI170" s="71"/>
      <c r="AJ170" s="71"/>
      <c r="AK170" s="71"/>
      <c r="AL170" s="71"/>
      <c r="AM170" s="71"/>
      <c r="AN170" s="71"/>
      <c r="AO170" s="71"/>
      <c r="AP170" s="71"/>
      <c r="AQ170" s="71"/>
      <c r="AR170" s="71"/>
      <c r="AS170" s="71"/>
      <c r="AT170" s="71"/>
      <c r="AU170" s="71"/>
      <c r="AV170" s="71"/>
      <c r="AW170" s="71"/>
      <c r="AX170" s="71"/>
    </row>
    <row r="172" spans="3:54">
      <c r="D172" t="s">
        <v>661</v>
      </c>
      <c r="E172" t="s">
        <v>626</v>
      </c>
      <c r="G172" s="44"/>
      <c r="I172" s="44"/>
      <c r="K172" s="44"/>
      <c r="M172" s="44"/>
      <c r="O172" s="607">
        <f>IF(Dashboard!$D$6="Baseline",'2.4 PV (by Borough)'!O8,IF(Dashboard!$D$6=INDEX('Scenario names'!$C$3:$C$6,4),'2.4 PV (by Borough)'!O131,IF(Dashboard!$D$6=INDEX('Scenario names'!$C$3:$C$6,1),'2.4 PV (by Borough)'!O90,IF(Dashboard!$D$6=INDEX('Scenario names'!$C$3:$C$6,2),'2.4 PV (by Borough)'!O90,IF(Dashboard!$D$6=INDEX('Scenario names'!$C$3:$C$6,3),'2.4 PV (by Borough)'!O131,"Error")))))</f>
        <v>914757.5093894999</v>
      </c>
      <c r="P172" s="607">
        <f>IF(Dashboard!$D$6="Baseline",'2.4 PV (by Borough)'!P8,IF(Dashboard!$D$6=INDEX('Scenario names'!$C$3:$C$6,4),'2.4 PV (by Borough)'!P131,IF(Dashboard!$D$6=INDEX('Scenario names'!$C$3:$C$6,1),'2.4 PV (by Borough)'!P90,IF(Dashboard!$D$6=INDEX('Scenario names'!$C$3:$C$6,2),'2.4 PV (by Borough)'!P90,IF(Dashboard!$D$6=INDEX('Scenario names'!$C$3:$C$6,3),'2.4 PV (by Borough)'!P131,"Error")))))</f>
        <v>1607182.9567093437</v>
      </c>
      <c r="Q172" s="607">
        <f>IF(Dashboard!$D$6="Baseline",'2.4 PV (by Borough)'!Q8,IF(Dashboard!$D$6=INDEX('Scenario names'!$C$3:$C$6,4),'2.4 PV (by Borough)'!Q131,IF(Dashboard!$D$6=INDEX('Scenario names'!$C$3:$C$6,1),'2.4 PV (by Borough)'!Q90,IF(Dashboard!$D$6=INDEX('Scenario names'!$C$3:$C$6,2),'2.4 PV (by Borough)'!Q90,IF(Dashboard!$D$6=INDEX('Scenario names'!$C$3:$C$6,3),'2.4 PV (by Borough)'!Q131,"Error")))))</f>
        <v>2299608.4040291877</v>
      </c>
      <c r="R172" s="607">
        <f>IF(Dashboard!$D$6="Baseline",'2.4 PV (by Borough)'!R8,IF(Dashboard!$D$6=INDEX('Scenario names'!$C$3:$C$6,4),'2.4 PV (by Borough)'!R131,IF(Dashboard!$D$6=INDEX('Scenario names'!$C$3:$C$6,1),'2.4 PV (by Borough)'!R90,IF(Dashboard!$D$6=INDEX('Scenario names'!$C$3:$C$6,2),'2.4 PV (by Borough)'!R90,IF(Dashboard!$D$6=INDEX('Scenario names'!$C$3:$C$6,3),'2.4 PV (by Borough)'!R131,"Error")))))</f>
        <v>2992033.8513490325</v>
      </c>
      <c r="S172" s="607">
        <f>IF(Dashboard!$D$6="Baseline",'2.4 PV (by Borough)'!S8,IF(Dashboard!$D$6=INDEX('Scenario names'!$C$3:$C$6,4),'2.4 PV (by Borough)'!S131,IF(Dashboard!$D$6=INDEX('Scenario names'!$C$3:$C$6,1),'2.4 PV (by Borough)'!S90,IF(Dashboard!$D$6=INDEX('Scenario names'!$C$3:$C$6,2),'2.4 PV (by Borough)'!S90,IF(Dashboard!$D$6=INDEX('Scenario names'!$C$3:$C$6,3),'2.4 PV (by Borough)'!S131,"Error")))))</f>
        <v>3684459.2986688768</v>
      </c>
      <c r="T172" s="607">
        <f>IF(Dashboard!$D$6="Baseline",'2.4 PV (by Borough)'!T8,IF(Dashboard!$D$6=INDEX('Scenario names'!$C$3:$C$6,4),'2.4 PV (by Borough)'!T131,IF(Dashboard!$D$6=INDEX('Scenario names'!$C$3:$C$6,1),'2.4 PV (by Borough)'!T90,IF(Dashboard!$D$6=INDEX('Scenario names'!$C$3:$C$6,2),'2.4 PV (by Borough)'!T90,IF(Dashboard!$D$6=INDEX('Scenario names'!$C$3:$C$6,3),'2.4 PV (by Borough)'!T131,"Error")))))</f>
        <v>4376884.7459887201</v>
      </c>
      <c r="U172" s="607">
        <f>IF(Dashboard!$D$6="Baseline",'2.4 PV (by Borough)'!U8,IF(Dashboard!$D$6=INDEX('Scenario names'!$C$3:$C$6,4),'2.4 PV (by Borough)'!U131,IF(Dashboard!$D$6=INDEX('Scenario names'!$C$3:$C$6,1),'2.4 PV (by Borough)'!U90,IF(Dashboard!$D$6=INDEX('Scenario names'!$C$3:$C$6,2),'2.4 PV (by Borough)'!U90,IF(Dashboard!$D$6=INDEX('Scenario names'!$C$3:$C$6,3),'2.4 PV (by Borough)'!U131,"Error")))))</f>
        <v>5069310.1933085648</v>
      </c>
      <c r="V172" s="607">
        <f>IF(Dashboard!$D$6="Baseline",'2.4 PV (by Borough)'!V8,IF(Dashboard!$D$6=INDEX('Scenario names'!$C$3:$C$6,4),'2.4 PV (by Borough)'!V131,IF(Dashboard!$D$6=INDEX('Scenario names'!$C$3:$C$6,1),'2.4 PV (by Borough)'!V90,IF(Dashboard!$D$6=INDEX('Scenario names'!$C$3:$C$6,2),'2.4 PV (by Borough)'!V90,IF(Dashboard!$D$6=INDEX('Scenario names'!$C$3:$C$6,3),'2.4 PV (by Borough)'!V131,"Error")))))</f>
        <v>5761735.6406284068</v>
      </c>
      <c r="W172" s="607">
        <f>IF(Dashboard!$D$6="Baseline",'2.4 PV (by Borough)'!W8,IF(Dashboard!$D$6=INDEX('Scenario names'!$C$3:$C$6,4),'2.4 PV (by Borough)'!W131,IF(Dashboard!$D$6=INDEX('Scenario names'!$C$3:$C$6,1),'2.4 PV (by Borough)'!W90,IF(Dashboard!$D$6=INDEX('Scenario names'!$C$3:$C$6,2),'2.4 PV (by Borough)'!W90,IF(Dashboard!$D$6=INDEX('Scenario names'!$C$3:$C$6,3),'2.4 PV (by Borough)'!W131,"Error")))))</f>
        <v>6454161.0879482515</v>
      </c>
      <c r="X172" s="607">
        <f>IF(Dashboard!$D$6="Baseline",'2.4 PV (by Borough)'!X8,IF(Dashboard!$D$6=INDEX('Scenario names'!$C$3:$C$6,4),'2.4 PV (by Borough)'!X131,IF(Dashboard!$D$6=INDEX('Scenario names'!$C$3:$C$6,1),'2.4 PV (by Borough)'!X90,IF(Dashboard!$D$6=INDEX('Scenario names'!$C$3:$C$6,2),'2.4 PV (by Borough)'!X90,IF(Dashboard!$D$6=INDEX('Scenario names'!$C$3:$C$6,3),'2.4 PV (by Borough)'!X131,"Error")))))</f>
        <v>7146586.5352680963</v>
      </c>
      <c r="Y172" s="607">
        <f>IF(Dashboard!$D$6="Baseline",'2.4 PV (by Borough)'!Y8,IF(Dashboard!$D$6=INDEX('Scenario names'!$C$3:$C$6,4),'2.4 PV (by Borough)'!Y131,IF(Dashboard!$D$6=INDEX('Scenario names'!$C$3:$C$6,1),'2.4 PV (by Borough)'!Y90,IF(Dashboard!$D$6=INDEX('Scenario names'!$C$3:$C$6,2),'2.4 PV (by Borough)'!Y90,IF(Dashboard!$D$6=INDEX('Scenario names'!$C$3:$C$6,3),'2.4 PV (by Borough)'!Y131,"Error")))))</f>
        <v>7839011.9825879391</v>
      </c>
      <c r="Z172" s="607">
        <f>IF(Dashboard!$D$6="Baseline",'2.4 PV (by Borough)'!Z8,IF(Dashboard!$D$6=INDEX('Scenario names'!$C$3:$C$6,4),'2.4 PV (by Borough)'!Z131,IF(Dashboard!$D$6=INDEX('Scenario names'!$C$3:$C$6,1),'2.4 PV (by Borough)'!Z90,IF(Dashboard!$D$6=INDEX('Scenario names'!$C$3:$C$6,2),'2.4 PV (by Borough)'!Z90,IF(Dashboard!$D$6=INDEX('Scenario names'!$C$3:$C$6,3),'2.4 PV (by Borough)'!Z131,"Error")))))</f>
        <v>8830215.7128012795</v>
      </c>
      <c r="AA172" s="607">
        <f>IF(Dashboard!$D$6="Baseline",'2.4 PV (by Borough)'!AA8,IF(Dashboard!$D$6=INDEX('Scenario names'!$C$3:$C$6,4),'2.4 PV (by Borough)'!AA131,IF(Dashboard!$D$6=INDEX('Scenario names'!$C$3:$C$6,1),'2.4 PV (by Borough)'!AA90,IF(Dashboard!$D$6=INDEX('Scenario names'!$C$3:$C$6,2),'2.4 PV (by Borough)'!AA90,IF(Dashboard!$D$6=INDEX('Scenario names'!$C$3:$C$6,3),'2.4 PV (by Borough)'!AA131,"Error")))))</f>
        <v>9821419.4430146199</v>
      </c>
      <c r="AB172" s="607">
        <f>IF(Dashboard!$D$6="Baseline",'2.4 PV (by Borough)'!AB8,IF(Dashboard!$D$6=INDEX('Scenario names'!$C$3:$C$6,4),'2.4 PV (by Borough)'!AB131,IF(Dashboard!$D$6=INDEX('Scenario names'!$C$3:$C$6,1),'2.4 PV (by Borough)'!AB90,IF(Dashboard!$D$6=INDEX('Scenario names'!$C$3:$C$6,2),'2.4 PV (by Borough)'!AB90,IF(Dashboard!$D$6=INDEX('Scenario names'!$C$3:$C$6,3),'2.4 PV (by Borough)'!AB131,"Error")))))</f>
        <v>10812623.173227962</v>
      </c>
      <c r="AC172" s="607">
        <f>IF(Dashboard!$D$6="Baseline",'2.4 PV (by Borough)'!AC8,IF(Dashboard!$D$6=INDEX('Scenario names'!$C$3:$C$6,4),'2.4 PV (by Borough)'!AC131,IF(Dashboard!$D$6=INDEX('Scenario names'!$C$3:$C$6,1),'2.4 PV (by Borough)'!AC90,IF(Dashboard!$D$6=INDEX('Scenario names'!$C$3:$C$6,2),'2.4 PV (by Borough)'!AC90,IF(Dashboard!$D$6=INDEX('Scenario names'!$C$3:$C$6,3),'2.4 PV (by Borough)'!AC131,"Error")))))</f>
        <v>11803826.903441302</v>
      </c>
      <c r="AD172" s="607">
        <f>IF(Dashboard!$D$6="Baseline",'2.4 PV (by Borough)'!AD8,IF(Dashboard!$D$6=INDEX('Scenario names'!$C$3:$C$6,4),'2.4 PV (by Borough)'!AD131,IF(Dashboard!$D$6=INDEX('Scenario names'!$C$3:$C$6,1),'2.4 PV (by Borough)'!AD90,IF(Dashboard!$D$6=INDEX('Scenario names'!$C$3:$C$6,2),'2.4 PV (by Borough)'!AD90,IF(Dashboard!$D$6=INDEX('Scenario names'!$C$3:$C$6,3),'2.4 PV (by Borough)'!AD131,"Error")))))</f>
        <v>12795030.633654645</v>
      </c>
      <c r="AE172" s="607">
        <f>IF(Dashboard!$D$6="Baseline",'2.4 PV (by Borough)'!AE8,IF(Dashboard!$D$6=INDEX('Scenario names'!$C$3:$C$6,4),'2.4 PV (by Borough)'!AE131,IF(Dashboard!$D$6=INDEX('Scenario names'!$C$3:$C$6,1),'2.4 PV (by Borough)'!AE90,IF(Dashboard!$D$6=INDEX('Scenario names'!$C$3:$C$6,2),'2.4 PV (by Borough)'!AE90,IF(Dashboard!$D$6=INDEX('Scenario names'!$C$3:$C$6,3),'2.4 PV (by Borough)'!AE131,"Error")))))</f>
        <v>13786234.363867981</v>
      </c>
      <c r="AF172" s="607">
        <f>IF(Dashboard!$D$6="Baseline",'2.4 PV (by Borough)'!AF8,IF(Dashboard!$D$6=INDEX('Scenario names'!$C$3:$C$6,4),'2.4 PV (by Borough)'!AF131,IF(Dashboard!$D$6=INDEX('Scenario names'!$C$3:$C$6,1),'2.4 PV (by Borough)'!AF90,IF(Dashboard!$D$6=INDEX('Scenario names'!$C$3:$C$6,2),'2.4 PV (by Borough)'!AF90,IF(Dashboard!$D$6=INDEX('Scenario names'!$C$3:$C$6,3),'2.4 PV (by Borough)'!AF131,"Error")))))</f>
        <v>14777438.094081322</v>
      </c>
      <c r="AG172" s="607">
        <f>IF(Dashboard!$D$6="Baseline",'2.4 PV (by Borough)'!AG8,IF(Dashboard!$D$6=INDEX('Scenario names'!$C$3:$C$6,4),'2.4 PV (by Borough)'!AG131,IF(Dashboard!$D$6=INDEX('Scenario names'!$C$3:$C$6,1),'2.4 PV (by Borough)'!AG90,IF(Dashboard!$D$6=INDEX('Scenario names'!$C$3:$C$6,2),'2.4 PV (by Borough)'!AG90,IF(Dashboard!$D$6=INDEX('Scenario names'!$C$3:$C$6,3),'2.4 PV (by Borough)'!AG131,"Error")))))</f>
        <v>15768641.824294664</v>
      </c>
      <c r="AH172" s="607">
        <f>IF(Dashboard!$D$6="Baseline",'2.4 PV (by Borough)'!AH8,IF(Dashboard!$D$6=INDEX('Scenario names'!$C$3:$C$6,4),'2.4 PV (by Borough)'!AH131,IF(Dashboard!$D$6=INDEX('Scenario names'!$C$3:$C$6,1),'2.4 PV (by Borough)'!AH90,IF(Dashboard!$D$6=INDEX('Scenario names'!$C$3:$C$6,2),'2.4 PV (by Borough)'!AH90,IF(Dashboard!$D$6=INDEX('Scenario names'!$C$3:$C$6,3),'2.4 PV (by Borough)'!AH131,"Error")))))</f>
        <v>16759845.554508006</v>
      </c>
      <c r="AI172" s="607">
        <f>IF(Dashboard!$D$6="Baseline",'2.4 PV (by Borough)'!AI8,IF(Dashboard!$D$6=INDEX('Scenario names'!$C$3:$C$6,4),'2.4 PV (by Borough)'!AI131,IF(Dashboard!$D$6=INDEX('Scenario names'!$C$3:$C$6,1),'2.4 PV (by Borough)'!AI90,IF(Dashboard!$D$6=INDEX('Scenario names'!$C$3:$C$6,2),'2.4 PV (by Borough)'!AI90,IF(Dashboard!$D$6=INDEX('Scenario names'!$C$3:$C$6,3),'2.4 PV (by Borough)'!AI131,"Error")))))</f>
        <v>17751049.284721348</v>
      </c>
      <c r="AJ172" s="607">
        <f>IF(Dashboard!$D$6="Baseline",'2.4 PV (by Borough)'!AJ8,IF(Dashboard!$D$6=INDEX('Scenario names'!$C$3:$C$6,4),'2.4 PV (by Borough)'!AJ131,IF(Dashboard!$D$6=INDEX('Scenario names'!$C$3:$C$6,1),'2.4 PV (by Borough)'!AJ90,IF(Dashboard!$D$6=INDEX('Scenario names'!$C$3:$C$6,2),'2.4 PV (by Borough)'!AJ90,IF(Dashboard!$D$6=INDEX('Scenario names'!$C$3:$C$6,3),'2.4 PV (by Borough)'!AJ131,"Error")))))</f>
        <v>18742253.014934689</v>
      </c>
      <c r="AK172" s="607">
        <f>IF(Dashboard!$D$6="Baseline",'2.4 PV (by Borough)'!AK8,IF(Dashboard!$D$6=INDEX('Scenario names'!$C$3:$C$6,4),'2.4 PV (by Borough)'!AK131,IF(Dashboard!$D$6=INDEX('Scenario names'!$C$3:$C$6,1),'2.4 PV (by Borough)'!AK90,IF(Dashboard!$D$6=INDEX('Scenario names'!$C$3:$C$6,2),'2.4 PV (by Borough)'!AK90,IF(Dashboard!$D$6=INDEX('Scenario names'!$C$3:$C$6,3),'2.4 PV (by Borough)'!AK131,"Error")))))</f>
        <v>19733456.745148029</v>
      </c>
      <c r="AL172" s="607">
        <f>IF(Dashboard!$D$6="Baseline",'2.4 PV (by Borough)'!AL8,IF(Dashboard!$D$6=INDEX('Scenario names'!$C$3:$C$6,4),'2.4 PV (by Borough)'!AL131,IF(Dashboard!$D$6=INDEX('Scenario names'!$C$3:$C$6,1),'2.4 PV (by Borough)'!AL90,IF(Dashboard!$D$6=INDEX('Scenario names'!$C$3:$C$6,2),'2.4 PV (by Borough)'!AL90,IF(Dashboard!$D$6=INDEX('Scenario names'!$C$3:$C$6,3),'2.4 PV (by Borough)'!AL131,"Error")))))</f>
        <v>20724660.47536137</v>
      </c>
      <c r="AM172" s="607">
        <f>IF(Dashboard!$D$6="Baseline",'2.4 PV (by Borough)'!AM8,IF(Dashboard!$D$6=INDEX('Scenario names'!$C$3:$C$6,4),'2.4 PV (by Borough)'!AM131,IF(Dashboard!$D$6=INDEX('Scenario names'!$C$3:$C$6,1),'2.4 PV (by Borough)'!AM90,IF(Dashboard!$D$6=INDEX('Scenario names'!$C$3:$C$6,2),'2.4 PV (by Borough)'!AM90,IF(Dashboard!$D$6=INDEX('Scenario names'!$C$3:$C$6,3),'2.4 PV (by Borough)'!AM131,"Error")))))</f>
        <v>21715864.205574702</v>
      </c>
      <c r="AN172" s="607">
        <f>IF(Dashboard!$D$6="Baseline",'2.4 PV (by Borough)'!AN8,IF(Dashboard!$D$6=INDEX('Scenario names'!$C$3:$C$6,4),'2.4 PV (by Borough)'!AN131,IF(Dashboard!$D$6=INDEX('Scenario names'!$C$3:$C$6,1),'2.4 PV (by Borough)'!AN90,IF(Dashboard!$D$6=INDEX('Scenario names'!$C$3:$C$6,2),'2.4 PV (by Borough)'!AN90,IF(Dashboard!$D$6=INDEX('Scenario names'!$C$3:$C$6,3),'2.4 PV (by Borough)'!AN131,"Error")))))</f>
        <v>22707067.935788047</v>
      </c>
      <c r="AO172" s="607">
        <f>IF(Dashboard!$D$6="Baseline",'2.4 PV (by Borough)'!AO8,IF(Dashboard!$D$6=INDEX('Scenario names'!$C$3:$C$6,4),'2.4 PV (by Borough)'!AO131,IF(Dashboard!$D$6=INDEX('Scenario names'!$C$3:$C$6,1),'2.4 PV (by Borough)'!AO90,IF(Dashboard!$D$6=INDEX('Scenario names'!$C$3:$C$6,2),'2.4 PV (by Borough)'!AO90,IF(Dashboard!$D$6=INDEX('Scenario names'!$C$3:$C$6,3),'2.4 PV (by Borough)'!AO131,"Error")))))</f>
        <v>23698271.666001387</v>
      </c>
      <c r="AP172" s="607">
        <f>IF(Dashboard!$D$6="Baseline",'2.4 PV (by Borough)'!AP8,IF(Dashboard!$D$6=INDEX('Scenario names'!$C$3:$C$6,4),'2.4 PV (by Borough)'!AP131,IF(Dashboard!$D$6=INDEX('Scenario names'!$C$3:$C$6,1),'2.4 PV (by Borough)'!AP90,IF(Dashboard!$D$6=INDEX('Scenario names'!$C$3:$C$6,2),'2.4 PV (by Borough)'!AP90,IF(Dashboard!$D$6=INDEX('Scenario names'!$C$3:$C$6,3),'2.4 PV (by Borough)'!AP131,"Error")))))</f>
        <v>24689475.396214727</v>
      </c>
      <c r="AQ172" s="607">
        <f>IF(Dashboard!$D$6="Baseline",'2.4 PV (by Borough)'!AQ8,IF(Dashboard!$D$6=INDEX('Scenario names'!$C$3:$C$6,4),'2.4 PV (by Borough)'!AQ131,IF(Dashboard!$D$6=INDEX('Scenario names'!$C$3:$C$6,1),'2.4 PV (by Borough)'!AQ90,IF(Dashboard!$D$6=INDEX('Scenario names'!$C$3:$C$6,2),'2.4 PV (by Borough)'!AQ90,IF(Dashboard!$D$6=INDEX('Scenario names'!$C$3:$C$6,3),'2.4 PV (by Borough)'!AQ131,"Error")))))</f>
        <v>25680679.126428071</v>
      </c>
      <c r="AR172" s="607">
        <f>IF(Dashboard!$D$6="Baseline",'2.4 PV (by Borough)'!AR8,IF(Dashboard!$D$6=INDEX('Scenario names'!$C$3:$C$6,4),'2.4 PV (by Borough)'!AR131,IF(Dashboard!$D$6=INDEX('Scenario names'!$C$3:$C$6,1),'2.4 PV (by Borough)'!AR90,IF(Dashboard!$D$6=INDEX('Scenario names'!$C$3:$C$6,2),'2.4 PV (by Borough)'!AR90,IF(Dashboard!$D$6=INDEX('Scenario names'!$C$3:$C$6,3),'2.4 PV (by Borough)'!AR131,"Error")))))</f>
        <v>26671882.856641408</v>
      </c>
      <c r="AS172" s="607">
        <f>IF(Dashboard!$D$6="Baseline",'2.4 PV (by Borough)'!AS8,IF(Dashboard!$D$6=INDEX('Scenario names'!$C$3:$C$6,4),'2.4 PV (by Borough)'!AS131,IF(Dashboard!$D$6=INDEX('Scenario names'!$C$3:$C$6,1),'2.4 PV (by Borough)'!AS90,IF(Dashboard!$D$6=INDEX('Scenario names'!$C$3:$C$6,2),'2.4 PV (by Borough)'!AS90,IF(Dashboard!$D$6=INDEX('Scenario names'!$C$3:$C$6,3),'2.4 PV (by Borough)'!AS131,"Error")))))</f>
        <v>27663086.586854745</v>
      </c>
      <c r="AT172" s="607">
        <f>IF(Dashboard!$D$6="Baseline",'2.4 PV (by Borough)'!AT8,IF(Dashboard!$D$6=INDEX('Scenario names'!$C$3:$C$6,4),'2.4 PV (by Borough)'!AT131,IF(Dashboard!$D$6=INDEX('Scenario names'!$C$3:$C$6,1),'2.4 PV (by Borough)'!AT90,IF(Dashboard!$D$6=INDEX('Scenario names'!$C$3:$C$6,2),'2.4 PV (by Borough)'!AT90,IF(Dashboard!$D$6=INDEX('Scenario names'!$C$3:$C$6,3),'2.4 PV (by Borough)'!AT131,"Error")))))</f>
        <v>28654290.317068089</v>
      </c>
      <c r="AU172" s="607">
        <f>IF(Dashboard!$D$6="Baseline",'2.4 PV (by Borough)'!AU8,IF(Dashboard!$D$6=INDEX('Scenario names'!$C$3:$C$6,4),'2.4 PV (by Borough)'!AU131,IF(Dashboard!$D$6=INDEX('Scenario names'!$C$3:$C$6,1),'2.4 PV (by Borough)'!AU90,IF(Dashboard!$D$6=INDEX('Scenario names'!$C$3:$C$6,2),'2.4 PV (by Borough)'!AU90,IF(Dashboard!$D$6=INDEX('Scenario names'!$C$3:$C$6,3),'2.4 PV (by Borough)'!AU131,"Error")))))</f>
        <v>29645494.047281433</v>
      </c>
      <c r="AV172" s="607">
        <f>IF(Dashboard!$D$6="Baseline",'2.4 PV (by Borough)'!AV8,IF(Dashboard!$D$6=INDEX('Scenario names'!$C$3:$C$6,4),'2.4 PV (by Borough)'!AV131,IF(Dashboard!$D$6=INDEX('Scenario names'!$C$3:$C$6,1),'2.4 PV (by Borough)'!AV90,IF(Dashboard!$D$6=INDEX('Scenario names'!$C$3:$C$6,2),'2.4 PV (by Borough)'!AV90,IF(Dashboard!$D$6=INDEX('Scenario names'!$C$3:$C$6,3),'2.4 PV (by Borough)'!AV131,"Error")))))</f>
        <v>30636697.777494781</v>
      </c>
      <c r="AW172" s="607">
        <f>IF(Dashboard!$D$6="Baseline",'2.4 PV (by Borough)'!AW8,IF(Dashboard!$D$6=INDEX('Scenario names'!$C$3:$C$6,4),'2.4 PV (by Borough)'!AW131,IF(Dashboard!$D$6=INDEX('Scenario names'!$C$3:$C$6,1),'2.4 PV (by Borough)'!AW90,IF(Dashboard!$D$6=INDEX('Scenario names'!$C$3:$C$6,2),'2.4 PV (by Borough)'!AW90,IF(Dashboard!$D$6=INDEX('Scenario names'!$C$3:$C$6,3),'2.4 PV (by Borough)'!AW131,"Error")))))</f>
        <v>31627901.507708114</v>
      </c>
      <c r="AX172" s="607">
        <f>IF(Dashboard!$D$6="Baseline",'2.4 PV (by Borough)'!AX8,IF(Dashboard!$D$6=INDEX('Scenario names'!$C$3:$C$6,4),'2.4 PV (by Borough)'!AX131,IF(Dashboard!$D$6=INDEX('Scenario names'!$C$3:$C$6,1),'2.4 PV (by Borough)'!AX90,IF(Dashboard!$D$6=INDEX('Scenario names'!$C$3:$C$6,2),'2.4 PV (by Borough)'!AX90,IF(Dashboard!$D$6=INDEX('Scenario names'!$C$3:$C$6,3),'2.4 PV (by Borough)'!AX131,"Error")))))</f>
        <v>32619105.237921447</v>
      </c>
      <c r="AY172" s="36"/>
      <c r="AZ172" s="36"/>
      <c r="BA172" s="36"/>
      <c r="BB172" s="36"/>
    </row>
    <row r="173" spans="3:54">
      <c r="D173" t="s">
        <v>661</v>
      </c>
      <c r="E173" t="s">
        <v>627</v>
      </c>
      <c r="G173" s="44"/>
      <c r="I173" s="44"/>
      <c r="K173" s="44"/>
      <c r="M173" s="44"/>
      <c r="O173" s="607">
        <f>IF(Dashboard!$D$6="Baseline",'2.4 PV (by Borough)'!O9,IF(Dashboard!$D$6=INDEX('Scenario names'!$C$3:$C$6,4),'2.4 PV (by Borough)'!O132,IF(Dashboard!$D$6=INDEX('Scenario names'!$C$3:$C$6,1),'2.4 PV (by Borough)'!O91,IF(Dashboard!$D$6=INDEX('Scenario names'!$C$3:$C$6,2),'2.4 PV (by Borough)'!O91,IF(Dashboard!$D$6=INDEX('Scenario names'!$C$3:$C$6,3),'2.4 PV (by Borough)'!O132,"Error")))))</f>
        <v>2644372.5341043943</v>
      </c>
      <c r="P173" s="607">
        <f>IF(Dashboard!$D$6="Baseline",'2.4 PV (by Borough)'!P9,IF(Dashboard!$D$6=INDEX('Scenario names'!$C$3:$C$6,4),'2.4 PV (by Borough)'!P132,IF(Dashboard!$D$6=INDEX('Scenario names'!$C$3:$C$6,1),'2.4 PV (by Borough)'!P91,IF(Dashboard!$D$6=INDEX('Scenario names'!$C$3:$C$6,2),'2.4 PV (by Borough)'!P91,IF(Dashboard!$D$6=INDEX('Scenario names'!$C$3:$C$6,3),'2.4 PV (by Borough)'!P132,"Error")))))</f>
        <v>4636503.778645711</v>
      </c>
      <c r="Q173" s="607">
        <f>IF(Dashboard!$D$6="Baseline",'2.4 PV (by Borough)'!Q9,IF(Dashboard!$D$6=INDEX('Scenario names'!$C$3:$C$6,4),'2.4 PV (by Borough)'!Q132,IF(Dashboard!$D$6=INDEX('Scenario names'!$C$3:$C$6,1),'2.4 PV (by Borough)'!Q91,IF(Dashboard!$D$6=INDEX('Scenario names'!$C$3:$C$6,2),'2.4 PV (by Borough)'!Q91,IF(Dashboard!$D$6=INDEX('Scenario names'!$C$3:$C$6,3),'2.4 PV (by Borough)'!Q132,"Error")))))</f>
        <v>6628635.0231870264</v>
      </c>
      <c r="R173" s="607">
        <f>IF(Dashboard!$D$6="Baseline",'2.4 PV (by Borough)'!R9,IF(Dashboard!$D$6=INDEX('Scenario names'!$C$3:$C$6,4),'2.4 PV (by Borough)'!R132,IF(Dashboard!$D$6=INDEX('Scenario names'!$C$3:$C$6,1),'2.4 PV (by Borough)'!R91,IF(Dashboard!$D$6=INDEX('Scenario names'!$C$3:$C$6,2),'2.4 PV (by Borough)'!R91,IF(Dashboard!$D$6=INDEX('Scenario names'!$C$3:$C$6,3),'2.4 PV (by Borough)'!R132,"Error")))))</f>
        <v>8620766.2677283455</v>
      </c>
      <c r="S173" s="607">
        <f>IF(Dashboard!$D$6="Baseline",'2.4 PV (by Borough)'!S9,IF(Dashboard!$D$6=INDEX('Scenario names'!$C$3:$C$6,4),'2.4 PV (by Borough)'!S132,IF(Dashboard!$D$6=INDEX('Scenario names'!$C$3:$C$6,1),'2.4 PV (by Borough)'!S91,IF(Dashboard!$D$6=INDEX('Scenario names'!$C$3:$C$6,2),'2.4 PV (by Borough)'!S91,IF(Dashboard!$D$6=INDEX('Scenario names'!$C$3:$C$6,3),'2.4 PV (by Borough)'!S132,"Error")))))</f>
        <v>10612897.512269659</v>
      </c>
      <c r="T173" s="607">
        <f>IF(Dashboard!$D$6="Baseline",'2.4 PV (by Borough)'!T9,IF(Dashboard!$D$6=INDEX('Scenario names'!$C$3:$C$6,4),'2.4 PV (by Borough)'!T132,IF(Dashboard!$D$6=INDEX('Scenario names'!$C$3:$C$6,1),'2.4 PV (by Borough)'!T91,IF(Dashboard!$D$6=INDEX('Scenario names'!$C$3:$C$6,2),'2.4 PV (by Borough)'!T91,IF(Dashboard!$D$6=INDEX('Scenario names'!$C$3:$C$6,3),'2.4 PV (by Borough)'!T132,"Error")))))</f>
        <v>12605028.756810978</v>
      </c>
      <c r="U173" s="607">
        <f>IF(Dashboard!$D$6="Baseline",'2.4 PV (by Borough)'!U9,IF(Dashboard!$D$6=INDEX('Scenario names'!$C$3:$C$6,4),'2.4 PV (by Borough)'!U132,IF(Dashboard!$D$6=INDEX('Scenario names'!$C$3:$C$6,1),'2.4 PV (by Borough)'!U91,IF(Dashboard!$D$6=INDEX('Scenario names'!$C$3:$C$6,2),'2.4 PV (by Borough)'!U91,IF(Dashboard!$D$6=INDEX('Scenario names'!$C$3:$C$6,3),'2.4 PV (by Borough)'!U132,"Error")))))</f>
        <v>14597160.001352293</v>
      </c>
      <c r="V173" s="607">
        <f>IF(Dashboard!$D$6="Baseline",'2.4 PV (by Borough)'!V9,IF(Dashboard!$D$6=INDEX('Scenario names'!$C$3:$C$6,4),'2.4 PV (by Borough)'!V132,IF(Dashboard!$D$6=INDEX('Scenario names'!$C$3:$C$6,1),'2.4 PV (by Borough)'!V91,IF(Dashboard!$D$6=INDEX('Scenario names'!$C$3:$C$6,2),'2.4 PV (by Borough)'!V91,IF(Dashboard!$D$6=INDEX('Scenario names'!$C$3:$C$6,3),'2.4 PV (by Borough)'!V132,"Error")))))</f>
        <v>16589291.245893614</v>
      </c>
      <c r="W173" s="607">
        <f>IF(Dashboard!$D$6="Baseline",'2.4 PV (by Borough)'!W9,IF(Dashboard!$D$6=INDEX('Scenario names'!$C$3:$C$6,4),'2.4 PV (by Borough)'!W132,IF(Dashboard!$D$6=INDEX('Scenario names'!$C$3:$C$6,1),'2.4 PV (by Borough)'!W91,IF(Dashboard!$D$6=INDEX('Scenario names'!$C$3:$C$6,2),'2.4 PV (by Borough)'!W91,IF(Dashboard!$D$6=INDEX('Scenario names'!$C$3:$C$6,3),'2.4 PV (by Borough)'!W132,"Error")))))</f>
        <v>18581422.490434926</v>
      </c>
      <c r="X173" s="607">
        <f>IF(Dashboard!$D$6="Baseline",'2.4 PV (by Borough)'!X9,IF(Dashboard!$D$6=INDEX('Scenario names'!$C$3:$C$6,4),'2.4 PV (by Borough)'!X132,IF(Dashboard!$D$6=INDEX('Scenario names'!$C$3:$C$6,1),'2.4 PV (by Borough)'!X91,IF(Dashboard!$D$6=INDEX('Scenario names'!$C$3:$C$6,2),'2.4 PV (by Borough)'!X91,IF(Dashboard!$D$6=INDEX('Scenario names'!$C$3:$C$6,3),'2.4 PV (by Borough)'!X132,"Error")))))</f>
        <v>20573553.734976247</v>
      </c>
      <c r="Y173" s="607">
        <f>IF(Dashboard!$D$6="Baseline",'2.4 PV (by Borough)'!Y9,IF(Dashboard!$D$6=INDEX('Scenario names'!$C$3:$C$6,4),'2.4 PV (by Borough)'!Y132,IF(Dashboard!$D$6=INDEX('Scenario names'!$C$3:$C$6,1),'2.4 PV (by Borough)'!Y91,IF(Dashboard!$D$6=INDEX('Scenario names'!$C$3:$C$6,2),'2.4 PV (by Borough)'!Y91,IF(Dashboard!$D$6=INDEX('Scenario names'!$C$3:$C$6,3),'2.4 PV (by Borough)'!Y132,"Error")))))</f>
        <v>22565684.979517553</v>
      </c>
      <c r="Z173" s="607">
        <f>IF(Dashboard!$D$6="Baseline",'2.4 PV (by Borough)'!Z9,IF(Dashboard!$D$6=INDEX('Scenario names'!$C$3:$C$6,4),'2.4 PV (by Borough)'!Z132,IF(Dashboard!$D$6=INDEX('Scenario names'!$C$3:$C$6,1),'2.4 PV (by Borough)'!Z91,IF(Dashboard!$D$6=INDEX('Scenario names'!$C$3:$C$6,2),'2.4 PV (by Borough)'!Z91,IF(Dashboard!$D$6=INDEX('Scenario names'!$C$3:$C$6,3),'2.4 PV (by Borough)'!Z132,"Error")))))</f>
        <v>25198865.80115018</v>
      </c>
      <c r="AA173" s="607">
        <f>IF(Dashboard!$D$6="Baseline",'2.4 PV (by Borough)'!AA9,IF(Dashboard!$D$6=INDEX('Scenario names'!$C$3:$C$6,4),'2.4 PV (by Borough)'!AA132,IF(Dashboard!$D$6=INDEX('Scenario names'!$C$3:$C$6,1),'2.4 PV (by Borough)'!AA91,IF(Dashboard!$D$6=INDEX('Scenario names'!$C$3:$C$6,2),'2.4 PV (by Borough)'!AA91,IF(Dashboard!$D$6=INDEX('Scenario names'!$C$3:$C$6,3),'2.4 PV (by Borough)'!AA132,"Error")))))</f>
        <v>27832046.622782793</v>
      </c>
      <c r="AB173" s="607">
        <f>IF(Dashboard!$D$6="Baseline",'2.4 PV (by Borough)'!AB9,IF(Dashboard!$D$6=INDEX('Scenario names'!$C$3:$C$6,4),'2.4 PV (by Borough)'!AB132,IF(Dashboard!$D$6=INDEX('Scenario names'!$C$3:$C$6,1),'2.4 PV (by Borough)'!AB91,IF(Dashboard!$D$6=INDEX('Scenario names'!$C$3:$C$6,2),'2.4 PV (by Borough)'!AB91,IF(Dashboard!$D$6=INDEX('Scenario names'!$C$3:$C$6,3),'2.4 PV (by Borough)'!AB132,"Error")))))</f>
        <v>30465227.444415409</v>
      </c>
      <c r="AC173" s="607">
        <f>IF(Dashboard!$D$6="Baseline",'2.4 PV (by Borough)'!AC9,IF(Dashboard!$D$6=INDEX('Scenario names'!$C$3:$C$6,4),'2.4 PV (by Borough)'!AC132,IF(Dashboard!$D$6=INDEX('Scenario names'!$C$3:$C$6,1),'2.4 PV (by Borough)'!AC91,IF(Dashboard!$D$6=INDEX('Scenario names'!$C$3:$C$6,2),'2.4 PV (by Borough)'!AC91,IF(Dashboard!$D$6=INDEX('Scenario names'!$C$3:$C$6,3),'2.4 PV (by Borough)'!AC132,"Error")))))</f>
        <v>33098408.266048022</v>
      </c>
      <c r="AD173" s="607">
        <f>IF(Dashboard!$D$6="Baseline",'2.4 PV (by Borough)'!AD9,IF(Dashboard!$D$6=INDEX('Scenario names'!$C$3:$C$6,4),'2.4 PV (by Borough)'!AD132,IF(Dashboard!$D$6=INDEX('Scenario names'!$C$3:$C$6,1),'2.4 PV (by Borough)'!AD91,IF(Dashboard!$D$6=INDEX('Scenario names'!$C$3:$C$6,2),'2.4 PV (by Borough)'!AD91,IF(Dashboard!$D$6=INDEX('Scenario names'!$C$3:$C$6,3),'2.4 PV (by Borough)'!AD132,"Error")))))</f>
        <v>35731589.087680645</v>
      </c>
      <c r="AE173" s="607">
        <f>IF(Dashboard!$D$6="Baseline",'2.4 PV (by Borough)'!AE9,IF(Dashboard!$D$6=INDEX('Scenario names'!$C$3:$C$6,4),'2.4 PV (by Borough)'!AE132,IF(Dashboard!$D$6=INDEX('Scenario names'!$C$3:$C$6,1),'2.4 PV (by Borough)'!AE91,IF(Dashboard!$D$6=INDEX('Scenario names'!$C$3:$C$6,2),'2.4 PV (by Borough)'!AE91,IF(Dashboard!$D$6=INDEX('Scenario names'!$C$3:$C$6,3),'2.4 PV (by Borough)'!AE132,"Error")))))</f>
        <v>38364769.909313262</v>
      </c>
      <c r="AF173" s="607">
        <f>IF(Dashboard!$D$6="Baseline",'2.4 PV (by Borough)'!AF9,IF(Dashboard!$D$6=INDEX('Scenario names'!$C$3:$C$6,4),'2.4 PV (by Borough)'!AF132,IF(Dashboard!$D$6=INDEX('Scenario names'!$C$3:$C$6,1),'2.4 PV (by Borough)'!AF91,IF(Dashboard!$D$6=INDEX('Scenario names'!$C$3:$C$6,2),'2.4 PV (by Borough)'!AF91,IF(Dashboard!$D$6=INDEX('Scenario names'!$C$3:$C$6,3),'2.4 PV (by Borough)'!AF132,"Error")))))</f>
        <v>40997950.730945885</v>
      </c>
      <c r="AG173" s="607">
        <f>IF(Dashboard!$D$6="Baseline",'2.4 PV (by Borough)'!AG9,IF(Dashboard!$D$6=INDEX('Scenario names'!$C$3:$C$6,4),'2.4 PV (by Borough)'!AG132,IF(Dashboard!$D$6=INDEX('Scenario names'!$C$3:$C$6,1),'2.4 PV (by Borough)'!AG91,IF(Dashboard!$D$6=INDEX('Scenario names'!$C$3:$C$6,2),'2.4 PV (by Borough)'!AG91,IF(Dashboard!$D$6=INDEX('Scenario names'!$C$3:$C$6,3),'2.4 PV (by Borough)'!AG132,"Error")))))</f>
        <v>43631131.552578494</v>
      </c>
      <c r="AH173" s="607">
        <f>IF(Dashboard!$D$6="Baseline",'2.4 PV (by Borough)'!AH9,IF(Dashboard!$D$6=INDEX('Scenario names'!$C$3:$C$6,4),'2.4 PV (by Borough)'!AH132,IF(Dashboard!$D$6=INDEX('Scenario names'!$C$3:$C$6,1),'2.4 PV (by Borough)'!AH91,IF(Dashboard!$D$6=INDEX('Scenario names'!$C$3:$C$6,2),'2.4 PV (by Borough)'!AH91,IF(Dashboard!$D$6=INDEX('Scenario names'!$C$3:$C$6,3),'2.4 PV (by Borough)'!AH132,"Error")))))</f>
        <v>46264312.374211118</v>
      </c>
      <c r="AI173" s="607">
        <f>IF(Dashboard!$D$6="Baseline",'2.4 PV (by Borough)'!AI9,IF(Dashboard!$D$6=INDEX('Scenario names'!$C$3:$C$6,4),'2.4 PV (by Borough)'!AI132,IF(Dashboard!$D$6=INDEX('Scenario names'!$C$3:$C$6,1),'2.4 PV (by Borough)'!AI91,IF(Dashboard!$D$6=INDEX('Scenario names'!$C$3:$C$6,2),'2.4 PV (by Borough)'!AI91,IF(Dashboard!$D$6=INDEX('Scenario names'!$C$3:$C$6,3),'2.4 PV (by Borough)'!AI132,"Error")))))</f>
        <v>48897493.195843719</v>
      </c>
      <c r="AJ173" s="607">
        <f>IF(Dashboard!$D$6="Baseline",'2.4 PV (by Borough)'!AJ9,IF(Dashboard!$D$6=INDEX('Scenario names'!$C$3:$C$6,4),'2.4 PV (by Borough)'!AJ132,IF(Dashboard!$D$6=INDEX('Scenario names'!$C$3:$C$6,1),'2.4 PV (by Borough)'!AJ91,IF(Dashboard!$D$6=INDEX('Scenario names'!$C$3:$C$6,2),'2.4 PV (by Borough)'!AJ91,IF(Dashboard!$D$6=INDEX('Scenario names'!$C$3:$C$6,3),'2.4 PV (by Borough)'!AJ132,"Error")))))</f>
        <v>51530674.017476343</v>
      </c>
      <c r="AK173" s="607">
        <f>IF(Dashboard!$D$6="Baseline",'2.4 PV (by Borough)'!AK9,IF(Dashboard!$D$6=INDEX('Scenario names'!$C$3:$C$6,4),'2.4 PV (by Borough)'!AK132,IF(Dashboard!$D$6=INDEX('Scenario names'!$C$3:$C$6,1),'2.4 PV (by Borough)'!AK91,IF(Dashboard!$D$6=INDEX('Scenario names'!$C$3:$C$6,2),'2.4 PV (by Borough)'!AK91,IF(Dashboard!$D$6=INDEX('Scenario names'!$C$3:$C$6,3),'2.4 PV (by Borough)'!AK132,"Error")))))</f>
        <v>54163854.839108951</v>
      </c>
      <c r="AL173" s="607">
        <f>IF(Dashboard!$D$6="Baseline",'2.4 PV (by Borough)'!AL9,IF(Dashboard!$D$6=INDEX('Scenario names'!$C$3:$C$6,4),'2.4 PV (by Borough)'!AL132,IF(Dashboard!$D$6=INDEX('Scenario names'!$C$3:$C$6,1),'2.4 PV (by Borough)'!AL91,IF(Dashboard!$D$6=INDEX('Scenario names'!$C$3:$C$6,2),'2.4 PV (by Borough)'!AL91,IF(Dashboard!$D$6=INDEX('Scenario names'!$C$3:$C$6,3),'2.4 PV (by Borough)'!AL132,"Error")))))</f>
        <v>56797035.660741583</v>
      </c>
      <c r="AM173" s="607">
        <f>IF(Dashboard!$D$6="Baseline",'2.4 PV (by Borough)'!AM9,IF(Dashboard!$D$6=INDEX('Scenario names'!$C$3:$C$6,4),'2.4 PV (by Borough)'!AM132,IF(Dashboard!$D$6=INDEX('Scenario names'!$C$3:$C$6,1),'2.4 PV (by Borough)'!AM91,IF(Dashboard!$D$6=INDEX('Scenario names'!$C$3:$C$6,2),'2.4 PV (by Borough)'!AM91,IF(Dashboard!$D$6=INDEX('Scenario names'!$C$3:$C$6,3),'2.4 PV (by Borough)'!AM132,"Error")))))</f>
        <v>59430216.482374206</v>
      </c>
      <c r="AN173" s="607">
        <f>IF(Dashboard!$D$6="Baseline",'2.4 PV (by Borough)'!AN9,IF(Dashboard!$D$6=INDEX('Scenario names'!$C$3:$C$6,4),'2.4 PV (by Borough)'!AN132,IF(Dashboard!$D$6=INDEX('Scenario names'!$C$3:$C$6,1),'2.4 PV (by Borough)'!AN91,IF(Dashboard!$D$6=INDEX('Scenario names'!$C$3:$C$6,2),'2.4 PV (by Borough)'!AN91,IF(Dashboard!$D$6=INDEX('Scenario names'!$C$3:$C$6,3),'2.4 PV (by Borough)'!AN132,"Error")))))</f>
        <v>62063397.304006822</v>
      </c>
      <c r="AO173" s="607">
        <f>IF(Dashboard!$D$6="Baseline",'2.4 PV (by Borough)'!AO9,IF(Dashboard!$D$6=INDEX('Scenario names'!$C$3:$C$6,4),'2.4 PV (by Borough)'!AO132,IF(Dashboard!$D$6=INDEX('Scenario names'!$C$3:$C$6,1),'2.4 PV (by Borough)'!AO91,IF(Dashboard!$D$6=INDEX('Scenario names'!$C$3:$C$6,2),'2.4 PV (by Borough)'!AO91,IF(Dashboard!$D$6=INDEX('Scenario names'!$C$3:$C$6,3),'2.4 PV (by Borough)'!AO132,"Error")))))</f>
        <v>64696578.125639446</v>
      </c>
      <c r="AP173" s="607">
        <f>IF(Dashboard!$D$6="Baseline",'2.4 PV (by Borough)'!AP9,IF(Dashboard!$D$6=INDEX('Scenario names'!$C$3:$C$6,4),'2.4 PV (by Borough)'!AP132,IF(Dashboard!$D$6=INDEX('Scenario names'!$C$3:$C$6,1),'2.4 PV (by Borough)'!AP91,IF(Dashboard!$D$6=INDEX('Scenario names'!$C$3:$C$6,2),'2.4 PV (by Borough)'!AP91,IF(Dashboard!$D$6=INDEX('Scenario names'!$C$3:$C$6,3),'2.4 PV (by Borough)'!AP132,"Error")))))</f>
        <v>67329758.947272062</v>
      </c>
      <c r="AQ173" s="607">
        <f>IF(Dashboard!$D$6="Baseline",'2.4 PV (by Borough)'!AQ9,IF(Dashboard!$D$6=INDEX('Scenario names'!$C$3:$C$6,4),'2.4 PV (by Borough)'!AQ132,IF(Dashboard!$D$6=INDEX('Scenario names'!$C$3:$C$6,1),'2.4 PV (by Borough)'!AQ91,IF(Dashboard!$D$6=INDEX('Scenario names'!$C$3:$C$6,2),'2.4 PV (by Borough)'!AQ91,IF(Dashboard!$D$6=INDEX('Scenario names'!$C$3:$C$6,3),'2.4 PV (by Borough)'!AQ132,"Error")))))</f>
        <v>69962939.768904671</v>
      </c>
      <c r="AR173" s="607">
        <f>IF(Dashboard!$D$6="Baseline",'2.4 PV (by Borough)'!AR9,IF(Dashboard!$D$6=INDEX('Scenario names'!$C$3:$C$6,4),'2.4 PV (by Borough)'!AR132,IF(Dashboard!$D$6=INDEX('Scenario names'!$C$3:$C$6,1),'2.4 PV (by Borough)'!AR91,IF(Dashboard!$D$6=INDEX('Scenario names'!$C$3:$C$6,2),'2.4 PV (by Borough)'!AR91,IF(Dashboard!$D$6=INDEX('Scenario names'!$C$3:$C$6,3),'2.4 PV (by Borough)'!AR132,"Error")))))</f>
        <v>72596120.59053728</v>
      </c>
      <c r="AS173" s="607">
        <f>IF(Dashboard!$D$6="Baseline",'2.4 PV (by Borough)'!AS9,IF(Dashboard!$D$6=INDEX('Scenario names'!$C$3:$C$6,4),'2.4 PV (by Borough)'!AS132,IF(Dashboard!$D$6=INDEX('Scenario names'!$C$3:$C$6,1),'2.4 PV (by Borough)'!AS91,IF(Dashboard!$D$6=INDEX('Scenario names'!$C$3:$C$6,2),'2.4 PV (by Borough)'!AS91,IF(Dashboard!$D$6=INDEX('Scenario names'!$C$3:$C$6,3),'2.4 PV (by Borough)'!AS132,"Error")))))</f>
        <v>75229301.412169933</v>
      </c>
      <c r="AT173" s="607">
        <f>IF(Dashboard!$D$6="Baseline",'2.4 PV (by Borough)'!AT9,IF(Dashboard!$D$6=INDEX('Scenario names'!$C$3:$C$6,4),'2.4 PV (by Borough)'!AT132,IF(Dashboard!$D$6=INDEX('Scenario names'!$C$3:$C$6,1),'2.4 PV (by Borough)'!AT91,IF(Dashboard!$D$6=INDEX('Scenario names'!$C$3:$C$6,2),'2.4 PV (by Borough)'!AT91,IF(Dashboard!$D$6=INDEX('Scenario names'!$C$3:$C$6,3),'2.4 PV (by Borough)'!AT132,"Error")))))</f>
        <v>77862482.233802542</v>
      </c>
      <c r="AU173" s="607">
        <f>IF(Dashboard!$D$6="Baseline",'2.4 PV (by Borough)'!AU9,IF(Dashboard!$D$6=INDEX('Scenario names'!$C$3:$C$6,4),'2.4 PV (by Borough)'!AU132,IF(Dashboard!$D$6=INDEX('Scenario names'!$C$3:$C$6,1),'2.4 PV (by Borough)'!AU91,IF(Dashboard!$D$6=INDEX('Scenario names'!$C$3:$C$6,2),'2.4 PV (by Borough)'!AU91,IF(Dashboard!$D$6=INDEX('Scenario names'!$C$3:$C$6,3),'2.4 PV (by Borough)'!AU132,"Error")))))</f>
        <v>80495663.055435136</v>
      </c>
      <c r="AV173" s="607">
        <f>IF(Dashboard!$D$6="Baseline",'2.4 PV (by Borough)'!AV9,IF(Dashboard!$D$6=INDEX('Scenario names'!$C$3:$C$6,4),'2.4 PV (by Borough)'!AV132,IF(Dashboard!$D$6=INDEX('Scenario names'!$C$3:$C$6,1),'2.4 PV (by Borough)'!AV91,IF(Dashboard!$D$6=INDEX('Scenario names'!$C$3:$C$6,2),'2.4 PV (by Borough)'!AV91,IF(Dashboard!$D$6=INDEX('Scenario names'!$C$3:$C$6,3),'2.4 PV (by Borough)'!AV132,"Error")))))</f>
        <v>83128843.877067775</v>
      </c>
      <c r="AW173" s="607">
        <f>IF(Dashboard!$D$6="Baseline",'2.4 PV (by Borough)'!AW9,IF(Dashboard!$D$6=INDEX('Scenario names'!$C$3:$C$6,4),'2.4 PV (by Borough)'!AW132,IF(Dashboard!$D$6=INDEX('Scenario names'!$C$3:$C$6,1),'2.4 PV (by Borough)'!AW91,IF(Dashboard!$D$6=INDEX('Scenario names'!$C$3:$C$6,2),'2.4 PV (by Borough)'!AW91,IF(Dashboard!$D$6=INDEX('Scenario names'!$C$3:$C$6,3),'2.4 PV (by Borough)'!AW132,"Error")))))</f>
        <v>85762024.698700398</v>
      </c>
      <c r="AX173" s="607">
        <f>IF(Dashboard!$D$6="Baseline",'2.4 PV (by Borough)'!AX9,IF(Dashboard!$D$6=INDEX('Scenario names'!$C$3:$C$6,4),'2.4 PV (by Borough)'!AX132,IF(Dashboard!$D$6=INDEX('Scenario names'!$C$3:$C$6,1),'2.4 PV (by Borough)'!AX91,IF(Dashboard!$D$6=INDEX('Scenario names'!$C$3:$C$6,2),'2.4 PV (by Borough)'!AX91,IF(Dashboard!$D$6=INDEX('Scenario names'!$C$3:$C$6,3),'2.4 PV (by Borough)'!AX132,"Error")))))</f>
        <v>88395205.520333007</v>
      </c>
      <c r="AY173" s="36"/>
      <c r="AZ173" s="36"/>
      <c r="BA173" s="36"/>
      <c r="BB173" s="36"/>
    </row>
    <row r="174" spans="3:54">
      <c r="D174" t="s">
        <v>661</v>
      </c>
      <c r="E174" t="s">
        <v>628</v>
      </c>
      <c r="G174" s="44"/>
      <c r="I174" s="44"/>
      <c r="K174" s="44"/>
      <c r="M174" s="44"/>
      <c r="O174" s="607">
        <f>IF(Dashboard!$D$6="Baseline",'2.4 PV (by Borough)'!O10,IF(Dashboard!$D$6=INDEX('Scenario names'!$C$3:$C$6,4),'2.4 PV (by Borough)'!O133,IF(Dashboard!$D$6=INDEX('Scenario names'!$C$3:$C$6,1),'2.4 PV (by Borough)'!O92,IF(Dashboard!$D$6=INDEX('Scenario names'!$C$3:$C$6,2),'2.4 PV (by Borough)'!O92,IF(Dashboard!$D$6=INDEX('Scenario names'!$C$3:$C$6,3),'2.4 PV (by Borough)'!O133,"Error")))))</f>
        <v>1916341.7509471027</v>
      </c>
      <c r="P174" s="607">
        <f>IF(Dashboard!$D$6="Baseline",'2.4 PV (by Borough)'!P10,IF(Dashboard!$D$6=INDEX('Scenario names'!$C$3:$C$6,4),'2.4 PV (by Borough)'!P133,IF(Dashboard!$D$6=INDEX('Scenario names'!$C$3:$C$6,1),'2.4 PV (by Borough)'!P92,IF(Dashboard!$D$6=INDEX('Scenario names'!$C$3:$C$6,2),'2.4 PV (by Borough)'!P92,IF(Dashboard!$D$6=INDEX('Scenario names'!$C$3:$C$6,3),'2.4 PV (by Borough)'!P133,"Error")))))</f>
        <v>3354322.1759354281</v>
      </c>
      <c r="Q174" s="607">
        <f>IF(Dashboard!$D$6="Baseline",'2.4 PV (by Borough)'!Q10,IF(Dashboard!$D$6=INDEX('Scenario names'!$C$3:$C$6,4),'2.4 PV (by Borough)'!Q133,IF(Dashboard!$D$6=INDEX('Scenario names'!$C$3:$C$6,1),'2.4 PV (by Borough)'!Q92,IF(Dashboard!$D$6=INDEX('Scenario names'!$C$3:$C$6,2),'2.4 PV (by Borough)'!Q92,IF(Dashboard!$D$6=INDEX('Scenario names'!$C$3:$C$6,3),'2.4 PV (by Borough)'!Q133,"Error")))))</f>
        <v>4792302.6009237543</v>
      </c>
      <c r="R174" s="607">
        <f>IF(Dashboard!$D$6="Baseline",'2.4 PV (by Borough)'!R10,IF(Dashboard!$D$6=INDEX('Scenario names'!$C$3:$C$6,4),'2.4 PV (by Borough)'!R133,IF(Dashboard!$D$6=INDEX('Scenario names'!$C$3:$C$6,1),'2.4 PV (by Borough)'!R92,IF(Dashboard!$D$6=INDEX('Scenario names'!$C$3:$C$6,2),'2.4 PV (by Borough)'!R92,IF(Dashboard!$D$6=INDEX('Scenario names'!$C$3:$C$6,3),'2.4 PV (by Borough)'!R133,"Error")))))</f>
        <v>6230283.025912079</v>
      </c>
      <c r="S174" s="607">
        <f>IF(Dashboard!$D$6="Baseline",'2.4 PV (by Borough)'!S10,IF(Dashboard!$D$6=INDEX('Scenario names'!$C$3:$C$6,4),'2.4 PV (by Borough)'!S133,IF(Dashboard!$D$6=INDEX('Scenario names'!$C$3:$C$6,1),'2.4 PV (by Borough)'!S92,IF(Dashboard!$D$6=INDEX('Scenario names'!$C$3:$C$6,2),'2.4 PV (by Borough)'!S92,IF(Dashboard!$D$6=INDEX('Scenario names'!$C$3:$C$6,3),'2.4 PV (by Borough)'!S133,"Error")))))</f>
        <v>7668263.4509004056</v>
      </c>
      <c r="T174" s="607">
        <f>IF(Dashboard!$D$6="Baseline",'2.4 PV (by Borough)'!T10,IF(Dashboard!$D$6=INDEX('Scenario names'!$C$3:$C$6,4),'2.4 PV (by Borough)'!T133,IF(Dashboard!$D$6=INDEX('Scenario names'!$C$3:$C$6,1),'2.4 PV (by Borough)'!T92,IF(Dashboard!$D$6=INDEX('Scenario names'!$C$3:$C$6,2),'2.4 PV (by Borough)'!T92,IF(Dashboard!$D$6=INDEX('Scenario names'!$C$3:$C$6,3),'2.4 PV (by Borough)'!T133,"Error")))))</f>
        <v>9106243.8758887313</v>
      </c>
      <c r="U174" s="607">
        <f>IF(Dashboard!$D$6="Baseline",'2.4 PV (by Borough)'!U10,IF(Dashboard!$D$6=INDEX('Scenario names'!$C$3:$C$6,4),'2.4 PV (by Borough)'!U133,IF(Dashboard!$D$6=INDEX('Scenario names'!$C$3:$C$6,1),'2.4 PV (by Borough)'!U92,IF(Dashboard!$D$6=INDEX('Scenario names'!$C$3:$C$6,2),'2.4 PV (by Borough)'!U92,IF(Dashboard!$D$6=INDEX('Scenario names'!$C$3:$C$6,3),'2.4 PV (by Borough)'!U133,"Error")))))</f>
        <v>10544224.300877057</v>
      </c>
      <c r="V174" s="607">
        <f>IF(Dashboard!$D$6="Baseline",'2.4 PV (by Borough)'!V10,IF(Dashboard!$D$6=INDEX('Scenario names'!$C$3:$C$6,4),'2.4 PV (by Borough)'!V133,IF(Dashboard!$D$6=INDEX('Scenario names'!$C$3:$C$6,1),'2.4 PV (by Borough)'!V92,IF(Dashboard!$D$6=INDEX('Scenario names'!$C$3:$C$6,2),'2.4 PV (by Borough)'!V92,IF(Dashboard!$D$6=INDEX('Scenario names'!$C$3:$C$6,3),'2.4 PV (by Borough)'!V133,"Error")))))</f>
        <v>11982204.725865383</v>
      </c>
      <c r="W174" s="607">
        <f>IF(Dashboard!$D$6="Baseline",'2.4 PV (by Borough)'!W10,IF(Dashboard!$D$6=INDEX('Scenario names'!$C$3:$C$6,4),'2.4 PV (by Borough)'!W133,IF(Dashboard!$D$6=INDEX('Scenario names'!$C$3:$C$6,1),'2.4 PV (by Borough)'!W92,IF(Dashboard!$D$6=INDEX('Scenario names'!$C$3:$C$6,2),'2.4 PV (by Borough)'!W92,IF(Dashboard!$D$6=INDEX('Scenario names'!$C$3:$C$6,3),'2.4 PV (by Borough)'!W133,"Error")))))</f>
        <v>13420185.150853708</v>
      </c>
      <c r="X174" s="607">
        <f>IF(Dashboard!$D$6="Baseline",'2.4 PV (by Borough)'!X10,IF(Dashboard!$D$6=INDEX('Scenario names'!$C$3:$C$6,4),'2.4 PV (by Borough)'!X133,IF(Dashboard!$D$6=INDEX('Scenario names'!$C$3:$C$6,1),'2.4 PV (by Borough)'!X92,IF(Dashboard!$D$6=INDEX('Scenario names'!$C$3:$C$6,2),'2.4 PV (by Borough)'!X92,IF(Dashboard!$D$6=INDEX('Scenario names'!$C$3:$C$6,3),'2.4 PV (by Borough)'!X133,"Error")))))</f>
        <v>14858165.57584203</v>
      </c>
      <c r="Y174" s="607">
        <f>IF(Dashboard!$D$6="Baseline",'2.4 PV (by Borough)'!Y10,IF(Dashboard!$D$6=INDEX('Scenario names'!$C$3:$C$6,4),'2.4 PV (by Borough)'!Y133,IF(Dashboard!$D$6=INDEX('Scenario names'!$C$3:$C$6,1),'2.4 PV (by Borough)'!Y92,IF(Dashboard!$D$6=INDEX('Scenario names'!$C$3:$C$6,2),'2.4 PV (by Borough)'!Y92,IF(Dashboard!$D$6=INDEX('Scenario names'!$C$3:$C$6,3),'2.4 PV (by Borough)'!Y133,"Error")))))</f>
        <v>16296146.000830358</v>
      </c>
      <c r="Z174" s="607">
        <f>IF(Dashboard!$D$6="Baseline",'2.4 PV (by Borough)'!Z10,IF(Dashboard!$D$6=INDEX('Scenario names'!$C$3:$C$6,4),'2.4 PV (by Borough)'!Z133,IF(Dashboard!$D$6=INDEX('Scenario names'!$C$3:$C$6,1),'2.4 PV (by Borough)'!Z92,IF(Dashboard!$D$6=INDEX('Scenario names'!$C$3:$C$6,2),'2.4 PV (by Borough)'!Z92,IF(Dashboard!$D$6=INDEX('Scenario names'!$C$3:$C$6,3),'2.4 PV (by Borough)'!Z133,"Error")))))</f>
        <v>18332822.081525646</v>
      </c>
      <c r="AA174" s="607">
        <f>IF(Dashboard!$D$6="Baseline",'2.4 PV (by Borough)'!AA10,IF(Dashboard!$D$6=INDEX('Scenario names'!$C$3:$C$6,4),'2.4 PV (by Borough)'!AA133,IF(Dashboard!$D$6=INDEX('Scenario names'!$C$3:$C$6,1),'2.4 PV (by Borough)'!AA92,IF(Dashboard!$D$6=INDEX('Scenario names'!$C$3:$C$6,2),'2.4 PV (by Borough)'!AA92,IF(Dashboard!$D$6=INDEX('Scenario names'!$C$3:$C$6,3),'2.4 PV (by Borough)'!AA133,"Error")))))</f>
        <v>20369498.16222094</v>
      </c>
      <c r="AB174" s="607">
        <f>IF(Dashboard!$D$6="Baseline",'2.4 PV (by Borough)'!AB10,IF(Dashboard!$D$6=INDEX('Scenario names'!$C$3:$C$6,4),'2.4 PV (by Borough)'!AB133,IF(Dashboard!$D$6=INDEX('Scenario names'!$C$3:$C$6,1),'2.4 PV (by Borough)'!AB92,IF(Dashboard!$D$6=INDEX('Scenario names'!$C$3:$C$6,2),'2.4 PV (by Borough)'!AB92,IF(Dashboard!$D$6=INDEX('Scenario names'!$C$3:$C$6,3),'2.4 PV (by Borough)'!AB133,"Error")))))</f>
        <v>22406174.242916226</v>
      </c>
      <c r="AC174" s="607">
        <f>IF(Dashboard!$D$6="Baseline",'2.4 PV (by Borough)'!AC10,IF(Dashboard!$D$6=INDEX('Scenario names'!$C$3:$C$6,4),'2.4 PV (by Borough)'!AC133,IF(Dashboard!$D$6=INDEX('Scenario names'!$C$3:$C$6,1),'2.4 PV (by Borough)'!AC92,IF(Dashboard!$D$6=INDEX('Scenario names'!$C$3:$C$6,2),'2.4 PV (by Borough)'!AC92,IF(Dashboard!$D$6=INDEX('Scenario names'!$C$3:$C$6,3),'2.4 PV (by Borough)'!AC133,"Error")))))</f>
        <v>24442850.32361152</v>
      </c>
      <c r="AD174" s="607">
        <f>IF(Dashboard!$D$6="Baseline",'2.4 PV (by Borough)'!AD10,IF(Dashboard!$D$6=INDEX('Scenario names'!$C$3:$C$6,4),'2.4 PV (by Borough)'!AD133,IF(Dashboard!$D$6=INDEX('Scenario names'!$C$3:$C$6,1),'2.4 PV (by Borough)'!AD92,IF(Dashboard!$D$6=INDEX('Scenario names'!$C$3:$C$6,2),'2.4 PV (by Borough)'!AD92,IF(Dashboard!$D$6=INDEX('Scenario names'!$C$3:$C$6,3),'2.4 PV (by Borough)'!AD133,"Error")))))</f>
        <v>26479526.40430681</v>
      </c>
      <c r="AE174" s="607">
        <f>IF(Dashboard!$D$6="Baseline",'2.4 PV (by Borough)'!AE10,IF(Dashboard!$D$6=INDEX('Scenario names'!$C$3:$C$6,4),'2.4 PV (by Borough)'!AE133,IF(Dashboard!$D$6=INDEX('Scenario names'!$C$3:$C$6,1),'2.4 PV (by Borough)'!AE92,IF(Dashboard!$D$6=INDEX('Scenario names'!$C$3:$C$6,2),'2.4 PV (by Borough)'!AE92,IF(Dashboard!$D$6=INDEX('Scenario names'!$C$3:$C$6,3),'2.4 PV (by Borough)'!AE133,"Error")))))</f>
        <v>28516202.4850021</v>
      </c>
      <c r="AF174" s="607">
        <f>IF(Dashboard!$D$6="Baseline",'2.4 PV (by Borough)'!AF10,IF(Dashboard!$D$6=INDEX('Scenario names'!$C$3:$C$6,4),'2.4 PV (by Borough)'!AF133,IF(Dashboard!$D$6=INDEX('Scenario names'!$C$3:$C$6,1),'2.4 PV (by Borough)'!AF92,IF(Dashboard!$D$6=INDEX('Scenario names'!$C$3:$C$6,2),'2.4 PV (by Borough)'!AF92,IF(Dashboard!$D$6=INDEX('Scenario names'!$C$3:$C$6,3),'2.4 PV (by Borough)'!AF133,"Error")))))</f>
        <v>30552878.565697383</v>
      </c>
      <c r="AG174" s="607">
        <f>IF(Dashboard!$D$6="Baseline",'2.4 PV (by Borough)'!AG10,IF(Dashboard!$D$6=INDEX('Scenario names'!$C$3:$C$6,4),'2.4 PV (by Borough)'!AG133,IF(Dashboard!$D$6=INDEX('Scenario names'!$C$3:$C$6,1),'2.4 PV (by Borough)'!AG92,IF(Dashboard!$D$6=INDEX('Scenario names'!$C$3:$C$6,2),'2.4 PV (by Borough)'!AG92,IF(Dashboard!$D$6=INDEX('Scenario names'!$C$3:$C$6,3),'2.4 PV (by Borough)'!AG133,"Error")))))</f>
        <v>32589554.646392677</v>
      </c>
      <c r="AH174" s="607">
        <f>IF(Dashboard!$D$6="Baseline",'2.4 PV (by Borough)'!AH10,IF(Dashboard!$D$6=INDEX('Scenario names'!$C$3:$C$6,4),'2.4 PV (by Borough)'!AH133,IF(Dashboard!$D$6=INDEX('Scenario names'!$C$3:$C$6,1),'2.4 PV (by Borough)'!AH92,IF(Dashboard!$D$6=INDEX('Scenario names'!$C$3:$C$6,2),'2.4 PV (by Borough)'!AH92,IF(Dashboard!$D$6=INDEX('Scenario names'!$C$3:$C$6,3),'2.4 PV (by Borough)'!AH133,"Error")))))</f>
        <v>34626230.727087967</v>
      </c>
      <c r="AI174" s="607">
        <f>IF(Dashboard!$D$6="Baseline",'2.4 PV (by Borough)'!AI10,IF(Dashboard!$D$6=INDEX('Scenario names'!$C$3:$C$6,4),'2.4 PV (by Borough)'!AI133,IF(Dashboard!$D$6=INDEX('Scenario names'!$C$3:$C$6,1),'2.4 PV (by Borough)'!AI92,IF(Dashboard!$D$6=INDEX('Scenario names'!$C$3:$C$6,2),'2.4 PV (by Borough)'!AI92,IF(Dashboard!$D$6=INDEX('Scenario names'!$C$3:$C$6,3),'2.4 PV (by Borough)'!AI133,"Error")))))</f>
        <v>36662906.807783246</v>
      </c>
      <c r="AJ174" s="607">
        <f>IF(Dashboard!$D$6="Baseline",'2.4 PV (by Borough)'!AJ10,IF(Dashboard!$D$6=INDEX('Scenario names'!$C$3:$C$6,4),'2.4 PV (by Borough)'!AJ133,IF(Dashboard!$D$6=INDEX('Scenario names'!$C$3:$C$6,1),'2.4 PV (by Borough)'!AJ92,IF(Dashboard!$D$6=INDEX('Scenario names'!$C$3:$C$6,2),'2.4 PV (by Borough)'!AJ92,IF(Dashboard!$D$6=INDEX('Scenario names'!$C$3:$C$6,3),'2.4 PV (by Borough)'!AJ133,"Error")))))</f>
        <v>38699582.888478547</v>
      </c>
      <c r="AK174" s="607">
        <f>IF(Dashboard!$D$6="Baseline",'2.4 PV (by Borough)'!AK10,IF(Dashboard!$D$6=INDEX('Scenario names'!$C$3:$C$6,4),'2.4 PV (by Borough)'!AK133,IF(Dashboard!$D$6=INDEX('Scenario names'!$C$3:$C$6,1),'2.4 PV (by Borough)'!AK92,IF(Dashboard!$D$6=INDEX('Scenario names'!$C$3:$C$6,2),'2.4 PV (by Borough)'!AK92,IF(Dashboard!$D$6=INDEX('Scenario names'!$C$3:$C$6,3),'2.4 PV (by Borough)'!AK133,"Error")))))</f>
        <v>40736258.969173841</v>
      </c>
      <c r="AL174" s="607">
        <f>IF(Dashboard!$D$6="Baseline",'2.4 PV (by Borough)'!AL10,IF(Dashboard!$D$6=INDEX('Scenario names'!$C$3:$C$6,4),'2.4 PV (by Borough)'!AL133,IF(Dashboard!$D$6=INDEX('Scenario names'!$C$3:$C$6,1),'2.4 PV (by Borough)'!AL92,IF(Dashboard!$D$6=INDEX('Scenario names'!$C$3:$C$6,2),'2.4 PV (by Borough)'!AL92,IF(Dashboard!$D$6=INDEX('Scenario names'!$C$3:$C$6,3),'2.4 PV (by Borough)'!AL133,"Error")))))</f>
        <v>42772935.049869128</v>
      </c>
      <c r="AM174" s="607">
        <f>IF(Dashboard!$D$6="Baseline",'2.4 PV (by Borough)'!AM10,IF(Dashboard!$D$6=INDEX('Scenario names'!$C$3:$C$6,4),'2.4 PV (by Borough)'!AM133,IF(Dashboard!$D$6=INDEX('Scenario names'!$C$3:$C$6,1),'2.4 PV (by Borough)'!AM92,IF(Dashboard!$D$6=INDEX('Scenario names'!$C$3:$C$6,2),'2.4 PV (by Borough)'!AM92,IF(Dashboard!$D$6=INDEX('Scenario names'!$C$3:$C$6,3),'2.4 PV (by Borough)'!AM133,"Error")))))</f>
        <v>44809611.130564414</v>
      </c>
      <c r="AN174" s="607">
        <f>IF(Dashboard!$D$6="Baseline",'2.4 PV (by Borough)'!AN10,IF(Dashboard!$D$6=INDEX('Scenario names'!$C$3:$C$6,4),'2.4 PV (by Borough)'!AN133,IF(Dashboard!$D$6=INDEX('Scenario names'!$C$3:$C$6,1),'2.4 PV (by Borough)'!AN92,IF(Dashboard!$D$6=INDEX('Scenario names'!$C$3:$C$6,2),'2.4 PV (by Borough)'!AN92,IF(Dashboard!$D$6=INDEX('Scenario names'!$C$3:$C$6,3),'2.4 PV (by Borough)'!AN133,"Error")))))</f>
        <v>46846287.211259693</v>
      </c>
      <c r="AO174" s="607">
        <f>IF(Dashboard!$D$6="Baseline",'2.4 PV (by Borough)'!AO10,IF(Dashboard!$D$6=INDEX('Scenario names'!$C$3:$C$6,4),'2.4 PV (by Borough)'!AO133,IF(Dashboard!$D$6=INDEX('Scenario names'!$C$3:$C$6,1),'2.4 PV (by Borough)'!AO92,IF(Dashboard!$D$6=INDEX('Scenario names'!$C$3:$C$6,2),'2.4 PV (by Borough)'!AO92,IF(Dashboard!$D$6=INDEX('Scenario names'!$C$3:$C$6,3),'2.4 PV (by Borough)'!AO133,"Error")))))</f>
        <v>48882963.291955009</v>
      </c>
      <c r="AP174" s="607">
        <f>IF(Dashboard!$D$6="Baseline",'2.4 PV (by Borough)'!AP10,IF(Dashboard!$D$6=INDEX('Scenario names'!$C$3:$C$6,4),'2.4 PV (by Borough)'!AP133,IF(Dashboard!$D$6=INDEX('Scenario names'!$C$3:$C$6,1),'2.4 PV (by Borough)'!AP92,IF(Dashboard!$D$6=INDEX('Scenario names'!$C$3:$C$6,2),'2.4 PV (by Borough)'!AP92,IF(Dashboard!$D$6=INDEX('Scenario names'!$C$3:$C$6,3),'2.4 PV (by Borough)'!AP133,"Error")))))</f>
        <v>50919639.372650295</v>
      </c>
      <c r="AQ174" s="607">
        <f>IF(Dashboard!$D$6="Baseline",'2.4 PV (by Borough)'!AQ10,IF(Dashboard!$D$6=INDEX('Scenario names'!$C$3:$C$6,4),'2.4 PV (by Borough)'!AQ133,IF(Dashboard!$D$6=INDEX('Scenario names'!$C$3:$C$6,1),'2.4 PV (by Borough)'!AQ92,IF(Dashboard!$D$6=INDEX('Scenario names'!$C$3:$C$6,2),'2.4 PV (by Borough)'!AQ92,IF(Dashboard!$D$6=INDEX('Scenario names'!$C$3:$C$6,3),'2.4 PV (by Borough)'!AQ133,"Error")))))</f>
        <v>52956315.453345567</v>
      </c>
      <c r="AR174" s="607">
        <f>IF(Dashboard!$D$6="Baseline",'2.4 PV (by Borough)'!AR10,IF(Dashboard!$D$6=INDEX('Scenario names'!$C$3:$C$6,4),'2.4 PV (by Borough)'!AR133,IF(Dashboard!$D$6=INDEX('Scenario names'!$C$3:$C$6,1),'2.4 PV (by Borough)'!AR92,IF(Dashboard!$D$6=INDEX('Scenario names'!$C$3:$C$6,2),'2.4 PV (by Borough)'!AR92,IF(Dashboard!$D$6=INDEX('Scenario names'!$C$3:$C$6,3),'2.4 PV (by Borough)'!AR133,"Error")))))</f>
        <v>54992991.534040861</v>
      </c>
      <c r="AS174" s="607">
        <f>IF(Dashboard!$D$6="Baseline",'2.4 PV (by Borough)'!AS10,IF(Dashboard!$D$6=INDEX('Scenario names'!$C$3:$C$6,4),'2.4 PV (by Borough)'!AS133,IF(Dashboard!$D$6=INDEX('Scenario names'!$C$3:$C$6,1),'2.4 PV (by Borough)'!AS92,IF(Dashboard!$D$6=INDEX('Scenario names'!$C$3:$C$6,2),'2.4 PV (by Borough)'!AS92,IF(Dashboard!$D$6=INDEX('Scenario names'!$C$3:$C$6,3),'2.4 PV (by Borough)'!AS133,"Error")))))</f>
        <v>57029667.61473617</v>
      </c>
      <c r="AT174" s="607">
        <f>IF(Dashboard!$D$6="Baseline",'2.4 PV (by Borough)'!AT10,IF(Dashboard!$D$6=INDEX('Scenario names'!$C$3:$C$6,4),'2.4 PV (by Borough)'!AT133,IF(Dashboard!$D$6=INDEX('Scenario names'!$C$3:$C$6,1),'2.4 PV (by Borough)'!AT92,IF(Dashboard!$D$6=INDEX('Scenario names'!$C$3:$C$6,2),'2.4 PV (by Borough)'!AT92,IF(Dashboard!$D$6=INDEX('Scenario names'!$C$3:$C$6,3),'2.4 PV (by Borough)'!AT133,"Error")))))</f>
        <v>59066343.695431449</v>
      </c>
      <c r="AU174" s="607">
        <f>IF(Dashboard!$D$6="Baseline",'2.4 PV (by Borough)'!AU10,IF(Dashboard!$D$6=INDEX('Scenario names'!$C$3:$C$6,4),'2.4 PV (by Borough)'!AU133,IF(Dashboard!$D$6=INDEX('Scenario names'!$C$3:$C$6,1),'2.4 PV (by Borough)'!AU92,IF(Dashboard!$D$6=INDEX('Scenario names'!$C$3:$C$6,2),'2.4 PV (by Borough)'!AU92,IF(Dashboard!$D$6=INDEX('Scenario names'!$C$3:$C$6,3),'2.4 PV (by Borough)'!AU133,"Error")))))</f>
        <v>61103019.776126735</v>
      </c>
      <c r="AV174" s="607">
        <f>IF(Dashboard!$D$6="Baseline",'2.4 PV (by Borough)'!AV10,IF(Dashboard!$D$6=INDEX('Scenario names'!$C$3:$C$6,4),'2.4 PV (by Borough)'!AV133,IF(Dashboard!$D$6=INDEX('Scenario names'!$C$3:$C$6,1),'2.4 PV (by Borough)'!AV92,IF(Dashboard!$D$6=INDEX('Scenario names'!$C$3:$C$6,2),'2.4 PV (by Borough)'!AV92,IF(Dashboard!$D$6=INDEX('Scenario names'!$C$3:$C$6,3),'2.4 PV (by Borough)'!AV133,"Error")))))</f>
        <v>63139695.856822014</v>
      </c>
      <c r="AW174" s="607">
        <f>IF(Dashboard!$D$6="Baseline",'2.4 PV (by Borough)'!AW10,IF(Dashboard!$D$6=INDEX('Scenario names'!$C$3:$C$6,4),'2.4 PV (by Borough)'!AW133,IF(Dashboard!$D$6=INDEX('Scenario names'!$C$3:$C$6,1),'2.4 PV (by Borough)'!AW92,IF(Dashboard!$D$6=INDEX('Scenario names'!$C$3:$C$6,2),'2.4 PV (by Borough)'!AW92,IF(Dashboard!$D$6=INDEX('Scenario names'!$C$3:$C$6,3),'2.4 PV (by Borough)'!AW133,"Error")))))</f>
        <v>65176371.937517315</v>
      </c>
      <c r="AX174" s="607">
        <f>IF(Dashboard!$D$6="Baseline",'2.4 PV (by Borough)'!AX10,IF(Dashboard!$D$6=INDEX('Scenario names'!$C$3:$C$6,4),'2.4 PV (by Borough)'!AX133,IF(Dashboard!$D$6=INDEX('Scenario names'!$C$3:$C$6,1),'2.4 PV (by Borough)'!AX92,IF(Dashboard!$D$6=INDEX('Scenario names'!$C$3:$C$6,2),'2.4 PV (by Borough)'!AX92,IF(Dashboard!$D$6=INDEX('Scenario names'!$C$3:$C$6,3),'2.4 PV (by Borough)'!AX133,"Error")))))</f>
        <v>67213048.018212602</v>
      </c>
      <c r="AY174" s="36"/>
      <c r="AZ174" s="36"/>
      <c r="BA174" s="36"/>
      <c r="BB174" s="36"/>
    </row>
    <row r="175" spans="3:54">
      <c r="D175" t="s">
        <v>661</v>
      </c>
      <c r="E175" t="s">
        <v>629</v>
      </c>
      <c r="G175" s="44"/>
      <c r="I175" s="44"/>
      <c r="K175" s="44"/>
      <c r="M175" s="44"/>
      <c r="O175" s="607">
        <f>IF(Dashboard!$D$6="Baseline",'2.4 PV (by Borough)'!O11,IF(Dashboard!$D$6=INDEX('Scenario names'!$C$3:$C$6,4),'2.4 PV (by Borough)'!O134,IF(Dashboard!$D$6=INDEX('Scenario names'!$C$3:$C$6,1),'2.4 PV (by Borough)'!O93,IF(Dashboard!$D$6=INDEX('Scenario names'!$C$3:$C$6,2),'2.4 PV (by Borough)'!O93,IF(Dashboard!$D$6=INDEX('Scenario names'!$C$3:$C$6,3),'2.4 PV (by Borough)'!O134,"Error")))))</f>
        <v>1793981.7627948506</v>
      </c>
      <c r="P175" s="607">
        <f>IF(Dashboard!$D$6="Baseline",'2.4 PV (by Borough)'!P11,IF(Dashboard!$D$6=INDEX('Scenario names'!$C$3:$C$6,4),'2.4 PV (by Borough)'!P134,IF(Dashboard!$D$6=INDEX('Scenario names'!$C$3:$C$6,1),'2.4 PV (by Borough)'!P93,IF(Dashboard!$D$6=INDEX('Scenario names'!$C$3:$C$6,2),'2.4 PV (by Borough)'!P93,IF(Dashboard!$D$6=INDEX('Scenario names'!$C$3:$C$6,3),'2.4 PV (by Borough)'!P134,"Error")))))</f>
        <v>3143686.5199509566</v>
      </c>
      <c r="Q175" s="607">
        <f>IF(Dashboard!$D$6="Baseline",'2.4 PV (by Borough)'!Q11,IF(Dashboard!$D$6=INDEX('Scenario names'!$C$3:$C$6,4),'2.4 PV (by Borough)'!Q134,IF(Dashboard!$D$6=INDEX('Scenario names'!$C$3:$C$6,1),'2.4 PV (by Borough)'!Q93,IF(Dashboard!$D$6=INDEX('Scenario names'!$C$3:$C$6,2),'2.4 PV (by Borough)'!Q93,IF(Dashboard!$D$6=INDEX('Scenario names'!$C$3:$C$6,3),'2.4 PV (by Borough)'!Q134,"Error")))))</f>
        <v>4493391.27710706</v>
      </c>
      <c r="R175" s="607">
        <f>IF(Dashboard!$D$6="Baseline",'2.4 PV (by Borough)'!R11,IF(Dashboard!$D$6=INDEX('Scenario names'!$C$3:$C$6,4),'2.4 PV (by Borough)'!R134,IF(Dashboard!$D$6=INDEX('Scenario names'!$C$3:$C$6,1),'2.4 PV (by Borough)'!R93,IF(Dashboard!$D$6=INDEX('Scenario names'!$C$3:$C$6,2),'2.4 PV (by Borough)'!R93,IF(Dashboard!$D$6=INDEX('Scenario names'!$C$3:$C$6,3),'2.4 PV (by Borough)'!R134,"Error")))))</f>
        <v>5843096.0342631666</v>
      </c>
      <c r="S175" s="607">
        <f>IF(Dashboard!$D$6="Baseline",'2.4 PV (by Borough)'!S11,IF(Dashboard!$D$6=INDEX('Scenario names'!$C$3:$C$6,4),'2.4 PV (by Borough)'!S134,IF(Dashboard!$D$6=INDEX('Scenario names'!$C$3:$C$6,1),'2.4 PV (by Borough)'!S93,IF(Dashboard!$D$6=INDEX('Scenario names'!$C$3:$C$6,2),'2.4 PV (by Borough)'!S93,IF(Dashboard!$D$6=INDEX('Scenario names'!$C$3:$C$6,3),'2.4 PV (by Borough)'!S134,"Error")))))</f>
        <v>7192800.7914192714</v>
      </c>
      <c r="T175" s="607">
        <f>IF(Dashboard!$D$6="Baseline",'2.4 PV (by Borough)'!T11,IF(Dashboard!$D$6=INDEX('Scenario names'!$C$3:$C$6,4),'2.4 PV (by Borough)'!T134,IF(Dashboard!$D$6=INDEX('Scenario names'!$C$3:$C$6,1),'2.4 PV (by Borough)'!T93,IF(Dashboard!$D$6=INDEX('Scenario names'!$C$3:$C$6,2),'2.4 PV (by Borough)'!T93,IF(Dashboard!$D$6=INDEX('Scenario names'!$C$3:$C$6,3),'2.4 PV (by Borough)'!T134,"Error")))))</f>
        <v>8542505.5485753752</v>
      </c>
      <c r="U175" s="607">
        <f>IF(Dashboard!$D$6="Baseline",'2.4 PV (by Borough)'!U11,IF(Dashboard!$D$6=INDEX('Scenario names'!$C$3:$C$6,4),'2.4 PV (by Borough)'!U134,IF(Dashboard!$D$6=INDEX('Scenario names'!$C$3:$C$6,1),'2.4 PV (by Borough)'!U93,IF(Dashboard!$D$6=INDEX('Scenario names'!$C$3:$C$6,2),'2.4 PV (by Borough)'!U93,IF(Dashboard!$D$6=INDEX('Scenario names'!$C$3:$C$6,3),'2.4 PV (by Borough)'!U134,"Error")))))</f>
        <v>9892210.3057314828</v>
      </c>
      <c r="V175" s="607">
        <f>IF(Dashboard!$D$6="Baseline",'2.4 PV (by Borough)'!V11,IF(Dashboard!$D$6=INDEX('Scenario names'!$C$3:$C$6,4),'2.4 PV (by Borough)'!V134,IF(Dashboard!$D$6=INDEX('Scenario names'!$C$3:$C$6,1),'2.4 PV (by Borough)'!V93,IF(Dashboard!$D$6=INDEX('Scenario names'!$C$3:$C$6,2),'2.4 PV (by Borough)'!V93,IF(Dashboard!$D$6=INDEX('Scenario names'!$C$3:$C$6,3),'2.4 PV (by Borough)'!V134,"Error")))))</f>
        <v>11241915.062887589</v>
      </c>
      <c r="W175" s="607">
        <f>IF(Dashboard!$D$6="Baseline",'2.4 PV (by Borough)'!W11,IF(Dashboard!$D$6=INDEX('Scenario names'!$C$3:$C$6,4),'2.4 PV (by Borough)'!W134,IF(Dashboard!$D$6=INDEX('Scenario names'!$C$3:$C$6,1),'2.4 PV (by Borough)'!W93,IF(Dashboard!$D$6=INDEX('Scenario names'!$C$3:$C$6,2),'2.4 PV (by Borough)'!W93,IF(Dashboard!$D$6=INDEX('Scenario names'!$C$3:$C$6,3),'2.4 PV (by Borough)'!W134,"Error")))))</f>
        <v>12591619.820043691</v>
      </c>
      <c r="X175" s="607">
        <f>IF(Dashboard!$D$6="Baseline",'2.4 PV (by Borough)'!X11,IF(Dashboard!$D$6=INDEX('Scenario names'!$C$3:$C$6,4),'2.4 PV (by Borough)'!X134,IF(Dashboard!$D$6=INDEX('Scenario names'!$C$3:$C$6,1),'2.4 PV (by Borough)'!X93,IF(Dashboard!$D$6=INDEX('Scenario names'!$C$3:$C$6,2),'2.4 PV (by Borough)'!X93,IF(Dashboard!$D$6=INDEX('Scenario names'!$C$3:$C$6,3),'2.4 PV (by Borough)'!X134,"Error")))))</f>
        <v>13941324.577199798</v>
      </c>
      <c r="Y175" s="607">
        <f>IF(Dashboard!$D$6="Baseline",'2.4 PV (by Borough)'!Y11,IF(Dashboard!$D$6=INDEX('Scenario names'!$C$3:$C$6,4),'2.4 PV (by Borough)'!Y134,IF(Dashboard!$D$6=INDEX('Scenario names'!$C$3:$C$6,1),'2.4 PV (by Borough)'!Y93,IF(Dashboard!$D$6=INDEX('Scenario names'!$C$3:$C$6,2),'2.4 PV (by Borough)'!Y93,IF(Dashboard!$D$6=INDEX('Scenario names'!$C$3:$C$6,3),'2.4 PV (by Borough)'!Y134,"Error")))))</f>
        <v>15291029.334355904</v>
      </c>
      <c r="Z175" s="607">
        <f>IF(Dashboard!$D$6="Baseline",'2.4 PV (by Borough)'!Z11,IF(Dashboard!$D$6=INDEX('Scenario names'!$C$3:$C$6,4),'2.4 PV (by Borough)'!Z134,IF(Dashboard!$D$6=INDEX('Scenario names'!$C$3:$C$6,1),'2.4 PV (by Borough)'!Z93,IF(Dashboard!$D$6=INDEX('Scenario names'!$C$3:$C$6,2),'2.4 PV (by Borough)'!Z93,IF(Dashboard!$D$6=INDEX('Scenario names'!$C$3:$C$6,3),'2.4 PV (by Borough)'!Z134,"Error")))))</f>
        <v>17125120.32124972</v>
      </c>
      <c r="AA175" s="607">
        <f>IF(Dashboard!$D$6="Baseline",'2.4 PV (by Borough)'!AA11,IF(Dashboard!$D$6=INDEX('Scenario names'!$C$3:$C$6,4),'2.4 PV (by Borough)'!AA134,IF(Dashboard!$D$6=INDEX('Scenario names'!$C$3:$C$6,1),'2.4 PV (by Borough)'!AA93,IF(Dashboard!$D$6=INDEX('Scenario names'!$C$3:$C$6,2),'2.4 PV (by Borough)'!AA93,IF(Dashboard!$D$6=INDEX('Scenario names'!$C$3:$C$6,3),'2.4 PV (by Borough)'!AA134,"Error")))))</f>
        <v>18959211.308143549</v>
      </c>
      <c r="AB175" s="607">
        <f>IF(Dashboard!$D$6="Baseline",'2.4 PV (by Borough)'!AB11,IF(Dashboard!$D$6=INDEX('Scenario names'!$C$3:$C$6,4),'2.4 PV (by Borough)'!AB134,IF(Dashboard!$D$6=INDEX('Scenario names'!$C$3:$C$6,1),'2.4 PV (by Borough)'!AB93,IF(Dashboard!$D$6=INDEX('Scenario names'!$C$3:$C$6,2),'2.4 PV (by Borough)'!AB93,IF(Dashboard!$D$6=INDEX('Scenario names'!$C$3:$C$6,3),'2.4 PV (by Borough)'!AB134,"Error")))))</f>
        <v>20793302.295037359</v>
      </c>
      <c r="AC175" s="607">
        <f>IF(Dashboard!$D$6="Baseline",'2.4 PV (by Borough)'!AC11,IF(Dashboard!$D$6=INDEX('Scenario names'!$C$3:$C$6,4),'2.4 PV (by Borough)'!AC134,IF(Dashboard!$D$6=INDEX('Scenario names'!$C$3:$C$6,1),'2.4 PV (by Borough)'!AC93,IF(Dashboard!$D$6=INDEX('Scenario names'!$C$3:$C$6,2),'2.4 PV (by Borough)'!AC93,IF(Dashboard!$D$6=INDEX('Scenario names'!$C$3:$C$6,3),'2.4 PV (by Borough)'!AC134,"Error")))))</f>
        <v>22627393.281931184</v>
      </c>
      <c r="AD175" s="607">
        <f>IF(Dashboard!$D$6="Baseline",'2.4 PV (by Borough)'!AD11,IF(Dashboard!$D$6=INDEX('Scenario names'!$C$3:$C$6,4),'2.4 PV (by Borough)'!AD134,IF(Dashboard!$D$6=INDEX('Scenario names'!$C$3:$C$6,1),'2.4 PV (by Borough)'!AD93,IF(Dashboard!$D$6=INDEX('Scenario names'!$C$3:$C$6,2),'2.4 PV (by Borough)'!AD93,IF(Dashboard!$D$6=INDEX('Scenario names'!$C$3:$C$6,3),'2.4 PV (by Borough)'!AD134,"Error")))))</f>
        <v>24461484.268825013</v>
      </c>
      <c r="AE175" s="607">
        <f>IF(Dashboard!$D$6="Baseline",'2.4 PV (by Borough)'!AE11,IF(Dashboard!$D$6=INDEX('Scenario names'!$C$3:$C$6,4),'2.4 PV (by Borough)'!AE134,IF(Dashboard!$D$6=INDEX('Scenario names'!$C$3:$C$6,1),'2.4 PV (by Borough)'!AE93,IF(Dashboard!$D$6=INDEX('Scenario names'!$C$3:$C$6,2),'2.4 PV (by Borough)'!AE93,IF(Dashboard!$D$6=INDEX('Scenario names'!$C$3:$C$6,3),'2.4 PV (by Borough)'!AE134,"Error")))))</f>
        <v>26295575.255718842</v>
      </c>
      <c r="AF175" s="607">
        <f>IF(Dashboard!$D$6="Baseline",'2.4 PV (by Borough)'!AF11,IF(Dashboard!$D$6=INDEX('Scenario names'!$C$3:$C$6,4),'2.4 PV (by Borough)'!AF134,IF(Dashboard!$D$6=INDEX('Scenario names'!$C$3:$C$6,1),'2.4 PV (by Borough)'!AF93,IF(Dashboard!$D$6=INDEX('Scenario names'!$C$3:$C$6,2),'2.4 PV (by Borough)'!AF93,IF(Dashboard!$D$6=INDEX('Scenario names'!$C$3:$C$6,3),'2.4 PV (by Borough)'!AF134,"Error")))))</f>
        <v>28129666.24261266</v>
      </c>
      <c r="AG175" s="607">
        <f>IF(Dashboard!$D$6="Baseline",'2.4 PV (by Borough)'!AG11,IF(Dashboard!$D$6=INDEX('Scenario names'!$C$3:$C$6,4),'2.4 PV (by Borough)'!AG134,IF(Dashboard!$D$6=INDEX('Scenario names'!$C$3:$C$6,1),'2.4 PV (by Borough)'!AG93,IF(Dashboard!$D$6=INDEX('Scenario names'!$C$3:$C$6,2),'2.4 PV (by Borough)'!AG93,IF(Dashboard!$D$6=INDEX('Scenario names'!$C$3:$C$6,3),'2.4 PV (by Borough)'!AG134,"Error")))))</f>
        <v>29963757.229506474</v>
      </c>
      <c r="AH175" s="607">
        <f>IF(Dashboard!$D$6="Baseline",'2.4 PV (by Borough)'!AH11,IF(Dashboard!$D$6=INDEX('Scenario names'!$C$3:$C$6,4),'2.4 PV (by Borough)'!AH134,IF(Dashboard!$D$6=INDEX('Scenario names'!$C$3:$C$6,1),'2.4 PV (by Borough)'!AH93,IF(Dashboard!$D$6=INDEX('Scenario names'!$C$3:$C$6,2),'2.4 PV (by Borough)'!AH93,IF(Dashboard!$D$6=INDEX('Scenario names'!$C$3:$C$6,3),'2.4 PV (by Borough)'!AH134,"Error")))))</f>
        <v>31797848.216400288</v>
      </c>
      <c r="AI175" s="607">
        <f>IF(Dashboard!$D$6="Baseline",'2.4 PV (by Borough)'!AI11,IF(Dashboard!$D$6=INDEX('Scenario names'!$C$3:$C$6,4),'2.4 PV (by Borough)'!AI134,IF(Dashboard!$D$6=INDEX('Scenario names'!$C$3:$C$6,1),'2.4 PV (by Borough)'!AI93,IF(Dashboard!$D$6=INDEX('Scenario names'!$C$3:$C$6,2),'2.4 PV (by Borough)'!AI93,IF(Dashboard!$D$6=INDEX('Scenario names'!$C$3:$C$6,3),'2.4 PV (by Borough)'!AI134,"Error")))))</f>
        <v>33631939.203294121</v>
      </c>
      <c r="AJ175" s="607">
        <f>IF(Dashboard!$D$6="Baseline",'2.4 PV (by Borough)'!AJ11,IF(Dashboard!$D$6=INDEX('Scenario names'!$C$3:$C$6,4),'2.4 PV (by Borough)'!AJ134,IF(Dashboard!$D$6=INDEX('Scenario names'!$C$3:$C$6,1),'2.4 PV (by Borough)'!AJ93,IF(Dashboard!$D$6=INDEX('Scenario names'!$C$3:$C$6,2),'2.4 PV (by Borough)'!AJ93,IF(Dashboard!$D$6=INDEX('Scenario names'!$C$3:$C$6,3),'2.4 PV (by Borough)'!AJ134,"Error")))))</f>
        <v>35466030.190187946</v>
      </c>
      <c r="AK175" s="607">
        <f>IF(Dashboard!$D$6="Baseline",'2.4 PV (by Borough)'!AK11,IF(Dashboard!$D$6=INDEX('Scenario names'!$C$3:$C$6,4),'2.4 PV (by Borough)'!AK134,IF(Dashboard!$D$6=INDEX('Scenario names'!$C$3:$C$6,1),'2.4 PV (by Borough)'!AK93,IF(Dashboard!$D$6=INDEX('Scenario names'!$C$3:$C$6,2),'2.4 PV (by Borough)'!AK93,IF(Dashboard!$D$6=INDEX('Scenario names'!$C$3:$C$6,3),'2.4 PV (by Borough)'!AK134,"Error")))))</f>
        <v>37300121.177081771</v>
      </c>
      <c r="AL175" s="607">
        <f>IF(Dashboard!$D$6="Baseline",'2.4 PV (by Borough)'!AL11,IF(Dashboard!$D$6=INDEX('Scenario names'!$C$3:$C$6,4),'2.4 PV (by Borough)'!AL134,IF(Dashboard!$D$6=INDEX('Scenario names'!$C$3:$C$6,1),'2.4 PV (by Borough)'!AL93,IF(Dashboard!$D$6=INDEX('Scenario names'!$C$3:$C$6,2),'2.4 PV (by Borough)'!AL93,IF(Dashboard!$D$6=INDEX('Scenario names'!$C$3:$C$6,3),'2.4 PV (by Borough)'!AL134,"Error")))))</f>
        <v>39134212.163975589</v>
      </c>
      <c r="AM175" s="607">
        <f>IF(Dashboard!$D$6="Baseline",'2.4 PV (by Borough)'!AM11,IF(Dashboard!$D$6=INDEX('Scenario names'!$C$3:$C$6,4),'2.4 PV (by Borough)'!AM134,IF(Dashboard!$D$6=INDEX('Scenario names'!$C$3:$C$6,1),'2.4 PV (by Borough)'!AM93,IF(Dashboard!$D$6=INDEX('Scenario names'!$C$3:$C$6,2),'2.4 PV (by Borough)'!AM93,IF(Dashboard!$D$6=INDEX('Scenario names'!$C$3:$C$6,3),'2.4 PV (by Borough)'!AM134,"Error")))))</f>
        <v>40968303.150869407</v>
      </c>
      <c r="AN175" s="607">
        <f>IF(Dashboard!$D$6="Baseline",'2.4 PV (by Borough)'!AN11,IF(Dashboard!$D$6=INDEX('Scenario names'!$C$3:$C$6,4),'2.4 PV (by Borough)'!AN134,IF(Dashboard!$D$6=INDEX('Scenario names'!$C$3:$C$6,1),'2.4 PV (by Borough)'!AN93,IF(Dashboard!$D$6=INDEX('Scenario names'!$C$3:$C$6,2),'2.4 PV (by Borough)'!AN93,IF(Dashboard!$D$6=INDEX('Scenario names'!$C$3:$C$6,3),'2.4 PV (by Borough)'!AN134,"Error")))))</f>
        <v>42802394.137763239</v>
      </c>
      <c r="AO175" s="607">
        <f>IF(Dashboard!$D$6="Baseline",'2.4 PV (by Borough)'!AO11,IF(Dashboard!$D$6=INDEX('Scenario names'!$C$3:$C$6,4),'2.4 PV (by Borough)'!AO134,IF(Dashboard!$D$6=INDEX('Scenario names'!$C$3:$C$6,1),'2.4 PV (by Borough)'!AO93,IF(Dashboard!$D$6=INDEX('Scenario names'!$C$3:$C$6,2),'2.4 PV (by Borough)'!AO93,IF(Dashboard!$D$6=INDEX('Scenario names'!$C$3:$C$6,3),'2.4 PV (by Borough)'!AO134,"Error")))))</f>
        <v>44636485.124657065</v>
      </c>
      <c r="AP175" s="607">
        <f>IF(Dashboard!$D$6="Baseline",'2.4 PV (by Borough)'!AP11,IF(Dashboard!$D$6=INDEX('Scenario names'!$C$3:$C$6,4),'2.4 PV (by Borough)'!AP134,IF(Dashboard!$D$6=INDEX('Scenario names'!$C$3:$C$6,1),'2.4 PV (by Borough)'!AP93,IF(Dashboard!$D$6=INDEX('Scenario names'!$C$3:$C$6,2),'2.4 PV (by Borough)'!AP93,IF(Dashboard!$D$6=INDEX('Scenario names'!$C$3:$C$6,3),'2.4 PV (by Borough)'!AP134,"Error")))))</f>
        <v>46470576.11155089</v>
      </c>
      <c r="AQ175" s="607">
        <f>IF(Dashboard!$D$6="Baseline",'2.4 PV (by Borough)'!AQ11,IF(Dashboard!$D$6=INDEX('Scenario names'!$C$3:$C$6,4),'2.4 PV (by Borough)'!AQ134,IF(Dashboard!$D$6=INDEX('Scenario names'!$C$3:$C$6,1),'2.4 PV (by Borough)'!AQ93,IF(Dashboard!$D$6=INDEX('Scenario names'!$C$3:$C$6,2),'2.4 PV (by Borough)'!AQ93,IF(Dashboard!$D$6=INDEX('Scenario names'!$C$3:$C$6,3),'2.4 PV (by Borough)'!AQ134,"Error")))))</f>
        <v>48304667.098444693</v>
      </c>
      <c r="AR175" s="607">
        <f>IF(Dashboard!$D$6="Baseline",'2.4 PV (by Borough)'!AR11,IF(Dashboard!$D$6=INDEX('Scenario names'!$C$3:$C$6,4),'2.4 PV (by Borough)'!AR134,IF(Dashboard!$D$6=INDEX('Scenario names'!$C$3:$C$6,1),'2.4 PV (by Borough)'!AR93,IF(Dashboard!$D$6=INDEX('Scenario names'!$C$3:$C$6,2),'2.4 PV (by Borough)'!AR93,IF(Dashboard!$D$6=INDEX('Scenario names'!$C$3:$C$6,3),'2.4 PV (by Borough)'!AR134,"Error")))))</f>
        <v>50138758.08533854</v>
      </c>
      <c r="AS175" s="607">
        <f>IF(Dashboard!$D$6="Baseline",'2.4 PV (by Borough)'!AS11,IF(Dashboard!$D$6=INDEX('Scenario names'!$C$3:$C$6,4),'2.4 PV (by Borough)'!AS134,IF(Dashboard!$D$6=INDEX('Scenario names'!$C$3:$C$6,1),'2.4 PV (by Borough)'!AS93,IF(Dashboard!$D$6=INDEX('Scenario names'!$C$3:$C$6,2),'2.4 PV (by Borough)'!AS93,IF(Dashboard!$D$6=INDEX('Scenario names'!$C$3:$C$6,3),'2.4 PV (by Borough)'!AS134,"Error")))))</f>
        <v>51972849.072232343</v>
      </c>
      <c r="AT175" s="607">
        <f>IF(Dashboard!$D$6="Baseline",'2.4 PV (by Borough)'!AT11,IF(Dashboard!$D$6=INDEX('Scenario names'!$C$3:$C$6,4),'2.4 PV (by Borough)'!AT134,IF(Dashboard!$D$6=INDEX('Scenario names'!$C$3:$C$6,1),'2.4 PV (by Borough)'!AT93,IF(Dashboard!$D$6=INDEX('Scenario names'!$C$3:$C$6,2),'2.4 PV (by Borough)'!AT93,IF(Dashboard!$D$6=INDEX('Scenario names'!$C$3:$C$6,3),'2.4 PV (by Borough)'!AT134,"Error")))))</f>
        <v>53806940.059126161</v>
      </c>
      <c r="AU175" s="607">
        <f>IF(Dashboard!$D$6="Baseline",'2.4 PV (by Borough)'!AU11,IF(Dashboard!$D$6=INDEX('Scenario names'!$C$3:$C$6,4),'2.4 PV (by Borough)'!AU134,IF(Dashboard!$D$6=INDEX('Scenario names'!$C$3:$C$6,1),'2.4 PV (by Borough)'!AU93,IF(Dashboard!$D$6=INDEX('Scenario names'!$C$3:$C$6,2),'2.4 PV (by Borough)'!AU93,IF(Dashboard!$D$6=INDEX('Scenario names'!$C$3:$C$6,3),'2.4 PV (by Borough)'!AU134,"Error")))))</f>
        <v>55641031.046019986</v>
      </c>
      <c r="AV175" s="607">
        <f>IF(Dashboard!$D$6="Baseline",'2.4 PV (by Borough)'!AV11,IF(Dashboard!$D$6=INDEX('Scenario names'!$C$3:$C$6,4),'2.4 PV (by Borough)'!AV134,IF(Dashboard!$D$6=INDEX('Scenario names'!$C$3:$C$6,1),'2.4 PV (by Borough)'!AV93,IF(Dashboard!$D$6=INDEX('Scenario names'!$C$3:$C$6,2),'2.4 PV (by Borough)'!AV93,IF(Dashboard!$D$6=INDEX('Scenario names'!$C$3:$C$6,3),'2.4 PV (by Borough)'!AV134,"Error")))))</f>
        <v>57475122.032913826</v>
      </c>
      <c r="AW175" s="607">
        <f>IF(Dashboard!$D$6="Baseline",'2.4 PV (by Borough)'!AW11,IF(Dashboard!$D$6=INDEX('Scenario names'!$C$3:$C$6,4),'2.4 PV (by Borough)'!AW134,IF(Dashboard!$D$6=INDEX('Scenario names'!$C$3:$C$6,1),'2.4 PV (by Borough)'!AW93,IF(Dashboard!$D$6=INDEX('Scenario names'!$C$3:$C$6,2),'2.4 PV (by Borough)'!AW93,IF(Dashboard!$D$6=INDEX('Scenario names'!$C$3:$C$6,3),'2.4 PV (by Borough)'!AW134,"Error")))))</f>
        <v>59309213.019807644</v>
      </c>
      <c r="AX175" s="607">
        <f>IF(Dashboard!$D$6="Baseline",'2.4 PV (by Borough)'!AX11,IF(Dashboard!$D$6=INDEX('Scenario names'!$C$3:$C$6,4),'2.4 PV (by Borough)'!AX134,IF(Dashboard!$D$6=INDEX('Scenario names'!$C$3:$C$6,1),'2.4 PV (by Borough)'!AX93,IF(Dashboard!$D$6=INDEX('Scenario names'!$C$3:$C$6,2),'2.4 PV (by Borough)'!AX93,IF(Dashboard!$D$6=INDEX('Scenario names'!$C$3:$C$6,3),'2.4 PV (by Borough)'!AX134,"Error")))))</f>
        <v>61143304.006701455</v>
      </c>
      <c r="AY175" s="36"/>
      <c r="AZ175" s="36"/>
      <c r="BA175" s="36"/>
      <c r="BB175" s="36"/>
    </row>
    <row r="176" spans="3:54">
      <c r="D176" t="s">
        <v>661</v>
      </c>
      <c r="E176" t="s">
        <v>630</v>
      </c>
      <c r="G176" s="44"/>
      <c r="I176" s="44"/>
      <c r="K176" s="44"/>
      <c r="M176" s="44"/>
      <c r="O176" s="607">
        <f>IF(Dashboard!$D$6="Baseline",'2.4 PV (by Borough)'!O12,IF(Dashboard!$D$6=INDEX('Scenario names'!$C$3:$C$6,4),'2.4 PV (by Borough)'!O135,IF(Dashboard!$D$6=INDEX('Scenario names'!$C$3:$C$6,1),'2.4 PV (by Borough)'!O94,IF(Dashboard!$D$6=INDEX('Scenario names'!$C$3:$C$6,2),'2.4 PV (by Borough)'!O94,IF(Dashboard!$D$6=INDEX('Scenario names'!$C$3:$C$6,3),'2.4 PV (by Borough)'!O135,"Error")))))</f>
        <v>2754959.5909112915</v>
      </c>
      <c r="P176" s="607">
        <f>IF(Dashboard!$D$6="Baseline",'2.4 PV (by Borough)'!P12,IF(Dashboard!$D$6=INDEX('Scenario names'!$C$3:$C$6,4),'2.4 PV (by Borough)'!P135,IF(Dashboard!$D$6=INDEX('Scenario names'!$C$3:$C$6,1),'2.4 PV (by Borough)'!P94,IF(Dashboard!$D$6=INDEX('Scenario names'!$C$3:$C$6,2),'2.4 PV (by Borough)'!P94,IF(Dashboard!$D$6=INDEX('Scenario names'!$C$3:$C$6,3),'2.4 PV (by Borough)'!P135,"Error")))))</f>
        <v>4822280.0461455053</v>
      </c>
      <c r="Q176" s="607">
        <f>IF(Dashboard!$D$6="Baseline",'2.4 PV (by Borough)'!Q12,IF(Dashboard!$D$6=INDEX('Scenario names'!$C$3:$C$6,4),'2.4 PV (by Borough)'!Q135,IF(Dashboard!$D$6=INDEX('Scenario names'!$C$3:$C$6,1),'2.4 PV (by Borough)'!Q94,IF(Dashboard!$D$6=INDEX('Scenario names'!$C$3:$C$6,2),'2.4 PV (by Borough)'!Q94,IF(Dashboard!$D$6=INDEX('Scenario names'!$C$3:$C$6,3),'2.4 PV (by Borough)'!Q135,"Error")))))</f>
        <v>6889600.5013797199</v>
      </c>
      <c r="R176" s="607">
        <f>IF(Dashboard!$D$6="Baseline",'2.4 PV (by Borough)'!R12,IF(Dashboard!$D$6=INDEX('Scenario names'!$C$3:$C$6,4),'2.4 PV (by Borough)'!R135,IF(Dashboard!$D$6=INDEX('Scenario names'!$C$3:$C$6,1),'2.4 PV (by Borough)'!R94,IF(Dashboard!$D$6=INDEX('Scenario names'!$C$3:$C$6,2),'2.4 PV (by Borough)'!R94,IF(Dashboard!$D$6=INDEX('Scenario names'!$C$3:$C$6,3),'2.4 PV (by Borough)'!R135,"Error")))))</f>
        <v>8956920.9566139374</v>
      </c>
      <c r="S176" s="607">
        <f>IF(Dashboard!$D$6="Baseline",'2.4 PV (by Borough)'!S12,IF(Dashboard!$D$6=INDEX('Scenario names'!$C$3:$C$6,4),'2.4 PV (by Borough)'!S135,IF(Dashboard!$D$6=INDEX('Scenario names'!$C$3:$C$6,1),'2.4 PV (by Borough)'!S94,IF(Dashboard!$D$6=INDEX('Scenario names'!$C$3:$C$6,2),'2.4 PV (by Borough)'!S94,IF(Dashboard!$D$6=INDEX('Scenario names'!$C$3:$C$6,3),'2.4 PV (by Borough)'!S135,"Error")))))</f>
        <v>11024241.411848152</v>
      </c>
      <c r="T176" s="607">
        <f>IF(Dashboard!$D$6="Baseline",'2.4 PV (by Borough)'!T12,IF(Dashboard!$D$6=INDEX('Scenario names'!$C$3:$C$6,4),'2.4 PV (by Borough)'!T135,IF(Dashboard!$D$6=INDEX('Scenario names'!$C$3:$C$6,1),'2.4 PV (by Borough)'!T94,IF(Dashboard!$D$6=INDEX('Scenario names'!$C$3:$C$6,2),'2.4 PV (by Borough)'!T94,IF(Dashboard!$D$6=INDEX('Scenario names'!$C$3:$C$6,3),'2.4 PV (by Borough)'!T135,"Error")))))</f>
        <v>13091561.867082369</v>
      </c>
      <c r="U176" s="607">
        <f>IF(Dashboard!$D$6="Baseline",'2.4 PV (by Borough)'!U12,IF(Dashboard!$D$6=INDEX('Scenario names'!$C$3:$C$6,4),'2.4 PV (by Borough)'!U135,IF(Dashboard!$D$6=INDEX('Scenario names'!$C$3:$C$6,1),'2.4 PV (by Borough)'!U94,IF(Dashboard!$D$6=INDEX('Scenario names'!$C$3:$C$6,2),'2.4 PV (by Borough)'!U94,IF(Dashboard!$D$6=INDEX('Scenario names'!$C$3:$C$6,3),'2.4 PV (by Borough)'!U135,"Error")))))</f>
        <v>15158882.32231658</v>
      </c>
      <c r="V176" s="607">
        <f>IF(Dashboard!$D$6="Baseline",'2.4 PV (by Borough)'!V12,IF(Dashboard!$D$6=INDEX('Scenario names'!$C$3:$C$6,4),'2.4 PV (by Borough)'!V135,IF(Dashboard!$D$6=INDEX('Scenario names'!$C$3:$C$6,1),'2.4 PV (by Borough)'!V94,IF(Dashboard!$D$6=INDEX('Scenario names'!$C$3:$C$6,2),'2.4 PV (by Borough)'!V94,IF(Dashboard!$D$6=INDEX('Scenario names'!$C$3:$C$6,3),'2.4 PV (by Borough)'!V135,"Error")))))</f>
        <v>17226202.777550794</v>
      </c>
      <c r="W176" s="607">
        <f>IF(Dashboard!$D$6="Baseline",'2.4 PV (by Borough)'!W12,IF(Dashboard!$D$6=INDEX('Scenario names'!$C$3:$C$6,4),'2.4 PV (by Borough)'!W135,IF(Dashboard!$D$6=INDEX('Scenario names'!$C$3:$C$6,1),'2.4 PV (by Borough)'!W94,IF(Dashboard!$D$6=INDEX('Scenario names'!$C$3:$C$6,2),'2.4 PV (by Borough)'!W94,IF(Dashboard!$D$6=INDEX('Scenario names'!$C$3:$C$6,3),'2.4 PV (by Borough)'!W135,"Error")))))</f>
        <v>19293523.232785013</v>
      </c>
      <c r="X176" s="607">
        <f>IF(Dashboard!$D$6="Baseline",'2.4 PV (by Borough)'!X12,IF(Dashboard!$D$6=INDEX('Scenario names'!$C$3:$C$6,4),'2.4 PV (by Borough)'!X135,IF(Dashboard!$D$6=INDEX('Scenario names'!$C$3:$C$6,1),'2.4 PV (by Borough)'!X94,IF(Dashboard!$D$6=INDEX('Scenario names'!$C$3:$C$6,2),'2.4 PV (by Borough)'!X94,IF(Dashboard!$D$6=INDEX('Scenario names'!$C$3:$C$6,3),'2.4 PV (by Borough)'!X135,"Error")))))</f>
        <v>21360843.688019227</v>
      </c>
      <c r="Y176" s="607">
        <f>IF(Dashboard!$D$6="Baseline",'2.4 PV (by Borough)'!Y12,IF(Dashboard!$D$6=INDEX('Scenario names'!$C$3:$C$6,4),'2.4 PV (by Borough)'!Y135,IF(Dashboard!$D$6=INDEX('Scenario names'!$C$3:$C$6,1),'2.4 PV (by Borough)'!Y94,IF(Dashboard!$D$6=INDEX('Scenario names'!$C$3:$C$6,2),'2.4 PV (by Borough)'!Y94,IF(Dashboard!$D$6=INDEX('Scenario names'!$C$3:$C$6,3),'2.4 PV (by Borough)'!Y135,"Error")))))</f>
        <v>23428164.143253446</v>
      </c>
      <c r="Z176" s="607">
        <f>IF(Dashboard!$D$6="Baseline",'2.4 PV (by Borough)'!Z12,IF(Dashboard!$D$6=INDEX('Scenario names'!$C$3:$C$6,4),'2.4 PV (by Borough)'!Z135,IF(Dashboard!$D$6=INDEX('Scenario names'!$C$3:$C$6,1),'2.4 PV (by Borough)'!Z94,IF(Dashboard!$D$6=INDEX('Scenario names'!$C$3:$C$6,2),'2.4 PV (by Borough)'!Z94,IF(Dashboard!$D$6=INDEX('Scenario names'!$C$3:$C$6,3),'2.4 PV (by Borough)'!Z135,"Error")))))</f>
        <v>25940344.494653165</v>
      </c>
      <c r="AA176" s="607">
        <f>IF(Dashboard!$D$6="Baseline",'2.4 PV (by Borough)'!AA12,IF(Dashboard!$D$6=INDEX('Scenario names'!$C$3:$C$6,4),'2.4 PV (by Borough)'!AA135,IF(Dashboard!$D$6=INDEX('Scenario names'!$C$3:$C$6,1),'2.4 PV (by Borough)'!AA94,IF(Dashboard!$D$6=INDEX('Scenario names'!$C$3:$C$6,2),'2.4 PV (by Borough)'!AA94,IF(Dashboard!$D$6=INDEX('Scenario names'!$C$3:$C$6,3),'2.4 PV (by Borough)'!AA135,"Error")))))</f>
        <v>28452524.846052881</v>
      </c>
      <c r="AB176" s="607">
        <f>IF(Dashboard!$D$6="Baseline",'2.4 PV (by Borough)'!AB12,IF(Dashboard!$D$6=INDEX('Scenario names'!$C$3:$C$6,4),'2.4 PV (by Borough)'!AB135,IF(Dashboard!$D$6=INDEX('Scenario names'!$C$3:$C$6,1),'2.4 PV (by Borough)'!AB94,IF(Dashboard!$D$6=INDEX('Scenario names'!$C$3:$C$6,2),'2.4 PV (by Borough)'!AB94,IF(Dashboard!$D$6=INDEX('Scenario names'!$C$3:$C$6,3),'2.4 PV (by Borough)'!AB135,"Error")))))</f>
        <v>30964705.197452601</v>
      </c>
      <c r="AC176" s="607">
        <f>IF(Dashboard!$D$6="Baseline",'2.4 PV (by Borough)'!AC12,IF(Dashboard!$D$6=INDEX('Scenario names'!$C$3:$C$6,4),'2.4 PV (by Borough)'!AC135,IF(Dashboard!$D$6=INDEX('Scenario names'!$C$3:$C$6,1),'2.4 PV (by Borough)'!AC94,IF(Dashboard!$D$6=INDEX('Scenario names'!$C$3:$C$6,2),'2.4 PV (by Borough)'!AC94,IF(Dashboard!$D$6=INDEX('Scenario names'!$C$3:$C$6,3),'2.4 PV (by Borough)'!AC135,"Error")))))</f>
        <v>33476885.548852324</v>
      </c>
      <c r="AD176" s="607">
        <f>IF(Dashboard!$D$6="Baseline",'2.4 PV (by Borough)'!AD12,IF(Dashboard!$D$6=INDEX('Scenario names'!$C$3:$C$6,4),'2.4 PV (by Borough)'!AD135,IF(Dashboard!$D$6=INDEX('Scenario names'!$C$3:$C$6,1),'2.4 PV (by Borough)'!AD94,IF(Dashboard!$D$6=INDEX('Scenario names'!$C$3:$C$6,2),'2.4 PV (by Borough)'!AD94,IF(Dashboard!$D$6=INDEX('Scenario names'!$C$3:$C$6,3),'2.4 PV (by Borough)'!AD135,"Error")))))</f>
        <v>35989065.900252044</v>
      </c>
      <c r="AE176" s="607">
        <f>IF(Dashboard!$D$6="Baseline",'2.4 PV (by Borough)'!AE12,IF(Dashboard!$D$6=INDEX('Scenario names'!$C$3:$C$6,4),'2.4 PV (by Borough)'!AE135,IF(Dashboard!$D$6=INDEX('Scenario names'!$C$3:$C$6,1),'2.4 PV (by Borough)'!AE94,IF(Dashboard!$D$6=INDEX('Scenario names'!$C$3:$C$6,2),'2.4 PV (by Borough)'!AE94,IF(Dashboard!$D$6=INDEX('Scenario names'!$C$3:$C$6,3),'2.4 PV (by Borough)'!AE135,"Error")))))</f>
        <v>38501246.251651764</v>
      </c>
      <c r="AF176" s="607">
        <f>IF(Dashboard!$D$6="Baseline",'2.4 PV (by Borough)'!AF12,IF(Dashboard!$D$6=INDEX('Scenario names'!$C$3:$C$6,4),'2.4 PV (by Borough)'!AF135,IF(Dashboard!$D$6=INDEX('Scenario names'!$C$3:$C$6,1),'2.4 PV (by Borough)'!AF94,IF(Dashboard!$D$6=INDEX('Scenario names'!$C$3:$C$6,2),'2.4 PV (by Borough)'!AF94,IF(Dashboard!$D$6=INDEX('Scenario names'!$C$3:$C$6,3),'2.4 PV (by Borough)'!AF135,"Error")))))</f>
        <v>41013426.603051476</v>
      </c>
      <c r="AG176" s="607">
        <f>IF(Dashboard!$D$6="Baseline",'2.4 PV (by Borough)'!AG12,IF(Dashboard!$D$6=INDEX('Scenario names'!$C$3:$C$6,4),'2.4 PV (by Borough)'!AG135,IF(Dashboard!$D$6=INDEX('Scenario names'!$C$3:$C$6,1),'2.4 PV (by Borough)'!AG94,IF(Dashboard!$D$6=INDEX('Scenario names'!$C$3:$C$6,2),'2.4 PV (by Borough)'!AG94,IF(Dashboard!$D$6=INDEX('Scenario names'!$C$3:$C$6,3),'2.4 PV (by Borough)'!AG135,"Error")))))</f>
        <v>43525606.954451203</v>
      </c>
      <c r="AH176" s="607">
        <f>IF(Dashboard!$D$6="Baseline",'2.4 PV (by Borough)'!AH12,IF(Dashboard!$D$6=INDEX('Scenario names'!$C$3:$C$6,4),'2.4 PV (by Borough)'!AH135,IF(Dashboard!$D$6=INDEX('Scenario names'!$C$3:$C$6,1),'2.4 PV (by Borough)'!AH94,IF(Dashboard!$D$6=INDEX('Scenario names'!$C$3:$C$6,2),'2.4 PV (by Borough)'!AH94,IF(Dashboard!$D$6=INDEX('Scenario names'!$C$3:$C$6,3),'2.4 PV (by Borough)'!AH135,"Error")))))</f>
        <v>46037787.305850931</v>
      </c>
      <c r="AI176" s="607">
        <f>IF(Dashboard!$D$6="Baseline",'2.4 PV (by Borough)'!AI12,IF(Dashboard!$D$6=INDEX('Scenario names'!$C$3:$C$6,4),'2.4 PV (by Borough)'!AI135,IF(Dashboard!$D$6=INDEX('Scenario names'!$C$3:$C$6,1),'2.4 PV (by Borough)'!AI94,IF(Dashboard!$D$6=INDEX('Scenario names'!$C$3:$C$6,2),'2.4 PV (by Borough)'!AI94,IF(Dashboard!$D$6=INDEX('Scenario names'!$C$3:$C$6,3),'2.4 PV (by Borough)'!AI135,"Error")))))</f>
        <v>48549967.657250643</v>
      </c>
      <c r="AJ176" s="607">
        <f>IF(Dashboard!$D$6="Baseline",'2.4 PV (by Borough)'!AJ12,IF(Dashboard!$D$6=INDEX('Scenario names'!$C$3:$C$6,4),'2.4 PV (by Borough)'!AJ135,IF(Dashboard!$D$6=INDEX('Scenario names'!$C$3:$C$6,1),'2.4 PV (by Borough)'!AJ94,IF(Dashboard!$D$6=INDEX('Scenario names'!$C$3:$C$6,2),'2.4 PV (by Borough)'!AJ94,IF(Dashboard!$D$6=INDEX('Scenario names'!$C$3:$C$6,3),'2.4 PV (by Borough)'!AJ135,"Error")))))</f>
        <v>51062148.00865037</v>
      </c>
      <c r="AK176" s="607">
        <f>IF(Dashboard!$D$6="Baseline",'2.4 PV (by Borough)'!AK12,IF(Dashboard!$D$6=INDEX('Scenario names'!$C$3:$C$6,4),'2.4 PV (by Borough)'!AK135,IF(Dashboard!$D$6=INDEX('Scenario names'!$C$3:$C$6,1),'2.4 PV (by Borough)'!AK94,IF(Dashboard!$D$6=INDEX('Scenario names'!$C$3:$C$6,2),'2.4 PV (by Borough)'!AK94,IF(Dashboard!$D$6=INDEX('Scenario names'!$C$3:$C$6,3),'2.4 PV (by Borough)'!AK135,"Error")))))</f>
        <v>53574328.360050082</v>
      </c>
      <c r="AL176" s="607">
        <f>IF(Dashboard!$D$6="Baseline",'2.4 PV (by Borough)'!AL12,IF(Dashboard!$D$6=INDEX('Scenario names'!$C$3:$C$6,4),'2.4 PV (by Borough)'!AL135,IF(Dashboard!$D$6=INDEX('Scenario names'!$C$3:$C$6,1),'2.4 PV (by Borough)'!AL94,IF(Dashboard!$D$6=INDEX('Scenario names'!$C$3:$C$6,2),'2.4 PV (by Borough)'!AL94,IF(Dashboard!$D$6=INDEX('Scenario names'!$C$3:$C$6,3),'2.4 PV (by Borough)'!AL135,"Error")))))</f>
        <v>56086508.711449809</v>
      </c>
      <c r="AM176" s="607">
        <f>IF(Dashboard!$D$6="Baseline",'2.4 PV (by Borough)'!AM12,IF(Dashboard!$D$6=INDEX('Scenario names'!$C$3:$C$6,4),'2.4 PV (by Borough)'!AM135,IF(Dashboard!$D$6=INDEX('Scenario names'!$C$3:$C$6,1),'2.4 PV (by Borough)'!AM94,IF(Dashboard!$D$6=INDEX('Scenario names'!$C$3:$C$6,2),'2.4 PV (by Borough)'!AM94,IF(Dashboard!$D$6=INDEX('Scenario names'!$C$3:$C$6,3),'2.4 PV (by Borough)'!AM135,"Error")))))</f>
        <v>58598689.062849529</v>
      </c>
      <c r="AN176" s="607">
        <f>IF(Dashboard!$D$6="Baseline",'2.4 PV (by Borough)'!AN12,IF(Dashboard!$D$6=INDEX('Scenario names'!$C$3:$C$6,4),'2.4 PV (by Borough)'!AN135,IF(Dashboard!$D$6=INDEX('Scenario names'!$C$3:$C$6,1),'2.4 PV (by Borough)'!AN94,IF(Dashboard!$D$6=INDEX('Scenario names'!$C$3:$C$6,2),'2.4 PV (by Borough)'!AN94,IF(Dashboard!$D$6=INDEX('Scenario names'!$C$3:$C$6,3),'2.4 PV (by Borough)'!AN135,"Error")))))</f>
        <v>61110869.414249249</v>
      </c>
      <c r="AO176" s="607">
        <f>IF(Dashboard!$D$6="Baseline",'2.4 PV (by Borough)'!AO12,IF(Dashboard!$D$6=INDEX('Scenario names'!$C$3:$C$6,4),'2.4 PV (by Borough)'!AO135,IF(Dashboard!$D$6=INDEX('Scenario names'!$C$3:$C$6,1),'2.4 PV (by Borough)'!AO94,IF(Dashboard!$D$6=INDEX('Scenario names'!$C$3:$C$6,2),'2.4 PV (by Borough)'!AO94,IF(Dashboard!$D$6=INDEX('Scenario names'!$C$3:$C$6,3),'2.4 PV (by Borough)'!AO135,"Error")))))</f>
        <v>63623049.765648969</v>
      </c>
      <c r="AP176" s="607">
        <f>IF(Dashboard!$D$6="Baseline",'2.4 PV (by Borough)'!AP12,IF(Dashboard!$D$6=INDEX('Scenario names'!$C$3:$C$6,4),'2.4 PV (by Borough)'!AP135,IF(Dashboard!$D$6=INDEX('Scenario names'!$C$3:$C$6,1),'2.4 PV (by Borough)'!AP94,IF(Dashboard!$D$6=INDEX('Scenario names'!$C$3:$C$6,2),'2.4 PV (by Borough)'!AP94,IF(Dashboard!$D$6=INDEX('Scenario names'!$C$3:$C$6,3),'2.4 PV (by Borough)'!AP135,"Error")))))</f>
        <v>66135230.117048696</v>
      </c>
      <c r="AQ176" s="607">
        <f>IF(Dashboard!$D$6="Baseline",'2.4 PV (by Borough)'!AQ12,IF(Dashboard!$D$6=INDEX('Scenario names'!$C$3:$C$6,4),'2.4 PV (by Borough)'!AQ135,IF(Dashboard!$D$6=INDEX('Scenario names'!$C$3:$C$6,1),'2.4 PV (by Borough)'!AQ94,IF(Dashboard!$D$6=INDEX('Scenario names'!$C$3:$C$6,2),'2.4 PV (by Borough)'!AQ94,IF(Dashboard!$D$6=INDEX('Scenario names'!$C$3:$C$6,3),'2.4 PV (by Borough)'!AQ135,"Error")))))</f>
        <v>68647410.468448415</v>
      </c>
      <c r="AR176" s="607">
        <f>IF(Dashboard!$D$6="Baseline",'2.4 PV (by Borough)'!AR12,IF(Dashboard!$D$6=INDEX('Scenario names'!$C$3:$C$6,4),'2.4 PV (by Borough)'!AR135,IF(Dashboard!$D$6=INDEX('Scenario names'!$C$3:$C$6,1),'2.4 PV (by Borough)'!AR94,IF(Dashboard!$D$6=INDEX('Scenario names'!$C$3:$C$6,2),'2.4 PV (by Borough)'!AR94,IF(Dashboard!$D$6=INDEX('Scenario names'!$C$3:$C$6,3),'2.4 PV (by Borough)'!AR135,"Error")))))</f>
        <v>71159590.819848135</v>
      </c>
      <c r="AS176" s="607">
        <f>IF(Dashboard!$D$6="Baseline",'2.4 PV (by Borough)'!AS12,IF(Dashboard!$D$6=INDEX('Scenario names'!$C$3:$C$6,4),'2.4 PV (by Borough)'!AS135,IF(Dashboard!$D$6=INDEX('Scenario names'!$C$3:$C$6,1),'2.4 PV (by Borough)'!AS94,IF(Dashboard!$D$6=INDEX('Scenario names'!$C$3:$C$6,2),'2.4 PV (by Borough)'!AS94,IF(Dashboard!$D$6=INDEX('Scenario names'!$C$3:$C$6,3),'2.4 PV (by Borough)'!AS135,"Error")))))</f>
        <v>73671771.17124787</v>
      </c>
      <c r="AT176" s="607">
        <f>IF(Dashboard!$D$6="Baseline",'2.4 PV (by Borough)'!AT12,IF(Dashboard!$D$6=INDEX('Scenario names'!$C$3:$C$6,4),'2.4 PV (by Borough)'!AT135,IF(Dashboard!$D$6=INDEX('Scenario names'!$C$3:$C$6,1),'2.4 PV (by Borough)'!AT94,IF(Dashboard!$D$6=INDEX('Scenario names'!$C$3:$C$6,2),'2.4 PV (by Borough)'!AT94,IF(Dashboard!$D$6=INDEX('Scenario names'!$C$3:$C$6,3),'2.4 PV (by Borough)'!AT135,"Error")))))</f>
        <v>76183951.522647589</v>
      </c>
      <c r="AU176" s="607">
        <f>IF(Dashboard!$D$6="Baseline",'2.4 PV (by Borough)'!AU12,IF(Dashboard!$D$6=INDEX('Scenario names'!$C$3:$C$6,4),'2.4 PV (by Borough)'!AU135,IF(Dashboard!$D$6=INDEX('Scenario names'!$C$3:$C$6,1),'2.4 PV (by Borough)'!AU94,IF(Dashboard!$D$6=INDEX('Scenario names'!$C$3:$C$6,2),'2.4 PV (by Borough)'!AU94,IF(Dashboard!$D$6=INDEX('Scenario names'!$C$3:$C$6,3),'2.4 PV (by Borough)'!AU135,"Error")))))</f>
        <v>78696131.874047279</v>
      </c>
      <c r="AV176" s="607">
        <f>IF(Dashboard!$D$6="Baseline",'2.4 PV (by Borough)'!AV12,IF(Dashboard!$D$6=INDEX('Scenario names'!$C$3:$C$6,4),'2.4 PV (by Borough)'!AV135,IF(Dashboard!$D$6=INDEX('Scenario names'!$C$3:$C$6,1),'2.4 PV (by Borough)'!AV94,IF(Dashboard!$D$6=INDEX('Scenario names'!$C$3:$C$6,2),'2.4 PV (by Borough)'!AV94,IF(Dashboard!$D$6=INDEX('Scenario names'!$C$3:$C$6,3),'2.4 PV (by Borough)'!AV135,"Error")))))</f>
        <v>81208312.225446999</v>
      </c>
      <c r="AW176" s="607">
        <f>IF(Dashboard!$D$6="Baseline",'2.4 PV (by Borough)'!AW12,IF(Dashboard!$D$6=INDEX('Scenario names'!$C$3:$C$6,4),'2.4 PV (by Borough)'!AW135,IF(Dashboard!$D$6=INDEX('Scenario names'!$C$3:$C$6,1),'2.4 PV (by Borough)'!AW94,IF(Dashboard!$D$6=INDEX('Scenario names'!$C$3:$C$6,2),'2.4 PV (by Borough)'!AW94,IF(Dashboard!$D$6=INDEX('Scenario names'!$C$3:$C$6,3),'2.4 PV (by Borough)'!AW135,"Error")))))</f>
        <v>83720492.576846749</v>
      </c>
      <c r="AX176" s="607">
        <f>IF(Dashboard!$D$6="Baseline",'2.4 PV (by Borough)'!AX12,IF(Dashboard!$D$6=INDEX('Scenario names'!$C$3:$C$6,4),'2.4 PV (by Borough)'!AX135,IF(Dashboard!$D$6=INDEX('Scenario names'!$C$3:$C$6,1),'2.4 PV (by Borough)'!AX94,IF(Dashboard!$D$6=INDEX('Scenario names'!$C$3:$C$6,2),'2.4 PV (by Borough)'!AX94,IF(Dashboard!$D$6=INDEX('Scenario names'!$C$3:$C$6,3),'2.4 PV (by Borough)'!AX135,"Error")))))</f>
        <v>86232672.928246439</v>
      </c>
      <c r="AY176" s="36"/>
      <c r="AZ176" s="36"/>
      <c r="BA176" s="36"/>
      <c r="BB176" s="36"/>
    </row>
    <row r="177" spans="4:54">
      <c r="D177" t="s">
        <v>660</v>
      </c>
      <c r="E177" t="s">
        <v>631</v>
      </c>
      <c r="G177" s="44"/>
      <c r="I177" s="44"/>
      <c r="K177" s="44"/>
      <c r="M177" s="44"/>
      <c r="O177" s="607">
        <f>IF(Dashboard!$D$6="Baseline",'2.4 PV (by Borough)'!O13,IF(Dashboard!$D$6=INDEX('Scenario names'!$C$3:$C$6,4),'2.4 PV (by Borough)'!O136,IF(Dashboard!$D$6=INDEX('Scenario names'!$C$3:$C$6,1),'2.4 PV (by Borough)'!O95,IF(Dashboard!$D$6=INDEX('Scenario names'!$C$3:$C$6,2),'2.4 PV (by Borough)'!O95,IF(Dashboard!$D$6=INDEX('Scenario names'!$C$3:$C$6,3),'2.4 PV (by Borough)'!O136,"Error")))))</f>
        <v>351312.83046755381</v>
      </c>
      <c r="P177" s="607">
        <f>IF(Dashboard!$D$6="Baseline",'2.4 PV (by Borough)'!P13,IF(Dashboard!$D$6=INDEX('Scenario names'!$C$3:$C$6,4),'2.4 PV (by Borough)'!P136,IF(Dashboard!$D$6=INDEX('Scenario names'!$C$3:$C$6,1),'2.4 PV (by Borough)'!P95,IF(Dashboard!$D$6=INDEX('Scenario names'!$C$3:$C$6,2),'2.4 PV (by Borough)'!P95,IF(Dashboard!$D$6=INDEX('Scenario names'!$C$3:$C$6,3),'2.4 PV (by Borough)'!P136,"Error")))))</f>
        <v>627670.70956325019</v>
      </c>
      <c r="Q177" s="607">
        <f>IF(Dashboard!$D$6="Baseline",'2.4 PV (by Borough)'!Q13,IF(Dashboard!$D$6=INDEX('Scenario names'!$C$3:$C$6,4),'2.4 PV (by Borough)'!Q136,IF(Dashboard!$D$6=INDEX('Scenario names'!$C$3:$C$6,1),'2.4 PV (by Borough)'!Q95,IF(Dashboard!$D$6=INDEX('Scenario names'!$C$3:$C$6,2),'2.4 PV (by Borough)'!Q95,IF(Dashboard!$D$6=INDEX('Scenario names'!$C$3:$C$6,3),'2.4 PV (by Borough)'!Q136,"Error")))))</f>
        <v>904028.58865894657</v>
      </c>
      <c r="R177" s="607">
        <f>IF(Dashboard!$D$6="Baseline",'2.4 PV (by Borough)'!R13,IF(Dashboard!$D$6=INDEX('Scenario names'!$C$3:$C$6,4),'2.4 PV (by Borough)'!R136,IF(Dashboard!$D$6=INDEX('Scenario names'!$C$3:$C$6,1),'2.4 PV (by Borough)'!R95,IF(Dashboard!$D$6=INDEX('Scenario names'!$C$3:$C$6,2),'2.4 PV (by Borough)'!R95,IF(Dashboard!$D$6=INDEX('Scenario names'!$C$3:$C$6,3),'2.4 PV (by Borough)'!R136,"Error")))))</f>
        <v>1180386.4677546429</v>
      </c>
      <c r="S177" s="607">
        <f>IF(Dashboard!$D$6="Baseline",'2.4 PV (by Borough)'!S13,IF(Dashboard!$D$6=INDEX('Scenario names'!$C$3:$C$6,4),'2.4 PV (by Borough)'!S136,IF(Dashboard!$D$6=INDEX('Scenario names'!$C$3:$C$6,1),'2.4 PV (by Borough)'!S95,IF(Dashboard!$D$6=INDEX('Scenario names'!$C$3:$C$6,2),'2.4 PV (by Borough)'!S95,IF(Dashboard!$D$6=INDEX('Scenario names'!$C$3:$C$6,3),'2.4 PV (by Borough)'!S136,"Error")))))</f>
        <v>1456744.3468503389</v>
      </c>
      <c r="T177" s="607">
        <f>IF(Dashboard!$D$6="Baseline",'2.4 PV (by Borough)'!T13,IF(Dashboard!$D$6=INDEX('Scenario names'!$C$3:$C$6,4),'2.4 PV (by Borough)'!T136,IF(Dashboard!$D$6=INDEX('Scenario names'!$C$3:$C$6,1),'2.4 PV (by Borough)'!T95,IF(Dashboard!$D$6=INDEX('Scenario names'!$C$3:$C$6,2),'2.4 PV (by Borough)'!T95,IF(Dashboard!$D$6=INDEX('Scenario names'!$C$3:$C$6,3),'2.4 PV (by Borough)'!T136,"Error")))))</f>
        <v>1733102.2259460357</v>
      </c>
      <c r="U177" s="607">
        <f>IF(Dashboard!$D$6="Baseline",'2.4 PV (by Borough)'!U13,IF(Dashboard!$D$6=INDEX('Scenario names'!$C$3:$C$6,4),'2.4 PV (by Borough)'!U136,IF(Dashboard!$D$6=INDEX('Scenario names'!$C$3:$C$6,1),'2.4 PV (by Borough)'!U95,IF(Dashboard!$D$6=INDEX('Scenario names'!$C$3:$C$6,2),'2.4 PV (by Borough)'!U95,IF(Dashboard!$D$6=INDEX('Scenario names'!$C$3:$C$6,3),'2.4 PV (by Borough)'!U136,"Error")))))</f>
        <v>2009460.1050417318</v>
      </c>
      <c r="V177" s="607">
        <f>IF(Dashboard!$D$6="Baseline",'2.4 PV (by Borough)'!V13,IF(Dashboard!$D$6=INDEX('Scenario names'!$C$3:$C$6,4),'2.4 PV (by Borough)'!V136,IF(Dashboard!$D$6=INDEX('Scenario names'!$C$3:$C$6,1),'2.4 PV (by Borough)'!V95,IF(Dashboard!$D$6=INDEX('Scenario names'!$C$3:$C$6,2),'2.4 PV (by Borough)'!V95,IF(Dashboard!$D$6=INDEX('Scenario names'!$C$3:$C$6,3),'2.4 PV (by Borough)'!V136,"Error")))))</f>
        <v>2285817.9841374285</v>
      </c>
      <c r="W177" s="607">
        <f>IF(Dashboard!$D$6="Baseline",'2.4 PV (by Borough)'!W13,IF(Dashboard!$D$6=INDEX('Scenario names'!$C$3:$C$6,4),'2.4 PV (by Borough)'!W136,IF(Dashboard!$D$6=INDEX('Scenario names'!$C$3:$C$6,1),'2.4 PV (by Borough)'!W95,IF(Dashboard!$D$6=INDEX('Scenario names'!$C$3:$C$6,2),'2.4 PV (by Borough)'!W95,IF(Dashboard!$D$6=INDEX('Scenario names'!$C$3:$C$6,3),'2.4 PV (by Borough)'!W136,"Error")))))</f>
        <v>2562175.8632331248</v>
      </c>
      <c r="X177" s="607">
        <f>IF(Dashboard!$D$6="Baseline",'2.4 PV (by Borough)'!X13,IF(Dashboard!$D$6=INDEX('Scenario names'!$C$3:$C$6,4),'2.4 PV (by Borough)'!X136,IF(Dashboard!$D$6=INDEX('Scenario names'!$C$3:$C$6,1),'2.4 PV (by Borough)'!X95,IF(Dashboard!$D$6=INDEX('Scenario names'!$C$3:$C$6,2),'2.4 PV (by Borough)'!X95,IF(Dashboard!$D$6=INDEX('Scenario names'!$C$3:$C$6,3),'2.4 PV (by Borough)'!X136,"Error")))))</f>
        <v>2838533.7423288203</v>
      </c>
      <c r="Y177" s="607">
        <f>IF(Dashboard!$D$6="Baseline",'2.4 PV (by Borough)'!Y13,IF(Dashboard!$D$6=INDEX('Scenario names'!$C$3:$C$6,4),'2.4 PV (by Borough)'!Y136,IF(Dashboard!$D$6=INDEX('Scenario names'!$C$3:$C$6,1),'2.4 PV (by Borough)'!Y95,IF(Dashboard!$D$6=INDEX('Scenario names'!$C$3:$C$6,2),'2.4 PV (by Borough)'!Y95,IF(Dashboard!$D$6=INDEX('Scenario names'!$C$3:$C$6,3),'2.4 PV (by Borough)'!Y136,"Error")))))</f>
        <v>3114891.6214245171</v>
      </c>
      <c r="Z177" s="607">
        <f>IF(Dashboard!$D$6="Baseline",'2.4 PV (by Borough)'!Z13,IF(Dashboard!$D$6=INDEX('Scenario names'!$C$3:$C$6,4),'2.4 PV (by Borough)'!Z136,IF(Dashboard!$D$6=INDEX('Scenario names'!$C$3:$C$6,1),'2.4 PV (by Borough)'!Z95,IF(Dashboard!$D$6=INDEX('Scenario names'!$C$3:$C$6,2),'2.4 PV (by Borough)'!Z95,IF(Dashboard!$D$6=INDEX('Scenario names'!$C$3:$C$6,3),'2.4 PV (by Borough)'!Z136,"Error")))))</f>
        <v>3705092.8532092082</v>
      </c>
      <c r="AA177" s="607">
        <f>IF(Dashboard!$D$6="Baseline",'2.4 PV (by Borough)'!AA13,IF(Dashboard!$D$6=INDEX('Scenario names'!$C$3:$C$6,4),'2.4 PV (by Borough)'!AA136,IF(Dashboard!$D$6=INDEX('Scenario names'!$C$3:$C$6,1),'2.4 PV (by Borough)'!AA95,IF(Dashboard!$D$6=INDEX('Scenario names'!$C$3:$C$6,2),'2.4 PV (by Borough)'!AA95,IF(Dashboard!$D$6=INDEX('Scenario names'!$C$3:$C$6,3),'2.4 PV (by Borough)'!AA136,"Error")))))</f>
        <v>4295294.0849938989</v>
      </c>
      <c r="AB177" s="607">
        <f>IF(Dashboard!$D$6="Baseline",'2.4 PV (by Borough)'!AB13,IF(Dashboard!$D$6=INDEX('Scenario names'!$C$3:$C$6,4),'2.4 PV (by Borough)'!AB136,IF(Dashboard!$D$6=INDEX('Scenario names'!$C$3:$C$6,1),'2.4 PV (by Borough)'!AB95,IF(Dashboard!$D$6=INDEX('Scenario names'!$C$3:$C$6,2),'2.4 PV (by Borough)'!AB95,IF(Dashboard!$D$6=INDEX('Scenario names'!$C$3:$C$6,3),'2.4 PV (by Borough)'!AB136,"Error")))))</f>
        <v>4885495.316778589</v>
      </c>
      <c r="AC177" s="607">
        <f>IF(Dashboard!$D$6="Baseline",'2.4 PV (by Borough)'!AC13,IF(Dashboard!$D$6=INDEX('Scenario names'!$C$3:$C$6,4),'2.4 PV (by Borough)'!AC136,IF(Dashboard!$D$6=INDEX('Scenario names'!$C$3:$C$6,1),'2.4 PV (by Borough)'!AC95,IF(Dashboard!$D$6=INDEX('Scenario names'!$C$3:$C$6,2),'2.4 PV (by Borough)'!AC95,IF(Dashboard!$D$6=INDEX('Scenario names'!$C$3:$C$6,3),'2.4 PV (by Borough)'!AC136,"Error")))))</f>
        <v>5475696.5485632792</v>
      </c>
      <c r="AD177" s="607">
        <f>IF(Dashboard!$D$6="Baseline",'2.4 PV (by Borough)'!AD13,IF(Dashboard!$D$6=INDEX('Scenario names'!$C$3:$C$6,4),'2.4 PV (by Borough)'!AD136,IF(Dashboard!$D$6=INDEX('Scenario names'!$C$3:$C$6,1),'2.4 PV (by Borough)'!AD95,IF(Dashboard!$D$6=INDEX('Scenario names'!$C$3:$C$6,2),'2.4 PV (by Borough)'!AD95,IF(Dashboard!$D$6=INDEX('Scenario names'!$C$3:$C$6,3),'2.4 PV (by Borough)'!AD136,"Error")))))</f>
        <v>6065897.7803479703</v>
      </c>
      <c r="AE177" s="607">
        <f>IF(Dashboard!$D$6="Baseline",'2.4 PV (by Borough)'!AE13,IF(Dashboard!$D$6=INDEX('Scenario names'!$C$3:$C$6,4),'2.4 PV (by Borough)'!AE136,IF(Dashboard!$D$6=INDEX('Scenario names'!$C$3:$C$6,1),'2.4 PV (by Borough)'!AE95,IF(Dashboard!$D$6=INDEX('Scenario names'!$C$3:$C$6,2),'2.4 PV (by Borough)'!AE95,IF(Dashboard!$D$6=INDEX('Scenario names'!$C$3:$C$6,3),'2.4 PV (by Borough)'!AE136,"Error")))))</f>
        <v>6656099.0121326614</v>
      </c>
      <c r="AF177" s="607">
        <f>IF(Dashboard!$D$6="Baseline",'2.4 PV (by Borough)'!AF13,IF(Dashboard!$D$6=INDEX('Scenario names'!$C$3:$C$6,4),'2.4 PV (by Borough)'!AF136,IF(Dashboard!$D$6=INDEX('Scenario names'!$C$3:$C$6,1),'2.4 PV (by Borough)'!AF95,IF(Dashboard!$D$6=INDEX('Scenario names'!$C$3:$C$6,2),'2.4 PV (by Borough)'!AF95,IF(Dashboard!$D$6=INDEX('Scenario names'!$C$3:$C$6,3),'2.4 PV (by Borough)'!AF136,"Error")))))</f>
        <v>7246300.2439173507</v>
      </c>
      <c r="AG177" s="607">
        <f>IF(Dashboard!$D$6="Baseline",'2.4 PV (by Borough)'!AG13,IF(Dashboard!$D$6=INDEX('Scenario names'!$C$3:$C$6,4),'2.4 PV (by Borough)'!AG136,IF(Dashboard!$D$6=INDEX('Scenario names'!$C$3:$C$6,1),'2.4 PV (by Borough)'!AG95,IF(Dashboard!$D$6=INDEX('Scenario names'!$C$3:$C$6,2),'2.4 PV (by Borough)'!AG95,IF(Dashboard!$D$6=INDEX('Scenario names'!$C$3:$C$6,3),'2.4 PV (by Borough)'!AG136,"Error")))))</f>
        <v>7836501.4757020427</v>
      </c>
      <c r="AH177" s="607">
        <f>IF(Dashboard!$D$6="Baseline",'2.4 PV (by Borough)'!AH13,IF(Dashboard!$D$6=INDEX('Scenario names'!$C$3:$C$6,4),'2.4 PV (by Borough)'!AH136,IF(Dashboard!$D$6=INDEX('Scenario names'!$C$3:$C$6,1),'2.4 PV (by Borough)'!AH95,IF(Dashboard!$D$6=INDEX('Scenario names'!$C$3:$C$6,2),'2.4 PV (by Borough)'!AH95,IF(Dashboard!$D$6=INDEX('Scenario names'!$C$3:$C$6,3),'2.4 PV (by Borough)'!AH136,"Error")))))</f>
        <v>8426702.7074867319</v>
      </c>
      <c r="AI177" s="607">
        <f>IF(Dashboard!$D$6="Baseline",'2.4 PV (by Borough)'!AI13,IF(Dashboard!$D$6=INDEX('Scenario names'!$C$3:$C$6,4),'2.4 PV (by Borough)'!AI136,IF(Dashboard!$D$6=INDEX('Scenario names'!$C$3:$C$6,1),'2.4 PV (by Borough)'!AI95,IF(Dashboard!$D$6=INDEX('Scenario names'!$C$3:$C$6,2),'2.4 PV (by Borough)'!AI95,IF(Dashboard!$D$6=INDEX('Scenario names'!$C$3:$C$6,3),'2.4 PV (by Borough)'!AI136,"Error")))))</f>
        <v>9016903.939271424</v>
      </c>
      <c r="AJ177" s="607">
        <f>IF(Dashboard!$D$6="Baseline",'2.4 PV (by Borough)'!AJ13,IF(Dashboard!$D$6=INDEX('Scenario names'!$C$3:$C$6,4),'2.4 PV (by Borough)'!AJ136,IF(Dashboard!$D$6=INDEX('Scenario names'!$C$3:$C$6,1),'2.4 PV (by Borough)'!AJ95,IF(Dashboard!$D$6=INDEX('Scenario names'!$C$3:$C$6,2),'2.4 PV (by Borough)'!AJ95,IF(Dashboard!$D$6=INDEX('Scenario names'!$C$3:$C$6,3),'2.4 PV (by Borough)'!AJ136,"Error")))))</f>
        <v>9607105.1710561141</v>
      </c>
      <c r="AK177" s="607">
        <f>IF(Dashboard!$D$6="Baseline",'2.4 PV (by Borough)'!AK13,IF(Dashboard!$D$6=INDEX('Scenario names'!$C$3:$C$6,4),'2.4 PV (by Borough)'!AK136,IF(Dashboard!$D$6=INDEX('Scenario names'!$C$3:$C$6,1),'2.4 PV (by Borough)'!AK95,IF(Dashboard!$D$6=INDEX('Scenario names'!$C$3:$C$6,2),'2.4 PV (by Borough)'!AK95,IF(Dashboard!$D$6=INDEX('Scenario names'!$C$3:$C$6,3),'2.4 PV (by Borough)'!AK136,"Error")))))</f>
        <v>10197306.402840806</v>
      </c>
      <c r="AL177" s="607">
        <f>IF(Dashboard!$D$6="Baseline",'2.4 PV (by Borough)'!AL13,IF(Dashboard!$D$6=INDEX('Scenario names'!$C$3:$C$6,4),'2.4 PV (by Borough)'!AL136,IF(Dashboard!$D$6=INDEX('Scenario names'!$C$3:$C$6,1),'2.4 PV (by Borough)'!AL95,IF(Dashboard!$D$6=INDEX('Scenario names'!$C$3:$C$6,2),'2.4 PV (by Borough)'!AL95,IF(Dashboard!$D$6=INDEX('Scenario names'!$C$3:$C$6,3),'2.4 PV (by Borough)'!AL136,"Error")))))</f>
        <v>10787507.634625494</v>
      </c>
      <c r="AM177" s="607">
        <f>IF(Dashboard!$D$6="Baseline",'2.4 PV (by Borough)'!AM13,IF(Dashboard!$D$6=INDEX('Scenario names'!$C$3:$C$6,4),'2.4 PV (by Borough)'!AM136,IF(Dashboard!$D$6=INDEX('Scenario names'!$C$3:$C$6,1),'2.4 PV (by Borough)'!AM95,IF(Dashboard!$D$6=INDEX('Scenario names'!$C$3:$C$6,2),'2.4 PV (by Borough)'!AM95,IF(Dashboard!$D$6=INDEX('Scenario names'!$C$3:$C$6,3),'2.4 PV (by Borough)'!AM136,"Error")))))</f>
        <v>11377708.866410185</v>
      </c>
      <c r="AN177" s="607">
        <f>IF(Dashboard!$D$6="Baseline",'2.4 PV (by Borough)'!AN13,IF(Dashboard!$D$6=INDEX('Scenario names'!$C$3:$C$6,4),'2.4 PV (by Borough)'!AN136,IF(Dashboard!$D$6=INDEX('Scenario names'!$C$3:$C$6,1),'2.4 PV (by Borough)'!AN95,IF(Dashboard!$D$6=INDEX('Scenario names'!$C$3:$C$6,2),'2.4 PV (by Borough)'!AN95,IF(Dashboard!$D$6=INDEX('Scenario names'!$C$3:$C$6,3),'2.4 PV (by Borough)'!AN136,"Error")))))</f>
        <v>11967910.098194877</v>
      </c>
      <c r="AO177" s="607">
        <f>IF(Dashboard!$D$6="Baseline",'2.4 PV (by Borough)'!AO13,IF(Dashboard!$D$6=INDEX('Scenario names'!$C$3:$C$6,4),'2.4 PV (by Borough)'!AO136,IF(Dashboard!$D$6=INDEX('Scenario names'!$C$3:$C$6,1),'2.4 PV (by Borough)'!AO95,IF(Dashboard!$D$6=INDEX('Scenario names'!$C$3:$C$6,2),'2.4 PV (by Borough)'!AO95,IF(Dashboard!$D$6=INDEX('Scenario names'!$C$3:$C$6,3),'2.4 PV (by Borough)'!AO136,"Error")))))</f>
        <v>12558111.329979569</v>
      </c>
      <c r="AP177" s="607">
        <f>IF(Dashboard!$D$6="Baseline",'2.4 PV (by Borough)'!AP13,IF(Dashboard!$D$6=INDEX('Scenario names'!$C$3:$C$6,4),'2.4 PV (by Borough)'!AP136,IF(Dashboard!$D$6=INDEX('Scenario names'!$C$3:$C$6,1),'2.4 PV (by Borough)'!AP95,IF(Dashboard!$D$6=INDEX('Scenario names'!$C$3:$C$6,2),'2.4 PV (by Borough)'!AP95,IF(Dashboard!$D$6=INDEX('Scenario names'!$C$3:$C$6,3),'2.4 PV (by Borough)'!AP136,"Error")))))</f>
        <v>13148312.561764259</v>
      </c>
      <c r="AQ177" s="607">
        <f>IF(Dashboard!$D$6="Baseline",'2.4 PV (by Borough)'!AQ13,IF(Dashboard!$D$6=INDEX('Scenario names'!$C$3:$C$6,4),'2.4 PV (by Borough)'!AQ136,IF(Dashboard!$D$6=INDEX('Scenario names'!$C$3:$C$6,1),'2.4 PV (by Borough)'!AQ95,IF(Dashboard!$D$6=INDEX('Scenario names'!$C$3:$C$6,2),'2.4 PV (by Borough)'!AQ95,IF(Dashboard!$D$6=INDEX('Scenario names'!$C$3:$C$6,3),'2.4 PV (by Borough)'!AQ136,"Error")))))</f>
        <v>13738513.793548949</v>
      </c>
      <c r="AR177" s="607">
        <f>IF(Dashboard!$D$6="Baseline",'2.4 PV (by Borough)'!AR13,IF(Dashboard!$D$6=INDEX('Scenario names'!$C$3:$C$6,4),'2.4 PV (by Borough)'!AR136,IF(Dashboard!$D$6=INDEX('Scenario names'!$C$3:$C$6,1),'2.4 PV (by Borough)'!AR95,IF(Dashboard!$D$6=INDEX('Scenario names'!$C$3:$C$6,2),'2.4 PV (by Borough)'!AR95,IF(Dashboard!$D$6=INDEX('Scenario names'!$C$3:$C$6,3),'2.4 PV (by Borough)'!AR136,"Error")))))</f>
        <v>14328715.025333636</v>
      </c>
      <c r="AS177" s="607">
        <f>IF(Dashboard!$D$6="Baseline",'2.4 PV (by Borough)'!AS13,IF(Dashboard!$D$6=INDEX('Scenario names'!$C$3:$C$6,4),'2.4 PV (by Borough)'!AS136,IF(Dashboard!$D$6=INDEX('Scenario names'!$C$3:$C$6,1),'2.4 PV (by Borough)'!AS95,IF(Dashboard!$D$6=INDEX('Scenario names'!$C$3:$C$6,2),'2.4 PV (by Borough)'!AS95,IF(Dashboard!$D$6=INDEX('Scenario names'!$C$3:$C$6,3),'2.4 PV (by Borough)'!AS136,"Error")))))</f>
        <v>14918916.257118328</v>
      </c>
      <c r="AT177" s="607">
        <f>IF(Dashboard!$D$6="Baseline",'2.4 PV (by Borough)'!AT13,IF(Dashboard!$D$6=INDEX('Scenario names'!$C$3:$C$6,4),'2.4 PV (by Borough)'!AT136,IF(Dashboard!$D$6=INDEX('Scenario names'!$C$3:$C$6,1),'2.4 PV (by Borough)'!AT95,IF(Dashboard!$D$6=INDEX('Scenario names'!$C$3:$C$6,2),'2.4 PV (by Borough)'!AT95,IF(Dashboard!$D$6=INDEX('Scenario names'!$C$3:$C$6,3),'2.4 PV (by Borough)'!AT136,"Error")))))</f>
        <v>15509117.488903016</v>
      </c>
      <c r="AU177" s="607">
        <f>IF(Dashboard!$D$6="Baseline",'2.4 PV (by Borough)'!AU13,IF(Dashboard!$D$6=INDEX('Scenario names'!$C$3:$C$6,4),'2.4 PV (by Borough)'!AU136,IF(Dashboard!$D$6=INDEX('Scenario names'!$C$3:$C$6,1),'2.4 PV (by Borough)'!AU95,IF(Dashboard!$D$6=INDEX('Scenario names'!$C$3:$C$6,2),'2.4 PV (by Borough)'!AU95,IF(Dashboard!$D$6=INDEX('Scenario names'!$C$3:$C$6,3),'2.4 PV (by Borough)'!AU136,"Error")))))</f>
        <v>16099318.72068771</v>
      </c>
      <c r="AV177" s="607">
        <f>IF(Dashboard!$D$6="Baseline",'2.4 PV (by Borough)'!AV13,IF(Dashboard!$D$6=INDEX('Scenario names'!$C$3:$C$6,4),'2.4 PV (by Borough)'!AV136,IF(Dashboard!$D$6=INDEX('Scenario names'!$C$3:$C$6,1),'2.4 PV (by Borough)'!AV95,IF(Dashboard!$D$6=INDEX('Scenario names'!$C$3:$C$6,2),'2.4 PV (by Borough)'!AV95,IF(Dashboard!$D$6=INDEX('Scenario names'!$C$3:$C$6,3),'2.4 PV (by Borough)'!AV136,"Error")))))</f>
        <v>16689519.952472402</v>
      </c>
      <c r="AW177" s="607">
        <f>IF(Dashboard!$D$6="Baseline",'2.4 PV (by Borough)'!AW13,IF(Dashboard!$D$6=INDEX('Scenario names'!$C$3:$C$6,4),'2.4 PV (by Borough)'!AW136,IF(Dashboard!$D$6=INDEX('Scenario names'!$C$3:$C$6,1),'2.4 PV (by Borough)'!AW95,IF(Dashboard!$D$6=INDEX('Scenario names'!$C$3:$C$6,2),'2.4 PV (by Borough)'!AW95,IF(Dashboard!$D$6=INDEX('Scenario names'!$C$3:$C$6,3),'2.4 PV (by Borough)'!AW136,"Error")))))</f>
        <v>17279721.18425709</v>
      </c>
      <c r="AX177" s="607">
        <f>IF(Dashboard!$D$6="Baseline",'2.4 PV (by Borough)'!AX13,IF(Dashboard!$D$6=INDEX('Scenario names'!$C$3:$C$6,4),'2.4 PV (by Borough)'!AX136,IF(Dashboard!$D$6=INDEX('Scenario names'!$C$3:$C$6,1),'2.4 PV (by Borough)'!AX95,IF(Dashboard!$D$6=INDEX('Scenario names'!$C$3:$C$6,2),'2.4 PV (by Borough)'!AX95,IF(Dashboard!$D$6=INDEX('Scenario names'!$C$3:$C$6,3),'2.4 PV (by Borough)'!AX136,"Error")))))</f>
        <v>17869922.416041784</v>
      </c>
      <c r="AY177" s="36"/>
      <c r="AZ177" s="36"/>
      <c r="BA177" s="36"/>
      <c r="BB177" s="36"/>
    </row>
    <row r="178" spans="4:54">
      <c r="D178" t="s">
        <v>660</v>
      </c>
      <c r="E178" t="s">
        <v>632</v>
      </c>
      <c r="G178" s="44"/>
      <c r="I178" s="44"/>
      <c r="K178" s="44"/>
      <c r="M178" s="44"/>
      <c r="O178" s="607">
        <f>IF(Dashboard!$D$6="Baseline",'2.4 PV (by Borough)'!O14,IF(Dashboard!$D$6=INDEX('Scenario names'!$C$3:$C$6,4),'2.4 PV (by Borough)'!O137,IF(Dashboard!$D$6=INDEX('Scenario names'!$C$3:$C$6,1),'2.4 PV (by Borough)'!O96,IF(Dashboard!$D$6=INDEX('Scenario names'!$C$3:$C$6,2),'2.4 PV (by Borough)'!O96,IF(Dashboard!$D$6=INDEX('Scenario names'!$C$3:$C$6,3),'2.4 PV (by Borough)'!O137,"Error")))))</f>
        <v>38293.175709502611</v>
      </c>
      <c r="P178" s="607">
        <f>IF(Dashboard!$D$6="Baseline",'2.4 PV (by Borough)'!P14,IF(Dashboard!$D$6=INDEX('Scenario names'!$C$3:$C$6,4),'2.4 PV (by Borough)'!P137,IF(Dashboard!$D$6=INDEX('Scenario names'!$C$3:$C$6,1),'2.4 PV (by Borough)'!P96,IF(Dashboard!$D$6=INDEX('Scenario names'!$C$3:$C$6,2),'2.4 PV (by Borough)'!P96,IF(Dashboard!$D$6=INDEX('Scenario names'!$C$3:$C$6,3),'2.4 PV (by Borough)'!P137,"Error")))))</f>
        <v>65896.339245873445</v>
      </c>
      <c r="Q178" s="607">
        <f>IF(Dashboard!$D$6="Baseline",'2.4 PV (by Borough)'!Q14,IF(Dashboard!$D$6=INDEX('Scenario names'!$C$3:$C$6,4),'2.4 PV (by Borough)'!Q137,IF(Dashboard!$D$6=INDEX('Scenario names'!$C$3:$C$6,1),'2.4 PV (by Borough)'!Q96,IF(Dashboard!$D$6=INDEX('Scenario names'!$C$3:$C$6,2),'2.4 PV (by Borough)'!Q96,IF(Dashboard!$D$6=INDEX('Scenario names'!$C$3:$C$6,3),'2.4 PV (by Borough)'!Q137,"Error")))))</f>
        <v>93499.502782244279</v>
      </c>
      <c r="R178" s="607">
        <f>IF(Dashboard!$D$6="Baseline",'2.4 PV (by Borough)'!R14,IF(Dashboard!$D$6=INDEX('Scenario names'!$C$3:$C$6,4),'2.4 PV (by Borough)'!R137,IF(Dashboard!$D$6=INDEX('Scenario names'!$C$3:$C$6,1),'2.4 PV (by Borough)'!R96,IF(Dashboard!$D$6=INDEX('Scenario names'!$C$3:$C$6,2),'2.4 PV (by Borough)'!R96,IF(Dashboard!$D$6=INDEX('Scenario names'!$C$3:$C$6,3),'2.4 PV (by Borough)'!R137,"Error")))))</f>
        <v>121102.66631861511</v>
      </c>
      <c r="S178" s="607">
        <f>IF(Dashboard!$D$6="Baseline",'2.4 PV (by Borough)'!S14,IF(Dashboard!$D$6=INDEX('Scenario names'!$C$3:$C$6,4),'2.4 PV (by Borough)'!S137,IF(Dashboard!$D$6=INDEX('Scenario names'!$C$3:$C$6,1),'2.4 PV (by Borough)'!S96,IF(Dashboard!$D$6=INDEX('Scenario names'!$C$3:$C$6,2),'2.4 PV (by Borough)'!S96,IF(Dashboard!$D$6=INDEX('Scenario names'!$C$3:$C$6,3),'2.4 PV (by Borough)'!S137,"Error")))))</f>
        <v>148705.82985498593</v>
      </c>
      <c r="T178" s="607">
        <f>IF(Dashboard!$D$6="Baseline",'2.4 PV (by Borough)'!T14,IF(Dashboard!$D$6=INDEX('Scenario names'!$C$3:$C$6,4),'2.4 PV (by Borough)'!T137,IF(Dashboard!$D$6=INDEX('Scenario names'!$C$3:$C$6,1),'2.4 PV (by Borough)'!T96,IF(Dashboard!$D$6=INDEX('Scenario names'!$C$3:$C$6,2),'2.4 PV (by Borough)'!T96,IF(Dashboard!$D$6=INDEX('Scenario names'!$C$3:$C$6,3),'2.4 PV (by Borough)'!T137,"Error")))))</f>
        <v>176308.99339135675</v>
      </c>
      <c r="U178" s="607">
        <f>IF(Dashboard!$D$6="Baseline",'2.4 PV (by Borough)'!U14,IF(Dashboard!$D$6=INDEX('Scenario names'!$C$3:$C$6,4),'2.4 PV (by Borough)'!U137,IF(Dashboard!$D$6=INDEX('Scenario names'!$C$3:$C$6,1),'2.4 PV (by Borough)'!U96,IF(Dashboard!$D$6=INDEX('Scenario names'!$C$3:$C$6,2),'2.4 PV (by Borough)'!U96,IF(Dashboard!$D$6=INDEX('Scenario names'!$C$3:$C$6,3),'2.4 PV (by Borough)'!U137,"Error")))))</f>
        <v>203912.15692772757</v>
      </c>
      <c r="V178" s="607">
        <f>IF(Dashboard!$D$6="Baseline",'2.4 PV (by Borough)'!V14,IF(Dashboard!$D$6=INDEX('Scenario names'!$C$3:$C$6,4),'2.4 PV (by Borough)'!V137,IF(Dashboard!$D$6=INDEX('Scenario names'!$C$3:$C$6,1),'2.4 PV (by Borough)'!V96,IF(Dashboard!$D$6=INDEX('Scenario names'!$C$3:$C$6,2),'2.4 PV (by Borough)'!V96,IF(Dashboard!$D$6=INDEX('Scenario names'!$C$3:$C$6,3),'2.4 PV (by Borough)'!V137,"Error")))))</f>
        <v>231515.32046409839</v>
      </c>
      <c r="W178" s="607">
        <f>IF(Dashboard!$D$6="Baseline",'2.4 PV (by Borough)'!W14,IF(Dashboard!$D$6=INDEX('Scenario names'!$C$3:$C$6,4),'2.4 PV (by Borough)'!W137,IF(Dashboard!$D$6=INDEX('Scenario names'!$C$3:$C$6,1),'2.4 PV (by Borough)'!W96,IF(Dashboard!$D$6=INDEX('Scenario names'!$C$3:$C$6,2),'2.4 PV (by Borough)'!W96,IF(Dashboard!$D$6=INDEX('Scenario names'!$C$3:$C$6,3),'2.4 PV (by Borough)'!W137,"Error")))))</f>
        <v>259118.48400046921</v>
      </c>
      <c r="X178" s="607">
        <f>IF(Dashboard!$D$6="Baseline",'2.4 PV (by Borough)'!X14,IF(Dashboard!$D$6=INDEX('Scenario names'!$C$3:$C$6,4),'2.4 PV (by Borough)'!X137,IF(Dashboard!$D$6=INDEX('Scenario names'!$C$3:$C$6,1),'2.4 PV (by Borough)'!X96,IF(Dashboard!$D$6=INDEX('Scenario names'!$C$3:$C$6,2),'2.4 PV (by Borough)'!X96,IF(Dashboard!$D$6=INDEX('Scenario names'!$C$3:$C$6,3),'2.4 PV (by Borough)'!X137,"Error")))))</f>
        <v>286721.64753684006</v>
      </c>
      <c r="Y178" s="607">
        <f>IF(Dashboard!$D$6="Baseline",'2.4 PV (by Borough)'!Y14,IF(Dashboard!$D$6=INDEX('Scenario names'!$C$3:$C$6,4),'2.4 PV (by Borough)'!Y137,IF(Dashboard!$D$6=INDEX('Scenario names'!$C$3:$C$6,1),'2.4 PV (by Borough)'!Y96,IF(Dashboard!$D$6=INDEX('Scenario names'!$C$3:$C$6,2),'2.4 PV (by Borough)'!Y96,IF(Dashboard!$D$6=INDEX('Scenario names'!$C$3:$C$6,3),'2.4 PV (by Borough)'!Y137,"Error")))))</f>
        <v>314324.81107321091</v>
      </c>
      <c r="Z178" s="607">
        <f>IF(Dashboard!$D$6="Baseline",'2.4 PV (by Borough)'!Z14,IF(Dashboard!$D$6=INDEX('Scenario names'!$C$3:$C$6,4),'2.4 PV (by Borough)'!Z137,IF(Dashboard!$D$6=INDEX('Scenario names'!$C$3:$C$6,1),'2.4 PV (by Borough)'!Z96,IF(Dashboard!$D$6=INDEX('Scenario names'!$C$3:$C$6,2),'2.4 PV (by Borough)'!Z96,IF(Dashboard!$D$6=INDEX('Scenario names'!$C$3:$C$6,3),'2.4 PV (by Borough)'!Z137,"Error")))))</f>
        <v>349290.67251221911</v>
      </c>
      <c r="AA178" s="607">
        <f>IF(Dashboard!$D$6="Baseline",'2.4 PV (by Borough)'!AA14,IF(Dashboard!$D$6=INDEX('Scenario names'!$C$3:$C$6,4),'2.4 PV (by Borough)'!AA137,IF(Dashboard!$D$6=INDEX('Scenario names'!$C$3:$C$6,1),'2.4 PV (by Borough)'!AA96,IF(Dashboard!$D$6=INDEX('Scenario names'!$C$3:$C$6,2),'2.4 PV (by Borough)'!AA96,IF(Dashboard!$D$6=INDEX('Scenario names'!$C$3:$C$6,3),'2.4 PV (by Borough)'!AA137,"Error")))))</f>
        <v>384256.53395122732</v>
      </c>
      <c r="AB178" s="607">
        <f>IF(Dashboard!$D$6="Baseline",'2.4 PV (by Borough)'!AB14,IF(Dashboard!$D$6=INDEX('Scenario names'!$C$3:$C$6,4),'2.4 PV (by Borough)'!AB137,IF(Dashboard!$D$6=INDEX('Scenario names'!$C$3:$C$6,1),'2.4 PV (by Borough)'!AB96,IF(Dashboard!$D$6=INDEX('Scenario names'!$C$3:$C$6,2),'2.4 PV (by Borough)'!AB96,IF(Dashboard!$D$6=INDEX('Scenario names'!$C$3:$C$6,3),'2.4 PV (by Borough)'!AB137,"Error")))))</f>
        <v>419222.39539023553</v>
      </c>
      <c r="AC178" s="607">
        <f>IF(Dashboard!$D$6="Baseline",'2.4 PV (by Borough)'!AC14,IF(Dashboard!$D$6=INDEX('Scenario names'!$C$3:$C$6,4),'2.4 PV (by Borough)'!AC137,IF(Dashboard!$D$6=INDEX('Scenario names'!$C$3:$C$6,1),'2.4 PV (by Borough)'!AC96,IF(Dashboard!$D$6=INDEX('Scenario names'!$C$3:$C$6,2),'2.4 PV (by Borough)'!AC96,IF(Dashboard!$D$6=INDEX('Scenario names'!$C$3:$C$6,3),'2.4 PV (by Borough)'!AC137,"Error")))))</f>
        <v>454188.25682924374</v>
      </c>
      <c r="AD178" s="607">
        <f>IF(Dashboard!$D$6="Baseline",'2.4 PV (by Borough)'!AD14,IF(Dashboard!$D$6=INDEX('Scenario names'!$C$3:$C$6,4),'2.4 PV (by Borough)'!AD137,IF(Dashboard!$D$6=INDEX('Scenario names'!$C$3:$C$6,1),'2.4 PV (by Borough)'!AD96,IF(Dashboard!$D$6=INDEX('Scenario names'!$C$3:$C$6,2),'2.4 PV (by Borough)'!AD96,IF(Dashboard!$D$6=INDEX('Scenario names'!$C$3:$C$6,3),'2.4 PV (by Borough)'!AD137,"Error")))))</f>
        <v>489154.11826825194</v>
      </c>
      <c r="AE178" s="607">
        <f>IF(Dashboard!$D$6="Baseline",'2.4 PV (by Borough)'!AE14,IF(Dashboard!$D$6=INDEX('Scenario names'!$C$3:$C$6,4),'2.4 PV (by Borough)'!AE137,IF(Dashboard!$D$6=INDEX('Scenario names'!$C$3:$C$6,1),'2.4 PV (by Borough)'!AE96,IF(Dashboard!$D$6=INDEX('Scenario names'!$C$3:$C$6,2),'2.4 PV (by Borough)'!AE96,IF(Dashboard!$D$6=INDEX('Scenario names'!$C$3:$C$6,3),'2.4 PV (by Borough)'!AE137,"Error")))))</f>
        <v>524119.97970726015</v>
      </c>
      <c r="AF178" s="607">
        <f>IF(Dashboard!$D$6="Baseline",'2.4 PV (by Borough)'!AF14,IF(Dashboard!$D$6=INDEX('Scenario names'!$C$3:$C$6,4),'2.4 PV (by Borough)'!AF137,IF(Dashboard!$D$6=INDEX('Scenario names'!$C$3:$C$6,1),'2.4 PV (by Borough)'!AF96,IF(Dashboard!$D$6=INDEX('Scenario names'!$C$3:$C$6,2),'2.4 PV (by Borough)'!AF96,IF(Dashboard!$D$6=INDEX('Scenario names'!$C$3:$C$6,3),'2.4 PV (by Borough)'!AF137,"Error")))))</f>
        <v>559085.84114626842</v>
      </c>
      <c r="AG178" s="607">
        <f>IF(Dashboard!$D$6="Baseline",'2.4 PV (by Borough)'!AG14,IF(Dashboard!$D$6=INDEX('Scenario names'!$C$3:$C$6,4),'2.4 PV (by Borough)'!AG137,IF(Dashboard!$D$6=INDEX('Scenario names'!$C$3:$C$6,1),'2.4 PV (by Borough)'!AG96,IF(Dashboard!$D$6=INDEX('Scenario names'!$C$3:$C$6,2),'2.4 PV (by Borough)'!AG96,IF(Dashboard!$D$6=INDEX('Scenario names'!$C$3:$C$6,3),'2.4 PV (by Borough)'!AG137,"Error")))))</f>
        <v>594051.70258527668</v>
      </c>
      <c r="AH178" s="607">
        <f>IF(Dashboard!$D$6="Baseline",'2.4 PV (by Borough)'!AH14,IF(Dashboard!$D$6=INDEX('Scenario names'!$C$3:$C$6,4),'2.4 PV (by Borough)'!AH137,IF(Dashboard!$D$6=INDEX('Scenario names'!$C$3:$C$6,1),'2.4 PV (by Borough)'!AH96,IF(Dashboard!$D$6=INDEX('Scenario names'!$C$3:$C$6,2),'2.4 PV (by Borough)'!AH96,IF(Dashboard!$D$6=INDEX('Scenario names'!$C$3:$C$6,3),'2.4 PV (by Borough)'!AH137,"Error")))))</f>
        <v>629017.56402428495</v>
      </c>
      <c r="AI178" s="607">
        <f>IF(Dashboard!$D$6="Baseline",'2.4 PV (by Borough)'!AI14,IF(Dashboard!$D$6=INDEX('Scenario names'!$C$3:$C$6,4),'2.4 PV (by Borough)'!AI137,IF(Dashboard!$D$6=INDEX('Scenario names'!$C$3:$C$6,1),'2.4 PV (by Borough)'!AI96,IF(Dashboard!$D$6=INDEX('Scenario names'!$C$3:$C$6,2),'2.4 PV (by Borough)'!AI96,IF(Dashboard!$D$6=INDEX('Scenario names'!$C$3:$C$6,3),'2.4 PV (by Borough)'!AI137,"Error")))))</f>
        <v>663983.42546329321</v>
      </c>
      <c r="AJ178" s="607">
        <f>IF(Dashboard!$D$6="Baseline",'2.4 PV (by Borough)'!AJ14,IF(Dashboard!$D$6=INDEX('Scenario names'!$C$3:$C$6,4),'2.4 PV (by Borough)'!AJ137,IF(Dashboard!$D$6=INDEX('Scenario names'!$C$3:$C$6,1),'2.4 PV (by Borough)'!AJ96,IF(Dashboard!$D$6=INDEX('Scenario names'!$C$3:$C$6,2),'2.4 PV (by Borough)'!AJ96,IF(Dashboard!$D$6=INDEX('Scenario names'!$C$3:$C$6,3),'2.4 PV (by Borough)'!AJ137,"Error")))))</f>
        <v>698949.28690230148</v>
      </c>
      <c r="AK178" s="607">
        <f>IF(Dashboard!$D$6="Baseline",'2.4 PV (by Borough)'!AK14,IF(Dashboard!$D$6=INDEX('Scenario names'!$C$3:$C$6,4),'2.4 PV (by Borough)'!AK137,IF(Dashboard!$D$6=INDEX('Scenario names'!$C$3:$C$6,1),'2.4 PV (by Borough)'!AK96,IF(Dashboard!$D$6=INDEX('Scenario names'!$C$3:$C$6,2),'2.4 PV (by Borough)'!AK96,IF(Dashboard!$D$6=INDEX('Scenario names'!$C$3:$C$6,3),'2.4 PV (by Borough)'!AK137,"Error")))))</f>
        <v>733915.14834130974</v>
      </c>
      <c r="AL178" s="607">
        <f>IF(Dashboard!$D$6="Baseline",'2.4 PV (by Borough)'!AL14,IF(Dashboard!$D$6=INDEX('Scenario names'!$C$3:$C$6,4),'2.4 PV (by Borough)'!AL137,IF(Dashboard!$D$6=INDEX('Scenario names'!$C$3:$C$6,1),'2.4 PV (by Borough)'!AL96,IF(Dashboard!$D$6=INDEX('Scenario names'!$C$3:$C$6,2),'2.4 PV (by Borough)'!AL96,IF(Dashboard!$D$6=INDEX('Scenario names'!$C$3:$C$6,3),'2.4 PV (by Borough)'!AL137,"Error")))))</f>
        <v>768881.00978031801</v>
      </c>
      <c r="AM178" s="607">
        <f>IF(Dashboard!$D$6="Baseline",'2.4 PV (by Borough)'!AM14,IF(Dashboard!$D$6=INDEX('Scenario names'!$C$3:$C$6,4),'2.4 PV (by Borough)'!AM137,IF(Dashboard!$D$6=INDEX('Scenario names'!$C$3:$C$6,1),'2.4 PV (by Borough)'!AM96,IF(Dashboard!$D$6=INDEX('Scenario names'!$C$3:$C$6,2),'2.4 PV (by Borough)'!AM96,IF(Dashboard!$D$6=INDEX('Scenario names'!$C$3:$C$6,3),'2.4 PV (by Borough)'!AM137,"Error")))))</f>
        <v>803846.87121932628</v>
      </c>
      <c r="AN178" s="607">
        <f>IF(Dashboard!$D$6="Baseline",'2.4 PV (by Borough)'!AN14,IF(Dashboard!$D$6=INDEX('Scenario names'!$C$3:$C$6,4),'2.4 PV (by Borough)'!AN137,IF(Dashboard!$D$6=INDEX('Scenario names'!$C$3:$C$6,1),'2.4 PV (by Borough)'!AN96,IF(Dashboard!$D$6=INDEX('Scenario names'!$C$3:$C$6,2),'2.4 PV (by Borough)'!AN96,IF(Dashboard!$D$6=INDEX('Scenario names'!$C$3:$C$6,3),'2.4 PV (by Borough)'!AN137,"Error")))))</f>
        <v>838812.73265833454</v>
      </c>
      <c r="AO178" s="607">
        <f>IF(Dashboard!$D$6="Baseline",'2.4 PV (by Borough)'!AO14,IF(Dashboard!$D$6=INDEX('Scenario names'!$C$3:$C$6,4),'2.4 PV (by Borough)'!AO137,IF(Dashboard!$D$6=INDEX('Scenario names'!$C$3:$C$6,1),'2.4 PV (by Borough)'!AO96,IF(Dashboard!$D$6=INDEX('Scenario names'!$C$3:$C$6,2),'2.4 PV (by Borough)'!AO96,IF(Dashboard!$D$6=INDEX('Scenario names'!$C$3:$C$6,3),'2.4 PV (by Borough)'!AO137,"Error")))))</f>
        <v>873778.59409734281</v>
      </c>
      <c r="AP178" s="607">
        <f>IF(Dashboard!$D$6="Baseline",'2.4 PV (by Borough)'!AP14,IF(Dashboard!$D$6=INDEX('Scenario names'!$C$3:$C$6,4),'2.4 PV (by Borough)'!AP137,IF(Dashboard!$D$6=INDEX('Scenario names'!$C$3:$C$6,1),'2.4 PV (by Borough)'!AP96,IF(Dashboard!$D$6=INDEX('Scenario names'!$C$3:$C$6,2),'2.4 PV (by Borough)'!AP96,IF(Dashboard!$D$6=INDEX('Scenario names'!$C$3:$C$6,3),'2.4 PV (by Borough)'!AP137,"Error")))))</f>
        <v>908744.45553635107</v>
      </c>
      <c r="AQ178" s="607">
        <f>IF(Dashboard!$D$6="Baseline",'2.4 PV (by Borough)'!AQ14,IF(Dashboard!$D$6=INDEX('Scenario names'!$C$3:$C$6,4),'2.4 PV (by Borough)'!AQ137,IF(Dashboard!$D$6=INDEX('Scenario names'!$C$3:$C$6,1),'2.4 PV (by Borough)'!AQ96,IF(Dashboard!$D$6=INDEX('Scenario names'!$C$3:$C$6,2),'2.4 PV (by Borough)'!AQ96,IF(Dashboard!$D$6=INDEX('Scenario names'!$C$3:$C$6,3),'2.4 PV (by Borough)'!AQ137,"Error")))))</f>
        <v>943710.31697535934</v>
      </c>
      <c r="AR178" s="607">
        <f>IF(Dashboard!$D$6="Baseline",'2.4 PV (by Borough)'!AR14,IF(Dashboard!$D$6=INDEX('Scenario names'!$C$3:$C$6,4),'2.4 PV (by Borough)'!AR137,IF(Dashboard!$D$6=INDEX('Scenario names'!$C$3:$C$6,1),'2.4 PV (by Borough)'!AR96,IF(Dashboard!$D$6=INDEX('Scenario names'!$C$3:$C$6,2),'2.4 PV (by Borough)'!AR96,IF(Dashboard!$D$6=INDEX('Scenario names'!$C$3:$C$6,3),'2.4 PV (by Borough)'!AR137,"Error")))))</f>
        <v>978676.17841436761</v>
      </c>
      <c r="AS178" s="607">
        <f>IF(Dashboard!$D$6="Baseline",'2.4 PV (by Borough)'!AS14,IF(Dashboard!$D$6=INDEX('Scenario names'!$C$3:$C$6,4),'2.4 PV (by Borough)'!AS137,IF(Dashboard!$D$6=INDEX('Scenario names'!$C$3:$C$6,1),'2.4 PV (by Borough)'!AS96,IF(Dashboard!$D$6=INDEX('Scenario names'!$C$3:$C$6,2),'2.4 PV (by Borough)'!AS96,IF(Dashboard!$D$6=INDEX('Scenario names'!$C$3:$C$6,3),'2.4 PV (by Borough)'!AS137,"Error")))))</f>
        <v>1013642.0398533759</v>
      </c>
      <c r="AT178" s="607">
        <f>IF(Dashboard!$D$6="Baseline",'2.4 PV (by Borough)'!AT14,IF(Dashboard!$D$6=INDEX('Scenario names'!$C$3:$C$6,4),'2.4 PV (by Borough)'!AT137,IF(Dashboard!$D$6=INDEX('Scenario names'!$C$3:$C$6,1),'2.4 PV (by Borough)'!AT96,IF(Dashboard!$D$6=INDEX('Scenario names'!$C$3:$C$6,2),'2.4 PV (by Borough)'!AT96,IF(Dashboard!$D$6=INDEX('Scenario names'!$C$3:$C$6,3),'2.4 PV (by Borough)'!AT137,"Error")))))</f>
        <v>1048607.9012923841</v>
      </c>
      <c r="AU178" s="607">
        <f>IF(Dashboard!$D$6="Baseline",'2.4 PV (by Borough)'!AU14,IF(Dashboard!$D$6=INDEX('Scenario names'!$C$3:$C$6,4),'2.4 PV (by Borough)'!AU137,IF(Dashboard!$D$6=INDEX('Scenario names'!$C$3:$C$6,1),'2.4 PV (by Borough)'!AU96,IF(Dashboard!$D$6=INDEX('Scenario names'!$C$3:$C$6,2),'2.4 PV (by Borough)'!AU96,IF(Dashboard!$D$6=INDEX('Scenario names'!$C$3:$C$6,3),'2.4 PV (by Borough)'!AU137,"Error")))))</f>
        <v>1083573.7627313924</v>
      </c>
      <c r="AV178" s="607">
        <f>IF(Dashboard!$D$6="Baseline",'2.4 PV (by Borough)'!AV14,IF(Dashboard!$D$6=INDEX('Scenario names'!$C$3:$C$6,4),'2.4 PV (by Borough)'!AV137,IF(Dashboard!$D$6=INDEX('Scenario names'!$C$3:$C$6,1),'2.4 PV (by Borough)'!AV96,IF(Dashboard!$D$6=INDEX('Scenario names'!$C$3:$C$6,2),'2.4 PV (by Borough)'!AV96,IF(Dashboard!$D$6=INDEX('Scenario names'!$C$3:$C$6,3),'2.4 PV (by Borough)'!AV137,"Error")))))</f>
        <v>1118539.6241704007</v>
      </c>
      <c r="AW178" s="607">
        <f>IF(Dashboard!$D$6="Baseline",'2.4 PV (by Borough)'!AW14,IF(Dashboard!$D$6=INDEX('Scenario names'!$C$3:$C$6,4),'2.4 PV (by Borough)'!AW137,IF(Dashboard!$D$6=INDEX('Scenario names'!$C$3:$C$6,1),'2.4 PV (by Borough)'!AW96,IF(Dashboard!$D$6=INDEX('Scenario names'!$C$3:$C$6,2),'2.4 PV (by Borough)'!AW96,IF(Dashboard!$D$6=INDEX('Scenario names'!$C$3:$C$6,3),'2.4 PV (by Borough)'!AW137,"Error")))))</f>
        <v>1153505.4856094089</v>
      </c>
      <c r="AX178" s="607">
        <f>IF(Dashboard!$D$6="Baseline",'2.4 PV (by Borough)'!AX14,IF(Dashboard!$D$6=INDEX('Scenario names'!$C$3:$C$6,4),'2.4 PV (by Borough)'!AX137,IF(Dashboard!$D$6=INDEX('Scenario names'!$C$3:$C$6,1),'2.4 PV (by Borough)'!AX96,IF(Dashboard!$D$6=INDEX('Scenario names'!$C$3:$C$6,2),'2.4 PV (by Borough)'!AX96,IF(Dashboard!$D$6=INDEX('Scenario names'!$C$3:$C$6,3),'2.4 PV (by Borough)'!AX137,"Error")))))</f>
        <v>1188471.347048416</v>
      </c>
      <c r="AY178" s="36"/>
      <c r="AZ178" s="36"/>
      <c r="BA178" s="36"/>
      <c r="BB178" s="36"/>
    </row>
    <row r="179" spans="4:54">
      <c r="D179" t="s">
        <v>661</v>
      </c>
      <c r="E179" t="s">
        <v>634</v>
      </c>
      <c r="G179" s="44"/>
      <c r="I179" s="44"/>
      <c r="K179" s="44"/>
      <c r="M179" s="44"/>
      <c r="O179" s="607">
        <f>IF(Dashboard!$D$6="Baseline",'2.4 PV (by Borough)'!O15,IF(Dashboard!$D$6=INDEX('Scenario names'!$C$3:$C$6,4),'2.4 PV (by Borough)'!O138,IF(Dashboard!$D$6=INDEX('Scenario names'!$C$3:$C$6,1),'2.4 PV (by Borough)'!O97,IF(Dashboard!$D$6=INDEX('Scenario names'!$C$3:$C$6,2),'2.4 PV (by Borough)'!O97,IF(Dashboard!$D$6=INDEX('Scenario names'!$C$3:$C$6,3),'2.4 PV (by Borough)'!O138,"Error")))))</f>
        <v>2429320.3465845049</v>
      </c>
      <c r="P179" s="607">
        <f>IF(Dashboard!$D$6="Baseline",'2.4 PV (by Borough)'!P15,IF(Dashboard!$D$6=INDEX('Scenario names'!$C$3:$C$6,4),'2.4 PV (by Borough)'!P138,IF(Dashboard!$D$6=INDEX('Scenario names'!$C$3:$C$6,1),'2.4 PV (by Borough)'!P97,IF(Dashboard!$D$6=INDEX('Scenario names'!$C$3:$C$6,2),'2.4 PV (by Borough)'!P97,IF(Dashboard!$D$6=INDEX('Scenario names'!$C$3:$C$6,3),'2.4 PV (by Borough)'!P138,"Error")))))</f>
        <v>4256763.7201474654</v>
      </c>
      <c r="Q179" s="607">
        <f>IF(Dashboard!$D$6="Baseline",'2.4 PV (by Borough)'!Q15,IF(Dashboard!$D$6=INDEX('Scenario names'!$C$3:$C$6,4),'2.4 PV (by Borough)'!Q138,IF(Dashboard!$D$6=INDEX('Scenario names'!$C$3:$C$6,1),'2.4 PV (by Borough)'!Q97,IF(Dashboard!$D$6=INDEX('Scenario names'!$C$3:$C$6,2),'2.4 PV (by Borough)'!Q97,IF(Dashboard!$D$6=INDEX('Scenario names'!$C$3:$C$6,3),'2.4 PV (by Borough)'!Q138,"Error")))))</f>
        <v>6084207.0937104253</v>
      </c>
      <c r="R179" s="607">
        <f>IF(Dashboard!$D$6="Baseline",'2.4 PV (by Borough)'!R15,IF(Dashboard!$D$6=INDEX('Scenario names'!$C$3:$C$6,4),'2.4 PV (by Borough)'!R138,IF(Dashboard!$D$6=INDEX('Scenario names'!$C$3:$C$6,1),'2.4 PV (by Borough)'!R97,IF(Dashboard!$D$6=INDEX('Scenario names'!$C$3:$C$6,2),'2.4 PV (by Borough)'!R97,IF(Dashboard!$D$6=INDEX('Scenario names'!$C$3:$C$6,3),'2.4 PV (by Borough)'!R138,"Error")))))</f>
        <v>7911650.4672733853</v>
      </c>
      <c r="S179" s="607">
        <f>IF(Dashboard!$D$6="Baseline",'2.4 PV (by Borough)'!S15,IF(Dashboard!$D$6=INDEX('Scenario names'!$C$3:$C$6,4),'2.4 PV (by Borough)'!S138,IF(Dashboard!$D$6=INDEX('Scenario names'!$C$3:$C$6,1),'2.4 PV (by Borough)'!S97,IF(Dashboard!$D$6=INDEX('Scenario names'!$C$3:$C$6,2),'2.4 PV (by Borough)'!S97,IF(Dashboard!$D$6=INDEX('Scenario names'!$C$3:$C$6,3),'2.4 PV (by Borough)'!S138,"Error")))))</f>
        <v>9739093.8408363461</v>
      </c>
      <c r="T179" s="607">
        <f>IF(Dashboard!$D$6="Baseline",'2.4 PV (by Borough)'!T15,IF(Dashboard!$D$6=INDEX('Scenario names'!$C$3:$C$6,4),'2.4 PV (by Borough)'!T138,IF(Dashboard!$D$6=INDEX('Scenario names'!$C$3:$C$6,1),'2.4 PV (by Borough)'!T97,IF(Dashboard!$D$6=INDEX('Scenario names'!$C$3:$C$6,2),'2.4 PV (by Borough)'!T97,IF(Dashboard!$D$6=INDEX('Scenario names'!$C$3:$C$6,3),'2.4 PV (by Borough)'!T138,"Error")))))</f>
        <v>11566537.214399306</v>
      </c>
      <c r="U179" s="607">
        <f>IF(Dashboard!$D$6="Baseline",'2.4 PV (by Borough)'!U15,IF(Dashboard!$D$6=INDEX('Scenario names'!$C$3:$C$6,4),'2.4 PV (by Borough)'!U138,IF(Dashboard!$D$6=INDEX('Scenario names'!$C$3:$C$6,1),'2.4 PV (by Borough)'!U97,IF(Dashboard!$D$6=INDEX('Scenario names'!$C$3:$C$6,2),'2.4 PV (by Borough)'!U97,IF(Dashboard!$D$6=INDEX('Scenario names'!$C$3:$C$6,3),'2.4 PV (by Borough)'!U138,"Error")))))</f>
        <v>13393980.587962262</v>
      </c>
      <c r="V179" s="607">
        <f>IF(Dashboard!$D$6="Baseline",'2.4 PV (by Borough)'!V15,IF(Dashboard!$D$6=INDEX('Scenario names'!$C$3:$C$6,4),'2.4 PV (by Borough)'!V138,IF(Dashboard!$D$6=INDEX('Scenario names'!$C$3:$C$6,1),'2.4 PV (by Borough)'!V97,IF(Dashboard!$D$6=INDEX('Scenario names'!$C$3:$C$6,2),'2.4 PV (by Borough)'!V97,IF(Dashboard!$D$6=INDEX('Scenario names'!$C$3:$C$6,3),'2.4 PV (by Borough)'!V138,"Error")))))</f>
        <v>15221423.961525226</v>
      </c>
      <c r="W179" s="607">
        <f>IF(Dashboard!$D$6="Baseline",'2.4 PV (by Borough)'!W15,IF(Dashboard!$D$6=INDEX('Scenario names'!$C$3:$C$6,4),'2.4 PV (by Borough)'!W138,IF(Dashboard!$D$6=INDEX('Scenario names'!$C$3:$C$6,1),'2.4 PV (by Borough)'!W97,IF(Dashboard!$D$6=INDEX('Scenario names'!$C$3:$C$6,2),'2.4 PV (by Borough)'!W97,IF(Dashboard!$D$6=INDEX('Scenario names'!$C$3:$C$6,3),'2.4 PV (by Borough)'!W138,"Error")))))</f>
        <v>17048867.335088182</v>
      </c>
      <c r="X179" s="607">
        <f>IF(Dashboard!$D$6="Baseline",'2.4 PV (by Borough)'!X15,IF(Dashboard!$D$6=INDEX('Scenario names'!$C$3:$C$6,4),'2.4 PV (by Borough)'!X138,IF(Dashboard!$D$6=INDEX('Scenario names'!$C$3:$C$6,1),'2.4 PV (by Borough)'!X97,IF(Dashboard!$D$6=INDEX('Scenario names'!$C$3:$C$6,2),'2.4 PV (by Borough)'!X97,IF(Dashboard!$D$6=INDEX('Scenario names'!$C$3:$C$6,3),'2.4 PV (by Borough)'!X138,"Error")))))</f>
        <v>18876310.708651148</v>
      </c>
      <c r="Y179" s="607">
        <f>IF(Dashboard!$D$6="Baseline",'2.4 PV (by Borough)'!Y15,IF(Dashboard!$D$6=INDEX('Scenario names'!$C$3:$C$6,4),'2.4 PV (by Borough)'!Y138,IF(Dashboard!$D$6=INDEX('Scenario names'!$C$3:$C$6,1),'2.4 PV (by Borough)'!Y97,IF(Dashboard!$D$6=INDEX('Scenario names'!$C$3:$C$6,2),'2.4 PV (by Borough)'!Y97,IF(Dashboard!$D$6=INDEX('Scenario names'!$C$3:$C$6,3),'2.4 PV (by Borough)'!Y138,"Error")))))</f>
        <v>20703754.082214102</v>
      </c>
      <c r="Z179" s="607">
        <f>IF(Dashboard!$D$6="Baseline",'2.4 PV (by Borough)'!Z15,IF(Dashboard!$D$6=INDEX('Scenario names'!$C$3:$C$6,4),'2.4 PV (by Borough)'!Z138,IF(Dashboard!$D$6=INDEX('Scenario names'!$C$3:$C$6,1),'2.4 PV (by Borough)'!Z97,IF(Dashboard!$D$6=INDEX('Scenario names'!$C$3:$C$6,2),'2.4 PV (by Borough)'!Z97,IF(Dashboard!$D$6=INDEX('Scenario names'!$C$3:$C$6,3),'2.4 PV (by Borough)'!Z138,"Error")))))</f>
        <v>23282708.987252627</v>
      </c>
      <c r="AA179" s="607">
        <f>IF(Dashboard!$D$6="Baseline",'2.4 PV (by Borough)'!AA15,IF(Dashboard!$D$6=INDEX('Scenario names'!$C$3:$C$6,4),'2.4 PV (by Borough)'!AA138,IF(Dashboard!$D$6=INDEX('Scenario names'!$C$3:$C$6,1),'2.4 PV (by Borough)'!AA97,IF(Dashboard!$D$6=INDEX('Scenario names'!$C$3:$C$6,2),'2.4 PV (by Borough)'!AA97,IF(Dashboard!$D$6=INDEX('Scenario names'!$C$3:$C$6,3),'2.4 PV (by Borough)'!AA138,"Error")))))</f>
        <v>25861663.892291129</v>
      </c>
      <c r="AB179" s="607">
        <f>IF(Dashboard!$D$6="Baseline",'2.4 PV (by Borough)'!AB15,IF(Dashboard!$D$6=INDEX('Scenario names'!$C$3:$C$6,4),'2.4 PV (by Borough)'!AB138,IF(Dashboard!$D$6=INDEX('Scenario names'!$C$3:$C$6,1),'2.4 PV (by Borough)'!AB97,IF(Dashboard!$D$6=INDEX('Scenario names'!$C$3:$C$6,2),'2.4 PV (by Borough)'!AB97,IF(Dashboard!$D$6=INDEX('Scenario names'!$C$3:$C$6,3),'2.4 PV (by Borough)'!AB138,"Error")))))</f>
        <v>28440618.797329646</v>
      </c>
      <c r="AC179" s="607">
        <f>IF(Dashboard!$D$6="Baseline",'2.4 PV (by Borough)'!AC15,IF(Dashboard!$D$6=INDEX('Scenario names'!$C$3:$C$6,4),'2.4 PV (by Borough)'!AC138,IF(Dashboard!$D$6=INDEX('Scenario names'!$C$3:$C$6,1),'2.4 PV (by Borough)'!AC97,IF(Dashboard!$D$6=INDEX('Scenario names'!$C$3:$C$6,2),'2.4 PV (by Borough)'!AC97,IF(Dashboard!$D$6=INDEX('Scenario names'!$C$3:$C$6,3),'2.4 PV (by Borough)'!AC138,"Error")))))</f>
        <v>31019573.702368163</v>
      </c>
      <c r="AD179" s="607">
        <f>IF(Dashboard!$D$6="Baseline",'2.4 PV (by Borough)'!AD15,IF(Dashboard!$D$6=INDEX('Scenario names'!$C$3:$C$6,4),'2.4 PV (by Borough)'!AD138,IF(Dashboard!$D$6=INDEX('Scenario names'!$C$3:$C$6,1),'2.4 PV (by Borough)'!AD97,IF(Dashboard!$D$6=INDEX('Scenario names'!$C$3:$C$6,2),'2.4 PV (by Borough)'!AD97,IF(Dashboard!$D$6=INDEX('Scenario names'!$C$3:$C$6,3),'2.4 PV (by Borough)'!AD138,"Error")))))</f>
        <v>33598528.607406676</v>
      </c>
      <c r="AE179" s="607">
        <f>IF(Dashboard!$D$6="Baseline",'2.4 PV (by Borough)'!AE15,IF(Dashboard!$D$6=INDEX('Scenario names'!$C$3:$C$6,4),'2.4 PV (by Borough)'!AE138,IF(Dashboard!$D$6=INDEX('Scenario names'!$C$3:$C$6,1),'2.4 PV (by Borough)'!AE97,IF(Dashboard!$D$6=INDEX('Scenario names'!$C$3:$C$6,2),'2.4 PV (by Borough)'!AE97,IF(Dashboard!$D$6=INDEX('Scenario names'!$C$3:$C$6,3),'2.4 PV (by Borough)'!AE138,"Error")))))</f>
        <v>36177483.512445197</v>
      </c>
      <c r="AF179" s="607">
        <f>IF(Dashboard!$D$6="Baseline",'2.4 PV (by Borough)'!AF15,IF(Dashboard!$D$6=INDEX('Scenario names'!$C$3:$C$6,4),'2.4 PV (by Borough)'!AF138,IF(Dashboard!$D$6=INDEX('Scenario names'!$C$3:$C$6,1),'2.4 PV (by Borough)'!AF97,IF(Dashboard!$D$6=INDEX('Scenario names'!$C$3:$C$6,2),'2.4 PV (by Borough)'!AF97,IF(Dashboard!$D$6=INDEX('Scenario names'!$C$3:$C$6,3),'2.4 PV (by Borough)'!AF138,"Error")))))</f>
        <v>38756438.41748371</v>
      </c>
      <c r="AG179" s="607">
        <f>IF(Dashboard!$D$6="Baseline",'2.4 PV (by Borough)'!AG15,IF(Dashboard!$D$6=INDEX('Scenario names'!$C$3:$C$6,4),'2.4 PV (by Borough)'!AG138,IF(Dashboard!$D$6=INDEX('Scenario names'!$C$3:$C$6,1),'2.4 PV (by Borough)'!AG97,IF(Dashboard!$D$6=INDEX('Scenario names'!$C$3:$C$6,2),'2.4 PV (by Borough)'!AG97,IF(Dashboard!$D$6=INDEX('Scenario names'!$C$3:$C$6,3),'2.4 PV (by Borough)'!AG138,"Error")))))</f>
        <v>41335393.322522223</v>
      </c>
      <c r="AH179" s="607">
        <f>IF(Dashboard!$D$6="Baseline",'2.4 PV (by Borough)'!AH15,IF(Dashboard!$D$6=INDEX('Scenario names'!$C$3:$C$6,4),'2.4 PV (by Borough)'!AH138,IF(Dashboard!$D$6=INDEX('Scenario names'!$C$3:$C$6,1),'2.4 PV (by Borough)'!AH97,IF(Dashboard!$D$6=INDEX('Scenario names'!$C$3:$C$6,2),'2.4 PV (by Borough)'!AH97,IF(Dashboard!$D$6=INDEX('Scenario names'!$C$3:$C$6,3),'2.4 PV (by Borough)'!AH138,"Error")))))</f>
        <v>43914348.227560736</v>
      </c>
      <c r="AI179" s="607">
        <f>IF(Dashboard!$D$6="Baseline",'2.4 PV (by Borough)'!AI15,IF(Dashboard!$D$6=INDEX('Scenario names'!$C$3:$C$6,4),'2.4 PV (by Borough)'!AI138,IF(Dashboard!$D$6=INDEX('Scenario names'!$C$3:$C$6,1),'2.4 PV (by Borough)'!AI97,IF(Dashboard!$D$6=INDEX('Scenario names'!$C$3:$C$6,2),'2.4 PV (by Borough)'!AI97,IF(Dashboard!$D$6=INDEX('Scenario names'!$C$3:$C$6,3),'2.4 PV (by Borough)'!AI138,"Error")))))</f>
        <v>46493303.132599264</v>
      </c>
      <c r="AJ179" s="607">
        <f>IF(Dashboard!$D$6="Baseline",'2.4 PV (by Borough)'!AJ15,IF(Dashboard!$D$6=INDEX('Scenario names'!$C$3:$C$6,4),'2.4 PV (by Borough)'!AJ138,IF(Dashboard!$D$6=INDEX('Scenario names'!$C$3:$C$6,1),'2.4 PV (by Borough)'!AJ97,IF(Dashboard!$D$6=INDEX('Scenario names'!$C$3:$C$6,2),'2.4 PV (by Borough)'!AJ97,IF(Dashboard!$D$6=INDEX('Scenario names'!$C$3:$C$6,3),'2.4 PV (by Borough)'!AJ138,"Error")))))</f>
        <v>49072258.03763777</v>
      </c>
      <c r="AK179" s="607">
        <f>IF(Dashboard!$D$6="Baseline",'2.4 PV (by Borough)'!AK15,IF(Dashboard!$D$6=INDEX('Scenario names'!$C$3:$C$6,4),'2.4 PV (by Borough)'!AK138,IF(Dashboard!$D$6=INDEX('Scenario names'!$C$3:$C$6,1),'2.4 PV (by Borough)'!AK97,IF(Dashboard!$D$6=INDEX('Scenario names'!$C$3:$C$6,2),'2.4 PV (by Borough)'!AK97,IF(Dashboard!$D$6=INDEX('Scenario names'!$C$3:$C$6,3),'2.4 PV (by Borough)'!AK138,"Error")))))</f>
        <v>51651212.942676269</v>
      </c>
      <c r="AL179" s="607">
        <f>IF(Dashboard!$D$6="Baseline",'2.4 PV (by Borough)'!AL15,IF(Dashboard!$D$6=INDEX('Scenario names'!$C$3:$C$6,4),'2.4 PV (by Borough)'!AL138,IF(Dashboard!$D$6=INDEX('Scenario names'!$C$3:$C$6,1),'2.4 PV (by Borough)'!AL97,IF(Dashboard!$D$6=INDEX('Scenario names'!$C$3:$C$6,2),'2.4 PV (by Borough)'!AL97,IF(Dashboard!$D$6=INDEX('Scenario names'!$C$3:$C$6,3),'2.4 PV (by Borough)'!AL138,"Error")))))</f>
        <v>54230167.847714789</v>
      </c>
      <c r="AM179" s="607">
        <f>IF(Dashboard!$D$6="Baseline",'2.4 PV (by Borough)'!AM15,IF(Dashboard!$D$6=INDEX('Scenario names'!$C$3:$C$6,4),'2.4 PV (by Borough)'!AM138,IF(Dashboard!$D$6=INDEX('Scenario names'!$C$3:$C$6,1),'2.4 PV (by Borough)'!AM97,IF(Dashboard!$D$6=INDEX('Scenario names'!$C$3:$C$6,2),'2.4 PV (by Borough)'!AM97,IF(Dashboard!$D$6=INDEX('Scenario names'!$C$3:$C$6,3),'2.4 PV (by Borough)'!AM138,"Error")))))</f>
        <v>56809122.752753317</v>
      </c>
      <c r="AN179" s="607">
        <f>IF(Dashboard!$D$6="Baseline",'2.4 PV (by Borough)'!AN15,IF(Dashboard!$D$6=INDEX('Scenario names'!$C$3:$C$6,4),'2.4 PV (by Borough)'!AN138,IF(Dashboard!$D$6=INDEX('Scenario names'!$C$3:$C$6,1),'2.4 PV (by Borough)'!AN97,IF(Dashboard!$D$6=INDEX('Scenario names'!$C$3:$C$6,2),'2.4 PV (by Borough)'!AN97,IF(Dashboard!$D$6=INDEX('Scenario names'!$C$3:$C$6,3),'2.4 PV (by Borough)'!AN138,"Error")))))</f>
        <v>59388077.657791823</v>
      </c>
      <c r="AO179" s="607">
        <f>IF(Dashboard!$D$6="Baseline",'2.4 PV (by Borough)'!AO15,IF(Dashboard!$D$6=INDEX('Scenario names'!$C$3:$C$6,4),'2.4 PV (by Borough)'!AO138,IF(Dashboard!$D$6=INDEX('Scenario names'!$C$3:$C$6,1),'2.4 PV (by Borough)'!AO97,IF(Dashboard!$D$6=INDEX('Scenario names'!$C$3:$C$6,2),'2.4 PV (by Borough)'!AO97,IF(Dashboard!$D$6=INDEX('Scenario names'!$C$3:$C$6,3),'2.4 PV (by Borough)'!AO138,"Error")))))</f>
        <v>61967032.562830329</v>
      </c>
      <c r="AP179" s="607">
        <f>IF(Dashboard!$D$6="Baseline",'2.4 PV (by Borough)'!AP15,IF(Dashboard!$D$6=INDEX('Scenario names'!$C$3:$C$6,4),'2.4 PV (by Borough)'!AP138,IF(Dashboard!$D$6=INDEX('Scenario names'!$C$3:$C$6,1),'2.4 PV (by Borough)'!AP97,IF(Dashboard!$D$6=INDEX('Scenario names'!$C$3:$C$6,2),'2.4 PV (by Borough)'!AP97,IF(Dashboard!$D$6=INDEX('Scenario names'!$C$3:$C$6,3),'2.4 PV (by Borough)'!AP138,"Error")))))</f>
        <v>64545987.467868842</v>
      </c>
      <c r="AQ179" s="607">
        <f>IF(Dashboard!$D$6="Baseline",'2.4 PV (by Borough)'!AQ15,IF(Dashboard!$D$6=INDEX('Scenario names'!$C$3:$C$6,4),'2.4 PV (by Borough)'!AQ138,IF(Dashboard!$D$6=INDEX('Scenario names'!$C$3:$C$6,1),'2.4 PV (by Borough)'!AQ97,IF(Dashboard!$D$6=INDEX('Scenario names'!$C$3:$C$6,2),'2.4 PV (by Borough)'!AQ97,IF(Dashboard!$D$6=INDEX('Scenario names'!$C$3:$C$6,3),'2.4 PV (by Borough)'!AQ138,"Error")))))</f>
        <v>67124942.37290737</v>
      </c>
      <c r="AR179" s="607">
        <f>IF(Dashboard!$D$6="Baseline",'2.4 PV (by Borough)'!AR15,IF(Dashboard!$D$6=INDEX('Scenario names'!$C$3:$C$6,4),'2.4 PV (by Borough)'!AR138,IF(Dashboard!$D$6=INDEX('Scenario names'!$C$3:$C$6,1),'2.4 PV (by Borough)'!AR97,IF(Dashboard!$D$6=INDEX('Scenario names'!$C$3:$C$6,2),'2.4 PV (by Borough)'!AR97,IF(Dashboard!$D$6=INDEX('Scenario names'!$C$3:$C$6,3),'2.4 PV (by Borough)'!AR138,"Error")))))</f>
        <v>69703897.277945876</v>
      </c>
      <c r="AS179" s="607">
        <f>IF(Dashboard!$D$6="Baseline",'2.4 PV (by Borough)'!AS15,IF(Dashboard!$D$6=INDEX('Scenario names'!$C$3:$C$6,4),'2.4 PV (by Borough)'!AS138,IF(Dashboard!$D$6=INDEX('Scenario names'!$C$3:$C$6,1),'2.4 PV (by Borough)'!AS97,IF(Dashboard!$D$6=INDEX('Scenario names'!$C$3:$C$6,2),'2.4 PV (by Borough)'!AS97,IF(Dashboard!$D$6=INDEX('Scenario names'!$C$3:$C$6,3),'2.4 PV (by Borough)'!AS138,"Error")))))</f>
        <v>72282852.182984382</v>
      </c>
      <c r="AT179" s="607">
        <f>IF(Dashboard!$D$6="Baseline",'2.4 PV (by Borough)'!AT15,IF(Dashboard!$D$6=INDEX('Scenario names'!$C$3:$C$6,4),'2.4 PV (by Borough)'!AT138,IF(Dashboard!$D$6=INDEX('Scenario names'!$C$3:$C$6,1),'2.4 PV (by Borough)'!AT97,IF(Dashboard!$D$6=INDEX('Scenario names'!$C$3:$C$6,2),'2.4 PV (by Borough)'!AT97,IF(Dashboard!$D$6=INDEX('Scenario names'!$C$3:$C$6,3),'2.4 PV (by Borough)'!AT138,"Error")))))</f>
        <v>74861807.088022888</v>
      </c>
      <c r="AU179" s="607">
        <f>IF(Dashboard!$D$6="Baseline",'2.4 PV (by Borough)'!AU15,IF(Dashboard!$D$6=INDEX('Scenario names'!$C$3:$C$6,4),'2.4 PV (by Borough)'!AU138,IF(Dashboard!$D$6=INDEX('Scenario names'!$C$3:$C$6,1),'2.4 PV (by Borough)'!AU97,IF(Dashboard!$D$6=INDEX('Scenario names'!$C$3:$C$6,2),'2.4 PV (by Borough)'!AU97,IF(Dashboard!$D$6=INDEX('Scenario names'!$C$3:$C$6,3),'2.4 PV (by Borough)'!AU138,"Error")))))</f>
        <v>77440761.993061423</v>
      </c>
      <c r="AV179" s="607">
        <f>IF(Dashboard!$D$6="Baseline",'2.4 PV (by Borough)'!AV15,IF(Dashboard!$D$6=INDEX('Scenario names'!$C$3:$C$6,4),'2.4 PV (by Borough)'!AV138,IF(Dashboard!$D$6=INDEX('Scenario names'!$C$3:$C$6,1),'2.4 PV (by Borough)'!AV97,IF(Dashboard!$D$6=INDEX('Scenario names'!$C$3:$C$6,2),'2.4 PV (by Borough)'!AV97,IF(Dashboard!$D$6=INDEX('Scenario names'!$C$3:$C$6,3),'2.4 PV (by Borough)'!AV138,"Error")))))</f>
        <v>80019716.898099914</v>
      </c>
      <c r="AW179" s="607">
        <f>IF(Dashboard!$D$6="Baseline",'2.4 PV (by Borough)'!AW15,IF(Dashboard!$D$6=INDEX('Scenario names'!$C$3:$C$6,4),'2.4 PV (by Borough)'!AW138,IF(Dashboard!$D$6=INDEX('Scenario names'!$C$3:$C$6,1),'2.4 PV (by Borough)'!AW97,IF(Dashboard!$D$6=INDEX('Scenario names'!$C$3:$C$6,2),'2.4 PV (by Borough)'!AW97,IF(Dashboard!$D$6=INDEX('Scenario names'!$C$3:$C$6,3),'2.4 PV (by Borough)'!AW138,"Error")))))</f>
        <v>82598671.803138435</v>
      </c>
      <c r="AX179" s="607">
        <f>IF(Dashboard!$D$6="Baseline",'2.4 PV (by Borough)'!AX15,IF(Dashboard!$D$6=INDEX('Scenario names'!$C$3:$C$6,4),'2.4 PV (by Borough)'!AX138,IF(Dashboard!$D$6=INDEX('Scenario names'!$C$3:$C$6,1),'2.4 PV (by Borough)'!AX97,IF(Dashboard!$D$6=INDEX('Scenario names'!$C$3:$C$6,2),'2.4 PV (by Borough)'!AX97,IF(Dashboard!$D$6=INDEX('Scenario names'!$C$3:$C$6,3),'2.4 PV (by Borough)'!AX138,"Error")))))</f>
        <v>85177626.708176956</v>
      </c>
      <c r="AY179" s="36"/>
      <c r="AZ179" s="36"/>
      <c r="BA179" s="36"/>
      <c r="BB179" s="36"/>
    </row>
    <row r="180" spans="4:54">
      <c r="D180" t="s">
        <v>661</v>
      </c>
      <c r="E180" t="s">
        <v>635</v>
      </c>
      <c r="G180" s="44"/>
      <c r="I180" s="44"/>
      <c r="K180" s="44"/>
      <c r="M180" s="44"/>
      <c r="O180" s="607">
        <f>IF(Dashboard!$D$6="Baseline",'2.4 PV (by Borough)'!O16,IF(Dashboard!$D$6=INDEX('Scenario names'!$C$3:$C$6,4),'2.4 PV (by Borough)'!O139,IF(Dashboard!$D$6=INDEX('Scenario names'!$C$3:$C$6,1),'2.4 PV (by Borough)'!O98,IF(Dashboard!$D$6=INDEX('Scenario names'!$C$3:$C$6,2),'2.4 PV (by Borough)'!O98,IF(Dashboard!$D$6=INDEX('Scenario names'!$C$3:$C$6,3),'2.4 PV (by Borough)'!O139,"Error")))))</f>
        <v>2018771.6403892282</v>
      </c>
      <c r="P180" s="607">
        <f>IF(Dashboard!$D$6="Baseline",'2.4 PV (by Borough)'!P16,IF(Dashboard!$D$6=INDEX('Scenario names'!$C$3:$C$6,4),'2.4 PV (by Borough)'!P139,IF(Dashboard!$D$6=INDEX('Scenario names'!$C$3:$C$6,1),'2.4 PV (by Borough)'!P98,IF(Dashboard!$D$6=INDEX('Scenario names'!$C$3:$C$6,2),'2.4 PV (by Borough)'!P98,IF(Dashboard!$D$6=INDEX('Scenario names'!$C$3:$C$6,3),'2.4 PV (by Borough)'!P139,"Error")))))</f>
        <v>3538094.2925239266</v>
      </c>
      <c r="Q180" s="607">
        <f>IF(Dashboard!$D$6="Baseline",'2.4 PV (by Borough)'!Q16,IF(Dashboard!$D$6=INDEX('Scenario names'!$C$3:$C$6,4),'2.4 PV (by Borough)'!Q139,IF(Dashboard!$D$6=INDEX('Scenario names'!$C$3:$C$6,1),'2.4 PV (by Borough)'!Q98,IF(Dashboard!$D$6=INDEX('Scenario names'!$C$3:$C$6,2),'2.4 PV (by Borough)'!Q98,IF(Dashboard!$D$6=INDEX('Scenario names'!$C$3:$C$6,3),'2.4 PV (by Borough)'!Q139,"Error")))))</f>
        <v>5057416.9446586268</v>
      </c>
      <c r="R180" s="607">
        <f>IF(Dashboard!$D$6="Baseline",'2.4 PV (by Borough)'!R16,IF(Dashboard!$D$6=INDEX('Scenario names'!$C$3:$C$6,4),'2.4 PV (by Borough)'!R139,IF(Dashboard!$D$6=INDEX('Scenario names'!$C$3:$C$6,1),'2.4 PV (by Borough)'!R98,IF(Dashboard!$D$6=INDEX('Scenario names'!$C$3:$C$6,2),'2.4 PV (by Borough)'!R98,IF(Dashboard!$D$6=INDEX('Scenario names'!$C$3:$C$6,3),'2.4 PV (by Borough)'!R139,"Error")))))</f>
        <v>6576739.5967933265</v>
      </c>
      <c r="S180" s="607">
        <f>IF(Dashboard!$D$6="Baseline",'2.4 PV (by Borough)'!S16,IF(Dashboard!$D$6=INDEX('Scenario names'!$C$3:$C$6,4),'2.4 PV (by Borough)'!S139,IF(Dashboard!$D$6=INDEX('Scenario names'!$C$3:$C$6,1),'2.4 PV (by Borough)'!S98,IF(Dashboard!$D$6=INDEX('Scenario names'!$C$3:$C$6,2),'2.4 PV (by Borough)'!S98,IF(Dashboard!$D$6=INDEX('Scenario names'!$C$3:$C$6,3),'2.4 PV (by Borough)'!S139,"Error")))))</f>
        <v>8096062.2489280254</v>
      </c>
      <c r="T180" s="607">
        <f>IF(Dashboard!$D$6="Baseline",'2.4 PV (by Borough)'!T16,IF(Dashboard!$D$6=INDEX('Scenario names'!$C$3:$C$6,4),'2.4 PV (by Borough)'!T139,IF(Dashboard!$D$6=INDEX('Scenario names'!$C$3:$C$6,1),'2.4 PV (by Borough)'!T98,IF(Dashboard!$D$6=INDEX('Scenario names'!$C$3:$C$6,2),'2.4 PV (by Borough)'!T98,IF(Dashboard!$D$6=INDEX('Scenario names'!$C$3:$C$6,3),'2.4 PV (by Borough)'!T139,"Error")))))</f>
        <v>9615384.901062727</v>
      </c>
      <c r="U180" s="607">
        <f>IF(Dashboard!$D$6="Baseline",'2.4 PV (by Borough)'!U16,IF(Dashboard!$D$6=INDEX('Scenario names'!$C$3:$C$6,4),'2.4 PV (by Borough)'!U139,IF(Dashboard!$D$6=INDEX('Scenario names'!$C$3:$C$6,1),'2.4 PV (by Borough)'!U98,IF(Dashboard!$D$6=INDEX('Scenario names'!$C$3:$C$6,2),'2.4 PV (by Borough)'!U98,IF(Dashboard!$D$6=INDEX('Scenario names'!$C$3:$C$6,3),'2.4 PV (by Borough)'!U139,"Error")))))</f>
        <v>11134707.553197425</v>
      </c>
      <c r="V180" s="607">
        <f>IF(Dashboard!$D$6="Baseline",'2.4 PV (by Borough)'!V16,IF(Dashboard!$D$6=INDEX('Scenario names'!$C$3:$C$6,4),'2.4 PV (by Borough)'!V139,IF(Dashboard!$D$6=INDEX('Scenario names'!$C$3:$C$6,1),'2.4 PV (by Borough)'!V98,IF(Dashboard!$D$6=INDEX('Scenario names'!$C$3:$C$6,2),'2.4 PV (by Borough)'!V98,IF(Dashboard!$D$6=INDEX('Scenario names'!$C$3:$C$6,3),'2.4 PV (by Borough)'!V139,"Error")))))</f>
        <v>12654030.205332125</v>
      </c>
      <c r="W180" s="607">
        <f>IF(Dashboard!$D$6="Baseline",'2.4 PV (by Borough)'!W16,IF(Dashboard!$D$6=INDEX('Scenario names'!$C$3:$C$6,4),'2.4 PV (by Borough)'!W139,IF(Dashboard!$D$6=INDEX('Scenario names'!$C$3:$C$6,1),'2.4 PV (by Borough)'!W98,IF(Dashboard!$D$6=INDEX('Scenario names'!$C$3:$C$6,2),'2.4 PV (by Borough)'!W98,IF(Dashboard!$D$6=INDEX('Scenario names'!$C$3:$C$6,3),'2.4 PV (by Borough)'!W139,"Error")))))</f>
        <v>14173352.857466824</v>
      </c>
      <c r="X180" s="607">
        <f>IF(Dashboard!$D$6="Baseline",'2.4 PV (by Borough)'!X16,IF(Dashboard!$D$6=INDEX('Scenario names'!$C$3:$C$6,4),'2.4 PV (by Borough)'!X139,IF(Dashboard!$D$6=INDEX('Scenario names'!$C$3:$C$6,1),'2.4 PV (by Borough)'!X98,IF(Dashboard!$D$6=INDEX('Scenario names'!$C$3:$C$6,2),'2.4 PV (by Borough)'!X98,IF(Dashboard!$D$6=INDEX('Scenario names'!$C$3:$C$6,3),'2.4 PV (by Borough)'!X139,"Error")))))</f>
        <v>15692675.509601528</v>
      </c>
      <c r="Y180" s="607">
        <f>IF(Dashboard!$D$6="Baseline",'2.4 PV (by Borough)'!Y16,IF(Dashboard!$D$6=INDEX('Scenario names'!$C$3:$C$6,4),'2.4 PV (by Borough)'!Y139,IF(Dashboard!$D$6=INDEX('Scenario names'!$C$3:$C$6,1),'2.4 PV (by Borough)'!Y98,IF(Dashboard!$D$6=INDEX('Scenario names'!$C$3:$C$6,2),'2.4 PV (by Borough)'!Y98,IF(Dashboard!$D$6=INDEX('Scenario names'!$C$3:$C$6,3),'2.4 PV (by Borough)'!Y139,"Error")))))</f>
        <v>17211998.16173622</v>
      </c>
      <c r="Z180" s="607">
        <f>IF(Dashboard!$D$6="Baseline",'2.4 PV (by Borough)'!Z16,IF(Dashboard!$D$6=INDEX('Scenario names'!$C$3:$C$6,4),'2.4 PV (by Borough)'!Z139,IF(Dashboard!$D$6=INDEX('Scenario names'!$C$3:$C$6,1),'2.4 PV (by Borough)'!Z98,IF(Dashboard!$D$6=INDEX('Scenario names'!$C$3:$C$6,2),'2.4 PV (by Borough)'!Z98,IF(Dashboard!$D$6=INDEX('Scenario names'!$C$3:$C$6,3),'2.4 PV (by Borough)'!Z139,"Error")))))</f>
        <v>19186405.579174079</v>
      </c>
      <c r="AA180" s="607">
        <f>IF(Dashboard!$D$6="Baseline",'2.4 PV (by Borough)'!AA16,IF(Dashboard!$D$6=INDEX('Scenario names'!$C$3:$C$6,4),'2.4 PV (by Borough)'!AA139,IF(Dashboard!$D$6=INDEX('Scenario names'!$C$3:$C$6,1),'2.4 PV (by Borough)'!AA98,IF(Dashboard!$D$6=INDEX('Scenario names'!$C$3:$C$6,2),'2.4 PV (by Borough)'!AA98,IF(Dashboard!$D$6=INDEX('Scenario names'!$C$3:$C$6,3),'2.4 PV (by Borough)'!AA139,"Error")))))</f>
        <v>21160812.99661193</v>
      </c>
      <c r="AB180" s="607">
        <f>IF(Dashboard!$D$6="Baseline",'2.4 PV (by Borough)'!AB16,IF(Dashboard!$D$6=INDEX('Scenario names'!$C$3:$C$6,4),'2.4 PV (by Borough)'!AB139,IF(Dashboard!$D$6=INDEX('Scenario names'!$C$3:$C$6,1),'2.4 PV (by Borough)'!AB98,IF(Dashboard!$D$6=INDEX('Scenario names'!$C$3:$C$6,2),'2.4 PV (by Borough)'!AB98,IF(Dashboard!$D$6=INDEX('Scenario names'!$C$3:$C$6,3),'2.4 PV (by Borough)'!AB139,"Error")))))</f>
        <v>23135220.414049778</v>
      </c>
      <c r="AC180" s="607">
        <f>IF(Dashboard!$D$6="Baseline",'2.4 PV (by Borough)'!AC16,IF(Dashboard!$D$6=INDEX('Scenario names'!$C$3:$C$6,4),'2.4 PV (by Borough)'!AC139,IF(Dashboard!$D$6=INDEX('Scenario names'!$C$3:$C$6,1),'2.4 PV (by Borough)'!AC98,IF(Dashboard!$D$6=INDEX('Scenario names'!$C$3:$C$6,2),'2.4 PV (by Borough)'!AC98,IF(Dashboard!$D$6=INDEX('Scenario names'!$C$3:$C$6,3),'2.4 PV (by Borough)'!AC139,"Error")))))</f>
        <v>25109627.831487626</v>
      </c>
      <c r="AD180" s="607">
        <f>IF(Dashboard!$D$6="Baseline",'2.4 PV (by Borough)'!AD16,IF(Dashboard!$D$6=INDEX('Scenario names'!$C$3:$C$6,4),'2.4 PV (by Borough)'!AD139,IF(Dashboard!$D$6=INDEX('Scenario names'!$C$3:$C$6,1),'2.4 PV (by Borough)'!AD98,IF(Dashboard!$D$6=INDEX('Scenario names'!$C$3:$C$6,2),'2.4 PV (by Borough)'!AD98,IF(Dashboard!$D$6=INDEX('Scenario names'!$C$3:$C$6,3),'2.4 PV (by Borough)'!AD139,"Error")))))</f>
        <v>27084035.248925485</v>
      </c>
      <c r="AE180" s="607">
        <f>IF(Dashboard!$D$6="Baseline",'2.4 PV (by Borough)'!AE16,IF(Dashboard!$D$6=INDEX('Scenario names'!$C$3:$C$6,4),'2.4 PV (by Borough)'!AE139,IF(Dashboard!$D$6=INDEX('Scenario names'!$C$3:$C$6,1),'2.4 PV (by Borough)'!AE98,IF(Dashboard!$D$6=INDEX('Scenario names'!$C$3:$C$6,2),'2.4 PV (by Borough)'!AE98,IF(Dashboard!$D$6=INDEX('Scenario names'!$C$3:$C$6,3),'2.4 PV (by Borough)'!AE139,"Error")))))</f>
        <v>29058442.666363329</v>
      </c>
      <c r="AF180" s="607">
        <f>IF(Dashboard!$D$6="Baseline",'2.4 PV (by Borough)'!AF16,IF(Dashboard!$D$6=INDEX('Scenario names'!$C$3:$C$6,4),'2.4 PV (by Borough)'!AF139,IF(Dashboard!$D$6=INDEX('Scenario names'!$C$3:$C$6,1),'2.4 PV (by Borough)'!AF98,IF(Dashboard!$D$6=INDEX('Scenario names'!$C$3:$C$6,2),'2.4 PV (by Borough)'!AF98,IF(Dashboard!$D$6=INDEX('Scenario names'!$C$3:$C$6,3),'2.4 PV (by Borough)'!AF139,"Error")))))</f>
        <v>31032850.083801173</v>
      </c>
      <c r="AG180" s="607">
        <f>IF(Dashboard!$D$6="Baseline",'2.4 PV (by Borough)'!AG16,IF(Dashboard!$D$6=INDEX('Scenario names'!$C$3:$C$6,4),'2.4 PV (by Borough)'!AG139,IF(Dashboard!$D$6=INDEX('Scenario names'!$C$3:$C$6,1),'2.4 PV (by Borough)'!AG98,IF(Dashboard!$D$6=INDEX('Scenario names'!$C$3:$C$6,2),'2.4 PV (by Borough)'!AG98,IF(Dashboard!$D$6=INDEX('Scenario names'!$C$3:$C$6,3),'2.4 PV (by Borough)'!AG139,"Error")))))</f>
        <v>33007257.501239024</v>
      </c>
      <c r="AH180" s="607">
        <f>IF(Dashboard!$D$6="Baseline",'2.4 PV (by Borough)'!AH16,IF(Dashboard!$D$6=INDEX('Scenario names'!$C$3:$C$6,4),'2.4 PV (by Borough)'!AH139,IF(Dashboard!$D$6=INDEX('Scenario names'!$C$3:$C$6,1),'2.4 PV (by Borough)'!AH98,IF(Dashboard!$D$6=INDEX('Scenario names'!$C$3:$C$6,2),'2.4 PV (by Borough)'!AH98,IF(Dashboard!$D$6=INDEX('Scenario names'!$C$3:$C$6,3),'2.4 PV (by Borough)'!AH139,"Error")))))</f>
        <v>34981664.918676883</v>
      </c>
      <c r="AI180" s="607">
        <f>IF(Dashboard!$D$6="Baseline",'2.4 PV (by Borough)'!AI16,IF(Dashboard!$D$6=INDEX('Scenario names'!$C$3:$C$6,4),'2.4 PV (by Borough)'!AI139,IF(Dashboard!$D$6=INDEX('Scenario names'!$C$3:$C$6,1),'2.4 PV (by Borough)'!AI98,IF(Dashboard!$D$6=INDEX('Scenario names'!$C$3:$C$6,2),'2.4 PV (by Borough)'!AI98,IF(Dashboard!$D$6=INDEX('Scenario names'!$C$3:$C$6,3),'2.4 PV (by Borough)'!AI139,"Error")))))</f>
        <v>36956072.336114734</v>
      </c>
      <c r="AJ180" s="607">
        <f>IF(Dashboard!$D$6="Baseline",'2.4 PV (by Borough)'!AJ16,IF(Dashboard!$D$6=INDEX('Scenario names'!$C$3:$C$6,4),'2.4 PV (by Borough)'!AJ139,IF(Dashboard!$D$6=INDEX('Scenario names'!$C$3:$C$6,1),'2.4 PV (by Borough)'!AJ98,IF(Dashboard!$D$6=INDEX('Scenario names'!$C$3:$C$6,2),'2.4 PV (by Borough)'!AJ98,IF(Dashboard!$D$6=INDEX('Scenario names'!$C$3:$C$6,3),'2.4 PV (by Borough)'!AJ139,"Error")))))</f>
        <v>38930479.753552586</v>
      </c>
      <c r="AK180" s="607">
        <f>IF(Dashboard!$D$6="Baseline",'2.4 PV (by Borough)'!AK16,IF(Dashboard!$D$6=INDEX('Scenario names'!$C$3:$C$6,4),'2.4 PV (by Borough)'!AK139,IF(Dashboard!$D$6=INDEX('Scenario names'!$C$3:$C$6,1),'2.4 PV (by Borough)'!AK98,IF(Dashboard!$D$6=INDEX('Scenario names'!$C$3:$C$6,2),'2.4 PV (by Borough)'!AK98,IF(Dashboard!$D$6=INDEX('Scenario names'!$C$3:$C$6,3),'2.4 PV (by Borough)'!AK139,"Error")))))</f>
        <v>40904887.17099043</v>
      </c>
      <c r="AL180" s="607">
        <f>IF(Dashboard!$D$6="Baseline",'2.4 PV (by Borough)'!AL16,IF(Dashboard!$D$6=INDEX('Scenario names'!$C$3:$C$6,4),'2.4 PV (by Borough)'!AL139,IF(Dashboard!$D$6=INDEX('Scenario names'!$C$3:$C$6,1),'2.4 PV (by Borough)'!AL98,IF(Dashboard!$D$6=INDEX('Scenario names'!$C$3:$C$6,2),'2.4 PV (by Borough)'!AL98,IF(Dashboard!$D$6=INDEX('Scenario names'!$C$3:$C$6,3),'2.4 PV (by Borough)'!AL139,"Error")))))</f>
        <v>42879294.588428274</v>
      </c>
      <c r="AM180" s="607">
        <f>IF(Dashboard!$D$6="Baseline",'2.4 PV (by Borough)'!AM16,IF(Dashboard!$D$6=INDEX('Scenario names'!$C$3:$C$6,4),'2.4 PV (by Borough)'!AM139,IF(Dashboard!$D$6=INDEX('Scenario names'!$C$3:$C$6,1),'2.4 PV (by Borough)'!AM98,IF(Dashboard!$D$6=INDEX('Scenario names'!$C$3:$C$6,2),'2.4 PV (by Borough)'!AM98,IF(Dashboard!$D$6=INDEX('Scenario names'!$C$3:$C$6,3),'2.4 PV (by Borough)'!AM139,"Error")))))</f>
        <v>44853702.00586614</v>
      </c>
      <c r="AN180" s="607">
        <f>IF(Dashboard!$D$6="Baseline",'2.4 PV (by Borough)'!AN16,IF(Dashboard!$D$6=INDEX('Scenario names'!$C$3:$C$6,4),'2.4 PV (by Borough)'!AN139,IF(Dashboard!$D$6=INDEX('Scenario names'!$C$3:$C$6,1),'2.4 PV (by Borough)'!AN98,IF(Dashboard!$D$6=INDEX('Scenario names'!$C$3:$C$6,2),'2.4 PV (by Borough)'!AN98,IF(Dashboard!$D$6=INDEX('Scenario names'!$C$3:$C$6,3),'2.4 PV (by Borough)'!AN139,"Error")))))</f>
        <v>46828109.423303992</v>
      </c>
      <c r="AO180" s="607">
        <f>IF(Dashboard!$D$6="Baseline",'2.4 PV (by Borough)'!AO16,IF(Dashboard!$D$6=INDEX('Scenario names'!$C$3:$C$6,4),'2.4 PV (by Borough)'!AO139,IF(Dashboard!$D$6=INDEX('Scenario names'!$C$3:$C$6,1),'2.4 PV (by Borough)'!AO98,IF(Dashboard!$D$6=INDEX('Scenario names'!$C$3:$C$6,2),'2.4 PV (by Borough)'!AO98,IF(Dashboard!$D$6=INDEX('Scenario names'!$C$3:$C$6,3),'2.4 PV (by Borough)'!AO139,"Error")))))</f>
        <v>48802516.840741828</v>
      </c>
      <c r="AP180" s="607">
        <f>IF(Dashboard!$D$6="Baseline",'2.4 PV (by Borough)'!AP16,IF(Dashboard!$D$6=INDEX('Scenario names'!$C$3:$C$6,4),'2.4 PV (by Borough)'!AP139,IF(Dashboard!$D$6=INDEX('Scenario names'!$C$3:$C$6,1),'2.4 PV (by Borough)'!AP98,IF(Dashboard!$D$6=INDEX('Scenario names'!$C$3:$C$6,2),'2.4 PV (by Borough)'!AP98,IF(Dashboard!$D$6=INDEX('Scenario names'!$C$3:$C$6,3),'2.4 PV (by Borough)'!AP139,"Error")))))</f>
        <v>50776924.258179694</v>
      </c>
      <c r="AQ180" s="607">
        <f>IF(Dashboard!$D$6="Baseline",'2.4 PV (by Borough)'!AQ16,IF(Dashboard!$D$6=INDEX('Scenario names'!$C$3:$C$6,4),'2.4 PV (by Borough)'!AQ139,IF(Dashboard!$D$6=INDEX('Scenario names'!$C$3:$C$6,1),'2.4 PV (by Borough)'!AQ98,IF(Dashboard!$D$6=INDEX('Scenario names'!$C$3:$C$6,2),'2.4 PV (by Borough)'!AQ98,IF(Dashboard!$D$6=INDEX('Scenario names'!$C$3:$C$6,3),'2.4 PV (by Borough)'!AQ139,"Error")))))</f>
        <v>52751331.675617538</v>
      </c>
      <c r="AR180" s="607">
        <f>IF(Dashboard!$D$6="Baseline",'2.4 PV (by Borough)'!AR16,IF(Dashboard!$D$6=INDEX('Scenario names'!$C$3:$C$6,4),'2.4 PV (by Borough)'!AR139,IF(Dashboard!$D$6=INDEX('Scenario names'!$C$3:$C$6,1),'2.4 PV (by Borough)'!AR98,IF(Dashboard!$D$6=INDEX('Scenario names'!$C$3:$C$6,2),'2.4 PV (by Borough)'!AR98,IF(Dashboard!$D$6=INDEX('Scenario names'!$C$3:$C$6,3),'2.4 PV (by Borough)'!AR139,"Error")))))</f>
        <v>54725739.093055412</v>
      </c>
      <c r="AS180" s="607">
        <f>IF(Dashboard!$D$6="Baseline",'2.4 PV (by Borough)'!AS16,IF(Dashboard!$D$6=INDEX('Scenario names'!$C$3:$C$6,4),'2.4 PV (by Borough)'!AS139,IF(Dashboard!$D$6=INDEX('Scenario names'!$C$3:$C$6,1),'2.4 PV (by Borough)'!AS98,IF(Dashboard!$D$6=INDEX('Scenario names'!$C$3:$C$6,2),'2.4 PV (by Borough)'!AS98,IF(Dashboard!$D$6=INDEX('Scenario names'!$C$3:$C$6,3),'2.4 PV (by Borough)'!AS139,"Error")))))</f>
        <v>56700146.510493226</v>
      </c>
      <c r="AT180" s="607">
        <f>IF(Dashboard!$D$6="Baseline",'2.4 PV (by Borough)'!AT16,IF(Dashboard!$D$6=INDEX('Scenario names'!$C$3:$C$6,4),'2.4 PV (by Borough)'!AT139,IF(Dashboard!$D$6=INDEX('Scenario names'!$C$3:$C$6,1),'2.4 PV (by Borough)'!AT98,IF(Dashboard!$D$6=INDEX('Scenario names'!$C$3:$C$6,2),'2.4 PV (by Borough)'!AT98,IF(Dashboard!$D$6=INDEX('Scenario names'!$C$3:$C$6,3),'2.4 PV (by Borough)'!AT139,"Error")))))</f>
        <v>58674553.927931085</v>
      </c>
      <c r="AU180" s="607">
        <f>IF(Dashboard!$D$6="Baseline",'2.4 PV (by Borough)'!AU16,IF(Dashboard!$D$6=INDEX('Scenario names'!$C$3:$C$6,4),'2.4 PV (by Borough)'!AU139,IF(Dashboard!$D$6=INDEX('Scenario names'!$C$3:$C$6,1),'2.4 PV (by Borough)'!AU98,IF(Dashboard!$D$6=INDEX('Scenario names'!$C$3:$C$6,2),'2.4 PV (by Borough)'!AU98,IF(Dashboard!$D$6=INDEX('Scenario names'!$C$3:$C$6,3),'2.4 PV (by Borough)'!AU139,"Error")))))</f>
        <v>60648961.345368929</v>
      </c>
      <c r="AV180" s="607">
        <f>IF(Dashboard!$D$6="Baseline",'2.4 PV (by Borough)'!AV16,IF(Dashboard!$D$6=INDEX('Scenario names'!$C$3:$C$6,4),'2.4 PV (by Borough)'!AV139,IF(Dashboard!$D$6=INDEX('Scenario names'!$C$3:$C$6,1),'2.4 PV (by Borough)'!AV98,IF(Dashboard!$D$6=INDEX('Scenario names'!$C$3:$C$6,2),'2.4 PV (by Borough)'!AV98,IF(Dashboard!$D$6=INDEX('Scenario names'!$C$3:$C$6,3),'2.4 PV (by Borough)'!AV139,"Error")))))</f>
        <v>62623368.762806788</v>
      </c>
      <c r="AW180" s="607">
        <f>IF(Dashboard!$D$6="Baseline",'2.4 PV (by Borough)'!AW16,IF(Dashboard!$D$6=INDEX('Scenario names'!$C$3:$C$6,4),'2.4 PV (by Borough)'!AW139,IF(Dashboard!$D$6=INDEX('Scenario names'!$C$3:$C$6,1),'2.4 PV (by Borough)'!AW98,IF(Dashboard!$D$6=INDEX('Scenario names'!$C$3:$C$6,2),'2.4 PV (by Borough)'!AW98,IF(Dashboard!$D$6=INDEX('Scenario names'!$C$3:$C$6,3),'2.4 PV (by Borough)'!AW139,"Error")))))</f>
        <v>64597776.18024464</v>
      </c>
      <c r="AX180" s="607">
        <f>IF(Dashboard!$D$6="Baseline",'2.4 PV (by Borough)'!AX16,IF(Dashboard!$D$6=INDEX('Scenario names'!$C$3:$C$6,4),'2.4 PV (by Borough)'!AX139,IF(Dashboard!$D$6=INDEX('Scenario names'!$C$3:$C$6,1),'2.4 PV (by Borough)'!AX98,IF(Dashboard!$D$6=INDEX('Scenario names'!$C$3:$C$6,2),'2.4 PV (by Borough)'!AX98,IF(Dashboard!$D$6=INDEX('Scenario names'!$C$3:$C$6,3),'2.4 PV (by Borough)'!AX139,"Error")))))</f>
        <v>66572183.597682498</v>
      </c>
      <c r="AY180" s="36"/>
      <c r="AZ180" s="36"/>
      <c r="BA180" s="36"/>
      <c r="BB180" s="36"/>
    </row>
    <row r="181" spans="4:54">
      <c r="D181" t="s">
        <v>661</v>
      </c>
      <c r="E181" t="s">
        <v>636</v>
      </c>
      <c r="G181" s="44"/>
      <c r="I181" s="44"/>
      <c r="K181" s="44"/>
      <c r="M181" s="44"/>
      <c r="O181" s="607">
        <f>IF(Dashboard!$D$6="Baseline",'2.4 PV (by Borough)'!O17,IF(Dashboard!$D$6=INDEX('Scenario names'!$C$3:$C$6,4),'2.4 PV (by Borough)'!O140,IF(Dashboard!$D$6=INDEX('Scenario names'!$C$3:$C$6,1),'2.4 PV (by Borough)'!O99,IF(Dashboard!$D$6=INDEX('Scenario names'!$C$3:$C$6,2),'2.4 PV (by Borough)'!O99,IF(Dashboard!$D$6=INDEX('Scenario names'!$C$3:$C$6,3),'2.4 PV (by Borough)'!O140,"Error")))))</f>
        <v>1796845.846017624</v>
      </c>
      <c r="P181" s="607">
        <f>IF(Dashboard!$D$6="Baseline",'2.4 PV (by Borough)'!P17,IF(Dashboard!$D$6=INDEX('Scenario names'!$C$3:$C$6,4),'2.4 PV (by Borough)'!P140,IF(Dashboard!$D$6=INDEX('Scenario names'!$C$3:$C$6,1),'2.4 PV (by Borough)'!P99,IF(Dashboard!$D$6=INDEX('Scenario names'!$C$3:$C$6,2),'2.4 PV (by Borough)'!P99,IF(Dashboard!$D$6=INDEX('Scenario names'!$C$3:$C$6,3),'2.4 PV (by Borough)'!P140,"Error")))))</f>
        <v>3145278.1051980141</v>
      </c>
      <c r="Q181" s="607">
        <f>IF(Dashboard!$D$6="Baseline",'2.4 PV (by Borough)'!Q17,IF(Dashboard!$D$6=INDEX('Scenario names'!$C$3:$C$6,4),'2.4 PV (by Borough)'!Q140,IF(Dashboard!$D$6=INDEX('Scenario names'!$C$3:$C$6,1),'2.4 PV (by Borough)'!Q99,IF(Dashboard!$D$6=INDEX('Scenario names'!$C$3:$C$6,2),'2.4 PV (by Borough)'!Q99,IF(Dashboard!$D$6=INDEX('Scenario names'!$C$3:$C$6,3),'2.4 PV (by Borough)'!Q140,"Error")))))</f>
        <v>4493710.3643784067</v>
      </c>
      <c r="R181" s="607">
        <f>IF(Dashboard!$D$6="Baseline",'2.4 PV (by Borough)'!R17,IF(Dashboard!$D$6=INDEX('Scenario names'!$C$3:$C$6,4),'2.4 PV (by Borough)'!R140,IF(Dashboard!$D$6=INDEX('Scenario names'!$C$3:$C$6,1),'2.4 PV (by Borough)'!R99,IF(Dashboard!$D$6=INDEX('Scenario names'!$C$3:$C$6,2),'2.4 PV (by Borough)'!R99,IF(Dashboard!$D$6=INDEX('Scenario names'!$C$3:$C$6,3),'2.4 PV (by Borough)'!R140,"Error")))))</f>
        <v>5842142.6235587979</v>
      </c>
      <c r="S181" s="607">
        <f>IF(Dashboard!$D$6="Baseline",'2.4 PV (by Borough)'!S17,IF(Dashboard!$D$6=INDEX('Scenario names'!$C$3:$C$6,4),'2.4 PV (by Borough)'!S140,IF(Dashboard!$D$6=INDEX('Scenario names'!$C$3:$C$6,1),'2.4 PV (by Borough)'!S99,IF(Dashboard!$D$6=INDEX('Scenario names'!$C$3:$C$6,2),'2.4 PV (by Borough)'!S99,IF(Dashboard!$D$6=INDEX('Scenario names'!$C$3:$C$6,3),'2.4 PV (by Borough)'!S140,"Error")))))</f>
        <v>7190574.8827391891</v>
      </c>
      <c r="T181" s="607">
        <f>IF(Dashboard!$D$6="Baseline",'2.4 PV (by Borough)'!T17,IF(Dashboard!$D$6=INDEX('Scenario names'!$C$3:$C$6,4),'2.4 PV (by Borough)'!T140,IF(Dashboard!$D$6=INDEX('Scenario names'!$C$3:$C$6,1),'2.4 PV (by Borough)'!T99,IF(Dashboard!$D$6=INDEX('Scenario names'!$C$3:$C$6,2),'2.4 PV (by Borough)'!T99,IF(Dashboard!$D$6=INDEX('Scenario names'!$C$3:$C$6,3),'2.4 PV (by Borough)'!T140,"Error")))))</f>
        <v>8539007.1419195775</v>
      </c>
      <c r="U181" s="607">
        <f>IF(Dashboard!$D$6="Baseline",'2.4 PV (by Borough)'!U17,IF(Dashboard!$D$6=INDEX('Scenario names'!$C$3:$C$6,4),'2.4 PV (by Borough)'!U140,IF(Dashboard!$D$6=INDEX('Scenario names'!$C$3:$C$6,1),'2.4 PV (by Borough)'!U99,IF(Dashboard!$D$6=INDEX('Scenario names'!$C$3:$C$6,2),'2.4 PV (by Borough)'!U99,IF(Dashboard!$D$6=INDEX('Scenario names'!$C$3:$C$6,3),'2.4 PV (by Borough)'!U140,"Error")))))</f>
        <v>9887439.4010999687</v>
      </c>
      <c r="V181" s="607">
        <f>IF(Dashboard!$D$6="Baseline",'2.4 PV (by Borough)'!V17,IF(Dashboard!$D$6=INDEX('Scenario names'!$C$3:$C$6,4),'2.4 PV (by Borough)'!V140,IF(Dashboard!$D$6=INDEX('Scenario names'!$C$3:$C$6,1),'2.4 PV (by Borough)'!V99,IF(Dashboard!$D$6=INDEX('Scenario names'!$C$3:$C$6,2),'2.4 PV (by Borough)'!V99,IF(Dashboard!$D$6=INDEX('Scenario names'!$C$3:$C$6,3),'2.4 PV (by Borough)'!V140,"Error")))))</f>
        <v>11235871.66028036</v>
      </c>
      <c r="W181" s="607">
        <f>IF(Dashboard!$D$6="Baseline",'2.4 PV (by Borough)'!W17,IF(Dashboard!$D$6=INDEX('Scenario names'!$C$3:$C$6,4),'2.4 PV (by Borough)'!W140,IF(Dashboard!$D$6=INDEX('Scenario names'!$C$3:$C$6,1),'2.4 PV (by Borough)'!W99,IF(Dashboard!$D$6=INDEX('Scenario names'!$C$3:$C$6,2),'2.4 PV (by Borough)'!W99,IF(Dashboard!$D$6=INDEX('Scenario names'!$C$3:$C$6,3),'2.4 PV (by Borough)'!W140,"Error")))))</f>
        <v>12584303.919460751</v>
      </c>
      <c r="X181" s="607">
        <f>IF(Dashboard!$D$6="Baseline",'2.4 PV (by Borough)'!X17,IF(Dashboard!$D$6=INDEX('Scenario names'!$C$3:$C$6,4),'2.4 PV (by Borough)'!X140,IF(Dashboard!$D$6=INDEX('Scenario names'!$C$3:$C$6,1),'2.4 PV (by Borough)'!X99,IF(Dashboard!$D$6=INDEX('Scenario names'!$C$3:$C$6,2),'2.4 PV (by Borough)'!X99,IF(Dashboard!$D$6=INDEX('Scenario names'!$C$3:$C$6,3),'2.4 PV (by Borough)'!X140,"Error")))))</f>
        <v>13932736.17864114</v>
      </c>
      <c r="Y181" s="607">
        <f>IF(Dashboard!$D$6="Baseline",'2.4 PV (by Borough)'!Y17,IF(Dashboard!$D$6=INDEX('Scenario names'!$C$3:$C$6,4),'2.4 PV (by Borough)'!Y140,IF(Dashboard!$D$6=INDEX('Scenario names'!$C$3:$C$6,1),'2.4 PV (by Borough)'!Y99,IF(Dashboard!$D$6=INDEX('Scenario names'!$C$3:$C$6,2),'2.4 PV (by Borough)'!Y99,IF(Dashboard!$D$6=INDEX('Scenario names'!$C$3:$C$6,3),'2.4 PV (by Borough)'!Y140,"Error")))))</f>
        <v>15281168.437821535</v>
      </c>
      <c r="Z181" s="607">
        <f>IF(Dashboard!$D$6="Baseline",'2.4 PV (by Borough)'!Z17,IF(Dashboard!$D$6=INDEX('Scenario names'!$C$3:$C$6,4),'2.4 PV (by Borough)'!Z140,IF(Dashboard!$D$6=INDEX('Scenario names'!$C$3:$C$6,1),'2.4 PV (by Borough)'!Z99,IF(Dashboard!$D$6=INDEX('Scenario names'!$C$3:$C$6,2),'2.4 PV (by Borough)'!Z99,IF(Dashboard!$D$6=INDEX('Scenario names'!$C$3:$C$6,3),'2.4 PV (by Borough)'!Z140,"Error")))))</f>
        <v>17138903.670007203</v>
      </c>
      <c r="AA181" s="607">
        <f>IF(Dashboard!$D$6="Baseline",'2.4 PV (by Borough)'!AA17,IF(Dashboard!$D$6=INDEX('Scenario names'!$C$3:$C$6,4),'2.4 PV (by Borough)'!AA140,IF(Dashboard!$D$6=INDEX('Scenario names'!$C$3:$C$6,1),'2.4 PV (by Borough)'!AA99,IF(Dashboard!$D$6=INDEX('Scenario names'!$C$3:$C$6,2),'2.4 PV (by Borough)'!AA99,IF(Dashboard!$D$6=INDEX('Scenario names'!$C$3:$C$6,3),'2.4 PV (by Borough)'!AA140,"Error")))))</f>
        <v>18996638.902192879</v>
      </c>
      <c r="AB181" s="607">
        <f>IF(Dashboard!$D$6="Baseline",'2.4 PV (by Borough)'!AB17,IF(Dashboard!$D$6=INDEX('Scenario names'!$C$3:$C$6,4),'2.4 PV (by Borough)'!AB140,IF(Dashboard!$D$6=INDEX('Scenario names'!$C$3:$C$6,1),'2.4 PV (by Borough)'!AB99,IF(Dashboard!$D$6=INDEX('Scenario names'!$C$3:$C$6,2),'2.4 PV (by Borough)'!AB99,IF(Dashboard!$D$6=INDEX('Scenario names'!$C$3:$C$6,3),'2.4 PV (by Borough)'!AB140,"Error")))))</f>
        <v>20854374.134378564</v>
      </c>
      <c r="AC181" s="607">
        <f>IF(Dashboard!$D$6="Baseline",'2.4 PV (by Borough)'!AC17,IF(Dashboard!$D$6=INDEX('Scenario names'!$C$3:$C$6,4),'2.4 PV (by Borough)'!AC140,IF(Dashboard!$D$6=INDEX('Scenario names'!$C$3:$C$6,1),'2.4 PV (by Borough)'!AC99,IF(Dashboard!$D$6=INDEX('Scenario names'!$C$3:$C$6,2),'2.4 PV (by Borough)'!AC99,IF(Dashboard!$D$6=INDEX('Scenario names'!$C$3:$C$6,3),'2.4 PV (by Borough)'!AC140,"Error")))))</f>
        <v>22712109.366564237</v>
      </c>
      <c r="AD181" s="607">
        <f>IF(Dashboard!$D$6="Baseline",'2.4 PV (by Borough)'!AD17,IF(Dashboard!$D$6=INDEX('Scenario names'!$C$3:$C$6,4),'2.4 PV (by Borough)'!AD140,IF(Dashboard!$D$6=INDEX('Scenario names'!$C$3:$C$6,1),'2.4 PV (by Borough)'!AD99,IF(Dashboard!$D$6=INDEX('Scenario names'!$C$3:$C$6,2),'2.4 PV (by Borough)'!AD99,IF(Dashboard!$D$6=INDEX('Scenario names'!$C$3:$C$6,3),'2.4 PV (by Borough)'!AD140,"Error")))))</f>
        <v>24569844.59874991</v>
      </c>
      <c r="AE181" s="607">
        <f>IF(Dashboard!$D$6="Baseline",'2.4 PV (by Borough)'!AE17,IF(Dashboard!$D$6=INDEX('Scenario names'!$C$3:$C$6,4),'2.4 PV (by Borough)'!AE140,IF(Dashboard!$D$6=INDEX('Scenario names'!$C$3:$C$6,1),'2.4 PV (by Borough)'!AE99,IF(Dashboard!$D$6=INDEX('Scenario names'!$C$3:$C$6,2),'2.4 PV (by Borough)'!AE99,IF(Dashboard!$D$6=INDEX('Scenario names'!$C$3:$C$6,3),'2.4 PV (by Borough)'!AE140,"Error")))))</f>
        <v>26427579.830935594</v>
      </c>
      <c r="AF181" s="607">
        <f>IF(Dashboard!$D$6="Baseline",'2.4 PV (by Borough)'!AF17,IF(Dashboard!$D$6=INDEX('Scenario names'!$C$3:$C$6,4),'2.4 PV (by Borough)'!AF140,IF(Dashboard!$D$6=INDEX('Scenario names'!$C$3:$C$6,1),'2.4 PV (by Borough)'!AF99,IF(Dashboard!$D$6=INDEX('Scenario names'!$C$3:$C$6,2),'2.4 PV (by Borough)'!AF99,IF(Dashboard!$D$6=INDEX('Scenario names'!$C$3:$C$6,3),'2.4 PV (by Borough)'!AF140,"Error")))))</f>
        <v>28285315.06312127</v>
      </c>
      <c r="AG181" s="607">
        <f>IF(Dashboard!$D$6="Baseline",'2.4 PV (by Borough)'!AG17,IF(Dashboard!$D$6=INDEX('Scenario names'!$C$3:$C$6,4),'2.4 PV (by Borough)'!AG140,IF(Dashboard!$D$6=INDEX('Scenario names'!$C$3:$C$6,1),'2.4 PV (by Borough)'!AG99,IF(Dashboard!$D$6=INDEX('Scenario names'!$C$3:$C$6,2),'2.4 PV (by Borough)'!AG99,IF(Dashboard!$D$6=INDEX('Scenario names'!$C$3:$C$6,3),'2.4 PV (by Borough)'!AG140,"Error")))))</f>
        <v>30143050.295306943</v>
      </c>
      <c r="AH181" s="607">
        <f>IF(Dashboard!$D$6="Baseline",'2.4 PV (by Borough)'!AH17,IF(Dashboard!$D$6=INDEX('Scenario names'!$C$3:$C$6,4),'2.4 PV (by Borough)'!AH140,IF(Dashboard!$D$6=INDEX('Scenario names'!$C$3:$C$6,1),'2.4 PV (by Borough)'!AH99,IF(Dashboard!$D$6=INDEX('Scenario names'!$C$3:$C$6,2),'2.4 PV (by Borough)'!AH99,IF(Dashboard!$D$6=INDEX('Scenario names'!$C$3:$C$6,3),'2.4 PV (by Borough)'!AH140,"Error")))))</f>
        <v>32000785.527492616</v>
      </c>
      <c r="AI181" s="607">
        <f>IF(Dashboard!$D$6="Baseline",'2.4 PV (by Borough)'!AI17,IF(Dashboard!$D$6=INDEX('Scenario names'!$C$3:$C$6,4),'2.4 PV (by Borough)'!AI140,IF(Dashboard!$D$6=INDEX('Scenario names'!$C$3:$C$6,1),'2.4 PV (by Borough)'!AI99,IF(Dashboard!$D$6=INDEX('Scenario names'!$C$3:$C$6,2),'2.4 PV (by Borough)'!AI99,IF(Dashboard!$D$6=INDEX('Scenario names'!$C$3:$C$6,3),'2.4 PV (by Borough)'!AI140,"Error")))))</f>
        <v>33858520.759678289</v>
      </c>
      <c r="AJ181" s="607">
        <f>IF(Dashboard!$D$6="Baseline",'2.4 PV (by Borough)'!AJ17,IF(Dashboard!$D$6=INDEX('Scenario names'!$C$3:$C$6,4),'2.4 PV (by Borough)'!AJ140,IF(Dashboard!$D$6=INDEX('Scenario names'!$C$3:$C$6,1),'2.4 PV (by Borough)'!AJ99,IF(Dashboard!$D$6=INDEX('Scenario names'!$C$3:$C$6,2),'2.4 PV (by Borough)'!AJ99,IF(Dashboard!$D$6=INDEX('Scenario names'!$C$3:$C$6,3),'2.4 PV (by Borough)'!AJ140,"Error")))))</f>
        <v>35716255.991863966</v>
      </c>
      <c r="AK181" s="607">
        <f>IF(Dashboard!$D$6="Baseline",'2.4 PV (by Borough)'!AK17,IF(Dashboard!$D$6=INDEX('Scenario names'!$C$3:$C$6,4),'2.4 PV (by Borough)'!AK140,IF(Dashboard!$D$6=INDEX('Scenario names'!$C$3:$C$6,1),'2.4 PV (by Borough)'!AK99,IF(Dashboard!$D$6=INDEX('Scenario names'!$C$3:$C$6,2),'2.4 PV (by Borough)'!AK99,IF(Dashboard!$D$6=INDEX('Scenario names'!$C$3:$C$6,3),'2.4 PV (by Borough)'!AK140,"Error")))))</f>
        <v>37573991.224049643</v>
      </c>
      <c r="AL181" s="607">
        <f>IF(Dashboard!$D$6="Baseline",'2.4 PV (by Borough)'!AL17,IF(Dashboard!$D$6=INDEX('Scenario names'!$C$3:$C$6,4),'2.4 PV (by Borough)'!AL140,IF(Dashboard!$D$6=INDEX('Scenario names'!$C$3:$C$6,1),'2.4 PV (by Borough)'!AL99,IF(Dashboard!$D$6=INDEX('Scenario names'!$C$3:$C$6,2),'2.4 PV (by Borough)'!AL99,IF(Dashboard!$D$6=INDEX('Scenario names'!$C$3:$C$6,3),'2.4 PV (by Borough)'!AL140,"Error")))))</f>
        <v>39431726.456235327</v>
      </c>
      <c r="AM181" s="607">
        <f>IF(Dashboard!$D$6="Baseline",'2.4 PV (by Borough)'!AM17,IF(Dashboard!$D$6=INDEX('Scenario names'!$C$3:$C$6,4),'2.4 PV (by Borough)'!AM140,IF(Dashboard!$D$6=INDEX('Scenario names'!$C$3:$C$6,1),'2.4 PV (by Borough)'!AM99,IF(Dashboard!$D$6=INDEX('Scenario names'!$C$3:$C$6,2),'2.4 PV (by Borough)'!AM99,IF(Dashboard!$D$6=INDEX('Scenario names'!$C$3:$C$6,3),'2.4 PV (by Borough)'!AM140,"Error")))))</f>
        <v>41289461.688420996</v>
      </c>
      <c r="AN181" s="607">
        <f>IF(Dashboard!$D$6="Baseline",'2.4 PV (by Borough)'!AN17,IF(Dashboard!$D$6=INDEX('Scenario names'!$C$3:$C$6,4),'2.4 PV (by Borough)'!AN140,IF(Dashboard!$D$6=INDEX('Scenario names'!$C$3:$C$6,1),'2.4 PV (by Borough)'!AN99,IF(Dashboard!$D$6=INDEX('Scenario names'!$C$3:$C$6,2),'2.4 PV (by Borough)'!AN99,IF(Dashboard!$D$6=INDEX('Scenario names'!$C$3:$C$6,3),'2.4 PV (by Borough)'!AN140,"Error")))))</f>
        <v>43147196.92060668</v>
      </c>
      <c r="AO181" s="607">
        <f>IF(Dashboard!$D$6="Baseline",'2.4 PV (by Borough)'!AO17,IF(Dashboard!$D$6=INDEX('Scenario names'!$C$3:$C$6,4),'2.4 PV (by Borough)'!AO140,IF(Dashboard!$D$6=INDEX('Scenario names'!$C$3:$C$6,1),'2.4 PV (by Borough)'!AO99,IF(Dashboard!$D$6=INDEX('Scenario names'!$C$3:$C$6,2),'2.4 PV (by Borough)'!AO99,IF(Dashboard!$D$6=INDEX('Scenario names'!$C$3:$C$6,3),'2.4 PV (by Borough)'!AO140,"Error")))))</f>
        <v>45004932.152792364</v>
      </c>
      <c r="AP181" s="607">
        <f>IF(Dashboard!$D$6="Baseline",'2.4 PV (by Borough)'!AP17,IF(Dashboard!$D$6=INDEX('Scenario names'!$C$3:$C$6,4),'2.4 PV (by Borough)'!AP140,IF(Dashboard!$D$6=INDEX('Scenario names'!$C$3:$C$6,1),'2.4 PV (by Borough)'!AP99,IF(Dashboard!$D$6=INDEX('Scenario names'!$C$3:$C$6,2),'2.4 PV (by Borough)'!AP99,IF(Dashboard!$D$6=INDEX('Scenario names'!$C$3:$C$6,3),'2.4 PV (by Borough)'!AP140,"Error")))))</f>
        <v>46862667.384978019</v>
      </c>
      <c r="AQ181" s="607">
        <f>IF(Dashboard!$D$6="Baseline",'2.4 PV (by Borough)'!AQ17,IF(Dashboard!$D$6=INDEX('Scenario names'!$C$3:$C$6,4),'2.4 PV (by Borough)'!AQ140,IF(Dashboard!$D$6=INDEX('Scenario names'!$C$3:$C$6,1),'2.4 PV (by Borough)'!AQ99,IF(Dashboard!$D$6=INDEX('Scenario names'!$C$3:$C$6,2),'2.4 PV (by Borough)'!AQ99,IF(Dashboard!$D$6=INDEX('Scenario names'!$C$3:$C$6,3),'2.4 PV (by Borough)'!AQ140,"Error")))))</f>
        <v>48720402.617163688</v>
      </c>
      <c r="AR181" s="607">
        <f>IF(Dashboard!$D$6="Baseline",'2.4 PV (by Borough)'!AR17,IF(Dashboard!$D$6=INDEX('Scenario names'!$C$3:$C$6,4),'2.4 PV (by Borough)'!AR140,IF(Dashboard!$D$6=INDEX('Scenario names'!$C$3:$C$6,1),'2.4 PV (by Borough)'!AR99,IF(Dashboard!$D$6=INDEX('Scenario names'!$C$3:$C$6,2),'2.4 PV (by Borough)'!AR99,IF(Dashboard!$D$6=INDEX('Scenario names'!$C$3:$C$6,3),'2.4 PV (by Borough)'!AR140,"Error")))))</f>
        <v>50578137.84934938</v>
      </c>
      <c r="AS181" s="607">
        <f>IF(Dashboard!$D$6="Baseline",'2.4 PV (by Borough)'!AS17,IF(Dashboard!$D$6=INDEX('Scenario names'!$C$3:$C$6,4),'2.4 PV (by Borough)'!AS140,IF(Dashboard!$D$6=INDEX('Scenario names'!$C$3:$C$6,1),'2.4 PV (by Borough)'!AS99,IF(Dashboard!$D$6=INDEX('Scenario names'!$C$3:$C$6,2),'2.4 PV (by Borough)'!AS99,IF(Dashboard!$D$6=INDEX('Scenario names'!$C$3:$C$6,3),'2.4 PV (by Borough)'!AS140,"Error")))))</f>
        <v>52435873.081535064</v>
      </c>
      <c r="AT181" s="607">
        <f>IF(Dashboard!$D$6="Baseline",'2.4 PV (by Borough)'!AT17,IF(Dashboard!$D$6=INDEX('Scenario names'!$C$3:$C$6,4),'2.4 PV (by Borough)'!AT140,IF(Dashboard!$D$6=INDEX('Scenario names'!$C$3:$C$6,1),'2.4 PV (by Borough)'!AT99,IF(Dashboard!$D$6=INDEX('Scenario names'!$C$3:$C$6,2),'2.4 PV (by Borough)'!AT99,IF(Dashboard!$D$6=INDEX('Scenario names'!$C$3:$C$6,3),'2.4 PV (by Borough)'!AT140,"Error")))))</f>
        <v>54293608.31372074</v>
      </c>
      <c r="AU181" s="607">
        <f>IF(Dashboard!$D$6="Baseline",'2.4 PV (by Borough)'!AU17,IF(Dashboard!$D$6=INDEX('Scenario names'!$C$3:$C$6,4),'2.4 PV (by Borough)'!AU140,IF(Dashboard!$D$6=INDEX('Scenario names'!$C$3:$C$6,1),'2.4 PV (by Borough)'!AU99,IF(Dashboard!$D$6=INDEX('Scenario names'!$C$3:$C$6,2),'2.4 PV (by Borough)'!AU99,IF(Dashboard!$D$6=INDEX('Scenario names'!$C$3:$C$6,3),'2.4 PV (by Borough)'!AU140,"Error")))))</f>
        <v>56151343.54590641</v>
      </c>
      <c r="AV181" s="607">
        <f>IF(Dashboard!$D$6="Baseline",'2.4 PV (by Borough)'!AV17,IF(Dashboard!$D$6=INDEX('Scenario names'!$C$3:$C$6,4),'2.4 PV (by Borough)'!AV140,IF(Dashboard!$D$6=INDEX('Scenario names'!$C$3:$C$6,1),'2.4 PV (by Borough)'!AV99,IF(Dashboard!$D$6=INDEX('Scenario names'!$C$3:$C$6,2),'2.4 PV (by Borough)'!AV99,IF(Dashboard!$D$6=INDEX('Scenario names'!$C$3:$C$6,3),'2.4 PV (by Borough)'!AV140,"Error")))))</f>
        <v>58009078.778092079</v>
      </c>
      <c r="AW181" s="607">
        <f>IF(Dashboard!$D$6="Baseline",'2.4 PV (by Borough)'!AW17,IF(Dashboard!$D$6=INDEX('Scenario names'!$C$3:$C$6,4),'2.4 PV (by Borough)'!AW140,IF(Dashboard!$D$6=INDEX('Scenario names'!$C$3:$C$6,1),'2.4 PV (by Borough)'!AW99,IF(Dashboard!$D$6=INDEX('Scenario names'!$C$3:$C$6,2),'2.4 PV (by Borough)'!AW99,IF(Dashboard!$D$6=INDEX('Scenario names'!$C$3:$C$6,3),'2.4 PV (by Borough)'!AW140,"Error")))))</f>
        <v>59866814.010277763</v>
      </c>
      <c r="AX181" s="607">
        <f>IF(Dashboard!$D$6="Baseline",'2.4 PV (by Borough)'!AX17,IF(Dashboard!$D$6=INDEX('Scenario names'!$C$3:$C$6,4),'2.4 PV (by Borough)'!AX140,IF(Dashboard!$D$6=INDEX('Scenario names'!$C$3:$C$6,1),'2.4 PV (by Borough)'!AX99,IF(Dashboard!$D$6=INDEX('Scenario names'!$C$3:$C$6,2),'2.4 PV (by Borough)'!AX99,IF(Dashboard!$D$6=INDEX('Scenario names'!$C$3:$C$6,3),'2.4 PV (by Borough)'!AX140,"Error")))))</f>
        <v>61724549.24246341</v>
      </c>
      <c r="AY181" s="36"/>
      <c r="AZ181" s="36"/>
      <c r="BA181" s="36"/>
      <c r="BB181" s="36"/>
    </row>
    <row r="182" spans="4:54">
      <c r="D182" t="s">
        <v>660</v>
      </c>
      <c r="E182" t="s">
        <v>637</v>
      </c>
      <c r="G182" s="44"/>
      <c r="I182" s="44"/>
      <c r="K182" s="44"/>
      <c r="M182" s="44"/>
      <c r="O182" s="607">
        <f>IF(Dashboard!$D$6="Baseline",'2.4 PV (by Borough)'!O18,IF(Dashboard!$D$6=INDEX('Scenario names'!$C$3:$C$6,4),'2.4 PV (by Borough)'!O141,IF(Dashboard!$D$6=INDEX('Scenario names'!$C$3:$C$6,1),'2.4 PV (by Borough)'!O100,IF(Dashboard!$D$6=INDEX('Scenario names'!$C$3:$C$6,2),'2.4 PV (by Borough)'!O100,IF(Dashboard!$D$6=INDEX('Scenario names'!$C$3:$C$6,3),'2.4 PV (by Borough)'!O141,"Error")))))</f>
        <v>1364026.2246228976</v>
      </c>
      <c r="P182" s="607">
        <f>IF(Dashboard!$D$6="Baseline",'2.4 PV (by Borough)'!P18,IF(Dashboard!$D$6=INDEX('Scenario names'!$C$3:$C$6,4),'2.4 PV (by Borough)'!P141,IF(Dashboard!$D$6=INDEX('Scenario names'!$C$3:$C$6,1),'2.4 PV (by Borough)'!P100,IF(Dashboard!$D$6=INDEX('Scenario names'!$C$3:$C$6,2),'2.4 PV (by Borough)'!P100,IF(Dashboard!$D$6=INDEX('Scenario names'!$C$3:$C$6,3),'2.4 PV (by Borough)'!P141,"Error")))))</f>
        <v>2406922.8016835102</v>
      </c>
      <c r="Q182" s="607">
        <f>IF(Dashboard!$D$6="Baseline",'2.4 PV (by Borough)'!Q18,IF(Dashboard!$D$6=INDEX('Scenario names'!$C$3:$C$6,4),'2.4 PV (by Borough)'!Q141,IF(Dashboard!$D$6=INDEX('Scenario names'!$C$3:$C$6,1),'2.4 PV (by Borough)'!Q100,IF(Dashboard!$D$6=INDEX('Scenario names'!$C$3:$C$6,2),'2.4 PV (by Borough)'!Q100,IF(Dashboard!$D$6=INDEX('Scenario names'!$C$3:$C$6,3),'2.4 PV (by Borough)'!Q141,"Error")))))</f>
        <v>3449819.378744123</v>
      </c>
      <c r="R182" s="607">
        <f>IF(Dashboard!$D$6="Baseline",'2.4 PV (by Borough)'!R18,IF(Dashboard!$D$6=INDEX('Scenario names'!$C$3:$C$6,4),'2.4 PV (by Borough)'!R141,IF(Dashboard!$D$6=INDEX('Scenario names'!$C$3:$C$6,1),'2.4 PV (by Borough)'!R100,IF(Dashboard!$D$6=INDEX('Scenario names'!$C$3:$C$6,2),'2.4 PV (by Borough)'!R100,IF(Dashboard!$D$6=INDEX('Scenario names'!$C$3:$C$6,3),'2.4 PV (by Borough)'!R141,"Error")))))</f>
        <v>4492715.9558047364</v>
      </c>
      <c r="S182" s="607">
        <f>IF(Dashboard!$D$6="Baseline",'2.4 PV (by Borough)'!S18,IF(Dashboard!$D$6=INDEX('Scenario names'!$C$3:$C$6,4),'2.4 PV (by Borough)'!S141,IF(Dashboard!$D$6=INDEX('Scenario names'!$C$3:$C$6,1),'2.4 PV (by Borough)'!S100,IF(Dashboard!$D$6=INDEX('Scenario names'!$C$3:$C$6,2),'2.4 PV (by Borough)'!S100,IF(Dashboard!$D$6=INDEX('Scenario names'!$C$3:$C$6,3),'2.4 PV (by Borough)'!S141,"Error")))))</f>
        <v>5535612.5328653492</v>
      </c>
      <c r="T182" s="607">
        <f>IF(Dashboard!$D$6="Baseline",'2.4 PV (by Borough)'!T18,IF(Dashboard!$D$6=INDEX('Scenario names'!$C$3:$C$6,4),'2.4 PV (by Borough)'!T141,IF(Dashboard!$D$6=INDEX('Scenario names'!$C$3:$C$6,1),'2.4 PV (by Borough)'!T100,IF(Dashboard!$D$6=INDEX('Scenario names'!$C$3:$C$6,2),'2.4 PV (by Borough)'!T100,IF(Dashboard!$D$6=INDEX('Scenario names'!$C$3:$C$6,3),'2.4 PV (by Borough)'!T141,"Error")))))</f>
        <v>6578509.109925963</v>
      </c>
      <c r="U182" s="607">
        <f>IF(Dashboard!$D$6="Baseline",'2.4 PV (by Borough)'!U18,IF(Dashboard!$D$6=INDEX('Scenario names'!$C$3:$C$6,4),'2.4 PV (by Borough)'!U141,IF(Dashboard!$D$6=INDEX('Scenario names'!$C$3:$C$6,1),'2.4 PV (by Borough)'!U100,IF(Dashboard!$D$6=INDEX('Scenario names'!$C$3:$C$6,2),'2.4 PV (by Borough)'!U100,IF(Dashboard!$D$6=INDEX('Scenario names'!$C$3:$C$6,3),'2.4 PV (by Borough)'!U141,"Error")))))</f>
        <v>7621405.6869865749</v>
      </c>
      <c r="V182" s="607">
        <f>IF(Dashboard!$D$6="Baseline",'2.4 PV (by Borough)'!V18,IF(Dashboard!$D$6=INDEX('Scenario names'!$C$3:$C$6,4),'2.4 PV (by Borough)'!V141,IF(Dashboard!$D$6=INDEX('Scenario names'!$C$3:$C$6,1),'2.4 PV (by Borough)'!V100,IF(Dashboard!$D$6=INDEX('Scenario names'!$C$3:$C$6,2),'2.4 PV (by Borough)'!V100,IF(Dashboard!$D$6=INDEX('Scenario names'!$C$3:$C$6,3),'2.4 PV (by Borough)'!V141,"Error")))))</f>
        <v>8664302.2640471887</v>
      </c>
      <c r="W182" s="607">
        <f>IF(Dashboard!$D$6="Baseline",'2.4 PV (by Borough)'!W18,IF(Dashboard!$D$6=INDEX('Scenario names'!$C$3:$C$6,4),'2.4 PV (by Borough)'!W141,IF(Dashboard!$D$6=INDEX('Scenario names'!$C$3:$C$6,1),'2.4 PV (by Borough)'!W100,IF(Dashboard!$D$6=INDEX('Scenario names'!$C$3:$C$6,2),'2.4 PV (by Borough)'!W100,IF(Dashboard!$D$6=INDEX('Scenario names'!$C$3:$C$6,3),'2.4 PV (by Borough)'!W141,"Error")))))</f>
        <v>9707198.8411078025</v>
      </c>
      <c r="X182" s="607">
        <f>IF(Dashboard!$D$6="Baseline",'2.4 PV (by Borough)'!X18,IF(Dashboard!$D$6=INDEX('Scenario names'!$C$3:$C$6,4),'2.4 PV (by Borough)'!X141,IF(Dashboard!$D$6=INDEX('Scenario names'!$C$3:$C$6,1),'2.4 PV (by Borough)'!X100,IF(Dashboard!$D$6=INDEX('Scenario names'!$C$3:$C$6,2),'2.4 PV (by Borough)'!X100,IF(Dashboard!$D$6=INDEX('Scenario names'!$C$3:$C$6,3),'2.4 PV (by Borough)'!X141,"Error")))))</f>
        <v>10750095.418168413</v>
      </c>
      <c r="Y182" s="607">
        <f>IF(Dashboard!$D$6="Baseline",'2.4 PV (by Borough)'!Y18,IF(Dashboard!$D$6=INDEX('Scenario names'!$C$3:$C$6,4),'2.4 PV (by Borough)'!Y141,IF(Dashboard!$D$6=INDEX('Scenario names'!$C$3:$C$6,1),'2.4 PV (by Borough)'!Y100,IF(Dashboard!$D$6=INDEX('Scenario names'!$C$3:$C$6,2),'2.4 PV (by Borough)'!Y100,IF(Dashboard!$D$6=INDEX('Scenario names'!$C$3:$C$6,3),'2.4 PV (by Borough)'!Y141,"Error")))))</f>
        <v>11792991.995229028</v>
      </c>
      <c r="Z182" s="607">
        <f>IF(Dashboard!$D$6="Baseline",'2.4 PV (by Borough)'!Z18,IF(Dashboard!$D$6=INDEX('Scenario names'!$C$3:$C$6,4),'2.4 PV (by Borough)'!Z141,IF(Dashboard!$D$6=INDEX('Scenario names'!$C$3:$C$6,1),'2.4 PV (by Borough)'!Z100,IF(Dashboard!$D$6=INDEX('Scenario names'!$C$3:$C$6,2),'2.4 PV (by Borough)'!Z100,IF(Dashboard!$D$6=INDEX('Scenario names'!$C$3:$C$6,3),'2.4 PV (by Borough)'!Z141,"Error")))))</f>
        <v>12925185.759710034</v>
      </c>
      <c r="AA182" s="607">
        <f>IF(Dashboard!$D$6="Baseline",'2.4 PV (by Borough)'!AA18,IF(Dashboard!$D$6=INDEX('Scenario names'!$C$3:$C$6,4),'2.4 PV (by Borough)'!AA141,IF(Dashboard!$D$6=INDEX('Scenario names'!$C$3:$C$6,1),'2.4 PV (by Borough)'!AA100,IF(Dashboard!$D$6=INDEX('Scenario names'!$C$3:$C$6,2),'2.4 PV (by Borough)'!AA100,IF(Dashboard!$D$6=INDEX('Scenario names'!$C$3:$C$6,3),'2.4 PV (by Borough)'!AA141,"Error")))))</f>
        <v>14057379.524191044</v>
      </c>
      <c r="AB182" s="607">
        <f>IF(Dashboard!$D$6="Baseline",'2.4 PV (by Borough)'!AB18,IF(Dashboard!$D$6=INDEX('Scenario names'!$C$3:$C$6,4),'2.4 PV (by Borough)'!AB141,IF(Dashboard!$D$6=INDEX('Scenario names'!$C$3:$C$6,1),'2.4 PV (by Borough)'!AB100,IF(Dashboard!$D$6=INDEX('Scenario names'!$C$3:$C$6,2),'2.4 PV (by Borough)'!AB100,IF(Dashboard!$D$6=INDEX('Scenario names'!$C$3:$C$6,3),'2.4 PV (by Borough)'!AB141,"Error")))))</f>
        <v>15189573.288672054</v>
      </c>
      <c r="AC182" s="607">
        <f>IF(Dashboard!$D$6="Baseline",'2.4 PV (by Borough)'!AC18,IF(Dashboard!$D$6=INDEX('Scenario names'!$C$3:$C$6,4),'2.4 PV (by Borough)'!AC141,IF(Dashboard!$D$6=INDEX('Scenario names'!$C$3:$C$6,1),'2.4 PV (by Borough)'!AC100,IF(Dashboard!$D$6=INDEX('Scenario names'!$C$3:$C$6,2),'2.4 PV (by Borough)'!AC100,IF(Dashboard!$D$6=INDEX('Scenario names'!$C$3:$C$6,3),'2.4 PV (by Borough)'!AC141,"Error")))))</f>
        <v>16321767.053153064</v>
      </c>
      <c r="AD182" s="607">
        <f>IF(Dashboard!$D$6="Baseline",'2.4 PV (by Borough)'!AD18,IF(Dashboard!$D$6=INDEX('Scenario names'!$C$3:$C$6,4),'2.4 PV (by Borough)'!AD141,IF(Dashboard!$D$6=INDEX('Scenario names'!$C$3:$C$6,1),'2.4 PV (by Borough)'!AD100,IF(Dashboard!$D$6=INDEX('Scenario names'!$C$3:$C$6,2),'2.4 PV (by Borough)'!AD100,IF(Dashboard!$D$6=INDEX('Scenario names'!$C$3:$C$6,3),'2.4 PV (by Borough)'!AD141,"Error")))))</f>
        <v>17453960.817634068</v>
      </c>
      <c r="AE182" s="607">
        <f>IF(Dashboard!$D$6="Baseline",'2.4 PV (by Borough)'!AE18,IF(Dashboard!$D$6=INDEX('Scenario names'!$C$3:$C$6,4),'2.4 PV (by Borough)'!AE141,IF(Dashboard!$D$6=INDEX('Scenario names'!$C$3:$C$6,1),'2.4 PV (by Borough)'!AE100,IF(Dashboard!$D$6=INDEX('Scenario names'!$C$3:$C$6,2),'2.4 PV (by Borough)'!AE100,IF(Dashboard!$D$6=INDEX('Scenario names'!$C$3:$C$6,3),'2.4 PV (by Borough)'!AE141,"Error")))))</f>
        <v>18586154.582115073</v>
      </c>
      <c r="AF182" s="607">
        <f>IF(Dashboard!$D$6="Baseline",'2.4 PV (by Borough)'!AF18,IF(Dashboard!$D$6=INDEX('Scenario names'!$C$3:$C$6,4),'2.4 PV (by Borough)'!AF141,IF(Dashboard!$D$6=INDEX('Scenario names'!$C$3:$C$6,1),'2.4 PV (by Borough)'!AF100,IF(Dashboard!$D$6=INDEX('Scenario names'!$C$3:$C$6,2),'2.4 PV (by Borough)'!AF100,IF(Dashboard!$D$6=INDEX('Scenario names'!$C$3:$C$6,3),'2.4 PV (by Borough)'!AF141,"Error")))))</f>
        <v>19718348.346596085</v>
      </c>
      <c r="AG182" s="607">
        <f>IF(Dashboard!$D$6="Baseline",'2.4 PV (by Borough)'!AG18,IF(Dashboard!$D$6=INDEX('Scenario names'!$C$3:$C$6,4),'2.4 PV (by Borough)'!AG141,IF(Dashboard!$D$6=INDEX('Scenario names'!$C$3:$C$6,1),'2.4 PV (by Borough)'!AG100,IF(Dashboard!$D$6=INDEX('Scenario names'!$C$3:$C$6,2),'2.4 PV (by Borough)'!AG100,IF(Dashboard!$D$6=INDEX('Scenario names'!$C$3:$C$6,3),'2.4 PV (by Borough)'!AG141,"Error")))))</f>
        <v>20850542.111077093</v>
      </c>
      <c r="AH182" s="607">
        <f>IF(Dashboard!$D$6="Baseline",'2.4 PV (by Borough)'!AH18,IF(Dashboard!$D$6=INDEX('Scenario names'!$C$3:$C$6,4),'2.4 PV (by Borough)'!AH141,IF(Dashboard!$D$6=INDEX('Scenario names'!$C$3:$C$6,1),'2.4 PV (by Borough)'!AH100,IF(Dashboard!$D$6=INDEX('Scenario names'!$C$3:$C$6,2),'2.4 PV (by Borough)'!AH100,IF(Dashboard!$D$6=INDEX('Scenario names'!$C$3:$C$6,3),'2.4 PV (by Borough)'!AH141,"Error")))))</f>
        <v>21982735.875558101</v>
      </c>
      <c r="AI182" s="607">
        <f>IF(Dashboard!$D$6="Baseline",'2.4 PV (by Borough)'!AI18,IF(Dashboard!$D$6=INDEX('Scenario names'!$C$3:$C$6,4),'2.4 PV (by Borough)'!AI141,IF(Dashboard!$D$6=INDEX('Scenario names'!$C$3:$C$6,1),'2.4 PV (by Borough)'!AI100,IF(Dashboard!$D$6=INDEX('Scenario names'!$C$3:$C$6,2),'2.4 PV (by Borough)'!AI100,IF(Dashboard!$D$6=INDEX('Scenario names'!$C$3:$C$6,3),'2.4 PV (by Borough)'!AI141,"Error")))))</f>
        <v>23114929.640039109</v>
      </c>
      <c r="AJ182" s="607">
        <f>IF(Dashboard!$D$6="Baseline",'2.4 PV (by Borough)'!AJ18,IF(Dashboard!$D$6=INDEX('Scenario names'!$C$3:$C$6,4),'2.4 PV (by Borough)'!AJ141,IF(Dashboard!$D$6=INDEX('Scenario names'!$C$3:$C$6,1),'2.4 PV (by Borough)'!AJ100,IF(Dashboard!$D$6=INDEX('Scenario names'!$C$3:$C$6,2),'2.4 PV (by Borough)'!AJ100,IF(Dashboard!$D$6=INDEX('Scenario names'!$C$3:$C$6,3),'2.4 PV (by Borough)'!AJ141,"Error")))))</f>
        <v>24247123.40452012</v>
      </c>
      <c r="AK182" s="607">
        <f>IF(Dashboard!$D$6="Baseline",'2.4 PV (by Borough)'!AK18,IF(Dashboard!$D$6=INDEX('Scenario names'!$C$3:$C$6,4),'2.4 PV (by Borough)'!AK141,IF(Dashboard!$D$6=INDEX('Scenario names'!$C$3:$C$6,1),'2.4 PV (by Borough)'!AK100,IF(Dashboard!$D$6=INDEX('Scenario names'!$C$3:$C$6,2),'2.4 PV (by Borough)'!AK100,IF(Dashboard!$D$6=INDEX('Scenario names'!$C$3:$C$6,3),'2.4 PV (by Borough)'!AK141,"Error")))))</f>
        <v>25379317.169001125</v>
      </c>
      <c r="AL182" s="607">
        <f>IF(Dashboard!$D$6="Baseline",'2.4 PV (by Borough)'!AL18,IF(Dashboard!$D$6=INDEX('Scenario names'!$C$3:$C$6,4),'2.4 PV (by Borough)'!AL141,IF(Dashboard!$D$6=INDEX('Scenario names'!$C$3:$C$6,1),'2.4 PV (by Borough)'!AL100,IF(Dashboard!$D$6=INDEX('Scenario names'!$C$3:$C$6,2),'2.4 PV (by Borough)'!AL100,IF(Dashboard!$D$6=INDEX('Scenario names'!$C$3:$C$6,3),'2.4 PV (by Borough)'!AL141,"Error")))))</f>
        <v>26511510.933482133</v>
      </c>
      <c r="AM182" s="607">
        <f>IF(Dashboard!$D$6="Baseline",'2.4 PV (by Borough)'!AM18,IF(Dashboard!$D$6=INDEX('Scenario names'!$C$3:$C$6,4),'2.4 PV (by Borough)'!AM141,IF(Dashboard!$D$6=INDEX('Scenario names'!$C$3:$C$6,1),'2.4 PV (by Borough)'!AM100,IF(Dashboard!$D$6=INDEX('Scenario names'!$C$3:$C$6,2),'2.4 PV (by Borough)'!AM100,IF(Dashboard!$D$6=INDEX('Scenario names'!$C$3:$C$6,3),'2.4 PV (by Borough)'!AM141,"Error")))))</f>
        <v>27643704.697963145</v>
      </c>
      <c r="AN182" s="607">
        <f>IF(Dashboard!$D$6="Baseline",'2.4 PV (by Borough)'!AN18,IF(Dashboard!$D$6=INDEX('Scenario names'!$C$3:$C$6,4),'2.4 PV (by Borough)'!AN141,IF(Dashboard!$D$6=INDEX('Scenario names'!$C$3:$C$6,1),'2.4 PV (by Borough)'!AN100,IF(Dashboard!$D$6=INDEX('Scenario names'!$C$3:$C$6,2),'2.4 PV (by Borough)'!AN100,IF(Dashboard!$D$6=INDEX('Scenario names'!$C$3:$C$6,3),'2.4 PV (by Borough)'!AN141,"Error")))))</f>
        <v>28775898.462444145</v>
      </c>
      <c r="AO182" s="607">
        <f>IF(Dashboard!$D$6="Baseline",'2.4 PV (by Borough)'!AO18,IF(Dashboard!$D$6=INDEX('Scenario names'!$C$3:$C$6,4),'2.4 PV (by Borough)'!AO141,IF(Dashboard!$D$6=INDEX('Scenario names'!$C$3:$C$6,1),'2.4 PV (by Borough)'!AO100,IF(Dashboard!$D$6=INDEX('Scenario names'!$C$3:$C$6,2),'2.4 PV (by Borough)'!AO100,IF(Dashboard!$D$6=INDEX('Scenario names'!$C$3:$C$6,3),'2.4 PV (by Borough)'!AO141,"Error")))))</f>
        <v>29908092.22692515</v>
      </c>
      <c r="AP182" s="607">
        <f>IF(Dashboard!$D$6="Baseline",'2.4 PV (by Borough)'!AP18,IF(Dashboard!$D$6=INDEX('Scenario names'!$C$3:$C$6,4),'2.4 PV (by Borough)'!AP141,IF(Dashboard!$D$6=INDEX('Scenario names'!$C$3:$C$6,1),'2.4 PV (by Borough)'!AP100,IF(Dashboard!$D$6=INDEX('Scenario names'!$C$3:$C$6,2),'2.4 PV (by Borough)'!AP100,IF(Dashboard!$D$6=INDEX('Scenario names'!$C$3:$C$6,3),'2.4 PV (by Borough)'!AP141,"Error")))))</f>
        <v>31040285.991406165</v>
      </c>
      <c r="AQ182" s="607">
        <f>IF(Dashboard!$D$6="Baseline",'2.4 PV (by Borough)'!AQ18,IF(Dashboard!$D$6=INDEX('Scenario names'!$C$3:$C$6,4),'2.4 PV (by Borough)'!AQ141,IF(Dashboard!$D$6=INDEX('Scenario names'!$C$3:$C$6,1),'2.4 PV (by Borough)'!AQ100,IF(Dashboard!$D$6=INDEX('Scenario names'!$C$3:$C$6,2),'2.4 PV (by Borough)'!AQ100,IF(Dashboard!$D$6=INDEX('Scenario names'!$C$3:$C$6,3),'2.4 PV (by Borough)'!AQ141,"Error")))))</f>
        <v>32172479.755887173</v>
      </c>
      <c r="AR182" s="607">
        <f>IF(Dashboard!$D$6="Baseline",'2.4 PV (by Borough)'!AR18,IF(Dashboard!$D$6=INDEX('Scenario names'!$C$3:$C$6,4),'2.4 PV (by Borough)'!AR141,IF(Dashboard!$D$6=INDEX('Scenario names'!$C$3:$C$6,1),'2.4 PV (by Borough)'!AR100,IF(Dashboard!$D$6=INDEX('Scenario names'!$C$3:$C$6,2),'2.4 PV (by Borough)'!AR100,IF(Dashboard!$D$6=INDEX('Scenario names'!$C$3:$C$6,3),'2.4 PV (by Borough)'!AR141,"Error")))))</f>
        <v>33304673.520368177</v>
      </c>
      <c r="AS182" s="607">
        <f>IF(Dashboard!$D$6="Baseline",'2.4 PV (by Borough)'!AS18,IF(Dashboard!$D$6=INDEX('Scenario names'!$C$3:$C$6,4),'2.4 PV (by Borough)'!AS141,IF(Dashboard!$D$6=INDEX('Scenario names'!$C$3:$C$6,1),'2.4 PV (by Borough)'!AS100,IF(Dashboard!$D$6=INDEX('Scenario names'!$C$3:$C$6,2),'2.4 PV (by Borough)'!AS100,IF(Dashboard!$D$6=INDEX('Scenario names'!$C$3:$C$6,3),'2.4 PV (by Borough)'!AS141,"Error")))))</f>
        <v>34436867.284849197</v>
      </c>
      <c r="AT182" s="607">
        <f>IF(Dashboard!$D$6="Baseline",'2.4 PV (by Borough)'!AT18,IF(Dashboard!$D$6=INDEX('Scenario names'!$C$3:$C$6,4),'2.4 PV (by Borough)'!AT141,IF(Dashboard!$D$6=INDEX('Scenario names'!$C$3:$C$6,1),'2.4 PV (by Borough)'!AT100,IF(Dashboard!$D$6=INDEX('Scenario names'!$C$3:$C$6,2),'2.4 PV (by Borough)'!AT100,IF(Dashboard!$D$6=INDEX('Scenario names'!$C$3:$C$6,3),'2.4 PV (by Borough)'!AT141,"Error")))))</f>
        <v>35569061.049330197</v>
      </c>
      <c r="AU182" s="607">
        <f>IF(Dashboard!$D$6="Baseline",'2.4 PV (by Borough)'!AU18,IF(Dashboard!$D$6=INDEX('Scenario names'!$C$3:$C$6,4),'2.4 PV (by Borough)'!AU141,IF(Dashboard!$D$6=INDEX('Scenario names'!$C$3:$C$6,1),'2.4 PV (by Borough)'!AU100,IF(Dashboard!$D$6=INDEX('Scenario names'!$C$3:$C$6,2),'2.4 PV (by Borough)'!AU100,IF(Dashboard!$D$6=INDEX('Scenario names'!$C$3:$C$6,3),'2.4 PV (by Borough)'!AU141,"Error")))))</f>
        <v>36701254.813811213</v>
      </c>
      <c r="AV182" s="607">
        <f>IF(Dashboard!$D$6="Baseline",'2.4 PV (by Borough)'!AV18,IF(Dashboard!$D$6=INDEX('Scenario names'!$C$3:$C$6,4),'2.4 PV (by Borough)'!AV141,IF(Dashboard!$D$6=INDEX('Scenario names'!$C$3:$C$6,1),'2.4 PV (by Borough)'!AV100,IF(Dashboard!$D$6=INDEX('Scenario names'!$C$3:$C$6,2),'2.4 PV (by Borough)'!AV100,IF(Dashboard!$D$6=INDEX('Scenario names'!$C$3:$C$6,3),'2.4 PV (by Borough)'!AV141,"Error")))))</f>
        <v>37833448.578292213</v>
      </c>
      <c r="AW182" s="607">
        <f>IF(Dashboard!$D$6="Baseline",'2.4 PV (by Borough)'!AW18,IF(Dashboard!$D$6=INDEX('Scenario names'!$C$3:$C$6,4),'2.4 PV (by Borough)'!AW141,IF(Dashboard!$D$6=INDEX('Scenario names'!$C$3:$C$6,1),'2.4 PV (by Borough)'!AW100,IF(Dashboard!$D$6=INDEX('Scenario names'!$C$3:$C$6,2),'2.4 PV (by Borough)'!AW100,IF(Dashboard!$D$6=INDEX('Scenario names'!$C$3:$C$6,3),'2.4 PV (by Borough)'!AW141,"Error")))))</f>
        <v>38965642.342773214</v>
      </c>
      <c r="AX182" s="607">
        <f>IF(Dashboard!$D$6="Baseline",'2.4 PV (by Borough)'!AX18,IF(Dashboard!$D$6=INDEX('Scenario names'!$C$3:$C$6,4),'2.4 PV (by Borough)'!AX141,IF(Dashboard!$D$6=INDEX('Scenario names'!$C$3:$C$6,1),'2.4 PV (by Borough)'!AX100,IF(Dashboard!$D$6=INDEX('Scenario names'!$C$3:$C$6,2),'2.4 PV (by Borough)'!AX100,IF(Dashboard!$D$6=INDEX('Scenario names'!$C$3:$C$6,3),'2.4 PV (by Borough)'!AX141,"Error")))))</f>
        <v>40097836.107254222</v>
      </c>
      <c r="AY182" s="36"/>
      <c r="AZ182" s="36"/>
      <c r="BA182" s="36"/>
      <c r="BB182" s="36"/>
    </row>
    <row r="183" spans="4:54">
      <c r="D183" t="s">
        <v>660</v>
      </c>
      <c r="E183" t="s">
        <v>638</v>
      </c>
      <c r="G183" s="44"/>
      <c r="I183" s="44"/>
      <c r="K183" s="44"/>
      <c r="M183" s="44"/>
      <c r="O183" s="607">
        <f>IF(Dashboard!$D$6="Baseline",'2.4 PV (by Borough)'!O19,IF(Dashboard!$D$6=INDEX('Scenario names'!$C$3:$C$6,4),'2.4 PV (by Borough)'!O142,IF(Dashboard!$D$6=INDEX('Scenario names'!$C$3:$C$6,1),'2.4 PV (by Borough)'!O101,IF(Dashboard!$D$6=INDEX('Scenario names'!$C$3:$C$6,2),'2.4 PV (by Borough)'!O101,IF(Dashboard!$D$6=INDEX('Scenario names'!$C$3:$C$6,3),'2.4 PV (by Borough)'!O142,"Error")))))</f>
        <v>662741.12371362071</v>
      </c>
      <c r="P183" s="607">
        <f>IF(Dashboard!$D$6="Baseline",'2.4 PV (by Borough)'!P19,IF(Dashboard!$D$6=INDEX('Scenario names'!$C$3:$C$6,4),'2.4 PV (by Borough)'!P142,IF(Dashboard!$D$6=INDEX('Scenario names'!$C$3:$C$6,1),'2.4 PV (by Borough)'!P101,IF(Dashboard!$D$6=INDEX('Scenario names'!$C$3:$C$6,2),'2.4 PV (by Borough)'!P101,IF(Dashboard!$D$6=INDEX('Scenario names'!$C$3:$C$6,3),'2.4 PV (by Borough)'!P142,"Error")))))</f>
        <v>1185829.1879174737</v>
      </c>
      <c r="Q183" s="607">
        <f>IF(Dashboard!$D$6="Baseline",'2.4 PV (by Borough)'!Q19,IF(Dashboard!$D$6=INDEX('Scenario names'!$C$3:$C$6,4),'2.4 PV (by Borough)'!Q142,IF(Dashboard!$D$6=INDEX('Scenario names'!$C$3:$C$6,1),'2.4 PV (by Borough)'!Q101,IF(Dashboard!$D$6=INDEX('Scenario names'!$C$3:$C$6,2),'2.4 PV (by Borough)'!Q101,IF(Dashboard!$D$6=INDEX('Scenario names'!$C$3:$C$6,3),'2.4 PV (by Borough)'!Q142,"Error")))))</f>
        <v>1708917.252121327</v>
      </c>
      <c r="R183" s="607">
        <f>IF(Dashboard!$D$6="Baseline",'2.4 PV (by Borough)'!R19,IF(Dashboard!$D$6=INDEX('Scenario names'!$C$3:$C$6,4),'2.4 PV (by Borough)'!R142,IF(Dashboard!$D$6=INDEX('Scenario names'!$C$3:$C$6,1),'2.4 PV (by Borough)'!R101,IF(Dashboard!$D$6=INDEX('Scenario names'!$C$3:$C$6,2),'2.4 PV (by Borough)'!R101,IF(Dashboard!$D$6=INDEX('Scenario names'!$C$3:$C$6,3),'2.4 PV (by Borough)'!R142,"Error")))))</f>
        <v>2232005.3163251793</v>
      </c>
      <c r="S183" s="607">
        <f>IF(Dashboard!$D$6="Baseline",'2.4 PV (by Borough)'!S19,IF(Dashboard!$D$6=INDEX('Scenario names'!$C$3:$C$6,4),'2.4 PV (by Borough)'!S142,IF(Dashboard!$D$6=INDEX('Scenario names'!$C$3:$C$6,1),'2.4 PV (by Borough)'!S101,IF(Dashboard!$D$6=INDEX('Scenario names'!$C$3:$C$6,2),'2.4 PV (by Borough)'!S101,IF(Dashboard!$D$6=INDEX('Scenario names'!$C$3:$C$6,3),'2.4 PV (by Borough)'!S142,"Error")))))</f>
        <v>2755093.3805290326</v>
      </c>
      <c r="T183" s="607">
        <f>IF(Dashboard!$D$6="Baseline",'2.4 PV (by Borough)'!T19,IF(Dashboard!$D$6=INDEX('Scenario names'!$C$3:$C$6,4),'2.4 PV (by Borough)'!T142,IF(Dashboard!$D$6=INDEX('Scenario names'!$C$3:$C$6,1),'2.4 PV (by Borough)'!T101,IF(Dashboard!$D$6=INDEX('Scenario names'!$C$3:$C$6,2),'2.4 PV (by Borough)'!T101,IF(Dashboard!$D$6=INDEX('Scenario names'!$C$3:$C$6,3),'2.4 PV (by Borough)'!T142,"Error")))))</f>
        <v>3278181.4447328853</v>
      </c>
      <c r="U183" s="607">
        <f>IF(Dashboard!$D$6="Baseline",'2.4 PV (by Borough)'!U19,IF(Dashboard!$D$6=INDEX('Scenario names'!$C$3:$C$6,4),'2.4 PV (by Borough)'!U142,IF(Dashboard!$D$6=INDEX('Scenario names'!$C$3:$C$6,1),'2.4 PV (by Borough)'!U101,IF(Dashboard!$D$6=INDEX('Scenario names'!$C$3:$C$6,2),'2.4 PV (by Borough)'!U101,IF(Dashboard!$D$6=INDEX('Scenario names'!$C$3:$C$6,3),'2.4 PV (by Borough)'!U142,"Error")))))</f>
        <v>3801269.5089367386</v>
      </c>
      <c r="V183" s="607">
        <f>IF(Dashboard!$D$6="Baseline",'2.4 PV (by Borough)'!V19,IF(Dashboard!$D$6=INDEX('Scenario names'!$C$3:$C$6,4),'2.4 PV (by Borough)'!V142,IF(Dashboard!$D$6=INDEX('Scenario names'!$C$3:$C$6,1),'2.4 PV (by Borough)'!V101,IF(Dashboard!$D$6=INDEX('Scenario names'!$C$3:$C$6,2),'2.4 PV (by Borough)'!V101,IF(Dashboard!$D$6=INDEX('Scenario names'!$C$3:$C$6,3),'2.4 PV (by Borough)'!V142,"Error")))))</f>
        <v>4324357.5731405914</v>
      </c>
      <c r="W183" s="607">
        <f>IF(Dashboard!$D$6="Baseline",'2.4 PV (by Borough)'!W19,IF(Dashboard!$D$6=INDEX('Scenario names'!$C$3:$C$6,4),'2.4 PV (by Borough)'!W142,IF(Dashboard!$D$6=INDEX('Scenario names'!$C$3:$C$6,1),'2.4 PV (by Borough)'!W101,IF(Dashboard!$D$6=INDEX('Scenario names'!$C$3:$C$6,2),'2.4 PV (by Borough)'!W101,IF(Dashboard!$D$6=INDEX('Scenario names'!$C$3:$C$6,3),'2.4 PV (by Borough)'!W142,"Error")))))</f>
        <v>4847445.637344446</v>
      </c>
      <c r="X183" s="607">
        <f>IF(Dashboard!$D$6="Baseline",'2.4 PV (by Borough)'!X19,IF(Dashboard!$D$6=INDEX('Scenario names'!$C$3:$C$6,4),'2.4 PV (by Borough)'!X142,IF(Dashboard!$D$6=INDEX('Scenario names'!$C$3:$C$6,1),'2.4 PV (by Borough)'!X101,IF(Dashboard!$D$6=INDEX('Scenario names'!$C$3:$C$6,2),'2.4 PV (by Borough)'!X101,IF(Dashboard!$D$6=INDEX('Scenario names'!$C$3:$C$6,3),'2.4 PV (by Borough)'!X142,"Error")))))</f>
        <v>5370533.7015482988</v>
      </c>
      <c r="Y183" s="607">
        <f>IF(Dashboard!$D$6="Baseline",'2.4 PV (by Borough)'!Y19,IF(Dashboard!$D$6=INDEX('Scenario names'!$C$3:$C$6,4),'2.4 PV (by Borough)'!Y142,IF(Dashboard!$D$6=INDEX('Scenario names'!$C$3:$C$6,1),'2.4 PV (by Borough)'!Y101,IF(Dashboard!$D$6=INDEX('Scenario names'!$C$3:$C$6,2),'2.4 PV (by Borough)'!Y101,IF(Dashboard!$D$6=INDEX('Scenario names'!$C$3:$C$6,3),'2.4 PV (by Borough)'!Y142,"Error")))))</f>
        <v>5893621.7657521516</v>
      </c>
      <c r="Z183" s="607">
        <f>IF(Dashboard!$D$6="Baseline",'2.4 PV (by Borough)'!Z19,IF(Dashboard!$D$6=INDEX('Scenario names'!$C$3:$C$6,4),'2.4 PV (by Borough)'!Z142,IF(Dashboard!$D$6=INDEX('Scenario names'!$C$3:$C$6,1),'2.4 PV (by Borough)'!Z101,IF(Dashboard!$D$6=INDEX('Scenario names'!$C$3:$C$6,2),'2.4 PV (by Borough)'!Z101,IF(Dashboard!$D$6=INDEX('Scenario names'!$C$3:$C$6,3),'2.4 PV (by Borough)'!Z142,"Error")))))</f>
        <v>6337903.2348683169</v>
      </c>
      <c r="AA183" s="607">
        <f>IF(Dashboard!$D$6="Baseline",'2.4 PV (by Borough)'!AA19,IF(Dashboard!$D$6=INDEX('Scenario names'!$C$3:$C$6,4),'2.4 PV (by Borough)'!AA142,IF(Dashboard!$D$6=INDEX('Scenario names'!$C$3:$C$6,1),'2.4 PV (by Borough)'!AA101,IF(Dashboard!$D$6=INDEX('Scenario names'!$C$3:$C$6,2),'2.4 PV (by Borough)'!AA101,IF(Dashboard!$D$6=INDEX('Scenario names'!$C$3:$C$6,3),'2.4 PV (by Borough)'!AA142,"Error")))))</f>
        <v>6782184.7039844776</v>
      </c>
      <c r="AB183" s="607">
        <f>IF(Dashboard!$D$6="Baseline",'2.4 PV (by Borough)'!AB19,IF(Dashboard!$D$6=INDEX('Scenario names'!$C$3:$C$6,4),'2.4 PV (by Borough)'!AB142,IF(Dashboard!$D$6=INDEX('Scenario names'!$C$3:$C$6,1),'2.4 PV (by Borough)'!AB101,IF(Dashboard!$D$6=INDEX('Scenario names'!$C$3:$C$6,2),'2.4 PV (by Borough)'!AB101,IF(Dashboard!$D$6=INDEX('Scenario names'!$C$3:$C$6,3),'2.4 PV (by Borough)'!AB142,"Error")))))</f>
        <v>7226466.173100641</v>
      </c>
      <c r="AC183" s="607">
        <f>IF(Dashboard!$D$6="Baseline",'2.4 PV (by Borough)'!AC19,IF(Dashboard!$D$6=INDEX('Scenario names'!$C$3:$C$6,4),'2.4 PV (by Borough)'!AC142,IF(Dashboard!$D$6=INDEX('Scenario names'!$C$3:$C$6,1),'2.4 PV (by Borough)'!AC101,IF(Dashboard!$D$6=INDEX('Scenario names'!$C$3:$C$6,2),'2.4 PV (by Borough)'!AC101,IF(Dashboard!$D$6=INDEX('Scenario names'!$C$3:$C$6,3),'2.4 PV (by Borough)'!AC142,"Error")))))</f>
        <v>7670747.6422168054</v>
      </c>
      <c r="AD183" s="607">
        <f>IF(Dashboard!$D$6="Baseline",'2.4 PV (by Borough)'!AD19,IF(Dashboard!$D$6=INDEX('Scenario names'!$C$3:$C$6,4),'2.4 PV (by Borough)'!AD142,IF(Dashboard!$D$6=INDEX('Scenario names'!$C$3:$C$6,1),'2.4 PV (by Borough)'!AD101,IF(Dashboard!$D$6=INDEX('Scenario names'!$C$3:$C$6,2),'2.4 PV (by Borough)'!AD101,IF(Dashboard!$D$6=INDEX('Scenario names'!$C$3:$C$6,3),'2.4 PV (by Borough)'!AD142,"Error")))))</f>
        <v>8115029.1113329679</v>
      </c>
      <c r="AE183" s="607">
        <f>IF(Dashboard!$D$6="Baseline",'2.4 PV (by Borough)'!AE19,IF(Dashboard!$D$6=INDEX('Scenario names'!$C$3:$C$6,4),'2.4 PV (by Borough)'!AE142,IF(Dashboard!$D$6=INDEX('Scenario names'!$C$3:$C$6,1),'2.4 PV (by Borough)'!AE101,IF(Dashboard!$D$6=INDEX('Scenario names'!$C$3:$C$6,2),'2.4 PV (by Borough)'!AE101,IF(Dashboard!$D$6=INDEX('Scenario names'!$C$3:$C$6,3),'2.4 PV (by Borough)'!AE142,"Error")))))</f>
        <v>8559310.5804491285</v>
      </c>
      <c r="AF183" s="607">
        <f>IF(Dashboard!$D$6="Baseline",'2.4 PV (by Borough)'!AF19,IF(Dashboard!$D$6=INDEX('Scenario names'!$C$3:$C$6,4),'2.4 PV (by Borough)'!AF142,IF(Dashboard!$D$6=INDEX('Scenario names'!$C$3:$C$6,1),'2.4 PV (by Borough)'!AF101,IF(Dashboard!$D$6=INDEX('Scenario names'!$C$3:$C$6,2),'2.4 PV (by Borough)'!AF101,IF(Dashboard!$D$6=INDEX('Scenario names'!$C$3:$C$6,3),'2.4 PV (by Borough)'!AF142,"Error")))))</f>
        <v>9003592.0495652948</v>
      </c>
      <c r="AG183" s="607">
        <f>IF(Dashboard!$D$6="Baseline",'2.4 PV (by Borough)'!AG19,IF(Dashboard!$D$6=INDEX('Scenario names'!$C$3:$C$6,4),'2.4 PV (by Borough)'!AG142,IF(Dashboard!$D$6=INDEX('Scenario names'!$C$3:$C$6,1),'2.4 PV (by Borough)'!AG101,IF(Dashboard!$D$6=INDEX('Scenario names'!$C$3:$C$6,2),'2.4 PV (by Borough)'!AG101,IF(Dashboard!$D$6=INDEX('Scenario names'!$C$3:$C$6,3),'2.4 PV (by Borough)'!AG142,"Error")))))</f>
        <v>9447873.518681461</v>
      </c>
      <c r="AH183" s="607">
        <f>IF(Dashboard!$D$6="Baseline",'2.4 PV (by Borough)'!AH19,IF(Dashboard!$D$6=INDEX('Scenario names'!$C$3:$C$6,4),'2.4 PV (by Borough)'!AH142,IF(Dashboard!$D$6=INDEX('Scenario names'!$C$3:$C$6,1),'2.4 PV (by Borough)'!AH101,IF(Dashboard!$D$6=INDEX('Scenario names'!$C$3:$C$6,2),'2.4 PV (by Borough)'!AH101,IF(Dashboard!$D$6=INDEX('Scenario names'!$C$3:$C$6,3),'2.4 PV (by Borough)'!AH142,"Error")))))</f>
        <v>9892154.9877976235</v>
      </c>
      <c r="AI183" s="607">
        <f>IF(Dashboard!$D$6="Baseline",'2.4 PV (by Borough)'!AI19,IF(Dashboard!$D$6=INDEX('Scenario names'!$C$3:$C$6,4),'2.4 PV (by Borough)'!AI142,IF(Dashboard!$D$6=INDEX('Scenario names'!$C$3:$C$6,1),'2.4 PV (by Borough)'!AI101,IF(Dashboard!$D$6=INDEX('Scenario names'!$C$3:$C$6,2),'2.4 PV (by Borough)'!AI101,IF(Dashboard!$D$6=INDEX('Scenario names'!$C$3:$C$6,3),'2.4 PV (by Borough)'!AI142,"Error")))))</f>
        <v>10336436.456913786</v>
      </c>
      <c r="AJ183" s="607">
        <f>IF(Dashboard!$D$6="Baseline",'2.4 PV (by Borough)'!AJ19,IF(Dashboard!$D$6=INDEX('Scenario names'!$C$3:$C$6,4),'2.4 PV (by Borough)'!AJ142,IF(Dashboard!$D$6=INDEX('Scenario names'!$C$3:$C$6,1),'2.4 PV (by Borough)'!AJ101,IF(Dashboard!$D$6=INDEX('Scenario names'!$C$3:$C$6,2),'2.4 PV (by Borough)'!AJ101,IF(Dashboard!$D$6=INDEX('Scenario names'!$C$3:$C$6,3),'2.4 PV (by Borough)'!AJ142,"Error")))))</f>
        <v>10780717.926029947</v>
      </c>
      <c r="AK183" s="607">
        <f>IF(Dashboard!$D$6="Baseline",'2.4 PV (by Borough)'!AK19,IF(Dashboard!$D$6=INDEX('Scenario names'!$C$3:$C$6,4),'2.4 PV (by Borough)'!AK142,IF(Dashboard!$D$6=INDEX('Scenario names'!$C$3:$C$6,1),'2.4 PV (by Borough)'!AK101,IF(Dashboard!$D$6=INDEX('Scenario names'!$C$3:$C$6,2),'2.4 PV (by Borough)'!AK101,IF(Dashboard!$D$6=INDEX('Scenario names'!$C$3:$C$6,3),'2.4 PV (by Borough)'!AK142,"Error")))))</f>
        <v>11224999.395146113</v>
      </c>
      <c r="AL183" s="607">
        <f>IF(Dashboard!$D$6="Baseline",'2.4 PV (by Borough)'!AL19,IF(Dashboard!$D$6=INDEX('Scenario names'!$C$3:$C$6,4),'2.4 PV (by Borough)'!AL142,IF(Dashboard!$D$6=INDEX('Scenario names'!$C$3:$C$6,1),'2.4 PV (by Borough)'!AL101,IF(Dashboard!$D$6=INDEX('Scenario names'!$C$3:$C$6,2),'2.4 PV (by Borough)'!AL101,IF(Dashboard!$D$6=INDEX('Scenario names'!$C$3:$C$6,3),'2.4 PV (by Borough)'!AL142,"Error")))))</f>
        <v>11669280.864262275</v>
      </c>
      <c r="AM183" s="607">
        <f>IF(Dashboard!$D$6="Baseline",'2.4 PV (by Borough)'!AM19,IF(Dashboard!$D$6=INDEX('Scenario names'!$C$3:$C$6,4),'2.4 PV (by Borough)'!AM142,IF(Dashboard!$D$6=INDEX('Scenario names'!$C$3:$C$6,1),'2.4 PV (by Borough)'!AM101,IF(Dashboard!$D$6=INDEX('Scenario names'!$C$3:$C$6,2),'2.4 PV (by Borough)'!AM101,IF(Dashboard!$D$6=INDEX('Scenario names'!$C$3:$C$6,3),'2.4 PV (by Borough)'!AM142,"Error")))))</f>
        <v>12113562.333378434</v>
      </c>
      <c r="AN183" s="607">
        <f>IF(Dashboard!$D$6="Baseline",'2.4 PV (by Borough)'!AN19,IF(Dashboard!$D$6=INDEX('Scenario names'!$C$3:$C$6,4),'2.4 PV (by Borough)'!AN142,IF(Dashboard!$D$6=INDEX('Scenario names'!$C$3:$C$6,1),'2.4 PV (by Borough)'!AN101,IF(Dashboard!$D$6=INDEX('Scenario names'!$C$3:$C$6,2),'2.4 PV (by Borough)'!AN101,IF(Dashboard!$D$6=INDEX('Scenario names'!$C$3:$C$6,3),'2.4 PV (by Borough)'!AN142,"Error")))))</f>
        <v>12557843.8024946</v>
      </c>
      <c r="AO183" s="607">
        <f>IF(Dashboard!$D$6="Baseline",'2.4 PV (by Borough)'!AO19,IF(Dashboard!$D$6=INDEX('Scenario names'!$C$3:$C$6,4),'2.4 PV (by Borough)'!AO142,IF(Dashboard!$D$6=INDEX('Scenario names'!$C$3:$C$6,1),'2.4 PV (by Borough)'!AO101,IF(Dashboard!$D$6=INDEX('Scenario names'!$C$3:$C$6,2),'2.4 PV (by Borough)'!AO101,IF(Dashboard!$D$6=INDEX('Scenario names'!$C$3:$C$6,3),'2.4 PV (by Borough)'!AO142,"Error")))))</f>
        <v>13002125.271610767</v>
      </c>
      <c r="AP183" s="607">
        <f>IF(Dashboard!$D$6="Baseline",'2.4 PV (by Borough)'!AP19,IF(Dashboard!$D$6=INDEX('Scenario names'!$C$3:$C$6,4),'2.4 PV (by Borough)'!AP142,IF(Dashboard!$D$6=INDEX('Scenario names'!$C$3:$C$6,1),'2.4 PV (by Borough)'!AP101,IF(Dashboard!$D$6=INDEX('Scenario names'!$C$3:$C$6,2),'2.4 PV (by Borough)'!AP101,IF(Dashboard!$D$6=INDEX('Scenario names'!$C$3:$C$6,3),'2.4 PV (by Borough)'!AP142,"Error")))))</f>
        <v>13446406.740726924</v>
      </c>
      <c r="AQ183" s="607">
        <f>IF(Dashboard!$D$6="Baseline",'2.4 PV (by Borough)'!AQ19,IF(Dashboard!$D$6=INDEX('Scenario names'!$C$3:$C$6,4),'2.4 PV (by Borough)'!AQ142,IF(Dashboard!$D$6=INDEX('Scenario names'!$C$3:$C$6,1),'2.4 PV (by Borough)'!AQ101,IF(Dashboard!$D$6=INDEX('Scenario names'!$C$3:$C$6,2),'2.4 PV (by Borough)'!AQ101,IF(Dashboard!$D$6=INDEX('Scenario names'!$C$3:$C$6,3),'2.4 PV (by Borough)'!AQ142,"Error")))))</f>
        <v>13890688.209843092</v>
      </c>
      <c r="AR183" s="607">
        <f>IF(Dashboard!$D$6="Baseline",'2.4 PV (by Borough)'!AR19,IF(Dashboard!$D$6=INDEX('Scenario names'!$C$3:$C$6,4),'2.4 PV (by Borough)'!AR142,IF(Dashboard!$D$6=INDEX('Scenario names'!$C$3:$C$6,1),'2.4 PV (by Borough)'!AR101,IF(Dashboard!$D$6=INDEX('Scenario names'!$C$3:$C$6,2),'2.4 PV (by Borough)'!AR101,IF(Dashboard!$D$6=INDEX('Scenario names'!$C$3:$C$6,3),'2.4 PV (by Borough)'!AR142,"Error")))))</f>
        <v>14334969.678959254</v>
      </c>
      <c r="AS183" s="607">
        <f>IF(Dashboard!$D$6="Baseline",'2.4 PV (by Borough)'!AS19,IF(Dashboard!$D$6=INDEX('Scenario names'!$C$3:$C$6,4),'2.4 PV (by Borough)'!AS142,IF(Dashboard!$D$6=INDEX('Scenario names'!$C$3:$C$6,1),'2.4 PV (by Borough)'!AS101,IF(Dashboard!$D$6=INDEX('Scenario names'!$C$3:$C$6,2),'2.4 PV (by Borough)'!AS101,IF(Dashboard!$D$6=INDEX('Scenario names'!$C$3:$C$6,3),'2.4 PV (by Borough)'!AS142,"Error")))))</f>
        <v>14779251.148075419</v>
      </c>
      <c r="AT183" s="607">
        <f>IF(Dashboard!$D$6="Baseline",'2.4 PV (by Borough)'!AT19,IF(Dashboard!$D$6=INDEX('Scenario names'!$C$3:$C$6,4),'2.4 PV (by Borough)'!AT142,IF(Dashboard!$D$6=INDEX('Scenario names'!$C$3:$C$6,1),'2.4 PV (by Borough)'!AT101,IF(Dashboard!$D$6=INDEX('Scenario names'!$C$3:$C$6,2),'2.4 PV (by Borough)'!AT101,IF(Dashboard!$D$6=INDEX('Scenario names'!$C$3:$C$6,3),'2.4 PV (by Borough)'!AT142,"Error")))))</f>
        <v>15223532.617191583</v>
      </c>
      <c r="AU183" s="607">
        <f>IF(Dashboard!$D$6="Baseline",'2.4 PV (by Borough)'!AU19,IF(Dashboard!$D$6=INDEX('Scenario names'!$C$3:$C$6,4),'2.4 PV (by Borough)'!AU142,IF(Dashboard!$D$6=INDEX('Scenario names'!$C$3:$C$6,1),'2.4 PV (by Borough)'!AU101,IF(Dashboard!$D$6=INDEX('Scenario names'!$C$3:$C$6,2),'2.4 PV (by Borough)'!AU101,IF(Dashboard!$D$6=INDEX('Scenario names'!$C$3:$C$6,3),'2.4 PV (by Borough)'!AU142,"Error")))))</f>
        <v>15667814.086307742</v>
      </c>
      <c r="AV183" s="607">
        <f>IF(Dashboard!$D$6="Baseline",'2.4 PV (by Borough)'!AV19,IF(Dashboard!$D$6=INDEX('Scenario names'!$C$3:$C$6,4),'2.4 PV (by Borough)'!AV142,IF(Dashboard!$D$6=INDEX('Scenario names'!$C$3:$C$6,1),'2.4 PV (by Borough)'!AV101,IF(Dashboard!$D$6=INDEX('Scenario names'!$C$3:$C$6,2),'2.4 PV (by Borough)'!AV101,IF(Dashboard!$D$6=INDEX('Scenario names'!$C$3:$C$6,3),'2.4 PV (by Borough)'!AV142,"Error")))))</f>
        <v>16112095.55542391</v>
      </c>
      <c r="AW183" s="607">
        <f>IF(Dashboard!$D$6="Baseline",'2.4 PV (by Borough)'!AW19,IF(Dashboard!$D$6=INDEX('Scenario names'!$C$3:$C$6,4),'2.4 PV (by Borough)'!AW142,IF(Dashboard!$D$6=INDEX('Scenario names'!$C$3:$C$6,1),'2.4 PV (by Borough)'!AW101,IF(Dashboard!$D$6=INDEX('Scenario names'!$C$3:$C$6,2),'2.4 PV (by Borough)'!AW101,IF(Dashboard!$D$6=INDEX('Scenario names'!$C$3:$C$6,3),'2.4 PV (by Borough)'!AW142,"Error")))))</f>
        <v>16556377.02454007</v>
      </c>
      <c r="AX183" s="607">
        <f>IF(Dashboard!$D$6="Baseline",'2.4 PV (by Borough)'!AX19,IF(Dashboard!$D$6=INDEX('Scenario names'!$C$3:$C$6,4),'2.4 PV (by Borough)'!AX142,IF(Dashboard!$D$6=INDEX('Scenario names'!$C$3:$C$6,1),'2.4 PV (by Borough)'!AX101,IF(Dashboard!$D$6=INDEX('Scenario names'!$C$3:$C$6,2),'2.4 PV (by Borough)'!AX101,IF(Dashboard!$D$6=INDEX('Scenario names'!$C$3:$C$6,3),'2.4 PV (by Borough)'!AX142,"Error")))))</f>
        <v>17000658.493656237</v>
      </c>
      <c r="AY183" s="36"/>
      <c r="AZ183" s="36"/>
      <c r="BA183" s="36"/>
      <c r="BB183" s="36"/>
    </row>
    <row r="184" spans="4:54">
      <c r="D184" t="s">
        <v>660</v>
      </c>
      <c r="E184" t="s">
        <v>639</v>
      </c>
      <c r="G184" s="44"/>
      <c r="I184" s="44"/>
      <c r="K184" s="44"/>
      <c r="M184" s="44"/>
      <c r="O184" s="607">
        <f>IF(Dashboard!$D$6="Baseline",'2.4 PV (by Borough)'!O20,IF(Dashboard!$D$6=INDEX('Scenario names'!$C$3:$C$6,4),'2.4 PV (by Borough)'!O143,IF(Dashboard!$D$6=INDEX('Scenario names'!$C$3:$C$6,1),'2.4 PV (by Borough)'!O102,IF(Dashboard!$D$6=INDEX('Scenario names'!$C$3:$C$6,2),'2.4 PV (by Borough)'!O102,IF(Dashboard!$D$6=INDEX('Scenario names'!$C$3:$C$6,3),'2.4 PV (by Borough)'!O143,"Error")))))</f>
        <v>397162.16942581232</v>
      </c>
      <c r="P184" s="607">
        <f>IF(Dashboard!$D$6="Baseline",'2.4 PV (by Borough)'!P20,IF(Dashboard!$D$6=INDEX('Scenario names'!$C$3:$C$6,4),'2.4 PV (by Borough)'!P143,IF(Dashboard!$D$6=INDEX('Scenario names'!$C$3:$C$6,1),'2.4 PV (by Borough)'!P102,IF(Dashboard!$D$6=INDEX('Scenario names'!$C$3:$C$6,2),'2.4 PV (by Borough)'!P102,IF(Dashboard!$D$6=INDEX('Scenario names'!$C$3:$C$6,3),'2.4 PV (by Borough)'!P143,"Error")))))</f>
        <v>707053.54467545031</v>
      </c>
      <c r="Q184" s="607">
        <f>IF(Dashboard!$D$6="Baseline",'2.4 PV (by Borough)'!Q20,IF(Dashboard!$D$6=INDEX('Scenario names'!$C$3:$C$6,4),'2.4 PV (by Borough)'!Q143,IF(Dashboard!$D$6=INDEX('Scenario names'!$C$3:$C$6,1),'2.4 PV (by Borough)'!Q102,IF(Dashboard!$D$6=INDEX('Scenario names'!$C$3:$C$6,2),'2.4 PV (by Borough)'!Q102,IF(Dashboard!$D$6=INDEX('Scenario names'!$C$3:$C$6,3),'2.4 PV (by Borough)'!Q143,"Error")))))</f>
        <v>1016944.9199250882</v>
      </c>
      <c r="R184" s="607">
        <f>IF(Dashboard!$D$6="Baseline",'2.4 PV (by Borough)'!R20,IF(Dashboard!$D$6=INDEX('Scenario names'!$C$3:$C$6,4),'2.4 PV (by Borough)'!R143,IF(Dashboard!$D$6=INDEX('Scenario names'!$C$3:$C$6,1),'2.4 PV (by Borough)'!R102,IF(Dashboard!$D$6=INDEX('Scenario names'!$C$3:$C$6,2),'2.4 PV (by Borough)'!R102,IF(Dashboard!$D$6=INDEX('Scenario names'!$C$3:$C$6,3),'2.4 PV (by Borough)'!R143,"Error")))))</f>
        <v>1326836.2951747258</v>
      </c>
      <c r="S184" s="607">
        <f>IF(Dashboard!$D$6="Baseline",'2.4 PV (by Borough)'!S20,IF(Dashboard!$D$6=INDEX('Scenario names'!$C$3:$C$6,4),'2.4 PV (by Borough)'!S143,IF(Dashboard!$D$6=INDEX('Scenario names'!$C$3:$C$6,1),'2.4 PV (by Borough)'!S102,IF(Dashboard!$D$6=INDEX('Scenario names'!$C$3:$C$6,2),'2.4 PV (by Borough)'!S102,IF(Dashboard!$D$6=INDEX('Scenario names'!$C$3:$C$6,3),'2.4 PV (by Borough)'!S143,"Error")))))</f>
        <v>1636727.6704243638</v>
      </c>
      <c r="T184" s="607">
        <f>IF(Dashboard!$D$6="Baseline",'2.4 PV (by Borough)'!T20,IF(Dashboard!$D$6=INDEX('Scenario names'!$C$3:$C$6,4),'2.4 PV (by Borough)'!T143,IF(Dashboard!$D$6=INDEX('Scenario names'!$C$3:$C$6,1),'2.4 PV (by Borough)'!T102,IF(Dashboard!$D$6=INDEX('Scenario names'!$C$3:$C$6,2),'2.4 PV (by Borough)'!T102,IF(Dashboard!$D$6=INDEX('Scenario names'!$C$3:$C$6,3),'2.4 PV (by Borough)'!T143,"Error")))))</f>
        <v>1946619.0456740018</v>
      </c>
      <c r="U184" s="607">
        <f>IF(Dashboard!$D$6="Baseline",'2.4 PV (by Borough)'!U20,IF(Dashboard!$D$6=INDEX('Scenario names'!$C$3:$C$6,4),'2.4 PV (by Borough)'!U143,IF(Dashboard!$D$6=INDEX('Scenario names'!$C$3:$C$6,1),'2.4 PV (by Borough)'!U102,IF(Dashboard!$D$6=INDEX('Scenario names'!$C$3:$C$6,2),'2.4 PV (by Borough)'!U102,IF(Dashboard!$D$6=INDEX('Scenario names'!$C$3:$C$6,3),'2.4 PV (by Borough)'!U143,"Error")))))</f>
        <v>2256510.4209236391</v>
      </c>
      <c r="V184" s="607">
        <f>IF(Dashboard!$D$6="Baseline",'2.4 PV (by Borough)'!V20,IF(Dashboard!$D$6=INDEX('Scenario names'!$C$3:$C$6,4),'2.4 PV (by Borough)'!V143,IF(Dashboard!$D$6=INDEX('Scenario names'!$C$3:$C$6,1),'2.4 PV (by Borough)'!V102,IF(Dashboard!$D$6=INDEX('Scenario names'!$C$3:$C$6,2),'2.4 PV (by Borough)'!V102,IF(Dashboard!$D$6=INDEX('Scenario names'!$C$3:$C$6,3),'2.4 PV (by Borough)'!V143,"Error")))))</f>
        <v>2566401.7961732773</v>
      </c>
      <c r="W184" s="607">
        <f>IF(Dashboard!$D$6="Baseline",'2.4 PV (by Borough)'!W20,IF(Dashboard!$D$6=INDEX('Scenario names'!$C$3:$C$6,4),'2.4 PV (by Borough)'!W143,IF(Dashboard!$D$6=INDEX('Scenario names'!$C$3:$C$6,1),'2.4 PV (by Borough)'!W102,IF(Dashboard!$D$6=INDEX('Scenario names'!$C$3:$C$6,2),'2.4 PV (by Borough)'!W102,IF(Dashboard!$D$6=INDEX('Scenario names'!$C$3:$C$6,3),'2.4 PV (by Borough)'!W143,"Error")))))</f>
        <v>2876293.1714229146</v>
      </c>
      <c r="X184" s="607">
        <f>IF(Dashboard!$D$6="Baseline",'2.4 PV (by Borough)'!X20,IF(Dashboard!$D$6=INDEX('Scenario names'!$C$3:$C$6,4),'2.4 PV (by Borough)'!X143,IF(Dashboard!$D$6=INDEX('Scenario names'!$C$3:$C$6,1),'2.4 PV (by Borough)'!X102,IF(Dashboard!$D$6=INDEX('Scenario names'!$C$3:$C$6,2),'2.4 PV (by Borough)'!X102,IF(Dashboard!$D$6=INDEX('Scenario names'!$C$3:$C$6,3),'2.4 PV (by Borough)'!X143,"Error")))))</f>
        <v>3186184.5466725524</v>
      </c>
      <c r="Y184" s="607">
        <f>IF(Dashboard!$D$6="Baseline",'2.4 PV (by Borough)'!Y20,IF(Dashboard!$D$6=INDEX('Scenario names'!$C$3:$C$6,4),'2.4 PV (by Borough)'!Y143,IF(Dashboard!$D$6=INDEX('Scenario names'!$C$3:$C$6,1),'2.4 PV (by Borough)'!Y102,IF(Dashboard!$D$6=INDEX('Scenario names'!$C$3:$C$6,2),'2.4 PV (by Borough)'!Y102,IF(Dashboard!$D$6=INDEX('Scenario names'!$C$3:$C$6,3),'2.4 PV (by Borough)'!Y143,"Error")))))</f>
        <v>3496075.9219221906</v>
      </c>
      <c r="Z184" s="607">
        <f>IF(Dashboard!$D$6="Baseline",'2.4 PV (by Borough)'!Z20,IF(Dashboard!$D$6=INDEX('Scenario names'!$C$3:$C$6,4),'2.4 PV (by Borough)'!Z143,IF(Dashboard!$D$6=INDEX('Scenario names'!$C$3:$C$6,1),'2.4 PV (by Borough)'!Z102,IF(Dashboard!$D$6=INDEX('Scenario names'!$C$3:$C$6,2),'2.4 PV (by Borough)'!Z102,IF(Dashboard!$D$6=INDEX('Scenario names'!$C$3:$C$6,3),'2.4 PV (by Borough)'!Z143,"Error")))))</f>
        <v>4227016.5158853577</v>
      </c>
      <c r="AA184" s="607">
        <f>IF(Dashboard!$D$6="Baseline",'2.4 PV (by Borough)'!AA20,IF(Dashboard!$D$6=INDEX('Scenario names'!$C$3:$C$6,4),'2.4 PV (by Borough)'!AA143,IF(Dashboard!$D$6=INDEX('Scenario names'!$C$3:$C$6,1),'2.4 PV (by Borough)'!AA102,IF(Dashboard!$D$6=INDEX('Scenario names'!$C$3:$C$6,2),'2.4 PV (by Borough)'!AA102,IF(Dashboard!$D$6=INDEX('Scenario names'!$C$3:$C$6,3),'2.4 PV (by Borough)'!AA143,"Error")))))</f>
        <v>4957957.1098485244</v>
      </c>
      <c r="AB184" s="607">
        <f>IF(Dashboard!$D$6="Baseline",'2.4 PV (by Borough)'!AB20,IF(Dashboard!$D$6=INDEX('Scenario names'!$C$3:$C$6,4),'2.4 PV (by Borough)'!AB143,IF(Dashboard!$D$6=INDEX('Scenario names'!$C$3:$C$6,1),'2.4 PV (by Borough)'!AB102,IF(Dashboard!$D$6=INDEX('Scenario names'!$C$3:$C$6,2),'2.4 PV (by Borough)'!AB102,IF(Dashboard!$D$6=INDEX('Scenario names'!$C$3:$C$6,3),'2.4 PV (by Borough)'!AB143,"Error")))))</f>
        <v>5688897.7038116893</v>
      </c>
      <c r="AC184" s="607">
        <f>IF(Dashboard!$D$6="Baseline",'2.4 PV (by Borough)'!AC20,IF(Dashboard!$D$6=INDEX('Scenario names'!$C$3:$C$6,4),'2.4 PV (by Borough)'!AC143,IF(Dashboard!$D$6=INDEX('Scenario names'!$C$3:$C$6,1),'2.4 PV (by Borough)'!AC102,IF(Dashboard!$D$6=INDEX('Scenario names'!$C$3:$C$6,2),'2.4 PV (by Borough)'!AC102,IF(Dashboard!$D$6=INDEX('Scenario names'!$C$3:$C$6,3),'2.4 PV (by Borough)'!AC143,"Error")))))</f>
        <v>6419838.2977748578</v>
      </c>
      <c r="AD184" s="607">
        <f>IF(Dashboard!$D$6="Baseline",'2.4 PV (by Borough)'!AD20,IF(Dashboard!$D$6=INDEX('Scenario names'!$C$3:$C$6,4),'2.4 PV (by Borough)'!AD143,IF(Dashboard!$D$6=INDEX('Scenario names'!$C$3:$C$6,1),'2.4 PV (by Borough)'!AD102,IF(Dashboard!$D$6=INDEX('Scenario names'!$C$3:$C$6,2),'2.4 PV (by Borough)'!AD102,IF(Dashboard!$D$6=INDEX('Scenario names'!$C$3:$C$6,3),'2.4 PV (by Borough)'!AD143,"Error")))))</f>
        <v>7150778.8917380245</v>
      </c>
      <c r="AE184" s="607">
        <f>IF(Dashboard!$D$6="Baseline",'2.4 PV (by Borough)'!AE20,IF(Dashboard!$D$6=INDEX('Scenario names'!$C$3:$C$6,4),'2.4 PV (by Borough)'!AE143,IF(Dashboard!$D$6=INDEX('Scenario names'!$C$3:$C$6,1),'2.4 PV (by Borough)'!AE102,IF(Dashboard!$D$6=INDEX('Scenario names'!$C$3:$C$6,2),'2.4 PV (by Borough)'!AE102,IF(Dashboard!$D$6=INDEX('Scenario names'!$C$3:$C$6,3),'2.4 PV (by Borough)'!AE143,"Error")))))</f>
        <v>7881719.4857011903</v>
      </c>
      <c r="AF184" s="607">
        <f>IF(Dashboard!$D$6="Baseline",'2.4 PV (by Borough)'!AF20,IF(Dashboard!$D$6=INDEX('Scenario names'!$C$3:$C$6,4),'2.4 PV (by Borough)'!AF143,IF(Dashboard!$D$6=INDEX('Scenario names'!$C$3:$C$6,1),'2.4 PV (by Borough)'!AF102,IF(Dashboard!$D$6=INDEX('Scenario names'!$C$3:$C$6,2),'2.4 PV (by Borough)'!AF102,IF(Dashboard!$D$6=INDEX('Scenario names'!$C$3:$C$6,3),'2.4 PV (by Borough)'!AF143,"Error")))))</f>
        <v>8612660.0796643607</v>
      </c>
      <c r="AG184" s="607">
        <f>IF(Dashboard!$D$6="Baseline",'2.4 PV (by Borough)'!AG20,IF(Dashboard!$D$6=INDEX('Scenario names'!$C$3:$C$6,4),'2.4 PV (by Borough)'!AG143,IF(Dashboard!$D$6=INDEX('Scenario names'!$C$3:$C$6,1),'2.4 PV (by Borough)'!AG102,IF(Dashboard!$D$6=INDEX('Scenario names'!$C$3:$C$6,2),'2.4 PV (by Borough)'!AG102,IF(Dashboard!$D$6=INDEX('Scenario names'!$C$3:$C$6,3),'2.4 PV (by Borough)'!AG143,"Error")))))</f>
        <v>9343600.6736275237</v>
      </c>
      <c r="AH184" s="607">
        <f>IF(Dashboard!$D$6="Baseline",'2.4 PV (by Borough)'!AH20,IF(Dashboard!$D$6=INDEX('Scenario names'!$C$3:$C$6,4),'2.4 PV (by Borough)'!AH143,IF(Dashboard!$D$6=INDEX('Scenario names'!$C$3:$C$6,1),'2.4 PV (by Borough)'!AH102,IF(Dashboard!$D$6=INDEX('Scenario names'!$C$3:$C$6,2),'2.4 PV (by Borough)'!AH102,IF(Dashboard!$D$6=INDEX('Scenario names'!$C$3:$C$6,3),'2.4 PV (by Borough)'!AH143,"Error")))))</f>
        <v>10074541.26759069</v>
      </c>
      <c r="AI184" s="607">
        <f>IF(Dashboard!$D$6="Baseline",'2.4 PV (by Borough)'!AI20,IF(Dashboard!$D$6=INDEX('Scenario names'!$C$3:$C$6,4),'2.4 PV (by Borough)'!AI143,IF(Dashboard!$D$6=INDEX('Scenario names'!$C$3:$C$6,1),'2.4 PV (by Borough)'!AI102,IF(Dashboard!$D$6=INDEX('Scenario names'!$C$3:$C$6,2),'2.4 PV (by Borough)'!AI102,IF(Dashboard!$D$6=INDEX('Scenario names'!$C$3:$C$6,3),'2.4 PV (by Borough)'!AI143,"Error")))))</f>
        <v>10805481.861553859</v>
      </c>
      <c r="AJ184" s="607">
        <f>IF(Dashboard!$D$6="Baseline",'2.4 PV (by Borough)'!AJ20,IF(Dashboard!$D$6=INDEX('Scenario names'!$C$3:$C$6,4),'2.4 PV (by Borough)'!AJ143,IF(Dashboard!$D$6=INDEX('Scenario names'!$C$3:$C$6,1),'2.4 PV (by Borough)'!AJ102,IF(Dashboard!$D$6=INDEX('Scenario names'!$C$3:$C$6,2),'2.4 PV (by Borough)'!AJ102,IF(Dashboard!$D$6=INDEX('Scenario names'!$C$3:$C$6,3),'2.4 PV (by Borough)'!AJ143,"Error")))))</f>
        <v>11536422.455517026</v>
      </c>
      <c r="AK184" s="607">
        <f>IF(Dashboard!$D$6="Baseline",'2.4 PV (by Borough)'!AK20,IF(Dashboard!$D$6=INDEX('Scenario names'!$C$3:$C$6,4),'2.4 PV (by Borough)'!AK143,IF(Dashboard!$D$6=INDEX('Scenario names'!$C$3:$C$6,1),'2.4 PV (by Borough)'!AK102,IF(Dashboard!$D$6=INDEX('Scenario names'!$C$3:$C$6,2),'2.4 PV (by Borough)'!AK102,IF(Dashboard!$D$6=INDEX('Scenario names'!$C$3:$C$6,3),'2.4 PV (by Borough)'!AK143,"Error")))))</f>
        <v>12267363.049480192</v>
      </c>
      <c r="AL184" s="607">
        <f>IF(Dashboard!$D$6="Baseline",'2.4 PV (by Borough)'!AL20,IF(Dashboard!$D$6=INDEX('Scenario names'!$C$3:$C$6,4),'2.4 PV (by Borough)'!AL143,IF(Dashboard!$D$6=INDEX('Scenario names'!$C$3:$C$6,1),'2.4 PV (by Borough)'!AL102,IF(Dashboard!$D$6=INDEX('Scenario names'!$C$3:$C$6,2),'2.4 PV (by Borough)'!AL102,IF(Dashboard!$D$6=INDEX('Scenario names'!$C$3:$C$6,3),'2.4 PV (by Borough)'!AL143,"Error")))))</f>
        <v>12998303.643443361</v>
      </c>
      <c r="AM184" s="607">
        <f>IF(Dashboard!$D$6="Baseline",'2.4 PV (by Borough)'!AM20,IF(Dashboard!$D$6=INDEX('Scenario names'!$C$3:$C$6,4),'2.4 PV (by Borough)'!AM143,IF(Dashboard!$D$6=INDEX('Scenario names'!$C$3:$C$6,1),'2.4 PV (by Borough)'!AM102,IF(Dashboard!$D$6=INDEX('Scenario names'!$C$3:$C$6,2),'2.4 PV (by Borough)'!AM102,IF(Dashboard!$D$6=INDEX('Scenario names'!$C$3:$C$6,3),'2.4 PV (by Borough)'!AM143,"Error")))))</f>
        <v>13729244.237406526</v>
      </c>
      <c r="AN184" s="607">
        <f>IF(Dashboard!$D$6="Baseline",'2.4 PV (by Borough)'!AN20,IF(Dashboard!$D$6=INDEX('Scenario names'!$C$3:$C$6,4),'2.4 PV (by Borough)'!AN143,IF(Dashboard!$D$6=INDEX('Scenario names'!$C$3:$C$6,1),'2.4 PV (by Borough)'!AN102,IF(Dashboard!$D$6=INDEX('Scenario names'!$C$3:$C$6,2),'2.4 PV (by Borough)'!AN102,IF(Dashboard!$D$6=INDEX('Scenario names'!$C$3:$C$6,3),'2.4 PV (by Borough)'!AN143,"Error")))))</f>
        <v>14460184.831369692</v>
      </c>
      <c r="AO184" s="607">
        <f>IF(Dashboard!$D$6="Baseline",'2.4 PV (by Borough)'!AO20,IF(Dashboard!$D$6=INDEX('Scenario names'!$C$3:$C$6,4),'2.4 PV (by Borough)'!AO143,IF(Dashboard!$D$6=INDEX('Scenario names'!$C$3:$C$6,1),'2.4 PV (by Borough)'!AO102,IF(Dashboard!$D$6=INDEX('Scenario names'!$C$3:$C$6,2),'2.4 PV (by Borough)'!AO102,IF(Dashboard!$D$6=INDEX('Scenario names'!$C$3:$C$6,3),'2.4 PV (by Borough)'!AO143,"Error")))))</f>
        <v>15191125.425332863</v>
      </c>
      <c r="AP184" s="607">
        <f>IF(Dashboard!$D$6="Baseline",'2.4 PV (by Borough)'!AP20,IF(Dashboard!$D$6=INDEX('Scenario names'!$C$3:$C$6,4),'2.4 PV (by Borough)'!AP143,IF(Dashboard!$D$6=INDEX('Scenario names'!$C$3:$C$6,1),'2.4 PV (by Borough)'!AP102,IF(Dashboard!$D$6=INDEX('Scenario names'!$C$3:$C$6,2),'2.4 PV (by Borough)'!AP102,IF(Dashboard!$D$6=INDEX('Scenario names'!$C$3:$C$6,3),'2.4 PV (by Borough)'!AP143,"Error")))))</f>
        <v>15922066.019296028</v>
      </c>
      <c r="AQ184" s="607">
        <f>IF(Dashboard!$D$6="Baseline",'2.4 PV (by Borough)'!AQ20,IF(Dashboard!$D$6=INDEX('Scenario names'!$C$3:$C$6,4),'2.4 PV (by Borough)'!AQ143,IF(Dashboard!$D$6=INDEX('Scenario names'!$C$3:$C$6,1),'2.4 PV (by Borough)'!AQ102,IF(Dashboard!$D$6=INDEX('Scenario names'!$C$3:$C$6,2),'2.4 PV (by Borough)'!AQ102,IF(Dashboard!$D$6=INDEX('Scenario names'!$C$3:$C$6,3),'2.4 PV (by Borough)'!AQ143,"Error")))))</f>
        <v>16653006.613259193</v>
      </c>
      <c r="AR184" s="607">
        <f>IF(Dashboard!$D$6="Baseline",'2.4 PV (by Borough)'!AR20,IF(Dashboard!$D$6=INDEX('Scenario names'!$C$3:$C$6,4),'2.4 PV (by Borough)'!AR143,IF(Dashboard!$D$6=INDEX('Scenario names'!$C$3:$C$6,1),'2.4 PV (by Borough)'!AR102,IF(Dashboard!$D$6=INDEX('Scenario names'!$C$3:$C$6,2),'2.4 PV (by Borough)'!AR102,IF(Dashboard!$D$6=INDEX('Scenario names'!$C$3:$C$6,3),'2.4 PV (by Borough)'!AR143,"Error")))))</f>
        <v>17383947.207222357</v>
      </c>
      <c r="AS184" s="607">
        <f>IF(Dashboard!$D$6="Baseline",'2.4 PV (by Borough)'!AS20,IF(Dashboard!$D$6=INDEX('Scenario names'!$C$3:$C$6,4),'2.4 PV (by Borough)'!AS143,IF(Dashboard!$D$6=INDEX('Scenario names'!$C$3:$C$6,1),'2.4 PV (by Borough)'!AS102,IF(Dashboard!$D$6=INDEX('Scenario names'!$C$3:$C$6,2),'2.4 PV (by Borough)'!AS102,IF(Dashboard!$D$6=INDEX('Scenario names'!$C$3:$C$6,3),'2.4 PV (by Borough)'!AS143,"Error")))))</f>
        <v>18114887.801185533</v>
      </c>
      <c r="AT184" s="607">
        <f>IF(Dashboard!$D$6="Baseline",'2.4 PV (by Borough)'!AT20,IF(Dashboard!$D$6=INDEX('Scenario names'!$C$3:$C$6,4),'2.4 PV (by Borough)'!AT143,IF(Dashboard!$D$6=INDEX('Scenario names'!$C$3:$C$6,1),'2.4 PV (by Borough)'!AT102,IF(Dashboard!$D$6=INDEX('Scenario names'!$C$3:$C$6,2),'2.4 PV (by Borough)'!AT102,IF(Dashboard!$D$6=INDEX('Scenario names'!$C$3:$C$6,3),'2.4 PV (by Borough)'!AT143,"Error")))))</f>
        <v>18845828.395148695</v>
      </c>
      <c r="AU184" s="607">
        <f>IF(Dashboard!$D$6="Baseline",'2.4 PV (by Borough)'!AU20,IF(Dashboard!$D$6=INDEX('Scenario names'!$C$3:$C$6,4),'2.4 PV (by Borough)'!AU143,IF(Dashboard!$D$6=INDEX('Scenario names'!$C$3:$C$6,1),'2.4 PV (by Borough)'!AU102,IF(Dashboard!$D$6=INDEX('Scenario names'!$C$3:$C$6,2),'2.4 PV (by Borough)'!AU102,IF(Dashboard!$D$6=INDEX('Scenario names'!$C$3:$C$6,3),'2.4 PV (by Borough)'!AU143,"Error")))))</f>
        <v>19576768.989111863</v>
      </c>
      <c r="AV184" s="607">
        <f>IF(Dashboard!$D$6="Baseline",'2.4 PV (by Borough)'!AV20,IF(Dashboard!$D$6=INDEX('Scenario names'!$C$3:$C$6,4),'2.4 PV (by Borough)'!AV143,IF(Dashboard!$D$6=INDEX('Scenario names'!$C$3:$C$6,1),'2.4 PV (by Borough)'!AV102,IF(Dashboard!$D$6=INDEX('Scenario names'!$C$3:$C$6,2),'2.4 PV (by Borough)'!AV102,IF(Dashboard!$D$6=INDEX('Scenario names'!$C$3:$C$6,3),'2.4 PV (by Borough)'!AV143,"Error")))))</f>
        <v>20307709.583075028</v>
      </c>
      <c r="AW184" s="607">
        <f>IF(Dashboard!$D$6="Baseline",'2.4 PV (by Borough)'!AW20,IF(Dashboard!$D$6=INDEX('Scenario names'!$C$3:$C$6,4),'2.4 PV (by Borough)'!AW143,IF(Dashboard!$D$6=INDEX('Scenario names'!$C$3:$C$6,1),'2.4 PV (by Borough)'!AW102,IF(Dashboard!$D$6=INDEX('Scenario names'!$C$3:$C$6,2),'2.4 PV (by Borough)'!AW102,IF(Dashboard!$D$6=INDEX('Scenario names'!$C$3:$C$6,3),'2.4 PV (by Borough)'!AW143,"Error")))))</f>
        <v>21038650.177038196</v>
      </c>
      <c r="AX184" s="607">
        <f>IF(Dashboard!$D$6="Baseline",'2.4 PV (by Borough)'!AX20,IF(Dashboard!$D$6=INDEX('Scenario names'!$C$3:$C$6,4),'2.4 PV (by Borough)'!AX143,IF(Dashboard!$D$6=INDEX('Scenario names'!$C$3:$C$6,1),'2.4 PV (by Borough)'!AX102,IF(Dashboard!$D$6=INDEX('Scenario names'!$C$3:$C$6,2),'2.4 PV (by Borough)'!AX102,IF(Dashboard!$D$6=INDEX('Scenario names'!$C$3:$C$6,3),'2.4 PV (by Borough)'!AX143,"Error")))))</f>
        <v>21769590.771001361</v>
      </c>
      <c r="AY184" s="36"/>
      <c r="AZ184" s="36"/>
      <c r="BA184" s="36"/>
      <c r="BB184" s="36"/>
    </row>
    <row r="185" spans="4:54">
      <c r="D185" t="s">
        <v>661</v>
      </c>
      <c r="E185" t="s">
        <v>640</v>
      </c>
      <c r="G185" s="44"/>
      <c r="I185" s="44"/>
      <c r="K185" s="44"/>
      <c r="M185" s="44"/>
      <c r="O185" s="607">
        <f>IF(Dashboard!$D$6="Baseline",'2.4 PV (by Borough)'!O21,IF(Dashboard!$D$6=INDEX('Scenario names'!$C$3:$C$6,4),'2.4 PV (by Borough)'!O144,IF(Dashboard!$D$6=INDEX('Scenario names'!$C$3:$C$6,1),'2.4 PV (by Borough)'!O103,IF(Dashboard!$D$6=INDEX('Scenario names'!$C$3:$C$6,2),'2.4 PV (by Borough)'!O103,IF(Dashboard!$D$6=INDEX('Scenario names'!$C$3:$C$6,3),'2.4 PV (by Borough)'!O144,"Error")))))</f>
        <v>985976.60331554699</v>
      </c>
      <c r="P185" s="607">
        <f>IF(Dashboard!$D$6="Baseline",'2.4 PV (by Borough)'!P21,IF(Dashboard!$D$6=INDEX('Scenario names'!$C$3:$C$6,4),'2.4 PV (by Borough)'!P144,IF(Dashboard!$D$6=INDEX('Scenario names'!$C$3:$C$6,1),'2.4 PV (by Borough)'!P103,IF(Dashboard!$D$6=INDEX('Scenario names'!$C$3:$C$6,2),'2.4 PV (by Borough)'!P103,IF(Dashboard!$D$6=INDEX('Scenario names'!$C$3:$C$6,3),'2.4 PV (by Borough)'!P144,"Error")))))</f>
        <v>1725733.4220875057</v>
      </c>
      <c r="Q185" s="607">
        <f>IF(Dashboard!$D$6="Baseline",'2.4 PV (by Borough)'!Q21,IF(Dashboard!$D$6=INDEX('Scenario names'!$C$3:$C$6,4),'2.4 PV (by Borough)'!Q144,IF(Dashboard!$D$6=INDEX('Scenario names'!$C$3:$C$6,1),'2.4 PV (by Borough)'!Q103,IF(Dashboard!$D$6=INDEX('Scenario names'!$C$3:$C$6,2),'2.4 PV (by Borough)'!Q103,IF(Dashboard!$D$6=INDEX('Scenario names'!$C$3:$C$6,3),'2.4 PV (by Borough)'!Q144,"Error")))))</f>
        <v>2465490.2408594647</v>
      </c>
      <c r="R185" s="607">
        <f>IF(Dashboard!$D$6="Baseline",'2.4 PV (by Borough)'!R21,IF(Dashboard!$D$6=INDEX('Scenario names'!$C$3:$C$6,4),'2.4 PV (by Borough)'!R144,IF(Dashboard!$D$6=INDEX('Scenario names'!$C$3:$C$6,1),'2.4 PV (by Borough)'!R103,IF(Dashboard!$D$6=INDEX('Scenario names'!$C$3:$C$6,2),'2.4 PV (by Borough)'!R103,IF(Dashboard!$D$6=INDEX('Scenario names'!$C$3:$C$6,3),'2.4 PV (by Borough)'!R144,"Error")))))</f>
        <v>3205247.0596314212</v>
      </c>
      <c r="S185" s="607">
        <f>IF(Dashboard!$D$6="Baseline",'2.4 PV (by Borough)'!S21,IF(Dashboard!$D$6=INDEX('Scenario names'!$C$3:$C$6,4),'2.4 PV (by Borough)'!S144,IF(Dashboard!$D$6=INDEX('Scenario names'!$C$3:$C$6,1),'2.4 PV (by Borough)'!S103,IF(Dashboard!$D$6=INDEX('Scenario names'!$C$3:$C$6,2),'2.4 PV (by Borough)'!S103,IF(Dashboard!$D$6=INDEX('Scenario names'!$C$3:$C$6,3),'2.4 PV (by Borough)'!S144,"Error")))))</f>
        <v>3945003.87840338</v>
      </c>
      <c r="T185" s="607">
        <f>IF(Dashboard!$D$6="Baseline",'2.4 PV (by Borough)'!T21,IF(Dashboard!$D$6=INDEX('Scenario names'!$C$3:$C$6,4),'2.4 PV (by Borough)'!T144,IF(Dashboard!$D$6=INDEX('Scenario names'!$C$3:$C$6,1),'2.4 PV (by Borough)'!T103,IF(Dashboard!$D$6=INDEX('Scenario names'!$C$3:$C$6,2),'2.4 PV (by Borough)'!T103,IF(Dashboard!$D$6=INDEX('Scenario names'!$C$3:$C$6,3),'2.4 PV (by Borough)'!T144,"Error")))))</f>
        <v>4684760.6971753389</v>
      </c>
      <c r="U185" s="607">
        <f>IF(Dashboard!$D$6="Baseline",'2.4 PV (by Borough)'!U21,IF(Dashboard!$D$6=INDEX('Scenario names'!$C$3:$C$6,4),'2.4 PV (by Borough)'!U144,IF(Dashboard!$D$6=INDEX('Scenario names'!$C$3:$C$6,1),'2.4 PV (by Borough)'!U103,IF(Dashboard!$D$6=INDEX('Scenario names'!$C$3:$C$6,2),'2.4 PV (by Borough)'!U103,IF(Dashboard!$D$6=INDEX('Scenario names'!$C$3:$C$6,3),'2.4 PV (by Borough)'!U144,"Error")))))</f>
        <v>5424517.5159472963</v>
      </c>
      <c r="V185" s="607">
        <f>IF(Dashboard!$D$6="Baseline",'2.4 PV (by Borough)'!V21,IF(Dashboard!$D$6=INDEX('Scenario names'!$C$3:$C$6,4),'2.4 PV (by Borough)'!V144,IF(Dashboard!$D$6=INDEX('Scenario names'!$C$3:$C$6,1),'2.4 PV (by Borough)'!V103,IF(Dashboard!$D$6=INDEX('Scenario names'!$C$3:$C$6,2),'2.4 PV (by Borough)'!V103,IF(Dashboard!$D$6=INDEX('Scenario names'!$C$3:$C$6,3),'2.4 PV (by Borough)'!V144,"Error")))))</f>
        <v>6164274.3347192546</v>
      </c>
      <c r="W185" s="607">
        <f>IF(Dashboard!$D$6="Baseline",'2.4 PV (by Borough)'!W21,IF(Dashboard!$D$6=INDEX('Scenario names'!$C$3:$C$6,4),'2.4 PV (by Borough)'!W144,IF(Dashboard!$D$6=INDEX('Scenario names'!$C$3:$C$6,1),'2.4 PV (by Borough)'!W103,IF(Dashboard!$D$6=INDEX('Scenario names'!$C$3:$C$6,2),'2.4 PV (by Borough)'!W103,IF(Dashboard!$D$6=INDEX('Scenario names'!$C$3:$C$6,3),'2.4 PV (by Borough)'!W144,"Error")))))</f>
        <v>6904031.1534912139</v>
      </c>
      <c r="X185" s="607">
        <f>IF(Dashboard!$D$6="Baseline",'2.4 PV (by Borough)'!X21,IF(Dashboard!$D$6=INDEX('Scenario names'!$C$3:$C$6,4),'2.4 PV (by Borough)'!X144,IF(Dashboard!$D$6=INDEX('Scenario names'!$C$3:$C$6,1),'2.4 PV (by Borough)'!X103,IF(Dashboard!$D$6=INDEX('Scenario names'!$C$3:$C$6,2),'2.4 PV (by Borough)'!X103,IF(Dashboard!$D$6=INDEX('Scenario names'!$C$3:$C$6,3),'2.4 PV (by Borough)'!X144,"Error")))))</f>
        <v>7643787.9722631741</v>
      </c>
      <c r="Y185" s="607">
        <f>IF(Dashboard!$D$6="Baseline",'2.4 PV (by Borough)'!Y21,IF(Dashboard!$D$6=INDEX('Scenario names'!$C$3:$C$6,4),'2.4 PV (by Borough)'!Y144,IF(Dashboard!$D$6=INDEX('Scenario names'!$C$3:$C$6,1),'2.4 PV (by Borough)'!Y103,IF(Dashboard!$D$6=INDEX('Scenario names'!$C$3:$C$6,2),'2.4 PV (by Borough)'!Y103,IF(Dashboard!$D$6=INDEX('Scenario names'!$C$3:$C$6,3),'2.4 PV (by Borough)'!Y144,"Error")))))</f>
        <v>8383544.7910351306</v>
      </c>
      <c r="Z185" s="607">
        <f>IF(Dashboard!$D$6="Baseline",'2.4 PV (by Borough)'!Z21,IF(Dashboard!$D$6=INDEX('Scenario names'!$C$3:$C$6,4),'2.4 PV (by Borough)'!Z144,IF(Dashboard!$D$6=INDEX('Scenario names'!$C$3:$C$6,1),'2.4 PV (by Borough)'!Z103,IF(Dashboard!$D$6=INDEX('Scenario names'!$C$3:$C$6,2),'2.4 PV (by Borough)'!Z103,IF(Dashboard!$D$6=INDEX('Scenario names'!$C$3:$C$6,3),'2.4 PV (by Borough)'!Z144,"Error")))))</f>
        <v>10354508.257139385</v>
      </c>
      <c r="AA185" s="607">
        <f>IF(Dashboard!$D$6="Baseline",'2.4 PV (by Borough)'!AA21,IF(Dashboard!$D$6=INDEX('Scenario names'!$C$3:$C$6,4),'2.4 PV (by Borough)'!AA144,IF(Dashboard!$D$6=INDEX('Scenario names'!$C$3:$C$6,1),'2.4 PV (by Borough)'!AA103,IF(Dashboard!$D$6=INDEX('Scenario names'!$C$3:$C$6,2),'2.4 PV (by Borough)'!AA103,IF(Dashboard!$D$6=INDEX('Scenario names'!$C$3:$C$6,3),'2.4 PV (by Borough)'!AA144,"Error")))))</f>
        <v>12325471.723243641</v>
      </c>
      <c r="AB185" s="607">
        <f>IF(Dashboard!$D$6="Baseline",'2.4 PV (by Borough)'!AB21,IF(Dashboard!$D$6=INDEX('Scenario names'!$C$3:$C$6,4),'2.4 PV (by Borough)'!AB144,IF(Dashboard!$D$6=INDEX('Scenario names'!$C$3:$C$6,1),'2.4 PV (by Borough)'!AB103,IF(Dashboard!$D$6=INDEX('Scenario names'!$C$3:$C$6,2),'2.4 PV (by Borough)'!AB103,IF(Dashboard!$D$6=INDEX('Scenario names'!$C$3:$C$6,3),'2.4 PV (by Borough)'!AB144,"Error")))))</f>
        <v>14296435.189347897</v>
      </c>
      <c r="AC185" s="607">
        <f>IF(Dashboard!$D$6="Baseline",'2.4 PV (by Borough)'!AC21,IF(Dashboard!$D$6=INDEX('Scenario names'!$C$3:$C$6,4),'2.4 PV (by Borough)'!AC144,IF(Dashboard!$D$6=INDEX('Scenario names'!$C$3:$C$6,1),'2.4 PV (by Borough)'!AC103,IF(Dashboard!$D$6=INDEX('Scenario names'!$C$3:$C$6,2),'2.4 PV (by Borough)'!AC103,IF(Dashboard!$D$6=INDEX('Scenario names'!$C$3:$C$6,3),'2.4 PV (by Borough)'!AC144,"Error")))))</f>
        <v>16267398.655452155</v>
      </c>
      <c r="AD185" s="607">
        <f>IF(Dashboard!$D$6="Baseline",'2.4 PV (by Borough)'!AD21,IF(Dashboard!$D$6=INDEX('Scenario names'!$C$3:$C$6,4),'2.4 PV (by Borough)'!AD144,IF(Dashboard!$D$6=INDEX('Scenario names'!$C$3:$C$6,1),'2.4 PV (by Borough)'!AD103,IF(Dashboard!$D$6=INDEX('Scenario names'!$C$3:$C$6,2),'2.4 PV (by Borough)'!AD103,IF(Dashboard!$D$6=INDEX('Scenario names'!$C$3:$C$6,3),'2.4 PV (by Borough)'!AD144,"Error")))))</f>
        <v>18238362.121556409</v>
      </c>
      <c r="AE185" s="607">
        <f>IF(Dashboard!$D$6="Baseline",'2.4 PV (by Borough)'!AE21,IF(Dashboard!$D$6=INDEX('Scenario names'!$C$3:$C$6,4),'2.4 PV (by Borough)'!AE144,IF(Dashboard!$D$6=INDEX('Scenario names'!$C$3:$C$6,1),'2.4 PV (by Borough)'!AE103,IF(Dashboard!$D$6=INDEX('Scenario names'!$C$3:$C$6,2),'2.4 PV (by Borough)'!AE103,IF(Dashboard!$D$6=INDEX('Scenario names'!$C$3:$C$6,3),'2.4 PV (by Borough)'!AE144,"Error")))))</f>
        <v>20209325.587660667</v>
      </c>
      <c r="AF185" s="607">
        <f>IF(Dashboard!$D$6="Baseline",'2.4 PV (by Borough)'!AF21,IF(Dashboard!$D$6=INDEX('Scenario names'!$C$3:$C$6,4),'2.4 PV (by Borough)'!AF144,IF(Dashboard!$D$6=INDEX('Scenario names'!$C$3:$C$6,1),'2.4 PV (by Borough)'!AF103,IF(Dashboard!$D$6=INDEX('Scenario names'!$C$3:$C$6,2),'2.4 PV (by Borough)'!AF103,IF(Dashboard!$D$6=INDEX('Scenario names'!$C$3:$C$6,3),'2.4 PV (by Borough)'!AF144,"Error")))))</f>
        <v>22180289.053764924</v>
      </c>
      <c r="AG185" s="607">
        <f>IF(Dashboard!$D$6="Baseline",'2.4 PV (by Borough)'!AG21,IF(Dashboard!$D$6=INDEX('Scenario names'!$C$3:$C$6,4),'2.4 PV (by Borough)'!AG144,IF(Dashboard!$D$6=INDEX('Scenario names'!$C$3:$C$6,1),'2.4 PV (by Borough)'!AG103,IF(Dashboard!$D$6=INDEX('Scenario names'!$C$3:$C$6,2),'2.4 PV (by Borough)'!AG103,IF(Dashboard!$D$6=INDEX('Scenario names'!$C$3:$C$6,3),'2.4 PV (by Borough)'!AG144,"Error")))))</f>
        <v>24151252.519869171</v>
      </c>
      <c r="AH185" s="607">
        <f>IF(Dashboard!$D$6="Baseline",'2.4 PV (by Borough)'!AH21,IF(Dashboard!$D$6=INDEX('Scenario names'!$C$3:$C$6,4),'2.4 PV (by Borough)'!AH144,IF(Dashboard!$D$6=INDEX('Scenario names'!$C$3:$C$6,1),'2.4 PV (by Borough)'!AH103,IF(Dashboard!$D$6=INDEX('Scenario names'!$C$3:$C$6,2),'2.4 PV (by Borough)'!AH103,IF(Dashboard!$D$6=INDEX('Scenario names'!$C$3:$C$6,3),'2.4 PV (by Borough)'!AH144,"Error")))))</f>
        <v>26122215.985973433</v>
      </c>
      <c r="AI185" s="607">
        <f>IF(Dashboard!$D$6="Baseline",'2.4 PV (by Borough)'!AI21,IF(Dashboard!$D$6=INDEX('Scenario names'!$C$3:$C$6,4),'2.4 PV (by Borough)'!AI144,IF(Dashboard!$D$6=INDEX('Scenario names'!$C$3:$C$6,1),'2.4 PV (by Borough)'!AI103,IF(Dashboard!$D$6=INDEX('Scenario names'!$C$3:$C$6,2),'2.4 PV (by Borough)'!AI103,IF(Dashboard!$D$6=INDEX('Scenario names'!$C$3:$C$6,3),'2.4 PV (by Borough)'!AI144,"Error")))))</f>
        <v>28093179.452077691</v>
      </c>
      <c r="AJ185" s="607">
        <f>IF(Dashboard!$D$6="Baseline",'2.4 PV (by Borough)'!AJ21,IF(Dashboard!$D$6=INDEX('Scenario names'!$C$3:$C$6,4),'2.4 PV (by Borough)'!AJ144,IF(Dashboard!$D$6=INDEX('Scenario names'!$C$3:$C$6,1),'2.4 PV (by Borough)'!AJ103,IF(Dashboard!$D$6=INDEX('Scenario names'!$C$3:$C$6,2),'2.4 PV (by Borough)'!AJ103,IF(Dashboard!$D$6=INDEX('Scenario names'!$C$3:$C$6,3),'2.4 PV (by Borough)'!AJ144,"Error")))))</f>
        <v>30064142.918181948</v>
      </c>
      <c r="AK185" s="607">
        <f>IF(Dashboard!$D$6="Baseline",'2.4 PV (by Borough)'!AK21,IF(Dashboard!$D$6=INDEX('Scenario names'!$C$3:$C$6,4),'2.4 PV (by Borough)'!AK144,IF(Dashboard!$D$6=INDEX('Scenario names'!$C$3:$C$6,1),'2.4 PV (by Borough)'!AK103,IF(Dashboard!$D$6=INDEX('Scenario names'!$C$3:$C$6,2),'2.4 PV (by Borough)'!AK103,IF(Dashboard!$D$6=INDEX('Scenario names'!$C$3:$C$6,3),'2.4 PV (by Borough)'!AK144,"Error")))))</f>
        <v>32035106.384286199</v>
      </c>
      <c r="AL185" s="607">
        <f>IF(Dashboard!$D$6="Baseline",'2.4 PV (by Borough)'!AL21,IF(Dashboard!$D$6=INDEX('Scenario names'!$C$3:$C$6,4),'2.4 PV (by Borough)'!AL144,IF(Dashboard!$D$6=INDEX('Scenario names'!$C$3:$C$6,1),'2.4 PV (by Borough)'!AL103,IF(Dashboard!$D$6=INDEX('Scenario names'!$C$3:$C$6,2),'2.4 PV (by Borough)'!AL103,IF(Dashboard!$D$6=INDEX('Scenario names'!$C$3:$C$6,3),'2.4 PV (by Borough)'!AL144,"Error")))))</f>
        <v>34006069.850390449</v>
      </c>
      <c r="AM185" s="607">
        <f>IF(Dashboard!$D$6="Baseline",'2.4 PV (by Borough)'!AM21,IF(Dashboard!$D$6=INDEX('Scenario names'!$C$3:$C$6,4),'2.4 PV (by Borough)'!AM144,IF(Dashboard!$D$6=INDEX('Scenario names'!$C$3:$C$6,1),'2.4 PV (by Borough)'!AM103,IF(Dashboard!$D$6=INDEX('Scenario names'!$C$3:$C$6,2),'2.4 PV (by Borough)'!AM103,IF(Dashboard!$D$6=INDEX('Scenario names'!$C$3:$C$6,3),'2.4 PV (by Borough)'!AM144,"Error")))))</f>
        <v>35977033.316494711</v>
      </c>
      <c r="AN185" s="607">
        <f>IF(Dashboard!$D$6="Baseline",'2.4 PV (by Borough)'!AN21,IF(Dashboard!$D$6=INDEX('Scenario names'!$C$3:$C$6,4),'2.4 PV (by Borough)'!AN144,IF(Dashboard!$D$6=INDEX('Scenario names'!$C$3:$C$6,1),'2.4 PV (by Borough)'!AN103,IF(Dashboard!$D$6=INDEX('Scenario names'!$C$3:$C$6,2),'2.4 PV (by Borough)'!AN103,IF(Dashboard!$D$6=INDEX('Scenario names'!$C$3:$C$6,3),'2.4 PV (by Borough)'!AN144,"Error")))))</f>
        <v>37947996.78259898</v>
      </c>
      <c r="AO185" s="607">
        <f>IF(Dashboard!$D$6="Baseline",'2.4 PV (by Borough)'!AO21,IF(Dashboard!$D$6=INDEX('Scenario names'!$C$3:$C$6,4),'2.4 PV (by Borough)'!AO144,IF(Dashboard!$D$6=INDEX('Scenario names'!$C$3:$C$6,1),'2.4 PV (by Borough)'!AO103,IF(Dashboard!$D$6=INDEX('Scenario names'!$C$3:$C$6,2),'2.4 PV (by Borough)'!AO103,IF(Dashboard!$D$6=INDEX('Scenario names'!$C$3:$C$6,3),'2.4 PV (by Borough)'!AO144,"Error")))))</f>
        <v>39918960.248703226</v>
      </c>
      <c r="AP185" s="607">
        <f>IF(Dashboard!$D$6="Baseline",'2.4 PV (by Borough)'!AP21,IF(Dashboard!$D$6=INDEX('Scenario names'!$C$3:$C$6,4),'2.4 PV (by Borough)'!AP144,IF(Dashboard!$D$6=INDEX('Scenario names'!$C$3:$C$6,1),'2.4 PV (by Borough)'!AP103,IF(Dashboard!$D$6=INDEX('Scenario names'!$C$3:$C$6,2),'2.4 PV (by Borough)'!AP103,IF(Dashboard!$D$6=INDEX('Scenario names'!$C$3:$C$6,3),'2.4 PV (by Borough)'!AP144,"Error")))))</f>
        <v>41889923.714807473</v>
      </c>
      <c r="AQ185" s="607">
        <f>IF(Dashboard!$D$6="Baseline",'2.4 PV (by Borough)'!AQ21,IF(Dashboard!$D$6=INDEX('Scenario names'!$C$3:$C$6,4),'2.4 PV (by Borough)'!AQ144,IF(Dashboard!$D$6=INDEX('Scenario names'!$C$3:$C$6,1),'2.4 PV (by Borough)'!AQ103,IF(Dashboard!$D$6=INDEX('Scenario names'!$C$3:$C$6,2),'2.4 PV (by Borough)'!AQ103,IF(Dashboard!$D$6=INDEX('Scenario names'!$C$3:$C$6,3),'2.4 PV (by Borough)'!AQ144,"Error")))))</f>
        <v>43860887.18091175</v>
      </c>
      <c r="AR185" s="607">
        <f>IF(Dashboard!$D$6="Baseline",'2.4 PV (by Borough)'!AR21,IF(Dashboard!$D$6=INDEX('Scenario names'!$C$3:$C$6,4),'2.4 PV (by Borough)'!AR144,IF(Dashboard!$D$6=INDEX('Scenario names'!$C$3:$C$6,1),'2.4 PV (by Borough)'!AR103,IF(Dashboard!$D$6=INDEX('Scenario names'!$C$3:$C$6,2),'2.4 PV (by Borough)'!AR103,IF(Dashboard!$D$6=INDEX('Scenario names'!$C$3:$C$6,3),'2.4 PV (by Borough)'!AR144,"Error")))))</f>
        <v>45831850.647015996</v>
      </c>
      <c r="AS185" s="607">
        <f>IF(Dashboard!$D$6="Baseline",'2.4 PV (by Borough)'!AS21,IF(Dashboard!$D$6=INDEX('Scenario names'!$C$3:$C$6,4),'2.4 PV (by Borough)'!AS144,IF(Dashboard!$D$6=INDEX('Scenario names'!$C$3:$C$6,1),'2.4 PV (by Borough)'!AS103,IF(Dashboard!$D$6=INDEX('Scenario names'!$C$3:$C$6,2),'2.4 PV (by Borough)'!AS103,IF(Dashboard!$D$6=INDEX('Scenario names'!$C$3:$C$6,3),'2.4 PV (by Borough)'!AS144,"Error")))))</f>
        <v>47802814.113120243</v>
      </c>
      <c r="AT185" s="607">
        <f>IF(Dashboard!$D$6="Baseline",'2.4 PV (by Borough)'!AT21,IF(Dashboard!$D$6=INDEX('Scenario names'!$C$3:$C$6,4),'2.4 PV (by Borough)'!AT144,IF(Dashboard!$D$6=INDEX('Scenario names'!$C$3:$C$6,1),'2.4 PV (by Borough)'!AT103,IF(Dashboard!$D$6=INDEX('Scenario names'!$C$3:$C$6,2),'2.4 PV (by Borough)'!AT103,IF(Dashboard!$D$6=INDEX('Scenario names'!$C$3:$C$6,3),'2.4 PV (by Borough)'!AT144,"Error")))))</f>
        <v>49773777.579224512</v>
      </c>
      <c r="AU185" s="607">
        <f>IF(Dashboard!$D$6="Baseline",'2.4 PV (by Borough)'!AU21,IF(Dashboard!$D$6=INDEX('Scenario names'!$C$3:$C$6,4),'2.4 PV (by Borough)'!AU144,IF(Dashboard!$D$6=INDEX('Scenario names'!$C$3:$C$6,1),'2.4 PV (by Borough)'!AU103,IF(Dashboard!$D$6=INDEX('Scenario names'!$C$3:$C$6,2),'2.4 PV (by Borough)'!AU103,IF(Dashboard!$D$6=INDEX('Scenario names'!$C$3:$C$6,3),'2.4 PV (by Borough)'!AU144,"Error")))))</f>
        <v>51744741.045328751</v>
      </c>
      <c r="AV185" s="607">
        <f>IF(Dashboard!$D$6="Baseline",'2.4 PV (by Borough)'!AV21,IF(Dashboard!$D$6=INDEX('Scenario names'!$C$3:$C$6,4),'2.4 PV (by Borough)'!AV144,IF(Dashboard!$D$6=INDEX('Scenario names'!$C$3:$C$6,1),'2.4 PV (by Borough)'!AV103,IF(Dashboard!$D$6=INDEX('Scenario names'!$C$3:$C$6,2),'2.4 PV (by Borough)'!AV103,IF(Dashboard!$D$6=INDEX('Scenario names'!$C$3:$C$6,3),'2.4 PV (by Borough)'!AV144,"Error")))))</f>
        <v>53715704.511433005</v>
      </c>
      <c r="AW185" s="607">
        <f>IF(Dashboard!$D$6="Baseline",'2.4 PV (by Borough)'!AW21,IF(Dashboard!$D$6=INDEX('Scenario names'!$C$3:$C$6,4),'2.4 PV (by Borough)'!AW144,IF(Dashboard!$D$6=INDEX('Scenario names'!$C$3:$C$6,1),'2.4 PV (by Borough)'!AW103,IF(Dashboard!$D$6=INDEX('Scenario names'!$C$3:$C$6,2),'2.4 PV (by Borough)'!AW103,IF(Dashboard!$D$6=INDEX('Scenario names'!$C$3:$C$6,3),'2.4 PV (by Borough)'!AW144,"Error")))))</f>
        <v>55686667.977537267</v>
      </c>
      <c r="AX185" s="607">
        <f>IF(Dashboard!$D$6="Baseline",'2.4 PV (by Borough)'!AX21,IF(Dashboard!$D$6=INDEX('Scenario names'!$C$3:$C$6,4),'2.4 PV (by Borough)'!AX144,IF(Dashboard!$D$6=INDEX('Scenario names'!$C$3:$C$6,1),'2.4 PV (by Borough)'!AX103,IF(Dashboard!$D$6=INDEX('Scenario names'!$C$3:$C$6,2),'2.4 PV (by Borough)'!AX103,IF(Dashboard!$D$6=INDEX('Scenario names'!$C$3:$C$6,3),'2.4 PV (by Borough)'!AX144,"Error")))))</f>
        <v>57657631.443641521</v>
      </c>
      <c r="AY185" s="36"/>
      <c r="AZ185" s="36"/>
      <c r="BA185" s="36"/>
      <c r="BB185" s="36"/>
    </row>
    <row r="186" spans="4:54">
      <c r="D186" t="s">
        <v>661</v>
      </c>
      <c r="E186" t="s">
        <v>641</v>
      </c>
      <c r="G186" s="44"/>
      <c r="I186" s="44"/>
      <c r="K186" s="44"/>
      <c r="M186" s="44"/>
      <c r="O186" s="607">
        <f>IF(Dashboard!$D$6="Baseline",'2.4 PV (by Borough)'!O22,IF(Dashboard!$D$6=INDEX('Scenario names'!$C$3:$C$6,4),'2.4 PV (by Borough)'!O145,IF(Dashboard!$D$6=INDEX('Scenario names'!$C$3:$C$6,1),'2.4 PV (by Borough)'!O104,IF(Dashboard!$D$6=INDEX('Scenario names'!$C$3:$C$6,2),'2.4 PV (by Borough)'!O104,IF(Dashboard!$D$6=INDEX('Scenario names'!$C$3:$C$6,3),'2.4 PV (by Borough)'!O145,"Error")))))</f>
        <v>1943260.7835269102</v>
      </c>
      <c r="P186" s="607">
        <f>IF(Dashboard!$D$6="Baseline",'2.4 PV (by Borough)'!P22,IF(Dashboard!$D$6=INDEX('Scenario names'!$C$3:$C$6,4),'2.4 PV (by Borough)'!P145,IF(Dashboard!$D$6=INDEX('Scenario names'!$C$3:$C$6,1),'2.4 PV (by Borough)'!P104,IF(Dashboard!$D$6=INDEX('Scenario names'!$C$3:$C$6,2),'2.4 PV (by Borough)'!P104,IF(Dashboard!$D$6=INDEX('Scenario names'!$C$3:$C$6,3),'2.4 PV (by Borough)'!P145,"Error")))))</f>
        <v>3399268.2550564832</v>
      </c>
      <c r="Q186" s="607">
        <f>IF(Dashboard!$D$6="Baseline",'2.4 PV (by Borough)'!Q22,IF(Dashboard!$D$6=INDEX('Scenario names'!$C$3:$C$6,4),'2.4 PV (by Borough)'!Q145,IF(Dashboard!$D$6=INDEX('Scenario names'!$C$3:$C$6,1),'2.4 PV (by Borough)'!Q104,IF(Dashboard!$D$6=INDEX('Scenario names'!$C$3:$C$6,2),'2.4 PV (by Borough)'!Q104,IF(Dashboard!$D$6=INDEX('Scenario names'!$C$3:$C$6,3),'2.4 PV (by Borough)'!Q145,"Error")))))</f>
        <v>4855275.7265860559</v>
      </c>
      <c r="R186" s="607">
        <f>IF(Dashboard!$D$6="Baseline",'2.4 PV (by Borough)'!R22,IF(Dashboard!$D$6=INDEX('Scenario names'!$C$3:$C$6,4),'2.4 PV (by Borough)'!R145,IF(Dashboard!$D$6=INDEX('Scenario names'!$C$3:$C$6,1),'2.4 PV (by Borough)'!R104,IF(Dashboard!$D$6=INDEX('Scenario names'!$C$3:$C$6,2),'2.4 PV (by Borough)'!R104,IF(Dashboard!$D$6=INDEX('Scenario names'!$C$3:$C$6,3),'2.4 PV (by Borough)'!R145,"Error")))))</f>
        <v>6311283.1981156282</v>
      </c>
      <c r="S186" s="607">
        <f>IF(Dashboard!$D$6="Baseline",'2.4 PV (by Borough)'!S22,IF(Dashboard!$D$6=INDEX('Scenario names'!$C$3:$C$6,4),'2.4 PV (by Borough)'!S145,IF(Dashboard!$D$6=INDEX('Scenario names'!$C$3:$C$6,1),'2.4 PV (by Borough)'!S104,IF(Dashboard!$D$6=INDEX('Scenario names'!$C$3:$C$6,2),'2.4 PV (by Borough)'!S104,IF(Dashboard!$D$6=INDEX('Scenario names'!$C$3:$C$6,3),'2.4 PV (by Borough)'!S145,"Error")))))</f>
        <v>7767290.6696452014</v>
      </c>
      <c r="T186" s="607">
        <f>IF(Dashboard!$D$6="Baseline",'2.4 PV (by Borough)'!T22,IF(Dashboard!$D$6=INDEX('Scenario names'!$C$3:$C$6,4),'2.4 PV (by Borough)'!T145,IF(Dashboard!$D$6=INDEX('Scenario names'!$C$3:$C$6,1),'2.4 PV (by Borough)'!T104,IF(Dashboard!$D$6=INDEX('Scenario names'!$C$3:$C$6,2),'2.4 PV (by Borough)'!T104,IF(Dashboard!$D$6=INDEX('Scenario names'!$C$3:$C$6,3),'2.4 PV (by Borough)'!T145,"Error")))))</f>
        <v>9223298.1411747746</v>
      </c>
      <c r="U186" s="607">
        <f>IF(Dashboard!$D$6="Baseline",'2.4 PV (by Borough)'!U22,IF(Dashboard!$D$6=INDEX('Scenario names'!$C$3:$C$6,4),'2.4 PV (by Borough)'!U145,IF(Dashboard!$D$6=INDEX('Scenario names'!$C$3:$C$6,1),'2.4 PV (by Borough)'!U104,IF(Dashboard!$D$6=INDEX('Scenario names'!$C$3:$C$6,2),'2.4 PV (by Borough)'!U104,IF(Dashboard!$D$6=INDEX('Scenario names'!$C$3:$C$6,3),'2.4 PV (by Borough)'!U145,"Error")))))</f>
        <v>10679305.612704346</v>
      </c>
      <c r="V186" s="607">
        <f>IF(Dashboard!$D$6="Baseline",'2.4 PV (by Borough)'!V22,IF(Dashboard!$D$6=INDEX('Scenario names'!$C$3:$C$6,4),'2.4 PV (by Borough)'!V145,IF(Dashboard!$D$6=INDEX('Scenario names'!$C$3:$C$6,1),'2.4 PV (by Borough)'!V104,IF(Dashboard!$D$6=INDEX('Scenario names'!$C$3:$C$6,2),'2.4 PV (by Borough)'!V104,IF(Dashboard!$D$6=INDEX('Scenario names'!$C$3:$C$6,3),'2.4 PV (by Borough)'!V145,"Error")))))</f>
        <v>12135313.084233921</v>
      </c>
      <c r="W186" s="607">
        <f>IF(Dashboard!$D$6="Baseline",'2.4 PV (by Borough)'!W22,IF(Dashboard!$D$6=INDEX('Scenario names'!$C$3:$C$6,4),'2.4 PV (by Borough)'!W145,IF(Dashboard!$D$6=INDEX('Scenario names'!$C$3:$C$6,1),'2.4 PV (by Borough)'!W104,IF(Dashboard!$D$6=INDEX('Scenario names'!$C$3:$C$6,2),'2.4 PV (by Borough)'!W104,IF(Dashboard!$D$6=INDEX('Scenario names'!$C$3:$C$6,3),'2.4 PV (by Borough)'!W145,"Error")))))</f>
        <v>13591320.555763494</v>
      </c>
      <c r="X186" s="607">
        <f>IF(Dashboard!$D$6="Baseline",'2.4 PV (by Borough)'!X22,IF(Dashboard!$D$6=INDEX('Scenario names'!$C$3:$C$6,4),'2.4 PV (by Borough)'!X145,IF(Dashboard!$D$6=INDEX('Scenario names'!$C$3:$C$6,1),'2.4 PV (by Borough)'!X104,IF(Dashboard!$D$6=INDEX('Scenario names'!$C$3:$C$6,2),'2.4 PV (by Borough)'!X104,IF(Dashboard!$D$6=INDEX('Scenario names'!$C$3:$C$6,3),'2.4 PV (by Borough)'!X145,"Error")))))</f>
        <v>15047328.027293067</v>
      </c>
      <c r="Y186" s="607">
        <f>IF(Dashboard!$D$6="Baseline",'2.4 PV (by Borough)'!Y22,IF(Dashboard!$D$6=INDEX('Scenario names'!$C$3:$C$6,4),'2.4 PV (by Borough)'!Y145,IF(Dashboard!$D$6=INDEX('Scenario names'!$C$3:$C$6,1),'2.4 PV (by Borough)'!Y104,IF(Dashboard!$D$6=INDEX('Scenario names'!$C$3:$C$6,2),'2.4 PV (by Borough)'!Y104,IF(Dashboard!$D$6=INDEX('Scenario names'!$C$3:$C$6,3),'2.4 PV (by Borough)'!Y145,"Error")))))</f>
        <v>16503335.498822642</v>
      </c>
      <c r="Z186" s="607">
        <f>IF(Dashboard!$D$6="Baseline",'2.4 PV (by Borough)'!Z22,IF(Dashboard!$D$6=INDEX('Scenario names'!$C$3:$C$6,4),'2.4 PV (by Borough)'!Z145,IF(Dashboard!$D$6=INDEX('Scenario names'!$C$3:$C$6,1),'2.4 PV (by Borough)'!Z104,IF(Dashboard!$D$6=INDEX('Scenario names'!$C$3:$C$6,2),'2.4 PV (by Borough)'!Z104,IF(Dashboard!$D$6=INDEX('Scenario names'!$C$3:$C$6,3),'2.4 PV (by Borough)'!Z145,"Error")))))</f>
        <v>18403306.724302374</v>
      </c>
      <c r="AA186" s="607">
        <f>IF(Dashboard!$D$6="Baseline",'2.4 PV (by Borough)'!AA22,IF(Dashboard!$D$6=INDEX('Scenario names'!$C$3:$C$6,4),'2.4 PV (by Borough)'!AA145,IF(Dashboard!$D$6=INDEX('Scenario names'!$C$3:$C$6,1),'2.4 PV (by Borough)'!AA104,IF(Dashboard!$D$6=INDEX('Scenario names'!$C$3:$C$6,2),'2.4 PV (by Borough)'!AA104,IF(Dashboard!$D$6=INDEX('Scenario names'!$C$3:$C$6,3),'2.4 PV (by Borough)'!AA145,"Error")))))</f>
        <v>20303277.949782114</v>
      </c>
      <c r="AB186" s="607">
        <f>IF(Dashboard!$D$6="Baseline",'2.4 PV (by Borough)'!AB22,IF(Dashboard!$D$6=INDEX('Scenario names'!$C$3:$C$6,4),'2.4 PV (by Borough)'!AB145,IF(Dashboard!$D$6=INDEX('Scenario names'!$C$3:$C$6,1),'2.4 PV (by Borough)'!AB104,IF(Dashboard!$D$6=INDEX('Scenario names'!$C$3:$C$6,2),'2.4 PV (by Borough)'!AB104,IF(Dashboard!$D$6=INDEX('Scenario names'!$C$3:$C$6,3),'2.4 PV (by Borough)'!AB145,"Error")))))</f>
        <v>22203249.175261855</v>
      </c>
      <c r="AC186" s="607">
        <f>IF(Dashboard!$D$6="Baseline",'2.4 PV (by Borough)'!AC22,IF(Dashboard!$D$6=INDEX('Scenario names'!$C$3:$C$6,4),'2.4 PV (by Borough)'!AC145,IF(Dashboard!$D$6=INDEX('Scenario names'!$C$3:$C$6,1),'2.4 PV (by Borough)'!AC104,IF(Dashboard!$D$6=INDEX('Scenario names'!$C$3:$C$6,2),'2.4 PV (by Borough)'!AC104,IF(Dashboard!$D$6=INDEX('Scenario names'!$C$3:$C$6,3),'2.4 PV (by Borough)'!AC145,"Error")))))</f>
        <v>24103220.400741603</v>
      </c>
      <c r="AD186" s="607">
        <f>IF(Dashboard!$D$6="Baseline",'2.4 PV (by Borough)'!AD22,IF(Dashboard!$D$6=INDEX('Scenario names'!$C$3:$C$6,4),'2.4 PV (by Borough)'!AD145,IF(Dashboard!$D$6=INDEX('Scenario names'!$C$3:$C$6,1),'2.4 PV (by Borough)'!AD104,IF(Dashboard!$D$6=INDEX('Scenario names'!$C$3:$C$6,2),'2.4 PV (by Borough)'!AD104,IF(Dashboard!$D$6=INDEX('Scenario names'!$C$3:$C$6,3),'2.4 PV (by Borough)'!AD145,"Error")))))</f>
        <v>26003191.626221336</v>
      </c>
      <c r="AE186" s="607">
        <f>IF(Dashboard!$D$6="Baseline",'2.4 PV (by Borough)'!AE22,IF(Dashboard!$D$6=INDEX('Scenario names'!$C$3:$C$6,4),'2.4 PV (by Borough)'!AE145,IF(Dashboard!$D$6=INDEX('Scenario names'!$C$3:$C$6,1),'2.4 PV (by Borough)'!AE104,IF(Dashboard!$D$6=INDEX('Scenario names'!$C$3:$C$6,2),'2.4 PV (by Borough)'!AE104,IF(Dashboard!$D$6=INDEX('Scenario names'!$C$3:$C$6,3),'2.4 PV (by Borough)'!AE145,"Error")))))</f>
        <v>27903162.85170107</v>
      </c>
      <c r="AF186" s="607">
        <f>IF(Dashboard!$D$6="Baseline",'2.4 PV (by Borough)'!AF22,IF(Dashboard!$D$6=INDEX('Scenario names'!$C$3:$C$6,4),'2.4 PV (by Borough)'!AF145,IF(Dashboard!$D$6=INDEX('Scenario names'!$C$3:$C$6,1),'2.4 PV (by Borough)'!AF104,IF(Dashboard!$D$6=INDEX('Scenario names'!$C$3:$C$6,2),'2.4 PV (by Borough)'!AF104,IF(Dashboard!$D$6=INDEX('Scenario names'!$C$3:$C$6,3),'2.4 PV (by Borough)'!AF145,"Error")))))</f>
        <v>29803134.077180814</v>
      </c>
      <c r="AG186" s="607">
        <f>IF(Dashboard!$D$6="Baseline",'2.4 PV (by Borough)'!AG22,IF(Dashboard!$D$6=INDEX('Scenario names'!$C$3:$C$6,4),'2.4 PV (by Borough)'!AG145,IF(Dashboard!$D$6=INDEX('Scenario names'!$C$3:$C$6,1),'2.4 PV (by Borough)'!AG104,IF(Dashboard!$D$6=INDEX('Scenario names'!$C$3:$C$6,2),'2.4 PV (by Borough)'!AG104,IF(Dashboard!$D$6=INDEX('Scenario names'!$C$3:$C$6,3),'2.4 PV (by Borough)'!AG145,"Error")))))</f>
        <v>31703105.302660562</v>
      </c>
      <c r="AH186" s="607">
        <f>IF(Dashboard!$D$6="Baseline",'2.4 PV (by Borough)'!AH22,IF(Dashboard!$D$6=INDEX('Scenario names'!$C$3:$C$6,4),'2.4 PV (by Borough)'!AH145,IF(Dashboard!$D$6=INDEX('Scenario names'!$C$3:$C$6,1),'2.4 PV (by Borough)'!AH104,IF(Dashboard!$D$6=INDEX('Scenario names'!$C$3:$C$6,2),'2.4 PV (by Borough)'!AH104,IF(Dashboard!$D$6=INDEX('Scenario names'!$C$3:$C$6,3),'2.4 PV (by Borough)'!AH145,"Error")))))</f>
        <v>33603076.528140299</v>
      </c>
      <c r="AI186" s="607">
        <f>IF(Dashboard!$D$6="Baseline",'2.4 PV (by Borough)'!AI22,IF(Dashboard!$D$6=INDEX('Scenario names'!$C$3:$C$6,4),'2.4 PV (by Borough)'!AI145,IF(Dashboard!$D$6=INDEX('Scenario names'!$C$3:$C$6,1),'2.4 PV (by Borough)'!AI104,IF(Dashboard!$D$6=INDEX('Scenario names'!$C$3:$C$6,2),'2.4 PV (by Borough)'!AI104,IF(Dashboard!$D$6=INDEX('Scenario names'!$C$3:$C$6,3),'2.4 PV (by Borough)'!AI145,"Error")))))</f>
        <v>35503047.753620036</v>
      </c>
      <c r="AJ186" s="607">
        <f>IF(Dashboard!$D$6="Baseline",'2.4 PV (by Borough)'!AJ22,IF(Dashboard!$D$6=INDEX('Scenario names'!$C$3:$C$6,4),'2.4 PV (by Borough)'!AJ145,IF(Dashboard!$D$6=INDEX('Scenario names'!$C$3:$C$6,1),'2.4 PV (by Borough)'!AJ104,IF(Dashboard!$D$6=INDEX('Scenario names'!$C$3:$C$6,2),'2.4 PV (by Borough)'!AJ104,IF(Dashboard!$D$6=INDEX('Scenario names'!$C$3:$C$6,3),'2.4 PV (by Borough)'!AJ145,"Error")))))</f>
        <v>37403018.979099773</v>
      </c>
      <c r="AK186" s="607">
        <f>IF(Dashboard!$D$6="Baseline",'2.4 PV (by Borough)'!AK22,IF(Dashboard!$D$6=INDEX('Scenario names'!$C$3:$C$6,4),'2.4 PV (by Borough)'!AK145,IF(Dashboard!$D$6=INDEX('Scenario names'!$C$3:$C$6,1),'2.4 PV (by Borough)'!AK104,IF(Dashboard!$D$6=INDEX('Scenario names'!$C$3:$C$6,2),'2.4 PV (by Borough)'!AK104,IF(Dashboard!$D$6=INDEX('Scenario names'!$C$3:$C$6,3),'2.4 PV (by Borough)'!AK145,"Error")))))</f>
        <v>39302990.204579517</v>
      </c>
      <c r="AL186" s="607">
        <f>IF(Dashboard!$D$6="Baseline",'2.4 PV (by Borough)'!AL22,IF(Dashboard!$D$6=INDEX('Scenario names'!$C$3:$C$6,4),'2.4 PV (by Borough)'!AL145,IF(Dashboard!$D$6=INDEX('Scenario names'!$C$3:$C$6,1),'2.4 PV (by Borough)'!AL104,IF(Dashboard!$D$6=INDEX('Scenario names'!$C$3:$C$6,2),'2.4 PV (by Borough)'!AL104,IF(Dashboard!$D$6=INDEX('Scenario names'!$C$3:$C$6,3),'2.4 PV (by Borough)'!AL145,"Error")))))</f>
        <v>41202961.430059254</v>
      </c>
      <c r="AM186" s="607">
        <f>IF(Dashboard!$D$6="Baseline",'2.4 PV (by Borough)'!AM22,IF(Dashboard!$D$6=INDEX('Scenario names'!$C$3:$C$6,4),'2.4 PV (by Borough)'!AM145,IF(Dashboard!$D$6=INDEX('Scenario names'!$C$3:$C$6,1),'2.4 PV (by Borough)'!AM104,IF(Dashboard!$D$6=INDEX('Scenario names'!$C$3:$C$6,2),'2.4 PV (by Borough)'!AM104,IF(Dashboard!$D$6=INDEX('Scenario names'!$C$3:$C$6,3),'2.4 PV (by Borough)'!AM145,"Error")))))</f>
        <v>43102932.655538991</v>
      </c>
      <c r="AN186" s="607">
        <f>IF(Dashboard!$D$6="Baseline",'2.4 PV (by Borough)'!AN22,IF(Dashboard!$D$6=INDEX('Scenario names'!$C$3:$C$6,4),'2.4 PV (by Borough)'!AN145,IF(Dashboard!$D$6=INDEX('Scenario names'!$C$3:$C$6,1),'2.4 PV (by Borough)'!AN104,IF(Dashboard!$D$6=INDEX('Scenario names'!$C$3:$C$6,2),'2.4 PV (by Borough)'!AN104,IF(Dashboard!$D$6=INDEX('Scenario names'!$C$3:$C$6,3),'2.4 PV (by Borough)'!AN145,"Error")))))</f>
        <v>45002903.881018735</v>
      </c>
      <c r="AO186" s="607">
        <f>IF(Dashboard!$D$6="Baseline",'2.4 PV (by Borough)'!AO22,IF(Dashboard!$D$6=INDEX('Scenario names'!$C$3:$C$6,4),'2.4 PV (by Borough)'!AO145,IF(Dashboard!$D$6=INDEX('Scenario names'!$C$3:$C$6,1),'2.4 PV (by Borough)'!AO104,IF(Dashboard!$D$6=INDEX('Scenario names'!$C$3:$C$6,2),'2.4 PV (by Borough)'!AO104,IF(Dashboard!$D$6=INDEX('Scenario names'!$C$3:$C$6,3),'2.4 PV (by Borough)'!AO145,"Error")))))</f>
        <v>46902875.106498465</v>
      </c>
      <c r="AP186" s="607">
        <f>IF(Dashboard!$D$6="Baseline",'2.4 PV (by Borough)'!AP22,IF(Dashboard!$D$6=INDEX('Scenario names'!$C$3:$C$6,4),'2.4 PV (by Borough)'!AP145,IF(Dashboard!$D$6=INDEX('Scenario names'!$C$3:$C$6,1),'2.4 PV (by Borough)'!AP104,IF(Dashboard!$D$6=INDEX('Scenario names'!$C$3:$C$6,2),'2.4 PV (by Borough)'!AP104,IF(Dashboard!$D$6=INDEX('Scenario names'!$C$3:$C$6,3),'2.4 PV (by Borough)'!AP145,"Error")))))</f>
        <v>48802846.331978209</v>
      </c>
      <c r="AQ186" s="607">
        <f>IF(Dashboard!$D$6="Baseline",'2.4 PV (by Borough)'!AQ22,IF(Dashboard!$D$6=INDEX('Scenario names'!$C$3:$C$6,4),'2.4 PV (by Borough)'!AQ145,IF(Dashboard!$D$6=INDEX('Scenario names'!$C$3:$C$6,1),'2.4 PV (by Borough)'!AQ104,IF(Dashboard!$D$6=INDEX('Scenario names'!$C$3:$C$6,2),'2.4 PV (by Borough)'!AQ104,IF(Dashboard!$D$6=INDEX('Scenario names'!$C$3:$C$6,3),'2.4 PV (by Borough)'!AQ145,"Error")))))</f>
        <v>50702817.557457946</v>
      </c>
      <c r="AR186" s="607">
        <f>IF(Dashboard!$D$6="Baseline",'2.4 PV (by Borough)'!AR22,IF(Dashboard!$D$6=INDEX('Scenario names'!$C$3:$C$6,4),'2.4 PV (by Borough)'!AR145,IF(Dashboard!$D$6=INDEX('Scenario names'!$C$3:$C$6,1),'2.4 PV (by Borough)'!AR104,IF(Dashboard!$D$6=INDEX('Scenario names'!$C$3:$C$6,2),'2.4 PV (by Borough)'!AR104,IF(Dashboard!$D$6=INDEX('Scenario names'!$C$3:$C$6,3),'2.4 PV (by Borough)'!AR145,"Error")))))</f>
        <v>52602788.782937676</v>
      </c>
      <c r="AS186" s="607">
        <f>IF(Dashboard!$D$6="Baseline",'2.4 PV (by Borough)'!AS22,IF(Dashboard!$D$6=INDEX('Scenario names'!$C$3:$C$6,4),'2.4 PV (by Borough)'!AS145,IF(Dashboard!$D$6=INDEX('Scenario names'!$C$3:$C$6,1),'2.4 PV (by Borough)'!AS104,IF(Dashboard!$D$6=INDEX('Scenario names'!$C$3:$C$6,2),'2.4 PV (by Borough)'!AS104,IF(Dashboard!$D$6=INDEX('Scenario names'!$C$3:$C$6,3),'2.4 PV (by Borough)'!AS145,"Error")))))</f>
        <v>54502760.008417413</v>
      </c>
      <c r="AT186" s="607">
        <f>IF(Dashboard!$D$6="Baseline",'2.4 PV (by Borough)'!AT22,IF(Dashboard!$D$6=INDEX('Scenario names'!$C$3:$C$6,4),'2.4 PV (by Borough)'!AT145,IF(Dashboard!$D$6=INDEX('Scenario names'!$C$3:$C$6,1),'2.4 PV (by Borough)'!AT104,IF(Dashboard!$D$6=INDEX('Scenario names'!$C$3:$C$6,2),'2.4 PV (by Borough)'!AT104,IF(Dashboard!$D$6=INDEX('Scenario names'!$C$3:$C$6,3),'2.4 PV (by Borough)'!AT145,"Error")))))</f>
        <v>56402731.233897172</v>
      </c>
      <c r="AU186" s="607">
        <f>IF(Dashboard!$D$6="Baseline",'2.4 PV (by Borough)'!AU22,IF(Dashboard!$D$6=INDEX('Scenario names'!$C$3:$C$6,4),'2.4 PV (by Borough)'!AU145,IF(Dashboard!$D$6=INDEX('Scenario names'!$C$3:$C$6,1),'2.4 PV (by Borough)'!AU104,IF(Dashboard!$D$6=INDEX('Scenario names'!$C$3:$C$6,2),'2.4 PV (by Borough)'!AU104,IF(Dashboard!$D$6=INDEX('Scenario names'!$C$3:$C$6,3),'2.4 PV (by Borough)'!AU145,"Error")))))</f>
        <v>58302702.459376916</v>
      </c>
      <c r="AV186" s="607">
        <f>IF(Dashboard!$D$6="Baseline",'2.4 PV (by Borough)'!AV22,IF(Dashboard!$D$6=INDEX('Scenario names'!$C$3:$C$6,4),'2.4 PV (by Borough)'!AV145,IF(Dashboard!$D$6=INDEX('Scenario names'!$C$3:$C$6,1),'2.4 PV (by Borough)'!AV104,IF(Dashboard!$D$6=INDEX('Scenario names'!$C$3:$C$6,2),'2.4 PV (by Borough)'!AV104,IF(Dashboard!$D$6=INDEX('Scenario names'!$C$3:$C$6,3),'2.4 PV (by Borough)'!AV145,"Error")))))</f>
        <v>60202673.684856623</v>
      </c>
      <c r="AW186" s="607">
        <f>IF(Dashboard!$D$6="Baseline",'2.4 PV (by Borough)'!AW22,IF(Dashboard!$D$6=INDEX('Scenario names'!$C$3:$C$6,4),'2.4 PV (by Borough)'!AW145,IF(Dashboard!$D$6=INDEX('Scenario names'!$C$3:$C$6,1),'2.4 PV (by Borough)'!AW104,IF(Dashboard!$D$6=INDEX('Scenario names'!$C$3:$C$6,2),'2.4 PV (by Borough)'!AW104,IF(Dashboard!$D$6=INDEX('Scenario names'!$C$3:$C$6,3),'2.4 PV (by Borough)'!AW145,"Error")))))</f>
        <v>62102644.910336383</v>
      </c>
      <c r="AX186" s="607">
        <f>IF(Dashboard!$D$6="Baseline",'2.4 PV (by Borough)'!AX22,IF(Dashboard!$D$6=INDEX('Scenario names'!$C$3:$C$6,4),'2.4 PV (by Borough)'!AX145,IF(Dashboard!$D$6=INDEX('Scenario names'!$C$3:$C$6,1),'2.4 PV (by Borough)'!AX104,IF(Dashboard!$D$6=INDEX('Scenario names'!$C$3:$C$6,2),'2.4 PV (by Borough)'!AX104,IF(Dashboard!$D$6=INDEX('Scenario names'!$C$3:$C$6,3),'2.4 PV (by Borough)'!AX145,"Error")))))</f>
        <v>64002616.13581612</v>
      </c>
      <c r="AY186" s="36"/>
      <c r="AZ186" s="36"/>
      <c r="BA186" s="36"/>
      <c r="BB186" s="36"/>
    </row>
    <row r="187" spans="4:54">
      <c r="D187" t="s">
        <v>661</v>
      </c>
      <c r="E187" t="s">
        <v>642</v>
      </c>
      <c r="G187" s="44"/>
      <c r="I187" s="44"/>
      <c r="K187" s="44"/>
      <c r="M187" s="44"/>
      <c r="O187" s="607">
        <f>IF(Dashboard!$D$6="Baseline",'2.4 PV (by Borough)'!O23,IF(Dashboard!$D$6=INDEX('Scenario names'!$C$3:$C$6,4),'2.4 PV (by Borough)'!O146,IF(Dashboard!$D$6=INDEX('Scenario names'!$C$3:$C$6,1),'2.4 PV (by Borough)'!O105,IF(Dashboard!$D$6=INDEX('Scenario names'!$C$3:$C$6,2),'2.4 PV (by Borough)'!O105,IF(Dashboard!$D$6=INDEX('Scenario names'!$C$3:$C$6,3),'2.4 PV (by Borough)'!O146,"Error")))))</f>
        <v>1982104.3227546038</v>
      </c>
      <c r="P187" s="607">
        <f>IF(Dashboard!$D$6="Baseline",'2.4 PV (by Borough)'!P23,IF(Dashboard!$D$6=INDEX('Scenario names'!$C$3:$C$6,4),'2.4 PV (by Borough)'!P146,IF(Dashboard!$D$6=INDEX('Scenario names'!$C$3:$C$6,1),'2.4 PV (by Borough)'!P105,IF(Dashboard!$D$6=INDEX('Scenario names'!$C$3:$C$6,2),'2.4 PV (by Borough)'!P105,IF(Dashboard!$D$6=INDEX('Scenario names'!$C$3:$C$6,3),'2.4 PV (by Borough)'!P146,"Error")))))</f>
        <v>3468078.3955973051</v>
      </c>
      <c r="Q187" s="607">
        <f>IF(Dashboard!$D$6="Baseline",'2.4 PV (by Borough)'!Q23,IF(Dashboard!$D$6=INDEX('Scenario names'!$C$3:$C$6,4),'2.4 PV (by Borough)'!Q146,IF(Dashboard!$D$6=INDEX('Scenario names'!$C$3:$C$6,1),'2.4 PV (by Borough)'!Q105,IF(Dashboard!$D$6=INDEX('Scenario names'!$C$3:$C$6,2),'2.4 PV (by Borough)'!Q105,IF(Dashboard!$D$6=INDEX('Scenario names'!$C$3:$C$6,3),'2.4 PV (by Borough)'!Q146,"Error")))))</f>
        <v>4954052.4684400037</v>
      </c>
      <c r="R187" s="607">
        <f>IF(Dashboard!$D$6="Baseline",'2.4 PV (by Borough)'!R23,IF(Dashboard!$D$6=INDEX('Scenario names'!$C$3:$C$6,4),'2.4 PV (by Borough)'!R146,IF(Dashboard!$D$6=INDEX('Scenario names'!$C$3:$C$6,1),'2.4 PV (by Borough)'!R105,IF(Dashboard!$D$6=INDEX('Scenario names'!$C$3:$C$6,2),'2.4 PV (by Borough)'!R105,IF(Dashboard!$D$6=INDEX('Scenario names'!$C$3:$C$6,3),'2.4 PV (by Borough)'!R146,"Error")))))</f>
        <v>6440026.5412827041</v>
      </c>
      <c r="S187" s="607">
        <f>IF(Dashboard!$D$6="Baseline",'2.4 PV (by Borough)'!S23,IF(Dashboard!$D$6=INDEX('Scenario names'!$C$3:$C$6,4),'2.4 PV (by Borough)'!S146,IF(Dashboard!$D$6=INDEX('Scenario names'!$C$3:$C$6,1),'2.4 PV (by Borough)'!S105,IF(Dashboard!$D$6=INDEX('Scenario names'!$C$3:$C$6,2),'2.4 PV (by Borough)'!S105,IF(Dashboard!$D$6=INDEX('Scenario names'!$C$3:$C$6,3),'2.4 PV (by Borough)'!S146,"Error")))))</f>
        <v>7926000.6141254036</v>
      </c>
      <c r="T187" s="607">
        <f>IF(Dashboard!$D$6="Baseline",'2.4 PV (by Borough)'!T23,IF(Dashboard!$D$6=INDEX('Scenario names'!$C$3:$C$6,4),'2.4 PV (by Borough)'!T146,IF(Dashboard!$D$6=INDEX('Scenario names'!$C$3:$C$6,1),'2.4 PV (by Borough)'!T105,IF(Dashboard!$D$6=INDEX('Scenario names'!$C$3:$C$6,2),'2.4 PV (by Borough)'!T105,IF(Dashboard!$D$6=INDEX('Scenario names'!$C$3:$C$6,3),'2.4 PV (by Borough)'!T146,"Error")))))</f>
        <v>9411974.6869681031</v>
      </c>
      <c r="U187" s="607">
        <f>IF(Dashboard!$D$6="Baseline",'2.4 PV (by Borough)'!U23,IF(Dashboard!$D$6=INDEX('Scenario names'!$C$3:$C$6,4),'2.4 PV (by Borough)'!U146,IF(Dashboard!$D$6=INDEX('Scenario names'!$C$3:$C$6,1),'2.4 PV (by Borough)'!U105,IF(Dashboard!$D$6=INDEX('Scenario names'!$C$3:$C$6,2),'2.4 PV (by Borough)'!U105,IF(Dashboard!$D$6=INDEX('Scenario names'!$C$3:$C$6,3),'2.4 PV (by Borough)'!U146,"Error")))))</f>
        <v>10897948.759810805</v>
      </c>
      <c r="V187" s="607">
        <f>IF(Dashboard!$D$6="Baseline",'2.4 PV (by Borough)'!V23,IF(Dashboard!$D$6=INDEX('Scenario names'!$C$3:$C$6,4),'2.4 PV (by Borough)'!V146,IF(Dashboard!$D$6=INDEX('Scenario names'!$C$3:$C$6,1),'2.4 PV (by Borough)'!V105,IF(Dashboard!$D$6=INDEX('Scenario names'!$C$3:$C$6,2),'2.4 PV (by Borough)'!V105,IF(Dashboard!$D$6=INDEX('Scenario names'!$C$3:$C$6,3),'2.4 PV (by Borough)'!V146,"Error")))))</f>
        <v>12383922.832653504</v>
      </c>
      <c r="W187" s="607">
        <f>IF(Dashboard!$D$6="Baseline",'2.4 PV (by Borough)'!W23,IF(Dashboard!$D$6=INDEX('Scenario names'!$C$3:$C$6,4),'2.4 PV (by Borough)'!W146,IF(Dashboard!$D$6=INDEX('Scenario names'!$C$3:$C$6,1),'2.4 PV (by Borough)'!W105,IF(Dashboard!$D$6=INDEX('Scenario names'!$C$3:$C$6,2),'2.4 PV (by Borough)'!W105,IF(Dashboard!$D$6=INDEX('Scenario names'!$C$3:$C$6,3),'2.4 PV (by Borough)'!W146,"Error")))))</f>
        <v>13869896.905496202</v>
      </c>
      <c r="X187" s="607">
        <f>IF(Dashboard!$D$6="Baseline",'2.4 PV (by Borough)'!X23,IF(Dashboard!$D$6=INDEX('Scenario names'!$C$3:$C$6,4),'2.4 PV (by Borough)'!X146,IF(Dashboard!$D$6=INDEX('Scenario names'!$C$3:$C$6,1),'2.4 PV (by Borough)'!X105,IF(Dashboard!$D$6=INDEX('Scenario names'!$C$3:$C$6,2),'2.4 PV (by Borough)'!X105,IF(Dashboard!$D$6=INDEX('Scenario names'!$C$3:$C$6,3),'2.4 PV (by Borough)'!X146,"Error")))))</f>
        <v>15355870.978338901</v>
      </c>
      <c r="Y187" s="607">
        <f>IF(Dashboard!$D$6="Baseline",'2.4 PV (by Borough)'!Y23,IF(Dashboard!$D$6=INDEX('Scenario names'!$C$3:$C$6,4),'2.4 PV (by Borough)'!Y146,IF(Dashboard!$D$6=INDEX('Scenario names'!$C$3:$C$6,1),'2.4 PV (by Borough)'!Y105,IF(Dashboard!$D$6=INDEX('Scenario names'!$C$3:$C$6,2),'2.4 PV (by Borough)'!Y105,IF(Dashboard!$D$6=INDEX('Scenario names'!$C$3:$C$6,3),'2.4 PV (by Borough)'!Y146,"Error")))))</f>
        <v>16841845.051181603</v>
      </c>
      <c r="Z187" s="607">
        <f>IF(Dashboard!$D$6="Baseline",'2.4 PV (by Borough)'!Z23,IF(Dashboard!$D$6=INDEX('Scenario names'!$C$3:$C$6,4),'2.4 PV (by Borough)'!Z146,IF(Dashboard!$D$6=INDEX('Scenario names'!$C$3:$C$6,1),'2.4 PV (by Borough)'!Z105,IF(Dashboard!$D$6=INDEX('Scenario names'!$C$3:$C$6,2),'2.4 PV (by Borough)'!Z105,IF(Dashboard!$D$6=INDEX('Scenario names'!$C$3:$C$6,3),'2.4 PV (by Borough)'!Z146,"Error")))))</f>
        <v>19102312.223074704</v>
      </c>
      <c r="AA187" s="607">
        <f>IF(Dashboard!$D$6="Baseline",'2.4 PV (by Borough)'!AA23,IF(Dashboard!$D$6=INDEX('Scenario names'!$C$3:$C$6,4),'2.4 PV (by Borough)'!AA146,IF(Dashboard!$D$6=INDEX('Scenario names'!$C$3:$C$6,1),'2.4 PV (by Borough)'!AA105,IF(Dashboard!$D$6=INDEX('Scenario names'!$C$3:$C$6,2),'2.4 PV (by Borough)'!AA105,IF(Dashboard!$D$6=INDEX('Scenario names'!$C$3:$C$6,3),'2.4 PV (by Borough)'!AA146,"Error")))))</f>
        <v>21362779.394967813</v>
      </c>
      <c r="AB187" s="607">
        <f>IF(Dashboard!$D$6="Baseline",'2.4 PV (by Borough)'!AB23,IF(Dashboard!$D$6=INDEX('Scenario names'!$C$3:$C$6,4),'2.4 PV (by Borough)'!AB146,IF(Dashboard!$D$6=INDEX('Scenario names'!$C$3:$C$6,1),'2.4 PV (by Borough)'!AB105,IF(Dashboard!$D$6=INDEX('Scenario names'!$C$3:$C$6,2),'2.4 PV (by Borough)'!AB105,IF(Dashboard!$D$6=INDEX('Scenario names'!$C$3:$C$6,3),'2.4 PV (by Borough)'!AB146,"Error")))))</f>
        <v>23623246.566860911</v>
      </c>
      <c r="AC187" s="607">
        <f>IF(Dashboard!$D$6="Baseline",'2.4 PV (by Borough)'!AC23,IF(Dashboard!$D$6=INDEX('Scenario names'!$C$3:$C$6,4),'2.4 PV (by Borough)'!AC146,IF(Dashboard!$D$6=INDEX('Scenario names'!$C$3:$C$6,1),'2.4 PV (by Borough)'!AC105,IF(Dashboard!$D$6=INDEX('Scenario names'!$C$3:$C$6,2),'2.4 PV (by Borough)'!AC105,IF(Dashboard!$D$6=INDEX('Scenario names'!$C$3:$C$6,3),'2.4 PV (by Borough)'!AC146,"Error")))))</f>
        <v>25883713.738754019</v>
      </c>
      <c r="AD187" s="607">
        <f>IF(Dashboard!$D$6="Baseline",'2.4 PV (by Borough)'!AD23,IF(Dashboard!$D$6=INDEX('Scenario names'!$C$3:$C$6,4),'2.4 PV (by Borough)'!AD146,IF(Dashboard!$D$6=INDEX('Scenario names'!$C$3:$C$6,1),'2.4 PV (by Borough)'!AD105,IF(Dashboard!$D$6=INDEX('Scenario names'!$C$3:$C$6,2),'2.4 PV (by Borough)'!AD105,IF(Dashboard!$D$6=INDEX('Scenario names'!$C$3:$C$6,3),'2.4 PV (by Borough)'!AD146,"Error")))))</f>
        <v>28144180.910647124</v>
      </c>
      <c r="AE187" s="607">
        <f>IF(Dashboard!$D$6="Baseline",'2.4 PV (by Borough)'!AE23,IF(Dashboard!$D$6=INDEX('Scenario names'!$C$3:$C$6,4),'2.4 PV (by Borough)'!AE146,IF(Dashboard!$D$6=INDEX('Scenario names'!$C$3:$C$6,1),'2.4 PV (by Borough)'!AE105,IF(Dashboard!$D$6=INDEX('Scenario names'!$C$3:$C$6,2),'2.4 PV (by Borough)'!AE105,IF(Dashboard!$D$6=INDEX('Scenario names'!$C$3:$C$6,3),'2.4 PV (by Borough)'!AE146,"Error")))))</f>
        <v>30404648.082540218</v>
      </c>
      <c r="AF187" s="607">
        <f>IF(Dashboard!$D$6="Baseline",'2.4 PV (by Borough)'!AF23,IF(Dashboard!$D$6=INDEX('Scenario names'!$C$3:$C$6,4),'2.4 PV (by Borough)'!AF146,IF(Dashboard!$D$6=INDEX('Scenario names'!$C$3:$C$6,1),'2.4 PV (by Borough)'!AF105,IF(Dashboard!$D$6=INDEX('Scenario names'!$C$3:$C$6,2),'2.4 PV (by Borough)'!AF105,IF(Dashboard!$D$6=INDEX('Scenario names'!$C$3:$C$6,3),'2.4 PV (by Borough)'!AF146,"Error")))))</f>
        <v>32665115.254433326</v>
      </c>
      <c r="AG187" s="607">
        <f>IF(Dashboard!$D$6="Baseline",'2.4 PV (by Borough)'!AG23,IF(Dashboard!$D$6=INDEX('Scenario names'!$C$3:$C$6,4),'2.4 PV (by Borough)'!AG146,IF(Dashboard!$D$6=INDEX('Scenario names'!$C$3:$C$6,1),'2.4 PV (by Borough)'!AG105,IF(Dashboard!$D$6=INDEX('Scenario names'!$C$3:$C$6,2),'2.4 PV (by Borough)'!AG105,IF(Dashboard!$D$6=INDEX('Scenario names'!$C$3:$C$6,3),'2.4 PV (by Borough)'!AG146,"Error")))))</f>
        <v>34925582.426326431</v>
      </c>
      <c r="AH187" s="607">
        <f>IF(Dashboard!$D$6="Baseline",'2.4 PV (by Borough)'!AH23,IF(Dashboard!$D$6=INDEX('Scenario names'!$C$3:$C$6,4),'2.4 PV (by Borough)'!AH146,IF(Dashboard!$D$6=INDEX('Scenario names'!$C$3:$C$6,1),'2.4 PV (by Borough)'!AH105,IF(Dashboard!$D$6=INDEX('Scenario names'!$C$3:$C$6,2),'2.4 PV (by Borough)'!AH105,IF(Dashboard!$D$6=INDEX('Scenario names'!$C$3:$C$6,3),'2.4 PV (by Borough)'!AH146,"Error")))))</f>
        <v>37186049.598219536</v>
      </c>
      <c r="AI187" s="607">
        <f>IF(Dashboard!$D$6="Baseline",'2.4 PV (by Borough)'!AI23,IF(Dashboard!$D$6=INDEX('Scenario names'!$C$3:$C$6,4),'2.4 PV (by Borough)'!AI146,IF(Dashboard!$D$6=INDEX('Scenario names'!$C$3:$C$6,1),'2.4 PV (by Borough)'!AI105,IF(Dashboard!$D$6=INDEX('Scenario names'!$C$3:$C$6,2),'2.4 PV (by Borough)'!AI105,IF(Dashboard!$D$6=INDEX('Scenario names'!$C$3:$C$6,3),'2.4 PV (by Borough)'!AI146,"Error")))))</f>
        <v>39446516.770112634</v>
      </c>
      <c r="AJ187" s="607">
        <f>IF(Dashboard!$D$6="Baseline",'2.4 PV (by Borough)'!AJ23,IF(Dashboard!$D$6=INDEX('Scenario names'!$C$3:$C$6,4),'2.4 PV (by Borough)'!AJ146,IF(Dashboard!$D$6=INDEX('Scenario names'!$C$3:$C$6,1),'2.4 PV (by Borough)'!AJ105,IF(Dashboard!$D$6=INDEX('Scenario names'!$C$3:$C$6,2),'2.4 PV (by Borough)'!AJ105,IF(Dashboard!$D$6=INDEX('Scenario names'!$C$3:$C$6,3),'2.4 PV (by Borough)'!AJ146,"Error")))))</f>
        <v>41706983.942005739</v>
      </c>
      <c r="AK187" s="607">
        <f>IF(Dashboard!$D$6="Baseline",'2.4 PV (by Borough)'!AK23,IF(Dashboard!$D$6=INDEX('Scenario names'!$C$3:$C$6,4),'2.4 PV (by Borough)'!AK146,IF(Dashboard!$D$6=INDEX('Scenario names'!$C$3:$C$6,1),'2.4 PV (by Borough)'!AK105,IF(Dashboard!$D$6=INDEX('Scenario names'!$C$3:$C$6,2),'2.4 PV (by Borough)'!AK105,IF(Dashboard!$D$6=INDEX('Scenario names'!$C$3:$C$6,3),'2.4 PV (by Borough)'!AK146,"Error")))))</f>
        <v>43967451.113898844</v>
      </c>
      <c r="AL187" s="607">
        <f>IF(Dashboard!$D$6="Baseline",'2.4 PV (by Borough)'!AL23,IF(Dashboard!$D$6=INDEX('Scenario names'!$C$3:$C$6,4),'2.4 PV (by Borough)'!AL146,IF(Dashboard!$D$6=INDEX('Scenario names'!$C$3:$C$6,1),'2.4 PV (by Borough)'!AL105,IF(Dashboard!$D$6=INDEX('Scenario names'!$C$3:$C$6,2),'2.4 PV (by Borough)'!AL105,IF(Dashboard!$D$6=INDEX('Scenario names'!$C$3:$C$6,3),'2.4 PV (by Borough)'!AL146,"Error")))))</f>
        <v>46227918.285791941</v>
      </c>
      <c r="AM187" s="607">
        <f>IF(Dashboard!$D$6="Baseline",'2.4 PV (by Borough)'!AM23,IF(Dashboard!$D$6=INDEX('Scenario names'!$C$3:$C$6,4),'2.4 PV (by Borough)'!AM146,IF(Dashboard!$D$6=INDEX('Scenario names'!$C$3:$C$6,1),'2.4 PV (by Borough)'!AM105,IF(Dashboard!$D$6=INDEX('Scenario names'!$C$3:$C$6,2),'2.4 PV (by Borough)'!AM105,IF(Dashboard!$D$6=INDEX('Scenario names'!$C$3:$C$6,3),'2.4 PV (by Borough)'!AM146,"Error")))))</f>
        <v>48488385.457685061</v>
      </c>
      <c r="AN187" s="607">
        <f>IF(Dashboard!$D$6="Baseline",'2.4 PV (by Borough)'!AN23,IF(Dashboard!$D$6=INDEX('Scenario names'!$C$3:$C$6,4),'2.4 PV (by Borough)'!AN146,IF(Dashboard!$D$6=INDEX('Scenario names'!$C$3:$C$6,1),'2.4 PV (by Borough)'!AN105,IF(Dashboard!$D$6=INDEX('Scenario names'!$C$3:$C$6,2),'2.4 PV (by Borough)'!AN105,IF(Dashboard!$D$6=INDEX('Scenario names'!$C$3:$C$6,3),'2.4 PV (by Borough)'!AN146,"Error")))))</f>
        <v>50748852.629578158</v>
      </c>
      <c r="AO187" s="607">
        <f>IF(Dashboard!$D$6="Baseline",'2.4 PV (by Borough)'!AO23,IF(Dashboard!$D$6=INDEX('Scenario names'!$C$3:$C$6,4),'2.4 PV (by Borough)'!AO146,IF(Dashboard!$D$6=INDEX('Scenario names'!$C$3:$C$6,1),'2.4 PV (by Borough)'!AO105,IF(Dashboard!$D$6=INDEX('Scenario names'!$C$3:$C$6,2),'2.4 PV (by Borough)'!AO105,IF(Dashboard!$D$6=INDEX('Scenario names'!$C$3:$C$6,3),'2.4 PV (by Borough)'!AO146,"Error")))))</f>
        <v>53009319.801471248</v>
      </c>
      <c r="AP187" s="607">
        <f>IF(Dashboard!$D$6="Baseline",'2.4 PV (by Borough)'!AP23,IF(Dashboard!$D$6=INDEX('Scenario names'!$C$3:$C$6,4),'2.4 PV (by Borough)'!AP146,IF(Dashboard!$D$6=INDEX('Scenario names'!$C$3:$C$6,1),'2.4 PV (by Borough)'!AP105,IF(Dashboard!$D$6=INDEX('Scenario names'!$C$3:$C$6,2),'2.4 PV (by Borough)'!AP105,IF(Dashboard!$D$6=INDEX('Scenario names'!$C$3:$C$6,3),'2.4 PV (by Borough)'!AP146,"Error")))))</f>
        <v>55269786.973364376</v>
      </c>
      <c r="AQ187" s="607">
        <f>IF(Dashboard!$D$6="Baseline",'2.4 PV (by Borough)'!AQ23,IF(Dashboard!$D$6=INDEX('Scenario names'!$C$3:$C$6,4),'2.4 PV (by Borough)'!AQ146,IF(Dashboard!$D$6=INDEX('Scenario names'!$C$3:$C$6,1),'2.4 PV (by Borough)'!AQ105,IF(Dashboard!$D$6=INDEX('Scenario names'!$C$3:$C$6,2),'2.4 PV (by Borough)'!AQ105,IF(Dashboard!$D$6=INDEX('Scenario names'!$C$3:$C$6,3),'2.4 PV (by Borough)'!AQ146,"Error")))))</f>
        <v>57530254.145257473</v>
      </c>
      <c r="AR187" s="607">
        <f>IF(Dashboard!$D$6="Baseline",'2.4 PV (by Borough)'!AR23,IF(Dashboard!$D$6=INDEX('Scenario names'!$C$3:$C$6,4),'2.4 PV (by Borough)'!AR146,IF(Dashboard!$D$6=INDEX('Scenario names'!$C$3:$C$6,1),'2.4 PV (by Borough)'!AR105,IF(Dashboard!$D$6=INDEX('Scenario names'!$C$3:$C$6,2),'2.4 PV (by Borough)'!AR105,IF(Dashboard!$D$6=INDEX('Scenario names'!$C$3:$C$6,3),'2.4 PV (by Borough)'!AR146,"Error")))))</f>
        <v>59790721.31715057</v>
      </c>
      <c r="AS187" s="607">
        <f>IF(Dashboard!$D$6="Baseline",'2.4 PV (by Borough)'!AS23,IF(Dashboard!$D$6=INDEX('Scenario names'!$C$3:$C$6,4),'2.4 PV (by Borough)'!AS146,IF(Dashboard!$D$6=INDEX('Scenario names'!$C$3:$C$6,1),'2.4 PV (by Borough)'!AS105,IF(Dashboard!$D$6=INDEX('Scenario names'!$C$3:$C$6,2),'2.4 PV (by Borough)'!AS105,IF(Dashboard!$D$6=INDEX('Scenario names'!$C$3:$C$6,3),'2.4 PV (by Borough)'!AS146,"Error")))))</f>
        <v>62051188.489043675</v>
      </c>
      <c r="AT187" s="607">
        <f>IF(Dashboard!$D$6="Baseline",'2.4 PV (by Borough)'!AT23,IF(Dashboard!$D$6=INDEX('Scenario names'!$C$3:$C$6,4),'2.4 PV (by Borough)'!AT146,IF(Dashboard!$D$6=INDEX('Scenario names'!$C$3:$C$6,1),'2.4 PV (by Borough)'!AT105,IF(Dashboard!$D$6=INDEX('Scenario names'!$C$3:$C$6,2),'2.4 PV (by Borough)'!AT105,IF(Dashboard!$D$6=INDEX('Scenario names'!$C$3:$C$6,3),'2.4 PV (by Borough)'!AT146,"Error")))))</f>
        <v>64311655.660936788</v>
      </c>
      <c r="AU187" s="607">
        <f>IF(Dashboard!$D$6="Baseline",'2.4 PV (by Borough)'!AU23,IF(Dashboard!$D$6=INDEX('Scenario names'!$C$3:$C$6,4),'2.4 PV (by Borough)'!AU146,IF(Dashboard!$D$6=INDEX('Scenario names'!$C$3:$C$6,1),'2.4 PV (by Borough)'!AU105,IF(Dashboard!$D$6=INDEX('Scenario names'!$C$3:$C$6,2),'2.4 PV (by Borough)'!AU105,IF(Dashboard!$D$6=INDEX('Scenario names'!$C$3:$C$6,3),'2.4 PV (by Borough)'!AU146,"Error")))))</f>
        <v>66572122.832829878</v>
      </c>
      <c r="AV187" s="607">
        <f>IF(Dashboard!$D$6="Baseline",'2.4 PV (by Borough)'!AV23,IF(Dashboard!$D$6=INDEX('Scenario names'!$C$3:$C$6,4),'2.4 PV (by Borough)'!AV146,IF(Dashboard!$D$6=INDEX('Scenario names'!$C$3:$C$6,1),'2.4 PV (by Borough)'!AV105,IF(Dashboard!$D$6=INDEX('Scenario names'!$C$3:$C$6,2),'2.4 PV (by Borough)'!AV105,IF(Dashboard!$D$6=INDEX('Scenario names'!$C$3:$C$6,3),'2.4 PV (by Borough)'!AV146,"Error")))))</f>
        <v>68832590.004722983</v>
      </c>
      <c r="AW187" s="607">
        <f>IF(Dashboard!$D$6="Baseline",'2.4 PV (by Borough)'!AW23,IF(Dashboard!$D$6=INDEX('Scenario names'!$C$3:$C$6,4),'2.4 PV (by Borough)'!AW146,IF(Dashboard!$D$6=INDEX('Scenario names'!$C$3:$C$6,1),'2.4 PV (by Borough)'!AW105,IF(Dashboard!$D$6=INDEX('Scenario names'!$C$3:$C$6,2),'2.4 PV (by Borough)'!AW105,IF(Dashboard!$D$6=INDEX('Scenario names'!$C$3:$C$6,3),'2.4 PV (by Borough)'!AW146,"Error")))))</f>
        <v>71093057.176616088</v>
      </c>
      <c r="AX187" s="607">
        <f>IF(Dashboard!$D$6="Baseline",'2.4 PV (by Borough)'!AX23,IF(Dashboard!$D$6=INDEX('Scenario names'!$C$3:$C$6,4),'2.4 PV (by Borough)'!AX146,IF(Dashboard!$D$6=INDEX('Scenario names'!$C$3:$C$6,1),'2.4 PV (by Borough)'!AX105,IF(Dashboard!$D$6=INDEX('Scenario names'!$C$3:$C$6,2),'2.4 PV (by Borough)'!AX105,IF(Dashboard!$D$6=INDEX('Scenario names'!$C$3:$C$6,3),'2.4 PV (by Borough)'!AX146,"Error")))))</f>
        <v>73353524.348509178</v>
      </c>
      <c r="AY187" s="36"/>
      <c r="AZ187" s="36"/>
      <c r="BA187" s="36"/>
      <c r="BB187" s="36"/>
    </row>
    <row r="188" spans="4:54">
      <c r="D188" t="s">
        <v>661</v>
      </c>
      <c r="E188" t="s">
        <v>643</v>
      </c>
      <c r="G188" s="44"/>
      <c r="I188" s="44"/>
      <c r="K188" s="44"/>
      <c r="M188" s="44"/>
      <c r="O188" s="607">
        <f>IF(Dashboard!$D$6="Baseline",'2.4 PV (by Borough)'!O24,IF(Dashboard!$D$6=INDEX('Scenario names'!$C$3:$C$6,4),'2.4 PV (by Borough)'!O147,IF(Dashboard!$D$6=INDEX('Scenario names'!$C$3:$C$6,1),'2.4 PV (by Borough)'!O106,IF(Dashboard!$D$6=INDEX('Scenario names'!$C$3:$C$6,2),'2.4 PV (by Borough)'!O106,IF(Dashboard!$D$6=INDEX('Scenario names'!$C$3:$C$6,3),'2.4 PV (by Borough)'!O147,"Error")))))</f>
        <v>2302063.8972618296</v>
      </c>
      <c r="P188" s="607">
        <f>IF(Dashboard!$D$6="Baseline",'2.4 PV (by Borough)'!P24,IF(Dashboard!$D$6=INDEX('Scenario names'!$C$3:$C$6,4),'2.4 PV (by Borough)'!P147,IF(Dashboard!$D$6=INDEX('Scenario names'!$C$3:$C$6,1),'2.4 PV (by Borough)'!P106,IF(Dashboard!$D$6=INDEX('Scenario names'!$C$3:$C$6,2),'2.4 PV (by Borough)'!P106,IF(Dashboard!$D$6=INDEX('Scenario names'!$C$3:$C$6,3),'2.4 PV (by Borough)'!P147,"Error")))))</f>
        <v>4026022.2486419654</v>
      </c>
      <c r="Q188" s="607">
        <f>IF(Dashboard!$D$6="Baseline",'2.4 PV (by Borough)'!Q24,IF(Dashboard!$D$6=INDEX('Scenario names'!$C$3:$C$6,4),'2.4 PV (by Borough)'!Q147,IF(Dashboard!$D$6=INDEX('Scenario names'!$C$3:$C$6,1),'2.4 PV (by Borough)'!Q106,IF(Dashboard!$D$6=INDEX('Scenario names'!$C$3:$C$6,2),'2.4 PV (by Borough)'!Q106,IF(Dashboard!$D$6=INDEX('Scenario names'!$C$3:$C$6,3),'2.4 PV (by Borough)'!Q147,"Error")))))</f>
        <v>5749980.6000221036</v>
      </c>
      <c r="R188" s="607">
        <f>IF(Dashboard!$D$6="Baseline",'2.4 PV (by Borough)'!R24,IF(Dashboard!$D$6=INDEX('Scenario names'!$C$3:$C$6,4),'2.4 PV (by Borough)'!R147,IF(Dashboard!$D$6=INDEX('Scenario names'!$C$3:$C$6,1),'2.4 PV (by Borough)'!R106,IF(Dashboard!$D$6=INDEX('Scenario names'!$C$3:$C$6,2),'2.4 PV (by Borough)'!R106,IF(Dashboard!$D$6=INDEX('Scenario names'!$C$3:$C$6,3),'2.4 PV (by Borough)'!R147,"Error")))))</f>
        <v>7473938.9514022395</v>
      </c>
      <c r="S188" s="607">
        <f>IF(Dashboard!$D$6="Baseline",'2.4 PV (by Borough)'!S24,IF(Dashboard!$D$6=INDEX('Scenario names'!$C$3:$C$6,4),'2.4 PV (by Borough)'!S147,IF(Dashboard!$D$6=INDEX('Scenario names'!$C$3:$C$6,1),'2.4 PV (by Borough)'!S106,IF(Dashboard!$D$6=INDEX('Scenario names'!$C$3:$C$6,2),'2.4 PV (by Borough)'!S106,IF(Dashboard!$D$6=INDEX('Scenario names'!$C$3:$C$6,3),'2.4 PV (by Borough)'!S147,"Error")))))</f>
        <v>9197897.3027823772</v>
      </c>
      <c r="T188" s="607">
        <f>IF(Dashboard!$D$6="Baseline",'2.4 PV (by Borough)'!T24,IF(Dashboard!$D$6=INDEX('Scenario names'!$C$3:$C$6,4),'2.4 PV (by Borough)'!T147,IF(Dashboard!$D$6=INDEX('Scenario names'!$C$3:$C$6,1),'2.4 PV (by Borough)'!T106,IF(Dashboard!$D$6=INDEX('Scenario names'!$C$3:$C$6,2),'2.4 PV (by Borough)'!T106,IF(Dashboard!$D$6=INDEX('Scenario names'!$C$3:$C$6,3),'2.4 PV (by Borough)'!T147,"Error")))))</f>
        <v>10921855.654162511</v>
      </c>
      <c r="U188" s="607">
        <f>IF(Dashboard!$D$6="Baseline",'2.4 PV (by Borough)'!U24,IF(Dashboard!$D$6=INDEX('Scenario names'!$C$3:$C$6,4),'2.4 PV (by Borough)'!U147,IF(Dashboard!$D$6=INDEX('Scenario names'!$C$3:$C$6,1),'2.4 PV (by Borough)'!U106,IF(Dashboard!$D$6=INDEX('Scenario names'!$C$3:$C$6,2),'2.4 PV (by Borough)'!U106,IF(Dashboard!$D$6=INDEX('Scenario names'!$C$3:$C$6,3),'2.4 PV (by Borough)'!U147,"Error")))))</f>
        <v>12645814.005542645</v>
      </c>
      <c r="V188" s="607">
        <f>IF(Dashboard!$D$6="Baseline",'2.4 PV (by Borough)'!V24,IF(Dashboard!$D$6=INDEX('Scenario names'!$C$3:$C$6,4),'2.4 PV (by Borough)'!V147,IF(Dashboard!$D$6=INDEX('Scenario names'!$C$3:$C$6,1),'2.4 PV (by Borough)'!V106,IF(Dashboard!$D$6=INDEX('Scenario names'!$C$3:$C$6,2),'2.4 PV (by Borough)'!V106,IF(Dashboard!$D$6=INDEX('Scenario names'!$C$3:$C$6,3),'2.4 PV (by Borough)'!V147,"Error")))))</f>
        <v>14369772.356922787</v>
      </c>
      <c r="W188" s="607">
        <f>IF(Dashboard!$D$6="Baseline",'2.4 PV (by Borough)'!W24,IF(Dashboard!$D$6=INDEX('Scenario names'!$C$3:$C$6,4),'2.4 PV (by Borough)'!W147,IF(Dashboard!$D$6=INDEX('Scenario names'!$C$3:$C$6,1),'2.4 PV (by Borough)'!W106,IF(Dashboard!$D$6=INDEX('Scenario names'!$C$3:$C$6,2),'2.4 PV (by Borough)'!W106,IF(Dashboard!$D$6=INDEX('Scenario names'!$C$3:$C$6,3),'2.4 PV (by Borough)'!W147,"Error")))))</f>
        <v>16093730.708302923</v>
      </c>
      <c r="X188" s="607">
        <f>IF(Dashboard!$D$6="Baseline",'2.4 PV (by Borough)'!X24,IF(Dashboard!$D$6=INDEX('Scenario names'!$C$3:$C$6,4),'2.4 PV (by Borough)'!X147,IF(Dashboard!$D$6=INDEX('Scenario names'!$C$3:$C$6,1),'2.4 PV (by Borough)'!X106,IF(Dashboard!$D$6=INDEX('Scenario names'!$C$3:$C$6,2),'2.4 PV (by Borough)'!X106,IF(Dashboard!$D$6=INDEX('Scenario names'!$C$3:$C$6,3),'2.4 PV (by Borough)'!X147,"Error")))))</f>
        <v>17817689.059683062</v>
      </c>
      <c r="Y188" s="607">
        <f>IF(Dashboard!$D$6="Baseline",'2.4 PV (by Borough)'!Y24,IF(Dashboard!$D$6=INDEX('Scenario names'!$C$3:$C$6,4),'2.4 PV (by Borough)'!Y147,IF(Dashboard!$D$6=INDEX('Scenario names'!$C$3:$C$6,1),'2.4 PV (by Borough)'!Y106,IF(Dashboard!$D$6=INDEX('Scenario names'!$C$3:$C$6,2),'2.4 PV (by Borough)'!Y106,IF(Dashboard!$D$6=INDEX('Scenario names'!$C$3:$C$6,3),'2.4 PV (by Borough)'!Y147,"Error")))))</f>
        <v>19541647.411063198</v>
      </c>
      <c r="Z188" s="607">
        <f>IF(Dashboard!$D$6="Baseline",'2.4 PV (by Borough)'!Z24,IF(Dashboard!$D$6=INDEX('Scenario names'!$C$3:$C$6,4),'2.4 PV (by Borough)'!Z147,IF(Dashboard!$D$6=INDEX('Scenario names'!$C$3:$C$6,1),'2.4 PV (by Borough)'!Z106,IF(Dashboard!$D$6=INDEX('Scenario names'!$C$3:$C$6,2),'2.4 PV (by Borough)'!Z106,IF(Dashboard!$D$6=INDEX('Scenario names'!$C$3:$C$6,3),'2.4 PV (by Borough)'!Z147,"Error")))))</f>
        <v>21425131.608177237</v>
      </c>
      <c r="AA188" s="607">
        <f>IF(Dashboard!$D$6="Baseline",'2.4 PV (by Borough)'!AA24,IF(Dashboard!$D$6=INDEX('Scenario names'!$C$3:$C$6,4),'2.4 PV (by Borough)'!AA147,IF(Dashboard!$D$6=INDEX('Scenario names'!$C$3:$C$6,1),'2.4 PV (by Borough)'!AA106,IF(Dashboard!$D$6=INDEX('Scenario names'!$C$3:$C$6,2),'2.4 PV (by Borough)'!AA106,IF(Dashboard!$D$6=INDEX('Scenario names'!$C$3:$C$6,3),'2.4 PV (by Borough)'!AA147,"Error")))))</f>
        <v>23308615.805291276</v>
      </c>
      <c r="AB188" s="607">
        <f>IF(Dashboard!$D$6="Baseline",'2.4 PV (by Borough)'!AB24,IF(Dashboard!$D$6=INDEX('Scenario names'!$C$3:$C$6,4),'2.4 PV (by Borough)'!AB147,IF(Dashboard!$D$6=INDEX('Scenario names'!$C$3:$C$6,1),'2.4 PV (by Borough)'!AB106,IF(Dashboard!$D$6=INDEX('Scenario names'!$C$3:$C$6,2),'2.4 PV (by Borough)'!AB106,IF(Dashboard!$D$6=INDEX('Scenario names'!$C$3:$C$6,3),'2.4 PV (by Borough)'!AB147,"Error")))))</f>
        <v>25192100.002405312</v>
      </c>
      <c r="AC188" s="607">
        <f>IF(Dashboard!$D$6="Baseline",'2.4 PV (by Borough)'!AC24,IF(Dashboard!$D$6=INDEX('Scenario names'!$C$3:$C$6,4),'2.4 PV (by Borough)'!AC147,IF(Dashboard!$D$6=INDEX('Scenario names'!$C$3:$C$6,1),'2.4 PV (by Borough)'!AC106,IF(Dashboard!$D$6=INDEX('Scenario names'!$C$3:$C$6,2),'2.4 PV (by Borough)'!AC106,IF(Dashboard!$D$6=INDEX('Scenario names'!$C$3:$C$6,3),'2.4 PV (by Borough)'!AC147,"Error")))))</f>
        <v>27075584.199519355</v>
      </c>
      <c r="AD188" s="607">
        <f>IF(Dashboard!$D$6="Baseline",'2.4 PV (by Borough)'!AD24,IF(Dashboard!$D$6=INDEX('Scenario names'!$C$3:$C$6,4),'2.4 PV (by Borough)'!AD147,IF(Dashboard!$D$6=INDEX('Scenario names'!$C$3:$C$6,1),'2.4 PV (by Borough)'!AD106,IF(Dashboard!$D$6=INDEX('Scenario names'!$C$3:$C$6,2),'2.4 PV (by Borough)'!AD106,IF(Dashboard!$D$6=INDEX('Scenario names'!$C$3:$C$6,3),'2.4 PV (by Borough)'!AD147,"Error")))))</f>
        <v>28959068.396633394</v>
      </c>
      <c r="AE188" s="607">
        <f>IF(Dashboard!$D$6="Baseline",'2.4 PV (by Borough)'!AE24,IF(Dashboard!$D$6=INDEX('Scenario names'!$C$3:$C$6,4),'2.4 PV (by Borough)'!AE147,IF(Dashboard!$D$6=INDEX('Scenario names'!$C$3:$C$6,1),'2.4 PV (by Borough)'!AE106,IF(Dashboard!$D$6=INDEX('Scenario names'!$C$3:$C$6,2),'2.4 PV (by Borough)'!AE106,IF(Dashboard!$D$6=INDEX('Scenario names'!$C$3:$C$6,3),'2.4 PV (by Borough)'!AE147,"Error")))))</f>
        <v>30842552.593747437</v>
      </c>
      <c r="AF188" s="607">
        <f>IF(Dashboard!$D$6="Baseline",'2.4 PV (by Borough)'!AF24,IF(Dashboard!$D$6=INDEX('Scenario names'!$C$3:$C$6,4),'2.4 PV (by Borough)'!AF147,IF(Dashboard!$D$6=INDEX('Scenario names'!$C$3:$C$6,1),'2.4 PV (by Borough)'!AF106,IF(Dashboard!$D$6=INDEX('Scenario names'!$C$3:$C$6,2),'2.4 PV (by Borough)'!AF106,IF(Dashboard!$D$6=INDEX('Scenario names'!$C$3:$C$6,3),'2.4 PV (by Borough)'!AF147,"Error")))))</f>
        <v>32726036.79086148</v>
      </c>
      <c r="AG188" s="607">
        <f>IF(Dashboard!$D$6="Baseline",'2.4 PV (by Borough)'!AG24,IF(Dashboard!$D$6=INDEX('Scenario names'!$C$3:$C$6,4),'2.4 PV (by Borough)'!AG147,IF(Dashboard!$D$6=INDEX('Scenario names'!$C$3:$C$6,1),'2.4 PV (by Borough)'!AG106,IF(Dashboard!$D$6=INDEX('Scenario names'!$C$3:$C$6,2),'2.4 PV (by Borough)'!AG106,IF(Dashboard!$D$6=INDEX('Scenario names'!$C$3:$C$6,3),'2.4 PV (by Borough)'!AG147,"Error")))))</f>
        <v>34609520.98797553</v>
      </c>
      <c r="AH188" s="607">
        <f>IF(Dashboard!$D$6="Baseline",'2.4 PV (by Borough)'!AH24,IF(Dashboard!$D$6=INDEX('Scenario names'!$C$3:$C$6,4),'2.4 PV (by Borough)'!AH147,IF(Dashboard!$D$6=INDEX('Scenario names'!$C$3:$C$6,1),'2.4 PV (by Borough)'!AH106,IF(Dashboard!$D$6=INDEX('Scenario names'!$C$3:$C$6,2),'2.4 PV (by Borough)'!AH106,IF(Dashboard!$D$6=INDEX('Scenario names'!$C$3:$C$6,3),'2.4 PV (by Borough)'!AH147,"Error")))))</f>
        <v>36493005.185089566</v>
      </c>
      <c r="AI188" s="607">
        <f>IF(Dashboard!$D$6="Baseline",'2.4 PV (by Borough)'!AI24,IF(Dashboard!$D$6=INDEX('Scenario names'!$C$3:$C$6,4),'2.4 PV (by Borough)'!AI147,IF(Dashboard!$D$6=INDEX('Scenario names'!$C$3:$C$6,1),'2.4 PV (by Borough)'!AI106,IF(Dashboard!$D$6=INDEX('Scenario names'!$C$3:$C$6,2),'2.4 PV (by Borough)'!AI106,IF(Dashboard!$D$6=INDEX('Scenario names'!$C$3:$C$6,3),'2.4 PV (by Borough)'!AI147,"Error")))))</f>
        <v>38376489.382203609</v>
      </c>
      <c r="AJ188" s="607">
        <f>IF(Dashboard!$D$6="Baseline",'2.4 PV (by Borough)'!AJ24,IF(Dashboard!$D$6=INDEX('Scenario names'!$C$3:$C$6,4),'2.4 PV (by Borough)'!AJ147,IF(Dashboard!$D$6=INDEX('Scenario names'!$C$3:$C$6,1),'2.4 PV (by Borough)'!AJ106,IF(Dashboard!$D$6=INDEX('Scenario names'!$C$3:$C$6,2),'2.4 PV (by Borough)'!AJ106,IF(Dashboard!$D$6=INDEX('Scenario names'!$C$3:$C$6,3),'2.4 PV (by Borough)'!AJ147,"Error")))))</f>
        <v>40259973.579317644</v>
      </c>
      <c r="AK188" s="607">
        <f>IF(Dashboard!$D$6="Baseline",'2.4 PV (by Borough)'!AK24,IF(Dashboard!$D$6=INDEX('Scenario names'!$C$3:$C$6,4),'2.4 PV (by Borough)'!AK147,IF(Dashboard!$D$6=INDEX('Scenario names'!$C$3:$C$6,1),'2.4 PV (by Borough)'!AK106,IF(Dashboard!$D$6=INDEX('Scenario names'!$C$3:$C$6,2),'2.4 PV (by Borough)'!AK106,IF(Dashboard!$D$6=INDEX('Scenario names'!$C$3:$C$6,3),'2.4 PV (by Borough)'!AK147,"Error")))))</f>
        <v>42143457.776431687</v>
      </c>
      <c r="AL188" s="607">
        <f>IF(Dashboard!$D$6="Baseline",'2.4 PV (by Borough)'!AL24,IF(Dashboard!$D$6=INDEX('Scenario names'!$C$3:$C$6,4),'2.4 PV (by Borough)'!AL147,IF(Dashboard!$D$6=INDEX('Scenario names'!$C$3:$C$6,1),'2.4 PV (by Borough)'!AL106,IF(Dashboard!$D$6=INDEX('Scenario names'!$C$3:$C$6,2),'2.4 PV (by Borough)'!AL106,IF(Dashboard!$D$6=INDEX('Scenario names'!$C$3:$C$6,3),'2.4 PV (by Borough)'!AL147,"Error")))))</f>
        <v>44026941.973545723</v>
      </c>
      <c r="AM188" s="607">
        <f>IF(Dashboard!$D$6="Baseline",'2.4 PV (by Borough)'!AM24,IF(Dashboard!$D$6=INDEX('Scenario names'!$C$3:$C$6,4),'2.4 PV (by Borough)'!AM147,IF(Dashboard!$D$6=INDEX('Scenario names'!$C$3:$C$6,1),'2.4 PV (by Borough)'!AM106,IF(Dashboard!$D$6=INDEX('Scenario names'!$C$3:$C$6,2),'2.4 PV (by Borough)'!AM106,IF(Dashboard!$D$6=INDEX('Scenario names'!$C$3:$C$6,3),'2.4 PV (by Borough)'!AM147,"Error")))))</f>
        <v>45910426.170659766</v>
      </c>
      <c r="AN188" s="607">
        <f>IF(Dashboard!$D$6="Baseline",'2.4 PV (by Borough)'!AN24,IF(Dashboard!$D$6=INDEX('Scenario names'!$C$3:$C$6,4),'2.4 PV (by Borough)'!AN147,IF(Dashboard!$D$6=INDEX('Scenario names'!$C$3:$C$6,1),'2.4 PV (by Borough)'!AN106,IF(Dashboard!$D$6=INDEX('Scenario names'!$C$3:$C$6,2),'2.4 PV (by Borough)'!AN106,IF(Dashboard!$D$6=INDEX('Scenario names'!$C$3:$C$6,3),'2.4 PV (by Borough)'!AN147,"Error")))))</f>
        <v>47793910.367773816</v>
      </c>
      <c r="AO188" s="607">
        <f>IF(Dashboard!$D$6="Baseline",'2.4 PV (by Borough)'!AO24,IF(Dashboard!$D$6=INDEX('Scenario names'!$C$3:$C$6,4),'2.4 PV (by Borough)'!AO147,IF(Dashboard!$D$6=INDEX('Scenario names'!$C$3:$C$6,1),'2.4 PV (by Borough)'!AO106,IF(Dashboard!$D$6=INDEX('Scenario names'!$C$3:$C$6,2),'2.4 PV (by Borough)'!AO106,IF(Dashboard!$D$6=INDEX('Scenario names'!$C$3:$C$6,3),'2.4 PV (by Borough)'!AO147,"Error")))))</f>
        <v>49677394.564887837</v>
      </c>
      <c r="AP188" s="607">
        <f>IF(Dashboard!$D$6="Baseline",'2.4 PV (by Borough)'!AP24,IF(Dashboard!$D$6=INDEX('Scenario names'!$C$3:$C$6,4),'2.4 PV (by Borough)'!AP147,IF(Dashboard!$D$6=INDEX('Scenario names'!$C$3:$C$6,1),'2.4 PV (by Borough)'!AP106,IF(Dashboard!$D$6=INDEX('Scenario names'!$C$3:$C$6,2),'2.4 PV (by Borough)'!AP106,IF(Dashboard!$D$6=INDEX('Scenario names'!$C$3:$C$6,3),'2.4 PV (by Borough)'!AP147,"Error")))))</f>
        <v>51560878.762001894</v>
      </c>
      <c r="AQ188" s="607">
        <f>IF(Dashboard!$D$6="Baseline",'2.4 PV (by Borough)'!AQ24,IF(Dashboard!$D$6=INDEX('Scenario names'!$C$3:$C$6,4),'2.4 PV (by Borough)'!AQ147,IF(Dashboard!$D$6=INDEX('Scenario names'!$C$3:$C$6,1),'2.4 PV (by Borough)'!AQ106,IF(Dashboard!$D$6=INDEX('Scenario names'!$C$3:$C$6,2),'2.4 PV (by Borough)'!AQ106,IF(Dashboard!$D$6=INDEX('Scenario names'!$C$3:$C$6,3),'2.4 PV (by Borough)'!AQ147,"Error")))))</f>
        <v>53444362.959115922</v>
      </c>
      <c r="AR188" s="607">
        <f>IF(Dashboard!$D$6="Baseline",'2.4 PV (by Borough)'!AR24,IF(Dashboard!$D$6=INDEX('Scenario names'!$C$3:$C$6,4),'2.4 PV (by Borough)'!AR147,IF(Dashboard!$D$6=INDEX('Scenario names'!$C$3:$C$6,1),'2.4 PV (by Borough)'!AR106,IF(Dashboard!$D$6=INDEX('Scenario names'!$C$3:$C$6,2),'2.4 PV (by Borough)'!AR106,IF(Dashboard!$D$6=INDEX('Scenario names'!$C$3:$C$6,3),'2.4 PV (by Borough)'!AR147,"Error")))))</f>
        <v>55327847.156229965</v>
      </c>
      <c r="AS188" s="607">
        <f>IF(Dashboard!$D$6="Baseline",'2.4 PV (by Borough)'!AS24,IF(Dashboard!$D$6=INDEX('Scenario names'!$C$3:$C$6,4),'2.4 PV (by Borough)'!AS147,IF(Dashboard!$D$6=INDEX('Scenario names'!$C$3:$C$6,1),'2.4 PV (by Borough)'!AS106,IF(Dashboard!$D$6=INDEX('Scenario names'!$C$3:$C$6,2),'2.4 PV (by Borough)'!AS106,IF(Dashboard!$D$6=INDEX('Scenario names'!$C$3:$C$6,3),'2.4 PV (by Borough)'!AS147,"Error")))))</f>
        <v>57211331.353344008</v>
      </c>
      <c r="AT188" s="607">
        <f>IF(Dashboard!$D$6="Baseline",'2.4 PV (by Borough)'!AT24,IF(Dashboard!$D$6=INDEX('Scenario names'!$C$3:$C$6,4),'2.4 PV (by Borough)'!AT147,IF(Dashboard!$D$6=INDEX('Scenario names'!$C$3:$C$6,1),'2.4 PV (by Borough)'!AT106,IF(Dashboard!$D$6=INDEX('Scenario names'!$C$3:$C$6,2),'2.4 PV (by Borough)'!AT106,IF(Dashboard!$D$6=INDEX('Scenario names'!$C$3:$C$6,3),'2.4 PV (by Borough)'!AT147,"Error")))))</f>
        <v>59094815.550458051</v>
      </c>
      <c r="AU188" s="607">
        <f>IF(Dashboard!$D$6="Baseline",'2.4 PV (by Borough)'!AU24,IF(Dashboard!$D$6=INDEX('Scenario names'!$C$3:$C$6,4),'2.4 PV (by Borough)'!AU147,IF(Dashboard!$D$6=INDEX('Scenario names'!$C$3:$C$6,1),'2.4 PV (by Borough)'!AU106,IF(Dashboard!$D$6=INDEX('Scenario names'!$C$3:$C$6,2),'2.4 PV (by Borough)'!AU106,IF(Dashboard!$D$6=INDEX('Scenario names'!$C$3:$C$6,3),'2.4 PV (by Borough)'!AU147,"Error")))))</f>
        <v>60978299.747572102</v>
      </c>
      <c r="AV188" s="607">
        <f>IF(Dashboard!$D$6="Baseline",'2.4 PV (by Borough)'!AV24,IF(Dashboard!$D$6=INDEX('Scenario names'!$C$3:$C$6,4),'2.4 PV (by Borough)'!AV147,IF(Dashboard!$D$6=INDEX('Scenario names'!$C$3:$C$6,1),'2.4 PV (by Borough)'!AV106,IF(Dashboard!$D$6=INDEX('Scenario names'!$C$3:$C$6,2),'2.4 PV (by Borough)'!AV106,IF(Dashboard!$D$6=INDEX('Scenario names'!$C$3:$C$6,3),'2.4 PV (by Borough)'!AV147,"Error")))))</f>
        <v>62861783.944686137</v>
      </c>
      <c r="AW188" s="607">
        <f>IF(Dashboard!$D$6="Baseline",'2.4 PV (by Borough)'!AW24,IF(Dashboard!$D$6=INDEX('Scenario names'!$C$3:$C$6,4),'2.4 PV (by Borough)'!AW147,IF(Dashboard!$D$6=INDEX('Scenario names'!$C$3:$C$6,1),'2.4 PV (by Borough)'!AW106,IF(Dashboard!$D$6=INDEX('Scenario names'!$C$3:$C$6,2),'2.4 PV (by Borough)'!AW106,IF(Dashboard!$D$6=INDEX('Scenario names'!$C$3:$C$6,3),'2.4 PV (by Borough)'!AW147,"Error")))))</f>
        <v>64745268.141800202</v>
      </c>
      <c r="AX188" s="607">
        <f>IF(Dashboard!$D$6="Baseline",'2.4 PV (by Borough)'!AX24,IF(Dashboard!$D$6=INDEX('Scenario names'!$C$3:$C$6,4),'2.4 PV (by Borough)'!AX147,IF(Dashboard!$D$6=INDEX('Scenario names'!$C$3:$C$6,1),'2.4 PV (by Borough)'!AX106,IF(Dashboard!$D$6=INDEX('Scenario names'!$C$3:$C$6,2),'2.4 PV (by Borough)'!AX106,IF(Dashboard!$D$6=INDEX('Scenario names'!$C$3:$C$6,3),'2.4 PV (by Borough)'!AX147,"Error")))))</f>
        <v>66628752.338914223</v>
      </c>
      <c r="AY188" s="36"/>
      <c r="AZ188" s="36"/>
      <c r="BA188" s="36"/>
      <c r="BB188" s="36"/>
    </row>
    <row r="189" spans="4:54">
      <c r="D189" t="s">
        <v>661</v>
      </c>
      <c r="E189" t="s">
        <v>644</v>
      </c>
      <c r="G189" s="44"/>
      <c r="I189" s="44"/>
      <c r="K189" s="44"/>
      <c r="M189" s="44"/>
      <c r="O189" s="607">
        <f>IF(Dashboard!$D$6="Baseline",'2.4 PV (by Borough)'!O25,IF(Dashboard!$D$6=INDEX('Scenario names'!$C$3:$C$6,4),'2.4 PV (by Borough)'!O148,IF(Dashboard!$D$6=INDEX('Scenario names'!$C$3:$C$6,1),'2.4 PV (by Borough)'!O107,IF(Dashboard!$D$6=INDEX('Scenario names'!$C$3:$C$6,2),'2.4 PV (by Borough)'!O107,IF(Dashboard!$D$6=INDEX('Scenario names'!$C$3:$C$6,3),'2.4 PV (by Borough)'!O148,"Error")))))</f>
        <v>1694997.0313407625</v>
      </c>
      <c r="P189" s="607">
        <f>IF(Dashboard!$D$6="Baseline",'2.4 PV (by Borough)'!P25,IF(Dashboard!$D$6=INDEX('Scenario names'!$C$3:$C$6,4),'2.4 PV (by Borough)'!P148,IF(Dashboard!$D$6=INDEX('Scenario names'!$C$3:$C$6,1),'2.4 PV (by Borough)'!P107,IF(Dashboard!$D$6=INDEX('Scenario names'!$C$3:$C$6,2),'2.4 PV (by Borough)'!P107,IF(Dashboard!$D$6=INDEX('Scenario names'!$C$3:$C$6,3),'2.4 PV (by Borough)'!P148,"Error")))))</f>
        <v>2974142.0282987724</v>
      </c>
      <c r="Q189" s="607">
        <f>IF(Dashboard!$D$6="Baseline",'2.4 PV (by Borough)'!Q25,IF(Dashboard!$D$6=INDEX('Scenario names'!$C$3:$C$6,4),'2.4 PV (by Borough)'!Q148,IF(Dashboard!$D$6=INDEX('Scenario names'!$C$3:$C$6,1),'2.4 PV (by Borough)'!Q107,IF(Dashboard!$D$6=INDEX('Scenario names'!$C$3:$C$6,2),'2.4 PV (by Borough)'!Q107,IF(Dashboard!$D$6=INDEX('Scenario names'!$C$3:$C$6,3),'2.4 PV (by Borough)'!Q148,"Error")))))</f>
        <v>4253287.0252567828</v>
      </c>
      <c r="R189" s="607">
        <f>IF(Dashboard!$D$6="Baseline",'2.4 PV (by Borough)'!R25,IF(Dashboard!$D$6=INDEX('Scenario names'!$C$3:$C$6,4),'2.4 PV (by Borough)'!R148,IF(Dashboard!$D$6=INDEX('Scenario names'!$C$3:$C$6,1),'2.4 PV (by Borough)'!R107,IF(Dashboard!$D$6=INDEX('Scenario names'!$C$3:$C$6,2),'2.4 PV (by Borough)'!R107,IF(Dashboard!$D$6=INDEX('Scenario names'!$C$3:$C$6,3),'2.4 PV (by Borough)'!R148,"Error")))))</f>
        <v>5532432.0222147927</v>
      </c>
      <c r="S189" s="607">
        <f>IF(Dashboard!$D$6="Baseline",'2.4 PV (by Borough)'!S25,IF(Dashboard!$D$6=INDEX('Scenario names'!$C$3:$C$6,4),'2.4 PV (by Borough)'!S148,IF(Dashboard!$D$6=INDEX('Scenario names'!$C$3:$C$6,1),'2.4 PV (by Borough)'!S107,IF(Dashboard!$D$6=INDEX('Scenario names'!$C$3:$C$6,2),'2.4 PV (by Borough)'!S107,IF(Dashboard!$D$6=INDEX('Scenario names'!$C$3:$C$6,3),'2.4 PV (by Borough)'!S148,"Error")))))</f>
        <v>6811577.0191728026</v>
      </c>
      <c r="T189" s="607">
        <f>IF(Dashboard!$D$6="Baseline",'2.4 PV (by Borough)'!T25,IF(Dashboard!$D$6=INDEX('Scenario names'!$C$3:$C$6,4),'2.4 PV (by Borough)'!T148,IF(Dashboard!$D$6=INDEX('Scenario names'!$C$3:$C$6,1),'2.4 PV (by Borough)'!T107,IF(Dashboard!$D$6=INDEX('Scenario names'!$C$3:$C$6,2),'2.4 PV (by Borough)'!T107,IF(Dashboard!$D$6=INDEX('Scenario names'!$C$3:$C$6,3),'2.4 PV (by Borough)'!T148,"Error")))))</f>
        <v>8090722.0161308115</v>
      </c>
      <c r="U189" s="607">
        <f>IF(Dashboard!$D$6="Baseline",'2.4 PV (by Borough)'!U25,IF(Dashboard!$D$6=INDEX('Scenario names'!$C$3:$C$6,4),'2.4 PV (by Borough)'!U148,IF(Dashboard!$D$6=INDEX('Scenario names'!$C$3:$C$6,1),'2.4 PV (by Borough)'!U107,IF(Dashboard!$D$6=INDEX('Scenario names'!$C$3:$C$6,2),'2.4 PV (by Borough)'!U107,IF(Dashboard!$D$6=INDEX('Scenario names'!$C$3:$C$6,3),'2.4 PV (by Borough)'!U148,"Error")))))</f>
        <v>9369867.0130888242</v>
      </c>
      <c r="V189" s="607">
        <f>IF(Dashboard!$D$6="Baseline",'2.4 PV (by Borough)'!V25,IF(Dashboard!$D$6=INDEX('Scenario names'!$C$3:$C$6,4),'2.4 PV (by Borough)'!V148,IF(Dashboard!$D$6=INDEX('Scenario names'!$C$3:$C$6,1),'2.4 PV (by Borough)'!V107,IF(Dashboard!$D$6=INDEX('Scenario names'!$C$3:$C$6,2),'2.4 PV (by Borough)'!V107,IF(Dashboard!$D$6=INDEX('Scenario names'!$C$3:$C$6,3),'2.4 PV (by Borough)'!V148,"Error")))))</f>
        <v>10649012.010046834</v>
      </c>
      <c r="W189" s="607">
        <f>IF(Dashboard!$D$6="Baseline",'2.4 PV (by Borough)'!W25,IF(Dashboard!$D$6=INDEX('Scenario names'!$C$3:$C$6,4),'2.4 PV (by Borough)'!W148,IF(Dashboard!$D$6=INDEX('Scenario names'!$C$3:$C$6,1),'2.4 PV (by Borough)'!W107,IF(Dashboard!$D$6=INDEX('Scenario names'!$C$3:$C$6,2),'2.4 PV (by Borough)'!W107,IF(Dashboard!$D$6=INDEX('Scenario names'!$C$3:$C$6,3),'2.4 PV (by Borough)'!W148,"Error")))))</f>
        <v>11928157.00700484</v>
      </c>
      <c r="X189" s="607">
        <f>IF(Dashboard!$D$6="Baseline",'2.4 PV (by Borough)'!X25,IF(Dashboard!$D$6=INDEX('Scenario names'!$C$3:$C$6,4),'2.4 PV (by Borough)'!X148,IF(Dashboard!$D$6=INDEX('Scenario names'!$C$3:$C$6,1),'2.4 PV (by Borough)'!X107,IF(Dashboard!$D$6=INDEX('Scenario names'!$C$3:$C$6,2),'2.4 PV (by Borough)'!X107,IF(Dashboard!$D$6=INDEX('Scenario names'!$C$3:$C$6,3),'2.4 PV (by Borough)'!X148,"Error")))))</f>
        <v>13207302.003962852</v>
      </c>
      <c r="Y189" s="607">
        <f>IF(Dashboard!$D$6="Baseline",'2.4 PV (by Borough)'!Y25,IF(Dashboard!$D$6=INDEX('Scenario names'!$C$3:$C$6,4),'2.4 PV (by Borough)'!Y148,IF(Dashboard!$D$6=INDEX('Scenario names'!$C$3:$C$6,1),'2.4 PV (by Borough)'!Y107,IF(Dashboard!$D$6=INDEX('Scenario names'!$C$3:$C$6,2),'2.4 PV (by Borough)'!Y107,IF(Dashboard!$D$6=INDEX('Scenario names'!$C$3:$C$6,3),'2.4 PV (by Borough)'!Y148,"Error")))))</f>
        <v>14486447.000920862</v>
      </c>
      <c r="Z189" s="607">
        <f>IF(Dashboard!$D$6="Baseline",'2.4 PV (by Borough)'!Z25,IF(Dashboard!$D$6=INDEX('Scenario names'!$C$3:$C$6,4),'2.4 PV (by Borough)'!Z148,IF(Dashboard!$D$6=INDEX('Scenario names'!$C$3:$C$6,1),'2.4 PV (by Borough)'!Z107,IF(Dashboard!$D$6=INDEX('Scenario names'!$C$3:$C$6,2),'2.4 PV (by Borough)'!Z107,IF(Dashboard!$D$6=INDEX('Scenario names'!$C$3:$C$6,3),'2.4 PV (by Borough)'!Z148,"Error")))))</f>
        <v>15114254.093864227</v>
      </c>
      <c r="AA189" s="607">
        <f>IF(Dashboard!$D$6="Baseline",'2.4 PV (by Borough)'!AA25,IF(Dashboard!$D$6=INDEX('Scenario names'!$C$3:$C$6,4),'2.4 PV (by Borough)'!AA148,IF(Dashboard!$D$6=INDEX('Scenario names'!$C$3:$C$6,1),'2.4 PV (by Borough)'!AA107,IF(Dashboard!$D$6=INDEX('Scenario names'!$C$3:$C$6,2),'2.4 PV (by Borough)'!AA107,IF(Dashboard!$D$6=INDEX('Scenario names'!$C$3:$C$6,3),'2.4 PV (by Borough)'!AA148,"Error")))))</f>
        <v>15742061.186807601</v>
      </c>
      <c r="AB189" s="607">
        <f>IF(Dashboard!$D$6="Baseline",'2.4 PV (by Borough)'!AB25,IF(Dashboard!$D$6=INDEX('Scenario names'!$C$3:$C$6,4),'2.4 PV (by Borough)'!AB148,IF(Dashboard!$D$6=INDEX('Scenario names'!$C$3:$C$6,1),'2.4 PV (by Borough)'!AB107,IF(Dashboard!$D$6=INDEX('Scenario names'!$C$3:$C$6,2),'2.4 PV (by Borough)'!AB107,IF(Dashboard!$D$6=INDEX('Scenario names'!$C$3:$C$6,3),'2.4 PV (by Borough)'!AB148,"Error")))))</f>
        <v>16369868.279750973</v>
      </c>
      <c r="AC189" s="607">
        <f>IF(Dashboard!$D$6="Baseline",'2.4 PV (by Borough)'!AC25,IF(Dashboard!$D$6=INDEX('Scenario names'!$C$3:$C$6,4),'2.4 PV (by Borough)'!AC148,IF(Dashboard!$D$6=INDEX('Scenario names'!$C$3:$C$6,1),'2.4 PV (by Borough)'!AC107,IF(Dashboard!$D$6=INDEX('Scenario names'!$C$3:$C$6,2),'2.4 PV (by Borough)'!AC107,IF(Dashboard!$D$6=INDEX('Scenario names'!$C$3:$C$6,3),'2.4 PV (by Borough)'!AC148,"Error")))))</f>
        <v>16997675.372694332</v>
      </c>
      <c r="AD189" s="607">
        <f>IF(Dashboard!$D$6="Baseline",'2.4 PV (by Borough)'!AD25,IF(Dashboard!$D$6=INDEX('Scenario names'!$C$3:$C$6,4),'2.4 PV (by Borough)'!AD148,IF(Dashboard!$D$6=INDEX('Scenario names'!$C$3:$C$6,1),'2.4 PV (by Borough)'!AD107,IF(Dashboard!$D$6=INDEX('Scenario names'!$C$3:$C$6,2),'2.4 PV (by Borough)'!AD107,IF(Dashboard!$D$6=INDEX('Scenario names'!$C$3:$C$6,3),'2.4 PV (by Borough)'!AD148,"Error")))))</f>
        <v>17625482.465637706</v>
      </c>
      <c r="AE189" s="607">
        <f>IF(Dashboard!$D$6="Baseline",'2.4 PV (by Borough)'!AE25,IF(Dashboard!$D$6=INDEX('Scenario names'!$C$3:$C$6,4),'2.4 PV (by Borough)'!AE148,IF(Dashboard!$D$6=INDEX('Scenario names'!$C$3:$C$6,1),'2.4 PV (by Borough)'!AE107,IF(Dashboard!$D$6=INDEX('Scenario names'!$C$3:$C$6,2),'2.4 PV (by Borough)'!AE107,IF(Dashboard!$D$6=INDEX('Scenario names'!$C$3:$C$6,3),'2.4 PV (by Borough)'!AE148,"Error")))))</f>
        <v>18253289.558581069</v>
      </c>
      <c r="AF189" s="607">
        <f>IF(Dashboard!$D$6="Baseline",'2.4 PV (by Borough)'!AF25,IF(Dashboard!$D$6=INDEX('Scenario names'!$C$3:$C$6,4),'2.4 PV (by Borough)'!AF148,IF(Dashboard!$D$6=INDEX('Scenario names'!$C$3:$C$6,1),'2.4 PV (by Borough)'!AF107,IF(Dashboard!$D$6=INDEX('Scenario names'!$C$3:$C$6,2),'2.4 PV (by Borough)'!AF107,IF(Dashboard!$D$6=INDEX('Scenario names'!$C$3:$C$6,3),'2.4 PV (by Borough)'!AF148,"Error")))))</f>
        <v>18881096.651524439</v>
      </c>
      <c r="AG189" s="607">
        <f>IF(Dashboard!$D$6="Baseline",'2.4 PV (by Borough)'!AG25,IF(Dashboard!$D$6=INDEX('Scenario names'!$C$3:$C$6,4),'2.4 PV (by Borough)'!AG148,IF(Dashboard!$D$6=INDEX('Scenario names'!$C$3:$C$6,1),'2.4 PV (by Borough)'!AG107,IF(Dashboard!$D$6=INDEX('Scenario names'!$C$3:$C$6,2),'2.4 PV (by Borough)'!AG107,IF(Dashboard!$D$6=INDEX('Scenario names'!$C$3:$C$6,3),'2.4 PV (by Borough)'!AG148,"Error")))))</f>
        <v>19508903.74446781</v>
      </c>
      <c r="AH189" s="607">
        <f>IF(Dashboard!$D$6="Baseline",'2.4 PV (by Borough)'!AH25,IF(Dashboard!$D$6=INDEX('Scenario names'!$C$3:$C$6,4),'2.4 PV (by Borough)'!AH148,IF(Dashboard!$D$6=INDEX('Scenario names'!$C$3:$C$6,1),'2.4 PV (by Borough)'!AH107,IF(Dashboard!$D$6=INDEX('Scenario names'!$C$3:$C$6,2),'2.4 PV (by Borough)'!AH107,IF(Dashboard!$D$6=INDEX('Scenario names'!$C$3:$C$6,3),'2.4 PV (by Borough)'!AH148,"Error")))))</f>
        <v>20136710.83741118</v>
      </c>
      <c r="AI189" s="607">
        <f>IF(Dashboard!$D$6="Baseline",'2.4 PV (by Borough)'!AI25,IF(Dashboard!$D$6=INDEX('Scenario names'!$C$3:$C$6,4),'2.4 PV (by Borough)'!AI148,IF(Dashboard!$D$6=INDEX('Scenario names'!$C$3:$C$6,1),'2.4 PV (by Borough)'!AI107,IF(Dashboard!$D$6=INDEX('Scenario names'!$C$3:$C$6,2),'2.4 PV (by Borough)'!AI107,IF(Dashboard!$D$6=INDEX('Scenario names'!$C$3:$C$6,3),'2.4 PV (by Borough)'!AI148,"Error")))))</f>
        <v>20764517.93035455</v>
      </c>
      <c r="AJ189" s="607">
        <f>IF(Dashboard!$D$6="Baseline",'2.4 PV (by Borough)'!AJ25,IF(Dashboard!$D$6=INDEX('Scenario names'!$C$3:$C$6,4),'2.4 PV (by Borough)'!AJ148,IF(Dashboard!$D$6=INDEX('Scenario names'!$C$3:$C$6,1),'2.4 PV (by Borough)'!AJ107,IF(Dashboard!$D$6=INDEX('Scenario names'!$C$3:$C$6,2),'2.4 PV (by Borough)'!AJ107,IF(Dashboard!$D$6=INDEX('Scenario names'!$C$3:$C$6,3),'2.4 PV (by Borough)'!AJ148,"Error")))))</f>
        <v>21392325.023297917</v>
      </c>
      <c r="AK189" s="607">
        <f>IF(Dashboard!$D$6="Baseline",'2.4 PV (by Borough)'!AK25,IF(Dashboard!$D$6=INDEX('Scenario names'!$C$3:$C$6,4),'2.4 PV (by Borough)'!AK148,IF(Dashboard!$D$6=INDEX('Scenario names'!$C$3:$C$6,1),'2.4 PV (by Borough)'!AK107,IF(Dashboard!$D$6=INDEX('Scenario names'!$C$3:$C$6,2),'2.4 PV (by Borough)'!AK107,IF(Dashboard!$D$6=INDEX('Scenario names'!$C$3:$C$6,3),'2.4 PV (by Borough)'!AK148,"Error")))))</f>
        <v>22020132.116241284</v>
      </c>
      <c r="AL189" s="607">
        <f>IF(Dashboard!$D$6="Baseline",'2.4 PV (by Borough)'!AL25,IF(Dashboard!$D$6=INDEX('Scenario names'!$C$3:$C$6,4),'2.4 PV (by Borough)'!AL148,IF(Dashboard!$D$6=INDEX('Scenario names'!$C$3:$C$6,1),'2.4 PV (by Borough)'!AL107,IF(Dashboard!$D$6=INDEX('Scenario names'!$C$3:$C$6,2),'2.4 PV (by Borough)'!AL107,IF(Dashboard!$D$6=INDEX('Scenario names'!$C$3:$C$6,3),'2.4 PV (by Borough)'!AL148,"Error")))))</f>
        <v>22647939.20918465</v>
      </c>
      <c r="AM189" s="607">
        <f>IF(Dashboard!$D$6="Baseline",'2.4 PV (by Borough)'!AM25,IF(Dashboard!$D$6=INDEX('Scenario names'!$C$3:$C$6,4),'2.4 PV (by Borough)'!AM148,IF(Dashboard!$D$6=INDEX('Scenario names'!$C$3:$C$6,1),'2.4 PV (by Borough)'!AM107,IF(Dashboard!$D$6=INDEX('Scenario names'!$C$3:$C$6,2),'2.4 PV (by Borough)'!AM107,IF(Dashboard!$D$6=INDEX('Scenario names'!$C$3:$C$6,3),'2.4 PV (by Borough)'!AM148,"Error")))))</f>
        <v>23275746.302128024</v>
      </c>
      <c r="AN189" s="607">
        <f>IF(Dashboard!$D$6="Baseline",'2.4 PV (by Borough)'!AN25,IF(Dashboard!$D$6=INDEX('Scenario names'!$C$3:$C$6,4),'2.4 PV (by Borough)'!AN148,IF(Dashboard!$D$6=INDEX('Scenario names'!$C$3:$C$6,1),'2.4 PV (by Borough)'!AN107,IF(Dashboard!$D$6=INDEX('Scenario names'!$C$3:$C$6,2),'2.4 PV (by Borough)'!AN107,IF(Dashboard!$D$6=INDEX('Scenario names'!$C$3:$C$6,3),'2.4 PV (by Borough)'!AN148,"Error")))))</f>
        <v>23903553.395071387</v>
      </c>
      <c r="AO189" s="607">
        <f>IF(Dashboard!$D$6="Baseline",'2.4 PV (by Borough)'!AO25,IF(Dashboard!$D$6=INDEX('Scenario names'!$C$3:$C$6,4),'2.4 PV (by Borough)'!AO148,IF(Dashboard!$D$6=INDEX('Scenario names'!$C$3:$C$6,1),'2.4 PV (by Borough)'!AO107,IF(Dashboard!$D$6=INDEX('Scenario names'!$C$3:$C$6,2),'2.4 PV (by Borough)'!AO107,IF(Dashboard!$D$6=INDEX('Scenario names'!$C$3:$C$6,3),'2.4 PV (by Borough)'!AO148,"Error")))))</f>
        <v>24531360.488014761</v>
      </c>
      <c r="AP189" s="607">
        <f>IF(Dashboard!$D$6="Baseline",'2.4 PV (by Borough)'!AP25,IF(Dashboard!$D$6=INDEX('Scenario names'!$C$3:$C$6,4),'2.4 PV (by Borough)'!AP148,IF(Dashboard!$D$6=INDEX('Scenario names'!$C$3:$C$6,1),'2.4 PV (by Borough)'!AP107,IF(Dashboard!$D$6=INDEX('Scenario names'!$C$3:$C$6,2),'2.4 PV (by Borough)'!AP107,IF(Dashboard!$D$6=INDEX('Scenario names'!$C$3:$C$6,3),'2.4 PV (by Borough)'!AP148,"Error")))))</f>
        <v>25159167.580958124</v>
      </c>
      <c r="AQ189" s="607">
        <f>IF(Dashboard!$D$6="Baseline",'2.4 PV (by Borough)'!AQ25,IF(Dashboard!$D$6=INDEX('Scenario names'!$C$3:$C$6,4),'2.4 PV (by Borough)'!AQ148,IF(Dashboard!$D$6=INDEX('Scenario names'!$C$3:$C$6,1),'2.4 PV (by Borough)'!AQ107,IF(Dashboard!$D$6=INDEX('Scenario names'!$C$3:$C$6,2),'2.4 PV (by Borough)'!AQ107,IF(Dashboard!$D$6=INDEX('Scenario names'!$C$3:$C$6,3),'2.4 PV (by Borough)'!AQ148,"Error")))))</f>
        <v>25786974.673901495</v>
      </c>
      <c r="AR189" s="607">
        <f>IF(Dashboard!$D$6="Baseline",'2.4 PV (by Borough)'!AR25,IF(Dashboard!$D$6=INDEX('Scenario names'!$C$3:$C$6,4),'2.4 PV (by Borough)'!AR148,IF(Dashboard!$D$6=INDEX('Scenario names'!$C$3:$C$6,1),'2.4 PV (by Borough)'!AR107,IF(Dashboard!$D$6=INDEX('Scenario names'!$C$3:$C$6,2),'2.4 PV (by Borough)'!AR107,IF(Dashboard!$D$6=INDEX('Scenario names'!$C$3:$C$6,3),'2.4 PV (by Borough)'!AR148,"Error")))))</f>
        <v>26414781.766844872</v>
      </c>
      <c r="AS189" s="607">
        <f>IF(Dashboard!$D$6="Baseline",'2.4 PV (by Borough)'!AS25,IF(Dashboard!$D$6=INDEX('Scenario names'!$C$3:$C$6,4),'2.4 PV (by Borough)'!AS148,IF(Dashboard!$D$6=INDEX('Scenario names'!$C$3:$C$6,1),'2.4 PV (by Borough)'!AS107,IF(Dashboard!$D$6=INDEX('Scenario names'!$C$3:$C$6,2),'2.4 PV (by Borough)'!AS107,IF(Dashboard!$D$6=INDEX('Scenario names'!$C$3:$C$6,3),'2.4 PV (by Borough)'!AS148,"Error")))))</f>
        <v>27042588.859788228</v>
      </c>
      <c r="AT189" s="607">
        <f>IF(Dashboard!$D$6="Baseline",'2.4 PV (by Borough)'!AT25,IF(Dashboard!$D$6=INDEX('Scenario names'!$C$3:$C$6,4),'2.4 PV (by Borough)'!AT148,IF(Dashboard!$D$6=INDEX('Scenario names'!$C$3:$C$6,1),'2.4 PV (by Borough)'!AT107,IF(Dashboard!$D$6=INDEX('Scenario names'!$C$3:$C$6,2),'2.4 PV (by Borough)'!AT107,IF(Dashboard!$D$6=INDEX('Scenario names'!$C$3:$C$6,3),'2.4 PV (by Borough)'!AT148,"Error")))))</f>
        <v>27670395.952731598</v>
      </c>
      <c r="AU189" s="607">
        <f>IF(Dashboard!$D$6="Baseline",'2.4 PV (by Borough)'!AU25,IF(Dashboard!$D$6=INDEX('Scenario names'!$C$3:$C$6,4),'2.4 PV (by Borough)'!AU148,IF(Dashboard!$D$6=INDEX('Scenario names'!$C$3:$C$6,1),'2.4 PV (by Borough)'!AU107,IF(Dashboard!$D$6=INDEX('Scenario names'!$C$3:$C$6,2),'2.4 PV (by Borough)'!AU107,IF(Dashboard!$D$6=INDEX('Scenario names'!$C$3:$C$6,3),'2.4 PV (by Borough)'!AU148,"Error")))))</f>
        <v>28298203.045674961</v>
      </c>
      <c r="AV189" s="607">
        <f>IF(Dashboard!$D$6="Baseline",'2.4 PV (by Borough)'!AV25,IF(Dashboard!$D$6=INDEX('Scenario names'!$C$3:$C$6,4),'2.4 PV (by Borough)'!AV148,IF(Dashboard!$D$6=INDEX('Scenario names'!$C$3:$C$6,1),'2.4 PV (by Borough)'!AV107,IF(Dashboard!$D$6=INDEX('Scenario names'!$C$3:$C$6,2),'2.4 PV (by Borough)'!AV107,IF(Dashboard!$D$6=INDEX('Scenario names'!$C$3:$C$6,3),'2.4 PV (by Borough)'!AV148,"Error")))))</f>
        <v>28926010.138618335</v>
      </c>
      <c r="AW189" s="607">
        <f>IF(Dashboard!$D$6="Baseline",'2.4 PV (by Borough)'!AW25,IF(Dashboard!$D$6=INDEX('Scenario names'!$C$3:$C$6,4),'2.4 PV (by Borough)'!AW148,IF(Dashboard!$D$6=INDEX('Scenario names'!$C$3:$C$6,1),'2.4 PV (by Borough)'!AW107,IF(Dashboard!$D$6=INDEX('Scenario names'!$C$3:$C$6,2),'2.4 PV (by Borough)'!AW107,IF(Dashboard!$D$6=INDEX('Scenario names'!$C$3:$C$6,3),'2.4 PV (by Borough)'!AW148,"Error")))))</f>
        <v>29553817.231561709</v>
      </c>
      <c r="AX189" s="607">
        <f>IF(Dashboard!$D$6="Baseline",'2.4 PV (by Borough)'!AX25,IF(Dashboard!$D$6=INDEX('Scenario names'!$C$3:$C$6,4),'2.4 PV (by Borough)'!AX148,IF(Dashboard!$D$6=INDEX('Scenario names'!$C$3:$C$6,1),'2.4 PV (by Borough)'!AX107,IF(Dashboard!$D$6=INDEX('Scenario names'!$C$3:$C$6,2),'2.4 PV (by Borough)'!AX107,IF(Dashboard!$D$6=INDEX('Scenario names'!$C$3:$C$6,3),'2.4 PV (by Borough)'!AX148,"Error")))))</f>
        <v>30181624.324505068</v>
      </c>
      <c r="AY189" s="36"/>
      <c r="AZ189" s="36"/>
      <c r="BA189" s="36"/>
      <c r="BB189" s="36"/>
    </row>
    <row r="190" spans="4:54">
      <c r="D190" t="s">
        <v>660</v>
      </c>
      <c r="E190" t="s">
        <v>645</v>
      </c>
      <c r="G190" s="44"/>
      <c r="I190" s="44"/>
      <c r="K190" s="44"/>
      <c r="M190" s="44"/>
      <c r="O190" s="607">
        <f>IF(Dashboard!$D$6="Baseline",'2.4 PV (by Borough)'!O26,IF(Dashboard!$D$6=INDEX('Scenario names'!$C$3:$C$6,4),'2.4 PV (by Borough)'!O149,IF(Dashboard!$D$6=INDEX('Scenario names'!$C$3:$C$6,1),'2.4 PV (by Borough)'!O108,IF(Dashboard!$D$6=INDEX('Scenario names'!$C$3:$C$6,2),'2.4 PV (by Borough)'!O108,IF(Dashboard!$D$6=INDEX('Scenario names'!$C$3:$C$6,3),'2.4 PV (by Borough)'!O149,"Error")))))</f>
        <v>446870.20802475972</v>
      </c>
      <c r="P190" s="607">
        <f>IF(Dashboard!$D$6="Baseline",'2.4 PV (by Borough)'!P26,IF(Dashboard!$D$6=INDEX('Scenario names'!$C$3:$C$6,4),'2.4 PV (by Borough)'!P149,IF(Dashboard!$D$6=INDEX('Scenario names'!$C$3:$C$6,1),'2.4 PV (by Borough)'!P108,IF(Dashboard!$D$6=INDEX('Scenario names'!$C$3:$C$6,2),'2.4 PV (by Borough)'!P108,IF(Dashboard!$D$6=INDEX('Scenario names'!$C$3:$C$6,3),'2.4 PV (by Borough)'!P149,"Error")))))</f>
        <v>792192.51447550207</v>
      </c>
      <c r="Q190" s="607">
        <f>IF(Dashboard!$D$6="Baseline",'2.4 PV (by Borough)'!Q26,IF(Dashboard!$D$6=INDEX('Scenario names'!$C$3:$C$6,4),'2.4 PV (by Borough)'!Q149,IF(Dashboard!$D$6=INDEX('Scenario names'!$C$3:$C$6,1),'2.4 PV (by Borough)'!Q108,IF(Dashboard!$D$6=INDEX('Scenario names'!$C$3:$C$6,2),'2.4 PV (by Borough)'!Q108,IF(Dashboard!$D$6=INDEX('Scenario names'!$C$3:$C$6,3),'2.4 PV (by Borough)'!Q149,"Error")))))</f>
        <v>1137514.8209262446</v>
      </c>
      <c r="R190" s="607">
        <f>IF(Dashboard!$D$6="Baseline",'2.4 PV (by Borough)'!R26,IF(Dashboard!$D$6=INDEX('Scenario names'!$C$3:$C$6,4),'2.4 PV (by Borough)'!R149,IF(Dashboard!$D$6=INDEX('Scenario names'!$C$3:$C$6,1),'2.4 PV (by Borough)'!R108,IF(Dashboard!$D$6=INDEX('Scenario names'!$C$3:$C$6,2),'2.4 PV (by Borough)'!R108,IF(Dashboard!$D$6=INDEX('Scenario names'!$C$3:$C$6,3),'2.4 PV (by Borough)'!R149,"Error")))))</f>
        <v>1482837.1273769869</v>
      </c>
      <c r="S190" s="607">
        <f>IF(Dashboard!$D$6="Baseline",'2.4 PV (by Borough)'!S26,IF(Dashboard!$D$6=INDEX('Scenario names'!$C$3:$C$6,4),'2.4 PV (by Borough)'!S149,IF(Dashboard!$D$6=INDEX('Scenario names'!$C$3:$C$6,1),'2.4 PV (by Borough)'!S108,IF(Dashboard!$D$6=INDEX('Scenario names'!$C$3:$C$6,2),'2.4 PV (by Borough)'!S108,IF(Dashboard!$D$6=INDEX('Scenario names'!$C$3:$C$6,3),'2.4 PV (by Borough)'!S149,"Error")))))</f>
        <v>1828159.4338277292</v>
      </c>
      <c r="T190" s="607">
        <f>IF(Dashboard!$D$6="Baseline",'2.4 PV (by Borough)'!T26,IF(Dashboard!$D$6=INDEX('Scenario names'!$C$3:$C$6,4),'2.4 PV (by Borough)'!T149,IF(Dashboard!$D$6=INDEX('Scenario names'!$C$3:$C$6,1),'2.4 PV (by Borough)'!T108,IF(Dashboard!$D$6=INDEX('Scenario names'!$C$3:$C$6,2),'2.4 PV (by Borough)'!T108,IF(Dashboard!$D$6=INDEX('Scenario names'!$C$3:$C$6,3),'2.4 PV (by Borough)'!T149,"Error")))))</f>
        <v>2173481.7402784717</v>
      </c>
      <c r="U190" s="607">
        <f>IF(Dashboard!$D$6="Baseline",'2.4 PV (by Borough)'!U26,IF(Dashboard!$D$6=INDEX('Scenario names'!$C$3:$C$6,4),'2.4 PV (by Borough)'!U149,IF(Dashboard!$D$6=INDEX('Scenario names'!$C$3:$C$6,1),'2.4 PV (by Borough)'!U108,IF(Dashboard!$D$6=INDEX('Scenario names'!$C$3:$C$6,2),'2.4 PV (by Borough)'!U108,IF(Dashboard!$D$6=INDEX('Scenario names'!$C$3:$C$6,3),'2.4 PV (by Borough)'!U149,"Error")))))</f>
        <v>2518804.0467292145</v>
      </c>
      <c r="V190" s="607">
        <f>IF(Dashboard!$D$6="Baseline",'2.4 PV (by Borough)'!V26,IF(Dashboard!$D$6=INDEX('Scenario names'!$C$3:$C$6,4),'2.4 PV (by Borough)'!V149,IF(Dashboard!$D$6=INDEX('Scenario names'!$C$3:$C$6,1),'2.4 PV (by Borough)'!V108,IF(Dashboard!$D$6=INDEX('Scenario names'!$C$3:$C$6,2),'2.4 PV (by Borough)'!V108,IF(Dashboard!$D$6=INDEX('Scenario names'!$C$3:$C$6,3),'2.4 PV (by Borough)'!V149,"Error")))))</f>
        <v>2864126.3531799563</v>
      </c>
      <c r="W190" s="607">
        <f>IF(Dashboard!$D$6="Baseline",'2.4 PV (by Borough)'!W26,IF(Dashboard!$D$6=INDEX('Scenario names'!$C$3:$C$6,4),'2.4 PV (by Borough)'!W149,IF(Dashboard!$D$6=INDEX('Scenario names'!$C$3:$C$6,1),'2.4 PV (by Borough)'!W108,IF(Dashboard!$D$6=INDEX('Scenario names'!$C$3:$C$6,2),'2.4 PV (by Borough)'!W108,IF(Dashboard!$D$6=INDEX('Scenario names'!$C$3:$C$6,3),'2.4 PV (by Borough)'!W149,"Error")))))</f>
        <v>3209448.6596306986</v>
      </c>
      <c r="X190" s="607">
        <f>IF(Dashboard!$D$6="Baseline",'2.4 PV (by Borough)'!X26,IF(Dashboard!$D$6=INDEX('Scenario names'!$C$3:$C$6,4),'2.4 PV (by Borough)'!X149,IF(Dashboard!$D$6=INDEX('Scenario names'!$C$3:$C$6,1),'2.4 PV (by Borough)'!X108,IF(Dashboard!$D$6=INDEX('Scenario names'!$C$3:$C$6,2),'2.4 PV (by Borough)'!X108,IF(Dashboard!$D$6=INDEX('Scenario names'!$C$3:$C$6,3),'2.4 PV (by Borough)'!X149,"Error")))))</f>
        <v>3554770.9660814409</v>
      </c>
      <c r="Y190" s="607">
        <f>IF(Dashboard!$D$6="Baseline",'2.4 PV (by Borough)'!Y26,IF(Dashboard!$D$6=INDEX('Scenario names'!$C$3:$C$6,4),'2.4 PV (by Borough)'!Y149,IF(Dashboard!$D$6=INDEX('Scenario names'!$C$3:$C$6,1),'2.4 PV (by Borough)'!Y108,IF(Dashboard!$D$6=INDEX('Scenario names'!$C$3:$C$6,2),'2.4 PV (by Borough)'!Y108,IF(Dashboard!$D$6=INDEX('Scenario names'!$C$3:$C$6,3),'2.4 PV (by Borough)'!Y149,"Error")))))</f>
        <v>3900093.2725321837</v>
      </c>
      <c r="Z190" s="607">
        <f>IF(Dashboard!$D$6="Baseline",'2.4 PV (by Borough)'!Z26,IF(Dashboard!$D$6=INDEX('Scenario names'!$C$3:$C$6,4),'2.4 PV (by Borough)'!Z149,IF(Dashboard!$D$6=INDEX('Scenario names'!$C$3:$C$6,1),'2.4 PV (by Borough)'!Z108,IF(Dashboard!$D$6=INDEX('Scenario names'!$C$3:$C$6,2),'2.4 PV (by Borough)'!Z108,IF(Dashboard!$D$6=INDEX('Scenario names'!$C$3:$C$6,3),'2.4 PV (by Borough)'!Z149,"Error")))))</f>
        <v>4127525.8923822241</v>
      </c>
      <c r="AA190" s="607">
        <f>IF(Dashboard!$D$6="Baseline",'2.4 PV (by Borough)'!AA26,IF(Dashboard!$D$6=INDEX('Scenario names'!$C$3:$C$6,4),'2.4 PV (by Borough)'!AA149,IF(Dashboard!$D$6=INDEX('Scenario names'!$C$3:$C$6,1),'2.4 PV (by Borough)'!AA108,IF(Dashboard!$D$6=INDEX('Scenario names'!$C$3:$C$6,2),'2.4 PV (by Borough)'!AA108,IF(Dashboard!$D$6=INDEX('Scenario names'!$C$3:$C$6,3),'2.4 PV (by Borough)'!AA149,"Error")))))</f>
        <v>4354958.5122322636</v>
      </c>
      <c r="AB190" s="607">
        <f>IF(Dashboard!$D$6="Baseline",'2.4 PV (by Borough)'!AB26,IF(Dashboard!$D$6=INDEX('Scenario names'!$C$3:$C$6,4),'2.4 PV (by Borough)'!AB149,IF(Dashboard!$D$6=INDEX('Scenario names'!$C$3:$C$6,1),'2.4 PV (by Borough)'!AB108,IF(Dashboard!$D$6=INDEX('Scenario names'!$C$3:$C$6,2),'2.4 PV (by Borough)'!AB108,IF(Dashboard!$D$6=INDEX('Scenario names'!$C$3:$C$6,3),'2.4 PV (by Borough)'!AB149,"Error")))))</f>
        <v>4582391.132082304</v>
      </c>
      <c r="AC190" s="607">
        <f>IF(Dashboard!$D$6="Baseline",'2.4 PV (by Borough)'!AC26,IF(Dashboard!$D$6=INDEX('Scenario names'!$C$3:$C$6,4),'2.4 PV (by Borough)'!AC149,IF(Dashboard!$D$6=INDEX('Scenario names'!$C$3:$C$6,1),'2.4 PV (by Borough)'!AC108,IF(Dashboard!$D$6=INDEX('Scenario names'!$C$3:$C$6,2),'2.4 PV (by Borough)'!AC108,IF(Dashboard!$D$6=INDEX('Scenario names'!$C$3:$C$6,3),'2.4 PV (by Borough)'!AC149,"Error")))))</f>
        <v>4809823.7519323453</v>
      </c>
      <c r="AD190" s="607">
        <f>IF(Dashboard!$D$6="Baseline",'2.4 PV (by Borough)'!AD26,IF(Dashboard!$D$6=INDEX('Scenario names'!$C$3:$C$6,4),'2.4 PV (by Borough)'!AD149,IF(Dashboard!$D$6=INDEX('Scenario names'!$C$3:$C$6,1),'2.4 PV (by Borough)'!AD108,IF(Dashboard!$D$6=INDEX('Scenario names'!$C$3:$C$6,2),'2.4 PV (by Borough)'!AD108,IF(Dashboard!$D$6=INDEX('Scenario names'!$C$3:$C$6,3),'2.4 PV (by Borough)'!AD149,"Error")))))</f>
        <v>5037256.3717823848</v>
      </c>
      <c r="AE190" s="607">
        <f>IF(Dashboard!$D$6="Baseline",'2.4 PV (by Borough)'!AE26,IF(Dashboard!$D$6=INDEX('Scenario names'!$C$3:$C$6,4),'2.4 PV (by Borough)'!AE149,IF(Dashboard!$D$6=INDEX('Scenario names'!$C$3:$C$6,1),'2.4 PV (by Borough)'!AE108,IF(Dashboard!$D$6=INDEX('Scenario names'!$C$3:$C$6,2),'2.4 PV (by Borough)'!AE108,IF(Dashboard!$D$6=INDEX('Scenario names'!$C$3:$C$6,3),'2.4 PV (by Borough)'!AE149,"Error")))))</f>
        <v>5264688.9916324243</v>
      </c>
      <c r="AF190" s="607">
        <f>IF(Dashboard!$D$6="Baseline",'2.4 PV (by Borough)'!AF26,IF(Dashboard!$D$6=INDEX('Scenario names'!$C$3:$C$6,4),'2.4 PV (by Borough)'!AF149,IF(Dashboard!$D$6=INDEX('Scenario names'!$C$3:$C$6,1),'2.4 PV (by Borough)'!AF108,IF(Dashboard!$D$6=INDEX('Scenario names'!$C$3:$C$6,2),'2.4 PV (by Borough)'!AF108,IF(Dashboard!$D$6=INDEX('Scenario names'!$C$3:$C$6,3),'2.4 PV (by Borough)'!AF149,"Error")))))</f>
        <v>5492121.6114824656</v>
      </c>
      <c r="AG190" s="607">
        <f>IF(Dashboard!$D$6="Baseline",'2.4 PV (by Borough)'!AG26,IF(Dashboard!$D$6=INDEX('Scenario names'!$C$3:$C$6,4),'2.4 PV (by Borough)'!AG149,IF(Dashboard!$D$6=INDEX('Scenario names'!$C$3:$C$6,1),'2.4 PV (by Borough)'!AG108,IF(Dashboard!$D$6=INDEX('Scenario names'!$C$3:$C$6,2),'2.4 PV (by Borough)'!AG108,IF(Dashboard!$D$6=INDEX('Scenario names'!$C$3:$C$6,3),'2.4 PV (by Borough)'!AG149,"Error")))))</f>
        <v>5719554.2313325051</v>
      </c>
      <c r="AH190" s="607">
        <f>IF(Dashboard!$D$6="Baseline",'2.4 PV (by Borough)'!AH26,IF(Dashboard!$D$6=INDEX('Scenario names'!$C$3:$C$6,4),'2.4 PV (by Borough)'!AH149,IF(Dashboard!$D$6=INDEX('Scenario names'!$C$3:$C$6,1),'2.4 PV (by Borough)'!AH108,IF(Dashboard!$D$6=INDEX('Scenario names'!$C$3:$C$6,2),'2.4 PV (by Borough)'!AH108,IF(Dashboard!$D$6=INDEX('Scenario names'!$C$3:$C$6,3),'2.4 PV (by Borough)'!AH149,"Error")))))</f>
        <v>5946986.8511825465</v>
      </c>
      <c r="AI190" s="607">
        <f>IF(Dashboard!$D$6="Baseline",'2.4 PV (by Borough)'!AI26,IF(Dashboard!$D$6=INDEX('Scenario names'!$C$3:$C$6,4),'2.4 PV (by Borough)'!AI149,IF(Dashboard!$D$6=INDEX('Scenario names'!$C$3:$C$6,1),'2.4 PV (by Borough)'!AI108,IF(Dashboard!$D$6=INDEX('Scenario names'!$C$3:$C$6,2),'2.4 PV (by Borough)'!AI108,IF(Dashboard!$D$6=INDEX('Scenario names'!$C$3:$C$6,3),'2.4 PV (by Borough)'!AI149,"Error")))))</f>
        <v>6174419.4710325859</v>
      </c>
      <c r="AJ190" s="607">
        <f>IF(Dashboard!$D$6="Baseline",'2.4 PV (by Borough)'!AJ26,IF(Dashboard!$D$6=INDEX('Scenario names'!$C$3:$C$6,4),'2.4 PV (by Borough)'!AJ149,IF(Dashboard!$D$6=INDEX('Scenario names'!$C$3:$C$6,1),'2.4 PV (by Borough)'!AJ108,IF(Dashboard!$D$6=INDEX('Scenario names'!$C$3:$C$6,2),'2.4 PV (by Borough)'!AJ108,IF(Dashboard!$D$6=INDEX('Scenario names'!$C$3:$C$6,3),'2.4 PV (by Borough)'!AJ149,"Error")))))</f>
        <v>6401852.0908826264</v>
      </c>
      <c r="AK190" s="607">
        <f>IF(Dashboard!$D$6="Baseline",'2.4 PV (by Borough)'!AK26,IF(Dashboard!$D$6=INDEX('Scenario names'!$C$3:$C$6,4),'2.4 PV (by Borough)'!AK149,IF(Dashboard!$D$6=INDEX('Scenario names'!$C$3:$C$6,1),'2.4 PV (by Borough)'!AK108,IF(Dashboard!$D$6=INDEX('Scenario names'!$C$3:$C$6,2),'2.4 PV (by Borough)'!AK108,IF(Dashboard!$D$6=INDEX('Scenario names'!$C$3:$C$6,3),'2.4 PV (by Borough)'!AK149,"Error")))))</f>
        <v>6629284.7107326677</v>
      </c>
      <c r="AL190" s="607">
        <f>IF(Dashboard!$D$6="Baseline",'2.4 PV (by Borough)'!AL26,IF(Dashboard!$D$6=INDEX('Scenario names'!$C$3:$C$6,4),'2.4 PV (by Borough)'!AL149,IF(Dashboard!$D$6=INDEX('Scenario names'!$C$3:$C$6,1),'2.4 PV (by Borough)'!AL108,IF(Dashboard!$D$6=INDEX('Scenario names'!$C$3:$C$6,2),'2.4 PV (by Borough)'!AL108,IF(Dashboard!$D$6=INDEX('Scenario names'!$C$3:$C$6,3),'2.4 PV (by Borough)'!AL149,"Error")))))</f>
        <v>6856717.3305827063</v>
      </c>
      <c r="AM190" s="607">
        <f>IF(Dashboard!$D$6="Baseline",'2.4 PV (by Borough)'!AM26,IF(Dashboard!$D$6=INDEX('Scenario names'!$C$3:$C$6,4),'2.4 PV (by Borough)'!AM149,IF(Dashboard!$D$6=INDEX('Scenario names'!$C$3:$C$6,1),'2.4 PV (by Borough)'!AM108,IF(Dashboard!$D$6=INDEX('Scenario names'!$C$3:$C$6,2),'2.4 PV (by Borough)'!AM108,IF(Dashboard!$D$6=INDEX('Scenario names'!$C$3:$C$6,3),'2.4 PV (by Borough)'!AM149,"Error")))))</f>
        <v>7084149.9504327457</v>
      </c>
      <c r="AN190" s="607">
        <f>IF(Dashboard!$D$6="Baseline",'2.4 PV (by Borough)'!AN26,IF(Dashboard!$D$6=INDEX('Scenario names'!$C$3:$C$6,4),'2.4 PV (by Borough)'!AN149,IF(Dashboard!$D$6=INDEX('Scenario names'!$C$3:$C$6,1),'2.4 PV (by Borough)'!AN108,IF(Dashboard!$D$6=INDEX('Scenario names'!$C$3:$C$6,2),'2.4 PV (by Borough)'!AN108,IF(Dashboard!$D$6=INDEX('Scenario names'!$C$3:$C$6,3),'2.4 PV (by Borough)'!AN149,"Error")))))</f>
        <v>7311582.5702827871</v>
      </c>
      <c r="AO190" s="607">
        <f>IF(Dashboard!$D$6="Baseline",'2.4 PV (by Borough)'!AO26,IF(Dashboard!$D$6=INDEX('Scenario names'!$C$3:$C$6,4),'2.4 PV (by Borough)'!AO149,IF(Dashboard!$D$6=INDEX('Scenario names'!$C$3:$C$6,1),'2.4 PV (by Borough)'!AO108,IF(Dashboard!$D$6=INDEX('Scenario names'!$C$3:$C$6,2),'2.4 PV (by Borough)'!AO108,IF(Dashboard!$D$6=INDEX('Scenario names'!$C$3:$C$6,3),'2.4 PV (by Borough)'!AO149,"Error")))))</f>
        <v>7539015.1901328275</v>
      </c>
      <c r="AP190" s="607">
        <f>IF(Dashboard!$D$6="Baseline",'2.4 PV (by Borough)'!AP26,IF(Dashboard!$D$6=INDEX('Scenario names'!$C$3:$C$6,4),'2.4 PV (by Borough)'!AP149,IF(Dashboard!$D$6=INDEX('Scenario names'!$C$3:$C$6,1),'2.4 PV (by Borough)'!AP108,IF(Dashboard!$D$6=INDEX('Scenario names'!$C$3:$C$6,2),'2.4 PV (by Borough)'!AP108,IF(Dashboard!$D$6=INDEX('Scenario names'!$C$3:$C$6,3),'2.4 PV (by Borough)'!AP149,"Error")))))</f>
        <v>7766447.809982867</v>
      </c>
      <c r="AQ190" s="607">
        <f>IF(Dashboard!$D$6="Baseline",'2.4 PV (by Borough)'!AQ26,IF(Dashboard!$D$6=INDEX('Scenario names'!$C$3:$C$6,4),'2.4 PV (by Borough)'!AQ149,IF(Dashboard!$D$6=INDEX('Scenario names'!$C$3:$C$6,1),'2.4 PV (by Borough)'!AQ108,IF(Dashboard!$D$6=INDEX('Scenario names'!$C$3:$C$6,2),'2.4 PV (by Borough)'!AQ108,IF(Dashboard!$D$6=INDEX('Scenario names'!$C$3:$C$6,3),'2.4 PV (by Borough)'!AQ149,"Error")))))</f>
        <v>7993880.4298329074</v>
      </c>
      <c r="AR190" s="607">
        <f>IF(Dashboard!$D$6="Baseline",'2.4 PV (by Borough)'!AR26,IF(Dashboard!$D$6=INDEX('Scenario names'!$C$3:$C$6,4),'2.4 PV (by Borough)'!AR149,IF(Dashboard!$D$6=INDEX('Scenario names'!$C$3:$C$6,1),'2.4 PV (by Borough)'!AR108,IF(Dashboard!$D$6=INDEX('Scenario names'!$C$3:$C$6,2),'2.4 PV (by Borough)'!AR108,IF(Dashboard!$D$6=INDEX('Scenario names'!$C$3:$C$6,3),'2.4 PV (by Borough)'!AR149,"Error")))))</f>
        <v>8221313.0496829487</v>
      </c>
      <c r="AS190" s="607">
        <f>IF(Dashboard!$D$6="Baseline",'2.4 PV (by Borough)'!AS26,IF(Dashboard!$D$6=INDEX('Scenario names'!$C$3:$C$6,4),'2.4 PV (by Borough)'!AS149,IF(Dashboard!$D$6=INDEX('Scenario names'!$C$3:$C$6,1),'2.4 PV (by Borough)'!AS108,IF(Dashboard!$D$6=INDEX('Scenario names'!$C$3:$C$6,2),'2.4 PV (by Borough)'!AS108,IF(Dashboard!$D$6=INDEX('Scenario names'!$C$3:$C$6,3),'2.4 PV (by Borough)'!AS149,"Error")))))</f>
        <v>8448745.6695329882</v>
      </c>
      <c r="AT190" s="607">
        <f>IF(Dashboard!$D$6="Baseline",'2.4 PV (by Borough)'!AT26,IF(Dashboard!$D$6=INDEX('Scenario names'!$C$3:$C$6,4),'2.4 PV (by Borough)'!AT149,IF(Dashboard!$D$6=INDEX('Scenario names'!$C$3:$C$6,1),'2.4 PV (by Borough)'!AT108,IF(Dashboard!$D$6=INDEX('Scenario names'!$C$3:$C$6,2),'2.4 PV (by Borough)'!AT108,IF(Dashboard!$D$6=INDEX('Scenario names'!$C$3:$C$6,3),'2.4 PV (by Borough)'!AT149,"Error")))))</f>
        <v>8676178.2893830277</v>
      </c>
      <c r="AU190" s="607">
        <f>IF(Dashboard!$D$6="Baseline",'2.4 PV (by Borough)'!AU26,IF(Dashboard!$D$6=INDEX('Scenario names'!$C$3:$C$6,4),'2.4 PV (by Borough)'!AU149,IF(Dashboard!$D$6=INDEX('Scenario names'!$C$3:$C$6,1),'2.4 PV (by Borough)'!AU108,IF(Dashboard!$D$6=INDEX('Scenario names'!$C$3:$C$6,2),'2.4 PV (by Borough)'!AU108,IF(Dashboard!$D$6=INDEX('Scenario names'!$C$3:$C$6,3),'2.4 PV (by Borough)'!AU149,"Error")))))</f>
        <v>8903610.909233069</v>
      </c>
      <c r="AV190" s="607">
        <f>IF(Dashboard!$D$6="Baseline",'2.4 PV (by Borough)'!AV26,IF(Dashboard!$D$6=INDEX('Scenario names'!$C$3:$C$6,4),'2.4 PV (by Borough)'!AV149,IF(Dashboard!$D$6=INDEX('Scenario names'!$C$3:$C$6,1),'2.4 PV (by Borough)'!AV108,IF(Dashboard!$D$6=INDEX('Scenario names'!$C$3:$C$6,2),'2.4 PV (by Borough)'!AV108,IF(Dashboard!$D$6=INDEX('Scenario names'!$C$3:$C$6,3),'2.4 PV (by Borough)'!AV149,"Error")))))</f>
        <v>9131043.5290831085</v>
      </c>
      <c r="AW190" s="607">
        <f>IF(Dashboard!$D$6="Baseline",'2.4 PV (by Borough)'!AW26,IF(Dashboard!$D$6=INDEX('Scenario names'!$C$3:$C$6,4),'2.4 PV (by Borough)'!AW149,IF(Dashboard!$D$6=INDEX('Scenario names'!$C$3:$C$6,1),'2.4 PV (by Borough)'!AW108,IF(Dashboard!$D$6=INDEX('Scenario names'!$C$3:$C$6,2),'2.4 PV (by Borough)'!AW108,IF(Dashboard!$D$6=INDEX('Scenario names'!$C$3:$C$6,3),'2.4 PV (by Borough)'!AW149,"Error")))))</f>
        <v>9358476.1489331461</v>
      </c>
      <c r="AX190" s="607">
        <f>IF(Dashboard!$D$6="Baseline",'2.4 PV (by Borough)'!AX26,IF(Dashboard!$D$6=INDEX('Scenario names'!$C$3:$C$6,4),'2.4 PV (by Borough)'!AX149,IF(Dashboard!$D$6=INDEX('Scenario names'!$C$3:$C$6,1),'2.4 PV (by Borough)'!AX108,IF(Dashboard!$D$6=INDEX('Scenario names'!$C$3:$C$6,2),'2.4 PV (by Borough)'!AX108,IF(Dashboard!$D$6=INDEX('Scenario names'!$C$3:$C$6,3),'2.4 PV (by Borough)'!AX149,"Error")))))</f>
        <v>9585908.7687831856</v>
      </c>
      <c r="AY190" s="36"/>
      <c r="AZ190" s="36"/>
      <c r="BA190" s="36"/>
      <c r="BB190" s="36"/>
    </row>
    <row r="191" spans="4:54">
      <c r="D191" t="s">
        <v>660</v>
      </c>
      <c r="E191" t="s">
        <v>646</v>
      </c>
      <c r="G191" s="44"/>
      <c r="I191" s="44"/>
      <c r="K191" s="44"/>
      <c r="M191" s="44"/>
      <c r="O191" s="607">
        <f>IF(Dashboard!$D$6="Baseline",'2.4 PV (by Borough)'!O27,IF(Dashboard!$D$6=INDEX('Scenario names'!$C$3:$C$6,4),'2.4 PV (by Borough)'!O150,IF(Dashboard!$D$6=INDEX('Scenario names'!$C$3:$C$6,1),'2.4 PV (by Borough)'!O109,IF(Dashboard!$D$6=INDEX('Scenario names'!$C$3:$C$6,2),'2.4 PV (by Borough)'!O109,IF(Dashboard!$D$6=INDEX('Scenario names'!$C$3:$C$6,3),'2.4 PV (by Borough)'!O150,"Error")))))</f>
        <v>241964.53204252577</v>
      </c>
      <c r="P191" s="607">
        <f>IF(Dashboard!$D$6="Baseline",'2.4 PV (by Borough)'!P27,IF(Dashboard!$D$6=INDEX('Scenario names'!$C$3:$C$6,4),'2.4 PV (by Borough)'!P150,IF(Dashboard!$D$6=INDEX('Scenario names'!$C$3:$C$6,1),'2.4 PV (by Borough)'!P109,IF(Dashboard!$D$6=INDEX('Scenario names'!$C$3:$C$6,2),'2.4 PV (by Borough)'!P109,IF(Dashboard!$D$6=INDEX('Scenario names'!$C$3:$C$6,3),'2.4 PV (by Borough)'!P150,"Error")))))</f>
        <v>428144.22922326281</v>
      </c>
      <c r="Q191" s="607">
        <f>IF(Dashboard!$D$6="Baseline",'2.4 PV (by Borough)'!Q27,IF(Dashboard!$D$6=INDEX('Scenario names'!$C$3:$C$6,4),'2.4 PV (by Borough)'!Q150,IF(Dashboard!$D$6=INDEX('Scenario names'!$C$3:$C$6,1),'2.4 PV (by Borough)'!Q109,IF(Dashboard!$D$6=INDEX('Scenario names'!$C$3:$C$6,2),'2.4 PV (by Borough)'!Q109,IF(Dashboard!$D$6=INDEX('Scenario names'!$C$3:$C$6,3),'2.4 PV (by Borough)'!Q150,"Error")))))</f>
        <v>614323.92640399991</v>
      </c>
      <c r="R191" s="607">
        <f>IF(Dashboard!$D$6="Baseline",'2.4 PV (by Borough)'!R27,IF(Dashboard!$D$6=INDEX('Scenario names'!$C$3:$C$6,4),'2.4 PV (by Borough)'!R150,IF(Dashboard!$D$6=INDEX('Scenario names'!$C$3:$C$6,1),'2.4 PV (by Borough)'!R109,IF(Dashboard!$D$6=INDEX('Scenario names'!$C$3:$C$6,2),'2.4 PV (by Borough)'!R109,IF(Dashboard!$D$6=INDEX('Scenario names'!$C$3:$C$6,3),'2.4 PV (by Borough)'!R150,"Error")))))</f>
        <v>800503.62358473707</v>
      </c>
      <c r="S191" s="607">
        <f>IF(Dashboard!$D$6="Baseline",'2.4 PV (by Borough)'!S27,IF(Dashboard!$D$6=INDEX('Scenario names'!$C$3:$C$6,4),'2.4 PV (by Borough)'!S150,IF(Dashboard!$D$6=INDEX('Scenario names'!$C$3:$C$6,1),'2.4 PV (by Borough)'!S109,IF(Dashboard!$D$6=INDEX('Scenario names'!$C$3:$C$6,2),'2.4 PV (by Borough)'!S109,IF(Dashboard!$D$6=INDEX('Scenario names'!$C$3:$C$6,3),'2.4 PV (by Borough)'!S150,"Error")))))</f>
        <v>986683.32076547435</v>
      </c>
      <c r="T191" s="607">
        <f>IF(Dashboard!$D$6="Baseline",'2.4 PV (by Borough)'!T27,IF(Dashboard!$D$6=INDEX('Scenario names'!$C$3:$C$6,4),'2.4 PV (by Borough)'!T150,IF(Dashboard!$D$6=INDEX('Scenario names'!$C$3:$C$6,1),'2.4 PV (by Borough)'!T109,IF(Dashboard!$D$6=INDEX('Scenario names'!$C$3:$C$6,2),'2.4 PV (by Borough)'!T109,IF(Dashboard!$D$6=INDEX('Scenario names'!$C$3:$C$6,3),'2.4 PV (by Borough)'!T150,"Error")))))</f>
        <v>1172863.0179462109</v>
      </c>
      <c r="U191" s="607">
        <f>IF(Dashboard!$D$6="Baseline",'2.4 PV (by Borough)'!U27,IF(Dashboard!$D$6=INDEX('Scenario names'!$C$3:$C$6,4),'2.4 PV (by Borough)'!U150,IF(Dashboard!$D$6=INDEX('Scenario names'!$C$3:$C$6,1),'2.4 PV (by Borough)'!U109,IF(Dashboard!$D$6=INDEX('Scenario names'!$C$3:$C$6,2),'2.4 PV (by Borough)'!U109,IF(Dashboard!$D$6=INDEX('Scenario names'!$C$3:$C$6,3),'2.4 PV (by Borough)'!U150,"Error")))))</f>
        <v>1359042.7151269482</v>
      </c>
      <c r="V191" s="607">
        <f>IF(Dashboard!$D$6="Baseline",'2.4 PV (by Borough)'!V27,IF(Dashboard!$D$6=INDEX('Scenario names'!$C$3:$C$6,4),'2.4 PV (by Borough)'!V150,IF(Dashboard!$D$6=INDEX('Scenario names'!$C$3:$C$6,1),'2.4 PV (by Borough)'!V109,IF(Dashboard!$D$6=INDEX('Scenario names'!$C$3:$C$6,2),'2.4 PV (by Borough)'!V109,IF(Dashboard!$D$6=INDEX('Scenario names'!$C$3:$C$6,3),'2.4 PV (by Borough)'!V150,"Error")))))</f>
        <v>1545222.4123076857</v>
      </c>
      <c r="W191" s="607">
        <f>IF(Dashboard!$D$6="Baseline",'2.4 PV (by Borough)'!W27,IF(Dashboard!$D$6=INDEX('Scenario names'!$C$3:$C$6,4),'2.4 PV (by Borough)'!W150,IF(Dashboard!$D$6=INDEX('Scenario names'!$C$3:$C$6,1),'2.4 PV (by Borough)'!W109,IF(Dashboard!$D$6=INDEX('Scenario names'!$C$3:$C$6,2),'2.4 PV (by Borough)'!W109,IF(Dashboard!$D$6=INDEX('Scenario names'!$C$3:$C$6,3),'2.4 PV (by Borough)'!W150,"Error")))))</f>
        <v>1731402.109488423</v>
      </c>
      <c r="X191" s="607">
        <f>IF(Dashboard!$D$6="Baseline",'2.4 PV (by Borough)'!X27,IF(Dashboard!$D$6=INDEX('Scenario names'!$C$3:$C$6,4),'2.4 PV (by Borough)'!X150,IF(Dashboard!$D$6=INDEX('Scenario names'!$C$3:$C$6,1),'2.4 PV (by Borough)'!X109,IF(Dashboard!$D$6=INDEX('Scenario names'!$C$3:$C$6,2),'2.4 PV (by Borough)'!X109,IF(Dashboard!$D$6=INDEX('Scenario names'!$C$3:$C$6,3),'2.4 PV (by Borough)'!X150,"Error")))))</f>
        <v>1917581.80666916</v>
      </c>
      <c r="Y191" s="607">
        <f>IF(Dashboard!$D$6="Baseline",'2.4 PV (by Borough)'!Y27,IF(Dashboard!$D$6=INDEX('Scenario names'!$C$3:$C$6,4),'2.4 PV (by Borough)'!Y150,IF(Dashboard!$D$6=INDEX('Scenario names'!$C$3:$C$6,1),'2.4 PV (by Borough)'!Y109,IF(Dashboard!$D$6=INDEX('Scenario names'!$C$3:$C$6,2),'2.4 PV (by Borough)'!Y109,IF(Dashboard!$D$6=INDEX('Scenario names'!$C$3:$C$6,3),'2.4 PV (by Borough)'!Y150,"Error")))))</f>
        <v>2103761.5038498966</v>
      </c>
      <c r="Z191" s="607">
        <f>IF(Dashboard!$D$6="Baseline",'2.4 PV (by Borough)'!Z27,IF(Dashboard!$D$6=INDEX('Scenario names'!$C$3:$C$6,4),'2.4 PV (by Borough)'!Z150,IF(Dashboard!$D$6=INDEX('Scenario names'!$C$3:$C$6,1),'2.4 PV (by Borough)'!Z109,IF(Dashboard!$D$6=INDEX('Scenario names'!$C$3:$C$6,2),'2.4 PV (by Borough)'!Z109,IF(Dashboard!$D$6=INDEX('Scenario names'!$C$3:$C$6,3),'2.4 PV (by Borough)'!Z150,"Error")))))</f>
        <v>3488027.4735814193</v>
      </c>
      <c r="AA191" s="607">
        <f>IF(Dashboard!$D$6="Baseline",'2.4 PV (by Borough)'!AA27,IF(Dashboard!$D$6=INDEX('Scenario names'!$C$3:$C$6,4),'2.4 PV (by Borough)'!AA150,IF(Dashboard!$D$6=INDEX('Scenario names'!$C$3:$C$6,1),'2.4 PV (by Borough)'!AA109,IF(Dashboard!$D$6=INDEX('Scenario names'!$C$3:$C$6,2),'2.4 PV (by Borough)'!AA109,IF(Dashboard!$D$6=INDEX('Scenario names'!$C$3:$C$6,3),'2.4 PV (by Borough)'!AA150,"Error")))))</f>
        <v>4872293.4433129421</v>
      </c>
      <c r="AB191" s="607">
        <f>IF(Dashboard!$D$6="Baseline",'2.4 PV (by Borough)'!AB27,IF(Dashboard!$D$6=INDEX('Scenario names'!$C$3:$C$6,4),'2.4 PV (by Borough)'!AB150,IF(Dashboard!$D$6=INDEX('Scenario names'!$C$3:$C$6,1),'2.4 PV (by Borough)'!AB109,IF(Dashboard!$D$6=INDEX('Scenario names'!$C$3:$C$6,2),'2.4 PV (by Borough)'!AB109,IF(Dashboard!$D$6=INDEX('Scenario names'!$C$3:$C$6,3),'2.4 PV (by Borough)'!AB150,"Error")))))</f>
        <v>6256559.4130444638</v>
      </c>
      <c r="AC191" s="607">
        <f>IF(Dashboard!$D$6="Baseline",'2.4 PV (by Borough)'!AC27,IF(Dashboard!$D$6=INDEX('Scenario names'!$C$3:$C$6,4),'2.4 PV (by Borough)'!AC150,IF(Dashboard!$D$6=INDEX('Scenario names'!$C$3:$C$6,1),'2.4 PV (by Borough)'!AC109,IF(Dashboard!$D$6=INDEX('Scenario names'!$C$3:$C$6,2),'2.4 PV (by Borough)'!AC109,IF(Dashboard!$D$6=INDEX('Scenario names'!$C$3:$C$6,3),'2.4 PV (by Borough)'!AC150,"Error")))))</f>
        <v>7640825.3827759875</v>
      </c>
      <c r="AD191" s="607">
        <f>IF(Dashboard!$D$6="Baseline",'2.4 PV (by Borough)'!AD27,IF(Dashboard!$D$6=INDEX('Scenario names'!$C$3:$C$6,4),'2.4 PV (by Borough)'!AD150,IF(Dashboard!$D$6=INDEX('Scenario names'!$C$3:$C$6,1),'2.4 PV (by Borough)'!AD109,IF(Dashboard!$D$6=INDEX('Scenario names'!$C$3:$C$6,2),'2.4 PV (by Borough)'!AD109,IF(Dashboard!$D$6=INDEX('Scenario names'!$C$3:$C$6,3),'2.4 PV (by Borough)'!AD150,"Error")))))</f>
        <v>9025091.3525075093</v>
      </c>
      <c r="AE191" s="607">
        <f>IF(Dashboard!$D$6="Baseline",'2.4 PV (by Borough)'!AE27,IF(Dashboard!$D$6=INDEX('Scenario names'!$C$3:$C$6,4),'2.4 PV (by Borough)'!AE150,IF(Dashboard!$D$6=INDEX('Scenario names'!$C$3:$C$6,1),'2.4 PV (by Borough)'!AE109,IF(Dashboard!$D$6=INDEX('Scenario names'!$C$3:$C$6,2),'2.4 PV (by Borough)'!AE109,IF(Dashboard!$D$6=INDEX('Scenario names'!$C$3:$C$6,3),'2.4 PV (by Borough)'!AE150,"Error")))))</f>
        <v>10409357.322239032</v>
      </c>
      <c r="AF191" s="607">
        <f>IF(Dashboard!$D$6="Baseline",'2.4 PV (by Borough)'!AF27,IF(Dashboard!$D$6=INDEX('Scenario names'!$C$3:$C$6,4),'2.4 PV (by Borough)'!AF150,IF(Dashboard!$D$6=INDEX('Scenario names'!$C$3:$C$6,1),'2.4 PV (by Borough)'!AF109,IF(Dashboard!$D$6=INDEX('Scenario names'!$C$3:$C$6,2),'2.4 PV (by Borough)'!AF109,IF(Dashboard!$D$6=INDEX('Scenario names'!$C$3:$C$6,3),'2.4 PV (by Borough)'!AF150,"Error")))))</f>
        <v>11793623.291970557</v>
      </c>
      <c r="AG191" s="607">
        <f>IF(Dashboard!$D$6="Baseline",'2.4 PV (by Borough)'!AG27,IF(Dashboard!$D$6=INDEX('Scenario names'!$C$3:$C$6,4),'2.4 PV (by Borough)'!AG150,IF(Dashboard!$D$6=INDEX('Scenario names'!$C$3:$C$6,1),'2.4 PV (by Borough)'!AG109,IF(Dashboard!$D$6=INDEX('Scenario names'!$C$3:$C$6,2),'2.4 PV (by Borough)'!AG109,IF(Dashboard!$D$6=INDEX('Scenario names'!$C$3:$C$6,3),'2.4 PV (by Borough)'!AG150,"Error")))))</f>
        <v>13177889.261702076</v>
      </c>
      <c r="AH191" s="607">
        <f>IF(Dashboard!$D$6="Baseline",'2.4 PV (by Borough)'!AH27,IF(Dashboard!$D$6=INDEX('Scenario names'!$C$3:$C$6,4),'2.4 PV (by Borough)'!AH150,IF(Dashboard!$D$6=INDEX('Scenario names'!$C$3:$C$6,1),'2.4 PV (by Borough)'!AH109,IF(Dashboard!$D$6=INDEX('Scenario names'!$C$3:$C$6,2),'2.4 PV (by Borough)'!AH109,IF(Dashboard!$D$6=INDEX('Scenario names'!$C$3:$C$6,3),'2.4 PV (by Borough)'!AH150,"Error")))))</f>
        <v>14562155.2314336</v>
      </c>
      <c r="AI191" s="607">
        <f>IF(Dashboard!$D$6="Baseline",'2.4 PV (by Borough)'!AI27,IF(Dashboard!$D$6=INDEX('Scenario names'!$C$3:$C$6,4),'2.4 PV (by Borough)'!AI150,IF(Dashboard!$D$6=INDEX('Scenario names'!$C$3:$C$6,1),'2.4 PV (by Borough)'!AI109,IF(Dashboard!$D$6=INDEX('Scenario names'!$C$3:$C$6,2),'2.4 PV (by Borough)'!AI109,IF(Dashboard!$D$6=INDEX('Scenario names'!$C$3:$C$6,3),'2.4 PV (by Borough)'!AI150,"Error")))))</f>
        <v>15946421.201165121</v>
      </c>
      <c r="AJ191" s="607">
        <f>IF(Dashboard!$D$6="Baseline",'2.4 PV (by Borough)'!AJ27,IF(Dashboard!$D$6=INDEX('Scenario names'!$C$3:$C$6,4),'2.4 PV (by Borough)'!AJ150,IF(Dashboard!$D$6=INDEX('Scenario names'!$C$3:$C$6,1),'2.4 PV (by Borough)'!AJ109,IF(Dashboard!$D$6=INDEX('Scenario names'!$C$3:$C$6,2),'2.4 PV (by Borough)'!AJ109,IF(Dashboard!$D$6=INDEX('Scenario names'!$C$3:$C$6,3),'2.4 PV (by Borough)'!AJ150,"Error")))))</f>
        <v>17330687.170896642</v>
      </c>
      <c r="AK191" s="607">
        <f>IF(Dashboard!$D$6="Baseline",'2.4 PV (by Borough)'!AK27,IF(Dashboard!$D$6=INDEX('Scenario names'!$C$3:$C$6,4),'2.4 PV (by Borough)'!AK150,IF(Dashboard!$D$6=INDEX('Scenario names'!$C$3:$C$6,1),'2.4 PV (by Borough)'!AK109,IF(Dashboard!$D$6=INDEX('Scenario names'!$C$3:$C$6,2),'2.4 PV (by Borough)'!AK109,IF(Dashboard!$D$6=INDEX('Scenario names'!$C$3:$C$6,3),'2.4 PV (by Borough)'!AK150,"Error")))))</f>
        <v>18714953.140628166</v>
      </c>
      <c r="AL191" s="607">
        <f>IF(Dashboard!$D$6="Baseline",'2.4 PV (by Borough)'!AL27,IF(Dashboard!$D$6=INDEX('Scenario names'!$C$3:$C$6,4),'2.4 PV (by Borough)'!AL150,IF(Dashboard!$D$6=INDEX('Scenario names'!$C$3:$C$6,1),'2.4 PV (by Borough)'!AL109,IF(Dashboard!$D$6=INDEX('Scenario names'!$C$3:$C$6,2),'2.4 PV (by Borough)'!AL109,IF(Dashboard!$D$6=INDEX('Scenario names'!$C$3:$C$6,3),'2.4 PV (by Borough)'!AL150,"Error")))))</f>
        <v>20099219.110359684</v>
      </c>
      <c r="AM191" s="607">
        <f>IF(Dashboard!$D$6="Baseline",'2.4 PV (by Borough)'!AM27,IF(Dashboard!$D$6=INDEX('Scenario names'!$C$3:$C$6,4),'2.4 PV (by Borough)'!AM150,IF(Dashboard!$D$6=INDEX('Scenario names'!$C$3:$C$6,1),'2.4 PV (by Borough)'!AM109,IF(Dashboard!$D$6=INDEX('Scenario names'!$C$3:$C$6,2),'2.4 PV (by Borough)'!AM109,IF(Dashboard!$D$6=INDEX('Scenario names'!$C$3:$C$6,3),'2.4 PV (by Borough)'!AM150,"Error")))))</f>
        <v>21483485.080091212</v>
      </c>
      <c r="AN191" s="607">
        <f>IF(Dashboard!$D$6="Baseline",'2.4 PV (by Borough)'!AN27,IF(Dashboard!$D$6=INDEX('Scenario names'!$C$3:$C$6,4),'2.4 PV (by Borough)'!AN150,IF(Dashboard!$D$6=INDEX('Scenario names'!$C$3:$C$6,1),'2.4 PV (by Borough)'!AN109,IF(Dashboard!$D$6=INDEX('Scenario names'!$C$3:$C$6,2),'2.4 PV (by Borough)'!AN109,IF(Dashboard!$D$6=INDEX('Scenario names'!$C$3:$C$6,3),'2.4 PV (by Borough)'!AN150,"Error")))))</f>
        <v>22867751.049822737</v>
      </c>
      <c r="AO191" s="607">
        <f>IF(Dashboard!$D$6="Baseline",'2.4 PV (by Borough)'!AO27,IF(Dashboard!$D$6=INDEX('Scenario names'!$C$3:$C$6,4),'2.4 PV (by Borough)'!AO150,IF(Dashboard!$D$6=INDEX('Scenario names'!$C$3:$C$6,1),'2.4 PV (by Borough)'!AO109,IF(Dashboard!$D$6=INDEX('Scenario names'!$C$3:$C$6,2),'2.4 PV (by Borough)'!AO109,IF(Dashboard!$D$6=INDEX('Scenario names'!$C$3:$C$6,3),'2.4 PV (by Borough)'!AO150,"Error")))))</f>
        <v>24252017.019554257</v>
      </c>
      <c r="AP191" s="607">
        <f>IF(Dashboard!$D$6="Baseline",'2.4 PV (by Borough)'!AP27,IF(Dashboard!$D$6=INDEX('Scenario names'!$C$3:$C$6,4),'2.4 PV (by Borough)'!AP150,IF(Dashboard!$D$6=INDEX('Scenario names'!$C$3:$C$6,1),'2.4 PV (by Borough)'!AP109,IF(Dashboard!$D$6=INDEX('Scenario names'!$C$3:$C$6,2),'2.4 PV (by Borough)'!AP109,IF(Dashboard!$D$6=INDEX('Scenario names'!$C$3:$C$6,3),'2.4 PV (by Borough)'!AP150,"Error")))))</f>
        <v>25636282.989285775</v>
      </c>
      <c r="AQ191" s="607">
        <f>IF(Dashboard!$D$6="Baseline",'2.4 PV (by Borough)'!AQ27,IF(Dashboard!$D$6=INDEX('Scenario names'!$C$3:$C$6,4),'2.4 PV (by Borough)'!AQ150,IF(Dashboard!$D$6=INDEX('Scenario names'!$C$3:$C$6,1),'2.4 PV (by Borough)'!AQ109,IF(Dashboard!$D$6=INDEX('Scenario names'!$C$3:$C$6,2),'2.4 PV (by Borough)'!AQ109,IF(Dashboard!$D$6=INDEX('Scenario names'!$C$3:$C$6,3),'2.4 PV (by Borough)'!AQ150,"Error")))))</f>
        <v>27020548.95901731</v>
      </c>
      <c r="AR191" s="607">
        <f>IF(Dashboard!$D$6="Baseline",'2.4 PV (by Borough)'!AR27,IF(Dashboard!$D$6=INDEX('Scenario names'!$C$3:$C$6,4),'2.4 PV (by Borough)'!AR150,IF(Dashboard!$D$6=INDEX('Scenario names'!$C$3:$C$6,1),'2.4 PV (by Borough)'!AR109,IF(Dashboard!$D$6=INDEX('Scenario names'!$C$3:$C$6,2),'2.4 PV (by Borough)'!AR109,IF(Dashboard!$D$6=INDEX('Scenario names'!$C$3:$C$6,3),'2.4 PV (by Borough)'!AR150,"Error")))))</f>
        <v>28404814.928748824</v>
      </c>
      <c r="AS191" s="607">
        <f>IF(Dashboard!$D$6="Baseline",'2.4 PV (by Borough)'!AS27,IF(Dashboard!$D$6=INDEX('Scenario names'!$C$3:$C$6,4),'2.4 PV (by Borough)'!AS150,IF(Dashboard!$D$6=INDEX('Scenario names'!$C$3:$C$6,1),'2.4 PV (by Borough)'!AS109,IF(Dashboard!$D$6=INDEX('Scenario names'!$C$3:$C$6,2),'2.4 PV (by Borough)'!AS109,IF(Dashboard!$D$6=INDEX('Scenario names'!$C$3:$C$6,3),'2.4 PV (by Borough)'!AS150,"Error")))))</f>
        <v>29789080.898480345</v>
      </c>
      <c r="AT191" s="607">
        <f>IF(Dashboard!$D$6="Baseline",'2.4 PV (by Borough)'!AT27,IF(Dashboard!$D$6=INDEX('Scenario names'!$C$3:$C$6,4),'2.4 PV (by Borough)'!AT150,IF(Dashboard!$D$6=INDEX('Scenario names'!$C$3:$C$6,1),'2.4 PV (by Borough)'!AT109,IF(Dashboard!$D$6=INDEX('Scenario names'!$C$3:$C$6,2),'2.4 PV (by Borough)'!AT109,IF(Dashboard!$D$6=INDEX('Scenario names'!$C$3:$C$6,3),'2.4 PV (by Borough)'!AT150,"Error")))))</f>
        <v>31173346.868211865</v>
      </c>
      <c r="AU191" s="607">
        <f>IF(Dashboard!$D$6="Baseline",'2.4 PV (by Borough)'!AU27,IF(Dashboard!$D$6=INDEX('Scenario names'!$C$3:$C$6,4),'2.4 PV (by Borough)'!AU150,IF(Dashboard!$D$6=INDEX('Scenario names'!$C$3:$C$6,1),'2.4 PV (by Borough)'!AU109,IF(Dashboard!$D$6=INDEX('Scenario names'!$C$3:$C$6,2),'2.4 PV (by Borough)'!AU109,IF(Dashboard!$D$6=INDEX('Scenario names'!$C$3:$C$6,3),'2.4 PV (by Borough)'!AU150,"Error")))))</f>
        <v>32557612.837943394</v>
      </c>
      <c r="AV191" s="607">
        <f>IF(Dashboard!$D$6="Baseline",'2.4 PV (by Borough)'!AV27,IF(Dashboard!$D$6=INDEX('Scenario names'!$C$3:$C$6,4),'2.4 PV (by Borough)'!AV150,IF(Dashboard!$D$6=INDEX('Scenario names'!$C$3:$C$6,1),'2.4 PV (by Borough)'!AV109,IF(Dashboard!$D$6=INDEX('Scenario names'!$C$3:$C$6,2),'2.4 PV (by Borough)'!AV109,IF(Dashboard!$D$6=INDEX('Scenario names'!$C$3:$C$6,3),'2.4 PV (by Borough)'!AV150,"Error")))))</f>
        <v>33941878.807674915</v>
      </c>
      <c r="AW191" s="607">
        <f>IF(Dashboard!$D$6="Baseline",'2.4 PV (by Borough)'!AW27,IF(Dashboard!$D$6=INDEX('Scenario names'!$C$3:$C$6,4),'2.4 PV (by Borough)'!AW150,IF(Dashboard!$D$6=INDEX('Scenario names'!$C$3:$C$6,1),'2.4 PV (by Borough)'!AW109,IF(Dashboard!$D$6=INDEX('Scenario names'!$C$3:$C$6,2),'2.4 PV (by Borough)'!AW109,IF(Dashboard!$D$6=INDEX('Scenario names'!$C$3:$C$6,3),'2.4 PV (by Borough)'!AW150,"Error")))))</f>
        <v>35326144.777406439</v>
      </c>
      <c r="AX191" s="607">
        <f>IF(Dashboard!$D$6="Baseline",'2.4 PV (by Borough)'!AX27,IF(Dashboard!$D$6=INDEX('Scenario names'!$C$3:$C$6,4),'2.4 PV (by Borough)'!AX150,IF(Dashboard!$D$6=INDEX('Scenario names'!$C$3:$C$6,1),'2.4 PV (by Borough)'!AX109,IF(Dashboard!$D$6=INDEX('Scenario names'!$C$3:$C$6,2),'2.4 PV (by Borough)'!AX109,IF(Dashboard!$D$6=INDEX('Scenario names'!$C$3:$C$6,3),'2.4 PV (by Borough)'!AX150,"Error")))))</f>
        <v>36710410.747137964</v>
      </c>
      <c r="AY191" s="36"/>
      <c r="AZ191" s="36"/>
      <c r="BA191" s="36"/>
      <c r="BB191" s="36"/>
    </row>
    <row r="192" spans="4:54">
      <c r="D192" t="s">
        <v>661</v>
      </c>
      <c r="E192" t="s">
        <v>648</v>
      </c>
      <c r="G192" s="44"/>
      <c r="I192" s="44"/>
      <c r="K192" s="44"/>
      <c r="M192" s="44"/>
      <c r="O192" s="607">
        <f>IF(Dashboard!$D$6="Baseline",'2.4 PV (by Borough)'!O28,IF(Dashboard!$D$6=INDEX('Scenario names'!$C$3:$C$6,4),'2.4 PV (by Borough)'!O151,IF(Dashboard!$D$6=INDEX('Scenario names'!$C$3:$C$6,1),'2.4 PV (by Borough)'!O110,IF(Dashboard!$D$6=INDEX('Scenario names'!$C$3:$C$6,2),'2.4 PV (by Borough)'!O110,IF(Dashboard!$D$6=INDEX('Scenario names'!$C$3:$C$6,3),'2.4 PV (by Borough)'!O151,"Error")))))</f>
        <v>1051510.0775631655</v>
      </c>
      <c r="P192" s="607">
        <f>IF(Dashboard!$D$6="Baseline",'2.4 PV (by Borough)'!P28,IF(Dashboard!$D$6=INDEX('Scenario names'!$C$3:$C$6,4),'2.4 PV (by Borough)'!P151,IF(Dashboard!$D$6=INDEX('Scenario names'!$C$3:$C$6,1),'2.4 PV (by Borough)'!P110,IF(Dashboard!$D$6=INDEX('Scenario names'!$C$3:$C$6,2),'2.4 PV (by Borough)'!P110,IF(Dashboard!$D$6=INDEX('Scenario names'!$C$3:$C$6,3),'2.4 PV (by Borough)'!P151,"Error")))))</f>
        <v>1840827.3554230961</v>
      </c>
      <c r="Q192" s="607">
        <f>IF(Dashboard!$D$6="Baseline",'2.4 PV (by Borough)'!Q28,IF(Dashboard!$D$6=INDEX('Scenario names'!$C$3:$C$6,4),'2.4 PV (by Borough)'!Q151,IF(Dashboard!$D$6=INDEX('Scenario names'!$C$3:$C$6,1),'2.4 PV (by Borough)'!Q110,IF(Dashboard!$D$6=INDEX('Scenario names'!$C$3:$C$6,2),'2.4 PV (by Borough)'!Q110,IF(Dashboard!$D$6=INDEX('Scenario names'!$C$3:$C$6,3),'2.4 PV (by Borough)'!Q151,"Error")))))</f>
        <v>2630144.633283027</v>
      </c>
      <c r="R192" s="607">
        <f>IF(Dashboard!$D$6="Baseline",'2.4 PV (by Borough)'!R28,IF(Dashboard!$D$6=INDEX('Scenario names'!$C$3:$C$6,4),'2.4 PV (by Borough)'!R151,IF(Dashboard!$D$6=INDEX('Scenario names'!$C$3:$C$6,1),'2.4 PV (by Borough)'!R110,IF(Dashboard!$D$6=INDEX('Scenario names'!$C$3:$C$6,2),'2.4 PV (by Borough)'!R110,IF(Dashboard!$D$6=INDEX('Scenario names'!$C$3:$C$6,3),'2.4 PV (by Borough)'!R151,"Error")))))</f>
        <v>3419461.9111429583</v>
      </c>
      <c r="S192" s="607">
        <f>IF(Dashboard!$D$6="Baseline",'2.4 PV (by Borough)'!S28,IF(Dashboard!$D$6=INDEX('Scenario names'!$C$3:$C$6,4),'2.4 PV (by Borough)'!S151,IF(Dashboard!$D$6=INDEX('Scenario names'!$C$3:$C$6,1),'2.4 PV (by Borough)'!S110,IF(Dashboard!$D$6=INDEX('Scenario names'!$C$3:$C$6,2),'2.4 PV (by Borough)'!S110,IF(Dashboard!$D$6=INDEX('Scenario names'!$C$3:$C$6,3),'2.4 PV (by Borough)'!S151,"Error")))))</f>
        <v>4208779.1890028892</v>
      </c>
      <c r="T192" s="607">
        <f>IF(Dashboard!$D$6="Baseline",'2.4 PV (by Borough)'!T28,IF(Dashboard!$D$6=INDEX('Scenario names'!$C$3:$C$6,4),'2.4 PV (by Borough)'!T151,IF(Dashboard!$D$6=INDEX('Scenario names'!$C$3:$C$6,1),'2.4 PV (by Borough)'!T110,IF(Dashboard!$D$6=INDEX('Scenario names'!$C$3:$C$6,2),'2.4 PV (by Borough)'!T110,IF(Dashboard!$D$6=INDEX('Scenario names'!$C$3:$C$6,3),'2.4 PV (by Borough)'!T151,"Error")))))</f>
        <v>4998096.466862821</v>
      </c>
      <c r="U192" s="607">
        <f>IF(Dashboard!$D$6="Baseline",'2.4 PV (by Borough)'!U28,IF(Dashboard!$D$6=INDEX('Scenario names'!$C$3:$C$6,4),'2.4 PV (by Borough)'!U151,IF(Dashboard!$D$6=INDEX('Scenario names'!$C$3:$C$6,1),'2.4 PV (by Borough)'!U110,IF(Dashboard!$D$6=INDEX('Scenario names'!$C$3:$C$6,2),'2.4 PV (by Borough)'!U110,IF(Dashboard!$D$6=INDEX('Scenario names'!$C$3:$C$6,3),'2.4 PV (by Borough)'!U151,"Error")))))</f>
        <v>5787413.744722751</v>
      </c>
      <c r="V192" s="607">
        <f>IF(Dashboard!$D$6="Baseline",'2.4 PV (by Borough)'!V28,IF(Dashboard!$D$6=INDEX('Scenario names'!$C$3:$C$6,4),'2.4 PV (by Borough)'!V151,IF(Dashboard!$D$6=INDEX('Scenario names'!$C$3:$C$6,1),'2.4 PV (by Borough)'!V110,IF(Dashboard!$D$6=INDEX('Scenario names'!$C$3:$C$6,2),'2.4 PV (by Borough)'!V110,IF(Dashboard!$D$6=INDEX('Scenario names'!$C$3:$C$6,3),'2.4 PV (by Borough)'!V151,"Error")))))</f>
        <v>6576731.0225826818</v>
      </c>
      <c r="W192" s="607">
        <f>IF(Dashboard!$D$6="Baseline",'2.4 PV (by Borough)'!W28,IF(Dashboard!$D$6=INDEX('Scenario names'!$C$3:$C$6,4),'2.4 PV (by Borough)'!W151,IF(Dashboard!$D$6=INDEX('Scenario names'!$C$3:$C$6,1),'2.4 PV (by Borough)'!W110,IF(Dashboard!$D$6=INDEX('Scenario names'!$C$3:$C$6,2),'2.4 PV (by Borough)'!W110,IF(Dashboard!$D$6=INDEX('Scenario names'!$C$3:$C$6,3),'2.4 PV (by Borough)'!W151,"Error")))))</f>
        <v>7366048.3004426127</v>
      </c>
      <c r="X192" s="607">
        <f>IF(Dashboard!$D$6="Baseline",'2.4 PV (by Borough)'!X28,IF(Dashboard!$D$6=INDEX('Scenario names'!$C$3:$C$6,4),'2.4 PV (by Borough)'!X151,IF(Dashboard!$D$6=INDEX('Scenario names'!$C$3:$C$6,1),'2.4 PV (by Borough)'!X110,IF(Dashboard!$D$6=INDEX('Scenario names'!$C$3:$C$6,2),'2.4 PV (by Borough)'!X110,IF(Dashboard!$D$6=INDEX('Scenario names'!$C$3:$C$6,3),'2.4 PV (by Borough)'!X151,"Error")))))</f>
        <v>8155365.5783025417</v>
      </c>
      <c r="Y192" s="607">
        <f>IF(Dashboard!$D$6="Baseline",'2.4 PV (by Borough)'!Y28,IF(Dashboard!$D$6=INDEX('Scenario names'!$C$3:$C$6,4),'2.4 PV (by Borough)'!Y151,IF(Dashboard!$D$6=INDEX('Scenario names'!$C$3:$C$6,1),'2.4 PV (by Borough)'!Y110,IF(Dashboard!$D$6=INDEX('Scenario names'!$C$3:$C$6,2),'2.4 PV (by Borough)'!Y110,IF(Dashboard!$D$6=INDEX('Scenario names'!$C$3:$C$6,3),'2.4 PV (by Borough)'!Y151,"Error")))))</f>
        <v>8944682.8561624773</v>
      </c>
      <c r="Z192" s="607">
        <f>IF(Dashboard!$D$6="Baseline",'2.4 PV (by Borough)'!Z28,IF(Dashboard!$D$6=INDEX('Scenario names'!$C$3:$C$6,4),'2.4 PV (by Borough)'!Z151,IF(Dashboard!$D$6=INDEX('Scenario names'!$C$3:$C$6,1),'2.4 PV (by Borough)'!Z110,IF(Dashboard!$D$6=INDEX('Scenario names'!$C$3:$C$6,2),'2.4 PV (by Borough)'!Z110,IF(Dashboard!$D$6=INDEX('Scenario names'!$C$3:$C$6,3),'2.4 PV (by Borough)'!Z151,"Error")))))</f>
        <v>9250981.3008944504</v>
      </c>
      <c r="AA192" s="607">
        <f>IF(Dashboard!$D$6="Baseline",'2.4 PV (by Borough)'!AA28,IF(Dashboard!$D$6=INDEX('Scenario names'!$C$3:$C$6,4),'2.4 PV (by Borough)'!AA151,IF(Dashboard!$D$6=INDEX('Scenario names'!$C$3:$C$6,1),'2.4 PV (by Borough)'!AA110,IF(Dashboard!$D$6=INDEX('Scenario names'!$C$3:$C$6,2),'2.4 PV (by Borough)'!AA110,IF(Dashboard!$D$6=INDEX('Scenario names'!$C$3:$C$6,3),'2.4 PV (by Borough)'!AA151,"Error")))))</f>
        <v>9557279.7456264254</v>
      </c>
      <c r="AB192" s="607">
        <f>IF(Dashboard!$D$6="Baseline",'2.4 PV (by Borough)'!AB28,IF(Dashboard!$D$6=INDEX('Scenario names'!$C$3:$C$6,4),'2.4 PV (by Borough)'!AB151,IF(Dashboard!$D$6=INDEX('Scenario names'!$C$3:$C$6,1),'2.4 PV (by Borough)'!AB110,IF(Dashboard!$D$6=INDEX('Scenario names'!$C$3:$C$6,2),'2.4 PV (by Borough)'!AB110,IF(Dashboard!$D$6=INDEX('Scenario names'!$C$3:$C$6,3),'2.4 PV (by Borough)'!AB151,"Error")))))</f>
        <v>9863578.1903584022</v>
      </c>
      <c r="AC192" s="607">
        <f>IF(Dashboard!$D$6="Baseline",'2.4 PV (by Borough)'!AC28,IF(Dashboard!$D$6=INDEX('Scenario names'!$C$3:$C$6,4),'2.4 PV (by Borough)'!AC151,IF(Dashboard!$D$6=INDEX('Scenario names'!$C$3:$C$6,1),'2.4 PV (by Borough)'!AC110,IF(Dashboard!$D$6=INDEX('Scenario names'!$C$3:$C$6,2),'2.4 PV (by Borough)'!AC110,IF(Dashboard!$D$6=INDEX('Scenario names'!$C$3:$C$6,3),'2.4 PV (by Borough)'!AC151,"Error")))))</f>
        <v>10169876.635090377</v>
      </c>
      <c r="AD192" s="607">
        <f>IF(Dashboard!$D$6="Baseline",'2.4 PV (by Borough)'!AD28,IF(Dashboard!$D$6=INDEX('Scenario names'!$C$3:$C$6,4),'2.4 PV (by Borough)'!AD151,IF(Dashboard!$D$6=INDEX('Scenario names'!$C$3:$C$6,1),'2.4 PV (by Borough)'!AD110,IF(Dashboard!$D$6=INDEX('Scenario names'!$C$3:$C$6,2),'2.4 PV (by Borough)'!AD110,IF(Dashboard!$D$6=INDEX('Scenario names'!$C$3:$C$6,3),'2.4 PV (by Borough)'!AD151,"Error")))))</f>
        <v>10476175.079822356</v>
      </c>
      <c r="AE192" s="607">
        <f>IF(Dashboard!$D$6="Baseline",'2.4 PV (by Borough)'!AE28,IF(Dashboard!$D$6=INDEX('Scenario names'!$C$3:$C$6,4),'2.4 PV (by Borough)'!AE151,IF(Dashboard!$D$6=INDEX('Scenario names'!$C$3:$C$6,1),'2.4 PV (by Borough)'!AE110,IF(Dashboard!$D$6=INDEX('Scenario names'!$C$3:$C$6,2),'2.4 PV (by Borough)'!AE110,IF(Dashboard!$D$6=INDEX('Scenario names'!$C$3:$C$6,3),'2.4 PV (by Borough)'!AE151,"Error")))))</f>
        <v>10782473.524554333</v>
      </c>
      <c r="AF192" s="607">
        <f>IF(Dashboard!$D$6="Baseline",'2.4 PV (by Borough)'!AF28,IF(Dashboard!$D$6=INDEX('Scenario names'!$C$3:$C$6,4),'2.4 PV (by Borough)'!AF151,IF(Dashboard!$D$6=INDEX('Scenario names'!$C$3:$C$6,1),'2.4 PV (by Borough)'!AF110,IF(Dashboard!$D$6=INDEX('Scenario names'!$C$3:$C$6,2),'2.4 PV (by Borough)'!AF110,IF(Dashboard!$D$6=INDEX('Scenario names'!$C$3:$C$6,3),'2.4 PV (by Borough)'!AF151,"Error")))))</f>
        <v>11088771.969286306</v>
      </c>
      <c r="AG192" s="607">
        <f>IF(Dashboard!$D$6="Baseline",'2.4 PV (by Borough)'!AG28,IF(Dashboard!$D$6=INDEX('Scenario names'!$C$3:$C$6,4),'2.4 PV (by Borough)'!AG151,IF(Dashboard!$D$6=INDEX('Scenario names'!$C$3:$C$6,1),'2.4 PV (by Borough)'!AG110,IF(Dashboard!$D$6=INDEX('Scenario names'!$C$3:$C$6,2),'2.4 PV (by Borough)'!AG110,IF(Dashboard!$D$6=INDEX('Scenario names'!$C$3:$C$6,3),'2.4 PV (by Borough)'!AG151,"Error")))))</f>
        <v>11395070.414018285</v>
      </c>
      <c r="AH192" s="607">
        <f>IF(Dashboard!$D$6="Baseline",'2.4 PV (by Borough)'!AH28,IF(Dashboard!$D$6=INDEX('Scenario names'!$C$3:$C$6,4),'2.4 PV (by Borough)'!AH151,IF(Dashboard!$D$6=INDEX('Scenario names'!$C$3:$C$6,1),'2.4 PV (by Borough)'!AH110,IF(Dashboard!$D$6=INDEX('Scenario names'!$C$3:$C$6,2),'2.4 PV (by Borough)'!AH110,IF(Dashboard!$D$6=INDEX('Scenario names'!$C$3:$C$6,3),'2.4 PV (by Borough)'!AH151,"Error")))))</f>
        <v>11701368.85875026</v>
      </c>
      <c r="AI192" s="607">
        <f>IF(Dashboard!$D$6="Baseline",'2.4 PV (by Borough)'!AI28,IF(Dashboard!$D$6=INDEX('Scenario names'!$C$3:$C$6,4),'2.4 PV (by Borough)'!AI151,IF(Dashboard!$D$6=INDEX('Scenario names'!$C$3:$C$6,1),'2.4 PV (by Borough)'!AI110,IF(Dashboard!$D$6=INDEX('Scenario names'!$C$3:$C$6,2),'2.4 PV (by Borough)'!AI110,IF(Dashboard!$D$6=INDEX('Scenario names'!$C$3:$C$6,3),'2.4 PV (by Borough)'!AI151,"Error")))))</f>
        <v>12007667.303482236</v>
      </c>
      <c r="AJ192" s="607">
        <f>IF(Dashboard!$D$6="Baseline",'2.4 PV (by Borough)'!AJ28,IF(Dashboard!$D$6=INDEX('Scenario names'!$C$3:$C$6,4),'2.4 PV (by Borough)'!AJ151,IF(Dashboard!$D$6=INDEX('Scenario names'!$C$3:$C$6,1),'2.4 PV (by Borough)'!AJ110,IF(Dashboard!$D$6=INDEX('Scenario names'!$C$3:$C$6,2),'2.4 PV (by Borough)'!AJ110,IF(Dashboard!$D$6=INDEX('Scenario names'!$C$3:$C$6,3),'2.4 PV (by Borough)'!AJ151,"Error")))))</f>
        <v>12313965.748214211</v>
      </c>
      <c r="AK192" s="607">
        <f>IF(Dashboard!$D$6="Baseline",'2.4 PV (by Borough)'!AK28,IF(Dashboard!$D$6=INDEX('Scenario names'!$C$3:$C$6,4),'2.4 PV (by Borough)'!AK151,IF(Dashboard!$D$6=INDEX('Scenario names'!$C$3:$C$6,1),'2.4 PV (by Borough)'!AK110,IF(Dashboard!$D$6=INDEX('Scenario names'!$C$3:$C$6,2),'2.4 PV (by Borough)'!AK110,IF(Dashboard!$D$6=INDEX('Scenario names'!$C$3:$C$6,3),'2.4 PV (by Borough)'!AK151,"Error")))))</f>
        <v>12620264.192946188</v>
      </c>
      <c r="AL192" s="607">
        <f>IF(Dashboard!$D$6="Baseline",'2.4 PV (by Borough)'!AL28,IF(Dashboard!$D$6=INDEX('Scenario names'!$C$3:$C$6,4),'2.4 PV (by Borough)'!AL151,IF(Dashboard!$D$6=INDEX('Scenario names'!$C$3:$C$6,1),'2.4 PV (by Borough)'!AL110,IF(Dashboard!$D$6=INDEX('Scenario names'!$C$3:$C$6,2),'2.4 PV (by Borough)'!AL110,IF(Dashboard!$D$6=INDEX('Scenario names'!$C$3:$C$6,3),'2.4 PV (by Borough)'!AL151,"Error")))))</f>
        <v>12926562.637678165</v>
      </c>
      <c r="AM192" s="607">
        <f>IF(Dashboard!$D$6="Baseline",'2.4 PV (by Borough)'!AM28,IF(Dashboard!$D$6=INDEX('Scenario names'!$C$3:$C$6,4),'2.4 PV (by Borough)'!AM151,IF(Dashboard!$D$6=INDEX('Scenario names'!$C$3:$C$6,1),'2.4 PV (by Borough)'!AM110,IF(Dashboard!$D$6=INDEX('Scenario names'!$C$3:$C$6,2),'2.4 PV (by Borough)'!AM110,IF(Dashboard!$D$6=INDEX('Scenario names'!$C$3:$C$6,3),'2.4 PV (by Borough)'!AM151,"Error")))))</f>
        <v>13232861.082410138</v>
      </c>
      <c r="AN192" s="607">
        <f>IF(Dashboard!$D$6="Baseline",'2.4 PV (by Borough)'!AN28,IF(Dashboard!$D$6=INDEX('Scenario names'!$C$3:$C$6,4),'2.4 PV (by Borough)'!AN151,IF(Dashboard!$D$6=INDEX('Scenario names'!$C$3:$C$6,1),'2.4 PV (by Borough)'!AN110,IF(Dashboard!$D$6=INDEX('Scenario names'!$C$3:$C$6,2),'2.4 PV (by Borough)'!AN110,IF(Dashboard!$D$6=INDEX('Scenario names'!$C$3:$C$6,3),'2.4 PV (by Borough)'!AN151,"Error")))))</f>
        <v>13539159.527142113</v>
      </c>
      <c r="AO192" s="607">
        <f>IF(Dashboard!$D$6="Baseline",'2.4 PV (by Borough)'!AO28,IF(Dashboard!$D$6=INDEX('Scenario names'!$C$3:$C$6,4),'2.4 PV (by Borough)'!AO151,IF(Dashboard!$D$6=INDEX('Scenario names'!$C$3:$C$6,1),'2.4 PV (by Borough)'!AO110,IF(Dashboard!$D$6=INDEX('Scenario names'!$C$3:$C$6,2),'2.4 PV (by Borough)'!AO110,IF(Dashboard!$D$6=INDEX('Scenario names'!$C$3:$C$6,3),'2.4 PV (by Borough)'!AO151,"Error")))))</f>
        <v>13845457.971874092</v>
      </c>
      <c r="AP192" s="607">
        <f>IF(Dashboard!$D$6="Baseline",'2.4 PV (by Borough)'!AP28,IF(Dashboard!$D$6=INDEX('Scenario names'!$C$3:$C$6,4),'2.4 PV (by Borough)'!AP151,IF(Dashboard!$D$6=INDEX('Scenario names'!$C$3:$C$6,1),'2.4 PV (by Borough)'!AP110,IF(Dashboard!$D$6=INDEX('Scenario names'!$C$3:$C$6,2),'2.4 PV (by Borough)'!AP110,IF(Dashboard!$D$6=INDEX('Scenario names'!$C$3:$C$6,3),'2.4 PV (by Borough)'!AP151,"Error")))))</f>
        <v>14151756.41660607</v>
      </c>
      <c r="AQ192" s="607">
        <f>IF(Dashboard!$D$6="Baseline",'2.4 PV (by Borough)'!AQ28,IF(Dashboard!$D$6=INDEX('Scenario names'!$C$3:$C$6,4),'2.4 PV (by Borough)'!AQ151,IF(Dashboard!$D$6=INDEX('Scenario names'!$C$3:$C$6,1),'2.4 PV (by Borough)'!AQ110,IF(Dashboard!$D$6=INDEX('Scenario names'!$C$3:$C$6,2),'2.4 PV (by Borough)'!AQ110,IF(Dashboard!$D$6=INDEX('Scenario names'!$C$3:$C$6,3),'2.4 PV (by Borough)'!AQ151,"Error")))))</f>
        <v>14458054.861338044</v>
      </c>
      <c r="AR192" s="607">
        <f>IF(Dashboard!$D$6="Baseline",'2.4 PV (by Borough)'!AR28,IF(Dashboard!$D$6=INDEX('Scenario names'!$C$3:$C$6,4),'2.4 PV (by Borough)'!AR151,IF(Dashboard!$D$6=INDEX('Scenario names'!$C$3:$C$6,1),'2.4 PV (by Borough)'!AR110,IF(Dashboard!$D$6=INDEX('Scenario names'!$C$3:$C$6,2),'2.4 PV (by Borough)'!AR110,IF(Dashboard!$D$6=INDEX('Scenario names'!$C$3:$C$6,3),'2.4 PV (by Borough)'!AR151,"Error")))))</f>
        <v>14764353.306070019</v>
      </c>
      <c r="AS192" s="607">
        <f>IF(Dashboard!$D$6="Baseline",'2.4 PV (by Borough)'!AS28,IF(Dashboard!$D$6=INDEX('Scenario names'!$C$3:$C$6,4),'2.4 PV (by Borough)'!AS151,IF(Dashboard!$D$6=INDEX('Scenario names'!$C$3:$C$6,1),'2.4 PV (by Borough)'!AS110,IF(Dashboard!$D$6=INDEX('Scenario names'!$C$3:$C$6,2),'2.4 PV (by Borough)'!AS110,IF(Dashboard!$D$6=INDEX('Scenario names'!$C$3:$C$6,3),'2.4 PV (by Borough)'!AS151,"Error")))))</f>
        <v>15070651.750801992</v>
      </c>
      <c r="AT192" s="607">
        <f>IF(Dashboard!$D$6="Baseline",'2.4 PV (by Borough)'!AT28,IF(Dashboard!$D$6=INDEX('Scenario names'!$C$3:$C$6,4),'2.4 PV (by Borough)'!AT151,IF(Dashboard!$D$6=INDEX('Scenario names'!$C$3:$C$6,1),'2.4 PV (by Borough)'!AT110,IF(Dashboard!$D$6=INDEX('Scenario names'!$C$3:$C$6,2),'2.4 PV (by Borough)'!AT110,IF(Dashboard!$D$6=INDEX('Scenario names'!$C$3:$C$6,3),'2.4 PV (by Borough)'!AT151,"Error")))))</f>
        <v>15376950.19553397</v>
      </c>
      <c r="AU192" s="607">
        <f>IF(Dashboard!$D$6="Baseline",'2.4 PV (by Borough)'!AU28,IF(Dashboard!$D$6=INDEX('Scenario names'!$C$3:$C$6,4),'2.4 PV (by Borough)'!AU151,IF(Dashboard!$D$6=INDEX('Scenario names'!$C$3:$C$6,1),'2.4 PV (by Borough)'!AU110,IF(Dashboard!$D$6=INDEX('Scenario names'!$C$3:$C$6,2),'2.4 PV (by Borough)'!AU110,IF(Dashboard!$D$6=INDEX('Scenario names'!$C$3:$C$6,3),'2.4 PV (by Borough)'!AU151,"Error")))))</f>
        <v>15683248.640265945</v>
      </c>
      <c r="AV192" s="607">
        <f>IF(Dashboard!$D$6="Baseline",'2.4 PV (by Borough)'!AV28,IF(Dashboard!$D$6=INDEX('Scenario names'!$C$3:$C$6,4),'2.4 PV (by Borough)'!AV151,IF(Dashboard!$D$6=INDEX('Scenario names'!$C$3:$C$6,1),'2.4 PV (by Borough)'!AV110,IF(Dashboard!$D$6=INDEX('Scenario names'!$C$3:$C$6,2),'2.4 PV (by Borough)'!AV110,IF(Dashboard!$D$6=INDEX('Scenario names'!$C$3:$C$6,3),'2.4 PV (by Borough)'!AV151,"Error")))))</f>
        <v>15989547.084997924</v>
      </c>
      <c r="AW192" s="607">
        <f>IF(Dashboard!$D$6="Baseline",'2.4 PV (by Borough)'!AW28,IF(Dashboard!$D$6=INDEX('Scenario names'!$C$3:$C$6,4),'2.4 PV (by Borough)'!AW151,IF(Dashboard!$D$6=INDEX('Scenario names'!$C$3:$C$6,1),'2.4 PV (by Borough)'!AW110,IF(Dashboard!$D$6=INDEX('Scenario names'!$C$3:$C$6,2),'2.4 PV (by Borough)'!AW110,IF(Dashboard!$D$6=INDEX('Scenario names'!$C$3:$C$6,3),'2.4 PV (by Borough)'!AW151,"Error")))))</f>
        <v>16295845.529729899</v>
      </c>
      <c r="AX192" s="607">
        <f>IF(Dashboard!$D$6="Baseline",'2.4 PV (by Borough)'!AX28,IF(Dashboard!$D$6=INDEX('Scenario names'!$C$3:$C$6,4),'2.4 PV (by Borough)'!AX151,IF(Dashboard!$D$6=INDEX('Scenario names'!$C$3:$C$6,1),'2.4 PV (by Borough)'!AX110,IF(Dashboard!$D$6=INDEX('Scenario names'!$C$3:$C$6,2),'2.4 PV (by Borough)'!AX110,IF(Dashboard!$D$6=INDEX('Scenario names'!$C$3:$C$6,3),'2.4 PV (by Borough)'!AX151,"Error")))))</f>
        <v>16602143.974461878</v>
      </c>
      <c r="AY192" s="36"/>
      <c r="AZ192" s="36"/>
      <c r="BA192" s="36"/>
      <c r="BB192" s="36"/>
    </row>
    <row r="193" spans="4:54">
      <c r="D193" t="s">
        <v>660</v>
      </c>
      <c r="E193" t="s">
        <v>649</v>
      </c>
      <c r="G193" s="44"/>
      <c r="I193" s="44"/>
      <c r="K193" s="44"/>
      <c r="M193" s="44"/>
      <c r="O193" s="607">
        <f>IF(Dashboard!$D$6="Baseline",'2.4 PV (by Borough)'!O29,IF(Dashboard!$D$6=INDEX('Scenario names'!$C$3:$C$6,4),'2.4 PV (by Borough)'!O152,IF(Dashboard!$D$6=INDEX('Scenario names'!$C$3:$C$6,1),'2.4 PV (by Borough)'!O111,IF(Dashboard!$D$6=INDEX('Scenario names'!$C$3:$C$6,2),'2.4 PV (by Borough)'!O111,IF(Dashboard!$D$6=INDEX('Scenario names'!$C$3:$C$6,3),'2.4 PV (by Borough)'!O152,"Error")))))</f>
        <v>1047204.3958762147</v>
      </c>
      <c r="P193" s="607">
        <f>IF(Dashboard!$D$6="Baseline",'2.4 PV (by Borough)'!P29,IF(Dashboard!$D$6=INDEX('Scenario names'!$C$3:$C$6,4),'2.4 PV (by Borough)'!P152,IF(Dashboard!$D$6=INDEX('Scenario names'!$C$3:$C$6,1),'2.4 PV (by Borough)'!P111,IF(Dashboard!$D$6=INDEX('Scenario names'!$C$3:$C$6,2),'2.4 PV (by Borough)'!P111,IF(Dashboard!$D$6=INDEX('Scenario names'!$C$3:$C$6,3),'2.4 PV (by Borough)'!P152,"Error")))))</f>
        <v>1846907.8842252658</v>
      </c>
      <c r="Q193" s="607">
        <f>IF(Dashboard!$D$6="Baseline",'2.4 PV (by Borough)'!Q29,IF(Dashboard!$D$6=INDEX('Scenario names'!$C$3:$C$6,4),'2.4 PV (by Borough)'!Q152,IF(Dashboard!$D$6=INDEX('Scenario names'!$C$3:$C$6,1),'2.4 PV (by Borough)'!Q111,IF(Dashboard!$D$6=INDEX('Scenario names'!$C$3:$C$6,2),'2.4 PV (by Borough)'!Q111,IF(Dashboard!$D$6=INDEX('Scenario names'!$C$3:$C$6,3),'2.4 PV (by Borough)'!Q152,"Error")))))</f>
        <v>2646611.3725743177</v>
      </c>
      <c r="R193" s="607">
        <f>IF(Dashboard!$D$6="Baseline",'2.4 PV (by Borough)'!R29,IF(Dashboard!$D$6=INDEX('Scenario names'!$C$3:$C$6,4),'2.4 PV (by Borough)'!R152,IF(Dashboard!$D$6=INDEX('Scenario names'!$C$3:$C$6,1),'2.4 PV (by Borough)'!R111,IF(Dashboard!$D$6=INDEX('Scenario names'!$C$3:$C$6,2),'2.4 PV (by Borough)'!R111,IF(Dashboard!$D$6=INDEX('Scenario names'!$C$3:$C$6,3),'2.4 PV (by Borough)'!R152,"Error")))))</f>
        <v>3446314.8609233694</v>
      </c>
      <c r="S193" s="607">
        <f>IF(Dashboard!$D$6="Baseline",'2.4 PV (by Borough)'!S29,IF(Dashboard!$D$6=INDEX('Scenario names'!$C$3:$C$6,4),'2.4 PV (by Borough)'!S152,IF(Dashboard!$D$6=INDEX('Scenario names'!$C$3:$C$6,1),'2.4 PV (by Borough)'!S111,IF(Dashboard!$D$6=INDEX('Scenario names'!$C$3:$C$6,2),'2.4 PV (by Borough)'!S111,IF(Dashboard!$D$6=INDEX('Scenario names'!$C$3:$C$6,3),'2.4 PV (by Borough)'!S152,"Error")))))</f>
        <v>4246018.3492724206</v>
      </c>
      <c r="T193" s="607">
        <f>IF(Dashboard!$D$6="Baseline",'2.4 PV (by Borough)'!T29,IF(Dashboard!$D$6=INDEX('Scenario names'!$C$3:$C$6,4),'2.4 PV (by Borough)'!T152,IF(Dashboard!$D$6=INDEX('Scenario names'!$C$3:$C$6,1),'2.4 PV (by Borough)'!T111,IF(Dashboard!$D$6=INDEX('Scenario names'!$C$3:$C$6,2),'2.4 PV (by Borough)'!T111,IF(Dashboard!$D$6=INDEX('Scenario names'!$C$3:$C$6,3),'2.4 PV (by Borough)'!T152,"Error")))))</f>
        <v>5045721.8376214728</v>
      </c>
      <c r="U193" s="607">
        <f>IF(Dashboard!$D$6="Baseline",'2.4 PV (by Borough)'!U29,IF(Dashboard!$D$6=INDEX('Scenario names'!$C$3:$C$6,4),'2.4 PV (by Borough)'!U152,IF(Dashboard!$D$6=INDEX('Scenario names'!$C$3:$C$6,1),'2.4 PV (by Borough)'!U111,IF(Dashboard!$D$6=INDEX('Scenario names'!$C$3:$C$6,2),'2.4 PV (by Borough)'!U111,IF(Dashboard!$D$6=INDEX('Scenario names'!$C$3:$C$6,3),'2.4 PV (by Borough)'!U152,"Error")))))</f>
        <v>5845425.3259705221</v>
      </c>
      <c r="V193" s="607">
        <f>IF(Dashboard!$D$6="Baseline",'2.4 PV (by Borough)'!V29,IF(Dashboard!$D$6=INDEX('Scenario names'!$C$3:$C$6,4),'2.4 PV (by Borough)'!V152,IF(Dashboard!$D$6=INDEX('Scenario names'!$C$3:$C$6,1),'2.4 PV (by Borough)'!V111,IF(Dashboard!$D$6=INDEX('Scenario names'!$C$3:$C$6,2),'2.4 PV (by Borough)'!V111,IF(Dashboard!$D$6=INDEX('Scenario names'!$C$3:$C$6,3),'2.4 PV (by Borough)'!V152,"Error")))))</f>
        <v>6645128.8143195743</v>
      </c>
      <c r="W193" s="607">
        <f>IF(Dashboard!$D$6="Baseline",'2.4 PV (by Borough)'!W29,IF(Dashboard!$D$6=INDEX('Scenario names'!$C$3:$C$6,4),'2.4 PV (by Borough)'!W152,IF(Dashboard!$D$6=INDEX('Scenario names'!$C$3:$C$6,1),'2.4 PV (by Borough)'!W111,IF(Dashboard!$D$6=INDEX('Scenario names'!$C$3:$C$6,2),'2.4 PV (by Borough)'!W111,IF(Dashboard!$D$6=INDEX('Scenario names'!$C$3:$C$6,3),'2.4 PV (by Borough)'!W152,"Error")))))</f>
        <v>7444832.3026686246</v>
      </c>
      <c r="X193" s="607">
        <f>IF(Dashboard!$D$6="Baseline",'2.4 PV (by Borough)'!X29,IF(Dashboard!$D$6=INDEX('Scenario names'!$C$3:$C$6,4),'2.4 PV (by Borough)'!X152,IF(Dashboard!$D$6=INDEX('Scenario names'!$C$3:$C$6,1),'2.4 PV (by Borough)'!X111,IF(Dashboard!$D$6=INDEX('Scenario names'!$C$3:$C$6,2),'2.4 PV (by Borough)'!X111,IF(Dashboard!$D$6=INDEX('Scenario names'!$C$3:$C$6,3),'2.4 PV (by Borough)'!X152,"Error")))))</f>
        <v>8244535.7910176776</v>
      </c>
      <c r="Y193" s="607">
        <f>IF(Dashboard!$D$6="Baseline",'2.4 PV (by Borough)'!Y29,IF(Dashboard!$D$6=INDEX('Scenario names'!$C$3:$C$6,4),'2.4 PV (by Borough)'!Y152,IF(Dashboard!$D$6=INDEX('Scenario names'!$C$3:$C$6,1),'2.4 PV (by Borough)'!Y111,IF(Dashboard!$D$6=INDEX('Scenario names'!$C$3:$C$6,2),'2.4 PV (by Borough)'!Y111,IF(Dashboard!$D$6=INDEX('Scenario names'!$C$3:$C$6,3),'2.4 PV (by Borough)'!Y152,"Error")))))</f>
        <v>9044239.2793667298</v>
      </c>
      <c r="Z193" s="607">
        <f>IF(Dashboard!$D$6="Baseline",'2.4 PV (by Borough)'!Z29,IF(Dashboard!$D$6=INDEX('Scenario names'!$C$3:$C$6,4),'2.4 PV (by Borough)'!Z152,IF(Dashboard!$D$6=INDEX('Scenario names'!$C$3:$C$6,1),'2.4 PV (by Borough)'!Z111,IF(Dashboard!$D$6=INDEX('Scenario names'!$C$3:$C$6,2),'2.4 PV (by Borough)'!Z111,IF(Dashboard!$D$6=INDEX('Scenario names'!$C$3:$C$6,3),'2.4 PV (by Borough)'!Z152,"Error")))))</f>
        <v>10516788.462513139</v>
      </c>
      <c r="AA193" s="607">
        <f>IF(Dashboard!$D$6="Baseline",'2.4 PV (by Borough)'!AA29,IF(Dashboard!$D$6=INDEX('Scenario names'!$C$3:$C$6,4),'2.4 PV (by Borough)'!AA152,IF(Dashboard!$D$6=INDEX('Scenario names'!$C$3:$C$6,1),'2.4 PV (by Borough)'!AA111,IF(Dashboard!$D$6=INDEX('Scenario names'!$C$3:$C$6,2),'2.4 PV (by Borough)'!AA111,IF(Dashboard!$D$6=INDEX('Scenario names'!$C$3:$C$6,3),'2.4 PV (by Borough)'!AA152,"Error")))))</f>
        <v>11989337.645659547</v>
      </c>
      <c r="AB193" s="607">
        <f>IF(Dashboard!$D$6="Baseline",'2.4 PV (by Borough)'!AB29,IF(Dashboard!$D$6=INDEX('Scenario names'!$C$3:$C$6,4),'2.4 PV (by Borough)'!AB152,IF(Dashboard!$D$6=INDEX('Scenario names'!$C$3:$C$6,1),'2.4 PV (by Borough)'!AB111,IF(Dashboard!$D$6=INDEX('Scenario names'!$C$3:$C$6,2),'2.4 PV (by Borough)'!AB111,IF(Dashboard!$D$6=INDEX('Scenario names'!$C$3:$C$6,3),'2.4 PV (by Borough)'!AB152,"Error")))))</f>
        <v>13461886.828805957</v>
      </c>
      <c r="AC193" s="607">
        <f>IF(Dashboard!$D$6="Baseline",'2.4 PV (by Borough)'!AC29,IF(Dashboard!$D$6=INDEX('Scenario names'!$C$3:$C$6,4),'2.4 PV (by Borough)'!AC152,IF(Dashboard!$D$6=INDEX('Scenario names'!$C$3:$C$6,1),'2.4 PV (by Borough)'!AC111,IF(Dashboard!$D$6=INDEX('Scenario names'!$C$3:$C$6,2),'2.4 PV (by Borough)'!AC111,IF(Dashboard!$D$6=INDEX('Scenario names'!$C$3:$C$6,3),'2.4 PV (by Borough)'!AC152,"Error")))))</f>
        <v>14934436.011952365</v>
      </c>
      <c r="AD193" s="607">
        <f>IF(Dashboard!$D$6="Baseline",'2.4 PV (by Borough)'!AD29,IF(Dashboard!$D$6=INDEX('Scenario names'!$C$3:$C$6,4),'2.4 PV (by Borough)'!AD152,IF(Dashboard!$D$6=INDEX('Scenario names'!$C$3:$C$6,1),'2.4 PV (by Borough)'!AD111,IF(Dashboard!$D$6=INDEX('Scenario names'!$C$3:$C$6,2),'2.4 PV (by Borough)'!AD111,IF(Dashboard!$D$6=INDEX('Scenario names'!$C$3:$C$6,3),'2.4 PV (by Borough)'!AD152,"Error")))))</f>
        <v>16406985.195098776</v>
      </c>
      <c r="AE193" s="607">
        <f>IF(Dashboard!$D$6="Baseline",'2.4 PV (by Borough)'!AE29,IF(Dashboard!$D$6=INDEX('Scenario names'!$C$3:$C$6,4),'2.4 PV (by Borough)'!AE152,IF(Dashboard!$D$6=INDEX('Scenario names'!$C$3:$C$6,1),'2.4 PV (by Borough)'!AE111,IF(Dashboard!$D$6=INDEX('Scenario names'!$C$3:$C$6,2),'2.4 PV (by Borough)'!AE111,IF(Dashboard!$D$6=INDEX('Scenario names'!$C$3:$C$6,3),'2.4 PV (by Borough)'!AE152,"Error")))))</f>
        <v>17879534.378245186</v>
      </c>
      <c r="AF193" s="607">
        <f>IF(Dashboard!$D$6="Baseline",'2.4 PV (by Borough)'!AF29,IF(Dashboard!$D$6=INDEX('Scenario names'!$C$3:$C$6,4),'2.4 PV (by Borough)'!AF152,IF(Dashboard!$D$6=INDEX('Scenario names'!$C$3:$C$6,1),'2.4 PV (by Borough)'!AF111,IF(Dashboard!$D$6=INDEX('Scenario names'!$C$3:$C$6,2),'2.4 PV (by Borough)'!AF111,IF(Dashboard!$D$6=INDEX('Scenario names'!$C$3:$C$6,3),'2.4 PV (by Borough)'!AF152,"Error")))))</f>
        <v>19352083.561391596</v>
      </c>
      <c r="AG193" s="607">
        <f>IF(Dashboard!$D$6="Baseline",'2.4 PV (by Borough)'!AG29,IF(Dashboard!$D$6=INDEX('Scenario names'!$C$3:$C$6,4),'2.4 PV (by Borough)'!AG152,IF(Dashboard!$D$6=INDEX('Scenario names'!$C$3:$C$6,1),'2.4 PV (by Borough)'!AG111,IF(Dashboard!$D$6=INDEX('Scenario names'!$C$3:$C$6,2),'2.4 PV (by Borough)'!AG111,IF(Dashboard!$D$6=INDEX('Scenario names'!$C$3:$C$6,3),'2.4 PV (by Borough)'!AG152,"Error")))))</f>
        <v>20824632.744538002</v>
      </c>
      <c r="AH193" s="607">
        <f>IF(Dashboard!$D$6="Baseline",'2.4 PV (by Borough)'!AH29,IF(Dashboard!$D$6=INDEX('Scenario names'!$C$3:$C$6,4),'2.4 PV (by Borough)'!AH152,IF(Dashboard!$D$6=INDEX('Scenario names'!$C$3:$C$6,1),'2.4 PV (by Borough)'!AH111,IF(Dashboard!$D$6=INDEX('Scenario names'!$C$3:$C$6,2),'2.4 PV (by Borough)'!AH111,IF(Dashboard!$D$6=INDEX('Scenario names'!$C$3:$C$6,3),'2.4 PV (by Borough)'!AH152,"Error")))))</f>
        <v>22297181.927684411</v>
      </c>
      <c r="AI193" s="607">
        <f>IF(Dashboard!$D$6="Baseline",'2.4 PV (by Borough)'!AI29,IF(Dashboard!$D$6=INDEX('Scenario names'!$C$3:$C$6,4),'2.4 PV (by Borough)'!AI152,IF(Dashboard!$D$6=INDEX('Scenario names'!$C$3:$C$6,1),'2.4 PV (by Borough)'!AI111,IF(Dashboard!$D$6=INDEX('Scenario names'!$C$3:$C$6,2),'2.4 PV (by Borough)'!AI111,IF(Dashboard!$D$6=INDEX('Scenario names'!$C$3:$C$6,3),'2.4 PV (by Borough)'!AI152,"Error")))))</f>
        <v>23769731.110830829</v>
      </c>
      <c r="AJ193" s="607">
        <f>IF(Dashboard!$D$6="Baseline",'2.4 PV (by Borough)'!AJ29,IF(Dashboard!$D$6=INDEX('Scenario names'!$C$3:$C$6,4),'2.4 PV (by Borough)'!AJ152,IF(Dashboard!$D$6=INDEX('Scenario names'!$C$3:$C$6,1),'2.4 PV (by Borough)'!AJ111,IF(Dashboard!$D$6=INDEX('Scenario names'!$C$3:$C$6,2),'2.4 PV (by Borough)'!AJ111,IF(Dashboard!$D$6=INDEX('Scenario names'!$C$3:$C$6,3),'2.4 PV (by Borough)'!AJ152,"Error")))))</f>
        <v>25242280.293977227</v>
      </c>
      <c r="AK193" s="607">
        <f>IF(Dashboard!$D$6="Baseline",'2.4 PV (by Borough)'!AK29,IF(Dashboard!$D$6=INDEX('Scenario names'!$C$3:$C$6,4),'2.4 PV (by Borough)'!AK152,IF(Dashboard!$D$6=INDEX('Scenario names'!$C$3:$C$6,1),'2.4 PV (by Borough)'!AK111,IF(Dashboard!$D$6=INDEX('Scenario names'!$C$3:$C$6,2),'2.4 PV (by Borough)'!AK111,IF(Dashboard!$D$6=INDEX('Scenario names'!$C$3:$C$6,3),'2.4 PV (by Borough)'!AK152,"Error")))))</f>
        <v>26714829.477123637</v>
      </c>
      <c r="AL193" s="607">
        <f>IF(Dashboard!$D$6="Baseline",'2.4 PV (by Borough)'!AL29,IF(Dashboard!$D$6=INDEX('Scenario names'!$C$3:$C$6,4),'2.4 PV (by Borough)'!AL152,IF(Dashboard!$D$6=INDEX('Scenario names'!$C$3:$C$6,1),'2.4 PV (by Borough)'!AL111,IF(Dashboard!$D$6=INDEX('Scenario names'!$C$3:$C$6,2),'2.4 PV (by Borough)'!AL111,IF(Dashboard!$D$6=INDEX('Scenario names'!$C$3:$C$6,3),'2.4 PV (by Borough)'!AL152,"Error")))))</f>
        <v>28187378.660270046</v>
      </c>
      <c r="AM193" s="607">
        <f>IF(Dashboard!$D$6="Baseline",'2.4 PV (by Borough)'!AM29,IF(Dashboard!$D$6=INDEX('Scenario names'!$C$3:$C$6,4),'2.4 PV (by Borough)'!AM152,IF(Dashboard!$D$6=INDEX('Scenario names'!$C$3:$C$6,1),'2.4 PV (by Borough)'!AM111,IF(Dashboard!$D$6=INDEX('Scenario names'!$C$3:$C$6,2),'2.4 PV (by Borough)'!AM111,IF(Dashboard!$D$6=INDEX('Scenario names'!$C$3:$C$6,3),'2.4 PV (by Borough)'!AM152,"Error")))))</f>
        <v>29659927.843416456</v>
      </c>
      <c r="AN193" s="607">
        <f>IF(Dashboard!$D$6="Baseline",'2.4 PV (by Borough)'!AN29,IF(Dashboard!$D$6=INDEX('Scenario names'!$C$3:$C$6,4),'2.4 PV (by Borough)'!AN152,IF(Dashboard!$D$6=INDEX('Scenario names'!$C$3:$C$6,1),'2.4 PV (by Borough)'!AN111,IF(Dashboard!$D$6=INDEX('Scenario names'!$C$3:$C$6,2),'2.4 PV (by Borough)'!AN111,IF(Dashboard!$D$6=INDEX('Scenario names'!$C$3:$C$6,3),'2.4 PV (by Borough)'!AN152,"Error")))))</f>
        <v>31132477.02656287</v>
      </c>
      <c r="AO193" s="607">
        <f>IF(Dashboard!$D$6="Baseline",'2.4 PV (by Borough)'!AO29,IF(Dashboard!$D$6=INDEX('Scenario names'!$C$3:$C$6,4),'2.4 PV (by Borough)'!AO152,IF(Dashboard!$D$6=INDEX('Scenario names'!$C$3:$C$6,1),'2.4 PV (by Borough)'!AO111,IF(Dashboard!$D$6=INDEX('Scenario names'!$C$3:$C$6,2),'2.4 PV (by Borough)'!AO111,IF(Dashboard!$D$6=INDEX('Scenario names'!$C$3:$C$6,3),'2.4 PV (by Borough)'!AO152,"Error")))))</f>
        <v>32605026.209709272</v>
      </c>
      <c r="AP193" s="607">
        <f>IF(Dashboard!$D$6="Baseline",'2.4 PV (by Borough)'!AP29,IF(Dashboard!$D$6=INDEX('Scenario names'!$C$3:$C$6,4),'2.4 PV (by Borough)'!AP152,IF(Dashboard!$D$6=INDEX('Scenario names'!$C$3:$C$6,1),'2.4 PV (by Borough)'!AP111,IF(Dashboard!$D$6=INDEX('Scenario names'!$C$3:$C$6,2),'2.4 PV (by Borough)'!AP111,IF(Dashboard!$D$6=INDEX('Scenario names'!$C$3:$C$6,3),'2.4 PV (by Borough)'!AP152,"Error")))))</f>
        <v>34077575.392855689</v>
      </c>
      <c r="AQ193" s="607">
        <f>IF(Dashboard!$D$6="Baseline",'2.4 PV (by Borough)'!AQ29,IF(Dashboard!$D$6=INDEX('Scenario names'!$C$3:$C$6,4),'2.4 PV (by Borough)'!AQ152,IF(Dashboard!$D$6=INDEX('Scenario names'!$C$3:$C$6,1),'2.4 PV (by Borough)'!AQ111,IF(Dashboard!$D$6=INDEX('Scenario names'!$C$3:$C$6,2),'2.4 PV (by Borough)'!AQ111,IF(Dashboard!$D$6=INDEX('Scenario names'!$C$3:$C$6,3),'2.4 PV (by Borough)'!AQ152,"Error")))))</f>
        <v>35550124.576002091</v>
      </c>
      <c r="AR193" s="607">
        <f>IF(Dashboard!$D$6="Baseline",'2.4 PV (by Borough)'!AR29,IF(Dashboard!$D$6=INDEX('Scenario names'!$C$3:$C$6,4),'2.4 PV (by Borough)'!AR152,IF(Dashboard!$D$6=INDEX('Scenario names'!$C$3:$C$6,1),'2.4 PV (by Borough)'!AR111,IF(Dashboard!$D$6=INDEX('Scenario names'!$C$3:$C$6,2),'2.4 PV (by Borough)'!AR111,IF(Dashboard!$D$6=INDEX('Scenario names'!$C$3:$C$6,3),'2.4 PV (by Borough)'!AR152,"Error")))))</f>
        <v>37022673.759148493</v>
      </c>
      <c r="AS193" s="607">
        <f>IF(Dashboard!$D$6="Baseline",'2.4 PV (by Borough)'!AS29,IF(Dashboard!$D$6=INDEX('Scenario names'!$C$3:$C$6,4),'2.4 PV (by Borough)'!AS152,IF(Dashboard!$D$6=INDEX('Scenario names'!$C$3:$C$6,1),'2.4 PV (by Borough)'!AS111,IF(Dashboard!$D$6=INDEX('Scenario names'!$C$3:$C$6,2),'2.4 PV (by Borough)'!AS111,IF(Dashboard!$D$6=INDEX('Scenario names'!$C$3:$C$6,3),'2.4 PV (by Borough)'!AS152,"Error")))))</f>
        <v>38495222.942294911</v>
      </c>
      <c r="AT193" s="607">
        <f>IF(Dashboard!$D$6="Baseline",'2.4 PV (by Borough)'!AT29,IF(Dashboard!$D$6=INDEX('Scenario names'!$C$3:$C$6,4),'2.4 PV (by Borough)'!AT152,IF(Dashboard!$D$6=INDEX('Scenario names'!$C$3:$C$6,1),'2.4 PV (by Borough)'!AT111,IF(Dashboard!$D$6=INDEX('Scenario names'!$C$3:$C$6,2),'2.4 PV (by Borough)'!AT111,IF(Dashboard!$D$6=INDEX('Scenario names'!$C$3:$C$6,3),'2.4 PV (by Borough)'!AT152,"Error")))))</f>
        <v>39967772.125441313</v>
      </c>
      <c r="AU193" s="607">
        <f>IF(Dashboard!$D$6="Baseline",'2.4 PV (by Borough)'!AU29,IF(Dashboard!$D$6=INDEX('Scenario names'!$C$3:$C$6,4),'2.4 PV (by Borough)'!AU152,IF(Dashboard!$D$6=INDEX('Scenario names'!$C$3:$C$6,1),'2.4 PV (by Borough)'!AU111,IF(Dashboard!$D$6=INDEX('Scenario names'!$C$3:$C$6,2),'2.4 PV (by Borough)'!AU111,IF(Dashboard!$D$6=INDEX('Scenario names'!$C$3:$C$6,3),'2.4 PV (by Borough)'!AU152,"Error")))))</f>
        <v>41440321.308587737</v>
      </c>
      <c r="AV193" s="607">
        <f>IF(Dashboard!$D$6="Baseline",'2.4 PV (by Borough)'!AV29,IF(Dashboard!$D$6=INDEX('Scenario names'!$C$3:$C$6,4),'2.4 PV (by Borough)'!AV152,IF(Dashboard!$D$6=INDEX('Scenario names'!$C$3:$C$6,1),'2.4 PV (by Borough)'!AV111,IF(Dashboard!$D$6=INDEX('Scenario names'!$C$3:$C$6,2),'2.4 PV (by Borough)'!AV111,IF(Dashboard!$D$6=INDEX('Scenario names'!$C$3:$C$6,3),'2.4 PV (by Borough)'!AV152,"Error")))))</f>
        <v>42912870.491734147</v>
      </c>
      <c r="AW193" s="607">
        <f>IF(Dashboard!$D$6="Baseline",'2.4 PV (by Borough)'!AW29,IF(Dashboard!$D$6=INDEX('Scenario names'!$C$3:$C$6,4),'2.4 PV (by Borough)'!AW152,IF(Dashboard!$D$6=INDEX('Scenario names'!$C$3:$C$6,1),'2.4 PV (by Borough)'!AW111,IF(Dashboard!$D$6=INDEX('Scenario names'!$C$3:$C$6,2),'2.4 PV (by Borough)'!AW111,IF(Dashboard!$D$6=INDEX('Scenario names'!$C$3:$C$6,3),'2.4 PV (by Borough)'!AW152,"Error")))))</f>
        <v>44385419.674880542</v>
      </c>
      <c r="AX193" s="607">
        <f>IF(Dashboard!$D$6="Baseline",'2.4 PV (by Borough)'!AX29,IF(Dashboard!$D$6=INDEX('Scenario names'!$C$3:$C$6,4),'2.4 PV (by Borough)'!AX152,IF(Dashboard!$D$6=INDEX('Scenario names'!$C$3:$C$6,1),'2.4 PV (by Borough)'!AX111,IF(Dashboard!$D$6=INDEX('Scenario names'!$C$3:$C$6,2),'2.4 PV (by Borough)'!AX111,IF(Dashboard!$D$6=INDEX('Scenario names'!$C$3:$C$6,3),'2.4 PV (by Borough)'!AX152,"Error")))))</f>
        <v>45857968.858026966</v>
      </c>
      <c r="AY193" s="36"/>
      <c r="AZ193" s="36"/>
      <c r="BA193" s="36"/>
      <c r="BB193" s="36"/>
    </row>
    <row r="194" spans="4:54">
      <c r="D194" t="s">
        <v>660</v>
      </c>
      <c r="E194" t="s">
        <v>650</v>
      </c>
      <c r="G194" s="44"/>
      <c r="I194" s="44"/>
      <c r="K194" s="44"/>
      <c r="M194" s="44"/>
      <c r="O194" s="607">
        <f>IF(Dashboard!$D$6="Baseline",'2.4 PV (by Borough)'!O30,IF(Dashboard!$D$6=INDEX('Scenario names'!$C$3:$C$6,4),'2.4 PV (by Borough)'!O153,IF(Dashboard!$D$6=INDEX('Scenario names'!$C$3:$C$6,1),'2.4 PV (by Borough)'!O112,IF(Dashboard!$D$6=INDEX('Scenario names'!$C$3:$C$6,2),'2.4 PV (by Borough)'!O112,IF(Dashboard!$D$6=INDEX('Scenario names'!$C$3:$C$6,3),'2.4 PV (by Borough)'!O153,"Error")))))</f>
        <v>1373498.2261270715</v>
      </c>
      <c r="P194" s="607">
        <f>IF(Dashboard!$D$6="Baseline",'2.4 PV (by Borough)'!P30,IF(Dashboard!$D$6=INDEX('Scenario names'!$C$3:$C$6,4),'2.4 PV (by Borough)'!P153,IF(Dashboard!$D$6=INDEX('Scenario names'!$C$3:$C$6,1),'2.4 PV (by Borough)'!P112,IF(Dashboard!$D$6=INDEX('Scenario names'!$C$3:$C$6,2),'2.4 PV (by Borough)'!P112,IF(Dashboard!$D$6=INDEX('Scenario names'!$C$3:$C$6,3),'2.4 PV (by Borough)'!P153,"Error")))))</f>
        <v>2423500.3840160836</v>
      </c>
      <c r="Q194" s="607">
        <f>IF(Dashboard!$D$6="Baseline",'2.4 PV (by Borough)'!Q30,IF(Dashboard!$D$6=INDEX('Scenario names'!$C$3:$C$6,4),'2.4 PV (by Borough)'!Q153,IF(Dashboard!$D$6=INDEX('Scenario names'!$C$3:$C$6,1),'2.4 PV (by Borough)'!Q112,IF(Dashboard!$D$6=INDEX('Scenario names'!$C$3:$C$6,2),'2.4 PV (by Borough)'!Q112,IF(Dashboard!$D$6=INDEX('Scenario names'!$C$3:$C$6,3),'2.4 PV (by Borough)'!Q153,"Error")))))</f>
        <v>3473502.5419050967</v>
      </c>
      <c r="R194" s="607">
        <f>IF(Dashboard!$D$6="Baseline",'2.4 PV (by Borough)'!R30,IF(Dashboard!$D$6=INDEX('Scenario names'!$C$3:$C$6,4),'2.4 PV (by Borough)'!R153,IF(Dashboard!$D$6=INDEX('Scenario names'!$C$3:$C$6,1),'2.4 PV (by Borough)'!R112,IF(Dashboard!$D$6=INDEX('Scenario names'!$C$3:$C$6,2),'2.4 PV (by Borough)'!R112,IF(Dashboard!$D$6=INDEX('Scenario names'!$C$3:$C$6,3),'2.4 PV (by Borough)'!R153,"Error")))))</f>
        <v>4523504.6997941099</v>
      </c>
      <c r="S194" s="607">
        <f>IF(Dashboard!$D$6="Baseline",'2.4 PV (by Borough)'!S30,IF(Dashboard!$D$6=INDEX('Scenario names'!$C$3:$C$6,4),'2.4 PV (by Borough)'!S153,IF(Dashboard!$D$6=INDEX('Scenario names'!$C$3:$C$6,1),'2.4 PV (by Borough)'!S112,IF(Dashboard!$D$6=INDEX('Scenario names'!$C$3:$C$6,2),'2.4 PV (by Borough)'!S112,IF(Dashboard!$D$6=INDEX('Scenario names'!$C$3:$C$6,3),'2.4 PV (by Borough)'!S153,"Error")))))</f>
        <v>5573506.8576831203</v>
      </c>
      <c r="T194" s="607">
        <f>IF(Dashboard!$D$6="Baseline",'2.4 PV (by Borough)'!T30,IF(Dashboard!$D$6=INDEX('Scenario names'!$C$3:$C$6,4),'2.4 PV (by Borough)'!T153,IF(Dashboard!$D$6=INDEX('Scenario names'!$C$3:$C$6,1),'2.4 PV (by Borough)'!T112,IF(Dashboard!$D$6=INDEX('Scenario names'!$C$3:$C$6,2),'2.4 PV (by Borough)'!T112,IF(Dashboard!$D$6=INDEX('Scenario names'!$C$3:$C$6,3),'2.4 PV (by Borough)'!T153,"Error")))))</f>
        <v>6623509.0155721335</v>
      </c>
      <c r="U194" s="607">
        <f>IF(Dashboard!$D$6="Baseline",'2.4 PV (by Borough)'!U30,IF(Dashboard!$D$6=INDEX('Scenario names'!$C$3:$C$6,4),'2.4 PV (by Borough)'!U153,IF(Dashboard!$D$6=INDEX('Scenario names'!$C$3:$C$6,1),'2.4 PV (by Borough)'!U112,IF(Dashboard!$D$6=INDEX('Scenario names'!$C$3:$C$6,2),'2.4 PV (by Borough)'!U112,IF(Dashboard!$D$6=INDEX('Scenario names'!$C$3:$C$6,3),'2.4 PV (by Borough)'!U153,"Error")))))</f>
        <v>7673511.1734611467</v>
      </c>
      <c r="V194" s="607">
        <f>IF(Dashboard!$D$6="Baseline",'2.4 PV (by Borough)'!V30,IF(Dashboard!$D$6=INDEX('Scenario names'!$C$3:$C$6,4),'2.4 PV (by Borough)'!V153,IF(Dashboard!$D$6=INDEX('Scenario names'!$C$3:$C$6,1),'2.4 PV (by Borough)'!V112,IF(Dashboard!$D$6=INDEX('Scenario names'!$C$3:$C$6,2),'2.4 PV (by Borough)'!V112,IF(Dashboard!$D$6=INDEX('Scenario names'!$C$3:$C$6,3),'2.4 PV (by Borough)'!V153,"Error")))))</f>
        <v>8723513.3313501589</v>
      </c>
      <c r="W194" s="607">
        <f>IF(Dashboard!$D$6="Baseline",'2.4 PV (by Borough)'!W30,IF(Dashboard!$D$6=INDEX('Scenario names'!$C$3:$C$6,4),'2.4 PV (by Borough)'!W153,IF(Dashboard!$D$6=INDEX('Scenario names'!$C$3:$C$6,1),'2.4 PV (by Borough)'!W112,IF(Dashboard!$D$6=INDEX('Scenario names'!$C$3:$C$6,2),'2.4 PV (by Borough)'!W112,IF(Dashboard!$D$6=INDEX('Scenario names'!$C$3:$C$6,3),'2.4 PV (by Borough)'!W153,"Error")))))</f>
        <v>9773515.4892391711</v>
      </c>
      <c r="X194" s="607">
        <f>IF(Dashboard!$D$6="Baseline",'2.4 PV (by Borough)'!X30,IF(Dashboard!$D$6=INDEX('Scenario names'!$C$3:$C$6,4),'2.4 PV (by Borough)'!X153,IF(Dashboard!$D$6=INDEX('Scenario names'!$C$3:$C$6,1),'2.4 PV (by Borough)'!X112,IF(Dashboard!$D$6=INDEX('Scenario names'!$C$3:$C$6,2),'2.4 PV (by Borough)'!X112,IF(Dashboard!$D$6=INDEX('Scenario names'!$C$3:$C$6,3),'2.4 PV (by Borough)'!X153,"Error")))))</f>
        <v>10823517.647128182</v>
      </c>
      <c r="Y194" s="607">
        <f>IF(Dashboard!$D$6="Baseline",'2.4 PV (by Borough)'!Y30,IF(Dashboard!$D$6=INDEX('Scenario names'!$C$3:$C$6,4),'2.4 PV (by Borough)'!Y153,IF(Dashboard!$D$6=INDEX('Scenario names'!$C$3:$C$6,1),'2.4 PV (by Borough)'!Y112,IF(Dashboard!$D$6=INDEX('Scenario names'!$C$3:$C$6,2),'2.4 PV (by Borough)'!Y112,IF(Dashboard!$D$6=INDEX('Scenario names'!$C$3:$C$6,3),'2.4 PV (by Borough)'!Y153,"Error")))))</f>
        <v>11873519.805017196</v>
      </c>
      <c r="Z194" s="607">
        <f>IF(Dashboard!$D$6="Baseline",'2.4 PV (by Borough)'!Z30,IF(Dashboard!$D$6=INDEX('Scenario names'!$C$3:$C$6,4),'2.4 PV (by Borough)'!Z153,IF(Dashboard!$D$6=INDEX('Scenario names'!$C$3:$C$6,1),'2.4 PV (by Borough)'!Z112,IF(Dashboard!$D$6=INDEX('Scenario names'!$C$3:$C$6,2),'2.4 PV (by Borough)'!Z112,IF(Dashboard!$D$6=INDEX('Scenario names'!$C$3:$C$6,3),'2.4 PV (by Borough)'!Z153,"Error")))))</f>
        <v>13810436.120600626</v>
      </c>
      <c r="AA194" s="607">
        <f>IF(Dashboard!$D$6="Baseline",'2.4 PV (by Borough)'!AA30,IF(Dashboard!$D$6=INDEX('Scenario names'!$C$3:$C$6,4),'2.4 PV (by Borough)'!AA153,IF(Dashboard!$D$6=INDEX('Scenario names'!$C$3:$C$6,1),'2.4 PV (by Borough)'!AA112,IF(Dashboard!$D$6=INDEX('Scenario names'!$C$3:$C$6,2),'2.4 PV (by Borough)'!AA112,IF(Dashboard!$D$6=INDEX('Scenario names'!$C$3:$C$6,3),'2.4 PV (by Borough)'!AA153,"Error")))))</f>
        <v>15747352.436184045</v>
      </c>
      <c r="AB194" s="607">
        <f>IF(Dashboard!$D$6="Baseline",'2.4 PV (by Borough)'!AB30,IF(Dashboard!$D$6=INDEX('Scenario names'!$C$3:$C$6,4),'2.4 PV (by Borough)'!AB153,IF(Dashboard!$D$6=INDEX('Scenario names'!$C$3:$C$6,1),'2.4 PV (by Borough)'!AB112,IF(Dashboard!$D$6=INDEX('Scenario names'!$C$3:$C$6,2),'2.4 PV (by Borough)'!AB112,IF(Dashboard!$D$6=INDEX('Scenario names'!$C$3:$C$6,3),'2.4 PV (by Borough)'!AB153,"Error")))))</f>
        <v>17684268.751767471</v>
      </c>
      <c r="AC194" s="607">
        <f>IF(Dashboard!$D$6="Baseline",'2.4 PV (by Borough)'!AC30,IF(Dashboard!$D$6=INDEX('Scenario names'!$C$3:$C$6,4),'2.4 PV (by Borough)'!AC153,IF(Dashboard!$D$6=INDEX('Scenario names'!$C$3:$C$6,1),'2.4 PV (by Borough)'!AC112,IF(Dashboard!$D$6=INDEX('Scenario names'!$C$3:$C$6,2),'2.4 PV (by Borough)'!AC112,IF(Dashboard!$D$6=INDEX('Scenario names'!$C$3:$C$6,3),'2.4 PV (by Borough)'!AC153,"Error")))))</f>
        <v>19621185.067350902</v>
      </c>
      <c r="AD194" s="607">
        <f>IF(Dashboard!$D$6="Baseline",'2.4 PV (by Borough)'!AD30,IF(Dashboard!$D$6=INDEX('Scenario names'!$C$3:$C$6,4),'2.4 PV (by Borough)'!AD153,IF(Dashboard!$D$6=INDEX('Scenario names'!$C$3:$C$6,1),'2.4 PV (by Borough)'!AD112,IF(Dashboard!$D$6=INDEX('Scenario names'!$C$3:$C$6,2),'2.4 PV (by Borough)'!AD112,IF(Dashboard!$D$6=INDEX('Scenario names'!$C$3:$C$6,3),'2.4 PV (by Borough)'!AD153,"Error")))))</f>
        <v>21558101.382934324</v>
      </c>
      <c r="AE194" s="607">
        <f>IF(Dashboard!$D$6="Baseline",'2.4 PV (by Borough)'!AE30,IF(Dashboard!$D$6=INDEX('Scenario names'!$C$3:$C$6,4),'2.4 PV (by Borough)'!AE153,IF(Dashboard!$D$6=INDEX('Scenario names'!$C$3:$C$6,1),'2.4 PV (by Borough)'!AE112,IF(Dashboard!$D$6=INDEX('Scenario names'!$C$3:$C$6,2),'2.4 PV (by Borough)'!AE112,IF(Dashboard!$D$6=INDEX('Scenario names'!$C$3:$C$6,3),'2.4 PV (by Borough)'!AE153,"Error")))))</f>
        <v>23495017.698517743</v>
      </c>
      <c r="AF194" s="607">
        <f>IF(Dashboard!$D$6="Baseline",'2.4 PV (by Borough)'!AF30,IF(Dashboard!$D$6=INDEX('Scenario names'!$C$3:$C$6,4),'2.4 PV (by Borough)'!AF153,IF(Dashboard!$D$6=INDEX('Scenario names'!$C$3:$C$6,1),'2.4 PV (by Borough)'!AF112,IF(Dashboard!$D$6=INDEX('Scenario names'!$C$3:$C$6,2),'2.4 PV (by Borough)'!AF112,IF(Dashboard!$D$6=INDEX('Scenario names'!$C$3:$C$6,3),'2.4 PV (by Borough)'!AF153,"Error")))))</f>
        <v>25431934.014101177</v>
      </c>
      <c r="AG194" s="607">
        <f>IF(Dashboard!$D$6="Baseline",'2.4 PV (by Borough)'!AG30,IF(Dashboard!$D$6=INDEX('Scenario names'!$C$3:$C$6,4),'2.4 PV (by Borough)'!AG153,IF(Dashboard!$D$6=INDEX('Scenario names'!$C$3:$C$6,1),'2.4 PV (by Borough)'!AG112,IF(Dashboard!$D$6=INDEX('Scenario names'!$C$3:$C$6,2),'2.4 PV (by Borough)'!AG112,IF(Dashboard!$D$6=INDEX('Scenario names'!$C$3:$C$6,3),'2.4 PV (by Borough)'!AG153,"Error")))))</f>
        <v>27368850.329684597</v>
      </c>
      <c r="AH194" s="607">
        <f>IF(Dashboard!$D$6="Baseline",'2.4 PV (by Borough)'!AH30,IF(Dashboard!$D$6=INDEX('Scenario names'!$C$3:$C$6,4),'2.4 PV (by Borough)'!AH153,IF(Dashboard!$D$6=INDEX('Scenario names'!$C$3:$C$6,1),'2.4 PV (by Borough)'!AH112,IF(Dashboard!$D$6=INDEX('Scenario names'!$C$3:$C$6,2),'2.4 PV (by Borough)'!AH112,IF(Dashboard!$D$6=INDEX('Scenario names'!$C$3:$C$6,3),'2.4 PV (by Borough)'!AH153,"Error")))))</f>
        <v>29305766.64526803</v>
      </c>
      <c r="AI194" s="607">
        <f>IF(Dashboard!$D$6="Baseline",'2.4 PV (by Borough)'!AI30,IF(Dashboard!$D$6=INDEX('Scenario names'!$C$3:$C$6,4),'2.4 PV (by Borough)'!AI153,IF(Dashboard!$D$6=INDEX('Scenario names'!$C$3:$C$6,1),'2.4 PV (by Borough)'!AI112,IF(Dashboard!$D$6=INDEX('Scenario names'!$C$3:$C$6,2),'2.4 PV (by Borough)'!AI112,IF(Dashboard!$D$6=INDEX('Scenario names'!$C$3:$C$6,3),'2.4 PV (by Borough)'!AI153,"Error")))))</f>
        <v>31242682.960851453</v>
      </c>
      <c r="AJ194" s="607">
        <f>IF(Dashboard!$D$6="Baseline",'2.4 PV (by Borough)'!AJ30,IF(Dashboard!$D$6=INDEX('Scenario names'!$C$3:$C$6,4),'2.4 PV (by Borough)'!AJ153,IF(Dashboard!$D$6=INDEX('Scenario names'!$C$3:$C$6,1),'2.4 PV (by Borough)'!AJ112,IF(Dashboard!$D$6=INDEX('Scenario names'!$C$3:$C$6,2),'2.4 PV (by Borough)'!AJ112,IF(Dashboard!$D$6=INDEX('Scenario names'!$C$3:$C$6,3),'2.4 PV (by Borough)'!AJ153,"Error")))))</f>
        <v>33179599.276434883</v>
      </c>
      <c r="AK194" s="607">
        <f>IF(Dashboard!$D$6="Baseline",'2.4 PV (by Borough)'!AK30,IF(Dashboard!$D$6=INDEX('Scenario names'!$C$3:$C$6,4),'2.4 PV (by Borough)'!AK153,IF(Dashboard!$D$6=INDEX('Scenario names'!$C$3:$C$6,1),'2.4 PV (by Borough)'!AK112,IF(Dashboard!$D$6=INDEX('Scenario names'!$C$3:$C$6,2),'2.4 PV (by Borough)'!AK112,IF(Dashboard!$D$6=INDEX('Scenario names'!$C$3:$C$6,3),'2.4 PV (by Borough)'!AK153,"Error")))))</f>
        <v>35116515.592018306</v>
      </c>
      <c r="AL194" s="607">
        <f>IF(Dashboard!$D$6="Baseline",'2.4 PV (by Borough)'!AL30,IF(Dashboard!$D$6=INDEX('Scenario names'!$C$3:$C$6,4),'2.4 PV (by Borough)'!AL153,IF(Dashboard!$D$6=INDEX('Scenario names'!$C$3:$C$6,1),'2.4 PV (by Borough)'!AL112,IF(Dashboard!$D$6=INDEX('Scenario names'!$C$3:$C$6,2),'2.4 PV (by Borough)'!AL112,IF(Dashboard!$D$6=INDEX('Scenario names'!$C$3:$C$6,3),'2.4 PV (by Borough)'!AL153,"Error")))))</f>
        <v>37053431.907601729</v>
      </c>
      <c r="AM194" s="607">
        <f>IF(Dashboard!$D$6="Baseline",'2.4 PV (by Borough)'!AM30,IF(Dashboard!$D$6=INDEX('Scenario names'!$C$3:$C$6,4),'2.4 PV (by Borough)'!AM153,IF(Dashboard!$D$6=INDEX('Scenario names'!$C$3:$C$6,1),'2.4 PV (by Borough)'!AM112,IF(Dashboard!$D$6=INDEX('Scenario names'!$C$3:$C$6,2),'2.4 PV (by Borough)'!AM112,IF(Dashboard!$D$6=INDEX('Scenario names'!$C$3:$C$6,3),'2.4 PV (by Borough)'!AM153,"Error")))))</f>
        <v>38990348.223185152</v>
      </c>
      <c r="AN194" s="607">
        <f>IF(Dashboard!$D$6="Baseline",'2.4 PV (by Borough)'!AN30,IF(Dashboard!$D$6=INDEX('Scenario names'!$C$3:$C$6,4),'2.4 PV (by Borough)'!AN153,IF(Dashboard!$D$6=INDEX('Scenario names'!$C$3:$C$6,1),'2.4 PV (by Borough)'!AN112,IF(Dashboard!$D$6=INDEX('Scenario names'!$C$3:$C$6,2),'2.4 PV (by Borough)'!AN112,IF(Dashboard!$D$6=INDEX('Scenario names'!$C$3:$C$6,3),'2.4 PV (by Borough)'!AN153,"Error")))))</f>
        <v>40927264.538768575</v>
      </c>
      <c r="AO194" s="607">
        <f>IF(Dashboard!$D$6="Baseline",'2.4 PV (by Borough)'!AO30,IF(Dashboard!$D$6=INDEX('Scenario names'!$C$3:$C$6,4),'2.4 PV (by Borough)'!AO153,IF(Dashboard!$D$6=INDEX('Scenario names'!$C$3:$C$6,1),'2.4 PV (by Borough)'!AO112,IF(Dashboard!$D$6=INDEX('Scenario names'!$C$3:$C$6,2),'2.4 PV (by Borough)'!AO112,IF(Dashboard!$D$6=INDEX('Scenario names'!$C$3:$C$6,3),'2.4 PV (by Borough)'!AO153,"Error")))))</f>
        <v>42864180.854352012</v>
      </c>
      <c r="AP194" s="607">
        <f>IF(Dashboard!$D$6="Baseline",'2.4 PV (by Borough)'!AP30,IF(Dashboard!$D$6=INDEX('Scenario names'!$C$3:$C$6,4),'2.4 PV (by Borough)'!AP153,IF(Dashboard!$D$6=INDEX('Scenario names'!$C$3:$C$6,1),'2.4 PV (by Borough)'!AP112,IF(Dashboard!$D$6=INDEX('Scenario names'!$C$3:$C$6,2),'2.4 PV (by Borough)'!AP112,IF(Dashboard!$D$6=INDEX('Scenario names'!$C$3:$C$6,3),'2.4 PV (by Borough)'!AP153,"Error")))))</f>
        <v>44801097.169935435</v>
      </c>
      <c r="AQ194" s="607">
        <f>IF(Dashboard!$D$6="Baseline",'2.4 PV (by Borough)'!AQ30,IF(Dashboard!$D$6=INDEX('Scenario names'!$C$3:$C$6,4),'2.4 PV (by Borough)'!AQ153,IF(Dashboard!$D$6=INDEX('Scenario names'!$C$3:$C$6,1),'2.4 PV (by Borough)'!AQ112,IF(Dashboard!$D$6=INDEX('Scenario names'!$C$3:$C$6,2),'2.4 PV (by Borough)'!AQ112,IF(Dashboard!$D$6=INDEX('Scenario names'!$C$3:$C$6,3),'2.4 PV (by Borough)'!AQ153,"Error")))))</f>
        <v>46738013.48551885</v>
      </c>
      <c r="AR194" s="607">
        <f>IF(Dashboard!$D$6="Baseline",'2.4 PV (by Borough)'!AR30,IF(Dashboard!$D$6=INDEX('Scenario names'!$C$3:$C$6,4),'2.4 PV (by Borough)'!AR153,IF(Dashboard!$D$6=INDEX('Scenario names'!$C$3:$C$6,1),'2.4 PV (by Borough)'!AR112,IF(Dashboard!$D$6=INDEX('Scenario names'!$C$3:$C$6,2),'2.4 PV (by Borough)'!AR112,IF(Dashboard!$D$6=INDEX('Scenario names'!$C$3:$C$6,3),'2.4 PV (by Borough)'!AR153,"Error")))))</f>
        <v>48674929.801102288</v>
      </c>
      <c r="AS194" s="607">
        <f>IF(Dashboard!$D$6="Baseline",'2.4 PV (by Borough)'!AS30,IF(Dashboard!$D$6=INDEX('Scenario names'!$C$3:$C$6,4),'2.4 PV (by Borough)'!AS153,IF(Dashboard!$D$6=INDEX('Scenario names'!$C$3:$C$6,1),'2.4 PV (by Borough)'!AS112,IF(Dashboard!$D$6=INDEX('Scenario names'!$C$3:$C$6,2),'2.4 PV (by Borough)'!AS112,IF(Dashboard!$D$6=INDEX('Scenario names'!$C$3:$C$6,3),'2.4 PV (by Borough)'!AS153,"Error")))))</f>
        <v>50611846.116685711</v>
      </c>
      <c r="AT194" s="607">
        <f>IF(Dashboard!$D$6="Baseline",'2.4 PV (by Borough)'!AT30,IF(Dashboard!$D$6=INDEX('Scenario names'!$C$3:$C$6,4),'2.4 PV (by Borough)'!AT153,IF(Dashboard!$D$6=INDEX('Scenario names'!$C$3:$C$6,1),'2.4 PV (by Borough)'!AT112,IF(Dashboard!$D$6=INDEX('Scenario names'!$C$3:$C$6,2),'2.4 PV (by Borough)'!AT112,IF(Dashboard!$D$6=INDEX('Scenario names'!$C$3:$C$6,3),'2.4 PV (by Borough)'!AT153,"Error")))))</f>
        <v>52548762.432269126</v>
      </c>
      <c r="AU194" s="607">
        <f>IF(Dashboard!$D$6="Baseline",'2.4 PV (by Borough)'!AU30,IF(Dashboard!$D$6=INDEX('Scenario names'!$C$3:$C$6,4),'2.4 PV (by Borough)'!AU153,IF(Dashboard!$D$6=INDEX('Scenario names'!$C$3:$C$6,1),'2.4 PV (by Borough)'!AU112,IF(Dashboard!$D$6=INDEX('Scenario names'!$C$3:$C$6,2),'2.4 PV (by Borough)'!AU112,IF(Dashboard!$D$6=INDEX('Scenario names'!$C$3:$C$6,3),'2.4 PV (by Borough)'!AU153,"Error")))))</f>
        <v>54485678.747852579</v>
      </c>
      <c r="AV194" s="607">
        <f>IF(Dashboard!$D$6="Baseline",'2.4 PV (by Borough)'!AV30,IF(Dashboard!$D$6=INDEX('Scenario names'!$C$3:$C$6,4),'2.4 PV (by Borough)'!AV153,IF(Dashboard!$D$6=INDEX('Scenario names'!$C$3:$C$6,1),'2.4 PV (by Borough)'!AV112,IF(Dashboard!$D$6=INDEX('Scenario names'!$C$3:$C$6,2),'2.4 PV (by Borough)'!AV112,IF(Dashboard!$D$6=INDEX('Scenario names'!$C$3:$C$6,3),'2.4 PV (by Borough)'!AV153,"Error")))))</f>
        <v>56422595.063435994</v>
      </c>
      <c r="AW194" s="607">
        <f>IF(Dashboard!$D$6="Baseline",'2.4 PV (by Borough)'!AW30,IF(Dashboard!$D$6=INDEX('Scenario names'!$C$3:$C$6,4),'2.4 PV (by Borough)'!AW153,IF(Dashboard!$D$6=INDEX('Scenario names'!$C$3:$C$6,1),'2.4 PV (by Borough)'!AW112,IF(Dashboard!$D$6=INDEX('Scenario names'!$C$3:$C$6,2),'2.4 PV (by Borough)'!AW112,IF(Dashboard!$D$6=INDEX('Scenario names'!$C$3:$C$6,3),'2.4 PV (by Borough)'!AW153,"Error")))))</f>
        <v>58359511.379019402</v>
      </c>
      <c r="AX194" s="607">
        <f>IF(Dashboard!$D$6="Baseline",'2.4 PV (by Borough)'!AX30,IF(Dashboard!$D$6=INDEX('Scenario names'!$C$3:$C$6,4),'2.4 PV (by Borough)'!AX153,IF(Dashboard!$D$6=INDEX('Scenario names'!$C$3:$C$6,1),'2.4 PV (by Borough)'!AX112,IF(Dashboard!$D$6=INDEX('Scenario names'!$C$3:$C$6,2),'2.4 PV (by Borough)'!AX112,IF(Dashboard!$D$6=INDEX('Scenario names'!$C$3:$C$6,3),'2.4 PV (by Borough)'!AX153,"Error")))))</f>
        <v>60296427.694602832</v>
      </c>
      <c r="AY194" s="36"/>
      <c r="AZ194" s="36"/>
      <c r="BA194" s="36"/>
      <c r="BB194" s="36"/>
    </row>
    <row r="195" spans="4:54">
      <c r="D195" t="s">
        <v>661</v>
      </c>
      <c r="E195" t="s">
        <v>651</v>
      </c>
      <c r="G195" s="44"/>
      <c r="I195" s="44"/>
      <c r="K195" s="44"/>
      <c r="M195" s="44"/>
      <c r="O195" s="607">
        <f>IF(Dashboard!$D$6="Baseline",'2.4 PV (by Borough)'!O31,IF(Dashboard!$D$6=INDEX('Scenario names'!$C$3:$C$6,4),'2.4 PV (by Borough)'!O154,IF(Dashboard!$D$6=INDEX('Scenario names'!$C$3:$C$6,1),'2.4 PV (by Borough)'!O113,IF(Dashboard!$D$6=INDEX('Scenario names'!$C$3:$C$6,2),'2.4 PV (by Borough)'!O113,IF(Dashboard!$D$6=INDEX('Scenario names'!$C$3:$C$6,3),'2.4 PV (by Borough)'!O154,"Error")))))</f>
        <v>1305785.218892765</v>
      </c>
      <c r="P195" s="607">
        <f>IF(Dashboard!$D$6="Baseline",'2.4 PV (by Borough)'!P31,IF(Dashboard!$D$6=INDEX('Scenario names'!$C$3:$C$6,4),'2.4 PV (by Borough)'!P154,IF(Dashboard!$D$6=INDEX('Scenario names'!$C$3:$C$6,1),'2.4 PV (by Borough)'!P113,IF(Dashboard!$D$6=INDEX('Scenario names'!$C$3:$C$6,2),'2.4 PV (by Borough)'!P113,IF(Dashboard!$D$6=INDEX('Scenario names'!$C$3:$C$6,3),'2.4 PV (by Borough)'!P154,"Error")))))</f>
        <v>2283769.978505685</v>
      </c>
      <c r="Q195" s="607">
        <f>IF(Dashboard!$D$6="Baseline",'2.4 PV (by Borough)'!Q31,IF(Dashboard!$D$6=INDEX('Scenario names'!$C$3:$C$6,4),'2.4 PV (by Borough)'!Q154,IF(Dashboard!$D$6=INDEX('Scenario names'!$C$3:$C$6,1),'2.4 PV (by Borough)'!Q113,IF(Dashboard!$D$6=INDEX('Scenario names'!$C$3:$C$6,2),'2.4 PV (by Borough)'!Q113,IF(Dashboard!$D$6=INDEX('Scenario names'!$C$3:$C$6,3),'2.4 PV (by Borough)'!Q154,"Error")))))</f>
        <v>3261754.7381186057</v>
      </c>
      <c r="R195" s="607">
        <f>IF(Dashboard!$D$6="Baseline",'2.4 PV (by Borough)'!R31,IF(Dashboard!$D$6=INDEX('Scenario names'!$C$3:$C$6,4),'2.4 PV (by Borough)'!R154,IF(Dashboard!$D$6=INDEX('Scenario names'!$C$3:$C$6,1),'2.4 PV (by Borough)'!R113,IF(Dashboard!$D$6=INDEX('Scenario names'!$C$3:$C$6,2),'2.4 PV (by Borough)'!R113,IF(Dashboard!$D$6=INDEX('Scenario names'!$C$3:$C$6,3),'2.4 PV (by Borough)'!R154,"Error")))))</f>
        <v>4239739.4977315264</v>
      </c>
      <c r="S195" s="607">
        <f>IF(Dashboard!$D$6="Baseline",'2.4 PV (by Borough)'!S31,IF(Dashboard!$D$6=INDEX('Scenario names'!$C$3:$C$6,4),'2.4 PV (by Borough)'!S154,IF(Dashboard!$D$6=INDEX('Scenario names'!$C$3:$C$6,1),'2.4 PV (by Borough)'!S113,IF(Dashboard!$D$6=INDEX('Scenario names'!$C$3:$C$6,2),'2.4 PV (by Borough)'!S113,IF(Dashboard!$D$6=INDEX('Scenario names'!$C$3:$C$6,3),'2.4 PV (by Borough)'!S154,"Error")))))</f>
        <v>5217724.2573444452</v>
      </c>
      <c r="T195" s="607">
        <f>IF(Dashboard!$D$6="Baseline",'2.4 PV (by Borough)'!T31,IF(Dashboard!$D$6=INDEX('Scenario names'!$C$3:$C$6,4),'2.4 PV (by Borough)'!T154,IF(Dashboard!$D$6=INDEX('Scenario names'!$C$3:$C$6,1),'2.4 PV (by Borough)'!T113,IF(Dashboard!$D$6=INDEX('Scenario names'!$C$3:$C$6,2),'2.4 PV (by Borough)'!T113,IF(Dashboard!$D$6=INDEX('Scenario names'!$C$3:$C$6,3),'2.4 PV (by Borough)'!T154,"Error")))))</f>
        <v>6195709.0169573668</v>
      </c>
      <c r="U195" s="607">
        <f>IF(Dashboard!$D$6="Baseline",'2.4 PV (by Borough)'!U31,IF(Dashboard!$D$6=INDEX('Scenario names'!$C$3:$C$6,4),'2.4 PV (by Borough)'!U154,IF(Dashboard!$D$6=INDEX('Scenario names'!$C$3:$C$6,1),'2.4 PV (by Borough)'!U113,IF(Dashboard!$D$6=INDEX('Scenario names'!$C$3:$C$6,2),'2.4 PV (by Borough)'!U113,IF(Dashboard!$D$6=INDEX('Scenario names'!$C$3:$C$6,3),'2.4 PV (by Borough)'!U154,"Error")))))</f>
        <v>7173693.7765702857</v>
      </c>
      <c r="V195" s="607">
        <f>IF(Dashboard!$D$6="Baseline",'2.4 PV (by Borough)'!V31,IF(Dashboard!$D$6=INDEX('Scenario names'!$C$3:$C$6,4),'2.4 PV (by Borough)'!V154,IF(Dashboard!$D$6=INDEX('Scenario names'!$C$3:$C$6,1),'2.4 PV (by Borough)'!V113,IF(Dashboard!$D$6=INDEX('Scenario names'!$C$3:$C$6,2),'2.4 PV (by Borough)'!V113,IF(Dashboard!$D$6=INDEX('Scenario names'!$C$3:$C$6,3),'2.4 PV (by Borough)'!V154,"Error")))))</f>
        <v>8151678.5361832073</v>
      </c>
      <c r="W195" s="607">
        <f>IF(Dashboard!$D$6="Baseline",'2.4 PV (by Borough)'!W31,IF(Dashboard!$D$6=INDEX('Scenario names'!$C$3:$C$6,4),'2.4 PV (by Borough)'!W154,IF(Dashboard!$D$6=INDEX('Scenario names'!$C$3:$C$6,1),'2.4 PV (by Borough)'!W113,IF(Dashboard!$D$6=INDEX('Scenario names'!$C$3:$C$6,2),'2.4 PV (by Borough)'!W113,IF(Dashboard!$D$6=INDEX('Scenario names'!$C$3:$C$6,3),'2.4 PV (by Borough)'!W154,"Error")))))</f>
        <v>9129663.2957961261</v>
      </c>
      <c r="X195" s="607">
        <f>IF(Dashboard!$D$6="Baseline",'2.4 PV (by Borough)'!X31,IF(Dashboard!$D$6=INDEX('Scenario names'!$C$3:$C$6,4),'2.4 PV (by Borough)'!X154,IF(Dashboard!$D$6=INDEX('Scenario names'!$C$3:$C$6,1),'2.4 PV (by Borough)'!X113,IF(Dashboard!$D$6=INDEX('Scenario names'!$C$3:$C$6,2),'2.4 PV (by Borough)'!X113,IF(Dashboard!$D$6=INDEX('Scenario names'!$C$3:$C$6,3),'2.4 PV (by Borough)'!X154,"Error")))))</f>
        <v>10107648.055409048</v>
      </c>
      <c r="Y195" s="607">
        <f>IF(Dashboard!$D$6="Baseline",'2.4 PV (by Borough)'!Y31,IF(Dashboard!$D$6=INDEX('Scenario names'!$C$3:$C$6,4),'2.4 PV (by Borough)'!Y154,IF(Dashboard!$D$6=INDEX('Scenario names'!$C$3:$C$6,1),'2.4 PV (by Borough)'!Y113,IF(Dashboard!$D$6=INDEX('Scenario names'!$C$3:$C$6,2),'2.4 PV (by Borough)'!Y113,IF(Dashboard!$D$6=INDEX('Scenario names'!$C$3:$C$6,3),'2.4 PV (by Borough)'!Y154,"Error")))))</f>
        <v>11085632.815021968</v>
      </c>
      <c r="Z195" s="607">
        <f>IF(Dashboard!$D$6="Baseline",'2.4 PV (by Borough)'!Z31,IF(Dashboard!$D$6=INDEX('Scenario names'!$C$3:$C$6,4),'2.4 PV (by Borough)'!Z154,IF(Dashboard!$D$6=INDEX('Scenario names'!$C$3:$C$6,1),'2.4 PV (by Borough)'!Z113,IF(Dashboard!$D$6=INDEX('Scenario names'!$C$3:$C$6,2),'2.4 PV (by Borough)'!Z113,IF(Dashboard!$D$6=INDEX('Scenario names'!$C$3:$C$6,3),'2.4 PV (by Borough)'!Z154,"Error")))))</f>
        <v>11840832.010929801</v>
      </c>
      <c r="AA195" s="607">
        <f>IF(Dashboard!$D$6="Baseline",'2.4 PV (by Borough)'!AA31,IF(Dashboard!$D$6=INDEX('Scenario names'!$C$3:$C$6,4),'2.4 PV (by Borough)'!AA154,IF(Dashboard!$D$6=INDEX('Scenario names'!$C$3:$C$6,1),'2.4 PV (by Borough)'!AA113,IF(Dashboard!$D$6=INDEX('Scenario names'!$C$3:$C$6,2),'2.4 PV (by Borough)'!AA113,IF(Dashboard!$D$6=INDEX('Scenario names'!$C$3:$C$6,3),'2.4 PV (by Borough)'!AA154,"Error")))))</f>
        <v>12596031.206837635</v>
      </c>
      <c r="AB195" s="607">
        <f>IF(Dashboard!$D$6="Baseline",'2.4 PV (by Borough)'!AB31,IF(Dashboard!$D$6=INDEX('Scenario names'!$C$3:$C$6,4),'2.4 PV (by Borough)'!AB154,IF(Dashboard!$D$6=INDEX('Scenario names'!$C$3:$C$6,1),'2.4 PV (by Borough)'!AB113,IF(Dashboard!$D$6=INDEX('Scenario names'!$C$3:$C$6,2),'2.4 PV (by Borough)'!AB113,IF(Dashboard!$D$6=INDEX('Scenario names'!$C$3:$C$6,3),'2.4 PV (by Borough)'!AB154,"Error")))))</f>
        <v>13351230.402745474</v>
      </c>
      <c r="AC195" s="607">
        <f>IF(Dashboard!$D$6="Baseline",'2.4 PV (by Borough)'!AC31,IF(Dashboard!$D$6=INDEX('Scenario names'!$C$3:$C$6,4),'2.4 PV (by Borough)'!AC154,IF(Dashboard!$D$6=INDEX('Scenario names'!$C$3:$C$6,1),'2.4 PV (by Borough)'!AC113,IF(Dashboard!$D$6=INDEX('Scenario names'!$C$3:$C$6,2),'2.4 PV (by Borough)'!AC113,IF(Dashboard!$D$6=INDEX('Scenario names'!$C$3:$C$6,3),'2.4 PV (by Borough)'!AC154,"Error")))))</f>
        <v>14106429.598653305</v>
      </c>
      <c r="AD195" s="607">
        <f>IF(Dashboard!$D$6="Baseline",'2.4 PV (by Borough)'!AD31,IF(Dashboard!$D$6=INDEX('Scenario names'!$C$3:$C$6,4),'2.4 PV (by Borough)'!AD154,IF(Dashboard!$D$6=INDEX('Scenario names'!$C$3:$C$6,1),'2.4 PV (by Borough)'!AD113,IF(Dashboard!$D$6=INDEX('Scenario names'!$C$3:$C$6,2),'2.4 PV (by Borough)'!AD113,IF(Dashboard!$D$6=INDEX('Scenario names'!$C$3:$C$6,3),'2.4 PV (by Borough)'!AD154,"Error")))))</f>
        <v>14861628.794561142</v>
      </c>
      <c r="AE195" s="607">
        <f>IF(Dashboard!$D$6="Baseline",'2.4 PV (by Borough)'!AE31,IF(Dashboard!$D$6=INDEX('Scenario names'!$C$3:$C$6,4),'2.4 PV (by Borough)'!AE154,IF(Dashboard!$D$6=INDEX('Scenario names'!$C$3:$C$6,1),'2.4 PV (by Borough)'!AE113,IF(Dashboard!$D$6=INDEX('Scenario names'!$C$3:$C$6,2),'2.4 PV (by Borough)'!AE113,IF(Dashboard!$D$6=INDEX('Scenario names'!$C$3:$C$6,3),'2.4 PV (by Borough)'!AE154,"Error")))))</f>
        <v>15616827.990468977</v>
      </c>
      <c r="AF195" s="607">
        <f>IF(Dashboard!$D$6="Baseline",'2.4 PV (by Borough)'!AF31,IF(Dashboard!$D$6=INDEX('Scenario names'!$C$3:$C$6,4),'2.4 PV (by Borough)'!AF154,IF(Dashboard!$D$6=INDEX('Scenario names'!$C$3:$C$6,1),'2.4 PV (by Borough)'!AF113,IF(Dashboard!$D$6=INDEX('Scenario names'!$C$3:$C$6,2),'2.4 PV (by Borough)'!AF113,IF(Dashboard!$D$6=INDEX('Scenario names'!$C$3:$C$6,3),'2.4 PV (by Borough)'!AF154,"Error")))))</f>
        <v>16372027.186376816</v>
      </c>
      <c r="AG195" s="607">
        <f>IF(Dashboard!$D$6="Baseline",'2.4 PV (by Borough)'!AG31,IF(Dashboard!$D$6=INDEX('Scenario names'!$C$3:$C$6,4),'2.4 PV (by Borough)'!AG154,IF(Dashboard!$D$6=INDEX('Scenario names'!$C$3:$C$6,1),'2.4 PV (by Borough)'!AG113,IF(Dashboard!$D$6=INDEX('Scenario names'!$C$3:$C$6,2),'2.4 PV (by Borough)'!AG113,IF(Dashboard!$D$6=INDEX('Scenario names'!$C$3:$C$6,3),'2.4 PV (by Borough)'!AG154,"Error")))))</f>
        <v>17127226.382284649</v>
      </c>
      <c r="AH195" s="607">
        <f>IF(Dashboard!$D$6="Baseline",'2.4 PV (by Borough)'!AH31,IF(Dashboard!$D$6=INDEX('Scenario names'!$C$3:$C$6,4),'2.4 PV (by Borough)'!AH154,IF(Dashboard!$D$6=INDEX('Scenario names'!$C$3:$C$6,1),'2.4 PV (by Borough)'!AH113,IF(Dashboard!$D$6=INDEX('Scenario names'!$C$3:$C$6,2),'2.4 PV (by Borough)'!AH113,IF(Dashboard!$D$6=INDEX('Scenario names'!$C$3:$C$6,3),'2.4 PV (by Borough)'!AH154,"Error")))))</f>
        <v>17882425.578192484</v>
      </c>
      <c r="AI195" s="607">
        <f>IF(Dashboard!$D$6="Baseline",'2.4 PV (by Borough)'!AI31,IF(Dashboard!$D$6=INDEX('Scenario names'!$C$3:$C$6,4),'2.4 PV (by Borough)'!AI154,IF(Dashboard!$D$6=INDEX('Scenario names'!$C$3:$C$6,1),'2.4 PV (by Borough)'!AI113,IF(Dashboard!$D$6=INDEX('Scenario names'!$C$3:$C$6,2),'2.4 PV (by Borough)'!AI113,IF(Dashboard!$D$6=INDEX('Scenario names'!$C$3:$C$6,3),'2.4 PV (by Borough)'!AI154,"Error")))))</f>
        <v>18637624.774100319</v>
      </c>
      <c r="AJ195" s="607">
        <f>IF(Dashboard!$D$6="Baseline",'2.4 PV (by Borough)'!AJ31,IF(Dashboard!$D$6=INDEX('Scenario names'!$C$3:$C$6,4),'2.4 PV (by Borough)'!AJ154,IF(Dashboard!$D$6=INDEX('Scenario names'!$C$3:$C$6,1),'2.4 PV (by Borough)'!AJ113,IF(Dashboard!$D$6=INDEX('Scenario names'!$C$3:$C$6,2),'2.4 PV (by Borough)'!AJ113,IF(Dashboard!$D$6=INDEX('Scenario names'!$C$3:$C$6,3),'2.4 PV (by Borough)'!AJ154,"Error")))))</f>
        <v>19392823.970008157</v>
      </c>
      <c r="AK195" s="607">
        <f>IF(Dashboard!$D$6="Baseline",'2.4 PV (by Borough)'!AK31,IF(Dashboard!$D$6=INDEX('Scenario names'!$C$3:$C$6,4),'2.4 PV (by Borough)'!AK154,IF(Dashboard!$D$6=INDEX('Scenario names'!$C$3:$C$6,1),'2.4 PV (by Borough)'!AK113,IF(Dashboard!$D$6=INDEX('Scenario names'!$C$3:$C$6,2),'2.4 PV (by Borough)'!AK113,IF(Dashboard!$D$6=INDEX('Scenario names'!$C$3:$C$6,3),'2.4 PV (by Borough)'!AK154,"Error")))))</f>
        <v>20148023.165915992</v>
      </c>
      <c r="AL195" s="607">
        <f>IF(Dashboard!$D$6="Baseline",'2.4 PV (by Borough)'!AL31,IF(Dashboard!$D$6=INDEX('Scenario names'!$C$3:$C$6,4),'2.4 PV (by Borough)'!AL154,IF(Dashboard!$D$6=INDEX('Scenario names'!$C$3:$C$6,1),'2.4 PV (by Borough)'!AL113,IF(Dashboard!$D$6=INDEX('Scenario names'!$C$3:$C$6,2),'2.4 PV (by Borough)'!AL113,IF(Dashboard!$D$6=INDEX('Scenario names'!$C$3:$C$6,3),'2.4 PV (by Borough)'!AL154,"Error")))))</f>
        <v>20903222.361823823</v>
      </c>
      <c r="AM195" s="607">
        <f>IF(Dashboard!$D$6="Baseline",'2.4 PV (by Borough)'!AM31,IF(Dashboard!$D$6=INDEX('Scenario names'!$C$3:$C$6,4),'2.4 PV (by Borough)'!AM154,IF(Dashboard!$D$6=INDEX('Scenario names'!$C$3:$C$6,1),'2.4 PV (by Borough)'!AM113,IF(Dashboard!$D$6=INDEX('Scenario names'!$C$3:$C$6,2),'2.4 PV (by Borough)'!AM113,IF(Dashboard!$D$6=INDEX('Scenario names'!$C$3:$C$6,3),'2.4 PV (by Borough)'!AM154,"Error")))))</f>
        <v>21658421.557731662</v>
      </c>
      <c r="AN195" s="607">
        <f>IF(Dashboard!$D$6="Baseline",'2.4 PV (by Borough)'!AN31,IF(Dashboard!$D$6=INDEX('Scenario names'!$C$3:$C$6,4),'2.4 PV (by Borough)'!AN154,IF(Dashboard!$D$6=INDEX('Scenario names'!$C$3:$C$6,1),'2.4 PV (by Borough)'!AN113,IF(Dashboard!$D$6=INDEX('Scenario names'!$C$3:$C$6,2),'2.4 PV (by Borough)'!AN113,IF(Dashboard!$D$6=INDEX('Scenario names'!$C$3:$C$6,3),'2.4 PV (by Borough)'!AN154,"Error")))))</f>
        <v>22413620.753639504</v>
      </c>
      <c r="AO195" s="607">
        <f>IF(Dashboard!$D$6="Baseline",'2.4 PV (by Borough)'!AO31,IF(Dashboard!$D$6=INDEX('Scenario names'!$C$3:$C$6,4),'2.4 PV (by Borough)'!AO154,IF(Dashboard!$D$6=INDEX('Scenario names'!$C$3:$C$6,1),'2.4 PV (by Borough)'!AO113,IF(Dashboard!$D$6=INDEX('Scenario names'!$C$3:$C$6,2),'2.4 PV (by Borough)'!AO113,IF(Dashboard!$D$6=INDEX('Scenario names'!$C$3:$C$6,3),'2.4 PV (by Borough)'!AO154,"Error")))))</f>
        <v>23168819.949547339</v>
      </c>
      <c r="AP195" s="607">
        <f>IF(Dashboard!$D$6="Baseline",'2.4 PV (by Borough)'!AP31,IF(Dashboard!$D$6=INDEX('Scenario names'!$C$3:$C$6,4),'2.4 PV (by Borough)'!AP154,IF(Dashboard!$D$6=INDEX('Scenario names'!$C$3:$C$6,1),'2.4 PV (by Borough)'!AP113,IF(Dashboard!$D$6=INDEX('Scenario names'!$C$3:$C$6,2),'2.4 PV (by Borough)'!AP113,IF(Dashboard!$D$6=INDEX('Scenario names'!$C$3:$C$6,3),'2.4 PV (by Borough)'!AP154,"Error")))))</f>
        <v>23924019.145455174</v>
      </c>
      <c r="AQ195" s="607">
        <f>IF(Dashboard!$D$6="Baseline",'2.4 PV (by Borough)'!AQ31,IF(Dashboard!$D$6=INDEX('Scenario names'!$C$3:$C$6,4),'2.4 PV (by Borough)'!AQ154,IF(Dashboard!$D$6=INDEX('Scenario names'!$C$3:$C$6,1),'2.4 PV (by Borough)'!AQ113,IF(Dashboard!$D$6=INDEX('Scenario names'!$C$3:$C$6,2),'2.4 PV (by Borough)'!AQ113,IF(Dashboard!$D$6=INDEX('Scenario names'!$C$3:$C$6,3),'2.4 PV (by Borough)'!AQ154,"Error")))))</f>
        <v>24679218.341363002</v>
      </c>
      <c r="AR195" s="607">
        <f>IF(Dashboard!$D$6="Baseline",'2.4 PV (by Borough)'!AR31,IF(Dashboard!$D$6=INDEX('Scenario names'!$C$3:$C$6,4),'2.4 PV (by Borough)'!AR154,IF(Dashboard!$D$6=INDEX('Scenario names'!$C$3:$C$6,1),'2.4 PV (by Borough)'!AR113,IF(Dashboard!$D$6=INDEX('Scenario names'!$C$3:$C$6,2),'2.4 PV (by Borough)'!AR113,IF(Dashboard!$D$6=INDEX('Scenario names'!$C$3:$C$6,3),'2.4 PV (by Borough)'!AR154,"Error")))))</f>
        <v>25434417.537270837</v>
      </c>
      <c r="AS195" s="607">
        <f>IF(Dashboard!$D$6="Baseline",'2.4 PV (by Borough)'!AS31,IF(Dashboard!$D$6=INDEX('Scenario names'!$C$3:$C$6,4),'2.4 PV (by Borough)'!AS154,IF(Dashboard!$D$6=INDEX('Scenario names'!$C$3:$C$6,1),'2.4 PV (by Borough)'!AS113,IF(Dashboard!$D$6=INDEX('Scenario names'!$C$3:$C$6,2),'2.4 PV (by Borough)'!AS113,IF(Dashboard!$D$6=INDEX('Scenario names'!$C$3:$C$6,3),'2.4 PV (by Borough)'!AS154,"Error")))))</f>
        <v>26189616.733178679</v>
      </c>
      <c r="AT195" s="607">
        <f>IF(Dashboard!$D$6="Baseline",'2.4 PV (by Borough)'!AT31,IF(Dashboard!$D$6=INDEX('Scenario names'!$C$3:$C$6,4),'2.4 PV (by Borough)'!AT154,IF(Dashboard!$D$6=INDEX('Scenario names'!$C$3:$C$6,1),'2.4 PV (by Borough)'!AT113,IF(Dashboard!$D$6=INDEX('Scenario names'!$C$3:$C$6,2),'2.4 PV (by Borough)'!AT113,IF(Dashboard!$D$6=INDEX('Scenario names'!$C$3:$C$6,3),'2.4 PV (by Borough)'!AT154,"Error")))))</f>
        <v>26944815.929086514</v>
      </c>
      <c r="AU195" s="607">
        <f>IF(Dashboard!$D$6="Baseline",'2.4 PV (by Borough)'!AU31,IF(Dashboard!$D$6=INDEX('Scenario names'!$C$3:$C$6,4),'2.4 PV (by Borough)'!AU154,IF(Dashboard!$D$6=INDEX('Scenario names'!$C$3:$C$6,1),'2.4 PV (by Borough)'!AU113,IF(Dashboard!$D$6=INDEX('Scenario names'!$C$3:$C$6,2),'2.4 PV (by Borough)'!AU113,IF(Dashboard!$D$6=INDEX('Scenario names'!$C$3:$C$6,3),'2.4 PV (by Borough)'!AU154,"Error")))))</f>
        <v>27700015.124994349</v>
      </c>
      <c r="AV195" s="607">
        <f>IF(Dashboard!$D$6="Baseline",'2.4 PV (by Borough)'!AV31,IF(Dashboard!$D$6=INDEX('Scenario names'!$C$3:$C$6,4),'2.4 PV (by Borough)'!AV154,IF(Dashboard!$D$6=INDEX('Scenario names'!$C$3:$C$6,1),'2.4 PV (by Borough)'!AV113,IF(Dashboard!$D$6=INDEX('Scenario names'!$C$3:$C$6,2),'2.4 PV (by Borough)'!AV113,IF(Dashboard!$D$6=INDEX('Scenario names'!$C$3:$C$6,3),'2.4 PV (by Borough)'!AV154,"Error")))))</f>
        <v>28455214.32090218</v>
      </c>
      <c r="AW195" s="607">
        <f>IF(Dashboard!$D$6="Baseline",'2.4 PV (by Borough)'!AW31,IF(Dashboard!$D$6=INDEX('Scenario names'!$C$3:$C$6,4),'2.4 PV (by Borough)'!AW154,IF(Dashboard!$D$6=INDEX('Scenario names'!$C$3:$C$6,1),'2.4 PV (by Borough)'!AW113,IF(Dashboard!$D$6=INDEX('Scenario names'!$C$3:$C$6,2),'2.4 PV (by Borough)'!AW113,IF(Dashboard!$D$6=INDEX('Scenario names'!$C$3:$C$6,3),'2.4 PV (by Borough)'!AW154,"Error")))))</f>
        <v>29210413.516810011</v>
      </c>
      <c r="AX195" s="607">
        <f>IF(Dashboard!$D$6="Baseline",'2.4 PV (by Borough)'!AX31,IF(Dashboard!$D$6=INDEX('Scenario names'!$C$3:$C$6,4),'2.4 PV (by Borough)'!AX154,IF(Dashboard!$D$6=INDEX('Scenario names'!$C$3:$C$6,1),'2.4 PV (by Borough)'!AX113,IF(Dashboard!$D$6=INDEX('Scenario names'!$C$3:$C$6,2),'2.4 PV (by Borough)'!AX113,IF(Dashboard!$D$6=INDEX('Scenario names'!$C$3:$C$6,3),'2.4 PV (by Borough)'!AX154,"Error")))))</f>
        <v>29965612.712717842</v>
      </c>
      <c r="AY195" s="36"/>
      <c r="AZ195" s="36"/>
      <c r="BA195" s="36"/>
      <c r="BB195" s="36"/>
    </row>
    <row r="196" spans="4:54">
      <c r="D196" t="s">
        <v>661</v>
      </c>
      <c r="E196" t="s">
        <v>652</v>
      </c>
      <c r="G196" s="44"/>
      <c r="I196" s="44"/>
      <c r="K196" s="44"/>
      <c r="M196" s="44"/>
      <c r="O196" s="607">
        <f>IF(Dashboard!$D$6="Baseline",'2.4 PV (by Borough)'!O32,IF(Dashboard!$D$6=INDEX('Scenario names'!$C$3:$C$6,4),'2.4 PV (by Borough)'!O155,IF(Dashboard!$D$6=INDEX('Scenario names'!$C$3:$C$6,1),'2.4 PV (by Borough)'!O114,IF(Dashboard!$D$6=INDEX('Scenario names'!$C$3:$C$6,2),'2.4 PV (by Borough)'!O114,IF(Dashboard!$D$6=INDEX('Scenario names'!$C$3:$C$6,3),'2.4 PV (by Borough)'!O155,"Error")))))</f>
        <v>1309551.8840455664</v>
      </c>
      <c r="P196" s="607">
        <f>IF(Dashboard!$D$6="Baseline",'2.4 PV (by Borough)'!P32,IF(Dashboard!$D$6=INDEX('Scenario names'!$C$3:$C$6,4),'2.4 PV (by Borough)'!P155,IF(Dashboard!$D$6=INDEX('Scenario names'!$C$3:$C$6,1),'2.4 PV (by Borough)'!P114,IF(Dashboard!$D$6=INDEX('Scenario names'!$C$3:$C$6,2),'2.4 PV (by Borough)'!P114,IF(Dashboard!$D$6=INDEX('Scenario names'!$C$3:$C$6,3),'2.4 PV (by Borough)'!P155,"Error")))))</f>
        <v>2308537.4788281457</v>
      </c>
      <c r="Q196" s="607">
        <f>IF(Dashboard!$D$6="Baseline",'2.4 PV (by Borough)'!Q32,IF(Dashboard!$D$6=INDEX('Scenario names'!$C$3:$C$6,4),'2.4 PV (by Borough)'!Q155,IF(Dashboard!$D$6=INDEX('Scenario names'!$C$3:$C$6,1),'2.4 PV (by Borough)'!Q114,IF(Dashboard!$D$6=INDEX('Scenario names'!$C$3:$C$6,2),'2.4 PV (by Borough)'!Q114,IF(Dashboard!$D$6=INDEX('Scenario names'!$C$3:$C$6,3),'2.4 PV (by Borough)'!Q155,"Error")))))</f>
        <v>3307523.0736107239</v>
      </c>
      <c r="R196" s="607">
        <f>IF(Dashboard!$D$6="Baseline",'2.4 PV (by Borough)'!R32,IF(Dashboard!$D$6=INDEX('Scenario names'!$C$3:$C$6,4),'2.4 PV (by Borough)'!R155,IF(Dashboard!$D$6=INDEX('Scenario names'!$C$3:$C$6,1),'2.4 PV (by Borough)'!R114,IF(Dashboard!$D$6=INDEX('Scenario names'!$C$3:$C$6,2),'2.4 PV (by Borough)'!R114,IF(Dashboard!$D$6=INDEX('Scenario names'!$C$3:$C$6,3),'2.4 PV (by Borough)'!R155,"Error")))))</f>
        <v>4306508.6683933046</v>
      </c>
      <c r="S196" s="607">
        <f>IF(Dashboard!$D$6="Baseline",'2.4 PV (by Borough)'!S32,IF(Dashboard!$D$6=INDEX('Scenario names'!$C$3:$C$6,4),'2.4 PV (by Borough)'!S155,IF(Dashboard!$D$6=INDEX('Scenario names'!$C$3:$C$6,1),'2.4 PV (by Borough)'!S114,IF(Dashboard!$D$6=INDEX('Scenario names'!$C$3:$C$6,2),'2.4 PV (by Borough)'!S114,IF(Dashboard!$D$6=INDEX('Scenario names'!$C$3:$C$6,3),'2.4 PV (by Borough)'!S155,"Error")))))</f>
        <v>5305494.2631758833</v>
      </c>
      <c r="T196" s="607">
        <f>IF(Dashboard!$D$6="Baseline",'2.4 PV (by Borough)'!T32,IF(Dashboard!$D$6=INDEX('Scenario names'!$C$3:$C$6,4),'2.4 PV (by Borough)'!T155,IF(Dashboard!$D$6=INDEX('Scenario names'!$C$3:$C$6,1),'2.4 PV (by Borough)'!T114,IF(Dashboard!$D$6=INDEX('Scenario names'!$C$3:$C$6,2),'2.4 PV (by Borough)'!T114,IF(Dashboard!$D$6=INDEX('Scenario names'!$C$3:$C$6,3),'2.4 PV (by Borough)'!T155,"Error")))))</f>
        <v>6304479.857958463</v>
      </c>
      <c r="U196" s="607">
        <f>IF(Dashboard!$D$6="Baseline",'2.4 PV (by Borough)'!U32,IF(Dashboard!$D$6=INDEX('Scenario names'!$C$3:$C$6,4),'2.4 PV (by Borough)'!U155,IF(Dashboard!$D$6=INDEX('Scenario names'!$C$3:$C$6,1),'2.4 PV (by Borough)'!U114,IF(Dashboard!$D$6=INDEX('Scenario names'!$C$3:$C$6,2),'2.4 PV (by Borough)'!U114,IF(Dashboard!$D$6=INDEX('Scenario names'!$C$3:$C$6,3),'2.4 PV (by Borough)'!U155,"Error")))))</f>
        <v>7303465.4527410399</v>
      </c>
      <c r="V196" s="607">
        <f>IF(Dashboard!$D$6="Baseline",'2.4 PV (by Borough)'!V32,IF(Dashboard!$D$6=INDEX('Scenario names'!$C$3:$C$6,4),'2.4 PV (by Borough)'!V155,IF(Dashboard!$D$6=INDEX('Scenario names'!$C$3:$C$6,1),'2.4 PV (by Borough)'!V114,IF(Dashboard!$D$6=INDEX('Scenario names'!$C$3:$C$6,2),'2.4 PV (by Borough)'!V114,IF(Dashboard!$D$6=INDEX('Scenario names'!$C$3:$C$6,3),'2.4 PV (by Borough)'!V155,"Error")))))</f>
        <v>8302451.0475236196</v>
      </c>
      <c r="W196" s="607">
        <f>IF(Dashboard!$D$6="Baseline",'2.4 PV (by Borough)'!W32,IF(Dashboard!$D$6=INDEX('Scenario names'!$C$3:$C$6,4),'2.4 PV (by Borough)'!W155,IF(Dashboard!$D$6=INDEX('Scenario names'!$C$3:$C$6,1),'2.4 PV (by Borough)'!W114,IF(Dashboard!$D$6=INDEX('Scenario names'!$C$3:$C$6,2),'2.4 PV (by Borough)'!W114,IF(Dashboard!$D$6=INDEX('Scenario names'!$C$3:$C$6,3),'2.4 PV (by Borough)'!W155,"Error")))))</f>
        <v>9301436.6423061974</v>
      </c>
      <c r="X196" s="607">
        <f>IF(Dashboard!$D$6="Baseline",'2.4 PV (by Borough)'!X32,IF(Dashboard!$D$6=INDEX('Scenario names'!$C$3:$C$6,4),'2.4 PV (by Borough)'!X155,IF(Dashboard!$D$6=INDEX('Scenario names'!$C$3:$C$6,1),'2.4 PV (by Borough)'!X114,IF(Dashboard!$D$6=INDEX('Scenario names'!$C$3:$C$6,2),'2.4 PV (by Borough)'!X114,IF(Dashboard!$D$6=INDEX('Scenario names'!$C$3:$C$6,3),'2.4 PV (by Borough)'!X155,"Error")))))</f>
        <v>10300422.237088781</v>
      </c>
      <c r="Y196" s="607">
        <f>IF(Dashboard!$D$6="Baseline",'2.4 PV (by Borough)'!Y32,IF(Dashboard!$D$6=INDEX('Scenario names'!$C$3:$C$6,4),'2.4 PV (by Borough)'!Y155,IF(Dashboard!$D$6=INDEX('Scenario names'!$C$3:$C$6,1),'2.4 PV (by Borough)'!Y114,IF(Dashboard!$D$6=INDEX('Scenario names'!$C$3:$C$6,2),'2.4 PV (by Borough)'!Y114,IF(Dashboard!$D$6=INDEX('Scenario names'!$C$3:$C$6,3),'2.4 PV (by Borough)'!Y155,"Error")))))</f>
        <v>11299407.831871361</v>
      </c>
      <c r="Z196" s="607">
        <f>IF(Dashboard!$D$6="Baseline",'2.4 PV (by Borough)'!Z32,IF(Dashboard!$D$6=INDEX('Scenario names'!$C$3:$C$6,4),'2.4 PV (by Borough)'!Z155,IF(Dashboard!$D$6=INDEX('Scenario names'!$C$3:$C$6,1),'2.4 PV (by Borough)'!Z114,IF(Dashboard!$D$6=INDEX('Scenario names'!$C$3:$C$6,2),'2.4 PV (by Borough)'!Z114,IF(Dashboard!$D$6=INDEX('Scenario names'!$C$3:$C$6,3),'2.4 PV (by Borough)'!Z155,"Error")))))</f>
        <v>13567284.053543106</v>
      </c>
      <c r="AA196" s="607">
        <f>IF(Dashboard!$D$6="Baseline",'2.4 PV (by Borough)'!AA32,IF(Dashboard!$D$6=INDEX('Scenario names'!$C$3:$C$6,4),'2.4 PV (by Borough)'!AA155,IF(Dashboard!$D$6=INDEX('Scenario names'!$C$3:$C$6,1),'2.4 PV (by Borough)'!AA114,IF(Dashboard!$D$6=INDEX('Scenario names'!$C$3:$C$6,2),'2.4 PV (by Borough)'!AA114,IF(Dashboard!$D$6=INDEX('Scenario names'!$C$3:$C$6,3),'2.4 PV (by Borough)'!AA155,"Error")))))</f>
        <v>15835160.275214849</v>
      </c>
      <c r="AB196" s="607">
        <f>IF(Dashboard!$D$6="Baseline",'2.4 PV (by Borough)'!AB32,IF(Dashboard!$D$6=INDEX('Scenario names'!$C$3:$C$6,4),'2.4 PV (by Borough)'!AB155,IF(Dashboard!$D$6=INDEX('Scenario names'!$C$3:$C$6,1),'2.4 PV (by Borough)'!AB114,IF(Dashboard!$D$6=INDEX('Scenario names'!$C$3:$C$6,2),'2.4 PV (by Borough)'!AB114,IF(Dashboard!$D$6=INDEX('Scenario names'!$C$3:$C$6,3),'2.4 PV (by Borough)'!AB155,"Error")))))</f>
        <v>18103036.496886604</v>
      </c>
      <c r="AC196" s="607">
        <f>IF(Dashboard!$D$6="Baseline",'2.4 PV (by Borough)'!AC32,IF(Dashboard!$D$6=INDEX('Scenario names'!$C$3:$C$6,4),'2.4 PV (by Borough)'!AC155,IF(Dashboard!$D$6=INDEX('Scenario names'!$C$3:$C$6,1),'2.4 PV (by Borough)'!AC114,IF(Dashboard!$D$6=INDEX('Scenario names'!$C$3:$C$6,2),'2.4 PV (by Borough)'!AC114,IF(Dashboard!$D$6=INDEX('Scenario names'!$C$3:$C$6,3),'2.4 PV (by Borough)'!AC155,"Error")))))</f>
        <v>20370912.718558349</v>
      </c>
      <c r="AD196" s="607">
        <f>IF(Dashboard!$D$6="Baseline",'2.4 PV (by Borough)'!AD32,IF(Dashboard!$D$6=INDEX('Scenario names'!$C$3:$C$6,4),'2.4 PV (by Borough)'!AD155,IF(Dashboard!$D$6=INDEX('Scenario names'!$C$3:$C$6,1),'2.4 PV (by Borough)'!AD114,IF(Dashboard!$D$6=INDEX('Scenario names'!$C$3:$C$6,2),'2.4 PV (by Borough)'!AD114,IF(Dashboard!$D$6=INDEX('Scenario names'!$C$3:$C$6,3),'2.4 PV (by Borough)'!AD155,"Error")))))</f>
        <v>22638788.940230094</v>
      </c>
      <c r="AE196" s="607">
        <f>IF(Dashboard!$D$6="Baseline",'2.4 PV (by Borough)'!AE32,IF(Dashboard!$D$6=INDEX('Scenario names'!$C$3:$C$6,4),'2.4 PV (by Borough)'!AE155,IF(Dashboard!$D$6=INDEX('Scenario names'!$C$3:$C$6,1),'2.4 PV (by Borough)'!AE114,IF(Dashboard!$D$6=INDEX('Scenario names'!$C$3:$C$6,2),'2.4 PV (by Borough)'!AE114,IF(Dashboard!$D$6=INDEX('Scenario names'!$C$3:$C$6,3),'2.4 PV (by Borough)'!AE155,"Error")))))</f>
        <v>24906665.161901847</v>
      </c>
      <c r="AF196" s="607">
        <f>IF(Dashboard!$D$6="Baseline",'2.4 PV (by Borough)'!AF32,IF(Dashboard!$D$6=INDEX('Scenario names'!$C$3:$C$6,4),'2.4 PV (by Borough)'!AF155,IF(Dashboard!$D$6=INDEX('Scenario names'!$C$3:$C$6,1),'2.4 PV (by Borough)'!AF114,IF(Dashboard!$D$6=INDEX('Scenario names'!$C$3:$C$6,2),'2.4 PV (by Borough)'!AF114,IF(Dashboard!$D$6=INDEX('Scenario names'!$C$3:$C$6,3),'2.4 PV (by Borough)'!AF155,"Error")))))</f>
        <v>27174541.383573595</v>
      </c>
      <c r="AG196" s="607">
        <f>IF(Dashboard!$D$6="Baseline",'2.4 PV (by Borough)'!AG32,IF(Dashboard!$D$6=INDEX('Scenario names'!$C$3:$C$6,4),'2.4 PV (by Borough)'!AG155,IF(Dashboard!$D$6=INDEX('Scenario names'!$C$3:$C$6,1),'2.4 PV (by Borough)'!AG114,IF(Dashboard!$D$6=INDEX('Scenario names'!$C$3:$C$6,2),'2.4 PV (by Borough)'!AG114,IF(Dashboard!$D$6=INDEX('Scenario names'!$C$3:$C$6,3),'2.4 PV (by Borough)'!AG155,"Error")))))</f>
        <v>29442417.605245337</v>
      </c>
      <c r="AH196" s="607">
        <f>IF(Dashboard!$D$6="Baseline",'2.4 PV (by Borough)'!AH32,IF(Dashboard!$D$6=INDEX('Scenario names'!$C$3:$C$6,4),'2.4 PV (by Borough)'!AH155,IF(Dashboard!$D$6=INDEX('Scenario names'!$C$3:$C$6,1),'2.4 PV (by Borough)'!AH114,IF(Dashboard!$D$6=INDEX('Scenario names'!$C$3:$C$6,2),'2.4 PV (by Borough)'!AH114,IF(Dashboard!$D$6=INDEX('Scenario names'!$C$3:$C$6,3),'2.4 PV (by Borough)'!AH155,"Error")))))</f>
        <v>31710293.826917082</v>
      </c>
      <c r="AI196" s="607">
        <f>IF(Dashboard!$D$6="Baseline",'2.4 PV (by Borough)'!AI32,IF(Dashboard!$D$6=INDEX('Scenario names'!$C$3:$C$6,4),'2.4 PV (by Borough)'!AI155,IF(Dashboard!$D$6=INDEX('Scenario names'!$C$3:$C$6,1),'2.4 PV (by Borough)'!AI114,IF(Dashboard!$D$6=INDEX('Scenario names'!$C$3:$C$6,2),'2.4 PV (by Borough)'!AI114,IF(Dashboard!$D$6=INDEX('Scenario names'!$C$3:$C$6,3),'2.4 PV (by Borough)'!AI155,"Error")))))</f>
        <v>33978170.048588835</v>
      </c>
      <c r="AJ196" s="607">
        <f>IF(Dashboard!$D$6="Baseline",'2.4 PV (by Borough)'!AJ32,IF(Dashboard!$D$6=INDEX('Scenario names'!$C$3:$C$6,4),'2.4 PV (by Borough)'!AJ155,IF(Dashboard!$D$6=INDEX('Scenario names'!$C$3:$C$6,1),'2.4 PV (by Borough)'!AJ114,IF(Dashboard!$D$6=INDEX('Scenario names'!$C$3:$C$6,2),'2.4 PV (by Borough)'!AJ114,IF(Dashboard!$D$6=INDEX('Scenario names'!$C$3:$C$6,3),'2.4 PV (by Borough)'!AJ155,"Error")))))</f>
        <v>36246046.270260572</v>
      </c>
      <c r="AK196" s="607">
        <f>IF(Dashboard!$D$6="Baseline",'2.4 PV (by Borough)'!AK32,IF(Dashboard!$D$6=INDEX('Scenario names'!$C$3:$C$6,4),'2.4 PV (by Borough)'!AK155,IF(Dashboard!$D$6=INDEX('Scenario names'!$C$3:$C$6,1),'2.4 PV (by Borough)'!AK114,IF(Dashboard!$D$6=INDEX('Scenario names'!$C$3:$C$6,2),'2.4 PV (by Borough)'!AK114,IF(Dashboard!$D$6=INDEX('Scenario names'!$C$3:$C$6,3),'2.4 PV (by Borough)'!AK155,"Error")))))</f>
        <v>38513922.491932333</v>
      </c>
      <c r="AL196" s="607">
        <f>IF(Dashboard!$D$6="Baseline",'2.4 PV (by Borough)'!AL32,IF(Dashboard!$D$6=INDEX('Scenario names'!$C$3:$C$6,4),'2.4 PV (by Borough)'!AL155,IF(Dashboard!$D$6=INDEX('Scenario names'!$C$3:$C$6,1),'2.4 PV (by Borough)'!AL114,IF(Dashboard!$D$6=INDEX('Scenario names'!$C$3:$C$6,2),'2.4 PV (by Borough)'!AL114,IF(Dashboard!$D$6=INDEX('Scenario names'!$C$3:$C$6,3),'2.4 PV (by Borough)'!AL155,"Error")))))</f>
        <v>40781798.713604078</v>
      </c>
      <c r="AM196" s="607">
        <f>IF(Dashboard!$D$6="Baseline",'2.4 PV (by Borough)'!AM32,IF(Dashboard!$D$6=INDEX('Scenario names'!$C$3:$C$6,4),'2.4 PV (by Borough)'!AM155,IF(Dashboard!$D$6=INDEX('Scenario names'!$C$3:$C$6,1),'2.4 PV (by Borough)'!AM114,IF(Dashboard!$D$6=INDEX('Scenario names'!$C$3:$C$6,2),'2.4 PV (by Borough)'!AM114,IF(Dashboard!$D$6=INDEX('Scenario names'!$C$3:$C$6,3),'2.4 PV (by Borough)'!AM155,"Error")))))</f>
        <v>43049674.935275823</v>
      </c>
      <c r="AN196" s="607">
        <f>IF(Dashboard!$D$6="Baseline",'2.4 PV (by Borough)'!AN32,IF(Dashboard!$D$6=INDEX('Scenario names'!$C$3:$C$6,4),'2.4 PV (by Borough)'!AN155,IF(Dashboard!$D$6=INDEX('Scenario names'!$C$3:$C$6,1),'2.4 PV (by Borough)'!AN114,IF(Dashboard!$D$6=INDEX('Scenario names'!$C$3:$C$6,2),'2.4 PV (by Borough)'!AN114,IF(Dashboard!$D$6=INDEX('Scenario names'!$C$3:$C$6,3),'2.4 PV (by Borough)'!AN155,"Error")))))</f>
        <v>45317551.156947561</v>
      </c>
      <c r="AO196" s="607">
        <f>IF(Dashboard!$D$6="Baseline",'2.4 PV (by Borough)'!AO32,IF(Dashboard!$D$6=INDEX('Scenario names'!$C$3:$C$6,4),'2.4 PV (by Borough)'!AO155,IF(Dashboard!$D$6=INDEX('Scenario names'!$C$3:$C$6,1),'2.4 PV (by Borough)'!AO114,IF(Dashboard!$D$6=INDEX('Scenario names'!$C$3:$C$6,2),'2.4 PV (by Borough)'!AO114,IF(Dashboard!$D$6=INDEX('Scenario names'!$C$3:$C$6,3),'2.4 PV (by Borough)'!AO155,"Error")))))</f>
        <v>47585427.378619321</v>
      </c>
      <c r="AP196" s="607">
        <f>IF(Dashboard!$D$6="Baseline",'2.4 PV (by Borough)'!AP32,IF(Dashboard!$D$6=INDEX('Scenario names'!$C$3:$C$6,4),'2.4 PV (by Borough)'!AP155,IF(Dashboard!$D$6=INDEX('Scenario names'!$C$3:$C$6,1),'2.4 PV (by Borough)'!AP114,IF(Dashboard!$D$6=INDEX('Scenario names'!$C$3:$C$6,2),'2.4 PV (by Borough)'!AP114,IF(Dashboard!$D$6=INDEX('Scenario names'!$C$3:$C$6,3),'2.4 PV (by Borough)'!AP155,"Error")))))</f>
        <v>49853303.600291066</v>
      </c>
      <c r="AQ196" s="607">
        <f>IF(Dashboard!$D$6="Baseline",'2.4 PV (by Borough)'!AQ32,IF(Dashboard!$D$6=INDEX('Scenario names'!$C$3:$C$6,4),'2.4 PV (by Borough)'!AQ155,IF(Dashboard!$D$6=INDEX('Scenario names'!$C$3:$C$6,1),'2.4 PV (by Borough)'!AQ114,IF(Dashboard!$D$6=INDEX('Scenario names'!$C$3:$C$6,2),'2.4 PV (by Borough)'!AQ114,IF(Dashboard!$D$6=INDEX('Scenario names'!$C$3:$C$6,3),'2.4 PV (by Borough)'!AQ155,"Error")))))</f>
        <v>52121179.821962819</v>
      </c>
      <c r="AR196" s="607">
        <f>IF(Dashboard!$D$6="Baseline",'2.4 PV (by Borough)'!AR32,IF(Dashboard!$D$6=INDEX('Scenario names'!$C$3:$C$6,4),'2.4 PV (by Borough)'!AR155,IF(Dashboard!$D$6=INDEX('Scenario names'!$C$3:$C$6,1),'2.4 PV (by Borough)'!AR114,IF(Dashboard!$D$6=INDEX('Scenario names'!$C$3:$C$6,2),'2.4 PV (by Borough)'!AR114,IF(Dashboard!$D$6=INDEX('Scenario names'!$C$3:$C$6,3),'2.4 PV (by Borough)'!AR155,"Error")))))</f>
        <v>54389056.043634549</v>
      </c>
      <c r="AS196" s="607">
        <f>IF(Dashboard!$D$6="Baseline",'2.4 PV (by Borough)'!AS32,IF(Dashboard!$D$6=INDEX('Scenario names'!$C$3:$C$6,4),'2.4 PV (by Borough)'!AS155,IF(Dashboard!$D$6=INDEX('Scenario names'!$C$3:$C$6,1),'2.4 PV (by Borough)'!AS114,IF(Dashboard!$D$6=INDEX('Scenario names'!$C$3:$C$6,2),'2.4 PV (by Borough)'!AS114,IF(Dashboard!$D$6=INDEX('Scenario names'!$C$3:$C$6,3),'2.4 PV (by Borough)'!AS155,"Error")))))</f>
        <v>56656932.265306309</v>
      </c>
      <c r="AT196" s="607">
        <f>IF(Dashboard!$D$6="Baseline",'2.4 PV (by Borough)'!AT32,IF(Dashboard!$D$6=INDEX('Scenario names'!$C$3:$C$6,4),'2.4 PV (by Borough)'!AT155,IF(Dashboard!$D$6=INDEX('Scenario names'!$C$3:$C$6,1),'2.4 PV (by Borough)'!AT114,IF(Dashboard!$D$6=INDEX('Scenario names'!$C$3:$C$6,2),'2.4 PV (by Borough)'!AT114,IF(Dashboard!$D$6=INDEX('Scenario names'!$C$3:$C$6,3),'2.4 PV (by Borough)'!AT155,"Error")))))</f>
        <v>58924808.486978054</v>
      </c>
      <c r="AU196" s="607">
        <f>IF(Dashboard!$D$6="Baseline",'2.4 PV (by Borough)'!AU32,IF(Dashboard!$D$6=INDEX('Scenario names'!$C$3:$C$6,4),'2.4 PV (by Borough)'!AU155,IF(Dashboard!$D$6=INDEX('Scenario names'!$C$3:$C$6,1),'2.4 PV (by Borough)'!AU114,IF(Dashboard!$D$6=INDEX('Scenario names'!$C$3:$C$6,2),'2.4 PV (by Borough)'!AU114,IF(Dashboard!$D$6=INDEX('Scenario names'!$C$3:$C$6,3),'2.4 PV (by Borough)'!AU155,"Error")))))</f>
        <v>61192684.708649814</v>
      </c>
      <c r="AV196" s="607">
        <f>IF(Dashboard!$D$6="Baseline",'2.4 PV (by Borough)'!AV32,IF(Dashboard!$D$6=INDEX('Scenario names'!$C$3:$C$6,4),'2.4 PV (by Borough)'!AV155,IF(Dashboard!$D$6=INDEX('Scenario names'!$C$3:$C$6,1),'2.4 PV (by Borough)'!AV114,IF(Dashboard!$D$6=INDEX('Scenario names'!$C$3:$C$6,2),'2.4 PV (by Borough)'!AV114,IF(Dashboard!$D$6=INDEX('Scenario names'!$C$3:$C$6,3),'2.4 PV (by Borough)'!AV155,"Error")))))</f>
        <v>63460560.930321552</v>
      </c>
      <c r="AW196" s="607">
        <f>IF(Dashboard!$D$6="Baseline",'2.4 PV (by Borough)'!AW32,IF(Dashboard!$D$6=INDEX('Scenario names'!$C$3:$C$6,4),'2.4 PV (by Borough)'!AW155,IF(Dashboard!$D$6=INDEX('Scenario names'!$C$3:$C$6,1),'2.4 PV (by Borough)'!AW114,IF(Dashboard!$D$6=INDEX('Scenario names'!$C$3:$C$6,2),'2.4 PV (by Borough)'!AW114,IF(Dashboard!$D$6=INDEX('Scenario names'!$C$3:$C$6,3),'2.4 PV (by Borough)'!AW155,"Error")))))</f>
        <v>65728437.15199329</v>
      </c>
      <c r="AX196" s="607">
        <f>IF(Dashboard!$D$6="Baseline",'2.4 PV (by Borough)'!AX32,IF(Dashboard!$D$6=INDEX('Scenario names'!$C$3:$C$6,4),'2.4 PV (by Borough)'!AX155,IF(Dashboard!$D$6=INDEX('Scenario names'!$C$3:$C$6,1),'2.4 PV (by Borough)'!AX114,IF(Dashboard!$D$6=INDEX('Scenario names'!$C$3:$C$6,2),'2.4 PV (by Borough)'!AX114,IF(Dashboard!$D$6=INDEX('Scenario names'!$C$3:$C$6,3),'2.4 PV (by Borough)'!AX155,"Error")))))</f>
        <v>67996313.37366505</v>
      </c>
      <c r="AY196" s="36"/>
      <c r="AZ196" s="36"/>
      <c r="BA196" s="36"/>
      <c r="BB196" s="36"/>
    </row>
    <row r="197" spans="4:54">
      <c r="D197" t="s">
        <v>661</v>
      </c>
      <c r="E197" t="s">
        <v>653</v>
      </c>
      <c r="G197" s="44"/>
      <c r="I197" s="44"/>
      <c r="K197" s="44"/>
      <c r="M197" s="44"/>
      <c r="O197" s="607">
        <f>IF(Dashboard!$D$6="Baseline",'2.4 PV (by Borough)'!O33,IF(Dashboard!$D$6=INDEX('Scenario names'!$C$3:$C$6,4),'2.4 PV (by Borough)'!O156,IF(Dashboard!$D$6=INDEX('Scenario names'!$C$3:$C$6,1),'2.4 PV (by Borough)'!O115,IF(Dashboard!$D$6=INDEX('Scenario names'!$C$3:$C$6,2),'2.4 PV (by Borough)'!O115,IF(Dashboard!$D$6=INDEX('Scenario names'!$C$3:$C$6,3),'2.4 PV (by Borough)'!O156,"Error")))))</f>
        <v>2044278.5721382035</v>
      </c>
      <c r="P197" s="607">
        <f>IF(Dashboard!$D$6="Baseline",'2.4 PV (by Borough)'!P33,IF(Dashboard!$D$6=INDEX('Scenario names'!$C$3:$C$6,4),'2.4 PV (by Borough)'!P156,IF(Dashboard!$D$6=INDEX('Scenario names'!$C$3:$C$6,1),'2.4 PV (by Borough)'!P115,IF(Dashboard!$D$6=INDEX('Scenario names'!$C$3:$C$6,2),'2.4 PV (by Borough)'!P115,IF(Dashboard!$D$6=INDEX('Scenario names'!$C$3:$C$6,3),'2.4 PV (by Borough)'!P156,"Error")))))</f>
        <v>3574893.1876111417</v>
      </c>
      <c r="Q197" s="607">
        <f>IF(Dashboard!$D$6="Baseline",'2.4 PV (by Borough)'!Q33,IF(Dashboard!$D$6=INDEX('Scenario names'!$C$3:$C$6,4),'2.4 PV (by Borough)'!Q156,IF(Dashboard!$D$6=INDEX('Scenario names'!$C$3:$C$6,1),'2.4 PV (by Borough)'!Q115,IF(Dashboard!$D$6=INDEX('Scenario names'!$C$3:$C$6,2),'2.4 PV (by Borough)'!Q115,IF(Dashboard!$D$6=INDEX('Scenario names'!$C$3:$C$6,3),'2.4 PV (by Borough)'!Q156,"Error")))))</f>
        <v>5105507.8030840792</v>
      </c>
      <c r="R197" s="607">
        <f>IF(Dashboard!$D$6="Baseline",'2.4 PV (by Borough)'!R33,IF(Dashboard!$D$6=INDEX('Scenario names'!$C$3:$C$6,4),'2.4 PV (by Borough)'!R156,IF(Dashboard!$D$6=INDEX('Scenario names'!$C$3:$C$6,1),'2.4 PV (by Borough)'!R115,IF(Dashboard!$D$6=INDEX('Scenario names'!$C$3:$C$6,2),'2.4 PV (by Borough)'!R115,IF(Dashboard!$D$6=INDEX('Scenario names'!$C$3:$C$6,3),'2.4 PV (by Borough)'!R156,"Error")))))</f>
        <v>6636122.4185570171</v>
      </c>
      <c r="S197" s="607">
        <f>IF(Dashboard!$D$6="Baseline",'2.4 PV (by Borough)'!S33,IF(Dashboard!$D$6=INDEX('Scenario names'!$C$3:$C$6,4),'2.4 PV (by Borough)'!S156,IF(Dashboard!$D$6=INDEX('Scenario names'!$C$3:$C$6,1),'2.4 PV (by Borough)'!S115,IF(Dashboard!$D$6=INDEX('Scenario names'!$C$3:$C$6,2),'2.4 PV (by Borough)'!S115,IF(Dashboard!$D$6=INDEX('Scenario names'!$C$3:$C$6,3),'2.4 PV (by Borough)'!S156,"Error")))))</f>
        <v>8166737.034029956</v>
      </c>
      <c r="T197" s="607">
        <f>IF(Dashboard!$D$6="Baseline",'2.4 PV (by Borough)'!T33,IF(Dashboard!$D$6=INDEX('Scenario names'!$C$3:$C$6,4),'2.4 PV (by Borough)'!T156,IF(Dashboard!$D$6=INDEX('Scenario names'!$C$3:$C$6,1),'2.4 PV (by Borough)'!T115,IF(Dashboard!$D$6=INDEX('Scenario names'!$C$3:$C$6,2),'2.4 PV (by Borough)'!T115,IF(Dashboard!$D$6=INDEX('Scenario names'!$C$3:$C$6,3),'2.4 PV (by Borough)'!T156,"Error")))))</f>
        <v>9697351.6495028939</v>
      </c>
      <c r="U197" s="607">
        <f>IF(Dashboard!$D$6="Baseline",'2.4 PV (by Borough)'!U33,IF(Dashboard!$D$6=INDEX('Scenario names'!$C$3:$C$6,4),'2.4 PV (by Borough)'!U156,IF(Dashboard!$D$6=INDEX('Scenario names'!$C$3:$C$6,1),'2.4 PV (by Borough)'!U115,IF(Dashboard!$D$6=INDEX('Scenario names'!$C$3:$C$6,2),'2.4 PV (by Borough)'!U115,IF(Dashboard!$D$6=INDEX('Scenario names'!$C$3:$C$6,3),'2.4 PV (by Borough)'!U156,"Error")))))</f>
        <v>11227966.264975833</v>
      </c>
      <c r="V197" s="607">
        <f>IF(Dashboard!$D$6="Baseline",'2.4 PV (by Borough)'!V33,IF(Dashboard!$D$6=INDEX('Scenario names'!$C$3:$C$6,4),'2.4 PV (by Borough)'!V156,IF(Dashboard!$D$6=INDEX('Scenario names'!$C$3:$C$6,1),'2.4 PV (by Borough)'!V115,IF(Dashboard!$D$6=INDEX('Scenario names'!$C$3:$C$6,2),'2.4 PV (by Borough)'!V115,IF(Dashboard!$D$6=INDEX('Scenario names'!$C$3:$C$6,3),'2.4 PV (by Borough)'!V156,"Error")))))</f>
        <v>12758580.88044877</v>
      </c>
      <c r="W197" s="607">
        <f>IF(Dashboard!$D$6="Baseline",'2.4 PV (by Borough)'!W33,IF(Dashboard!$D$6=INDEX('Scenario names'!$C$3:$C$6,4),'2.4 PV (by Borough)'!W156,IF(Dashboard!$D$6=INDEX('Scenario names'!$C$3:$C$6,1),'2.4 PV (by Borough)'!W115,IF(Dashboard!$D$6=INDEX('Scenario names'!$C$3:$C$6,2),'2.4 PV (by Borough)'!W115,IF(Dashboard!$D$6=INDEX('Scenario names'!$C$3:$C$6,3),'2.4 PV (by Borough)'!W156,"Error")))))</f>
        <v>14289195.495921705</v>
      </c>
      <c r="X197" s="607">
        <f>IF(Dashboard!$D$6="Baseline",'2.4 PV (by Borough)'!X33,IF(Dashboard!$D$6=INDEX('Scenario names'!$C$3:$C$6,4),'2.4 PV (by Borough)'!X156,IF(Dashboard!$D$6=INDEX('Scenario names'!$C$3:$C$6,1),'2.4 PV (by Borough)'!X115,IF(Dashboard!$D$6=INDEX('Scenario names'!$C$3:$C$6,2),'2.4 PV (by Borough)'!X115,IF(Dashboard!$D$6=INDEX('Scenario names'!$C$3:$C$6,3),'2.4 PV (by Borough)'!X156,"Error")))))</f>
        <v>15819810.111394642</v>
      </c>
      <c r="Y197" s="607">
        <f>IF(Dashboard!$D$6="Baseline",'2.4 PV (by Borough)'!Y33,IF(Dashboard!$D$6=INDEX('Scenario names'!$C$3:$C$6,4),'2.4 PV (by Borough)'!Y156,IF(Dashboard!$D$6=INDEX('Scenario names'!$C$3:$C$6,1),'2.4 PV (by Borough)'!Y115,IF(Dashboard!$D$6=INDEX('Scenario names'!$C$3:$C$6,2),'2.4 PV (by Borough)'!Y115,IF(Dashboard!$D$6=INDEX('Scenario names'!$C$3:$C$6,3),'2.4 PV (by Borough)'!Y156,"Error")))))</f>
        <v>17350424.726867579</v>
      </c>
      <c r="Z197" s="607">
        <f>IF(Dashboard!$D$6="Baseline",'2.4 PV (by Borough)'!Z33,IF(Dashboard!$D$6=INDEX('Scenario names'!$C$3:$C$6,4),'2.4 PV (by Borough)'!Z156,IF(Dashboard!$D$6=INDEX('Scenario names'!$C$3:$C$6,1),'2.4 PV (by Borough)'!Z115,IF(Dashboard!$D$6=INDEX('Scenario names'!$C$3:$C$6,2),'2.4 PV (by Borough)'!Z115,IF(Dashboard!$D$6=INDEX('Scenario names'!$C$3:$C$6,3),'2.4 PV (by Borough)'!Z156,"Error")))))</f>
        <v>18681110.749036003</v>
      </c>
      <c r="AA197" s="607">
        <f>IF(Dashboard!$D$6="Baseline",'2.4 PV (by Borough)'!AA33,IF(Dashboard!$D$6=INDEX('Scenario names'!$C$3:$C$6,4),'2.4 PV (by Borough)'!AA156,IF(Dashboard!$D$6=INDEX('Scenario names'!$C$3:$C$6,1),'2.4 PV (by Borough)'!AA115,IF(Dashboard!$D$6=INDEX('Scenario names'!$C$3:$C$6,2),'2.4 PV (by Borough)'!AA115,IF(Dashboard!$D$6=INDEX('Scenario names'!$C$3:$C$6,3),'2.4 PV (by Borough)'!AA156,"Error")))))</f>
        <v>20011796.771204427</v>
      </c>
      <c r="AB197" s="607">
        <f>IF(Dashboard!$D$6="Baseline",'2.4 PV (by Borough)'!AB33,IF(Dashboard!$D$6=INDEX('Scenario names'!$C$3:$C$6,4),'2.4 PV (by Borough)'!AB156,IF(Dashboard!$D$6=INDEX('Scenario names'!$C$3:$C$6,1),'2.4 PV (by Borough)'!AB115,IF(Dashboard!$D$6=INDEX('Scenario names'!$C$3:$C$6,2),'2.4 PV (by Borough)'!AB115,IF(Dashboard!$D$6=INDEX('Scenario names'!$C$3:$C$6,3),'2.4 PV (by Borough)'!AB156,"Error")))))</f>
        <v>21342482.793372855</v>
      </c>
      <c r="AC197" s="607">
        <f>IF(Dashboard!$D$6="Baseline",'2.4 PV (by Borough)'!AC33,IF(Dashboard!$D$6=INDEX('Scenario names'!$C$3:$C$6,4),'2.4 PV (by Borough)'!AC156,IF(Dashboard!$D$6=INDEX('Scenario names'!$C$3:$C$6,1),'2.4 PV (by Borough)'!AC115,IF(Dashboard!$D$6=INDEX('Scenario names'!$C$3:$C$6,2),'2.4 PV (by Borough)'!AC115,IF(Dashboard!$D$6=INDEX('Scenario names'!$C$3:$C$6,3),'2.4 PV (by Borough)'!AC156,"Error")))))</f>
        <v>22673168.815541275</v>
      </c>
      <c r="AD197" s="607">
        <f>IF(Dashboard!$D$6="Baseline",'2.4 PV (by Borough)'!AD33,IF(Dashboard!$D$6=INDEX('Scenario names'!$C$3:$C$6,4),'2.4 PV (by Borough)'!AD156,IF(Dashboard!$D$6=INDEX('Scenario names'!$C$3:$C$6,1),'2.4 PV (by Borough)'!AD115,IF(Dashboard!$D$6=INDEX('Scenario names'!$C$3:$C$6,2),'2.4 PV (by Borough)'!AD115,IF(Dashboard!$D$6=INDEX('Scenario names'!$C$3:$C$6,3),'2.4 PV (by Borough)'!AD156,"Error")))))</f>
        <v>24003854.837709691</v>
      </c>
      <c r="AE197" s="607">
        <f>IF(Dashboard!$D$6="Baseline",'2.4 PV (by Borough)'!AE33,IF(Dashboard!$D$6=INDEX('Scenario names'!$C$3:$C$6,4),'2.4 PV (by Borough)'!AE156,IF(Dashboard!$D$6=INDEX('Scenario names'!$C$3:$C$6,1),'2.4 PV (by Borough)'!AE115,IF(Dashboard!$D$6=INDEX('Scenario names'!$C$3:$C$6,2),'2.4 PV (by Borough)'!AE115,IF(Dashboard!$D$6=INDEX('Scenario names'!$C$3:$C$6,3),'2.4 PV (by Borough)'!AE156,"Error")))))</f>
        <v>25334540.859878115</v>
      </c>
      <c r="AF197" s="607">
        <f>IF(Dashboard!$D$6="Baseline",'2.4 PV (by Borough)'!AF33,IF(Dashboard!$D$6=INDEX('Scenario names'!$C$3:$C$6,4),'2.4 PV (by Borough)'!AF156,IF(Dashboard!$D$6=INDEX('Scenario names'!$C$3:$C$6,1),'2.4 PV (by Borough)'!AF115,IF(Dashboard!$D$6=INDEX('Scenario names'!$C$3:$C$6,2),'2.4 PV (by Borough)'!AF115,IF(Dashboard!$D$6=INDEX('Scenario names'!$C$3:$C$6,3),'2.4 PV (by Borough)'!AF156,"Error")))))</f>
        <v>26665226.882046539</v>
      </c>
      <c r="AG197" s="607">
        <f>IF(Dashboard!$D$6="Baseline",'2.4 PV (by Borough)'!AG33,IF(Dashboard!$D$6=INDEX('Scenario names'!$C$3:$C$6,4),'2.4 PV (by Borough)'!AG156,IF(Dashboard!$D$6=INDEX('Scenario names'!$C$3:$C$6,1),'2.4 PV (by Borough)'!AG115,IF(Dashboard!$D$6=INDEX('Scenario names'!$C$3:$C$6,2),'2.4 PV (by Borough)'!AG115,IF(Dashboard!$D$6=INDEX('Scenario names'!$C$3:$C$6,3),'2.4 PV (by Borough)'!AG156,"Error")))))</f>
        <v>27995912.904214967</v>
      </c>
      <c r="AH197" s="607">
        <f>IF(Dashboard!$D$6="Baseline",'2.4 PV (by Borough)'!AH33,IF(Dashboard!$D$6=INDEX('Scenario names'!$C$3:$C$6,4),'2.4 PV (by Borough)'!AH156,IF(Dashboard!$D$6=INDEX('Scenario names'!$C$3:$C$6,1),'2.4 PV (by Borough)'!AH115,IF(Dashboard!$D$6=INDEX('Scenario names'!$C$3:$C$6,2),'2.4 PV (by Borough)'!AH115,IF(Dashboard!$D$6=INDEX('Scenario names'!$C$3:$C$6,3),'2.4 PV (by Borough)'!AH156,"Error")))))</f>
        <v>29326598.926383387</v>
      </c>
      <c r="AI197" s="607">
        <f>IF(Dashboard!$D$6="Baseline",'2.4 PV (by Borough)'!AI33,IF(Dashboard!$D$6=INDEX('Scenario names'!$C$3:$C$6,4),'2.4 PV (by Borough)'!AI156,IF(Dashboard!$D$6=INDEX('Scenario names'!$C$3:$C$6,1),'2.4 PV (by Borough)'!AI115,IF(Dashboard!$D$6=INDEX('Scenario names'!$C$3:$C$6,2),'2.4 PV (by Borough)'!AI115,IF(Dashboard!$D$6=INDEX('Scenario names'!$C$3:$C$6,3),'2.4 PV (by Borough)'!AI156,"Error")))))</f>
        <v>30657284.948551808</v>
      </c>
      <c r="AJ197" s="607">
        <f>IF(Dashboard!$D$6="Baseline",'2.4 PV (by Borough)'!AJ33,IF(Dashboard!$D$6=INDEX('Scenario names'!$C$3:$C$6,4),'2.4 PV (by Borough)'!AJ156,IF(Dashboard!$D$6=INDEX('Scenario names'!$C$3:$C$6,1),'2.4 PV (by Borough)'!AJ115,IF(Dashboard!$D$6=INDEX('Scenario names'!$C$3:$C$6,2),'2.4 PV (by Borough)'!AJ115,IF(Dashboard!$D$6=INDEX('Scenario names'!$C$3:$C$6,3),'2.4 PV (by Borough)'!AJ156,"Error")))))</f>
        <v>31987970.970720228</v>
      </c>
      <c r="AK197" s="607">
        <f>IF(Dashboard!$D$6="Baseline",'2.4 PV (by Borough)'!AK33,IF(Dashboard!$D$6=INDEX('Scenario names'!$C$3:$C$6,4),'2.4 PV (by Borough)'!AK156,IF(Dashboard!$D$6=INDEX('Scenario names'!$C$3:$C$6,1),'2.4 PV (by Borough)'!AK115,IF(Dashboard!$D$6=INDEX('Scenario names'!$C$3:$C$6,2),'2.4 PV (by Borough)'!AK115,IF(Dashboard!$D$6=INDEX('Scenario names'!$C$3:$C$6,3),'2.4 PV (by Borough)'!AK156,"Error")))))</f>
        <v>33318656.992888652</v>
      </c>
      <c r="AL197" s="607">
        <f>IF(Dashboard!$D$6="Baseline",'2.4 PV (by Borough)'!AL33,IF(Dashboard!$D$6=INDEX('Scenario names'!$C$3:$C$6,4),'2.4 PV (by Borough)'!AL156,IF(Dashboard!$D$6=INDEX('Scenario names'!$C$3:$C$6,1),'2.4 PV (by Borough)'!AL115,IF(Dashboard!$D$6=INDEX('Scenario names'!$C$3:$C$6,2),'2.4 PV (by Borough)'!AL115,IF(Dashboard!$D$6=INDEX('Scenario names'!$C$3:$C$6,3),'2.4 PV (by Borough)'!AL156,"Error")))))</f>
        <v>34649343.015057072</v>
      </c>
      <c r="AM197" s="607">
        <f>IF(Dashboard!$D$6="Baseline",'2.4 PV (by Borough)'!AM33,IF(Dashboard!$D$6=INDEX('Scenario names'!$C$3:$C$6,4),'2.4 PV (by Borough)'!AM156,IF(Dashboard!$D$6=INDEX('Scenario names'!$C$3:$C$6,1),'2.4 PV (by Borough)'!AM115,IF(Dashboard!$D$6=INDEX('Scenario names'!$C$3:$C$6,2),'2.4 PV (by Borough)'!AM115,IF(Dashboard!$D$6=INDEX('Scenario names'!$C$3:$C$6,3),'2.4 PV (by Borough)'!AM156,"Error")))))</f>
        <v>35980029.0372255</v>
      </c>
      <c r="AN197" s="607">
        <f>IF(Dashboard!$D$6="Baseline",'2.4 PV (by Borough)'!AN33,IF(Dashboard!$D$6=INDEX('Scenario names'!$C$3:$C$6,4),'2.4 PV (by Borough)'!AN156,IF(Dashboard!$D$6=INDEX('Scenario names'!$C$3:$C$6,1),'2.4 PV (by Borough)'!AN115,IF(Dashboard!$D$6=INDEX('Scenario names'!$C$3:$C$6,2),'2.4 PV (by Borough)'!AN115,IF(Dashboard!$D$6=INDEX('Scenario names'!$C$3:$C$6,3),'2.4 PV (by Borough)'!AN156,"Error")))))</f>
        <v>37310715.05939392</v>
      </c>
      <c r="AO197" s="607">
        <f>IF(Dashboard!$D$6="Baseline",'2.4 PV (by Borough)'!AO33,IF(Dashboard!$D$6=INDEX('Scenario names'!$C$3:$C$6,4),'2.4 PV (by Borough)'!AO156,IF(Dashboard!$D$6=INDEX('Scenario names'!$C$3:$C$6,1),'2.4 PV (by Borough)'!AO115,IF(Dashboard!$D$6=INDEX('Scenario names'!$C$3:$C$6,2),'2.4 PV (by Borough)'!AO115,IF(Dashboard!$D$6=INDEX('Scenario names'!$C$3:$C$6,3),'2.4 PV (by Borough)'!AO156,"Error")))))</f>
        <v>38641401.08156234</v>
      </c>
      <c r="AP197" s="607">
        <f>IF(Dashboard!$D$6="Baseline",'2.4 PV (by Borough)'!AP33,IF(Dashboard!$D$6=INDEX('Scenario names'!$C$3:$C$6,4),'2.4 PV (by Borough)'!AP156,IF(Dashboard!$D$6=INDEX('Scenario names'!$C$3:$C$6,1),'2.4 PV (by Borough)'!AP115,IF(Dashboard!$D$6=INDEX('Scenario names'!$C$3:$C$6,2),'2.4 PV (by Borough)'!AP115,IF(Dashboard!$D$6=INDEX('Scenario names'!$C$3:$C$6,3),'2.4 PV (by Borough)'!AP156,"Error")))))</f>
        <v>39972087.103730768</v>
      </c>
      <c r="AQ197" s="607">
        <f>IF(Dashboard!$D$6="Baseline",'2.4 PV (by Borough)'!AQ33,IF(Dashboard!$D$6=INDEX('Scenario names'!$C$3:$C$6,4),'2.4 PV (by Borough)'!AQ156,IF(Dashboard!$D$6=INDEX('Scenario names'!$C$3:$C$6,1),'2.4 PV (by Borough)'!AQ115,IF(Dashboard!$D$6=INDEX('Scenario names'!$C$3:$C$6,2),'2.4 PV (by Borough)'!AQ115,IF(Dashboard!$D$6=INDEX('Scenario names'!$C$3:$C$6,3),'2.4 PV (by Borough)'!AQ156,"Error")))))</f>
        <v>41302773.125899181</v>
      </c>
      <c r="AR197" s="607">
        <f>IF(Dashboard!$D$6="Baseline",'2.4 PV (by Borough)'!AR33,IF(Dashboard!$D$6=INDEX('Scenario names'!$C$3:$C$6,4),'2.4 PV (by Borough)'!AR156,IF(Dashboard!$D$6=INDEX('Scenario names'!$C$3:$C$6,1),'2.4 PV (by Borough)'!AR115,IF(Dashboard!$D$6=INDEX('Scenario names'!$C$3:$C$6,2),'2.4 PV (by Borough)'!AR115,IF(Dashboard!$D$6=INDEX('Scenario names'!$C$3:$C$6,3),'2.4 PV (by Borough)'!AR156,"Error")))))</f>
        <v>42633459.148067608</v>
      </c>
      <c r="AS197" s="607">
        <f>IF(Dashboard!$D$6="Baseline",'2.4 PV (by Borough)'!AS33,IF(Dashboard!$D$6=INDEX('Scenario names'!$C$3:$C$6,4),'2.4 PV (by Borough)'!AS156,IF(Dashboard!$D$6=INDEX('Scenario names'!$C$3:$C$6,1),'2.4 PV (by Borough)'!AS115,IF(Dashboard!$D$6=INDEX('Scenario names'!$C$3:$C$6,2),'2.4 PV (by Borough)'!AS115,IF(Dashboard!$D$6=INDEX('Scenario names'!$C$3:$C$6,3),'2.4 PV (by Borough)'!AS156,"Error")))))</f>
        <v>43964145.170236029</v>
      </c>
      <c r="AT197" s="607">
        <f>IF(Dashboard!$D$6="Baseline",'2.4 PV (by Borough)'!AT33,IF(Dashboard!$D$6=INDEX('Scenario names'!$C$3:$C$6,4),'2.4 PV (by Borough)'!AT156,IF(Dashboard!$D$6=INDEX('Scenario names'!$C$3:$C$6,1),'2.4 PV (by Borough)'!AT115,IF(Dashboard!$D$6=INDEX('Scenario names'!$C$3:$C$6,2),'2.4 PV (by Borough)'!AT115,IF(Dashboard!$D$6=INDEX('Scenario names'!$C$3:$C$6,3),'2.4 PV (by Borough)'!AT156,"Error")))))</f>
        <v>45294831.192404464</v>
      </c>
      <c r="AU197" s="607">
        <f>IF(Dashboard!$D$6="Baseline",'2.4 PV (by Borough)'!AU33,IF(Dashboard!$D$6=INDEX('Scenario names'!$C$3:$C$6,4),'2.4 PV (by Borough)'!AU156,IF(Dashboard!$D$6=INDEX('Scenario names'!$C$3:$C$6,1),'2.4 PV (by Borough)'!AU115,IF(Dashboard!$D$6=INDEX('Scenario names'!$C$3:$C$6,2),'2.4 PV (by Borough)'!AU115,IF(Dashboard!$D$6=INDEX('Scenario names'!$C$3:$C$6,3),'2.4 PV (by Borough)'!AU156,"Error")))))</f>
        <v>46625517.214572877</v>
      </c>
      <c r="AV197" s="607">
        <f>IF(Dashboard!$D$6="Baseline",'2.4 PV (by Borough)'!AV33,IF(Dashboard!$D$6=INDEX('Scenario names'!$C$3:$C$6,4),'2.4 PV (by Borough)'!AV156,IF(Dashboard!$D$6=INDEX('Scenario names'!$C$3:$C$6,1),'2.4 PV (by Borough)'!AV115,IF(Dashboard!$D$6=INDEX('Scenario names'!$C$3:$C$6,2),'2.4 PV (by Borough)'!AV115,IF(Dashboard!$D$6=INDEX('Scenario names'!$C$3:$C$6,3),'2.4 PV (by Borough)'!AV156,"Error")))))</f>
        <v>47956203.236741312</v>
      </c>
      <c r="AW197" s="607">
        <f>IF(Dashboard!$D$6="Baseline",'2.4 PV (by Borough)'!AW33,IF(Dashboard!$D$6=INDEX('Scenario names'!$C$3:$C$6,4),'2.4 PV (by Borough)'!AW156,IF(Dashboard!$D$6=INDEX('Scenario names'!$C$3:$C$6,1),'2.4 PV (by Borough)'!AW115,IF(Dashboard!$D$6=INDEX('Scenario names'!$C$3:$C$6,2),'2.4 PV (by Borough)'!AW115,IF(Dashboard!$D$6=INDEX('Scenario names'!$C$3:$C$6,3),'2.4 PV (by Borough)'!AW156,"Error")))))</f>
        <v>49286889.258909725</v>
      </c>
      <c r="AX197" s="607">
        <f>IF(Dashboard!$D$6="Baseline",'2.4 PV (by Borough)'!AX33,IF(Dashboard!$D$6=INDEX('Scenario names'!$C$3:$C$6,4),'2.4 PV (by Borough)'!AX156,IF(Dashboard!$D$6=INDEX('Scenario names'!$C$3:$C$6,1),'2.4 PV (by Borough)'!AX115,IF(Dashboard!$D$6=INDEX('Scenario names'!$C$3:$C$6,2),'2.4 PV (by Borough)'!AX115,IF(Dashboard!$D$6=INDEX('Scenario names'!$C$3:$C$6,3),'2.4 PV (by Borough)'!AX156,"Error")))))</f>
        <v>50617575.281078145</v>
      </c>
      <c r="AY197" s="36"/>
      <c r="AZ197" s="36"/>
      <c r="BA197" s="36"/>
      <c r="BB197" s="36"/>
    </row>
    <row r="198" spans="4:54">
      <c r="D198" t="s">
        <v>661</v>
      </c>
      <c r="E198" t="s">
        <v>654</v>
      </c>
      <c r="G198" s="44"/>
      <c r="I198" s="44"/>
      <c r="K198" s="44"/>
      <c r="M198" s="44"/>
      <c r="O198" s="607">
        <f>IF(Dashboard!$D$6="Baseline",'2.4 PV (by Borough)'!O34,IF(Dashboard!$D$6=INDEX('Scenario names'!$C$3:$C$6,4),'2.4 PV (by Borough)'!O157,IF(Dashboard!$D$6=INDEX('Scenario names'!$C$3:$C$6,1),'2.4 PV (by Borough)'!O116,IF(Dashboard!$D$6=INDEX('Scenario names'!$C$3:$C$6,2),'2.4 PV (by Borough)'!O116,IF(Dashboard!$D$6=INDEX('Scenario names'!$C$3:$C$6,3),'2.4 PV (by Borough)'!O157,"Error")))))</f>
        <v>1165035.3618758866</v>
      </c>
      <c r="P198" s="607">
        <f>IF(Dashboard!$D$6="Baseline",'2.4 PV (by Borough)'!P34,IF(Dashboard!$D$6=INDEX('Scenario names'!$C$3:$C$6,4),'2.4 PV (by Borough)'!P157,IF(Dashboard!$D$6=INDEX('Scenario names'!$C$3:$C$6,1),'2.4 PV (by Borough)'!P116,IF(Dashboard!$D$6=INDEX('Scenario names'!$C$3:$C$6,2),'2.4 PV (by Borough)'!P116,IF(Dashboard!$D$6=INDEX('Scenario names'!$C$3:$C$6,3),'2.4 PV (by Borough)'!P157,"Error")))))</f>
        <v>2038147.0339981162</v>
      </c>
      <c r="Q198" s="607">
        <f>IF(Dashboard!$D$6="Baseline",'2.4 PV (by Borough)'!Q34,IF(Dashboard!$D$6=INDEX('Scenario names'!$C$3:$C$6,4),'2.4 PV (by Borough)'!Q157,IF(Dashboard!$D$6=INDEX('Scenario names'!$C$3:$C$6,1),'2.4 PV (by Borough)'!Q116,IF(Dashboard!$D$6=INDEX('Scenario names'!$C$3:$C$6,2),'2.4 PV (by Borough)'!Q116,IF(Dashboard!$D$6=INDEX('Scenario names'!$C$3:$C$6,3),'2.4 PV (by Borough)'!Q157,"Error")))))</f>
        <v>2911258.7061203457</v>
      </c>
      <c r="R198" s="607">
        <f>IF(Dashboard!$D$6="Baseline",'2.4 PV (by Borough)'!R34,IF(Dashboard!$D$6=INDEX('Scenario names'!$C$3:$C$6,4),'2.4 PV (by Borough)'!R157,IF(Dashboard!$D$6=INDEX('Scenario names'!$C$3:$C$6,1),'2.4 PV (by Borough)'!R116,IF(Dashboard!$D$6=INDEX('Scenario names'!$C$3:$C$6,2),'2.4 PV (by Borough)'!R116,IF(Dashboard!$D$6=INDEX('Scenario names'!$C$3:$C$6,3),'2.4 PV (by Borough)'!R157,"Error")))))</f>
        <v>3784370.378242576</v>
      </c>
      <c r="S198" s="607">
        <f>IF(Dashboard!$D$6="Baseline",'2.4 PV (by Borough)'!S34,IF(Dashboard!$D$6=INDEX('Scenario names'!$C$3:$C$6,4),'2.4 PV (by Borough)'!S157,IF(Dashboard!$D$6=INDEX('Scenario names'!$C$3:$C$6,1),'2.4 PV (by Borough)'!S116,IF(Dashboard!$D$6=INDEX('Scenario names'!$C$3:$C$6,2),'2.4 PV (by Borough)'!S116,IF(Dashboard!$D$6=INDEX('Scenario names'!$C$3:$C$6,3),'2.4 PV (by Borough)'!S157,"Error")))))</f>
        <v>4657482.0503648054</v>
      </c>
      <c r="T198" s="607">
        <f>IF(Dashboard!$D$6="Baseline",'2.4 PV (by Borough)'!T34,IF(Dashboard!$D$6=INDEX('Scenario names'!$C$3:$C$6,4),'2.4 PV (by Borough)'!T157,IF(Dashboard!$D$6=INDEX('Scenario names'!$C$3:$C$6,1),'2.4 PV (by Borough)'!T116,IF(Dashboard!$D$6=INDEX('Scenario names'!$C$3:$C$6,2),'2.4 PV (by Borough)'!T116,IF(Dashboard!$D$6=INDEX('Scenario names'!$C$3:$C$6,3),'2.4 PV (by Borough)'!T157,"Error")))))</f>
        <v>5530593.7224870361</v>
      </c>
      <c r="U198" s="607">
        <f>IF(Dashboard!$D$6="Baseline",'2.4 PV (by Borough)'!U34,IF(Dashboard!$D$6=INDEX('Scenario names'!$C$3:$C$6,4),'2.4 PV (by Borough)'!U157,IF(Dashboard!$D$6=INDEX('Scenario names'!$C$3:$C$6,1),'2.4 PV (by Borough)'!U116,IF(Dashboard!$D$6=INDEX('Scenario names'!$C$3:$C$6,2),'2.4 PV (by Borough)'!U116,IF(Dashboard!$D$6=INDEX('Scenario names'!$C$3:$C$6,3),'2.4 PV (by Borough)'!U157,"Error")))))</f>
        <v>6403705.3946092669</v>
      </c>
      <c r="V198" s="607">
        <f>IF(Dashboard!$D$6="Baseline",'2.4 PV (by Borough)'!V34,IF(Dashboard!$D$6=INDEX('Scenario names'!$C$3:$C$6,4),'2.4 PV (by Borough)'!V157,IF(Dashboard!$D$6=INDEX('Scenario names'!$C$3:$C$6,1),'2.4 PV (by Borough)'!V116,IF(Dashboard!$D$6=INDEX('Scenario names'!$C$3:$C$6,2),'2.4 PV (by Borough)'!V116,IF(Dashboard!$D$6=INDEX('Scenario names'!$C$3:$C$6,3),'2.4 PV (by Borough)'!V157,"Error")))))</f>
        <v>7276817.0667314967</v>
      </c>
      <c r="W198" s="607">
        <f>IF(Dashboard!$D$6="Baseline",'2.4 PV (by Borough)'!W34,IF(Dashboard!$D$6=INDEX('Scenario names'!$C$3:$C$6,4),'2.4 PV (by Borough)'!W157,IF(Dashboard!$D$6=INDEX('Scenario names'!$C$3:$C$6,1),'2.4 PV (by Borough)'!W116,IF(Dashboard!$D$6=INDEX('Scenario names'!$C$3:$C$6,2),'2.4 PV (by Borough)'!W116,IF(Dashboard!$D$6=INDEX('Scenario names'!$C$3:$C$6,3),'2.4 PV (by Borough)'!W157,"Error")))))</f>
        <v>8149928.7388537256</v>
      </c>
      <c r="X198" s="607">
        <f>IF(Dashboard!$D$6="Baseline",'2.4 PV (by Borough)'!X34,IF(Dashboard!$D$6=INDEX('Scenario names'!$C$3:$C$6,4),'2.4 PV (by Borough)'!X157,IF(Dashboard!$D$6=INDEX('Scenario names'!$C$3:$C$6,1),'2.4 PV (by Borough)'!X116,IF(Dashboard!$D$6=INDEX('Scenario names'!$C$3:$C$6,2),'2.4 PV (by Borough)'!X116,IF(Dashboard!$D$6=INDEX('Scenario names'!$C$3:$C$6,3),'2.4 PV (by Borough)'!X157,"Error")))))</f>
        <v>9023040.4109759554</v>
      </c>
      <c r="Y198" s="607">
        <f>IF(Dashboard!$D$6="Baseline",'2.4 PV (by Borough)'!Y34,IF(Dashboard!$D$6=INDEX('Scenario names'!$C$3:$C$6,4),'2.4 PV (by Borough)'!Y157,IF(Dashboard!$D$6=INDEX('Scenario names'!$C$3:$C$6,1),'2.4 PV (by Borough)'!Y116,IF(Dashboard!$D$6=INDEX('Scenario names'!$C$3:$C$6,2),'2.4 PV (by Borough)'!Y116,IF(Dashboard!$D$6=INDEX('Scenario names'!$C$3:$C$6,3),'2.4 PV (by Borough)'!Y157,"Error")))))</f>
        <v>9896152.0830981862</v>
      </c>
      <c r="Z198" s="607">
        <f>IF(Dashboard!$D$6="Baseline",'2.4 PV (by Borough)'!Z34,IF(Dashboard!$D$6=INDEX('Scenario names'!$C$3:$C$6,4),'2.4 PV (by Borough)'!Z157,IF(Dashboard!$D$6=INDEX('Scenario names'!$C$3:$C$6,1),'2.4 PV (by Borough)'!Z116,IF(Dashboard!$D$6=INDEX('Scenario names'!$C$3:$C$6,2),'2.4 PV (by Borough)'!Z116,IF(Dashboard!$D$6=INDEX('Scenario names'!$C$3:$C$6,3),'2.4 PV (by Borough)'!Z157,"Error")))))</f>
        <v>10340654.678597601</v>
      </c>
      <c r="AA198" s="607">
        <f>IF(Dashboard!$D$6="Baseline",'2.4 PV (by Borough)'!AA34,IF(Dashboard!$D$6=INDEX('Scenario names'!$C$3:$C$6,4),'2.4 PV (by Borough)'!AA157,IF(Dashboard!$D$6=INDEX('Scenario names'!$C$3:$C$6,1),'2.4 PV (by Borough)'!AA116,IF(Dashboard!$D$6=INDEX('Scenario names'!$C$3:$C$6,2),'2.4 PV (by Borough)'!AA116,IF(Dashboard!$D$6=INDEX('Scenario names'!$C$3:$C$6,3),'2.4 PV (by Borough)'!AA157,"Error")))))</f>
        <v>10785157.274097009</v>
      </c>
      <c r="AB198" s="607">
        <f>IF(Dashboard!$D$6="Baseline",'2.4 PV (by Borough)'!AB34,IF(Dashboard!$D$6=INDEX('Scenario names'!$C$3:$C$6,4),'2.4 PV (by Borough)'!AB157,IF(Dashboard!$D$6=INDEX('Scenario names'!$C$3:$C$6,1),'2.4 PV (by Borough)'!AB116,IF(Dashboard!$D$6=INDEX('Scenario names'!$C$3:$C$6,2),'2.4 PV (by Borough)'!AB116,IF(Dashboard!$D$6=INDEX('Scenario names'!$C$3:$C$6,3),'2.4 PV (by Borough)'!AB157,"Error")))))</f>
        <v>11229659.869596422</v>
      </c>
      <c r="AC198" s="607">
        <f>IF(Dashboard!$D$6="Baseline",'2.4 PV (by Borough)'!AC34,IF(Dashboard!$D$6=INDEX('Scenario names'!$C$3:$C$6,4),'2.4 PV (by Borough)'!AC157,IF(Dashboard!$D$6=INDEX('Scenario names'!$C$3:$C$6,1),'2.4 PV (by Borough)'!AC116,IF(Dashboard!$D$6=INDEX('Scenario names'!$C$3:$C$6,2),'2.4 PV (by Borough)'!AC116,IF(Dashboard!$D$6=INDEX('Scenario names'!$C$3:$C$6,3),'2.4 PV (by Borough)'!AC157,"Error")))))</f>
        <v>11674162.465095833</v>
      </c>
      <c r="AD198" s="607">
        <f>IF(Dashboard!$D$6="Baseline",'2.4 PV (by Borough)'!AD34,IF(Dashboard!$D$6=INDEX('Scenario names'!$C$3:$C$6,4),'2.4 PV (by Borough)'!AD157,IF(Dashboard!$D$6=INDEX('Scenario names'!$C$3:$C$6,1),'2.4 PV (by Borough)'!AD116,IF(Dashboard!$D$6=INDEX('Scenario names'!$C$3:$C$6,2),'2.4 PV (by Borough)'!AD116,IF(Dashboard!$D$6=INDEX('Scenario names'!$C$3:$C$6,3),'2.4 PV (by Borough)'!AD157,"Error")))))</f>
        <v>12118665.060595242</v>
      </c>
      <c r="AE198" s="607">
        <f>IF(Dashboard!$D$6="Baseline",'2.4 PV (by Borough)'!AE34,IF(Dashboard!$D$6=INDEX('Scenario names'!$C$3:$C$6,4),'2.4 PV (by Borough)'!AE157,IF(Dashboard!$D$6=INDEX('Scenario names'!$C$3:$C$6,1),'2.4 PV (by Borough)'!AE116,IF(Dashboard!$D$6=INDEX('Scenario names'!$C$3:$C$6,2),'2.4 PV (by Borough)'!AE116,IF(Dashboard!$D$6=INDEX('Scenario names'!$C$3:$C$6,3),'2.4 PV (by Borough)'!AE157,"Error")))))</f>
        <v>12563167.656094654</v>
      </c>
      <c r="AF198" s="607">
        <f>IF(Dashboard!$D$6="Baseline",'2.4 PV (by Borough)'!AF34,IF(Dashboard!$D$6=INDEX('Scenario names'!$C$3:$C$6,4),'2.4 PV (by Borough)'!AF157,IF(Dashboard!$D$6=INDEX('Scenario names'!$C$3:$C$6,1),'2.4 PV (by Borough)'!AF116,IF(Dashboard!$D$6=INDEX('Scenario names'!$C$3:$C$6,2),'2.4 PV (by Borough)'!AF116,IF(Dashboard!$D$6=INDEX('Scenario names'!$C$3:$C$6,3),'2.4 PV (by Borough)'!AF157,"Error")))))</f>
        <v>13007670.251594063</v>
      </c>
      <c r="AG198" s="607">
        <f>IF(Dashboard!$D$6="Baseline",'2.4 PV (by Borough)'!AG34,IF(Dashboard!$D$6=INDEX('Scenario names'!$C$3:$C$6,4),'2.4 PV (by Borough)'!AG157,IF(Dashboard!$D$6=INDEX('Scenario names'!$C$3:$C$6,1),'2.4 PV (by Borough)'!AG116,IF(Dashboard!$D$6=INDEX('Scenario names'!$C$3:$C$6,2),'2.4 PV (by Borough)'!AG116,IF(Dashboard!$D$6=INDEX('Scenario names'!$C$3:$C$6,3),'2.4 PV (by Borough)'!AG157,"Error")))))</f>
        <v>13452172.84709348</v>
      </c>
      <c r="AH198" s="607">
        <f>IF(Dashboard!$D$6="Baseline",'2.4 PV (by Borough)'!AH34,IF(Dashboard!$D$6=INDEX('Scenario names'!$C$3:$C$6,4),'2.4 PV (by Borough)'!AH157,IF(Dashboard!$D$6=INDEX('Scenario names'!$C$3:$C$6,1),'2.4 PV (by Borough)'!AH116,IF(Dashboard!$D$6=INDEX('Scenario names'!$C$3:$C$6,2),'2.4 PV (by Borough)'!AH116,IF(Dashboard!$D$6=INDEX('Scenario names'!$C$3:$C$6,3),'2.4 PV (by Borough)'!AH157,"Error")))))</f>
        <v>13896675.442592887</v>
      </c>
      <c r="AI198" s="607">
        <f>IF(Dashboard!$D$6="Baseline",'2.4 PV (by Borough)'!AI34,IF(Dashboard!$D$6=INDEX('Scenario names'!$C$3:$C$6,4),'2.4 PV (by Borough)'!AI157,IF(Dashboard!$D$6=INDEX('Scenario names'!$C$3:$C$6,1),'2.4 PV (by Borough)'!AI116,IF(Dashboard!$D$6=INDEX('Scenario names'!$C$3:$C$6,2),'2.4 PV (by Borough)'!AI116,IF(Dashboard!$D$6=INDEX('Scenario names'!$C$3:$C$6,3),'2.4 PV (by Borough)'!AI157,"Error")))))</f>
        <v>14341178.038092302</v>
      </c>
      <c r="AJ198" s="607">
        <f>IF(Dashboard!$D$6="Baseline",'2.4 PV (by Borough)'!AJ34,IF(Dashboard!$D$6=INDEX('Scenario names'!$C$3:$C$6,4),'2.4 PV (by Borough)'!AJ157,IF(Dashboard!$D$6=INDEX('Scenario names'!$C$3:$C$6,1),'2.4 PV (by Borough)'!AJ116,IF(Dashboard!$D$6=INDEX('Scenario names'!$C$3:$C$6,2),'2.4 PV (by Borough)'!AJ116,IF(Dashboard!$D$6=INDEX('Scenario names'!$C$3:$C$6,3),'2.4 PV (by Borough)'!AJ157,"Error")))))</f>
        <v>14785680.633591713</v>
      </c>
      <c r="AK198" s="607">
        <f>IF(Dashboard!$D$6="Baseline",'2.4 PV (by Borough)'!AK34,IF(Dashboard!$D$6=INDEX('Scenario names'!$C$3:$C$6,4),'2.4 PV (by Borough)'!AK157,IF(Dashboard!$D$6=INDEX('Scenario names'!$C$3:$C$6,1),'2.4 PV (by Borough)'!AK116,IF(Dashboard!$D$6=INDEX('Scenario names'!$C$3:$C$6,2),'2.4 PV (by Borough)'!AK116,IF(Dashboard!$D$6=INDEX('Scenario names'!$C$3:$C$6,3),'2.4 PV (by Borough)'!AK157,"Error")))))</f>
        <v>15230183.229091128</v>
      </c>
      <c r="AL198" s="607">
        <f>IF(Dashboard!$D$6="Baseline",'2.4 PV (by Borough)'!AL34,IF(Dashboard!$D$6=INDEX('Scenario names'!$C$3:$C$6,4),'2.4 PV (by Borough)'!AL157,IF(Dashboard!$D$6=INDEX('Scenario names'!$C$3:$C$6,1),'2.4 PV (by Borough)'!AL116,IF(Dashboard!$D$6=INDEX('Scenario names'!$C$3:$C$6,2),'2.4 PV (by Borough)'!AL116,IF(Dashboard!$D$6=INDEX('Scenario names'!$C$3:$C$6,3),'2.4 PV (by Borough)'!AL157,"Error")))))</f>
        <v>15674685.824590534</v>
      </c>
      <c r="AM198" s="607">
        <f>IF(Dashboard!$D$6="Baseline",'2.4 PV (by Borough)'!AM34,IF(Dashboard!$D$6=INDEX('Scenario names'!$C$3:$C$6,4),'2.4 PV (by Borough)'!AM157,IF(Dashboard!$D$6=INDEX('Scenario names'!$C$3:$C$6,1),'2.4 PV (by Borough)'!AM116,IF(Dashboard!$D$6=INDEX('Scenario names'!$C$3:$C$6,2),'2.4 PV (by Borough)'!AM116,IF(Dashboard!$D$6=INDEX('Scenario names'!$C$3:$C$6,3),'2.4 PV (by Borough)'!AM157,"Error")))))</f>
        <v>16119188.420089947</v>
      </c>
      <c r="AN198" s="607">
        <f>IF(Dashboard!$D$6="Baseline",'2.4 PV (by Borough)'!AN34,IF(Dashboard!$D$6=INDEX('Scenario names'!$C$3:$C$6,4),'2.4 PV (by Borough)'!AN157,IF(Dashboard!$D$6=INDEX('Scenario names'!$C$3:$C$6,1),'2.4 PV (by Borough)'!AN116,IF(Dashboard!$D$6=INDEX('Scenario names'!$C$3:$C$6,2),'2.4 PV (by Borough)'!AN116,IF(Dashboard!$D$6=INDEX('Scenario names'!$C$3:$C$6,3),'2.4 PV (by Borough)'!AN157,"Error")))))</f>
        <v>16563691.01558936</v>
      </c>
      <c r="AO198" s="607">
        <f>IF(Dashboard!$D$6="Baseline",'2.4 PV (by Borough)'!AO34,IF(Dashboard!$D$6=INDEX('Scenario names'!$C$3:$C$6,4),'2.4 PV (by Borough)'!AO157,IF(Dashboard!$D$6=INDEX('Scenario names'!$C$3:$C$6,1),'2.4 PV (by Borough)'!AO116,IF(Dashboard!$D$6=INDEX('Scenario names'!$C$3:$C$6,2),'2.4 PV (by Borough)'!AO116,IF(Dashboard!$D$6=INDEX('Scenario names'!$C$3:$C$6,3),'2.4 PV (by Borough)'!AO157,"Error")))))</f>
        <v>17008193.611088771</v>
      </c>
      <c r="AP198" s="607">
        <f>IF(Dashboard!$D$6="Baseline",'2.4 PV (by Borough)'!AP34,IF(Dashboard!$D$6=INDEX('Scenario names'!$C$3:$C$6,4),'2.4 PV (by Borough)'!AP157,IF(Dashboard!$D$6=INDEX('Scenario names'!$C$3:$C$6,1),'2.4 PV (by Borough)'!AP116,IF(Dashboard!$D$6=INDEX('Scenario names'!$C$3:$C$6,2),'2.4 PV (by Borough)'!AP116,IF(Dashboard!$D$6=INDEX('Scenario names'!$C$3:$C$6,3),'2.4 PV (by Borough)'!AP157,"Error")))))</f>
        <v>17452696.206588179</v>
      </c>
      <c r="AQ198" s="607">
        <f>IF(Dashboard!$D$6="Baseline",'2.4 PV (by Borough)'!AQ34,IF(Dashboard!$D$6=INDEX('Scenario names'!$C$3:$C$6,4),'2.4 PV (by Borough)'!AQ157,IF(Dashboard!$D$6=INDEX('Scenario names'!$C$3:$C$6,1),'2.4 PV (by Borough)'!AQ116,IF(Dashboard!$D$6=INDEX('Scenario names'!$C$3:$C$6,2),'2.4 PV (by Borough)'!AQ116,IF(Dashboard!$D$6=INDEX('Scenario names'!$C$3:$C$6,3),'2.4 PV (by Borough)'!AQ157,"Error")))))</f>
        <v>17897198.802087594</v>
      </c>
      <c r="AR198" s="607">
        <f>IF(Dashboard!$D$6="Baseline",'2.4 PV (by Borough)'!AR34,IF(Dashboard!$D$6=INDEX('Scenario names'!$C$3:$C$6,4),'2.4 PV (by Borough)'!AR157,IF(Dashboard!$D$6=INDEX('Scenario names'!$C$3:$C$6,1),'2.4 PV (by Borough)'!AR116,IF(Dashboard!$D$6=INDEX('Scenario names'!$C$3:$C$6,2),'2.4 PV (by Borough)'!AR116,IF(Dashboard!$D$6=INDEX('Scenario names'!$C$3:$C$6,3),'2.4 PV (by Borough)'!AR157,"Error")))))</f>
        <v>18341701.397587001</v>
      </c>
      <c r="AS198" s="607">
        <f>IF(Dashboard!$D$6="Baseline",'2.4 PV (by Borough)'!AS34,IF(Dashboard!$D$6=INDEX('Scenario names'!$C$3:$C$6,4),'2.4 PV (by Borough)'!AS157,IF(Dashboard!$D$6=INDEX('Scenario names'!$C$3:$C$6,1),'2.4 PV (by Borough)'!AS116,IF(Dashboard!$D$6=INDEX('Scenario names'!$C$3:$C$6,2),'2.4 PV (by Borough)'!AS116,IF(Dashboard!$D$6=INDEX('Scenario names'!$C$3:$C$6,3),'2.4 PV (by Borough)'!AS157,"Error")))))</f>
        <v>18786203.993086413</v>
      </c>
      <c r="AT198" s="607">
        <f>IF(Dashboard!$D$6="Baseline",'2.4 PV (by Borough)'!AT34,IF(Dashboard!$D$6=INDEX('Scenario names'!$C$3:$C$6,4),'2.4 PV (by Borough)'!AT157,IF(Dashboard!$D$6=INDEX('Scenario names'!$C$3:$C$6,1),'2.4 PV (by Borough)'!AT116,IF(Dashboard!$D$6=INDEX('Scenario names'!$C$3:$C$6,2),'2.4 PV (by Borough)'!AT116,IF(Dashboard!$D$6=INDEX('Scenario names'!$C$3:$C$6,3),'2.4 PV (by Borough)'!AT157,"Error")))))</f>
        <v>19230706.588585827</v>
      </c>
      <c r="AU198" s="607">
        <f>IF(Dashboard!$D$6="Baseline",'2.4 PV (by Borough)'!AU34,IF(Dashboard!$D$6=INDEX('Scenario names'!$C$3:$C$6,4),'2.4 PV (by Borough)'!AU157,IF(Dashboard!$D$6=INDEX('Scenario names'!$C$3:$C$6,1),'2.4 PV (by Borough)'!AU116,IF(Dashboard!$D$6=INDEX('Scenario names'!$C$3:$C$6,2),'2.4 PV (by Borough)'!AU116,IF(Dashboard!$D$6=INDEX('Scenario names'!$C$3:$C$6,3),'2.4 PV (by Borough)'!AU157,"Error")))))</f>
        <v>19675209.184085239</v>
      </c>
      <c r="AV198" s="607">
        <f>IF(Dashboard!$D$6="Baseline",'2.4 PV (by Borough)'!AV34,IF(Dashboard!$D$6=INDEX('Scenario names'!$C$3:$C$6,4),'2.4 PV (by Borough)'!AV157,IF(Dashboard!$D$6=INDEX('Scenario names'!$C$3:$C$6,1),'2.4 PV (by Borough)'!AV116,IF(Dashboard!$D$6=INDEX('Scenario names'!$C$3:$C$6,2),'2.4 PV (by Borough)'!AV116,IF(Dashboard!$D$6=INDEX('Scenario names'!$C$3:$C$6,3),'2.4 PV (by Borough)'!AV157,"Error")))))</f>
        <v>20119711.77958465</v>
      </c>
      <c r="AW198" s="607">
        <f>IF(Dashboard!$D$6="Baseline",'2.4 PV (by Borough)'!AW34,IF(Dashboard!$D$6=INDEX('Scenario names'!$C$3:$C$6,4),'2.4 PV (by Borough)'!AW157,IF(Dashboard!$D$6=INDEX('Scenario names'!$C$3:$C$6,1),'2.4 PV (by Borough)'!AW116,IF(Dashboard!$D$6=INDEX('Scenario names'!$C$3:$C$6,2),'2.4 PV (by Borough)'!AW116,IF(Dashboard!$D$6=INDEX('Scenario names'!$C$3:$C$6,3),'2.4 PV (by Borough)'!AW157,"Error")))))</f>
        <v>20564214.375084061</v>
      </c>
      <c r="AX198" s="607">
        <f>IF(Dashboard!$D$6="Baseline",'2.4 PV (by Borough)'!AX34,IF(Dashboard!$D$6=INDEX('Scenario names'!$C$3:$C$6,4),'2.4 PV (by Borough)'!AX157,IF(Dashboard!$D$6=INDEX('Scenario names'!$C$3:$C$6,1),'2.4 PV (by Borough)'!AX116,IF(Dashboard!$D$6=INDEX('Scenario names'!$C$3:$C$6,2),'2.4 PV (by Borough)'!AX116,IF(Dashboard!$D$6=INDEX('Scenario names'!$C$3:$C$6,3),'2.4 PV (by Borough)'!AX157,"Error")))))</f>
        <v>21008716.970583476</v>
      </c>
      <c r="AY198" s="36"/>
      <c r="AZ198" s="36"/>
      <c r="BA198" s="36"/>
      <c r="BB198" s="36"/>
    </row>
    <row r="199" spans="4:54">
      <c r="D199" t="s">
        <v>660</v>
      </c>
      <c r="E199" t="s">
        <v>655</v>
      </c>
      <c r="G199" s="44"/>
      <c r="I199" s="44"/>
      <c r="K199" s="44"/>
      <c r="M199" s="44"/>
      <c r="O199" s="607">
        <f>IF(Dashboard!$D$6="Baseline",'2.4 PV (by Borough)'!O35,IF(Dashboard!$D$6=INDEX('Scenario names'!$C$3:$C$6,4),'2.4 PV (by Borough)'!O158,IF(Dashboard!$D$6=INDEX('Scenario names'!$C$3:$C$6,1),'2.4 PV (by Borough)'!O117,IF(Dashboard!$D$6=INDEX('Scenario names'!$C$3:$C$6,2),'2.4 PV (by Borough)'!O117,IF(Dashboard!$D$6=INDEX('Scenario names'!$C$3:$C$6,3),'2.4 PV (by Borough)'!O158,"Error")))))</f>
        <v>984021.75589224789</v>
      </c>
      <c r="P199" s="607">
        <f>IF(Dashboard!$D$6="Baseline",'2.4 PV (by Borough)'!P35,IF(Dashboard!$D$6=INDEX('Scenario names'!$C$3:$C$6,4),'2.4 PV (by Borough)'!P158,IF(Dashboard!$D$6=INDEX('Scenario names'!$C$3:$C$6,1),'2.4 PV (by Borough)'!P117,IF(Dashboard!$D$6=INDEX('Scenario names'!$C$3:$C$6,2),'2.4 PV (by Borough)'!P117,IF(Dashboard!$D$6=INDEX('Scenario names'!$C$3:$C$6,3),'2.4 PV (by Borough)'!P158,"Error")))))</f>
        <v>1745669.1173945528</v>
      </c>
      <c r="Q199" s="607">
        <f>IF(Dashboard!$D$6="Baseline",'2.4 PV (by Borough)'!Q35,IF(Dashboard!$D$6=INDEX('Scenario names'!$C$3:$C$6,4),'2.4 PV (by Borough)'!Q158,IF(Dashboard!$D$6=INDEX('Scenario names'!$C$3:$C$6,1),'2.4 PV (by Borough)'!Q117,IF(Dashboard!$D$6=INDEX('Scenario names'!$C$3:$C$6,2),'2.4 PV (by Borough)'!Q117,IF(Dashboard!$D$6=INDEX('Scenario names'!$C$3:$C$6,3),'2.4 PV (by Borough)'!Q158,"Error")))))</f>
        <v>2507316.4788968577</v>
      </c>
      <c r="R199" s="607">
        <f>IF(Dashboard!$D$6="Baseline",'2.4 PV (by Borough)'!R35,IF(Dashboard!$D$6=INDEX('Scenario names'!$C$3:$C$6,4),'2.4 PV (by Borough)'!R158,IF(Dashboard!$D$6=INDEX('Scenario names'!$C$3:$C$6,1),'2.4 PV (by Borough)'!R117,IF(Dashboard!$D$6=INDEX('Scenario names'!$C$3:$C$6,2),'2.4 PV (by Borough)'!R117,IF(Dashboard!$D$6=INDEX('Scenario names'!$C$3:$C$6,3),'2.4 PV (by Borough)'!R158,"Error")))))</f>
        <v>3268963.8403991628</v>
      </c>
      <c r="S199" s="607">
        <f>IF(Dashboard!$D$6="Baseline",'2.4 PV (by Borough)'!S35,IF(Dashboard!$D$6=INDEX('Scenario names'!$C$3:$C$6,4),'2.4 PV (by Borough)'!S158,IF(Dashboard!$D$6=INDEX('Scenario names'!$C$3:$C$6,1),'2.4 PV (by Borough)'!S117,IF(Dashboard!$D$6=INDEX('Scenario names'!$C$3:$C$6,2),'2.4 PV (by Borough)'!S117,IF(Dashboard!$D$6=INDEX('Scenario names'!$C$3:$C$6,3),'2.4 PV (by Borough)'!S158,"Error")))))</f>
        <v>4030611.201901468</v>
      </c>
      <c r="T199" s="607">
        <f>IF(Dashboard!$D$6="Baseline",'2.4 PV (by Borough)'!T35,IF(Dashboard!$D$6=INDEX('Scenario names'!$C$3:$C$6,4),'2.4 PV (by Borough)'!T158,IF(Dashboard!$D$6=INDEX('Scenario names'!$C$3:$C$6,1),'2.4 PV (by Borough)'!T117,IF(Dashboard!$D$6=INDEX('Scenario names'!$C$3:$C$6,2),'2.4 PV (by Borough)'!T117,IF(Dashboard!$D$6=INDEX('Scenario names'!$C$3:$C$6,3),'2.4 PV (by Borough)'!T158,"Error")))))</f>
        <v>4792258.5634037731</v>
      </c>
      <c r="U199" s="607">
        <f>IF(Dashboard!$D$6="Baseline",'2.4 PV (by Borough)'!U35,IF(Dashboard!$D$6=INDEX('Scenario names'!$C$3:$C$6,4),'2.4 PV (by Borough)'!U158,IF(Dashboard!$D$6=INDEX('Scenario names'!$C$3:$C$6,1),'2.4 PV (by Borough)'!U117,IF(Dashboard!$D$6=INDEX('Scenario names'!$C$3:$C$6,2),'2.4 PV (by Borough)'!U117,IF(Dashboard!$D$6=INDEX('Scenario names'!$C$3:$C$6,3),'2.4 PV (by Borough)'!U158,"Error")))))</f>
        <v>5553905.9249060787</v>
      </c>
      <c r="V199" s="607">
        <f>IF(Dashboard!$D$6="Baseline",'2.4 PV (by Borough)'!V35,IF(Dashboard!$D$6=INDEX('Scenario names'!$C$3:$C$6,4),'2.4 PV (by Borough)'!V158,IF(Dashboard!$D$6=INDEX('Scenario names'!$C$3:$C$6,1),'2.4 PV (by Borough)'!V117,IF(Dashboard!$D$6=INDEX('Scenario names'!$C$3:$C$6,2),'2.4 PV (by Borough)'!V117,IF(Dashboard!$D$6=INDEX('Scenario names'!$C$3:$C$6,3),'2.4 PV (by Borough)'!V158,"Error")))))</f>
        <v>6315553.2864083843</v>
      </c>
      <c r="W199" s="607">
        <f>IF(Dashboard!$D$6="Baseline",'2.4 PV (by Borough)'!W35,IF(Dashboard!$D$6=INDEX('Scenario names'!$C$3:$C$6,4),'2.4 PV (by Borough)'!W158,IF(Dashboard!$D$6=INDEX('Scenario names'!$C$3:$C$6,1),'2.4 PV (by Borough)'!W117,IF(Dashboard!$D$6=INDEX('Scenario names'!$C$3:$C$6,2),'2.4 PV (by Borough)'!W117,IF(Dashboard!$D$6=INDEX('Scenario names'!$C$3:$C$6,3),'2.4 PV (by Borough)'!W158,"Error")))))</f>
        <v>7077200.6479106871</v>
      </c>
      <c r="X199" s="607">
        <f>IF(Dashboard!$D$6="Baseline",'2.4 PV (by Borough)'!X35,IF(Dashboard!$D$6=INDEX('Scenario names'!$C$3:$C$6,4),'2.4 PV (by Borough)'!X158,IF(Dashboard!$D$6=INDEX('Scenario names'!$C$3:$C$6,1),'2.4 PV (by Borough)'!X117,IF(Dashboard!$D$6=INDEX('Scenario names'!$C$3:$C$6,2),'2.4 PV (by Borough)'!X117,IF(Dashboard!$D$6=INDEX('Scenario names'!$C$3:$C$6,3),'2.4 PV (by Borough)'!X158,"Error")))))</f>
        <v>7838848.0094129937</v>
      </c>
      <c r="Y199" s="607">
        <f>IF(Dashboard!$D$6="Baseline",'2.4 PV (by Borough)'!Y35,IF(Dashboard!$D$6=INDEX('Scenario names'!$C$3:$C$6,4),'2.4 PV (by Borough)'!Y158,IF(Dashboard!$D$6=INDEX('Scenario names'!$C$3:$C$6,1),'2.4 PV (by Borough)'!Y117,IF(Dashboard!$D$6=INDEX('Scenario names'!$C$3:$C$6,2),'2.4 PV (by Borough)'!Y117,IF(Dashboard!$D$6=INDEX('Scenario names'!$C$3:$C$6,3),'2.4 PV (by Borough)'!Y158,"Error")))))</f>
        <v>8600495.3709152956</v>
      </c>
      <c r="Z199" s="607">
        <f>IF(Dashboard!$D$6="Baseline",'2.4 PV (by Borough)'!Z35,IF(Dashboard!$D$6=INDEX('Scenario names'!$C$3:$C$6,4),'2.4 PV (by Borough)'!Z158,IF(Dashboard!$D$6=INDEX('Scenario names'!$C$3:$C$6,1),'2.4 PV (by Borough)'!Z117,IF(Dashboard!$D$6=INDEX('Scenario names'!$C$3:$C$6,2),'2.4 PV (by Borough)'!Z117,IF(Dashboard!$D$6=INDEX('Scenario names'!$C$3:$C$6,3),'2.4 PV (by Borough)'!Z158,"Error")))))</f>
        <v>10363227.6055142</v>
      </c>
      <c r="AA199" s="607">
        <f>IF(Dashboard!$D$6="Baseline",'2.4 PV (by Borough)'!AA35,IF(Dashboard!$D$6=INDEX('Scenario names'!$C$3:$C$6,4),'2.4 PV (by Borough)'!AA158,IF(Dashboard!$D$6=INDEX('Scenario names'!$C$3:$C$6,1),'2.4 PV (by Borough)'!AA117,IF(Dashboard!$D$6=INDEX('Scenario names'!$C$3:$C$6,2),'2.4 PV (by Borough)'!AA117,IF(Dashboard!$D$6=INDEX('Scenario names'!$C$3:$C$6,3),'2.4 PV (by Borough)'!AA158,"Error")))))</f>
        <v>12125959.840113098</v>
      </c>
      <c r="AB199" s="607">
        <f>IF(Dashboard!$D$6="Baseline",'2.4 PV (by Borough)'!AB35,IF(Dashboard!$D$6=INDEX('Scenario names'!$C$3:$C$6,4),'2.4 PV (by Borough)'!AB158,IF(Dashboard!$D$6=INDEX('Scenario names'!$C$3:$C$6,1),'2.4 PV (by Borough)'!AB117,IF(Dashboard!$D$6=INDEX('Scenario names'!$C$3:$C$6,2),'2.4 PV (by Borough)'!AB117,IF(Dashboard!$D$6=INDEX('Scenario names'!$C$3:$C$6,3),'2.4 PV (by Borough)'!AB158,"Error")))))</f>
        <v>13888692.074711993</v>
      </c>
      <c r="AC199" s="607">
        <f>IF(Dashboard!$D$6="Baseline",'2.4 PV (by Borough)'!AC35,IF(Dashboard!$D$6=INDEX('Scenario names'!$C$3:$C$6,4),'2.4 PV (by Borough)'!AC158,IF(Dashboard!$D$6=INDEX('Scenario names'!$C$3:$C$6,1),'2.4 PV (by Borough)'!AC117,IF(Dashboard!$D$6=INDEX('Scenario names'!$C$3:$C$6,2),'2.4 PV (by Borough)'!AC117,IF(Dashboard!$D$6=INDEX('Scenario names'!$C$3:$C$6,3),'2.4 PV (by Borough)'!AC158,"Error")))))</f>
        <v>15651424.309310896</v>
      </c>
      <c r="AD199" s="607">
        <f>IF(Dashboard!$D$6="Baseline",'2.4 PV (by Borough)'!AD35,IF(Dashboard!$D$6=INDEX('Scenario names'!$C$3:$C$6,4),'2.4 PV (by Borough)'!AD158,IF(Dashboard!$D$6=INDEX('Scenario names'!$C$3:$C$6,1),'2.4 PV (by Borough)'!AD117,IF(Dashboard!$D$6=INDEX('Scenario names'!$C$3:$C$6,2),'2.4 PV (by Borough)'!AD117,IF(Dashboard!$D$6=INDEX('Scenario names'!$C$3:$C$6,3),'2.4 PV (by Borough)'!AD158,"Error")))))</f>
        <v>17414156.543909803</v>
      </c>
      <c r="AE199" s="607">
        <f>IF(Dashboard!$D$6="Baseline",'2.4 PV (by Borough)'!AE35,IF(Dashboard!$D$6=INDEX('Scenario names'!$C$3:$C$6,4),'2.4 PV (by Borough)'!AE158,IF(Dashboard!$D$6=INDEX('Scenario names'!$C$3:$C$6,1),'2.4 PV (by Borough)'!AE117,IF(Dashboard!$D$6=INDEX('Scenario names'!$C$3:$C$6,2),'2.4 PV (by Borough)'!AE117,IF(Dashboard!$D$6=INDEX('Scenario names'!$C$3:$C$6,3),'2.4 PV (by Borough)'!AE158,"Error")))))</f>
        <v>19176888.778508697</v>
      </c>
      <c r="AF199" s="607">
        <f>IF(Dashboard!$D$6="Baseline",'2.4 PV (by Borough)'!AF35,IF(Dashboard!$D$6=INDEX('Scenario names'!$C$3:$C$6,4),'2.4 PV (by Borough)'!AF158,IF(Dashboard!$D$6=INDEX('Scenario names'!$C$3:$C$6,1),'2.4 PV (by Borough)'!AF117,IF(Dashboard!$D$6=INDEX('Scenario names'!$C$3:$C$6,2),'2.4 PV (by Borough)'!AF117,IF(Dashboard!$D$6=INDEX('Scenario names'!$C$3:$C$6,3),'2.4 PV (by Borough)'!AF158,"Error")))))</f>
        <v>20939621.013107594</v>
      </c>
      <c r="AG199" s="607">
        <f>IF(Dashboard!$D$6="Baseline",'2.4 PV (by Borough)'!AG35,IF(Dashboard!$D$6=INDEX('Scenario names'!$C$3:$C$6,4),'2.4 PV (by Borough)'!AG158,IF(Dashboard!$D$6=INDEX('Scenario names'!$C$3:$C$6,1),'2.4 PV (by Borough)'!AG117,IF(Dashboard!$D$6=INDEX('Scenario names'!$C$3:$C$6,2),'2.4 PV (by Borough)'!AG117,IF(Dashboard!$D$6=INDEX('Scenario names'!$C$3:$C$6,3),'2.4 PV (by Borough)'!AG158,"Error")))))</f>
        <v>22702353.247706495</v>
      </c>
      <c r="AH199" s="607">
        <f>IF(Dashboard!$D$6="Baseline",'2.4 PV (by Borough)'!AH35,IF(Dashboard!$D$6=INDEX('Scenario names'!$C$3:$C$6,4),'2.4 PV (by Borough)'!AH158,IF(Dashboard!$D$6=INDEX('Scenario names'!$C$3:$C$6,1),'2.4 PV (by Borough)'!AH117,IF(Dashboard!$D$6=INDEX('Scenario names'!$C$3:$C$6,2),'2.4 PV (by Borough)'!AH117,IF(Dashboard!$D$6=INDEX('Scenario names'!$C$3:$C$6,3),'2.4 PV (by Borough)'!AH158,"Error")))))</f>
        <v>24465085.482305393</v>
      </c>
      <c r="AI199" s="607">
        <f>IF(Dashboard!$D$6="Baseline",'2.4 PV (by Borough)'!AI35,IF(Dashboard!$D$6=INDEX('Scenario names'!$C$3:$C$6,4),'2.4 PV (by Borough)'!AI158,IF(Dashboard!$D$6=INDEX('Scenario names'!$C$3:$C$6,1),'2.4 PV (by Borough)'!AI117,IF(Dashboard!$D$6=INDEX('Scenario names'!$C$3:$C$6,2),'2.4 PV (by Borough)'!AI117,IF(Dashboard!$D$6=INDEX('Scenario names'!$C$3:$C$6,3),'2.4 PV (by Borough)'!AI158,"Error")))))</f>
        <v>26227817.71690429</v>
      </c>
      <c r="AJ199" s="607">
        <f>IF(Dashboard!$D$6="Baseline",'2.4 PV (by Borough)'!AJ35,IF(Dashboard!$D$6=INDEX('Scenario names'!$C$3:$C$6,4),'2.4 PV (by Borough)'!AJ158,IF(Dashboard!$D$6=INDEX('Scenario names'!$C$3:$C$6,1),'2.4 PV (by Borough)'!AJ117,IF(Dashboard!$D$6=INDEX('Scenario names'!$C$3:$C$6,2),'2.4 PV (by Borough)'!AJ117,IF(Dashboard!$D$6=INDEX('Scenario names'!$C$3:$C$6,3),'2.4 PV (by Borough)'!AJ158,"Error")))))</f>
        <v>27990549.951503191</v>
      </c>
      <c r="AK199" s="607">
        <f>IF(Dashboard!$D$6="Baseline",'2.4 PV (by Borough)'!AK35,IF(Dashboard!$D$6=INDEX('Scenario names'!$C$3:$C$6,4),'2.4 PV (by Borough)'!AK158,IF(Dashboard!$D$6=INDEX('Scenario names'!$C$3:$C$6,1),'2.4 PV (by Borough)'!AK117,IF(Dashboard!$D$6=INDEX('Scenario names'!$C$3:$C$6,2),'2.4 PV (by Borough)'!AK117,IF(Dashboard!$D$6=INDEX('Scenario names'!$C$3:$C$6,3),'2.4 PV (by Borough)'!AK158,"Error")))))</f>
        <v>29753282.186102096</v>
      </c>
      <c r="AL199" s="607">
        <f>IF(Dashboard!$D$6="Baseline",'2.4 PV (by Borough)'!AL35,IF(Dashboard!$D$6=INDEX('Scenario names'!$C$3:$C$6,4),'2.4 PV (by Borough)'!AL158,IF(Dashboard!$D$6=INDEX('Scenario names'!$C$3:$C$6,1),'2.4 PV (by Borough)'!AL117,IF(Dashboard!$D$6=INDEX('Scenario names'!$C$3:$C$6,2),'2.4 PV (by Borough)'!AL117,IF(Dashboard!$D$6=INDEX('Scenario names'!$C$3:$C$6,3),'2.4 PV (by Borough)'!AL158,"Error")))))</f>
        <v>31516014.420700978</v>
      </c>
      <c r="AM199" s="607">
        <f>IF(Dashboard!$D$6="Baseline",'2.4 PV (by Borough)'!AM35,IF(Dashboard!$D$6=INDEX('Scenario names'!$C$3:$C$6,4),'2.4 PV (by Borough)'!AM158,IF(Dashboard!$D$6=INDEX('Scenario names'!$C$3:$C$6,1),'2.4 PV (by Borough)'!AM117,IF(Dashboard!$D$6=INDEX('Scenario names'!$C$3:$C$6,2),'2.4 PV (by Borough)'!AM117,IF(Dashboard!$D$6=INDEX('Scenario names'!$C$3:$C$6,3),'2.4 PV (by Borough)'!AM158,"Error")))))</f>
        <v>33278746.655299898</v>
      </c>
      <c r="AN199" s="607">
        <f>IF(Dashboard!$D$6="Baseline",'2.4 PV (by Borough)'!AN35,IF(Dashboard!$D$6=INDEX('Scenario names'!$C$3:$C$6,4),'2.4 PV (by Borough)'!AN158,IF(Dashboard!$D$6=INDEX('Scenario names'!$C$3:$C$6,1),'2.4 PV (by Borough)'!AN117,IF(Dashboard!$D$6=INDEX('Scenario names'!$C$3:$C$6,2),'2.4 PV (by Borough)'!AN117,IF(Dashboard!$D$6=INDEX('Scenario names'!$C$3:$C$6,3),'2.4 PV (by Borough)'!AN158,"Error")))))</f>
        <v>35041478.889898799</v>
      </c>
      <c r="AO199" s="607">
        <f>IF(Dashboard!$D$6="Baseline",'2.4 PV (by Borough)'!AO35,IF(Dashboard!$D$6=INDEX('Scenario names'!$C$3:$C$6,4),'2.4 PV (by Borough)'!AO158,IF(Dashboard!$D$6=INDEX('Scenario names'!$C$3:$C$6,1),'2.4 PV (by Borough)'!AO117,IF(Dashboard!$D$6=INDEX('Scenario names'!$C$3:$C$6,2),'2.4 PV (by Borough)'!AO117,IF(Dashboard!$D$6=INDEX('Scenario names'!$C$3:$C$6,3),'2.4 PV (by Borough)'!AO158,"Error")))))</f>
        <v>36804211.124497689</v>
      </c>
      <c r="AP199" s="607">
        <f>IF(Dashboard!$D$6="Baseline",'2.4 PV (by Borough)'!AP35,IF(Dashboard!$D$6=INDEX('Scenario names'!$C$3:$C$6,4),'2.4 PV (by Borough)'!AP158,IF(Dashboard!$D$6=INDEX('Scenario names'!$C$3:$C$6,1),'2.4 PV (by Borough)'!AP117,IF(Dashboard!$D$6=INDEX('Scenario names'!$C$3:$C$6,2),'2.4 PV (by Borough)'!AP117,IF(Dashboard!$D$6=INDEX('Scenario names'!$C$3:$C$6,3),'2.4 PV (by Borough)'!AP158,"Error")))))</f>
        <v>38566943.359096587</v>
      </c>
      <c r="AQ199" s="607">
        <f>IF(Dashboard!$D$6="Baseline",'2.4 PV (by Borough)'!AQ35,IF(Dashboard!$D$6=INDEX('Scenario names'!$C$3:$C$6,4),'2.4 PV (by Borough)'!AQ158,IF(Dashboard!$D$6=INDEX('Scenario names'!$C$3:$C$6,1),'2.4 PV (by Borough)'!AQ117,IF(Dashboard!$D$6=INDEX('Scenario names'!$C$3:$C$6,2),'2.4 PV (by Borough)'!AQ117,IF(Dashboard!$D$6=INDEX('Scenario names'!$C$3:$C$6,3),'2.4 PV (by Borough)'!AQ158,"Error")))))</f>
        <v>40329675.593695492</v>
      </c>
      <c r="AR199" s="607">
        <f>IF(Dashboard!$D$6="Baseline",'2.4 PV (by Borough)'!AR35,IF(Dashboard!$D$6=INDEX('Scenario names'!$C$3:$C$6,4),'2.4 PV (by Borough)'!AR158,IF(Dashboard!$D$6=INDEX('Scenario names'!$C$3:$C$6,1),'2.4 PV (by Borough)'!AR117,IF(Dashboard!$D$6=INDEX('Scenario names'!$C$3:$C$6,2),'2.4 PV (by Borough)'!AR117,IF(Dashboard!$D$6=INDEX('Scenario names'!$C$3:$C$6,3),'2.4 PV (by Borough)'!AR158,"Error")))))</f>
        <v>42092407.828294381</v>
      </c>
      <c r="AS199" s="607">
        <f>IF(Dashboard!$D$6="Baseline",'2.4 PV (by Borough)'!AS35,IF(Dashboard!$D$6=INDEX('Scenario names'!$C$3:$C$6,4),'2.4 PV (by Borough)'!AS158,IF(Dashboard!$D$6=INDEX('Scenario names'!$C$3:$C$6,1),'2.4 PV (by Borough)'!AS117,IF(Dashboard!$D$6=INDEX('Scenario names'!$C$3:$C$6,2),'2.4 PV (by Borough)'!AS117,IF(Dashboard!$D$6=INDEX('Scenario names'!$C$3:$C$6,3),'2.4 PV (by Borough)'!AS158,"Error")))))</f>
        <v>43855140.062893286</v>
      </c>
      <c r="AT199" s="607">
        <f>IF(Dashboard!$D$6="Baseline",'2.4 PV (by Borough)'!AT35,IF(Dashboard!$D$6=INDEX('Scenario names'!$C$3:$C$6,4),'2.4 PV (by Borough)'!AT158,IF(Dashboard!$D$6=INDEX('Scenario names'!$C$3:$C$6,1),'2.4 PV (by Borough)'!AT117,IF(Dashboard!$D$6=INDEX('Scenario names'!$C$3:$C$6,2),'2.4 PV (by Borough)'!AT117,IF(Dashboard!$D$6=INDEX('Scenario names'!$C$3:$C$6,3),'2.4 PV (by Borough)'!AT158,"Error")))))</f>
        <v>45617872.297492184</v>
      </c>
      <c r="AU199" s="607">
        <f>IF(Dashboard!$D$6="Baseline",'2.4 PV (by Borough)'!AU35,IF(Dashboard!$D$6=INDEX('Scenario names'!$C$3:$C$6,4),'2.4 PV (by Borough)'!AU158,IF(Dashboard!$D$6=INDEX('Scenario names'!$C$3:$C$6,1),'2.4 PV (by Borough)'!AU117,IF(Dashboard!$D$6=INDEX('Scenario names'!$C$3:$C$6,2),'2.4 PV (by Borough)'!AU117,IF(Dashboard!$D$6=INDEX('Scenario names'!$C$3:$C$6,3),'2.4 PV (by Borough)'!AU158,"Error")))))</f>
        <v>47380604.532091089</v>
      </c>
      <c r="AV199" s="607">
        <f>IF(Dashboard!$D$6="Baseline",'2.4 PV (by Borough)'!AV35,IF(Dashboard!$D$6=INDEX('Scenario names'!$C$3:$C$6,4),'2.4 PV (by Borough)'!AV158,IF(Dashboard!$D$6=INDEX('Scenario names'!$C$3:$C$6,1),'2.4 PV (by Borough)'!AV117,IF(Dashboard!$D$6=INDEX('Scenario names'!$C$3:$C$6,2),'2.4 PV (by Borough)'!AV117,IF(Dashboard!$D$6=INDEX('Scenario names'!$C$3:$C$6,3),'2.4 PV (by Borough)'!AV158,"Error")))))</f>
        <v>49143336.766689993</v>
      </c>
      <c r="AW199" s="607">
        <f>IF(Dashboard!$D$6="Baseline",'2.4 PV (by Borough)'!AW35,IF(Dashboard!$D$6=INDEX('Scenario names'!$C$3:$C$6,4),'2.4 PV (by Borough)'!AW158,IF(Dashboard!$D$6=INDEX('Scenario names'!$C$3:$C$6,1),'2.4 PV (by Borough)'!AW117,IF(Dashboard!$D$6=INDEX('Scenario names'!$C$3:$C$6,2),'2.4 PV (by Borough)'!AW117,IF(Dashboard!$D$6=INDEX('Scenario names'!$C$3:$C$6,3),'2.4 PV (by Borough)'!AW158,"Error")))))</f>
        <v>50906069.001288883</v>
      </c>
      <c r="AX199" s="607">
        <f>IF(Dashboard!$D$6="Baseline",'2.4 PV (by Borough)'!AX35,IF(Dashboard!$D$6=INDEX('Scenario names'!$C$3:$C$6,4),'2.4 PV (by Borough)'!AX158,IF(Dashboard!$D$6=INDEX('Scenario names'!$C$3:$C$6,1),'2.4 PV (by Borough)'!AX117,IF(Dashboard!$D$6=INDEX('Scenario names'!$C$3:$C$6,2),'2.4 PV (by Borough)'!AX117,IF(Dashboard!$D$6=INDEX('Scenario names'!$C$3:$C$6,3),'2.4 PV (by Borough)'!AX158,"Error")))))</f>
        <v>52668801.235887788</v>
      </c>
      <c r="AY199" s="36"/>
      <c r="AZ199" s="36"/>
      <c r="BA199" s="36"/>
      <c r="BB199" s="36"/>
    </row>
    <row r="200" spans="4:54">
      <c r="D200" t="s">
        <v>661</v>
      </c>
      <c r="E200" t="s">
        <v>656</v>
      </c>
      <c r="G200" s="44"/>
      <c r="I200" s="44"/>
      <c r="K200" s="44"/>
      <c r="M200" s="44"/>
      <c r="O200" s="607">
        <f>IF(Dashboard!$D$6="Baseline",'2.4 PV (by Borough)'!O36,IF(Dashboard!$D$6=INDEX('Scenario names'!$C$3:$C$6,4),'2.4 PV (by Borough)'!O159,IF(Dashboard!$D$6=INDEX('Scenario names'!$C$3:$C$6,1),'2.4 PV (by Borough)'!O118,IF(Dashboard!$D$6=INDEX('Scenario names'!$C$3:$C$6,2),'2.4 PV (by Borough)'!O118,IF(Dashboard!$D$6=INDEX('Scenario names'!$C$3:$C$6,3),'2.4 PV (by Borough)'!O159,"Error")))))</f>
        <v>1368577.2291641461</v>
      </c>
      <c r="P200" s="607">
        <f>IF(Dashboard!$D$6="Baseline",'2.4 PV (by Borough)'!P36,IF(Dashboard!$D$6=INDEX('Scenario names'!$C$3:$C$6,4),'2.4 PV (by Borough)'!P159,IF(Dashboard!$D$6=INDEX('Scenario names'!$C$3:$C$6,1),'2.4 PV (by Borough)'!P118,IF(Dashboard!$D$6=INDEX('Scenario names'!$C$3:$C$6,2),'2.4 PV (by Borough)'!P118,IF(Dashboard!$D$6=INDEX('Scenario names'!$C$3:$C$6,3),'2.4 PV (by Borough)'!P159,"Error")))))</f>
        <v>2399971.2010423243</v>
      </c>
      <c r="Q200" s="607">
        <f>IF(Dashboard!$D$6="Baseline",'2.4 PV (by Borough)'!Q36,IF(Dashboard!$D$6=INDEX('Scenario names'!$C$3:$C$6,4),'2.4 PV (by Borough)'!Q159,IF(Dashboard!$D$6=INDEX('Scenario names'!$C$3:$C$6,1),'2.4 PV (by Borough)'!Q118,IF(Dashboard!$D$6=INDEX('Scenario names'!$C$3:$C$6,2),'2.4 PV (by Borough)'!Q118,IF(Dashboard!$D$6=INDEX('Scenario names'!$C$3:$C$6,3),'2.4 PV (by Borough)'!Q159,"Error")))))</f>
        <v>3431365.1729205009</v>
      </c>
      <c r="R200" s="607">
        <f>IF(Dashboard!$D$6="Baseline",'2.4 PV (by Borough)'!R36,IF(Dashboard!$D$6=INDEX('Scenario names'!$C$3:$C$6,4),'2.4 PV (by Borough)'!R159,IF(Dashboard!$D$6=INDEX('Scenario names'!$C$3:$C$6,1),'2.4 PV (by Borough)'!R118,IF(Dashboard!$D$6=INDEX('Scenario names'!$C$3:$C$6,2),'2.4 PV (by Borough)'!R118,IF(Dashboard!$D$6=INDEX('Scenario names'!$C$3:$C$6,3),'2.4 PV (by Borough)'!R159,"Error")))))</f>
        <v>4462759.1447986793</v>
      </c>
      <c r="S200" s="607">
        <f>IF(Dashboard!$D$6="Baseline",'2.4 PV (by Borough)'!S36,IF(Dashboard!$D$6=INDEX('Scenario names'!$C$3:$C$6,4),'2.4 PV (by Borough)'!S159,IF(Dashboard!$D$6=INDEX('Scenario names'!$C$3:$C$6,1),'2.4 PV (by Borough)'!S118,IF(Dashboard!$D$6=INDEX('Scenario names'!$C$3:$C$6,2),'2.4 PV (by Borough)'!S118,IF(Dashboard!$D$6=INDEX('Scenario names'!$C$3:$C$6,3),'2.4 PV (by Borough)'!S159,"Error")))))</f>
        <v>5494153.1166768558</v>
      </c>
      <c r="T200" s="607">
        <f>IF(Dashboard!$D$6="Baseline",'2.4 PV (by Borough)'!T36,IF(Dashboard!$D$6=INDEX('Scenario names'!$C$3:$C$6,4),'2.4 PV (by Borough)'!T159,IF(Dashboard!$D$6=INDEX('Scenario names'!$C$3:$C$6,1),'2.4 PV (by Borough)'!T118,IF(Dashboard!$D$6=INDEX('Scenario names'!$C$3:$C$6,2),'2.4 PV (by Borough)'!T118,IF(Dashboard!$D$6=INDEX('Scenario names'!$C$3:$C$6,3),'2.4 PV (by Borough)'!T159,"Error")))))</f>
        <v>6525547.0885550305</v>
      </c>
      <c r="U200" s="607">
        <f>IF(Dashboard!$D$6="Baseline",'2.4 PV (by Borough)'!U36,IF(Dashboard!$D$6=INDEX('Scenario names'!$C$3:$C$6,4),'2.4 PV (by Borough)'!U159,IF(Dashboard!$D$6=INDEX('Scenario names'!$C$3:$C$6,1),'2.4 PV (by Borough)'!U118,IF(Dashboard!$D$6=INDEX('Scenario names'!$C$3:$C$6,2),'2.4 PV (by Borough)'!U118,IF(Dashboard!$D$6=INDEX('Scenario names'!$C$3:$C$6,3),'2.4 PV (by Borough)'!U159,"Error")))))</f>
        <v>7556941.0604332108</v>
      </c>
      <c r="V200" s="607">
        <f>IF(Dashboard!$D$6="Baseline",'2.4 PV (by Borough)'!V36,IF(Dashboard!$D$6=INDEX('Scenario names'!$C$3:$C$6,4),'2.4 PV (by Borough)'!V159,IF(Dashboard!$D$6=INDEX('Scenario names'!$C$3:$C$6,1),'2.4 PV (by Borough)'!V118,IF(Dashboard!$D$6=INDEX('Scenario names'!$C$3:$C$6,2),'2.4 PV (by Borough)'!V118,IF(Dashboard!$D$6=INDEX('Scenario names'!$C$3:$C$6,3),'2.4 PV (by Borough)'!V159,"Error")))))</f>
        <v>8588335.0323113874</v>
      </c>
      <c r="W200" s="607">
        <f>IF(Dashboard!$D$6="Baseline",'2.4 PV (by Borough)'!W36,IF(Dashboard!$D$6=INDEX('Scenario names'!$C$3:$C$6,4),'2.4 PV (by Borough)'!W159,IF(Dashboard!$D$6=INDEX('Scenario names'!$C$3:$C$6,1),'2.4 PV (by Borough)'!W118,IF(Dashboard!$D$6=INDEX('Scenario names'!$C$3:$C$6,2),'2.4 PV (by Borough)'!W118,IF(Dashboard!$D$6=INDEX('Scenario names'!$C$3:$C$6,3),'2.4 PV (by Borough)'!W159,"Error")))))</f>
        <v>9619729.0041895676</v>
      </c>
      <c r="X200" s="607">
        <f>IF(Dashboard!$D$6="Baseline",'2.4 PV (by Borough)'!X36,IF(Dashboard!$D$6=INDEX('Scenario names'!$C$3:$C$6,4),'2.4 PV (by Borough)'!X159,IF(Dashboard!$D$6=INDEX('Scenario names'!$C$3:$C$6,1),'2.4 PV (by Borough)'!X118,IF(Dashboard!$D$6=INDEX('Scenario names'!$C$3:$C$6,2),'2.4 PV (by Borough)'!X118,IF(Dashboard!$D$6=INDEX('Scenario names'!$C$3:$C$6,3),'2.4 PV (by Borough)'!X159,"Error")))))</f>
        <v>10651122.976067742</v>
      </c>
      <c r="Y200" s="607">
        <f>IF(Dashboard!$D$6="Baseline",'2.4 PV (by Borough)'!Y36,IF(Dashboard!$D$6=INDEX('Scenario names'!$C$3:$C$6,4),'2.4 PV (by Borough)'!Y159,IF(Dashboard!$D$6=INDEX('Scenario names'!$C$3:$C$6,1),'2.4 PV (by Borough)'!Y118,IF(Dashboard!$D$6=INDEX('Scenario names'!$C$3:$C$6,2),'2.4 PV (by Borough)'!Y118,IF(Dashboard!$D$6=INDEX('Scenario names'!$C$3:$C$6,3),'2.4 PV (by Borough)'!Y159,"Error")))))</f>
        <v>11682516.947945919</v>
      </c>
      <c r="Z200" s="607">
        <f>IF(Dashboard!$D$6="Baseline",'2.4 PV (by Borough)'!Z36,IF(Dashboard!$D$6=INDEX('Scenario names'!$C$3:$C$6,4),'2.4 PV (by Borough)'!Z159,IF(Dashboard!$D$6=INDEX('Scenario names'!$C$3:$C$6,1),'2.4 PV (by Borough)'!Z118,IF(Dashboard!$D$6=INDEX('Scenario names'!$C$3:$C$6,2),'2.4 PV (by Borough)'!Z118,IF(Dashboard!$D$6=INDEX('Scenario names'!$C$3:$C$6,3),'2.4 PV (by Borough)'!Z159,"Error")))))</f>
        <v>11787310.227796834</v>
      </c>
      <c r="AA200" s="607">
        <f>IF(Dashboard!$D$6="Baseline",'2.4 PV (by Borough)'!AA36,IF(Dashboard!$D$6=INDEX('Scenario names'!$C$3:$C$6,4),'2.4 PV (by Borough)'!AA159,IF(Dashboard!$D$6=INDEX('Scenario names'!$C$3:$C$6,1),'2.4 PV (by Borough)'!AA118,IF(Dashboard!$D$6=INDEX('Scenario names'!$C$3:$C$6,2),'2.4 PV (by Borough)'!AA118,IF(Dashboard!$D$6=INDEX('Scenario names'!$C$3:$C$6,3),'2.4 PV (by Borough)'!AA159,"Error")))))</f>
        <v>11892103.507647742</v>
      </c>
      <c r="AB200" s="607">
        <f>IF(Dashboard!$D$6="Baseline",'2.4 PV (by Borough)'!AB36,IF(Dashboard!$D$6=INDEX('Scenario names'!$C$3:$C$6,4),'2.4 PV (by Borough)'!AB159,IF(Dashboard!$D$6=INDEX('Scenario names'!$C$3:$C$6,1),'2.4 PV (by Borough)'!AB118,IF(Dashboard!$D$6=INDEX('Scenario names'!$C$3:$C$6,2),'2.4 PV (by Borough)'!AB118,IF(Dashboard!$D$6=INDEX('Scenario names'!$C$3:$C$6,3),'2.4 PV (by Borough)'!AB159,"Error")))))</f>
        <v>11996896.787498657</v>
      </c>
      <c r="AC200" s="607">
        <f>IF(Dashboard!$D$6="Baseline",'2.4 PV (by Borough)'!AC36,IF(Dashboard!$D$6=INDEX('Scenario names'!$C$3:$C$6,4),'2.4 PV (by Borough)'!AC159,IF(Dashboard!$D$6=INDEX('Scenario names'!$C$3:$C$6,1),'2.4 PV (by Borough)'!AC118,IF(Dashboard!$D$6=INDEX('Scenario names'!$C$3:$C$6,2),'2.4 PV (by Borough)'!AC118,IF(Dashboard!$D$6=INDEX('Scenario names'!$C$3:$C$6,3),'2.4 PV (by Borough)'!AC159,"Error")))))</f>
        <v>12101690.067349568</v>
      </c>
      <c r="AD200" s="607">
        <f>IF(Dashboard!$D$6="Baseline",'2.4 PV (by Borough)'!AD36,IF(Dashboard!$D$6=INDEX('Scenario names'!$C$3:$C$6,4),'2.4 PV (by Borough)'!AD159,IF(Dashboard!$D$6=INDEX('Scenario names'!$C$3:$C$6,1),'2.4 PV (by Borough)'!AD118,IF(Dashboard!$D$6=INDEX('Scenario names'!$C$3:$C$6,2),'2.4 PV (by Borough)'!AD118,IF(Dashboard!$D$6=INDEX('Scenario names'!$C$3:$C$6,3),'2.4 PV (by Borough)'!AD159,"Error")))))</f>
        <v>12206483.347200479</v>
      </c>
      <c r="AE200" s="607">
        <f>IF(Dashboard!$D$6="Baseline",'2.4 PV (by Borough)'!AE36,IF(Dashboard!$D$6=INDEX('Scenario names'!$C$3:$C$6,4),'2.4 PV (by Borough)'!AE159,IF(Dashboard!$D$6=INDEX('Scenario names'!$C$3:$C$6,1),'2.4 PV (by Borough)'!AE118,IF(Dashboard!$D$6=INDEX('Scenario names'!$C$3:$C$6,2),'2.4 PV (by Borough)'!AE118,IF(Dashboard!$D$6=INDEX('Scenario names'!$C$3:$C$6,3),'2.4 PV (by Borough)'!AE159,"Error")))))</f>
        <v>12311276.627051394</v>
      </c>
      <c r="AF200" s="607">
        <f>IF(Dashboard!$D$6="Baseline",'2.4 PV (by Borough)'!AF36,IF(Dashboard!$D$6=INDEX('Scenario names'!$C$3:$C$6,4),'2.4 PV (by Borough)'!AF159,IF(Dashboard!$D$6=INDEX('Scenario names'!$C$3:$C$6,1),'2.4 PV (by Borough)'!AF118,IF(Dashboard!$D$6=INDEX('Scenario names'!$C$3:$C$6,2),'2.4 PV (by Borough)'!AF118,IF(Dashboard!$D$6=INDEX('Scenario names'!$C$3:$C$6,3),'2.4 PV (by Borough)'!AF159,"Error")))))</f>
        <v>12416069.906902306</v>
      </c>
      <c r="AG200" s="607">
        <f>IF(Dashboard!$D$6="Baseline",'2.4 PV (by Borough)'!AG36,IF(Dashboard!$D$6=INDEX('Scenario names'!$C$3:$C$6,4),'2.4 PV (by Borough)'!AG159,IF(Dashboard!$D$6=INDEX('Scenario names'!$C$3:$C$6,1),'2.4 PV (by Borough)'!AG118,IF(Dashboard!$D$6=INDEX('Scenario names'!$C$3:$C$6,2),'2.4 PV (by Borough)'!AG118,IF(Dashboard!$D$6=INDEX('Scenario names'!$C$3:$C$6,3),'2.4 PV (by Borough)'!AG159,"Error")))))</f>
        <v>12520863.186753219</v>
      </c>
      <c r="AH200" s="607">
        <f>IF(Dashboard!$D$6="Baseline",'2.4 PV (by Borough)'!AH36,IF(Dashboard!$D$6=INDEX('Scenario names'!$C$3:$C$6,4),'2.4 PV (by Borough)'!AH159,IF(Dashboard!$D$6=INDEX('Scenario names'!$C$3:$C$6,1),'2.4 PV (by Borough)'!AH118,IF(Dashboard!$D$6=INDEX('Scenario names'!$C$3:$C$6,2),'2.4 PV (by Borough)'!AH118,IF(Dashboard!$D$6=INDEX('Scenario names'!$C$3:$C$6,3),'2.4 PV (by Borough)'!AH159,"Error")))))</f>
        <v>12625656.46660413</v>
      </c>
      <c r="AI200" s="607">
        <f>IF(Dashboard!$D$6="Baseline",'2.4 PV (by Borough)'!AI36,IF(Dashboard!$D$6=INDEX('Scenario names'!$C$3:$C$6,4),'2.4 PV (by Borough)'!AI159,IF(Dashboard!$D$6=INDEX('Scenario names'!$C$3:$C$6,1),'2.4 PV (by Borough)'!AI118,IF(Dashboard!$D$6=INDEX('Scenario names'!$C$3:$C$6,2),'2.4 PV (by Borough)'!AI118,IF(Dashboard!$D$6=INDEX('Scenario names'!$C$3:$C$6,3),'2.4 PV (by Borough)'!AI159,"Error")))))</f>
        <v>12730449.74645504</v>
      </c>
      <c r="AJ200" s="607">
        <f>IF(Dashboard!$D$6="Baseline",'2.4 PV (by Borough)'!AJ36,IF(Dashboard!$D$6=INDEX('Scenario names'!$C$3:$C$6,4),'2.4 PV (by Borough)'!AJ159,IF(Dashboard!$D$6=INDEX('Scenario names'!$C$3:$C$6,1),'2.4 PV (by Borough)'!AJ118,IF(Dashboard!$D$6=INDEX('Scenario names'!$C$3:$C$6,2),'2.4 PV (by Borough)'!AJ118,IF(Dashboard!$D$6=INDEX('Scenario names'!$C$3:$C$6,3),'2.4 PV (by Borough)'!AJ159,"Error")))))</f>
        <v>12835243.026305955</v>
      </c>
      <c r="AK200" s="607">
        <f>IF(Dashboard!$D$6="Baseline",'2.4 PV (by Borough)'!AK36,IF(Dashboard!$D$6=INDEX('Scenario names'!$C$3:$C$6,4),'2.4 PV (by Borough)'!AK159,IF(Dashboard!$D$6=INDEX('Scenario names'!$C$3:$C$6,1),'2.4 PV (by Borough)'!AK118,IF(Dashboard!$D$6=INDEX('Scenario names'!$C$3:$C$6,2),'2.4 PV (by Borough)'!AK118,IF(Dashboard!$D$6=INDEX('Scenario names'!$C$3:$C$6,3),'2.4 PV (by Borough)'!AK159,"Error")))))</f>
        <v>12940036.306156866</v>
      </c>
      <c r="AL200" s="607">
        <f>IF(Dashboard!$D$6="Baseline",'2.4 PV (by Borough)'!AL36,IF(Dashboard!$D$6=INDEX('Scenario names'!$C$3:$C$6,4),'2.4 PV (by Borough)'!AL159,IF(Dashboard!$D$6=INDEX('Scenario names'!$C$3:$C$6,1),'2.4 PV (by Borough)'!AL118,IF(Dashboard!$D$6=INDEX('Scenario names'!$C$3:$C$6,2),'2.4 PV (by Borough)'!AL118,IF(Dashboard!$D$6=INDEX('Scenario names'!$C$3:$C$6,3),'2.4 PV (by Borough)'!AL159,"Error")))))</f>
        <v>13044829.586007779</v>
      </c>
      <c r="AM200" s="607">
        <f>IF(Dashboard!$D$6="Baseline",'2.4 PV (by Borough)'!AM36,IF(Dashboard!$D$6=INDEX('Scenario names'!$C$3:$C$6,4),'2.4 PV (by Borough)'!AM159,IF(Dashboard!$D$6=INDEX('Scenario names'!$C$3:$C$6,1),'2.4 PV (by Borough)'!AM118,IF(Dashboard!$D$6=INDEX('Scenario names'!$C$3:$C$6,2),'2.4 PV (by Borough)'!AM118,IF(Dashboard!$D$6=INDEX('Scenario names'!$C$3:$C$6,3),'2.4 PV (by Borough)'!AM159,"Error")))))</f>
        <v>13149622.865858691</v>
      </c>
      <c r="AN200" s="607">
        <f>IF(Dashboard!$D$6="Baseline",'2.4 PV (by Borough)'!AN36,IF(Dashboard!$D$6=INDEX('Scenario names'!$C$3:$C$6,4),'2.4 PV (by Borough)'!AN159,IF(Dashboard!$D$6=INDEX('Scenario names'!$C$3:$C$6,1),'2.4 PV (by Borough)'!AN118,IF(Dashboard!$D$6=INDEX('Scenario names'!$C$3:$C$6,2),'2.4 PV (by Borough)'!AN118,IF(Dashboard!$D$6=INDEX('Scenario names'!$C$3:$C$6,3),'2.4 PV (by Borough)'!AN159,"Error")))))</f>
        <v>13254416.145709604</v>
      </c>
      <c r="AO200" s="607">
        <f>IF(Dashboard!$D$6="Baseline",'2.4 PV (by Borough)'!AO36,IF(Dashboard!$D$6=INDEX('Scenario names'!$C$3:$C$6,4),'2.4 PV (by Borough)'!AO159,IF(Dashboard!$D$6=INDEX('Scenario names'!$C$3:$C$6,1),'2.4 PV (by Borough)'!AO118,IF(Dashboard!$D$6=INDEX('Scenario names'!$C$3:$C$6,2),'2.4 PV (by Borough)'!AO118,IF(Dashboard!$D$6=INDEX('Scenario names'!$C$3:$C$6,3),'2.4 PV (by Borough)'!AO159,"Error")))))</f>
        <v>13359209.425560515</v>
      </c>
      <c r="AP200" s="607">
        <f>IF(Dashboard!$D$6="Baseline",'2.4 PV (by Borough)'!AP36,IF(Dashboard!$D$6=INDEX('Scenario names'!$C$3:$C$6,4),'2.4 PV (by Borough)'!AP159,IF(Dashboard!$D$6=INDEX('Scenario names'!$C$3:$C$6,1),'2.4 PV (by Borough)'!AP118,IF(Dashboard!$D$6=INDEX('Scenario names'!$C$3:$C$6,2),'2.4 PV (by Borough)'!AP118,IF(Dashboard!$D$6=INDEX('Scenario names'!$C$3:$C$6,3),'2.4 PV (by Borough)'!AP159,"Error")))))</f>
        <v>13464002.705411427</v>
      </c>
      <c r="AQ200" s="607">
        <f>IF(Dashboard!$D$6="Baseline",'2.4 PV (by Borough)'!AQ36,IF(Dashboard!$D$6=INDEX('Scenario names'!$C$3:$C$6,4),'2.4 PV (by Borough)'!AQ159,IF(Dashboard!$D$6=INDEX('Scenario names'!$C$3:$C$6,1),'2.4 PV (by Borough)'!AQ118,IF(Dashboard!$D$6=INDEX('Scenario names'!$C$3:$C$6,2),'2.4 PV (by Borough)'!AQ118,IF(Dashboard!$D$6=INDEX('Scenario names'!$C$3:$C$6,3),'2.4 PV (by Borough)'!AQ159,"Error")))))</f>
        <v>13568795.98526234</v>
      </c>
      <c r="AR200" s="607">
        <f>IF(Dashboard!$D$6="Baseline",'2.4 PV (by Borough)'!AR36,IF(Dashboard!$D$6=INDEX('Scenario names'!$C$3:$C$6,4),'2.4 PV (by Borough)'!AR159,IF(Dashboard!$D$6=INDEX('Scenario names'!$C$3:$C$6,1),'2.4 PV (by Borough)'!AR118,IF(Dashboard!$D$6=INDEX('Scenario names'!$C$3:$C$6,2),'2.4 PV (by Borough)'!AR118,IF(Dashboard!$D$6=INDEX('Scenario names'!$C$3:$C$6,3),'2.4 PV (by Borough)'!AR159,"Error")))))</f>
        <v>13673589.265113249</v>
      </c>
      <c r="AS200" s="607">
        <f>IF(Dashboard!$D$6="Baseline",'2.4 PV (by Borough)'!AS36,IF(Dashboard!$D$6=INDEX('Scenario names'!$C$3:$C$6,4),'2.4 PV (by Borough)'!AS159,IF(Dashboard!$D$6=INDEX('Scenario names'!$C$3:$C$6,1),'2.4 PV (by Borough)'!AS118,IF(Dashboard!$D$6=INDEX('Scenario names'!$C$3:$C$6,2),'2.4 PV (by Borough)'!AS118,IF(Dashboard!$D$6=INDEX('Scenario names'!$C$3:$C$6,3),'2.4 PV (by Borough)'!AS159,"Error")))))</f>
        <v>13778382.544964166</v>
      </c>
      <c r="AT200" s="607">
        <f>IF(Dashboard!$D$6="Baseline",'2.4 PV (by Borough)'!AT36,IF(Dashboard!$D$6=INDEX('Scenario names'!$C$3:$C$6,4),'2.4 PV (by Borough)'!AT159,IF(Dashboard!$D$6=INDEX('Scenario names'!$C$3:$C$6,1),'2.4 PV (by Borough)'!AT118,IF(Dashboard!$D$6=INDEX('Scenario names'!$C$3:$C$6,2),'2.4 PV (by Borough)'!AT118,IF(Dashboard!$D$6=INDEX('Scenario names'!$C$3:$C$6,3),'2.4 PV (by Borough)'!AT159,"Error")))))</f>
        <v>13883175.824815076</v>
      </c>
      <c r="AU200" s="607">
        <f>IF(Dashboard!$D$6="Baseline",'2.4 PV (by Borough)'!AU36,IF(Dashboard!$D$6=INDEX('Scenario names'!$C$3:$C$6,4),'2.4 PV (by Borough)'!AU159,IF(Dashboard!$D$6=INDEX('Scenario names'!$C$3:$C$6,1),'2.4 PV (by Borough)'!AU118,IF(Dashboard!$D$6=INDEX('Scenario names'!$C$3:$C$6,2),'2.4 PV (by Borough)'!AU118,IF(Dashboard!$D$6=INDEX('Scenario names'!$C$3:$C$6,3),'2.4 PV (by Borough)'!AU159,"Error")))))</f>
        <v>13987969.104665989</v>
      </c>
      <c r="AV200" s="607">
        <f>IF(Dashboard!$D$6="Baseline",'2.4 PV (by Borough)'!AV36,IF(Dashboard!$D$6=INDEX('Scenario names'!$C$3:$C$6,4),'2.4 PV (by Borough)'!AV159,IF(Dashboard!$D$6=INDEX('Scenario names'!$C$3:$C$6,1),'2.4 PV (by Borough)'!AV118,IF(Dashboard!$D$6=INDEX('Scenario names'!$C$3:$C$6,2),'2.4 PV (by Borough)'!AV118,IF(Dashboard!$D$6=INDEX('Scenario names'!$C$3:$C$6,3),'2.4 PV (by Borough)'!AV159,"Error")))))</f>
        <v>14092762.384516902</v>
      </c>
      <c r="AW200" s="607">
        <f>IF(Dashboard!$D$6="Baseline",'2.4 PV (by Borough)'!AW36,IF(Dashboard!$D$6=INDEX('Scenario names'!$C$3:$C$6,4),'2.4 PV (by Borough)'!AW159,IF(Dashboard!$D$6=INDEX('Scenario names'!$C$3:$C$6,1),'2.4 PV (by Borough)'!AW118,IF(Dashboard!$D$6=INDEX('Scenario names'!$C$3:$C$6,2),'2.4 PV (by Borough)'!AW118,IF(Dashboard!$D$6=INDEX('Scenario names'!$C$3:$C$6,3),'2.4 PV (by Borough)'!AW159,"Error")))))</f>
        <v>14197555.664367815</v>
      </c>
      <c r="AX200" s="607">
        <f>IF(Dashboard!$D$6="Baseline",'2.4 PV (by Borough)'!AX36,IF(Dashboard!$D$6=INDEX('Scenario names'!$C$3:$C$6,4),'2.4 PV (by Borough)'!AX159,IF(Dashboard!$D$6=INDEX('Scenario names'!$C$3:$C$6,1),'2.4 PV (by Borough)'!AX118,IF(Dashboard!$D$6=INDEX('Scenario names'!$C$3:$C$6,2),'2.4 PV (by Borough)'!AX118,IF(Dashboard!$D$6=INDEX('Scenario names'!$C$3:$C$6,3),'2.4 PV (by Borough)'!AX159,"Error")))))</f>
        <v>14302348.944218729</v>
      </c>
      <c r="AY200" s="36"/>
      <c r="AZ200" s="36"/>
      <c r="BA200" s="36"/>
      <c r="BB200" s="36"/>
    </row>
    <row r="201" spans="4:54">
      <c r="D201" t="s">
        <v>660</v>
      </c>
      <c r="E201" t="s">
        <v>657</v>
      </c>
      <c r="G201" s="44"/>
      <c r="I201" s="44"/>
      <c r="K201" s="44"/>
      <c r="M201" s="44"/>
      <c r="O201" s="607">
        <f>IF(Dashboard!$D$6="Baseline",'2.4 PV (by Borough)'!O37,IF(Dashboard!$D$6=INDEX('Scenario names'!$C$3:$C$6,4),'2.4 PV (by Borough)'!O160,IF(Dashboard!$D$6=INDEX('Scenario names'!$C$3:$C$6,1),'2.4 PV (by Borough)'!O119,IF(Dashboard!$D$6=INDEX('Scenario names'!$C$3:$C$6,2),'2.4 PV (by Borough)'!O119,IF(Dashboard!$D$6=INDEX('Scenario names'!$C$3:$C$6,3),'2.4 PV (by Borough)'!O160,"Error")))))</f>
        <v>521253.42985207372</v>
      </c>
      <c r="P201" s="607">
        <f>IF(Dashboard!$D$6="Baseline",'2.4 PV (by Borough)'!P37,IF(Dashboard!$D$6=INDEX('Scenario names'!$C$3:$C$6,4),'2.4 PV (by Borough)'!P160,IF(Dashboard!$D$6=INDEX('Scenario names'!$C$3:$C$6,1),'2.4 PV (by Borough)'!P119,IF(Dashboard!$D$6=INDEX('Scenario names'!$C$3:$C$6,2),'2.4 PV (by Borough)'!P119,IF(Dashboard!$D$6=INDEX('Scenario names'!$C$3:$C$6,3),'2.4 PV (by Borough)'!P160,"Error")))))</f>
        <v>955613.64102112222</v>
      </c>
      <c r="Q201" s="607">
        <f>IF(Dashboard!$D$6="Baseline",'2.4 PV (by Borough)'!Q37,IF(Dashboard!$D$6=INDEX('Scenario names'!$C$3:$C$6,4),'2.4 PV (by Borough)'!Q160,IF(Dashboard!$D$6=INDEX('Scenario names'!$C$3:$C$6,1),'2.4 PV (by Borough)'!Q119,IF(Dashboard!$D$6=INDEX('Scenario names'!$C$3:$C$6,2),'2.4 PV (by Borough)'!Q119,IF(Dashboard!$D$6=INDEX('Scenario names'!$C$3:$C$6,3),'2.4 PV (by Borough)'!Q160,"Error")))))</f>
        <v>1389973.8521901711</v>
      </c>
      <c r="R201" s="607">
        <f>IF(Dashboard!$D$6="Baseline",'2.4 PV (by Borough)'!R37,IF(Dashboard!$D$6=INDEX('Scenario names'!$C$3:$C$6,4),'2.4 PV (by Borough)'!R160,IF(Dashboard!$D$6=INDEX('Scenario names'!$C$3:$C$6,1),'2.4 PV (by Borough)'!R119,IF(Dashboard!$D$6=INDEX('Scenario names'!$C$3:$C$6,2),'2.4 PV (by Borough)'!R119,IF(Dashboard!$D$6=INDEX('Scenario names'!$C$3:$C$6,3),'2.4 PV (by Borough)'!R160,"Error")))))</f>
        <v>1824334.0633592198</v>
      </c>
      <c r="S201" s="607">
        <f>IF(Dashboard!$D$6="Baseline",'2.4 PV (by Borough)'!S37,IF(Dashboard!$D$6=INDEX('Scenario names'!$C$3:$C$6,4),'2.4 PV (by Borough)'!S160,IF(Dashboard!$D$6=INDEX('Scenario names'!$C$3:$C$6,1),'2.4 PV (by Borough)'!S119,IF(Dashboard!$D$6=INDEX('Scenario names'!$C$3:$C$6,2),'2.4 PV (by Borough)'!S119,IF(Dashboard!$D$6=INDEX('Scenario names'!$C$3:$C$6,3),'2.4 PV (by Borough)'!S160,"Error")))))</f>
        <v>2258694.2745282683</v>
      </c>
      <c r="T201" s="607">
        <f>IF(Dashboard!$D$6="Baseline",'2.4 PV (by Borough)'!T37,IF(Dashboard!$D$6=INDEX('Scenario names'!$C$3:$C$6,4),'2.4 PV (by Borough)'!T160,IF(Dashboard!$D$6=INDEX('Scenario names'!$C$3:$C$6,1),'2.4 PV (by Borough)'!T119,IF(Dashboard!$D$6=INDEX('Scenario names'!$C$3:$C$6,2),'2.4 PV (by Borough)'!T119,IF(Dashboard!$D$6=INDEX('Scenario names'!$C$3:$C$6,3),'2.4 PV (by Borough)'!T160,"Error")))))</f>
        <v>2693054.4856973174</v>
      </c>
      <c r="U201" s="607">
        <f>IF(Dashboard!$D$6="Baseline",'2.4 PV (by Borough)'!U37,IF(Dashboard!$D$6=INDEX('Scenario names'!$C$3:$C$6,4),'2.4 PV (by Borough)'!U160,IF(Dashboard!$D$6=INDEX('Scenario names'!$C$3:$C$6,1),'2.4 PV (by Borough)'!U119,IF(Dashboard!$D$6=INDEX('Scenario names'!$C$3:$C$6,2),'2.4 PV (by Borough)'!U119,IF(Dashboard!$D$6=INDEX('Scenario names'!$C$3:$C$6,3),'2.4 PV (by Borough)'!U160,"Error")))))</f>
        <v>3127414.6968663656</v>
      </c>
      <c r="V201" s="607">
        <f>IF(Dashboard!$D$6="Baseline",'2.4 PV (by Borough)'!V37,IF(Dashboard!$D$6=INDEX('Scenario names'!$C$3:$C$6,4),'2.4 PV (by Borough)'!V160,IF(Dashboard!$D$6=INDEX('Scenario names'!$C$3:$C$6,1),'2.4 PV (by Borough)'!V119,IF(Dashboard!$D$6=INDEX('Scenario names'!$C$3:$C$6,2),'2.4 PV (by Borough)'!V119,IF(Dashboard!$D$6=INDEX('Scenario names'!$C$3:$C$6,3),'2.4 PV (by Borough)'!V160,"Error")))))</f>
        <v>3561774.9080354143</v>
      </c>
      <c r="W201" s="607">
        <f>IF(Dashboard!$D$6="Baseline",'2.4 PV (by Borough)'!W37,IF(Dashboard!$D$6=INDEX('Scenario names'!$C$3:$C$6,4),'2.4 PV (by Borough)'!W160,IF(Dashboard!$D$6=INDEX('Scenario names'!$C$3:$C$6,1),'2.4 PV (by Borough)'!W119,IF(Dashboard!$D$6=INDEX('Scenario names'!$C$3:$C$6,2),'2.4 PV (by Borough)'!W119,IF(Dashboard!$D$6=INDEX('Scenario names'!$C$3:$C$6,3),'2.4 PV (by Borough)'!W160,"Error")))))</f>
        <v>3996135.1192044644</v>
      </c>
      <c r="X201" s="607">
        <f>IF(Dashboard!$D$6="Baseline",'2.4 PV (by Borough)'!X37,IF(Dashboard!$D$6=INDEX('Scenario names'!$C$3:$C$6,4),'2.4 PV (by Borough)'!X160,IF(Dashboard!$D$6=INDEX('Scenario names'!$C$3:$C$6,1),'2.4 PV (by Borough)'!X119,IF(Dashboard!$D$6=INDEX('Scenario names'!$C$3:$C$6,2),'2.4 PV (by Borough)'!X119,IF(Dashboard!$D$6=INDEX('Scenario names'!$C$3:$C$6,3),'2.4 PV (by Borough)'!X160,"Error")))))</f>
        <v>4430495.3303735116</v>
      </c>
      <c r="Y201" s="607">
        <f>IF(Dashboard!$D$6="Baseline",'2.4 PV (by Borough)'!Y37,IF(Dashboard!$D$6=INDEX('Scenario names'!$C$3:$C$6,4),'2.4 PV (by Borough)'!Y160,IF(Dashboard!$D$6=INDEX('Scenario names'!$C$3:$C$6,1),'2.4 PV (by Borough)'!Y119,IF(Dashboard!$D$6=INDEX('Scenario names'!$C$3:$C$6,2),'2.4 PV (by Borough)'!Y119,IF(Dashboard!$D$6=INDEX('Scenario names'!$C$3:$C$6,3),'2.4 PV (by Borough)'!Y160,"Error")))))</f>
        <v>4864855.5415425599</v>
      </c>
      <c r="Z201" s="607">
        <f>IF(Dashboard!$D$6="Baseline",'2.4 PV (by Borough)'!Z37,IF(Dashboard!$D$6=INDEX('Scenario names'!$C$3:$C$6,4),'2.4 PV (by Borough)'!Z160,IF(Dashboard!$D$6=INDEX('Scenario names'!$C$3:$C$6,1),'2.4 PV (by Borough)'!Z119,IF(Dashboard!$D$6=INDEX('Scenario names'!$C$3:$C$6,2),'2.4 PV (by Borough)'!Z119,IF(Dashboard!$D$6=INDEX('Scenario names'!$C$3:$C$6,3),'2.4 PV (by Borough)'!Z160,"Error")))))</f>
        <v>6625650.4020774206</v>
      </c>
      <c r="AA201" s="607">
        <f>IF(Dashboard!$D$6="Baseline",'2.4 PV (by Borough)'!AA37,IF(Dashboard!$D$6=INDEX('Scenario names'!$C$3:$C$6,4),'2.4 PV (by Borough)'!AA160,IF(Dashboard!$D$6=INDEX('Scenario names'!$C$3:$C$6,1),'2.4 PV (by Borough)'!AA119,IF(Dashboard!$D$6=INDEX('Scenario names'!$C$3:$C$6,2),'2.4 PV (by Borough)'!AA119,IF(Dashboard!$D$6=INDEX('Scenario names'!$C$3:$C$6,3),'2.4 PV (by Borough)'!AA160,"Error")))))</f>
        <v>8386445.2626122804</v>
      </c>
      <c r="AB201" s="607">
        <f>IF(Dashboard!$D$6="Baseline",'2.4 PV (by Borough)'!AB37,IF(Dashboard!$D$6=INDEX('Scenario names'!$C$3:$C$6,4),'2.4 PV (by Borough)'!AB160,IF(Dashboard!$D$6=INDEX('Scenario names'!$C$3:$C$6,1),'2.4 PV (by Borough)'!AB119,IF(Dashboard!$D$6=INDEX('Scenario names'!$C$3:$C$6,2),'2.4 PV (by Borough)'!AB119,IF(Dashboard!$D$6=INDEX('Scenario names'!$C$3:$C$6,3),'2.4 PV (by Borough)'!AB160,"Error")))))</f>
        <v>10147240.123147137</v>
      </c>
      <c r="AC201" s="607">
        <f>IF(Dashboard!$D$6="Baseline",'2.4 PV (by Borough)'!AC37,IF(Dashboard!$D$6=INDEX('Scenario names'!$C$3:$C$6,4),'2.4 PV (by Borough)'!AC160,IF(Dashboard!$D$6=INDEX('Scenario names'!$C$3:$C$6,1),'2.4 PV (by Borough)'!AC119,IF(Dashboard!$D$6=INDEX('Scenario names'!$C$3:$C$6,2),'2.4 PV (by Borough)'!AC119,IF(Dashboard!$D$6=INDEX('Scenario names'!$C$3:$C$6,3),'2.4 PV (by Borough)'!AC160,"Error")))))</f>
        <v>11908034.983681997</v>
      </c>
      <c r="AD201" s="607">
        <f>IF(Dashboard!$D$6="Baseline",'2.4 PV (by Borough)'!AD37,IF(Dashboard!$D$6=INDEX('Scenario names'!$C$3:$C$6,4),'2.4 PV (by Borough)'!AD160,IF(Dashboard!$D$6=INDEX('Scenario names'!$C$3:$C$6,1),'2.4 PV (by Borough)'!AD119,IF(Dashboard!$D$6=INDEX('Scenario names'!$C$3:$C$6,2),'2.4 PV (by Borough)'!AD119,IF(Dashboard!$D$6=INDEX('Scenario names'!$C$3:$C$6,3),'2.4 PV (by Borough)'!AD160,"Error")))))</f>
        <v>13668829.844216859</v>
      </c>
      <c r="AE201" s="607">
        <f>IF(Dashboard!$D$6="Baseline",'2.4 PV (by Borough)'!AE37,IF(Dashboard!$D$6=INDEX('Scenario names'!$C$3:$C$6,4),'2.4 PV (by Borough)'!AE160,IF(Dashboard!$D$6=INDEX('Scenario names'!$C$3:$C$6,1),'2.4 PV (by Borough)'!AE119,IF(Dashboard!$D$6=INDEX('Scenario names'!$C$3:$C$6,2),'2.4 PV (by Borough)'!AE119,IF(Dashboard!$D$6=INDEX('Scenario names'!$C$3:$C$6,3),'2.4 PV (by Borough)'!AE160,"Error")))))</f>
        <v>15429624.704751713</v>
      </c>
      <c r="AF201" s="607">
        <f>IF(Dashboard!$D$6="Baseline",'2.4 PV (by Borough)'!AF37,IF(Dashboard!$D$6=INDEX('Scenario names'!$C$3:$C$6,4),'2.4 PV (by Borough)'!AF160,IF(Dashboard!$D$6=INDEX('Scenario names'!$C$3:$C$6,1),'2.4 PV (by Borough)'!AF119,IF(Dashboard!$D$6=INDEX('Scenario names'!$C$3:$C$6,2),'2.4 PV (by Borough)'!AF119,IF(Dashboard!$D$6=INDEX('Scenario names'!$C$3:$C$6,3),'2.4 PV (by Borough)'!AF160,"Error")))))</f>
        <v>17190419.565286569</v>
      </c>
      <c r="AG201" s="607">
        <f>IF(Dashboard!$D$6="Baseline",'2.4 PV (by Borough)'!AG37,IF(Dashboard!$D$6=INDEX('Scenario names'!$C$3:$C$6,4),'2.4 PV (by Borough)'!AG160,IF(Dashboard!$D$6=INDEX('Scenario names'!$C$3:$C$6,1),'2.4 PV (by Borough)'!AG119,IF(Dashboard!$D$6=INDEX('Scenario names'!$C$3:$C$6,2),'2.4 PV (by Borough)'!AG119,IF(Dashboard!$D$6=INDEX('Scenario names'!$C$3:$C$6,3),'2.4 PV (by Borough)'!AG160,"Error")))))</f>
        <v>18951214.425821427</v>
      </c>
      <c r="AH201" s="607">
        <f>IF(Dashboard!$D$6="Baseline",'2.4 PV (by Borough)'!AH37,IF(Dashboard!$D$6=INDEX('Scenario names'!$C$3:$C$6,4),'2.4 PV (by Borough)'!AH160,IF(Dashboard!$D$6=INDEX('Scenario names'!$C$3:$C$6,1),'2.4 PV (by Borough)'!AH119,IF(Dashboard!$D$6=INDEX('Scenario names'!$C$3:$C$6,2),'2.4 PV (by Borough)'!AH119,IF(Dashboard!$D$6=INDEX('Scenario names'!$C$3:$C$6,3),'2.4 PV (by Borough)'!AH160,"Error")))))</f>
        <v>20712009.286356293</v>
      </c>
      <c r="AI201" s="607">
        <f>IF(Dashboard!$D$6="Baseline",'2.4 PV (by Borough)'!AI37,IF(Dashboard!$D$6=INDEX('Scenario names'!$C$3:$C$6,4),'2.4 PV (by Borough)'!AI160,IF(Dashboard!$D$6=INDEX('Scenario names'!$C$3:$C$6,1),'2.4 PV (by Borough)'!AI119,IF(Dashboard!$D$6=INDEX('Scenario names'!$C$3:$C$6,2),'2.4 PV (by Borough)'!AI119,IF(Dashboard!$D$6=INDEX('Scenario names'!$C$3:$C$6,3),'2.4 PV (by Borough)'!AI160,"Error")))))</f>
        <v>22472804.146891154</v>
      </c>
      <c r="AJ201" s="607">
        <f>IF(Dashboard!$D$6="Baseline",'2.4 PV (by Borough)'!AJ37,IF(Dashboard!$D$6=INDEX('Scenario names'!$C$3:$C$6,4),'2.4 PV (by Borough)'!AJ160,IF(Dashboard!$D$6=INDEX('Scenario names'!$C$3:$C$6,1),'2.4 PV (by Borough)'!AJ119,IF(Dashboard!$D$6=INDEX('Scenario names'!$C$3:$C$6,2),'2.4 PV (by Borough)'!AJ119,IF(Dashboard!$D$6=INDEX('Scenario names'!$C$3:$C$6,3),'2.4 PV (by Borough)'!AJ160,"Error")))))</f>
        <v>24233599.007426009</v>
      </c>
      <c r="AK201" s="607">
        <f>IF(Dashboard!$D$6="Baseline",'2.4 PV (by Borough)'!AK37,IF(Dashboard!$D$6=INDEX('Scenario names'!$C$3:$C$6,4),'2.4 PV (by Borough)'!AK160,IF(Dashboard!$D$6=INDEX('Scenario names'!$C$3:$C$6,1),'2.4 PV (by Borough)'!AK119,IF(Dashboard!$D$6=INDEX('Scenario names'!$C$3:$C$6,2),'2.4 PV (by Borough)'!AK119,IF(Dashboard!$D$6=INDEX('Scenario names'!$C$3:$C$6,3),'2.4 PV (by Borough)'!AK160,"Error")))))</f>
        <v>25994393.86796087</v>
      </c>
      <c r="AL201" s="607">
        <f>IF(Dashboard!$D$6="Baseline",'2.4 PV (by Borough)'!AL37,IF(Dashboard!$D$6=INDEX('Scenario names'!$C$3:$C$6,4),'2.4 PV (by Borough)'!AL160,IF(Dashboard!$D$6=INDEX('Scenario names'!$C$3:$C$6,1),'2.4 PV (by Borough)'!AL119,IF(Dashboard!$D$6=INDEX('Scenario names'!$C$3:$C$6,2),'2.4 PV (by Borough)'!AL119,IF(Dashboard!$D$6=INDEX('Scenario names'!$C$3:$C$6,3),'2.4 PV (by Borough)'!AL160,"Error")))))</f>
        <v>27755188.728495721</v>
      </c>
      <c r="AM201" s="607">
        <f>IF(Dashboard!$D$6="Baseline",'2.4 PV (by Borough)'!AM37,IF(Dashboard!$D$6=INDEX('Scenario names'!$C$3:$C$6,4),'2.4 PV (by Borough)'!AM160,IF(Dashboard!$D$6=INDEX('Scenario names'!$C$3:$C$6,1),'2.4 PV (by Borough)'!AM119,IF(Dashboard!$D$6=INDEX('Scenario names'!$C$3:$C$6,2),'2.4 PV (by Borough)'!AM119,IF(Dashboard!$D$6=INDEX('Scenario names'!$C$3:$C$6,3),'2.4 PV (by Borough)'!AM160,"Error")))))</f>
        <v>29515983.589030579</v>
      </c>
      <c r="AN201" s="607">
        <f>IF(Dashboard!$D$6="Baseline",'2.4 PV (by Borough)'!AN37,IF(Dashboard!$D$6=INDEX('Scenario names'!$C$3:$C$6,4),'2.4 PV (by Borough)'!AN160,IF(Dashboard!$D$6=INDEX('Scenario names'!$C$3:$C$6,1),'2.4 PV (by Borough)'!AN119,IF(Dashboard!$D$6=INDEX('Scenario names'!$C$3:$C$6,2),'2.4 PV (by Borough)'!AN119,IF(Dashboard!$D$6=INDEX('Scenario names'!$C$3:$C$6,3),'2.4 PV (by Borough)'!AN160,"Error")))))</f>
        <v>31276778.449565444</v>
      </c>
      <c r="AO201" s="607">
        <f>IF(Dashboard!$D$6="Baseline",'2.4 PV (by Borough)'!AO37,IF(Dashboard!$D$6=INDEX('Scenario names'!$C$3:$C$6,4),'2.4 PV (by Borough)'!AO160,IF(Dashboard!$D$6=INDEX('Scenario names'!$C$3:$C$6,1),'2.4 PV (by Borough)'!AO119,IF(Dashboard!$D$6=INDEX('Scenario names'!$C$3:$C$6,2),'2.4 PV (by Borough)'!AO119,IF(Dashboard!$D$6=INDEX('Scenario names'!$C$3:$C$6,3),'2.4 PV (by Borough)'!AO160,"Error")))))</f>
        <v>33037573.310100298</v>
      </c>
      <c r="AP201" s="607">
        <f>IF(Dashboard!$D$6="Baseline",'2.4 PV (by Borough)'!AP37,IF(Dashboard!$D$6=INDEX('Scenario names'!$C$3:$C$6,4),'2.4 PV (by Borough)'!AP160,IF(Dashboard!$D$6=INDEX('Scenario names'!$C$3:$C$6,1),'2.4 PV (by Borough)'!AP119,IF(Dashboard!$D$6=INDEX('Scenario names'!$C$3:$C$6,2),'2.4 PV (by Borough)'!AP119,IF(Dashboard!$D$6=INDEX('Scenario names'!$C$3:$C$6,3),'2.4 PV (by Borough)'!AP160,"Error")))))</f>
        <v>34798368.170635156</v>
      </c>
      <c r="AQ201" s="607">
        <f>IF(Dashboard!$D$6="Baseline",'2.4 PV (by Borough)'!AQ37,IF(Dashboard!$D$6=INDEX('Scenario names'!$C$3:$C$6,4),'2.4 PV (by Borough)'!AQ160,IF(Dashboard!$D$6=INDEX('Scenario names'!$C$3:$C$6,1),'2.4 PV (by Borough)'!AQ119,IF(Dashboard!$D$6=INDEX('Scenario names'!$C$3:$C$6,2),'2.4 PV (by Borough)'!AQ119,IF(Dashboard!$D$6=INDEX('Scenario names'!$C$3:$C$6,3),'2.4 PV (by Borough)'!AQ160,"Error")))))</f>
        <v>36559163.031170018</v>
      </c>
      <c r="AR201" s="607">
        <f>IF(Dashboard!$D$6="Baseline",'2.4 PV (by Borough)'!AR37,IF(Dashboard!$D$6=INDEX('Scenario names'!$C$3:$C$6,4),'2.4 PV (by Borough)'!AR160,IF(Dashboard!$D$6=INDEX('Scenario names'!$C$3:$C$6,1),'2.4 PV (by Borough)'!AR119,IF(Dashboard!$D$6=INDEX('Scenario names'!$C$3:$C$6,2),'2.4 PV (by Borough)'!AR119,IF(Dashboard!$D$6=INDEX('Scenario names'!$C$3:$C$6,3),'2.4 PV (by Borough)'!AR160,"Error")))))</f>
        <v>38319957.891704872</v>
      </c>
      <c r="AS201" s="607">
        <f>IF(Dashboard!$D$6="Baseline",'2.4 PV (by Borough)'!AS37,IF(Dashboard!$D$6=INDEX('Scenario names'!$C$3:$C$6,4),'2.4 PV (by Borough)'!AS160,IF(Dashboard!$D$6=INDEX('Scenario names'!$C$3:$C$6,1),'2.4 PV (by Borough)'!AS119,IF(Dashboard!$D$6=INDEX('Scenario names'!$C$3:$C$6,2),'2.4 PV (by Borough)'!AS119,IF(Dashboard!$D$6=INDEX('Scenario names'!$C$3:$C$6,3),'2.4 PV (by Borough)'!AS160,"Error")))))</f>
        <v>40080752.752239734</v>
      </c>
      <c r="AT201" s="607">
        <f>IF(Dashboard!$D$6="Baseline",'2.4 PV (by Borough)'!AT37,IF(Dashboard!$D$6=INDEX('Scenario names'!$C$3:$C$6,4),'2.4 PV (by Borough)'!AT160,IF(Dashboard!$D$6=INDEX('Scenario names'!$C$3:$C$6,1),'2.4 PV (by Borough)'!AT119,IF(Dashboard!$D$6=INDEX('Scenario names'!$C$3:$C$6,2),'2.4 PV (by Borough)'!AT119,IF(Dashboard!$D$6=INDEX('Scenario names'!$C$3:$C$6,3),'2.4 PV (by Borough)'!AT160,"Error")))))</f>
        <v>41841547.612774596</v>
      </c>
      <c r="AU201" s="607">
        <f>IF(Dashboard!$D$6="Baseline",'2.4 PV (by Borough)'!AU37,IF(Dashboard!$D$6=INDEX('Scenario names'!$C$3:$C$6,4),'2.4 PV (by Borough)'!AU160,IF(Dashboard!$D$6=INDEX('Scenario names'!$C$3:$C$6,1),'2.4 PV (by Borough)'!AU119,IF(Dashboard!$D$6=INDEX('Scenario names'!$C$3:$C$6,2),'2.4 PV (by Borough)'!AU119,IF(Dashboard!$D$6=INDEX('Scenario names'!$C$3:$C$6,3),'2.4 PV (by Borough)'!AU160,"Error")))))</f>
        <v>43602342.473309457</v>
      </c>
      <c r="AV201" s="607">
        <f>IF(Dashboard!$D$6="Baseline",'2.4 PV (by Borough)'!AV37,IF(Dashboard!$D$6=INDEX('Scenario names'!$C$3:$C$6,4),'2.4 PV (by Borough)'!AV160,IF(Dashboard!$D$6=INDEX('Scenario names'!$C$3:$C$6,1),'2.4 PV (by Borough)'!AV119,IF(Dashboard!$D$6=INDEX('Scenario names'!$C$3:$C$6,2),'2.4 PV (by Borough)'!AV119,IF(Dashboard!$D$6=INDEX('Scenario names'!$C$3:$C$6,3),'2.4 PV (by Borough)'!AV160,"Error")))))</f>
        <v>45363137.333844312</v>
      </c>
      <c r="AW201" s="607">
        <f>IF(Dashboard!$D$6="Baseline",'2.4 PV (by Borough)'!AW37,IF(Dashboard!$D$6=INDEX('Scenario names'!$C$3:$C$6,4),'2.4 PV (by Borough)'!AW160,IF(Dashboard!$D$6=INDEX('Scenario names'!$C$3:$C$6,1),'2.4 PV (by Borough)'!AW119,IF(Dashboard!$D$6=INDEX('Scenario names'!$C$3:$C$6,2),'2.4 PV (by Borough)'!AW119,IF(Dashboard!$D$6=INDEX('Scenario names'!$C$3:$C$6,3),'2.4 PV (by Borough)'!AW160,"Error")))))</f>
        <v>47123932.194379173</v>
      </c>
      <c r="AX201" s="607">
        <f>IF(Dashboard!$D$6="Baseline",'2.4 PV (by Borough)'!AX37,IF(Dashboard!$D$6=INDEX('Scenario names'!$C$3:$C$6,4),'2.4 PV (by Borough)'!AX160,IF(Dashboard!$D$6=INDEX('Scenario names'!$C$3:$C$6,1),'2.4 PV (by Borough)'!AX119,IF(Dashboard!$D$6=INDEX('Scenario names'!$C$3:$C$6,2),'2.4 PV (by Borough)'!AX119,IF(Dashboard!$D$6=INDEX('Scenario names'!$C$3:$C$6,3),'2.4 PV (by Borough)'!AX160,"Error")))))</f>
        <v>48884727.054914027</v>
      </c>
      <c r="AY201" s="36"/>
      <c r="AZ201" s="36"/>
      <c r="BA201" s="36"/>
      <c r="BB201" s="36"/>
    </row>
    <row r="202" spans="4:54">
      <c r="D202" t="s">
        <v>661</v>
      </c>
      <c r="E202" t="s">
        <v>658</v>
      </c>
      <c r="G202" s="44"/>
      <c r="I202" s="44"/>
      <c r="K202" s="44"/>
      <c r="M202" s="44"/>
      <c r="O202" s="607">
        <f>IF(Dashboard!$D$6="Baseline",'2.4 PV (by Borough)'!O38,IF(Dashboard!$D$6=INDEX('Scenario names'!$C$3:$C$6,4),'2.4 PV (by Borough)'!O161,IF(Dashboard!$D$6=INDEX('Scenario names'!$C$3:$C$6,1),'2.4 PV (by Borough)'!O120,IF(Dashboard!$D$6=INDEX('Scenario names'!$C$3:$C$6,2),'2.4 PV (by Borough)'!O120,IF(Dashboard!$D$6=INDEX('Scenario names'!$C$3:$C$6,3),'2.4 PV (by Borough)'!O161,"Error")))))</f>
        <v>1326383.2895839461</v>
      </c>
      <c r="P202" s="607">
        <f>IF(Dashboard!$D$6="Baseline",'2.4 PV (by Borough)'!P38,IF(Dashboard!$D$6=INDEX('Scenario names'!$C$3:$C$6,4),'2.4 PV (by Borough)'!P161,IF(Dashboard!$D$6=INDEX('Scenario names'!$C$3:$C$6,1),'2.4 PV (by Borough)'!P120,IF(Dashboard!$D$6=INDEX('Scenario names'!$C$3:$C$6,2),'2.4 PV (by Borough)'!P120,IF(Dashboard!$D$6=INDEX('Scenario names'!$C$3:$C$6,3),'2.4 PV (by Borough)'!P161,"Error")))))</f>
        <v>2319403.5307341893</v>
      </c>
      <c r="Q202" s="607">
        <f>IF(Dashboard!$D$6="Baseline",'2.4 PV (by Borough)'!Q38,IF(Dashboard!$D$6=INDEX('Scenario names'!$C$3:$C$6,4),'2.4 PV (by Borough)'!Q161,IF(Dashboard!$D$6=INDEX('Scenario names'!$C$3:$C$6,1),'2.4 PV (by Borough)'!Q120,IF(Dashboard!$D$6=INDEX('Scenario names'!$C$3:$C$6,2),'2.4 PV (by Borough)'!Q120,IF(Dashboard!$D$6=INDEX('Scenario names'!$C$3:$C$6,3),'2.4 PV (by Borough)'!Q161,"Error")))))</f>
        <v>3312423.7718844335</v>
      </c>
      <c r="R202" s="607">
        <f>IF(Dashboard!$D$6="Baseline",'2.4 PV (by Borough)'!R38,IF(Dashboard!$D$6=INDEX('Scenario names'!$C$3:$C$6,4),'2.4 PV (by Borough)'!R161,IF(Dashboard!$D$6=INDEX('Scenario names'!$C$3:$C$6,1),'2.4 PV (by Borough)'!R120,IF(Dashboard!$D$6=INDEX('Scenario names'!$C$3:$C$6,2),'2.4 PV (by Borough)'!R120,IF(Dashboard!$D$6=INDEX('Scenario names'!$C$3:$C$6,3),'2.4 PV (by Borough)'!R161,"Error")))))</f>
        <v>4305444.0130346762</v>
      </c>
      <c r="S202" s="607">
        <f>IF(Dashboard!$D$6="Baseline",'2.4 PV (by Borough)'!S38,IF(Dashboard!$D$6=INDEX('Scenario names'!$C$3:$C$6,4),'2.4 PV (by Borough)'!S161,IF(Dashboard!$D$6=INDEX('Scenario names'!$C$3:$C$6,1),'2.4 PV (by Borough)'!S120,IF(Dashboard!$D$6=INDEX('Scenario names'!$C$3:$C$6,2),'2.4 PV (by Borough)'!S120,IF(Dashboard!$D$6=INDEX('Scenario names'!$C$3:$C$6,3),'2.4 PV (by Borough)'!S161,"Error")))))</f>
        <v>5298464.2541849203</v>
      </c>
      <c r="T202" s="607">
        <f>IF(Dashboard!$D$6="Baseline",'2.4 PV (by Borough)'!T38,IF(Dashboard!$D$6=INDEX('Scenario names'!$C$3:$C$6,4),'2.4 PV (by Borough)'!T161,IF(Dashboard!$D$6=INDEX('Scenario names'!$C$3:$C$6,1),'2.4 PV (by Borough)'!T120,IF(Dashboard!$D$6=INDEX('Scenario names'!$C$3:$C$6,2),'2.4 PV (by Borough)'!T120,IF(Dashboard!$D$6=INDEX('Scenario names'!$C$3:$C$6,3),'2.4 PV (by Borough)'!T161,"Error")))))</f>
        <v>6291484.4953351617</v>
      </c>
      <c r="U202" s="607">
        <f>IF(Dashboard!$D$6="Baseline",'2.4 PV (by Borough)'!U38,IF(Dashboard!$D$6=INDEX('Scenario names'!$C$3:$C$6,4),'2.4 PV (by Borough)'!U161,IF(Dashboard!$D$6=INDEX('Scenario names'!$C$3:$C$6,1),'2.4 PV (by Borough)'!U120,IF(Dashboard!$D$6=INDEX('Scenario names'!$C$3:$C$6,2),'2.4 PV (by Borough)'!U120,IF(Dashboard!$D$6=INDEX('Scenario names'!$C$3:$C$6,3),'2.4 PV (by Borough)'!U161,"Error")))))</f>
        <v>7284504.7364854058</v>
      </c>
      <c r="V202" s="607">
        <f>IF(Dashboard!$D$6="Baseline",'2.4 PV (by Borough)'!V38,IF(Dashboard!$D$6=INDEX('Scenario names'!$C$3:$C$6,4),'2.4 PV (by Borough)'!V161,IF(Dashboard!$D$6=INDEX('Scenario names'!$C$3:$C$6,1),'2.4 PV (by Borough)'!V120,IF(Dashboard!$D$6=INDEX('Scenario names'!$C$3:$C$6,2),'2.4 PV (by Borough)'!V120,IF(Dashboard!$D$6=INDEX('Scenario names'!$C$3:$C$6,3),'2.4 PV (by Borough)'!V161,"Error")))))</f>
        <v>8277524.977635649</v>
      </c>
      <c r="W202" s="607">
        <f>IF(Dashboard!$D$6="Baseline",'2.4 PV (by Borough)'!W38,IF(Dashboard!$D$6=INDEX('Scenario names'!$C$3:$C$6,4),'2.4 PV (by Borough)'!W161,IF(Dashboard!$D$6=INDEX('Scenario names'!$C$3:$C$6,1),'2.4 PV (by Borough)'!W120,IF(Dashboard!$D$6=INDEX('Scenario names'!$C$3:$C$6,2),'2.4 PV (by Borough)'!W120,IF(Dashboard!$D$6=INDEX('Scenario names'!$C$3:$C$6,3),'2.4 PV (by Borough)'!W161,"Error")))))</f>
        <v>9270545.218785895</v>
      </c>
      <c r="X202" s="607">
        <f>IF(Dashboard!$D$6="Baseline",'2.4 PV (by Borough)'!X38,IF(Dashboard!$D$6=INDEX('Scenario names'!$C$3:$C$6,4),'2.4 PV (by Borough)'!X161,IF(Dashboard!$D$6=INDEX('Scenario names'!$C$3:$C$6,1),'2.4 PV (by Borough)'!X120,IF(Dashboard!$D$6=INDEX('Scenario names'!$C$3:$C$6,2),'2.4 PV (by Borough)'!X120,IF(Dashboard!$D$6=INDEX('Scenario names'!$C$3:$C$6,3),'2.4 PV (by Borough)'!X161,"Error")))))</f>
        <v>10263565.459936136</v>
      </c>
      <c r="Y202" s="607">
        <f>IF(Dashboard!$D$6="Baseline",'2.4 PV (by Borough)'!Y38,IF(Dashboard!$D$6=INDEX('Scenario names'!$C$3:$C$6,4),'2.4 PV (by Borough)'!Y161,IF(Dashboard!$D$6=INDEX('Scenario names'!$C$3:$C$6,1),'2.4 PV (by Borough)'!Y120,IF(Dashboard!$D$6=INDEX('Scenario names'!$C$3:$C$6,2),'2.4 PV (by Borough)'!Y120,IF(Dashboard!$D$6=INDEX('Scenario names'!$C$3:$C$6,3),'2.4 PV (by Borough)'!Y161,"Error")))))</f>
        <v>11256585.70108638</v>
      </c>
      <c r="Z202" s="607">
        <f>IF(Dashboard!$D$6="Baseline",'2.4 PV (by Borough)'!Z38,IF(Dashboard!$D$6=INDEX('Scenario names'!$C$3:$C$6,4),'2.4 PV (by Borough)'!Z161,IF(Dashboard!$D$6=INDEX('Scenario names'!$C$3:$C$6,1),'2.4 PV (by Borough)'!Z120,IF(Dashboard!$D$6=INDEX('Scenario names'!$C$3:$C$6,2),'2.4 PV (by Borough)'!Z120,IF(Dashboard!$D$6=INDEX('Scenario names'!$C$3:$C$6,3),'2.4 PV (by Borough)'!Z161,"Error")))))</f>
        <v>12030539.758143188</v>
      </c>
      <c r="AA202" s="607">
        <f>IF(Dashboard!$D$6="Baseline",'2.4 PV (by Borough)'!AA38,IF(Dashboard!$D$6=INDEX('Scenario names'!$C$3:$C$6,4),'2.4 PV (by Borough)'!AA161,IF(Dashboard!$D$6=INDEX('Scenario names'!$C$3:$C$6,1),'2.4 PV (by Borough)'!AA120,IF(Dashboard!$D$6=INDEX('Scenario names'!$C$3:$C$6,2),'2.4 PV (by Borough)'!AA120,IF(Dashboard!$D$6=INDEX('Scenario names'!$C$3:$C$6,3),'2.4 PV (by Borough)'!AA161,"Error")))))</f>
        <v>12804493.815199995</v>
      </c>
      <c r="AB202" s="607">
        <f>IF(Dashboard!$D$6="Baseline",'2.4 PV (by Borough)'!AB38,IF(Dashboard!$D$6=INDEX('Scenario names'!$C$3:$C$6,4),'2.4 PV (by Borough)'!AB161,IF(Dashboard!$D$6=INDEX('Scenario names'!$C$3:$C$6,1),'2.4 PV (by Borough)'!AB120,IF(Dashboard!$D$6=INDEX('Scenario names'!$C$3:$C$6,2),'2.4 PV (by Borough)'!AB120,IF(Dashboard!$D$6=INDEX('Scenario names'!$C$3:$C$6,3),'2.4 PV (by Borough)'!AB161,"Error")))))</f>
        <v>13578447.872256808</v>
      </c>
      <c r="AC202" s="607">
        <f>IF(Dashboard!$D$6="Baseline",'2.4 PV (by Borough)'!AC38,IF(Dashboard!$D$6=INDEX('Scenario names'!$C$3:$C$6,4),'2.4 PV (by Borough)'!AC161,IF(Dashboard!$D$6=INDEX('Scenario names'!$C$3:$C$6,1),'2.4 PV (by Borough)'!AC120,IF(Dashboard!$D$6=INDEX('Scenario names'!$C$3:$C$6,2),'2.4 PV (by Borough)'!AC120,IF(Dashboard!$D$6=INDEX('Scenario names'!$C$3:$C$6,3),'2.4 PV (by Borough)'!AC161,"Error")))))</f>
        <v>14352401.929313619</v>
      </c>
      <c r="AD202" s="607">
        <f>IF(Dashboard!$D$6="Baseline",'2.4 PV (by Borough)'!AD38,IF(Dashboard!$D$6=INDEX('Scenario names'!$C$3:$C$6,4),'2.4 PV (by Borough)'!AD161,IF(Dashboard!$D$6=INDEX('Scenario names'!$C$3:$C$6,1),'2.4 PV (by Borough)'!AD120,IF(Dashboard!$D$6=INDEX('Scenario names'!$C$3:$C$6,2),'2.4 PV (by Borough)'!AD120,IF(Dashboard!$D$6=INDEX('Scenario names'!$C$3:$C$6,3),'2.4 PV (by Borough)'!AD161,"Error")))))</f>
        <v>15126355.986370428</v>
      </c>
      <c r="AE202" s="607">
        <f>IF(Dashboard!$D$6="Baseline",'2.4 PV (by Borough)'!AE38,IF(Dashboard!$D$6=INDEX('Scenario names'!$C$3:$C$6,4),'2.4 PV (by Borough)'!AE161,IF(Dashboard!$D$6=INDEX('Scenario names'!$C$3:$C$6,1),'2.4 PV (by Borough)'!AE120,IF(Dashboard!$D$6=INDEX('Scenario names'!$C$3:$C$6,2),'2.4 PV (by Borough)'!AE120,IF(Dashboard!$D$6=INDEX('Scenario names'!$C$3:$C$6,3),'2.4 PV (by Borough)'!AE161,"Error")))))</f>
        <v>15900310.04342724</v>
      </c>
      <c r="AF202" s="607">
        <f>IF(Dashboard!$D$6="Baseline",'2.4 PV (by Borough)'!AF38,IF(Dashboard!$D$6=INDEX('Scenario names'!$C$3:$C$6,4),'2.4 PV (by Borough)'!AF161,IF(Dashboard!$D$6=INDEX('Scenario names'!$C$3:$C$6,1),'2.4 PV (by Borough)'!AF120,IF(Dashboard!$D$6=INDEX('Scenario names'!$C$3:$C$6,2),'2.4 PV (by Borough)'!AF120,IF(Dashboard!$D$6=INDEX('Scenario names'!$C$3:$C$6,3),'2.4 PV (by Borough)'!AF161,"Error")))))</f>
        <v>16674264.100484043</v>
      </c>
      <c r="AG202" s="607">
        <f>IF(Dashboard!$D$6="Baseline",'2.4 PV (by Borough)'!AG38,IF(Dashboard!$D$6=INDEX('Scenario names'!$C$3:$C$6,4),'2.4 PV (by Borough)'!AG161,IF(Dashboard!$D$6=INDEX('Scenario names'!$C$3:$C$6,1),'2.4 PV (by Borough)'!AG120,IF(Dashboard!$D$6=INDEX('Scenario names'!$C$3:$C$6,2),'2.4 PV (by Borough)'!AG120,IF(Dashboard!$D$6=INDEX('Scenario names'!$C$3:$C$6,3),'2.4 PV (by Borough)'!AG161,"Error")))))</f>
        <v>17448218.157540854</v>
      </c>
      <c r="AH202" s="607">
        <f>IF(Dashboard!$D$6="Baseline",'2.4 PV (by Borough)'!AH38,IF(Dashboard!$D$6=INDEX('Scenario names'!$C$3:$C$6,4),'2.4 PV (by Borough)'!AH161,IF(Dashboard!$D$6=INDEX('Scenario names'!$C$3:$C$6,1),'2.4 PV (by Borough)'!AH120,IF(Dashboard!$D$6=INDEX('Scenario names'!$C$3:$C$6,2),'2.4 PV (by Borough)'!AH120,IF(Dashboard!$D$6=INDEX('Scenario names'!$C$3:$C$6,3),'2.4 PV (by Borough)'!AH161,"Error")))))</f>
        <v>18222172.214597665</v>
      </c>
      <c r="AI202" s="607">
        <f>IF(Dashboard!$D$6="Baseline",'2.4 PV (by Borough)'!AI38,IF(Dashboard!$D$6=INDEX('Scenario names'!$C$3:$C$6,4),'2.4 PV (by Borough)'!AI161,IF(Dashboard!$D$6=INDEX('Scenario names'!$C$3:$C$6,1),'2.4 PV (by Borough)'!AI120,IF(Dashboard!$D$6=INDEX('Scenario names'!$C$3:$C$6,2),'2.4 PV (by Borough)'!AI120,IF(Dashboard!$D$6=INDEX('Scenario names'!$C$3:$C$6,3),'2.4 PV (by Borough)'!AI161,"Error")))))</f>
        <v>18996126.271654472</v>
      </c>
      <c r="AJ202" s="607">
        <f>IF(Dashboard!$D$6="Baseline",'2.4 PV (by Borough)'!AJ38,IF(Dashboard!$D$6=INDEX('Scenario names'!$C$3:$C$6,4),'2.4 PV (by Borough)'!AJ161,IF(Dashboard!$D$6=INDEX('Scenario names'!$C$3:$C$6,1),'2.4 PV (by Borough)'!AJ120,IF(Dashboard!$D$6=INDEX('Scenario names'!$C$3:$C$6,2),'2.4 PV (by Borough)'!AJ120,IF(Dashboard!$D$6=INDEX('Scenario names'!$C$3:$C$6,3),'2.4 PV (by Borough)'!AJ161,"Error")))))</f>
        <v>19770080.328711282</v>
      </c>
      <c r="AK202" s="607">
        <f>IF(Dashboard!$D$6="Baseline",'2.4 PV (by Borough)'!AK38,IF(Dashboard!$D$6=INDEX('Scenario names'!$C$3:$C$6,4),'2.4 PV (by Borough)'!AK161,IF(Dashboard!$D$6=INDEX('Scenario names'!$C$3:$C$6,1),'2.4 PV (by Borough)'!AK120,IF(Dashboard!$D$6=INDEX('Scenario names'!$C$3:$C$6,2),'2.4 PV (by Borough)'!AK120,IF(Dashboard!$D$6=INDEX('Scenario names'!$C$3:$C$6,3),'2.4 PV (by Borough)'!AK161,"Error")))))</f>
        <v>20544034.385768093</v>
      </c>
      <c r="AL202" s="607">
        <f>IF(Dashboard!$D$6="Baseline",'2.4 PV (by Borough)'!AL38,IF(Dashboard!$D$6=INDEX('Scenario names'!$C$3:$C$6,4),'2.4 PV (by Borough)'!AL161,IF(Dashboard!$D$6=INDEX('Scenario names'!$C$3:$C$6,1),'2.4 PV (by Borough)'!AL120,IF(Dashboard!$D$6=INDEX('Scenario names'!$C$3:$C$6,2),'2.4 PV (by Borough)'!AL120,IF(Dashboard!$D$6=INDEX('Scenario names'!$C$3:$C$6,3),'2.4 PV (by Borough)'!AL161,"Error")))))</f>
        <v>21317988.442824904</v>
      </c>
      <c r="AM202" s="607">
        <f>IF(Dashboard!$D$6="Baseline",'2.4 PV (by Borough)'!AM38,IF(Dashboard!$D$6=INDEX('Scenario names'!$C$3:$C$6,4),'2.4 PV (by Borough)'!AM161,IF(Dashboard!$D$6=INDEX('Scenario names'!$C$3:$C$6,1),'2.4 PV (by Borough)'!AM120,IF(Dashboard!$D$6=INDEX('Scenario names'!$C$3:$C$6,2),'2.4 PV (by Borough)'!AM120,IF(Dashboard!$D$6=INDEX('Scenario names'!$C$3:$C$6,3),'2.4 PV (by Borough)'!AM161,"Error")))))</f>
        <v>22091942.499881711</v>
      </c>
      <c r="AN202" s="607">
        <f>IF(Dashboard!$D$6="Baseline",'2.4 PV (by Borough)'!AN38,IF(Dashboard!$D$6=INDEX('Scenario names'!$C$3:$C$6,4),'2.4 PV (by Borough)'!AN161,IF(Dashboard!$D$6=INDEX('Scenario names'!$C$3:$C$6,1),'2.4 PV (by Borough)'!AN120,IF(Dashboard!$D$6=INDEX('Scenario names'!$C$3:$C$6,2),'2.4 PV (by Borough)'!AN120,IF(Dashboard!$D$6=INDEX('Scenario names'!$C$3:$C$6,3),'2.4 PV (by Borough)'!AN161,"Error")))))</f>
        <v>22865896.556938533</v>
      </c>
      <c r="AO202" s="607">
        <f>IF(Dashboard!$D$6="Baseline",'2.4 PV (by Borough)'!AO38,IF(Dashboard!$D$6=INDEX('Scenario names'!$C$3:$C$6,4),'2.4 PV (by Borough)'!AO161,IF(Dashboard!$D$6=INDEX('Scenario names'!$C$3:$C$6,1),'2.4 PV (by Borough)'!AO120,IF(Dashboard!$D$6=INDEX('Scenario names'!$C$3:$C$6,2),'2.4 PV (by Borough)'!AO120,IF(Dashboard!$D$6=INDEX('Scenario names'!$C$3:$C$6,3),'2.4 PV (by Borough)'!AO161,"Error")))))</f>
        <v>23639850.613995336</v>
      </c>
      <c r="AP202" s="607">
        <f>IF(Dashboard!$D$6="Baseline",'2.4 PV (by Borough)'!AP38,IF(Dashboard!$D$6=INDEX('Scenario names'!$C$3:$C$6,4),'2.4 PV (by Borough)'!AP161,IF(Dashboard!$D$6=INDEX('Scenario names'!$C$3:$C$6,1),'2.4 PV (by Borough)'!AP120,IF(Dashboard!$D$6=INDEX('Scenario names'!$C$3:$C$6,2),'2.4 PV (by Borough)'!AP120,IF(Dashboard!$D$6=INDEX('Scenario names'!$C$3:$C$6,3),'2.4 PV (by Borough)'!AP161,"Error")))))</f>
        <v>24413804.67105215</v>
      </c>
      <c r="AQ202" s="607">
        <f>IF(Dashboard!$D$6="Baseline",'2.4 PV (by Borough)'!AQ38,IF(Dashboard!$D$6=INDEX('Scenario names'!$C$3:$C$6,4),'2.4 PV (by Borough)'!AQ161,IF(Dashboard!$D$6=INDEX('Scenario names'!$C$3:$C$6,1),'2.4 PV (by Borough)'!AQ120,IF(Dashboard!$D$6=INDEX('Scenario names'!$C$3:$C$6,2),'2.4 PV (by Borough)'!AQ120,IF(Dashboard!$D$6=INDEX('Scenario names'!$C$3:$C$6,3),'2.4 PV (by Borough)'!AQ161,"Error")))))</f>
        <v>25187758.728108957</v>
      </c>
      <c r="AR202" s="607">
        <f>IF(Dashboard!$D$6="Baseline",'2.4 PV (by Borough)'!AR38,IF(Dashboard!$D$6=INDEX('Scenario names'!$C$3:$C$6,4),'2.4 PV (by Borough)'!AR161,IF(Dashboard!$D$6=INDEX('Scenario names'!$C$3:$C$6,1),'2.4 PV (by Borough)'!AR120,IF(Dashboard!$D$6=INDEX('Scenario names'!$C$3:$C$6,2),'2.4 PV (by Borough)'!AR120,IF(Dashboard!$D$6=INDEX('Scenario names'!$C$3:$C$6,3),'2.4 PV (by Borough)'!AR161,"Error")))))</f>
        <v>25961712.785165768</v>
      </c>
      <c r="AS202" s="607">
        <f>IF(Dashboard!$D$6="Baseline",'2.4 PV (by Borough)'!AS38,IF(Dashboard!$D$6=INDEX('Scenario names'!$C$3:$C$6,4),'2.4 PV (by Borough)'!AS161,IF(Dashboard!$D$6=INDEX('Scenario names'!$C$3:$C$6,1),'2.4 PV (by Borough)'!AS120,IF(Dashboard!$D$6=INDEX('Scenario names'!$C$3:$C$6,2),'2.4 PV (by Borough)'!AS120,IF(Dashboard!$D$6=INDEX('Scenario names'!$C$3:$C$6,3),'2.4 PV (by Borough)'!AS161,"Error")))))</f>
        <v>26735666.842222575</v>
      </c>
      <c r="AT202" s="607">
        <f>IF(Dashboard!$D$6="Baseline",'2.4 PV (by Borough)'!AT38,IF(Dashboard!$D$6=INDEX('Scenario names'!$C$3:$C$6,4),'2.4 PV (by Borough)'!AT161,IF(Dashboard!$D$6=INDEX('Scenario names'!$C$3:$C$6,1),'2.4 PV (by Borough)'!AT120,IF(Dashboard!$D$6=INDEX('Scenario names'!$C$3:$C$6,2),'2.4 PV (by Borough)'!AT120,IF(Dashboard!$D$6=INDEX('Scenario names'!$C$3:$C$6,3),'2.4 PV (by Borough)'!AT161,"Error")))))</f>
        <v>27509620.899279382</v>
      </c>
      <c r="AU202" s="607">
        <f>IF(Dashboard!$D$6="Baseline",'2.4 PV (by Borough)'!AU38,IF(Dashboard!$D$6=INDEX('Scenario names'!$C$3:$C$6,4),'2.4 PV (by Borough)'!AU161,IF(Dashboard!$D$6=INDEX('Scenario names'!$C$3:$C$6,1),'2.4 PV (by Borough)'!AU120,IF(Dashboard!$D$6=INDEX('Scenario names'!$C$3:$C$6,2),'2.4 PV (by Borough)'!AU120,IF(Dashboard!$D$6=INDEX('Scenario names'!$C$3:$C$6,3),'2.4 PV (by Borough)'!AU161,"Error")))))</f>
        <v>28283574.956336197</v>
      </c>
      <c r="AV202" s="607">
        <f>IF(Dashboard!$D$6="Baseline",'2.4 PV (by Borough)'!AV38,IF(Dashboard!$D$6=INDEX('Scenario names'!$C$3:$C$6,4),'2.4 PV (by Borough)'!AV161,IF(Dashboard!$D$6=INDEX('Scenario names'!$C$3:$C$6,1),'2.4 PV (by Borough)'!AV120,IF(Dashboard!$D$6=INDEX('Scenario names'!$C$3:$C$6,2),'2.4 PV (by Borough)'!AV120,IF(Dashboard!$D$6=INDEX('Scenario names'!$C$3:$C$6,3),'2.4 PV (by Borough)'!AV161,"Error")))))</f>
        <v>29057529.013393</v>
      </c>
      <c r="AW202" s="607">
        <f>IF(Dashboard!$D$6="Baseline",'2.4 PV (by Borough)'!AW38,IF(Dashboard!$D$6=INDEX('Scenario names'!$C$3:$C$6,4),'2.4 PV (by Borough)'!AW161,IF(Dashboard!$D$6=INDEX('Scenario names'!$C$3:$C$6,1),'2.4 PV (by Borough)'!AW120,IF(Dashboard!$D$6=INDEX('Scenario names'!$C$3:$C$6,2),'2.4 PV (by Borough)'!AW120,IF(Dashboard!$D$6=INDEX('Scenario names'!$C$3:$C$6,3),'2.4 PV (by Borough)'!AW161,"Error")))))</f>
        <v>29831483.070449818</v>
      </c>
      <c r="AX202" s="607">
        <f>IF(Dashboard!$D$6="Baseline",'2.4 PV (by Borough)'!AX38,IF(Dashboard!$D$6=INDEX('Scenario names'!$C$3:$C$6,4),'2.4 PV (by Borough)'!AX161,IF(Dashboard!$D$6=INDEX('Scenario names'!$C$3:$C$6,1),'2.4 PV (by Borough)'!AX120,IF(Dashboard!$D$6=INDEX('Scenario names'!$C$3:$C$6,2),'2.4 PV (by Borough)'!AX120,IF(Dashboard!$D$6=INDEX('Scenario names'!$C$3:$C$6,3),'2.4 PV (by Borough)'!AX161,"Error")))))</f>
        <v>30605437.127506625</v>
      </c>
      <c r="AY202" s="36"/>
      <c r="AZ202" s="36"/>
      <c r="BA202" s="36"/>
      <c r="BB202" s="36"/>
    </row>
    <row r="203" spans="4:54">
      <c r="D203" t="s">
        <v>661</v>
      </c>
      <c r="E203" t="s">
        <v>659</v>
      </c>
      <c r="G203" s="44"/>
      <c r="I203" s="44"/>
      <c r="K203" s="44"/>
      <c r="M203" s="44"/>
      <c r="O203" s="607">
        <f>IF(Dashboard!$D$6="Baseline",'2.4 PV (by Borough)'!O39,IF(Dashboard!$D$6=INDEX('Scenario names'!$C$3:$C$6,4),'2.4 PV (by Borough)'!O162,IF(Dashboard!$D$6=INDEX('Scenario names'!$C$3:$C$6,1),'2.4 PV (by Borough)'!O121,IF(Dashboard!$D$6=INDEX('Scenario names'!$C$3:$C$6,2),'2.4 PV (by Borough)'!O121,IF(Dashboard!$D$6=INDEX('Scenario names'!$C$3:$C$6,3),'2.4 PV (by Borough)'!O162,"Error")))))</f>
        <v>1149892.8237105464</v>
      </c>
      <c r="P203" s="607">
        <f>IF(Dashboard!$D$6="Baseline",'2.4 PV (by Borough)'!P39,IF(Dashboard!$D$6=INDEX('Scenario names'!$C$3:$C$6,4),'2.4 PV (by Borough)'!P162,IF(Dashboard!$D$6=INDEX('Scenario names'!$C$3:$C$6,1),'2.4 PV (by Borough)'!P121,IF(Dashboard!$D$6=INDEX('Scenario names'!$C$3:$C$6,2),'2.4 PV (by Borough)'!P121,IF(Dashboard!$D$6=INDEX('Scenario names'!$C$3:$C$6,3),'2.4 PV (by Borough)'!P162,"Error")))))</f>
        <v>2025635.1155006804</v>
      </c>
      <c r="Q203" s="607">
        <f>IF(Dashboard!$D$6="Baseline",'2.4 PV (by Borough)'!Q39,IF(Dashboard!$D$6=INDEX('Scenario names'!$C$3:$C$6,4),'2.4 PV (by Borough)'!Q162,IF(Dashboard!$D$6=INDEX('Scenario names'!$C$3:$C$6,1),'2.4 PV (by Borough)'!Q121,IF(Dashboard!$D$6=INDEX('Scenario names'!$C$3:$C$6,2),'2.4 PV (by Borough)'!Q121,IF(Dashboard!$D$6=INDEX('Scenario names'!$C$3:$C$6,3),'2.4 PV (by Borough)'!Q162,"Error")))))</f>
        <v>2901377.4072908149</v>
      </c>
      <c r="R203" s="607">
        <f>IF(Dashboard!$D$6="Baseline",'2.4 PV (by Borough)'!R39,IF(Dashboard!$D$6=INDEX('Scenario names'!$C$3:$C$6,4),'2.4 PV (by Borough)'!R162,IF(Dashboard!$D$6=INDEX('Scenario names'!$C$3:$C$6,1),'2.4 PV (by Borough)'!R121,IF(Dashboard!$D$6=INDEX('Scenario names'!$C$3:$C$6,2),'2.4 PV (by Borough)'!R121,IF(Dashboard!$D$6=INDEX('Scenario names'!$C$3:$C$6,3),'2.4 PV (by Borough)'!R162,"Error")))))</f>
        <v>3777119.6990809501</v>
      </c>
      <c r="S203" s="607">
        <f>IF(Dashboard!$D$6="Baseline",'2.4 PV (by Borough)'!S39,IF(Dashboard!$D$6=INDEX('Scenario names'!$C$3:$C$6,4),'2.4 PV (by Borough)'!S162,IF(Dashboard!$D$6=INDEX('Scenario names'!$C$3:$C$6,1),'2.4 PV (by Borough)'!S121,IF(Dashboard!$D$6=INDEX('Scenario names'!$C$3:$C$6,2),'2.4 PV (by Borough)'!S121,IF(Dashboard!$D$6=INDEX('Scenario names'!$C$3:$C$6,3),'2.4 PV (by Borough)'!S162,"Error")))))</f>
        <v>4652861.9908710849</v>
      </c>
      <c r="T203" s="607">
        <f>IF(Dashboard!$D$6="Baseline",'2.4 PV (by Borough)'!T39,IF(Dashboard!$D$6=INDEX('Scenario names'!$C$3:$C$6,4),'2.4 PV (by Borough)'!T162,IF(Dashboard!$D$6=INDEX('Scenario names'!$C$3:$C$6,1),'2.4 PV (by Borough)'!T121,IF(Dashboard!$D$6=INDEX('Scenario names'!$C$3:$C$6,2),'2.4 PV (by Borough)'!T121,IF(Dashboard!$D$6=INDEX('Scenario names'!$C$3:$C$6,3),'2.4 PV (by Borough)'!T162,"Error")))))</f>
        <v>5528604.2826612191</v>
      </c>
      <c r="U203" s="607">
        <f>IF(Dashboard!$D$6="Baseline",'2.4 PV (by Borough)'!U39,IF(Dashboard!$D$6=INDEX('Scenario names'!$C$3:$C$6,4),'2.4 PV (by Borough)'!U162,IF(Dashboard!$D$6=INDEX('Scenario names'!$C$3:$C$6,1),'2.4 PV (by Borough)'!U121,IF(Dashboard!$D$6=INDEX('Scenario names'!$C$3:$C$6,2),'2.4 PV (by Borough)'!U121,IF(Dashboard!$D$6=INDEX('Scenario names'!$C$3:$C$6,3),'2.4 PV (by Borough)'!U162,"Error")))))</f>
        <v>6404346.5744513553</v>
      </c>
      <c r="V203" s="607">
        <f>IF(Dashboard!$D$6="Baseline",'2.4 PV (by Borough)'!V39,IF(Dashboard!$D$6=INDEX('Scenario names'!$C$3:$C$6,4),'2.4 PV (by Borough)'!V162,IF(Dashboard!$D$6=INDEX('Scenario names'!$C$3:$C$6,1),'2.4 PV (by Borough)'!V121,IF(Dashboard!$D$6=INDEX('Scenario names'!$C$3:$C$6,2),'2.4 PV (by Borough)'!V121,IF(Dashboard!$D$6=INDEX('Scenario names'!$C$3:$C$6,3),'2.4 PV (by Borough)'!V162,"Error")))))</f>
        <v>7280088.8662414886</v>
      </c>
      <c r="W203" s="607">
        <f>IF(Dashboard!$D$6="Baseline",'2.4 PV (by Borough)'!W39,IF(Dashboard!$D$6=INDEX('Scenario names'!$C$3:$C$6,4),'2.4 PV (by Borough)'!W162,IF(Dashboard!$D$6=INDEX('Scenario names'!$C$3:$C$6,1),'2.4 PV (by Borough)'!W121,IF(Dashboard!$D$6=INDEX('Scenario names'!$C$3:$C$6,2),'2.4 PV (by Borough)'!W121,IF(Dashboard!$D$6=INDEX('Scenario names'!$C$3:$C$6,3),'2.4 PV (by Borough)'!W162,"Error")))))</f>
        <v>8155831.1580316219</v>
      </c>
      <c r="X203" s="607">
        <f>IF(Dashboard!$D$6="Baseline",'2.4 PV (by Borough)'!X39,IF(Dashboard!$D$6=INDEX('Scenario names'!$C$3:$C$6,4),'2.4 PV (by Borough)'!X162,IF(Dashboard!$D$6=INDEX('Scenario names'!$C$3:$C$6,1),'2.4 PV (by Borough)'!X121,IF(Dashboard!$D$6=INDEX('Scenario names'!$C$3:$C$6,2),'2.4 PV (by Borough)'!X121,IF(Dashboard!$D$6=INDEX('Scenario names'!$C$3:$C$6,3),'2.4 PV (by Borough)'!X162,"Error")))))</f>
        <v>9031573.449821759</v>
      </c>
      <c r="Y203" s="607">
        <f>IF(Dashboard!$D$6="Baseline",'2.4 PV (by Borough)'!Y39,IF(Dashboard!$D$6=INDEX('Scenario names'!$C$3:$C$6,4),'2.4 PV (by Borough)'!Y162,IF(Dashboard!$D$6=INDEX('Scenario names'!$C$3:$C$6,1),'2.4 PV (by Borough)'!Y121,IF(Dashboard!$D$6=INDEX('Scenario names'!$C$3:$C$6,2),'2.4 PV (by Borough)'!Y121,IF(Dashboard!$D$6=INDEX('Scenario names'!$C$3:$C$6,3),'2.4 PV (by Borough)'!Y162,"Error")))))</f>
        <v>9907315.7416118924</v>
      </c>
      <c r="Z203" s="607">
        <f>IF(Dashboard!$D$6="Baseline",'2.4 PV (by Borough)'!Z39,IF(Dashboard!$D$6=INDEX('Scenario names'!$C$3:$C$6,4),'2.4 PV (by Borough)'!Z162,IF(Dashboard!$D$6=INDEX('Scenario names'!$C$3:$C$6,1),'2.4 PV (by Borough)'!Z121,IF(Dashboard!$D$6=INDEX('Scenario names'!$C$3:$C$6,2),'2.4 PV (by Borough)'!Z121,IF(Dashboard!$D$6=INDEX('Scenario names'!$C$3:$C$6,3),'2.4 PV (by Borough)'!Z162,"Error")))))</f>
        <v>10863713.739701953</v>
      </c>
      <c r="AA203" s="607">
        <f>IF(Dashboard!$D$6="Baseline",'2.4 PV (by Borough)'!AA39,IF(Dashboard!$D$6=INDEX('Scenario names'!$C$3:$C$6,4),'2.4 PV (by Borough)'!AA162,IF(Dashboard!$D$6=INDEX('Scenario names'!$C$3:$C$6,1),'2.4 PV (by Borough)'!AA121,IF(Dashboard!$D$6=INDEX('Scenario names'!$C$3:$C$6,2),'2.4 PV (by Borough)'!AA121,IF(Dashboard!$D$6=INDEX('Scenario names'!$C$3:$C$6,3),'2.4 PV (by Borough)'!AA162,"Error")))))</f>
        <v>11820111.737792008</v>
      </c>
      <c r="AB203" s="607">
        <f>IF(Dashboard!$D$6="Baseline",'2.4 PV (by Borough)'!AB39,IF(Dashboard!$D$6=INDEX('Scenario names'!$C$3:$C$6,4),'2.4 PV (by Borough)'!AB162,IF(Dashboard!$D$6=INDEX('Scenario names'!$C$3:$C$6,1),'2.4 PV (by Borough)'!AB121,IF(Dashboard!$D$6=INDEX('Scenario names'!$C$3:$C$6,2),'2.4 PV (by Borough)'!AB121,IF(Dashboard!$D$6=INDEX('Scenario names'!$C$3:$C$6,3),'2.4 PV (by Borough)'!AB162,"Error")))))</f>
        <v>12776509.735882068</v>
      </c>
      <c r="AC203" s="607">
        <f>IF(Dashboard!$D$6="Baseline",'2.4 PV (by Borough)'!AC39,IF(Dashboard!$D$6=INDEX('Scenario names'!$C$3:$C$6,4),'2.4 PV (by Borough)'!AC162,IF(Dashboard!$D$6=INDEX('Scenario names'!$C$3:$C$6,1),'2.4 PV (by Borough)'!AC121,IF(Dashboard!$D$6=INDEX('Scenario names'!$C$3:$C$6,2),'2.4 PV (by Borough)'!AC121,IF(Dashboard!$D$6=INDEX('Scenario names'!$C$3:$C$6,3),'2.4 PV (by Borough)'!AC162,"Error")))))</f>
        <v>13732907.733972123</v>
      </c>
      <c r="AD203" s="607">
        <f>IF(Dashboard!$D$6="Baseline",'2.4 PV (by Borough)'!AD39,IF(Dashboard!$D$6=INDEX('Scenario names'!$C$3:$C$6,4),'2.4 PV (by Borough)'!AD162,IF(Dashboard!$D$6=INDEX('Scenario names'!$C$3:$C$6,1),'2.4 PV (by Borough)'!AD121,IF(Dashboard!$D$6=INDEX('Scenario names'!$C$3:$C$6,2),'2.4 PV (by Borough)'!AD121,IF(Dashboard!$D$6=INDEX('Scenario names'!$C$3:$C$6,3),'2.4 PV (by Borough)'!AD162,"Error")))))</f>
        <v>14689305.732062191</v>
      </c>
      <c r="AE203" s="607">
        <f>IF(Dashboard!$D$6="Baseline",'2.4 PV (by Borough)'!AE39,IF(Dashboard!$D$6=INDEX('Scenario names'!$C$3:$C$6,4),'2.4 PV (by Borough)'!AE162,IF(Dashboard!$D$6=INDEX('Scenario names'!$C$3:$C$6,1),'2.4 PV (by Borough)'!AE121,IF(Dashboard!$D$6=INDEX('Scenario names'!$C$3:$C$6,2),'2.4 PV (by Borough)'!AE121,IF(Dashboard!$D$6=INDEX('Scenario names'!$C$3:$C$6,3),'2.4 PV (by Borough)'!AE162,"Error")))))</f>
        <v>15645703.730152246</v>
      </c>
      <c r="AF203" s="607">
        <f>IF(Dashboard!$D$6="Baseline",'2.4 PV (by Borough)'!AF39,IF(Dashboard!$D$6=INDEX('Scenario names'!$C$3:$C$6,4),'2.4 PV (by Borough)'!AF162,IF(Dashboard!$D$6=INDEX('Scenario names'!$C$3:$C$6,1),'2.4 PV (by Borough)'!AF121,IF(Dashboard!$D$6=INDEX('Scenario names'!$C$3:$C$6,2),'2.4 PV (by Borough)'!AF121,IF(Dashboard!$D$6=INDEX('Scenario names'!$C$3:$C$6,3),'2.4 PV (by Borough)'!AF162,"Error")))))</f>
        <v>16602101.7282423</v>
      </c>
      <c r="AG203" s="607">
        <f>IF(Dashboard!$D$6="Baseline",'2.4 PV (by Borough)'!AG39,IF(Dashboard!$D$6=INDEX('Scenario names'!$C$3:$C$6,4),'2.4 PV (by Borough)'!AG162,IF(Dashboard!$D$6=INDEX('Scenario names'!$C$3:$C$6,1),'2.4 PV (by Borough)'!AG121,IF(Dashboard!$D$6=INDEX('Scenario names'!$C$3:$C$6,2),'2.4 PV (by Borough)'!AG121,IF(Dashboard!$D$6=INDEX('Scenario names'!$C$3:$C$6,3),'2.4 PV (by Borough)'!AG162,"Error")))))</f>
        <v>17558499.726332366</v>
      </c>
      <c r="AH203" s="607">
        <f>IF(Dashboard!$D$6="Baseline",'2.4 PV (by Borough)'!AH39,IF(Dashboard!$D$6=INDEX('Scenario names'!$C$3:$C$6,4),'2.4 PV (by Borough)'!AH162,IF(Dashboard!$D$6=INDEX('Scenario names'!$C$3:$C$6,1),'2.4 PV (by Borough)'!AH121,IF(Dashboard!$D$6=INDEX('Scenario names'!$C$3:$C$6,2),'2.4 PV (by Borough)'!AH121,IF(Dashboard!$D$6=INDEX('Scenario names'!$C$3:$C$6,3),'2.4 PV (by Borough)'!AH162,"Error")))))</f>
        <v>18514897.724422418</v>
      </c>
      <c r="AI203" s="607">
        <f>IF(Dashboard!$D$6="Baseline",'2.4 PV (by Borough)'!AI39,IF(Dashboard!$D$6=INDEX('Scenario names'!$C$3:$C$6,4),'2.4 PV (by Borough)'!AI162,IF(Dashboard!$D$6=INDEX('Scenario names'!$C$3:$C$6,1),'2.4 PV (by Borough)'!AI121,IF(Dashboard!$D$6=INDEX('Scenario names'!$C$3:$C$6,2),'2.4 PV (by Borough)'!AI121,IF(Dashboard!$D$6=INDEX('Scenario names'!$C$3:$C$6,3),'2.4 PV (by Borough)'!AI162,"Error")))))</f>
        <v>19471295.72251248</v>
      </c>
      <c r="AJ203" s="607">
        <f>IF(Dashboard!$D$6="Baseline",'2.4 PV (by Borough)'!AJ39,IF(Dashboard!$D$6=INDEX('Scenario names'!$C$3:$C$6,4),'2.4 PV (by Borough)'!AJ162,IF(Dashboard!$D$6=INDEX('Scenario names'!$C$3:$C$6,1),'2.4 PV (by Borough)'!AJ121,IF(Dashboard!$D$6=INDEX('Scenario names'!$C$3:$C$6,2),'2.4 PV (by Borough)'!AJ121,IF(Dashboard!$D$6=INDEX('Scenario names'!$C$3:$C$6,3),'2.4 PV (by Borough)'!AJ162,"Error")))))</f>
        <v>20427693.720602538</v>
      </c>
      <c r="AK203" s="607">
        <f>IF(Dashboard!$D$6="Baseline",'2.4 PV (by Borough)'!AK39,IF(Dashboard!$D$6=INDEX('Scenario names'!$C$3:$C$6,4),'2.4 PV (by Borough)'!AK162,IF(Dashboard!$D$6=INDEX('Scenario names'!$C$3:$C$6,1),'2.4 PV (by Borough)'!AK121,IF(Dashboard!$D$6=INDEX('Scenario names'!$C$3:$C$6,2),'2.4 PV (by Borough)'!AK121,IF(Dashboard!$D$6=INDEX('Scenario names'!$C$3:$C$6,3),'2.4 PV (by Borough)'!AK162,"Error")))))</f>
        <v>21384091.718692593</v>
      </c>
      <c r="AL203" s="607">
        <f>IF(Dashboard!$D$6="Baseline",'2.4 PV (by Borough)'!AL39,IF(Dashboard!$D$6=INDEX('Scenario names'!$C$3:$C$6,4),'2.4 PV (by Borough)'!AL162,IF(Dashboard!$D$6=INDEX('Scenario names'!$C$3:$C$6,1),'2.4 PV (by Borough)'!AL121,IF(Dashboard!$D$6=INDEX('Scenario names'!$C$3:$C$6,2),'2.4 PV (by Borough)'!AL121,IF(Dashboard!$D$6=INDEX('Scenario names'!$C$3:$C$6,3),'2.4 PV (by Borough)'!AL162,"Error")))))</f>
        <v>22340489.716782659</v>
      </c>
      <c r="AM203" s="607">
        <f>IF(Dashboard!$D$6="Baseline",'2.4 PV (by Borough)'!AM39,IF(Dashboard!$D$6=INDEX('Scenario names'!$C$3:$C$6,4),'2.4 PV (by Borough)'!AM162,IF(Dashboard!$D$6=INDEX('Scenario names'!$C$3:$C$6,1),'2.4 PV (by Borough)'!AM121,IF(Dashboard!$D$6=INDEX('Scenario names'!$C$3:$C$6,2),'2.4 PV (by Borough)'!AM121,IF(Dashboard!$D$6=INDEX('Scenario names'!$C$3:$C$6,3),'2.4 PV (by Borough)'!AM162,"Error")))))</f>
        <v>23296887.71487271</v>
      </c>
      <c r="AN203" s="607">
        <f>IF(Dashboard!$D$6="Baseline",'2.4 PV (by Borough)'!AN39,IF(Dashboard!$D$6=INDEX('Scenario names'!$C$3:$C$6,4),'2.4 PV (by Borough)'!AN162,IF(Dashboard!$D$6=INDEX('Scenario names'!$C$3:$C$6,1),'2.4 PV (by Borough)'!AN121,IF(Dashboard!$D$6=INDEX('Scenario names'!$C$3:$C$6,2),'2.4 PV (by Borough)'!AN121,IF(Dashboard!$D$6=INDEX('Scenario names'!$C$3:$C$6,3),'2.4 PV (by Borough)'!AN162,"Error")))))</f>
        <v>24253285.712962765</v>
      </c>
      <c r="AO203" s="607">
        <f>IF(Dashboard!$D$6="Baseline",'2.4 PV (by Borough)'!AO39,IF(Dashboard!$D$6=INDEX('Scenario names'!$C$3:$C$6,4),'2.4 PV (by Borough)'!AO162,IF(Dashboard!$D$6=INDEX('Scenario names'!$C$3:$C$6,1),'2.4 PV (by Borough)'!AO121,IF(Dashboard!$D$6=INDEX('Scenario names'!$C$3:$C$6,2),'2.4 PV (by Borough)'!AO121,IF(Dashboard!$D$6=INDEX('Scenario names'!$C$3:$C$6,3),'2.4 PV (by Borough)'!AO162,"Error")))))</f>
        <v>25209683.711052828</v>
      </c>
      <c r="AP203" s="607">
        <f>IF(Dashboard!$D$6="Baseline",'2.4 PV (by Borough)'!AP39,IF(Dashboard!$D$6=INDEX('Scenario names'!$C$3:$C$6,4),'2.4 PV (by Borough)'!AP162,IF(Dashboard!$D$6=INDEX('Scenario names'!$C$3:$C$6,1),'2.4 PV (by Borough)'!AP121,IF(Dashboard!$D$6=INDEX('Scenario names'!$C$3:$C$6,2),'2.4 PV (by Borough)'!AP121,IF(Dashboard!$D$6=INDEX('Scenario names'!$C$3:$C$6,3),'2.4 PV (by Borough)'!AP162,"Error")))))</f>
        <v>26166081.709142886</v>
      </c>
      <c r="AQ203" s="607">
        <f>IF(Dashboard!$D$6="Baseline",'2.4 PV (by Borough)'!AQ39,IF(Dashboard!$D$6=INDEX('Scenario names'!$C$3:$C$6,4),'2.4 PV (by Borough)'!AQ162,IF(Dashboard!$D$6=INDEX('Scenario names'!$C$3:$C$6,1),'2.4 PV (by Borough)'!AQ121,IF(Dashboard!$D$6=INDEX('Scenario names'!$C$3:$C$6,2),'2.4 PV (by Borough)'!AQ121,IF(Dashboard!$D$6=INDEX('Scenario names'!$C$3:$C$6,3),'2.4 PV (by Borough)'!AQ162,"Error")))))</f>
        <v>27122479.707232956</v>
      </c>
      <c r="AR203" s="607">
        <f>IF(Dashboard!$D$6="Baseline",'2.4 PV (by Borough)'!AR39,IF(Dashboard!$D$6=INDEX('Scenario names'!$C$3:$C$6,4),'2.4 PV (by Borough)'!AR162,IF(Dashboard!$D$6=INDEX('Scenario names'!$C$3:$C$6,1),'2.4 PV (by Borough)'!AR121,IF(Dashboard!$D$6=INDEX('Scenario names'!$C$3:$C$6,2),'2.4 PV (by Borough)'!AR121,IF(Dashboard!$D$6=INDEX('Scenario names'!$C$3:$C$6,3),'2.4 PV (by Borough)'!AR162,"Error")))))</f>
        <v>28078877.705323007</v>
      </c>
      <c r="AS203" s="607">
        <f>IF(Dashboard!$D$6="Baseline",'2.4 PV (by Borough)'!AS39,IF(Dashboard!$D$6=INDEX('Scenario names'!$C$3:$C$6,4),'2.4 PV (by Borough)'!AS162,IF(Dashboard!$D$6=INDEX('Scenario names'!$C$3:$C$6,1),'2.4 PV (by Borough)'!AS121,IF(Dashboard!$D$6=INDEX('Scenario names'!$C$3:$C$6,2),'2.4 PV (by Borough)'!AS121,IF(Dashboard!$D$6=INDEX('Scenario names'!$C$3:$C$6,3),'2.4 PV (by Borough)'!AS162,"Error")))))</f>
        <v>29035275.703413062</v>
      </c>
      <c r="AT203" s="607">
        <f>IF(Dashboard!$D$6="Baseline",'2.4 PV (by Borough)'!AT39,IF(Dashboard!$D$6=INDEX('Scenario names'!$C$3:$C$6,4),'2.4 PV (by Borough)'!AT162,IF(Dashboard!$D$6=INDEX('Scenario names'!$C$3:$C$6,1),'2.4 PV (by Borough)'!AT121,IF(Dashboard!$D$6=INDEX('Scenario names'!$C$3:$C$6,2),'2.4 PV (by Borough)'!AT121,IF(Dashboard!$D$6=INDEX('Scenario names'!$C$3:$C$6,3),'2.4 PV (by Borough)'!AT162,"Error")))))</f>
        <v>29991673.70150312</v>
      </c>
      <c r="AU203" s="607">
        <f>IF(Dashboard!$D$6="Baseline",'2.4 PV (by Borough)'!AU39,IF(Dashboard!$D$6=INDEX('Scenario names'!$C$3:$C$6,4),'2.4 PV (by Borough)'!AU162,IF(Dashboard!$D$6=INDEX('Scenario names'!$C$3:$C$6,1),'2.4 PV (by Borough)'!AU121,IF(Dashboard!$D$6=INDEX('Scenario names'!$C$3:$C$6,2),'2.4 PV (by Borough)'!AU121,IF(Dashboard!$D$6=INDEX('Scenario names'!$C$3:$C$6,3),'2.4 PV (by Borough)'!AU162,"Error")))))</f>
        <v>30948071.699593183</v>
      </c>
      <c r="AV203" s="607">
        <f>IF(Dashboard!$D$6="Baseline",'2.4 PV (by Borough)'!AV39,IF(Dashboard!$D$6=INDEX('Scenario names'!$C$3:$C$6,4),'2.4 PV (by Borough)'!AV162,IF(Dashboard!$D$6=INDEX('Scenario names'!$C$3:$C$6,1),'2.4 PV (by Borough)'!AV121,IF(Dashboard!$D$6=INDEX('Scenario names'!$C$3:$C$6,2),'2.4 PV (by Borough)'!AV121,IF(Dashboard!$D$6=INDEX('Scenario names'!$C$3:$C$6,3),'2.4 PV (by Borough)'!AV162,"Error")))))</f>
        <v>31904469.697683237</v>
      </c>
      <c r="AW203" s="607">
        <f>IF(Dashboard!$D$6="Baseline",'2.4 PV (by Borough)'!AW39,IF(Dashboard!$D$6=INDEX('Scenario names'!$C$3:$C$6,4),'2.4 PV (by Borough)'!AW162,IF(Dashboard!$D$6=INDEX('Scenario names'!$C$3:$C$6,1),'2.4 PV (by Borough)'!AW121,IF(Dashboard!$D$6=INDEX('Scenario names'!$C$3:$C$6,2),'2.4 PV (by Borough)'!AW121,IF(Dashboard!$D$6=INDEX('Scenario names'!$C$3:$C$6,3),'2.4 PV (by Borough)'!AW162,"Error")))))</f>
        <v>32860867.6957733</v>
      </c>
      <c r="AX203" s="607">
        <f>IF(Dashboard!$D$6="Baseline",'2.4 PV (by Borough)'!AX39,IF(Dashboard!$D$6=INDEX('Scenario names'!$C$3:$C$6,4),'2.4 PV (by Borough)'!AX162,IF(Dashboard!$D$6=INDEX('Scenario names'!$C$3:$C$6,1),'2.4 PV (by Borough)'!AX121,IF(Dashboard!$D$6=INDEX('Scenario names'!$C$3:$C$6,2),'2.4 PV (by Borough)'!AX121,IF(Dashboard!$D$6=INDEX('Scenario names'!$C$3:$C$6,3),'2.4 PV (by Borough)'!AX162,"Error")))))</f>
        <v>33817265.693863362</v>
      </c>
      <c r="AY203" s="36"/>
      <c r="AZ203" s="36"/>
      <c r="BA203" s="36"/>
      <c r="BB203" s="36"/>
    </row>
    <row r="204" spans="4:54">
      <c r="D204" t="s">
        <v>660</v>
      </c>
      <c r="E204" t="s">
        <v>633</v>
      </c>
      <c r="G204" s="44"/>
      <c r="I204" s="44"/>
      <c r="K204" s="44"/>
      <c r="M204" s="44"/>
      <c r="O204" s="607">
        <f>IF(Dashboard!$D$6="Baseline",'2.4 PV (by Borough)'!O40,IF(Dashboard!$D$6=INDEX('Scenario names'!$C$3:$C$6,4),'2.4 PV (by Borough)'!O163,IF(Dashboard!$D$6=INDEX('Scenario names'!$C$3:$C$6,1),'2.4 PV (by Borough)'!O122,IF(Dashboard!$D$6=INDEX('Scenario names'!$C$3:$C$6,2),'2.4 PV (by Borough)'!O122,IF(Dashboard!$D$6=INDEX('Scenario names'!$C$3:$C$6,3),'2.4 PV (by Borough)'!O163,"Error")))))</f>
        <v>375983.85193336598</v>
      </c>
      <c r="P204" s="607">
        <f>IF(Dashboard!$D$6="Baseline",'2.4 PV (by Borough)'!P40,IF(Dashboard!$D$6=INDEX('Scenario names'!$C$3:$C$6,4),'2.4 PV (by Borough)'!P163,IF(Dashboard!$D$6=INDEX('Scenario names'!$C$3:$C$6,1),'2.4 PV (by Borough)'!P122,IF(Dashboard!$D$6=INDEX('Scenario names'!$C$3:$C$6,2),'2.4 PV (by Borough)'!P122,IF(Dashboard!$D$6=INDEX('Scenario names'!$C$3:$C$6,3),'2.4 PV (by Borough)'!P163,"Error")))))</f>
        <v>661541.98064801551</v>
      </c>
      <c r="Q204" s="607">
        <f>IF(Dashboard!$D$6="Baseline",'2.4 PV (by Borough)'!Q40,IF(Dashboard!$D$6=INDEX('Scenario names'!$C$3:$C$6,4),'2.4 PV (by Borough)'!Q163,IF(Dashboard!$D$6=INDEX('Scenario names'!$C$3:$C$6,1),'2.4 PV (by Borough)'!Q122,IF(Dashboard!$D$6=INDEX('Scenario names'!$C$3:$C$6,2),'2.4 PV (by Borough)'!Q122,IF(Dashboard!$D$6=INDEX('Scenario names'!$C$3:$C$6,3),'2.4 PV (by Borough)'!Q163,"Error")))))</f>
        <v>947100.1093626651</v>
      </c>
      <c r="R204" s="607">
        <f>IF(Dashboard!$D$6="Baseline",'2.4 PV (by Borough)'!R40,IF(Dashboard!$D$6=INDEX('Scenario names'!$C$3:$C$6,4),'2.4 PV (by Borough)'!R163,IF(Dashboard!$D$6=INDEX('Scenario names'!$C$3:$C$6,1),'2.4 PV (by Borough)'!R122,IF(Dashboard!$D$6=INDEX('Scenario names'!$C$3:$C$6,2),'2.4 PV (by Borough)'!R122,IF(Dashboard!$D$6=INDEX('Scenario names'!$C$3:$C$6,3),'2.4 PV (by Borough)'!R163,"Error")))))</f>
        <v>1232658.2380773148</v>
      </c>
      <c r="S204" s="607">
        <f>IF(Dashboard!$D$6="Baseline",'2.4 PV (by Borough)'!S40,IF(Dashboard!$D$6=INDEX('Scenario names'!$C$3:$C$6,4),'2.4 PV (by Borough)'!S163,IF(Dashboard!$D$6=INDEX('Scenario names'!$C$3:$C$6,1),'2.4 PV (by Borough)'!S122,IF(Dashboard!$D$6=INDEX('Scenario names'!$C$3:$C$6,2),'2.4 PV (by Borough)'!S122,IF(Dashboard!$D$6=INDEX('Scenario names'!$C$3:$C$6,3),'2.4 PV (by Borough)'!S163,"Error")))))</f>
        <v>1518216.366791964</v>
      </c>
      <c r="T204" s="607">
        <f>IF(Dashboard!$D$6="Baseline",'2.4 PV (by Borough)'!T40,IF(Dashboard!$D$6=INDEX('Scenario names'!$C$3:$C$6,4),'2.4 PV (by Borough)'!T163,IF(Dashboard!$D$6=INDEX('Scenario names'!$C$3:$C$6,1),'2.4 PV (by Borough)'!T122,IF(Dashboard!$D$6=INDEX('Scenario names'!$C$3:$C$6,2),'2.4 PV (by Borough)'!T122,IF(Dashboard!$D$6=INDEX('Scenario names'!$C$3:$C$6,3),'2.4 PV (by Borough)'!T163,"Error")))))</f>
        <v>1803774.4955066137</v>
      </c>
      <c r="U204" s="607">
        <f>IF(Dashboard!$D$6="Baseline",'2.4 PV (by Borough)'!U40,IF(Dashboard!$D$6=INDEX('Scenario names'!$C$3:$C$6,4),'2.4 PV (by Borough)'!U163,IF(Dashboard!$D$6=INDEX('Scenario names'!$C$3:$C$6,1),'2.4 PV (by Borough)'!U122,IF(Dashboard!$D$6=INDEX('Scenario names'!$C$3:$C$6,2),'2.4 PV (by Borough)'!U122,IF(Dashboard!$D$6=INDEX('Scenario names'!$C$3:$C$6,3),'2.4 PV (by Borough)'!U163,"Error")))))</f>
        <v>2089332.6242212632</v>
      </c>
      <c r="V204" s="607">
        <f>IF(Dashboard!$D$6="Baseline",'2.4 PV (by Borough)'!V40,IF(Dashboard!$D$6=INDEX('Scenario names'!$C$3:$C$6,4),'2.4 PV (by Borough)'!V163,IF(Dashboard!$D$6=INDEX('Scenario names'!$C$3:$C$6,1),'2.4 PV (by Borough)'!V122,IF(Dashboard!$D$6=INDEX('Scenario names'!$C$3:$C$6,2),'2.4 PV (by Borough)'!V122,IF(Dashboard!$D$6=INDEX('Scenario names'!$C$3:$C$6,3),'2.4 PV (by Borough)'!V163,"Error")))))</f>
        <v>2374890.7529359134</v>
      </c>
      <c r="W204" s="607">
        <f>IF(Dashboard!$D$6="Baseline",'2.4 PV (by Borough)'!W40,IF(Dashboard!$D$6=INDEX('Scenario names'!$C$3:$C$6,4),'2.4 PV (by Borough)'!W163,IF(Dashboard!$D$6=INDEX('Scenario names'!$C$3:$C$6,1),'2.4 PV (by Borough)'!W122,IF(Dashboard!$D$6=INDEX('Scenario names'!$C$3:$C$6,2),'2.4 PV (by Borough)'!W122,IF(Dashboard!$D$6=INDEX('Scenario names'!$C$3:$C$6,3),'2.4 PV (by Borough)'!W163,"Error")))))</f>
        <v>2660448.8816505624</v>
      </c>
      <c r="X204" s="607">
        <f>IF(Dashboard!$D$6="Baseline",'2.4 PV (by Borough)'!X40,IF(Dashboard!$D$6=INDEX('Scenario names'!$C$3:$C$6,4),'2.4 PV (by Borough)'!X163,IF(Dashboard!$D$6=INDEX('Scenario names'!$C$3:$C$6,1),'2.4 PV (by Borough)'!X122,IF(Dashboard!$D$6=INDEX('Scenario names'!$C$3:$C$6,2),'2.4 PV (by Borough)'!X122,IF(Dashboard!$D$6=INDEX('Scenario names'!$C$3:$C$6,3),'2.4 PV (by Borough)'!X163,"Error")))))</f>
        <v>2946007.0103652119</v>
      </c>
      <c r="Y204" s="607">
        <f>IF(Dashboard!$D$6="Baseline",'2.4 PV (by Borough)'!Y40,IF(Dashboard!$D$6=INDEX('Scenario names'!$C$3:$C$6,4),'2.4 PV (by Borough)'!Y163,IF(Dashboard!$D$6=INDEX('Scenario names'!$C$3:$C$6,1),'2.4 PV (by Borough)'!Y122,IF(Dashboard!$D$6=INDEX('Scenario names'!$C$3:$C$6,2),'2.4 PV (by Borough)'!Y122,IF(Dashboard!$D$6=INDEX('Scenario names'!$C$3:$C$6,3),'2.4 PV (by Borough)'!Y163,"Error")))))</f>
        <v>3231565.1390798609</v>
      </c>
      <c r="Z204" s="607">
        <f>IF(Dashboard!$D$6="Baseline",'2.4 PV (by Borough)'!Z40,IF(Dashboard!$D$6=INDEX('Scenario names'!$C$3:$C$6,4),'2.4 PV (by Borough)'!Z163,IF(Dashboard!$D$6=INDEX('Scenario names'!$C$3:$C$6,1),'2.4 PV (by Borough)'!Z122,IF(Dashboard!$D$6=INDEX('Scenario names'!$C$3:$C$6,2),'2.4 PV (by Borough)'!Z122,IF(Dashboard!$D$6=INDEX('Scenario names'!$C$3:$C$6,3),'2.4 PV (by Borough)'!Z163,"Error")))))</f>
        <v>4800522.8327182028</v>
      </c>
      <c r="AA204" s="607">
        <f>IF(Dashboard!$D$6="Baseline",'2.4 PV (by Borough)'!AA40,IF(Dashboard!$D$6=INDEX('Scenario names'!$C$3:$C$6,4),'2.4 PV (by Borough)'!AA163,IF(Dashboard!$D$6=INDEX('Scenario names'!$C$3:$C$6,1),'2.4 PV (by Borough)'!AA122,IF(Dashboard!$D$6=INDEX('Scenario names'!$C$3:$C$6,2),'2.4 PV (by Borough)'!AA122,IF(Dashboard!$D$6=INDEX('Scenario names'!$C$3:$C$6,3),'2.4 PV (by Borough)'!AA163,"Error")))))</f>
        <v>6369480.5263565443</v>
      </c>
      <c r="AB204" s="607">
        <f>IF(Dashboard!$D$6="Baseline",'2.4 PV (by Borough)'!AB40,IF(Dashboard!$D$6=INDEX('Scenario names'!$C$3:$C$6,4),'2.4 PV (by Borough)'!AB163,IF(Dashboard!$D$6=INDEX('Scenario names'!$C$3:$C$6,1),'2.4 PV (by Borough)'!AB122,IF(Dashboard!$D$6=INDEX('Scenario names'!$C$3:$C$6,2),'2.4 PV (by Borough)'!AB122,IF(Dashboard!$D$6=INDEX('Scenario names'!$C$3:$C$6,3),'2.4 PV (by Borough)'!AB163,"Error")))))</f>
        <v>7938438.2199948868</v>
      </c>
      <c r="AC204" s="607">
        <f>IF(Dashboard!$D$6="Baseline",'2.4 PV (by Borough)'!AC40,IF(Dashboard!$D$6=INDEX('Scenario names'!$C$3:$C$6,4),'2.4 PV (by Borough)'!AC163,IF(Dashboard!$D$6=INDEX('Scenario names'!$C$3:$C$6,1),'2.4 PV (by Borough)'!AC122,IF(Dashboard!$D$6=INDEX('Scenario names'!$C$3:$C$6,2),'2.4 PV (by Borough)'!AC122,IF(Dashboard!$D$6=INDEX('Scenario names'!$C$3:$C$6,3),'2.4 PV (by Borough)'!AC163,"Error")))))</f>
        <v>9507395.9136332273</v>
      </c>
      <c r="AD204" s="607">
        <f>IF(Dashboard!$D$6="Baseline",'2.4 PV (by Borough)'!AD40,IF(Dashboard!$D$6=INDEX('Scenario names'!$C$3:$C$6,4),'2.4 PV (by Borough)'!AD163,IF(Dashboard!$D$6=INDEX('Scenario names'!$C$3:$C$6,1),'2.4 PV (by Borough)'!AD122,IF(Dashboard!$D$6=INDEX('Scenario names'!$C$3:$C$6,2),'2.4 PV (by Borough)'!AD122,IF(Dashboard!$D$6=INDEX('Scenario names'!$C$3:$C$6,3),'2.4 PV (by Borough)'!AD163,"Error")))))</f>
        <v>11076353.607271571</v>
      </c>
      <c r="AE204" s="607">
        <f>IF(Dashboard!$D$6="Baseline",'2.4 PV (by Borough)'!AE40,IF(Dashboard!$D$6=INDEX('Scenario names'!$C$3:$C$6,4),'2.4 PV (by Borough)'!AE163,IF(Dashboard!$D$6=INDEX('Scenario names'!$C$3:$C$6,1),'2.4 PV (by Borough)'!AE122,IF(Dashboard!$D$6=INDEX('Scenario names'!$C$3:$C$6,2),'2.4 PV (by Borough)'!AE122,IF(Dashboard!$D$6=INDEX('Scenario names'!$C$3:$C$6,3),'2.4 PV (by Borough)'!AE163,"Error")))))</f>
        <v>12645311.300909908</v>
      </c>
      <c r="AF204" s="607">
        <f>IF(Dashboard!$D$6="Baseline",'2.4 PV (by Borough)'!AF40,IF(Dashboard!$D$6=INDEX('Scenario names'!$C$3:$C$6,4),'2.4 PV (by Borough)'!AF163,IF(Dashboard!$D$6=INDEX('Scenario names'!$C$3:$C$6,1),'2.4 PV (by Borough)'!AF122,IF(Dashboard!$D$6=INDEX('Scenario names'!$C$3:$C$6,2),'2.4 PV (by Borough)'!AF122,IF(Dashboard!$D$6=INDEX('Scenario names'!$C$3:$C$6,3),'2.4 PV (by Borough)'!AF163,"Error")))))</f>
        <v>14214268.994548254</v>
      </c>
      <c r="AG204" s="607">
        <f>IF(Dashboard!$D$6="Baseline",'2.4 PV (by Borough)'!AG40,IF(Dashboard!$D$6=INDEX('Scenario names'!$C$3:$C$6,4),'2.4 PV (by Borough)'!AG163,IF(Dashboard!$D$6=INDEX('Scenario names'!$C$3:$C$6,1),'2.4 PV (by Borough)'!AG122,IF(Dashboard!$D$6=INDEX('Scenario names'!$C$3:$C$6,2),'2.4 PV (by Borough)'!AG122,IF(Dashboard!$D$6=INDEX('Scenario names'!$C$3:$C$6,3),'2.4 PV (by Borough)'!AG163,"Error")))))</f>
        <v>15783226.688186595</v>
      </c>
      <c r="AH204" s="607">
        <f>IF(Dashboard!$D$6="Baseline",'2.4 PV (by Borough)'!AH40,IF(Dashboard!$D$6=INDEX('Scenario names'!$C$3:$C$6,4),'2.4 PV (by Borough)'!AH163,IF(Dashboard!$D$6=INDEX('Scenario names'!$C$3:$C$6,1),'2.4 PV (by Borough)'!AH122,IF(Dashboard!$D$6=INDEX('Scenario names'!$C$3:$C$6,2),'2.4 PV (by Borough)'!AH122,IF(Dashboard!$D$6=INDEX('Scenario names'!$C$3:$C$6,3),'2.4 PV (by Borough)'!AH163,"Error")))))</f>
        <v>17352184.381824937</v>
      </c>
      <c r="AI204" s="607">
        <f>IF(Dashboard!$D$6="Baseline",'2.4 PV (by Borough)'!AI40,IF(Dashboard!$D$6=INDEX('Scenario names'!$C$3:$C$6,4),'2.4 PV (by Borough)'!AI163,IF(Dashboard!$D$6=INDEX('Scenario names'!$C$3:$C$6,1),'2.4 PV (by Borough)'!AI122,IF(Dashboard!$D$6=INDEX('Scenario names'!$C$3:$C$6,2),'2.4 PV (by Borough)'!AI122,IF(Dashboard!$D$6=INDEX('Scenario names'!$C$3:$C$6,3),'2.4 PV (by Borough)'!AI163,"Error")))))</f>
        <v>18921142.075463276</v>
      </c>
      <c r="AJ204" s="607">
        <f>IF(Dashboard!$D$6="Baseline",'2.4 PV (by Borough)'!AJ40,IF(Dashboard!$D$6=INDEX('Scenario names'!$C$3:$C$6,4),'2.4 PV (by Borough)'!AJ163,IF(Dashboard!$D$6=INDEX('Scenario names'!$C$3:$C$6,1),'2.4 PV (by Borough)'!AJ122,IF(Dashboard!$D$6=INDEX('Scenario names'!$C$3:$C$6,2),'2.4 PV (by Borough)'!AJ122,IF(Dashboard!$D$6=INDEX('Scenario names'!$C$3:$C$6,3),'2.4 PV (by Borough)'!AJ163,"Error")))))</f>
        <v>20490099.769101612</v>
      </c>
      <c r="AK204" s="607">
        <f>IF(Dashboard!$D$6="Baseline",'2.4 PV (by Borough)'!AK40,IF(Dashboard!$D$6=INDEX('Scenario names'!$C$3:$C$6,4),'2.4 PV (by Borough)'!AK163,IF(Dashboard!$D$6=INDEX('Scenario names'!$C$3:$C$6,1),'2.4 PV (by Borough)'!AK122,IF(Dashboard!$D$6=INDEX('Scenario names'!$C$3:$C$6,2),'2.4 PV (by Borough)'!AK122,IF(Dashboard!$D$6=INDEX('Scenario names'!$C$3:$C$6,3),'2.4 PV (by Borough)'!AK163,"Error")))))</f>
        <v>22059057.462739959</v>
      </c>
      <c r="AL204" s="607">
        <f>IF(Dashboard!$D$6="Baseline",'2.4 PV (by Borough)'!AL40,IF(Dashboard!$D$6=INDEX('Scenario names'!$C$3:$C$6,4),'2.4 PV (by Borough)'!AL163,IF(Dashboard!$D$6=INDEX('Scenario names'!$C$3:$C$6,1),'2.4 PV (by Borough)'!AL122,IF(Dashboard!$D$6=INDEX('Scenario names'!$C$3:$C$6,2),'2.4 PV (by Borough)'!AL122,IF(Dashboard!$D$6=INDEX('Scenario names'!$C$3:$C$6,3),'2.4 PV (by Borough)'!AL163,"Error")))))</f>
        <v>23628015.156378306</v>
      </c>
      <c r="AM204" s="607">
        <f>IF(Dashboard!$D$6="Baseline",'2.4 PV (by Borough)'!AM40,IF(Dashboard!$D$6=INDEX('Scenario names'!$C$3:$C$6,4),'2.4 PV (by Borough)'!AM163,IF(Dashboard!$D$6=INDEX('Scenario names'!$C$3:$C$6,1),'2.4 PV (by Borough)'!AM122,IF(Dashboard!$D$6=INDEX('Scenario names'!$C$3:$C$6,2),'2.4 PV (by Borough)'!AM122,IF(Dashboard!$D$6=INDEX('Scenario names'!$C$3:$C$6,3),'2.4 PV (by Borough)'!AM163,"Error")))))</f>
        <v>25196972.850016646</v>
      </c>
      <c r="AN204" s="607">
        <f>IF(Dashboard!$D$6="Baseline",'2.4 PV (by Borough)'!AN40,IF(Dashboard!$D$6=INDEX('Scenario names'!$C$3:$C$6,4),'2.4 PV (by Borough)'!AN163,IF(Dashboard!$D$6=INDEX('Scenario names'!$C$3:$C$6,1),'2.4 PV (by Borough)'!AN122,IF(Dashboard!$D$6=INDEX('Scenario names'!$C$3:$C$6,2),'2.4 PV (by Borough)'!AN122,IF(Dashboard!$D$6=INDEX('Scenario names'!$C$3:$C$6,3),'2.4 PV (by Borough)'!AN163,"Error")))))</f>
        <v>26765930.543654982</v>
      </c>
      <c r="AO204" s="607">
        <f>IF(Dashboard!$D$6="Baseline",'2.4 PV (by Borough)'!AO40,IF(Dashboard!$D$6=INDEX('Scenario names'!$C$3:$C$6,4),'2.4 PV (by Borough)'!AO163,IF(Dashboard!$D$6=INDEX('Scenario names'!$C$3:$C$6,1),'2.4 PV (by Borough)'!AO122,IF(Dashboard!$D$6=INDEX('Scenario names'!$C$3:$C$6,2),'2.4 PV (by Borough)'!AO122,IF(Dashboard!$D$6=INDEX('Scenario names'!$C$3:$C$6,3),'2.4 PV (by Borough)'!AO163,"Error")))))</f>
        <v>28334888.237293329</v>
      </c>
      <c r="AP204" s="607">
        <f>IF(Dashboard!$D$6="Baseline",'2.4 PV (by Borough)'!AP40,IF(Dashboard!$D$6=INDEX('Scenario names'!$C$3:$C$6,4),'2.4 PV (by Borough)'!AP163,IF(Dashboard!$D$6=INDEX('Scenario names'!$C$3:$C$6,1),'2.4 PV (by Borough)'!AP122,IF(Dashboard!$D$6=INDEX('Scenario names'!$C$3:$C$6,2),'2.4 PV (by Borough)'!AP122,IF(Dashboard!$D$6=INDEX('Scenario names'!$C$3:$C$6,3),'2.4 PV (by Borough)'!AP163,"Error")))))</f>
        <v>29903845.930931672</v>
      </c>
      <c r="AQ204" s="607">
        <f>IF(Dashboard!$D$6="Baseline",'2.4 PV (by Borough)'!AQ40,IF(Dashboard!$D$6=INDEX('Scenario names'!$C$3:$C$6,4),'2.4 PV (by Borough)'!AQ163,IF(Dashboard!$D$6=INDEX('Scenario names'!$C$3:$C$6,1),'2.4 PV (by Borough)'!AQ122,IF(Dashboard!$D$6=INDEX('Scenario names'!$C$3:$C$6,2),'2.4 PV (by Borough)'!AQ122,IF(Dashboard!$D$6=INDEX('Scenario names'!$C$3:$C$6,3),'2.4 PV (by Borough)'!AQ163,"Error")))))</f>
        <v>31472803.624570008</v>
      </c>
      <c r="AR204" s="607">
        <f>IF(Dashboard!$D$6="Baseline",'2.4 PV (by Borough)'!AR40,IF(Dashboard!$D$6=INDEX('Scenario names'!$C$3:$C$6,4),'2.4 PV (by Borough)'!AR163,IF(Dashboard!$D$6=INDEX('Scenario names'!$C$3:$C$6,1),'2.4 PV (by Borough)'!AR122,IF(Dashboard!$D$6=INDEX('Scenario names'!$C$3:$C$6,2),'2.4 PV (by Borough)'!AR122,IF(Dashboard!$D$6=INDEX('Scenario names'!$C$3:$C$6,3),'2.4 PV (by Borough)'!AR163,"Error")))))</f>
        <v>33041761.318208344</v>
      </c>
      <c r="AS204" s="607">
        <f>IF(Dashboard!$D$6="Baseline",'2.4 PV (by Borough)'!AS40,IF(Dashboard!$D$6=INDEX('Scenario names'!$C$3:$C$6,4),'2.4 PV (by Borough)'!AS163,IF(Dashboard!$D$6=INDEX('Scenario names'!$C$3:$C$6,1),'2.4 PV (by Borough)'!AS122,IF(Dashboard!$D$6=INDEX('Scenario names'!$C$3:$C$6,2),'2.4 PV (by Borough)'!AS122,IF(Dashboard!$D$6=INDEX('Scenario names'!$C$3:$C$6,3),'2.4 PV (by Borough)'!AS163,"Error")))))</f>
        <v>34610719.011846699</v>
      </c>
      <c r="AT204" s="607">
        <f>IF(Dashboard!$D$6="Baseline",'2.4 PV (by Borough)'!AT40,IF(Dashboard!$D$6=INDEX('Scenario names'!$C$3:$C$6,4),'2.4 PV (by Borough)'!AT163,IF(Dashboard!$D$6=INDEX('Scenario names'!$C$3:$C$6,1),'2.4 PV (by Borough)'!AT122,IF(Dashboard!$D$6=INDEX('Scenario names'!$C$3:$C$6,2),'2.4 PV (by Borough)'!AT122,IF(Dashboard!$D$6=INDEX('Scenario names'!$C$3:$C$6,3),'2.4 PV (by Borough)'!AT163,"Error")))))</f>
        <v>36179676.705485038</v>
      </c>
      <c r="AU204" s="607">
        <f>IF(Dashboard!$D$6="Baseline",'2.4 PV (by Borough)'!AU40,IF(Dashboard!$D$6=INDEX('Scenario names'!$C$3:$C$6,4),'2.4 PV (by Borough)'!AU163,IF(Dashboard!$D$6=INDEX('Scenario names'!$C$3:$C$6,1),'2.4 PV (by Borough)'!AU122,IF(Dashboard!$D$6=INDEX('Scenario names'!$C$3:$C$6,2),'2.4 PV (by Borough)'!AU122,IF(Dashboard!$D$6=INDEX('Scenario names'!$C$3:$C$6,3),'2.4 PV (by Borough)'!AU163,"Error")))))</f>
        <v>37748634.399123378</v>
      </c>
      <c r="AV204" s="607">
        <f>IF(Dashboard!$D$6="Baseline",'2.4 PV (by Borough)'!AV40,IF(Dashboard!$D$6=INDEX('Scenario names'!$C$3:$C$6,4),'2.4 PV (by Borough)'!AV163,IF(Dashboard!$D$6=INDEX('Scenario names'!$C$3:$C$6,1),'2.4 PV (by Borough)'!AV122,IF(Dashboard!$D$6=INDEX('Scenario names'!$C$3:$C$6,2),'2.4 PV (by Borough)'!AV122,IF(Dashboard!$D$6=INDEX('Scenario names'!$C$3:$C$6,3),'2.4 PV (by Borough)'!AV163,"Error")))))</f>
        <v>39317592.092761718</v>
      </c>
      <c r="AW204" s="607">
        <f>IF(Dashboard!$D$6="Baseline",'2.4 PV (by Borough)'!AW40,IF(Dashboard!$D$6=INDEX('Scenario names'!$C$3:$C$6,4),'2.4 PV (by Borough)'!AW163,IF(Dashboard!$D$6=INDEX('Scenario names'!$C$3:$C$6,1),'2.4 PV (by Borough)'!AW122,IF(Dashboard!$D$6=INDEX('Scenario names'!$C$3:$C$6,2),'2.4 PV (by Borough)'!AW122,IF(Dashboard!$D$6=INDEX('Scenario names'!$C$3:$C$6,3),'2.4 PV (by Borough)'!AW163,"Error")))))</f>
        <v>40886549.78640005</v>
      </c>
      <c r="AX204" s="607">
        <f>IF(Dashboard!$D$6="Baseline",'2.4 PV (by Borough)'!AX40,IF(Dashboard!$D$6=INDEX('Scenario names'!$C$3:$C$6,4),'2.4 PV (by Borough)'!AX163,IF(Dashboard!$D$6=INDEX('Scenario names'!$C$3:$C$6,1),'2.4 PV (by Borough)'!AX122,IF(Dashboard!$D$6=INDEX('Scenario names'!$C$3:$C$6,2),'2.4 PV (by Borough)'!AX122,IF(Dashboard!$D$6=INDEX('Scenario names'!$C$3:$C$6,3),'2.4 PV (by Borough)'!AX163,"Error")))))</f>
        <v>42455507.480038404</v>
      </c>
      <c r="AY204" s="36"/>
      <c r="AZ204" s="36"/>
      <c r="BA204" s="36"/>
      <c r="BB204" s="36"/>
    </row>
    <row r="205" spans="4:54">
      <c r="E205" t="s">
        <v>660</v>
      </c>
      <c r="G205" s="44"/>
      <c r="I205" s="44"/>
      <c r="K205" s="44"/>
      <c r="M205" s="44"/>
      <c r="O205" s="36">
        <f>SUMIF($D172:$D204,$E205,O172:O204)</f>
        <v>7804331.9236876462</v>
      </c>
      <c r="P205" s="36">
        <f t="shared" ref="P205" si="85">SUMIF($D172:$D204,$E205,P172:P204)</f>
        <v>13846942.334089361</v>
      </c>
      <c r="Q205" s="36">
        <f t="shared" ref="Q205" si="86">SUMIF($D172:$D204,$E205,Q172:Q204)</f>
        <v>19889552.744491082</v>
      </c>
      <c r="R205" s="36">
        <f t="shared" ref="R205" si="87">SUMIF($D172:$D204,$E205,R172:R204)</f>
        <v>25932163.154892802</v>
      </c>
      <c r="S205" s="36">
        <f t="shared" ref="S205" si="88">SUMIF($D172:$D204,$E205,S172:S204)</f>
        <v>31974773.565294519</v>
      </c>
      <c r="T205" s="36">
        <f t="shared" ref="T205" si="89">SUMIF($D172:$D204,$E205,T172:T204)</f>
        <v>38017383.975696236</v>
      </c>
      <c r="U205" s="36">
        <f t="shared" ref="U205" si="90">SUMIF($D172:$D204,$E205,U172:U204)</f>
        <v>44059994.386097953</v>
      </c>
      <c r="V205" s="36">
        <f t="shared" ref="V205" si="91">SUMIF($D172:$D204,$E205,V172:V204)</f>
        <v>50102604.796499677</v>
      </c>
      <c r="W205" s="36">
        <f t="shared" ref="W205" si="92">SUMIF($D172:$D204,$E205,W172:W204)</f>
        <v>56145215.206901379</v>
      </c>
      <c r="X205" s="36">
        <f t="shared" ref="X205" si="93">SUMIF($D172:$D204,$E205,X172:X204)</f>
        <v>62187825.617303103</v>
      </c>
      <c r="Y205" s="36">
        <f t="shared" ref="Y205" si="94">SUMIF($D172:$D204,$E205,Y172:Y204)</f>
        <v>68230436.02770482</v>
      </c>
      <c r="Z205" s="36">
        <f t="shared" ref="Z205" si="95">SUMIF($D172:$D204,$E205,Z172:Z204)</f>
        <v>81276667.825572386</v>
      </c>
      <c r="AA205" s="36">
        <f t="shared" ref="AA205" si="96">SUMIF($D172:$D204,$E205,AA172:AA204)</f>
        <v>94322899.623439908</v>
      </c>
      <c r="AB205" s="36">
        <f t="shared" ref="AB205" si="97">SUMIF($D172:$D204,$E205,AB172:AB204)</f>
        <v>107369131.42130743</v>
      </c>
      <c r="AC205" s="36">
        <f t="shared" ref="AC205" si="98">SUMIF($D172:$D204,$E205,AC172:AC204)</f>
        <v>120415363.21917495</v>
      </c>
      <c r="AD205" s="36">
        <f t="shared" ref="AD205" si="99">SUMIF($D172:$D204,$E205,AD172:AD204)</f>
        <v>133461595.01704252</v>
      </c>
      <c r="AE205" s="36">
        <f t="shared" ref="AE205" si="100">SUMIF($D172:$D204,$E205,AE172:AE204)</f>
        <v>146507826.81491002</v>
      </c>
      <c r="AF205" s="36">
        <f t="shared" ref="AF205" si="101">SUMIF($D172:$D204,$E205,AF172:AF204)</f>
        <v>159554058.61277759</v>
      </c>
      <c r="AG205" s="36">
        <f t="shared" ref="AG205" si="102">SUMIF($D172:$D204,$E205,AG172:AG204)</f>
        <v>172600290.41064507</v>
      </c>
      <c r="AH205" s="36">
        <f t="shared" ref="AH205" si="103">SUMIF($D172:$D204,$E205,AH172:AH204)</f>
        <v>185646522.20851266</v>
      </c>
      <c r="AI205" s="36">
        <f t="shared" ref="AI205" si="104">SUMIF($D172:$D204,$E205,AI172:AI204)</f>
        <v>198692754.00638017</v>
      </c>
      <c r="AJ205" s="36">
        <f t="shared" ref="AJ205" si="105">SUMIF($D172:$D204,$E205,AJ172:AJ204)</f>
        <v>211738985.80424768</v>
      </c>
      <c r="AK205" s="36">
        <f t="shared" ref="AK205" si="106">SUMIF($D172:$D204,$E205,AK172:AK204)</f>
        <v>224785217.60211521</v>
      </c>
      <c r="AL205" s="36">
        <f t="shared" ref="AL205" si="107">SUMIF($D172:$D204,$E205,AL172:AL204)</f>
        <v>237831449.39998272</v>
      </c>
      <c r="AM205" s="36">
        <f t="shared" ref="AM205" si="108">SUMIF($D172:$D204,$E205,AM172:AM204)</f>
        <v>250877681.19785029</v>
      </c>
      <c r="AN205" s="36">
        <f t="shared" ref="AN205" si="109">SUMIF($D172:$D204,$E205,AN172:AN204)</f>
        <v>263923912.99571782</v>
      </c>
      <c r="AO205" s="36">
        <f t="shared" ref="AO205" si="110">SUMIF($D172:$D204,$E205,AO172:AO204)</f>
        <v>276970144.7935853</v>
      </c>
      <c r="AP205" s="36">
        <f t="shared" ref="AP205" si="111">SUMIF($D172:$D204,$E205,AP172:AP204)</f>
        <v>290016376.5914529</v>
      </c>
      <c r="AQ205" s="36">
        <f t="shared" ref="AQ205" si="112">SUMIF($D172:$D204,$E205,AQ172:AQ204)</f>
        <v>303062608.38932043</v>
      </c>
      <c r="AR205" s="36">
        <f t="shared" ref="AR205" si="113">SUMIF($D172:$D204,$E205,AR172:AR204)</f>
        <v>316108840.18718791</v>
      </c>
      <c r="AS205" s="36">
        <f t="shared" ref="AS205" si="114">SUMIF($D172:$D204,$E205,AS172:AS204)</f>
        <v>329155071.98505551</v>
      </c>
      <c r="AT205" s="36">
        <f t="shared" ref="AT205" si="115">SUMIF($D172:$D204,$E205,AT172:AT204)</f>
        <v>342201303.78292304</v>
      </c>
      <c r="AU205" s="36">
        <f t="shared" ref="AU205" si="116">SUMIF($D172:$D204,$E205,AU172:AU204)</f>
        <v>355247535.58079064</v>
      </c>
      <c r="AV205" s="36">
        <f t="shared" ref="AV205" si="117">SUMIF($D172:$D204,$E205,AV172:AV204)</f>
        <v>368293767.37865812</v>
      </c>
      <c r="AW205" s="36">
        <f t="shared" ref="AW205" si="118">SUMIF($D172:$D204,$E205,AW172:AW204)</f>
        <v>381339999.17652559</v>
      </c>
      <c r="AX205" s="36">
        <f t="shared" ref="AX205" si="119">SUMIF($D172:$D204,$E205,AX172:AX204)</f>
        <v>394386230.97439313</v>
      </c>
    </row>
    <row r="206" spans="4:54">
      <c r="E206" t="s">
        <v>661</v>
      </c>
      <c r="G206" s="44"/>
      <c r="I206" s="44"/>
      <c r="K206" s="44"/>
      <c r="M206" s="44"/>
      <c r="O206" s="36">
        <f>SUMIF($D172:$D204,$E206,O172:O204)</f>
        <v>35898768.076312371</v>
      </c>
      <c r="P206" s="36">
        <f t="shared" ref="P206:AX206" si="120">SUMIF($D172:$D204,$E206,P172:P204)</f>
        <v>62888540.826581761</v>
      </c>
      <c r="Q206" s="36">
        <f t="shared" si="120"/>
        <v>89878313.576851144</v>
      </c>
      <c r="R206" s="36">
        <f t="shared" si="120"/>
        <v>116868086.32712054</v>
      </c>
      <c r="S206" s="36">
        <f t="shared" si="120"/>
        <v>143857859.07738993</v>
      </c>
      <c r="T206" s="36">
        <f t="shared" si="120"/>
        <v>170847631.82765934</v>
      </c>
      <c r="U206" s="36">
        <f t="shared" si="120"/>
        <v>197837404.57792872</v>
      </c>
      <c r="V206" s="36">
        <f t="shared" si="120"/>
        <v>224827177.32819808</v>
      </c>
      <c r="W206" s="36">
        <f t="shared" si="120"/>
        <v>251816950.07846743</v>
      </c>
      <c r="X206" s="36">
        <f t="shared" si="120"/>
        <v>278806722.82873684</v>
      </c>
      <c r="Y206" s="36">
        <f t="shared" si="120"/>
        <v>305796495.57900625</v>
      </c>
      <c r="Z206" s="36">
        <f t="shared" si="120"/>
        <v>337797326.0730148</v>
      </c>
      <c r="AA206" s="36">
        <f t="shared" si="120"/>
        <v>369798156.56702328</v>
      </c>
      <c r="AB206" s="36">
        <f t="shared" si="120"/>
        <v>401798987.06103176</v>
      </c>
      <c r="AC206" s="36">
        <f t="shared" si="120"/>
        <v>433799817.55504024</v>
      </c>
      <c r="AD206" s="36">
        <f t="shared" si="120"/>
        <v>465800648.04904866</v>
      </c>
      <c r="AE206" s="36">
        <f t="shared" si="120"/>
        <v>497801478.54305732</v>
      </c>
      <c r="AF206" s="36">
        <f t="shared" si="120"/>
        <v>529802309.03706574</v>
      </c>
      <c r="AG206" s="36">
        <f t="shared" si="120"/>
        <v>561803139.53107429</v>
      </c>
      <c r="AH206" s="36">
        <f t="shared" si="120"/>
        <v>593803970.02508283</v>
      </c>
      <c r="AI206" s="36">
        <f t="shared" si="120"/>
        <v>625804800.51909137</v>
      </c>
      <c r="AJ206" s="36">
        <f t="shared" si="120"/>
        <v>657805631.01309967</v>
      </c>
      <c r="AK206" s="36">
        <f t="shared" si="120"/>
        <v>689806461.50710833</v>
      </c>
      <c r="AL206" s="36">
        <f t="shared" si="120"/>
        <v>721807292.00111711</v>
      </c>
      <c r="AM206" s="36">
        <f t="shared" si="120"/>
        <v>753808122.49512541</v>
      </c>
      <c r="AN206" s="36">
        <f t="shared" si="120"/>
        <v>785808952.98913395</v>
      </c>
      <c r="AO206" s="36">
        <f t="shared" si="120"/>
        <v>817809783.4831425</v>
      </c>
      <c r="AP206" s="36">
        <f t="shared" si="120"/>
        <v>849810613.9771508</v>
      </c>
      <c r="AQ206" s="36">
        <f t="shared" si="120"/>
        <v>881811444.47115946</v>
      </c>
      <c r="AR206" s="36">
        <f t="shared" si="120"/>
        <v>913812274.96516788</v>
      </c>
      <c r="AS206" s="36">
        <f t="shared" si="120"/>
        <v>945813105.45917654</v>
      </c>
      <c r="AT206" s="36">
        <f t="shared" si="120"/>
        <v>977813935.95318532</v>
      </c>
      <c r="AU206" s="36">
        <f t="shared" si="120"/>
        <v>1009814766.4471935</v>
      </c>
      <c r="AV206" s="36">
        <f t="shared" si="120"/>
        <v>1041815596.9412022</v>
      </c>
      <c r="AW206" s="36">
        <f t="shared" si="120"/>
        <v>1073816427.4352105</v>
      </c>
      <c r="AX206" s="36">
        <f t="shared" si="120"/>
        <v>1105817257.929219</v>
      </c>
    </row>
    <row r="207" spans="4:54">
      <c r="E207" t="s">
        <v>122</v>
      </c>
      <c r="G207" s="44"/>
      <c r="I207" s="44"/>
      <c r="K207" s="44"/>
      <c r="M207" s="44"/>
      <c r="O207" s="607">
        <f>IF(Dashboard!$D$6="Baseline",'2.4 PV (by Borough)'!O43,IF(Dashboard!$D$6=INDEX('Scenario names'!$C$3:$C$6,4),'2.4 PV (by Borough)'!O166,IF(Dashboard!$D$6=INDEX('Scenario names'!$C$3:$C$6,1),'2.4 PV (by Borough)'!O125,IF(Dashboard!$D$6=INDEX('Scenario names'!$C$3:$C$6,2),'2.4 PV (by Borough)'!O125,IF(Dashboard!$D$6=INDEX('Scenario names'!$C$3:$C$6,3),'2.4 PV (by Borough)'!O166,"Error")))))</f>
        <v>43703100.000000015</v>
      </c>
      <c r="P207" s="607">
        <f>IF(Dashboard!$D$6="Baseline",'2.4 PV (by Borough)'!P43,IF(Dashboard!$D$6=INDEX('Scenario names'!$C$3:$C$6,4),'2.4 PV (by Borough)'!P166,IF(Dashboard!$D$6=INDEX('Scenario names'!$C$3:$C$6,1),'2.4 PV (by Borough)'!P125,IF(Dashboard!$D$6=INDEX('Scenario names'!$C$3:$C$6,2),'2.4 PV (by Borough)'!P125,IF(Dashboard!$D$6=INDEX('Scenario names'!$C$3:$C$6,3),'2.4 PV (by Borough)'!P166,"Error")))))</f>
        <v>76735483.16067113</v>
      </c>
      <c r="Q207" s="607">
        <f>IF(Dashboard!$D$6="Baseline",'2.4 PV (by Borough)'!Q43,IF(Dashboard!$D$6=INDEX('Scenario names'!$C$3:$C$6,4),'2.4 PV (by Borough)'!Q166,IF(Dashboard!$D$6=INDEX('Scenario names'!$C$3:$C$6,1),'2.4 PV (by Borough)'!Q125,IF(Dashboard!$D$6=INDEX('Scenario names'!$C$3:$C$6,2),'2.4 PV (by Borough)'!Q125,IF(Dashboard!$D$6=INDEX('Scenario names'!$C$3:$C$6,3),'2.4 PV (by Borough)'!Q166,"Error")))))</f>
        <v>109767866.32134221</v>
      </c>
      <c r="R207" s="607">
        <f>IF(Dashboard!$D$6="Baseline",'2.4 PV (by Borough)'!R43,IF(Dashboard!$D$6=INDEX('Scenario names'!$C$3:$C$6,4),'2.4 PV (by Borough)'!R166,IF(Dashboard!$D$6=INDEX('Scenario names'!$C$3:$C$6,1),'2.4 PV (by Borough)'!R125,IF(Dashboard!$D$6=INDEX('Scenario names'!$C$3:$C$6,2),'2.4 PV (by Borough)'!R125,IF(Dashboard!$D$6=INDEX('Scenario names'!$C$3:$C$6,3),'2.4 PV (by Borough)'!R166,"Error")))))</f>
        <v>142800249.48201334</v>
      </c>
      <c r="S207" s="607">
        <f>IF(Dashboard!$D$6="Baseline",'2.4 PV (by Borough)'!S43,IF(Dashboard!$D$6=INDEX('Scenario names'!$C$3:$C$6,4),'2.4 PV (by Borough)'!S166,IF(Dashboard!$D$6=INDEX('Scenario names'!$C$3:$C$6,1),'2.4 PV (by Borough)'!S125,IF(Dashboard!$D$6=INDEX('Scenario names'!$C$3:$C$6,2),'2.4 PV (by Borough)'!S125,IF(Dashboard!$D$6=INDEX('Scenario names'!$C$3:$C$6,3),'2.4 PV (by Borough)'!S166,"Error")))))</f>
        <v>175832632.64268443</v>
      </c>
      <c r="T207" s="607">
        <f>IF(Dashboard!$D$6="Baseline",'2.4 PV (by Borough)'!T43,IF(Dashboard!$D$6=INDEX('Scenario names'!$C$3:$C$6,4),'2.4 PV (by Borough)'!T166,IF(Dashboard!$D$6=INDEX('Scenario names'!$C$3:$C$6,1),'2.4 PV (by Borough)'!T125,IF(Dashboard!$D$6=INDEX('Scenario names'!$C$3:$C$6,2),'2.4 PV (by Borough)'!T125,IF(Dashboard!$D$6=INDEX('Scenario names'!$C$3:$C$6,3),'2.4 PV (by Borough)'!T166,"Error")))))</f>
        <v>208865015.8033556</v>
      </c>
      <c r="U207" s="607">
        <f>IF(Dashboard!$D$6="Baseline",'2.4 PV (by Borough)'!U43,IF(Dashboard!$D$6=INDEX('Scenario names'!$C$3:$C$6,4),'2.4 PV (by Borough)'!U166,IF(Dashboard!$D$6=INDEX('Scenario names'!$C$3:$C$6,1),'2.4 PV (by Borough)'!U125,IF(Dashboard!$D$6=INDEX('Scenario names'!$C$3:$C$6,2),'2.4 PV (by Borough)'!U125,IF(Dashboard!$D$6=INDEX('Scenario names'!$C$3:$C$6,3),'2.4 PV (by Borough)'!U166,"Error")))))</f>
        <v>241897398.96402666</v>
      </c>
      <c r="V207" s="607">
        <f>IF(Dashboard!$D$6="Baseline",'2.4 PV (by Borough)'!V43,IF(Dashboard!$D$6=INDEX('Scenario names'!$C$3:$C$6,4),'2.4 PV (by Borough)'!V166,IF(Dashboard!$D$6=INDEX('Scenario names'!$C$3:$C$6,1),'2.4 PV (by Borough)'!V125,IF(Dashboard!$D$6=INDEX('Scenario names'!$C$3:$C$6,2),'2.4 PV (by Borough)'!V125,IF(Dashboard!$D$6=INDEX('Scenario names'!$C$3:$C$6,3),'2.4 PV (by Borough)'!V166,"Error")))))</f>
        <v>274929782.12469774</v>
      </c>
      <c r="W207" s="607">
        <f>IF(Dashboard!$D$6="Baseline",'2.4 PV (by Borough)'!W43,IF(Dashboard!$D$6=INDEX('Scenario names'!$C$3:$C$6,4),'2.4 PV (by Borough)'!W166,IF(Dashboard!$D$6=INDEX('Scenario names'!$C$3:$C$6,1),'2.4 PV (by Borough)'!W125,IF(Dashboard!$D$6=INDEX('Scenario names'!$C$3:$C$6,2),'2.4 PV (by Borough)'!W125,IF(Dashboard!$D$6=INDEX('Scenario names'!$C$3:$C$6,3),'2.4 PV (by Borough)'!W166,"Error")))))</f>
        <v>307962165.2853688</v>
      </c>
      <c r="X207" s="607">
        <f>IF(Dashboard!$D$6="Baseline",'2.4 PV (by Borough)'!X43,IF(Dashboard!$D$6=INDEX('Scenario names'!$C$3:$C$6,4),'2.4 PV (by Borough)'!X166,IF(Dashboard!$D$6=INDEX('Scenario names'!$C$3:$C$6,1),'2.4 PV (by Borough)'!X125,IF(Dashboard!$D$6=INDEX('Scenario names'!$C$3:$C$6,2),'2.4 PV (by Borough)'!X125,IF(Dashboard!$D$6=INDEX('Scenario names'!$C$3:$C$6,3),'2.4 PV (by Borough)'!X166,"Error")))))</f>
        <v>340994548.44603997</v>
      </c>
      <c r="Y207" s="607">
        <f>IF(Dashboard!$D$6="Baseline",'2.4 PV (by Borough)'!Y43,IF(Dashboard!$D$6=INDEX('Scenario names'!$C$3:$C$6,4),'2.4 PV (by Borough)'!Y166,IF(Dashboard!$D$6=INDEX('Scenario names'!$C$3:$C$6,1),'2.4 PV (by Borough)'!Y125,IF(Dashboard!$D$6=INDEX('Scenario names'!$C$3:$C$6,2),'2.4 PV (by Borough)'!Y125,IF(Dashboard!$D$6=INDEX('Scenario names'!$C$3:$C$6,3),'2.4 PV (by Borough)'!Y166,"Error")))))</f>
        <v>374026931.60671115</v>
      </c>
      <c r="Z207" s="607">
        <f>IF(Dashboard!$D$6="Baseline",'2.4 PV (by Borough)'!Z43,IF(Dashboard!$D$6=INDEX('Scenario names'!$C$3:$C$6,4),'2.4 PV (by Borough)'!Z166,IF(Dashboard!$D$6=INDEX('Scenario names'!$C$3:$C$6,1),'2.4 PV (by Borough)'!Z125,IF(Dashboard!$D$6=INDEX('Scenario names'!$C$3:$C$6,2),'2.4 PV (by Borough)'!Z125,IF(Dashboard!$D$6=INDEX('Scenario names'!$C$3:$C$6,3),'2.4 PV (by Borough)'!Z166,"Error")))))</f>
        <v>419073993.89858723</v>
      </c>
      <c r="AA207" s="607">
        <f>IF(Dashboard!$D$6="Baseline",'2.4 PV (by Borough)'!AA43,IF(Dashboard!$D$6=INDEX('Scenario names'!$C$3:$C$6,4),'2.4 PV (by Borough)'!AA166,IF(Dashboard!$D$6=INDEX('Scenario names'!$C$3:$C$6,1),'2.4 PV (by Borough)'!AA125,IF(Dashboard!$D$6=INDEX('Scenario names'!$C$3:$C$6,2),'2.4 PV (by Borough)'!AA125,IF(Dashboard!$D$6=INDEX('Scenario names'!$C$3:$C$6,3),'2.4 PV (by Borough)'!AA166,"Error")))))</f>
        <v>464121056.19046319</v>
      </c>
      <c r="AB207" s="607">
        <f>IF(Dashboard!$D$6="Baseline",'2.4 PV (by Borough)'!AB43,IF(Dashboard!$D$6=INDEX('Scenario names'!$C$3:$C$6,4),'2.4 PV (by Borough)'!AB166,IF(Dashboard!$D$6=INDEX('Scenario names'!$C$3:$C$6,1),'2.4 PV (by Borough)'!AB125,IF(Dashboard!$D$6=INDEX('Scenario names'!$C$3:$C$6,2),'2.4 PV (by Borough)'!AB125,IF(Dashboard!$D$6=INDEX('Scenario names'!$C$3:$C$6,3),'2.4 PV (by Borough)'!AB166,"Error")))))</f>
        <v>509168118.48233908</v>
      </c>
      <c r="AC207" s="607">
        <f>IF(Dashboard!$D$6="Baseline",'2.4 PV (by Borough)'!AC43,IF(Dashboard!$D$6=INDEX('Scenario names'!$C$3:$C$6,4),'2.4 PV (by Borough)'!AC166,IF(Dashboard!$D$6=INDEX('Scenario names'!$C$3:$C$6,1),'2.4 PV (by Borough)'!AC125,IF(Dashboard!$D$6=INDEX('Scenario names'!$C$3:$C$6,2),'2.4 PV (by Borough)'!AC125,IF(Dashboard!$D$6=INDEX('Scenario names'!$C$3:$C$6,3),'2.4 PV (by Borough)'!AC166,"Error")))))</f>
        <v>554215180.7742151</v>
      </c>
      <c r="AD207" s="607">
        <f>IF(Dashboard!$D$6="Baseline",'2.4 PV (by Borough)'!AD43,IF(Dashboard!$D$6=INDEX('Scenario names'!$C$3:$C$6,4),'2.4 PV (by Borough)'!AD166,IF(Dashboard!$D$6=INDEX('Scenario names'!$C$3:$C$6,1),'2.4 PV (by Borough)'!AD125,IF(Dashboard!$D$6=INDEX('Scenario names'!$C$3:$C$6,2),'2.4 PV (by Borough)'!AD125,IF(Dashboard!$D$6=INDEX('Scenario names'!$C$3:$C$6,3),'2.4 PV (by Borough)'!AD166,"Error")))))</f>
        <v>599262243.06609118</v>
      </c>
      <c r="AE207" s="607">
        <f>IF(Dashboard!$D$6="Baseline",'2.4 PV (by Borough)'!AE43,IF(Dashboard!$D$6=INDEX('Scenario names'!$C$3:$C$6,4),'2.4 PV (by Borough)'!AE166,IF(Dashboard!$D$6=INDEX('Scenario names'!$C$3:$C$6,1),'2.4 PV (by Borough)'!AE125,IF(Dashboard!$D$6=INDEX('Scenario names'!$C$3:$C$6,2),'2.4 PV (by Borough)'!AE125,IF(Dashboard!$D$6=INDEX('Scenario names'!$C$3:$C$6,3),'2.4 PV (by Borough)'!AE166,"Error")))))</f>
        <v>644309305.35796726</v>
      </c>
      <c r="AF207" s="607">
        <f>IF(Dashboard!$D$6="Baseline",'2.4 PV (by Borough)'!AF43,IF(Dashboard!$D$6=INDEX('Scenario names'!$C$3:$C$6,4),'2.4 PV (by Borough)'!AF166,IF(Dashboard!$D$6=INDEX('Scenario names'!$C$3:$C$6,1),'2.4 PV (by Borough)'!AF125,IF(Dashboard!$D$6=INDEX('Scenario names'!$C$3:$C$6,2),'2.4 PV (by Borough)'!AF125,IF(Dashboard!$D$6=INDEX('Scenario names'!$C$3:$C$6,3),'2.4 PV (by Borough)'!AF166,"Error")))))</f>
        <v>689356367.64984322</v>
      </c>
      <c r="AG207" s="607">
        <f>IF(Dashboard!$D$6="Baseline",'2.4 PV (by Borough)'!AG43,IF(Dashboard!$D$6=INDEX('Scenario names'!$C$3:$C$6,4),'2.4 PV (by Borough)'!AG166,IF(Dashboard!$D$6=INDEX('Scenario names'!$C$3:$C$6,1),'2.4 PV (by Borough)'!AG125,IF(Dashboard!$D$6=INDEX('Scenario names'!$C$3:$C$6,2),'2.4 PV (by Borough)'!AG125,IF(Dashboard!$D$6=INDEX('Scenario names'!$C$3:$C$6,3),'2.4 PV (by Borough)'!AG166,"Error")))))</f>
        <v>734403429.94171953</v>
      </c>
      <c r="AH207" s="607">
        <f>IF(Dashboard!$D$6="Baseline",'2.4 PV (by Borough)'!AH43,IF(Dashboard!$D$6=INDEX('Scenario names'!$C$3:$C$6,4),'2.4 PV (by Borough)'!AH166,IF(Dashboard!$D$6=INDEX('Scenario names'!$C$3:$C$6,1),'2.4 PV (by Borough)'!AH125,IF(Dashboard!$D$6=INDEX('Scenario names'!$C$3:$C$6,2),'2.4 PV (by Borough)'!AH125,IF(Dashboard!$D$6=INDEX('Scenario names'!$C$3:$C$6,3),'2.4 PV (by Borough)'!AH166,"Error")))))</f>
        <v>779450492.23359549</v>
      </c>
      <c r="AI207" s="607">
        <f>IF(Dashboard!$D$6="Baseline",'2.4 PV (by Borough)'!AI43,IF(Dashboard!$D$6=INDEX('Scenario names'!$C$3:$C$6,4),'2.4 PV (by Borough)'!AI166,IF(Dashboard!$D$6=INDEX('Scenario names'!$C$3:$C$6,1),'2.4 PV (by Borough)'!AI125,IF(Dashboard!$D$6=INDEX('Scenario names'!$C$3:$C$6,2),'2.4 PV (by Borough)'!AI125,IF(Dashboard!$D$6=INDEX('Scenario names'!$C$3:$C$6,3),'2.4 PV (by Borough)'!AI166,"Error")))))</f>
        <v>824497554.52547133</v>
      </c>
      <c r="AJ207" s="607">
        <f>IF(Dashboard!$D$6="Baseline",'2.4 PV (by Borough)'!AJ43,IF(Dashboard!$D$6=INDEX('Scenario names'!$C$3:$C$6,4),'2.4 PV (by Borough)'!AJ166,IF(Dashboard!$D$6=INDEX('Scenario names'!$C$3:$C$6,1),'2.4 PV (by Borough)'!AJ125,IF(Dashboard!$D$6=INDEX('Scenario names'!$C$3:$C$6,2),'2.4 PV (by Borough)'!AJ125,IF(Dashboard!$D$6=INDEX('Scenario names'!$C$3:$C$6,3),'2.4 PV (by Borough)'!AJ166,"Error")))))</f>
        <v>869544616.81734765</v>
      </c>
      <c r="AK207" s="607">
        <f>IF(Dashboard!$D$6="Baseline",'2.4 PV (by Borough)'!AK43,IF(Dashboard!$D$6=INDEX('Scenario names'!$C$3:$C$6,4),'2.4 PV (by Borough)'!AK166,IF(Dashboard!$D$6=INDEX('Scenario names'!$C$3:$C$6,1),'2.4 PV (by Borough)'!AK125,IF(Dashboard!$D$6=INDEX('Scenario names'!$C$3:$C$6,2),'2.4 PV (by Borough)'!AK125,IF(Dashboard!$D$6=INDEX('Scenario names'!$C$3:$C$6,3),'2.4 PV (by Borough)'!AK166,"Error")))))</f>
        <v>914591679.10922396</v>
      </c>
      <c r="AL207" s="607">
        <f>IF(Dashboard!$D$6="Baseline",'2.4 PV (by Borough)'!AL43,IF(Dashboard!$D$6=INDEX('Scenario names'!$C$3:$C$6,4),'2.4 PV (by Borough)'!AL166,IF(Dashboard!$D$6=INDEX('Scenario names'!$C$3:$C$6,1),'2.4 PV (by Borough)'!AL125,IF(Dashboard!$D$6=INDEX('Scenario names'!$C$3:$C$6,2),'2.4 PV (by Borough)'!AL125,IF(Dashboard!$D$6=INDEX('Scenario names'!$C$3:$C$6,3),'2.4 PV (by Borough)'!AL166,"Error")))))</f>
        <v>959638741.4010998</v>
      </c>
      <c r="AM207" s="607">
        <f>IF(Dashboard!$D$6="Baseline",'2.4 PV (by Borough)'!AM43,IF(Dashboard!$D$6=INDEX('Scenario names'!$C$3:$C$6,4),'2.4 PV (by Borough)'!AM166,IF(Dashboard!$D$6=INDEX('Scenario names'!$C$3:$C$6,1),'2.4 PV (by Borough)'!AM125,IF(Dashboard!$D$6=INDEX('Scenario names'!$C$3:$C$6,2),'2.4 PV (by Borough)'!AM125,IF(Dashboard!$D$6=INDEX('Scenario names'!$C$3:$C$6,3),'2.4 PV (by Borough)'!AM166,"Error")))))</f>
        <v>1004685803.6929759</v>
      </c>
      <c r="AN207" s="607">
        <f>IF(Dashboard!$D$6="Baseline",'2.4 PV (by Borough)'!AN43,IF(Dashboard!$D$6=INDEX('Scenario names'!$C$3:$C$6,4),'2.4 PV (by Borough)'!AN166,IF(Dashboard!$D$6=INDEX('Scenario names'!$C$3:$C$6,1),'2.4 PV (by Borough)'!AN125,IF(Dashboard!$D$6=INDEX('Scenario names'!$C$3:$C$6,2),'2.4 PV (by Borough)'!AN125,IF(Dashboard!$D$6=INDEX('Scenario names'!$C$3:$C$6,3),'2.4 PV (by Borough)'!AN166,"Error")))))</f>
        <v>1049732865.9848517</v>
      </c>
      <c r="AO207" s="607">
        <f>IF(Dashboard!$D$6="Baseline",'2.4 PV (by Borough)'!AO43,IF(Dashboard!$D$6=INDEX('Scenario names'!$C$3:$C$6,4),'2.4 PV (by Borough)'!AO166,IF(Dashboard!$D$6=INDEX('Scenario names'!$C$3:$C$6,1),'2.4 PV (by Borough)'!AO125,IF(Dashboard!$D$6=INDEX('Scenario names'!$C$3:$C$6,2),'2.4 PV (by Borough)'!AO125,IF(Dashboard!$D$6=INDEX('Scenario names'!$C$3:$C$6,3),'2.4 PV (by Borough)'!AO166,"Error")))))</f>
        <v>1094779928.2767277</v>
      </c>
      <c r="AP207" s="607">
        <f>IF(Dashboard!$D$6="Baseline",'2.4 PV (by Borough)'!AP43,IF(Dashboard!$D$6=INDEX('Scenario names'!$C$3:$C$6,4),'2.4 PV (by Borough)'!AP166,IF(Dashboard!$D$6=INDEX('Scenario names'!$C$3:$C$6,1),'2.4 PV (by Borough)'!AP125,IF(Dashboard!$D$6=INDEX('Scenario names'!$C$3:$C$6,2),'2.4 PV (by Borough)'!AP125,IF(Dashboard!$D$6=INDEX('Scenario names'!$C$3:$C$6,3),'2.4 PV (by Borough)'!AP166,"Error")))))</f>
        <v>1139826990.5686038</v>
      </c>
      <c r="AQ207" s="607">
        <f>IF(Dashboard!$D$6="Baseline",'2.4 PV (by Borough)'!AQ43,IF(Dashboard!$D$6=INDEX('Scenario names'!$C$3:$C$6,4),'2.4 PV (by Borough)'!AQ166,IF(Dashboard!$D$6=INDEX('Scenario names'!$C$3:$C$6,1),'2.4 PV (by Borough)'!AQ125,IF(Dashboard!$D$6=INDEX('Scenario names'!$C$3:$C$6,2),'2.4 PV (by Borough)'!AQ125,IF(Dashboard!$D$6=INDEX('Scenario names'!$C$3:$C$6,3),'2.4 PV (by Borough)'!AQ166,"Error")))))</f>
        <v>1184874052.8604796</v>
      </c>
      <c r="AR207" s="607">
        <f>IF(Dashboard!$D$6="Baseline",'2.4 PV (by Borough)'!AR43,IF(Dashboard!$D$6=INDEX('Scenario names'!$C$3:$C$6,4),'2.4 PV (by Borough)'!AR166,IF(Dashboard!$D$6=INDEX('Scenario names'!$C$3:$C$6,1),'2.4 PV (by Borough)'!AR125,IF(Dashboard!$D$6=INDEX('Scenario names'!$C$3:$C$6,2),'2.4 PV (by Borough)'!AR125,IF(Dashboard!$D$6=INDEX('Scenario names'!$C$3:$C$6,3),'2.4 PV (by Borough)'!AR166,"Error")))))</f>
        <v>1229921115.1523559</v>
      </c>
      <c r="AS207" s="607">
        <f>IF(Dashboard!$D$6="Baseline",'2.4 PV (by Borough)'!AS43,IF(Dashboard!$D$6=INDEX('Scenario names'!$C$3:$C$6,4),'2.4 PV (by Borough)'!AS166,IF(Dashboard!$D$6=INDEX('Scenario names'!$C$3:$C$6,1),'2.4 PV (by Borough)'!AS125,IF(Dashboard!$D$6=INDEX('Scenario names'!$C$3:$C$6,2),'2.4 PV (by Borough)'!AS125,IF(Dashboard!$D$6=INDEX('Scenario names'!$C$3:$C$6,3),'2.4 PV (by Borough)'!AS166,"Error")))))</f>
        <v>1274968177.4442322</v>
      </c>
      <c r="AT207" s="607">
        <f>IF(Dashboard!$D$6="Baseline",'2.4 PV (by Borough)'!AT43,IF(Dashboard!$D$6=INDEX('Scenario names'!$C$3:$C$6,4),'2.4 PV (by Borough)'!AT166,IF(Dashboard!$D$6=INDEX('Scenario names'!$C$3:$C$6,1),'2.4 PV (by Borough)'!AT125,IF(Dashboard!$D$6=INDEX('Scenario names'!$C$3:$C$6,2),'2.4 PV (by Borough)'!AT125,IF(Dashboard!$D$6=INDEX('Scenario names'!$C$3:$C$6,3),'2.4 PV (by Borough)'!AT166,"Error")))))</f>
        <v>1320015239.7361081</v>
      </c>
      <c r="AU207" s="607">
        <f>IF(Dashboard!$D$6="Baseline",'2.4 PV (by Borough)'!AU43,IF(Dashboard!$D$6=INDEX('Scenario names'!$C$3:$C$6,4),'2.4 PV (by Borough)'!AU166,IF(Dashboard!$D$6=INDEX('Scenario names'!$C$3:$C$6,1),'2.4 PV (by Borough)'!AU125,IF(Dashboard!$D$6=INDEX('Scenario names'!$C$3:$C$6,2),'2.4 PV (by Borough)'!AU125,IF(Dashboard!$D$6=INDEX('Scenario names'!$C$3:$C$6,3),'2.4 PV (by Borough)'!AU166,"Error")))))</f>
        <v>1365062302.0279841</v>
      </c>
      <c r="AV207" s="607">
        <f>IF(Dashboard!$D$6="Baseline",'2.4 PV (by Borough)'!AV43,IF(Dashboard!$D$6=INDEX('Scenario names'!$C$3:$C$6,4),'2.4 PV (by Borough)'!AV166,IF(Dashboard!$D$6=INDEX('Scenario names'!$C$3:$C$6,1),'2.4 PV (by Borough)'!AV125,IF(Dashboard!$D$6=INDEX('Scenario names'!$C$3:$C$6,2),'2.4 PV (by Borough)'!AV125,IF(Dashboard!$D$6=INDEX('Scenario names'!$C$3:$C$6,3),'2.4 PV (by Borough)'!AV166,"Error")))))</f>
        <v>1410109364.3198605</v>
      </c>
      <c r="AW207" s="607">
        <f>IF(Dashboard!$D$6="Baseline",'2.4 PV (by Borough)'!AW43,IF(Dashboard!$D$6=INDEX('Scenario names'!$C$3:$C$6,4),'2.4 PV (by Borough)'!AW166,IF(Dashboard!$D$6=INDEX('Scenario names'!$C$3:$C$6,1),'2.4 PV (by Borough)'!AW125,IF(Dashboard!$D$6=INDEX('Scenario names'!$C$3:$C$6,2),'2.4 PV (by Borough)'!AW125,IF(Dashboard!$D$6=INDEX('Scenario names'!$C$3:$C$6,3),'2.4 PV (by Borough)'!AW166,"Error")))))</f>
        <v>1455156426.6117363</v>
      </c>
      <c r="AX207" s="607">
        <f>IF(Dashboard!$D$6="Baseline",'2.4 PV (by Borough)'!AX43,IF(Dashboard!$D$6=INDEX('Scenario names'!$C$3:$C$6,4),'2.4 PV (by Borough)'!AX166,IF(Dashboard!$D$6=INDEX('Scenario names'!$C$3:$C$6,1),'2.4 PV (by Borough)'!AX125,IF(Dashboard!$D$6=INDEX('Scenario names'!$C$3:$C$6,2),'2.4 PV (by Borough)'!AX125,IF(Dashboard!$D$6=INDEX('Scenario names'!$C$3:$C$6,3),'2.4 PV (by Borough)'!AX166,"Error")))))</f>
        <v>1500203488.9036124</v>
      </c>
    </row>
    <row r="209" spans="2:50">
      <c r="D209" s="160" t="s">
        <v>720</v>
      </c>
      <c r="E209" t="str">
        <f xml:space="preserve"> Dashboard!$D$5</f>
        <v>Inner London</v>
      </c>
      <c r="G209" s="44"/>
      <c r="I209" s="44"/>
      <c r="K209" s="44"/>
      <c r="M209" s="44"/>
      <c r="O209" s="36">
        <f>INDEX(O172:O207,MATCH($E$209,$E$172:$E$207,0))</f>
        <v>7804331.9236876462</v>
      </c>
      <c r="P209" s="36">
        <f t="shared" ref="P209:AX209" si="121">INDEX(P172:P207,MATCH($E$209,$E$172:$E$207,0))</f>
        <v>13846942.334089361</v>
      </c>
      <c r="Q209" s="36">
        <f t="shared" si="121"/>
        <v>19889552.744491082</v>
      </c>
      <c r="R209" s="36">
        <f t="shared" si="121"/>
        <v>25932163.154892802</v>
      </c>
      <c r="S209" s="36">
        <f t="shared" si="121"/>
        <v>31974773.565294519</v>
      </c>
      <c r="T209" s="36">
        <f t="shared" si="121"/>
        <v>38017383.975696236</v>
      </c>
      <c r="U209" s="36">
        <f t="shared" si="121"/>
        <v>44059994.386097953</v>
      </c>
      <c r="V209" s="36">
        <f t="shared" si="121"/>
        <v>50102604.796499677</v>
      </c>
      <c r="W209" s="36">
        <f t="shared" si="121"/>
        <v>56145215.206901379</v>
      </c>
      <c r="X209" s="36">
        <f t="shared" si="121"/>
        <v>62187825.617303103</v>
      </c>
      <c r="Y209" s="36">
        <f t="shared" si="121"/>
        <v>68230436.02770482</v>
      </c>
      <c r="Z209" s="36">
        <f t="shared" si="121"/>
        <v>81276667.825572386</v>
      </c>
      <c r="AA209" s="36">
        <f t="shared" si="121"/>
        <v>94322899.623439908</v>
      </c>
      <c r="AB209" s="36">
        <f t="shared" si="121"/>
        <v>107369131.42130743</v>
      </c>
      <c r="AC209" s="36">
        <f t="shared" si="121"/>
        <v>120415363.21917495</v>
      </c>
      <c r="AD209" s="36">
        <f t="shared" si="121"/>
        <v>133461595.01704252</v>
      </c>
      <c r="AE209" s="36">
        <f t="shared" si="121"/>
        <v>146507826.81491002</v>
      </c>
      <c r="AF209" s="36">
        <f t="shared" si="121"/>
        <v>159554058.61277759</v>
      </c>
      <c r="AG209" s="36">
        <f t="shared" si="121"/>
        <v>172600290.41064507</v>
      </c>
      <c r="AH209" s="36">
        <f t="shared" si="121"/>
        <v>185646522.20851266</v>
      </c>
      <c r="AI209" s="36">
        <f t="shared" si="121"/>
        <v>198692754.00638017</v>
      </c>
      <c r="AJ209" s="36">
        <f t="shared" si="121"/>
        <v>211738985.80424768</v>
      </c>
      <c r="AK209" s="36">
        <f t="shared" si="121"/>
        <v>224785217.60211521</v>
      </c>
      <c r="AL209" s="36">
        <f t="shared" si="121"/>
        <v>237831449.39998272</v>
      </c>
      <c r="AM209" s="36">
        <f t="shared" si="121"/>
        <v>250877681.19785029</v>
      </c>
      <c r="AN209" s="36">
        <f t="shared" si="121"/>
        <v>263923912.99571782</v>
      </c>
      <c r="AO209" s="36">
        <f t="shared" si="121"/>
        <v>276970144.7935853</v>
      </c>
      <c r="AP209" s="36">
        <f t="shared" si="121"/>
        <v>290016376.5914529</v>
      </c>
      <c r="AQ209" s="36">
        <f t="shared" si="121"/>
        <v>303062608.38932043</v>
      </c>
      <c r="AR209" s="36">
        <f t="shared" si="121"/>
        <v>316108840.18718791</v>
      </c>
      <c r="AS209" s="36">
        <f t="shared" si="121"/>
        <v>329155071.98505551</v>
      </c>
      <c r="AT209" s="36">
        <f t="shared" si="121"/>
        <v>342201303.78292304</v>
      </c>
      <c r="AU209" s="36">
        <f t="shared" si="121"/>
        <v>355247535.58079064</v>
      </c>
      <c r="AV209" s="36">
        <f t="shared" si="121"/>
        <v>368293767.37865812</v>
      </c>
      <c r="AW209" s="36">
        <f t="shared" si="121"/>
        <v>381339999.17652559</v>
      </c>
      <c r="AX209" s="36">
        <f t="shared" si="121"/>
        <v>394386230.97439313</v>
      </c>
    </row>
    <row r="211" spans="2:50" s="67" customFormat="1">
      <c r="B211" s="67" t="s">
        <v>722</v>
      </c>
      <c r="O211" s="68"/>
      <c r="P211" s="68"/>
      <c r="Q211" s="68"/>
      <c r="R211" s="68"/>
      <c r="S211" s="68"/>
      <c r="T211" s="68"/>
      <c r="U211" s="68"/>
      <c r="V211" s="68"/>
      <c r="W211" s="68"/>
      <c r="X211" s="68"/>
      <c r="Y211" s="68"/>
      <c r="Z211" s="68"/>
      <c r="AA211" s="68"/>
      <c r="AB211" s="68"/>
      <c r="AC211" s="68"/>
      <c r="AD211" s="68"/>
      <c r="AE211" s="68"/>
      <c r="AF211" s="68"/>
      <c r="AG211" s="68"/>
      <c r="AH211" s="68"/>
      <c r="AI211" s="68"/>
      <c r="AJ211" s="68"/>
      <c r="AK211" s="68"/>
      <c r="AL211" s="68"/>
      <c r="AM211" s="68"/>
      <c r="AN211" s="68"/>
      <c r="AO211" s="68"/>
      <c r="AP211" s="68"/>
      <c r="AQ211" s="68"/>
      <c r="AR211" s="68"/>
      <c r="AS211" s="68"/>
      <c r="AT211" s="68"/>
      <c r="AU211" s="68"/>
      <c r="AV211" s="68"/>
      <c r="AW211" s="68"/>
      <c r="AX211" s="68"/>
    </row>
    <row r="213" spans="2:50" s="43" customFormat="1">
      <c r="C213" s="43" t="s">
        <v>26</v>
      </c>
      <c r="O213" s="71"/>
      <c r="P213" s="71"/>
      <c r="Q213" s="71"/>
      <c r="R213" s="71"/>
      <c r="S213" s="71"/>
      <c r="T213" s="71"/>
      <c r="U213" s="71"/>
      <c r="V213" s="71"/>
      <c r="W213" s="71"/>
      <c r="X213" s="71"/>
      <c r="Y213" s="71"/>
      <c r="Z213" s="71"/>
      <c r="AA213" s="71"/>
      <c r="AB213" s="71"/>
      <c r="AC213" s="71"/>
      <c r="AD213" s="71"/>
      <c r="AE213" s="71"/>
      <c r="AF213" s="71"/>
      <c r="AG213" s="71"/>
      <c r="AH213" s="71"/>
      <c r="AI213" s="71"/>
      <c r="AJ213" s="71"/>
      <c r="AK213" s="71"/>
      <c r="AL213" s="71"/>
      <c r="AM213" s="71"/>
      <c r="AN213" s="71"/>
      <c r="AO213" s="71"/>
      <c r="AP213" s="71"/>
      <c r="AQ213" s="71"/>
      <c r="AR213" s="71"/>
      <c r="AS213" s="71"/>
      <c r="AT213" s="71"/>
      <c r="AU213" s="71"/>
      <c r="AV213" s="71"/>
      <c r="AW213" s="71"/>
      <c r="AX213" s="71"/>
    </row>
    <row r="215" spans="2:50">
      <c r="D215" t="s">
        <v>661</v>
      </c>
      <c r="E215" t="s">
        <v>626</v>
      </c>
      <c r="G215" s="44"/>
      <c r="I215" s="44"/>
      <c r="K215" s="44"/>
      <c r="M215" s="44"/>
      <c r="O215" s="36">
        <v>332988.09144140815</v>
      </c>
      <c r="P215" s="36">
        <v>340646.08898638672</v>
      </c>
      <c r="Q215" s="36">
        <v>348304.08653136529</v>
      </c>
      <c r="R215" s="36">
        <v>355962.08407634386</v>
      </c>
      <c r="S215" s="36">
        <v>363620.08162132232</v>
      </c>
      <c r="T215" s="36">
        <v>371278.07916630089</v>
      </c>
      <c r="U215" s="36">
        <v>378936.07671127934</v>
      </c>
      <c r="V215" s="36">
        <v>386594.07425625797</v>
      </c>
      <c r="W215" s="36">
        <v>394252.07180123648</v>
      </c>
      <c r="X215" s="36">
        <v>401910.06934621511</v>
      </c>
      <c r="Y215" s="36">
        <v>409568.06689119362</v>
      </c>
      <c r="Z215" s="36">
        <v>475737.13031896472</v>
      </c>
      <c r="AA215" s="36">
        <v>541906.19374673581</v>
      </c>
      <c r="AB215" s="36">
        <v>608075.2571745069</v>
      </c>
      <c r="AC215" s="36">
        <v>674244.32060227811</v>
      </c>
      <c r="AD215" s="36">
        <v>740413.3840300492</v>
      </c>
      <c r="AE215" s="36">
        <v>806582.44745782041</v>
      </c>
      <c r="AF215" s="36">
        <v>872751.51088559139</v>
      </c>
      <c r="AG215" s="36">
        <v>938920.57431336271</v>
      </c>
      <c r="AH215" s="36">
        <v>1005089.6377411337</v>
      </c>
      <c r="AI215" s="36">
        <v>1071258.7011689048</v>
      </c>
      <c r="AJ215" s="36">
        <v>1137427.7645966758</v>
      </c>
      <c r="AK215" s="36">
        <v>1203596.828024447</v>
      </c>
      <c r="AL215" s="36">
        <v>1269765.8914522182</v>
      </c>
      <c r="AM215" s="36">
        <v>1335934.9548799891</v>
      </c>
      <c r="AN215" s="36">
        <v>1402104.0183077601</v>
      </c>
      <c r="AO215" s="36">
        <v>1468273.0817355313</v>
      </c>
      <c r="AP215" s="36">
        <v>1534442.1451633025</v>
      </c>
      <c r="AQ215" s="36">
        <v>1600611.2085910738</v>
      </c>
      <c r="AR215" s="36">
        <v>1666780.2720188447</v>
      </c>
      <c r="AS215" s="36">
        <v>1732949.3354466159</v>
      </c>
      <c r="AT215" s="36">
        <v>1799118.3988743871</v>
      </c>
      <c r="AU215" s="36">
        <v>1865287.4623021581</v>
      </c>
      <c r="AV215" s="36">
        <v>1931456.5257299291</v>
      </c>
      <c r="AW215" s="36">
        <v>1997625.5891576996</v>
      </c>
      <c r="AX215" s="36">
        <v>2063794.652585471</v>
      </c>
    </row>
    <row r="216" spans="2:50">
      <c r="D216" t="s">
        <v>661</v>
      </c>
      <c r="E216" t="s">
        <v>627</v>
      </c>
      <c r="G216" s="44"/>
      <c r="I216" s="44"/>
      <c r="K216" s="44"/>
      <c r="M216" s="44"/>
      <c r="O216" s="36">
        <v>409415.66711500968</v>
      </c>
      <c r="P216" s="36">
        <v>419019.40723412472</v>
      </c>
      <c r="Q216" s="36">
        <v>428623.14735323976</v>
      </c>
      <c r="R216" s="36">
        <v>438226.88747235492</v>
      </c>
      <c r="S216" s="36">
        <v>447830.62759146979</v>
      </c>
      <c r="T216" s="36">
        <v>457434.36771058477</v>
      </c>
      <c r="U216" s="36">
        <v>467038.10782969987</v>
      </c>
      <c r="V216" s="36">
        <v>476641.84794881498</v>
      </c>
      <c r="W216" s="36">
        <v>486245.58806792984</v>
      </c>
      <c r="X216" s="36">
        <v>495849.32818704488</v>
      </c>
      <c r="Y216" s="36">
        <v>505453.06830616004</v>
      </c>
      <c r="Z216" s="36">
        <v>585784.38052407873</v>
      </c>
      <c r="AA216" s="36">
        <v>666115.69274199777</v>
      </c>
      <c r="AB216" s="36">
        <v>746447.00495991611</v>
      </c>
      <c r="AC216" s="36">
        <v>826778.31717783515</v>
      </c>
      <c r="AD216" s="36">
        <v>907109.62939575419</v>
      </c>
      <c r="AE216" s="36">
        <v>987440.94161367253</v>
      </c>
      <c r="AF216" s="36">
        <v>1067772.2538315917</v>
      </c>
      <c r="AG216" s="36">
        <v>1148103.5660495104</v>
      </c>
      <c r="AH216" s="36">
        <v>1228434.8782674295</v>
      </c>
      <c r="AI216" s="36">
        <v>1308766.1904853482</v>
      </c>
      <c r="AJ216" s="36">
        <v>1389097.5027032667</v>
      </c>
      <c r="AK216" s="36">
        <v>1469428.8149211851</v>
      </c>
      <c r="AL216" s="36">
        <v>1549760.1271391041</v>
      </c>
      <c r="AM216" s="36">
        <v>1630091.4393570232</v>
      </c>
      <c r="AN216" s="36">
        <v>1710422.7515749412</v>
      </c>
      <c r="AO216" s="36">
        <v>1790754.0637928604</v>
      </c>
      <c r="AP216" s="36">
        <v>1871085.3760107795</v>
      </c>
      <c r="AQ216" s="36">
        <v>1951416.6882286977</v>
      </c>
      <c r="AR216" s="36">
        <v>2031748.0004466174</v>
      </c>
      <c r="AS216" s="36">
        <v>2112079.3126645354</v>
      </c>
      <c r="AT216" s="36">
        <v>2192410.6248824541</v>
      </c>
      <c r="AU216" s="36">
        <v>2272741.9371003732</v>
      </c>
      <c r="AV216" s="36">
        <v>2353073.2493182919</v>
      </c>
      <c r="AW216" s="36">
        <v>2433404.5615362101</v>
      </c>
      <c r="AX216" s="36">
        <v>2513735.8737541297</v>
      </c>
    </row>
    <row r="217" spans="2:50">
      <c r="D217" t="s">
        <v>661</v>
      </c>
      <c r="E217" t="s">
        <v>628</v>
      </c>
      <c r="G217" s="44"/>
      <c r="I217" s="44"/>
      <c r="K217" s="44"/>
      <c r="M217" s="44"/>
      <c r="O217" s="36">
        <v>390642.41268576065</v>
      </c>
      <c r="P217" s="36">
        <v>399659.60858794913</v>
      </c>
      <c r="Q217" s="36">
        <v>408676.80449013785</v>
      </c>
      <c r="R217" s="36">
        <v>417694.00039232644</v>
      </c>
      <c r="S217" s="36">
        <v>426711.19629451499</v>
      </c>
      <c r="T217" s="36">
        <v>435728.39219670359</v>
      </c>
      <c r="U217" s="36">
        <v>444745.58809889224</v>
      </c>
      <c r="V217" s="36">
        <v>453762.78400108096</v>
      </c>
      <c r="W217" s="36">
        <v>462779.97990326944</v>
      </c>
      <c r="X217" s="36">
        <v>471797.1758054581</v>
      </c>
      <c r="Y217" s="36">
        <v>480814.37170764658</v>
      </c>
      <c r="Z217" s="36">
        <v>560499.00683376368</v>
      </c>
      <c r="AA217" s="36">
        <v>640183.64195988083</v>
      </c>
      <c r="AB217" s="36">
        <v>719868.27708599775</v>
      </c>
      <c r="AC217" s="36">
        <v>799552.91221211478</v>
      </c>
      <c r="AD217" s="36">
        <v>879237.54733823182</v>
      </c>
      <c r="AE217" s="36">
        <v>958922.18246434873</v>
      </c>
      <c r="AF217" s="36">
        <v>1038606.8175904659</v>
      </c>
      <c r="AG217" s="36">
        <v>1118291.4527165827</v>
      </c>
      <c r="AH217" s="36">
        <v>1197976.0878426998</v>
      </c>
      <c r="AI217" s="36">
        <v>1277660.722968817</v>
      </c>
      <c r="AJ217" s="36">
        <v>1357345.3580949337</v>
      </c>
      <c r="AK217" s="36">
        <v>1437029.9932210504</v>
      </c>
      <c r="AL217" s="36">
        <v>1516714.6283471677</v>
      </c>
      <c r="AM217" s="36">
        <v>1596399.2634732849</v>
      </c>
      <c r="AN217" s="36">
        <v>1676083.898599402</v>
      </c>
      <c r="AO217" s="36">
        <v>1755768.533725519</v>
      </c>
      <c r="AP217" s="36">
        <v>1835453.1688516359</v>
      </c>
      <c r="AQ217" s="36">
        <v>1915137.803977753</v>
      </c>
      <c r="AR217" s="36">
        <v>1994822.4391038704</v>
      </c>
      <c r="AS217" s="36">
        <v>2074507.0742299873</v>
      </c>
      <c r="AT217" s="36">
        <v>2154191.7093561036</v>
      </c>
      <c r="AU217" s="36">
        <v>2233876.3444822212</v>
      </c>
      <c r="AV217" s="36">
        <v>2313560.9796083379</v>
      </c>
      <c r="AW217" s="36">
        <v>2393245.6147344555</v>
      </c>
      <c r="AX217" s="36">
        <v>2472930.2498605717</v>
      </c>
    </row>
    <row r="218" spans="2:50">
      <c r="D218" t="s">
        <v>661</v>
      </c>
      <c r="E218" t="s">
        <v>629</v>
      </c>
      <c r="G218" s="44"/>
      <c r="I218" s="44"/>
      <c r="K218" s="44"/>
      <c r="M218" s="44"/>
      <c r="O218" s="36">
        <v>435235.42564687686</v>
      </c>
      <c r="P218" s="36">
        <v>445335.36895467306</v>
      </c>
      <c r="Q218" s="36">
        <v>455435.31226246938</v>
      </c>
      <c r="R218" s="36">
        <v>465535.25557026564</v>
      </c>
      <c r="S218" s="36">
        <v>475635.19887806184</v>
      </c>
      <c r="T218" s="36">
        <v>485735.14218585822</v>
      </c>
      <c r="U218" s="36">
        <v>495835.08549365436</v>
      </c>
      <c r="V218" s="36">
        <v>505935.02880145086</v>
      </c>
      <c r="W218" s="36">
        <v>516034.97210924694</v>
      </c>
      <c r="X218" s="36">
        <v>526134.91541704303</v>
      </c>
      <c r="Y218" s="36">
        <v>536234.8587248394</v>
      </c>
      <c r="Z218" s="36">
        <v>624374.39224654087</v>
      </c>
      <c r="AA218" s="36">
        <v>712513.92576824245</v>
      </c>
      <c r="AB218" s="36">
        <v>800653.45928994403</v>
      </c>
      <c r="AC218" s="36">
        <v>888792.99281164515</v>
      </c>
      <c r="AD218" s="36">
        <v>976932.52633334685</v>
      </c>
      <c r="AE218" s="36">
        <v>1065072.0598550485</v>
      </c>
      <c r="AF218" s="36">
        <v>1153211.5933767499</v>
      </c>
      <c r="AG218" s="36">
        <v>1241351.1268984512</v>
      </c>
      <c r="AH218" s="36">
        <v>1329490.6604201531</v>
      </c>
      <c r="AI218" s="36">
        <v>1417630.1939418546</v>
      </c>
      <c r="AJ218" s="36">
        <v>1505769.7274635562</v>
      </c>
      <c r="AK218" s="36">
        <v>1593909.2609852576</v>
      </c>
      <c r="AL218" s="36">
        <v>1682048.7945069589</v>
      </c>
      <c r="AM218" s="36">
        <v>1770188.3280286607</v>
      </c>
      <c r="AN218" s="36">
        <v>1858327.8615503623</v>
      </c>
      <c r="AO218" s="36">
        <v>1946467.3950720637</v>
      </c>
      <c r="AP218" s="36">
        <v>2034606.9285937655</v>
      </c>
      <c r="AQ218" s="36">
        <v>2122746.4621154666</v>
      </c>
      <c r="AR218" s="36">
        <v>2210885.9956371682</v>
      </c>
      <c r="AS218" s="36">
        <v>2299025.5291588702</v>
      </c>
      <c r="AT218" s="36">
        <v>2387165.0626805713</v>
      </c>
      <c r="AU218" s="36">
        <v>2475304.5962022734</v>
      </c>
      <c r="AV218" s="36">
        <v>2563444.129723974</v>
      </c>
      <c r="AW218" s="36">
        <v>2651583.6632456756</v>
      </c>
      <c r="AX218" s="36">
        <v>2739723.1967673777</v>
      </c>
    </row>
    <row r="219" spans="2:50">
      <c r="D219" t="s">
        <v>661</v>
      </c>
      <c r="E219" t="s">
        <v>630</v>
      </c>
      <c r="G219" s="44"/>
      <c r="I219" s="44"/>
      <c r="K219" s="44"/>
      <c r="M219" s="44"/>
      <c r="O219" s="36">
        <v>379878.63923149114</v>
      </c>
      <c r="P219" s="36">
        <v>388347.56908581086</v>
      </c>
      <c r="Q219" s="36">
        <v>396816.49894013058</v>
      </c>
      <c r="R219" s="36">
        <v>405285.42879445036</v>
      </c>
      <c r="S219" s="36">
        <v>413754.35864877026</v>
      </c>
      <c r="T219" s="36">
        <v>422223.28850308998</v>
      </c>
      <c r="U219" s="36">
        <v>430692.2183574097</v>
      </c>
      <c r="V219" s="36">
        <v>439161.14821172954</v>
      </c>
      <c r="W219" s="36">
        <v>447630.07806604926</v>
      </c>
      <c r="X219" s="36">
        <v>456099.00792036904</v>
      </c>
      <c r="Y219" s="36">
        <v>464567.9377746887</v>
      </c>
      <c r="Z219" s="36">
        <v>542019.08098411513</v>
      </c>
      <c r="AA219" s="36">
        <v>619470.22419354145</v>
      </c>
      <c r="AB219" s="36">
        <v>696921.36740296776</v>
      </c>
      <c r="AC219" s="36">
        <v>774372.51061239431</v>
      </c>
      <c r="AD219" s="36">
        <v>851823.65382182074</v>
      </c>
      <c r="AE219" s="36">
        <v>929274.79703124706</v>
      </c>
      <c r="AF219" s="36">
        <v>1006725.9402406733</v>
      </c>
      <c r="AG219" s="36">
        <v>1084177.0834500999</v>
      </c>
      <c r="AH219" s="36">
        <v>1161628.2266595261</v>
      </c>
      <c r="AI219" s="36">
        <v>1239079.3698689528</v>
      </c>
      <c r="AJ219" s="36">
        <v>1316530.513078379</v>
      </c>
      <c r="AK219" s="36">
        <v>1393981.6562878052</v>
      </c>
      <c r="AL219" s="36">
        <v>1471432.7994972318</v>
      </c>
      <c r="AM219" s="36">
        <v>1548883.9427066587</v>
      </c>
      <c r="AN219" s="36">
        <v>1626335.0859160847</v>
      </c>
      <c r="AO219" s="36">
        <v>1703786.2291255111</v>
      </c>
      <c r="AP219" s="36">
        <v>1781237.3723349376</v>
      </c>
      <c r="AQ219" s="36">
        <v>1858688.515544364</v>
      </c>
      <c r="AR219" s="36">
        <v>1936139.6587537902</v>
      </c>
      <c r="AS219" s="36">
        <v>2013590.8019632159</v>
      </c>
      <c r="AT219" s="36">
        <v>2091041.9451726433</v>
      </c>
      <c r="AU219" s="36">
        <v>2168493.0883820695</v>
      </c>
      <c r="AV219" s="36">
        <v>2245944.2315914952</v>
      </c>
      <c r="AW219" s="36">
        <v>2323395.3748009223</v>
      </c>
      <c r="AX219" s="36">
        <v>2400846.5180103481</v>
      </c>
    </row>
    <row r="220" spans="2:50">
      <c r="D220" t="s">
        <v>660</v>
      </c>
      <c r="E220" t="s">
        <v>631</v>
      </c>
      <c r="G220" s="44"/>
      <c r="I220" s="44"/>
      <c r="K220" s="44"/>
      <c r="M220" s="44"/>
      <c r="O220" s="36">
        <v>154849.86057348043</v>
      </c>
      <c r="P220" s="36">
        <v>159395.10259741746</v>
      </c>
      <c r="Q220" s="36">
        <v>163940.34462135442</v>
      </c>
      <c r="R220" s="36">
        <v>168485.58664529148</v>
      </c>
      <c r="S220" s="36">
        <v>173030.82866922842</v>
      </c>
      <c r="T220" s="36">
        <v>177576.0706931655</v>
      </c>
      <c r="U220" s="36">
        <v>182121.31271710247</v>
      </c>
      <c r="V220" s="36">
        <v>186666.55474103952</v>
      </c>
      <c r="W220" s="36">
        <v>191211.79676497652</v>
      </c>
      <c r="X220" s="36">
        <v>195757.03878891357</v>
      </c>
      <c r="Y220" s="36">
        <v>200302.28081285054</v>
      </c>
      <c r="Z220" s="36">
        <v>232716.07313370088</v>
      </c>
      <c r="AA220" s="36">
        <v>265129.86545455112</v>
      </c>
      <c r="AB220" s="36">
        <v>297543.65777540137</v>
      </c>
      <c r="AC220" s="36">
        <v>329957.45009625156</v>
      </c>
      <c r="AD220" s="36">
        <v>362371.24241710186</v>
      </c>
      <c r="AE220" s="36">
        <v>394785.03473795211</v>
      </c>
      <c r="AF220" s="36">
        <v>427198.82705880236</v>
      </c>
      <c r="AG220" s="36">
        <v>459612.61937965272</v>
      </c>
      <c r="AH220" s="36">
        <v>492026.41170050291</v>
      </c>
      <c r="AI220" s="36">
        <v>524440.20402135316</v>
      </c>
      <c r="AJ220" s="36">
        <v>556853.99634220335</v>
      </c>
      <c r="AK220" s="36">
        <v>589267.78866305377</v>
      </c>
      <c r="AL220" s="36">
        <v>621681.58098390384</v>
      </c>
      <c r="AM220" s="36">
        <v>654095.37330475415</v>
      </c>
      <c r="AN220" s="36">
        <v>686509.16562560434</v>
      </c>
      <c r="AO220" s="36">
        <v>718922.95794645476</v>
      </c>
      <c r="AP220" s="36">
        <v>751336.75026730506</v>
      </c>
      <c r="AQ220" s="36">
        <v>783750.54258815525</v>
      </c>
      <c r="AR220" s="36">
        <v>816164.33490900556</v>
      </c>
      <c r="AS220" s="36">
        <v>848578.12722985563</v>
      </c>
      <c r="AT220" s="36">
        <v>880991.91955070593</v>
      </c>
      <c r="AU220" s="36">
        <v>913405.71187155624</v>
      </c>
      <c r="AV220" s="36">
        <v>945819.50419240643</v>
      </c>
      <c r="AW220" s="36">
        <v>978233.29651325673</v>
      </c>
      <c r="AX220" s="36">
        <v>1010647.0888341072</v>
      </c>
    </row>
    <row r="221" spans="2:50">
      <c r="D221" t="s">
        <v>660</v>
      </c>
      <c r="E221" t="s">
        <v>632</v>
      </c>
      <c r="G221" s="44"/>
      <c r="I221" s="44"/>
      <c r="K221" s="44"/>
      <c r="M221" s="44"/>
      <c r="O221" s="36">
        <v>100076.2366767136</v>
      </c>
      <c r="P221" s="36">
        <v>101850.1825566</v>
      </c>
      <c r="Q221" s="36">
        <v>103624.12843648641</v>
      </c>
      <c r="R221" s="36">
        <v>105398.07431637282</v>
      </c>
      <c r="S221" s="36">
        <v>107172.02019625923</v>
      </c>
      <c r="T221" s="36">
        <v>108945.96607614563</v>
      </c>
      <c r="U221" s="36">
        <v>110719.91195603204</v>
      </c>
      <c r="V221" s="36">
        <v>112493.85783591845</v>
      </c>
      <c r="W221" s="36">
        <v>114267.80371580485</v>
      </c>
      <c r="X221" s="36">
        <v>116041.74959569126</v>
      </c>
      <c r="Y221" s="36">
        <v>117815.69547557762</v>
      </c>
      <c r="Z221" s="36">
        <v>135811.78648092743</v>
      </c>
      <c r="AA221" s="36">
        <v>153807.87748627723</v>
      </c>
      <c r="AB221" s="36">
        <v>171803.96849162702</v>
      </c>
      <c r="AC221" s="36">
        <v>189800.05949697681</v>
      </c>
      <c r="AD221" s="36">
        <v>207796.15050232661</v>
      </c>
      <c r="AE221" s="36">
        <v>225792.2415076764</v>
      </c>
      <c r="AF221" s="36">
        <v>243788.33251302619</v>
      </c>
      <c r="AG221" s="36">
        <v>261784.42351837599</v>
      </c>
      <c r="AH221" s="36">
        <v>279780.51452372578</v>
      </c>
      <c r="AI221" s="36">
        <v>297776.6055290756</v>
      </c>
      <c r="AJ221" s="36">
        <v>315772.69653442537</v>
      </c>
      <c r="AK221" s="36">
        <v>333768.78753977513</v>
      </c>
      <c r="AL221" s="36">
        <v>351764.8785451249</v>
      </c>
      <c r="AM221" s="36">
        <v>369760.96955047466</v>
      </c>
      <c r="AN221" s="36">
        <v>387757.06055582443</v>
      </c>
      <c r="AO221" s="36">
        <v>405753.15156117419</v>
      </c>
      <c r="AP221" s="36">
        <v>423749.24256652396</v>
      </c>
      <c r="AQ221" s="36">
        <v>441745.33357187372</v>
      </c>
      <c r="AR221" s="36">
        <v>459741.42457722349</v>
      </c>
      <c r="AS221" s="36">
        <v>477737.51558257325</v>
      </c>
      <c r="AT221" s="36">
        <v>495733.60658792302</v>
      </c>
      <c r="AU221" s="36">
        <v>513729.69759327278</v>
      </c>
      <c r="AV221" s="36">
        <v>531725.78859862254</v>
      </c>
      <c r="AW221" s="36">
        <v>549721.87960397231</v>
      </c>
      <c r="AX221" s="36">
        <v>567717.97060932242</v>
      </c>
    </row>
    <row r="222" spans="2:50">
      <c r="D222" t="s">
        <v>661</v>
      </c>
      <c r="E222" t="s">
        <v>634</v>
      </c>
      <c r="G222" s="44"/>
      <c r="I222" s="44"/>
      <c r="K222" s="44"/>
      <c r="M222" s="44"/>
      <c r="O222" s="36">
        <v>394055.25155687827</v>
      </c>
      <c r="P222" s="36">
        <v>403524.12076392875</v>
      </c>
      <c r="Q222" s="36">
        <v>412992.98997097911</v>
      </c>
      <c r="R222" s="36">
        <v>422461.85917802958</v>
      </c>
      <c r="S222" s="36">
        <v>431930.72838507994</v>
      </c>
      <c r="T222" s="36">
        <v>441399.59759213025</v>
      </c>
      <c r="U222" s="36">
        <v>450868.46679918061</v>
      </c>
      <c r="V222" s="36">
        <v>460337.3360062312</v>
      </c>
      <c r="W222" s="36">
        <v>469806.20521328121</v>
      </c>
      <c r="X222" s="36">
        <v>479275.07442033169</v>
      </c>
      <c r="Y222" s="36">
        <v>488743.94362738216</v>
      </c>
      <c r="Z222" s="36">
        <v>569315.44604682946</v>
      </c>
      <c r="AA222" s="36">
        <v>649886.94846627652</v>
      </c>
      <c r="AB222" s="36">
        <v>730458.45088572334</v>
      </c>
      <c r="AC222" s="36">
        <v>811029.95330517052</v>
      </c>
      <c r="AD222" s="36">
        <v>891601.4557246177</v>
      </c>
      <c r="AE222" s="36">
        <v>972172.95814406499</v>
      </c>
      <c r="AF222" s="36">
        <v>1052744.4605635116</v>
      </c>
      <c r="AG222" s="36">
        <v>1133315.9629829593</v>
      </c>
      <c r="AH222" s="36">
        <v>1213887.4654024059</v>
      </c>
      <c r="AI222" s="36">
        <v>1294458.967821853</v>
      </c>
      <c r="AJ222" s="36">
        <v>1375030.4702413005</v>
      </c>
      <c r="AK222" s="36">
        <v>1455601.9726607478</v>
      </c>
      <c r="AL222" s="36">
        <v>1536173.475080194</v>
      </c>
      <c r="AM222" s="36">
        <v>1616744.9774996415</v>
      </c>
      <c r="AN222" s="36">
        <v>1697316.4799190895</v>
      </c>
      <c r="AO222" s="36">
        <v>1777887.9823385361</v>
      </c>
      <c r="AP222" s="36">
        <v>1858459.4847579829</v>
      </c>
      <c r="AQ222" s="36">
        <v>1939030.9871774302</v>
      </c>
      <c r="AR222" s="36">
        <v>2019602.4895968777</v>
      </c>
      <c r="AS222" s="36">
        <v>2100173.9920163243</v>
      </c>
      <c r="AT222" s="36">
        <v>2180745.4944357714</v>
      </c>
      <c r="AU222" s="36">
        <v>2261316.9968552194</v>
      </c>
      <c r="AV222" s="36">
        <v>2341888.4992746664</v>
      </c>
      <c r="AW222" s="36">
        <v>2422460.001694113</v>
      </c>
      <c r="AX222" s="36">
        <v>2503031.5041135601</v>
      </c>
    </row>
    <row r="223" spans="2:50">
      <c r="D223" t="s">
        <v>661</v>
      </c>
      <c r="E223" t="s">
        <v>635</v>
      </c>
      <c r="G223" s="44"/>
      <c r="I223" s="44"/>
      <c r="K223" s="44"/>
      <c r="M223" s="44"/>
      <c r="O223" s="36">
        <v>545616.52196755039</v>
      </c>
      <c r="P223" s="36">
        <v>557855.62805889978</v>
      </c>
      <c r="Q223" s="36">
        <v>570094.7341502487</v>
      </c>
      <c r="R223" s="36">
        <v>582333.84024159797</v>
      </c>
      <c r="S223" s="36">
        <v>594572.94633294723</v>
      </c>
      <c r="T223" s="36">
        <v>606812.05242429627</v>
      </c>
      <c r="U223" s="36">
        <v>619051.15851564566</v>
      </c>
      <c r="V223" s="36">
        <v>631290.26460699458</v>
      </c>
      <c r="W223" s="36">
        <v>643529.37069834385</v>
      </c>
      <c r="X223" s="36">
        <v>655768.476789693</v>
      </c>
      <c r="Y223" s="36">
        <v>668007.58288104227</v>
      </c>
      <c r="Z223" s="36">
        <v>777527.02956982865</v>
      </c>
      <c r="AA223" s="36">
        <v>887046.47625861492</v>
      </c>
      <c r="AB223" s="36">
        <v>996565.92294740118</v>
      </c>
      <c r="AC223" s="36">
        <v>1106085.3696361871</v>
      </c>
      <c r="AD223" s="36">
        <v>1215604.8163249737</v>
      </c>
      <c r="AE223" s="36">
        <v>1325124.2630137599</v>
      </c>
      <c r="AF223" s="36">
        <v>1434643.7097025465</v>
      </c>
      <c r="AG223" s="36">
        <v>1544163.1563913324</v>
      </c>
      <c r="AH223" s="36">
        <v>1653682.6030801185</v>
      </c>
      <c r="AI223" s="36">
        <v>1763202.0497689054</v>
      </c>
      <c r="AJ223" s="36">
        <v>1872721.4964576915</v>
      </c>
      <c r="AK223" s="36">
        <v>1982240.9431464779</v>
      </c>
      <c r="AL223" s="36">
        <v>2091760.3898352641</v>
      </c>
      <c r="AM223" s="36">
        <v>2201279.8365240507</v>
      </c>
      <c r="AN223" s="36">
        <v>2310799.2832128364</v>
      </c>
      <c r="AO223" s="36">
        <v>2420318.7299016239</v>
      </c>
      <c r="AP223" s="36">
        <v>2529838.1765904105</v>
      </c>
      <c r="AQ223" s="36">
        <v>2639357.6232791957</v>
      </c>
      <c r="AR223" s="36">
        <v>2748877.0699679824</v>
      </c>
      <c r="AS223" s="36">
        <v>2858396.5166567694</v>
      </c>
      <c r="AT223" s="36">
        <v>2967915.9633455565</v>
      </c>
      <c r="AU223" s="36">
        <v>3077435.4100343417</v>
      </c>
      <c r="AV223" s="36">
        <v>3186954.8567231279</v>
      </c>
      <c r="AW223" s="36">
        <v>3296474.3034119136</v>
      </c>
      <c r="AX223" s="36">
        <v>3405993.7501007002</v>
      </c>
    </row>
    <row r="224" spans="2:50">
      <c r="D224" t="s">
        <v>661</v>
      </c>
      <c r="E224" t="s">
        <v>636</v>
      </c>
      <c r="G224" s="44"/>
      <c r="I224" s="44"/>
      <c r="K224" s="44"/>
      <c r="M224" s="44"/>
      <c r="O224" s="36">
        <v>477985.43706909922</v>
      </c>
      <c r="P224" s="36">
        <v>488795.73191200063</v>
      </c>
      <c r="Q224" s="36">
        <v>499606.02675490198</v>
      </c>
      <c r="R224" s="36">
        <v>510416.32159780356</v>
      </c>
      <c r="S224" s="36">
        <v>521226.61644070491</v>
      </c>
      <c r="T224" s="36">
        <v>532036.91128360655</v>
      </c>
      <c r="U224" s="36">
        <v>542847.20612650795</v>
      </c>
      <c r="V224" s="36">
        <v>553657.50096940936</v>
      </c>
      <c r="W224" s="36">
        <v>564467.79581231088</v>
      </c>
      <c r="X224" s="36">
        <v>575278.09065521229</v>
      </c>
      <c r="Y224" s="36">
        <v>586088.38549811358</v>
      </c>
      <c r="Z224" s="36">
        <v>683905.94051721203</v>
      </c>
      <c r="AA224" s="36">
        <v>781723.4955363106</v>
      </c>
      <c r="AB224" s="36">
        <v>879541.05055540882</v>
      </c>
      <c r="AC224" s="36">
        <v>977358.60557450738</v>
      </c>
      <c r="AD224" s="36">
        <v>1075176.1605936058</v>
      </c>
      <c r="AE224" s="36">
        <v>1172993.7156127035</v>
      </c>
      <c r="AF224" s="36">
        <v>1270811.270631802</v>
      </c>
      <c r="AG224" s="36">
        <v>1368628.8256509008</v>
      </c>
      <c r="AH224" s="36">
        <v>1466446.3806699987</v>
      </c>
      <c r="AI224" s="36">
        <v>1564263.9356890973</v>
      </c>
      <c r="AJ224" s="36">
        <v>1662081.4907081956</v>
      </c>
      <c r="AK224" s="36">
        <v>1759899.0457272939</v>
      </c>
      <c r="AL224" s="36">
        <v>1857716.6007463918</v>
      </c>
      <c r="AM224" s="36">
        <v>1955534.1557654906</v>
      </c>
      <c r="AN224" s="36">
        <v>2053351.7107845889</v>
      </c>
      <c r="AO224" s="36">
        <v>2151169.2658036868</v>
      </c>
      <c r="AP224" s="36">
        <v>2248986.8208227851</v>
      </c>
      <c r="AQ224" s="36">
        <v>2346804.3758418844</v>
      </c>
      <c r="AR224" s="36">
        <v>2444621.9308609823</v>
      </c>
      <c r="AS224" s="36">
        <v>2542439.4858800806</v>
      </c>
      <c r="AT224" s="36">
        <v>2640257.0408991789</v>
      </c>
      <c r="AU224" s="36">
        <v>2738074.5959182777</v>
      </c>
      <c r="AV224" s="36">
        <v>2835892.1509373756</v>
      </c>
      <c r="AW224" s="36">
        <v>2933709.7059564735</v>
      </c>
      <c r="AX224" s="36">
        <v>3031527.2609755727</v>
      </c>
    </row>
    <row r="225" spans="4:50">
      <c r="D225" t="s">
        <v>660</v>
      </c>
      <c r="E225" t="s">
        <v>637</v>
      </c>
      <c r="G225" s="44"/>
      <c r="I225" s="44"/>
      <c r="K225" s="44"/>
      <c r="M225" s="44"/>
      <c r="O225" s="36">
        <v>303784.03620795917</v>
      </c>
      <c r="P225" s="36">
        <v>313411.94369254221</v>
      </c>
      <c r="Q225" s="36">
        <v>323039.85117712512</v>
      </c>
      <c r="R225" s="36">
        <v>332667.75866170827</v>
      </c>
      <c r="S225" s="36">
        <v>342295.66614629125</v>
      </c>
      <c r="T225" s="36">
        <v>351923.57363087422</v>
      </c>
      <c r="U225" s="36">
        <v>361551.48111545725</v>
      </c>
      <c r="V225" s="36">
        <v>371179.3886000404</v>
      </c>
      <c r="W225" s="36">
        <v>380807.29608462309</v>
      </c>
      <c r="X225" s="36">
        <v>390435.20356920629</v>
      </c>
      <c r="Y225" s="36">
        <v>400063.11105378921</v>
      </c>
      <c r="Z225" s="36">
        <v>462409.57299126964</v>
      </c>
      <c r="AA225" s="36">
        <v>524756.03492875001</v>
      </c>
      <c r="AB225" s="36">
        <v>587102.49686623015</v>
      </c>
      <c r="AC225" s="36">
        <v>649448.95880371064</v>
      </c>
      <c r="AD225" s="36">
        <v>711795.42074119102</v>
      </c>
      <c r="AE225" s="36">
        <v>774141.88267867104</v>
      </c>
      <c r="AF225" s="36">
        <v>836488.3446161513</v>
      </c>
      <c r="AG225" s="36">
        <v>898834.80655363179</v>
      </c>
      <c r="AH225" s="36">
        <v>961181.26849111193</v>
      </c>
      <c r="AI225" s="36">
        <v>1023527.7304285925</v>
      </c>
      <c r="AJ225" s="36">
        <v>1085874.1923660729</v>
      </c>
      <c r="AK225" s="36">
        <v>1148220.6543035535</v>
      </c>
      <c r="AL225" s="36">
        <v>1210567.1162410334</v>
      </c>
      <c r="AM225" s="36">
        <v>1272913.5781785133</v>
      </c>
      <c r="AN225" s="36">
        <v>1335260.0401159942</v>
      </c>
      <c r="AO225" s="36">
        <v>1397606.5020534743</v>
      </c>
      <c r="AP225" s="36">
        <v>1459952.9639909547</v>
      </c>
      <c r="AQ225" s="36">
        <v>1522299.4259284348</v>
      </c>
      <c r="AR225" s="36">
        <v>1584645.8878659154</v>
      </c>
      <c r="AS225" s="36">
        <v>1646992.3498033963</v>
      </c>
      <c r="AT225" s="36">
        <v>1709338.8117408757</v>
      </c>
      <c r="AU225" s="36">
        <v>1771685.2736783568</v>
      </c>
      <c r="AV225" s="36">
        <v>1834031.7356158362</v>
      </c>
      <c r="AW225" s="36">
        <v>1896378.1975533173</v>
      </c>
      <c r="AX225" s="36">
        <v>1958724.659490797</v>
      </c>
    </row>
    <row r="226" spans="4:50">
      <c r="D226" t="s">
        <v>660</v>
      </c>
      <c r="E226" t="s">
        <v>638</v>
      </c>
      <c r="G226" s="44"/>
      <c r="I226" s="44"/>
      <c r="K226" s="44"/>
      <c r="M226" s="44"/>
      <c r="O226" s="36">
        <v>113828.74240882909</v>
      </c>
      <c r="P226" s="36">
        <v>117726.64655465483</v>
      </c>
      <c r="Q226" s="36">
        <v>121624.55070048058</v>
      </c>
      <c r="R226" s="36">
        <v>125522.45484630628</v>
      </c>
      <c r="S226" s="36">
        <v>129420.35899213201</v>
      </c>
      <c r="T226" s="36">
        <v>133318.26313795772</v>
      </c>
      <c r="U226" s="36">
        <v>137216.16728378349</v>
      </c>
      <c r="V226" s="36">
        <v>141114.0714296092</v>
      </c>
      <c r="W226" s="36">
        <v>145011.97557543495</v>
      </c>
      <c r="X226" s="36">
        <v>148909.87972126066</v>
      </c>
      <c r="Y226" s="36">
        <v>152807.78386708637</v>
      </c>
      <c r="Z226" s="36">
        <v>177221.10737167526</v>
      </c>
      <c r="AA226" s="36">
        <v>201634.43087626414</v>
      </c>
      <c r="AB226" s="36">
        <v>226047.75438085306</v>
      </c>
      <c r="AC226" s="36">
        <v>250461.07788544192</v>
      </c>
      <c r="AD226" s="36">
        <v>274874.40139003081</v>
      </c>
      <c r="AE226" s="36">
        <v>299287.72489461966</v>
      </c>
      <c r="AF226" s="36">
        <v>323701.04839920858</v>
      </c>
      <c r="AG226" s="36">
        <v>348114.37190379738</v>
      </c>
      <c r="AH226" s="36">
        <v>372527.69540838624</v>
      </c>
      <c r="AI226" s="36">
        <v>396941.01891297521</v>
      </c>
      <c r="AJ226" s="36">
        <v>421354.34241756407</v>
      </c>
      <c r="AK226" s="36">
        <v>445767.66592215287</v>
      </c>
      <c r="AL226" s="36">
        <v>470180.98942674184</v>
      </c>
      <c r="AM226" s="36">
        <v>494594.31293133076</v>
      </c>
      <c r="AN226" s="36">
        <v>519007.63643591973</v>
      </c>
      <c r="AO226" s="36">
        <v>543420.95994050847</v>
      </c>
      <c r="AP226" s="36">
        <v>567834.28344509739</v>
      </c>
      <c r="AQ226" s="36">
        <v>592247.60694968631</v>
      </c>
      <c r="AR226" s="36">
        <v>616660.93045427522</v>
      </c>
      <c r="AS226" s="36">
        <v>641074.25395886402</v>
      </c>
      <c r="AT226" s="36">
        <v>665487.57746345305</v>
      </c>
      <c r="AU226" s="36">
        <v>689900.90096804174</v>
      </c>
      <c r="AV226" s="36">
        <v>714314.22447263077</v>
      </c>
      <c r="AW226" s="36">
        <v>738727.54797721957</v>
      </c>
      <c r="AX226" s="36">
        <v>763140.87148180825</v>
      </c>
    </row>
    <row r="227" spans="4:50">
      <c r="D227" t="s">
        <v>660</v>
      </c>
      <c r="E227" t="s">
        <v>639</v>
      </c>
      <c r="G227" s="44"/>
      <c r="I227" s="44"/>
      <c r="K227" s="44"/>
      <c r="M227" s="44"/>
      <c r="O227" s="36">
        <v>126971.76490825049</v>
      </c>
      <c r="P227" s="36">
        <v>130861.83462409553</v>
      </c>
      <c r="Q227" s="36">
        <v>134751.90433994055</v>
      </c>
      <c r="R227" s="36">
        <v>138641.97405578554</v>
      </c>
      <c r="S227" s="36">
        <v>142532.04377163062</v>
      </c>
      <c r="T227" s="36">
        <v>146422.11348747564</v>
      </c>
      <c r="U227" s="36">
        <v>150312.18320332066</v>
      </c>
      <c r="V227" s="36">
        <v>154202.25291916571</v>
      </c>
      <c r="W227" s="36">
        <v>158092.3226350107</v>
      </c>
      <c r="X227" s="36">
        <v>161982.39235085575</v>
      </c>
      <c r="Y227" s="36">
        <v>165872.46206670068</v>
      </c>
      <c r="Z227" s="36">
        <v>192611.69465725773</v>
      </c>
      <c r="AA227" s="36">
        <v>219350.92724781481</v>
      </c>
      <c r="AB227" s="36">
        <v>246090.15983837194</v>
      </c>
      <c r="AC227" s="36">
        <v>272829.39242892893</v>
      </c>
      <c r="AD227" s="36">
        <v>299568.62501948606</v>
      </c>
      <c r="AE227" s="36">
        <v>326307.8576100432</v>
      </c>
      <c r="AF227" s="36">
        <v>353047.09020060021</v>
      </c>
      <c r="AG227" s="36">
        <v>379786.32279115723</v>
      </c>
      <c r="AH227" s="36">
        <v>406525.55538171442</v>
      </c>
      <c r="AI227" s="36">
        <v>433264.78797227138</v>
      </c>
      <c r="AJ227" s="36">
        <v>460004.0205628284</v>
      </c>
      <c r="AK227" s="36">
        <v>486743.25315338548</v>
      </c>
      <c r="AL227" s="36">
        <v>513482.4857439425</v>
      </c>
      <c r="AM227" s="36">
        <v>540221.71833449963</v>
      </c>
      <c r="AN227" s="36">
        <v>566960.95092505659</v>
      </c>
      <c r="AO227" s="36">
        <v>593700.18351561367</v>
      </c>
      <c r="AP227" s="36">
        <v>620439.41610617074</v>
      </c>
      <c r="AQ227" s="36">
        <v>647178.64869672759</v>
      </c>
      <c r="AR227" s="36">
        <v>673917.88128728478</v>
      </c>
      <c r="AS227" s="36">
        <v>700657.11387784185</v>
      </c>
      <c r="AT227" s="36">
        <v>727396.3464683987</v>
      </c>
      <c r="AU227" s="36">
        <v>754135.57905895577</v>
      </c>
      <c r="AV227" s="36">
        <v>780874.81164951297</v>
      </c>
      <c r="AW227" s="36">
        <v>807614.04424007004</v>
      </c>
      <c r="AX227" s="36">
        <v>834353.27683062712</v>
      </c>
    </row>
    <row r="228" spans="4:50">
      <c r="D228" t="s">
        <v>661</v>
      </c>
      <c r="E228" t="s">
        <v>640</v>
      </c>
      <c r="G228" s="44"/>
      <c r="I228" s="44"/>
      <c r="K228" s="44"/>
      <c r="M228" s="44"/>
      <c r="O228" s="36">
        <v>197029.53943715789</v>
      </c>
      <c r="P228" s="36">
        <v>201355.34680787509</v>
      </c>
      <c r="Q228" s="36">
        <v>205681.15417859229</v>
      </c>
      <c r="R228" s="36">
        <v>210006.9615493094</v>
      </c>
      <c r="S228" s="36">
        <v>214332.76892002657</v>
      </c>
      <c r="T228" s="36">
        <v>218658.57629074386</v>
      </c>
      <c r="U228" s="36">
        <v>222984.383661461</v>
      </c>
      <c r="V228" s="36">
        <v>227310.19103217823</v>
      </c>
      <c r="W228" s="36">
        <v>231635.99840289535</v>
      </c>
      <c r="X228" s="36">
        <v>235961.80577361258</v>
      </c>
      <c r="Y228" s="36">
        <v>240287.61314432978</v>
      </c>
      <c r="Z228" s="36">
        <v>279589.56637922226</v>
      </c>
      <c r="AA228" s="36">
        <v>318891.5196141146</v>
      </c>
      <c r="AB228" s="36">
        <v>358193.47284900711</v>
      </c>
      <c r="AC228" s="36">
        <v>397495.42608389951</v>
      </c>
      <c r="AD228" s="36">
        <v>436797.37931879197</v>
      </c>
      <c r="AE228" s="36">
        <v>476099.33255368442</v>
      </c>
      <c r="AF228" s="36">
        <v>515401.28578857682</v>
      </c>
      <c r="AG228" s="36">
        <v>554703.23902346927</v>
      </c>
      <c r="AH228" s="36">
        <v>594005.19225836173</v>
      </c>
      <c r="AI228" s="36">
        <v>633307.1454932543</v>
      </c>
      <c r="AJ228" s="36">
        <v>672609.09872814664</v>
      </c>
      <c r="AK228" s="36">
        <v>711911.05196303909</v>
      </c>
      <c r="AL228" s="36">
        <v>751213.00519793155</v>
      </c>
      <c r="AM228" s="36">
        <v>790514.95843282389</v>
      </c>
      <c r="AN228" s="36">
        <v>829816.91166771646</v>
      </c>
      <c r="AO228" s="36">
        <v>869118.86490260891</v>
      </c>
      <c r="AP228" s="36">
        <v>908420.81813750137</v>
      </c>
      <c r="AQ228" s="36">
        <v>947722.7713723937</v>
      </c>
      <c r="AR228" s="36">
        <v>987024.72460728639</v>
      </c>
      <c r="AS228" s="36">
        <v>1026326.6778421785</v>
      </c>
      <c r="AT228" s="36">
        <v>1065628.631077071</v>
      </c>
      <c r="AU228" s="36">
        <v>1104930.5843119631</v>
      </c>
      <c r="AV228" s="36">
        <v>1144232.5375468556</v>
      </c>
      <c r="AW228" s="36">
        <v>1183534.4907817487</v>
      </c>
      <c r="AX228" s="36">
        <v>1222836.4440166408</v>
      </c>
    </row>
    <row r="229" spans="4:50">
      <c r="D229" t="s">
        <v>661</v>
      </c>
      <c r="E229" t="s">
        <v>641</v>
      </c>
      <c r="G229" s="44"/>
      <c r="I229" s="44"/>
      <c r="K229" s="44"/>
      <c r="M229" s="44"/>
      <c r="O229" s="36">
        <v>246646.28905081068</v>
      </c>
      <c r="P229" s="36">
        <v>252086.98311178072</v>
      </c>
      <c r="Q229" s="36">
        <v>257527.67717275096</v>
      </c>
      <c r="R229" s="36">
        <v>262968.37123372097</v>
      </c>
      <c r="S229" s="36">
        <v>268409.06529469119</v>
      </c>
      <c r="T229" s="36">
        <v>273849.75935566134</v>
      </c>
      <c r="U229" s="36">
        <v>279290.4534166315</v>
      </c>
      <c r="V229" s="36">
        <v>284731.14747760154</v>
      </c>
      <c r="W229" s="36">
        <v>290171.84153857158</v>
      </c>
      <c r="X229" s="36">
        <v>295612.53559954179</v>
      </c>
      <c r="Y229" s="36">
        <v>301053.22966051189</v>
      </c>
      <c r="Z229" s="36">
        <v>350901.35980044305</v>
      </c>
      <c r="AA229" s="36">
        <v>400749.48994037416</v>
      </c>
      <c r="AB229" s="36">
        <v>450597.62008030515</v>
      </c>
      <c r="AC229" s="36">
        <v>500445.75022023614</v>
      </c>
      <c r="AD229" s="36">
        <v>550293.88036016736</v>
      </c>
      <c r="AE229" s="36">
        <v>600142.01050009846</v>
      </c>
      <c r="AF229" s="36">
        <v>649990.14064002933</v>
      </c>
      <c r="AG229" s="36">
        <v>699838.27077996032</v>
      </c>
      <c r="AH229" s="36">
        <v>749686.40091989178</v>
      </c>
      <c r="AI229" s="36">
        <v>799534.53105982288</v>
      </c>
      <c r="AJ229" s="36">
        <v>849382.6611997541</v>
      </c>
      <c r="AK229" s="36">
        <v>899230.79133968474</v>
      </c>
      <c r="AL229" s="36">
        <v>949078.92147961596</v>
      </c>
      <c r="AM229" s="36">
        <v>998927.05161954684</v>
      </c>
      <c r="AN229" s="36">
        <v>1048775.1817594781</v>
      </c>
      <c r="AO229" s="36">
        <v>1098623.3118994092</v>
      </c>
      <c r="AP229" s="36">
        <v>1148471.4420393403</v>
      </c>
      <c r="AQ229" s="36">
        <v>1198319.5721792711</v>
      </c>
      <c r="AR229" s="36">
        <v>1248167.7023192027</v>
      </c>
      <c r="AS229" s="36">
        <v>1298015.8324591334</v>
      </c>
      <c r="AT229" s="36">
        <v>1347863.9625990642</v>
      </c>
      <c r="AU229" s="36">
        <v>1397712.0927389956</v>
      </c>
      <c r="AV229" s="36">
        <v>1447560.2228789269</v>
      </c>
      <c r="AW229" s="36">
        <v>1497408.3530188573</v>
      </c>
      <c r="AX229" s="36">
        <v>1547256.4831587889</v>
      </c>
    </row>
    <row r="230" spans="4:50">
      <c r="D230" t="s">
        <v>661</v>
      </c>
      <c r="E230" t="s">
        <v>642</v>
      </c>
      <c r="G230" s="44"/>
      <c r="I230" s="44"/>
      <c r="K230" s="44"/>
      <c r="M230" s="44"/>
      <c r="O230" s="36">
        <v>382400.81920789724</v>
      </c>
      <c r="P230" s="36">
        <v>390828.05532225611</v>
      </c>
      <c r="Q230" s="36">
        <v>399255.29143661517</v>
      </c>
      <c r="R230" s="36">
        <v>407682.5275509741</v>
      </c>
      <c r="S230" s="36">
        <v>416109.76366533316</v>
      </c>
      <c r="T230" s="36">
        <v>424536.99977969215</v>
      </c>
      <c r="U230" s="36">
        <v>432964.23589405126</v>
      </c>
      <c r="V230" s="36">
        <v>441391.47200841026</v>
      </c>
      <c r="W230" s="36">
        <v>449818.70812276931</v>
      </c>
      <c r="X230" s="36">
        <v>458245.94423712813</v>
      </c>
      <c r="Y230" s="36">
        <v>466673.18035148719</v>
      </c>
      <c r="Z230" s="36">
        <v>543179.01730289077</v>
      </c>
      <c r="AA230" s="36">
        <v>619684.8542542943</v>
      </c>
      <c r="AB230" s="36">
        <v>696190.69120569783</v>
      </c>
      <c r="AC230" s="36">
        <v>772696.52815710148</v>
      </c>
      <c r="AD230" s="36">
        <v>849202.36510850512</v>
      </c>
      <c r="AE230" s="36">
        <v>925708.20205990865</v>
      </c>
      <c r="AF230" s="36">
        <v>1002214.0390113123</v>
      </c>
      <c r="AG230" s="36">
        <v>1078719.8759627161</v>
      </c>
      <c r="AH230" s="36">
        <v>1155225.7129141195</v>
      </c>
      <c r="AI230" s="36">
        <v>1231731.5498655231</v>
      </c>
      <c r="AJ230" s="36">
        <v>1308237.3868169265</v>
      </c>
      <c r="AK230" s="36">
        <v>1384743.2237683302</v>
      </c>
      <c r="AL230" s="36">
        <v>1461249.0607197336</v>
      </c>
      <c r="AM230" s="36">
        <v>1537754.8976711375</v>
      </c>
      <c r="AN230" s="36">
        <v>1614260.7346225407</v>
      </c>
      <c r="AO230" s="36">
        <v>1690766.5715739443</v>
      </c>
      <c r="AP230" s="36">
        <v>1767272.4085253479</v>
      </c>
      <c r="AQ230" s="36">
        <v>1843778.2454767521</v>
      </c>
      <c r="AR230" s="36">
        <v>1920284.0824281555</v>
      </c>
      <c r="AS230" s="36">
        <v>1996789.9193795586</v>
      </c>
      <c r="AT230" s="36">
        <v>2073295.7563309623</v>
      </c>
      <c r="AU230" s="36">
        <v>2149801.5932823666</v>
      </c>
      <c r="AV230" s="36">
        <v>2226307.4302337696</v>
      </c>
      <c r="AW230" s="36">
        <v>2302813.2671851735</v>
      </c>
      <c r="AX230" s="36">
        <v>2379319.1041365764</v>
      </c>
    </row>
    <row r="231" spans="4:50">
      <c r="D231" t="s">
        <v>661</v>
      </c>
      <c r="E231" t="s">
        <v>643</v>
      </c>
      <c r="G231" s="44"/>
      <c r="I231" s="44"/>
      <c r="K231" s="44"/>
      <c r="M231" s="44"/>
      <c r="O231" s="36">
        <v>692978.75686731958</v>
      </c>
      <c r="P231" s="36">
        <v>708245.80911969685</v>
      </c>
      <c r="Q231" s="36">
        <v>723512.86137207411</v>
      </c>
      <c r="R231" s="36">
        <v>738779.9136244515</v>
      </c>
      <c r="S231" s="36">
        <v>754046.96587682841</v>
      </c>
      <c r="T231" s="36">
        <v>769314.0181292058</v>
      </c>
      <c r="U231" s="36">
        <v>784581.07038158318</v>
      </c>
      <c r="V231" s="36">
        <v>799848.12263396033</v>
      </c>
      <c r="W231" s="36">
        <v>815115.1748863376</v>
      </c>
      <c r="X231" s="36">
        <v>830382.22713871498</v>
      </c>
      <c r="Y231" s="36">
        <v>845649.27939109202</v>
      </c>
      <c r="Z231" s="36">
        <v>986176.55430493644</v>
      </c>
      <c r="AA231" s="36">
        <v>1126703.8292187811</v>
      </c>
      <c r="AB231" s="36">
        <v>1267231.1041326255</v>
      </c>
      <c r="AC231" s="36">
        <v>1407758.3790464697</v>
      </c>
      <c r="AD231" s="36">
        <v>1548285.6539603143</v>
      </c>
      <c r="AE231" s="36">
        <v>1688812.928874159</v>
      </c>
      <c r="AF231" s="36">
        <v>1829340.2037880037</v>
      </c>
      <c r="AG231" s="36">
        <v>1969867.4787018478</v>
      </c>
      <c r="AH231" s="36">
        <v>2110394.7536156923</v>
      </c>
      <c r="AI231" s="36">
        <v>2250922.0285295369</v>
      </c>
      <c r="AJ231" s="36">
        <v>2391449.3034433811</v>
      </c>
      <c r="AK231" s="36">
        <v>2531976.5783572262</v>
      </c>
      <c r="AL231" s="36">
        <v>2672503.8532710704</v>
      </c>
      <c r="AM231" s="36">
        <v>2813031.1281849151</v>
      </c>
      <c r="AN231" s="36">
        <v>2953558.4030987588</v>
      </c>
      <c r="AO231" s="36">
        <v>3094085.678012603</v>
      </c>
      <c r="AP231" s="36">
        <v>3234612.9529264476</v>
      </c>
      <c r="AQ231" s="36">
        <v>3375140.2278402927</v>
      </c>
      <c r="AR231" s="36">
        <v>3515667.502754136</v>
      </c>
      <c r="AS231" s="36">
        <v>3656194.7776679806</v>
      </c>
      <c r="AT231" s="36">
        <v>3796722.0525818248</v>
      </c>
      <c r="AU231" s="36">
        <v>3937249.3274956695</v>
      </c>
      <c r="AV231" s="36">
        <v>4077776.6024095141</v>
      </c>
      <c r="AW231" s="36">
        <v>4218303.8773233583</v>
      </c>
      <c r="AX231" s="36">
        <v>4358831.1522372039</v>
      </c>
    </row>
    <row r="232" spans="4:50">
      <c r="D232" t="s">
        <v>661</v>
      </c>
      <c r="E232" t="s">
        <v>644</v>
      </c>
      <c r="G232" s="44"/>
      <c r="I232" s="44"/>
      <c r="K232" s="44"/>
      <c r="M232" s="44"/>
      <c r="O232" s="36">
        <v>386096.94816516276</v>
      </c>
      <c r="P232" s="36">
        <v>395032.3151966171</v>
      </c>
      <c r="Q232" s="36">
        <v>403967.68222807144</v>
      </c>
      <c r="R232" s="36">
        <v>412903.04925952567</v>
      </c>
      <c r="S232" s="36">
        <v>421838.41629097995</v>
      </c>
      <c r="T232" s="36">
        <v>430773.78332243429</v>
      </c>
      <c r="U232" s="36">
        <v>439709.15035388852</v>
      </c>
      <c r="V232" s="36">
        <v>448644.51738534297</v>
      </c>
      <c r="W232" s="36">
        <v>457579.88441679714</v>
      </c>
      <c r="X232" s="36">
        <v>466515.25144825148</v>
      </c>
      <c r="Y232" s="36">
        <v>475450.61847970588</v>
      </c>
      <c r="Z232" s="36">
        <v>553938.37117520452</v>
      </c>
      <c r="AA232" s="36">
        <v>632426.12387070351</v>
      </c>
      <c r="AB232" s="36">
        <v>710913.87656620226</v>
      </c>
      <c r="AC232" s="36">
        <v>789401.62926170102</v>
      </c>
      <c r="AD232" s="36">
        <v>867889.38195719977</v>
      </c>
      <c r="AE232" s="36">
        <v>946377.13465269876</v>
      </c>
      <c r="AF232" s="36">
        <v>1024864.8873481975</v>
      </c>
      <c r="AG232" s="36">
        <v>1103352.6400436964</v>
      </c>
      <c r="AH232" s="36">
        <v>1181840.3927391951</v>
      </c>
      <c r="AI232" s="36">
        <v>1260328.1454346941</v>
      </c>
      <c r="AJ232" s="36">
        <v>1338815.8981301929</v>
      </c>
      <c r="AK232" s="36">
        <v>1417303.6508256919</v>
      </c>
      <c r="AL232" s="36">
        <v>1495791.4035211904</v>
      </c>
      <c r="AM232" s="36">
        <v>1574279.1562166892</v>
      </c>
      <c r="AN232" s="36">
        <v>1652766.9089121879</v>
      </c>
      <c r="AO232" s="36">
        <v>1731254.6616076871</v>
      </c>
      <c r="AP232" s="36">
        <v>1809742.4143031857</v>
      </c>
      <c r="AQ232" s="36">
        <v>1888230.1669986844</v>
      </c>
      <c r="AR232" s="36">
        <v>1966717.9196941839</v>
      </c>
      <c r="AS232" s="36">
        <v>2045205.6723896826</v>
      </c>
      <c r="AT232" s="36">
        <v>2123693.4250851809</v>
      </c>
      <c r="AU232" s="36">
        <v>2202181.1777806799</v>
      </c>
      <c r="AV232" s="36">
        <v>2280668.9304761789</v>
      </c>
      <c r="AW232" s="36">
        <v>2359156.6831716779</v>
      </c>
      <c r="AX232" s="36">
        <v>2437644.4358671759</v>
      </c>
    </row>
    <row r="233" spans="4:50">
      <c r="D233" t="s">
        <v>660</v>
      </c>
      <c r="E233" t="s">
        <v>645</v>
      </c>
      <c r="G233" s="44"/>
      <c r="I233" s="44"/>
      <c r="K233" s="44"/>
      <c r="M233" s="44"/>
      <c r="O233" s="36">
        <v>109810.73952319506</v>
      </c>
      <c r="P233" s="36">
        <v>112792.65838929632</v>
      </c>
      <c r="Q233" s="36">
        <v>115774.5772553976</v>
      </c>
      <c r="R233" s="36">
        <v>118756.4961214989</v>
      </c>
      <c r="S233" s="36">
        <v>121738.41498760015</v>
      </c>
      <c r="T233" s="36">
        <v>124720.33385370141</v>
      </c>
      <c r="U233" s="36">
        <v>127702.25271980269</v>
      </c>
      <c r="V233" s="36">
        <v>130684.17158590398</v>
      </c>
      <c r="W233" s="36">
        <v>133666.09045200521</v>
      </c>
      <c r="X233" s="36">
        <v>136648.00931810652</v>
      </c>
      <c r="Y233" s="36">
        <v>139629.92818420782</v>
      </c>
      <c r="Z233" s="36">
        <v>162135.57581658399</v>
      </c>
      <c r="AA233" s="36">
        <v>184641.2234489602</v>
      </c>
      <c r="AB233" s="36">
        <v>207146.87108133637</v>
      </c>
      <c r="AC233" s="36">
        <v>229652.51871371258</v>
      </c>
      <c r="AD233" s="36">
        <v>252158.16634608881</v>
      </c>
      <c r="AE233" s="36">
        <v>274663.81397846498</v>
      </c>
      <c r="AF233" s="36">
        <v>297169.4616108411</v>
      </c>
      <c r="AG233" s="36">
        <v>319675.10924321739</v>
      </c>
      <c r="AH233" s="36">
        <v>342180.75687559345</v>
      </c>
      <c r="AI233" s="36">
        <v>364686.40450796974</v>
      </c>
      <c r="AJ233" s="36">
        <v>387192.05214034591</v>
      </c>
      <c r="AK233" s="36">
        <v>409697.69977272215</v>
      </c>
      <c r="AL233" s="36">
        <v>432203.34740509832</v>
      </c>
      <c r="AM233" s="36">
        <v>454708.99503747444</v>
      </c>
      <c r="AN233" s="36">
        <v>477214.64266985061</v>
      </c>
      <c r="AO233" s="36">
        <v>499720.2903022269</v>
      </c>
      <c r="AP233" s="36">
        <v>522225.93793460302</v>
      </c>
      <c r="AQ233" s="36">
        <v>544731.58556697925</v>
      </c>
      <c r="AR233" s="36">
        <v>567237.23319935531</v>
      </c>
      <c r="AS233" s="36">
        <v>589742.88083173148</v>
      </c>
      <c r="AT233" s="36">
        <v>612248.52846410766</v>
      </c>
      <c r="AU233" s="36">
        <v>634754.17609648395</v>
      </c>
      <c r="AV233" s="36">
        <v>657259.82372886001</v>
      </c>
      <c r="AW233" s="36">
        <v>679765.4713612363</v>
      </c>
      <c r="AX233" s="36">
        <v>702271.11899361259</v>
      </c>
    </row>
    <row r="234" spans="4:50">
      <c r="D234" t="s">
        <v>660</v>
      </c>
      <c r="E234" t="s">
        <v>646</v>
      </c>
      <c r="G234" s="44"/>
      <c r="I234" s="44"/>
      <c r="K234" s="44"/>
      <c r="M234" s="44"/>
      <c r="O234" s="36">
        <v>47992.629225220138</v>
      </c>
      <c r="P234" s="36">
        <v>49337.00525204985</v>
      </c>
      <c r="Q234" s="36">
        <v>50681.381278879562</v>
      </c>
      <c r="R234" s="36">
        <v>52025.757305709281</v>
      </c>
      <c r="S234" s="36">
        <v>53370.133332538993</v>
      </c>
      <c r="T234" s="36">
        <v>54714.509359368705</v>
      </c>
      <c r="U234" s="36">
        <v>56058.885386198424</v>
      </c>
      <c r="V234" s="36">
        <v>57403.261413028151</v>
      </c>
      <c r="W234" s="36">
        <v>58747.63743985787</v>
      </c>
      <c r="X234" s="36">
        <v>60092.013466687589</v>
      </c>
      <c r="Y234" s="36">
        <v>61436.389493517301</v>
      </c>
      <c r="Z234" s="36">
        <v>71489.218173686648</v>
      </c>
      <c r="AA234" s="36">
        <v>81542.046853855994</v>
      </c>
      <c r="AB234" s="36">
        <v>91594.87553402537</v>
      </c>
      <c r="AC234" s="36">
        <v>101647.7042141947</v>
      </c>
      <c r="AD234" s="36">
        <v>111700.53289436405</v>
      </c>
      <c r="AE234" s="36">
        <v>121753.36157453337</v>
      </c>
      <c r="AF234" s="36">
        <v>131806.19025470273</v>
      </c>
      <c r="AG234" s="36">
        <v>141859.01893487209</v>
      </c>
      <c r="AH234" s="36">
        <v>151911.84761504145</v>
      </c>
      <c r="AI234" s="36">
        <v>161964.67629521075</v>
      </c>
      <c r="AJ234" s="36">
        <v>172017.50497538008</v>
      </c>
      <c r="AK234" s="36">
        <v>182070.33365554948</v>
      </c>
      <c r="AL234" s="36">
        <v>192123.16233571884</v>
      </c>
      <c r="AM234" s="36">
        <v>202175.99101588817</v>
      </c>
      <c r="AN234" s="36">
        <v>212228.81969605744</v>
      </c>
      <c r="AO234" s="36">
        <v>222281.64837622692</v>
      </c>
      <c r="AP234" s="36">
        <v>232334.47705639619</v>
      </c>
      <c r="AQ234" s="36">
        <v>242387.30573656555</v>
      </c>
      <c r="AR234" s="36">
        <v>252440.13441673492</v>
      </c>
      <c r="AS234" s="36">
        <v>262492.96309690422</v>
      </c>
      <c r="AT234" s="36">
        <v>272545.79177707364</v>
      </c>
      <c r="AU234" s="36">
        <v>282598.620457243</v>
      </c>
      <c r="AV234" s="36">
        <v>292651.44913741236</v>
      </c>
      <c r="AW234" s="36">
        <v>302704.27781758166</v>
      </c>
      <c r="AX234" s="36">
        <v>312757.10649775097</v>
      </c>
    </row>
    <row r="235" spans="4:50">
      <c r="D235" t="s">
        <v>661</v>
      </c>
      <c r="E235" t="s">
        <v>648</v>
      </c>
      <c r="G235" s="44"/>
      <c r="I235" s="44"/>
      <c r="K235" s="44"/>
      <c r="M235" s="44"/>
      <c r="O235" s="36">
        <v>196762.65939785016</v>
      </c>
      <c r="P235" s="36">
        <v>201142.80928361212</v>
      </c>
      <c r="Q235" s="36">
        <v>205522.95916937399</v>
      </c>
      <c r="R235" s="36">
        <v>209903.10905513589</v>
      </c>
      <c r="S235" s="36">
        <v>214283.25894089782</v>
      </c>
      <c r="T235" s="36">
        <v>218663.40882665967</v>
      </c>
      <c r="U235" s="36">
        <v>223043.55871242157</v>
      </c>
      <c r="V235" s="36">
        <v>227423.70859818344</v>
      </c>
      <c r="W235" s="36">
        <v>231803.85848394537</v>
      </c>
      <c r="X235" s="36">
        <v>236184.00836970733</v>
      </c>
      <c r="Y235" s="36">
        <v>240564.1582554692</v>
      </c>
      <c r="Z235" s="36">
        <v>280684.45341492805</v>
      </c>
      <c r="AA235" s="36">
        <v>320804.74857438682</v>
      </c>
      <c r="AB235" s="36">
        <v>360925.04373384576</v>
      </c>
      <c r="AC235" s="36">
        <v>401045.33889330452</v>
      </c>
      <c r="AD235" s="36">
        <v>441165.63405276334</v>
      </c>
      <c r="AE235" s="36">
        <v>481285.92921222217</v>
      </c>
      <c r="AF235" s="36">
        <v>521406.22437168093</v>
      </c>
      <c r="AG235" s="36">
        <v>561526.51953113975</v>
      </c>
      <c r="AH235" s="36">
        <v>601646.81469059852</v>
      </c>
      <c r="AI235" s="36">
        <v>641767.1098500574</v>
      </c>
      <c r="AJ235" s="36">
        <v>681887.40500951628</v>
      </c>
      <c r="AK235" s="36">
        <v>722007.70016897516</v>
      </c>
      <c r="AL235" s="36">
        <v>762127.99532843393</v>
      </c>
      <c r="AM235" s="36">
        <v>802248.29048789269</v>
      </c>
      <c r="AN235" s="36">
        <v>842368.58564735146</v>
      </c>
      <c r="AO235" s="36">
        <v>882488.88080681046</v>
      </c>
      <c r="AP235" s="36">
        <v>922609.17596626922</v>
      </c>
      <c r="AQ235" s="36">
        <v>962729.4711257281</v>
      </c>
      <c r="AR235" s="36">
        <v>1002849.7662851867</v>
      </c>
      <c r="AS235" s="36">
        <v>1042970.0614446454</v>
      </c>
      <c r="AT235" s="36">
        <v>1083090.3566041042</v>
      </c>
      <c r="AU235" s="36">
        <v>1123210.6517635633</v>
      </c>
      <c r="AV235" s="36">
        <v>1163330.9469230222</v>
      </c>
      <c r="AW235" s="36">
        <v>1203451.2420824808</v>
      </c>
      <c r="AX235" s="36">
        <v>1243571.5372419397</v>
      </c>
    </row>
    <row r="236" spans="4:50">
      <c r="D236" t="s">
        <v>660</v>
      </c>
      <c r="E236" t="s">
        <v>649</v>
      </c>
      <c r="G236" s="44"/>
      <c r="I236" s="44"/>
      <c r="K236" s="44"/>
      <c r="M236" s="44"/>
      <c r="O236" s="36">
        <v>153079.3210514503</v>
      </c>
      <c r="P236" s="36">
        <v>157457.23714870721</v>
      </c>
      <c r="Q236" s="36">
        <v>161835.15324596409</v>
      </c>
      <c r="R236" s="36">
        <v>166213.06934322102</v>
      </c>
      <c r="S236" s="36">
        <v>170590.9854404779</v>
      </c>
      <c r="T236" s="36">
        <v>174968.90153773472</v>
      </c>
      <c r="U236" s="36">
        <v>179346.81763499166</v>
      </c>
      <c r="V236" s="36">
        <v>183724.73373224854</v>
      </c>
      <c r="W236" s="36">
        <v>188102.64982950542</v>
      </c>
      <c r="X236" s="36">
        <v>192480.56592676233</v>
      </c>
      <c r="Y236" s="36">
        <v>196858.48202401918</v>
      </c>
      <c r="Z236" s="36">
        <v>228691.79309751053</v>
      </c>
      <c r="AA236" s="36">
        <v>260525.10417100199</v>
      </c>
      <c r="AB236" s="36">
        <v>292358.41524449323</v>
      </c>
      <c r="AC236" s="36">
        <v>324191.72631798469</v>
      </c>
      <c r="AD236" s="36">
        <v>356025.03739147604</v>
      </c>
      <c r="AE236" s="36">
        <v>387858.34846496722</v>
      </c>
      <c r="AF236" s="36">
        <v>419691.65953845863</v>
      </c>
      <c r="AG236" s="36">
        <v>451524.97061194992</v>
      </c>
      <c r="AH236" s="36">
        <v>483358.28168544138</v>
      </c>
      <c r="AI236" s="36">
        <v>515191.59275893285</v>
      </c>
      <c r="AJ236" s="36">
        <v>547024.9038324242</v>
      </c>
      <c r="AK236" s="36">
        <v>578858.21490591543</v>
      </c>
      <c r="AL236" s="36">
        <v>610691.5259794069</v>
      </c>
      <c r="AM236" s="36">
        <v>642524.83705289813</v>
      </c>
      <c r="AN236" s="36">
        <v>674358.14812638948</v>
      </c>
      <c r="AO236" s="36">
        <v>706191.45919988095</v>
      </c>
      <c r="AP236" s="36">
        <v>738024.77027337218</v>
      </c>
      <c r="AQ236" s="36">
        <v>769858.08134686342</v>
      </c>
      <c r="AR236" s="36">
        <v>801691.39242035476</v>
      </c>
      <c r="AS236" s="36">
        <v>833524.70349384611</v>
      </c>
      <c r="AT236" s="36">
        <v>865358.01456733746</v>
      </c>
      <c r="AU236" s="36">
        <v>897191.32564082881</v>
      </c>
      <c r="AV236" s="36">
        <v>929024.63671431993</v>
      </c>
      <c r="AW236" s="36">
        <v>960857.94778781151</v>
      </c>
      <c r="AX236" s="36">
        <v>992691.25886130286</v>
      </c>
    </row>
    <row r="237" spans="4:50">
      <c r="D237" t="s">
        <v>660</v>
      </c>
      <c r="E237" t="s">
        <v>650</v>
      </c>
      <c r="G237" s="44"/>
      <c r="I237" s="44"/>
      <c r="K237" s="44"/>
      <c r="M237" s="44"/>
      <c r="O237" s="36">
        <v>170201.75951233244</v>
      </c>
      <c r="P237" s="36">
        <v>174963.6890360667</v>
      </c>
      <c r="Q237" s="36">
        <v>179725.61855980093</v>
      </c>
      <c r="R237" s="36">
        <v>184487.54808353508</v>
      </c>
      <c r="S237" s="36">
        <v>189249.47760726933</v>
      </c>
      <c r="T237" s="36">
        <v>194011.40713100351</v>
      </c>
      <c r="U237" s="36">
        <v>198773.33665473782</v>
      </c>
      <c r="V237" s="36">
        <v>203535.26617847205</v>
      </c>
      <c r="W237" s="36">
        <v>208297.19570220623</v>
      </c>
      <c r="X237" s="36">
        <v>213059.12522594049</v>
      </c>
      <c r="Y237" s="36">
        <v>217821.0547496746</v>
      </c>
      <c r="Z237" s="36">
        <v>253394.78016865349</v>
      </c>
      <c r="AA237" s="36">
        <v>288968.5055876323</v>
      </c>
      <c r="AB237" s="36">
        <v>324542.23100661114</v>
      </c>
      <c r="AC237" s="36">
        <v>360115.95642558992</v>
      </c>
      <c r="AD237" s="36">
        <v>395689.68184456869</v>
      </c>
      <c r="AE237" s="36">
        <v>431263.40726354759</v>
      </c>
      <c r="AF237" s="36">
        <v>466837.13268252643</v>
      </c>
      <c r="AG237" s="36">
        <v>502410.85810150526</v>
      </c>
      <c r="AH237" s="36">
        <v>537984.58352048416</v>
      </c>
      <c r="AI237" s="36">
        <v>573558.30893946276</v>
      </c>
      <c r="AJ237" s="36">
        <v>609132.0343584416</v>
      </c>
      <c r="AK237" s="36">
        <v>644705.75977742032</v>
      </c>
      <c r="AL237" s="36">
        <v>680279.48519639927</v>
      </c>
      <c r="AM237" s="36">
        <v>715853.21061537834</v>
      </c>
      <c r="AN237" s="36">
        <v>751426.93603435706</v>
      </c>
      <c r="AO237" s="36">
        <v>787000.66145333555</v>
      </c>
      <c r="AP237" s="36">
        <v>822574.3868723145</v>
      </c>
      <c r="AQ237" s="36">
        <v>858148.11229129322</v>
      </c>
      <c r="AR237" s="36">
        <v>893721.83771027217</v>
      </c>
      <c r="AS237" s="36">
        <v>929295.56312925078</v>
      </c>
      <c r="AT237" s="36">
        <v>964869.28854822984</v>
      </c>
      <c r="AU237" s="36">
        <v>1000443.0139672084</v>
      </c>
      <c r="AV237" s="36">
        <v>1036016.7393861873</v>
      </c>
      <c r="AW237" s="36">
        <v>1071590.464805166</v>
      </c>
      <c r="AX237" s="36">
        <v>1107164.1902241451</v>
      </c>
    </row>
    <row r="238" spans="4:50">
      <c r="D238" t="s">
        <v>661</v>
      </c>
      <c r="E238" t="s">
        <v>651</v>
      </c>
      <c r="G238" s="44"/>
      <c r="I238" s="44"/>
      <c r="K238" s="44"/>
      <c r="M238" s="44"/>
      <c r="O238" s="36">
        <v>265797.97297337814</v>
      </c>
      <c r="P238" s="36">
        <v>271618.92341997282</v>
      </c>
      <c r="Q238" s="36">
        <v>277439.87386656756</v>
      </c>
      <c r="R238" s="36">
        <v>283260.82431316213</v>
      </c>
      <c r="S238" s="36">
        <v>289081.77475975687</v>
      </c>
      <c r="T238" s="36">
        <v>294902.72520635143</v>
      </c>
      <c r="U238" s="36">
        <v>300723.67565294617</v>
      </c>
      <c r="V238" s="36">
        <v>306544.62609954085</v>
      </c>
      <c r="W238" s="36">
        <v>312365.57654613547</v>
      </c>
      <c r="X238" s="36">
        <v>318186.52699273021</v>
      </c>
      <c r="Y238" s="36">
        <v>324007.47743932478</v>
      </c>
      <c r="Z238" s="36">
        <v>378021.56847333495</v>
      </c>
      <c r="AA238" s="36">
        <v>432035.65950734488</v>
      </c>
      <c r="AB238" s="36">
        <v>486049.75054135494</v>
      </c>
      <c r="AC238" s="36">
        <v>540063.84157536505</v>
      </c>
      <c r="AD238" s="36">
        <v>594077.9326093751</v>
      </c>
      <c r="AE238" s="36">
        <v>648092.02364338504</v>
      </c>
      <c r="AF238" s="36">
        <v>702106.11467739497</v>
      </c>
      <c r="AG238" s="36">
        <v>756120.20571140491</v>
      </c>
      <c r="AH238" s="36">
        <v>810134.29674541519</v>
      </c>
      <c r="AI238" s="36">
        <v>864148.38777942536</v>
      </c>
      <c r="AJ238" s="36">
        <v>918162.47881343518</v>
      </c>
      <c r="AK238" s="36">
        <v>972176.56984744535</v>
      </c>
      <c r="AL238" s="36">
        <v>1026190.6608814555</v>
      </c>
      <c r="AM238" s="36">
        <v>1080204.7519154651</v>
      </c>
      <c r="AN238" s="36">
        <v>1134218.8429494756</v>
      </c>
      <c r="AO238" s="36">
        <v>1188232.9339834852</v>
      </c>
      <c r="AP238" s="36">
        <v>1242247.0250174953</v>
      </c>
      <c r="AQ238" s="36">
        <v>1296261.1160515053</v>
      </c>
      <c r="AR238" s="36">
        <v>1350275.2070855156</v>
      </c>
      <c r="AS238" s="36">
        <v>1404289.2981195259</v>
      </c>
      <c r="AT238" s="36">
        <v>1458303.3891535355</v>
      </c>
      <c r="AU238" s="36">
        <v>1512317.480187546</v>
      </c>
      <c r="AV238" s="36">
        <v>1566331.5712215563</v>
      </c>
      <c r="AW238" s="36">
        <v>1620345.6622555659</v>
      </c>
      <c r="AX238" s="36">
        <v>1674359.7532895762</v>
      </c>
    </row>
    <row r="239" spans="4:50">
      <c r="D239" t="s">
        <v>661</v>
      </c>
      <c r="E239" t="s">
        <v>652</v>
      </c>
      <c r="G239" s="44"/>
      <c r="I239" s="44"/>
      <c r="K239" s="44"/>
      <c r="M239" s="44"/>
      <c r="O239" s="36">
        <v>364896.0948065308</v>
      </c>
      <c r="P239" s="36">
        <v>374916.51304660639</v>
      </c>
      <c r="Q239" s="36">
        <v>384936.93128668203</v>
      </c>
      <c r="R239" s="36">
        <v>394957.34952675772</v>
      </c>
      <c r="S239" s="36">
        <v>404977.76776683331</v>
      </c>
      <c r="T239" s="36">
        <v>414998.18600690895</v>
      </c>
      <c r="U239" s="36">
        <v>425018.60424698453</v>
      </c>
      <c r="V239" s="36">
        <v>435039.02248706005</v>
      </c>
      <c r="W239" s="36">
        <v>445059.44072713563</v>
      </c>
      <c r="X239" s="36">
        <v>455079.85896721127</v>
      </c>
      <c r="Y239" s="36">
        <v>465100.27720728691</v>
      </c>
      <c r="Z239" s="36">
        <v>539602.53775333986</v>
      </c>
      <c r="AA239" s="36">
        <v>614104.7982993928</v>
      </c>
      <c r="AB239" s="36">
        <v>688607.05884544575</v>
      </c>
      <c r="AC239" s="36">
        <v>763109.31939149892</v>
      </c>
      <c r="AD239" s="36">
        <v>837611.57993755175</v>
      </c>
      <c r="AE239" s="36">
        <v>912113.8404836047</v>
      </c>
      <c r="AF239" s="36">
        <v>986616.10102965764</v>
      </c>
      <c r="AG239" s="36">
        <v>1061118.3615757111</v>
      </c>
      <c r="AH239" s="36">
        <v>1135620.6221217639</v>
      </c>
      <c r="AI239" s="36">
        <v>1210122.8826678167</v>
      </c>
      <c r="AJ239" s="36">
        <v>1284625.1432138695</v>
      </c>
      <c r="AK239" s="36">
        <v>1359127.4037599226</v>
      </c>
      <c r="AL239" s="36">
        <v>1433629.6643059759</v>
      </c>
      <c r="AM239" s="36">
        <v>1508131.9248520287</v>
      </c>
      <c r="AN239" s="36">
        <v>1582634.1853980816</v>
      </c>
      <c r="AO239" s="36">
        <v>1657136.4459441346</v>
      </c>
      <c r="AP239" s="36">
        <v>1731638.7064901879</v>
      </c>
      <c r="AQ239" s="36">
        <v>1806140.9670362407</v>
      </c>
      <c r="AR239" s="36">
        <v>1880643.2275822936</v>
      </c>
      <c r="AS239" s="36">
        <v>1955145.4881283473</v>
      </c>
      <c r="AT239" s="36">
        <v>2029647.7486743997</v>
      </c>
      <c r="AU239" s="36">
        <v>2104150.0092204525</v>
      </c>
      <c r="AV239" s="36">
        <v>2178652.2697665058</v>
      </c>
      <c r="AW239" s="36">
        <v>2253154.5303125582</v>
      </c>
      <c r="AX239" s="36">
        <v>2327656.7908586119</v>
      </c>
    </row>
    <row r="240" spans="4:50">
      <c r="D240" t="s">
        <v>661</v>
      </c>
      <c r="E240" t="s">
        <v>653</v>
      </c>
      <c r="G240" s="44"/>
      <c r="I240" s="44"/>
      <c r="K240" s="44"/>
      <c r="M240" s="44"/>
      <c r="O240" s="36">
        <v>278094.24217762717</v>
      </c>
      <c r="P240" s="36">
        <v>284181.97830399178</v>
      </c>
      <c r="Q240" s="36">
        <v>290269.71443035634</v>
      </c>
      <c r="R240" s="36">
        <v>296357.4505567209</v>
      </c>
      <c r="S240" s="36">
        <v>302445.1866830854</v>
      </c>
      <c r="T240" s="36">
        <v>308532.92280944996</v>
      </c>
      <c r="U240" s="36">
        <v>314620.65893581463</v>
      </c>
      <c r="V240" s="36">
        <v>320708.39506217907</v>
      </c>
      <c r="W240" s="36">
        <v>326796.13118854363</v>
      </c>
      <c r="X240" s="36">
        <v>332883.86731490825</v>
      </c>
      <c r="Y240" s="36">
        <v>338971.60344127269</v>
      </c>
      <c r="Z240" s="36">
        <v>394465.23617201543</v>
      </c>
      <c r="AA240" s="36">
        <v>449958.86890275811</v>
      </c>
      <c r="AB240" s="36">
        <v>505452.5016335008</v>
      </c>
      <c r="AC240" s="36">
        <v>560946.13436424348</v>
      </c>
      <c r="AD240" s="36">
        <v>616439.76709498616</v>
      </c>
      <c r="AE240" s="36">
        <v>671933.39982572873</v>
      </c>
      <c r="AF240" s="36">
        <v>727427.0325564713</v>
      </c>
      <c r="AG240" s="36">
        <v>782920.6652872141</v>
      </c>
      <c r="AH240" s="36">
        <v>838414.29801795678</v>
      </c>
      <c r="AI240" s="36">
        <v>893907.93074869935</v>
      </c>
      <c r="AJ240" s="36">
        <v>949401.56347944227</v>
      </c>
      <c r="AK240" s="36">
        <v>1004895.1962101848</v>
      </c>
      <c r="AL240" s="36">
        <v>1060388.8289409275</v>
      </c>
      <c r="AM240" s="36">
        <v>1115882.4616716704</v>
      </c>
      <c r="AN240" s="36">
        <v>1171376.0944024127</v>
      </c>
      <c r="AO240" s="36">
        <v>1226869.7271331558</v>
      </c>
      <c r="AP240" s="36">
        <v>1282363.3598638976</v>
      </c>
      <c r="AQ240" s="36">
        <v>1337856.9925946407</v>
      </c>
      <c r="AR240" s="36">
        <v>1393350.6253253836</v>
      </c>
      <c r="AS240" s="36">
        <v>1448844.2580561263</v>
      </c>
      <c r="AT240" s="36">
        <v>1504337.8907868692</v>
      </c>
      <c r="AU240" s="36">
        <v>1559831.5235176114</v>
      </c>
      <c r="AV240" s="36">
        <v>1615325.1562483544</v>
      </c>
      <c r="AW240" s="36">
        <v>1670818.7889790968</v>
      </c>
      <c r="AX240" s="36">
        <v>1726312.4217098395</v>
      </c>
    </row>
    <row r="241" spans="3:50">
      <c r="D241" t="s">
        <v>661</v>
      </c>
      <c r="E241" t="s">
        <v>654</v>
      </c>
      <c r="G241" s="44"/>
      <c r="I241" s="44"/>
      <c r="K241" s="44"/>
      <c r="M241" s="44"/>
      <c r="O241" s="36">
        <v>165363.1030387879</v>
      </c>
      <c r="P241" s="36">
        <v>168995.64515615741</v>
      </c>
      <c r="Q241" s="36">
        <v>172628.18727352683</v>
      </c>
      <c r="R241" s="36">
        <v>176260.72939089639</v>
      </c>
      <c r="S241" s="36">
        <v>179893.27150826587</v>
      </c>
      <c r="T241" s="36">
        <v>183525.81362563535</v>
      </c>
      <c r="U241" s="36">
        <v>187158.35574300485</v>
      </c>
      <c r="V241" s="36">
        <v>190790.8978603743</v>
      </c>
      <c r="W241" s="36">
        <v>194423.43997774387</v>
      </c>
      <c r="X241" s="36">
        <v>198055.98209511332</v>
      </c>
      <c r="Y241" s="36">
        <v>201688.52421248273</v>
      </c>
      <c r="Z241" s="36">
        <v>235322.84674140785</v>
      </c>
      <c r="AA241" s="36">
        <v>268957.1692703329</v>
      </c>
      <c r="AB241" s="36">
        <v>302591.49179925793</v>
      </c>
      <c r="AC241" s="36">
        <v>336225.81432818301</v>
      </c>
      <c r="AD241" s="36">
        <v>369860.1368571081</v>
      </c>
      <c r="AE241" s="36">
        <v>403494.45938603318</v>
      </c>
      <c r="AF241" s="36">
        <v>437128.78191495826</v>
      </c>
      <c r="AG241" s="36">
        <v>470763.10444388317</v>
      </c>
      <c r="AH241" s="36">
        <v>504397.42697280832</v>
      </c>
      <c r="AI241" s="36">
        <v>538031.74950173334</v>
      </c>
      <c r="AJ241" s="36">
        <v>571666.07203065837</v>
      </c>
      <c r="AK241" s="36">
        <v>605300.39455958339</v>
      </c>
      <c r="AL241" s="36">
        <v>638934.71708850865</v>
      </c>
      <c r="AM241" s="36">
        <v>672569.03961743356</v>
      </c>
      <c r="AN241" s="36">
        <v>706203.36214635882</v>
      </c>
      <c r="AO241" s="36">
        <v>739837.68467528373</v>
      </c>
      <c r="AP241" s="36">
        <v>773472.00720420876</v>
      </c>
      <c r="AQ241" s="36">
        <v>807106.3297331339</v>
      </c>
      <c r="AR241" s="36">
        <v>840740.65226205904</v>
      </c>
      <c r="AS241" s="36">
        <v>874374.97479098407</v>
      </c>
      <c r="AT241" s="36">
        <v>908009.29731990921</v>
      </c>
      <c r="AU241" s="36">
        <v>941643.61984883423</v>
      </c>
      <c r="AV241" s="36">
        <v>975277.94237775938</v>
      </c>
      <c r="AW241" s="36">
        <v>1008912.2649066844</v>
      </c>
      <c r="AX241" s="36">
        <v>1042546.5874356094</v>
      </c>
    </row>
    <row r="242" spans="3:50">
      <c r="D242" t="s">
        <v>660</v>
      </c>
      <c r="E242" t="s">
        <v>655</v>
      </c>
      <c r="G242" s="44"/>
      <c r="I242" s="44"/>
      <c r="K242" s="44"/>
      <c r="M242" s="44"/>
      <c r="O242" s="36">
        <v>228932.7558878237</v>
      </c>
      <c r="P242" s="36">
        <v>234996.3943697153</v>
      </c>
      <c r="Q242" s="36">
        <v>241060.0328516069</v>
      </c>
      <c r="R242" s="36">
        <v>247123.67133349841</v>
      </c>
      <c r="S242" s="36">
        <v>253187.30981539009</v>
      </c>
      <c r="T242" s="36">
        <v>259250.94829728172</v>
      </c>
      <c r="U242" s="36">
        <v>265314.58677917323</v>
      </c>
      <c r="V242" s="36">
        <v>271378.22526106494</v>
      </c>
      <c r="W242" s="36">
        <v>277441.86374295648</v>
      </c>
      <c r="X242" s="36">
        <v>283505.5022248482</v>
      </c>
      <c r="Y242" s="36">
        <v>289569.14070673962</v>
      </c>
      <c r="Z242" s="36">
        <v>336150.23887746164</v>
      </c>
      <c r="AA242" s="36">
        <v>382731.3370481836</v>
      </c>
      <c r="AB242" s="36">
        <v>429312.43521890551</v>
      </c>
      <c r="AC242" s="36">
        <v>475893.53338962724</v>
      </c>
      <c r="AD242" s="36">
        <v>522474.63156034931</v>
      </c>
      <c r="AE242" s="36">
        <v>569055.72973107127</v>
      </c>
      <c r="AF242" s="36">
        <v>615636.82790179306</v>
      </c>
      <c r="AG242" s="36">
        <v>662217.9260725152</v>
      </c>
      <c r="AH242" s="36">
        <v>708799.02424323664</v>
      </c>
      <c r="AI242" s="36">
        <v>755380.12241395912</v>
      </c>
      <c r="AJ242" s="36">
        <v>801961.22058468079</v>
      </c>
      <c r="AK242" s="36">
        <v>848542.31875540246</v>
      </c>
      <c r="AL242" s="36">
        <v>895123.41692612448</v>
      </c>
      <c r="AM242" s="36">
        <v>941704.51509684639</v>
      </c>
      <c r="AN242" s="36">
        <v>988285.61326756817</v>
      </c>
      <c r="AO242" s="36">
        <v>1034866.7114382905</v>
      </c>
      <c r="AP242" s="36">
        <v>1081447.8096090117</v>
      </c>
      <c r="AQ242" s="36">
        <v>1128028.9077797341</v>
      </c>
      <c r="AR242" s="36">
        <v>1174610.005950456</v>
      </c>
      <c r="AS242" s="36">
        <v>1221191.1041211779</v>
      </c>
      <c r="AT242" s="36">
        <v>1267772.2022918996</v>
      </c>
      <c r="AU242" s="36">
        <v>1314353.300462622</v>
      </c>
      <c r="AV242" s="36">
        <v>1360934.3986333434</v>
      </c>
      <c r="AW242" s="36">
        <v>1407515.4968040651</v>
      </c>
      <c r="AX242" s="36">
        <v>1454096.5949747872</v>
      </c>
    </row>
    <row r="243" spans="3:50">
      <c r="D243" t="s">
        <v>661</v>
      </c>
      <c r="E243" t="s">
        <v>656</v>
      </c>
      <c r="G243" s="44"/>
      <c r="I243" s="44"/>
      <c r="K243" s="44"/>
      <c r="M243" s="44"/>
      <c r="O243" s="36">
        <v>246356.68721603841</v>
      </c>
      <c r="P243" s="36">
        <v>252060.14449895202</v>
      </c>
      <c r="Q243" s="36">
        <v>257763.6017818657</v>
      </c>
      <c r="R243" s="36">
        <v>263467.0590647792</v>
      </c>
      <c r="S243" s="36">
        <v>269170.51634769281</v>
      </c>
      <c r="T243" s="36">
        <v>274873.97363060649</v>
      </c>
      <c r="U243" s="36">
        <v>280577.43091351999</v>
      </c>
      <c r="V243" s="36">
        <v>286280.88819643366</v>
      </c>
      <c r="W243" s="36">
        <v>291984.34547934722</v>
      </c>
      <c r="X243" s="36">
        <v>297687.80276226072</v>
      </c>
      <c r="Y243" s="36">
        <v>303391.26004517439</v>
      </c>
      <c r="Z243" s="36">
        <v>353820.28860518604</v>
      </c>
      <c r="AA243" s="36">
        <v>404249.31716519757</v>
      </c>
      <c r="AB243" s="36">
        <v>454678.34572520916</v>
      </c>
      <c r="AC243" s="36">
        <v>505107.37428522075</v>
      </c>
      <c r="AD243" s="36">
        <v>555536.4028452324</v>
      </c>
      <c r="AE243" s="36">
        <v>605965.43140524381</v>
      </c>
      <c r="AF243" s="36">
        <v>656394.45996525546</v>
      </c>
      <c r="AG243" s="36">
        <v>706823.48852526711</v>
      </c>
      <c r="AH243" s="36">
        <v>757252.51708527864</v>
      </c>
      <c r="AI243" s="36">
        <v>807681.54564529017</v>
      </c>
      <c r="AJ243" s="36">
        <v>858110.57420530193</v>
      </c>
      <c r="AK243" s="36">
        <v>908539.60276531347</v>
      </c>
      <c r="AL243" s="36">
        <v>958968.63132532476</v>
      </c>
      <c r="AM243" s="36">
        <v>1009397.6598853368</v>
      </c>
      <c r="AN243" s="36">
        <v>1059826.6884453485</v>
      </c>
      <c r="AO243" s="36">
        <v>1110255.7170053599</v>
      </c>
      <c r="AP243" s="36">
        <v>1160684.7455653716</v>
      </c>
      <c r="AQ243" s="36">
        <v>1211113.774125383</v>
      </c>
      <c r="AR243" s="36">
        <v>1261542.8026853947</v>
      </c>
      <c r="AS243" s="36">
        <v>1311971.8312454065</v>
      </c>
      <c r="AT243" s="36">
        <v>1362400.8598054179</v>
      </c>
      <c r="AU243" s="36">
        <v>1412829.8883654289</v>
      </c>
      <c r="AV243" s="36">
        <v>1463258.916925441</v>
      </c>
      <c r="AW243" s="36">
        <v>1513687.9454854531</v>
      </c>
      <c r="AX243" s="36">
        <v>1564116.9740454638</v>
      </c>
    </row>
    <row r="244" spans="3:50">
      <c r="D244" t="s">
        <v>660</v>
      </c>
      <c r="E244" t="s">
        <v>657</v>
      </c>
      <c r="G244" s="44"/>
      <c r="I244" s="44"/>
      <c r="K244" s="44"/>
      <c r="M244" s="44"/>
      <c r="O244" s="36">
        <v>179524.85226981016</v>
      </c>
      <c r="P244" s="36">
        <v>186900.96422666495</v>
      </c>
      <c r="Q244" s="36">
        <v>194277.07618351965</v>
      </c>
      <c r="R244" s="36">
        <v>201653.1881403744</v>
      </c>
      <c r="S244" s="36">
        <v>209029.30009722922</v>
      </c>
      <c r="T244" s="36">
        <v>216405.41205408395</v>
      </c>
      <c r="U244" s="36">
        <v>223781.52401093868</v>
      </c>
      <c r="V244" s="36">
        <v>231157.63596779347</v>
      </c>
      <c r="W244" s="36">
        <v>238533.7479246482</v>
      </c>
      <c r="X244" s="36">
        <v>245909.85988150295</v>
      </c>
      <c r="Y244" s="36">
        <v>253285.97183835771</v>
      </c>
      <c r="Z244" s="36">
        <v>290467.31886304886</v>
      </c>
      <c r="AA244" s="36">
        <v>327648.66588774003</v>
      </c>
      <c r="AB244" s="36">
        <v>364830.01291243127</v>
      </c>
      <c r="AC244" s="36">
        <v>402011.35993712244</v>
      </c>
      <c r="AD244" s="36">
        <v>439192.7069618135</v>
      </c>
      <c r="AE244" s="36">
        <v>476374.05398650467</v>
      </c>
      <c r="AF244" s="36">
        <v>513555.40101119585</v>
      </c>
      <c r="AG244" s="36">
        <v>550736.74803588702</v>
      </c>
      <c r="AH244" s="36">
        <v>587918.09506057831</v>
      </c>
      <c r="AI244" s="36">
        <v>625099.44208526937</v>
      </c>
      <c r="AJ244" s="36">
        <v>662280.78910996055</v>
      </c>
      <c r="AK244" s="36">
        <v>699462.13613465161</v>
      </c>
      <c r="AL244" s="36">
        <v>736643.4831593429</v>
      </c>
      <c r="AM244" s="36">
        <v>773824.83018403407</v>
      </c>
      <c r="AN244" s="36">
        <v>811006.17720872525</v>
      </c>
      <c r="AO244" s="36">
        <v>848187.5242334163</v>
      </c>
      <c r="AP244" s="36">
        <v>885368.87125810748</v>
      </c>
      <c r="AQ244" s="36">
        <v>922550.21828279865</v>
      </c>
      <c r="AR244" s="36">
        <v>959731.56530748995</v>
      </c>
      <c r="AS244" s="36">
        <v>996912.91233218089</v>
      </c>
      <c r="AT244" s="36">
        <v>1034094.2593568723</v>
      </c>
      <c r="AU244" s="36">
        <v>1071275.6063815635</v>
      </c>
      <c r="AV244" s="36">
        <v>1108456.9534062545</v>
      </c>
      <c r="AW244" s="36">
        <v>1145638.3004309456</v>
      </c>
      <c r="AX244" s="36">
        <v>1182819.6474556371</v>
      </c>
    </row>
    <row r="245" spans="3:50">
      <c r="D245" t="s">
        <v>661</v>
      </c>
      <c r="E245" t="s">
        <v>658</v>
      </c>
      <c r="G245" s="44"/>
      <c r="I245" s="44"/>
      <c r="K245" s="44"/>
      <c r="M245" s="44"/>
      <c r="O245" s="36">
        <v>250401.89639930197</v>
      </c>
      <c r="P245" s="36">
        <v>255863.79986217336</v>
      </c>
      <c r="Q245" s="36">
        <v>261325.70332504468</v>
      </c>
      <c r="R245" s="36">
        <v>266787.60678791604</v>
      </c>
      <c r="S245" s="36">
        <v>272249.51025078743</v>
      </c>
      <c r="T245" s="36">
        <v>277711.41371365881</v>
      </c>
      <c r="U245" s="36">
        <v>283173.31717653008</v>
      </c>
      <c r="V245" s="36">
        <v>288635.22063940146</v>
      </c>
      <c r="W245" s="36">
        <v>294097.12410227291</v>
      </c>
      <c r="X245" s="36">
        <v>299559.02756514429</v>
      </c>
      <c r="Y245" s="36">
        <v>305020.93102801562</v>
      </c>
      <c r="Z245" s="36">
        <v>355635.08263272117</v>
      </c>
      <c r="AA245" s="36">
        <v>406249.23423742654</v>
      </c>
      <c r="AB245" s="36">
        <v>456863.38584213197</v>
      </c>
      <c r="AC245" s="36">
        <v>507477.53744683729</v>
      </c>
      <c r="AD245" s="36">
        <v>558091.68905154278</v>
      </c>
      <c r="AE245" s="36">
        <v>608705.84065624827</v>
      </c>
      <c r="AF245" s="36">
        <v>659319.99226095364</v>
      </c>
      <c r="AG245" s="36">
        <v>709934.14386565925</v>
      </c>
      <c r="AH245" s="36">
        <v>760548.29547036462</v>
      </c>
      <c r="AI245" s="36">
        <v>811162.44707507</v>
      </c>
      <c r="AJ245" s="36">
        <v>861776.59867977537</v>
      </c>
      <c r="AK245" s="36">
        <v>912390.75028448075</v>
      </c>
      <c r="AL245" s="36">
        <v>963004.90188918624</v>
      </c>
      <c r="AM245" s="36">
        <v>1013619.0534938921</v>
      </c>
      <c r="AN245" s="36">
        <v>1064233.2050985973</v>
      </c>
      <c r="AO245" s="36">
        <v>1114847.3567033026</v>
      </c>
      <c r="AP245" s="36">
        <v>1165461.5083080078</v>
      </c>
      <c r="AQ245" s="36">
        <v>1216075.6599127136</v>
      </c>
      <c r="AR245" s="36">
        <v>1266689.8115174191</v>
      </c>
      <c r="AS245" s="36">
        <v>1317303.9631221243</v>
      </c>
      <c r="AT245" s="36">
        <v>1367918.1147268298</v>
      </c>
      <c r="AU245" s="36">
        <v>1418532.2663315351</v>
      </c>
      <c r="AV245" s="36">
        <v>1469146.4179362406</v>
      </c>
      <c r="AW245" s="36">
        <v>1519760.5695409463</v>
      </c>
      <c r="AX245" s="36">
        <v>1570374.7211456518</v>
      </c>
    </row>
    <row r="246" spans="3:50">
      <c r="D246" t="s">
        <v>661</v>
      </c>
      <c r="E246" t="s">
        <v>659</v>
      </c>
      <c r="G246" s="44"/>
      <c r="I246" s="44"/>
      <c r="K246" s="44"/>
      <c r="M246" s="44"/>
      <c r="O246" s="36">
        <v>226221.30921591047</v>
      </c>
      <c r="P246" s="36">
        <v>233047.01420852711</v>
      </c>
      <c r="Q246" s="36">
        <v>239872.71920114366</v>
      </c>
      <c r="R246" s="36">
        <v>246698.42419376023</v>
      </c>
      <c r="S246" s="36">
        <v>253524.12918637684</v>
      </c>
      <c r="T246" s="36">
        <v>260349.83417899336</v>
      </c>
      <c r="U246" s="36">
        <v>267175.53917160997</v>
      </c>
      <c r="V246" s="36">
        <v>274001.24416422652</v>
      </c>
      <c r="W246" s="36">
        <v>280826.94915684313</v>
      </c>
      <c r="X246" s="36">
        <v>287652.65414945962</v>
      </c>
      <c r="Y246" s="36">
        <v>294478.35914207622</v>
      </c>
      <c r="Z246" s="36">
        <v>342116.1438825418</v>
      </c>
      <c r="AA246" s="36">
        <v>389753.92862300738</v>
      </c>
      <c r="AB246" s="36">
        <v>437391.71336347313</v>
      </c>
      <c r="AC246" s="36">
        <v>485029.49810393871</v>
      </c>
      <c r="AD246" s="36">
        <v>532667.28284440422</v>
      </c>
      <c r="AE246" s="36">
        <v>580305.0675848698</v>
      </c>
      <c r="AF246" s="36">
        <v>627942.85232533573</v>
      </c>
      <c r="AG246" s="36">
        <v>675580.63706580142</v>
      </c>
      <c r="AH246" s="36">
        <v>723218.42180626665</v>
      </c>
      <c r="AI246" s="36">
        <v>770856.20654673246</v>
      </c>
      <c r="AJ246" s="36">
        <v>818493.99128719815</v>
      </c>
      <c r="AK246" s="36">
        <v>866131.77602766361</v>
      </c>
      <c r="AL246" s="36">
        <v>913769.5607681293</v>
      </c>
      <c r="AM246" s="36">
        <v>961407.345508595</v>
      </c>
      <c r="AN246" s="36">
        <v>1009045.1302490608</v>
      </c>
      <c r="AO246" s="36">
        <v>1056682.9149895264</v>
      </c>
      <c r="AP246" s="36">
        <v>1104320.6997299918</v>
      </c>
      <c r="AQ246" s="36">
        <v>1151958.4844704575</v>
      </c>
      <c r="AR246" s="36">
        <v>1199596.269210923</v>
      </c>
      <c r="AS246" s="36">
        <v>1247234.0539513889</v>
      </c>
      <c r="AT246" s="36">
        <v>1294871.8386918548</v>
      </c>
      <c r="AU246" s="36">
        <v>1342509.6234323201</v>
      </c>
      <c r="AV246" s="36">
        <v>1390147.4081727858</v>
      </c>
      <c r="AW246" s="36">
        <v>1437785.1929132512</v>
      </c>
      <c r="AX246" s="36">
        <v>1485422.9776537169</v>
      </c>
    </row>
    <row r="247" spans="3:50">
      <c r="D247" t="s">
        <v>660</v>
      </c>
      <c r="E247" t="s">
        <v>633</v>
      </c>
      <c r="G247" s="44"/>
      <c r="I247" s="44"/>
      <c r="K247" s="44"/>
      <c r="M247" s="44"/>
      <c r="O247" s="36">
        <v>136983.53708712134</v>
      </c>
      <c r="P247" s="36">
        <v>140166.53353002877</v>
      </c>
      <c r="Q247" s="36">
        <v>143349.5299729362</v>
      </c>
      <c r="R247" s="36">
        <v>146532.52641584369</v>
      </c>
      <c r="S247" s="36">
        <v>149715.52285875115</v>
      </c>
      <c r="T247" s="36">
        <v>152898.51930165861</v>
      </c>
      <c r="U247" s="36">
        <v>156081.51574456604</v>
      </c>
      <c r="V247" s="36">
        <v>159264.51218747351</v>
      </c>
      <c r="W247" s="36">
        <v>162447.50863038097</v>
      </c>
      <c r="X247" s="36">
        <v>165630.5050732884</v>
      </c>
      <c r="Y247" s="36">
        <v>168813.50151619589</v>
      </c>
      <c r="Z247" s="36">
        <v>196012.93589825995</v>
      </c>
      <c r="AA247" s="36">
        <v>223212.37028032407</v>
      </c>
      <c r="AB247" s="36">
        <v>250411.80466238814</v>
      </c>
      <c r="AC247" s="36">
        <v>277611.2390444522</v>
      </c>
      <c r="AD247" s="36">
        <v>304810.67342651641</v>
      </c>
      <c r="AE247" s="36">
        <v>332010.10780858039</v>
      </c>
      <c r="AF247" s="36">
        <v>359209.54219064442</v>
      </c>
      <c r="AG247" s="36">
        <v>386408.97657270863</v>
      </c>
      <c r="AH247" s="36">
        <v>413608.41095477267</v>
      </c>
      <c r="AI247" s="36">
        <v>440807.84533683665</v>
      </c>
      <c r="AJ247" s="36">
        <v>468007.27971890086</v>
      </c>
      <c r="AK247" s="36">
        <v>495206.71410096489</v>
      </c>
      <c r="AL247" s="36">
        <v>522406.14848302904</v>
      </c>
      <c r="AM247" s="36">
        <v>549605.58286509302</v>
      </c>
      <c r="AN247" s="36">
        <v>576805.01724715717</v>
      </c>
      <c r="AO247" s="36">
        <v>604004.45162922132</v>
      </c>
      <c r="AP247" s="36">
        <v>631203.88601128536</v>
      </c>
      <c r="AQ247" s="36">
        <v>658403.32039334939</v>
      </c>
      <c r="AR247" s="36">
        <v>685602.75477541354</v>
      </c>
      <c r="AS247" s="36">
        <v>712802.1891574777</v>
      </c>
      <c r="AT247" s="36">
        <v>740001.62353954185</v>
      </c>
      <c r="AU247" s="36">
        <v>767201.05792160588</v>
      </c>
      <c r="AV247" s="36">
        <v>794400.49230366992</v>
      </c>
      <c r="AW247" s="36">
        <v>821599.92668573407</v>
      </c>
      <c r="AX247" s="36">
        <v>848799.36106779822</v>
      </c>
    </row>
    <row r="248" spans="3:50">
      <c r="E248" t="s">
        <v>660</v>
      </c>
      <c r="G248" s="44"/>
      <c r="I248" s="44"/>
      <c r="K248" s="44"/>
      <c r="M248" s="44"/>
      <c r="O248" s="36">
        <f>SUMIF($D215:$D247,$E248,O215:O247)</f>
        <v>1826036.2353321859</v>
      </c>
      <c r="P248" s="36">
        <f t="shared" ref="P248" si="122">SUMIF($D215:$D247,$E248,P215:P247)</f>
        <v>1879860.1919778392</v>
      </c>
      <c r="Q248" s="36">
        <f t="shared" ref="Q248" si="123">SUMIF($D215:$D247,$E248,Q215:Q247)</f>
        <v>1933684.1486234919</v>
      </c>
      <c r="R248" s="36">
        <f t="shared" ref="R248" si="124">SUMIF($D215:$D247,$E248,R215:R247)</f>
        <v>1987508.1052691452</v>
      </c>
      <c r="S248" s="36">
        <f t="shared" ref="S248" si="125">SUMIF($D215:$D247,$E248,S215:S247)</f>
        <v>2041332.0619147983</v>
      </c>
      <c r="T248" s="36">
        <f t="shared" ref="T248" si="126">SUMIF($D215:$D247,$E248,T215:T247)</f>
        <v>2095156.0185604515</v>
      </c>
      <c r="U248" s="36">
        <f t="shared" ref="U248" si="127">SUMIF($D215:$D247,$E248,U215:U247)</f>
        <v>2148979.9752061046</v>
      </c>
      <c r="V248" s="36">
        <f t="shared" ref="V248" si="128">SUMIF($D215:$D247,$E248,V215:V247)</f>
        <v>2202803.9318517582</v>
      </c>
      <c r="W248" s="36">
        <f t="shared" ref="W248" si="129">SUMIF($D215:$D247,$E248,W215:W247)</f>
        <v>2256627.8884974108</v>
      </c>
      <c r="X248" s="36">
        <f t="shared" ref="X248" si="130">SUMIF($D215:$D247,$E248,X215:X247)</f>
        <v>2310451.8451430639</v>
      </c>
      <c r="Y248" s="36">
        <f t="shared" ref="Y248" si="131">SUMIF($D215:$D247,$E248,Y215:Y247)</f>
        <v>2364275.8017887166</v>
      </c>
      <c r="Z248" s="36">
        <f t="shared" ref="Z248" si="132">SUMIF($D215:$D247,$E248,Z215:Z247)</f>
        <v>2739112.0955300359</v>
      </c>
      <c r="AA248" s="36">
        <f t="shared" ref="AA248" si="133">SUMIF($D215:$D247,$E248,AA215:AA247)</f>
        <v>3113948.3892713557</v>
      </c>
      <c r="AB248" s="36">
        <f t="shared" ref="AB248" si="134">SUMIF($D215:$D247,$E248,AB215:AB247)</f>
        <v>3488784.6830126746</v>
      </c>
      <c r="AC248" s="36">
        <f t="shared" ref="AC248" si="135">SUMIF($D215:$D247,$E248,AC215:AC247)</f>
        <v>3863620.9767539934</v>
      </c>
      <c r="AD248" s="36">
        <f t="shared" ref="AD248" si="136">SUMIF($D215:$D247,$E248,AD215:AD247)</f>
        <v>4238457.2704953132</v>
      </c>
      <c r="AE248" s="36">
        <f t="shared" ref="AE248" si="137">SUMIF($D215:$D247,$E248,AE215:AE247)</f>
        <v>4613293.5642366316</v>
      </c>
      <c r="AF248" s="36">
        <f t="shared" ref="AF248" si="138">SUMIF($D215:$D247,$E248,AF215:AF247)</f>
        <v>4988129.8579779509</v>
      </c>
      <c r="AG248" s="36">
        <f t="shared" ref="AG248" si="139">SUMIF($D215:$D247,$E248,AG215:AG247)</f>
        <v>5362966.1517192703</v>
      </c>
      <c r="AH248" s="36">
        <f t="shared" ref="AH248" si="140">SUMIF($D215:$D247,$E248,AH215:AH247)</f>
        <v>5737802.4454605887</v>
      </c>
      <c r="AI248" s="36">
        <f t="shared" ref="AI248" si="141">SUMIF($D215:$D247,$E248,AI215:AI247)</f>
        <v>6112638.7392019099</v>
      </c>
      <c r="AJ248" s="36">
        <f t="shared" ref="AJ248" si="142">SUMIF($D215:$D247,$E248,AJ215:AJ247)</f>
        <v>6487475.0329432273</v>
      </c>
      <c r="AK248" s="36">
        <f t="shared" ref="AK248" si="143">SUMIF($D215:$D247,$E248,AK215:AK247)</f>
        <v>6862311.3266845476</v>
      </c>
      <c r="AL248" s="36">
        <f t="shared" ref="AL248" si="144">SUMIF($D215:$D247,$E248,AL215:AL247)</f>
        <v>7237147.620425866</v>
      </c>
      <c r="AM248" s="36">
        <f t="shared" ref="AM248" si="145">SUMIF($D215:$D247,$E248,AM215:AM247)</f>
        <v>7611983.9141671844</v>
      </c>
      <c r="AN248" s="36">
        <f t="shared" ref="AN248" si="146">SUMIF($D215:$D247,$E248,AN215:AN247)</f>
        <v>7986820.2079085046</v>
      </c>
      <c r="AO248" s="36">
        <f t="shared" ref="AO248" si="147">SUMIF($D215:$D247,$E248,AO215:AO247)</f>
        <v>8361656.5016498249</v>
      </c>
      <c r="AP248" s="36">
        <f t="shared" ref="AP248" si="148">SUMIF($D215:$D247,$E248,AP215:AP247)</f>
        <v>8736492.7953911424</v>
      </c>
      <c r="AQ248" s="36">
        <f t="shared" ref="AQ248" si="149">SUMIF($D215:$D247,$E248,AQ215:AQ247)</f>
        <v>9111329.0891324617</v>
      </c>
      <c r="AR248" s="36">
        <f t="shared" ref="AR248" si="150">SUMIF($D215:$D247,$E248,AR215:AR247)</f>
        <v>9486165.3828737829</v>
      </c>
      <c r="AS248" s="36">
        <f t="shared" ref="AS248" si="151">SUMIF($D215:$D247,$E248,AS215:AS247)</f>
        <v>9861001.6766151022</v>
      </c>
      <c r="AT248" s="36">
        <f t="shared" ref="AT248" si="152">SUMIF($D215:$D247,$E248,AT215:AT247)</f>
        <v>10235837.97035642</v>
      </c>
      <c r="AU248" s="36">
        <f t="shared" ref="AU248" si="153">SUMIF($D215:$D247,$E248,AU215:AU247)</f>
        <v>10610674.264097739</v>
      </c>
      <c r="AV248" s="36">
        <f t="shared" ref="AV248" si="154">SUMIF($D215:$D247,$E248,AV215:AV247)</f>
        <v>10985510.557839055</v>
      </c>
      <c r="AW248" s="36">
        <f t="shared" ref="AW248" si="155">SUMIF($D215:$D247,$E248,AW215:AW247)</f>
        <v>11360346.851580376</v>
      </c>
      <c r="AX248" s="36">
        <f t="shared" ref="AX248" si="156">SUMIF($D215:$D247,$E248,AX215:AX247)</f>
        <v>11735183.145321695</v>
      </c>
    </row>
    <row r="249" spans="3:50">
      <c r="E249" t="s">
        <v>661</v>
      </c>
      <c r="G249" s="44"/>
      <c r="I249" s="44"/>
      <c r="K249" s="44"/>
      <c r="M249" s="44"/>
      <c r="O249" s="36">
        <f>SUMIF($D215:$D247,$E249,O215:O247)</f>
        <v>7264863.7646678481</v>
      </c>
      <c r="P249" s="36">
        <f t="shared" ref="P249:AX249" si="157">SUMIF($D215:$D247,$E249,P215:P247)</f>
        <v>7432558.8609219929</v>
      </c>
      <c r="Q249" s="36">
        <f t="shared" si="157"/>
        <v>7600253.9571761377</v>
      </c>
      <c r="R249" s="36">
        <f t="shared" si="157"/>
        <v>7767949.0534302834</v>
      </c>
      <c r="S249" s="36">
        <f t="shared" si="157"/>
        <v>7935644.1496844282</v>
      </c>
      <c r="T249" s="36">
        <f t="shared" si="157"/>
        <v>8103339.2459385721</v>
      </c>
      <c r="U249" s="36">
        <f t="shared" si="157"/>
        <v>8271034.3421927169</v>
      </c>
      <c r="V249" s="36">
        <f t="shared" si="157"/>
        <v>8438729.4384468608</v>
      </c>
      <c r="W249" s="36">
        <f t="shared" si="157"/>
        <v>8606424.5347010046</v>
      </c>
      <c r="X249" s="36">
        <f t="shared" si="157"/>
        <v>8774119.6309551504</v>
      </c>
      <c r="Y249" s="36">
        <f t="shared" si="157"/>
        <v>8941814.7272092961</v>
      </c>
      <c r="Z249" s="36">
        <f t="shared" si="157"/>
        <v>10412615.433679504</v>
      </c>
      <c r="AA249" s="36">
        <f t="shared" si="157"/>
        <v>11883416.140149716</v>
      </c>
      <c r="AB249" s="36">
        <f t="shared" si="157"/>
        <v>13354216.846619921</v>
      </c>
      <c r="AC249" s="36">
        <f t="shared" si="157"/>
        <v>14825017.553090131</v>
      </c>
      <c r="AD249" s="36">
        <f t="shared" si="157"/>
        <v>16295818.259560337</v>
      </c>
      <c r="AE249" s="36">
        <f t="shared" si="157"/>
        <v>17766618.966030549</v>
      </c>
      <c r="AF249" s="36">
        <f t="shared" si="157"/>
        <v>19237419.672500759</v>
      </c>
      <c r="AG249" s="36">
        <f t="shared" si="157"/>
        <v>20708220.378970973</v>
      </c>
      <c r="AH249" s="36">
        <f t="shared" si="157"/>
        <v>22179021.085441176</v>
      </c>
      <c r="AI249" s="36">
        <f t="shared" si="157"/>
        <v>23649821.791911386</v>
      </c>
      <c r="AJ249" s="36">
        <f t="shared" si="157"/>
        <v>25120622.498381596</v>
      </c>
      <c r="AK249" s="36">
        <f t="shared" si="157"/>
        <v>26591423.204851806</v>
      </c>
      <c r="AL249" s="36">
        <f t="shared" si="157"/>
        <v>28062223.91132202</v>
      </c>
      <c r="AM249" s="36">
        <f t="shared" si="157"/>
        <v>29533024.617792219</v>
      </c>
      <c r="AN249" s="36">
        <f t="shared" si="157"/>
        <v>31003825.32426244</v>
      </c>
      <c r="AO249" s="36">
        <f t="shared" si="157"/>
        <v>32474626.030732643</v>
      </c>
      <c r="AP249" s="36">
        <f t="shared" si="157"/>
        <v>33945426.737202853</v>
      </c>
      <c r="AQ249" s="36">
        <f t="shared" si="157"/>
        <v>35416227.443673067</v>
      </c>
      <c r="AR249" s="36">
        <f t="shared" si="157"/>
        <v>36887028.150143266</v>
      </c>
      <c r="AS249" s="36">
        <f t="shared" si="157"/>
        <v>38357828.85661348</v>
      </c>
      <c r="AT249" s="36">
        <f t="shared" si="157"/>
        <v>39828629.563083686</v>
      </c>
      <c r="AU249" s="36">
        <f t="shared" si="157"/>
        <v>41299430.2695539</v>
      </c>
      <c r="AV249" s="36">
        <f t="shared" si="157"/>
        <v>42770230.976024099</v>
      </c>
      <c r="AW249" s="36">
        <f t="shared" si="157"/>
        <v>44241031.682494313</v>
      </c>
      <c r="AX249" s="36">
        <f t="shared" si="157"/>
        <v>45711832.388964526</v>
      </c>
    </row>
    <row r="250" spans="3:50">
      <c r="E250" t="s">
        <v>122</v>
      </c>
      <c r="G250" s="44"/>
      <c r="I250" s="44"/>
      <c r="K250" s="44"/>
      <c r="M250" s="44"/>
      <c r="O250" s="159">
        <f>SUM(O215:O247)</f>
        <v>9090900.0000000354</v>
      </c>
      <c r="P250" s="159">
        <f t="shared" ref="P250:AX250" si="158">SUM(P215:P247)</f>
        <v>9312419.05289983</v>
      </c>
      <c r="Q250" s="159">
        <f t="shared" si="158"/>
        <v>9533938.1057996321</v>
      </c>
      <c r="R250" s="159">
        <f t="shared" si="158"/>
        <v>9755457.1586994287</v>
      </c>
      <c r="S250" s="159">
        <f t="shared" si="158"/>
        <v>9976976.211599227</v>
      </c>
      <c r="T250" s="159">
        <f t="shared" si="158"/>
        <v>10198495.264499024</v>
      </c>
      <c r="U250" s="159">
        <f t="shared" si="158"/>
        <v>10420014.317398822</v>
      </c>
      <c r="V250" s="159">
        <f t="shared" si="158"/>
        <v>10641533.370298617</v>
      </c>
      <c r="W250" s="159">
        <f t="shared" si="158"/>
        <v>10863052.423198417</v>
      </c>
      <c r="X250" s="159">
        <f t="shared" si="158"/>
        <v>11084571.476098215</v>
      </c>
      <c r="Y250" s="159">
        <f t="shared" si="158"/>
        <v>11306090.528998012</v>
      </c>
      <c r="Z250" s="159">
        <f t="shared" si="158"/>
        <v>13151727.529209543</v>
      </c>
      <c r="AA250" s="159">
        <f t="shared" si="158"/>
        <v>14997364.529421071</v>
      </c>
      <c r="AB250" s="159">
        <f t="shared" si="158"/>
        <v>16843001.529632594</v>
      </c>
      <c r="AC250" s="159">
        <f t="shared" si="158"/>
        <v>18688638.529844128</v>
      </c>
      <c r="AD250" s="159">
        <f t="shared" si="158"/>
        <v>20534275.530055653</v>
      </c>
      <c r="AE250" s="159">
        <f t="shared" si="158"/>
        <v>22379912.530267175</v>
      </c>
      <c r="AF250" s="159">
        <f t="shared" si="158"/>
        <v>24225549.530478701</v>
      </c>
      <c r="AG250" s="159">
        <f t="shared" si="158"/>
        <v>26071186.530690238</v>
      </c>
      <c r="AH250" s="159">
        <f t="shared" si="158"/>
        <v>27916823.530901771</v>
      </c>
      <c r="AI250" s="159">
        <f t="shared" si="158"/>
        <v>29762460.531113293</v>
      </c>
      <c r="AJ250" s="159">
        <f t="shared" si="158"/>
        <v>31608097.531324826</v>
      </c>
      <c r="AK250" s="159">
        <f t="shared" si="158"/>
        <v>33453734.531536359</v>
      </c>
      <c r="AL250" s="159">
        <f t="shared" si="158"/>
        <v>35299371.531747885</v>
      </c>
      <c r="AM250" s="159">
        <f t="shared" si="158"/>
        <v>37145008.531959422</v>
      </c>
      <c r="AN250" s="159">
        <f t="shared" si="158"/>
        <v>38990645.532170936</v>
      </c>
      <c r="AO250" s="159">
        <f t="shared" si="158"/>
        <v>40836282.532382458</v>
      </c>
      <c r="AP250" s="159">
        <f t="shared" si="158"/>
        <v>42681919.53259401</v>
      </c>
      <c r="AQ250" s="159">
        <f t="shared" si="158"/>
        <v>44527556.532805517</v>
      </c>
      <c r="AR250" s="159">
        <f t="shared" si="158"/>
        <v>46373193.533017047</v>
      </c>
      <c r="AS250" s="159">
        <f t="shared" si="158"/>
        <v>48218830.533228584</v>
      </c>
      <c r="AT250" s="159">
        <f t="shared" si="158"/>
        <v>50064467.533440113</v>
      </c>
      <c r="AU250" s="159">
        <f t="shared" si="158"/>
        <v>51910104.533651635</v>
      </c>
      <c r="AV250" s="159">
        <f t="shared" si="158"/>
        <v>53755741.533863157</v>
      </c>
      <c r="AW250" s="159">
        <f t="shared" si="158"/>
        <v>55601378.534074694</v>
      </c>
      <c r="AX250" s="159">
        <f t="shared" si="158"/>
        <v>57447015.534286238</v>
      </c>
    </row>
    <row r="252" spans="3:50">
      <c r="D252" s="160" t="s">
        <v>720</v>
      </c>
      <c r="E252" t="str">
        <f xml:space="preserve"> Dashboard!$D$5</f>
        <v>Inner London</v>
      </c>
      <c r="G252" s="44"/>
      <c r="I252" s="44"/>
      <c r="K252" s="44"/>
      <c r="M252" s="44"/>
      <c r="O252" s="36">
        <f>INDEX(O215:O250,MATCH($E$252,$E$215:$E$250,0))</f>
        <v>1826036.2353321859</v>
      </c>
      <c r="P252" s="36">
        <f t="shared" ref="P252:AX252" si="159">INDEX(P215:P250,MATCH($E$252,$E$215:$E$250,0))</f>
        <v>1879860.1919778392</v>
      </c>
      <c r="Q252" s="36">
        <f t="shared" si="159"/>
        <v>1933684.1486234919</v>
      </c>
      <c r="R252" s="36">
        <f t="shared" si="159"/>
        <v>1987508.1052691452</v>
      </c>
      <c r="S252" s="36">
        <f t="shared" si="159"/>
        <v>2041332.0619147983</v>
      </c>
      <c r="T252" s="36">
        <f t="shared" si="159"/>
        <v>2095156.0185604515</v>
      </c>
      <c r="U252" s="36">
        <f t="shared" si="159"/>
        <v>2148979.9752061046</v>
      </c>
      <c r="V252" s="36">
        <f t="shared" si="159"/>
        <v>2202803.9318517582</v>
      </c>
      <c r="W252" s="36">
        <f t="shared" si="159"/>
        <v>2256627.8884974108</v>
      </c>
      <c r="X252" s="36">
        <f t="shared" si="159"/>
        <v>2310451.8451430639</v>
      </c>
      <c r="Y252" s="36">
        <f t="shared" si="159"/>
        <v>2364275.8017887166</v>
      </c>
      <c r="Z252" s="36">
        <f t="shared" si="159"/>
        <v>2739112.0955300359</v>
      </c>
      <c r="AA252" s="36">
        <f t="shared" si="159"/>
        <v>3113948.3892713557</v>
      </c>
      <c r="AB252" s="36">
        <f t="shared" si="159"/>
        <v>3488784.6830126746</v>
      </c>
      <c r="AC252" s="36">
        <f t="shared" si="159"/>
        <v>3863620.9767539934</v>
      </c>
      <c r="AD252" s="36">
        <f t="shared" si="159"/>
        <v>4238457.2704953132</v>
      </c>
      <c r="AE252" s="36">
        <f t="shared" si="159"/>
        <v>4613293.5642366316</v>
      </c>
      <c r="AF252" s="36">
        <f t="shared" si="159"/>
        <v>4988129.8579779509</v>
      </c>
      <c r="AG252" s="36">
        <f t="shared" si="159"/>
        <v>5362966.1517192703</v>
      </c>
      <c r="AH252" s="36">
        <f t="shared" si="159"/>
        <v>5737802.4454605887</v>
      </c>
      <c r="AI252" s="36">
        <f t="shared" si="159"/>
        <v>6112638.7392019099</v>
      </c>
      <c r="AJ252" s="36">
        <f t="shared" si="159"/>
        <v>6487475.0329432273</v>
      </c>
      <c r="AK252" s="36">
        <f t="shared" si="159"/>
        <v>6862311.3266845476</v>
      </c>
      <c r="AL252" s="36">
        <f t="shared" si="159"/>
        <v>7237147.620425866</v>
      </c>
      <c r="AM252" s="36">
        <f t="shared" si="159"/>
        <v>7611983.9141671844</v>
      </c>
      <c r="AN252" s="36">
        <f t="shared" si="159"/>
        <v>7986820.2079085046</v>
      </c>
      <c r="AO252" s="36">
        <f t="shared" si="159"/>
        <v>8361656.5016498249</v>
      </c>
      <c r="AP252" s="36">
        <f t="shared" si="159"/>
        <v>8736492.7953911424</v>
      </c>
      <c r="AQ252" s="36">
        <f t="shared" si="159"/>
        <v>9111329.0891324617</v>
      </c>
      <c r="AR252" s="36">
        <f t="shared" si="159"/>
        <v>9486165.3828737829</v>
      </c>
      <c r="AS252" s="36">
        <f t="shared" si="159"/>
        <v>9861001.6766151022</v>
      </c>
      <c r="AT252" s="36">
        <f t="shared" si="159"/>
        <v>10235837.97035642</v>
      </c>
      <c r="AU252" s="36">
        <f t="shared" si="159"/>
        <v>10610674.264097739</v>
      </c>
      <c r="AV252" s="36">
        <f t="shared" si="159"/>
        <v>10985510.557839055</v>
      </c>
      <c r="AW252" s="36">
        <f t="shared" si="159"/>
        <v>11360346.851580376</v>
      </c>
      <c r="AX252" s="36">
        <f t="shared" si="159"/>
        <v>11735183.145321695</v>
      </c>
    </row>
    <row r="254" spans="3:50" s="43" customFormat="1">
      <c r="C254" s="43" t="s">
        <v>35</v>
      </c>
      <c r="O254" s="71"/>
      <c r="P254" s="71"/>
      <c r="Q254" s="71"/>
      <c r="R254" s="71"/>
      <c r="S254" s="71"/>
      <c r="T254" s="71"/>
      <c r="U254" s="71"/>
      <c r="V254" s="71"/>
      <c r="W254" s="71"/>
      <c r="X254" s="71"/>
      <c r="Y254" s="71"/>
      <c r="Z254" s="71"/>
      <c r="AA254" s="71"/>
      <c r="AB254" s="71"/>
      <c r="AC254" s="71"/>
      <c r="AD254" s="71"/>
      <c r="AE254" s="71"/>
      <c r="AF254" s="71"/>
      <c r="AG254" s="71"/>
      <c r="AH254" s="71"/>
      <c r="AI254" s="71"/>
      <c r="AJ254" s="71"/>
      <c r="AK254" s="71"/>
      <c r="AL254" s="71"/>
      <c r="AM254" s="71"/>
      <c r="AN254" s="71"/>
      <c r="AO254" s="71"/>
      <c r="AP254" s="71"/>
      <c r="AQ254" s="71"/>
      <c r="AR254" s="71"/>
      <c r="AS254" s="71"/>
      <c r="AT254" s="71"/>
      <c r="AU254" s="71"/>
      <c r="AV254" s="71"/>
      <c r="AW254" s="71"/>
      <c r="AX254" s="71"/>
    </row>
    <row r="256" spans="3:50">
      <c r="D256" t="s">
        <v>661</v>
      </c>
      <c r="E256" t="s">
        <v>626</v>
      </c>
      <c r="G256" s="44"/>
      <c r="I256" s="44"/>
      <c r="K256" s="44"/>
      <c r="M256" s="44"/>
      <c r="O256" s="36">
        <v>332988.09144140664</v>
      </c>
      <c r="P256" s="36">
        <v>387724.26196094655</v>
      </c>
      <c r="Q256" s="36">
        <v>442460.43248048646</v>
      </c>
      <c r="R256" s="36">
        <v>497196.60300002643</v>
      </c>
      <c r="S256" s="36">
        <v>551932.77351956628</v>
      </c>
      <c r="T256" s="36">
        <v>606668.94403910614</v>
      </c>
      <c r="U256" s="36">
        <v>661405.11455864599</v>
      </c>
      <c r="V256" s="36">
        <v>716141.28507818608</v>
      </c>
      <c r="W256" s="36">
        <v>770877.45559772581</v>
      </c>
      <c r="X256" s="36">
        <v>825613.62611726578</v>
      </c>
      <c r="Y256" s="36">
        <v>880349.79663680587</v>
      </c>
      <c r="Z256" s="36">
        <v>1002496.0951095541</v>
      </c>
      <c r="AA256" s="36">
        <v>1124642.3935823024</v>
      </c>
      <c r="AB256" s="36">
        <v>1246788.6920550505</v>
      </c>
      <c r="AC256" s="36">
        <v>1368934.9905277989</v>
      </c>
      <c r="AD256" s="36">
        <v>1491081.2890005475</v>
      </c>
      <c r="AE256" s="36">
        <v>1613227.5874732959</v>
      </c>
      <c r="AF256" s="36">
        <v>1735373.885946044</v>
      </c>
      <c r="AG256" s="36">
        <v>1857520.1844187928</v>
      </c>
      <c r="AH256" s="36">
        <v>1979666.482891541</v>
      </c>
      <c r="AI256" s="36">
        <v>2101812.7813642891</v>
      </c>
      <c r="AJ256" s="36">
        <v>2223959.0798370368</v>
      </c>
      <c r="AK256" s="36">
        <v>2346105.3783097854</v>
      </c>
      <c r="AL256" s="36">
        <v>2468251.676782534</v>
      </c>
      <c r="AM256" s="36">
        <v>2590397.9752552821</v>
      </c>
      <c r="AN256" s="36">
        <v>2712544.2737280303</v>
      </c>
      <c r="AO256" s="36">
        <v>2834690.5722007789</v>
      </c>
      <c r="AP256" s="36">
        <v>2956836.870673527</v>
      </c>
      <c r="AQ256" s="36">
        <v>3078983.1691462751</v>
      </c>
      <c r="AR256" s="36">
        <v>3201129.4676190238</v>
      </c>
      <c r="AS256" s="36">
        <v>3323275.7660917728</v>
      </c>
      <c r="AT256" s="36">
        <v>3445422.06456452</v>
      </c>
      <c r="AU256" s="36">
        <v>3567568.3630372686</v>
      </c>
      <c r="AV256" s="36">
        <v>3689714.6615100168</v>
      </c>
      <c r="AW256" s="36">
        <v>3811860.9599827658</v>
      </c>
      <c r="AX256" s="36">
        <v>3934007.2584555144</v>
      </c>
    </row>
    <row r="257" spans="4:50">
      <c r="D257" t="s">
        <v>661</v>
      </c>
      <c r="E257" t="s">
        <v>627</v>
      </c>
      <c r="G257" s="44"/>
      <c r="I257" s="44"/>
      <c r="K257" s="44"/>
      <c r="M257" s="44"/>
      <c r="O257" s="36">
        <v>409415.66711500793</v>
      </c>
      <c r="P257" s="36">
        <v>477119.16867514793</v>
      </c>
      <c r="Q257" s="36">
        <v>544822.67023528833</v>
      </c>
      <c r="R257" s="36">
        <v>612526.17179542826</v>
      </c>
      <c r="S257" s="36">
        <v>680229.67335556843</v>
      </c>
      <c r="T257" s="36">
        <v>747933.17491570872</v>
      </c>
      <c r="U257" s="36">
        <v>815636.67647584877</v>
      </c>
      <c r="V257" s="36">
        <v>883340.17803598894</v>
      </c>
      <c r="W257" s="36">
        <v>951043.67959612922</v>
      </c>
      <c r="X257" s="36">
        <v>1018747.181156269</v>
      </c>
      <c r="Y257" s="36">
        <v>1086450.6827164092</v>
      </c>
      <c r="Z257" s="36">
        <v>1234660.0804744861</v>
      </c>
      <c r="AA257" s="36">
        <v>1382869.4782325628</v>
      </c>
      <c r="AB257" s="36">
        <v>1531078.8759906401</v>
      </c>
      <c r="AC257" s="36">
        <v>1679288.2737487163</v>
      </c>
      <c r="AD257" s="36">
        <v>1827497.671506793</v>
      </c>
      <c r="AE257" s="36">
        <v>1975707.0692648704</v>
      </c>
      <c r="AF257" s="36">
        <v>2123916.4670229466</v>
      </c>
      <c r="AG257" s="36">
        <v>2272125.8647810235</v>
      </c>
      <c r="AH257" s="36">
        <v>2420335.2625391004</v>
      </c>
      <c r="AI257" s="36">
        <v>2568544.6602971768</v>
      </c>
      <c r="AJ257" s="36">
        <v>2716754.0580552542</v>
      </c>
      <c r="AK257" s="36">
        <v>2864963.4558133306</v>
      </c>
      <c r="AL257" s="36">
        <v>3013172.853571408</v>
      </c>
      <c r="AM257" s="36">
        <v>3161382.2513294844</v>
      </c>
      <c r="AN257" s="36">
        <v>3309591.6490875618</v>
      </c>
      <c r="AO257" s="36">
        <v>3457801.0468456377</v>
      </c>
      <c r="AP257" s="36">
        <v>3606010.4446037142</v>
      </c>
      <c r="AQ257" s="36">
        <v>3754219.8423617911</v>
      </c>
      <c r="AR257" s="36">
        <v>3902429.240119867</v>
      </c>
      <c r="AS257" s="36">
        <v>4050638.6378779458</v>
      </c>
      <c r="AT257" s="36">
        <v>4198848.0356360218</v>
      </c>
      <c r="AU257" s="36">
        <v>4347057.4333940987</v>
      </c>
      <c r="AV257" s="36">
        <v>4495266.8311521746</v>
      </c>
      <c r="AW257" s="36">
        <v>4643476.2289102525</v>
      </c>
      <c r="AX257" s="36">
        <v>4791685.6266683294</v>
      </c>
    </row>
    <row r="258" spans="4:50">
      <c r="D258" t="s">
        <v>661</v>
      </c>
      <c r="E258" t="s">
        <v>628</v>
      </c>
      <c r="G258" s="44"/>
      <c r="I258" s="44"/>
      <c r="K258" s="44"/>
      <c r="M258" s="44"/>
      <c r="O258" s="36">
        <v>390642.41268575884</v>
      </c>
      <c r="P258" s="36">
        <v>454927.25269830017</v>
      </c>
      <c r="Q258" s="36">
        <v>519212.09271084151</v>
      </c>
      <c r="R258" s="36">
        <v>583496.93272338284</v>
      </c>
      <c r="S258" s="36">
        <v>647781.77273592399</v>
      </c>
      <c r="T258" s="36">
        <v>712066.61274846538</v>
      </c>
      <c r="U258" s="36">
        <v>776351.45276100689</v>
      </c>
      <c r="V258" s="36">
        <v>840636.29277354828</v>
      </c>
      <c r="W258" s="36">
        <v>904921.13278608944</v>
      </c>
      <c r="X258" s="36">
        <v>969205.97279863083</v>
      </c>
      <c r="Y258" s="36">
        <v>1033490.812811172</v>
      </c>
      <c r="Z258" s="36">
        <v>1180707.2566587073</v>
      </c>
      <c r="AA258" s="36">
        <v>1327923.7005062418</v>
      </c>
      <c r="AB258" s="36">
        <v>1475140.1443537765</v>
      </c>
      <c r="AC258" s="36">
        <v>1622356.5882013112</v>
      </c>
      <c r="AD258" s="36">
        <v>1769573.0320488461</v>
      </c>
      <c r="AE258" s="36">
        <v>1916789.4758963808</v>
      </c>
      <c r="AF258" s="36">
        <v>2064005.9197439156</v>
      </c>
      <c r="AG258" s="36">
        <v>2211222.3635914503</v>
      </c>
      <c r="AH258" s="36">
        <v>2358438.8074389854</v>
      </c>
      <c r="AI258" s="36">
        <v>2505655.2512865192</v>
      </c>
      <c r="AJ258" s="36">
        <v>2652871.6951340549</v>
      </c>
      <c r="AK258" s="36">
        <v>2800088.1389815896</v>
      </c>
      <c r="AL258" s="36">
        <v>2947304.5828291248</v>
      </c>
      <c r="AM258" s="36">
        <v>3094521.026676659</v>
      </c>
      <c r="AN258" s="36">
        <v>3241737.4705241947</v>
      </c>
      <c r="AO258" s="36">
        <v>3388953.9143717284</v>
      </c>
      <c r="AP258" s="36">
        <v>3536170.3582192622</v>
      </c>
      <c r="AQ258" s="36">
        <v>3683386.8020667988</v>
      </c>
      <c r="AR258" s="36">
        <v>3830603.245914333</v>
      </c>
      <c r="AS258" s="36">
        <v>3977819.6897618677</v>
      </c>
      <c r="AT258" s="36">
        <v>4125036.1336094025</v>
      </c>
      <c r="AU258" s="36">
        <v>4272252.5774569372</v>
      </c>
      <c r="AV258" s="36">
        <v>4419469.0213044723</v>
      </c>
      <c r="AW258" s="36">
        <v>4566685.4651520057</v>
      </c>
      <c r="AX258" s="36">
        <v>4713901.9089995427</v>
      </c>
    </row>
    <row r="259" spans="4:50">
      <c r="D259" t="s">
        <v>661</v>
      </c>
      <c r="E259" t="s">
        <v>629</v>
      </c>
      <c r="G259" s="44"/>
      <c r="I259" s="44"/>
      <c r="K259" s="44"/>
      <c r="M259" s="44"/>
      <c r="O259" s="36">
        <v>435235.42564687505</v>
      </c>
      <c r="P259" s="36">
        <v>506973.37121802638</v>
      </c>
      <c r="Q259" s="36">
        <v>578711.31678917818</v>
      </c>
      <c r="R259" s="36">
        <v>650449.26236032962</v>
      </c>
      <c r="S259" s="36">
        <v>722187.2079314813</v>
      </c>
      <c r="T259" s="36">
        <v>793925.15350263275</v>
      </c>
      <c r="U259" s="36">
        <v>865663.09907378443</v>
      </c>
      <c r="V259" s="36">
        <v>937401.04464493576</v>
      </c>
      <c r="W259" s="36">
        <v>1009138.9902160874</v>
      </c>
      <c r="X259" s="36">
        <v>1080876.9357872393</v>
      </c>
      <c r="Y259" s="36">
        <v>1152614.8813583909</v>
      </c>
      <c r="Z259" s="36">
        <v>1315408.8008616017</v>
      </c>
      <c r="AA259" s="36">
        <v>1478202.7203648135</v>
      </c>
      <c r="AB259" s="36">
        <v>1640996.6398680243</v>
      </c>
      <c r="AC259" s="36">
        <v>1803790.5593712353</v>
      </c>
      <c r="AD259" s="36">
        <v>1966584.4788744471</v>
      </c>
      <c r="AE259" s="36">
        <v>2129378.3983776583</v>
      </c>
      <c r="AF259" s="36">
        <v>2292172.3178808689</v>
      </c>
      <c r="AG259" s="36">
        <v>2454966.2373840804</v>
      </c>
      <c r="AH259" s="36">
        <v>2617760.1568872915</v>
      </c>
      <c r="AI259" s="36">
        <v>2780554.0763905025</v>
      </c>
      <c r="AJ259" s="36">
        <v>2943347.9958937149</v>
      </c>
      <c r="AK259" s="36">
        <v>3106141.9153969255</v>
      </c>
      <c r="AL259" s="36">
        <v>3268935.8349001366</v>
      </c>
      <c r="AM259" s="36">
        <v>3431729.7544033476</v>
      </c>
      <c r="AN259" s="36">
        <v>3594523.6739065596</v>
      </c>
      <c r="AO259" s="36">
        <v>3757317.5934097697</v>
      </c>
      <c r="AP259" s="36">
        <v>3920111.5129129812</v>
      </c>
      <c r="AQ259" s="36">
        <v>4082905.4324161937</v>
      </c>
      <c r="AR259" s="36">
        <v>4245699.3519194033</v>
      </c>
      <c r="AS259" s="36">
        <v>4408493.2714226153</v>
      </c>
      <c r="AT259" s="36">
        <v>4571287.1909258282</v>
      </c>
      <c r="AU259" s="36">
        <v>4734081.1104290374</v>
      </c>
      <c r="AV259" s="36">
        <v>4896875.0299322475</v>
      </c>
      <c r="AW259" s="36">
        <v>5059668.9494354585</v>
      </c>
      <c r="AX259" s="36">
        <v>5222462.8689386714</v>
      </c>
    </row>
    <row r="260" spans="4:50">
      <c r="D260" t="s">
        <v>661</v>
      </c>
      <c r="E260" t="s">
        <v>630</v>
      </c>
      <c r="G260" s="44"/>
      <c r="I260" s="44"/>
      <c r="K260" s="44"/>
      <c r="M260" s="44"/>
      <c r="O260" s="36">
        <v>379878.63923148939</v>
      </c>
      <c r="P260" s="36">
        <v>441747.75211033761</v>
      </c>
      <c r="Q260" s="36">
        <v>503616.86498918582</v>
      </c>
      <c r="R260" s="36">
        <v>565485.97786803404</v>
      </c>
      <c r="S260" s="36">
        <v>627355.09074688237</v>
      </c>
      <c r="T260" s="36">
        <v>689224.20362573059</v>
      </c>
      <c r="U260" s="36">
        <v>751093.31650457869</v>
      </c>
      <c r="V260" s="36">
        <v>812962.4293834269</v>
      </c>
      <c r="W260" s="36">
        <v>874831.54226227489</v>
      </c>
      <c r="X260" s="36">
        <v>936700.65514112345</v>
      </c>
      <c r="Y260" s="36">
        <v>998569.76801997144</v>
      </c>
      <c r="Z260" s="36">
        <v>1141686.8106301283</v>
      </c>
      <c r="AA260" s="36">
        <v>1284803.8532402853</v>
      </c>
      <c r="AB260" s="36">
        <v>1427920.8958504426</v>
      </c>
      <c r="AC260" s="36">
        <v>1571037.9384606001</v>
      </c>
      <c r="AD260" s="36">
        <v>1714154.9810707562</v>
      </c>
      <c r="AE260" s="36">
        <v>1857272.0236809137</v>
      </c>
      <c r="AF260" s="36">
        <v>2000389.0662910705</v>
      </c>
      <c r="AG260" s="36">
        <v>2143506.1089012278</v>
      </c>
      <c r="AH260" s="36">
        <v>2286623.1515113842</v>
      </c>
      <c r="AI260" s="36">
        <v>2429740.1941215415</v>
      </c>
      <c r="AJ260" s="36">
        <v>2572857.2367316987</v>
      </c>
      <c r="AK260" s="36">
        <v>2715974.2793418556</v>
      </c>
      <c r="AL260" s="36">
        <v>2859091.3219520133</v>
      </c>
      <c r="AM260" s="36">
        <v>3002208.3645621706</v>
      </c>
      <c r="AN260" s="36">
        <v>3145325.407172326</v>
      </c>
      <c r="AO260" s="36">
        <v>3288442.4497824842</v>
      </c>
      <c r="AP260" s="36">
        <v>3431559.4923926401</v>
      </c>
      <c r="AQ260" s="36">
        <v>3574676.5350027983</v>
      </c>
      <c r="AR260" s="36">
        <v>3717793.5776129547</v>
      </c>
      <c r="AS260" s="36">
        <v>3860910.6202231119</v>
      </c>
      <c r="AT260" s="36">
        <v>4004027.6628332688</v>
      </c>
      <c r="AU260" s="36">
        <v>4147144.7054434251</v>
      </c>
      <c r="AV260" s="36">
        <v>4290261.7480535815</v>
      </c>
      <c r="AW260" s="36">
        <v>4433378.7906637397</v>
      </c>
      <c r="AX260" s="36">
        <v>4576495.833273896</v>
      </c>
    </row>
    <row r="261" spans="4:50">
      <c r="D261" t="s">
        <v>660</v>
      </c>
      <c r="E261" t="s">
        <v>631</v>
      </c>
      <c r="G261" s="44"/>
      <c r="I261" s="44"/>
      <c r="K261" s="44"/>
      <c r="M261" s="44"/>
      <c r="O261" s="36">
        <v>154849.86057347973</v>
      </c>
      <c r="P261" s="36">
        <v>182419.02996285682</v>
      </c>
      <c r="Q261" s="36">
        <v>209988.19935223385</v>
      </c>
      <c r="R261" s="36">
        <v>237557.36874161093</v>
      </c>
      <c r="S261" s="36">
        <v>265126.53813098802</v>
      </c>
      <c r="T261" s="36">
        <v>292695.70752036513</v>
      </c>
      <c r="U261" s="36">
        <v>320264.87690974219</v>
      </c>
      <c r="V261" s="36">
        <v>347834.04629911919</v>
      </c>
      <c r="W261" s="36">
        <v>375403.21568849636</v>
      </c>
      <c r="X261" s="36">
        <v>402972.38507787348</v>
      </c>
      <c r="Y261" s="36">
        <v>430541.55446725053</v>
      </c>
      <c r="Z261" s="36">
        <v>490379.74857279711</v>
      </c>
      <c r="AA261" s="36">
        <v>550217.94267834374</v>
      </c>
      <c r="AB261" s="36">
        <v>610056.13678389043</v>
      </c>
      <c r="AC261" s="36">
        <v>669894.33088943688</v>
      </c>
      <c r="AD261" s="36">
        <v>729732.52499498357</v>
      </c>
      <c r="AE261" s="36">
        <v>789570.71910053038</v>
      </c>
      <c r="AF261" s="36">
        <v>849408.91320607683</v>
      </c>
      <c r="AG261" s="36">
        <v>909247.10731162329</v>
      </c>
      <c r="AH261" s="36">
        <v>969085.30141716998</v>
      </c>
      <c r="AI261" s="36">
        <v>1028923.4955227163</v>
      </c>
      <c r="AJ261" s="36">
        <v>1088761.6896282632</v>
      </c>
      <c r="AK261" s="36">
        <v>1148599.8837338099</v>
      </c>
      <c r="AL261" s="36">
        <v>1208438.0778393564</v>
      </c>
      <c r="AM261" s="36">
        <v>1268276.2719449028</v>
      </c>
      <c r="AN261" s="36">
        <v>1328114.4660504495</v>
      </c>
      <c r="AO261" s="36">
        <v>1387952.6601559962</v>
      </c>
      <c r="AP261" s="36">
        <v>1447790.8542615429</v>
      </c>
      <c r="AQ261" s="36">
        <v>1507629.0483670896</v>
      </c>
      <c r="AR261" s="36">
        <v>1567467.2424726367</v>
      </c>
      <c r="AS261" s="36">
        <v>1627305.436578183</v>
      </c>
      <c r="AT261" s="36">
        <v>1687143.6306837297</v>
      </c>
      <c r="AU261" s="36">
        <v>1746981.8247892766</v>
      </c>
      <c r="AV261" s="36">
        <v>1806820.0188948233</v>
      </c>
      <c r="AW261" s="36">
        <v>1866658.2130003697</v>
      </c>
      <c r="AX261" s="36">
        <v>1926496.4071059157</v>
      </c>
    </row>
    <row r="262" spans="4:50">
      <c r="D262" t="s">
        <v>660</v>
      </c>
      <c r="E262" t="s">
        <v>632</v>
      </c>
      <c r="G262" s="44"/>
      <c r="I262" s="44"/>
      <c r="K262" s="44"/>
      <c r="M262" s="44"/>
      <c r="O262" s="36">
        <v>100076.23667671316</v>
      </c>
      <c r="P262" s="36">
        <v>115392.61454554413</v>
      </c>
      <c r="Q262" s="36">
        <v>130708.9924143751</v>
      </c>
      <c r="R262" s="36">
        <v>146025.37028320608</v>
      </c>
      <c r="S262" s="36">
        <v>161341.74815203706</v>
      </c>
      <c r="T262" s="36">
        <v>176658.12602086805</v>
      </c>
      <c r="U262" s="36">
        <v>191974.50388969903</v>
      </c>
      <c r="V262" s="36">
        <v>207290.88175853001</v>
      </c>
      <c r="W262" s="36">
        <v>222607.259627361</v>
      </c>
      <c r="X262" s="36">
        <v>237923.63749619198</v>
      </c>
      <c r="Y262" s="36">
        <v>253240.01536502287</v>
      </c>
      <c r="Z262" s="36">
        <v>286397.79538850533</v>
      </c>
      <c r="AA262" s="36">
        <v>319555.57541198778</v>
      </c>
      <c r="AB262" s="36">
        <v>352713.35543547024</v>
      </c>
      <c r="AC262" s="36">
        <v>385871.13545895269</v>
      </c>
      <c r="AD262" s="36">
        <v>419028.91548243514</v>
      </c>
      <c r="AE262" s="36">
        <v>452186.6955059176</v>
      </c>
      <c r="AF262" s="36">
        <v>485344.47552940005</v>
      </c>
      <c r="AG262" s="36">
        <v>518502.2555528825</v>
      </c>
      <c r="AH262" s="36">
        <v>551660.03557636496</v>
      </c>
      <c r="AI262" s="36">
        <v>584817.81559984747</v>
      </c>
      <c r="AJ262" s="36">
        <v>617975.59562332998</v>
      </c>
      <c r="AK262" s="36">
        <v>651133.37564681249</v>
      </c>
      <c r="AL262" s="36">
        <v>684291.155670295</v>
      </c>
      <c r="AM262" s="36">
        <v>717448.93569377752</v>
      </c>
      <c r="AN262" s="36">
        <v>750606.71571726003</v>
      </c>
      <c r="AO262" s="36">
        <v>783764.49574074254</v>
      </c>
      <c r="AP262" s="36">
        <v>816922.27576422505</v>
      </c>
      <c r="AQ262" s="36">
        <v>850080.05578770756</v>
      </c>
      <c r="AR262" s="36">
        <v>883237.83581119007</v>
      </c>
      <c r="AS262" s="36">
        <v>916395.61583467259</v>
      </c>
      <c r="AT262" s="36">
        <v>949553.3958581551</v>
      </c>
      <c r="AU262" s="36">
        <v>982711.17588163761</v>
      </c>
      <c r="AV262" s="36">
        <v>1015868.9559051201</v>
      </c>
      <c r="AW262" s="36">
        <v>1049026.7359286025</v>
      </c>
      <c r="AX262" s="36">
        <v>1082184.5159520844</v>
      </c>
    </row>
    <row r="263" spans="4:50">
      <c r="D263" t="s">
        <v>661</v>
      </c>
      <c r="E263" t="s">
        <v>634</v>
      </c>
      <c r="G263" s="44"/>
      <c r="I263" s="44"/>
      <c r="K263" s="44"/>
      <c r="M263" s="44"/>
      <c r="O263" s="36">
        <v>394055.2515568767</v>
      </c>
      <c r="P263" s="36">
        <v>459703.23671163555</v>
      </c>
      <c r="Q263" s="36">
        <v>525351.22186639416</v>
      </c>
      <c r="R263" s="36">
        <v>590999.20702115295</v>
      </c>
      <c r="S263" s="36">
        <v>656647.19217591151</v>
      </c>
      <c r="T263" s="36">
        <v>722295.17733067053</v>
      </c>
      <c r="U263" s="36">
        <v>787943.16248542909</v>
      </c>
      <c r="V263" s="36">
        <v>853591.14764018799</v>
      </c>
      <c r="W263" s="36">
        <v>919239.13279494701</v>
      </c>
      <c r="X263" s="36">
        <v>984887.11794970569</v>
      </c>
      <c r="Y263" s="36">
        <v>1050535.1031044647</v>
      </c>
      <c r="Z263" s="36">
        <v>1199364.9368781948</v>
      </c>
      <c r="AA263" s="36">
        <v>1348194.7706519261</v>
      </c>
      <c r="AB263" s="36">
        <v>1497024.6044256564</v>
      </c>
      <c r="AC263" s="36">
        <v>1645854.4381993872</v>
      </c>
      <c r="AD263" s="36">
        <v>1794684.2719731177</v>
      </c>
      <c r="AE263" s="36">
        <v>1943514.1057468487</v>
      </c>
      <c r="AF263" s="36">
        <v>2092343.9395205793</v>
      </c>
      <c r="AG263" s="36">
        <v>2241173.7732943101</v>
      </c>
      <c r="AH263" s="36">
        <v>2390003.6070680395</v>
      </c>
      <c r="AI263" s="36">
        <v>2538833.4408417707</v>
      </c>
      <c r="AJ263" s="36">
        <v>2687663.2746155015</v>
      </c>
      <c r="AK263" s="36">
        <v>2836493.1083892332</v>
      </c>
      <c r="AL263" s="36">
        <v>2985322.9421629636</v>
      </c>
      <c r="AM263" s="36">
        <v>3134152.775936693</v>
      </c>
      <c r="AN263" s="36">
        <v>3282982.6097104237</v>
      </c>
      <c r="AO263" s="36">
        <v>3431812.443484155</v>
      </c>
      <c r="AP263" s="36">
        <v>3580642.2772578867</v>
      </c>
      <c r="AQ263" s="36">
        <v>3729472.1110316161</v>
      </c>
      <c r="AR263" s="36">
        <v>3878301.944805346</v>
      </c>
      <c r="AS263" s="36">
        <v>4027131.7785790768</v>
      </c>
      <c r="AT263" s="36">
        <v>4175961.612352808</v>
      </c>
      <c r="AU263" s="36">
        <v>4324791.4461265393</v>
      </c>
      <c r="AV263" s="36">
        <v>4473621.2799002687</v>
      </c>
      <c r="AW263" s="36">
        <v>4622451.1136739999</v>
      </c>
      <c r="AX263" s="36">
        <v>4771280.9474477321</v>
      </c>
    </row>
    <row r="264" spans="4:50">
      <c r="D264" t="s">
        <v>661</v>
      </c>
      <c r="E264" t="s">
        <v>635</v>
      </c>
      <c r="G264" s="44"/>
      <c r="I264" s="44"/>
      <c r="K264" s="44"/>
      <c r="M264" s="44"/>
      <c r="O264" s="36">
        <v>545616.52196754829</v>
      </c>
      <c r="P264" s="36">
        <v>634640.3656335359</v>
      </c>
      <c r="Q264" s="36">
        <v>723664.20929952362</v>
      </c>
      <c r="R264" s="36">
        <v>812688.05296551122</v>
      </c>
      <c r="S264" s="36">
        <v>901711.89663149905</v>
      </c>
      <c r="T264" s="36">
        <v>990735.74029748666</v>
      </c>
      <c r="U264" s="36">
        <v>1079759.5839634747</v>
      </c>
      <c r="V264" s="36">
        <v>1168783.4276294624</v>
      </c>
      <c r="W264" s="36">
        <v>1257807.2712954497</v>
      </c>
      <c r="X264" s="36">
        <v>1346831.1149614376</v>
      </c>
      <c r="Y264" s="36">
        <v>1435854.9586274263</v>
      </c>
      <c r="Z264" s="36">
        <v>1638121.0966188738</v>
      </c>
      <c r="AA264" s="36">
        <v>1840387.2346103226</v>
      </c>
      <c r="AB264" s="36">
        <v>2042653.372601771</v>
      </c>
      <c r="AC264" s="36">
        <v>2244919.5105932197</v>
      </c>
      <c r="AD264" s="36">
        <v>2447185.6485846685</v>
      </c>
      <c r="AE264" s="36">
        <v>2649451.7865761174</v>
      </c>
      <c r="AF264" s="36">
        <v>2851717.9245675658</v>
      </c>
      <c r="AG264" s="36">
        <v>3053984.0625590137</v>
      </c>
      <c r="AH264" s="36">
        <v>3256250.2005504621</v>
      </c>
      <c r="AI264" s="36">
        <v>3458516.3385419091</v>
      </c>
      <c r="AJ264" s="36">
        <v>3660782.4765333575</v>
      </c>
      <c r="AK264" s="36">
        <v>3863048.6145248068</v>
      </c>
      <c r="AL264" s="36">
        <v>4065314.7525162548</v>
      </c>
      <c r="AM264" s="36">
        <v>4267580.8905077036</v>
      </c>
      <c r="AN264" s="36">
        <v>4469847.0284991525</v>
      </c>
      <c r="AO264" s="36">
        <v>4672113.1664906014</v>
      </c>
      <c r="AP264" s="36">
        <v>4874379.3044820493</v>
      </c>
      <c r="AQ264" s="36">
        <v>5076645.4424734963</v>
      </c>
      <c r="AR264" s="36">
        <v>5278911.580464948</v>
      </c>
      <c r="AS264" s="36">
        <v>5481177.718456395</v>
      </c>
      <c r="AT264" s="36">
        <v>5683443.8564478438</v>
      </c>
      <c r="AU264" s="36">
        <v>5885709.9944392899</v>
      </c>
      <c r="AV264" s="36">
        <v>6087976.1324307397</v>
      </c>
      <c r="AW264" s="36">
        <v>6290242.2704221895</v>
      </c>
      <c r="AX264" s="36">
        <v>6492508.4084136365</v>
      </c>
    </row>
    <row r="265" spans="4:50">
      <c r="D265" t="s">
        <v>661</v>
      </c>
      <c r="E265" t="s">
        <v>636</v>
      </c>
      <c r="G265" s="44"/>
      <c r="I265" s="44"/>
      <c r="K265" s="44"/>
      <c r="M265" s="44"/>
      <c r="O265" s="36">
        <v>477985.43706909684</v>
      </c>
      <c r="P265" s="36">
        <v>556164.19303324039</v>
      </c>
      <c r="Q265" s="36">
        <v>634342.94899738382</v>
      </c>
      <c r="R265" s="36">
        <v>712521.70496152714</v>
      </c>
      <c r="S265" s="36">
        <v>790700.46092567069</v>
      </c>
      <c r="T265" s="36">
        <v>868879.21688981378</v>
      </c>
      <c r="U265" s="36">
        <v>947057.97285395733</v>
      </c>
      <c r="V265" s="36">
        <v>1025236.7288181006</v>
      </c>
      <c r="W265" s="36">
        <v>1103415.4847822441</v>
      </c>
      <c r="X265" s="36">
        <v>1181594.2407463877</v>
      </c>
      <c r="Y265" s="36">
        <v>1259772.9967105309</v>
      </c>
      <c r="Z265" s="36">
        <v>1440530.0785862366</v>
      </c>
      <c r="AA265" s="36">
        <v>1621287.1604619424</v>
      </c>
      <c r="AB265" s="36">
        <v>1802044.2423376483</v>
      </c>
      <c r="AC265" s="36">
        <v>1982801.3242133541</v>
      </c>
      <c r="AD265" s="36">
        <v>2163558.40608906</v>
      </c>
      <c r="AE265" s="36">
        <v>2344315.4879647661</v>
      </c>
      <c r="AF265" s="36">
        <v>2525072.5698404717</v>
      </c>
      <c r="AG265" s="36">
        <v>2705829.6517161769</v>
      </c>
      <c r="AH265" s="36">
        <v>2886586.7335918834</v>
      </c>
      <c r="AI265" s="36">
        <v>3067343.81546759</v>
      </c>
      <c r="AJ265" s="36">
        <v>3248100.8973432947</v>
      </c>
      <c r="AK265" s="36">
        <v>3428857.9792190017</v>
      </c>
      <c r="AL265" s="36">
        <v>3609615.0610947064</v>
      </c>
      <c r="AM265" s="36">
        <v>3790372.1429704134</v>
      </c>
      <c r="AN265" s="36">
        <v>3971129.2248461195</v>
      </c>
      <c r="AO265" s="36">
        <v>4151886.3067218238</v>
      </c>
      <c r="AP265" s="36">
        <v>4332643.3885975303</v>
      </c>
      <c r="AQ265" s="36">
        <v>4513400.4704732373</v>
      </c>
      <c r="AR265" s="36">
        <v>4694157.5523489416</v>
      </c>
      <c r="AS265" s="36">
        <v>4874914.6342246486</v>
      </c>
      <c r="AT265" s="36">
        <v>5055671.7161003547</v>
      </c>
      <c r="AU265" s="36">
        <v>5236428.7979760608</v>
      </c>
      <c r="AV265" s="36">
        <v>5417185.8798517659</v>
      </c>
      <c r="AW265" s="36">
        <v>5597942.9617274711</v>
      </c>
      <c r="AX265" s="36">
        <v>5778700.0436031763</v>
      </c>
    </row>
    <row r="266" spans="4:50">
      <c r="D266" t="s">
        <v>660</v>
      </c>
      <c r="E266" t="s">
        <v>637</v>
      </c>
      <c r="G266" s="44"/>
      <c r="I266" s="44"/>
      <c r="K266" s="44"/>
      <c r="M266" s="44"/>
      <c r="O266" s="36">
        <v>303784.03620795783</v>
      </c>
      <c r="P266" s="36">
        <v>359397.56089627405</v>
      </c>
      <c r="Q266" s="36">
        <v>415011.08558459033</v>
      </c>
      <c r="R266" s="36">
        <v>470624.61027290655</v>
      </c>
      <c r="S266" s="36">
        <v>526238.13496122276</v>
      </c>
      <c r="T266" s="36">
        <v>581851.65964953904</v>
      </c>
      <c r="U266" s="36">
        <v>637465.18433785532</v>
      </c>
      <c r="V266" s="36">
        <v>693078.70902617136</v>
      </c>
      <c r="W266" s="36">
        <v>748692.23371448752</v>
      </c>
      <c r="X266" s="36">
        <v>804305.75840280391</v>
      </c>
      <c r="Y266" s="36">
        <v>859919.28309112019</v>
      </c>
      <c r="Z266" s="36">
        <v>974871.42141988035</v>
      </c>
      <c r="AA266" s="36">
        <v>1089823.5597486405</v>
      </c>
      <c r="AB266" s="36">
        <v>1204775.6980774007</v>
      </c>
      <c r="AC266" s="36">
        <v>1319727.8364061606</v>
      </c>
      <c r="AD266" s="36">
        <v>1434679.9747349208</v>
      </c>
      <c r="AE266" s="36">
        <v>1549632.1130636814</v>
      </c>
      <c r="AF266" s="36">
        <v>1664584.2513924413</v>
      </c>
      <c r="AG266" s="36">
        <v>1779536.389721201</v>
      </c>
      <c r="AH266" s="36">
        <v>1894488.5280499612</v>
      </c>
      <c r="AI266" s="36">
        <v>2009440.6663787211</v>
      </c>
      <c r="AJ266" s="36">
        <v>2124392.8047074825</v>
      </c>
      <c r="AK266" s="36">
        <v>2239344.9430362419</v>
      </c>
      <c r="AL266" s="36">
        <v>2354297.0813650014</v>
      </c>
      <c r="AM266" s="36">
        <v>2469249.2196937618</v>
      </c>
      <c r="AN266" s="36">
        <v>2584201.3580225217</v>
      </c>
      <c r="AO266" s="36">
        <v>2699153.4963512816</v>
      </c>
      <c r="AP266" s="36">
        <v>2814105.634680042</v>
      </c>
      <c r="AQ266" s="36">
        <v>2929057.773008802</v>
      </c>
      <c r="AR266" s="36">
        <v>3044009.9113375628</v>
      </c>
      <c r="AS266" s="36">
        <v>3158962.0496663232</v>
      </c>
      <c r="AT266" s="36">
        <v>3273914.1879950836</v>
      </c>
      <c r="AU266" s="36">
        <v>3388866.3263238431</v>
      </c>
      <c r="AV266" s="36">
        <v>3503818.4646526026</v>
      </c>
      <c r="AW266" s="36">
        <v>3618770.6029813648</v>
      </c>
      <c r="AX266" s="36">
        <v>3733722.7413101248</v>
      </c>
    </row>
    <row r="267" spans="4:50">
      <c r="D267" t="s">
        <v>660</v>
      </c>
      <c r="E267" t="s">
        <v>638</v>
      </c>
      <c r="G267" s="44"/>
      <c r="I267" s="44"/>
      <c r="K267" s="44"/>
      <c r="M267" s="44"/>
      <c r="O267" s="36">
        <v>113828.74240882861</v>
      </c>
      <c r="P267" s="36">
        <v>135291.27588564466</v>
      </c>
      <c r="Q267" s="36">
        <v>156753.80936246077</v>
      </c>
      <c r="R267" s="36">
        <v>178216.34283927683</v>
      </c>
      <c r="S267" s="36">
        <v>199678.87631609288</v>
      </c>
      <c r="T267" s="36">
        <v>221141.40979290899</v>
      </c>
      <c r="U267" s="36">
        <v>242603.94326972502</v>
      </c>
      <c r="V267" s="36">
        <v>264066.4767465411</v>
      </c>
      <c r="W267" s="36">
        <v>285529.01022335712</v>
      </c>
      <c r="X267" s="36">
        <v>306991.54370017326</v>
      </c>
      <c r="Y267" s="36">
        <v>328454.07717698935</v>
      </c>
      <c r="Z267" s="36">
        <v>373503.90723879053</v>
      </c>
      <c r="AA267" s="36">
        <v>418553.73730059166</v>
      </c>
      <c r="AB267" s="36">
        <v>463603.56736239285</v>
      </c>
      <c r="AC267" s="36">
        <v>508653.39742419391</v>
      </c>
      <c r="AD267" s="36">
        <v>553703.22748599492</v>
      </c>
      <c r="AE267" s="36">
        <v>598753.05754779605</v>
      </c>
      <c r="AF267" s="36">
        <v>643802.88760959718</v>
      </c>
      <c r="AG267" s="36">
        <v>688852.71767139854</v>
      </c>
      <c r="AH267" s="36">
        <v>733902.54773319955</v>
      </c>
      <c r="AI267" s="36">
        <v>778952.37779500068</v>
      </c>
      <c r="AJ267" s="36">
        <v>824002.20785680192</v>
      </c>
      <c r="AK267" s="36">
        <v>869052.0379186027</v>
      </c>
      <c r="AL267" s="36">
        <v>914101.86798040406</v>
      </c>
      <c r="AM267" s="36">
        <v>959151.69804220565</v>
      </c>
      <c r="AN267" s="36">
        <v>1004201.5281040064</v>
      </c>
      <c r="AO267" s="36">
        <v>1049251.3581658073</v>
      </c>
      <c r="AP267" s="36">
        <v>1094301.1882276086</v>
      </c>
      <c r="AQ267" s="36">
        <v>1139351.0182894096</v>
      </c>
      <c r="AR267" s="36">
        <v>1184400.8483512111</v>
      </c>
      <c r="AS267" s="36">
        <v>1229450.6784130123</v>
      </c>
      <c r="AT267" s="36">
        <v>1274500.5084748133</v>
      </c>
      <c r="AU267" s="36">
        <v>1319550.3385366148</v>
      </c>
      <c r="AV267" s="36">
        <v>1364600.1685984158</v>
      </c>
      <c r="AW267" s="36">
        <v>1409649.9986602166</v>
      </c>
      <c r="AX267" s="36">
        <v>1454699.8287220174</v>
      </c>
    </row>
    <row r="268" spans="4:50">
      <c r="D268" t="s">
        <v>660</v>
      </c>
      <c r="E268" t="s">
        <v>639</v>
      </c>
      <c r="G268" s="44"/>
      <c r="I268" s="44"/>
      <c r="K268" s="44"/>
      <c r="M268" s="44"/>
      <c r="O268" s="36">
        <v>126971.76490824994</v>
      </c>
      <c r="P268" s="36">
        <v>149928.19524191882</v>
      </c>
      <c r="Q268" s="36">
        <v>172884.62557558771</v>
      </c>
      <c r="R268" s="36">
        <v>195841.05590925657</v>
      </c>
      <c r="S268" s="36">
        <v>218797.48624292549</v>
      </c>
      <c r="T268" s="36">
        <v>241753.91657659426</v>
      </c>
      <c r="U268" s="36">
        <v>264710.34691026318</v>
      </c>
      <c r="V268" s="36">
        <v>287666.77724393201</v>
      </c>
      <c r="W268" s="36">
        <v>310623.20757760096</v>
      </c>
      <c r="X268" s="36">
        <v>333579.63791126985</v>
      </c>
      <c r="Y268" s="36">
        <v>356536.06824493874</v>
      </c>
      <c r="Z268" s="36">
        <v>405892.42475802184</v>
      </c>
      <c r="AA268" s="36">
        <v>455248.78127110493</v>
      </c>
      <c r="AB268" s="36">
        <v>504605.13778418821</v>
      </c>
      <c r="AC268" s="36">
        <v>553961.49429727148</v>
      </c>
      <c r="AD268" s="36">
        <v>603317.85081035434</v>
      </c>
      <c r="AE268" s="36">
        <v>652674.20732343756</v>
      </c>
      <c r="AF268" s="36">
        <v>702030.56383652089</v>
      </c>
      <c r="AG268" s="36">
        <v>751386.92034960375</v>
      </c>
      <c r="AH268" s="36">
        <v>800743.27686268697</v>
      </c>
      <c r="AI268" s="36">
        <v>850099.63337577006</v>
      </c>
      <c r="AJ268" s="36">
        <v>899455.98988885339</v>
      </c>
      <c r="AK268" s="36">
        <v>948812.34640193637</v>
      </c>
      <c r="AL268" s="36">
        <v>998168.70291501994</v>
      </c>
      <c r="AM268" s="36">
        <v>1047525.059428103</v>
      </c>
      <c r="AN268" s="36">
        <v>1096881.4159411862</v>
      </c>
      <c r="AO268" s="36">
        <v>1146237.7724542695</v>
      </c>
      <c r="AP268" s="36">
        <v>1195594.1289673524</v>
      </c>
      <c r="AQ268" s="36">
        <v>1244950.4854804357</v>
      </c>
      <c r="AR268" s="36">
        <v>1294306.8419935186</v>
      </c>
      <c r="AS268" s="36">
        <v>1343663.1985066016</v>
      </c>
      <c r="AT268" s="36">
        <v>1393019.5550196851</v>
      </c>
      <c r="AU268" s="36">
        <v>1442375.9115327685</v>
      </c>
      <c r="AV268" s="36">
        <v>1491732.2680458513</v>
      </c>
      <c r="AW268" s="36">
        <v>1541088.6245589345</v>
      </c>
      <c r="AX268" s="36">
        <v>1590444.981072017</v>
      </c>
    </row>
    <row r="269" spans="4:50">
      <c r="D269" t="s">
        <v>661</v>
      </c>
      <c r="E269" t="s">
        <v>640</v>
      </c>
      <c r="G269" s="44"/>
      <c r="I269" s="44"/>
      <c r="K269" s="44"/>
      <c r="M269" s="44"/>
      <c r="O269" s="36">
        <v>197029.53943715699</v>
      </c>
      <c r="P269" s="36">
        <v>228975.42446949147</v>
      </c>
      <c r="Q269" s="36">
        <v>260921.30950182601</v>
      </c>
      <c r="R269" s="36">
        <v>292867.19453416043</v>
      </c>
      <c r="S269" s="36">
        <v>324813.07956649479</v>
      </c>
      <c r="T269" s="36">
        <v>356758.96459882945</v>
      </c>
      <c r="U269" s="36">
        <v>388704.84963116393</v>
      </c>
      <c r="V269" s="36">
        <v>420650.73466349841</v>
      </c>
      <c r="W269" s="36">
        <v>452596.61969583295</v>
      </c>
      <c r="X269" s="36">
        <v>484542.50472816732</v>
      </c>
      <c r="Y269" s="36">
        <v>516488.38976050203</v>
      </c>
      <c r="Z269" s="36">
        <v>589067.73218808114</v>
      </c>
      <c r="AA269" s="36">
        <v>661647.07461566012</v>
      </c>
      <c r="AB269" s="36">
        <v>734226.41704323934</v>
      </c>
      <c r="AC269" s="36">
        <v>806805.75947081845</v>
      </c>
      <c r="AD269" s="36">
        <v>879385.10189839755</v>
      </c>
      <c r="AE269" s="36">
        <v>951964.44432597677</v>
      </c>
      <c r="AF269" s="36">
        <v>1024543.7867535558</v>
      </c>
      <c r="AG269" s="36">
        <v>1097123.129181135</v>
      </c>
      <c r="AH269" s="36">
        <v>1169702.4716087137</v>
      </c>
      <c r="AI269" s="36">
        <v>1242281.8140362927</v>
      </c>
      <c r="AJ269" s="36">
        <v>1314861.1564638722</v>
      </c>
      <c r="AK269" s="36">
        <v>1387440.4988914512</v>
      </c>
      <c r="AL269" s="36">
        <v>1460019.8413190302</v>
      </c>
      <c r="AM269" s="36">
        <v>1532599.1837466096</v>
      </c>
      <c r="AN269" s="36">
        <v>1605178.5261741884</v>
      </c>
      <c r="AO269" s="36">
        <v>1677757.8686017676</v>
      </c>
      <c r="AP269" s="36">
        <v>1750337.2110293468</v>
      </c>
      <c r="AQ269" s="36">
        <v>1822916.553456926</v>
      </c>
      <c r="AR269" s="36">
        <v>1895495.8958845052</v>
      </c>
      <c r="AS269" s="36">
        <v>1968075.2383120838</v>
      </c>
      <c r="AT269" s="36">
        <v>2040654.580739663</v>
      </c>
      <c r="AU269" s="36">
        <v>2113233.9231672431</v>
      </c>
      <c r="AV269" s="36">
        <v>2185813.2655948214</v>
      </c>
      <c r="AW269" s="36">
        <v>2258392.6080224002</v>
      </c>
      <c r="AX269" s="36">
        <v>2330971.9504499794</v>
      </c>
    </row>
    <row r="270" spans="4:50">
      <c r="D270" t="s">
        <v>661</v>
      </c>
      <c r="E270" t="s">
        <v>641</v>
      </c>
      <c r="G270" s="44"/>
      <c r="I270" s="44"/>
      <c r="K270" s="44"/>
      <c r="M270" s="44"/>
      <c r="O270" s="36">
        <v>246646.28905080963</v>
      </c>
      <c r="P270" s="36">
        <v>286691.81968531356</v>
      </c>
      <c r="Q270" s="36">
        <v>326737.35031981737</v>
      </c>
      <c r="R270" s="36">
        <v>366782.8809543213</v>
      </c>
      <c r="S270" s="36">
        <v>406828.4115888254</v>
      </c>
      <c r="T270" s="36">
        <v>446873.94222332921</v>
      </c>
      <c r="U270" s="36">
        <v>486919.47285783308</v>
      </c>
      <c r="V270" s="36">
        <v>526965.0034923373</v>
      </c>
      <c r="W270" s="36">
        <v>567010.53412684111</v>
      </c>
      <c r="X270" s="36">
        <v>607056.06476134504</v>
      </c>
      <c r="Y270" s="36">
        <v>647101.59539584909</v>
      </c>
      <c r="Z270" s="36">
        <v>739192.80063720536</v>
      </c>
      <c r="AA270" s="36">
        <v>831284.00587856118</v>
      </c>
      <c r="AB270" s="36">
        <v>923375.21111991722</v>
      </c>
      <c r="AC270" s="36">
        <v>1015466.4163612735</v>
      </c>
      <c r="AD270" s="36">
        <v>1107557.6216026293</v>
      </c>
      <c r="AE270" s="36">
        <v>1199648.8268439858</v>
      </c>
      <c r="AF270" s="36">
        <v>1291740.0320853414</v>
      </c>
      <c r="AG270" s="36">
        <v>1383831.2373266979</v>
      </c>
      <c r="AH270" s="36">
        <v>1475922.4425680537</v>
      </c>
      <c r="AI270" s="36">
        <v>1568013.64780941</v>
      </c>
      <c r="AJ270" s="36">
        <v>1660104.853050766</v>
      </c>
      <c r="AK270" s="36">
        <v>1752196.0582921228</v>
      </c>
      <c r="AL270" s="36">
        <v>1844287.2635334781</v>
      </c>
      <c r="AM270" s="36">
        <v>1936378.4687748346</v>
      </c>
      <c r="AN270" s="36">
        <v>2028469.6740161909</v>
      </c>
      <c r="AO270" s="36">
        <v>2120560.8792575467</v>
      </c>
      <c r="AP270" s="36">
        <v>2212652.0844989032</v>
      </c>
      <c r="AQ270" s="36">
        <v>2304743.2897402593</v>
      </c>
      <c r="AR270" s="36">
        <v>2396834.4949816153</v>
      </c>
      <c r="AS270" s="36">
        <v>2488925.7002229709</v>
      </c>
      <c r="AT270" s="36">
        <v>2581016.9054643274</v>
      </c>
      <c r="AU270" s="36">
        <v>2673108.110705683</v>
      </c>
      <c r="AV270" s="36">
        <v>2765199.3159470404</v>
      </c>
      <c r="AW270" s="36">
        <v>2857290.5211883946</v>
      </c>
      <c r="AX270" s="36">
        <v>2949381.7264297521</v>
      </c>
    </row>
    <row r="271" spans="4:50">
      <c r="D271" t="s">
        <v>661</v>
      </c>
      <c r="E271" t="s">
        <v>642</v>
      </c>
      <c r="G271" s="44"/>
      <c r="I271" s="44"/>
      <c r="K271" s="44"/>
      <c r="M271" s="44"/>
      <c r="O271" s="36">
        <v>382400.81920789549</v>
      </c>
      <c r="P271" s="36">
        <v>444470.22736447235</v>
      </c>
      <c r="Q271" s="36">
        <v>506539.63552104915</v>
      </c>
      <c r="R271" s="36">
        <v>568609.04367762594</v>
      </c>
      <c r="S271" s="36">
        <v>630678.45183420274</v>
      </c>
      <c r="T271" s="36">
        <v>692747.85999077954</v>
      </c>
      <c r="U271" s="36">
        <v>754817.26814735646</v>
      </c>
      <c r="V271" s="36">
        <v>816886.67630393326</v>
      </c>
      <c r="W271" s="36">
        <v>878956.08446050982</v>
      </c>
      <c r="X271" s="36">
        <v>941025.49261708697</v>
      </c>
      <c r="Y271" s="36">
        <v>1003094.9007736637</v>
      </c>
      <c r="Z271" s="36">
        <v>1144389.5150313349</v>
      </c>
      <c r="AA271" s="36">
        <v>1285684.1292890066</v>
      </c>
      <c r="AB271" s="36">
        <v>1426978.7435466778</v>
      </c>
      <c r="AC271" s="36">
        <v>1568273.3578043492</v>
      </c>
      <c r="AD271" s="36">
        <v>1709567.9720620201</v>
      </c>
      <c r="AE271" s="36">
        <v>1850862.5863196915</v>
      </c>
      <c r="AF271" s="36">
        <v>1992157.2005773627</v>
      </c>
      <c r="AG271" s="36">
        <v>2133451.8148350338</v>
      </c>
      <c r="AH271" s="36">
        <v>2274746.4290927052</v>
      </c>
      <c r="AI271" s="36">
        <v>2416041.0433503776</v>
      </c>
      <c r="AJ271" s="36">
        <v>2557335.6576080485</v>
      </c>
      <c r="AK271" s="36">
        <v>2698630.271865719</v>
      </c>
      <c r="AL271" s="36">
        <v>2839924.8861233909</v>
      </c>
      <c r="AM271" s="36">
        <v>2981219.5003810613</v>
      </c>
      <c r="AN271" s="36">
        <v>3122514.1146387332</v>
      </c>
      <c r="AO271" s="36">
        <v>3263808.7288964046</v>
      </c>
      <c r="AP271" s="36">
        <v>3405103.3431540756</v>
      </c>
      <c r="AQ271" s="36">
        <v>3546397.9574117474</v>
      </c>
      <c r="AR271" s="36">
        <v>3687692.5716694174</v>
      </c>
      <c r="AS271" s="36">
        <v>3828987.1859270893</v>
      </c>
      <c r="AT271" s="36">
        <v>3970281.8001847602</v>
      </c>
      <c r="AU271" s="36">
        <v>4111576.4144424321</v>
      </c>
      <c r="AV271" s="36">
        <v>4252871.0287001031</v>
      </c>
      <c r="AW271" s="36">
        <v>4394165.642957774</v>
      </c>
      <c r="AX271" s="36">
        <v>4535460.2572154477</v>
      </c>
    </row>
    <row r="272" spans="4:50">
      <c r="D272" t="s">
        <v>661</v>
      </c>
      <c r="E272" t="s">
        <v>643</v>
      </c>
      <c r="G272" s="44"/>
      <c r="I272" s="44"/>
      <c r="K272" s="44"/>
      <c r="M272" s="44"/>
      <c r="O272" s="36">
        <v>692978.75686731644</v>
      </c>
      <c r="P272" s="36">
        <v>805449.73264130799</v>
      </c>
      <c r="Q272" s="36">
        <v>917920.7084152993</v>
      </c>
      <c r="R272" s="36">
        <v>1030391.6841892909</v>
      </c>
      <c r="S272" s="36">
        <v>1142862.6599632825</v>
      </c>
      <c r="T272" s="36">
        <v>1255333.6357372741</v>
      </c>
      <c r="U272" s="36">
        <v>1367804.6115112659</v>
      </c>
      <c r="V272" s="36">
        <v>1480275.5872852572</v>
      </c>
      <c r="W272" s="36">
        <v>1592746.5630592485</v>
      </c>
      <c r="X272" s="36">
        <v>1705217.5388332403</v>
      </c>
      <c r="Y272" s="36">
        <v>1817688.5146072318</v>
      </c>
      <c r="Z272" s="36">
        <v>2077333.2915328457</v>
      </c>
      <c r="AA272" s="36">
        <v>2336978.0684584593</v>
      </c>
      <c r="AB272" s="36">
        <v>2596622.8453840734</v>
      </c>
      <c r="AC272" s="36">
        <v>2856267.6223096875</v>
      </c>
      <c r="AD272" s="36">
        <v>3115912.3992353017</v>
      </c>
      <c r="AE272" s="36">
        <v>3375557.1761609153</v>
      </c>
      <c r="AF272" s="36">
        <v>3635201.9530865289</v>
      </c>
      <c r="AG272" s="36">
        <v>3894846.7300121426</v>
      </c>
      <c r="AH272" s="36">
        <v>4154491.5069377571</v>
      </c>
      <c r="AI272" s="36">
        <v>4414136.2838633703</v>
      </c>
      <c r="AJ272" s="36">
        <v>4673781.0607889853</v>
      </c>
      <c r="AK272" s="36">
        <v>4933425.8377145994</v>
      </c>
      <c r="AL272" s="36">
        <v>5193070.6146402135</v>
      </c>
      <c r="AM272" s="36">
        <v>5452715.3915658258</v>
      </c>
      <c r="AN272" s="36">
        <v>5712360.1684914418</v>
      </c>
      <c r="AO272" s="36">
        <v>5972004.9454170559</v>
      </c>
      <c r="AP272" s="36">
        <v>6231649.7223426672</v>
      </c>
      <c r="AQ272" s="36">
        <v>6491294.4992682813</v>
      </c>
      <c r="AR272" s="36">
        <v>6750939.2761938972</v>
      </c>
      <c r="AS272" s="36">
        <v>7010584.0531195113</v>
      </c>
      <c r="AT272" s="36">
        <v>7270228.8300451264</v>
      </c>
      <c r="AU272" s="36">
        <v>7529873.6069707386</v>
      </c>
      <c r="AV272" s="36">
        <v>7789518.3838963518</v>
      </c>
      <c r="AW272" s="36">
        <v>8049163.1608219678</v>
      </c>
      <c r="AX272" s="36">
        <v>8308807.93774758</v>
      </c>
    </row>
    <row r="273" spans="4:50">
      <c r="D273" t="s">
        <v>661</v>
      </c>
      <c r="E273" t="s">
        <v>644</v>
      </c>
      <c r="G273" s="44"/>
      <c r="I273" s="44"/>
      <c r="K273" s="44"/>
      <c r="M273" s="44"/>
      <c r="O273" s="36">
        <v>386096.94816516107</v>
      </c>
      <c r="P273" s="36">
        <v>449683.417826636</v>
      </c>
      <c r="Q273" s="36">
        <v>513269.88748811069</v>
      </c>
      <c r="R273" s="36">
        <v>576856.35714958562</v>
      </c>
      <c r="S273" s="36">
        <v>640442.82681106054</v>
      </c>
      <c r="T273" s="36">
        <v>704029.29647253559</v>
      </c>
      <c r="U273" s="36">
        <v>767615.76613401016</v>
      </c>
      <c r="V273" s="36">
        <v>831202.23579548544</v>
      </c>
      <c r="W273" s="36">
        <v>894788.70545696025</v>
      </c>
      <c r="X273" s="36">
        <v>958375.17511843506</v>
      </c>
      <c r="Y273" s="36">
        <v>1021961.6447799099</v>
      </c>
      <c r="Z273" s="36">
        <v>1166948.7813095918</v>
      </c>
      <c r="AA273" s="36">
        <v>1311935.9178392738</v>
      </c>
      <c r="AB273" s="36">
        <v>1456923.0543689565</v>
      </c>
      <c r="AC273" s="36">
        <v>1601910.1908986382</v>
      </c>
      <c r="AD273" s="36">
        <v>1746897.3274283204</v>
      </c>
      <c r="AE273" s="36">
        <v>1891884.4639580022</v>
      </c>
      <c r="AF273" s="36">
        <v>2036871.6004876846</v>
      </c>
      <c r="AG273" s="36">
        <v>2181858.7370173666</v>
      </c>
      <c r="AH273" s="36">
        <v>2326845.8735470488</v>
      </c>
      <c r="AI273" s="36">
        <v>2471833.010076731</v>
      </c>
      <c r="AJ273" s="36">
        <v>2616820.1466064123</v>
      </c>
      <c r="AK273" s="36">
        <v>2761807.2831360949</v>
      </c>
      <c r="AL273" s="36">
        <v>2906794.4196657767</v>
      </c>
      <c r="AM273" s="36">
        <v>3051781.5561954584</v>
      </c>
      <c r="AN273" s="36">
        <v>3196768.6927251411</v>
      </c>
      <c r="AO273" s="36">
        <v>3341755.8292548228</v>
      </c>
      <c r="AP273" s="36">
        <v>3486742.9657845055</v>
      </c>
      <c r="AQ273" s="36">
        <v>3631730.1023141867</v>
      </c>
      <c r="AR273" s="36">
        <v>3776717.238843869</v>
      </c>
      <c r="AS273" s="36">
        <v>3921704.3753735507</v>
      </c>
      <c r="AT273" s="36">
        <v>4066691.5119032324</v>
      </c>
      <c r="AU273" s="36">
        <v>4211678.6484329142</v>
      </c>
      <c r="AV273" s="36">
        <v>4356665.7849625954</v>
      </c>
      <c r="AW273" s="36">
        <v>4501652.9214922786</v>
      </c>
      <c r="AX273" s="36">
        <v>4646640.0580219608</v>
      </c>
    </row>
    <row r="274" spans="4:50">
      <c r="D274" t="s">
        <v>660</v>
      </c>
      <c r="E274" t="s">
        <v>645</v>
      </c>
      <c r="G274" s="44"/>
      <c r="I274" s="44"/>
      <c r="K274" s="44"/>
      <c r="M274" s="44"/>
      <c r="O274" s="36">
        <v>109810.73952319456</v>
      </c>
      <c r="P274" s="36">
        <v>128842.54714497374</v>
      </c>
      <c r="Q274" s="36">
        <v>147874.35476675301</v>
      </c>
      <c r="R274" s="36">
        <v>166906.16238853219</v>
      </c>
      <c r="S274" s="36">
        <v>185937.9700103114</v>
      </c>
      <c r="T274" s="36">
        <v>204969.77763209055</v>
      </c>
      <c r="U274" s="36">
        <v>224001.58525386979</v>
      </c>
      <c r="V274" s="36">
        <v>243033.39287564898</v>
      </c>
      <c r="W274" s="36">
        <v>262065.20049742819</v>
      </c>
      <c r="X274" s="36">
        <v>281097.0081192074</v>
      </c>
      <c r="Y274" s="36">
        <v>300128.81574098655</v>
      </c>
      <c r="Z274" s="36">
        <v>341670.45714075217</v>
      </c>
      <c r="AA274" s="36">
        <v>383212.09854051791</v>
      </c>
      <c r="AB274" s="36">
        <v>424753.73994028347</v>
      </c>
      <c r="AC274" s="36">
        <v>466295.38134004921</v>
      </c>
      <c r="AD274" s="36">
        <v>507837.02273981483</v>
      </c>
      <c r="AE274" s="36">
        <v>549378.66413958045</v>
      </c>
      <c r="AF274" s="36">
        <v>590920.30553934618</v>
      </c>
      <c r="AG274" s="36">
        <v>632461.9469391118</v>
      </c>
      <c r="AH274" s="36">
        <v>674003.58833887742</v>
      </c>
      <c r="AI274" s="36">
        <v>715545.22973864304</v>
      </c>
      <c r="AJ274" s="36">
        <v>757086.87113840855</v>
      </c>
      <c r="AK274" s="36">
        <v>798628.51253817428</v>
      </c>
      <c r="AL274" s="36">
        <v>840170.15393794002</v>
      </c>
      <c r="AM274" s="36">
        <v>881711.79533770552</v>
      </c>
      <c r="AN274" s="36">
        <v>923253.43673747126</v>
      </c>
      <c r="AO274" s="36">
        <v>964795.07813723676</v>
      </c>
      <c r="AP274" s="36">
        <v>1006336.7195370026</v>
      </c>
      <c r="AQ274" s="36">
        <v>1047878.3609367682</v>
      </c>
      <c r="AR274" s="36">
        <v>1089420.0023365337</v>
      </c>
      <c r="AS274" s="36">
        <v>1130961.6437362996</v>
      </c>
      <c r="AT274" s="36">
        <v>1172503.285136065</v>
      </c>
      <c r="AU274" s="36">
        <v>1214044.9265358306</v>
      </c>
      <c r="AV274" s="36">
        <v>1255586.5679355965</v>
      </c>
      <c r="AW274" s="36">
        <v>1297128.2093353621</v>
      </c>
      <c r="AX274" s="36">
        <v>1338669.8507351279</v>
      </c>
    </row>
    <row r="275" spans="4:50">
      <c r="D275" t="s">
        <v>660</v>
      </c>
      <c r="E275" t="s">
        <v>646</v>
      </c>
      <c r="G275" s="44"/>
      <c r="I275" s="44"/>
      <c r="K275" s="44"/>
      <c r="M275" s="44"/>
      <c r="O275" s="36">
        <v>47992.629225219927</v>
      </c>
      <c r="P275" s="36">
        <v>56398.866772314868</v>
      </c>
      <c r="Q275" s="36">
        <v>64805.104319409795</v>
      </c>
      <c r="R275" s="36">
        <v>73211.341866504721</v>
      </c>
      <c r="S275" s="36">
        <v>81617.579413599684</v>
      </c>
      <c r="T275" s="36">
        <v>90023.816960694603</v>
      </c>
      <c r="U275" s="36">
        <v>98430.054507789537</v>
      </c>
      <c r="V275" s="36">
        <v>106836.29205488446</v>
      </c>
      <c r="W275" s="36">
        <v>115242.52960197943</v>
      </c>
      <c r="X275" s="36">
        <v>123648.76714907432</v>
      </c>
      <c r="Y275" s="36">
        <v>132055.00469616929</v>
      </c>
      <c r="Z275" s="36">
        <v>150619.91983162842</v>
      </c>
      <c r="AA275" s="36">
        <v>169184.83496708761</v>
      </c>
      <c r="AB275" s="36">
        <v>187749.75010254679</v>
      </c>
      <c r="AC275" s="36">
        <v>206314.66523800598</v>
      </c>
      <c r="AD275" s="36">
        <v>224879.58037346514</v>
      </c>
      <c r="AE275" s="36">
        <v>243444.49550892427</v>
      </c>
      <c r="AF275" s="36">
        <v>262009.41064438346</v>
      </c>
      <c r="AG275" s="36">
        <v>280574.32577984268</v>
      </c>
      <c r="AH275" s="36">
        <v>299139.24091530184</v>
      </c>
      <c r="AI275" s="36">
        <v>317704.15605076094</v>
      </c>
      <c r="AJ275" s="36">
        <v>336269.07118622022</v>
      </c>
      <c r="AK275" s="36">
        <v>354833.98632167932</v>
      </c>
      <c r="AL275" s="36">
        <v>373398.90145713853</v>
      </c>
      <c r="AM275" s="36">
        <v>391963.81659259764</v>
      </c>
      <c r="AN275" s="36">
        <v>410528.73172805685</v>
      </c>
      <c r="AO275" s="36">
        <v>429093.64686351607</v>
      </c>
      <c r="AP275" s="36">
        <v>447658.56199897517</v>
      </c>
      <c r="AQ275" s="36">
        <v>466223.47713443445</v>
      </c>
      <c r="AR275" s="36">
        <v>484788.39226989355</v>
      </c>
      <c r="AS275" s="36">
        <v>503353.30740535277</v>
      </c>
      <c r="AT275" s="36">
        <v>521918.22254081198</v>
      </c>
      <c r="AU275" s="36">
        <v>540483.13767627126</v>
      </c>
      <c r="AV275" s="36">
        <v>559048.05281173042</v>
      </c>
      <c r="AW275" s="36">
        <v>577612.96794718946</v>
      </c>
      <c r="AX275" s="36">
        <v>596177.88308264874</v>
      </c>
    </row>
    <row r="276" spans="4:50">
      <c r="D276" t="s">
        <v>661</v>
      </c>
      <c r="E276" t="s">
        <v>648</v>
      </c>
      <c r="G276" s="44"/>
      <c r="I276" s="44"/>
      <c r="K276" s="44"/>
      <c r="M276" s="44"/>
      <c r="O276" s="36">
        <v>196762.65939784935</v>
      </c>
      <c r="P276" s="36">
        <v>228794.67467388694</v>
      </c>
      <c r="Q276" s="36">
        <v>260826.68994992453</v>
      </c>
      <c r="R276" s="36">
        <v>292858.70522596221</v>
      </c>
      <c r="S276" s="36">
        <v>324890.72050199972</v>
      </c>
      <c r="T276" s="36">
        <v>356922.73577803734</v>
      </c>
      <c r="U276" s="36">
        <v>388954.75105407508</v>
      </c>
      <c r="V276" s="36">
        <v>420986.76633011264</v>
      </c>
      <c r="W276" s="36">
        <v>453018.78160615027</v>
      </c>
      <c r="X276" s="36">
        <v>485050.79688218777</v>
      </c>
      <c r="Y276" s="36">
        <v>517082.81215822545</v>
      </c>
      <c r="Z276" s="36">
        <v>591219.3878383789</v>
      </c>
      <c r="AA276" s="36">
        <v>665355.96351853246</v>
      </c>
      <c r="AB276" s="36">
        <v>739492.53919868567</v>
      </c>
      <c r="AC276" s="36">
        <v>813629.11487883911</v>
      </c>
      <c r="AD276" s="36">
        <v>887765.69055899256</v>
      </c>
      <c r="AE276" s="36">
        <v>961902.26623914647</v>
      </c>
      <c r="AF276" s="36">
        <v>1036038.8419192998</v>
      </c>
      <c r="AG276" s="36">
        <v>1110175.4175994531</v>
      </c>
      <c r="AH276" s="36">
        <v>1184311.9932796068</v>
      </c>
      <c r="AI276" s="36">
        <v>1258448.5689597598</v>
      </c>
      <c r="AJ276" s="36">
        <v>1332585.1446399135</v>
      </c>
      <c r="AK276" s="36">
        <v>1406721.7203200671</v>
      </c>
      <c r="AL276" s="36">
        <v>1480858.2960002201</v>
      </c>
      <c r="AM276" s="36">
        <v>1554994.8716803738</v>
      </c>
      <c r="AN276" s="36">
        <v>1629131.4473605277</v>
      </c>
      <c r="AO276" s="36">
        <v>1703268.0230406809</v>
      </c>
      <c r="AP276" s="36">
        <v>1777404.5987208341</v>
      </c>
      <c r="AQ276" s="36">
        <v>1851541.1744009876</v>
      </c>
      <c r="AR276" s="36">
        <v>1925677.750081141</v>
      </c>
      <c r="AS276" s="36">
        <v>1999814.3257612942</v>
      </c>
      <c r="AT276" s="36">
        <v>2073950.9014414477</v>
      </c>
      <c r="AU276" s="36">
        <v>2148087.4771216013</v>
      </c>
      <c r="AV276" s="36">
        <v>2222224.0528017548</v>
      </c>
      <c r="AW276" s="36">
        <v>2296360.6284819082</v>
      </c>
      <c r="AX276" s="36">
        <v>2370497.2041620617</v>
      </c>
    </row>
    <row r="277" spans="4:50">
      <c r="D277" t="s">
        <v>660</v>
      </c>
      <c r="E277" t="s">
        <v>649</v>
      </c>
      <c r="G277" s="44"/>
      <c r="I277" s="44"/>
      <c r="K277" s="44"/>
      <c r="M277" s="44"/>
      <c r="O277" s="36">
        <v>153079.32105144963</v>
      </c>
      <c r="P277" s="36">
        <v>180085.31393843936</v>
      </c>
      <c r="Q277" s="36">
        <v>207091.30682542906</v>
      </c>
      <c r="R277" s="36">
        <v>234097.29971241869</v>
      </c>
      <c r="S277" s="36">
        <v>261103.29259940842</v>
      </c>
      <c r="T277" s="36">
        <v>288109.28548639815</v>
      </c>
      <c r="U277" s="36">
        <v>315115.27837338776</v>
      </c>
      <c r="V277" s="36">
        <v>342121.27126037743</v>
      </c>
      <c r="W277" s="36">
        <v>369127.2641473671</v>
      </c>
      <c r="X277" s="36">
        <v>396133.25703435694</v>
      </c>
      <c r="Y277" s="36">
        <v>423139.24992134655</v>
      </c>
      <c r="Z277" s="36">
        <v>481904.43942662235</v>
      </c>
      <c r="AA277" s="36">
        <v>540669.62893189839</v>
      </c>
      <c r="AB277" s="36">
        <v>599434.81843717408</v>
      </c>
      <c r="AC277" s="36">
        <v>658200.00794245012</v>
      </c>
      <c r="AD277" s="36">
        <v>716965.19744772604</v>
      </c>
      <c r="AE277" s="36">
        <v>775730.38695300184</v>
      </c>
      <c r="AF277" s="36">
        <v>834495.57645827765</v>
      </c>
      <c r="AG277" s="36">
        <v>893260.76596355345</v>
      </c>
      <c r="AH277" s="36">
        <v>952025.95546882926</v>
      </c>
      <c r="AI277" s="36">
        <v>1010791.1449741051</v>
      </c>
      <c r="AJ277" s="36">
        <v>1069556.3344793811</v>
      </c>
      <c r="AK277" s="36">
        <v>1128321.5239846567</v>
      </c>
      <c r="AL277" s="36">
        <v>1187086.7134899325</v>
      </c>
      <c r="AM277" s="36">
        <v>1245851.9029952085</v>
      </c>
      <c r="AN277" s="36">
        <v>1304617.0925004843</v>
      </c>
      <c r="AO277" s="36">
        <v>1363382.2820057604</v>
      </c>
      <c r="AP277" s="36">
        <v>1422147.4715110359</v>
      </c>
      <c r="AQ277" s="36">
        <v>1480912.6610163117</v>
      </c>
      <c r="AR277" s="36">
        <v>1539677.8505215878</v>
      </c>
      <c r="AS277" s="36">
        <v>1598443.0400268633</v>
      </c>
      <c r="AT277" s="36">
        <v>1657208.2295321394</v>
      </c>
      <c r="AU277" s="36">
        <v>1715973.4190374152</v>
      </c>
      <c r="AV277" s="36">
        <v>1774738.6085426912</v>
      </c>
      <c r="AW277" s="36">
        <v>1833503.7980479668</v>
      </c>
      <c r="AX277" s="36">
        <v>1892268.9875532431</v>
      </c>
    </row>
    <row r="278" spans="4:50">
      <c r="D278" t="s">
        <v>660</v>
      </c>
      <c r="E278" t="s">
        <v>650</v>
      </c>
      <c r="G278" s="44"/>
      <c r="I278" s="44"/>
      <c r="K278" s="44"/>
      <c r="M278" s="44"/>
      <c r="O278" s="36">
        <v>170201.75951233166</v>
      </c>
      <c r="P278" s="36">
        <v>200001.32776323461</v>
      </c>
      <c r="Q278" s="36">
        <v>229800.89601413748</v>
      </c>
      <c r="R278" s="36">
        <v>259600.46426504047</v>
      </c>
      <c r="S278" s="36">
        <v>289400.0325159434</v>
      </c>
      <c r="T278" s="36">
        <v>319199.60076684639</v>
      </c>
      <c r="U278" s="36">
        <v>348999.16901774931</v>
      </c>
      <c r="V278" s="36">
        <v>378798.73726865224</v>
      </c>
      <c r="W278" s="36">
        <v>408598.30551955535</v>
      </c>
      <c r="X278" s="36">
        <v>438397.87377045816</v>
      </c>
      <c r="Y278" s="36">
        <v>468197.44202136114</v>
      </c>
      <c r="Z278" s="36">
        <v>533888.64011027687</v>
      </c>
      <c r="AA278" s="36">
        <v>599579.83819919243</v>
      </c>
      <c r="AB278" s="36">
        <v>665271.03628810798</v>
      </c>
      <c r="AC278" s="36">
        <v>730962.23437702365</v>
      </c>
      <c r="AD278" s="36">
        <v>796653.43246593955</v>
      </c>
      <c r="AE278" s="36">
        <v>862344.6305548551</v>
      </c>
      <c r="AF278" s="36">
        <v>928035.82864377066</v>
      </c>
      <c r="AG278" s="36">
        <v>993727.02673268644</v>
      </c>
      <c r="AH278" s="36">
        <v>1059418.224821602</v>
      </c>
      <c r="AI278" s="36">
        <v>1125109.4229105175</v>
      </c>
      <c r="AJ278" s="36">
        <v>1190800.6209994336</v>
      </c>
      <c r="AK278" s="36">
        <v>1256491.8190883494</v>
      </c>
      <c r="AL278" s="36">
        <v>1322183.0171772644</v>
      </c>
      <c r="AM278" s="36">
        <v>1387874.2152661802</v>
      </c>
      <c r="AN278" s="36">
        <v>1453565.4133550958</v>
      </c>
      <c r="AO278" s="36">
        <v>1519256.6114440116</v>
      </c>
      <c r="AP278" s="36">
        <v>1584947.8095329271</v>
      </c>
      <c r="AQ278" s="36">
        <v>1650639.0076218434</v>
      </c>
      <c r="AR278" s="36">
        <v>1716330.2057107592</v>
      </c>
      <c r="AS278" s="36">
        <v>1782021.403799674</v>
      </c>
      <c r="AT278" s="36">
        <v>1847712.6018885896</v>
      </c>
      <c r="AU278" s="36">
        <v>1913403.7999775051</v>
      </c>
      <c r="AV278" s="36">
        <v>1979094.9980664211</v>
      </c>
      <c r="AW278" s="36">
        <v>2044786.1961553374</v>
      </c>
      <c r="AX278" s="36">
        <v>2110477.3942442527</v>
      </c>
    </row>
    <row r="279" spans="4:50">
      <c r="D279" t="s">
        <v>661</v>
      </c>
      <c r="E279" t="s">
        <v>651</v>
      </c>
      <c r="G279" s="44"/>
      <c r="I279" s="44"/>
      <c r="K279" s="44"/>
      <c r="M279" s="44"/>
      <c r="O279" s="36">
        <v>265797.97297337698</v>
      </c>
      <c r="P279" s="36">
        <v>308862.25682660687</v>
      </c>
      <c r="Q279" s="36">
        <v>351926.54067983682</v>
      </c>
      <c r="R279" s="36">
        <v>394990.82453306671</v>
      </c>
      <c r="S279" s="36">
        <v>438055.10838629666</v>
      </c>
      <c r="T279" s="36">
        <v>481119.39223952667</v>
      </c>
      <c r="U279" s="36">
        <v>524183.67609275662</v>
      </c>
      <c r="V279" s="36">
        <v>567247.95994598651</v>
      </c>
      <c r="W279" s="36">
        <v>610312.24379921635</v>
      </c>
      <c r="X279" s="36">
        <v>653376.5276524463</v>
      </c>
      <c r="Y279" s="36">
        <v>696440.81150567625</v>
      </c>
      <c r="Z279" s="36">
        <v>796249.82290374232</v>
      </c>
      <c r="AA279" s="36">
        <v>896058.83430180827</v>
      </c>
      <c r="AB279" s="36">
        <v>995867.84569987387</v>
      </c>
      <c r="AC279" s="36">
        <v>1095676.8570979403</v>
      </c>
      <c r="AD279" s="36">
        <v>1195485.8684960061</v>
      </c>
      <c r="AE279" s="36">
        <v>1295294.8798940722</v>
      </c>
      <c r="AF279" s="36">
        <v>1395103.891292138</v>
      </c>
      <c r="AG279" s="36">
        <v>1494912.9026902041</v>
      </c>
      <c r="AH279" s="36">
        <v>1594721.9140882702</v>
      </c>
      <c r="AI279" s="36">
        <v>1694530.925486336</v>
      </c>
      <c r="AJ279" s="36">
        <v>1794339.9368844023</v>
      </c>
      <c r="AK279" s="36">
        <v>1894148.9482824684</v>
      </c>
      <c r="AL279" s="36">
        <v>1993957.9596805342</v>
      </c>
      <c r="AM279" s="36">
        <v>2093766.9710786</v>
      </c>
      <c r="AN279" s="36">
        <v>2193575.9824766656</v>
      </c>
      <c r="AO279" s="36">
        <v>2293384.9938747319</v>
      </c>
      <c r="AP279" s="36">
        <v>2393194.0052727978</v>
      </c>
      <c r="AQ279" s="36">
        <v>2493003.0166708641</v>
      </c>
      <c r="AR279" s="36">
        <v>2592812.0280689299</v>
      </c>
      <c r="AS279" s="36">
        <v>2692621.0394669962</v>
      </c>
      <c r="AT279" s="36">
        <v>2792430.0508650616</v>
      </c>
      <c r="AU279" s="36">
        <v>2892239.0622631279</v>
      </c>
      <c r="AV279" s="36">
        <v>2992048.0736611937</v>
      </c>
      <c r="AW279" s="36">
        <v>3091857.0850592605</v>
      </c>
      <c r="AX279" s="36">
        <v>3191666.0964573254</v>
      </c>
    </row>
    <row r="280" spans="4:50">
      <c r="D280" t="s">
        <v>661</v>
      </c>
      <c r="E280" t="s">
        <v>652</v>
      </c>
      <c r="G280" s="44"/>
      <c r="I280" s="44"/>
      <c r="K280" s="44"/>
      <c r="M280" s="44"/>
      <c r="O280" s="36">
        <v>364896.09480652912</v>
      </c>
      <c r="P280" s="36">
        <v>428377.8863101069</v>
      </c>
      <c r="Q280" s="36">
        <v>491859.67781368457</v>
      </c>
      <c r="R280" s="36">
        <v>555341.46931726218</v>
      </c>
      <c r="S280" s="36">
        <v>618823.26082083979</v>
      </c>
      <c r="T280" s="36">
        <v>682305.05232441763</v>
      </c>
      <c r="U280" s="36">
        <v>745786.84382799524</v>
      </c>
      <c r="V280" s="36">
        <v>809268.63533157308</v>
      </c>
      <c r="W280" s="36">
        <v>872750.42683515057</v>
      </c>
      <c r="X280" s="36">
        <v>936232.21833872818</v>
      </c>
      <c r="Y280" s="36">
        <v>999714.00984230603</v>
      </c>
      <c r="Z280" s="36">
        <v>1137204.7097802435</v>
      </c>
      <c r="AA280" s="36">
        <v>1274695.4097181805</v>
      </c>
      <c r="AB280" s="36">
        <v>1412186.1096561179</v>
      </c>
      <c r="AC280" s="36">
        <v>1549676.8095940552</v>
      </c>
      <c r="AD280" s="36">
        <v>1687167.5095319923</v>
      </c>
      <c r="AE280" s="36">
        <v>1824658.2094699298</v>
      </c>
      <c r="AF280" s="36">
        <v>1962148.9094078674</v>
      </c>
      <c r="AG280" s="36">
        <v>2099639.6093458049</v>
      </c>
      <c r="AH280" s="36">
        <v>2237130.3092837417</v>
      </c>
      <c r="AI280" s="36">
        <v>2374621.0092216795</v>
      </c>
      <c r="AJ280" s="36">
        <v>2512111.7091596164</v>
      </c>
      <c r="AK280" s="36">
        <v>2649602.4090975542</v>
      </c>
      <c r="AL280" s="36">
        <v>2787093.109035491</v>
      </c>
      <c r="AM280" s="36">
        <v>2924583.8089734288</v>
      </c>
      <c r="AN280" s="36">
        <v>3062074.5089113656</v>
      </c>
      <c r="AO280" s="36">
        <v>3199565.2088493039</v>
      </c>
      <c r="AP280" s="36">
        <v>3337055.9087872403</v>
      </c>
      <c r="AQ280" s="36">
        <v>3474546.6087251785</v>
      </c>
      <c r="AR280" s="36">
        <v>3612037.3086631158</v>
      </c>
      <c r="AS280" s="36">
        <v>3749528.0086010532</v>
      </c>
      <c r="AT280" s="36">
        <v>3887018.7085389895</v>
      </c>
      <c r="AU280" s="36">
        <v>4024509.4084769273</v>
      </c>
      <c r="AV280" s="36">
        <v>4162000.1084148651</v>
      </c>
      <c r="AW280" s="36">
        <v>4299490.8083528019</v>
      </c>
      <c r="AX280" s="36">
        <v>4436981.5082907397</v>
      </c>
    </row>
    <row r="281" spans="4:50">
      <c r="D281" t="s">
        <v>661</v>
      </c>
      <c r="E281" t="s">
        <v>653</v>
      </c>
      <c r="G281" s="44"/>
      <c r="I281" s="44"/>
      <c r="K281" s="44"/>
      <c r="M281" s="44"/>
      <c r="O281" s="36">
        <v>278094.24217762589</v>
      </c>
      <c r="P281" s="36">
        <v>323145.37674811808</v>
      </c>
      <c r="Q281" s="36">
        <v>368196.51131861017</v>
      </c>
      <c r="R281" s="36">
        <v>413247.64588910207</v>
      </c>
      <c r="S281" s="36">
        <v>458298.78045959433</v>
      </c>
      <c r="T281" s="36">
        <v>503349.9150300863</v>
      </c>
      <c r="U281" s="36">
        <v>548401.0496005785</v>
      </c>
      <c r="V281" s="36">
        <v>593452.18417107069</v>
      </c>
      <c r="W281" s="36">
        <v>638503.31874156278</v>
      </c>
      <c r="X281" s="36">
        <v>683554.45331205486</v>
      </c>
      <c r="Y281" s="36">
        <v>728605.58788254682</v>
      </c>
      <c r="Z281" s="36">
        <v>831089.29719206202</v>
      </c>
      <c r="AA281" s="36">
        <v>933573.00650157721</v>
      </c>
      <c r="AB281" s="36">
        <v>1036056.7158110922</v>
      </c>
      <c r="AC281" s="36">
        <v>1138540.4251206075</v>
      </c>
      <c r="AD281" s="36">
        <v>1241024.1344301223</v>
      </c>
      <c r="AE281" s="36">
        <v>1343507.8437396376</v>
      </c>
      <c r="AF281" s="36">
        <v>1445991.5530491529</v>
      </c>
      <c r="AG281" s="36">
        <v>1548475.2623586683</v>
      </c>
      <c r="AH281" s="36">
        <v>1650958.9716681831</v>
      </c>
      <c r="AI281" s="36">
        <v>1753442.6809776984</v>
      </c>
      <c r="AJ281" s="36">
        <v>1855926.390287214</v>
      </c>
      <c r="AK281" s="36">
        <v>1958410.0995967281</v>
      </c>
      <c r="AL281" s="36">
        <v>2060893.8089062429</v>
      </c>
      <c r="AM281" s="36">
        <v>2163377.5182157587</v>
      </c>
      <c r="AN281" s="36">
        <v>2265861.2275252733</v>
      </c>
      <c r="AO281" s="36">
        <v>2368344.9368347893</v>
      </c>
      <c r="AP281" s="36">
        <v>2470828.646144304</v>
      </c>
      <c r="AQ281" s="36">
        <v>2573312.3554538195</v>
      </c>
      <c r="AR281" s="36">
        <v>2675796.0647633346</v>
      </c>
      <c r="AS281" s="36">
        <v>2778279.7740728501</v>
      </c>
      <c r="AT281" s="36">
        <v>2880763.4833823647</v>
      </c>
      <c r="AU281" s="36">
        <v>2983247.1926918803</v>
      </c>
      <c r="AV281" s="36">
        <v>3085730.9020013949</v>
      </c>
      <c r="AW281" s="36">
        <v>3188214.6113109095</v>
      </c>
      <c r="AX281" s="36">
        <v>3290698.3206204255</v>
      </c>
    </row>
    <row r="282" spans="4:50">
      <c r="D282" t="s">
        <v>661</v>
      </c>
      <c r="E282" t="s">
        <v>654</v>
      </c>
      <c r="G282" s="44"/>
      <c r="I282" s="44"/>
      <c r="K282" s="44"/>
      <c r="M282" s="44"/>
      <c r="O282" s="36">
        <v>165363.10303878714</v>
      </c>
      <c r="P282" s="36">
        <v>192178.91552665099</v>
      </c>
      <c r="Q282" s="36">
        <v>218994.7280145149</v>
      </c>
      <c r="R282" s="36">
        <v>245810.54050237875</v>
      </c>
      <c r="S282" s="36">
        <v>272626.35299024259</v>
      </c>
      <c r="T282" s="36">
        <v>299442.16547810647</v>
      </c>
      <c r="U282" s="36">
        <v>326257.97796597029</v>
      </c>
      <c r="V282" s="36">
        <v>353073.79045383423</v>
      </c>
      <c r="W282" s="36">
        <v>379889.60294169799</v>
      </c>
      <c r="X282" s="36">
        <v>406705.41542956192</v>
      </c>
      <c r="Y282" s="36">
        <v>433521.22791742568</v>
      </c>
      <c r="Z282" s="36">
        <v>495672.50922391005</v>
      </c>
      <c r="AA282" s="36">
        <v>557823.79053039441</v>
      </c>
      <c r="AB282" s="36">
        <v>619975.07183687878</v>
      </c>
      <c r="AC282" s="36">
        <v>682126.35314336314</v>
      </c>
      <c r="AD282" s="36">
        <v>744277.63444984739</v>
      </c>
      <c r="AE282" s="36">
        <v>806428.91575633164</v>
      </c>
      <c r="AF282" s="36">
        <v>868580.19706281612</v>
      </c>
      <c r="AG282" s="36">
        <v>930731.47836930025</v>
      </c>
      <c r="AH282" s="36">
        <v>992882.75967578462</v>
      </c>
      <c r="AI282" s="36">
        <v>1055034.0409822688</v>
      </c>
      <c r="AJ282" s="36">
        <v>1117185.3222887532</v>
      </c>
      <c r="AK282" s="36">
        <v>1179336.6035952375</v>
      </c>
      <c r="AL282" s="36">
        <v>1241487.8849017222</v>
      </c>
      <c r="AM282" s="36">
        <v>1303639.1662082062</v>
      </c>
      <c r="AN282" s="36">
        <v>1365790.4475146909</v>
      </c>
      <c r="AO282" s="36">
        <v>1427941.7288211749</v>
      </c>
      <c r="AP282" s="36">
        <v>1490093.0101276592</v>
      </c>
      <c r="AQ282" s="36">
        <v>1552244.2914341434</v>
      </c>
      <c r="AR282" s="36">
        <v>1614395.5727406279</v>
      </c>
      <c r="AS282" s="36">
        <v>1676546.8540471119</v>
      </c>
      <c r="AT282" s="36">
        <v>1738698.1353535964</v>
      </c>
      <c r="AU282" s="36">
        <v>1800849.4166600807</v>
      </c>
      <c r="AV282" s="36">
        <v>1863000.6979665647</v>
      </c>
      <c r="AW282" s="36">
        <v>1925151.9792730494</v>
      </c>
      <c r="AX282" s="36">
        <v>1987303.2605795341</v>
      </c>
    </row>
    <row r="283" spans="4:50">
      <c r="D283" t="s">
        <v>660</v>
      </c>
      <c r="E283" t="s">
        <v>655</v>
      </c>
      <c r="G283" s="44"/>
      <c r="I283" s="44"/>
      <c r="K283" s="44"/>
      <c r="M283" s="44"/>
      <c r="O283" s="36">
        <v>228932.75588782268</v>
      </c>
      <c r="P283" s="36">
        <v>268281.18192105566</v>
      </c>
      <c r="Q283" s="36">
        <v>307629.60795428866</v>
      </c>
      <c r="R283" s="36">
        <v>346978.03398752172</v>
      </c>
      <c r="S283" s="36">
        <v>386326.46002075489</v>
      </c>
      <c r="T283" s="36">
        <v>425674.88605398772</v>
      </c>
      <c r="U283" s="36">
        <v>465023.31208722101</v>
      </c>
      <c r="V283" s="36">
        <v>504371.73812045413</v>
      </c>
      <c r="W283" s="36">
        <v>543720.16415368719</v>
      </c>
      <c r="X283" s="36">
        <v>583068.59018692013</v>
      </c>
      <c r="Y283" s="36">
        <v>622417.01622015296</v>
      </c>
      <c r="Z283" s="36">
        <v>708392.34605862794</v>
      </c>
      <c r="AA283" s="36">
        <v>794367.67589710269</v>
      </c>
      <c r="AB283" s="36">
        <v>880343.0057355772</v>
      </c>
      <c r="AC283" s="36">
        <v>966318.33557405206</v>
      </c>
      <c r="AD283" s="36">
        <v>1052293.665412527</v>
      </c>
      <c r="AE283" s="36">
        <v>1138268.9952510013</v>
      </c>
      <c r="AF283" s="36">
        <v>1224244.3250894763</v>
      </c>
      <c r="AG283" s="36">
        <v>1310219.6549279508</v>
      </c>
      <c r="AH283" s="36">
        <v>1396194.984766426</v>
      </c>
      <c r="AI283" s="36">
        <v>1482170.3146049005</v>
      </c>
      <c r="AJ283" s="36">
        <v>1568145.6444433755</v>
      </c>
      <c r="AK283" s="36">
        <v>1654120.9742818498</v>
      </c>
      <c r="AL283" s="36">
        <v>1740096.3041203248</v>
      </c>
      <c r="AM283" s="36">
        <v>1826071.6339588</v>
      </c>
      <c r="AN283" s="36">
        <v>1912046.9637972747</v>
      </c>
      <c r="AO283" s="36">
        <v>1998022.2936357483</v>
      </c>
      <c r="AP283" s="36">
        <v>2083997.6234742231</v>
      </c>
      <c r="AQ283" s="36">
        <v>2169972.9533126983</v>
      </c>
      <c r="AR283" s="36">
        <v>2255948.283151173</v>
      </c>
      <c r="AS283" s="36">
        <v>2341923.6129896478</v>
      </c>
      <c r="AT283" s="36">
        <v>2427898.9428281216</v>
      </c>
      <c r="AU283" s="36">
        <v>2513874.2726665968</v>
      </c>
      <c r="AV283" s="36">
        <v>2599849.602505072</v>
      </c>
      <c r="AW283" s="36">
        <v>2685824.9323435463</v>
      </c>
      <c r="AX283" s="36">
        <v>2771800.2621820206</v>
      </c>
    </row>
    <row r="284" spans="4:50">
      <c r="D284" t="s">
        <v>661</v>
      </c>
      <c r="E284" t="s">
        <v>656</v>
      </c>
      <c r="G284" s="44"/>
      <c r="I284" s="44"/>
      <c r="K284" s="44"/>
      <c r="M284" s="44"/>
      <c r="O284" s="36">
        <v>246356.6872160373</v>
      </c>
      <c r="P284" s="36">
        <v>286933.72809591459</v>
      </c>
      <c r="Q284" s="36">
        <v>327510.76897579181</v>
      </c>
      <c r="R284" s="36">
        <v>368087.8098556691</v>
      </c>
      <c r="S284" s="36">
        <v>408664.85073554632</v>
      </c>
      <c r="T284" s="36">
        <v>449241.89161542361</v>
      </c>
      <c r="U284" s="36">
        <v>489818.93249530089</v>
      </c>
      <c r="V284" s="36">
        <v>530395.97337517806</v>
      </c>
      <c r="W284" s="36">
        <v>570973.01425505523</v>
      </c>
      <c r="X284" s="36">
        <v>611550.05513493274</v>
      </c>
      <c r="Y284" s="36">
        <v>652127.09601480991</v>
      </c>
      <c r="Z284" s="36">
        <v>745302.86055871542</v>
      </c>
      <c r="AA284" s="36">
        <v>838478.62510262069</v>
      </c>
      <c r="AB284" s="36">
        <v>931654.38964652584</v>
      </c>
      <c r="AC284" s="36">
        <v>1024830.1541904316</v>
      </c>
      <c r="AD284" s="36">
        <v>1118005.9187343367</v>
      </c>
      <c r="AE284" s="36">
        <v>1211181.6832782424</v>
      </c>
      <c r="AF284" s="36">
        <v>1304357.4478221477</v>
      </c>
      <c r="AG284" s="36">
        <v>1397533.2123660529</v>
      </c>
      <c r="AH284" s="36">
        <v>1490708.9769099588</v>
      </c>
      <c r="AI284" s="36">
        <v>1583884.7414538634</v>
      </c>
      <c r="AJ284" s="36">
        <v>1677060.5059977688</v>
      </c>
      <c r="AK284" s="36">
        <v>1770236.2705416747</v>
      </c>
      <c r="AL284" s="36">
        <v>1863412.0350855798</v>
      </c>
      <c r="AM284" s="36">
        <v>1956587.7996294857</v>
      </c>
      <c r="AN284" s="36">
        <v>2049763.5641733909</v>
      </c>
      <c r="AO284" s="36">
        <v>2142939.3287172955</v>
      </c>
      <c r="AP284" s="36">
        <v>2236115.0932612014</v>
      </c>
      <c r="AQ284" s="36">
        <v>2329290.8578051068</v>
      </c>
      <c r="AR284" s="36">
        <v>2422466.6223490122</v>
      </c>
      <c r="AS284" s="36">
        <v>2515642.3868929176</v>
      </c>
      <c r="AT284" s="36">
        <v>2608818.1514368234</v>
      </c>
      <c r="AU284" s="36">
        <v>2701993.9159807288</v>
      </c>
      <c r="AV284" s="36">
        <v>2795169.6805246342</v>
      </c>
      <c r="AW284" s="36">
        <v>2888345.4450685391</v>
      </c>
      <c r="AX284" s="36">
        <v>2981521.2096124454</v>
      </c>
    </row>
    <row r="285" spans="4:50">
      <c r="D285" t="s">
        <v>660</v>
      </c>
      <c r="E285" t="s">
        <v>657</v>
      </c>
      <c r="G285" s="44"/>
      <c r="I285" s="44"/>
      <c r="K285" s="44"/>
      <c r="M285" s="44"/>
      <c r="O285" s="36">
        <v>179524.85226980934</v>
      </c>
      <c r="P285" s="36">
        <v>216015.15001938576</v>
      </c>
      <c r="Q285" s="36">
        <v>252505.44776896219</v>
      </c>
      <c r="R285" s="36">
        <v>288995.74551853869</v>
      </c>
      <c r="S285" s="36">
        <v>325486.04326811514</v>
      </c>
      <c r="T285" s="36">
        <v>361976.34101769159</v>
      </c>
      <c r="U285" s="36">
        <v>398466.63876726793</v>
      </c>
      <c r="V285" s="36">
        <v>434956.93651684443</v>
      </c>
      <c r="W285" s="36">
        <v>471447.23426642083</v>
      </c>
      <c r="X285" s="36">
        <v>507937.53201599728</v>
      </c>
      <c r="Y285" s="36">
        <v>544427.82976557373</v>
      </c>
      <c r="Z285" s="36">
        <v>612838.39242157293</v>
      </c>
      <c r="AA285" s="36">
        <v>681248.95507757214</v>
      </c>
      <c r="AB285" s="36">
        <v>749659.51773357135</v>
      </c>
      <c r="AC285" s="36">
        <v>818070.08038957068</v>
      </c>
      <c r="AD285" s="36">
        <v>886480.64304556977</v>
      </c>
      <c r="AE285" s="36">
        <v>954891.20570156921</v>
      </c>
      <c r="AF285" s="36">
        <v>1023301.7683575684</v>
      </c>
      <c r="AG285" s="36">
        <v>1091712.3310135675</v>
      </c>
      <c r="AH285" s="36">
        <v>1160122.8936695666</v>
      </c>
      <c r="AI285" s="36">
        <v>1228533.4563255664</v>
      </c>
      <c r="AJ285" s="36">
        <v>1296944.0189815653</v>
      </c>
      <c r="AK285" s="36">
        <v>1365354.5816375646</v>
      </c>
      <c r="AL285" s="36">
        <v>1433765.1442935637</v>
      </c>
      <c r="AM285" s="36">
        <v>1502175.706949563</v>
      </c>
      <c r="AN285" s="36">
        <v>1570586.2696055621</v>
      </c>
      <c r="AO285" s="36">
        <v>1638996.8322615619</v>
      </c>
      <c r="AP285" s="36">
        <v>1707407.394917561</v>
      </c>
      <c r="AQ285" s="36">
        <v>1775817.9575735603</v>
      </c>
      <c r="AR285" s="36">
        <v>1844228.5202295596</v>
      </c>
      <c r="AS285" s="36">
        <v>1912639.0828855587</v>
      </c>
      <c r="AT285" s="36">
        <v>1981049.6455415576</v>
      </c>
      <c r="AU285" s="36">
        <v>2049460.2081975574</v>
      </c>
      <c r="AV285" s="36">
        <v>2117870.7708535562</v>
      </c>
      <c r="AW285" s="36">
        <v>2186281.3335095556</v>
      </c>
      <c r="AX285" s="36">
        <v>2254691.8961655539</v>
      </c>
    </row>
    <row r="286" spans="4:50">
      <c r="D286" t="s">
        <v>661</v>
      </c>
      <c r="E286" t="s">
        <v>658</v>
      </c>
      <c r="G286" s="44"/>
      <c r="I286" s="44"/>
      <c r="K286" s="44"/>
      <c r="M286" s="44"/>
      <c r="O286" s="36">
        <v>250401.89639930087</v>
      </c>
      <c r="P286" s="36">
        <v>290924.70746855921</v>
      </c>
      <c r="Q286" s="36">
        <v>331447.5185378177</v>
      </c>
      <c r="R286" s="36">
        <v>371970.3296070759</v>
      </c>
      <c r="S286" s="36">
        <v>412493.14067633433</v>
      </c>
      <c r="T286" s="36">
        <v>453015.95174559264</v>
      </c>
      <c r="U286" s="36">
        <v>493538.76281485101</v>
      </c>
      <c r="V286" s="36">
        <v>534061.57388410938</v>
      </c>
      <c r="W286" s="36">
        <v>574584.38495336764</v>
      </c>
      <c r="X286" s="36">
        <v>615107.19602262601</v>
      </c>
      <c r="Y286" s="36">
        <v>655630.00709188427</v>
      </c>
      <c r="Z286" s="36">
        <v>749142.79612303851</v>
      </c>
      <c r="AA286" s="36">
        <v>842655.5851541931</v>
      </c>
      <c r="AB286" s="36">
        <v>936168.37418534723</v>
      </c>
      <c r="AC286" s="36">
        <v>1029681.1632165018</v>
      </c>
      <c r="AD286" s="36">
        <v>1123193.9522476562</v>
      </c>
      <c r="AE286" s="36">
        <v>1216706.7412788107</v>
      </c>
      <c r="AF286" s="36">
        <v>1310219.5303099647</v>
      </c>
      <c r="AG286" s="36">
        <v>1403732.3193411189</v>
      </c>
      <c r="AH286" s="36">
        <v>1497245.1083722734</v>
      </c>
      <c r="AI286" s="36">
        <v>1590757.8974034281</v>
      </c>
      <c r="AJ286" s="36">
        <v>1684270.6864345819</v>
      </c>
      <c r="AK286" s="36">
        <v>1777783.4754657366</v>
      </c>
      <c r="AL286" s="36">
        <v>1871296.2644968908</v>
      </c>
      <c r="AM286" s="36">
        <v>1964809.0535280455</v>
      </c>
      <c r="AN286" s="36">
        <v>2058321.8425591995</v>
      </c>
      <c r="AO286" s="36">
        <v>2151834.6315903538</v>
      </c>
      <c r="AP286" s="36">
        <v>2245347.4206215087</v>
      </c>
      <c r="AQ286" s="36">
        <v>2338860.2096526623</v>
      </c>
      <c r="AR286" s="36">
        <v>2432372.9986838168</v>
      </c>
      <c r="AS286" s="36">
        <v>2525885.7877149708</v>
      </c>
      <c r="AT286" s="36">
        <v>2619398.5767461257</v>
      </c>
      <c r="AU286" s="36">
        <v>2712911.3657772797</v>
      </c>
      <c r="AV286" s="36">
        <v>2806424.1548084342</v>
      </c>
      <c r="AW286" s="36">
        <v>2899936.9438395891</v>
      </c>
      <c r="AX286" s="36">
        <v>2993449.7328707436</v>
      </c>
    </row>
    <row r="287" spans="4:50">
      <c r="D287" t="s">
        <v>661</v>
      </c>
      <c r="E287" t="s">
        <v>659</v>
      </c>
      <c r="G287" s="44"/>
      <c r="I287" s="44"/>
      <c r="K287" s="44"/>
      <c r="M287" s="44"/>
      <c r="O287" s="36">
        <v>226221.30921590948</v>
      </c>
      <c r="P287" s="36">
        <v>266896.0963261479</v>
      </c>
      <c r="Q287" s="36">
        <v>307570.88343638624</v>
      </c>
      <c r="R287" s="36">
        <v>348245.67054662487</v>
      </c>
      <c r="S287" s="36">
        <v>388920.4576568632</v>
      </c>
      <c r="T287" s="36">
        <v>429595.24476710189</v>
      </c>
      <c r="U287" s="36">
        <v>470270.03187734017</v>
      </c>
      <c r="V287" s="36">
        <v>510944.81898757856</v>
      </c>
      <c r="W287" s="36">
        <v>551619.60609781707</v>
      </c>
      <c r="X287" s="36">
        <v>592294.39320805529</v>
      </c>
      <c r="Y287" s="36">
        <v>632969.18031829409</v>
      </c>
      <c r="Z287" s="36">
        <v>720910.99876791029</v>
      </c>
      <c r="AA287" s="36">
        <v>808852.81721752696</v>
      </c>
      <c r="AB287" s="36">
        <v>896794.63566714351</v>
      </c>
      <c r="AC287" s="36">
        <v>984736.45411675959</v>
      </c>
      <c r="AD287" s="36">
        <v>1072678.2725663763</v>
      </c>
      <c r="AE287" s="36">
        <v>1160620.0910159927</v>
      </c>
      <c r="AF287" s="36">
        <v>1248561.9094656094</v>
      </c>
      <c r="AG287" s="36">
        <v>1336503.727915226</v>
      </c>
      <c r="AH287" s="36">
        <v>1424445.5463648429</v>
      </c>
      <c r="AI287" s="36">
        <v>1512387.3648144591</v>
      </c>
      <c r="AJ287" s="36">
        <v>1600329.1832640753</v>
      </c>
      <c r="AK287" s="36">
        <v>1688271.0017136917</v>
      </c>
      <c r="AL287" s="36">
        <v>1776212.8201633084</v>
      </c>
      <c r="AM287" s="36">
        <v>1864154.6386129248</v>
      </c>
      <c r="AN287" s="36">
        <v>1952096.4570625415</v>
      </c>
      <c r="AO287" s="36">
        <v>2040038.2755121582</v>
      </c>
      <c r="AP287" s="36">
        <v>2127980.0939617744</v>
      </c>
      <c r="AQ287" s="36">
        <v>2215921.9124113913</v>
      </c>
      <c r="AR287" s="36">
        <v>2303863.7308610072</v>
      </c>
      <c r="AS287" s="36">
        <v>2391805.5493106237</v>
      </c>
      <c r="AT287" s="36">
        <v>2479747.3677602401</v>
      </c>
      <c r="AU287" s="36">
        <v>2567689.1862098565</v>
      </c>
      <c r="AV287" s="36">
        <v>2655631.004659473</v>
      </c>
      <c r="AW287" s="36">
        <v>2743572.8231090899</v>
      </c>
      <c r="AX287" s="36">
        <v>2831514.6415587063</v>
      </c>
    </row>
    <row r="288" spans="4:50">
      <c r="D288" t="s">
        <v>660</v>
      </c>
      <c r="E288" t="s">
        <v>633</v>
      </c>
      <c r="G288" s="44"/>
      <c r="I288" s="44"/>
      <c r="K288" s="44"/>
      <c r="M288" s="44"/>
      <c r="O288" s="36">
        <v>136983.53708712067</v>
      </c>
      <c r="P288" s="36">
        <v>159570.95459523823</v>
      </c>
      <c r="Q288" s="36">
        <v>182158.37210335577</v>
      </c>
      <c r="R288" s="36">
        <v>204745.7896114733</v>
      </c>
      <c r="S288" s="36">
        <v>227333.20711959081</v>
      </c>
      <c r="T288" s="36">
        <v>249920.62462770834</v>
      </c>
      <c r="U288" s="36">
        <v>272508.0421358259</v>
      </c>
      <c r="V288" s="36">
        <v>295095.45964394341</v>
      </c>
      <c r="W288" s="36">
        <v>317682.87715206097</v>
      </c>
      <c r="X288" s="36">
        <v>340270.29466017854</v>
      </c>
      <c r="Y288" s="36">
        <v>362857.71216829593</v>
      </c>
      <c r="Z288" s="36">
        <v>413062.68848501827</v>
      </c>
      <c r="AA288" s="36">
        <v>463267.66480174061</v>
      </c>
      <c r="AB288" s="36">
        <v>513472.6411184629</v>
      </c>
      <c r="AC288" s="36">
        <v>563677.61743518501</v>
      </c>
      <c r="AD288" s="36">
        <v>613882.59375190747</v>
      </c>
      <c r="AE288" s="36">
        <v>664087.57006862969</v>
      </c>
      <c r="AF288" s="36">
        <v>714292.54638535192</v>
      </c>
      <c r="AG288" s="36">
        <v>764497.52270207449</v>
      </c>
      <c r="AH288" s="36">
        <v>814702.49901879672</v>
      </c>
      <c r="AI288" s="36">
        <v>864907.47533551906</v>
      </c>
      <c r="AJ288" s="36">
        <v>915112.45165224129</v>
      </c>
      <c r="AK288" s="36">
        <v>965317.42796896363</v>
      </c>
      <c r="AL288" s="36">
        <v>1015522.4042856859</v>
      </c>
      <c r="AM288" s="36">
        <v>1065727.3806024084</v>
      </c>
      <c r="AN288" s="36">
        <v>1115932.3569191308</v>
      </c>
      <c r="AO288" s="36">
        <v>1166137.3332358531</v>
      </c>
      <c r="AP288" s="36">
        <v>1216342.3095525755</v>
      </c>
      <c r="AQ288" s="36">
        <v>1266547.2858692978</v>
      </c>
      <c r="AR288" s="36">
        <v>1316752.2621860199</v>
      </c>
      <c r="AS288" s="36">
        <v>1366957.238502742</v>
      </c>
      <c r="AT288" s="36">
        <v>1417162.2148194646</v>
      </c>
      <c r="AU288" s="36">
        <v>1467367.1911361869</v>
      </c>
      <c r="AV288" s="36">
        <v>1517572.1674529093</v>
      </c>
      <c r="AW288" s="36">
        <v>1567777.1437696312</v>
      </c>
      <c r="AX288" s="36">
        <v>1617982.1200863535</v>
      </c>
    </row>
    <row r="289" spans="3:50">
      <c r="E289" t="s">
        <v>660</v>
      </c>
      <c r="G289" s="44"/>
      <c r="I289" s="44"/>
      <c r="K289" s="44"/>
      <c r="M289" s="44"/>
      <c r="O289" s="36">
        <f>SUMIF($D256:$D288,$E289,O256:O288)</f>
        <v>1826036.2353321775</v>
      </c>
      <c r="P289" s="36">
        <f t="shared" ref="P289" si="160">SUMIF($D256:$D288,$E289,P256:P288)</f>
        <v>2151624.0186868808</v>
      </c>
      <c r="Q289" s="36">
        <f t="shared" ref="Q289" si="161">SUMIF($D256:$D288,$E289,Q256:Q288)</f>
        <v>2477211.8020415832</v>
      </c>
      <c r="R289" s="36">
        <f t="shared" ref="R289" si="162">SUMIF($D256:$D288,$E289,R256:R288)</f>
        <v>2802799.5853962866</v>
      </c>
      <c r="S289" s="36">
        <f t="shared" ref="S289" si="163">SUMIF($D256:$D288,$E289,S256:S288)</f>
        <v>3128387.3687509899</v>
      </c>
      <c r="T289" s="36">
        <f t="shared" ref="T289" si="164">SUMIF($D256:$D288,$E289,T256:T288)</f>
        <v>3453975.1521056928</v>
      </c>
      <c r="U289" s="36">
        <f t="shared" ref="U289" si="165">SUMIF($D256:$D288,$E289,U256:U288)</f>
        <v>3779562.9354603961</v>
      </c>
      <c r="V289" s="36">
        <f t="shared" ref="V289" si="166">SUMIF($D256:$D288,$E289,V256:V288)</f>
        <v>4105150.7188150985</v>
      </c>
      <c r="W289" s="36">
        <f t="shared" ref="W289" si="167">SUMIF($D256:$D288,$E289,W256:W288)</f>
        <v>4430738.5021698019</v>
      </c>
      <c r="X289" s="36">
        <f t="shared" ref="X289" si="168">SUMIF($D256:$D288,$E289,X256:X288)</f>
        <v>4756326.2855245061</v>
      </c>
      <c r="Y289" s="36">
        <f t="shared" ref="Y289" si="169">SUMIF($D256:$D288,$E289,Y256:Y288)</f>
        <v>5081914.0688792085</v>
      </c>
      <c r="Z289" s="36">
        <f t="shared" ref="Z289" si="170">SUMIF($D256:$D288,$E289,Z256:Z288)</f>
        <v>5773422.1808524942</v>
      </c>
      <c r="AA289" s="36">
        <f t="shared" ref="AA289" si="171">SUMIF($D256:$D288,$E289,AA256:AA288)</f>
        <v>6464930.2928257808</v>
      </c>
      <c r="AB289" s="36">
        <f t="shared" ref="AB289" si="172">SUMIF($D256:$D288,$E289,AB256:AB288)</f>
        <v>7156438.4047990656</v>
      </c>
      <c r="AC289" s="36">
        <f t="shared" ref="AC289" si="173">SUMIF($D256:$D288,$E289,AC256:AC288)</f>
        <v>7847946.5167723531</v>
      </c>
      <c r="AD289" s="36">
        <f t="shared" ref="AD289" si="174">SUMIF($D256:$D288,$E289,AD256:AD288)</f>
        <v>8539454.6287456397</v>
      </c>
      <c r="AE289" s="36">
        <f t="shared" ref="AE289" si="175">SUMIF($D256:$D288,$E289,AE256:AE288)</f>
        <v>9230962.7407189235</v>
      </c>
      <c r="AF289" s="36">
        <f t="shared" ref="AF289" si="176">SUMIF($D256:$D288,$E289,AF256:AF288)</f>
        <v>9922470.852692211</v>
      </c>
      <c r="AG289" s="36">
        <f t="shared" ref="AG289" si="177">SUMIF($D256:$D288,$E289,AG256:AG288)</f>
        <v>10613978.964665495</v>
      </c>
      <c r="AH289" s="36">
        <f t="shared" ref="AH289" si="178">SUMIF($D256:$D288,$E289,AH256:AH288)</f>
        <v>11305487.076638781</v>
      </c>
      <c r="AI289" s="36">
        <f t="shared" ref="AI289" si="179">SUMIF($D256:$D288,$E289,AI256:AI288)</f>
        <v>11996995.18861207</v>
      </c>
      <c r="AJ289" s="36">
        <f t="shared" ref="AJ289" si="180">SUMIF($D256:$D288,$E289,AJ256:AJ288)</f>
        <v>12688503.300585357</v>
      </c>
      <c r="AK289" s="36">
        <f t="shared" ref="AK289" si="181">SUMIF($D256:$D288,$E289,AK256:AK288)</f>
        <v>13380011.412558641</v>
      </c>
      <c r="AL289" s="36">
        <f t="shared" ref="AL289" si="182">SUMIF($D256:$D288,$E289,AL256:AL288)</f>
        <v>14071519.524531927</v>
      </c>
      <c r="AM289" s="36">
        <f t="shared" ref="AM289" si="183">SUMIF($D256:$D288,$E289,AM256:AM288)</f>
        <v>14763027.636505216</v>
      </c>
      <c r="AN289" s="36">
        <f t="shared" ref="AN289" si="184">SUMIF($D256:$D288,$E289,AN256:AN288)</f>
        <v>15454535.748478498</v>
      </c>
      <c r="AO289" s="36">
        <f t="shared" ref="AO289" si="185">SUMIF($D256:$D288,$E289,AO256:AO288)</f>
        <v>16146043.860451784</v>
      </c>
      <c r="AP289" s="36">
        <f t="shared" ref="AP289" si="186">SUMIF($D256:$D288,$E289,AP256:AP288)</f>
        <v>16837551.972425073</v>
      </c>
      <c r="AQ289" s="36">
        <f t="shared" ref="AQ289" si="187">SUMIF($D256:$D288,$E289,AQ256:AQ288)</f>
        <v>17529060.084398359</v>
      </c>
      <c r="AR289" s="36">
        <f t="shared" ref="AR289" si="188">SUMIF($D256:$D288,$E289,AR256:AR288)</f>
        <v>18220568.196371648</v>
      </c>
      <c r="AS289" s="36">
        <f t="shared" ref="AS289" si="189">SUMIF($D256:$D288,$E289,AS256:AS288)</f>
        <v>18912076.30834493</v>
      </c>
      <c r="AT289" s="36">
        <f t="shared" ref="AT289" si="190">SUMIF($D256:$D288,$E289,AT256:AT288)</f>
        <v>19603584.420318216</v>
      </c>
      <c r="AU289" s="36">
        <f t="shared" ref="AU289" si="191">SUMIF($D256:$D288,$E289,AU256:AU288)</f>
        <v>20295092.532291502</v>
      </c>
      <c r="AV289" s="36">
        <f t="shared" ref="AV289" si="192">SUMIF($D256:$D288,$E289,AV256:AV288)</f>
        <v>20986600.644264791</v>
      </c>
      <c r="AW289" s="36">
        <f t="shared" ref="AW289" si="193">SUMIF($D256:$D288,$E289,AW256:AW288)</f>
        <v>21678108.756238081</v>
      </c>
      <c r="AX289" s="36">
        <f t="shared" ref="AX289" si="194">SUMIF($D256:$D288,$E289,AX256:AX288)</f>
        <v>22369616.868211355</v>
      </c>
    </row>
    <row r="290" spans="3:50">
      <c r="E290" t="s">
        <v>661</v>
      </c>
      <c r="G290" s="44"/>
      <c r="I290" s="44"/>
      <c r="K290" s="44"/>
      <c r="M290" s="44"/>
      <c r="O290" s="36">
        <f>SUMIF($D256:$D288,$E290,O256:O288)</f>
        <v>7264863.7646678155</v>
      </c>
      <c r="P290" s="36">
        <f t="shared" ref="P290:AX290" si="195">SUMIF($D256:$D288,$E290,P256:P288)</f>
        <v>8460383.8660043813</v>
      </c>
      <c r="Q290" s="36">
        <f t="shared" si="195"/>
        <v>9655903.9673409518</v>
      </c>
      <c r="R290" s="36">
        <f t="shared" si="195"/>
        <v>10851424.068677519</v>
      </c>
      <c r="S290" s="36">
        <f t="shared" si="195"/>
        <v>12046944.170014087</v>
      </c>
      <c r="T290" s="36">
        <f t="shared" si="195"/>
        <v>13242464.271350656</v>
      </c>
      <c r="U290" s="36">
        <f t="shared" si="195"/>
        <v>14437984.372687224</v>
      </c>
      <c r="V290" s="36">
        <f t="shared" si="195"/>
        <v>15633504.474023793</v>
      </c>
      <c r="W290" s="36">
        <f t="shared" si="195"/>
        <v>16829024.575360361</v>
      </c>
      <c r="X290" s="36">
        <f t="shared" si="195"/>
        <v>18024544.676696926</v>
      </c>
      <c r="Y290" s="36">
        <f t="shared" si="195"/>
        <v>19220064.778033495</v>
      </c>
      <c r="Z290" s="36">
        <f t="shared" si="195"/>
        <v>21936699.658904839</v>
      </c>
      <c r="AA290" s="36">
        <f t="shared" si="195"/>
        <v>24653334.539776191</v>
      </c>
      <c r="AB290" s="36">
        <f t="shared" si="195"/>
        <v>27369969.420647539</v>
      </c>
      <c r="AC290" s="36">
        <f t="shared" si="195"/>
        <v>30086604.301518887</v>
      </c>
      <c r="AD290" s="36">
        <f t="shared" si="195"/>
        <v>32803239.182390235</v>
      </c>
      <c r="AE290" s="36">
        <f t="shared" si="195"/>
        <v>35519874.063261591</v>
      </c>
      <c r="AF290" s="36">
        <f t="shared" si="195"/>
        <v>38236508.944132932</v>
      </c>
      <c r="AG290" s="36">
        <f t="shared" si="195"/>
        <v>40953143.825004287</v>
      </c>
      <c r="AH290" s="36">
        <f t="shared" si="195"/>
        <v>43669778.70587562</v>
      </c>
      <c r="AI290" s="36">
        <f t="shared" si="195"/>
        <v>46386413.586746968</v>
      </c>
      <c r="AJ290" s="36">
        <f t="shared" si="195"/>
        <v>49103048.467618331</v>
      </c>
      <c r="AK290" s="36">
        <f t="shared" si="195"/>
        <v>51819683.348489672</v>
      </c>
      <c r="AL290" s="36">
        <f t="shared" si="195"/>
        <v>54536318.229361027</v>
      </c>
      <c r="AM290" s="36">
        <f t="shared" si="195"/>
        <v>57252953.110232376</v>
      </c>
      <c r="AN290" s="36">
        <f t="shared" si="195"/>
        <v>59969587.991103724</v>
      </c>
      <c r="AO290" s="36">
        <f t="shared" si="195"/>
        <v>62686222.871975057</v>
      </c>
      <c r="AP290" s="36">
        <f t="shared" si="195"/>
        <v>65402857.752846405</v>
      </c>
      <c r="AQ290" s="36">
        <f t="shared" si="195"/>
        <v>68119492.63371776</v>
      </c>
      <c r="AR290" s="36">
        <f t="shared" si="195"/>
        <v>70836127.514589101</v>
      </c>
      <c r="AS290" s="36">
        <f t="shared" si="195"/>
        <v>73552762.395460457</v>
      </c>
      <c r="AT290" s="36">
        <f t="shared" si="195"/>
        <v>76269397.276331797</v>
      </c>
      <c r="AU290" s="36">
        <f t="shared" si="195"/>
        <v>78986032.157203153</v>
      </c>
      <c r="AV290" s="36">
        <f t="shared" si="195"/>
        <v>81702667.038074493</v>
      </c>
      <c r="AW290" s="36">
        <f t="shared" si="195"/>
        <v>84419301.918945864</v>
      </c>
      <c r="AX290" s="36">
        <f t="shared" si="195"/>
        <v>87135936.799817219</v>
      </c>
    </row>
    <row r="291" spans="3:50">
      <c r="E291" t="s">
        <v>122</v>
      </c>
      <c r="G291" s="44"/>
      <c r="I291" s="44"/>
      <c r="K291" s="44"/>
      <c r="M291" s="44"/>
      <c r="O291" s="159">
        <f t="shared" ref="O291:AX291" si="196">SUM(O256:O288)</f>
        <v>9090899.9999999907</v>
      </c>
      <c r="P291" s="159">
        <f t="shared" si="196"/>
        <v>10612007.884691263</v>
      </c>
      <c r="Q291" s="159">
        <f t="shared" si="196"/>
        <v>12133115.769382535</v>
      </c>
      <c r="R291" s="159">
        <f t="shared" si="196"/>
        <v>13654223.654073808</v>
      </c>
      <c r="S291" s="159">
        <f t="shared" si="196"/>
        <v>15175331.538765077</v>
      </c>
      <c r="T291" s="159">
        <f t="shared" si="196"/>
        <v>16696439.423456348</v>
      </c>
      <c r="U291" s="159">
        <f t="shared" si="196"/>
        <v>18217547.30814762</v>
      </c>
      <c r="V291" s="159">
        <f t="shared" si="196"/>
        <v>19738655.192838892</v>
      </c>
      <c r="W291" s="159">
        <f t="shared" si="196"/>
        <v>21259763.077530161</v>
      </c>
      <c r="X291" s="159">
        <f t="shared" si="196"/>
        <v>22780870.962221432</v>
      </c>
      <c r="Y291" s="159">
        <f t="shared" si="196"/>
        <v>24301978.846912701</v>
      </c>
      <c r="Z291" s="159">
        <f t="shared" si="196"/>
        <v>27710121.839757342</v>
      </c>
      <c r="AA291" s="159">
        <f t="shared" si="196"/>
        <v>31118264.832601972</v>
      </c>
      <c r="AB291" s="159">
        <f t="shared" si="196"/>
        <v>34526407.825446598</v>
      </c>
      <c r="AC291" s="159">
        <f t="shared" si="196"/>
        <v>37934550.818291239</v>
      </c>
      <c r="AD291" s="159">
        <f t="shared" si="196"/>
        <v>41342693.811135873</v>
      </c>
      <c r="AE291" s="159">
        <f t="shared" si="196"/>
        <v>44750836.803980507</v>
      </c>
      <c r="AF291" s="159">
        <f t="shared" si="196"/>
        <v>48158979.796825148</v>
      </c>
      <c r="AG291" s="159">
        <f t="shared" si="196"/>
        <v>51567122.789669774</v>
      </c>
      <c r="AH291" s="159">
        <f t="shared" si="196"/>
        <v>54975265.782514401</v>
      </c>
      <c r="AI291" s="159">
        <f t="shared" si="196"/>
        <v>58383408.775359049</v>
      </c>
      <c r="AJ291" s="159">
        <f t="shared" si="196"/>
        <v>61791551.768203698</v>
      </c>
      <c r="AK291" s="159">
        <f t="shared" si="196"/>
        <v>65199694.761048302</v>
      </c>
      <c r="AL291" s="159">
        <f t="shared" si="196"/>
        <v>68607837.753892943</v>
      </c>
      <c r="AM291" s="159">
        <f t="shared" si="196"/>
        <v>72015980.74673757</v>
      </c>
      <c r="AN291" s="159">
        <f t="shared" si="196"/>
        <v>75424123.739582211</v>
      </c>
      <c r="AO291" s="159">
        <f t="shared" si="196"/>
        <v>78832266.732426837</v>
      </c>
      <c r="AP291" s="159">
        <f t="shared" si="196"/>
        <v>82240409.725271493</v>
      </c>
      <c r="AQ291" s="159">
        <f t="shared" si="196"/>
        <v>85648552.71811612</v>
      </c>
      <c r="AR291" s="159">
        <f t="shared" si="196"/>
        <v>89056695.710960746</v>
      </c>
      <c r="AS291" s="159">
        <f t="shared" si="196"/>
        <v>92464838.703805387</v>
      </c>
      <c r="AT291" s="159">
        <f t="shared" si="196"/>
        <v>95872981.696650013</v>
      </c>
      <c r="AU291" s="159">
        <f t="shared" si="196"/>
        <v>99281124.689494684</v>
      </c>
      <c r="AV291" s="159">
        <f t="shared" si="196"/>
        <v>102689267.68233928</v>
      </c>
      <c r="AW291" s="159">
        <f t="shared" si="196"/>
        <v>106097410.67518391</v>
      </c>
      <c r="AX291" s="159">
        <f t="shared" si="196"/>
        <v>109505553.66802858</v>
      </c>
    </row>
    <row r="292" spans="3:50">
      <c r="D292" s="76"/>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159"/>
      <c r="AK292" s="159"/>
      <c r="AL292" s="159"/>
      <c r="AM292" s="159"/>
      <c r="AN292" s="159"/>
      <c r="AO292" s="159"/>
      <c r="AP292" s="159"/>
      <c r="AQ292" s="159"/>
      <c r="AR292" s="159"/>
      <c r="AS292" s="159"/>
      <c r="AT292" s="159"/>
      <c r="AU292" s="159"/>
      <c r="AV292" s="159"/>
      <c r="AW292" s="159"/>
      <c r="AX292" s="159"/>
    </row>
    <row r="293" spans="3:50">
      <c r="D293" s="160" t="s">
        <v>720</v>
      </c>
      <c r="E293" t="str">
        <f xml:space="preserve"> Dashboard!$D$5</f>
        <v>Inner London</v>
      </c>
      <c r="G293" s="44"/>
      <c r="I293" s="44"/>
      <c r="K293" s="44"/>
      <c r="M293" s="44"/>
      <c r="O293" s="36">
        <f>INDEX(O256:O291,MATCH($E$293,$E$256:$E$291,0))</f>
        <v>1826036.2353321775</v>
      </c>
      <c r="P293" s="36">
        <f t="shared" ref="P293:AX293" si="197">INDEX(P256:P291,MATCH($E$293,$E$256:$E$291,0))</f>
        <v>2151624.0186868808</v>
      </c>
      <c r="Q293" s="36">
        <f t="shared" si="197"/>
        <v>2477211.8020415832</v>
      </c>
      <c r="R293" s="36">
        <f t="shared" si="197"/>
        <v>2802799.5853962866</v>
      </c>
      <c r="S293" s="36">
        <f t="shared" si="197"/>
        <v>3128387.3687509899</v>
      </c>
      <c r="T293" s="36">
        <f t="shared" si="197"/>
        <v>3453975.1521056928</v>
      </c>
      <c r="U293" s="36">
        <f t="shared" si="197"/>
        <v>3779562.9354603961</v>
      </c>
      <c r="V293" s="36">
        <f t="shared" si="197"/>
        <v>4105150.7188150985</v>
      </c>
      <c r="W293" s="36">
        <f t="shared" si="197"/>
        <v>4430738.5021698019</v>
      </c>
      <c r="X293" s="36">
        <f t="shared" si="197"/>
        <v>4756326.2855245061</v>
      </c>
      <c r="Y293" s="36">
        <f t="shared" si="197"/>
        <v>5081914.0688792085</v>
      </c>
      <c r="Z293" s="36">
        <f t="shared" si="197"/>
        <v>5773422.1808524942</v>
      </c>
      <c r="AA293" s="36">
        <f t="shared" si="197"/>
        <v>6464930.2928257808</v>
      </c>
      <c r="AB293" s="36">
        <f t="shared" si="197"/>
        <v>7156438.4047990656</v>
      </c>
      <c r="AC293" s="36">
        <f t="shared" si="197"/>
        <v>7847946.5167723531</v>
      </c>
      <c r="AD293" s="36">
        <f t="shared" si="197"/>
        <v>8539454.6287456397</v>
      </c>
      <c r="AE293" s="36">
        <f t="shared" si="197"/>
        <v>9230962.7407189235</v>
      </c>
      <c r="AF293" s="36">
        <f t="shared" si="197"/>
        <v>9922470.852692211</v>
      </c>
      <c r="AG293" s="36">
        <f t="shared" si="197"/>
        <v>10613978.964665495</v>
      </c>
      <c r="AH293" s="36">
        <f t="shared" si="197"/>
        <v>11305487.076638781</v>
      </c>
      <c r="AI293" s="36">
        <f t="shared" si="197"/>
        <v>11996995.18861207</v>
      </c>
      <c r="AJ293" s="36">
        <f t="shared" si="197"/>
        <v>12688503.300585357</v>
      </c>
      <c r="AK293" s="36">
        <f t="shared" si="197"/>
        <v>13380011.412558641</v>
      </c>
      <c r="AL293" s="36">
        <f t="shared" si="197"/>
        <v>14071519.524531927</v>
      </c>
      <c r="AM293" s="36">
        <f t="shared" si="197"/>
        <v>14763027.636505216</v>
      </c>
      <c r="AN293" s="36">
        <f t="shared" si="197"/>
        <v>15454535.748478498</v>
      </c>
      <c r="AO293" s="36">
        <f t="shared" si="197"/>
        <v>16146043.860451784</v>
      </c>
      <c r="AP293" s="36">
        <f t="shared" si="197"/>
        <v>16837551.972425073</v>
      </c>
      <c r="AQ293" s="36">
        <f t="shared" si="197"/>
        <v>17529060.084398359</v>
      </c>
      <c r="AR293" s="36">
        <f t="shared" si="197"/>
        <v>18220568.196371648</v>
      </c>
      <c r="AS293" s="36">
        <f t="shared" si="197"/>
        <v>18912076.30834493</v>
      </c>
      <c r="AT293" s="36">
        <f t="shared" si="197"/>
        <v>19603584.420318216</v>
      </c>
      <c r="AU293" s="36">
        <f t="shared" si="197"/>
        <v>20295092.532291502</v>
      </c>
      <c r="AV293" s="36">
        <f t="shared" si="197"/>
        <v>20986600.644264791</v>
      </c>
      <c r="AW293" s="36">
        <f t="shared" si="197"/>
        <v>21678108.756238081</v>
      </c>
      <c r="AX293" s="36">
        <f t="shared" si="197"/>
        <v>22369616.868211355</v>
      </c>
    </row>
    <row r="295" spans="3:50" s="43" customFormat="1">
      <c r="C295" s="43" t="s">
        <v>30</v>
      </c>
      <c r="O295" s="71"/>
      <c r="P295" s="71"/>
      <c r="Q295" s="71"/>
      <c r="R295" s="71"/>
      <c r="S295" s="71"/>
      <c r="T295" s="71"/>
      <c r="U295" s="71"/>
      <c r="V295" s="71"/>
      <c r="W295" s="71"/>
      <c r="X295" s="71"/>
      <c r="Y295" s="71"/>
      <c r="Z295" s="71"/>
      <c r="AA295" s="71"/>
      <c r="AB295" s="71"/>
      <c r="AC295" s="71"/>
      <c r="AD295" s="71"/>
      <c r="AE295" s="71"/>
      <c r="AF295" s="71"/>
      <c r="AG295" s="71"/>
      <c r="AH295" s="71"/>
      <c r="AI295" s="71"/>
      <c r="AJ295" s="71"/>
      <c r="AK295" s="71"/>
      <c r="AL295" s="71"/>
      <c r="AM295" s="71"/>
      <c r="AN295" s="71"/>
      <c r="AO295" s="71"/>
      <c r="AP295" s="71"/>
      <c r="AQ295" s="71"/>
      <c r="AR295" s="71"/>
      <c r="AS295" s="71"/>
      <c r="AT295" s="71"/>
      <c r="AU295" s="71"/>
      <c r="AV295" s="71"/>
      <c r="AW295" s="71"/>
      <c r="AX295" s="71"/>
    </row>
    <row r="297" spans="3:50">
      <c r="D297" t="s">
        <v>661</v>
      </c>
      <c r="E297" t="s">
        <v>626</v>
      </c>
      <c r="G297" s="44"/>
      <c r="I297" s="44"/>
      <c r="K297" s="44"/>
      <c r="M297" s="44"/>
      <c r="O297" s="36">
        <v>332988.09144140763</v>
      </c>
      <c r="P297" s="36">
        <v>560058.61874477891</v>
      </c>
      <c r="Q297" s="36">
        <v>787129.14604815003</v>
      </c>
      <c r="R297" s="36">
        <v>1014199.6733515215</v>
      </c>
      <c r="S297" s="36">
        <v>1241270.2006548927</v>
      </c>
      <c r="T297" s="36">
        <v>1468340.7279582641</v>
      </c>
      <c r="U297" s="36">
        <v>1695411.2552616354</v>
      </c>
      <c r="V297" s="36">
        <v>1922481.782565007</v>
      </c>
      <c r="W297" s="36">
        <v>2149552.3098683776</v>
      </c>
      <c r="X297" s="36">
        <v>2376622.8371717497</v>
      </c>
      <c r="Y297" s="36">
        <v>2603693.3644751208</v>
      </c>
      <c r="Z297" s="36">
        <v>2907197.6319712456</v>
      </c>
      <c r="AA297" s="36">
        <v>3210701.8994673709</v>
      </c>
      <c r="AB297" s="36">
        <v>3514206.1669634953</v>
      </c>
      <c r="AC297" s="36">
        <v>3817710.4344596206</v>
      </c>
      <c r="AD297" s="36">
        <v>4121214.7019557459</v>
      </c>
      <c r="AE297" s="36">
        <v>4424718.9694518708</v>
      </c>
      <c r="AF297" s="36">
        <v>4728223.2369479975</v>
      </c>
      <c r="AG297" s="36">
        <v>5031727.5044441214</v>
      </c>
      <c r="AH297" s="36">
        <v>5335231.7719402472</v>
      </c>
      <c r="AI297" s="36">
        <v>5638736.039436372</v>
      </c>
      <c r="AJ297" s="36">
        <v>5942240.3069324987</v>
      </c>
      <c r="AK297" s="36">
        <v>6245744.5744286217</v>
      </c>
      <c r="AL297" s="36">
        <v>6549248.8419247475</v>
      </c>
      <c r="AM297" s="36">
        <v>6852753.1094208714</v>
      </c>
      <c r="AN297" s="36">
        <v>7156257.3769169981</v>
      </c>
      <c r="AO297" s="36">
        <v>7459761.644413122</v>
      </c>
      <c r="AP297" s="36">
        <v>7763265.9119092468</v>
      </c>
      <c r="AQ297" s="36">
        <v>8066770.1794053726</v>
      </c>
      <c r="AR297" s="36">
        <v>8370274.4469014974</v>
      </c>
      <c r="AS297" s="36">
        <v>8673778.7143976223</v>
      </c>
      <c r="AT297" s="36">
        <v>8977282.9818937462</v>
      </c>
      <c r="AU297" s="36">
        <v>9280787.249389872</v>
      </c>
      <c r="AV297" s="36">
        <v>9584291.5168859959</v>
      </c>
      <c r="AW297" s="36">
        <v>9887795.7843821216</v>
      </c>
      <c r="AX297" s="36">
        <v>10191300.051878246</v>
      </c>
    </row>
    <row r="298" spans="3:50">
      <c r="D298" t="s">
        <v>661</v>
      </c>
      <c r="E298" t="s">
        <v>627</v>
      </c>
      <c r="G298" s="44"/>
      <c r="I298" s="44"/>
      <c r="K298" s="44"/>
      <c r="M298" s="44"/>
      <c r="O298" s="36">
        <v>409415.66711500898</v>
      </c>
      <c r="P298" s="36">
        <v>689799.15144855471</v>
      </c>
      <c r="Q298" s="36">
        <v>970182.63578210061</v>
      </c>
      <c r="R298" s="36">
        <v>1250566.1201156459</v>
      </c>
      <c r="S298" s="36">
        <v>1530949.6044491923</v>
      </c>
      <c r="T298" s="36">
        <v>1811333.088782737</v>
      </c>
      <c r="U298" s="36">
        <v>2091716.5731162827</v>
      </c>
      <c r="V298" s="36">
        <v>2372100.0574498288</v>
      </c>
      <c r="W298" s="36">
        <v>2652483.5417833747</v>
      </c>
      <c r="X298" s="36">
        <v>2932867.0261169206</v>
      </c>
      <c r="Y298" s="36">
        <v>3213250.5104504651</v>
      </c>
      <c r="Z298" s="36">
        <v>3571438.8555604685</v>
      </c>
      <c r="AA298" s="36">
        <v>3929627.2006704719</v>
      </c>
      <c r="AB298" s="36">
        <v>4287815.5457804734</v>
      </c>
      <c r="AC298" s="36">
        <v>4646003.8908904763</v>
      </c>
      <c r="AD298" s="36">
        <v>5004192.2360004792</v>
      </c>
      <c r="AE298" s="36">
        <v>5362380.5811104812</v>
      </c>
      <c r="AF298" s="36">
        <v>5720568.9262204841</v>
      </c>
      <c r="AG298" s="36">
        <v>6078757.271330487</v>
      </c>
      <c r="AH298" s="36">
        <v>6436945.616440488</v>
      </c>
      <c r="AI298" s="36">
        <v>6795133.9615504937</v>
      </c>
      <c r="AJ298" s="36">
        <v>7153322.3066604948</v>
      </c>
      <c r="AK298" s="36">
        <v>7511510.6517704977</v>
      </c>
      <c r="AL298" s="36">
        <v>7869698.9968805015</v>
      </c>
      <c r="AM298" s="36">
        <v>8227887.3419905026</v>
      </c>
      <c r="AN298" s="36">
        <v>8586075.6871005036</v>
      </c>
      <c r="AO298" s="36">
        <v>8944264.0322105065</v>
      </c>
      <c r="AP298" s="36">
        <v>9302452.3773205094</v>
      </c>
      <c r="AQ298" s="36">
        <v>9660640.7224305104</v>
      </c>
      <c r="AR298" s="36">
        <v>10018829.067540511</v>
      </c>
      <c r="AS298" s="36">
        <v>10377017.41265052</v>
      </c>
      <c r="AT298" s="36">
        <v>10735205.757760523</v>
      </c>
      <c r="AU298" s="36">
        <v>11093394.102870524</v>
      </c>
      <c r="AV298" s="36">
        <v>11451582.447980527</v>
      </c>
      <c r="AW298" s="36">
        <v>11809770.793090528</v>
      </c>
      <c r="AX298" s="36">
        <v>12167959.138200531</v>
      </c>
    </row>
    <row r="299" spans="3:50">
      <c r="D299" t="s">
        <v>661</v>
      </c>
      <c r="E299" t="s">
        <v>628</v>
      </c>
      <c r="G299" s="44"/>
      <c r="I299" s="44"/>
      <c r="K299" s="44"/>
      <c r="M299" s="44"/>
      <c r="O299" s="36">
        <v>390642.41268575983</v>
      </c>
      <c r="P299" s="36">
        <v>657239.98696396407</v>
      </c>
      <c r="Q299" s="36">
        <v>923837.5612421683</v>
      </c>
      <c r="R299" s="36">
        <v>1190435.1355203725</v>
      </c>
      <c r="S299" s="36">
        <v>1457032.7097985777</v>
      </c>
      <c r="T299" s="36">
        <v>1723630.284076781</v>
      </c>
      <c r="U299" s="36">
        <v>1990227.8583549855</v>
      </c>
      <c r="V299" s="36">
        <v>2256825.43263319</v>
      </c>
      <c r="W299" s="36">
        <v>2523423.0069113942</v>
      </c>
      <c r="X299" s="36">
        <v>2790020.5811895984</v>
      </c>
      <c r="Y299" s="36">
        <v>3056618.1554678022</v>
      </c>
      <c r="Z299" s="36">
        <v>3415737.827383433</v>
      </c>
      <c r="AA299" s="36">
        <v>3774857.4992990629</v>
      </c>
      <c r="AB299" s="36">
        <v>4133977.1712146946</v>
      </c>
      <c r="AC299" s="36">
        <v>4493096.8431303231</v>
      </c>
      <c r="AD299" s="36">
        <v>4852216.5150459558</v>
      </c>
      <c r="AE299" s="36">
        <v>5211336.1869615866</v>
      </c>
      <c r="AF299" s="36">
        <v>5570455.8588772183</v>
      </c>
      <c r="AG299" s="36">
        <v>5929575.5307928454</v>
      </c>
      <c r="AH299" s="36">
        <v>6288695.2027084772</v>
      </c>
      <c r="AI299" s="36">
        <v>6647814.8746241089</v>
      </c>
      <c r="AJ299" s="36">
        <v>7006934.5465397397</v>
      </c>
      <c r="AK299" s="36">
        <v>7366054.2184553696</v>
      </c>
      <c r="AL299" s="36">
        <v>7725173.8903710004</v>
      </c>
      <c r="AM299" s="36">
        <v>8084293.5622866293</v>
      </c>
      <c r="AN299" s="36">
        <v>8443413.2342022639</v>
      </c>
      <c r="AO299" s="36">
        <v>8802532.9061178938</v>
      </c>
      <c r="AP299" s="36">
        <v>9161652.5780335255</v>
      </c>
      <c r="AQ299" s="36">
        <v>9520772.2499491517</v>
      </c>
      <c r="AR299" s="36">
        <v>9879891.9218647871</v>
      </c>
      <c r="AS299" s="36">
        <v>10239011.593780415</v>
      </c>
      <c r="AT299" s="36">
        <v>10598131.265696047</v>
      </c>
      <c r="AU299" s="36">
        <v>10957250.93761168</v>
      </c>
      <c r="AV299" s="36">
        <v>11316370.609527308</v>
      </c>
      <c r="AW299" s="36">
        <v>11675490.281442938</v>
      </c>
      <c r="AX299" s="36">
        <v>12034609.95335857</v>
      </c>
    </row>
    <row r="300" spans="3:50">
      <c r="D300" t="s">
        <v>661</v>
      </c>
      <c r="E300" t="s">
        <v>629</v>
      </c>
      <c r="G300" s="44"/>
      <c r="I300" s="44"/>
      <c r="K300" s="44"/>
      <c r="M300" s="44"/>
      <c r="O300" s="36">
        <v>435235.42564687604</v>
      </c>
      <c r="P300" s="36">
        <v>732605.43810463906</v>
      </c>
      <c r="Q300" s="36">
        <v>1029975.450562402</v>
      </c>
      <c r="R300" s="36">
        <v>1327345.463020165</v>
      </c>
      <c r="S300" s="36">
        <v>1624715.4754779276</v>
      </c>
      <c r="T300" s="36">
        <v>1922085.4879356904</v>
      </c>
      <c r="U300" s="36">
        <v>2219455.5003934535</v>
      </c>
      <c r="V300" s="36">
        <v>2516825.5128512168</v>
      </c>
      <c r="W300" s="36">
        <v>2814195.5253089787</v>
      </c>
      <c r="X300" s="36">
        <v>3111565.5377667421</v>
      </c>
      <c r="Y300" s="36">
        <v>3408935.5502245054</v>
      </c>
      <c r="Z300" s="36">
        <v>3769794.1205659187</v>
      </c>
      <c r="AA300" s="36">
        <v>4130652.6909073335</v>
      </c>
      <c r="AB300" s="36">
        <v>4491511.2612487469</v>
      </c>
      <c r="AC300" s="36">
        <v>4852369.8315901589</v>
      </c>
      <c r="AD300" s="36">
        <v>5213228.4019315736</v>
      </c>
      <c r="AE300" s="36">
        <v>5574086.9722729865</v>
      </c>
      <c r="AF300" s="36">
        <v>5934945.5426143985</v>
      </c>
      <c r="AG300" s="36">
        <v>6295804.1129558133</v>
      </c>
      <c r="AH300" s="36">
        <v>6656662.6832972281</v>
      </c>
      <c r="AI300" s="36">
        <v>7017521.2536386419</v>
      </c>
      <c r="AJ300" s="36">
        <v>7378379.8239800557</v>
      </c>
      <c r="AK300" s="36">
        <v>7739238.3943214677</v>
      </c>
      <c r="AL300" s="36">
        <v>8100096.9646628816</v>
      </c>
      <c r="AM300" s="36">
        <v>8460955.5350042973</v>
      </c>
      <c r="AN300" s="36">
        <v>8821814.1053457074</v>
      </c>
      <c r="AO300" s="36">
        <v>9182672.675687125</v>
      </c>
      <c r="AP300" s="36">
        <v>9543531.2460285369</v>
      </c>
      <c r="AQ300" s="36">
        <v>9904389.8163699508</v>
      </c>
      <c r="AR300" s="36">
        <v>10265248.386711365</v>
      </c>
      <c r="AS300" s="36">
        <v>10626106.957052775</v>
      </c>
      <c r="AT300" s="36">
        <v>10986965.527394192</v>
      </c>
      <c r="AU300" s="36">
        <v>11347824.09773561</v>
      </c>
      <c r="AV300" s="36">
        <v>11708682.668077018</v>
      </c>
      <c r="AW300" s="36">
        <v>12069541.238418434</v>
      </c>
      <c r="AX300" s="36">
        <v>12430399.80875985</v>
      </c>
    </row>
    <row r="301" spans="3:50">
      <c r="D301" t="s">
        <v>661</v>
      </c>
      <c r="E301" t="s">
        <v>630</v>
      </c>
      <c r="G301" s="44"/>
      <c r="I301" s="44"/>
      <c r="K301" s="44"/>
      <c r="M301" s="44"/>
      <c r="O301" s="36">
        <v>379878.6392314905</v>
      </c>
      <c r="P301" s="36">
        <v>637224.45845243998</v>
      </c>
      <c r="Q301" s="36">
        <v>894570.27767338953</v>
      </c>
      <c r="R301" s="36">
        <v>1151916.0968943392</v>
      </c>
      <c r="S301" s="36">
        <v>1409261.9161152884</v>
      </c>
      <c r="T301" s="36">
        <v>1666607.7353362381</v>
      </c>
      <c r="U301" s="36">
        <v>1923953.5545571879</v>
      </c>
      <c r="V301" s="36">
        <v>2181299.3737781378</v>
      </c>
      <c r="W301" s="36">
        <v>2438645.1929990868</v>
      </c>
      <c r="X301" s="36">
        <v>2695991.0122200362</v>
      </c>
      <c r="Y301" s="36">
        <v>2953336.8314409861</v>
      </c>
      <c r="Z301" s="36">
        <v>3252648.3851876846</v>
      </c>
      <c r="AA301" s="36">
        <v>3551959.9389343839</v>
      </c>
      <c r="AB301" s="36">
        <v>3851271.4926810819</v>
      </c>
      <c r="AC301" s="36">
        <v>4150583.0464277817</v>
      </c>
      <c r="AD301" s="36">
        <v>4449894.6001744792</v>
      </c>
      <c r="AE301" s="36">
        <v>4749206.1539211795</v>
      </c>
      <c r="AF301" s="36">
        <v>5048517.7076678798</v>
      </c>
      <c r="AG301" s="36">
        <v>5347829.2614145773</v>
      </c>
      <c r="AH301" s="36">
        <v>5647140.8151612757</v>
      </c>
      <c r="AI301" s="36">
        <v>5946452.368907975</v>
      </c>
      <c r="AJ301" s="36">
        <v>6245763.9226546735</v>
      </c>
      <c r="AK301" s="36">
        <v>6545075.4764013747</v>
      </c>
      <c r="AL301" s="36">
        <v>6844387.0301480722</v>
      </c>
      <c r="AM301" s="36">
        <v>7143698.5838947706</v>
      </c>
      <c r="AN301" s="36">
        <v>7443010.1376414709</v>
      </c>
      <c r="AO301" s="36">
        <v>7742321.6913881702</v>
      </c>
      <c r="AP301" s="36">
        <v>8041633.2451348677</v>
      </c>
      <c r="AQ301" s="36">
        <v>8340944.7988815662</v>
      </c>
      <c r="AR301" s="36">
        <v>8640256.3526282664</v>
      </c>
      <c r="AS301" s="36">
        <v>8939567.9063749649</v>
      </c>
      <c r="AT301" s="36">
        <v>9238879.4601216614</v>
      </c>
      <c r="AU301" s="36">
        <v>9538191.0138683617</v>
      </c>
      <c r="AV301" s="36">
        <v>9837502.5676150583</v>
      </c>
      <c r="AW301" s="36">
        <v>10136814.121361759</v>
      </c>
      <c r="AX301" s="36">
        <v>10436125.675108463</v>
      </c>
    </row>
    <row r="302" spans="3:50">
      <c r="D302" t="s">
        <v>660</v>
      </c>
      <c r="E302" t="s">
        <v>631</v>
      </c>
      <c r="G302" s="44"/>
      <c r="I302" s="44"/>
      <c r="K302" s="44"/>
      <c r="M302" s="44"/>
      <c r="O302" s="36">
        <v>154849.86057348011</v>
      </c>
      <c r="P302" s="36">
        <v>266700.4169084545</v>
      </c>
      <c r="Q302" s="36">
        <v>378550.97324342886</v>
      </c>
      <c r="R302" s="36">
        <v>490401.5295784034</v>
      </c>
      <c r="S302" s="36">
        <v>602252.08591337781</v>
      </c>
      <c r="T302" s="36">
        <v>714102.64224835206</v>
      </c>
      <c r="U302" s="36">
        <v>825953.19858332642</v>
      </c>
      <c r="V302" s="36">
        <v>937803.75491830066</v>
      </c>
      <c r="W302" s="36">
        <v>1049654.3112532753</v>
      </c>
      <c r="X302" s="36">
        <v>1161504.86758825</v>
      </c>
      <c r="Y302" s="36">
        <v>1273355.423923224</v>
      </c>
      <c r="Z302" s="36">
        <v>1420440.6896930991</v>
      </c>
      <c r="AA302" s="36">
        <v>1567525.9554629743</v>
      </c>
      <c r="AB302" s="36">
        <v>1714611.2212328492</v>
      </c>
      <c r="AC302" s="36">
        <v>1861696.4870027243</v>
      </c>
      <c r="AD302" s="36">
        <v>2008781.7527725985</v>
      </c>
      <c r="AE302" s="36">
        <v>2155867.0185424737</v>
      </c>
      <c r="AF302" s="36">
        <v>2302952.2843123488</v>
      </c>
      <c r="AG302" s="36">
        <v>2450037.550082224</v>
      </c>
      <c r="AH302" s="36">
        <v>2597122.8158520986</v>
      </c>
      <c r="AI302" s="36">
        <v>2744208.0816219738</v>
      </c>
      <c r="AJ302" s="36">
        <v>2891293.3473918485</v>
      </c>
      <c r="AK302" s="36">
        <v>3038378.6131617245</v>
      </c>
      <c r="AL302" s="36">
        <v>3185463.8789315987</v>
      </c>
      <c r="AM302" s="36">
        <v>3332549.1447014739</v>
      </c>
      <c r="AN302" s="36">
        <v>3479634.4104713481</v>
      </c>
      <c r="AO302" s="36">
        <v>3626719.6762412232</v>
      </c>
      <c r="AP302" s="36">
        <v>3773804.9420110993</v>
      </c>
      <c r="AQ302" s="36">
        <v>3920890.2077809735</v>
      </c>
      <c r="AR302" s="36">
        <v>4067975.4735508496</v>
      </c>
      <c r="AS302" s="36">
        <v>4215060.7393207243</v>
      </c>
      <c r="AT302" s="36">
        <v>4362146.0050905989</v>
      </c>
      <c r="AU302" s="36">
        <v>4509231.2708604736</v>
      </c>
      <c r="AV302" s="36">
        <v>4656316.5366303483</v>
      </c>
      <c r="AW302" s="36">
        <v>4803401.802400223</v>
      </c>
      <c r="AX302" s="36">
        <v>4950487.0681700977</v>
      </c>
    </row>
    <row r="303" spans="3:50">
      <c r="D303" t="s">
        <v>660</v>
      </c>
      <c r="E303" t="s">
        <v>632</v>
      </c>
      <c r="G303" s="44"/>
      <c r="I303" s="44"/>
      <c r="K303" s="44"/>
      <c r="M303" s="44"/>
      <c r="O303" s="36">
        <v>100076.23667671342</v>
      </c>
      <c r="P303" s="36">
        <v>164966.04016179813</v>
      </c>
      <c r="Q303" s="36">
        <v>229855.84364688283</v>
      </c>
      <c r="R303" s="36">
        <v>294745.64713196753</v>
      </c>
      <c r="S303" s="36">
        <v>359635.45061705221</v>
      </c>
      <c r="T303" s="36">
        <v>424525.25410213688</v>
      </c>
      <c r="U303" s="36">
        <v>489415.05758722156</v>
      </c>
      <c r="V303" s="36">
        <v>554304.86107230629</v>
      </c>
      <c r="W303" s="36">
        <v>619194.66455739096</v>
      </c>
      <c r="X303" s="36">
        <v>684084.46804247564</v>
      </c>
      <c r="Y303" s="36">
        <v>748974.27152756043</v>
      </c>
      <c r="Z303" s="36">
        <v>827632.00166657916</v>
      </c>
      <c r="AA303" s="36">
        <v>906289.7318055979</v>
      </c>
      <c r="AB303" s="36">
        <v>984947.46194461663</v>
      </c>
      <c r="AC303" s="36">
        <v>1063605.1920836354</v>
      </c>
      <c r="AD303" s="36">
        <v>1142262.9222226541</v>
      </c>
      <c r="AE303" s="36">
        <v>1220920.6523616728</v>
      </c>
      <c r="AF303" s="36">
        <v>1299578.3825006916</v>
      </c>
      <c r="AG303" s="36">
        <v>1378236.1126397103</v>
      </c>
      <c r="AH303" s="36">
        <v>1456893.842778729</v>
      </c>
      <c r="AI303" s="36">
        <v>1535551.5729177478</v>
      </c>
      <c r="AJ303" s="36">
        <v>1614209.3030567665</v>
      </c>
      <c r="AK303" s="36">
        <v>1692867.0331957852</v>
      </c>
      <c r="AL303" s="36">
        <v>1771524.763334804</v>
      </c>
      <c r="AM303" s="36">
        <v>1850182.4934738227</v>
      </c>
      <c r="AN303" s="36">
        <v>1928840.2236128415</v>
      </c>
      <c r="AO303" s="36">
        <v>2007497.9537518602</v>
      </c>
      <c r="AP303" s="36">
        <v>2086155.6838908789</v>
      </c>
      <c r="AQ303" s="36">
        <v>2164813.4140298977</v>
      </c>
      <c r="AR303" s="36">
        <v>2243471.1441689166</v>
      </c>
      <c r="AS303" s="36">
        <v>2322128.8743079356</v>
      </c>
      <c r="AT303" s="36">
        <v>2400786.6044469546</v>
      </c>
      <c r="AU303" s="36">
        <v>2479444.3345859735</v>
      </c>
      <c r="AV303" s="36">
        <v>2558102.0647249925</v>
      </c>
      <c r="AW303" s="36">
        <v>2636759.7948640115</v>
      </c>
      <c r="AX303" s="36">
        <v>2715417.5250030304</v>
      </c>
    </row>
    <row r="304" spans="3:50">
      <c r="D304" t="s">
        <v>661</v>
      </c>
      <c r="E304" t="s">
        <v>634</v>
      </c>
      <c r="G304" s="44"/>
      <c r="I304" s="44"/>
      <c r="K304" s="44"/>
      <c r="M304" s="44"/>
      <c r="O304" s="36">
        <v>394055.25155687763</v>
      </c>
      <c r="P304" s="36">
        <v>665352.50472303643</v>
      </c>
      <c r="Q304" s="36">
        <v>936649.75788919511</v>
      </c>
      <c r="R304" s="36">
        <v>1207947.0110553543</v>
      </c>
      <c r="S304" s="36">
        <v>1479244.2642215127</v>
      </c>
      <c r="T304" s="36">
        <v>1750541.5173876709</v>
      </c>
      <c r="U304" s="36">
        <v>2021838.7705538301</v>
      </c>
      <c r="V304" s="36">
        <v>2293136.0237199892</v>
      </c>
      <c r="W304" s="36">
        <v>2564433.2768861474</v>
      </c>
      <c r="X304" s="36">
        <v>2835730.5300523071</v>
      </c>
      <c r="Y304" s="36">
        <v>3107027.7832184648</v>
      </c>
      <c r="Z304" s="36">
        <v>3569880.7141354629</v>
      </c>
      <c r="AA304" s="36">
        <v>4032733.6450524605</v>
      </c>
      <c r="AB304" s="36">
        <v>4495586.5759694576</v>
      </c>
      <c r="AC304" s="36">
        <v>4958439.5068864562</v>
      </c>
      <c r="AD304" s="36">
        <v>5421292.4378034538</v>
      </c>
      <c r="AE304" s="36">
        <v>5884145.3687204532</v>
      </c>
      <c r="AF304" s="36">
        <v>6346998.2996374471</v>
      </c>
      <c r="AG304" s="36">
        <v>6809851.2305544484</v>
      </c>
      <c r="AH304" s="36">
        <v>7272704.1614714423</v>
      </c>
      <c r="AI304" s="36">
        <v>7735557.0923884427</v>
      </c>
      <c r="AJ304" s="36">
        <v>8198410.0233054403</v>
      </c>
      <c r="AK304" s="36">
        <v>8661262.954222437</v>
      </c>
      <c r="AL304" s="36">
        <v>9124115.8851394337</v>
      </c>
      <c r="AM304" s="36">
        <v>9586968.8160564341</v>
      </c>
      <c r="AN304" s="36">
        <v>10049821.746973429</v>
      </c>
      <c r="AO304" s="36">
        <v>10512674.677890429</v>
      </c>
      <c r="AP304" s="36">
        <v>10975527.608807424</v>
      </c>
      <c r="AQ304" s="36">
        <v>11438380.539724419</v>
      </c>
      <c r="AR304" s="36">
        <v>11901233.470641421</v>
      </c>
      <c r="AS304" s="36">
        <v>12364086.401558416</v>
      </c>
      <c r="AT304" s="36">
        <v>12826939.33247542</v>
      </c>
      <c r="AU304" s="36">
        <v>13289792.263392417</v>
      </c>
      <c r="AV304" s="36">
        <v>13752645.194309412</v>
      </c>
      <c r="AW304" s="36">
        <v>14215498.125226416</v>
      </c>
      <c r="AX304" s="36">
        <v>14678351.056143407</v>
      </c>
    </row>
    <row r="305" spans="4:50">
      <c r="D305" t="s">
        <v>661</v>
      </c>
      <c r="E305" t="s">
        <v>635</v>
      </c>
      <c r="G305" s="44"/>
      <c r="I305" s="44"/>
      <c r="K305" s="44"/>
      <c r="M305" s="44"/>
      <c r="O305" s="36">
        <v>545616.52196754946</v>
      </c>
      <c r="P305" s="36">
        <v>915718.57076887426</v>
      </c>
      <c r="Q305" s="36">
        <v>1285820.6195701987</v>
      </c>
      <c r="R305" s="36">
        <v>1655922.6683715237</v>
      </c>
      <c r="S305" s="36">
        <v>2026024.7171728481</v>
      </c>
      <c r="T305" s="36">
        <v>2396126.7659741729</v>
      </c>
      <c r="U305" s="36">
        <v>2766228.8147754981</v>
      </c>
      <c r="V305" s="36">
        <v>3136330.8635768215</v>
      </c>
      <c r="W305" s="36">
        <v>3506432.9123781477</v>
      </c>
      <c r="X305" s="36">
        <v>3876534.961179473</v>
      </c>
      <c r="Y305" s="36">
        <v>4246637.0099807968</v>
      </c>
      <c r="Z305" s="36">
        <v>4675508.0721608419</v>
      </c>
      <c r="AA305" s="36">
        <v>5104379.1343408898</v>
      </c>
      <c r="AB305" s="36">
        <v>5533250.1965209367</v>
      </c>
      <c r="AC305" s="36">
        <v>5962121.2587009845</v>
      </c>
      <c r="AD305" s="36">
        <v>6390992.3208810324</v>
      </c>
      <c r="AE305" s="36">
        <v>6819863.3830610784</v>
      </c>
      <c r="AF305" s="36">
        <v>7248734.4452411234</v>
      </c>
      <c r="AG305" s="36">
        <v>7677605.5074211704</v>
      </c>
      <c r="AH305" s="36">
        <v>8106476.5696012191</v>
      </c>
      <c r="AI305" s="36">
        <v>8535347.6317812614</v>
      </c>
      <c r="AJ305" s="36">
        <v>8964218.693961313</v>
      </c>
      <c r="AK305" s="36">
        <v>9393089.7561413608</v>
      </c>
      <c r="AL305" s="36">
        <v>9821960.818321405</v>
      </c>
      <c r="AM305" s="36">
        <v>10250831.880501451</v>
      </c>
      <c r="AN305" s="36">
        <v>10679702.942681497</v>
      </c>
      <c r="AO305" s="36">
        <v>11108574.004861547</v>
      </c>
      <c r="AP305" s="36">
        <v>11537445.067041593</v>
      </c>
      <c r="AQ305" s="36">
        <v>11966316.129221641</v>
      </c>
      <c r="AR305" s="36">
        <v>12395187.191401687</v>
      </c>
      <c r="AS305" s="36">
        <v>12824058.253581733</v>
      </c>
      <c r="AT305" s="36">
        <v>13252929.315761779</v>
      </c>
      <c r="AU305" s="36">
        <v>13681800.377941828</v>
      </c>
      <c r="AV305" s="36">
        <v>14110671.440121872</v>
      </c>
      <c r="AW305" s="36">
        <v>14539542.502301918</v>
      </c>
      <c r="AX305" s="36">
        <v>14968413.56448197</v>
      </c>
    </row>
    <row r="306" spans="4:50">
      <c r="D306" t="s">
        <v>661</v>
      </c>
      <c r="E306" t="s">
        <v>636</v>
      </c>
      <c r="G306" s="44"/>
      <c r="I306" s="44"/>
      <c r="K306" s="44"/>
      <c r="M306" s="44"/>
      <c r="O306" s="36">
        <v>477985.43706909806</v>
      </c>
      <c r="P306" s="36">
        <v>802773.17722468777</v>
      </c>
      <c r="Q306" s="36">
        <v>1127560.9173802778</v>
      </c>
      <c r="R306" s="36">
        <v>1452348.6575358678</v>
      </c>
      <c r="S306" s="36">
        <v>1777136.3976914571</v>
      </c>
      <c r="T306" s="36">
        <v>2101924.1378470473</v>
      </c>
      <c r="U306" s="36">
        <v>2426711.8780026371</v>
      </c>
      <c r="V306" s="36">
        <v>2751499.6181582278</v>
      </c>
      <c r="W306" s="36">
        <v>3076287.3583138166</v>
      </c>
      <c r="X306" s="36">
        <v>3401075.0984694064</v>
      </c>
      <c r="Y306" s="36">
        <v>3725862.8386249966</v>
      </c>
      <c r="Z306" s="36">
        <v>4177821.8100825059</v>
      </c>
      <c r="AA306" s="36">
        <v>4629780.7815400148</v>
      </c>
      <c r="AB306" s="36">
        <v>5081739.752997525</v>
      </c>
      <c r="AC306" s="36">
        <v>5533698.7244550362</v>
      </c>
      <c r="AD306" s="36">
        <v>5985657.6959125446</v>
      </c>
      <c r="AE306" s="36">
        <v>6437616.6673700539</v>
      </c>
      <c r="AF306" s="36">
        <v>6889575.6388275623</v>
      </c>
      <c r="AG306" s="36">
        <v>7341534.6102850717</v>
      </c>
      <c r="AH306" s="36">
        <v>7793493.5817425828</v>
      </c>
      <c r="AI306" s="36">
        <v>8245452.553200094</v>
      </c>
      <c r="AJ306" s="36">
        <v>8697411.5246576015</v>
      </c>
      <c r="AK306" s="36">
        <v>9149370.4961151145</v>
      </c>
      <c r="AL306" s="36">
        <v>9601329.467572622</v>
      </c>
      <c r="AM306" s="36">
        <v>10053288.439030129</v>
      </c>
      <c r="AN306" s="36">
        <v>10505247.410487643</v>
      </c>
      <c r="AO306" s="36">
        <v>10957206.381945154</v>
      </c>
      <c r="AP306" s="36">
        <v>11409165.353402663</v>
      </c>
      <c r="AQ306" s="36">
        <v>11861124.324860169</v>
      </c>
      <c r="AR306" s="36">
        <v>12313083.29631768</v>
      </c>
      <c r="AS306" s="36">
        <v>12765042.267775193</v>
      </c>
      <c r="AT306" s="36">
        <v>13217001.239232697</v>
      </c>
      <c r="AU306" s="36">
        <v>13668960.210690212</v>
      </c>
      <c r="AV306" s="36">
        <v>14120919.182147719</v>
      </c>
      <c r="AW306" s="36">
        <v>14572878.153605225</v>
      </c>
      <c r="AX306" s="36">
        <v>15024837.125062741</v>
      </c>
    </row>
    <row r="307" spans="4:50">
      <c r="D307" t="s">
        <v>660</v>
      </c>
      <c r="E307" t="s">
        <v>637</v>
      </c>
      <c r="G307" s="44"/>
      <c r="I307" s="44"/>
      <c r="K307" s="44"/>
      <c r="M307" s="44"/>
      <c r="O307" s="36">
        <v>303784.03620795859</v>
      </c>
      <c r="P307" s="36">
        <v>527732.50809983502</v>
      </c>
      <c r="Q307" s="36">
        <v>751680.97999171156</v>
      </c>
      <c r="R307" s="36">
        <v>975629.45188358799</v>
      </c>
      <c r="S307" s="36">
        <v>1199577.9237754641</v>
      </c>
      <c r="T307" s="36">
        <v>1423526.3956673408</v>
      </c>
      <c r="U307" s="36">
        <v>1647474.8675592169</v>
      </c>
      <c r="V307" s="36">
        <v>1871423.3394510935</v>
      </c>
      <c r="W307" s="36">
        <v>2095371.8113429695</v>
      </c>
      <c r="X307" s="36">
        <v>2319320.2832348463</v>
      </c>
      <c r="Y307" s="36">
        <v>2543268.7551267231</v>
      </c>
      <c r="Z307" s="36">
        <v>2602103.3763162242</v>
      </c>
      <c r="AA307" s="36">
        <v>2660937.9975057249</v>
      </c>
      <c r="AB307" s="36">
        <v>2719772.618695226</v>
      </c>
      <c r="AC307" s="36">
        <v>2778607.2398847272</v>
      </c>
      <c r="AD307" s="36">
        <v>2837441.8610742288</v>
      </c>
      <c r="AE307" s="36">
        <v>2896276.4822637294</v>
      </c>
      <c r="AF307" s="36">
        <v>2955111.1034532315</v>
      </c>
      <c r="AG307" s="36">
        <v>3013945.7246427326</v>
      </c>
      <c r="AH307" s="36">
        <v>3072780.3458322329</v>
      </c>
      <c r="AI307" s="36">
        <v>3131614.9670217345</v>
      </c>
      <c r="AJ307" s="36">
        <v>3190449.5882112361</v>
      </c>
      <c r="AK307" s="36">
        <v>3249284.2094007377</v>
      </c>
      <c r="AL307" s="36">
        <v>3308118.8305902388</v>
      </c>
      <c r="AM307" s="36">
        <v>3366953.4517797385</v>
      </c>
      <c r="AN307" s="36">
        <v>3425788.0729692401</v>
      </c>
      <c r="AO307" s="36">
        <v>3484622.6941587422</v>
      </c>
      <c r="AP307" s="36">
        <v>3543457.3153482424</v>
      </c>
      <c r="AQ307" s="36">
        <v>3602291.936537744</v>
      </c>
      <c r="AR307" s="36">
        <v>3661126.5577272447</v>
      </c>
      <c r="AS307" s="36">
        <v>3719961.1789167472</v>
      </c>
      <c r="AT307" s="36">
        <v>3778795.8001062484</v>
      </c>
      <c r="AU307" s="36">
        <v>3837630.4212957495</v>
      </c>
      <c r="AV307" s="36">
        <v>3896465.0424852497</v>
      </c>
      <c r="AW307" s="36">
        <v>3955299.6636747518</v>
      </c>
      <c r="AX307" s="36">
        <v>4014134.2848642524</v>
      </c>
    </row>
    <row r="308" spans="4:50">
      <c r="D308" t="s">
        <v>660</v>
      </c>
      <c r="E308" t="s">
        <v>638</v>
      </c>
      <c r="G308" s="44"/>
      <c r="I308" s="44"/>
      <c r="K308" s="44"/>
      <c r="M308" s="44"/>
      <c r="O308" s="36">
        <v>113828.74240882891</v>
      </c>
      <c r="P308" s="36">
        <v>199588.35681820949</v>
      </c>
      <c r="Q308" s="36">
        <v>285347.97122758999</v>
      </c>
      <c r="R308" s="36">
        <v>371107.58563697053</v>
      </c>
      <c r="S308" s="36">
        <v>456867.20004635106</v>
      </c>
      <c r="T308" s="36">
        <v>542626.81445573166</v>
      </c>
      <c r="U308" s="36">
        <v>628386.42886511225</v>
      </c>
      <c r="V308" s="36">
        <v>714146.04327449284</v>
      </c>
      <c r="W308" s="36">
        <v>799905.65768387343</v>
      </c>
      <c r="X308" s="36">
        <v>885665.27209325391</v>
      </c>
      <c r="Y308" s="36">
        <v>971424.88650263473</v>
      </c>
      <c r="Z308" s="36">
        <v>1150803.8368083688</v>
      </c>
      <c r="AA308" s="36">
        <v>1330182.7871141033</v>
      </c>
      <c r="AB308" s="36">
        <v>1509561.7374198379</v>
      </c>
      <c r="AC308" s="36">
        <v>1688940.6877255724</v>
      </c>
      <c r="AD308" s="36">
        <v>1868319.6380313064</v>
      </c>
      <c r="AE308" s="36">
        <v>2047698.5883370412</v>
      </c>
      <c r="AF308" s="36">
        <v>2227077.5386427757</v>
      </c>
      <c r="AG308" s="36">
        <v>2406456.48894851</v>
      </c>
      <c r="AH308" s="36">
        <v>2585835.4392542453</v>
      </c>
      <c r="AI308" s="36">
        <v>2765214.3895599786</v>
      </c>
      <c r="AJ308" s="36">
        <v>2944593.3398657134</v>
      </c>
      <c r="AK308" s="36">
        <v>3123972.2901714486</v>
      </c>
      <c r="AL308" s="36">
        <v>3303351.2404771824</v>
      </c>
      <c r="AM308" s="36">
        <v>3482730.1907829172</v>
      </c>
      <c r="AN308" s="36">
        <v>3662109.1410886515</v>
      </c>
      <c r="AO308" s="36">
        <v>3841488.0913943858</v>
      </c>
      <c r="AP308" s="36">
        <v>4020867.0417001201</v>
      </c>
      <c r="AQ308" s="36">
        <v>4200245.9920058539</v>
      </c>
      <c r="AR308" s="36">
        <v>4379624.9423115887</v>
      </c>
      <c r="AS308" s="36">
        <v>4559003.8926173225</v>
      </c>
      <c r="AT308" s="36">
        <v>4738382.8429230563</v>
      </c>
      <c r="AU308" s="36">
        <v>4917761.7932287911</v>
      </c>
      <c r="AV308" s="36">
        <v>5097140.7435345259</v>
      </c>
      <c r="AW308" s="36">
        <v>5276519.6938402606</v>
      </c>
      <c r="AX308" s="36">
        <v>5455898.6441459954</v>
      </c>
    </row>
    <row r="309" spans="4:50">
      <c r="D309" t="s">
        <v>660</v>
      </c>
      <c r="E309" t="s">
        <v>639</v>
      </c>
      <c r="G309" s="44"/>
      <c r="I309" s="44"/>
      <c r="K309" s="44"/>
      <c r="M309" s="44"/>
      <c r="O309" s="36">
        <v>126971.76490825023</v>
      </c>
      <c r="P309" s="36">
        <v>219722.51362077217</v>
      </c>
      <c r="Q309" s="36">
        <v>312473.26233329403</v>
      </c>
      <c r="R309" s="36">
        <v>405224.01104581595</v>
      </c>
      <c r="S309" s="36">
        <v>497974.75975833787</v>
      </c>
      <c r="T309" s="36">
        <v>590725.50847085973</v>
      </c>
      <c r="U309" s="36">
        <v>683476.25718338159</v>
      </c>
      <c r="V309" s="36">
        <v>776227.00589590357</v>
      </c>
      <c r="W309" s="36">
        <v>868977.75460842543</v>
      </c>
      <c r="X309" s="36">
        <v>961728.50332094752</v>
      </c>
      <c r="Y309" s="36">
        <v>1054479.2520334693</v>
      </c>
      <c r="Z309" s="36">
        <v>1182439.3726744133</v>
      </c>
      <c r="AA309" s="36">
        <v>1310399.4933153577</v>
      </c>
      <c r="AB309" s="36">
        <v>1438359.6139563022</v>
      </c>
      <c r="AC309" s="36">
        <v>1566319.7345972455</v>
      </c>
      <c r="AD309" s="36">
        <v>1694279.8552381902</v>
      </c>
      <c r="AE309" s="36">
        <v>1822239.9758791339</v>
      </c>
      <c r="AF309" s="36">
        <v>1950200.0965200781</v>
      </c>
      <c r="AG309" s="36">
        <v>2078160.2171610224</v>
      </c>
      <c r="AH309" s="36">
        <v>2206120.3378019659</v>
      </c>
      <c r="AI309" s="36">
        <v>2334080.4584429101</v>
      </c>
      <c r="AJ309" s="36">
        <v>2462040.5790838548</v>
      </c>
      <c r="AK309" s="36">
        <v>2590000.6997247986</v>
      </c>
      <c r="AL309" s="36">
        <v>2717960.8203657432</v>
      </c>
      <c r="AM309" s="36">
        <v>2845920.941006687</v>
      </c>
      <c r="AN309" s="36">
        <v>2973881.0616476312</v>
      </c>
      <c r="AO309" s="36">
        <v>3101841.1822885755</v>
      </c>
      <c r="AP309" s="36">
        <v>3229801.3029295197</v>
      </c>
      <c r="AQ309" s="36">
        <v>3357761.423570463</v>
      </c>
      <c r="AR309" s="36">
        <v>3485721.5442114081</v>
      </c>
      <c r="AS309" s="36">
        <v>3613681.6648523523</v>
      </c>
      <c r="AT309" s="36">
        <v>3741641.7854932966</v>
      </c>
      <c r="AU309" s="36">
        <v>3869601.9061342408</v>
      </c>
      <c r="AV309" s="36">
        <v>3997562.0267751841</v>
      </c>
      <c r="AW309" s="36">
        <v>4125522.1474161274</v>
      </c>
      <c r="AX309" s="36">
        <v>4253482.2680570716</v>
      </c>
    </row>
    <row r="310" spans="4:50">
      <c r="D310" t="s">
        <v>661</v>
      </c>
      <c r="E310" t="s">
        <v>640</v>
      </c>
      <c r="G310" s="44"/>
      <c r="I310" s="44"/>
      <c r="K310" s="44"/>
      <c r="M310" s="44"/>
      <c r="O310" s="36">
        <v>197029.53943715748</v>
      </c>
      <c r="P310" s="36">
        <v>330081.47887619736</v>
      </c>
      <c r="Q310" s="36">
        <v>463133.41831523721</v>
      </c>
      <c r="R310" s="36">
        <v>596185.35775427718</v>
      </c>
      <c r="S310" s="36">
        <v>729237.29719331686</v>
      </c>
      <c r="T310" s="36">
        <v>862289.236632357</v>
      </c>
      <c r="U310" s="36">
        <v>995341.1760713968</v>
      </c>
      <c r="V310" s="36">
        <v>1128393.1155104365</v>
      </c>
      <c r="W310" s="36">
        <v>1261445.0549494764</v>
      </c>
      <c r="X310" s="36">
        <v>1394496.994388517</v>
      </c>
      <c r="Y310" s="36">
        <v>1527548.9338275567</v>
      </c>
      <c r="Z310" s="36">
        <v>1713851.7223430444</v>
      </c>
      <c r="AA310" s="36">
        <v>1900154.5108585323</v>
      </c>
      <c r="AB310" s="36">
        <v>2086457.29937402</v>
      </c>
      <c r="AC310" s="36">
        <v>2272760.0878895083</v>
      </c>
      <c r="AD310" s="36">
        <v>2459062.876404996</v>
      </c>
      <c r="AE310" s="36">
        <v>2645365.6649204846</v>
      </c>
      <c r="AF310" s="36">
        <v>2831668.4534359733</v>
      </c>
      <c r="AG310" s="36">
        <v>3017971.24195146</v>
      </c>
      <c r="AH310" s="36">
        <v>3204274.0304669486</v>
      </c>
      <c r="AI310" s="36">
        <v>3390576.8189824373</v>
      </c>
      <c r="AJ310" s="36">
        <v>3576879.6074979235</v>
      </c>
      <c r="AK310" s="36">
        <v>3763182.3960134126</v>
      </c>
      <c r="AL310" s="36">
        <v>3949485.1845289022</v>
      </c>
      <c r="AM310" s="36">
        <v>4135787.9730443894</v>
      </c>
      <c r="AN310" s="36">
        <v>4322090.7615598775</v>
      </c>
      <c r="AO310" s="36">
        <v>4508393.5500753643</v>
      </c>
      <c r="AP310" s="36">
        <v>4694696.3385908529</v>
      </c>
      <c r="AQ310" s="36">
        <v>4880999.1271063415</v>
      </c>
      <c r="AR310" s="36">
        <v>5067301.9156218283</v>
      </c>
      <c r="AS310" s="36">
        <v>5253604.7041373178</v>
      </c>
      <c r="AT310" s="36">
        <v>5439907.4926528046</v>
      </c>
      <c r="AU310" s="36">
        <v>5626210.2811682932</v>
      </c>
      <c r="AV310" s="36">
        <v>5812513.0696837818</v>
      </c>
      <c r="AW310" s="36">
        <v>5998815.8581992686</v>
      </c>
      <c r="AX310" s="36">
        <v>6185118.6467147553</v>
      </c>
    </row>
    <row r="311" spans="4:50">
      <c r="D311" t="s">
        <v>661</v>
      </c>
      <c r="E311" t="s">
        <v>641</v>
      </c>
      <c r="G311" s="44"/>
      <c r="I311" s="44"/>
      <c r="K311" s="44"/>
      <c r="M311" s="44"/>
      <c r="O311" s="36">
        <v>246646.28905081016</v>
      </c>
      <c r="P311" s="36">
        <v>413366.28208919673</v>
      </c>
      <c r="Q311" s="36">
        <v>580086.2751275833</v>
      </c>
      <c r="R311" s="36">
        <v>746806.26816596964</v>
      </c>
      <c r="S311" s="36">
        <v>913526.26120435633</v>
      </c>
      <c r="T311" s="36">
        <v>1080246.2542427429</v>
      </c>
      <c r="U311" s="36">
        <v>1246966.2472811297</v>
      </c>
      <c r="V311" s="36">
        <v>1413686.2403195163</v>
      </c>
      <c r="W311" s="36">
        <v>1580406.2333579028</v>
      </c>
      <c r="X311" s="36">
        <v>1747126.2263962892</v>
      </c>
      <c r="Y311" s="36">
        <v>1913846.2194346755</v>
      </c>
      <c r="Z311" s="36">
        <v>2227430.8011664534</v>
      </c>
      <c r="AA311" s="36">
        <v>2541015.382898231</v>
      </c>
      <c r="AB311" s="36">
        <v>2854599.9646300077</v>
      </c>
      <c r="AC311" s="36">
        <v>3168184.5463617863</v>
      </c>
      <c r="AD311" s="36">
        <v>3481769.1280935635</v>
      </c>
      <c r="AE311" s="36">
        <v>3795353.7098253407</v>
      </c>
      <c r="AF311" s="36">
        <v>4108938.2915571183</v>
      </c>
      <c r="AG311" s="36">
        <v>4422522.8732888969</v>
      </c>
      <c r="AH311" s="36">
        <v>4736107.4550206736</v>
      </c>
      <c r="AI311" s="36">
        <v>5049692.0367524503</v>
      </c>
      <c r="AJ311" s="36">
        <v>5363276.6184842298</v>
      </c>
      <c r="AK311" s="36">
        <v>5676861.2002160065</v>
      </c>
      <c r="AL311" s="36">
        <v>5990445.7819477832</v>
      </c>
      <c r="AM311" s="36">
        <v>6304030.3636795608</v>
      </c>
      <c r="AN311" s="36">
        <v>6617614.9454113375</v>
      </c>
      <c r="AO311" s="36">
        <v>6931199.5271431161</v>
      </c>
      <c r="AP311" s="36">
        <v>7244784.1088748937</v>
      </c>
      <c r="AQ311" s="36">
        <v>7558368.6906066723</v>
      </c>
      <c r="AR311" s="36">
        <v>7871953.272338449</v>
      </c>
      <c r="AS311" s="36">
        <v>8185537.8540702257</v>
      </c>
      <c r="AT311" s="36">
        <v>8499122.4358020052</v>
      </c>
      <c r="AU311" s="36">
        <v>8812707.0175337829</v>
      </c>
      <c r="AV311" s="36">
        <v>9126291.5992655586</v>
      </c>
      <c r="AW311" s="36">
        <v>9439876.1809973363</v>
      </c>
      <c r="AX311" s="36">
        <v>9753460.7627291121</v>
      </c>
    </row>
    <row r="312" spans="4:50">
      <c r="D312" t="s">
        <v>661</v>
      </c>
      <c r="E312" t="s">
        <v>642</v>
      </c>
      <c r="G312" s="44"/>
      <c r="I312" s="44"/>
      <c r="K312" s="44"/>
      <c r="M312" s="44"/>
      <c r="O312" s="36">
        <v>382400.81920789642</v>
      </c>
      <c r="P312" s="36">
        <v>640832.75868824462</v>
      </c>
      <c r="Q312" s="36">
        <v>899264.69816859241</v>
      </c>
      <c r="R312" s="36">
        <v>1157696.637648941</v>
      </c>
      <c r="S312" s="36">
        <v>1416128.5771292893</v>
      </c>
      <c r="T312" s="36">
        <v>1674560.5166096373</v>
      </c>
      <c r="U312" s="36">
        <v>1932992.4560899851</v>
      </c>
      <c r="V312" s="36">
        <v>2191424.395570334</v>
      </c>
      <c r="W312" s="36">
        <v>2449856.3350506816</v>
      </c>
      <c r="X312" s="36">
        <v>2708288.2745310306</v>
      </c>
      <c r="Y312" s="36">
        <v>2966720.2140113781</v>
      </c>
      <c r="Z312" s="36">
        <v>3300308.7118706363</v>
      </c>
      <c r="AA312" s="36">
        <v>3633897.2097298945</v>
      </c>
      <c r="AB312" s="36">
        <v>3967485.7075891518</v>
      </c>
      <c r="AC312" s="36">
        <v>4301074.2054484105</v>
      </c>
      <c r="AD312" s="36">
        <v>4634662.7033076677</v>
      </c>
      <c r="AE312" s="36">
        <v>4968251.201166925</v>
      </c>
      <c r="AF312" s="36">
        <v>5301839.6990261823</v>
      </c>
      <c r="AG312" s="36">
        <v>5635428.1968854405</v>
      </c>
      <c r="AH312" s="36">
        <v>5969016.6947446978</v>
      </c>
      <c r="AI312" s="36">
        <v>6302605.1926039578</v>
      </c>
      <c r="AJ312" s="36">
        <v>6636193.6904632151</v>
      </c>
      <c r="AK312" s="36">
        <v>6969782.1883224696</v>
      </c>
      <c r="AL312" s="36">
        <v>7303370.6861817287</v>
      </c>
      <c r="AM312" s="36">
        <v>7636959.1840409851</v>
      </c>
      <c r="AN312" s="36">
        <v>7970547.6819002451</v>
      </c>
      <c r="AO312" s="36">
        <v>8304136.1797595015</v>
      </c>
      <c r="AP312" s="36">
        <v>8637724.6776187606</v>
      </c>
      <c r="AQ312" s="36">
        <v>8971313.1754780188</v>
      </c>
      <c r="AR312" s="36">
        <v>9304901.6733372752</v>
      </c>
      <c r="AS312" s="36">
        <v>9638490.1711965315</v>
      </c>
      <c r="AT312" s="36">
        <v>9972078.6690557934</v>
      </c>
      <c r="AU312" s="36">
        <v>10305667.16691505</v>
      </c>
      <c r="AV312" s="36">
        <v>10639255.664774308</v>
      </c>
      <c r="AW312" s="36">
        <v>10972844.162633566</v>
      </c>
      <c r="AX312" s="36">
        <v>11306432.660492821</v>
      </c>
    </row>
    <row r="313" spans="4:50">
      <c r="D313" t="s">
        <v>661</v>
      </c>
      <c r="E313" t="s">
        <v>643</v>
      </c>
      <c r="G313" s="44"/>
      <c r="I313" s="44"/>
      <c r="K313" s="44"/>
      <c r="M313" s="44"/>
      <c r="O313" s="36">
        <v>692978.75686731818</v>
      </c>
      <c r="P313" s="36">
        <v>1161274.4084632418</v>
      </c>
      <c r="Q313" s="36">
        <v>1629570.0600591653</v>
      </c>
      <c r="R313" s="36">
        <v>2097865.7116550887</v>
      </c>
      <c r="S313" s="36">
        <v>2566161.3632510123</v>
      </c>
      <c r="T313" s="36">
        <v>3034457.0148469359</v>
      </c>
      <c r="U313" s="36">
        <v>3502752.6664428595</v>
      </c>
      <c r="V313" s="36">
        <v>3971048.318038783</v>
      </c>
      <c r="W313" s="36">
        <v>4439343.9696347062</v>
      </c>
      <c r="X313" s="36">
        <v>4907639.6212306311</v>
      </c>
      <c r="Y313" s="36">
        <v>5375935.2728265533</v>
      </c>
      <c r="Z313" s="36">
        <v>5973327.756660236</v>
      </c>
      <c r="AA313" s="36">
        <v>6570720.2404939197</v>
      </c>
      <c r="AB313" s="36">
        <v>7168112.7243276024</v>
      </c>
      <c r="AC313" s="36">
        <v>7765505.2081612842</v>
      </c>
      <c r="AD313" s="36">
        <v>8362897.6919949623</v>
      </c>
      <c r="AE313" s="36">
        <v>8960290.1758286487</v>
      </c>
      <c r="AF313" s="36">
        <v>9557682.6596623287</v>
      </c>
      <c r="AG313" s="36">
        <v>10155075.143496014</v>
      </c>
      <c r="AH313" s="36">
        <v>10752467.627329696</v>
      </c>
      <c r="AI313" s="36">
        <v>11349860.111163376</v>
      </c>
      <c r="AJ313" s="36">
        <v>11947252.594997058</v>
      </c>
      <c r="AK313" s="36">
        <v>12544645.078830743</v>
      </c>
      <c r="AL313" s="36">
        <v>13142037.562664423</v>
      </c>
      <c r="AM313" s="36">
        <v>13739430.046498107</v>
      </c>
      <c r="AN313" s="36">
        <v>14336822.53033179</v>
      </c>
      <c r="AO313" s="36">
        <v>14934215.014165474</v>
      </c>
      <c r="AP313" s="36">
        <v>15531607.497999156</v>
      </c>
      <c r="AQ313" s="36">
        <v>16128999.981832832</v>
      </c>
      <c r="AR313" s="36">
        <v>16726392.465666518</v>
      </c>
      <c r="AS313" s="36">
        <v>17323784.949500199</v>
      </c>
      <c r="AT313" s="36">
        <v>17921177.433333885</v>
      </c>
      <c r="AU313" s="36">
        <v>18518569.917167563</v>
      </c>
      <c r="AV313" s="36">
        <v>19115962.401001245</v>
      </c>
      <c r="AW313" s="36">
        <v>19713354.884834927</v>
      </c>
      <c r="AX313" s="36">
        <v>20310747.368668608</v>
      </c>
    </row>
    <row r="314" spans="4:50">
      <c r="D314" t="s">
        <v>661</v>
      </c>
      <c r="E314" t="s">
        <v>644</v>
      </c>
      <c r="G314" s="44"/>
      <c r="I314" s="44"/>
      <c r="K314" s="44"/>
      <c r="M314" s="44"/>
      <c r="O314" s="36">
        <v>386096.948165162</v>
      </c>
      <c r="P314" s="36">
        <v>649739.24039139342</v>
      </c>
      <c r="Q314" s="36">
        <v>913381.53261762462</v>
      </c>
      <c r="R314" s="36">
        <v>1177023.8248438558</v>
      </c>
      <c r="S314" s="36">
        <v>1440666.1170700872</v>
      </c>
      <c r="T314" s="36">
        <v>1704308.4092963187</v>
      </c>
      <c r="U314" s="36">
        <v>1967950.7015225498</v>
      </c>
      <c r="V314" s="36">
        <v>2231592.9937487808</v>
      </c>
      <c r="W314" s="36">
        <v>2495235.2859750129</v>
      </c>
      <c r="X314" s="36">
        <v>2758877.5782012432</v>
      </c>
      <c r="Y314" s="36">
        <v>3022519.8704274744</v>
      </c>
      <c r="Z314" s="36">
        <v>3148839.0001965244</v>
      </c>
      <c r="AA314" s="36">
        <v>3275158.1299655749</v>
      </c>
      <c r="AB314" s="36">
        <v>3401477.2597346236</v>
      </c>
      <c r="AC314" s="36">
        <v>3527796.389503675</v>
      </c>
      <c r="AD314" s="36">
        <v>3654115.5192727251</v>
      </c>
      <c r="AE314" s="36">
        <v>3780434.6490417747</v>
      </c>
      <c r="AF314" s="36">
        <v>3906753.7788108252</v>
      </c>
      <c r="AG314" s="36">
        <v>4033072.9085798752</v>
      </c>
      <c r="AH314" s="36">
        <v>4159392.0383489234</v>
      </c>
      <c r="AI314" s="36">
        <v>4285711.168117974</v>
      </c>
      <c r="AJ314" s="36">
        <v>4412030.2978870245</v>
      </c>
      <c r="AK314" s="36">
        <v>4538349.427656075</v>
      </c>
      <c r="AL314" s="36">
        <v>4664668.5574251246</v>
      </c>
      <c r="AM314" s="36">
        <v>4790987.6871941742</v>
      </c>
      <c r="AN314" s="36">
        <v>4917306.8169632228</v>
      </c>
      <c r="AO314" s="36">
        <v>5043625.9467322743</v>
      </c>
      <c r="AP314" s="36">
        <v>5169945.0765013248</v>
      </c>
      <c r="AQ314" s="36">
        <v>5296264.2062703744</v>
      </c>
      <c r="AR314" s="36">
        <v>5422583.3360394249</v>
      </c>
      <c r="AS314" s="36">
        <v>5548902.4658084726</v>
      </c>
      <c r="AT314" s="36">
        <v>5675221.5955775231</v>
      </c>
      <c r="AU314" s="36">
        <v>5801540.7253465736</v>
      </c>
      <c r="AV314" s="36">
        <v>5927859.8551156251</v>
      </c>
      <c r="AW314" s="36">
        <v>6054178.9848846737</v>
      </c>
      <c r="AX314" s="36">
        <v>6180498.1146537261</v>
      </c>
    </row>
    <row r="315" spans="4:50">
      <c r="D315" t="s">
        <v>660</v>
      </c>
      <c r="E315" t="s">
        <v>645</v>
      </c>
      <c r="G315" s="44"/>
      <c r="I315" s="44"/>
      <c r="K315" s="44"/>
      <c r="M315" s="44"/>
      <c r="O315" s="36">
        <v>109810.73952319482</v>
      </c>
      <c r="P315" s="36">
        <v>187594.7688307302</v>
      </c>
      <c r="Q315" s="36">
        <v>265378.79813826561</v>
      </c>
      <c r="R315" s="36">
        <v>343162.827445801</v>
      </c>
      <c r="S315" s="36">
        <v>420946.85675333638</v>
      </c>
      <c r="T315" s="36">
        <v>498730.88606087177</v>
      </c>
      <c r="U315" s="36">
        <v>576514.91536840703</v>
      </c>
      <c r="V315" s="36">
        <v>654298.94467594253</v>
      </c>
      <c r="W315" s="36">
        <v>732082.97398347803</v>
      </c>
      <c r="X315" s="36">
        <v>809867.00329101318</v>
      </c>
      <c r="Y315" s="36">
        <v>887651.03259854857</v>
      </c>
      <c r="Z315" s="36">
        <v>943417.20036154031</v>
      </c>
      <c r="AA315" s="36">
        <v>999183.36812453216</v>
      </c>
      <c r="AB315" s="36">
        <v>1054949.5358875238</v>
      </c>
      <c r="AC315" s="36">
        <v>1110715.7036505155</v>
      </c>
      <c r="AD315" s="36">
        <v>1166481.8714135075</v>
      </c>
      <c r="AE315" s="36">
        <v>1222248.0391764988</v>
      </c>
      <c r="AF315" s="36">
        <v>1278014.206939491</v>
      </c>
      <c r="AG315" s="36">
        <v>1333780.3747024825</v>
      </c>
      <c r="AH315" s="36">
        <v>1389546.5424654745</v>
      </c>
      <c r="AI315" s="36">
        <v>1445312.710228466</v>
      </c>
      <c r="AJ315" s="36">
        <v>1501078.8779914577</v>
      </c>
      <c r="AK315" s="36">
        <v>1556845.0457544492</v>
      </c>
      <c r="AL315" s="36">
        <v>1612611.2135174412</v>
      </c>
      <c r="AM315" s="36">
        <v>1668377.3812804332</v>
      </c>
      <c r="AN315" s="36">
        <v>1724143.5490434247</v>
      </c>
      <c r="AO315" s="36">
        <v>1779909.7168064162</v>
      </c>
      <c r="AP315" s="36">
        <v>1835675.8845694079</v>
      </c>
      <c r="AQ315" s="36">
        <v>1891442.0523323999</v>
      </c>
      <c r="AR315" s="36">
        <v>1947208.2200953916</v>
      </c>
      <c r="AS315" s="36">
        <v>2002974.3878583829</v>
      </c>
      <c r="AT315" s="36">
        <v>2058740.5556213749</v>
      </c>
      <c r="AU315" s="36">
        <v>2114506.7233843668</v>
      </c>
      <c r="AV315" s="36">
        <v>2170272.8911473588</v>
      </c>
      <c r="AW315" s="36">
        <v>2226039.0589103503</v>
      </c>
      <c r="AX315" s="36">
        <v>2281805.2266733418</v>
      </c>
    </row>
    <row r="316" spans="4:50">
      <c r="D316" t="s">
        <v>660</v>
      </c>
      <c r="E316" t="s">
        <v>646</v>
      </c>
      <c r="G316" s="44"/>
      <c r="I316" s="44"/>
      <c r="K316" s="44"/>
      <c r="M316" s="44"/>
      <c r="O316" s="36">
        <v>47992.629225220044</v>
      </c>
      <c r="P316" s="36">
        <v>82249.516572361405</v>
      </c>
      <c r="Q316" s="36">
        <v>116506.4039195028</v>
      </c>
      <c r="R316" s="36">
        <v>150763.29126664414</v>
      </c>
      <c r="S316" s="36">
        <v>185020.17861378551</v>
      </c>
      <c r="T316" s="36">
        <v>219277.06596092694</v>
      </c>
      <c r="U316" s="36">
        <v>253533.95330806827</v>
      </c>
      <c r="V316" s="36">
        <v>287790.84065520967</v>
      </c>
      <c r="W316" s="36">
        <v>322047.72800235101</v>
      </c>
      <c r="X316" s="36">
        <v>356304.61534949247</v>
      </c>
      <c r="Y316" s="36">
        <v>390561.50269663392</v>
      </c>
      <c r="Z316" s="36">
        <v>617366.58693575009</v>
      </c>
      <c r="AA316" s="36">
        <v>844171.6711748665</v>
      </c>
      <c r="AB316" s="36">
        <v>1070976.7554139833</v>
      </c>
      <c r="AC316" s="36">
        <v>1297781.8396530992</v>
      </c>
      <c r="AD316" s="36">
        <v>1524586.9238922158</v>
      </c>
      <c r="AE316" s="36">
        <v>1751392.0081313318</v>
      </c>
      <c r="AF316" s="36">
        <v>1978197.0923704491</v>
      </c>
      <c r="AG316" s="36">
        <v>2205002.176609565</v>
      </c>
      <c r="AH316" s="36">
        <v>2431807.2608486814</v>
      </c>
      <c r="AI316" s="36">
        <v>2658612.3450877983</v>
      </c>
      <c r="AJ316" s="36">
        <v>2885417.4293269143</v>
      </c>
      <c r="AK316" s="36">
        <v>3112222.5135660302</v>
      </c>
      <c r="AL316" s="36">
        <v>3339027.5978051471</v>
      </c>
      <c r="AM316" s="36">
        <v>3565832.6820442639</v>
      </c>
      <c r="AN316" s="36">
        <v>3792637.7662833803</v>
      </c>
      <c r="AO316" s="36">
        <v>4019442.8505224963</v>
      </c>
      <c r="AP316" s="36">
        <v>4246247.9347616127</v>
      </c>
      <c r="AQ316" s="36">
        <v>4473053.0190007286</v>
      </c>
      <c r="AR316" s="36">
        <v>4699858.1032398446</v>
      </c>
      <c r="AS316" s="36">
        <v>4926663.1874789614</v>
      </c>
      <c r="AT316" s="36">
        <v>5153468.2717180783</v>
      </c>
      <c r="AU316" s="36">
        <v>5380273.3559571942</v>
      </c>
      <c r="AV316" s="36">
        <v>5607078.4401963102</v>
      </c>
      <c r="AW316" s="36">
        <v>5833883.5244354261</v>
      </c>
      <c r="AX316" s="36">
        <v>6060688.6086745439</v>
      </c>
    </row>
    <row r="317" spans="4:50">
      <c r="D317" t="s">
        <v>661</v>
      </c>
      <c r="E317" t="s">
        <v>648</v>
      </c>
      <c r="G317" s="44"/>
      <c r="I317" s="44"/>
      <c r="K317" s="44"/>
      <c r="M317" s="44"/>
      <c r="O317" s="36">
        <v>196762.65939784981</v>
      </c>
      <c r="P317" s="36">
        <v>330017.0912379545</v>
      </c>
      <c r="Q317" s="36">
        <v>463271.5230780592</v>
      </c>
      <c r="R317" s="36">
        <v>596525.95491816406</v>
      </c>
      <c r="S317" s="36">
        <v>729780.38675826881</v>
      </c>
      <c r="T317" s="36">
        <v>863034.81859837333</v>
      </c>
      <c r="U317" s="36">
        <v>996289.25043847819</v>
      </c>
      <c r="V317" s="36">
        <v>1129543.6822785833</v>
      </c>
      <c r="W317" s="36">
        <v>1262798.1141186876</v>
      </c>
      <c r="X317" s="36">
        <v>1396052.5459587923</v>
      </c>
      <c r="Y317" s="36">
        <v>1529306.9777988971</v>
      </c>
      <c r="Z317" s="36">
        <v>1561179.3118388692</v>
      </c>
      <c r="AA317" s="36">
        <v>1593051.6458788407</v>
      </c>
      <c r="AB317" s="36">
        <v>1624923.9799188124</v>
      </c>
      <c r="AC317" s="36">
        <v>1656796.3139587841</v>
      </c>
      <c r="AD317" s="36">
        <v>1688668.6479987556</v>
      </c>
      <c r="AE317" s="36">
        <v>1720540.9820387275</v>
      </c>
      <c r="AF317" s="36">
        <v>1752413.3160786992</v>
      </c>
      <c r="AG317" s="36">
        <v>1784285.6501186704</v>
      </c>
      <c r="AH317" s="36">
        <v>1816157.9841586426</v>
      </c>
      <c r="AI317" s="36">
        <v>1848030.3181986143</v>
      </c>
      <c r="AJ317" s="36">
        <v>1879902.6522385858</v>
      </c>
      <c r="AK317" s="36">
        <v>1911774.9862785575</v>
      </c>
      <c r="AL317" s="36">
        <v>1943647.3203185296</v>
      </c>
      <c r="AM317" s="36">
        <v>1975519.6543585011</v>
      </c>
      <c r="AN317" s="36">
        <v>2007391.9883984721</v>
      </c>
      <c r="AO317" s="36">
        <v>2039264.3224384445</v>
      </c>
      <c r="AP317" s="36">
        <v>2071136.6564784162</v>
      </c>
      <c r="AQ317" s="36">
        <v>2103008.9905183883</v>
      </c>
      <c r="AR317" s="36">
        <v>2134881.3245583596</v>
      </c>
      <c r="AS317" s="36">
        <v>2166753.6585983308</v>
      </c>
      <c r="AT317" s="36">
        <v>2198625.992638303</v>
      </c>
      <c r="AU317" s="36">
        <v>2230498.3266782747</v>
      </c>
      <c r="AV317" s="36">
        <v>2262370.6607182468</v>
      </c>
      <c r="AW317" s="36">
        <v>2294242.9947582176</v>
      </c>
      <c r="AX317" s="36">
        <v>2326115.3287981893</v>
      </c>
    </row>
    <row r="318" spans="4:50">
      <c r="D318" t="s">
        <v>660</v>
      </c>
      <c r="E318" t="s">
        <v>649</v>
      </c>
      <c r="G318" s="44"/>
      <c r="I318" s="44"/>
      <c r="K318" s="44"/>
      <c r="M318" s="44"/>
      <c r="O318" s="36">
        <v>153079.32105145001</v>
      </c>
      <c r="P318" s="36">
        <v>262917.65029356739</v>
      </c>
      <c r="Q318" s="36">
        <v>372755.9795356848</v>
      </c>
      <c r="R318" s="36">
        <v>482594.30877780222</v>
      </c>
      <c r="S318" s="36">
        <v>592432.6380199194</v>
      </c>
      <c r="T318" s="36">
        <v>702270.96726203698</v>
      </c>
      <c r="U318" s="36">
        <v>812109.2965041541</v>
      </c>
      <c r="V318" s="36">
        <v>921947.62574627181</v>
      </c>
      <c r="W318" s="36">
        <v>1031785.9549883892</v>
      </c>
      <c r="X318" s="36">
        <v>1141624.2842305063</v>
      </c>
      <c r="Y318" s="36">
        <v>1251462.6134726238</v>
      </c>
      <c r="Z318" s="36">
        <v>1389699.9178674053</v>
      </c>
      <c r="AA318" s="36">
        <v>1527937.2222621872</v>
      </c>
      <c r="AB318" s="36">
        <v>1666174.526656969</v>
      </c>
      <c r="AC318" s="36">
        <v>1804411.831051751</v>
      </c>
      <c r="AD318" s="36">
        <v>1942649.1354465322</v>
      </c>
      <c r="AE318" s="36">
        <v>2080886.4398413142</v>
      </c>
      <c r="AF318" s="36">
        <v>2219123.7442360958</v>
      </c>
      <c r="AG318" s="36">
        <v>2357361.0486308774</v>
      </c>
      <c r="AH318" s="36">
        <v>2495598.3530256595</v>
      </c>
      <c r="AI318" s="36">
        <v>2633835.6574204415</v>
      </c>
      <c r="AJ318" s="36">
        <v>2772072.9618152226</v>
      </c>
      <c r="AK318" s="36">
        <v>2910310.2662100047</v>
      </c>
      <c r="AL318" s="36">
        <v>3048547.5706047867</v>
      </c>
      <c r="AM318" s="36">
        <v>3186784.8749995688</v>
      </c>
      <c r="AN318" s="36">
        <v>3325022.1793943499</v>
      </c>
      <c r="AO318" s="36">
        <v>3463259.483789132</v>
      </c>
      <c r="AP318" s="36">
        <v>3601496.7881839131</v>
      </c>
      <c r="AQ318" s="36">
        <v>3739734.0925786956</v>
      </c>
      <c r="AR318" s="36">
        <v>3877971.3969734777</v>
      </c>
      <c r="AS318" s="36">
        <v>4016208.7013682593</v>
      </c>
      <c r="AT318" s="36">
        <v>4154446.0057630418</v>
      </c>
      <c r="AU318" s="36">
        <v>4292683.3101578234</v>
      </c>
      <c r="AV318" s="36">
        <v>4430920.614552605</v>
      </c>
      <c r="AW318" s="36">
        <v>4569157.9189473856</v>
      </c>
      <c r="AX318" s="36">
        <v>4707395.2233421691</v>
      </c>
    </row>
    <row r="319" spans="4:50">
      <c r="D319" t="s">
        <v>660</v>
      </c>
      <c r="E319" t="s">
        <v>650</v>
      </c>
      <c r="G319" s="44"/>
      <c r="I319" s="44"/>
      <c r="K319" s="44"/>
      <c r="M319" s="44"/>
      <c r="O319" s="36">
        <v>170201.75951233215</v>
      </c>
      <c r="P319" s="36">
        <v>291654.10638240731</v>
      </c>
      <c r="Q319" s="36">
        <v>413106.45325248246</v>
      </c>
      <c r="R319" s="36">
        <v>534558.80012255767</v>
      </c>
      <c r="S319" s="36">
        <v>656011.14699263312</v>
      </c>
      <c r="T319" s="36">
        <v>777463.49386270798</v>
      </c>
      <c r="U319" s="36">
        <v>898915.84073278343</v>
      </c>
      <c r="V319" s="36">
        <v>1020368.1876028586</v>
      </c>
      <c r="W319" s="36">
        <v>1141820.5344729335</v>
      </c>
      <c r="X319" s="36">
        <v>1263272.8813430085</v>
      </c>
      <c r="Y319" s="36">
        <v>1384725.2282130844</v>
      </c>
      <c r="Z319" s="36">
        <v>1711747.8794273571</v>
      </c>
      <c r="AA319" s="36">
        <v>2038770.530641631</v>
      </c>
      <c r="AB319" s="36">
        <v>2365793.1818559044</v>
      </c>
      <c r="AC319" s="36">
        <v>2692815.8330701781</v>
      </c>
      <c r="AD319" s="36">
        <v>3019838.4842844503</v>
      </c>
      <c r="AE319" s="36">
        <v>3346861.1354987249</v>
      </c>
      <c r="AF319" s="36">
        <v>3673883.7867129971</v>
      </c>
      <c r="AG319" s="36">
        <v>4000906.4379272712</v>
      </c>
      <c r="AH319" s="36">
        <v>4327929.089141543</v>
      </c>
      <c r="AI319" s="36">
        <v>4654951.7403558185</v>
      </c>
      <c r="AJ319" s="36">
        <v>4981974.3915700903</v>
      </c>
      <c r="AK319" s="36">
        <v>5308997.042784364</v>
      </c>
      <c r="AL319" s="36">
        <v>5636019.6939986385</v>
      </c>
      <c r="AM319" s="36">
        <v>5963042.3452129122</v>
      </c>
      <c r="AN319" s="36">
        <v>6290064.9964271858</v>
      </c>
      <c r="AO319" s="36">
        <v>6617087.6476414576</v>
      </c>
      <c r="AP319" s="36">
        <v>6944110.2988557303</v>
      </c>
      <c r="AQ319" s="36">
        <v>7271132.9500700058</v>
      </c>
      <c r="AR319" s="36">
        <v>7598155.6012842786</v>
      </c>
      <c r="AS319" s="36">
        <v>7925178.2524985522</v>
      </c>
      <c r="AT319" s="36">
        <v>8252200.903712824</v>
      </c>
      <c r="AU319" s="36">
        <v>8579223.5549271014</v>
      </c>
      <c r="AV319" s="36">
        <v>8906246.206141375</v>
      </c>
      <c r="AW319" s="36">
        <v>9233268.8573556468</v>
      </c>
      <c r="AX319" s="36">
        <v>9560291.5085699167</v>
      </c>
    </row>
    <row r="320" spans="4:50">
      <c r="D320" t="s">
        <v>661</v>
      </c>
      <c r="E320" t="s">
        <v>651</v>
      </c>
      <c r="G320" s="44"/>
      <c r="I320" s="44"/>
      <c r="K320" s="44"/>
      <c r="M320" s="44"/>
      <c r="O320" s="36">
        <v>265797.97297337773</v>
      </c>
      <c r="P320" s="36">
        <v>445195.20055801357</v>
      </c>
      <c r="Q320" s="36">
        <v>624592.42814264935</v>
      </c>
      <c r="R320" s="36">
        <v>803989.65572728543</v>
      </c>
      <c r="S320" s="36">
        <v>983386.88331192103</v>
      </c>
      <c r="T320" s="36">
        <v>1162784.1108965569</v>
      </c>
      <c r="U320" s="36">
        <v>1342181.3384811929</v>
      </c>
      <c r="V320" s="36">
        <v>1521578.5660658288</v>
      </c>
      <c r="W320" s="36">
        <v>1700975.7936504644</v>
      </c>
      <c r="X320" s="36">
        <v>1880373.0212351002</v>
      </c>
      <c r="Y320" s="36">
        <v>2059770.2488197363</v>
      </c>
      <c r="Z320" s="36">
        <v>2155513.4894359885</v>
      </c>
      <c r="AA320" s="36">
        <v>2251256.7300522393</v>
      </c>
      <c r="AB320" s="36">
        <v>2346999.9706684914</v>
      </c>
      <c r="AC320" s="36">
        <v>2442743.2112847432</v>
      </c>
      <c r="AD320" s="36">
        <v>2538486.4519009944</v>
      </c>
      <c r="AE320" s="36">
        <v>2634229.6925172461</v>
      </c>
      <c r="AF320" s="36">
        <v>2729972.9331334983</v>
      </c>
      <c r="AG320" s="36">
        <v>2825716.1737497495</v>
      </c>
      <c r="AH320" s="36">
        <v>2921459.4143660013</v>
      </c>
      <c r="AI320" s="36">
        <v>3017202.6549822534</v>
      </c>
      <c r="AJ320" s="36">
        <v>3112945.8955985047</v>
      </c>
      <c r="AK320" s="36">
        <v>3208689.1362147564</v>
      </c>
      <c r="AL320" s="36">
        <v>3304432.3768310086</v>
      </c>
      <c r="AM320" s="36">
        <v>3400175.6174472598</v>
      </c>
      <c r="AN320" s="36">
        <v>3495918.858063512</v>
      </c>
      <c r="AO320" s="36">
        <v>3591662.0986797633</v>
      </c>
      <c r="AP320" s="36">
        <v>3687405.3392960145</v>
      </c>
      <c r="AQ320" s="36">
        <v>3783148.5799122676</v>
      </c>
      <c r="AR320" s="36">
        <v>3878891.8205285179</v>
      </c>
      <c r="AS320" s="36">
        <v>3974635.0611447697</v>
      </c>
      <c r="AT320" s="36">
        <v>4070378.3017610214</v>
      </c>
      <c r="AU320" s="36">
        <v>4166121.5423772731</v>
      </c>
      <c r="AV320" s="36">
        <v>4261864.7829935243</v>
      </c>
      <c r="AW320" s="36">
        <v>4357608.023609777</v>
      </c>
      <c r="AX320" s="36">
        <v>4453351.2642260287</v>
      </c>
    </row>
    <row r="321" spans="3:50">
      <c r="D321" t="s">
        <v>661</v>
      </c>
      <c r="E321" t="s">
        <v>652</v>
      </c>
      <c r="G321" s="44"/>
      <c r="I321" s="44"/>
      <c r="K321" s="44"/>
      <c r="M321" s="44"/>
      <c r="O321" s="36">
        <v>364896.09480653016</v>
      </c>
      <c r="P321" s="36">
        <v>624078.58563682786</v>
      </c>
      <c r="Q321" s="36">
        <v>883261.07646712568</v>
      </c>
      <c r="R321" s="36">
        <v>1142443.5672974233</v>
      </c>
      <c r="S321" s="36">
        <v>1401626.0581277208</v>
      </c>
      <c r="T321" s="36">
        <v>1660808.5489580191</v>
      </c>
      <c r="U321" s="36">
        <v>1919991.0397883169</v>
      </c>
      <c r="V321" s="36">
        <v>2179173.5306186145</v>
      </c>
      <c r="W321" s="36">
        <v>2438356.0214489121</v>
      </c>
      <c r="X321" s="36">
        <v>2697538.5122792101</v>
      </c>
      <c r="Y321" s="36">
        <v>2956721.0031095073</v>
      </c>
      <c r="Z321" s="36">
        <v>3368227.2627641205</v>
      </c>
      <c r="AA321" s="36">
        <v>3779733.5224187328</v>
      </c>
      <c r="AB321" s="36">
        <v>4191239.7820733469</v>
      </c>
      <c r="AC321" s="36">
        <v>4602746.0417279592</v>
      </c>
      <c r="AD321" s="36">
        <v>5014252.3013825705</v>
      </c>
      <c r="AE321" s="36">
        <v>5425758.5610371828</v>
      </c>
      <c r="AF321" s="36">
        <v>5837264.820691796</v>
      </c>
      <c r="AG321" s="36">
        <v>6248771.0803464102</v>
      </c>
      <c r="AH321" s="36">
        <v>6660277.3400010215</v>
      </c>
      <c r="AI321" s="36">
        <v>7071783.5996556319</v>
      </c>
      <c r="AJ321" s="36">
        <v>7483289.8593102451</v>
      </c>
      <c r="AK321" s="36">
        <v>7894796.1189648611</v>
      </c>
      <c r="AL321" s="36">
        <v>8306302.3786194716</v>
      </c>
      <c r="AM321" s="36">
        <v>8717808.6382740829</v>
      </c>
      <c r="AN321" s="36">
        <v>9129314.8979286961</v>
      </c>
      <c r="AO321" s="36">
        <v>9540821.1575833093</v>
      </c>
      <c r="AP321" s="36">
        <v>9952327.4172379225</v>
      </c>
      <c r="AQ321" s="36">
        <v>10363833.676892536</v>
      </c>
      <c r="AR321" s="36">
        <v>10775339.936547147</v>
      </c>
      <c r="AS321" s="36">
        <v>11186846.19620176</v>
      </c>
      <c r="AT321" s="36">
        <v>11598352.45585637</v>
      </c>
      <c r="AU321" s="36">
        <v>12009858.715510981</v>
      </c>
      <c r="AV321" s="36">
        <v>12421364.975165594</v>
      </c>
      <c r="AW321" s="36">
        <v>12832871.234820209</v>
      </c>
      <c r="AX321" s="36">
        <v>13244377.494474826</v>
      </c>
    </row>
    <row r="322" spans="3:50">
      <c r="D322" t="s">
        <v>661</v>
      </c>
      <c r="E322" t="s">
        <v>653</v>
      </c>
      <c r="G322" s="44"/>
      <c r="I322" s="44"/>
      <c r="K322" s="44"/>
      <c r="M322" s="44"/>
      <c r="O322" s="36">
        <v>278094.24217762658</v>
      </c>
      <c r="P322" s="36">
        <v>465774.79043860233</v>
      </c>
      <c r="Q322" s="36">
        <v>653455.33869957807</v>
      </c>
      <c r="R322" s="36">
        <v>841135.88696055359</v>
      </c>
      <c r="S322" s="36">
        <v>1028816.4352215294</v>
      </c>
      <c r="T322" s="36">
        <v>1216496.9834825052</v>
      </c>
      <c r="U322" s="36">
        <v>1404177.5317434804</v>
      </c>
      <c r="V322" s="36">
        <v>1591858.080004456</v>
      </c>
      <c r="W322" s="36">
        <v>1779538.6282654318</v>
      </c>
      <c r="X322" s="36">
        <v>1967219.1765264072</v>
      </c>
      <c r="Y322" s="36">
        <v>2154899.7247873829</v>
      </c>
      <c r="Z322" s="36">
        <v>2361217.8769614161</v>
      </c>
      <c r="AA322" s="36">
        <v>2567536.0291354484</v>
      </c>
      <c r="AB322" s="36">
        <v>2773854.1813094798</v>
      </c>
      <c r="AC322" s="36">
        <v>2980172.3334835125</v>
      </c>
      <c r="AD322" s="36">
        <v>3186490.4856575448</v>
      </c>
      <c r="AE322" s="36">
        <v>3392808.6378315776</v>
      </c>
      <c r="AF322" s="36">
        <v>3599126.7900056089</v>
      </c>
      <c r="AG322" s="36">
        <v>3805444.9421796435</v>
      </c>
      <c r="AH322" s="36">
        <v>4011763.0943536749</v>
      </c>
      <c r="AI322" s="36">
        <v>4218081.2465277063</v>
      </c>
      <c r="AJ322" s="36">
        <v>4424399.3987017386</v>
      </c>
      <c r="AK322" s="36">
        <v>4630717.5508757727</v>
      </c>
      <c r="AL322" s="36">
        <v>4837035.7030498032</v>
      </c>
      <c r="AM322" s="36">
        <v>5043353.8552238373</v>
      </c>
      <c r="AN322" s="36">
        <v>5249672.0073978687</v>
      </c>
      <c r="AO322" s="36">
        <v>5455990.159571901</v>
      </c>
      <c r="AP322" s="36">
        <v>5662308.3117459342</v>
      </c>
      <c r="AQ322" s="36">
        <v>5868626.4639199656</v>
      </c>
      <c r="AR322" s="36">
        <v>6074944.6160939969</v>
      </c>
      <c r="AS322" s="36">
        <v>6281262.7682680283</v>
      </c>
      <c r="AT322" s="36">
        <v>6487580.9204420615</v>
      </c>
      <c r="AU322" s="36">
        <v>6693899.0726160938</v>
      </c>
      <c r="AV322" s="36">
        <v>6900217.2247901261</v>
      </c>
      <c r="AW322" s="36">
        <v>7106535.3769641565</v>
      </c>
      <c r="AX322" s="36">
        <v>7312853.5291381916</v>
      </c>
    </row>
    <row r="323" spans="3:50">
      <c r="D323" t="s">
        <v>661</v>
      </c>
      <c r="E323" t="s">
        <v>654</v>
      </c>
      <c r="G323" s="44"/>
      <c r="I323" s="44"/>
      <c r="K323" s="44"/>
      <c r="M323" s="44"/>
      <c r="O323" s="36">
        <v>165363.10303878761</v>
      </c>
      <c r="P323" s="36">
        <v>277043.59346569655</v>
      </c>
      <c r="Q323" s="36">
        <v>388724.0838926055</v>
      </c>
      <c r="R323" s="36">
        <v>500404.57431951445</v>
      </c>
      <c r="S323" s="36">
        <v>612085.06474642328</v>
      </c>
      <c r="T323" s="36">
        <v>723765.55517333222</v>
      </c>
      <c r="U323" s="36">
        <v>835446.04560024117</v>
      </c>
      <c r="V323" s="36">
        <v>947126.53602715011</v>
      </c>
      <c r="W323" s="36">
        <v>1058807.0264540589</v>
      </c>
      <c r="X323" s="36">
        <v>1170487.5168809679</v>
      </c>
      <c r="Y323" s="36">
        <v>1282168.0073078766</v>
      </c>
      <c r="Z323" s="36">
        <v>1402283.3780859944</v>
      </c>
      <c r="AA323" s="36">
        <v>1522398.7488641127</v>
      </c>
      <c r="AB323" s="36">
        <v>1642514.1196422304</v>
      </c>
      <c r="AC323" s="36">
        <v>1762629.4904203482</v>
      </c>
      <c r="AD323" s="36">
        <v>1882744.8611984663</v>
      </c>
      <c r="AE323" s="36">
        <v>2002860.2319765845</v>
      </c>
      <c r="AF323" s="36">
        <v>2122975.6027547023</v>
      </c>
      <c r="AG323" s="36">
        <v>2243090.9735328201</v>
      </c>
      <c r="AH323" s="36">
        <v>2363206.3443109379</v>
      </c>
      <c r="AI323" s="36">
        <v>2483321.7150890562</v>
      </c>
      <c r="AJ323" s="36">
        <v>2603437.085867174</v>
      </c>
      <c r="AK323" s="36">
        <v>2723552.4566452908</v>
      </c>
      <c r="AL323" s="36">
        <v>2843667.8274234096</v>
      </c>
      <c r="AM323" s="36">
        <v>2963783.1982015269</v>
      </c>
      <c r="AN323" s="36">
        <v>3083898.5689796451</v>
      </c>
      <c r="AO323" s="36">
        <v>3204013.9397577639</v>
      </c>
      <c r="AP323" s="36">
        <v>3324129.3105358817</v>
      </c>
      <c r="AQ323" s="36">
        <v>3444244.6813139995</v>
      </c>
      <c r="AR323" s="36">
        <v>3564360.0520921177</v>
      </c>
      <c r="AS323" s="36">
        <v>3684475.4228702351</v>
      </c>
      <c r="AT323" s="36">
        <v>3804590.7936483533</v>
      </c>
      <c r="AU323" s="36">
        <v>3924706.164426472</v>
      </c>
      <c r="AV323" s="36">
        <v>4044821.535204587</v>
      </c>
      <c r="AW323" s="36">
        <v>4164936.9059827062</v>
      </c>
      <c r="AX323" s="36">
        <v>4285052.276760825</v>
      </c>
    </row>
    <row r="324" spans="3:50">
      <c r="D324" t="s">
        <v>660</v>
      </c>
      <c r="E324" t="s">
        <v>655</v>
      </c>
      <c r="G324" s="44"/>
      <c r="I324" s="44"/>
      <c r="K324" s="44"/>
      <c r="M324" s="44"/>
      <c r="O324" s="36">
        <v>228932.75588782321</v>
      </c>
      <c r="P324" s="36">
        <v>390123.47296421992</v>
      </c>
      <c r="Q324" s="36">
        <v>551314.19004061655</v>
      </c>
      <c r="R324" s="36">
        <v>712504.90711701359</v>
      </c>
      <c r="S324" s="36">
        <v>873695.62419341016</v>
      </c>
      <c r="T324" s="36">
        <v>1034886.3412698071</v>
      </c>
      <c r="U324" s="36">
        <v>1196077.0583462038</v>
      </c>
      <c r="V324" s="36">
        <v>1357267.7754226003</v>
      </c>
      <c r="W324" s="36">
        <v>1518458.4924989976</v>
      </c>
      <c r="X324" s="36">
        <v>1679649.2095753942</v>
      </c>
      <c r="Y324" s="36">
        <v>1840839.9266517907</v>
      </c>
      <c r="Z324" s="36">
        <v>2110444.5244554575</v>
      </c>
      <c r="AA324" s="36">
        <v>2380049.1222591237</v>
      </c>
      <c r="AB324" s="36">
        <v>2649653.7200627895</v>
      </c>
      <c r="AC324" s="36">
        <v>2919258.3178664558</v>
      </c>
      <c r="AD324" s="36">
        <v>3188862.915670122</v>
      </c>
      <c r="AE324" s="36">
        <v>3458467.5134737883</v>
      </c>
      <c r="AF324" s="36">
        <v>3728072.1112774545</v>
      </c>
      <c r="AG324" s="36">
        <v>3997676.7090811222</v>
      </c>
      <c r="AH324" s="36">
        <v>4267281.306884788</v>
      </c>
      <c r="AI324" s="36">
        <v>4536885.9046884533</v>
      </c>
      <c r="AJ324" s="36">
        <v>4806490.5024921205</v>
      </c>
      <c r="AK324" s="36">
        <v>5076095.1002957858</v>
      </c>
      <c r="AL324" s="36">
        <v>5345699.6980994539</v>
      </c>
      <c r="AM324" s="36">
        <v>5615304.2959031211</v>
      </c>
      <c r="AN324" s="36">
        <v>5884908.8937067846</v>
      </c>
      <c r="AO324" s="36">
        <v>6154513.4915104527</v>
      </c>
      <c r="AP324" s="36">
        <v>6424118.089314118</v>
      </c>
      <c r="AQ324" s="36">
        <v>6693722.6871177843</v>
      </c>
      <c r="AR324" s="36">
        <v>6963327.2849214505</v>
      </c>
      <c r="AS324" s="36">
        <v>7232931.8827251187</v>
      </c>
      <c r="AT324" s="36">
        <v>7502536.4805287831</v>
      </c>
      <c r="AU324" s="36">
        <v>7772141.0783324512</v>
      </c>
      <c r="AV324" s="36">
        <v>8041745.6761361137</v>
      </c>
      <c r="AW324" s="36">
        <v>8311350.2739397828</v>
      </c>
      <c r="AX324" s="36">
        <v>8580954.8717434499</v>
      </c>
    </row>
    <row r="325" spans="3:50">
      <c r="D325" t="s">
        <v>661</v>
      </c>
      <c r="E325" t="s">
        <v>656</v>
      </c>
      <c r="G325" s="44"/>
      <c r="I325" s="44"/>
      <c r="K325" s="44"/>
      <c r="M325" s="44"/>
      <c r="O325" s="36">
        <v>246356.687216038</v>
      </c>
      <c r="P325" s="36">
        <v>414591.96583545872</v>
      </c>
      <c r="Q325" s="36">
        <v>582827.24445487955</v>
      </c>
      <c r="R325" s="36">
        <v>751062.52307430026</v>
      </c>
      <c r="S325" s="36">
        <v>919297.80169372098</v>
      </c>
      <c r="T325" s="36">
        <v>1087533.0803131422</v>
      </c>
      <c r="U325" s="36">
        <v>1255768.3589325629</v>
      </c>
      <c r="V325" s="36">
        <v>1424003.6375519836</v>
      </c>
      <c r="W325" s="36">
        <v>1592238.9161714041</v>
      </c>
      <c r="X325" s="36">
        <v>1760474.1947908257</v>
      </c>
      <c r="Y325" s="36">
        <v>1928709.4734102457</v>
      </c>
      <c r="Z325" s="36">
        <v>1999276.078749364</v>
      </c>
      <c r="AA325" s="36">
        <v>2069842.6840884814</v>
      </c>
      <c r="AB325" s="36">
        <v>2140409.2894275989</v>
      </c>
      <c r="AC325" s="36">
        <v>2210975.8947667172</v>
      </c>
      <c r="AD325" s="36">
        <v>2281542.5001058346</v>
      </c>
      <c r="AE325" s="36">
        <v>2352109.1054449528</v>
      </c>
      <c r="AF325" s="36">
        <v>2422675.7107840707</v>
      </c>
      <c r="AG325" s="36">
        <v>2493242.3161231875</v>
      </c>
      <c r="AH325" s="36">
        <v>2563808.9214623058</v>
      </c>
      <c r="AI325" s="36">
        <v>2634375.5268014236</v>
      </c>
      <c r="AJ325" s="36">
        <v>2704942.1321405414</v>
      </c>
      <c r="AK325" s="36">
        <v>2775508.7374796588</v>
      </c>
      <c r="AL325" s="36">
        <v>2846075.3428187771</v>
      </c>
      <c r="AM325" s="36">
        <v>2916641.9481578944</v>
      </c>
      <c r="AN325" s="36">
        <v>2987208.5534970122</v>
      </c>
      <c r="AO325" s="36">
        <v>3057775.1588361291</v>
      </c>
      <c r="AP325" s="36">
        <v>3128341.7641752479</v>
      </c>
      <c r="AQ325" s="36">
        <v>3198908.3695143661</v>
      </c>
      <c r="AR325" s="36">
        <v>3269474.974853483</v>
      </c>
      <c r="AS325" s="36">
        <v>3340041.5801926018</v>
      </c>
      <c r="AT325" s="36">
        <v>3410608.1855317187</v>
      </c>
      <c r="AU325" s="36">
        <v>3481174.7908708369</v>
      </c>
      <c r="AV325" s="36">
        <v>3551741.3962099543</v>
      </c>
      <c r="AW325" s="36">
        <v>3622308.0015490721</v>
      </c>
      <c r="AX325" s="36">
        <v>3692874.6068881904</v>
      </c>
    </row>
    <row r="326" spans="3:50">
      <c r="D326" t="s">
        <v>660</v>
      </c>
      <c r="E326" t="s">
        <v>657</v>
      </c>
      <c r="G326" s="44"/>
      <c r="I326" s="44"/>
      <c r="K326" s="44"/>
      <c r="M326" s="44"/>
      <c r="O326" s="36">
        <v>179524.85226980981</v>
      </c>
      <c r="P326" s="36">
        <v>322590.5365490375</v>
      </c>
      <c r="Q326" s="36">
        <v>465656.22082826507</v>
      </c>
      <c r="R326" s="36">
        <v>608721.90510749281</v>
      </c>
      <c r="S326" s="36">
        <v>751787.58938672044</v>
      </c>
      <c r="T326" s="36">
        <v>894853.27366594819</v>
      </c>
      <c r="U326" s="36">
        <v>1037918.9579451757</v>
      </c>
      <c r="V326" s="36">
        <v>1180984.6422244036</v>
      </c>
      <c r="W326" s="36">
        <v>1324050.3265036312</v>
      </c>
      <c r="X326" s="36">
        <v>1467116.0107828588</v>
      </c>
      <c r="Y326" s="36">
        <v>1610181.6950620862</v>
      </c>
      <c r="Z326" s="36">
        <v>1926238.985251375</v>
      </c>
      <c r="AA326" s="36">
        <v>2242296.2754406631</v>
      </c>
      <c r="AB326" s="36">
        <v>2558353.5656299526</v>
      </c>
      <c r="AC326" s="36">
        <v>2874410.8558192407</v>
      </c>
      <c r="AD326" s="36">
        <v>3190468.1460085292</v>
      </c>
      <c r="AE326" s="36">
        <v>3506525.4361978183</v>
      </c>
      <c r="AF326" s="36">
        <v>3822582.7263871054</v>
      </c>
      <c r="AG326" s="36">
        <v>4138640.0165763954</v>
      </c>
      <c r="AH326" s="36">
        <v>4454697.306765683</v>
      </c>
      <c r="AI326" s="36">
        <v>4770754.5969549716</v>
      </c>
      <c r="AJ326" s="36">
        <v>5086811.8871442601</v>
      </c>
      <c r="AK326" s="36">
        <v>5402869.1773335505</v>
      </c>
      <c r="AL326" s="36">
        <v>5718926.4675228382</v>
      </c>
      <c r="AM326" s="36">
        <v>6034983.7577121267</v>
      </c>
      <c r="AN326" s="36">
        <v>6351041.0479014143</v>
      </c>
      <c r="AO326" s="36">
        <v>6667098.3380907048</v>
      </c>
      <c r="AP326" s="36">
        <v>6983155.6282799933</v>
      </c>
      <c r="AQ326" s="36">
        <v>7299212.9184692809</v>
      </c>
      <c r="AR326" s="36">
        <v>7615270.2086585695</v>
      </c>
      <c r="AS326" s="36">
        <v>7931327.4988478571</v>
      </c>
      <c r="AT326" s="36">
        <v>8247384.7890371475</v>
      </c>
      <c r="AU326" s="36">
        <v>8563442.0792264361</v>
      </c>
      <c r="AV326" s="36">
        <v>8879499.3694157228</v>
      </c>
      <c r="AW326" s="36">
        <v>9195556.6596050113</v>
      </c>
      <c r="AX326" s="36">
        <v>9511613.9497942999</v>
      </c>
    </row>
    <row r="327" spans="3:50">
      <c r="D327" t="s">
        <v>661</v>
      </c>
      <c r="E327" t="s">
        <v>658</v>
      </c>
      <c r="G327" s="44"/>
      <c r="I327" s="44"/>
      <c r="K327" s="44"/>
      <c r="M327" s="44"/>
      <c r="O327" s="36">
        <v>250401.89639930151</v>
      </c>
      <c r="P327" s="36">
        <v>419268.66346423846</v>
      </c>
      <c r="Q327" s="36">
        <v>588135.43052917521</v>
      </c>
      <c r="R327" s="36">
        <v>757002.19759411213</v>
      </c>
      <c r="S327" s="36">
        <v>925868.96465904894</v>
      </c>
      <c r="T327" s="36">
        <v>1094735.7317239856</v>
      </c>
      <c r="U327" s="36">
        <v>1263602.4987889223</v>
      </c>
      <c r="V327" s="36">
        <v>1432469.2658538595</v>
      </c>
      <c r="W327" s="36">
        <v>1601336.0329187962</v>
      </c>
      <c r="X327" s="36">
        <v>1770202.7999837333</v>
      </c>
      <c r="Y327" s="36">
        <v>1939069.5670486707</v>
      </c>
      <c r="Z327" s="36">
        <v>2032100.7103510485</v>
      </c>
      <c r="AA327" s="36">
        <v>2125131.8536534267</v>
      </c>
      <c r="AB327" s="36">
        <v>2218162.9969558059</v>
      </c>
      <c r="AC327" s="36">
        <v>2311194.1402581842</v>
      </c>
      <c r="AD327" s="36">
        <v>2404225.2835605624</v>
      </c>
      <c r="AE327" s="36">
        <v>2497256.4268629407</v>
      </c>
      <c r="AF327" s="36">
        <v>2590287.5701653203</v>
      </c>
      <c r="AG327" s="36">
        <v>2683318.7134676981</v>
      </c>
      <c r="AH327" s="36">
        <v>2776349.8567700759</v>
      </c>
      <c r="AI327" s="36">
        <v>2869381.0000724541</v>
      </c>
      <c r="AJ327" s="36">
        <v>2962412.1433748333</v>
      </c>
      <c r="AK327" s="36">
        <v>3055443.286677212</v>
      </c>
      <c r="AL327" s="36">
        <v>3148474.4299795898</v>
      </c>
      <c r="AM327" s="36">
        <v>3241505.5732819694</v>
      </c>
      <c r="AN327" s="36">
        <v>3334536.7165843472</v>
      </c>
      <c r="AO327" s="36">
        <v>3427567.8598867254</v>
      </c>
      <c r="AP327" s="36">
        <v>3520599.0031891037</v>
      </c>
      <c r="AQ327" s="36">
        <v>3613630.1464914829</v>
      </c>
      <c r="AR327" s="36">
        <v>3706661.2897938606</v>
      </c>
      <c r="AS327" s="36">
        <v>3799692.4330962389</v>
      </c>
      <c r="AT327" s="36">
        <v>3892723.5763986181</v>
      </c>
      <c r="AU327" s="36">
        <v>3985754.7197009963</v>
      </c>
      <c r="AV327" s="36">
        <v>4078785.8630033741</v>
      </c>
      <c r="AW327" s="36">
        <v>4171817.0063057523</v>
      </c>
      <c r="AX327" s="36">
        <v>4264848.1496081296</v>
      </c>
    </row>
    <row r="328" spans="3:50">
      <c r="D328" t="s">
        <v>661</v>
      </c>
      <c r="E328" t="s">
        <v>659</v>
      </c>
      <c r="G328" s="44"/>
      <c r="I328" s="44"/>
      <c r="K328" s="44"/>
      <c r="M328" s="44"/>
      <c r="O328" s="36">
        <v>226221.30921591009</v>
      </c>
      <c r="P328" s="36">
        <v>390804.04402019992</v>
      </c>
      <c r="Q328" s="36">
        <v>555386.77882449003</v>
      </c>
      <c r="R328" s="36">
        <v>719969.51362877968</v>
      </c>
      <c r="S328" s="36">
        <v>884552.24843306979</v>
      </c>
      <c r="T328" s="36">
        <v>1049134.9832373599</v>
      </c>
      <c r="U328" s="36">
        <v>1213717.7180416496</v>
      </c>
      <c r="V328" s="36">
        <v>1378300.4528459392</v>
      </c>
      <c r="W328" s="36">
        <v>1542883.1876502293</v>
      </c>
      <c r="X328" s="36">
        <v>1707465.9224545192</v>
      </c>
      <c r="Y328" s="36">
        <v>1872048.6572588093</v>
      </c>
      <c r="Z328" s="36">
        <v>2074436.3325307008</v>
      </c>
      <c r="AA328" s="36">
        <v>2276824.0078025931</v>
      </c>
      <c r="AB328" s="36">
        <v>2479211.6830744846</v>
      </c>
      <c r="AC328" s="36">
        <v>2681599.3583463761</v>
      </c>
      <c r="AD328" s="36">
        <v>2883987.0336182681</v>
      </c>
      <c r="AE328" s="36">
        <v>3086374.7088901596</v>
      </c>
      <c r="AF328" s="36">
        <v>3288762.3841620521</v>
      </c>
      <c r="AG328" s="36">
        <v>3491150.0594339436</v>
      </c>
      <c r="AH328" s="36">
        <v>3693537.734705836</v>
      </c>
      <c r="AI328" s="36">
        <v>3895925.4099777271</v>
      </c>
      <c r="AJ328" s="36">
        <v>4098313.0852496196</v>
      </c>
      <c r="AK328" s="36">
        <v>4300700.7605215106</v>
      </c>
      <c r="AL328" s="36">
        <v>4503088.4357934035</v>
      </c>
      <c r="AM328" s="36">
        <v>4705476.1110652937</v>
      </c>
      <c r="AN328" s="36">
        <v>4907863.7863371866</v>
      </c>
      <c r="AO328" s="36">
        <v>5110251.4616090776</v>
      </c>
      <c r="AP328" s="36">
        <v>5312639.1368809687</v>
      </c>
      <c r="AQ328" s="36">
        <v>5515026.8121528625</v>
      </c>
      <c r="AR328" s="36">
        <v>5717414.4874247527</v>
      </c>
      <c r="AS328" s="36">
        <v>5919802.1626966456</v>
      </c>
      <c r="AT328" s="36">
        <v>6122189.8379685376</v>
      </c>
      <c r="AU328" s="36">
        <v>6324577.5132404305</v>
      </c>
      <c r="AV328" s="36">
        <v>6526965.1885123225</v>
      </c>
      <c r="AW328" s="36">
        <v>6729352.8637842136</v>
      </c>
      <c r="AX328" s="36">
        <v>6931740.5390561027</v>
      </c>
    </row>
    <row r="329" spans="3:50">
      <c r="D329" t="s">
        <v>660</v>
      </c>
      <c r="E329" t="s">
        <v>633</v>
      </c>
      <c r="G329" s="44"/>
      <c r="I329" s="44"/>
      <c r="K329" s="44"/>
      <c r="M329" s="44"/>
      <c r="O329" s="36">
        <v>136983.53708712105</v>
      </c>
      <c r="P329" s="36">
        <v>230602.77702476573</v>
      </c>
      <c r="Q329" s="36">
        <v>324222.01696241042</v>
      </c>
      <c r="R329" s="36">
        <v>417841.25690005504</v>
      </c>
      <c r="S329" s="36">
        <v>511460.49683769984</v>
      </c>
      <c r="T329" s="36">
        <v>605079.73677534459</v>
      </c>
      <c r="U329" s="36">
        <v>698698.97671298916</v>
      </c>
      <c r="V329" s="36">
        <v>792318.21665063396</v>
      </c>
      <c r="W329" s="36">
        <v>885937.45658827852</v>
      </c>
      <c r="X329" s="36">
        <v>979556.69652592333</v>
      </c>
      <c r="Y329" s="36">
        <v>1073175.9364635681</v>
      </c>
      <c r="Z329" s="36">
        <v>1450237.41463737</v>
      </c>
      <c r="AA329" s="36">
        <v>1827298.8928111722</v>
      </c>
      <c r="AB329" s="36">
        <v>2204360.3709849748</v>
      </c>
      <c r="AC329" s="36">
        <v>2581421.8491587765</v>
      </c>
      <c r="AD329" s="36">
        <v>2958483.3273325786</v>
      </c>
      <c r="AE329" s="36">
        <v>3335544.8055063803</v>
      </c>
      <c r="AF329" s="36">
        <v>3712606.2836801829</v>
      </c>
      <c r="AG329" s="36">
        <v>4089667.761853985</v>
      </c>
      <c r="AH329" s="36">
        <v>4466729.2400277881</v>
      </c>
      <c r="AI329" s="36">
        <v>4843790.7182015898</v>
      </c>
      <c r="AJ329" s="36">
        <v>5220852.1963753914</v>
      </c>
      <c r="AK329" s="36">
        <v>5597913.674549195</v>
      </c>
      <c r="AL329" s="36">
        <v>5974975.1527229957</v>
      </c>
      <c r="AM329" s="36">
        <v>6352036.6308967993</v>
      </c>
      <c r="AN329" s="36">
        <v>6729098.1090706</v>
      </c>
      <c r="AO329" s="36">
        <v>7106159.5872444026</v>
      </c>
      <c r="AP329" s="36">
        <v>7483221.0654182052</v>
      </c>
      <c r="AQ329" s="36">
        <v>7860282.5435920078</v>
      </c>
      <c r="AR329" s="36">
        <v>8237344.0217658104</v>
      </c>
      <c r="AS329" s="36">
        <v>8614405.499939613</v>
      </c>
      <c r="AT329" s="36">
        <v>8991466.9781134166</v>
      </c>
      <c r="AU329" s="36">
        <v>9368528.4562872145</v>
      </c>
      <c r="AV329" s="36">
        <v>9745589.9344610162</v>
      </c>
      <c r="AW329" s="36">
        <v>10122651.412634818</v>
      </c>
      <c r="AX329" s="36">
        <v>10499712.890808621</v>
      </c>
    </row>
    <row r="330" spans="3:50">
      <c r="E330" t="s">
        <v>660</v>
      </c>
      <c r="G330" s="44"/>
      <c r="I330" s="44"/>
      <c r="K330" s="44"/>
      <c r="M330" s="44"/>
      <c r="O330" s="36">
        <f>SUMIF($D297:$D329,$E330,O297:O329)</f>
        <v>1826036.2353321821</v>
      </c>
      <c r="P330" s="36">
        <f t="shared" ref="P330" si="198">SUMIF($D297:$D329,$E330,P297:P329)</f>
        <v>3146442.6642261585</v>
      </c>
      <c r="Q330" s="36">
        <f t="shared" ref="Q330" si="199">SUMIF($D297:$D329,$E330,Q297:Q329)</f>
        <v>4466849.0931201335</v>
      </c>
      <c r="R330" s="36">
        <f t="shared" ref="R330" si="200">SUMIF($D297:$D329,$E330,R297:R329)</f>
        <v>5787255.5220141122</v>
      </c>
      <c r="S330" s="36">
        <f t="shared" ref="S330" si="201">SUMIF($D297:$D329,$E330,S297:S329)</f>
        <v>7107661.9509080881</v>
      </c>
      <c r="T330" s="36">
        <f t="shared" ref="T330" si="202">SUMIF($D297:$D329,$E330,T297:T329)</f>
        <v>8428068.379802065</v>
      </c>
      <c r="U330" s="36">
        <f t="shared" ref="U330" si="203">SUMIF($D297:$D329,$E330,U297:U329)</f>
        <v>9748474.808696039</v>
      </c>
      <c r="V330" s="36">
        <f t="shared" ref="V330" si="204">SUMIF($D297:$D329,$E330,V297:V329)</f>
        <v>11068881.237590017</v>
      </c>
      <c r="W330" s="36">
        <f t="shared" ref="W330" si="205">SUMIF($D297:$D329,$E330,W297:W329)</f>
        <v>12389287.666483991</v>
      </c>
      <c r="X330" s="36">
        <f t="shared" ref="X330" si="206">SUMIF($D297:$D329,$E330,X297:X329)</f>
        <v>13709694.09537797</v>
      </c>
      <c r="Y330" s="36">
        <f t="shared" ref="Y330" si="207">SUMIF($D297:$D329,$E330,Y297:Y329)</f>
        <v>15030100.524271948</v>
      </c>
      <c r="Z330" s="36">
        <f t="shared" ref="Z330" si="208">SUMIF($D297:$D329,$E330,Z297:Z329)</f>
        <v>17332571.786094941</v>
      </c>
      <c r="AA330" s="36">
        <f t="shared" ref="AA330" si="209">SUMIF($D297:$D329,$E330,AA297:AA329)</f>
        <v>19635043.047917932</v>
      </c>
      <c r="AB330" s="36">
        <f t="shared" ref="AB330" si="210">SUMIF($D297:$D329,$E330,AB297:AB329)</f>
        <v>21937514.309740927</v>
      </c>
      <c r="AC330" s="36">
        <f t="shared" ref="AC330" si="211">SUMIF($D297:$D329,$E330,AC297:AC329)</f>
        <v>24239985.571563918</v>
      </c>
      <c r="AD330" s="36">
        <f t="shared" ref="AD330" si="212">SUMIF($D297:$D329,$E330,AD297:AD329)</f>
        <v>26542456.833386913</v>
      </c>
      <c r="AE330" s="36">
        <f t="shared" ref="AE330" si="213">SUMIF($D297:$D329,$E330,AE297:AE329)</f>
        <v>28844928.095209904</v>
      </c>
      <c r="AF330" s="36">
        <f t="shared" ref="AF330" si="214">SUMIF($D297:$D329,$E330,AF297:AF329)</f>
        <v>31147399.357032899</v>
      </c>
      <c r="AG330" s="36">
        <f t="shared" ref="AG330" si="215">SUMIF($D297:$D329,$E330,AG297:AG329)</f>
        <v>33449870.618855897</v>
      </c>
      <c r="AH330" s="36">
        <f t="shared" ref="AH330" si="216">SUMIF($D297:$D329,$E330,AH297:AH329)</f>
        <v>35752341.880678892</v>
      </c>
      <c r="AI330" s="36">
        <f t="shared" ref="AI330" si="217">SUMIF($D297:$D329,$E330,AI297:AI329)</f>
        <v>38054813.142501883</v>
      </c>
      <c r="AJ330" s="36">
        <f t="shared" ref="AJ330" si="218">SUMIF($D297:$D329,$E330,AJ297:AJ329)</f>
        <v>40357284.404324882</v>
      </c>
      <c r="AK330" s="36">
        <f t="shared" ref="AK330" si="219">SUMIF($D297:$D329,$E330,AK297:AK329)</f>
        <v>42659755.666147873</v>
      </c>
      <c r="AL330" s="36">
        <f t="shared" ref="AL330" si="220">SUMIF($D297:$D329,$E330,AL297:AL329)</f>
        <v>44962226.927970871</v>
      </c>
      <c r="AM330" s="36">
        <f t="shared" ref="AM330" si="221">SUMIF($D297:$D329,$E330,AM297:AM329)</f>
        <v>47264698.18979387</v>
      </c>
      <c r="AN330" s="36">
        <f t="shared" ref="AN330" si="222">SUMIF($D297:$D329,$E330,AN297:AN329)</f>
        <v>49567169.451616853</v>
      </c>
      <c r="AO330" s="36">
        <f t="shared" ref="AO330" si="223">SUMIF($D297:$D329,$E330,AO297:AO329)</f>
        <v>51869640.713439852</v>
      </c>
      <c r="AP330" s="36">
        <f t="shared" ref="AP330" si="224">SUMIF($D297:$D329,$E330,AP297:AP329)</f>
        <v>54172111.975262836</v>
      </c>
      <c r="AQ330" s="36">
        <f t="shared" ref="AQ330" si="225">SUMIF($D297:$D329,$E330,AQ297:AQ329)</f>
        <v>56474583.237085834</v>
      </c>
      <c r="AR330" s="36">
        <f t="shared" ref="AR330" si="226">SUMIF($D297:$D329,$E330,AR297:AR329)</f>
        <v>58777054.498908833</v>
      </c>
      <c r="AS330" s="36">
        <f t="shared" ref="AS330" si="227">SUMIF($D297:$D329,$E330,AS297:AS329)</f>
        <v>61079525.760731824</v>
      </c>
      <c r="AT330" s="36">
        <f t="shared" ref="AT330" si="228">SUMIF($D297:$D329,$E330,AT297:AT329)</f>
        <v>63381997.02255483</v>
      </c>
      <c r="AU330" s="36">
        <f t="shared" ref="AU330" si="229">SUMIF($D297:$D329,$E330,AU297:AU329)</f>
        <v>65684468.284377813</v>
      </c>
      <c r="AV330" s="36">
        <f t="shared" ref="AV330" si="230">SUMIF($D297:$D329,$E330,AV297:AV329)</f>
        <v>67986939.546200797</v>
      </c>
      <c r="AW330" s="36">
        <f t="shared" ref="AW330" si="231">SUMIF($D297:$D329,$E330,AW297:AW329)</f>
        <v>70289410.808023795</v>
      </c>
      <c r="AX330" s="36">
        <f t="shared" ref="AX330" si="232">SUMIF($D297:$D329,$E330,AX297:AX329)</f>
        <v>72591882.069846794</v>
      </c>
    </row>
    <row r="331" spans="3:50">
      <c r="E331" t="s">
        <v>661</v>
      </c>
      <c r="G331" s="44"/>
      <c r="I331" s="44"/>
      <c r="K331" s="44"/>
      <c r="M331" s="44"/>
      <c r="O331" s="36">
        <f>SUMIF($D297:$D329,$E331,O297:O329)</f>
        <v>7264863.7646678332</v>
      </c>
      <c r="P331" s="36">
        <f t="shared" ref="P331:AX331" si="233">SUMIF($D297:$D329,$E331,P297:P329)</f>
        <v>12222840.009596244</v>
      </c>
      <c r="Q331" s="36">
        <f t="shared" si="233"/>
        <v>17180816.254524648</v>
      </c>
      <c r="R331" s="36">
        <f t="shared" si="233"/>
        <v>22138792.49945306</v>
      </c>
      <c r="S331" s="36">
        <f t="shared" si="233"/>
        <v>27096768.744381461</v>
      </c>
      <c r="T331" s="36">
        <f t="shared" si="233"/>
        <v>32054744.989309873</v>
      </c>
      <c r="U331" s="36">
        <f t="shared" si="233"/>
        <v>37012721.234238282</v>
      </c>
      <c r="V331" s="36">
        <f t="shared" si="233"/>
        <v>41970697.479166687</v>
      </c>
      <c r="W331" s="36">
        <f t="shared" si="233"/>
        <v>46928673.724095084</v>
      </c>
      <c r="X331" s="36">
        <f t="shared" si="233"/>
        <v>51886649.969023496</v>
      </c>
      <c r="Y331" s="36">
        <f t="shared" si="233"/>
        <v>56844626.213951908</v>
      </c>
      <c r="Z331" s="36">
        <f t="shared" si="233"/>
        <v>62658019.850001961</v>
      </c>
      <c r="AA331" s="36">
        <f t="shared" si="233"/>
        <v>68471413.486052021</v>
      </c>
      <c r="AB331" s="36">
        <f t="shared" si="233"/>
        <v>74284807.122102067</v>
      </c>
      <c r="AC331" s="36">
        <f t="shared" si="233"/>
        <v>80098200.758152112</v>
      </c>
      <c r="AD331" s="36">
        <f t="shared" si="233"/>
        <v>85911594.394202173</v>
      </c>
      <c r="AE331" s="36">
        <f t="shared" si="233"/>
        <v>91724988.030252233</v>
      </c>
      <c r="AF331" s="36">
        <f t="shared" si="233"/>
        <v>97538381.666302279</v>
      </c>
      <c r="AG331" s="36">
        <f t="shared" si="233"/>
        <v>103351775.30235232</v>
      </c>
      <c r="AH331" s="36">
        <f t="shared" si="233"/>
        <v>109165168.93840241</v>
      </c>
      <c r="AI331" s="36">
        <f t="shared" si="233"/>
        <v>114978562.57445244</v>
      </c>
      <c r="AJ331" s="36">
        <f t="shared" si="233"/>
        <v>120791956.21050252</v>
      </c>
      <c r="AK331" s="36">
        <f t="shared" si="233"/>
        <v>126605349.8465526</v>
      </c>
      <c r="AL331" s="36">
        <f t="shared" si="233"/>
        <v>132418743.48260264</v>
      </c>
      <c r="AM331" s="36">
        <f t="shared" si="233"/>
        <v>138232137.11865264</v>
      </c>
      <c r="AN331" s="36">
        <f t="shared" si="233"/>
        <v>144045530.75470278</v>
      </c>
      <c r="AO331" s="36">
        <f t="shared" si="233"/>
        <v>149858924.39075279</v>
      </c>
      <c r="AP331" s="36">
        <f t="shared" si="233"/>
        <v>155672318.02680284</v>
      </c>
      <c r="AQ331" s="36">
        <f t="shared" si="233"/>
        <v>161485711.66285288</v>
      </c>
      <c r="AR331" s="36">
        <f t="shared" si="233"/>
        <v>167299105.29890296</v>
      </c>
      <c r="AS331" s="36">
        <f t="shared" si="233"/>
        <v>173112498.934953</v>
      </c>
      <c r="AT331" s="36">
        <f t="shared" si="233"/>
        <v>178925892.57100305</v>
      </c>
      <c r="AU331" s="36">
        <f t="shared" si="233"/>
        <v>184739286.20705312</v>
      </c>
      <c r="AV331" s="36">
        <f t="shared" si="233"/>
        <v>190552679.84310317</v>
      </c>
      <c r="AW331" s="36">
        <f t="shared" si="233"/>
        <v>196366073.47915325</v>
      </c>
      <c r="AX331" s="36">
        <f t="shared" si="233"/>
        <v>202179467.11520326</v>
      </c>
    </row>
    <row r="332" spans="3:50">
      <c r="E332" t="s">
        <v>122</v>
      </c>
      <c r="G332" s="44"/>
      <c r="I332" s="44"/>
      <c r="K332" s="44"/>
      <c r="M332" s="44"/>
      <c r="O332" s="159">
        <f t="shared" ref="O332:AX332" si="234">SUM(O297:O329)</f>
        <v>9090900.0000000186</v>
      </c>
      <c r="P332" s="159">
        <f t="shared" si="234"/>
        <v>15369282.673822405</v>
      </c>
      <c r="Q332" s="159">
        <f t="shared" si="234"/>
        <v>21647665.347644787</v>
      </c>
      <c r="R332" s="159">
        <f t="shared" si="234"/>
        <v>27926048.021467168</v>
      </c>
      <c r="S332" s="159">
        <f t="shared" si="234"/>
        <v>34204430.695289552</v>
      </c>
      <c r="T332" s="159">
        <f t="shared" si="234"/>
        <v>40482813.36911194</v>
      </c>
      <c r="U332" s="159">
        <f t="shared" si="234"/>
        <v>46761196.042934321</v>
      </c>
      <c r="V332" s="159">
        <f t="shared" si="234"/>
        <v>53039578.716756694</v>
      </c>
      <c r="W332" s="159">
        <f t="shared" si="234"/>
        <v>59317961.39057909</v>
      </c>
      <c r="X332" s="159">
        <f t="shared" si="234"/>
        <v>65596344.06440147</v>
      </c>
      <c r="Y332" s="159">
        <f t="shared" si="234"/>
        <v>71874726.738223851</v>
      </c>
      <c r="Z332" s="159">
        <f t="shared" si="234"/>
        <v>79990591.63609691</v>
      </c>
      <c r="AA332" s="159">
        <f t="shared" si="234"/>
        <v>88106456.533969983</v>
      </c>
      <c r="AB332" s="159">
        <f t="shared" si="234"/>
        <v>96222321.431843013</v>
      </c>
      <c r="AC332" s="159">
        <f t="shared" si="234"/>
        <v>104338186.32971604</v>
      </c>
      <c r="AD332" s="159">
        <f t="shared" si="234"/>
        <v>112454051.2275891</v>
      </c>
      <c r="AE332" s="159">
        <f t="shared" si="234"/>
        <v>120569916.12546214</v>
      </c>
      <c r="AF332" s="159">
        <f t="shared" si="234"/>
        <v>128685781.02333522</v>
      </c>
      <c r="AG332" s="159">
        <f t="shared" si="234"/>
        <v>136801645.92120823</v>
      </c>
      <c r="AH332" s="159">
        <f t="shared" si="234"/>
        <v>144917510.81908128</v>
      </c>
      <c r="AI332" s="159">
        <f t="shared" si="234"/>
        <v>153033375.71695432</v>
      </c>
      <c r="AJ332" s="159">
        <f t="shared" si="234"/>
        <v>161149240.61482745</v>
      </c>
      <c r="AK332" s="159">
        <f t="shared" si="234"/>
        <v>169265105.51270047</v>
      </c>
      <c r="AL332" s="159">
        <f t="shared" si="234"/>
        <v>177380970.41057348</v>
      </c>
      <c r="AM332" s="159">
        <f t="shared" si="234"/>
        <v>185496835.30844656</v>
      </c>
      <c r="AN332" s="159">
        <f t="shared" si="234"/>
        <v>193612700.20631963</v>
      </c>
      <c r="AO332" s="159">
        <f t="shared" si="234"/>
        <v>201728565.10419258</v>
      </c>
      <c r="AP332" s="159">
        <f t="shared" si="234"/>
        <v>209844430.00206569</v>
      </c>
      <c r="AQ332" s="159">
        <f t="shared" si="234"/>
        <v>217960294.89993873</v>
      </c>
      <c r="AR332" s="159">
        <f t="shared" si="234"/>
        <v>226076159.79781175</v>
      </c>
      <c r="AS332" s="159">
        <f t="shared" si="234"/>
        <v>234192024.69568491</v>
      </c>
      <c r="AT332" s="159">
        <f t="shared" si="234"/>
        <v>242307889.59355786</v>
      </c>
      <c r="AU332" s="159">
        <f t="shared" si="234"/>
        <v>250423754.49143097</v>
      </c>
      <c r="AV332" s="159">
        <f t="shared" si="234"/>
        <v>258539619.38930395</v>
      </c>
      <c r="AW332" s="159">
        <f t="shared" si="234"/>
        <v>266655484.28717709</v>
      </c>
      <c r="AX332" s="159">
        <f t="shared" si="234"/>
        <v>274771349.18505007</v>
      </c>
    </row>
    <row r="334" spans="3:50">
      <c r="D334" s="160" t="s">
        <v>720</v>
      </c>
      <c r="E334" t="str">
        <f xml:space="preserve"> Dashboard!$D$5</f>
        <v>Inner London</v>
      </c>
      <c r="G334" s="44"/>
      <c r="I334" s="44"/>
      <c r="K334" s="44"/>
      <c r="M334" s="44"/>
      <c r="O334" s="36">
        <f>INDEX(O297:O332,MATCH($E$334,$E$297:$E$332,0))</f>
        <v>1826036.2353321821</v>
      </c>
      <c r="P334" s="36">
        <f t="shared" ref="P334:AX334" si="235">INDEX(P297:P332,MATCH($E$334,$E$297:$E$332,0))</f>
        <v>3146442.6642261585</v>
      </c>
      <c r="Q334" s="36">
        <f t="shared" si="235"/>
        <v>4466849.0931201335</v>
      </c>
      <c r="R334" s="36">
        <f t="shared" si="235"/>
        <v>5787255.5220141122</v>
      </c>
      <c r="S334" s="36">
        <f t="shared" si="235"/>
        <v>7107661.9509080881</v>
      </c>
      <c r="T334" s="36">
        <f t="shared" si="235"/>
        <v>8428068.379802065</v>
      </c>
      <c r="U334" s="36">
        <f t="shared" si="235"/>
        <v>9748474.808696039</v>
      </c>
      <c r="V334" s="36">
        <f t="shared" si="235"/>
        <v>11068881.237590017</v>
      </c>
      <c r="W334" s="36">
        <f t="shared" si="235"/>
        <v>12389287.666483991</v>
      </c>
      <c r="X334" s="36">
        <f t="shared" si="235"/>
        <v>13709694.09537797</v>
      </c>
      <c r="Y334" s="36">
        <f t="shared" si="235"/>
        <v>15030100.524271948</v>
      </c>
      <c r="Z334" s="36">
        <f t="shared" si="235"/>
        <v>17332571.786094941</v>
      </c>
      <c r="AA334" s="36">
        <f t="shared" si="235"/>
        <v>19635043.047917932</v>
      </c>
      <c r="AB334" s="36">
        <f t="shared" si="235"/>
        <v>21937514.309740927</v>
      </c>
      <c r="AC334" s="36">
        <f t="shared" si="235"/>
        <v>24239985.571563918</v>
      </c>
      <c r="AD334" s="36">
        <f t="shared" si="235"/>
        <v>26542456.833386913</v>
      </c>
      <c r="AE334" s="36">
        <f t="shared" si="235"/>
        <v>28844928.095209904</v>
      </c>
      <c r="AF334" s="36">
        <f t="shared" si="235"/>
        <v>31147399.357032899</v>
      </c>
      <c r="AG334" s="36">
        <f t="shared" si="235"/>
        <v>33449870.618855897</v>
      </c>
      <c r="AH334" s="36">
        <f t="shared" si="235"/>
        <v>35752341.880678892</v>
      </c>
      <c r="AI334" s="36">
        <f t="shared" si="235"/>
        <v>38054813.142501883</v>
      </c>
      <c r="AJ334" s="36">
        <f t="shared" si="235"/>
        <v>40357284.404324882</v>
      </c>
      <c r="AK334" s="36">
        <f t="shared" si="235"/>
        <v>42659755.666147873</v>
      </c>
      <c r="AL334" s="36">
        <f t="shared" si="235"/>
        <v>44962226.927970871</v>
      </c>
      <c r="AM334" s="36">
        <f t="shared" si="235"/>
        <v>47264698.18979387</v>
      </c>
      <c r="AN334" s="36">
        <f t="shared" si="235"/>
        <v>49567169.451616853</v>
      </c>
      <c r="AO334" s="36">
        <f t="shared" si="235"/>
        <v>51869640.713439852</v>
      </c>
      <c r="AP334" s="36">
        <f t="shared" si="235"/>
        <v>54172111.975262836</v>
      </c>
      <c r="AQ334" s="36">
        <f t="shared" si="235"/>
        <v>56474583.237085834</v>
      </c>
      <c r="AR334" s="36">
        <f t="shared" si="235"/>
        <v>58777054.498908833</v>
      </c>
      <c r="AS334" s="36">
        <f t="shared" si="235"/>
        <v>61079525.760731824</v>
      </c>
      <c r="AT334" s="36">
        <f t="shared" si="235"/>
        <v>63381997.02255483</v>
      </c>
      <c r="AU334" s="36">
        <f t="shared" si="235"/>
        <v>65684468.284377813</v>
      </c>
      <c r="AV334" s="36">
        <f t="shared" si="235"/>
        <v>67986939.546200797</v>
      </c>
      <c r="AW334" s="36">
        <f t="shared" si="235"/>
        <v>70289410.808023795</v>
      </c>
      <c r="AX334" s="36">
        <f t="shared" si="235"/>
        <v>72591882.069846794</v>
      </c>
    </row>
    <row r="336" spans="3:50" s="43" customFormat="1">
      <c r="C336" s="43" t="s">
        <v>721</v>
      </c>
      <c r="O336" s="71"/>
      <c r="P336" s="71"/>
      <c r="Q336" s="71"/>
      <c r="R336" s="71"/>
      <c r="S336" s="71"/>
      <c r="T336" s="71"/>
      <c r="U336" s="71"/>
      <c r="V336" s="71"/>
      <c r="W336" s="71"/>
      <c r="X336" s="71"/>
      <c r="Y336" s="71"/>
      <c r="Z336" s="71"/>
      <c r="AA336" s="71"/>
      <c r="AB336" s="71"/>
      <c r="AC336" s="71"/>
      <c r="AD336" s="71"/>
      <c r="AE336" s="71"/>
      <c r="AF336" s="71"/>
      <c r="AG336" s="71"/>
      <c r="AH336" s="71"/>
      <c r="AI336" s="71"/>
      <c r="AJ336" s="71"/>
      <c r="AK336" s="71"/>
      <c r="AL336" s="71"/>
      <c r="AM336" s="71"/>
      <c r="AN336" s="71"/>
      <c r="AO336" s="71"/>
      <c r="AP336" s="71"/>
      <c r="AQ336" s="71"/>
      <c r="AR336" s="71"/>
      <c r="AS336" s="71"/>
      <c r="AT336" s="71"/>
      <c r="AU336" s="71"/>
      <c r="AV336" s="71"/>
      <c r="AW336" s="71"/>
      <c r="AX336" s="71"/>
    </row>
    <row r="338" spans="4:50">
      <c r="D338" t="s">
        <v>661</v>
      </c>
      <c r="E338" t="s">
        <v>626</v>
      </c>
      <c r="G338" s="44"/>
      <c r="I338" s="44"/>
      <c r="K338" s="44"/>
      <c r="M338" s="44"/>
      <c r="O338" s="36">
        <v>332988.09144140763</v>
      </c>
      <c r="P338" s="36">
        <v>560058.61874477891</v>
      </c>
      <c r="Q338" s="36">
        <v>787129.14604815003</v>
      </c>
      <c r="R338" s="36">
        <v>1014199.6733515215</v>
      </c>
      <c r="S338" s="36">
        <v>1241270.2006548927</v>
      </c>
      <c r="T338" s="36">
        <v>1449956.9206291488</v>
      </c>
      <c r="U338" s="36">
        <v>2149074.270211183</v>
      </c>
      <c r="V338" s="36">
        <v>2845999.729302037</v>
      </c>
      <c r="W338" s="36">
        <v>3541438.6121387733</v>
      </c>
      <c r="X338" s="36">
        <v>4235822.9358018497</v>
      </c>
      <c r="Y338" s="36">
        <v>4929432.1021183459</v>
      </c>
      <c r="Z338" s="36">
        <v>5608721.4183410965</v>
      </c>
      <c r="AA338" s="36">
        <v>6287425.7695407895</v>
      </c>
      <c r="AB338" s="36">
        <v>6965700.4145889552</v>
      </c>
      <c r="AC338" s="36">
        <v>7643650.134085875</v>
      </c>
      <c r="AD338" s="36">
        <v>8321348.2028376106</v>
      </c>
      <c r="AE338" s="36">
        <v>8998847.4035373461</v>
      </c>
      <c r="AF338" s="36">
        <v>9676186.722210085</v>
      </c>
      <c r="AG338" s="36">
        <v>10353395.579533886</v>
      </c>
      <c r="AH338" s="36">
        <v>11030496.594907576</v>
      </c>
      <c r="AI338" s="36">
        <v>11707507.444416482</v>
      </c>
      <c r="AJ338" s="36">
        <v>12384442.141282866</v>
      </c>
      <c r="AK338" s="36">
        <v>13061311.937914465</v>
      </c>
      <c r="AL338" s="36">
        <v>13738125.973890999</v>
      </c>
      <c r="AM338" s="36">
        <v>14414891.74962808</v>
      </c>
      <c r="AN338" s="36">
        <v>15091615.478083562</v>
      </c>
      <c r="AO338" s="36">
        <v>15768302.349633496</v>
      </c>
      <c r="AP338" s="36">
        <v>16444956.734139284</v>
      </c>
      <c r="AQ338" s="36">
        <v>17121582.336921085</v>
      </c>
      <c r="AR338" s="36">
        <v>17798182.320455149</v>
      </c>
      <c r="AS338" s="36">
        <v>18474759.400272436</v>
      </c>
      <c r="AT338" s="36">
        <v>19151315.92122123</v>
      </c>
      <c r="AU338" s="36">
        <v>19827853.918629806</v>
      </c>
      <c r="AV338" s="36">
        <v>20504375.167745702</v>
      </c>
      <c r="AW338" s="36">
        <v>21180881.223992206</v>
      </c>
      <c r="AX338" s="36">
        <v>21857373.4559719</v>
      </c>
    </row>
    <row r="339" spans="4:50">
      <c r="D339" t="s">
        <v>661</v>
      </c>
      <c r="E339" t="s">
        <v>627</v>
      </c>
      <c r="G339" s="44"/>
      <c r="I339" s="44"/>
      <c r="K339" s="44"/>
      <c r="M339" s="44"/>
      <c r="O339" s="36">
        <v>409415.66711500898</v>
      </c>
      <c r="P339" s="36">
        <v>689799.15144855471</v>
      </c>
      <c r="Q339" s="36">
        <v>970182.63578210061</v>
      </c>
      <c r="R339" s="36">
        <v>1250566.1201156459</v>
      </c>
      <c r="S339" s="36">
        <v>1530949.6044491923</v>
      </c>
      <c r="T339" s="36">
        <v>1788654.9747190238</v>
      </c>
      <c r="U339" s="36">
        <v>2651424.1036843923</v>
      </c>
      <c r="V339" s="36">
        <v>3511604.7302004956</v>
      </c>
      <c r="W339" s="36">
        <v>4370029.7916962281</v>
      </c>
      <c r="X339" s="36">
        <v>5227209.4766483316</v>
      </c>
      <c r="Y339" s="36">
        <v>6083473.7432899568</v>
      </c>
      <c r="Z339" s="36">
        <v>6890211.1721573314</v>
      </c>
      <c r="AA339" s="36">
        <v>7695276.6403765753</v>
      </c>
      <c r="AB339" s="36">
        <v>8499113.9124690592</v>
      </c>
      <c r="AC339" s="36">
        <v>9302022.474786019</v>
      </c>
      <c r="AD339" s="36">
        <v>10104211.763084132</v>
      </c>
      <c r="AE339" s="36">
        <v>10905832.642085956</v>
      </c>
      <c r="AF339" s="36">
        <v>11706996.542555811</v>
      </c>
      <c r="AG339" s="36">
        <v>12507787.55536074</v>
      </c>
      <c r="AH339" s="36">
        <v>13308270.331793049</v>
      </c>
      <c r="AI339" s="36">
        <v>14108495.394051397</v>
      </c>
      <c r="AJ339" s="36">
        <v>14908502.795053881</v>
      </c>
      <c r="AK339" s="36">
        <v>15708324.696694318</v>
      </c>
      <c r="AL339" s="36">
        <v>16507987.221932195</v>
      </c>
      <c r="AM339" s="36">
        <v>17307511.808630075</v>
      </c>
      <c r="AN339" s="36">
        <v>18106916.214808721</v>
      </c>
      <c r="AO339" s="36">
        <v>18906215.275721848</v>
      </c>
      <c r="AP339" s="36">
        <v>19705421.481409028</v>
      </c>
      <c r="AQ339" s="36">
        <v>20504545.422502581</v>
      </c>
      <c r="AR339" s="36">
        <v>21303596.138065811</v>
      </c>
      <c r="AS339" s="36">
        <v>22102581.389692511</v>
      </c>
      <c r="AT339" s="36">
        <v>22901507.879482627</v>
      </c>
      <c r="AU339" s="36">
        <v>23700381.424858797</v>
      </c>
      <c r="AV339" s="36">
        <v>24499207.099874932</v>
      </c>
      <c r="AW339" s="36">
        <v>25297989.350278012</v>
      </c>
      <c r="AX339" s="36">
        <v>26096732.087839857</v>
      </c>
    </row>
    <row r="340" spans="4:50">
      <c r="D340" t="s">
        <v>661</v>
      </c>
      <c r="E340" t="s">
        <v>628</v>
      </c>
      <c r="G340" s="44"/>
      <c r="I340" s="44"/>
      <c r="K340" s="44"/>
      <c r="M340" s="44"/>
      <c r="O340" s="36">
        <v>390642.41268575983</v>
      </c>
      <c r="P340" s="36">
        <v>657239.98696396407</v>
      </c>
      <c r="Q340" s="36">
        <v>923837.5612421683</v>
      </c>
      <c r="R340" s="36">
        <v>1190435.1355203725</v>
      </c>
      <c r="S340" s="36">
        <v>1457032.7097985777</v>
      </c>
      <c r="T340" s="36">
        <v>1702050.2199637622</v>
      </c>
      <c r="U340" s="36">
        <v>2522778.7470292319</v>
      </c>
      <c r="V340" s="36">
        <v>3340954.7120838976</v>
      </c>
      <c r="W340" s="36">
        <v>4157399.4875158658</v>
      </c>
      <c r="X340" s="36">
        <v>4972616.1780158225</v>
      </c>
      <c r="Y340" s="36">
        <v>5786930.1604638798</v>
      </c>
      <c r="Z340" s="36">
        <v>6589824.4072568202</v>
      </c>
      <c r="AA340" s="36">
        <v>7392195.5574183101</v>
      </c>
      <c r="AB340" s="36">
        <v>8194182.4489805466</v>
      </c>
      <c r="AC340" s="36">
        <v>8995878.7805013563</v>
      </c>
      <c r="AD340" s="36">
        <v>9797350.0769313257</v>
      </c>
      <c r="AE340" s="36">
        <v>10598643.538441248</v>
      </c>
      <c r="AF340" s="36">
        <v>11399794.027728124</v>
      </c>
      <c r="AG340" s="36">
        <v>12200827.85381382</v>
      </c>
      <c r="AH340" s="36">
        <v>13001765.243773248</v>
      </c>
      <c r="AI340" s="36">
        <v>13802622.004193678</v>
      </c>
      <c r="AJ340" s="36">
        <v>14603410.666199308</v>
      </c>
      <c r="AK340" s="36">
        <v>15404141.292095331</v>
      </c>
      <c r="AL340" s="36">
        <v>16204822.054820599</v>
      </c>
      <c r="AM340" s="36">
        <v>17005459.661514826</v>
      </c>
      <c r="AN340" s="36">
        <v>17806059.668027002</v>
      </c>
      <c r="AO340" s="36">
        <v>18606626.715776891</v>
      </c>
      <c r="AP340" s="36">
        <v>19407164.712450754</v>
      </c>
      <c r="AQ340" s="36">
        <v>20207676.971478298</v>
      </c>
      <c r="AR340" s="36">
        <v>21008166.320858851</v>
      </c>
      <c r="AS340" s="36">
        <v>21808635.188917223</v>
      </c>
      <c r="AT340" s="36">
        <v>22609085.672500584</v>
      </c>
      <c r="AU340" s="36">
        <v>23409519.591672212</v>
      </c>
      <c r="AV340" s="36">
        <v>24209938.533921901</v>
      </c>
      <c r="AW340" s="36">
        <v>25010343.890164755</v>
      </c>
      <c r="AX340" s="36">
        <v>25810736.884254128</v>
      </c>
    </row>
    <row r="341" spans="4:50">
      <c r="D341" t="s">
        <v>661</v>
      </c>
      <c r="E341" t="s">
        <v>629</v>
      </c>
      <c r="G341" s="44"/>
      <c r="I341" s="44"/>
      <c r="K341" s="44"/>
      <c r="M341" s="44"/>
      <c r="O341" s="36">
        <v>435235.42564687604</v>
      </c>
      <c r="P341" s="36">
        <v>732605.43810463906</v>
      </c>
      <c r="Q341" s="36">
        <v>1029975.450562402</v>
      </c>
      <c r="R341" s="36">
        <v>1327345.463020165</v>
      </c>
      <c r="S341" s="36">
        <v>1624715.4754779276</v>
      </c>
      <c r="T341" s="36">
        <v>1898020.7401510042</v>
      </c>
      <c r="U341" s="36">
        <v>2813343.7801427045</v>
      </c>
      <c r="V341" s="36">
        <v>3725853.1098891268</v>
      </c>
      <c r="W341" s="36">
        <v>4636454.1349764299</v>
      </c>
      <c r="X341" s="36">
        <v>5545701.4318719637</v>
      </c>
      <c r="Y341" s="36">
        <v>6453953.6662055021</v>
      </c>
      <c r="Z341" s="36">
        <v>7272888.7758544842</v>
      </c>
      <c r="AA341" s="36">
        <v>8088939.1127037294</v>
      </c>
      <c r="AB341" s="36">
        <v>8902870.3405995574</v>
      </c>
      <c r="AC341" s="36">
        <v>9715199.1882585697</v>
      </c>
      <c r="AD341" s="36">
        <v>10526287.012615126</v>
      </c>
      <c r="AE341" s="36">
        <v>11336394.113125771</v>
      </c>
      <c r="AF341" s="36">
        <v>12145712.750558309</v>
      </c>
      <c r="AG341" s="36">
        <v>12954388.013881337</v>
      </c>
      <c r="AH341" s="36">
        <v>13762531.45134793</v>
      </c>
      <c r="AI341" s="36">
        <v>14570230.233110446</v>
      </c>
      <c r="AJ341" s="36">
        <v>15377553.465800598</v>
      </c>
      <c r="AK341" s="36">
        <v>16184556.641009364</v>
      </c>
      <c r="AL341" s="36">
        <v>16991284.830851968</v>
      </c>
      <c r="AM341" s="36">
        <v>17797775.02385617</v>
      </c>
      <c r="AN341" s="36">
        <v>18604057.859412473</v>
      </c>
      <c r="AO341" s="36">
        <v>19410158.934018325</v>
      </c>
      <c r="AP341" s="36">
        <v>20216099.79777804</v>
      </c>
      <c r="AQ341" s="36">
        <v>21021898.723590635</v>
      </c>
      <c r="AR341" s="36">
        <v>21827571.307303995</v>
      </c>
      <c r="AS341" s="36">
        <v>22633130.940641567</v>
      </c>
      <c r="AT341" s="36">
        <v>23438589.187294003</v>
      </c>
      <c r="AU341" s="36">
        <v>24243956.084544517</v>
      </c>
      <c r="AV341" s="36">
        <v>25049240.387080416</v>
      </c>
      <c r="AW341" s="36">
        <v>25854449.765518855</v>
      </c>
      <c r="AX341" s="36">
        <v>26659590.969165165</v>
      </c>
    </row>
    <row r="342" spans="4:50">
      <c r="D342" t="s">
        <v>661</v>
      </c>
      <c r="E342" t="s">
        <v>630</v>
      </c>
      <c r="G342" s="44"/>
      <c r="I342" s="44"/>
      <c r="K342" s="44"/>
      <c r="M342" s="44"/>
      <c r="O342" s="36">
        <v>379878.6392314905</v>
      </c>
      <c r="P342" s="36">
        <v>637224.45845243998</v>
      </c>
      <c r="Q342" s="36">
        <v>894570.27767338953</v>
      </c>
      <c r="R342" s="36">
        <v>1151916.0968943392</v>
      </c>
      <c r="S342" s="36">
        <v>1409261.9161152884</v>
      </c>
      <c r="T342" s="36">
        <v>1645741.6005786483</v>
      </c>
      <c r="U342" s="36">
        <v>2438770.5746014593</v>
      </c>
      <c r="V342" s="36">
        <v>3229147.596403487</v>
      </c>
      <c r="W342" s="36">
        <v>4017726.0205044276</v>
      </c>
      <c r="X342" s="36">
        <v>4805028.5411997037</v>
      </c>
      <c r="Y342" s="36">
        <v>5591393.2047096035</v>
      </c>
      <c r="Z342" s="36">
        <v>6275183.5182133177</v>
      </c>
      <c r="AA342" s="36">
        <v>6955701.6352522112</v>
      </c>
      <c r="AB342" s="36">
        <v>7633816.0479763066</v>
      </c>
      <c r="AC342" s="36">
        <v>8310112.8815320665</v>
      </c>
      <c r="AD342" s="36">
        <v>8985002.0229245294</v>
      </c>
      <c r="AE342" s="36">
        <v>9658778.7297079917</v>
      </c>
      <c r="AF342" s="36">
        <v>10331661.083183266</v>
      </c>
      <c r="AG342" s="36">
        <v>11003813.657700932</v>
      </c>
      <c r="AH342" s="36">
        <v>11675362.98239335</v>
      </c>
      <c r="AI342" s="36">
        <v>12346407.934324397</v>
      </c>
      <c r="AJ342" s="36">
        <v>13017026.901114751</v>
      </c>
      <c r="AK342" s="36">
        <v>13687282.826850647</v>
      </c>
      <c r="AL342" s="36">
        <v>14357226.836811695</v>
      </c>
      <c r="AM342" s="36">
        <v>15026900.887068005</v>
      </c>
      <c r="AN342" s="36">
        <v>15696339.731866203</v>
      </c>
      <c r="AO342" s="36">
        <v>16365572.405301573</v>
      </c>
      <c r="AP342" s="36">
        <v>17034623.351647593</v>
      </c>
      <c r="AQ342" s="36">
        <v>17703513.297845233</v>
      </c>
      <c r="AR342" s="36">
        <v>18372259.934257615</v>
      </c>
      <c r="AS342" s="36">
        <v>19040878.451110505</v>
      </c>
      <c r="AT342" s="36">
        <v>19709381.965092875</v>
      </c>
      <c r="AU342" s="36">
        <v>20377781.861490518</v>
      </c>
      <c r="AV342" s="36">
        <v>21046088.070741236</v>
      </c>
      <c r="AW342" s="36">
        <v>21714309.293622527</v>
      </c>
      <c r="AX342" s="36">
        <v>22382453.185868353</v>
      </c>
    </row>
    <row r="343" spans="4:50">
      <c r="D343" t="s">
        <v>660</v>
      </c>
      <c r="E343" t="s">
        <v>631</v>
      </c>
      <c r="G343" s="44"/>
      <c r="I343" s="44"/>
      <c r="K343" s="44"/>
      <c r="M343" s="44"/>
      <c r="O343" s="36">
        <v>154849.86057348011</v>
      </c>
      <c r="P343" s="36">
        <v>266700.4169084545</v>
      </c>
      <c r="Q343" s="36">
        <v>378550.97324342886</v>
      </c>
      <c r="R343" s="36">
        <v>490401.5295784034</v>
      </c>
      <c r="S343" s="36">
        <v>602252.08591337781</v>
      </c>
      <c r="T343" s="36">
        <v>705161.98893925233</v>
      </c>
      <c r="U343" s="36">
        <v>1046964.1285943519</v>
      </c>
      <c r="V343" s="36">
        <v>1388304.0436798877</v>
      </c>
      <c r="W343" s="36">
        <v>1729330.4704447493</v>
      </c>
      <c r="X343" s="36">
        <v>2070134.5123951843</v>
      </c>
      <c r="Y343" s="36">
        <v>2410775.089623129</v>
      </c>
      <c r="Z343" s="36">
        <v>2740390.2755530598</v>
      </c>
      <c r="AA343" s="36">
        <v>3069641.2795086745</v>
      </c>
      <c r="AB343" s="36">
        <v>3398624.7610852243</v>
      </c>
      <c r="AC343" s="36">
        <v>3727405.9535947465</v>
      </c>
      <c r="AD343" s="36">
        <v>4056030.4757708167</v>
      </c>
      <c r="AE343" s="36">
        <v>4384531.1885617971</v>
      </c>
      <c r="AF343" s="36">
        <v>4712932.3635172555</v>
      </c>
      <c r="AG343" s="36">
        <v>5041252.3170838226</v>
      </c>
      <c r="AH343" s="36">
        <v>5369505.1314322157</v>
      </c>
      <c r="AI343" s="36">
        <v>5697701.8111719443</v>
      </c>
      <c r="AJ343" s="36">
        <v>6025851.080521971</v>
      </c>
      <c r="AK343" s="36">
        <v>6353959.9448995627</v>
      </c>
      <c r="AL343" s="36">
        <v>6682034.0943375332</v>
      </c>
      <c r="AM343" s="36">
        <v>7010078.19837349</v>
      </c>
      <c r="AN343" s="36">
        <v>7338096.1250117775</v>
      </c>
      <c r="AO343" s="36">
        <v>7666091.1056274874</v>
      </c>
      <c r="AP343" s="36">
        <v>7994065.8607674688</v>
      </c>
      <c r="AQ343" s="36">
        <v>8322022.6972547835</v>
      </c>
      <c r="AR343" s="36">
        <v>8649963.5839539077</v>
      </c>
      <c r="AS343" s="36">
        <v>8977890.211474333</v>
      </c>
      <c r="AT343" s="36">
        <v>9305804.0396494605</v>
      </c>
      <c r="AU343" s="36">
        <v>9633706.3356146533</v>
      </c>
      <c r="AV343" s="36">
        <v>9961598.2045866903</v>
      </c>
      <c r="AW343" s="36">
        <v>10289480.614926238</v>
      </c>
      <c r="AX343" s="36">
        <v>10617354.418684911</v>
      </c>
    </row>
    <row r="344" spans="4:50">
      <c r="D344" t="s">
        <v>660</v>
      </c>
      <c r="E344" t="s">
        <v>632</v>
      </c>
      <c r="G344" s="44"/>
      <c r="I344" s="44"/>
      <c r="K344" s="44"/>
      <c r="M344" s="44"/>
      <c r="O344" s="36">
        <v>100076.23667671342</v>
      </c>
      <c r="P344" s="36">
        <v>164966.04016179813</v>
      </c>
      <c r="Q344" s="36">
        <v>229855.84364688283</v>
      </c>
      <c r="R344" s="36">
        <v>294745.64713196753</v>
      </c>
      <c r="S344" s="36">
        <v>359635.45061705221</v>
      </c>
      <c r="T344" s="36">
        <v>419210.14547022589</v>
      </c>
      <c r="U344" s="36">
        <v>620374.14488693501</v>
      </c>
      <c r="V344" s="36">
        <v>820580.71960390266</v>
      </c>
      <c r="W344" s="36">
        <v>1020137.9531108657</v>
      </c>
      <c r="X344" s="36">
        <v>1219234.5518350846</v>
      </c>
      <c r="Y344" s="36">
        <v>1417992.5593784098</v>
      </c>
      <c r="Z344" s="36">
        <v>1596711.9961859439</v>
      </c>
      <c r="AA344" s="36">
        <v>1774761.2805069247</v>
      </c>
      <c r="AB344" s="36">
        <v>1952318.28129884</v>
      </c>
      <c r="AC344" s="36">
        <v>2129503.0381829501</v>
      </c>
      <c r="AD344" s="36">
        <v>2306399.4968509618</v>
      </c>
      <c r="AE344" s="36">
        <v>2483068.1266500875</v>
      </c>
      <c r="AF344" s="36">
        <v>2659553.5910739731</v>
      </c>
      <c r="AG344" s="36">
        <v>2835889.5952841057</v>
      </c>
      <c r="AH344" s="36">
        <v>3012102.0527039561</v>
      </c>
      <c r="AI344" s="36">
        <v>3188211.2135571674</v>
      </c>
      <c r="AJ344" s="36">
        <v>3364233.1317877737</v>
      </c>
      <c r="AK344" s="36">
        <v>3540180.698472565</v>
      </c>
      <c r="AL344" s="36">
        <v>3716064.3841727185</v>
      </c>
      <c r="AM344" s="36">
        <v>3891892.7815766623</v>
      </c>
      <c r="AN344" s="36">
        <v>4067673.0084247417</v>
      </c>
      <c r="AO344" s="36">
        <v>4243411.0109586827</v>
      </c>
      <c r="AP344" s="36">
        <v>4419111.7954153754</v>
      </c>
      <c r="AQ344" s="36">
        <v>4594779.6067144563</v>
      </c>
      <c r="AR344" s="36">
        <v>4770418.0678782463</v>
      </c>
      <c r="AS344" s="36">
        <v>4946030.2898958568</v>
      </c>
      <c r="AT344" s="36">
        <v>5121618.9590918487</v>
      </c>
      <c r="AU344" s="36">
        <v>5297186.4071958903</v>
      </c>
      <c r="AV344" s="36">
        <v>5472734.6679818295</v>
      </c>
      <c r="AW344" s="36">
        <v>5648265.5233865781</v>
      </c>
      <c r="AX344" s="36">
        <v>5823780.541320012</v>
      </c>
    </row>
    <row r="345" spans="4:50">
      <c r="D345" t="s">
        <v>661</v>
      </c>
      <c r="E345" t="s">
        <v>634</v>
      </c>
      <c r="G345" s="44"/>
      <c r="I345" s="44"/>
      <c r="K345" s="44"/>
      <c r="M345" s="44"/>
      <c r="O345" s="36">
        <v>394055.25155687763</v>
      </c>
      <c r="P345" s="36">
        <v>665352.50472303643</v>
      </c>
      <c r="Q345" s="36">
        <v>936649.75788919511</v>
      </c>
      <c r="R345" s="36">
        <v>1207947.0110553543</v>
      </c>
      <c r="S345" s="36">
        <v>1479244.2642215127</v>
      </c>
      <c r="T345" s="36">
        <v>1728624.521308688</v>
      </c>
      <c r="U345" s="36">
        <v>2562848.1979389219</v>
      </c>
      <c r="V345" s="36">
        <v>3394708.1121634291</v>
      </c>
      <c r="W345" s="36">
        <v>4224964.8837688742</v>
      </c>
      <c r="X345" s="36">
        <v>5054084.4054344408</v>
      </c>
      <c r="Y345" s="36">
        <v>5882367.9876213977</v>
      </c>
      <c r="Z345" s="36">
        <v>6887205.1222461984</v>
      </c>
      <c r="AA345" s="36">
        <v>7897187.0436814046</v>
      </c>
      <c r="AB345" s="36">
        <v>8910948.2449941542</v>
      </c>
      <c r="AC345" s="36">
        <v>9927567.1773241796</v>
      </c>
      <c r="AD345" s="36">
        <v>10946399.386317952</v>
      </c>
      <c r="AE345" s="36">
        <v>11966980.646435453</v>
      </c>
      <c r="AF345" s="36">
        <v>12988968.074291732</v>
      </c>
      <c r="AG345" s="36">
        <v>14012102.914045788</v>
      </c>
      <c r="AH345" s="36">
        <v>15036186.227333659</v>
      </c>
      <c r="AI345" s="36">
        <v>16061062.552397626</v>
      </c>
      <c r="AJ345" s="36">
        <v>17086608.642482337</v>
      </c>
      <c r="AK345" s="36">
        <v>18112725.532287885</v>
      </c>
      <c r="AL345" s="36">
        <v>19139332.838907238</v>
      </c>
      <c r="AM345" s="36">
        <v>20166364.595935736</v>
      </c>
      <c r="AN345" s="36">
        <v>21193766.160202779</v>
      </c>
      <c r="AO345" s="36">
        <v>22221491.88217843</v>
      </c>
      <c r="AP345" s="36">
        <v>23249503.328786563</v>
      </c>
      <c r="AQ345" s="36">
        <v>24277767.911613379</v>
      </c>
      <c r="AR345" s="36">
        <v>25306257.816575024</v>
      </c>
      <c r="AS345" s="36">
        <v>26334949.160486568</v>
      </c>
      <c r="AT345" s="36">
        <v>27363821.320329506</v>
      </c>
      <c r="AU345" s="36">
        <v>28392856.395324081</v>
      </c>
      <c r="AV345" s="36">
        <v>29422038.772109002</v>
      </c>
      <c r="AW345" s="36">
        <v>30451354.770685107</v>
      </c>
      <c r="AX345" s="36">
        <v>31480792.354146942</v>
      </c>
    </row>
    <row r="346" spans="4:50">
      <c r="D346" t="s">
        <v>661</v>
      </c>
      <c r="E346" t="s">
        <v>635</v>
      </c>
      <c r="G346" s="44"/>
      <c r="I346" s="44"/>
      <c r="K346" s="44"/>
      <c r="M346" s="44"/>
      <c r="O346" s="36">
        <v>545616.52196754946</v>
      </c>
      <c r="P346" s="36">
        <v>915718.57076887426</v>
      </c>
      <c r="Q346" s="36">
        <v>1285820.6195701987</v>
      </c>
      <c r="R346" s="36">
        <v>1655922.6683715237</v>
      </c>
      <c r="S346" s="36">
        <v>2026024.7171728481</v>
      </c>
      <c r="T346" s="36">
        <v>2366126.9628201346</v>
      </c>
      <c r="U346" s="36">
        <v>3506424.2689797375</v>
      </c>
      <c r="V346" s="36">
        <v>4642955.1997273266</v>
      </c>
      <c r="W346" s="36">
        <v>5776931.7125995215</v>
      </c>
      <c r="X346" s="36">
        <v>6909096.1523968168</v>
      </c>
      <c r="Y346" s="36">
        <v>8039928.6216498073</v>
      </c>
      <c r="Z346" s="36">
        <v>9020240.6529115438</v>
      </c>
      <c r="AA346" s="36">
        <v>9995759.77828563</v>
      </c>
      <c r="AB346" s="36">
        <v>10967758.110001257</v>
      </c>
      <c r="AC346" s="36">
        <v>11937094.167006038</v>
      </c>
      <c r="AD346" s="36">
        <v>12904368.325793529</v>
      </c>
      <c r="AE346" s="36">
        <v>13870013.060906595</v>
      </c>
      <c r="AF346" s="36">
        <v>14834347.804005869</v>
      </c>
      <c r="AG346" s="36">
        <v>15797613.613164237</v>
      </c>
      <c r="AH346" s="36">
        <v>16759995.820231397</v>
      </c>
      <c r="AI346" s="36">
        <v>17721639.254060581</v>
      </c>
      <c r="AJ346" s="36">
        <v>18682658.73186795</v>
      </c>
      <c r="AK346" s="36">
        <v>19643146.450159609</v>
      </c>
      <c r="AL346" s="36">
        <v>20603177.294003241</v>
      </c>
      <c r="AM346" s="36">
        <v>21562812.717989851</v>
      </c>
      <c r="AN346" s="36">
        <v>22522103.62793608</v>
      </c>
      <c r="AO346" s="36">
        <v>23481092.551143628</v>
      </c>
      <c r="AP346" s="36">
        <v>24439815.292034235</v>
      </c>
      <c r="AQ346" s="36">
        <v>25398302.210116718</v>
      </c>
      <c r="AR346" s="36">
        <v>26356579.217113189</v>
      </c>
      <c r="AS346" s="36">
        <v>27314668.562703144</v>
      </c>
      <c r="AT346" s="36">
        <v>28272589.459380843</v>
      </c>
      <c r="AU346" s="36">
        <v>29230358.583590947</v>
      </c>
      <c r="AV346" s="36">
        <v>30187990.480809055</v>
      </c>
      <c r="AW346" s="36">
        <v>31145497.895382304</v>
      </c>
      <c r="AX346" s="36">
        <v>32102892.04094436</v>
      </c>
    </row>
    <row r="347" spans="4:50">
      <c r="D347" t="s">
        <v>661</v>
      </c>
      <c r="E347" t="s">
        <v>636</v>
      </c>
      <c r="G347" s="44"/>
      <c r="I347" s="44"/>
      <c r="K347" s="44"/>
      <c r="M347" s="44"/>
      <c r="O347" s="36">
        <v>477985.43706909806</v>
      </c>
      <c r="P347" s="36">
        <v>802773.17722468777</v>
      </c>
      <c r="Q347" s="36">
        <v>1127560.9173802778</v>
      </c>
      <c r="R347" s="36">
        <v>1452348.6575358678</v>
      </c>
      <c r="S347" s="36">
        <v>1777136.3976914571</v>
      </c>
      <c r="T347" s="36">
        <v>2075607.7879462119</v>
      </c>
      <c r="U347" s="36">
        <v>3076058.4147629249</v>
      </c>
      <c r="V347" s="36">
        <v>4073259.4916998567</v>
      </c>
      <c r="W347" s="36">
        <v>5068256.6703547826</v>
      </c>
      <c r="X347" s="36">
        <v>6061690.4302851949</v>
      </c>
      <c r="Y347" s="36">
        <v>7053974.9939065231</v>
      </c>
      <c r="Z347" s="36">
        <v>8060077.6536591798</v>
      </c>
      <c r="AA347" s="36">
        <v>9066367.3877691347</v>
      </c>
      <c r="AB347" s="36">
        <v>10072794.54377434</v>
      </c>
      <c r="AC347" s="36">
        <v>11079325.612383332</v>
      </c>
      <c r="AD347" s="36">
        <v>12085937.159994587</v>
      </c>
      <c r="AE347" s="36">
        <v>13092612.306473376</v>
      </c>
      <c r="AF347" s="36">
        <v>14099338.58391943</v>
      </c>
      <c r="AG347" s="36">
        <v>15106106.583472002</v>
      </c>
      <c r="AH347" s="36">
        <v>16112909.071349036</v>
      </c>
      <c r="AI347" s="36">
        <v>17119740.394661594</v>
      </c>
      <c r="AJ347" s="36">
        <v>18126596.071920257</v>
      </c>
      <c r="AK347" s="36">
        <v>19133472.504556142</v>
      </c>
      <c r="AL347" s="36">
        <v>20140366.769691922</v>
      </c>
      <c r="AM347" s="36">
        <v>21147276.468662065</v>
      </c>
      <c r="AN347" s="36">
        <v>22154199.614535663</v>
      </c>
      <c r="AO347" s="36">
        <v>23161134.547407869</v>
      </c>
      <c r="AP347" s="36">
        <v>24168079.869778015</v>
      </c>
      <c r="AQ347" s="36">
        <v>25175034.396668609</v>
      </c>
      <c r="AR347" s="36">
        <v>26181997.116706003</v>
      </c>
      <c r="AS347" s="36">
        <v>27188967.161451586</v>
      </c>
      <c r="AT347" s="36">
        <v>28195943.781012673</v>
      </c>
      <c r="AU347" s="36">
        <v>29202926.324482478</v>
      </c>
      <c r="AV347" s="36">
        <v>30209914.224129051</v>
      </c>
      <c r="AW347" s="36">
        <v>31216906.982521322</v>
      </c>
      <c r="AX347" s="36">
        <v>32223904.161974225</v>
      </c>
    </row>
    <row r="348" spans="4:50">
      <c r="D348" t="s">
        <v>660</v>
      </c>
      <c r="E348" t="s">
        <v>637</v>
      </c>
      <c r="G348" s="44"/>
      <c r="I348" s="44"/>
      <c r="K348" s="44"/>
      <c r="M348" s="44"/>
      <c r="O348" s="36">
        <v>303784.03620795859</v>
      </c>
      <c r="P348" s="36">
        <v>527732.50809983502</v>
      </c>
      <c r="Q348" s="36">
        <v>751680.97999171156</v>
      </c>
      <c r="R348" s="36">
        <v>975629.45188358799</v>
      </c>
      <c r="S348" s="36">
        <v>1199577.9237754641</v>
      </c>
      <c r="T348" s="36">
        <v>1405703.6693153668</v>
      </c>
      <c r="U348" s="36">
        <v>2088310.9261562105</v>
      </c>
      <c r="V348" s="36">
        <v>2770413.9335880703</v>
      </c>
      <c r="W348" s="36">
        <v>3452174.9507605783</v>
      </c>
      <c r="X348" s="36">
        <v>4133693.3641888769</v>
      </c>
      <c r="Y348" s="36">
        <v>4815033.4509008294</v>
      </c>
      <c r="Z348" s="36">
        <v>5020117.2355752802</v>
      </c>
      <c r="AA348" s="36">
        <v>5210838.8322949577</v>
      </c>
      <c r="AB348" s="36">
        <v>5391010.1905042334</v>
      </c>
      <c r="AC348" s="36">
        <v>5563203.9061975423</v>
      </c>
      <c r="AD348" s="36">
        <v>5729219.0382853243</v>
      </c>
      <c r="AE348" s="36">
        <v>5890351.5188839026</v>
      </c>
      <c r="AF348" s="36">
        <v>6047558.5413236357</v>
      </c>
      <c r="AG348" s="36">
        <v>6201562.4484653883</v>
      </c>
      <c r="AH348" s="36">
        <v>6352918.5966882808</v>
      </c>
      <c r="AI348" s="36">
        <v>6502060.9730683146</v>
      </c>
      <c r="AJ348" s="36">
        <v>6649333.6332738511</v>
      </c>
      <c r="AK348" s="36">
        <v>6795012.8488572305</v>
      </c>
      <c r="AL348" s="36">
        <v>6939323.0167588554</v>
      </c>
      <c r="AM348" s="36">
        <v>7082448.2888079984</v>
      </c>
      <c r="AN348" s="36">
        <v>7224541.2068912927</v>
      </c>
      <c r="AO348" s="36">
        <v>7365729.2062462782</v>
      </c>
      <c r="AP348" s="36">
        <v>7506119.5766563863</v>
      </c>
      <c r="AQ348" s="36">
        <v>7645803.2919445699</v>
      </c>
      <c r="AR348" s="36">
        <v>7784857.9979132302</v>
      </c>
      <c r="AS348" s="36">
        <v>7923350.3668664386</v>
      </c>
      <c r="AT348" s="36">
        <v>8061337.9700271618</v>
      </c>
      <c r="AU348" s="36">
        <v>8198870.7792158732</v>
      </c>
      <c r="AV348" s="36">
        <v>8335992.380695248</v>
      </c>
      <c r="AW348" s="36">
        <v>8472740.9635540284</v>
      </c>
      <c r="AX348" s="36">
        <v>8609150.1300198268</v>
      </c>
    </row>
    <row r="349" spans="4:50">
      <c r="D349" t="s">
        <v>660</v>
      </c>
      <c r="E349" t="s">
        <v>638</v>
      </c>
      <c r="G349" s="44"/>
      <c r="I349" s="44"/>
      <c r="K349" s="44"/>
      <c r="M349" s="44"/>
      <c r="O349" s="36">
        <v>113828.74240882891</v>
      </c>
      <c r="P349" s="36">
        <v>199588.35681820949</v>
      </c>
      <c r="Q349" s="36">
        <v>285347.97122758999</v>
      </c>
      <c r="R349" s="36">
        <v>371107.58563697053</v>
      </c>
      <c r="S349" s="36">
        <v>456867.20004635106</v>
      </c>
      <c r="T349" s="36">
        <v>535833.0596966187</v>
      </c>
      <c r="U349" s="36">
        <v>796531.87498481106</v>
      </c>
      <c r="V349" s="36">
        <v>1057206.0886473455</v>
      </c>
      <c r="W349" s="36">
        <v>1317863.6170819169</v>
      </c>
      <c r="X349" s="36">
        <v>1578509.3092180372</v>
      </c>
      <c r="Y349" s="36">
        <v>1839146.3010422844</v>
      </c>
      <c r="Z349" s="36">
        <v>2220192.4137643389</v>
      </c>
      <c r="AA349" s="36">
        <v>2604858.9360750765</v>
      </c>
      <c r="AB349" s="36">
        <v>2992184.9546120316</v>
      </c>
      <c r="AC349" s="36">
        <v>3381521.9713026681</v>
      </c>
      <c r="AD349" s="36">
        <v>3772416.4807235445</v>
      </c>
      <c r="AE349" s="36">
        <v>4164541.8052768628</v>
      </c>
      <c r="AF349" s="36">
        <v>4557656.6563844234</v>
      </c>
      <c r="AG349" s="36">
        <v>4951578.9463985721</v>
      </c>
      <c r="AH349" s="36">
        <v>5346168.6814989857</v>
      </c>
      <c r="AI349" s="36">
        <v>5741316.462548404</v>
      </c>
      <c r="AJ349" s="36">
        <v>6136935.560251493</v>
      </c>
      <c r="AK349" s="36">
        <v>6532956.3322821474</v>
      </c>
      <c r="AL349" s="36">
        <v>6929322.2128276071</v>
      </c>
      <c r="AM349" s="36">
        <v>7325986.781032593</v>
      </c>
      <c r="AN349" s="36">
        <v>7722911.5842525139</v>
      </c>
      <c r="AO349" s="36">
        <v>8120064.4987080786</v>
      </c>
      <c r="AP349" s="36">
        <v>8517418.4788709935</v>
      </c>
      <c r="AQ349" s="36">
        <v>8914950.5921280719</v>
      </c>
      <c r="AR349" s="36">
        <v>9312641.2655835636</v>
      </c>
      <c r="AS349" s="36">
        <v>9710473.6925329641</v>
      </c>
      <c r="AT349" s="36">
        <v>10108433.360465489</v>
      </c>
      <c r="AU349" s="36">
        <v>10506507.672522042</v>
      </c>
      <c r="AV349" s="36">
        <v>10904685.641510144</v>
      </c>
      <c r="AW349" s="36">
        <v>11302957.640752908</v>
      </c>
      <c r="AX349" s="36">
        <v>11701315.199825937</v>
      </c>
    </row>
    <row r="350" spans="4:50">
      <c r="D350" t="s">
        <v>660</v>
      </c>
      <c r="E350" t="s">
        <v>639</v>
      </c>
      <c r="G350" s="44"/>
      <c r="I350" s="44"/>
      <c r="K350" s="44"/>
      <c r="M350" s="44"/>
      <c r="O350" s="36">
        <v>126971.76490825023</v>
      </c>
      <c r="P350" s="36">
        <v>219722.51362077217</v>
      </c>
      <c r="Q350" s="36">
        <v>312473.26233329403</v>
      </c>
      <c r="R350" s="36">
        <v>405224.01104581595</v>
      </c>
      <c r="S350" s="36">
        <v>497974.75975833787</v>
      </c>
      <c r="T350" s="36">
        <v>583329.55212003202</v>
      </c>
      <c r="U350" s="36">
        <v>866362.7978489357</v>
      </c>
      <c r="V350" s="36">
        <v>1149109.3797046018</v>
      </c>
      <c r="W350" s="36">
        <v>1431661.5413971334</v>
      </c>
      <c r="X350" s="36">
        <v>1714075.7837827939</v>
      </c>
      <c r="Y350" s="36">
        <v>1996388.6481077194</v>
      </c>
      <c r="Z350" s="36">
        <v>2281225.3843616182</v>
      </c>
      <c r="AA350" s="36">
        <v>2566117.8772252141</v>
      </c>
      <c r="AB350" s="36">
        <v>2851051.3280217289</v>
      </c>
      <c r="AC350" s="36">
        <v>3136015.749468497</v>
      </c>
      <c r="AD350" s="36">
        <v>3421004.157293641</v>
      </c>
      <c r="AE350" s="36">
        <v>3706011.5204544337</v>
      </c>
      <c r="AF350" s="36">
        <v>3991034.1229533516</v>
      </c>
      <c r="AG350" s="36">
        <v>4276069.1605248377</v>
      </c>
      <c r="AH350" s="36">
        <v>4561114.4771750458</v>
      </c>
      <c r="AI350" s="36">
        <v>4846168.3880877038</v>
      </c>
      <c r="AJ350" s="36">
        <v>5131229.557576512</v>
      </c>
      <c r="AK350" s="36">
        <v>5416296.9131053649</v>
      </c>
      <c r="AL350" s="36">
        <v>5701369.5835247887</v>
      </c>
      <c r="AM350" s="36">
        <v>5986446.8539240863</v>
      </c>
      <c r="AN350" s="36">
        <v>6271528.1321080858</v>
      </c>
      <c r="AO350" s="36">
        <v>6556612.9233501563</v>
      </c>
      <c r="AP350" s="36">
        <v>6841700.8111319663</v>
      </c>
      <c r="AQ350" s="36">
        <v>7126791.4422766929</v>
      </c>
      <c r="AR350" s="36">
        <v>7411884.5153492959</v>
      </c>
      <c r="AS350" s="36">
        <v>7696979.7715158369</v>
      </c>
      <c r="AT350" s="36">
        <v>7982076.987274426</v>
      </c>
      <c r="AU350" s="36">
        <v>8267175.9686254216</v>
      </c>
      <c r="AV350" s="36">
        <v>8552276.5463590678</v>
      </c>
      <c r="AW350" s="36">
        <v>8837378.5722184274</v>
      </c>
      <c r="AX350" s="36">
        <v>9122481.9157535788</v>
      </c>
    </row>
    <row r="351" spans="4:50">
      <c r="D351" t="s">
        <v>661</v>
      </c>
      <c r="E351" t="s">
        <v>640</v>
      </c>
      <c r="G351" s="44"/>
      <c r="I351" s="44"/>
      <c r="K351" s="44"/>
      <c r="M351" s="44"/>
      <c r="O351" s="36">
        <v>197029.53943715748</v>
      </c>
      <c r="P351" s="36">
        <v>330081.47887619736</v>
      </c>
      <c r="Q351" s="36">
        <v>463133.41831523721</v>
      </c>
      <c r="R351" s="36">
        <v>596185.35775427718</v>
      </c>
      <c r="S351" s="36">
        <v>729237.29719331686</v>
      </c>
      <c r="T351" s="36">
        <v>851493.26885295624</v>
      </c>
      <c r="U351" s="36">
        <v>1261677.4277853181</v>
      </c>
      <c r="V351" s="36">
        <v>1670448.3394398009</v>
      </c>
      <c r="W351" s="36">
        <v>2078260.7634996974</v>
      </c>
      <c r="X351" s="36">
        <v>2485393.2480792524</v>
      </c>
      <c r="Y351" s="36">
        <v>2892025.9408058887</v>
      </c>
      <c r="Z351" s="36">
        <v>3306454.558594414</v>
      </c>
      <c r="AA351" s="36">
        <v>3721018.2731891214</v>
      </c>
      <c r="AB351" s="36">
        <v>4135681.2277834509</v>
      </c>
      <c r="AC351" s="36">
        <v>4550419.2234528698</v>
      </c>
      <c r="AD351" s="36">
        <v>4965215.3374893814</v>
      </c>
      <c r="AE351" s="36">
        <v>5380057.3798081279</v>
      </c>
      <c r="AF351" s="36">
        <v>5794936.3466443457</v>
      </c>
      <c r="AG351" s="36">
        <v>6209845.4433359774</v>
      </c>
      <c r="AH351" s="36">
        <v>6624779.445966363</v>
      </c>
      <c r="AI351" s="36">
        <v>7039734.2722697537</v>
      </c>
      <c r="AJ351" s="36">
        <v>7454706.6859131996</v>
      </c>
      <c r="AK351" s="36">
        <v>7869694.0881698029</v>
      </c>
      <c r="AL351" s="36">
        <v>8284694.3682671627</v>
      </c>
      <c r="AM351" s="36">
        <v>8699705.7939953804</v>
      </c>
      <c r="AN351" s="36">
        <v>9114726.9304810464</v>
      </c>
      <c r="AO351" s="36">
        <v>9529756.5790144857</v>
      </c>
      <c r="AP351" s="36">
        <v>9944793.7303826846</v>
      </c>
      <c r="AQ351" s="36">
        <v>10359837.528847439</v>
      </c>
      <c r="AR351" s="36">
        <v>10774887.244039524</v>
      </c>
      <c r="AS351" s="36">
        <v>11189942.248811102</v>
      </c>
      <c r="AT351" s="36">
        <v>11605002.001622923</v>
      </c>
      <c r="AU351" s="36">
        <v>12020066.032418944</v>
      </c>
      <c r="AV351" s="36">
        <v>12435133.931208359</v>
      </c>
      <c r="AW351" s="36">
        <v>12850205.338768478</v>
      </c>
      <c r="AX351" s="36">
        <v>13265279.939022548</v>
      </c>
    </row>
    <row r="352" spans="4:50">
      <c r="D352" t="s">
        <v>661</v>
      </c>
      <c r="E352" t="s">
        <v>641</v>
      </c>
      <c r="G352" s="44"/>
      <c r="I352" s="44"/>
      <c r="K352" s="44"/>
      <c r="M352" s="44"/>
      <c r="O352" s="36">
        <v>246646.28905081016</v>
      </c>
      <c r="P352" s="36">
        <v>413366.28208919673</v>
      </c>
      <c r="Q352" s="36">
        <v>580086.2751275833</v>
      </c>
      <c r="R352" s="36">
        <v>746806.26816596964</v>
      </c>
      <c r="S352" s="36">
        <v>913526.26120435633</v>
      </c>
      <c r="T352" s="36">
        <v>1066721.437674036</v>
      </c>
      <c r="U352" s="36">
        <v>1580633.0585201415</v>
      </c>
      <c r="V352" s="36">
        <v>2092790.0039184438</v>
      </c>
      <c r="W352" s="36">
        <v>2603756.8995104805</v>
      </c>
      <c r="X352" s="36">
        <v>3113879.5881963195</v>
      </c>
      <c r="Y352" s="36">
        <v>3623381.7396930531</v>
      </c>
      <c r="Z352" s="36">
        <v>4297278.8313342026</v>
      </c>
      <c r="AA352" s="36">
        <v>4975997.8034348981</v>
      </c>
      <c r="AB352" s="36">
        <v>5658258.8534611193</v>
      </c>
      <c r="AC352" s="36">
        <v>6343198.2724574553</v>
      </c>
      <c r="AD352" s="36">
        <v>7030212.0544720804</v>
      </c>
      <c r="AE352" s="36">
        <v>7718865.1105221584</v>
      </c>
      <c r="AF352" s="36">
        <v>8408836.0778856482</v>
      </c>
      <c r="AG352" s="36">
        <v>9099882.4412203915</v>
      </c>
      <c r="AH352" s="36">
        <v>9791817.7482893821</v>
      </c>
      <c r="AI352" s="36">
        <v>10484496.294704955</v>
      </c>
      <c r="AJ352" s="36">
        <v>11177802.569146026</v>
      </c>
      <c r="AK352" s="36">
        <v>11871643.817750577</v>
      </c>
      <c r="AL352" s="36">
        <v>12565944.702747978</v>
      </c>
      <c r="AM352" s="36">
        <v>13260643.398035541</v>
      </c>
      <c r="AN352" s="36">
        <v>13955688.690055508</v>
      </c>
      <c r="AO352" s="36">
        <v>14651037.794415716</v>
      </c>
      <c r="AP352" s="36">
        <v>15346654.690245811</v>
      </c>
      <c r="AQ352" s="36">
        <v>16042508.83450455</v>
      </c>
      <c r="AR352" s="36">
        <v>16738574.15882555</v>
      </c>
      <c r="AS352" s="36">
        <v>17434828.279023267</v>
      </c>
      <c r="AT352" s="36">
        <v>18131251.866458099</v>
      </c>
      <c r="AU352" s="36">
        <v>18827828.143871199</v>
      </c>
      <c r="AV352" s="36">
        <v>19524542.477855101</v>
      </c>
      <c r="AW352" s="36">
        <v>20221382.047019299</v>
      </c>
      <c r="AX352" s="36">
        <v>20918335.569940262</v>
      </c>
    </row>
    <row r="353" spans="4:50">
      <c r="D353" t="s">
        <v>661</v>
      </c>
      <c r="E353" t="s">
        <v>642</v>
      </c>
      <c r="G353" s="44"/>
      <c r="I353" s="44"/>
      <c r="K353" s="44"/>
      <c r="M353" s="44"/>
      <c r="O353" s="36">
        <v>382400.81920789642</v>
      </c>
      <c r="P353" s="36">
        <v>640832.75868824462</v>
      </c>
      <c r="Q353" s="36">
        <v>899264.69816859241</v>
      </c>
      <c r="R353" s="36">
        <v>1157696.637648941</v>
      </c>
      <c r="S353" s="36">
        <v>1416128.5771292893</v>
      </c>
      <c r="T353" s="36">
        <v>1653594.8120479297</v>
      </c>
      <c r="U353" s="36">
        <v>2450228.131377033</v>
      </c>
      <c r="V353" s="36">
        <v>3244136.4558772664</v>
      </c>
      <c r="W353" s="36">
        <v>4036196.6439758432</v>
      </c>
      <c r="X353" s="36">
        <v>4826945.7865151064</v>
      </c>
      <c r="Y353" s="36">
        <v>5616731.2405081168</v>
      </c>
      <c r="Z353" s="36">
        <v>6367132.3737476254</v>
      </c>
      <c r="AA353" s="36">
        <v>7116157.0509265838</v>
      </c>
      <c r="AB353" s="36">
        <v>7864170.6050243201</v>
      </c>
      <c r="AC353" s="36">
        <v>8611419.5907690618</v>
      </c>
      <c r="AD353" s="36">
        <v>9358076.4279584233</v>
      </c>
      <c r="AE353" s="36">
        <v>10104265.317279739</v>
      </c>
      <c r="AF353" s="36">
        <v>10850077.995073246</v>
      </c>
      <c r="AG353" s="36">
        <v>11595583.689872347</v>
      </c>
      <c r="AH353" s="36">
        <v>12340835.626412457</v>
      </c>
      <c r="AI353" s="36">
        <v>13085875.397530468</v>
      </c>
      <c r="AJ353" s="36">
        <v>13830735.977137536</v>
      </c>
      <c r="AK353" s="36">
        <v>14575443.842790827</v>
      </c>
      <c r="AL353" s="36">
        <v>15320020.500442637</v>
      </c>
      <c r="AM353" s="36">
        <v>16064483.598998679</v>
      </c>
      <c r="AN353" s="36">
        <v>16808847.757903099</v>
      </c>
      <c r="AO353" s="36">
        <v>17553125.190406781</v>
      </c>
      <c r="AP353" s="36">
        <v>18297326.179042809</v>
      </c>
      <c r="AQ353" s="36">
        <v>19041459.442640822</v>
      </c>
      <c r="AR353" s="36">
        <v>19785532.422687829</v>
      </c>
      <c r="AS353" s="36">
        <v>20529551.508983031</v>
      </c>
      <c r="AT353" s="36">
        <v>21273522.219088186</v>
      </c>
      <c r="AU353" s="36">
        <v>22017449.342246756</v>
      </c>
      <c r="AV353" s="36">
        <v>22761337.055717502</v>
      </c>
      <c r="AW353" s="36">
        <v>23505189.019500077</v>
      </c>
      <c r="AX353" s="36">
        <v>24249008.453994438</v>
      </c>
    </row>
    <row r="354" spans="4:50">
      <c r="D354" t="s">
        <v>661</v>
      </c>
      <c r="E354" t="s">
        <v>643</v>
      </c>
      <c r="G354" s="44"/>
      <c r="I354" s="44"/>
      <c r="K354" s="44"/>
      <c r="M354" s="44"/>
      <c r="O354" s="36">
        <v>692978.75686731818</v>
      </c>
      <c r="P354" s="36">
        <v>1161274.4084632418</v>
      </c>
      <c r="Q354" s="36">
        <v>1629570.0600591653</v>
      </c>
      <c r="R354" s="36">
        <v>2097865.7116550887</v>
      </c>
      <c r="S354" s="36">
        <v>2566161.3632510123</v>
      </c>
      <c r="T354" s="36">
        <v>2996465.238110621</v>
      </c>
      <c r="U354" s="36">
        <v>4440029.2890613694</v>
      </c>
      <c r="V354" s="36">
        <v>5878652.5524860378</v>
      </c>
      <c r="W354" s="36">
        <v>7313924.8923848905</v>
      </c>
      <c r="X354" s="36">
        <v>8746820.1277560741</v>
      </c>
      <c r="Y354" s="36">
        <v>10177968.064270796</v>
      </c>
      <c r="Z354" s="36">
        <v>11524063.916093271</v>
      </c>
      <c r="AA354" s="36">
        <v>12867253.659200873</v>
      </c>
      <c r="AB354" s="36">
        <v>14208308.620325694</v>
      </c>
      <c r="AC354" s="36">
        <v>15547749.349934196</v>
      </c>
      <c r="AD354" s="36">
        <v>16885939.877573587</v>
      </c>
      <c r="AE354" s="36">
        <v>18223142.427887455</v>
      </c>
      <c r="AF354" s="36">
        <v>19559550.683613237</v>
      </c>
      <c r="AG354" s="36">
        <v>20895310.806804378</v>
      </c>
      <c r="AH354" s="36">
        <v>22230535.170730066</v>
      </c>
      <c r="AI354" s="36">
        <v>23565311.590257198</v>
      </c>
      <c r="AJ354" s="36">
        <v>24899709.683133382</v>
      </c>
      <c r="AK354" s="36">
        <v>26233785.351368029</v>
      </c>
      <c r="AL354" s="36">
        <v>27567584.000431817</v>
      </c>
      <c r="AM354" s="36">
        <v>28901142.892421406</v>
      </c>
      <c r="AN354" s="36">
        <v>30234492.893337689</v>
      </c>
      <c r="AO354" s="36">
        <v>31567659.788990971</v>
      </c>
      <c r="AP354" s="36">
        <v>32900665.28887118</v>
      </c>
      <c r="AQ354" s="36">
        <v>34233527.801024534</v>
      </c>
      <c r="AR354" s="36">
        <v>35566263.036646567</v>
      </c>
      <c r="AS354" s="36">
        <v>36898884.486506529</v>
      </c>
      <c r="AT354" s="36">
        <v>38231403.799820654</v>
      </c>
      <c r="AU354" s="36">
        <v>39563831.088108383</v>
      </c>
      <c r="AV354" s="36">
        <v>40896175.170807131</v>
      </c>
      <c r="AW354" s="36">
        <v>42228443.77526626</v>
      </c>
      <c r="AX354" s="36">
        <v>43560643.700709291</v>
      </c>
    </row>
    <row r="355" spans="4:50">
      <c r="D355" t="s">
        <v>661</v>
      </c>
      <c r="E355" t="s">
        <v>644</v>
      </c>
      <c r="G355" s="44"/>
      <c r="I355" s="44"/>
      <c r="K355" s="44"/>
      <c r="M355" s="44"/>
      <c r="O355" s="36">
        <v>386096.948165162</v>
      </c>
      <c r="P355" s="36">
        <v>649739.24039139342</v>
      </c>
      <c r="Q355" s="36">
        <v>913381.53261762462</v>
      </c>
      <c r="R355" s="36">
        <v>1177023.8248438558</v>
      </c>
      <c r="S355" s="36">
        <v>1440666.1170700872</v>
      </c>
      <c r="T355" s="36">
        <v>1682970.2574427899</v>
      </c>
      <c r="U355" s="36">
        <v>2494540.6045647012</v>
      </c>
      <c r="V355" s="36">
        <v>3303601.164765053</v>
      </c>
      <c r="W355" s="36">
        <v>4110959.5461131809</v>
      </c>
      <c r="X355" s="36">
        <v>4917110.4224181846</v>
      </c>
      <c r="Y355" s="36">
        <v>5722373.7179893805</v>
      </c>
      <c r="Z355" s="36">
        <v>6074908.8913280638</v>
      </c>
      <c r="AA355" s="36">
        <v>6413648.5635999637</v>
      </c>
      <c r="AB355" s="36">
        <v>6742254.2766809994</v>
      </c>
      <c r="AC355" s="36">
        <v>7063197.1199969333</v>
      </c>
      <c r="AD355" s="36">
        <v>7378205.167236547</v>
      </c>
      <c r="AE355" s="36">
        <v>7688523.2170997066</v>
      </c>
      <c r="AF355" s="36">
        <v>7995070.695070303</v>
      </c>
      <c r="AG355" s="36">
        <v>8298541.4426256241</v>
      </c>
      <c r="AH355" s="36">
        <v>8599468.9035240132</v>
      </c>
      <c r="AI355" s="36">
        <v>8898269.941072708</v>
      </c>
      <c r="AJ355" s="36">
        <v>9195275.035582561</v>
      </c>
      <c r="AK355" s="36">
        <v>9490749.5577970184</v>
      </c>
      <c r="AL355" s="36">
        <v>9784909.0506570637</v>
      </c>
      <c r="AM355" s="36">
        <v>10077930.399938403</v>
      </c>
      <c r="AN355" s="36">
        <v>10369960.128703279</v>
      </c>
      <c r="AO355" s="36">
        <v>10661120.643994486</v>
      </c>
      <c r="AP355" s="36">
        <v>10951515.002277123</v>
      </c>
      <c r="AQ355" s="36">
        <v>11241230.587832434</v>
      </c>
      <c r="AR355" s="36">
        <v>11530341.982803011</v>
      </c>
      <c r="AS355" s="36">
        <v>11818913.22881292</v>
      </c>
      <c r="AT355" s="36">
        <v>12106999.625505265</v>
      </c>
      <c r="AU355" s="36">
        <v>12394649.172969222</v>
      </c>
      <c r="AV355" s="36">
        <v>12681903.737690249</v>
      </c>
      <c r="AW355" s="36">
        <v>12968800.00193543</v>
      </c>
      <c r="AX355" s="36">
        <v>13255370.242093882</v>
      </c>
    </row>
    <row r="356" spans="4:50">
      <c r="D356" t="s">
        <v>660</v>
      </c>
      <c r="E356" t="s">
        <v>645</v>
      </c>
      <c r="G356" s="44"/>
      <c r="I356" s="44"/>
      <c r="K356" s="44"/>
      <c r="M356" s="44"/>
      <c r="O356" s="36">
        <v>109810.73952319482</v>
      </c>
      <c r="P356" s="36">
        <v>187594.7688307302</v>
      </c>
      <c r="Q356" s="36">
        <v>265378.79813826561</v>
      </c>
      <c r="R356" s="36">
        <v>343162.827445801</v>
      </c>
      <c r="S356" s="36">
        <v>420946.85675333638</v>
      </c>
      <c r="T356" s="36">
        <v>492486.71374865173</v>
      </c>
      <c r="U356" s="36">
        <v>730780.43286908767</v>
      </c>
      <c r="V356" s="36">
        <v>968609.76073638012</v>
      </c>
      <c r="W356" s="36">
        <v>1206124.1308024866</v>
      </c>
      <c r="X356" s="36">
        <v>1443415.073622504</v>
      </c>
      <c r="Y356" s="36">
        <v>1680541.7854770564</v>
      </c>
      <c r="Z356" s="36">
        <v>1820091.0044465461</v>
      </c>
      <c r="AA356" s="36">
        <v>1956672.2336586043</v>
      </c>
      <c r="AB356" s="36">
        <v>2091073.2240424312</v>
      </c>
      <c r="AC356" s="36">
        <v>2223825.6103730034</v>
      </c>
      <c r="AD356" s="36">
        <v>2355301.1736377319</v>
      </c>
      <c r="AE356" s="36">
        <v>2485767.7221440738</v>
      </c>
      <c r="AF356" s="36">
        <v>2615423.0628006542</v>
      </c>
      <c r="AG356" s="36">
        <v>2744416.4699533535</v>
      </c>
      <c r="AH356" s="36">
        <v>2872862.7096844842</v>
      </c>
      <c r="AI356" s="36">
        <v>3000851.4667412755</v>
      </c>
      <c r="AJ356" s="36">
        <v>3128453.8412724584</v>
      </c>
      <c r="AK356" s="36">
        <v>3255726.925633335</v>
      </c>
      <c r="AL356" s="36">
        <v>3382717.0921331132</v>
      </c>
      <c r="AM356" s="36">
        <v>3509462.3963065622</v>
      </c>
      <c r="AN356" s="36">
        <v>3635994.361397808</v>
      </c>
      <c r="AO356" s="36">
        <v>3762339.3222856973</v>
      </c>
      <c r="AP356" s="36">
        <v>3888519.450729806</v>
      </c>
      <c r="AQ356" s="36">
        <v>4014553.5467469268</v>
      </c>
      <c r="AR356" s="36">
        <v>4140457.6560779265</v>
      </c>
      <c r="AS356" s="36">
        <v>4266245.5567569174</v>
      </c>
      <c r="AT356" s="36">
        <v>4391929.1460519694</v>
      </c>
      <c r="AU356" s="36">
        <v>4517518.7507915404</v>
      </c>
      <c r="AV356" s="36">
        <v>4643023.3782091774</v>
      </c>
      <c r="AW356" s="36">
        <v>4768450.9201960471</v>
      </c>
      <c r="AX356" s="36">
        <v>4893808.3207545318</v>
      </c>
    </row>
    <row r="357" spans="4:50">
      <c r="D357" t="s">
        <v>660</v>
      </c>
      <c r="E357" t="s">
        <v>646</v>
      </c>
      <c r="G357" s="44"/>
      <c r="I357" s="44"/>
      <c r="K357" s="44"/>
      <c r="M357" s="44"/>
      <c r="O357" s="36">
        <v>47992.629225220044</v>
      </c>
      <c r="P357" s="36">
        <v>82249.516572361405</v>
      </c>
      <c r="Q357" s="36">
        <v>116506.4039195028</v>
      </c>
      <c r="R357" s="36">
        <v>150763.29126664414</v>
      </c>
      <c r="S357" s="36">
        <v>185020.17861378551</v>
      </c>
      <c r="T357" s="36">
        <v>216531.69000317855</v>
      </c>
      <c r="U357" s="36">
        <v>321375.29698964383</v>
      </c>
      <c r="V357" s="36">
        <v>426039.22805840004</v>
      </c>
      <c r="W357" s="36">
        <v>530581.29995865398</v>
      </c>
      <c r="X357" s="36">
        <v>635036.92644200928</v>
      </c>
      <c r="Y357" s="36">
        <v>739429.01092444081</v>
      </c>
      <c r="Z357" s="36">
        <v>1191056.6935784193</v>
      </c>
      <c r="AA357" s="36">
        <v>1653117.2576755467</v>
      </c>
      <c r="AB357" s="36">
        <v>2122841.6532113524</v>
      </c>
      <c r="AC357" s="36">
        <v>2598361.1127601736</v>
      </c>
      <c r="AD357" s="36">
        <v>3078368.7763657891</v>
      </c>
      <c r="AE357" s="36">
        <v>3561923.261965062</v>
      </c>
      <c r="AF357" s="36">
        <v>4048329.2517857193</v>
      </c>
      <c r="AG357" s="36">
        <v>4537062.0265125269</v>
      </c>
      <c r="AH357" s="36">
        <v>5027718.1679977672</v>
      </c>
      <c r="AI357" s="36">
        <v>5519982.4223451642</v>
      </c>
      <c r="AJ357" s="36">
        <v>6013604.8630108414</v>
      </c>
      <c r="AK357" s="36">
        <v>6508384.8027206426</v>
      </c>
      <c r="AL357" s="36">
        <v>7004159.2365979673</v>
      </c>
      <c r="AM357" s="36">
        <v>7500794.394342036</v>
      </c>
      <c r="AN357" s="36">
        <v>7998179.4675284484</v>
      </c>
      <c r="AO357" s="36">
        <v>8496221.8855315298</v>
      </c>
      <c r="AP357" s="36">
        <v>8994843.7116473354</v>
      </c>
      <c r="AQ357" s="36">
        <v>9493978.8612993285</v>
      </c>
      <c r="AR357" s="36">
        <v>9993570.9315596428</v>
      </c>
      <c r="AS357" s="36">
        <v>10493571.490793351</v>
      </c>
      <c r="AT357" s="36">
        <v>10993938.718510037</v>
      </c>
      <c r="AU357" s="36">
        <v>11494636.314524783</v>
      </c>
      <c r="AV357" s="36">
        <v>11995632.617205489</v>
      </c>
      <c r="AW357" s="36">
        <v>12496899.885497926</v>
      </c>
      <c r="AX357" s="36">
        <v>12998413.710303823</v>
      </c>
    </row>
    <row r="358" spans="4:50">
      <c r="D358" t="s">
        <v>661</v>
      </c>
      <c r="E358" t="s">
        <v>648</v>
      </c>
      <c r="G358" s="44"/>
      <c r="I358" s="44"/>
      <c r="K358" s="44"/>
      <c r="M358" s="44"/>
      <c r="O358" s="36">
        <v>196762.65939784981</v>
      </c>
      <c r="P358" s="36">
        <v>330017.0912379545</v>
      </c>
      <c r="Q358" s="36">
        <v>463271.5230780592</v>
      </c>
      <c r="R358" s="36">
        <v>596525.95491816406</v>
      </c>
      <c r="S358" s="36">
        <v>729780.38675826881</v>
      </c>
      <c r="T358" s="36">
        <v>852229.51604064065</v>
      </c>
      <c r="U358" s="36">
        <v>1262879.1906155567</v>
      </c>
      <c r="V358" s="36">
        <v>1672151.6131667024</v>
      </c>
      <c r="W358" s="36">
        <v>2080489.960697809</v>
      </c>
      <c r="X358" s="36">
        <v>2488165.6867330172</v>
      </c>
      <c r="Y358" s="36">
        <v>2895354.3505593189</v>
      </c>
      <c r="Z358" s="36">
        <v>3011910.7651599399</v>
      </c>
      <c r="AA358" s="36">
        <v>3119627.5095391432</v>
      </c>
      <c r="AB358" s="36">
        <v>3220850.7705101818</v>
      </c>
      <c r="AC358" s="36">
        <v>3317163.9349689367</v>
      </c>
      <c r="AD358" s="36">
        <v>3409674.2915490922</v>
      </c>
      <c r="AE358" s="36">
        <v>3499179.4633268658</v>
      </c>
      <c r="AF358" s="36">
        <v>3586268.5857045436</v>
      </c>
      <c r="AG358" s="36">
        <v>3671386.2478141556</v>
      </c>
      <c r="AH358" s="36">
        <v>3754874.2615900883</v>
      </c>
      <c r="AI358" s="36">
        <v>3836999.7383279316</v>
      </c>
      <c r="AJ358" s="36">
        <v>3917974.4381477833</v>
      </c>
      <c r="AK358" s="36">
        <v>3997968.4012567447</v>
      </c>
      <c r="AL358" s="36">
        <v>4077119.7399645918</v>
      </c>
      <c r="AM358" s="36">
        <v>4155541.7964338521</v>
      </c>
      <c r="AN358" s="36">
        <v>4233328.4574718131</v>
      </c>
      <c r="AO358" s="36">
        <v>4310558.1571915839</v>
      </c>
      <c r="AP358" s="36">
        <v>4387296.9305389952</v>
      </c>
      <c r="AQ358" s="36">
        <v>4463600.7702775607</v>
      </c>
      <c r="AR358" s="36">
        <v>4539517.4660121417</v>
      </c>
      <c r="AS358" s="36">
        <v>4615088.0533553278</v>
      </c>
      <c r="AT358" s="36">
        <v>4690347.9663668172</v>
      </c>
      <c r="AU358" s="36">
        <v>4765327.9618097609</v>
      </c>
      <c r="AV358" s="36">
        <v>4840054.8662505215</v>
      </c>
      <c r="AW358" s="36">
        <v>4914552.1843912741</v>
      </c>
      <c r="AX358" s="36">
        <v>4988840.597803087</v>
      </c>
    </row>
    <row r="359" spans="4:50">
      <c r="D359" t="s">
        <v>660</v>
      </c>
      <c r="E359" t="s">
        <v>649</v>
      </c>
      <c r="G359" s="44"/>
      <c r="I359" s="44"/>
      <c r="K359" s="44"/>
      <c r="M359" s="44"/>
      <c r="O359" s="36">
        <v>153079.32105145001</v>
      </c>
      <c r="P359" s="36">
        <v>262917.65029356739</v>
      </c>
      <c r="Q359" s="36">
        <v>372755.9795356848</v>
      </c>
      <c r="R359" s="36">
        <v>482594.30877780222</v>
      </c>
      <c r="S359" s="36">
        <v>592432.6380199194</v>
      </c>
      <c r="T359" s="36">
        <v>693478.44798558217</v>
      </c>
      <c r="U359" s="36">
        <v>1029415.8354204453</v>
      </c>
      <c r="V359" s="36">
        <v>1364830.9789462578</v>
      </c>
      <c r="W359" s="36">
        <v>1699891.9280462191</v>
      </c>
      <c r="X359" s="36">
        <v>2034701.6159141993</v>
      </c>
      <c r="Y359" s="36">
        <v>2369326.6133496813</v>
      </c>
      <c r="Z359" s="36">
        <v>2681083.5316774473</v>
      </c>
      <c r="AA359" s="36">
        <v>2992115.7947069257</v>
      </c>
      <c r="AB359" s="36">
        <v>3302615.7372947796</v>
      </c>
      <c r="AC359" s="36">
        <v>3612713.1617610734</v>
      </c>
      <c r="AD359" s="36">
        <v>3922498.8410141859</v>
      </c>
      <c r="AE359" s="36">
        <v>4232038.1623110827</v>
      </c>
      <c r="AF359" s="36">
        <v>4541379.4215813596</v>
      </c>
      <c r="AG359" s="36">
        <v>4850559.0651925839</v>
      </c>
      <c r="AH359" s="36">
        <v>5159605.1140802791</v>
      </c>
      <c r="AI359" s="36">
        <v>5468539.465397926</v>
      </c>
      <c r="AJ359" s="36">
        <v>5777379.4787402954</v>
      </c>
      <c r="AK359" s="36">
        <v>6086139.0936021823</v>
      </c>
      <c r="AL359" s="36">
        <v>6394829.6321047246</v>
      </c>
      <c r="AM359" s="36">
        <v>6703460.3857708517</v>
      </c>
      <c r="AN359" s="36">
        <v>7012039.0512194019</v>
      </c>
      <c r="AO359" s="36">
        <v>7320572.0582938204</v>
      </c>
      <c r="AP359" s="36">
        <v>7629064.8203830849</v>
      </c>
      <c r="AQ359" s="36">
        <v>7937521.9276417838</v>
      </c>
      <c r="AR359" s="36">
        <v>8245947.2977489037</v>
      </c>
      <c r="AS359" s="36">
        <v>8554344.2947071008</v>
      </c>
      <c r="AT359" s="36">
        <v>8862715.8233169522</v>
      </c>
      <c r="AU359" s="36">
        <v>9171064.4049452916</v>
      </c>
      <c r="AV359" s="36">
        <v>9479392.2387706991</v>
      </c>
      <c r="AW359" s="36">
        <v>9787701.251653187</v>
      </c>
      <c r="AX359" s="36">
        <v>10095993.139019128</v>
      </c>
    </row>
    <row r="360" spans="4:50">
      <c r="D360" t="s">
        <v>660</v>
      </c>
      <c r="E360" t="s">
        <v>650</v>
      </c>
      <c r="G360" s="44"/>
      <c r="I360" s="44"/>
      <c r="K360" s="44"/>
      <c r="M360" s="44"/>
      <c r="O360" s="36">
        <v>170201.75951233215</v>
      </c>
      <c r="P360" s="36">
        <v>291654.10638240731</v>
      </c>
      <c r="Q360" s="36">
        <v>413106.45325248246</v>
      </c>
      <c r="R360" s="36">
        <v>534558.80012255767</v>
      </c>
      <c r="S360" s="36">
        <v>656011.14699263312</v>
      </c>
      <c r="T360" s="36">
        <v>767729.55486309517</v>
      </c>
      <c r="U360" s="36">
        <v>1139450.3241668984</v>
      </c>
      <c r="V360" s="36">
        <v>1510530.6131076177</v>
      </c>
      <c r="W360" s="36">
        <v>1881176.5177107893</v>
      </c>
      <c r="X360" s="36">
        <v>2251514.2753307247</v>
      </c>
      <c r="Y360" s="36">
        <v>2621625.5284511074</v>
      </c>
      <c r="Z360" s="36">
        <v>3302395.7121326965</v>
      </c>
      <c r="AA360" s="36">
        <v>3992466.0631567957</v>
      </c>
      <c r="AB360" s="36">
        <v>4689368.1715676589</v>
      </c>
      <c r="AC360" s="36">
        <v>5391436.1649140781</v>
      </c>
      <c r="AD360" s="36">
        <v>6097505.0710498272</v>
      </c>
      <c r="AE360" s="36">
        <v>6806735.7152207401</v>
      </c>
      <c r="AF360" s="36">
        <v>7518508.2713822369</v>
      </c>
      <c r="AG360" s="36">
        <v>8232354.9898080314</v>
      </c>
      <c r="AH360" s="36">
        <v>8947916.2520836592</v>
      </c>
      <c r="AI360" s="36">
        <v>9664911.0319167599</v>
      </c>
      <c r="AJ360" s="36">
        <v>10383116.537675487</v>
      </c>
      <c r="AK360" s="36">
        <v>11102353.871013952</v>
      </c>
      <c r="AL360" s="36">
        <v>11822477.724747531</v>
      </c>
      <c r="AM360" s="36">
        <v>12543368.852224229</v>
      </c>
      <c r="AN360" s="36">
        <v>13264928.475661945</v>
      </c>
      <c r="AO360" s="36">
        <v>13987074.074971236</v>
      </c>
      <c r="AP360" s="36">
        <v>14709736.175156852</v>
      </c>
      <c r="AQ360" s="36">
        <v>15432855.866547111</v>
      </c>
      <c r="AR360" s="36">
        <v>16156382.869967388</v>
      </c>
      <c r="AS360" s="36">
        <v>16880274.012080397</v>
      </c>
      <c r="AT360" s="36">
        <v>17604492.012911148</v>
      </c>
      <c r="AU360" s="36">
        <v>18329004.513442058</v>
      </c>
      <c r="AV360" s="36">
        <v>19053783.289593443</v>
      </c>
      <c r="AW360" s="36">
        <v>19778803.61220032</v>
      </c>
      <c r="AX360" s="36">
        <v>20504043.722298022</v>
      </c>
    </row>
    <row r="361" spans="4:50">
      <c r="D361" t="s">
        <v>661</v>
      </c>
      <c r="E361" t="s">
        <v>651</v>
      </c>
      <c r="G361" s="44"/>
      <c r="I361" s="44"/>
      <c r="K361" s="44"/>
      <c r="M361" s="44"/>
      <c r="O361" s="36">
        <v>265797.97297337773</v>
      </c>
      <c r="P361" s="36">
        <v>445195.20055801357</v>
      </c>
      <c r="Q361" s="36">
        <v>624592.42814264935</v>
      </c>
      <c r="R361" s="36">
        <v>803989.65572728543</v>
      </c>
      <c r="S361" s="36">
        <v>983386.88331192103</v>
      </c>
      <c r="T361" s="36">
        <v>1148225.9101649032</v>
      </c>
      <c r="U361" s="36">
        <v>1701326.0773961367</v>
      </c>
      <c r="V361" s="36">
        <v>2252511.4289288209</v>
      </c>
      <c r="W361" s="36">
        <v>2802398.1208980242</v>
      </c>
      <c r="X361" s="36">
        <v>3351363.5595158846</v>
      </c>
      <c r="Y361" s="36">
        <v>3899651.8276902195</v>
      </c>
      <c r="Z361" s="36">
        <v>4158532.1007314166</v>
      </c>
      <c r="AA361" s="36">
        <v>4408571.7147178054</v>
      </c>
      <c r="AB361" s="36">
        <v>4652117.118914498</v>
      </c>
      <c r="AC361" s="36">
        <v>4890751.8773400243</v>
      </c>
      <c r="AD361" s="36">
        <v>5125583.4024928678</v>
      </c>
      <c r="AE361" s="36">
        <v>5357409.4066738794</v>
      </c>
      <c r="AF361" s="36">
        <v>5586819.0911878906</v>
      </c>
      <c r="AG361" s="36">
        <v>5814257.0949000716</v>
      </c>
      <c r="AH361" s="36">
        <v>6040065.2679809704</v>
      </c>
      <c r="AI361" s="36">
        <v>6264510.7516060928</v>
      </c>
      <c r="AJ361" s="36">
        <v>6487805.329583684</v>
      </c>
      <c r="AK361" s="36">
        <v>6710119.0611420842</v>
      </c>
      <c r="AL361" s="36">
        <v>6931590.0740407491</v>
      </c>
      <c r="AM361" s="36">
        <v>7152331.7231210144</v>
      </c>
      <c r="AN361" s="36">
        <v>7372437.9056926472</v>
      </c>
      <c r="AO361" s="36">
        <v>7591987.0646426342</v>
      </c>
      <c r="AP361" s="36">
        <v>7811045.2423036909</v>
      </c>
      <c r="AQ361" s="36">
        <v>8029668.4377028607</v>
      </c>
      <c r="AR361" s="36">
        <v>8247904.4457908915</v>
      </c>
      <c r="AS361" s="36">
        <v>8465794.3067707531</v>
      </c>
      <c r="AT361" s="36">
        <v>8683373.4586659074</v>
      </c>
      <c r="AU361" s="36">
        <v>8900672.6616800558</v>
      </c>
      <c r="AV361" s="36">
        <v>9117718.7453804575</v>
      </c>
      <c r="AW361" s="36">
        <v>9334535.2170986123</v>
      </c>
      <c r="AX361" s="36">
        <v>9551142.7607190814</v>
      </c>
    </row>
    <row r="362" spans="4:50">
      <c r="D362" t="s">
        <v>661</v>
      </c>
      <c r="E362" t="s">
        <v>652</v>
      </c>
      <c r="G362" s="44"/>
      <c r="I362" s="44"/>
      <c r="K362" s="44"/>
      <c r="M362" s="44"/>
      <c r="O362" s="36">
        <v>364896.09480653016</v>
      </c>
      <c r="P362" s="36">
        <v>624078.58563682786</v>
      </c>
      <c r="Q362" s="36">
        <v>883261.07646712568</v>
      </c>
      <c r="R362" s="36">
        <v>1142443.5672974233</v>
      </c>
      <c r="S362" s="36">
        <v>1401626.0581277208</v>
      </c>
      <c r="T362" s="36">
        <v>1640015.0207303804</v>
      </c>
      <c r="U362" s="36">
        <v>2433747.7587456107</v>
      </c>
      <c r="V362" s="36">
        <v>3226000.5449664271</v>
      </c>
      <c r="W362" s="36">
        <v>4017249.6034902339</v>
      </c>
      <c r="X362" s="36">
        <v>4807786.629753462</v>
      </c>
      <c r="Y362" s="36">
        <v>5597800.2742553102</v>
      </c>
      <c r="Z362" s="36">
        <v>6498164.4807188595</v>
      </c>
      <c r="AA362" s="36">
        <v>7401744.1341393618</v>
      </c>
      <c r="AB362" s="36">
        <v>8307685.8045742838</v>
      </c>
      <c r="AC362" s="36">
        <v>9215413.532010572</v>
      </c>
      <c r="AD362" s="36">
        <v>10124524.538089028</v>
      </c>
      <c r="AE362" s="36">
        <v>11034728.685889499</v>
      </c>
      <c r="AF362" s="36">
        <v>11945811.676282154</v>
      </c>
      <c r="AG362" s="36">
        <v>12857611.789119527</v>
      </c>
      <c r="AH362" s="36">
        <v>13770004.689656461</v>
      </c>
      <c r="AI362" s="36">
        <v>14682893.215648092</v>
      </c>
      <c r="AJ362" s="36">
        <v>15596200.338945547</v>
      </c>
      <c r="AK362" s="36">
        <v>16509864.207098143</v>
      </c>
      <c r="AL362" s="36">
        <v>17423834.58148893</v>
      </c>
      <c r="AM362" s="36">
        <v>18338070.23368942</v>
      </c>
      <c r="AN362" s="36">
        <v>19252537.012193821</v>
      </c>
      <c r="AO362" s="36">
        <v>20167206.386443406</v>
      </c>
      <c r="AP362" s="36">
        <v>21082054.336100277</v>
      </c>
      <c r="AQ362" s="36">
        <v>21997060.493689582</v>
      </c>
      <c r="AR362" s="36">
        <v>22912207.475651085</v>
      </c>
      <c r="AS362" s="36">
        <v>23827480.355202209</v>
      </c>
      <c r="AT362" s="36">
        <v>24742866.243135933</v>
      </c>
      <c r="AU362" s="36">
        <v>25658353.951620821</v>
      </c>
      <c r="AV362" s="36">
        <v>26573933.722442009</v>
      </c>
      <c r="AW362" s="36">
        <v>27489597.005719136</v>
      </c>
      <c r="AX362" s="36">
        <v>28405336.278491136</v>
      </c>
    </row>
    <row r="363" spans="4:50">
      <c r="D363" t="s">
        <v>661</v>
      </c>
      <c r="E363" t="s">
        <v>653</v>
      </c>
      <c r="G363" s="44"/>
      <c r="I363" s="44"/>
      <c r="K363" s="44"/>
      <c r="M363" s="44"/>
      <c r="O363" s="36">
        <v>278094.24217762658</v>
      </c>
      <c r="P363" s="36">
        <v>465774.79043860233</v>
      </c>
      <c r="Q363" s="36">
        <v>653455.33869957807</v>
      </c>
      <c r="R363" s="36">
        <v>841135.88696055359</v>
      </c>
      <c r="S363" s="36">
        <v>1028816.4352215294</v>
      </c>
      <c r="T363" s="36">
        <v>1201266.2909497921</v>
      </c>
      <c r="U363" s="36">
        <v>1779911.3901794124</v>
      </c>
      <c r="V363" s="36">
        <v>2356551.6749580693</v>
      </c>
      <c r="W363" s="36">
        <v>2931832.2615361535</v>
      </c>
      <c r="X363" s="36">
        <v>3506148.2946936786</v>
      </c>
      <c r="Y363" s="36">
        <v>4079755.3295429214</v>
      </c>
      <c r="Z363" s="36">
        <v>4555388.0253072437</v>
      </c>
      <c r="AA363" s="36">
        <v>5027932.427015</v>
      </c>
      <c r="AB363" s="36">
        <v>5498208.2162390845</v>
      </c>
      <c r="AC363" s="36">
        <v>5966768.5770030348</v>
      </c>
      <c r="AD363" s="36">
        <v>6434000.3600400351</v>
      </c>
      <c r="AE363" s="36">
        <v>6900182.2289816448</v>
      </c>
      <c r="AF363" s="36">
        <v>7365520.0086285407</v>
      </c>
      <c r="AG363" s="36">
        <v>7830169.0240030056</v>
      </c>
      <c r="AH363" s="36">
        <v>8294248.6931080781</v>
      </c>
      <c r="AI363" s="36">
        <v>8757852.3359665629</v>
      </c>
      <c r="AJ363" s="36">
        <v>9221053.9346958809</v>
      </c>
      <c r="AK363" s="36">
        <v>9683912.8958290685</v>
      </c>
      <c r="AL363" s="36">
        <v>10146477.471327415</v>
      </c>
      <c r="AM363" s="36">
        <v>10608787.259266213</v>
      </c>
      <c r="AN363" s="36">
        <v>11070875.060650656</v>
      </c>
      <c r="AO363" s="36">
        <v>11532768.277815821</v>
      </c>
      <c r="AP363" s="36">
        <v>11994489.981229911</v>
      </c>
      <c r="AQ363" s="36">
        <v>12456059.73294834</v>
      </c>
      <c r="AR363" s="36">
        <v>12917494.229108969</v>
      </c>
      <c r="AS363" s="36">
        <v>13378807.80622383</v>
      </c>
      <c r="AT363" s="36">
        <v>13840012.843804069</v>
      </c>
      <c r="AU363" s="36">
        <v>14301120.087265113</v>
      </c>
      <c r="AV363" s="36">
        <v>14762138.908939114</v>
      </c>
      <c r="AW363" s="36">
        <v>15223077.520606631</v>
      </c>
      <c r="AX363" s="36">
        <v>15683943.147737786</v>
      </c>
    </row>
    <row r="364" spans="4:50">
      <c r="D364" t="s">
        <v>661</v>
      </c>
      <c r="E364" t="s">
        <v>654</v>
      </c>
      <c r="G364" s="44"/>
      <c r="I364" s="44"/>
      <c r="K364" s="44"/>
      <c r="M364" s="44"/>
      <c r="O364" s="36">
        <v>165363.10303878761</v>
      </c>
      <c r="P364" s="36">
        <v>277043.59346569655</v>
      </c>
      <c r="Q364" s="36">
        <v>388724.0838926055</v>
      </c>
      <c r="R364" s="36">
        <v>500404.57431951445</v>
      </c>
      <c r="S364" s="36">
        <v>612085.06474642328</v>
      </c>
      <c r="T364" s="36">
        <v>714703.92100054852</v>
      </c>
      <c r="U364" s="36">
        <v>1058997.0988909625</v>
      </c>
      <c r="V364" s="36">
        <v>1402105.2836982599</v>
      </c>
      <c r="W364" s="36">
        <v>1744409.7866675537</v>
      </c>
      <c r="X364" s="36">
        <v>2086144.1674835945</v>
      </c>
      <c r="Y364" s="36">
        <v>2427459.4780505882</v>
      </c>
      <c r="Z364" s="36">
        <v>2705360.2172624548</v>
      </c>
      <c r="AA364" s="36">
        <v>2981269.9605381582</v>
      </c>
      <c r="AB364" s="36">
        <v>3255717.1493572607</v>
      </c>
      <c r="AC364" s="36">
        <v>3529058.4165800526</v>
      </c>
      <c r="AD364" s="36">
        <v>3801543.1614617775</v>
      </c>
      <c r="AE364" s="36">
        <v>4073351.0359875849</v>
      </c>
      <c r="AF364" s="36">
        <v>4344614.7335908739</v>
      </c>
      <c r="AG364" s="36">
        <v>4615434.3909433708</v>
      </c>
      <c r="AH364" s="36">
        <v>4885886.9957782459</v>
      </c>
      <c r="AI364" s="36">
        <v>5156032.7106910143</v>
      </c>
      <c r="AJ364" s="36">
        <v>5425919.2313001724</v>
      </c>
      <c r="AK364" s="36">
        <v>5695584.8564735353</v>
      </c>
      <c r="AL364" s="36">
        <v>5965060.6938249264</v>
      </c>
      <c r="AM364" s="36">
        <v>6234372.2718841713</v>
      </c>
      <c r="AN364" s="36">
        <v>6503540.7371699912</v>
      </c>
      <c r="AO364" s="36">
        <v>6772583.755726086</v>
      </c>
      <c r="AP364" s="36">
        <v>7041516.2008797955</v>
      </c>
      <c r="AQ364" s="36">
        <v>7310350.6841156958</v>
      </c>
      <c r="AR364" s="36">
        <v>7579097.9692865834</v>
      </c>
      <c r="AS364" s="36">
        <v>7847767.2990153003</v>
      </c>
      <c r="AT364" s="36">
        <v>8116366.6542634806</v>
      </c>
      <c r="AU364" s="36">
        <v>8384902.9625056693</v>
      </c>
      <c r="AV364" s="36">
        <v>8653382.2660017181</v>
      </c>
      <c r="AW364" s="36">
        <v>8921809.8588141389</v>
      </c>
      <c r="AX364" s="36">
        <v>9190190.3991397619</v>
      </c>
    </row>
    <row r="365" spans="4:50">
      <c r="D365" t="s">
        <v>660</v>
      </c>
      <c r="E365" t="s">
        <v>655</v>
      </c>
      <c r="G365" s="44"/>
      <c r="I365" s="44"/>
      <c r="K365" s="44"/>
      <c r="M365" s="44"/>
      <c r="O365" s="36">
        <v>228932.75588782321</v>
      </c>
      <c r="P365" s="36">
        <v>390123.47296421992</v>
      </c>
      <c r="Q365" s="36">
        <v>551314.19004061655</v>
      </c>
      <c r="R365" s="36">
        <v>712504.90711701359</v>
      </c>
      <c r="S365" s="36">
        <v>873695.62419341016</v>
      </c>
      <c r="T365" s="36">
        <v>1021929.4364157874</v>
      </c>
      <c r="U365" s="36">
        <v>1516126.7941948597</v>
      </c>
      <c r="V365" s="36">
        <v>2009269.3498969383</v>
      </c>
      <c r="W365" s="36">
        <v>2501696.5214469535</v>
      </c>
      <c r="X365" s="36">
        <v>2993616.2081517307</v>
      </c>
      <c r="Y365" s="36">
        <v>3485162.8663760903</v>
      </c>
      <c r="Z365" s="36">
        <v>4071582.6390199433</v>
      </c>
      <c r="AA365" s="36">
        <v>4660782.1755571328</v>
      </c>
      <c r="AB365" s="36">
        <v>5252023.6831484288</v>
      </c>
      <c r="AC365" s="36">
        <v>5844809.2425714983</v>
      </c>
      <c r="AD365" s="36">
        <v>6438790.6506822938</v>
      </c>
      <c r="AE365" s="36">
        <v>7033717.0832111062</v>
      </c>
      <c r="AF365" s="36">
        <v>7629403.2778937872</v>
      </c>
      <c r="AG365" s="36">
        <v>8225709.4271599585</v>
      </c>
      <c r="AH365" s="36">
        <v>8822528.04323579</v>
      </c>
      <c r="AI365" s="36">
        <v>9419775.1290584486</v>
      </c>
      <c r="AJ365" s="36">
        <v>10017384.0935537</v>
      </c>
      <c r="AK365" s="36">
        <v>10615301.465085581</v>
      </c>
      <c r="AL365" s="36">
        <v>11213483.812213533</v>
      </c>
      <c r="AM365" s="36">
        <v>11811895.492832897</v>
      </c>
      <c r="AN365" s="36">
        <v>12410506.982860718</v>
      </c>
      <c r="AO365" s="36">
        <v>13009293.617540268</v>
      </c>
      <c r="AP365" s="36">
        <v>13608234.631214729</v>
      </c>
      <c r="AQ365" s="36">
        <v>14207312.416138753</v>
      </c>
      <c r="AR365" s="36">
        <v>14806511.944170471</v>
      </c>
      <c r="AS365" s="36">
        <v>15405820.31105992</v>
      </c>
      <c r="AT365" s="36">
        <v>16005226.374047546</v>
      </c>
      <c r="AU365" s="36">
        <v>16604720.461218286</v>
      </c>
      <c r="AV365" s="36">
        <v>17204294.136565033</v>
      </c>
      <c r="AW365" s="36">
        <v>17803940.008689642</v>
      </c>
      <c r="AX365" s="36">
        <v>18403651.573968865</v>
      </c>
    </row>
    <row r="366" spans="4:50">
      <c r="D366" t="s">
        <v>661</v>
      </c>
      <c r="E366" t="s">
        <v>656</v>
      </c>
      <c r="G366" s="44"/>
      <c r="I366" s="44"/>
      <c r="K366" s="44"/>
      <c r="M366" s="44"/>
      <c r="O366" s="36">
        <v>246356.687216038</v>
      </c>
      <c r="P366" s="36">
        <v>414591.96583545872</v>
      </c>
      <c r="Q366" s="36">
        <v>582827.24445487955</v>
      </c>
      <c r="R366" s="36">
        <v>751062.52307430026</v>
      </c>
      <c r="S366" s="36">
        <v>919297.80169372098</v>
      </c>
      <c r="T366" s="36">
        <v>1073917.0317817386</v>
      </c>
      <c r="U366" s="36">
        <v>1591790.4644975497</v>
      </c>
      <c r="V366" s="36">
        <v>2108063.6517610396</v>
      </c>
      <c r="W366" s="36">
        <v>2623251.5261862506</v>
      </c>
      <c r="X366" s="36">
        <v>3137669.4928406845</v>
      </c>
      <c r="Y366" s="36">
        <v>3651521.5361409672</v>
      </c>
      <c r="Z366" s="36">
        <v>3857110.5179578885</v>
      </c>
      <c r="AA366" s="36">
        <v>4053313.7732258188</v>
      </c>
      <c r="AB366" s="36">
        <v>4242622.4206528608</v>
      </c>
      <c r="AC366" s="36">
        <v>4426717.6582988705</v>
      </c>
      <c r="AD366" s="36">
        <v>4606775.1757615618</v>
      </c>
      <c r="AE366" s="36">
        <v>4783641.867992335</v>
      </c>
      <c r="AF366" s="36">
        <v>4957943.2632798785</v>
      </c>
      <c r="AG366" s="36">
        <v>5130151.41453062</v>
      </c>
      <c r="AH366" s="36">
        <v>5300629.2485582307</v>
      </c>
      <c r="AI366" s="36">
        <v>5469660.3770264648</v>
      </c>
      <c r="AJ366" s="36">
        <v>5637469.6411942635</v>
      </c>
      <c r="AK366" s="36">
        <v>5804237.5852274401</v>
      </c>
      <c r="AL366" s="36">
        <v>5970110.8531002793</v>
      </c>
      <c r="AM366" s="36">
        <v>6135209.7885040361</v>
      </c>
      <c r="AN366" s="36">
        <v>6299634.077951638</v>
      </c>
      <c r="AO366" s="36">
        <v>6463467.0006966339</v>
      </c>
      <c r="AP366" s="36">
        <v>6626778.6708868193</v>
      </c>
      <c r="AQ366" s="36">
        <v>6789628.5401480841</v>
      </c>
      <c r="AR366" s="36">
        <v>6952067.3502108166</v>
      </c>
      <c r="AS366" s="36">
        <v>7114138.6715961965</v>
      </c>
      <c r="AT366" s="36">
        <v>7275880.1272456255</v>
      </c>
      <c r="AU366" s="36">
        <v>7437324.3738715528</v>
      </c>
      <c r="AV366" s="36">
        <v>7598499.895208071</v>
      </c>
      <c r="AW366" s="36">
        <v>7759431.6479223138</v>
      </c>
      <c r="AX366" s="36">
        <v>7920141.5911559425</v>
      </c>
    </row>
    <row r="367" spans="4:50">
      <c r="D367" t="s">
        <v>660</v>
      </c>
      <c r="E367" t="s">
        <v>657</v>
      </c>
      <c r="G367" s="44"/>
      <c r="I367" s="44"/>
      <c r="K367" s="44"/>
      <c r="M367" s="44"/>
      <c r="O367" s="36">
        <v>179524.85226980981</v>
      </c>
      <c r="P367" s="36">
        <v>322590.5365490375</v>
      </c>
      <c r="Q367" s="36">
        <v>465656.22082826507</v>
      </c>
      <c r="R367" s="36">
        <v>608721.90510749281</v>
      </c>
      <c r="S367" s="36">
        <v>751787.58938672044</v>
      </c>
      <c r="T367" s="36">
        <v>883649.60011956503</v>
      </c>
      <c r="U367" s="36">
        <v>1315648.2948676425</v>
      </c>
      <c r="V367" s="36">
        <v>1748303.6783818593</v>
      </c>
      <c r="W367" s="36">
        <v>2181404.4390396951</v>
      </c>
      <c r="X367" s="36">
        <v>2614821.1448441334</v>
      </c>
      <c r="Y367" s="36">
        <v>3048470.0872149207</v>
      </c>
      <c r="Z367" s="36">
        <v>3716203.4443793409</v>
      </c>
      <c r="AA367" s="36">
        <v>4391024.7125370763</v>
      </c>
      <c r="AB367" s="36">
        <v>5071052.6491881851</v>
      </c>
      <c r="AC367" s="36">
        <v>5755017.6475368347</v>
      </c>
      <c r="AD367" s="36">
        <v>6442031.8505608896</v>
      </c>
      <c r="AE367" s="36">
        <v>7131455.7003097888</v>
      </c>
      <c r="AF367" s="36">
        <v>7822816.8104625689</v>
      </c>
      <c r="AG367" s="36">
        <v>8515758.6962050386</v>
      </c>
      <c r="AH367" s="36">
        <v>9210007.2825426888</v>
      </c>
      <c r="AI367" s="36">
        <v>9905348.3916791771</v>
      </c>
      <c r="AJ367" s="36">
        <v>10601612.228040043</v>
      </c>
      <c r="AK367" s="36">
        <v>11298662.448320281</v>
      </c>
      <c r="AL367" s="36">
        <v>11996388.309954364</v>
      </c>
      <c r="AM367" s="36">
        <v>12694698.931818932</v>
      </c>
      <c r="AN367" s="36">
        <v>13393519.03267421</v>
      </c>
      <c r="AO367" s="36">
        <v>14092785.721711084</v>
      </c>
      <c r="AP367" s="36">
        <v>14792446.050142225</v>
      </c>
      <c r="AQ367" s="36">
        <v>15492455.121301357</v>
      </c>
      <c r="AR367" s="36">
        <v>16192774.616059225</v>
      </c>
      <c r="AS367" s="36">
        <v>16893371.630838856</v>
      </c>
      <c r="AT367" s="36">
        <v>17594217.753555313</v>
      </c>
      <c r="AU367" s="36">
        <v>18295288.322519377</v>
      </c>
      <c r="AV367" s="36">
        <v>18996561.827390738</v>
      </c>
      <c r="AW367" s="36">
        <v>19698019.421398807</v>
      </c>
      <c r="AX367" s="36">
        <v>20399644.521443605</v>
      </c>
    </row>
    <row r="368" spans="4:50">
      <c r="D368" t="s">
        <v>661</v>
      </c>
      <c r="E368" t="s">
        <v>658</v>
      </c>
      <c r="G368" s="44"/>
      <c r="I368" s="44"/>
      <c r="K368" s="44"/>
      <c r="M368" s="44"/>
      <c r="O368" s="36">
        <v>250401.89639930151</v>
      </c>
      <c r="P368" s="36">
        <v>419268.66346423846</v>
      </c>
      <c r="Q368" s="36">
        <v>588135.43052917521</v>
      </c>
      <c r="R368" s="36">
        <v>757002.19759411213</v>
      </c>
      <c r="S368" s="36">
        <v>925868.96465904894</v>
      </c>
      <c r="T368" s="36">
        <v>1081029.5051070231</v>
      </c>
      <c r="U368" s="36">
        <v>1601720.8860057753</v>
      </c>
      <c r="V368" s="36">
        <v>2120595.9816244543</v>
      </c>
      <c r="W368" s="36">
        <v>2638239.2426332729</v>
      </c>
      <c r="X368" s="36">
        <v>3155008.6551027615</v>
      </c>
      <c r="Y368" s="36">
        <v>3671135.7421987909</v>
      </c>
      <c r="Z368" s="36">
        <v>3920437.555751563</v>
      </c>
      <c r="AA368" s="36">
        <v>4161584.9738492141</v>
      </c>
      <c r="AB368" s="36">
        <v>4396742.3006578078</v>
      </c>
      <c r="AC368" s="36">
        <v>4627370.1747061638</v>
      </c>
      <c r="AD368" s="36">
        <v>4854490.0446655406</v>
      </c>
      <c r="AE368" s="36">
        <v>5078837.6997480551</v>
      </c>
      <c r="AF368" s="36">
        <v>5300956.6040113689</v>
      </c>
      <c r="AG368" s="36">
        <v>5521256.8808545144</v>
      </c>
      <c r="AH368" s="36">
        <v>5740053.8440408437</v>
      </c>
      <c r="AI368" s="36">
        <v>5957593.8976872796</v>
      </c>
      <c r="AJ368" s="36">
        <v>6174072.3857057132</v>
      </c>
      <c r="AK368" s="36">
        <v>6389646.1663337527</v>
      </c>
      <c r="AL368" s="36">
        <v>6604442.6450472716</v>
      </c>
      <c r="AM368" s="36">
        <v>6818566.3774226541</v>
      </c>
      <c r="AN368" s="36">
        <v>7032103.9719119584</v>
      </c>
      <c r="AO368" s="36">
        <v>7245127.7822070569</v>
      </c>
      <c r="AP368" s="36">
        <v>7457698.7240490019</v>
      </c>
      <c r="AQ368" s="36">
        <v>7669868.4494932313</v>
      </c>
      <c r="AR368" s="36">
        <v>7881681.0433672192</v>
      </c>
      <c r="AS368" s="36">
        <v>8093174.3600936364</v>
      </c>
      <c r="AT368" s="36">
        <v>8304381.0867895484</v>
      </c>
      <c r="AU368" s="36">
        <v>8515329.5958719552</v>
      </c>
      <c r="AV368" s="36">
        <v>8726044.6342403777</v>
      </c>
      <c r="AW368" s="36">
        <v>8936547.8844499197</v>
      </c>
      <c r="AX368" s="36">
        <v>9146858.4247811995</v>
      </c>
    </row>
    <row r="369" spans="3:54">
      <c r="D369" t="s">
        <v>661</v>
      </c>
      <c r="E369" t="s">
        <v>659</v>
      </c>
      <c r="G369" s="44"/>
      <c r="I369" s="44"/>
      <c r="K369" s="44"/>
      <c r="M369" s="44"/>
      <c r="O369" s="36">
        <v>226221.30921591009</v>
      </c>
      <c r="P369" s="36">
        <v>390804.04402019992</v>
      </c>
      <c r="Q369" s="36">
        <v>555386.77882449003</v>
      </c>
      <c r="R369" s="36">
        <v>719969.51362877968</v>
      </c>
      <c r="S369" s="36">
        <v>884552.24843306979</v>
      </c>
      <c r="T369" s="36">
        <v>1035999.6836254714</v>
      </c>
      <c r="U369" s="36">
        <v>1538487.7922968711</v>
      </c>
      <c r="V369" s="36">
        <v>2040405.6627588759</v>
      </c>
      <c r="W369" s="36">
        <v>2541936.7882695771</v>
      </c>
      <c r="X369" s="36">
        <v>3043193.5616001347</v>
      </c>
      <c r="Y369" s="36">
        <v>3544248.6714173509</v>
      </c>
      <c r="Z369" s="36">
        <v>4002113.7060987307</v>
      </c>
      <c r="AA369" s="36">
        <v>4458639.3840368558</v>
      </c>
      <c r="AB369" s="36">
        <v>4914181.1914716577</v>
      </c>
      <c r="AC369" s="36">
        <v>5368979.0377960289</v>
      </c>
      <c r="AD369" s="36">
        <v>5823200.6956147291</v>
      </c>
      <c r="AE369" s="36">
        <v>6276967.0180612933</v>
      </c>
      <c r="AF369" s="36">
        <v>6730367.2689265683</v>
      </c>
      <c r="AG369" s="36">
        <v>7183468.810842528</v>
      </c>
      <c r="AH369" s="36">
        <v>7636323.4339900119</v>
      </c>
      <c r="AI369" s="36">
        <v>8088971.6101633208</v>
      </c>
      <c r="AJ369" s="36">
        <v>8541445.4245350566</v>
      </c>
      <c r="AK369" s="36">
        <v>8993770.6410186123</v>
      </c>
      <c r="AL369" s="36">
        <v>9445968.1859210655</v>
      </c>
      <c r="AM369" s="36">
        <v>9898055.2324610706</v>
      </c>
      <c r="AN369" s="36">
        <v>10350046.006048108</v>
      </c>
      <c r="AO369" s="36">
        <v>10801952.390752004</v>
      </c>
      <c r="AP369" s="36">
        <v>11253784.391962988</v>
      </c>
      <c r="AQ369" s="36">
        <v>11705550.493514009</v>
      </c>
      <c r="AR369" s="36">
        <v>12157257.936323302</v>
      </c>
      <c r="AS369" s="36">
        <v>12608912.93796723</v>
      </c>
      <c r="AT369" s="36">
        <v>13060520.8672939</v>
      </c>
      <c r="AU369" s="36">
        <v>13512086.384463379</v>
      </c>
      <c r="AV369" s="36">
        <v>13963613.554145677</v>
      </c>
      <c r="AW369" s="36">
        <v>14415105.937693274</v>
      </c>
      <c r="AX369" s="36">
        <v>14866566.66870741</v>
      </c>
    </row>
    <row r="370" spans="3:54">
      <c r="D370" t="s">
        <v>660</v>
      </c>
      <c r="E370" t="s">
        <v>633</v>
      </c>
      <c r="G370" s="44"/>
      <c r="I370" s="44"/>
      <c r="K370" s="44"/>
      <c r="M370" s="44"/>
      <c r="O370" s="36">
        <v>136983.53708712105</v>
      </c>
      <c r="P370" s="36">
        <v>230602.77702476573</v>
      </c>
      <c r="Q370" s="36">
        <v>324222.01696241042</v>
      </c>
      <c r="R370" s="36">
        <v>417841.25690005504</v>
      </c>
      <c r="S370" s="36">
        <v>511460.49683769984</v>
      </c>
      <c r="T370" s="36">
        <v>597504.0637126643</v>
      </c>
      <c r="U370" s="36">
        <v>885658.85640829243</v>
      </c>
      <c r="V370" s="36">
        <v>1172930.4540406112</v>
      </c>
      <c r="W370" s="36">
        <v>1459603.0542256795</v>
      </c>
      <c r="X370" s="36">
        <v>1745850.7328830101</v>
      </c>
      <c r="Y370" s="36">
        <v>2031786.0715103345</v>
      </c>
      <c r="Z370" s="36">
        <v>2797875.7136097881</v>
      </c>
      <c r="AA370" s="36">
        <v>3578347.1985425516</v>
      </c>
      <c r="AB370" s="36">
        <v>4369383.3601519046</v>
      </c>
      <c r="AC370" s="36">
        <v>5168408.0818056045</v>
      </c>
      <c r="AD370" s="36">
        <v>5973619.842552999</v>
      </c>
      <c r="AE370" s="36">
        <v>6783720.9367744168</v>
      </c>
      <c r="AF370" s="36">
        <v>7597752.8612054866</v>
      </c>
      <c r="AG370" s="36">
        <v>8414992.2844478451</v>
      </c>
      <c r="AH370" s="36">
        <v>9234883.0901085045</v>
      </c>
      <c r="AI370" s="36">
        <v>10056990.697193369</v>
      </c>
      <c r="AJ370" s="36">
        <v>10880970.579188507</v>
      </c>
      <c r="AK370" s="36">
        <v>11706546.086459659</v>
      </c>
      <c r="AL370" s="36">
        <v>12533492.514975704</v>
      </c>
      <c r="AM370" s="36">
        <v>13361625.460892713</v>
      </c>
      <c r="AN370" s="36">
        <v>14190792.173568098</v>
      </c>
      <c r="AO370" s="36">
        <v>15020865.043367203</v>
      </c>
      <c r="AP370" s="36">
        <v>15851736.633678852</v>
      </c>
      <c r="AQ370" s="36">
        <v>16683315.846181005</v>
      </c>
      <c r="AR370" s="36">
        <v>17515524.928811751</v>
      </c>
      <c r="AS370" s="36">
        <v>18348297.118024938</v>
      </c>
      <c r="AT370" s="36">
        <v>19181574.763810486</v>
      </c>
      <c r="AU370" s="36">
        <v>20015307.825960692</v>
      </c>
      <c r="AV370" s="36">
        <v>20849452.6585644</v>
      </c>
      <c r="AW370" s="36">
        <v>21683971.020270526</v>
      </c>
      <c r="AX370" s="36">
        <v>22518829.26286627</v>
      </c>
    </row>
    <row r="371" spans="3:54">
      <c r="E371" t="s">
        <v>660</v>
      </c>
      <c r="G371" s="44"/>
      <c r="I371" s="44"/>
      <c r="K371" s="44"/>
      <c r="M371" s="44"/>
      <c r="O371" s="36">
        <f>SUMIF($D338:$D370,$E371,O338:O370)</f>
        <v>1826036.2353321821</v>
      </c>
      <c r="P371" s="36">
        <f t="shared" ref="P371:AX371" si="236">SUMIF($D338:$D370,$E371,P338:P370)</f>
        <v>3146442.6642261585</v>
      </c>
      <c r="Q371" s="36">
        <f t="shared" si="236"/>
        <v>4466849.0931201335</v>
      </c>
      <c r="R371" s="36">
        <f t="shared" si="236"/>
        <v>5787255.5220141122</v>
      </c>
      <c r="S371" s="36">
        <f t="shared" si="236"/>
        <v>7107661.9509080881</v>
      </c>
      <c r="T371" s="36">
        <f t="shared" si="236"/>
        <v>8322547.9223900195</v>
      </c>
      <c r="U371" s="36">
        <f t="shared" si="236"/>
        <v>12356999.707388116</v>
      </c>
      <c r="V371" s="36">
        <f t="shared" si="236"/>
        <v>16386128.228391869</v>
      </c>
      <c r="W371" s="36">
        <f t="shared" si="236"/>
        <v>20411646.424025722</v>
      </c>
      <c r="X371" s="36">
        <f t="shared" si="236"/>
        <v>24434603.498608287</v>
      </c>
      <c r="Y371" s="36">
        <f t="shared" si="236"/>
        <v>28455678.012356002</v>
      </c>
      <c r="Z371" s="36">
        <f t="shared" si="236"/>
        <v>33438926.044284422</v>
      </c>
      <c r="AA371" s="36">
        <f t="shared" si="236"/>
        <v>38450743.64144548</v>
      </c>
      <c r="AB371" s="36">
        <f t="shared" si="236"/>
        <v>43483547.994126789</v>
      </c>
      <c r="AC371" s="36">
        <f t="shared" si="236"/>
        <v>48532221.640468664</v>
      </c>
      <c r="AD371" s="36">
        <f t="shared" si="236"/>
        <v>53593185.854787998</v>
      </c>
      <c r="AE371" s="36">
        <f t="shared" si="236"/>
        <v>58663862.741763361</v>
      </c>
      <c r="AF371" s="36">
        <f t="shared" si="236"/>
        <v>63742348.232364453</v>
      </c>
      <c r="AG371" s="36">
        <f t="shared" si="236"/>
        <v>68827205.427036062</v>
      </c>
      <c r="AH371" s="36">
        <f t="shared" si="236"/>
        <v>73917329.599231645</v>
      </c>
      <c r="AI371" s="36">
        <f t="shared" si="236"/>
        <v>79011857.452765658</v>
      </c>
      <c r="AJ371" s="36">
        <f t="shared" si="236"/>
        <v>84110104.584892929</v>
      </c>
      <c r="AK371" s="36">
        <f t="shared" si="236"/>
        <v>89211521.430452496</v>
      </c>
      <c r="AL371" s="36">
        <f t="shared" si="236"/>
        <v>94315661.614348441</v>
      </c>
      <c r="AM371" s="36">
        <f t="shared" si="236"/>
        <v>99422158.817903042</v>
      </c>
      <c r="AN371" s="36">
        <f t="shared" si="236"/>
        <v>104530709.60159904</v>
      </c>
      <c r="AO371" s="36">
        <f t="shared" si="236"/>
        <v>109641060.46859153</v>
      </c>
      <c r="AP371" s="36">
        <f t="shared" si="236"/>
        <v>114752997.99579507</v>
      </c>
      <c r="AQ371" s="36">
        <f t="shared" si="236"/>
        <v>119866341.21617484</v>
      </c>
      <c r="AR371" s="36">
        <f t="shared" si="236"/>
        <v>124980935.67507356</v>
      </c>
      <c r="AS371" s="36">
        <f t="shared" si="236"/>
        <v>130096648.74654692</v>
      </c>
      <c r="AT371" s="36">
        <f t="shared" si="236"/>
        <v>135213365.90871185</v>
      </c>
      <c r="AU371" s="36">
        <f t="shared" si="236"/>
        <v>140330987.75657591</v>
      </c>
      <c r="AV371" s="36">
        <f t="shared" si="236"/>
        <v>145449427.58743194</v>
      </c>
      <c r="AW371" s="36">
        <f t="shared" si="236"/>
        <v>150568609.43474466</v>
      </c>
      <c r="AX371" s="36">
        <f t="shared" si="236"/>
        <v>155688466.45625851</v>
      </c>
    </row>
    <row r="372" spans="3:54">
      <c r="E372" t="s">
        <v>661</v>
      </c>
      <c r="G372" s="44"/>
      <c r="I372" s="44"/>
      <c r="K372" s="44"/>
      <c r="M372" s="44"/>
      <c r="O372" s="36">
        <f>SUMIF($D338:$D370,$E372,O338:O370)</f>
        <v>7264863.7646678332</v>
      </c>
      <c r="P372" s="36">
        <f t="shared" ref="P372:AX372" si="237">SUMIF($D338:$D370,$E372,P338:P370)</f>
        <v>12222840.009596244</v>
      </c>
      <c r="Q372" s="36">
        <f t="shared" si="237"/>
        <v>17180816.254524648</v>
      </c>
      <c r="R372" s="36">
        <f t="shared" si="237"/>
        <v>22138792.49945306</v>
      </c>
      <c r="S372" s="36">
        <f t="shared" si="237"/>
        <v>27096768.744381461</v>
      </c>
      <c r="T372" s="36">
        <f t="shared" si="237"/>
        <v>31653415.621645454</v>
      </c>
      <c r="U372" s="36">
        <f t="shared" si="237"/>
        <v>46916691.527286999</v>
      </c>
      <c r="V372" s="36">
        <f t="shared" si="237"/>
        <v>62132497.03981892</v>
      </c>
      <c r="W372" s="36">
        <f t="shared" si="237"/>
        <v>77316107.34941788</v>
      </c>
      <c r="X372" s="36">
        <f t="shared" si="237"/>
        <v>92476878.772342265</v>
      </c>
      <c r="Y372" s="36">
        <f t="shared" si="237"/>
        <v>107620862.39308773</v>
      </c>
      <c r="Z372" s="36">
        <f t="shared" si="237"/>
        <v>120883208.66072565</v>
      </c>
      <c r="AA372" s="36">
        <f t="shared" si="237"/>
        <v>134085612.15244058</v>
      </c>
      <c r="AB372" s="36">
        <f t="shared" si="237"/>
        <v>147243982.61903742</v>
      </c>
      <c r="AC372" s="36">
        <f t="shared" si="237"/>
        <v>160369057.18119162</v>
      </c>
      <c r="AD372" s="36">
        <f t="shared" si="237"/>
        <v>173468344.48490345</v>
      </c>
      <c r="AE372" s="36">
        <f t="shared" si="237"/>
        <v>186547253.29997209</v>
      </c>
      <c r="AF372" s="36">
        <f t="shared" si="237"/>
        <v>199609778.61835122</v>
      </c>
      <c r="AG372" s="36">
        <f t="shared" si="237"/>
        <v>212658935.24783924</v>
      </c>
      <c r="AH372" s="36">
        <f t="shared" si="237"/>
        <v>225697041.05275443</v>
      </c>
      <c r="AI372" s="36">
        <f t="shared" si="237"/>
        <v>238725907.34416804</v>
      </c>
      <c r="AJ372" s="36">
        <f t="shared" si="237"/>
        <v>251746970.09074277</v>
      </c>
      <c r="AK372" s="36">
        <f t="shared" si="237"/>
        <v>264761382.35382345</v>
      </c>
      <c r="AL372" s="36">
        <f t="shared" si="237"/>
        <v>277770080.68817168</v>
      </c>
      <c r="AM372" s="36">
        <f t="shared" si="237"/>
        <v>290773833.67945665</v>
      </c>
      <c r="AN372" s="36">
        <f t="shared" si="237"/>
        <v>303773277.98444372</v>
      </c>
      <c r="AO372" s="36">
        <f t="shared" si="237"/>
        <v>316768945.47347975</v>
      </c>
      <c r="AP372" s="36">
        <f t="shared" si="237"/>
        <v>329761283.93679464</v>
      </c>
      <c r="AQ372" s="36">
        <f t="shared" si="237"/>
        <v>342750673.06747568</v>
      </c>
      <c r="AR372" s="36">
        <f t="shared" si="237"/>
        <v>355737436.93208909</v>
      </c>
      <c r="AS372" s="36">
        <f t="shared" si="237"/>
        <v>368721853.79763681</v>
      </c>
      <c r="AT372" s="36">
        <f t="shared" si="237"/>
        <v>381704163.94637471</v>
      </c>
      <c r="AU372" s="36">
        <f t="shared" si="237"/>
        <v>394684575.94329613</v>
      </c>
      <c r="AV372" s="36">
        <f t="shared" si="237"/>
        <v>407663271.70229769</v>
      </c>
      <c r="AW372" s="36">
        <f t="shared" si="237"/>
        <v>420640410.61134988</v>
      </c>
      <c r="AX372" s="36">
        <f t="shared" si="237"/>
        <v>433616132.91446078</v>
      </c>
    </row>
    <row r="373" spans="3:54">
      <c r="E373" t="s">
        <v>122</v>
      </c>
      <c r="G373" s="44"/>
      <c r="I373" s="44"/>
      <c r="K373" s="44"/>
      <c r="M373" s="44"/>
      <c r="O373" s="159">
        <f>SUM(O338:O370)</f>
        <v>9090900.0000000186</v>
      </c>
      <c r="P373" s="159">
        <f t="shared" ref="P373:AX373" si="238">SUM(P338:P370)</f>
        <v>15369282.673822405</v>
      </c>
      <c r="Q373" s="159">
        <f t="shared" si="238"/>
        <v>21647665.347644787</v>
      </c>
      <c r="R373" s="159">
        <f t="shared" si="238"/>
        <v>27926048.021467168</v>
      </c>
      <c r="S373" s="159">
        <f t="shared" si="238"/>
        <v>34204430.695289552</v>
      </c>
      <c r="T373" s="159">
        <f t="shared" si="238"/>
        <v>39975963.544035479</v>
      </c>
      <c r="U373" s="159">
        <f t="shared" si="238"/>
        <v>59273691.234675109</v>
      </c>
      <c r="V373" s="159">
        <f t="shared" si="238"/>
        <v>78518625.268210799</v>
      </c>
      <c r="W373" s="159">
        <f t="shared" si="238"/>
        <v>97727753.773443624</v>
      </c>
      <c r="X373" s="159">
        <f t="shared" si="238"/>
        <v>116911482.27095054</v>
      </c>
      <c r="Y373" s="159">
        <f t="shared" si="238"/>
        <v>136076540.40544373</v>
      </c>
      <c r="Z373" s="159">
        <f t="shared" si="238"/>
        <v>154322134.70501012</v>
      </c>
      <c r="AA373" s="159">
        <f t="shared" si="238"/>
        <v>172536355.7938861</v>
      </c>
      <c r="AB373" s="159">
        <f t="shared" si="238"/>
        <v>190727530.61316428</v>
      </c>
      <c r="AC373" s="159">
        <f t="shared" si="238"/>
        <v>208901278.82166031</v>
      </c>
      <c r="AD373" s="159">
        <f t="shared" si="238"/>
        <v>227061530.33969146</v>
      </c>
      <c r="AE373" s="159">
        <f t="shared" si="238"/>
        <v>245211116.04173541</v>
      </c>
      <c r="AF373" s="159">
        <f t="shared" si="238"/>
        <v>263352126.85071567</v>
      </c>
      <c r="AG373" s="159">
        <f t="shared" si="238"/>
        <v>281486140.67487532</v>
      </c>
      <c r="AH373" s="159">
        <f t="shared" si="238"/>
        <v>299614370.65198612</v>
      </c>
      <c r="AI373" s="159">
        <f t="shared" si="238"/>
        <v>317737764.79693359</v>
      </c>
      <c r="AJ373" s="159">
        <f t="shared" si="238"/>
        <v>335857074.67563581</v>
      </c>
      <c r="AK373" s="159">
        <f t="shared" si="238"/>
        <v>353972903.78427583</v>
      </c>
      <c r="AL373" s="159">
        <f t="shared" si="238"/>
        <v>372085742.30252016</v>
      </c>
      <c r="AM373" s="159">
        <f t="shared" si="238"/>
        <v>390195992.49735975</v>
      </c>
      <c r="AN373" s="159">
        <f t="shared" si="238"/>
        <v>408303987.58604264</v>
      </c>
      <c r="AO373" s="159">
        <f t="shared" si="238"/>
        <v>426410005.94207132</v>
      </c>
      <c r="AP373" s="159">
        <f t="shared" si="238"/>
        <v>444514281.93258959</v>
      </c>
      <c r="AQ373" s="159">
        <f t="shared" si="238"/>
        <v>462617014.28365052</v>
      </c>
      <c r="AR373" s="159">
        <f t="shared" si="238"/>
        <v>480718372.60716265</v>
      </c>
      <c r="AS373" s="159">
        <f t="shared" si="238"/>
        <v>498818502.54418367</v>
      </c>
      <c r="AT373" s="159">
        <f t="shared" si="238"/>
        <v>516917529.85508645</v>
      </c>
      <c r="AU373" s="159">
        <f t="shared" si="238"/>
        <v>535015563.69987214</v>
      </c>
      <c r="AV373" s="159">
        <f t="shared" si="238"/>
        <v>553112699.28972971</v>
      </c>
      <c r="AW373" s="159">
        <f t="shared" si="238"/>
        <v>571209020.04609442</v>
      </c>
      <c r="AX373" s="159">
        <f t="shared" si="238"/>
        <v>589304599.37071931</v>
      </c>
    </row>
    <row r="375" spans="3:54">
      <c r="D375" s="160" t="s">
        <v>720</v>
      </c>
      <c r="E375" t="str">
        <f xml:space="preserve"> Dashboard!$D$5</f>
        <v>Inner London</v>
      </c>
      <c r="G375" s="44"/>
      <c r="I375" s="44"/>
      <c r="K375" s="44"/>
      <c r="M375" s="44"/>
      <c r="O375" s="36">
        <f>INDEX(O338:O373,MATCH($E$334,$E$297:$E$332,0))</f>
        <v>1826036.2353321821</v>
      </c>
      <c r="P375" s="36">
        <f t="shared" ref="P375:AX375" si="239">INDEX(P338:P373,MATCH($E$334,$E$297:$E$332,0))</f>
        <v>3146442.6642261585</v>
      </c>
      <c r="Q375" s="36">
        <f t="shared" si="239"/>
        <v>4466849.0931201335</v>
      </c>
      <c r="R375" s="36">
        <f t="shared" si="239"/>
        <v>5787255.5220141122</v>
      </c>
      <c r="S375" s="36">
        <f t="shared" si="239"/>
        <v>7107661.9509080881</v>
      </c>
      <c r="T375" s="36">
        <f t="shared" si="239"/>
        <v>8322547.9223900195</v>
      </c>
      <c r="U375" s="36">
        <f t="shared" si="239"/>
        <v>12356999.707388116</v>
      </c>
      <c r="V375" s="36">
        <f t="shared" si="239"/>
        <v>16386128.228391869</v>
      </c>
      <c r="W375" s="36">
        <f t="shared" si="239"/>
        <v>20411646.424025722</v>
      </c>
      <c r="X375" s="36">
        <f t="shared" si="239"/>
        <v>24434603.498608287</v>
      </c>
      <c r="Y375" s="36">
        <f t="shared" si="239"/>
        <v>28455678.012356002</v>
      </c>
      <c r="Z375" s="36">
        <f t="shared" si="239"/>
        <v>33438926.044284422</v>
      </c>
      <c r="AA375" s="36">
        <f t="shared" si="239"/>
        <v>38450743.64144548</v>
      </c>
      <c r="AB375" s="36">
        <f t="shared" si="239"/>
        <v>43483547.994126789</v>
      </c>
      <c r="AC375" s="36">
        <f t="shared" si="239"/>
        <v>48532221.640468664</v>
      </c>
      <c r="AD375" s="36">
        <f t="shared" si="239"/>
        <v>53593185.854787998</v>
      </c>
      <c r="AE375" s="36">
        <f t="shared" si="239"/>
        <v>58663862.741763361</v>
      </c>
      <c r="AF375" s="36">
        <f t="shared" si="239"/>
        <v>63742348.232364453</v>
      </c>
      <c r="AG375" s="36">
        <f t="shared" si="239"/>
        <v>68827205.427036062</v>
      </c>
      <c r="AH375" s="36">
        <f t="shared" si="239"/>
        <v>73917329.599231645</v>
      </c>
      <c r="AI375" s="36">
        <f t="shared" si="239"/>
        <v>79011857.452765658</v>
      </c>
      <c r="AJ375" s="36">
        <f t="shared" si="239"/>
        <v>84110104.584892929</v>
      </c>
      <c r="AK375" s="36">
        <f t="shared" si="239"/>
        <v>89211521.430452496</v>
      </c>
      <c r="AL375" s="36">
        <f t="shared" si="239"/>
        <v>94315661.614348441</v>
      </c>
      <c r="AM375" s="36">
        <f t="shared" si="239"/>
        <v>99422158.817903042</v>
      </c>
      <c r="AN375" s="36">
        <f t="shared" si="239"/>
        <v>104530709.60159904</v>
      </c>
      <c r="AO375" s="36">
        <f t="shared" si="239"/>
        <v>109641060.46859153</v>
      </c>
      <c r="AP375" s="36">
        <f t="shared" si="239"/>
        <v>114752997.99579507</v>
      </c>
      <c r="AQ375" s="36">
        <f t="shared" si="239"/>
        <v>119866341.21617484</v>
      </c>
      <c r="AR375" s="36">
        <f t="shared" si="239"/>
        <v>124980935.67507356</v>
      </c>
      <c r="AS375" s="36">
        <f t="shared" si="239"/>
        <v>130096648.74654692</v>
      </c>
      <c r="AT375" s="36">
        <f t="shared" si="239"/>
        <v>135213365.90871185</v>
      </c>
      <c r="AU375" s="36">
        <f t="shared" si="239"/>
        <v>140330987.75657591</v>
      </c>
      <c r="AV375" s="36">
        <f t="shared" si="239"/>
        <v>145449427.58743194</v>
      </c>
      <c r="AW375" s="36">
        <f t="shared" si="239"/>
        <v>150568609.43474466</v>
      </c>
      <c r="AX375" s="36">
        <f t="shared" si="239"/>
        <v>155688466.45625851</v>
      </c>
    </row>
    <row r="377" spans="3:54" s="43" customFormat="1">
      <c r="C377" s="43" t="str">
        <f>"Selected PV scenario: "&amp;Dashboard!$D$6</f>
        <v>Selected PV scenario: High Electrification</v>
      </c>
      <c r="O377" s="71"/>
      <c r="P377" s="71"/>
      <c r="Q377" s="71"/>
      <c r="R377" s="71"/>
      <c r="S377" s="71"/>
      <c r="T377" s="71"/>
      <c r="U377" s="71"/>
      <c r="V377" s="71"/>
      <c r="W377" s="71"/>
      <c r="X377" s="71"/>
      <c r="Y377" s="71"/>
      <c r="Z377" s="71"/>
      <c r="AA377" s="71"/>
      <c r="AB377" s="71"/>
      <c r="AC377" s="71"/>
      <c r="AD377" s="71"/>
      <c r="AE377" s="71"/>
      <c r="AF377" s="71"/>
      <c r="AG377" s="71"/>
      <c r="AH377" s="71"/>
      <c r="AI377" s="71"/>
      <c r="AJ377" s="71"/>
      <c r="AK377" s="71"/>
      <c r="AL377" s="71"/>
      <c r="AM377" s="71"/>
      <c r="AN377" s="71"/>
      <c r="AO377" s="71"/>
      <c r="AP377" s="71"/>
      <c r="AQ377" s="71"/>
      <c r="AR377" s="71"/>
      <c r="AS377" s="71"/>
      <c r="AT377" s="71"/>
      <c r="AU377" s="71"/>
      <c r="AV377" s="71"/>
      <c r="AW377" s="71"/>
      <c r="AX377" s="71"/>
    </row>
    <row r="379" spans="3:54">
      <c r="D379" t="s">
        <v>661</v>
      </c>
      <c r="E379" t="s">
        <v>626</v>
      </c>
      <c r="G379" s="44"/>
      <c r="I379" s="44"/>
      <c r="K379" s="44"/>
      <c r="M379" s="44"/>
      <c r="O379" s="36">
        <f>IF(Dashboard!$D$6="Baseline",'2.4 PV (by Borough)'!O215,IF(Dashboard!$D$6=INDEX('Scenario names'!$C$3:$C$6,4),'2.4 PV (by Borough)'!O338,IF(Dashboard!$D$6=INDEX('Scenario names'!$C$3:$C$6,1),'2.4 PV (by Borough)'!O297,IF(Dashboard!$D$6=INDEX('Scenario names'!$C$3:$C$6,2),'2.4 PV (by Borough)'!O297,IF(Dashboard!$D$6=INDEX('Scenario names'!$C$3:$C$6,3),'2.4 PV (by Borough)'!O338,"Error")))))</f>
        <v>332988.09144140763</v>
      </c>
      <c r="P379" s="36">
        <f>IF(Dashboard!$D$6="Baseline",'2.4 PV (by Borough)'!P215,IF(Dashboard!$D$6=INDEX('Scenario names'!$C$3:$C$6,4),'2.4 PV (by Borough)'!P338,IF(Dashboard!$D$6=INDEX('Scenario names'!$C$3:$C$6,1),'2.4 PV (by Borough)'!P297,IF(Dashboard!$D$6=INDEX('Scenario names'!$C$3:$C$6,2),'2.4 PV (by Borough)'!P297,IF(Dashboard!$D$6=INDEX('Scenario names'!$C$3:$C$6,3),'2.4 PV (by Borough)'!P338,"Error")))))</f>
        <v>560058.61874477891</v>
      </c>
      <c r="Q379" s="36">
        <f>IF(Dashboard!$D$6="Baseline",'2.4 PV (by Borough)'!Q215,IF(Dashboard!$D$6=INDEX('Scenario names'!$C$3:$C$6,4),'2.4 PV (by Borough)'!Q338,IF(Dashboard!$D$6=INDEX('Scenario names'!$C$3:$C$6,1),'2.4 PV (by Borough)'!Q297,IF(Dashboard!$D$6=INDEX('Scenario names'!$C$3:$C$6,2),'2.4 PV (by Borough)'!Q297,IF(Dashboard!$D$6=INDEX('Scenario names'!$C$3:$C$6,3),'2.4 PV (by Borough)'!Q338,"Error")))))</f>
        <v>787129.14604815003</v>
      </c>
      <c r="R379" s="36">
        <f>IF(Dashboard!$D$6="Baseline",'2.4 PV (by Borough)'!R215,IF(Dashboard!$D$6=INDEX('Scenario names'!$C$3:$C$6,4),'2.4 PV (by Borough)'!R338,IF(Dashboard!$D$6=INDEX('Scenario names'!$C$3:$C$6,1),'2.4 PV (by Borough)'!R297,IF(Dashboard!$D$6=INDEX('Scenario names'!$C$3:$C$6,2),'2.4 PV (by Borough)'!R297,IF(Dashboard!$D$6=INDEX('Scenario names'!$C$3:$C$6,3),'2.4 PV (by Borough)'!R338,"Error")))))</f>
        <v>1014199.6733515215</v>
      </c>
      <c r="S379" s="36">
        <f>IF(Dashboard!$D$6="Baseline",'2.4 PV (by Borough)'!S215,IF(Dashboard!$D$6=INDEX('Scenario names'!$C$3:$C$6,4),'2.4 PV (by Borough)'!S338,IF(Dashboard!$D$6=INDEX('Scenario names'!$C$3:$C$6,1),'2.4 PV (by Borough)'!S297,IF(Dashboard!$D$6=INDEX('Scenario names'!$C$3:$C$6,2),'2.4 PV (by Borough)'!S297,IF(Dashboard!$D$6=INDEX('Scenario names'!$C$3:$C$6,3),'2.4 PV (by Borough)'!S338,"Error")))))</f>
        <v>1241270.2006548927</v>
      </c>
      <c r="T379" s="36">
        <f>IF(Dashboard!$D$6="Baseline",'2.4 PV (by Borough)'!T215,IF(Dashboard!$D$6=INDEX('Scenario names'!$C$3:$C$6,4),'2.4 PV (by Borough)'!T338,IF(Dashboard!$D$6=INDEX('Scenario names'!$C$3:$C$6,1),'2.4 PV (by Borough)'!T297,IF(Dashboard!$D$6=INDEX('Scenario names'!$C$3:$C$6,2),'2.4 PV (by Borough)'!T297,IF(Dashboard!$D$6=INDEX('Scenario names'!$C$3:$C$6,3),'2.4 PV (by Borough)'!T338,"Error")))))</f>
        <v>1468340.7279582641</v>
      </c>
      <c r="U379" s="36">
        <f>IF(Dashboard!$D$6="Baseline",'2.4 PV (by Borough)'!U215,IF(Dashboard!$D$6=INDEX('Scenario names'!$C$3:$C$6,4),'2.4 PV (by Borough)'!U338,IF(Dashboard!$D$6=INDEX('Scenario names'!$C$3:$C$6,1),'2.4 PV (by Borough)'!U297,IF(Dashboard!$D$6=INDEX('Scenario names'!$C$3:$C$6,2),'2.4 PV (by Borough)'!U297,IF(Dashboard!$D$6=INDEX('Scenario names'!$C$3:$C$6,3),'2.4 PV (by Borough)'!U338,"Error")))))</f>
        <v>1695411.2552616354</v>
      </c>
      <c r="V379" s="36">
        <f>IF(Dashboard!$D$6="Baseline",'2.4 PV (by Borough)'!V215,IF(Dashboard!$D$6=INDEX('Scenario names'!$C$3:$C$6,4),'2.4 PV (by Borough)'!V338,IF(Dashboard!$D$6=INDEX('Scenario names'!$C$3:$C$6,1),'2.4 PV (by Borough)'!V297,IF(Dashboard!$D$6=INDEX('Scenario names'!$C$3:$C$6,2),'2.4 PV (by Borough)'!V297,IF(Dashboard!$D$6=INDEX('Scenario names'!$C$3:$C$6,3),'2.4 PV (by Borough)'!V338,"Error")))))</f>
        <v>1922481.782565007</v>
      </c>
      <c r="W379" s="36">
        <f>IF(Dashboard!$D$6="Baseline",'2.4 PV (by Borough)'!W215,IF(Dashboard!$D$6=INDEX('Scenario names'!$C$3:$C$6,4),'2.4 PV (by Borough)'!W338,IF(Dashboard!$D$6=INDEX('Scenario names'!$C$3:$C$6,1),'2.4 PV (by Borough)'!W297,IF(Dashboard!$D$6=INDEX('Scenario names'!$C$3:$C$6,2),'2.4 PV (by Borough)'!W297,IF(Dashboard!$D$6=INDEX('Scenario names'!$C$3:$C$6,3),'2.4 PV (by Borough)'!W338,"Error")))))</f>
        <v>2149552.3098683776</v>
      </c>
      <c r="X379" s="36">
        <f>IF(Dashboard!$D$6="Baseline",'2.4 PV (by Borough)'!X215,IF(Dashboard!$D$6=INDEX('Scenario names'!$C$3:$C$6,4),'2.4 PV (by Borough)'!X338,IF(Dashboard!$D$6=INDEX('Scenario names'!$C$3:$C$6,1),'2.4 PV (by Borough)'!X297,IF(Dashboard!$D$6=INDEX('Scenario names'!$C$3:$C$6,2),'2.4 PV (by Borough)'!X297,IF(Dashboard!$D$6=INDEX('Scenario names'!$C$3:$C$6,3),'2.4 PV (by Borough)'!X338,"Error")))))</f>
        <v>2376622.8371717497</v>
      </c>
      <c r="Y379" s="36">
        <f>IF(Dashboard!$D$6="Baseline",'2.4 PV (by Borough)'!Y215,IF(Dashboard!$D$6=INDEX('Scenario names'!$C$3:$C$6,4),'2.4 PV (by Borough)'!Y338,IF(Dashboard!$D$6=INDEX('Scenario names'!$C$3:$C$6,1),'2.4 PV (by Borough)'!Y297,IF(Dashboard!$D$6=INDEX('Scenario names'!$C$3:$C$6,2),'2.4 PV (by Borough)'!Y297,IF(Dashboard!$D$6=INDEX('Scenario names'!$C$3:$C$6,3),'2.4 PV (by Borough)'!Y338,"Error")))))</f>
        <v>2603693.3644751208</v>
      </c>
      <c r="Z379" s="36">
        <f>IF(Dashboard!$D$6="Baseline",'2.4 PV (by Borough)'!Z215,IF(Dashboard!$D$6=INDEX('Scenario names'!$C$3:$C$6,4),'2.4 PV (by Borough)'!Z338,IF(Dashboard!$D$6=INDEX('Scenario names'!$C$3:$C$6,1),'2.4 PV (by Borough)'!Z297,IF(Dashboard!$D$6=INDEX('Scenario names'!$C$3:$C$6,2),'2.4 PV (by Borough)'!Z297,IF(Dashboard!$D$6=INDEX('Scenario names'!$C$3:$C$6,3),'2.4 PV (by Borough)'!Z338,"Error")))))</f>
        <v>2907197.6319712456</v>
      </c>
      <c r="AA379" s="36">
        <f>IF(Dashboard!$D$6="Baseline",'2.4 PV (by Borough)'!AA215,IF(Dashboard!$D$6=INDEX('Scenario names'!$C$3:$C$6,4),'2.4 PV (by Borough)'!AA338,IF(Dashboard!$D$6=INDEX('Scenario names'!$C$3:$C$6,1),'2.4 PV (by Borough)'!AA297,IF(Dashboard!$D$6=INDEX('Scenario names'!$C$3:$C$6,2),'2.4 PV (by Borough)'!AA297,IF(Dashboard!$D$6=INDEX('Scenario names'!$C$3:$C$6,3),'2.4 PV (by Borough)'!AA338,"Error")))))</f>
        <v>3210701.8994673709</v>
      </c>
      <c r="AB379" s="36">
        <f>IF(Dashboard!$D$6="Baseline",'2.4 PV (by Borough)'!AB215,IF(Dashboard!$D$6=INDEX('Scenario names'!$C$3:$C$6,4),'2.4 PV (by Borough)'!AB338,IF(Dashboard!$D$6=INDEX('Scenario names'!$C$3:$C$6,1),'2.4 PV (by Borough)'!AB297,IF(Dashboard!$D$6=INDEX('Scenario names'!$C$3:$C$6,2),'2.4 PV (by Borough)'!AB297,IF(Dashboard!$D$6=INDEX('Scenario names'!$C$3:$C$6,3),'2.4 PV (by Borough)'!AB338,"Error")))))</f>
        <v>3514206.1669634953</v>
      </c>
      <c r="AC379" s="36">
        <f>IF(Dashboard!$D$6="Baseline",'2.4 PV (by Borough)'!AC215,IF(Dashboard!$D$6=INDEX('Scenario names'!$C$3:$C$6,4),'2.4 PV (by Borough)'!AC338,IF(Dashboard!$D$6=INDEX('Scenario names'!$C$3:$C$6,1),'2.4 PV (by Borough)'!AC297,IF(Dashboard!$D$6=INDEX('Scenario names'!$C$3:$C$6,2),'2.4 PV (by Borough)'!AC297,IF(Dashboard!$D$6=INDEX('Scenario names'!$C$3:$C$6,3),'2.4 PV (by Borough)'!AC338,"Error")))))</f>
        <v>3817710.4344596206</v>
      </c>
      <c r="AD379" s="36">
        <f>IF(Dashboard!$D$6="Baseline",'2.4 PV (by Borough)'!AD215,IF(Dashboard!$D$6=INDEX('Scenario names'!$C$3:$C$6,4),'2.4 PV (by Borough)'!AD338,IF(Dashboard!$D$6=INDEX('Scenario names'!$C$3:$C$6,1),'2.4 PV (by Borough)'!AD297,IF(Dashboard!$D$6=INDEX('Scenario names'!$C$3:$C$6,2),'2.4 PV (by Borough)'!AD297,IF(Dashboard!$D$6=INDEX('Scenario names'!$C$3:$C$6,3),'2.4 PV (by Borough)'!AD338,"Error")))))</f>
        <v>4121214.7019557459</v>
      </c>
      <c r="AE379" s="36">
        <f>IF(Dashboard!$D$6="Baseline",'2.4 PV (by Borough)'!AE215,IF(Dashboard!$D$6=INDEX('Scenario names'!$C$3:$C$6,4),'2.4 PV (by Borough)'!AE338,IF(Dashboard!$D$6=INDEX('Scenario names'!$C$3:$C$6,1),'2.4 PV (by Borough)'!AE297,IF(Dashboard!$D$6=INDEX('Scenario names'!$C$3:$C$6,2),'2.4 PV (by Borough)'!AE297,IF(Dashboard!$D$6=INDEX('Scenario names'!$C$3:$C$6,3),'2.4 PV (by Borough)'!AE338,"Error")))))</f>
        <v>4424718.9694518708</v>
      </c>
      <c r="AF379" s="36">
        <f>IF(Dashboard!$D$6="Baseline",'2.4 PV (by Borough)'!AF215,IF(Dashboard!$D$6=INDEX('Scenario names'!$C$3:$C$6,4),'2.4 PV (by Borough)'!AF338,IF(Dashboard!$D$6=INDEX('Scenario names'!$C$3:$C$6,1),'2.4 PV (by Borough)'!AF297,IF(Dashboard!$D$6=INDEX('Scenario names'!$C$3:$C$6,2),'2.4 PV (by Borough)'!AF297,IF(Dashboard!$D$6=INDEX('Scenario names'!$C$3:$C$6,3),'2.4 PV (by Borough)'!AF338,"Error")))))</f>
        <v>4728223.2369479975</v>
      </c>
      <c r="AG379" s="36">
        <f>IF(Dashboard!$D$6="Baseline",'2.4 PV (by Borough)'!AG215,IF(Dashboard!$D$6=INDEX('Scenario names'!$C$3:$C$6,4),'2.4 PV (by Borough)'!AG338,IF(Dashboard!$D$6=INDEX('Scenario names'!$C$3:$C$6,1),'2.4 PV (by Borough)'!AG297,IF(Dashboard!$D$6=INDEX('Scenario names'!$C$3:$C$6,2),'2.4 PV (by Borough)'!AG297,IF(Dashboard!$D$6=INDEX('Scenario names'!$C$3:$C$6,3),'2.4 PV (by Borough)'!AG338,"Error")))))</f>
        <v>5031727.5044441214</v>
      </c>
      <c r="AH379" s="36">
        <f>IF(Dashboard!$D$6="Baseline",'2.4 PV (by Borough)'!AH215,IF(Dashboard!$D$6=INDEX('Scenario names'!$C$3:$C$6,4),'2.4 PV (by Borough)'!AH338,IF(Dashboard!$D$6=INDEX('Scenario names'!$C$3:$C$6,1),'2.4 PV (by Borough)'!AH297,IF(Dashboard!$D$6=INDEX('Scenario names'!$C$3:$C$6,2),'2.4 PV (by Borough)'!AH297,IF(Dashboard!$D$6=INDEX('Scenario names'!$C$3:$C$6,3),'2.4 PV (by Borough)'!AH338,"Error")))))</f>
        <v>5335231.7719402472</v>
      </c>
      <c r="AI379" s="36">
        <f>IF(Dashboard!$D$6="Baseline",'2.4 PV (by Borough)'!AI215,IF(Dashboard!$D$6=INDEX('Scenario names'!$C$3:$C$6,4),'2.4 PV (by Borough)'!AI338,IF(Dashboard!$D$6=INDEX('Scenario names'!$C$3:$C$6,1),'2.4 PV (by Borough)'!AI297,IF(Dashboard!$D$6=INDEX('Scenario names'!$C$3:$C$6,2),'2.4 PV (by Borough)'!AI297,IF(Dashboard!$D$6=INDEX('Scenario names'!$C$3:$C$6,3),'2.4 PV (by Borough)'!AI338,"Error")))))</f>
        <v>5638736.039436372</v>
      </c>
      <c r="AJ379" s="36">
        <f>IF(Dashboard!$D$6="Baseline",'2.4 PV (by Borough)'!AJ215,IF(Dashboard!$D$6=INDEX('Scenario names'!$C$3:$C$6,4),'2.4 PV (by Borough)'!AJ338,IF(Dashboard!$D$6=INDEX('Scenario names'!$C$3:$C$6,1),'2.4 PV (by Borough)'!AJ297,IF(Dashboard!$D$6=INDEX('Scenario names'!$C$3:$C$6,2),'2.4 PV (by Borough)'!AJ297,IF(Dashboard!$D$6=INDEX('Scenario names'!$C$3:$C$6,3),'2.4 PV (by Borough)'!AJ338,"Error")))))</f>
        <v>5942240.3069324987</v>
      </c>
      <c r="AK379" s="36">
        <f>IF(Dashboard!$D$6="Baseline",'2.4 PV (by Borough)'!AK215,IF(Dashboard!$D$6=INDEX('Scenario names'!$C$3:$C$6,4),'2.4 PV (by Borough)'!AK338,IF(Dashboard!$D$6=INDEX('Scenario names'!$C$3:$C$6,1),'2.4 PV (by Borough)'!AK297,IF(Dashboard!$D$6=INDEX('Scenario names'!$C$3:$C$6,2),'2.4 PV (by Borough)'!AK297,IF(Dashboard!$D$6=INDEX('Scenario names'!$C$3:$C$6,3),'2.4 PV (by Borough)'!AK338,"Error")))))</f>
        <v>6245744.5744286217</v>
      </c>
      <c r="AL379" s="36">
        <f>IF(Dashboard!$D$6="Baseline",'2.4 PV (by Borough)'!AL215,IF(Dashboard!$D$6=INDEX('Scenario names'!$C$3:$C$6,4),'2.4 PV (by Borough)'!AL338,IF(Dashboard!$D$6=INDEX('Scenario names'!$C$3:$C$6,1),'2.4 PV (by Borough)'!AL297,IF(Dashboard!$D$6=INDEX('Scenario names'!$C$3:$C$6,2),'2.4 PV (by Borough)'!AL297,IF(Dashboard!$D$6=INDEX('Scenario names'!$C$3:$C$6,3),'2.4 PV (by Borough)'!AL338,"Error")))))</f>
        <v>6549248.8419247475</v>
      </c>
      <c r="AM379" s="36">
        <f>IF(Dashboard!$D$6="Baseline",'2.4 PV (by Borough)'!AM215,IF(Dashboard!$D$6=INDEX('Scenario names'!$C$3:$C$6,4),'2.4 PV (by Borough)'!AM338,IF(Dashboard!$D$6=INDEX('Scenario names'!$C$3:$C$6,1),'2.4 PV (by Borough)'!AM297,IF(Dashboard!$D$6=INDEX('Scenario names'!$C$3:$C$6,2),'2.4 PV (by Borough)'!AM297,IF(Dashboard!$D$6=INDEX('Scenario names'!$C$3:$C$6,3),'2.4 PV (by Borough)'!AM338,"Error")))))</f>
        <v>6852753.1094208714</v>
      </c>
      <c r="AN379" s="36">
        <f>IF(Dashboard!$D$6="Baseline",'2.4 PV (by Borough)'!AN215,IF(Dashboard!$D$6=INDEX('Scenario names'!$C$3:$C$6,4),'2.4 PV (by Borough)'!AN338,IF(Dashboard!$D$6=INDEX('Scenario names'!$C$3:$C$6,1),'2.4 PV (by Borough)'!AN297,IF(Dashboard!$D$6=INDEX('Scenario names'!$C$3:$C$6,2),'2.4 PV (by Borough)'!AN297,IF(Dashboard!$D$6=INDEX('Scenario names'!$C$3:$C$6,3),'2.4 PV (by Borough)'!AN338,"Error")))))</f>
        <v>7156257.3769169981</v>
      </c>
      <c r="AO379" s="36">
        <f>IF(Dashboard!$D$6="Baseline",'2.4 PV (by Borough)'!AO215,IF(Dashboard!$D$6=INDEX('Scenario names'!$C$3:$C$6,4),'2.4 PV (by Borough)'!AO338,IF(Dashboard!$D$6=INDEX('Scenario names'!$C$3:$C$6,1),'2.4 PV (by Borough)'!AO297,IF(Dashboard!$D$6=INDEX('Scenario names'!$C$3:$C$6,2),'2.4 PV (by Borough)'!AO297,IF(Dashboard!$D$6=INDEX('Scenario names'!$C$3:$C$6,3),'2.4 PV (by Borough)'!AO338,"Error")))))</f>
        <v>7459761.644413122</v>
      </c>
      <c r="AP379" s="36">
        <f>IF(Dashboard!$D$6="Baseline",'2.4 PV (by Borough)'!AP215,IF(Dashboard!$D$6=INDEX('Scenario names'!$C$3:$C$6,4),'2.4 PV (by Borough)'!AP338,IF(Dashboard!$D$6=INDEX('Scenario names'!$C$3:$C$6,1),'2.4 PV (by Borough)'!AP297,IF(Dashboard!$D$6=INDEX('Scenario names'!$C$3:$C$6,2),'2.4 PV (by Borough)'!AP297,IF(Dashboard!$D$6=INDEX('Scenario names'!$C$3:$C$6,3),'2.4 PV (by Borough)'!AP338,"Error")))))</f>
        <v>7763265.9119092468</v>
      </c>
      <c r="AQ379" s="36">
        <f>IF(Dashboard!$D$6="Baseline",'2.4 PV (by Borough)'!AQ215,IF(Dashboard!$D$6=INDEX('Scenario names'!$C$3:$C$6,4),'2.4 PV (by Borough)'!AQ338,IF(Dashboard!$D$6=INDEX('Scenario names'!$C$3:$C$6,1),'2.4 PV (by Borough)'!AQ297,IF(Dashboard!$D$6=INDEX('Scenario names'!$C$3:$C$6,2),'2.4 PV (by Borough)'!AQ297,IF(Dashboard!$D$6=INDEX('Scenario names'!$C$3:$C$6,3),'2.4 PV (by Borough)'!AQ338,"Error")))))</f>
        <v>8066770.1794053726</v>
      </c>
      <c r="AR379" s="36">
        <f>IF(Dashboard!$D$6="Baseline",'2.4 PV (by Borough)'!AR215,IF(Dashboard!$D$6=INDEX('Scenario names'!$C$3:$C$6,4),'2.4 PV (by Borough)'!AR338,IF(Dashboard!$D$6=INDEX('Scenario names'!$C$3:$C$6,1),'2.4 PV (by Borough)'!AR297,IF(Dashboard!$D$6=INDEX('Scenario names'!$C$3:$C$6,2),'2.4 PV (by Borough)'!AR297,IF(Dashboard!$D$6=INDEX('Scenario names'!$C$3:$C$6,3),'2.4 PV (by Borough)'!AR338,"Error")))))</f>
        <v>8370274.4469014974</v>
      </c>
      <c r="AS379" s="36">
        <f>IF(Dashboard!$D$6="Baseline",'2.4 PV (by Borough)'!AS215,IF(Dashboard!$D$6=INDEX('Scenario names'!$C$3:$C$6,4),'2.4 PV (by Borough)'!AS338,IF(Dashboard!$D$6=INDEX('Scenario names'!$C$3:$C$6,1),'2.4 PV (by Borough)'!AS297,IF(Dashboard!$D$6=INDEX('Scenario names'!$C$3:$C$6,2),'2.4 PV (by Borough)'!AS297,IF(Dashboard!$D$6=INDEX('Scenario names'!$C$3:$C$6,3),'2.4 PV (by Borough)'!AS338,"Error")))))</f>
        <v>8673778.7143976223</v>
      </c>
      <c r="AT379" s="36">
        <f>IF(Dashboard!$D$6="Baseline",'2.4 PV (by Borough)'!AT215,IF(Dashboard!$D$6=INDEX('Scenario names'!$C$3:$C$6,4),'2.4 PV (by Borough)'!AT338,IF(Dashboard!$D$6=INDEX('Scenario names'!$C$3:$C$6,1),'2.4 PV (by Borough)'!AT297,IF(Dashboard!$D$6=INDEX('Scenario names'!$C$3:$C$6,2),'2.4 PV (by Borough)'!AT297,IF(Dashboard!$D$6=INDEX('Scenario names'!$C$3:$C$6,3),'2.4 PV (by Borough)'!AT338,"Error")))))</f>
        <v>8977282.9818937462</v>
      </c>
      <c r="AU379" s="36">
        <f>IF(Dashboard!$D$6="Baseline",'2.4 PV (by Borough)'!AU215,IF(Dashboard!$D$6=INDEX('Scenario names'!$C$3:$C$6,4),'2.4 PV (by Borough)'!AU338,IF(Dashboard!$D$6=INDEX('Scenario names'!$C$3:$C$6,1),'2.4 PV (by Borough)'!AU297,IF(Dashboard!$D$6=INDEX('Scenario names'!$C$3:$C$6,2),'2.4 PV (by Borough)'!AU297,IF(Dashboard!$D$6=INDEX('Scenario names'!$C$3:$C$6,3),'2.4 PV (by Borough)'!AU338,"Error")))))</f>
        <v>9280787.249389872</v>
      </c>
      <c r="AV379" s="36">
        <f>IF(Dashboard!$D$6="Baseline",'2.4 PV (by Borough)'!AV215,IF(Dashboard!$D$6=INDEX('Scenario names'!$C$3:$C$6,4),'2.4 PV (by Borough)'!AV338,IF(Dashboard!$D$6=INDEX('Scenario names'!$C$3:$C$6,1),'2.4 PV (by Borough)'!AV297,IF(Dashboard!$D$6=INDEX('Scenario names'!$C$3:$C$6,2),'2.4 PV (by Borough)'!AV297,IF(Dashboard!$D$6=INDEX('Scenario names'!$C$3:$C$6,3),'2.4 PV (by Borough)'!AV338,"Error")))))</f>
        <v>9584291.5168859959</v>
      </c>
      <c r="AW379" s="36">
        <f>IF(Dashboard!$D$6="Baseline",'2.4 PV (by Borough)'!AW215,IF(Dashboard!$D$6=INDEX('Scenario names'!$C$3:$C$6,4),'2.4 PV (by Borough)'!AW338,IF(Dashboard!$D$6=INDEX('Scenario names'!$C$3:$C$6,1),'2.4 PV (by Borough)'!AW297,IF(Dashboard!$D$6=INDEX('Scenario names'!$C$3:$C$6,2),'2.4 PV (by Borough)'!AW297,IF(Dashboard!$D$6=INDEX('Scenario names'!$C$3:$C$6,3),'2.4 PV (by Borough)'!AW338,"Error")))))</f>
        <v>9887795.7843821216</v>
      </c>
      <c r="AX379" s="36">
        <f>IF(Dashboard!$D$6="Baseline",'2.4 PV (by Borough)'!AX215,IF(Dashboard!$D$6=INDEX('Scenario names'!$C$3:$C$6,4),'2.4 PV (by Borough)'!AX338,IF(Dashboard!$D$6=INDEX('Scenario names'!$C$3:$C$6,1),'2.4 PV (by Borough)'!AX297,IF(Dashboard!$D$6=INDEX('Scenario names'!$C$3:$C$6,2),'2.4 PV (by Borough)'!AX297,IF(Dashboard!$D$6=INDEX('Scenario names'!$C$3:$C$6,3),'2.4 PV (by Borough)'!AX338,"Error")))))</f>
        <v>10191300.051878246</v>
      </c>
      <c r="AY379" s="36"/>
      <c r="AZ379" s="36"/>
      <c r="BA379" s="36"/>
      <c r="BB379" s="36"/>
    </row>
    <row r="380" spans="3:54">
      <c r="D380" t="s">
        <v>661</v>
      </c>
      <c r="E380" t="s">
        <v>627</v>
      </c>
      <c r="G380" s="44"/>
      <c r="I380" s="44"/>
      <c r="K380" s="44"/>
      <c r="M380" s="44"/>
      <c r="O380" s="36">
        <f>IF(Dashboard!$D$6="Baseline",'2.4 PV (by Borough)'!O216,IF(Dashboard!$D$6=INDEX('Scenario names'!$C$3:$C$6,4),'2.4 PV (by Borough)'!O339,IF(Dashboard!$D$6=INDEX('Scenario names'!$C$3:$C$6,1),'2.4 PV (by Borough)'!O298,IF(Dashboard!$D$6=INDEX('Scenario names'!$C$3:$C$6,2),'2.4 PV (by Borough)'!O298,IF(Dashboard!$D$6=INDEX('Scenario names'!$C$3:$C$6,3),'2.4 PV (by Borough)'!O339,"Error")))))</f>
        <v>409415.66711500898</v>
      </c>
      <c r="P380" s="36">
        <f>IF(Dashboard!$D$6="Baseline",'2.4 PV (by Borough)'!P216,IF(Dashboard!$D$6=INDEX('Scenario names'!$C$3:$C$6,4),'2.4 PV (by Borough)'!P339,IF(Dashboard!$D$6=INDEX('Scenario names'!$C$3:$C$6,1),'2.4 PV (by Borough)'!P298,IF(Dashboard!$D$6=INDEX('Scenario names'!$C$3:$C$6,2),'2.4 PV (by Borough)'!P298,IF(Dashboard!$D$6=INDEX('Scenario names'!$C$3:$C$6,3),'2.4 PV (by Borough)'!P339,"Error")))))</f>
        <v>689799.15144855471</v>
      </c>
      <c r="Q380" s="36">
        <f>IF(Dashboard!$D$6="Baseline",'2.4 PV (by Borough)'!Q216,IF(Dashboard!$D$6=INDEX('Scenario names'!$C$3:$C$6,4),'2.4 PV (by Borough)'!Q339,IF(Dashboard!$D$6=INDEX('Scenario names'!$C$3:$C$6,1),'2.4 PV (by Borough)'!Q298,IF(Dashboard!$D$6=INDEX('Scenario names'!$C$3:$C$6,2),'2.4 PV (by Borough)'!Q298,IF(Dashboard!$D$6=INDEX('Scenario names'!$C$3:$C$6,3),'2.4 PV (by Borough)'!Q339,"Error")))))</f>
        <v>970182.63578210061</v>
      </c>
      <c r="R380" s="36">
        <f>IF(Dashboard!$D$6="Baseline",'2.4 PV (by Borough)'!R216,IF(Dashboard!$D$6=INDEX('Scenario names'!$C$3:$C$6,4),'2.4 PV (by Borough)'!R339,IF(Dashboard!$D$6=INDEX('Scenario names'!$C$3:$C$6,1),'2.4 PV (by Borough)'!R298,IF(Dashboard!$D$6=INDEX('Scenario names'!$C$3:$C$6,2),'2.4 PV (by Borough)'!R298,IF(Dashboard!$D$6=INDEX('Scenario names'!$C$3:$C$6,3),'2.4 PV (by Borough)'!R339,"Error")))))</f>
        <v>1250566.1201156459</v>
      </c>
      <c r="S380" s="36">
        <f>IF(Dashboard!$D$6="Baseline",'2.4 PV (by Borough)'!S216,IF(Dashboard!$D$6=INDEX('Scenario names'!$C$3:$C$6,4),'2.4 PV (by Borough)'!S339,IF(Dashboard!$D$6=INDEX('Scenario names'!$C$3:$C$6,1),'2.4 PV (by Borough)'!S298,IF(Dashboard!$D$6=INDEX('Scenario names'!$C$3:$C$6,2),'2.4 PV (by Borough)'!S298,IF(Dashboard!$D$6=INDEX('Scenario names'!$C$3:$C$6,3),'2.4 PV (by Borough)'!S339,"Error")))))</f>
        <v>1530949.6044491923</v>
      </c>
      <c r="T380" s="36">
        <f>IF(Dashboard!$D$6="Baseline",'2.4 PV (by Borough)'!T216,IF(Dashboard!$D$6=INDEX('Scenario names'!$C$3:$C$6,4),'2.4 PV (by Borough)'!T339,IF(Dashboard!$D$6=INDEX('Scenario names'!$C$3:$C$6,1),'2.4 PV (by Borough)'!T298,IF(Dashboard!$D$6=INDEX('Scenario names'!$C$3:$C$6,2),'2.4 PV (by Borough)'!T298,IF(Dashboard!$D$6=INDEX('Scenario names'!$C$3:$C$6,3),'2.4 PV (by Borough)'!T339,"Error")))))</f>
        <v>1811333.088782737</v>
      </c>
      <c r="U380" s="36">
        <f>IF(Dashboard!$D$6="Baseline",'2.4 PV (by Borough)'!U216,IF(Dashboard!$D$6=INDEX('Scenario names'!$C$3:$C$6,4),'2.4 PV (by Borough)'!U339,IF(Dashboard!$D$6=INDEX('Scenario names'!$C$3:$C$6,1),'2.4 PV (by Borough)'!U298,IF(Dashboard!$D$6=INDEX('Scenario names'!$C$3:$C$6,2),'2.4 PV (by Borough)'!U298,IF(Dashboard!$D$6=INDEX('Scenario names'!$C$3:$C$6,3),'2.4 PV (by Borough)'!U339,"Error")))))</f>
        <v>2091716.5731162827</v>
      </c>
      <c r="V380" s="36">
        <f>IF(Dashboard!$D$6="Baseline",'2.4 PV (by Borough)'!V216,IF(Dashboard!$D$6=INDEX('Scenario names'!$C$3:$C$6,4),'2.4 PV (by Borough)'!V339,IF(Dashboard!$D$6=INDEX('Scenario names'!$C$3:$C$6,1),'2.4 PV (by Borough)'!V298,IF(Dashboard!$D$6=INDEX('Scenario names'!$C$3:$C$6,2),'2.4 PV (by Borough)'!V298,IF(Dashboard!$D$6=INDEX('Scenario names'!$C$3:$C$6,3),'2.4 PV (by Borough)'!V339,"Error")))))</f>
        <v>2372100.0574498288</v>
      </c>
      <c r="W380" s="36">
        <f>IF(Dashboard!$D$6="Baseline",'2.4 PV (by Borough)'!W216,IF(Dashboard!$D$6=INDEX('Scenario names'!$C$3:$C$6,4),'2.4 PV (by Borough)'!W339,IF(Dashboard!$D$6=INDEX('Scenario names'!$C$3:$C$6,1),'2.4 PV (by Borough)'!W298,IF(Dashboard!$D$6=INDEX('Scenario names'!$C$3:$C$6,2),'2.4 PV (by Borough)'!W298,IF(Dashboard!$D$6=INDEX('Scenario names'!$C$3:$C$6,3),'2.4 PV (by Borough)'!W339,"Error")))))</f>
        <v>2652483.5417833747</v>
      </c>
      <c r="X380" s="36">
        <f>IF(Dashboard!$D$6="Baseline",'2.4 PV (by Borough)'!X216,IF(Dashboard!$D$6=INDEX('Scenario names'!$C$3:$C$6,4),'2.4 PV (by Borough)'!X339,IF(Dashboard!$D$6=INDEX('Scenario names'!$C$3:$C$6,1),'2.4 PV (by Borough)'!X298,IF(Dashboard!$D$6=INDEX('Scenario names'!$C$3:$C$6,2),'2.4 PV (by Borough)'!X298,IF(Dashboard!$D$6=INDEX('Scenario names'!$C$3:$C$6,3),'2.4 PV (by Borough)'!X339,"Error")))))</f>
        <v>2932867.0261169206</v>
      </c>
      <c r="Y380" s="36">
        <f>IF(Dashboard!$D$6="Baseline",'2.4 PV (by Borough)'!Y216,IF(Dashboard!$D$6=INDEX('Scenario names'!$C$3:$C$6,4),'2.4 PV (by Borough)'!Y339,IF(Dashboard!$D$6=INDEX('Scenario names'!$C$3:$C$6,1),'2.4 PV (by Borough)'!Y298,IF(Dashboard!$D$6=INDEX('Scenario names'!$C$3:$C$6,2),'2.4 PV (by Borough)'!Y298,IF(Dashboard!$D$6=INDEX('Scenario names'!$C$3:$C$6,3),'2.4 PV (by Borough)'!Y339,"Error")))))</f>
        <v>3213250.5104504651</v>
      </c>
      <c r="Z380" s="36">
        <f>IF(Dashboard!$D$6="Baseline",'2.4 PV (by Borough)'!Z216,IF(Dashboard!$D$6=INDEX('Scenario names'!$C$3:$C$6,4),'2.4 PV (by Borough)'!Z339,IF(Dashboard!$D$6=INDEX('Scenario names'!$C$3:$C$6,1),'2.4 PV (by Borough)'!Z298,IF(Dashboard!$D$6=INDEX('Scenario names'!$C$3:$C$6,2),'2.4 PV (by Borough)'!Z298,IF(Dashboard!$D$6=INDEX('Scenario names'!$C$3:$C$6,3),'2.4 PV (by Borough)'!Z339,"Error")))))</f>
        <v>3571438.8555604685</v>
      </c>
      <c r="AA380" s="36">
        <f>IF(Dashboard!$D$6="Baseline",'2.4 PV (by Borough)'!AA216,IF(Dashboard!$D$6=INDEX('Scenario names'!$C$3:$C$6,4),'2.4 PV (by Borough)'!AA339,IF(Dashboard!$D$6=INDEX('Scenario names'!$C$3:$C$6,1),'2.4 PV (by Borough)'!AA298,IF(Dashboard!$D$6=INDEX('Scenario names'!$C$3:$C$6,2),'2.4 PV (by Borough)'!AA298,IF(Dashboard!$D$6=INDEX('Scenario names'!$C$3:$C$6,3),'2.4 PV (by Borough)'!AA339,"Error")))))</f>
        <v>3929627.2006704719</v>
      </c>
      <c r="AB380" s="36">
        <f>IF(Dashboard!$D$6="Baseline",'2.4 PV (by Borough)'!AB216,IF(Dashboard!$D$6=INDEX('Scenario names'!$C$3:$C$6,4),'2.4 PV (by Borough)'!AB339,IF(Dashboard!$D$6=INDEX('Scenario names'!$C$3:$C$6,1),'2.4 PV (by Borough)'!AB298,IF(Dashboard!$D$6=INDEX('Scenario names'!$C$3:$C$6,2),'2.4 PV (by Borough)'!AB298,IF(Dashboard!$D$6=INDEX('Scenario names'!$C$3:$C$6,3),'2.4 PV (by Borough)'!AB339,"Error")))))</f>
        <v>4287815.5457804734</v>
      </c>
      <c r="AC380" s="36">
        <f>IF(Dashboard!$D$6="Baseline",'2.4 PV (by Borough)'!AC216,IF(Dashboard!$D$6=INDEX('Scenario names'!$C$3:$C$6,4),'2.4 PV (by Borough)'!AC339,IF(Dashboard!$D$6=INDEX('Scenario names'!$C$3:$C$6,1),'2.4 PV (by Borough)'!AC298,IF(Dashboard!$D$6=INDEX('Scenario names'!$C$3:$C$6,2),'2.4 PV (by Borough)'!AC298,IF(Dashboard!$D$6=INDEX('Scenario names'!$C$3:$C$6,3),'2.4 PV (by Borough)'!AC339,"Error")))))</f>
        <v>4646003.8908904763</v>
      </c>
      <c r="AD380" s="36">
        <f>IF(Dashboard!$D$6="Baseline",'2.4 PV (by Borough)'!AD216,IF(Dashboard!$D$6=INDEX('Scenario names'!$C$3:$C$6,4),'2.4 PV (by Borough)'!AD339,IF(Dashboard!$D$6=INDEX('Scenario names'!$C$3:$C$6,1),'2.4 PV (by Borough)'!AD298,IF(Dashboard!$D$6=INDEX('Scenario names'!$C$3:$C$6,2),'2.4 PV (by Borough)'!AD298,IF(Dashboard!$D$6=INDEX('Scenario names'!$C$3:$C$6,3),'2.4 PV (by Borough)'!AD339,"Error")))))</f>
        <v>5004192.2360004792</v>
      </c>
      <c r="AE380" s="36">
        <f>IF(Dashboard!$D$6="Baseline",'2.4 PV (by Borough)'!AE216,IF(Dashboard!$D$6=INDEX('Scenario names'!$C$3:$C$6,4),'2.4 PV (by Borough)'!AE339,IF(Dashboard!$D$6=INDEX('Scenario names'!$C$3:$C$6,1),'2.4 PV (by Borough)'!AE298,IF(Dashboard!$D$6=INDEX('Scenario names'!$C$3:$C$6,2),'2.4 PV (by Borough)'!AE298,IF(Dashboard!$D$6=INDEX('Scenario names'!$C$3:$C$6,3),'2.4 PV (by Borough)'!AE339,"Error")))))</f>
        <v>5362380.5811104812</v>
      </c>
      <c r="AF380" s="36">
        <f>IF(Dashboard!$D$6="Baseline",'2.4 PV (by Borough)'!AF216,IF(Dashboard!$D$6=INDEX('Scenario names'!$C$3:$C$6,4),'2.4 PV (by Borough)'!AF339,IF(Dashboard!$D$6=INDEX('Scenario names'!$C$3:$C$6,1),'2.4 PV (by Borough)'!AF298,IF(Dashboard!$D$6=INDEX('Scenario names'!$C$3:$C$6,2),'2.4 PV (by Borough)'!AF298,IF(Dashboard!$D$6=INDEX('Scenario names'!$C$3:$C$6,3),'2.4 PV (by Borough)'!AF339,"Error")))))</f>
        <v>5720568.9262204841</v>
      </c>
      <c r="AG380" s="36">
        <f>IF(Dashboard!$D$6="Baseline",'2.4 PV (by Borough)'!AG216,IF(Dashboard!$D$6=INDEX('Scenario names'!$C$3:$C$6,4),'2.4 PV (by Borough)'!AG339,IF(Dashboard!$D$6=INDEX('Scenario names'!$C$3:$C$6,1),'2.4 PV (by Borough)'!AG298,IF(Dashboard!$D$6=INDEX('Scenario names'!$C$3:$C$6,2),'2.4 PV (by Borough)'!AG298,IF(Dashboard!$D$6=INDEX('Scenario names'!$C$3:$C$6,3),'2.4 PV (by Borough)'!AG339,"Error")))))</f>
        <v>6078757.271330487</v>
      </c>
      <c r="AH380" s="36">
        <f>IF(Dashboard!$D$6="Baseline",'2.4 PV (by Borough)'!AH216,IF(Dashboard!$D$6=INDEX('Scenario names'!$C$3:$C$6,4),'2.4 PV (by Borough)'!AH339,IF(Dashboard!$D$6=INDEX('Scenario names'!$C$3:$C$6,1),'2.4 PV (by Borough)'!AH298,IF(Dashboard!$D$6=INDEX('Scenario names'!$C$3:$C$6,2),'2.4 PV (by Borough)'!AH298,IF(Dashboard!$D$6=INDEX('Scenario names'!$C$3:$C$6,3),'2.4 PV (by Borough)'!AH339,"Error")))))</f>
        <v>6436945.616440488</v>
      </c>
      <c r="AI380" s="36">
        <f>IF(Dashboard!$D$6="Baseline",'2.4 PV (by Borough)'!AI216,IF(Dashboard!$D$6=INDEX('Scenario names'!$C$3:$C$6,4),'2.4 PV (by Borough)'!AI339,IF(Dashboard!$D$6=INDEX('Scenario names'!$C$3:$C$6,1),'2.4 PV (by Borough)'!AI298,IF(Dashboard!$D$6=INDEX('Scenario names'!$C$3:$C$6,2),'2.4 PV (by Borough)'!AI298,IF(Dashboard!$D$6=INDEX('Scenario names'!$C$3:$C$6,3),'2.4 PV (by Borough)'!AI339,"Error")))))</f>
        <v>6795133.9615504937</v>
      </c>
      <c r="AJ380" s="36">
        <f>IF(Dashboard!$D$6="Baseline",'2.4 PV (by Borough)'!AJ216,IF(Dashboard!$D$6=INDEX('Scenario names'!$C$3:$C$6,4),'2.4 PV (by Borough)'!AJ339,IF(Dashboard!$D$6=INDEX('Scenario names'!$C$3:$C$6,1),'2.4 PV (by Borough)'!AJ298,IF(Dashboard!$D$6=INDEX('Scenario names'!$C$3:$C$6,2),'2.4 PV (by Borough)'!AJ298,IF(Dashboard!$D$6=INDEX('Scenario names'!$C$3:$C$6,3),'2.4 PV (by Borough)'!AJ339,"Error")))))</f>
        <v>7153322.3066604948</v>
      </c>
      <c r="AK380" s="36">
        <f>IF(Dashboard!$D$6="Baseline",'2.4 PV (by Borough)'!AK216,IF(Dashboard!$D$6=INDEX('Scenario names'!$C$3:$C$6,4),'2.4 PV (by Borough)'!AK339,IF(Dashboard!$D$6=INDEX('Scenario names'!$C$3:$C$6,1),'2.4 PV (by Borough)'!AK298,IF(Dashboard!$D$6=INDEX('Scenario names'!$C$3:$C$6,2),'2.4 PV (by Borough)'!AK298,IF(Dashboard!$D$6=INDEX('Scenario names'!$C$3:$C$6,3),'2.4 PV (by Borough)'!AK339,"Error")))))</f>
        <v>7511510.6517704977</v>
      </c>
      <c r="AL380" s="36">
        <f>IF(Dashboard!$D$6="Baseline",'2.4 PV (by Borough)'!AL216,IF(Dashboard!$D$6=INDEX('Scenario names'!$C$3:$C$6,4),'2.4 PV (by Borough)'!AL339,IF(Dashboard!$D$6=INDEX('Scenario names'!$C$3:$C$6,1),'2.4 PV (by Borough)'!AL298,IF(Dashboard!$D$6=INDEX('Scenario names'!$C$3:$C$6,2),'2.4 PV (by Borough)'!AL298,IF(Dashboard!$D$6=INDEX('Scenario names'!$C$3:$C$6,3),'2.4 PV (by Borough)'!AL339,"Error")))))</f>
        <v>7869698.9968805015</v>
      </c>
      <c r="AM380" s="36">
        <f>IF(Dashboard!$D$6="Baseline",'2.4 PV (by Borough)'!AM216,IF(Dashboard!$D$6=INDEX('Scenario names'!$C$3:$C$6,4),'2.4 PV (by Borough)'!AM339,IF(Dashboard!$D$6=INDEX('Scenario names'!$C$3:$C$6,1),'2.4 PV (by Borough)'!AM298,IF(Dashboard!$D$6=INDEX('Scenario names'!$C$3:$C$6,2),'2.4 PV (by Borough)'!AM298,IF(Dashboard!$D$6=INDEX('Scenario names'!$C$3:$C$6,3),'2.4 PV (by Borough)'!AM339,"Error")))))</f>
        <v>8227887.3419905026</v>
      </c>
      <c r="AN380" s="36">
        <f>IF(Dashboard!$D$6="Baseline",'2.4 PV (by Borough)'!AN216,IF(Dashboard!$D$6=INDEX('Scenario names'!$C$3:$C$6,4),'2.4 PV (by Borough)'!AN339,IF(Dashboard!$D$6=INDEX('Scenario names'!$C$3:$C$6,1),'2.4 PV (by Borough)'!AN298,IF(Dashboard!$D$6=INDEX('Scenario names'!$C$3:$C$6,2),'2.4 PV (by Borough)'!AN298,IF(Dashboard!$D$6=INDEX('Scenario names'!$C$3:$C$6,3),'2.4 PV (by Borough)'!AN339,"Error")))))</f>
        <v>8586075.6871005036</v>
      </c>
      <c r="AO380" s="36">
        <f>IF(Dashboard!$D$6="Baseline",'2.4 PV (by Borough)'!AO216,IF(Dashboard!$D$6=INDEX('Scenario names'!$C$3:$C$6,4),'2.4 PV (by Borough)'!AO339,IF(Dashboard!$D$6=INDEX('Scenario names'!$C$3:$C$6,1),'2.4 PV (by Borough)'!AO298,IF(Dashboard!$D$6=INDEX('Scenario names'!$C$3:$C$6,2),'2.4 PV (by Borough)'!AO298,IF(Dashboard!$D$6=INDEX('Scenario names'!$C$3:$C$6,3),'2.4 PV (by Borough)'!AO339,"Error")))))</f>
        <v>8944264.0322105065</v>
      </c>
      <c r="AP380" s="36">
        <f>IF(Dashboard!$D$6="Baseline",'2.4 PV (by Borough)'!AP216,IF(Dashboard!$D$6=INDEX('Scenario names'!$C$3:$C$6,4),'2.4 PV (by Borough)'!AP339,IF(Dashboard!$D$6=INDEX('Scenario names'!$C$3:$C$6,1),'2.4 PV (by Borough)'!AP298,IF(Dashboard!$D$6=INDEX('Scenario names'!$C$3:$C$6,2),'2.4 PV (by Borough)'!AP298,IF(Dashboard!$D$6=INDEX('Scenario names'!$C$3:$C$6,3),'2.4 PV (by Borough)'!AP339,"Error")))))</f>
        <v>9302452.3773205094</v>
      </c>
      <c r="AQ380" s="36">
        <f>IF(Dashboard!$D$6="Baseline",'2.4 PV (by Borough)'!AQ216,IF(Dashboard!$D$6=INDEX('Scenario names'!$C$3:$C$6,4),'2.4 PV (by Borough)'!AQ339,IF(Dashboard!$D$6=INDEX('Scenario names'!$C$3:$C$6,1),'2.4 PV (by Borough)'!AQ298,IF(Dashboard!$D$6=INDEX('Scenario names'!$C$3:$C$6,2),'2.4 PV (by Borough)'!AQ298,IF(Dashboard!$D$6=INDEX('Scenario names'!$C$3:$C$6,3),'2.4 PV (by Borough)'!AQ339,"Error")))))</f>
        <v>9660640.7224305104</v>
      </c>
      <c r="AR380" s="36">
        <f>IF(Dashboard!$D$6="Baseline",'2.4 PV (by Borough)'!AR216,IF(Dashboard!$D$6=INDEX('Scenario names'!$C$3:$C$6,4),'2.4 PV (by Borough)'!AR339,IF(Dashboard!$D$6=INDEX('Scenario names'!$C$3:$C$6,1),'2.4 PV (by Borough)'!AR298,IF(Dashboard!$D$6=INDEX('Scenario names'!$C$3:$C$6,2),'2.4 PV (by Borough)'!AR298,IF(Dashboard!$D$6=INDEX('Scenario names'!$C$3:$C$6,3),'2.4 PV (by Borough)'!AR339,"Error")))))</f>
        <v>10018829.067540511</v>
      </c>
      <c r="AS380" s="36">
        <f>IF(Dashboard!$D$6="Baseline",'2.4 PV (by Borough)'!AS216,IF(Dashboard!$D$6=INDEX('Scenario names'!$C$3:$C$6,4),'2.4 PV (by Borough)'!AS339,IF(Dashboard!$D$6=INDEX('Scenario names'!$C$3:$C$6,1),'2.4 PV (by Borough)'!AS298,IF(Dashboard!$D$6=INDEX('Scenario names'!$C$3:$C$6,2),'2.4 PV (by Borough)'!AS298,IF(Dashboard!$D$6=INDEX('Scenario names'!$C$3:$C$6,3),'2.4 PV (by Borough)'!AS339,"Error")))))</f>
        <v>10377017.41265052</v>
      </c>
      <c r="AT380" s="36">
        <f>IF(Dashboard!$D$6="Baseline",'2.4 PV (by Borough)'!AT216,IF(Dashboard!$D$6=INDEX('Scenario names'!$C$3:$C$6,4),'2.4 PV (by Borough)'!AT339,IF(Dashboard!$D$6=INDEX('Scenario names'!$C$3:$C$6,1),'2.4 PV (by Borough)'!AT298,IF(Dashboard!$D$6=INDEX('Scenario names'!$C$3:$C$6,2),'2.4 PV (by Borough)'!AT298,IF(Dashboard!$D$6=INDEX('Scenario names'!$C$3:$C$6,3),'2.4 PV (by Borough)'!AT339,"Error")))))</f>
        <v>10735205.757760523</v>
      </c>
      <c r="AU380" s="36">
        <f>IF(Dashboard!$D$6="Baseline",'2.4 PV (by Borough)'!AU216,IF(Dashboard!$D$6=INDEX('Scenario names'!$C$3:$C$6,4),'2.4 PV (by Borough)'!AU339,IF(Dashboard!$D$6=INDEX('Scenario names'!$C$3:$C$6,1),'2.4 PV (by Borough)'!AU298,IF(Dashboard!$D$6=INDEX('Scenario names'!$C$3:$C$6,2),'2.4 PV (by Borough)'!AU298,IF(Dashboard!$D$6=INDEX('Scenario names'!$C$3:$C$6,3),'2.4 PV (by Borough)'!AU339,"Error")))))</f>
        <v>11093394.102870524</v>
      </c>
      <c r="AV380" s="36">
        <f>IF(Dashboard!$D$6="Baseline",'2.4 PV (by Borough)'!AV216,IF(Dashboard!$D$6=INDEX('Scenario names'!$C$3:$C$6,4),'2.4 PV (by Borough)'!AV339,IF(Dashboard!$D$6=INDEX('Scenario names'!$C$3:$C$6,1),'2.4 PV (by Borough)'!AV298,IF(Dashboard!$D$6=INDEX('Scenario names'!$C$3:$C$6,2),'2.4 PV (by Borough)'!AV298,IF(Dashboard!$D$6=INDEX('Scenario names'!$C$3:$C$6,3),'2.4 PV (by Borough)'!AV339,"Error")))))</f>
        <v>11451582.447980527</v>
      </c>
      <c r="AW380" s="36">
        <f>IF(Dashboard!$D$6="Baseline",'2.4 PV (by Borough)'!AW216,IF(Dashboard!$D$6=INDEX('Scenario names'!$C$3:$C$6,4),'2.4 PV (by Borough)'!AW339,IF(Dashboard!$D$6=INDEX('Scenario names'!$C$3:$C$6,1),'2.4 PV (by Borough)'!AW298,IF(Dashboard!$D$6=INDEX('Scenario names'!$C$3:$C$6,2),'2.4 PV (by Borough)'!AW298,IF(Dashboard!$D$6=INDEX('Scenario names'!$C$3:$C$6,3),'2.4 PV (by Borough)'!AW339,"Error")))))</f>
        <v>11809770.793090528</v>
      </c>
      <c r="AX380" s="36">
        <f>IF(Dashboard!$D$6="Baseline",'2.4 PV (by Borough)'!AX216,IF(Dashboard!$D$6=INDEX('Scenario names'!$C$3:$C$6,4),'2.4 PV (by Borough)'!AX339,IF(Dashboard!$D$6=INDEX('Scenario names'!$C$3:$C$6,1),'2.4 PV (by Borough)'!AX298,IF(Dashboard!$D$6=INDEX('Scenario names'!$C$3:$C$6,2),'2.4 PV (by Borough)'!AX298,IF(Dashboard!$D$6=INDEX('Scenario names'!$C$3:$C$6,3),'2.4 PV (by Borough)'!AX339,"Error")))))</f>
        <v>12167959.138200531</v>
      </c>
      <c r="AY380" s="36"/>
      <c r="AZ380" s="36"/>
      <c r="BA380" s="36"/>
      <c r="BB380" s="36"/>
    </row>
    <row r="381" spans="3:54">
      <c r="D381" t="s">
        <v>661</v>
      </c>
      <c r="E381" t="s">
        <v>628</v>
      </c>
      <c r="G381" s="44"/>
      <c r="I381" s="44"/>
      <c r="K381" s="44"/>
      <c r="M381" s="44"/>
      <c r="O381" s="36">
        <f>IF(Dashboard!$D$6="Baseline",'2.4 PV (by Borough)'!O217,IF(Dashboard!$D$6=INDEX('Scenario names'!$C$3:$C$6,4),'2.4 PV (by Borough)'!O340,IF(Dashboard!$D$6=INDEX('Scenario names'!$C$3:$C$6,1),'2.4 PV (by Borough)'!O299,IF(Dashboard!$D$6=INDEX('Scenario names'!$C$3:$C$6,2),'2.4 PV (by Borough)'!O299,IF(Dashboard!$D$6=INDEX('Scenario names'!$C$3:$C$6,3),'2.4 PV (by Borough)'!O340,"Error")))))</f>
        <v>390642.41268575983</v>
      </c>
      <c r="P381" s="36">
        <f>IF(Dashboard!$D$6="Baseline",'2.4 PV (by Borough)'!P217,IF(Dashboard!$D$6=INDEX('Scenario names'!$C$3:$C$6,4),'2.4 PV (by Borough)'!P340,IF(Dashboard!$D$6=INDEX('Scenario names'!$C$3:$C$6,1),'2.4 PV (by Borough)'!P299,IF(Dashboard!$D$6=INDEX('Scenario names'!$C$3:$C$6,2),'2.4 PV (by Borough)'!P299,IF(Dashboard!$D$6=INDEX('Scenario names'!$C$3:$C$6,3),'2.4 PV (by Borough)'!P340,"Error")))))</f>
        <v>657239.98696396407</v>
      </c>
      <c r="Q381" s="36">
        <f>IF(Dashboard!$D$6="Baseline",'2.4 PV (by Borough)'!Q217,IF(Dashboard!$D$6=INDEX('Scenario names'!$C$3:$C$6,4),'2.4 PV (by Borough)'!Q340,IF(Dashboard!$D$6=INDEX('Scenario names'!$C$3:$C$6,1),'2.4 PV (by Borough)'!Q299,IF(Dashboard!$D$6=INDEX('Scenario names'!$C$3:$C$6,2),'2.4 PV (by Borough)'!Q299,IF(Dashboard!$D$6=INDEX('Scenario names'!$C$3:$C$6,3),'2.4 PV (by Borough)'!Q340,"Error")))))</f>
        <v>923837.5612421683</v>
      </c>
      <c r="R381" s="36">
        <f>IF(Dashboard!$D$6="Baseline",'2.4 PV (by Borough)'!R217,IF(Dashboard!$D$6=INDEX('Scenario names'!$C$3:$C$6,4),'2.4 PV (by Borough)'!R340,IF(Dashboard!$D$6=INDEX('Scenario names'!$C$3:$C$6,1),'2.4 PV (by Borough)'!R299,IF(Dashboard!$D$6=INDEX('Scenario names'!$C$3:$C$6,2),'2.4 PV (by Borough)'!R299,IF(Dashboard!$D$6=INDEX('Scenario names'!$C$3:$C$6,3),'2.4 PV (by Borough)'!R340,"Error")))))</f>
        <v>1190435.1355203725</v>
      </c>
      <c r="S381" s="36">
        <f>IF(Dashboard!$D$6="Baseline",'2.4 PV (by Borough)'!S217,IF(Dashboard!$D$6=INDEX('Scenario names'!$C$3:$C$6,4),'2.4 PV (by Borough)'!S340,IF(Dashboard!$D$6=INDEX('Scenario names'!$C$3:$C$6,1),'2.4 PV (by Borough)'!S299,IF(Dashboard!$D$6=INDEX('Scenario names'!$C$3:$C$6,2),'2.4 PV (by Borough)'!S299,IF(Dashboard!$D$6=INDEX('Scenario names'!$C$3:$C$6,3),'2.4 PV (by Borough)'!S340,"Error")))))</f>
        <v>1457032.7097985777</v>
      </c>
      <c r="T381" s="36">
        <f>IF(Dashboard!$D$6="Baseline",'2.4 PV (by Borough)'!T217,IF(Dashboard!$D$6=INDEX('Scenario names'!$C$3:$C$6,4),'2.4 PV (by Borough)'!T340,IF(Dashboard!$D$6=INDEX('Scenario names'!$C$3:$C$6,1),'2.4 PV (by Borough)'!T299,IF(Dashboard!$D$6=INDEX('Scenario names'!$C$3:$C$6,2),'2.4 PV (by Borough)'!T299,IF(Dashboard!$D$6=INDEX('Scenario names'!$C$3:$C$6,3),'2.4 PV (by Borough)'!T340,"Error")))))</f>
        <v>1723630.284076781</v>
      </c>
      <c r="U381" s="36">
        <f>IF(Dashboard!$D$6="Baseline",'2.4 PV (by Borough)'!U217,IF(Dashboard!$D$6=INDEX('Scenario names'!$C$3:$C$6,4),'2.4 PV (by Borough)'!U340,IF(Dashboard!$D$6=INDEX('Scenario names'!$C$3:$C$6,1),'2.4 PV (by Borough)'!U299,IF(Dashboard!$D$6=INDEX('Scenario names'!$C$3:$C$6,2),'2.4 PV (by Borough)'!U299,IF(Dashboard!$D$6=INDEX('Scenario names'!$C$3:$C$6,3),'2.4 PV (by Borough)'!U340,"Error")))))</f>
        <v>1990227.8583549855</v>
      </c>
      <c r="V381" s="36">
        <f>IF(Dashboard!$D$6="Baseline",'2.4 PV (by Borough)'!V217,IF(Dashboard!$D$6=INDEX('Scenario names'!$C$3:$C$6,4),'2.4 PV (by Borough)'!V340,IF(Dashboard!$D$6=INDEX('Scenario names'!$C$3:$C$6,1),'2.4 PV (by Borough)'!V299,IF(Dashboard!$D$6=INDEX('Scenario names'!$C$3:$C$6,2),'2.4 PV (by Borough)'!V299,IF(Dashboard!$D$6=INDEX('Scenario names'!$C$3:$C$6,3),'2.4 PV (by Borough)'!V340,"Error")))))</f>
        <v>2256825.43263319</v>
      </c>
      <c r="W381" s="36">
        <f>IF(Dashboard!$D$6="Baseline",'2.4 PV (by Borough)'!W217,IF(Dashboard!$D$6=INDEX('Scenario names'!$C$3:$C$6,4),'2.4 PV (by Borough)'!W340,IF(Dashboard!$D$6=INDEX('Scenario names'!$C$3:$C$6,1),'2.4 PV (by Borough)'!W299,IF(Dashboard!$D$6=INDEX('Scenario names'!$C$3:$C$6,2),'2.4 PV (by Borough)'!W299,IF(Dashboard!$D$6=INDEX('Scenario names'!$C$3:$C$6,3),'2.4 PV (by Borough)'!W340,"Error")))))</f>
        <v>2523423.0069113942</v>
      </c>
      <c r="X381" s="36">
        <f>IF(Dashboard!$D$6="Baseline",'2.4 PV (by Borough)'!X217,IF(Dashboard!$D$6=INDEX('Scenario names'!$C$3:$C$6,4),'2.4 PV (by Borough)'!X340,IF(Dashboard!$D$6=INDEX('Scenario names'!$C$3:$C$6,1),'2.4 PV (by Borough)'!X299,IF(Dashboard!$D$6=INDEX('Scenario names'!$C$3:$C$6,2),'2.4 PV (by Borough)'!X299,IF(Dashboard!$D$6=INDEX('Scenario names'!$C$3:$C$6,3),'2.4 PV (by Borough)'!X340,"Error")))))</f>
        <v>2790020.5811895984</v>
      </c>
      <c r="Y381" s="36">
        <f>IF(Dashboard!$D$6="Baseline",'2.4 PV (by Borough)'!Y217,IF(Dashboard!$D$6=INDEX('Scenario names'!$C$3:$C$6,4),'2.4 PV (by Borough)'!Y340,IF(Dashboard!$D$6=INDEX('Scenario names'!$C$3:$C$6,1),'2.4 PV (by Borough)'!Y299,IF(Dashboard!$D$6=INDEX('Scenario names'!$C$3:$C$6,2),'2.4 PV (by Borough)'!Y299,IF(Dashboard!$D$6=INDEX('Scenario names'!$C$3:$C$6,3),'2.4 PV (by Borough)'!Y340,"Error")))))</f>
        <v>3056618.1554678022</v>
      </c>
      <c r="Z381" s="36">
        <f>IF(Dashboard!$D$6="Baseline",'2.4 PV (by Borough)'!Z217,IF(Dashboard!$D$6=INDEX('Scenario names'!$C$3:$C$6,4),'2.4 PV (by Borough)'!Z340,IF(Dashboard!$D$6=INDEX('Scenario names'!$C$3:$C$6,1),'2.4 PV (by Borough)'!Z299,IF(Dashboard!$D$6=INDEX('Scenario names'!$C$3:$C$6,2),'2.4 PV (by Borough)'!Z299,IF(Dashboard!$D$6=INDEX('Scenario names'!$C$3:$C$6,3),'2.4 PV (by Borough)'!Z340,"Error")))))</f>
        <v>3415737.827383433</v>
      </c>
      <c r="AA381" s="36">
        <f>IF(Dashboard!$D$6="Baseline",'2.4 PV (by Borough)'!AA217,IF(Dashboard!$D$6=INDEX('Scenario names'!$C$3:$C$6,4),'2.4 PV (by Borough)'!AA340,IF(Dashboard!$D$6=INDEX('Scenario names'!$C$3:$C$6,1),'2.4 PV (by Borough)'!AA299,IF(Dashboard!$D$6=INDEX('Scenario names'!$C$3:$C$6,2),'2.4 PV (by Borough)'!AA299,IF(Dashboard!$D$6=INDEX('Scenario names'!$C$3:$C$6,3),'2.4 PV (by Borough)'!AA340,"Error")))))</f>
        <v>3774857.4992990629</v>
      </c>
      <c r="AB381" s="36">
        <f>IF(Dashboard!$D$6="Baseline",'2.4 PV (by Borough)'!AB217,IF(Dashboard!$D$6=INDEX('Scenario names'!$C$3:$C$6,4),'2.4 PV (by Borough)'!AB340,IF(Dashboard!$D$6=INDEX('Scenario names'!$C$3:$C$6,1),'2.4 PV (by Borough)'!AB299,IF(Dashboard!$D$6=INDEX('Scenario names'!$C$3:$C$6,2),'2.4 PV (by Borough)'!AB299,IF(Dashboard!$D$6=INDEX('Scenario names'!$C$3:$C$6,3),'2.4 PV (by Borough)'!AB340,"Error")))))</f>
        <v>4133977.1712146946</v>
      </c>
      <c r="AC381" s="36">
        <f>IF(Dashboard!$D$6="Baseline",'2.4 PV (by Borough)'!AC217,IF(Dashboard!$D$6=INDEX('Scenario names'!$C$3:$C$6,4),'2.4 PV (by Borough)'!AC340,IF(Dashboard!$D$6=INDEX('Scenario names'!$C$3:$C$6,1),'2.4 PV (by Borough)'!AC299,IF(Dashboard!$D$6=INDEX('Scenario names'!$C$3:$C$6,2),'2.4 PV (by Borough)'!AC299,IF(Dashboard!$D$6=INDEX('Scenario names'!$C$3:$C$6,3),'2.4 PV (by Borough)'!AC340,"Error")))))</f>
        <v>4493096.8431303231</v>
      </c>
      <c r="AD381" s="36">
        <f>IF(Dashboard!$D$6="Baseline",'2.4 PV (by Borough)'!AD217,IF(Dashboard!$D$6=INDEX('Scenario names'!$C$3:$C$6,4),'2.4 PV (by Borough)'!AD340,IF(Dashboard!$D$6=INDEX('Scenario names'!$C$3:$C$6,1),'2.4 PV (by Borough)'!AD299,IF(Dashboard!$D$6=INDEX('Scenario names'!$C$3:$C$6,2),'2.4 PV (by Borough)'!AD299,IF(Dashboard!$D$6=INDEX('Scenario names'!$C$3:$C$6,3),'2.4 PV (by Borough)'!AD340,"Error")))))</f>
        <v>4852216.5150459558</v>
      </c>
      <c r="AE381" s="36">
        <f>IF(Dashboard!$D$6="Baseline",'2.4 PV (by Borough)'!AE217,IF(Dashboard!$D$6=INDEX('Scenario names'!$C$3:$C$6,4),'2.4 PV (by Borough)'!AE340,IF(Dashboard!$D$6=INDEX('Scenario names'!$C$3:$C$6,1),'2.4 PV (by Borough)'!AE299,IF(Dashboard!$D$6=INDEX('Scenario names'!$C$3:$C$6,2),'2.4 PV (by Borough)'!AE299,IF(Dashboard!$D$6=INDEX('Scenario names'!$C$3:$C$6,3),'2.4 PV (by Borough)'!AE340,"Error")))))</f>
        <v>5211336.1869615866</v>
      </c>
      <c r="AF381" s="36">
        <f>IF(Dashboard!$D$6="Baseline",'2.4 PV (by Borough)'!AF217,IF(Dashboard!$D$6=INDEX('Scenario names'!$C$3:$C$6,4),'2.4 PV (by Borough)'!AF340,IF(Dashboard!$D$6=INDEX('Scenario names'!$C$3:$C$6,1),'2.4 PV (by Borough)'!AF299,IF(Dashboard!$D$6=INDEX('Scenario names'!$C$3:$C$6,2),'2.4 PV (by Borough)'!AF299,IF(Dashboard!$D$6=INDEX('Scenario names'!$C$3:$C$6,3),'2.4 PV (by Borough)'!AF340,"Error")))))</f>
        <v>5570455.8588772183</v>
      </c>
      <c r="AG381" s="36">
        <f>IF(Dashboard!$D$6="Baseline",'2.4 PV (by Borough)'!AG217,IF(Dashboard!$D$6=INDEX('Scenario names'!$C$3:$C$6,4),'2.4 PV (by Borough)'!AG340,IF(Dashboard!$D$6=INDEX('Scenario names'!$C$3:$C$6,1),'2.4 PV (by Borough)'!AG299,IF(Dashboard!$D$6=INDEX('Scenario names'!$C$3:$C$6,2),'2.4 PV (by Borough)'!AG299,IF(Dashboard!$D$6=INDEX('Scenario names'!$C$3:$C$6,3),'2.4 PV (by Borough)'!AG340,"Error")))))</f>
        <v>5929575.5307928454</v>
      </c>
      <c r="AH381" s="36">
        <f>IF(Dashboard!$D$6="Baseline",'2.4 PV (by Borough)'!AH217,IF(Dashboard!$D$6=INDEX('Scenario names'!$C$3:$C$6,4),'2.4 PV (by Borough)'!AH340,IF(Dashboard!$D$6=INDEX('Scenario names'!$C$3:$C$6,1),'2.4 PV (by Borough)'!AH299,IF(Dashboard!$D$6=INDEX('Scenario names'!$C$3:$C$6,2),'2.4 PV (by Borough)'!AH299,IF(Dashboard!$D$6=INDEX('Scenario names'!$C$3:$C$6,3),'2.4 PV (by Borough)'!AH340,"Error")))))</f>
        <v>6288695.2027084772</v>
      </c>
      <c r="AI381" s="36">
        <f>IF(Dashboard!$D$6="Baseline",'2.4 PV (by Borough)'!AI217,IF(Dashboard!$D$6=INDEX('Scenario names'!$C$3:$C$6,4),'2.4 PV (by Borough)'!AI340,IF(Dashboard!$D$6=INDEX('Scenario names'!$C$3:$C$6,1),'2.4 PV (by Borough)'!AI299,IF(Dashboard!$D$6=INDEX('Scenario names'!$C$3:$C$6,2),'2.4 PV (by Borough)'!AI299,IF(Dashboard!$D$6=INDEX('Scenario names'!$C$3:$C$6,3),'2.4 PV (by Borough)'!AI340,"Error")))))</f>
        <v>6647814.8746241089</v>
      </c>
      <c r="AJ381" s="36">
        <f>IF(Dashboard!$D$6="Baseline",'2.4 PV (by Borough)'!AJ217,IF(Dashboard!$D$6=INDEX('Scenario names'!$C$3:$C$6,4),'2.4 PV (by Borough)'!AJ340,IF(Dashboard!$D$6=INDEX('Scenario names'!$C$3:$C$6,1),'2.4 PV (by Borough)'!AJ299,IF(Dashboard!$D$6=INDEX('Scenario names'!$C$3:$C$6,2),'2.4 PV (by Borough)'!AJ299,IF(Dashboard!$D$6=INDEX('Scenario names'!$C$3:$C$6,3),'2.4 PV (by Borough)'!AJ340,"Error")))))</f>
        <v>7006934.5465397397</v>
      </c>
      <c r="AK381" s="36">
        <f>IF(Dashboard!$D$6="Baseline",'2.4 PV (by Borough)'!AK217,IF(Dashboard!$D$6=INDEX('Scenario names'!$C$3:$C$6,4),'2.4 PV (by Borough)'!AK340,IF(Dashboard!$D$6=INDEX('Scenario names'!$C$3:$C$6,1),'2.4 PV (by Borough)'!AK299,IF(Dashboard!$D$6=INDEX('Scenario names'!$C$3:$C$6,2),'2.4 PV (by Borough)'!AK299,IF(Dashboard!$D$6=INDEX('Scenario names'!$C$3:$C$6,3),'2.4 PV (by Borough)'!AK340,"Error")))))</f>
        <v>7366054.2184553696</v>
      </c>
      <c r="AL381" s="36">
        <f>IF(Dashboard!$D$6="Baseline",'2.4 PV (by Borough)'!AL217,IF(Dashboard!$D$6=INDEX('Scenario names'!$C$3:$C$6,4),'2.4 PV (by Borough)'!AL340,IF(Dashboard!$D$6=INDEX('Scenario names'!$C$3:$C$6,1),'2.4 PV (by Borough)'!AL299,IF(Dashboard!$D$6=INDEX('Scenario names'!$C$3:$C$6,2),'2.4 PV (by Borough)'!AL299,IF(Dashboard!$D$6=INDEX('Scenario names'!$C$3:$C$6,3),'2.4 PV (by Borough)'!AL340,"Error")))))</f>
        <v>7725173.8903710004</v>
      </c>
      <c r="AM381" s="36">
        <f>IF(Dashboard!$D$6="Baseline",'2.4 PV (by Borough)'!AM217,IF(Dashboard!$D$6=INDEX('Scenario names'!$C$3:$C$6,4),'2.4 PV (by Borough)'!AM340,IF(Dashboard!$D$6=INDEX('Scenario names'!$C$3:$C$6,1),'2.4 PV (by Borough)'!AM299,IF(Dashboard!$D$6=INDEX('Scenario names'!$C$3:$C$6,2),'2.4 PV (by Borough)'!AM299,IF(Dashboard!$D$6=INDEX('Scenario names'!$C$3:$C$6,3),'2.4 PV (by Borough)'!AM340,"Error")))))</f>
        <v>8084293.5622866293</v>
      </c>
      <c r="AN381" s="36">
        <f>IF(Dashboard!$D$6="Baseline",'2.4 PV (by Borough)'!AN217,IF(Dashboard!$D$6=INDEX('Scenario names'!$C$3:$C$6,4),'2.4 PV (by Borough)'!AN340,IF(Dashboard!$D$6=INDEX('Scenario names'!$C$3:$C$6,1),'2.4 PV (by Borough)'!AN299,IF(Dashboard!$D$6=INDEX('Scenario names'!$C$3:$C$6,2),'2.4 PV (by Borough)'!AN299,IF(Dashboard!$D$6=INDEX('Scenario names'!$C$3:$C$6,3),'2.4 PV (by Borough)'!AN340,"Error")))))</f>
        <v>8443413.2342022639</v>
      </c>
      <c r="AO381" s="36">
        <f>IF(Dashboard!$D$6="Baseline",'2.4 PV (by Borough)'!AO217,IF(Dashboard!$D$6=INDEX('Scenario names'!$C$3:$C$6,4),'2.4 PV (by Borough)'!AO340,IF(Dashboard!$D$6=INDEX('Scenario names'!$C$3:$C$6,1),'2.4 PV (by Borough)'!AO299,IF(Dashboard!$D$6=INDEX('Scenario names'!$C$3:$C$6,2),'2.4 PV (by Borough)'!AO299,IF(Dashboard!$D$6=INDEX('Scenario names'!$C$3:$C$6,3),'2.4 PV (by Borough)'!AO340,"Error")))))</f>
        <v>8802532.9061178938</v>
      </c>
      <c r="AP381" s="36">
        <f>IF(Dashboard!$D$6="Baseline",'2.4 PV (by Borough)'!AP217,IF(Dashboard!$D$6=INDEX('Scenario names'!$C$3:$C$6,4),'2.4 PV (by Borough)'!AP340,IF(Dashboard!$D$6=INDEX('Scenario names'!$C$3:$C$6,1),'2.4 PV (by Borough)'!AP299,IF(Dashboard!$D$6=INDEX('Scenario names'!$C$3:$C$6,2),'2.4 PV (by Borough)'!AP299,IF(Dashboard!$D$6=INDEX('Scenario names'!$C$3:$C$6,3),'2.4 PV (by Borough)'!AP340,"Error")))))</f>
        <v>9161652.5780335255</v>
      </c>
      <c r="AQ381" s="36">
        <f>IF(Dashboard!$D$6="Baseline",'2.4 PV (by Borough)'!AQ217,IF(Dashboard!$D$6=INDEX('Scenario names'!$C$3:$C$6,4),'2.4 PV (by Borough)'!AQ340,IF(Dashboard!$D$6=INDEX('Scenario names'!$C$3:$C$6,1),'2.4 PV (by Borough)'!AQ299,IF(Dashboard!$D$6=INDEX('Scenario names'!$C$3:$C$6,2),'2.4 PV (by Borough)'!AQ299,IF(Dashboard!$D$6=INDEX('Scenario names'!$C$3:$C$6,3),'2.4 PV (by Borough)'!AQ340,"Error")))))</f>
        <v>9520772.2499491517</v>
      </c>
      <c r="AR381" s="36">
        <f>IF(Dashboard!$D$6="Baseline",'2.4 PV (by Borough)'!AR217,IF(Dashboard!$D$6=INDEX('Scenario names'!$C$3:$C$6,4),'2.4 PV (by Borough)'!AR340,IF(Dashboard!$D$6=INDEX('Scenario names'!$C$3:$C$6,1),'2.4 PV (by Borough)'!AR299,IF(Dashboard!$D$6=INDEX('Scenario names'!$C$3:$C$6,2),'2.4 PV (by Borough)'!AR299,IF(Dashboard!$D$6=INDEX('Scenario names'!$C$3:$C$6,3),'2.4 PV (by Borough)'!AR340,"Error")))))</f>
        <v>9879891.9218647871</v>
      </c>
      <c r="AS381" s="36">
        <f>IF(Dashboard!$D$6="Baseline",'2.4 PV (by Borough)'!AS217,IF(Dashboard!$D$6=INDEX('Scenario names'!$C$3:$C$6,4),'2.4 PV (by Borough)'!AS340,IF(Dashboard!$D$6=INDEX('Scenario names'!$C$3:$C$6,1),'2.4 PV (by Borough)'!AS299,IF(Dashboard!$D$6=INDEX('Scenario names'!$C$3:$C$6,2),'2.4 PV (by Borough)'!AS299,IF(Dashboard!$D$6=INDEX('Scenario names'!$C$3:$C$6,3),'2.4 PV (by Borough)'!AS340,"Error")))))</f>
        <v>10239011.593780415</v>
      </c>
      <c r="AT381" s="36">
        <f>IF(Dashboard!$D$6="Baseline",'2.4 PV (by Borough)'!AT217,IF(Dashboard!$D$6=INDEX('Scenario names'!$C$3:$C$6,4),'2.4 PV (by Borough)'!AT340,IF(Dashboard!$D$6=INDEX('Scenario names'!$C$3:$C$6,1),'2.4 PV (by Borough)'!AT299,IF(Dashboard!$D$6=INDEX('Scenario names'!$C$3:$C$6,2),'2.4 PV (by Borough)'!AT299,IF(Dashboard!$D$6=INDEX('Scenario names'!$C$3:$C$6,3),'2.4 PV (by Borough)'!AT340,"Error")))))</f>
        <v>10598131.265696047</v>
      </c>
      <c r="AU381" s="36">
        <f>IF(Dashboard!$D$6="Baseline",'2.4 PV (by Borough)'!AU217,IF(Dashboard!$D$6=INDEX('Scenario names'!$C$3:$C$6,4),'2.4 PV (by Borough)'!AU340,IF(Dashboard!$D$6=INDEX('Scenario names'!$C$3:$C$6,1),'2.4 PV (by Borough)'!AU299,IF(Dashboard!$D$6=INDEX('Scenario names'!$C$3:$C$6,2),'2.4 PV (by Borough)'!AU299,IF(Dashboard!$D$6=INDEX('Scenario names'!$C$3:$C$6,3),'2.4 PV (by Borough)'!AU340,"Error")))))</f>
        <v>10957250.93761168</v>
      </c>
      <c r="AV381" s="36">
        <f>IF(Dashboard!$D$6="Baseline",'2.4 PV (by Borough)'!AV217,IF(Dashboard!$D$6=INDEX('Scenario names'!$C$3:$C$6,4),'2.4 PV (by Borough)'!AV340,IF(Dashboard!$D$6=INDEX('Scenario names'!$C$3:$C$6,1),'2.4 PV (by Borough)'!AV299,IF(Dashboard!$D$6=INDEX('Scenario names'!$C$3:$C$6,2),'2.4 PV (by Borough)'!AV299,IF(Dashboard!$D$6=INDEX('Scenario names'!$C$3:$C$6,3),'2.4 PV (by Borough)'!AV340,"Error")))))</f>
        <v>11316370.609527308</v>
      </c>
      <c r="AW381" s="36">
        <f>IF(Dashboard!$D$6="Baseline",'2.4 PV (by Borough)'!AW217,IF(Dashboard!$D$6=INDEX('Scenario names'!$C$3:$C$6,4),'2.4 PV (by Borough)'!AW340,IF(Dashboard!$D$6=INDEX('Scenario names'!$C$3:$C$6,1),'2.4 PV (by Borough)'!AW299,IF(Dashboard!$D$6=INDEX('Scenario names'!$C$3:$C$6,2),'2.4 PV (by Borough)'!AW299,IF(Dashboard!$D$6=INDEX('Scenario names'!$C$3:$C$6,3),'2.4 PV (by Borough)'!AW340,"Error")))))</f>
        <v>11675490.281442938</v>
      </c>
      <c r="AX381" s="36">
        <f>IF(Dashboard!$D$6="Baseline",'2.4 PV (by Borough)'!AX217,IF(Dashboard!$D$6=INDEX('Scenario names'!$C$3:$C$6,4),'2.4 PV (by Borough)'!AX340,IF(Dashboard!$D$6=INDEX('Scenario names'!$C$3:$C$6,1),'2.4 PV (by Borough)'!AX299,IF(Dashboard!$D$6=INDEX('Scenario names'!$C$3:$C$6,2),'2.4 PV (by Borough)'!AX299,IF(Dashboard!$D$6=INDEX('Scenario names'!$C$3:$C$6,3),'2.4 PV (by Borough)'!AX340,"Error")))))</f>
        <v>12034609.95335857</v>
      </c>
      <c r="AY381" s="36"/>
      <c r="AZ381" s="36"/>
      <c r="BA381" s="36"/>
      <c r="BB381" s="36"/>
    </row>
    <row r="382" spans="3:54">
      <c r="D382" t="s">
        <v>661</v>
      </c>
      <c r="E382" t="s">
        <v>629</v>
      </c>
      <c r="G382" s="44"/>
      <c r="I382" s="44"/>
      <c r="K382" s="44"/>
      <c r="M382" s="44"/>
      <c r="O382" s="36">
        <f>IF(Dashboard!$D$6="Baseline",'2.4 PV (by Borough)'!O218,IF(Dashboard!$D$6=INDEX('Scenario names'!$C$3:$C$6,4),'2.4 PV (by Borough)'!O341,IF(Dashboard!$D$6=INDEX('Scenario names'!$C$3:$C$6,1),'2.4 PV (by Borough)'!O300,IF(Dashboard!$D$6=INDEX('Scenario names'!$C$3:$C$6,2),'2.4 PV (by Borough)'!O300,IF(Dashboard!$D$6=INDEX('Scenario names'!$C$3:$C$6,3),'2.4 PV (by Borough)'!O341,"Error")))))</f>
        <v>435235.42564687604</v>
      </c>
      <c r="P382" s="36">
        <f>IF(Dashboard!$D$6="Baseline",'2.4 PV (by Borough)'!P218,IF(Dashboard!$D$6=INDEX('Scenario names'!$C$3:$C$6,4),'2.4 PV (by Borough)'!P341,IF(Dashboard!$D$6=INDEX('Scenario names'!$C$3:$C$6,1),'2.4 PV (by Borough)'!P300,IF(Dashboard!$D$6=INDEX('Scenario names'!$C$3:$C$6,2),'2.4 PV (by Borough)'!P300,IF(Dashboard!$D$6=INDEX('Scenario names'!$C$3:$C$6,3),'2.4 PV (by Borough)'!P341,"Error")))))</f>
        <v>732605.43810463906</v>
      </c>
      <c r="Q382" s="36">
        <f>IF(Dashboard!$D$6="Baseline",'2.4 PV (by Borough)'!Q218,IF(Dashboard!$D$6=INDEX('Scenario names'!$C$3:$C$6,4),'2.4 PV (by Borough)'!Q341,IF(Dashboard!$D$6=INDEX('Scenario names'!$C$3:$C$6,1),'2.4 PV (by Borough)'!Q300,IF(Dashboard!$D$6=INDEX('Scenario names'!$C$3:$C$6,2),'2.4 PV (by Borough)'!Q300,IF(Dashboard!$D$6=INDEX('Scenario names'!$C$3:$C$6,3),'2.4 PV (by Borough)'!Q341,"Error")))))</f>
        <v>1029975.450562402</v>
      </c>
      <c r="R382" s="36">
        <f>IF(Dashboard!$D$6="Baseline",'2.4 PV (by Borough)'!R218,IF(Dashboard!$D$6=INDEX('Scenario names'!$C$3:$C$6,4),'2.4 PV (by Borough)'!R341,IF(Dashboard!$D$6=INDEX('Scenario names'!$C$3:$C$6,1),'2.4 PV (by Borough)'!R300,IF(Dashboard!$D$6=INDEX('Scenario names'!$C$3:$C$6,2),'2.4 PV (by Borough)'!R300,IF(Dashboard!$D$6=INDEX('Scenario names'!$C$3:$C$6,3),'2.4 PV (by Borough)'!R341,"Error")))))</f>
        <v>1327345.463020165</v>
      </c>
      <c r="S382" s="36">
        <f>IF(Dashboard!$D$6="Baseline",'2.4 PV (by Borough)'!S218,IF(Dashboard!$D$6=INDEX('Scenario names'!$C$3:$C$6,4),'2.4 PV (by Borough)'!S341,IF(Dashboard!$D$6=INDEX('Scenario names'!$C$3:$C$6,1),'2.4 PV (by Borough)'!S300,IF(Dashboard!$D$6=INDEX('Scenario names'!$C$3:$C$6,2),'2.4 PV (by Borough)'!S300,IF(Dashboard!$D$6=INDEX('Scenario names'!$C$3:$C$6,3),'2.4 PV (by Borough)'!S341,"Error")))))</f>
        <v>1624715.4754779276</v>
      </c>
      <c r="T382" s="36">
        <f>IF(Dashboard!$D$6="Baseline",'2.4 PV (by Borough)'!T218,IF(Dashboard!$D$6=INDEX('Scenario names'!$C$3:$C$6,4),'2.4 PV (by Borough)'!T341,IF(Dashboard!$D$6=INDEX('Scenario names'!$C$3:$C$6,1),'2.4 PV (by Borough)'!T300,IF(Dashboard!$D$6=INDEX('Scenario names'!$C$3:$C$6,2),'2.4 PV (by Borough)'!T300,IF(Dashboard!$D$6=INDEX('Scenario names'!$C$3:$C$6,3),'2.4 PV (by Borough)'!T341,"Error")))))</f>
        <v>1922085.4879356904</v>
      </c>
      <c r="U382" s="36">
        <f>IF(Dashboard!$D$6="Baseline",'2.4 PV (by Borough)'!U218,IF(Dashboard!$D$6=INDEX('Scenario names'!$C$3:$C$6,4),'2.4 PV (by Borough)'!U341,IF(Dashboard!$D$6=INDEX('Scenario names'!$C$3:$C$6,1),'2.4 PV (by Borough)'!U300,IF(Dashboard!$D$6=INDEX('Scenario names'!$C$3:$C$6,2),'2.4 PV (by Borough)'!U300,IF(Dashboard!$D$6=INDEX('Scenario names'!$C$3:$C$6,3),'2.4 PV (by Borough)'!U341,"Error")))))</f>
        <v>2219455.5003934535</v>
      </c>
      <c r="V382" s="36">
        <f>IF(Dashboard!$D$6="Baseline",'2.4 PV (by Borough)'!V218,IF(Dashboard!$D$6=INDEX('Scenario names'!$C$3:$C$6,4),'2.4 PV (by Borough)'!V341,IF(Dashboard!$D$6=INDEX('Scenario names'!$C$3:$C$6,1),'2.4 PV (by Borough)'!V300,IF(Dashboard!$D$6=INDEX('Scenario names'!$C$3:$C$6,2),'2.4 PV (by Borough)'!V300,IF(Dashboard!$D$6=INDEX('Scenario names'!$C$3:$C$6,3),'2.4 PV (by Borough)'!V341,"Error")))))</f>
        <v>2516825.5128512168</v>
      </c>
      <c r="W382" s="36">
        <f>IF(Dashboard!$D$6="Baseline",'2.4 PV (by Borough)'!W218,IF(Dashboard!$D$6=INDEX('Scenario names'!$C$3:$C$6,4),'2.4 PV (by Borough)'!W341,IF(Dashboard!$D$6=INDEX('Scenario names'!$C$3:$C$6,1),'2.4 PV (by Borough)'!W300,IF(Dashboard!$D$6=INDEX('Scenario names'!$C$3:$C$6,2),'2.4 PV (by Borough)'!W300,IF(Dashboard!$D$6=INDEX('Scenario names'!$C$3:$C$6,3),'2.4 PV (by Borough)'!W341,"Error")))))</f>
        <v>2814195.5253089787</v>
      </c>
      <c r="X382" s="36">
        <f>IF(Dashboard!$D$6="Baseline",'2.4 PV (by Borough)'!X218,IF(Dashboard!$D$6=INDEX('Scenario names'!$C$3:$C$6,4),'2.4 PV (by Borough)'!X341,IF(Dashboard!$D$6=INDEX('Scenario names'!$C$3:$C$6,1),'2.4 PV (by Borough)'!X300,IF(Dashboard!$D$6=INDEX('Scenario names'!$C$3:$C$6,2),'2.4 PV (by Borough)'!X300,IF(Dashboard!$D$6=INDEX('Scenario names'!$C$3:$C$6,3),'2.4 PV (by Borough)'!X341,"Error")))))</f>
        <v>3111565.5377667421</v>
      </c>
      <c r="Y382" s="36">
        <f>IF(Dashboard!$D$6="Baseline",'2.4 PV (by Borough)'!Y218,IF(Dashboard!$D$6=INDEX('Scenario names'!$C$3:$C$6,4),'2.4 PV (by Borough)'!Y341,IF(Dashboard!$D$6=INDEX('Scenario names'!$C$3:$C$6,1),'2.4 PV (by Borough)'!Y300,IF(Dashboard!$D$6=INDEX('Scenario names'!$C$3:$C$6,2),'2.4 PV (by Borough)'!Y300,IF(Dashboard!$D$6=INDEX('Scenario names'!$C$3:$C$6,3),'2.4 PV (by Borough)'!Y341,"Error")))))</f>
        <v>3408935.5502245054</v>
      </c>
      <c r="Z382" s="36">
        <f>IF(Dashboard!$D$6="Baseline",'2.4 PV (by Borough)'!Z218,IF(Dashboard!$D$6=INDEX('Scenario names'!$C$3:$C$6,4),'2.4 PV (by Borough)'!Z341,IF(Dashboard!$D$6=INDEX('Scenario names'!$C$3:$C$6,1),'2.4 PV (by Borough)'!Z300,IF(Dashboard!$D$6=INDEX('Scenario names'!$C$3:$C$6,2),'2.4 PV (by Borough)'!Z300,IF(Dashboard!$D$6=INDEX('Scenario names'!$C$3:$C$6,3),'2.4 PV (by Borough)'!Z341,"Error")))))</f>
        <v>3769794.1205659187</v>
      </c>
      <c r="AA382" s="36">
        <f>IF(Dashboard!$D$6="Baseline",'2.4 PV (by Borough)'!AA218,IF(Dashboard!$D$6=INDEX('Scenario names'!$C$3:$C$6,4),'2.4 PV (by Borough)'!AA341,IF(Dashboard!$D$6=INDEX('Scenario names'!$C$3:$C$6,1),'2.4 PV (by Borough)'!AA300,IF(Dashboard!$D$6=INDEX('Scenario names'!$C$3:$C$6,2),'2.4 PV (by Borough)'!AA300,IF(Dashboard!$D$6=INDEX('Scenario names'!$C$3:$C$6,3),'2.4 PV (by Borough)'!AA341,"Error")))))</f>
        <v>4130652.6909073335</v>
      </c>
      <c r="AB382" s="36">
        <f>IF(Dashboard!$D$6="Baseline",'2.4 PV (by Borough)'!AB218,IF(Dashboard!$D$6=INDEX('Scenario names'!$C$3:$C$6,4),'2.4 PV (by Borough)'!AB341,IF(Dashboard!$D$6=INDEX('Scenario names'!$C$3:$C$6,1),'2.4 PV (by Borough)'!AB300,IF(Dashboard!$D$6=INDEX('Scenario names'!$C$3:$C$6,2),'2.4 PV (by Borough)'!AB300,IF(Dashboard!$D$6=INDEX('Scenario names'!$C$3:$C$6,3),'2.4 PV (by Borough)'!AB341,"Error")))))</f>
        <v>4491511.2612487469</v>
      </c>
      <c r="AC382" s="36">
        <f>IF(Dashboard!$D$6="Baseline",'2.4 PV (by Borough)'!AC218,IF(Dashboard!$D$6=INDEX('Scenario names'!$C$3:$C$6,4),'2.4 PV (by Borough)'!AC341,IF(Dashboard!$D$6=INDEX('Scenario names'!$C$3:$C$6,1),'2.4 PV (by Borough)'!AC300,IF(Dashboard!$D$6=INDEX('Scenario names'!$C$3:$C$6,2),'2.4 PV (by Borough)'!AC300,IF(Dashboard!$D$6=INDEX('Scenario names'!$C$3:$C$6,3),'2.4 PV (by Borough)'!AC341,"Error")))))</f>
        <v>4852369.8315901589</v>
      </c>
      <c r="AD382" s="36">
        <f>IF(Dashboard!$D$6="Baseline",'2.4 PV (by Borough)'!AD218,IF(Dashboard!$D$6=INDEX('Scenario names'!$C$3:$C$6,4),'2.4 PV (by Borough)'!AD341,IF(Dashboard!$D$6=INDEX('Scenario names'!$C$3:$C$6,1),'2.4 PV (by Borough)'!AD300,IF(Dashboard!$D$6=INDEX('Scenario names'!$C$3:$C$6,2),'2.4 PV (by Borough)'!AD300,IF(Dashboard!$D$6=INDEX('Scenario names'!$C$3:$C$6,3),'2.4 PV (by Borough)'!AD341,"Error")))))</f>
        <v>5213228.4019315736</v>
      </c>
      <c r="AE382" s="36">
        <f>IF(Dashboard!$D$6="Baseline",'2.4 PV (by Borough)'!AE218,IF(Dashboard!$D$6=INDEX('Scenario names'!$C$3:$C$6,4),'2.4 PV (by Borough)'!AE341,IF(Dashboard!$D$6=INDEX('Scenario names'!$C$3:$C$6,1),'2.4 PV (by Borough)'!AE300,IF(Dashboard!$D$6=INDEX('Scenario names'!$C$3:$C$6,2),'2.4 PV (by Borough)'!AE300,IF(Dashboard!$D$6=INDEX('Scenario names'!$C$3:$C$6,3),'2.4 PV (by Borough)'!AE341,"Error")))))</f>
        <v>5574086.9722729865</v>
      </c>
      <c r="AF382" s="36">
        <f>IF(Dashboard!$D$6="Baseline",'2.4 PV (by Borough)'!AF218,IF(Dashboard!$D$6=INDEX('Scenario names'!$C$3:$C$6,4),'2.4 PV (by Borough)'!AF341,IF(Dashboard!$D$6=INDEX('Scenario names'!$C$3:$C$6,1),'2.4 PV (by Borough)'!AF300,IF(Dashboard!$D$6=INDEX('Scenario names'!$C$3:$C$6,2),'2.4 PV (by Borough)'!AF300,IF(Dashboard!$D$6=INDEX('Scenario names'!$C$3:$C$6,3),'2.4 PV (by Borough)'!AF341,"Error")))))</f>
        <v>5934945.5426143985</v>
      </c>
      <c r="AG382" s="36">
        <f>IF(Dashboard!$D$6="Baseline",'2.4 PV (by Borough)'!AG218,IF(Dashboard!$D$6=INDEX('Scenario names'!$C$3:$C$6,4),'2.4 PV (by Borough)'!AG341,IF(Dashboard!$D$6=INDEX('Scenario names'!$C$3:$C$6,1),'2.4 PV (by Borough)'!AG300,IF(Dashboard!$D$6=INDEX('Scenario names'!$C$3:$C$6,2),'2.4 PV (by Borough)'!AG300,IF(Dashboard!$D$6=INDEX('Scenario names'!$C$3:$C$6,3),'2.4 PV (by Borough)'!AG341,"Error")))))</f>
        <v>6295804.1129558133</v>
      </c>
      <c r="AH382" s="36">
        <f>IF(Dashboard!$D$6="Baseline",'2.4 PV (by Borough)'!AH218,IF(Dashboard!$D$6=INDEX('Scenario names'!$C$3:$C$6,4),'2.4 PV (by Borough)'!AH341,IF(Dashboard!$D$6=INDEX('Scenario names'!$C$3:$C$6,1),'2.4 PV (by Borough)'!AH300,IF(Dashboard!$D$6=INDEX('Scenario names'!$C$3:$C$6,2),'2.4 PV (by Borough)'!AH300,IF(Dashboard!$D$6=INDEX('Scenario names'!$C$3:$C$6,3),'2.4 PV (by Borough)'!AH341,"Error")))))</f>
        <v>6656662.6832972281</v>
      </c>
      <c r="AI382" s="36">
        <f>IF(Dashboard!$D$6="Baseline",'2.4 PV (by Borough)'!AI218,IF(Dashboard!$D$6=INDEX('Scenario names'!$C$3:$C$6,4),'2.4 PV (by Borough)'!AI341,IF(Dashboard!$D$6=INDEX('Scenario names'!$C$3:$C$6,1),'2.4 PV (by Borough)'!AI300,IF(Dashboard!$D$6=INDEX('Scenario names'!$C$3:$C$6,2),'2.4 PV (by Borough)'!AI300,IF(Dashboard!$D$6=INDEX('Scenario names'!$C$3:$C$6,3),'2.4 PV (by Borough)'!AI341,"Error")))))</f>
        <v>7017521.2536386419</v>
      </c>
      <c r="AJ382" s="36">
        <f>IF(Dashboard!$D$6="Baseline",'2.4 PV (by Borough)'!AJ218,IF(Dashboard!$D$6=INDEX('Scenario names'!$C$3:$C$6,4),'2.4 PV (by Borough)'!AJ341,IF(Dashboard!$D$6=INDEX('Scenario names'!$C$3:$C$6,1),'2.4 PV (by Borough)'!AJ300,IF(Dashboard!$D$6=INDEX('Scenario names'!$C$3:$C$6,2),'2.4 PV (by Borough)'!AJ300,IF(Dashboard!$D$6=INDEX('Scenario names'!$C$3:$C$6,3),'2.4 PV (by Borough)'!AJ341,"Error")))))</f>
        <v>7378379.8239800557</v>
      </c>
      <c r="AK382" s="36">
        <f>IF(Dashboard!$D$6="Baseline",'2.4 PV (by Borough)'!AK218,IF(Dashboard!$D$6=INDEX('Scenario names'!$C$3:$C$6,4),'2.4 PV (by Borough)'!AK341,IF(Dashboard!$D$6=INDEX('Scenario names'!$C$3:$C$6,1),'2.4 PV (by Borough)'!AK300,IF(Dashboard!$D$6=INDEX('Scenario names'!$C$3:$C$6,2),'2.4 PV (by Borough)'!AK300,IF(Dashboard!$D$6=INDEX('Scenario names'!$C$3:$C$6,3),'2.4 PV (by Borough)'!AK341,"Error")))))</f>
        <v>7739238.3943214677</v>
      </c>
      <c r="AL382" s="36">
        <f>IF(Dashboard!$D$6="Baseline",'2.4 PV (by Borough)'!AL218,IF(Dashboard!$D$6=INDEX('Scenario names'!$C$3:$C$6,4),'2.4 PV (by Borough)'!AL341,IF(Dashboard!$D$6=INDEX('Scenario names'!$C$3:$C$6,1),'2.4 PV (by Borough)'!AL300,IF(Dashboard!$D$6=INDEX('Scenario names'!$C$3:$C$6,2),'2.4 PV (by Borough)'!AL300,IF(Dashboard!$D$6=INDEX('Scenario names'!$C$3:$C$6,3),'2.4 PV (by Borough)'!AL341,"Error")))))</f>
        <v>8100096.9646628816</v>
      </c>
      <c r="AM382" s="36">
        <f>IF(Dashboard!$D$6="Baseline",'2.4 PV (by Borough)'!AM218,IF(Dashboard!$D$6=INDEX('Scenario names'!$C$3:$C$6,4),'2.4 PV (by Borough)'!AM341,IF(Dashboard!$D$6=INDEX('Scenario names'!$C$3:$C$6,1),'2.4 PV (by Borough)'!AM300,IF(Dashboard!$D$6=INDEX('Scenario names'!$C$3:$C$6,2),'2.4 PV (by Borough)'!AM300,IF(Dashboard!$D$6=INDEX('Scenario names'!$C$3:$C$6,3),'2.4 PV (by Borough)'!AM341,"Error")))))</f>
        <v>8460955.5350042973</v>
      </c>
      <c r="AN382" s="36">
        <f>IF(Dashboard!$D$6="Baseline",'2.4 PV (by Borough)'!AN218,IF(Dashboard!$D$6=INDEX('Scenario names'!$C$3:$C$6,4),'2.4 PV (by Borough)'!AN341,IF(Dashboard!$D$6=INDEX('Scenario names'!$C$3:$C$6,1),'2.4 PV (by Borough)'!AN300,IF(Dashboard!$D$6=INDEX('Scenario names'!$C$3:$C$6,2),'2.4 PV (by Borough)'!AN300,IF(Dashboard!$D$6=INDEX('Scenario names'!$C$3:$C$6,3),'2.4 PV (by Borough)'!AN341,"Error")))))</f>
        <v>8821814.1053457074</v>
      </c>
      <c r="AO382" s="36">
        <f>IF(Dashboard!$D$6="Baseline",'2.4 PV (by Borough)'!AO218,IF(Dashboard!$D$6=INDEX('Scenario names'!$C$3:$C$6,4),'2.4 PV (by Borough)'!AO341,IF(Dashboard!$D$6=INDEX('Scenario names'!$C$3:$C$6,1),'2.4 PV (by Borough)'!AO300,IF(Dashboard!$D$6=INDEX('Scenario names'!$C$3:$C$6,2),'2.4 PV (by Borough)'!AO300,IF(Dashboard!$D$6=INDEX('Scenario names'!$C$3:$C$6,3),'2.4 PV (by Borough)'!AO341,"Error")))))</f>
        <v>9182672.675687125</v>
      </c>
      <c r="AP382" s="36">
        <f>IF(Dashboard!$D$6="Baseline",'2.4 PV (by Borough)'!AP218,IF(Dashboard!$D$6=INDEX('Scenario names'!$C$3:$C$6,4),'2.4 PV (by Borough)'!AP341,IF(Dashboard!$D$6=INDEX('Scenario names'!$C$3:$C$6,1),'2.4 PV (by Borough)'!AP300,IF(Dashboard!$D$6=INDEX('Scenario names'!$C$3:$C$6,2),'2.4 PV (by Borough)'!AP300,IF(Dashboard!$D$6=INDEX('Scenario names'!$C$3:$C$6,3),'2.4 PV (by Borough)'!AP341,"Error")))))</f>
        <v>9543531.2460285369</v>
      </c>
      <c r="AQ382" s="36">
        <f>IF(Dashboard!$D$6="Baseline",'2.4 PV (by Borough)'!AQ218,IF(Dashboard!$D$6=INDEX('Scenario names'!$C$3:$C$6,4),'2.4 PV (by Borough)'!AQ341,IF(Dashboard!$D$6=INDEX('Scenario names'!$C$3:$C$6,1),'2.4 PV (by Borough)'!AQ300,IF(Dashboard!$D$6=INDEX('Scenario names'!$C$3:$C$6,2),'2.4 PV (by Borough)'!AQ300,IF(Dashboard!$D$6=INDEX('Scenario names'!$C$3:$C$6,3),'2.4 PV (by Borough)'!AQ341,"Error")))))</f>
        <v>9904389.8163699508</v>
      </c>
      <c r="AR382" s="36">
        <f>IF(Dashboard!$D$6="Baseline",'2.4 PV (by Borough)'!AR218,IF(Dashboard!$D$6=INDEX('Scenario names'!$C$3:$C$6,4),'2.4 PV (by Borough)'!AR341,IF(Dashboard!$D$6=INDEX('Scenario names'!$C$3:$C$6,1),'2.4 PV (by Borough)'!AR300,IF(Dashboard!$D$6=INDEX('Scenario names'!$C$3:$C$6,2),'2.4 PV (by Borough)'!AR300,IF(Dashboard!$D$6=INDEX('Scenario names'!$C$3:$C$6,3),'2.4 PV (by Borough)'!AR341,"Error")))))</f>
        <v>10265248.386711365</v>
      </c>
      <c r="AS382" s="36">
        <f>IF(Dashboard!$D$6="Baseline",'2.4 PV (by Borough)'!AS218,IF(Dashboard!$D$6=INDEX('Scenario names'!$C$3:$C$6,4),'2.4 PV (by Borough)'!AS341,IF(Dashboard!$D$6=INDEX('Scenario names'!$C$3:$C$6,1),'2.4 PV (by Borough)'!AS300,IF(Dashboard!$D$6=INDEX('Scenario names'!$C$3:$C$6,2),'2.4 PV (by Borough)'!AS300,IF(Dashboard!$D$6=INDEX('Scenario names'!$C$3:$C$6,3),'2.4 PV (by Borough)'!AS341,"Error")))))</f>
        <v>10626106.957052775</v>
      </c>
      <c r="AT382" s="36">
        <f>IF(Dashboard!$D$6="Baseline",'2.4 PV (by Borough)'!AT218,IF(Dashboard!$D$6=INDEX('Scenario names'!$C$3:$C$6,4),'2.4 PV (by Borough)'!AT341,IF(Dashboard!$D$6=INDEX('Scenario names'!$C$3:$C$6,1),'2.4 PV (by Borough)'!AT300,IF(Dashboard!$D$6=INDEX('Scenario names'!$C$3:$C$6,2),'2.4 PV (by Borough)'!AT300,IF(Dashboard!$D$6=INDEX('Scenario names'!$C$3:$C$6,3),'2.4 PV (by Borough)'!AT341,"Error")))))</f>
        <v>10986965.527394192</v>
      </c>
      <c r="AU382" s="36">
        <f>IF(Dashboard!$D$6="Baseline",'2.4 PV (by Borough)'!AU218,IF(Dashboard!$D$6=INDEX('Scenario names'!$C$3:$C$6,4),'2.4 PV (by Borough)'!AU341,IF(Dashboard!$D$6=INDEX('Scenario names'!$C$3:$C$6,1),'2.4 PV (by Borough)'!AU300,IF(Dashboard!$D$6=INDEX('Scenario names'!$C$3:$C$6,2),'2.4 PV (by Borough)'!AU300,IF(Dashboard!$D$6=INDEX('Scenario names'!$C$3:$C$6,3),'2.4 PV (by Borough)'!AU341,"Error")))))</f>
        <v>11347824.09773561</v>
      </c>
      <c r="AV382" s="36">
        <f>IF(Dashboard!$D$6="Baseline",'2.4 PV (by Borough)'!AV218,IF(Dashboard!$D$6=INDEX('Scenario names'!$C$3:$C$6,4),'2.4 PV (by Borough)'!AV341,IF(Dashboard!$D$6=INDEX('Scenario names'!$C$3:$C$6,1),'2.4 PV (by Borough)'!AV300,IF(Dashboard!$D$6=INDEX('Scenario names'!$C$3:$C$6,2),'2.4 PV (by Borough)'!AV300,IF(Dashboard!$D$6=INDEX('Scenario names'!$C$3:$C$6,3),'2.4 PV (by Borough)'!AV341,"Error")))))</f>
        <v>11708682.668077018</v>
      </c>
      <c r="AW382" s="36">
        <f>IF(Dashboard!$D$6="Baseline",'2.4 PV (by Borough)'!AW218,IF(Dashboard!$D$6=INDEX('Scenario names'!$C$3:$C$6,4),'2.4 PV (by Borough)'!AW341,IF(Dashboard!$D$6=INDEX('Scenario names'!$C$3:$C$6,1),'2.4 PV (by Borough)'!AW300,IF(Dashboard!$D$6=INDEX('Scenario names'!$C$3:$C$6,2),'2.4 PV (by Borough)'!AW300,IF(Dashboard!$D$6=INDEX('Scenario names'!$C$3:$C$6,3),'2.4 PV (by Borough)'!AW341,"Error")))))</f>
        <v>12069541.238418434</v>
      </c>
      <c r="AX382" s="36">
        <f>IF(Dashboard!$D$6="Baseline",'2.4 PV (by Borough)'!AX218,IF(Dashboard!$D$6=INDEX('Scenario names'!$C$3:$C$6,4),'2.4 PV (by Borough)'!AX341,IF(Dashboard!$D$6=INDEX('Scenario names'!$C$3:$C$6,1),'2.4 PV (by Borough)'!AX300,IF(Dashboard!$D$6=INDEX('Scenario names'!$C$3:$C$6,2),'2.4 PV (by Borough)'!AX300,IF(Dashboard!$D$6=INDEX('Scenario names'!$C$3:$C$6,3),'2.4 PV (by Borough)'!AX341,"Error")))))</f>
        <v>12430399.80875985</v>
      </c>
      <c r="AY382" s="36"/>
      <c r="AZ382" s="36"/>
      <c r="BA382" s="36"/>
      <c r="BB382" s="36"/>
    </row>
    <row r="383" spans="3:54">
      <c r="D383" t="s">
        <v>661</v>
      </c>
      <c r="E383" t="s">
        <v>630</v>
      </c>
      <c r="G383" s="44"/>
      <c r="I383" s="44"/>
      <c r="K383" s="44"/>
      <c r="M383" s="44"/>
      <c r="O383" s="36">
        <f>IF(Dashboard!$D$6="Baseline",'2.4 PV (by Borough)'!O219,IF(Dashboard!$D$6=INDEX('Scenario names'!$C$3:$C$6,4),'2.4 PV (by Borough)'!O342,IF(Dashboard!$D$6=INDEX('Scenario names'!$C$3:$C$6,1),'2.4 PV (by Borough)'!O301,IF(Dashboard!$D$6=INDEX('Scenario names'!$C$3:$C$6,2),'2.4 PV (by Borough)'!O301,IF(Dashboard!$D$6=INDEX('Scenario names'!$C$3:$C$6,3),'2.4 PV (by Borough)'!O342,"Error")))))</f>
        <v>379878.6392314905</v>
      </c>
      <c r="P383" s="36">
        <f>IF(Dashboard!$D$6="Baseline",'2.4 PV (by Borough)'!P219,IF(Dashboard!$D$6=INDEX('Scenario names'!$C$3:$C$6,4),'2.4 PV (by Borough)'!P342,IF(Dashboard!$D$6=INDEX('Scenario names'!$C$3:$C$6,1),'2.4 PV (by Borough)'!P301,IF(Dashboard!$D$6=INDEX('Scenario names'!$C$3:$C$6,2),'2.4 PV (by Borough)'!P301,IF(Dashboard!$D$6=INDEX('Scenario names'!$C$3:$C$6,3),'2.4 PV (by Borough)'!P342,"Error")))))</f>
        <v>637224.45845243998</v>
      </c>
      <c r="Q383" s="36">
        <f>IF(Dashboard!$D$6="Baseline",'2.4 PV (by Borough)'!Q219,IF(Dashboard!$D$6=INDEX('Scenario names'!$C$3:$C$6,4),'2.4 PV (by Borough)'!Q342,IF(Dashboard!$D$6=INDEX('Scenario names'!$C$3:$C$6,1),'2.4 PV (by Borough)'!Q301,IF(Dashboard!$D$6=INDEX('Scenario names'!$C$3:$C$6,2),'2.4 PV (by Borough)'!Q301,IF(Dashboard!$D$6=INDEX('Scenario names'!$C$3:$C$6,3),'2.4 PV (by Borough)'!Q342,"Error")))))</f>
        <v>894570.27767338953</v>
      </c>
      <c r="R383" s="36">
        <f>IF(Dashboard!$D$6="Baseline",'2.4 PV (by Borough)'!R219,IF(Dashboard!$D$6=INDEX('Scenario names'!$C$3:$C$6,4),'2.4 PV (by Borough)'!R342,IF(Dashboard!$D$6=INDEX('Scenario names'!$C$3:$C$6,1),'2.4 PV (by Borough)'!R301,IF(Dashboard!$D$6=INDEX('Scenario names'!$C$3:$C$6,2),'2.4 PV (by Borough)'!R301,IF(Dashboard!$D$6=INDEX('Scenario names'!$C$3:$C$6,3),'2.4 PV (by Borough)'!R342,"Error")))))</f>
        <v>1151916.0968943392</v>
      </c>
      <c r="S383" s="36">
        <f>IF(Dashboard!$D$6="Baseline",'2.4 PV (by Borough)'!S219,IF(Dashboard!$D$6=INDEX('Scenario names'!$C$3:$C$6,4),'2.4 PV (by Borough)'!S342,IF(Dashboard!$D$6=INDEX('Scenario names'!$C$3:$C$6,1),'2.4 PV (by Borough)'!S301,IF(Dashboard!$D$6=INDEX('Scenario names'!$C$3:$C$6,2),'2.4 PV (by Borough)'!S301,IF(Dashboard!$D$6=INDEX('Scenario names'!$C$3:$C$6,3),'2.4 PV (by Borough)'!S342,"Error")))))</f>
        <v>1409261.9161152884</v>
      </c>
      <c r="T383" s="36">
        <f>IF(Dashboard!$D$6="Baseline",'2.4 PV (by Borough)'!T219,IF(Dashboard!$D$6=INDEX('Scenario names'!$C$3:$C$6,4),'2.4 PV (by Borough)'!T342,IF(Dashboard!$D$6=INDEX('Scenario names'!$C$3:$C$6,1),'2.4 PV (by Borough)'!T301,IF(Dashboard!$D$6=INDEX('Scenario names'!$C$3:$C$6,2),'2.4 PV (by Borough)'!T301,IF(Dashboard!$D$6=INDEX('Scenario names'!$C$3:$C$6,3),'2.4 PV (by Borough)'!T342,"Error")))))</f>
        <v>1666607.7353362381</v>
      </c>
      <c r="U383" s="36">
        <f>IF(Dashboard!$D$6="Baseline",'2.4 PV (by Borough)'!U219,IF(Dashboard!$D$6=INDEX('Scenario names'!$C$3:$C$6,4),'2.4 PV (by Borough)'!U342,IF(Dashboard!$D$6=INDEX('Scenario names'!$C$3:$C$6,1),'2.4 PV (by Borough)'!U301,IF(Dashboard!$D$6=INDEX('Scenario names'!$C$3:$C$6,2),'2.4 PV (by Borough)'!U301,IF(Dashboard!$D$6=INDEX('Scenario names'!$C$3:$C$6,3),'2.4 PV (by Borough)'!U342,"Error")))))</f>
        <v>1923953.5545571879</v>
      </c>
      <c r="V383" s="36">
        <f>IF(Dashboard!$D$6="Baseline",'2.4 PV (by Borough)'!V219,IF(Dashboard!$D$6=INDEX('Scenario names'!$C$3:$C$6,4),'2.4 PV (by Borough)'!V342,IF(Dashboard!$D$6=INDEX('Scenario names'!$C$3:$C$6,1),'2.4 PV (by Borough)'!V301,IF(Dashboard!$D$6=INDEX('Scenario names'!$C$3:$C$6,2),'2.4 PV (by Borough)'!V301,IF(Dashboard!$D$6=INDEX('Scenario names'!$C$3:$C$6,3),'2.4 PV (by Borough)'!V342,"Error")))))</f>
        <v>2181299.3737781378</v>
      </c>
      <c r="W383" s="36">
        <f>IF(Dashboard!$D$6="Baseline",'2.4 PV (by Borough)'!W219,IF(Dashboard!$D$6=INDEX('Scenario names'!$C$3:$C$6,4),'2.4 PV (by Borough)'!W342,IF(Dashboard!$D$6=INDEX('Scenario names'!$C$3:$C$6,1),'2.4 PV (by Borough)'!W301,IF(Dashboard!$D$6=INDEX('Scenario names'!$C$3:$C$6,2),'2.4 PV (by Borough)'!W301,IF(Dashboard!$D$6=INDEX('Scenario names'!$C$3:$C$6,3),'2.4 PV (by Borough)'!W342,"Error")))))</f>
        <v>2438645.1929990868</v>
      </c>
      <c r="X383" s="36">
        <f>IF(Dashboard!$D$6="Baseline",'2.4 PV (by Borough)'!X219,IF(Dashboard!$D$6=INDEX('Scenario names'!$C$3:$C$6,4),'2.4 PV (by Borough)'!X342,IF(Dashboard!$D$6=INDEX('Scenario names'!$C$3:$C$6,1),'2.4 PV (by Borough)'!X301,IF(Dashboard!$D$6=INDEX('Scenario names'!$C$3:$C$6,2),'2.4 PV (by Borough)'!X301,IF(Dashboard!$D$6=INDEX('Scenario names'!$C$3:$C$6,3),'2.4 PV (by Borough)'!X342,"Error")))))</f>
        <v>2695991.0122200362</v>
      </c>
      <c r="Y383" s="36">
        <f>IF(Dashboard!$D$6="Baseline",'2.4 PV (by Borough)'!Y219,IF(Dashboard!$D$6=INDEX('Scenario names'!$C$3:$C$6,4),'2.4 PV (by Borough)'!Y342,IF(Dashboard!$D$6=INDEX('Scenario names'!$C$3:$C$6,1),'2.4 PV (by Borough)'!Y301,IF(Dashboard!$D$6=INDEX('Scenario names'!$C$3:$C$6,2),'2.4 PV (by Borough)'!Y301,IF(Dashboard!$D$6=INDEX('Scenario names'!$C$3:$C$6,3),'2.4 PV (by Borough)'!Y342,"Error")))))</f>
        <v>2953336.8314409861</v>
      </c>
      <c r="Z383" s="36">
        <f>IF(Dashboard!$D$6="Baseline",'2.4 PV (by Borough)'!Z219,IF(Dashboard!$D$6=INDEX('Scenario names'!$C$3:$C$6,4),'2.4 PV (by Borough)'!Z342,IF(Dashboard!$D$6=INDEX('Scenario names'!$C$3:$C$6,1),'2.4 PV (by Borough)'!Z301,IF(Dashboard!$D$6=INDEX('Scenario names'!$C$3:$C$6,2),'2.4 PV (by Borough)'!Z301,IF(Dashboard!$D$6=INDEX('Scenario names'!$C$3:$C$6,3),'2.4 PV (by Borough)'!Z342,"Error")))))</f>
        <v>3252648.3851876846</v>
      </c>
      <c r="AA383" s="36">
        <f>IF(Dashboard!$D$6="Baseline",'2.4 PV (by Borough)'!AA219,IF(Dashboard!$D$6=INDEX('Scenario names'!$C$3:$C$6,4),'2.4 PV (by Borough)'!AA342,IF(Dashboard!$D$6=INDEX('Scenario names'!$C$3:$C$6,1),'2.4 PV (by Borough)'!AA301,IF(Dashboard!$D$6=INDEX('Scenario names'!$C$3:$C$6,2),'2.4 PV (by Borough)'!AA301,IF(Dashboard!$D$6=INDEX('Scenario names'!$C$3:$C$6,3),'2.4 PV (by Borough)'!AA342,"Error")))))</f>
        <v>3551959.9389343839</v>
      </c>
      <c r="AB383" s="36">
        <f>IF(Dashboard!$D$6="Baseline",'2.4 PV (by Borough)'!AB219,IF(Dashboard!$D$6=INDEX('Scenario names'!$C$3:$C$6,4),'2.4 PV (by Borough)'!AB342,IF(Dashboard!$D$6=INDEX('Scenario names'!$C$3:$C$6,1),'2.4 PV (by Borough)'!AB301,IF(Dashboard!$D$6=INDEX('Scenario names'!$C$3:$C$6,2),'2.4 PV (by Borough)'!AB301,IF(Dashboard!$D$6=INDEX('Scenario names'!$C$3:$C$6,3),'2.4 PV (by Borough)'!AB342,"Error")))))</f>
        <v>3851271.4926810819</v>
      </c>
      <c r="AC383" s="36">
        <f>IF(Dashboard!$D$6="Baseline",'2.4 PV (by Borough)'!AC219,IF(Dashboard!$D$6=INDEX('Scenario names'!$C$3:$C$6,4),'2.4 PV (by Borough)'!AC342,IF(Dashboard!$D$6=INDEX('Scenario names'!$C$3:$C$6,1),'2.4 PV (by Borough)'!AC301,IF(Dashboard!$D$6=INDEX('Scenario names'!$C$3:$C$6,2),'2.4 PV (by Borough)'!AC301,IF(Dashboard!$D$6=INDEX('Scenario names'!$C$3:$C$6,3),'2.4 PV (by Borough)'!AC342,"Error")))))</f>
        <v>4150583.0464277817</v>
      </c>
      <c r="AD383" s="36">
        <f>IF(Dashboard!$D$6="Baseline",'2.4 PV (by Borough)'!AD219,IF(Dashboard!$D$6=INDEX('Scenario names'!$C$3:$C$6,4),'2.4 PV (by Borough)'!AD342,IF(Dashboard!$D$6=INDEX('Scenario names'!$C$3:$C$6,1),'2.4 PV (by Borough)'!AD301,IF(Dashboard!$D$6=INDEX('Scenario names'!$C$3:$C$6,2),'2.4 PV (by Borough)'!AD301,IF(Dashboard!$D$6=INDEX('Scenario names'!$C$3:$C$6,3),'2.4 PV (by Borough)'!AD342,"Error")))))</f>
        <v>4449894.6001744792</v>
      </c>
      <c r="AE383" s="36">
        <f>IF(Dashboard!$D$6="Baseline",'2.4 PV (by Borough)'!AE219,IF(Dashboard!$D$6=INDEX('Scenario names'!$C$3:$C$6,4),'2.4 PV (by Borough)'!AE342,IF(Dashboard!$D$6=INDEX('Scenario names'!$C$3:$C$6,1),'2.4 PV (by Borough)'!AE301,IF(Dashboard!$D$6=INDEX('Scenario names'!$C$3:$C$6,2),'2.4 PV (by Borough)'!AE301,IF(Dashboard!$D$6=INDEX('Scenario names'!$C$3:$C$6,3),'2.4 PV (by Borough)'!AE342,"Error")))))</f>
        <v>4749206.1539211795</v>
      </c>
      <c r="AF383" s="36">
        <f>IF(Dashboard!$D$6="Baseline",'2.4 PV (by Borough)'!AF219,IF(Dashboard!$D$6=INDEX('Scenario names'!$C$3:$C$6,4),'2.4 PV (by Borough)'!AF342,IF(Dashboard!$D$6=INDEX('Scenario names'!$C$3:$C$6,1),'2.4 PV (by Borough)'!AF301,IF(Dashboard!$D$6=INDEX('Scenario names'!$C$3:$C$6,2),'2.4 PV (by Borough)'!AF301,IF(Dashboard!$D$6=INDEX('Scenario names'!$C$3:$C$6,3),'2.4 PV (by Borough)'!AF342,"Error")))))</f>
        <v>5048517.7076678798</v>
      </c>
      <c r="AG383" s="36">
        <f>IF(Dashboard!$D$6="Baseline",'2.4 PV (by Borough)'!AG219,IF(Dashboard!$D$6=INDEX('Scenario names'!$C$3:$C$6,4),'2.4 PV (by Borough)'!AG342,IF(Dashboard!$D$6=INDEX('Scenario names'!$C$3:$C$6,1),'2.4 PV (by Borough)'!AG301,IF(Dashboard!$D$6=INDEX('Scenario names'!$C$3:$C$6,2),'2.4 PV (by Borough)'!AG301,IF(Dashboard!$D$6=INDEX('Scenario names'!$C$3:$C$6,3),'2.4 PV (by Borough)'!AG342,"Error")))))</f>
        <v>5347829.2614145773</v>
      </c>
      <c r="AH383" s="36">
        <f>IF(Dashboard!$D$6="Baseline",'2.4 PV (by Borough)'!AH219,IF(Dashboard!$D$6=INDEX('Scenario names'!$C$3:$C$6,4),'2.4 PV (by Borough)'!AH342,IF(Dashboard!$D$6=INDEX('Scenario names'!$C$3:$C$6,1),'2.4 PV (by Borough)'!AH301,IF(Dashboard!$D$6=INDEX('Scenario names'!$C$3:$C$6,2),'2.4 PV (by Borough)'!AH301,IF(Dashboard!$D$6=INDEX('Scenario names'!$C$3:$C$6,3),'2.4 PV (by Borough)'!AH342,"Error")))))</f>
        <v>5647140.8151612757</v>
      </c>
      <c r="AI383" s="36">
        <f>IF(Dashboard!$D$6="Baseline",'2.4 PV (by Borough)'!AI219,IF(Dashboard!$D$6=INDEX('Scenario names'!$C$3:$C$6,4),'2.4 PV (by Borough)'!AI342,IF(Dashboard!$D$6=INDEX('Scenario names'!$C$3:$C$6,1),'2.4 PV (by Borough)'!AI301,IF(Dashboard!$D$6=INDEX('Scenario names'!$C$3:$C$6,2),'2.4 PV (by Borough)'!AI301,IF(Dashboard!$D$6=INDEX('Scenario names'!$C$3:$C$6,3),'2.4 PV (by Borough)'!AI342,"Error")))))</f>
        <v>5946452.368907975</v>
      </c>
      <c r="AJ383" s="36">
        <f>IF(Dashboard!$D$6="Baseline",'2.4 PV (by Borough)'!AJ219,IF(Dashboard!$D$6=INDEX('Scenario names'!$C$3:$C$6,4),'2.4 PV (by Borough)'!AJ342,IF(Dashboard!$D$6=INDEX('Scenario names'!$C$3:$C$6,1),'2.4 PV (by Borough)'!AJ301,IF(Dashboard!$D$6=INDEX('Scenario names'!$C$3:$C$6,2),'2.4 PV (by Borough)'!AJ301,IF(Dashboard!$D$6=INDEX('Scenario names'!$C$3:$C$6,3),'2.4 PV (by Borough)'!AJ342,"Error")))))</f>
        <v>6245763.9226546735</v>
      </c>
      <c r="AK383" s="36">
        <f>IF(Dashboard!$D$6="Baseline",'2.4 PV (by Borough)'!AK219,IF(Dashboard!$D$6=INDEX('Scenario names'!$C$3:$C$6,4),'2.4 PV (by Borough)'!AK342,IF(Dashboard!$D$6=INDEX('Scenario names'!$C$3:$C$6,1),'2.4 PV (by Borough)'!AK301,IF(Dashboard!$D$6=INDEX('Scenario names'!$C$3:$C$6,2),'2.4 PV (by Borough)'!AK301,IF(Dashboard!$D$6=INDEX('Scenario names'!$C$3:$C$6,3),'2.4 PV (by Borough)'!AK342,"Error")))))</f>
        <v>6545075.4764013747</v>
      </c>
      <c r="AL383" s="36">
        <f>IF(Dashboard!$D$6="Baseline",'2.4 PV (by Borough)'!AL219,IF(Dashboard!$D$6=INDEX('Scenario names'!$C$3:$C$6,4),'2.4 PV (by Borough)'!AL342,IF(Dashboard!$D$6=INDEX('Scenario names'!$C$3:$C$6,1),'2.4 PV (by Borough)'!AL301,IF(Dashboard!$D$6=INDEX('Scenario names'!$C$3:$C$6,2),'2.4 PV (by Borough)'!AL301,IF(Dashboard!$D$6=INDEX('Scenario names'!$C$3:$C$6,3),'2.4 PV (by Borough)'!AL342,"Error")))))</f>
        <v>6844387.0301480722</v>
      </c>
      <c r="AM383" s="36">
        <f>IF(Dashboard!$D$6="Baseline",'2.4 PV (by Borough)'!AM219,IF(Dashboard!$D$6=INDEX('Scenario names'!$C$3:$C$6,4),'2.4 PV (by Borough)'!AM342,IF(Dashboard!$D$6=INDEX('Scenario names'!$C$3:$C$6,1),'2.4 PV (by Borough)'!AM301,IF(Dashboard!$D$6=INDEX('Scenario names'!$C$3:$C$6,2),'2.4 PV (by Borough)'!AM301,IF(Dashboard!$D$6=INDEX('Scenario names'!$C$3:$C$6,3),'2.4 PV (by Borough)'!AM342,"Error")))))</f>
        <v>7143698.5838947706</v>
      </c>
      <c r="AN383" s="36">
        <f>IF(Dashboard!$D$6="Baseline",'2.4 PV (by Borough)'!AN219,IF(Dashboard!$D$6=INDEX('Scenario names'!$C$3:$C$6,4),'2.4 PV (by Borough)'!AN342,IF(Dashboard!$D$6=INDEX('Scenario names'!$C$3:$C$6,1),'2.4 PV (by Borough)'!AN301,IF(Dashboard!$D$6=INDEX('Scenario names'!$C$3:$C$6,2),'2.4 PV (by Borough)'!AN301,IF(Dashboard!$D$6=INDEX('Scenario names'!$C$3:$C$6,3),'2.4 PV (by Borough)'!AN342,"Error")))))</f>
        <v>7443010.1376414709</v>
      </c>
      <c r="AO383" s="36">
        <f>IF(Dashboard!$D$6="Baseline",'2.4 PV (by Borough)'!AO219,IF(Dashboard!$D$6=INDEX('Scenario names'!$C$3:$C$6,4),'2.4 PV (by Borough)'!AO342,IF(Dashboard!$D$6=INDEX('Scenario names'!$C$3:$C$6,1),'2.4 PV (by Borough)'!AO301,IF(Dashboard!$D$6=INDEX('Scenario names'!$C$3:$C$6,2),'2.4 PV (by Borough)'!AO301,IF(Dashboard!$D$6=INDEX('Scenario names'!$C$3:$C$6,3),'2.4 PV (by Borough)'!AO342,"Error")))))</f>
        <v>7742321.6913881702</v>
      </c>
      <c r="AP383" s="36">
        <f>IF(Dashboard!$D$6="Baseline",'2.4 PV (by Borough)'!AP219,IF(Dashboard!$D$6=INDEX('Scenario names'!$C$3:$C$6,4),'2.4 PV (by Borough)'!AP342,IF(Dashboard!$D$6=INDEX('Scenario names'!$C$3:$C$6,1),'2.4 PV (by Borough)'!AP301,IF(Dashboard!$D$6=INDEX('Scenario names'!$C$3:$C$6,2),'2.4 PV (by Borough)'!AP301,IF(Dashboard!$D$6=INDEX('Scenario names'!$C$3:$C$6,3),'2.4 PV (by Borough)'!AP342,"Error")))))</f>
        <v>8041633.2451348677</v>
      </c>
      <c r="AQ383" s="36">
        <f>IF(Dashboard!$D$6="Baseline",'2.4 PV (by Borough)'!AQ219,IF(Dashboard!$D$6=INDEX('Scenario names'!$C$3:$C$6,4),'2.4 PV (by Borough)'!AQ342,IF(Dashboard!$D$6=INDEX('Scenario names'!$C$3:$C$6,1),'2.4 PV (by Borough)'!AQ301,IF(Dashboard!$D$6=INDEX('Scenario names'!$C$3:$C$6,2),'2.4 PV (by Borough)'!AQ301,IF(Dashboard!$D$6=INDEX('Scenario names'!$C$3:$C$6,3),'2.4 PV (by Borough)'!AQ342,"Error")))))</f>
        <v>8340944.7988815662</v>
      </c>
      <c r="AR383" s="36">
        <f>IF(Dashboard!$D$6="Baseline",'2.4 PV (by Borough)'!AR219,IF(Dashboard!$D$6=INDEX('Scenario names'!$C$3:$C$6,4),'2.4 PV (by Borough)'!AR342,IF(Dashboard!$D$6=INDEX('Scenario names'!$C$3:$C$6,1),'2.4 PV (by Borough)'!AR301,IF(Dashboard!$D$6=INDEX('Scenario names'!$C$3:$C$6,2),'2.4 PV (by Borough)'!AR301,IF(Dashboard!$D$6=INDEX('Scenario names'!$C$3:$C$6,3),'2.4 PV (by Borough)'!AR342,"Error")))))</f>
        <v>8640256.3526282664</v>
      </c>
      <c r="AS383" s="36">
        <f>IF(Dashboard!$D$6="Baseline",'2.4 PV (by Borough)'!AS219,IF(Dashboard!$D$6=INDEX('Scenario names'!$C$3:$C$6,4),'2.4 PV (by Borough)'!AS342,IF(Dashboard!$D$6=INDEX('Scenario names'!$C$3:$C$6,1),'2.4 PV (by Borough)'!AS301,IF(Dashboard!$D$6=INDEX('Scenario names'!$C$3:$C$6,2),'2.4 PV (by Borough)'!AS301,IF(Dashboard!$D$6=INDEX('Scenario names'!$C$3:$C$6,3),'2.4 PV (by Borough)'!AS342,"Error")))))</f>
        <v>8939567.9063749649</v>
      </c>
      <c r="AT383" s="36">
        <f>IF(Dashboard!$D$6="Baseline",'2.4 PV (by Borough)'!AT219,IF(Dashboard!$D$6=INDEX('Scenario names'!$C$3:$C$6,4),'2.4 PV (by Borough)'!AT342,IF(Dashboard!$D$6=INDEX('Scenario names'!$C$3:$C$6,1),'2.4 PV (by Borough)'!AT301,IF(Dashboard!$D$6=INDEX('Scenario names'!$C$3:$C$6,2),'2.4 PV (by Borough)'!AT301,IF(Dashboard!$D$6=INDEX('Scenario names'!$C$3:$C$6,3),'2.4 PV (by Borough)'!AT342,"Error")))))</f>
        <v>9238879.4601216614</v>
      </c>
      <c r="AU383" s="36">
        <f>IF(Dashboard!$D$6="Baseline",'2.4 PV (by Borough)'!AU219,IF(Dashboard!$D$6=INDEX('Scenario names'!$C$3:$C$6,4),'2.4 PV (by Borough)'!AU342,IF(Dashboard!$D$6=INDEX('Scenario names'!$C$3:$C$6,1),'2.4 PV (by Borough)'!AU301,IF(Dashboard!$D$6=INDEX('Scenario names'!$C$3:$C$6,2),'2.4 PV (by Borough)'!AU301,IF(Dashboard!$D$6=INDEX('Scenario names'!$C$3:$C$6,3),'2.4 PV (by Borough)'!AU342,"Error")))))</f>
        <v>9538191.0138683617</v>
      </c>
      <c r="AV383" s="36">
        <f>IF(Dashboard!$D$6="Baseline",'2.4 PV (by Borough)'!AV219,IF(Dashboard!$D$6=INDEX('Scenario names'!$C$3:$C$6,4),'2.4 PV (by Borough)'!AV342,IF(Dashboard!$D$6=INDEX('Scenario names'!$C$3:$C$6,1),'2.4 PV (by Borough)'!AV301,IF(Dashboard!$D$6=INDEX('Scenario names'!$C$3:$C$6,2),'2.4 PV (by Borough)'!AV301,IF(Dashboard!$D$6=INDEX('Scenario names'!$C$3:$C$6,3),'2.4 PV (by Borough)'!AV342,"Error")))))</f>
        <v>9837502.5676150583</v>
      </c>
      <c r="AW383" s="36">
        <f>IF(Dashboard!$D$6="Baseline",'2.4 PV (by Borough)'!AW219,IF(Dashboard!$D$6=INDEX('Scenario names'!$C$3:$C$6,4),'2.4 PV (by Borough)'!AW342,IF(Dashboard!$D$6=INDEX('Scenario names'!$C$3:$C$6,1),'2.4 PV (by Borough)'!AW301,IF(Dashboard!$D$6=INDEX('Scenario names'!$C$3:$C$6,2),'2.4 PV (by Borough)'!AW301,IF(Dashboard!$D$6=INDEX('Scenario names'!$C$3:$C$6,3),'2.4 PV (by Borough)'!AW342,"Error")))))</f>
        <v>10136814.121361759</v>
      </c>
      <c r="AX383" s="36">
        <f>IF(Dashboard!$D$6="Baseline",'2.4 PV (by Borough)'!AX219,IF(Dashboard!$D$6=INDEX('Scenario names'!$C$3:$C$6,4),'2.4 PV (by Borough)'!AX342,IF(Dashboard!$D$6=INDEX('Scenario names'!$C$3:$C$6,1),'2.4 PV (by Borough)'!AX301,IF(Dashboard!$D$6=INDEX('Scenario names'!$C$3:$C$6,2),'2.4 PV (by Borough)'!AX301,IF(Dashboard!$D$6=INDEX('Scenario names'!$C$3:$C$6,3),'2.4 PV (by Borough)'!AX342,"Error")))))</f>
        <v>10436125.675108463</v>
      </c>
      <c r="AY383" s="36"/>
      <c r="AZ383" s="36"/>
      <c r="BA383" s="36"/>
      <c r="BB383" s="36"/>
    </row>
    <row r="384" spans="3:54">
      <c r="D384" t="s">
        <v>660</v>
      </c>
      <c r="E384" t="s">
        <v>631</v>
      </c>
      <c r="G384" s="44"/>
      <c r="I384" s="44"/>
      <c r="K384" s="44"/>
      <c r="M384" s="44"/>
      <c r="O384" s="36">
        <f>IF(Dashboard!$D$6="Baseline",'2.4 PV (by Borough)'!O220,IF(Dashboard!$D$6=INDEX('Scenario names'!$C$3:$C$6,4),'2.4 PV (by Borough)'!O343,IF(Dashboard!$D$6=INDEX('Scenario names'!$C$3:$C$6,1),'2.4 PV (by Borough)'!O302,IF(Dashboard!$D$6=INDEX('Scenario names'!$C$3:$C$6,2),'2.4 PV (by Borough)'!O302,IF(Dashboard!$D$6=INDEX('Scenario names'!$C$3:$C$6,3),'2.4 PV (by Borough)'!O343,"Error")))))</f>
        <v>154849.86057348011</v>
      </c>
      <c r="P384" s="36">
        <f>IF(Dashboard!$D$6="Baseline",'2.4 PV (by Borough)'!P220,IF(Dashboard!$D$6=INDEX('Scenario names'!$C$3:$C$6,4),'2.4 PV (by Borough)'!P343,IF(Dashboard!$D$6=INDEX('Scenario names'!$C$3:$C$6,1),'2.4 PV (by Borough)'!P302,IF(Dashboard!$D$6=INDEX('Scenario names'!$C$3:$C$6,2),'2.4 PV (by Borough)'!P302,IF(Dashboard!$D$6=INDEX('Scenario names'!$C$3:$C$6,3),'2.4 PV (by Borough)'!P343,"Error")))))</f>
        <v>266700.4169084545</v>
      </c>
      <c r="Q384" s="36">
        <f>IF(Dashboard!$D$6="Baseline",'2.4 PV (by Borough)'!Q220,IF(Dashboard!$D$6=INDEX('Scenario names'!$C$3:$C$6,4),'2.4 PV (by Borough)'!Q343,IF(Dashboard!$D$6=INDEX('Scenario names'!$C$3:$C$6,1),'2.4 PV (by Borough)'!Q302,IF(Dashboard!$D$6=INDEX('Scenario names'!$C$3:$C$6,2),'2.4 PV (by Borough)'!Q302,IF(Dashboard!$D$6=INDEX('Scenario names'!$C$3:$C$6,3),'2.4 PV (by Borough)'!Q343,"Error")))))</f>
        <v>378550.97324342886</v>
      </c>
      <c r="R384" s="36">
        <f>IF(Dashboard!$D$6="Baseline",'2.4 PV (by Borough)'!R220,IF(Dashboard!$D$6=INDEX('Scenario names'!$C$3:$C$6,4),'2.4 PV (by Borough)'!R343,IF(Dashboard!$D$6=INDEX('Scenario names'!$C$3:$C$6,1),'2.4 PV (by Borough)'!R302,IF(Dashboard!$D$6=INDEX('Scenario names'!$C$3:$C$6,2),'2.4 PV (by Borough)'!R302,IF(Dashboard!$D$6=INDEX('Scenario names'!$C$3:$C$6,3),'2.4 PV (by Borough)'!R343,"Error")))))</f>
        <v>490401.5295784034</v>
      </c>
      <c r="S384" s="36">
        <f>IF(Dashboard!$D$6="Baseline",'2.4 PV (by Borough)'!S220,IF(Dashboard!$D$6=INDEX('Scenario names'!$C$3:$C$6,4),'2.4 PV (by Borough)'!S343,IF(Dashboard!$D$6=INDEX('Scenario names'!$C$3:$C$6,1),'2.4 PV (by Borough)'!S302,IF(Dashboard!$D$6=INDEX('Scenario names'!$C$3:$C$6,2),'2.4 PV (by Borough)'!S302,IF(Dashboard!$D$6=INDEX('Scenario names'!$C$3:$C$6,3),'2.4 PV (by Borough)'!S343,"Error")))))</f>
        <v>602252.08591337781</v>
      </c>
      <c r="T384" s="36">
        <f>IF(Dashboard!$D$6="Baseline",'2.4 PV (by Borough)'!T220,IF(Dashboard!$D$6=INDEX('Scenario names'!$C$3:$C$6,4),'2.4 PV (by Borough)'!T343,IF(Dashboard!$D$6=INDEX('Scenario names'!$C$3:$C$6,1),'2.4 PV (by Borough)'!T302,IF(Dashboard!$D$6=INDEX('Scenario names'!$C$3:$C$6,2),'2.4 PV (by Borough)'!T302,IF(Dashboard!$D$6=INDEX('Scenario names'!$C$3:$C$6,3),'2.4 PV (by Borough)'!T343,"Error")))))</f>
        <v>714102.64224835206</v>
      </c>
      <c r="U384" s="36">
        <f>IF(Dashboard!$D$6="Baseline",'2.4 PV (by Borough)'!U220,IF(Dashboard!$D$6=INDEX('Scenario names'!$C$3:$C$6,4),'2.4 PV (by Borough)'!U343,IF(Dashboard!$D$6=INDEX('Scenario names'!$C$3:$C$6,1),'2.4 PV (by Borough)'!U302,IF(Dashboard!$D$6=INDEX('Scenario names'!$C$3:$C$6,2),'2.4 PV (by Borough)'!U302,IF(Dashboard!$D$6=INDEX('Scenario names'!$C$3:$C$6,3),'2.4 PV (by Borough)'!U343,"Error")))))</f>
        <v>825953.19858332642</v>
      </c>
      <c r="V384" s="36">
        <f>IF(Dashboard!$D$6="Baseline",'2.4 PV (by Borough)'!V220,IF(Dashboard!$D$6=INDEX('Scenario names'!$C$3:$C$6,4),'2.4 PV (by Borough)'!V343,IF(Dashboard!$D$6=INDEX('Scenario names'!$C$3:$C$6,1),'2.4 PV (by Borough)'!V302,IF(Dashboard!$D$6=INDEX('Scenario names'!$C$3:$C$6,2),'2.4 PV (by Borough)'!V302,IF(Dashboard!$D$6=INDEX('Scenario names'!$C$3:$C$6,3),'2.4 PV (by Borough)'!V343,"Error")))))</f>
        <v>937803.75491830066</v>
      </c>
      <c r="W384" s="36">
        <f>IF(Dashboard!$D$6="Baseline",'2.4 PV (by Borough)'!W220,IF(Dashboard!$D$6=INDEX('Scenario names'!$C$3:$C$6,4),'2.4 PV (by Borough)'!W343,IF(Dashboard!$D$6=INDEX('Scenario names'!$C$3:$C$6,1),'2.4 PV (by Borough)'!W302,IF(Dashboard!$D$6=INDEX('Scenario names'!$C$3:$C$6,2),'2.4 PV (by Borough)'!W302,IF(Dashboard!$D$6=INDEX('Scenario names'!$C$3:$C$6,3),'2.4 PV (by Borough)'!W343,"Error")))))</f>
        <v>1049654.3112532753</v>
      </c>
      <c r="X384" s="36">
        <f>IF(Dashboard!$D$6="Baseline",'2.4 PV (by Borough)'!X220,IF(Dashboard!$D$6=INDEX('Scenario names'!$C$3:$C$6,4),'2.4 PV (by Borough)'!X343,IF(Dashboard!$D$6=INDEX('Scenario names'!$C$3:$C$6,1),'2.4 PV (by Borough)'!X302,IF(Dashboard!$D$6=INDEX('Scenario names'!$C$3:$C$6,2),'2.4 PV (by Borough)'!X302,IF(Dashboard!$D$6=INDEX('Scenario names'!$C$3:$C$6,3),'2.4 PV (by Borough)'!X343,"Error")))))</f>
        <v>1161504.86758825</v>
      </c>
      <c r="Y384" s="36">
        <f>IF(Dashboard!$D$6="Baseline",'2.4 PV (by Borough)'!Y220,IF(Dashboard!$D$6=INDEX('Scenario names'!$C$3:$C$6,4),'2.4 PV (by Borough)'!Y343,IF(Dashboard!$D$6=INDEX('Scenario names'!$C$3:$C$6,1),'2.4 PV (by Borough)'!Y302,IF(Dashboard!$D$6=INDEX('Scenario names'!$C$3:$C$6,2),'2.4 PV (by Borough)'!Y302,IF(Dashboard!$D$6=INDEX('Scenario names'!$C$3:$C$6,3),'2.4 PV (by Borough)'!Y343,"Error")))))</f>
        <v>1273355.423923224</v>
      </c>
      <c r="Z384" s="36">
        <f>IF(Dashboard!$D$6="Baseline",'2.4 PV (by Borough)'!Z220,IF(Dashboard!$D$6=INDEX('Scenario names'!$C$3:$C$6,4),'2.4 PV (by Borough)'!Z343,IF(Dashboard!$D$6=INDEX('Scenario names'!$C$3:$C$6,1),'2.4 PV (by Borough)'!Z302,IF(Dashboard!$D$6=INDEX('Scenario names'!$C$3:$C$6,2),'2.4 PV (by Borough)'!Z302,IF(Dashboard!$D$6=INDEX('Scenario names'!$C$3:$C$6,3),'2.4 PV (by Borough)'!Z343,"Error")))))</f>
        <v>1420440.6896930991</v>
      </c>
      <c r="AA384" s="36">
        <f>IF(Dashboard!$D$6="Baseline",'2.4 PV (by Borough)'!AA220,IF(Dashboard!$D$6=INDEX('Scenario names'!$C$3:$C$6,4),'2.4 PV (by Borough)'!AA343,IF(Dashboard!$D$6=INDEX('Scenario names'!$C$3:$C$6,1),'2.4 PV (by Borough)'!AA302,IF(Dashboard!$D$6=INDEX('Scenario names'!$C$3:$C$6,2),'2.4 PV (by Borough)'!AA302,IF(Dashboard!$D$6=INDEX('Scenario names'!$C$3:$C$6,3),'2.4 PV (by Borough)'!AA343,"Error")))))</f>
        <v>1567525.9554629743</v>
      </c>
      <c r="AB384" s="36">
        <f>IF(Dashboard!$D$6="Baseline",'2.4 PV (by Borough)'!AB220,IF(Dashboard!$D$6=INDEX('Scenario names'!$C$3:$C$6,4),'2.4 PV (by Borough)'!AB343,IF(Dashboard!$D$6=INDEX('Scenario names'!$C$3:$C$6,1),'2.4 PV (by Borough)'!AB302,IF(Dashboard!$D$6=INDEX('Scenario names'!$C$3:$C$6,2),'2.4 PV (by Borough)'!AB302,IF(Dashboard!$D$6=INDEX('Scenario names'!$C$3:$C$6,3),'2.4 PV (by Borough)'!AB343,"Error")))))</f>
        <v>1714611.2212328492</v>
      </c>
      <c r="AC384" s="36">
        <f>IF(Dashboard!$D$6="Baseline",'2.4 PV (by Borough)'!AC220,IF(Dashboard!$D$6=INDEX('Scenario names'!$C$3:$C$6,4),'2.4 PV (by Borough)'!AC343,IF(Dashboard!$D$6=INDEX('Scenario names'!$C$3:$C$6,1),'2.4 PV (by Borough)'!AC302,IF(Dashboard!$D$6=INDEX('Scenario names'!$C$3:$C$6,2),'2.4 PV (by Borough)'!AC302,IF(Dashboard!$D$6=INDEX('Scenario names'!$C$3:$C$6,3),'2.4 PV (by Borough)'!AC343,"Error")))))</f>
        <v>1861696.4870027243</v>
      </c>
      <c r="AD384" s="36">
        <f>IF(Dashboard!$D$6="Baseline",'2.4 PV (by Borough)'!AD220,IF(Dashboard!$D$6=INDEX('Scenario names'!$C$3:$C$6,4),'2.4 PV (by Borough)'!AD343,IF(Dashboard!$D$6=INDEX('Scenario names'!$C$3:$C$6,1),'2.4 PV (by Borough)'!AD302,IF(Dashboard!$D$6=INDEX('Scenario names'!$C$3:$C$6,2),'2.4 PV (by Borough)'!AD302,IF(Dashboard!$D$6=INDEX('Scenario names'!$C$3:$C$6,3),'2.4 PV (by Borough)'!AD343,"Error")))))</f>
        <v>2008781.7527725985</v>
      </c>
      <c r="AE384" s="36">
        <f>IF(Dashboard!$D$6="Baseline",'2.4 PV (by Borough)'!AE220,IF(Dashboard!$D$6=INDEX('Scenario names'!$C$3:$C$6,4),'2.4 PV (by Borough)'!AE343,IF(Dashboard!$D$6=INDEX('Scenario names'!$C$3:$C$6,1),'2.4 PV (by Borough)'!AE302,IF(Dashboard!$D$6=INDEX('Scenario names'!$C$3:$C$6,2),'2.4 PV (by Borough)'!AE302,IF(Dashboard!$D$6=INDEX('Scenario names'!$C$3:$C$6,3),'2.4 PV (by Borough)'!AE343,"Error")))))</f>
        <v>2155867.0185424737</v>
      </c>
      <c r="AF384" s="36">
        <f>IF(Dashboard!$D$6="Baseline",'2.4 PV (by Borough)'!AF220,IF(Dashboard!$D$6=INDEX('Scenario names'!$C$3:$C$6,4),'2.4 PV (by Borough)'!AF343,IF(Dashboard!$D$6=INDEX('Scenario names'!$C$3:$C$6,1),'2.4 PV (by Borough)'!AF302,IF(Dashboard!$D$6=INDEX('Scenario names'!$C$3:$C$6,2),'2.4 PV (by Borough)'!AF302,IF(Dashboard!$D$6=INDEX('Scenario names'!$C$3:$C$6,3),'2.4 PV (by Borough)'!AF343,"Error")))))</f>
        <v>2302952.2843123488</v>
      </c>
      <c r="AG384" s="36">
        <f>IF(Dashboard!$D$6="Baseline",'2.4 PV (by Borough)'!AG220,IF(Dashboard!$D$6=INDEX('Scenario names'!$C$3:$C$6,4),'2.4 PV (by Borough)'!AG343,IF(Dashboard!$D$6=INDEX('Scenario names'!$C$3:$C$6,1),'2.4 PV (by Borough)'!AG302,IF(Dashboard!$D$6=INDEX('Scenario names'!$C$3:$C$6,2),'2.4 PV (by Borough)'!AG302,IF(Dashboard!$D$6=INDEX('Scenario names'!$C$3:$C$6,3),'2.4 PV (by Borough)'!AG343,"Error")))))</f>
        <v>2450037.550082224</v>
      </c>
      <c r="AH384" s="36">
        <f>IF(Dashboard!$D$6="Baseline",'2.4 PV (by Borough)'!AH220,IF(Dashboard!$D$6=INDEX('Scenario names'!$C$3:$C$6,4),'2.4 PV (by Borough)'!AH343,IF(Dashboard!$D$6=INDEX('Scenario names'!$C$3:$C$6,1),'2.4 PV (by Borough)'!AH302,IF(Dashboard!$D$6=INDEX('Scenario names'!$C$3:$C$6,2),'2.4 PV (by Borough)'!AH302,IF(Dashboard!$D$6=INDEX('Scenario names'!$C$3:$C$6,3),'2.4 PV (by Borough)'!AH343,"Error")))))</f>
        <v>2597122.8158520986</v>
      </c>
      <c r="AI384" s="36">
        <f>IF(Dashboard!$D$6="Baseline",'2.4 PV (by Borough)'!AI220,IF(Dashboard!$D$6=INDEX('Scenario names'!$C$3:$C$6,4),'2.4 PV (by Borough)'!AI343,IF(Dashboard!$D$6=INDEX('Scenario names'!$C$3:$C$6,1),'2.4 PV (by Borough)'!AI302,IF(Dashboard!$D$6=INDEX('Scenario names'!$C$3:$C$6,2),'2.4 PV (by Borough)'!AI302,IF(Dashboard!$D$6=INDEX('Scenario names'!$C$3:$C$6,3),'2.4 PV (by Borough)'!AI343,"Error")))))</f>
        <v>2744208.0816219738</v>
      </c>
      <c r="AJ384" s="36">
        <f>IF(Dashboard!$D$6="Baseline",'2.4 PV (by Borough)'!AJ220,IF(Dashboard!$D$6=INDEX('Scenario names'!$C$3:$C$6,4),'2.4 PV (by Borough)'!AJ343,IF(Dashboard!$D$6=INDEX('Scenario names'!$C$3:$C$6,1),'2.4 PV (by Borough)'!AJ302,IF(Dashboard!$D$6=INDEX('Scenario names'!$C$3:$C$6,2),'2.4 PV (by Borough)'!AJ302,IF(Dashboard!$D$6=INDEX('Scenario names'!$C$3:$C$6,3),'2.4 PV (by Borough)'!AJ343,"Error")))))</f>
        <v>2891293.3473918485</v>
      </c>
      <c r="AK384" s="36">
        <f>IF(Dashboard!$D$6="Baseline",'2.4 PV (by Borough)'!AK220,IF(Dashboard!$D$6=INDEX('Scenario names'!$C$3:$C$6,4),'2.4 PV (by Borough)'!AK343,IF(Dashboard!$D$6=INDEX('Scenario names'!$C$3:$C$6,1),'2.4 PV (by Borough)'!AK302,IF(Dashboard!$D$6=INDEX('Scenario names'!$C$3:$C$6,2),'2.4 PV (by Borough)'!AK302,IF(Dashboard!$D$6=INDEX('Scenario names'!$C$3:$C$6,3),'2.4 PV (by Borough)'!AK343,"Error")))))</f>
        <v>3038378.6131617245</v>
      </c>
      <c r="AL384" s="36">
        <f>IF(Dashboard!$D$6="Baseline",'2.4 PV (by Borough)'!AL220,IF(Dashboard!$D$6=INDEX('Scenario names'!$C$3:$C$6,4),'2.4 PV (by Borough)'!AL343,IF(Dashboard!$D$6=INDEX('Scenario names'!$C$3:$C$6,1),'2.4 PV (by Borough)'!AL302,IF(Dashboard!$D$6=INDEX('Scenario names'!$C$3:$C$6,2),'2.4 PV (by Borough)'!AL302,IF(Dashboard!$D$6=INDEX('Scenario names'!$C$3:$C$6,3),'2.4 PV (by Borough)'!AL343,"Error")))))</f>
        <v>3185463.8789315987</v>
      </c>
      <c r="AM384" s="36">
        <f>IF(Dashboard!$D$6="Baseline",'2.4 PV (by Borough)'!AM220,IF(Dashboard!$D$6=INDEX('Scenario names'!$C$3:$C$6,4),'2.4 PV (by Borough)'!AM343,IF(Dashboard!$D$6=INDEX('Scenario names'!$C$3:$C$6,1),'2.4 PV (by Borough)'!AM302,IF(Dashboard!$D$6=INDEX('Scenario names'!$C$3:$C$6,2),'2.4 PV (by Borough)'!AM302,IF(Dashboard!$D$6=INDEX('Scenario names'!$C$3:$C$6,3),'2.4 PV (by Borough)'!AM343,"Error")))))</f>
        <v>3332549.1447014739</v>
      </c>
      <c r="AN384" s="36">
        <f>IF(Dashboard!$D$6="Baseline",'2.4 PV (by Borough)'!AN220,IF(Dashboard!$D$6=INDEX('Scenario names'!$C$3:$C$6,4),'2.4 PV (by Borough)'!AN343,IF(Dashboard!$D$6=INDEX('Scenario names'!$C$3:$C$6,1),'2.4 PV (by Borough)'!AN302,IF(Dashboard!$D$6=INDEX('Scenario names'!$C$3:$C$6,2),'2.4 PV (by Borough)'!AN302,IF(Dashboard!$D$6=INDEX('Scenario names'!$C$3:$C$6,3),'2.4 PV (by Borough)'!AN343,"Error")))))</f>
        <v>3479634.4104713481</v>
      </c>
      <c r="AO384" s="36">
        <f>IF(Dashboard!$D$6="Baseline",'2.4 PV (by Borough)'!AO220,IF(Dashboard!$D$6=INDEX('Scenario names'!$C$3:$C$6,4),'2.4 PV (by Borough)'!AO343,IF(Dashboard!$D$6=INDEX('Scenario names'!$C$3:$C$6,1),'2.4 PV (by Borough)'!AO302,IF(Dashboard!$D$6=INDEX('Scenario names'!$C$3:$C$6,2),'2.4 PV (by Borough)'!AO302,IF(Dashboard!$D$6=INDEX('Scenario names'!$C$3:$C$6,3),'2.4 PV (by Borough)'!AO343,"Error")))))</f>
        <v>3626719.6762412232</v>
      </c>
      <c r="AP384" s="36">
        <f>IF(Dashboard!$D$6="Baseline",'2.4 PV (by Borough)'!AP220,IF(Dashboard!$D$6=INDEX('Scenario names'!$C$3:$C$6,4),'2.4 PV (by Borough)'!AP343,IF(Dashboard!$D$6=INDEX('Scenario names'!$C$3:$C$6,1),'2.4 PV (by Borough)'!AP302,IF(Dashboard!$D$6=INDEX('Scenario names'!$C$3:$C$6,2),'2.4 PV (by Borough)'!AP302,IF(Dashboard!$D$6=INDEX('Scenario names'!$C$3:$C$6,3),'2.4 PV (by Borough)'!AP343,"Error")))))</f>
        <v>3773804.9420110993</v>
      </c>
      <c r="AQ384" s="36">
        <f>IF(Dashboard!$D$6="Baseline",'2.4 PV (by Borough)'!AQ220,IF(Dashboard!$D$6=INDEX('Scenario names'!$C$3:$C$6,4),'2.4 PV (by Borough)'!AQ343,IF(Dashboard!$D$6=INDEX('Scenario names'!$C$3:$C$6,1),'2.4 PV (by Borough)'!AQ302,IF(Dashboard!$D$6=INDEX('Scenario names'!$C$3:$C$6,2),'2.4 PV (by Borough)'!AQ302,IF(Dashboard!$D$6=INDEX('Scenario names'!$C$3:$C$6,3),'2.4 PV (by Borough)'!AQ343,"Error")))))</f>
        <v>3920890.2077809735</v>
      </c>
      <c r="AR384" s="36">
        <f>IF(Dashboard!$D$6="Baseline",'2.4 PV (by Borough)'!AR220,IF(Dashboard!$D$6=INDEX('Scenario names'!$C$3:$C$6,4),'2.4 PV (by Borough)'!AR343,IF(Dashboard!$D$6=INDEX('Scenario names'!$C$3:$C$6,1),'2.4 PV (by Borough)'!AR302,IF(Dashboard!$D$6=INDEX('Scenario names'!$C$3:$C$6,2),'2.4 PV (by Borough)'!AR302,IF(Dashboard!$D$6=INDEX('Scenario names'!$C$3:$C$6,3),'2.4 PV (by Borough)'!AR343,"Error")))))</f>
        <v>4067975.4735508496</v>
      </c>
      <c r="AS384" s="36">
        <f>IF(Dashboard!$D$6="Baseline",'2.4 PV (by Borough)'!AS220,IF(Dashboard!$D$6=INDEX('Scenario names'!$C$3:$C$6,4),'2.4 PV (by Borough)'!AS343,IF(Dashboard!$D$6=INDEX('Scenario names'!$C$3:$C$6,1),'2.4 PV (by Borough)'!AS302,IF(Dashboard!$D$6=INDEX('Scenario names'!$C$3:$C$6,2),'2.4 PV (by Borough)'!AS302,IF(Dashboard!$D$6=INDEX('Scenario names'!$C$3:$C$6,3),'2.4 PV (by Borough)'!AS343,"Error")))))</f>
        <v>4215060.7393207243</v>
      </c>
      <c r="AT384" s="36">
        <f>IF(Dashboard!$D$6="Baseline",'2.4 PV (by Borough)'!AT220,IF(Dashboard!$D$6=INDEX('Scenario names'!$C$3:$C$6,4),'2.4 PV (by Borough)'!AT343,IF(Dashboard!$D$6=INDEX('Scenario names'!$C$3:$C$6,1),'2.4 PV (by Borough)'!AT302,IF(Dashboard!$D$6=INDEX('Scenario names'!$C$3:$C$6,2),'2.4 PV (by Borough)'!AT302,IF(Dashboard!$D$6=INDEX('Scenario names'!$C$3:$C$6,3),'2.4 PV (by Borough)'!AT343,"Error")))))</f>
        <v>4362146.0050905989</v>
      </c>
      <c r="AU384" s="36">
        <f>IF(Dashboard!$D$6="Baseline",'2.4 PV (by Borough)'!AU220,IF(Dashboard!$D$6=INDEX('Scenario names'!$C$3:$C$6,4),'2.4 PV (by Borough)'!AU343,IF(Dashboard!$D$6=INDEX('Scenario names'!$C$3:$C$6,1),'2.4 PV (by Borough)'!AU302,IF(Dashboard!$D$6=INDEX('Scenario names'!$C$3:$C$6,2),'2.4 PV (by Borough)'!AU302,IF(Dashboard!$D$6=INDEX('Scenario names'!$C$3:$C$6,3),'2.4 PV (by Borough)'!AU343,"Error")))))</f>
        <v>4509231.2708604736</v>
      </c>
      <c r="AV384" s="36">
        <f>IF(Dashboard!$D$6="Baseline",'2.4 PV (by Borough)'!AV220,IF(Dashboard!$D$6=INDEX('Scenario names'!$C$3:$C$6,4),'2.4 PV (by Borough)'!AV343,IF(Dashboard!$D$6=INDEX('Scenario names'!$C$3:$C$6,1),'2.4 PV (by Borough)'!AV302,IF(Dashboard!$D$6=INDEX('Scenario names'!$C$3:$C$6,2),'2.4 PV (by Borough)'!AV302,IF(Dashboard!$D$6=INDEX('Scenario names'!$C$3:$C$6,3),'2.4 PV (by Borough)'!AV343,"Error")))))</f>
        <v>4656316.5366303483</v>
      </c>
      <c r="AW384" s="36">
        <f>IF(Dashboard!$D$6="Baseline",'2.4 PV (by Borough)'!AW220,IF(Dashboard!$D$6=INDEX('Scenario names'!$C$3:$C$6,4),'2.4 PV (by Borough)'!AW343,IF(Dashboard!$D$6=INDEX('Scenario names'!$C$3:$C$6,1),'2.4 PV (by Borough)'!AW302,IF(Dashboard!$D$6=INDEX('Scenario names'!$C$3:$C$6,2),'2.4 PV (by Borough)'!AW302,IF(Dashboard!$D$6=INDEX('Scenario names'!$C$3:$C$6,3),'2.4 PV (by Borough)'!AW343,"Error")))))</f>
        <v>4803401.802400223</v>
      </c>
      <c r="AX384" s="36">
        <f>IF(Dashboard!$D$6="Baseline",'2.4 PV (by Borough)'!AX220,IF(Dashboard!$D$6=INDEX('Scenario names'!$C$3:$C$6,4),'2.4 PV (by Borough)'!AX343,IF(Dashboard!$D$6=INDEX('Scenario names'!$C$3:$C$6,1),'2.4 PV (by Borough)'!AX302,IF(Dashboard!$D$6=INDEX('Scenario names'!$C$3:$C$6,2),'2.4 PV (by Borough)'!AX302,IF(Dashboard!$D$6=INDEX('Scenario names'!$C$3:$C$6,3),'2.4 PV (by Borough)'!AX343,"Error")))))</f>
        <v>4950487.0681700977</v>
      </c>
      <c r="AY384" s="36"/>
      <c r="AZ384" s="36"/>
      <c r="BA384" s="36"/>
      <c r="BB384" s="36"/>
    </row>
    <row r="385" spans="4:54">
      <c r="D385" t="s">
        <v>660</v>
      </c>
      <c r="E385" t="s">
        <v>632</v>
      </c>
      <c r="G385" s="44"/>
      <c r="I385" s="44"/>
      <c r="K385" s="44"/>
      <c r="M385" s="44"/>
      <c r="O385" s="36">
        <f>IF(Dashboard!$D$6="Baseline",'2.4 PV (by Borough)'!O221,IF(Dashboard!$D$6=INDEX('Scenario names'!$C$3:$C$6,4),'2.4 PV (by Borough)'!O344,IF(Dashboard!$D$6=INDEX('Scenario names'!$C$3:$C$6,1),'2.4 PV (by Borough)'!O303,IF(Dashboard!$D$6=INDEX('Scenario names'!$C$3:$C$6,2),'2.4 PV (by Borough)'!O303,IF(Dashboard!$D$6=INDEX('Scenario names'!$C$3:$C$6,3),'2.4 PV (by Borough)'!O344,"Error")))))</f>
        <v>100076.23667671342</v>
      </c>
      <c r="P385" s="36">
        <f>IF(Dashboard!$D$6="Baseline",'2.4 PV (by Borough)'!P221,IF(Dashboard!$D$6=INDEX('Scenario names'!$C$3:$C$6,4),'2.4 PV (by Borough)'!P344,IF(Dashboard!$D$6=INDEX('Scenario names'!$C$3:$C$6,1),'2.4 PV (by Borough)'!P303,IF(Dashboard!$D$6=INDEX('Scenario names'!$C$3:$C$6,2),'2.4 PV (by Borough)'!P303,IF(Dashboard!$D$6=INDEX('Scenario names'!$C$3:$C$6,3),'2.4 PV (by Borough)'!P344,"Error")))))</f>
        <v>164966.04016179813</v>
      </c>
      <c r="Q385" s="36">
        <f>IF(Dashboard!$D$6="Baseline",'2.4 PV (by Borough)'!Q221,IF(Dashboard!$D$6=INDEX('Scenario names'!$C$3:$C$6,4),'2.4 PV (by Borough)'!Q344,IF(Dashboard!$D$6=INDEX('Scenario names'!$C$3:$C$6,1),'2.4 PV (by Borough)'!Q303,IF(Dashboard!$D$6=INDEX('Scenario names'!$C$3:$C$6,2),'2.4 PV (by Borough)'!Q303,IF(Dashboard!$D$6=INDEX('Scenario names'!$C$3:$C$6,3),'2.4 PV (by Borough)'!Q344,"Error")))))</f>
        <v>229855.84364688283</v>
      </c>
      <c r="R385" s="36">
        <f>IF(Dashboard!$D$6="Baseline",'2.4 PV (by Borough)'!R221,IF(Dashboard!$D$6=INDEX('Scenario names'!$C$3:$C$6,4),'2.4 PV (by Borough)'!R344,IF(Dashboard!$D$6=INDEX('Scenario names'!$C$3:$C$6,1),'2.4 PV (by Borough)'!R303,IF(Dashboard!$D$6=INDEX('Scenario names'!$C$3:$C$6,2),'2.4 PV (by Borough)'!R303,IF(Dashboard!$D$6=INDEX('Scenario names'!$C$3:$C$6,3),'2.4 PV (by Borough)'!R344,"Error")))))</f>
        <v>294745.64713196753</v>
      </c>
      <c r="S385" s="36">
        <f>IF(Dashboard!$D$6="Baseline",'2.4 PV (by Borough)'!S221,IF(Dashboard!$D$6=INDEX('Scenario names'!$C$3:$C$6,4),'2.4 PV (by Borough)'!S344,IF(Dashboard!$D$6=INDEX('Scenario names'!$C$3:$C$6,1),'2.4 PV (by Borough)'!S303,IF(Dashboard!$D$6=INDEX('Scenario names'!$C$3:$C$6,2),'2.4 PV (by Borough)'!S303,IF(Dashboard!$D$6=INDEX('Scenario names'!$C$3:$C$6,3),'2.4 PV (by Borough)'!S344,"Error")))))</f>
        <v>359635.45061705221</v>
      </c>
      <c r="T385" s="36">
        <f>IF(Dashboard!$D$6="Baseline",'2.4 PV (by Borough)'!T221,IF(Dashboard!$D$6=INDEX('Scenario names'!$C$3:$C$6,4),'2.4 PV (by Borough)'!T344,IF(Dashboard!$D$6=INDEX('Scenario names'!$C$3:$C$6,1),'2.4 PV (by Borough)'!T303,IF(Dashboard!$D$6=INDEX('Scenario names'!$C$3:$C$6,2),'2.4 PV (by Borough)'!T303,IF(Dashboard!$D$6=INDEX('Scenario names'!$C$3:$C$6,3),'2.4 PV (by Borough)'!T344,"Error")))))</f>
        <v>424525.25410213688</v>
      </c>
      <c r="U385" s="36">
        <f>IF(Dashboard!$D$6="Baseline",'2.4 PV (by Borough)'!U221,IF(Dashboard!$D$6=INDEX('Scenario names'!$C$3:$C$6,4),'2.4 PV (by Borough)'!U344,IF(Dashboard!$D$6=INDEX('Scenario names'!$C$3:$C$6,1),'2.4 PV (by Borough)'!U303,IF(Dashboard!$D$6=INDEX('Scenario names'!$C$3:$C$6,2),'2.4 PV (by Borough)'!U303,IF(Dashboard!$D$6=INDEX('Scenario names'!$C$3:$C$6,3),'2.4 PV (by Borough)'!U344,"Error")))))</f>
        <v>489415.05758722156</v>
      </c>
      <c r="V385" s="36">
        <f>IF(Dashboard!$D$6="Baseline",'2.4 PV (by Borough)'!V221,IF(Dashboard!$D$6=INDEX('Scenario names'!$C$3:$C$6,4),'2.4 PV (by Borough)'!V344,IF(Dashboard!$D$6=INDEX('Scenario names'!$C$3:$C$6,1),'2.4 PV (by Borough)'!V303,IF(Dashboard!$D$6=INDEX('Scenario names'!$C$3:$C$6,2),'2.4 PV (by Borough)'!V303,IF(Dashboard!$D$6=INDEX('Scenario names'!$C$3:$C$6,3),'2.4 PV (by Borough)'!V344,"Error")))))</f>
        <v>554304.86107230629</v>
      </c>
      <c r="W385" s="36">
        <f>IF(Dashboard!$D$6="Baseline",'2.4 PV (by Borough)'!W221,IF(Dashboard!$D$6=INDEX('Scenario names'!$C$3:$C$6,4),'2.4 PV (by Borough)'!W344,IF(Dashboard!$D$6=INDEX('Scenario names'!$C$3:$C$6,1),'2.4 PV (by Borough)'!W303,IF(Dashboard!$D$6=INDEX('Scenario names'!$C$3:$C$6,2),'2.4 PV (by Borough)'!W303,IF(Dashboard!$D$6=INDEX('Scenario names'!$C$3:$C$6,3),'2.4 PV (by Borough)'!W344,"Error")))))</f>
        <v>619194.66455739096</v>
      </c>
      <c r="X385" s="36">
        <f>IF(Dashboard!$D$6="Baseline",'2.4 PV (by Borough)'!X221,IF(Dashboard!$D$6=INDEX('Scenario names'!$C$3:$C$6,4),'2.4 PV (by Borough)'!X344,IF(Dashboard!$D$6=INDEX('Scenario names'!$C$3:$C$6,1),'2.4 PV (by Borough)'!X303,IF(Dashboard!$D$6=INDEX('Scenario names'!$C$3:$C$6,2),'2.4 PV (by Borough)'!X303,IF(Dashboard!$D$6=INDEX('Scenario names'!$C$3:$C$6,3),'2.4 PV (by Borough)'!X344,"Error")))))</f>
        <v>684084.46804247564</v>
      </c>
      <c r="Y385" s="36">
        <f>IF(Dashboard!$D$6="Baseline",'2.4 PV (by Borough)'!Y221,IF(Dashboard!$D$6=INDEX('Scenario names'!$C$3:$C$6,4),'2.4 PV (by Borough)'!Y344,IF(Dashboard!$D$6=INDEX('Scenario names'!$C$3:$C$6,1),'2.4 PV (by Borough)'!Y303,IF(Dashboard!$D$6=INDEX('Scenario names'!$C$3:$C$6,2),'2.4 PV (by Borough)'!Y303,IF(Dashboard!$D$6=INDEX('Scenario names'!$C$3:$C$6,3),'2.4 PV (by Borough)'!Y344,"Error")))))</f>
        <v>748974.27152756043</v>
      </c>
      <c r="Z385" s="36">
        <f>IF(Dashboard!$D$6="Baseline",'2.4 PV (by Borough)'!Z221,IF(Dashboard!$D$6=INDEX('Scenario names'!$C$3:$C$6,4),'2.4 PV (by Borough)'!Z344,IF(Dashboard!$D$6=INDEX('Scenario names'!$C$3:$C$6,1),'2.4 PV (by Borough)'!Z303,IF(Dashboard!$D$6=INDEX('Scenario names'!$C$3:$C$6,2),'2.4 PV (by Borough)'!Z303,IF(Dashboard!$D$6=INDEX('Scenario names'!$C$3:$C$6,3),'2.4 PV (by Borough)'!Z344,"Error")))))</f>
        <v>827632.00166657916</v>
      </c>
      <c r="AA385" s="36">
        <f>IF(Dashboard!$D$6="Baseline",'2.4 PV (by Borough)'!AA221,IF(Dashboard!$D$6=INDEX('Scenario names'!$C$3:$C$6,4),'2.4 PV (by Borough)'!AA344,IF(Dashboard!$D$6=INDEX('Scenario names'!$C$3:$C$6,1),'2.4 PV (by Borough)'!AA303,IF(Dashboard!$D$6=INDEX('Scenario names'!$C$3:$C$6,2),'2.4 PV (by Borough)'!AA303,IF(Dashboard!$D$6=INDEX('Scenario names'!$C$3:$C$6,3),'2.4 PV (by Borough)'!AA344,"Error")))))</f>
        <v>906289.7318055979</v>
      </c>
      <c r="AB385" s="36">
        <f>IF(Dashboard!$D$6="Baseline",'2.4 PV (by Borough)'!AB221,IF(Dashboard!$D$6=INDEX('Scenario names'!$C$3:$C$6,4),'2.4 PV (by Borough)'!AB344,IF(Dashboard!$D$6=INDEX('Scenario names'!$C$3:$C$6,1),'2.4 PV (by Borough)'!AB303,IF(Dashboard!$D$6=INDEX('Scenario names'!$C$3:$C$6,2),'2.4 PV (by Borough)'!AB303,IF(Dashboard!$D$6=INDEX('Scenario names'!$C$3:$C$6,3),'2.4 PV (by Borough)'!AB344,"Error")))))</f>
        <v>984947.46194461663</v>
      </c>
      <c r="AC385" s="36">
        <f>IF(Dashboard!$D$6="Baseline",'2.4 PV (by Borough)'!AC221,IF(Dashboard!$D$6=INDEX('Scenario names'!$C$3:$C$6,4),'2.4 PV (by Borough)'!AC344,IF(Dashboard!$D$6=INDEX('Scenario names'!$C$3:$C$6,1),'2.4 PV (by Borough)'!AC303,IF(Dashboard!$D$6=INDEX('Scenario names'!$C$3:$C$6,2),'2.4 PV (by Borough)'!AC303,IF(Dashboard!$D$6=INDEX('Scenario names'!$C$3:$C$6,3),'2.4 PV (by Borough)'!AC344,"Error")))))</f>
        <v>1063605.1920836354</v>
      </c>
      <c r="AD385" s="36">
        <f>IF(Dashboard!$D$6="Baseline",'2.4 PV (by Borough)'!AD221,IF(Dashboard!$D$6=INDEX('Scenario names'!$C$3:$C$6,4),'2.4 PV (by Borough)'!AD344,IF(Dashboard!$D$6=INDEX('Scenario names'!$C$3:$C$6,1),'2.4 PV (by Borough)'!AD303,IF(Dashboard!$D$6=INDEX('Scenario names'!$C$3:$C$6,2),'2.4 PV (by Borough)'!AD303,IF(Dashboard!$D$6=INDEX('Scenario names'!$C$3:$C$6,3),'2.4 PV (by Borough)'!AD344,"Error")))))</f>
        <v>1142262.9222226541</v>
      </c>
      <c r="AE385" s="36">
        <f>IF(Dashboard!$D$6="Baseline",'2.4 PV (by Borough)'!AE221,IF(Dashboard!$D$6=INDEX('Scenario names'!$C$3:$C$6,4),'2.4 PV (by Borough)'!AE344,IF(Dashboard!$D$6=INDEX('Scenario names'!$C$3:$C$6,1),'2.4 PV (by Borough)'!AE303,IF(Dashboard!$D$6=INDEX('Scenario names'!$C$3:$C$6,2),'2.4 PV (by Borough)'!AE303,IF(Dashboard!$D$6=INDEX('Scenario names'!$C$3:$C$6,3),'2.4 PV (by Borough)'!AE344,"Error")))))</f>
        <v>1220920.6523616728</v>
      </c>
      <c r="AF385" s="36">
        <f>IF(Dashboard!$D$6="Baseline",'2.4 PV (by Borough)'!AF221,IF(Dashboard!$D$6=INDEX('Scenario names'!$C$3:$C$6,4),'2.4 PV (by Borough)'!AF344,IF(Dashboard!$D$6=INDEX('Scenario names'!$C$3:$C$6,1),'2.4 PV (by Borough)'!AF303,IF(Dashboard!$D$6=INDEX('Scenario names'!$C$3:$C$6,2),'2.4 PV (by Borough)'!AF303,IF(Dashboard!$D$6=INDEX('Scenario names'!$C$3:$C$6,3),'2.4 PV (by Borough)'!AF344,"Error")))))</f>
        <v>1299578.3825006916</v>
      </c>
      <c r="AG385" s="36">
        <f>IF(Dashboard!$D$6="Baseline",'2.4 PV (by Borough)'!AG221,IF(Dashboard!$D$6=INDEX('Scenario names'!$C$3:$C$6,4),'2.4 PV (by Borough)'!AG344,IF(Dashboard!$D$6=INDEX('Scenario names'!$C$3:$C$6,1),'2.4 PV (by Borough)'!AG303,IF(Dashboard!$D$6=INDEX('Scenario names'!$C$3:$C$6,2),'2.4 PV (by Borough)'!AG303,IF(Dashboard!$D$6=INDEX('Scenario names'!$C$3:$C$6,3),'2.4 PV (by Borough)'!AG344,"Error")))))</f>
        <v>1378236.1126397103</v>
      </c>
      <c r="AH385" s="36">
        <f>IF(Dashboard!$D$6="Baseline",'2.4 PV (by Borough)'!AH221,IF(Dashboard!$D$6=INDEX('Scenario names'!$C$3:$C$6,4),'2.4 PV (by Borough)'!AH344,IF(Dashboard!$D$6=INDEX('Scenario names'!$C$3:$C$6,1),'2.4 PV (by Borough)'!AH303,IF(Dashboard!$D$6=INDEX('Scenario names'!$C$3:$C$6,2),'2.4 PV (by Borough)'!AH303,IF(Dashboard!$D$6=INDEX('Scenario names'!$C$3:$C$6,3),'2.4 PV (by Borough)'!AH344,"Error")))))</f>
        <v>1456893.842778729</v>
      </c>
      <c r="AI385" s="36">
        <f>IF(Dashboard!$D$6="Baseline",'2.4 PV (by Borough)'!AI221,IF(Dashboard!$D$6=INDEX('Scenario names'!$C$3:$C$6,4),'2.4 PV (by Borough)'!AI344,IF(Dashboard!$D$6=INDEX('Scenario names'!$C$3:$C$6,1),'2.4 PV (by Borough)'!AI303,IF(Dashboard!$D$6=INDEX('Scenario names'!$C$3:$C$6,2),'2.4 PV (by Borough)'!AI303,IF(Dashboard!$D$6=INDEX('Scenario names'!$C$3:$C$6,3),'2.4 PV (by Borough)'!AI344,"Error")))))</f>
        <v>1535551.5729177478</v>
      </c>
      <c r="AJ385" s="36">
        <f>IF(Dashboard!$D$6="Baseline",'2.4 PV (by Borough)'!AJ221,IF(Dashboard!$D$6=INDEX('Scenario names'!$C$3:$C$6,4),'2.4 PV (by Borough)'!AJ344,IF(Dashboard!$D$6=INDEX('Scenario names'!$C$3:$C$6,1),'2.4 PV (by Borough)'!AJ303,IF(Dashboard!$D$6=INDEX('Scenario names'!$C$3:$C$6,2),'2.4 PV (by Borough)'!AJ303,IF(Dashboard!$D$6=INDEX('Scenario names'!$C$3:$C$6,3),'2.4 PV (by Borough)'!AJ344,"Error")))))</f>
        <v>1614209.3030567665</v>
      </c>
      <c r="AK385" s="36">
        <f>IF(Dashboard!$D$6="Baseline",'2.4 PV (by Borough)'!AK221,IF(Dashboard!$D$6=INDEX('Scenario names'!$C$3:$C$6,4),'2.4 PV (by Borough)'!AK344,IF(Dashboard!$D$6=INDEX('Scenario names'!$C$3:$C$6,1),'2.4 PV (by Borough)'!AK303,IF(Dashboard!$D$6=INDEX('Scenario names'!$C$3:$C$6,2),'2.4 PV (by Borough)'!AK303,IF(Dashboard!$D$6=INDEX('Scenario names'!$C$3:$C$6,3),'2.4 PV (by Borough)'!AK344,"Error")))))</f>
        <v>1692867.0331957852</v>
      </c>
      <c r="AL385" s="36">
        <f>IF(Dashboard!$D$6="Baseline",'2.4 PV (by Borough)'!AL221,IF(Dashboard!$D$6=INDEX('Scenario names'!$C$3:$C$6,4),'2.4 PV (by Borough)'!AL344,IF(Dashboard!$D$6=INDEX('Scenario names'!$C$3:$C$6,1),'2.4 PV (by Borough)'!AL303,IF(Dashboard!$D$6=INDEX('Scenario names'!$C$3:$C$6,2),'2.4 PV (by Borough)'!AL303,IF(Dashboard!$D$6=INDEX('Scenario names'!$C$3:$C$6,3),'2.4 PV (by Borough)'!AL344,"Error")))))</f>
        <v>1771524.763334804</v>
      </c>
      <c r="AM385" s="36">
        <f>IF(Dashboard!$D$6="Baseline",'2.4 PV (by Borough)'!AM221,IF(Dashboard!$D$6=INDEX('Scenario names'!$C$3:$C$6,4),'2.4 PV (by Borough)'!AM344,IF(Dashboard!$D$6=INDEX('Scenario names'!$C$3:$C$6,1),'2.4 PV (by Borough)'!AM303,IF(Dashboard!$D$6=INDEX('Scenario names'!$C$3:$C$6,2),'2.4 PV (by Borough)'!AM303,IF(Dashboard!$D$6=INDEX('Scenario names'!$C$3:$C$6,3),'2.4 PV (by Borough)'!AM344,"Error")))))</f>
        <v>1850182.4934738227</v>
      </c>
      <c r="AN385" s="36">
        <f>IF(Dashboard!$D$6="Baseline",'2.4 PV (by Borough)'!AN221,IF(Dashboard!$D$6=INDEX('Scenario names'!$C$3:$C$6,4),'2.4 PV (by Borough)'!AN344,IF(Dashboard!$D$6=INDEX('Scenario names'!$C$3:$C$6,1),'2.4 PV (by Borough)'!AN303,IF(Dashboard!$D$6=INDEX('Scenario names'!$C$3:$C$6,2),'2.4 PV (by Borough)'!AN303,IF(Dashboard!$D$6=INDEX('Scenario names'!$C$3:$C$6,3),'2.4 PV (by Borough)'!AN344,"Error")))))</f>
        <v>1928840.2236128415</v>
      </c>
      <c r="AO385" s="36">
        <f>IF(Dashboard!$D$6="Baseline",'2.4 PV (by Borough)'!AO221,IF(Dashboard!$D$6=INDEX('Scenario names'!$C$3:$C$6,4),'2.4 PV (by Borough)'!AO344,IF(Dashboard!$D$6=INDEX('Scenario names'!$C$3:$C$6,1),'2.4 PV (by Borough)'!AO303,IF(Dashboard!$D$6=INDEX('Scenario names'!$C$3:$C$6,2),'2.4 PV (by Borough)'!AO303,IF(Dashboard!$D$6=INDEX('Scenario names'!$C$3:$C$6,3),'2.4 PV (by Borough)'!AO344,"Error")))))</f>
        <v>2007497.9537518602</v>
      </c>
      <c r="AP385" s="36">
        <f>IF(Dashboard!$D$6="Baseline",'2.4 PV (by Borough)'!AP221,IF(Dashboard!$D$6=INDEX('Scenario names'!$C$3:$C$6,4),'2.4 PV (by Borough)'!AP344,IF(Dashboard!$D$6=INDEX('Scenario names'!$C$3:$C$6,1),'2.4 PV (by Borough)'!AP303,IF(Dashboard!$D$6=INDEX('Scenario names'!$C$3:$C$6,2),'2.4 PV (by Borough)'!AP303,IF(Dashboard!$D$6=INDEX('Scenario names'!$C$3:$C$6,3),'2.4 PV (by Borough)'!AP344,"Error")))))</f>
        <v>2086155.6838908789</v>
      </c>
      <c r="AQ385" s="36">
        <f>IF(Dashboard!$D$6="Baseline",'2.4 PV (by Borough)'!AQ221,IF(Dashboard!$D$6=INDEX('Scenario names'!$C$3:$C$6,4),'2.4 PV (by Borough)'!AQ344,IF(Dashboard!$D$6=INDEX('Scenario names'!$C$3:$C$6,1),'2.4 PV (by Borough)'!AQ303,IF(Dashboard!$D$6=INDEX('Scenario names'!$C$3:$C$6,2),'2.4 PV (by Borough)'!AQ303,IF(Dashboard!$D$6=INDEX('Scenario names'!$C$3:$C$6,3),'2.4 PV (by Borough)'!AQ344,"Error")))))</f>
        <v>2164813.4140298977</v>
      </c>
      <c r="AR385" s="36">
        <f>IF(Dashboard!$D$6="Baseline",'2.4 PV (by Borough)'!AR221,IF(Dashboard!$D$6=INDEX('Scenario names'!$C$3:$C$6,4),'2.4 PV (by Borough)'!AR344,IF(Dashboard!$D$6=INDEX('Scenario names'!$C$3:$C$6,1),'2.4 PV (by Borough)'!AR303,IF(Dashboard!$D$6=INDEX('Scenario names'!$C$3:$C$6,2),'2.4 PV (by Borough)'!AR303,IF(Dashboard!$D$6=INDEX('Scenario names'!$C$3:$C$6,3),'2.4 PV (by Borough)'!AR344,"Error")))))</f>
        <v>2243471.1441689166</v>
      </c>
      <c r="AS385" s="36">
        <f>IF(Dashboard!$D$6="Baseline",'2.4 PV (by Borough)'!AS221,IF(Dashboard!$D$6=INDEX('Scenario names'!$C$3:$C$6,4),'2.4 PV (by Borough)'!AS344,IF(Dashboard!$D$6=INDEX('Scenario names'!$C$3:$C$6,1),'2.4 PV (by Borough)'!AS303,IF(Dashboard!$D$6=INDEX('Scenario names'!$C$3:$C$6,2),'2.4 PV (by Borough)'!AS303,IF(Dashboard!$D$6=INDEX('Scenario names'!$C$3:$C$6,3),'2.4 PV (by Borough)'!AS344,"Error")))))</f>
        <v>2322128.8743079356</v>
      </c>
      <c r="AT385" s="36">
        <f>IF(Dashboard!$D$6="Baseline",'2.4 PV (by Borough)'!AT221,IF(Dashboard!$D$6=INDEX('Scenario names'!$C$3:$C$6,4),'2.4 PV (by Borough)'!AT344,IF(Dashboard!$D$6=INDEX('Scenario names'!$C$3:$C$6,1),'2.4 PV (by Borough)'!AT303,IF(Dashboard!$D$6=INDEX('Scenario names'!$C$3:$C$6,2),'2.4 PV (by Borough)'!AT303,IF(Dashboard!$D$6=INDEX('Scenario names'!$C$3:$C$6,3),'2.4 PV (by Borough)'!AT344,"Error")))))</f>
        <v>2400786.6044469546</v>
      </c>
      <c r="AU385" s="36">
        <f>IF(Dashboard!$D$6="Baseline",'2.4 PV (by Borough)'!AU221,IF(Dashboard!$D$6=INDEX('Scenario names'!$C$3:$C$6,4),'2.4 PV (by Borough)'!AU344,IF(Dashboard!$D$6=INDEX('Scenario names'!$C$3:$C$6,1),'2.4 PV (by Borough)'!AU303,IF(Dashboard!$D$6=INDEX('Scenario names'!$C$3:$C$6,2),'2.4 PV (by Borough)'!AU303,IF(Dashboard!$D$6=INDEX('Scenario names'!$C$3:$C$6,3),'2.4 PV (by Borough)'!AU344,"Error")))))</f>
        <v>2479444.3345859735</v>
      </c>
      <c r="AV385" s="36">
        <f>IF(Dashboard!$D$6="Baseline",'2.4 PV (by Borough)'!AV221,IF(Dashboard!$D$6=INDEX('Scenario names'!$C$3:$C$6,4),'2.4 PV (by Borough)'!AV344,IF(Dashboard!$D$6=INDEX('Scenario names'!$C$3:$C$6,1),'2.4 PV (by Borough)'!AV303,IF(Dashboard!$D$6=INDEX('Scenario names'!$C$3:$C$6,2),'2.4 PV (by Borough)'!AV303,IF(Dashboard!$D$6=INDEX('Scenario names'!$C$3:$C$6,3),'2.4 PV (by Borough)'!AV344,"Error")))))</f>
        <v>2558102.0647249925</v>
      </c>
      <c r="AW385" s="36">
        <f>IF(Dashboard!$D$6="Baseline",'2.4 PV (by Borough)'!AW221,IF(Dashboard!$D$6=INDEX('Scenario names'!$C$3:$C$6,4),'2.4 PV (by Borough)'!AW344,IF(Dashboard!$D$6=INDEX('Scenario names'!$C$3:$C$6,1),'2.4 PV (by Borough)'!AW303,IF(Dashboard!$D$6=INDEX('Scenario names'!$C$3:$C$6,2),'2.4 PV (by Borough)'!AW303,IF(Dashboard!$D$6=INDEX('Scenario names'!$C$3:$C$6,3),'2.4 PV (by Borough)'!AW344,"Error")))))</f>
        <v>2636759.7948640115</v>
      </c>
      <c r="AX385" s="36">
        <f>IF(Dashboard!$D$6="Baseline",'2.4 PV (by Borough)'!AX221,IF(Dashboard!$D$6=INDEX('Scenario names'!$C$3:$C$6,4),'2.4 PV (by Borough)'!AX344,IF(Dashboard!$D$6=INDEX('Scenario names'!$C$3:$C$6,1),'2.4 PV (by Borough)'!AX303,IF(Dashboard!$D$6=INDEX('Scenario names'!$C$3:$C$6,2),'2.4 PV (by Borough)'!AX303,IF(Dashboard!$D$6=INDEX('Scenario names'!$C$3:$C$6,3),'2.4 PV (by Borough)'!AX344,"Error")))))</f>
        <v>2715417.5250030304</v>
      </c>
      <c r="AY385" s="36"/>
      <c r="AZ385" s="36"/>
      <c r="BA385" s="36"/>
      <c r="BB385" s="36"/>
    </row>
    <row r="386" spans="4:54">
      <c r="D386" t="s">
        <v>661</v>
      </c>
      <c r="E386" t="s">
        <v>634</v>
      </c>
      <c r="G386" s="44"/>
      <c r="I386" s="44"/>
      <c r="K386" s="44"/>
      <c r="M386" s="44"/>
      <c r="O386" s="36">
        <f>IF(Dashboard!$D$6="Baseline",'2.4 PV (by Borough)'!O222,IF(Dashboard!$D$6=INDEX('Scenario names'!$C$3:$C$6,4),'2.4 PV (by Borough)'!O345,IF(Dashboard!$D$6=INDEX('Scenario names'!$C$3:$C$6,1),'2.4 PV (by Borough)'!O304,IF(Dashboard!$D$6=INDEX('Scenario names'!$C$3:$C$6,2),'2.4 PV (by Borough)'!O304,IF(Dashboard!$D$6=INDEX('Scenario names'!$C$3:$C$6,3),'2.4 PV (by Borough)'!O345,"Error")))))</f>
        <v>394055.25155687763</v>
      </c>
      <c r="P386" s="36">
        <f>IF(Dashboard!$D$6="Baseline",'2.4 PV (by Borough)'!P222,IF(Dashboard!$D$6=INDEX('Scenario names'!$C$3:$C$6,4),'2.4 PV (by Borough)'!P345,IF(Dashboard!$D$6=INDEX('Scenario names'!$C$3:$C$6,1),'2.4 PV (by Borough)'!P304,IF(Dashboard!$D$6=INDEX('Scenario names'!$C$3:$C$6,2),'2.4 PV (by Borough)'!P304,IF(Dashboard!$D$6=INDEX('Scenario names'!$C$3:$C$6,3),'2.4 PV (by Borough)'!P345,"Error")))))</f>
        <v>665352.50472303643</v>
      </c>
      <c r="Q386" s="36">
        <f>IF(Dashboard!$D$6="Baseline",'2.4 PV (by Borough)'!Q222,IF(Dashboard!$D$6=INDEX('Scenario names'!$C$3:$C$6,4),'2.4 PV (by Borough)'!Q345,IF(Dashboard!$D$6=INDEX('Scenario names'!$C$3:$C$6,1),'2.4 PV (by Borough)'!Q304,IF(Dashboard!$D$6=INDEX('Scenario names'!$C$3:$C$6,2),'2.4 PV (by Borough)'!Q304,IF(Dashboard!$D$6=INDEX('Scenario names'!$C$3:$C$6,3),'2.4 PV (by Borough)'!Q345,"Error")))))</f>
        <v>936649.75788919511</v>
      </c>
      <c r="R386" s="36">
        <f>IF(Dashboard!$D$6="Baseline",'2.4 PV (by Borough)'!R222,IF(Dashboard!$D$6=INDEX('Scenario names'!$C$3:$C$6,4),'2.4 PV (by Borough)'!R345,IF(Dashboard!$D$6=INDEX('Scenario names'!$C$3:$C$6,1),'2.4 PV (by Borough)'!R304,IF(Dashboard!$D$6=INDEX('Scenario names'!$C$3:$C$6,2),'2.4 PV (by Borough)'!R304,IF(Dashboard!$D$6=INDEX('Scenario names'!$C$3:$C$6,3),'2.4 PV (by Borough)'!R345,"Error")))))</f>
        <v>1207947.0110553543</v>
      </c>
      <c r="S386" s="36">
        <f>IF(Dashboard!$D$6="Baseline",'2.4 PV (by Borough)'!S222,IF(Dashboard!$D$6=INDEX('Scenario names'!$C$3:$C$6,4),'2.4 PV (by Borough)'!S345,IF(Dashboard!$D$6=INDEX('Scenario names'!$C$3:$C$6,1),'2.4 PV (by Borough)'!S304,IF(Dashboard!$D$6=INDEX('Scenario names'!$C$3:$C$6,2),'2.4 PV (by Borough)'!S304,IF(Dashboard!$D$6=INDEX('Scenario names'!$C$3:$C$6,3),'2.4 PV (by Borough)'!S345,"Error")))))</f>
        <v>1479244.2642215127</v>
      </c>
      <c r="T386" s="36">
        <f>IF(Dashboard!$D$6="Baseline",'2.4 PV (by Borough)'!T222,IF(Dashboard!$D$6=INDEX('Scenario names'!$C$3:$C$6,4),'2.4 PV (by Borough)'!T345,IF(Dashboard!$D$6=INDEX('Scenario names'!$C$3:$C$6,1),'2.4 PV (by Borough)'!T304,IF(Dashboard!$D$6=INDEX('Scenario names'!$C$3:$C$6,2),'2.4 PV (by Borough)'!T304,IF(Dashboard!$D$6=INDEX('Scenario names'!$C$3:$C$6,3),'2.4 PV (by Borough)'!T345,"Error")))))</f>
        <v>1750541.5173876709</v>
      </c>
      <c r="U386" s="36">
        <f>IF(Dashboard!$D$6="Baseline",'2.4 PV (by Borough)'!U222,IF(Dashboard!$D$6=INDEX('Scenario names'!$C$3:$C$6,4),'2.4 PV (by Borough)'!U345,IF(Dashboard!$D$6=INDEX('Scenario names'!$C$3:$C$6,1),'2.4 PV (by Borough)'!U304,IF(Dashboard!$D$6=INDEX('Scenario names'!$C$3:$C$6,2),'2.4 PV (by Borough)'!U304,IF(Dashboard!$D$6=INDEX('Scenario names'!$C$3:$C$6,3),'2.4 PV (by Borough)'!U345,"Error")))))</f>
        <v>2021838.7705538301</v>
      </c>
      <c r="V386" s="36">
        <f>IF(Dashboard!$D$6="Baseline",'2.4 PV (by Borough)'!V222,IF(Dashboard!$D$6=INDEX('Scenario names'!$C$3:$C$6,4),'2.4 PV (by Borough)'!V345,IF(Dashboard!$D$6=INDEX('Scenario names'!$C$3:$C$6,1),'2.4 PV (by Borough)'!V304,IF(Dashboard!$D$6=INDEX('Scenario names'!$C$3:$C$6,2),'2.4 PV (by Borough)'!V304,IF(Dashboard!$D$6=INDEX('Scenario names'!$C$3:$C$6,3),'2.4 PV (by Borough)'!V345,"Error")))))</f>
        <v>2293136.0237199892</v>
      </c>
      <c r="W386" s="36">
        <f>IF(Dashboard!$D$6="Baseline",'2.4 PV (by Borough)'!W222,IF(Dashboard!$D$6=INDEX('Scenario names'!$C$3:$C$6,4),'2.4 PV (by Borough)'!W345,IF(Dashboard!$D$6=INDEX('Scenario names'!$C$3:$C$6,1),'2.4 PV (by Borough)'!W304,IF(Dashboard!$D$6=INDEX('Scenario names'!$C$3:$C$6,2),'2.4 PV (by Borough)'!W304,IF(Dashboard!$D$6=INDEX('Scenario names'!$C$3:$C$6,3),'2.4 PV (by Borough)'!W345,"Error")))))</f>
        <v>2564433.2768861474</v>
      </c>
      <c r="X386" s="36">
        <f>IF(Dashboard!$D$6="Baseline",'2.4 PV (by Borough)'!X222,IF(Dashboard!$D$6=INDEX('Scenario names'!$C$3:$C$6,4),'2.4 PV (by Borough)'!X345,IF(Dashboard!$D$6=INDEX('Scenario names'!$C$3:$C$6,1),'2.4 PV (by Borough)'!X304,IF(Dashboard!$D$6=INDEX('Scenario names'!$C$3:$C$6,2),'2.4 PV (by Borough)'!X304,IF(Dashboard!$D$6=INDEX('Scenario names'!$C$3:$C$6,3),'2.4 PV (by Borough)'!X345,"Error")))))</f>
        <v>2835730.5300523071</v>
      </c>
      <c r="Y386" s="36">
        <f>IF(Dashboard!$D$6="Baseline",'2.4 PV (by Borough)'!Y222,IF(Dashboard!$D$6=INDEX('Scenario names'!$C$3:$C$6,4),'2.4 PV (by Borough)'!Y345,IF(Dashboard!$D$6=INDEX('Scenario names'!$C$3:$C$6,1),'2.4 PV (by Borough)'!Y304,IF(Dashboard!$D$6=INDEX('Scenario names'!$C$3:$C$6,2),'2.4 PV (by Borough)'!Y304,IF(Dashboard!$D$6=INDEX('Scenario names'!$C$3:$C$6,3),'2.4 PV (by Borough)'!Y345,"Error")))))</f>
        <v>3107027.7832184648</v>
      </c>
      <c r="Z386" s="36">
        <f>IF(Dashboard!$D$6="Baseline",'2.4 PV (by Borough)'!Z222,IF(Dashboard!$D$6=INDEX('Scenario names'!$C$3:$C$6,4),'2.4 PV (by Borough)'!Z345,IF(Dashboard!$D$6=INDEX('Scenario names'!$C$3:$C$6,1),'2.4 PV (by Borough)'!Z304,IF(Dashboard!$D$6=INDEX('Scenario names'!$C$3:$C$6,2),'2.4 PV (by Borough)'!Z304,IF(Dashboard!$D$6=INDEX('Scenario names'!$C$3:$C$6,3),'2.4 PV (by Borough)'!Z345,"Error")))))</f>
        <v>3569880.7141354629</v>
      </c>
      <c r="AA386" s="36">
        <f>IF(Dashboard!$D$6="Baseline",'2.4 PV (by Borough)'!AA222,IF(Dashboard!$D$6=INDEX('Scenario names'!$C$3:$C$6,4),'2.4 PV (by Borough)'!AA345,IF(Dashboard!$D$6=INDEX('Scenario names'!$C$3:$C$6,1),'2.4 PV (by Borough)'!AA304,IF(Dashboard!$D$6=INDEX('Scenario names'!$C$3:$C$6,2),'2.4 PV (by Borough)'!AA304,IF(Dashboard!$D$6=INDEX('Scenario names'!$C$3:$C$6,3),'2.4 PV (by Borough)'!AA345,"Error")))))</f>
        <v>4032733.6450524605</v>
      </c>
      <c r="AB386" s="36">
        <f>IF(Dashboard!$D$6="Baseline",'2.4 PV (by Borough)'!AB222,IF(Dashboard!$D$6=INDEX('Scenario names'!$C$3:$C$6,4),'2.4 PV (by Borough)'!AB345,IF(Dashboard!$D$6=INDEX('Scenario names'!$C$3:$C$6,1),'2.4 PV (by Borough)'!AB304,IF(Dashboard!$D$6=INDEX('Scenario names'!$C$3:$C$6,2),'2.4 PV (by Borough)'!AB304,IF(Dashboard!$D$6=INDEX('Scenario names'!$C$3:$C$6,3),'2.4 PV (by Borough)'!AB345,"Error")))))</f>
        <v>4495586.5759694576</v>
      </c>
      <c r="AC386" s="36">
        <f>IF(Dashboard!$D$6="Baseline",'2.4 PV (by Borough)'!AC222,IF(Dashboard!$D$6=INDEX('Scenario names'!$C$3:$C$6,4),'2.4 PV (by Borough)'!AC345,IF(Dashboard!$D$6=INDEX('Scenario names'!$C$3:$C$6,1),'2.4 PV (by Borough)'!AC304,IF(Dashboard!$D$6=INDEX('Scenario names'!$C$3:$C$6,2),'2.4 PV (by Borough)'!AC304,IF(Dashboard!$D$6=INDEX('Scenario names'!$C$3:$C$6,3),'2.4 PV (by Borough)'!AC345,"Error")))))</f>
        <v>4958439.5068864562</v>
      </c>
      <c r="AD386" s="36">
        <f>IF(Dashboard!$D$6="Baseline",'2.4 PV (by Borough)'!AD222,IF(Dashboard!$D$6=INDEX('Scenario names'!$C$3:$C$6,4),'2.4 PV (by Borough)'!AD345,IF(Dashboard!$D$6=INDEX('Scenario names'!$C$3:$C$6,1),'2.4 PV (by Borough)'!AD304,IF(Dashboard!$D$6=INDEX('Scenario names'!$C$3:$C$6,2),'2.4 PV (by Borough)'!AD304,IF(Dashboard!$D$6=INDEX('Scenario names'!$C$3:$C$6,3),'2.4 PV (by Borough)'!AD345,"Error")))))</f>
        <v>5421292.4378034538</v>
      </c>
      <c r="AE386" s="36">
        <f>IF(Dashboard!$D$6="Baseline",'2.4 PV (by Borough)'!AE222,IF(Dashboard!$D$6=INDEX('Scenario names'!$C$3:$C$6,4),'2.4 PV (by Borough)'!AE345,IF(Dashboard!$D$6=INDEX('Scenario names'!$C$3:$C$6,1),'2.4 PV (by Borough)'!AE304,IF(Dashboard!$D$6=INDEX('Scenario names'!$C$3:$C$6,2),'2.4 PV (by Borough)'!AE304,IF(Dashboard!$D$6=INDEX('Scenario names'!$C$3:$C$6,3),'2.4 PV (by Borough)'!AE345,"Error")))))</f>
        <v>5884145.3687204532</v>
      </c>
      <c r="AF386" s="36">
        <f>IF(Dashboard!$D$6="Baseline",'2.4 PV (by Borough)'!AF222,IF(Dashboard!$D$6=INDEX('Scenario names'!$C$3:$C$6,4),'2.4 PV (by Borough)'!AF345,IF(Dashboard!$D$6=INDEX('Scenario names'!$C$3:$C$6,1),'2.4 PV (by Borough)'!AF304,IF(Dashboard!$D$6=INDEX('Scenario names'!$C$3:$C$6,2),'2.4 PV (by Borough)'!AF304,IF(Dashboard!$D$6=INDEX('Scenario names'!$C$3:$C$6,3),'2.4 PV (by Borough)'!AF345,"Error")))))</f>
        <v>6346998.2996374471</v>
      </c>
      <c r="AG386" s="36">
        <f>IF(Dashboard!$D$6="Baseline",'2.4 PV (by Borough)'!AG222,IF(Dashboard!$D$6=INDEX('Scenario names'!$C$3:$C$6,4),'2.4 PV (by Borough)'!AG345,IF(Dashboard!$D$6=INDEX('Scenario names'!$C$3:$C$6,1),'2.4 PV (by Borough)'!AG304,IF(Dashboard!$D$6=INDEX('Scenario names'!$C$3:$C$6,2),'2.4 PV (by Borough)'!AG304,IF(Dashboard!$D$6=INDEX('Scenario names'!$C$3:$C$6,3),'2.4 PV (by Borough)'!AG345,"Error")))))</f>
        <v>6809851.2305544484</v>
      </c>
      <c r="AH386" s="36">
        <f>IF(Dashboard!$D$6="Baseline",'2.4 PV (by Borough)'!AH222,IF(Dashboard!$D$6=INDEX('Scenario names'!$C$3:$C$6,4),'2.4 PV (by Borough)'!AH345,IF(Dashboard!$D$6=INDEX('Scenario names'!$C$3:$C$6,1),'2.4 PV (by Borough)'!AH304,IF(Dashboard!$D$6=INDEX('Scenario names'!$C$3:$C$6,2),'2.4 PV (by Borough)'!AH304,IF(Dashboard!$D$6=INDEX('Scenario names'!$C$3:$C$6,3),'2.4 PV (by Borough)'!AH345,"Error")))))</f>
        <v>7272704.1614714423</v>
      </c>
      <c r="AI386" s="36">
        <f>IF(Dashboard!$D$6="Baseline",'2.4 PV (by Borough)'!AI222,IF(Dashboard!$D$6=INDEX('Scenario names'!$C$3:$C$6,4),'2.4 PV (by Borough)'!AI345,IF(Dashboard!$D$6=INDEX('Scenario names'!$C$3:$C$6,1),'2.4 PV (by Borough)'!AI304,IF(Dashboard!$D$6=INDEX('Scenario names'!$C$3:$C$6,2),'2.4 PV (by Borough)'!AI304,IF(Dashboard!$D$6=INDEX('Scenario names'!$C$3:$C$6,3),'2.4 PV (by Borough)'!AI345,"Error")))))</f>
        <v>7735557.0923884427</v>
      </c>
      <c r="AJ386" s="36">
        <f>IF(Dashboard!$D$6="Baseline",'2.4 PV (by Borough)'!AJ222,IF(Dashboard!$D$6=INDEX('Scenario names'!$C$3:$C$6,4),'2.4 PV (by Borough)'!AJ345,IF(Dashboard!$D$6=INDEX('Scenario names'!$C$3:$C$6,1),'2.4 PV (by Borough)'!AJ304,IF(Dashboard!$D$6=INDEX('Scenario names'!$C$3:$C$6,2),'2.4 PV (by Borough)'!AJ304,IF(Dashboard!$D$6=INDEX('Scenario names'!$C$3:$C$6,3),'2.4 PV (by Borough)'!AJ345,"Error")))))</f>
        <v>8198410.0233054403</v>
      </c>
      <c r="AK386" s="36">
        <f>IF(Dashboard!$D$6="Baseline",'2.4 PV (by Borough)'!AK222,IF(Dashboard!$D$6=INDEX('Scenario names'!$C$3:$C$6,4),'2.4 PV (by Borough)'!AK345,IF(Dashboard!$D$6=INDEX('Scenario names'!$C$3:$C$6,1),'2.4 PV (by Borough)'!AK304,IF(Dashboard!$D$6=INDEX('Scenario names'!$C$3:$C$6,2),'2.4 PV (by Borough)'!AK304,IF(Dashboard!$D$6=INDEX('Scenario names'!$C$3:$C$6,3),'2.4 PV (by Borough)'!AK345,"Error")))))</f>
        <v>8661262.954222437</v>
      </c>
      <c r="AL386" s="36">
        <f>IF(Dashboard!$D$6="Baseline",'2.4 PV (by Borough)'!AL222,IF(Dashboard!$D$6=INDEX('Scenario names'!$C$3:$C$6,4),'2.4 PV (by Borough)'!AL345,IF(Dashboard!$D$6=INDEX('Scenario names'!$C$3:$C$6,1),'2.4 PV (by Borough)'!AL304,IF(Dashboard!$D$6=INDEX('Scenario names'!$C$3:$C$6,2),'2.4 PV (by Borough)'!AL304,IF(Dashboard!$D$6=INDEX('Scenario names'!$C$3:$C$6,3),'2.4 PV (by Borough)'!AL345,"Error")))))</f>
        <v>9124115.8851394337</v>
      </c>
      <c r="AM386" s="36">
        <f>IF(Dashboard!$D$6="Baseline",'2.4 PV (by Borough)'!AM222,IF(Dashboard!$D$6=INDEX('Scenario names'!$C$3:$C$6,4),'2.4 PV (by Borough)'!AM345,IF(Dashboard!$D$6=INDEX('Scenario names'!$C$3:$C$6,1),'2.4 PV (by Borough)'!AM304,IF(Dashboard!$D$6=INDEX('Scenario names'!$C$3:$C$6,2),'2.4 PV (by Borough)'!AM304,IF(Dashboard!$D$6=INDEX('Scenario names'!$C$3:$C$6,3),'2.4 PV (by Borough)'!AM345,"Error")))))</f>
        <v>9586968.8160564341</v>
      </c>
      <c r="AN386" s="36">
        <f>IF(Dashboard!$D$6="Baseline",'2.4 PV (by Borough)'!AN222,IF(Dashboard!$D$6=INDEX('Scenario names'!$C$3:$C$6,4),'2.4 PV (by Borough)'!AN345,IF(Dashboard!$D$6=INDEX('Scenario names'!$C$3:$C$6,1),'2.4 PV (by Borough)'!AN304,IF(Dashboard!$D$6=INDEX('Scenario names'!$C$3:$C$6,2),'2.4 PV (by Borough)'!AN304,IF(Dashboard!$D$6=INDEX('Scenario names'!$C$3:$C$6,3),'2.4 PV (by Borough)'!AN345,"Error")))))</f>
        <v>10049821.746973429</v>
      </c>
      <c r="AO386" s="36">
        <f>IF(Dashboard!$D$6="Baseline",'2.4 PV (by Borough)'!AO222,IF(Dashboard!$D$6=INDEX('Scenario names'!$C$3:$C$6,4),'2.4 PV (by Borough)'!AO345,IF(Dashboard!$D$6=INDEX('Scenario names'!$C$3:$C$6,1),'2.4 PV (by Borough)'!AO304,IF(Dashboard!$D$6=INDEX('Scenario names'!$C$3:$C$6,2),'2.4 PV (by Borough)'!AO304,IF(Dashboard!$D$6=INDEX('Scenario names'!$C$3:$C$6,3),'2.4 PV (by Borough)'!AO345,"Error")))))</f>
        <v>10512674.677890429</v>
      </c>
      <c r="AP386" s="36">
        <f>IF(Dashboard!$D$6="Baseline",'2.4 PV (by Borough)'!AP222,IF(Dashboard!$D$6=INDEX('Scenario names'!$C$3:$C$6,4),'2.4 PV (by Borough)'!AP345,IF(Dashboard!$D$6=INDEX('Scenario names'!$C$3:$C$6,1),'2.4 PV (by Borough)'!AP304,IF(Dashboard!$D$6=INDEX('Scenario names'!$C$3:$C$6,2),'2.4 PV (by Borough)'!AP304,IF(Dashboard!$D$6=INDEX('Scenario names'!$C$3:$C$6,3),'2.4 PV (by Borough)'!AP345,"Error")))))</f>
        <v>10975527.608807424</v>
      </c>
      <c r="AQ386" s="36">
        <f>IF(Dashboard!$D$6="Baseline",'2.4 PV (by Borough)'!AQ222,IF(Dashboard!$D$6=INDEX('Scenario names'!$C$3:$C$6,4),'2.4 PV (by Borough)'!AQ345,IF(Dashboard!$D$6=INDEX('Scenario names'!$C$3:$C$6,1),'2.4 PV (by Borough)'!AQ304,IF(Dashboard!$D$6=INDEX('Scenario names'!$C$3:$C$6,2),'2.4 PV (by Borough)'!AQ304,IF(Dashboard!$D$6=INDEX('Scenario names'!$C$3:$C$6,3),'2.4 PV (by Borough)'!AQ345,"Error")))))</f>
        <v>11438380.539724419</v>
      </c>
      <c r="AR386" s="36">
        <f>IF(Dashboard!$D$6="Baseline",'2.4 PV (by Borough)'!AR222,IF(Dashboard!$D$6=INDEX('Scenario names'!$C$3:$C$6,4),'2.4 PV (by Borough)'!AR345,IF(Dashboard!$D$6=INDEX('Scenario names'!$C$3:$C$6,1),'2.4 PV (by Borough)'!AR304,IF(Dashboard!$D$6=INDEX('Scenario names'!$C$3:$C$6,2),'2.4 PV (by Borough)'!AR304,IF(Dashboard!$D$6=INDEX('Scenario names'!$C$3:$C$6,3),'2.4 PV (by Borough)'!AR345,"Error")))))</f>
        <v>11901233.470641421</v>
      </c>
      <c r="AS386" s="36">
        <f>IF(Dashboard!$D$6="Baseline",'2.4 PV (by Borough)'!AS222,IF(Dashboard!$D$6=INDEX('Scenario names'!$C$3:$C$6,4),'2.4 PV (by Borough)'!AS345,IF(Dashboard!$D$6=INDEX('Scenario names'!$C$3:$C$6,1),'2.4 PV (by Borough)'!AS304,IF(Dashboard!$D$6=INDEX('Scenario names'!$C$3:$C$6,2),'2.4 PV (by Borough)'!AS304,IF(Dashboard!$D$6=INDEX('Scenario names'!$C$3:$C$6,3),'2.4 PV (by Borough)'!AS345,"Error")))))</f>
        <v>12364086.401558416</v>
      </c>
      <c r="AT386" s="36">
        <f>IF(Dashboard!$D$6="Baseline",'2.4 PV (by Borough)'!AT222,IF(Dashboard!$D$6=INDEX('Scenario names'!$C$3:$C$6,4),'2.4 PV (by Borough)'!AT345,IF(Dashboard!$D$6=INDEX('Scenario names'!$C$3:$C$6,1),'2.4 PV (by Borough)'!AT304,IF(Dashboard!$D$6=INDEX('Scenario names'!$C$3:$C$6,2),'2.4 PV (by Borough)'!AT304,IF(Dashboard!$D$6=INDEX('Scenario names'!$C$3:$C$6,3),'2.4 PV (by Borough)'!AT345,"Error")))))</f>
        <v>12826939.33247542</v>
      </c>
      <c r="AU386" s="36">
        <f>IF(Dashboard!$D$6="Baseline",'2.4 PV (by Borough)'!AU222,IF(Dashboard!$D$6=INDEX('Scenario names'!$C$3:$C$6,4),'2.4 PV (by Borough)'!AU345,IF(Dashboard!$D$6=INDEX('Scenario names'!$C$3:$C$6,1),'2.4 PV (by Borough)'!AU304,IF(Dashboard!$D$6=INDEX('Scenario names'!$C$3:$C$6,2),'2.4 PV (by Borough)'!AU304,IF(Dashboard!$D$6=INDEX('Scenario names'!$C$3:$C$6,3),'2.4 PV (by Borough)'!AU345,"Error")))))</f>
        <v>13289792.263392417</v>
      </c>
      <c r="AV386" s="36">
        <f>IF(Dashboard!$D$6="Baseline",'2.4 PV (by Borough)'!AV222,IF(Dashboard!$D$6=INDEX('Scenario names'!$C$3:$C$6,4),'2.4 PV (by Borough)'!AV345,IF(Dashboard!$D$6=INDEX('Scenario names'!$C$3:$C$6,1),'2.4 PV (by Borough)'!AV304,IF(Dashboard!$D$6=INDEX('Scenario names'!$C$3:$C$6,2),'2.4 PV (by Borough)'!AV304,IF(Dashboard!$D$6=INDEX('Scenario names'!$C$3:$C$6,3),'2.4 PV (by Borough)'!AV345,"Error")))))</f>
        <v>13752645.194309412</v>
      </c>
      <c r="AW386" s="36">
        <f>IF(Dashboard!$D$6="Baseline",'2.4 PV (by Borough)'!AW222,IF(Dashboard!$D$6=INDEX('Scenario names'!$C$3:$C$6,4),'2.4 PV (by Borough)'!AW345,IF(Dashboard!$D$6=INDEX('Scenario names'!$C$3:$C$6,1),'2.4 PV (by Borough)'!AW304,IF(Dashboard!$D$6=INDEX('Scenario names'!$C$3:$C$6,2),'2.4 PV (by Borough)'!AW304,IF(Dashboard!$D$6=INDEX('Scenario names'!$C$3:$C$6,3),'2.4 PV (by Borough)'!AW345,"Error")))))</f>
        <v>14215498.125226416</v>
      </c>
      <c r="AX386" s="36">
        <f>IF(Dashboard!$D$6="Baseline",'2.4 PV (by Borough)'!AX222,IF(Dashboard!$D$6=INDEX('Scenario names'!$C$3:$C$6,4),'2.4 PV (by Borough)'!AX345,IF(Dashboard!$D$6=INDEX('Scenario names'!$C$3:$C$6,1),'2.4 PV (by Borough)'!AX304,IF(Dashboard!$D$6=INDEX('Scenario names'!$C$3:$C$6,2),'2.4 PV (by Borough)'!AX304,IF(Dashboard!$D$6=INDEX('Scenario names'!$C$3:$C$6,3),'2.4 PV (by Borough)'!AX345,"Error")))))</f>
        <v>14678351.056143407</v>
      </c>
      <c r="AY386" s="36"/>
      <c r="AZ386" s="36"/>
      <c r="BA386" s="36"/>
      <c r="BB386" s="36"/>
    </row>
    <row r="387" spans="4:54">
      <c r="D387" t="s">
        <v>661</v>
      </c>
      <c r="E387" t="s">
        <v>635</v>
      </c>
      <c r="G387" s="44"/>
      <c r="I387" s="44"/>
      <c r="K387" s="44"/>
      <c r="M387" s="44"/>
      <c r="O387" s="36">
        <f>IF(Dashboard!$D$6="Baseline",'2.4 PV (by Borough)'!O223,IF(Dashboard!$D$6=INDEX('Scenario names'!$C$3:$C$6,4),'2.4 PV (by Borough)'!O346,IF(Dashboard!$D$6=INDEX('Scenario names'!$C$3:$C$6,1),'2.4 PV (by Borough)'!O305,IF(Dashboard!$D$6=INDEX('Scenario names'!$C$3:$C$6,2),'2.4 PV (by Borough)'!O305,IF(Dashboard!$D$6=INDEX('Scenario names'!$C$3:$C$6,3),'2.4 PV (by Borough)'!O346,"Error")))))</f>
        <v>545616.52196754946</v>
      </c>
      <c r="P387" s="36">
        <f>IF(Dashboard!$D$6="Baseline",'2.4 PV (by Borough)'!P223,IF(Dashboard!$D$6=INDEX('Scenario names'!$C$3:$C$6,4),'2.4 PV (by Borough)'!P346,IF(Dashboard!$D$6=INDEX('Scenario names'!$C$3:$C$6,1),'2.4 PV (by Borough)'!P305,IF(Dashboard!$D$6=INDEX('Scenario names'!$C$3:$C$6,2),'2.4 PV (by Borough)'!P305,IF(Dashboard!$D$6=INDEX('Scenario names'!$C$3:$C$6,3),'2.4 PV (by Borough)'!P346,"Error")))))</f>
        <v>915718.57076887426</v>
      </c>
      <c r="Q387" s="36">
        <f>IF(Dashboard!$D$6="Baseline",'2.4 PV (by Borough)'!Q223,IF(Dashboard!$D$6=INDEX('Scenario names'!$C$3:$C$6,4),'2.4 PV (by Borough)'!Q346,IF(Dashboard!$D$6=INDEX('Scenario names'!$C$3:$C$6,1),'2.4 PV (by Borough)'!Q305,IF(Dashboard!$D$6=INDEX('Scenario names'!$C$3:$C$6,2),'2.4 PV (by Borough)'!Q305,IF(Dashboard!$D$6=INDEX('Scenario names'!$C$3:$C$6,3),'2.4 PV (by Borough)'!Q346,"Error")))))</f>
        <v>1285820.6195701987</v>
      </c>
      <c r="R387" s="36">
        <f>IF(Dashboard!$D$6="Baseline",'2.4 PV (by Borough)'!R223,IF(Dashboard!$D$6=INDEX('Scenario names'!$C$3:$C$6,4),'2.4 PV (by Borough)'!R346,IF(Dashboard!$D$6=INDEX('Scenario names'!$C$3:$C$6,1),'2.4 PV (by Borough)'!R305,IF(Dashboard!$D$6=INDEX('Scenario names'!$C$3:$C$6,2),'2.4 PV (by Borough)'!R305,IF(Dashboard!$D$6=INDEX('Scenario names'!$C$3:$C$6,3),'2.4 PV (by Borough)'!R346,"Error")))))</f>
        <v>1655922.6683715237</v>
      </c>
      <c r="S387" s="36">
        <f>IF(Dashboard!$D$6="Baseline",'2.4 PV (by Borough)'!S223,IF(Dashboard!$D$6=INDEX('Scenario names'!$C$3:$C$6,4),'2.4 PV (by Borough)'!S346,IF(Dashboard!$D$6=INDEX('Scenario names'!$C$3:$C$6,1),'2.4 PV (by Borough)'!S305,IF(Dashboard!$D$6=INDEX('Scenario names'!$C$3:$C$6,2),'2.4 PV (by Borough)'!S305,IF(Dashboard!$D$6=INDEX('Scenario names'!$C$3:$C$6,3),'2.4 PV (by Borough)'!S346,"Error")))))</f>
        <v>2026024.7171728481</v>
      </c>
      <c r="T387" s="36">
        <f>IF(Dashboard!$D$6="Baseline",'2.4 PV (by Borough)'!T223,IF(Dashboard!$D$6=INDEX('Scenario names'!$C$3:$C$6,4),'2.4 PV (by Borough)'!T346,IF(Dashboard!$D$6=INDEX('Scenario names'!$C$3:$C$6,1),'2.4 PV (by Borough)'!T305,IF(Dashboard!$D$6=INDEX('Scenario names'!$C$3:$C$6,2),'2.4 PV (by Borough)'!T305,IF(Dashboard!$D$6=INDEX('Scenario names'!$C$3:$C$6,3),'2.4 PV (by Borough)'!T346,"Error")))))</f>
        <v>2396126.7659741729</v>
      </c>
      <c r="U387" s="36">
        <f>IF(Dashboard!$D$6="Baseline",'2.4 PV (by Borough)'!U223,IF(Dashboard!$D$6=INDEX('Scenario names'!$C$3:$C$6,4),'2.4 PV (by Borough)'!U346,IF(Dashboard!$D$6=INDEX('Scenario names'!$C$3:$C$6,1),'2.4 PV (by Borough)'!U305,IF(Dashboard!$D$6=INDEX('Scenario names'!$C$3:$C$6,2),'2.4 PV (by Borough)'!U305,IF(Dashboard!$D$6=INDEX('Scenario names'!$C$3:$C$6,3),'2.4 PV (by Borough)'!U346,"Error")))))</f>
        <v>2766228.8147754981</v>
      </c>
      <c r="V387" s="36">
        <f>IF(Dashboard!$D$6="Baseline",'2.4 PV (by Borough)'!V223,IF(Dashboard!$D$6=INDEX('Scenario names'!$C$3:$C$6,4),'2.4 PV (by Borough)'!V346,IF(Dashboard!$D$6=INDEX('Scenario names'!$C$3:$C$6,1),'2.4 PV (by Borough)'!V305,IF(Dashboard!$D$6=INDEX('Scenario names'!$C$3:$C$6,2),'2.4 PV (by Borough)'!V305,IF(Dashboard!$D$6=INDEX('Scenario names'!$C$3:$C$6,3),'2.4 PV (by Borough)'!V346,"Error")))))</f>
        <v>3136330.8635768215</v>
      </c>
      <c r="W387" s="36">
        <f>IF(Dashboard!$D$6="Baseline",'2.4 PV (by Borough)'!W223,IF(Dashboard!$D$6=INDEX('Scenario names'!$C$3:$C$6,4),'2.4 PV (by Borough)'!W346,IF(Dashboard!$D$6=INDEX('Scenario names'!$C$3:$C$6,1),'2.4 PV (by Borough)'!W305,IF(Dashboard!$D$6=INDEX('Scenario names'!$C$3:$C$6,2),'2.4 PV (by Borough)'!W305,IF(Dashboard!$D$6=INDEX('Scenario names'!$C$3:$C$6,3),'2.4 PV (by Borough)'!W346,"Error")))))</f>
        <v>3506432.9123781477</v>
      </c>
      <c r="X387" s="36">
        <f>IF(Dashboard!$D$6="Baseline",'2.4 PV (by Borough)'!X223,IF(Dashboard!$D$6=INDEX('Scenario names'!$C$3:$C$6,4),'2.4 PV (by Borough)'!X346,IF(Dashboard!$D$6=INDEX('Scenario names'!$C$3:$C$6,1),'2.4 PV (by Borough)'!X305,IF(Dashboard!$D$6=INDEX('Scenario names'!$C$3:$C$6,2),'2.4 PV (by Borough)'!X305,IF(Dashboard!$D$6=INDEX('Scenario names'!$C$3:$C$6,3),'2.4 PV (by Borough)'!X346,"Error")))))</f>
        <v>3876534.961179473</v>
      </c>
      <c r="Y387" s="36">
        <f>IF(Dashboard!$D$6="Baseline",'2.4 PV (by Borough)'!Y223,IF(Dashboard!$D$6=INDEX('Scenario names'!$C$3:$C$6,4),'2.4 PV (by Borough)'!Y346,IF(Dashboard!$D$6=INDEX('Scenario names'!$C$3:$C$6,1),'2.4 PV (by Borough)'!Y305,IF(Dashboard!$D$6=INDEX('Scenario names'!$C$3:$C$6,2),'2.4 PV (by Borough)'!Y305,IF(Dashboard!$D$6=INDEX('Scenario names'!$C$3:$C$6,3),'2.4 PV (by Borough)'!Y346,"Error")))))</f>
        <v>4246637.0099807968</v>
      </c>
      <c r="Z387" s="36">
        <f>IF(Dashboard!$D$6="Baseline",'2.4 PV (by Borough)'!Z223,IF(Dashboard!$D$6=INDEX('Scenario names'!$C$3:$C$6,4),'2.4 PV (by Borough)'!Z346,IF(Dashboard!$D$6=INDEX('Scenario names'!$C$3:$C$6,1),'2.4 PV (by Borough)'!Z305,IF(Dashboard!$D$6=INDEX('Scenario names'!$C$3:$C$6,2),'2.4 PV (by Borough)'!Z305,IF(Dashboard!$D$6=INDEX('Scenario names'!$C$3:$C$6,3),'2.4 PV (by Borough)'!Z346,"Error")))))</f>
        <v>4675508.0721608419</v>
      </c>
      <c r="AA387" s="36">
        <f>IF(Dashboard!$D$6="Baseline",'2.4 PV (by Borough)'!AA223,IF(Dashboard!$D$6=INDEX('Scenario names'!$C$3:$C$6,4),'2.4 PV (by Borough)'!AA346,IF(Dashboard!$D$6=INDEX('Scenario names'!$C$3:$C$6,1),'2.4 PV (by Borough)'!AA305,IF(Dashboard!$D$6=INDEX('Scenario names'!$C$3:$C$6,2),'2.4 PV (by Borough)'!AA305,IF(Dashboard!$D$6=INDEX('Scenario names'!$C$3:$C$6,3),'2.4 PV (by Borough)'!AA346,"Error")))))</f>
        <v>5104379.1343408898</v>
      </c>
      <c r="AB387" s="36">
        <f>IF(Dashboard!$D$6="Baseline",'2.4 PV (by Borough)'!AB223,IF(Dashboard!$D$6=INDEX('Scenario names'!$C$3:$C$6,4),'2.4 PV (by Borough)'!AB346,IF(Dashboard!$D$6=INDEX('Scenario names'!$C$3:$C$6,1),'2.4 PV (by Borough)'!AB305,IF(Dashboard!$D$6=INDEX('Scenario names'!$C$3:$C$6,2),'2.4 PV (by Borough)'!AB305,IF(Dashboard!$D$6=INDEX('Scenario names'!$C$3:$C$6,3),'2.4 PV (by Borough)'!AB346,"Error")))))</f>
        <v>5533250.1965209367</v>
      </c>
      <c r="AC387" s="36">
        <f>IF(Dashboard!$D$6="Baseline",'2.4 PV (by Borough)'!AC223,IF(Dashboard!$D$6=INDEX('Scenario names'!$C$3:$C$6,4),'2.4 PV (by Borough)'!AC346,IF(Dashboard!$D$6=INDEX('Scenario names'!$C$3:$C$6,1),'2.4 PV (by Borough)'!AC305,IF(Dashboard!$D$6=INDEX('Scenario names'!$C$3:$C$6,2),'2.4 PV (by Borough)'!AC305,IF(Dashboard!$D$6=INDEX('Scenario names'!$C$3:$C$6,3),'2.4 PV (by Borough)'!AC346,"Error")))))</f>
        <v>5962121.2587009845</v>
      </c>
      <c r="AD387" s="36">
        <f>IF(Dashboard!$D$6="Baseline",'2.4 PV (by Borough)'!AD223,IF(Dashboard!$D$6=INDEX('Scenario names'!$C$3:$C$6,4),'2.4 PV (by Borough)'!AD346,IF(Dashboard!$D$6=INDEX('Scenario names'!$C$3:$C$6,1),'2.4 PV (by Borough)'!AD305,IF(Dashboard!$D$6=INDEX('Scenario names'!$C$3:$C$6,2),'2.4 PV (by Borough)'!AD305,IF(Dashboard!$D$6=INDEX('Scenario names'!$C$3:$C$6,3),'2.4 PV (by Borough)'!AD346,"Error")))))</f>
        <v>6390992.3208810324</v>
      </c>
      <c r="AE387" s="36">
        <f>IF(Dashboard!$D$6="Baseline",'2.4 PV (by Borough)'!AE223,IF(Dashboard!$D$6=INDEX('Scenario names'!$C$3:$C$6,4),'2.4 PV (by Borough)'!AE346,IF(Dashboard!$D$6=INDEX('Scenario names'!$C$3:$C$6,1),'2.4 PV (by Borough)'!AE305,IF(Dashboard!$D$6=INDEX('Scenario names'!$C$3:$C$6,2),'2.4 PV (by Borough)'!AE305,IF(Dashboard!$D$6=INDEX('Scenario names'!$C$3:$C$6,3),'2.4 PV (by Borough)'!AE346,"Error")))))</f>
        <v>6819863.3830610784</v>
      </c>
      <c r="AF387" s="36">
        <f>IF(Dashboard!$D$6="Baseline",'2.4 PV (by Borough)'!AF223,IF(Dashboard!$D$6=INDEX('Scenario names'!$C$3:$C$6,4),'2.4 PV (by Borough)'!AF346,IF(Dashboard!$D$6=INDEX('Scenario names'!$C$3:$C$6,1),'2.4 PV (by Borough)'!AF305,IF(Dashboard!$D$6=INDEX('Scenario names'!$C$3:$C$6,2),'2.4 PV (by Borough)'!AF305,IF(Dashboard!$D$6=INDEX('Scenario names'!$C$3:$C$6,3),'2.4 PV (by Borough)'!AF346,"Error")))))</f>
        <v>7248734.4452411234</v>
      </c>
      <c r="AG387" s="36">
        <f>IF(Dashboard!$D$6="Baseline",'2.4 PV (by Borough)'!AG223,IF(Dashboard!$D$6=INDEX('Scenario names'!$C$3:$C$6,4),'2.4 PV (by Borough)'!AG346,IF(Dashboard!$D$6=INDEX('Scenario names'!$C$3:$C$6,1),'2.4 PV (by Borough)'!AG305,IF(Dashboard!$D$6=INDEX('Scenario names'!$C$3:$C$6,2),'2.4 PV (by Borough)'!AG305,IF(Dashboard!$D$6=INDEX('Scenario names'!$C$3:$C$6,3),'2.4 PV (by Borough)'!AG346,"Error")))))</f>
        <v>7677605.5074211704</v>
      </c>
      <c r="AH387" s="36">
        <f>IF(Dashboard!$D$6="Baseline",'2.4 PV (by Borough)'!AH223,IF(Dashboard!$D$6=INDEX('Scenario names'!$C$3:$C$6,4),'2.4 PV (by Borough)'!AH346,IF(Dashboard!$D$6=INDEX('Scenario names'!$C$3:$C$6,1),'2.4 PV (by Borough)'!AH305,IF(Dashboard!$D$6=INDEX('Scenario names'!$C$3:$C$6,2),'2.4 PV (by Borough)'!AH305,IF(Dashboard!$D$6=INDEX('Scenario names'!$C$3:$C$6,3),'2.4 PV (by Borough)'!AH346,"Error")))))</f>
        <v>8106476.5696012191</v>
      </c>
      <c r="AI387" s="36">
        <f>IF(Dashboard!$D$6="Baseline",'2.4 PV (by Borough)'!AI223,IF(Dashboard!$D$6=INDEX('Scenario names'!$C$3:$C$6,4),'2.4 PV (by Borough)'!AI346,IF(Dashboard!$D$6=INDEX('Scenario names'!$C$3:$C$6,1),'2.4 PV (by Borough)'!AI305,IF(Dashboard!$D$6=INDEX('Scenario names'!$C$3:$C$6,2),'2.4 PV (by Borough)'!AI305,IF(Dashboard!$D$6=INDEX('Scenario names'!$C$3:$C$6,3),'2.4 PV (by Borough)'!AI346,"Error")))))</f>
        <v>8535347.6317812614</v>
      </c>
      <c r="AJ387" s="36">
        <f>IF(Dashboard!$D$6="Baseline",'2.4 PV (by Borough)'!AJ223,IF(Dashboard!$D$6=INDEX('Scenario names'!$C$3:$C$6,4),'2.4 PV (by Borough)'!AJ346,IF(Dashboard!$D$6=INDEX('Scenario names'!$C$3:$C$6,1),'2.4 PV (by Borough)'!AJ305,IF(Dashboard!$D$6=INDEX('Scenario names'!$C$3:$C$6,2),'2.4 PV (by Borough)'!AJ305,IF(Dashboard!$D$6=INDEX('Scenario names'!$C$3:$C$6,3),'2.4 PV (by Borough)'!AJ346,"Error")))))</f>
        <v>8964218.693961313</v>
      </c>
      <c r="AK387" s="36">
        <f>IF(Dashboard!$D$6="Baseline",'2.4 PV (by Borough)'!AK223,IF(Dashboard!$D$6=INDEX('Scenario names'!$C$3:$C$6,4),'2.4 PV (by Borough)'!AK346,IF(Dashboard!$D$6=INDEX('Scenario names'!$C$3:$C$6,1),'2.4 PV (by Borough)'!AK305,IF(Dashboard!$D$6=INDEX('Scenario names'!$C$3:$C$6,2),'2.4 PV (by Borough)'!AK305,IF(Dashboard!$D$6=INDEX('Scenario names'!$C$3:$C$6,3),'2.4 PV (by Borough)'!AK346,"Error")))))</f>
        <v>9393089.7561413608</v>
      </c>
      <c r="AL387" s="36">
        <f>IF(Dashboard!$D$6="Baseline",'2.4 PV (by Borough)'!AL223,IF(Dashboard!$D$6=INDEX('Scenario names'!$C$3:$C$6,4),'2.4 PV (by Borough)'!AL346,IF(Dashboard!$D$6=INDEX('Scenario names'!$C$3:$C$6,1),'2.4 PV (by Borough)'!AL305,IF(Dashboard!$D$6=INDEX('Scenario names'!$C$3:$C$6,2),'2.4 PV (by Borough)'!AL305,IF(Dashboard!$D$6=INDEX('Scenario names'!$C$3:$C$6,3),'2.4 PV (by Borough)'!AL346,"Error")))))</f>
        <v>9821960.818321405</v>
      </c>
      <c r="AM387" s="36">
        <f>IF(Dashboard!$D$6="Baseline",'2.4 PV (by Borough)'!AM223,IF(Dashboard!$D$6=INDEX('Scenario names'!$C$3:$C$6,4),'2.4 PV (by Borough)'!AM346,IF(Dashboard!$D$6=INDEX('Scenario names'!$C$3:$C$6,1),'2.4 PV (by Borough)'!AM305,IF(Dashboard!$D$6=INDEX('Scenario names'!$C$3:$C$6,2),'2.4 PV (by Borough)'!AM305,IF(Dashboard!$D$6=INDEX('Scenario names'!$C$3:$C$6,3),'2.4 PV (by Borough)'!AM346,"Error")))))</f>
        <v>10250831.880501451</v>
      </c>
      <c r="AN387" s="36">
        <f>IF(Dashboard!$D$6="Baseline",'2.4 PV (by Borough)'!AN223,IF(Dashboard!$D$6=INDEX('Scenario names'!$C$3:$C$6,4),'2.4 PV (by Borough)'!AN346,IF(Dashboard!$D$6=INDEX('Scenario names'!$C$3:$C$6,1),'2.4 PV (by Borough)'!AN305,IF(Dashboard!$D$6=INDEX('Scenario names'!$C$3:$C$6,2),'2.4 PV (by Borough)'!AN305,IF(Dashboard!$D$6=INDEX('Scenario names'!$C$3:$C$6,3),'2.4 PV (by Borough)'!AN346,"Error")))))</f>
        <v>10679702.942681497</v>
      </c>
      <c r="AO387" s="36">
        <f>IF(Dashboard!$D$6="Baseline",'2.4 PV (by Borough)'!AO223,IF(Dashboard!$D$6=INDEX('Scenario names'!$C$3:$C$6,4),'2.4 PV (by Borough)'!AO346,IF(Dashboard!$D$6=INDEX('Scenario names'!$C$3:$C$6,1),'2.4 PV (by Borough)'!AO305,IF(Dashboard!$D$6=INDEX('Scenario names'!$C$3:$C$6,2),'2.4 PV (by Borough)'!AO305,IF(Dashboard!$D$6=INDEX('Scenario names'!$C$3:$C$6,3),'2.4 PV (by Borough)'!AO346,"Error")))))</f>
        <v>11108574.004861547</v>
      </c>
      <c r="AP387" s="36">
        <f>IF(Dashboard!$D$6="Baseline",'2.4 PV (by Borough)'!AP223,IF(Dashboard!$D$6=INDEX('Scenario names'!$C$3:$C$6,4),'2.4 PV (by Borough)'!AP346,IF(Dashboard!$D$6=INDEX('Scenario names'!$C$3:$C$6,1),'2.4 PV (by Borough)'!AP305,IF(Dashboard!$D$6=INDEX('Scenario names'!$C$3:$C$6,2),'2.4 PV (by Borough)'!AP305,IF(Dashboard!$D$6=INDEX('Scenario names'!$C$3:$C$6,3),'2.4 PV (by Borough)'!AP346,"Error")))))</f>
        <v>11537445.067041593</v>
      </c>
      <c r="AQ387" s="36">
        <f>IF(Dashboard!$D$6="Baseline",'2.4 PV (by Borough)'!AQ223,IF(Dashboard!$D$6=INDEX('Scenario names'!$C$3:$C$6,4),'2.4 PV (by Borough)'!AQ346,IF(Dashboard!$D$6=INDEX('Scenario names'!$C$3:$C$6,1),'2.4 PV (by Borough)'!AQ305,IF(Dashboard!$D$6=INDEX('Scenario names'!$C$3:$C$6,2),'2.4 PV (by Borough)'!AQ305,IF(Dashboard!$D$6=INDEX('Scenario names'!$C$3:$C$6,3),'2.4 PV (by Borough)'!AQ346,"Error")))))</f>
        <v>11966316.129221641</v>
      </c>
      <c r="AR387" s="36">
        <f>IF(Dashboard!$D$6="Baseline",'2.4 PV (by Borough)'!AR223,IF(Dashboard!$D$6=INDEX('Scenario names'!$C$3:$C$6,4),'2.4 PV (by Borough)'!AR346,IF(Dashboard!$D$6=INDEX('Scenario names'!$C$3:$C$6,1),'2.4 PV (by Borough)'!AR305,IF(Dashboard!$D$6=INDEX('Scenario names'!$C$3:$C$6,2),'2.4 PV (by Borough)'!AR305,IF(Dashboard!$D$6=INDEX('Scenario names'!$C$3:$C$6,3),'2.4 PV (by Borough)'!AR346,"Error")))))</f>
        <v>12395187.191401687</v>
      </c>
      <c r="AS387" s="36">
        <f>IF(Dashboard!$D$6="Baseline",'2.4 PV (by Borough)'!AS223,IF(Dashboard!$D$6=INDEX('Scenario names'!$C$3:$C$6,4),'2.4 PV (by Borough)'!AS346,IF(Dashboard!$D$6=INDEX('Scenario names'!$C$3:$C$6,1),'2.4 PV (by Borough)'!AS305,IF(Dashboard!$D$6=INDEX('Scenario names'!$C$3:$C$6,2),'2.4 PV (by Borough)'!AS305,IF(Dashboard!$D$6=INDEX('Scenario names'!$C$3:$C$6,3),'2.4 PV (by Borough)'!AS346,"Error")))))</f>
        <v>12824058.253581733</v>
      </c>
      <c r="AT387" s="36">
        <f>IF(Dashboard!$D$6="Baseline",'2.4 PV (by Borough)'!AT223,IF(Dashboard!$D$6=INDEX('Scenario names'!$C$3:$C$6,4),'2.4 PV (by Borough)'!AT346,IF(Dashboard!$D$6=INDEX('Scenario names'!$C$3:$C$6,1),'2.4 PV (by Borough)'!AT305,IF(Dashboard!$D$6=INDEX('Scenario names'!$C$3:$C$6,2),'2.4 PV (by Borough)'!AT305,IF(Dashboard!$D$6=INDEX('Scenario names'!$C$3:$C$6,3),'2.4 PV (by Borough)'!AT346,"Error")))))</f>
        <v>13252929.315761779</v>
      </c>
      <c r="AU387" s="36">
        <f>IF(Dashboard!$D$6="Baseline",'2.4 PV (by Borough)'!AU223,IF(Dashboard!$D$6=INDEX('Scenario names'!$C$3:$C$6,4),'2.4 PV (by Borough)'!AU346,IF(Dashboard!$D$6=INDEX('Scenario names'!$C$3:$C$6,1),'2.4 PV (by Borough)'!AU305,IF(Dashboard!$D$6=INDEX('Scenario names'!$C$3:$C$6,2),'2.4 PV (by Borough)'!AU305,IF(Dashboard!$D$6=INDEX('Scenario names'!$C$3:$C$6,3),'2.4 PV (by Borough)'!AU346,"Error")))))</f>
        <v>13681800.377941828</v>
      </c>
      <c r="AV387" s="36">
        <f>IF(Dashboard!$D$6="Baseline",'2.4 PV (by Borough)'!AV223,IF(Dashboard!$D$6=INDEX('Scenario names'!$C$3:$C$6,4),'2.4 PV (by Borough)'!AV346,IF(Dashboard!$D$6=INDEX('Scenario names'!$C$3:$C$6,1),'2.4 PV (by Borough)'!AV305,IF(Dashboard!$D$6=INDEX('Scenario names'!$C$3:$C$6,2),'2.4 PV (by Borough)'!AV305,IF(Dashboard!$D$6=INDEX('Scenario names'!$C$3:$C$6,3),'2.4 PV (by Borough)'!AV346,"Error")))))</f>
        <v>14110671.440121872</v>
      </c>
      <c r="AW387" s="36">
        <f>IF(Dashboard!$D$6="Baseline",'2.4 PV (by Borough)'!AW223,IF(Dashboard!$D$6=INDEX('Scenario names'!$C$3:$C$6,4),'2.4 PV (by Borough)'!AW346,IF(Dashboard!$D$6=INDEX('Scenario names'!$C$3:$C$6,1),'2.4 PV (by Borough)'!AW305,IF(Dashboard!$D$6=INDEX('Scenario names'!$C$3:$C$6,2),'2.4 PV (by Borough)'!AW305,IF(Dashboard!$D$6=INDEX('Scenario names'!$C$3:$C$6,3),'2.4 PV (by Borough)'!AW346,"Error")))))</f>
        <v>14539542.502301918</v>
      </c>
      <c r="AX387" s="36">
        <f>IF(Dashboard!$D$6="Baseline",'2.4 PV (by Borough)'!AX223,IF(Dashboard!$D$6=INDEX('Scenario names'!$C$3:$C$6,4),'2.4 PV (by Borough)'!AX346,IF(Dashboard!$D$6=INDEX('Scenario names'!$C$3:$C$6,1),'2.4 PV (by Borough)'!AX305,IF(Dashboard!$D$6=INDEX('Scenario names'!$C$3:$C$6,2),'2.4 PV (by Borough)'!AX305,IF(Dashboard!$D$6=INDEX('Scenario names'!$C$3:$C$6,3),'2.4 PV (by Borough)'!AX346,"Error")))))</f>
        <v>14968413.56448197</v>
      </c>
      <c r="AY387" s="36"/>
      <c r="AZ387" s="36"/>
      <c r="BA387" s="36"/>
      <c r="BB387" s="36"/>
    </row>
    <row r="388" spans="4:54">
      <c r="D388" t="s">
        <v>661</v>
      </c>
      <c r="E388" t="s">
        <v>636</v>
      </c>
      <c r="G388" s="44"/>
      <c r="I388" s="44"/>
      <c r="K388" s="44"/>
      <c r="M388" s="44"/>
      <c r="O388" s="36">
        <f>IF(Dashboard!$D$6="Baseline",'2.4 PV (by Borough)'!O224,IF(Dashboard!$D$6=INDEX('Scenario names'!$C$3:$C$6,4),'2.4 PV (by Borough)'!O347,IF(Dashboard!$D$6=INDEX('Scenario names'!$C$3:$C$6,1),'2.4 PV (by Borough)'!O306,IF(Dashboard!$D$6=INDEX('Scenario names'!$C$3:$C$6,2),'2.4 PV (by Borough)'!O306,IF(Dashboard!$D$6=INDEX('Scenario names'!$C$3:$C$6,3),'2.4 PV (by Borough)'!O347,"Error")))))</f>
        <v>477985.43706909806</v>
      </c>
      <c r="P388" s="36">
        <f>IF(Dashboard!$D$6="Baseline",'2.4 PV (by Borough)'!P224,IF(Dashboard!$D$6=INDEX('Scenario names'!$C$3:$C$6,4),'2.4 PV (by Borough)'!P347,IF(Dashboard!$D$6=INDEX('Scenario names'!$C$3:$C$6,1),'2.4 PV (by Borough)'!P306,IF(Dashboard!$D$6=INDEX('Scenario names'!$C$3:$C$6,2),'2.4 PV (by Borough)'!P306,IF(Dashboard!$D$6=INDEX('Scenario names'!$C$3:$C$6,3),'2.4 PV (by Borough)'!P347,"Error")))))</f>
        <v>802773.17722468777</v>
      </c>
      <c r="Q388" s="36">
        <f>IF(Dashboard!$D$6="Baseline",'2.4 PV (by Borough)'!Q224,IF(Dashboard!$D$6=INDEX('Scenario names'!$C$3:$C$6,4),'2.4 PV (by Borough)'!Q347,IF(Dashboard!$D$6=INDEX('Scenario names'!$C$3:$C$6,1),'2.4 PV (by Borough)'!Q306,IF(Dashboard!$D$6=INDEX('Scenario names'!$C$3:$C$6,2),'2.4 PV (by Borough)'!Q306,IF(Dashboard!$D$6=INDEX('Scenario names'!$C$3:$C$6,3),'2.4 PV (by Borough)'!Q347,"Error")))))</f>
        <v>1127560.9173802778</v>
      </c>
      <c r="R388" s="36">
        <f>IF(Dashboard!$D$6="Baseline",'2.4 PV (by Borough)'!R224,IF(Dashboard!$D$6=INDEX('Scenario names'!$C$3:$C$6,4),'2.4 PV (by Borough)'!R347,IF(Dashboard!$D$6=INDEX('Scenario names'!$C$3:$C$6,1),'2.4 PV (by Borough)'!R306,IF(Dashboard!$D$6=INDEX('Scenario names'!$C$3:$C$6,2),'2.4 PV (by Borough)'!R306,IF(Dashboard!$D$6=INDEX('Scenario names'!$C$3:$C$6,3),'2.4 PV (by Borough)'!R347,"Error")))))</f>
        <v>1452348.6575358678</v>
      </c>
      <c r="S388" s="36">
        <f>IF(Dashboard!$D$6="Baseline",'2.4 PV (by Borough)'!S224,IF(Dashboard!$D$6=INDEX('Scenario names'!$C$3:$C$6,4),'2.4 PV (by Borough)'!S347,IF(Dashboard!$D$6=INDEX('Scenario names'!$C$3:$C$6,1),'2.4 PV (by Borough)'!S306,IF(Dashboard!$D$6=INDEX('Scenario names'!$C$3:$C$6,2),'2.4 PV (by Borough)'!S306,IF(Dashboard!$D$6=INDEX('Scenario names'!$C$3:$C$6,3),'2.4 PV (by Borough)'!S347,"Error")))))</f>
        <v>1777136.3976914571</v>
      </c>
      <c r="T388" s="36">
        <f>IF(Dashboard!$D$6="Baseline",'2.4 PV (by Borough)'!T224,IF(Dashboard!$D$6=INDEX('Scenario names'!$C$3:$C$6,4),'2.4 PV (by Borough)'!T347,IF(Dashboard!$D$6=INDEX('Scenario names'!$C$3:$C$6,1),'2.4 PV (by Borough)'!T306,IF(Dashboard!$D$6=INDEX('Scenario names'!$C$3:$C$6,2),'2.4 PV (by Borough)'!T306,IF(Dashboard!$D$6=INDEX('Scenario names'!$C$3:$C$6,3),'2.4 PV (by Borough)'!T347,"Error")))))</f>
        <v>2101924.1378470473</v>
      </c>
      <c r="U388" s="36">
        <f>IF(Dashboard!$D$6="Baseline",'2.4 PV (by Borough)'!U224,IF(Dashboard!$D$6=INDEX('Scenario names'!$C$3:$C$6,4),'2.4 PV (by Borough)'!U347,IF(Dashboard!$D$6=INDEX('Scenario names'!$C$3:$C$6,1),'2.4 PV (by Borough)'!U306,IF(Dashboard!$D$6=INDEX('Scenario names'!$C$3:$C$6,2),'2.4 PV (by Borough)'!U306,IF(Dashboard!$D$6=INDEX('Scenario names'!$C$3:$C$6,3),'2.4 PV (by Borough)'!U347,"Error")))))</f>
        <v>2426711.8780026371</v>
      </c>
      <c r="V388" s="36">
        <f>IF(Dashboard!$D$6="Baseline",'2.4 PV (by Borough)'!V224,IF(Dashboard!$D$6=INDEX('Scenario names'!$C$3:$C$6,4),'2.4 PV (by Borough)'!V347,IF(Dashboard!$D$6=INDEX('Scenario names'!$C$3:$C$6,1),'2.4 PV (by Borough)'!V306,IF(Dashboard!$D$6=INDEX('Scenario names'!$C$3:$C$6,2),'2.4 PV (by Borough)'!V306,IF(Dashboard!$D$6=INDEX('Scenario names'!$C$3:$C$6,3),'2.4 PV (by Borough)'!V347,"Error")))))</f>
        <v>2751499.6181582278</v>
      </c>
      <c r="W388" s="36">
        <f>IF(Dashboard!$D$6="Baseline",'2.4 PV (by Borough)'!W224,IF(Dashboard!$D$6=INDEX('Scenario names'!$C$3:$C$6,4),'2.4 PV (by Borough)'!W347,IF(Dashboard!$D$6=INDEX('Scenario names'!$C$3:$C$6,1),'2.4 PV (by Borough)'!W306,IF(Dashboard!$D$6=INDEX('Scenario names'!$C$3:$C$6,2),'2.4 PV (by Borough)'!W306,IF(Dashboard!$D$6=INDEX('Scenario names'!$C$3:$C$6,3),'2.4 PV (by Borough)'!W347,"Error")))))</f>
        <v>3076287.3583138166</v>
      </c>
      <c r="X388" s="36">
        <f>IF(Dashboard!$D$6="Baseline",'2.4 PV (by Borough)'!X224,IF(Dashboard!$D$6=INDEX('Scenario names'!$C$3:$C$6,4),'2.4 PV (by Borough)'!X347,IF(Dashboard!$D$6=INDEX('Scenario names'!$C$3:$C$6,1),'2.4 PV (by Borough)'!X306,IF(Dashboard!$D$6=INDEX('Scenario names'!$C$3:$C$6,2),'2.4 PV (by Borough)'!X306,IF(Dashboard!$D$6=INDEX('Scenario names'!$C$3:$C$6,3),'2.4 PV (by Borough)'!X347,"Error")))))</f>
        <v>3401075.0984694064</v>
      </c>
      <c r="Y388" s="36">
        <f>IF(Dashboard!$D$6="Baseline",'2.4 PV (by Borough)'!Y224,IF(Dashboard!$D$6=INDEX('Scenario names'!$C$3:$C$6,4),'2.4 PV (by Borough)'!Y347,IF(Dashboard!$D$6=INDEX('Scenario names'!$C$3:$C$6,1),'2.4 PV (by Borough)'!Y306,IF(Dashboard!$D$6=INDEX('Scenario names'!$C$3:$C$6,2),'2.4 PV (by Borough)'!Y306,IF(Dashboard!$D$6=INDEX('Scenario names'!$C$3:$C$6,3),'2.4 PV (by Borough)'!Y347,"Error")))))</f>
        <v>3725862.8386249966</v>
      </c>
      <c r="Z388" s="36">
        <f>IF(Dashboard!$D$6="Baseline",'2.4 PV (by Borough)'!Z224,IF(Dashboard!$D$6=INDEX('Scenario names'!$C$3:$C$6,4),'2.4 PV (by Borough)'!Z347,IF(Dashboard!$D$6=INDEX('Scenario names'!$C$3:$C$6,1),'2.4 PV (by Borough)'!Z306,IF(Dashboard!$D$6=INDEX('Scenario names'!$C$3:$C$6,2),'2.4 PV (by Borough)'!Z306,IF(Dashboard!$D$6=INDEX('Scenario names'!$C$3:$C$6,3),'2.4 PV (by Borough)'!Z347,"Error")))))</f>
        <v>4177821.8100825059</v>
      </c>
      <c r="AA388" s="36">
        <f>IF(Dashboard!$D$6="Baseline",'2.4 PV (by Borough)'!AA224,IF(Dashboard!$D$6=INDEX('Scenario names'!$C$3:$C$6,4),'2.4 PV (by Borough)'!AA347,IF(Dashboard!$D$6=INDEX('Scenario names'!$C$3:$C$6,1),'2.4 PV (by Borough)'!AA306,IF(Dashboard!$D$6=INDEX('Scenario names'!$C$3:$C$6,2),'2.4 PV (by Borough)'!AA306,IF(Dashboard!$D$6=INDEX('Scenario names'!$C$3:$C$6,3),'2.4 PV (by Borough)'!AA347,"Error")))))</f>
        <v>4629780.7815400148</v>
      </c>
      <c r="AB388" s="36">
        <f>IF(Dashboard!$D$6="Baseline",'2.4 PV (by Borough)'!AB224,IF(Dashboard!$D$6=INDEX('Scenario names'!$C$3:$C$6,4),'2.4 PV (by Borough)'!AB347,IF(Dashboard!$D$6=INDEX('Scenario names'!$C$3:$C$6,1),'2.4 PV (by Borough)'!AB306,IF(Dashboard!$D$6=INDEX('Scenario names'!$C$3:$C$6,2),'2.4 PV (by Borough)'!AB306,IF(Dashboard!$D$6=INDEX('Scenario names'!$C$3:$C$6,3),'2.4 PV (by Borough)'!AB347,"Error")))))</f>
        <v>5081739.752997525</v>
      </c>
      <c r="AC388" s="36">
        <f>IF(Dashboard!$D$6="Baseline",'2.4 PV (by Borough)'!AC224,IF(Dashboard!$D$6=INDEX('Scenario names'!$C$3:$C$6,4),'2.4 PV (by Borough)'!AC347,IF(Dashboard!$D$6=INDEX('Scenario names'!$C$3:$C$6,1),'2.4 PV (by Borough)'!AC306,IF(Dashboard!$D$6=INDEX('Scenario names'!$C$3:$C$6,2),'2.4 PV (by Borough)'!AC306,IF(Dashboard!$D$6=INDEX('Scenario names'!$C$3:$C$6,3),'2.4 PV (by Borough)'!AC347,"Error")))))</f>
        <v>5533698.7244550362</v>
      </c>
      <c r="AD388" s="36">
        <f>IF(Dashboard!$D$6="Baseline",'2.4 PV (by Borough)'!AD224,IF(Dashboard!$D$6=INDEX('Scenario names'!$C$3:$C$6,4),'2.4 PV (by Borough)'!AD347,IF(Dashboard!$D$6=INDEX('Scenario names'!$C$3:$C$6,1),'2.4 PV (by Borough)'!AD306,IF(Dashboard!$D$6=INDEX('Scenario names'!$C$3:$C$6,2),'2.4 PV (by Borough)'!AD306,IF(Dashboard!$D$6=INDEX('Scenario names'!$C$3:$C$6,3),'2.4 PV (by Borough)'!AD347,"Error")))))</f>
        <v>5985657.6959125446</v>
      </c>
      <c r="AE388" s="36">
        <f>IF(Dashboard!$D$6="Baseline",'2.4 PV (by Borough)'!AE224,IF(Dashboard!$D$6=INDEX('Scenario names'!$C$3:$C$6,4),'2.4 PV (by Borough)'!AE347,IF(Dashboard!$D$6=INDEX('Scenario names'!$C$3:$C$6,1),'2.4 PV (by Borough)'!AE306,IF(Dashboard!$D$6=INDEX('Scenario names'!$C$3:$C$6,2),'2.4 PV (by Borough)'!AE306,IF(Dashboard!$D$6=INDEX('Scenario names'!$C$3:$C$6,3),'2.4 PV (by Borough)'!AE347,"Error")))))</f>
        <v>6437616.6673700539</v>
      </c>
      <c r="AF388" s="36">
        <f>IF(Dashboard!$D$6="Baseline",'2.4 PV (by Borough)'!AF224,IF(Dashboard!$D$6=INDEX('Scenario names'!$C$3:$C$6,4),'2.4 PV (by Borough)'!AF347,IF(Dashboard!$D$6=INDEX('Scenario names'!$C$3:$C$6,1),'2.4 PV (by Borough)'!AF306,IF(Dashboard!$D$6=INDEX('Scenario names'!$C$3:$C$6,2),'2.4 PV (by Borough)'!AF306,IF(Dashboard!$D$6=INDEX('Scenario names'!$C$3:$C$6,3),'2.4 PV (by Borough)'!AF347,"Error")))))</f>
        <v>6889575.6388275623</v>
      </c>
      <c r="AG388" s="36">
        <f>IF(Dashboard!$D$6="Baseline",'2.4 PV (by Borough)'!AG224,IF(Dashboard!$D$6=INDEX('Scenario names'!$C$3:$C$6,4),'2.4 PV (by Borough)'!AG347,IF(Dashboard!$D$6=INDEX('Scenario names'!$C$3:$C$6,1),'2.4 PV (by Borough)'!AG306,IF(Dashboard!$D$6=INDEX('Scenario names'!$C$3:$C$6,2),'2.4 PV (by Borough)'!AG306,IF(Dashboard!$D$6=INDEX('Scenario names'!$C$3:$C$6,3),'2.4 PV (by Borough)'!AG347,"Error")))))</f>
        <v>7341534.6102850717</v>
      </c>
      <c r="AH388" s="36">
        <f>IF(Dashboard!$D$6="Baseline",'2.4 PV (by Borough)'!AH224,IF(Dashboard!$D$6=INDEX('Scenario names'!$C$3:$C$6,4),'2.4 PV (by Borough)'!AH347,IF(Dashboard!$D$6=INDEX('Scenario names'!$C$3:$C$6,1),'2.4 PV (by Borough)'!AH306,IF(Dashboard!$D$6=INDEX('Scenario names'!$C$3:$C$6,2),'2.4 PV (by Borough)'!AH306,IF(Dashboard!$D$6=INDEX('Scenario names'!$C$3:$C$6,3),'2.4 PV (by Borough)'!AH347,"Error")))))</f>
        <v>7793493.5817425828</v>
      </c>
      <c r="AI388" s="36">
        <f>IF(Dashboard!$D$6="Baseline",'2.4 PV (by Borough)'!AI224,IF(Dashboard!$D$6=INDEX('Scenario names'!$C$3:$C$6,4),'2.4 PV (by Borough)'!AI347,IF(Dashboard!$D$6=INDEX('Scenario names'!$C$3:$C$6,1),'2.4 PV (by Borough)'!AI306,IF(Dashboard!$D$6=INDEX('Scenario names'!$C$3:$C$6,2),'2.4 PV (by Borough)'!AI306,IF(Dashboard!$D$6=INDEX('Scenario names'!$C$3:$C$6,3),'2.4 PV (by Borough)'!AI347,"Error")))))</f>
        <v>8245452.553200094</v>
      </c>
      <c r="AJ388" s="36">
        <f>IF(Dashboard!$D$6="Baseline",'2.4 PV (by Borough)'!AJ224,IF(Dashboard!$D$6=INDEX('Scenario names'!$C$3:$C$6,4),'2.4 PV (by Borough)'!AJ347,IF(Dashboard!$D$6=INDEX('Scenario names'!$C$3:$C$6,1),'2.4 PV (by Borough)'!AJ306,IF(Dashboard!$D$6=INDEX('Scenario names'!$C$3:$C$6,2),'2.4 PV (by Borough)'!AJ306,IF(Dashboard!$D$6=INDEX('Scenario names'!$C$3:$C$6,3),'2.4 PV (by Borough)'!AJ347,"Error")))))</f>
        <v>8697411.5246576015</v>
      </c>
      <c r="AK388" s="36">
        <f>IF(Dashboard!$D$6="Baseline",'2.4 PV (by Borough)'!AK224,IF(Dashboard!$D$6=INDEX('Scenario names'!$C$3:$C$6,4),'2.4 PV (by Borough)'!AK347,IF(Dashboard!$D$6=INDEX('Scenario names'!$C$3:$C$6,1),'2.4 PV (by Borough)'!AK306,IF(Dashboard!$D$6=INDEX('Scenario names'!$C$3:$C$6,2),'2.4 PV (by Borough)'!AK306,IF(Dashboard!$D$6=INDEX('Scenario names'!$C$3:$C$6,3),'2.4 PV (by Borough)'!AK347,"Error")))))</f>
        <v>9149370.4961151145</v>
      </c>
      <c r="AL388" s="36">
        <f>IF(Dashboard!$D$6="Baseline",'2.4 PV (by Borough)'!AL224,IF(Dashboard!$D$6=INDEX('Scenario names'!$C$3:$C$6,4),'2.4 PV (by Borough)'!AL347,IF(Dashboard!$D$6=INDEX('Scenario names'!$C$3:$C$6,1),'2.4 PV (by Borough)'!AL306,IF(Dashboard!$D$6=INDEX('Scenario names'!$C$3:$C$6,2),'2.4 PV (by Borough)'!AL306,IF(Dashboard!$D$6=INDEX('Scenario names'!$C$3:$C$6,3),'2.4 PV (by Borough)'!AL347,"Error")))))</f>
        <v>9601329.467572622</v>
      </c>
      <c r="AM388" s="36">
        <f>IF(Dashboard!$D$6="Baseline",'2.4 PV (by Borough)'!AM224,IF(Dashboard!$D$6=INDEX('Scenario names'!$C$3:$C$6,4),'2.4 PV (by Borough)'!AM347,IF(Dashboard!$D$6=INDEX('Scenario names'!$C$3:$C$6,1),'2.4 PV (by Borough)'!AM306,IF(Dashboard!$D$6=INDEX('Scenario names'!$C$3:$C$6,2),'2.4 PV (by Borough)'!AM306,IF(Dashboard!$D$6=INDEX('Scenario names'!$C$3:$C$6,3),'2.4 PV (by Borough)'!AM347,"Error")))))</f>
        <v>10053288.439030129</v>
      </c>
      <c r="AN388" s="36">
        <f>IF(Dashboard!$D$6="Baseline",'2.4 PV (by Borough)'!AN224,IF(Dashboard!$D$6=INDEX('Scenario names'!$C$3:$C$6,4),'2.4 PV (by Borough)'!AN347,IF(Dashboard!$D$6=INDEX('Scenario names'!$C$3:$C$6,1),'2.4 PV (by Borough)'!AN306,IF(Dashboard!$D$6=INDEX('Scenario names'!$C$3:$C$6,2),'2.4 PV (by Borough)'!AN306,IF(Dashboard!$D$6=INDEX('Scenario names'!$C$3:$C$6,3),'2.4 PV (by Borough)'!AN347,"Error")))))</f>
        <v>10505247.410487643</v>
      </c>
      <c r="AO388" s="36">
        <f>IF(Dashboard!$D$6="Baseline",'2.4 PV (by Borough)'!AO224,IF(Dashboard!$D$6=INDEX('Scenario names'!$C$3:$C$6,4),'2.4 PV (by Borough)'!AO347,IF(Dashboard!$D$6=INDEX('Scenario names'!$C$3:$C$6,1),'2.4 PV (by Borough)'!AO306,IF(Dashboard!$D$6=INDEX('Scenario names'!$C$3:$C$6,2),'2.4 PV (by Borough)'!AO306,IF(Dashboard!$D$6=INDEX('Scenario names'!$C$3:$C$6,3),'2.4 PV (by Borough)'!AO347,"Error")))))</f>
        <v>10957206.381945154</v>
      </c>
      <c r="AP388" s="36">
        <f>IF(Dashboard!$D$6="Baseline",'2.4 PV (by Borough)'!AP224,IF(Dashboard!$D$6=INDEX('Scenario names'!$C$3:$C$6,4),'2.4 PV (by Borough)'!AP347,IF(Dashboard!$D$6=INDEX('Scenario names'!$C$3:$C$6,1),'2.4 PV (by Borough)'!AP306,IF(Dashboard!$D$6=INDEX('Scenario names'!$C$3:$C$6,2),'2.4 PV (by Borough)'!AP306,IF(Dashboard!$D$6=INDEX('Scenario names'!$C$3:$C$6,3),'2.4 PV (by Borough)'!AP347,"Error")))))</f>
        <v>11409165.353402663</v>
      </c>
      <c r="AQ388" s="36">
        <f>IF(Dashboard!$D$6="Baseline",'2.4 PV (by Borough)'!AQ224,IF(Dashboard!$D$6=INDEX('Scenario names'!$C$3:$C$6,4),'2.4 PV (by Borough)'!AQ347,IF(Dashboard!$D$6=INDEX('Scenario names'!$C$3:$C$6,1),'2.4 PV (by Borough)'!AQ306,IF(Dashboard!$D$6=INDEX('Scenario names'!$C$3:$C$6,2),'2.4 PV (by Borough)'!AQ306,IF(Dashboard!$D$6=INDEX('Scenario names'!$C$3:$C$6,3),'2.4 PV (by Borough)'!AQ347,"Error")))))</f>
        <v>11861124.324860169</v>
      </c>
      <c r="AR388" s="36">
        <f>IF(Dashboard!$D$6="Baseline",'2.4 PV (by Borough)'!AR224,IF(Dashboard!$D$6=INDEX('Scenario names'!$C$3:$C$6,4),'2.4 PV (by Borough)'!AR347,IF(Dashboard!$D$6=INDEX('Scenario names'!$C$3:$C$6,1),'2.4 PV (by Borough)'!AR306,IF(Dashboard!$D$6=INDEX('Scenario names'!$C$3:$C$6,2),'2.4 PV (by Borough)'!AR306,IF(Dashboard!$D$6=INDEX('Scenario names'!$C$3:$C$6,3),'2.4 PV (by Borough)'!AR347,"Error")))))</f>
        <v>12313083.29631768</v>
      </c>
      <c r="AS388" s="36">
        <f>IF(Dashboard!$D$6="Baseline",'2.4 PV (by Borough)'!AS224,IF(Dashboard!$D$6=INDEX('Scenario names'!$C$3:$C$6,4),'2.4 PV (by Borough)'!AS347,IF(Dashboard!$D$6=INDEX('Scenario names'!$C$3:$C$6,1),'2.4 PV (by Borough)'!AS306,IF(Dashboard!$D$6=INDEX('Scenario names'!$C$3:$C$6,2),'2.4 PV (by Borough)'!AS306,IF(Dashboard!$D$6=INDEX('Scenario names'!$C$3:$C$6,3),'2.4 PV (by Borough)'!AS347,"Error")))))</f>
        <v>12765042.267775193</v>
      </c>
      <c r="AT388" s="36">
        <f>IF(Dashboard!$D$6="Baseline",'2.4 PV (by Borough)'!AT224,IF(Dashboard!$D$6=INDEX('Scenario names'!$C$3:$C$6,4),'2.4 PV (by Borough)'!AT347,IF(Dashboard!$D$6=INDEX('Scenario names'!$C$3:$C$6,1),'2.4 PV (by Borough)'!AT306,IF(Dashboard!$D$6=INDEX('Scenario names'!$C$3:$C$6,2),'2.4 PV (by Borough)'!AT306,IF(Dashboard!$D$6=INDEX('Scenario names'!$C$3:$C$6,3),'2.4 PV (by Borough)'!AT347,"Error")))))</f>
        <v>13217001.239232697</v>
      </c>
      <c r="AU388" s="36">
        <f>IF(Dashboard!$D$6="Baseline",'2.4 PV (by Borough)'!AU224,IF(Dashboard!$D$6=INDEX('Scenario names'!$C$3:$C$6,4),'2.4 PV (by Borough)'!AU347,IF(Dashboard!$D$6=INDEX('Scenario names'!$C$3:$C$6,1),'2.4 PV (by Borough)'!AU306,IF(Dashboard!$D$6=INDEX('Scenario names'!$C$3:$C$6,2),'2.4 PV (by Borough)'!AU306,IF(Dashboard!$D$6=INDEX('Scenario names'!$C$3:$C$6,3),'2.4 PV (by Borough)'!AU347,"Error")))))</f>
        <v>13668960.210690212</v>
      </c>
      <c r="AV388" s="36">
        <f>IF(Dashboard!$D$6="Baseline",'2.4 PV (by Borough)'!AV224,IF(Dashboard!$D$6=INDEX('Scenario names'!$C$3:$C$6,4),'2.4 PV (by Borough)'!AV347,IF(Dashboard!$D$6=INDEX('Scenario names'!$C$3:$C$6,1),'2.4 PV (by Borough)'!AV306,IF(Dashboard!$D$6=INDEX('Scenario names'!$C$3:$C$6,2),'2.4 PV (by Borough)'!AV306,IF(Dashboard!$D$6=INDEX('Scenario names'!$C$3:$C$6,3),'2.4 PV (by Borough)'!AV347,"Error")))))</f>
        <v>14120919.182147719</v>
      </c>
      <c r="AW388" s="36">
        <f>IF(Dashboard!$D$6="Baseline",'2.4 PV (by Borough)'!AW224,IF(Dashboard!$D$6=INDEX('Scenario names'!$C$3:$C$6,4),'2.4 PV (by Borough)'!AW347,IF(Dashboard!$D$6=INDEX('Scenario names'!$C$3:$C$6,1),'2.4 PV (by Borough)'!AW306,IF(Dashboard!$D$6=INDEX('Scenario names'!$C$3:$C$6,2),'2.4 PV (by Borough)'!AW306,IF(Dashboard!$D$6=INDEX('Scenario names'!$C$3:$C$6,3),'2.4 PV (by Borough)'!AW347,"Error")))))</f>
        <v>14572878.153605225</v>
      </c>
      <c r="AX388" s="36">
        <f>IF(Dashboard!$D$6="Baseline",'2.4 PV (by Borough)'!AX224,IF(Dashboard!$D$6=INDEX('Scenario names'!$C$3:$C$6,4),'2.4 PV (by Borough)'!AX347,IF(Dashboard!$D$6=INDEX('Scenario names'!$C$3:$C$6,1),'2.4 PV (by Borough)'!AX306,IF(Dashboard!$D$6=INDEX('Scenario names'!$C$3:$C$6,2),'2.4 PV (by Borough)'!AX306,IF(Dashboard!$D$6=INDEX('Scenario names'!$C$3:$C$6,3),'2.4 PV (by Borough)'!AX347,"Error")))))</f>
        <v>15024837.125062741</v>
      </c>
      <c r="AY388" s="36"/>
      <c r="AZ388" s="36"/>
      <c r="BA388" s="36"/>
      <c r="BB388" s="36"/>
    </row>
    <row r="389" spans="4:54">
      <c r="D389" t="s">
        <v>660</v>
      </c>
      <c r="E389" t="s">
        <v>637</v>
      </c>
      <c r="G389" s="44"/>
      <c r="I389" s="44"/>
      <c r="K389" s="44"/>
      <c r="M389" s="44"/>
      <c r="O389" s="36">
        <f>IF(Dashboard!$D$6="Baseline",'2.4 PV (by Borough)'!O225,IF(Dashboard!$D$6=INDEX('Scenario names'!$C$3:$C$6,4),'2.4 PV (by Borough)'!O348,IF(Dashboard!$D$6=INDEX('Scenario names'!$C$3:$C$6,1),'2.4 PV (by Borough)'!O307,IF(Dashboard!$D$6=INDEX('Scenario names'!$C$3:$C$6,2),'2.4 PV (by Borough)'!O307,IF(Dashboard!$D$6=INDEX('Scenario names'!$C$3:$C$6,3),'2.4 PV (by Borough)'!O348,"Error")))))</f>
        <v>303784.03620795859</v>
      </c>
      <c r="P389" s="36">
        <f>IF(Dashboard!$D$6="Baseline",'2.4 PV (by Borough)'!P225,IF(Dashboard!$D$6=INDEX('Scenario names'!$C$3:$C$6,4),'2.4 PV (by Borough)'!P348,IF(Dashboard!$D$6=INDEX('Scenario names'!$C$3:$C$6,1),'2.4 PV (by Borough)'!P307,IF(Dashboard!$D$6=INDEX('Scenario names'!$C$3:$C$6,2),'2.4 PV (by Borough)'!P307,IF(Dashboard!$D$6=INDEX('Scenario names'!$C$3:$C$6,3),'2.4 PV (by Borough)'!P348,"Error")))))</f>
        <v>527732.50809983502</v>
      </c>
      <c r="Q389" s="36">
        <f>IF(Dashboard!$D$6="Baseline",'2.4 PV (by Borough)'!Q225,IF(Dashboard!$D$6=INDEX('Scenario names'!$C$3:$C$6,4),'2.4 PV (by Borough)'!Q348,IF(Dashboard!$D$6=INDEX('Scenario names'!$C$3:$C$6,1),'2.4 PV (by Borough)'!Q307,IF(Dashboard!$D$6=INDEX('Scenario names'!$C$3:$C$6,2),'2.4 PV (by Borough)'!Q307,IF(Dashboard!$D$6=INDEX('Scenario names'!$C$3:$C$6,3),'2.4 PV (by Borough)'!Q348,"Error")))))</f>
        <v>751680.97999171156</v>
      </c>
      <c r="R389" s="36">
        <f>IF(Dashboard!$D$6="Baseline",'2.4 PV (by Borough)'!R225,IF(Dashboard!$D$6=INDEX('Scenario names'!$C$3:$C$6,4),'2.4 PV (by Borough)'!R348,IF(Dashboard!$D$6=INDEX('Scenario names'!$C$3:$C$6,1),'2.4 PV (by Borough)'!R307,IF(Dashboard!$D$6=INDEX('Scenario names'!$C$3:$C$6,2),'2.4 PV (by Borough)'!R307,IF(Dashboard!$D$6=INDEX('Scenario names'!$C$3:$C$6,3),'2.4 PV (by Borough)'!R348,"Error")))))</f>
        <v>975629.45188358799</v>
      </c>
      <c r="S389" s="36">
        <f>IF(Dashboard!$D$6="Baseline",'2.4 PV (by Borough)'!S225,IF(Dashboard!$D$6=INDEX('Scenario names'!$C$3:$C$6,4),'2.4 PV (by Borough)'!S348,IF(Dashboard!$D$6=INDEX('Scenario names'!$C$3:$C$6,1),'2.4 PV (by Borough)'!S307,IF(Dashboard!$D$6=INDEX('Scenario names'!$C$3:$C$6,2),'2.4 PV (by Borough)'!S307,IF(Dashboard!$D$6=INDEX('Scenario names'!$C$3:$C$6,3),'2.4 PV (by Borough)'!S348,"Error")))))</f>
        <v>1199577.9237754641</v>
      </c>
      <c r="T389" s="36">
        <f>IF(Dashboard!$D$6="Baseline",'2.4 PV (by Borough)'!T225,IF(Dashboard!$D$6=INDEX('Scenario names'!$C$3:$C$6,4),'2.4 PV (by Borough)'!T348,IF(Dashboard!$D$6=INDEX('Scenario names'!$C$3:$C$6,1),'2.4 PV (by Borough)'!T307,IF(Dashboard!$D$6=INDEX('Scenario names'!$C$3:$C$6,2),'2.4 PV (by Borough)'!T307,IF(Dashboard!$D$6=INDEX('Scenario names'!$C$3:$C$6,3),'2.4 PV (by Borough)'!T348,"Error")))))</f>
        <v>1423526.3956673408</v>
      </c>
      <c r="U389" s="36">
        <f>IF(Dashboard!$D$6="Baseline",'2.4 PV (by Borough)'!U225,IF(Dashboard!$D$6=INDEX('Scenario names'!$C$3:$C$6,4),'2.4 PV (by Borough)'!U348,IF(Dashboard!$D$6=INDEX('Scenario names'!$C$3:$C$6,1),'2.4 PV (by Borough)'!U307,IF(Dashboard!$D$6=INDEX('Scenario names'!$C$3:$C$6,2),'2.4 PV (by Borough)'!U307,IF(Dashboard!$D$6=INDEX('Scenario names'!$C$3:$C$6,3),'2.4 PV (by Borough)'!U348,"Error")))))</f>
        <v>1647474.8675592169</v>
      </c>
      <c r="V389" s="36">
        <f>IF(Dashboard!$D$6="Baseline",'2.4 PV (by Borough)'!V225,IF(Dashboard!$D$6=INDEX('Scenario names'!$C$3:$C$6,4),'2.4 PV (by Borough)'!V348,IF(Dashboard!$D$6=INDEX('Scenario names'!$C$3:$C$6,1),'2.4 PV (by Borough)'!V307,IF(Dashboard!$D$6=INDEX('Scenario names'!$C$3:$C$6,2),'2.4 PV (by Borough)'!V307,IF(Dashboard!$D$6=INDEX('Scenario names'!$C$3:$C$6,3),'2.4 PV (by Borough)'!V348,"Error")))))</f>
        <v>1871423.3394510935</v>
      </c>
      <c r="W389" s="36">
        <f>IF(Dashboard!$D$6="Baseline",'2.4 PV (by Borough)'!W225,IF(Dashboard!$D$6=INDEX('Scenario names'!$C$3:$C$6,4),'2.4 PV (by Borough)'!W348,IF(Dashboard!$D$6=INDEX('Scenario names'!$C$3:$C$6,1),'2.4 PV (by Borough)'!W307,IF(Dashboard!$D$6=INDEX('Scenario names'!$C$3:$C$6,2),'2.4 PV (by Borough)'!W307,IF(Dashboard!$D$6=INDEX('Scenario names'!$C$3:$C$6,3),'2.4 PV (by Borough)'!W348,"Error")))))</f>
        <v>2095371.8113429695</v>
      </c>
      <c r="X389" s="36">
        <f>IF(Dashboard!$D$6="Baseline",'2.4 PV (by Borough)'!X225,IF(Dashboard!$D$6=INDEX('Scenario names'!$C$3:$C$6,4),'2.4 PV (by Borough)'!X348,IF(Dashboard!$D$6=INDEX('Scenario names'!$C$3:$C$6,1),'2.4 PV (by Borough)'!X307,IF(Dashboard!$D$6=INDEX('Scenario names'!$C$3:$C$6,2),'2.4 PV (by Borough)'!X307,IF(Dashboard!$D$6=INDEX('Scenario names'!$C$3:$C$6,3),'2.4 PV (by Borough)'!X348,"Error")))))</f>
        <v>2319320.2832348463</v>
      </c>
      <c r="Y389" s="36">
        <f>IF(Dashboard!$D$6="Baseline",'2.4 PV (by Borough)'!Y225,IF(Dashboard!$D$6=INDEX('Scenario names'!$C$3:$C$6,4),'2.4 PV (by Borough)'!Y348,IF(Dashboard!$D$6=INDEX('Scenario names'!$C$3:$C$6,1),'2.4 PV (by Borough)'!Y307,IF(Dashboard!$D$6=INDEX('Scenario names'!$C$3:$C$6,2),'2.4 PV (by Borough)'!Y307,IF(Dashboard!$D$6=INDEX('Scenario names'!$C$3:$C$6,3),'2.4 PV (by Borough)'!Y348,"Error")))))</f>
        <v>2543268.7551267231</v>
      </c>
      <c r="Z389" s="36">
        <f>IF(Dashboard!$D$6="Baseline",'2.4 PV (by Borough)'!Z225,IF(Dashboard!$D$6=INDEX('Scenario names'!$C$3:$C$6,4),'2.4 PV (by Borough)'!Z348,IF(Dashboard!$D$6=INDEX('Scenario names'!$C$3:$C$6,1),'2.4 PV (by Borough)'!Z307,IF(Dashboard!$D$6=INDEX('Scenario names'!$C$3:$C$6,2),'2.4 PV (by Borough)'!Z307,IF(Dashboard!$D$6=INDEX('Scenario names'!$C$3:$C$6,3),'2.4 PV (by Borough)'!Z348,"Error")))))</f>
        <v>2602103.3763162242</v>
      </c>
      <c r="AA389" s="36">
        <f>IF(Dashboard!$D$6="Baseline",'2.4 PV (by Borough)'!AA225,IF(Dashboard!$D$6=INDEX('Scenario names'!$C$3:$C$6,4),'2.4 PV (by Borough)'!AA348,IF(Dashboard!$D$6=INDEX('Scenario names'!$C$3:$C$6,1),'2.4 PV (by Borough)'!AA307,IF(Dashboard!$D$6=INDEX('Scenario names'!$C$3:$C$6,2),'2.4 PV (by Borough)'!AA307,IF(Dashboard!$D$6=INDEX('Scenario names'!$C$3:$C$6,3),'2.4 PV (by Borough)'!AA348,"Error")))))</f>
        <v>2660937.9975057249</v>
      </c>
      <c r="AB389" s="36">
        <f>IF(Dashboard!$D$6="Baseline",'2.4 PV (by Borough)'!AB225,IF(Dashboard!$D$6=INDEX('Scenario names'!$C$3:$C$6,4),'2.4 PV (by Borough)'!AB348,IF(Dashboard!$D$6=INDEX('Scenario names'!$C$3:$C$6,1),'2.4 PV (by Borough)'!AB307,IF(Dashboard!$D$6=INDEX('Scenario names'!$C$3:$C$6,2),'2.4 PV (by Borough)'!AB307,IF(Dashboard!$D$6=INDEX('Scenario names'!$C$3:$C$6,3),'2.4 PV (by Borough)'!AB348,"Error")))))</f>
        <v>2719772.618695226</v>
      </c>
      <c r="AC389" s="36">
        <f>IF(Dashboard!$D$6="Baseline",'2.4 PV (by Borough)'!AC225,IF(Dashboard!$D$6=INDEX('Scenario names'!$C$3:$C$6,4),'2.4 PV (by Borough)'!AC348,IF(Dashboard!$D$6=INDEX('Scenario names'!$C$3:$C$6,1),'2.4 PV (by Borough)'!AC307,IF(Dashboard!$D$6=INDEX('Scenario names'!$C$3:$C$6,2),'2.4 PV (by Borough)'!AC307,IF(Dashboard!$D$6=INDEX('Scenario names'!$C$3:$C$6,3),'2.4 PV (by Borough)'!AC348,"Error")))))</f>
        <v>2778607.2398847272</v>
      </c>
      <c r="AD389" s="36">
        <f>IF(Dashboard!$D$6="Baseline",'2.4 PV (by Borough)'!AD225,IF(Dashboard!$D$6=INDEX('Scenario names'!$C$3:$C$6,4),'2.4 PV (by Borough)'!AD348,IF(Dashboard!$D$6=INDEX('Scenario names'!$C$3:$C$6,1),'2.4 PV (by Borough)'!AD307,IF(Dashboard!$D$6=INDEX('Scenario names'!$C$3:$C$6,2),'2.4 PV (by Borough)'!AD307,IF(Dashboard!$D$6=INDEX('Scenario names'!$C$3:$C$6,3),'2.4 PV (by Borough)'!AD348,"Error")))))</f>
        <v>2837441.8610742288</v>
      </c>
      <c r="AE389" s="36">
        <f>IF(Dashboard!$D$6="Baseline",'2.4 PV (by Borough)'!AE225,IF(Dashboard!$D$6=INDEX('Scenario names'!$C$3:$C$6,4),'2.4 PV (by Borough)'!AE348,IF(Dashboard!$D$6=INDEX('Scenario names'!$C$3:$C$6,1),'2.4 PV (by Borough)'!AE307,IF(Dashboard!$D$6=INDEX('Scenario names'!$C$3:$C$6,2),'2.4 PV (by Borough)'!AE307,IF(Dashboard!$D$6=INDEX('Scenario names'!$C$3:$C$6,3),'2.4 PV (by Borough)'!AE348,"Error")))))</f>
        <v>2896276.4822637294</v>
      </c>
      <c r="AF389" s="36">
        <f>IF(Dashboard!$D$6="Baseline",'2.4 PV (by Borough)'!AF225,IF(Dashboard!$D$6=INDEX('Scenario names'!$C$3:$C$6,4),'2.4 PV (by Borough)'!AF348,IF(Dashboard!$D$6=INDEX('Scenario names'!$C$3:$C$6,1),'2.4 PV (by Borough)'!AF307,IF(Dashboard!$D$6=INDEX('Scenario names'!$C$3:$C$6,2),'2.4 PV (by Borough)'!AF307,IF(Dashboard!$D$6=INDEX('Scenario names'!$C$3:$C$6,3),'2.4 PV (by Borough)'!AF348,"Error")))))</f>
        <v>2955111.1034532315</v>
      </c>
      <c r="AG389" s="36">
        <f>IF(Dashboard!$D$6="Baseline",'2.4 PV (by Borough)'!AG225,IF(Dashboard!$D$6=INDEX('Scenario names'!$C$3:$C$6,4),'2.4 PV (by Borough)'!AG348,IF(Dashboard!$D$6=INDEX('Scenario names'!$C$3:$C$6,1),'2.4 PV (by Borough)'!AG307,IF(Dashboard!$D$6=INDEX('Scenario names'!$C$3:$C$6,2),'2.4 PV (by Borough)'!AG307,IF(Dashboard!$D$6=INDEX('Scenario names'!$C$3:$C$6,3),'2.4 PV (by Borough)'!AG348,"Error")))))</f>
        <v>3013945.7246427326</v>
      </c>
      <c r="AH389" s="36">
        <f>IF(Dashboard!$D$6="Baseline",'2.4 PV (by Borough)'!AH225,IF(Dashboard!$D$6=INDEX('Scenario names'!$C$3:$C$6,4),'2.4 PV (by Borough)'!AH348,IF(Dashboard!$D$6=INDEX('Scenario names'!$C$3:$C$6,1),'2.4 PV (by Borough)'!AH307,IF(Dashboard!$D$6=INDEX('Scenario names'!$C$3:$C$6,2),'2.4 PV (by Borough)'!AH307,IF(Dashboard!$D$6=INDEX('Scenario names'!$C$3:$C$6,3),'2.4 PV (by Borough)'!AH348,"Error")))))</f>
        <v>3072780.3458322329</v>
      </c>
      <c r="AI389" s="36">
        <f>IF(Dashboard!$D$6="Baseline",'2.4 PV (by Borough)'!AI225,IF(Dashboard!$D$6=INDEX('Scenario names'!$C$3:$C$6,4),'2.4 PV (by Borough)'!AI348,IF(Dashboard!$D$6=INDEX('Scenario names'!$C$3:$C$6,1),'2.4 PV (by Borough)'!AI307,IF(Dashboard!$D$6=INDEX('Scenario names'!$C$3:$C$6,2),'2.4 PV (by Borough)'!AI307,IF(Dashboard!$D$6=INDEX('Scenario names'!$C$3:$C$6,3),'2.4 PV (by Borough)'!AI348,"Error")))))</f>
        <v>3131614.9670217345</v>
      </c>
      <c r="AJ389" s="36">
        <f>IF(Dashboard!$D$6="Baseline",'2.4 PV (by Borough)'!AJ225,IF(Dashboard!$D$6=INDEX('Scenario names'!$C$3:$C$6,4),'2.4 PV (by Borough)'!AJ348,IF(Dashboard!$D$6=INDEX('Scenario names'!$C$3:$C$6,1),'2.4 PV (by Borough)'!AJ307,IF(Dashboard!$D$6=INDEX('Scenario names'!$C$3:$C$6,2),'2.4 PV (by Borough)'!AJ307,IF(Dashboard!$D$6=INDEX('Scenario names'!$C$3:$C$6,3),'2.4 PV (by Borough)'!AJ348,"Error")))))</f>
        <v>3190449.5882112361</v>
      </c>
      <c r="AK389" s="36">
        <f>IF(Dashboard!$D$6="Baseline",'2.4 PV (by Borough)'!AK225,IF(Dashboard!$D$6=INDEX('Scenario names'!$C$3:$C$6,4),'2.4 PV (by Borough)'!AK348,IF(Dashboard!$D$6=INDEX('Scenario names'!$C$3:$C$6,1),'2.4 PV (by Borough)'!AK307,IF(Dashboard!$D$6=INDEX('Scenario names'!$C$3:$C$6,2),'2.4 PV (by Borough)'!AK307,IF(Dashboard!$D$6=INDEX('Scenario names'!$C$3:$C$6,3),'2.4 PV (by Borough)'!AK348,"Error")))))</f>
        <v>3249284.2094007377</v>
      </c>
      <c r="AL389" s="36">
        <f>IF(Dashboard!$D$6="Baseline",'2.4 PV (by Borough)'!AL225,IF(Dashboard!$D$6=INDEX('Scenario names'!$C$3:$C$6,4),'2.4 PV (by Borough)'!AL348,IF(Dashboard!$D$6=INDEX('Scenario names'!$C$3:$C$6,1),'2.4 PV (by Borough)'!AL307,IF(Dashboard!$D$6=INDEX('Scenario names'!$C$3:$C$6,2),'2.4 PV (by Borough)'!AL307,IF(Dashboard!$D$6=INDEX('Scenario names'!$C$3:$C$6,3),'2.4 PV (by Borough)'!AL348,"Error")))))</f>
        <v>3308118.8305902388</v>
      </c>
      <c r="AM389" s="36">
        <f>IF(Dashboard!$D$6="Baseline",'2.4 PV (by Borough)'!AM225,IF(Dashboard!$D$6=INDEX('Scenario names'!$C$3:$C$6,4),'2.4 PV (by Borough)'!AM348,IF(Dashboard!$D$6=INDEX('Scenario names'!$C$3:$C$6,1),'2.4 PV (by Borough)'!AM307,IF(Dashboard!$D$6=INDEX('Scenario names'!$C$3:$C$6,2),'2.4 PV (by Borough)'!AM307,IF(Dashboard!$D$6=INDEX('Scenario names'!$C$3:$C$6,3),'2.4 PV (by Borough)'!AM348,"Error")))))</f>
        <v>3366953.4517797385</v>
      </c>
      <c r="AN389" s="36">
        <f>IF(Dashboard!$D$6="Baseline",'2.4 PV (by Borough)'!AN225,IF(Dashboard!$D$6=INDEX('Scenario names'!$C$3:$C$6,4),'2.4 PV (by Borough)'!AN348,IF(Dashboard!$D$6=INDEX('Scenario names'!$C$3:$C$6,1),'2.4 PV (by Borough)'!AN307,IF(Dashboard!$D$6=INDEX('Scenario names'!$C$3:$C$6,2),'2.4 PV (by Borough)'!AN307,IF(Dashboard!$D$6=INDEX('Scenario names'!$C$3:$C$6,3),'2.4 PV (by Borough)'!AN348,"Error")))))</f>
        <v>3425788.0729692401</v>
      </c>
      <c r="AO389" s="36">
        <f>IF(Dashboard!$D$6="Baseline",'2.4 PV (by Borough)'!AO225,IF(Dashboard!$D$6=INDEX('Scenario names'!$C$3:$C$6,4),'2.4 PV (by Borough)'!AO348,IF(Dashboard!$D$6=INDEX('Scenario names'!$C$3:$C$6,1),'2.4 PV (by Borough)'!AO307,IF(Dashboard!$D$6=INDEX('Scenario names'!$C$3:$C$6,2),'2.4 PV (by Borough)'!AO307,IF(Dashboard!$D$6=INDEX('Scenario names'!$C$3:$C$6,3),'2.4 PV (by Borough)'!AO348,"Error")))))</f>
        <v>3484622.6941587422</v>
      </c>
      <c r="AP389" s="36">
        <f>IF(Dashboard!$D$6="Baseline",'2.4 PV (by Borough)'!AP225,IF(Dashboard!$D$6=INDEX('Scenario names'!$C$3:$C$6,4),'2.4 PV (by Borough)'!AP348,IF(Dashboard!$D$6=INDEX('Scenario names'!$C$3:$C$6,1),'2.4 PV (by Borough)'!AP307,IF(Dashboard!$D$6=INDEX('Scenario names'!$C$3:$C$6,2),'2.4 PV (by Borough)'!AP307,IF(Dashboard!$D$6=INDEX('Scenario names'!$C$3:$C$6,3),'2.4 PV (by Borough)'!AP348,"Error")))))</f>
        <v>3543457.3153482424</v>
      </c>
      <c r="AQ389" s="36">
        <f>IF(Dashboard!$D$6="Baseline",'2.4 PV (by Borough)'!AQ225,IF(Dashboard!$D$6=INDEX('Scenario names'!$C$3:$C$6,4),'2.4 PV (by Borough)'!AQ348,IF(Dashboard!$D$6=INDEX('Scenario names'!$C$3:$C$6,1),'2.4 PV (by Borough)'!AQ307,IF(Dashboard!$D$6=INDEX('Scenario names'!$C$3:$C$6,2),'2.4 PV (by Borough)'!AQ307,IF(Dashboard!$D$6=INDEX('Scenario names'!$C$3:$C$6,3),'2.4 PV (by Borough)'!AQ348,"Error")))))</f>
        <v>3602291.936537744</v>
      </c>
      <c r="AR389" s="36">
        <f>IF(Dashboard!$D$6="Baseline",'2.4 PV (by Borough)'!AR225,IF(Dashboard!$D$6=INDEX('Scenario names'!$C$3:$C$6,4),'2.4 PV (by Borough)'!AR348,IF(Dashboard!$D$6=INDEX('Scenario names'!$C$3:$C$6,1),'2.4 PV (by Borough)'!AR307,IF(Dashboard!$D$6=INDEX('Scenario names'!$C$3:$C$6,2),'2.4 PV (by Borough)'!AR307,IF(Dashboard!$D$6=INDEX('Scenario names'!$C$3:$C$6,3),'2.4 PV (by Borough)'!AR348,"Error")))))</f>
        <v>3661126.5577272447</v>
      </c>
      <c r="AS389" s="36">
        <f>IF(Dashboard!$D$6="Baseline",'2.4 PV (by Borough)'!AS225,IF(Dashboard!$D$6=INDEX('Scenario names'!$C$3:$C$6,4),'2.4 PV (by Borough)'!AS348,IF(Dashboard!$D$6=INDEX('Scenario names'!$C$3:$C$6,1),'2.4 PV (by Borough)'!AS307,IF(Dashboard!$D$6=INDEX('Scenario names'!$C$3:$C$6,2),'2.4 PV (by Borough)'!AS307,IF(Dashboard!$D$6=INDEX('Scenario names'!$C$3:$C$6,3),'2.4 PV (by Borough)'!AS348,"Error")))))</f>
        <v>3719961.1789167472</v>
      </c>
      <c r="AT389" s="36">
        <f>IF(Dashboard!$D$6="Baseline",'2.4 PV (by Borough)'!AT225,IF(Dashboard!$D$6=INDEX('Scenario names'!$C$3:$C$6,4),'2.4 PV (by Borough)'!AT348,IF(Dashboard!$D$6=INDEX('Scenario names'!$C$3:$C$6,1),'2.4 PV (by Borough)'!AT307,IF(Dashboard!$D$6=INDEX('Scenario names'!$C$3:$C$6,2),'2.4 PV (by Borough)'!AT307,IF(Dashboard!$D$6=INDEX('Scenario names'!$C$3:$C$6,3),'2.4 PV (by Borough)'!AT348,"Error")))))</f>
        <v>3778795.8001062484</v>
      </c>
      <c r="AU389" s="36">
        <f>IF(Dashboard!$D$6="Baseline",'2.4 PV (by Borough)'!AU225,IF(Dashboard!$D$6=INDEX('Scenario names'!$C$3:$C$6,4),'2.4 PV (by Borough)'!AU348,IF(Dashboard!$D$6=INDEX('Scenario names'!$C$3:$C$6,1),'2.4 PV (by Borough)'!AU307,IF(Dashboard!$D$6=INDEX('Scenario names'!$C$3:$C$6,2),'2.4 PV (by Borough)'!AU307,IF(Dashboard!$D$6=INDEX('Scenario names'!$C$3:$C$6,3),'2.4 PV (by Borough)'!AU348,"Error")))))</f>
        <v>3837630.4212957495</v>
      </c>
      <c r="AV389" s="36">
        <f>IF(Dashboard!$D$6="Baseline",'2.4 PV (by Borough)'!AV225,IF(Dashboard!$D$6=INDEX('Scenario names'!$C$3:$C$6,4),'2.4 PV (by Borough)'!AV348,IF(Dashboard!$D$6=INDEX('Scenario names'!$C$3:$C$6,1),'2.4 PV (by Borough)'!AV307,IF(Dashboard!$D$6=INDEX('Scenario names'!$C$3:$C$6,2),'2.4 PV (by Borough)'!AV307,IF(Dashboard!$D$6=INDEX('Scenario names'!$C$3:$C$6,3),'2.4 PV (by Borough)'!AV348,"Error")))))</f>
        <v>3896465.0424852497</v>
      </c>
      <c r="AW389" s="36">
        <f>IF(Dashboard!$D$6="Baseline",'2.4 PV (by Borough)'!AW225,IF(Dashboard!$D$6=INDEX('Scenario names'!$C$3:$C$6,4),'2.4 PV (by Borough)'!AW348,IF(Dashboard!$D$6=INDEX('Scenario names'!$C$3:$C$6,1),'2.4 PV (by Borough)'!AW307,IF(Dashboard!$D$6=INDEX('Scenario names'!$C$3:$C$6,2),'2.4 PV (by Borough)'!AW307,IF(Dashboard!$D$6=INDEX('Scenario names'!$C$3:$C$6,3),'2.4 PV (by Borough)'!AW348,"Error")))))</f>
        <v>3955299.6636747518</v>
      </c>
      <c r="AX389" s="36">
        <f>IF(Dashboard!$D$6="Baseline",'2.4 PV (by Borough)'!AX225,IF(Dashboard!$D$6=INDEX('Scenario names'!$C$3:$C$6,4),'2.4 PV (by Borough)'!AX348,IF(Dashboard!$D$6=INDEX('Scenario names'!$C$3:$C$6,1),'2.4 PV (by Borough)'!AX307,IF(Dashboard!$D$6=INDEX('Scenario names'!$C$3:$C$6,2),'2.4 PV (by Borough)'!AX307,IF(Dashboard!$D$6=INDEX('Scenario names'!$C$3:$C$6,3),'2.4 PV (by Borough)'!AX348,"Error")))))</f>
        <v>4014134.2848642524</v>
      </c>
      <c r="AY389" s="36"/>
      <c r="AZ389" s="36"/>
      <c r="BA389" s="36"/>
      <c r="BB389" s="36"/>
    </row>
    <row r="390" spans="4:54">
      <c r="D390" t="s">
        <v>660</v>
      </c>
      <c r="E390" t="s">
        <v>638</v>
      </c>
      <c r="G390" s="44"/>
      <c r="I390" s="44"/>
      <c r="K390" s="44"/>
      <c r="M390" s="44"/>
      <c r="O390" s="36">
        <f>IF(Dashboard!$D$6="Baseline",'2.4 PV (by Borough)'!O226,IF(Dashboard!$D$6=INDEX('Scenario names'!$C$3:$C$6,4),'2.4 PV (by Borough)'!O349,IF(Dashboard!$D$6=INDEX('Scenario names'!$C$3:$C$6,1),'2.4 PV (by Borough)'!O308,IF(Dashboard!$D$6=INDEX('Scenario names'!$C$3:$C$6,2),'2.4 PV (by Borough)'!O308,IF(Dashboard!$D$6=INDEX('Scenario names'!$C$3:$C$6,3),'2.4 PV (by Borough)'!O349,"Error")))))</f>
        <v>113828.74240882891</v>
      </c>
      <c r="P390" s="36">
        <f>IF(Dashboard!$D$6="Baseline",'2.4 PV (by Borough)'!P226,IF(Dashboard!$D$6=INDEX('Scenario names'!$C$3:$C$6,4),'2.4 PV (by Borough)'!P349,IF(Dashboard!$D$6=INDEX('Scenario names'!$C$3:$C$6,1),'2.4 PV (by Borough)'!P308,IF(Dashboard!$D$6=INDEX('Scenario names'!$C$3:$C$6,2),'2.4 PV (by Borough)'!P308,IF(Dashboard!$D$6=INDEX('Scenario names'!$C$3:$C$6,3),'2.4 PV (by Borough)'!P349,"Error")))))</f>
        <v>199588.35681820949</v>
      </c>
      <c r="Q390" s="36">
        <f>IF(Dashboard!$D$6="Baseline",'2.4 PV (by Borough)'!Q226,IF(Dashboard!$D$6=INDEX('Scenario names'!$C$3:$C$6,4),'2.4 PV (by Borough)'!Q349,IF(Dashboard!$D$6=INDEX('Scenario names'!$C$3:$C$6,1),'2.4 PV (by Borough)'!Q308,IF(Dashboard!$D$6=INDEX('Scenario names'!$C$3:$C$6,2),'2.4 PV (by Borough)'!Q308,IF(Dashboard!$D$6=INDEX('Scenario names'!$C$3:$C$6,3),'2.4 PV (by Borough)'!Q349,"Error")))))</f>
        <v>285347.97122758999</v>
      </c>
      <c r="R390" s="36">
        <f>IF(Dashboard!$D$6="Baseline",'2.4 PV (by Borough)'!R226,IF(Dashboard!$D$6=INDEX('Scenario names'!$C$3:$C$6,4),'2.4 PV (by Borough)'!R349,IF(Dashboard!$D$6=INDEX('Scenario names'!$C$3:$C$6,1),'2.4 PV (by Borough)'!R308,IF(Dashboard!$D$6=INDEX('Scenario names'!$C$3:$C$6,2),'2.4 PV (by Borough)'!R308,IF(Dashboard!$D$6=INDEX('Scenario names'!$C$3:$C$6,3),'2.4 PV (by Borough)'!R349,"Error")))))</f>
        <v>371107.58563697053</v>
      </c>
      <c r="S390" s="36">
        <f>IF(Dashboard!$D$6="Baseline",'2.4 PV (by Borough)'!S226,IF(Dashboard!$D$6=INDEX('Scenario names'!$C$3:$C$6,4),'2.4 PV (by Borough)'!S349,IF(Dashboard!$D$6=INDEX('Scenario names'!$C$3:$C$6,1),'2.4 PV (by Borough)'!S308,IF(Dashboard!$D$6=INDEX('Scenario names'!$C$3:$C$6,2),'2.4 PV (by Borough)'!S308,IF(Dashboard!$D$6=INDEX('Scenario names'!$C$3:$C$6,3),'2.4 PV (by Borough)'!S349,"Error")))))</f>
        <v>456867.20004635106</v>
      </c>
      <c r="T390" s="36">
        <f>IF(Dashboard!$D$6="Baseline",'2.4 PV (by Borough)'!T226,IF(Dashboard!$D$6=INDEX('Scenario names'!$C$3:$C$6,4),'2.4 PV (by Borough)'!T349,IF(Dashboard!$D$6=INDEX('Scenario names'!$C$3:$C$6,1),'2.4 PV (by Borough)'!T308,IF(Dashboard!$D$6=INDEX('Scenario names'!$C$3:$C$6,2),'2.4 PV (by Borough)'!T308,IF(Dashboard!$D$6=INDEX('Scenario names'!$C$3:$C$6,3),'2.4 PV (by Borough)'!T349,"Error")))))</f>
        <v>542626.81445573166</v>
      </c>
      <c r="U390" s="36">
        <f>IF(Dashboard!$D$6="Baseline",'2.4 PV (by Borough)'!U226,IF(Dashboard!$D$6=INDEX('Scenario names'!$C$3:$C$6,4),'2.4 PV (by Borough)'!U349,IF(Dashboard!$D$6=INDEX('Scenario names'!$C$3:$C$6,1),'2.4 PV (by Borough)'!U308,IF(Dashboard!$D$6=INDEX('Scenario names'!$C$3:$C$6,2),'2.4 PV (by Borough)'!U308,IF(Dashboard!$D$6=INDEX('Scenario names'!$C$3:$C$6,3),'2.4 PV (by Borough)'!U349,"Error")))))</f>
        <v>628386.42886511225</v>
      </c>
      <c r="V390" s="36">
        <f>IF(Dashboard!$D$6="Baseline",'2.4 PV (by Borough)'!V226,IF(Dashboard!$D$6=INDEX('Scenario names'!$C$3:$C$6,4),'2.4 PV (by Borough)'!V349,IF(Dashboard!$D$6=INDEX('Scenario names'!$C$3:$C$6,1),'2.4 PV (by Borough)'!V308,IF(Dashboard!$D$6=INDEX('Scenario names'!$C$3:$C$6,2),'2.4 PV (by Borough)'!V308,IF(Dashboard!$D$6=INDEX('Scenario names'!$C$3:$C$6,3),'2.4 PV (by Borough)'!V349,"Error")))))</f>
        <v>714146.04327449284</v>
      </c>
      <c r="W390" s="36">
        <f>IF(Dashboard!$D$6="Baseline",'2.4 PV (by Borough)'!W226,IF(Dashboard!$D$6=INDEX('Scenario names'!$C$3:$C$6,4),'2.4 PV (by Borough)'!W349,IF(Dashboard!$D$6=INDEX('Scenario names'!$C$3:$C$6,1),'2.4 PV (by Borough)'!W308,IF(Dashboard!$D$6=INDEX('Scenario names'!$C$3:$C$6,2),'2.4 PV (by Borough)'!W308,IF(Dashboard!$D$6=INDEX('Scenario names'!$C$3:$C$6,3),'2.4 PV (by Borough)'!W349,"Error")))))</f>
        <v>799905.65768387343</v>
      </c>
      <c r="X390" s="36">
        <f>IF(Dashboard!$D$6="Baseline",'2.4 PV (by Borough)'!X226,IF(Dashboard!$D$6=INDEX('Scenario names'!$C$3:$C$6,4),'2.4 PV (by Borough)'!X349,IF(Dashboard!$D$6=INDEX('Scenario names'!$C$3:$C$6,1),'2.4 PV (by Borough)'!X308,IF(Dashboard!$D$6=INDEX('Scenario names'!$C$3:$C$6,2),'2.4 PV (by Borough)'!X308,IF(Dashboard!$D$6=INDEX('Scenario names'!$C$3:$C$6,3),'2.4 PV (by Borough)'!X349,"Error")))))</f>
        <v>885665.27209325391</v>
      </c>
      <c r="Y390" s="36">
        <f>IF(Dashboard!$D$6="Baseline",'2.4 PV (by Borough)'!Y226,IF(Dashboard!$D$6=INDEX('Scenario names'!$C$3:$C$6,4),'2.4 PV (by Borough)'!Y349,IF(Dashboard!$D$6=INDEX('Scenario names'!$C$3:$C$6,1),'2.4 PV (by Borough)'!Y308,IF(Dashboard!$D$6=INDEX('Scenario names'!$C$3:$C$6,2),'2.4 PV (by Borough)'!Y308,IF(Dashboard!$D$6=INDEX('Scenario names'!$C$3:$C$6,3),'2.4 PV (by Borough)'!Y349,"Error")))))</f>
        <v>971424.88650263473</v>
      </c>
      <c r="Z390" s="36">
        <f>IF(Dashboard!$D$6="Baseline",'2.4 PV (by Borough)'!Z226,IF(Dashboard!$D$6=INDEX('Scenario names'!$C$3:$C$6,4),'2.4 PV (by Borough)'!Z349,IF(Dashboard!$D$6=INDEX('Scenario names'!$C$3:$C$6,1),'2.4 PV (by Borough)'!Z308,IF(Dashboard!$D$6=INDEX('Scenario names'!$C$3:$C$6,2),'2.4 PV (by Borough)'!Z308,IF(Dashboard!$D$6=INDEX('Scenario names'!$C$3:$C$6,3),'2.4 PV (by Borough)'!Z349,"Error")))))</f>
        <v>1150803.8368083688</v>
      </c>
      <c r="AA390" s="36">
        <f>IF(Dashboard!$D$6="Baseline",'2.4 PV (by Borough)'!AA226,IF(Dashboard!$D$6=INDEX('Scenario names'!$C$3:$C$6,4),'2.4 PV (by Borough)'!AA349,IF(Dashboard!$D$6=INDEX('Scenario names'!$C$3:$C$6,1),'2.4 PV (by Borough)'!AA308,IF(Dashboard!$D$6=INDEX('Scenario names'!$C$3:$C$6,2),'2.4 PV (by Borough)'!AA308,IF(Dashboard!$D$6=INDEX('Scenario names'!$C$3:$C$6,3),'2.4 PV (by Borough)'!AA349,"Error")))))</f>
        <v>1330182.7871141033</v>
      </c>
      <c r="AB390" s="36">
        <f>IF(Dashboard!$D$6="Baseline",'2.4 PV (by Borough)'!AB226,IF(Dashboard!$D$6=INDEX('Scenario names'!$C$3:$C$6,4),'2.4 PV (by Borough)'!AB349,IF(Dashboard!$D$6=INDEX('Scenario names'!$C$3:$C$6,1),'2.4 PV (by Borough)'!AB308,IF(Dashboard!$D$6=INDEX('Scenario names'!$C$3:$C$6,2),'2.4 PV (by Borough)'!AB308,IF(Dashboard!$D$6=INDEX('Scenario names'!$C$3:$C$6,3),'2.4 PV (by Borough)'!AB349,"Error")))))</f>
        <v>1509561.7374198379</v>
      </c>
      <c r="AC390" s="36">
        <f>IF(Dashboard!$D$6="Baseline",'2.4 PV (by Borough)'!AC226,IF(Dashboard!$D$6=INDEX('Scenario names'!$C$3:$C$6,4),'2.4 PV (by Borough)'!AC349,IF(Dashboard!$D$6=INDEX('Scenario names'!$C$3:$C$6,1),'2.4 PV (by Borough)'!AC308,IF(Dashboard!$D$6=INDEX('Scenario names'!$C$3:$C$6,2),'2.4 PV (by Borough)'!AC308,IF(Dashboard!$D$6=INDEX('Scenario names'!$C$3:$C$6,3),'2.4 PV (by Borough)'!AC349,"Error")))))</f>
        <v>1688940.6877255724</v>
      </c>
      <c r="AD390" s="36">
        <f>IF(Dashboard!$D$6="Baseline",'2.4 PV (by Borough)'!AD226,IF(Dashboard!$D$6=INDEX('Scenario names'!$C$3:$C$6,4),'2.4 PV (by Borough)'!AD349,IF(Dashboard!$D$6=INDEX('Scenario names'!$C$3:$C$6,1),'2.4 PV (by Borough)'!AD308,IF(Dashboard!$D$6=INDEX('Scenario names'!$C$3:$C$6,2),'2.4 PV (by Borough)'!AD308,IF(Dashboard!$D$6=INDEX('Scenario names'!$C$3:$C$6,3),'2.4 PV (by Borough)'!AD349,"Error")))))</f>
        <v>1868319.6380313064</v>
      </c>
      <c r="AE390" s="36">
        <f>IF(Dashboard!$D$6="Baseline",'2.4 PV (by Borough)'!AE226,IF(Dashboard!$D$6=INDEX('Scenario names'!$C$3:$C$6,4),'2.4 PV (by Borough)'!AE349,IF(Dashboard!$D$6=INDEX('Scenario names'!$C$3:$C$6,1),'2.4 PV (by Borough)'!AE308,IF(Dashboard!$D$6=INDEX('Scenario names'!$C$3:$C$6,2),'2.4 PV (by Borough)'!AE308,IF(Dashboard!$D$6=INDEX('Scenario names'!$C$3:$C$6,3),'2.4 PV (by Borough)'!AE349,"Error")))))</f>
        <v>2047698.5883370412</v>
      </c>
      <c r="AF390" s="36">
        <f>IF(Dashboard!$D$6="Baseline",'2.4 PV (by Borough)'!AF226,IF(Dashboard!$D$6=INDEX('Scenario names'!$C$3:$C$6,4),'2.4 PV (by Borough)'!AF349,IF(Dashboard!$D$6=INDEX('Scenario names'!$C$3:$C$6,1),'2.4 PV (by Borough)'!AF308,IF(Dashboard!$D$6=INDEX('Scenario names'!$C$3:$C$6,2),'2.4 PV (by Borough)'!AF308,IF(Dashboard!$D$6=INDEX('Scenario names'!$C$3:$C$6,3),'2.4 PV (by Borough)'!AF349,"Error")))))</f>
        <v>2227077.5386427757</v>
      </c>
      <c r="AG390" s="36">
        <f>IF(Dashboard!$D$6="Baseline",'2.4 PV (by Borough)'!AG226,IF(Dashboard!$D$6=INDEX('Scenario names'!$C$3:$C$6,4),'2.4 PV (by Borough)'!AG349,IF(Dashboard!$D$6=INDEX('Scenario names'!$C$3:$C$6,1),'2.4 PV (by Borough)'!AG308,IF(Dashboard!$D$6=INDEX('Scenario names'!$C$3:$C$6,2),'2.4 PV (by Borough)'!AG308,IF(Dashboard!$D$6=INDEX('Scenario names'!$C$3:$C$6,3),'2.4 PV (by Borough)'!AG349,"Error")))))</f>
        <v>2406456.48894851</v>
      </c>
      <c r="AH390" s="36">
        <f>IF(Dashboard!$D$6="Baseline",'2.4 PV (by Borough)'!AH226,IF(Dashboard!$D$6=INDEX('Scenario names'!$C$3:$C$6,4),'2.4 PV (by Borough)'!AH349,IF(Dashboard!$D$6=INDEX('Scenario names'!$C$3:$C$6,1),'2.4 PV (by Borough)'!AH308,IF(Dashboard!$D$6=INDEX('Scenario names'!$C$3:$C$6,2),'2.4 PV (by Borough)'!AH308,IF(Dashboard!$D$6=INDEX('Scenario names'!$C$3:$C$6,3),'2.4 PV (by Borough)'!AH349,"Error")))))</f>
        <v>2585835.4392542453</v>
      </c>
      <c r="AI390" s="36">
        <f>IF(Dashboard!$D$6="Baseline",'2.4 PV (by Borough)'!AI226,IF(Dashboard!$D$6=INDEX('Scenario names'!$C$3:$C$6,4),'2.4 PV (by Borough)'!AI349,IF(Dashboard!$D$6=INDEX('Scenario names'!$C$3:$C$6,1),'2.4 PV (by Borough)'!AI308,IF(Dashboard!$D$6=INDEX('Scenario names'!$C$3:$C$6,2),'2.4 PV (by Borough)'!AI308,IF(Dashboard!$D$6=INDEX('Scenario names'!$C$3:$C$6,3),'2.4 PV (by Borough)'!AI349,"Error")))))</f>
        <v>2765214.3895599786</v>
      </c>
      <c r="AJ390" s="36">
        <f>IF(Dashboard!$D$6="Baseline",'2.4 PV (by Borough)'!AJ226,IF(Dashboard!$D$6=INDEX('Scenario names'!$C$3:$C$6,4),'2.4 PV (by Borough)'!AJ349,IF(Dashboard!$D$6=INDEX('Scenario names'!$C$3:$C$6,1),'2.4 PV (by Borough)'!AJ308,IF(Dashboard!$D$6=INDEX('Scenario names'!$C$3:$C$6,2),'2.4 PV (by Borough)'!AJ308,IF(Dashboard!$D$6=INDEX('Scenario names'!$C$3:$C$6,3),'2.4 PV (by Borough)'!AJ349,"Error")))))</f>
        <v>2944593.3398657134</v>
      </c>
      <c r="AK390" s="36">
        <f>IF(Dashboard!$D$6="Baseline",'2.4 PV (by Borough)'!AK226,IF(Dashboard!$D$6=INDEX('Scenario names'!$C$3:$C$6,4),'2.4 PV (by Borough)'!AK349,IF(Dashboard!$D$6=INDEX('Scenario names'!$C$3:$C$6,1),'2.4 PV (by Borough)'!AK308,IF(Dashboard!$D$6=INDEX('Scenario names'!$C$3:$C$6,2),'2.4 PV (by Borough)'!AK308,IF(Dashboard!$D$6=INDEX('Scenario names'!$C$3:$C$6,3),'2.4 PV (by Borough)'!AK349,"Error")))))</f>
        <v>3123972.2901714486</v>
      </c>
      <c r="AL390" s="36">
        <f>IF(Dashboard!$D$6="Baseline",'2.4 PV (by Borough)'!AL226,IF(Dashboard!$D$6=INDEX('Scenario names'!$C$3:$C$6,4),'2.4 PV (by Borough)'!AL349,IF(Dashboard!$D$6=INDEX('Scenario names'!$C$3:$C$6,1),'2.4 PV (by Borough)'!AL308,IF(Dashboard!$D$6=INDEX('Scenario names'!$C$3:$C$6,2),'2.4 PV (by Borough)'!AL308,IF(Dashboard!$D$6=INDEX('Scenario names'!$C$3:$C$6,3),'2.4 PV (by Borough)'!AL349,"Error")))))</f>
        <v>3303351.2404771824</v>
      </c>
      <c r="AM390" s="36">
        <f>IF(Dashboard!$D$6="Baseline",'2.4 PV (by Borough)'!AM226,IF(Dashboard!$D$6=INDEX('Scenario names'!$C$3:$C$6,4),'2.4 PV (by Borough)'!AM349,IF(Dashboard!$D$6=INDEX('Scenario names'!$C$3:$C$6,1),'2.4 PV (by Borough)'!AM308,IF(Dashboard!$D$6=INDEX('Scenario names'!$C$3:$C$6,2),'2.4 PV (by Borough)'!AM308,IF(Dashboard!$D$6=INDEX('Scenario names'!$C$3:$C$6,3),'2.4 PV (by Borough)'!AM349,"Error")))))</f>
        <v>3482730.1907829172</v>
      </c>
      <c r="AN390" s="36">
        <f>IF(Dashboard!$D$6="Baseline",'2.4 PV (by Borough)'!AN226,IF(Dashboard!$D$6=INDEX('Scenario names'!$C$3:$C$6,4),'2.4 PV (by Borough)'!AN349,IF(Dashboard!$D$6=INDEX('Scenario names'!$C$3:$C$6,1),'2.4 PV (by Borough)'!AN308,IF(Dashboard!$D$6=INDEX('Scenario names'!$C$3:$C$6,2),'2.4 PV (by Borough)'!AN308,IF(Dashboard!$D$6=INDEX('Scenario names'!$C$3:$C$6,3),'2.4 PV (by Borough)'!AN349,"Error")))))</f>
        <v>3662109.1410886515</v>
      </c>
      <c r="AO390" s="36">
        <f>IF(Dashboard!$D$6="Baseline",'2.4 PV (by Borough)'!AO226,IF(Dashboard!$D$6=INDEX('Scenario names'!$C$3:$C$6,4),'2.4 PV (by Borough)'!AO349,IF(Dashboard!$D$6=INDEX('Scenario names'!$C$3:$C$6,1),'2.4 PV (by Borough)'!AO308,IF(Dashboard!$D$6=INDEX('Scenario names'!$C$3:$C$6,2),'2.4 PV (by Borough)'!AO308,IF(Dashboard!$D$6=INDEX('Scenario names'!$C$3:$C$6,3),'2.4 PV (by Borough)'!AO349,"Error")))))</f>
        <v>3841488.0913943858</v>
      </c>
      <c r="AP390" s="36">
        <f>IF(Dashboard!$D$6="Baseline",'2.4 PV (by Borough)'!AP226,IF(Dashboard!$D$6=INDEX('Scenario names'!$C$3:$C$6,4),'2.4 PV (by Borough)'!AP349,IF(Dashboard!$D$6=INDEX('Scenario names'!$C$3:$C$6,1),'2.4 PV (by Borough)'!AP308,IF(Dashboard!$D$6=INDEX('Scenario names'!$C$3:$C$6,2),'2.4 PV (by Borough)'!AP308,IF(Dashboard!$D$6=INDEX('Scenario names'!$C$3:$C$6,3),'2.4 PV (by Borough)'!AP349,"Error")))))</f>
        <v>4020867.0417001201</v>
      </c>
      <c r="AQ390" s="36">
        <f>IF(Dashboard!$D$6="Baseline",'2.4 PV (by Borough)'!AQ226,IF(Dashboard!$D$6=INDEX('Scenario names'!$C$3:$C$6,4),'2.4 PV (by Borough)'!AQ349,IF(Dashboard!$D$6=INDEX('Scenario names'!$C$3:$C$6,1),'2.4 PV (by Borough)'!AQ308,IF(Dashboard!$D$6=INDEX('Scenario names'!$C$3:$C$6,2),'2.4 PV (by Borough)'!AQ308,IF(Dashboard!$D$6=INDEX('Scenario names'!$C$3:$C$6,3),'2.4 PV (by Borough)'!AQ349,"Error")))))</f>
        <v>4200245.9920058539</v>
      </c>
      <c r="AR390" s="36">
        <f>IF(Dashboard!$D$6="Baseline",'2.4 PV (by Borough)'!AR226,IF(Dashboard!$D$6=INDEX('Scenario names'!$C$3:$C$6,4),'2.4 PV (by Borough)'!AR349,IF(Dashboard!$D$6=INDEX('Scenario names'!$C$3:$C$6,1),'2.4 PV (by Borough)'!AR308,IF(Dashboard!$D$6=INDEX('Scenario names'!$C$3:$C$6,2),'2.4 PV (by Borough)'!AR308,IF(Dashboard!$D$6=INDEX('Scenario names'!$C$3:$C$6,3),'2.4 PV (by Borough)'!AR349,"Error")))))</f>
        <v>4379624.9423115887</v>
      </c>
      <c r="AS390" s="36">
        <f>IF(Dashboard!$D$6="Baseline",'2.4 PV (by Borough)'!AS226,IF(Dashboard!$D$6=INDEX('Scenario names'!$C$3:$C$6,4),'2.4 PV (by Borough)'!AS349,IF(Dashboard!$D$6=INDEX('Scenario names'!$C$3:$C$6,1),'2.4 PV (by Borough)'!AS308,IF(Dashboard!$D$6=INDEX('Scenario names'!$C$3:$C$6,2),'2.4 PV (by Borough)'!AS308,IF(Dashboard!$D$6=INDEX('Scenario names'!$C$3:$C$6,3),'2.4 PV (by Borough)'!AS349,"Error")))))</f>
        <v>4559003.8926173225</v>
      </c>
      <c r="AT390" s="36">
        <f>IF(Dashboard!$D$6="Baseline",'2.4 PV (by Borough)'!AT226,IF(Dashboard!$D$6=INDEX('Scenario names'!$C$3:$C$6,4),'2.4 PV (by Borough)'!AT349,IF(Dashboard!$D$6=INDEX('Scenario names'!$C$3:$C$6,1),'2.4 PV (by Borough)'!AT308,IF(Dashboard!$D$6=INDEX('Scenario names'!$C$3:$C$6,2),'2.4 PV (by Borough)'!AT308,IF(Dashboard!$D$6=INDEX('Scenario names'!$C$3:$C$6,3),'2.4 PV (by Borough)'!AT349,"Error")))))</f>
        <v>4738382.8429230563</v>
      </c>
      <c r="AU390" s="36">
        <f>IF(Dashboard!$D$6="Baseline",'2.4 PV (by Borough)'!AU226,IF(Dashboard!$D$6=INDEX('Scenario names'!$C$3:$C$6,4),'2.4 PV (by Borough)'!AU349,IF(Dashboard!$D$6=INDEX('Scenario names'!$C$3:$C$6,1),'2.4 PV (by Borough)'!AU308,IF(Dashboard!$D$6=INDEX('Scenario names'!$C$3:$C$6,2),'2.4 PV (by Borough)'!AU308,IF(Dashboard!$D$6=INDEX('Scenario names'!$C$3:$C$6,3),'2.4 PV (by Borough)'!AU349,"Error")))))</f>
        <v>4917761.7932287911</v>
      </c>
      <c r="AV390" s="36">
        <f>IF(Dashboard!$D$6="Baseline",'2.4 PV (by Borough)'!AV226,IF(Dashboard!$D$6=INDEX('Scenario names'!$C$3:$C$6,4),'2.4 PV (by Borough)'!AV349,IF(Dashboard!$D$6=INDEX('Scenario names'!$C$3:$C$6,1),'2.4 PV (by Borough)'!AV308,IF(Dashboard!$D$6=INDEX('Scenario names'!$C$3:$C$6,2),'2.4 PV (by Borough)'!AV308,IF(Dashboard!$D$6=INDEX('Scenario names'!$C$3:$C$6,3),'2.4 PV (by Borough)'!AV349,"Error")))))</f>
        <v>5097140.7435345259</v>
      </c>
      <c r="AW390" s="36">
        <f>IF(Dashboard!$D$6="Baseline",'2.4 PV (by Borough)'!AW226,IF(Dashboard!$D$6=INDEX('Scenario names'!$C$3:$C$6,4),'2.4 PV (by Borough)'!AW349,IF(Dashboard!$D$6=INDEX('Scenario names'!$C$3:$C$6,1),'2.4 PV (by Borough)'!AW308,IF(Dashboard!$D$6=INDEX('Scenario names'!$C$3:$C$6,2),'2.4 PV (by Borough)'!AW308,IF(Dashboard!$D$6=INDEX('Scenario names'!$C$3:$C$6,3),'2.4 PV (by Borough)'!AW349,"Error")))))</f>
        <v>5276519.6938402606</v>
      </c>
      <c r="AX390" s="36">
        <f>IF(Dashboard!$D$6="Baseline",'2.4 PV (by Borough)'!AX226,IF(Dashboard!$D$6=INDEX('Scenario names'!$C$3:$C$6,4),'2.4 PV (by Borough)'!AX349,IF(Dashboard!$D$6=INDEX('Scenario names'!$C$3:$C$6,1),'2.4 PV (by Borough)'!AX308,IF(Dashboard!$D$6=INDEX('Scenario names'!$C$3:$C$6,2),'2.4 PV (by Borough)'!AX308,IF(Dashboard!$D$6=INDEX('Scenario names'!$C$3:$C$6,3),'2.4 PV (by Borough)'!AX349,"Error")))))</f>
        <v>5455898.6441459954</v>
      </c>
      <c r="AY390" s="36"/>
      <c r="AZ390" s="36"/>
      <c r="BA390" s="36"/>
      <c r="BB390" s="36"/>
    </row>
    <row r="391" spans="4:54">
      <c r="D391" t="s">
        <v>660</v>
      </c>
      <c r="E391" t="s">
        <v>639</v>
      </c>
      <c r="G391" s="44"/>
      <c r="I391" s="44"/>
      <c r="K391" s="44"/>
      <c r="M391" s="44"/>
      <c r="O391" s="36">
        <f>IF(Dashboard!$D$6="Baseline",'2.4 PV (by Borough)'!O227,IF(Dashboard!$D$6=INDEX('Scenario names'!$C$3:$C$6,4),'2.4 PV (by Borough)'!O350,IF(Dashboard!$D$6=INDEX('Scenario names'!$C$3:$C$6,1),'2.4 PV (by Borough)'!O309,IF(Dashboard!$D$6=INDEX('Scenario names'!$C$3:$C$6,2),'2.4 PV (by Borough)'!O309,IF(Dashboard!$D$6=INDEX('Scenario names'!$C$3:$C$6,3),'2.4 PV (by Borough)'!O350,"Error")))))</f>
        <v>126971.76490825023</v>
      </c>
      <c r="P391" s="36">
        <f>IF(Dashboard!$D$6="Baseline",'2.4 PV (by Borough)'!P227,IF(Dashboard!$D$6=INDEX('Scenario names'!$C$3:$C$6,4),'2.4 PV (by Borough)'!P350,IF(Dashboard!$D$6=INDEX('Scenario names'!$C$3:$C$6,1),'2.4 PV (by Borough)'!P309,IF(Dashboard!$D$6=INDEX('Scenario names'!$C$3:$C$6,2),'2.4 PV (by Borough)'!P309,IF(Dashboard!$D$6=INDEX('Scenario names'!$C$3:$C$6,3),'2.4 PV (by Borough)'!P350,"Error")))))</f>
        <v>219722.51362077217</v>
      </c>
      <c r="Q391" s="36">
        <f>IF(Dashboard!$D$6="Baseline",'2.4 PV (by Borough)'!Q227,IF(Dashboard!$D$6=INDEX('Scenario names'!$C$3:$C$6,4),'2.4 PV (by Borough)'!Q350,IF(Dashboard!$D$6=INDEX('Scenario names'!$C$3:$C$6,1),'2.4 PV (by Borough)'!Q309,IF(Dashboard!$D$6=INDEX('Scenario names'!$C$3:$C$6,2),'2.4 PV (by Borough)'!Q309,IF(Dashboard!$D$6=INDEX('Scenario names'!$C$3:$C$6,3),'2.4 PV (by Borough)'!Q350,"Error")))))</f>
        <v>312473.26233329403</v>
      </c>
      <c r="R391" s="36">
        <f>IF(Dashboard!$D$6="Baseline",'2.4 PV (by Borough)'!R227,IF(Dashboard!$D$6=INDEX('Scenario names'!$C$3:$C$6,4),'2.4 PV (by Borough)'!R350,IF(Dashboard!$D$6=INDEX('Scenario names'!$C$3:$C$6,1),'2.4 PV (by Borough)'!R309,IF(Dashboard!$D$6=INDEX('Scenario names'!$C$3:$C$6,2),'2.4 PV (by Borough)'!R309,IF(Dashboard!$D$6=INDEX('Scenario names'!$C$3:$C$6,3),'2.4 PV (by Borough)'!R350,"Error")))))</f>
        <v>405224.01104581595</v>
      </c>
      <c r="S391" s="36">
        <f>IF(Dashboard!$D$6="Baseline",'2.4 PV (by Borough)'!S227,IF(Dashboard!$D$6=INDEX('Scenario names'!$C$3:$C$6,4),'2.4 PV (by Borough)'!S350,IF(Dashboard!$D$6=INDEX('Scenario names'!$C$3:$C$6,1),'2.4 PV (by Borough)'!S309,IF(Dashboard!$D$6=INDEX('Scenario names'!$C$3:$C$6,2),'2.4 PV (by Borough)'!S309,IF(Dashboard!$D$6=INDEX('Scenario names'!$C$3:$C$6,3),'2.4 PV (by Borough)'!S350,"Error")))))</f>
        <v>497974.75975833787</v>
      </c>
      <c r="T391" s="36">
        <f>IF(Dashboard!$D$6="Baseline",'2.4 PV (by Borough)'!T227,IF(Dashboard!$D$6=INDEX('Scenario names'!$C$3:$C$6,4),'2.4 PV (by Borough)'!T350,IF(Dashboard!$D$6=INDEX('Scenario names'!$C$3:$C$6,1),'2.4 PV (by Borough)'!T309,IF(Dashboard!$D$6=INDEX('Scenario names'!$C$3:$C$6,2),'2.4 PV (by Borough)'!T309,IF(Dashboard!$D$6=INDEX('Scenario names'!$C$3:$C$6,3),'2.4 PV (by Borough)'!T350,"Error")))))</f>
        <v>590725.50847085973</v>
      </c>
      <c r="U391" s="36">
        <f>IF(Dashboard!$D$6="Baseline",'2.4 PV (by Borough)'!U227,IF(Dashboard!$D$6=INDEX('Scenario names'!$C$3:$C$6,4),'2.4 PV (by Borough)'!U350,IF(Dashboard!$D$6=INDEX('Scenario names'!$C$3:$C$6,1),'2.4 PV (by Borough)'!U309,IF(Dashboard!$D$6=INDEX('Scenario names'!$C$3:$C$6,2),'2.4 PV (by Borough)'!U309,IF(Dashboard!$D$6=INDEX('Scenario names'!$C$3:$C$6,3),'2.4 PV (by Borough)'!U350,"Error")))))</f>
        <v>683476.25718338159</v>
      </c>
      <c r="V391" s="36">
        <f>IF(Dashboard!$D$6="Baseline",'2.4 PV (by Borough)'!V227,IF(Dashboard!$D$6=INDEX('Scenario names'!$C$3:$C$6,4),'2.4 PV (by Borough)'!V350,IF(Dashboard!$D$6=INDEX('Scenario names'!$C$3:$C$6,1),'2.4 PV (by Borough)'!V309,IF(Dashboard!$D$6=INDEX('Scenario names'!$C$3:$C$6,2),'2.4 PV (by Borough)'!V309,IF(Dashboard!$D$6=INDEX('Scenario names'!$C$3:$C$6,3),'2.4 PV (by Borough)'!V350,"Error")))))</f>
        <v>776227.00589590357</v>
      </c>
      <c r="W391" s="36">
        <f>IF(Dashboard!$D$6="Baseline",'2.4 PV (by Borough)'!W227,IF(Dashboard!$D$6=INDEX('Scenario names'!$C$3:$C$6,4),'2.4 PV (by Borough)'!W350,IF(Dashboard!$D$6=INDEX('Scenario names'!$C$3:$C$6,1),'2.4 PV (by Borough)'!W309,IF(Dashboard!$D$6=INDEX('Scenario names'!$C$3:$C$6,2),'2.4 PV (by Borough)'!W309,IF(Dashboard!$D$6=INDEX('Scenario names'!$C$3:$C$6,3),'2.4 PV (by Borough)'!W350,"Error")))))</f>
        <v>868977.75460842543</v>
      </c>
      <c r="X391" s="36">
        <f>IF(Dashboard!$D$6="Baseline",'2.4 PV (by Borough)'!X227,IF(Dashboard!$D$6=INDEX('Scenario names'!$C$3:$C$6,4),'2.4 PV (by Borough)'!X350,IF(Dashboard!$D$6=INDEX('Scenario names'!$C$3:$C$6,1),'2.4 PV (by Borough)'!X309,IF(Dashboard!$D$6=INDEX('Scenario names'!$C$3:$C$6,2),'2.4 PV (by Borough)'!X309,IF(Dashboard!$D$6=INDEX('Scenario names'!$C$3:$C$6,3),'2.4 PV (by Borough)'!X350,"Error")))))</f>
        <v>961728.50332094752</v>
      </c>
      <c r="Y391" s="36">
        <f>IF(Dashboard!$D$6="Baseline",'2.4 PV (by Borough)'!Y227,IF(Dashboard!$D$6=INDEX('Scenario names'!$C$3:$C$6,4),'2.4 PV (by Borough)'!Y350,IF(Dashboard!$D$6=INDEX('Scenario names'!$C$3:$C$6,1),'2.4 PV (by Borough)'!Y309,IF(Dashboard!$D$6=INDEX('Scenario names'!$C$3:$C$6,2),'2.4 PV (by Borough)'!Y309,IF(Dashboard!$D$6=INDEX('Scenario names'!$C$3:$C$6,3),'2.4 PV (by Borough)'!Y350,"Error")))))</f>
        <v>1054479.2520334693</v>
      </c>
      <c r="Z391" s="36">
        <f>IF(Dashboard!$D$6="Baseline",'2.4 PV (by Borough)'!Z227,IF(Dashboard!$D$6=INDEX('Scenario names'!$C$3:$C$6,4),'2.4 PV (by Borough)'!Z350,IF(Dashboard!$D$6=INDEX('Scenario names'!$C$3:$C$6,1),'2.4 PV (by Borough)'!Z309,IF(Dashboard!$D$6=INDEX('Scenario names'!$C$3:$C$6,2),'2.4 PV (by Borough)'!Z309,IF(Dashboard!$D$6=INDEX('Scenario names'!$C$3:$C$6,3),'2.4 PV (by Borough)'!Z350,"Error")))))</f>
        <v>1182439.3726744133</v>
      </c>
      <c r="AA391" s="36">
        <f>IF(Dashboard!$D$6="Baseline",'2.4 PV (by Borough)'!AA227,IF(Dashboard!$D$6=INDEX('Scenario names'!$C$3:$C$6,4),'2.4 PV (by Borough)'!AA350,IF(Dashboard!$D$6=INDEX('Scenario names'!$C$3:$C$6,1),'2.4 PV (by Borough)'!AA309,IF(Dashboard!$D$6=INDEX('Scenario names'!$C$3:$C$6,2),'2.4 PV (by Borough)'!AA309,IF(Dashboard!$D$6=INDEX('Scenario names'!$C$3:$C$6,3),'2.4 PV (by Borough)'!AA350,"Error")))))</f>
        <v>1310399.4933153577</v>
      </c>
      <c r="AB391" s="36">
        <f>IF(Dashboard!$D$6="Baseline",'2.4 PV (by Borough)'!AB227,IF(Dashboard!$D$6=INDEX('Scenario names'!$C$3:$C$6,4),'2.4 PV (by Borough)'!AB350,IF(Dashboard!$D$6=INDEX('Scenario names'!$C$3:$C$6,1),'2.4 PV (by Borough)'!AB309,IF(Dashboard!$D$6=INDEX('Scenario names'!$C$3:$C$6,2),'2.4 PV (by Borough)'!AB309,IF(Dashboard!$D$6=INDEX('Scenario names'!$C$3:$C$6,3),'2.4 PV (by Borough)'!AB350,"Error")))))</f>
        <v>1438359.6139563022</v>
      </c>
      <c r="AC391" s="36">
        <f>IF(Dashboard!$D$6="Baseline",'2.4 PV (by Borough)'!AC227,IF(Dashboard!$D$6=INDEX('Scenario names'!$C$3:$C$6,4),'2.4 PV (by Borough)'!AC350,IF(Dashboard!$D$6=INDEX('Scenario names'!$C$3:$C$6,1),'2.4 PV (by Borough)'!AC309,IF(Dashboard!$D$6=INDEX('Scenario names'!$C$3:$C$6,2),'2.4 PV (by Borough)'!AC309,IF(Dashboard!$D$6=INDEX('Scenario names'!$C$3:$C$6,3),'2.4 PV (by Borough)'!AC350,"Error")))))</f>
        <v>1566319.7345972455</v>
      </c>
      <c r="AD391" s="36">
        <f>IF(Dashboard!$D$6="Baseline",'2.4 PV (by Borough)'!AD227,IF(Dashboard!$D$6=INDEX('Scenario names'!$C$3:$C$6,4),'2.4 PV (by Borough)'!AD350,IF(Dashboard!$D$6=INDEX('Scenario names'!$C$3:$C$6,1),'2.4 PV (by Borough)'!AD309,IF(Dashboard!$D$6=INDEX('Scenario names'!$C$3:$C$6,2),'2.4 PV (by Borough)'!AD309,IF(Dashboard!$D$6=INDEX('Scenario names'!$C$3:$C$6,3),'2.4 PV (by Borough)'!AD350,"Error")))))</f>
        <v>1694279.8552381902</v>
      </c>
      <c r="AE391" s="36">
        <f>IF(Dashboard!$D$6="Baseline",'2.4 PV (by Borough)'!AE227,IF(Dashboard!$D$6=INDEX('Scenario names'!$C$3:$C$6,4),'2.4 PV (by Borough)'!AE350,IF(Dashboard!$D$6=INDEX('Scenario names'!$C$3:$C$6,1),'2.4 PV (by Borough)'!AE309,IF(Dashboard!$D$6=INDEX('Scenario names'!$C$3:$C$6,2),'2.4 PV (by Borough)'!AE309,IF(Dashboard!$D$6=INDEX('Scenario names'!$C$3:$C$6,3),'2.4 PV (by Borough)'!AE350,"Error")))))</f>
        <v>1822239.9758791339</v>
      </c>
      <c r="AF391" s="36">
        <f>IF(Dashboard!$D$6="Baseline",'2.4 PV (by Borough)'!AF227,IF(Dashboard!$D$6=INDEX('Scenario names'!$C$3:$C$6,4),'2.4 PV (by Borough)'!AF350,IF(Dashboard!$D$6=INDEX('Scenario names'!$C$3:$C$6,1),'2.4 PV (by Borough)'!AF309,IF(Dashboard!$D$6=INDEX('Scenario names'!$C$3:$C$6,2),'2.4 PV (by Borough)'!AF309,IF(Dashboard!$D$6=INDEX('Scenario names'!$C$3:$C$6,3),'2.4 PV (by Borough)'!AF350,"Error")))))</f>
        <v>1950200.0965200781</v>
      </c>
      <c r="AG391" s="36">
        <f>IF(Dashboard!$D$6="Baseline",'2.4 PV (by Borough)'!AG227,IF(Dashboard!$D$6=INDEX('Scenario names'!$C$3:$C$6,4),'2.4 PV (by Borough)'!AG350,IF(Dashboard!$D$6=INDEX('Scenario names'!$C$3:$C$6,1),'2.4 PV (by Borough)'!AG309,IF(Dashboard!$D$6=INDEX('Scenario names'!$C$3:$C$6,2),'2.4 PV (by Borough)'!AG309,IF(Dashboard!$D$6=INDEX('Scenario names'!$C$3:$C$6,3),'2.4 PV (by Borough)'!AG350,"Error")))))</f>
        <v>2078160.2171610224</v>
      </c>
      <c r="AH391" s="36">
        <f>IF(Dashboard!$D$6="Baseline",'2.4 PV (by Borough)'!AH227,IF(Dashboard!$D$6=INDEX('Scenario names'!$C$3:$C$6,4),'2.4 PV (by Borough)'!AH350,IF(Dashboard!$D$6=INDEX('Scenario names'!$C$3:$C$6,1),'2.4 PV (by Borough)'!AH309,IF(Dashboard!$D$6=INDEX('Scenario names'!$C$3:$C$6,2),'2.4 PV (by Borough)'!AH309,IF(Dashboard!$D$6=INDEX('Scenario names'!$C$3:$C$6,3),'2.4 PV (by Borough)'!AH350,"Error")))))</f>
        <v>2206120.3378019659</v>
      </c>
      <c r="AI391" s="36">
        <f>IF(Dashboard!$D$6="Baseline",'2.4 PV (by Borough)'!AI227,IF(Dashboard!$D$6=INDEX('Scenario names'!$C$3:$C$6,4),'2.4 PV (by Borough)'!AI350,IF(Dashboard!$D$6=INDEX('Scenario names'!$C$3:$C$6,1),'2.4 PV (by Borough)'!AI309,IF(Dashboard!$D$6=INDEX('Scenario names'!$C$3:$C$6,2),'2.4 PV (by Borough)'!AI309,IF(Dashboard!$D$6=INDEX('Scenario names'!$C$3:$C$6,3),'2.4 PV (by Borough)'!AI350,"Error")))))</f>
        <v>2334080.4584429101</v>
      </c>
      <c r="AJ391" s="36">
        <f>IF(Dashboard!$D$6="Baseline",'2.4 PV (by Borough)'!AJ227,IF(Dashboard!$D$6=INDEX('Scenario names'!$C$3:$C$6,4),'2.4 PV (by Borough)'!AJ350,IF(Dashboard!$D$6=INDEX('Scenario names'!$C$3:$C$6,1),'2.4 PV (by Borough)'!AJ309,IF(Dashboard!$D$6=INDEX('Scenario names'!$C$3:$C$6,2),'2.4 PV (by Borough)'!AJ309,IF(Dashboard!$D$6=INDEX('Scenario names'!$C$3:$C$6,3),'2.4 PV (by Borough)'!AJ350,"Error")))))</f>
        <v>2462040.5790838548</v>
      </c>
      <c r="AK391" s="36">
        <f>IF(Dashboard!$D$6="Baseline",'2.4 PV (by Borough)'!AK227,IF(Dashboard!$D$6=INDEX('Scenario names'!$C$3:$C$6,4),'2.4 PV (by Borough)'!AK350,IF(Dashboard!$D$6=INDEX('Scenario names'!$C$3:$C$6,1),'2.4 PV (by Borough)'!AK309,IF(Dashboard!$D$6=INDEX('Scenario names'!$C$3:$C$6,2),'2.4 PV (by Borough)'!AK309,IF(Dashboard!$D$6=INDEX('Scenario names'!$C$3:$C$6,3),'2.4 PV (by Borough)'!AK350,"Error")))))</f>
        <v>2590000.6997247986</v>
      </c>
      <c r="AL391" s="36">
        <f>IF(Dashboard!$D$6="Baseline",'2.4 PV (by Borough)'!AL227,IF(Dashboard!$D$6=INDEX('Scenario names'!$C$3:$C$6,4),'2.4 PV (by Borough)'!AL350,IF(Dashboard!$D$6=INDEX('Scenario names'!$C$3:$C$6,1),'2.4 PV (by Borough)'!AL309,IF(Dashboard!$D$6=INDEX('Scenario names'!$C$3:$C$6,2),'2.4 PV (by Borough)'!AL309,IF(Dashboard!$D$6=INDEX('Scenario names'!$C$3:$C$6,3),'2.4 PV (by Borough)'!AL350,"Error")))))</f>
        <v>2717960.8203657432</v>
      </c>
      <c r="AM391" s="36">
        <f>IF(Dashboard!$D$6="Baseline",'2.4 PV (by Borough)'!AM227,IF(Dashboard!$D$6=INDEX('Scenario names'!$C$3:$C$6,4),'2.4 PV (by Borough)'!AM350,IF(Dashboard!$D$6=INDEX('Scenario names'!$C$3:$C$6,1),'2.4 PV (by Borough)'!AM309,IF(Dashboard!$D$6=INDEX('Scenario names'!$C$3:$C$6,2),'2.4 PV (by Borough)'!AM309,IF(Dashboard!$D$6=INDEX('Scenario names'!$C$3:$C$6,3),'2.4 PV (by Borough)'!AM350,"Error")))))</f>
        <v>2845920.941006687</v>
      </c>
      <c r="AN391" s="36">
        <f>IF(Dashboard!$D$6="Baseline",'2.4 PV (by Borough)'!AN227,IF(Dashboard!$D$6=INDEX('Scenario names'!$C$3:$C$6,4),'2.4 PV (by Borough)'!AN350,IF(Dashboard!$D$6=INDEX('Scenario names'!$C$3:$C$6,1),'2.4 PV (by Borough)'!AN309,IF(Dashboard!$D$6=INDEX('Scenario names'!$C$3:$C$6,2),'2.4 PV (by Borough)'!AN309,IF(Dashboard!$D$6=INDEX('Scenario names'!$C$3:$C$6,3),'2.4 PV (by Borough)'!AN350,"Error")))))</f>
        <v>2973881.0616476312</v>
      </c>
      <c r="AO391" s="36">
        <f>IF(Dashboard!$D$6="Baseline",'2.4 PV (by Borough)'!AO227,IF(Dashboard!$D$6=INDEX('Scenario names'!$C$3:$C$6,4),'2.4 PV (by Borough)'!AO350,IF(Dashboard!$D$6=INDEX('Scenario names'!$C$3:$C$6,1),'2.4 PV (by Borough)'!AO309,IF(Dashboard!$D$6=INDEX('Scenario names'!$C$3:$C$6,2),'2.4 PV (by Borough)'!AO309,IF(Dashboard!$D$6=INDEX('Scenario names'!$C$3:$C$6,3),'2.4 PV (by Borough)'!AO350,"Error")))))</f>
        <v>3101841.1822885755</v>
      </c>
      <c r="AP391" s="36">
        <f>IF(Dashboard!$D$6="Baseline",'2.4 PV (by Borough)'!AP227,IF(Dashboard!$D$6=INDEX('Scenario names'!$C$3:$C$6,4),'2.4 PV (by Borough)'!AP350,IF(Dashboard!$D$6=INDEX('Scenario names'!$C$3:$C$6,1),'2.4 PV (by Borough)'!AP309,IF(Dashboard!$D$6=INDEX('Scenario names'!$C$3:$C$6,2),'2.4 PV (by Borough)'!AP309,IF(Dashboard!$D$6=INDEX('Scenario names'!$C$3:$C$6,3),'2.4 PV (by Borough)'!AP350,"Error")))))</f>
        <v>3229801.3029295197</v>
      </c>
      <c r="AQ391" s="36">
        <f>IF(Dashboard!$D$6="Baseline",'2.4 PV (by Borough)'!AQ227,IF(Dashboard!$D$6=INDEX('Scenario names'!$C$3:$C$6,4),'2.4 PV (by Borough)'!AQ350,IF(Dashboard!$D$6=INDEX('Scenario names'!$C$3:$C$6,1),'2.4 PV (by Borough)'!AQ309,IF(Dashboard!$D$6=INDEX('Scenario names'!$C$3:$C$6,2),'2.4 PV (by Borough)'!AQ309,IF(Dashboard!$D$6=INDEX('Scenario names'!$C$3:$C$6,3),'2.4 PV (by Borough)'!AQ350,"Error")))))</f>
        <v>3357761.423570463</v>
      </c>
      <c r="AR391" s="36">
        <f>IF(Dashboard!$D$6="Baseline",'2.4 PV (by Borough)'!AR227,IF(Dashboard!$D$6=INDEX('Scenario names'!$C$3:$C$6,4),'2.4 PV (by Borough)'!AR350,IF(Dashboard!$D$6=INDEX('Scenario names'!$C$3:$C$6,1),'2.4 PV (by Borough)'!AR309,IF(Dashboard!$D$6=INDEX('Scenario names'!$C$3:$C$6,2),'2.4 PV (by Borough)'!AR309,IF(Dashboard!$D$6=INDEX('Scenario names'!$C$3:$C$6,3),'2.4 PV (by Borough)'!AR350,"Error")))))</f>
        <v>3485721.5442114081</v>
      </c>
      <c r="AS391" s="36">
        <f>IF(Dashboard!$D$6="Baseline",'2.4 PV (by Borough)'!AS227,IF(Dashboard!$D$6=INDEX('Scenario names'!$C$3:$C$6,4),'2.4 PV (by Borough)'!AS350,IF(Dashboard!$D$6=INDEX('Scenario names'!$C$3:$C$6,1),'2.4 PV (by Borough)'!AS309,IF(Dashboard!$D$6=INDEX('Scenario names'!$C$3:$C$6,2),'2.4 PV (by Borough)'!AS309,IF(Dashboard!$D$6=INDEX('Scenario names'!$C$3:$C$6,3),'2.4 PV (by Borough)'!AS350,"Error")))))</f>
        <v>3613681.6648523523</v>
      </c>
      <c r="AT391" s="36">
        <f>IF(Dashboard!$D$6="Baseline",'2.4 PV (by Borough)'!AT227,IF(Dashboard!$D$6=INDEX('Scenario names'!$C$3:$C$6,4),'2.4 PV (by Borough)'!AT350,IF(Dashboard!$D$6=INDEX('Scenario names'!$C$3:$C$6,1),'2.4 PV (by Borough)'!AT309,IF(Dashboard!$D$6=INDEX('Scenario names'!$C$3:$C$6,2),'2.4 PV (by Borough)'!AT309,IF(Dashboard!$D$6=INDEX('Scenario names'!$C$3:$C$6,3),'2.4 PV (by Borough)'!AT350,"Error")))))</f>
        <v>3741641.7854932966</v>
      </c>
      <c r="AU391" s="36">
        <f>IF(Dashboard!$D$6="Baseline",'2.4 PV (by Borough)'!AU227,IF(Dashboard!$D$6=INDEX('Scenario names'!$C$3:$C$6,4),'2.4 PV (by Borough)'!AU350,IF(Dashboard!$D$6=INDEX('Scenario names'!$C$3:$C$6,1),'2.4 PV (by Borough)'!AU309,IF(Dashboard!$D$6=INDEX('Scenario names'!$C$3:$C$6,2),'2.4 PV (by Borough)'!AU309,IF(Dashboard!$D$6=INDEX('Scenario names'!$C$3:$C$6,3),'2.4 PV (by Borough)'!AU350,"Error")))))</f>
        <v>3869601.9061342408</v>
      </c>
      <c r="AV391" s="36">
        <f>IF(Dashboard!$D$6="Baseline",'2.4 PV (by Borough)'!AV227,IF(Dashboard!$D$6=INDEX('Scenario names'!$C$3:$C$6,4),'2.4 PV (by Borough)'!AV350,IF(Dashboard!$D$6=INDEX('Scenario names'!$C$3:$C$6,1),'2.4 PV (by Borough)'!AV309,IF(Dashboard!$D$6=INDEX('Scenario names'!$C$3:$C$6,2),'2.4 PV (by Borough)'!AV309,IF(Dashboard!$D$6=INDEX('Scenario names'!$C$3:$C$6,3),'2.4 PV (by Borough)'!AV350,"Error")))))</f>
        <v>3997562.0267751841</v>
      </c>
      <c r="AW391" s="36">
        <f>IF(Dashboard!$D$6="Baseline",'2.4 PV (by Borough)'!AW227,IF(Dashboard!$D$6=INDEX('Scenario names'!$C$3:$C$6,4),'2.4 PV (by Borough)'!AW350,IF(Dashboard!$D$6=INDEX('Scenario names'!$C$3:$C$6,1),'2.4 PV (by Borough)'!AW309,IF(Dashboard!$D$6=INDEX('Scenario names'!$C$3:$C$6,2),'2.4 PV (by Borough)'!AW309,IF(Dashboard!$D$6=INDEX('Scenario names'!$C$3:$C$6,3),'2.4 PV (by Borough)'!AW350,"Error")))))</f>
        <v>4125522.1474161274</v>
      </c>
      <c r="AX391" s="36">
        <f>IF(Dashboard!$D$6="Baseline",'2.4 PV (by Borough)'!AX227,IF(Dashboard!$D$6=INDEX('Scenario names'!$C$3:$C$6,4),'2.4 PV (by Borough)'!AX350,IF(Dashboard!$D$6=INDEX('Scenario names'!$C$3:$C$6,1),'2.4 PV (by Borough)'!AX309,IF(Dashboard!$D$6=INDEX('Scenario names'!$C$3:$C$6,2),'2.4 PV (by Borough)'!AX309,IF(Dashboard!$D$6=INDEX('Scenario names'!$C$3:$C$6,3),'2.4 PV (by Borough)'!AX350,"Error")))))</f>
        <v>4253482.2680570716</v>
      </c>
      <c r="AY391" s="36"/>
      <c r="AZ391" s="36"/>
      <c r="BA391" s="36"/>
      <c r="BB391" s="36"/>
    </row>
    <row r="392" spans="4:54">
      <c r="D392" t="s">
        <v>661</v>
      </c>
      <c r="E392" t="s">
        <v>640</v>
      </c>
      <c r="G392" s="44"/>
      <c r="I392" s="44"/>
      <c r="K392" s="44"/>
      <c r="M392" s="44"/>
      <c r="O392" s="36">
        <f>IF(Dashboard!$D$6="Baseline",'2.4 PV (by Borough)'!O228,IF(Dashboard!$D$6=INDEX('Scenario names'!$C$3:$C$6,4),'2.4 PV (by Borough)'!O351,IF(Dashboard!$D$6=INDEX('Scenario names'!$C$3:$C$6,1),'2.4 PV (by Borough)'!O310,IF(Dashboard!$D$6=INDEX('Scenario names'!$C$3:$C$6,2),'2.4 PV (by Borough)'!O310,IF(Dashboard!$D$6=INDEX('Scenario names'!$C$3:$C$6,3),'2.4 PV (by Borough)'!O351,"Error")))))</f>
        <v>197029.53943715748</v>
      </c>
      <c r="P392" s="36">
        <f>IF(Dashboard!$D$6="Baseline",'2.4 PV (by Borough)'!P228,IF(Dashboard!$D$6=INDEX('Scenario names'!$C$3:$C$6,4),'2.4 PV (by Borough)'!P351,IF(Dashboard!$D$6=INDEX('Scenario names'!$C$3:$C$6,1),'2.4 PV (by Borough)'!P310,IF(Dashboard!$D$6=INDEX('Scenario names'!$C$3:$C$6,2),'2.4 PV (by Borough)'!P310,IF(Dashboard!$D$6=INDEX('Scenario names'!$C$3:$C$6,3),'2.4 PV (by Borough)'!P351,"Error")))))</f>
        <v>330081.47887619736</v>
      </c>
      <c r="Q392" s="36">
        <f>IF(Dashboard!$D$6="Baseline",'2.4 PV (by Borough)'!Q228,IF(Dashboard!$D$6=INDEX('Scenario names'!$C$3:$C$6,4),'2.4 PV (by Borough)'!Q351,IF(Dashboard!$D$6=INDEX('Scenario names'!$C$3:$C$6,1),'2.4 PV (by Borough)'!Q310,IF(Dashboard!$D$6=INDEX('Scenario names'!$C$3:$C$6,2),'2.4 PV (by Borough)'!Q310,IF(Dashboard!$D$6=INDEX('Scenario names'!$C$3:$C$6,3),'2.4 PV (by Borough)'!Q351,"Error")))))</f>
        <v>463133.41831523721</v>
      </c>
      <c r="R392" s="36">
        <f>IF(Dashboard!$D$6="Baseline",'2.4 PV (by Borough)'!R228,IF(Dashboard!$D$6=INDEX('Scenario names'!$C$3:$C$6,4),'2.4 PV (by Borough)'!R351,IF(Dashboard!$D$6=INDEX('Scenario names'!$C$3:$C$6,1),'2.4 PV (by Borough)'!R310,IF(Dashboard!$D$6=INDEX('Scenario names'!$C$3:$C$6,2),'2.4 PV (by Borough)'!R310,IF(Dashboard!$D$6=INDEX('Scenario names'!$C$3:$C$6,3),'2.4 PV (by Borough)'!R351,"Error")))))</f>
        <v>596185.35775427718</v>
      </c>
      <c r="S392" s="36">
        <f>IF(Dashboard!$D$6="Baseline",'2.4 PV (by Borough)'!S228,IF(Dashboard!$D$6=INDEX('Scenario names'!$C$3:$C$6,4),'2.4 PV (by Borough)'!S351,IF(Dashboard!$D$6=INDEX('Scenario names'!$C$3:$C$6,1),'2.4 PV (by Borough)'!S310,IF(Dashboard!$D$6=INDEX('Scenario names'!$C$3:$C$6,2),'2.4 PV (by Borough)'!S310,IF(Dashboard!$D$6=INDEX('Scenario names'!$C$3:$C$6,3),'2.4 PV (by Borough)'!S351,"Error")))))</f>
        <v>729237.29719331686</v>
      </c>
      <c r="T392" s="36">
        <f>IF(Dashboard!$D$6="Baseline",'2.4 PV (by Borough)'!T228,IF(Dashboard!$D$6=INDEX('Scenario names'!$C$3:$C$6,4),'2.4 PV (by Borough)'!T351,IF(Dashboard!$D$6=INDEX('Scenario names'!$C$3:$C$6,1),'2.4 PV (by Borough)'!T310,IF(Dashboard!$D$6=INDEX('Scenario names'!$C$3:$C$6,2),'2.4 PV (by Borough)'!T310,IF(Dashboard!$D$6=INDEX('Scenario names'!$C$3:$C$6,3),'2.4 PV (by Borough)'!T351,"Error")))))</f>
        <v>862289.236632357</v>
      </c>
      <c r="U392" s="36">
        <f>IF(Dashboard!$D$6="Baseline",'2.4 PV (by Borough)'!U228,IF(Dashboard!$D$6=INDEX('Scenario names'!$C$3:$C$6,4),'2.4 PV (by Borough)'!U351,IF(Dashboard!$D$6=INDEX('Scenario names'!$C$3:$C$6,1),'2.4 PV (by Borough)'!U310,IF(Dashboard!$D$6=INDEX('Scenario names'!$C$3:$C$6,2),'2.4 PV (by Borough)'!U310,IF(Dashboard!$D$6=INDEX('Scenario names'!$C$3:$C$6,3),'2.4 PV (by Borough)'!U351,"Error")))))</f>
        <v>995341.1760713968</v>
      </c>
      <c r="V392" s="36">
        <f>IF(Dashboard!$D$6="Baseline",'2.4 PV (by Borough)'!V228,IF(Dashboard!$D$6=INDEX('Scenario names'!$C$3:$C$6,4),'2.4 PV (by Borough)'!V351,IF(Dashboard!$D$6=INDEX('Scenario names'!$C$3:$C$6,1),'2.4 PV (by Borough)'!V310,IF(Dashboard!$D$6=INDEX('Scenario names'!$C$3:$C$6,2),'2.4 PV (by Borough)'!V310,IF(Dashboard!$D$6=INDEX('Scenario names'!$C$3:$C$6,3),'2.4 PV (by Borough)'!V351,"Error")))))</f>
        <v>1128393.1155104365</v>
      </c>
      <c r="W392" s="36">
        <f>IF(Dashboard!$D$6="Baseline",'2.4 PV (by Borough)'!W228,IF(Dashboard!$D$6=INDEX('Scenario names'!$C$3:$C$6,4),'2.4 PV (by Borough)'!W351,IF(Dashboard!$D$6=INDEX('Scenario names'!$C$3:$C$6,1),'2.4 PV (by Borough)'!W310,IF(Dashboard!$D$6=INDEX('Scenario names'!$C$3:$C$6,2),'2.4 PV (by Borough)'!W310,IF(Dashboard!$D$6=INDEX('Scenario names'!$C$3:$C$6,3),'2.4 PV (by Borough)'!W351,"Error")))))</f>
        <v>1261445.0549494764</v>
      </c>
      <c r="X392" s="36">
        <f>IF(Dashboard!$D$6="Baseline",'2.4 PV (by Borough)'!X228,IF(Dashboard!$D$6=INDEX('Scenario names'!$C$3:$C$6,4),'2.4 PV (by Borough)'!X351,IF(Dashboard!$D$6=INDEX('Scenario names'!$C$3:$C$6,1),'2.4 PV (by Borough)'!X310,IF(Dashboard!$D$6=INDEX('Scenario names'!$C$3:$C$6,2),'2.4 PV (by Borough)'!X310,IF(Dashboard!$D$6=INDEX('Scenario names'!$C$3:$C$6,3),'2.4 PV (by Borough)'!X351,"Error")))))</f>
        <v>1394496.994388517</v>
      </c>
      <c r="Y392" s="36">
        <f>IF(Dashboard!$D$6="Baseline",'2.4 PV (by Borough)'!Y228,IF(Dashboard!$D$6=INDEX('Scenario names'!$C$3:$C$6,4),'2.4 PV (by Borough)'!Y351,IF(Dashboard!$D$6=INDEX('Scenario names'!$C$3:$C$6,1),'2.4 PV (by Borough)'!Y310,IF(Dashboard!$D$6=INDEX('Scenario names'!$C$3:$C$6,2),'2.4 PV (by Borough)'!Y310,IF(Dashboard!$D$6=INDEX('Scenario names'!$C$3:$C$6,3),'2.4 PV (by Borough)'!Y351,"Error")))))</f>
        <v>1527548.9338275567</v>
      </c>
      <c r="Z392" s="36">
        <f>IF(Dashboard!$D$6="Baseline",'2.4 PV (by Borough)'!Z228,IF(Dashboard!$D$6=INDEX('Scenario names'!$C$3:$C$6,4),'2.4 PV (by Borough)'!Z351,IF(Dashboard!$D$6=INDEX('Scenario names'!$C$3:$C$6,1),'2.4 PV (by Borough)'!Z310,IF(Dashboard!$D$6=INDEX('Scenario names'!$C$3:$C$6,2),'2.4 PV (by Borough)'!Z310,IF(Dashboard!$D$6=INDEX('Scenario names'!$C$3:$C$6,3),'2.4 PV (by Borough)'!Z351,"Error")))))</f>
        <v>1713851.7223430444</v>
      </c>
      <c r="AA392" s="36">
        <f>IF(Dashboard!$D$6="Baseline",'2.4 PV (by Borough)'!AA228,IF(Dashboard!$D$6=INDEX('Scenario names'!$C$3:$C$6,4),'2.4 PV (by Borough)'!AA351,IF(Dashboard!$D$6=INDEX('Scenario names'!$C$3:$C$6,1),'2.4 PV (by Borough)'!AA310,IF(Dashboard!$D$6=INDEX('Scenario names'!$C$3:$C$6,2),'2.4 PV (by Borough)'!AA310,IF(Dashboard!$D$6=INDEX('Scenario names'!$C$3:$C$6,3),'2.4 PV (by Borough)'!AA351,"Error")))))</f>
        <v>1900154.5108585323</v>
      </c>
      <c r="AB392" s="36">
        <f>IF(Dashboard!$D$6="Baseline",'2.4 PV (by Borough)'!AB228,IF(Dashboard!$D$6=INDEX('Scenario names'!$C$3:$C$6,4),'2.4 PV (by Borough)'!AB351,IF(Dashboard!$D$6=INDEX('Scenario names'!$C$3:$C$6,1),'2.4 PV (by Borough)'!AB310,IF(Dashboard!$D$6=INDEX('Scenario names'!$C$3:$C$6,2),'2.4 PV (by Borough)'!AB310,IF(Dashboard!$D$6=INDEX('Scenario names'!$C$3:$C$6,3),'2.4 PV (by Borough)'!AB351,"Error")))))</f>
        <v>2086457.29937402</v>
      </c>
      <c r="AC392" s="36">
        <f>IF(Dashboard!$D$6="Baseline",'2.4 PV (by Borough)'!AC228,IF(Dashboard!$D$6=INDEX('Scenario names'!$C$3:$C$6,4),'2.4 PV (by Borough)'!AC351,IF(Dashboard!$D$6=INDEX('Scenario names'!$C$3:$C$6,1),'2.4 PV (by Borough)'!AC310,IF(Dashboard!$D$6=INDEX('Scenario names'!$C$3:$C$6,2),'2.4 PV (by Borough)'!AC310,IF(Dashboard!$D$6=INDEX('Scenario names'!$C$3:$C$6,3),'2.4 PV (by Borough)'!AC351,"Error")))))</f>
        <v>2272760.0878895083</v>
      </c>
      <c r="AD392" s="36">
        <f>IF(Dashboard!$D$6="Baseline",'2.4 PV (by Borough)'!AD228,IF(Dashboard!$D$6=INDEX('Scenario names'!$C$3:$C$6,4),'2.4 PV (by Borough)'!AD351,IF(Dashboard!$D$6=INDEX('Scenario names'!$C$3:$C$6,1),'2.4 PV (by Borough)'!AD310,IF(Dashboard!$D$6=INDEX('Scenario names'!$C$3:$C$6,2),'2.4 PV (by Borough)'!AD310,IF(Dashboard!$D$6=INDEX('Scenario names'!$C$3:$C$6,3),'2.4 PV (by Borough)'!AD351,"Error")))))</f>
        <v>2459062.876404996</v>
      </c>
      <c r="AE392" s="36">
        <f>IF(Dashboard!$D$6="Baseline",'2.4 PV (by Borough)'!AE228,IF(Dashboard!$D$6=INDEX('Scenario names'!$C$3:$C$6,4),'2.4 PV (by Borough)'!AE351,IF(Dashboard!$D$6=INDEX('Scenario names'!$C$3:$C$6,1),'2.4 PV (by Borough)'!AE310,IF(Dashboard!$D$6=INDEX('Scenario names'!$C$3:$C$6,2),'2.4 PV (by Borough)'!AE310,IF(Dashboard!$D$6=INDEX('Scenario names'!$C$3:$C$6,3),'2.4 PV (by Borough)'!AE351,"Error")))))</f>
        <v>2645365.6649204846</v>
      </c>
      <c r="AF392" s="36">
        <f>IF(Dashboard!$D$6="Baseline",'2.4 PV (by Borough)'!AF228,IF(Dashboard!$D$6=INDEX('Scenario names'!$C$3:$C$6,4),'2.4 PV (by Borough)'!AF351,IF(Dashboard!$D$6=INDEX('Scenario names'!$C$3:$C$6,1),'2.4 PV (by Borough)'!AF310,IF(Dashboard!$D$6=INDEX('Scenario names'!$C$3:$C$6,2),'2.4 PV (by Borough)'!AF310,IF(Dashboard!$D$6=INDEX('Scenario names'!$C$3:$C$6,3),'2.4 PV (by Borough)'!AF351,"Error")))))</f>
        <v>2831668.4534359733</v>
      </c>
      <c r="AG392" s="36">
        <f>IF(Dashboard!$D$6="Baseline",'2.4 PV (by Borough)'!AG228,IF(Dashboard!$D$6=INDEX('Scenario names'!$C$3:$C$6,4),'2.4 PV (by Borough)'!AG351,IF(Dashboard!$D$6=INDEX('Scenario names'!$C$3:$C$6,1),'2.4 PV (by Borough)'!AG310,IF(Dashboard!$D$6=INDEX('Scenario names'!$C$3:$C$6,2),'2.4 PV (by Borough)'!AG310,IF(Dashboard!$D$6=INDEX('Scenario names'!$C$3:$C$6,3),'2.4 PV (by Borough)'!AG351,"Error")))))</f>
        <v>3017971.24195146</v>
      </c>
      <c r="AH392" s="36">
        <f>IF(Dashboard!$D$6="Baseline",'2.4 PV (by Borough)'!AH228,IF(Dashboard!$D$6=INDEX('Scenario names'!$C$3:$C$6,4),'2.4 PV (by Borough)'!AH351,IF(Dashboard!$D$6=INDEX('Scenario names'!$C$3:$C$6,1),'2.4 PV (by Borough)'!AH310,IF(Dashboard!$D$6=INDEX('Scenario names'!$C$3:$C$6,2),'2.4 PV (by Borough)'!AH310,IF(Dashboard!$D$6=INDEX('Scenario names'!$C$3:$C$6,3),'2.4 PV (by Borough)'!AH351,"Error")))))</f>
        <v>3204274.0304669486</v>
      </c>
      <c r="AI392" s="36">
        <f>IF(Dashboard!$D$6="Baseline",'2.4 PV (by Borough)'!AI228,IF(Dashboard!$D$6=INDEX('Scenario names'!$C$3:$C$6,4),'2.4 PV (by Borough)'!AI351,IF(Dashboard!$D$6=INDEX('Scenario names'!$C$3:$C$6,1),'2.4 PV (by Borough)'!AI310,IF(Dashboard!$D$6=INDEX('Scenario names'!$C$3:$C$6,2),'2.4 PV (by Borough)'!AI310,IF(Dashboard!$D$6=INDEX('Scenario names'!$C$3:$C$6,3),'2.4 PV (by Borough)'!AI351,"Error")))))</f>
        <v>3390576.8189824373</v>
      </c>
      <c r="AJ392" s="36">
        <f>IF(Dashboard!$D$6="Baseline",'2.4 PV (by Borough)'!AJ228,IF(Dashboard!$D$6=INDEX('Scenario names'!$C$3:$C$6,4),'2.4 PV (by Borough)'!AJ351,IF(Dashboard!$D$6=INDEX('Scenario names'!$C$3:$C$6,1),'2.4 PV (by Borough)'!AJ310,IF(Dashboard!$D$6=INDEX('Scenario names'!$C$3:$C$6,2),'2.4 PV (by Borough)'!AJ310,IF(Dashboard!$D$6=INDEX('Scenario names'!$C$3:$C$6,3),'2.4 PV (by Borough)'!AJ351,"Error")))))</f>
        <v>3576879.6074979235</v>
      </c>
      <c r="AK392" s="36">
        <f>IF(Dashboard!$D$6="Baseline",'2.4 PV (by Borough)'!AK228,IF(Dashboard!$D$6=INDEX('Scenario names'!$C$3:$C$6,4),'2.4 PV (by Borough)'!AK351,IF(Dashboard!$D$6=INDEX('Scenario names'!$C$3:$C$6,1),'2.4 PV (by Borough)'!AK310,IF(Dashboard!$D$6=INDEX('Scenario names'!$C$3:$C$6,2),'2.4 PV (by Borough)'!AK310,IF(Dashboard!$D$6=INDEX('Scenario names'!$C$3:$C$6,3),'2.4 PV (by Borough)'!AK351,"Error")))))</f>
        <v>3763182.3960134126</v>
      </c>
      <c r="AL392" s="36">
        <f>IF(Dashboard!$D$6="Baseline",'2.4 PV (by Borough)'!AL228,IF(Dashboard!$D$6=INDEX('Scenario names'!$C$3:$C$6,4),'2.4 PV (by Borough)'!AL351,IF(Dashboard!$D$6=INDEX('Scenario names'!$C$3:$C$6,1),'2.4 PV (by Borough)'!AL310,IF(Dashboard!$D$6=INDEX('Scenario names'!$C$3:$C$6,2),'2.4 PV (by Borough)'!AL310,IF(Dashboard!$D$6=INDEX('Scenario names'!$C$3:$C$6,3),'2.4 PV (by Borough)'!AL351,"Error")))))</f>
        <v>3949485.1845289022</v>
      </c>
      <c r="AM392" s="36">
        <f>IF(Dashboard!$D$6="Baseline",'2.4 PV (by Borough)'!AM228,IF(Dashboard!$D$6=INDEX('Scenario names'!$C$3:$C$6,4),'2.4 PV (by Borough)'!AM351,IF(Dashboard!$D$6=INDEX('Scenario names'!$C$3:$C$6,1),'2.4 PV (by Borough)'!AM310,IF(Dashboard!$D$6=INDEX('Scenario names'!$C$3:$C$6,2),'2.4 PV (by Borough)'!AM310,IF(Dashboard!$D$6=INDEX('Scenario names'!$C$3:$C$6,3),'2.4 PV (by Borough)'!AM351,"Error")))))</f>
        <v>4135787.9730443894</v>
      </c>
      <c r="AN392" s="36">
        <f>IF(Dashboard!$D$6="Baseline",'2.4 PV (by Borough)'!AN228,IF(Dashboard!$D$6=INDEX('Scenario names'!$C$3:$C$6,4),'2.4 PV (by Borough)'!AN351,IF(Dashboard!$D$6=INDEX('Scenario names'!$C$3:$C$6,1),'2.4 PV (by Borough)'!AN310,IF(Dashboard!$D$6=INDEX('Scenario names'!$C$3:$C$6,2),'2.4 PV (by Borough)'!AN310,IF(Dashboard!$D$6=INDEX('Scenario names'!$C$3:$C$6,3),'2.4 PV (by Borough)'!AN351,"Error")))))</f>
        <v>4322090.7615598775</v>
      </c>
      <c r="AO392" s="36">
        <f>IF(Dashboard!$D$6="Baseline",'2.4 PV (by Borough)'!AO228,IF(Dashboard!$D$6=INDEX('Scenario names'!$C$3:$C$6,4),'2.4 PV (by Borough)'!AO351,IF(Dashboard!$D$6=INDEX('Scenario names'!$C$3:$C$6,1),'2.4 PV (by Borough)'!AO310,IF(Dashboard!$D$6=INDEX('Scenario names'!$C$3:$C$6,2),'2.4 PV (by Borough)'!AO310,IF(Dashboard!$D$6=INDEX('Scenario names'!$C$3:$C$6,3),'2.4 PV (by Borough)'!AO351,"Error")))))</f>
        <v>4508393.5500753643</v>
      </c>
      <c r="AP392" s="36">
        <f>IF(Dashboard!$D$6="Baseline",'2.4 PV (by Borough)'!AP228,IF(Dashboard!$D$6=INDEX('Scenario names'!$C$3:$C$6,4),'2.4 PV (by Borough)'!AP351,IF(Dashboard!$D$6=INDEX('Scenario names'!$C$3:$C$6,1),'2.4 PV (by Borough)'!AP310,IF(Dashboard!$D$6=INDEX('Scenario names'!$C$3:$C$6,2),'2.4 PV (by Borough)'!AP310,IF(Dashboard!$D$6=INDEX('Scenario names'!$C$3:$C$6,3),'2.4 PV (by Borough)'!AP351,"Error")))))</f>
        <v>4694696.3385908529</v>
      </c>
      <c r="AQ392" s="36">
        <f>IF(Dashboard!$D$6="Baseline",'2.4 PV (by Borough)'!AQ228,IF(Dashboard!$D$6=INDEX('Scenario names'!$C$3:$C$6,4),'2.4 PV (by Borough)'!AQ351,IF(Dashboard!$D$6=INDEX('Scenario names'!$C$3:$C$6,1),'2.4 PV (by Borough)'!AQ310,IF(Dashboard!$D$6=INDEX('Scenario names'!$C$3:$C$6,2),'2.4 PV (by Borough)'!AQ310,IF(Dashboard!$D$6=INDEX('Scenario names'!$C$3:$C$6,3),'2.4 PV (by Borough)'!AQ351,"Error")))))</f>
        <v>4880999.1271063415</v>
      </c>
      <c r="AR392" s="36">
        <f>IF(Dashboard!$D$6="Baseline",'2.4 PV (by Borough)'!AR228,IF(Dashboard!$D$6=INDEX('Scenario names'!$C$3:$C$6,4),'2.4 PV (by Borough)'!AR351,IF(Dashboard!$D$6=INDEX('Scenario names'!$C$3:$C$6,1),'2.4 PV (by Borough)'!AR310,IF(Dashboard!$D$6=INDEX('Scenario names'!$C$3:$C$6,2),'2.4 PV (by Borough)'!AR310,IF(Dashboard!$D$6=INDEX('Scenario names'!$C$3:$C$6,3),'2.4 PV (by Borough)'!AR351,"Error")))))</f>
        <v>5067301.9156218283</v>
      </c>
      <c r="AS392" s="36">
        <f>IF(Dashboard!$D$6="Baseline",'2.4 PV (by Borough)'!AS228,IF(Dashboard!$D$6=INDEX('Scenario names'!$C$3:$C$6,4),'2.4 PV (by Borough)'!AS351,IF(Dashboard!$D$6=INDEX('Scenario names'!$C$3:$C$6,1),'2.4 PV (by Borough)'!AS310,IF(Dashboard!$D$6=INDEX('Scenario names'!$C$3:$C$6,2),'2.4 PV (by Borough)'!AS310,IF(Dashboard!$D$6=INDEX('Scenario names'!$C$3:$C$6,3),'2.4 PV (by Borough)'!AS351,"Error")))))</f>
        <v>5253604.7041373178</v>
      </c>
      <c r="AT392" s="36">
        <f>IF(Dashboard!$D$6="Baseline",'2.4 PV (by Borough)'!AT228,IF(Dashboard!$D$6=INDEX('Scenario names'!$C$3:$C$6,4),'2.4 PV (by Borough)'!AT351,IF(Dashboard!$D$6=INDEX('Scenario names'!$C$3:$C$6,1),'2.4 PV (by Borough)'!AT310,IF(Dashboard!$D$6=INDEX('Scenario names'!$C$3:$C$6,2),'2.4 PV (by Borough)'!AT310,IF(Dashboard!$D$6=INDEX('Scenario names'!$C$3:$C$6,3),'2.4 PV (by Borough)'!AT351,"Error")))))</f>
        <v>5439907.4926528046</v>
      </c>
      <c r="AU392" s="36">
        <f>IF(Dashboard!$D$6="Baseline",'2.4 PV (by Borough)'!AU228,IF(Dashboard!$D$6=INDEX('Scenario names'!$C$3:$C$6,4),'2.4 PV (by Borough)'!AU351,IF(Dashboard!$D$6=INDEX('Scenario names'!$C$3:$C$6,1),'2.4 PV (by Borough)'!AU310,IF(Dashboard!$D$6=INDEX('Scenario names'!$C$3:$C$6,2),'2.4 PV (by Borough)'!AU310,IF(Dashboard!$D$6=INDEX('Scenario names'!$C$3:$C$6,3),'2.4 PV (by Borough)'!AU351,"Error")))))</f>
        <v>5626210.2811682932</v>
      </c>
      <c r="AV392" s="36">
        <f>IF(Dashboard!$D$6="Baseline",'2.4 PV (by Borough)'!AV228,IF(Dashboard!$D$6=INDEX('Scenario names'!$C$3:$C$6,4),'2.4 PV (by Borough)'!AV351,IF(Dashboard!$D$6=INDEX('Scenario names'!$C$3:$C$6,1),'2.4 PV (by Borough)'!AV310,IF(Dashboard!$D$6=INDEX('Scenario names'!$C$3:$C$6,2),'2.4 PV (by Borough)'!AV310,IF(Dashboard!$D$6=INDEX('Scenario names'!$C$3:$C$6,3),'2.4 PV (by Borough)'!AV351,"Error")))))</f>
        <v>5812513.0696837818</v>
      </c>
      <c r="AW392" s="36">
        <f>IF(Dashboard!$D$6="Baseline",'2.4 PV (by Borough)'!AW228,IF(Dashboard!$D$6=INDEX('Scenario names'!$C$3:$C$6,4),'2.4 PV (by Borough)'!AW351,IF(Dashboard!$D$6=INDEX('Scenario names'!$C$3:$C$6,1),'2.4 PV (by Borough)'!AW310,IF(Dashboard!$D$6=INDEX('Scenario names'!$C$3:$C$6,2),'2.4 PV (by Borough)'!AW310,IF(Dashboard!$D$6=INDEX('Scenario names'!$C$3:$C$6,3),'2.4 PV (by Borough)'!AW351,"Error")))))</f>
        <v>5998815.8581992686</v>
      </c>
      <c r="AX392" s="36">
        <f>IF(Dashboard!$D$6="Baseline",'2.4 PV (by Borough)'!AX228,IF(Dashboard!$D$6=INDEX('Scenario names'!$C$3:$C$6,4),'2.4 PV (by Borough)'!AX351,IF(Dashboard!$D$6=INDEX('Scenario names'!$C$3:$C$6,1),'2.4 PV (by Borough)'!AX310,IF(Dashboard!$D$6=INDEX('Scenario names'!$C$3:$C$6,2),'2.4 PV (by Borough)'!AX310,IF(Dashboard!$D$6=INDEX('Scenario names'!$C$3:$C$6,3),'2.4 PV (by Borough)'!AX351,"Error")))))</f>
        <v>6185118.6467147553</v>
      </c>
      <c r="AY392" s="36"/>
      <c r="AZ392" s="36"/>
      <c r="BA392" s="36"/>
      <c r="BB392" s="36"/>
    </row>
    <row r="393" spans="4:54">
      <c r="D393" t="s">
        <v>661</v>
      </c>
      <c r="E393" t="s">
        <v>641</v>
      </c>
      <c r="G393" s="44"/>
      <c r="I393" s="44"/>
      <c r="K393" s="44"/>
      <c r="M393" s="44"/>
      <c r="O393" s="36">
        <f>IF(Dashboard!$D$6="Baseline",'2.4 PV (by Borough)'!O229,IF(Dashboard!$D$6=INDEX('Scenario names'!$C$3:$C$6,4),'2.4 PV (by Borough)'!O352,IF(Dashboard!$D$6=INDEX('Scenario names'!$C$3:$C$6,1),'2.4 PV (by Borough)'!O311,IF(Dashboard!$D$6=INDEX('Scenario names'!$C$3:$C$6,2),'2.4 PV (by Borough)'!O311,IF(Dashboard!$D$6=INDEX('Scenario names'!$C$3:$C$6,3),'2.4 PV (by Borough)'!O352,"Error")))))</f>
        <v>246646.28905081016</v>
      </c>
      <c r="P393" s="36">
        <f>IF(Dashboard!$D$6="Baseline",'2.4 PV (by Borough)'!P229,IF(Dashboard!$D$6=INDEX('Scenario names'!$C$3:$C$6,4),'2.4 PV (by Borough)'!P352,IF(Dashboard!$D$6=INDEX('Scenario names'!$C$3:$C$6,1),'2.4 PV (by Borough)'!P311,IF(Dashboard!$D$6=INDEX('Scenario names'!$C$3:$C$6,2),'2.4 PV (by Borough)'!P311,IF(Dashboard!$D$6=INDEX('Scenario names'!$C$3:$C$6,3),'2.4 PV (by Borough)'!P352,"Error")))))</f>
        <v>413366.28208919673</v>
      </c>
      <c r="Q393" s="36">
        <f>IF(Dashboard!$D$6="Baseline",'2.4 PV (by Borough)'!Q229,IF(Dashboard!$D$6=INDEX('Scenario names'!$C$3:$C$6,4),'2.4 PV (by Borough)'!Q352,IF(Dashboard!$D$6=INDEX('Scenario names'!$C$3:$C$6,1),'2.4 PV (by Borough)'!Q311,IF(Dashboard!$D$6=INDEX('Scenario names'!$C$3:$C$6,2),'2.4 PV (by Borough)'!Q311,IF(Dashboard!$D$6=INDEX('Scenario names'!$C$3:$C$6,3),'2.4 PV (by Borough)'!Q352,"Error")))))</f>
        <v>580086.2751275833</v>
      </c>
      <c r="R393" s="36">
        <f>IF(Dashboard!$D$6="Baseline",'2.4 PV (by Borough)'!R229,IF(Dashboard!$D$6=INDEX('Scenario names'!$C$3:$C$6,4),'2.4 PV (by Borough)'!R352,IF(Dashboard!$D$6=INDEX('Scenario names'!$C$3:$C$6,1),'2.4 PV (by Borough)'!R311,IF(Dashboard!$D$6=INDEX('Scenario names'!$C$3:$C$6,2),'2.4 PV (by Borough)'!R311,IF(Dashboard!$D$6=INDEX('Scenario names'!$C$3:$C$6,3),'2.4 PV (by Borough)'!R352,"Error")))))</f>
        <v>746806.26816596964</v>
      </c>
      <c r="S393" s="36">
        <f>IF(Dashboard!$D$6="Baseline",'2.4 PV (by Borough)'!S229,IF(Dashboard!$D$6=INDEX('Scenario names'!$C$3:$C$6,4),'2.4 PV (by Borough)'!S352,IF(Dashboard!$D$6=INDEX('Scenario names'!$C$3:$C$6,1),'2.4 PV (by Borough)'!S311,IF(Dashboard!$D$6=INDEX('Scenario names'!$C$3:$C$6,2),'2.4 PV (by Borough)'!S311,IF(Dashboard!$D$6=INDEX('Scenario names'!$C$3:$C$6,3),'2.4 PV (by Borough)'!S352,"Error")))))</f>
        <v>913526.26120435633</v>
      </c>
      <c r="T393" s="36">
        <f>IF(Dashboard!$D$6="Baseline",'2.4 PV (by Borough)'!T229,IF(Dashboard!$D$6=INDEX('Scenario names'!$C$3:$C$6,4),'2.4 PV (by Borough)'!T352,IF(Dashboard!$D$6=INDEX('Scenario names'!$C$3:$C$6,1),'2.4 PV (by Borough)'!T311,IF(Dashboard!$D$6=INDEX('Scenario names'!$C$3:$C$6,2),'2.4 PV (by Borough)'!T311,IF(Dashboard!$D$6=INDEX('Scenario names'!$C$3:$C$6,3),'2.4 PV (by Borough)'!T352,"Error")))))</f>
        <v>1080246.2542427429</v>
      </c>
      <c r="U393" s="36">
        <f>IF(Dashboard!$D$6="Baseline",'2.4 PV (by Borough)'!U229,IF(Dashboard!$D$6=INDEX('Scenario names'!$C$3:$C$6,4),'2.4 PV (by Borough)'!U352,IF(Dashboard!$D$6=INDEX('Scenario names'!$C$3:$C$6,1),'2.4 PV (by Borough)'!U311,IF(Dashboard!$D$6=INDEX('Scenario names'!$C$3:$C$6,2),'2.4 PV (by Borough)'!U311,IF(Dashboard!$D$6=INDEX('Scenario names'!$C$3:$C$6,3),'2.4 PV (by Borough)'!U352,"Error")))))</f>
        <v>1246966.2472811297</v>
      </c>
      <c r="V393" s="36">
        <f>IF(Dashboard!$D$6="Baseline",'2.4 PV (by Borough)'!V229,IF(Dashboard!$D$6=INDEX('Scenario names'!$C$3:$C$6,4),'2.4 PV (by Borough)'!V352,IF(Dashboard!$D$6=INDEX('Scenario names'!$C$3:$C$6,1),'2.4 PV (by Borough)'!V311,IF(Dashboard!$D$6=INDEX('Scenario names'!$C$3:$C$6,2),'2.4 PV (by Borough)'!V311,IF(Dashboard!$D$6=INDEX('Scenario names'!$C$3:$C$6,3),'2.4 PV (by Borough)'!V352,"Error")))))</f>
        <v>1413686.2403195163</v>
      </c>
      <c r="W393" s="36">
        <f>IF(Dashboard!$D$6="Baseline",'2.4 PV (by Borough)'!W229,IF(Dashboard!$D$6=INDEX('Scenario names'!$C$3:$C$6,4),'2.4 PV (by Borough)'!W352,IF(Dashboard!$D$6=INDEX('Scenario names'!$C$3:$C$6,1),'2.4 PV (by Borough)'!W311,IF(Dashboard!$D$6=INDEX('Scenario names'!$C$3:$C$6,2),'2.4 PV (by Borough)'!W311,IF(Dashboard!$D$6=INDEX('Scenario names'!$C$3:$C$6,3),'2.4 PV (by Borough)'!W352,"Error")))))</f>
        <v>1580406.2333579028</v>
      </c>
      <c r="X393" s="36">
        <f>IF(Dashboard!$D$6="Baseline",'2.4 PV (by Borough)'!X229,IF(Dashboard!$D$6=INDEX('Scenario names'!$C$3:$C$6,4),'2.4 PV (by Borough)'!X352,IF(Dashboard!$D$6=INDEX('Scenario names'!$C$3:$C$6,1),'2.4 PV (by Borough)'!X311,IF(Dashboard!$D$6=INDEX('Scenario names'!$C$3:$C$6,2),'2.4 PV (by Borough)'!X311,IF(Dashboard!$D$6=INDEX('Scenario names'!$C$3:$C$6,3),'2.4 PV (by Borough)'!X352,"Error")))))</f>
        <v>1747126.2263962892</v>
      </c>
      <c r="Y393" s="36">
        <f>IF(Dashboard!$D$6="Baseline",'2.4 PV (by Borough)'!Y229,IF(Dashboard!$D$6=INDEX('Scenario names'!$C$3:$C$6,4),'2.4 PV (by Borough)'!Y352,IF(Dashboard!$D$6=INDEX('Scenario names'!$C$3:$C$6,1),'2.4 PV (by Borough)'!Y311,IF(Dashboard!$D$6=INDEX('Scenario names'!$C$3:$C$6,2),'2.4 PV (by Borough)'!Y311,IF(Dashboard!$D$6=INDEX('Scenario names'!$C$3:$C$6,3),'2.4 PV (by Borough)'!Y352,"Error")))))</f>
        <v>1913846.2194346755</v>
      </c>
      <c r="Z393" s="36">
        <f>IF(Dashboard!$D$6="Baseline",'2.4 PV (by Borough)'!Z229,IF(Dashboard!$D$6=INDEX('Scenario names'!$C$3:$C$6,4),'2.4 PV (by Borough)'!Z352,IF(Dashboard!$D$6=INDEX('Scenario names'!$C$3:$C$6,1),'2.4 PV (by Borough)'!Z311,IF(Dashboard!$D$6=INDEX('Scenario names'!$C$3:$C$6,2),'2.4 PV (by Borough)'!Z311,IF(Dashboard!$D$6=INDEX('Scenario names'!$C$3:$C$6,3),'2.4 PV (by Borough)'!Z352,"Error")))))</f>
        <v>2227430.8011664534</v>
      </c>
      <c r="AA393" s="36">
        <f>IF(Dashboard!$D$6="Baseline",'2.4 PV (by Borough)'!AA229,IF(Dashboard!$D$6=INDEX('Scenario names'!$C$3:$C$6,4),'2.4 PV (by Borough)'!AA352,IF(Dashboard!$D$6=INDEX('Scenario names'!$C$3:$C$6,1),'2.4 PV (by Borough)'!AA311,IF(Dashboard!$D$6=INDEX('Scenario names'!$C$3:$C$6,2),'2.4 PV (by Borough)'!AA311,IF(Dashboard!$D$6=INDEX('Scenario names'!$C$3:$C$6,3),'2.4 PV (by Borough)'!AA352,"Error")))))</f>
        <v>2541015.382898231</v>
      </c>
      <c r="AB393" s="36">
        <f>IF(Dashboard!$D$6="Baseline",'2.4 PV (by Borough)'!AB229,IF(Dashboard!$D$6=INDEX('Scenario names'!$C$3:$C$6,4),'2.4 PV (by Borough)'!AB352,IF(Dashboard!$D$6=INDEX('Scenario names'!$C$3:$C$6,1),'2.4 PV (by Borough)'!AB311,IF(Dashboard!$D$6=INDEX('Scenario names'!$C$3:$C$6,2),'2.4 PV (by Borough)'!AB311,IF(Dashboard!$D$6=INDEX('Scenario names'!$C$3:$C$6,3),'2.4 PV (by Borough)'!AB352,"Error")))))</f>
        <v>2854599.9646300077</v>
      </c>
      <c r="AC393" s="36">
        <f>IF(Dashboard!$D$6="Baseline",'2.4 PV (by Borough)'!AC229,IF(Dashboard!$D$6=INDEX('Scenario names'!$C$3:$C$6,4),'2.4 PV (by Borough)'!AC352,IF(Dashboard!$D$6=INDEX('Scenario names'!$C$3:$C$6,1),'2.4 PV (by Borough)'!AC311,IF(Dashboard!$D$6=INDEX('Scenario names'!$C$3:$C$6,2),'2.4 PV (by Borough)'!AC311,IF(Dashboard!$D$6=INDEX('Scenario names'!$C$3:$C$6,3),'2.4 PV (by Borough)'!AC352,"Error")))))</f>
        <v>3168184.5463617863</v>
      </c>
      <c r="AD393" s="36">
        <f>IF(Dashboard!$D$6="Baseline",'2.4 PV (by Borough)'!AD229,IF(Dashboard!$D$6=INDEX('Scenario names'!$C$3:$C$6,4),'2.4 PV (by Borough)'!AD352,IF(Dashboard!$D$6=INDEX('Scenario names'!$C$3:$C$6,1),'2.4 PV (by Borough)'!AD311,IF(Dashboard!$D$6=INDEX('Scenario names'!$C$3:$C$6,2),'2.4 PV (by Borough)'!AD311,IF(Dashboard!$D$6=INDEX('Scenario names'!$C$3:$C$6,3),'2.4 PV (by Borough)'!AD352,"Error")))))</f>
        <v>3481769.1280935635</v>
      </c>
      <c r="AE393" s="36">
        <f>IF(Dashboard!$D$6="Baseline",'2.4 PV (by Borough)'!AE229,IF(Dashboard!$D$6=INDEX('Scenario names'!$C$3:$C$6,4),'2.4 PV (by Borough)'!AE352,IF(Dashboard!$D$6=INDEX('Scenario names'!$C$3:$C$6,1),'2.4 PV (by Borough)'!AE311,IF(Dashboard!$D$6=INDEX('Scenario names'!$C$3:$C$6,2),'2.4 PV (by Borough)'!AE311,IF(Dashboard!$D$6=INDEX('Scenario names'!$C$3:$C$6,3),'2.4 PV (by Borough)'!AE352,"Error")))))</f>
        <v>3795353.7098253407</v>
      </c>
      <c r="AF393" s="36">
        <f>IF(Dashboard!$D$6="Baseline",'2.4 PV (by Borough)'!AF229,IF(Dashboard!$D$6=INDEX('Scenario names'!$C$3:$C$6,4),'2.4 PV (by Borough)'!AF352,IF(Dashboard!$D$6=INDEX('Scenario names'!$C$3:$C$6,1),'2.4 PV (by Borough)'!AF311,IF(Dashboard!$D$6=INDEX('Scenario names'!$C$3:$C$6,2),'2.4 PV (by Borough)'!AF311,IF(Dashboard!$D$6=INDEX('Scenario names'!$C$3:$C$6,3),'2.4 PV (by Borough)'!AF352,"Error")))))</f>
        <v>4108938.2915571183</v>
      </c>
      <c r="AG393" s="36">
        <f>IF(Dashboard!$D$6="Baseline",'2.4 PV (by Borough)'!AG229,IF(Dashboard!$D$6=INDEX('Scenario names'!$C$3:$C$6,4),'2.4 PV (by Borough)'!AG352,IF(Dashboard!$D$6=INDEX('Scenario names'!$C$3:$C$6,1),'2.4 PV (by Borough)'!AG311,IF(Dashboard!$D$6=INDEX('Scenario names'!$C$3:$C$6,2),'2.4 PV (by Borough)'!AG311,IF(Dashboard!$D$6=INDEX('Scenario names'!$C$3:$C$6,3),'2.4 PV (by Borough)'!AG352,"Error")))))</f>
        <v>4422522.8732888969</v>
      </c>
      <c r="AH393" s="36">
        <f>IF(Dashboard!$D$6="Baseline",'2.4 PV (by Borough)'!AH229,IF(Dashboard!$D$6=INDEX('Scenario names'!$C$3:$C$6,4),'2.4 PV (by Borough)'!AH352,IF(Dashboard!$D$6=INDEX('Scenario names'!$C$3:$C$6,1),'2.4 PV (by Borough)'!AH311,IF(Dashboard!$D$6=INDEX('Scenario names'!$C$3:$C$6,2),'2.4 PV (by Borough)'!AH311,IF(Dashboard!$D$6=INDEX('Scenario names'!$C$3:$C$6,3),'2.4 PV (by Borough)'!AH352,"Error")))))</f>
        <v>4736107.4550206736</v>
      </c>
      <c r="AI393" s="36">
        <f>IF(Dashboard!$D$6="Baseline",'2.4 PV (by Borough)'!AI229,IF(Dashboard!$D$6=INDEX('Scenario names'!$C$3:$C$6,4),'2.4 PV (by Borough)'!AI352,IF(Dashboard!$D$6=INDEX('Scenario names'!$C$3:$C$6,1),'2.4 PV (by Borough)'!AI311,IF(Dashboard!$D$6=INDEX('Scenario names'!$C$3:$C$6,2),'2.4 PV (by Borough)'!AI311,IF(Dashboard!$D$6=INDEX('Scenario names'!$C$3:$C$6,3),'2.4 PV (by Borough)'!AI352,"Error")))))</f>
        <v>5049692.0367524503</v>
      </c>
      <c r="AJ393" s="36">
        <f>IF(Dashboard!$D$6="Baseline",'2.4 PV (by Borough)'!AJ229,IF(Dashboard!$D$6=INDEX('Scenario names'!$C$3:$C$6,4),'2.4 PV (by Borough)'!AJ352,IF(Dashboard!$D$6=INDEX('Scenario names'!$C$3:$C$6,1),'2.4 PV (by Borough)'!AJ311,IF(Dashboard!$D$6=INDEX('Scenario names'!$C$3:$C$6,2),'2.4 PV (by Borough)'!AJ311,IF(Dashboard!$D$6=INDEX('Scenario names'!$C$3:$C$6,3),'2.4 PV (by Borough)'!AJ352,"Error")))))</f>
        <v>5363276.6184842298</v>
      </c>
      <c r="AK393" s="36">
        <f>IF(Dashboard!$D$6="Baseline",'2.4 PV (by Borough)'!AK229,IF(Dashboard!$D$6=INDEX('Scenario names'!$C$3:$C$6,4),'2.4 PV (by Borough)'!AK352,IF(Dashboard!$D$6=INDEX('Scenario names'!$C$3:$C$6,1),'2.4 PV (by Borough)'!AK311,IF(Dashboard!$D$6=INDEX('Scenario names'!$C$3:$C$6,2),'2.4 PV (by Borough)'!AK311,IF(Dashboard!$D$6=INDEX('Scenario names'!$C$3:$C$6,3),'2.4 PV (by Borough)'!AK352,"Error")))))</f>
        <v>5676861.2002160065</v>
      </c>
      <c r="AL393" s="36">
        <f>IF(Dashboard!$D$6="Baseline",'2.4 PV (by Borough)'!AL229,IF(Dashboard!$D$6=INDEX('Scenario names'!$C$3:$C$6,4),'2.4 PV (by Borough)'!AL352,IF(Dashboard!$D$6=INDEX('Scenario names'!$C$3:$C$6,1),'2.4 PV (by Borough)'!AL311,IF(Dashboard!$D$6=INDEX('Scenario names'!$C$3:$C$6,2),'2.4 PV (by Borough)'!AL311,IF(Dashboard!$D$6=INDEX('Scenario names'!$C$3:$C$6,3),'2.4 PV (by Borough)'!AL352,"Error")))))</f>
        <v>5990445.7819477832</v>
      </c>
      <c r="AM393" s="36">
        <f>IF(Dashboard!$D$6="Baseline",'2.4 PV (by Borough)'!AM229,IF(Dashboard!$D$6=INDEX('Scenario names'!$C$3:$C$6,4),'2.4 PV (by Borough)'!AM352,IF(Dashboard!$D$6=INDEX('Scenario names'!$C$3:$C$6,1),'2.4 PV (by Borough)'!AM311,IF(Dashboard!$D$6=INDEX('Scenario names'!$C$3:$C$6,2),'2.4 PV (by Borough)'!AM311,IF(Dashboard!$D$6=INDEX('Scenario names'!$C$3:$C$6,3),'2.4 PV (by Borough)'!AM352,"Error")))))</f>
        <v>6304030.3636795608</v>
      </c>
      <c r="AN393" s="36">
        <f>IF(Dashboard!$D$6="Baseline",'2.4 PV (by Borough)'!AN229,IF(Dashboard!$D$6=INDEX('Scenario names'!$C$3:$C$6,4),'2.4 PV (by Borough)'!AN352,IF(Dashboard!$D$6=INDEX('Scenario names'!$C$3:$C$6,1),'2.4 PV (by Borough)'!AN311,IF(Dashboard!$D$6=INDEX('Scenario names'!$C$3:$C$6,2),'2.4 PV (by Borough)'!AN311,IF(Dashboard!$D$6=INDEX('Scenario names'!$C$3:$C$6,3),'2.4 PV (by Borough)'!AN352,"Error")))))</f>
        <v>6617614.9454113375</v>
      </c>
      <c r="AO393" s="36">
        <f>IF(Dashboard!$D$6="Baseline",'2.4 PV (by Borough)'!AO229,IF(Dashboard!$D$6=INDEX('Scenario names'!$C$3:$C$6,4),'2.4 PV (by Borough)'!AO352,IF(Dashboard!$D$6=INDEX('Scenario names'!$C$3:$C$6,1),'2.4 PV (by Borough)'!AO311,IF(Dashboard!$D$6=INDEX('Scenario names'!$C$3:$C$6,2),'2.4 PV (by Borough)'!AO311,IF(Dashboard!$D$6=INDEX('Scenario names'!$C$3:$C$6,3),'2.4 PV (by Borough)'!AO352,"Error")))))</f>
        <v>6931199.5271431161</v>
      </c>
      <c r="AP393" s="36">
        <f>IF(Dashboard!$D$6="Baseline",'2.4 PV (by Borough)'!AP229,IF(Dashboard!$D$6=INDEX('Scenario names'!$C$3:$C$6,4),'2.4 PV (by Borough)'!AP352,IF(Dashboard!$D$6=INDEX('Scenario names'!$C$3:$C$6,1),'2.4 PV (by Borough)'!AP311,IF(Dashboard!$D$6=INDEX('Scenario names'!$C$3:$C$6,2),'2.4 PV (by Borough)'!AP311,IF(Dashboard!$D$6=INDEX('Scenario names'!$C$3:$C$6,3),'2.4 PV (by Borough)'!AP352,"Error")))))</f>
        <v>7244784.1088748937</v>
      </c>
      <c r="AQ393" s="36">
        <f>IF(Dashboard!$D$6="Baseline",'2.4 PV (by Borough)'!AQ229,IF(Dashboard!$D$6=INDEX('Scenario names'!$C$3:$C$6,4),'2.4 PV (by Borough)'!AQ352,IF(Dashboard!$D$6=INDEX('Scenario names'!$C$3:$C$6,1),'2.4 PV (by Borough)'!AQ311,IF(Dashboard!$D$6=INDEX('Scenario names'!$C$3:$C$6,2),'2.4 PV (by Borough)'!AQ311,IF(Dashboard!$D$6=INDEX('Scenario names'!$C$3:$C$6,3),'2.4 PV (by Borough)'!AQ352,"Error")))))</f>
        <v>7558368.6906066723</v>
      </c>
      <c r="AR393" s="36">
        <f>IF(Dashboard!$D$6="Baseline",'2.4 PV (by Borough)'!AR229,IF(Dashboard!$D$6=INDEX('Scenario names'!$C$3:$C$6,4),'2.4 PV (by Borough)'!AR352,IF(Dashboard!$D$6=INDEX('Scenario names'!$C$3:$C$6,1),'2.4 PV (by Borough)'!AR311,IF(Dashboard!$D$6=INDEX('Scenario names'!$C$3:$C$6,2),'2.4 PV (by Borough)'!AR311,IF(Dashboard!$D$6=INDEX('Scenario names'!$C$3:$C$6,3),'2.4 PV (by Borough)'!AR352,"Error")))))</f>
        <v>7871953.272338449</v>
      </c>
      <c r="AS393" s="36">
        <f>IF(Dashboard!$D$6="Baseline",'2.4 PV (by Borough)'!AS229,IF(Dashboard!$D$6=INDEX('Scenario names'!$C$3:$C$6,4),'2.4 PV (by Borough)'!AS352,IF(Dashboard!$D$6=INDEX('Scenario names'!$C$3:$C$6,1),'2.4 PV (by Borough)'!AS311,IF(Dashboard!$D$6=INDEX('Scenario names'!$C$3:$C$6,2),'2.4 PV (by Borough)'!AS311,IF(Dashboard!$D$6=INDEX('Scenario names'!$C$3:$C$6,3),'2.4 PV (by Borough)'!AS352,"Error")))))</f>
        <v>8185537.8540702257</v>
      </c>
      <c r="AT393" s="36">
        <f>IF(Dashboard!$D$6="Baseline",'2.4 PV (by Borough)'!AT229,IF(Dashboard!$D$6=INDEX('Scenario names'!$C$3:$C$6,4),'2.4 PV (by Borough)'!AT352,IF(Dashboard!$D$6=INDEX('Scenario names'!$C$3:$C$6,1),'2.4 PV (by Borough)'!AT311,IF(Dashboard!$D$6=INDEX('Scenario names'!$C$3:$C$6,2),'2.4 PV (by Borough)'!AT311,IF(Dashboard!$D$6=INDEX('Scenario names'!$C$3:$C$6,3),'2.4 PV (by Borough)'!AT352,"Error")))))</f>
        <v>8499122.4358020052</v>
      </c>
      <c r="AU393" s="36">
        <f>IF(Dashboard!$D$6="Baseline",'2.4 PV (by Borough)'!AU229,IF(Dashboard!$D$6=INDEX('Scenario names'!$C$3:$C$6,4),'2.4 PV (by Borough)'!AU352,IF(Dashboard!$D$6=INDEX('Scenario names'!$C$3:$C$6,1),'2.4 PV (by Borough)'!AU311,IF(Dashboard!$D$6=INDEX('Scenario names'!$C$3:$C$6,2),'2.4 PV (by Borough)'!AU311,IF(Dashboard!$D$6=INDEX('Scenario names'!$C$3:$C$6,3),'2.4 PV (by Borough)'!AU352,"Error")))))</f>
        <v>8812707.0175337829</v>
      </c>
      <c r="AV393" s="36">
        <f>IF(Dashboard!$D$6="Baseline",'2.4 PV (by Borough)'!AV229,IF(Dashboard!$D$6=INDEX('Scenario names'!$C$3:$C$6,4),'2.4 PV (by Borough)'!AV352,IF(Dashboard!$D$6=INDEX('Scenario names'!$C$3:$C$6,1),'2.4 PV (by Borough)'!AV311,IF(Dashboard!$D$6=INDEX('Scenario names'!$C$3:$C$6,2),'2.4 PV (by Borough)'!AV311,IF(Dashboard!$D$6=INDEX('Scenario names'!$C$3:$C$6,3),'2.4 PV (by Borough)'!AV352,"Error")))))</f>
        <v>9126291.5992655586</v>
      </c>
      <c r="AW393" s="36">
        <f>IF(Dashboard!$D$6="Baseline",'2.4 PV (by Borough)'!AW229,IF(Dashboard!$D$6=INDEX('Scenario names'!$C$3:$C$6,4),'2.4 PV (by Borough)'!AW352,IF(Dashboard!$D$6=INDEX('Scenario names'!$C$3:$C$6,1),'2.4 PV (by Borough)'!AW311,IF(Dashboard!$D$6=INDEX('Scenario names'!$C$3:$C$6,2),'2.4 PV (by Borough)'!AW311,IF(Dashboard!$D$6=INDEX('Scenario names'!$C$3:$C$6,3),'2.4 PV (by Borough)'!AW352,"Error")))))</f>
        <v>9439876.1809973363</v>
      </c>
      <c r="AX393" s="36">
        <f>IF(Dashboard!$D$6="Baseline",'2.4 PV (by Borough)'!AX229,IF(Dashboard!$D$6=INDEX('Scenario names'!$C$3:$C$6,4),'2.4 PV (by Borough)'!AX352,IF(Dashboard!$D$6=INDEX('Scenario names'!$C$3:$C$6,1),'2.4 PV (by Borough)'!AX311,IF(Dashboard!$D$6=INDEX('Scenario names'!$C$3:$C$6,2),'2.4 PV (by Borough)'!AX311,IF(Dashboard!$D$6=INDEX('Scenario names'!$C$3:$C$6,3),'2.4 PV (by Borough)'!AX352,"Error")))))</f>
        <v>9753460.7627291121</v>
      </c>
      <c r="AY393" s="36"/>
      <c r="AZ393" s="36"/>
      <c r="BA393" s="36"/>
      <c r="BB393" s="36"/>
    </row>
    <row r="394" spans="4:54">
      <c r="D394" t="s">
        <v>661</v>
      </c>
      <c r="E394" t="s">
        <v>642</v>
      </c>
      <c r="G394" s="44"/>
      <c r="I394" s="44"/>
      <c r="K394" s="44"/>
      <c r="M394" s="44"/>
      <c r="O394" s="36">
        <f>IF(Dashboard!$D$6="Baseline",'2.4 PV (by Borough)'!O230,IF(Dashboard!$D$6=INDEX('Scenario names'!$C$3:$C$6,4),'2.4 PV (by Borough)'!O353,IF(Dashboard!$D$6=INDEX('Scenario names'!$C$3:$C$6,1),'2.4 PV (by Borough)'!O312,IF(Dashboard!$D$6=INDEX('Scenario names'!$C$3:$C$6,2),'2.4 PV (by Borough)'!O312,IF(Dashboard!$D$6=INDEX('Scenario names'!$C$3:$C$6,3),'2.4 PV (by Borough)'!O353,"Error")))))</f>
        <v>382400.81920789642</v>
      </c>
      <c r="P394" s="36">
        <f>IF(Dashboard!$D$6="Baseline",'2.4 PV (by Borough)'!P230,IF(Dashboard!$D$6=INDEX('Scenario names'!$C$3:$C$6,4),'2.4 PV (by Borough)'!P353,IF(Dashboard!$D$6=INDEX('Scenario names'!$C$3:$C$6,1),'2.4 PV (by Borough)'!P312,IF(Dashboard!$D$6=INDEX('Scenario names'!$C$3:$C$6,2),'2.4 PV (by Borough)'!P312,IF(Dashboard!$D$6=INDEX('Scenario names'!$C$3:$C$6,3),'2.4 PV (by Borough)'!P353,"Error")))))</f>
        <v>640832.75868824462</v>
      </c>
      <c r="Q394" s="36">
        <f>IF(Dashboard!$D$6="Baseline",'2.4 PV (by Borough)'!Q230,IF(Dashboard!$D$6=INDEX('Scenario names'!$C$3:$C$6,4),'2.4 PV (by Borough)'!Q353,IF(Dashboard!$D$6=INDEX('Scenario names'!$C$3:$C$6,1),'2.4 PV (by Borough)'!Q312,IF(Dashboard!$D$6=INDEX('Scenario names'!$C$3:$C$6,2),'2.4 PV (by Borough)'!Q312,IF(Dashboard!$D$6=INDEX('Scenario names'!$C$3:$C$6,3),'2.4 PV (by Borough)'!Q353,"Error")))))</f>
        <v>899264.69816859241</v>
      </c>
      <c r="R394" s="36">
        <f>IF(Dashboard!$D$6="Baseline",'2.4 PV (by Borough)'!R230,IF(Dashboard!$D$6=INDEX('Scenario names'!$C$3:$C$6,4),'2.4 PV (by Borough)'!R353,IF(Dashboard!$D$6=INDEX('Scenario names'!$C$3:$C$6,1),'2.4 PV (by Borough)'!R312,IF(Dashboard!$D$6=INDEX('Scenario names'!$C$3:$C$6,2),'2.4 PV (by Borough)'!R312,IF(Dashboard!$D$6=INDEX('Scenario names'!$C$3:$C$6,3),'2.4 PV (by Borough)'!R353,"Error")))))</f>
        <v>1157696.637648941</v>
      </c>
      <c r="S394" s="36">
        <f>IF(Dashboard!$D$6="Baseline",'2.4 PV (by Borough)'!S230,IF(Dashboard!$D$6=INDEX('Scenario names'!$C$3:$C$6,4),'2.4 PV (by Borough)'!S353,IF(Dashboard!$D$6=INDEX('Scenario names'!$C$3:$C$6,1),'2.4 PV (by Borough)'!S312,IF(Dashboard!$D$6=INDEX('Scenario names'!$C$3:$C$6,2),'2.4 PV (by Borough)'!S312,IF(Dashboard!$D$6=INDEX('Scenario names'!$C$3:$C$6,3),'2.4 PV (by Borough)'!S353,"Error")))))</f>
        <v>1416128.5771292893</v>
      </c>
      <c r="T394" s="36">
        <f>IF(Dashboard!$D$6="Baseline",'2.4 PV (by Borough)'!T230,IF(Dashboard!$D$6=INDEX('Scenario names'!$C$3:$C$6,4),'2.4 PV (by Borough)'!T353,IF(Dashboard!$D$6=INDEX('Scenario names'!$C$3:$C$6,1),'2.4 PV (by Borough)'!T312,IF(Dashboard!$D$6=INDEX('Scenario names'!$C$3:$C$6,2),'2.4 PV (by Borough)'!T312,IF(Dashboard!$D$6=INDEX('Scenario names'!$C$3:$C$6,3),'2.4 PV (by Borough)'!T353,"Error")))))</f>
        <v>1674560.5166096373</v>
      </c>
      <c r="U394" s="36">
        <f>IF(Dashboard!$D$6="Baseline",'2.4 PV (by Borough)'!U230,IF(Dashboard!$D$6=INDEX('Scenario names'!$C$3:$C$6,4),'2.4 PV (by Borough)'!U353,IF(Dashboard!$D$6=INDEX('Scenario names'!$C$3:$C$6,1),'2.4 PV (by Borough)'!U312,IF(Dashboard!$D$6=INDEX('Scenario names'!$C$3:$C$6,2),'2.4 PV (by Borough)'!U312,IF(Dashboard!$D$6=INDEX('Scenario names'!$C$3:$C$6,3),'2.4 PV (by Borough)'!U353,"Error")))))</f>
        <v>1932992.4560899851</v>
      </c>
      <c r="V394" s="36">
        <f>IF(Dashboard!$D$6="Baseline",'2.4 PV (by Borough)'!V230,IF(Dashboard!$D$6=INDEX('Scenario names'!$C$3:$C$6,4),'2.4 PV (by Borough)'!V353,IF(Dashboard!$D$6=INDEX('Scenario names'!$C$3:$C$6,1),'2.4 PV (by Borough)'!V312,IF(Dashboard!$D$6=INDEX('Scenario names'!$C$3:$C$6,2),'2.4 PV (by Borough)'!V312,IF(Dashboard!$D$6=INDEX('Scenario names'!$C$3:$C$6,3),'2.4 PV (by Borough)'!V353,"Error")))))</f>
        <v>2191424.395570334</v>
      </c>
      <c r="W394" s="36">
        <f>IF(Dashboard!$D$6="Baseline",'2.4 PV (by Borough)'!W230,IF(Dashboard!$D$6=INDEX('Scenario names'!$C$3:$C$6,4),'2.4 PV (by Borough)'!W353,IF(Dashboard!$D$6=INDEX('Scenario names'!$C$3:$C$6,1),'2.4 PV (by Borough)'!W312,IF(Dashboard!$D$6=INDEX('Scenario names'!$C$3:$C$6,2),'2.4 PV (by Borough)'!W312,IF(Dashboard!$D$6=INDEX('Scenario names'!$C$3:$C$6,3),'2.4 PV (by Borough)'!W353,"Error")))))</f>
        <v>2449856.3350506816</v>
      </c>
      <c r="X394" s="36">
        <f>IF(Dashboard!$D$6="Baseline",'2.4 PV (by Borough)'!X230,IF(Dashboard!$D$6=INDEX('Scenario names'!$C$3:$C$6,4),'2.4 PV (by Borough)'!X353,IF(Dashboard!$D$6=INDEX('Scenario names'!$C$3:$C$6,1),'2.4 PV (by Borough)'!X312,IF(Dashboard!$D$6=INDEX('Scenario names'!$C$3:$C$6,2),'2.4 PV (by Borough)'!X312,IF(Dashboard!$D$6=INDEX('Scenario names'!$C$3:$C$6,3),'2.4 PV (by Borough)'!X353,"Error")))))</f>
        <v>2708288.2745310306</v>
      </c>
      <c r="Y394" s="36">
        <f>IF(Dashboard!$D$6="Baseline",'2.4 PV (by Borough)'!Y230,IF(Dashboard!$D$6=INDEX('Scenario names'!$C$3:$C$6,4),'2.4 PV (by Borough)'!Y353,IF(Dashboard!$D$6=INDEX('Scenario names'!$C$3:$C$6,1),'2.4 PV (by Borough)'!Y312,IF(Dashboard!$D$6=INDEX('Scenario names'!$C$3:$C$6,2),'2.4 PV (by Borough)'!Y312,IF(Dashboard!$D$6=INDEX('Scenario names'!$C$3:$C$6,3),'2.4 PV (by Borough)'!Y353,"Error")))))</f>
        <v>2966720.2140113781</v>
      </c>
      <c r="Z394" s="36">
        <f>IF(Dashboard!$D$6="Baseline",'2.4 PV (by Borough)'!Z230,IF(Dashboard!$D$6=INDEX('Scenario names'!$C$3:$C$6,4),'2.4 PV (by Borough)'!Z353,IF(Dashboard!$D$6=INDEX('Scenario names'!$C$3:$C$6,1),'2.4 PV (by Borough)'!Z312,IF(Dashboard!$D$6=INDEX('Scenario names'!$C$3:$C$6,2),'2.4 PV (by Borough)'!Z312,IF(Dashboard!$D$6=INDEX('Scenario names'!$C$3:$C$6,3),'2.4 PV (by Borough)'!Z353,"Error")))))</f>
        <v>3300308.7118706363</v>
      </c>
      <c r="AA394" s="36">
        <f>IF(Dashboard!$D$6="Baseline",'2.4 PV (by Borough)'!AA230,IF(Dashboard!$D$6=INDEX('Scenario names'!$C$3:$C$6,4),'2.4 PV (by Borough)'!AA353,IF(Dashboard!$D$6=INDEX('Scenario names'!$C$3:$C$6,1),'2.4 PV (by Borough)'!AA312,IF(Dashboard!$D$6=INDEX('Scenario names'!$C$3:$C$6,2),'2.4 PV (by Borough)'!AA312,IF(Dashboard!$D$6=INDEX('Scenario names'!$C$3:$C$6,3),'2.4 PV (by Borough)'!AA353,"Error")))))</f>
        <v>3633897.2097298945</v>
      </c>
      <c r="AB394" s="36">
        <f>IF(Dashboard!$D$6="Baseline",'2.4 PV (by Borough)'!AB230,IF(Dashboard!$D$6=INDEX('Scenario names'!$C$3:$C$6,4),'2.4 PV (by Borough)'!AB353,IF(Dashboard!$D$6=INDEX('Scenario names'!$C$3:$C$6,1),'2.4 PV (by Borough)'!AB312,IF(Dashboard!$D$6=INDEX('Scenario names'!$C$3:$C$6,2),'2.4 PV (by Borough)'!AB312,IF(Dashboard!$D$6=INDEX('Scenario names'!$C$3:$C$6,3),'2.4 PV (by Borough)'!AB353,"Error")))))</f>
        <v>3967485.7075891518</v>
      </c>
      <c r="AC394" s="36">
        <f>IF(Dashboard!$D$6="Baseline",'2.4 PV (by Borough)'!AC230,IF(Dashboard!$D$6=INDEX('Scenario names'!$C$3:$C$6,4),'2.4 PV (by Borough)'!AC353,IF(Dashboard!$D$6=INDEX('Scenario names'!$C$3:$C$6,1),'2.4 PV (by Borough)'!AC312,IF(Dashboard!$D$6=INDEX('Scenario names'!$C$3:$C$6,2),'2.4 PV (by Borough)'!AC312,IF(Dashboard!$D$6=INDEX('Scenario names'!$C$3:$C$6,3),'2.4 PV (by Borough)'!AC353,"Error")))))</f>
        <v>4301074.2054484105</v>
      </c>
      <c r="AD394" s="36">
        <f>IF(Dashboard!$D$6="Baseline",'2.4 PV (by Borough)'!AD230,IF(Dashboard!$D$6=INDEX('Scenario names'!$C$3:$C$6,4),'2.4 PV (by Borough)'!AD353,IF(Dashboard!$D$6=INDEX('Scenario names'!$C$3:$C$6,1),'2.4 PV (by Borough)'!AD312,IF(Dashboard!$D$6=INDEX('Scenario names'!$C$3:$C$6,2),'2.4 PV (by Borough)'!AD312,IF(Dashboard!$D$6=INDEX('Scenario names'!$C$3:$C$6,3),'2.4 PV (by Borough)'!AD353,"Error")))))</f>
        <v>4634662.7033076677</v>
      </c>
      <c r="AE394" s="36">
        <f>IF(Dashboard!$D$6="Baseline",'2.4 PV (by Borough)'!AE230,IF(Dashboard!$D$6=INDEX('Scenario names'!$C$3:$C$6,4),'2.4 PV (by Borough)'!AE353,IF(Dashboard!$D$6=INDEX('Scenario names'!$C$3:$C$6,1),'2.4 PV (by Borough)'!AE312,IF(Dashboard!$D$6=INDEX('Scenario names'!$C$3:$C$6,2),'2.4 PV (by Borough)'!AE312,IF(Dashboard!$D$6=INDEX('Scenario names'!$C$3:$C$6,3),'2.4 PV (by Borough)'!AE353,"Error")))))</f>
        <v>4968251.201166925</v>
      </c>
      <c r="AF394" s="36">
        <f>IF(Dashboard!$D$6="Baseline",'2.4 PV (by Borough)'!AF230,IF(Dashboard!$D$6=INDEX('Scenario names'!$C$3:$C$6,4),'2.4 PV (by Borough)'!AF353,IF(Dashboard!$D$6=INDEX('Scenario names'!$C$3:$C$6,1),'2.4 PV (by Borough)'!AF312,IF(Dashboard!$D$6=INDEX('Scenario names'!$C$3:$C$6,2),'2.4 PV (by Borough)'!AF312,IF(Dashboard!$D$6=INDEX('Scenario names'!$C$3:$C$6,3),'2.4 PV (by Borough)'!AF353,"Error")))))</f>
        <v>5301839.6990261823</v>
      </c>
      <c r="AG394" s="36">
        <f>IF(Dashboard!$D$6="Baseline",'2.4 PV (by Borough)'!AG230,IF(Dashboard!$D$6=INDEX('Scenario names'!$C$3:$C$6,4),'2.4 PV (by Borough)'!AG353,IF(Dashboard!$D$6=INDEX('Scenario names'!$C$3:$C$6,1),'2.4 PV (by Borough)'!AG312,IF(Dashboard!$D$6=INDEX('Scenario names'!$C$3:$C$6,2),'2.4 PV (by Borough)'!AG312,IF(Dashboard!$D$6=INDEX('Scenario names'!$C$3:$C$6,3),'2.4 PV (by Borough)'!AG353,"Error")))))</f>
        <v>5635428.1968854405</v>
      </c>
      <c r="AH394" s="36">
        <f>IF(Dashboard!$D$6="Baseline",'2.4 PV (by Borough)'!AH230,IF(Dashboard!$D$6=INDEX('Scenario names'!$C$3:$C$6,4),'2.4 PV (by Borough)'!AH353,IF(Dashboard!$D$6=INDEX('Scenario names'!$C$3:$C$6,1),'2.4 PV (by Borough)'!AH312,IF(Dashboard!$D$6=INDEX('Scenario names'!$C$3:$C$6,2),'2.4 PV (by Borough)'!AH312,IF(Dashboard!$D$6=INDEX('Scenario names'!$C$3:$C$6,3),'2.4 PV (by Borough)'!AH353,"Error")))))</f>
        <v>5969016.6947446978</v>
      </c>
      <c r="AI394" s="36">
        <f>IF(Dashboard!$D$6="Baseline",'2.4 PV (by Borough)'!AI230,IF(Dashboard!$D$6=INDEX('Scenario names'!$C$3:$C$6,4),'2.4 PV (by Borough)'!AI353,IF(Dashboard!$D$6=INDEX('Scenario names'!$C$3:$C$6,1),'2.4 PV (by Borough)'!AI312,IF(Dashboard!$D$6=INDEX('Scenario names'!$C$3:$C$6,2),'2.4 PV (by Borough)'!AI312,IF(Dashboard!$D$6=INDEX('Scenario names'!$C$3:$C$6,3),'2.4 PV (by Borough)'!AI353,"Error")))))</f>
        <v>6302605.1926039578</v>
      </c>
      <c r="AJ394" s="36">
        <f>IF(Dashboard!$D$6="Baseline",'2.4 PV (by Borough)'!AJ230,IF(Dashboard!$D$6=INDEX('Scenario names'!$C$3:$C$6,4),'2.4 PV (by Borough)'!AJ353,IF(Dashboard!$D$6=INDEX('Scenario names'!$C$3:$C$6,1),'2.4 PV (by Borough)'!AJ312,IF(Dashboard!$D$6=INDEX('Scenario names'!$C$3:$C$6,2),'2.4 PV (by Borough)'!AJ312,IF(Dashboard!$D$6=INDEX('Scenario names'!$C$3:$C$6,3),'2.4 PV (by Borough)'!AJ353,"Error")))))</f>
        <v>6636193.6904632151</v>
      </c>
      <c r="AK394" s="36">
        <f>IF(Dashboard!$D$6="Baseline",'2.4 PV (by Borough)'!AK230,IF(Dashboard!$D$6=INDEX('Scenario names'!$C$3:$C$6,4),'2.4 PV (by Borough)'!AK353,IF(Dashboard!$D$6=INDEX('Scenario names'!$C$3:$C$6,1),'2.4 PV (by Borough)'!AK312,IF(Dashboard!$D$6=INDEX('Scenario names'!$C$3:$C$6,2),'2.4 PV (by Borough)'!AK312,IF(Dashboard!$D$6=INDEX('Scenario names'!$C$3:$C$6,3),'2.4 PV (by Borough)'!AK353,"Error")))))</f>
        <v>6969782.1883224696</v>
      </c>
      <c r="AL394" s="36">
        <f>IF(Dashboard!$D$6="Baseline",'2.4 PV (by Borough)'!AL230,IF(Dashboard!$D$6=INDEX('Scenario names'!$C$3:$C$6,4),'2.4 PV (by Borough)'!AL353,IF(Dashboard!$D$6=INDEX('Scenario names'!$C$3:$C$6,1),'2.4 PV (by Borough)'!AL312,IF(Dashboard!$D$6=INDEX('Scenario names'!$C$3:$C$6,2),'2.4 PV (by Borough)'!AL312,IF(Dashboard!$D$6=INDEX('Scenario names'!$C$3:$C$6,3),'2.4 PV (by Borough)'!AL353,"Error")))))</f>
        <v>7303370.6861817287</v>
      </c>
      <c r="AM394" s="36">
        <f>IF(Dashboard!$D$6="Baseline",'2.4 PV (by Borough)'!AM230,IF(Dashboard!$D$6=INDEX('Scenario names'!$C$3:$C$6,4),'2.4 PV (by Borough)'!AM353,IF(Dashboard!$D$6=INDEX('Scenario names'!$C$3:$C$6,1),'2.4 PV (by Borough)'!AM312,IF(Dashboard!$D$6=INDEX('Scenario names'!$C$3:$C$6,2),'2.4 PV (by Borough)'!AM312,IF(Dashboard!$D$6=INDEX('Scenario names'!$C$3:$C$6,3),'2.4 PV (by Borough)'!AM353,"Error")))))</f>
        <v>7636959.1840409851</v>
      </c>
      <c r="AN394" s="36">
        <f>IF(Dashboard!$D$6="Baseline",'2.4 PV (by Borough)'!AN230,IF(Dashboard!$D$6=INDEX('Scenario names'!$C$3:$C$6,4),'2.4 PV (by Borough)'!AN353,IF(Dashboard!$D$6=INDEX('Scenario names'!$C$3:$C$6,1),'2.4 PV (by Borough)'!AN312,IF(Dashboard!$D$6=INDEX('Scenario names'!$C$3:$C$6,2),'2.4 PV (by Borough)'!AN312,IF(Dashboard!$D$6=INDEX('Scenario names'!$C$3:$C$6,3),'2.4 PV (by Borough)'!AN353,"Error")))))</f>
        <v>7970547.6819002451</v>
      </c>
      <c r="AO394" s="36">
        <f>IF(Dashboard!$D$6="Baseline",'2.4 PV (by Borough)'!AO230,IF(Dashboard!$D$6=INDEX('Scenario names'!$C$3:$C$6,4),'2.4 PV (by Borough)'!AO353,IF(Dashboard!$D$6=INDEX('Scenario names'!$C$3:$C$6,1),'2.4 PV (by Borough)'!AO312,IF(Dashboard!$D$6=INDEX('Scenario names'!$C$3:$C$6,2),'2.4 PV (by Borough)'!AO312,IF(Dashboard!$D$6=INDEX('Scenario names'!$C$3:$C$6,3),'2.4 PV (by Borough)'!AO353,"Error")))))</f>
        <v>8304136.1797595015</v>
      </c>
      <c r="AP394" s="36">
        <f>IF(Dashboard!$D$6="Baseline",'2.4 PV (by Borough)'!AP230,IF(Dashboard!$D$6=INDEX('Scenario names'!$C$3:$C$6,4),'2.4 PV (by Borough)'!AP353,IF(Dashboard!$D$6=INDEX('Scenario names'!$C$3:$C$6,1),'2.4 PV (by Borough)'!AP312,IF(Dashboard!$D$6=INDEX('Scenario names'!$C$3:$C$6,2),'2.4 PV (by Borough)'!AP312,IF(Dashboard!$D$6=INDEX('Scenario names'!$C$3:$C$6,3),'2.4 PV (by Borough)'!AP353,"Error")))))</f>
        <v>8637724.6776187606</v>
      </c>
      <c r="AQ394" s="36">
        <f>IF(Dashboard!$D$6="Baseline",'2.4 PV (by Borough)'!AQ230,IF(Dashboard!$D$6=INDEX('Scenario names'!$C$3:$C$6,4),'2.4 PV (by Borough)'!AQ353,IF(Dashboard!$D$6=INDEX('Scenario names'!$C$3:$C$6,1),'2.4 PV (by Borough)'!AQ312,IF(Dashboard!$D$6=INDEX('Scenario names'!$C$3:$C$6,2),'2.4 PV (by Borough)'!AQ312,IF(Dashboard!$D$6=INDEX('Scenario names'!$C$3:$C$6,3),'2.4 PV (by Borough)'!AQ353,"Error")))))</f>
        <v>8971313.1754780188</v>
      </c>
      <c r="AR394" s="36">
        <f>IF(Dashboard!$D$6="Baseline",'2.4 PV (by Borough)'!AR230,IF(Dashboard!$D$6=INDEX('Scenario names'!$C$3:$C$6,4),'2.4 PV (by Borough)'!AR353,IF(Dashboard!$D$6=INDEX('Scenario names'!$C$3:$C$6,1),'2.4 PV (by Borough)'!AR312,IF(Dashboard!$D$6=INDEX('Scenario names'!$C$3:$C$6,2),'2.4 PV (by Borough)'!AR312,IF(Dashboard!$D$6=INDEX('Scenario names'!$C$3:$C$6,3),'2.4 PV (by Borough)'!AR353,"Error")))))</f>
        <v>9304901.6733372752</v>
      </c>
      <c r="AS394" s="36">
        <f>IF(Dashboard!$D$6="Baseline",'2.4 PV (by Borough)'!AS230,IF(Dashboard!$D$6=INDEX('Scenario names'!$C$3:$C$6,4),'2.4 PV (by Borough)'!AS353,IF(Dashboard!$D$6=INDEX('Scenario names'!$C$3:$C$6,1),'2.4 PV (by Borough)'!AS312,IF(Dashboard!$D$6=INDEX('Scenario names'!$C$3:$C$6,2),'2.4 PV (by Borough)'!AS312,IF(Dashboard!$D$6=INDEX('Scenario names'!$C$3:$C$6,3),'2.4 PV (by Borough)'!AS353,"Error")))))</f>
        <v>9638490.1711965315</v>
      </c>
      <c r="AT394" s="36">
        <f>IF(Dashboard!$D$6="Baseline",'2.4 PV (by Borough)'!AT230,IF(Dashboard!$D$6=INDEX('Scenario names'!$C$3:$C$6,4),'2.4 PV (by Borough)'!AT353,IF(Dashboard!$D$6=INDEX('Scenario names'!$C$3:$C$6,1),'2.4 PV (by Borough)'!AT312,IF(Dashboard!$D$6=INDEX('Scenario names'!$C$3:$C$6,2),'2.4 PV (by Borough)'!AT312,IF(Dashboard!$D$6=INDEX('Scenario names'!$C$3:$C$6,3),'2.4 PV (by Borough)'!AT353,"Error")))))</f>
        <v>9972078.6690557934</v>
      </c>
      <c r="AU394" s="36">
        <f>IF(Dashboard!$D$6="Baseline",'2.4 PV (by Borough)'!AU230,IF(Dashboard!$D$6=INDEX('Scenario names'!$C$3:$C$6,4),'2.4 PV (by Borough)'!AU353,IF(Dashboard!$D$6=INDEX('Scenario names'!$C$3:$C$6,1),'2.4 PV (by Borough)'!AU312,IF(Dashboard!$D$6=INDEX('Scenario names'!$C$3:$C$6,2),'2.4 PV (by Borough)'!AU312,IF(Dashboard!$D$6=INDEX('Scenario names'!$C$3:$C$6,3),'2.4 PV (by Borough)'!AU353,"Error")))))</f>
        <v>10305667.16691505</v>
      </c>
      <c r="AV394" s="36">
        <f>IF(Dashboard!$D$6="Baseline",'2.4 PV (by Borough)'!AV230,IF(Dashboard!$D$6=INDEX('Scenario names'!$C$3:$C$6,4),'2.4 PV (by Borough)'!AV353,IF(Dashboard!$D$6=INDEX('Scenario names'!$C$3:$C$6,1),'2.4 PV (by Borough)'!AV312,IF(Dashboard!$D$6=INDEX('Scenario names'!$C$3:$C$6,2),'2.4 PV (by Borough)'!AV312,IF(Dashboard!$D$6=INDEX('Scenario names'!$C$3:$C$6,3),'2.4 PV (by Borough)'!AV353,"Error")))))</f>
        <v>10639255.664774308</v>
      </c>
      <c r="AW394" s="36">
        <f>IF(Dashboard!$D$6="Baseline",'2.4 PV (by Borough)'!AW230,IF(Dashboard!$D$6=INDEX('Scenario names'!$C$3:$C$6,4),'2.4 PV (by Borough)'!AW353,IF(Dashboard!$D$6=INDEX('Scenario names'!$C$3:$C$6,1),'2.4 PV (by Borough)'!AW312,IF(Dashboard!$D$6=INDEX('Scenario names'!$C$3:$C$6,2),'2.4 PV (by Borough)'!AW312,IF(Dashboard!$D$6=INDEX('Scenario names'!$C$3:$C$6,3),'2.4 PV (by Borough)'!AW353,"Error")))))</f>
        <v>10972844.162633566</v>
      </c>
      <c r="AX394" s="36">
        <f>IF(Dashboard!$D$6="Baseline",'2.4 PV (by Borough)'!AX230,IF(Dashboard!$D$6=INDEX('Scenario names'!$C$3:$C$6,4),'2.4 PV (by Borough)'!AX353,IF(Dashboard!$D$6=INDEX('Scenario names'!$C$3:$C$6,1),'2.4 PV (by Borough)'!AX312,IF(Dashboard!$D$6=INDEX('Scenario names'!$C$3:$C$6,2),'2.4 PV (by Borough)'!AX312,IF(Dashboard!$D$6=INDEX('Scenario names'!$C$3:$C$6,3),'2.4 PV (by Borough)'!AX353,"Error")))))</f>
        <v>11306432.660492821</v>
      </c>
      <c r="AY394" s="36"/>
      <c r="AZ394" s="36"/>
      <c r="BA394" s="36"/>
      <c r="BB394" s="36"/>
    </row>
    <row r="395" spans="4:54">
      <c r="D395" t="s">
        <v>661</v>
      </c>
      <c r="E395" t="s">
        <v>643</v>
      </c>
      <c r="G395" s="44"/>
      <c r="I395" s="44"/>
      <c r="K395" s="44"/>
      <c r="M395" s="44"/>
      <c r="O395" s="36">
        <f>IF(Dashboard!$D$6="Baseline",'2.4 PV (by Borough)'!O231,IF(Dashboard!$D$6=INDEX('Scenario names'!$C$3:$C$6,4),'2.4 PV (by Borough)'!O354,IF(Dashboard!$D$6=INDEX('Scenario names'!$C$3:$C$6,1),'2.4 PV (by Borough)'!O313,IF(Dashboard!$D$6=INDEX('Scenario names'!$C$3:$C$6,2),'2.4 PV (by Borough)'!O313,IF(Dashboard!$D$6=INDEX('Scenario names'!$C$3:$C$6,3),'2.4 PV (by Borough)'!O354,"Error")))))</f>
        <v>692978.75686731818</v>
      </c>
      <c r="P395" s="36">
        <f>IF(Dashboard!$D$6="Baseline",'2.4 PV (by Borough)'!P231,IF(Dashboard!$D$6=INDEX('Scenario names'!$C$3:$C$6,4),'2.4 PV (by Borough)'!P354,IF(Dashboard!$D$6=INDEX('Scenario names'!$C$3:$C$6,1),'2.4 PV (by Borough)'!P313,IF(Dashboard!$D$6=INDEX('Scenario names'!$C$3:$C$6,2),'2.4 PV (by Borough)'!P313,IF(Dashboard!$D$6=INDEX('Scenario names'!$C$3:$C$6,3),'2.4 PV (by Borough)'!P354,"Error")))))</f>
        <v>1161274.4084632418</v>
      </c>
      <c r="Q395" s="36">
        <f>IF(Dashboard!$D$6="Baseline",'2.4 PV (by Borough)'!Q231,IF(Dashboard!$D$6=INDEX('Scenario names'!$C$3:$C$6,4),'2.4 PV (by Borough)'!Q354,IF(Dashboard!$D$6=INDEX('Scenario names'!$C$3:$C$6,1),'2.4 PV (by Borough)'!Q313,IF(Dashboard!$D$6=INDEX('Scenario names'!$C$3:$C$6,2),'2.4 PV (by Borough)'!Q313,IF(Dashboard!$D$6=INDEX('Scenario names'!$C$3:$C$6,3),'2.4 PV (by Borough)'!Q354,"Error")))))</f>
        <v>1629570.0600591653</v>
      </c>
      <c r="R395" s="36">
        <f>IF(Dashboard!$D$6="Baseline",'2.4 PV (by Borough)'!R231,IF(Dashboard!$D$6=INDEX('Scenario names'!$C$3:$C$6,4),'2.4 PV (by Borough)'!R354,IF(Dashboard!$D$6=INDEX('Scenario names'!$C$3:$C$6,1),'2.4 PV (by Borough)'!R313,IF(Dashboard!$D$6=INDEX('Scenario names'!$C$3:$C$6,2),'2.4 PV (by Borough)'!R313,IF(Dashboard!$D$6=INDEX('Scenario names'!$C$3:$C$6,3),'2.4 PV (by Borough)'!R354,"Error")))))</f>
        <v>2097865.7116550887</v>
      </c>
      <c r="S395" s="36">
        <f>IF(Dashboard!$D$6="Baseline",'2.4 PV (by Borough)'!S231,IF(Dashboard!$D$6=INDEX('Scenario names'!$C$3:$C$6,4),'2.4 PV (by Borough)'!S354,IF(Dashboard!$D$6=INDEX('Scenario names'!$C$3:$C$6,1),'2.4 PV (by Borough)'!S313,IF(Dashboard!$D$6=INDEX('Scenario names'!$C$3:$C$6,2),'2.4 PV (by Borough)'!S313,IF(Dashboard!$D$6=INDEX('Scenario names'!$C$3:$C$6,3),'2.4 PV (by Borough)'!S354,"Error")))))</f>
        <v>2566161.3632510123</v>
      </c>
      <c r="T395" s="36">
        <f>IF(Dashboard!$D$6="Baseline",'2.4 PV (by Borough)'!T231,IF(Dashboard!$D$6=INDEX('Scenario names'!$C$3:$C$6,4),'2.4 PV (by Borough)'!T354,IF(Dashboard!$D$6=INDEX('Scenario names'!$C$3:$C$6,1),'2.4 PV (by Borough)'!T313,IF(Dashboard!$D$6=INDEX('Scenario names'!$C$3:$C$6,2),'2.4 PV (by Borough)'!T313,IF(Dashboard!$D$6=INDEX('Scenario names'!$C$3:$C$6,3),'2.4 PV (by Borough)'!T354,"Error")))))</f>
        <v>3034457.0148469359</v>
      </c>
      <c r="U395" s="36">
        <f>IF(Dashboard!$D$6="Baseline",'2.4 PV (by Borough)'!U231,IF(Dashboard!$D$6=INDEX('Scenario names'!$C$3:$C$6,4),'2.4 PV (by Borough)'!U354,IF(Dashboard!$D$6=INDEX('Scenario names'!$C$3:$C$6,1),'2.4 PV (by Borough)'!U313,IF(Dashboard!$D$6=INDEX('Scenario names'!$C$3:$C$6,2),'2.4 PV (by Borough)'!U313,IF(Dashboard!$D$6=INDEX('Scenario names'!$C$3:$C$6,3),'2.4 PV (by Borough)'!U354,"Error")))))</f>
        <v>3502752.6664428595</v>
      </c>
      <c r="V395" s="36">
        <f>IF(Dashboard!$D$6="Baseline",'2.4 PV (by Borough)'!V231,IF(Dashboard!$D$6=INDEX('Scenario names'!$C$3:$C$6,4),'2.4 PV (by Borough)'!V354,IF(Dashboard!$D$6=INDEX('Scenario names'!$C$3:$C$6,1),'2.4 PV (by Borough)'!V313,IF(Dashboard!$D$6=INDEX('Scenario names'!$C$3:$C$6,2),'2.4 PV (by Borough)'!V313,IF(Dashboard!$D$6=INDEX('Scenario names'!$C$3:$C$6,3),'2.4 PV (by Borough)'!V354,"Error")))))</f>
        <v>3971048.318038783</v>
      </c>
      <c r="W395" s="36">
        <f>IF(Dashboard!$D$6="Baseline",'2.4 PV (by Borough)'!W231,IF(Dashboard!$D$6=INDEX('Scenario names'!$C$3:$C$6,4),'2.4 PV (by Borough)'!W354,IF(Dashboard!$D$6=INDEX('Scenario names'!$C$3:$C$6,1),'2.4 PV (by Borough)'!W313,IF(Dashboard!$D$6=INDEX('Scenario names'!$C$3:$C$6,2),'2.4 PV (by Borough)'!W313,IF(Dashboard!$D$6=INDEX('Scenario names'!$C$3:$C$6,3),'2.4 PV (by Borough)'!W354,"Error")))))</f>
        <v>4439343.9696347062</v>
      </c>
      <c r="X395" s="36">
        <f>IF(Dashboard!$D$6="Baseline",'2.4 PV (by Borough)'!X231,IF(Dashboard!$D$6=INDEX('Scenario names'!$C$3:$C$6,4),'2.4 PV (by Borough)'!X354,IF(Dashboard!$D$6=INDEX('Scenario names'!$C$3:$C$6,1),'2.4 PV (by Borough)'!X313,IF(Dashboard!$D$6=INDEX('Scenario names'!$C$3:$C$6,2),'2.4 PV (by Borough)'!X313,IF(Dashboard!$D$6=INDEX('Scenario names'!$C$3:$C$6,3),'2.4 PV (by Borough)'!X354,"Error")))))</f>
        <v>4907639.6212306311</v>
      </c>
      <c r="Y395" s="36">
        <f>IF(Dashboard!$D$6="Baseline",'2.4 PV (by Borough)'!Y231,IF(Dashboard!$D$6=INDEX('Scenario names'!$C$3:$C$6,4),'2.4 PV (by Borough)'!Y354,IF(Dashboard!$D$6=INDEX('Scenario names'!$C$3:$C$6,1),'2.4 PV (by Borough)'!Y313,IF(Dashboard!$D$6=INDEX('Scenario names'!$C$3:$C$6,2),'2.4 PV (by Borough)'!Y313,IF(Dashboard!$D$6=INDEX('Scenario names'!$C$3:$C$6,3),'2.4 PV (by Borough)'!Y354,"Error")))))</f>
        <v>5375935.2728265533</v>
      </c>
      <c r="Z395" s="36">
        <f>IF(Dashboard!$D$6="Baseline",'2.4 PV (by Borough)'!Z231,IF(Dashboard!$D$6=INDEX('Scenario names'!$C$3:$C$6,4),'2.4 PV (by Borough)'!Z354,IF(Dashboard!$D$6=INDEX('Scenario names'!$C$3:$C$6,1),'2.4 PV (by Borough)'!Z313,IF(Dashboard!$D$6=INDEX('Scenario names'!$C$3:$C$6,2),'2.4 PV (by Borough)'!Z313,IF(Dashboard!$D$6=INDEX('Scenario names'!$C$3:$C$6,3),'2.4 PV (by Borough)'!Z354,"Error")))))</f>
        <v>5973327.756660236</v>
      </c>
      <c r="AA395" s="36">
        <f>IF(Dashboard!$D$6="Baseline",'2.4 PV (by Borough)'!AA231,IF(Dashboard!$D$6=INDEX('Scenario names'!$C$3:$C$6,4),'2.4 PV (by Borough)'!AA354,IF(Dashboard!$D$6=INDEX('Scenario names'!$C$3:$C$6,1),'2.4 PV (by Borough)'!AA313,IF(Dashboard!$D$6=INDEX('Scenario names'!$C$3:$C$6,2),'2.4 PV (by Borough)'!AA313,IF(Dashboard!$D$6=INDEX('Scenario names'!$C$3:$C$6,3),'2.4 PV (by Borough)'!AA354,"Error")))))</f>
        <v>6570720.2404939197</v>
      </c>
      <c r="AB395" s="36">
        <f>IF(Dashboard!$D$6="Baseline",'2.4 PV (by Borough)'!AB231,IF(Dashboard!$D$6=INDEX('Scenario names'!$C$3:$C$6,4),'2.4 PV (by Borough)'!AB354,IF(Dashboard!$D$6=INDEX('Scenario names'!$C$3:$C$6,1),'2.4 PV (by Borough)'!AB313,IF(Dashboard!$D$6=INDEX('Scenario names'!$C$3:$C$6,2),'2.4 PV (by Borough)'!AB313,IF(Dashboard!$D$6=INDEX('Scenario names'!$C$3:$C$6,3),'2.4 PV (by Borough)'!AB354,"Error")))))</f>
        <v>7168112.7243276024</v>
      </c>
      <c r="AC395" s="36">
        <f>IF(Dashboard!$D$6="Baseline",'2.4 PV (by Borough)'!AC231,IF(Dashboard!$D$6=INDEX('Scenario names'!$C$3:$C$6,4),'2.4 PV (by Borough)'!AC354,IF(Dashboard!$D$6=INDEX('Scenario names'!$C$3:$C$6,1),'2.4 PV (by Borough)'!AC313,IF(Dashboard!$D$6=INDEX('Scenario names'!$C$3:$C$6,2),'2.4 PV (by Borough)'!AC313,IF(Dashboard!$D$6=INDEX('Scenario names'!$C$3:$C$6,3),'2.4 PV (by Borough)'!AC354,"Error")))))</f>
        <v>7765505.2081612842</v>
      </c>
      <c r="AD395" s="36">
        <f>IF(Dashboard!$D$6="Baseline",'2.4 PV (by Borough)'!AD231,IF(Dashboard!$D$6=INDEX('Scenario names'!$C$3:$C$6,4),'2.4 PV (by Borough)'!AD354,IF(Dashboard!$D$6=INDEX('Scenario names'!$C$3:$C$6,1),'2.4 PV (by Borough)'!AD313,IF(Dashboard!$D$6=INDEX('Scenario names'!$C$3:$C$6,2),'2.4 PV (by Borough)'!AD313,IF(Dashboard!$D$6=INDEX('Scenario names'!$C$3:$C$6,3),'2.4 PV (by Borough)'!AD354,"Error")))))</f>
        <v>8362897.6919949623</v>
      </c>
      <c r="AE395" s="36">
        <f>IF(Dashboard!$D$6="Baseline",'2.4 PV (by Borough)'!AE231,IF(Dashboard!$D$6=INDEX('Scenario names'!$C$3:$C$6,4),'2.4 PV (by Borough)'!AE354,IF(Dashboard!$D$6=INDEX('Scenario names'!$C$3:$C$6,1),'2.4 PV (by Borough)'!AE313,IF(Dashboard!$D$6=INDEX('Scenario names'!$C$3:$C$6,2),'2.4 PV (by Borough)'!AE313,IF(Dashboard!$D$6=INDEX('Scenario names'!$C$3:$C$6,3),'2.4 PV (by Borough)'!AE354,"Error")))))</f>
        <v>8960290.1758286487</v>
      </c>
      <c r="AF395" s="36">
        <f>IF(Dashboard!$D$6="Baseline",'2.4 PV (by Borough)'!AF231,IF(Dashboard!$D$6=INDEX('Scenario names'!$C$3:$C$6,4),'2.4 PV (by Borough)'!AF354,IF(Dashboard!$D$6=INDEX('Scenario names'!$C$3:$C$6,1),'2.4 PV (by Borough)'!AF313,IF(Dashboard!$D$6=INDEX('Scenario names'!$C$3:$C$6,2),'2.4 PV (by Borough)'!AF313,IF(Dashboard!$D$6=INDEX('Scenario names'!$C$3:$C$6,3),'2.4 PV (by Borough)'!AF354,"Error")))))</f>
        <v>9557682.6596623287</v>
      </c>
      <c r="AG395" s="36">
        <f>IF(Dashboard!$D$6="Baseline",'2.4 PV (by Borough)'!AG231,IF(Dashboard!$D$6=INDEX('Scenario names'!$C$3:$C$6,4),'2.4 PV (by Borough)'!AG354,IF(Dashboard!$D$6=INDEX('Scenario names'!$C$3:$C$6,1),'2.4 PV (by Borough)'!AG313,IF(Dashboard!$D$6=INDEX('Scenario names'!$C$3:$C$6,2),'2.4 PV (by Borough)'!AG313,IF(Dashboard!$D$6=INDEX('Scenario names'!$C$3:$C$6,3),'2.4 PV (by Borough)'!AG354,"Error")))))</f>
        <v>10155075.143496014</v>
      </c>
      <c r="AH395" s="36">
        <f>IF(Dashboard!$D$6="Baseline",'2.4 PV (by Borough)'!AH231,IF(Dashboard!$D$6=INDEX('Scenario names'!$C$3:$C$6,4),'2.4 PV (by Borough)'!AH354,IF(Dashboard!$D$6=INDEX('Scenario names'!$C$3:$C$6,1),'2.4 PV (by Borough)'!AH313,IF(Dashboard!$D$6=INDEX('Scenario names'!$C$3:$C$6,2),'2.4 PV (by Borough)'!AH313,IF(Dashboard!$D$6=INDEX('Scenario names'!$C$3:$C$6,3),'2.4 PV (by Borough)'!AH354,"Error")))))</f>
        <v>10752467.627329696</v>
      </c>
      <c r="AI395" s="36">
        <f>IF(Dashboard!$D$6="Baseline",'2.4 PV (by Borough)'!AI231,IF(Dashboard!$D$6=INDEX('Scenario names'!$C$3:$C$6,4),'2.4 PV (by Borough)'!AI354,IF(Dashboard!$D$6=INDEX('Scenario names'!$C$3:$C$6,1),'2.4 PV (by Borough)'!AI313,IF(Dashboard!$D$6=INDEX('Scenario names'!$C$3:$C$6,2),'2.4 PV (by Borough)'!AI313,IF(Dashboard!$D$6=INDEX('Scenario names'!$C$3:$C$6,3),'2.4 PV (by Borough)'!AI354,"Error")))))</f>
        <v>11349860.111163376</v>
      </c>
      <c r="AJ395" s="36">
        <f>IF(Dashboard!$D$6="Baseline",'2.4 PV (by Borough)'!AJ231,IF(Dashboard!$D$6=INDEX('Scenario names'!$C$3:$C$6,4),'2.4 PV (by Borough)'!AJ354,IF(Dashboard!$D$6=INDEX('Scenario names'!$C$3:$C$6,1),'2.4 PV (by Borough)'!AJ313,IF(Dashboard!$D$6=INDEX('Scenario names'!$C$3:$C$6,2),'2.4 PV (by Borough)'!AJ313,IF(Dashboard!$D$6=INDEX('Scenario names'!$C$3:$C$6,3),'2.4 PV (by Borough)'!AJ354,"Error")))))</f>
        <v>11947252.594997058</v>
      </c>
      <c r="AK395" s="36">
        <f>IF(Dashboard!$D$6="Baseline",'2.4 PV (by Borough)'!AK231,IF(Dashboard!$D$6=INDEX('Scenario names'!$C$3:$C$6,4),'2.4 PV (by Borough)'!AK354,IF(Dashboard!$D$6=INDEX('Scenario names'!$C$3:$C$6,1),'2.4 PV (by Borough)'!AK313,IF(Dashboard!$D$6=INDEX('Scenario names'!$C$3:$C$6,2),'2.4 PV (by Borough)'!AK313,IF(Dashboard!$D$6=INDEX('Scenario names'!$C$3:$C$6,3),'2.4 PV (by Borough)'!AK354,"Error")))))</f>
        <v>12544645.078830743</v>
      </c>
      <c r="AL395" s="36">
        <f>IF(Dashboard!$D$6="Baseline",'2.4 PV (by Borough)'!AL231,IF(Dashboard!$D$6=INDEX('Scenario names'!$C$3:$C$6,4),'2.4 PV (by Borough)'!AL354,IF(Dashboard!$D$6=INDEX('Scenario names'!$C$3:$C$6,1),'2.4 PV (by Borough)'!AL313,IF(Dashboard!$D$6=INDEX('Scenario names'!$C$3:$C$6,2),'2.4 PV (by Borough)'!AL313,IF(Dashboard!$D$6=INDEX('Scenario names'!$C$3:$C$6,3),'2.4 PV (by Borough)'!AL354,"Error")))))</f>
        <v>13142037.562664423</v>
      </c>
      <c r="AM395" s="36">
        <f>IF(Dashboard!$D$6="Baseline",'2.4 PV (by Borough)'!AM231,IF(Dashboard!$D$6=INDEX('Scenario names'!$C$3:$C$6,4),'2.4 PV (by Borough)'!AM354,IF(Dashboard!$D$6=INDEX('Scenario names'!$C$3:$C$6,1),'2.4 PV (by Borough)'!AM313,IF(Dashboard!$D$6=INDEX('Scenario names'!$C$3:$C$6,2),'2.4 PV (by Borough)'!AM313,IF(Dashboard!$D$6=INDEX('Scenario names'!$C$3:$C$6,3),'2.4 PV (by Borough)'!AM354,"Error")))))</f>
        <v>13739430.046498107</v>
      </c>
      <c r="AN395" s="36">
        <f>IF(Dashboard!$D$6="Baseline",'2.4 PV (by Borough)'!AN231,IF(Dashboard!$D$6=INDEX('Scenario names'!$C$3:$C$6,4),'2.4 PV (by Borough)'!AN354,IF(Dashboard!$D$6=INDEX('Scenario names'!$C$3:$C$6,1),'2.4 PV (by Borough)'!AN313,IF(Dashboard!$D$6=INDEX('Scenario names'!$C$3:$C$6,2),'2.4 PV (by Borough)'!AN313,IF(Dashboard!$D$6=INDEX('Scenario names'!$C$3:$C$6,3),'2.4 PV (by Borough)'!AN354,"Error")))))</f>
        <v>14336822.53033179</v>
      </c>
      <c r="AO395" s="36">
        <f>IF(Dashboard!$D$6="Baseline",'2.4 PV (by Borough)'!AO231,IF(Dashboard!$D$6=INDEX('Scenario names'!$C$3:$C$6,4),'2.4 PV (by Borough)'!AO354,IF(Dashboard!$D$6=INDEX('Scenario names'!$C$3:$C$6,1),'2.4 PV (by Borough)'!AO313,IF(Dashboard!$D$6=INDEX('Scenario names'!$C$3:$C$6,2),'2.4 PV (by Borough)'!AO313,IF(Dashboard!$D$6=INDEX('Scenario names'!$C$3:$C$6,3),'2.4 PV (by Borough)'!AO354,"Error")))))</f>
        <v>14934215.014165474</v>
      </c>
      <c r="AP395" s="36">
        <f>IF(Dashboard!$D$6="Baseline",'2.4 PV (by Borough)'!AP231,IF(Dashboard!$D$6=INDEX('Scenario names'!$C$3:$C$6,4),'2.4 PV (by Borough)'!AP354,IF(Dashboard!$D$6=INDEX('Scenario names'!$C$3:$C$6,1),'2.4 PV (by Borough)'!AP313,IF(Dashboard!$D$6=INDEX('Scenario names'!$C$3:$C$6,2),'2.4 PV (by Borough)'!AP313,IF(Dashboard!$D$6=INDEX('Scenario names'!$C$3:$C$6,3),'2.4 PV (by Borough)'!AP354,"Error")))))</f>
        <v>15531607.497999156</v>
      </c>
      <c r="AQ395" s="36">
        <f>IF(Dashboard!$D$6="Baseline",'2.4 PV (by Borough)'!AQ231,IF(Dashboard!$D$6=INDEX('Scenario names'!$C$3:$C$6,4),'2.4 PV (by Borough)'!AQ354,IF(Dashboard!$D$6=INDEX('Scenario names'!$C$3:$C$6,1),'2.4 PV (by Borough)'!AQ313,IF(Dashboard!$D$6=INDEX('Scenario names'!$C$3:$C$6,2),'2.4 PV (by Borough)'!AQ313,IF(Dashboard!$D$6=INDEX('Scenario names'!$C$3:$C$6,3),'2.4 PV (by Borough)'!AQ354,"Error")))))</f>
        <v>16128999.981832832</v>
      </c>
      <c r="AR395" s="36">
        <f>IF(Dashboard!$D$6="Baseline",'2.4 PV (by Borough)'!AR231,IF(Dashboard!$D$6=INDEX('Scenario names'!$C$3:$C$6,4),'2.4 PV (by Borough)'!AR354,IF(Dashboard!$D$6=INDEX('Scenario names'!$C$3:$C$6,1),'2.4 PV (by Borough)'!AR313,IF(Dashboard!$D$6=INDEX('Scenario names'!$C$3:$C$6,2),'2.4 PV (by Borough)'!AR313,IF(Dashboard!$D$6=INDEX('Scenario names'!$C$3:$C$6,3),'2.4 PV (by Borough)'!AR354,"Error")))))</f>
        <v>16726392.465666518</v>
      </c>
      <c r="AS395" s="36">
        <f>IF(Dashboard!$D$6="Baseline",'2.4 PV (by Borough)'!AS231,IF(Dashboard!$D$6=INDEX('Scenario names'!$C$3:$C$6,4),'2.4 PV (by Borough)'!AS354,IF(Dashboard!$D$6=INDEX('Scenario names'!$C$3:$C$6,1),'2.4 PV (by Borough)'!AS313,IF(Dashboard!$D$6=INDEX('Scenario names'!$C$3:$C$6,2),'2.4 PV (by Borough)'!AS313,IF(Dashboard!$D$6=INDEX('Scenario names'!$C$3:$C$6,3),'2.4 PV (by Borough)'!AS354,"Error")))))</f>
        <v>17323784.949500199</v>
      </c>
      <c r="AT395" s="36">
        <f>IF(Dashboard!$D$6="Baseline",'2.4 PV (by Borough)'!AT231,IF(Dashboard!$D$6=INDEX('Scenario names'!$C$3:$C$6,4),'2.4 PV (by Borough)'!AT354,IF(Dashboard!$D$6=INDEX('Scenario names'!$C$3:$C$6,1),'2.4 PV (by Borough)'!AT313,IF(Dashboard!$D$6=INDEX('Scenario names'!$C$3:$C$6,2),'2.4 PV (by Borough)'!AT313,IF(Dashboard!$D$6=INDEX('Scenario names'!$C$3:$C$6,3),'2.4 PV (by Borough)'!AT354,"Error")))))</f>
        <v>17921177.433333885</v>
      </c>
      <c r="AU395" s="36">
        <f>IF(Dashboard!$D$6="Baseline",'2.4 PV (by Borough)'!AU231,IF(Dashboard!$D$6=INDEX('Scenario names'!$C$3:$C$6,4),'2.4 PV (by Borough)'!AU354,IF(Dashboard!$D$6=INDEX('Scenario names'!$C$3:$C$6,1),'2.4 PV (by Borough)'!AU313,IF(Dashboard!$D$6=INDEX('Scenario names'!$C$3:$C$6,2),'2.4 PV (by Borough)'!AU313,IF(Dashboard!$D$6=INDEX('Scenario names'!$C$3:$C$6,3),'2.4 PV (by Borough)'!AU354,"Error")))))</f>
        <v>18518569.917167563</v>
      </c>
      <c r="AV395" s="36">
        <f>IF(Dashboard!$D$6="Baseline",'2.4 PV (by Borough)'!AV231,IF(Dashboard!$D$6=INDEX('Scenario names'!$C$3:$C$6,4),'2.4 PV (by Borough)'!AV354,IF(Dashboard!$D$6=INDEX('Scenario names'!$C$3:$C$6,1),'2.4 PV (by Borough)'!AV313,IF(Dashboard!$D$6=INDEX('Scenario names'!$C$3:$C$6,2),'2.4 PV (by Borough)'!AV313,IF(Dashboard!$D$6=INDEX('Scenario names'!$C$3:$C$6,3),'2.4 PV (by Borough)'!AV354,"Error")))))</f>
        <v>19115962.401001245</v>
      </c>
      <c r="AW395" s="36">
        <f>IF(Dashboard!$D$6="Baseline",'2.4 PV (by Borough)'!AW231,IF(Dashboard!$D$6=INDEX('Scenario names'!$C$3:$C$6,4),'2.4 PV (by Borough)'!AW354,IF(Dashboard!$D$6=INDEX('Scenario names'!$C$3:$C$6,1),'2.4 PV (by Borough)'!AW313,IF(Dashboard!$D$6=INDEX('Scenario names'!$C$3:$C$6,2),'2.4 PV (by Borough)'!AW313,IF(Dashboard!$D$6=INDEX('Scenario names'!$C$3:$C$6,3),'2.4 PV (by Borough)'!AW354,"Error")))))</f>
        <v>19713354.884834927</v>
      </c>
      <c r="AX395" s="36">
        <f>IF(Dashboard!$D$6="Baseline",'2.4 PV (by Borough)'!AX231,IF(Dashboard!$D$6=INDEX('Scenario names'!$C$3:$C$6,4),'2.4 PV (by Borough)'!AX354,IF(Dashboard!$D$6=INDEX('Scenario names'!$C$3:$C$6,1),'2.4 PV (by Borough)'!AX313,IF(Dashboard!$D$6=INDEX('Scenario names'!$C$3:$C$6,2),'2.4 PV (by Borough)'!AX313,IF(Dashboard!$D$6=INDEX('Scenario names'!$C$3:$C$6,3),'2.4 PV (by Borough)'!AX354,"Error")))))</f>
        <v>20310747.368668608</v>
      </c>
      <c r="AY395" s="36"/>
      <c r="AZ395" s="36"/>
      <c r="BA395" s="36"/>
      <c r="BB395" s="36"/>
    </row>
    <row r="396" spans="4:54">
      <c r="D396" t="s">
        <v>661</v>
      </c>
      <c r="E396" t="s">
        <v>644</v>
      </c>
      <c r="G396" s="44"/>
      <c r="I396" s="44"/>
      <c r="K396" s="44"/>
      <c r="M396" s="44"/>
      <c r="O396" s="36">
        <f>IF(Dashboard!$D$6="Baseline",'2.4 PV (by Borough)'!O232,IF(Dashboard!$D$6=INDEX('Scenario names'!$C$3:$C$6,4),'2.4 PV (by Borough)'!O355,IF(Dashboard!$D$6=INDEX('Scenario names'!$C$3:$C$6,1),'2.4 PV (by Borough)'!O314,IF(Dashboard!$D$6=INDEX('Scenario names'!$C$3:$C$6,2),'2.4 PV (by Borough)'!O314,IF(Dashboard!$D$6=INDEX('Scenario names'!$C$3:$C$6,3),'2.4 PV (by Borough)'!O355,"Error")))))</f>
        <v>386096.948165162</v>
      </c>
      <c r="P396" s="36">
        <f>IF(Dashboard!$D$6="Baseline",'2.4 PV (by Borough)'!P232,IF(Dashboard!$D$6=INDEX('Scenario names'!$C$3:$C$6,4),'2.4 PV (by Borough)'!P355,IF(Dashboard!$D$6=INDEX('Scenario names'!$C$3:$C$6,1),'2.4 PV (by Borough)'!P314,IF(Dashboard!$D$6=INDEX('Scenario names'!$C$3:$C$6,2),'2.4 PV (by Borough)'!P314,IF(Dashboard!$D$6=INDEX('Scenario names'!$C$3:$C$6,3),'2.4 PV (by Borough)'!P355,"Error")))))</f>
        <v>649739.24039139342</v>
      </c>
      <c r="Q396" s="36">
        <f>IF(Dashboard!$D$6="Baseline",'2.4 PV (by Borough)'!Q232,IF(Dashboard!$D$6=INDEX('Scenario names'!$C$3:$C$6,4),'2.4 PV (by Borough)'!Q355,IF(Dashboard!$D$6=INDEX('Scenario names'!$C$3:$C$6,1),'2.4 PV (by Borough)'!Q314,IF(Dashboard!$D$6=INDEX('Scenario names'!$C$3:$C$6,2),'2.4 PV (by Borough)'!Q314,IF(Dashboard!$D$6=INDEX('Scenario names'!$C$3:$C$6,3),'2.4 PV (by Borough)'!Q355,"Error")))))</f>
        <v>913381.53261762462</v>
      </c>
      <c r="R396" s="36">
        <f>IF(Dashboard!$D$6="Baseline",'2.4 PV (by Borough)'!R232,IF(Dashboard!$D$6=INDEX('Scenario names'!$C$3:$C$6,4),'2.4 PV (by Borough)'!R355,IF(Dashboard!$D$6=INDEX('Scenario names'!$C$3:$C$6,1),'2.4 PV (by Borough)'!R314,IF(Dashboard!$D$6=INDEX('Scenario names'!$C$3:$C$6,2),'2.4 PV (by Borough)'!R314,IF(Dashboard!$D$6=INDEX('Scenario names'!$C$3:$C$6,3),'2.4 PV (by Borough)'!R355,"Error")))))</f>
        <v>1177023.8248438558</v>
      </c>
      <c r="S396" s="36">
        <f>IF(Dashboard!$D$6="Baseline",'2.4 PV (by Borough)'!S232,IF(Dashboard!$D$6=INDEX('Scenario names'!$C$3:$C$6,4),'2.4 PV (by Borough)'!S355,IF(Dashboard!$D$6=INDEX('Scenario names'!$C$3:$C$6,1),'2.4 PV (by Borough)'!S314,IF(Dashboard!$D$6=INDEX('Scenario names'!$C$3:$C$6,2),'2.4 PV (by Borough)'!S314,IF(Dashboard!$D$6=INDEX('Scenario names'!$C$3:$C$6,3),'2.4 PV (by Borough)'!S355,"Error")))))</f>
        <v>1440666.1170700872</v>
      </c>
      <c r="T396" s="36">
        <f>IF(Dashboard!$D$6="Baseline",'2.4 PV (by Borough)'!T232,IF(Dashboard!$D$6=INDEX('Scenario names'!$C$3:$C$6,4),'2.4 PV (by Borough)'!T355,IF(Dashboard!$D$6=INDEX('Scenario names'!$C$3:$C$6,1),'2.4 PV (by Borough)'!T314,IF(Dashboard!$D$6=INDEX('Scenario names'!$C$3:$C$6,2),'2.4 PV (by Borough)'!T314,IF(Dashboard!$D$6=INDEX('Scenario names'!$C$3:$C$6,3),'2.4 PV (by Borough)'!T355,"Error")))))</f>
        <v>1704308.4092963187</v>
      </c>
      <c r="U396" s="36">
        <f>IF(Dashboard!$D$6="Baseline",'2.4 PV (by Borough)'!U232,IF(Dashboard!$D$6=INDEX('Scenario names'!$C$3:$C$6,4),'2.4 PV (by Borough)'!U355,IF(Dashboard!$D$6=INDEX('Scenario names'!$C$3:$C$6,1),'2.4 PV (by Borough)'!U314,IF(Dashboard!$D$6=INDEX('Scenario names'!$C$3:$C$6,2),'2.4 PV (by Borough)'!U314,IF(Dashboard!$D$6=INDEX('Scenario names'!$C$3:$C$6,3),'2.4 PV (by Borough)'!U355,"Error")))))</f>
        <v>1967950.7015225498</v>
      </c>
      <c r="V396" s="36">
        <f>IF(Dashboard!$D$6="Baseline",'2.4 PV (by Borough)'!V232,IF(Dashboard!$D$6=INDEX('Scenario names'!$C$3:$C$6,4),'2.4 PV (by Borough)'!V355,IF(Dashboard!$D$6=INDEX('Scenario names'!$C$3:$C$6,1),'2.4 PV (by Borough)'!V314,IF(Dashboard!$D$6=INDEX('Scenario names'!$C$3:$C$6,2),'2.4 PV (by Borough)'!V314,IF(Dashboard!$D$6=INDEX('Scenario names'!$C$3:$C$6,3),'2.4 PV (by Borough)'!V355,"Error")))))</f>
        <v>2231592.9937487808</v>
      </c>
      <c r="W396" s="36">
        <f>IF(Dashboard!$D$6="Baseline",'2.4 PV (by Borough)'!W232,IF(Dashboard!$D$6=INDEX('Scenario names'!$C$3:$C$6,4),'2.4 PV (by Borough)'!W355,IF(Dashboard!$D$6=INDEX('Scenario names'!$C$3:$C$6,1),'2.4 PV (by Borough)'!W314,IF(Dashboard!$D$6=INDEX('Scenario names'!$C$3:$C$6,2),'2.4 PV (by Borough)'!W314,IF(Dashboard!$D$6=INDEX('Scenario names'!$C$3:$C$6,3),'2.4 PV (by Borough)'!W355,"Error")))))</f>
        <v>2495235.2859750129</v>
      </c>
      <c r="X396" s="36">
        <f>IF(Dashboard!$D$6="Baseline",'2.4 PV (by Borough)'!X232,IF(Dashboard!$D$6=INDEX('Scenario names'!$C$3:$C$6,4),'2.4 PV (by Borough)'!X355,IF(Dashboard!$D$6=INDEX('Scenario names'!$C$3:$C$6,1),'2.4 PV (by Borough)'!X314,IF(Dashboard!$D$6=INDEX('Scenario names'!$C$3:$C$6,2),'2.4 PV (by Borough)'!X314,IF(Dashboard!$D$6=INDEX('Scenario names'!$C$3:$C$6,3),'2.4 PV (by Borough)'!X355,"Error")))))</f>
        <v>2758877.5782012432</v>
      </c>
      <c r="Y396" s="36">
        <f>IF(Dashboard!$D$6="Baseline",'2.4 PV (by Borough)'!Y232,IF(Dashboard!$D$6=INDEX('Scenario names'!$C$3:$C$6,4),'2.4 PV (by Borough)'!Y355,IF(Dashboard!$D$6=INDEX('Scenario names'!$C$3:$C$6,1),'2.4 PV (by Borough)'!Y314,IF(Dashboard!$D$6=INDEX('Scenario names'!$C$3:$C$6,2),'2.4 PV (by Borough)'!Y314,IF(Dashboard!$D$6=INDEX('Scenario names'!$C$3:$C$6,3),'2.4 PV (by Borough)'!Y355,"Error")))))</f>
        <v>3022519.8704274744</v>
      </c>
      <c r="Z396" s="36">
        <f>IF(Dashboard!$D$6="Baseline",'2.4 PV (by Borough)'!Z232,IF(Dashboard!$D$6=INDEX('Scenario names'!$C$3:$C$6,4),'2.4 PV (by Borough)'!Z355,IF(Dashboard!$D$6=INDEX('Scenario names'!$C$3:$C$6,1),'2.4 PV (by Borough)'!Z314,IF(Dashboard!$D$6=INDEX('Scenario names'!$C$3:$C$6,2),'2.4 PV (by Borough)'!Z314,IF(Dashboard!$D$6=INDEX('Scenario names'!$C$3:$C$6,3),'2.4 PV (by Borough)'!Z355,"Error")))))</f>
        <v>3148839.0001965244</v>
      </c>
      <c r="AA396" s="36">
        <f>IF(Dashboard!$D$6="Baseline",'2.4 PV (by Borough)'!AA232,IF(Dashboard!$D$6=INDEX('Scenario names'!$C$3:$C$6,4),'2.4 PV (by Borough)'!AA355,IF(Dashboard!$D$6=INDEX('Scenario names'!$C$3:$C$6,1),'2.4 PV (by Borough)'!AA314,IF(Dashboard!$D$6=INDEX('Scenario names'!$C$3:$C$6,2),'2.4 PV (by Borough)'!AA314,IF(Dashboard!$D$6=INDEX('Scenario names'!$C$3:$C$6,3),'2.4 PV (by Borough)'!AA355,"Error")))))</f>
        <v>3275158.1299655749</v>
      </c>
      <c r="AB396" s="36">
        <f>IF(Dashboard!$D$6="Baseline",'2.4 PV (by Borough)'!AB232,IF(Dashboard!$D$6=INDEX('Scenario names'!$C$3:$C$6,4),'2.4 PV (by Borough)'!AB355,IF(Dashboard!$D$6=INDEX('Scenario names'!$C$3:$C$6,1),'2.4 PV (by Borough)'!AB314,IF(Dashboard!$D$6=INDEX('Scenario names'!$C$3:$C$6,2),'2.4 PV (by Borough)'!AB314,IF(Dashboard!$D$6=INDEX('Scenario names'!$C$3:$C$6,3),'2.4 PV (by Borough)'!AB355,"Error")))))</f>
        <v>3401477.2597346236</v>
      </c>
      <c r="AC396" s="36">
        <f>IF(Dashboard!$D$6="Baseline",'2.4 PV (by Borough)'!AC232,IF(Dashboard!$D$6=INDEX('Scenario names'!$C$3:$C$6,4),'2.4 PV (by Borough)'!AC355,IF(Dashboard!$D$6=INDEX('Scenario names'!$C$3:$C$6,1),'2.4 PV (by Borough)'!AC314,IF(Dashboard!$D$6=INDEX('Scenario names'!$C$3:$C$6,2),'2.4 PV (by Borough)'!AC314,IF(Dashboard!$D$6=INDEX('Scenario names'!$C$3:$C$6,3),'2.4 PV (by Borough)'!AC355,"Error")))))</f>
        <v>3527796.389503675</v>
      </c>
      <c r="AD396" s="36">
        <f>IF(Dashboard!$D$6="Baseline",'2.4 PV (by Borough)'!AD232,IF(Dashboard!$D$6=INDEX('Scenario names'!$C$3:$C$6,4),'2.4 PV (by Borough)'!AD355,IF(Dashboard!$D$6=INDEX('Scenario names'!$C$3:$C$6,1),'2.4 PV (by Borough)'!AD314,IF(Dashboard!$D$6=INDEX('Scenario names'!$C$3:$C$6,2),'2.4 PV (by Borough)'!AD314,IF(Dashboard!$D$6=INDEX('Scenario names'!$C$3:$C$6,3),'2.4 PV (by Borough)'!AD355,"Error")))))</f>
        <v>3654115.5192727251</v>
      </c>
      <c r="AE396" s="36">
        <f>IF(Dashboard!$D$6="Baseline",'2.4 PV (by Borough)'!AE232,IF(Dashboard!$D$6=INDEX('Scenario names'!$C$3:$C$6,4),'2.4 PV (by Borough)'!AE355,IF(Dashboard!$D$6=INDEX('Scenario names'!$C$3:$C$6,1),'2.4 PV (by Borough)'!AE314,IF(Dashboard!$D$6=INDEX('Scenario names'!$C$3:$C$6,2),'2.4 PV (by Borough)'!AE314,IF(Dashboard!$D$6=INDEX('Scenario names'!$C$3:$C$6,3),'2.4 PV (by Borough)'!AE355,"Error")))))</f>
        <v>3780434.6490417747</v>
      </c>
      <c r="AF396" s="36">
        <f>IF(Dashboard!$D$6="Baseline",'2.4 PV (by Borough)'!AF232,IF(Dashboard!$D$6=INDEX('Scenario names'!$C$3:$C$6,4),'2.4 PV (by Borough)'!AF355,IF(Dashboard!$D$6=INDEX('Scenario names'!$C$3:$C$6,1),'2.4 PV (by Borough)'!AF314,IF(Dashboard!$D$6=INDEX('Scenario names'!$C$3:$C$6,2),'2.4 PV (by Borough)'!AF314,IF(Dashboard!$D$6=INDEX('Scenario names'!$C$3:$C$6,3),'2.4 PV (by Borough)'!AF355,"Error")))))</f>
        <v>3906753.7788108252</v>
      </c>
      <c r="AG396" s="36">
        <f>IF(Dashboard!$D$6="Baseline",'2.4 PV (by Borough)'!AG232,IF(Dashboard!$D$6=INDEX('Scenario names'!$C$3:$C$6,4),'2.4 PV (by Borough)'!AG355,IF(Dashboard!$D$6=INDEX('Scenario names'!$C$3:$C$6,1),'2.4 PV (by Borough)'!AG314,IF(Dashboard!$D$6=INDEX('Scenario names'!$C$3:$C$6,2),'2.4 PV (by Borough)'!AG314,IF(Dashboard!$D$6=INDEX('Scenario names'!$C$3:$C$6,3),'2.4 PV (by Borough)'!AG355,"Error")))))</f>
        <v>4033072.9085798752</v>
      </c>
      <c r="AH396" s="36">
        <f>IF(Dashboard!$D$6="Baseline",'2.4 PV (by Borough)'!AH232,IF(Dashboard!$D$6=INDEX('Scenario names'!$C$3:$C$6,4),'2.4 PV (by Borough)'!AH355,IF(Dashboard!$D$6=INDEX('Scenario names'!$C$3:$C$6,1),'2.4 PV (by Borough)'!AH314,IF(Dashboard!$D$6=INDEX('Scenario names'!$C$3:$C$6,2),'2.4 PV (by Borough)'!AH314,IF(Dashboard!$D$6=INDEX('Scenario names'!$C$3:$C$6,3),'2.4 PV (by Borough)'!AH355,"Error")))))</f>
        <v>4159392.0383489234</v>
      </c>
      <c r="AI396" s="36">
        <f>IF(Dashboard!$D$6="Baseline",'2.4 PV (by Borough)'!AI232,IF(Dashboard!$D$6=INDEX('Scenario names'!$C$3:$C$6,4),'2.4 PV (by Borough)'!AI355,IF(Dashboard!$D$6=INDEX('Scenario names'!$C$3:$C$6,1),'2.4 PV (by Borough)'!AI314,IF(Dashboard!$D$6=INDEX('Scenario names'!$C$3:$C$6,2),'2.4 PV (by Borough)'!AI314,IF(Dashboard!$D$6=INDEX('Scenario names'!$C$3:$C$6,3),'2.4 PV (by Borough)'!AI355,"Error")))))</f>
        <v>4285711.168117974</v>
      </c>
      <c r="AJ396" s="36">
        <f>IF(Dashboard!$D$6="Baseline",'2.4 PV (by Borough)'!AJ232,IF(Dashboard!$D$6=INDEX('Scenario names'!$C$3:$C$6,4),'2.4 PV (by Borough)'!AJ355,IF(Dashboard!$D$6=INDEX('Scenario names'!$C$3:$C$6,1),'2.4 PV (by Borough)'!AJ314,IF(Dashboard!$D$6=INDEX('Scenario names'!$C$3:$C$6,2),'2.4 PV (by Borough)'!AJ314,IF(Dashboard!$D$6=INDEX('Scenario names'!$C$3:$C$6,3),'2.4 PV (by Borough)'!AJ355,"Error")))))</f>
        <v>4412030.2978870245</v>
      </c>
      <c r="AK396" s="36">
        <f>IF(Dashboard!$D$6="Baseline",'2.4 PV (by Borough)'!AK232,IF(Dashboard!$D$6=INDEX('Scenario names'!$C$3:$C$6,4),'2.4 PV (by Borough)'!AK355,IF(Dashboard!$D$6=INDEX('Scenario names'!$C$3:$C$6,1),'2.4 PV (by Borough)'!AK314,IF(Dashboard!$D$6=INDEX('Scenario names'!$C$3:$C$6,2),'2.4 PV (by Borough)'!AK314,IF(Dashboard!$D$6=INDEX('Scenario names'!$C$3:$C$6,3),'2.4 PV (by Borough)'!AK355,"Error")))))</f>
        <v>4538349.427656075</v>
      </c>
      <c r="AL396" s="36">
        <f>IF(Dashboard!$D$6="Baseline",'2.4 PV (by Borough)'!AL232,IF(Dashboard!$D$6=INDEX('Scenario names'!$C$3:$C$6,4),'2.4 PV (by Borough)'!AL355,IF(Dashboard!$D$6=INDEX('Scenario names'!$C$3:$C$6,1),'2.4 PV (by Borough)'!AL314,IF(Dashboard!$D$6=INDEX('Scenario names'!$C$3:$C$6,2),'2.4 PV (by Borough)'!AL314,IF(Dashboard!$D$6=INDEX('Scenario names'!$C$3:$C$6,3),'2.4 PV (by Borough)'!AL355,"Error")))))</f>
        <v>4664668.5574251246</v>
      </c>
      <c r="AM396" s="36">
        <f>IF(Dashboard!$D$6="Baseline",'2.4 PV (by Borough)'!AM232,IF(Dashboard!$D$6=INDEX('Scenario names'!$C$3:$C$6,4),'2.4 PV (by Borough)'!AM355,IF(Dashboard!$D$6=INDEX('Scenario names'!$C$3:$C$6,1),'2.4 PV (by Borough)'!AM314,IF(Dashboard!$D$6=INDEX('Scenario names'!$C$3:$C$6,2),'2.4 PV (by Borough)'!AM314,IF(Dashboard!$D$6=INDEX('Scenario names'!$C$3:$C$6,3),'2.4 PV (by Borough)'!AM355,"Error")))))</f>
        <v>4790987.6871941742</v>
      </c>
      <c r="AN396" s="36">
        <f>IF(Dashboard!$D$6="Baseline",'2.4 PV (by Borough)'!AN232,IF(Dashboard!$D$6=INDEX('Scenario names'!$C$3:$C$6,4),'2.4 PV (by Borough)'!AN355,IF(Dashboard!$D$6=INDEX('Scenario names'!$C$3:$C$6,1),'2.4 PV (by Borough)'!AN314,IF(Dashboard!$D$6=INDEX('Scenario names'!$C$3:$C$6,2),'2.4 PV (by Borough)'!AN314,IF(Dashboard!$D$6=INDEX('Scenario names'!$C$3:$C$6,3),'2.4 PV (by Borough)'!AN355,"Error")))))</f>
        <v>4917306.8169632228</v>
      </c>
      <c r="AO396" s="36">
        <f>IF(Dashboard!$D$6="Baseline",'2.4 PV (by Borough)'!AO232,IF(Dashboard!$D$6=INDEX('Scenario names'!$C$3:$C$6,4),'2.4 PV (by Borough)'!AO355,IF(Dashboard!$D$6=INDEX('Scenario names'!$C$3:$C$6,1),'2.4 PV (by Borough)'!AO314,IF(Dashboard!$D$6=INDEX('Scenario names'!$C$3:$C$6,2),'2.4 PV (by Borough)'!AO314,IF(Dashboard!$D$6=INDEX('Scenario names'!$C$3:$C$6,3),'2.4 PV (by Borough)'!AO355,"Error")))))</f>
        <v>5043625.9467322743</v>
      </c>
      <c r="AP396" s="36">
        <f>IF(Dashboard!$D$6="Baseline",'2.4 PV (by Borough)'!AP232,IF(Dashboard!$D$6=INDEX('Scenario names'!$C$3:$C$6,4),'2.4 PV (by Borough)'!AP355,IF(Dashboard!$D$6=INDEX('Scenario names'!$C$3:$C$6,1),'2.4 PV (by Borough)'!AP314,IF(Dashboard!$D$6=INDEX('Scenario names'!$C$3:$C$6,2),'2.4 PV (by Borough)'!AP314,IF(Dashboard!$D$6=INDEX('Scenario names'!$C$3:$C$6,3),'2.4 PV (by Borough)'!AP355,"Error")))))</f>
        <v>5169945.0765013248</v>
      </c>
      <c r="AQ396" s="36">
        <f>IF(Dashboard!$D$6="Baseline",'2.4 PV (by Borough)'!AQ232,IF(Dashboard!$D$6=INDEX('Scenario names'!$C$3:$C$6,4),'2.4 PV (by Borough)'!AQ355,IF(Dashboard!$D$6=INDEX('Scenario names'!$C$3:$C$6,1),'2.4 PV (by Borough)'!AQ314,IF(Dashboard!$D$6=INDEX('Scenario names'!$C$3:$C$6,2),'2.4 PV (by Borough)'!AQ314,IF(Dashboard!$D$6=INDEX('Scenario names'!$C$3:$C$6,3),'2.4 PV (by Borough)'!AQ355,"Error")))))</f>
        <v>5296264.2062703744</v>
      </c>
      <c r="AR396" s="36">
        <f>IF(Dashboard!$D$6="Baseline",'2.4 PV (by Borough)'!AR232,IF(Dashboard!$D$6=INDEX('Scenario names'!$C$3:$C$6,4),'2.4 PV (by Borough)'!AR355,IF(Dashboard!$D$6=INDEX('Scenario names'!$C$3:$C$6,1),'2.4 PV (by Borough)'!AR314,IF(Dashboard!$D$6=INDEX('Scenario names'!$C$3:$C$6,2),'2.4 PV (by Borough)'!AR314,IF(Dashboard!$D$6=INDEX('Scenario names'!$C$3:$C$6,3),'2.4 PV (by Borough)'!AR355,"Error")))))</f>
        <v>5422583.3360394249</v>
      </c>
      <c r="AS396" s="36">
        <f>IF(Dashboard!$D$6="Baseline",'2.4 PV (by Borough)'!AS232,IF(Dashboard!$D$6=INDEX('Scenario names'!$C$3:$C$6,4),'2.4 PV (by Borough)'!AS355,IF(Dashboard!$D$6=INDEX('Scenario names'!$C$3:$C$6,1),'2.4 PV (by Borough)'!AS314,IF(Dashboard!$D$6=INDEX('Scenario names'!$C$3:$C$6,2),'2.4 PV (by Borough)'!AS314,IF(Dashboard!$D$6=INDEX('Scenario names'!$C$3:$C$6,3),'2.4 PV (by Borough)'!AS355,"Error")))))</f>
        <v>5548902.4658084726</v>
      </c>
      <c r="AT396" s="36">
        <f>IF(Dashboard!$D$6="Baseline",'2.4 PV (by Borough)'!AT232,IF(Dashboard!$D$6=INDEX('Scenario names'!$C$3:$C$6,4),'2.4 PV (by Borough)'!AT355,IF(Dashboard!$D$6=INDEX('Scenario names'!$C$3:$C$6,1),'2.4 PV (by Borough)'!AT314,IF(Dashboard!$D$6=INDEX('Scenario names'!$C$3:$C$6,2),'2.4 PV (by Borough)'!AT314,IF(Dashboard!$D$6=INDEX('Scenario names'!$C$3:$C$6,3),'2.4 PV (by Borough)'!AT355,"Error")))))</f>
        <v>5675221.5955775231</v>
      </c>
      <c r="AU396" s="36">
        <f>IF(Dashboard!$D$6="Baseline",'2.4 PV (by Borough)'!AU232,IF(Dashboard!$D$6=INDEX('Scenario names'!$C$3:$C$6,4),'2.4 PV (by Borough)'!AU355,IF(Dashboard!$D$6=INDEX('Scenario names'!$C$3:$C$6,1),'2.4 PV (by Borough)'!AU314,IF(Dashboard!$D$6=INDEX('Scenario names'!$C$3:$C$6,2),'2.4 PV (by Borough)'!AU314,IF(Dashboard!$D$6=INDEX('Scenario names'!$C$3:$C$6,3),'2.4 PV (by Borough)'!AU355,"Error")))))</f>
        <v>5801540.7253465736</v>
      </c>
      <c r="AV396" s="36">
        <f>IF(Dashboard!$D$6="Baseline",'2.4 PV (by Borough)'!AV232,IF(Dashboard!$D$6=INDEX('Scenario names'!$C$3:$C$6,4),'2.4 PV (by Borough)'!AV355,IF(Dashboard!$D$6=INDEX('Scenario names'!$C$3:$C$6,1),'2.4 PV (by Borough)'!AV314,IF(Dashboard!$D$6=INDEX('Scenario names'!$C$3:$C$6,2),'2.4 PV (by Borough)'!AV314,IF(Dashboard!$D$6=INDEX('Scenario names'!$C$3:$C$6,3),'2.4 PV (by Borough)'!AV355,"Error")))))</f>
        <v>5927859.8551156251</v>
      </c>
      <c r="AW396" s="36">
        <f>IF(Dashboard!$D$6="Baseline",'2.4 PV (by Borough)'!AW232,IF(Dashboard!$D$6=INDEX('Scenario names'!$C$3:$C$6,4),'2.4 PV (by Borough)'!AW355,IF(Dashboard!$D$6=INDEX('Scenario names'!$C$3:$C$6,1),'2.4 PV (by Borough)'!AW314,IF(Dashboard!$D$6=INDEX('Scenario names'!$C$3:$C$6,2),'2.4 PV (by Borough)'!AW314,IF(Dashboard!$D$6=INDEX('Scenario names'!$C$3:$C$6,3),'2.4 PV (by Borough)'!AW355,"Error")))))</f>
        <v>6054178.9848846737</v>
      </c>
      <c r="AX396" s="36">
        <f>IF(Dashboard!$D$6="Baseline",'2.4 PV (by Borough)'!AX232,IF(Dashboard!$D$6=INDEX('Scenario names'!$C$3:$C$6,4),'2.4 PV (by Borough)'!AX355,IF(Dashboard!$D$6=INDEX('Scenario names'!$C$3:$C$6,1),'2.4 PV (by Borough)'!AX314,IF(Dashboard!$D$6=INDEX('Scenario names'!$C$3:$C$6,2),'2.4 PV (by Borough)'!AX314,IF(Dashboard!$D$6=INDEX('Scenario names'!$C$3:$C$6,3),'2.4 PV (by Borough)'!AX355,"Error")))))</f>
        <v>6180498.1146537261</v>
      </c>
      <c r="AY396" s="36"/>
      <c r="AZ396" s="36"/>
      <c r="BA396" s="36"/>
      <c r="BB396" s="36"/>
    </row>
    <row r="397" spans="4:54">
      <c r="D397" t="s">
        <v>660</v>
      </c>
      <c r="E397" t="s">
        <v>645</v>
      </c>
      <c r="G397" s="44"/>
      <c r="I397" s="44"/>
      <c r="K397" s="44"/>
      <c r="M397" s="44"/>
      <c r="O397" s="36">
        <f>IF(Dashboard!$D$6="Baseline",'2.4 PV (by Borough)'!O233,IF(Dashboard!$D$6=INDEX('Scenario names'!$C$3:$C$6,4),'2.4 PV (by Borough)'!O356,IF(Dashboard!$D$6=INDEX('Scenario names'!$C$3:$C$6,1),'2.4 PV (by Borough)'!O315,IF(Dashboard!$D$6=INDEX('Scenario names'!$C$3:$C$6,2),'2.4 PV (by Borough)'!O315,IF(Dashboard!$D$6=INDEX('Scenario names'!$C$3:$C$6,3),'2.4 PV (by Borough)'!O356,"Error")))))</f>
        <v>109810.73952319482</v>
      </c>
      <c r="P397" s="36">
        <f>IF(Dashboard!$D$6="Baseline",'2.4 PV (by Borough)'!P233,IF(Dashboard!$D$6=INDEX('Scenario names'!$C$3:$C$6,4),'2.4 PV (by Borough)'!P356,IF(Dashboard!$D$6=INDEX('Scenario names'!$C$3:$C$6,1),'2.4 PV (by Borough)'!P315,IF(Dashboard!$D$6=INDEX('Scenario names'!$C$3:$C$6,2),'2.4 PV (by Borough)'!P315,IF(Dashboard!$D$6=INDEX('Scenario names'!$C$3:$C$6,3),'2.4 PV (by Borough)'!P356,"Error")))))</f>
        <v>187594.7688307302</v>
      </c>
      <c r="Q397" s="36">
        <f>IF(Dashboard!$D$6="Baseline",'2.4 PV (by Borough)'!Q233,IF(Dashboard!$D$6=INDEX('Scenario names'!$C$3:$C$6,4),'2.4 PV (by Borough)'!Q356,IF(Dashboard!$D$6=INDEX('Scenario names'!$C$3:$C$6,1),'2.4 PV (by Borough)'!Q315,IF(Dashboard!$D$6=INDEX('Scenario names'!$C$3:$C$6,2),'2.4 PV (by Borough)'!Q315,IF(Dashboard!$D$6=INDEX('Scenario names'!$C$3:$C$6,3),'2.4 PV (by Borough)'!Q356,"Error")))))</f>
        <v>265378.79813826561</v>
      </c>
      <c r="R397" s="36">
        <f>IF(Dashboard!$D$6="Baseline",'2.4 PV (by Borough)'!R233,IF(Dashboard!$D$6=INDEX('Scenario names'!$C$3:$C$6,4),'2.4 PV (by Borough)'!R356,IF(Dashboard!$D$6=INDEX('Scenario names'!$C$3:$C$6,1),'2.4 PV (by Borough)'!R315,IF(Dashboard!$D$6=INDEX('Scenario names'!$C$3:$C$6,2),'2.4 PV (by Borough)'!R315,IF(Dashboard!$D$6=INDEX('Scenario names'!$C$3:$C$6,3),'2.4 PV (by Borough)'!R356,"Error")))))</f>
        <v>343162.827445801</v>
      </c>
      <c r="S397" s="36">
        <f>IF(Dashboard!$D$6="Baseline",'2.4 PV (by Borough)'!S233,IF(Dashboard!$D$6=INDEX('Scenario names'!$C$3:$C$6,4),'2.4 PV (by Borough)'!S356,IF(Dashboard!$D$6=INDEX('Scenario names'!$C$3:$C$6,1),'2.4 PV (by Borough)'!S315,IF(Dashboard!$D$6=INDEX('Scenario names'!$C$3:$C$6,2),'2.4 PV (by Borough)'!S315,IF(Dashboard!$D$6=INDEX('Scenario names'!$C$3:$C$6,3),'2.4 PV (by Borough)'!S356,"Error")))))</f>
        <v>420946.85675333638</v>
      </c>
      <c r="T397" s="36">
        <f>IF(Dashboard!$D$6="Baseline",'2.4 PV (by Borough)'!T233,IF(Dashboard!$D$6=INDEX('Scenario names'!$C$3:$C$6,4),'2.4 PV (by Borough)'!T356,IF(Dashboard!$D$6=INDEX('Scenario names'!$C$3:$C$6,1),'2.4 PV (by Borough)'!T315,IF(Dashboard!$D$6=INDEX('Scenario names'!$C$3:$C$6,2),'2.4 PV (by Borough)'!T315,IF(Dashboard!$D$6=INDEX('Scenario names'!$C$3:$C$6,3),'2.4 PV (by Borough)'!T356,"Error")))))</f>
        <v>498730.88606087177</v>
      </c>
      <c r="U397" s="36">
        <f>IF(Dashboard!$D$6="Baseline",'2.4 PV (by Borough)'!U233,IF(Dashboard!$D$6=INDEX('Scenario names'!$C$3:$C$6,4),'2.4 PV (by Borough)'!U356,IF(Dashboard!$D$6=INDEX('Scenario names'!$C$3:$C$6,1),'2.4 PV (by Borough)'!U315,IF(Dashboard!$D$6=INDEX('Scenario names'!$C$3:$C$6,2),'2.4 PV (by Borough)'!U315,IF(Dashboard!$D$6=INDEX('Scenario names'!$C$3:$C$6,3),'2.4 PV (by Borough)'!U356,"Error")))))</f>
        <v>576514.91536840703</v>
      </c>
      <c r="V397" s="36">
        <f>IF(Dashboard!$D$6="Baseline",'2.4 PV (by Borough)'!V233,IF(Dashboard!$D$6=INDEX('Scenario names'!$C$3:$C$6,4),'2.4 PV (by Borough)'!V356,IF(Dashboard!$D$6=INDEX('Scenario names'!$C$3:$C$6,1),'2.4 PV (by Borough)'!V315,IF(Dashboard!$D$6=INDEX('Scenario names'!$C$3:$C$6,2),'2.4 PV (by Borough)'!V315,IF(Dashboard!$D$6=INDEX('Scenario names'!$C$3:$C$6,3),'2.4 PV (by Borough)'!V356,"Error")))))</f>
        <v>654298.94467594253</v>
      </c>
      <c r="W397" s="36">
        <f>IF(Dashboard!$D$6="Baseline",'2.4 PV (by Borough)'!W233,IF(Dashboard!$D$6=INDEX('Scenario names'!$C$3:$C$6,4),'2.4 PV (by Borough)'!W356,IF(Dashboard!$D$6=INDEX('Scenario names'!$C$3:$C$6,1),'2.4 PV (by Borough)'!W315,IF(Dashboard!$D$6=INDEX('Scenario names'!$C$3:$C$6,2),'2.4 PV (by Borough)'!W315,IF(Dashboard!$D$6=INDEX('Scenario names'!$C$3:$C$6,3),'2.4 PV (by Borough)'!W356,"Error")))))</f>
        <v>732082.97398347803</v>
      </c>
      <c r="X397" s="36">
        <f>IF(Dashboard!$D$6="Baseline",'2.4 PV (by Borough)'!X233,IF(Dashboard!$D$6=INDEX('Scenario names'!$C$3:$C$6,4),'2.4 PV (by Borough)'!X356,IF(Dashboard!$D$6=INDEX('Scenario names'!$C$3:$C$6,1),'2.4 PV (by Borough)'!X315,IF(Dashboard!$D$6=INDEX('Scenario names'!$C$3:$C$6,2),'2.4 PV (by Borough)'!X315,IF(Dashboard!$D$6=INDEX('Scenario names'!$C$3:$C$6,3),'2.4 PV (by Borough)'!X356,"Error")))))</f>
        <v>809867.00329101318</v>
      </c>
      <c r="Y397" s="36">
        <f>IF(Dashboard!$D$6="Baseline",'2.4 PV (by Borough)'!Y233,IF(Dashboard!$D$6=INDEX('Scenario names'!$C$3:$C$6,4),'2.4 PV (by Borough)'!Y356,IF(Dashboard!$D$6=INDEX('Scenario names'!$C$3:$C$6,1),'2.4 PV (by Borough)'!Y315,IF(Dashboard!$D$6=INDEX('Scenario names'!$C$3:$C$6,2),'2.4 PV (by Borough)'!Y315,IF(Dashboard!$D$6=INDEX('Scenario names'!$C$3:$C$6,3),'2.4 PV (by Borough)'!Y356,"Error")))))</f>
        <v>887651.03259854857</v>
      </c>
      <c r="Z397" s="36">
        <f>IF(Dashboard!$D$6="Baseline",'2.4 PV (by Borough)'!Z233,IF(Dashboard!$D$6=INDEX('Scenario names'!$C$3:$C$6,4),'2.4 PV (by Borough)'!Z356,IF(Dashboard!$D$6=INDEX('Scenario names'!$C$3:$C$6,1),'2.4 PV (by Borough)'!Z315,IF(Dashboard!$D$6=INDEX('Scenario names'!$C$3:$C$6,2),'2.4 PV (by Borough)'!Z315,IF(Dashboard!$D$6=INDEX('Scenario names'!$C$3:$C$6,3),'2.4 PV (by Borough)'!Z356,"Error")))))</f>
        <v>943417.20036154031</v>
      </c>
      <c r="AA397" s="36">
        <f>IF(Dashboard!$D$6="Baseline",'2.4 PV (by Borough)'!AA233,IF(Dashboard!$D$6=INDEX('Scenario names'!$C$3:$C$6,4),'2.4 PV (by Borough)'!AA356,IF(Dashboard!$D$6=INDEX('Scenario names'!$C$3:$C$6,1),'2.4 PV (by Borough)'!AA315,IF(Dashboard!$D$6=INDEX('Scenario names'!$C$3:$C$6,2),'2.4 PV (by Borough)'!AA315,IF(Dashboard!$D$6=INDEX('Scenario names'!$C$3:$C$6,3),'2.4 PV (by Borough)'!AA356,"Error")))))</f>
        <v>999183.36812453216</v>
      </c>
      <c r="AB397" s="36">
        <f>IF(Dashboard!$D$6="Baseline",'2.4 PV (by Borough)'!AB233,IF(Dashboard!$D$6=INDEX('Scenario names'!$C$3:$C$6,4),'2.4 PV (by Borough)'!AB356,IF(Dashboard!$D$6=INDEX('Scenario names'!$C$3:$C$6,1),'2.4 PV (by Borough)'!AB315,IF(Dashboard!$D$6=INDEX('Scenario names'!$C$3:$C$6,2),'2.4 PV (by Borough)'!AB315,IF(Dashboard!$D$6=INDEX('Scenario names'!$C$3:$C$6,3),'2.4 PV (by Borough)'!AB356,"Error")))))</f>
        <v>1054949.5358875238</v>
      </c>
      <c r="AC397" s="36">
        <f>IF(Dashboard!$D$6="Baseline",'2.4 PV (by Borough)'!AC233,IF(Dashboard!$D$6=INDEX('Scenario names'!$C$3:$C$6,4),'2.4 PV (by Borough)'!AC356,IF(Dashboard!$D$6=INDEX('Scenario names'!$C$3:$C$6,1),'2.4 PV (by Borough)'!AC315,IF(Dashboard!$D$6=INDEX('Scenario names'!$C$3:$C$6,2),'2.4 PV (by Borough)'!AC315,IF(Dashboard!$D$6=INDEX('Scenario names'!$C$3:$C$6,3),'2.4 PV (by Borough)'!AC356,"Error")))))</f>
        <v>1110715.7036505155</v>
      </c>
      <c r="AD397" s="36">
        <f>IF(Dashboard!$D$6="Baseline",'2.4 PV (by Borough)'!AD233,IF(Dashboard!$D$6=INDEX('Scenario names'!$C$3:$C$6,4),'2.4 PV (by Borough)'!AD356,IF(Dashboard!$D$6=INDEX('Scenario names'!$C$3:$C$6,1),'2.4 PV (by Borough)'!AD315,IF(Dashboard!$D$6=INDEX('Scenario names'!$C$3:$C$6,2),'2.4 PV (by Borough)'!AD315,IF(Dashboard!$D$6=INDEX('Scenario names'!$C$3:$C$6,3),'2.4 PV (by Borough)'!AD356,"Error")))))</f>
        <v>1166481.8714135075</v>
      </c>
      <c r="AE397" s="36">
        <f>IF(Dashboard!$D$6="Baseline",'2.4 PV (by Borough)'!AE233,IF(Dashboard!$D$6=INDEX('Scenario names'!$C$3:$C$6,4),'2.4 PV (by Borough)'!AE356,IF(Dashboard!$D$6=INDEX('Scenario names'!$C$3:$C$6,1),'2.4 PV (by Borough)'!AE315,IF(Dashboard!$D$6=INDEX('Scenario names'!$C$3:$C$6,2),'2.4 PV (by Borough)'!AE315,IF(Dashboard!$D$6=INDEX('Scenario names'!$C$3:$C$6,3),'2.4 PV (by Borough)'!AE356,"Error")))))</f>
        <v>1222248.0391764988</v>
      </c>
      <c r="AF397" s="36">
        <f>IF(Dashboard!$D$6="Baseline",'2.4 PV (by Borough)'!AF233,IF(Dashboard!$D$6=INDEX('Scenario names'!$C$3:$C$6,4),'2.4 PV (by Borough)'!AF356,IF(Dashboard!$D$6=INDEX('Scenario names'!$C$3:$C$6,1),'2.4 PV (by Borough)'!AF315,IF(Dashboard!$D$6=INDEX('Scenario names'!$C$3:$C$6,2),'2.4 PV (by Borough)'!AF315,IF(Dashboard!$D$6=INDEX('Scenario names'!$C$3:$C$6,3),'2.4 PV (by Borough)'!AF356,"Error")))))</f>
        <v>1278014.206939491</v>
      </c>
      <c r="AG397" s="36">
        <f>IF(Dashboard!$D$6="Baseline",'2.4 PV (by Borough)'!AG233,IF(Dashboard!$D$6=INDEX('Scenario names'!$C$3:$C$6,4),'2.4 PV (by Borough)'!AG356,IF(Dashboard!$D$6=INDEX('Scenario names'!$C$3:$C$6,1),'2.4 PV (by Borough)'!AG315,IF(Dashboard!$D$6=INDEX('Scenario names'!$C$3:$C$6,2),'2.4 PV (by Borough)'!AG315,IF(Dashboard!$D$6=INDEX('Scenario names'!$C$3:$C$6,3),'2.4 PV (by Borough)'!AG356,"Error")))))</f>
        <v>1333780.3747024825</v>
      </c>
      <c r="AH397" s="36">
        <f>IF(Dashboard!$D$6="Baseline",'2.4 PV (by Borough)'!AH233,IF(Dashboard!$D$6=INDEX('Scenario names'!$C$3:$C$6,4),'2.4 PV (by Borough)'!AH356,IF(Dashboard!$D$6=INDEX('Scenario names'!$C$3:$C$6,1),'2.4 PV (by Borough)'!AH315,IF(Dashboard!$D$6=INDEX('Scenario names'!$C$3:$C$6,2),'2.4 PV (by Borough)'!AH315,IF(Dashboard!$D$6=INDEX('Scenario names'!$C$3:$C$6,3),'2.4 PV (by Borough)'!AH356,"Error")))))</f>
        <v>1389546.5424654745</v>
      </c>
      <c r="AI397" s="36">
        <f>IF(Dashboard!$D$6="Baseline",'2.4 PV (by Borough)'!AI233,IF(Dashboard!$D$6=INDEX('Scenario names'!$C$3:$C$6,4),'2.4 PV (by Borough)'!AI356,IF(Dashboard!$D$6=INDEX('Scenario names'!$C$3:$C$6,1),'2.4 PV (by Borough)'!AI315,IF(Dashboard!$D$6=INDEX('Scenario names'!$C$3:$C$6,2),'2.4 PV (by Borough)'!AI315,IF(Dashboard!$D$6=INDEX('Scenario names'!$C$3:$C$6,3),'2.4 PV (by Borough)'!AI356,"Error")))))</f>
        <v>1445312.710228466</v>
      </c>
      <c r="AJ397" s="36">
        <f>IF(Dashboard!$D$6="Baseline",'2.4 PV (by Borough)'!AJ233,IF(Dashboard!$D$6=INDEX('Scenario names'!$C$3:$C$6,4),'2.4 PV (by Borough)'!AJ356,IF(Dashboard!$D$6=INDEX('Scenario names'!$C$3:$C$6,1),'2.4 PV (by Borough)'!AJ315,IF(Dashboard!$D$6=INDEX('Scenario names'!$C$3:$C$6,2),'2.4 PV (by Borough)'!AJ315,IF(Dashboard!$D$6=INDEX('Scenario names'!$C$3:$C$6,3),'2.4 PV (by Borough)'!AJ356,"Error")))))</f>
        <v>1501078.8779914577</v>
      </c>
      <c r="AK397" s="36">
        <f>IF(Dashboard!$D$6="Baseline",'2.4 PV (by Borough)'!AK233,IF(Dashboard!$D$6=INDEX('Scenario names'!$C$3:$C$6,4),'2.4 PV (by Borough)'!AK356,IF(Dashboard!$D$6=INDEX('Scenario names'!$C$3:$C$6,1),'2.4 PV (by Borough)'!AK315,IF(Dashboard!$D$6=INDEX('Scenario names'!$C$3:$C$6,2),'2.4 PV (by Borough)'!AK315,IF(Dashboard!$D$6=INDEX('Scenario names'!$C$3:$C$6,3),'2.4 PV (by Borough)'!AK356,"Error")))))</f>
        <v>1556845.0457544492</v>
      </c>
      <c r="AL397" s="36">
        <f>IF(Dashboard!$D$6="Baseline",'2.4 PV (by Borough)'!AL233,IF(Dashboard!$D$6=INDEX('Scenario names'!$C$3:$C$6,4),'2.4 PV (by Borough)'!AL356,IF(Dashboard!$D$6=INDEX('Scenario names'!$C$3:$C$6,1),'2.4 PV (by Borough)'!AL315,IF(Dashboard!$D$6=INDEX('Scenario names'!$C$3:$C$6,2),'2.4 PV (by Borough)'!AL315,IF(Dashboard!$D$6=INDEX('Scenario names'!$C$3:$C$6,3),'2.4 PV (by Borough)'!AL356,"Error")))))</f>
        <v>1612611.2135174412</v>
      </c>
      <c r="AM397" s="36">
        <f>IF(Dashboard!$D$6="Baseline",'2.4 PV (by Borough)'!AM233,IF(Dashboard!$D$6=INDEX('Scenario names'!$C$3:$C$6,4),'2.4 PV (by Borough)'!AM356,IF(Dashboard!$D$6=INDEX('Scenario names'!$C$3:$C$6,1),'2.4 PV (by Borough)'!AM315,IF(Dashboard!$D$6=INDEX('Scenario names'!$C$3:$C$6,2),'2.4 PV (by Borough)'!AM315,IF(Dashboard!$D$6=INDEX('Scenario names'!$C$3:$C$6,3),'2.4 PV (by Borough)'!AM356,"Error")))))</f>
        <v>1668377.3812804332</v>
      </c>
      <c r="AN397" s="36">
        <f>IF(Dashboard!$D$6="Baseline",'2.4 PV (by Borough)'!AN233,IF(Dashboard!$D$6=INDEX('Scenario names'!$C$3:$C$6,4),'2.4 PV (by Borough)'!AN356,IF(Dashboard!$D$6=INDEX('Scenario names'!$C$3:$C$6,1),'2.4 PV (by Borough)'!AN315,IF(Dashboard!$D$6=INDEX('Scenario names'!$C$3:$C$6,2),'2.4 PV (by Borough)'!AN315,IF(Dashboard!$D$6=INDEX('Scenario names'!$C$3:$C$6,3),'2.4 PV (by Borough)'!AN356,"Error")))))</f>
        <v>1724143.5490434247</v>
      </c>
      <c r="AO397" s="36">
        <f>IF(Dashboard!$D$6="Baseline",'2.4 PV (by Borough)'!AO233,IF(Dashboard!$D$6=INDEX('Scenario names'!$C$3:$C$6,4),'2.4 PV (by Borough)'!AO356,IF(Dashboard!$D$6=INDEX('Scenario names'!$C$3:$C$6,1),'2.4 PV (by Borough)'!AO315,IF(Dashboard!$D$6=INDEX('Scenario names'!$C$3:$C$6,2),'2.4 PV (by Borough)'!AO315,IF(Dashboard!$D$6=INDEX('Scenario names'!$C$3:$C$6,3),'2.4 PV (by Borough)'!AO356,"Error")))))</f>
        <v>1779909.7168064162</v>
      </c>
      <c r="AP397" s="36">
        <f>IF(Dashboard!$D$6="Baseline",'2.4 PV (by Borough)'!AP233,IF(Dashboard!$D$6=INDEX('Scenario names'!$C$3:$C$6,4),'2.4 PV (by Borough)'!AP356,IF(Dashboard!$D$6=INDEX('Scenario names'!$C$3:$C$6,1),'2.4 PV (by Borough)'!AP315,IF(Dashboard!$D$6=INDEX('Scenario names'!$C$3:$C$6,2),'2.4 PV (by Borough)'!AP315,IF(Dashboard!$D$6=INDEX('Scenario names'!$C$3:$C$6,3),'2.4 PV (by Borough)'!AP356,"Error")))))</f>
        <v>1835675.8845694079</v>
      </c>
      <c r="AQ397" s="36">
        <f>IF(Dashboard!$D$6="Baseline",'2.4 PV (by Borough)'!AQ233,IF(Dashboard!$D$6=INDEX('Scenario names'!$C$3:$C$6,4),'2.4 PV (by Borough)'!AQ356,IF(Dashboard!$D$6=INDEX('Scenario names'!$C$3:$C$6,1),'2.4 PV (by Borough)'!AQ315,IF(Dashboard!$D$6=INDEX('Scenario names'!$C$3:$C$6,2),'2.4 PV (by Borough)'!AQ315,IF(Dashboard!$D$6=INDEX('Scenario names'!$C$3:$C$6,3),'2.4 PV (by Borough)'!AQ356,"Error")))))</f>
        <v>1891442.0523323999</v>
      </c>
      <c r="AR397" s="36">
        <f>IF(Dashboard!$D$6="Baseline",'2.4 PV (by Borough)'!AR233,IF(Dashboard!$D$6=INDEX('Scenario names'!$C$3:$C$6,4),'2.4 PV (by Borough)'!AR356,IF(Dashboard!$D$6=INDEX('Scenario names'!$C$3:$C$6,1),'2.4 PV (by Borough)'!AR315,IF(Dashboard!$D$6=INDEX('Scenario names'!$C$3:$C$6,2),'2.4 PV (by Borough)'!AR315,IF(Dashboard!$D$6=INDEX('Scenario names'!$C$3:$C$6,3),'2.4 PV (by Borough)'!AR356,"Error")))))</f>
        <v>1947208.2200953916</v>
      </c>
      <c r="AS397" s="36">
        <f>IF(Dashboard!$D$6="Baseline",'2.4 PV (by Borough)'!AS233,IF(Dashboard!$D$6=INDEX('Scenario names'!$C$3:$C$6,4),'2.4 PV (by Borough)'!AS356,IF(Dashboard!$D$6=INDEX('Scenario names'!$C$3:$C$6,1),'2.4 PV (by Borough)'!AS315,IF(Dashboard!$D$6=INDEX('Scenario names'!$C$3:$C$6,2),'2.4 PV (by Borough)'!AS315,IF(Dashboard!$D$6=INDEX('Scenario names'!$C$3:$C$6,3),'2.4 PV (by Borough)'!AS356,"Error")))))</f>
        <v>2002974.3878583829</v>
      </c>
      <c r="AT397" s="36">
        <f>IF(Dashboard!$D$6="Baseline",'2.4 PV (by Borough)'!AT233,IF(Dashboard!$D$6=INDEX('Scenario names'!$C$3:$C$6,4),'2.4 PV (by Borough)'!AT356,IF(Dashboard!$D$6=INDEX('Scenario names'!$C$3:$C$6,1),'2.4 PV (by Borough)'!AT315,IF(Dashboard!$D$6=INDEX('Scenario names'!$C$3:$C$6,2),'2.4 PV (by Borough)'!AT315,IF(Dashboard!$D$6=INDEX('Scenario names'!$C$3:$C$6,3),'2.4 PV (by Borough)'!AT356,"Error")))))</f>
        <v>2058740.5556213749</v>
      </c>
      <c r="AU397" s="36">
        <f>IF(Dashboard!$D$6="Baseline",'2.4 PV (by Borough)'!AU233,IF(Dashboard!$D$6=INDEX('Scenario names'!$C$3:$C$6,4),'2.4 PV (by Borough)'!AU356,IF(Dashboard!$D$6=INDEX('Scenario names'!$C$3:$C$6,1),'2.4 PV (by Borough)'!AU315,IF(Dashboard!$D$6=INDEX('Scenario names'!$C$3:$C$6,2),'2.4 PV (by Borough)'!AU315,IF(Dashboard!$D$6=INDEX('Scenario names'!$C$3:$C$6,3),'2.4 PV (by Borough)'!AU356,"Error")))))</f>
        <v>2114506.7233843668</v>
      </c>
      <c r="AV397" s="36">
        <f>IF(Dashboard!$D$6="Baseline",'2.4 PV (by Borough)'!AV233,IF(Dashboard!$D$6=INDEX('Scenario names'!$C$3:$C$6,4),'2.4 PV (by Borough)'!AV356,IF(Dashboard!$D$6=INDEX('Scenario names'!$C$3:$C$6,1),'2.4 PV (by Borough)'!AV315,IF(Dashboard!$D$6=INDEX('Scenario names'!$C$3:$C$6,2),'2.4 PV (by Borough)'!AV315,IF(Dashboard!$D$6=INDEX('Scenario names'!$C$3:$C$6,3),'2.4 PV (by Borough)'!AV356,"Error")))))</f>
        <v>2170272.8911473588</v>
      </c>
      <c r="AW397" s="36">
        <f>IF(Dashboard!$D$6="Baseline",'2.4 PV (by Borough)'!AW233,IF(Dashboard!$D$6=INDEX('Scenario names'!$C$3:$C$6,4),'2.4 PV (by Borough)'!AW356,IF(Dashboard!$D$6=INDEX('Scenario names'!$C$3:$C$6,1),'2.4 PV (by Borough)'!AW315,IF(Dashboard!$D$6=INDEX('Scenario names'!$C$3:$C$6,2),'2.4 PV (by Borough)'!AW315,IF(Dashboard!$D$6=INDEX('Scenario names'!$C$3:$C$6,3),'2.4 PV (by Borough)'!AW356,"Error")))))</f>
        <v>2226039.0589103503</v>
      </c>
      <c r="AX397" s="36">
        <f>IF(Dashboard!$D$6="Baseline",'2.4 PV (by Borough)'!AX233,IF(Dashboard!$D$6=INDEX('Scenario names'!$C$3:$C$6,4),'2.4 PV (by Borough)'!AX356,IF(Dashboard!$D$6=INDEX('Scenario names'!$C$3:$C$6,1),'2.4 PV (by Borough)'!AX315,IF(Dashboard!$D$6=INDEX('Scenario names'!$C$3:$C$6,2),'2.4 PV (by Borough)'!AX315,IF(Dashboard!$D$6=INDEX('Scenario names'!$C$3:$C$6,3),'2.4 PV (by Borough)'!AX356,"Error")))))</f>
        <v>2281805.2266733418</v>
      </c>
      <c r="AY397" s="36"/>
      <c r="AZ397" s="36"/>
      <c r="BA397" s="36"/>
      <c r="BB397" s="36"/>
    </row>
    <row r="398" spans="4:54">
      <c r="D398" t="s">
        <v>660</v>
      </c>
      <c r="E398" t="s">
        <v>646</v>
      </c>
      <c r="G398" s="44"/>
      <c r="I398" s="44"/>
      <c r="K398" s="44"/>
      <c r="M398" s="44"/>
      <c r="O398" s="36">
        <f>IF(Dashboard!$D$6="Baseline",'2.4 PV (by Borough)'!O234,IF(Dashboard!$D$6=INDEX('Scenario names'!$C$3:$C$6,4),'2.4 PV (by Borough)'!O357,IF(Dashboard!$D$6=INDEX('Scenario names'!$C$3:$C$6,1),'2.4 PV (by Borough)'!O316,IF(Dashboard!$D$6=INDEX('Scenario names'!$C$3:$C$6,2),'2.4 PV (by Borough)'!O316,IF(Dashboard!$D$6=INDEX('Scenario names'!$C$3:$C$6,3),'2.4 PV (by Borough)'!O357,"Error")))))</f>
        <v>47992.629225220044</v>
      </c>
      <c r="P398" s="36">
        <f>IF(Dashboard!$D$6="Baseline",'2.4 PV (by Borough)'!P234,IF(Dashboard!$D$6=INDEX('Scenario names'!$C$3:$C$6,4),'2.4 PV (by Borough)'!P357,IF(Dashboard!$D$6=INDEX('Scenario names'!$C$3:$C$6,1),'2.4 PV (by Borough)'!P316,IF(Dashboard!$D$6=INDEX('Scenario names'!$C$3:$C$6,2),'2.4 PV (by Borough)'!P316,IF(Dashboard!$D$6=INDEX('Scenario names'!$C$3:$C$6,3),'2.4 PV (by Borough)'!P357,"Error")))))</f>
        <v>82249.516572361405</v>
      </c>
      <c r="Q398" s="36">
        <f>IF(Dashboard!$D$6="Baseline",'2.4 PV (by Borough)'!Q234,IF(Dashboard!$D$6=INDEX('Scenario names'!$C$3:$C$6,4),'2.4 PV (by Borough)'!Q357,IF(Dashboard!$D$6=INDEX('Scenario names'!$C$3:$C$6,1),'2.4 PV (by Borough)'!Q316,IF(Dashboard!$D$6=INDEX('Scenario names'!$C$3:$C$6,2),'2.4 PV (by Borough)'!Q316,IF(Dashboard!$D$6=INDEX('Scenario names'!$C$3:$C$6,3),'2.4 PV (by Borough)'!Q357,"Error")))))</f>
        <v>116506.4039195028</v>
      </c>
      <c r="R398" s="36">
        <f>IF(Dashboard!$D$6="Baseline",'2.4 PV (by Borough)'!R234,IF(Dashboard!$D$6=INDEX('Scenario names'!$C$3:$C$6,4),'2.4 PV (by Borough)'!R357,IF(Dashboard!$D$6=INDEX('Scenario names'!$C$3:$C$6,1),'2.4 PV (by Borough)'!R316,IF(Dashboard!$D$6=INDEX('Scenario names'!$C$3:$C$6,2),'2.4 PV (by Borough)'!R316,IF(Dashboard!$D$6=INDEX('Scenario names'!$C$3:$C$6,3),'2.4 PV (by Borough)'!R357,"Error")))))</f>
        <v>150763.29126664414</v>
      </c>
      <c r="S398" s="36">
        <f>IF(Dashboard!$D$6="Baseline",'2.4 PV (by Borough)'!S234,IF(Dashboard!$D$6=INDEX('Scenario names'!$C$3:$C$6,4),'2.4 PV (by Borough)'!S357,IF(Dashboard!$D$6=INDEX('Scenario names'!$C$3:$C$6,1),'2.4 PV (by Borough)'!S316,IF(Dashboard!$D$6=INDEX('Scenario names'!$C$3:$C$6,2),'2.4 PV (by Borough)'!S316,IF(Dashboard!$D$6=INDEX('Scenario names'!$C$3:$C$6,3),'2.4 PV (by Borough)'!S357,"Error")))))</f>
        <v>185020.17861378551</v>
      </c>
      <c r="T398" s="36">
        <f>IF(Dashboard!$D$6="Baseline",'2.4 PV (by Borough)'!T234,IF(Dashboard!$D$6=INDEX('Scenario names'!$C$3:$C$6,4),'2.4 PV (by Borough)'!T357,IF(Dashboard!$D$6=INDEX('Scenario names'!$C$3:$C$6,1),'2.4 PV (by Borough)'!T316,IF(Dashboard!$D$6=INDEX('Scenario names'!$C$3:$C$6,2),'2.4 PV (by Borough)'!T316,IF(Dashboard!$D$6=INDEX('Scenario names'!$C$3:$C$6,3),'2.4 PV (by Borough)'!T357,"Error")))))</f>
        <v>219277.06596092694</v>
      </c>
      <c r="U398" s="36">
        <f>IF(Dashboard!$D$6="Baseline",'2.4 PV (by Borough)'!U234,IF(Dashboard!$D$6=INDEX('Scenario names'!$C$3:$C$6,4),'2.4 PV (by Borough)'!U357,IF(Dashboard!$D$6=INDEX('Scenario names'!$C$3:$C$6,1),'2.4 PV (by Borough)'!U316,IF(Dashboard!$D$6=INDEX('Scenario names'!$C$3:$C$6,2),'2.4 PV (by Borough)'!U316,IF(Dashboard!$D$6=INDEX('Scenario names'!$C$3:$C$6,3),'2.4 PV (by Borough)'!U357,"Error")))))</f>
        <v>253533.95330806827</v>
      </c>
      <c r="V398" s="36">
        <f>IF(Dashboard!$D$6="Baseline",'2.4 PV (by Borough)'!V234,IF(Dashboard!$D$6=INDEX('Scenario names'!$C$3:$C$6,4),'2.4 PV (by Borough)'!V357,IF(Dashboard!$D$6=INDEX('Scenario names'!$C$3:$C$6,1),'2.4 PV (by Borough)'!V316,IF(Dashboard!$D$6=INDEX('Scenario names'!$C$3:$C$6,2),'2.4 PV (by Borough)'!V316,IF(Dashboard!$D$6=INDEX('Scenario names'!$C$3:$C$6,3),'2.4 PV (by Borough)'!V357,"Error")))))</f>
        <v>287790.84065520967</v>
      </c>
      <c r="W398" s="36">
        <f>IF(Dashboard!$D$6="Baseline",'2.4 PV (by Borough)'!W234,IF(Dashboard!$D$6=INDEX('Scenario names'!$C$3:$C$6,4),'2.4 PV (by Borough)'!W357,IF(Dashboard!$D$6=INDEX('Scenario names'!$C$3:$C$6,1),'2.4 PV (by Borough)'!W316,IF(Dashboard!$D$6=INDEX('Scenario names'!$C$3:$C$6,2),'2.4 PV (by Borough)'!W316,IF(Dashboard!$D$6=INDEX('Scenario names'!$C$3:$C$6,3),'2.4 PV (by Borough)'!W357,"Error")))))</f>
        <v>322047.72800235101</v>
      </c>
      <c r="X398" s="36">
        <f>IF(Dashboard!$D$6="Baseline",'2.4 PV (by Borough)'!X234,IF(Dashboard!$D$6=INDEX('Scenario names'!$C$3:$C$6,4),'2.4 PV (by Borough)'!X357,IF(Dashboard!$D$6=INDEX('Scenario names'!$C$3:$C$6,1),'2.4 PV (by Borough)'!X316,IF(Dashboard!$D$6=INDEX('Scenario names'!$C$3:$C$6,2),'2.4 PV (by Borough)'!X316,IF(Dashboard!$D$6=INDEX('Scenario names'!$C$3:$C$6,3),'2.4 PV (by Borough)'!X357,"Error")))))</f>
        <v>356304.61534949247</v>
      </c>
      <c r="Y398" s="36">
        <f>IF(Dashboard!$D$6="Baseline",'2.4 PV (by Borough)'!Y234,IF(Dashboard!$D$6=INDEX('Scenario names'!$C$3:$C$6,4),'2.4 PV (by Borough)'!Y357,IF(Dashboard!$D$6=INDEX('Scenario names'!$C$3:$C$6,1),'2.4 PV (by Borough)'!Y316,IF(Dashboard!$D$6=INDEX('Scenario names'!$C$3:$C$6,2),'2.4 PV (by Borough)'!Y316,IF(Dashboard!$D$6=INDEX('Scenario names'!$C$3:$C$6,3),'2.4 PV (by Borough)'!Y357,"Error")))))</f>
        <v>390561.50269663392</v>
      </c>
      <c r="Z398" s="36">
        <f>IF(Dashboard!$D$6="Baseline",'2.4 PV (by Borough)'!Z234,IF(Dashboard!$D$6=INDEX('Scenario names'!$C$3:$C$6,4),'2.4 PV (by Borough)'!Z357,IF(Dashboard!$D$6=INDEX('Scenario names'!$C$3:$C$6,1),'2.4 PV (by Borough)'!Z316,IF(Dashboard!$D$6=INDEX('Scenario names'!$C$3:$C$6,2),'2.4 PV (by Borough)'!Z316,IF(Dashboard!$D$6=INDEX('Scenario names'!$C$3:$C$6,3),'2.4 PV (by Borough)'!Z357,"Error")))))</f>
        <v>617366.58693575009</v>
      </c>
      <c r="AA398" s="36">
        <f>IF(Dashboard!$D$6="Baseline",'2.4 PV (by Borough)'!AA234,IF(Dashboard!$D$6=INDEX('Scenario names'!$C$3:$C$6,4),'2.4 PV (by Borough)'!AA357,IF(Dashboard!$D$6=INDEX('Scenario names'!$C$3:$C$6,1),'2.4 PV (by Borough)'!AA316,IF(Dashboard!$D$6=INDEX('Scenario names'!$C$3:$C$6,2),'2.4 PV (by Borough)'!AA316,IF(Dashboard!$D$6=INDEX('Scenario names'!$C$3:$C$6,3),'2.4 PV (by Borough)'!AA357,"Error")))))</f>
        <v>844171.6711748665</v>
      </c>
      <c r="AB398" s="36">
        <f>IF(Dashboard!$D$6="Baseline",'2.4 PV (by Borough)'!AB234,IF(Dashboard!$D$6=INDEX('Scenario names'!$C$3:$C$6,4),'2.4 PV (by Borough)'!AB357,IF(Dashboard!$D$6=INDEX('Scenario names'!$C$3:$C$6,1),'2.4 PV (by Borough)'!AB316,IF(Dashboard!$D$6=INDEX('Scenario names'!$C$3:$C$6,2),'2.4 PV (by Borough)'!AB316,IF(Dashboard!$D$6=INDEX('Scenario names'!$C$3:$C$6,3),'2.4 PV (by Borough)'!AB357,"Error")))))</f>
        <v>1070976.7554139833</v>
      </c>
      <c r="AC398" s="36">
        <f>IF(Dashboard!$D$6="Baseline",'2.4 PV (by Borough)'!AC234,IF(Dashboard!$D$6=INDEX('Scenario names'!$C$3:$C$6,4),'2.4 PV (by Borough)'!AC357,IF(Dashboard!$D$6=INDEX('Scenario names'!$C$3:$C$6,1),'2.4 PV (by Borough)'!AC316,IF(Dashboard!$D$6=INDEX('Scenario names'!$C$3:$C$6,2),'2.4 PV (by Borough)'!AC316,IF(Dashboard!$D$6=INDEX('Scenario names'!$C$3:$C$6,3),'2.4 PV (by Borough)'!AC357,"Error")))))</f>
        <v>1297781.8396530992</v>
      </c>
      <c r="AD398" s="36">
        <f>IF(Dashboard!$D$6="Baseline",'2.4 PV (by Borough)'!AD234,IF(Dashboard!$D$6=INDEX('Scenario names'!$C$3:$C$6,4),'2.4 PV (by Borough)'!AD357,IF(Dashboard!$D$6=INDEX('Scenario names'!$C$3:$C$6,1),'2.4 PV (by Borough)'!AD316,IF(Dashboard!$D$6=INDEX('Scenario names'!$C$3:$C$6,2),'2.4 PV (by Borough)'!AD316,IF(Dashboard!$D$6=INDEX('Scenario names'!$C$3:$C$6,3),'2.4 PV (by Borough)'!AD357,"Error")))))</f>
        <v>1524586.9238922158</v>
      </c>
      <c r="AE398" s="36">
        <f>IF(Dashboard!$D$6="Baseline",'2.4 PV (by Borough)'!AE234,IF(Dashboard!$D$6=INDEX('Scenario names'!$C$3:$C$6,4),'2.4 PV (by Borough)'!AE357,IF(Dashboard!$D$6=INDEX('Scenario names'!$C$3:$C$6,1),'2.4 PV (by Borough)'!AE316,IF(Dashboard!$D$6=INDEX('Scenario names'!$C$3:$C$6,2),'2.4 PV (by Borough)'!AE316,IF(Dashboard!$D$6=INDEX('Scenario names'!$C$3:$C$6,3),'2.4 PV (by Borough)'!AE357,"Error")))))</f>
        <v>1751392.0081313318</v>
      </c>
      <c r="AF398" s="36">
        <f>IF(Dashboard!$D$6="Baseline",'2.4 PV (by Borough)'!AF234,IF(Dashboard!$D$6=INDEX('Scenario names'!$C$3:$C$6,4),'2.4 PV (by Borough)'!AF357,IF(Dashboard!$D$6=INDEX('Scenario names'!$C$3:$C$6,1),'2.4 PV (by Borough)'!AF316,IF(Dashboard!$D$6=INDEX('Scenario names'!$C$3:$C$6,2),'2.4 PV (by Borough)'!AF316,IF(Dashboard!$D$6=INDEX('Scenario names'!$C$3:$C$6,3),'2.4 PV (by Borough)'!AF357,"Error")))))</f>
        <v>1978197.0923704491</v>
      </c>
      <c r="AG398" s="36">
        <f>IF(Dashboard!$D$6="Baseline",'2.4 PV (by Borough)'!AG234,IF(Dashboard!$D$6=INDEX('Scenario names'!$C$3:$C$6,4),'2.4 PV (by Borough)'!AG357,IF(Dashboard!$D$6=INDEX('Scenario names'!$C$3:$C$6,1),'2.4 PV (by Borough)'!AG316,IF(Dashboard!$D$6=INDEX('Scenario names'!$C$3:$C$6,2),'2.4 PV (by Borough)'!AG316,IF(Dashboard!$D$6=INDEX('Scenario names'!$C$3:$C$6,3),'2.4 PV (by Borough)'!AG357,"Error")))))</f>
        <v>2205002.176609565</v>
      </c>
      <c r="AH398" s="36">
        <f>IF(Dashboard!$D$6="Baseline",'2.4 PV (by Borough)'!AH234,IF(Dashboard!$D$6=INDEX('Scenario names'!$C$3:$C$6,4),'2.4 PV (by Borough)'!AH357,IF(Dashboard!$D$6=INDEX('Scenario names'!$C$3:$C$6,1),'2.4 PV (by Borough)'!AH316,IF(Dashboard!$D$6=INDEX('Scenario names'!$C$3:$C$6,2),'2.4 PV (by Borough)'!AH316,IF(Dashboard!$D$6=INDEX('Scenario names'!$C$3:$C$6,3),'2.4 PV (by Borough)'!AH357,"Error")))))</f>
        <v>2431807.2608486814</v>
      </c>
      <c r="AI398" s="36">
        <f>IF(Dashboard!$D$6="Baseline",'2.4 PV (by Borough)'!AI234,IF(Dashboard!$D$6=INDEX('Scenario names'!$C$3:$C$6,4),'2.4 PV (by Borough)'!AI357,IF(Dashboard!$D$6=INDEX('Scenario names'!$C$3:$C$6,1),'2.4 PV (by Borough)'!AI316,IF(Dashboard!$D$6=INDEX('Scenario names'!$C$3:$C$6,2),'2.4 PV (by Borough)'!AI316,IF(Dashboard!$D$6=INDEX('Scenario names'!$C$3:$C$6,3),'2.4 PV (by Borough)'!AI357,"Error")))))</f>
        <v>2658612.3450877983</v>
      </c>
      <c r="AJ398" s="36">
        <f>IF(Dashboard!$D$6="Baseline",'2.4 PV (by Borough)'!AJ234,IF(Dashboard!$D$6=INDEX('Scenario names'!$C$3:$C$6,4),'2.4 PV (by Borough)'!AJ357,IF(Dashboard!$D$6=INDEX('Scenario names'!$C$3:$C$6,1),'2.4 PV (by Borough)'!AJ316,IF(Dashboard!$D$6=INDEX('Scenario names'!$C$3:$C$6,2),'2.4 PV (by Borough)'!AJ316,IF(Dashboard!$D$6=INDEX('Scenario names'!$C$3:$C$6,3),'2.4 PV (by Borough)'!AJ357,"Error")))))</f>
        <v>2885417.4293269143</v>
      </c>
      <c r="AK398" s="36">
        <f>IF(Dashboard!$D$6="Baseline",'2.4 PV (by Borough)'!AK234,IF(Dashboard!$D$6=INDEX('Scenario names'!$C$3:$C$6,4),'2.4 PV (by Borough)'!AK357,IF(Dashboard!$D$6=INDEX('Scenario names'!$C$3:$C$6,1),'2.4 PV (by Borough)'!AK316,IF(Dashboard!$D$6=INDEX('Scenario names'!$C$3:$C$6,2),'2.4 PV (by Borough)'!AK316,IF(Dashboard!$D$6=INDEX('Scenario names'!$C$3:$C$6,3),'2.4 PV (by Borough)'!AK357,"Error")))))</f>
        <v>3112222.5135660302</v>
      </c>
      <c r="AL398" s="36">
        <f>IF(Dashboard!$D$6="Baseline",'2.4 PV (by Borough)'!AL234,IF(Dashboard!$D$6=INDEX('Scenario names'!$C$3:$C$6,4),'2.4 PV (by Borough)'!AL357,IF(Dashboard!$D$6=INDEX('Scenario names'!$C$3:$C$6,1),'2.4 PV (by Borough)'!AL316,IF(Dashboard!$D$6=INDEX('Scenario names'!$C$3:$C$6,2),'2.4 PV (by Borough)'!AL316,IF(Dashboard!$D$6=INDEX('Scenario names'!$C$3:$C$6,3),'2.4 PV (by Borough)'!AL357,"Error")))))</f>
        <v>3339027.5978051471</v>
      </c>
      <c r="AM398" s="36">
        <f>IF(Dashboard!$D$6="Baseline",'2.4 PV (by Borough)'!AM234,IF(Dashboard!$D$6=INDEX('Scenario names'!$C$3:$C$6,4),'2.4 PV (by Borough)'!AM357,IF(Dashboard!$D$6=INDEX('Scenario names'!$C$3:$C$6,1),'2.4 PV (by Borough)'!AM316,IF(Dashboard!$D$6=INDEX('Scenario names'!$C$3:$C$6,2),'2.4 PV (by Borough)'!AM316,IF(Dashboard!$D$6=INDEX('Scenario names'!$C$3:$C$6,3),'2.4 PV (by Borough)'!AM357,"Error")))))</f>
        <v>3565832.6820442639</v>
      </c>
      <c r="AN398" s="36">
        <f>IF(Dashboard!$D$6="Baseline",'2.4 PV (by Borough)'!AN234,IF(Dashboard!$D$6=INDEX('Scenario names'!$C$3:$C$6,4),'2.4 PV (by Borough)'!AN357,IF(Dashboard!$D$6=INDEX('Scenario names'!$C$3:$C$6,1),'2.4 PV (by Borough)'!AN316,IF(Dashboard!$D$6=INDEX('Scenario names'!$C$3:$C$6,2),'2.4 PV (by Borough)'!AN316,IF(Dashboard!$D$6=INDEX('Scenario names'!$C$3:$C$6,3),'2.4 PV (by Borough)'!AN357,"Error")))))</f>
        <v>3792637.7662833803</v>
      </c>
      <c r="AO398" s="36">
        <f>IF(Dashboard!$D$6="Baseline",'2.4 PV (by Borough)'!AO234,IF(Dashboard!$D$6=INDEX('Scenario names'!$C$3:$C$6,4),'2.4 PV (by Borough)'!AO357,IF(Dashboard!$D$6=INDEX('Scenario names'!$C$3:$C$6,1),'2.4 PV (by Borough)'!AO316,IF(Dashboard!$D$6=INDEX('Scenario names'!$C$3:$C$6,2),'2.4 PV (by Borough)'!AO316,IF(Dashboard!$D$6=INDEX('Scenario names'!$C$3:$C$6,3),'2.4 PV (by Borough)'!AO357,"Error")))))</f>
        <v>4019442.8505224963</v>
      </c>
      <c r="AP398" s="36">
        <f>IF(Dashboard!$D$6="Baseline",'2.4 PV (by Borough)'!AP234,IF(Dashboard!$D$6=INDEX('Scenario names'!$C$3:$C$6,4),'2.4 PV (by Borough)'!AP357,IF(Dashboard!$D$6=INDEX('Scenario names'!$C$3:$C$6,1),'2.4 PV (by Borough)'!AP316,IF(Dashboard!$D$6=INDEX('Scenario names'!$C$3:$C$6,2),'2.4 PV (by Borough)'!AP316,IF(Dashboard!$D$6=INDEX('Scenario names'!$C$3:$C$6,3),'2.4 PV (by Borough)'!AP357,"Error")))))</f>
        <v>4246247.9347616127</v>
      </c>
      <c r="AQ398" s="36">
        <f>IF(Dashboard!$D$6="Baseline",'2.4 PV (by Borough)'!AQ234,IF(Dashboard!$D$6=INDEX('Scenario names'!$C$3:$C$6,4),'2.4 PV (by Borough)'!AQ357,IF(Dashboard!$D$6=INDEX('Scenario names'!$C$3:$C$6,1),'2.4 PV (by Borough)'!AQ316,IF(Dashboard!$D$6=INDEX('Scenario names'!$C$3:$C$6,2),'2.4 PV (by Borough)'!AQ316,IF(Dashboard!$D$6=INDEX('Scenario names'!$C$3:$C$6,3),'2.4 PV (by Borough)'!AQ357,"Error")))))</f>
        <v>4473053.0190007286</v>
      </c>
      <c r="AR398" s="36">
        <f>IF(Dashboard!$D$6="Baseline",'2.4 PV (by Borough)'!AR234,IF(Dashboard!$D$6=INDEX('Scenario names'!$C$3:$C$6,4),'2.4 PV (by Borough)'!AR357,IF(Dashboard!$D$6=INDEX('Scenario names'!$C$3:$C$6,1),'2.4 PV (by Borough)'!AR316,IF(Dashboard!$D$6=INDEX('Scenario names'!$C$3:$C$6,2),'2.4 PV (by Borough)'!AR316,IF(Dashboard!$D$6=INDEX('Scenario names'!$C$3:$C$6,3),'2.4 PV (by Borough)'!AR357,"Error")))))</f>
        <v>4699858.1032398446</v>
      </c>
      <c r="AS398" s="36">
        <f>IF(Dashboard!$D$6="Baseline",'2.4 PV (by Borough)'!AS234,IF(Dashboard!$D$6=INDEX('Scenario names'!$C$3:$C$6,4),'2.4 PV (by Borough)'!AS357,IF(Dashboard!$D$6=INDEX('Scenario names'!$C$3:$C$6,1),'2.4 PV (by Borough)'!AS316,IF(Dashboard!$D$6=INDEX('Scenario names'!$C$3:$C$6,2),'2.4 PV (by Borough)'!AS316,IF(Dashboard!$D$6=INDEX('Scenario names'!$C$3:$C$6,3),'2.4 PV (by Borough)'!AS357,"Error")))))</f>
        <v>4926663.1874789614</v>
      </c>
      <c r="AT398" s="36">
        <f>IF(Dashboard!$D$6="Baseline",'2.4 PV (by Borough)'!AT234,IF(Dashboard!$D$6=INDEX('Scenario names'!$C$3:$C$6,4),'2.4 PV (by Borough)'!AT357,IF(Dashboard!$D$6=INDEX('Scenario names'!$C$3:$C$6,1),'2.4 PV (by Borough)'!AT316,IF(Dashboard!$D$6=INDEX('Scenario names'!$C$3:$C$6,2),'2.4 PV (by Borough)'!AT316,IF(Dashboard!$D$6=INDEX('Scenario names'!$C$3:$C$6,3),'2.4 PV (by Borough)'!AT357,"Error")))))</f>
        <v>5153468.2717180783</v>
      </c>
      <c r="AU398" s="36">
        <f>IF(Dashboard!$D$6="Baseline",'2.4 PV (by Borough)'!AU234,IF(Dashboard!$D$6=INDEX('Scenario names'!$C$3:$C$6,4),'2.4 PV (by Borough)'!AU357,IF(Dashboard!$D$6=INDEX('Scenario names'!$C$3:$C$6,1),'2.4 PV (by Borough)'!AU316,IF(Dashboard!$D$6=INDEX('Scenario names'!$C$3:$C$6,2),'2.4 PV (by Borough)'!AU316,IF(Dashboard!$D$6=INDEX('Scenario names'!$C$3:$C$6,3),'2.4 PV (by Borough)'!AU357,"Error")))))</f>
        <v>5380273.3559571942</v>
      </c>
      <c r="AV398" s="36">
        <f>IF(Dashboard!$D$6="Baseline",'2.4 PV (by Borough)'!AV234,IF(Dashboard!$D$6=INDEX('Scenario names'!$C$3:$C$6,4),'2.4 PV (by Borough)'!AV357,IF(Dashboard!$D$6=INDEX('Scenario names'!$C$3:$C$6,1),'2.4 PV (by Borough)'!AV316,IF(Dashboard!$D$6=INDEX('Scenario names'!$C$3:$C$6,2),'2.4 PV (by Borough)'!AV316,IF(Dashboard!$D$6=INDEX('Scenario names'!$C$3:$C$6,3),'2.4 PV (by Borough)'!AV357,"Error")))))</f>
        <v>5607078.4401963102</v>
      </c>
      <c r="AW398" s="36">
        <f>IF(Dashboard!$D$6="Baseline",'2.4 PV (by Borough)'!AW234,IF(Dashboard!$D$6=INDEX('Scenario names'!$C$3:$C$6,4),'2.4 PV (by Borough)'!AW357,IF(Dashboard!$D$6=INDEX('Scenario names'!$C$3:$C$6,1),'2.4 PV (by Borough)'!AW316,IF(Dashboard!$D$6=INDEX('Scenario names'!$C$3:$C$6,2),'2.4 PV (by Borough)'!AW316,IF(Dashboard!$D$6=INDEX('Scenario names'!$C$3:$C$6,3),'2.4 PV (by Borough)'!AW357,"Error")))))</f>
        <v>5833883.5244354261</v>
      </c>
      <c r="AX398" s="36">
        <f>IF(Dashboard!$D$6="Baseline",'2.4 PV (by Borough)'!AX234,IF(Dashboard!$D$6=INDEX('Scenario names'!$C$3:$C$6,4),'2.4 PV (by Borough)'!AX357,IF(Dashboard!$D$6=INDEX('Scenario names'!$C$3:$C$6,1),'2.4 PV (by Borough)'!AX316,IF(Dashboard!$D$6=INDEX('Scenario names'!$C$3:$C$6,2),'2.4 PV (by Borough)'!AX316,IF(Dashboard!$D$6=INDEX('Scenario names'!$C$3:$C$6,3),'2.4 PV (by Borough)'!AX357,"Error")))))</f>
        <v>6060688.6086745439</v>
      </c>
      <c r="AY398" s="36"/>
      <c r="AZ398" s="36"/>
      <c r="BA398" s="36"/>
      <c r="BB398" s="36"/>
    </row>
    <row r="399" spans="4:54">
      <c r="D399" t="s">
        <v>661</v>
      </c>
      <c r="E399" t="s">
        <v>648</v>
      </c>
      <c r="G399" s="44"/>
      <c r="I399" s="44"/>
      <c r="K399" s="44"/>
      <c r="M399" s="44"/>
      <c r="O399" s="36">
        <f>IF(Dashboard!$D$6="Baseline",'2.4 PV (by Borough)'!O235,IF(Dashboard!$D$6=INDEX('Scenario names'!$C$3:$C$6,4),'2.4 PV (by Borough)'!O358,IF(Dashboard!$D$6=INDEX('Scenario names'!$C$3:$C$6,1),'2.4 PV (by Borough)'!O317,IF(Dashboard!$D$6=INDEX('Scenario names'!$C$3:$C$6,2),'2.4 PV (by Borough)'!O317,IF(Dashboard!$D$6=INDEX('Scenario names'!$C$3:$C$6,3),'2.4 PV (by Borough)'!O358,"Error")))))</f>
        <v>196762.65939784981</v>
      </c>
      <c r="P399" s="36">
        <f>IF(Dashboard!$D$6="Baseline",'2.4 PV (by Borough)'!P235,IF(Dashboard!$D$6=INDEX('Scenario names'!$C$3:$C$6,4),'2.4 PV (by Borough)'!P358,IF(Dashboard!$D$6=INDEX('Scenario names'!$C$3:$C$6,1),'2.4 PV (by Borough)'!P317,IF(Dashboard!$D$6=INDEX('Scenario names'!$C$3:$C$6,2),'2.4 PV (by Borough)'!P317,IF(Dashboard!$D$6=INDEX('Scenario names'!$C$3:$C$6,3),'2.4 PV (by Borough)'!P358,"Error")))))</f>
        <v>330017.0912379545</v>
      </c>
      <c r="Q399" s="36">
        <f>IF(Dashboard!$D$6="Baseline",'2.4 PV (by Borough)'!Q235,IF(Dashboard!$D$6=INDEX('Scenario names'!$C$3:$C$6,4),'2.4 PV (by Borough)'!Q358,IF(Dashboard!$D$6=INDEX('Scenario names'!$C$3:$C$6,1),'2.4 PV (by Borough)'!Q317,IF(Dashboard!$D$6=INDEX('Scenario names'!$C$3:$C$6,2),'2.4 PV (by Borough)'!Q317,IF(Dashboard!$D$6=INDEX('Scenario names'!$C$3:$C$6,3),'2.4 PV (by Borough)'!Q358,"Error")))))</f>
        <v>463271.5230780592</v>
      </c>
      <c r="R399" s="36">
        <f>IF(Dashboard!$D$6="Baseline",'2.4 PV (by Borough)'!R235,IF(Dashboard!$D$6=INDEX('Scenario names'!$C$3:$C$6,4),'2.4 PV (by Borough)'!R358,IF(Dashboard!$D$6=INDEX('Scenario names'!$C$3:$C$6,1),'2.4 PV (by Borough)'!R317,IF(Dashboard!$D$6=INDEX('Scenario names'!$C$3:$C$6,2),'2.4 PV (by Borough)'!R317,IF(Dashboard!$D$6=INDEX('Scenario names'!$C$3:$C$6,3),'2.4 PV (by Borough)'!R358,"Error")))))</f>
        <v>596525.95491816406</v>
      </c>
      <c r="S399" s="36">
        <f>IF(Dashboard!$D$6="Baseline",'2.4 PV (by Borough)'!S235,IF(Dashboard!$D$6=INDEX('Scenario names'!$C$3:$C$6,4),'2.4 PV (by Borough)'!S358,IF(Dashboard!$D$6=INDEX('Scenario names'!$C$3:$C$6,1),'2.4 PV (by Borough)'!S317,IF(Dashboard!$D$6=INDEX('Scenario names'!$C$3:$C$6,2),'2.4 PV (by Borough)'!S317,IF(Dashboard!$D$6=INDEX('Scenario names'!$C$3:$C$6,3),'2.4 PV (by Borough)'!S358,"Error")))))</f>
        <v>729780.38675826881</v>
      </c>
      <c r="T399" s="36">
        <f>IF(Dashboard!$D$6="Baseline",'2.4 PV (by Borough)'!T235,IF(Dashboard!$D$6=INDEX('Scenario names'!$C$3:$C$6,4),'2.4 PV (by Borough)'!T358,IF(Dashboard!$D$6=INDEX('Scenario names'!$C$3:$C$6,1),'2.4 PV (by Borough)'!T317,IF(Dashboard!$D$6=INDEX('Scenario names'!$C$3:$C$6,2),'2.4 PV (by Borough)'!T317,IF(Dashboard!$D$6=INDEX('Scenario names'!$C$3:$C$6,3),'2.4 PV (by Borough)'!T358,"Error")))))</f>
        <v>863034.81859837333</v>
      </c>
      <c r="U399" s="36">
        <f>IF(Dashboard!$D$6="Baseline",'2.4 PV (by Borough)'!U235,IF(Dashboard!$D$6=INDEX('Scenario names'!$C$3:$C$6,4),'2.4 PV (by Borough)'!U358,IF(Dashboard!$D$6=INDEX('Scenario names'!$C$3:$C$6,1),'2.4 PV (by Borough)'!U317,IF(Dashboard!$D$6=INDEX('Scenario names'!$C$3:$C$6,2),'2.4 PV (by Borough)'!U317,IF(Dashboard!$D$6=INDEX('Scenario names'!$C$3:$C$6,3),'2.4 PV (by Borough)'!U358,"Error")))))</f>
        <v>996289.25043847819</v>
      </c>
      <c r="V399" s="36">
        <f>IF(Dashboard!$D$6="Baseline",'2.4 PV (by Borough)'!V235,IF(Dashboard!$D$6=INDEX('Scenario names'!$C$3:$C$6,4),'2.4 PV (by Borough)'!V358,IF(Dashboard!$D$6=INDEX('Scenario names'!$C$3:$C$6,1),'2.4 PV (by Borough)'!V317,IF(Dashboard!$D$6=INDEX('Scenario names'!$C$3:$C$6,2),'2.4 PV (by Borough)'!V317,IF(Dashboard!$D$6=INDEX('Scenario names'!$C$3:$C$6,3),'2.4 PV (by Borough)'!V358,"Error")))))</f>
        <v>1129543.6822785833</v>
      </c>
      <c r="W399" s="36">
        <f>IF(Dashboard!$D$6="Baseline",'2.4 PV (by Borough)'!W235,IF(Dashboard!$D$6=INDEX('Scenario names'!$C$3:$C$6,4),'2.4 PV (by Borough)'!W358,IF(Dashboard!$D$6=INDEX('Scenario names'!$C$3:$C$6,1),'2.4 PV (by Borough)'!W317,IF(Dashboard!$D$6=INDEX('Scenario names'!$C$3:$C$6,2),'2.4 PV (by Borough)'!W317,IF(Dashboard!$D$6=INDEX('Scenario names'!$C$3:$C$6,3),'2.4 PV (by Borough)'!W358,"Error")))))</f>
        <v>1262798.1141186876</v>
      </c>
      <c r="X399" s="36">
        <f>IF(Dashboard!$D$6="Baseline",'2.4 PV (by Borough)'!X235,IF(Dashboard!$D$6=INDEX('Scenario names'!$C$3:$C$6,4),'2.4 PV (by Borough)'!X358,IF(Dashboard!$D$6=INDEX('Scenario names'!$C$3:$C$6,1),'2.4 PV (by Borough)'!X317,IF(Dashboard!$D$6=INDEX('Scenario names'!$C$3:$C$6,2),'2.4 PV (by Borough)'!X317,IF(Dashboard!$D$6=INDEX('Scenario names'!$C$3:$C$6,3),'2.4 PV (by Borough)'!X358,"Error")))))</f>
        <v>1396052.5459587923</v>
      </c>
      <c r="Y399" s="36">
        <f>IF(Dashboard!$D$6="Baseline",'2.4 PV (by Borough)'!Y235,IF(Dashboard!$D$6=INDEX('Scenario names'!$C$3:$C$6,4),'2.4 PV (by Borough)'!Y358,IF(Dashboard!$D$6=INDEX('Scenario names'!$C$3:$C$6,1),'2.4 PV (by Borough)'!Y317,IF(Dashboard!$D$6=INDEX('Scenario names'!$C$3:$C$6,2),'2.4 PV (by Borough)'!Y317,IF(Dashboard!$D$6=INDEX('Scenario names'!$C$3:$C$6,3),'2.4 PV (by Borough)'!Y358,"Error")))))</f>
        <v>1529306.9777988971</v>
      </c>
      <c r="Z399" s="36">
        <f>IF(Dashboard!$D$6="Baseline",'2.4 PV (by Borough)'!Z235,IF(Dashboard!$D$6=INDEX('Scenario names'!$C$3:$C$6,4),'2.4 PV (by Borough)'!Z358,IF(Dashboard!$D$6=INDEX('Scenario names'!$C$3:$C$6,1),'2.4 PV (by Borough)'!Z317,IF(Dashboard!$D$6=INDEX('Scenario names'!$C$3:$C$6,2),'2.4 PV (by Borough)'!Z317,IF(Dashboard!$D$6=INDEX('Scenario names'!$C$3:$C$6,3),'2.4 PV (by Borough)'!Z358,"Error")))))</f>
        <v>1561179.3118388692</v>
      </c>
      <c r="AA399" s="36">
        <f>IF(Dashboard!$D$6="Baseline",'2.4 PV (by Borough)'!AA235,IF(Dashboard!$D$6=INDEX('Scenario names'!$C$3:$C$6,4),'2.4 PV (by Borough)'!AA358,IF(Dashboard!$D$6=INDEX('Scenario names'!$C$3:$C$6,1),'2.4 PV (by Borough)'!AA317,IF(Dashboard!$D$6=INDEX('Scenario names'!$C$3:$C$6,2),'2.4 PV (by Borough)'!AA317,IF(Dashboard!$D$6=INDEX('Scenario names'!$C$3:$C$6,3),'2.4 PV (by Borough)'!AA358,"Error")))))</f>
        <v>1593051.6458788407</v>
      </c>
      <c r="AB399" s="36">
        <f>IF(Dashboard!$D$6="Baseline",'2.4 PV (by Borough)'!AB235,IF(Dashboard!$D$6=INDEX('Scenario names'!$C$3:$C$6,4),'2.4 PV (by Borough)'!AB358,IF(Dashboard!$D$6=INDEX('Scenario names'!$C$3:$C$6,1),'2.4 PV (by Borough)'!AB317,IF(Dashboard!$D$6=INDEX('Scenario names'!$C$3:$C$6,2),'2.4 PV (by Borough)'!AB317,IF(Dashboard!$D$6=INDEX('Scenario names'!$C$3:$C$6,3),'2.4 PV (by Borough)'!AB358,"Error")))))</f>
        <v>1624923.9799188124</v>
      </c>
      <c r="AC399" s="36">
        <f>IF(Dashboard!$D$6="Baseline",'2.4 PV (by Borough)'!AC235,IF(Dashboard!$D$6=INDEX('Scenario names'!$C$3:$C$6,4),'2.4 PV (by Borough)'!AC358,IF(Dashboard!$D$6=INDEX('Scenario names'!$C$3:$C$6,1),'2.4 PV (by Borough)'!AC317,IF(Dashboard!$D$6=INDEX('Scenario names'!$C$3:$C$6,2),'2.4 PV (by Borough)'!AC317,IF(Dashboard!$D$6=INDEX('Scenario names'!$C$3:$C$6,3),'2.4 PV (by Borough)'!AC358,"Error")))))</f>
        <v>1656796.3139587841</v>
      </c>
      <c r="AD399" s="36">
        <f>IF(Dashboard!$D$6="Baseline",'2.4 PV (by Borough)'!AD235,IF(Dashboard!$D$6=INDEX('Scenario names'!$C$3:$C$6,4),'2.4 PV (by Borough)'!AD358,IF(Dashboard!$D$6=INDEX('Scenario names'!$C$3:$C$6,1),'2.4 PV (by Borough)'!AD317,IF(Dashboard!$D$6=INDEX('Scenario names'!$C$3:$C$6,2),'2.4 PV (by Borough)'!AD317,IF(Dashboard!$D$6=INDEX('Scenario names'!$C$3:$C$6,3),'2.4 PV (by Borough)'!AD358,"Error")))))</f>
        <v>1688668.6479987556</v>
      </c>
      <c r="AE399" s="36">
        <f>IF(Dashboard!$D$6="Baseline",'2.4 PV (by Borough)'!AE235,IF(Dashboard!$D$6=INDEX('Scenario names'!$C$3:$C$6,4),'2.4 PV (by Borough)'!AE358,IF(Dashboard!$D$6=INDEX('Scenario names'!$C$3:$C$6,1),'2.4 PV (by Borough)'!AE317,IF(Dashboard!$D$6=INDEX('Scenario names'!$C$3:$C$6,2),'2.4 PV (by Borough)'!AE317,IF(Dashboard!$D$6=INDEX('Scenario names'!$C$3:$C$6,3),'2.4 PV (by Borough)'!AE358,"Error")))))</f>
        <v>1720540.9820387275</v>
      </c>
      <c r="AF399" s="36">
        <f>IF(Dashboard!$D$6="Baseline",'2.4 PV (by Borough)'!AF235,IF(Dashboard!$D$6=INDEX('Scenario names'!$C$3:$C$6,4),'2.4 PV (by Borough)'!AF358,IF(Dashboard!$D$6=INDEX('Scenario names'!$C$3:$C$6,1),'2.4 PV (by Borough)'!AF317,IF(Dashboard!$D$6=INDEX('Scenario names'!$C$3:$C$6,2),'2.4 PV (by Borough)'!AF317,IF(Dashboard!$D$6=INDEX('Scenario names'!$C$3:$C$6,3),'2.4 PV (by Borough)'!AF358,"Error")))))</f>
        <v>1752413.3160786992</v>
      </c>
      <c r="AG399" s="36">
        <f>IF(Dashboard!$D$6="Baseline",'2.4 PV (by Borough)'!AG235,IF(Dashboard!$D$6=INDEX('Scenario names'!$C$3:$C$6,4),'2.4 PV (by Borough)'!AG358,IF(Dashboard!$D$6=INDEX('Scenario names'!$C$3:$C$6,1),'2.4 PV (by Borough)'!AG317,IF(Dashboard!$D$6=INDEX('Scenario names'!$C$3:$C$6,2),'2.4 PV (by Borough)'!AG317,IF(Dashboard!$D$6=INDEX('Scenario names'!$C$3:$C$6,3),'2.4 PV (by Borough)'!AG358,"Error")))))</f>
        <v>1784285.6501186704</v>
      </c>
      <c r="AH399" s="36">
        <f>IF(Dashboard!$D$6="Baseline",'2.4 PV (by Borough)'!AH235,IF(Dashboard!$D$6=INDEX('Scenario names'!$C$3:$C$6,4),'2.4 PV (by Borough)'!AH358,IF(Dashboard!$D$6=INDEX('Scenario names'!$C$3:$C$6,1),'2.4 PV (by Borough)'!AH317,IF(Dashboard!$D$6=INDEX('Scenario names'!$C$3:$C$6,2),'2.4 PV (by Borough)'!AH317,IF(Dashboard!$D$6=INDEX('Scenario names'!$C$3:$C$6,3),'2.4 PV (by Borough)'!AH358,"Error")))))</f>
        <v>1816157.9841586426</v>
      </c>
      <c r="AI399" s="36">
        <f>IF(Dashboard!$D$6="Baseline",'2.4 PV (by Borough)'!AI235,IF(Dashboard!$D$6=INDEX('Scenario names'!$C$3:$C$6,4),'2.4 PV (by Borough)'!AI358,IF(Dashboard!$D$6=INDEX('Scenario names'!$C$3:$C$6,1),'2.4 PV (by Borough)'!AI317,IF(Dashboard!$D$6=INDEX('Scenario names'!$C$3:$C$6,2),'2.4 PV (by Borough)'!AI317,IF(Dashboard!$D$6=INDEX('Scenario names'!$C$3:$C$6,3),'2.4 PV (by Borough)'!AI358,"Error")))))</f>
        <v>1848030.3181986143</v>
      </c>
      <c r="AJ399" s="36">
        <f>IF(Dashboard!$D$6="Baseline",'2.4 PV (by Borough)'!AJ235,IF(Dashboard!$D$6=INDEX('Scenario names'!$C$3:$C$6,4),'2.4 PV (by Borough)'!AJ358,IF(Dashboard!$D$6=INDEX('Scenario names'!$C$3:$C$6,1),'2.4 PV (by Borough)'!AJ317,IF(Dashboard!$D$6=INDEX('Scenario names'!$C$3:$C$6,2),'2.4 PV (by Borough)'!AJ317,IF(Dashboard!$D$6=INDEX('Scenario names'!$C$3:$C$6,3),'2.4 PV (by Borough)'!AJ358,"Error")))))</f>
        <v>1879902.6522385858</v>
      </c>
      <c r="AK399" s="36">
        <f>IF(Dashboard!$D$6="Baseline",'2.4 PV (by Borough)'!AK235,IF(Dashboard!$D$6=INDEX('Scenario names'!$C$3:$C$6,4),'2.4 PV (by Borough)'!AK358,IF(Dashboard!$D$6=INDEX('Scenario names'!$C$3:$C$6,1),'2.4 PV (by Borough)'!AK317,IF(Dashboard!$D$6=INDEX('Scenario names'!$C$3:$C$6,2),'2.4 PV (by Borough)'!AK317,IF(Dashboard!$D$6=INDEX('Scenario names'!$C$3:$C$6,3),'2.4 PV (by Borough)'!AK358,"Error")))))</f>
        <v>1911774.9862785575</v>
      </c>
      <c r="AL399" s="36">
        <f>IF(Dashboard!$D$6="Baseline",'2.4 PV (by Borough)'!AL235,IF(Dashboard!$D$6=INDEX('Scenario names'!$C$3:$C$6,4),'2.4 PV (by Borough)'!AL358,IF(Dashboard!$D$6=INDEX('Scenario names'!$C$3:$C$6,1),'2.4 PV (by Borough)'!AL317,IF(Dashboard!$D$6=INDEX('Scenario names'!$C$3:$C$6,2),'2.4 PV (by Borough)'!AL317,IF(Dashboard!$D$6=INDEX('Scenario names'!$C$3:$C$6,3),'2.4 PV (by Borough)'!AL358,"Error")))))</f>
        <v>1943647.3203185296</v>
      </c>
      <c r="AM399" s="36">
        <f>IF(Dashboard!$D$6="Baseline",'2.4 PV (by Borough)'!AM235,IF(Dashboard!$D$6=INDEX('Scenario names'!$C$3:$C$6,4),'2.4 PV (by Borough)'!AM358,IF(Dashboard!$D$6=INDEX('Scenario names'!$C$3:$C$6,1),'2.4 PV (by Borough)'!AM317,IF(Dashboard!$D$6=INDEX('Scenario names'!$C$3:$C$6,2),'2.4 PV (by Borough)'!AM317,IF(Dashboard!$D$6=INDEX('Scenario names'!$C$3:$C$6,3),'2.4 PV (by Borough)'!AM358,"Error")))))</f>
        <v>1975519.6543585011</v>
      </c>
      <c r="AN399" s="36">
        <f>IF(Dashboard!$D$6="Baseline",'2.4 PV (by Borough)'!AN235,IF(Dashboard!$D$6=INDEX('Scenario names'!$C$3:$C$6,4),'2.4 PV (by Borough)'!AN358,IF(Dashboard!$D$6=INDEX('Scenario names'!$C$3:$C$6,1),'2.4 PV (by Borough)'!AN317,IF(Dashboard!$D$6=INDEX('Scenario names'!$C$3:$C$6,2),'2.4 PV (by Borough)'!AN317,IF(Dashboard!$D$6=INDEX('Scenario names'!$C$3:$C$6,3),'2.4 PV (by Borough)'!AN358,"Error")))))</f>
        <v>2007391.9883984721</v>
      </c>
      <c r="AO399" s="36">
        <f>IF(Dashboard!$D$6="Baseline",'2.4 PV (by Borough)'!AO235,IF(Dashboard!$D$6=INDEX('Scenario names'!$C$3:$C$6,4),'2.4 PV (by Borough)'!AO358,IF(Dashboard!$D$6=INDEX('Scenario names'!$C$3:$C$6,1),'2.4 PV (by Borough)'!AO317,IF(Dashboard!$D$6=INDEX('Scenario names'!$C$3:$C$6,2),'2.4 PV (by Borough)'!AO317,IF(Dashboard!$D$6=INDEX('Scenario names'!$C$3:$C$6,3),'2.4 PV (by Borough)'!AO358,"Error")))))</f>
        <v>2039264.3224384445</v>
      </c>
      <c r="AP399" s="36">
        <f>IF(Dashboard!$D$6="Baseline",'2.4 PV (by Borough)'!AP235,IF(Dashboard!$D$6=INDEX('Scenario names'!$C$3:$C$6,4),'2.4 PV (by Borough)'!AP358,IF(Dashboard!$D$6=INDEX('Scenario names'!$C$3:$C$6,1),'2.4 PV (by Borough)'!AP317,IF(Dashboard!$D$6=INDEX('Scenario names'!$C$3:$C$6,2),'2.4 PV (by Borough)'!AP317,IF(Dashboard!$D$6=INDEX('Scenario names'!$C$3:$C$6,3),'2.4 PV (by Borough)'!AP358,"Error")))))</f>
        <v>2071136.6564784162</v>
      </c>
      <c r="AQ399" s="36">
        <f>IF(Dashboard!$D$6="Baseline",'2.4 PV (by Borough)'!AQ235,IF(Dashboard!$D$6=INDEX('Scenario names'!$C$3:$C$6,4),'2.4 PV (by Borough)'!AQ358,IF(Dashboard!$D$6=INDEX('Scenario names'!$C$3:$C$6,1),'2.4 PV (by Borough)'!AQ317,IF(Dashboard!$D$6=INDEX('Scenario names'!$C$3:$C$6,2),'2.4 PV (by Borough)'!AQ317,IF(Dashboard!$D$6=INDEX('Scenario names'!$C$3:$C$6,3),'2.4 PV (by Borough)'!AQ358,"Error")))))</f>
        <v>2103008.9905183883</v>
      </c>
      <c r="AR399" s="36">
        <f>IF(Dashboard!$D$6="Baseline",'2.4 PV (by Borough)'!AR235,IF(Dashboard!$D$6=INDEX('Scenario names'!$C$3:$C$6,4),'2.4 PV (by Borough)'!AR358,IF(Dashboard!$D$6=INDEX('Scenario names'!$C$3:$C$6,1),'2.4 PV (by Borough)'!AR317,IF(Dashboard!$D$6=INDEX('Scenario names'!$C$3:$C$6,2),'2.4 PV (by Borough)'!AR317,IF(Dashboard!$D$6=INDEX('Scenario names'!$C$3:$C$6,3),'2.4 PV (by Borough)'!AR358,"Error")))))</f>
        <v>2134881.3245583596</v>
      </c>
      <c r="AS399" s="36">
        <f>IF(Dashboard!$D$6="Baseline",'2.4 PV (by Borough)'!AS235,IF(Dashboard!$D$6=INDEX('Scenario names'!$C$3:$C$6,4),'2.4 PV (by Borough)'!AS358,IF(Dashboard!$D$6=INDEX('Scenario names'!$C$3:$C$6,1),'2.4 PV (by Borough)'!AS317,IF(Dashboard!$D$6=INDEX('Scenario names'!$C$3:$C$6,2),'2.4 PV (by Borough)'!AS317,IF(Dashboard!$D$6=INDEX('Scenario names'!$C$3:$C$6,3),'2.4 PV (by Borough)'!AS358,"Error")))))</f>
        <v>2166753.6585983308</v>
      </c>
      <c r="AT399" s="36">
        <f>IF(Dashboard!$D$6="Baseline",'2.4 PV (by Borough)'!AT235,IF(Dashboard!$D$6=INDEX('Scenario names'!$C$3:$C$6,4),'2.4 PV (by Borough)'!AT358,IF(Dashboard!$D$6=INDEX('Scenario names'!$C$3:$C$6,1),'2.4 PV (by Borough)'!AT317,IF(Dashboard!$D$6=INDEX('Scenario names'!$C$3:$C$6,2),'2.4 PV (by Borough)'!AT317,IF(Dashboard!$D$6=INDEX('Scenario names'!$C$3:$C$6,3),'2.4 PV (by Borough)'!AT358,"Error")))))</f>
        <v>2198625.992638303</v>
      </c>
      <c r="AU399" s="36">
        <f>IF(Dashboard!$D$6="Baseline",'2.4 PV (by Borough)'!AU235,IF(Dashboard!$D$6=INDEX('Scenario names'!$C$3:$C$6,4),'2.4 PV (by Borough)'!AU358,IF(Dashboard!$D$6=INDEX('Scenario names'!$C$3:$C$6,1),'2.4 PV (by Borough)'!AU317,IF(Dashboard!$D$6=INDEX('Scenario names'!$C$3:$C$6,2),'2.4 PV (by Borough)'!AU317,IF(Dashboard!$D$6=INDEX('Scenario names'!$C$3:$C$6,3),'2.4 PV (by Borough)'!AU358,"Error")))))</f>
        <v>2230498.3266782747</v>
      </c>
      <c r="AV399" s="36">
        <f>IF(Dashboard!$D$6="Baseline",'2.4 PV (by Borough)'!AV235,IF(Dashboard!$D$6=INDEX('Scenario names'!$C$3:$C$6,4),'2.4 PV (by Borough)'!AV358,IF(Dashboard!$D$6=INDEX('Scenario names'!$C$3:$C$6,1),'2.4 PV (by Borough)'!AV317,IF(Dashboard!$D$6=INDEX('Scenario names'!$C$3:$C$6,2),'2.4 PV (by Borough)'!AV317,IF(Dashboard!$D$6=INDEX('Scenario names'!$C$3:$C$6,3),'2.4 PV (by Borough)'!AV358,"Error")))))</f>
        <v>2262370.6607182468</v>
      </c>
      <c r="AW399" s="36">
        <f>IF(Dashboard!$D$6="Baseline",'2.4 PV (by Borough)'!AW235,IF(Dashboard!$D$6=INDEX('Scenario names'!$C$3:$C$6,4),'2.4 PV (by Borough)'!AW358,IF(Dashboard!$D$6=INDEX('Scenario names'!$C$3:$C$6,1),'2.4 PV (by Borough)'!AW317,IF(Dashboard!$D$6=INDEX('Scenario names'!$C$3:$C$6,2),'2.4 PV (by Borough)'!AW317,IF(Dashboard!$D$6=INDEX('Scenario names'!$C$3:$C$6,3),'2.4 PV (by Borough)'!AW358,"Error")))))</f>
        <v>2294242.9947582176</v>
      </c>
      <c r="AX399" s="36">
        <f>IF(Dashboard!$D$6="Baseline",'2.4 PV (by Borough)'!AX235,IF(Dashboard!$D$6=INDEX('Scenario names'!$C$3:$C$6,4),'2.4 PV (by Borough)'!AX358,IF(Dashboard!$D$6=INDEX('Scenario names'!$C$3:$C$6,1),'2.4 PV (by Borough)'!AX317,IF(Dashboard!$D$6=INDEX('Scenario names'!$C$3:$C$6,2),'2.4 PV (by Borough)'!AX317,IF(Dashboard!$D$6=INDEX('Scenario names'!$C$3:$C$6,3),'2.4 PV (by Borough)'!AX358,"Error")))))</f>
        <v>2326115.3287981893</v>
      </c>
      <c r="AY399" s="36"/>
      <c r="AZ399" s="36"/>
      <c r="BA399" s="36"/>
      <c r="BB399" s="36"/>
    </row>
    <row r="400" spans="4:54">
      <c r="D400" t="s">
        <v>660</v>
      </c>
      <c r="E400" t="s">
        <v>649</v>
      </c>
      <c r="G400" s="44"/>
      <c r="I400" s="44"/>
      <c r="K400" s="44"/>
      <c r="M400" s="44"/>
      <c r="O400" s="36">
        <f>IF(Dashboard!$D$6="Baseline",'2.4 PV (by Borough)'!O236,IF(Dashboard!$D$6=INDEX('Scenario names'!$C$3:$C$6,4),'2.4 PV (by Borough)'!O359,IF(Dashboard!$D$6=INDEX('Scenario names'!$C$3:$C$6,1),'2.4 PV (by Borough)'!O318,IF(Dashboard!$D$6=INDEX('Scenario names'!$C$3:$C$6,2),'2.4 PV (by Borough)'!O318,IF(Dashboard!$D$6=INDEX('Scenario names'!$C$3:$C$6,3),'2.4 PV (by Borough)'!O359,"Error")))))</f>
        <v>153079.32105145001</v>
      </c>
      <c r="P400" s="36">
        <f>IF(Dashboard!$D$6="Baseline",'2.4 PV (by Borough)'!P236,IF(Dashboard!$D$6=INDEX('Scenario names'!$C$3:$C$6,4),'2.4 PV (by Borough)'!P359,IF(Dashboard!$D$6=INDEX('Scenario names'!$C$3:$C$6,1),'2.4 PV (by Borough)'!P318,IF(Dashboard!$D$6=INDEX('Scenario names'!$C$3:$C$6,2),'2.4 PV (by Borough)'!P318,IF(Dashboard!$D$6=INDEX('Scenario names'!$C$3:$C$6,3),'2.4 PV (by Borough)'!P359,"Error")))))</f>
        <v>262917.65029356739</v>
      </c>
      <c r="Q400" s="36">
        <f>IF(Dashboard!$D$6="Baseline",'2.4 PV (by Borough)'!Q236,IF(Dashboard!$D$6=INDEX('Scenario names'!$C$3:$C$6,4),'2.4 PV (by Borough)'!Q359,IF(Dashboard!$D$6=INDEX('Scenario names'!$C$3:$C$6,1),'2.4 PV (by Borough)'!Q318,IF(Dashboard!$D$6=INDEX('Scenario names'!$C$3:$C$6,2),'2.4 PV (by Borough)'!Q318,IF(Dashboard!$D$6=INDEX('Scenario names'!$C$3:$C$6,3),'2.4 PV (by Borough)'!Q359,"Error")))))</f>
        <v>372755.9795356848</v>
      </c>
      <c r="R400" s="36">
        <f>IF(Dashboard!$D$6="Baseline",'2.4 PV (by Borough)'!R236,IF(Dashboard!$D$6=INDEX('Scenario names'!$C$3:$C$6,4),'2.4 PV (by Borough)'!R359,IF(Dashboard!$D$6=INDEX('Scenario names'!$C$3:$C$6,1),'2.4 PV (by Borough)'!R318,IF(Dashboard!$D$6=INDEX('Scenario names'!$C$3:$C$6,2),'2.4 PV (by Borough)'!R318,IF(Dashboard!$D$6=INDEX('Scenario names'!$C$3:$C$6,3),'2.4 PV (by Borough)'!R359,"Error")))))</f>
        <v>482594.30877780222</v>
      </c>
      <c r="S400" s="36">
        <f>IF(Dashboard!$D$6="Baseline",'2.4 PV (by Borough)'!S236,IF(Dashboard!$D$6=INDEX('Scenario names'!$C$3:$C$6,4),'2.4 PV (by Borough)'!S359,IF(Dashboard!$D$6=INDEX('Scenario names'!$C$3:$C$6,1),'2.4 PV (by Borough)'!S318,IF(Dashboard!$D$6=INDEX('Scenario names'!$C$3:$C$6,2),'2.4 PV (by Borough)'!S318,IF(Dashboard!$D$6=INDEX('Scenario names'!$C$3:$C$6,3),'2.4 PV (by Borough)'!S359,"Error")))))</f>
        <v>592432.6380199194</v>
      </c>
      <c r="T400" s="36">
        <f>IF(Dashboard!$D$6="Baseline",'2.4 PV (by Borough)'!T236,IF(Dashboard!$D$6=INDEX('Scenario names'!$C$3:$C$6,4),'2.4 PV (by Borough)'!T359,IF(Dashboard!$D$6=INDEX('Scenario names'!$C$3:$C$6,1),'2.4 PV (by Borough)'!T318,IF(Dashboard!$D$6=INDEX('Scenario names'!$C$3:$C$6,2),'2.4 PV (by Borough)'!T318,IF(Dashboard!$D$6=INDEX('Scenario names'!$C$3:$C$6,3),'2.4 PV (by Borough)'!T359,"Error")))))</f>
        <v>702270.96726203698</v>
      </c>
      <c r="U400" s="36">
        <f>IF(Dashboard!$D$6="Baseline",'2.4 PV (by Borough)'!U236,IF(Dashboard!$D$6=INDEX('Scenario names'!$C$3:$C$6,4),'2.4 PV (by Borough)'!U359,IF(Dashboard!$D$6=INDEX('Scenario names'!$C$3:$C$6,1),'2.4 PV (by Borough)'!U318,IF(Dashboard!$D$6=INDEX('Scenario names'!$C$3:$C$6,2),'2.4 PV (by Borough)'!U318,IF(Dashboard!$D$6=INDEX('Scenario names'!$C$3:$C$6,3),'2.4 PV (by Borough)'!U359,"Error")))))</f>
        <v>812109.2965041541</v>
      </c>
      <c r="V400" s="36">
        <f>IF(Dashboard!$D$6="Baseline",'2.4 PV (by Borough)'!V236,IF(Dashboard!$D$6=INDEX('Scenario names'!$C$3:$C$6,4),'2.4 PV (by Borough)'!V359,IF(Dashboard!$D$6=INDEX('Scenario names'!$C$3:$C$6,1),'2.4 PV (by Borough)'!V318,IF(Dashboard!$D$6=INDEX('Scenario names'!$C$3:$C$6,2),'2.4 PV (by Borough)'!V318,IF(Dashboard!$D$6=INDEX('Scenario names'!$C$3:$C$6,3),'2.4 PV (by Borough)'!V359,"Error")))))</f>
        <v>921947.62574627181</v>
      </c>
      <c r="W400" s="36">
        <f>IF(Dashboard!$D$6="Baseline",'2.4 PV (by Borough)'!W236,IF(Dashboard!$D$6=INDEX('Scenario names'!$C$3:$C$6,4),'2.4 PV (by Borough)'!W359,IF(Dashboard!$D$6=INDEX('Scenario names'!$C$3:$C$6,1),'2.4 PV (by Borough)'!W318,IF(Dashboard!$D$6=INDEX('Scenario names'!$C$3:$C$6,2),'2.4 PV (by Borough)'!W318,IF(Dashboard!$D$6=INDEX('Scenario names'!$C$3:$C$6,3),'2.4 PV (by Borough)'!W359,"Error")))))</f>
        <v>1031785.9549883892</v>
      </c>
      <c r="X400" s="36">
        <f>IF(Dashboard!$D$6="Baseline",'2.4 PV (by Borough)'!X236,IF(Dashboard!$D$6=INDEX('Scenario names'!$C$3:$C$6,4),'2.4 PV (by Borough)'!X359,IF(Dashboard!$D$6=INDEX('Scenario names'!$C$3:$C$6,1),'2.4 PV (by Borough)'!X318,IF(Dashboard!$D$6=INDEX('Scenario names'!$C$3:$C$6,2),'2.4 PV (by Borough)'!X318,IF(Dashboard!$D$6=INDEX('Scenario names'!$C$3:$C$6,3),'2.4 PV (by Borough)'!X359,"Error")))))</f>
        <v>1141624.2842305063</v>
      </c>
      <c r="Y400" s="36">
        <f>IF(Dashboard!$D$6="Baseline",'2.4 PV (by Borough)'!Y236,IF(Dashboard!$D$6=INDEX('Scenario names'!$C$3:$C$6,4),'2.4 PV (by Borough)'!Y359,IF(Dashboard!$D$6=INDEX('Scenario names'!$C$3:$C$6,1),'2.4 PV (by Borough)'!Y318,IF(Dashboard!$D$6=INDEX('Scenario names'!$C$3:$C$6,2),'2.4 PV (by Borough)'!Y318,IF(Dashboard!$D$6=INDEX('Scenario names'!$C$3:$C$6,3),'2.4 PV (by Borough)'!Y359,"Error")))))</f>
        <v>1251462.6134726238</v>
      </c>
      <c r="Z400" s="36">
        <f>IF(Dashboard!$D$6="Baseline",'2.4 PV (by Borough)'!Z236,IF(Dashboard!$D$6=INDEX('Scenario names'!$C$3:$C$6,4),'2.4 PV (by Borough)'!Z359,IF(Dashboard!$D$6=INDEX('Scenario names'!$C$3:$C$6,1),'2.4 PV (by Borough)'!Z318,IF(Dashboard!$D$6=INDEX('Scenario names'!$C$3:$C$6,2),'2.4 PV (by Borough)'!Z318,IF(Dashboard!$D$6=INDEX('Scenario names'!$C$3:$C$6,3),'2.4 PV (by Borough)'!Z359,"Error")))))</f>
        <v>1389699.9178674053</v>
      </c>
      <c r="AA400" s="36">
        <f>IF(Dashboard!$D$6="Baseline",'2.4 PV (by Borough)'!AA236,IF(Dashboard!$D$6=INDEX('Scenario names'!$C$3:$C$6,4),'2.4 PV (by Borough)'!AA359,IF(Dashboard!$D$6=INDEX('Scenario names'!$C$3:$C$6,1),'2.4 PV (by Borough)'!AA318,IF(Dashboard!$D$6=INDEX('Scenario names'!$C$3:$C$6,2),'2.4 PV (by Borough)'!AA318,IF(Dashboard!$D$6=INDEX('Scenario names'!$C$3:$C$6,3),'2.4 PV (by Borough)'!AA359,"Error")))))</f>
        <v>1527937.2222621872</v>
      </c>
      <c r="AB400" s="36">
        <f>IF(Dashboard!$D$6="Baseline",'2.4 PV (by Borough)'!AB236,IF(Dashboard!$D$6=INDEX('Scenario names'!$C$3:$C$6,4),'2.4 PV (by Borough)'!AB359,IF(Dashboard!$D$6=INDEX('Scenario names'!$C$3:$C$6,1),'2.4 PV (by Borough)'!AB318,IF(Dashboard!$D$6=INDEX('Scenario names'!$C$3:$C$6,2),'2.4 PV (by Borough)'!AB318,IF(Dashboard!$D$6=INDEX('Scenario names'!$C$3:$C$6,3),'2.4 PV (by Borough)'!AB359,"Error")))))</f>
        <v>1666174.526656969</v>
      </c>
      <c r="AC400" s="36">
        <f>IF(Dashboard!$D$6="Baseline",'2.4 PV (by Borough)'!AC236,IF(Dashboard!$D$6=INDEX('Scenario names'!$C$3:$C$6,4),'2.4 PV (by Borough)'!AC359,IF(Dashboard!$D$6=INDEX('Scenario names'!$C$3:$C$6,1),'2.4 PV (by Borough)'!AC318,IF(Dashboard!$D$6=INDEX('Scenario names'!$C$3:$C$6,2),'2.4 PV (by Borough)'!AC318,IF(Dashboard!$D$6=INDEX('Scenario names'!$C$3:$C$6,3),'2.4 PV (by Borough)'!AC359,"Error")))))</f>
        <v>1804411.831051751</v>
      </c>
      <c r="AD400" s="36">
        <f>IF(Dashboard!$D$6="Baseline",'2.4 PV (by Borough)'!AD236,IF(Dashboard!$D$6=INDEX('Scenario names'!$C$3:$C$6,4),'2.4 PV (by Borough)'!AD359,IF(Dashboard!$D$6=INDEX('Scenario names'!$C$3:$C$6,1),'2.4 PV (by Borough)'!AD318,IF(Dashboard!$D$6=INDEX('Scenario names'!$C$3:$C$6,2),'2.4 PV (by Borough)'!AD318,IF(Dashboard!$D$6=INDEX('Scenario names'!$C$3:$C$6,3),'2.4 PV (by Borough)'!AD359,"Error")))))</f>
        <v>1942649.1354465322</v>
      </c>
      <c r="AE400" s="36">
        <f>IF(Dashboard!$D$6="Baseline",'2.4 PV (by Borough)'!AE236,IF(Dashboard!$D$6=INDEX('Scenario names'!$C$3:$C$6,4),'2.4 PV (by Borough)'!AE359,IF(Dashboard!$D$6=INDEX('Scenario names'!$C$3:$C$6,1),'2.4 PV (by Borough)'!AE318,IF(Dashboard!$D$6=INDEX('Scenario names'!$C$3:$C$6,2),'2.4 PV (by Borough)'!AE318,IF(Dashboard!$D$6=INDEX('Scenario names'!$C$3:$C$6,3),'2.4 PV (by Borough)'!AE359,"Error")))))</f>
        <v>2080886.4398413142</v>
      </c>
      <c r="AF400" s="36">
        <f>IF(Dashboard!$D$6="Baseline",'2.4 PV (by Borough)'!AF236,IF(Dashboard!$D$6=INDEX('Scenario names'!$C$3:$C$6,4),'2.4 PV (by Borough)'!AF359,IF(Dashboard!$D$6=INDEX('Scenario names'!$C$3:$C$6,1),'2.4 PV (by Borough)'!AF318,IF(Dashboard!$D$6=INDEX('Scenario names'!$C$3:$C$6,2),'2.4 PV (by Borough)'!AF318,IF(Dashboard!$D$6=INDEX('Scenario names'!$C$3:$C$6,3),'2.4 PV (by Borough)'!AF359,"Error")))))</f>
        <v>2219123.7442360958</v>
      </c>
      <c r="AG400" s="36">
        <f>IF(Dashboard!$D$6="Baseline",'2.4 PV (by Borough)'!AG236,IF(Dashboard!$D$6=INDEX('Scenario names'!$C$3:$C$6,4),'2.4 PV (by Borough)'!AG359,IF(Dashboard!$D$6=INDEX('Scenario names'!$C$3:$C$6,1),'2.4 PV (by Borough)'!AG318,IF(Dashboard!$D$6=INDEX('Scenario names'!$C$3:$C$6,2),'2.4 PV (by Borough)'!AG318,IF(Dashboard!$D$6=INDEX('Scenario names'!$C$3:$C$6,3),'2.4 PV (by Borough)'!AG359,"Error")))))</f>
        <v>2357361.0486308774</v>
      </c>
      <c r="AH400" s="36">
        <f>IF(Dashboard!$D$6="Baseline",'2.4 PV (by Borough)'!AH236,IF(Dashboard!$D$6=INDEX('Scenario names'!$C$3:$C$6,4),'2.4 PV (by Borough)'!AH359,IF(Dashboard!$D$6=INDEX('Scenario names'!$C$3:$C$6,1),'2.4 PV (by Borough)'!AH318,IF(Dashboard!$D$6=INDEX('Scenario names'!$C$3:$C$6,2),'2.4 PV (by Borough)'!AH318,IF(Dashboard!$D$6=INDEX('Scenario names'!$C$3:$C$6,3),'2.4 PV (by Borough)'!AH359,"Error")))))</f>
        <v>2495598.3530256595</v>
      </c>
      <c r="AI400" s="36">
        <f>IF(Dashboard!$D$6="Baseline",'2.4 PV (by Borough)'!AI236,IF(Dashboard!$D$6=INDEX('Scenario names'!$C$3:$C$6,4),'2.4 PV (by Borough)'!AI359,IF(Dashboard!$D$6=INDEX('Scenario names'!$C$3:$C$6,1),'2.4 PV (by Borough)'!AI318,IF(Dashboard!$D$6=INDEX('Scenario names'!$C$3:$C$6,2),'2.4 PV (by Borough)'!AI318,IF(Dashboard!$D$6=INDEX('Scenario names'!$C$3:$C$6,3),'2.4 PV (by Borough)'!AI359,"Error")))))</f>
        <v>2633835.6574204415</v>
      </c>
      <c r="AJ400" s="36">
        <f>IF(Dashboard!$D$6="Baseline",'2.4 PV (by Borough)'!AJ236,IF(Dashboard!$D$6=INDEX('Scenario names'!$C$3:$C$6,4),'2.4 PV (by Borough)'!AJ359,IF(Dashboard!$D$6=INDEX('Scenario names'!$C$3:$C$6,1),'2.4 PV (by Borough)'!AJ318,IF(Dashboard!$D$6=INDEX('Scenario names'!$C$3:$C$6,2),'2.4 PV (by Borough)'!AJ318,IF(Dashboard!$D$6=INDEX('Scenario names'!$C$3:$C$6,3),'2.4 PV (by Borough)'!AJ359,"Error")))))</f>
        <v>2772072.9618152226</v>
      </c>
      <c r="AK400" s="36">
        <f>IF(Dashboard!$D$6="Baseline",'2.4 PV (by Borough)'!AK236,IF(Dashboard!$D$6=INDEX('Scenario names'!$C$3:$C$6,4),'2.4 PV (by Borough)'!AK359,IF(Dashboard!$D$6=INDEX('Scenario names'!$C$3:$C$6,1),'2.4 PV (by Borough)'!AK318,IF(Dashboard!$D$6=INDEX('Scenario names'!$C$3:$C$6,2),'2.4 PV (by Borough)'!AK318,IF(Dashboard!$D$6=INDEX('Scenario names'!$C$3:$C$6,3),'2.4 PV (by Borough)'!AK359,"Error")))))</f>
        <v>2910310.2662100047</v>
      </c>
      <c r="AL400" s="36">
        <f>IF(Dashboard!$D$6="Baseline",'2.4 PV (by Borough)'!AL236,IF(Dashboard!$D$6=INDEX('Scenario names'!$C$3:$C$6,4),'2.4 PV (by Borough)'!AL359,IF(Dashboard!$D$6=INDEX('Scenario names'!$C$3:$C$6,1),'2.4 PV (by Borough)'!AL318,IF(Dashboard!$D$6=INDEX('Scenario names'!$C$3:$C$6,2),'2.4 PV (by Borough)'!AL318,IF(Dashboard!$D$6=INDEX('Scenario names'!$C$3:$C$6,3),'2.4 PV (by Borough)'!AL359,"Error")))))</f>
        <v>3048547.5706047867</v>
      </c>
      <c r="AM400" s="36">
        <f>IF(Dashboard!$D$6="Baseline",'2.4 PV (by Borough)'!AM236,IF(Dashboard!$D$6=INDEX('Scenario names'!$C$3:$C$6,4),'2.4 PV (by Borough)'!AM359,IF(Dashboard!$D$6=INDEX('Scenario names'!$C$3:$C$6,1),'2.4 PV (by Borough)'!AM318,IF(Dashboard!$D$6=INDEX('Scenario names'!$C$3:$C$6,2),'2.4 PV (by Borough)'!AM318,IF(Dashboard!$D$6=INDEX('Scenario names'!$C$3:$C$6,3),'2.4 PV (by Borough)'!AM359,"Error")))))</f>
        <v>3186784.8749995688</v>
      </c>
      <c r="AN400" s="36">
        <f>IF(Dashboard!$D$6="Baseline",'2.4 PV (by Borough)'!AN236,IF(Dashboard!$D$6=INDEX('Scenario names'!$C$3:$C$6,4),'2.4 PV (by Borough)'!AN359,IF(Dashboard!$D$6=INDEX('Scenario names'!$C$3:$C$6,1),'2.4 PV (by Borough)'!AN318,IF(Dashboard!$D$6=INDEX('Scenario names'!$C$3:$C$6,2),'2.4 PV (by Borough)'!AN318,IF(Dashboard!$D$6=INDEX('Scenario names'!$C$3:$C$6,3),'2.4 PV (by Borough)'!AN359,"Error")))))</f>
        <v>3325022.1793943499</v>
      </c>
      <c r="AO400" s="36">
        <f>IF(Dashboard!$D$6="Baseline",'2.4 PV (by Borough)'!AO236,IF(Dashboard!$D$6=INDEX('Scenario names'!$C$3:$C$6,4),'2.4 PV (by Borough)'!AO359,IF(Dashboard!$D$6=INDEX('Scenario names'!$C$3:$C$6,1),'2.4 PV (by Borough)'!AO318,IF(Dashboard!$D$6=INDEX('Scenario names'!$C$3:$C$6,2),'2.4 PV (by Borough)'!AO318,IF(Dashboard!$D$6=INDEX('Scenario names'!$C$3:$C$6,3),'2.4 PV (by Borough)'!AO359,"Error")))))</f>
        <v>3463259.483789132</v>
      </c>
      <c r="AP400" s="36">
        <f>IF(Dashboard!$D$6="Baseline",'2.4 PV (by Borough)'!AP236,IF(Dashboard!$D$6=INDEX('Scenario names'!$C$3:$C$6,4),'2.4 PV (by Borough)'!AP359,IF(Dashboard!$D$6=INDEX('Scenario names'!$C$3:$C$6,1),'2.4 PV (by Borough)'!AP318,IF(Dashboard!$D$6=INDEX('Scenario names'!$C$3:$C$6,2),'2.4 PV (by Borough)'!AP318,IF(Dashboard!$D$6=INDEX('Scenario names'!$C$3:$C$6,3),'2.4 PV (by Borough)'!AP359,"Error")))))</f>
        <v>3601496.7881839131</v>
      </c>
      <c r="AQ400" s="36">
        <f>IF(Dashboard!$D$6="Baseline",'2.4 PV (by Borough)'!AQ236,IF(Dashboard!$D$6=INDEX('Scenario names'!$C$3:$C$6,4),'2.4 PV (by Borough)'!AQ359,IF(Dashboard!$D$6=INDEX('Scenario names'!$C$3:$C$6,1),'2.4 PV (by Borough)'!AQ318,IF(Dashboard!$D$6=INDEX('Scenario names'!$C$3:$C$6,2),'2.4 PV (by Borough)'!AQ318,IF(Dashboard!$D$6=INDEX('Scenario names'!$C$3:$C$6,3),'2.4 PV (by Borough)'!AQ359,"Error")))))</f>
        <v>3739734.0925786956</v>
      </c>
      <c r="AR400" s="36">
        <f>IF(Dashboard!$D$6="Baseline",'2.4 PV (by Borough)'!AR236,IF(Dashboard!$D$6=INDEX('Scenario names'!$C$3:$C$6,4),'2.4 PV (by Borough)'!AR359,IF(Dashboard!$D$6=INDEX('Scenario names'!$C$3:$C$6,1),'2.4 PV (by Borough)'!AR318,IF(Dashboard!$D$6=INDEX('Scenario names'!$C$3:$C$6,2),'2.4 PV (by Borough)'!AR318,IF(Dashboard!$D$6=INDEX('Scenario names'!$C$3:$C$6,3),'2.4 PV (by Borough)'!AR359,"Error")))))</f>
        <v>3877971.3969734777</v>
      </c>
      <c r="AS400" s="36">
        <f>IF(Dashboard!$D$6="Baseline",'2.4 PV (by Borough)'!AS236,IF(Dashboard!$D$6=INDEX('Scenario names'!$C$3:$C$6,4),'2.4 PV (by Borough)'!AS359,IF(Dashboard!$D$6=INDEX('Scenario names'!$C$3:$C$6,1),'2.4 PV (by Borough)'!AS318,IF(Dashboard!$D$6=INDEX('Scenario names'!$C$3:$C$6,2),'2.4 PV (by Borough)'!AS318,IF(Dashboard!$D$6=INDEX('Scenario names'!$C$3:$C$6,3),'2.4 PV (by Borough)'!AS359,"Error")))))</f>
        <v>4016208.7013682593</v>
      </c>
      <c r="AT400" s="36">
        <f>IF(Dashboard!$D$6="Baseline",'2.4 PV (by Borough)'!AT236,IF(Dashboard!$D$6=INDEX('Scenario names'!$C$3:$C$6,4),'2.4 PV (by Borough)'!AT359,IF(Dashboard!$D$6=INDEX('Scenario names'!$C$3:$C$6,1),'2.4 PV (by Borough)'!AT318,IF(Dashboard!$D$6=INDEX('Scenario names'!$C$3:$C$6,2),'2.4 PV (by Borough)'!AT318,IF(Dashboard!$D$6=INDEX('Scenario names'!$C$3:$C$6,3),'2.4 PV (by Borough)'!AT359,"Error")))))</f>
        <v>4154446.0057630418</v>
      </c>
      <c r="AU400" s="36">
        <f>IF(Dashboard!$D$6="Baseline",'2.4 PV (by Borough)'!AU236,IF(Dashboard!$D$6=INDEX('Scenario names'!$C$3:$C$6,4),'2.4 PV (by Borough)'!AU359,IF(Dashboard!$D$6=INDEX('Scenario names'!$C$3:$C$6,1),'2.4 PV (by Borough)'!AU318,IF(Dashboard!$D$6=INDEX('Scenario names'!$C$3:$C$6,2),'2.4 PV (by Borough)'!AU318,IF(Dashboard!$D$6=INDEX('Scenario names'!$C$3:$C$6,3),'2.4 PV (by Borough)'!AU359,"Error")))))</f>
        <v>4292683.3101578234</v>
      </c>
      <c r="AV400" s="36">
        <f>IF(Dashboard!$D$6="Baseline",'2.4 PV (by Borough)'!AV236,IF(Dashboard!$D$6=INDEX('Scenario names'!$C$3:$C$6,4),'2.4 PV (by Borough)'!AV359,IF(Dashboard!$D$6=INDEX('Scenario names'!$C$3:$C$6,1),'2.4 PV (by Borough)'!AV318,IF(Dashboard!$D$6=INDEX('Scenario names'!$C$3:$C$6,2),'2.4 PV (by Borough)'!AV318,IF(Dashboard!$D$6=INDEX('Scenario names'!$C$3:$C$6,3),'2.4 PV (by Borough)'!AV359,"Error")))))</f>
        <v>4430920.614552605</v>
      </c>
      <c r="AW400" s="36">
        <f>IF(Dashboard!$D$6="Baseline",'2.4 PV (by Borough)'!AW236,IF(Dashboard!$D$6=INDEX('Scenario names'!$C$3:$C$6,4),'2.4 PV (by Borough)'!AW359,IF(Dashboard!$D$6=INDEX('Scenario names'!$C$3:$C$6,1),'2.4 PV (by Borough)'!AW318,IF(Dashboard!$D$6=INDEX('Scenario names'!$C$3:$C$6,2),'2.4 PV (by Borough)'!AW318,IF(Dashboard!$D$6=INDEX('Scenario names'!$C$3:$C$6,3),'2.4 PV (by Borough)'!AW359,"Error")))))</f>
        <v>4569157.9189473856</v>
      </c>
      <c r="AX400" s="36">
        <f>IF(Dashboard!$D$6="Baseline",'2.4 PV (by Borough)'!AX236,IF(Dashboard!$D$6=INDEX('Scenario names'!$C$3:$C$6,4),'2.4 PV (by Borough)'!AX359,IF(Dashboard!$D$6=INDEX('Scenario names'!$C$3:$C$6,1),'2.4 PV (by Borough)'!AX318,IF(Dashboard!$D$6=INDEX('Scenario names'!$C$3:$C$6,2),'2.4 PV (by Borough)'!AX318,IF(Dashboard!$D$6=INDEX('Scenario names'!$C$3:$C$6,3),'2.4 PV (by Borough)'!AX359,"Error")))))</f>
        <v>4707395.2233421691</v>
      </c>
      <c r="AY400" s="36"/>
      <c r="AZ400" s="36"/>
      <c r="BA400" s="36"/>
      <c r="BB400" s="36"/>
    </row>
    <row r="401" spans="4:54">
      <c r="D401" t="s">
        <v>660</v>
      </c>
      <c r="E401" t="s">
        <v>650</v>
      </c>
      <c r="G401" s="44"/>
      <c r="I401" s="44"/>
      <c r="K401" s="44"/>
      <c r="M401" s="44"/>
      <c r="O401" s="36">
        <f>IF(Dashboard!$D$6="Baseline",'2.4 PV (by Borough)'!O237,IF(Dashboard!$D$6=INDEX('Scenario names'!$C$3:$C$6,4),'2.4 PV (by Borough)'!O360,IF(Dashboard!$D$6=INDEX('Scenario names'!$C$3:$C$6,1),'2.4 PV (by Borough)'!O319,IF(Dashboard!$D$6=INDEX('Scenario names'!$C$3:$C$6,2),'2.4 PV (by Borough)'!O319,IF(Dashboard!$D$6=INDEX('Scenario names'!$C$3:$C$6,3),'2.4 PV (by Borough)'!O360,"Error")))))</f>
        <v>170201.75951233215</v>
      </c>
      <c r="P401" s="36">
        <f>IF(Dashboard!$D$6="Baseline",'2.4 PV (by Borough)'!P237,IF(Dashboard!$D$6=INDEX('Scenario names'!$C$3:$C$6,4),'2.4 PV (by Borough)'!P360,IF(Dashboard!$D$6=INDEX('Scenario names'!$C$3:$C$6,1),'2.4 PV (by Borough)'!P319,IF(Dashboard!$D$6=INDEX('Scenario names'!$C$3:$C$6,2),'2.4 PV (by Borough)'!P319,IF(Dashboard!$D$6=INDEX('Scenario names'!$C$3:$C$6,3),'2.4 PV (by Borough)'!P360,"Error")))))</f>
        <v>291654.10638240731</v>
      </c>
      <c r="Q401" s="36">
        <f>IF(Dashboard!$D$6="Baseline",'2.4 PV (by Borough)'!Q237,IF(Dashboard!$D$6=INDEX('Scenario names'!$C$3:$C$6,4),'2.4 PV (by Borough)'!Q360,IF(Dashboard!$D$6=INDEX('Scenario names'!$C$3:$C$6,1),'2.4 PV (by Borough)'!Q319,IF(Dashboard!$D$6=INDEX('Scenario names'!$C$3:$C$6,2),'2.4 PV (by Borough)'!Q319,IF(Dashboard!$D$6=INDEX('Scenario names'!$C$3:$C$6,3),'2.4 PV (by Borough)'!Q360,"Error")))))</f>
        <v>413106.45325248246</v>
      </c>
      <c r="R401" s="36">
        <f>IF(Dashboard!$D$6="Baseline",'2.4 PV (by Borough)'!R237,IF(Dashboard!$D$6=INDEX('Scenario names'!$C$3:$C$6,4),'2.4 PV (by Borough)'!R360,IF(Dashboard!$D$6=INDEX('Scenario names'!$C$3:$C$6,1),'2.4 PV (by Borough)'!R319,IF(Dashboard!$D$6=INDEX('Scenario names'!$C$3:$C$6,2),'2.4 PV (by Borough)'!R319,IF(Dashboard!$D$6=INDEX('Scenario names'!$C$3:$C$6,3),'2.4 PV (by Borough)'!R360,"Error")))))</f>
        <v>534558.80012255767</v>
      </c>
      <c r="S401" s="36">
        <f>IF(Dashboard!$D$6="Baseline",'2.4 PV (by Borough)'!S237,IF(Dashboard!$D$6=INDEX('Scenario names'!$C$3:$C$6,4),'2.4 PV (by Borough)'!S360,IF(Dashboard!$D$6=INDEX('Scenario names'!$C$3:$C$6,1),'2.4 PV (by Borough)'!S319,IF(Dashboard!$D$6=INDEX('Scenario names'!$C$3:$C$6,2),'2.4 PV (by Borough)'!S319,IF(Dashboard!$D$6=INDEX('Scenario names'!$C$3:$C$6,3),'2.4 PV (by Borough)'!S360,"Error")))))</f>
        <v>656011.14699263312</v>
      </c>
      <c r="T401" s="36">
        <f>IF(Dashboard!$D$6="Baseline",'2.4 PV (by Borough)'!T237,IF(Dashboard!$D$6=INDEX('Scenario names'!$C$3:$C$6,4),'2.4 PV (by Borough)'!T360,IF(Dashboard!$D$6=INDEX('Scenario names'!$C$3:$C$6,1),'2.4 PV (by Borough)'!T319,IF(Dashboard!$D$6=INDEX('Scenario names'!$C$3:$C$6,2),'2.4 PV (by Borough)'!T319,IF(Dashboard!$D$6=INDEX('Scenario names'!$C$3:$C$6,3),'2.4 PV (by Borough)'!T360,"Error")))))</f>
        <v>777463.49386270798</v>
      </c>
      <c r="U401" s="36">
        <f>IF(Dashboard!$D$6="Baseline",'2.4 PV (by Borough)'!U237,IF(Dashboard!$D$6=INDEX('Scenario names'!$C$3:$C$6,4),'2.4 PV (by Borough)'!U360,IF(Dashboard!$D$6=INDEX('Scenario names'!$C$3:$C$6,1),'2.4 PV (by Borough)'!U319,IF(Dashboard!$D$6=INDEX('Scenario names'!$C$3:$C$6,2),'2.4 PV (by Borough)'!U319,IF(Dashboard!$D$6=INDEX('Scenario names'!$C$3:$C$6,3),'2.4 PV (by Borough)'!U360,"Error")))))</f>
        <v>898915.84073278343</v>
      </c>
      <c r="V401" s="36">
        <f>IF(Dashboard!$D$6="Baseline",'2.4 PV (by Borough)'!V237,IF(Dashboard!$D$6=INDEX('Scenario names'!$C$3:$C$6,4),'2.4 PV (by Borough)'!V360,IF(Dashboard!$D$6=INDEX('Scenario names'!$C$3:$C$6,1),'2.4 PV (by Borough)'!V319,IF(Dashboard!$D$6=INDEX('Scenario names'!$C$3:$C$6,2),'2.4 PV (by Borough)'!V319,IF(Dashboard!$D$6=INDEX('Scenario names'!$C$3:$C$6,3),'2.4 PV (by Borough)'!V360,"Error")))))</f>
        <v>1020368.1876028586</v>
      </c>
      <c r="W401" s="36">
        <f>IF(Dashboard!$D$6="Baseline",'2.4 PV (by Borough)'!W237,IF(Dashboard!$D$6=INDEX('Scenario names'!$C$3:$C$6,4),'2.4 PV (by Borough)'!W360,IF(Dashboard!$D$6=INDEX('Scenario names'!$C$3:$C$6,1),'2.4 PV (by Borough)'!W319,IF(Dashboard!$D$6=INDEX('Scenario names'!$C$3:$C$6,2),'2.4 PV (by Borough)'!W319,IF(Dashboard!$D$6=INDEX('Scenario names'!$C$3:$C$6,3),'2.4 PV (by Borough)'!W360,"Error")))))</f>
        <v>1141820.5344729335</v>
      </c>
      <c r="X401" s="36">
        <f>IF(Dashboard!$D$6="Baseline",'2.4 PV (by Borough)'!X237,IF(Dashboard!$D$6=INDEX('Scenario names'!$C$3:$C$6,4),'2.4 PV (by Borough)'!X360,IF(Dashboard!$D$6=INDEX('Scenario names'!$C$3:$C$6,1),'2.4 PV (by Borough)'!X319,IF(Dashboard!$D$6=INDEX('Scenario names'!$C$3:$C$6,2),'2.4 PV (by Borough)'!X319,IF(Dashboard!$D$6=INDEX('Scenario names'!$C$3:$C$6,3),'2.4 PV (by Borough)'!X360,"Error")))))</f>
        <v>1263272.8813430085</v>
      </c>
      <c r="Y401" s="36">
        <f>IF(Dashboard!$D$6="Baseline",'2.4 PV (by Borough)'!Y237,IF(Dashboard!$D$6=INDEX('Scenario names'!$C$3:$C$6,4),'2.4 PV (by Borough)'!Y360,IF(Dashboard!$D$6=INDEX('Scenario names'!$C$3:$C$6,1),'2.4 PV (by Borough)'!Y319,IF(Dashboard!$D$6=INDEX('Scenario names'!$C$3:$C$6,2),'2.4 PV (by Borough)'!Y319,IF(Dashboard!$D$6=INDEX('Scenario names'!$C$3:$C$6,3),'2.4 PV (by Borough)'!Y360,"Error")))))</f>
        <v>1384725.2282130844</v>
      </c>
      <c r="Z401" s="36">
        <f>IF(Dashboard!$D$6="Baseline",'2.4 PV (by Borough)'!Z237,IF(Dashboard!$D$6=INDEX('Scenario names'!$C$3:$C$6,4),'2.4 PV (by Borough)'!Z360,IF(Dashboard!$D$6=INDEX('Scenario names'!$C$3:$C$6,1),'2.4 PV (by Borough)'!Z319,IF(Dashboard!$D$6=INDEX('Scenario names'!$C$3:$C$6,2),'2.4 PV (by Borough)'!Z319,IF(Dashboard!$D$6=INDEX('Scenario names'!$C$3:$C$6,3),'2.4 PV (by Borough)'!Z360,"Error")))))</f>
        <v>1711747.8794273571</v>
      </c>
      <c r="AA401" s="36">
        <f>IF(Dashboard!$D$6="Baseline",'2.4 PV (by Borough)'!AA237,IF(Dashboard!$D$6=INDEX('Scenario names'!$C$3:$C$6,4),'2.4 PV (by Borough)'!AA360,IF(Dashboard!$D$6=INDEX('Scenario names'!$C$3:$C$6,1),'2.4 PV (by Borough)'!AA319,IF(Dashboard!$D$6=INDEX('Scenario names'!$C$3:$C$6,2),'2.4 PV (by Borough)'!AA319,IF(Dashboard!$D$6=INDEX('Scenario names'!$C$3:$C$6,3),'2.4 PV (by Borough)'!AA360,"Error")))))</f>
        <v>2038770.530641631</v>
      </c>
      <c r="AB401" s="36">
        <f>IF(Dashboard!$D$6="Baseline",'2.4 PV (by Borough)'!AB237,IF(Dashboard!$D$6=INDEX('Scenario names'!$C$3:$C$6,4),'2.4 PV (by Borough)'!AB360,IF(Dashboard!$D$6=INDEX('Scenario names'!$C$3:$C$6,1),'2.4 PV (by Borough)'!AB319,IF(Dashboard!$D$6=INDEX('Scenario names'!$C$3:$C$6,2),'2.4 PV (by Borough)'!AB319,IF(Dashboard!$D$6=INDEX('Scenario names'!$C$3:$C$6,3),'2.4 PV (by Borough)'!AB360,"Error")))))</f>
        <v>2365793.1818559044</v>
      </c>
      <c r="AC401" s="36">
        <f>IF(Dashboard!$D$6="Baseline",'2.4 PV (by Borough)'!AC237,IF(Dashboard!$D$6=INDEX('Scenario names'!$C$3:$C$6,4),'2.4 PV (by Borough)'!AC360,IF(Dashboard!$D$6=INDEX('Scenario names'!$C$3:$C$6,1),'2.4 PV (by Borough)'!AC319,IF(Dashboard!$D$6=INDEX('Scenario names'!$C$3:$C$6,2),'2.4 PV (by Borough)'!AC319,IF(Dashboard!$D$6=INDEX('Scenario names'!$C$3:$C$6,3),'2.4 PV (by Borough)'!AC360,"Error")))))</f>
        <v>2692815.8330701781</v>
      </c>
      <c r="AD401" s="36">
        <f>IF(Dashboard!$D$6="Baseline",'2.4 PV (by Borough)'!AD237,IF(Dashboard!$D$6=INDEX('Scenario names'!$C$3:$C$6,4),'2.4 PV (by Borough)'!AD360,IF(Dashboard!$D$6=INDEX('Scenario names'!$C$3:$C$6,1),'2.4 PV (by Borough)'!AD319,IF(Dashboard!$D$6=INDEX('Scenario names'!$C$3:$C$6,2),'2.4 PV (by Borough)'!AD319,IF(Dashboard!$D$6=INDEX('Scenario names'!$C$3:$C$6,3),'2.4 PV (by Borough)'!AD360,"Error")))))</f>
        <v>3019838.4842844503</v>
      </c>
      <c r="AE401" s="36">
        <f>IF(Dashboard!$D$6="Baseline",'2.4 PV (by Borough)'!AE237,IF(Dashboard!$D$6=INDEX('Scenario names'!$C$3:$C$6,4),'2.4 PV (by Borough)'!AE360,IF(Dashboard!$D$6=INDEX('Scenario names'!$C$3:$C$6,1),'2.4 PV (by Borough)'!AE319,IF(Dashboard!$D$6=INDEX('Scenario names'!$C$3:$C$6,2),'2.4 PV (by Borough)'!AE319,IF(Dashboard!$D$6=INDEX('Scenario names'!$C$3:$C$6,3),'2.4 PV (by Borough)'!AE360,"Error")))))</f>
        <v>3346861.1354987249</v>
      </c>
      <c r="AF401" s="36">
        <f>IF(Dashboard!$D$6="Baseline",'2.4 PV (by Borough)'!AF237,IF(Dashboard!$D$6=INDEX('Scenario names'!$C$3:$C$6,4),'2.4 PV (by Borough)'!AF360,IF(Dashboard!$D$6=INDEX('Scenario names'!$C$3:$C$6,1),'2.4 PV (by Borough)'!AF319,IF(Dashboard!$D$6=INDEX('Scenario names'!$C$3:$C$6,2),'2.4 PV (by Borough)'!AF319,IF(Dashboard!$D$6=INDEX('Scenario names'!$C$3:$C$6,3),'2.4 PV (by Borough)'!AF360,"Error")))))</f>
        <v>3673883.7867129971</v>
      </c>
      <c r="AG401" s="36">
        <f>IF(Dashboard!$D$6="Baseline",'2.4 PV (by Borough)'!AG237,IF(Dashboard!$D$6=INDEX('Scenario names'!$C$3:$C$6,4),'2.4 PV (by Borough)'!AG360,IF(Dashboard!$D$6=INDEX('Scenario names'!$C$3:$C$6,1),'2.4 PV (by Borough)'!AG319,IF(Dashboard!$D$6=INDEX('Scenario names'!$C$3:$C$6,2),'2.4 PV (by Borough)'!AG319,IF(Dashboard!$D$6=INDEX('Scenario names'!$C$3:$C$6,3),'2.4 PV (by Borough)'!AG360,"Error")))))</f>
        <v>4000906.4379272712</v>
      </c>
      <c r="AH401" s="36">
        <f>IF(Dashboard!$D$6="Baseline",'2.4 PV (by Borough)'!AH237,IF(Dashboard!$D$6=INDEX('Scenario names'!$C$3:$C$6,4),'2.4 PV (by Borough)'!AH360,IF(Dashboard!$D$6=INDEX('Scenario names'!$C$3:$C$6,1),'2.4 PV (by Borough)'!AH319,IF(Dashboard!$D$6=INDEX('Scenario names'!$C$3:$C$6,2),'2.4 PV (by Borough)'!AH319,IF(Dashboard!$D$6=INDEX('Scenario names'!$C$3:$C$6,3),'2.4 PV (by Borough)'!AH360,"Error")))))</f>
        <v>4327929.089141543</v>
      </c>
      <c r="AI401" s="36">
        <f>IF(Dashboard!$D$6="Baseline",'2.4 PV (by Borough)'!AI237,IF(Dashboard!$D$6=INDEX('Scenario names'!$C$3:$C$6,4),'2.4 PV (by Borough)'!AI360,IF(Dashboard!$D$6=INDEX('Scenario names'!$C$3:$C$6,1),'2.4 PV (by Borough)'!AI319,IF(Dashboard!$D$6=INDEX('Scenario names'!$C$3:$C$6,2),'2.4 PV (by Borough)'!AI319,IF(Dashboard!$D$6=INDEX('Scenario names'!$C$3:$C$6,3),'2.4 PV (by Borough)'!AI360,"Error")))))</f>
        <v>4654951.7403558185</v>
      </c>
      <c r="AJ401" s="36">
        <f>IF(Dashboard!$D$6="Baseline",'2.4 PV (by Borough)'!AJ237,IF(Dashboard!$D$6=INDEX('Scenario names'!$C$3:$C$6,4),'2.4 PV (by Borough)'!AJ360,IF(Dashboard!$D$6=INDEX('Scenario names'!$C$3:$C$6,1),'2.4 PV (by Borough)'!AJ319,IF(Dashboard!$D$6=INDEX('Scenario names'!$C$3:$C$6,2),'2.4 PV (by Borough)'!AJ319,IF(Dashboard!$D$6=INDEX('Scenario names'!$C$3:$C$6,3),'2.4 PV (by Borough)'!AJ360,"Error")))))</f>
        <v>4981974.3915700903</v>
      </c>
      <c r="AK401" s="36">
        <f>IF(Dashboard!$D$6="Baseline",'2.4 PV (by Borough)'!AK237,IF(Dashboard!$D$6=INDEX('Scenario names'!$C$3:$C$6,4),'2.4 PV (by Borough)'!AK360,IF(Dashboard!$D$6=INDEX('Scenario names'!$C$3:$C$6,1),'2.4 PV (by Borough)'!AK319,IF(Dashboard!$D$6=INDEX('Scenario names'!$C$3:$C$6,2),'2.4 PV (by Borough)'!AK319,IF(Dashboard!$D$6=INDEX('Scenario names'!$C$3:$C$6,3),'2.4 PV (by Borough)'!AK360,"Error")))))</f>
        <v>5308997.042784364</v>
      </c>
      <c r="AL401" s="36">
        <f>IF(Dashboard!$D$6="Baseline",'2.4 PV (by Borough)'!AL237,IF(Dashboard!$D$6=INDEX('Scenario names'!$C$3:$C$6,4),'2.4 PV (by Borough)'!AL360,IF(Dashboard!$D$6=INDEX('Scenario names'!$C$3:$C$6,1),'2.4 PV (by Borough)'!AL319,IF(Dashboard!$D$6=INDEX('Scenario names'!$C$3:$C$6,2),'2.4 PV (by Borough)'!AL319,IF(Dashboard!$D$6=INDEX('Scenario names'!$C$3:$C$6,3),'2.4 PV (by Borough)'!AL360,"Error")))))</f>
        <v>5636019.6939986385</v>
      </c>
      <c r="AM401" s="36">
        <f>IF(Dashboard!$D$6="Baseline",'2.4 PV (by Borough)'!AM237,IF(Dashboard!$D$6=INDEX('Scenario names'!$C$3:$C$6,4),'2.4 PV (by Borough)'!AM360,IF(Dashboard!$D$6=INDEX('Scenario names'!$C$3:$C$6,1),'2.4 PV (by Borough)'!AM319,IF(Dashboard!$D$6=INDEX('Scenario names'!$C$3:$C$6,2),'2.4 PV (by Borough)'!AM319,IF(Dashboard!$D$6=INDEX('Scenario names'!$C$3:$C$6,3),'2.4 PV (by Borough)'!AM360,"Error")))))</f>
        <v>5963042.3452129122</v>
      </c>
      <c r="AN401" s="36">
        <f>IF(Dashboard!$D$6="Baseline",'2.4 PV (by Borough)'!AN237,IF(Dashboard!$D$6=INDEX('Scenario names'!$C$3:$C$6,4),'2.4 PV (by Borough)'!AN360,IF(Dashboard!$D$6=INDEX('Scenario names'!$C$3:$C$6,1),'2.4 PV (by Borough)'!AN319,IF(Dashboard!$D$6=INDEX('Scenario names'!$C$3:$C$6,2),'2.4 PV (by Borough)'!AN319,IF(Dashboard!$D$6=INDEX('Scenario names'!$C$3:$C$6,3),'2.4 PV (by Borough)'!AN360,"Error")))))</f>
        <v>6290064.9964271858</v>
      </c>
      <c r="AO401" s="36">
        <f>IF(Dashboard!$D$6="Baseline",'2.4 PV (by Borough)'!AO237,IF(Dashboard!$D$6=INDEX('Scenario names'!$C$3:$C$6,4),'2.4 PV (by Borough)'!AO360,IF(Dashboard!$D$6=INDEX('Scenario names'!$C$3:$C$6,1),'2.4 PV (by Borough)'!AO319,IF(Dashboard!$D$6=INDEX('Scenario names'!$C$3:$C$6,2),'2.4 PV (by Borough)'!AO319,IF(Dashboard!$D$6=INDEX('Scenario names'!$C$3:$C$6,3),'2.4 PV (by Borough)'!AO360,"Error")))))</f>
        <v>6617087.6476414576</v>
      </c>
      <c r="AP401" s="36">
        <f>IF(Dashboard!$D$6="Baseline",'2.4 PV (by Borough)'!AP237,IF(Dashboard!$D$6=INDEX('Scenario names'!$C$3:$C$6,4),'2.4 PV (by Borough)'!AP360,IF(Dashboard!$D$6=INDEX('Scenario names'!$C$3:$C$6,1),'2.4 PV (by Borough)'!AP319,IF(Dashboard!$D$6=INDEX('Scenario names'!$C$3:$C$6,2),'2.4 PV (by Borough)'!AP319,IF(Dashboard!$D$6=INDEX('Scenario names'!$C$3:$C$6,3),'2.4 PV (by Borough)'!AP360,"Error")))))</f>
        <v>6944110.2988557303</v>
      </c>
      <c r="AQ401" s="36">
        <f>IF(Dashboard!$D$6="Baseline",'2.4 PV (by Borough)'!AQ237,IF(Dashboard!$D$6=INDEX('Scenario names'!$C$3:$C$6,4),'2.4 PV (by Borough)'!AQ360,IF(Dashboard!$D$6=INDEX('Scenario names'!$C$3:$C$6,1),'2.4 PV (by Borough)'!AQ319,IF(Dashboard!$D$6=INDEX('Scenario names'!$C$3:$C$6,2),'2.4 PV (by Borough)'!AQ319,IF(Dashboard!$D$6=INDEX('Scenario names'!$C$3:$C$6,3),'2.4 PV (by Borough)'!AQ360,"Error")))))</f>
        <v>7271132.9500700058</v>
      </c>
      <c r="AR401" s="36">
        <f>IF(Dashboard!$D$6="Baseline",'2.4 PV (by Borough)'!AR237,IF(Dashboard!$D$6=INDEX('Scenario names'!$C$3:$C$6,4),'2.4 PV (by Borough)'!AR360,IF(Dashboard!$D$6=INDEX('Scenario names'!$C$3:$C$6,1),'2.4 PV (by Borough)'!AR319,IF(Dashboard!$D$6=INDEX('Scenario names'!$C$3:$C$6,2),'2.4 PV (by Borough)'!AR319,IF(Dashboard!$D$6=INDEX('Scenario names'!$C$3:$C$6,3),'2.4 PV (by Borough)'!AR360,"Error")))))</f>
        <v>7598155.6012842786</v>
      </c>
      <c r="AS401" s="36">
        <f>IF(Dashboard!$D$6="Baseline",'2.4 PV (by Borough)'!AS237,IF(Dashboard!$D$6=INDEX('Scenario names'!$C$3:$C$6,4),'2.4 PV (by Borough)'!AS360,IF(Dashboard!$D$6=INDEX('Scenario names'!$C$3:$C$6,1),'2.4 PV (by Borough)'!AS319,IF(Dashboard!$D$6=INDEX('Scenario names'!$C$3:$C$6,2),'2.4 PV (by Borough)'!AS319,IF(Dashboard!$D$6=INDEX('Scenario names'!$C$3:$C$6,3),'2.4 PV (by Borough)'!AS360,"Error")))))</f>
        <v>7925178.2524985522</v>
      </c>
      <c r="AT401" s="36">
        <f>IF(Dashboard!$D$6="Baseline",'2.4 PV (by Borough)'!AT237,IF(Dashboard!$D$6=INDEX('Scenario names'!$C$3:$C$6,4),'2.4 PV (by Borough)'!AT360,IF(Dashboard!$D$6=INDEX('Scenario names'!$C$3:$C$6,1),'2.4 PV (by Borough)'!AT319,IF(Dashboard!$D$6=INDEX('Scenario names'!$C$3:$C$6,2),'2.4 PV (by Borough)'!AT319,IF(Dashboard!$D$6=INDEX('Scenario names'!$C$3:$C$6,3),'2.4 PV (by Borough)'!AT360,"Error")))))</f>
        <v>8252200.903712824</v>
      </c>
      <c r="AU401" s="36">
        <f>IF(Dashboard!$D$6="Baseline",'2.4 PV (by Borough)'!AU237,IF(Dashboard!$D$6=INDEX('Scenario names'!$C$3:$C$6,4),'2.4 PV (by Borough)'!AU360,IF(Dashboard!$D$6=INDEX('Scenario names'!$C$3:$C$6,1),'2.4 PV (by Borough)'!AU319,IF(Dashboard!$D$6=INDEX('Scenario names'!$C$3:$C$6,2),'2.4 PV (by Borough)'!AU319,IF(Dashboard!$D$6=INDEX('Scenario names'!$C$3:$C$6,3),'2.4 PV (by Borough)'!AU360,"Error")))))</f>
        <v>8579223.5549271014</v>
      </c>
      <c r="AV401" s="36">
        <f>IF(Dashboard!$D$6="Baseline",'2.4 PV (by Borough)'!AV237,IF(Dashboard!$D$6=INDEX('Scenario names'!$C$3:$C$6,4),'2.4 PV (by Borough)'!AV360,IF(Dashboard!$D$6=INDEX('Scenario names'!$C$3:$C$6,1),'2.4 PV (by Borough)'!AV319,IF(Dashboard!$D$6=INDEX('Scenario names'!$C$3:$C$6,2),'2.4 PV (by Borough)'!AV319,IF(Dashboard!$D$6=INDEX('Scenario names'!$C$3:$C$6,3),'2.4 PV (by Borough)'!AV360,"Error")))))</f>
        <v>8906246.206141375</v>
      </c>
      <c r="AW401" s="36">
        <f>IF(Dashboard!$D$6="Baseline",'2.4 PV (by Borough)'!AW237,IF(Dashboard!$D$6=INDEX('Scenario names'!$C$3:$C$6,4),'2.4 PV (by Borough)'!AW360,IF(Dashboard!$D$6=INDEX('Scenario names'!$C$3:$C$6,1),'2.4 PV (by Borough)'!AW319,IF(Dashboard!$D$6=INDEX('Scenario names'!$C$3:$C$6,2),'2.4 PV (by Borough)'!AW319,IF(Dashboard!$D$6=INDEX('Scenario names'!$C$3:$C$6,3),'2.4 PV (by Borough)'!AW360,"Error")))))</f>
        <v>9233268.8573556468</v>
      </c>
      <c r="AX401" s="36">
        <f>IF(Dashboard!$D$6="Baseline",'2.4 PV (by Borough)'!AX237,IF(Dashboard!$D$6=INDEX('Scenario names'!$C$3:$C$6,4),'2.4 PV (by Borough)'!AX360,IF(Dashboard!$D$6=INDEX('Scenario names'!$C$3:$C$6,1),'2.4 PV (by Borough)'!AX319,IF(Dashboard!$D$6=INDEX('Scenario names'!$C$3:$C$6,2),'2.4 PV (by Borough)'!AX319,IF(Dashboard!$D$6=INDEX('Scenario names'!$C$3:$C$6,3),'2.4 PV (by Borough)'!AX360,"Error")))))</f>
        <v>9560291.5085699167</v>
      </c>
      <c r="AY401" s="36"/>
      <c r="AZ401" s="36"/>
      <c r="BA401" s="36"/>
      <c r="BB401" s="36"/>
    </row>
    <row r="402" spans="4:54">
      <c r="D402" t="s">
        <v>661</v>
      </c>
      <c r="E402" t="s">
        <v>651</v>
      </c>
      <c r="G402" s="44"/>
      <c r="I402" s="44"/>
      <c r="K402" s="44"/>
      <c r="M402" s="44"/>
      <c r="O402" s="36">
        <f>IF(Dashboard!$D$6="Baseline",'2.4 PV (by Borough)'!O238,IF(Dashboard!$D$6=INDEX('Scenario names'!$C$3:$C$6,4),'2.4 PV (by Borough)'!O361,IF(Dashboard!$D$6=INDEX('Scenario names'!$C$3:$C$6,1),'2.4 PV (by Borough)'!O320,IF(Dashboard!$D$6=INDEX('Scenario names'!$C$3:$C$6,2),'2.4 PV (by Borough)'!O320,IF(Dashboard!$D$6=INDEX('Scenario names'!$C$3:$C$6,3),'2.4 PV (by Borough)'!O361,"Error")))))</f>
        <v>265797.97297337773</v>
      </c>
      <c r="P402" s="36">
        <f>IF(Dashboard!$D$6="Baseline",'2.4 PV (by Borough)'!P238,IF(Dashboard!$D$6=INDEX('Scenario names'!$C$3:$C$6,4),'2.4 PV (by Borough)'!P361,IF(Dashboard!$D$6=INDEX('Scenario names'!$C$3:$C$6,1),'2.4 PV (by Borough)'!P320,IF(Dashboard!$D$6=INDEX('Scenario names'!$C$3:$C$6,2),'2.4 PV (by Borough)'!P320,IF(Dashboard!$D$6=INDEX('Scenario names'!$C$3:$C$6,3),'2.4 PV (by Borough)'!P361,"Error")))))</f>
        <v>445195.20055801357</v>
      </c>
      <c r="Q402" s="36">
        <f>IF(Dashboard!$D$6="Baseline",'2.4 PV (by Borough)'!Q238,IF(Dashboard!$D$6=INDEX('Scenario names'!$C$3:$C$6,4),'2.4 PV (by Borough)'!Q361,IF(Dashboard!$D$6=INDEX('Scenario names'!$C$3:$C$6,1),'2.4 PV (by Borough)'!Q320,IF(Dashboard!$D$6=INDEX('Scenario names'!$C$3:$C$6,2),'2.4 PV (by Borough)'!Q320,IF(Dashboard!$D$6=INDEX('Scenario names'!$C$3:$C$6,3),'2.4 PV (by Borough)'!Q361,"Error")))))</f>
        <v>624592.42814264935</v>
      </c>
      <c r="R402" s="36">
        <f>IF(Dashboard!$D$6="Baseline",'2.4 PV (by Borough)'!R238,IF(Dashboard!$D$6=INDEX('Scenario names'!$C$3:$C$6,4),'2.4 PV (by Borough)'!R361,IF(Dashboard!$D$6=INDEX('Scenario names'!$C$3:$C$6,1),'2.4 PV (by Borough)'!R320,IF(Dashboard!$D$6=INDEX('Scenario names'!$C$3:$C$6,2),'2.4 PV (by Borough)'!R320,IF(Dashboard!$D$6=INDEX('Scenario names'!$C$3:$C$6,3),'2.4 PV (by Borough)'!R361,"Error")))))</f>
        <v>803989.65572728543</v>
      </c>
      <c r="S402" s="36">
        <f>IF(Dashboard!$D$6="Baseline",'2.4 PV (by Borough)'!S238,IF(Dashboard!$D$6=INDEX('Scenario names'!$C$3:$C$6,4),'2.4 PV (by Borough)'!S361,IF(Dashboard!$D$6=INDEX('Scenario names'!$C$3:$C$6,1),'2.4 PV (by Borough)'!S320,IF(Dashboard!$D$6=INDEX('Scenario names'!$C$3:$C$6,2),'2.4 PV (by Borough)'!S320,IF(Dashboard!$D$6=INDEX('Scenario names'!$C$3:$C$6,3),'2.4 PV (by Borough)'!S361,"Error")))))</f>
        <v>983386.88331192103</v>
      </c>
      <c r="T402" s="36">
        <f>IF(Dashboard!$D$6="Baseline",'2.4 PV (by Borough)'!T238,IF(Dashboard!$D$6=INDEX('Scenario names'!$C$3:$C$6,4),'2.4 PV (by Borough)'!T361,IF(Dashboard!$D$6=INDEX('Scenario names'!$C$3:$C$6,1),'2.4 PV (by Borough)'!T320,IF(Dashboard!$D$6=INDEX('Scenario names'!$C$3:$C$6,2),'2.4 PV (by Borough)'!T320,IF(Dashboard!$D$6=INDEX('Scenario names'!$C$3:$C$6,3),'2.4 PV (by Borough)'!T361,"Error")))))</f>
        <v>1162784.1108965569</v>
      </c>
      <c r="U402" s="36">
        <f>IF(Dashboard!$D$6="Baseline",'2.4 PV (by Borough)'!U238,IF(Dashboard!$D$6=INDEX('Scenario names'!$C$3:$C$6,4),'2.4 PV (by Borough)'!U361,IF(Dashboard!$D$6=INDEX('Scenario names'!$C$3:$C$6,1),'2.4 PV (by Borough)'!U320,IF(Dashboard!$D$6=INDEX('Scenario names'!$C$3:$C$6,2),'2.4 PV (by Borough)'!U320,IF(Dashboard!$D$6=INDEX('Scenario names'!$C$3:$C$6,3),'2.4 PV (by Borough)'!U361,"Error")))))</f>
        <v>1342181.3384811929</v>
      </c>
      <c r="V402" s="36">
        <f>IF(Dashboard!$D$6="Baseline",'2.4 PV (by Borough)'!V238,IF(Dashboard!$D$6=INDEX('Scenario names'!$C$3:$C$6,4),'2.4 PV (by Borough)'!V361,IF(Dashboard!$D$6=INDEX('Scenario names'!$C$3:$C$6,1),'2.4 PV (by Borough)'!V320,IF(Dashboard!$D$6=INDEX('Scenario names'!$C$3:$C$6,2),'2.4 PV (by Borough)'!V320,IF(Dashboard!$D$6=INDEX('Scenario names'!$C$3:$C$6,3),'2.4 PV (by Borough)'!V361,"Error")))))</f>
        <v>1521578.5660658288</v>
      </c>
      <c r="W402" s="36">
        <f>IF(Dashboard!$D$6="Baseline",'2.4 PV (by Borough)'!W238,IF(Dashboard!$D$6=INDEX('Scenario names'!$C$3:$C$6,4),'2.4 PV (by Borough)'!W361,IF(Dashboard!$D$6=INDEX('Scenario names'!$C$3:$C$6,1),'2.4 PV (by Borough)'!W320,IF(Dashboard!$D$6=INDEX('Scenario names'!$C$3:$C$6,2),'2.4 PV (by Borough)'!W320,IF(Dashboard!$D$6=INDEX('Scenario names'!$C$3:$C$6,3),'2.4 PV (by Borough)'!W361,"Error")))))</f>
        <v>1700975.7936504644</v>
      </c>
      <c r="X402" s="36">
        <f>IF(Dashboard!$D$6="Baseline",'2.4 PV (by Borough)'!X238,IF(Dashboard!$D$6=INDEX('Scenario names'!$C$3:$C$6,4),'2.4 PV (by Borough)'!X361,IF(Dashboard!$D$6=INDEX('Scenario names'!$C$3:$C$6,1),'2.4 PV (by Borough)'!X320,IF(Dashboard!$D$6=INDEX('Scenario names'!$C$3:$C$6,2),'2.4 PV (by Borough)'!X320,IF(Dashboard!$D$6=INDEX('Scenario names'!$C$3:$C$6,3),'2.4 PV (by Borough)'!X361,"Error")))))</f>
        <v>1880373.0212351002</v>
      </c>
      <c r="Y402" s="36">
        <f>IF(Dashboard!$D$6="Baseline",'2.4 PV (by Borough)'!Y238,IF(Dashboard!$D$6=INDEX('Scenario names'!$C$3:$C$6,4),'2.4 PV (by Borough)'!Y361,IF(Dashboard!$D$6=INDEX('Scenario names'!$C$3:$C$6,1),'2.4 PV (by Borough)'!Y320,IF(Dashboard!$D$6=INDEX('Scenario names'!$C$3:$C$6,2),'2.4 PV (by Borough)'!Y320,IF(Dashboard!$D$6=INDEX('Scenario names'!$C$3:$C$6,3),'2.4 PV (by Borough)'!Y361,"Error")))))</f>
        <v>2059770.2488197363</v>
      </c>
      <c r="Z402" s="36">
        <f>IF(Dashboard!$D$6="Baseline",'2.4 PV (by Borough)'!Z238,IF(Dashboard!$D$6=INDEX('Scenario names'!$C$3:$C$6,4),'2.4 PV (by Borough)'!Z361,IF(Dashboard!$D$6=INDEX('Scenario names'!$C$3:$C$6,1),'2.4 PV (by Borough)'!Z320,IF(Dashboard!$D$6=INDEX('Scenario names'!$C$3:$C$6,2),'2.4 PV (by Borough)'!Z320,IF(Dashboard!$D$6=INDEX('Scenario names'!$C$3:$C$6,3),'2.4 PV (by Borough)'!Z361,"Error")))))</f>
        <v>2155513.4894359885</v>
      </c>
      <c r="AA402" s="36">
        <f>IF(Dashboard!$D$6="Baseline",'2.4 PV (by Borough)'!AA238,IF(Dashboard!$D$6=INDEX('Scenario names'!$C$3:$C$6,4),'2.4 PV (by Borough)'!AA361,IF(Dashboard!$D$6=INDEX('Scenario names'!$C$3:$C$6,1),'2.4 PV (by Borough)'!AA320,IF(Dashboard!$D$6=INDEX('Scenario names'!$C$3:$C$6,2),'2.4 PV (by Borough)'!AA320,IF(Dashboard!$D$6=INDEX('Scenario names'!$C$3:$C$6,3),'2.4 PV (by Borough)'!AA361,"Error")))))</f>
        <v>2251256.7300522393</v>
      </c>
      <c r="AB402" s="36">
        <f>IF(Dashboard!$D$6="Baseline",'2.4 PV (by Borough)'!AB238,IF(Dashboard!$D$6=INDEX('Scenario names'!$C$3:$C$6,4),'2.4 PV (by Borough)'!AB361,IF(Dashboard!$D$6=INDEX('Scenario names'!$C$3:$C$6,1),'2.4 PV (by Borough)'!AB320,IF(Dashboard!$D$6=INDEX('Scenario names'!$C$3:$C$6,2),'2.4 PV (by Borough)'!AB320,IF(Dashboard!$D$6=INDEX('Scenario names'!$C$3:$C$6,3),'2.4 PV (by Borough)'!AB361,"Error")))))</f>
        <v>2346999.9706684914</v>
      </c>
      <c r="AC402" s="36">
        <f>IF(Dashboard!$D$6="Baseline",'2.4 PV (by Borough)'!AC238,IF(Dashboard!$D$6=INDEX('Scenario names'!$C$3:$C$6,4),'2.4 PV (by Borough)'!AC361,IF(Dashboard!$D$6=INDEX('Scenario names'!$C$3:$C$6,1),'2.4 PV (by Borough)'!AC320,IF(Dashboard!$D$6=INDEX('Scenario names'!$C$3:$C$6,2),'2.4 PV (by Borough)'!AC320,IF(Dashboard!$D$6=INDEX('Scenario names'!$C$3:$C$6,3),'2.4 PV (by Borough)'!AC361,"Error")))))</f>
        <v>2442743.2112847432</v>
      </c>
      <c r="AD402" s="36">
        <f>IF(Dashboard!$D$6="Baseline",'2.4 PV (by Borough)'!AD238,IF(Dashboard!$D$6=INDEX('Scenario names'!$C$3:$C$6,4),'2.4 PV (by Borough)'!AD361,IF(Dashboard!$D$6=INDEX('Scenario names'!$C$3:$C$6,1),'2.4 PV (by Borough)'!AD320,IF(Dashboard!$D$6=INDEX('Scenario names'!$C$3:$C$6,2),'2.4 PV (by Borough)'!AD320,IF(Dashboard!$D$6=INDEX('Scenario names'!$C$3:$C$6,3),'2.4 PV (by Borough)'!AD361,"Error")))))</f>
        <v>2538486.4519009944</v>
      </c>
      <c r="AE402" s="36">
        <f>IF(Dashboard!$D$6="Baseline",'2.4 PV (by Borough)'!AE238,IF(Dashboard!$D$6=INDEX('Scenario names'!$C$3:$C$6,4),'2.4 PV (by Borough)'!AE361,IF(Dashboard!$D$6=INDEX('Scenario names'!$C$3:$C$6,1),'2.4 PV (by Borough)'!AE320,IF(Dashboard!$D$6=INDEX('Scenario names'!$C$3:$C$6,2),'2.4 PV (by Borough)'!AE320,IF(Dashboard!$D$6=INDEX('Scenario names'!$C$3:$C$6,3),'2.4 PV (by Borough)'!AE361,"Error")))))</f>
        <v>2634229.6925172461</v>
      </c>
      <c r="AF402" s="36">
        <f>IF(Dashboard!$D$6="Baseline",'2.4 PV (by Borough)'!AF238,IF(Dashboard!$D$6=INDEX('Scenario names'!$C$3:$C$6,4),'2.4 PV (by Borough)'!AF361,IF(Dashboard!$D$6=INDEX('Scenario names'!$C$3:$C$6,1),'2.4 PV (by Borough)'!AF320,IF(Dashboard!$D$6=INDEX('Scenario names'!$C$3:$C$6,2),'2.4 PV (by Borough)'!AF320,IF(Dashboard!$D$6=INDEX('Scenario names'!$C$3:$C$6,3),'2.4 PV (by Borough)'!AF361,"Error")))))</f>
        <v>2729972.9331334983</v>
      </c>
      <c r="AG402" s="36">
        <f>IF(Dashboard!$D$6="Baseline",'2.4 PV (by Borough)'!AG238,IF(Dashboard!$D$6=INDEX('Scenario names'!$C$3:$C$6,4),'2.4 PV (by Borough)'!AG361,IF(Dashboard!$D$6=INDEX('Scenario names'!$C$3:$C$6,1),'2.4 PV (by Borough)'!AG320,IF(Dashboard!$D$6=INDEX('Scenario names'!$C$3:$C$6,2),'2.4 PV (by Borough)'!AG320,IF(Dashboard!$D$6=INDEX('Scenario names'!$C$3:$C$6,3),'2.4 PV (by Borough)'!AG361,"Error")))))</f>
        <v>2825716.1737497495</v>
      </c>
      <c r="AH402" s="36">
        <f>IF(Dashboard!$D$6="Baseline",'2.4 PV (by Borough)'!AH238,IF(Dashboard!$D$6=INDEX('Scenario names'!$C$3:$C$6,4),'2.4 PV (by Borough)'!AH361,IF(Dashboard!$D$6=INDEX('Scenario names'!$C$3:$C$6,1),'2.4 PV (by Borough)'!AH320,IF(Dashboard!$D$6=INDEX('Scenario names'!$C$3:$C$6,2),'2.4 PV (by Borough)'!AH320,IF(Dashboard!$D$6=INDEX('Scenario names'!$C$3:$C$6,3),'2.4 PV (by Borough)'!AH361,"Error")))))</f>
        <v>2921459.4143660013</v>
      </c>
      <c r="AI402" s="36">
        <f>IF(Dashboard!$D$6="Baseline",'2.4 PV (by Borough)'!AI238,IF(Dashboard!$D$6=INDEX('Scenario names'!$C$3:$C$6,4),'2.4 PV (by Borough)'!AI361,IF(Dashboard!$D$6=INDEX('Scenario names'!$C$3:$C$6,1),'2.4 PV (by Borough)'!AI320,IF(Dashboard!$D$6=INDEX('Scenario names'!$C$3:$C$6,2),'2.4 PV (by Borough)'!AI320,IF(Dashboard!$D$6=INDEX('Scenario names'!$C$3:$C$6,3),'2.4 PV (by Borough)'!AI361,"Error")))))</f>
        <v>3017202.6549822534</v>
      </c>
      <c r="AJ402" s="36">
        <f>IF(Dashboard!$D$6="Baseline",'2.4 PV (by Borough)'!AJ238,IF(Dashboard!$D$6=INDEX('Scenario names'!$C$3:$C$6,4),'2.4 PV (by Borough)'!AJ361,IF(Dashboard!$D$6=INDEX('Scenario names'!$C$3:$C$6,1),'2.4 PV (by Borough)'!AJ320,IF(Dashboard!$D$6=INDEX('Scenario names'!$C$3:$C$6,2),'2.4 PV (by Borough)'!AJ320,IF(Dashboard!$D$6=INDEX('Scenario names'!$C$3:$C$6,3),'2.4 PV (by Borough)'!AJ361,"Error")))))</f>
        <v>3112945.8955985047</v>
      </c>
      <c r="AK402" s="36">
        <f>IF(Dashboard!$D$6="Baseline",'2.4 PV (by Borough)'!AK238,IF(Dashboard!$D$6=INDEX('Scenario names'!$C$3:$C$6,4),'2.4 PV (by Borough)'!AK361,IF(Dashboard!$D$6=INDEX('Scenario names'!$C$3:$C$6,1),'2.4 PV (by Borough)'!AK320,IF(Dashboard!$D$6=INDEX('Scenario names'!$C$3:$C$6,2),'2.4 PV (by Borough)'!AK320,IF(Dashboard!$D$6=INDEX('Scenario names'!$C$3:$C$6,3),'2.4 PV (by Borough)'!AK361,"Error")))))</f>
        <v>3208689.1362147564</v>
      </c>
      <c r="AL402" s="36">
        <f>IF(Dashboard!$D$6="Baseline",'2.4 PV (by Borough)'!AL238,IF(Dashboard!$D$6=INDEX('Scenario names'!$C$3:$C$6,4),'2.4 PV (by Borough)'!AL361,IF(Dashboard!$D$6=INDEX('Scenario names'!$C$3:$C$6,1),'2.4 PV (by Borough)'!AL320,IF(Dashboard!$D$6=INDEX('Scenario names'!$C$3:$C$6,2),'2.4 PV (by Borough)'!AL320,IF(Dashboard!$D$6=INDEX('Scenario names'!$C$3:$C$6,3),'2.4 PV (by Borough)'!AL361,"Error")))))</f>
        <v>3304432.3768310086</v>
      </c>
      <c r="AM402" s="36">
        <f>IF(Dashboard!$D$6="Baseline",'2.4 PV (by Borough)'!AM238,IF(Dashboard!$D$6=INDEX('Scenario names'!$C$3:$C$6,4),'2.4 PV (by Borough)'!AM361,IF(Dashboard!$D$6=INDEX('Scenario names'!$C$3:$C$6,1),'2.4 PV (by Borough)'!AM320,IF(Dashboard!$D$6=INDEX('Scenario names'!$C$3:$C$6,2),'2.4 PV (by Borough)'!AM320,IF(Dashboard!$D$6=INDEX('Scenario names'!$C$3:$C$6,3),'2.4 PV (by Borough)'!AM361,"Error")))))</f>
        <v>3400175.6174472598</v>
      </c>
      <c r="AN402" s="36">
        <f>IF(Dashboard!$D$6="Baseline",'2.4 PV (by Borough)'!AN238,IF(Dashboard!$D$6=INDEX('Scenario names'!$C$3:$C$6,4),'2.4 PV (by Borough)'!AN361,IF(Dashboard!$D$6=INDEX('Scenario names'!$C$3:$C$6,1),'2.4 PV (by Borough)'!AN320,IF(Dashboard!$D$6=INDEX('Scenario names'!$C$3:$C$6,2),'2.4 PV (by Borough)'!AN320,IF(Dashboard!$D$6=INDEX('Scenario names'!$C$3:$C$6,3),'2.4 PV (by Borough)'!AN361,"Error")))))</f>
        <v>3495918.858063512</v>
      </c>
      <c r="AO402" s="36">
        <f>IF(Dashboard!$D$6="Baseline",'2.4 PV (by Borough)'!AO238,IF(Dashboard!$D$6=INDEX('Scenario names'!$C$3:$C$6,4),'2.4 PV (by Borough)'!AO361,IF(Dashboard!$D$6=INDEX('Scenario names'!$C$3:$C$6,1),'2.4 PV (by Borough)'!AO320,IF(Dashboard!$D$6=INDEX('Scenario names'!$C$3:$C$6,2),'2.4 PV (by Borough)'!AO320,IF(Dashboard!$D$6=INDEX('Scenario names'!$C$3:$C$6,3),'2.4 PV (by Borough)'!AO361,"Error")))))</f>
        <v>3591662.0986797633</v>
      </c>
      <c r="AP402" s="36">
        <f>IF(Dashboard!$D$6="Baseline",'2.4 PV (by Borough)'!AP238,IF(Dashboard!$D$6=INDEX('Scenario names'!$C$3:$C$6,4),'2.4 PV (by Borough)'!AP361,IF(Dashboard!$D$6=INDEX('Scenario names'!$C$3:$C$6,1),'2.4 PV (by Borough)'!AP320,IF(Dashboard!$D$6=INDEX('Scenario names'!$C$3:$C$6,2),'2.4 PV (by Borough)'!AP320,IF(Dashboard!$D$6=INDEX('Scenario names'!$C$3:$C$6,3),'2.4 PV (by Borough)'!AP361,"Error")))))</f>
        <v>3687405.3392960145</v>
      </c>
      <c r="AQ402" s="36">
        <f>IF(Dashboard!$D$6="Baseline",'2.4 PV (by Borough)'!AQ238,IF(Dashboard!$D$6=INDEX('Scenario names'!$C$3:$C$6,4),'2.4 PV (by Borough)'!AQ361,IF(Dashboard!$D$6=INDEX('Scenario names'!$C$3:$C$6,1),'2.4 PV (by Borough)'!AQ320,IF(Dashboard!$D$6=INDEX('Scenario names'!$C$3:$C$6,2),'2.4 PV (by Borough)'!AQ320,IF(Dashboard!$D$6=INDEX('Scenario names'!$C$3:$C$6,3),'2.4 PV (by Borough)'!AQ361,"Error")))))</f>
        <v>3783148.5799122676</v>
      </c>
      <c r="AR402" s="36">
        <f>IF(Dashboard!$D$6="Baseline",'2.4 PV (by Borough)'!AR238,IF(Dashboard!$D$6=INDEX('Scenario names'!$C$3:$C$6,4),'2.4 PV (by Borough)'!AR361,IF(Dashboard!$D$6=INDEX('Scenario names'!$C$3:$C$6,1),'2.4 PV (by Borough)'!AR320,IF(Dashboard!$D$6=INDEX('Scenario names'!$C$3:$C$6,2),'2.4 PV (by Borough)'!AR320,IF(Dashboard!$D$6=INDEX('Scenario names'!$C$3:$C$6,3),'2.4 PV (by Borough)'!AR361,"Error")))))</f>
        <v>3878891.8205285179</v>
      </c>
      <c r="AS402" s="36">
        <f>IF(Dashboard!$D$6="Baseline",'2.4 PV (by Borough)'!AS238,IF(Dashboard!$D$6=INDEX('Scenario names'!$C$3:$C$6,4),'2.4 PV (by Borough)'!AS361,IF(Dashboard!$D$6=INDEX('Scenario names'!$C$3:$C$6,1),'2.4 PV (by Borough)'!AS320,IF(Dashboard!$D$6=INDEX('Scenario names'!$C$3:$C$6,2),'2.4 PV (by Borough)'!AS320,IF(Dashboard!$D$6=INDEX('Scenario names'!$C$3:$C$6,3),'2.4 PV (by Borough)'!AS361,"Error")))))</f>
        <v>3974635.0611447697</v>
      </c>
      <c r="AT402" s="36">
        <f>IF(Dashboard!$D$6="Baseline",'2.4 PV (by Borough)'!AT238,IF(Dashboard!$D$6=INDEX('Scenario names'!$C$3:$C$6,4),'2.4 PV (by Borough)'!AT361,IF(Dashboard!$D$6=INDEX('Scenario names'!$C$3:$C$6,1),'2.4 PV (by Borough)'!AT320,IF(Dashboard!$D$6=INDEX('Scenario names'!$C$3:$C$6,2),'2.4 PV (by Borough)'!AT320,IF(Dashboard!$D$6=INDEX('Scenario names'!$C$3:$C$6,3),'2.4 PV (by Borough)'!AT361,"Error")))))</f>
        <v>4070378.3017610214</v>
      </c>
      <c r="AU402" s="36">
        <f>IF(Dashboard!$D$6="Baseline",'2.4 PV (by Borough)'!AU238,IF(Dashboard!$D$6=INDEX('Scenario names'!$C$3:$C$6,4),'2.4 PV (by Borough)'!AU361,IF(Dashboard!$D$6=INDEX('Scenario names'!$C$3:$C$6,1),'2.4 PV (by Borough)'!AU320,IF(Dashboard!$D$6=INDEX('Scenario names'!$C$3:$C$6,2),'2.4 PV (by Borough)'!AU320,IF(Dashboard!$D$6=INDEX('Scenario names'!$C$3:$C$6,3),'2.4 PV (by Borough)'!AU361,"Error")))))</f>
        <v>4166121.5423772731</v>
      </c>
      <c r="AV402" s="36">
        <f>IF(Dashboard!$D$6="Baseline",'2.4 PV (by Borough)'!AV238,IF(Dashboard!$D$6=INDEX('Scenario names'!$C$3:$C$6,4),'2.4 PV (by Borough)'!AV361,IF(Dashboard!$D$6=INDEX('Scenario names'!$C$3:$C$6,1),'2.4 PV (by Borough)'!AV320,IF(Dashboard!$D$6=INDEX('Scenario names'!$C$3:$C$6,2),'2.4 PV (by Borough)'!AV320,IF(Dashboard!$D$6=INDEX('Scenario names'!$C$3:$C$6,3),'2.4 PV (by Borough)'!AV361,"Error")))))</f>
        <v>4261864.7829935243</v>
      </c>
      <c r="AW402" s="36">
        <f>IF(Dashboard!$D$6="Baseline",'2.4 PV (by Borough)'!AW238,IF(Dashboard!$D$6=INDEX('Scenario names'!$C$3:$C$6,4),'2.4 PV (by Borough)'!AW361,IF(Dashboard!$D$6=INDEX('Scenario names'!$C$3:$C$6,1),'2.4 PV (by Borough)'!AW320,IF(Dashboard!$D$6=INDEX('Scenario names'!$C$3:$C$6,2),'2.4 PV (by Borough)'!AW320,IF(Dashboard!$D$6=INDEX('Scenario names'!$C$3:$C$6,3),'2.4 PV (by Borough)'!AW361,"Error")))))</f>
        <v>4357608.023609777</v>
      </c>
      <c r="AX402" s="36">
        <f>IF(Dashboard!$D$6="Baseline",'2.4 PV (by Borough)'!AX238,IF(Dashboard!$D$6=INDEX('Scenario names'!$C$3:$C$6,4),'2.4 PV (by Borough)'!AX361,IF(Dashboard!$D$6=INDEX('Scenario names'!$C$3:$C$6,1),'2.4 PV (by Borough)'!AX320,IF(Dashboard!$D$6=INDEX('Scenario names'!$C$3:$C$6,2),'2.4 PV (by Borough)'!AX320,IF(Dashboard!$D$6=INDEX('Scenario names'!$C$3:$C$6,3),'2.4 PV (by Borough)'!AX361,"Error")))))</f>
        <v>4453351.2642260287</v>
      </c>
      <c r="AY402" s="36"/>
      <c r="AZ402" s="36"/>
      <c r="BA402" s="36"/>
      <c r="BB402" s="36"/>
    </row>
    <row r="403" spans="4:54">
      <c r="D403" t="s">
        <v>661</v>
      </c>
      <c r="E403" t="s">
        <v>652</v>
      </c>
      <c r="G403" s="44"/>
      <c r="I403" s="44"/>
      <c r="K403" s="44"/>
      <c r="M403" s="44"/>
      <c r="O403" s="36">
        <f>IF(Dashboard!$D$6="Baseline",'2.4 PV (by Borough)'!O239,IF(Dashboard!$D$6=INDEX('Scenario names'!$C$3:$C$6,4),'2.4 PV (by Borough)'!O362,IF(Dashboard!$D$6=INDEX('Scenario names'!$C$3:$C$6,1),'2.4 PV (by Borough)'!O321,IF(Dashboard!$D$6=INDEX('Scenario names'!$C$3:$C$6,2),'2.4 PV (by Borough)'!O321,IF(Dashboard!$D$6=INDEX('Scenario names'!$C$3:$C$6,3),'2.4 PV (by Borough)'!O362,"Error")))))</f>
        <v>364896.09480653016</v>
      </c>
      <c r="P403" s="36">
        <f>IF(Dashboard!$D$6="Baseline",'2.4 PV (by Borough)'!P239,IF(Dashboard!$D$6=INDEX('Scenario names'!$C$3:$C$6,4),'2.4 PV (by Borough)'!P362,IF(Dashboard!$D$6=INDEX('Scenario names'!$C$3:$C$6,1),'2.4 PV (by Borough)'!P321,IF(Dashboard!$D$6=INDEX('Scenario names'!$C$3:$C$6,2),'2.4 PV (by Borough)'!P321,IF(Dashboard!$D$6=INDEX('Scenario names'!$C$3:$C$6,3),'2.4 PV (by Borough)'!P362,"Error")))))</f>
        <v>624078.58563682786</v>
      </c>
      <c r="Q403" s="36">
        <f>IF(Dashboard!$D$6="Baseline",'2.4 PV (by Borough)'!Q239,IF(Dashboard!$D$6=INDEX('Scenario names'!$C$3:$C$6,4),'2.4 PV (by Borough)'!Q362,IF(Dashboard!$D$6=INDEX('Scenario names'!$C$3:$C$6,1),'2.4 PV (by Borough)'!Q321,IF(Dashboard!$D$6=INDEX('Scenario names'!$C$3:$C$6,2),'2.4 PV (by Borough)'!Q321,IF(Dashboard!$D$6=INDEX('Scenario names'!$C$3:$C$6,3),'2.4 PV (by Borough)'!Q362,"Error")))))</f>
        <v>883261.07646712568</v>
      </c>
      <c r="R403" s="36">
        <f>IF(Dashboard!$D$6="Baseline",'2.4 PV (by Borough)'!R239,IF(Dashboard!$D$6=INDEX('Scenario names'!$C$3:$C$6,4),'2.4 PV (by Borough)'!R362,IF(Dashboard!$D$6=INDEX('Scenario names'!$C$3:$C$6,1),'2.4 PV (by Borough)'!R321,IF(Dashboard!$D$6=INDEX('Scenario names'!$C$3:$C$6,2),'2.4 PV (by Borough)'!R321,IF(Dashboard!$D$6=INDEX('Scenario names'!$C$3:$C$6,3),'2.4 PV (by Borough)'!R362,"Error")))))</f>
        <v>1142443.5672974233</v>
      </c>
      <c r="S403" s="36">
        <f>IF(Dashboard!$D$6="Baseline",'2.4 PV (by Borough)'!S239,IF(Dashboard!$D$6=INDEX('Scenario names'!$C$3:$C$6,4),'2.4 PV (by Borough)'!S362,IF(Dashboard!$D$6=INDEX('Scenario names'!$C$3:$C$6,1),'2.4 PV (by Borough)'!S321,IF(Dashboard!$D$6=INDEX('Scenario names'!$C$3:$C$6,2),'2.4 PV (by Borough)'!S321,IF(Dashboard!$D$6=INDEX('Scenario names'!$C$3:$C$6,3),'2.4 PV (by Borough)'!S362,"Error")))))</f>
        <v>1401626.0581277208</v>
      </c>
      <c r="T403" s="36">
        <f>IF(Dashboard!$D$6="Baseline",'2.4 PV (by Borough)'!T239,IF(Dashboard!$D$6=INDEX('Scenario names'!$C$3:$C$6,4),'2.4 PV (by Borough)'!T362,IF(Dashboard!$D$6=INDEX('Scenario names'!$C$3:$C$6,1),'2.4 PV (by Borough)'!T321,IF(Dashboard!$D$6=INDEX('Scenario names'!$C$3:$C$6,2),'2.4 PV (by Borough)'!T321,IF(Dashboard!$D$6=INDEX('Scenario names'!$C$3:$C$6,3),'2.4 PV (by Borough)'!T362,"Error")))))</f>
        <v>1660808.5489580191</v>
      </c>
      <c r="U403" s="36">
        <f>IF(Dashboard!$D$6="Baseline",'2.4 PV (by Borough)'!U239,IF(Dashboard!$D$6=INDEX('Scenario names'!$C$3:$C$6,4),'2.4 PV (by Borough)'!U362,IF(Dashboard!$D$6=INDEX('Scenario names'!$C$3:$C$6,1),'2.4 PV (by Borough)'!U321,IF(Dashboard!$D$6=INDEX('Scenario names'!$C$3:$C$6,2),'2.4 PV (by Borough)'!U321,IF(Dashboard!$D$6=INDEX('Scenario names'!$C$3:$C$6,3),'2.4 PV (by Borough)'!U362,"Error")))))</f>
        <v>1919991.0397883169</v>
      </c>
      <c r="V403" s="36">
        <f>IF(Dashboard!$D$6="Baseline",'2.4 PV (by Borough)'!V239,IF(Dashboard!$D$6=INDEX('Scenario names'!$C$3:$C$6,4),'2.4 PV (by Borough)'!V362,IF(Dashboard!$D$6=INDEX('Scenario names'!$C$3:$C$6,1),'2.4 PV (by Borough)'!V321,IF(Dashboard!$D$6=INDEX('Scenario names'!$C$3:$C$6,2),'2.4 PV (by Borough)'!V321,IF(Dashboard!$D$6=INDEX('Scenario names'!$C$3:$C$6,3),'2.4 PV (by Borough)'!V362,"Error")))))</f>
        <v>2179173.5306186145</v>
      </c>
      <c r="W403" s="36">
        <f>IF(Dashboard!$D$6="Baseline",'2.4 PV (by Borough)'!W239,IF(Dashboard!$D$6=INDEX('Scenario names'!$C$3:$C$6,4),'2.4 PV (by Borough)'!W362,IF(Dashboard!$D$6=INDEX('Scenario names'!$C$3:$C$6,1),'2.4 PV (by Borough)'!W321,IF(Dashboard!$D$6=INDEX('Scenario names'!$C$3:$C$6,2),'2.4 PV (by Borough)'!W321,IF(Dashboard!$D$6=INDEX('Scenario names'!$C$3:$C$6,3),'2.4 PV (by Borough)'!W362,"Error")))))</f>
        <v>2438356.0214489121</v>
      </c>
      <c r="X403" s="36">
        <f>IF(Dashboard!$D$6="Baseline",'2.4 PV (by Borough)'!X239,IF(Dashboard!$D$6=INDEX('Scenario names'!$C$3:$C$6,4),'2.4 PV (by Borough)'!X362,IF(Dashboard!$D$6=INDEX('Scenario names'!$C$3:$C$6,1),'2.4 PV (by Borough)'!X321,IF(Dashboard!$D$6=INDEX('Scenario names'!$C$3:$C$6,2),'2.4 PV (by Borough)'!X321,IF(Dashboard!$D$6=INDEX('Scenario names'!$C$3:$C$6,3),'2.4 PV (by Borough)'!X362,"Error")))))</f>
        <v>2697538.5122792101</v>
      </c>
      <c r="Y403" s="36">
        <f>IF(Dashboard!$D$6="Baseline",'2.4 PV (by Borough)'!Y239,IF(Dashboard!$D$6=INDEX('Scenario names'!$C$3:$C$6,4),'2.4 PV (by Borough)'!Y362,IF(Dashboard!$D$6=INDEX('Scenario names'!$C$3:$C$6,1),'2.4 PV (by Borough)'!Y321,IF(Dashboard!$D$6=INDEX('Scenario names'!$C$3:$C$6,2),'2.4 PV (by Borough)'!Y321,IF(Dashboard!$D$6=INDEX('Scenario names'!$C$3:$C$6,3),'2.4 PV (by Borough)'!Y362,"Error")))))</f>
        <v>2956721.0031095073</v>
      </c>
      <c r="Z403" s="36">
        <f>IF(Dashboard!$D$6="Baseline",'2.4 PV (by Borough)'!Z239,IF(Dashboard!$D$6=INDEX('Scenario names'!$C$3:$C$6,4),'2.4 PV (by Borough)'!Z362,IF(Dashboard!$D$6=INDEX('Scenario names'!$C$3:$C$6,1),'2.4 PV (by Borough)'!Z321,IF(Dashboard!$D$6=INDEX('Scenario names'!$C$3:$C$6,2),'2.4 PV (by Borough)'!Z321,IF(Dashboard!$D$6=INDEX('Scenario names'!$C$3:$C$6,3),'2.4 PV (by Borough)'!Z362,"Error")))))</f>
        <v>3368227.2627641205</v>
      </c>
      <c r="AA403" s="36">
        <f>IF(Dashboard!$D$6="Baseline",'2.4 PV (by Borough)'!AA239,IF(Dashboard!$D$6=INDEX('Scenario names'!$C$3:$C$6,4),'2.4 PV (by Borough)'!AA362,IF(Dashboard!$D$6=INDEX('Scenario names'!$C$3:$C$6,1),'2.4 PV (by Borough)'!AA321,IF(Dashboard!$D$6=INDEX('Scenario names'!$C$3:$C$6,2),'2.4 PV (by Borough)'!AA321,IF(Dashboard!$D$6=INDEX('Scenario names'!$C$3:$C$6,3),'2.4 PV (by Borough)'!AA362,"Error")))))</f>
        <v>3779733.5224187328</v>
      </c>
      <c r="AB403" s="36">
        <f>IF(Dashboard!$D$6="Baseline",'2.4 PV (by Borough)'!AB239,IF(Dashboard!$D$6=INDEX('Scenario names'!$C$3:$C$6,4),'2.4 PV (by Borough)'!AB362,IF(Dashboard!$D$6=INDEX('Scenario names'!$C$3:$C$6,1),'2.4 PV (by Borough)'!AB321,IF(Dashboard!$D$6=INDEX('Scenario names'!$C$3:$C$6,2),'2.4 PV (by Borough)'!AB321,IF(Dashboard!$D$6=INDEX('Scenario names'!$C$3:$C$6,3),'2.4 PV (by Borough)'!AB362,"Error")))))</f>
        <v>4191239.7820733469</v>
      </c>
      <c r="AC403" s="36">
        <f>IF(Dashboard!$D$6="Baseline",'2.4 PV (by Borough)'!AC239,IF(Dashboard!$D$6=INDEX('Scenario names'!$C$3:$C$6,4),'2.4 PV (by Borough)'!AC362,IF(Dashboard!$D$6=INDEX('Scenario names'!$C$3:$C$6,1),'2.4 PV (by Borough)'!AC321,IF(Dashboard!$D$6=INDEX('Scenario names'!$C$3:$C$6,2),'2.4 PV (by Borough)'!AC321,IF(Dashboard!$D$6=INDEX('Scenario names'!$C$3:$C$6,3),'2.4 PV (by Borough)'!AC362,"Error")))))</f>
        <v>4602746.0417279592</v>
      </c>
      <c r="AD403" s="36">
        <f>IF(Dashboard!$D$6="Baseline",'2.4 PV (by Borough)'!AD239,IF(Dashboard!$D$6=INDEX('Scenario names'!$C$3:$C$6,4),'2.4 PV (by Borough)'!AD362,IF(Dashboard!$D$6=INDEX('Scenario names'!$C$3:$C$6,1),'2.4 PV (by Borough)'!AD321,IF(Dashboard!$D$6=INDEX('Scenario names'!$C$3:$C$6,2),'2.4 PV (by Borough)'!AD321,IF(Dashboard!$D$6=INDEX('Scenario names'!$C$3:$C$6,3),'2.4 PV (by Borough)'!AD362,"Error")))))</f>
        <v>5014252.3013825705</v>
      </c>
      <c r="AE403" s="36">
        <f>IF(Dashboard!$D$6="Baseline",'2.4 PV (by Borough)'!AE239,IF(Dashboard!$D$6=INDEX('Scenario names'!$C$3:$C$6,4),'2.4 PV (by Borough)'!AE362,IF(Dashboard!$D$6=INDEX('Scenario names'!$C$3:$C$6,1),'2.4 PV (by Borough)'!AE321,IF(Dashboard!$D$6=INDEX('Scenario names'!$C$3:$C$6,2),'2.4 PV (by Borough)'!AE321,IF(Dashboard!$D$6=INDEX('Scenario names'!$C$3:$C$6,3),'2.4 PV (by Borough)'!AE362,"Error")))))</f>
        <v>5425758.5610371828</v>
      </c>
      <c r="AF403" s="36">
        <f>IF(Dashboard!$D$6="Baseline",'2.4 PV (by Borough)'!AF239,IF(Dashboard!$D$6=INDEX('Scenario names'!$C$3:$C$6,4),'2.4 PV (by Borough)'!AF362,IF(Dashboard!$D$6=INDEX('Scenario names'!$C$3:$C$6,1),'2.4 PV (by Borough)'!AF321,IF(Dashboard!$D$6=INDEX('Scenario names'!$C$3:$C$6,2),'2.4 PV (by Borough)'!AF321,IF(Dashboard!$D$6=INDEX('Scenario names'!$C$3:$C$6,3),'2.4 PV (by Borough)'!AF362,"Error")))))</f>
        <v>5837264.820691796</v>
      </c>
      <c r="AG403" s="36">
        <f>IF(Dashboard!$D$6="Baseline",'2.4 PV (by Borough)'!AG239,IF(Dashboard!$D$6=INDEX('Scenario names'!$C$3:$C$6,4),'2.4 PV (by Borough)'!AG362,IF(Dashboard!$D$6=INDEX('Scenario names'!$C$3:$C$6,1),'2.4 PV (by Borough)'!AG321,IF(Dashboard!$D$6=INDEX('Scenario names'!$C$3:$C$6,2),'2.4 PV (by Borough)'!AG321,IF(Dashboard!$D$6=INDEX('Scenario names'!$C$3:$C$6,3),'2.4 PV (by Borough)'!AG362,"Error")))))</f>
        <v>6248771.0803464102</v>
      </c>
      <c r="AH403" s="36">
        <f>IF(Dashboard!$D$6="Baseline",'2.4 PV (by Borough)'!AH239,IF(Dashboard!$D$6=INDEX('Scenario names'!$C$3:$C$6,4),'2.4 PV (by Borough)'!AH362,IF(Dashboard!$D$6=INDEX('Scenario names'!$C$3:$C$6,1),'2.4 PV (by Borough)'!AH321,IF(Dashboard!$D$6=INDEX('Scenario names'!$C$3:$C$6,2),'2.4 PV (by Borough)'!AH321,IF(Dashboard!$D$6=INDEX('Scenario names'!$C$3:$C$6,3),'2.4 PV (by Borough)'!AH362,"Error")))))</f>
        <v>6660277.3400010215</v>
      </c>
      <c r="AI403" s="36">
        <f>IF(Dashboard!$D$6="Baseline",'2.4 PV (by Borough)'!AI239,IF(Dashboard!$D$6=INDEX('Scenario names'!$C$3:$C$6,4),'2.4 PV (by Borough)'!AI362,IF(Dashboard!$D$6=INDEX('Scenario names'!$C$3:$C$6,1),'2.4 PV (by Borough)'!AI321,IF(Dashboard!$D$6=INDEX('Scenario names'!$C$3:$C$6,2),'2.4 PV (by Borough)'!AI321,IF(Dashboard!$D$6=INDEX('Scenario names'!$C$3:$C$6,3),'2.4 PV (by Borough)'!AI362,"Error")))))</f>
        <v>7071783.5996556319</v>
      </c>
      <c r="AJ403" s="36">
        <f>IF(Dashboard!$D$6="Baseline",'2.4 PV (by Borough)'!AJ239,IF(Dashboard!$D$6=INDEX('Scenario names'!$C$3:$C$6,4),'2.4 PV (by Borough)'!AJ362,IF(Dashboard!$D$6=INDEX('Scenario names'!$C$3:$C$6,1),'2.4 PV (by Borough)'!AJ321,IF(Dashboard!$D$6=INDEX('Scenario names'!$C$3:$C$6,2),'2.4 PV (by Borough)'!AJ321,IF(Dashboard!$D$6=INDEX('Scenario names'!$C$3:$C$6,3),'2.4 PV (by Borough)'!AJ362,"Error")))))</f>
        <v>7483289.8593102451</v>
      </c>
      <c r="AK403" s="36">
        <f>IF(Dashboard!$D$6="Baseline",'2.4 PV (by Borough)'!AK239,IF(Dashboard!$D$6=INDEX('Scenario names'!$C$3:$C$6,4),'2.4 PV (by Borough)'!AK362,IF(Dashboard!$D$6=INDEX('Scenario names'!$C$3:$C$6,1),'2.4 PV (by Borough)'!AK321,IF(Dashboard!$D$6=INDEX('Scenario names'!$C$3:$C$6,2),'2.4 PV (by Borough)'!AK321,IF(Dashboard!$D$6=INDEX('Scenario names'!$C$3:$C$6,3),'2.4 PV (by Borough)'!AK362,"Error")))))</f>
        <v>7894796.1189648611</v>
      </c>
      <c r="AL403" s="36">
        <f>IF(Dashboard!$D$6="Baseline",'2.4 PV (by Borough)'!AL239,IF(Dashboard!$D$6=INDEX('Scenario names'!$C$3:$C$6,4),'2.4 PV (by Borough)'!AL362,IF(Dashboard!$D$6=INDEX('Scenario names'!$C$3:$C$6,1),'2.4 PV (by Borough)'!AL321,IF(Dashboard!$D$6=INDEX('Scenario names'!$C$3:$C$6,2),'2.4 PV (by Borough)'!AL321,IF(Dashboard!$D$6=INDEX('Scenario names'!$C$3:$C$6,3),'2.4 PV (by Borough)'!AL362,"Error")))))</f>
        <v>8306302.3786194716</v>
      </c>
      <c r="AM403" s="36">
        <f>IF(Dashboard!$D$6="Baseline",'2.4 PV (by Borough)'!AM239,IF(Dashboard!$D$6=INDEX('Scenario names'!$C$3:$C$6,4),'2.4 PV (by Borough)'!AM362,IF(Dashboard!$D$6=INDEX('Scenario names'!$C$3:$C$6,1),'2.4 PV (by Borough)'!AM321,IF(Dashboard!$D$6=INDEX('Scenario names'!$C$3:$C$6,2),'2.4 PV (by Borough)'!AM321,IF(Dashboard!$D$6=INDEX('Scenario names'!$C$3:$C$6,3),'2.4 PV (by Borough)'!AM362,"Error")))))</f>
        <v>8717808.6382740829</v>
      </c>
      <c r="AN403" s="36">
        <f>IF(Dashboard!$D$6="Baseline",'2.4 PV (by Borough)'!AN239,IF(Dashboard!$D$6=INDEX('Scenario names'!$C$3:$C$6,4),'2.4 PV (by Borough)'!AN362,IF(Dashboard!$D$6=INDEX('Scenario names'!$C$3:$C$6,1),'2.4 PV (by Borough)'!AN321,IF(Dashboard!$D$6=INDEX('Scenario names'!$C$3:$C$6,2),'2.4 PV (by Borough)'!AN321,IF(Dashboard!$D$6=INDEX('Scenario names'!$C$3:$C$6,3),'2.4 PV (by Borough)'!AN362,"Error")))))</f>
        <v>9129314.8979286961</v>
      </c>
      <c r="AO403" s="36">
        <f>IF(Dashboard!$D$6="Baseline",'2.4 PV (by Borough)'!AO239,IF(Dashboard!$D$6=INDEX('Scenario names'!$C$3:$C$6,4),'2.4 PV (by Borough)'!AO362,IF(Dashboard!$D$6=INDEX('Scenario names'!$C$3:$C$6,1),'2.4 PV (by Borough)'!AO321,IF(Dashboard!$D$6=INDEX('Scenario names'!$C$3:$C$6,2),'2.4 PV (by Borough)'!AO321,IF(Dashboard!$D$6=INDEX('Scenario names'!$C$3:$C$6,3),'2.4 PV (by Borough)'!AO362,"Error")))))</f>
        <v>9540821.1575833093</v>
      </c>
      <c r="AP403" s="36">
        <f>IF(Dashboard!$D$6="Baseline",'2.4 PV (by Borough)'!AP239,IF(Dashboard!$D$6=INDEX('Scenario names'!$C$3:$C$6,4),'2.4 PV (by Borough)'!AP362,IF(Dashboard!$D$6=INDEX('Scenario names'!$C$3:$C$6,1),'2.4 PV (by Borough)'!AP321,IF(Dashboard!$D$6=INDEX('Scenario names'!$C$3:$C$6,2),'2.4 PV (by Borough)'!AP321,IF(Dashboard!$D$6=INDEX('Scenario names'!$C$3:$C$6,3),'2.4 PV (by Borough)'!AP362,"Error")))))</f>
        <v>9952327.4172379225</v>
      </c>
      <c r="AQ403" s="36">
        <f>IF(Dashboard!$D$6="Baseline",'2.4 PV (by Borough)'!AQ239,IF(Dashboard!$D$6=INDEX('Scenario names'!$C$3:$C$6,4),'2.4 PV (by Borough)'!AQ362,IF(Dashboard!$D$6=INDEX('Scenario names'!$C$3:$C$6,1),'2.4 PV (by Borough)'!AQ321,IF(Dashboard!$D$6=INDEX('Scenario names'!$C$3:$C$6,2),'2.4 PV (by Borough)'!AQ321,IF(Dashboard!$D$6=INDEX('Scenario names'!$C$3:$C$6,3),'2.4 PV (by Borough)'!AQ362,"Error")))))</f>
        <v>10363833.676892536</v>
      </c>
      <c r="AR403" s="36">
        <f>IF(Dashboard!$D$6="Baseline",'2.4 PV (by Borough)'!AR239,IF(Dashboard!$D$6=INDEX('Scenario names'!$C$3:$C$6,4),'2.4 PV (by Borough)'!AR362,IF(Dashboard!$D$6=INDEX('Scenario names'!$C$3:$C$6,1),'2.4 PV (by Borough)'!AR321,IF(Dashboard!$D$6=INDEX('Scenario names'!$C$3:$C$6,2),'2.4 PV (by Borough)'!AR321,IF(Dashboard!$D$6=INDEX('Scenario names'!$C$3:$C$6,3),'2.4 PV (by Borough)'!AR362,"Error")))))</f>
        <v>10775339.936547147</v>
      </c>
      <c r="AS403" s="36">
        <f>IF(Dashboard!$D$6="Baseline",'2.4 PV (by Borough)'!AS239,IF(Dashboard!$D$6=INDEX('Scenario names'!$C$3:$C$6,4),'2.4 PV (by Borough)'!AS362,IF(Dashboard!$D$6=INDEX('Scenario names'!$C$3:$C$6,1),'2.4 PV (by Borough)'!AS321,IF(Dashboard!$D$6=INDEX('Scenario names'!$C$3:$C$6,2),'2.4 PV (by Borough)'!AS321,IF(Dashboard!$D$6=INDEX('Scenario names'!$C$3:$C$6,3),'2.4 PV (by Borough)'!AS362,"Error")))))</f>
        <v>11186846.19620176</v>
      </c>
      <c r="AT403" s="36">
        <f>IF(Dashboard!$D$6="Baseline",'2.4 PV (by Borough)'!AT239,IF(Dashboard!$D$6=INDEX('Scenario names'!$C$3:$C$6,4),'2.4 PV (by Borough)'!AT362,IF(Dashboard!$D$6=INDEX('Scenario names'!$C$3:$C$6,1),'2.4 PV (by Borough)'!AT321,IF(Dashboard!$D$6=INDEX('Scenario names'!$C$3:$C$6,2),'2.4 PV (by Borough)'!AT321,IF(Dashboard!$D$6=INDEX('Scenario names'!$C$3:$C$6,3),'2.4 PV (by Borough)'!AT362,"Error")))))</f>
        <v>11598352.45585637</v>
      </c>
      <c r="AU403" s="36">
        <f>IF(Dashboard!$D$6="Baseline",'2.4 PV (by Borough)'!AU239,IF(Dashboard!$D$6=INDEX('Scenario names'!$C$3:$C$6,4),'2.4 PV (by Borough)'!AU362,IF(Dashboard!$D$6=INDEX('Scenario names'!$C$3:$C$6,1),'2.4 PV (by Borough)'!AU321,IF(Dashboard!$D$6=INDEX('Scenario names'!$C$3:$C$6,2),'2.4 PV (by Borough)'!AU321,IF(Dashboard!$D$6=INDEX('Scenario names'!$C$3:$C$6,3),'2.4 PV (by Borough)'!AU362,"Error")))))</f>
        <v>12009858.715510981</v>
      </c>
      <c r="AV403" s="36">
        <f>IF(Dashboard!$D$6="Baseline",'2.4 PV (by Borough)'!AV239,IF(Dashboard!$D$6=INDEX('Scenario names'!$C$3:$C$6,4),'2.4 PV (by Borough)'!AV362,IF(Dashboard!$D$6=INDEX('Scenario names'!$C$3:$C$6,1),'2.4 PV (by Borough)'!AV321,IF(Dashboard!$D$6=INDEX('Scenario names'!$C$3:$C$6,2),'2.4 PV (by Borough)'!AV321,IF(Dashboard!$D$6=INDEX('Scenario names'!$C$3:$C$6,3),'2.4 PV (by Borough)'!AV362,"Error")))))</f>
        <v>12421364.975165594</v>
      </c>
      <c r="AW403" s="36">
        <f>IF(Dashboard!$D$6="Baseline",'2.4 PV (by Borough)'!AW239,IF(Dashboard!$D$6=INDEX('Scenario names'!$C$3:$C$6,4),'2.4 PV (by Borough)'!AW362,IF(Dashboard!$D$6=INDEX('Scenario names'!$C$3:$C$6,1),'2.4 PV (by Borough)'!AW321,IF(Dashboard!$D$6=INDEX('Scenario names'!$C$3:$C$6,2),'2.4 PV (by Borough)'!AW321,IF(Dashboard!$D$6=INDEX('Scenario names'!$C$3:$C$6,3),'2.4 PV (by Borough)'!AW362,"Error")))))</f>
        <v>12832871.234820209</v>
      </c>
      <c r="AX403" s="36">
        <f>IF(Dashboard!$D$6="Baseline",'2.4 PV (by Borough)'!AX239,IF(Dashboard!$D$6=INDEX('Scenario names'!$C$3:$C$6,4),'2.4 PV (by Borough)'!AX362,IF(Dashboard!$D$6=INDEX('Scenario names'!$C$3:$C$6,1),'2.4 PV (by Borough)'!AX321,IF(Dashboard!$D$6=INDEX('Scenario names'!$C$3:$C$6,2),'2.4 PV (by Borough)'!AX321,IF(Dashboard!$D$6=INDEX('Scenario names'!$C$3:$C$6,3),'2.4 PV (by Borough)'!AX362,"Error")))))</f>
        <v>13244377.494474826</v>
      </c>
      <c r="AY403" s="36"/>
      <c r="AZ403" s="36"/>
      <c r="BA403" s="36"/>
      <c r="BB403" s="36"/>
    </row>
    <row r="404" spans="4:54">
      <c r="D404" t="s">
        <v>661</v>
      </c>
      <c r="E404" t="s">
        <v>653</v>
      </c>
      <c r="G404" s="44"/>
      <c r="I404" s="44"/>
      <c r="K404" s="44"/>
      <c r="M404" s="44"/>
      <c r="O404" s="36">
        <f>IF(Dashboard!$D$6="Baseline",'2.4 PV (by Borough)'!O240,IF(Dashboard!$D$6=INDEX('Scenario names'!$C$3:$C$6,4),'2.4 PV (by Borough)'!O363,IF(Dashboard!$D$6=INDEX('Scenario names'!$C$3:$C$6,1),'2.4 PV (by Borough)'!O322,IF(Dashboard!$D$6=INDEX('Scenario names'!$C$3:$C$6,2),'2.4 PV (by Borough)'!O322,IF(Dashboard!$D$6=INDEX('Scenario names'!$C$3:$C$6,3),'2.4 PV (by Borough)'!O363,"Error")))))</f>
        <v>278094.24217762658</v>
      </c>
      <c r="P404" s="36">
        <f>IF(Dashboard!$D$6="Baseline",'2.4 PV (by Borough)'!P240,IF(Dashboard!$D$6=INDEX('Scenario names'!$C$3:$C$6,4),'2.4 PV (by Borough)'!P363,IF(Dashboard!$D$6=INDEX('Scenario names'!$C$3:$C$6,1),'2.4 PV (by Borough)'!P322,IF(Dashboard!$D$6=INDEX('Scenario names'!$C$3:$C$6,2),'2.4 PV (by Borough)'!P322,IF(Dashboard!$D$6=INDEX('Scenario names'!$C$3:$C$6,3),'2.4 PV (by Borough)'!P363,"Error")))))</f>
        <v>465774.79043860233</v>
      </c>
      <c r="Q404" s="36">
        <f>IF(Dashboard!$D$6="Baseline",'2.4 PV (by Borough)'!Q240,IF(Dashboard!$D$6=INDEX('Scenario names'!$C$3:$C$6,4),'2.4 PV (by Borough)'!Q363,IF(Dashboard!$D$6=INDEX('Scenario names'!$C$3:$C$6,1),'2.4 PV (by Borough)'!Q322,IF(Dashboard!$D$6=INDEX('Scenario names'!$C$3:$C$6,2),'2.4 PV (by Borough)'!Q322,IF(Dashboard!$D$6=INDEX('Scenario names'!$C$3:$C$6,3),'2.4 PV (by Borough)'!Q363,"Error")))))</f>
        <v>653455.33869957807</v>
      </c>
      <c r="R404" s="36">
        <f>IF(Dashboard!$D$6="Baseline",'2.4 PV (by Borough)'!R240,IF(Dashboard!$D$6=INDEX('Scenario names'!$C$3:$C$6,4),'2.4 PV (by Borough)'!R363,IF(Dashboard!$D$6=INDEX('Scenario names'!$C$3:$C$6,1),'2.4 PV (by Borough)'!R322,IF(Dashboard!$D$6=INDEX('Scenario names'!$C$3:$C$6,2),'2.4 PV (by Borough)'!R322,IF(Dashboard!$D$6=INDEX('Scenario names'!$C$3:$C$6,3),'2.4 PV (by Borough)'!R363,"Error")))))</f>
        <v>841135.88696055359</v>
      </c>
      <c r="S404" s="36">
        <f>IF(Dashboard!$D$6="Baseline",'2.4 PV (by Borough)'!S240,IF(Dashboard!$D$6=INDEX('Scenario names'!$C$3:$C$6,4),'2.4 PV (by Borough)'!S363,IF(Dashboard!$D$6=INDEX('Scenario names'!$C$3:$C$6,1),'2.4 PV (by Borough)'!S322,IF(Dashboard!$D$6=INDEX('Scenario names'!$C$3:$C$6,2),'2.4 PV (by Borough)'!S322,IF(Dashboard!$D$6=INDEX('Scenario names'!$C$3:$C$6,3),'2.4 PV (by Borough)'!S363,"Error")))))</f>
        <v>1028816.4352215294</v>
      </c>
      <c r="T404" s="36">
        <f>IF(Dashboard!$D$6="Baseline",'2.4 PV (by Borough)'!T240,IF(Dashboard!$D$6=INDEX('Scenario names'!$C$3:$C$6,4),'2.4 PV (by Borough)'!T363,IF(Dashboard!$D$6=INDEX('Scenario names'!$C$3:$C$6,1),'2.4 PV (by Borough)'!T322,IF(Dashboard!$D$6=INDEX('Scenario names'!$C$3:$C$6,2),'2.4 PV (by Borough)'!T322,IF(Dashboard!$D$6=INDEX('Scenario names'!$C$3:$C$6,3),'2.4 PV (by Borough)'!T363,"Error")))))</f>
        <v>1216496.9834825052</v>
      </c>
      <c r="U404" s="36">
        <f>IF(Dashboard!$D$6="Baseline",'2.4 PV (by Borough)'!U240,IF(Dashboard!$D$6=INDEX('Scenario names'!$C$3:$C$6,4),'2.4 PV (by Borough)'!U363,IF(Dashboard!$D$6=INDEX('Scenario names'!$C$3:$C$6,1),'2.4 PV (by Borough)'!U322,IF(Dashboard!$D$6=INDEX('Scenario names'!$C$3:$C$6,2),'2.4 PV (by Borough)'!U322,IF(Dashboard!$D$6=INDEX('Scenario names'!$C$3:$C$6,3),'2.4 PV (by Borough)'!U363,"Error")))))</f>
        <v>1404177.5317434804</v>
      </c>
      <c r="V404" s="36">
        <f>IF(Dashboard!$D$6="Baseline",'2.4 PV (by Borough)'!V240,IF(Dashboard!$D$6=INDEX('Scenario names'!$C$3:$C$6,4),'2.4 PV (by Borough)'!V363,IF(Dashboard!$D$6=INDEX('Scenario names'!$C$3:$C$6,1),'2.4 PV (by Borough)'!V322,IF(Dashboard!$D$6=INDEX('Scenario names'!$C$3:$C$6,2),'2.4 PV (by Borough)'!V322,IF(Dashboard!$D$6=INDEX('Scenario names'!$C$3:$C$6,3),'2.4 PV (by Borough)'!V363,"Error")))))</f>
        <v>1591858.080004456</v>
      </c>
      <c r="W404" s="36">
        <f>IF(Dashboard!$D$6="Baseline",'2.4 PV (by Borough)'!W240,IF(Dashboard!$D$6=INDEX('Scenario names'!$C$3:$C$6,4),'2.4 PV (by Borough)'!W363,IF(Dashboard!$D$6=INDEX('Scenario names'!$C$3:$C$6,1),'2.4 PV (by Borough)'!W322,IF(Dashboard!$D$6=INDEX('Scenario names'!$C$3:$C$6,2),'2.4 PV (by Borough)'!W322,IF(Dashboard!$D$6=INDEX('Scenario names'!$C$3:$C$6,3),'2.4 PV (by Borough)'!W363,"Error")))))</f>
        <v>1779538.6282654318</v>
      </c>
      <c r="X404" s="36">
        <f>IF(Dashboard!$D$6="Baseline",'2.4 PV (by Borough)'!X240,IF(Dashboard!$D$6=INDEX('Scenario names'!$C$3:$C$6,4),'2.4 PV (by Borough)'!X363,IF(Dashboard!$D$6=INDEX('Scenario names'!$C$3:$C$6,1),'2.4 PV (by Borough)'!X322,IF(Dashboard!$D$6=INDEX('Scenario names'!$C$3:$C$6,2),'2.4 PV (by Borough)'!X322,IF(Dashboard!$D$6=INDEX('Scenario names'!$C$3:$C$6,3),'2.4 PV (by Borough)'!X363,"Error")))))</f>
        <v>1967219.1765264072</v>
      </c>
      <c r="Y404" s="36">
        <f>IF(Dashboard!$D$6="Baseline",'2.4 PV (by Borough)'!Y240,IF(Dashboard!$D$6=INDEX('Scenario names'!$C$3:$C$6,4),'2.4 PV (by Borough)'!Y363,IF(Dashboard!$D$6=INDEX('Scenario names'!$C$3:$C$6,1),'2.4 PV (by Borough)'!Y322,IF(Dashboard!$D$6=INDEX('Scenario names'!$C$3:$C$6,2),'2.4 PV (by Borough)'!Y322,IF(Dashboard!$D$6=INDEX('Scenario names'!$C$3:$C$6,3),'2.4 PV (by Borough)'!Y363,"Error")))))</f>
        <v>2154899.7247873829</v>
      </c>
      <c r="Z404" s="36">
        <f>IF(Dashboard!$D$6="Baseline",'2.4 PV (by Borough)'!Z240,IF(Dashboard!$D$6=INDEX('Scenario names'!$C$3:$C$6,4),'2.4 PV (by Borough)'!Z363,IF(Dashboard!$D$6=INDEX('Scenario names'!$C$3:$C$6,1),'2.4 PV (by Borough)'!Z322,IF(Dashboard!$D$6=INDEX('Scenario names'!$C$3:$C$6,2),'2.4 PV (by Borough)'!Z322,IF(Dashboard!$D$6=INDEX('Scenario names'!$C$3:$C$6,3),'2.4 PV (by Borough)'!Z363,"Error")))))</f>
        <v>2361217.8769614161</v>
      </c>
      <c r="AA404" s="36">
        <f>IF(Dashboard!$D$6="Baseline",'2.4 PV (by Borough)'!AA240,IF(Dashboard!$D$6=INDEX('Scenario names'!$C$3:$C$6,4),'2.4 PV (by Borough)'!AA363,IF(Dashboard!$D$6=INDEX('Scenario names'!$C$3:$C$6,1),'2.4 PV (by Borough)'!AA322,IF(Dashboard!$D$6=INDEX('Scenario names'!$C$3:$C$6,2),'2.4 PV (by Borough)'!AA322,IF(Dashboard!$D$6=INDEX('Scenario names'!$C$3:$C$6,3),'2.4 PV (by Borough)'!AA363,"Error")))))</f>
        <v>2567536.0291354484</v>
      </c>
      <c r="AB404" s="36">
        <f>IF(Dashboard!$D$6="Baseline",'2.4 PV (by Borough)'!AB240,IF(Dashboard!$D$6=INDEX('Scenario names'!$C$3:$C$6,4),'2.4 PV (by Borough)'!AB363,IF(Dashboard!$D$6=INDEX('Scenario names'!$C$3:$C$6,1),'2.4 PV (by Borough)'!AB322,IF(Dashboard!$D$6=INDEX('Scenario names'!$C$3:$C$6,2),'2.4 PV (by Borough)'!AB322,IF(Dashboard!$D$6=INDEX('Scenario names'!$C$3:$C$6,3),'2.4 PV (by Borough)'!AB363,"Error")))))</f>
        <v>2773854.1813094798</v>
      </c>
      <c r="AC404" s="36">
        <f>IF(Dashboard!$D$6="Baseline",'2.4 PV (by Borough)'!AC240,IF(Dashboard!$D$6=INDEX('Scenario names'!$C$3:$C$6,4),'2.4 PV (by Borough)'!AC363,IF(Dashboard!$D$6=INDEX('Scenario names'!$C$3:$C$6,1),'2.4 PV (by Borough)'!AC322,IF(Dashboard!$D$6=INDEX('Scenario names'!$C$3:$C$6,2),'2.4 PV (by Borough)'!AC322,IF(Dashboard!$D$6=INDEX('Scenario names'!$C$3:$C$6,3),'2.4 PV (by Borough)'!AC363,"Error")))))</f>
        <v>2980172.3334835125</v>
      </c>
      <c r="AD404" s="36">
        <f>IF(Dashboard!$D$6="Baseline",'2.4 PV (by Borough)'!AD240,IF(Dashboard!$D$6=INDEX('Scenario names'!$C$3:$C$6,4),'2.4 PV (by Borough)'!AD363,IF(Dashboard!$D$6=INDEX('Scenario names'!$C$3:$C$6,1),'2.4 PV (by Borough)'!AD322,IF(Dashboard!$D$6=INDEX('Scenario names'!$C$3:$C$6,2),'2.4 PV (by Borough)'!AD322,IF(Dashboard!$D$6=INDEX('Scenario names'!$C$3:$C$6,3),'2.4 PV (by Borough)'!AD363,"Error")))))</f>
        <v>3186490.4856575448</v>
      </c>
      <c r="AE404" s="36">
        <f>IF(Dashboard!$D$6="Baseline",'2.4 PV (by Borough)'!AE240,IF(Dashboard!$D$6=INDEX('Scenario names'!$C$3:$C$6,4),'2.4 PV (by Borough)'!AE363,IF(Dashboard!$D$6=INDEX('Scenario names'!$C$3:$C$6,1),'2.4 PV (by Borough)'!AE322,IF(Dashboard!$D$6=INDEX('Scenario names'!$C$3:$C$6,2),'2.4 PV (by Borough)'!AE322,IF(Dashboard!$D$6=INDEX('Scenario names'!$C$3:$C$6,3),'2.4 PV (by Borough)'!AE363,"Error")))))</f>
        <v>3392808.6378315776</v>
      </c>
      <c r="AF404" s="36">
        <f>IF(Dashboard!$D$6="Baseline",'2.4 PV (by Borough)'!AF240,IF(Dashboard!$D$6=INDEX('Scenario names'!$C$3:$C$6,4),'2.4 PV (by Borough)'!AF363,IF(Dashboard!$D$6=INDEX('Scenario names'!$C$3:$C$6,1),'2.4 PV (by Borough)'!AF322,IF(Dashboard!$D$6=INDEX('Scenario names'!$C$3:$C$6,2),'2.4 PV (by Borough)'!AF322,IF(Dashboard!$D$6=INDEX('Scenario names'!$C$3:$C$6,3),'2.4 PV (by Borough)'!AF363,"Error")))))</f>
        <v>3599126.7900056089</v>
      </c>
      <c r="AG404" s="36">
        <f>IF(Dashboard!$D$6="Baseline",'2.4 PV (by Borough)'!AG240,IF(Dashboard!$D$6=INDEX('Scenario names'!$C$3:$C$6,4),'2.4 PV (by Borough)'!AG363,IF(Dashboard!$D$6=INDEX('Scenario names'!$C$3:$C$6,1),'2.4 PV (by Borough)'!AG322,IF(Dashboard!$D$6=INDEX('Scenario names'!$C$3:$C$6,2),'2.4 PV (by Borough)'!AG322,IF(Dashboard!$D$6=INDEX('Scenario names'!$C$3:$C$6,3),'2.4 PV (by Borough)'!AG363,"Error")))))</f>
        <v>3805444.9421796435</v>
      </c>
      <c r="AH404" s="36">
        <f>IF(Dashboard!$D$6="Baseline",'2.4 PV (by Borough)'!AH240,IF(Dashboard!$D$6=INDEX('Scenario names'!$C$3:$C$6,4),'2.4 PV (by Borough)'!AH363,IF(Dashboard!$D$6=INDEX('Scenario names'!$C$3:$C$6,1),'2.4 PV (by Borough)'!AH322,IF(Dashboard!$D$6=INDEX('Scenario names'!$C$3:$C$6,2),'2.4 PV (by Borough)'!AH322,IF(Dashboard!$D$6=INDEX('Scenario names'!$C$3:$C$6,3),'2.4 PV (by Borough)'!AH363,"Error")))))</f>
        <v>4011763.0943536749</v>
      </c>
      <c r="AI404" s="36">
        <f>IF(Dashboard!$D$6="Baseline",'2.4 PV (by Borough)'!AI240,IF(Dashboard!$D$6=INDEX('Scenario names'!$C$3:$C$6,4),'2.4 PV (by Borough)'!AI363,IF(Dashboard!$D$6=INDEX('Scenario names'!$C$3:$C$6,1),'2.4 PV (by Borough)'!AI322,IF(Dashboard!$D$6=INDEX('Scenario names'!$C$3:$C$6,2),'2.4 PV (by Borough)'!AI322,IF(Dashboard!$D$6=INDEX('Scenario names'!$C$3:$C$6,3),'2.4 PV (by Borough)'!AI363,"Error")))))</f>
        <v>4218081.2465277063</v>
      </c>
      <c r="AJ404" s="36">
        <f>IF(Dashboard!$D$6="Baseline",'2.4 PV (by Borough)'!AJ240,IF(Dashboard!$D$6=INDEX('Scenario names'!$C$3:$C$6,4),'2.4 PV (by Borough)'!AJ363,IF(Dashboard!$D$6=INDEX('Scenario names'!$C$3:$C$6,1),'2.4 PV (by Borough)'!AJ322,IF(Dashboard!$D$6=INDEX('Scenario names'!$C$3:$C$6,2),'2.4 PV (by Borough)'!AJ322,IF(Dashboard!$D$6=INDEX('Scenario names'!$C$3:$C$6,3),'2.4 PV (by Borough)'!AJ363,"Error")))))</f>
        <v>4424399.3987017386</v>
      </c>
      <c r="AK404" s="36">
        <f>IF(Dashboard!$D$6="Baseline",'2.4 PV (by Borough)'!AK240,IF(Dashboard!$D$6=INDEX('Scenario names'!$C$3:$C$6,4),'2.4 PV (by Borough)'!AK363,IF(Dashboard!$D$6=INDEX('Scenario names'!$C$3:$C$6,1),'2.4 PV (by Borough)'!AK322,IF(Dashboard!$D$6=INDEX('Scenario names'!$C$3:$C$6,2),'2.4 PV (by Borough)'!AK322,IF(Dashboard!$D$6=INDEX('Scenario names'!$C$3:$C$6,3),'2.4 PV (by Borough)'!AK363,"Error")))))</f>
        <v>4630717.5508757727</v>
      </c>
      <c r="AL404" s="36">
        <f>IF(Dashboard!$D$6="Baseline",'2.4 PV (by Borough)'!AL240,IF(Dashboard!$D$6=INDEX('Scenario names'!$C$3:$C$6,4),'2.4 PV (by Borough)'!AL363,IF(Dashboard!$D$6=INDEX('Scenario names'!$C$3:$C$6,1),'2.4 PV (by Borough)'!AL322,IF(Dashboard!$D$6=INDEX('Scenario names'!$C$3:$C$6,2),'2.4 PV (by Borough)'!AL322,IF(Dashboard!$D$6=INDEX('Scenario names'!$C$3:$C$6,3),'2.4 PV (by Borough)'!AL363,"Error")))))</f>
        <v>4837035.7030498032</v>
      </c>
      <c r="AM404" s="36">
        <f>IF(Dashboard!$D$6="Baseline",'2.4 PV (by Borough)'!AM240,IF(Dashboard!$D$6=INDEX('Scenario names'!$C$3:$C$6,4),'2.4 PV (by Borough)'!AM363,IF(Dashboard!$D$6=INDEX('Scenario names'!$C$3:$C$6,1),'2.4 PV (by Borough)'!AM322,IF(Dashboard!$D$6=INDEX('Scenario names'!$C$3:$C$6,2),'2.4 PV (by Borough)'!AM322,IF(Dashboard!$D$6=INDEX('Scenario names'!$C$3:$C$6,3),'2.4 PV (by Borough)'!AM363,"Error")))))</f>
        <v>5043353.8552238373</v>
      </c>
      <c r="AN404" s="36">
        <f>IF(Dashboard!$D$6="Baseline",'2.4 PV (by Borough)'!AN240,IF(Dashboard!$D$6=INDEX('Scenario names'!$C$3:$C$6,4),'2.4 PV (by Borough)'!AN363,IF(Dashboard!$D$6=INDEX('Scenario names'!$C$3:$C$6,1),'2.4 PV (by Borough)'!AN322,IF(Dashboard!$D$6=INDEX('Scenario names'!$C$3:$C$6,2),'2.4 PV (by Borough)'!AN322,IF(Dashboard!$D$6=INDEX('Scenario names'!$C$3:$C$6,3),'2.4 PV (by Borough)'!AN363,"Error")))))</f>
        <v>5249672.0073978687</v>
      </c>
      <c r="AO404" s="36">
        <f>IF(Dashboard!$D$6="Baseline",'2.4 PV (by Borough)'!AO240,IF(Dashboard!$D$6=INDEX('Scenario names'!$C$3:$C$6,4),'2.4 PV (by Borough)'!AO363,IF(Dashboard!$D$6=INDEX('Scenario names'!$C$3:$C$6,1),'2.4 PV (by Borough)'!AO322,IF(Dashboard!$D$6=INDEX('Scenario names'!$C$3:$C$6,2),'2.4 PV (by Borough)'!AO322,IF(Dashboard!$D$6=INDEX('Scenario names'!$C$3:$C$6,3),'2.4 PV (by Borough)'!AO363,"Error")))))</f>
        <v>5455990.159571901</v>
      </c>
      <c r="AP404" s="36">
        <f>IF(Dashboard!$D$6="Baseline",'2.4 PV (by Borough)'!AP240,IF(Dashboard!$D$6=INDEX('Scenario names'!$C$3:$C$6,4),'2.4 PV (by Borough)'!AP363,IF(Dashboard!$D$6=INDEX('Scenario names'!$C$3:$C$6,1),'2.4 PV (by Borough)'!AP322,IF(Dashboard!$D$6=INDEX('Scenario names'!$C$3:$C$6,2),'2.4 PV (by Borough)'!AP322,IF(Dashboard!$D$6=INDEX('Scenario names'!$C$3:$C$6,3),'2.4 PV (by Borough)'!AP363,"Error")))))</f>
        <v>5662308.3117459342</v>
      </c>
      <c r="AQ404" s="36">
        <f>IF(Dashboard!$D$6="Baseline",'2.4 PV (by Borough)'!AQ240,IF(Dashboard!$D$6=INDEX('Scenario names'!$C$3:$C$6,4),'2.4 PV (by Borough)'!AQ363,IF(Dashboard!$D$6=INDEX('Scenario names'!$C$3:$C$6,1),'2.4 PV (by Borough)'!AQ322,IF(Dashboard!$D$6=INDEX('Scenario names'!$C$3:$C$6,2),'2.4 PV (by Borough)'!AQ322,IF(Dashboard!$D$6=INDEX('Scenario names'!$C$3:$C$6,3),'2.4 PV (by Borough)'!AQ363,"Error")))))</f>
        <v>5868626.4639199656</v>
      </c>
      <c r="AR404" s="36">
        <f>IF(Dashboard!$D$6="Baseline",'2.4 PV (by Borough)'!AR240,IF(Dashboard!$D$6=INDEX('Scenario names'!$C$3:$C$6,4),'2.4 PV (by Borough)'!AR363,IF(Dashboard!$D$6=INDEX('Scenario names'!$C$3:$C$6,1),'2.4 PV (by Borough)'!AR322,IF(Dashboard!$D$6=INDEX('Scenario names'!$C$3:$C$6,2),'2.4 PV (by Borough)'!AR322,IF(Dashboard!$D$6=INDEX('Scenario names'!$C$3:$C$6,3),'2.4 PV (by Borough)'!AR363,"Error")))))</f>
        <v>6074944.6160939969</v>
      </c>
      <c r="AS404" s="36">
        <f>IF(Dashboard!$D$6="Baseline",'2.4 PV (by Borough)'!AS240,IF(Dashboard!$D$6=INDEX('Scenario names'!$C$3:$C$6,4),'2.4 PV (by Borough)'!AS363,IF(Dashboard!$D$6=INDEX('Scenario names'!$C$3:$C$6,1),'2.4 PV (by Borough)'!AS322,IF(Dashboard!$D$6=INDEX('Scenario names'!$C$3:$C$6,2),'2.4 PV (by Borough)'!AS322,IF(Dashboard!$D$6=INDEX('Scenario names'!$C$3:$C$6,3),'2.4 PV (by Borough)'!AS363,"Error")))))</f>
        <v>6281262.7682680283</v>
      </c>
      <c r="AT404" s="36">
        <f>IF(Dashboard!$D$6="Baseline",'2.4 PV (by Borough)'!AT240,IF(Dashboard!$D$6=INDEX('Scenario names'!$C$3:$C$6,4),'2.4 PV (by Borough)'!AT363,IF(Dashboard!$D$6=INDEX('Scenario names'!$C$3:$C$6,1),'2.4 PV (by Borough)'!AT322,IF(Dashboard!$D$6=INDEX('Scenario names'!$C$3:$C$6,2),'2.4 PV (by Borough)'!AT322,IF(Dashboard!$D$6=INDEX('Scenario names'!$C$3:$C$6,3),'2.4 PV (by Borough)'!AT363,"Error")))))</f>
        <v>6487580.9204420615</v>
      </c>
      <c r="AU404" s="36">
        <f>IF(Dashboard!$D$6="Baseline",'2.4 PV (by Borough)'!AU240,IF(Dashboard!$D$6=INDEX('Scenario names'!$C$3:$C$6,4),'2.4 PV (by Borough)'!AU363,IF(Dashboard!$D$6=INDEX('Scenario names'!$C$3:$C$6,1),'2.4 PV (by Borough)'!AU322,IF(Dashboard!$D$6=INDEX('Scenario names'!$C$3:$C$6,2),'2.4 PV (by Borough)'!AU322,IF(Dashboard!$D$6=INDEX('Scenario names'!$C$3:$C$6,3),'2.4 PV (by Borough)'!AU363,"Error")))))</f>
        <v>6693899.0726160938</v>
      </c>
      <c r="AV404" s="36">
        <f>IF(Dashboard!$D$6="Baseline",'2.4 PV (by Borough)'!AV240,IF(Dashboard!$D$6=INDEX('Scenario names'!$C$3:$C$6,4),'2.4 PV (by Borough)'!AV363,IF(Dashboard!$D$6=INDEX('Scenario names'!$C$3:$C$6,1),'2.4 PV (by Borough)'!AV322,IF(Dashboard!$D$6=INDEX('Scenario names'!$C$3:$C$6,2),'2.4 PV (by Borough)'!AV322,IF(Dashboard!$D$6=INDEX('Scenario names'!$C$3:$C$6,3),'2.4 PV (by Borough)'!AV363,"Error")))))</f>
        <v>6900217.2247901261</v>
      </c>
      <c r="AW404" s="36">
        <f>IF(Dashboard!$D$6="Baseline",'2.4 PV (by Borough)'!AW240,IF(Dashboard!$D$6=INDEX('Scenario names'!$C$3:$C$6,4),'2.4 PV (by Borough)'!AW363,IF(Dashboard!$D$6=INDEX('Scenario names'!$C$3:$C$6,1),'2.4 PV (by Borough)'!AW322,IF(Dashboard!$D$6=INDEX('Scenario names'!$C$3:$C$6,2),'2.4 PV (by Borough)'!AW322,IF(Dashboard!$D$6=INDEX('Scenario names'!$C$3:$C$6,3),'2.4 PV (by Borough)'!AW363,"Error")))))</f>
        <v>7106535.3769641565</v>
      </c>
      <c r="AX404" s="36">
        <f>IF(Dashboard!$D$6="Baseline",'2.4 PV (by Borough)'!AX240,IF(Dashboard!$D$6=INDEX('Scenario names'!$C$3:$C$6,4),'2.4 PV (by Borough)'!AX363,IF(Dashboard!$D$6=INDEX('Scenario names'!$C$3:$C$6,1),'2.4 PV (by Borough)'!AX322,IF(Dashboard!$D$6=INDEX('Scenario names'!$C$3:$C$6,2),'2.4 PV (by Borough)'!AX322,IF(Dashboard!$D$6=INDEX('Scenario names'!$C$3:$C$6,3),'2.4 PV (by Borough)'!AX363,"Error")))))</f>
        <v>7312853.5291381916</v>
      </c>
      <c r="AY404" s="36"/>
      <c r="AZ404" s="36"/>
      <c r="BA404" s="36"/>
      <c r="BB404" s="36"/>
    </row>
    <row r="405" spans="4:54">
      <c r="D405" t="s">
        <v>661</v>
      </c>
      <c r="E405" t="s">
        <v>654</v>
      </c>
      <c r="G405" s="44"/>
      <c r="I405" s="44"/>
      <c r="K405" s="44"/>
      <c r="M405" s="44"/>
      <c r="O405" s="36">
        <f>IF(Dashboard!$D$6="Baseline",'2.4 PV (by Borough)'!O241,IF(Dashboard!$D$6=INDEX('Scenario names'!$C$3:$C$6,4),'2.4 PV (by Borough)'!O364,IF(Dashboard!$D$6=INDEX('Scenario names'!$C$3:$C$6,1),'2.4 PV (by Borough)'!O323,IF(Dashboard!$D$6=INDEX('Scenario names'!$C$3:$C$6,2),'2.4 PV (by Borough)'!O323,IF(Dashboard!$D$6=INDEX('Scenario names'!$C$3:$C$6,3),'2.4 PV (by Borough)'!O364,"Error")))))</f>
        <v>165363.10303878761</v>
      </c>
      <c r="P405" s="36">
        <f>IF(Dashboard!$D$6="Baseline",'2.4 PV (by Borough)'!P241,IF(Dashboard!$D$6=INDEX('Scenario names'!$C$3:$C$6,4),'2.4 PV (by Borough)'!P364,IF(Dashboard!$D$6=INDEX('Scenario names'!$C$3:$C$6,1),'2.4 PV (by Borough)'!P323,IF(Dashboard!$D$6=INDEX('Scenario names'!$C$3:$C$6,2),'2.4 PV (by Borough)'!P323,IF(Dashboard!$D$6=INDEX('Scenario names'!$C$3:$C$6,3),'2.4 PV (by Borough)'!P364,"Error")))))</f>
        <v>277043.59346569655</v>
      </c>
      <c r="Q405" s="36">
        <f>IF(Dashboard!$D$6="Baseline",'2.4 PV (by Borough)'!Q241,IF(Dashboard!$D$6=INDEX('Scenario names'!$C$3:$C$6,4),'2.4 PV (by Borough)'!Q364,IF(Dashboard!$D$6=INDEX('Scenario names'!$C$3:$C$6,1),'2.4 PV (by Borough)'!Q323,IF(Dashboard!$D$6=INDEX('Scenario names'!$C$3:$C$6,2),'2.4 PV (by Borough)'!Q323,IF(Dashboard!$D$6=INDEX('Scenario names'!$C$3:$C$6,3),'2.4 PV (by Borough)'!Q364,"Error")))))</f>
        <v>388724.0838926055</v>
      </c>
      <c r="R405" s="36">
        <f>IF(Dashboard!$D$6="Baseline",'2.4 PV (by Borough)'!R241,IF(Dashboard!$D$6=INDEX('Scenario names'!$C$3:$C$6,4),'2.4 PV (by Borough)'!R364,IF(Dashboard!$D$6=INDEX('Scenario names'!$C$3:$C$6,1),'2.4 PV (by Borough)'!R323,IF(Dashboard!$D$6=INDEX('Scenario names'!$C$3:$C$6,2),'2.4 PV (by Borough)'!R323,IF(Dashboard!$D$6=INDEX('Scenario names'!$C$3:$C$6,3),'2.4 PV (by Borough)'!R364,"Error")))))</f>
        <v>500404.57431951445</v>
      </c>
      <c r="S405" s="36">
        <f>IF(Dashboard!$D$6="Baseline",'2.4 PV (by Borough)'!S241,IF(Dashboard!$D$6=INDEX('Scenario names'!$C$3:$C$6,4),'2.4 PV (by Borough)'!S364,IF(Dashboard!$D$6=INDEX('Scenario names'!$C$3:$C$6,1),'2.4 PV (by Borough)'!S323,IF(Dashboard!$D$6=INDEX('Scenario names'!$C$3:$C$6,2),'2.4 PV (by Borough)'!S323,IF(Dashboard!$D$6=INDEX('Scenario names'!$C$3:$C$6,3),'2.4 PV (by Borough)'!S364,"Error")))))</f>
        <v>612085.06474642328</v>
      </c>
      <c r="T405" s="36">
        <f>IF(Dashboard!$D$6="Baseline",'2.4 PV (by Borough)'!T241,IF(Dashboard!$D$6=INDEX('Scenario names'!$C$3:$C$6,4),'2.4 PV (by Borough)'!T364,IF(Dashboard!$D$6=INDEX('Scenario names'!$C$3:$C$6,1),'2.4 PV (by Borough)'!T323,IF(Dashboard!$D$6=INDEX('Scenario names'!$C$3:$C$6,2),'2.4 PV (by Borough)'!T323,IF(Dashboard!$D$6=INDEX('Scenario names'!$C$3:$C$6,3),'2.4 PV (by Borough)'!T364,"Error")))))</f>
        <v>723765.55517333222</v>
      </c>
      <c r="U405" s="36">
        <f>IF(Dashboard!$D$6="Baseline",'2.4 PV (by Borough)'!U241,IF(Dashboard!$D$6=INDEX('Scenario names'!$C$3:$C$6,4),'2.4 PV (by Borough)'!U364,IF(Dashboard!$D$6=INDEX('Scenario names'!$C$3:$C$6,1),'2.4 PV (by Borough)'!U323,IF(Dashboard!$D$6=INDEX('Scenario names'!$C$3:$C$6,2),'2.4 PV (by Borough)'!U323,IF(Dashboard!$D$6=INDEX('Scenario names'!$C$3:$C$6,3),'2.4 PV (by Borough)'!U364,"Error")))))</f>
        <v>835446.04560024117</v>
      </c>
      <c r="V405" s="36">
        <f>IF(Dashboard!$D$6="Baseline",'2.4 PV (by Borough)'!V241,IF(Dashboard!$D$6=INDEX('Scenario names'!$C$3:$C$6,4),'2.4 PV (by Borough)'!V364,IF(Dashboard!$D$6=INDEX('Scenario names'!$C$3:$C$6,1),'2.4 PV (by Borough)'!V323,IF(Dashboard!$D$6=INDEX('Scenario names'!$C$3:$C$6,2),'2.4 PV (by Borough)'!V323,IF(Dashboard!$D$6=INDEX('Scenario names'!$C$3:$C$6,3),'2.4 PV (by Borough)'!V364,"Error")))))</f>
        <v>947126.53602715011</v>
      </c>
      <c r="W405" s="36">
        <f>IF(Dashboard!$D$6="Baseline",'2.4 PV (by Borough)'!W241,IF(Dashboard!$D$6=INDEX('Scenario names'!$C$3:$C$6,4),'2.4 PV (by Borough)'!W364,IF(Dashboard!$D$6=INDEX('Scenario names'!$C$3:$C$6,1),'2.4 PV (by Borough)'!W323,IF(Dashboard!$D$6=INDEX('Scenario names'!$C$3:$C$6,2),'2.4 PV (by Borough)'!W323,IF(Dashboard!$D$6=INDEX('Scenario names'!$C$3:$C$6,3),'2.4 PV (by Borough)'!W364,"Error")))))</f>
        <v>1058807.0264540589</v>
      </c>
      <c r="X405" s="36">
        <f>IF(Dashboard!$D$6="Baseline",'2.4 PV (by Borough)'!X241,IF(Dashboard!$D$6=INDEX('Scenario names'!$C$3:$C$6,4),'2.4 PV (by Borough)'!X364,IF(Dashboard!$D$6=INDEX('Scenario names'!$C$3:$C$6,1),'2.4 PV (by Borough)'!X323,IF(Dashboard!$D$6=INDEX('Scenario names'!$C$3:$C$6,2),'2.4 PV (by Borough)'!X323,IF(Dashboard!$D$6=INDEX('Scenario names'!$C$3:$C$6,3),'2.4 PV (by Borough)'!X364,"Error")))))</f>
        <v>1170487.5168809679</v>
      </c>
      <c r="Y405" s="36">
        <f>IF(Dashboard!$D$6="Baseline",'2.4 PV (by Borough)'!Y241,IF(Dashboard!$D$6=INDEX('Scenario names'!$C$3:$C$6,4),'2.4 PV (by Borough)'!Y364,IF(Dashboard!$D$6=INDEX('Scenario names'!$C$3:$C$6,1),'2.4 PV (by Borough)'!Y323,IF(Dashboard!$D$6=INDEX('Scenario names'!$C$3:$C$6,2),'2.4 PV (by Borough)'!Y323,IF(Dashboard!$D$6=INDEX('Scenario names'!$C$3:$C$6,3),'2.4 PV (by Borough)'!Y364,"Error")))))</f>
        <v>1282168.0073078766</v>
      </c>
      <c r="Z405" s="36">
        <f>IF(Dashboard!$D$6="Baseline",'2.4 PV (by Borough)'!Z241,IF(Dashboard!$D$6=INDEX('Scenario names'!$C$3:$C$6,4),'2.4 PV (by Borough)'!Z364,IF(Dashboard!$D$6=INDEX('Scenario names'!$C$3:$C$6,1),'2.4 PV (by Borough)'!Z323,IF(Dashboard!$D$6=INDEX('Scenario names'!$C$3:$C$6,2),'2.4 PV (by Borough)'!Z323,IF(Dashboard!$D$6=INDEX('Scenario names'!$C$3:$C$6,3),'2.4 PV (by Borough)'!Z364,"Error")))))</f>
        <v>1402283.3780859944</v>
      </c>
      <c r="AA405" s="36">
        <f>IF(Dashboard!$D$6="Baseline",'2.4 PV (by Borough)'!AA241,IF(Dashboard!$D$6=INDEX('Scenario names'!$C$3:$C$6,4),'2.4 PV (by Borough)'!AA364,IF(Dashboard!$D$6=INDEX('Scenario names'!$C$3:$C$6,1),'2.4 PV (by Borough)'!AA323,IF(Dashboard!$D$6=INDEX('Scenario names'!$C$3:$C$6,2),'2.4 PV (by Borough)'!AA323,IF(Dashboard!$D$6=INDEX('Scenario names'!$C$3:$C$6,3),'2.4 PV (by Borough)'!AA364,"Error")))))</f>
        <v>1522398.7488641127</v>
      </c>
      <c r="AB405" s="36">
        <f>IF(Dashboard!$D$6="Baseline",'2.4 PV (by Borough)'!AB241,IF(Dashboard!$D$6=INDEX('Scenario names'!$C$3:$C$6,4),'2.4 PV (by Borough)'!AB364,IF(Dashboard!$D$6=INDEX('Scenario names'!$C$3:$C$6,1),'2.4 PV (by Borough)'!AB323,IF(Dashboard!$D$6=INDEX('Scenario names'!$C$3:$C$6,2),'2.4 PV (by Borough)'!AB323,IF(Dashboard!$D$6=INDEX('Scenario names'!$C$3:$C$6,3),'2.4 PV (by Borough)'!AB364,"Error")))))</f>
        <v>1642514.1196422304</v>
      </c>
      <c r="AC405" s="36">
        <f>IF(Dashboard!$D$6="Baseline",'2.4 PV (by Borough)'!AC241,IF(Dashboard!$D$6=INDEX('Scenario names'!$C$3:$C$6,4),'2.4 PV (by Borough)'!AC364,IF(Dashboard!$D$6=INDEX('Scenario names'!$C$3:$C$6,1),'2.4 PV (by Borough)'!AC323,IF(Dashboard!$D$6=INDEX('Scenario names'!$C$3:$C$6,2),'2.4 PV (by Borough)'!AC323,IF(Dashboard!$D$6=INDEX('Scenario names'!$C$3:$C$6,3),'2.4 PV (by Borough)'!AC364,"Error")))))</f>
        <v>1762629.4904203482</v>
      </c>
      <c r="AD405" s="36">
        <f>IF(Dashboard!$D$6="Baseline",'2.4 PV (by Borough)'!AD241,IF(Dashboard!$D$6=INDEX('Scenario names'!$C$3:$C$6,4),'2.4 PV (by Borough)'!AD364,IF(Dashboard!$D$6=INDEX('Scenario names'!$C$3:$C$6,1),'2.4 PV (by Borough)'!AD323,IF(Dashboard!$D$6=INDEX('Scenario names'!$C$3:$C$6,2),'2.4 PV (by Borough)'!AD323,IF(Dashboard!$D$6=INDEX('Scenario names'!$C$3:$C$6,3),'2.4 PV (by Borough)'!AD364,"Error")))))</f>
        <v>1882744.8611984663</v>
      </c>
      <c r="AE405" s="36">
        <f>IF(Dashboard!$D$6="Baseline",'2.4 PV (by Borough)'!AE241,IF(Dashboard!$D$6=INDEX('Scenario names'!$C$3:$C$6,4),'2.4 PV (by Borough)'!AE364,IF(Dashboard!$D$6=INDEX('Scenario names'!$C$3:$C$6,1),'2.4 PV (by Borough)'!AE323,IF(Dashboard!$D$6=INDEX('Scenario names'!$C$3:$C$6,2),'2.4 PV (by Borough)'!AE323,IF(Dashboard!$D$6=INDEX('Scenario names'!$C$3:$C$6,3),'2.4 PV (by Borough)'!AE364,"Error")))))</f>
        <v>2002860.2319765845</v>
      </c>
      <c r="AF405" s="36">
        <f>IF(Dashboard!$D$6="Baseline",'2.4 PV (by Borough)'!AF241,IF(Dashboard!$D$6=INDEX('Scenario names'!$C$3:$C$6,4),'2.4 PV (by Borough)'!AF364,IF(Dashboard!$D$6=INDEX('Scenario names'!$C$3:$C$6,1),'2.4 PV (by Borough)'!AF323,IF(Dashboard!$D$6=INDEX('Scenario names'!$C$3:$C$6,2),'2.4 PV (by Borough)'!AF323,IF(Dashboard!$D$6=INDEX('Scenario names'!$C$3:$C$6,3),'2.4 PV (by Borough)'!AF364,"Error")))))</f>
        <v>2122975.6027547023</v>
      </c>
      <c r="AG405" s="36">
        <f>IF(Dashboard!$D$6="Baseline",'2.4 PV (by Borough)'!AG241,IF(Dashboard!$D$6=INDEX('Scenario names'!$C$3:$C$6,4),'2.4 PV (by Borough)'!AG364,IF(Dashboard!$D$6=INDEX('Scenario names'!$C$3:$C$6,1),'2.4 PV (by Borough)'!AG323,IF(Dashboard!$D$6=INDEX('Scenario names'!$C$3:$C$6,2),'2.4 PV (by Borough)'!AG323,IF(Dashboard!$D$6=INDEX('Scenario names'!$C$3:$C$6,3),'2.4 PV (by Borough)'!AG364,"Error")))))</f>
        <v>2243090.9735328201</v>
      </c>
      <c r="AH405" s="36">
        <f>IF(Dashboard!$D$6="Baseline",'2.4 PV (by Borough)'!AH241,IF(Dashboard!$D$6=INDEX('Scenario names'!$C$3:$C$6,4),'2.4 PV (by Borough)'!AH364,IF(Dashboard!$D$6=INDEX('Scenario names'!$C$3:$C$6,1),'2.4 PV (by Borough)'!AH323,IF(Dashboard!$D$6=INDEX('Scenario names'!$C$3:$C$6,2),'2.4 PV (by Borough)'!AH323,IF(Dashboard!$D$6=INDEX('Scenario names'!$C$3:$C$6,3),'2.4 PV (by Borough)'!AH364,"Error")))))</f>
        <v>2363206.3443109379</v>
      </c>
      <c r="AI405" s="36">
        <f>IF(Dashboard!$D$6="Baseline",'2.4 PV (by Borough)'!AI241,IF(Dashboard!$D$6=INDEX('Scenario names'!$C$3:$C$6,4),'2.4 PV (by Borough)'!AI364,IF(Dashboard!$D$6=INDEX('Scenario names'!$C$3:$C$6,1),'2.4 PV (by Borough)'!AI323,IF(Dashboard!$D$6=INDEX('Scenario names'!$C$3:$C$6,2),'2.4 PV (by Borough)'!AI323,IF(Dashboard!$D$6=INDEX('Scenario names'!$C$3:$C$6,3),'2.4 PV (by Borough)'!AI364,"Error")))))</f>
        <v>2483321.7150890562</v>
      </c>
      <c r="AJ405" s="36">
        <f>IF(Dashboard!$D$6="Baseline",'2.4 PV (by Borough)'!AJ241,IF(Dashboard!$D$6=INDEX('Scenario names'!$C$3:$C$6,4),'2.4 PV (by Borough)'!AJ364,IF(Dashboard!$D$6=INDEX('Scenario names'!$C$3:$C$6,1),'2.4 PV (by Borough)'!AJ323,IF(Dashboard!$D$6=INDEX('Scenario names'!$C$3:$C$6,2),'2.4 PV (by Borough)'!AJ323,IF(Dashboard!$D$6=INDEX('Scenario names'!$C$3:$C$6,3),'2.4 PV (by Borough)'!AJ364,"Error")))))</f>
        <v>2603437.085867174</v>
      </c>
      <c r="AK405" s="36">
        <f>IF(Dashboard!$D$6="Baseline",'2.4 PV (by Borough)'!AK241,IF(Dashboard!$D$6=INDEX('Scenario names'!$C$3:$C$6,4),'2.4 PV (by Borough)'!AK364,IF(Dashboard!$D$6=INDEX('Scenario names'!$C$3:$C$6,1),'2.4 PV (by Borough)'!AK323,IF(Dashboard!$D$6=INDEX('Scenario names'!$C$3:$C$6,2),'2.4 PV (by Borough)'!AK323,IF(Dashboard!$D$6=INDEX('Scenario names'!$C$3:$C$6,3),'2.4 PV (by Borough)'!AK364,"Error")))))</f>
        <v>2723552.4566452908</v>
      </c>
      <c r="AL405" s="36">
        <f>IF(Dashboard!$D$6="Baseline",'2.4 PV (by Borough)'!AL241,IF(Dashboard!$D$6=INDEX('Scenario names'!$C$3:$C$6,4),'2.4 PV (by Borough)'!AL364,IF(Dashboard!$D$6=INDEX('Scenario names'!$C$3:$C$6,1),'2.4 PV (by Borough)'!AL323,IF(Dashboard!$D$6=INDEX('Scenario names'!$C$3:$C$6,2),'2.4 PV (by Borough)'!AL323,IF(Dashboard!$D$6=INDEX('Scenario names'!$C$3:$C$6,3),'2.4 PV (by Borough)'!AL364,"Error")))))</f>
        <v>2843667.8274234096</v>
      </c>
      <c r="AM405" s="36">
        <f>IF(Dashboard!$D$6="Baseline",'2.4 PV (by Borough)'!AM241,IF(Dashboard!$D$6=INDEX('Scenario names'!$C$3:$C$6,4),'2.4 PV (by Borough)'!AM364,IF(Dashboard!$D$6=INDEX('Scenario names'!$C$3:$C$6,1),'2.4 PV (by Borough)'!AM323,IF(Dashboard!$D$6=INDEX('Scenario names'!$C$3:$C$6,2),'2.4 PV (by Borough)'!AM323,IF(Dashboard!$D$6=INDEX('Scenario names'!$C$3:$C$6,3),'2.4 PV (by Borough)'!AM364,"Error")))))</f>
        <v>2963783.1982015269</v>
      </c>
      <c r="AN405" s="36">
        <f>IF(Dashboard!$D$6="Baseline",'2.4 PV (by Borough)'!AN241,IF(Dashboard!$D$6=INDEX('Scenario names'!$C$3:$C$6,4),'2.4 PV (by Borough)'!AN364,IF(Dashboard!$D$6=INDEX('Scenario names'!$C$3:$C$6,1),'2.4 PV (by Borough)'!AN323,IF(Dashboard!$D$6=INDEX('Scenario names'!$C$3:$C$6,2),'2.4 PV (by Borough)'!AN323,IF(Dashboard!$D$6=INDEX('Scenario names'!$C$3:$C$6,3),'2.4 PV (by Borough)'!AN364,"Error")))))</f>
        <v>3083898.5689796451</v>
      </c>
      <c r="AO405" s="36">
        <f>IF(Dashboard!$D$6="Baseline",'2.4 PV (by Borough)'!AO241,IF(Dashboard!$D$6=INDEX('Scenario names'!$C$3:$C$6,4),'2.4 PV (by Borough)'!AO364,IF(Dashboard!$D$6=INDEX('Scenario names'!$C$3:$C$6,1),'2.4 PV (by Borough)'!AO323,IF(Dashboard!$D$6=INDEX('Scenario names'!$C$3:$C$6,2),'2.4 PV (by Borough)'!AO323,IF(Dashboard!$D$6=INDEX('Scenario names'!$C$3:$C$6,3),'2.4 PV (by Borough)'!AO364,"Error")))))</f>
        <v>3204013.9397577639</v>
      </c>
      <c r="AP405" s="36">
        <f>IF(Dashboard!$D$6="Baseline",'2.4 PV (by Borough)'!AP241,IF(Dashboard!$D$6=INDEX('Scenario names'!$C$3:$C$6,4),'2.4 PV (by Borough)'!AP364,IF(Dashboard!$D$6=INDEX('Scenario names'!$C$3:$C$6,1),'2.4 PV (by Borough)'!AP323,IF(Dashboard!$D$6=INDEX('Scenario names'!$C$3:$C$6,2),'2.4 PV (by Borough)'!AP323,IF(Dashboard!$D$6=INDEX('Scenario names'!$C$3:$C$6,3),'2.4 PV (by Borough)'!AP364,"Error")))))</f>
        <v>3324129.3105358817</v>
      </c>
      <c r="AQ405" s="36">
        <f>IF(Dashboard!$D$6="Baseline",'2.4 PV (by Borough)'!AQ241,IF(Dashboard!$D$6=INDEX('Scenario names'!$C$3:$C$6,4),'2.4 PV (by Borough)'!AQ364,IF(Dashboard!$D$6=INDEX('Scenario names'!$C$3:$C$6,1),'2.4 PV (by Borough)'!AQ323,IF(Dashboard!$D$6=INDEX('Scenario names'!$C$3:$C$6,2),'2.4 PV (by Borough)'!AQ323,IF(Dashboard!$D$6=INDEX('Scenario names'!$C$3:$C$6,3),'2.4 PV (by Borough)'!AQ364,"Error")))))</f>
        <v>3444244.6813139995</v>
      </c>
      <c r="AR405" s="36">
        <f>IF(Dashboard!$D$6="Baseline",'2.4 PV (by Borough)'!AR241,IF(Dashboard!$D$6=INDEX('Scenario names'!$C$3:$C$6,4),'2.4 PV (by Borough)'!AR364,IF(Dashboard!$D$6=INDEX('Scenario names'!$C$3:$C$6,1),'2.4 PV (by Borough)'!AR323,IF(Dashboard!$D$6=INDEX('Scenario names'!$C$3:$C$6,2),'2.4 PV (by Borough)'!AR323,IF(Dashboard!$D$6=INDEX('Scenario names'!$C$3:$C$6,3),'2.4 PV (by Borough)'!AR364,"Error")))))</f>
        <v>3564360.0520921177</v>
      </c>
      <c r="AS405" s="36">
        <f>IF(Dashboard!$D$6="Baseline",'2.4 PV (by Borough)'!AS241,IF(Dashboard!$D$6=INDEX('Scenario names'!$C$3:$C$6,4),'2.4 PV (by Borough)'!AS364,IF(Dashboard!$D$6=INDEX('Scenario names'!$C$3:$C$6,1),'2.4 PV (by Borough)'!AS323,IF(Dashboard!$D$6=INDEX('Scenario names'!$C$3:$C$6,2),'2.4 PV (by Borough)'!AS323,IF(Dashboard!$D$6=INDEX('Scenario names'!$C$3:$C$6,3),'2.4 PV (by Borough)'!AS364,"Error")))))</f>
        <v>3684475.4228702351</v>
      </c>
      <c r="AT405" s="36">
        <f>IF(Dashboard!$D$6="Baseline",'2.4 PV (by Borough)'!AT241,IF(Dashboard!$D$6=INDEX('Scenario names'!$C$3:$C$6,4),'2.4 PV (by Borough)'!AT364,IF(Dashboard!$D$6=INDEX('Scenario names'!$C$3:$C$6,1),'2.4 PV (by Borough)'!AT323,IF(Dashboard!$D$6=INDEX('Scenario names'!$C$3:$C$6,2),'2.4 PV (by Borough)'!AT323,IF(Dashboard!$D$6=INDEX('Scenario names'!$C$3:$C$6,3),'2.4 PV (by Borough)'!AT364,"Error")))))</f>
        <v>3804590.7936483533</v>
      </c>
      <c r="AU405" s="36">
        <f>IF(Dashboard!$D$6="Baseline",'2.4 PV (by Borough)'!AU241,IF(Dashboard!$D$6=INDEX('Scenario names'!$C$3:$C$6,4),'2.4 PV (by Borough)'!AU364,IF(Dashboard!$D$6=INDEX('Scenario names'!$C$3:$C$6,1),'2.4 PV (by Borough)'!AU323,IF(Dashboard!$D$6=INDEX('Scenario names'!$C$3:$C$6,2),'2.4 PV (by Borough)'!AU323,IF(Dashboard!$D$6=INDEX('Scenario names'!$C$3:$C$6,3),'2.4 PV (by Borough)'!AU364,"Error")))))</f>
        <v>3924706.164426472</v>
      </c>
      <c r="AV405" s="36">
        <f>IF(Dashboard!$D$6="Baseline",'2.4 PV (by Borough)'!AV241,IF(Dashboard!$D$6=INDEX('Scenario names'!$C$3:$C$6,4),'2.4 PV (by Borough)'!AV364,IF(Dashboard!$D$6=INDEX('Scenario names'!$C$3:$C$6,1),'2.4 PV (by Borough)'!AV323,IF(Dashboard!$D$6=INDEX('Scenario names'!$C$3:$C$6,2),'2.4 PV (by Borough)'!AV323,IF(Dashboard!$D$6=INDEX('Scenario names'!$C$3:$C$6,3),'2.4 PV (by Borough)'!AV364,"Error")))))</f>
        <v>4044821.535204587</v>
      </c>
      <c r="AW405" s="36">
        <f>IF(Dashboard!$D$6="Baseline",'2.4 PV (by Borough)'!AW241,IF(Dashboard!$D$6=INDEX('Scenario names'!$C$3:$C$6,4),'2.4 PV (by Borough)'!AW364,IF(Dashboard!$D$6=INDEX('Scenario names'!$C$3:$C$6,1),'2.4 PV (by Borough)'!AW323,IF(Dashboard!$D$6=INDEX('Scenario names'!$C$3:$C$6,2),'2.4 PV (by Borough)'!AW323,IF(Dashboard!$D$6=INDEX('Scenario names'!$C$3:$C$6,3),'2.4 PV (by Borough)'!AW364,"Error")))))</f>
        <v>4164936.9059827062</v>
      </c>
      <c r="AX405" s="36">
        <f>IF(Dashboard!$D$6="Baseline",'2.4 PV (by Borough)'!AX241,IF(Dashboard!$D$6=INDEX('Scenario names'!$C$3:$C$6,4),'2.4 PV (by Borough)'!AX364,IF(Dashboard!$D$6=INDEX('Scenario names'!$C$3:$C$6,1),'2.4 PV (by Borough)'!AX323,IF(Dashboard!$D$6=INDEX('Scenario names'!$C$3:$C$6,2),'2.4 PV (by Borough)'!AX323,IF(Dashboard!$D$6=INDEX('Scenario names'!$C$3:$C$6,3),'2.4 PV (by Borough)'!AX364,"Error")))))</f>
        <v>4285052.276760825</v>
      </c>
      <c r="AY405" s="36"/>
      <c r="AZ405" s="36"/>
      <c r="BA405" s="36"/>
      <c r="BB405" s="36"/>
    </row>
    <row r="406" spans="4:54">
      <c r="D406" t="s">
        <v>660</v>
      </c>
      <c r="E406" t="s">
        <v>655</v>
      </c>
      <c r="G406" s="44"/>
      <c r="I406" s="44"/>
      <c r="K406" s="44"/>
      <c r="M406" s="44"/>
      <c r="O406" s="36">
        <f>IF(Dashboard!$D$6="Baseline",'2.4 PV (by Borough)'!O242,IF(Dashboard!$D$6=INDEX('Scenario names'!$C$3:$C$6,4),'2.4 PV (by Borough)'!O365,IF(Dashboard!$D$6=INDEX('Scenario names'!$C$3:$C$6,1),'2.4 PV (by Borough)'!O324,IF(Dashboard!$D$6=INDEX('Scenario names'!$C$3:$C$6,2),'2.4 PV (by Borough)'!O324,IF(Dashboard!$D$6=INDEX('Scenario names'!$C$3:$C$6,3),'2.4 PV (by Borough)'!O365,"Error")))))</f>
        <v>228932.75588782321</v>
      </c>
      <c r="P406" s="36">
        <f>IF(Dashboard!$D$6="Baseline",'2.4 PV (by Borough)'!P242,IF(Dashboard!$D$6=INDEX('Scenario names'!$C$3:$C$6,4),'2.4 PV (by Borough)'!P365,IF(Dashboard!$D$6=INDEX('Scenario names'!$C$3:$C$6,1),'2.4 PV (by Borough)'!P324,IF(Dashboard!$D$6=INDEX('Scenario names'!$C$3:$C$6,2),'2.4 PV (by Borough)'!P324,IF(Dashboard!$D$6=INDEX('Scenario names'!$C$3:$C$6,3),'2.4 PV (by Borough)'!P365,"Error")))))</f>
        <v>390123.47296421992</v>
      </c>
      <c r="Q406" s="36">
        <f>IF(Dashboard!$D$6="Baseline",'2.4 PV (by Borough)'!Q242,IF(Dashboard!$D$6=INDEX('Scenario names'!$C$3:$C$6,4),'2.4 PV (by Borough)'!Q365,IF(Dashboard!$D$6=INDEX('Scenario names'!$C$3:$C$6,1),'2.4 PV (by Borough)'!Q324,IF(Dashboard!$D$6=INDEX('Scenario names'!$C$3:$C$6,2),'2.4 PV (by Borough)'!Q324,IF(Dashboard!$D$6=INDEX('Scenario names'!$C$3:$C$6,3),'2.4 PV (by Borough)'!Q365,"Error")))))</f>
        <v>551314.19004061655</v>
      </c>
      <c r="R406" s="36">
        <f>IF(Dashboard!$D$6="Baseline",'2.4 PV (by Borough)'!R242,IF(Dashboard!$D$6=INDEX('Scenario names'!$C$3:$C$6,4),'2.4 PV (by Borough)'!R365,IF(Dashboard!$D$6=INDEX('Scenario names'!$C$3:$C$6,1),'2.4 PV (by Borough)'!R324,IF(Dashboard!$D$6=INDEX('Scenario names'!$C$3:$C$6,2),'2.4 PV (by Borough)'!R324,IF(Dashboard!$D$6=INDEX('Scenario names'!$C$3:$C$6,3),'2.4 PV (by Borough)'!R365,"Error")))))</f>
        <v>712504.90711701359</v>
      </c>
      <c r="S406" s="36">
        <f>IF(Dashboard!$D$6="Baseline",'2.4 PV (by Borough)'!S242,IF(Dashboard!$D$6=INDEX('Scenario names'!$C$3:$C$6,4),'2.4 PV (by Borough)'!S365,IF(Dashboard!$D$6=INDEX('Scenario names'!$C$3:$C$6,1),'2.4 PV (by Borough)'!S324,IF(Dashboard!$D$6=INDEX('Scenario names'!$C$3:$C$6,2),'2.4 PV (by Borough)'!S324,IF(Dashboard!$D$6=INDEX('Scenario names'!$C$3:$C$6,3),'2.4 PV (by Borough)'!S365,"Error")))))</f>
        <v>873695.62419341016</v>
      </c>
      <c r="T406" s="36">
        <f>IF(Dashboard!$D$6="Baseline",'2.4 PV (by Borough)'!T242,IF(Dashboard!$D$6=INDEX('Scenario names'!$C$3:$C$6,4),'2.4 PV (by Borough)'!T365,IF(Dashboard!$D$6=INDEX('Scenario names'!$C$3:$C$6,1),'2.4 PV (by Borough)'!T324,IF(Dashboard!$D$6=INDEX('Scenario names'!$C$3:$C$6,2),'2.4 PV (by Borough)'!T324,IF(Dashboard!$D$6=INDEX('Scenario names'!$C$3:$C$6,3),'2.4 PV (by Borough)'!T365,"Error")))))</f>
        <v>1034886.3412698071</v>
      </c>
      <c r="U406" s="36">
        <f>IF(Dashboard!$D$6="Baseline",'2.4 PV (by Borough)'!U242,IF(Dashboard!$D$6=INDEX('Scenario names'!$C$3:$C$6,4),'2.4 PV (by Borough)'!U365,IF(Dashboard!$D$6=INDEX('Scenario names'!$C$3:$C$6,1),'2.4 PV (by Borough)'!U324,IF(Dashboard!$D$6=INDEX('Scenario names'!$C$3:$C$6,2),'2.4 PV (by Borough)'!U324,IF(Dashboard!$D$6=INDEX('Scenario names'!$C$3:$C$6,3),'2.4 PV (by Borough)'!U365,"Error")))))</f>
        <v>1196077.0583462038</v>
      </c>
      <c r="V406" s="36">
        <f>IF(Dashboard!$D$6="Baseline",'2.4 PV (by Borough)'!V242,IF(Dashboard!$D$6=INDEX('Scenario names'!$C$3:$C$6,4),'2.4 PV (by Borough)'!V365,IF(Dashboard!$D$6=INDEX('Scenario names'!$C$3:$C$6,1),'2.4 PV (by Borough)'!V324,IF(Dashboard!$D$6=INDEX('Scenario names'!$C$3:$C$6,2),'2.4 PV (by Borough)'!V324,IF(Dashboard!$D$6=INDEX('Scenario names'!$C$3:$C$6,3),'2.4 PV (by Borough)'!V365,"Error")))))</f>
        <v>1357267.7754226003</v>
      </c>
      <c r="W406" s="36">
        <f>IF(Dashboard!$D$6="Baseline",'2.4 PV (by Borough)'!W242,IF(Dashboard!$D$6=INDEX('Scenario names'!$C$3:$C$6,4),'2.4 PV (by Borough)'!W365,IF(Dashboard!$D$6=INDEX('Scenario names'!$C$3:$C$6,1),'2.4 PV (by Borough)'!W324,IF(Dashboard!$D$6=INDEX('Scenario names'!$C$3:$C$6,2),'2.4 PV (by Borough)'!W324,IF(Dashboard!$D$6=INDEX('Scenario names'!$C$3:$C$6,3),'2.4 PV (by Borough)'!W365,"Error")))))</f>
        <v>1518458.4924989976</v>
      </c>
      <c r="X406" s="36">
        <f>IF(Dashboard!$D$6="Baseline",'2.4 PV (by Borough)'!X242,IF(Dashboard!$D$6=INDEX('Scenario names'!$C$3:$C$6,4),'2.4 PV (by Borough)'!X365,IF(Dashboard!$D$6=INDEX('Scenario names'!$C$3:$C$6,1),'2.4 PV (by Borough)'!X324,IF(Dashboard!$D$6=INDEX('Scenario names'!$C$3:$C$6,2),'2.4 PV (by Borough)'!X324,IF(Dashboard!$D$6=INDEX('Scenario names'!$C$3:$C$6,3),'2.4 PV (by Borough)'!X365,"Error")))))</f>
        <v>1679649.2095753942</v>
      </c>
      <c r="Y406" s="36">
        <f>IF(Dashboard!$D$6="Baseline",'2.4 PV (by Borough)'!Y242,IF(Dashboard!$D$6=INDEX('Scenario names'!$C$3:$C$6,4),'2.4 PV (by Borough)'!Y365,IF(Dashboard!$D$6=INDEX('Scenario names'!$C$3:$C$6,1),'2.4 PV (by Borough)'!Y324,IF(Dashboard!$D$6=INDEX('Scenario names'!$C$3:$C$6,2),'2.4 PV (by Borough)'!Y324,IF(Dashboard!$D$6=INDEX('Scenario names'!$C$3:$C$6,3),'2.4 PV (by Borough)'!Y365,"Error")))))</f>
        <v>1840839.9266517907</v>
      </c>
      <c r="Z406" s="36">
        <f>IF(Dashboard!$D$6="Baseline",'2.4 PV (by Borough)'!Z242,IF(Dashboard!$D$6=INDEX('Scenario names'!$C$3:$C$6,4),'2.4 PV (by Borough)'!Z365,IF(Dashboard!$D$6=INDEX('Scenario names'!$C$3:$C$6,1),'2.4 PV (by Borough)'!Z324,IF(Dashboard!$D$6=INDEX('Scenario names'!$C$3:$C$6,2),'2.4 PV (by Borough)'!Z324,IF(Dashboard!$D$6=INDEX('Scenario names'!$C$3:$C$6,3),'2.4 PV (by Borough)'!Z365,"Error")))))</f>
        <v>2110444.5244554575</v>
      </c>
      <c r="AA406" s="36">
        <f>IF(Dashboard!$D$6="Baseline",'2.4 PV (by Borough)'!AA242,IF(Dashboard!$D$6=INDEX('Scenario names'!$C$3:$C$6,4),'2.4 PV (by Borough)'!AA365,IF(Dashboard!$D$6=INDEX('Scenario names'!$C$3:$C$6,1),'2.4 PV (by Borough)'!AA324,IF(Dashboard!$D$6=INDEX('Scenario names'!$C$3:$C$6,2),'2.4 PV (by Borough)'!AA324,IF(Dashboard!$D$6=INDEX('Scenario names'!$C$3:$C$6,3),'2.4 PV (by Borough)'!AA365,"Error")))))</f>
        <v>2380049.1222591237</v>
      </c>
      <c r="AB406" s="36">
        <f>IF(Dashboard!$D$6="Baseline",'2.4 PV (by Borough)'!AB242,IF(Dashboard!$D$6=INDEX('Scenario names'!$C$3:$C$6,4),'2.4 PV (by Borough)'!AB365,IF(Dashboard!$D$6=INDEX('Scenario names'!$C$3:$C$6,1),'2.4 PV (by Borough)'!AB324,IF(Dashboard!$D$6=INDEX('Scenario names'!$C$3:$C$6,2),'2.4 PV (by Borough)'!AB324,IF(Dashboard!$D$6=INDEX('Scenario names'!$C$3:$C$6,3),'2.4 PV (by Borough)'!AB365,"Error")))))</f>
        <v>2649653.7200627895</v>
      </c>
      <c r="AC406" s="36">
        <f>IF(Dashboard!$D$6="Baseline",'2.4 PV (by Borough)'!AC242,IF(Dashboard!$D$6=INDEX('Scenario names'!$C$3:$C$6,4),'2.4 PV (by Borough)'!AC365,IF(Dashboard!$D$6=INDEX('Scenario names'!$C$3:$C$6,1),'2.4 PV (by Borough)'!AC324,IF(Dashboard!$D$6=INDEX('Scenario names'!$C$3:$C$6,2),'2.4 PV (by Borough)'!AC324,IF(Dashboard!$D$6=INDEX('Scenario names'!$C$3:$C$6,3),'2.4 PV (by Borough)'!AC365,"Error")))))</f>
        <v>2919258.3178664558</v>
      </c>
      <c r="AD406" s="36">
        <f>IF(Dashboard!$D$6="Baseline",'2.4 PV (by Borough)'!AD242,IF(Dashboard!$D$6=INDEX('Scenario names'!$C$3:$C$6,4),'2.4 PV (by Borough)'!AD365,IF(Dashboard!$D$6=INDEX('Scenario names'!$C$3:$C$6,1),'2.4 PV (by Borough)'!AD324,IF(Dashboard!$D$6=INDEX('Scenario names'!$C$3:$C$6,2),'2.4 PV (by Borough)'!AD324,IF(Dashboard!$D$6=INDEX('Scenario names'!$C$3:$C$6,3),'2.4 PV (by Borough)'!AD365,"Error")))))</f>
        <v>3188862.915670122</v>
      </c>
      <c r="AE406" s="36">
        <f>IF(Dashboard!$D$6="Baseline",'2.4 PV (by Borough)'!AE242,IF(Dashboard!$D$6=INDEX('Scenario names'!$C$3:$C$6,4),'2.4 PV (by Borough)'!AE365,IF(Dashboard!$D$6=INDEX('Scenario names'!$C$3:$C$6,1),'2.4 PV (by Borough)'!AE324,IF(Dashboard!$D$6=INDEX('Scenario names'!$C$3:$C$6,2),'2.4 PV (by Borough)'!AE324,IF(Dashboard!$D$6=INDEX('Scenario names'!$C$3:$C$6,3),'2.4 PV (by Borough)'!AE365,"Error")))))</f>
        <v>3458467.5134737883</v>
      </c>
      <c r="AF406" s="36">
        <f>IF(Dashboard!$D$6="Baseline",'2.4 PV (by Borough)'!AF242,IF(Dashboard!$D$6=INDEX('Scenario names'!$C$3:$C$6,4),'2.4 PV (by Borough)'!AF365,IF(Dashboard!$D$6=INDEX('Scenario names'!$C$3:$C$6,1),'2.4 PV (by Borough)'!AF324,IF(Dashboard!$D$6=INDEX('Scenario names'!$C$3:$C$6,2),'2.4 PV (by Borough)'!AF324,IF(Dashboard!$D$6=INDEX('Scenario names'!$C$3:$C$6,3),'2.4 PV (by Borough)'!AF365,"Error")))))</f>
        <v>3728072.1112774545</v>
      </c>
      <c r="AG406" s="36">
        <f>IF(Dashboard!$D$6="Baseline",'2.4 PV (by Borough)'!AG242,IF(Dashboard!$D$6=INDEX('Scenario names'!$C$3:$C$6,4),'2.4 PV (by Borough)'!AG365,IF(Dashboard!$D$6=INDEX('Scenario names'!$C$3:$C$6,1),'2.4 PV (by Borough)'!AG324,IF(Dashboard!$D$6=INDEX('Scenario names'!$C$3:$C$6,2),'2.4 PV (by Borough)'!AG324,IF(Dashboard!$D$6=INDEX('Scenario names'!$C$3:$C$6,3),'2.4 PV (by Borough)'!AG365,"Error")))))</f>
        <v>3997676.7090811222</v>
      </c>
      <c r="AH406" s="36">
        <f>IF(Dashboard!$D$6="Baseline",'2.4 PV (by Borough)'!AH242,IF(Dashboard!$D$6=INDEX('Scenario names'!$C$3:$C$6,4),'2.4 PV (by Borough)'!AH365,IF(Dashboard!$D$6=INDEX('Scenario names'!$C$3:$C$6,1),'2.4 PV (by Borough)'!AH324,IF(Dashboard!$D$6=INDEX('Scenario names'!$C$3:$C$6,2),'2.4 PV (by Borough)'!AH324,IF(Dashboard!$D$6=INDEX('Scenario names'!$C$3:$C$6,3),'2.4 PV (by Borough)'!AH365,"Error")))))</f>
        <v>4267281.306884788</v>
      </c>
      <c r="AI406" s="36">
        <f>IF(Dashboard!$D$6="Baseline",'2.4 PV (by Borough)'!AI242,IF(Dashboard!$D$6=INDEX('Scenario names'!$C$3:$C$6,4),'2.4 PV (by Borough)'!AI365,IF(Dashboard!$D$6=INDEX('Scenario names'!$C$3:$C$6,1),'2.4 PV (by Borough)'!AI324,IF(Dashboard!$D$6=INDEX('Scenario names'!$C$3:$C$6,2),'2.4 PV (by Borough)'!AI324,IF(Dashboard!$D$6=INDEX('Scenario names'!$C$3:$C$6,3),'2.4 PV (by Borough)'!AI365,"Error")))))</f>
        <v>4536885.9046884533</v>
      </c>
      <c r="AJ406" s="36">
        <f>IF(Dashboard!$D$6="Baseline",'2.4 PV (by Borough)'!AJ242,IF(Dashboard!$D$6=INDEX('Scenario names'!$C$3:$C$6,4),'2.4 PV (by Borough)'!AJ365,IF(Dashboard!$D$6=INDEX('Scenario names'!$C$3:$C$6,1),'2.4 PV (by Borough)'!AJ324,IF(Dashboard!$D$6=INDEX('Scenario names'!$C$3:$C$6,2),'2.4 PV (by Borough)'!AJ324,IF(Dashboard!$D$6=INDEX('Scenario names'!$C$3:$C$6,3),'2.4 PV (by Borough)'!AJ365,"Error")))))</f>
        <v>4806490.5024921205</v>
      </c>
      <c r="AK406" s="36">
        <f>IF(Dashboard!$D$6="Baseline",'2.4 PV (by Borough)'!AK242,IF(Dashboard!$D$6=INDEX('Scenario names'!$C$3:$C$6,4),'2.4 PV (by Borough)'!AK365,IF(Dashboard!$D$6=INDEX('Scenario names'!$C$3:$C$6,1),'2.4 PV (by Borough)'!AK324,IF(Dashboard!$D$6=INDEX('Scenario names'!$C$3:$C$6,2),'2.4 PV (by Borough)'!AK324,IF(Dashboard!$D$6=INDEX('Scenario names'!$C$3:$C$6,3),'2.4 PV (by Borough)'!AK365,"Error")))))</f>
        <v>5076095.1002957858</v>
      </c>
      <c r="AL406" s="36">
        <f>IF(Dashboard!$D$6="Baseline",'2.4 PV (by Borough)'!AL242,IF(Dashboard!$D$6=INDEX('Scenario names'!$C$3:$C$6,4),'2.4 PV (by Borough)'!AL365,IF(Dashboard!$D$6=INDEX('Scenario names'!$C$3:$C$6,1),'2.4 PV (by Borough)'!AL324,IF(Dashboard!$D$6=INDEX('Scenario names'!$C$3:$C$6,2),'2.4 PV (by Borough)'!AL324,IF(Dashboard!$D$6=INDEX('Scenario names'!$C$3:$C$6,3),'2.4 PV (by Borough)'!AL365,"Error")))))</f>
        <v>5345699.6980994539</v>
      </c>
      <c r="AM406" s="36">
        <f>IF(Dashboard!$D$6="Baseline",'2.4 PV (by Borough)'!AM242,IF(Dashboard!$D$6=INDEX('Scenario names'!$C$3:$C$6,4),'2.4 PV (by Borough)'!AM365,IF(Dashboard!$D$6=INDEX('Scenario names'!$C$3:$C$6,1),'2.4 PV (by Borough)'!AM324,IF(Dashboard!$D$6=INDEX('Scenario names'!$C$3:$C$6,2),'2.4 PV (by Borough)'!AM324,IF(Dashboard!$D$6=INDEX('Scenario names'!$C$3:$C$6,3),'2.4 PV (by Borough)'!AM365,"Error")))))</f>
        <v>5615304.2959031211</v>
      </c>
      <c r="AN406" s="36">
        <f>IF(Dashboard!$D$6="Baseline",'2.4 PV (by Borough)'!AN242,IF(Dashboard!$D$6=INDEX('Scenario names'!$C$3:$C$6,4),'2.4 PV (by Borough)'!AN365,IF(Dashboard!$D$6=INDEX('Scenario names'!$C$3:$C$6,1),'2.4 PV (by Borough)'!AN324,IF(Dashboard!$D$6=INDEX('Scenario names'!$C$3:$C$6,2),'2.4 PV (by Borough)'!AN324,IF(Dashboard!$D$6=INDEX('Scenario names'!$C$3:$C$6,3),'2.4 PV (by Borough)'!AN365,"Error")))))</f>
        <v>5884908.8937067846</v>
      </c>
      <c r="AO406" s="36">
        <f>IF(Dashboard!$D$6="Baseline",'2.4 PV (by Borough)'!AO242,IF(Dashboard!$D$6=INDEX('Scenario names'!$C$3:$C$6,4),'2.4 PV (by Borough)'!AO365,IF(Dashboard!$D$6=INDEX('Scenario names'!$C$3:$C$6,1),'2.4 PV (by Borough)'!AO324,IF(Dashboard!$D$6=INDEX('Scenario names'!$C$3:$C$6,2),'2.4 PV (by Borough)'!AO324,IF(Dashboard!$D$6=INDEX('Scenario names'!$C$3:$C$6,3),'2.4 PV (by Borough)'!AO365,"Error")))))</f>
        <v>6154513.4915104527</v>
      </c>
      <c r="AP406" s="36">
        <f>IF(Dashboard!$D$6="Baseline",'2.4 PV (by Borough)'!AP242,IF(Dashboard!$D$6=INDEX('Scenario names'!$C$3:$C$6,4),'2.4 PV (by Borough)'!AP365,IF(Dashboard!$D$6=INDEX('Scenario names'!$C$3:$C$6,1),'2.4 PV (by Borough)'!AP324,IF(Dashboard!$D$6=INDEX('Scenario names'!$C$3:$C$6,2),'2.4 PV (by Borough)'!AP324,IF(Dashboard!$D$6=INDEX('Scenario names'!$C$3:$C$6,3),'2.4 PV (by Borough)'!AP365,"Error")))))</f>
        <v>6424118.089314118</v>
      </c>
      <c r="AQ406" s="36">
        <f>IF(Dashboard!$D$6="Baseline",'2.4 PV (by Borough)'!AQ242,IF(Dashboard!$D$6=INDEX('Scenario names'!$C$3:$C$6,4),'2.4 PV (by Borough)'!AQ365,IF(Dashboard!$D$6=INDEX('Scenario names'!$C$3:$C$6,1),'2.4 PV (by Borough)'!AQ324,IF(Dashboard!$D$6=INDEX('Scenario names'!$C$3:$C$6,2),'2.4 PV (by Borough)'!AQ324,IF(Dashboard!$D$6=INDEX('Scenario names'!$C$3:$C$6,3),'2.4 PV (by Borough)'!AQ365,"Error")))))</f>
        <v>6693722.6871177843</v>
      </c>
      <c r="AR406" s="36">
        <f>IF(Dashboard!$D$6="Baseline",'2.4 PV (by Borough)'!AR242,IF(Dashboard!$D$6=INDEX('Scenario names'!$C$3:$C$6,4),'2.4 PV (by Borough)'!AR365,IF(Dashboard!$D$6=INDEX('Scenario names'!$C$3:$C$6,1),'2.4 PV (by Borough)'!AR324,IF(Dashboard!$D$6=INDEX('Scenario names'!$C$3:$C$6,2),'2.4 PV (by Borough)'!AR324,IF(Dashboard!$D$6=INDEX('Scenario names'!$C$3:$C$6,3),'2.4 PV (by Borough)'!AR365,"Error")))))</f>
        <v>6963327.2849214505</v>
      </c>
      <c r="AS406" s="36">
        <f>IF(Dashboard!$D$6="Baseline",'2.4 PV (by Borough)'!AS242,IF(Dashboard!$D$6=INDEX('Scenario names'!$C$3:$C$6,4),'2.4 PV (by Borough)'!AS365,IF(Dashboard!$D$6=INDEX('Scenario names'!$C$3:$C$6,1),'2.4 PV (by Borough)'!AS324,IF(Dashboard!$D$6=INDEX('Scenario names'!$C$3:$C$6,2),'2.4 PV (by Borough)'!AS324,IF(Dashboard!$D$6=INDEX('Scenario names'!$C$3:$C$6,3),'2.4 PV (by Borough)'!AS365,"Error")))))</f>
        <v>7232931.8827251187</v>
      </c>
      <c r="AT406" s="36">
        <f>IF(Dashboard!$D$6="Baseline",'2.4 PV (by Borough)'!AT242,IF(Dashboard!$D$6=INDEX('Scenario names'!$C$3:$C$6,4),'2.4 PV (by Borough)'!AT365,IF(Dashboard!$D$6=INDEX('Scenario names'!$C$3:$C$6,1),'2.4 PV (by Borough)'!AT324,IF(Dashboard!$D$6=INDEX('Scenario names'!$C$3:$C$6,2),'2.4 PV (by Borough)'!AT324,IF(Dashboard!$D$6=INDEX('Scenario names'!$C$3:$C$6,3),'2.4 PV (by Borough)'!AT365,"Error")))))</f>
        <v>7502536.4805287831</v>
      </c>
      <c r="AU406" s="36">
        <f>IF(Dashboard!$D$6="Baseline",'2.4 PV (by Borough)'!AU242,IF(Dashboard!$D$6=INDEX('Scenario names'!$C$3:$C$6,4),'2.4 PV (by Borough)'!AU365,IF(Dashboard!$D$6=INDEX('Scenario names'!$C$3:$C$6,1),'2.4 PV (by Borough)'!AU324,IF(Dashboard!$D$6=INDEX('Scenario names'!$C$3:$C$6,2),'2.4 PV (by Borough)'!AU324,IF(Dashboard!$D$6=INDEX('Scenario names'!$C$3:$C$6,3),'2.4 PV (by Borough)'!AU365,"Error")))))</f>
        <v>7772141.0783324512</v>
      </c>
      <c r="AV406" s="36">
        <f>IF(Dashboard!$D$6="Baseline",'2.4 PV (by Borough)'!AV242,IF(Dashboard!$D$6=INDEX('Scenario names'!$C$3:$C$6,4),'2.4 PV (by Borough)'!AV365,IF(Dashboard!$D$6=INDEX('Scenario names'!$C$3:$C$6,1),'2.4 PV (by Borough)'!AV324,IF(Dashboard!$D$6=INDEX('Scenario names'!$C$3:$C$6,2),'2.4 PV (by Borough)'!AV324,IF(Dashboard!$D$6=INDEX('Scenario names'!$C$3:$C$6,3),'2.4 PV (by Borough)'!AV365,"Error")))))</f>
        <v>8041745.6761361137</v>
      </c>
      <c r="AW406" s="36">
        <f>IF(Dashboard!$D$6="Baseline",'2.4 PV (by Borough)'!AW242,IF(Dashboard!$D$6=INDEX('Scenario names'!$C$3:$C$6,4),'2.4 PV (by Borough)'!AW365,IF(Dashboard!$D$6=INDEX('Scenario names'!$C$3:$C$6,1),'2.4 PV (by Borough)'!AW324,IF(Dashboard!$D$6=INDEX('Scenario names'!$C$3:$C$6,2),'2.4 PV (by Borough)'!AW324,IF(Dashboard!$D$6=INDEX('Scenario names'!$C$3:$C$6,3),'2.4 PV (by Borough)'!AW365,"Error")))))</f>
        <v>8311350.2739397828</v>
      </c>
      <c r="AX406" s="36">
        <f>IF(Dashboard!$D$6="Baseline",'2.4 PV (by Borough)'!AX242,IF(Dashboard!$D$6=INDEX('Scenario names'!$C$3:$C$6,4),'2.4 PV (by Borough)'!AX365,IF(Dashboard!$D$6=INDEX('Scenario names'!$C$3:$C$6,1),'2.4 PV (by Borough)'!AX324,IF(Dashboard!$D$6=INDEX('Scenario names'!$C$3:$C$6,2),'2.4 PV (by Borough)'!AX324,IF(Dashboard!$D$6=INDEX('Scenario names'!$C$3:$C$6,3),'2.4 PV (by Borough)'!AX365,"Error")))))</f>
        <v>8580954.8717434499</v>
      </c>
      <c r="AY406" s="36"/>
      <c r="AZ406" s="36"/>
      <c r="BA406" s="36"/>
      <c r="BB406" s="36"/>
    </row>
    <row r="407" spans="4:54">
      <c r="D407" t="s">
        <v>661</v>
      </c>
      <c r="E407" t="s">
        <v>656</v>
      </c>
      <c r="G407" s="44"/>
      <c r="I407" s="44"/>
      <c r="K407" s="44"/>
      <c r="M407" s="44"/>
      <c r="O407" s="36">
        <f>IF(Dashboard!$D$6="Baseline",'2.4 PV (by Borough)'!O243,IF(Dashboard!$D$6=INDEX('Scenario names'!$C$3:$C$6,4),'2.4 PV (by Borough)'!O366,IF(Dashboard!$D$6=INDEX('Scenario names'!$C$3:$C$6,1),'2.4 PV (by Borough)'!O325,IF(Dashboard!$D$6=INDEX('Scenario names'!$C$3:$C$6,2),'2.4 PV (by Borough)'!O325,IF(Dashboard!$D$6=INDEX('Scenario names'!$C$3:$C$6,3),'2.4 PV (by Borough)'!O366,"Error")))))</f>
        <v>246356.687216038</v>
      </c>
      <c r="P407" s="36">
        <f>IF(Dashboard!$D$6="Baseline",'2.4 PV (by Borough)'!P243,IF(Dashboard!$D$6=INDEX('Scenario names'!$C$3:$C$6,4),'2.4 PV (by Borough)'!P366,IF(Dashboard!$D$6=INDEX('Scenario names'!$C$3:$C$6,1),'2.4 PV (by Borough)'!P325,IF(Dashboard!$D$6=INDEX('Scenario names'!$C$3:$C$6,2),'2.4 PV (by Borough)'!P325,IF(Dashboard!$D$6=INDEX('Scenario names'!$C$3:$C$6,3),'2.4 PV (by Borough)'!P366,"Error")))))</f>
        <v>414591.96583545872</v>
      </c>
      <c r="Q407" s="36">
        <f>IF(Dashboard!$D$6="Baseline",'2.4 PV (by Borough)'!Q243,IF(Dashboard!$D$6=INDEX('Scenario names'!$C$3:$C$6,4),'2.4 PV (by Borough)'!Q366,IF(Dashboard!$D$6=INDEX('Scenario names'!$C$3:$C$6,1),'2.4 PV (by Borough)'!Q325,IF(Dashboard!$D$6=INDEX('Scenario names'!$C$3:$C$6,2),'2.4 PV (by Borough)'!Q325,IF(Dashboard!$D$6=INDEX('Scenario names'!$C$3:$C$6,3),'2.4 PV (by Borough)'!Q366,"Error")))))</f>
        <v>582827.24445487955</v>
      </c>
      <c r="R407" s="36">
        <f>IF(Dashboard!$D$6="Baseline",'2.4 PV (by Borough)'!R243,IF(Dashboard!$D$6=INDEX('Scenario names'!$C$3:$C$6,4),'2.4 PV (by Borough)'!R366,IF(Dashboard!$D$6=INDEX('Scenario names'!$C$3:$C$6,1),'2.4 PV (by Borough)'!R325,IF(Dashboard!$D$6=INDEX('Scenario names'!$C$3:$C$6,2),'2.4 PV (by Borough)'!R325,IF(Dashboard!$D$6=INDEX('Scenario names'!$C$3:$C$6,3),'2.4 PV (by Borough)'!R366,"Error")))))</f>
        <v>751062.52307430026</v>
      </c>
      <c r="S407" s="36">
        <f>IF(Dashboard!$D$6="Baseline",'2.4 PV (by Borough)'!S243,IF(Dashboard!$D$6=INDEX('Scenario names'!$C$3:$C$6,4),'2.4 PV (by Borough)'!S366,IF(Dashboard!$D$6=INDEX('Scenario names'!$C$3:$C$6,1),'2.4 PV (by Borough)'!S325,IF(Dashboard!$D$6=INDEX('Scenario names'!$C$3:$C$6,2),'2.4 PV (by Borough)'!S325,IF(Dashboard!$D$6=INDEX('Scenario names'!$C$3:$C$6,3),'2.4 PV (by Borough)'!S366,"Error")))))</f>
        <v>919297.80169372098</v>
      </c>
      <c r="T407" s="36">
        <f>IF(Dashboard!$D$6="Baseline",'2.4 PV (by Borough)'!T243,IF(Dashboard!$D$6=INDEX('Scenario names'!$C$3:$C$6,4),'2.4 PV (by Borough)'!T366,IF(Dashboard!$D$6=INDEX('Scenario names'!$C$3:$C$6,1),'2.4 PV (by Borough)'!T325,IF(Dashboard!$D$6=INDEX('Scenario names'!$C$3:$C$6,2),'2.4 PV (by Borough)'!T325,IF(Dashboard!$D$6=INDEX('Scenario names'!$C$3:$C$6,3),'2.4 PV (by Borough)'!T366,"Error")))))</f>
        <v>1087533.0803131422</v>
      </c>
      <c r="U407" s="36">
        <f>IF(Dashboard!$D$6="Baseline",'2.4 PV (by Borough)'!U243,IF(Dashboard!$D$6=INDEX('Scenario names'!$C$3:$C$6,4),'2.4 PV (by Borough)'!U366,IF(Dashboard!$D$6=INDEX('Scenario names'!$C$3:$C$6,1),'2.4 PV (by Borough)'!U325,IF(Dashboard!$D$6=INDEX('Scenario names'!$C$3:$C$6,2),'2.4 PV (by Borough)'!U325,IF(Dashboard!$D$6=INDEX('Scenario names'!$C$3:$C$6,3),'2.4 PV (by Borough)'!U366,"Error")))))</f>
        <v>1255768.3589325629</v>
      </c>
      <c r="V407" s="36">
        <f>IF(Dashboard!$D$6="Baseline",'2.4 PV (by Borough)'!V243,IF(Dashboard!$D$6=INDEX('Scenario names'!$C$3:$C$6,4),'2.4 PV (by Borough)'!V366,IF(Dashboard!$D$6=INDEX('Scenario names'!$C$3:$C$6,1),'2.4 PV (by Borough)'!V325,IF(Dashboard!$D$6=INDEX('Scenario names'!$C$3:$C$6,2),'2.4 PV (by Borough)'!V325,IF(Dashboard!$D$6=INDEX('Scenario names'!$C$3:$C$6,3),'2.4 PV (by Borough)'!V366,"Error")))))</f>
        <v>1424003.6375519836</v>
      </c>
      <c r="W407" s="36">
        <f>IF(Dashboard!$D$6="Baseline",'2.4 PV (by Borough)'!W243,IF(Dashboard!$D$6=INDEX('Scenario names'!$C$3:$C$6,4),'2.4 PV (by Borough)'!W366,IF(Dashboard!$D$6=INDEX('Scenario names'!$C$3:$C$6,1),'2.4 PV (by Borough)'!W325,IF(Dashboard!$D$6=INDEX('Scenario names'!$C$3:$C$6,2),'2.4 PV (by Borough)'!W325,IF(Dashboard!$D$6=INDEX('Scenario names'!$C$3:$C$6,3),'2.4 PV (by Borough)'!W366,"Error")))))</f>
        <v>1592238.9161714041</v>
      </c>
      <c r="X407" s="36">
        <f>IF(Dashboard!$D$6="Baseline",'2.4 PV (by Borough)'!X243,IF(Dashboard!$D$6=INDEX('Scenario names'!$C$3:$C$6,4),'2.4 PV (by Borough)'!X366,IF(Dashboard!$D$6=INDEX('Scenario names'!$C$3:$C$6,1),'2.4 PV (by Borough)'!X325,IF(Dashboard!$D$6=INDEX('Scenario names'!$C$3:$C$6,2),'2.4 PV (by Borough)'!X325,IF(Dashboard!$D$6=INDEX('Scenario names'!$C$3:$C$6,3),'2.4 PV (by Borough)'!X366,"Error")))))</f>
        <v>1760474.1947908257</v>
      </c>
      <c r="Y407" s="36">
        <f>IF(Dashboard!$D$6="Baseline",'2.4 PV (by Borough)'!Y243,IF(Dashboard!$D$6=INDEX('Scenario names'!$C$3:$C$6,4),'2.4 PV (by Borough)'!Y366,IF(Dashboard!$D$6=INDEX('Scenario names'!$C$3:$C$6,1),'2.4 PV (by Borough)'!Y325,IF(Dashboard!$D$6=INDEX('Scenario names'!$C$3:$C$6,2),'2.4 PV (by Borough)'!Y325,IF(Dashboard!$D$6=INDEX('Scenario names'!$C$3:$C$6,3),'2.4 PV (by Borough)'!Y366,"Error")))))</f>
        <v>1928709.4734102457</v>
      </c>
      <c r="Z407" s="36">
        <f>IF(Dashboard!$D$6="Baseline",'2.4 PV (by Borough)'!Z243,IF(Dashboard!$D$6=INDEX('Scenario names'!$C$3:$C$6,4),'2.4 PV (by Borough)'!Z366,IF(Dashboard!$D$6=INDEX('Scenario names'!$C$3:$C$6,1),'2.4 PV (by Borough)'!Z325,IF(Dashboard!$D$6=INDEX('Scenario names'!$C$3:$C$6,2),'2.4 PV (by Borough)'!Z325,IF(Dashboard!$D$6=INDEX('Scenario names'!$C$3:$C$6,3),'2.4 PV (by Borough)'!Z366,"Error")))))</f>
        <v>1999276.078749364</v>
      </c>
      <c r="AA407" s="36">
        <f>IF(Dashboard!$D$6="Baseline",'2.4 PV (by Borough)'!AA243,IF(Dashboard!$D$6=INDEX('Scenario names'!$C$3:$C$6,4),'2.4 PV (by Borough)'!AA366,IF(Dashboard!$D$6=INDEX('Scenario names'!$C$3:$C$6,1),'2.4 PV (by Borough)'!AA325,IF(Dashboard!$D$6=INDEX('Scenario names'!$C$3:$C$6,2),'2.4 PV (by Borough)'!AA325,IF(Dashboard!$D$6=INDEX('Scenario names'!$C$3:$C$6,3),'2.4 PV (by Borough)'!AA366,"Error")))))</f>
        <v>2069842.6840884814</v>
      </c>
      <c r="AB407" s="36">
        <f>IF(Dashboard!$D$6="Baseline",'2.4 PV (by Borough)'!AB243,IF(Dashboard!$D$6=INDEX('Scenario names'!$C$3:$C$6,4),'2.4 PV (by Borough)'!AB366,IF(Dashboard!$D$6=INDEX('Scenario names'!$C$3:$C$6,1),'2.4 PV (by Borough)'!AB325,IF(Dashboard!$D$6=INDEX('Scenario names'!$C$3:$C$6,2),'2.4 PV (by Borough)'!AB325,IF(Dashboard!$D$6=INDEX('Scenario names'!$C$3:$C$6,3),'2.4 PV (by Borough)'!AB366,"Error")))))</f>
        <v>2140409.2894275989</v>
      </c>
      <c r="AC407" s="36">
        <f>IF(Dashboard!$D$6="Baseline",'2.4 PV (by Borough)'!AC243,IF(Dashboard!$D$6=INDEX('Scenario names'!$C$3:$C$6,4),'2.4 PV (by Borough)'!AC366,IF(Dashboard!$D$6=INDEX('Scenario names'!$C$3:$C$6,1),'2.4 PV (by Borough)'!AC325,IF(Dashboard!$D$6=INDEX('Scenario names'!$C$3:$C$6,2),'2.4 PV (by Borough)'!AC325,IF(Dashboard!$D$6=INDEX('Scenario names'!$C$3:$C$6,3),'2.4 PV (by Borough)'!AC366,"Error")))))</f>
        <v>2210975.8947667172</v>
      </c>
      <c r="AD407" s="36">
        <f>IF(Dashboard!$D$6="Baseline",'2.4 PV (by Borough)'!AD243,IF(Dashboard!$D$6=INDEX('Scenario names'!$C$3:$C$6,4),'2.4 PV (by Borough)'!AD366,IF(Dashboard!$D$6=INDEX('Scenario names'!$C$3:$C$6,1),'2.4 PV (by Borough)'!AD325,IF(Dashboard!$D$6=INDEX('Scenario names'!$C$3:$C$6,2),'2.4 PV (by Borough)'!AD325,IF(Dashboard!$D$6=INDEX('Scenario names'!$C$3:$C$6,3),'2.4 PV (by Borough)'!AD366,"Error")))))</f>
        <v>2281542.5001058346</v>
      </c>
      <c r="AE407" s="36">
        <f>IF(Dashboard!$D$6="Baseline",'2.4 PV (by Borough)'!AE243,IF(Dashboard!$D$6=INDEX('Scenario names'!$C$3:$C$6,4),'2.4 PV (by Borough)'!AE366,IF(Dashboard!$D$6=INDEX('Scenario names'!$C$3:$C$6,1),'2.4 PV (by Borough)'!AE325,IF(Dashboard!$D$6=INDEX('Scenario names'!$C$3:$C$6,2),'2.4 PV (by Borough)'!AE325,IF(Dashboard!$D$6=INDEX('Scenario names'!$C$3:$C$6,3),'2.4 PV (by Borough)'!AE366,"Error")))))</f>
        <v>2352109.1054449528</v>
      </c>
      <c r="AF407" s="36">
        <f>IF(Dashboard!$D$6="Baseline",'2.4 PV (by Borough)'!AF243,IF(Dashboard!$D$6=INDEX('Scenario names'!$C$3:$C$6,4),'2.4 PV (by Borough)'!AF366,IF(Dashboard!$D$6=INDEX('Scenario names'!$C$3:$C$6,1),'2.4 PV (by Borough)'!AF325,IF(Dashboard!$D$6=INDEX('Scenario names'!$C$3:$C$6,2),'2.4 PV (by Borough)'!AF325,IF(Dashboard!$D$6=INDEX('Scenario names'!$C$3:$C$6,3),'2.4 PV (by Borough)'!AF366,"Error")))))</f>
        <v>2422675.7107840707</v>
      </c>
      <c r="AG407" s="36">
        <f>IF(Dashboard!$D$6="Baseline",'2.4 PV (by Borough)'!AG243,IF(Dashboard!$D$6=INDEX('Scenario names'!$C$3:$C$6,4),'2.4 PV (by Borough)'!AG366,IF(Dashboard!$D$6=INDEX('Scenario names'!$C$3:$C$6,1),'2.4 PV (by Borough)'!AG325,IF(Dashboard!$D$6=INDEX('Scenario names'!$C$3:$C$6,2),'2.4 PV (by Borough)'!AG325,IF(Dashboard!$D$6=INDEX('Scenario names'!$C$3:$C$6,3),'2.4 PV (by Borough)'!AG366,"Error")))))</f>
        <v>2493242.3161231875</v>
      </c>
      <c r="AH407" s="36">
        <f>IF(Dashboard!$D$6="Baseline",'2.4 PV (by Borough)'!AH243,IF(Dashboard!$D$6=INDEX('Scenario names'!$C$3:$C$6,4),'2.4 PV (by Borough)'!AH366,IF(Dashboard!$D$6=INDEX('Scenario names'!$C$3:$C$6,1),'2.4 PV (by Borough)'!AH325,IF(Dashboard!$D$6=INDEX('Scenario names'!$C$3:$C$6,2),'2.4 PV (by Borough)'!AH325,IF(Dashboard!$D$6=INDEX('Scenario names'!$C$3:$C$6,3),'2.4 PV (by Borough)'!AH366,"Error")))))</f>
        <v>2563808.9214623058</v>
      </c>
      <c r="AI407" s="36">
        <f>IF(Dashboard!$D$6="Baseline",'2.4 PV (by Borough)'!AI243,IF(Dashboard!$D$6=INDEX('Scenario names'!$C$3:$C$6,4),'2.4 PV (by Borough)'!AI366,IF(Dashboard!$D$6=INDEX('Scenario names'!$C$3:$C$6,1),'2.4 PV (by Borough)'!AI325,IF(Dashboard!$D$6=INDEX('Scenario names'!$C$3:$C$6,2),'2.4 PV (by Borough)'!AI325,IF(Dashboard!$D$6=INDEX('Scenario names'!$C$3:$C$6,3),'2.4 PV (by Borough)'!AI366,"Error")))))</f>
        <v>2634375.5268014236</v>
      </c>
      <c r="AJ407" s="36">
        <f>IF(Dashboard!$D$6="Baseline",'2.4 PV (by Borough)'!AJ243,IF(Dashboard!$D$6=INDEX('Scenario names'!$C$3:$C$6,4),'2.4 PV (by Borough)'!AJ366,IF(Dashboard!$D$6=INDEX('Scenario names'!$C$3:$C$6,1),'2.4 PV (by Borough)'!AJ325,IF(Dashboard!$D$6=INDEX('Scenario names'!$C$3:$C$6,2),'2.4 PV (by Borough)'!AJ325,IF(Dashboard!$D$6=INDEX('Scenario names'!$C$3:$C$6,3),'2.4 PV (by Borough)'!AJ366,"Error")))))</f>
        <v>2704942.1321405414</v>
      </c>
      <c r="AK407" s="36">
        <f>IF(Dashboard!$D$6="Baseline",'2.4 PV (by Borough)'!AK243,IF(Dashboard!$D$6=INDEX('Scenario names'!$C$3:$C$6,4),'2.4 PV (by Borough)'!AK366,IF(Dashboard!$D$6=INDEX('Scenario names'!$C$3:$C$6,1),'2.4 PV (by Borough)'!AK325,IF(Dashboard!$D$6=INDEX('Scenario names'!$C$3:$C$6,2),'2.4 PV (by Borough)'!AK325,IF(Dashboard!$D$6=INDEX('Scenario names'!$C$3:$C$6,3),'2.4 PV (by Borough)'!AK366,"Error")))))</f>
        <v>2775508.7374796588</v>
      </c>
      <c r="AL407" s="36">
        <f>IF(Dashboard!$D$6="Baseline",'2.4 PV (by Borough)'!AL243,IF(Dashboard!$D$6=INDEX('Scenario names'!$C$3:$C$6,4),'2.4 PV (by Borough)'!AL366,IF(Dashboard!$D$6=INDEX('Scenario names'!$C$3:$C$6,1),'2.4 PV (by Borough)'!AL325,IF(Dashboard!$D$6=INDEX('Scenario names'!$C$3:$C$6,2),'2.4 PV (by Borough)'!AL325,IF(Dashboard!$D$6=INDEX('Scenario names'!$C$3:$C$6,3),'2.4 PV (by Borough)'!AL366,"Error")))))</f>
        <v>2846075.3428187771</v>
      </c>
      <c r="AM407" s="36">
        <f>IF(Dashboard!$D$6="Baseline",'2.4 PV (by Borough)'!AM243,IF(Dashboard!$D$6=INDEX('Scenario names'!$C$3:$C$6,4),'2.4 PV (by Borough)'!AM366,IF(Dashboard!$D$6=INDEX('Scenario names'!$C$3:$C$6,1),'2.4 PV (by Borough)'!AM325,IF(Dashboard!$D$6=INDEX('Scenario names'!$C$3:$C$6,2),'2.4 PV (by Borough)'!AM325,IF(Dashboard!$D$6=INDEX('Scenario names'!$C$3:$C$6,3),'2.4 PV (by Borough)'!AM366,"Error")))))</f>
        <v>2916641.9481578944</v>
      </c>
      <c r="AN407" s="36">
        <f>IF(Dashboard!$D$6="Baseline",'2.4 PV (by Borough)'!AN243,IF(Dashboard!$D$6=INDEX('Scenario names'!$C$3:$C$6,4),'2.4 PV (by Borough)'!AN366,IF(Dashboard!$D$6=INDEX('Scenario names'!$C$3:$C$6,1),'2.4 PV (by Borough)'!AN325,IF(Dashboard!$D$6=INDEX('Scenario names'!$C$3:$C$6,2),'2.4 PV (by Borough)'!AN325,IF(Dashboard!$D$6=INDEX('Scenario names'!$C$3:$C$6,3),'2.4 PV (by Borough)'!AN366,"Error")))))</f>
        <v>2987208.5534970122</v>
      </c>
      <c r="AO407" s="36">
        <f>IF(Dashboard!$D$6="Baseline",'2.4 PV (by Borough)'!AO243,IF(Dashboard!$D$6=INDEX('Scenario names'!$C$3:$C$6,4),'2.4 PV (by Borough)'!AO366,IF(Dashboard!$D$6=INDEX('Scenario names'!$C$3:$C$6,1),'2.4 PV (by Borough)'!AO325,IF(Dashboard!$D$6=INDEX('Scenario names'!$C$3:$C$6,2),'2.4 PV (by Borough)'!AO325,IF(Dashboard!$D$6=INDEX('Scenario names'!$C$3:$C$6,3),'2.4 PV (by Borough)'!AO366,"Error")))))</f>
        <v>3057775.1588361291</v>
      </c>
      <c r="AP407" s="36">
        <f>IF(Dashboard!$D$6="Baseline",'2.4 PV (by Borough)'!AP243,IF(Dashboard!$D$6=INDEX('Scenario names'!$C$3:$C$6,4),'2.4 PV (by Borough)'!AP366,IF(Dashboard!$D$6=INDEX('Scenario names'!$C$3:$C$6,1),'2.4 PV (by Borough)'!AP325,IF(Dashboard!$D$6=INDEX('Scenario names'!$C$3:$C$6,2),'2.4 PV (by Borough)'!AP325,IF(Dashboard!$D$6=INDEX('Scenario names'!$C$3:$C$6,3),'2.4 PV (by Borough)'!AP366,"Error")))))</f>
        <v>3128341.7641752479</v>
      </c>
      <c r="AQ407" s="36">
        <f>IF(Dashboard!$D$6="Baseline",'2.4 PV (by Borough)'!AQ243,IF(Dashboard!$D$6=INDEX('Scenario names'!$C$3:$C$6,4),'2.4 PV (by Borough)'!AQ366,IF(Dashboard!$D$6=INDEX('Scenario names'!$C$3:$C$6,1),'2.4 PV (by Borough)'!AQ325,IF(Dashboard!$D$6=INDEX('Scenario names'!$C$3:$C$6,2),'2.4 PV (by Borough)'!AQ325,IF(Dashboard!$D$6=INDEX('Scenario names'!$C$3:$C$6,3),'2.4 PV (by Borough)'!AQ366,"Error")))))</f>
        <v>3198908.3695143661</v>
      </c>
      <c r="AR407" s="36">
        <f>IF(Dashboard!$D$6="Baseline",'2.4 PV (by Borough)'!AR243,IF(Dashboard!$D$6=INDEX('Scenario names'!$C$3:$C$6,4),'2.4 PV (by Borough)'!AR366,IF(Dashboard!$D$6=INDEX('Scenario names'!$C$3:$C$6,1),'2.4 PV (by Borough)'!AR325,IF(Dashboard!$D$6=INDEX('Scenario names'!$C$3:$C$6,2),'2.4 PV (by Borough)'!AR325,IF(Dashboard!$D$6=INDEX('Scenario names'!$C$3:$C$6,3),'2.4 PV (by Borough)'!AR366,"Error")))))</f>
        <v>3269474.974853483</v>
      </c>
      <c r="AS407" s="36">
        <f>IF(Dashboard!$D$6="Baseline",'2.4 PV (by Borough)'!AS243,IF(Dashboard!$D$6=INDEX('Scenario names'!$C$3:$C$6,4),'2.4 PV (by Borough)'!AS366,IF(Dashboard!$D$6=INDEX('Scenario names'!$C$3:$C$6,1),'2.4 PV (by Borough)'!AS325,IF(Dashboard!$D$6=INDEX('Scenario names'!$C$3:$C$6,2),'2.4 PV (by Borough)'!AS325,IF(Dashboard!$D$6=INDEX('Scenario names'!$C$3:$C$6,3),'2.4 PV (by Borough)'!AS366,"Error")))))</f>
        <v>3340041.5801926018</v>
      </c>
      <c r="AT407" s="36">
        <f>IF(Dashboard!$D$6="Baseline",'2.4 PV (by Borough)'!AT243,IF(Dashboard!$D$6=INDEX('Scenario names'!$C$3:$C$6,4),'2.4 PV (by Borough)'!AT366,IF(Dashboard!$D$6=INDEX('Scenario names'!$C$3:$C$6,1),'2.4 PV (by Borough)'!AT325,IF(Dashboard!$D$6=INDEX('Scenario names'!$C$3:$C$6,2),'2.4 PV (by Borough)'!AT325,IF(Dashboard!$D$6=INDEX('Scenario names'!$C$3:$C$6,3),'2.4 PV (by Borough)'!AT366,"Error")))))</f>
        <v>3410608.1855317187</v>
      </c>
      <c r="AU407" s="36">
        <f>IF(Dashboard!$D$6="Baseline",'2.4 PV (by Borough)'!AU243,IF(Dashboard!$D$6=INDEX('Scenario names'!$C$3:$C$6,4),'2.4 PV (by Borough)'!AU366,IF(Dashboard!$D$6=INDEX('Scenario names'!$C$3:$C$6,1),'2.4 PV (by Borough)'!AU325,IF(Dashboard!$D$6=INDEX('Scenario names'!$C$3:$C$6,2),'2.4 PV (by Borough)'!AU325,IF(Dashboard!$D$6=INDEX('Scenario names'!$C$3:$C$6,3),'2.4 PV (by Borough)'!AU366,"Error")))))</f>
        <v>3481174.7908708369</v>
      </c>
      <c r="AV407" s="36">
        <f>IF(Dashboard!$D$6="Baseline",'2.4 PV (by Borough)'!AV243,IF(Dashboard!$D$6=INDEX('Scenario names'!$C$3:$C$6,4),'2.4 PV (by Borough)'!AV366,IF(Dashboard!$D$6=INDEX('Scenario names'!$C$3:$C$6,1),'2.4 PV (by Borough)'!AV325,IF(Dashboard!$D$6=INDEX('Scenario names'!$C$3:$C$6,2),'2.4 PV (by Borough)'!AV325,IF(Dashboard!$D$6=INDEX('Scenario names'!$C$3:$C$6,3),'2.4 PV (by Borough)'!AV366,"Error")))))</f>
        <v>3551741.3962099543</v>
      </c>
      <c r="AW407" s="36">
        <f>IF(Dashboard!$D$6="Baseline",'2.4 PV (by Borough)'!AW243,IF(Dashboard!$D$6=INDEX('Scenario names'!$C$3:$C$6,4),'2.4 PV (by Borough)'!AW366,IF(Dashboard!$D$6=INDEX('Scenario names'!$C$3:$C$6,1),'2.4 PV (by Borough)'!AW325,IF(Dashboard!$D$6=INDEX('Scenario names'!$C$3:$C$6,2),'2.4 PV (by Borough)'!AW325,IF(Dashboard!$D$6=INDEX('Scenario names'!$C$3:$C$6,3),'2.4 PV (by Borough)'!AW366,"Error")))))</f>
        <v>3622308.0015490721</v>
      </c>
      <c r="AX407" s="36">
        <f>IF(Dashboard!$D$6="Baseline",'2.4 PV (by Borough)'!AX243,IF(Dashboard!$D$6=INDEX('Scenario names'!$C$3:$C$6,4),'2.4 PV (by Borough)'!AX366,IF(Dashboard!$D$6=INDEX('Scenario names'!$C$3:$C$6,1),'2.4 PV (by Borough)'!AX325,IF(Dashboard!$D$6=INDEX('Scenario names'!$C$3:$C$6,2),'2.4 PV (by Borough)'!AX325,IF(Dashboard!$D$6=INDEX('Scenario names'!$C$3:$C$6,3),'2.4 PV (by Borough)'!AX366,"Error")))))</f>
        <v>3692874.6068881904</v>
      </c>
      <c r="AY407" s="36"/>
      <c r="AZ407" s="36"/>
      <c r="BA407" s="36"/>
      <c r="BB407" s="36"/>
    </row>
    <row r="408" spans="4:54">
      <c r="D408" t="s">
        <v>660</v>
      </c>
      <c r="E408" t="s">
        <v>657</v>
      </c>
      <c r="G408" s="44"/>
      <c r="I408" s="44"/>
      <c r="K408" s="44"/>
      <c r="M408" s="44"/>
      <c r="O408" s="36">
        <f>IF(Dashboard!$D$6="Baseline",'2.4 PV (by Borough)'!O244,IF(Dashboard!$D$6=INDEX('Scenario names'!$C$3:$C$6,4),'2.4 PV (by Borough)'!O367,IF(Dashboard!$D$6=INDEX('Scenario names'!$C$3:$C$6,1),'2.4 PV (by Borough)'!O326,IF(Dashboard!$D$6=INDEX('Scenario names'!$C$3:$C$6,2),'2.4 PV (by Borough)'!O326,IF(Dashboard!$D$6=INDEX('Scenario names'!$C$3:$C$6,3),'2.4 PV (by Borough)'!O367,"Error")))))</f>
        <v>179524.85226980981</v>
      </c>
      <c r="P408" s="36">
        <f>IF(Dashboard!$D$6="Baseline",'2.4 PV (by Borough)'!P244,IF(Dashboard!$D$6=INDEX('Scenario names'!$C$3:$C$6,4),'2.4 PV (by Borough)'!P367,IF(Dashboard!$D$6=INDEX('Scenario names'!$C$3:$C$6,1),'2.4 PV (by Borough)'!P326,IF(Dashboard!$D$6=INDEX('Scenario names'!$C$3:$C$6,2),'2.4 PV (by Borough)'!P326,IF(Dashboard!$D$6=INDEX('Scenario names'!$C$3:$C$6,3),'2.4 PV (by Borough)'!P367,"Error")))))</f>
        <v>322590.5365490375</v>
      </c>
      <c r="Q408" s="36">
        <f>IF(Dashboard!$D$6="Baseline",'2.4 PV (by Borough)'!Q244,IF(Dashboard!$D$6=INDEX('Scenario names'!$C$3:$C$6,4),'2.4 PV (by Borough)'!Q367,IF(Dashboard!$D$6=INDEX('Scenario names'!$C$3:$C$6,1),'2.4 PV (by Borough)'!Q326,IF(Dashboard!$D$6=INDEX('Scenario names'!$C$3:$C$6,2),'2.4 PV (by Borough)'!Q326,IF(Dashboard!$D$6=INDEX('Scenario names'!$C$3:$C$6,3),'2.4 PV (by Borough)'!Q367,"Error")))))</f>
        <v>465656.22082826507</v>
      </c>
      <c r="R408" s="36">
        <f>IF(Dashboard!$D$6="Baseline",'2.4 PV (by Borough)'!R244,IF(Dashboard!$D$6=INDEX('Scenario names'!$C$3:$C$6,4),'2.4 PV (by Borough)'!R367,IF(Dashboard!$D$6=INDEX('Scenario names'!$C$3:$C$6,1),'2.4 PV (by Borough)'!R326,IF(Dashboard!$D$6=INDEX('Scenario names'!$C$3:$C$6,2),'2.4 PV (by Borough)'!R326,IF(Dashboard!$D$6=INDEX('Scenario names'!$C$3:$C$6,3),'2.4 PV (by Borough)'!R367,"Error")))))</f>
        <v>608721.90510749281</v>
      </c>
      <c r="S408" s="36">
        <f>IF(Dashboard!$D$6="Baseline",'2.4 PV (by Borough)'!S244,IF(Dashboard!$D$6=INDEX('Scenario names'!$C$3:$C$6,4),'2.4 PV (by Borough)'!S367,IF(Dashboard!$D$6=INDEX('Scenario names'!$C$3:$C$6,1),'2.4 PV (by Borough)'!S326,IF(Dashboard!$D$6=INDEX('Scenario names'!$C$3:$C$6,2),'2.4 PV (by Borough)'!S326,IF(Dashboard!$D$6=INDEX('Scenario names'!$C$3:$C$6,3),'2.4 PV (by Borough)'!S367,"Error")))))</f>
        <v>751787.58938672044</v>
      </c>
      <c r="T408" s="36">
        <f>IF(Dashboard!$D$6="Baseline",'2.4 PV (by Borough)'!T244,IF(Dashboard!$D$6=INDEX('Scenario names'!$C$3:$C$6,4),'2.4 PV (by Borough)'!T367,IF(Dashboard!$D$6=INDEX('Scenario names'!$C$3:$C$6,1),'2.4 PV (by Borough)'!T326,IF(Dashboard!$D$6=INDEX('Scenario names'!$C$3:$C$6,2),'2.4 PV (by Borough)'!T326,IF(Dashboard!$D$6=INDEX('Scenario names'!$C$3:$C$6,3),'2.4 PV (by Borough)'!T367,"Error")))))</f>
        <v>894853.27366594819</v>
      </c>
      <c r="U408" s="36">
        <f>IF(Dashboard!$D$6="Baseline",'2.4 PV (by Borough)'!U244,IF(Dashboard!$D$6=INDEX('Scenario names'!$C$3:$C$6,4),'2.4 PV (by Borough)'!U367,IF(Dashboard!$D$6=INDEX('Scenario names'!$C$3:$C$6,1),'2.4 PV (by Borough)'!U326,IF(Dashboard!$D$6=INDEX('Scenario names'!$C$3:$C$6,2),'2.4 PV (by Borough)'!U326,IF(Dashboard!$D$6=INDEX('Scenario names'!$C$3:$C$6,3),'2.4 PV (by Borough)'!U367,"Error")))))</f>
        <v>1037918.9579451757</v>
      </c>
      <c r="V408" s="36">
        <f>IF(Dashboard!$D$6="Baseline",'2.4 PV (by Borough)'!V244,IF(Dashboard!$D$6=INDEX('Scenario names'!$C$3:$C$6,4),'2.4 PV (by Borough)'!V367,IF(Dashboard!$D$6=INDEX('Scenario names'!$C$3:$C$6,1),'2.4 PV (by Borough)'!V326,IF(Dashboard!$D$6=INDEX('Scenario names'!$C$3:$C$6,2),'2.4 PV (by Borough)'!V326,IF(Dashboard!$D$6=INDEX('Scenario names'!$C$3:$C$6,3),'2.4 PV (by Borough)'!V367,"Error")))))</f>
        <v>1180984.6422244036</v>
      </c>
      <c r="W408" s="36">
        <f>IF(Dashboard!$D$6="Baseline",'2.4 PV (by Borough)'!W244,IF(Dashboard!$D$6=INDEX('Scenario names'!$C$3:$C$6,4),'2.4 PV (by Borough)'!W367,IF(Dashboard!$D$6=INDEX('Scenario names'!$C$3:$C$6,1),'2.4 PV (by Borough)'!W326,IF(Dashboard!$D$6=INDEX('Scenario names'!$C$3:$C$6,2),'2.4 PV (by Borough)'!W326,IF(Dashboard!$D$6=INDEX('Scenario names'!$C$3:$C$6,3),'2.4 PV (by Borough)'!W367,"Error")))))</f>
        <v>1324050.3265036312</v>
      </c>
      <c r="X408" s="36">
        <f>IF(Dashboard!$D$6="Baseline",'2.4 PV (by Borough)'!X244,IF(Dashboard!$D$6=INDEX('Scenario names'!$C$3:$C$6,4),'2.4 PV (by Borough)'!X367,IF(Dashboard!$D$6=INDEX('Scenario names'!$C$3:$C$6,1),'2.4 PV (by Borough)'!X326,IF(Dashboard!$D$6=INDEX('Scenario names'!$C$3:$C$6,2),'2.4 PV (by Borough)'!X326,IF(Dashboard!$D$6=INDEX('Scenario names'!$C$3:$C$6,3),'2.4 PV (by Borough)'!X367,"Error")))))</f>
        <v>1467116.0107828588</v>
      </c>
      <c r="Y408" s="36">
        <f>IF(Dashboard!$D$6="Baseline",'2.4 PV (by Borough)'!Y244,IF(Dashboard!$D$6=INDEX('Scenario names'!$C$3:$C$6,4),'2.4 PV (by Borough)'!Y367,IF(Dashboard!$D$6=INDEX('Scenario names'!$C$3:$C$6,1),'2.4 PV (by Borough)'!Y326,IF(Dashboard!$D$6=INDEX('Scenario names'!$C$3:$C$6,2),'2.4 PV (by Borough)'!Y326,IF(Dashboard!$D$6=INDEX('Scenario names'!$C$3:$C$6,3),'2.4 PV (by Borough)'!Y367,"Error")))))</f>
        <v>1610181.6950620862</v>
      </c>
      <c r="Z408" s="36">
        <f>IF(Dashboard!$D$6="Baseline",'2.4 PV (by Borough)'!Z244,IF(Dashboard!$D$6=INDEX('Scenario names'!$C$3:$C$6,4),'2.4 PV (by Borough)'!Z367,IF(Dashboard!$D$6=INDEX('Scenario names'!$C$3:$C$6,1),'2.4 PV (by Borough)'!Z326,IF(Dashboard!$D$6=INDEX('Scenario names'!$C$3:$C$6,2),'2.4 PV (by Borough)'!Z326,IF(Dashboard!$D$6=INDEX('Scenario names'!$C$3:$C$6,3),'2.4 PV (by Borough)'!Z367,"Error")))))</f>
        <v>1926238.985251375</v>
      </c>
      <c r="AA408" s="36">
        <f>IF(Dashboard!$D$6="Baseline",'2.4 PV (by Borough)'!AA244,IF(Dashboard!$D$6=INDEX('Scenario names'!$C$3:$C$6,4),'2.4 PV (by Borough)'!AA367,IF(Dashboard!$D$6=INDEX('Scenario names'!$C$3:$C$6,1),'2.4 PV (by Borough)'!AA326,IF(Dashboard!$D$6=INDEX('Scenario names'!$C$3:$C$6,2),'2.4 PV (by Borough)'!AA326,IF(Dashboard!$D$6=INDEX('Scenario names'!$C$3:$C$6,3),'2.4 PV (by Borough)'!AA367,"Error")))))</f>
        <v>2242296.2754406631</v>
      </c>
      <c r="AB408" s="36">
        <f>IF(Dashboard!$D$6="Baseline",'2.4 PV (by Borough)'!AB244,IF(Dashboard!$D$6=INDEX('Scenario names'!$C$3:$C$6,4),'2.4 PV (by Borough)'!AB367,IF(Dashboard!$D$6=INDEX('Scenario names'!$C$3:$C$6,1),'2.4 PV (by Borough)'!AB326,IF(Dashboard!$D$6=INDEX('Scenario names'!$C$3:$C$6,2),'2.4 PV (by Borough)'!AB326,IF(Dashboard!$D$6=INDEX('Scenario names'!$C$3:$C$6,3),'2.4 PV (by Borough)'!AB367,"Error")))))</f>
        <v>2558353.5656299526</v>
      </c>
      <c r="AC408" s="36">
        <f>IF(Dashboard!$D$6="Baseline",'2.4 PV (by Borough)'!AC244,IF(Dashboard!$D$6=INDEX('Scenario names'!$C$3:$C$6,4),'2.4 PV (by Borough)'!AC367,IF(Dashboard!$D$6=INDEX('Scenario names'!$C$3:$C$6,1),'2.4 PV (by Borough)'!AC326,IF(Dashboard!$D$6=INDEX('Scenario names'!$C$3:$C$6,2),'2.4 PV (by Borough)'!AC326,IF(Dashboard!$D$6=INDEX('Scenario names'!$C$3:$C$6,3),'2.4 PV (by Borough)'!AC367,"Error")))))</f>
        <v>2874410.8558192407</v>
      </c>
      <c r="AD408" s="36">
        <f>IF(Dashboard!$D$6="Baseline",'2.4 PV (by Borough)'!AD244,IF(Dashboard!$D$6=INDEX('Scenario names'!$C$3:$C$6,4),'2.4 PV (by Borough)'!AD367,IF(Dashboard!$D$6=INDEX('Scenario names'!$C$3:$C$6,1),'2.4 PV (by Borough)'!AD326,IF(Dashboard!$D$6=INDEX('Scenario names'!$C$3:$C$6,2),'2.4 PV (by Borough)'!AD326,IF(Dashboard!$D$6=INDEX('Scenario names'!$C$3:$C$6,3),'2.4 PV (by Borough)'!AD367,"Error")))))</f>
        <v>3190468.1460085292</v>
      </c>
      <c r="AE408" s="36">
        <f>IF(Dashboard!$D$6="Baseline",'2.4 PV (by Borough)'!AE244,IF(Dashboard!$D$6=INDEX('Scenario names'!$C$3:$C$6,4),'2.4 PV (by Borough)'!AE367,IF(Dashboard!$D$6=INDEX('Scenario names'!$C$3:$C$6,1),'2.4 PV (by Borough)'!AE326,IF(Dashboard!$D$6=INDEX('Scenario names'!$C$3:$C$6,2),'2.4 PV (by Borough)'!AE326,IF(Dashboard!$D$6=INDEX('Scenario names'!$C$3:$C$6,3),'2.4 PV (by Borough)'!AE367,"Error")))))</f>
        <v>3506525.4361978183</v>
      </c>
      <c r="AF408" s="36">
        <f>IF(Dashboard!$D$6="Baseline",'2.4 PV (by Borough)'!AF244,IF(Dashboard!$D$6=INDEX('Scenario names'!$C$3:$C$6,4),'2.4 PV (by Borough)'!AF367,IF(Dashboard!$D$6=INDEX('Scenario names'!$C$3:$C$6,1),'2.4 PV (by Borough)'!AF326,IF(Dashboard!$D$6=INDEX('Scenario names'!$C$3:$C$6,2),'2.4 PV (by Borough)'!AF326,IF(Dashboard!$D$6=INDEX('Scenario names'!$C$3:$C$6,3),'2.4 PV (by Borough)'!AF367,"Error")))))</f>
        <v>3822582.7263871054</v>
      </c>
      <c r="AG408" s="36">
        <f>IF(Dashboard!$D$6="Baseline",'2.4 PV (by Borough)'!AG244,IF(Dashboard!$D$6=INDEX('Scenario names'!$C$3:$C$6,4),'2.4 PV (by Borough)'!AG367,IF(Dashboard!$D$6=INDEX('Scenario names'!$C$3:$C$6,1),'2.4 PV (by Borough)'!AG326,IF(Dashboard!$D$6=INDEX('Scenario names'!$C$3:$C$6,2),'2.4 PV (by Borough)'!AG326,IF(Dashboard!$D$6=INDEX('Scenario names'!$C$3:$C$6,3),'2.4 PV (by Borough)'!AG367,"Error")))))</f>
        <v>4138640.0165763954</v>
      </c>
      <c r="AH408" s="36">
        <f>IF(Dashboard!$D$6="Baseline",'2.4 PV (by Borough)'!AH244,IF(Dashboard!$D$6=INDEX('Scenario names'!$C$3:$C$6,4),'2.4 PV (by Borough)'!AH367,IF(Dashboard!$D$6=INDEX('Scenario names'!$C$3:$C$6,1),'2.4 PV (by Borough)'!AH326,IF(Dashboard!$D$6=INDEX('Scenario names'!$C$3:$C$6,2),'2.4 PV (by Borough)'!AH326,IF(Dashboard!$D$6=INDEX('Scenario names'!$C$3:$C$6,3),'2.4 PV (by Borough)'!AH367,"Error")))))</f>
        <v>4454697.306765683</v>
      </c>
      <c r="AI408" s="36">
        <f>IF(Dashboard!$D$6="Baseline",'2.4 PV (by Borough)'!AI244,IF(Dashboard!$D$6=INDEX('Scenario names'!$C$3:$C$6,4),'2.4 PV (by Borough)'!AI367,IF(Dashboard!$D$6=INDEX('Scenario names'!$C$3:$C$6,1),'2.4 PV (by Borough)'!AI326,IF(Dashboard!$D$6=INDEX('Scenario names'!$C$3:$C$6,2),'2.4 PV (by Borough)'!AI326,IF(Dashboard!$D$6=INDEX('Scenario names'!$C$3:$C$6,3),'2.4 PV (by Borough)'!AI367,"Error")))))</f>
        <v>4770754.5969549716</v>
      </c>
      <c r="AJ408" s="36">
        <f>IF(Dashboard!$D$6="Baseline",'2.4 PV (by Borough)'!AJ244,IF(Dashboard!$D$6=INDEX('Scenario names'!$C$3:$C$6,4),'2.4 PV (by Borough)'!AJ367,IF(Dashboard!$D$6=INDEX('Scenario names'!$C$3:$C$6,1),'2.4 PV (by Borough)'!AJ326,IF(Dashboard!$D$6=INDEX('Scenario names'!$C$3:$C$6,2),'2.4 PV (by Borough)'!AJ326,IF(Dashboard!$D$6=INDEX('Scenario names'!$C$3:$C$6,3),'2.4 PV (by Borough)'!AJ367,"Error")))))</f>
        <v>5086811.8871442601</v>
      </c>
      <c r="AK408" s="36">
        <f>IF(Dashboard!$D$6="Baseline",'2.4 PV (by Borough)'!AK244,IF(Dashboard!$D$6=INDEX('Scenario names'!$C$3:$C$6,4),'2.4 PV (by Borough)'!AK367,IF(Dashboard!$D$6=INDEX('Scenario names'!$C$3:$C$6,1),'2.4 PV (by Borough)'!AK326,IF(Dashboard!$D$6=INDEX('Scenario names'!$C$3:$C$6,2),'2.4 PV (by Borough)'!AK326,IF(Dashboard!$D$6=INDEX('Scenario names'!$C$3:$C$6,3),'2.4 PV (by Borough)'!AK367,"Error")))))</f>
        <v>5402869.1773335505</v>
      </c>
      <c r="AL408" s="36">
        <f>IF(Dashboard!$D$6="Baseline",'2.4 PV (by Borough)'!AL244,IF(Dashboard!$D$6=INDEX('Scenario names'!$C$3:$C$6,4),'2.4 PV (by Borough)'!AL367,IF(Dashboard!$D$6=INDEX('Scenario names'!$C$3:$C$6,1),'2.4 PV (by Borough)'!AL326,IF(Dashboard!$D$6=INDEX('Scenario names'!$C$3:$C$6,2),'2.4 PV (by Borough)'!AL326,IF(Dashboard!$D$6=INDEX('Scenario names'!$C$3:$C$6,3),'2.4 PV (by Borough)'!AL367,"Error")))))</f>
        <v>5718926.4675228382</v>
      </c>
      <c r="AM408" s="36">
        <f>IF(Dashboard!$D$6="Baseline",'2.4 PV (by Borough)'!AM244,IF(Dashboard!$D$6=INDEX('Scenario names'!$C$3:$C$6,4),'2.4 PV (by Borough)'!AM367,IF(Dashboard!$D$6=INDEX('Scenario names'!$C$3:$C$6,1),'2.4 PV (by Borough)'!AM326,IF(Dashboard!$D$6=INDEX('Scenario names'!$C$3:$C$6,2),'2.4 PV (by Borough)'!AM326,IF(Dashboard!$D$6=INDEX('Scenario names'!$C$3:$C$6,3),'2.4 PV (by Borough)'!AM367,"Error")))))</f>
        <v>6034983.7577121267</v>
      </c>
      <c r="AN408" s="36">
        <f>IF(Dashboard!$D$6="Baseline",'2.4 PV (by Borough)'!AN244,IF(Dashboard!$D$6=INDEX('Scenario names'!$C$3:$C$6,4),'2.4 PV (by Borough)'!AN367,IF(Dashboard!$D$6=INDEX('Scenario names'!$C$3:$C$6,1),'2.4 PV (by Borough)'!AN326,IF(Dashboard!$D$6=INDEX('Scenario names'!$C$3:$C$6,2),'2.4 PV (by Borough)'!AN326,IF(Dashboard!$D$6=INDEX('Scenario names'!$C$3:$C$6,3),'2.4 PV (by Borough)'!AN367,"Error")))))</f>
        <v>6351041.0479014143</v>
      </c>
      <c r="AO408" s="36">
        <f>IF(Dashboard!$D$6="Baseline",'2.4 PV (by Borough)'!AO244,IF(Dashboard!$D$6=INDEX('Scenario names'!$C$3:$C$6,4),'2.4 PV (by Borough)'!AO367,IF(Dashboard!$D$6=INDEX('Scenario names'!$C$3:$C$6,1),'2.4 PV (by Borough)'!AO326,IF(Dashboard!$D$6=INDEX('Scenario names'!$C$3:$C$6,2),'2.4 PV (by Borough)'!AO326,IF(Dashboard!$D$6=INDEX('Scenario names'!$C$3:$C$6,3),'2.4 PV (by Borough)'!AO367,"Error")))))</f>
        <v>6667098.3380907048</v>
      </c>
      <c r="AP408" s="36">
        <f>IF(Dashboard!$D$6="Baseline",'2.4 PV (by Borough)'!AP244,IF(Dashboard!$D$6=INDEX('Scenario names'!$C$3:$C$6,4),'2.4 PV (by Borough)'!AP367,IF(Dashboard!$D$6=INDEX('Scenario names'!$C$3:$C$6,1),'2.4 PV (by Borough)'!AP326,IF(Dashboard!$D$6=INDEX('Scenario names'!$C$3:$C$6,2),'2.4 PV (by Borough)'!AP326,IF(Dashboard!$D$6=INDEX('Scenario names'!$C$3:$C$6,3),'2.4 PV (by Borough)'!AP367,"Error")))))</f>
        <v>6983155.6282799933</v>
      </c>
      <c r="AQ408" s="36">
        <f>IF(Dashboard!$D$6="Baseline",'2.4 PV (by Borough)'!AQ244,IF(Dashboard!$D$6=INDEX('Scenario names'!$C$3:$C$6,4),'2.4 PV (by Borough)'!AQ367,IF(Dashboard!$D$6=INDEX('Scenario names'!$C$3:$C$6,1),'2.4 PV (by Borough)'!AQ326,IF(Dashboard!$D$6=INDEX('Scenario names'!$C$3:$C$6,2),'2.4 PV (by Borough)'!AQ326,IF(Dashboard!$D$6=INDEX('Scenario names'!$C$3:$C$6,3),'2.4 PV (by Borough)'!AQ367,"Error")))))</f>
        <v>7299212.9184692809</v>
      </c>
      <c r="AR408" s="36">
        <f>IF(Dashboard!$D$6="Baseline",'2.4 PV (by Borough)'!AR244,IF(Dashboard!$D$6=INDEX('Scenario names'!$C$3:$C$6,4),'2.4 PV (by Borough)'!AR367,IF(Dashboard!$D$6=INDEX('Scenario names'!$C$3:$C$6,1),'2.4 PV (by Borough)'!AR326,IF(Dashboard!$D$6=INDEX('Scenario names'!$C$3:$C$6,2),'2.4 PV (by Borough)'!AR326,IF(Dashboard!$D$6=INDEX('Scenario names'!$C$3:$C$6,3),'2.4 PV (by Borough)'!AR367,"Error")))))</f>
        <v>7615270.2086585695</v>
      </c>
      <c r="AS408" s="36">
        <f>IF(Dashboard!$D$6="Baseline",'2.4 PV (by Borough)'!AS244,IF(Dashboard!$D$6=INDEX('Scenario names'!$C$3:$C$6,4),'2.4 PV (by Borough)'!AS367,IF(Dashboard!$D$6=INDEX('Scenario names'!$C$3:$C$6,1),'2.4 PV (by Borough)'!AS326,IF(Dashboard!$D$6=INDEX('Scenario names'!$C$3:$C$6,2),'2.4 PV (by Borough)'!AS326,IF(Dashboard!$D$6=INDEX('Scenario names'!$C$3:$C$6,3),'2.4 PV (by Borough)'!AS367,"Error")))))</f>
        <v>7931327.4988478571</v>
      </c>
      <c r="AT408" s="36">
        <f>IF(Dashboard!$D$6="Baseline",'2.4 PV (by Borough)'!AT244,IF(Dashboard!$D$6=INDEX('Scenario names'!$C$3:$C$6,4),'2.4 PV (by Borough)'!AT367,IF(Dashboard!$D$6=INDEX('Scenario names'!$C$3:$C$6,1),'2.4 PV (by Borough)'!AT326,IF(Dashboard!$D$6=INDEX('Scenario names'!$C$3:$C$6,2),'2.4 PV (by Borough)'!AT326,IF(Dashboard!$D$6=INDEX('Scenario names'!$C$3:$C$6,3),'2.4 PV (by Borough)'!AT367,"Error")))))</f>
        <v>8247384.7890371475</v>
      </c>
      <c r="AU408" s="36">
        <f>IF(Dashboard!$D$6="Baseline",'2.4 PV (by Borough)'!AU244,IF(Dashboard!$D$6=INDEX('Scenario names'!$C$3:$C$6,4),'2.4 PV (by Borough)'!AU367,IF(Dashboard!$D$6=INDEX('Scenario names'!$C$3:$C$6,1),'2.4 PV (by Borough)'!AU326,IF(Dashboard!$D$6=INDEX('Scenario names'!$C$3:$C$6,2),'2.4 PV (by Borough)'!AU326,IF(Dashboard!$D$6=INDEX('Scenario names'!$C$3:$C$6,3),'2.4 PV (by Borough)'!AU367,"Error")))))</f>
        <v>8563442.0792264361</v>
      </c>
      <c r="AV408" s="36">
        <f>IF(Dashboard!$D$6="Baseline",'2.4 PV (by Borough)'!AV244,IF(Dashboard!$D$6=INDEX('Scenario names'!$C$3:$C$6,4),'2.4 PV (by Borough)'!AV367,IF(Dashboard!$D$6=INDEX('Scenario names'!$C$3:$C$6,1),'2.4 PV (by Borough)'!AV326,IF(Dashboard!$D$6=INDEX('Scenario names'!$C$3:$C$6,2),'2.4 PV (by Borough)'!AV326,IF(Dashboard!$D$6=INDEX('Scenario names'!$C$3:$C$6,3),'2.4 PV (by Borough)'!AV367,"Error")))))</f>
        <v>8879499.3694157228</v>
      </c>
      <c r="AW408" s="36">
        <f>IF(Dashboard!$D$6="Baseline",'2.4 PV (by Borough)'!AW244,IF(Dashboard!$D$6=INDEX('Scenario names'!$C$3:$C$6,4),'2.4 PV (by Borough)'!AW367,IF(Dashboard!$D$6=INDEX('Scenario names'!$C$3:$C$6,1),'2.4 PV (by Borough)'!AW326,IF(Dashboard!$D$6=INDEX('Scenario names'!$C$3:$C$6,2),'2.4 PV (by Borough)'!AW326,IF(Dashboard!$D$6=INDEX('Scenario names'!$C$3:$C$6,3),'2.4 PV (by Borough)'!AW367,"Error")))))</f>
        <v>9195556.6596050113</v>
      </c>
      <c r="AX408" s="36">
        <f>IF(Dashboard!$D$6="Baseline",'2.4 PV (by Borough)'!AX244,IF(Dashboard!$D$6=INDEX('Scenario names'!$C$3:$C$6,4),'2.4 PV (by Borough)'!AX367,IF(Dashboard!$D$6=INDEX('Scenario names'!$C$3:$C$6,1),'2.4 PV (by Borough)'!AX326,IF(Dashboard!$D$6=INDEX('Scenario names'!$C$3:$C$6,2),'2.4 PV (by Borough)'!AX326,IF(Dashboard!$D$6=INDEX('Scenario names'!$C$3:$C$6,3),'2.4 PV (by Borough)'!AX367,"Error")))))</f>
        <v>9511613.9497942999</v>
      </c>
      <c r="AY408" s="36"/>
      <c r="AZ408" s="36"/>
      <c r="BA408" s="36"/>
      <c r="BB408" s="36"/>
    </row>
    <row r="409" spans="4:54">
      <c r="D409" t="s">
        <v>661</v>
      </c>
      <c r="E409" t="s">
        <v>658</v>
      </c>
      <c r="G409" s="44"/>
      <c r="I409" s="44"/>
      <c r="K409" s="44"/>
      <c r="M409" s="44"/>
      <c r="O409" s="36">
        <f>IF(Dashboard!$D$6="Baseline",'2.4 PV (by Borough)'!O245,IF(Dashboard!$D$6=INDEX('Scenario names'!$C$3:$C$6,4),'2.4 PV (by Borough)'!O368,IF(Dashboard!$D$6=INDEX('Scenario names'!$C$3:$C$6,1),'2.4 PV (by Borough)'!O327,IF(Dashboard!$D$6=INDEX('Scenario names'!$C$3:$C$6,2),'2.4 PV (by Borough)'!O327,IF(Dashboard!$D$6=INDEX('Scenario names'!$C$3:$C$6,3),'2.4 PV (by Borough)'!O368,"Error")))))</f>
        <v>250401.89639930151</v>
      </c>
      <c r="P409" s="36">
        <f>IF(Dashboard!$D$6="Baseline",'2.4 PV (by Borough)'!P245,IF(Dashboard!$D$6=INDEX('Scenario names'!$C$3:$C$6,4),'2.4 PV (by Borough)'!P368,IF(Dashboard!$D$6=INDEX('Scenario names'!$C$3:$C$6,1),'2.4 PV (by Borough)'!P327,IF(Dashboard!$D$6=INDEX('Scenario names'!$C$3:$C$6,2),'2.4 PV (by Borough)'!P327,IF(Dashboard!$D$6=INDEX('Scenario names'!$C$3:$C$6,3),'2.4 PV (by Borough)'!P368,"Error")))))</f>
        <v>419268.66346423846</v>
      </c>
      <c r="Q409" s="36">
        <f>IF(Dashboard!$D$6="Baseline",'2.4 PV (by Borough)'!Q245,IF(Dashboard!$D$6=INDEX('Scenario names'!$C$3:$C$6,4),'2.4 PV (by Borough)'!Q368,IF(Dashboard!$D$6=INDEX('Scenario names'!$C$3:$C$6,1),'2.4 PV (by Borough)'!Q327,IF(Dashboard!$D$6=INDEX('Scenario names'!$C$3:$C$6,2),'2.4 PV (by Borough)'!Q327,IF(Dashboard!$D$6=INDEX('Scenario names'!$C$3:$C$6,3),'2.4 PV (by Borough)'!Q368,"Error")))))</f>
        <v>588135.43052917521</v>
      </c>
      <c r="R409" s="36">
        <f>IF(Dashboard!$D$6="Baseline",'2.4 PV (by Borough)'!R245,IF(Dashboard!$D$6=INDEX('Scenario names'!$C$3:$C$6,4),'2.4 PV (by Borough)'!R368,IF(Dashboard!$D$6=INDEX('Scenario names'!$C$3:$C$6,1),'2.4 PV (by Borough)'!R327,IF(Dashboard!$D$6=INDEX('Scenario names'!$C$3:$C$6,2),'2.4 PV (by Borough)'!R327,IF(Dashboard!$D$6=INDEX('Scenario names'!$C$3:$C$6,3),'2.4 PV (by Borough)'!R368,"Error")))))</f>
        <v>757002.19759411213</v>
      </c>
      <c r="S409" s="36">
        <f>IF(Dashboard!$D$6="Baseline",'2.4 PV (by Borough)'!S245,IF(Dashboard!$D$6=INDEX('Scenario names'!$C$3:$C$6,4),'2.4 PV (by Borough)'!S368,IF(Dashboard!$D$6=INDEX('Scenario names'!$C$3:$C$6,1),'2.4 PV (by Borough)'!S327,IF(Dashboard!$D$6=INDEX('Scenario names'!$C$3:$C$6,2),'2.4 PV (by Borough)'!S327,IF(Dashboard!$D$6=INDEX('Scenario names'!$C$3:$C$6,3),'2.4 PV (by Borough)'!S368,"Error")))))</f>
        <v>925868.96465904894</v>
      </c>
      <c r="T409" s="36">
        <f>IF(Dashboard!$D$6="Baseline",'2.4 PV (by Borough)'!T245,IF(Dashboard!$D$6=INDEX('Scenario names'!$C$3:$C$6,4),'2.4 PV (by Borough)'!T368,IF(Dashboard!$D$6=INDEX('Scenario names'!$C$3:$C$6,1),'2.4 PV (by Borough)'!T327,IF(Dashboard!$D$6=INDEX('Scenario names'!$C$3:$C$6,2),'2.4 PV (by Borough)'!T327,IF(Dashboard!$D$6=INDEX('Scenario names'!$C$3:$C$6,3),'2.4 PV (by Borough)'!T368,"Error")))))</f>
        <v>1094735.7317239856</v>
      </c>
      <c r="U409" s="36">
        <f>IF(Dashboard!$D$6="Baseline",'2.4 PV (by Borough)'!U245,IF(Dashboard!$D$6=INDEX('Scenario names'!$C$3:$C$6,4),'2.4 PV (by Borough)'!U368,IF(Dashboard!$D$6=INDEX('Scenario names'!$C$3:$C$6,1),'2.4 PV (by Borough)'!U327,IF(Dashboard!$D$6=INDEX('Scenario names'!$C$3:$C$6,2),'2.4 PV (by Borough)'!U327,IF(Dashboard!$D$6=INDEX('Scenario names'!$C$3:$C$6,3),'2.4 PV (by Borough)'!U368,"Error")))))</f>
        <v>1263602.4987889223</v>
      </c>
      <c r="V409" s="36">
        <f>IF(Dashboard!$D$6="Baseline",'2.4 PV (by Borough)'!V245,IF(Dashboard!$D$6=INDEX('Scenario names'!$C$3:$C$6,4),'2.4 PV (by Borough)'!V368,IF(Dashboard!$D$6=INDEX('Scenario names'!$C$3:$C$6,1),'2.4 PV (by Borough)'!V327,IF(Dashboard!$D$6=INDEX('Scenario names'!$C$3:$C$6,2),'2.4 PV (by Borough)'!V327,IF(Dashboard!$D$6=INDEX('Scenario names'!$C$3:$C$6,3),'2.4 PV (by Borough)'!V368,"Error")))))</f>
        <v>1432469.2658538595</v>
      </c>
      <c r="W409" s="36">
        <f>IF(Dashboard!$D$6="Baseline",'2.4 PV (by Borough)'!W245,IF(Dashboard!$D$6=INDEX('Scenario names'!$C$3:$C$6,4),'2.4 PV (by Borough)'!W368,IF(Dashboard!$D$6=INDEX('Scenario names'!$C$3:$C$6,1),'2.4 PV (by Borough)'!W327,IF(Dashboard!$D$6=INDEX('Scenario names'!$C$3:$C$6,2),'2.4 PV (by Borough)'!W327,IF(Dashboard!$D$6=INDEX('Scenario names'!$C$3:$C$6,3),'2.4 PV (by Borough)'!W368,"Error")))))</f>
        <v>1601336.0329187962</v>
      </c>
      <c r="X409" s="36">
        <f>IF(Dashboard!$D$6="Baseline",'2.4 PV (by Borough)'!X245,IF(Dashboard!$D$6=INDEX('Scenario names'!$C$3:$C$6,4),'2.4 PV (by Borough)'!X368,IF(Dashboard!$D$6=INDEX('Scenario names'!$C$3:$C$6,1),'2.4 PV (by Borough)'!X327,IF(Dashboard!$D$6=INDEX('Scenario names'!$C$3:$C$6,2),'2.4 PV (by Borough)'!X327,IF(Dashboard!$D$6=INDEX('Scenario names'!$C$3:$C$6,3),'2.4 PV (by Borough)'!X368,"Error")))))</f>
        <v>1770202.7999837333</v>
      </c>
      <c r="Y409" s="36">
        <f>IF(Dashboard!$D$6="Baseline",'2.4 PV (by Borough)'!Y245,IF(Dashboard!$D$6=INDEX('Scenario names'!$C$3:$C$6,4),'2.4 PV (by Borough)'!Y368,IF(Dashboard!$D$6=INDEX('Scenario names'!$C$3:$C$6,1),'2.4 PV (by Borough)'!Y327,IF(Dashboard!$D$6=INDEX('Scenario names'!$C$3:$C$6,2),'2.4 PV (by Borough)'!Y327,IF(Dashboard!$D$6=INDEX('Scenario names'!$C$3:$C$6,3),'2.4 PV (by Borough)'!Y368,"Error")))))</f>
        <v>1939069.5670486707</v>
      </c>
      <c r="Z409" s="36">
        <f>IF(Dashboard!$D$6="Baseline",'2.4 PV (by Borough)'!Z245,IF(Dashboard!$D$6=INDEX('Scenario names'!$C$3:$C$6,4),'2.4 PV (by Borough)'!Z368,IF(Dashboard!$D$6=INDEX('Scenario names'!$C$3:$C$6,1),'2.4 PV (by Borough)'!Z327,IF(Dashboard!$D$6=INDEX('Scenario names'!$C$3:$C$6,2),'2.4 PV (by Borough)'!Z327,IF(Dashboard!$D$6=INDEX('Scenario names'!$C$3:$C$6,3),'2.4 PV (by Borough)'!Z368,"Error")))))</f>
        <v>2032100.7103510485</v>
      </c>
      <c r="AA409" s="36">
        <f>IF(Dashboard!$D$6="Baseline",'2.4 PV (by Borough)'!AA245,IF(Dashboard!$D$6=INDEX('Scenario names'!$C$3:$C$6,4),'2.4 PV (by Borough)'!AA368,IF(Dashboard!$D$6=INDEX('Scenario names'!$C$3:$C$6,1),'2.4 PV (by Borough)'!AA327,IF(Dashboard!$D$6=INDEX('Scenario names'!$C$3:$C$6,2),'2.4 PV (by Borough)'!AA327,IF(Dashboard!$D$6=INDEX('Scenario names'!$C$3:$C$6,3),'2.4 PV (by Borough)'!AA368,"Error")))))</f>
        <v>2125131.8536534267</v>
      </c>
      <c r="AB409" s="36">
        <f>IF(Dashboard!$D$6="Baseline",'2.4 PV (by Borough)'!AB245,IF(Dashboard!$D$6=INDEX('Scenario names'!$C$3:$C$6,4),'2.4 PV (by Borough)'!AB368,IF(Dashboard!$D$6=INDEX('Scenario names'!$C$3:$C$6,1),'2.4 PV (by Borough)'!AB327,IF(Dashboard!$D$6=INDEX('Scenario names'!$C$3:$C$6,2),'2.4 PV (by Borough)'!AB327,IF(Dashboard!$D$6=INDEX('Scenario names'!$C$3:$C$6,3),'2.4 PV (by Borough)'!AB368,"Error")))))</f>
        <v>2218162.9969558059</v>
      </c>
      <c r="AC409" s="36">
        <f>IF(Dashboard!$D$6="Baseline",'2.4 PV (by Borough)'!AC245,IF(Dashboard!$D$6=INDEX('Scenario names'!$C$3:$C$6,4),'2.4 PV (by Borough)'!AC368,IF(Dashboard!$D$6=INDEX('Scenario names'!$C$3:$C$6,1),'2.4 PV (by Borough)'!AC327,IF(Dashboard!$D$6=INDEX('Scenario names'!$C$3:$C$6,2),'2.4 PV (by Borough)'!AC327,IF(Dashboard!$D$6=INDEX('Scenario names'!$C$3:$C$6,3),'2.4 PV (by Borough)'!AC368,"Error")))))</f>
        <v>2311194.1402581842</v>
      </c>
      <c r="AD409" s="36">
        <f>IF(Dashboard!$D$6="Baseline",'2.4 PV (by Borough)'!AD245,IF(Dashboard!$D$6=INDEX('Scenario names'!$C$3:$C$6,4),'2.4 PV (by Borough)'!AD368,IF(Dashboard!$D$6=INDEX('Scenario names'!$C$3:$C$6,1),'2.4 PV (by Borough)'!AD327,IF(Dashboard!$D$6=INDEX('Scenario names'!$C$3:$C$6,2),'2.4 PV (by Borough)'!AD327,IF(Dashboard!$D$6=INDEX('Scenario names'!$C$3:$C$6,3),'2.4 PV (by Borough)'!AD368,"Error")))))</f>
        <v>2404225.2835605624</v>
      </c>
      <c r="AE409" s="36">
        <f>IF(Dashboard!$D$6="Baseline",'2.4 PV (by Borough)'!AE245,IF(Dashboard!$D$6=INDEX('Scenario names'!$C$3:$C$6,4),'2.4 PV (by Borough)'!AE368,IF(Dashboard!$D$6=INDEX('Scenario names'!$C$3:$C$6,1),'2.4 PV (by Borough)'!AE327,IF(Dashboard!$D$6=INDEX('Scenario names'!$C$3:$C$6,2),'2.4 PV (by Borough)'!AE327,IF(Dashboard!$D$6=INDEX('Scenario names'!$C$3:$C$6,3),'2.4 PV (by Borough)'!AE368,"Error")))))</f>
        <v>2497256.4268629407</v>
      </c>
      <c r="AF409" s="36">
        <f>IF(Dashboard!$D$6="Baseline",'2.4 PV (by Borough)'!AF245,IF(Dashboard!$D$6=INDEX('Scenario names'!$C$3:$C$6,4),'2.4 PV (by Borough)'!AF368,IF(Dashboard!$D$6=INDEX('Scenario names'!$C$3:$C$6,1),'2.4 PV (by Borough)'!AF327,IF(Dashboard!$D$6=INDEX('Scenario names'!$C$3:$C$6,2),'2.4 PV (by Borough)'!AF327,IF(Dashboard!$D$6=INDEX('Scenario names'!$C$3:$C$6,3),'2.4 PV (by Borough)'!AF368,"Error")))))</f>
        <v>2590287.5701653203</v>
      </c>
      <c r="AG409" s="36">
        <f>IF(Dashboard!$D$6="Baseline",'2.4 PV (by Borough)'!AG245,IF(Dashboard!$D$6=INDEX('Scenario names'!$C$3:$C$6,4),'2.4 PV (by Borough)'!AG368,IF(Dashboard!$D$6=INDEX('Scenario names'!$C$3:$C$6,1),'2.4 PV (by Borough)'!AG327,IF(Dashboard!$D$6=INDEX('Scenario names'!$C$3:$C$6,2),'2.4 PV (by Borough)'!AG327,IF(Dashboard!$D$6=INDEX('Scenario names'!$C$3:$C$6,3),'2.4 PV (by Borough)'!AG368,"Error")))))</f>
        <v>2683318.7134676981</v>
      </c>
      <c r="AH409" s="36">
        <f>IF(Dashboard!$D$6="Baseline",'2.4 PV (by Borough)'!AH245,IF(Dashboard!$D$6=INDEX('Scenario names'!$C$3:$C$6,4),'2.4 PV (by Borough)'!AH368,IF(Dashboard!$D$6=INDEX('Scenario names'!$C$3:$C$6,1),'2.4 PV (by Borough)'!AH327,IF(Dashboard!$D$6=INDEX('Scenario names'!$C$3:$C$6,2),'2.4 PV (by Borough)'!AH327,IF(Dashboard!$D$6=INDEX('Scenario names'!$C$3:$C$6,3),'2.4 PV (by Borough)'!AH368,"Error")))))</f>
        <v>2776349.8567700759</v>
      </c>
      <c r="AI409" s="36">
        <f>IF(Dashboard!$D$6="Baseline",'2.4 PV (by Borough)'!AI245,IF(Dashboard!$D$6=INDEX('Scenario names'!$C$3:$C$6,4),'2.4 PV (by Borough)'!AI368,IF(Dashboard!$D$6=INDEX('Scenario names'!$C$3:$C$6,1),'2.4 PV (by Borough)'!AI327,IF(Dashboard!$D$6=INDEX('Scenario names'!$C$3:$C$6,2),'2.4 PV (by Borough)'!AI327,IF(Dashboard!$D$6=INDEX('Scenario names'!$C$3:$C$6,3),'2.4 PV (by Borough)'!AI368,"Error")))))</f>
        <v>2869381.0000724541</v>
      </c>
      <c r="AJ409" s="36">
        <f>IF(Dashboard!$D$6="Baseline",'2.4 PV (by Borough)'!AJ245,IF(Dashboard!$D$6=INDEX('Scenario names'!$C$3:$C$6,4),'2.4 PV (by Borough)'!AJ368,IF(Dashboard!$D$6=INDEX('Scenario names'!$C$3:$C$6,1),'2.4 PV (by Borough)'!AJ327,IF(Dashboard!$D$6=INDEX('Scenario names'!$C$3:$C$6,2),'2.4 PV (by Borough)'!AJ327,IF(Dashboard!$D$6=INDEX('Scenario names'!$C$3:$C$6,3),'2.4 PV (by Borough)'!AJ368,"Error")))))</f>
        <v>2962412.1433748333</v>
      </c>
      <c r="AK409" s="36">
        <f>IF(Dashboard!$D$6="Baseline",'2.4 PV (by Borough)'!AK245,IF(Dashboard!$D$6=INDEX('Scenario names'!$C$3:$C$6,4),'2.4 PV (by Borough)'!AK368,IF(Dashboard!$D$6=INDEX('Scenario names'!$C$3:$C$6,1),'2.4 PV (by Borough)'!AK327,IF(Dashboard!$D$6=INDEX('Scenario names'!$C$3:$C$6,2),'2.4 PV (by Borough)'!AK327,IF(Dashboard!$D$6=INDEX('Scenario names'!$C$3:$C$6,3),'2.4 PV (by Borough)'!AK368,"Error")))))</f>
        <v>3055443.286677212</v>
      </c>
      <c r="AL409" s="36">
        <f>IF(Dashboard!$D$6="Baseline",'2.4 PV (by Borough)'!AL245,IF(Dashboard!$D$6=INDEX('Scenario names'!$C$3:$C$6,4),'2.4 PV (by Borough)'!AL368,IF(Dashboard!$D$6=INDEX('Scenario names'!$C$3:$C$6,1),'2.4 PV (by Borough)'!AL327,IF(Dashboard!$D$6=INDEX('Scenario names'!$C$3:$C$6,2),'2.4 PV (by Borough)'!AL327,IF(Dashboard!$D$6=INDEX('Scenario names'!$C$3:$C$6,3),'2.4 PV (by Borough)'!AL368,"Error")))))</f>
        <v>3148474.4299795898</v>
      </c>
      <c r="AM409" s="36">
        <f>IF(Dashboard!$D$6="Baseline",'2.4 PV (by Borough)'!AM245,IF(Dashboard!$D$6=INDEX('Scenario names'!$C$3:$C$6,4),'2.4 PV (by Borough)'!AM368,IF(Dashboard!$D$6=INDEX('Scenario names'!$C$3:$C$6,1),'2.4 PV (by Borough)'!AM327,IF(Dashboard!$D$6=INDEX('Scenario names'!$C$3:$C$6,2),'2.4 PV (by Borough)'!AM327,IF(Dashboard!$D$6=INDEX('Scenario names'!$C$3:$C$6,3),'2.4 PV (by Borough)'!AM368,"Error")))))</f>
        <v>3241505.5732819694</v>
      </c>
      <c r="AN409" s="36">
        <f>IF(Dashboard!$D$6="Baseline",'2.4 PV (by Borough)'!AN245,IF(Dashboard!$D$6=INDEX('Scenario names'!$C$3:$C$6,4),'2.4 PV (by Borough)'!AN368,IF(Dashboard!$D$6=INDEX('Scenario names'!$C$3:$C$6,1),'2.4 PV (by Borough)'!AN327,IF(Dashboard!$D$6=INDEX('Scenario names'!$C$3:$C$6,2),'2.4 PV (by Borough)'!AN327,IF(Dashboard!$D$6=INDEX('Scenario names'!$C$3:$C$6,3),'2.4 PV (by Borough)'!AN368,"Error")))))</f>
        <v>3334536.7165843472</v>
      </c>
      <c r="AO409" s="36">
        <f>IF(Dashboard!$D$6="Baseline",'2.4 PV (by Borough)'!AO245,IF(Dashboard!$D$6=INDEX('Scenario names'!$C$3:$C$6,4),'2.4 PV (by Borough)'!AO368,IF(Dashboard!$D$6=INDEX('Scenario names'!$C$3:$C$6,1),'2.4 PV (by Borough)'!AO327,IF(Dashboard!$D$6=INDEX('Scenario names'!$C$3:$C$6,2),'2.4 PV (by Borough)'!AO327,IF(Dashboard!$D$6=INDEX('Scenario names'!$C$3:$C$6,3),'2.4 PV (by Borough)'!AO368,"Error")))))</f>
        <v>3427567.8598867254</v>
      </c>
      <c r="AP409" s="36">
        <f>IF(Dashboard!$D$6="Baseline",'2.4 PV (by Borough)'!AP245,IF(Dashboard!$D$6=INDEX('Scenario names'!$C$3:$C$6,4),'2.4 PV (by Borough)'!AP368,IF(Dashboard!$D$6=INDEX('Scenario names'!$C$3:$C$6,1),'2.4 PV (by Borough)'!AP327,IF(Dashboard!$D$6=INDEX('Scenario names'!$C$3:$C$6,2),'2.4 PV (by Borough)'!AP327,IF(Dashboard!$D$6=INDEX('Scenario names'!$C$3:$C$6,3),'2.4 PV (by Borough)'!AP368,"Error")))))</f>
        <v>3520599.0031891037</v>
      </c>
      <c r="AQ409" s="36">
        <f>IF(Dashboard!$D$6="Baseline",'2.4 PV (by Borough)'!AQ245,IF(Dashboard!$D$6=INDEX('Scenario names'!$C$3:$C$6,4),'2.4 PV (by Borough)'!AQ368,IF(Dashboard!$D$6=INDEX('Scenario names'!$C$3:$C$6,1),'2.4 PV (by Borough)'!AQ327,IF(Dashboard!$D$6=INDEX('Scenario names'!$C$3:$C$6,2),'2.4 PV (by Borough)'!AQ327,IF(Dashboard!$D$6=INDEX('Scenario names'!$C$3:$C$6,3),'2.4 PV (by Borough)'!AQ368,"Error")))))</f>
        <v>3613630.1464914829</v>
      </c>
      <c r="AR409" s="36">
        <f>IF(Dashboard!$D$6="Baseline",'2.4 PV (by Borough)'!AR245,IF(Dashboard!$D$6=INDEX('Scenario names'!$C$3:$C$6,4),'2.4 PV (by Borough)'!AR368,IF(Dashboard!$D$6=INDEX('Scenario names'!$C$3:$C$6,1),'2.4 PV (by Borough)'!AR327,IF(Dashboard!$D$6=INDEX('Scenario names'!$C$3:$C$6,2),'2.4 PV (by Borough)'!AR327,IF(Dashboard!$D$6=INDEX('Scenario names'!$C$3:$C$6,3),'2.4 PV (by Borough)'!AR368,"Error")))))</f>
        <v>3706661.2897938606</v>
      </c>
      <c r="AS409" s="36">
        <f>IF(Dashboard!$D$6="Baseline",'2.4 PV (by Borough)'!AS245,IF(Dashboard!$D$6=INDEX('Scenario names'!$C$3:$C$6,4),'2.4 PV (by Borough)'!AS368,IF(Dashboard!$D$6=INDEX('Scenario names'!$C$3:$C$6,1),'2.4 PV (by Borough)'!AS327,IF(Dashboard!$D$6=INDEX('Scenario names'!$C$3:$C$6,2),'2.4 PV (by Borough)'!AS327,IF(Dashboard!$D$6=INDEX('Scenario names'!$C$3:$C$6,3),'2.4 PV (by Borough)'!AS368,"Error")))))</f>
        <v>3799692.4330962389</v>
      </c>
      <c r="AT409" s="36">
        <f>IF(Dashboard!$D$6="Baseline",'2.4 PV (by Borough)'!AT245,IF(Dashboard!$D$6=INDEX('Scenario names'!$C$3:$C$6,4),'2.4 PV (by Borough)'!AT368,IF(Dashboard!$D$6=INDEX('Scenario names'!$C$3:$C$6,1),'2.4 PV (by Borough)'!AT327,IF(Dashboard!$D$6=INDEX('Scenario names'!$C$3:$C$6,2),'2.4 PV (by Borough)'!AT327,IF(Dashboard!$D$6=INDEX('Scenario names'!$C$3:$C$6,3),'2.4 PV (by Borough)'!AT368,"Error")))))</f>
        <v>3892723.5763986181</v>
      </c>
      <c r="AU409" s="36">
        <f>IF(Dashboard!$D$6="Baseline",'2.4 PV (by Borough)'!AU245,IF(Dashboard!$D$6=INDEX('Scenario names'!$C$3:$C$6,4),'2.4 PV (by Borough)'!AU368,IF(Dashboard!$D$6=INDEX('Scenario names'!$C$3:$C$6,1),'2.4 PV (by Borough)'!AU327,IF(Dashboard!$D$6=INDEX('Scenario names'!$C$3:$C$6,2),'2.4 PV (by Borough)'!AU327,IF(Dashboard!$D$6=INDEX('Scenario names'!$C$3:$C$6,3),'2.4 PV (by Borough)'!AU368,"Error")))))</f>
        <v>3985754.7197009963</v>
      </c>
      <c r="AV409" s="36">
        <f>IF(Dashboard!$D$6="Baseline",'2.4 PV (by Borough)'!AV245,IF(Dashboard!$D$6=INDEX('Scenario names'!$C$3:$C$6,4),'2.4 PV (by Borough)'!AV368,IF(Dashboard!$D$6=INDEX('Scenario names'!$C$3:$C$6,1),'2.4 PV (by Borough)'!AV327,IF(Dashboard!$D$6=INDEX('Scenario names'!$C$3:$C$6,2),'2.4 PV (by Borough)'!AV327,IF(Dashboard!$D$6=INDEX('Scenario names'!$C$3:$C$6,3),'2.4 PV (by Borough)'!AV368,"Error")))))</f>
        <v>4078785.8630033741</v>
      </c>
      <c r="AW409" s="36">
        <f>IF(Dashboard!$D$6="Baseline",'2.4 PV (by Borough)'!AW245,IF(Dashboard!$D$6=INDEX('Scenario names'!$C$3:$C$6,4),'2.4 PV (by Borough)'!AW368,IF(Dashboard!$D$6=INDEX('Scenario names'!$C$3:$C$6,1),'2.4 PV (by Borough)'!AW327,IF(Dashboard!$D$6=INDEX('Scenario names'!$C$3:$C$6,2),'2.4 PV (by Borough)'!AW327,IF(Dashboard!$D$6=INDEX('Scenario names'!$C$3:$C$6,3),'2.4 PV (by Borough)'!AW368,"Error")))))</f>
        <v>4171817.0063057523</v>
      </c>
      <c r="AX409" s="36">
        <f>IF(Dashboard!$D$6="Baseline",'2.4 PV (by Borough)'!AX245,IF(Dashboard!$D$6=INDEX('Scenario names'!$C$3:$C$6,4),'2.4 PV (by Borough)'!AX368,IF(Dashboard!$D$6=INDEX('Scenario names'!$C$3:$C$6,1),'2.4 PV (by Borough)'!AX327,IF(Dashboard!$D$6=INDEX('Scenario names'!$C$3:$C$6,2),'2.4 PV (by Borough)'!AX327,IF(Dashboard!$D$6=INDEX('Scenario names'!$C$3:$C$6,3),'2.4 PV (by Borough)'!AX368,"Error")))))</f>
        <v>4264848.1496081296</v>
      </c>
      <c r="AY409" s="36"/>
      <c r="AZ409" s="36"/>
      <c r="BA409" s="36"/>
      <c r="BB409" s="36"/>
    </row>
    <row r="410" spans="4:54">
      <c r="D410" t="s">
        <v>661</v>
      </c>
      <c r="E410" t="s">
        <v>659</v>
      </c>
      <c r="G410" s="44"/>
      <c r="I410" s="44"/>
      <c r="K410" s="44"/>
      <c r="M410" s="44"/>
      <c r="O410" s="36">
        <f>IF(Dashboard!$D$6="Baseline",'2.4 PV (by Borough)'!O246,IF(Dashboard!$D$6=INDEX('Scenario names'!$C$3:$C$6,4),'2.4 PV (by Borough)'!O369,IF(Dashboard!$D$6=INDEX('Scenario names'!$C$3:$C$6,1),'2.4 PV (by Borough)'!O328,IF(Dashboard!$D$6=INDEX('Scenario names'!$C$3:$C$6,2),'2.4 PV (by Borough)'!O328,IF(Dashboard!$D$6=INDEX('Scenario names'!$C$3:$C$6,3),'2.4 PV (by Borough)'!O369,"Error")))))</f>
        <v>226221.30921591009</v>
      </c>
      <c r="P410" s="36">
        <f>IF(Dashboard!$D$6="Baseline",'2.4 PV (by Borough)'!P246,IF(Dashboard!$D$6=INDEX('Scenario names'!$C$3:$C$6,4),'2.4 PV (by Borough)'!P369,IF(Dashboard!$D$6=INDEX('Scenario names'!$C$3:$C$6,1),'2.4 PV (by Borough)'!P328,IF(Dashboard!$D$6=INDEX('Scenario names'!$C$3:$C$6,2),'2.4 PV (by Borough)'!P328,IF(Dashboard!$D$6=INDEX('Scenario names'!$C$3:$C$6,3),'2.4 PV (by Borough)'!P369,"Error")))))</f>
        <v>390804.04402019992</v>
      </c>
      <c r="Q410" s="36">
        <f>IF(Dashboard!$D$6="Baseline",'2.4 PV (by Borough)'!Q246,IF(Dashboard!$D$6=INDEX('Scenario names'!$C$3:$C$6,4),'2.4 PV (by Borough)'!Q369,IF(Dashboard!$D$6=INDEX('Scenario names'!$C$3:$C$6,1),'2.4 PV (by Borough)'!Q328,IF(Dashboard!$D$6=INDEX('Scenario names'!$C$3:$C$6,2),'2.4 PV (by Borough)'!Q328,IF(Dashboard!$D$6=INDEX('Scenario names'!$C$3:$C$6,3),'2.4 PV (by Borough)'!Q369,"Error")))))</f>
        <v>555386.77882449003</v>
      </c>
      <c r="R410" s="36">
        <f>IF(Dashboard!$D$6="Baseline",'2.4 PV (by Borough)'!R246,IF(Dashboard!$D$6=INDEX('Scenario names'!$C$3:$C$6,4),'2.4 PV (by Borough)'!R369,IF(Dashboard!$D$6=INDEX('Scenario names'!$C$3:$C$6,1),'2.4 PV (by Borough)'!R328,IF(Dashboard!$D$6=INDEX('Scenario names'!$C$3:$C$6,2),'2.4 PV (by Borough)'!R328,IF(Dashboard!$D$6=INDEX('Scenario names'!$C$3:$C$6,3),'2.4 PV (by Borough)'!R369,"Error")))))</f>
        <v>719969.51362877968</v>
      </c>
      <c r="S410" s="36">
        <f>IF(Dashboard!$D$6="Baseline",'2.4 PV (by Borough)'!S246,IF(Dashboard!$D$6=INDEX('Scenario names'!$C$3:$C$6,4),'2.4 PV (by Borough)'!S369,IF(Dashboard!$D$6=INDEX('Scenario names'!$C$3:$C$6,1),'2.4 PV (by Borough)'!S328,IF(Dashboard!$D$6=INDEX('Scenario names'!$C$3:$C$6,2),'2.4 PV (by Borough)'!S328,IF(Dashboard!$D$6=INDEX('Scenario names'!$C$3:$C$6,3),'2.4 PV (by Borough)'!S369,"Error")))))</f>
        <v>884552.24843306979</v>
      </c>
      <c r="T410" s="36">
        <f>IF(Dashboard!$D$6="Baseline",'2.4 PV (by Borough)'!T246,IF(Dashboard!$D$6=INDEX('Scenario names'!$C$3:$C$6,4),'2.4 PV (by Borough)'!T369,IF(Dashboard!$D$6=INDEX('Scenario names'!$C$3:$C$6,1),'2.4 PV (by Borough)'!T328,IF(Dashboard!$D$6=INDEX('Scenario names'!$C$3:$C$6,2),'2.4 PV (by Borough)'!T328,IF(Dashboard!$D$6=INDEX('Scenario names'!$C$3:$C$6,3),'2.4 PV (by Borough)'!T369,"Error")))))</f>
        <v>1049134.9832373599</v>
      </c>
      <c r="U410" s="36">
        <f>IF(Dashboard!$D$6="Baseline",'2.4 PV (by Borough)'!U246,IF(Dashboard!$D$6=INDEX('Scenario names'!$C$3:$C$6,4),'2.4 PV (by Borough)'!U369,IF(Dashboard!$D$6=INDEX('Scenario names'!$C$3:$C$6,1),'2.4 PV (by Borough)'!U328,IF(Dashboard!$D$6=INDEX('Scenario names'!$C$3:$C$6,2),'2.4 PV (by Borough)'!U328,IF(Dashboard!$D$6=INDEX('Scenario names'!$C$3:$C$6,3),'2.4 PV (by Borough)'!U369,"Error")))))</f>
        <v>1213717.7180416496</v>
      </c>
      <c r="V410" s="36">
        <f>IF(Dashboard!$D$6="Baseline",'2.4 PV (by Borough)'!V246,IF(Dashboard!$D$6=INDEX('Scenario names'!$C$3:$C$6,4),'2.4 PV (by Borough)'!V369,IF(Dashboard!$D$6=INDEX('Scenario names'!$C$3:$C$6,1),'2.4 PV (by Borough)'!V328,IF(Dashboard!$D$6=INDEX('Scenario names'!$C$3:$C$6,2),'2.4 PV (by Borough)'!V328,IF(Dashboard!$D$6=INDEX('Scenario names'!$C$3:$C$6,3),'2.4 PV (by Borough)'!V369,"Error")))))</f>
        <v>1378300.4528459392</v>
      </c>
      <c r="W410" s="36">
        <f>IF(Dashboard!$D$6="Baseline",'2.4 PV (by Borough)'!W246,IF(Dashboard!$D$6=INDEX('Scenario names'!$C$3:$C$6,4),'2.4 PV (by Borough)'!W369,IF(Dashboard!$D$6=INDEX('Scenario names'!$C$3:$C$6,1),'2.4 PV (by Borough)'!W328,IF(Dashboard!$D$6=INDEX('Scenario names'!$C$3:$C$6,2),'2.4 PV (by Borough)'!W328,IF(Dashboard!$D$6=INDEX('Scenario names'!$C$3:$C$6,3),'2.4 PV (by Borough)'!W369,"Error")))))</f>
        <v>1542883.1876502293</v>
      </c>
      <c r="X410" s="36">
        <f>IF(Dashboard!$D$6="Baseline",'2.4 PV (by Borough)'!X246,IF(Dashboard!$D$6=INDEX('Scenario names'!$C$3:$C$6,4),'2.4 PV (by Borough)'!X369,IF(Dashboard!$D$6=INDEX('Scenario names'!$C$3:$C$6,1),'2.4 PV (by Borough)'!X328,IF(Dashboard!$D$6=INDEX('Scenario names'!$C$3:$C$6,2),'2.4 PV (by Borough)'!X328,IF(Dashboard!$D$6=INDEX('Scenario names'!$C$3:$C$6,3),'2.4 PV (by Borough)'!X369,"Error")))))</f>
        <v>1707465.9224545192</v>
      </c>
      <c r="Y410" s="36">
        <f>IF(Dashboard!$D$6="Baseline",'2.4 PV (by Borough)'!Y246,IF(Dashboard!$D$6=INDEX('Scenario names'!$C$3:$C$6,4),'2.4 PV (by Borough)'!Y369,IF(Dashboard!$D$6=INDEX('Scenario names'!$C$3:$C$6,1),'2.4 PV (by Borough)'!Y328,IF(Dashboard!$D$6=INDEX('Scenario names'!$C$3:$C$6,2),'2.4 PV (by Borough)'!Y328,IF(Dashboard!$D$6=INDEX('Scenario names'!$C$3:$C$6,3),'2.4 PV (by Borough)'!Y369,"Error")))))</f>
        <v>1872048.6572588093</v>
      </c>
      <c r="Z410" s="36">
        <f>IF(Dashboard!$D$6="Baseline",'2.4 PV (by Borough)'!Z246,IF(Dashboard!$D$6=INDEX('Scenario names'!$C$3:$C$6,4),'2.4 PV (by Borough)'!Z369,IF(Dashboard!$D$6=INDEX('Scenario names'!$C$3:$C$6,1),'2.4 PV (by Borough)'!Z328,IF(Dashboard!$D$6=INDEX('Scenario names'!$C$3:$C$6,2),'2.4 PV (by Borough)'!Z328,IF(Dashboard!$D$6=INDEX('Scenario names'!$C$3:$C$6,3),'2.4 PV (by Borough)'!Z369,"Error")))))</f>
        <v>2074436.3325307008</v>
      </c>
      <c r="AA410" s="36">
        <f>IF(Dashboard!$D$6="Baseline",'2.4 PV (by Borough)'!AA246,IF(Dashboard!$D$6=INDEX('Scenario names'!$C$3:$C$6,4),'2.4 PV (by Borough)'!AA369,IF(Dashboard!$D$6=INDEX('Scenario names'!$C$3:$C$6,1),'2.4 PV (by Borough)'!AA328,IF(Dashboard!$D$6=INDEX('Scenario names'!$C$3:$C$6,2),'2.4 PV (by Borough)'!AA328,IF(Dashboard!$D$6=INDEX('Scenario names'!$C$3:$C$6,3),'2.4 PV (by Borough)'!AA369,"Error")))))</f>
        <v>2276824.0078025931</v>
      </c>
      <c r="AB410" s="36">
        <f>IF(Dashboard!$D$6="Baseline",'2.4 PV (by Borough)'!AB246,IF(Dashboard!$D$6=INDEX('Scenario names'!$C$3:$C$6,4),'2.4 PV (by Borough)'!AB369,IF(Dashboard!$D$6=INDEX('Scenario names'!$C$3:$C$6,1),'2.4 PV (by Borough)'!AB328,IF(Dashboard!$D$6=INDEX('Scenario names'!$C$3:$C$6,2),'2.4 PV (by Borough)'!AB328,IF(Dashboard!$D$6=INDEX('Scenario names'!$C$3:$C$6,3),'2.4 PV (by Borough)'!AB369,"Error")))))</f>
        <v>2479211.6830744846</v>
      </c>
      <c r="AC410" s="36">
        <f>IF(Dashboard!$D$6="Baseline",'2.4 PV (by Borough)'!AC246,IF(Dashboard!$D$6=INDEX('Scenario names'!$C$3:$C$6,4),'2.4 PV (by Borough)'!AC369,IF(Dashboard!$D$6=INDEX('Scenario names'!$C$3:$C$6,1),'2.4 PV (by Borough)'!AC328,IF(Dashboard!$D$6=INDEX('Scenario names'!$C$3:$C$6,2),'2.4 PV (by Borough)'!AC328,IF(Dashboard!$D$6=INDEX('Scenario names'!$C$3:$C$6,3),'2.4 PV (by Borough)'!AC369,"Error")))))</f>
        <v>2681599.3583463761</v>
      </c>
      <c r="AD410" s="36">
        <f>IF(Dashboard!$D$6="Baseline",'2.4 PV (by Borough)'!AD246,IF(Dashboard!$D$6=INDEX('Scenario names'!$C$3:$C$6,4),'2.4 PV (by Borough)'!AD369,IF(Dashboard!$D$6=INDEX('Scenario names'!$C$3:$C$6,1),'2.4 PV (by Borough)'!AD328,IF(Dashboard!$D$6=INDEX('Scenario names'!$C$3:$C$6,2),'2.4 PV (by Borough)'!AD328,IF(Dashboard!$D$6=INDEX('Scenario names'!$C$3:$C$6,3),'2.4 PV (by Borough)'!AD369,"Error")))))</f>
        <v>2883987.0336182681</v>
      </c>
      <c r="AE410" s="36">
        <f>IF(Dashboard!$D$6="Baseline",'2.4 PV (by Borough)'!AE246,IF(Dashboard!$D$6=INDEX('Scenario names'!$C$3:$C$6,4),'2.4 PV (by Borough)'!AE369,IF(Dashboard!$D$6=INDEX('Scenario names'!$C$3:$C$6,1),'2.4 PV (by Borough)'!AE328,IF(Dashboard!$D$6=INDEX('Scenario names'!$C$3:$C$6,2),'2.4 PV (by Borough)'!AE328,IF(Dashboard!$D$6=INDEX('Scenario names'!$C$3:$C$6,3),'2.4 PV (by Borough)'!AE369,"Error")))))</f>
        <v>3086374.7088901596</v>
      </c>
      <c r="AF410" s="36">
        <f>IF(Dashboard!$D$6="Baseline",'2.4 PV (by Borough)'!AF246,IF(Dashboard!$D$6=INDEX('Scenario names'!$C$3:$C$6,4),'2.4 PV (by Borough)'!AF369,IF(Dashboard!$D$6=INDEX('Scenario names'!$C$3:$C$6,1),'2.4 PV (by Borough)'!AF328,IF(Dashboard!$D$6=INDEX('Scenario names'!$C$3:$C$6,2),'2.4 PV (by Borough)'!AF328,IF(Dashboard!$D$6=INDEX('Scenario names'!$C$3:$C$6,3),'2.4 PV (by Borough)'!AF369,"Error")))))</f>
        <v>3288762.3841620521</v>
      </c>
      <c r="AG410" s="36">
        <f>IF(Dashboard!$D$6="Baseline",'2.4 PV (by Borough)'!AG246,IF(Dashboard!$D$6=INDEX('Scenario names'!$C$3:$C$6,4),'2.4 PV (by Borough)'!AG369,IF(Dashboard!$D$6=INDEX('Scenario names'!$C$3:$C$6,1),'2.4 PV (by Borough)'!AG328,IF(Dashboard!$D$6=INDEX('Scenario names'!$C$3:$C$6,2),'2.4 PV (by Borough)'!AG328,IF(Dashboard!$D$6=INDEX('Scenario names'!$C$3:$C$6,3),'2.4 PV (by Borough)'!AG369,"Error")))))</f>
        <v>3491150.0594339436</v>
      </c>
      <c r="AH410" s="36">
        <f>IF(Dashboard!$D$6="Baseline",'2.4 PV (by Borough)'!AH246,IF(Dashboard!$D$6=INDEX('Scenario names'!$C$3:$C$6,4),'2.4 PV (by Borough)'!AH369,IF(Dashboard!$D$6=INDEX('Scenario names'!$C$3:$C$6,1),'2.4 PV (by Borough)'!AH328,IF(Dashboard!$D$6=INDEX('Scenario names'!$C$3:$C$6,2),'2.4 PV (by Borough)'!AH328,IF(Dashboard!$D$6=INDEX('Scenario names'!$C$3:$C$6,3),'2.4 PV (by Borough)'!AH369,"Error")))))</f>
        <v>3693537.734705836</v>
      </c>
      <c r="AI410" s="36">
        <f>IF(Dashboard!$D$6="Baseline",'2.4 PV (by Borough)'!AI246,IF(Dashboard!$D$6=INDEX('Scenario names'!$C$3:$C$6,4),'2.4 PV (by Borough)'!AI369,IF(Dashboard!$D$6=INDEX('Scenario names'!$C$3:$C$6,1),'2.4 PV (by Borough)'!AI328,IF(Dashboard!$D$6=INDEX('Scenario names'!$C$3:$C$6,2),'2.4 PV (by Borough)'!AI328,IF(Dashboard!$D$6=INDEX('Scenario names'!$C$3:$C$6,3),'2.4 PV (by Borough)'!AI369,"Error")))))</f>
        <v>3895925.4099777271</v>
      </c>
      <c r="AJ410" s="36">
        <f>IF(Dashboard!$D$6="Baseline",'2.4 PV (by Borough)'!AJ246,IF(Dashboard!$D$6=INDEX('Scenario names'!$C$3:$C$6,4),'2.4 PV (by Borough)'!AJ369,IF(Dashboard!$D$6=INDEX('Scenario names'!$C$3:$C$6,1),'2.4 PV (by Borough)'!AJ328,IF(Dashboard!$D$6=INDEX('Scenario names'!$C$3:$C$6,2),'2.4 PV (by Borough)'!AJ328,IF(Dashboard!$D$6=INDEX('Scenario names'!$C$3:$C$6,3),'2.4 PV (by Borough)'!AJ369,"Error")))))</f>
        <v>4098313.0852496196</v>
      </c>
      <c r="AK410" s="36">
        <f>IF(Dashboard!$D$6="Baseline",'2.4 PV (by Borough)'!AK246,IF(Dashboard!$D$6=INDEX('Scenario names'!$C$3:$C$6,4),'2.4 PV (by Borough)'!AK369,IF(Dashboard!$D$6=INDEX('Scenario names'!$C$3:$C$6,1),'2.4 PV (by Borough)'!AK328,IF(Dashboard!$D$6=INDEX('Scenario names'!$C$3:$C$6,2),'2.4 PV (by Borough)'!AK328,IF(Dashboard!$D$6=INDEX('Scenario names'!$C$3:$C$6,3),'2.4 PV (by Borough)'!AK369,"Error")))))</f>
        <v>4300700.7605215106</v>
      </c>
      <c r="AL410" s="36">
        <f>IF(Dashboard!$D$6="Baseline",'2.4 PV (by Borough)'!AL246,IF(Dashboard!$D$6=INDEX('Scenario names'!$C$3:$C$6,4),'2.4 PV (by Borough)'!AL369,IF(Dashboard!$D$6=INDEX('Scenario names'!$C$3:$C$6,1),'2.4 PV (by Borough)'!AL328,IF(Dashboard!$D$6=INDEX('Scenario names'!$C$3:$C$6,2),'2.4 PV (by Borough)'!AL328,IF(Dashboard!$D$6=INDEX('Scenario names'!$C$3:$C$6,3),'2.4 PV (by Borough)'!AL369,"Error")))))</f>
        <v>4503088.4357934035</v>
      </c>
      <c r="AM410" s="36">
        <f>IF(Dashboard!$D$6="Baseline",'2.4 PV (by Borough)'!AM246,IF(Dashboard!$D$6=INDEX('Scenario names'!$C$3:$C$6,4),'2.4 PV (by Borough)'!AM369,IF(Dashboard!$D$6=INDEX('Scenario names'!$C$3:$C$6,1),'2.4 PV (by Borough)'!AM328,IF(Dashboard!$D$6=INDEX('Scenario names'!$C$3:$C$6,2),'2.4 PV (by Borough)'!AM328,IF(Dashboard!$D$6=INDEX('Scenario names'!$C$3:$C$6,3),'2.4 PV (by Borough)'!AM369,"Error")))))</f>
        <v>4705476.1110652937</v>
      </c>
      <c r="AN410" s="36">
        <f>IF(Dashboard!$D$6="Baseline",'2.4 PV (by Borough)'!AN246,IF(Dashboard!$D$6=INDEX('Scenario names'!$C$3:$C$6,4),'2.4 PV (by Borough)'!AN369,IF(Dashboard!$D$6=INDEX('Scenario names'!$C$3:$C$6,1),'2.4 PV (by Borough)'!AN328,IF(Dashboard!$D$6=INDEX('Scenario names'!$C$3:$C$6,2),'2.4 PV (by Borough)'!AN328,IF(Dashboard!$D$6=INDEX('Scenario names'!$C$3:$C$6,3),'2.4 PV (by Borough)'!AN369,"Error")))))</f>
        <v>4907863.7863371866</v>
      </c>
      <c r="AO410" s="36">
        <f>IF(Dashboard!$D$6="Baseline",'2.4 PV (by Borough)'!AO246,IF(Dashboard!$D$6=INDEX('Scenario names'!$C$3:$C$6,4),'2.4 PV (by Borough)'!AO369,IF(Dashboard!$D$6=INDEX('Scenario names'!$C$3:$C$6,1),'2.4 PV (by Borough)'!AO328,IF(Dashboard!$D$6=INDEX('Scenario names'!$C$3:$C$6,2),'2.4 PV (by Borough)'!AO328,IF(Dashboard!$D$6=INDEX('Scenario names'!$C$3:$C$6,3),'2.4 PV (by Borough)'!AO369,"Error")))))</f>
        <v>5110251.4616090776</v>
      </c>
      <c r="AP410" s="36">
        <f>IF(Dashboard!$D$6="Baseline",'2.4 PV (by Borough)'!AP246,IF(Dashboard!$D$6=INDEX('Scenario names'!$C$3:$C$6,4),'2.4 PV (by Borough)'!AP369,IF(Dashboard!$D$6=INDEX('Scenario names'!$C$3:$C$6,1),'2.4 PV (by Borough)'!AP328,IF(Dashboard!$D$6=INDEX('Scenario names'!$C$3:$C$6,2),'2.4 PV (by Borough)'!AP328,IF(Dashboard!$D$6=INDEX('Scenario names'!$C$3:$C$6,3),'2.4 PV (by Borough)'!AP369,"Error")))))</f>
        <v>5312639.1368809687</v>
      </c>
      <c r="AQ410" s="36">
        <f>IF(Dashboard!$D$6="Baseline",'2.4 PV (by Borough)'!AQ246,IF(Dashboard!$D$6=INDEX('Scenario names'!$C$3:$C$6,4),'2.4 PV (by Borough)'!AQ369,IF(Dashboard!$D$6=INDEX('Scenario names'!$C$3:$C$6,1),'2.4 PV (by Borough)'!AQ328,IF(Dashboard!$D$6=INDEX('Scenario names'!$C$3:$C$6,2),'2.4 PV (by Borough)'!AQ328,IF(Dashboard!$D$6=INDEX('Scenario names'!$C$3:$C$6,3),'2.4 PV (by Borough)'!AQ369,"Error")))))</f>
        <v>5515026.8121528625</v>
      </c>
      <c r="AR410" s="36">
        <f>IF(Dashboard!$D$6="Baseline",'2.4 PV (by Borough)'!AR246,IF(Dashboard!$D$6=INDEX('Scenario names'!$C$3:$C$6,4),'2.4 PV (by Borough)'!AR369,IF(Dashboard!$D$6=INDEX('Scenario names'!$C$3:$C$6,1),'2.4 PV (by Borough)'!AR328,IF(Dashboard!$D$6=INDEX('Scenario names'!$C$3:$C$6,2),'2.4 PV (by Borough)'!AR328,IF(Dashboard!$D$6=INDEX('Scenario names'!$C$3:$C$6,3),'2.4 PV (by Borough)'!AR369,"Error")))))</f>
        <v>5717414.4874247527</v>
      </c>
      <c r="AS410" s="36">
        <f>IF(Dashboard!$D$6="Baseline",'2.4 PV (by Borough)'!AS246,IF(Dashboard!$D$6=INDEX('Scenario names'!$C$3:$C$6,4),'2.4 PV (by Borough)'!AS369,IF(Dashboard!$D$6=INDEX('Scenario names'!$C$3:$C$6,1),'2.4 PV (by Borough)'!AS328,IF(Dashboard!$D$6=INDEX('Scenario names'!$C$3:$C$6,2),'2.4 PV (by Borough)'!AS328,IF(Dashboard!$D$6=INDEX('Scenario names'!$C$3:$C$6,3),'2.4 PV (by Borough)'!AS369,"Error")))))</f>
        <v>5919802.1626966456</v>
      </c>
      <c r="AT410" s="36">
        <f>IF(Dashboard!$D$6="Baseline",'2.4 PV (by Borough)'!AT246,IF(Dashboard!$D$6=INDEX('Scenario names'!$C$3:$C$6,4),'2.4 PV (by Borough)'!AT369,IF(Dashboard!$D$6=INDEX('Scenario names'!$C$3:$C$6,1),'2.4 PV (by Borough)'!AT328,IF(Dashboard!$D$6=INDEX('Scenario names'!$C$3:$C$6,2),'2.4 PV (by Borough)'!AT328,IF(Dashboard!$D$6=INDEX('Scenario names'!$C$3:$C$6,3),'2.4 PV (by Borough)'!AT369,"Error")))))</f>
        <v>6122189.8379685376</v>
      </c>
      <c r="AU410" s="36">
        <f>IF(Dashboard!$D$6="Baseline",'2.4 PV (by Borough)'!AU246,IF(Dashboard!$D$6=INDEX('Scenario names'!$C$3:$C$6,4),'2.4 PV (by Borough)'!AU369,IF(Dashboard!$D$6=INDEX('Scenario names'!$C$3:$C$6,1),'2.4 PV (by Borough)'!AU328,IF(Dashboard!$D$6=INDEX('Scenario names'!$C$3:$C$6,2),'2.4 PV (by Borough)'!AU328,IF(Dashboard!$D$6=INDEX('Scenario names'!$C$3:$C$6,3),'2.4 PV (by Borough)'!AU369,"Error")))))</f>
        <v>6324577.5132404305</v>
      </c>
      <c r="AV410" s="36">
        <f>IF(Dashboard!$D$6="Baseline",'2.4 PV (by Borough)'!AV246,IF(Dashboard!$D$6=INDEX('Scenario names'!$C$3:$C$6,4),'2.4 PV (by Borough)'!AV369,IF(Dashboard!$D$6=INDEX('Scenario names'!$C$3:$C$6,1),'2.4 PV (by Borough)'!AV328,IF(Dashboard!$D$6=INDEX('Scenario names'!$C$3:$C$6,2),'2.4 PV (by Borough)'!AV328,IF(Dashboard!$D$6=INDEX('Scenario names'!$C$3:$C$6,3),'2.4 PV (by Borough)'!AV369,"Error")))))</f>
        <v>6526965.1885123225</v>
      </c>
      <c r="AW410" s="36">
        <f>IF(Dashboard!$D$6="Baseline",'2.4 PV (by Borough)'!AW246,IF(Dashboard!$D$6=INDEX('Scenario names'!$C$3:$C$6,4),'2.4 PV (by Borough)'!AW369,IF(Dashboard!$D$6=INDEX('Scenario names'!$C$3:$C$6,1),'2.4 PV (by Borough)'!AW328,IF(Dashboard!$D$6=INDEX('Scenario names'!$C$3:$C$6,2),'2.4 PV (by Borough)'!AW328,IF(Dashboard!$D$6=INDEX('Scenario names'!$C$3:$C$6,3),'2.4 PV (by Borough)'!AW369,"Error")))))</f>
        <v>6729352.8637842136</v>
      </c>
      <c r="AX410" s="36">
        <f>IF(Dashboard!$D$6="Baseline",'2.4 PV (by Borough)'!AX246,IF(Dashboard!$D$6=INDEX('Scenario names'!$C$3:$C$6,4),'2.4 PV (by Borough)'!AX369,IF(Dashboard!$D$6=INDEX('Scenario names'!$C$3:$C$6,1),'2.4 PV (by Borough)'!AX328,IF(Dashboard!$D$6=INDEX('Scenario names'!$C$3:$C$6,2),'2.4 PV (by Borough)'!AX328,IF(Dashboard!$D$6=INDEX('Scenario names'!$C$3:$C$6,3),'2.4 PV (by Borough)'!AX369,"Error")))))</f>
        <v>6931740.5390561027</v>
      </c>
      <c r="AY410" s="36"/>
      <c r="AZ410" s="36"/>
      <c r="BA410" s="36"/>
      <c r="BB410" s="36"/>
    </row>
    <row r="411" spans="4:54">
      <c r="D411" t="s">
        <v>660</v>
      </c>
      <c r="E411" t="s">
        <v>633</v>
      </c>
      <c r="G411" s="44"/>
      <c r="I411" s="44"/>
      <c r="K411" s="44"/>
      <c r="M411" s="44"/>
      <c r="O411" s="36">
        <f>IF(Dashboard!$D$6="Baseline",'2.4 PV (by Borough)'!O247,IF(Dashboard!$D$6=INDEX('Scenario names'!$C$3:$C$6,4),'2.4 PV (by Borough)'!O370,IF(Dashboard!$D$6=INDEX('Scenario names'!$C$3:$C$6,1),'2.4 PV (by Borough)'!O329,IF(Dashboard!$D$6=INDEX('Scenario names'!$C$3:$C$6,2),'2.4 PV (by Borough)'!O329,IF(Dashboard!$D$6=INDEX('Scenario names'!$C$3:$C$6,3),'2.4 PV (by Borough)'!O370,"Error")))))</f>
        <v>136983.53708712105</v>
      </c>
      <c r="P411" s="36">
        <f>IF(Dashboard!$D$6="Baseline",'2.4 PV (by Borough)'!P247,IF(Dashboard!$D$6=INDEX('Scenario names'!$C$3:$C$6,4),'2.4 PV (by Borough)'!P370,IF(Dashboard!$D$6=INDEX('Scenario names'!$C$3:$C$6,1),'2.4 PV (by Borough)'!P329,IF(Dashboard!$D$6=INDEX('Scenario names'!$C$3:$C$6,2),'2.4 PV (by Borough)'!P329,IF(Dashboard!$D$6=INDEX('Scenario names'!$C$3:$C$6,3),'2.4 PV (by Borough)'!P370,"Error")))))</f>
        <v>230602.77702476573</v>
      </c>
      <c r="Q411" s="36">
        <f>IF(Dashboard!$D$6="Baseline",'2.4 PV (by Borough)'!Q247,IF(Dashboard!$D$6=INDEX('Scenario names'!$C$3:$C$6,4),'2.4 PV (by Borough)'!Q370,IF(Dashboard!$D$6=INDEX('Scenario names'!$C$3:$C$6,1),'2.4 PV (by Borough)'!Q329,IF(Dashboard!$D$6=INDEX('Scenario names'!$C$3:$C$6,2),'2.4 PV (by Borough)'!Q329,IF(Dashboard!$D$6=INDEX('Scenario names'!$C$3:$C$6,3),'2.4 PV (by Borough)'!Q370,"Error")))))</f>
        <v>324222.01696241042</v>
      </c>
      <c r="R411" s="36">
        <f>IF(Dashboard!$D$6="Baseline",'2.4 PV (by Borough)'!R247,IF(Dashboard!$D$6=INDEX('Scenario names'!$C$3:$C$6,4),'2.4 PV (by Borough)'!R370,IF(Dashboard!$D$6=INDEX('Scenario names'!$C$3:$C$6,1),'2.4 PV (by Borough)'!R329,IF(Dashboard!$D$6=INDEX('Scenario names'!$C$3:$C$6,2),'2.4 PV (by Borough)'!R329,IF(Dashboard!$D$6=INDEX('Scenario names'!$C$3:$C$6,3),'2.4 PV (by Borough)'!R370,"Error")))))</f>
        <v>417841.25690005504</v>
      </c>
      <c r="S411" s="36">
        <f>IF(Dashboard!$D$6="Baseline",'2.4 PV (by Borough)'!S247,IF(Dashboard!$D$6=INDEX('Scenario names'!$C$3:$C$6,4),'2.4 PV (by Borough)'!S370,IF(Dashboard!$D$6=INDEX('Scenario names'!$C$3:$C$6,1),'2.4 PV (by Borough)'!S329,IF(Dashboard!$D$6=INDEX('Scenario names'!$C$3:$C$6,2),'2.4 PV (by Borough)'!S329,IF(Dashboard!$D$6=INDEX('Scenario names'!$C$3:$C$6,3),'2.4 PV (by Borough)'!S370,"Error")))))</f>
        <v>511460.49683769984</v>
      </c>
      <c r="T411" s="36">
        <f>IF(Dashboard!$D$6="Baseline",'2.4 PV (by Borough)'!T247,IF(Dashboard!$D$6=INDEX('Scenario names'!$C$3:$C$6,4),'2.4 PV (by Borough)'!T370,IF(Dashboard!$D$6=INDEX('Scenario names'!$C$3:$C$6,1),'2.4 PV (by Borough)'!T329,IF(Dashboard!$D$6=INDEX('Scenario names'!$C$3:$C$6,2),'2.4 PV (by Borough)'!T329,IF(Dashboard!$D$6=INDEX('Scenario names'!$C$3:$C$6,3),'2.4 PV (by Borough)'!T370,"Error")))))</f>
        <v>605079.73677534459</v>
      </c>
      <c r="U411" s="36">
        <f>IF(Dashboard!$D$6="Baseline",'2.4 PV (by Borough)'!U247,IF(Dashboard!$D$6=INDEX('Scenario names'!$C$3:$C$6,4),'2.4 PV (by Borough)'!U370,IF(Dashboard!$D$6=INDEX('Scenario names'!$C$3:$C$6,1),'2.4 PV (by Borough)'!U329,IF(Dashboard!$D$6=INDEX('Scenario names'!$C$3:$C$6,2),'2.4 PV (by Borough)'!U329,IF(Dashboard!$D$6=INDEX('Scenario names'!$C$3:$C$6,3),'2.4 PV (by Borough)'!U370,"Error")))))</f>
        <v>698698.97671298916</v>
      </c>
      <c r="V411" s="36">
        <f>IF(Dashboard!$D$6="Baseline",'2.4 PV (by Borough)'!V247,IF(Dashboard!$D$6=INDEX('Scenario names'!$C$3:$C$6,4),'2.4 PV (by Borough)'!V370,IF(Dashboard!$D$6=INDEX('Scenario names'!$C$3:$C$6,1),'2.4 PV (by Borough)'!V329,IF(Dashboard!$D$6=INDEX('Scenario names'!$C$3:$C$6,2),'2.4 PV (by Borough)'!V329,IF(Dashboard!$D$6=INDEX('Scenario names'!$C$3:$C$6,3),'2.4 PV (by Borough)'!V370,"Error")))))</f>
        <v>792318.21665063396</v>
      </c>
      <c r="W411" s="36">
        <f>IF(Dashboard!$D$6="Baseline",'2.4 PV (by Borough)'!W247,IF(Dashboard!$D$6=INDEX('Scenario names'!$C$3:$C$6,4),'2.4 PV (by Borough)'!W370,IF(Dashboard!$D$6=INDEX('Scenario names'!$C$3:$C$6,1),'2.4 PV (by Borough)'!W329,IF(Dashboard!$D$6=INDEX('Scenario names'!$C$3:$C$6,2),'2.4 PV (by Borough)'!W329,IF(Dashboard!$D$6=INDEX('Scenario names'!$C$3:$C$6,3),'2.4 PV (by Borough)'!W370,"Error")))))</f>
        <v>885937.45658827852</v>
      </c>
      <c r="X411" s="36">
        <f>IF(Dashboard!$D$6="Baseline",'2.4 PV (by Borough)'!X247,IF(Dashboard!$D$6=INDEX('Scenario names'!$C$3:$C$6,4),'2.4 PV (by Borough)'!X370,IF(Dashboard!$D$6=INDEX('Scenario names'!$C$3:$C$6,1),'2.4 PV (by Borough)'!X329,IF(Dashboard!$D$6=INDEX('Scenario names'!$C$3:$C$6,2),'2.4 PV (by Borough)'!X329,IF(Dashboard!$D$6=INDEX('Scenario names'!$C$3:$C$6,3),'2.4 PV (by Borough)'!X370,"Error")))))</f>
        <v>979556.69652592333</v>
      </c>
      <c r="Y411" s="36">
        <f>IF(Dashboard!$D$6="Baseline",'2.4 PV (by Borough)'!Y247,IF(Dashboard!$D$6=INDEX('Scenario names'!$C$3:$C$6,4),'2.4 PV (by Borough)'!Y370,IF(Dashboard!$D$6=INDEX('Scenario names'!$C$3:$C$6,1),'2.4 PV (by Borough)'!Y329,IF(Dashboard!$D$6=INDEX('Scenario names'!$C$3:$C$6,2),'2.4 PV (by Borough)'!Y329,IF(Dashboard!$D$6=INDEX('Scenario names'!$C$3:$C$6,3),'2.4 PV (by Borough)'!Y370,"Error")))))</f>
        <v>1073175.9364635681</v>
      </c>
      <c r="Z411" s="36">
        <f>IF(Dashboard!$D$6="Baseline",'2.4 PV (by Borough)'!Z247,IF(Dashboard!$D$6=INDEX('Scenario names'!$C$3:$C$6,4),'2.4 PV (by Borough)'!Z370,IF(Dashboard!$D$6=INDEX('Scenario names'!$C$3:$C$6,1),'2.4 PV (by Borough)'!Z329,IF(Dashboard!$D$6=INDEX('Scenario names'!$C$3:$C$6,2),'2.4 PV (by Borough)'!Z329,IF(Dashboard!$D$6=INDEX('Scenario names'!$C$3:$C$6,3),'2.4 PV (by Borough)'!Z370,"Error")))))</f>
        <v>1450237.41463737</v>
      </c>
      <c r="AA411" s="36">
        <f>IF(Dashboard!$D$6="Baseline",'2.4 PV (by Borough)'!AA247,IF(Dashboard!$D$6=INDEX('Scenario names'!$C$3:$C$6,4),'2.4 PV (by Borough)'!AA370,IF(Dashboard!$D$6=INDEX('Scenario names'!$C$3:$C$6,1),'2.4 PV (by Borough)'!AA329,IF(Dashboard!$D$6=INDEX('Scenario names'!$C$3:$C$6,2),'2.4 PV (by Borough)'!AA329,IF(Dashboard!$D$6=INDEX('Scenario names'!$C$3:$C$6,3),'2.4 PV (by Borough)'!AA370,"Error")))))</f>
        <v>1827298.8928111722</v>
      </c>
      <c r="AB411" s="36">
        <f>IF(Dashboard!$D$6="Baseline",'2.4 PV (by Borough)'!AB247,IF(Dashboard!$D$6=INDEX('Scenario names'!$C$3:$C$6,4),'2.4 PV (by Borough)'!AB370,IF(Dashboard!$D$6=INDEX('Scenario names'!$C$3:$C$6,1),'2.4 PV (by Borough)'!AB329,IF(Dashboard!$D$6=INDEX('Scenario names'!$C$3:$C$6,2),'2.4 PV (by Borough)'!AB329,IF(Dashboard!$D$6=INDEX('Scenario names'!$C$3:$C$6,3),'2.4 PV (by Borough)'!AB370,"Error")))))</f>
        <v>2204360.3709849748</v>
      </c>
      <c r="AC411" s="36">
        <f>IF(Dashboard!$D$6="Baseline",'2.4 PV (by Borough)'!AC247,IF(Dashboard!$D$6=INDEX('Scenario names'!$C$3:$C$6,4),'2.4 PV (by Borough)'!AC370,IF(Dashboard!$D$6=INDEX('Scenario names'!$C$3:$C$6,1),'2.4 PV (by Borough)'!AC329,IF(Dashboard!$D$6=INDEX('Scenario names'!$C$3:$C$6,2),'2.4 PV (by Borough)'!AC329,IF(Dashboard!$D$6=INDEX('Scenario names'!$C$3:$C$6,3),'2.4 PV (by Borough)'!AC370,"Error")))))</f>
        <v>2581421.8491587765</v>
      </c>
      <c r="AD411" s="36">
        <f>IF(Dashboard!$D$6="Baseline",'2.4 PV (by Borough)'!AD247,IF(Dashboard!$D$6=INDEX('Scenario names'!$C$3:$C$6,4),'2.4 PV (by Borough)'!AD370,IF(Dashboard!$D$6=INDEX('Scenario names'!$C$3:$C$6,1),'2.4 PV (by Borough)'!AD329,IF(Dashboard!$D$6=INDEX('Scenario names'!$C$3:$C$6,2),'2.4 PV (by Borough)'!AD329,IF(Dashboard!$D$6=INDEX('Scenario names'!$C$3:$C$6,3),'2.4 PV (by Borough)'!AD370,"Error")))))</f>
        <v>2958483.3273325786</v>
      </c>
      <c r="AE411" s="36">
        <f>IF(Dashboard!$D$6="Baseline",'2.4 PV (by Borough)'!AE247,IF(Dashboard!$D$6=INDEX('Scenario names'!$C$3:$C$6,4),'2.4 PV (by Borough)'!AE370,IF(Dashboard!$D$6=INDEX('Scenario names'!$C$3:$C$6,1),'2.4 PV (by Borough)'!AE329,IF(Dashboard!$D$6=INDEX('Scenario names'!$C$3:$C$6,2),'2.4 PV (by Borough)'!AE329,IF(Dashboard!$D$6=INDEX('Scenario names'!$C$3:$C$6,3),'2.4 PV (by Borough)'!AE370,"Error")))))</f>
        <v>3335544.8055063803</v>
      </c>
      <c r="AF411" s="36">
        <f>IF(Dashboard!$D$6="Baseline",'2.4 PV (by Borough)'!AF247,IF(Dashboard!$D$6=INDEX('Scenario names'!$C$3:$C$6,4),'2.4 PV (by Borough)'!AF370,IF(Dashboard!$D$6=INDEX('Scenario names'!$C$3:$C$6,1),'2.4 PV (by Borough)'!AF329,IF(Dashboard!$D$6=INDEX('Scenario names'!$C$3:$C$6,2),'2.4 PV (by Borough)'!AF329,IF(Dashboard!$D$6=INDEX('Scenario names'!$C$3:$C$6,3),'2.4 PV (by Borough)'!AF370,"Error")))))</f>
        <v>3712606.2836801829</v>
      </c>
      <c r="AG411" s="36">
        <f>IF(Dashboard!$D$6="Baseline",'2.4 PV (by Borough)'!AG247,IF(Dashboard!$D$6=INDEX('Scenario names'!$C$3:$C$6,4),'2.4 PV (by Borough)'!AG370,IF(Dashboard!$D$6=INDEX('Scenario names'!$C$3:$C$6,1),'2.4 PV (by Borough)'!AG329,IF(Dashboard!$D$6=INDEX('Scenario names'!$C$3:$C$6,2),'2.4 PV (by Borough)'!AG329,IF(Dashboard!$D$6=INDEX('Scenario names'!$C$3:$C$6,3),'2.4 PV (by Borough)'!AG370,"Error")))))</f>
        <v>4089667.761853985</v>
      </c>
      <c r="AH411" s="36">
        <f>IF(Dashboard!$D$6="Baseline",'2.4 PV (by Borough)'!AH247,IF(Dashboard!$D$6=INDEX('Scenario names'!$C$3:$C$6,4),'2.4 PV (by Borough)'!AH370,IF(Dashboard!$D$6=INDEX('Scenario names'!$C$3:$C$6,1),'2.4 PV (by Borough)'!AH329,IF(Dashboard!$D$6=INDEX('Scenario names'!$C$3:$C$6,2),'2.4 PV (by Borough)'!AH329,IF(Dashboard!$D$6=INDEX('Scenario names'!$C$3:$C$6,3),'2.4 PV (by Borough)'!AH370,"Error")))))</f>
        <v>4466729.2400277881</v>
      </c>
      <c r="AI411" s="36">
        <f>IF(Dashboard!$D$6="Baseline",'2.4 PV (by Borough)'!AI247,IF(Dashboard!$D$6=INDEX('Scenario names'!$C$3:$C$6,4),'2.4 PV (by Borough)'!AI370,IF(Dashboard!$D$6=INDEX('Scenario names'!$C$3:$C$6,1),'2.4 PV (by Borough)'!AI329,IF(Dashboard!$D$6=INDEX('Scenario names'!$C$3:$C$6,2),'2.4 PV (by Borough)'!AI329,IF(Dashboard!$D$6=INDEX('Scenario names'!$C$3:$C$6,3),'2.4 PV (by Borough)'!AI370,"Error")))))</f>
        <v>4843790.7182015898</v>
      </c>
      <c r="AJ411" s="36">
        <f>IF(Dashboard!$D$6="Baseline",'2.4 PV (by Borough)'!AJ247,IF(Dashboard!$D$6=INDEX('Scenario names'!$C$3:$C$6,4),'2.4 PV (by Borough)'!AJ370,IF(Dashboard!$D$6=INDEX('Scenario names'!$C$3:$C$6,1),'2.4 PV (by Borough)'!AJ329,IF(Dashboard!$D$6=INDEX('Scenario names'!$C$3:$C$6,2),'2.4 PV (by Borough)'!AJ329,IF(Dashboard!$D$6=INDEX('Scenario names'!$C$3:$C$6,3),'2.4 PV (by Borough)'!AJ370,"Error")))))</f>
        <v>5220852.1963753914</v>
      </c>
      <c r="AK411" s="36">
        <f>IF(Dashboard!$D$6="Baseline",'2.4 PV (by Borough)'!AK247,IF(Dashboard!$D$6=INDEX('Scenario names'!$C$3:$C$6,4),'2.4 PV (by Borough)'!AK370,IF(Dashboard!$D$6=INDEX('Scenario names'!$C$3:$C$6,1),'2.4 PV (by Borough)'!AK329,IF(Dashboard!$D$6=INDEX('Scenario names'!$C$3:$C$6,2),'2.4 PV (by Borough)'!AK329,IF(Dashboard!$D$6=INDEX('Scenario names'!$C$3:$C$6,3),'2.4 PV (by Borough)'!AK370,"Error")))))</f>
        <v>5597913.674549195</v>
      </c>
      <c r="AL411" s="36">
        <f>IF(Dashboard!$D$6="Baseline",'2.4 PV (by Borough)'!AL247,IF(Dashboard!$D$6=INDEX('Scenario names'!$C$3:$C$6,4),'2.4 PV (by Borough)'!AL370,IF(Dashboard!$D$6=INDEX('Scenario names'!$C$3:$C$6,1),'2.4 PV (by Borough)'!AL329,IF(Dashboard!$D$6=INDEX('Scenario names'!$C$3:$C$6,2),'2.4 PV (by Borough)'!AL329,IF(Dashboard!$D$6=INDEX('Scenario names'!$C$3:$C$6,3),'2.4 PV (by Borough)'!AL370,"Error")))))</f>
        <v>5974975.1527229957</v>
      </c>
      <c r="AM411" s="36">
        <f>IF(Dashboard!$D$6="Baseline",'2.4 PV (by Borough)'!AM247,IF(Dashboard!$D$6=INDEX('Scenario names'!$C$3:$C$6,4),'2.4 PV (by Borough)'!AM370,IF(Dashboard!$D$6=INDEX('Scenario names'!$C$3:$C$6,1),'2.4 PV (by Borough)'!AM329,IF(Dashboard!$D$6=INDEX('Scenario names'!$C$3:$C$6,2),'2.4 PV (by Borough)'!AM329,IF(Dashboard!$D$6=INDEX('Scenario names'!$C$3:$C$6,3),'2.4 PV (by Borough)'!AM370,"Error")))))</f>
        <v>6352036.6308967993</v>
      </c>
      <c r="AN411" s="36">
        <f>IF(Dashboard!$D$6="Baseline",'2.4 PV (by Borough)'!AN247,IF(Dashboard!$D$6=INDEX('Scenario names'!$C$3:$C$6,4),'2.4 PV (by Borough)'!AN370,IF(Dashboard!$D$6=INDEX('Scenario names'!$C$3:$C$6,1),'2.4 PV (by Borough)'!AN329,IF(Dashboard!$D$6=INDEX('Scenario names'!$C$3:$C$6,2),'2.4 PV (by Borough)'!AN329,IF(Dashboard!$D$6=INDEX('Scenario names'!$C$3:$C$6,3),'2.4 PV (by Borough)'!AN370,"Error")))))</f>
        <v>6729098.1090706</v>
      </c>
      <c r="AO411" s="36">
        <f>IF(Dashboard!$D$6="Baseline",'2.4 PV (by Borough)'!AO247,IF(Dashboard!$D$6=INDEX('Scenario names'!$C$3:$C$6,4),'2.4 PV (by Borough)'!AO370,IF(Dashboard!$D$6=INDEX('Scenario names'!$C$3:$C$6,1),'2.4 PV (by Borough)'!AO329,IF(Dashboard!$D$6=INDEX('Scenario names'!$C$3:$C$6,2),'2.4 PV (by Borough)'!AO329,IF(Dashboard!$D$6=INDEX('Scenario names'!$C$3:$C$6,3),'2.4 PV (by Borough)'!AO370,"Error")))))</f>
        <v>7106159.5872444026</v>
      </c>
      <c r="AP411" s="36">
        <f>IF(Dashboard!$D$6="Baseline",'2.4 PV (by Borough)'!AP247,IF(Dashboard!$D$6=INDEX('Scenario names'!$C$3:$C$6,4),'2.4 PV (by Borough)'!AP370,IF(Dashboard!$D$6=INDEX('Scenario names'!$C$3:$C$6,1),'2.4 PV (by Borough)'!AP329,IF(Dashboard!$D$6=INDEX('Scenario names'!$C$3:$C$6,2),'2.4 PV (by Borough)'!AP329,IF(Dashboard!$D$6=INDEX('Scenario names'!$C$3:$C$6,3),'2.4 PV (by Borough)'!AP370,"Error")))))</f>
        <v>7483221.0654182052</v>
      </c>
      <c r="AQ411" s="36">
        <f>IF(Dashboard!$D$6="Baseline",'2.4 PV (by Borough)'!AQ247,IF(Dashboard!$D$6=INDEX('Scenario names'!$C$3:$C$6,4),'2.4 PV (by Borough)'!AQ370,IF(Dashboard!$D$6=INDEX('Scenario names'!$C$3:$C$6,1),'2.4 PV (by Borough)'!AQ329,IF(Dashboard!$D$6=INDEX('Scenario names'!$C$3:$C$6,2),'2.4 PV (by Borough)'!AQ329,IF(Dashboard!$D$6=INDEX('Scenario names'!$C$3:$C$6,3),'2.4 PV (by Borough)'!AQ370,"Error")))))</f>
        <v>7860282.5435920078</v>
      </c>
      <c r="AR411" s="36">
        <f>IF(Dashboard!$D$6="Baseline",'2.4 PV (by Borough)'!AR247,IF(Dashboard!$D$6=INDEX('Scenario names'!$C$3:$C$6,4),'2.4 PV (by Borough)'!AR370,IF(Dashboard!$D$6=INDEX('Scenario names'!$C$3:$C$6,1),'2.4 PV (by Borough)'!AR329,IF(Dashboard!$D$6=INDEX('Scenario names'!$C$3:$C$6,2),'2.4 PV (by Borough)'!AR329,IF(Dashboard!$D$6=INDEX('Scenario names'!$C$3:$C$6,3),'2.4 PV (by Borough)'!AR370,"Error")))))</f>
        <v>8237344.0217658104</v>
      </c>
      <c r="AS411" s="36">
        <f>IF(Dashboard!$D$6="Baseline",'2.4 PV (by Borough)'!AS247,IF(Dashboard!$D$6=INDEX('Scenario names'!$C$3:$C$6,4),'2.4 PV (by Borough)'!AS370,IF(Dashboard!$D$6=INDEX('Scenario names'!$C$3:$C$6,1),'2.4 PV (by Borough)'!AS329,IF(Dashboard!$D$6=INDEX('Scenario names'!$C$3:$C$6,2),'2.4 PV (by Borough)'!AS329,IF(Dashboard!$D$6=INDEX('Scenario names'!$C$3:$C$6,3),'2.4 PV (by Borough)'!AS370,"Error")))))</f>
        <v>8614405.499939613</v>
      </c>
      <c r="AT411" s="36">
        <f>IF(Dashboard!$D$6="Baseline",'2.4 PV (by Borough)'!AT247,IF(Dashboard!$D$6=INDEX('Scenario names'!$C$3:$C$6,4),'2.4 PV (by Borough)'!AT370,IF(Dashboard!$D$6=INDEX('Scenario names'!$C$3:$C$6,1),'2.4 PV (by Borough)'!AT329,IF(Dashboard!$D$6=INDEX('Scenario names'!$C$3:$C$6,2),'2.4 PV (by Borough)'!AT329,IF(Dashboard!$D$6=INDEX('Scenario names'!$C$3:$C$6,3),'2.4 PV (by Borough)'!AT370,"Error")))))</f>
        <v>8991466.9781134166</v>
      </c>
      <c r="AU411" s="36">
        <f>IF(Dashboard!$D$6="Baseline",'2.4 PV (by Borough)'!AU247,IF(Dashboard!$D$6=INDEX('Scenario names'!$C$3:$C$6,4),'2.4 PV (by Borough)'!AU370,IF(Dashboard!$D$6=INDEX('Scenario names'!$C$3:$C$6,1),'2.4 PV (by Borough)'!AU329,IF(Dashboard!$D$6=INDEX('Scenario names'!$C$3:$C$6,2),'2.4 PV (by Borough)'!AU329,IF(Dashboard!$D$6=INDEX('Scenario names'!$C$3:$C$6,3),'2.4 PV (by Borough)'!AU370,"Error")))))</f>
        <v>9368528.4562872145</v>
      </c>
      <c r="AV411" s="36">
        <f>IF(Dashboard!$D$6="Baseline",'2.4 PV (by Borough)'!AV247,IF(Dashboard!$D$6=INDEX('Scenario names'!$C$3:$C$6,4),'2.4 PV (by Borough)'!AV370,IF(Dashboard!$D$6=INDEX('Scenario names'!$C$3:$C$6,1),'2.4 PV (by Borough)'!AV329,IF(Dashboard!$D$6=INDEX('Scenario names'!$C$3:$C$6,2),'2.4 PV (by Borough)'!AV329,IF(Dashboard!$D$6=INDEX('Scenario names'!$C$3:$C$6,3),'2.4 PV (by Borough)'!AV370,"Error")))))</f>
        <v>9745589.9344610162</v>
      </c>
      <c r="AW411" s="36">
        <f>IF(Dashboard!$D$6="Baseline",'2.4 PV (by Borough)'!AW247,IF(Dashboard!$D$6=INDEX('Scenario names'!$C$3:$C$6,4),'2.4 PV (by Borough)'!AW370,IF(Dashboard!$D$6=INDEX('Scenario names'!$C$3:$C$6,1),'2.4 PV (by Borough)'!AW329,IF(Dashboard!$D$6=INDEX('Scenario names'!$C$3:$C$6,2),'2.4 PV (by Borough)'!AW329,IF(Dashboard!$D$6=INDEX('Scenario names'!$C$3:$C$6,3),'2.4 PV (by Borough)'!AW370,"Error")))))</f>
        <v>10122651.412634818</v>
      </c>
      <c r="AX411" s="36">
        <f>IF(Dashboard!$D$6="Baseline",'2.4 PV (by Borough)'!AX247,IF(Dashboard!$D$6=INDEX('Scenario names'!$C$3:$C$6,4),'2.4 PV (by Borough)'!AX370,IF(Dashboard!$D$6=INDEX('Scenario names'!$C$3:$C$6,1),'2.4 PV (by Borough)'!AX329,IF(Dashboard!$D$6=INDEX('Scenario names'!$C$3:$C$6,2),'2.4 PV (by Borough)'!AX329,IF(Dashboard!$D$6=INDEX('Scenario names'!$C$3:$C$6,3),'2.4 PV (by Borough)'!AX370,"Error")))))</f>
        <v>10499712.890808621</v>
      </c>
      <c r="AY411" s="36"/>
      <c r="AZ411" s="36"/>
      <c r="BA411" s="36"/>
      <c r="BB411" s="36"/>
    </row>
    <row r="412" spans="4:54">
      <c r="E412" t="s">
        <v>660</v>
      </c>
      <c r="G412" s="44"/>
      <c r="I412" s="44"/>
      <c r="K412" s="44"/>
      <c r="M412" s="44"/>
      <c r="O412" s="36">
        <f>SUMIF($D379:$D411,$E412,O379:O411)</f>
        <v>1826036.2353321821</v>
      </c>
      <c r="P412" s="36">
        <f t="shared" ref="P412" si="240">SUMIF($D379:$D411,$E412,P379:P411)</f>
        <v>3146442.6642261585</v>
      </c>
      <c r="Q412" s="36">
        <f t="shared" ref="Q412" si="241">SUMIF($D379:$D411,$E412,Q379:Q411)</f>
        <v>4466849.0931201335</v>
      </c>
      <c r="R412" s="36">
        <f t="shared" ref="R412" si="242">SUMIF($D379:$D411,$E412,R379:R411)</f>
        <v>5787255.5220141122</v>
      </c>
      <c r="S412" s="36">
        <f t="shared" ref="S412" si="243">SUMIF($D379:$D411,$E412,S379:S411)</f>
        <v>7107661.9509080881</v>
      </c>
      <c r="T412" s="36">
        <f t="shared" ref="T412" si="244">SUMIF($D379:$D411,$E412,T379:T411)</f>
        <v>8428068.379802065</v>
      </c>
      <c r="U412" s="36">
        <f t="shared" ref="U412" si="245">SUMIF($D379:$D411,$E412,U379:U411)</f>
        <v>9748474.808696039</v>
      </c>
      <c r="V412" s="36">
        <f t="shared" ref="V412" si="246">SUMIF($D379:$D411,$E412,V379:V411)</f>
        <v>11068881.237590017</v>
      </c>
      <c r="W412" s="36">
        <f t="shared" ref="W412" si="247">SUMIF($D379:$D411,$E412,W379:W411)</f>
        <v>12389287.666483991</v>
      </c>
      <c r="X412" s="36">
        <f t="shared" ref="X412" si="248">SUMIF($D379:$D411,$E412,X379:X411)</f>
        <v>13709694.09537797</v>
      </c>
      <c r="Y412" s="36">
        <f t="shared" ref="Y412" si="249">SUMIF($D379:$D411,$E412,Y379:Y411)</f>
        <v>15030100.524271948</v>
      </c>
      <c r="Z412" s="36">
        <f t="shared" ref="Z412" si="250">SUMIF($D379:$D411,$E412,Z379:Z411)</f>
        <v>17332571.786094941</v>
      </c>
      <c r="AA412" s="36">
        <f t="shared" ref="AA412" si="251">SUMIF($D379:$D411,$E412,AA379:AA411)</f>
        <v>19635043.047917932</v>
      </c>
      <c r="AB412" s="36">
        <f t="shared" ref="AB412" si="252">SUMIF($D379:$D411,$E412,AB379:AB411)</f>
        <v>21937514.309740927</v>
      </c>
      <c r="AC412" s="36">
        <f t="shared" ref="AC412" si="253">SUMIF($D379:$D411,$E412,AC379:AC411)</f>
        <v>24239985.571563918</v>
      </c>
      <c r="AD412" s="36">
        <f t="shared" ref="AD412" si="254">SUMIF($D379:$D411,$E412,AD379:AD411)</f>
        <v>26542456.833386913</v>
      </c>
      <c r="AE412" s="36">
        <f t="shared" ref="AE412" si="255">SUMIF($D379:$D411,$E412,AE379:AE411)</f>
        <v>28844928.095209904</v>
      </c>
      <c r="AF412" s="36">
        <f t="shared" ref="AF412" si="256">SUMIF($D379:$D411,$E412,AF379:AF411)</f>
        <v>31147399.357032899</v>
      </c>
      <c r="AG412" s="36">
        <f t="shared" ref="AG412" si="257">SUMIF($D379:$D411,$E412,AG379:AG411)</f>
        <v>33449870.618855897</v>
      </c>
      <c r="AH412" s="36">
        <f t="shared" ref="AH412" si="258">SUMIF($D379:$D411,$E412,AH379:AH411)</f>
        <v>35752341.880678892</v>
      </c>
      <c r="AI412" s="36">
        <f t="shared" ref="AI412" si="259">SUMIF($D379:$D411,$E412,AI379:AI411)</f>
        <v>38054813.142501883</v>
      </c>
      <c r="AJ412" s="36">
        <f t="shared" ref="AJ412" si="260">SUMIF($D379:$D411,$E412,AJ379:AJ411)</f>
        <v>40357284.404324882</v>
      </c>
      <c r="AK412" s="36">
        <f t="shared" ref="AK412" si="261">SUMIF($D379:$D411,$E412,AK379:AK411)</f>
        <v>42659755.666147873</v>
      </c>
      <c r="AL412" s="36">
        <f t="shared" ref="AL412" si="262">SUMIF($D379:$D411,$E412,AL379:AL411)</f>
        <v>44962226.927970871</v>
      </c>
      <c r="AM412" s="36">
        <f t="shared" ref="AM412" si="263">SUMIF($D379:$D411,$E412,AM379:AM411)</f>
        <v>47264698.18979387</v>
      </c>
      <c r="AN412" s="36">
        <f t="shared" ref="AN412" si="264">SUMIF($D379:$D411,$E412,AN379:AN411)</f>
        <v>49567169.451616853</v>
      </c>
      <c r="AO412" s="36">
        <f t="shared" ref="AO412" si="265">SUMIF($D379:$D411,$E412,AO379:AO411)</f>
        <v>51869640.713439852</v>
      </c>
      <c r="AP412" s="36">
        <f t="shared" ref="AP412" si="266">SUMIF($D379:$D411,$E412,AP379:AP411)</f>
        <v>54172111.975262836</v>
      </c>
      <c r="AQ412" s="36">
        <f t="shared" ref="AQ412" si="267">SUMIF($D379:$D411,$E412,AQ379:AQ411)</f>
        <v>56474583.237085834</v>
      </c>
      <c r="AR412" s="36">
        <f t="shared" ref="AR412" si="268">SUMIF($D379:$D411,$E412,AR379:AR411)</f>
        <v>58777054.498908833</v>
      </c>
      <c r="AS412" s="36">
        <f t="shared" ref="AS412" si="269">SUMIF($D379:$D411,$E412,AS379:AS411)</f>
        <v>61079525.760731824</v>
      </c>
      <c r="AT412" s="36">
        <f t="shared" ref="AT412" si="270">SUMIF($D379:$D411,$E412,AT379:AT411)</f>
        <v>63381997.02255483</v>
      </c>
      <c r="AU412" s="36">
        <f t="shared" ref="AU412" si="271">SUMIF($D379:$D411,$E412,AU379:AU411)</f>
        <v>65684468.284377813</v>
      </c>
      <c r="AV412" s="36">
        <f t="shared" ref="AV412" si="272">SUMIF($D379:$D411,$E412,AV379:AV411)</f>
        <v>67986939.546200797</v>
      </c>
      <c r="AW412" s="36">
        <f t="shared" ref="AW412" si="273">SUMIF($D379:$D411,$E412,AW379:AW411)</f>
        <v>70289410.808023795</v>
      </c>
      <c r="AX412" s="36">
        <f t="shared" ref="AX412" si="274">SUMIF($D379:$D411,$E412,AX379:AX411)</f>
        <v>72591882.069846794</v>
      </c>
    </row>
    <row r="413" spans="4:54">
      <c r="E413" t="s">
        <v>661</v>
      </c>
      <c r="G413" s="44"/>
      <c r="I413" s="44"/>
      <c r="K413" s="44"/>
      <c r="M413" s="44"/>
      <c r="O413" s="36">
        <f>SUMIF($D379:$D411,$E413,O379:O411)</f>
        <v>7264863.7646678332</v>
      </c>
      <c r="P413" s="36">
        <f t="shared" ref="P413:AX413" si="275">SUMIF($D379:$D411,$E413,P379:P411)</f>
        <v>12222840.009596244</v>
      </c>
      <c r="Q413" s="36">
        <f t="shared" si="275"/>
        <v>17180816.254524648</v>
      </c>
      <c r="R413" s="36">
        <f t="shared" si="275"/>
        <v>22138792.49945306</v>
      </c>
      <c r="S413" s="36">
        <f t="shared" si="275"/>
        <v>27096768.744381461</v>
      </c>
      <c r="T413" s="36">
        <f t="shared" si="275"/>
        <v>32054744.989309873</v>
      </c>
      <c r="U413" s="36">
        <f t="shared" si="275"/>
        <v>37012721.234238282</v>
      </c>
      <c r="V413" s="36">
        <f t="shared" si="275"/>
        <v>41970697.479166687</v>
      </c>
      <c r="W413" s="36">
        <f t="shared" si="275"/>
        <v>46928673.724095084</v>
      </c>
      <c r="X413" s="36">
        <f t="shared" si="275"/>
        <v>51886649.969023496</v>
      </c>
      <c r="Y413" s="36">
        <f t="shared" si="275"/>
        <v>56844626.213951908</v>
      </c>
      <c r="Z413" s="36">
        <f t="shared" si="275"/>
        <v>62658019.850001961</v>
      </c>
      <c r="AA413" s="36">
        <f t="shared" si="275"/>
        <v>68471413.486052021</v>
      </c>
      <c r="AB413" s="36">
        <f t="shared" si="275"/>
        <v>74284807.122102067</v>
      </c>
      <c r="AC413" s="36">
        <f t="shared" si="275"/>
        <v>80098200.758152112</v>
      </c>
      <c r="AD413" s="36">
        <f t="shared" si="275"/>
        <v>85911594.394202173</v>
      </c>
      <c r="AE413" s="36">
        <f t="shared" si="275"/>
        <v>91724988.030252233</v>
      </c>
      <c r="AF413" s="36">
        <f t="shared" si="275"/>
        <v>97538381.666302279</v>
      </c>
      <c r="AG413" s="36">
        <f t="shared" si="275"/>
        <v>103351775.30235232</v>
      </c>
      <c r="AH413" s="36">
        <f t="shared" si="275"/>
        <v>109165168.93840241</v>
      </c>
      <c r="AI413" s="36">
        <f t="shared" si="275"/>
        <v>114978562.57445244</v>
      </c>
      <c r="AJ413" s="36">
        <f t="shared" si="275"/>
        <v>120791956.21050252</v>
      </c>
      <c r="AK413" s="36">
        <f t="shared" si="275"/>
        <v>126605349.8465526</v>
      </c>
      <c r="AL413" s="36">
        <f t="shared" si="275"/>
        <v>132418743.48260264</v>
      </c>
      <c r="AM413" s="36">
        <f t="shared" si="275"/>
        <v>138232137.11865264</v>
      </c>
      <c r="AN413" s="36">
        <f t="shared" si="275"/>
        <v>144045530.75470278</v>
      </c>
      <c r="AO413" s="36">
        <f t="shared" si="275"/>
        <v>149858924.39075279</v>
      </c>
      <c r="AP413" s="36">
        <f t="shared" si="275"/>
        <v>155672318.02680284</v>
      </c>
      <c r="AQ413" s="36">
        <f t="shared" si="275"/>
        <v>161485711.66285288</v>
      </c>
      <c r="AR413" s="36">
        <f t="shared" si="275"/>
        <v>167299105.29890296</v>
      </c>
      <c r="AS413" s="36">
        <f t="shared" si="275"/>
        <v>173112498.934953</v>
      </c>
      <c r="AT413" s="36">
        <f t="shared" si="275"/>
        <v>178925892.57100305</v>
      </c>
      <c r="AU413" s="36">
        <f t="shared" si="275"/>
        <v>184739286.20705312</v>
      </c>
      <c r="AV413" s="36">
        <f t="shared" si="275"/>
        <v>190552679.84310317</v>
      </c>
      <c r="AW413" s="36">
        <f t="shared" si="275"/>
        <v>196366073.47915325</v>
      </c>
      <c r="AX413" s="36">
        <f t="shared" si="275"/>
        <v>202179467.11520326</v>
      </c>
    </row>
    <row r="414" spans="4:54">
      <c r="E414" t="s">
        <v>122</v>
      </c>
      <c r="G414" s="44"/>
      <c r="I414" s="44"/>
      <c r="K414" s="44"/>
      <c r="M414" s="44"/>
      <c r="O414" s="36">
        <f>IF(Dashboard!$D$6="Baseline",'2.4 PV (by Borough)'!O250,IF(Dashboard!$D$6=INDEX('Scenario names'!$C$3:$C$6,4),'2.4 PV (by Borough)'!O373,IF(Dashboard!$D$6=INDEX('Scenario names'!$C$3:$C$6,1),'2.4 PV (by Borough)'!O332,IF(Dashboard!$D$6=INDEX('Scenario names'!$C$3:$C$6,2),'2.4 PV (by Borough)'!O332,IF(Dashboard!$D$6=INDEX('Scenario names'!$C$3:$C$6,3),'2.4 PV (by Borough)'!O373,"Error")))))</f>
        <v>9090900.0000000186</v>
      </c>
      <c r="P414" s="36">
        <f>IF(Dashboard!$D$6="Baseline",'2.4 PV (by Borough)'!P250,IF(Dashboard!$D$6=INDEX('Scenario names'!$C$3:$C$6,4),'2.4 PV (by Borough)'!P373,IF(Dashboard!$D$6=INDEX('Scenario names'!$C$3:$C$6,1),'2.4 PV (by Borough)'!P332,IF(Dashboard!$D$6=INDEX('Scenario names'!$C$3:$C$6,2),'2.4 PV (by Borough)'!P332,IF(Dashboard!$D$6=INDEX('Scenario names'!$C$3:$C$6,3),'2.4 PV (by Borough)'!P373,"Error")))))</f>
        <v>15369282.673822405</v>
      </c>
      <c r="Q414" s="36">
        <f>IF(Dashboard!$D$6="Baseline",'2.4 PV (by Borough)'!Q250,IF(Dashboard!$D$6=INDEX('Scenario names'!$C$3:$C$6,4),'2.4 PV (by Borough)'!Q373,IF(Dashboard!$D$6=INDEX('Scenario names'!$C$3:$C$6,1),'2.4 PV (by Borough)'!Q332,IF(Dashboard!$D$6=INDEX('Scenario names'!$C$3:$C$6,2),'2.4 PV (by Borough)'!Q332,IF(Dashboard!$D$6=INDEX('Scenario names'!$C$3:$C$6,3),'2.4 PV (by Borough)'!Q373,"Error")))))</f>
        <v>21647665.347644787</v>
      </c>
      <c r="R414" s="36">
        <f>IF(Dashboard!$D$6="Baseline",'2.4 PV (by Borough)'!R250,IF(Dashboard!$D$6=INDEX('Scenario names'!$C$3:$C$6,4),'2.4 PV (by Borough)'!R373,IF(Dashboard!$D$6=INDEX('Scenario names'!$C$3:$C$6,1),'2.4 PV (by Borough)'!R332,IF(Dashboard!$D$6=INDEX('Scenario names'!$C$3:$C$6,2),'2.4 PV (by Borough)'!R332,IF(Dashboard!$D$6=INDEX('Scenario names'!$C$3:$C$6,3),'2.4 PV (by Borough)'!R373,"Error")))))</f>
        <v>27926048.021467168</v>
      </c>
      <c r="S414" s="36">
        <f>IF(Dashboard!$D$6="Baseline",'2.4 PV (by Borough)'!S250,IF(Dashboard!$D$6=INDEX('Scenario names'!$C$3:$C$6,4),'2.4 PV (by Borough)'!S373,IF(Dashboard!$D$6=INDEX('Scenario names'!$C$3:$C$6,1),'2.4 PV (by Borough)'!S332,IF(Dashboard!$D$6=INDEX('Scenario names'!$C$3:$C$6,2),'2.4 PV (by Borough)'!S332,IF(Dashboard!$D$6=INDEX('Scenario names'!$C$3:$C$6,3),'2.4 PV (by Borough)'!S373,"Error")))))</f>
        <v>34204430.695289552</v>
      </c>
      <c r="T414" s="36">
        <f>IF(Dashboard!$D$6="Baseline",'2.4 PV (by Borough)'!T250,IF(Dashboard!$D$6=INDEX('Scenario names'!$C$3:$C$6,4),'2.4 PV (by Borough)'!T373,IF(Dashboard!$D$6=INDEX('Scenario names'!$C$3:$C$6,1),'2.4 PV (by Borough)'!T332,IF(Dashboard!$D$6=INDEX('Scenario names'!$C$3:$C$6,2),'2.4 PV (by Borough)'!T332,IF(Dashboard!$D$6=INDEX('Scenario names'!$C$3:$C$6,3),'2.4 PV (by Borough)'!T373,"Error")))))</f>
        <v>40482813.36911194</v>
      </c>
      <c r="U414" s="36">
        <f>IF(Dashboard!$D$6="Baseline",'2.4 PV (by Borough)'!U250,IF(Dashboard!$D$6=INDEX('Scenario names'!$C$3:$C$6,4),'2.4 PV (by Borough)'!U373,IF(Dashboard!$D$6=INDEX('Scenario names'!$C$3:$C$6,1),'2.4 PV (by Borough)'!U332,IF(Dashboard!$D$6=INDEX('Scenario names'!$C$3:$C$6,2),'2.4 PV (by Borough)'!U332,IF(Dashboard!$D$6=INDEX('Scenario names'!$C$3:$C$6,3),'2.4 PV (by Borough)'!U373,"Error")))))</f>
        <v>46761196.042934321</v>
      </c>
      <c r="V414" s="36">
        <f>IF(Dashboard!$D$6="Baseline",'2.4 PV (by Borough)'!V250,IF(Dashboard!$D$6=INDEX('Scenario names'!$C$3:$C$6,4),'2.4 PV (by Borough)'!V373,IF(Dashboard!$D$6=INDEX('Scenario names'!$C$3:$C$6,1),'2.4 PV (by Borough)'!V332,IF(Dashboard!$D$6=INDEX('Scenario names'!$C$3:$C$6,2),'2.4 PV (by Borough)'!V332,IF(Dashboard!$D$6=INDEX('Scenario names'!$C$3:$C$6,3),'2.4 PV (by Borough)'!V373,"Error")))))</f>
        <v>53039578.716756694</v>
      </c>
      <c r="W414" s="36">
        <f>IF(Dashboard!$D$6="Baseline",'2.4 PV (by Borough)'!W250,IF(Dashboard!$D$6=INDEX('Scenario names'!$C$3:$C$6,4),'2.4 PV (by Borough)'!W373,IF(Dashboard!$D$6=INDEX('Scenario names'!$C$3:$C$6,1),'2.4 PV (by Borough)'!W332,IF(Dashboard!$D$6=INDEX('Scenario names'!$C$3:$C$6,2),'2.4 PV (by Borough)'!W332,IF(Dashboard!$D$6=INDEX('Scenario names'!$C$3:$C$6,3),'2.4 PV (by Borough)'!W373,"Error")))))</f>
        <v>59317961.39057909</v>
      </c>
      <c r="X414" s="36">
        <f>IF(Dashboard!$D$6="Baseline",'2.4 PV (by Borough)'!X250,IF(Dashboard!$D$6=INDEX('Scenario names'!$C$3:$C$6,4),'2.4 PV (by Borough)'!X373,IF(Dashboard!$D$6=INDEX('Scenario names'!$C$3:$C$6,1),'2.4 PV (by Borough)'!X332,IF(Dashboard!$D$6=INDEX('Scenario names'!$C$3:$C$6,2),'2.4 PV (by Borough)'!X332,IF(Dashboard!$D$6=INDEX('Scenario names'!$C$3:$C$6,3),'2.4 PV (by Borough)'!X373,"Error")))))</f>
        <v>65596344.06440147</v>
      </c>
      <c r="Y414" s="36">
        <f>IF(Dashboard!$D$6="Baseline",'2.4 PV (by Borough)'!Y250,IF(Dashboard!$D$6=INDEX('Scenario names'!$C$3:$C$6,4),'2.4 PV (by Borough)'!Y373,IF(Dashboard!$D$6=INDEX('Scenario names'!$C$3:$C$6,1),'2.4 PV (by Borough)'!Y332,IF(Dashboard!$D$6=INDEX('Scenario names'!$C$3:$C$6,2),'2.4 PV (by Borough)'!Y332,IF(Dashboard!$D$6=INDEX('Scenario names'!$C$3:$C$6,3),'2.4 PV (by Borough)'!Y373,"Error")))))</f>
        <v>71874726.738223851</v>
      </c>
      <c r="Z414" s="36">
        <f>IF(Dashboard!$D$6="Baseline",'2.4 PV (by Borough)'!Z250,IF(Dashboard!$D$6=INDEX('Scenario names'!$C$3:$C$6,4),'2.4 PV (by Borough)'!Z373,IF(Dashboard!$D$6=INDEX('Scenario names'!$C$3:$C$6,1),'2.4 PV (by Borough)'!Z332,IF(Dashboard!$D$6=INDEX('Scenario names'!$C$3:$C$6,2),'2.4 PV (by Borough)'!Z332,IF(Dashboard!$D$6=INDEX('Scenario names'!$C$3:$C$6,3),'2.4 PV (by Borough)'!Z373,"Error")))))</f>
        <v>79990591.63609691</v>
      </c>
      <c r="AA414" s="36">
        <f>IF(Dashboard!$D$6="Baseline",'2.4 PV (by Borough)'!AA250,IF(Dashboard!$D$6=INDEX('Scenario names'!$C$3:$C$6,4),'2.4 PV (by Borough)'!AA373,IF(Dashboard!$D$6=INDEX('Scenario names'!$C$3:$C$6,1),'2.4 PV (by Borough)'!AA332,IF(Dashboard!$D$6=INDEX('Scenario names'!$C$3:$C$6,2),'2.4 PV (by Borough)'!AA332,IF(Dashboard!$D$6=INDEX('Scenario names'!$C$3:$C$6,3),'2.4 PV (by Borough)'!AA373,"Error")))))</f>
        <v>88106456.533969983</v>
      </c>
      <c r="AB414" s="36">
        <f>IF(Dashboard!$D$6="Baseline",'2.4 PV (by Borough)'!AB250,IF(Dashboard!$D$6=INDEX('Scenario names'!$C$3:$C$6,4),'2.4 PV (by Borough)'!AB373,IF(Dashboard!$D$6=INDEX('Scenario names'!$C$3:$C$6,1),'2.4 PV (by Borough)'!AB332,IF(Dashboard!$D$6=INDEX('Scenario names'!$C$3:$C$6,2),'2.4 PV (by Borough)'!AB332,IF(Dashboard!$D$6=INDEX('Scenario names'!$C$3:$C$6,3),'2.4 PV (by Borough)'!AB373,"Error")))))</f>
        <v>96222321.431843013</v>
      </c>
      <c r="AC414" s="36">
        <f>IF(Dashboard!$D$6="Baseline",'2.4 PV (by Borough)'!AC250,IF(Dashboard!$D$6=INDEX('Scenario names'!$C$3:$C$6,4),'2.4 PV (by Borough)'!AC373,IF(Dashboard!$D$6=INDEX('Scenario names'!$C$3:$C$6,1),'2.4 PV (by Borough)'!AC332,IF(Dashboard!$D$6=INDEX('Scenario names'!$C$3:$C$6,2),'2.4 PV (by Borough)'!AC332,IF(Dashboard!$D$6=INDEX('Scenario names'!$C$3:$C$6,3),'2.4 PV (by Borough)'!AC373,"Error")))))</f>
        <v>104338186.32971604</v>
      </c>
      <c r="AD414" s="36">
        <f>IF(Dashboard!$D$6="Baseline",'2.4 PV (by Borough)'!AD250,IF(Dashboard!$D$6=INDEX('Scenario names'!$C$3:$C$6,4),'2.4 PV (by Borough)'!AD373,IF(Dashboard!$D$6=INDEX('Scenario names'!$C$3:$C$6,1),'2.4 PV (by Borough)'!AD332,IF(Dashboard!$D$6=INDEX('Scenario names'!$C$3:$C$6,2),'2.4 PV (by Borough)'!AD332,IF(Dashboard!$D$6=INDEX('Scenario names'!$C$3:$C$6,3),'2.4 PV (by Borough)'!AD373,"Error")))))</f>
        <v>112454051.2275891</v>
      </c>
      <c r="AE414" s="36">
        <f>IF(Dashboard!$D$6="Baseline",'2.4 PV (by Borough)'!AE250,IF(Dashboard!$D$6=INDEX('Scenario names'!$C$3:$C$6,4),'2.4 PV (by Borough)'!AE373,IF(Dashboard!$D$6=INDEX('Scenario names'!$C$3:$C$6,1),'2.4 PV (by Borough)'!AE332,IF(Dashboard!$D$6=INDEX('Scenario names'!$C$3:$C$6,2),'2.4 PV (by Borough)'!AE332,IF(Dashboard!$D$6=INDEX('Scenario names'!$C$3:$C$6,3),'2.4 PV (by Borough)'!AE373,"Error")))))</f>
        <v>120569916.12546214</v>
      </c>
      <c r="AF414" s="36">
        <f>IF(Dashboard!$D$6="Baseline",'2.4 PV (by Borough)'!AF250,IF(Dashboard!$D$6=INDEX('Scenario names'!$C$3:$C$6,4),'2.4 PV (by Borough)'!AF373,IF(Dashboard!$D$6=INDEX('Scenario names'!$C$3:$C$6,1),'2.4 PV (by Borough)'!AF332,IF(Dashboard!$D$6=INDEX('Scenario names'!$C$3:$C$6,2),'2.4 PV (by Borough)'!AF332,IF(Dashboard!$D$6=INDEX('Scenario names'!$C$3:$C$6,3),'2.4 PV (by Borough)'!AF373,"Error")))))</f>
        <v>128685781.02333522</v>
      </c>
      <c r="AG414" s="36">
        <f>IF(Dashboard!$D$6="Baseline",'2.4 PV (by Borough)'!AG250,IF(Dashboard!$D$6=INDEX('Scenario names'!$C$3:$C$6,4),'2.4 PV (by Borough)'!AG373,IF(Dashboard!$D$6=INDEX('Scenario names'!$C$3:$C$6,1),'2.4 PV (by Borough)'!AG332,IF(Dashboard!$D$6=INDEX('Scenario names'!$C$3:$C$6,2),'2.4 PV (by Borough)'!AG332,IF(Dashboard!$D$6=INDEX('Scenario names'!$C$3:$C$6,3),'2.4 PV (by Borough)'!AG373,"Error")))))</f>
        <v>136801645.92120823</v>
      </c>
      <c r="AH414" s="36">
        <f>IF(Dashboard!$D$6="Baseline",'2.4 PV (by Borough)'!AH250,IF(Dashboard!$D$6=INDEX('Scenario names'!$C$3:$C$6,4),'2.4 PV (by Borough)'!AH373,IF(Dashboard!$D$6=INDEX('Scenario names'!$C$3:$C$6,1),'2.4 PV (by Borough)'!AH332,IF(Dashboard!$D$6=INDEX('Scenario names'!$C$3:$C$6,2),'2.4 PV (by Borough)'!AH332,IF(Dashboard!$D$6=INDEX('Scenario names'!$C$3:$C$6,3),'2.4 PV (by Borough)'!AH373,"Error")))))</f>
        <v>144917510.81908128</v>
      </c>
      <c r="AI414" s="36">
        <f>IF(Dashboard!$D$6="Baseline",'2.4 PV (by Borough)'!AI250,IF(Dashboard!$D$6=INDEX('Scenario names'!$C$3:$C$6,4),'2.4 PV (by Borough)'!AI373,IF(Dashboard!$D$6=INDEX('Scenario names'!$C$3:$C$6,1),'2.4 PV (by Borough)'!AI332,IF(Dashboard!$D$6=INDEX('Scenario names'!$C$3:$C$6,2),'2.4 PV (by Borough)'!AI332,IF(Dashboard!$D$6=INDEX('Scenario names'!$C$3:$C$6,3),'2.4 PV (by Borough)'!AI373,"Error")))))</f>
        <v>153033375.71695432</v>
      </c>
      <c r="AJ414" s="36">
        <f>IF(Dashboard!$D$6="Baseline",'2.4 PV (by Borough)'!AJ250,IF(Dashboard!$D$6=INDEX('Scenario names'!$C$3:$C$6,4),'2.4 PV (by Borough)'!AJ373,IF(Dashboard!$D$6=INDEX('Scenario names'!$C$3:$C$6,1),'2.4 PV (by Borough)'!AJ332,IF(Dashboard!$D$6=INDEX('Scenario names'!$C$3:$C$6,2),'2.4 PV (by Borough)'!AJ332,IF(Dashboard!$D$6=INDEX('Scenario names'!$C$3:$C$6,3),'2.4 PV (by Borough)'!AJ373,"Error")))))</f>
        <v>161149240.61482745</v>
      </c>
      <c r="AK414" s="36">
        <f>IF(Dashboard!$D$6="Baseline",'2.4 PV (by Borough)'!AK250,IF(Dashboard!$D$6=INDEX('Scenario names'!$C$3:$C$6,4),'2.4 PV (by Borough)'!AK373,IF(Dashboard!$D$6=INDEX('Scenario names'!$C$3:$C$6,1),'2.4 PV (by Borough)'!AK332,IF(Dashboard!$D$6=INDEX('Scenario names'!$C$3:$C$6,2),'2.4 PV (by Borough)'!AK332,IF(Dashboard!$D$6=INDEX('Scenario names'!$C$3:$C$6,3),'2.4 PV (by Borough)'!AK373,"Error")))))</f>
        <v>169265105.51270047</v>
      </c>
      <c r="AL414" s="36">
        <f>IF(Dashboard!$D$6="Baseline",'2.4 PV (by Borough)'!AL250,IF(Dashboard!$D$6=INDEX('Scenario names'!$C$3:$C$6,4),'2.4 PV (by Borough)'!AL373,IF(Dashboard!$D$6=INDEX('Scenario names'!$C$3:$C$6,1),'2.4 PV (by Borough)'!AL332,IF(Dashboard!$D$6=INDEX('Scenario names'!$C$3:$C$6,2),'2.4 PV (by Borough)'!AL332,IF(Dashboard!$D$6=INDEX('Scenario names'!$C$3:$C$6,3),'2.4 PV (by Borough)'!AL373,"Error")))))</f>
        <v>177380970.41057348</v>
      </c>
      <c r="AM414" s="36">
        <f>IF(Dashboard!$D$6="Baseline",'2.4 PV (by Borough)'!AM250,IF(Dashboard!$D$6=INDEX('Scenario names'!$C$3:$C$6,4),'2.4 PV (by Borough)'!AM373,IF(Dashboard!$D$6=INDEX('Scenario names'!$C$3:$C$6,1),'2.4 PV (by Borough)'!AM332,IF(Dashboard!$D$6=INDEX('Scenario names'!$C$3:$C$6,2),'2.4 PV (by Borough)'!AM332,IF(Dashboard!$D$6=INDEX('Scenario names'!$C$3:$C$6,3),'2.4 PV (by Borough)'!AM373,"Error")))))</f>
        <v>185496835.30844656</v>
      </c>
      <c r="AN414" s="36">
        <f>IF(Dashboard!$D$6="Baseline",'2.4 PV (by Borough)'!AN250,IF(Dashboard!$D$6=INDEX('Scenario names'!$C$3:$C$6,4),'2.4 PV (by Borough)'!AN373,IF(Dashboard!$D$6=INDEX('Scenario names'!$C$3:$C$6,1),'2.4 PV (by Borough)'!AN332,IF(Dashboard!$D$6=INDEX('Scenario names'!$C$3:$C$6,2),'2.4 PV (by Borough)'!AN332,IF(Dashboard!$D$6=INDEX('Scenario names'!$C$3:$C$6,3),'2.4 PV (by Borough)'!AN373,"Error")))))</f>
        <v>193612700.20631963</v>
      </c>
      <c r="AO414" s="36">
        <f>IF(Dashboard!$D$6="Baseline",'2.4 PV (by Borough)'!AO250,IF(Dashboard!$D$6=INDEX('Scenario names'!$C$3:$C$6,4),'2.4 PV (by Borough)'!AO373,IF(Dashboard!$D$6=INDEX('Scenario names'!$C$3:$C$6,1),'2.4 PV (by Borough)'!AO332,IF(Dashboard!$D$6=INDEX('Scenario names'!$C$3:$C$6,2),'2.4 PV (by Borough)'!AO332,IF(Dashboard!$D$6=INDEX('Scenario names'!$C$3:$C$6,3),'2.4 PV (by Borough)'!AO373,"Error")))))</f>
        <v>201728565.10419258</v>
      </c>
      <c r="AP414" s="36">
        <f>IF(Dashboard!$D$6="Baseline",'2.4 PV (by Borough)'!AP250,IF(Dashboard!$D$6=INDEX('Scenario names'!$C$3:$C$6,4),'2.4 PV (by Borough)'!AP373,IF(Dashboard!$D$6=INDEX('Scenario names'!$C$3:$C$6,1),'2.4 PV (by Borough)'!AP332,IF(Dashboard!$D$6=INDEX('Scenario names'!$C$3:$C$6,2),'2.4 PV (by Borough)'!AP332,IF(Dashboard!$D$6=INDEX('Scenario names'!$C$3:$C$6,3),'2.4 PV (by Borough)'!AP373,"Error")))))</f>
        <v>209844430.00206569</v>
      </c>
      <c r="AQ414" s="36">
        <f>IF(Dashboard!$D$6="Baseline",'2.4 PV (by Borough)'!AQ250,IF(Dashboard!$D$6=INDEX('Scenario names'!$C$3:$C$6,4),'2.4 PV (by Borough)'!AQ373,IF(Dashboard!$D$6=INDEX('Scenario names'!$C$3:$C$6,1),'2.4 PV (by Borough)'!AQ332,IF(Dashboard!$D$6=INDEX('Scenario names'!$C$3:$C$6,2),'2.4 PV (by Borough)'!AQ332,IF(Dashboard!$D$6=INDEX('Scenario names'!$C$3:$C$6,3),'2.4 PV (by Borough)'!AQ373,"Error")))))</f>
        <v>217960294.89993873</v>
      </c>
      <c r="AR414" s="36">
        <f>IF(Dashboard!$D$6="Baseline",'2.4 PV (by Borough)'!AR250,IF(Dashboard!$D$6=INDEX('Scenario names'!$C$3:$C$6,4),'2.4 PV (by Borough)'!AR373,IF(Dashboard!$D$6=INDEX('Scenario names'!$C$3:$C$6,1),'2.4 PV (by Borough)'!AR332,IF(Dashboard!$D$6=INDEX('Scenario names'!$C$3:$C$6,2),'2.4 PV (by Borough)'!AR332,IF(Dashboard!$D$6=INDEX('Scenario names'!$C$3:$C$6,3),'2.4 PV (by Borough)'!AR373,"Error")))))</f>
        <v>226076159.79781175</v>
      </c>
      <c r="AS414" s="36">
        <f>IF(Dashboard!$D$6="Baseline",'2.4 PV (by Borough)'!AS250,IF(Dashboard!$D$6=INDEX('Scenario names'!$C$3:$C$6,4),'2.4 PV (by Borough)'!AS373,IF(Dashboard!$D$6=INDEX('Scenario names'!$C$3:$C$6,1),'2.4 PV (by Borough)'!AS332,IF(Dashboard!$D$6=INDEX('Scenario names'!$C$3:$C$6,2),'2.4 PV (by Borough)'!AS332,IF(Dashboard!$D$6=INDEX('Scenario names'!$C$3:$C$6,3),'2.4 PV (by Borough)'!AS373,"Error")))))</f>
        <v>234192024.69568491</v>
      </c>
      <c r="AT414" s="36">
        <f>IF(Dashboard!$D$6="Baseline",'2.4 PV (by Borough)'!AT250,IF(Dashboard!$D$6=INDEX('Scenario names'!$C$3:$C$6,4),'2.4 PV (by Borough)'!AT373,IF(Dashboard!$D$6=INDEX('Scenario names'!$C$3:$C$6,1),'2.4 PV (by Borough)'!AT332,IF(Dashboard!$D$6=INDEX('Scenario names'!$C$3:$C$6,2),'2.4 PV (by Borough)'!AT332,IF(Dashboard!$D$6=INDEX('Scenario names'!$C$3:$C$6,3),'2.4 PV (by Borough)'!AT373,"Error")))))</f>
        <v>242307889.59355786</v>
      </c>
      <c r="AU414" s="36">
        <f>IF(Dashboard!$D$6="Baseline",'2.4 PV (by Borough)'!AU250,IF(Dashboard!$D$6=INDEX('Scenario names'!$C$3:$C$6,4),'2.4 PV (by Borough)'!AU373,IF(Dashboard!$D$6=INDEX('Scenario names'!$C$3:$C$6,1),'2.4 PV (by Borough)'!AU332,IF(Dashboard!$D$6=INDEX('Scenario names'!$C$3:$C$6,2),'2.4 PV (by Borough)'!AU332,IF(Dashboard!$D$6=INDEX('Scenario names'!$C$3:$C$6,3),'2.4 PV (by Borough)'!AU373,"Error")))))</f>
        <v>250423754.49143097</v>
      </c>
      <c r="AV414" s="36">
        <f>IF(Dashboard!$D$6="Baseline",'2.4 PV (by Borough)'!AV250,IF(Dashboard!$D$6=INDEX('Scenario names'!$C$3:$C$6,4),'2.4 PV (by Borough)'!AV373,IF(Dashboard!$D$6=INDEX('Scenario names'!$C$3:$C$6,1),'2.4 PV (by Borough)'!AV332,IF(Dashboard!$D$6=INDEX('Scenario names'!$C$3:$C$6,2),'2.4 PV (by Borough)'!AV332,IF(Dashboard!$D$6=INDEX('Scenario names'!$C$3:$C$6,3),'2.4 PV (by Borough)'!AV373,"Error")))))</f>
        <v>258539619.38930395</v>
      </c>
      <c r="AW414" s="36">
        <f>IF(Dashboard!$D$6="Baseline",'2.4 PV (by Borough)'!AW250,IF(Dashboard!$D$6=INDEX('Scenario names'!$C$3:$C$6,4),'2.4 PV (by Borough)'!AW373,IF(Dashboard!$D$6=INDEX('Scenario names'!$C$3:$C$6,1),'2.4 PV (by Borough)'!AW332,IF(Dashboard!$D$6=INDEX('Scenario names'!$C$3:$C$6,2),'2.4 PV (by Borough)'!AW332,IF(Dashboard!$D$6=INDEX('Scenario names'!$C$3:$C$6,3),'2.4 PV (by Borough)'!AW373,"Error")))))</f>
        <v>266655484.28717709</v>
      </c>
      <c r="AX414" s="36">
        <f>IF(Dashboard!$D$6="Baseline",'2.4 PV (by Borough)'!AX250,IF(Dashboard!$D$6=INDEX('Scenario names'!$C$3:$C$6,4),'2.4 PV (by Borough)'!AX373,IF(Dashboard!$D$6=INDEX('Scenario names'!$C$3:$C$6,1),'2.4 PV (by Borough)'!AX332,IF(Dashboard!$D$6=INDEX('Scenario names'!$C$3:$C$6,2),'2.4 PV (by Borough)'!AX332,IF(Dashboard!$D$6=INDEX('Scenario names'!$C$3:$C$6,3),'2.4 PV (by Borough)'!AX373,"Error")))))</f>
        <v>274771349.18505007</v>
      </c>
    </row>
    <row r="416" spans="4:54">
      <c r="D416" s="160" t="s">
        <v>720</v>
      </c>
      <c r="E416" t="str">
        <f xml:space="preserve"> Dashboard!$D$5</f>
        <v>Inner London</v>
      </c>
      <c r="G416" s="44"/>
      <c r="I416" s="44"/>
      <c r="K416" s="44"/>
      <c r="M416" s="44"/>
      <c r="O416" s="36">
        <f>INDEX(O379:O414,MATCH($E$416,$E$379:$E$414,0))</f>
        <v>1826036.2353321821</v>
      </c>
      <c r="P416" s="36">
        <f t="shared" ref="P416:AX416" si="276">INDEX(P379:P414,MATCH($E$416,$E$379:$E$414,0))</f>
        <v>3146442.6642261585</v>
      </c>
      <c r="Q416" s="36">
        <f t="shared" si="276"/>
        <v>4466849.0931201335</v>
      </c>
      <c r="R416" s="36">
        <f t="shared" si="276"/>
        <v>5787255.5220141122</v>
      </c>
      <c r="S416" s="36">
        <f t="shared" si="276"/>
        <v>7107661.9509080881</v>
      </c>
      <c r="T416" s="36">
        <f t="shared" si="276"/>
        <v>8428068.379802065</v>
      </c>
      <c r="U416" s="36">
        <f t="shared" si="276"/>
        <v>9748474.808696039</v>
      </c>
      <c r="V416" s="36">
        <f t="shared" si="276"/>
        <v>11068881.237590017</v>
      </c>
      <c r="W416" s="36">
        <f t="shared" si="276"/>
        <v>12389287.666483991</v>
      </c>
      <c r="X416" s="36">
        <f t="shared" si="276"/>
        <v>13709694.09537797</v>
      </c>
      <c r="Y416" s="36">
        <f t="shared" si="276"/>
        <v>15030100.524271948</v>
      </c>
      <c r="Z416" s="36">
        <f t="shared" si="276"/>
        <v>17332571.786094941</v>
      </c>
      <c r="AA416" s="36">
        <f t="shared" si="276"/>
        <v>19635043.047917932</v>
      </c>
      <c r="AB416" s="36">
        <f t="shared" si="276"/>
        <v>21937514.309740927</v>
      </c>
      <c r="AC416" s="36">
        <f t="shared" si="276"/>
        <v>24239985.571563918</v>
      </c>
      <c r="AD416" s="36">
        <f t="shared" si="276"/>
        <v>26542456.833386913</v>
      </c>
      <c r="AE416" s="36">
        <f t="shared" si="276"/>
        <v>28844928.095209904</v>
      </c>
      <c r="AF416" s="36">
        <f t="shared" si="276"/>
        <v>31147399.357032899</v>
      </c>
      <c r="AG416" s="36">
        <f t="shared" si="276"/>
        <v>33449870.618855897</v>
      </c>
      <c r="AH416" s="36">
        <f t="shared" si="276"/>
        <v>35752341.880678892</v>
      </c>
      <c r="AI416" s="36">
        <f t="shared" si="276"/>
        <v>38054813.142501883</v>
      </c>
      <c r="AJ416" s="36">
        <f t="shared" si="276"/>
        <v>40357284.404324882</v>
      </c>
      <c r="AK416" s="36">
        <f t="shared" si="276"/>
        <v>42659755.666147873</v>
      </c>
      <c r="AL416" s="36">
        <f t="shared" si="276"/>
        <v>44962226.927970871</v>
      </c>
      <c r="AM416" s="36">
        <f t="shared" si="276"/>
        <v>47264698.18979387</v>
      </c>
      <c r="AN416" s="36">
        <f t="shared" si="276"/>
        <v>49567169.451616853</v>
      </c>
      <c r="AO416" s="36">
        <f t="shared" si="276"/>
        <v>51869640.713439852</v>
      </c>
      <c r="AP416" s="36">
        <f t="shared" si="276"/>
        <v>54172111.975262836</v>
      </c>
      <c r="AQ416" s="36">
        <f t="shared" si="276"/>
        <v>56474583.237085834</v>
      </c>
      <c r="AR416" s="36">
        <f t="shared" si="276"/>
        <v>58777054.498908833</v>
      </c>
      <c r="AS416" s="36">
        <f t="shared" si="276"/>
        <v>61079525.760731824</v>
      </c>
      <c r="AT416" s="36">
        <f t="shared" si="276"/>
        <v>63381997.02255483</v>
      </c>
      <c r="AU416" s="36">
        <f t="shared" si="276"/>
        <v>65684468.284377813</v>
      </c>
      <c r="AV416" s="36">
        <f t="shared" si="276"/>
        <v>67986939.546200797</v>
      </c>
      <c r="AW416" s="36">
        <f t="shared" si="276"/>
        <v>70289410.808023795</v>
      </c>
      <c r="AX416" s="36">
        <f t="shared" si="276"/>
        <v>72591882.069846794</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tabColor theme="3" tint="0.79998168889431442"/>
  </sheetPr>
  <dimension ref="A1:AX87"/>
  <sheetViews>
    <sheetView topLeftCell="A4" zoomScale="85" zoomScaleNormal="85" workbookViewId="0">
      <selection activeCell="R7" sqref="R7"/>
    </sheetView>
  </sheetViews>
  <sheetFormatPr defaultColWidth="9.140625" defaultRowHeight="15"/>
  <cols>
    <col min="1" max="4" width="2.85546875" customWidth="1"/>
    <col min="5" max="5" width="59.42578125" bestFit="1" customWidth="1"/>
    <col min="6" max="6" width="2.5703125" customWidth="1"/>
    <col min="7" max="7" width="14.42578125" customWidth="1"/>
    <col min="8" max="8" width="1.85546875" customWidth="1"/>
    <col min="9" max="9" width="13.42578125" customWidth="1"/>
    <col min="10" max="10" width="1.85546875" customWidth="1"/>
    <col min="11" max="11" width="12.85546875" customWidth="1"/>
    <col min="12" max="12" width="1.85546875" customWidth="1"/>
    <col min="13" max="13" width="12.85546875" customWidth="1"/>
    <col min="14" max="14" width="2.140625" customWidth="1"/>
    <col min="15" max="15" width="12" customWidth="1"/>
    <col min="16" max="16" width="12.85546875" customWidth="1"/>
    <col min="17" max="17" width="7.140625" customWidth="1"/>
    <col min="18" max="22" width="15.140625" bestFit="1" customWidth="1"/>
    <col min="23" max="50" width="16.85546875" bestFit="1" customWidth="1"/>
  </cols>
  <sheetData>
    <row r="1" spans="1:50" s="38" customFormat="1"/>
    <row r="2" spans="1:50" s="38" customFormat="1">
      <c r="E2" s="60" t="s">
        <v>178</v>
      </c>
      <c r="F2" s="60"/>
      <c r="G2" s="60" t="s">
        <v>179</v>
      </c>
      <c r="H2" s="60"/>
      <c r="I2" s="60" t="s">
        <v>180</v>
      </c>
      <c r="J2" s="60"/>
      <c r="K2" s="60" t="s">
        <v>718</v>
      </c>
      <c r="L2" s="60"/>
      <c r="M2" s="60" t="s">
        <v>719</v>
      </c>
      <c r="O2" s="82">
        <v>2015</v>
      </c>
      <c r="P2" s="82">
        <v>2016</v>
      </c>
      <c r="Q2" s="82">
        <v>2017</v>
      </c>
      <c r="R2" s="82">
        <v>2018</v>
      </c>
      <c r="S2" s="82">
        <v>2019</v>
      </c>
      <c r="T2" s="82">
        <v>2020</v>
      </c>
      <c r="U2" s="82">
        <v>2021</v>
      </c>
      <c r="V2" s="82">
        <v>2022</v>
      </c>
      <c r="W2" s="82">
        <v>2023</v>
      </c>
      <c r="X2" s="82">
        <v>2024</v>
      </c>
      <c r="Y2" s="82">
        <v>2025</v>
      </c>
      <c r="Z2" s="82">
        <v>2026</v>
      </c>
      <c r="AA2" s="82">
        <v>2027</v>
      </c>
      <c r="AB2" s="82">
        <v>2028</v>
      </c>
      <c r="AC2" s="82">
        <v>2029</v>
      </c>
      <c r="AD2" s="82">
        <v>2030</v>
      </c>
      <c r="AE2" s="82">
        <v>2031</v>
      </c>
      <c r="AF2" s="82">
        <v>2032</v>
      </c>
      <c r="AG2" s="82">
        <v>2033</v>
      </c>
      <c r="AH2" s="82">
        <v>2034</v>
      </c>
      <c r="AI2" s="82">
        <v>2035</v>
      </c>
      <c r="AJ2" s="82">
        <v>2036</v>
      </c>
      <c r="AK2" s="82">
        <v>2037</v>
      </c>
      <c r="AL2" s="82">
        <v>2038</v>
      </c>
      <c r="AM2" s="82">
        <v>2039</v>
      </c>
      <c r="AN2" s="82">
        <v>2040</v>
      </c>
      <c r="AO2" s="82">
        <v>2041</v>
      </c>
      <c r="AP2" s="82">
        <v>2042</v>
      </c>
      <c r="AQ2" s="82">
        <v>2043</v>
      </c>
      <c r="AR2" s="82">
        <v>2044</v>
      </c>
      <c r="AS2" s="82">
        <v>2045</v>
      </c>
      <c r="AT2" s="82">
        <v>2046</v>
      </c>
      <c r="AU2" s="82">
        <v>2047</v>
      </c>
      <c r="AV2" s="82">
        <v>2048</v>
      </c>
      <c r="AW2" s="82">
        <v>2049</v>
      </c>
      <c r="AX2" s="82">
        <v>2050</v>
      </c>
    </row>
    <row r="4" spans="1:50" s="42" customFormat="1">
      <c r="A4" s="42" t="s">
        <v>723</v>
      </c>
    </row>
    <row r="6" spans="1:50" s="43" customFormat="1">
      <c r="B6" s="144"/>
      <c r="C6" s="43" t="s">
        <v>724</v>
      </c>
    </row>
    <row r="7" spans="1:50">
      <c r="D7" t="s">
        <v>109</v>
      </c>
      <c r="G7" s="35"/>
      <c r="H7" s="35"/>
      <c r="I7" s="35"/>
      <c r="J7" s="35"/>
      <c r="K7" s="35"/>
      <c r="L7" s="35"/>
      <c r="M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row>
    <row r="8" spans="1:50">
      <c r="D8" t="s">
        <v>725</v>
      </c>
      <c r="E8" t="s">
        <v>22</v>
      </c>
      <c r="G8" s="44" t="s">
        <v>726</v>
      </c>
      <c r="I8" s="161" t="s">
        <v>727</v>
      </c>
      <c r="K8" s="44" t="s">
        <v>728</v>
      </c>
      <c r="L8" t="s">
        <v>693</v>
      </c>
      <c r="M8" s="44"/>
      <c r="O8" s="318">
        <v>0.184</v>
      </c>
      <c r="P8" s="318">
        <v>0.184</v>
      </c>
      <c r="Q8" s="318">
        <v>0.184</v>
      </c>
      <c r="R8" s="318">
        <v>0.184</v>
      </c>
      <c r="S8" s="318">
        <v>0.184</v>
      </c>
      <c r="T8" s="318">
        <v>0.184</v>
      </c>
      <c r="U8" s="318">
        <v>0.184</v>
      </c>
      <c r="V8" s="318">
        <v>0.184</v>
      </c>
      <c r="W8" s="318">
        <v>0.184</v>
      </c>
      <c r="X8" s="318">
        <v>0.184</v>
      </c>
      <c r="Y8" s="318">
        <v>0.184</v>
      </c>
      <c r="Z8" s="318">
        <v>0.184</v>
      </c>
      <c r="AA8" s="318">
        <v>0.184</v>
      </c>
      <c r="AB8" s="318">
        <v>0.184</v>
      </c>
      <c r="AC8" s="318">
        <v>0.184</v>
      </c>
      <c r="AD8" s="318">
        <v>0.184</v>
      </c>
      <c r="AE8" s="318">
        <v>0.184</v>
      </c>
      <c r="AF8" s="318">
        <v>0.184</v>
      </c>
      <c r="AG8" s="318">
        <v>0.184</v>
      </c>
      <c r="AH8" s="318">
        <v>0.184</v>
      </c>
      <c r="AI8" s="318">
        <v>0.184</v>
      </c>
      <c r="AJ8" s="318">
        <v>0.184</v>
      </c>
      <c r="AK8" s="318">
        <v>0.184</v>
      </c>
      <c r="AL8" s="318">
        <v>0.184</v>
      </c>
      <c r="AM8" s="318">
        <v>0.184</v>
      </c>
      <c r="AN8" s="318">
        <v>0.184</v>
      </c>
      <c r="AO8" s="318">
        <v>0.184</v>
      </c>
      <c r="AP8" s="318">
        <v>0.184</v>
      </c>
      <c r="AQ8" s="318">
        <v>0.184</v>
      </c>
      <c r="AR8" s="318">
        <v>0.184</v>
      </c>
      <c r="AS8" s="318">
        <v>0.184</v>
      </c>
      <c r="AT8" s="318">
        <v>0.184</v>
      </c>
      <c r="AU8" s="318">
        <v>0.184</v>
      </c>
      <c r="AV8" s="318">
        <v>0.184</v>
      </c>
      <c r="AW8" s="318">
        <v>0.184</v>
      </c>
      <c r="AX8" s="318">
        <v>0.184</v>
      </c>
    </row>
    <row r="9" spans="1:50">
      <c r="E9" t="str">
        <f>INDEX('Scenario names'!$C$3:$C$6,4)</f>
        <v>No Constraints</v>
      </c>
      <c r="G9" s="44" t="s">
        <v>726</v>
      </c>
      <c r="I9" s="45"/>
      <c r="K9" s="44"/>
      <c r="M9" s="44"/>
      <c r="O9" s="318">
        <v>0.184</v>
      </c>
      <c r="P9" s="318">
        <v>0.18356436269531917</v>
      </c>
      <c r="Q9" s="318">
        <v>0.18344654487110448</v>
      </c>
      <c r="R9" s="318">
        <v>0.18328224996166098</v>
      </c>
      <c r="S9" s="318">
        <v>0.18309550075802658</v>
      </c>
      <c r="T9" s="318">
        <v>0.18281331696671455</v>
      </c>
      <c r="U9" s="318">
        <v>0.18250900313560503</v>
      </c>
      <c r="V9" s="318">
        <v>0.18221297499978947</v>
      </c>
      <c r="W9" s="318">
        <v>0.18162291624377405</v>
      </c>
      <c r="X9" s="318">
        <v>0.1807773709437073</v>
      </c>
      <c r="Y9" s="318">
        <v>0.17953977979976021</v>
      </c>
      <c r="Z9" s="318">
        <v>0.17744778316847079</v>
      </c>
      <c r="AA9" s="318">
        <v>0.17351507313058051</v>
      </c>
      <c r="AB9" s="318">
        <v>0.16799407715096301</v>
      </c>
      <c r="AC9" s="471">
        <v>0.15822822550773089</v>
      </c>
      <c r="AD9" s="471">
        <v>0.13243263283638929</v>
      </c>
      <c r="AE9" s="318">
        <v>0.11227615106678177</v>
      </c>
      <c r="AF9" s="318">
        <v>8.8607853239397599E-2</v>
      </c>
      <c r="AG9" s="318">
        <v>6.6003949457901737E-2</v>
      </c>
      <c r="AH9" s="318">
        <v>6.5661730676825375E-2</v>
      </c>
      <c r="AI9" s="318">
        <v>6.5813990972684158E-2</v>
      </c>
      <c r="AJ9" s="318">
        <v>6.5306135096941179E-2</v>
      </c>
      <c r="AK9" s="318">
        <v>6.4923916518811062E-2</v>
      </c>
      <c r="AL9" s="318">
        <v>6.4643650752300261E-2</v>
      </c>
      <c r="AM9" s="318">
        <v>6.433443226800592E-2</v>
      </c>
      <c r="AN9" s="318">
        <v>6.4053772553209792E-2</v>
      </c>
      <c r="AO9" s="318">
        <v>6.3725206809188556E-2</v>
      </c>
      <c r="AP9" s="318">
        <v>6.358506025960653E-2</v>
      </c>
      <c r="AQ9" s="318">
        <v>6.345003294783795E-2</v>
      </c>
      <c r="AR9" s="318">
        <v>6.329680924745662E-2</v>
      </c>
      <c r="AS9" s="318">
        <v>6.3087394348877432E-2</v>
      </c>
      <c r="AT9" s="318">
        <v>6.2955520419657698E-2</v>
      </c>
      <c r="AU9" s="318">
        <v>6.2809275810761483E-2</v>
      </c>
      <c r="AV9" s="318">
        <v>6.2713433793947004E-2</v>
      </c>
      <c r="AW9" s="318">
        <v>6.2569330452485708E-2</v>
      </c>
      <c r="AX9" s="318">
        <v>6.2499920030444925E-2</v>
      </c>
    </row>
    <row r="10" spans="1:50">
      <c r="E10" t="str">
        <f>INDEX('Scenario names'!$C$3:$C$6,1)</f>
        <v>High Electrification</v>
      </c>
      <c r="G10" s="44" t="s">
        <v>726</v>
      </c>
      <c r="I10" s="45"/>
      <c r="K10" s="44"/>
      <c r="M10" s="44"/>
      <c r="O10" s="318">
        <v>0.184</v>
      </c>
      <c r="P10" s="318">
        <v>0.18356453909419795</v>
      </c>
      <c r="Q10" s="318">
        <v>0.1835189096632498</v>
      </c>
      <c r="R10" s="318">
        <v>0.18342598530692902</v>
      </c>
      <c r="S10" s="318">
        <v>0.18328594146885957</v>
      </c>
      <c r="T10" s="318">
        <v>0.18314537397686678</v>
      </c>
      <c r="U10" s="318">
        <v>0.18304219443408346</v>
      </c>
      <c r="V10" s="318">
        <v>0.18286285565579125</v>
      </c>
      <c r="W10" s="318">
        <v>0.18258058535194449</v>
      </c>
      <c r="X10" s="318">
        <v>0.18228772405564347</v>
      </c>
      <c r="Y10" s="318">
        <v>0.18187892386634885</v>
      </c>
      <c r="Z10" s="318">
        <v>0.18134676012469844</v>
      </c>
      <c r="AA10" s="318">
        <v>0.17965377630775881</v>
      </c>
      <c r="AB10" s="318">
        <v>0.17793304036301394</v>
      </c>
      <c r="AC10" s="471">
        <v>0.17610418705250636</v>
      </c>
      <c r="AD10" s="471">
        <v>0.1740490842676817</v>
      </c>
      <c r="AE10" s="318">
        <v>0.17183760284633093</v>
      </c>
      <c r="AF10" s="318">
        <v>0.16969973540455521</v>
      </c>
      <c r="AG10" s="318">
        <v>0.16746691930649091</v>
      </c>
      <c r="AH10" s="318">
        <v>0.1650395701174448</v>
      </c>
      <c r="AI10" s="318">
        <v>0.16373129309896894</v>
      </c>
      <c r="AJ10" s="318">
        <v>0.16068081747553439</v>
      </c>
      <c r="AK10" s="318">
        <v>0.15706942137428986</v>
      </c>
      <c r="AL10" s="318">
        <v>0.15309074494954747</v>
      </c>
      <c r="AM10" s="318">
        <v>0.15042358681557308</v>
      </c>
      <c r="AN10" s="318">
        <v>0.14704024602697149</v>
      </c>
      <c r="AO10" s="318">
        <v>0.14288635094153448</v>
      </c>
      <c r="AP10" s="318">
        <v>0.13755304868729445</v>
      </c>
      <c r="AQ10" s="318">
        <v>0.13026408036244105</v>
      </c>
      <c r="AR10" s="318">
        <v>0.11968965180244241</v>
      </c>
      <c r="AS10" s="318">
        <v>0.10302148918920746</v>
      </c>
      <c r="AT10" s="318">
        <v>7.5699730915296859E-2</v>
      </c>
      <c r="AU10" s="318">
        <v>6.280927581076147E-2</v>
      </c>
      <c r="AV10" s="318">
        <v>6.2713433793947004E-2</v>
      </c>
      <c r="AW10" s="318">
        <v>6.2569330452485708E-2</v>
      </c>
      <c r="AX10" s="318">
        <v>1.8462703954084279E-3</v>
      </c>
    </row>
    <row r="11" spans="1:50">
      <c r="E11" t="str">
        <f>INDEX('Scenario names'!$C$3:$C$6,2)</f>
        <v>High Hydrogen</v>
      </c>
      <c r="G11" s="44" t="s">
        <v>726</v>
      </c>
      <c r="I11" s="45"/>
      <c r="K11" s="44"/>
      <c r="M11" s="44"/>
      <c r="O11" s="318">
        <v>0.184</v>
      </c>
      <c r="P11" s="318">
        <v>0.18356434572983704</v>
      </c>
      <c r="Q11" s="318">
        <v>0.18344650219170375</v>
      </c>
      <c r="R11" s="318">
        <v>0.18328216754692811</v>
      </c>
      <c r="S11" s="318">
        <v>0.18309536313169975</v>
      </c>
      <c r="T11" s="318">
        <v>0.18281315094998452</v>
      </c>
      <c r="U11" s="318">
        <v>0.18251638024945452</v>
      </c>
      <c r="V11" s="318">
        <v>0.18228049104857769</v>
      </c>
      <c r="W11" s="318">
        <v>0.1818294059234207</v>
      </c>
      <c r="X11" s="318">
        <v>0.18129911843688418</v>
      </c>
      <c r="Y11" s="318">
        <v>0.18071284061173845</v>
      </c>
      <c r="Z11" s="318">
        <v>0.17982563240159791</v>
      </c>
      <c r="AA11" s="318">
        <v>0.17801608281426115</v>
      </c>
      <c r="AB11" s="318">
        <v>0.17628075800580412</v>
      </c>
      <c r="AC11" s="318">
        <v>0.1743716643819774</v>
      </c>
      <c r="AD11" s="318">
        <v>0.17240308609924343</v>
      </c>
      <c r="AE11" s="318">
        <v>0.16913445655772094</v>
      </c>
      <c r="AF11" s="318">
        <v>0.1661040494331123</v>
      </c>
      <c r="AG11" s="318">
        <v>0.16295111055882014</v>
      </c>
      <c r="AH11" s="318">
        <v>0.15146800341044417</v>
      </c>
      <c r="AI11" s="318">
        <v>0.14203296258513742</v>
      </c>
      <c r="AJ11" s="318">
        <v>0.13208031104013834</v>
      </c>
      <c r="AK11" s="318">
        <v>0.1223449876091699</v>
      </c>
      <c r="AL11" s="318">
        <v>0.1127683245523699</v>
      </c>
      <c r="AM11" s="318">
        <v>0.1106577020406256</v>
      </c>
      <c r="AN11" s="318">
        <v>9.5368054966377055E-2</v>
      </c>
      <c r="AO11" s="318">
        <v>7.9162512019245262E-2</v>
      </c>
      <c r="AP11" s="318">
        <v>6.5273838036105314E-2</v>
      </c>
      <c r="AQ11" s="318">
        <v>5.9085223018656582E-2</v>
      </c>
      <c r="AR11" s="318">
        <v>5.794872001122791E-2</v>
      </c>
      <c r="AS11" s="318">
        <v>5.5903340891055045E-2</v>
      </c>
      <c r="AT11" s="318">
        <v>5.5178190409422838E-2</v>
      </c>
      <c r="AU11" s="318">
        <v>5.4460800600544187E-2</v>
      </c>
      <c r="AV11" s="318">
        <v>5.3844621610996221E-2</v>
      </c>
      <c r="AW11" s="318">
        <v>5.2861100870590913E-2</v>
      </c>
      <c r="AX11" s="204">
        <v>5.216162688056443E-2</v>
      </c>
    </row>
    <row r="12" spans="1:50">
      <c r="E12" t="str">
        <f>INDEX('Scenario names'!$C$3:$C$6,3)</f>
        <v>Accelerated Green</v>
      </c>
      <c r="G12" s="44" t="s">
        <v>726</v>
      </c>
      <c r="I12" s="493" t="s">
        <v>729</v>
      </c>
      <c r="K12" s="44" t="s">
        <v>730</v>
      </c>
      <c r="M12" s="44"/>
      <c r="O12" s="318">
        <v>0.184</v>
      </c>
      <c r="P12" s="318">
        <v>0.1835645559096476</v>
      </c>
      <c r="Q12" s="318">
        <v>0.1834467885838596</v>
      </c>
      <c r="R12" s="318">
        <v>0.18328256375722551</v>
      </c>
      <c r="S12" s="318">
        <v>0.18309566316298365</v>
      </c>
      <c r="T12" s="318">
        <v>0.18281346834435025</v>
      </c>
      <c r="U12" s="318">
        <v>0.18251283272686783</v>
      </c>
      <c r="V12" s="318">
        <v>0.18226382157036722</v>
      </c>
      <c r="W12" s="318">
        <v>0.18176769282012237</v>
      </c>
      <c r="X12" s="318">
        <v>0.18113845741041176</v>
      </c>
      <c r="Y12" s="318">
        <v>0.18035244955349825</v>
      </c>
      <c r="Z12" s="318">
        <v>0.17907051106910279</v>
      </c>
      <c r="AA12" s="318">
        <v>0.17666977030401801</v>
      </c>
      <c r="AB12" s="318">
        <v>0.17419723784221819</v>
      </c>
      <c r="AC12" s="318">
        <v>0.17120159053435249</v>
      </c>
      <c r="AD12" s="318">
        <v>0.16773452179730869</v>
      </c>
      <c r="AE12" s="318">
        <v>0.16190684818344137</v>
      </c>
      <c r="AF12" s="318">
        <v>0.15549408810280269</v>
      </c>
      <c r="AG12" s="318">
        <v>0.14705584710799971</v>
      </c>
      <c r="AH12" s="318">
        <v>0.13759161515621796</v>
      </c>
      <c r="AI12" s="318">
        <v>0.1309240077019925</v>
      </c>
      <c r="AJ12" s="318">
        <v>0.12597435341864943</v>
      </c>
      <c r="AK12" s="318">
        <v>0.12052308207691868</v>
      </c>
      <c r="AL12" s="318">
        <v>0.11502532529711103</v>
      </c>
      <c r="AM12" s="318">
        <v>0.10796565908324114</v>
      </c>
      <c r="AN12" s="318">
        <v>9.9595684851947683E-2</v>
      </c>
      <c r="AO12" s="318">
        <v>9.3841123067377255E-2</v>
      </c>
      <c r="AP12" s="318">
        <v>8.7619083780270487E-2</v>
      </c>
      <c r="AQ12" s="318">
        <v>8.1108309165820971E-2</v>
      </c>
      <c r="AR12" s="318">
        <v>7.409120174711159E-2</v>
      </c>
      <c r="AS12" s="318">
        <v>6.7443540567223445E-2</v>
      </c>
      <c r="AT12" s="318">
        <v>6.3096559459518559E-2</v>
      </c>
      <c r="AU12" s="318">
        <v>6.2897195405045847E-2</v>
      </c>
      <c r="AV12" s="318">
        <v>6.2769397382846912E-2</v>
      </c>
      <c r="AW12" s="318">
        <v>6.2574686422553122E-2</v>
      </c>
      <c r="AX12" s="204">
        <v>6.2499920030444925E-2</v>
      </c>
    </row>
    <row r="13" spans="1:50">
      <c r="D13" t="s">
        <v>731</v>
      </c>
      <c r="E13" s="35"/>
      <c r="AX13">
        <f>1-(AX12/O12)</f>
        <v>0.66032652157366889</v>
      </c>
    </row>
    <row r="14" spans="1:50">
      <c r="E14" s="162" t="str">
        <f>Dashboard!D6</f>
        <v>High Electrification</v>
      </c>
      <c r="G14" s="44" t="s">
        <v>726</v>
      </c>
      <c r="I14" s="45"/>
      <c r="K14" s="44"/>
      <c r="M14" s="44"/>
      <c r="O14" s="162">
        <f>INDEX(O8:O12,MATCH($E$14,'2.5 Emission factors'!$E$8:$E$12,0))</f>
        <v>0.184</v>
      </c>
      <c r="P14" s="162">
        <f>INDEX(P8:P12,MATCH($E$14,'2.5 Emission factors'!$E$8:$E$12,0))</f>
        <v>0.18356453909419795</v>
      </c>
      <c r="Q14" s="162">
        <f>INDEX(Q8:Q12,MATCH($E$14,'2.5 Emission factors'!$E$8:$E$12,0))</f>
        <v>0.1835189096632498</v>
      </c>
      <c r="R14" s="162">
        <f>INDEX(R8:R12,MATCH($E$14,'2.5 Emission factors'!$E$8:$E$12,0))</f>
        <v>0.18342598530692902</v>
      </c>
      <c r="S14" s="162">
        <f>INDEX(S8:S12,MATCH($E$14,'2.5 Emission factors'!$E$8:$E$12,0))</f>
        <v>0.18328594146885957</v>
      </c>
      <c r="T14" s="162">
        <f>INDEX(T8:T12,MATCH($E$14,'2.5 Emission factors'!$E$8:$E$12,0))</f>
        <v>0.18314537397686678</v>
      </c>
      <c r="U14" s="162">
        <f>INDEX(U8:U12,MATCH($E$14,'2.5 Emission factors'!$E$8:$E$12,0))</f>
        <v>0.18304219443408346</v>
      </c>
      <c r="V14" s="162">
        <f>INDEX(V8:V12,MATCH($E$14,'2.5 Emission factors'!$E$8:$E$12,0))</f>
        <v>0.18286285565579125</v>
      </c>
      <c r="W14" s="162">
        <f>INDEX(W8:W12,MATCH($E$14,'2.5 Emission factors'!$E$8:$E$12,0))</f>
        <v>0.18258058535194449</v>
      </c>
      <c r="X14" s="162">
        <f>INDEX(X8:X12,MATCH($E$14,'2.5 Emission factors'!$E$8:$E$12,0))</f>
        <v>0.18228772405564347</v>
      </c>
      <c r="Y14" s="162">
        <f>INDEX(Y8:Y12,MATCH($E$14,'2.5 Emission factors'!$E$8:$E$12,0))</f>
        <v>0.18187892386634885</v>
      </c>
      <c r="Z14" s="162">
        <f>INDEX(Z8:Z12,MATCH($E$14,'2.5 Emission factors'!$E$8:$E$12,0))</f>
        <v>0.18134676012469844</v>
      </c>
      <c r="AA14" s="162">
        <f>INDEX(AA8:AA12,MATCH($E$14,'2.5 Emission factors'!$E$8:$E$12,0))</f>
        <v>0.17965377630775881</v>
      </c>
      <c r="AB14" s="162">
        <f>INDEX(AB8:AB12,MATCH($E$14,'2.5 Emission factors'!$E$8:$E$12,0))</f>
        <v>0.17793304036301394</v>
      </c>
      <c r="AC14" s="162">
        <f>INDEX(AC8:AC12,MATCH($E$14,'2.5 Emission factors'!$E$8:$E$12,0))</f>
        <v>0.17610418705250636</v>
      </c>
      <c r="AD14" s="162">
        <f>INDEX(AD8:AD12,MATCH($E$14,'2.5 Emission factors'!$E$8:$E$12,0))</f>
        <v>0.1740490842676817</v>
      </c>
      <c r="AE14" s="162">
        <f>INDEX(AE8:AE12,MATCH($E$14,'2.5 Emission factors'!$E$8:$E$12,0))</f>
        <v>0.17183760284633093</v>
      </c>
      <c r="AF14" s="162">
        <f>INDEX(AF8:AF12,MATCH($E$14,'2.5 Emission factors'!$E$8:$E$12,0))</f>
        <v>0.16969973540455521</v>
      </c>
      <c r="AG14" s="162">
        <f>INDEX(AG8:AG12,MATCH($E$14,'2.5 Emission factors'!$E$8:$E$12,0))</f>
        <v>0.16746691930649091</v>
      </c>
      <c r="AH14" s="162">
        <f>INDEX(AH8:AH12,MATCH($E$14,'2.5 Emission factors'!$E$8:$E$12,0))</f>
        <v>0.1650395701174448</v>
      </c>
      <c r="AI14" s="162">
        <f>INDEX(AI8:AI12,MATCH($E$14,'2.5 Emission factors'!$E$8:$E$12,0))</f>
        <v>0.16373129309896894</v>
      </c>
      <c r="AJ14" s="162">
        <f>INDEX(AJ8:AJ12,MATCH($E$14,'2.5 Emission factors'!$E$8:$E$12,0))</f>
        <v>0.16068081747553439</v>
      </c>
      <c r="AK14" s="162">
        <f>INDEX(AK8:AK12,MATCH($E$14,'2.5 Emission factors'!$E$8:$E$12,0))</f>
        <v>0.15706942137428986</v>
      </c>
      <c r="AL14" s="162">
        <f>INDEX(AL8:AL12,MATCH($E$14,'2.5 Emission factors'!$E$8:$E$12,0))</f>
        <v>0.15309074494954747</v>
      </c>
      <c r="AM14" s="162">
        <f>INDEX(AM8:AM12,MATCH($E$14,'2.5 Emission factors'!$E$8:$E$12,0))</f>
        <v>0.15042358681557308</v>
      </c>
      <c r="AN14" s="162">
        <f>INDEX(AN8:AN12,MATCH($E$14,'2.5 Emission factors'!$E$8:$E$12,0))</f>
        <v>0.14704024602697149</v>
      </c>
      <c r="AO14" s="162">
        <f>INDEX(AO8:AO12,MATCH($E$14,'2.5 Emission factors'!$E$8:$E$12,0))</f>
        <v>0.14288635094153448</v>
      </c>
      <c r="AP14" s="162">
        <f>INDEX(AP8:AP12,MATCH($E$14,'2.5 Emission factors'!$E$8:$E$12,0))</f>
        <v>0.13755304868729445</v>
      </c>
      <c r="AQ14" s="162">
        <f>INDEX(AQ8:AQ12,MATCH($E$14,'2.5 Emission factors'!$E$8:$E$12,0))</f>
        <v>0.13026408036244105</v>
      </c>
      <c r="AR14" s="162">
        <f>INDEX(AR8:AR12,MATCH($E$14,'2.5 Emission factors'!$E$8:$E$12,0))</f>
        <v>0.11968965180244241</v>
      </c>
      <c r="AS14" s="162">
        <f>INDEX(AS8:AS12,MATCH($E$14,'2.5 Emission factors'!$E$8:$E$12,0))</f>
        <v>0.10302148918920746</v>
      </c>
      <c r="AT14" s="162">
        <f>INDEX(AT8:AT12,MATCH($E$14,'2.5 Emission factors'!$E$8:$E$12,0))</f>
        <v>7.5699730915296859E-2</v>
      </c>
      <c r="AU14" s="162">
        <f>INDEX(AU8:AU12,MATCH($E$14,'2.5 Emission factors'!$E$8:$E$12,0))</f>
        <v>6.280927581076147E-2</v>
      </c>
      <c r="AV14" s="162">
        <f>INDEX(AV8:AV12,MATCH($E$14,'2.5 Emission factors'!$E$8:$E$12,0))</f>
        <v>6.2713433793947004E-2</v>
      </c>
      <c r="AW14" s="162">
        <f>INDEX(AW8:AW12,MATCH($E$14,'2.5 Emission factors'!$E$8:$E$12,0))</f>
        <v>6.2569330452485708E-2</v>
      </c>
      <c r="AX14" s="162">
        <f>INDEX(AX8:AX12,MATCH($E$14,'2.5 Emission factors'!$E$8:$E$12,0))</f>
        <v>1.8462703954084279E-3</v>
      </c>
    </row>
    <row r="16" spans="1:50" s="67" customFormat="1">
      <c r="B16" s="67" t="s">
        <v>210</v>
      </c>
      <c r="O16" s="68"/>
      <c r="P16" s="68"/>
      <c r="Q16" s="6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c r="AX16" s="68"/>
    </row>
    <row r="17" spans="3:50" ht="15.75">
      <c r="E17" s="91"/>
    </row>
    <row r="18" spans="3:50" s="156" customFormat="1">
      <c r="C18" s="157"/>
      <c r="D18" s="156" t="s">
        <v>732</v>
      </c>
    </row>
    <row r="19" spans="3:50">
      <c r="D19" s="78" t="s">
        <v>733</v>
      </c>
    </row>
    <row r="21" spans="3:50">
      <c r="E21" t="s">
        <v>734</v>
      </c>
      <c r="G21" s="44" t="s">
        <v>726</v>
      </c>
      <c r="I21" s="161"/>
      <c r="K21" s="44"/>
      <c r="M21" s="44"/>
      <c r="O21" s="318">
        <v>0.36199999999999999</v>
      </c>
      <c r="P21" s="318">
        <v>0.36199999999999999</v>
      </c>
      <c r="Q21" s="318">
        <v>0.36199999999999999</v>
      </c>
      <c r="R21" s="318">
        <v>0.36199999999999999</v>
      </c>
      <c r="S21" s="318">
        <v>0.36199999999999999</v>
      </c>
      <c r="T21" s="318">
        <v>0.36199999999999999</v>
      </c>
      <c r="U21" s="318">
        <v>0.36199999999999999</v>
      </c>
      <c r="V21" s="318">
        <v>0.36199999999999999</v>
      </c>
      <c r="W21" s="318">
        <v>0.36199999999999999</v>
      </c>
      <c r="X21" s="318">
        <v>0.36199999999999999</v>
      </c>
      <c r="Y21" s="318">
        <v>0.36199999999999999</v>
      </c>
      <c r="Z21" s="318">
        <v>0.36199999999999999</v>
      </c>
      <c r="AA21" s="318">
        <v>0.36199999999999999</v>
      </c>
      <c r="AB21" s="318">
        <v>0.36199999999999999</v>
      </c>
      <c r="AC21" s="318">
        <v>0.36199999999999999</v>
      </c>
      <c r="AD21" s="318">
        <v>0.36199999999999999</v>
      </c>
      <c r="AE21" s="318">
        <v>0.36199999999999999</v>
      </c>
      <c r="AF21" s="318">
        <v>0.36199999999999999</v>
      </c>
      <c r="AG21" s="318">
        <v>0.36199999999999999</v>
      </c>
      <c r="AH21" s="318">
        <v>0.36199999999999999</v>
      </c>
      <c r="AI21" s="318">
        <v>0.36199999999999999</v>
      </c>
      <c r="AJ21" s="318">
        <v>0.36199999999999999</v>
      </c>
      <c r="AK21" s="318">
        <v>0.36199999999999999</v>
      </c>
      <c r="AL21" s="318">
        <v>0.36199999999999999</v>
      </c>
      <c r="AM21" s="318">
        <v>0.36199999999999999</v>
      </c>
      <c r="AN21" s="318">
        <v>0.36199999999999999</v>
      </c>
      <c r="AO21" s="318">
        <v>0.36199999999999999</v>
      </c>
      <c r="AP21" s="318">
        <v>0.36199999999999999</v>
      </c>
      <c r="AQ21" s="318">
        <v>0.36199999999999999</v>
      </c>
      <c r="AR21" s="318">
        <v>0.36199999999999999</v>
      </c>
      <c r="AS21" s="318">
        <v>0.36199999999999999</v>
      </c>
      <c r="AT21" s="318">
        <v>0.36199999999999999</v>
      </c>
      <c r="AU21" s="318">
        <v>0.36199999999999999</v>
      </c>
      <c r="AV21" s="318">
        <v>0.36199999999999999</v>
      </c>
      <c r="AW21" s="318">
        <v>0.36199999999999999</v>
      </c>
      <c r="AX21" s="318">
        <v>0.36199999999999999</v>
      </c>
    </row>
    <row r="22" spans="3:50">
      <c r="E22" t="s">
        <v>72</v>
      </c>
      <c r="G22" s="44" t="s">
        <v>726</v>
      </c>
      <c r="I22" s="161" t="s">
        <v>735</v>
      </c>
      <c r="K22" s="44"/>
      <c r="M22" s="44"/>
      <c r="O22" s="318">
        <v>0.36199999999999999</v>
      </c>
      <c r="P22" s="318">
        <v>0.27500000000000002</v>
      </c>
      <c r="Q22" s="318">
        <v>0.28899999999999998</v>
      </c>
      <c r="R22" s="318">
        <v>0.25700000000000001</v>
      </c>
      <c r="S22" s="318">
        <v>0.245</v>
      </c>
      <c r="T22" s="318">
        <v>0.217</v>
      </c>
      <c r="U22" s="318">
        <v>0.22534513001444781</v>
      </c>
      <c r="V22" s="318">
        <v>0.22138840569503054</v>
      </c>
      <c r="W22" s="318">
        <v>0.21743168137561328</v>
      </c>
      <c r="X22" s="318">
        <v>0.21347495705619596</v>
      </c>
      <c r="Y22" s="318">
        <v>0.20951823273677875</v>
      </c>
      <c r="Z22" s="318">
        <v>0.21331700892420619</v>
      </c>
      <c r="AA22" s="318">
        <v>0.21711578511163362</v>
      </c>
      <c r="AB22" s="318">
        <v>0.22091456129906106</v>
      </c>
      <c r="AC22" s="318">
        <v>0.2247133374864885</v>
      </c>
      <c r="AD22" s="318">
        <v>0.22851211367391602</v>
      </c>
      <c r="AE22" s="318">
        <v>0.23310760862210159</v>
      </c>
      <c r="AF22" s="318">
        <v>0.23770310357028723</v>
      </c>
      <c r="AG22" s="318">
        <v>0.24172951368935985</v>
      </c>
      <c r="AH22" s="318">
        <v>0.2457559238084325</v>
      </c>
      <c r="AI22" s="318">
        <v>0.24978233392750512</v>
      </c>
      <c r="AJ22" s="318">
        <v>0.25380874404657777</v>
      </c>
      <c r="AK22" s="318">
        <v>0.25783515416565039</v>
      </c>
      <c r="AL22" s="318">
        <v>0.26186156428472307</v>
      </c>
      <c r="AM22" s="318">
        <v>0.26588797440379569</v>
      </c>
      <c r="AN22" s="318">
        <v>0.26991438452286831</v>
      </c>
      <c r="AO22" s="318">
        <v>0.27394079464194093</v>
      </c>
      <c r="AP22" s="318">
        <v>0.27796720476101361</v>
      </c>
      <c r="AQ22" s="318">
        <v>0.28199361488008623</v>
      </c>
      <c r="AR22" s="318">
        <v>0.28602002499915885</v>
      </c>
      <c r="AS22" s="318">
        <v>0.29004643511823153</v>
      </c>
      <c r="AT22" s="318">
        <v>0.29407284523730415</v>
      </c>
      <c r="AU22" s="318">
        <v>0.29809925535637677</v>
      </c>
      <c r="AV22" s="318">
        <v>0.30212566547544939</v>
      </c>
      <c r="AW22" s="318">
        <v>0.30615207559452207</v>
      </c>
      <c r="AX22" s="318">
        <v>0.31017848571359469</v>
      </c>
    </row>
    <row r="23" spans="3:50">
      <c r="E23" t="s">
        <v>73</v>
      </c>
      <c r="G23" s="44" t="s">
        <v>726</v>
      </c>
      <c r="I23" s="45" t="s">
        <v>736</v>
      </c>
      <c r="K23" s="44" t="s">
        <v>737</v>
      </c>
      <c r="M23" s="44" t="s">
        <v>738</v>
      </c>
      <c r="O23" s="318">
        <v>0.36719576388994218</v>
      </c>
      <c r="P23" s="318">
        <v>0.29296135630811493</v>
      </c>
      <c r="Q23" s="318">
        <v>0.26175363653808564</v>
      </c>
      <c r="R23" s="318">
        <v>0.2432146480956934</v>
      </c>
      <c r="S23" s="318">
        <v>0.21685029303155212</v>
      </c>
      <c r="T23" s="318">
        <v>0.16237654183097761</v>
      </c>
      <c r="U23" s="318">
        <v>0.15148149859016569</v>
      </c>
      <c r="V23" s="318">
        <v>0.14153171064073269</v>
      </c>
      <c r="W23" s="318">
        <v>0.13576255568298409</v>
      </c>
      <c r="X23" s="318">
        <v>0.14812970307992263</v>
      </c>
      <c r="Y23" s="318">
        <v>0.12528530111925637</v>
      </c>
      <c r="Z23" s="318">
        <v>9.2356017607769625E-2</v>
      </c>
      <c r="AA23" s="318">
        <v>7.6432939111409956E-2</v>
      </c>
      <c r="AB23" s="318">
        <v>7.067686589395053E-2</v>
      </c>
      <c r="AC23" s="318">
        <v>6.6174907784438158E-2</v>
      </c>
      <c r="AD23" s="318">
        <v>5.2520671613272486E-2</v>
      </c>
      <c r="AE23" s="318">
        <v>4.1592735489887581E-2</v>
      </c>
      <c r="AF23" s="318">
        <v>3.5949445641281413E-2</v>
      </c>
      <c r="AG23" s="318">
        <v>3.1219575524093546E-2</v>
      </c>
      <c r="AH23" s="318">
        <v>2.8341587961970532E-2</v>
      </c>
      <c r="AI23" s="318">
        <v>2.528338556721977E-2</v>
      </c>
      <c r="AJ23" s="318">
        <v>2.0915030075598248E-2</v>
      </c>
      <c r="AK23" s="318">
        <v>1.8603133448255052E-2</v>
      </c>
      <c r="AL23" s="318">
        <v>1.8171754768706999E-2</v>
      </c>
      <c r="AM23" s="318">
        <v>1.7205675041940011E-2</v>
      </c>
      <c r="AN23" s="318">
        <v>1.5591090422249522E-2</v>
      </c>
      <c r="AO23" s="318">
        <v>1.2942762889479797E-2</v>
      </c>
      <c r="AP23" s="318">
        <v>1.2282878549594242E-2</v>
      </c>
      <c r="AQ23" s="318">
        <v>1.2032103877583921E-2</v>
      </c>
      <c r="AR23" s="318">
        <v>1.1308960943227662E-2</v>
      </c>
      <c r="AS23" s="318">
        <v>9.6039307215112085E-3</v>
      </c>
      <c r="AT23" s="318">
        <v>8.7195625414419661E-3</v>
      </c>
      <c r="AU23" s="318">
        <v>8.0398029828833584E-3</v>
      </c>
      <c r="AV23" s="318">
        <v>7.6306084759955118E-3</v>
      </c>
      <c r="AW23" s="318">
        <v>7.10059384493502E-3</v>
      </c>
      <c r="AX23" s="318">
        <v>6.9786895894976596E-3</v>
      </c>
    </row>
    <row r="24" spans="3:50">
      <c r="E24" t="s">
        <v>74</v>
      </c>
      <c r="G24" s="44" t="s">
        <v>726</v>
      </c>
      <c r="I24" s="45"/>
      <c r="K24" s="44" t="s">
        <v>739</v>
      </c>
      <c r="M24" s="44"/>
      <c r="O24" s="318">
        <v>0.36719576388994218</v>
      </c>
      <c r="P24" s="318">
        <v>0.29296135630811493</v>
      </c>
      <c r="Q24" s="318">
        <v>0.26175363653808564</v>
      </c>
      <c r="R24" s="318">
        <v>0.2432146480956934</v>
      </c>
      <c r="S24" s="318">
        <v>0.21685029303155212</v>
      </c>
      <c r="T24" s="318">
        <v>0.15532220000000002</v>
      </c>
      <c r="U24" s="318">
        <v>0.1073749</v>
      </c>
      <c r="V24" s="318">
        <v>8.3166799999999999E-2</v>
      </c>
      <c r="W24" s="318">
        <v>8.4436200000000003E-2</v>
      </c>
      <c r="X24" s="318">
        <v>7.3080200000000012E-2</v>
      </c>
      <c r="Y24" s="318">
        <v>6.4044100000000007E-2</v>
      </c>
      <c r="Z24" s="318">
        <v>5.9381100000000006E-2</v>
      </c>
      <c r="AA24" s="318">
        <v>5.1078200000000004E-2</v>
      </c>
      <c r="AB24" s="318">
        <v>4.6918599999999998E-2</v>
      </c>
      <c r="AC24" s="318">
        <v>3.2724299999999998E-2</v>
      </c>
      <c r="AD24" s="318">
        <v>2.16235E-2</v>
      </c>
      <c r="AE24" s="318">
        <v>2.1461400000000002E-2</v>
      </c>
      <c r="AF24" s="318">
        <v>2.0048400000000001E-2</v>
      </c>
      <c r="AG24" s="318">
        <v>3.9262999999999998E-3</v>
      </c>
      <c r="AH24" s="318">
        <v>0</v>
      </c>
      <c r="AI24" s="318">
        <v>0</v>
      </c>
      <c r="AJ24" s="318">
        <v>0</v>
      </c>
      <c r="AK24" s="318">
        <v>0</v>
      </c>
      <c r="AL24" s="318">
        <v>0</v>
      </c>
      <c r="AM24" s="318">
        <v>0</v>
      </c>
      <c r="AN24" s="318">
        <v>0</v>
      </c>
      <c r="AO24" s="318">
        <v>0</v>
      </c>
      <c r="AP24" s="318">
        <v>0</v>
      </c>
      <c r="AQ24" s="318">
        <v>0</v>
      </c>
      <c r="AR24" s="318">
        <v>0</v>
      </c>
      <c r="AS24" s="318">
        <v>0</v>
      </c>
      <c r="AT24" s="318">
        <v>0</v>
      </c>
      <c r="AU24" s="318">
        <v>0</v>
      </c>
      <c r="AV24" s="318">
        <v>0</v>
      </c>
      <c r="AW24" s="318">
        <v>0</v>
      </c>
      <c r="AX24" s="318">
        <v>0</v>
      </c>
    </row>
    <row r="25" spans="3:50">
      <c r="E25" t="s">
        <v>75</v>
      </c>
      <c r="G25" s="44" t="s">
        <v>726</v>
      </c>
      <c r="I25" s="45"/>
      <c r="K25" s="44"/>
      <c r="M25" s="44"/>
      <c r="O25" s="318">
        <v>0.36899999999999999</v>
      </c>
      <c r="P25" s="318">
        <v>0.29099999999999998</v>
      </c>
      <c r="Q25" s="318">
        <v>0.247</v>
      </c>
      <c r="R25" s="318">
        <v>0.18</v>
      </c>
      <c r="S25" s="318">
        <v>0.14599999999999999</v>
      </c>
      <c r="T25" s="318">
        <v>0.14099999999999999</v>
      </c>
      <c r="U25" s="318">
        <v>0.115</v>
      </c>
      <c r="V25" s="318">
        <v>0.107</v>
      </c>
      <c r="W25" s="318">
        <v>0.112</v>
      </c>
      <c r="X25" s="318">
        <v>0.104</v>
      </c>
      <c r="Y25" s="318">
        <v>0.105</v>
      </c>
      <c r="Z25" s="318">
        <v>9.9000000000000005E-2</v>
      </c>
      <c r="AA25" s="318">
        <v>0.105</v>
      </c>
      <c r="AB25" s="318">
        <v>0.1</v>
      </c>
      <c r="AC25" s="318">
        <v>9.1999999999999998E-2</v>
      </c>
      <c r="AD25" s="318">
        <v>8.3000000000000004E-2</v>
      </c>
      <c r="AE25" s="318">
        <v>7.2999999999999995E-2</v>
      </c>
      <c r="AF25" s="318">
        <v>6.0999999999999999E-2</v>
      </c>
      <c r="AG25" s="318">
        <v>5.7000000000000002E-2</v>
      </c>
      <c r="AH25" s="318">
        <v>4.9000000000000002E-2</v>
      </c>
      <c r="AI25" s="318">
        <v>4.1000000000000002E-2</v>
      </c>
      <c r="AJ25" s="318">
        <v>4.1000000000000002E-2</v>
      </c>
      <c r="AK25" s="318">
        <v>4.1000000000000002E-2</v>
      </c>
      <c r="AL25" s="318">
        <v>4.1000000000000002E-2</v>
      </c>
      <c r="AM25" s="318">
        <v>4.1000000000000002E-2</v>
      </c>
      <c r="AN25" s="318">
        <v>4.1000000000000002E-2</v>
      </c>
      <c r="AO25" s="318">
        <v>0.04</v>
      </c>
      <c r="AP25" s="318">
        <v>3.7999999999999999E-2</v>
      </c>
      <c r="AQ25" s="318">
        <v>3.6999999999999998E-2</v>
      </c>
      <c r="AR25" s="318">
        <v>3.5999999999999997E-2</v>
      </c>
      <c r="AS25" s="318">
        <v>3.4000000000000002E-2</v>
      </c>
      <c r="AT25" s="318">
        <v>3.3000000000000002E-2</v>
      </c>
      <c r="AU25" s="318">
        <v>3.2000000000000001E-2</v>
      </c>
      <c r="AV25" s="318">
        <v>0.03</v>
      </c>
      <c r="AW25" s="318">
        <v>2.9000000000000001E-2</v>
      </c>
      <c r="AX25" s="318">
        <v>2.8000000000000001E-2</v>
      </c>
    </row>
    <row r="26" spans="3:50">
      <c r="E26" t="s">
        <v>740</v>
      </c>
      <c r="G26" s="44" t="s">
        <v>726</v>
      </c>
      <c r="I26" s="45"/>
      <c r="K26" s="44"/>
      <c r="M26" s="44"/>
      <c r="O26" s="318">
        <v>0.36799999999999999</v>
      </c>
      <c r="P26" s="318">
        <v>0.27900000000000003</v>
      </c>
      <c r="Q26" s="318">
        <v>0.23300000000000001</v>
      </c>
      <c r="R26" s="318">
        <v>0.224</v>
      </c>
      <c r="S26" s="318">
        <v>0.21299999999999999</v>
      </c>
      <c r="T26" s="318">
        <v>0.19800000000000001</v>
      </c>
      <c r="U26" s="318">
        <v>0.187</v>
      </c>
      <c r="V26" s="318">
        <v>0.16200000000000001</v>
      </c>
      <c r="W26" s="318">
        <v>0.158</v>
      </c>
      <c r="X26" s="318">
        <v>0.16400000000000001</v>
      </c>
      <c r="Y26" s="318">
        <v>0.154</v>
      </c>
      <c r="Z26" s="318">
        <v>0.125</v>
      </c>
      <c r="AA26" s="318">
        <v>0.13100000000000001</v>
      </c>
      <c r="AB26" s="318">
        <v>0.11899999999999999</v>
      </c>
      <c r="AC26" s="318">
        <v>0.105</v>
      </c>
      <c r="AD26" s="318">
        <v>0.114</v>
      </c>
      <c r="AE26" s="318">
        <v>0.104</v>
      </c>
      <c r="AF26" s="318">
        <v>8.5000000000000006E-2</v>
      </c>
      <c r="AG26" s="318">
        <v>8.1000000000000003E-2</v>
      </c>
      <c r="AH26" s="318">
        <v>7.2999999999999995E-2</v>
      </c>
      <c r="AI26" s="318">
        <v>0.06</v>
      </c>
      <c r="AJ26" s="318">
        <v>0.06</v>
      </c>
      <c r="AK26" s="318">
        <v>5.5E-2</v>
      </c>
      <c r="AL26" s="318">
        <v>5.0999999999999997E-2</v>
      </c>
      <c r="AM26" s="318">
        <v>5.2999999999999999E-2</v>
      </c>
      <c r="AN26" s="318">
        <v>5.3999999999999999E-2</v>
      </c>
      <c r="AO26" s="318">
        <v>5.0999999999999997E-2</v>
      </c>
      <c r="AP26" s="318">
        <v>4.8000000000000001E-2</v>
      </c>
      <c r="AQ26" s="318">
        <v>4.5999999999999999E-2</v>
      </c>
      <c r="AR26" s="318">
        <v>4.2999999999999997E-2</v>
      </c>
      <c r="AS26" s="318">
        <v>4.1000000000000002E-2</v>
      </c>
      <c r="AT26" s="318">
        <v>3.7999999999999999E-2</v>
      </c>
      <c r="AU26" s="318">
        <v>3.5000000000000003E-2</v>
      </c>
      <c r="AV26" s="318">
        <v>3.3000000000000002E-2</v>
      </c>
      <c r="AW26" s="318">
        <v>0.03</v>
      </c>
      <c r="AX26" s="318">
        <v>2.8000000000000001E-2</v>
      </c>
    </row>
    <row r="28" spans="3:50">
      <c r="E28" s="35" t="s">
        <v>741</v>
      </c>
    </row>
    <row r="29" spans="3:50">
      <c r="E29" s="162" t="str">
        <f>Dashboard!D9</f>
        <v>BEIS Green Book Emission Factor - 2020</v>
      </c>
      <c r="G29" s="44" t="s">
        <v>726</v>
      </c>
      <c r="I29" s="45"/>
      <c r="K29" s="44"/>
      <c r="M29" s="44"/>
      <c r="O29" s="162">
        <f>INDEX(O21:O26,MATCH($E$29,'2.5 Emission factors'!$E$21:$E$26,0))</f>
        <v>0.36719576388994218</v>
      </c>
      <c r="P29" s="162">
        <f>INDEX(P21:P26,MATCH($E$29,'2.5 Emission factors'!$E$21:$E$26,0))</f>
        <v>0.29296135630811493</v>
      </c>
      <c r="Q29" s="162">
        <f>INDEX(Q21:Q26,MATCH($E$29,'2.5 Emission factors'!$E$21:$E$26,0))</f>
        <v>0.26175363653808564</v>
      </c>
      <c r="R29" s="162">
        <f>INDEX(R21:R26,MATCH($E$29,'2.5 Emission factors'!$E$21:$E$26,0))</f>
        <v>0.2432146480956934</v>
      </c>
      <c r="S29" s="162">
        <f>INDEX(S21:S26,MATCH($E$29,'2.5 Emission factors'!$E$21:$E$26,0))</f>
        <v>0.21685029303155212</v>
      </c>
      <c r="T29" s="162">
        <f>INDEX(T21:T26,MATCH($E$29,'2.5 Emission factors'!$E$21:$E$26,0))</f>
        <v>0.16237654183097761</v>
      </c>
      <c r="U29" s="162">
        <f>INDEX(U21:U26,MATCH($E$29,'2.5 Emission factors'!$E$21:$E$26,0))</f>
        <v>0.15148149859016569</v>
      </c>
      <c r="V29" s="162">
        <f>INDEX(V21:V26,MATCH($E$29,'2.5 Emission factors'!$E$21:$E$26,0))</f>
        <v>0.14153171064073269</v>
      </c>
      <c r="W29" s="162">
        <f>INDEX(W21:W26,MATCH($E$29,'2.5 Emission factors'!$E$21:$E$26,0))</f>
        <v>0.13576255568298409</v>
      </c>
      <c r="X29" s="162">
        <f>INDEX(X21:X26,MATCH($E$29,'2.5 Emission factors'!$E$21:$E$26,0))</f>
        <v>0.14812970307992263</v>
      </c>
      <c r="Y29" s="162">
        <f>INDEX(Y21:Y26,MATCH($E$29,'2.5 Emission factors'!$E$21:$E$26,0))</f>
        <v>0.12528530111925637</v>
      </c>
      <c r="Z29" s="162">
        <f>INDEX(Z21:Z26,MATCH($E$29,'2.5 Emission factors'!$E$21:$E$26,0))</f>
        <v>9.2356017607769625E-2</v>
      </c>
      <c r="AA29" s="162">
        <f>INDEX(AA21:AA26,MATCH($E$29,'2.5 Emission factors'!$E$21:$E$26,0))</f>
        <v>7.6432939111409956E-2</v>
      </c>
      <c r="AB29" s="162">
        <f>INDEX(AB21:AB26,MATCH($E$29,'2.5 Emission factors'!$E$21:$E$26,0))</f>
        <v>7.067686589395053E-2</v>
      </c>
      <c r="AC29" s="162">
        <f>INDEX(AC21:AC26,MATCH($E$29,'2.5 Emission factors'!$E$21:$E$26,0))</f>
        <v>6.6174907784438158E-2</v>
      </c>
      <c r="AD29" s="162">
        <f>INDEX(AD21:AD26,MATCH($E$29,'2.5 Emission factors'!$E$21:$E$26,0))</f>
        <v>5.2520671613272486E-2</v>
      </c>
      <c r="AE29" s="162">
        <f>INDEX(AE21:AE26,MATCH($E$29,'2.5 Emission factors'!$E$21:$E$26,0))</f>
        <v>4.1592735489887581E-2</v>
      </c>
      <c r="AF29" s="162">
        <f>INDEX(AF21:AF26,MATCH($E$29,'2.5 Emission factors'!$E$21:$E$26,0))</f>
        <v>3.5949445641281413E-2</v>
      </c>
      <c r="AG29" s="162">
        <f>INDEX(AG21:AG26,MATCH($E$29,'2.5 Emission factors'!$E$21:$E$26,0))</f>
        <v>3.1219575524093546E-2</v>
      </c>
      <c r="AH29" s="162">
        <f>INDEX(AH21:AH26,MATCH($E$29,'2.5 Emission factors'!$E$21:$E$26,0))</f>
        <v>2.8341587961970532E-2</v>
      </c>
      <c r="AI29" s="162">
        <f>INDEX(AI21:AI26,MATCH($E$29,'2.5 Emission factors'!$E$21:$E$26,0))</f>
        <v>2.528338556721977E-2</v>
      </c>
      <c r="AJ29" s="162">
        <f>INDEX(AJ21:AJ26,MATCH($E$29,'2.5 Emission factors'!$E$21:$E$26,0))</f>
        <v>2.0915030075598248E-2</v>
      </c>
      <c r="AK29" s="162">
        <f>INDEX(AK21:AK26,MATCH($E$29,'2.5 Emission factors'!$E$21:$E$26,0))</f>
        <v>1.8603133448255052E-2</v>
      </c>
      <c r="AL29" s="162">
        <f>INDEX(AL21:AL26,MATCH($E$29,'2.5 Emission factors'!$E$21:$E$26,0))</f>
        <v>1.8171754768706999E-2</v>
      </c>
      <c r="AM29" s="162">
        <f>INDEX(AM21:AM26,MATCH($E$29,'2.5 Emission factors'!$E$21:$E$26,0))</f>
        <v>1.7205675041940011E-2</v>
      </c>
      <c r="AN29" s="162">
        <f>INDEX(AN21:AN26,MATCH($E$29,'2.5 Emission factors'!$E$21:$E$26,0))</f>
        <v>1.5591090422249522E-2</v>
      </c>
      <c r="AO29" s="162">
        <f>INDEX(AO21:AO26,MATCH($E$29,'2.5 Emission factors'!$E$21:$E$26,0))</f>
        <v>1.2942762889479797E-2</v>
      </c>
      <c r="AP29" s="162">
        <f>INDEX(AP21:AP26,MATCH($E$29,'2.5 Emission factors'!$E$21:$E$26,0))</f>
        <v>1.2282878549594242E-2</v>
      </c>
      <c r="AQ29" s="162">
        <f>INDEX(AQ21:AQ26,MATCH($E$29,'2.5 Emission factors'!$E$21:$E$26,0))</f>
        <v>1.2032103877583921E-2</v>
      </c>
      <c r="AR29" s="162">
        <f>INDEX(AR21:AR26,MATCH($E$29,'2.5 Emission factors'!$E$21:$E$26,0))</f>
        <v>1.1308960943227662E-2</v>
      </c>
      <c r="AS29" s="162">
        <f>INDEX(AS21:AS26,MATCH($E$29,'2.5 Emission factors'!$E$21:$E$26,0))</f>
        <v>9.6039307215112085E-3</v>
      </c>
      <c r="AT29" s="162">
        <f>INDEX(AT21:AT26,MATCH($E$29,'2.5 Emission factors'!$E$21:$E$26,0))</f>
        <v>8.7195625414419661E-3</v>
      </c>
      <c r="AU29" s="162">
        <f>INDEX(AU21:AU26,MATCH($E$29,'2.5 Emission factors'!$E$21:$E$26,0))</f>
        <v>8.0398029828833584E-3</v>
      </c>
      <c r="AV29" s="162">
        <f>INDEX(AV21:AV26,MATCH($E$29,'2.5 Emission factors'!$E$21:$E$26,0))</f>
        <v>7.6306084759955118E-3</v>
      </c>
      <c r="AW29" s="162">
        <f>INDEX(AW21:AW26,MATCH($E$29,'2.5 Emission factors'!$E$21:$E$26,0))</f>
        <v>7.10059384493502E-3</v>
      </c>
      <c r="AX29" s="162">
        <f>INDEX(AX21:AX26,MATCH($E$29,'2.5 Emission factors'!$E$21:$E$26,0))</f>
        <v>6.9786895894976596E-3</v>
      </c>
    </row>
    <row r="31" spans="3:50" s="156" customFormat="1">
      <c r="C31" s="157"/>
      <c r="D31" s="156" t="s">
        <v>742</v>
      </c>
    </row>
    <row r="33" spans="2:50">
      <c r="E33" t="s">
        <v>743</v>
      </c>
      <c r="G33" s="44" t="s">
        <v>726</v>
      </c>
      <c r="I33" s="45" t="s">
        <v>736</v>
      </c>
      <c r="K33" s="44"/>
      <c r="M33" s="44"/>
      <c r="O33" s="471">
        <v>0.35021798295051099</v>
      </c>
      <c r="P33" s="471">
        <v>0.33958889055005098</v>
      </c>
      <c r="Q33" s="471">
        <v>0.32998032071149674</v>
      </c>
      <c r="R33" s="471">
        <v>0.31925306430037553</v>
      </c>
      <c r="S33" s="471">
        <v>0.30770237496277292</v>
      </c>
      <c r="T33" s="471">
        <v>0.29560630720862663</v>
      </c>
      <c r="U33" s="471">
        <v>0.28282366756159227</v>
      </c>
      <c r="V33" s="471">
        <v>0.26931548625284218</v>
      </c>
      <c r="W33" s="471">
        <v>0.25504058159241066</v>
      </c>
      <c r="X33" s="471">
        <v>0.23995543442071773</v>
      </c>
      <c r="Y33" s="471">
        <v>0.22401405543396952</v>
      </c>
      <c r="Z33" s="471">
        <v>0.20716784497895951</v>
      </c>
      <c r="AA33" s="471">
        <v>0.18936544488983292</v>
      </c>
      <c r="AB33" s="471">
        <v>0.17055258191511677</v>
      </c>
      <c r="AC33" s="471">
        <v>0.15067190225768007</v>
      </c>
      <c r="AD33" s="471">
        <v>0.12966279672319522</v>
      </c>
      <c r="AE33" s="471">
        <v>0.10491111320099197</v>
      </c>
      <c r="AF33" s="471">
        <v>8.4884345789392038E-2</v>
      </c>
      <c r="AG33" s="471">
        <v>6.8680542415833865E-2</v>
      </c>
      <c r="AH33" s="471">
        <v>5.5569927089225903E-2</v>
      </c>
      <c r="AI33" s="471">
        <v>4.4962032740002933E-2</v>
      </c>
      <c r="AJ33" s="471">
        <v>3.6379108161634567E-2</v>
      </c>
      <c r="AK33" s="471">
        <v>2.943460137331461E-2</v>
      </c>
      <c r="AL33" s="471">
        <v>2.3815750352001092E-2</v>
      </c>
      <c r="AM33" s="471">
        <v>1.9269497066913034E-2</v>
      </c>
      <c r="AN33" s="471">
        <v>1.5591090422249522E-2</v>
      </c>
      <c r="AO33" s="471">
        <v>1.2942762889479797E-2</v>
      </c>
      <c r="AP33" s="471">
        <v>1.2282878549594242E-2</v>
      </c>
      <c r="AQ33" s="471">
        <v>1.2032103877583921E-2</v>
      </c>
      <c r="AR33" s="471">
        <v>1.1308960943227662E-2</v>
      </c>
      <c r="AS33" s="471">
        <v>9.6039307215112085E-3</v>
      </c>
      <c r="AT33" s="471">
        <v>8.7195625414419661E-3</v>
      </c>
      <c r="AU33" s="471">
        <v>8.0398029828833584E-3</v>
      </c>
      <c r="AV33" s="471">
        <v>7.6306084759955118E-3</v>
      </c>
      <c r="AW33" s="471">
        <v>7.10059384493502E-3</v>
      </c>
      <c r="AX33" s="471">
        <v>6.9786895894976596E-3</v>
      </c>
    </row>
    <row r="34" spans="2:50">
      <c r="E34" t="s">
        <v>744</v>
      </c>
      <c r="G34" s="44" t="s">
        <v>726</v>
      </c>
      <c r="I34" s="45" t="s">
        <v>736</v>
      </c>
      <c r="K34" s="44"/>
      <c r="M34" s="44"/>
      <c r="O34" s="471">
        <v>0.3438277662962913</v>
      </c>
      <c r="P34" s="471">
        <v>0.33337579652192967</v>
      </c>
      <c r="Q34" s="471">
        <v>0.32395440277636445</v>
      </c>
      <c r="R34" s="471">
        <v>0.31342494655914493</v>
      </c>
      <c r="S34" s="471">
        <v>0.30208328453952277</v>
      </c>
      <c r="T34" s="471">
        <v>0.29020810847815115</v>
      </c>
      <c r="U34" s="471">
        <v>0.27765889831970364</v>
      </c>
      <c r="V34" s="471">
        <v>0.26439739593969658</v>
      </c>
      <c r="W34" s="471">
        <v>0.25038317168538787</v>
      </c>
      <c r="X34" s="471">
        <v>0.23557350111999684</v>
      </c>
      <c r="Y34" s="471">
        <v>0.2199232347709352</v>
      </c>
      <c r="Z34" s="471">
        <v>0.20338466048495787</v>
      </c>
      <c r="AA34" s="471">
        <v>0.18590735797060229</v>
      </c>
      <c r="AB34" s="471">
        <v>0.16743804508446747</v>
      </c>
      <c r="AC34" s="471">
        <v>0.14792041539271375</v>
      </c>
      <c r="AD34" s="471">
        <v>0.12729496651256625</v>
      </c>
      <c r="AE34" s="471">
        <v>0.10299528453196878</v>
      </c>
      <c r="AF34" s="471">
        <v>8.3334234859742146E-2</v>
      </c>
      <c r="AG34" s="471">
        <v>6.7426336372740675E-2</v>
      </c>
      <c r="AH34" s="471">
        <v>5.4555139845007997E-2</v>
      </c>
      <c r="AI34" s="471">
        <v>4.4140960989712492E-2</v>
      </c>
      <c r="AJ34" s="471">
        <v>3.5714773028367709E-2</v>
      </c>
      <c r="AK34" s="471">
        <v>2.8897082978440382E-2</v>
      </c>
      <c r="AL34" s="471">
        <v>2.3380840303803916E-2</v>
      </c>
      <c r="AM34" s="471">
        <v>1.8917608179339001E-2</v>
      </c>
      <c r="AN34" s="471">
        <v>1.5306374560403188E-2</v>
      </c>
      <c r="AO34" s="471">
        <v>1.27064093188859E-2</v>
      </c>
      <c r="AP34" s="471">
        <v>1.2058575421494175E-2</v>
      </c>
      <c r="AQ34" s="471">
        <v>1.1812380257711756E-2</v>
      </c>
      <c r="AR34" s="471">
        <v>1.1102442959280711E-2</v>
      </c>
      <c r="AS34" s="471">
        <v>9.428549055544768E-3</v>
      </c>
      <c r="AT34" s="471">
        <v>8.5603307175814089E-3</v>
      </c>
      <c r="AU34" s="471">
        <v>7.8929845517568403E-3</v>
      </c>
      <c r="AV34" s="471">
        <v>7.4912625284180023E-3</v>
      </c>
      <c r="AW34" s="471">
        <v>6.9709267311264559E-3</v>
      </c>
      <c r="AX34" s="471">
        <v>6.8512486237139996E-3</v>
      </c>
    </row>
    <row r="35" spans="2:50">
      <c r="E35" t="s">
        <v>745</v>
      </c>
      <c r="G35" s="44" t="s">
        <v>726</v>
      </c>
      <c r="I35" s="45"/>
      <c r="K35" s="44"/>
      <c r="M35" s="44"/>
      <c r="O35" s="483">
        <f>(O33*'Energy demand'!O24)+(O34*(1-'Energy demand'!O24))</f>
        <v>0.34689026877051987</v>
      </c>
      <c r="P35" s="483">
        <f>(P33*'Energy demand'!P24)+(P34*(1-'Energy demand'!P24))</f>
        <v>0.33636307728471493</v>
      </c>
      <c r="Q35" s="483">
        <f>(Q33*'Energy demand'!Q24)+(Q34*(1-'Energy demand'!Q24))</f>
        <v>0.3268609607690186</v>
      </c>
      <c r="R35" s="483">
        <f>(R33*'Energy demand'!R24)+(R34*(1-'Energy demand'!R24))</f>
        <v>0.31624496914561251</v>
      </c>
      <c r="S35" s="483">
        <f>(S33*'Energy demand'!S24)+(S34*(1-'Energy demand'!S24))</f>
        <v>0.3048136196558201</v>
      </c>
      <c r="T35" s="483">
        <f>(T33*'Energy demand'!T24)+(T34*(1-'Energy demand'!T24))</f>
        <v>0.29284063754699374</v>
      </c>
      <c r="U35" s="483">
        <f>(U33*'Energy demand'!U24)+(U34*(1-'Energy demand'!U24))</f>
        <v>0.28018229283724627</v>
      </c>
      <c r="V35" s="483">
        <f>(V33*'Energy demand'!V24)+(V34*(1-'Energy demand'!V24))</f>
        <v>0.26677670336533299</v>
      </c>
      <c r="W35" s="483">
        <f>(W33*'Energy demand'!W24)+(W34*(1-'Energy demand'!W24))</f>
        <v>0.25259586135914641</v>
      </c>
      <c r="X35" s="483">
        <f>(X33*'Energy demand'!X24)+(X34*(1-'Energy demand'!X24))</f>
        <v>0.23762384529440719</v>
      </c>
      <c r="Y35" s="483">
        <f>(Y33*'Energy demand'!Y24)+(Y34*(1-'Energy demand'!Y24))</f>
        <v>0.22181791620762892</v>
      </c>
      <c r="Z35" s="483">
        <f>(Z33*'Energy demand'!Z24)+(Z34*(1-'Energy demand'!Z24))</f>
        <v>0.20513302352574586</v>
      </c>
      <c r="AA35" s="483">
        <f>(AA33*'Energy demand'!AA24)+(AA34*(1-'Energy demand'!AA24))</f>
        <v>0.18751836658821841</v>
      </c>
      <c r="AB35" s="483">
        <f>(AB33*'Energy demand'!AB24)+(AB34*(1-'Energy demand'!AB24))</f>
        <v>0.16889944865137685</v>
      </c>
      <c r="AC35" s="483">
        <f>(AC33*'Energy demand'!AC24)+(AC34*(1-'Energy demand'!AC24))</f>
        <v>0.14924229614594575</v>
      </c>
      <c r="AD35" s="483">
        <f>(AD33*'Energy demand'!AD24)+(AD34*(1-'Energy demand'!AD24))</f>
        <v>0.12847191086951865</v>
      </c>
      <c r="AE35" s="483">
        <f>(AE33*'Energy demand'!AE24)+(AE34*(1-'Energy demand'!AE24))</f>
        <v>0.10397769528389192</v>
      </c>
      <c r="AF35" s="483">
        <f>(AF33*'Energy demand'!AF24)+(AF34*(1-'Energy demand'!AF24))</f>
        <v>8.415021268228251E-2</v>
      </c>
      <c r="AG35" s="483">
        <f>(AG33*'Energy demand'!AG24)+(AG34*(1-'Energy demand'!AG24))</f>
        <v>6.8100582808390792E-2</v>
      </c>
      <c r="AH35" s="483">
        <f>(AH33*'Energy demand'!AH24)+(AH34*(1-'Energy demand'!AH24))</f>
        <v>5.5109298926564826E-2</v>
      </c>
      <c r="AI35" s="483">
        <f>(AI33*'Energy demand'!AI24)+(AI34*(1-'Energy demand'!AI24))</f>
        <v>4.4589423135665357E-2</v>
      </c>
      <c r="AJ35" s="483">
        <f>(AJ33*'Energy demand'!AJ24)+(AJ34*(1-'Energy demand'!AJ24))</f>
        <v>3.6077699709136241E-2</v>
      </c>
      <c r="AK35" s="483">
        <f>(AK33*'Energy demand'!AK24)+(AK34*(1-'Energy demand'!AK24))</f>
        <v>2.9190795761686195E-2</v>
      </c>
      <c r="AL35" s="483">
        <f>(AL33*'Energy demand'!AL24)+(AL34*(1-'Energy demand'!AL24))</f>
        <v>2.3618541128233427E-2</v>
      </c>
      <c r="AM35" s="483">
        <f>(AM33*'Energy demand'!AM24)+(AM34*(1-'Energy demand'!AM24))</f>
        <v>1.9109978158154378E-2</v>
      </c>
      <c r="AN35" s="483">
        <f>(AN33*'Energy demand'!AN24)+(AN34*(1-'Energy demand'!AN24))</f>
        <v>1.5462058096528982E-2</v>
      </c>
      <c r="AO35" s="483">
        <f>(AO33*'Energy demand'!AO24)+(AO34*(1-'Energy demand'!AO24))</f>
        <v>1.2835677699220314E-2</v>
      </c>
      <c r="AP35" s="483">
        <f>(AP33*'Energy demand'!AP24)+(AP34*(1-'Energy demand'!AP24))</f>
        <v>1.2181281033195379E-2</v>
      </c>
      <c r="AQ35" s="483">
        <f>(AQ33*'Energy demand'!AQ24)+(AQ34*(1-'Energy demand'!AQ24))</f>
        <v>1.1932607985141987E-2</v>
      </c>
      <c r="AR35" s="483">
        <f>(AR33*'Energy demand'!AR24)+(AR34*(1-'Energy demand'!AR24))</f>
        <v>1.1215470535639604E-2</v>
      </c>
      <c r="AS35" s="483">
        <f>(AS33*'Energy demand'!AS24)+(AS34*(1-'Energy demand'!AS24))</f>
        <v>9.5245574542662803E-3</v>
      </c>
      <c r="AT35" s="483">
        <f>(AT33*'Energy demand'!AT24)+(AT34*(1-'Energy demand'!AT24))</f>
        <v>8.6475180231751353E-3</v>
      </c>
      <c r="AU35" s="483">
        <f>(AU33*'Energy demand'!AU24)+(AU34*(1-'Energy demand'!AU24))</f>
        <v>7.9733930917414188E-3</v>
      </c>
      <c r="AV35" s="483">
        <f>(AV33*'Energy demand'!AV24)+(AV34*(1-'Energy demand'!AV24))</f>
        <v>7.5675958241526835E-3</v>
      </c>
      <c r="AW35" s="483">
        <f>(AW33*'Energy demand'!AW24)+(AW34*(1-'Energy demand'!AW24))</f>
        <v>7.041974010788073E-3</v>
      </c>
      <c r="AX35" s="483">
        <f>(AX33*'Energy demand'!AX24)+(AX34*(1-'Energy demand'!AX24))</f>
        <v>6.921091878914749E-3</v>
      </c>
    </row>
    <row r="36" spans="2:50">
      <c r="E36" t="s">
        <v>746</v>
      </c>
      <c r="G36" s="44"/>
      <c r="I36" s="45"/>
      <c r="K36" s="44"/>
      <c r="M36" s="44"/>
      <c r="O36" s="471">
        <v>0.31951083271098368</v>
      </c>
      <c r="P36" s="471">
        <v>0.31065470140606644</v>
      </c>
      <c r="Q36" s="471">
        <v>0.30129589675661556</v>
      </c>
      <c r="R36" s="471">
        <v>0.29140588706152992</v>
      </c>
      <c r="S36" s="471">
        <v>0.28095452116250691</v>
      </c>
      <c r="T36" s="471">
        <v>0.26990993652377421</v>
      </c>
      <c r="U36" s="471">
        <v>0.25823846209443352</v>
      </c>
      <c r="V36" s="471">
        <v>0.24590451565727856</v>
      </c>
      <c r="W36" s="471">
        <v>0.23287049535113957</v>
      </c>
      <c r="X36" s="471">
        <v>0.21909666503604469</v>
      </c>
      <c r="Y36" s="471">
        <v>0.20454103315171568</v>
      </c>
      <c r="Z36" s="471">
        <v>0.18915922470008195</v>
      </c>
      <c r="AA36" s="471">
        <v>0.17290434596153126</v>
      </c>
      <c r="AB36" s="471">
        <v>0.15572684153246502</v>
      </c>
      <c r="AC36" s="471">
        <v>0.13757434324831597</v>
      </c>
      <c r="AD36" s="471">
        <v>0.11839151053144831</v>
      </c>
      <c r="AE36" s="471">
        <v>9.579143345115973E-2</v>
      </c>
      <c r="AF36" s="471">
        <v>7.7505546482494997E-2</v>
      </c>
      <c r="AG36" s="471">
        <v>6.2710302154659586E-2</v>
      </c>
      <c r="AH36" s="471">
        <v>5.0739362210895395E-2</v>
      </c>
      <c r="AI36" s="471">
        <v>4.1053587514522073E-2</v>
      </c>
      <c r="AJ36" s="471">
        <v>3.3216756663342784E-2</v>
      </c>
      <c r="AK36" s="471">
        <v>2.6875919743711393E-2</v>
      </c>
      <c r="AL36" s="471">
        <v>2.1745502409858859E-2</v>
      </c>
      <c r="AM36" s="471">
        <v>1.7594444378701571E-2</v>
      </c>
      <c r="AN36" s="471">
        <v>1.4235793092316623E-2</v>
      </c>
      <c r="AO36" s="471">
        <v>1.1817678529694802E-2</v>
      </c>
      <c r="AP36" s="471">
        <v>1.1215156405003326E-2</v>
      </c>
      <c r="AQ36" s="471">
        <v>1.0986180993608244E-2</v>
      </c>
      <c r="AR36" s="471">
        <v>1.0325899197347513E-2</v>
      </c>
      <c r="AS36" s="471">
        <v>8.7690832983220186E-3</v>
      </c>
      <c r="AT36" s="471">
        <v>7.9615911930278286E-3</v>
      </c>
      <c r="AU36" s="471">
        <v>7.3409215563258814E-3</v>
      </c>
      <c r="AV36" s="471">
        <v>6.9672973788754726E-3</v>
      </c>
      <c r="AW36" s="471">
        <v>6.48335569042819E-3</v>
      </c>
      <c r="AX36" s="471">
        <v>6.3720482891830126E-3</v>
      </c>
    </row>
    <row r="37" spans="2:50" s="92" customFormat="1"/>
    <row r="38" spans="2:50" s="67" customFormat="1">
      <c r="B38" s="67" t="s">
        <v>211</v>
      </c>
      <c r="O38" s="68"/>
      <c r="P38" s="68"/>
      <c r="Q38" s="68"/>
      <c r="R38" s="68"/>
      <c r="S38" s="68"/>
      <c r="T38" s="68"/>
      <c r="U38" s="68"/>
      <c r="V38" s="68"/>
      <c r="W38" s="68"/>
      <c r="X38" s="68"/>
      <c r="Y38" s="68"/>
      <c r="Z38" s="68"/>
      <c r="AA38" s="68"/>
      <c r="AB38" s="68"/>
      <c r="AC38" s="68"/>
      <c r="AD38" s="68"/>
      <c r="AE38" s="68"/>
      <c r="AF38" s="68"/>
      <c r="AG38" s="68"/>
      <c r="AH38" s="68"/>
      <c r="AI38" s="68"/>
      <c r="AJ38" s="68"/>
      <c r="AK38" s="68"/>
      <c r="AL38" s="68"/>
      <c r="AM38" s="68"/>
      <c r="AN38" s="68"/>
      <c r="AO38" s="68"/>
      <c r="AP38" s="68"/>
      <c r="AQ38" s="68"/>
      <c r="AR38" s="68"/>
      <c r="AS38" s="68"/>
      <c r="AT38" s="68"/>
      <c r="AU38" s="68"/>
      <c r="AV38" s="68"/>
      <c r="AW38" s="68"/>
      <c r="AX38" s="68"/>
    </row>
    <row r="40" spans="2:50" s="156" customFormat="1">
      <c r="C40" s="157"/>
      <c r="D40" s="156" t="s">
        <v>747</v>
      </c>
    </row>
    <row r="42" spans="2:50">
      <c r="E42" t="s">
        <v>748</v>
      </c>
      <c r="G42" t="s">
        <v>749</v>
      </c>
      <c r="I42" t="s">
        <v>180</v>
      </c>
      <c r="M42" t="s">
        <v>179</v>
      </c>
    </row>
    <row r="43" spans="2:50">
      <c r="E43" t="s">
        <v>536</v>
      </c>
      <c r="G43" s="44" t="s">
        <v>724</v>
      </c>
      <c r="I43" s="45" t="s">
        <v>3</v>
      </c>
      <c r="K43" s="44"/>
      <c r="M43" s="44" t="s">
        <v>750</v>
      </c>
      <c r="O43" s="484">
        <v>1.42</v>
      </c>
      <c r="P43" s="484">
        <v>1.42</v>
      </c>
      <c r="Q43" s="484">
        <v>1.42</v>
      </c>
      <c r="R43" s="484">
        <v>1.42</v>
      </c>
      <c r="S43" s="484">
        <v>1.42</v>
      </c>
      <c r="T43" s="484">
        <v>1.42</v>
      </c>
      <c r="U43" s="484">
        <v>1.42</v>
      </c>
      <c r="V43" s="484">
        <v>1.42</v>
      </c>
      <c r="W43" s="484">
        <v>1.42</v>
      </c>
      <c r="X43" s="484">
        <v>1.42</v>
      </c>
      <c r="Y43" s="484">
        <v>1.42</v>
      </c>
      <c r="Z43" s="484">
        <v>1.42</v>
      </c>
      <c r="AA43" s="484">
        <v>1.42</v>
      </c>
      <c r="AB43" s="484">
        <v>1.42</v>
      </c>
      <c r="AC43" s="484">
        <v>1.42</v>
      </c>
      <c r="AD43" s="484">
        <v>1.42</v>
      </c>
      <c r="AE43" s="484">
        <v>1.42</v>
      </c>
      <c r="AF43" s="484">
        <v>1.42</v>
      </c>
      <c r="AG43" s="484">
        <v>1.42</v>
      </c>
      <c r="AH43" s="484">
        <v>1.42</v>
      </c>
      <c r="AI43" s="484">
        <v>1.42</v>
      </c>
      <c r="AJ43" s="484">
        <v>1.4393033033033034</v>
      </c>
      <c r="AK43" s="484">
        <v>1.4586066066066068</v>
      </c>
      <c r="AL43" s="484">
        <v>1.4779099099099102</v>
      </c>
      <c r="AM43" s="484">
        <v>1.4972132132132137</v>
      </c>
      <c r="AN43" s="484">
        <v>1.5165165165165166</v>
      </c>
      <c r="AO43" s="484">
        <v>1.5165165165165166</v>
      </c>
      <c r="AP43" s="484">
        <v>1.5165165165165166</v>
      </c>
      <c r="AQ43" s="484">
        <v>1.5165165165165166</v>
      </c>
      <c r="AR43" s="484">
        <v>1.5165165165165166</v>
      </c>
      <c r="AS43" s="484">
        <v>1.5165165165165166</v>
      </c>
      <c r="AT43" s="484">
        <v>1.5165165165165166</v>
      </c>
      <c r="AU43" s="484">
        <v>1.5165165165165166</v>
      </c>
      <c r="AV43" s="484">
        <v>1.5165165165165166</v>
      </c>
      <c r="AW43" s="484">
        <v>1.5165165165165166</v>
      </c>
      <c r="AX43" s="484">
        <v>1.5165165165165166</v>
      </c>
    </row>
    <row r="44" spans="2:50">
      <c r="E44" t="s">
        <v>538</v>
      </c>
      <c r="G44" s="44" t="s">
        <v>724</v>
      </c>
      <c r="I44" s="45" t="s">
        <v>3</v>
      </c>
      <c r="K44" s="44"/>
      <c r="M44" s="44" t="s">
        <v>750</v>
      </c>
      <c r="O44" s="484">
        <v>1.42</v>
      </c>
      <c r="P44" s="484">
        <v>1.42</v>
      </c>
      <c r="Q44" s="484">
        <v>1.42</v>
      </c>
      <c r="R44" s="484">
        <v>1.42</v>
      </c>
      <c r="S44" s="484">
        <v>1.42</v>
      </c>
      <c r="T44" s="484">
        <v>1.42</v>
      </c>
      <c r="U44" s="484">
        <v>1.42</v>
      </c>
      <c r="V44" s="484">
        <v>1.42</v>
      </c>
      <c r="W44" s="484">
        <v>1.42</v>
      </c>
      <c r="X44" s="484">
        <v>1.42</v>
      </c>
      <c r="Y44" s="484">
        <v>1.42</v>
      </c>
      <c r="Z44" s="484">
        <v>1.42</v>
      </c>
      <c r="AA44" s="484">
        <v>1.42</v>
      </c>
      <c r="AB44" s="484">
        <v>1.42</v>
      </c>
      <c r="AC44" s="484">
        <v>1.42</v>
      </c>
      <c r="AD44" s="484">
        <v>1.42</v>
      </c>
      <c r="AE44" s="484">
        <v>1.42</v>
      </c>
      <c r="AF44" s="484">
        <v>1.42</v>
      </c>
      <c r="AG44" s="484">
        <v>1.42</v>
      </c>
      <c r="AH44" s="484">
        <v>1.42</v>
      </c>
      <c r="AI44" s="484">
        <v>1.42</v>
      </c>
      <c r="AJ44" s="484">
        <v>1.4393033033033034</v>
      </c>
      <c r="AK44" s="484">
        <v>1.4586066066066068</v>
      </c>
      <c r="AL44" s="484">
        <v>1.4779099099099102</v>
      </c>
      <c r="AM44" s="484">
        <v>1.4972132132132137</v>
      </c>
      <c r="AN44" s="484">
        <v>1.5165165165165166</v>
      </c>
      <c r="AO44" s="484">
        <v>1.5165165165165166</v>
      </c>
      <c r="AP44" s="484">
        <v>1.5165165165165166</v>
      </c>
      <c r="AQ44" s="484">
        <v>1.5165165165165166</v>
      </c>
      <c r="AR44" s="484">
        <v>1.5165165165165166</v>
      </c>
      <c r="AS44" s="484">
        <v>1.5165165165165166</v>
      </c>
      <c r="AT44" s="484">
        <v>1.5165165165165166</v>
      </c>
      <c r="AU44" s="484">
        <v>1.5165165165165166</v>
      </c>
      <c r="AV44" s="484">
        <v>1.5165165165165166</v>
      </c>
      <c r="AW44" s="484">
        <v>1.5165165165165166</v>
      </c>
      <c r="AX44" s="484">
        <v>1.5165165165165166</v>
      </c>
    </row>
    <row r="45" spans="2:50">
      <c r="E45" t="s">
        <v>539</v>
      </c>
      <c r="G45" s="44" t="s">
        <v>210</v>
      </c>
      <c r="I45" s="45" t="s">
        <v>3</v>
      </c>
      <c r="K45" s="44"/>
      <c r="M45" s="44" t="s">
        <v>750</v>
      </c>
      <c r="O45" s="484">
        <v>1.7567567567567568</v>
      </c>
      <c r="P45" s="484">
        <v>1.7567567567567568</v>
      </c>
      <c r="Q45" s="484">
        <v>1.7567567567567568</v>
      </c>
      <c r="R45" s="484">
        <v>1.7567567567567568</v>
      </c>
      <c r="S45" s="484">
        <v>1.7567567567567568</v>
      </c>
      <c r="T45" s="484">
        <v>1.7567567567567568</v>
      </c>
      <c r="U45" s="484">
        <v>1.7387387387387387</v>
      </c>
      <c r="V45" s="484">
        <v>1.7207207207207207</v>
      </c>
      <c r="W45" s="484">
        <v>1.7027027027027029</v>
      </c>
      <c r="X45" s="484">
        <v>1.6846846846846848</v>
      </c>
      <c r="Y45" s="484">
        <v>1.6666666666666667</v>
      </c>
      <c r="Z45" s="484">
        <v>1.6486486486486487</v>
      </c>
      <c r="AA45" s="484">
        <v>1.6306306306306306</v>
      </c>
      <c r="AB45" s="484">
        <v>1.6126126126126126</v>
      </c>
      <c r="AC45" s="484">
        <v>1.5945945945945945</v>
      </c>
      <c r="AD45" s="484">
        <v>1.5765765765765767</v>
      </c>
      <c r="AE45" s="484">
        <v>1.5645645645645647</v>
      </c>
      <c r="AF45" s="484">
        <v>1.5525525525525528</v>
      </c>
      <c r="AG45" s="484">
        <v>1.5405405405405408</v>
      </c>
      <c r="AH45" s="484">
        <v>1.5285285285285288</v>
      </c>
      <c r="AI45" s="484">
        <v>1.5165165165165166</v>
      </c>
      <c r="AJ45" s="484">
        <v>1.4972132132132132</v>
      </c>
      <c r="AK45" s="484">
        <v>1.4779099099099098</v>
      </c>
      <c r="AL45" s="484">
        <v>1.4586066066066063</v>
      </c>
      <c r="AM45" s="484">
        <v>1.4393033033033029</v>
      </c>
      <c r="AN45" s="484">
        <v>1.42</v>
      </c>
      <c r="AO45" s="484">
        <v>1.42</v>
      </c>
      <c r="AP45" s="484">
        <v>1.42</v>
      </c>
      <c r="AQ45" s="484">
        <v>1.42</v>
      </c>
      <c r="AR45" s="484">
        <v>1.42</v>
      </c>
      <c r="AS45" s="484">
        <v>1.42</v>
      </c>
      <c r="AT45" s="484">
        <v>1.42</v>
      </c>
      <c r="AU45" s="484">
        <v>1.42</v>
      </c>
      <c r="AV45" s="484">
        <v>1.42</v>
      </c>
      <c r="AW45" s="484">
        <v>1.42</v>
      </c>
      <c r="AX45" s="484">
        <v>1.42</v>
      </c>
    </row>
    <row r="46" spans="2:50">
      <c r="E46" t="s">
        <v>540</v>
      </c>
      <c r="G46" s="44" t="s">
        <v>210</v>
      </c>
      <c r="I46" s="45" t="s">
        <v>3</v>
      </c>
      <c r="K46" s="44"/>
      <c r="M46" s="44" t="s">
        <v>750</v>
      </c>
      <c r="O46" s="484">
        <v>1.7567567567567568</v>
      </c>
      <c r="P46" s="484">
        <v>1.7567567567567568</v>
      </c>
      <c r="Q46" s="484">
        <v>1.7567567567567568</v>
      </c>
      <c r="R46" s="484">
        <v>1.7567567567567568</v>
      </c>
      <c r="S46" s="484">
        <v>1.7567567567567568</v>
      </c>
      <c r="T46" s="484">
        <v>1.7567567567567568</v>
      </c>
      <c r="U46" s="484">
        <v>1.7387387387387387</v>
      </c>
      <c r="V46" s="484">
        <v>1.7207207207207207</v>
      </c>
      <c r="W46" s="484">
        <v>1.7027027027027029</v>
      </c>
      <c r="X46" s="484">
        <v>1.6846846846846848</v>
      </c>
      <c r="Y46" s="484">
        <v>1.6666666666666667</v>
      </c>
      <c r="Z46" s="484">
        <v>1.6486486486486487</v>
      </c>
      <c r="AA46" s="484">
        <v>1.6306306306306306</v>
      </c>
      <c r="AB46" s="484">
        <v>1.6126126126126126</v>
      </c>
      <c r="AC46" s="484">
        <v>1.5945945945945945</v>
      </c>
      <c r="AD46" s="484">
        <v>1.5765765765765767</v>
      </c>
      <c r="AE46" s="484">
        <v>1.5645645645645647</v>
      </c>
      <c r="AF46" s="484">
        <v>1.5525525525525528</v>
      </c>
      <c r="AG46" s="484">
        <v>1.5405405405405408</v>
      </c>
      <c r="AH46" s="484">
        <v>1.5285285285285288</v>
      </c>
      <c r="AI46" s="484">
        <v>1.5165165165165166</v>
      </c>
      <c r="AJ46" s="484">
        <v>1.4972132132132132</v>
      </c>
      <c r="AK46" s="484">
        <v>1.4779099099099098</v>
      </c>
      <c r="AL46" s="484">
        <v>1.4586066066066063</v>
      </c>
      <c r="AM46" s="484">
        <v>1.4393033033033029</v>
      </c>
      <c r="AN46" s="484">
        <v>1.42</v>
      </c>
      <c r="AO46" s="484">
        <v>1.42</v>
      </c>
      <c r="AP46" s="484">
        <v>1.42</v>
      </c>
      <c r="AQ46" s="484">
        <v>1.42</v>
      </c>
      <c r="AR46" s="484">
        <v>1.42</v>
      </c>
      <c r="AS46" s="484">
        <v>1.42</v>
      </c>
      <c r="AT46" s="484">
        <v>1.42</v>
      </c>
      <c r="AU46" s="484">
        <v>1.42</v>
      </c>
      <c r="AV46" s="484">
        <v>1.42</v>
      </c>
      <c r="AW46" s="484">
        <v>1.42</v>
      </c>
      <c r="AX46" s="484">
        <v>1.42</v>
      </c>
    </row>
    <row r="47" spans="2:50">
      <c r="E47" t="s">
        <v>541</v>
      </c>
      <c r="G47" s="44" t="s">
        <v>724</v>
      </c>
      <c r="I47" s="45" t="s">
        <v>3</v>
      </c>
      <c r="K47" s="44"/>
      <c r="M47" s="44" t="s">
        <v>750</v>
      </c>
      <c r="O47" s="484">
        <v>1.36</v>
      </c>
      <c r="P47" s="484">
        <v>1.36</v>
      </c>
      <c r="Q47" s="484">
        <v>1.36</v>
      </c>
      <c r="R47" s="484">
        <v>1.36</v>
      </c>
      <c r="S47" s="484">
        <v>1.36</v>
      </c>
      <c r="T47" s="484">
        <v>1.36</v>
      </c>
      <c r="U47" s="484">
        <v>1.3596000000000001</v>
      </c>
      <c r="V47" s="484">
        <v>1.3592000000000002</v>
      </c>
      <c r="W47" s="484">
        <v>1.3588</v>
      </c>
      <c r="X47" s="484">
        <v>1.3584000000000001</v>
      </c>
      <c r="Y47" s="484">
        <v>1.3580000000000001</v>
      </c>
      <c r="Z47" s="484">
        <v>1.3384</v>
      </c>
      <c r="AA47" s="484">
        <v>1.3188</v>
      </c>
      <c r="AB47" s="484">
        <v>1.2991999999999999</v>
      </c>
      <c r="AC47" s="484">
        <v>1.2795999999999998</v>
      </c>
      <c r="AD47" s="484">
        <v>1.26</v>
      </c>
      <c r="AE47" s="484">
        <v>1.26</v>
      </c>
      <c r="AF47" s="484">
        <v>1.26</v>
      </c>
      <c r="AG47" s="484">
        <v>1.26</v>
      </c>
      <c r="AH47" s="484">
        <v>1.26</v>
      </c>
      <c r="AI47" s="484">
        <v>1.26</v>
      </c>
      <c r="AJ47" s="484">
        <v>1.26</v>
      </c>
      <c r="AK47" s="484">
        <v>1.26</v>
      </c>
      <c r="AL47" s="484">
        <v>1.26</v>
      </c>
      <c r="AM47" s="484">
        <v>1.26</v>
      </c>
      <c r="AN47" s="484">
        <v>1.26</v>
      </c>
      <c r="AO47" s="484">
        <v>1.26</v>
      </c>
      <c r="AP47" s="484">
        <v>1.26</v>
      </c>
      <c r="AQ47" s="484">
        <v>1.26</v>
      </c>
      <c r="AR47" s="484">
        <v>1.26</v>
      </c>
      <c r="AS47" s="484">
        <v>1.26</v>
      </c>
      <c r="AT47" s="484">
        <v>1.26</v>
      </c>
      <c r="AU47" s="484">
        <v>1.26</v>
      </c>
      <c r="AV47" s="484">
        <v>1.26</v>
      </c>
      <c r="AW47" s="484">
        <v>1.26</v>
      </c>
      <c r="AX47" s="484">
        <v>1.26</v>
      </c>
    </row>
    <row r="49" spans="2:50">
      <c r="E49" t="s">
        <v>536</v>
      </c>
      <c r="G49" s="44" t="s">
        <v>724</v>
      </c>
      <c r="I49" s="45" t="s">
        <v>3</v>
      </c>
      <c r="K49" s="44"/>
      <c r="M49" s="44" t="s">
        <v>751</v>
      </c>
      <c r="O49" s="478">
        <f>SUMIFS('2.2 Energy Systems inputs'!F$191:F$221,'2.2 Energy Systems inputs'!$B$191:$B$221,'2.5 Emission factors'!$E$62,'2.2 Energy Systems inputs'!$C$191:$C$221,'2.5 Emission factors'!$E49)</f>
        <v>1</v>
      </c>
      <c r="P49" s="478">
        <f>SUMIFS('2.2 Energy Systems inputs'!G$191:G$221,'2.2 Energy Systems inputs'!$B$191:$B$221,'2.5 Emission factors'!$E$62,'2.2 Energy Systems inputs'!$C$191:$C$221,'2.5 Emission factors'!$E49)</f>
        <v>1</v>
      </c>
      <c r="Q49" s="478">
        <f>SUMIFS('2.2 Energy Systems inputs'!H$191:H$221,'2.2 Energy Systems inputs'!$B$191:$B$221,'2.5 Emission factors'!$E$62,'2.2 Energy Systems inputs'!$C$191:$C$221,'2.5 Emission factors'!$E49)</f>
        <v>1</v>
      </c>
      <c r="R49" s="478">
        <f>SUMIFS('2.2 Energy Systems inputs'!I$191:I$221,'2.2 Energy Systems inputs'!$B$191:$B$221,'2.5 Emission factors'!$E$62,'2.2 Energy Systems inputs'!$C$191:$C$221,'2.5 Emission factors'!$E49)</f>
        <v>1</v>
      </c>
      <c r="S49" s="478">
        <f>SUMIFS('2.2 Energy Systems inputs'!J$191:J$221,'2.2 Energy Systems inputs'!$B$191:$B$221,'2.5 Emission factors'!$E$62,'2.2 Energy Systems inputs'!$C$191:$C$221,'2.5 Emission factors'!$E49)</f>
        <v>1</v>
      </c>
      <c r="T49" s="478">
        <f>SUMIFS('2.2 Energy Systems inputs'!K$191:K$221,'2.2 Energy Systems inputs'!$B$191:$B$221,'2.5 Emission factors'!$E$62,'2.2 Energy Systems inputs'!$C$191:$C$221,'2.5 Emission factors'!$E49)</f>
        <v>1</v>
      </c>
      <c r="U49" s="478">
        <f>SUMIFS('2.2 Energy Systems inputs'!L$191:L$221,'2.2 Energy Systems inputs'!$B$191:$B$221,'2.5 Emission factors'!$E$62,'2.2 Energy Systems inputs'!$C$191:$C$221,'2.5 Emission factors'!$E49)</f>
        <v>1</v>
      </c>
      <c r="V49" s="478">
        <f>SUMIFS('2.2 Energy Systems inputs'!M$191:M$221,'2.2 Energy Systems inputs'!$B$191:$B$221,'2.5 Emission factors'!$E$62,'2.2 Energy Systems inputs'!$C$191:$C$221,'2.5 Emission factors'!$E49)</f>
        <v>1</v>
      </c>
      <c r="W49" s="478">
        <f>SUMIFS('2.2 Energy Systems inputs'!N$191:N$221,'2.2 Energy Systems inputs'!$B$191:$B$221,'2.5 Emission factors'!$E$62,'2.2 Energy Systems inputs'!$C$191:$C$221,'2.5 Emission factors'!$E49)</f>
        <v>1</v>
      </c>
      <c r="X49" s="478">
        <f>SUMIFS('2.2 Energy Systems inputs'!O$191:O$221,'2.2 Energy Systems inputs'!$B$191:$B$221,'2.5 Emission factors'!$E$62,'2.2 Energy Systems inputs'!$C$191:$C$221,'2.5 Emission factors'!$E49)</f>
        <v>1</v>
      </c>
      <c r="Y49" s="478">
        <f>SUMIFS('2.2 Energy Systems inputs'!P$191:P$221,'2.2 Energy Systems inputs'!$B$191:$B$221,'2.5 Emission factors'!$E$62,'2.2 Energy Systems inputs'!$C$191:$C$221,'2.5 Emission factors'!$E49)</f>
        <v>1</v>
      </c>
      <c r="Z49" s="478">
        <f>SUMIFS('2.2 Energy Systems inputs'!Q$191:Q$221,'2.2 Energy Systems inputs'!$B$191:$B$221,'2.5 Emission factors'!$E$62,'2.2 Energy Systems inputs'!$C$191:$C$221,'2.5 Emission factors'!$E49)</f>
        <v>0</v>
      </c>
      <c r="AA49" s="478">
        <f>SUMIFS('2.2 Energy Systems inputs'!R$191:R$221,'2.2 Energy Systems inputs'!$B$191:$B$221,'2.5 Emission factors'!$E$62,'2.2 Energy Systems inputs'!$C$191:$C$221,'2.5 Emission factors'!$E49)</f>
        <v>0</v>
      </c>
      <c r="AB49" s="478">
        <f>SUMIFS('2.2 Energy Systems inputs'!S$191:S$221,'2.2 Energy Systems inputs'!$B$191:$B$221,'2.5 Emission factors'!$E$62,'2.2 Energy Systems inputs'!$C$191:$C$221,'2.5 Emission factors'!$E49)</f>
        <v>0</v>
      </c>
      <c r="AC49" s="478">
        <f>SUMIFS('2.2 Energy Systems inputs'!T$191:T$221,'2.2 Energy Systems inputs'!$B$191:$B$221,'2.5 Emission factors'!$E$62,'2.2 Energy Systems inputs'!$C$191:$C$221,'2.5 Emission factors'!$E49)</f>
        <v>0</v>
      </c>
      <c r="AD49" s="478">
        <f>SUMIFS('2.2 Energy Systems inputs'!U$191:U$221,'2.2 Energy Systems inputs'!$B$191:$B$221,'2.5 Emission factors'!$E$62,'2.2 Energy Systems inputs'!$C$191:$C$221,'2.5 Emission factors'!$E49)</f>
        <v>0</v>
      </c>
      <c r="AE49" s="478">
        <f>SUMIFS('2.2 Energy Systems inputs'!V$191:V$221,'2.2 Energy Systems inputs'!$B$191:$B$221,'2.5 Emission factors'!$E$62,'2.2 Energy Systems inputs'!$C$191:$C$221,'2.5 Emission factors'!$E49)</f>
        <v>0</v>
      </c>
      <c r="AF49" s="478">
        <f>SUMIFS('2.2 Energy Systems inputs'!W$191:W$221,'2.2 Energy Systems inputs'!$B$191:$B$221,'2.5 Emission factors'!$E$62,'2.2 Energy Systems inputs'!$C$191:$C$221,'2.5 Emission factors'!$E49)</f>
        <v>0</v>
      </c>
      <c r="AG49" s="478">
        <f>SUMIFS('2.2 Energy Systems inputs'!X$191:X$221,'2.2 Energy Systems inputs'!$B$191:$B$221,'2.5 Emission factors'!$E$62,'2.2 Energy Systems inputs'!$C$191:$C$221,'2.5 Emission factors'!$E49)</f>
        <v>0</v>
      </c>
      <c r="AH49" s="478">
        <f>SUMIFS('2.2 Energy Systems inputs'!Y$191:Y$221,'2.2 Energy Systems inputs'!$B$191:$B$221,'2.5 Emission factors'!$E$62,'2.2 Energy Systems inputs'!$C$191:$C$221,'2.5 Emission factors'!$E49)</f>
        <v>0</v>
      </c>
      <c r="AI49" s="478">
        <f>SUMIFS('2.2 Energy Systems inputs'!Z$191:Z$221,'2.2 Energy Systems inputs'!$B$191:$B$221,'2.5 Emission factors'!$E$62,'2.2 Energy Systems inputs'!$C$191:$C$221,'2.5 Emission factors'!$E49)</f>
        <v>0</v>
      </c>
      <c r="AJ49" s="478">
        <f>SUMIFS('2.2 Energy Systems inputs'!AA$191:AA$221,'2.2 Energy Systems inputs'!$B$191:$B$221,'2.5 Emission factors'!$E$62,'2.2 Energy Systems inputs'!$C$191:$C$221,'2.5 Emission factors'!$E49)</f>
        <v>0</v>
      </c>
      <c r="AK49" s="478">
        <f>SUMIFS('2.2 Energy Systems inputs'!AB$191:AB$221,'2.2 Energy Systems inputs'!$B$191:$B$221,'2.5 Emission factors'!$E$62,'2.2 Energy Systems inputs'!$C$191:$C$221,'2.5 Emission factors'!$E49)</f>
        <v>0</v>
      </c>
      <c r="AL49" s="478">
        <f>SUMIFS('2.2 Energy Systems inputs'!AC$191:AC$221,'2.2 Energy Systems inputs'!$B$191:$B$221,'2.5 Emission factors'!$E$62,'2.2 Energy Systems inputs'!$C$191:$C$221,'2.5 Emission factors'!$E49)</f>
        <v>0</v>
      </c>
      <c r="AM49" s="478">
        <f>SUMIFS('2.2 Energy Systems inputs'!AD$191:AD$221,'2.2 Energy Systems inputs'!$B$191:$B$221,'2.5 Emission factors'!$E$62,'2.2 Energy Systems inputs'!$C$191:$C$221,'2.5 Emission factors'!$E49)</f>
        <v>0</v>
      </c>
      <c r="AN49" s="478">
        <f>SUMIFS('2.2 Energy Systems inputs'!AE$191:AE$221,'2.2 Energy Systems inputs'!$B$191:$B$221,'2.5 Emission factors'!$E$62,'2.2 Energy Systems inputs'!$C$191:$C$221,'2.5 Emission factors'!$E49)</f>
        <v>0</v>
      </c>
      <c r="AO49" s="478">
        <f>SUMIFS('2.2 Energy Systems inputs'!AF$191:AF$221,'2.2 Energy Systems inputs'!$B$191:$B$221,'2.5 Emission factors'!$E$62,'2.2 Energy Systems inputs'!$C$191:$C$221,'2.5 Emission factors'!$E49)</f>
        <v>0</v>
      </c>
      <c r="AP49" s="478">
        <f>SUMIFS('2.2 Energy Systems inputs'!AG$191:AG$221,'2.2 Energy Systems inputs'!$B$191:$B$221,'2.5 Emission factors'!$E$62,'2.2 Energy Systems inputs'!$C$191:$C$221,'2.5 Emission factors'!$E49)</f>
        <v>0</v>
      </c>
      <c r="AQ49" s="478">
        <f>SUMIFS('2.2 Energy Systems inputs'!AH$191:AH$221,'2.2 Energy Systems inputs'!$B$191:$B$221,'2.5 Emission factors'!$E$62,'2.2 Energy Systems inputs'!$C$191:$C$221,'2.5 Emission factors'!$E49)</f>
        <v>0</v>
      </c>
      <c r="AR49" s="478">
        <f>SUMIFS('2.2 Energy Systems inputs'!AI$191:AI$221,'2.2 Energy Systems inputs'!$B$191:$B$221,'2.5 Emission factors'!$E$62,'2.2 Energy Systems inputs'!$C$191:$C$221,'2.5 Emission factors'!$E49)</f>
        <v>0</v>
      </c>
      <c r="AS49" s="478">
        <f>SUMIFS('2.2 Energy Systems inputs'!AJ$191:AJ$221,'2.2 Energy Systems inputs'!$B$191:$B$221,'2.5 Emission factors'!$E$62,'2.2 Energy Systems inputs'!$C$191:$C$221,'2.5 Emission factors'!$E49)</f>
        <v>0</v>
      </c>
      <c r="AT49" s="478">
        <f>SUMIFS('2.2 Energy Systems inputs'!AK$191:AK$221,'2.2 Energy Systems inputs'!$B$191:$B$221,'2.5 Emission factors'!$E$62,'2.2 Energy Systems inputs'!$C$191:$C$221,'2.5 Emission factors'!$E49)</f>
        <v>0</v>
      </c>
      <c r="AU49" s="478">
        <f>SUMIFS('2.2 Energy Systems inputs'!AL$191:AL$221,'2.2 Energy Systems inputs'!$B$191:$B$221,'2.5 Emission factors'!$E$62,'2.2 Energy Systems inputs'!$C$191:$C$221,'2.5 Emission factors'!$E49)</f>
        <v>0</v>
      </c>
      <c r="AV49" s="478">
        <f>SUMIFS('2.2 Energy Systems inputs'!AM$191:AM$221,'2.2 Energy Systems inputs'!$B$191:$B$221,'2.5 Emission factors'!$E$62,'2.2 Energy Systems inputs'!$C$191:$C$221,'2.5 Emission factors'!$E49)</f>
        <v>0</v>
      </c>
      <c r="AW49" s="478">
        <f>SUMIFS('2.2 Energy Systems inputs'!AN$191:AN$221,'2.2 Energy Systems inputs'!$B$191:$B$221,'2.5 Emission factors'!$E$62,'2.2 Energy Systems inputs'!$C$191:$C$221,'2.5 Emission factors'!$E49)</f>
        <v>0</v>
      </c>
      <c r="AX49" s="478">
        <f>SUMIFS('2.2 Energy Systems inputs'!AO$191:AO$221,'2.2 Energy Systems inputs'!$B$191:$B$221,'2.5 Emission factors'!$E$62,'2.2 Energy Systems inputs'!$C$191:$C$221,'2.5 Emission factors'!$E49)</f>
        <v>0</v>
      </c>
    </row>
    <row r="50" spans="2:50">
      <c r="E50" t="s">
        <v>538</v>
      </c>
      <c r="G50" s="44" t="s">
        <v>724</v>
      </c>
      <c r="I50" s="45" t="s">
        <v>3</v>
      </c>
      <c r="K50" s="44"/>
      <c r="M50" s="44" t="s">
        <v>751</v>
      </c>
      <c r="O50" s="478">
        <f>SUMIFS('2.2 Energy Systems inputs'!F$191:F$221,'2.2 Energy Systems inputs'!$B$191:$B$221,'2.5 Emission factors'!$E$62,'2.2 Energy Systems inputs'!$C$191:$C$221,'2.5 Emission factors'!$E50)</f>
        <v>0</v>
      </c>
      <c r="P50" s="478">
        <f>SUMIFS('2.2 Energy Systems inputs'!G$191:G$221,'2.2 Energy Systems inputs'!$B$191:$B$221,'2.5 Emission factors'!$E$62,'2.2 Energy Systems inputs'!$C$191:$C$221,'2.5 Emission factors'!$E50)</f>
        <v>0</v>
      </c>
      <c r="Q50" s="478">
        <f>SUMIFS('2.2 Energy Systems inputs'!H$191:H$221,'2.2 Energy Systems inputs'!$B$191:$B$221,'2.5 Emission factors'!$E$62,'2.2 Energy Systems inputs'!$C$191:$C$221,'2.5 Emission factors'!$E50)</f>
        <v>0</v>
      </c>
      <c r="R50" s="478">
        <f>SUMIFS('2.2 Energy Systems inputs'!I$191:I$221,'2.2 Energy Systems inputs'!$B$191:$B$221,'2.5 Emission factors'!$E$62,'2.2 Energy Systems inputs'!$C$191:$C$221,'2.5 Emission factors'!$E50)</f>
        <v>0</v>
      </c>
      <c r="S50" s="478">
        <f>SUMIFS('2.2 Energy Systems inputs'!J$191:J$221,'2.2 Energy Systems inputs'!$B$191:$B$221,'2.5 Emission factors'!$E$62,'2.2 Energy Systems inputs'!$C$191:$C$221,'2.5 Emission factors'!$E50)</f>
        <v>0</v>
      </c>
      <c r="T50" s="478">
        <f>SUMIFS('2.2 Energy Systems inputs'!K$191:K$221,'2.2 Energy Systems inputs'!$B$191:$B$221,'2.5 Emission factors'!$E$62,'2.2 Energy Systems inputs'!$C$191:$C$221,'2.5 Emission factors'!$E50)</f>
        <v>0</v>
      </c>
      <c r="U50" s="478">
        <f>SUMIFS('2.2 Energy Systems inputs'!L$191:L$221,'2.2 Energy Systems inputs'!$B$191:$B$221,'2.5 Emission factors'!$E$62,'2.2 Energy Systems inputs'!$C$191:$C$221,'2.5 Emission factors'!$E50)</f>
        <v>0</v>
      </c>
      <c r="V50" s="478">
        <f>SUMIFS('2.2 Energy Systems inputs'!M$191:M$221,'2.2 Energy Systems inputs'!$B$191:$B$221,'2.5 Emission factors'!$E$62,'2.2 Energy Systems inputs'!$C$191:$C$221,'2.5 Emission factors'!$E50)</f>
        <v>0</v>
      </c>
      <c r="W50" s="478">
        <f>SUMIFS('2.2 Energy Systems inputs'!N$191:N$221,'2.2 Energy Systems inputs'!$B$191:$B$221,'2.5 Emission factors'!$E$62,'2.2 Energy Systems inputs'!$C$191:$C$221,'2.5 Emission factors'!$E50)</f>
        <v>0</v>
      </c>
      <c r="X50" s="478">
        <f>SUMIFS('2.2 Energy Systems inputs'!O$191:O$221,'2.2 Energy Systems inputs'!$B$191:$B$221,'2.5 Emission factors'!$E$62,'2.2 Energy Systems inputs'!$C$191:$C$221,'2.5 Emission factors'!$E50)</f>
        <v>0</v>
      </c>
      <c r="Y50" s="478">
        <f>SUMIFS('2.2 Energy Systems inputs'!P$191:P$221,'2.2 Energy Systems inputs'!$B$191:$B$221,'2.5 Emission factors'!$E$62,'2.2 Energy Systems inputs'!$C$191:$C$221,'2.5 Emission factors'!$E50)</f>
        <v>0</v>
      </c>
      <c r="Z50" s="478">
        <f>SUMIFS('2.2 Energy Systems inputs'!Q$191:Q$221,'2.2 Energy Systems inputs'!$B$191:$B$221,'2.5 Emission factors'!$E$62,'2.2 Energy Systems inputs'!$C$191:$C$221,'2.5 Emission factors'!$E50)</f>
        <v>0</v>
      </c>
      <c r="AA50" s="478">
        <f>SUMIFS('2.2 Energy Systems inputs'!R$191:R$221,'2.2 Energy Systems inputs'!$B$191:$B$221,'2.5 Emission factors'!$E$62,'2.2 Energy Systems inputs'!$C$191:$C$221,'2.5 Emission factors'!$E50)</f>
        <v>0</v>
      </c>
      <c r="AB50" s="478">
        <f>SUMIFS('2.2 Energy Systems inputs'!S$191:S$221,'2.2 Energy Systems inputs'!$B$191:$B$221,'2.5 Emission factors'!$E$62,'2.2 Energy Systems inputs'!$C$191:$C$221,'2.5 Emission factors'!$E50)</f>
        <v>0</v>
      </c>
      <c r="AC50" s="478">
        <f>SUMIFS('2.2 Energy Systems inputs'!T$191:T$221,'2.2 Energy Systems inputs'!$B$191:$B$221,'2.5 Emission factors'!$E$62,'2.2 Energy Systems inputs'!$C$191:$C$221,'2.5 Emission factors'!$E50)</f>
        <v>0</v>
      </c>
      <c r="AD50" s="478">
        <f>SUMIFS('2.2 Energy Systems inputs'!U$191:U$221,'2.2 Energy Systems inputs'!$B$191:$B$221,'2.5 Emission factors'!$E$62,'2.2 Energy Systems inputs'!$C$191:$C$221,'2.5 Emission factors'!$E50)</f>
        <v>0</v>
      </c>
      <c r="AE50" s="478">
        <f>SUMIFS('2.2 Energy Systems inputs'!V$191:V$221,'2.2 Energy Systems inputs'!$B$191:$B$221,'2.5 Emission factors'!$E$62,'2.2 Energy Systems inputs'!$C$191:$C$221,'2.5 Emission factors'!$E50)</f>
        <v>0</v>
      </c>
      <c r="AF50" s="478">
        <f>SUMIFS('2.2 Energy Systems inputs'!W$191:W$221,'2.2 Energy Systems inputs'!$B$191:$B$221,'2.5 Emission factors'!$E$62,'2.2 Energy Systems inputs'!$C$191:$C$221,'2.5 Emission factors'!$E50)</f>
        <v>0</v>
      </c>
      <c r="AG50" s="478">
        <f>SUMIFS('2.2 Energy Systems inputs'!X$191:X$221,'2.2 Energy Systems inputs'!$B$191:$B$221,'2.5 Emission factors'!$E$62,'2.2 Energy Systems inputs'!$C$191:$C$221,'2.5 Emission factors'!$E50)</f>
        <v>0</v>
      </c>
      <c r="AH50" s="478">
        <f>SUMIFS('2.2 Energy Systems inputs'!Y$191:Y$221,'2.2 Energy Systems inputs'!$B$191:$B$221,'2.5 Emission factors'!$E$62,'2.2 Energy Systems inputs'!$C$191:$C$221,'2.5 Emission factors'!$E50)</f>
        <v>0</v>
      </c>
      <c r="AI50" s="478">
        <f>SUMIFS('2.2 Energy Systems inputs'!Z$191:Z$221,'2.2 Energy Systems inputs'!$B$191:$B$221,'2.5 Emission factors'!$E$62,'2.2 Energy Systems inputs'!$C$191:$C$221,'2.5 Emission factors'!$E50)</f>
        <v>0</v>
      </c>
      <c r="AJ50" s="478">
        <f>SUMIFS('2.2 Energy Systems inputs'!AA$191:AA$221,'2.2 Energy Systems inputs'!$B$191:$B$221,'2.5 Emission factors'!$E$62,'2.2 Energy Systems inputs'!$C$191:$C$221,'2.5 Emission factors'!$E50)</f>
        <v>0</v>
      </c>
      <c r="AK50" s="478">
        <f>SUMIFS('2.2 Energy Systems inputs'!AB$191:AB$221,'2.2 Energy Systems inputs'!$B$191:$B$221,'2.5 Emission factors'!$E$62,'2.2 Energy Systems inputs'!$C$191:$C$221,'2.5 Emission factors'!$E50)</f>
        <v>0</v>
      </c>
      <c r="AL50" s="478">
        <f>SUMIFS('2.2 Energy Systems inputs'!AC$191:AC$221,'2.2 Energy Systems inputs'!$B$191:$B$221,'2.5 Emission factors'!$E$62,'2.2 Energy Systems inputs'!$C$191:$C$221,'2.5 Emission factors'!$E50)</f>
        <v>0</v>
      </c>
      <c r="AM50" s="478">
        <f>SUMIFS('2.2 Energy Systems inputs'!AD$191:AD$221,'2.2 Energy Systems inputs'!$B$191:$B$221,'2.5 Emission factors'!$E$62,'2.2 Energy Systems inputs'!$C$191:$C$221,'2.5 Emission factors'!$E50)</f>
        <v>0</v>
      </c>
      <c r="AN50" s="478">
        <f>SUMIFS('2.2 Energy Systems inputs'!AE$191:AE$221,'2.2 Energy Systems inputs'!$B$191:$B$221,'2.5 Emission factors'!$E$62,'2.2 Energy Systems inputs'!$C$191:$C$221,'2.5 Emission factors'!$E50)</f>
        <v>0</v>
      </c>
      <c r="AO50" s="478">
        <f>SUMIFS('2.2 Energy Systems inputs'!AF$191:AF$221,'2.2 Energy Systems inputs'!$B$191:$B$221,'2.5 Emission factors'!$E$62,'2.2 Energy Systems inputs'!$C$191:$C$221,'2.5 Emission factors'!$E50)</f>
        <v>0</v>
      </c>
      <c r="AP50" s="478">
        <f>SUMIFS('2.2 Energy Systems inputs'!AG$191:AG$221,'2.2 Energy Systems inputs'!$B$191:$B$221,'2.5 Emission factors'!$E$62,'2.2 Energy Systems inputs'!$C$191:$C$221,'2.5 Emission factors'!$E50)</f>
        <v>0</v>
      </c>
      <c r="AQ50" s="478">
        <f>SUMIFS('2.2 Energy Systems inputs'!AH$191:AH$221,'2.2 Energy Systems inputs'!$B$191:$B$221,'2.5 Emission factors'!$E$62,'2.2 Energy Systems inputs'!$C$191:$C$221,'2.5 Emission factors'!$E50)</f>
        <v>0</v>
      </c>
      <c r="AR50" s="478">
        <f>SUMIFS('2.2 Energy Systems inputs'!AI$191:AI$221,'2.2 Energy Systems inputs'!$B$191:$B$221,'2.5 Emission factors'!$E$62,'2.2 Energy Systems inputs'!$C$191:$C$221,'2.5 Emission factors'!$E50)</f>
        <v>0</v>
      </c>
      <c r="AS50" s="478">
        <f>SUMIFS('2.2 Energy Systems inputs'!AJ$191:AJ$221,'2.2 Energy Systems inputs'!$B$191:$B$221,'2.5 Emission factors'!$E$62,'2.2 Energy Systems inputs'!$C$191:$C$221,'2.5 Emission factors'!$E50)</f>
        <v>0</v>
      </c>
      <c r="AT50" s="478">
        <f>SUMIFS('2.2 Energy Systems inputs'!AK$191:AK$221,'2.2 Energy Systems inputs'!$B$191:$B$221,'2.5 Emission factors'!$E$62,'2.2 Energy Systems inputs'!$C$191:$C$221,'2.5 Emission factors'!$E50)</f>
        <v>0</v>
      </c>
      <c r="AU50" s="478">
        <f>SUMIFS('2.2 Energy Systems inputs'!AL$191:AL$221,'2.2 Energy Systems inputs'!$B$191:$B$221,'2.5 Emission factors'!$E$62,'2.2 Energy Systems inputs'!$C$191:$C$221,'2.5 Emission factors'!$E50)</f>
        <v>0</v>
      </c>
      <c r="AV50" s="478">
        <f>SUMIFS('2.2 Energy Systems inputs'!AM$191:AM$221,'2.2 Energy Systems inputs'!$B$191:$B$221,'2.5 Emission factors'!$E$62,'2.2 Energy Systems inputs'!$C$191:$C$221,'2.5 Emission factors'!$E50)</f>
        <v>0</v>
      </c>
      <c r="AW50" s="478">
        <f>SUMIFS('2.2 Energy Systems inputs'!AN$191:AN$221,'2.2 Energy Systems inputs'!$B$191:$B$221,'2.5 Emission factors'!$E$62,'2.2 Energy Systems inputs'!$C$191:$C$221,'2.5 Emission factors'!$E50)</f>
        <v>0</v>
      </c>
      <c r="AX50" s="478">
        <f>SUMIFS('2.2 Energy Systems inputs'!AO$191:AO$221,'2.2 Energy Systems inputs'!$B$191:$B$221,'2.5 Emission factors'!$E$62,'2.2 Energy Systems inputs'!$C$191:$C$221,'2.5 Emission factors'!$E50)</f>
        <v>0</v>
      </c>
    </row>
    <row r="51" spans="2:50">
      <c r="E51" t="s">
        <v>539</v>
      </c>
      <c r="G51" s="44" t="s">
        <v>210</v>
      </c>
      <c r="I51" s="45" t="s">
        <v>3</v>
      </c>
      <c r="K51" s="44"/>
      <c r="M51" s="44" t="s">
        <v>751</v>
      </c>
      <c r="O51" s="478">
        <f>SUMIFS('2.2 Energy Systems inputs'!F$191:F$221,'2.2 Energy Systems inputs'!$B$191:$B$221,'2.5 Emission factors'!$E$62,'2.2 Energy Systems inputs'!$C$191:$C$221,'2.5 Emission factors'!$E51)</f>
        <v>0</v>
      </c>
      <c r="P51" s="478">
        <f>SUMIFS('2.2 Energy Systems inputs'!G$191:G$221,'2.2 Energy Systems inputs'!$B$191:$B$221,'2.5 Emission factors'!$E$62,'2.2 Energy Systems inputs'!$C$191:$C$221,'2.5 Emission factors'!$E51)</f>
        <v>0</v>
      </c>
      <c r="Q51" s="478">
        <f>SUMIFS('2.2 Energy Systems inputs'!H$191:H$221,'2.2 Energy Systems inputs'!$B$191:$B$221,'2.5 Emission factors'!$E$62,'2.2 Energy Systems inputs'!$C$191:$C$221,'2.5 Emission factors'!$E51)</f>
        <v>0</v>
      </c>
      <c r="R51" s="478">
        <f>SUMIFS('2.2 Energy Systems inputs'!I$191:I$221,'2.2 Energy Systems inputs'!$B$191:$B$221,'2.5 Emission factors'!$E$62,'2.2 Energy Systems inputs'!$C$191:$C$221,'2.5 Emission factors'!$E51)</f>
        <v>0</v>
      </c>
      <c r="S51" s="478">
        <f>SUMIFS('2.2 Energy Systems inputs'!J$191:J$221,'2.2 Energy Systems inputs'!$B$191:$B$221,'2.5 Emission factors'!$E$62,'2.2 Energy Systems inputs'!$C$191:$C$221,'2.5 Emission factors'!$E51)</f>
        <v>0</v>
      </c>
      <c r="T51" s="478">
        <f>SUMIFS('2.2 Energy Systems inputs'!K$191:K$221,'2.2 Energy Systems inputs'!$B$191:$B$221,'2.5 Emission factors'!$E$62,'2.2 Energy Systems inputs'!$C$191:$C$221,'2.5 Emission factors'!$E51)</f>
        <v>0</v>
      </c>
      <c r="U51" s="478">
        <f>SUMIFS('2.2 Energy Systems inputs'!L$191:L$221,'2.2 Energy Systems inputs'!$B$191:$B$221,'2.5 Emission factors'!$E$62,'2.2 Energy Systems inputs'!$C$191:$C$221,'2.5 Emission factors'!$E51)</f>
        <v>0</v>
      </c>
      <c r="V51" s="478">
        <f>SUMIFS('2.2 Energy Systems inputs'!M$191:M$221,'2.2 Energy Systems inputs'!$B$191:$B$221,'2.5 Emission factors'!$E$62,'2.2 Energy Systems inputs'!$C$191:$C$221,'2.5 Emission factors'!$E51)</f>
        <v>0</v>
      </c>
      <c r="W51" s="478">
        <f>SUMIFS('2.2 Energy Systems inputs'!N$191:N$221,'2.2 Energy Systems inputs'!$B$191:$B$221,'2.5 Emission factors'!$E$62,'2.2 Energy Systems inputs'!$C$191:$C$221,'2.5 Emission factors'!$E51)</f>
        <v>0</v>
      </c>
      <c r="X51" s="478">
        <f>SUMIFS('2.2 Energy Systems inputs'!O$191:O$221,'2.2 Energy Systems inputs'!$B$191:$B$221,'2.5 Emission factors'!$E$62,'2.2 Energy Systems inputs'!$C$191:$C$221,'2.5 Emission factors'!$E51)</f>
        <v>0</v>
      </c>
      <c r="Y51" s="478">
        <f>SUMIFS('2.2 Energy Systems inputs'!P$191:P$221,'2.2 Energy Systems inputs'!$B$191:$B$221,'2.5 Emission factors'!$E$62,'2.2 Energy Systems inputs'!$C$191:$C$221,'2.5 Emission factors'!$E51)</f>
        <v>0</v>
      </c>
      <c r="Z51" s="478">
        <f>SUMIFS('2.2 Energy Systems inputs'!Q$191:Q$221,'2.2 Energy Systems inputs'!$B$191:$B$221,'2.5 Emission factors'!$E$62,'2.2 Energy Systems inputs'!$C$191:$C$221,'2.5 Emission factors'!$E51)</f>
        <v>0</v>
      </c>
      <c r="AA51" s="478">
        <f>SUMIFS('2.2 Energy Systems inputs'!R$191:R$221,'2.2 Energy Systems inputs'!$B$191:$B$221,'2.5 Emission factors'!$E$62,'2.2 Energy Systems inputs'!$C$191:$C$221,'2.5 Emission factors'!$E51)</f>
        <v>0</v>
      </c>
      <c r="AB51" s="478">
        <f>SUMIFS('2.2 Energy Systems inputs'!S$191:S$221,'2.2 Energy Systems inputs'!$B$191:$B$221,'2.5 Emission factors'!$E$62,'2.2 Energy Systems inputs'!$C$191:$C$221,'2.5 Emission factors'!$E51)</f>
        <v>0</v>
      </c>
      <c r="AC51" s="478">
        <f>SUMIFS('2.2 Energy Systems inputs'!T$191:T$221,'2.2 Energy Systems inputs'!$B$191:$B$221,'2.5 Emission factors'!$E$62,'2.2 Energy Systems inputs'!$C$191:$C$221,'2.5 Emission factors'!$E51)</f>
        <v>0</v>
      </c>
      <c r="AD51" s="478">
        <f>SUMIFS('2.2 Energy Systems inputs'!U$191:U$221,'2.2 Energy Systems inputs'!$B$191:$B$221,'2.5 Emission factors'!$E$62,'2.2 Energy Systems inputs'!$C$191:$C$221,'2.5 Emission factors'!$E51)</f>
        <v>0</v>
      </c>
      <c r="AE51" s="478">
        <f>SUMIFS('2.2 Energy Systems inputs'!V$191:V$221,'2.2 Energy Systems inputs'!$B$191:$B$221,'2.5 Emission factors'!$E$62,'2.2 Energy Systems inputs'!$C$191:$C$221,'2.5 Emission factors'!$E51)</f>
        <v>4.8000000000000001E-2</v>
      </c>
      <c r="AF51" s="478">
        <f>SUMIFS('2.2 Energy Systems inputs'!W$191:W$221,'2.2 Energy Systems inputs'!$B$191:$B$221,'2.5 Emission factors'!$E$62,'2.2 Energy Systems inputs'!$C$191:$C$221,'2.5 Emission factors'!$E51)</f>
        <v>9.6000000000000002E-2</v>
      </c>
      <c r="AG51" s="478">
        <f>SUMIFS('2.2 Energy Systems inputs'!X$191:X$221,'2.2 Energy Systems inputs'!$B$191:$B$221,'2.5 Emission factors'!$E$62,'2.2 Energy Systems inputs'!$C$191:$C$221,'2.5 Emission factors'!$E51)</f>
        <v>0.14400000000000002</v>
      </c>
      <c r="AH51" s="478">
        <f>SUMIFS('2.2 Energy Systems inputs'!Y$191:Y$221,'2.2 Energy Systems inputs'!$B$191:$B$221,'2.5 Emission factors'!$E$62,'2.2 Energy Systems inputs'!$C$191:$C$221,'2.5 Emission factors'!$E51)</f>
        <v>0.192</v>
      </c>
      <c r="AI51" s="478">
        <f>SUMIFS('2.2 Energy Systems inputs'!Z$191:Z$221,'2.2 Energy Systems inputs'!$B$191:$B$221,'2.5 Emission factors'!$E$62,'2.2 Energy Systems inputs'!$C$191:$C$221,'2.5 Emission factors'!$E51)</f>
        <v>0.24</v>
      </c>
      <c r="AJ51" s="478">
        <f>SUMIFS('2.2 Energy Systems inputs'!AA$191:AA$221,'2.2 Energy Systems inputs'!$B$191:$B$221,'2.5 Emission factors'!$E$62,'2.2 Energy Systems inputs'!$C$191:$C$221,'2.5 Emission factors'!$E51)</f>
        <v>0.25185345706441548</v>
      </c>
      <c r="AK51" s="478">
        <f>SUMIFS('2.2 Energy Systems inputs'!AB$191:AB$221,'2.2 Energy Systems inputs'!$B$191:$B$221,'2.5 Emission factors'!$E$62,'2.2 Energy Systems inputs'!$C$191:$C$221,'2.5 Emission factors'!$E51)</f>
        <v>0.26370691412883096</v>
      </c>
      <c r="AL51" s="478">
        <f>SUMIFS('2.2 Energy Systems inputs'!AC$191:AC$221,'2.2 Energy Systems inputs'!$B$191:$B$221,'2.5 Emission factors'!$E$62,'2.2 Energy Systems inputs'!$C$191:$C$221,'2.5 Emission factors'!$E51)</f>
        <v>0.27556037119324645</v>
      </c>
      <c r="AM51" s="478">
        <f>SUMIFS('2.2 Energy Systems inputs'!AD$191:AD$221,'2.2 Energy Systems inputs'!$B$191:$B$221,'2.5 Emission factors'!$E$62,'2.2 Energy Systems inputs'!$C$191:$C$221,'2.5 Emission factors'!$E51)</f>
        <v>0.28741382825766193</v>
      </c>
      <c r="AN51" s="478">
        <f>SUMIFS('2.2 Energy Systems inputs'!AE$191:AE$221,'2.2 Energy Systems inputs'!$B$191:$B$221,'2.5 Emission factors'!$E$62,'2.2 Energy Systems inputs'!$C$191:$C$221,'2.5 Emission factors'!$E51)</f>
        <v>0.29926728532207747</v>
      </c>
      <c r="AO51" s="478">
        <f>SUMIFS('2.2 Energy Systems inputs'!AF$191:AF$221,'2.2 Energy Systems inputs'!$B$191:$B$221,'2.5 Emission factors'!$E$62,'2.2 Energy Systems inputs'!$C$191:$C$221,'2.5 Emission factors'!$E51)</f>
        <v>0.31112074238649295</v>
      </c>
      <c r="AP51" s="478">
        <f>SUMIFS('2.2 Energy Systems inputs'!AG$191:AG$221,'2.2 Energy Systems inputs'!$B$191:$B$221,'2.5 Emission factors'!$E$62,'2.2 Energy Systems inputs'!$C$191:$C$221,'2.5 Emission factors'!$E51)</f>
        <v>0.32297419945090844</v>
      </c>
      <c r="AQ51" s="478">
        <f>SUMIFS('2.2 Energy Systems inputs'!AH$191:AH$221,'2.2 Energy Systems inputs'!$B$191:$B$221,'2.5 Emission factors'!$E$62,'2.2 Energy Systems inputs'!$C$191:$C$221,'2.5 Emission factors'!$E51)</f>
        <v>0.33482765651532392</v>
      </c>
      <c r="AR51" s="478">
        <f>SUMIFS('2.2 Energy Systems inputs'!AI$191:AI$221,'2.2 Energy Systems inputs'!$B$191:$B$221,'2.5 Emission factors'!$E$62,'2.2 Energy Systems inputs'!$C$191:$C$221,'2.5 Emission factors'!$E51)</f>
        <v>0.34668111357973941</v>
      </c>
      <c r="AS51" s="478">
        <f>SUMIFS('2.2 Energy Systems inputs'!AJ$191:AJ$221,'2.2 Energy Systems inputs'!$B$191:$B$221,'2.5 Emission factors'!$E$62,'2.2 Energy Systems inputs'!$C$191:$C$221,'2.5 Emission factors'!$E51)</f>
        <v>0.35853457064415489</v>
      </c>
      <c r="AT51" s="478">
        <f>SUMIFS('2.2 Energy Systems inputs'!AK$191:AK$221,'2.2 Energy Systems inputs'!$B$191:$B$221,'2.5 Emission factors'!$E$62,'2.2 Energy Systems inputs'!$C$191:$C$221,'2.5 Emission factors'!$E51)</f>
        <v>0.37038802770857038</v>
      </c>
      <c r="AU51" s="478">
        <f>SUMIFS('2.2 Energy Systems inputs'!AL$191:AL$221,'2.2 Energy Systems inputs'!$B$191:$B$221,'2.5 Emission factors'!$E$62,'2.2 Energy Systems inputs'!$C$191:$C$221,'2.5 Emission factors'!$E51)</f>
        <v>0.38224148477298592</v>
      </c>
      <c r="AV51" s="478">
        <f>SUMIFS('2.2 Energy Systems inputs'!AM$191:AM$221,'2.2 Energy Systems inputs'!$B$191:$B$221,'2.5 Emission factors'!$E$62,'2.2 Energy Systems inputs'!$C$191:$C$221,'2.5 Emission factors'!$E51)</f>
        <v>0.39409494183740135</v>
      </c>
      <c r="AW51" s="478">
        <f>SUMIFS('2.2 Energy Systems inputs'!AN$191:AN$221,'2.2 Energy Systems inputs'!$B$191:$B$221,'2.5 Emission factors'!$E$62,'2.2 Energy Systems inputs'!$C$191:$C$221,'2.5 Emission factors'!$E51)</f>
        <v>0.40594839890181689</v>
      </c>
      <c r="AX51" s="478">
        <f>SUMIFS('2.2 Energy Systems inputs'!AO$191:AO$221,'2.2 Energy Systems inputs'!$B$191:$B$221,'2.5 Emission factors'!$E$62,'2.2 Energy Systems inputs'!$C$191:$C$221,'2.5 Emission factors'!$E51)</f>
        <v>0.41780185596623237</v>
      </c>
    </row>
    <row r="52" spans="2:50">
      <c r="E52" t="s">
        <v>540</v>
      </c>
      <c r="G52" s="44" t="s">
        <v>210</v>
      </c>
      <c r="I52" s="45" t="s">
        <v>3</v>
      </c>
      <c r="K52" s="44"/>
      <c r="M52" s="44" t="s">
        <v>751</v>
      </c>
      <c r="O52" s="478">
        <f>SUMIFS('2.2 Energy Systems inputs'!F$191:F$221,'2.2 Energy Systems inputs'!$B$191:$B$221,'2.5 Emission factors'!$E$62,'2.2 Energy Systems inputs'!$C$191:$C$221,'2.5 Emission factors'!$E52)</f>
        <v>0</v>
      </c>
      <c r="P52" s="478">
        <f>SUMIFS('2.2 Energy Systems inputs'!G$191:G$221,'2.2 Energy Systems inputs'!$B$191:$B$221,'2.5 Emission factors'!$E$62,'2.2 Energy Systems inputs'!$C$191:$C$221,'2.5 Emission factors'!$E52)</f>
        <v>0</v>
      </c>
      <c r="Q52" s="478">
        <f>SUMIFS('2.2 Energy Systems inputs'!H$191:H$221,'2.2 Energy Systems inputs'!$B$191:$B$221,'2.5 Emission factors'!$E$62,'2.2 Energy Systems inputs'!$C$191:$C$221,'2.5 Emission factors'!$E52)</f>
        <v>0</v>
      </c>
      <c r="R52" s="478">
        <f>SUMIFS('2.2 Energy Systems inputs'!I$191:I$221,'2.2 Energy Systems inputs'!$B$191:$B$221,'2.5 Emission factors'!$E$62,'2.2 Energy Systems inputs'!$C$191:$C$221,'2.5 Emission factors'!$E52)</f>
        <v>0</v>
      </c>
      <c r="S52" s="478">
        <f>SUMIFS('2.2 Energy Systems inputs'!J$191:J$221,'2.2 Energy Systems inputs'!$B$191:$B$221,'2.5 Emission factors'!$E$62,'2.2 Energy Systems inputs'!$C$191:$C$221,'2.5 Emission factors'!$E52)</f>
        <v>0</v>
      </c>
      <c r="T52" s="478">
        <f>SUMIFS('2.2 Energy Systems inputs'!K$191:K$221,'2.2 Energy Systems inputs'!$B$191:$B$221,'2.5 Emission factors'!$E$62,'2.2 Energy Systems inputs'!$C$191:$C$221,'2.5 Emission factors'!$E52)</f>
        <v>0</v>
      </c>
      <c r="U52" s="478">
        <f>SUMIFS('2.2 Energy Systems inputs'!L$191:L$221,'2.2 Energy Systems inputs'!$B$191:$B$221,'2.5 Emission factors'!$E$62,'2.2 Energy Systems inputs'!$C$191:$C$221,'2.5 Emission factors'!$E52)</f>
        <v>0</v>
      </c>
      <c r="V52" s="478">
        <f>SUMIFS('2.2 Energy Systems inputs'!M$191:M$221,'2.2 Energy Systems inputs'!$B$191:$B$221,'2.5 Emission factors'!$E$62,'2.2 Energy Systems inputs'!$C$191:$C$221,'2.5 Emission factors'!$E52)</f>
        <v>0</v>
      </c>
      <c r="W52" s="478">
        <f>SUMIFS('2.2 Energy Systems inputs'!N$191:N$221,'2.2 Energy Systems inputs'!$B$191:$B$221,'2.5 Emission factors'!$E$62,'2.2 Energy Systems inputs'!$C$191:$C$221,'2.5 Emission factors'!$E52)</f>
        <v>0</v>
      </c>
      <c r="X52" s="478">
        <f>SUMIFS('2.2 Energy Systems inputs'!O$191:O$221,'2.2 Energy Systems inputs'!$B$191:$B$221,'2.5 Emission factors'!$E$62,'2.2 Energy Systems inputs'!$C$191:$C$221,'2.5 Emission factors'!$E52)</f>
        <v>0</v>
      </c>
      <c r="Y52" s="478">
        <f>SUMIFS('2.2 Energy Systems inputs'!P$191:P$221,'2.2 Energy Systems inputs'!$B$191:$B$221,'2.5 Emission factors'!$E$62,'2.2 Energy Systems inputs'!$C$191:$C$221,'2.5 Emission factors'!$E52)</f>
        <v>0</v>
      </c>
      <c r="Z52" s="478">
        <f>SUMIFS('2.2 Energy Systems inputs'!Q$191:Q$221,'2.2 Energy Systems inputs'!$B$191:$B$221,'2.5 Emission factors'!$E$62,'2.2 Energy Systems inputs'!$C$191:$C$221,'2.5 Emission factors'!$E52)</f>
        <v>0</v>
      </c>
      <c r="AA52" s="478">
        <f>SUMIFS('2.2 Energy Systems inputs'!R$191:R$221,'2.2 Energy Systems inputs'!$B$191:$B$221,'2.5 Emission factors'!$E$62,'2.2 Energy Systems inputs'!$C$191:$C$221,'2.5 Emission factors'!$E52)</f>
        <v>0</v>
      </c>
      <c r="AB52" s="478">
        <f>SUMIFS('2.2 Energy Systems inputs'!S$191:S$221,'2.2 Energy Systems inputs'!$B$191:$B$221,'2.5 Emission factors'!$E$62,'2.2 Energy Systems inputs'!$C$191:$C$221,'2.5 Emission factors'!$E52)</f>
        <v>0</v>
      </c>
      <c r="AC52" s="478">
        <f>SUMIFS('2.2 Energy Systems inputs'!T$191:T$221,'2.2 Energy Systems inputs'!$B$191:$B$221,'2.5 Emission factors'!$E$62,'2.2 Energy Systems inputs'!$C$191:$C$221,'2.5 Emission factors'!$E52)</f>
        <v>0</v>
      </c>
      <c r="AD52" s="478">
        <f>SUMIFS('2.2 Energy Systems inputs'!U$191:U$221,'2.2 Energy Systems inputs'!$B$191:$B$221,'2.5 Emission factors'!$E$62,'2.2 Energy Systems inputs'!$C$191:$C$221,'2.5 Emission factors'!$E52)</f>
        <v>0</v>
      </c>
      <c r="AE52" s="478">
        <f>SUMIFS('2.2 Energy Systems inputs'!V$191:V$221,'2.2 Energy Systems inputs'!$B$191:$B$221,'2.5 Emission factors'!$E$62,'2.2 Energy Systems inputs'!$C$191:$C$221,'2.5 Emission factors'!$E52)</f>
        <v>0</v>
      </c>
      <c r="AF52" s="478">
        <f>SUMIFS('2.2 Energy Systems inputs'!W$191:W$221,'2.2 Energy Systems inputs'!$B$191:$B$221,'2.5 Emission factors'!$E$62,'2.2 Energy Systems inputs'!$C$191:$C$221,'2.5 Emission factors'!$E52)</f>
        <v>3.3381020505484022E-3</v>
      </c>
      <c r="AG52" s="478">
        <f>SUMIFS('2.2 Energy Systems inputs'!X$191:X$221,'2.2 Energy Systems inputs'!$B$191:$B$221,'2.5 Emission factors'!$E$62,'2.2 Energy Systems inputs'!$C$191:$C$221,'2.5 Emission factors'!$E52)</f>
        <v>1.0142606573629221E-2</v>
      </c>
      <c r="AH52" s="478">
        <f>SUMIFS('2.2 Energy Systems inputs'!Y$191:Y$221,'2.2 Energy Systems inputs'!$B$191:$B$221,'2.5 Emission factors'!$E$62,'2.2 Energy Systems inputs'!$C$191:$C$221,'2.5 Emission factors'!$E52)</f>
        <v>1.4267185473411154E-2</v>
      </c>
      <c r="AI52" s="478">
        <f>SUMIFS('2.2 Energy Systems inputs'!Z$191:Z$221,'2.2 Energy Systems inputs'!$B$191:$B$221,'2.5 Emission factors'!$E$62,'2.2 Energy Systems inputs'!$C$191:$C$221,'2.5 Emission factors'!$E52)</f>
        <v>1.82393448725107E-2</v>
      </c>
      <c r="AJ52" s="478">
        <f>SUMIFS('2.2 Energy Systems inputs'!AA$191:AA$221,'2.2 Energy Systems inputs'!$B$191:$B$221,'2.5 Emission factors'!$E$62,'2.2 Energy Systems inputs'!$C$191:$C$221,'2.5 Emission factors'!$E52)</f>
        <v>2.7766422711331333E-2</v>
      </c>
      <c r="AK52" s="478">
        <f>SUMIFS('2.2 Energy Systems inputs'!AB$191:AB$221,'2.2 Energy Systems inputs'!$B$191:$B$221,'2.5 Emission factors'!$E$62,'2.2 Energy Systems inputs'!$C$191:$C$221,'2.5 Emission factors'!$E52)</f>
        <v>3.7293500550151973E-2</v>
      </c>
      <c r="AL52" s="478">
        <f>SUMIFS('2.2 Energy Systems inputs'!AC$191:AC$221,'2.2 Energy Systems inputs'!$B$191:$B$221,'2.5 Emission factors'!$E$62,'2.2 Energy Systems inputs'!$C$191:$C$221,'2.5 Emission factors'!$E52)</f>
        <v>4.6820578388972606E-2</v>
      </c>
      <c r="AM52" s="478">
        <f>SUMIFS('2.2 Energy Systems inputs'!AD$191:AD$221,'2.2 Energy Systems inputs'!$B$191:$B$221,'2.5 Emission factors'!$E$62,'2.2 Energy Systems inputs'!$C$191:$C$221,'2.5 Emission factors'!$E52)</f>
        <v>5.6347656227793239E-2</v>
      </c>
      <c r="AN52" s="478">
        <f>SUMIFS('2.2 Energy Systems inputs'!AE$191:AE$221,'2.2 Energy Systems inputs'!$B$191:$B$221,'2.5 Emission factors'!$E$62,'2.2 Energy Systems inputs'!$C$191:$C$221,'2.5 Emission factors'!$E52)</f>
        <v>6.5874734066613871E-2</v>
      </c>
      <c r="AO52" s="478">
        <f>SUMIFS('2.2 Energy Systems inputs'!AF$191:AF$221,'2.2 Energy Systems inputs'!$B$191:$B$221,'2.5 Emission factors'!$E$62,'2.2 Energy Systems inputs'!$C$191:$C$221,'2.5 Emission factors'!$E52)</f>
        <v>7.5401811905434518E-2</v>
      </c>
      <c r="AP52" s="478">
        <f>SUMIFS('2.2 Energy Systems inputs'!AG$191:AG$221,'2.2 Energy Systems inputs'!$B$191:$B$221,'2.5 Emission factors'!$E$62,'2.2 Energy Systems inputs'!$C$191:$C$221,'2.5 Emission factors'!$E52)</f>
        <v>8.4928889744255137E-2</v>
      </c>
      <c r="AQ52" s="478">
        <f>SUMIFS('2.2 Energy Systems inputs'!AH$191:AH$221,'2.2 Energy Systems inputs'!$B$191:$B$221,'2.5 Emission factors'!$E$62,'2.2 Energy Systems inputs'!$C$191:$C$221,'2.5 Emission factors'!$E52)</f>
        <v>9.4455967583075784E-2</v>
      </c>
      <c r="AR52" s="478">
        <f>SUMIFS('2.2 Energy Systems inputs'!AI$191:AI$221,'2.2 Energy Systems inputs'!$B$191:$B$221,'2.5 Emission factors'!$E$62,'2.2 Energy Systems inputs'!$C$191:$C$221,'2.5 Emission factors'!$E52)</f>
        <v>0.1039830454218964</v>
      </c>
      <c r="AS52" s="478">
        <f>SUMIFS('2.2 Energy Systems inputs'!AJ$191:AJ$221,'2.2 Energy Systems inputs'!$B$191:$B$221,'2.5 Emission factors'!$E$62,'2.2 Energy Systems inputs'!$C$191:$C$221,'2.5 Emission factors'!$E52)</f>
        <v>0.11351012326071705</v>
      </c>
      <c r="AT52" s="478">
        <f>SUMIFS('2.2 Energy Systems inputs'!AK$191:AK$221,'2.2 Energy Systems inputs'!$B$191:$B$221,'2.5 Emission factors'!$E$62,'2.2 Energy Systems inputs'!$C$191:$C$221,'2.5 Emission factors'!$E52)</f>
        <v>0.12303720109953767</v>
      </c>
      <c r="AU52" s="478">
        <f>SUMIFS('2.2 Energy Systems inputs'!AL$191:AL$221,'2.2 Energy Systems inputs'!$B$191:$B$221,'2.5 Emission factors'!$E$62,'2.2 Energy Systems inputs'!$C$191:$C$221,'2.5 Emission factors'!$E52)</f>
        <v>0.13256427893835832</v>
      </c>
      <c r="AV52" s="478">
        <f>SUMIFS('2.2 Energy Systems inputs'!AM$191:AM$221,'2.2 Energy Systems inputs'!$B$191:$B$221,'2.5 Emission factors'!$E$62,'2.2 Energy Systems inputs'!$C$191:$C$221,'2.5 Emission factors'!$E52)</f>
        <v>0.14209135677717896</v>
      </c>
      <c r="AW52" s="478">
        <f>SUMIFS('2.2 Energy Systems inputs'!AN$191:AN$221,'2.2 Energy Systems inputs'!$B$191:$B$221,'2.5 Emission factors'!$E$62,'2.2 Energy Systems inputs'!$C$191:$C$221,'2.5 Emission factors'!$E52)</f>
        <v>0.15161843461599958</v>
      </c>
      <c r="AX52" s="478">
        <f>SUMIFS('2.2 Energy Systems inputs'!AO$191:AO$221,'2.2 Energy Systems inputs'!$B$191:$B$221,'2.5 Emission factors'!$E$62,'2.2 Energy Systems inputs'!$C$191:$C$221,'2.5 Emission factors'!$E52)</f>
        <v>0.1611455124548202</v>
      </c>
    </row>
    <row r="53" spans="2:50">
      <c r="E53" t="s">
        <v>541</v>
      </c>
      <c r="G53" s="44" t="s">
        <v>724</v>
      </c>
      <c r="I53" s="45" t="s">
        <v>3</v>
      </c>
      <c r="K53" s="44"/>
      <c r="M53" s="44" t="s">
        <v>751</v>
      </c>
      <c r="O53" s="478">
        <f>SUMIFS('2.2 Energy Systems inputs'!F$191:F$221,'2.2 Energy Systems inputs'!$B$191:$B$221,'2.5 Emission factors'!$E$62,'2.2 Energy Systems inputs'!$C$191:$C$221,'2.5 Emission factors'!$E53)</f>
        <v>0</v>
      </c>
      <c r="P53" s="478">
        <f>SUMIFS('2.2 Energy Systems inputs'!G$191:G$221,'2.2 Energy Systems inputs'!$B$191:$B$221,'2.5 Emission factors'!$E$62,'2.2 Energy Systems inputs'!$C$191:$C$221,'2.5 Emission factors'!$E53)</f>
        <v>0</v>
      </c>
      <c r="Q53" s="478">
        <f>SUMIFS('2.2 Energy Systems inputs'!H$191:H$221,'2.2 Energy Systems inputs'!$B$191:$B$221,'2.5 Emission factors'!$E$62,'2.2 Energy Systems inputs'!$C$191:$C$221,'2.5 Emission factors'!$E53)</f>
        <v>0</v>
      </c>
      <c r="R53" s="478">
        <f>SUMIFS('2.2 Energy Systems inputs'!I$191:I$221,'2.2 Energy Systems inputs'!$B$191:$B$221,'2.5 Emission factors'!$E$62,'2.2 Energy Systems inputs'!$C$191:$C$221,'2.5 Emission factors'!$E53)</f>
        <v>0</v>
      </c>
      <c r="S53" s="478">
        <f>SUMIFS('2.2 Energy Systems inputs'!J$191:J$221,'2.2 Energy Systems inputs'!$B$191:$B$221,'2.5 Emission factors'!$E$62,'2.2 Energy Systems inputs'!$C$191:$C$221,'2.5 Emission factors'!$E53)</f>
        <v>0</v>
      </c>
      <c r="T53" s="478">
        <f>SUMIFS('2.2 Energy Systems inputs'!K$191:K$221,'2.2 Energy Systems inputs'!$B$191:$B$221,'2.5 Emission factors'!$E$62,'2.2 Energy Systems inputs'!$C$191:$C$221,'2.5 Emission factors'!$E53)</f>
        <v>0</v>
      </c>
      <c r="U53" s="478">
        <f>SUMIFS('2.2 Energy Systems inputs'!L$191:L$221,'2.2 Energy Systems inputs'!$B$191:$B$221,'2.5 Emission factors'!$E$62,'2.2 Energy Systems inputs'!$C$191:$C$221,'2.5 Emission factors'!$E53)</f>
        <v>0</v>
      </c>
      <c r="V53" s="478">
        <f>SUMIFS('2.2 Energy Systems inputs'!M$191:M$221,'2.2 Energy Systems inputs'!$B$191:$B$221,'2.5 Emission factors'!$E$62,'2.2 Energy Systems inputs'!$C$191:$C$221,'2.5 Emission factors'!$E53)</f>
        <v>0</v>
      </c>
      <c r="W53" s="478">
        <f>SUMIFS('2.2 Energy Systems inputs'!N$191:N$221,'2.2 Energy Systems inputs'!$B$191:$B$221,'2.5 Emission factors'!$E$62,'2.2 Energy Systems inputs'!$C$191:$C$221,'2.5 Emission factors'!$E53)</f>
        <v>0</v>
      </c>
      <c r="X53" s="478">
        <f>SUMIFS('2.2 Energy Systems inputs'!O$191:O$221,'2.2 Energy Systems inputs'!$B$191:$B$221,'2.5 Emission factors'!$E$62,'2.2 Energy Systems inputs'!$C$191:$C$221,'2.5 Emission factors'!$E53)</f>
        <v>0</v>
      </c>
      <c r="Y53" s="478">
        <f>SUMIFS('2.2 Energy Systems inputs'!P$191:P$221,'2.2 Energy Systems inputs'!$B$191:$B$221,'2.5 Emission factors'!$E$62,'2.2 Energy Systems inputs'!$C$191:$C$221,'2.5 Emission factors'!$E53)</f>
        <v>0</v>
      </c>
      <c r="Z53" s="478">
        <f>SUMIFS('2.2 Energy Systems inputs'!Q$191:Q$221,'2.2 Energy Systems inputs'!$B$191:$B$221,'2.5 Emission factors'!$E$62,'2.2 Energy Systems inputs'!$C$191:$C$221,'2.5 Emission factors'!$E53)</f>
        <v>1</v>
      </c>
      <c r="AA53" s="478">
        <f>SUMIFS('2.2 Energy Systems inputs'!R$191:R$221,'2.2 Energy Systems inputs'!$B$191:$B$221,'2.5 Emission factors'!$E$62,'2.2 Energy Systems inputs'!$C$191:$C$221,'2.5 Emission factors'!$E53)</f>
        <v>1</v>
      </c>
      <c r="AB53" s="478">
        <f>SUMIFS('2.2 Energy Systems inputs'!S$191:S$221,'2.2 Energy Systems inputs'!$B$191:$B$221,'2.5 Emission factors'!$E$62,'2.2 Energy Systems inputs'!$C$191:$C$221,'2.5 Emission factors'!$E53)</f>
        <v>1</v>
      </c>
      <c r="AC53" s="478">
        <f>SUMIFS('2.2 Energy Systems inputs'!T$191:T$221,'2.2 Energy Systems inputs'!$B$191:$B$221,'2.5 Emission factors'!$E$62,'2.2 Energy Systems inputs'!$C$191:$C$221,'2.5 Emission factors'!$E53)</f>
        <v>1</v>
      </c>
      <c r="AD53" s="478">
        <f>SUMIFS('2.2 Energy Systems inputs'!U$191:U$221,'2.2 Energy Systems inputs'!$B$191:$B$221,'2.5 Emission factors'!$E$62,'2.2 Energy Systems inputs'!$C$191:$C$221,'2.5 Emission factors'!$E53)</f>
        <v>1</v>
      </c>
      <c r="AE53" s="478">
        <f>SUMIFS('2.2 Energy Systems inputs'!V$191:V$221,'2.2 Energy Systems inputs'!$B$191:$B$221,'2.5 Emission factors'!$E$62,'2.2 Energy Systems inputs'!$C$191:$C$221,'2.5 Emission factors'!$E53)</f>
        <v>0.94799999999999995</v>
      </c>
      <c r="AF53" s="478">
        <f>SUMIFS('2.2 Energy Systems inputs'!W$191:W$221,'2.2 Energy Systems inputs'!$B$191:$B$221,'2.5 Emission factors'!$E$62,'2.2 Energy Systems inputs'!$C$191:$C$221,'2.5 Emission factors'!$E53)</f>
        <v>0.89600000000000002</v>
      </c>
      <c r="AG53" s="478">
        <f>SUMIFS('2.2 Energy Systems inputs'!X$191:X$221,'2.2 Energy Systems inputs'!$B$191:$B$221,'2.5 Emission factors'!$E$62,'2.2 Energy Systems inputs'!$C$191:$C$221,'2.5 Emission factors'!$E53)</f>
        <v>0.84399999999999997</v>
      </c>
      <c r="AH53" s="478">
        <f>SUMIFS('2.2 Energy Systems inputs'!Y$191:Y$221,'2.2 Energy Systems inputs'!$B$191:$B$221,'2.5 Emission factors'!$E$62,'2.2 Energy Systems inputs'!$C$191:$C$221,'2.5 Emission factors'!$E53)</f>
        <v>0.79200000000000004</v>
      </c>
      <c r="AI53" s="478">
        <f>SUMIFS('2.2 Energy Systems inputs'!Z$191:Z$221,'2.2 Energy Systems inputs'!$B$191:$B$221,'2.5 Emission factors'!$E$62,'2.2 Energy Systems inputs'!$C$191:$C$221,'2.5 Emission factors'!$E53)</f>
        <v>0.74</v>
      </c>
      <c r="AJ53" s="478">
        <f>SUMIFS('2.2 Energy Systems inputs'!AA$191:AA$221,'2.2 Energy Systems inputs'!$B$191:$B$221,'2.5 Emission factors'!$E$62,'2.2 Energy Systems inputs'!$C$191:$C$221,'2.5 Emission factors'!$E53)</f>
        <v>0.71866666666666668</v>
      </c>
      <c r="AK53" s="478">
        <f>SUMIFS('2.2 Energy Systems inputs'!AB$191:AB$221,'2.2 Energy Systems inputs'!$B$191:$B$221,'2.5 Emission factors'!$E$62,'2.2 Energy Systems inputs'!$C$191:$C$221,'2.5 Emission factors'!$E53)</f>
        <v>0.69733333333333336</v>
      </c>
      <c r="AL53" s="478">
        <f>SUMIFS('2.2 Energy Systems inputs'!AC$191:AC$221,'2.2 Energy Systems inputs'!$B$191:$B$221,'2.5 Emission factors'!$E$62,'2.2 Energy Systems inputs'!$C$191:$C$221,'2.5 Emission factors'!$E53)</f>
        <v>0.67599999999999993</v>
      </c>
      <c r="AM53" s="478">
        <f>SUMIFS('2.2 Energy Systems inputs'!AD$191:AD$221,'2.2 Energy Systems inputs'!$B$191:$B$221,'2.5 Emission factors'!$E$62,'2.2 Energy Systems inputs'!$C$191:$C$221,'2.5 Emission factors'!$E53)</f>
        <v>0.65466666666666662</v>
      </c>
      <c r="AN53" s="478">
        <f>SUMIFS('2.2 Energy Systems inputs'!AE$191:AE$221,'2.2 Energy Systems inputs'!$B$191:$B$221,'2.5 Emission factors'!$E$62,'2.2 Energy Systems inputs'!$C$191:$C$221,'2.5 Emission factors'!$E53)</f>
        <v>0.6333333333333333</v>
      </c>
      <c r="AO53" s="478">
        <f>SUMIFS('2.2 Energy Systems inputs'!AF$191:AF$221,'2.2 Energy Systems inputs'!$B$191:$B$221,'2.5 Emission factors'!$E$62,'2.2 Energy Systems inputs'!$C$191:$C$221,'2.5 Emission factors'!$E53)</f>
        <v>0.61199999999999999</v>
      </c>
      <c r="AP53" s="478">
        <f>SUMIFS('2.2 Energy Systems inputs'!AG$191:AG$221,'2.2 Energy Systems inputs'!$B$191:$B$221,'2.5 Emission factors'!$E$62,'2.2 Energy Systems inputs'!$C$191:$C$221,'2.5 Emission factors'!$E53)</f>
        <v>0.59066666666666667</v>
      </c>
      <c r="AQ53" s="478">
        <f>SUMIFS('2.2 Energy Systems inputs'!AH$191:AH$221,'2.2 Energy Systems inputs'!$B$191:$B$221,'2.5 Emission factors'!$E$62,'2.2 Energy Systems inputs'!$C$191:$C$221,'2.5 Emission factors'!$E53)</f>
        <v>0.56933333333333336</v>
      </c>
      <c r="AR53" s="478">
        <f>SUMIFS('2.2 Energy Systems inputs'!AI$191:AI$221,'2.2 Energy Systems inputs'!$B$191:$B$221,'2.5 Emission factors'!$E$62,'2.2 Energy Systems inputs'!$C$191:$C$221,'2.5 Emission factors'!$E53)</f>
        <v>0.54800000000000004</v>
      </c>
      <c r="AS53" s="478">
        <f>SUMIFS('2.2 Energy Systems inputs'!AJ$191:AJ$221,'2.2 Energy Systems inputs'!$B$191:$B$221,'2.5 Emission factors'!$E$62,'2.2 Energy Systems inputs'!$C$191:$C$221,'2.5 Emission factors'!$E53)</f>
        <v>0.52666666666666662</v>
      </c>
      <c r="AT53" s="478">
        <f>SUMIFS('2.2 Energy Systems inputs'!AK$191:AK$221,'2.2 Energy Systems inputs'!$B$191:$B$221,'2.5 Emission factors'!$E$62,'2.2 Energy Systems inputs'!$C$191:$C$221,'2.5 Emission factors'!$E53)</f>
        <v>0.5053333333333333</v>
      </c>
      <c r="AU53" s="478">
        <f>SUMIFS('2.2 Energy Systems inputs'!AL$191:AL$221,'2.2 Energy Systems inputs'!$B$191:$B$221,'2.5 Emission factors'!$E$62,'2.2 Energy Systems inputs'!$C$191:$C$221,'2.5 Emission factors'!$E53)</f>
        <v>0.48399999999999999</v>
      </c>
      <c r="AV53" s="478">
        <f>SUMIFS('2.2 Energy Systems inputs'!AM$191:AM$221,'2.2 Energy Systems inputs'!$B$191:$B$221,'2.5 Emission factors'!$E$62,'2.2 Energy Systems inputs'!$C$191:$C$221,'2.5 Emission factors'!$E53)</f>
        <v>0.46266666666666667</v>
      </c>
      <c r="AW53" s="478">
        <f>SUMIFS('2.2 Energy Systems inputs'!AN$191:AN$221,'2.2 Energy Systems inputs'!$B$191:$B$221,'2.5 Emission factors'!$E$62,'2.2 Energy Systems inputs'!$C$191:$C$221,'2.5 Emission factors'!$E53)</f>
        <v>0.44133333333333336</v>
      </c>
      <c r="AX53" s="478">
        <f>SUMIFS('2.2 Energy Systems inputs'!AO$191:AO$221,'2.2 Energy Systems inputs'!$B$191:$B$221,'2.5 Emission factors'!$E$62,'2.2 Energy Systems inputs'!$C$191:$C$221,'2.5 Emission factors'!$E53)</f>
        <v>0.42</v>
      </c>
    </row>
    <row r="55" spans="2:50">
      <c r="E55" t="s">
        <v>752</v>
      </c>
      <c r="G55" s="44"/>
      <c r="I55" s="3"/>
      <c r="K55" s="44"/>
      <c r="M55" s="44" t="s">
        <v>452</v>
      </c>
      <c r="O55" s="485">
        <v>0.95</v>
      </c>
      <c r="P55" s="485">
        <v>0.95</v>
      </c>
      <c r="Q55" s="485">
        <v>0.95</v>
      </c>
      <c r="R55" s="485">
        <v>0.95</v>
      </c>
      <c r="S55" s="485">
        <v>0.95</v>
      </c>
      <c r="T55" s="485">
        <v>0.95</v>
      </c>
      <c r="U55" s="485">
        <v>0.95</v>
      </c>
      <c r="V55" s="485">
        <v>0.95</v>
      </c>
      <c r="W55" s="485">
        <v>0.95</v>
      </c>
      <c r="X55" s="485">
        <v>0.95</v>
      </c>
      <c r="Y55" s="485">
        <v>0.95</v>
      </c>
      <c r="Z55" s="485">
        <v>0.95</v>
      </c>
      <c r="AA55" s="485">
        <v>0.95</v>
      </c>
      <c r="AB55" s="485">
        <v>0.95</v>
      </c>
      <c r="AC55" s="485">
        <v>0.95</v>
      </c>
      <c r="AD55" s="485">
        <v>0.95</v>
      </c>
      <c r="AE55" s="485">
        <v>0.95</v>
      </c>
      <c r="AF55" s="485">
        <v>0.95</v>
      </c>
      <c r="AG55" s="485">
        <v>0.95</v>
      </c>
      <c r="AH55" s="485">
        <v>0.95</v>
      </c>
      <c r="AI55" s="485">
        <v>0.95</v>
      </c>
      <c r="AJ55" s="485">
        <v>0.95</v>
      </c>
      <c r="AK55" s="485">
        <v>0.95</v>
      </c>
      <c r="AL55" s="485">
        <v>0.95</v>
      </c>
      <c r="AM55" s="485">
        <v>0.95</v>
      </c>
      <c r="AN55" s="485">
        <v>0.95</v>
      </c>
      <c r="AO55" s="485">
        <v>0.95</v>
      </c>
      <c r="AP55" s="485">
        <v>0.95</v>
      </c>
      <c r="AQ55" s="485">
        <v>0.95</v>
      </c>
      <c r="AR55" s="485">
        <v>0.95</v>
      </c>
      <c r="AS55" s="485">
        <v>0.95</v>
      </c>
      <c r="AT55" s="485">
        <v>0.95</v>
      </c>
      <c r="AU55" s="485">
        <v>0.95</v>
      </c>
      <c r="AV55" s="485">
        <v>0.95</v>
      </c>
      <c r="AW55" s="485">
        <v>0.95</v>
      </c>
      <c r="AX55" s="485">
        <v>0.95</v>
      </c>
    </row>
    <row r="57" spans="2:50">
      <c r="E57" t="s">
        <v>753</v>
      </c>
      <c r="G57" s="44" t="s">
        <v>724</v>
      </c>
      <c r="I57" s="44" t="s">
        <v>754</v>
      </c>
      <c r="K57" s="44"/>
      <c r="M57" s="44" t="s">
        <v>755</v>
      </c>
      <c r="O57" s="311">
        <f>SUM(O43*O49,O44*O50,O47*O53)</f>
        <v>1.42</v>
      </c>
      <c r="P57" s="311">
        <f t="shared" ref="P57:AX57" si="0">SUM(P43*P49,P44*P50,P47*P53)</f>
        <v>1.42</v>
      </c>
      <c r="Q57" s="311">
        <f t="shared" si="0"/>
        <v>1.42</v>
      </c>
      <c r="R57" s="311">
        <f t="shared" si="0"/>
        <v>1.42</v>
      </c>
      <c r="S57" s="311">
        <f t="shared" si="0"/>
        <v>1.42</v>
      </c>
      <c r="T57" s="311">
        <f t="shared" si="0"/>
        <v>1.42</v>
      </c>
      <c r="U57" s="311">
        <f t="shared" si="0"/>
        <v>1.42</v>
      </c>
      <c r="V57" s="311">
        <f t="shared" si="0"/>
        <v>1.42</v>
      </c>
      <c r="W57" s="311">
        <f t="shared" si="0"/>
        <v>1.42</v>
      </c>
      <c r="X57" s="311">
        <f t="shared" si="0"/>
        <v>1.42</v>
      </c>
      <c r="Y57" s="311">
        <f t="shared" si="0"/>
        <v>1.42</v>
      </c>
      <c r="Z57" s="311">
        <f t="shared" si="0"/>
        <v>1.3384</v>
      </c>
      <c r="AA57" s="311">
        <f t="shared" si="0"/>
        <v>1.3188</v>
      </c>
      <c r="AB57" s="311">
        <f t="shared" si="0"/>
        <v>1.2991999999999999</v>
      </c>
      <c r="AC57" s="311">
        <f t="shared" si="0"/>
        <v>1.2795999999999998</v>
      </c>
      <c r="AD57" s="311">
        <f t="shared" si="0"/>
        <v>1.26</v>
      </c>
      <c r="AE57" s="311">
        <f t="shared" si="0"/>
        <v>1.19448</v>
      </c>
      <c r="AF57" s="311">
        <f t="shared" si="0"/>
        <v>1.12896</v>
      </c>
      <c r="AG57" s="311">
        <f t="shared" si="0"/>
        <v>1.0634399999999999</v>
      </c>
      <c r="AH57" s="311">
        <f t="shared" si="0"/>
        <v>0.99792000000000003</v>
      </c>
      <c r="AI57" s="311">
        <f t="shared" si="0"/>
        <v>0.93240000000000001</v>
      </c>
      <c r="AJ57" s="311">
        <f t="shared" si="0"/>
        <v>0.90551999999999999</v>
      </c>
      <c r="AK57" s="311">
        <f t="shared" si="0"/>
        <v>0.87864000000000009</v>
      </c>
      <c r="AL57" s="311">
        <f t="shared" si="0"/>
        <v>0.85175999999999996</v>
      </c>
      <c r="AM57" s="311">
        <f t="shared" si="0"/>
        <v>0.82487999999999995</v>
      </c>
      <c r="AN57" s="311">
        <f t="shared" si="0"/>
        <v>0.79799999999999993</v>
      </c>
      <c r="AO57" s="311">
        <f t="shared" si="0"/>
        <v>0.77112000000000003</v>
      </c>
      <c r="AP57" s="311">
        <f t="shared" si="0"/>
        <v>0.74424000000000001</v>
      </c>
      <c r="AQ57" s="311">
        <f t="shared" si="0"/>
        <v>0.71736</v>
      </c>
      <c r="AR57" s="311">
        <f t="shared" si="0"/>
        <v>0.69048000000000009</v>
      </c>
      <c r="AS57" s="311">
        <f t="shared" si="0"/>
        <v>0.66359999999999997</v>
      </c>
      <c r="AT57" s="311">
        <f t="shared" si="0"/>
        <v>0.63671999999999995</v>
      </c>
      <c r="AU57" s="311">
        <f t="shared" si="0"/>
        <v>0.60983999999999994</v>
      </c>
      <c r="AV57" s="311">
        <f t="shared" si="0"/>
        <v>0.58296000000000003</v>
      </c>
      <c r="AW57" s="311">
        <f t="shared" si="0"/>
        <v>0.55608000000000002</v>
      </c>
      <c r="AX57" s="311">
        <f t="shared" si="0"/>
        <v>0.5292</v>
      </c>
    </row>
    <row r="58" spans="2:50">
      <c r="G58" s="44" t="s">
        <v>210</v>
      </c>
      <c r="I58" s="44"/>
      <c r="K58" s="44"/>
      <c r="M58" s="44" t="s">
        <v>755</v>
      </c>
      <c r="O58" s="311">
        <f>SUM(O45*O51,O46*O52)</f>
        <v>0</v>
      </c>
      <c r="P58" s="311">
        <f t="shared" ref="P58:AX58" si="1">SUM(P45*P51,P46*P52)</f>
        <v>0</v>
      </c>
      <c r="Q58" s="311">
        <f t="shared" si="1"/>
        <v>0</v>
      </c>
      <c r="R58" s="311">
        <f t="shared" si="1"/>
        <v>0</v>
      </c>
      <c r="S58" s="311">
        <f t="shared" si="1"/>
        <v>0</v>
      </c>
      <c r="T58" s="311">
        <f t="shared" si="1"/>
        <v>0</v>
      </c>
      <c r="U58" s="311">
        <f t="shared" si="1"/>
        <v>0</v>
      </c>
      <c r="V58" s="311">
        <f t="shared" si="1"/>
        <v>0</v>
      </c>
      <c r="W58" s="311">
        <f t="shared" si="1"/>
        <v>0</v>
      </c>
      <c r="X58" s="311">
        <f t="shared" si="1"/>
        <v>0</v>
      </c>
      <c r="Y58" s="311">
        <f t="shared" si="1"/>
        <v>0</v>
      </c>
      <c r="Z58" s="311">
        <f t="shared" si="1"/>
        <v>0</v>
      </c>
      <c r="AA58" s="311">
        <f t="shared" si="1"/>
        <v>0</v>
      </c>
      <c r="AB58" s="311">
        <f t="shared" si="1"/>
        <v>0</v>
      </c>
      <c r="AC58" s="311">
        <f t="shared" si="1"/>
        <v>0</v>
      </c>
      <c r="AD58" s="311">
        <f t="shared" si="1"/>
        <v>0</v>
      </c>
      <c r="AE58" s="311">
        <f t="shared" si="1"/>
        <v>7.5099099099099106E-2</v>
      </c>
      <c r="AF58" s="311">
        <f t="shared" si="1"/>
        <v>0.15422762390430489</v>
      </c>
      <c r="AG58" s="311">
        <f t="shared" si="1"/>
        <v>0.23746293445126671</v>
      </c>
      <c r="AH58" s="311">
        <f t="shared" si="1"/>
        <v>0.31528527749539431</v>
      </c>
      <c r="AI58" s="311">
        <f t="shared" si="1"/>
        <v>0.39162423171356731</v>
      </c>
      <c r="AJ58" s="311">
        <f t="shared" si="1"/>
        <v>0.41865057867733824</v>
      </c>
      <c r="AK58" s="311">
        <f t="shared" si="1"/>
        <v>0.4448514957410612</v>
      </c>
      <c r="AL58" s="311">
        <f t="shared" si="1"/>
        <v>0.47022698290473597</v>
      </c>
      <c r="AM58" s="311">
        <f t="shared" si="1"/>
        <v>0.49477704016836271</v>
      </c>
      <c r="AN58" s="311">
        <f t="shared" si="1"/>
        <v>0.5185016675319416</v>
      </c>
      <c r="AO58" s="311">
        <f t="shared" si="1"/>
        <v>0.54886202709453702</v>
      </c>
      <c r="AP58" s="311">
        <f t="shared" si="1"/>
        <v>0.57922238665713222</v>
      </c>
      <c r="AQ58" s="311">
        <f t="shared" si="1"/>
        <v>0.60958274621972752</v>
      </c>
      <c r="AR58" s="311">
        <f t="shared" si="1"/>
        <v>0.63994310578232283</v>
      </c>
      <c r="AS58" s="311">
        <f t="shared" si="1"/>
        <v>0.67030346534491814</v>
      </c>
      <c r="AT58" s="311">
        <f t="shared" si="1"/>
        <v>0.70066382490751344</v>
      </c>
      <c r="AU58" s="311">
        <f t="shared" si="1"/>
        <v>0.73102418447010875</v>
      </c>
      <c r="AV58" s="311">
        <f t="shared" si="1"/>
        <v>0.76138454403270406</v>
      </c>
      <c r="AW58" s="311">
        <f t="shared" si="1"/>
        <v>0.79174490359529925</v>
      </c>
      <c r="AX58" s="311">
        <f t="shared" si="1"/>
        <v>0.82210526315789467</v>
      </c>
    </row>
    <row r="60" spans="2:50" s="156" customFormat="1">
      <c r="C60" s="157"/>
      <c r="E60" s="156" t="s">
        <v>756</v>
      </c>
    </row>
    <row r="62" spans="2:50">
      <c r="E62" s="162" t="str">
        <f>Dashboard!$D$6</f>
        <v>High Electrification</v>
      </c>
      <c r="I62" s="45" t="s">
        <v>3</v>
      </c>
      <c r="M62" s="44" t="s">
        <v>726</v>
      </c>
      <c r="O62" s="310">
        <f>SUM(O58*O29,(O57*(1-(SUM(O50,O53)/SUM(O49,O50,O53)*O55))*O8))</f>
        <v>0.26127999999999996</v>
      </c>
      <c r="P62" s="310">
        <f t="shared" ref="P62:AX62" si="2">SUM(P58*P29,(P57*(1-(SUM(P50,P53)/SUM(P49,P50,P53)*P55))*P8))</f>
        <v>0.26127999999999996</v>
      </c>
      <c r="Q62" s="310">
        <f t="shared" si="2"/>
        <v>0.26127999999999996</v>
      </c>
      <c r="R62" s="310">
        <f t="shared" si="2"/>
        <v>0.26127999999999996</v>
      </c>
      <c r="S62" s="310">
        <f t="shared" si="2"/>
        <v>0.26127999999999996</v>
      </c>
      <c r="T62" s="310">
        <f t="shared" si="2"/>
        <v>0.26127999999999996</v>
      </c>
      <c r="U62" s="310">
        <f t="shared" si="2"/>
        <v>0.26127999999999996</v>
      </c>
      <c r="V62" s="310">
        <f t="shared" si="2"/>
        <v>0.26127999999999996</v>
      </c>
      <c r="W62" s="310">
        <f t="shared" si="2"/>
        <v>0.26127999999999996</v>
      </c>
      <c r="X62" s="310">
        <f t="shared" si="2"/>
        <v>0.26127999999999996</v>
      </c>
      <c r="Y62" s="310">
        <f t="shared" si="2"/>
        <v>0.26127999999999996</v>
      </c>
      <c r="Z62" s="310">
        <f t="shared" si="2"/>
        <v>1.2313280000000012E-2</v>
      </c>
      <c r="AA62" s="310">
        <f t="shared" si="2"/>
        <v>1.213296000000001E-2</v>
      </c>
      <c r="AB62" s="310">
        <f t="shared" si="2"/>
        <v>1.1952640000000011E-2</v>
      </c>
      <c r="AC62" s="310">
        <f t="shared" si="2"/>
        <v>1.177232000000001E-2</v>
      </c>
      <c r="AD62" s="310">
        <f t="shared" si="2"/>
        <v>1.159200000000001E-2</v>
      </c>
      <c r="AE62" s="310">
        <f t="shared" si="2"/>
        <v>1.4112792964357693E-2</v>
      </c>
      <c r="AF62" s="310">
        <f t="shared" si="2"/>
        <v>1.5930829581931809E-2</v>
      </c>
      <c r="AG62" s="310">
        <f t="shared" si="2"/>
        <v>1.7197140016274204E-2</v>
      </c>
      <c r="AH62" s="310">
        <f t="shared" si="2"/>
        <v>1.8116549425250011E-2</v>
      </c>
      <c r="AI62" s="310">
        <f t="shared" si="2"/>
        <v>1.8479666447880346E-2</v>
      </c>
      <c r="AJ62" s="310">
        <f t="shared" si="2"/>
        <v>1.7086873444203149E-2</v>
      </c>
      <c r="AK62" s="310">
        <f t="shared" si="2"/>
        <v>1.6359119739926833E-2</v>
      </c>
      <c r="AL62" s="310">
        <f t="shared" si="2"/>
        <v>1.6381041418973848E-2</v>
      </c>
      <c r="AM62" s="310">
        <f t="shared" si="2"/>
        <v>1.6101868971349752E-2</v>
      </c>
      <c r="AN62" s="310">
        <f t="shared" si="2"/>
        <v>1.5425606382577665E-2</v>
      </c>
      <c r="AO62" s="310">
        <f t="shared" si="2"/>
        <v>1.4198095075723834E-2</v>
      </c>
      <c r="AP62" s="310">
        <f t="shared" si="2"/>
        <v>1.3961526228515679E-2</v>
      </c>
      <c r="AQ62" s="310">
        <f t="shared" si="2"/>
        <v>1.3934274924498644E-2</v>
      </c>
      <c r="AR62" s="310">
        <f t="shared" si="2"/>
        <v>1.3589507589180103E-2</v>
      </c>
      <c r="AS62" s="310">
        <f t="shared" si="2"/>
        <v>1.2542668043561488E-2</v>
      </c>
      <c r="AT62" s="310">
        <f t="shared" si="2"/>
        <v>1.1967306041807011E-2</v>
      </c>
      <c r="AU62" s="310">
        <f t="shared" si="2"/>
        <v>1.148781841886266E-2</v>
      </c>
      <c r="AV62" s="310">
        <f t="shared" si="2"/>
        <v>1.1173059355187934E-2</v>
      </c>
      <c r="AW62" s="310">
        <f t="shared" si="2"/>
        <v>1.0737794989227459E-2</v>
      </c>
      <c r="AX62" s="310">
        <f t="shared" si="2"/>
        <v>1.0605857441471238E-2</v>
      </c>
    </row>
    <row r="64" spans="2:50" s="67" customFormat="1" hidden="1">
      <c r="B64" s="67" t="s">
        <v>757</v>
      </c>
      <c r="O64" s="68"/>
      <c r="P64" s="68"/>
      <c r="Q64" s="68"/>
      <c r="R64" s="68"/>
      <c r="S64" s="68"/>
      <c r="T64" s="68"/>
      <c r="U64" s="68"/>
      <c r="V64" s="68"/>
      <c r="W64" s="68"/>
      <c r="X64" s="68"/>
      <c r="Y64" s="68"/>
      <c r="Z64" s="68"/>
      <c r="AA64" s="68"/>
      <c r="AB64" s="68"/>
      <c r="AC64" s="68"/>
      <c r="AD64" s="68"/>
      <c r="AE64" s="68"/>
      <c r="AF64" s="68"/>
      <c r="AG64" s="68"/>
      <c r="AH64" s="68"/>
      <c r="AI64" s="68"/>
      <c r="AJ64" s="68"/>
      <c r="AK64" s="68"/>
      <c r="AL64" s="68"/>
      <c r="AM64" s="68"/>
      <c r="AN64" s="68"/>
      <c r="AO64" s="68"/>
      <c r="AP64" s="68"/>
      <c r="AQ64" s="68"/>
      <c r="AR64" s="68"/>
      <c r="AS64" s="68"/>
      <c r="AT64" s="68"/>
      <c r="AU64" s="68"/>
      <c r="AV64" s="68"/>
      <c r="AW64" s="68"/>
      <c r="AX64" s="68"/>
    </row>
    <row r="65" spans="3:50" hidden="1">
      <c r="O65" t="b">
        <f>O63=O62</f>
        <v>0</v>
      </c>
      <c r="P65" t="b">
        <f t="shared" ref="P65:AX65" si="3">P63=P62</f>
        <v>0</v>
      </c>
      <c r="Q65" t="b">
        <f t="shared" si="3"/>
        <v>0</v>
      </c>
      <c r="R65" t="b">
        <f t="shared" si="3"/>
        <v>0</v>
      </c>
      <c r="S65" t="b">
        <f t="shared" si="3"/>
        <v>0</v>
      </c>
      <c r="T65" t="b">
        <f t="shared" si="3"/>
        <v>0</v>
      </c>
      <c r="U65" t="b">
        <f t="shared" si="3"/>
        <v>0</v>
      </c>
      <c r="V65" t="b">
        <f t="shared" si="3"/>
        <v>0</v>
      </c>
      <c r="W65" t="b">
        <f t="shared" si="3"/>
        <v>0</v>
      </c>
      <c r="X65" t="b">
        <f t="shared" si="3"/>
        <v>0</v>
      </c>
      <c r="Y65" t="b">
        <f t="shared" si="3"/>
        <v>0</v>
      </c>
      <c r="Z65" t="b">
        <f t="shared" si="3"/>
        <v>0</v>
      </c>
      <c r="AA65" t="b">
        <f t="shared" si="3"/>
        <v>0</v>
      </c>
      <c r="AB65" t="b">
        <f t="shared" si="3"/>
        <v>0</v>
      </c>
      <c r="AC65" t="b">
        <f t="shared" si="3"/>
        <v>0</v>
      </c>
      <c r="AD65" t="b">
        <f t="shared" si="3"/>
        <v>0</v>
      </c>
      <c r="AE65" t="b">
        <f t="shared" si="3"/>
        <v>0</v>
      </c>
      <c r="AF65" t="b">
        <f t="shared" si="3"/>
        <v>0</v>
      </c>
      <c r="AG65" t="b">
        <f t="shared" si="3"/>
        <v>0</v>
      </c>
      <c r="AH65" t="b">
        <f t="shared" si="3"/>
        <v>0</v>
      </c>
      <c r="AI65" t="b">
        <f t="shared" si="3"/>
        <v>0</v>
      </c>
      <c r="AJ65" t="b">
        <f t="shared" si="3"/>
        <v>0</v>
      </c>
      <c r="AK65" t="b">
        <f t="shared" si="3"/>
        <v>0</v>
      </c>
      <c r="AL65" t="b">
        <f t="shared" si="3"/>
        <v>0</v>
      </c>
      <c r="AM65" t="b">
        <f t="shared" si="3"/>
        <v>0</v>
      </c>
      <c r="AN65" t="b">
        <f t="shared" si="3"/>
        <v>0</v>
      </c>
      <c r="AO65" t="b">
        <f t="shared" si="3"/>
        <v>0</v>
      </c>
      <c r="AP65" t="b">
        <f t="shared" si="3"/>
        <v>0</v>
      </c>
      <c r="AQ65" t="b">
        <f t="shared" si="3"/>
        <v>0</v>
      </c>
      <c r="AR65" t="b">
        <f t="shared" si="3"/>
        <v>0</v>
      </c>
      <c r="AS65" t="b">
        <f t="shared" si="3"/>
        <v>0</v>
      </c>
      <c r="AT65" t="b">
        <f t="shared" si="3"/>
        <v>0</v>
      </c>
      <c r="AU65" t="b">
        <f t="shared" si="3"/>
        <v>0</v>
      </c>
      <c r="AV65" t="b">
        <f t="shared" si="3"/>
        <v>0</v>
      </c>
      <c r="AW65" t="b">
        <f t="shared" si="3"/>
        <v>0</v>
      </c>
      <c r="AX65" t="b">
        <f t="shared" si="3"/>
        <v>0</v>
      </c>
    </row>
    <row r="66" spans="3:50" s="156" customFormat="1" hidden="1">
      <c r="C66" s="157"/>
      <c r="E66" s="156" t="s">
        <v>758</v>
      </c>
    </row>
    <row r="67" spans="3:50" hidden="1"/>
    <row r="68" spans="3:50" hidden="1">
      <c r="E68" s="35"/>
      <c r="F68" s="60"/>
      <c r="H68" s="60"/>
      <c r="I68" s="60"/>
      <c r="J68" s="60"/>
      <c r="K68" s="60" t="s">
        <v>109</v>
      </c>
      <c r="L68" s="60"/>
      <c r="M68" s="60" t="s">
        <v>179</v>
      </c>
      <c r="N68" s="38"/>
      <c r="O68" s="82">
        <v>2015</v>
      </c>
      <c r="P68" s="82">
        <v>2016</v>
      </c>
      <c r="Q68" s="82">
        <v>2017</v>
      </c>
      <c r="R68" s="82">
        <v>2018</v>
      </c>
      <c r="S68" s="82">
        <v>2019</v>
      </c>
      <c r="T68" s="82">
        <v>2020</v>
      </c>
      <c r="U68" s="82">
        <v>2021</v>
      </c>
      <c r="V68" s="82">
        <v>2022</v>
      </c>
      <c r="W68" s="82">
        <v>2023</v>
      </c>
      <c r="X68" s="82">
        <v>2024</v>
      </c>
      <c r="Y68" s="82">
        <v>2025</v>
      </c>
      <c r="Z68" s="82">
        <v>2026</v>
      </c>
      <c r="AA68" s="82">
        <v>2027</v>
      </c>
      <c r="AB68" s="82">
        <v>2028</v>
      </c>
      <c r="AC68" s="82">
        <v>2029</v>
      </c>
      <c r="AD68" s="82">
        <v>2030</v>
      </c>
      <c r="AE68" s="82">
        <v>2031</v>
      </c>
      <c r="AF68" s="82">
        <v>2032</v>
      </c>
      <c r="AG68" s="82">
        <v>2033</v>
      </c>
      <c r="AH68" s="82">
        <v>2034</v>
      </c>
      <c r="AI68" s="82">
        <v>2035</v>
      </c>
      <c r="AJ68" s="82">
        <v>2036</v>
      </c>
      <c r="AK68" s="82">
        <v>2037</v>
      </c>
      <c r="AL68" s="82">
        <v>2038</v>
      </c>
      <c r="AM68" s="82">
        <v>2039</v>
      </c>
      <c r="AN68" s="82">
        <v>2040</v>
      </c>
      <c r="AO68" s="82">
        <v>2041</v>
      </c>
      <c r="AP68" s="82">
        <v>2042</v>
      </c>
      <c r="AQ68" s="82">
        <v>2043</v>
      </c>
      <c r="AR68" s="82">
        <v>2044</v>
      </c>
      <c r="AS68" s="82">
        <v>2045</v>
      </c>
      <c r="AT68" s="82">
        <v>2046</v>
      </c>
      <c r="AU68" s="82">
        <v>2047</v>
      </c>
      <c r="AV68" s="82">
        <v>2048</v>
      </c>
      <c r="AW68" s="82">
        <v>2049</v>
      </c>
      <c r="AX68" s="82">
        <v>2050</v>
      </c>
    </row>
    <row r="69" spans="3:50" hidden="1">
      <c r="K69" t="str">
        <f>INDEX('Scenario names'!$C$3:$C$6,1)</f>
        <v>High Electrification</v>
      </c>
      <c r="M69" s="44" t="s">
        <v>726</v>
      </c>
      <c r="O69" s="471">
        <v>0.26127999999999996</v>
      </c>
      <c r="P69" s="471">
        <v>0.26127999999999996</v>
      </c>
      <c r="Q69" s="471">
        <v>0.26127999999999996</v>
      </c>
      <c r="R69" s="471">
        <v>0.26127999999999996</v>
      </c>
      <c r="S69" s="471">
        <v>0.26127999999999996</v>
      </c>
      <c r="T69" s="471">
        <v>0.26127999999999996</v>
      </c>
      <c r="U69" s="471">
        <v>0.26127999999999996</v>
      </c>
      <c r="V69" s="471">
        <v>0.26127999999999996</v>
      </c>
      <c r="W69" s="471">
        <v>0.26127999999999996</v>
      </c>
      <c r="X69" s="471">
        <v>0.26127999999999996</v>
      </c>
      <c r="Y69" s="471">
        <v>0.26127999999999996</v>
      </c>
      <c r="Z69" s="471">
        <v>1.2313280000000012E-2</v>
      </c>
      <c r="AA69" s="471">
        <v>1.213296000000001E-2</v>
      </c>
      <c r="AB69" s="471">
        <v>1.1952640000000009E-2</v>
      </c>
      <c r="AC69" s="471">
        <v>1.177232000000001E-2</v>
      </c>
      <c r="AD69" s="471">
        <v>1.159200000000001E-2</v>
      </c>
      <c r="AE69" s="471">
        <v>1.4055751931090302E-2</v>
      </c>
      <c r="AF69" s="471">
        <v>1.582958086274629E-2</v>
      </c>
      <c r="AG69" s="471">
        <v>1.706175892928543E-2</v>
      </c>
      <c r="AH69" s="471">
        <v>1.7953370884933994E-2</v>
      </c>
      <c r="AI69" s="471">
        <v>1.8298849157825307E-2</v>
      </c>
      <c r="AJ69" s="471">
        <v>1.6926974586266165E-2</v>
      </c>
      <c r="AK69" s="471">
        <v>1.6207994734597272E-2</v>
      </c>
      <c r="AL69" s="471">
        <v>1.6225000109432189E-2</v>
      </c>
      <c r="AM69" s="471">
        <v>1.5946409771847359E-2</v>
      </c>
      <c r="AN69" s="471">
        <v>1.527798073343755E-2</v>
      </c>
      <c r="AO69" s="471">
        <v>1.4068369575856637E-2</v>
      </c>
      <c r="AP69" s="471">
        <v>1.3831604835322895E-2</v>
      </c>
      <c r="AQ69" s="471">
        <v>1.380033519688763E-2</v>
      </c>
      <c r="AR69" s="471">
        <v>1.3457347829133187E-2</v>
      </c>
      <c r="AS69" s="471">
        <v>1.2425109105106219E-2</v>
      </c>
      <c r="AT69" s="471">
        <v>1.1855738063053874E-2</v>
      </c>
      <c r="AU69" s="471">
        <v>1.1380490594983216E-2</v>
      </c>
      <c r="AV69" s="471">
        <v>1.1066963504428828E-2</v>
      </c>
      <c r="AW69" s="471">
        <v>1.0635131712705616E-2</v>
      </c>
      <c r="AX69" s="471">
        <v>1.0501087552758566E-2</v>
      </c>
    </row>
    <row r="70" spans="3:50" hidden="1">
      <c r="K70" t="str">
        <f>INDEX('Scenario names'!$C$3:$C$6,2)</f>
        <v>High Hydrogen</v>
      </c>
      <c r="M70" s="44" t="s">
        <v>726</v>
      </c>
      <c r="O70" s="471">
        <v>0.26127999999999996</v>
      </c>
      <c r="P70" s="471">
        <v>0.26127999999999996</v>
      </c>
      <c r="Q70" s="471">
        <v>0.26127999999999996</v>
      </c>
      <c r="R70" s="471">
        <v>0.26127999999999996</v>
      </c>
      <c r="S70" s="471">
        <v>0.26127999999999996</v>
      </c>
      <c r="T70" s="471">
        <v>0.26127999999999996</v>
      </c>
      <c r="U70" s="471">
        <v>0.26127999999999996</v>
      </c>
      <c r="V70" s="471">
        <v>0.26127999999999996</v>
      </c>
      <c r="W70" s="471">
        <v>0.26127999999999996</v>
      </c>
      <c r="X70" s="471">
        <v>0.26127999999999996</v>
      </c>
      <c r="Y70" s="471">
        <v>0.26127999999999996</v>
      </c>
      <c r="Z70" s="471">
        <v>1.2313280000000012E-2</v>
      </c>
      <c r="AA70" s="471">
        <v>1.213296000000001E-2</v>
      </c>
      <c r="AB70" s="471">
        <v>1.1952640000000009E-2</v>
      </c>
      <c r="AC70" s="471">
        <v>1.177232000000001E-2</v>
      </c>
      <c r="AD70" s="471">
        <v>1.159200000000001E-2</v>
      </c>
      <c r="AE70" s="471">
        <v>1.4055751931090302E-2</v>
      </c>
      <c r="AF70" s="471">
        <v>1.582958086274629E-2</v>
      </c>
      <c r="AG70" s="471">
        <v>1.706175892928543E-2</v>
      </c>
      <c r="AH70" s="471">
        <v>1.7953370884933994E-2</v>
      </c>
      <c r="AI70" s="471">
        <v>1.8298849157825307E-2</v>
      </c>
      <c r="AJ70" s="471">
        <v>1.6926974586266165E-2</v>
      </c>
      <c r="AK70" s="471">
        <v>1.6207994734597272E-2</v>
      </c>
      <c r="AL70" s="471">
        <v>1.6225000109432189E-2</v>
      </c>
      <c r="AM70" s="471">
        <v>1.5946409771847359E-2</v>
      </c>
      <c r="AN70" s="471">
        <v>1.527798073343755E-2</v>
      </c>
      <c r="AO70" s="471">
        <v>1.4068369575856637E-2</v>
      </c>
      <c r="AP70" s="471">
        <v>1.3831604835322895E-2</v>
      </c>
      <c r="AQ70" s="471">
        <v>1.380033519688763E-2</v>
      </c>
      <c r="AR70" s="471">
        <v>1.3457347829133187E-2</v>
      </c>
      <c r="AS70" s="471">
        <v>1.2425109105106219E-2</v>
      </c>
      <c r="AT70" s="471">
        <v>1.1855738063053874E-2</v>
      </c>
      <c r="AU70" s="471">
        <v>1.1380490594983216E-2</v>
      </c>
      <c r="AV70" s="471">
        <v>1.1066963504428828E-2</v>
      </c>
      <c r="AW70" s="471">
        <v>1.0635131712705616E-2</v>
      </c>
      <c r="AX70" s="471">
        <v>1.0501087552758566E-2</v>
      </c>
    </row>
    <row r="71" spans="3:50" hidden="1">
      <c r="K71" t="str">
        <f>INDEX('Scenario names'!$C$3:$C$6,3)</f>
        <v>Accelerated Green</v>
      </c>
      <c r="M71" s="44" t="s">
        <v>726</v>
      </c>
      <c r="O71" s="471">
        <v>0.26127999999999996</v>
      </c>
      <c r="P71" s="471">
        <v>0.26127999999999996</v>
      </c>
      <c r="Q71" s="471">
        <v>0.26127999999999996</v>
      </c>
      <c r="R71" s="471">
        <v>0.26127999999999996</v>
      </c>
      <c r="S71" s="471">
        <v>0.26127999999999996</v>
      </c>
      <c r="T71" s="471">
        <v>0.26127999999999996</v>
      </c>
      <c r="U71" s="471">
        <v>0.26127999999999996</v>
      </c>
      <c r="V71" s="471">
        <v>0.26127999999999996</v>
      </c>
      <c r="W71" s="471">
        <v>0.26127999999999996</v>
      </c>
      <c r="X71" s="471">
        <v>0.26127999999999996</v>
      </c>
      <c r="Y71" s="471">
        <v>0.26127999999999996</v>
      </c>
      <c r="Z71" s="471">
        <v>1.2313280000000012E-2</v>
      </c>
      <c r="AA71" s="471">
        <v>1.213296000000001E-2</v>
      </c>
      <c r="AB71" s="471">
        <v>1.1952640000000009E-2</v>
      </c>
      <c r="AC71" s="471">
        <v>1.177232000000001E-2</v>
      </c>
      <c r="AD71" s="471">
        <v>1.159200000000001E-2</v>
      </c>
      <c r="AE71" s="471">
        <v>1.4055751931090302E-2</v>
      </c>
      <c r="AF71" s="471">
        <v>1.582958086274629E-2</v>
      </c>
      <c r="AG71" s="471">
        <v>1.706175892928543E-2</v>
      </c>
      <c r="AH71" s="471">
        <v>1.7953370884933994E-2</v>
      </c>
      <c r="AI71" s="471">
        <v>1.8298849157825307E-2</v>
      </c>
      <c r="AJ71" s="471">
        <v>1.6926974586266165E-2</v>
      </c>
      <c r="AK71" s="471">
        <v>1.6207994734597272E-2</v>
      </c>
      <c r="AL71" s="471">
        <v>1.6225000109432189E-2</v>
      </c>
      <c r="AM71" s="471">
        <v>1.5946409771847359E-2</v>
      </c>
      <c r="AN71" s="471">
        <v>1.527798073343755E-2</v>
      </c>
      <c r="AO71" s="471">
        <v>1.4068369575856637E-2</v>
      </c>
      <c r="AP71" s="471">
        <v>1.3831604835322895E-2</v>
      </c>
      <c r="AQ71" s="471">
        <v>1.380033519688763E-2</v>
      </c>
      <c r="AR71" s="471">
        <v>1.3457347829133187E-2</v>
      </c>
      <c r="AS71" s="471">
        <v>1.2425109105106219E-2</v>
      </c>
      <c r="AT71" s="471">
        <v>1.1855738063053874E-2</v>
      </c>
      <c r="AU71" s="471">
        <v>1.1380490594983216E-2</v>
      </c>
      <c r="AV71" s="471">
        <v>1.1066963504428828E-2</v>
      </c>
      <c r="AW71" s="471">
        <v>1.0635131712705616E-2</v>
      </c>
      <c r="AX71" s="471">
        <v>1.0501087552758566E-2</v>
      </c>
    </row>
    <row r="72" spans="3:50" hidden="1">
      <c r="K72" t="str">
        <f>INDEX('Scenario names'!$C$3:$C$6,4)</f>
        <v>No Constraints</v>
      </c>
      <c r="M72" s="44" t="s">
        <v>726</v>
      </c>
      <c r="O72" s="471">
        <v>0.26127999999999996</v>
      </c>
      <c r="P72" s="471">
        <v>0.26127999999999996</v>
      </c>
      <c r="Q72" s="471">
        <v>0.26127999999999996</v>
      </c>
      <c r="R72" s="471">
        <v>0.26127999999999996</v>
      </c>
      <c r="S72" s="471">
        <v>0.26127999999999996</v>
      </c>
      <c r="T72" s="471">
        <v>0.26127999999999996</v>
      </c>
      <c r="U72" s="471">
        <v>0.26127999999999996</v>
      </c>
      <c r="V72" s="471">
        <v>0.26127999999999996</v>
      </c>
      <c r="W72" s="471">
        <v>0.26127999999999996</v>
      </c>
      <c r="X72" s="471">
        <v>0.26127999999999996</v>
      </c>
      <c r="Y72" s="471">
        <v>0.26127999999999996</v>
      </c>
      <c r="Z72" s="471">
        <v>1.2313280000000012E-2</v>
      </c>
      <c r="AA72" s="471">
        <v>1.213296000000001E-2</v>
      </c>
      <c r="AB72" s="471">
        <v>1.1952640000000009E-2</v>
      </c>
      <c r="AC72" s="471">
        <v>1.177232000000001E-2</v>
      </c>
      <c r="AD72" s="471">
        <v>1.159200000000001E-2</v>
      </c>
      <c r="AE72" s="471">
        <v>1.4055751931090302E-2</v>
      </c>
      <c r="AF72" s="471">
        <v>1.582958086274629E-2</v>
      </c>
      <c r="AG72" s="471">
        <v>1.706175892928543E-2</v>
      </c>
      <c r="AH72" s="471">
        <v>1.7953370884933994E-2</v>
      </c>
      <c r="AI72" s="471">
        <v>1.8298849157825307E-2</v>
      </c>
      <c r="AJ72" s="471">
        <v>1.6926974586266165E-2</v>
      </c>
      <c r="AK72" s="471">
        <v>1.6207994734597272E-2</v>
      </c>
      <c r="AL72" s="471">
        <v>1.6225000109432189E-2</v>
      </c>
      <c r="AM72" s="471">
        <v>1.5946409771847359E-2</v>
      </c>
      <c r="AN72" s="471">
        <v>1.527798073343755E-2</v>
      </c>
      <c r="AO72" s="471">
        <v>1.4068369575856637E-2</v>
      </c>
      <c r="AP72" s="471">
        <v>1.3831604835322895E-2</v>
      </c>
      <c r="AQ72" s="471">
        <v>1.380033519688763E-2</v>
      </c>
      <c r="AR72" s="471">
        <v>1.3457347829133187E-2</v>
      </c>
      <c r="AS72" s="471">
        <v>1.2425109105106219E-2</v>
      </c>
      <c r="AT72" s="471">
        <v>1.1855738063053874E-2</v>
      </c>
      <c r="AU72" s="471">
        <v>1.1380490594983216E-2</v>
      </c>
      <c r="AV72" s="471">
        <v>1.1066963504428828E-2</v>
      </c>
      <c r="AW72" s="471">
        <v>1.0635131712705616E-2</v>
      </c>
      <c r="AX72" s="471">
        <v>1.0501087552758566E-2</v>
      </c>
    </row>
    <row r="74" spans="3:50" s="156" customFormat="1">
      <c r="C74" s="157"/>
      <c r="E74" s="156" t="s">
        <v>759</v>
      </c>
    </row>
    <row r="75" spans="3:50">
      <c r="E75" s="35"/>
    </row>
    <row r="76" spans="3:50">
      <c r="E76" s="35" t="s">
        <v>760</v>
      </c>
      <c r="G76" s="44"/>
      <c r="I76" s="45"/>
      <c r="K76" s="44" t="s">
        <v>433</v>
      </c>
      <c r="M76" s="44" t="s">
        <v>452</v>
      </c>
      <c r="O76" s="153">
        <v>0</v>
      </c>
      <c r="P76" s="153">
        <v>0</v>
      </c>
      <c r="Q76" s="153">
        <v>0</v>
      </c>
      <c r="R76" s="153">
        <v>0</v>
      </c>
      <c r="S76" s="153">
        <v>0</v>
      </c>
      <c r="T76" s="153">
        <v>0</v>
      </c>
      <c r="U76" s="153">
        <v>0</v>
      </c>
      <c r="V76" s="153">
        <v>0</v>
      </c>
      <c r="W76" s="153">
        <v>0</v>
      </c>
      <c r="X76" s="153">
        <v>0</v>
      </c>
      <c r="Y76" s="153">
        <v>0</v>
      </c>
      <c r="Z76" s="153">
        <v>0</v>
      </c>
      <c r="AA76" s="153">
        <v>0</v>
      </c>
      <c r="AB76" s="153">
        <v>0</v>
      </c>
      <c r="AC76" s="153">
        <v>0.01</v>
      </c>
      <c r="AD76" s="153">
        <v>0.05</v>
      </c>
      <c r="AE76" s="153">
        <v>0.1</v>
      </c>
      <c r="AF76" s="153">
        <v>0.5</v>
      </c>
      <c r="AG76" s="153">
        <v>0.55000000000000004</v>
      </c>
      <c r="AH76" s="153">
        <v>0.55000000000000004</v>
      </c>
      <c r="AI76" s="153">
        <v>0.55000000000000004</v>
      </c>
      <c r="AJ76" s="153">
        <v>0.55000000000000004</v>
      </c>
      <c r="AK76" s="153">
        <v>0.55000000000000004</v>
      </c>
      <c r="AL76" s="153">
        <v>0.55000000000000004</v>
      </c>
      <c r="AM76" s="153">
        <v>0.55000000000000004</v>
      </c>
      <c r="AN76" s="153">
        <v>0.55000000000000004</v>
      </c>
      <c r="AO76" s="153">
        <v>0.55000000000000004</v>
      </c>
      <c r="AP76" s="153">
        <v>0.55000000000000004</v>
      </c>
      <c r="AQ76" s="153">
        <v>0.55000000000000004</v>
      </c>
      <c r="AR76" s="153">
        <v>0.54800000000000004</v>
      </c>
      <c r="AS76" s="153">
        <v>0.52666666666666662</v>
      </c>
      <c r="AT76" s="153">
        <v>0.5053333333333333</v>
      </c>
      <c r="AU76" s="153">
        <v>0.48399999999999999</v>
      </c>
      <c r="AV76" s="153">
        <v>0.46266666666666667</v>
      </c>
      <c r="AW76" s="153">
        <v>0.44133333333333336</v>
      </c>
      <c r="AX76" s="153">
        <v>0.42</v>
      </c>
    </row>
    <row r="77" spans="3:50">
      <c r="E77" t="s">
        <v>761</v>
      </c>
      <c r="G77" s="44"/>
      <c r="I77" s="45"/>
      <c r="K77" s="44" t="s">
        <v>433</v>
      </c>
      <c r="M77" s="44" t="s">
        <v>452</v>
      </c>
      <c r="O77" s="153">
        <v>1</v>
      </c>
      <c r="P77" s="153">
        <v>1</v>
      </c>
      <c r="Q77" s="153">
        <v>1</v>
      </c>
      <c r="R77" s="153">
        <v>1</v>
      </c>
      <c r="S77" s="153">
        <v>1</v>
      </c>
      <c r="T77" s="153">
        <v>1</v>
      </c>
      <c r="U77" s="153">
        <v>1</v>
      </c>
      <c r="V77" s="153">
        <v>1</v>
      </c>
      <c r="W77" s="153">
        <v>1</v>
      </c>
      <c r="X77" s="153">
        <v>1</v>
      </c>
      <c r="Y77" s="153">
        <v>1</v>
      </c>
      <c r="Z77" s="153">
        <v>1</v>
      </c>
      <c r="AA77" s="153">
        <v>1</v>
      </c>
      <c r="AB77" s="153">
        <v>1</v>
      </c>
      <c r="AC77" s="153">
        <v>0.99</v>
      </c>
      <c r="AD77" s="153">
        <v>0.95</v>
      </c>
      <c r="AE77" s="153">
        <v>0.9</v>
      </c>
      <c r="AF77" s="153">
        <v>0.5</v>
      </c>
      <c r="AG77" s="153">
        <v>0.44999999999999996</v>
      </c>
      <c r="AH77" s="153">
        <v>0.44999999999999996</v>
      </c>
      <c r="AI77" s="153">
        <v>0.44999999999999996</v>
      </c>
      <c r="AJ77" s="153">
        <v>0.44999999999999996</v>
      </c>
      <c r="AK77" s="153">
        <v>0.44999999999999996</v>
      </c>
      <c r="AL77" s="153">
        <v>0.44999999999999996</v>
      </c>
      <c r="AM77" s="153">
        <v>0.44999999999999996</v>
      </c>
      <c r="AN77" s="153">
        <v>0.44999999999999996</v>
      </c>
      <c r="AO77" s="153">
        <v>0.44999999999999996</v>
      </c>
      <c r="AP77" s="153">
        <v>0.44999999999999996</v>
      </c>
      <c r="AQ77" s="153">
        <v>0.44999999999999996</v>
      </c>
      <c r="AR77" s="153">
        <v>0.45199999999999996</v>
      </c>
      <c r="AS77" s="153">
        <v>0.47333333333333338</v>
      </c>
      <c r="AT77" s="153">
        <v>0.4946666666666667</v>
      </c>
      <c r="AU77" s="153">
        <v>0.51600000000000001</v>
      </c>
      <c r="AV77" s="153">
        <v>0.53733333333333333</v>
      </c>
      <c r="AW77" s="153">
        <v>0.55866666666666664</v>
      </c>
      <c r="AX77" s="153">
        <v>0.58000000000000007</v>
      </c>
    </row>
    <row r="78" spans="3:50">
      <c r="E78" t="s">
        <v>762</v>
      </c>
    </row>
    <row r="80" spans="3:50">
      <c r="E80" s="35" t="s">
        <v>763</v>
      </c>
    </row>
    <row r="81" spans="5:50">
      <c r="E81" t="s">
        <v>724</v>
      </c>
      <c r="G81" s="44"/>
      <c r="I81" s="44"/>
      <c r="K81" s="44" t="s">
        <v>433</v>
      </c>
      <c r="M81" s="44" t="s">
        <v>755</v>
      </c>
      <c r="O81" s="311">
        <f t="shared" ref="O81:AX81" si="4">O76*O47</f>
        <v>0</v>
      </c>
      <c r="P81" s="311">
        <f t="shared" si="4"/>
        <v>0</v>
      </c>
      <c r="Q81" s="311">
        <f t="shared" si="4"/>
        <v>0</v>
      </c>
      <c r="R81" s="311">
        <f t="shared" si="4"/>
        <v>0</v>
      </c>
      <c r="S81" s="311">
        <f t="shared" si="4"/>
        <v>0</v>
      </c>
      <c r="T81" s="311">
        <f t="shared" si="4"/>
        <v>0</v>
      </c>
      <c r="U81" s="311">
        <f t="shared" si="4"/>
        <v>0</v>
      </c>
      <c r="V81" s="311">
        <f t="shared" si="4"/>
        <v>0</v>
      </c>
      <c r="W81" s="311">
        <f t="shared" si="4"/>
        <v>0</v>
      </c>
      <c r="X81" s="311">
        <f t="shared" si="4"/>
        <v>0</v>
      </c>
      <c r="Y81" s="311">
        <f t="shared" si="4"/>
        <v>0</v>
      </c>
      <c r="Z81" s="311">
        <f t="shared" si="4"/>
        <v>0</v>
      </c>
      <c r="AA81" s="311">
        <f t="shared" si="4"/>
        <v>0</v>
      </c>
      <c r="AB81" s="311">
        <f t="shared" si="4"/>
        <v>0</v>
      </c>
      <c r="AC81" s="311">
        <f t="shared" si="4"/>
        <v>1.2795999999999998E-2</v>
      </c>
      <c r="AD81" s="311">
        <f t="shared" si="4"/>
        <v>6.3E-2</v>
      </c>
      <c r="AE81" s="311">
        <f t="shared" si="4"/>
        <v>0.126</v>
      </c>
      <c r="AF81" s="311">
        <f t="shared" si="4"/>
        <v>0.63</v>
      </c>
      <c r="AG81" s="311">
        <f t="shared" si="4"/>
        <v>0.69300000000000006</v>
      </c>
      <c r="AH81" s="311">
        <f t="shared" si="4"/>
        <v>0.69300000000000006</v>
      </c>
      <c r="AI81" s="311">
        <f t="shared" si="4"/>
        <v>0.69300000000000006</v>
      </c>
      <c r="AJ81" s="311">
        <f t="shared" si="4"/>
        <v>0.69300000000000006</v>
      </c>
      <c r="AK81" s="311">
        <f t="shared" si="4"/>
        <v>0.69300000000000006</v>
      </c>
      <c r="AL81" s="311">
        <f t="shared" si="4"/>
        <v>0.69300000000000006</v>
      </c>
      <c r="AM81" s="311">
        <f t="shared" si="4"/>
        <v>0.69300000000000006</v>
      </c>
      <c r="AN81" s="311">
        <f t="shared" si="4"/>
        <v>0.69300000000000006</v>
      </c>
      <c r="AO81" s="311">
        <f t="shared" si="4"/>
        <v>0.69300000000000006</v>
      </c>
      <c r="AP81" s="311">
        <f t="shared" si="4"/>
        <v>0.69300000000000006</v>
      </c>
      <c r="AQ81" s="311">
        <f t="shared" si="4"/>
        <v>0.69300000000000006</v>
      </c>
      <c r="AR81" s="311">
        <f t="shared" si="4"/>
        <v>0.69048000000000009</v>
      </c>
      <c r="AS81" s="311">
        <f t="shared" si="4"/>
        <v>0.66359999999999997</v>
      </c>
      <c r="AT81" s="311">
        <f t="shared" si="4"/>
        <v>0.63671999999999995</v>
      </c>
      <c r="AU81" s="311">
        <f t="shared" si="4"/>
        <v>0.60983999999999994</v>
      </c>
      <c r="AV81" s="311">
        <f t="shared" si="4"/>
        <v>0.58296000000000003</v>
      </c>
      <c r="AW81" s="311">
        <f t="shared" si="4"/>
        <v>0.55608000000000002</v>
      </c>
      <c r="AX81" s="311">
        <f t="shared" si="4"/>
        <v>0.5292</v>
      </c>
    </row>
    <row r="82" spans="5:50">
      <c r="E82" t="s">
        <v>210</v>
      </c>
      <c r="G82" s="44"/>
      <c r="I82" s="44"/>
      <c r="K82" s="44" t="s">
        <v>433</v>
      </c>
      <c r="M82" s="44" t="s">
        <v>755</v>
      </c>
      <c r="O82" s="311">
        <f t="shared" ref="O82:AX82" si="5">O77*O45</f>
        <v>1.7567567567567568</v>
      </c>
      <c r="P82" s="311">
        <f t="shared" si="5"/>
        <v>1.7567567567567568</v>
      </c>
      <c r="Q82" s="311">
        <f t="shared" si="5"/>
        <v>1.7567567567567568</v>
      </c>
      <c r="R82" s="311">
        <f t="shared" si="5"/>
        <v>1.7567567567567568</v>
      </c>
      <c r="S82" s="311">
        <f t="shared" si="5"/>
        <v>1.7567567567567568</v>
      </c>
      <c r="T82" s="311">
        <f t="shared" si="5"/>
        <v>1.7567567567567568</v>
      </c>
      <c r="U82" s="311">
        <f t="shared" si="5"/>
        <v>1.7387387387387387</v>
      </c>
      <c r="V82" s="311">
        <f t="shared" si="5"/>
        <v>1.7207207207207207</v>
      </c>
      <c r="W82" s="311">
        <f t="shared" si="5"/>
        <v>1.7027027027027029</v>
      </c>
      <c r="X82" s="311">
        <f t="shared" si="5"/>
        <v>1.6846846846846848</v>
      </c>
      <c r="Y82" s="311">
        <f t="shared" si="5"/>
        <v>1.6666666666666667</v>
      </c>
      <c r="Z82" s="311">
        <f t="shared" si="5"/>
        <v>1.6486486486486487</v>
      </c>
      <c r="AA82" s="311">
        <f t="shared" si="5"/>
        <v>1.6306306306306306</v>
      </c>
      <c r="AB82" s="311">
        <f t="shared" si="5"/>
        <v>1.6126126126126126</v>
      </c>
      <c r="AC82" s="311">
        <f t="shared" si="5"/>
        <v>1.5786486486486486</v>
      </c>
      <c r="AD82" s="311">
        <f t="shared" si="5"/>
        <v>1.4977477477477479</v>
      </c>
      <c r="AE82" s="311">
        <f t="shared" si="5"/>
        <v>1.4081081081081084</v>
      </c>
      <c r="AF82" s="311">
        <f t="shared" si="5"/>
        <v>0.77627627627627638</v>
      </c>
      <c r="AG82" s="311">
        <f t="shared" si="5"/>
        <v>0.69324324324324327</v>
      </c>
      <c r="AH82" s="311">
        <f t="shared" si="5"/>
        <v>0.68783783783783792</v>
      </c>
      <c r="AI82" s="311">
        <f t="shared" si="5"/>
        <v>0.68243243243243246</v>
      </c>
      <c r="AJ82" s="311">
        <f t="shared" si="5"/>
        <v>0.67374594594594583</v>
      </c>
      <c r="AK82" s="311">
        <f t="shared" si="5"/>
        <v>0.66505945945945932</v>
      </c>
      <c r="AL82" s="311">
        <f t="shared" si="5"/>
        <v>0.65637297297297281</v>
      </c>
      <c r="AM82" s="311">
        <f t="shared" si="5"/>
        <v>0.6476864864864863</v>
      </c>
      <c r="AN82" s="311">
        <f t="shared" si="5"/>
        <v>0.6389999999999999</v>
      </c>
      <c r="AO82" s="311">
        <f t="shared" si="5"/>
        <v>0.6389999999999999</v>
      </c>
      <c r="AP82" s="311">
        <f t="shared" si="5"/>
        <v>0.6389999999999999</v>
      </c>
      <c r="AQ82" s="311">
        <f t="shared" si="5"/>
        <v>0.6389999999999999</v>
      </c>
      <c r="AR82" s="311">
        <f t="shared" si="5"/>
        <v>0.64183999999999986</v>
      </c>
      <c r="AS82" s="311">
        <f t="shared" si="5"/>
        <v>0.67213333333333336</v>
      </c>
      <c r="AT82" s="311">
        <f t="shared" si="5"/>
        <v>0.70242666666666664</v>
      </c>
      <c r="AU82" s="311">
        <f t="shared" si="5"/>
        <v>0.73272000000000004</v>
      </c>
      <c r="AV82" s="311">
        <f t="shared" si="5"/>
        <v>0.76301333333333332</v>
      </c>
      <c r="AW82" s="311">
        <f t="shared" si="5"/>
        <v>0.7933066666666666</v>
      </c>
      <c r="AX82" s="311">
        <f t="shared" si="5"/>
        <v>0.82360000000000011</v>
      </c>
    </row>
    <row r="84" spans="5:50">
      <c r="E84" s="35" t="s">
        <v>764</v>
      </c>
    </row>
    <row r="85" spans="5:50">
      <c r="E85" t="s">
        <v>765</v>
      </c>
      <c r="G85" s="44"/>
      <c r="I85" s="44" t="s">
        <v>754</v>
      </c>
      <c r="K85" s="44" t="s">
        <v>433</v>
      </c>
      <c r="M85" s="44" t="s">
        <v>726</v>
      </c>
      <c r="O85" s="311">
        <f t="shared" ref="O85:AX85" si="6">SUM(O81*O8*(1-O55),O82*O23)</f>
        <v>0.64507363926611472</v>
      </c>
      <c r="P85" s="311">
        <f t="shared" si="6"/>
        <v>0.51466184216290467</v>
      </c>
      <c r="Q85" s="311">
        <f t="shared" si="6"/>
        <v>0.45983746959393423</v>
      </c>
      <c r="R85" s="311">
        <f t="shared" si="6"/>
        <v>0.42726897638432626</v>
      </c>
      <c r="S85" s="311">
        <f t="shared" si="6"/>
        <v>0.38095321748786182</v>
      </c>
      <c r="T85" s="311">
        <f t="shared" si="6"/>
        <v>0.28525608700036609</v>
      </c>
      <c r="U85" s="311">
        <f t="shared" si="6"/>
        <v>0.2633867498009187</v>
      </c>
      <c r="V85" s="311">
        <f t="shared" si="6"/>
        <v>0.24353654713855805</v>
      </c>
      <c r="W85" s="311">
        <f t="shared" si="6"/>
        <v>0.23116327048724319</v>
      </c>
      <c r="X85" s="311">
        <f t="shared" si="6"/>
        <v>0.24955184212563544</v>
      </c>
      <c r="Y85" s="311">
        <f t="shared" si="6"/>
        <v>0.20880883519876062</v>
      </c>
      <c r="Z85" s="311">
        <f t="shared" si="6"/>
        <v>0.1522626236236202</v>
      </c>
      <c r="AA85" s="311">
        <f t="shared" si="6"/>
        <v>0.12463389170419101</v>
      </c>
      <c r="AB85" s="311">
        <f t="shared" si="6"/>
        <v>0.11397440536051481</v>
      </c>
      <c r="AC85" s="311">
        <f t="shared" si="6"/>
        <v>0.10458465194835224</v>
      </c>
      <c r="AD85" s="311">
        <f t="shared" si="6"/>
        <v>7.9242317618977945E-2</v>
      </c>
      <c r="AE85" s="311">
        <f t="shared" si="6"/>
        <v>5.9726268081706578E-2</v>
      </c>
      <c r="AF85" s="311">
        <f t="shared" si="6"/>
        <v>3.3702701796610356E-2</v>
      </c>
      <c r="AG85" s="311">
        <f t="shared" si="6"/>
        <v>2.801835978899999E-2</v>
      </c>
      <c r="AH85" s="311">
        <f t="shared" si="6"/>
        <v>2.5870016584652711E-2</v>
      </c>
      <c r="AI85" s="311">
        <f t="shared" si="6"/>
        <v>2.3629802312764851E-2</v>
      </c>
      <c r="AJ85" s="311">
        <f t="shared" si="6"/>
        <v>2.0467016722771854E-2</v>
      </c>
      <c r="AK85" s="311">
        <f t="shared" si="6"/>
        <v>1.8747789875348701E-2</v>
      </c>
      <c r="AL85" s="311">
        <f t="shared" si="6"/>
        <v>1.8303048701672014E-2</v>
      </c>
      <c r="AM85" s="311">
        <f t="shared" si="6"/>
        <v>1.7519483215542361E-2</v>
      </c>
      <c r="AN85" s="311">
        <f t="shared" si="6"/>
        <v>1.6338306779817451E-2</v>
      </c>
      <c r="AO85" s="311">
        <f t="shared" si="6"/>
        <v>1.4646025486377594E-2</v>
      </c>
      <c r="AP85" s="311">
        <f t="shared" si="6"/>
        <v>1.4224359393190725E-2</v>
      </c>
      <c r="AQ85" s="311">
        <f t="shared" si="6"/>
        <v>1.4064114377776131E-2</v>
      </c>
      <c r="AR85" s="311">
        <f t="shared" si="6"/>
        <v>1.3610959491801248E-2</v>
      </c>
      <c r="AS85" s="311">
        <f t="shared" si="6"/>
        <v>1.2560241968951738E-2</v>
      </c>
      <c r="AT85" s="311">
        <f t="shared" si="6"/>
        <v>1.1982677250776612E-2</v>
      </c>
      <c r="AU85" s="311">
        <f t="shared" si="6"/>
        <v>1.15014524416183E-2</v>
      </c>
      <c r="AV85" s="311">
        <f t="shared" si="6"/>
        <v>1.1185488008630926E-2</v>
      </c>
      <c r="AW85" s="311">
        <f t="shared" si="6"/>
        <v>1.0748884434479255E-2</v>
      </c>
      <c r="AX85" s="311">
        <f t="shared" si="6"/>
        <v>1.0616288745910276E-2</v>
      </c>
    </row>
    <row r="86" spans="5:50">
      <c r="E86" t="s">
        <v>766</v>
      </c>
      <c r="G86" s="44"/>
      <c r="I86" s="44" t="s">
        <v>767</v>
      </c>
      <c r="K86" s="44" t="s">
        <v>433</v>
      </c>
      <c r="M86" s="44" t="s">
        <v>726</v>
      </c>
      <c r="O86" s="311">
        <v>1.7038402198405401E-2</v>
      </c>
      <c r="P86" s="311">
        <v>1.7038402198405352E-2</v>
      </c>
      <c r="Q86" s="311">
        <v>1.7038402198405352E-2</v>
      </c>
      <c r="R86" s="311">
        <v>1.7038402198405352E-2</v>
      </c>
      <c r="S86" s="311">
        <v>1.655644907387473E-2</v>
      </c>
      <c r="T86" s="311">
        <v>1.6052310685315308E-2</v>
      </c>
      <c r="U86" s="311">
        <v>1.5524727798815035E-2</v>
      </c>
      <c r="V86" s="311">
        <v>1.5063461422841705E-2</v>
      </c>
      <c r="W86" s="311">
        <v>1.4576013602177888E-2</v>
      </c>
      <c r="X86" s="311">
        <v>1.4060898279998743E-2</v>
      </c>
      <c r="Y86" s="311">
        <v>1.3516545051006209E-2</v>
      </c>
      <c r="Z86" s="311">
        <v>1.2401554080694889E-2</v>
      </c>
      <c r="AA86" s="311">
        <v>1.1793652218479032E-2</v>
      </c>
      <c r="AB86" s="311">
        <v>1.1119198293770045E-2</v>
      </c>
      <c r="AC86" s="311">
        <v>1.054241863516491E-2</v>
      </c>
      <c r="AD86" s="311">
        <v>1.0280275242312153E-2</v>
      </c>
      <c r="AE86" s="311">
        <v>9.400054420609788E-3</v>
      </c>
      <c r="AF86" s="311">
        <v>1.3055783994592609E-2</v>
      </c>
      <c r="AG86" s="311">
        <v>1.2268512013481054E-2</v>
      </c>
      <c r="AH86" s="311">
        <v>1.0863000589599024E-2</v>
      </c>
      <c r="AI86" s="311">
        <v>9.4457816909159741E-3</v>
      </c>
      <c r="AJ86" s="311">
        <v>7.3688403388379887E-3</v>
      </c>
      <c r="AK86" s="311">
        <v>5.7050139345101317E-3</v>
      </c>
      <c r="AL86" s="311">
        <v>4.2898844412856503E-3</v>
      </c>
      <c r="AM86" s="311">
        <v>3.0490202102612905E-3</v>
      </c>
      <c r="AN86" s="311">
        <v>2.1120159132877983E-3</v>
      </c>
      <c r="AO86" s="311">
        <v>1.933365274323416E-3</v>
      </c>
      <c r="AP86" s="311">
        <v>1.933365274323416E-3</v>
      </c>
      <c r="AQ86" s="311">
        <v>1.933365274323416E-3</v>
      </c>
      <c r="AR86" s="311">
        <v>1.933365274323416E-3</v>
      </c>
      <c r="AS86" s="311">
        <v>1.933365274323416E-3</v>
      </c>
      <c r="AT86" s="311">
        <v>1.933365274323416E-3</v>
      </c>
      <c r="AU86" s="311">
        <v>1.933365274323416E-3</v>
      </c>
      <c r="AV86" s="311">
        <v>1.933365274323416E-3</v>
      </c>
      <c r="AW86" s="311">
        <v>1.933365274323416E-3</v>
      </c>
      <c r="AX86" s="311">
        <v>1.933365274323416E-3</v>
      </c>
    </row>
    <row r="87" spans="5:50">
      <c r="E87" t="s">
        <v>768</v>
      </c>
      <c r="G87" s="44"/>
      <c r="I87" s="44" t="s">
        <v>754</v>
      </c>
      <c r="K87" s="44" t="s">
        <v>433</v>
      </c>
      <c r="M87" s="44" t="s">
        <v>726</v>
      </c>
      <c r="O87" s="311">
        <f>SUM(O85:O86)</f>
        <v>0.66211204146452007</v>
      </c>
      <c r="P87" s="311">
        <f t="shared" ref="P87:AX87" si="7">SUM(P85:P86)</f>
        <v>0.53170024436131003</v>
      </c>
      <c r="Q87" s="311">
        <f t="shared" si="7"/>
        <v>0.47687587179233959</v>
      </c>
      <c r="R87" s="311">
        <f t="shared" si="7"/>
        <v>0.44430737858273162</v>
      </c>
      <c r="S87" s="311">
        <f t="shared" si="7"/>
        <v>0.39750966656173653</v>
      </c>
      <c r="T87" s="311">
        <f t="shared" si="7"/>
        <v>0.30130839768568141</v>
      </c>
      <c r="U87" s="311">
        <f t="shared" si="7"/>
        <v>0.27891147759973373</v>
      </c>
      <c r="V87" s="311">
        <f t="shared" si="7"/>
        <v>0.25860000856139975</v>
      </c>
      <c r="W87" s="311">
        <f t="shared" si="7"/>
        <v>0.24573928408942108</v>
      </c>
      <c r="X87" s="311">
        <f t="shared" si="7"/>
        <v>0.2636127404056342</v>
      </c>
      <c r="Y87" s="311">
        <f t="shared" si="7"/>
        <v>0.22232538024976684</v>
      </c>
      <c r="Z87" s="311">
        <f t="shared" si="7"/>
        <v>0.16466417770431507</v>
      </c>
      <c r="AA87" s="311">
        <f t="shared" si="7"/>
        <v>0.13642754392267004</v>
      </c>
      <c r="AB87" s="311">
        <f t="shared" si="7"/>
        <v>0.12509360365428485</v>
      </c>
      <c r="AC87" s="311">
        <f t="shared" si="7"/>
        <v>0.11512707058351715</v>
      </c>
      <c r="AD87" s="311">
        <f t="shared" si="7"/>
        <v>8.9522592861290093E-2</v>
      </c>
      <c r="AE87" s="311">
        <f t="shared" si="7"/>
        <v>6.9126322502316373E-2</v>
      </c>
      <c r="AF87" s="311">
        <f t="shared" si="7"/>
        <v>4.6758485791202967E-2</v>
      </c>
      <c r="AG87" s="311">
        <f t="shared" si="7"/>
        <v>4.0286871802481042E-2</v>
      </c>
      <c r="AH87" s="311">
        <f t="shared" si="7"/>
        <v>3.6733017174251731E-2</v>
      </c>
      <c r="AI87" s="311">
        <f t="shared" si="7"/>
        <v>3.3075584003680825E-2</v>
      </c>
      <c r="AJ87" s="311">
        <f t="shared" si="7"/>
        <v>2.7835857061609841E-2</v>
      </c>
      <c r="AK87" s="311">
        <f t="shared" si="7"/>
        <v>2.4452803809858831E-2</v>
      </c>
      <c r="AL87" s="311">
        <f t="shared" si="7"/>
        <v>2.2592933142957666E-2</v>
      </c>
      <c r="AM87" s="311">
        <f t="shared" si="7"/>
        <v>2.0568503425803651E-2</v>
      </c>
      <c r="AN87" s="311">
        <f t="shared" si="7"/>
        <v>1.8450322693105248E-2</v>
      </c>
      <c r="AO87" s="311">
        <f t="shared" si="7"/>
        <v>1.6579390760701012E-2</v>
      </c>
      <c r="AP87" s="311">
        <f t="shared" si="7"/>
        <v>1.6157724667514143E-2</v>
      </c>
      <c r="AQ87" s="311">
        <f t="shared" si="7"/>
        <v>1.5997479652099546E-2</v>
      </c>
      <c r="AR87" s="311">
        <f t="shared" si="7"/>
        <v>1.5544324766124664E-2</v>
      </c>
      <c r="AS87" s="311">
        <f t="shared" si="7"/>
        <v>1.4493607243275154E-2</v>
      </c>
      <c r="AT87" s="311">
        <f t="shared" si="7"/>
        <v>1.3916042525100028E-2</v>
      </c>
      <c r="AU87" s="311">
        <f t="shared" si="7"/>
        <v>1.3434817715941716E-2</v>
      </c>
      <c r="AV87" s="311">
        <f t="shared" si="7"/>
        <v>1.3118853282954342E-2</v>
      </c>
      <c r="AW87" s="311">
        <f t="shared" si="7"/>
        <v>1.2682249708802671E-2</v>
      </c>
      <c r="AX87" s="311">
        <f t="shared" si="7"/>
        <v>1.2549654020233692E-2</v>
      </c>
    </row>
  </sheetData>
  <conditionalFormatting sqref="O35:AX37 O13:AX32">
    <cfRule type="cellIs" dxfId="262" priority="16" operator="lessThan">
      <formula>0</formula>
    </cfRule>
  </conditionalFormatting>
  <conditionalFormatting sqref="O33:AX34">
    <cfRule type="cellIs" dxfId="261" priority="14" operator="lessThan">
      <formula>0</formula>
    </cfRule>
  </conditionalFormatting>
  <conditionalFormatting sqref="O38:AX38">
    <cfRule type="cellIs" dxfId="260" priority="13" operator="lessThan">
      <formula>0</formula>
    </cfRule>
  </conditionalFormatting>
  <conditionalFormatting sqref="O40:AX40">
    <cfRule type="cellIs" dxfId="259" priority="12" operator="lessThan">
      <formula>0</formula>
    </cfRule>
  </conditionalFormatting>
  <conditionalFormatting sqref="O8:AX12">
    <cfRule type="cellIs" dxfId="258" priority="11" operator="lessThan">
      <formula>0</formula>
    </cfRule>
  </conditionalFormatting>
  <conditionalFormatting sqref="O64:AX64">
    <cfRule type="cellIs" dxfId="257" priority="10" operator="lessThan">
      <formula>0</formula>
    </cfRule>
  </conditionalFormatting>
  <conditionalFormatting sqref="O69:O70">
    <cfRule type="cellIs" dxfId="256" priority="9" operator="lessThan">
      <formula>0</formula>
    </cfRule>
  </conditionalFormatting>
  <conditionalFormatting sqref="O71:O72">
    <cfRule type="cellIs" dxfId="255" priority="8" operator="lessThan">
      <formula>0</formula>
    </cfRule>
  </conditionalFormatting>
  <conditionalFormatting sqref="P69:AX70">
    <cfRule type="cellIs" dxfId="254" priority="7" operator="lessThan">
      <formula>0</formula>
    </cfRule>
  </conditionalFormatting>
  <conditionalFormatting sqref="P71:AX72">
    <cfRule type="cellIs" dxfId="253" priority="6" operator="lessThan">
      <formula>0</formula>
    </cfRule>
  </conditionalFormatting>
  <conditionalFormatting sqref="O66:AX66">
    <cfRule type="cellIs" dxfId="252" priority="5" operator="lessThan">
      <formula>0</formula>
    </cfRule>
  </conditionalFormatting>
  <conditionalFormatting sqref="O74:AX74">
    <cfRule type="cellIs" dxfId="251" priority="4" operator="lessThan">
      <formula>0</formula>
    </cfRule>
  </conditionalFormatting>
  <conditionalFormatting sqref="O76:AX77">
    <cfRule type="cellIs" dxfId="250" priority="1" operator="lessThan">
      <formula>0</formula>
    </cfRule>
  </conditionalFormatting>
  <conditionalFormatting sqref="O60:AX60">
    <cfRule type="cellIs" dxfId="249" priority="2" operator="lessThan">
      <formula>0</formula>
    </cfRule>
  </conditionalFormatting>
  <hyperlinks>
    <hyperlink ref="I33:I36" r:id="rId1" display="https://www.gov.uk/government/uploads/system/uploads/attachment_data/file/224437/pb13988-emission-factor-methodology-130719.pdf" xr:uid="{00000000-0004-0000-1000-000000000000}"/>
    <hyperlink ref="I22" r:id="rId2" xr:uid="{00000000-0004-0000-1000-000001000000}"/>
    <hyperlink ref="I8" r:id="rId3" xr:uid="{00000000-0004-0000-1000-000002000000}"/>
    <hyperlink ref="I12" r:id="rId4" display="http://fes.nationalgrid.com/fes-document/" xr:uid="{00000000-0004-0000-1000-000003000000}"/>
  </hyperlinks>
  <pageMargins left="0.7" right="0.7" top="0.75" bottom="0.75" header="0.3" footer="0.3"/>
  <pageSetup paperSize="9" orientation="portrait" r:id="rId5"/>
  <legacy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tint="0.499984740745262"/>
  </sheetPr>
  <dimension ref="B1:AY83"/>
  <sheetViews>
    <sheetView topLeftCell="A13" zoomScale="85" zoomScaleNormal="85" workbookViewId="0">
      <selection activeCell="O35" sqref="O35"/>
    </sheetView>
  </sheetViews>
  <sheetFormatPr defaultRowHeight="15"/>
  <cols>
    <col min="1" max="1" width="3.5703125" customWidth="1"/>
    <col min="2" max="2" width="3.140625" customWidth="1"/>
    <col min="3" max="3" width="3.42578125" customWidth="1"/>
    <col min="4" max="4" width="3.5703125" customWidth="1"/>
    <col min="5" max="5" width="21.140625" customWidth="1"/>
    <col min="6" max="6" width="19.85546875" customWidth="1"/>
    <col min="7" max="7" width="2.5703125" customWidth="1"/>
    <col min="8" max="8" width="12.85546875" customWidth="1"/>
    <col min="9" max="9" width="1.85546875" customWidth="1"/>
    <col min="10" max="10" width="13.85546875" customWidth="1"/>
    <col min="11" max="11" width="2.140625" customWidth="1"/>
    <col min="12" max="12" width="13.85546875" customWidth="1"/>
    <col min="13" max="13" width="2.140625" customWidth="1"/>
    <col min="14" max="14" width="15" customWidth="1"/>
    <col min="15" max="15" width="1.85546875" customWidth="1"/>
    <col min="27" max="27" width="10.140625" bestFit="1" customWidth="1"/>
  </cols>
  <sheetData>
    <row r="1" spans="2:51" s="38" customFormat="1"/>
    <row r="2" spans="2:51" s="38" customFormat="1">
      <c r="E2" s="60" t="s">
        <v>769</v>
      </c>
      <c r="F2" s="60" t="s">
        <v>770</v>
      </c>
      <c r="G2" s="60"/>
      <c r="H2" s="60" t="s">
        <v>179</v>
      </c>
      <c r="I2" s="60"/>
      <c r="J2" s="60" t="s">
        <v>180</v>
      </c>
      <c r="K2" s="60"/>
      <c r="L2" s="60" t="s">
        <v>718</v>
      </c>
      <c r="M2" s="60"/>
      <c r="N2" s="60" t="s">
        <v>719</v>
      </c>
      <c r="P2" s="82">
        <v>2015</v>
      </c>
      <c r="Q2" s="82">
        <v>2016</v>
      </c>
      <c r="R2" s="82">
        <v>2017</v>
      </c>
      <c r="S2" s="82">
        <v>2018</v>
      </c>
      <c r="T2" s="82">
        <v>2019</v>
      </c>
      <c r="U2" s="82">
        <v>2020</v>
      </c>
      <c r="V2" s="82">
        <v>2021</v>
      </c>
      <c r="W2" s="82">
        <v>2022</v>
      </c>
      <c r="X2" s="82">
        <v>2023</v>
      </c>
      <c r="Y2" s="82">
        <v>2024</v>
      </c>
      <c r="Z2" s="82">
        <v>2025</v>
      </c>
      <c r="AA2" s="82">
        <v>2026</v>
      </c>
      <c r="AB2" s="82">
        <v>2027</v>
      </c>
      <c r="AC2" s="82">
        <v>2028</v>
      </c>
      <c r="AD2" s="82">
        <v>2029</v>
      </c>
      <c r="AE2" s="82">
        <v>2030</v>
      </c>
      <c r="AF2" s="82">
        <v>2031</v>
      </c>
      <c r="AG2" s="82">
        <v>2032</v>
      </c>
      <c r="AH2" s="82">
        <v>2033</v>
      </c>
      <c r="AI2" s="82">
        <v>2034</v>
      </c>
      <c r="AJ2" s="82">
        <v>2035</v>
      </c>
      <c r="AK2" s="82">
        <v>2036</v>
      </c>
      <c r="AL2" s="82">
        <v>2037</v>
      </c>
      <c r="AM2" s="82">
        <v>2038</v>
      </c>
      <c r="AN2" s="82">
        <v>2039</v>
      </c>
      <c r="AO2" s="82">
        <v>2040</v>
      </c>
      <c r="AP2" s="82">
        <v>2041</v>
      </c>
      <c r="AQ2" s="82">
        <v>2042</v>
      </c>
      <c r="AR2" s="82">
        <v>2043</v>
      </c>
      <c r="AS2" s="82">
        <v>2044</v>
      </c>
      <c r="AT2" s="82">
        <v>2045</v>
      </c>
      <c r="AU2" s="82">
        <v>2046</v>
      </c>
      <c r="AV2" s="82">
        <v>2047</v>
      </c>
      <c r="AW2" s="82">
        <v>2048</v>
      </c>
      <c r="AX2" s="82">
        <v>2049</v>
      </c>
      <c r="AY2" s="82">
        <v>2050</v>
      </c>
    </row>
    <row r="3" spans="2:51" s="38" customFormat="1">
      <c r="F3" s="60"/>
      <c r="G3" s="60"/>
      <c r="H3" s="60"/>
      <c r="I3" s="60"/>
      <c r="J3" s="60"/>
      <c r="K3" s="60"/>
      <c r="L3" s="60"/>
      <c r="M3" s="60"/>
      <c r="N3" s="60"/>
      <c r="P3" s="82"/>
      <c r="Q3" s="82"/>
      <c r="R3" s="82"/>
      <c r="S3" s="82"/>
      <c r="T3" s="82"/>
      <c r="U3" s="82"/>
      <c r="V3" s="82"/>
      <c r="W3" s="82"/>
      <c r="X3" s="82"/>
      <c r="Y3" s="82"/>
      <c r="Z3" s="82"/>
      <c r="AA3" s="82"/>
      <c r="AB3" s="82"/>
      <c r="AC3" s="82"/>
      <c r="AD3" s="82"/>
      <c r="AE3" s="82"/>
      <c r="AF3" s="82"/>
      <c r="AG3" s="82"/>
      <c r="AH3" s="82"/>
      <c r="AI3" s="82"/>
      <c r="AJ3" s="82"/>
      <c r="AK3" s="82"/>
      <c r="AL3" s="82"/>
      <c r="AM3" s="82"/>
      <c r="AN3" s="82"/>
      <c r="AO3" s="82"/>
      <c r="AP3" s="82"/>
      <c r="AQ3" s="82"/>
      <c r="AR3" s="82"/>
      <c r="AS3" s="82"/>
      <c r="AT3" s="82"/>
      <c r="AU3" s="82"/>
      <c r="AV3" s="82"/>
      <c r="AW3" s="82"/>
      <c r="AX3" s="82"/>
      <c r="AY3" s="82"/>
    </row>
    <row r="4" spans="2:51" s="67" customFormat="1">
      <c r="B4" s="67" t="s">
        <v>771</v>
      </c>
      <c r="P4" s="68"/>
      <c r="Q4" s="68"/>
      <c r="R4" s="68"/>
      <c r="S4" s="68"/>
      <c r="T4" s="68"/>
      <c r="U4" s="68"/>
      <c r="V4" s="68"/>
      <c r="W4" s="68"/>
      <c r="X4" s="68"/>
      <c r="Y4" s="68"/>
      <c r="Z4" s="68"/>
      <c r="AA4" s="68"/>
      <c r="AB4" s="68"/>
      <c r="AC4" s="68"/>
      <c r="AD4" s="68"/>
      <c r="AE4" s="68"/>
      <c r="AF4" s="68"/>
      <c r="AG4" s="68"/>
      <c r="AH4" s="68"/>
      <c r="AI4" s="68"/>
      <c r="AJ4" s="68"/>
      <c r="AK4" s="68"/>
      <c r="AL4" s="68"/>
      <c r="AM4" s="68"/>
      <c r="AN4" s="68"/>
      <c r="AO4" s="68"/>
      <c r="AP4" s="68"/>
      <c r="AQ4" s="68"/>
      <c r="AR4" s="68"/>
      <c r="AS4" s="68"/>
      <c r="AT4" s="68"/>
      <c r="AU4" s="68"/>
      <c r="AV4" s="68"/>
      <c r="AW4" s="68"/>
      <c r="AX4" s="68"/>
      <c r="AY4" s="68"/>
    </row>
    <row r="6" spans="2:51">
      <c r="C6" s="35" t="s">
        <v>772</v>
      </c>
    </row>
    <row r="8" spans="2:51">
      <c r="E8" s="78" t="s">
        <v>773</v>
      </c>
      <c r="F8" s="78" t="s">
        <v>749</v>
      </c>
      <c r="G8" s="81"/>
    </row>
    <row r="9" spans="2:51">
      <c r="E9" s="78" t="s">
        <v>774</v>
      </c>
      <c r="F9" s="78" t="s">
        <v>775</v>
      </c>
      <c r="H9" s="44"/>
      <c r="J9" s="44"/>
      <c r="L9" s="44"/>
      <c r="N9" s="44"/>
      <c r="P9" s="153">
        <v>0.82</v>
      </c>
      <c r="Q9" s="153">
        <v>0.83</v>
      </c>
      <c r="R9" s="153">
        <v>0.84</v>
      </c>
      <c r="S9" s="153">
        <v>0.85</v>
      </c>
      <c r="T9" s="153">
        <v>0.86</v>
      </c>
      <c r="U9" s="153">
        <v>0.87</v>
      </c>
      <c r="V9" s="153">
        <v>0.87</v>
      </c>
      <c r="W9" s="153">
        <v>0.87</v>
      </c>
      <c r="X9" s="153">
        <v>0.87</v>
      </c>
      <c r="Y9" s="153">
        <v>0.87</v>
      </c>
      <c r="Z9" s="153">
        <v>0.87</v>
      </c>
      <c r="AA9" s="153">
        <v>0.87</v>
      </c>
      <c r="AB9" s="153">
        <v>0.87</v>
      </c>
      <c r="AC9" s="153">
        <v>0.87</v>
      </c>
      <c r="AD9" s="153">
        <v>0.87</v>
      </c>
      <c r="AE9" s="153">
        <v>0.87</v>
      </c>
      <c r="AF9" s="153">
        <v>0.87</v>
      </c>
      <c r="AG9" s="153">
        <v>0.87</v>
      </c>
      <c r="AH9" s="153">
        <v>0.87</v>
      </c>
      <c r="AI9" s="153">
        <v>0.87</v>
      </c>
      <c r="AJ9" s="153">
        <v>0.87</v>
      </c>
      <c r="AK9" s="153">
        <v>0.87</v>
      </c>
      <c r="AL9" s="153">
        <v>0.87</v>
      </c>
      <c r="AM9" s="153">
        <v>0.87</v>
      </c>
      <c r="AN9" s="153">
        <v>0.87</v>
      </c>
      <c r="AO9" s="153">
        <v>0.87</v>
      </c>
      <c r="AP9" s="153">
        <v>0.87</v>
      </c>
      <c r="AQ9" s="153">
        <v>0.87</v>
      </c>
      <c r="AR9" s="153">
        <v>0.87</v>
      </c>
      <c r="AS9" s="153">
        <v>0.87</v>
      </c>
      <c r="AT9" s="153">
        <v>0.87</v>
      </c>
      <c r="AU9" s="153">
        <v>0.87</v>
      </c>
      <c r="AV9" s="153">
        <v>0.87</v>
      </c>
      <c r="AW9" s="153">
        <v>0.87</v>
      </c>
      <c r="AX9" s="153">
        <v>0.87</v>
      </c>
      <c r="AY9" s="153">
        <v>0.87</v>
      </c>
    </row>
    <row r="10" spans="2:51">
      <c r="E10" s="78" t="s">
        <v>776</v>
      </c>
      <c r="F10" s="78" t="s">
        <v>210</v>
      </c>
      <c r="H10" s="44"/>
      <c r="J10" s="44"/>
      <c r="L10" s="44"/>
      <c r="N10" s="44"/>
      <c r="P10" s="153">
        <v>1</v>
      </c>
      <c r="Q10" s="153">
        <v>1</v>
      </c>
      <c r="R10" s="153">
        <v>1</v>
      </c>
      <c r="S10" s="153">
        <v>1</v>
      </c>
      <c r="T10" s="153">
        <v>1</v>
      </c>
      <c r="U10" s="153">
        <v>1</v>
      </c>
      <c r="V10" s="153">
        <v>1</v>
      </c>
      <c r="W10" s="153">
        <v>1</v>
      </c>
      <c r="X10" s="153">
        <v>1</v>
      </c>
      <c r="Y10" s="153">
        <v>1</v>
      </c>
      <c r="Z10" s="153">
        <v>1</v>
      </c>
      <c r="AA10" s="153">
        <v>1</v>
      </c>
      <c r="AB10" s="153">
        <v>1</v>
      </c>
      <c r="AC10" s="153">
        <v>1</v>
      </c>
      <c r="AD10" s="153">
        <v>1</v>
      </c>
      <c r="AE10" s="153">
        <v>1</v>
      </c>
      <c r="AF10" s="153">
        <v>1</v>
      </c>
      <c r="AG10" s="153">
        <v>1</v>
      </c>
      <c r="AH10" s="153">
        <v>1</v>
      </c>
      <c r="AI10" s="153">
        <v>1</v>
      </c>
      <c r="AJ10" s="153">
        <v>1</v>
      </c>
      <c r="AK10" s="153">
        <v>1</v>
      </c>
      <c r="AL10" s="153">
        <v>1</v>
      </c>
      <c r="AM10" s="153">
        <v>1</v>
      </c>
      <c r="AN10" s="153">
        <v>1</v>
      </c>
      <c r="AO10" s="153">
        <v>1</v>
      </c>
      <c r="AP10" s="153">
        <v>1</v>
      </c>
      <c r="AQ10" s="153">
        <v>1</v>
      </c>
      <c r="AR10" s="153">
        <v>1</v>
      </c>
      <c r="AS10" s="153">
        <v>1</v>
      </c>
      <c r="AT10" s="153">
        <v>1</v>
      </c>
      <c r="AU10" s="153">
        <v>1</v>
      </c>
      <c r="AV10" s="153">
        <v>1</v>
      </c>
      <c r="AW10" s="153">
        <v>1</v>
      </c>
      <c r="AX10" s="153">
        <v>1</v>
      </c>
      <c r="AY10" s="153">
        <v>1</v>
      </c>
    </row>
    <row r="11" spans="2:51">
      <c r="E11" s="78" t="s">
        <v>346</v>
      </c>
      <c r="F11" s="78" t="s">
        <v>210</v>
      </c>
      <c r="H11" s="44"/>
      <c r="J11" s="334" t="s">
        <v>777</v>
      </c>
      <c r="L11" s="44"/>
      <c r="N11" s="44"/>
      <c r="P11" s="478">
        <v>2.54</v>
      </c>
      <c r="Q11" s="478">
        <v>2.54</v>
      </c>
      <c r="R11" s="478">
        <v>2.54</v>
      </c>
      <c r="S11" s="478">
        <v>2.54</v>
      </c>
      <c r="T11" s="478">
        <v>2.54</v>
      </c>
      <c r="U11" s="478">
        <v>2.54</v>
      </c>
      <c r="V11" s="478">
        <v>2.59</v>
      </c>
      <c r="W11" s="478">
        <v>2.64</v>
      </c>
      <c r="X11" s="478">
        <v>2.69</v>
      </c>
      <c r="Y11" s="478">
        <v>2.74</v>
      </c>
      <c r="Z11" s="478">
        <v>2.79</v>
      </c>
      <c r="AA11" s="478">
        <v>2.84</v>
      </c>
      <c r="AB11" s="478">
        <v>2.89</v>
      </c>
      <c r="AC11" s="478">
        <v>2.94</v>
      </c>
      <c r="AD11" s="478">
        <v>2.99</v>
      </c>
      <c r="AE11" s="478">
        <v>3.04</v>
      </c>
      <c r="AF11" s="478">
        <v>3.04</v>
      </c>
      <c r="AG11" s="478">
        <v>3.04</v>
      </c>
      <c r="AH11" s="478">
        <v>3.04</v>
      </c>
      <c r="AI11" s="478">
        <v>3.04</v>
      </c>
      <c r="AJ11" s="478">
        <v>3.04</v>
      </c>
      <c r="AK11" s="478">
        <v>3.04</v>
      </c>
      <c r="AL11" s="478">
        <v>3.04</v>
      </c>
      <c r="AM11" s="478">
        <v>3.04</v>
      </c>
      <c r="AN11" s="478">
        <v>3.04</v>
      </c>
      <c r="AO11" s="478">
        <v>3.04</v>
      </c>
      <c r="AP11" s="478">
        <v>3.04</v>
      </c>
      <c r="AQ11" s="478">
        <v>3.04</v>
      </c>
      <c r="AR11" s="478">
        <v>3.04</v>
      </c>
      <c r="AS11" s="478">
        <v>3.04</v>
      </c>
      <c r="AT11" s="478">
        <v>3.04</v>
      </c>
      <c r="AU11" s="478">
        <v>3.04</v>
      </c>
      <c r="AV11" s="478">
        <v>3.04</v>
      </c>
      <c r="AW11" s="478">
        <v>3.04</v>
      </c>
      <c r="AX11" s="478">
        <v>3.04</v>
      </c>
      <c r="AY11" s="478">
        <v>3.04</v>
      </c>
    </row>
    <row r="12" spans="2:51">
      <c r="E12" s="78" t="s">
        <v>219</v>
      </c>
      <c r="F12" s="78" t="s">
        <v>210</v>
      </c>
      <c r="H12" s="44"/>
      <c r="J12" s="44"/>
      <c r="L12" s="44"/>
      <c r="N12" s="44"/>
      <c r="P12" s="153">
        <v>1</v>
      </c>
      <c r="Q12" s="153">
        <v>1</v>
      </c>
      <c r="R12" s="153">
        <v>1</v>
      </c>
      <c r="S12" s="153">
        <v>1</v>
      </c>
      <c r="T12" s="153">
        <v>1</v>
      </c>
      <c r="U12" s="153">
        <v>1</v>
      </c>
      <c r="V12" s="153">
        <v>1</v>
      </c>
      <c r="W12" s="153">
        <v>1</v>
      </c>
      <c r="X12" s="153">
        <v>1</v>
      </c>
      <c r="Y12" s="153">
        <v>1</v>
      </c>
      <c r="Z12" s="153">
        <v>1</v>
      </c>
      <c r="AA12" s="153">
        <v>1</v>
      </c>
      <c r="AB12" s="153">
        <v>1</v>
      </c>
      <c r="AC12" s="153">
        <v>1</v>
      </c>
      <c r="AD12" s="153">
        <v>1</v>
      </c>
      <c r="AE12" s="153">
        <v>1</v>
      </c>
      <c r="AF12" s="153">
        <v>1</v>
      </c>
      <c r="AG12" s="153">
        <v>1</v>
      </c>
      <c r="AH12" s="153">
        <v>1</v>
      </c>
      <c r="AI12" s="153">
        <v>1</v>
      </c>
      <c r="AJ12" s="153">
        <v>1</v>
      </c>
      <c r="AK12" s="153">
        <v>1</v>
      </c>
      <c r="AL12" s="153">
        <v>1</v>
      </c>
      <c r="AM12" s="153">
        <v>1</v>
      </c>
      <c r="AN12" s="153">
        <v>1</v>
      </c>
      <c r="AO12" s="153">
        <v>1</v>
      </c>
      <c r="AP12" s="153">
        <v>1</v>
      </c>
      <c r="AQ12" s="153">
        <v>1</v>
      </c>
      <c r="AR12" s="153">
        <v>1</v>
      </c>
      <c r="AS12" s="153">
        <v>1</v>
      </c>
      <c r="AT12" s="153">
        <v>1</v>
      </c>
      <c r="AU12" s="153">
        <v>1</v>
      </c>
      <c r="AV12" s="153">
        <v>1</v>
      </c>
      <c r="AW12" s="153">
        <v>1</v>
      </c>
      <c r="AX12" s="153">
        <v>1</v>
      </c>
      <c r="AY12" s="153">
        <v>1</v>
      </c>
    </row>
    <row r="13" spans="2:51">
      <c r="E13" s="78" t="s">
        <v>220</v>
      </c>
      <c r="F13" s="78" t="s">
        <v>778</v>
      </c>
      <c r="H13" s="44"/>
      <c r="J13" s="44"/>
      <c r="L13" s="44"/>
      <c r="N13" s="44"/>
      <c r="P13" s="153">
        <v>0.8</v>
      </c>
      <c r="Q13" s="153">
        <v>0.8</v>
      </c>
      <c r="R13" s="153">
        <v>0.8</v>
      </c>
      <c r="S13" s="153">
        <v>0.8</v>
      </c>
      <c r="T13" s="153">
        <v>0.8</v>
      </c>
      <c r="U13" s="153">
        <v>0.8</v>
      </c>
      <c r="V13" s="153">
        <v>0.8</v>
      </c>
      <c r="W13" s="153">
        <v>0.8</v>
      </c>
      <c r="X13" s="153">
        <v>0.8</v>
      </c>
      <c r="Y13" s="153">
        <v>0.8</v>
      </c>
      <c r="Z13" s="153">
        <v>0.8</v>
      </c>
      <c r="AA13" s="153">
        <v>0.8</v>
      </c>
      <c r="AB13" s="153">
        <v>0.8</v>
      </c>
      <c r="AC13" s="153">
        <v>0.8</v>
      </c>
      <c r="AD13" s="153">
        <v>0.8</v>
      </c>
      <c r="AE13" s="153">
        <v>0.8</v>
      </c>
      <c r="AF13" s="153">
        <v>0.8</v>
      </c>
      <c r="AG13" s="153">
        <v>0.8</v>
      </c>
      <c r="AH13" s="153">
        <v>0.8</v>
      </c>
      <c r="AI13" s="153">
        <v>0.8</v>
      </c>
      <c r="AJ13" s="153">
        <v>0.8</v>
      </c>
      <c r="AK13" s="153">
        <v>0.8</v>
      </c>
      <c r="AL13" s="153">
        <v>0.8</v>
      </c>
      <c r="AM13" s="153">
        <v>0.8</v>
      </c>
      <c r="AN13" s="153">
        <v>0.8</v>
      </c>
      <c r="AO13" s="153">
        <v>0.8</v>
      </c>
      <c r="AP13" s="153">
        <v>0.8</v>
      </c>
      <c r="AQ13" s="153">
        <v>0.8</v>
      </c>
      <c r="AR13" s="153">
        <v>0.8</v>
      </c>
      <c r="AS13" s="153">
        <v>0.8</v>
      </c>
      <c r="AT13" s="153">
        <v>0.8</v>
      </c>
      <c r="AU13" s="153">
        <v>0.8</v>
      </c>
      <c r="AV13" s="153">
        <v>0.8</v>
      </c>
      <c r="AW13" s="153">
        <v>0.8</v>
      </c>
      <c r="AX13" s="153">
        <v>0.8</v>
      </c>
      <c r="AY13" s="153">
        <v>0.8</v>
      </c>
    </row>
    <row r="14" spans="2:51">
      <c r="E14" s="78" t="s">
        <v>220</v>
      </c>
      <c r="F14" s="78" t="s">
        <v>210</v>
      </c>
      <c r="H14" s="44"/>
      <c r="J14" s="44"/>
      <c r="L14" s="44"/>
      <c r="N14" s="44"/>
      <c r="P14" s="153">
        <f>P11</f>
        <v>2.54</v>
      </c>
      <c r="Q14" s="153">
        <f t="shared" ref="Q14:AY14" si="0">Q11</f>
        <v>2.54</v>
      </c>
      <c r="R14" s="153">
        <f t="shared" si="0"/>
        <v>2.54</v>
      </c>
      <c r="S14" s="153">
        <f t="shared" si="0"/>
        <v>2.54</v>
      </c>
      <c r="T14" s="153">
        <f t="shared" si="0"/>
        <v>2.54</v>
      </c>
      <c r="U14" s="153">
        <f t="shared" si="0"/>
        <v>2.54</v>
      </c>
      <c r="V14" s="153">
        <f t="shared" si="0"/>
        <v>2.59</v>
      </c>
      <c r="W14" s="153">
        <f t="shared" si="0"/>
        <v>2.64</v>
      </c>
      <c r="X14" s="153">
        <f t="shared" si="0"/>
        <v>2.69</v>
      </c>
      <c r="Y14" s="153">
        <f t="shared" si="0"/>
        <v>2.74</v>
      </c>
      <c r="Z14" s="153">
        <f t="shared" si="0"/>
        <v>2.79</v>
      </c>
      <c r="AA14" s="153">
        <f t="shared" si="0"/>
        <v>2.84</v>
      </c>
      <c r="AB14" s="153">
        <f t="shared" si="0"/>
        <v>2.89</v>
      </c>
      <c r="AC14" s="153">
        <f t="shared" si="0"/>
        <v>2.94</v>
      </c>
      <c r="AD14" s="153">
        <f t="shared" si="0"/>
        <v>2.99</v>
      </c>
      <c r="AE14" s="153">
        <f t="shared" si="0"/>
        <v>3.04</v>
      </c>
      <c r="AF14" s="153">
        <f t="shared" si="0"/>
        <v>3.04</v>
      </c>
      <c r="AG14" s="153">
        <f t="shared" si="0"/>
        <v>3.04</v>
      </c>
      <c r="AH14" s="153">
        <f t="shared" si="0"/>
        <v>3.04</v>
      </c>
      <c r="AI14" s="153">
        <f t="shared" si="0"/>
        <v>3.04</v>
      </c>
      <c r="AJ14" s="153">
        <f t="shared" si="0"/>
        <v>3.04</v>
      </c>
      <c r="AK14" s="153">
        <f t="shared" si="0"/>
        <v>3.04</v>
      </c>
      <c r="AL14" s="153">
        <f t="shared" si="0"/>
        <v>3.04</v>
      </c>
      <c r="AM14" s="153">
        <f t="shared" si="0"/>
        <v>3.04</v>
      </c>
      <c r="AN14" s="153">
        <f t="shared" si="0"/>
        <v>3.04</v>
      </c>
      <c r="AO14" s="153">
        <f t="shared" si="0"/>
        <v>3.04</v>
      </c>
      <c r="AP14" s="153">
        <f t="shared" si="0"/>
        <v>3.04</v>
      </c>
      <c r="AQ14" s="153">
        <f t="shared" si="0"/>
        <v>3.04</v>
      </c>
      <c r="AR14" s="153">
        <f t="shared" si="0"/>
        <v>3.04</v>
      </c>
      <c r="AS14" s="153">
        <f t="shared" si="0"/>
        <v>3.04</v>
      </c>
      <c r="AT14" s="153">
        <f t="shared" si="0"/>
        <v>3.04</v>
      </c>
      <c r="AU14" s="153">
        <f t="shared" si="0"/>
        <v>3.04</v>
      </c>
      <c r="AV14" s="153">
        <f t="shared" si="0"/>
        <v>3.04</v>
      </c>
      <c r="AW14" s="153">
        <f t="shared" si="0"/>
        <v>3.04</v>
      </c>
      <c r="AX14" s="153">
        <f t="shared" si="0"/>
        <v>3.04</v>
      </c>
      <c r="AY14" s="153">
        <f t="shared" si="0"/>
        <v>3.04</v>
      </c>
    </row>
    <row r="15" spans="2:51">
      <c r="E15" s="78" t="s">
        <v>220</v>
      </c>
      <c r="F15" s="78" t="s">
        <v>775</v>
      </c>
      <c r="H15" s="44"/>
      <c r="J15" s="44"/>
      <c r="L15" s="44"/>
      <c r="N15" s="44"/>
      <c r="P15" s="153">
        <f>P9</f>
        <v>0.82</v>
      </c>
      <c r="Q15" s="153">
        <f t="shared" ref="Q15:AY15" si="1">Q9</f>
        <v>0.83</v>
      </c>
      <c r="R15" s="153">
        <f t="shared" si="1"/>
        <v>0.84</v>
      </c>
      <c r="S15" s="153">
        <f t="shared" si="1"/>
        <v>0.85</v>
      </c>
      <c r="T15" s="153">
        <f t="shared" si="1"/>
        <v>0.86</v>
      </c>
      <c r="U15" s="153">
        <f t="shared" si="1"/>
        <v>0.87</v>
      </c>
      <c r="V15" s="153">
        <f t="shared" si="1"/>
        <v>0.87</v>
      </c>
      <c r="W15" s="153">
        <f t="shared" si="1"/>
        <v>0.87</v>
      </c>
      <c r="X15" s="153">
        <f t="shared" si="1"/>
        <v>0.87</v>
      </c>
      <c r="Y15" s="153">
        <f t="shared" si="1"/>
        <v>0.87</v>
      </c>
      <c r="Z15" s="153">
        <f t="shared" si="1"/>
        <v>0.87</v>
      </c>
      <c r="AA15" s="153">
        <f t="shared" si="1"/>
        <v>0.87</v>
      </c>
      <c r="AB15" s="153">
        <f t="shared" si="1"/>
        <v>0.87</v>
      </c>
      <c r="AC15" s="153">
        <f t="shared" si="1"/>
        <v>0.87</v>
      </c>
      <c r="AD15" s="153">
        <f t="shared" si="1"/>
        <v>0.87</v>
      </c>
      <c r="AE15" s="153">
        <f t="shared" si="1"/>
        <v>0.87</v>
      </c>
      <c r="AF15" s="153">
        <f t="shared" si="1"/>
        <v>0.87</v>
      </c>
      <c r="AG15" s="153">
        <f t="shared" si="1"/>
        <v>0.87</v>
      </c>
      <c r="AH15" s="153">
        <f t="shared" si="1"/>
        <v>0.87</v>
      </c>
      <c r="AI15" s="153">
        <f t="shared" si="1"/>
        <v>0.87</v>
      </c>
      <c r="AJ15" s="153">
        <f t="shared" si="1"/>
        <v>0.87</v>
      </c>
      <c r="AK15" s="153">
        <f t="shared" si="1"/>
        <v>0.87</v>
      </c>
      <c r="AL15" s="153">
        <f t="shared" si="1"/>
        <v>0.87</v>
      </c>
      <c r="AM15" s="153">
        <f t="shared" si="1"/>
        <v>0.87</v>
      </c>
      <c r="AN15" s="153">
        <f t="shared" si="1"/>
        <v>0.87</v>
      </c>
      <c r="AO15" s="153">
        <f t="shared" si="1"/>
        <v>0.87</v>
      </c>
      <c r="AP15" s="153">
        <f t="shared" si="1"/>
        <v>0.87</v>
      </c>
      <c r="AQ15" s="153">
        <f t="shared" si="1"/>
        <v>0.87</v>
      </c>
      <c r="AR15" s="153">
        <f t="shared" si="1"/>
        <v>0.87</v>
      </c>
      <c r="AS15" s="153">
        <f t="shared" si="1"/>
        <v>0.87</v>
      </c>
      <c r="AT15" s="153">
        <f t="shared" si="1"/>
        <v>0.87</v>
      </c>
      <c r="AU15" s="153">
        <f t="shared" si="1"/>
        <v>0.87</v>
      </c>
      <c r="AV15" s="153">
        <f t="shared" si="1"/>
        <v>0.87</v>
      </c>
      <c r="AW15" s="153">
        <f t="shared" si="1"/>
        <v>0.87</v>
      </c>
      <c r="AX15" s="153">
        <f t="shared" si="1"/>
        <v>0.87</v>
      </c>
      <c r="AY15" s="153">
        <f t="shared" si="1"/>
        <v>0.87</v>
      </c>
    </row>
    <row r="16" spans="2:51">
      <c r="E16" s="78" t="s">
        <v>779</v>
      </c>
      <c r="F16" s="78" t="s">
        <v>188</v>
      </c>
      <c r="H16" s="44"/>
      <c r="J16" s="44"/>
      <c r="L16" s="44"/>
      <c r="N16" s="44"/>
      <c r="P16" s="153">
        <v>0.4</v>
      </c>
      <c r="Q16" s="153">
        <v>0.4</v>
      </c>
      <c r="R16" s="153">
        <v>0.4</v>
      </c>
      <c r="S16" s="153">
        <v>0.4</v>
      </c>
      <c r="T16" s="153">
        <v>0.4</v>
      </c>
      <c r="U16" s="153">
        <v>0.4</v>
      </c>
      <c r="V16" s="153">
        <v>0.4</v>
      </c>
      <c r="W16" s="153">
        <v>0.4</v>
      </c>
      <c r="X16" s="153">
        <v>0.4</v>
      </c>
      <c r="Y16" s="153">
        <v>0.4</v>
      </c>
      <c r="Z16" s="153">
        <v>0.4</v>
      </c>
      <c r="AA16" s="153">
        <v>0.4</v>
      </c>
      <c r="AB16" s="153">
        <v>0.4</v>
      </c>
      <c r="AC16" s="153">
        <v>0.4</v>
      </c>
      <c r="AD16" s="153">
        <v>0.4</v>
      </c>
      <c r="AE16" s="153">
        <v>0.4</v>
      </c>
      <c r="AF16" s="153">
        <v>0.4</v>
      </c>
      <c r="AG16" s="153">
        <v>0.4</v>
      </c>
      <c r="AH16" s="153">
        <v>0.4</v>
      </c>
      <c r="AI16" s="153">
        <v>0.4</v>
      </c>
      <c r="AJ16" s="153">
        <v>0.4</v>
      </c>
      <c r="AK16" s="153">
        <v>0.4</v>
      </c>
      <c r="AL16" s="153">
        <v>0.4</v>
      </c>
      <c r="AM16" s="153">
        <v>0.4</v>
      </c>
      <c r="AN16" s="153">
        <v>0.4</v>
      </c>
      <c r="AO16" s="153">
        <v>0.4</v>
      </c>
      <c r="AP16" s="153">
        <v>0.4</v>
      </c>
      <c r="AQ16" s="153">
        <v>0.4</v>
      </c>
      <c r="AR16" s="153">
        <v>0.4</v>
      </c>
      <c r="AS16" s="153">
        <v>0.4</v>
      </c>
      <c r="AT16" s="153">
        <v>0.4</v>
      </c>
      <c r="AU16" s="153">
        <v>0.4</v>
      </c>
      <c r="AV16" s="153">
        <v>0.4</v>
      </c>
      <c r="AW16" s="153">
        <v>0.4</v>
      </c>
      <c r="AX16" s="153">
        <v>0.4</v>
      </c>
      <c r="AY16" s="153">
        <v>0.4</v>
      </c>
    </row>
    <row r="17" spans="3:51">
      <c r="E17" s="78" t="s">
        <v>211</v>
      </c>
      <c r="F17" s="78" t="s">
        <v>211</v>
      </c>
      <c r="H17" s="44"/>
      <c r="J17" s="44" t="s">
        <v>780</v>
      </c>
      <c r="L17" s="44"/>
      <c r="N17" s="44"/>
      <c r="P17" s="153">
        <v>0.8</v>
      </c>
      <c r="Q17" s="153">
        <v>0.8</v>
      </c>
      <c r="R17" s="153">
        <v>0.8</v>
      </c>
      <c r="S17" s="153">
        <v>0.8</v>
      </c>
      <c r="T17" s="153">
        <v>0.8</v>
      </c>
      <c r="U17" s="153">
        <v>0.8</v>
      </c>
      <c r="V17" s="153">
        <v>0.8</v>
      </c>
      <c r="W17" s="153">
        <v>0.8</v>
      </c>
      <c r="X17" s="153">
        <v>0.8</v>
      </c>
      <c r="Y17" s="153">
        <v>0.8</v>
      </c>
      <c r="Z17" s="153">
        <v>0.8</v>
      </c>
      <c r="AA17" s="153">
        <v>0.8</v>
      </c>
      <c r="AB17" s="153">
        <v>0.8</v>
      </c>
      <c r="AC17" s="153">
        <v>0.8</v>
      </c>
      <c r="AD17" s="153">
        <v>0.8</v>
      </c>
      <c r="AE17" s="153">
        <v>0.8</v>
      </c>
      <c r="AF17" s="153">
        <v>0.8</v>
      </c>
      <c r="AG17" s="153">
        <v>0.8</v>
      </c>
      <c r="AH17" s="153">
        <v>0.8</v>
      </c>
      <c r="AI17" s="153">
        <v>0.8</v>
      </c>
      <c r="AJ17" s="153">
        <v>0.8</v>
      </c>
      <c r="AK17" s="153">
        <v>0.8</v>
      </c>
      <c r="AL17" s="153">
        <v>0.8</v>
      </c>
      <c r="AM17" s="153">
        <v>0.8</v>
      </c>
      <c r="AN17" s="153">
        <v>0.8</v>
      </c>
      <c r="AO17" s="153">
        <v>0.8</v>
      </c>
      <c r="AP17" s="153">
        <v>0.8</v>
      </c>
      <c r="AQ17" s="153">
        <v>0.8</v>
      </c>
      <c r="AR17" s="153">
        <v>0.8</v>
      </c>
      <c r="AS17" s="153">
        <v>0.8</v>
      </c>
      <c r="AT17" s="153">
        <v>0.8</v>
      </c>
      <c r="AU17" s="153">
        <v>0.8</v>
      </c>
      <c r="AV17" s="153">
        <v>0.8</v>
      </c>
      <c r="AW17" s="153">
        <v>0.8</v>
      </c>
      <c r="AX17" s="153">
        <v>0.8</v>
      </c>
      <c r="AY17" s="153">
        <v>0.8</v>
      </c>
    </row>
    <row r="18" spans="3:51">
      <c r="E18" s="78"/>
      <c r="F18" s="78"/>
    </row>
    <row r="19" spans="3:51">
      <c r="C19" s="35" t="s">
        <v>781</v>
      </c>
      <c r="E19" s="78"/>
      <c r="F19" s="78"/>
    </row>
    <row r="20" spans="3:51">
      <c r="E20" s="78"/>
      <c r="F20" s="78"/>
    </row>
    <row r="21" spans="3:51">
      <c r="E21" s="78" t="s">
        <v>774</v>
      </c>
      <c r="F21" s="78" t="s">
        <v>775</v>
      </c>
      <c r="H21" s="44"/>
      <c r="J21" s="44"/>
      <c r="L21" s="44"/>
      <c r="N21" s="44"/>
      <c r="P21" s="153">
        <v>0.82</v>
      </c>
      <c r="Q21" s="153">
        <v>0.83</v>
      </c>
      <c r="R21" s="153">
        <v>0.84</v>
      </c>
      <c r="S21" s="153">
        <v>0.85</v>
      </c>
      <c r="T21" s="153">
        <v>0.86</v>
      </c>
      <c r="U21" s="153">
        <v>0.87</v>
      </c>
      <c r="V21" s="153">
        <v>0.87</v>
      </c>
      <c r="W21" s="153">
        <v>0.87</v>
      </c>
      <c r="X21" s="153">
        <v>0.87</v>
      </c>
      <c r="Y21" s="153">
        <v>0.87</v>
      </c>
      <c r="Z21" s="153">
        <v>0.87</v>
      </c>
      <c r="AA21" s="153">
        <v>0.87</v>
      </c>
      <c r="AB21" s="153">
        <v>0.87</v>
      </c>
      <c r="AC21" s="153">
        <v>0.87</v>
      </c>
      <c r="AD21" s="153">
        <v>0.87</v>
      </c>
      <c r="AE21" s="153">
        <v>0.87</v>
      </c>
      <c r="AF21" s="153">
        <v>0.87</v>
      </c>
      <c r="AG21" s="153">
        <v>0.87</v>
      </c>
      <c r="AH21" s="153">
        <v>0.87</v>
      </c>
      <c r="AI21" s="153">
        <v>0.87</v>
      </c>
      <c r="AJ21" s="153">
        <v>0.87</v>
      </c>
      <c r="AK21" s="153">
        <v>0.87</v>
      </c>
      <c r="AL21" s="153">
        <v>0.87</v>
      </c>
      <c r="AM21" s="153">
        <v>0.87</v>
      </c>
      <c r="AN21" s="153">
        <v>0.87</v>
      </c>
      <c r="AO21" s="153">
        <v>0.87</v>
      </c>
      <c r="AP21" s="153">
        <v>0.87</v>
      </c>
      <c r="AQ21" s="153">
        <v>0.87</v>
      </c>
      <c r="AR21" s="153">
        <v>0.87</v>
      </c>
      <c r="AS21" s="153">
        <v>0.87</v>
      </c>
      <c r="AT21" s="153">
        <v>0.87</v>
      </c>
      <c r="AU21" s="153">
        <v>0.87</v>
      </c>
      <c r="AV21" s="153">
        <v>0.87</v>
      </c>
      <c r="AW21" s="153">
        <v>0.87</v>
      </c>
      <c r="AX21" s="153">
        <v>0.87</v>
      </c>
      <c r="AY21" s="153">
        <v>0.87</v>
      </c>
    </row>
    <row r="22" spans="3:51">
      <c r="E22" s="78" t="s">
        <v>776</v>
      </c>
      <c r="F22" s="78" t="s">
        <v>210</v>
      </c>
      <c r="H22" s="44"/>
      <c r="J22" s="44"/>
      <c r="L22" s="44"/>
      <c r="N22" s="44"/>
      <c r="P22" s="153">
        <v>1</v>
      </c>
      <c r="Q22" s="153">
        <v>1</v>
      </c>
      <c r="R22" s="153">
        <v>1</v>
      </c>
      <c r="S22" s="153">
        <v>1</v>
      </c>
      <c r="T22" s="153">
        <v>1</v>
      </c>
      <c r="U22" s="153">
        <v>1</v>
      </c>
      <c r="V22" s="153">
        <v>1</v>
      </c>
      <c r="W22" s="153">
        <v>1</v>
      </c>
      <c r="X22" s="153">
        <v>1</v>
      </c>
      <c r="Y22" s="153">
        <v>1</v>
      </c>
      <c r="Z22" s="153">
        <v>1</v>
      </c>
      <c r="AA22" s="153">
        <v>1</v>
      </c>
      <c r="AB22" s="153">
        <v>1</v>
      </c>
      <c r="AC22" s="153">
        <v>1</v>
      </c>
      <c r="AD22" s="153">
        <v>1</v>
      </c>
      <c r="AE22" s="153">
        <v>1</v>
      </c>
      <c r="AF22" s="153">
        <v>1</v>
      </c>
      <c r="AG22" s="153">
        <v>1</v>
      </c>
      <c r="AH22" s="153">
        <v>1</v>
      </c>
      <c r="AI22" s="153">
        <v>1</v>
      </c>
      <c r="AJ22" s="153">
        <v>1</v>
      </c>
      <c r="AK22" s="153">
        <v>1</v>
      </c>
      <c r="AL22" s="153">
        <v>1</v>
      </c>
      <c r="AM22" s="153">
        <v>1</v>
      </c>
      <c r="AN22" s="153">
        <v>1</v>
      </c>
      <c r="AO22" s="153">
        <v>1</v>
      </c>
      <c r="AP22" s="153">
        <v>1</v>
      </c>
      <c r="AQ22" s="153">
        <v>1</v>
      </c>
      <c r="AR22" s="153">
        <v>1</v>
      </c>
      <c r="AS22" s="153">
        <v>1</v>
      </c>
      <c r="AT22" s="153">
        <v>1</v>
      </c>
      <c r="AU22" s="153">
        <v>1</v>
      </c>
      <c r="AV22" s="153">
        <v>1</v>
      </c>
      <c r="AW22" s="153">
        <v>1</v>
      </c>
      <c r="AX22" s="153">
        <v>1</v>
      </c>
      <c r="AY22" s="153">
        <v>1</v>
      </c>
    </row>
    <row r="23" spans="3:51">
      <c r="E23" s="78" t="s">
        <v>346</v>
      </c>
      <c r="F23" s="78" t="s">
        <v>210</v>
      </c>
      <c r="G23" s="81"/>
      <c r="H23" s="44"/>
      <c r="J23" s="334" t="s">
        <v>777</v>
      </c>
      <c r="L23" s="44"/>
      <c r="N23" s="44"/>
      <c r="O23" s="81"/>
      <c r="P23" s="478">
        <v>2.54</v>
      </c>
      <c r="Q23" s="478">
        <v>2.54</v>
      </c>
      <c r="R23" s="478">
        <v>2.54</v>
      </c>
      <c r="S23" s="478">
        <v>2.54</v>
      </c>
      <c r="T23" s="478">
        <v>2.54</v>
      </c>
      <c r="U23" s="478">
        <v>2.54</v>
      </c>
      <c r="V23" s="478">
        <v>2.59</v>
      </c>
      <c r="W23" s="478">
        <v>2.64</v>
      </c>
      <c r="X23" s="478">
        <v>2.69</v>
      </c>
      <c r="Y23" s="478">
        <v>2.74</v>
      </c>
      <c r="Z23" s="478">
        <v>2.79</v>
      </c>
      <c r="AA23" s="478">
        <v>2.84</v>
      </c>
      <c r="AB23" s="478">
        <v>2.89</v>
      </c>
      <c r="AC23" s="478">
        <v>2.94</v>
      </c>
      <c r="AD23" s="478">
        <v>2.99</v>
      </c>
      <c r="AE23" s="478">
        <v>3.04</v>
      </c>
      <c r="AF23" s="478">
        <v>3.04</v>
      </c>
      <c r="AG23" s="478">
        <v>3.04</v>
      </c>
      <c r="AH23" s="478">
        <v>3.04</v>
      </c>
      <c r="AI23" s="478">
        <v>3.04</v>
      </c>
      <c r="AJ23" s="478">
        <v>3.04</v>
      </c>
      <c r="AK23" s="478">
        <v>3.04</v>
      </c>
      <c r="AL23" s="478">
        <v>3.04</v>
      </c>
      <c r="AM23" s="478">
        <v>3.04</v>
      </c>
      <c r="AN23" s="478">
        <v>3.04</v>
      </c>
      <c r="AO23" s="478">
        <v>3.04</v>
      </c>
      <c r="AP23" s="478">
        <v>3.04</v>
      </c>
      <c r="AQ23" s="478">
        <v>3.04</v>
      </c>
      <c r="AR23" s="478">
        <v>3.04</v>
      </c>
      <c r="AS23" s="478">
        <v>3.04</v>
      </c>
      <c r="AT23" s="478">
        <v>3.04</v>
      </c>
      <c r="AU23" s="478">
        <v>3.04</v>
      </c>
      <c r="AV23" s="478">
        <v>3.04</v>
      </c>
      <c r="AW23" s="478">
        <v>3.04</v>
      </c>
      <c r="AX23" s="478">
        <v>3.04</v>
      </c>
      <c r="AY23" s="478">
        <v>3.04</v>
      </c>
    </row>
    <row r="24" spans="3:51">
      <c r="E24" s="78" t="s">
        <v>219</v>
      </c>
      <c r="F24" s="78" t="s">
        <v>210</v>
      </c>
      <c r="H24" s="44"/>
      <c r="J24" s="44"/>
      <c r="L24" s="44"/>
      <c r="N24" s="44"/>
      <c r="P24" s="153">
        <v>1</v>
      </c>
      <c r="Q24" s="153">
        <v>1</v>
      </c>
      <c r="R24" s="153">
        <v>1</v>
      </c>
      <c r="S24" s="153">
        <v>1</v>
      </c>
      <c r="T24" s="153">
        <v>1</v>
      </c>
      <c r="U24" s="153">
        <v>1</v>
      </c>
      <c r="V24" s="153">
        <v>1</v>
      </c>
      <c r="W24" s="153">
        <v>1</v>
      </c>
      <c r="X24" s="153">
        <v>1</v>
      </c>
      <c r="Y24" s="153">
        <v>1</v>
      </c>
      <c r="Z24" s="153">
        <v>1</v>
      </c>
      <c r="AA24" s="153">
        <v>1</v>
      </c>
      <c r="AB24" s="153">
        <v>1</v>
      </c>
      <c r="AC24" s="153">
        <v>1</v>
      </c>
      <c r="AD24" s="153">
        <v>1</v>
      </c>
      <c r="AE24" s="153">
        <v>1</v>
      </c>
      <c r="AF24" s="153">
        <v>1</v>
      </c>
      <c r="AG24" s="153">
        <v>1</v>
      </c>
      <c r="AH24" s="153">
        <v>1</v>
      </c>
      <c r="AI24" s="153">
        <v>1</v>
      </c>
      <c r="AJ24" s="153">
        <v>1</v>
      </c>
      <c r="AK24" s="153">
        <v>1</v>
      </c>
      <c r="AL24" s="153">
        <v>1</v>
      </c>
      <c r="AM24" s="153">
        <v>1</v>
      </c>
      <c r="AN24" s="153">
        <v>1</v>
      </c>
      <c r="AO24" s="153">
        <v>1</v>
      </c>
      <c r="AP24" s="153">
        <v>1</v>
      </c>
      <c r="AQ24" s="153">
        <v>1</v>
      </c>
      <c r="AR24" s="153">
        <v>1</v>
      </c>
      <c r="AS24" s="153">
        <v>1</v>
      </c>
      <c r="AT24" s="153">
        <v>1</v>
      </c>
      <c r="AU24" s="153">
        <v>1</v>
      </c>
      <c r="AV24" s="153">
        <v>1</v>
      </c>
      <c r="AW24" s="153">
        <v>1</v>
      </c>
      <c r="AX24" s="153">
        <v>1</v>
      </c>
      <c r="AY24" s="153">
        <v>1</v>
      </c>
    </row>
    <row r="25" spans="3:51">
      <c r="E25" s="78" t="s">
        <v>220</v>
      </c>
      <c r="F25" s="78" t="s">
        <v>778</v>
      </c>
      <c r="H25" s="44"/>
      <c r="J25" s="44"/>
      <c r="L25" s="44"/>
      <c r="N25" s="44"/>
      <c r="P25" s="153">
        <v>0.8</v>
      </c>
      <c r="Q25" s="153">
        <v>0.8</v>
      </c>
      <c r="R25" s="153">
        <v>0.8</v>
      </c>
      <c r="S25" s="153">
        <v>0.8</v>
      </c>
      <c r="T25" s="153">
        <v>0.8</v>
      </c>
      <c r="U25" s="153">
        <v>0.8</v>
      </c>
      <c r="V25" s="153">
        <v>0.8</v>
      </c>
      <c r="W25" s="153">
        <v>0.8</v>
      </c>
      <c r="X25" s="153">
        <v>0.8</v>
      </c>
      <c r="Y25" s="153">
        <v>0.8</v>
      </c>
      <c r="Z25" s="153">
        <v>0.8</v>
      </c>
      <c r="AA25" s="153">
        <v>0.8</v>
      </c>
      <c r="AB25" s="153">
        <v>0.8</v>
      </c>
      <c r="AC25" s="153">
        <v>0.8</v>
      </c>
      <c r="AD25" s="153">
        <v>0.8</v>
      </c>
      <c r="AE25" s="153">
        <v>0.8</v>
      </c>
      <c r="AF25" s="153">
        <v>0.8</v>
      </c>
      <c r="AG25" s="153">
        <v>0.8</v>
      </c>
      <c r="AH25" s="153">
        <v>0.8</v>
      </c>
      <c r="AI25" s="153">
        <v>0.8</v>
      </c>
      <c r="AJ25" s="153">
        <v>0.8</v>
      </c>
      <c r="AK25" s="153">
        <v>0.8</v>
      </c>
      <c r="AL25" s="153">
        <v>0.8</v>
      </c>
      <c r="AM25" s="153">
        <v>0.8</v>
      </c>
      <c r="AN25" s="153">
        <v>0.8</v>
      </c>
      <c r="AO25" s="153">
        <v>0.8</v>
      </c>
      <c r="AP25" s="153">
        <v>0.8</v>
      </c>
      <c r="AQ25" s="153">
        <v>0.8</v>
      </c>
      <c r="AR25" s="153">
        <v>0.8</v>
      </c>
      <c r="AS25" s="153">
        <v>0.8</v>
      </c>
      <c r="AT25" s="153">
        <v>0.8</v>
      </c>
      <c r="AU25" s="153">
        <v>0.8</v>
      </c>
      <c r="AV25" s="153">
        <v>0.8</v>
      </c>
      <c r="AW25" s="153">
        <v>0.8</v>
      </c>
      <c r="AX25" s="153">
        <v>0.8</v>
      </c>
      <c r="AY25" s="153">
        <v>0.8</v>
      </c>
    </row>
    <row r="26" spans="3:51">
      <c r="E26" s="78" t="s">
        <v>220</v>
      </c>
      <c r="F26" s="78" t="s">
        <v>210</v>
      </c>
      <c r="H26" s="44"/>
      <c r="J26" s="44"/>
      <c r="L26" s="44"/>
      <c r="N26" s="44"/>
      <c r="P26" s="153">
        <f>P23</f>
        <v>2.54</v>
      </c>
      <c r="Q26" s="153">
        <f t="shared" ref="Q26:AY26" si="2">Q23</f>
        <v>2.54</v>
      </c>
      <c r="R26" s="153">
        <f t="shared" si="2"/>
        <v>2.54</v>
      </c>
      <c r="S26" s="153">
        <f t="shared" si="2"/>
        <v>2.54</v>
      </c>
      <c r="T26" s="153">
        <f t="shared" si="2"/>
        <v>2.54</v>
      </c>
      <c r="U26" s="153">
        <f t="shared" si="2"/>
        <v>2.54</v>
      </c>
      <c r="V26" s="153">
        <f t="shared" si="2"/>
        <v>2.59</v>
      </c>
      <c r="W26" s="153">
        <f t="shared" si="2"/>
        <v>2.64</v>
      </c>
      <c r="X26" s="153">
        <f t="shared" si="2"/>
        <v>2.69</v>
      </c>
      <c r="Y26" s="153">
        <f t="shared" si="2"/>
        <v>2.74</v>
      </c>
      <c r="Z26" s="153">
        <f t="shared" si="2"/>
        <v>2.79</v>
      </c>
      <c r="AA26" s="153">
        <f t="shared" si="2"/>
        <v>2.84</v>
      </c>
      <c r="AB26" s="153">
        <f t="shared" si="2"/>
        <v>2.89</v>
      </c>
      <c r="AC26" s="153">
        <f t="shared" si="2"/>
        <v>2.94</v>
      </c>
      <c r="AD26" s="153">
        <f t="shared" si="2"/>
        <v>2.99</v>
      </c>
      <c r="AE26" s="153">
        <f t="shared" si="2"/>
        <v>3.04</v>
      </c>
      <c r="AF26" s="153">
        <f t="shared" si="2"/>
        <v>3.04</v>
      </c>
      <c r="AG26" s="153">
        <f t="shared" si="2"/>
        <v>3.04</v>
      </c>
      <c r="AH26" s="153">
        <f t="shared" si="2"/>
        <v>3.04</v>
      </c>
      <c r="AI26" s="153">
        <f t="shared" si="2"/>
        <v>3.04</v>
      </c>
      <c r="AJ26" s="153">
        <f t="shared" si="2"/>
        <v>3.04</v>
      </c>
      <c r="AK26" s="153">
        <f t="shared" si="2"/>
        <v>3.04</v>
      </c>
      <c r="AL26" s="153">
        <f t="shared" si="2"/>
        <v>3.04</v>
      </c>
      <c r="AM26" s="153">
        <f t="shared" si="2"/>
        <v>3.04</v>
      </c>
      <c r="AN26" s="153">
        <f t="shared" si="2"/>
        <v>3.04</v>
      </c>
      <c r="AO26" s="153">
        <f t="shared" si="2"/>
        <v>3.04</v>
      </c>
      <c r="AP26" s="153">
        <f t="shared" si="2"/>
        <v>3.04</v>
      </c>
      <c r="AQ26" s="153">
        <f t="shared" si="2"/>
        <v>3.04</v>
      </c>
      <c r="AR26" s="153">
        <f t="shared" si="2"/>
        <v>3.04</v>
      </c>
      <c r="AS26" s="153">
        <f t="shared" si="2"/>
        <v>3.04</v>
      </c>
      <c r="AT26" s="153">
        <f t="shared" si="2"/>
        <v>3.04</v>
      </c>
      <c r="AU26" s="153">
        <f t="shared" si="2"/>
        <v>3.04</v>
      </c>
      <c r="AV26" s="153">
        <f t="shared" si="2"/>
        <v>3.04</v>
      </c>
      <c r="AW26" s="153">
        <f t="shared" si="2"/>
        <v>3.04</v>
      </c>
      <c r="AX26" s="153">
        <f t="shared" si="2"/>
        <v>3.04</v>
      </c>
      <c r="AY26" s="153">
        <f t="shared" si="2"/>
        <v>3.04</v>
      </c>
    </row>
    <row r="27" spans="3:51">
      <c r="E27" s="78" t="s">
        <v>220</v>
      </c>
      <c r="F27" s="78" t="s">
        <v>775</v>
      </c>
      <c r="H27" s="44"/>
      <c r="J27" s="44"/>
      <c r="L27" s="44"/>
      <c r="N27" s="44"/>
      <c r="P27" s="153">
        <f>P21</f>
        <v>0.82</v>
      </c>
      <c r="Q27" s="153">
        <f t="shared" ref="Q27:AY27" si="3">Q21</f>
        <v>0.83</v>
      </c>
      <c r="R27" s="153">
        <f t="shared" si="3"/>
        <v>0.84</v>
      </c>
      <c r="S27" s="153">
        <f t="shared" si="3"/>
        <v>0.85</v>
      </c>
      <c r="T27" s="153">
        <f t="shared" si="3"/>
        <v>0.86</v>
      </c>
      <c r="U27" s="153">
        <f t="shared" si="3"/>
        <v>0.87</v>
      </c>
      <c r="V27" s="153">
        <f t="shared" si="3"/>
        <v>0.87</v>
      </c>
      <c r="W27" s="153">
        <f t="shared" si="3"/>
        <v>0.87</v>
      </c>
      <c r="X27" s="153">
        <f t="shared" si="3"/>
        <v>0.87</v>
      </c>
      <c r="Y27" s="153">
        <f t="shared" si="3"/>
        <v>0.87</v>
      </c>
      <c r="Z27" s="153">
        <f t="shared" si="3"/>
        <v>0.87</v>
      </c>
      <c r="AA27" s="153">
        <f t="shared" si="3"/>
        <v>0.87</v>
      </c>
      <c r="AB27" s="153">
        <f t="shared" si="3"/>
        <v>0.87</v>
      </c>
      <c r="AC27" s="153">
        <f t="shared" si="3"/>
        <v>0.87</v>
      </c>
      <c r="AD27" s="153">
        <f t="shared" si="3"/>
        <v>0.87</v>
      </c>
      <c r="AE27" s="153">
        <f t="shared" si="3"/>
        <v>0.87</v>
      </c>
      <c r="AF27" s="153">
        <f t="shared" si="3"/>
        <v>0.87</v>
      </c>
      <c r="AG27" s="153">
        <f t="shared" si="3"/>
        <v>0.87</v>
      </c>
      <c r="AH27" s="153">
        <f t="shared" si="3"/>
        <v>0.87</v>
      </c>
      <c r="AI27" s="153">
        <f t="shared" si="3"/>
        <v>0.87</v>
      </c>
      <c r="AJ27" s="153">
        <f t="shared" si="3"/>
        <v>0.87</v>
      </c>
      <c r="AK27" s="153">
        <f t="shared" si="3"/>
        <v>0.87</v>
      </c>
      <c r="AL27" s="153">
        <f t="shared" si="3"/>
        <v>0.87</v>
      </c>
      <c r="AM27" s="153">
        <f t="shared" si="3"/>
        <v>0.87</v>
      </c>
      <c r="AN27" s="153">
        <f t="shared" si="3"/>
        <v>0.87</v>
      </c>
      <c r="AO27" s="153">
        <f t="shared" si="3"/>
        <v>0.87</v>
      </c>
      <c r="AP27" s="153">
        <f t="shared" si="3"/>
        <v>0.87</v>
      </c>
      <c r="AQ27" s="153">
        <f t="shared" si="3"/>
        <v>0.87</v>
      </c>
      <c r="AR27" s="153">
        <f t="shared" si="3"/>
        <v>0.87</v>
      </c>
      <c r="AS27" s="153">
        <f t="shared" si="3"/>
        <v>0.87</v>
      </c>
      <c r="AT27" s="153">
        <f t="shared" si="3"/>
        <v>0.87</v>
      </c>
      <c r="AU27" s="153">
        <f t="shared" si="3"/>
        <v>0.87</v>
      </c>
      <c r="AV27" s="153">
        <f t="shared" si="3"/>
        <v>0.87</v>
      </c>
      <c r="AW27" s="153">
        <f t="shared" si="3"/>
        <v>0.87</v>
      </c>
      <c r="AX27" s="153">
        <f t="shared" si="3"/>
        <v>0.87</v>
      </c>
      <c r="AY27" s="153">
        <f t="shared" si="3"/>
        <v>0.87</v>
      </c>
    </row>
    <row r="28" spans="3:51">
      <c r="E28" s="78" t="s">
        <v>779</v>
      </c>
      <c r="F28" s="78" t="s">
        <v>188</v>
      </c>
      <c r="H28" s="44"/>
      <c r="J28" s="44"/>
      <c r="L28" s="44"/>
      <c r="N28" s="44"/>
      <c r="P28" s="153">
        <v>0.4</v>
      </c>
      <c r="Q28" s="153">
        <v>0.4</v>
      </c>
      <c r="R28" s="153">
        <v>0.4</v>
      </c>
      <c r="S28" s="153">
        <v>0.4</v>
      </c>
      <c r="T28" s="153">
        <v>0.4</v>
      </c>
      <c r="U28" s="153">
        <v>0.4</v>
      </c>
      <c r="V28" s="153">
        <v>0.4</v>
      </c>
      <c r="W28" s="153">
        <v>0.4</v>
      </c>
      <c r="X28" s="153">
        <v>0.4</v>
      </c>
      <c r="Y28" s="153">
        <v>0.4</v>
      </c>
      <c r="Z28" s="153">
        <v>0.4</v>
      </c>
      <c r="AA28" s="153">
        <v>0.4</v>
      </c>
      <c r="AB28" s="153">
        <v>0.4</v>
      </c>
      <c r="AC28" s="153">
        <v>0.4</v>
      </c>
      <c r="AD28" s="153">
        <v>0.4</v>
      </c>
      <c r="AE28" s="153">
        <v>0.4</v>
      </c>
      <c r="AF28" s="153">
        <v>0.4</v>
      </c>
      <c r="AG28" s="153">
        <v>0.4</v>
      </c>
      <c r="AH28" s="153">
        <v>0.4</v>
      </c>
      <c r="AI28" s="153">
        <v>0.4</v>
      </c>
      <c r="AJ28" s="153">
        <v>0.4</v>
      </c>
      <c r="AK28" s="153">
        <v>0.4</v>
      </c>
      <c r="AL28" s="153">
        <v>0.4</v>
      </c>
      <c r="AM28" s="153">
        <v>0.4</v>
      </c>
      <c r="AN28" s="153">
        <v>0.4</v>
      </c>
      <c r="AO28" s="153">
        <v>0.4</v>
      </c>
      <c r="AP28" s="153">
        <v>0.4</v>
      </c>
      <c r="AQ28" s="153">
        <v>0.4</v>
      </c>
      <c r="AR28" s="153">
        <v>0.4</v>
      </c>
      <c r="AS28" s="153">
        <v>0.4</v>
      </c>
      <c r="AT28" s="153">
        <v>0.4</v>
      </c>
      <c r="AU28" s="153">
        <v>0.4</v>
      </c>
      <c r="AV28" s="153">
        <v>0.4</v>
      </c>
      <c r="AW28" s="153">
        <v>0.4</v>
      </c>
      <c r="AX28" s="153">
        <v>0.4</v>
      </c>
      <c r="AY28" s="153">
        <v>0.4</v>
      </c>
    </row>
    <row r="29" spans="3:51">
      <c r="E29" s="78" t="s">
        <v>211</v>
      </c>
      <c r="F29" s="78" t="s">
        <v>211</v>
      </c>
      <c r="H29" s="44"/>
      <c r="J29" s="44" t="s">
        <v>780</v>
      </c>
      <c r="L29" s="44"/>
      <c r="N29" s="44"/>
      <c r="P29" s="153">
        <v>0.8</v>
      </c>
      <c r="Q29" s="153">
        <v>0.8</v>
      </c>
      <c r="R29" s="153">
        <v>0.8</v>
      </c>
      <c r="S29" s="153">
        <v>0.8</v>
      </c>
      <c r="T29" s="153">
        <v>0.8</v>
      </c>
      <c r="U29" s="153">
        <v>0.8</v>
      </c>
      <c r="V29" s="153">
        <v>0.8</v>
      </c>
      <c r="W29" s="153">
        <v>0.8</v>
      </c>
      <c r="X29" s="153">
        <v>0.8</v>
      </c>
      <c r="Y29" s="153">
        <v>0.8</v>
      </c>
      <c r="Z29" s="153">
        <v>0.8</v>
      </c>
      <c r="AA29" s="153">
        <v>0.8</v>
      </c>
      <c r="AB29" s="153">
        <v>0.8</v>
      </c>
      <c r="AC29" s="153">
        <v>0.8</v>
      </c>
      <c r="AD29" s="153">
        <v>0.8</v>
      </c>
      <c r="AE29" s="153">
        <v>0.8</v>
      </c>
      <c r="AF29" s="153">
        <v>0.8</v>
      </c>
      <c r="AG29" s="153">
        <v>0.8</v>
      </c>
      <c r="AH29" s="153">
        <v>0.8</v>
      </c>
      <c r="AI29" s="153">
        <v>0.8</v>
      </c>
      <c r="AJ29" s="153">
        <v>0.8</v>
      </c>
      <c r="AK29" s="153">
        <v>0.8</v>
      </c>
      <c r="AL29" s="153">
        <v>0.8</v>
      </c>
      <c r="AM29" s="153">
        <v>0.8</v>
      </c>
      <c r="AN29" s="153">
        <v>0.8</v>
      </c>
      <c r="AO29" s="153">
        <v>0.8</v>
      </c>
      <c r="AP29" s="153">
        <v>0.8</v>
      </c>
      <c r="AQ29" s="153">
        <v>0.8</v>
      </c>
      <c r="AR29" s="153">
        <v>0.8</v>
      </c>
      <c r="AS29" s="153">
        <v>0.8</v>
      </c>
      <c r="AT29" s="153">
        <v>0.8</v>
      </c>
      <c r="AU29" s="153">
        <v>0.8</v>
      </c>
      <c r="AV29" s="153">
        <v>0.8</v>
      </c>
      <c r="AW29" s="153">
        <v>0.8</v>
      </c>
      <c r="AX29" s="153">
        <v>0.8</v>
      </c>
      <c r="AY29" s="153">
        <v>0.8</v>
      </c>
    </row>
    <row r="31" spans="3:51">
      <c r="C31" s="35" t="s">
        <v>782</v>
      </c>
      <c r="E31" s="78"/>
      <c r="F31" s="78"/>
    </row>
    <row r="32" spans="3:51">
      <c r="E32" s="78"/>
      <c r="F32" s="78"/>
      <c r="G32" s="81"/>
      <c r="H32" s="81"/>
      <c r="I32" s="81"/>
    </row>
    <row r="33" spans="3:51">
      <c r="E33" s="78" t="s">
        <v>783</v>
      </c>
      <c r="F33" s="78" t="s">
        <v>210</v>
      </c>
      <c r="H33" s="44"/>
      <c r="J33" s="44" t="s">
        <v>784</v>
      </c>
      <c r="L33" s="44"/>
      <c r="N33" s="44"/>
      <c r="P33" s="153">
        <v>1.03</v>
      </c>
      <c r="Q33" s="153">
        <v>1.03</v>
      </c>
      <c r="R33" s="153">
        <v>1.03</v>
      </c>
      <c r="S33" s="153">
        <v>1.03</v>
      </c>
      <c r="T33" s="153">
        <v>1.03</v>
      </c>
      <c r="U33" s="153">
        <v>1.03</v>
      </c>
      <c r="V33" s="153">
        <v>1.03</v>
      </c>
      <c r="W33" s="153">
        <v>1.03</v>
      </c>
      <c r="X33" s="153">
        <v>1.03</v>
      </c>
      <c r="Y33" s="153">
        <v>1.03</v>
      </c>
      <c r="Z33" s="153">
        <v>1.03</v>
      </c>
      <c r="AA33" s="153">
        <f>Z33+($AY33-$Z33)/25</f>
        <v>1.0528</v>
      </c>
      <c r="AB33" s="153">
        <f t="shared" ref="AB33:AX35" si="4">AA33+($AY33-$Z33)/25</f>
        <v>1.0755999999999999</v>
      </c>
      <c r="AC33" s="153">
        <f t="shared" si="4"/>
        <v>1.0983999999999998</v>
      </c>
      <c r="AD33" s="153">
        <f t="shared" si="4"/>
        <v>1.1211999999999998</v>
      </c>
      <c r="AE33" s="153">
        <f t="shared" si="4"/>
        <v>1.1439999999999997</v>
      </c>
      <c r="AF33" s="153">
        <f t="shared" si="4"/>
        <v>1.1667999999999996</v>
      </c>
      <c r="AG33" s="153">
        <f t="shared" si="4"/>
        <v>1.1895999999999995</v>
      </c>
      <c r="AH33" s="153">
        <f t="shared" si="4"/>
        <v>1.2123999999999995</v>
      </c>
      <c r="AI33" s="153">
        <f t="shared" si="4"/>
        <v>1.2351999999999994</v>
      </c>
      <c r="AJ33" s="153">
        <f t="shared" si="4"/>
        <v>1.2579999999999993</v>
      </c>
      <c r="AK33" s="153">
        <f t="shared" si="4"/>
        <v>1.2807999999999993</v>
      </c>
      <c r="AL33" s="153">
        <f t="shared" si="4"/>
        <v>1.3035999999999992</v>
      </c>
      <c r="AM33" s="153">
        <f t="shared" si="4"/>
        <v>1.3263999999999991</v>
      </c>
      <c r="AN33" s="153">
        <f t="shared" si="4"/>
        <v>1.3491999999999991</v>
      </c>
      <c r="AO33" s="153">
        <f t="shared" si="4"/>
        <v>1.371999999999999</v>
      </c>
      <c r="AP33" s="153">
        <f t="shared" si="4"/>
        <v>1.3947999999999989</v>
      </c>
      <c r="AQ33" s="153">
        <f t="shared" si="4"/>
        <v>1.4175999999999989</v>
      </c>
      <c r="AR33" s="153">
        <f t="shared" si="4"/>
        <v>1.4403999999999988</v>
      </c>
      <c r="AS33" s="153">
        <f t="shared" si="4"/>
        <v>1.4631999999999987</v>
      </c>
      <c r="AT33" s="153">
        <f t="shared" si="4"/>
        <v>1.4859999999999987</v>
      </c>
      <c r="AU33" s="153">
        <f t="shared" si="4"/>
        <v>1.5087999999999986</v>
      </c>
      <c r="AV33" s="153">
        <f t="shared" si="4"/>
        <v>1.5315999999999985</v>
      </c>
      <c r="AW33" s="153">
        <f t="shared" si="4"/>
        <v>1.5543999999999984</v>
      </c>
      <c r="AX33" s="153">
        <f t="shared" si="4"/>
        <v>1.5771999999999984</v>
      </c>
      <c r="AY33" s="153">
        <v>1.6</v>
      </c>
    </row>
    <row r="34" spans="3:51">
      <c r="E34" s="78" t="s">
        <v>785</v>
      </c>
      <c r="F34" s="78" t="s">
        <v>210</v>
      </c>
      <c r="H34" s="44"/>
      <c r="J34" s="44"/>
      <c r="L34" s="44"/>
      <c r="N34" s="44"/>
      <c r="P34" s="153">
        <v>2.8</v>
      </c>
      <c r="Q34" s="153">
        <v>2.8</v>
      </c>
      <c r="R34" s="153">
        <v>2.8</v>
      </c>
      <c r="S34" s="153">
        <v>2.8</v>
      </c>
      <c r="T34" s="153">
        <v>2.8</v>
      </c>
      <c r="U34" s="153">
        <v>2.8</v>
      </c>
      <c r="V34" s="153">
        <v>2.8</v>
      </c>
      <c r="W34" s="153">
        <v>2.8</v>
      </c>
      <c r="X34" s="153">
        <v>2.8</v>
      </c>
      <c r="Y34" s="153">
        <v>2.8</v>
      </c>
      <c r="Z34" s="153">
        <v>2.8</v>
      </c>
      <c r="AA34" s="153">
        <v>2.8</v>
      </c>
      <c r="AB34" s="153">
        <v>2.8</v>
      </c>
      <c r="AC34" s="153">
        <v>2.8</v>
      </c>
      <c r="AD34" s="153">
        <v>2.8</v>
      </c>
      <c r="AE34" s="153">
        <v>2.8</v>
      </c>
      <c r="AF34" s="153">
        <v>2.8</v>
      </c>
      <c r="AG34" s="153">
        <v>2.8</v>
      </c>
      <c r="AH34" s="153">
        <v>2.8</v>
      </c>
      <c r="AI34" s="153">
        <v>2.8</v>
      </c>
      <c r="AJ34" s="153">
        <v>2.8</v>
      </c>
      <c r="AK34" s="153">
        <v>2.8</v>
      </c>
      <c r="AL34" s="153">
        <v>2.8</v>
      </c>
      <c r="AM34" s="153">
        <v>2.8</v>
      </c>
      <c r="AN34" s="153">
        <v>2.8</v>
      </c>
      <c r="AO34" s="153">
        <v>2.8</v>
      </c>
      <c r="AP34" s="153">
        <v>2.8</v>
      </c>
      <c r="AQ34" s="153">
        <v>2.8</v>
      </c>
      <c r="AR34" s="153">
        <v>2.8</v>
      </c>
      <c r="AS34" s="153">
        <v>2.8</v>
      </c>
      <c r="AT34" s="153">
        <v>2.8</v>
      </c>
      <c r="AU34" s="153">
        <v>2.8</v>
      </c>
      <c r="AV34" s="153">
        <v>2.8</v>
      </c>
      <c r="AW34" s="153">
        <v>2.8</v>
      </c>
      <c r="AX34" s="153">
        <v>2.8</v>
      </c>
      <c r="AY34" s="153">
        <v>2.8</v>
      </c>
    </row>
    <row r="35" spans="3:51">
      <c r="E35" s="78" t="s">
        <v>786</v>
      </c>
      <c r="F35" s="78" t="s">
        <v>210</v>
      </c>
      <c r="H35" s="44"/>
      <c r="J35" s="44"/>
      <c r="L35" s="44"/>
      <c r="N35" s="44"/>
      <c r="P35" s="153">
        <v>3</v>
      </c>
      <c r="Q35" s="567">
        <f>P35+($Z35-$P35)/10</f>
        <v>3.06</v>
      </c>
      <c r="R35" s="567">
        <f>Q35+($Z35-$P35)/10</f>
        <v>3.12</v>
      </c>
      <c r="S35" s="567">
        <f t="shared" ref="S35:X35" si="5">R35+($Z35-$P35)/10</f>
        <v>3.18</v>
      </c>
      <c r="T35" s="567">
        <f t="shared" si="5"/>
        <v>3.24</v>
      </c>
      <c r="U35" s="567">
        <f t="shared" si="5"/>
        <v>3.3000000000000003</v>
      </c>
      <c r="V35" s="567">
        <f t="shared" si="5"/>
        <v>3.3600000000000003</v>
      </c>
      <c r="W35" s="567">
        <f t="shared" si="5"/>
        <v>3.4200000000000004</v>
      </c>
      <c r="X35" s="567">
        <f t="shared" si="5"/>
        <v>3.4800000000000004</v>
      </c>
      <c r="Y35" s="567">
        <f>X35+($Z35-$P35)/10</f>
        <v>3.5400000000000005</v>
      </c>
      <c r="Z35" s="153">
        <v>3.6</v>
      </c>
      <c r="AA35" s="153">
        <f>Z35+($AY35-$Z35)/25</f>
        <v>3.68</v>
      </c>
      <c r="AB35" s="153">
        <f t="shared" si="4"/>
        <v>3.7600000000000002</v>
      </c>
      <c r="AC35" s="153">
        <f t="shared" si="4"/>
        <v>3.8400000000000003</v>
      </c>
      <c r="AD35" s="153">
        <f t="shared" si="4"/>
        <v>3.9200000000000004</v>
      </c>
      <c r="AE35" s="153">
        <f t="shared" si="4"/>
        <v>4</v>
      </c>
      <c r="AF35" s="153">
        <f t="shared" si="4"/>
        <v>4.08</v>
      </c>
      <c r="AG35" s="153">
        <f t="shared" si="4"/>
        <v>4.16</v>
      </c>
      <c r="AH35" s="153">
        <f t="shared" si="4"/>
        <v>4.24</v>
      </c>
      <c r="AI35" s="153">
        <f t="shared" si="4"/>
        <v>4.32</v>
      </c>
      <c r="AJ35" s="153">
        <f t="shared" si="4"/>
        <v>4.4000000000000004</v>
      </c>
      <c r="AK35" s="153">
        <f t="shared" si="4"/>
        <v>4.4800000000000004</v>
      </c>
      <c r="AL35" s="153">
        <f t="shared" si="4"/>
        <v>4.5600000000000005</v>
      </c>
      <c r="AM35" s="153">
        <f t="shared" si="4"/>
        <v>4.6400000000000006</v>
      </c>
      <c r="AN35" s="153">
        <f t="shared" si="4"/>
        <v>4.7200000000000006</v>
      </c>
      <c r="AO35" s="153">
        <f t="shared" si="4"/>
        <v>4.8000000000000007</v>
      </c>
      <c r="AP35" s="153">
        <f t="shared" si="4"/>
        <v>4.8800000000000008</v>
      </c>
      <c r="AQ35" s="153">
        <f t="shared" si="4"/>
        <v>4.9600000000000009</v>
      </c>
      <c r="AR35" s="153">
        <f t="shared" si="4"/>
        <v>5.0400000000000009</v>
      </c>
      <c r="AS35" s="153">
        <f t="shared" si="4"/>
        <v>5.120000000000001</v>
      </c>
      <c r="AT35" s="153">
        <f t="shared" si="4"/>
        <v>5.2000000000000011</v>
      </c>
      <c r="AU35" s="153">
        <f t="shared" si="4"/>
        <v>5.2800000000000011</v>
      </c>
      <c r="AV35" s="153">
        <f t="shared" si="4"/>
        <v>5.3600000000000012</v>
      </c>
      <c r="AW35" s="153">
        <f t="shared" si="4"/>
        <v>5.4400000000000013</v>
      </c>
      <c r="AX35" s="153">
        <f t="shared" si="4"/>
        <v>5.5200000000000014</v>
      </c>
      <c r="AY35" s="153">
        <v>5.6</v>
      </c>
    </row>
    <row r="37" spans="3:51">
      <c r="C37" s="35" t="s">
        <v>787</v>
      </c>
    </row>
    <row r="39" spans="3:51">
      <c r="E39" s="78" t="s">
        <v>783</v>
      </c>
      <c r="F39" s="78" t="s">
        <v>210</v>
      </c>
      <c r="H39" s="44"/>
      <c r="J39" s="44" t="s">
        <v>788</v>
      </c>
      <c r="L39" s="44"/>
      <c r="N39" s="44"/>
      <c r="P39" s="153">
        <v>2.3250000000000002</v>
      </c>
      <c r="Q39" s="567">
        <f>P39+($Z39-$P39)/10</f>
        <v>2.4750000000000001</v>
      </c>
      <c r="R39" s="567">
        <f t="shared" ref="R39:Y39" si="6">Q39+($Z39-$P39)/10</f>
        <v>2.625</v>
      </c>
      <c r="S39" s="567">
        <f t="shared" si="6"/>
        <v>2.7749999999999999</v>
      </c>
      <c r="T39" s="567">
        <f t="shared" si="6"/>
        <v>2.9249999999999998</v>
      </c>
      <c r="U39" s="567">
        <f t="shared" si="6"/>
        <v>3.0749999999999997</v>
      </c>
      <c r="V39" s="567">
        <f t="shared" si="6"/>
        <v>3.2249999999999996</v>
      </c>
      <c r="W39" s="567">
        <f t="shared" si="6"/>
        <v>3.3749999999999996</v>
      </c>
      <c r="X39" s="567">
        <f t="shared" si="6"/>
        <v>3.5249999999999995</v>
      </c>
      <c r="Y39" s="567">
        <f t="shared" si="6"/>
        <v>3.6749999999999994</v>
      </c>
      <c r="Z39" s="153">
        <v>3.8250000000000002</v>
      </c>
      <c r="AA39" s="153">
        <f>Z39+($AY39-$Z39)/25</f>
        <v>3.8250000000000002</v>
      </c>
      <c r="AB39" s="153">
        <f t="shared" ref="AB39:AX39" si="7">AA39+($AY39-$Z39)/25</f>
        <v>3.8250000000000002</v>
      </c>
      <c r="AC39" s="153">
        <f t="shared" si="7"/>
        <v>3.8250000000000002</v>
      </c>
      <c r="AD39" s="153">
        <f t="shared" si="7"/>
        <v>3.8250000000000002</v>
      </c>
      <c r="AE39" s="153">
        <f t="shared" si="7"/>
        <v>3.8250000000000002</v>
      </c>
      <c r="AF39" s="153">
        <f t="shared" si="7"/>
        <v>3.8250000000000002</v>
      </c>
      <c r="AG39" s="153">
        <f t="shared" si="7"/>
        <v>3.8250000000000002</v>
      </c>
      <c r="AH39" s="153">
        <f t="shared" si="7"/>
        <v>3.8250000000000002</v>
      </c>
      <c r="AI39" s="153">
        <f t="shared" si="7"/>
        <v>3.8250000000000002</v>
      </c>
      <c r="AJ39" s="153">
        <f t="shared" si="7"/>
        <v>3.8250000000000002</v>
      </c>
      <c r="AK39" s="153">
        <f t="shared" si="7"/>
        <v>3.8250000000000002</v>
      </c>
      <c r="AL39" s="153">
        <f t="shared" si="7"/>
        <v>3.8250000000000002</v>
      </c>
      <c r="AM39" s="153">
        <f t="shared" si="7"/>
        <v>3.8250000000000002</v>
      </c>
      <c r="AN39" s="153">
        <f t="shared" si="7"/>
        <v>3.8250000000000002</v>
      </c>
      <c r="AO39" s="153">
        <f t="shared" si="7"/>
        <v>3.8250000000000002</v>
      </c>
      <c r="AP39" s="153">
        <f t="shared" si="7"/>
        <v>3.8250000000000002</v>
      </c>
      <c r="AQ39" s="153">
        <f t="shared" si="7"/>
        <v>3.8250000000000002</v>
      </c>
      <c r="AR39" s="153">
        <f t="shared" si="7"/>
        <v>3.8250000000000002</v>
      </c>
      <c r="AS39" s="153">
        <f t="shared" si="7"/>
        <v>3.8250000000000002</v>
      </c>
      <c r="AT39" s="153">
        <f t="shared" si="7"/>
        <v>3.8250000000000002</v>
      </c>
      <c r="AU39" s="153">
        <f t="shared" si="7"/>
        <v>3.8250000000000002</v>
      </c>
      <c r="AV39" s="153">
        <f t="shared" si="7"/>
        <v>3.8250000000000002</v>
      </c>
      <c r="AW39" s="153">
        <f t="shared" si="7"/>
        <v>3.8250000000000002</v>
      </c>
      <c r="AX39" s="153">
        <f t="shared" si="7"/>
        <v>3.8250000000000002</v>
      </c>
      <c r="AY39" s="153">
        <v>3.8250000000000002</v>
      </c>
    </row>
    <row r="40" spans="3:51">
      <c r="E40" s="78" t="s">
        <v>785</v>
      </c>
      <c r="F40" s="78" t="s">
        <v>210</v>
      </c>
      <c r="H40" s="44"/>
      <c r="J40" s="44"/>
      <c r="L40" s="44"/>
      <c r="N40" s="44"/>
      <c r="P40" s="153">
        <v>2.9</v>
      </c>
      <c r="Q40" s="567">
        <f>P40+($Z40-$P40)/10</f>
        <v>3.05</v>
      </c>
      <c r="R40" s="567">
        <f t="shared" ref="R40:Y40" si="8">Q40+($Z40-$P40)/10</f>
        <v>3.1999999999999997</v>
      </c>
      <c r="S40" s="567">
        <f t="shared" si="8"/>
        <v>3.3499999999999996</v>
      </c>
      <c r="T40" s="567">
        <f t="shared" si="8"/>
        <v>3.4999999999999996</v>
      </c>
      <c r="U40" s="567">
        <f t="shared" si="8"/>
        <v>3.6499999999999995</v>
      </c>
      <c r="V40" s="567">
        <f t="shared" si="8"/>
        <v>3.7999999999999994</v>
      </c>
      <c r="W40" s="567">
        <f t="shared" si="8"/>
        <v>3.9499999999999993</v>
      </c>
      <c r="X40" s="567">
        <f t="shared" si="8"/>
        <v>4.0999999999999996</v>
      </c>
      <c r="Y40" s="567">
        <f t="shared" si="8"/>
        <v>4.25</v>
      </c>
      <c r="Z40" s="153">
        <v>4.4000000000000004</v>
      </c>
      <c r="AA40" s="153">
        <f>Z40+($AY40-$Z40)/25</f>
        <v>4.4000000000000004</v>
      </c>
      <c r="AB40" s="153">
        <f t="shared" ref="AB40:AX40" si="9">AA40+($AY40-$Z40)/25</f>
        <v>4.4000000000000004</v>
      </c>
      <c r="AC40" s="153">
        <f t="shared" si="9"/>
        <v>4.4000000000000004</v>
      </c>
      <c r="AD40" s="153">
        <f t="shared" si="9"/>
        <v>4.4000000000000004</v>
      </c>
      <c r="AE40" s="153">
        <f t="shared" si="9"/>
        <v>4.4000000000000004</v>
      </c>
      <c r="AF40" s="153">
        <f t="shared" si="9"/>
        <v>4.4000000000000004</v>
      </c>
      <c r="AG40" s="153">
        <f t="shared" si="9"/>
        <v>4.4000000000000004</v>
      </c>
      <c r="AH40" s="153">
        <f t="shared" si="9"/>
        <v>4.4000000000000004</v>
      </c>
      <c r="AI40" s="153">
        <f t="shared" si="9"/>
        <v>4.4000000000000004</v>
      </c>
      <c r="AJ40" s="153">
        <f t="shared" si="9"/>
        <v>4.4000000000000004</v>
      </c>
      <c r="AK40" s="153">
        <f t="shared" si="9"/>
        <v>4.4000000000000004</v>
      </c>
      <c r="AL40" s="153">
        <f t="shared" si="9"/>
        <v>4.4000000000000004</v>
      </c>
      <c r="AM40" s="153">
        <f t="shared" si="9"/>
        <v>4.4000000000000004</v>
      </c>
      <c r="AN40" s="153">
        <f t="shared" si="9"/>
        <v>4.4000000000000004</v>
      </c>
      <c r="AO40" s="153">
        <f t="shared" si="9"/>
        <v>4.4000000000000004</v>
      </c>
      <c r="AP40" s="153">
        <f t="shared" si="9"/>
        <v>4.4000000000000004</v>
      </c>
      <c r="AQ40" s="153">
        <f t="shared" si="9"/>
        <v>4.4000000000000004</v>
      </c>
      <c r="AR40" s="153">
        <f t="shared" si="9"/>
        <v>4.4000000000000004</v>
      </c>
      <c r="AS40" s="153">
        <f t="shared" si="9"/>
        <v>4.4000000000000004</v>
      </c>
      <c r="AT40" s="153">
        <f t="shared" si="9"/>
        <v>4.4000000000000004</v>
      </c>
      <c r="AU40" s="153">
        <f t="shared" si="9"/>
        <v>4.4000000000000004</v>
      </c>
      <c r="AV40" s="153">
        <f t="shared" si="9"/>
        <v>4.4000000000000004</v>
      </c>
      <c r="AW40" s="153">
        <f t="shared" si="9"/>
        <v>4.4000000000000004</v>
      </c>
      <c r="AX40" s="153">
        <f t="shared" si="9"/>
        <v>4.4000000000000004</v>
      </c>
      <c r="AY40" s="153">
        <v>4.4000000000000004</v>
      </c>
    </row>
    <row r="41" spans="3:51">
      <c r="E41" s="78" t="s">
        <v>786</v>
      </c>
      <c r="F41" s="78" t="s">
        <v>210</v>
      </c>
      <c r="H41" s="44"/>
      <c r="J41" s="44"/>
      <c r="L41" s="44"/>
      <c r="N41" s="44"/>
      <c r="P41" s="153">
        <v>4.4000000000000004</v>
      </c>
      <c r="Q41" s="567">
        <f>P41+($Z41-$P41)/10</f>
        <v>4.5500000000000007</v>
      </c>
      <c r="R41" s="567">
        <f t="shared" ref="R41:Y41" si="10">Q41+($Z41-$P41)/10</f>
        <v>4.7000000000000011</v>
      </c>
      <c r="S41" s="567">
        <f t="shared" si="10"/>
        <v>4.8500000000000014</v>
      </c>
      <c r="T41" s="567">
        <f t="shared" si="10"/>
        <v>5.0000000000000018</v>
      </c>
      <c r="U41" s="567">
        <f t="shared" si="10"/>
        <v>5.1500000000000021</v>
      </c>
      <c r="V41" s="567">
        <f t="shared" si="10"/>
        <v>5.3000000000000025</v>
      </c>
      <c r="W41" s="567">
        <f t="shared" si="10"/>
        <v>5.4500000000000028</v>
      </c>
      <c r="X41" s="567">
        <f t="shared" si="10"/>
        <v>5.6000000000000032</v>
      </c>
      <c r="Y41" s="567">
        <f t="shared" si="10"/>
        <v>5.7500000000000036</v>
      </c>
      <c r="Z41" s="153">
        <v>5.9</v>
      </c>
      <c r="AA41" s="153">
        <f>Z41+($AY41-$Z41)/25</f>
        <v>5.9</v>
      </c>
      <c r="AB41" s="153">
        <f t="shared" ref="AB41:AX41" si="11">AA41+($AY41-$Z41)/25</f>
        <v>5.9</v>
      </c>
      <c r="AC41" s="153">
        <f t="shared" si="11"/>
        <v>5.9</v>
      </c>
      <c r="AD41" s="153">
        <f t="shared" si="11"/>
        <v>5.9</v>
      </c>
      <c r="AE41" s="153">
        <f t="shared" si="11"/>
        <v>5.9</v>
      </c>
      <c r="AF41" s="153">
        <f t="shared" si="11"/>
        <v>5.9</v>
      </c>
      <c r="AG41" s="153">
        <f t="shared" si="11"/>
        <v>5.9</v>
      </c>
      <c r="AH41" s="153">
        <f t="shared" si="11"/>
        <v>5.9</v>
      </c>
      <c r="AI41" s="153">
        <f t="shared" si="11"/>
        <v>5.9</v>
      </c>
      <c r="AJ41" s="153">
        <f t="shared" si="11"/>
        <v>5.9</v>
      </c>
      <c r="AK41" s="153">
        <f t="shared" si="11"/>
        <v>5.9</v>
      </c>
      <c r="AL41" s="153">
        <f t="shared" si="11"/>
        <v>5.9</v>
      </c>
      <c r="AM41" s="153">
        <f t="shared" si="11"/>
        <v>5.9</v>
      </c>
      <c r="AN41" s="153">
        <f t="shared" si="11"/>
        <v>5.9</v>
      </c>
      <c r="AO41" s="153">
        <f t="shared" si="11"/>
        <v>5.9</v>
      </c>
      <c r="AP41" s="153">
        <f t="shared" si="11"/>
        <v>5.9</v>
      </c>
      <c r="AQ41" s="153">
        <f t="shared" si="11"/>
        <v>5.9</v>
      </c>
      <c r="AR41" s="153">
        <f t="shared" si="11"/>
        <v>5.9</v>
      </c>
      <c r="AS41" s="153">
        <f t="shared" si="11"/>
        <v>5.9</v>
      </c>
      <c r="AT41" s="153">
        <f t="shared" si="11"/>
        <v>5.9</v>
      </c>
      <c r="AU41" s="153">
        <f t="shared" si="11"/>
        <v>5.9</v>
      </c>
      <c r="AV41" s="153">
        <f t="shared" si="11"/>
        <v>5.9</v>
      </c>
      <c r="AW41" s="153">
        <f t="shared" si="11"/>
        <v>5.9</v>
      </c>
      <c r="AX41" s="153">
        <f t="shared" si="11"/>
        <v>5.9</v>
      </c>
      <c r="AY41" s="153">
        <v>5.9</v>
      </c>
    </row>
    <row r="42" spans="3:51">
      <c r="E42" s="78"/>
      <c r="F42" s="78"/>
      <c r="G42" s="81"/>
      <c r="H42" s="81"/>
      <c r="I42" s="81"/>
    </row>
    <row r="43" spans="3:51">
      <c r="C43" s="35" t="s">
        <v>789</v>
      </c>
      <c r="E43" s="78"/>
      <c r="F43" s="78"/>
    </row>
    <row r="44" spans="3:51">
      <c r="E44" s="78" t="s">
        <v>790</v>
      </c>
      <c r="F44" s="78"/>
      <c r="H44" s="44"/>
      <c r="J44" s="44" t="s">
        <v>784</v>
      </c>
      <c r="L44" s="44"/>
      <c r="N44" s="44"/>
      <c r="P44" s="153">
        <v>0.33333333333333215</v>
      </c>
      <c r="Q44" s="153">
        <v>0.34340161545728792</v>
      </c>
      <c r="R44" s="153">
        <v>0.35346989758124386</v>
      </c>
      <c r="S44" s="153">
        <v>0.36353817970520019</v>
      </c>
      <c r="T44" s="153">
        <v>0.37360646182915569</v>
      </c>
      <c r="U44" s="153">
        <v>0.38367474395311141</v>
      </c>
      <c r="V44" s="153">
        <v>0.39374302607706674</v>
      </c>
      <c r="W44" s="153">
        <v>0.40381130820102201</v>
      </c>
      <c r="X44" s="153">
        <v>0.41387959032497812</v>
      </c>
      <c r="Y44" s="153">
        <v>0.42394787244893356</v>
      </c>
      <c r="Z44" s="153">
        <v>0.43401615457288845</v>
      </c>
      <c r="AA44" s="153">
        <v>0.43242952085976377</v>
      </c>
      <c r="AB44" s="153">
        <v>0.43084288714663888</v>
      </c>
      <c r="AC44" s="153">
        <v>0.42925625343351342</v>
      </c>
      <c r="AD44" s="153">
        <v>0.42766961972038858</v>
      </c>
      <c r="AE44" s="153">
        <v>0.42608298600726319</v>
      </c>
      <c r="AF44" s="153">
        <v>0.42449635229413885</v>
      </c>
      <c r="AG44" s="153">
        <v>0.42290971858101378</v>
      </c>
      <c r="AH44" s="153">
        <v>0.42132308486788866</v>
      </c>
      <c r="AI44" s="153">
        <v>0.41973645115476405</v>
      </c>
      <c r="AJ44" s="153">
        <v>0.41814981744163798</v>
      </c>
      <c r="AK44" s="153">
        <v>0.41656318372851353</v>
      </c>
      <c r="AL44" s="153">
        <v>0.41497655001538875</v>
      </c>
      <c r="AM44" s="153">
        <v>0.41338991630226346</v>
      </c>
      <c r="AN44" s="153">
        <v>0.41180328258913862</v>
      </c>
      <c r="AO44" s="153">
        <v>0.41021664887601356</v>
      </c>
      <c r="AP44" s="153">
        <v>0.4086300151628881</v>
      </c>
      <c r="AQ44" s="153">
        <v>0.40704338144976376</v>
      </c>
      <c r="AR44" s="153">
        <v>0.40545674773663881</v>
      </c>
      <c r="AS44" s="153">
        <v>0.40387011402351342</v>
      </c>
      <c r="AT44" s="153">
        <v>0.40228348031038785</v>
      </c>
      <c r="AU44" s="153">
        <v>0.40069684659726373</v>
      </c>
      <c r="AV44" s="153">
        <v>0.39911021288413817</v>
      </c>
      <c r="AW44" s="153">
        <v>0.39752357917101289</v>
      </c>
      <c r="AX44" s="153">
        <v>0.3959369454578886</v>
      </c>
      <c r="AY44" s="153">
        <v>0.39435031174476348</v>
      </c>
    </row>
    <row r="45" spans="3:51">
      <c r="E45" s="78" t="s">
        <v>791</v>
      </c>
      <c r="F45" s="78"/>
      <c r="H45" s="44"/>
      <c r="J45" s="44"/>
      <c r="L45" s="44"/>
      <c r="N45" s="44"/>
      <c r="P45" s="153">
        <v>0.33333333333333215</v>
      </c>
      <c r="Q45" s="153">
        <v>0.31834131154883466</v>
      </c>
      <c r="R45" s="153">
        <v>0.30334928976433545</v>
      </c>
      <c r="S45" s="153">
        <v>0.28835726797983668</v>
      </c>
      <c r="T45" s="153">
        <v>0.27336524619533759</v>
      </c>
      <c r="U45" s="153">
        <v>0.25837322441083865</v>
      </c>
      <c r="V45" s="153">
        <v>0.24338120262633986</v>
      </c>
      <c r="W45" s="153">
        <v>0.22838918084184162</v>
      </c>
      <c r="X45" s="153">
        <v>0.21339715905734202</v>
      </c>
      <c r="Y45" s="153">
        <v>0.19840513727284348</v>
      </c>
      <c r="Z45" s="153">
        <v>0.18341311548834413</v>
      </c>
      <c r="AA45" s="153">
        <v>0.18642556155962256</v>
      </c>
      <c r="AB45" s="153">
        <v>0.18943800763090102</v>
      </c>
      <c r="AC45" s="153">
        <v>0.19245045370217936</v>
      </c>
      <c r="AD45" s="153">
        <v>0.1954628997734579</v>
      </c>
      <c r="AE45" s="153">
        <v>0.19847534584473611</v>
      </c>
      <c r="AF45" s="153">
        <v>0.20148779191601457</v>
      </c>
      <c r="AG45" s="153">
        <v>0.204500237987293</v>
      </c>
      <c r="AH45" s="153">
        <v>0.20751268405857104</v>
      </c>
      <c r="AI45" s="153">
        <v>0.21052513012984986</v>
      </c>
      <c r="AJ45" s="153">
        <v>0.21353757620112809</v>
      </c>
      <c r="AK45" s="153">
        <v>0.21655002227240669</v>
      </c>
      <c r="AL45" s="153">
        <v>0.21956246834368442</v>
      </c>
      <c r="AM45" s="153">
        <v>0.22257491441496277</v>
      </c>
      <c r="AN45" s="153">
        <v>0.22558736048624134</v>
      </c>
      <c r="AO45" s="153">
        <v>0.22859980655751991</v>
      </c>
      <c r="AP45" s="153">
        <v>0.23161225262879784</v>
      </c>
      <c r="AQ45" s="153">
        <v>0.23462469870007671</v>
      </c>
      <c r="AR45" s="153">
        <v>0.2376371447713545</v>
      </c>
      <c r="AS45" s="153">
        <v>0.24064959084263352</v>
      </c>
      <c r="AT45" s="153">
        <v>0.24366203691391164</v>
      </c>
      <c r="AU45" s="153">
        <v>0.2466744829851899</v>
      </c>
      <c r="AV45" s="153">
        <v>0.2496869290564683</v>
      </c>
      <c r="AW45" s="153">
        <v>0.25269937512774654</v>
      </c>
      <c r="AX45" s="153">
        <v>0.25571182119902508</v>
      </c>
      <c r="AY45" s="153">
        <v>0.25872426727030357</v>
      </c>
    </row>
    <row r="46" spans="3:51">
      <c r="E46" s="78" t="s">
        <v>792</v>
      </c>
      <c r="F46" s="78"/>
      <c r="H46" s="44"/>
      <c r="J46" s="44"/>
      <c r="L46" s="44"/>
      <c r="N46" s="44"/>
      <c r="P46" s="153">
        <v>0.33333333333333215</v>
      </c>
      <c r="Q46" s="153">
        <v>0.33825707299387653</v>
      </c>
      <c r="R46" s="153">
        <v>0.34318081265442046</v>
      </c>
      <c r="S46" s="153">
        <v>0.34810455231496351</v>
      </c>
      <c r="T46" s="153">
        <v>0.35302829197550656</v>
      </c>
      <c r="U46" s="153">
        <v>0.35795203163604983</v>
      </c>
      <c r="V46" s="153">
        <v>0.36287577129659399</v>
      </c>
      <c r="W46" s="153">
        <v>0.36779951095713664</v>
      </c>
      <c r="X46" s="153">
        <v>0.37272325061768047</v>
      </c>
      <c r="Y46" s="153">
        <v>0.37764699027822302</v>
      </c>
      <c r="Z46" s="153">
        <v>0.38257072993876695</v>
      </c>
      <c r="AA46" s="153">
        <v>0.38114491758061347</v>
      </c>
      <c r="AB46" s="153">
        <v>0.37971910522245977</v>
      </c>
      <c r="AC46" s="153">
        <v>0.37829329286430674</v>
      </c>
      <c r="AD46" s="153">
        <v>0.37686748050615304</v>
      </c>
      <c r="AE46" s="153">
        <v>0.37544166814800045</v>
      </c>
      <c r="AF46" s="153">
        <v>0.37401585578984664</v>
      </c>
      <c r="AG46" s="153">
        <v>0.37259004343169316</v>
      </c>
      <c r="AH46" s="153">
        <v>0.37116423107353935</v>
      </c>
      <c r="AI46" s="153">
        <v>0.36973841871538665</v>
      </c>
      <c r="AJ46" s="153">
        <v>0.36831260635723317</v>
      </c>
      <c r="AK46" s="153">
        <v>0.36688679399908042</v>
      </c>
      <c r="AL46" s="153">
        <v>0.36546098164092694</v>
      </c>
      <c r="AM46" s="153">
        <v>0.36403516928277407</v>
      </c>
      <c r="AN46" s="153">
        <v>0.36260935692462037</v>
      </c>
      <c r="AO46" s="153">
        <v>0.3611835445664669</v>
      </c>
      <c r="AP46" s="153">
        <v>0.35975773220831364</v>
      </c>
      <c r="AQ46" s="153">
        <v>0.35833191985016027</v>
      </c>
      <c r="AR46" s="153">
        <v>0.35690610749200619</v>
      </c>
      <c r="AS46" s="153">
        <v>0.35548029513385371</v>
      </c>
      <c r="AT46" s="153">
        <v>0.35405448277570023</v>
      </c>
      <c r="AU46" s="153">
        <v>0.35262867041754659</v>
      </c>
      <c r="AV46" s="153">
        <v>0.35120285805939322</v>
      </c>
      <c r="AW46" s="153">
        <v>0.34977704570124035</v>
      </c>
      <c r="AX46" s="153">
        <v>0.34835123334308665</v>
      </c>
      <c r="AY46" s="153">
        <v>0.34692542098493379</v>
      </c>
    </row>
    <row r="47" spans="3:51">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c r="AS47" s="39"/>
      <c r="AT47" s="39"/>
      <c r="AU47" s="39"/>
      <c r="AV47" s="39"/>
      <c r="AW47" s="39"/>
      <c r="AX47" s="39"/>
      <c r="AY47" s="39"/>
    </row>
    <row r="48" spans="3:51">
      <c r="E48" s="78" t="s">
        <v>793</v>
      </c>
      <c r="F48" s="78"/>
      <c r="H48" s="44"/>
      <c r="J48" s="44" t="s">
        <v>784</v>
      </c>
      <c r="L48" s="44"/>
      <c r="N48" s="44"/>
      <c r="P48" s="153">
        <v>0.57999999999999996</v>
      </c>
      <c r="Q48" s="567">
        <f>P48+($Z48-$P48)/10</f>
        <v>0.54199999999999993</v>
      </c>
      <c r="R48" s="567">
        <f t="shared" ref="R48:Y50" si="12">Q48+($Z48-$P48)/10</f>
        <v>0.50399999999999989</v>
      </c>
      <c r="S48" s="567">
        <f t="shared" si="12"/>
        <v>0.46599999999999991</v>
      </c>
      <c r="T48" s="567">
        <f t="shared" si="12"/>
        <v>0.42799999999999994</v>
      </c>
      <c r="U48" s="567">
        <f t="shared" si="12"/>
        <v>0.38999999999999996</v>
      </c>
      <c r="V48" s="567">
        <f t="shared" si="12"/>
        <v>0.35199999999999998</v>
      </c>
      <c r="W48" s="567">
        <f t="shared" si="12"/>
        <v>0.314</v>
      </c>
      <c r="X48" s="567">
        <f t="shared" si="12"/>
        <v>0.27600000000000002</v>
      </c>
      <c r="Y48" s="567">
        <f t="shared" si="12"/>
        <v>0.23800000000000004</v>
      </c>
      <c r="Z48" s="153">
        <v>0.2</v>
      </c>
      <c r="AA48" s="153">
        <f>Z48+($AY48-$Z48)/25</f>
        <v>0.192</v>
      </c>
      <c r="AB48" s="153">
        <f t="shared" ref="AB48:AX50" si="13">AA48+($AY48-$Z48)/25</f>
        <v>0.184</v>
      </c>
      <c r="AC48" s="153">
        <f t="shared" si="13"/>
        <v>0.17599999999999999</v>
      </c>
      <c r="AD48" s="153">
        <f t="shared" si="13"/>
        <v>0.16799999999999998</v>
      </c>
      <c r="AE48" s="153">
        <f t="shared" si="13"/>
        <v>0.15999999999999998</v>
      </c>
      <c r="AF48" s="153">
        <f t="shared" si="13"/>
        <v>0.15199999999999997</v>
      </c>
      <c r="AG48" s="153">
        <f t="shared" si="13"/>
        <v>0.14399999999999996</v>
      </c>
      <c r="AH48" s="153">
        <f t="shared" si="13"/>
        <v>0.13599999999999995</v>
      </c>
      <c r="AI48" s="153">
        <f t="shared" si="13"/>
        <v>0.12799999999999995</v>
      </c>
      <c r="AJ48" s="153">
        <f t="shared" si="13"/>
        <v>0.11999999999999994</v>
      </c>
      <c r="AK48" s="153">
        <f t="shared" si="13"/>
        <v>0.11199999999999993</v>
      </c>
      <c r="AL48" s="153">
        <f t="shared" si="13"/>
        <v>0.10399999999999993</v>
      </c>
      <c r="AM48" s="153">
        <f t="shared" si="13"/>
        <v>9.5999999999999919E-2</v>
      </c>
      <c r="AN48" s="153">
        <f t="shared" si="13"/>
        <v>8.7999999999999912E-2</v>
      </c>
      <c r="AO48" s="153">
        <f t="shared" si="13"/>
        <v>7.9999999999999905E-2</v>
      </c>
      <c r="AP48" s="153">
        <f t="shared" si="13"/>
        <v>7.1999999999999897E-2</v>
      </c>
      <c r="AQ48" s="153">
        <f t="shared" si="13"/>
        <v>6.399999999999989E-2</v>
      </c>
      <c r="AR48" s="153">
        <f t="shared" si="13"/>
        <v>5.599999999999989E-2</v>
      </c>
      <c r="AS48" s="153">
        <f t="shared" si="13"/>
        <v>4.799999999999989E-2</v>
      </c>
      <c r="AT48" s="153">
        <f t="shared" si="13"/>
        <v>3.999999999999989E-2</v>
      </c>
      <c r="AU48" s="153">
        <f t="shared" si="13"/>
        <v>3.199999999999989E-2</v>
      </c>
      <c r="AV48" s="153">
        <f t="shared" si="13"/>
        <v>2.3999999999999889E-2</v>
      </c>
      <c r="AW48" s="153">
        <f t="shared" si="13"/>
        <v>1.5999999999999889E-2</v>
      </c>
      <c r="AX48" s="153">
        <f t="shared" si="13"/>
        <v>7.9999999999998891E-3</v>
      </c>
      <c r="AY48" s="153">
        <v>0</v>
      </c>
    </row>
    <row r="49" spans="2:51">
      <c r="E49" s="78" t="s">
        <v>794</v>
      </c>
      <c r="F49" s="78"/>
      <c r="H49" s="44"/>
      <c r="J49" s="44"/>
      <c r="L49" s="44"/>
      <c r="N49" s="44"/>
      <c r="P49" s="153">
        <v>0.43</v>
      </c>
      <c r="Q49" s="567">
        <f>P49+($Z49-$P49)/10</f>
        <v>0.45699999999999996</v>
      </c>
      <c r="R49" s="567">
        <f t="shared" si="12"/>
        <v>0.48399999999999999</v>
      </c>
      <c r="S49" s="567">
        <f t="shared" si="12"/>
        <v>0.51100000000000001</v>
      </c>
      <c r="T49" s="567">
        <f t="shared" si="12"/>
        <v>0.53800000000000003</v>
      </c>
      <c r="U49" s="567">
        <f t="shared" si="12"/>
        <v>0.56500000000000006</v>
      </c>
      <c r="V49" s="567">
        <f t="shared" si="12"/>
        <v>0.59200000000000008</v>
      </c>
      <c r="W49" s="567">
        <f t="shared" si="12"/>
        <v>0.61900000000000011</v>
      </c>
      <c r="X49" s="567">
        <f t="shared" si="12"/>
        <v>0.64600000000000013</v>
      </c>
      <c r="Y49" s="567">
        <f t="shared" si="12"/>
        <v>0.67300000000000015</v>
      </c>
      <c r="Z49" s="153">
        <v>0.7</v>
      </c>
      <c r="AA49" s="153">
        <f>Z49+($AY49-$Z49)/25</f>
        <v>0.70399999999999996</v>
      </c>
      <c r="AB49" s="153">
        <f t="shared" si="13"/>
        <v>0.70799999999999996</v>
      </c>
      <c r="AC49" s="153">
        <f t="shared" si="13"/>
        <v>0.71199999999999997</v>
      </c>
      <c r="AD49" s="153">
        <f t="shared" si="13"/>
        <v>0.71599999999999997</v>
      </c>
      <c r="AE49" s="153">
        <f t="shared" si="13"/>
        <v>0.72</v>
      </c>
      <c r="AF49" s="153">
        <f t="shared" si="13"/>
        <v>0.72399999999999998</v>
      </c>
      <c r="AG49" s="153">
        <f t="shared" si="13"/>
        <v>0.72799999999999998</v>
      </c>
      <c r="AH49" s="153">
        <f t="shared" si="13"/>
        <v>0.73199999999999998</v>
      </c>
      <c r="AI49" s="153">
        <f t="shared" si="13"/>
        <v>0.73599999999999999</v>
      </c>
      <c r="AJ49" s="153">
        <f t="shared" si="13"/>
        <v>0.74</v>
      </c>
      <c r="AK49" s="153">
        <f t="shared" si="13"/>
        <v>0.74399999999999999</v>
      </c>
      <c r="AL49" s="153">
        <f t="shared" si="13"/>
        <v>0.748</v>
      </c>
      <c r="AM49" s="153">
        <f t="shared" si="13"/>
        <v>0.752</v>
      </c>
      <c r="AN49" s="153">
        <f t="shared" si="13"/>
        <v>0.75600000000000001</v>
      </c>
      <c r="AO49" s="153">
        <f t="shared" si="13"/>
        <v>0.76</v>
      </c>
      <c r="AP49" s="153">
        <f t="shared" si="13"/>
        <v>0.76400000000000001</v>
      </c>
      <c r="AQ49" s="153">
        <f t="shared" si="13"/>
        <v>0.76800000000000002</v>
      </c>
      <c r="AR49" s="153">
        <f t="shared" si="13"/>
        <v>0.77200000000000002</v>
      </c>
      <c r="AS49" s="153">
        <f t="shared" si="13"/>
        <v>0.77600000000000002</v>
      </c>
      <c r="AT49" s="153">
        <f t="shared" si="13"/>
        <v>0.78</v>
      </c>
      <c r="AU49" s="153">
        <f t="shared" si="13"/>
        <v>0.78400000000000003</v>
      </c>
      <c r="AV49" s="153">
        <f t="shared" si="13"/>
        <v>0.78800000000000003</v>
      </c>
      <c r="AW49" s="153">
        <f t="shared" si="13"/>
        <v>0.79200000000000004</v>
      </c>
      <c r="AX49" s="153">
        <f t="shared" si="13"/>
        <v>0.79600000000000004</v>
      </c>
      <c r="AY49" s="153">
        <v>0.8</v>
      </c>
    </row>
    <row r="50" spans="2:51">
      <c r="E50" s="78" t="s">
        <v>795</v>
      </c>
      <c r="F50" s="78"/>
      <c r="H50" s="44"/>
      <c r="J50" s="44"/>
      <c r="L50" s="44"/>
      <c r="N50" s="44"/>
      <c r="P50" s="153">
        <v>0</v>
      </c>
      <c r="Q50" s="567">
        <f>P50+($Z50-$P50)/10</f>
        <v>0.01</v>
      </c>
      <c r="R50" s="567">
        <f t="shared" si="12"/>
        <v>0.02</v>
      </c>
      <c r="S50" s="567">
        <f t="shared" si="12"/>
        <v>0.03</v>
      </c>
      <c r="T50" s="567">
        <f t="shared" si="12"/>
        <v>0.04</v>
      </c>
      <c r="U50" s="567">
        <f t="shared" si="12"/>
        <v>0.05</v>
      </c>
      <c r="V50" s="567">
        <f t="shared" si="12"/>
        <v>6.0000000000000005E-2</v>
      </c>
      <c r="W50" s="567">
        <f t="shared" si="12"/>
        <v>7.0000000000000007E-2</v>
      </c>
      <c r="X50" s="567">
        <f t="shared" si="12"/>
        <v>0.08</v>
      </c>
      <c r="Y50" s="567">
        <f t="shared" si="12"/>
        <v>0.09</v>
      </c>
      <c r="Z50" s="153">
        <v>0.1</v>
      </c>
      <c r="AA50" s="153">
        <f>Z50+($AY50-$Z50)/25</f>
        <v>0.10400000000000001</v>
      </c>
      <c r="AB50" s="153">
        <f t="shared" si="13"/>
        <v>0.10800000000000001</v>
      </c>
      <c r="AC50" s="153">
        <f t="shared" si="13"/>
        <v>0.11200000000000002</v>
      </c>
      <c r="AD50" s="153">
        <f t="shared" si="13"/>
        <v>0.11600000000000002</v>
      </c>
      <c r="AE50" s="153">
        <f t="shared" si="13"/>
        <v>0.12000000000000002</v>
      </c>
      <c r="AF50" s="153">
        <f t="shared" si="13"/>
        <v>0.12400000000000003</v>
      </c>
      <c r="AG50" s="153">
        <f t="shared" si="13"/>
        <v>0.12800000000000003</v>
      </c>
      <c r="AH50" s="153">
        <f t="shared" si="13"/>
        <v>0.13200000000000003</v>
      </c>
      <c r="AI50" s="153">
        <f t="shared" si="13"/>
        <v>0.13600000000000004</v>
      </c>
      <c r="AJ50" s="153">
        <f t="shared" si="13"/>
        <v>0.14000000000000004</v>
      </c>
      <c r="AK50" s="153">
        <f t="shared" si="13"/>
        <v>0.14400000000000004</v>
      </c>
      <c r="AL50" s="153">
        <f t="shared" si="13"/>
        <v>0.14800000000000005</v>
      </c>
      <c r="AM50" s="153">
        <f t="shared" si="13"/>
        <v>0.15200000000000005</v>
      </c>
      <c r="AN50" s="153">
        <f t="shared" si="13"/>
        <v>0.15600000000000006</v>
      </c>
      <c r="AO50" s="153">
        <f t="shared" si="13"/>
        <v>0.16000000000000006</v>
      </c>
      <c r="AP50" s="153">
        <f t="shared" si="13"/>
        <v>0.16400000000000006</v>
      </c>
      <c r="AQ50" s="153">
        <f t="shared" si="13"/>
        <v>0.16800000000000007</v>
      </c>
      <c r="AR50" s="153">
        <f t="shared" si="13"/>
        <v>0.17200000000000007</v>
      </c>
      <c r="AS50" s="153">
        <f t="shared" si="13"/>
        <v>0.17600000000000007</v>
      </c>
      <c r="AT50" s="153">
        <f t="shared" si="13"/>
        <v>0.18000000000000008</v>
      </c>
      <c r="AU50" s="153">
        <f t="shared" si="13"/>
        <v>0.18400000000000008</v>
      </c>
      <c r="AV50" s="153">
        <f t="shared" si="13"/>
        <v>0.18800000000000008</v>
      </c>
      <c r="AW50" s="153">
        <f t="shared" si="13"/>
        <v>0.19200000000000009</v>
      </c>
      <c r="AX50" s="153">
        <f t="shared" si="13"/>
        <v>0.19600000000000009</v>
      </c>
      <c r="AY50" s="153">
        <v>0.2</v>
      </c>
    </row>
    <row r="51" spans="2:51" ht="14.25" customHeight="1">
      <c r="N51" s="35"/>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c r="AS51" s="39"/>
      <c r="AT51" s="39"/>
      <c r="AU51" s="39"/>
      <c r="AV51" s="39"/>
      <c r="AW51" s="39"/>
      <c r="AX51" s="39"/>
      <c r="AY51" s="39"/>
    </row>
    <row r="52" spans="2:51">
      <c r="C52" s="35" t="s">
        <v>796</v>
      </c>
      <c r="N52" s="35" t="s">
        <v>157</v>
      </c>
      <c r="P52" s="39">
        <f>SUMPRODUCT(P33:P35,P44:P46)</f>
        <v>2.2766666666666584</v>
      </c>
      <c r="Q52" s="39">
        <f>SUMPRODUCT(Q33:Q35,Q44:Q46)</f>
        <v>2.2801259796190059</v>
      </c>
      <c r="R52" s="39">
        <f t="shared" ref="R52:AY52" si="14">SUMPRODUCT(R33:R35,R44:R46)</f>
        <v>2.2841761413306121</v>
      </c>
      <c r="S52" s="39">
        <f t="shared" si="14"/>
        <v>2.2888171518014828</v>
      </c>
      <c r="T52" s="39">
        <f t="shared" si="14"/>
        <v>2.2940490110316167</v>
      </c>
      <c r="U52" s="39">
        <f t="shared" si="14"/>
        <v>2.2998717190210174</v>
      </c>
      <c r="V52" s="39">
        <f t="shared" si="14"/>
        <v>2.3062852757696861</v>
      </c>
      <c r="W52" s="39">
        <f t="shared" si="14"/>
        <v>2.3132896812776167</v>
      </c>
      <c r="X52" s="39">
        <f t="shared" si="14"/>
        <v>2.3208849355448136</v>
      </c>
      <c r="Y52" s="39">
        <f t="shared" si="14"/>
        <v>2.3290710385712732</v>
      </c>
      <c r="Z52" s="39">
        <f t="shared" si="14"/>
        <v>2.337847990357</v>
      </c>
      <c r="AA52" s="39">
        <f t="shared" si="14"/>
        <v>2.3798666686247598</v>
      </c>
      <c r="AB52" s="39">
        <f t="shared" si="14"/>
        <v>2.4215848664178967</v>
      </c>
      <c r="AC52" s="39">
        <f t="shared" si="14"/>
        <v>2.4630025837364116</v>
      </c>
      <c r="AD52" s="39">
        <f t="shared" si="14"/>
        <v>2.5041198205803017</v>
      </c>
      <c r="AE52" s="39">
        <f t="shared" si="14"/>
        <v>2.5449365769495715</v>
      </c>
      <c r="AF52" s="39">
        <f t="shared" si="14"/>
        <v>2.5854528528442158</v>
      </c>
      <c r="AG52" s="39">
        <f t="shared" si="14"/>
        <v>2.625668648264238</v>
      </c>
      <c r="AH52" s="39">
        <f t="shared" si="14"/>
        <v>2.6655839632096336</v>
      </c>
      <c r="AI52" s="39">
        <f t="shared" si="14"/>
        <v>2.7051987976804144</v>
      </c>
      <c r="AJ52" s="39">
        <f t="shared" si="14"/>
        <v>2.7445131516765651</v>
      </c>
      <c r="AK52" s="39">
        <f t="shared" si="14"/>
        <v>2.783527025198099</v>
      </c>
      <c r="AL52" s="39">
        <f t="shared" si="14"/>
        <v>2.8222404182450038</v>
      </c>
      <c r="AM52" s="39">
        <f t="shared" si="14"/>
        <v>2.8606533308172892</v>
      </c>
      <c r="AN52" s="39">
        <f t="shared" si="14"/>
        <v>2.8987657629149495</v>
      </c>
      <c r="AO52" s="39">
        <f t="shared" si="14"/>
        <v>2.9365777145379872</v>
      </c>
      <c r="AP52" s="39">
        <f t="shared" si="14"/>
        <v>2.9740891856864007</v>
      </c>
      <c r="AQ52" s="39">
        <f t="shared" si="14"/>
        <v>3.0113001763601943</v>
      </c>
      <c r="AR52" s="39">
        <f t="shared" si="14"/>
        <v>3.0482106865593583</v>
      </c>
      <c r="AS52" s="39">
        <f t="shared" si="14"/>
        <v>3.0848207162839092</v>
      </c>
      <c r="AT52" s="39">
        <f t="shared" si="14"/>
        <v>3.1211302655338296</v>
      </c>
      <c r="AU52" s="39">
        <f t="shared" si="14"/>
        <v>3.1571393343091292</v>
      </c>
      <c r="AV52" s="39">
        <f t="shared" si="14"/>
        <v>3.192847922609805</v>
      </c>
      <c r="AW52" s="39">
        <f t="shared" si="14"/>
        <v>3.2282560304358601</v>
      </c>
      <c r="AX52" s="39">
        <f t="shared" si="14"/>
        <v>3.2633636577872904</v>
      </c>
      <c r="AY52" s="39">
        <f t="shared" si="14"/>
        <v>3.2981708046641005</v>
      </c>
    </row>
    <row r="53" spans="2:51">
      <c r="N53" s="35" t="s">
        <v>797</v>
      </c>
      <c r="P53" s="39">
        <f>SUMPRODUCT(P39:P41,P48:P50)</f>
        <v>2.5954999999999999</v>
      </c>
      <c r="Q53" s="39">
        <f t="shared" ref="Q53:AY53" si="15">SUMPRODUCT(Q39:Q41,Q48:Q50)</f>
        <v>2.7807999999999997</v>
      </c>
      <c r="R53" s="39">
        <f t="shared" si="15"/>
        <v>2.9657999999999993</v>
      </c>
      <c r="S53" s="39">
        <f t="shared" si="15"/>
        <v>3.1505000000000001</v>
      </c>
      <c r="T53" s="39">
        <f t="shared" si="15"/>
        <v>3.3348999999999998</v>
      </c>
      <c r="U53" s="39">
        <f t="shared" si="15"/>
        <v>3.5189999999999997</v>
      </c>
      <c r="V53" s="39">
        <f t="shared" si="15"/>
        <v>3.7027999999999999</v>
      </c>
      <c r="W53" s="39">
        <f t="shared" si="15"/>
        <v>3.8863000000000008</v>
      </c>
      <c r="X53" s="39">
        <f t="shared" si="15"/>
        <v>4.0695000000000006</v>
      </c>
      <c r="Y53" s="39">
        <f t="shared" si="15"/>
        <v>4.2524000000000006</v>
      </c>
      <c r="Z53" s="39">
        <f t="shared" si="15"/>
        <v>4.4350000000000005</v>
      </c>
      <c r="AA53" s="39">
        <f t="shared" si="15"/>
        <v>4.4455999999999998</v>
      </c>
      <c r="AB53" s="39">
        <f t="shared" si="15"/>
        <v>4.4561999999999999</v>
      </c>
      <c r="AC53" s="39">
        <f t="shared" si="15"/>
        <v>4.4668000000000001</v>
      </c>
      <c r="AD53" s="39">
        <f t="shared" si="15"/>
        <v>4.4774000000000003</v>
      </c>
      <c r="AE53" s="39">
        <f t="shared" si="15"/>
        <v>4.4880000000000004</v>
      </c>
      <c r="AF53" s="39">
        <f t="shared" si="15"/>
        <v>4.4985999999999997</v>
      </c>
      <c r="AG53" s="39">
        <f t="shared" si="15"/>
        <v>4.5091999999999999</v>
      </c>
      <c r="AH53" s="39">
        <f t="shared" si="15"/>
        <v>4.5198</v>
      </c>
      <c r="AI53" s="39">
        <f t="shared" si="15"/>
        <v>4.5304000000000002</v>
      </c>
      <c r="AJ53" s="39">
        <f t="shared" si="15"/>
        <v>4.5410000000000004</v>
      </c>
      <c r="AK53" s="39">
        <f t="shared" si="15"/>
        <v>4.5516000000000005</v>
      </c>
      <c r="AL53" s="39">
        <f t="shared" si="15"/>
        <v>4.5622000000000007</v>
      </c>
      <c r="AM53" s="39">
        <f t="shared" si="15"/>
        <v>4.5728</v>
      </c>
      <c r="AN53" s="39">
        <f t="shared" si="15"/>
        <v>4.583400000000001</v>
      </c>
      <c r="AO53" s="39">
        <f t="shared" si="15"/>
        <v>4.5940000000000003</v>
      </c>
      <c r="AP53" s="39">
        <f t="shared" si="15"/>
        <v>4.6045999999999996</v>
      </c>
      <c r="AQ53" s="39">
        <f t="shared" si="15"/>
        <v>4.6152000000000006</v>
      </c>
      <c r="AR53" s="39">
        <f t="shared" si="15"/>
        <v>4.6257999999999999</v>
      </c>
      <c r="AS53" s="39">
        <f t="shared" si="15"/>
        <v>4.636400000000001</v>
      </c>
      <c r="AT53" s="39">
        <f t="shared" si="15"/>
        <v>4.6470000000000002</v>
      </c>
      <c r="AU53" s="39">
        <f t="shared" si="15"/>
        <v>4.6576000000000004</v>
      </c>
      <c r="AV53" s="39">
        <f t="shared" si="15"/>
        <v>4.6682000000000006</v>
      </c>
      <c r="AW53" s="39">
        <f t="shared" si="15"/>
        <v>4.6788000000000007</v>
      </c>
      <c r="AX53" s="39">
        <f t="shared" si="15"/>
        <v>4.6894000000000009</v>
      </c>
      <c r="AY53" s="39">
        <f t="shared" si="15"/>
        <v>4.7000000000000011</v>
      </c>
    </row>
    <row r="54" spans="2:51">
      <c r="N54" s="35"/>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c r="AS54" s="39"/>
      <c r="AT54" s="39"/>
      <c r="AU54" s="39"/>
      <c r="AV54" s="39"/>
      <c r="AW54" s="39"/>
      <c r="AX54" s="39"/>
      <c r="AY54" s="39"/>
    </row>
    <row r="55" spans="2:51" s="92" customFormat="1"/>
    <row r="56" spans="2:51" s="92" customFormat="1"/>
    <row r="57" spans="2:51" s="92" customFormat="1"/>
    <row r="58" spans="2:51" s="92" customFormat="1"/>
    <row r="59" spans="2:51" s="92" customFormat="1"/>
    <row r="60" spans="2:51">
      <c r="N60" s="35"/>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c r="AS60" s="39"/>
      <c r="AT60" s="39"/>
      <c r="AU60" s="39"/>
      <c r="AV60" s="39"/>
      <c r="AW60" s="39"/>
      <c r="AX60" s="39"/>
      <c r="AY60" s="39"/>
    </row>
    <row r="61" spans="2:51">
      <c r="N61" s="35"/>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c r="AS61" s="39"/>
      <c r="AT61" s="39"/>
      <c r="AU61" s="39"/>
      <c r="AV61" s="39"/>
      <c r="AW61" s="39"/>
      <c r="AX61" s="39"/>
      <c r="AY61" s="39"/>
    </row>
    <row r="62" spans="2:51">
      <c r="N62" s="35"/>
      <c r="P62" s="39"/>
      <c r="Q62" s="39"/>
      <c r="R62" s="39"/>
      <c r="S62" s="39"/>
      <c r="T62" s="39"/>
      <c r="U62" s="39"/>
      <c r="V62" s="39"/>
      <c r="W62" s="39"/>
      <c r="X62" s="39"/>
      <c r="Y62" s="39"/>
      <c r="Z62" s="39"/>
      <c r="AA62" s="39"/>
      <c r="AB62" s="39"/>
      <c r="AC62" s="39"/>
      <c r="AD62" s="39"/>
      <c r="AE62" s="39"/>
      <c r="AF62" s="39"/>
      <c r="AG62" s="39"/>
      <c r="AH62" s="39"/>
      <c r="AI62" s="39"/>
      <c r="AJ62" s="39"/>
      <c r="AK62" s="39"/>
      <c r="AL62" s="39"/>
      <c r="AM62" s="39"/>
      <c r="AN62" s="39"/>
      <c r="AO62" s="39"/>
      <c r="AP62" s="39"/>
      <c r="AQ62" s="39"/>
      <c r="AR62" s="39"/>
      <c r="AS62" s="39"/>
      <c r="AT62" s="39"/>
      <c r="AU62" s="39"/>
      <c r="AV62" s="39"/>
      <c r="AW62" s="39"/>
      <c r="AX62" s="39"/>
      <c r="AY62" s="39"/>
    </row>
    <row r="63" spans="2:51" s="92" customFormat="1">
      <c r="B63" s="92" t="s">
        <v>798</v>
      </c>
      <c r="E63" s="165"/>
      <c r="F63" s="165"/>
      <c r="P63" s="166"/>
      <c r="Q63" s="166"/>
      <c r="R63" s="166"/>
      <c r="S63" s="166"/>
      <c r="T63" s="166"/>
      <c r="U63" s="166"/>
      <c r="V63" s="166"/>
      <c r="W63" s="166"/>
      <c r="X63" s="166"/>
      <c r="Y63" s="166"/>
      <c r="Z63" s="166"/>
      <c r="AA63" s="166"/>
      <c r="AB63" s="166"/>
      <c r="AC63" s="166"/>
      <c r="AD63" s="166"/>
      <c r="AE63" s="166"/>
      <c r="AF63" s="166"/>
      <c r="AG63" s="166"/>
      <c r="AH63" s="166"/>
      <c r="AI63" s="166"/>
      <c r="AJ63" s="166"/>
      <c r="AK63" s="166"/>
      <c r="AL63" s="166"/>
      <c r="AM63" s="166"/>
      <c r="AN63" s="166"/>
      <c r="AO63" s="166"/>
      <c r="AP63" s="166"/>
      <c r="AQ63" s="166"/>
      <c r="AR63" s="166"/>
      <c r="AS63" s="166"/>
      <c r="AT63" s="166"/>
      <c r="AU63" s="166"/>
      <c r="AV63" s="166"/>
      <c r="AW63" s="166"/>
      <c r="AX63" s="166"/>
      <c r="AY63" s="166"/>
    </row>
    <row r="64" spans="2:51" s="92" customFormat="1">
      <c r="C64" s="92" t="s">
        <v>157</v>
      </c>
    </row>
    <row r="65" spans="3:51" s="92" customFormat="1">
      <c r="G65" s="167"/>
      <c r="H65" s="167"/>
      <c r="I65" s="167"/>
      <c r="J65" s="167"/>
      <c r="K65" s="167"/>
      <c r="L65" s="167"/>
      <c r="M65" s="167"/>
      <c r="N65" s="167"/>
      <c r="O65" s="167"/>
      <c r="P65" s="167"/>
      <c r="Q65" s="167"/>
      <c r="R65" s="167"/>
      <c r="S65" s="167"/>
      <c r="T65" s="167"/>
      <c r="U65" s="167"/>
      <c r="V65" s="167"/>
      <c r="W65" s="167"/>
      <c r="X65" s="167"/>
      <c r="Y65" s="167"/>
      <c r="Z65" s="167"/>
      <c r="AA65" s="167"/>
      <c r="AB65" s="167"/>
      <c r="AC65" s="167"/>
      <c r="AD65" s="167"/>
      <c r="AE65" s="167"/>
      <c r="AF65" s="167"/>
      <c r="AG65" s="167"/>
      <c r="AH65" s="167"/>
      <c r="AI65" s="167"/>
      <c r="AJ65" s="167"/>
      <c r="AK65" s="167"/>
      <c r="AL65" s="167"/>
      <c r="AM65" s="167"/>
      <c r="AN65" s="167"/>
      <c r="AO65" s="167"/>
      <c r="AP65" s="167"/>
      <c r="AQ65" s="167"/>
      <c r="AR65" s="167"/>
      <c r="AS65" s="167"/>
    </row>
    <row r="66" spans="3:51" s="92" customFormat="1">
      <c r="E66" s="165" t="s">
        <v>799</v>
      </c>
      <c r="F66" s="165" t="s">
        <v>611</v>
      </c>
      <c r="H66" s="164"/>
      <c r="J66" s="164"/>
      <c r="L66" s="164"/>
      <c r="N66" s="164"/>
      <c r="P66" s="110">
        <v>1</v>
      </c>
      <c r="Q66" s="110">
        <f t="shared" ref="Q66:Y66" si="16">P66+($Z66-$P66)/(COLUMN($Z66)-COLUMN($P66))</f>
        <v>1</v>
      </c>
      <c r="R66" s="110">
        <f t="shared" si="16"/>
        <v>1</v>
      </c>
      <c r="S66" s="110">
        <f t="shared" si="16"/>
        <v>1</v>
      </c>
      <c r="T66" s="110">
        <f t="shared" si="16"/>
        <v>1</v>
      </c>
      <c r="U66" s="110">
        <f t="shared" si="16"/>
        <v>1</v>
      </c>
      <c r="V66" s="110">
        <f t="shared" si="16"/>
        <v>1</v>
      </c>
      <c r="W66" s="110">
        <f t="shared" si="16"/>
        <v>1</v>
      </c>
      <c r="X66" s="110">
        <f t="shared" si="16"/>
        <v>1</v>
      </c>
      <c r="Y66" s="110">
        <f t="shared" si="16"/>
        <v>1</v>
      </c>
      <c r="Z66" s="110">
        <v>1</v>
      </c>
      <c r="AA66" s="110">
        <f t="shared" ref="AA66:AX66" si="17">Z66+($AY66-$Z66)/(COLUMN($AY66)-COLUMN($Z66))</f>
        <v>1</v>
      </c>
      <c r="AB66" s="110">
        <f t="shared" si="17"/>
        <v>1</v>
      </c>
      <c r="AC66" s="110">
        <f t="shared" si="17"/>
        <v>1</v>
      </c>
      <c r="AD66" s="110">
        <f t="shared" si="17"/>
        <v>1</v>
      </c>
      <c r="AE66" s="110">
        <f t="shared" si="17"/>
        <v>1</v>
      </c>
      <c r="AF66" s="110">
        <f t="shared" si="17"/>
        <v>1</v>
      </c>
      <c r="AG66" s="110">
        <f t="shared" si="17"/>
        <v>1</v>
      </c>
      <c r="AH66" s="110">
        <f t="shared" si="17"/>
        <v>1</v>
      </c>
      <c r="AI66" s="110">
        <f t="shared" si="17"/>
        <v>1</v>
      </c>
      <c r="AJ66" s="110">
        <f t="shared" si="17"/>
        <v>1</v>
      </c>
      <c r="AK66" s="110">
        <f t="shared" si="17"/>
        <v>1</v>
      </c>
      <c r="AL66" s="110">
        <f t="shared" si="17"/>
        <v>1</v>
      </c>
      <c r="AM66" s="110">
        <f t="shared" si="17"/>
        <v>1</v>
      </c>
      <c r="AN66" s="110">
        <f t="shared" si="17"/>
        <v>1</v>
      </c>
      <c r="AO66" s="110">
        <f t="shared" si="17"/>
        <v>1</v>
      </c>
      <c r="AP66" s="110">
        <f t="shared" si="17"/>
        <v>1</v>
      </c>
      <c r="AQ66" s="110">
        <f t="shared" si="17"/>
        <v>1</v>
      </c>
      <c r="AR66" s="110">
        <f t="shared" si="17"/>
        <v>1</v>
      </c>
      <c r="AS66" s="110">
        <f t="shared" si="17"/>
        <v>1</v>
      </c>
      <c r="AT66" s="110">
        <f t="shared" si="17"/>
        <v>1</v>
      </c>
      <c r="AU66" s="110">
        <f t="shared" si="17"/>
        <v>1</v>
      </c>
      <c r="AV66" s="110">
        <f t="shared" si="17"/>
        <v>1</v>
      </c>
      <c r="AW66" s="110">
        <f t="shared" si="17"/>
        <v>1</v>
      </c>
      <c r="AX66" s="110">
        <f t="shared" si="17"/>
        <v>1</v>
      </c>
      <c r="AY66" s="110">
        <v>1</v>
      </c>
    </row>
    <row r="67" spans="3:51" s="92" customFormat="1">
      <c r="E67" s="165" t="s">
        <v>191</v>
      </c>
      <c r="F67" s="165" t="s">
        <v>191</v>
      </c>
      <c r="H67" s="164"/>
      <c r="J67" s="164"/>
      <c r="L67" s="164"/>
      <c r="N67" s="164"/>
      <c r="P67" s="110">
        <v>0.15</v>
      </c>
      <c r="Q67" s="110">
        <f t="shared" ref="Q67:Y67" si="18">P67+($Z67-$P67)/(COLUMN($Z67)-COLUMN($P67))</f>
        <v>0.15</v>
      </c>
      <c r="R67" s="110">
        <f t="shared" si="18"/>
        <v>0.15</v>
      </c>
      <c r="S67" s="110">
        <f t="shared" si="18"/>
        <v>0.15</v>
      </c>
      <c r="T67" s="110">
        <f t="shared" si="18"/>
        <v>0.15</v>
      </c>
      <c r="U67" s="110">
        <f t="shared" si="18"/>
        <v>0.15</v>
      </c>
      <c r="V67" s="110">
        <f t="shared" si="18"/>
        <v>0.15</v>
      </c>
      <c r="W67" s="110">
        <f t="shared" si="18"/>
        <v>0.15</v>
      </c>
      <c r="X67" s="110">
        <f t="shared" si="18"/>
        <v>0.15</v>
      </c>
      <c r="Y67" s="110">
        <f t="shared" si="18"/>
        <v>0.15</v>
      </c>
      <c r="Z67" s="110">
        <v>0.15</v>
      </c>
      <c r="AA67" s="110">
        <f t="shared" ref="AA67:AX67" si="19">Z67+($AY67-$Z67)/(COLUMN($AY67)-COLUMN($Z67))</f>
        <v>0.15</v>
      </c>
      <c r="AB67" s="110">
        <f t="shared" si="19"/>
        <v>0.15</v>
      </c>
      <c r="AC67" s="110">
        <f t="shared" si="19"/>
        <v>0.15</v>
      </c>
      <c r="AD67" s="110">
        <f t="shared" si="19"/>
        <v>0.15</v>
      </c>
      <c r="AE67" s="110">
        <f t="shared" si="19"/>
        <v>0.15</v>
      </c>
      <c r="AF67" s="110">
        <f t="shared" si="19"/>
        <v>0.15</v>
      </c>
      <c r="AG67" s="110">
        <f t="shared" si="19"/>
        <v>0.15</v>
      </c>
      <c r="AH67" s="110">
        <f t="shared" si="19"/>
        <v>0.15</v>
      </c>
      <c r="AI67" s="110">
        <f t="shared" si="19"/>
        <v>0.15</v>
      </c>
      <c r="AJ67" s="110">
        <f t="shared" si="19"/>
        <v>0.15</v>
      </c>
      <c r="AK67" s="110">
        <f t="shared" si="19"/>
        <v>0.15</v>
      </c>
      <c r="AL67" s="110">
        <f t="shared" si="19"/>
        <v>0.15</v>
      </c>
      <c r="AM67" s="110">
        <f t="shared" si="19"/>
        <v>0.15</v>
      </c>
      <c r="AN67" s="110">
        <f t="shared" si="19"/>
        <v>0.15</v>
      </c>
      <c r="AO67" s="110">
        <f t="shared" si="19"/>
        <v>0.15</v>
      </c>
      <c r="AP67" s="110">
        <f t="shared" si="19"/>
        <v>0.15</v>
      </c>
      <c r="AQ67" s="110">
        <f t="shared" si="19"/>
        <v>0.15</v>
      </c>
      <c r="AR67" s="110">
        <f t="shared" si="19"/>
        <v>0.15</v>
      </c>
      <c r="AS67" s="110">
        <f t="shared" si="19"/>
        <v>0.15</v>
      </c>
      <c r="AT67" s="110">
        <f t="shared" si="19"/>
        <v>0.15</v>
      </c>
      <c r="AU67" s="110">
        <f t="shared" si="19"/>
        <v>0.15</v>
      </c>
      <c r="AV67" s="110">
        <f t="shared" si="19"/>
        <v>0.15</v>
      </c>
      <c r="AW67" s="110">
        <f t="shared" si="19"/>
        <v>0.15</v>
      </c>
      <c r="AX67" s="110">
        <f t="shared" si="19"/>
        <v>0.15</v>
      </c>
      <c r="AY67" s="110">
        <v>0.15</v>
      </c>
    </row>
    <row r="68" spans="3:51" s="92" customFormat="1">
      <c r="E68" s="165" t="s">
        <v>800</v>
      </c>
      <c r="F68" s="165" t="s">
        <v>611</v>
      </c>
      <c r="H68" s="164"/>
      <c r="J68" s="164"/>
      <c r="L68" s="164"/>
      <c r="N68" s="164"/>
      <c r="P68" s="110">
        <v>1</v>
      </c>
      <c r="Q68" s="110">
        <f t="shared" ref="Q68:Y68" si="20">P68+($Z68-$P68)/(COLUMN($Z68)-COLUMN($P68))</f>
        <v>1</v>
      </c>
      <c r="R68" s="110">
        <f t="shared" si="20"/>
        <v>1</v>
      </c>
      <c r="S68" s="110">
        <f t="shared" si="20"/>
        <v>1</v>
      </c>
      <c r="T68" s="110">
        <f t="shared" si="20"/>
        <v>1</v>
      </c>
      <c r="U68" s="110">
        <f t="shared" si="20"/>
        <v>1</v>
      </c>
      <c r="V68" s="110">
        <f t="shared" si="20"/>
        <v>1</v>
      </c>
      <c r="W68" s="110">
        <f t="shared" si="20"/>
        <v>1</v>
      </c>
      <c r="X68" s="110">
        <f t="shared" si="20"/>
        <v>1</v>
      </c>
      <c r="Y68" s="110">
        <f t="shared" si="20"/>
        <v>1</v>
      </c>
      <c r="Z68" s="110">
        <v>1</v>
      </c>
      <c r="AA68" s="110">
        <f t="shared" ref="AA68:AX68" si="21">Z68+($AY68-$Z68)/(COLUMN($AY68)-COLUMN($Z68))</f>
        <v>1</v>
      </c>
      <c r="AB68" s="110">
        <f t="shared" si="21"/>
        <v>1</v>
      </c>
      <c r="AC68" s="110">
        <f t="shared" si="21"/>
        <v>1</v>
      </c>
      <c r="AD68" s="110">
        <f t="shared" si="21"/>
        <v>1</v>
      </c>
      <c r="AE68" s="110">
        <f t="shared" si="21"/>
        <v>1</v>
      </c>
      <c r="AF68" s="110">
        <f t="shared" si="21"/>
        <v>1</v>
      </c>
      <c r="AG68" s="110">
        <f t="shared" si="21"/>
        <v>1</v>
      </c>
      <c r="AH68" s="110">
        <f t="shared" si="21"/>
        <v>1</v>
      </c>
      <c r="AI68" s="110">
        <f t="shared" si="21"/>
        <v>1</v>
      </c>
      <c r="AJ68" s="110">
        <f t="shared" si="21"/>
        <v>1</v>
      </c>
      <c r="AK68" s="110">
        <f t="shared" si="21"/>
        <v>1</v>
      </c>
      <c r="AL68" s="110">
        <f t="shared" si="21"/>
        <v>1</v>
      </c>
      <c r="AM68" s="110">
        <f t="shared" si="21"/>
        <v>1</v>
      </c>
      <c r="AN68" s="110">
        <f t="shared" si="21"/>
        <v>1</v>
      </c>
      <c r="AO68" s="110">
        <f t="shared" si="21"/>
        <v>1</v>
      </c>
      <c r="AP68" s="110">
        <f t="shared" si="21"/>
        <v>1</v>
      </c>
      <c r="AQ68" s="110">
        <f t="shared" si="21"/>
        <v>1</v>
      </c>
      <c r="AR68" s="110">
        <f t="shared" si="21"/>
        <v>1</v>
      </c>
      <c r="AS68" s="110">
        <f t="shared" si="21"/>
        <v>1</v>
      </c>
      <c r="AT68" s="110">
        <f t="shared" si="21"/>
        <v>1</v>
      </c>
      <c r="AU68" s="110">
        <f t="shared" si="21"/>
        <v>1</v>
      </c>
      <c r="AV68" s="110">
        <f t="shared" si="21"/>
        <v>1</v>
      </c>
      <c r="AW68" s="110">
        <f t="shared" si="21"/>
        <v>1</v>
      </c>
      <c r="AX68" s="110">
        <f t="shared" si="21"/>
        <v>1</v>
      </c>
      <c r="AY68" s="110">
        <v>1</v>
      </c>
    </row>
    <row r="69" spans="3:51" s="92" customFormat="1">
      <c r="E69" s="165" t="s">
        <v>801</v>
      </c>
      <c r="F69" s="165" t="s">
        <v>611</v>
      </c>
      <c r="H69" s="164"/>
      <c r="J69" s="164"/>
      <c r="L69" s="164"/>
      <c r="N69" s="164"/>
      <c r="P69" s="110">
        <v>1</v>
      </c>
      <c r="Q69" s="110">
        <f t="shared" ref="Q69:Y69" si="22">P69+($Z69-$P69)/(COLUMN($Z69)-COLUMN($P69))</f>
        <v>1</v>
      </c>
      <c r="R69" s="110">
        <f t="shared" si="22"/>
        <v>1</v>
      </c>
      <c r="S69" s="110">
        <f t="shared" si="22"/>
        <v>1</v>
      </c>
      <c r="T69" s="110">
        <f t="shared" si="22"/>
        <v>1</v>
      </c>
      <c r="U69" s="110">
        <f t="shared" si="22"/>
        <v>1</v>
      </c>
      <c r="V69" s="110">
        <f t="shared" si="22"/>
        <v>1</v>
      </c>
      <c r="W69" s="110">
        <f t="shared" si="22"/>
        <v>1</v>
      </c>
      <c r="X69" s="110">
        <f t="shared" si="22"/>
        <v>1</v>
      </c>
      <c r="Y69" s="110">
        <f t="shared" si="22"/>
        <v>1</v>
      </c>
      <c r="Z69" s="110">
        <v>1</v>
      </c>
      <c r="AA69" s="110">
        <f t="shared" ref="AA69:AX69" si="23">Z69+($AY69-$Z69)/(COLUMN($AY69)-COLUMN($Z69))</f>
        <v>1</v>
      </c>
      <c r="AB69" s="110">
        <f t="shared" si="23"/>
        <v>1</v>
      </c>
      <c r="AC69" s="110">
        <f t="shared" si="23"/>
        <v>1</v>
      </c>
      <c r="AD69" s="110">
        <f t="shared" si="23"/>
        <v>1</v>
      </c>
      <c r="AE69" s="110">
        <f t="shared" si="23"/>
        <v>1</v>
      </c>
      <c r="AF69" s="110">
        <f t="shared" si="23"/>
        <v>1</v>
      </c>
      <c r="AG69" s="110">
        <f t="shared" si="23"/>
        <v>1</v>
      </c>
      <c r="AH69" s="110">
        <f t="shared" si="23"/>
        <v>1</v>
      </c>
      <c r="AI69" s="110">
        <f t="shared" si="23"/>
        <v>1</v>
      </c>
      <c r="AJ69" s="110">
        <f t="shared" si="23"/>
        <v>1</v>
      </c>
      <c r="AK69" s="110">
        <f t="shared" si="23"/>
        <v>1</v>
      </c>
      <c r="AL69" s="110">
        <f t="shared" si="23"/>
        <v>1</v>
      </c>
      <c r="AM69" s="110">
        <f t="shared" si="23"/>
        <v>1</v>
      </c>
      <c r="AN69" s="110">
        <f t="shared" si="23"/>
        <v>1</v>
      </c>
      <c r="AO69" s="110">
        <f t="shared" si="23"/>
        <v>1</v>
      </c>
      <c r="AP69" s="110">
        <f t="shared" si="23"/>
        <v>1</v>
      </c>
      <c r="AQ69" s="110">
        <f t="shared" si="23"/>
        <v>1</v>
      </c>
      <c r="AR69" s="110">
        <f t="shared" si="23"/>
        <v>1</v>
      </c>
      <c r="AS69" s="110">
        <f t="shared" si="23"/>
        <v>1</v>
      </c>
      <c r="AT69" s="110">
        <f t="shared" si="23"/>
        <v>1</v>
      </c>
      <c r="AU69" s="110">
        <f t="shared" si="23"/>
        <v>1</v>
      </c>
      <c r="AV69" s="110">
        <f t="shared" si="23"/>
        <v>1</v>
      </c>
      <c r="AW69" s="110">
        <f t="shared" si="23"/>
        <v>1</v>
      </c>
      <c r="AX69" s="110">
        <f t="shared" si="23"/>
        <v>1</v>
      </c>
      <c r="AY69" s="110">
        <v>1</v>
      </c>
    </row>
    <row r="70" spans="3:51" s="92" customFormat="1">
      <c r="E70" s="165" t="s">
        <v>802</v>
      </c>
      <c r="F70" s="165" t="s">
        <v>611</v>
      </c>
      <c r="G70" s="167"/>
      <c r="H70" s="164"/>
      <c r="J70" s="164"/>
      <c r="L70" s="164"/>
      <c r="N70" s="164"/>
      <c r="O70" s="167"/>
      <c r="P70" s="110">
        <v>1</v>
      </c>
      <c r="Q70" s="110">
        <f t="shared" ref="Q70:Y70" si="24">P70+($Z70-$P70)/(COLUMN($Z70)-COLUMN($P70))</f>
        <v>1</v>
      </c>
      <c r="R70" s="110">
        <f t="shared" si="24"/>
        <v>1</v>
      </c>
      <c r="S70" s="110">
        <f t="shared" si="24"/>
        <v>1</v>
      </c>
      <c r="T70" s="110">
        <f t="shared" si="24"/>
        <v>1</v>
      </c>
      <c r="U70" s="110">
        <f t="shared" si="24"/>
        <v>1</v>
      </c>
      <c r="V70" s="110">
        <f t="shared" si="24"/>
        <v>1</v>
      </c>
      <c r="W70" s="110">
        <f t="shared" si="24"/>
        <v>1</v>
      </c>
      <c r="X70" s="110">
        <f t="shared" si="24"/>
        <v>1</v>
      </c>
      <c r="Y70" s="110">
        <f t="shared" si="24"/>
        <v>1</v>
      </c>
      <c r="Z70" s="110">
        <v>1</v>
      </c>
      <c r="AA70" s="110">
        <f t="shared" ref="AA70:AX70" si="25">Z70+($AY70-$Z70)/(COLUMN($AY70)-COLUMN($Z70))</f>
        <v>1</v>
      </c>
      <c r="AB70" s="110">
        <f t="shared" si="25"/>
        <v>1</v>
      </c>
      <c r="AC70" s="110">
        <f t="shared" si="25"/>
        <v>1</v>
      </c>
      <c r="AD70" s="110">
        <f t="shared" si="25"/>
        <v>1</v>
      </c>
      <c r="AE70" s="110">
        <f t="shared" si="25"/>
        <v>1</v>
      </c>
      <c r="AF70" s="110">
        <f t="shared" si="25"/>
        <v>1</v>
      </c>
      <c r="AG70" s="110">
        <f t="shared" si="25"/>
        <v>1</v>
      </c>
      <c r="AH70" s="110">
        <f t="shared" si="25"/>
        <v>1</v>
      </c>
      <c r="AI70" s="110">
        <f t="shared" si="25"/>
        <v>1</v>
      </c>
      <c r="AJ70" s="110">
        <f t="shared" si="25"/>
        <v>1</v>
      </c>
      <c r="AK70" s="110">
        <f t="shared" si="25"/>
        <v>1</v>
      </c>
      <c r="AL70" s="110">
        <f t="shared" si="25"/>
        <v>1</v>
      </c>
      <c r="AM70" s="110">
        <f t="shared" si="25"/>
        <v>1</v>
      </c>
      <c r="AN70" s="110">
        <f t="shared" si="25"/>
        <v>1</v>
      </c>
      <c r="AO70" s="110">
        <f t="shared" si="25"/>
        <v>1</v>
      </c>
      <c r="AP70" s="110">
        <f t="shared" si="25"/>
        <v>1</v>
      </c>
      <c r="AQ70" s="110">
        <f t="shared" si="25"/>
        <v>1</v>
      </c>
      <c r="AR70" s="110">
        <f t="shared" si="25"/>
        <v>1</v>
      </c>
      <c r="AS70" s="110">
        <f t="shared" si="25"/>
        <v>1</v>
      </c>
      <c r="AT70" s="110">
        <f t="shared" si="25"/>
        <v>1</v>
      </c>
      <c r="AU70" s="110">
        <f t="shared" si="25"/>
        <v>1</v>
      </c>
      <c r="AV70" s="110">
        <f t="shared" si="25"/>
        <v>1</v>
      </c>
      <c r="AW70" s="110">
        <f t="shared" si="25"/>
        <v>1</v>
      </c>
      <c r="AX70" s="110">
        <f t="shared" si="25"/>
        <v>1</v>
      </c>
      <c r="AY70" s="110">
        <v>1</v>
      </c>
    </row>
    <row r="71" spans="3:51" s="92" customFormat="1">
      <c r="E71" s="165" t="s">
        <v>803</v>
      </c>
      <c r="F71" s="165"/>
      <c r="G71" s="167"/>
      <c r="H71" s="164"/>
      <c r="J71" s="164"/>
      <c r="L71" s="164"/>
      <c r="N71" s="164"/>
      <c r="O71" s="167"/>
      <c r="P71" s="87" t="s">
        <v>804</v>
      </c>
      <c r="Q71" s="87"/>
      <c r="R71" s="87"/>
      <c r="S71" s="87"/>
      <c r="T71" s="87"/>
      <c r="U71" s="87"/>
      <c r="V71" s="87"/>
      <c r="W71" s="87"/>
      <c r="X71" s="87"/>
      <c r="Y71" s="87"/>
      <c r="Z71" s="110"/>
      <c r="AA71" s="110"/>
      <c r="AB71" s="110"/>
      <c r="AC71" s="110"/>
      <c r="AD71" s="110"/>
      <c r="AE71" s="110"/>
      <c r="AF71" s="110"/>
      <c r="AG71" s="110"/>
      <c r="AH71" s="110"/>
      <c r="AI71" s="110"/>
      <c r="AJ71" s="110"/>
      <c r="AK71" s="110"/>
      <c r="AL71" s="110"/>
      <c r="AM71" s="110"/>
      <c r="AN71" s="110"/>
      <c r="AO71" s="110"/>
      <c r="AP71" s="110"/>
      <c r="AQ71" s="110"/>
      <c r="AR71" s="110"/>
      <c r="AS71" s="110"/>
      <c r="AT71" s="110"/>
      <c r="AU71" s="110"/>
      <c r="AV71" s="110"/>
      <c r="AW71" s="110"/>
      <c r="AX71" s="110">
        <f>AW71+($AY71-$Z71)/(COLUMN($AY71)-COLUMN($Z71))</f>
        <v>0</v>
      </c>
      <c r="AY71" s="110"/>
    </row>
    <row r="72" spans="3:51" s="92" customFormat="1">
      <c r="E72" s="165" t="s">
        <v>805</v>
      </c>
      <c r="F72" s="165" t="s">
        <v>210</v>
      </c>
      <c r="G72" s="167"/>
      <c r="H72" s="164"/>
      <c r="J72" s="164"/>
      <c r="L72" s="164"/>
      <c r="N72" s="164"/>
      <c r="O72" s="167"/>
      <c r="P72" s="110">
        <v>1</v>
      </c>
      <c r="Q72" s="110">
        <f t="shared" ref="Q72:Y72" si="26">P72+($Z72-$P72)/(COLUMN($Z72)-COLUMN($P72))</f>
        <v>1</v>
      </c>
      <c r="R72" s="110">
        <f t="shared" si="26"/>
        <v>1</v>
      </c>
      <c r="S72" s="110">
        <f t="shared" si="26"/>
        <v>1</v>
      </c>
      <c r="T72" s="110">
        <f t="shared" si="26"/>
        <v>1</v>
      </c>
      <c r="U72" s="110">
        <f t="shared" si="26"/>
        <v>1</v>
      </c>
      <c r="V72" s="110">
        <f t="shared" si="26"/>
        <v>1</v>
      </c>
      <c r="W72" s="110">
        <f t="shared" si="26"/>
        <v>1</v>
      </c>
      <c r="X72" s="110">
        <f t="shared" si="26"/>
        <v>1</v>
      </c>
      <c r="Y72" s="110">
        <f t="shared" si="26"/>
        <v>1</v>
      </c>
      <c r="Z72" s="110">
        <v>1</v>
      </c>
      <c r="AA72" s="110">
        <f t="shared" ref="AA72:AW72" si="27">Z72+($AY72-$Z72)/(COLUMN($AY72)-COLUMN($Z72))</f>
        <v>1</v>
      </c>
      <c r="AB72" s="110">
        <f t="shared" si="27"/>
        <v>1</v>
      </c>
      <c r="AC72" s="110">
        <f t="shared" si="27"/>
        <v>1</v>
      </c>
      <c r="AD72" s="110">
        <f t="shared" si="27"/>
        <v>1</v>
      </c>
      <c r="AE72" s="110">
        <f t="shared" si="27"/>
        <v>1</v>
      </c>
      <c r="AF72" s="110">
        <f t="shared" si="27"/>
        <v>1</v>
      </c>
      <c r="AG72" s="110">
        <f t="shared" si="27"/>
        <v>1</v>
      </c>
      <c r="AH72" s="110">
        <f t="shared" si="27"/>
        <v>1</v>
      </c>
      <c r="AI72" s="110">
        <f t="shared" si="27"/>
        <v>1</v>
      </c>
      <c r="AJ72" s="110">
        <f t="shared" si="27"/>
        <v>1</v>
      </c>
      <c r="AK72" s="110">
        <f t="shared" si="27"/>
        <v>1</v>
      </c>
      <c r="AL72" s="110">
        <f t="shared" si="27"/>
        <v>1</v>
      </c>
      <c r="AM72" s="110">
        <f t="shared" si="27"/>
        <v>1</v>
      </c>
      <c r="AN72" s="110">
        <f t="shared" si="27"/>
        <v>1</v>
      </c>
      <c r="AO72" s="110">
        <f t="shared" si="27"/>
        <v>1</v>
      </c>
      <c r="AP72" s="110">
        <f t="shared" si="27"/>
        <v>1</v>
      </c>
      <c r="AQ72" s="110">
        <f t="shared" si="27"/>
        <v>1</v>
      </c>
      <c r="AR72" s="110">
        <f t="shared" si="27"/>
        <v>1</v>
      </c>
      <c r="AS72" s="110">
        <f t="shared" si="27"/>
        <v>1</v>
      </c>
      <c r="AT72" s="110">
        <f t="shared" si="27"/>
        <v>1</v>
      </c>
      <c r="AU72" s="110">
        <f t="shared" si="27"/>
        <v>1</v>
      </c>
      <c r="AV72" s="110">
        <f t="shared" si="27"/>
        <v>1</v>
      </c>
      <c r="AW72" s="110">
        <f t="shared" si="27"/>
        <v>1</v>
      </c>
      <c r="AX72" s="110">
        <f>AW72+($AY72-$Z72)/(COLUMN($AY72)-COLUMN($Z72))</f>
        <v>1</v>
      </c>
      <c r="AY72" s="110">
        <v>1</v>
      </c>
    </row>
    <row r="73" spans="3:51" s="92" customFormat="1">
      <c r="E73" s="165"/>
      <c r="F73" s="165"/>
      <c r="G73" s="167"/>
      <c r="H73" s="167"/>
      <c r="I73" s="167"/>
      <c r="J73" s="167"/>
      <c r="K73" s="167"/>
      <c r="L73" s="167"/>
      <c r="M73" s="167"/>
      <c r="N73" s="167"/>
      <c r="O73" s="167"/>
      <c r="P73" s="167"/>
      <c r="Q73" s="167"/>
      <c r="R73" s="167"/>
      <c r="S73" s="167"/>
      <c r="T73" s="167"/>
      <c r="U73" s="167"/>
      <c r="V73" s="167"/>
      <c r="W73" s="167"/>
      <c r="X73" s="167"/>
      <c r="Y73" s="167"/>
      <c r="Z73" s="167"/>
      <c r="AA73" s="167"/>
      <c r="AB73" s="167"/>
      <c r="AC73" s="167"/>
      <c r="AD73" s="167"/>
      <c r="AE73" s="167"/>
      <c r="AF73" s="167"/>
      <c r="AG73" s="167"/>
      <c r="AH73" s="167"/>
      <c r="AI73" s="167"/>
      <c r="AJ73" s="167"/>
      <c r="AK73" s="167"/>
      <c r="AL73" s="167"/>
      <c r="AM73" s="167"/>
      <c r="AN73" s="167"/>
      <c r="AO73" s="167"/>
      <c r="AP73" s="167"/>
      <c r="AQ73" s="167"/>
      <c r="AR73" s="167"/>
      <c r="AS73" s="167"/>
    </row>
    <row r="74" spans="3:51" s="92" customFormat="1">
      <c r="C74" s="92" t="s">
        <v>722</v>
      </c>
      <c r="E74" s="165"/>
      <c r="F74" s="165"/>
      <c r="G74" s="167"/>
      <c r="H74" s="167"/>
      <c r="I74" s="167"/>
      <c r="J74" s="167"/>
      <c r="K74" s="167"/>
      <c r="L74" s="167"/>
      <c r="M74" s="167"/>
      <c r="N74" s="167"/>
      <c r="O74" s="167"/>
      <c r="P74" s="167"/>
      <c r="Q74" s="167"/>
      <c r="R74" s="167"/>
      <c r="S74" s="167"/>
      <c r="T74" s="167"/>
      <c r="U74" s="167"/>
      <c r="V74" s="167"/>
      <c r="W74" s="167"/>
      <c r="X74" s="167"/>
      <c r="Y74" s="167"/>
      <c r="Z74" s="167"/>
      <c r="AA74" s="167"/>
      <c r="AB74" s="167"/>
      <c r="AC74" s="167"/>
      <c r="AD74" s="167"/>
      <c r="AE74" s="167"/>
      <c r="AF74" s="167"/>
      <c r="AG74" s="167"/>
      <c r="AH74" s="167"/>
      <c r="AI74" s="167"/>
      <c r="AJ74" s="167"/>
      <c r="AK74" s="167"/>
      <c r="AL74" s="167"/>
      <c r="AM74" s="167"/>
      <c r="AN74" s="167"/>
      <c r="AO74" s="167"/>
      <c r="AP74" s="167"/>
      <c r="AQ74" s="167"/>
      <c r="AR74" s="167"/>
      <c r="AS74" s="167"/>
    </row>
    <row r="75" spans="3:51" s="92" customFormat="1">
      <c r="E75" s="165"/>
      <c r="F75" s="165"/>
    </row>
    <row r="76" spans="3:51" s="92" customFormat="1">
      <c r="E76" s="165" t="s">
        <v>799</v>
      </c>
      <c r="F76" s="165" t="s">
        <v>611</v>
      </c>
      <c r="H76" s="164"/>
      <c r="J76" s="164"/>
      <c r="L76" s="164"/>
      <c r="N76" s="164"/>
      <c r="P76" s="110">
        <v>1</v>
      </c>
      <c r="Q76" s="110">
        <f t="shared" ref="Q76:Y76" si="28">P76+($Z76-$P76)/(COLUMN($Z76)-COLUMN($P76))</f>
        <v>1</v>
      </c>
      <c r="R76" s="110">
        <f t="shared" si="28"/>
        <v>1</v>
      </c>
      <c r="S76" s="110">
        <f t="shared" si="28"/>
        <v>1</v>
      </c>
      <c r="T76" s="110">
        <f t="shared" si="28"/>
        <v>1</v>
      </c>
      <c r="U76" s="110">
        <f t="shared" si="28"/>
        <v>1</v>
      </c>
      <c r="V76" s="110">
        <f t="shared" si="28"/>
        <v>1</v>
      </c>
      <c r="W76" s="110">
        <f t="shared" si="28"/>
        <v>1</v>
      </c>
      <c r="X76" s="110">
        <f t="shared" si="28"/>
        <v>1</v>
      </c>
      <c r="Y76" s="110">
        <f t="shared" si="28"/>
        <v>1</v>
      </c>
      <c r="Z76" s="110">
        <v>1</v>
      </c>
      <c r="AA76" s="110">
        <f t="shared" ref="AA76:AX76" si="29">Z76+($AY76-$Z76)/(COLUMN($AY76)-COLUMN($Z76))</f>
        <v>1</v>
      </c>
      <c r="AB76" s="110">
        <f t="shared" si="29"/>
        <v>1</v>
      </c>
      <c r="AC76" s="110">
        <f t="shared" si="29"/>
        <v>1</v>
      </c>
      <c r="AD76" s="110">
        <f t="shared" si="29"/>
        <v>1</v>
      </c>
      <c r="AE76" s="110">
        <f t="shared" si="29"/>
        <v>1</v>
      </c>
      <c r="AF76" s="110">
        <f t="shared" si="29"/>
        <v>1</v>
      </c>
      <c r="AG76" s="110">
        <f t="shared" si="29"/>
        <v>1</v>
      </c>
      <c r="AH76" s="110">
        <f t="shared" si="29"/>
        <v>1</v>
      </c>
      <c r="AI76" s="110">
        <f t="shared" si="29"/>
        <v>1</v>
      </c>
      <c r="AJ76" s="110">
        <f t="shared" si="29"/>
        <v>1</v>
      </c>
      <c r="AK76" s="110">
        <f t="shared" si="29"/>
        <v>1</v>
      </c>
      <c r="AL76" s="110">
        <f t="shared" si="29"/>
        <v>1</v>
      </c>
      <c r="AM76" s="110">
        <f t="shared" si="29"/>
        <v>1</v>
      </c>
      <c r="AN76" s="110">
        <f t="shared" si="29"/>
        <v>1</v>
      </c>
      <c r="AO76" s="110">
        <f t="shared" si="29"/>
        <v>1</v>
      </c>
      <c r="AP76" s="110">
        <f t="shared" si="29"/>
        <v>1</v>
      </c>
      <c r="AQ76" s="110">
        <f t="shared" si="29"/>
        <v>1</v>
      </c>
      <c r="AR76" s="110">
        <f t="shared" si="29"/>
        <v>1</v>
      </c>
      <c r="AS76" s="110">
        <f t="shared" si="29"/>
        <v>1</v>
      </c>
      <c r="AT76" s="110">
        <f t="shared" si="29"/>
        <v>1</v>
      </c>
      <c r="AU76" s="110">
        <f t="shared" si="29"/>
        <v>1</v>
      </c>
      <c r="AV76" s="110">
        <f t="shared" si="29"/>
        <v>1</v>
      </c>
      <c r="AW76" s="110">
        <f t="shared" si="29"/>
        <v>1</v>
      </c>
      <c r="AX76" s="110">
        <f t="shared" si="29"/>
        <v>1</v>
      </c>
      <c r="AY76" s="110">
        <v>1</v>
      </c>
    </row>
    <row r="77" spans="3:51" s="92" customFormat="1">
      <c r="E77" s="165" t="s">
        <v>191</v>
      </c>
      <c r="F77" s="165" t="s">
        <v>191</v>
      </c>
      <c r="H77" s="164"/>
      <c r="J77" s="164"/>
      <c r="L77" s="164"/>
      <c r="N77" s="164"/>
      <c r="P77" s="110">
        <v>0.15</v>
      </c>
      <c r="Q77" s="110">
        <f t="shared" ref="Q77:Y77" si="30">P77+($Z77-$P77)/(COLUMN($Z77)-COLUMN($P77))</f>
        <v>0.15</v>
      </c>
      <c r="R77" s="110">
        <f t="shared" si="30"/>
        <v>0.15</v>
      </c>
      <c r="S77" s="110">
        <f t="shared" si="30"/>
        <v>0.15</v>
      </c>
      <c r="T77" s="110">
        <f t="shared" si="30"/>
        <v>0.15</v>
      </c>
      <c r="U77" s="110">
        <f t="shared" si="30"/>
        <v>0.15</v>
      </c>
      <c r="V77" s="110">
        <f t="shared" si="30"/>
        <v>0.15</v>
      </c>
      <c r="W77" s="110">
        <f t="shared" si="30"/>
        <v>0.15</v>
      </c>
      <c r="X77" s="110">
        <f t="shared" si="30"/>
        <v>0.15</v>
      </c>
      <c r="Y77" s="110">
        <f t="shared" si="30"/>
        <v>0.15</v>
      </c>
      <c r="Z77" s="110">
        <v>0.15</v>
      </c>
      <c r="AA77" s="110">
        <f t="shared" ref="AA77:AX77" si="31">Z77+($AY77-$Z77)/(COLUMN($AY77)-COLUMN($Z77))</f>
        <v>0.15</v>
      </c>
      <c r="AB77" s="110">
        <f t="shared" si="31"/>
        <v>0.15</v>
      </c>
      <c r="AC77" s="110">
        <f t="shared" si="31"/>
        <v>0.15</v>
      </c>
      <c r="AD77" s="110">
        <f t="shared" si="31"/>
        <v>0.15</v>
      </c>
      <c r="AE77" s="110">
        <f t="shared" si="31"/>
        <v>0.15</v>
      </c>
      <c r="AF77" s="110">
        <f t="shared" si="31"/>
        <v>0.15</v>
      </c>
      <c r="AG77" s="110">
        <f t="shared" si="31"/>
        <v>0.15</v>
      </c>
      <c r="AH77" s="110">
        <f t="shared" si="31"/>
        <v>0.15</v>
      </c>
      <c r="AI77" s="110">
        <f t="shared" si="31"/>
        <v>0.15</v>
      </c>
      <c r="AJ77" s="110">
        <f t="shared" si="31"/>
        <v>0.15</v>
      </c>
      <c r="AK77" s="110">
        <f t="shared" si="31"/>
        <v>0.15</v>
      </c>
      <c r="AL77" s="110">
        <f t="shared" si="31"/>
        <v>0.15</v>
      </c>
      <c r="AM77" s="110">
        <f t="shared" si="31"/>
        <v>0.15</v>
      </c>
      <c r="AN77" s="110">
        <f t="shared" si="31"/>
        <v>0.15</v>
      </c>
      <c r="AO77" s="110">
        <f t="shared" si="31"/>
        <v>0.15</v>
      </c>
      <c r="AP77" s="110">
        <f t="shared" si="31"/>
        <v>0.15</v>
      </c>
      <c r="AQ77" s="110">
        <f t="shared" si="31"/>
        <v>0.15</v>
      </c>
      <c r="AR77" s="110">
        <f t="shared" si="31"/>
        <v>0.15</v>
      </c>
      <c r="AS77" s="110">
        <f t="shared" si="31"/>
        <v>0.15</v>
      </c>
      <c r="AT77" s="110">
        <f t="shared" si="31"/>
        <v>0.15</v>
      </c>
      <c r="AU77" s="110">
        <f t="shared" si="31"/>
        <v>0.15</v>
      </c>
      <c r="AV77" s="110">
        <f t="shared" si="31"/>
        <v>0.15</v>
      </c>
      <c r="AW77" s="110">
        <f t="shared" si="31"/>
        <v>0.15</v>
      </c>
      <c r="AX77" s="110">
        <f t="shared" si="31"/>
        <v>0.15</v>
      </c>
      <c r="AY77" s="110">
        <v>0.15</v>
      </c>
    </row>
    <row r="78" spans="3:51" s="92" customFormat="1">
      <c r="E78" s="165" t="s">
        <v>800</v>
      </c>
      <c r="F78" s="165" t="s">
        <v>611</v>
      </c>
      <c r="H78" s="164"/>
      <c r="J78" s="164"/>
      <c r="L78" s="164"/>
      <c r="N78" s="164"/>
      <c r="P78" s="110">
        <v>1</v>
      </c>
      <c r="Q78" s="110">
        <f t="shared" ref="Q78:Y78" si="32">P78+($Z78-$P78)/(COLUMN($Z78)-COLUMN($P78))</f>
        <v>1</v>
      </c>
      <c r="R78" s="110">
        <f t="shared" si="32"/>
        <v>1</v>
      </c>
      <c r="S78" s="110">
        <f t="shared" si="32"/>
        <v>1</v>
      </c>
      <c r="T78" s="110">
        <f t="shared" si="32"/>
        <v>1</v>
      </c>
      <c r="U78" s="110">
        <f t="shared" si="32"/>
        <v>1</v>
      </c>
      <c r="V78" s="110">
        <f t="shared" si="32"/>
        <v>1</v>
      </c>
      <c r="W78" s="110">
        <f t="shared" si="32"/>
        <v>1</v>
      </c>
      <c r="X78" s="110">
        <f t="shared" si="32"/>
        <v>1</v>
      </c>
      <c r="Y78" s="110">
        <f t="shared" si="32"/>
        <v>1</v>
      </c>
      <c r="Z78" s="110">
        <v>1</v>
      </c>
      <c r="AA78" s="110">
        <f t="shared" ref="AA78:AX78" si="33">Z78+($AY78-$Z78)/(COLUMN($AY78)-COLUMN($Z78))</f>
        <v>1</v>
      </c>
      <c r="AB78" s="110">
        <f t="shared" si="33"/>
        <v>1</v>
      </c>
      <c r="AC78" s="110">
        <f t="shared" si="33"/>
        <v>1</v>
      </c>
      <c r="AD78" s="110">
        <f t="shared" si="33"/>
        <v>1</v>
      </c>
      <c r="AE78" s="110">
        <f t="shared" si="33"/>
        <v>1</v>
      </c>
      <c r="AF78" s="110">
        <f t="shared" si="33"/>
        <v>1</v>
      </c>
      <c r="AG78" s="110">
        <f t="shared" si="33"/>
        <v>1</v>
      </c>
      <c r="AH78" s="110">
        <f t="shared" si="33"/>
        <v>1</v>
      </c>
      <c r="AI78" s="110">
        <f t="shared" si="33"/>
        <v>1</v>
      </c>
      <c r="AJ78" s="110">
        <f t="shared" si="33"/>
        <v>1</v>
      </c>
      <c r="AK78" s="110">
        <f t="shared" si="33"/>
        <v>1</v>
      </c>
      <c r="AL78" s="110">
        <f t="shared" si="33"/>
        <v>1</v>
      </c>
      <c r="AM78" s="110">
        <f t="shared" si="33"/>
        <v>1</v>
      </c>
      <c r="AN78" s="110">
        <f t="shared" si="33"/>
        <v>1</v>
      </c>
      <c r="AO78" s="110">
        <f t="shared" si="33"/>
        <v>1</v>
      </c>
      <c r="AP78" s="110">
        <f t="shared" si="33"/>
        <v>1</v>
      </c>
      <c r="AQ78" s="110">
        <f t="shared" si="33"/>
        <v>1</v>
      </c>
      <c r="AR78" s="110">
        <f t="shared" si="33"/>
        <v>1</v>
      </c>
      <c r="AS78" s="110">
        <f t="shared" si="33"/>
        <v>1</v>
      </c>
      <c r="AT78" s="110">
        <f t="shared" si="33"/>
        <v>1</v>
      </c>
      <c r="AU78" s="110">
        <f t="shared" si="33"/>
        <v>1</v>
      </c>
      <c r="AV78" s="110">
        <f t="shared" si="33"/>
        <v>1</v>
      </c>
      <c r="AW78" s="110">
        <f t="shared" si="33"/>
        <v>1</v>
      </c>
      <c r="AX78" s="110">
        <f t="shared" si="33"/>
        <v>1</v>
      </c>
      <c r="AY78" s="110">
        <v>1</v>
      </c>
    </row>
    <row r="79" spans="3:51" s="92" customFormat="1">
      <c r="E79" s="165" t="s">
        <v>801</v>
      </c>
      <c r="F79" s="165" t="s">
        <v>611</v>
      </c>
      <c r="H79" s="164"/>
      <c r="J79" s="164"/>
      <c r="L79" s="164"/>
      <c r="N79" s="164"/>
      <c r="P79" s="110">
        <v>1</v>
      </c>
      <c r="Q79" s="110">
        <f t="shared" ref="Q79:Y79" si="34">P79+($Z79-$P79)/(COLUMN($Z79)-COLUMN($P79))</f>
        <v>1</v>
      </c>
      <c r="R79" s="110">
        <f t="shared" si="34"/>
        <v>1</v>
      </c>
      <c r="S79" s="110">
        <f t="shared" si="34"/>
        <v>1</v>
      </c>
      <c r="T79" s="110">
        <f t="shared" si="34"/>
        <v>1</v>
      </c>
      <c r="U79" s="110">
        <f t="shared" si="34"/>
        <v>1</v>
      </c>
      <c r="V79" s="110">
        <f t="shared" si="34"/>
        <v>1</v>
      </c>
      <c r="W79" s="110">
        <f t="shared" si="34"/>
        <v>1</v>
      </c>
      <c r="X79" s="110">
        <f t="shared" si="34"/>
        <v>1</v>
      </c>
      <c r="Y79" s="110">
        <f t="shared" si="34"/>
        <v>1</v>
      </c>
      <c r="Z79" s="110">
        <v>1</v>
      </c>
      <c r="AA79" s="110">
        <f t="shared" ref="AA79:AX79" si="35">Z79+($AY79-$Z79)/(COLUMN($AY79)-COLUMN($Z79))</f>
        <v>1</v>
      </c>
      <c r="AB79" s="110">
        <f t="shared" si="35"/>
        <v>1</v>
      </c>
      <c r="AC79" s="110">
        <f t="shared" si="35"/>
        <v>1</v>
      </c>
      <c r="AD79" s="110">
        <f t="shared" si="35"/>
        <v>1</v>
      </c>
      <c r="AE79" s="110">
        <f t="shared" si="35"/>
        <v>1</v>
      </c>
      <c r="AF79" s="110">
        <f t="shared" si="35"/>
        <v>1</v>
      </c>
      <c r="AG79" s="110">
        <f t="shared" si="35"/>
        <v>1</v>
      </c>
      <c r="AH79" s="110">
        <f t="shared" si="35"/>
        <v>1</v>
      </c>
      <c r="AI79" s="110">
        <f t="shared" si="35"/>
        <v>1</v>
      </c>
      <c r="AJ79" s="110">
        <f t="shared" si="35"/>
        <v>1</v>
      </c>
      <c r="AK79" s="110">
        <f t="shared" si="35"/>
        <v>1</v>
      </c>
      <c r="AL79" s="110">
        <f t="shared" si="35"/>
        <v>1</v>
      </c>
      <c r="AM79" s="110">
        <f t="shared" si="35"/>
        <v>1</v>
      </c>
      <c r="AN79" s="110">
        <f t="shared" si="35"/>
        <v>1</v>
      </c>
      <c r="AO79" s="110">
        <f t="shared" si="35"/>
        <v>1</v>
      </c>
      <c r="AP79" s="110">
        <f t="shared" si="35"/>
        <v>1</v>
      </c>
      <c r="AQ79" s="110">
        <f t="shared" si="35"/>
        <v>1</v>
      </c>
      <c r="AR79" s="110">
        <f t="shared" si="35"/>
        <v>1</v>
      </c>
      <c r="AS79" s="110">
        <f t="shared" si="35"/>
        <v>1</v>
      </c>
      <c r="AT79" s="110">
        <f t="shared" si="35"/>
        <v>1</v>
      </c>
      <c r="AU79" s="110">
        <f t="shared" si="35"/>
        <v>1</v>
      </c>
      <c r="AV79" s="110">
        <f t="shared" si="35"/>
        <v>1</v>
      </c>
      <c r="AW79" s="110">
        <f t="shared" si="35"/>
        <v>1</v>
      </c>
      <c r="AX79" s="110">
        <f t="shared" si="35"/>
        <v>1</v>
      </c>
      <c r="AY79" s="110">
        <v>1</v>
      </c>
    </row>
    <row r="80" spans="3:51" s="92" customFormat="1">
      <c r="E80" s="165" t="s">
        <v>802</v>
      </c>
      <c r="F80" s="165" t="s">
        <v>611</v>
      </c>
      <c r="H80" s="164"/>
      <c r="J80" s="164"/>
      <c r="L80" s="164"/>
      <c r="N80" s="164"/>
      <c r="P80" s="110">
        <v>1</v>
      </c>
      <c r="Q80" s="110">
        <f t="shared" ref="Q80:Y80" si="36">P80+($Z80-$P80)/(COLUMN($Z80)-COLUMN($P80))</f>
        <v>1</v>
      </c>
      <c r="R80" s="110">
        <f t="shared" si="36"/>
        <v>1</v>
      </c>
      <c r="S80" s="110">
        <f t="shared" si="36"/>
        <v>1</v>
      </c>
      <c r="T80" s="110">
        <f t="shared" si="36"/>
        <v>1</v>
      </c>
      <c r="U80" s="110">
        <f t="shared" si="36"/>
        <v>1</v>
      </c>
      <c r="V80" s="110">
        <f t="shared" si="36"/>
        <v>1</v>
      </c>
      <c r="W80" s="110">
        <f t="shared" si="36"/>
        <v>1</v>
      </c>
      <c r="X80" s="110">
        <f t="shared" si="36"/>
        <v>1</v>
      </c>
      <c r="Y80" s="110">
        <f t="shared" si="36"/>
        <v>1</v>
      </c>
      <c r="Z80" s="110">
        <v>1</v>
      </c>
      <c r="AA80" s="110">
        <f t="shared" ref="AA80:AX80" si="37">Z80+($AY80-$Z80)/(COLUMN($AY80)-COLUMN($Z80))</f>
        <v>1</v>
      </c>
      <c r="AB80" s="110">
        <f t="shared" si="37"/>
        <v>1</v>
      </c>
      <c r="AC80" s="110">
        <f t="shared" si="37"/>
        <v>1</v>
      </c>
      <c r="AD80" s="110">
        <f t="shared" si="37"/>
        <v>1</v>
      </c>
      <c r="AE80" s="110">
        <f t="shared" si="37"/>
        <v>1</v>
      </c>
      <c r="AF80" s="110">
        <f t="shared" si="37"/>
        <v>1</v>
      </c>
      <c r="AG80" s="110">
        <f t="shared" si="37"/>
        <v>1</v>
      </c>
      <c r="AH80" s="110">
        <f t="shared" si="37"/>
        <v>1</v>
      </c>
      <c r="AI80" s="110">
        <f t="shared" si="37"/>
        <v>1</v>
      </c>
      <c r="AJ80" s="110">
        <f t="shared" si="37"/>
        <v>1</v>
      </c>
      <c r="AK80" s="110">
        <f t="shared" si="37"/>
        <v>1</v>
      </c>
      <c r="AL80" s="110">
        <f t="shared" si="37"/>
        <v>1</v>
      </c>
      <c r="AM80" s="110">
        <f t="shared" si="37"/>
        <v>1</v>
      </c>
      <c r="AN80" s="110">
        <f t="shared" si="37"/>
        <v>1</v>
      </c>
      <c r="AO80" s="110">
        <f t="shared" si="37"/>
        <v>1</v>
      </c>
      <c r="AP80" s="110">
        <f t="shared" si="37"/>
        <v>1</v>
      </c>
      <c r="AQ80" s="110">
        <f t="shared" si="37"/>
        <v>1</v>
      </c>
      <c r="AR80" s="110">
        <f t="shared" si="37"/>
        <v>1</v>
      </c>
      <c r="AS80" s="110">
        <f t="shared" si="37"/>
        <v>1</v>
      </c>
      <c r="AT80" s="110">
        <f t="shared" si="37"/>
        <v>1</v>
      </c>
      <c r="AU80" s="110">
        <f t="shared" si="37"/>
        <v>1</v>
      </c>
      <c r="AV80" s="110">
        <f t="shared" si="37"/>
        <v>1</v>
      </c>
      <c r="AW80" s="110">
        <f t="shared" si="37"/>
        <v>1</v>
      </c>
      <c r="AX80" s="110">
        <f t="shared" si="37"/>
        <v>1</v>
      </c>
      <c r="AY80" s="110">
        <v>1</v>
      </c>
    </row>
    <row r="81" spans="5:51" s="92" customFormat="1">
      <c r="E81" s="165" t="s">
        <v>803</v>
      </c>
      <c r="F81" s="165"/>
      <c r="H81" s="164"/>
      <c r="J81" s="164"/>
      <c r="L81" s="164"/>
      <c r="N81" s="164"/>
      <c r="P81" s="110"/>
      <c r="Q81" s="87"/>
      <c r="R81" s="87"/>
      <c r="S81" s="87"/>
      <c r="T81" s="87"/>
      <c r="U81" s="87"/>
      <c r="V81" s="87"/>
      <c r="W81" s="87"/>
      <c r="X81" s="87"/>
      <c r="Y81" s="87"/>
      <c r="Z81" s="110"/>
      <c r="AA81" s="110"/>
      <c r="AB81" s="110"/>
      <c r="AC81" s="110"/>
      <c r="AD81" s="110"/>
      <c r="AE81" s="110"/>
      <c r="AF81" s="110"/>
      <c r="AG81" s="110"/>
      <c r="AH81" s="110"/>
      <c r="AI81" s="110"/>
      <c r="AJ81" s="110"/>
      <c r="AK81" s="110"/>
      <c r="AL81" s="110"/>
      <c r="AM81" s="110"/>
      <c r="AN81" s="110"/>
      <c r="AO81" s="110"/>
      <c r="AP81" s="110"/>
      <c r="AQ81" s="110"/>
      <c r="AR81" s="110"/>
      <c r="AS81" s="110"/>
      <c r="AT81" s="110"/>
      <c r="AU81" s="110"/>
      <c r="AV81" s="110"/>
      <c r="AW81" s="110"/>
      <c r="AX81" s="110"/>
      <c r="AY81" s="110"/>
    </row>
    <row r="82" spans="5:51" s="92" customFormat="1">
      <c r="E82" s="165" t="s">
        <v>805</v>
      </c>
      <c r="F82" s="165" t="s">
        <v>210</v>
      </c>
      <c r="H82" s="164"/>
      <c r="J82" s="164"/>
      <c r="L82" s="164"/>
      <c r="N82" s="164"/>
      <c r="P82" s="110">
        <v>1</v>
      </c>
      <c r="Q82" s="110">
        <f t="shared" ref="Q82:Y82" si="38">P82+($Z82-$P82)/(COLUMN($Z82)-COLUMN($P82))</f>
        <v>1</v>
      </c>
      <c r="R82" s="110">
        <f t="shared" si="38"/>
        <v>1</v>
      </c>
      <c r="S82" s="110">
        <f t="shared" si="38"/>
        <v>1</v>
      </c>
      <c r="T82" s="110">
        <f t="shared" si="38"/>
        <v>1</v>
      </c>
      <c r="U82" s="110">
        <f t="shared" si="38"/>
        <v>1</v>
      </c>
      <c r="V82" s="110">
        <f t="shared" si="38"/>
        <v>1</v>
      </c>
      <c r="W82" s="110">
        <f t="shared" si="38"/>
        <v>1</v>
      </c>
      <c r="X82" s="110">
        <f t="shared" si="38"/>
        <v>1</v>
      </c>
      <c r="Y82" s="110">
        <f t="shared" si="38"/>
        <v>1</v>
      </c>
      <c r="Z82" s="110">
        <v>1</v>
      </c>
      <c r="AA82" s="110">
        <f t="shared" ref="AA82:AX82" si="39">Z82+($AY82-$Z82)/(COLUMN($AY82)-COLUMN($Z82))</f>
        <v>1</v>
      </c>
      <c r="AB82" s="110">
        <f t="shared" si="39"/>
        <v>1</v>
      </c>
      <c r="AC82" s="110">
        <f t="shared" si="39"/>
        <v>1</v>
      </c>
      <c r="AD82" s="110">
        <f t="shared" si="39"/>
        <v>1</v>
      </c>
      <c r="AE82" s="110">
        <f t="shared" si="39"/>
        <v>1</v>
      </c>
      <c r="AF82" s="110">
        <f t="shared" si="39"/>
        <v>1</v>
      </c>
      <c r="AG82" s="110">
        <f t="shared" si="39"/>
        <v>1</v>
      </c>
      <c r="AH82" s="110">
        <f t="shared" si="39"/>
        <v>1</v>
      </c>
      <c r="AI82" s="110">
        <f t="shared" si="39"/>
        <v>1</v>
      </c>
      <c r="AJ82" s="110">
        <f t="shared" si="39"/>
        <v>1</v>
      </c>
      <c r="AK82" s="110">
        <f t="shared" si="39"/>
        <v>1</v>
      </c>
      <c r="AL82" s="110">
        <f t="shared" si="39"/>
        <v>1</v>
      </c>
      <c r="AM82" s="110">
        <f t="shared" si="39"/>
        <v>1</v>
      </c>
      <c r="AN82" s="110">
        <f t="shared" si="39"/>
        <v>1</v>
      </c>
      <c r="AO82" s="110">
        <f t="shared" si="39"/>
        <v>1</v>
      </c>
      <c r="AP82" s="110">
        <f t="shared" si="39"/>
        <v>1</v>
      </c>
      <c r="AQ82" s="110">
        <f t="shared" si="39"/>
        <v>1</v>
      </c>
      <c r="AR82" s="110">
        <f t="shared" si="39"/>
        <v>1</v>
      </c>
      <c r="AS82" s="110">
        <f t="shared" si="39"/>
        <v>1</v>
      </c>
      <c r="AT82" s="110">
        <f t="shared" si="39"/>
        <v>1</v>
      </c>
      <c r="AU82" s="110">
        <f t="shared" si="39"/>
        <v>1</v>
      </c>
      <c r="AV82" s="110">
        <f t="shared" si="39"/>
        <v>1</v>
      </c>
      <c r="AW82" s="110">
        <f t="shared" si="39"/>
        <v>1</v>
      </c>
      <c r="AX82" s="110">
        <f t="shared" si="39"/>
        <v>1</v>
      </c>
      <c r="AY82" s="110">
        <v>1</v>
      </c>
    </row>
    <row r="83" spans="5:51">
      <c r="E83" s="78"/>
      <c r="F83" s="78"/>
    </row>
  </sheetData>
  <conditionalFormatting sqref="J38:AY38 P43:AY43 P63:AY81 P83:AY83 P30:AY37 P9:AY20">
    <cfRule type="cellIs" dxfId="248" priority="23" operator="lessThan">
      <formula>0</formula>
    </cfRule>
  </conditionalFormatting>
  <conditionalFormatting sqref="P42:AY42">
    <cfRule type="cellIs" dxfId="247" priority="22" operator="lessThan">
      <formula>0</formula>
    </cfRule>
  </conditionalFormatting>
  <conditionalFormatting sqref="P82:AY82">
    <cfRule type="cellIs" dxfId="246" priority="21" operator="lessThan">
      <formula>0</formula>
    </cfRule>
  </conditionalFormatting>
  <conditionalFormatting sqref="P48">
    <cfRule type="cellIs" dxfId="245" priority="18" operator="lessThan">
      <formula>0</formula>
    </cfRule>
  </conditionalFormatting>
  <conditionalFormatting sqref="P44:AY46">
    <cfRule type="cellIs" dxfId="244" priority="19" operator="lessThan">
      <formula>0</formula>
    </cfRule>
  </conditionalFormatting>
  <conditionalFormatting sqref="Q48:AY48">
    <cfRule type="cellIs" dxfId="243" priority="12" operator="lessThan">
      <formula>0</formula>
    </cfRule>
  </conditionalFormatting>
  <conditionalFormatting sqref="P49">
    <cfRule type="cellIs" dxfId="242" priority="11" operator="lessThan">
      <formula>0</formula>
    </cfRule>
  </conditionalFormatting>
  <conditionalFormatting sqref="Q49:AY49">
    <cfRule type="cellIs" dxfId="241" priority="10" operator="lessThan">
      <formula>0</formula>
    </cfRule>
  </conditionalFormatting>
  <conditionalFormatting sqref="P50">
    <cfRule type="cellIs" dxfId="240" priority="9" operator="lessThan">
      <formula>0</formula>
    </cfRule>
  </conditionalFormatting>
  <conditionalFormatting sqref="Q50:AY50">
    <cfRule type="cellIs" dxfId="239" priority="8" operator="lessThan">
      <formula>0</formula>
    </cfRule>
  </conditionalFormatting>
  <conditionalFormatting sqref="P39">
    <cfRule type="cellIs" dxfId="238" priority="7" operator="lessThan">
      <formula>0</formula>
    </cfRule>
  </conditionalFormatting>
  <conditionalFormatting sqref="Q39:AY39">
    <cfRule type="cellIs" dxfId="237" priority="6" operator="lessThan">
      <formula>0</formula>
    </cfRule>
  </conditionalFormatting>
  <conditionalFormatting sqref="P40">
    <cfRule type="cellIs" dxfId="236" priority="5" operator="lessThan">
      <formula>0</formula>
    </cfRule>
  </conditionalFormatting>
  <conditionalFormatting sqref="Q40:AY40">
    <cfRule type="cellIs" dxfId="235" priority="4" operator="lessThan">
      <formula>0</formula>
    </cfRule>
  </conditionalFormatting>
  <conditionalFormatting sqref="P41">
    <cfRule type="cellIs" dxfId="234" priority="3" operator="lessThan">
      <formula>0</formula>
    </cfRule>
  </conditionalFormatting>
  <conditionalFormatting sqref="Q41:AY41">
    <cfRule type="cellIs" dxfId="233" priority="2" operator="lessThan">
      <formula>0</formula>
    </cfRule>
  </conditionalFormatting>
  <conditionalFormatting sqref="P21:AY29">
    <cfRule type="cellIs" dxfId="232" priority="1" operator="lessThan">
      <formula>0</formula>
    </cfRule>
  </conditionalFormatting>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8">
    <tabColor theme="1" tint="0.249977111117893"/>
  </sheetPr>
  <dimension ref="A1:AT433"/>
  <sheetViews>
    <sheetView zoomScale="85" zoomScaleNormal="85" workbookViewId="0">
      <selection activeCell="O35" sqref="O35"/>
    </sheetView>
  </sheetViews>
  <sheetFormatPr defaultColWidth="9.140625" defaultRowHeight="15"/>
  <cols>
    <col min="1" max="1" width="47.85546875" bestFit="1" customWidth="1"/>
    <col min="2" max="2" width="9"/>
    <col min="3" max="3" width="36.5703125" bestFit="1" customWidth="1"/>
    <col min="4" max="4" width="9.5703125" customWidth="1"/>
    <col min="5" max="10" width="9"/>
    <col min="11" max="11" width="9.42578125" customWidth="1"/>
    <col min="12" max="25" width="9" customWidth="1"/>
  </cols>
  <sheetData>
    <row r="1" spans="1:46" s="462" customFormat="1">
      <c r="A1" s="462" t="s">
        <v>480</v>
      </c>
      <c r="B1" s="204" t="str">
        <f>Dashboard!$D$6</f>
        <v>High Electrification</v>
      </c>
      <c r="D1" s="565">
        <v>2015</v>
      </c>
      <c r="E1" s="462">
        <v>2016</v>
      </c>
      <c r="F1" s="462">
        <v>2017</v>
      </c>
      <c r="G1" s="462">
        <v>2018</v>
      </c>
      <c r="H1" s="462">
        <v>2019</v>
      </c>
      <c r="I1" s="462">
        <v>2020</v>
      </c>
      <c r="J1" s="462">
        <v>2021</v>
      </c>
      <c r="K1" s="462">
        <v>2022</v>
      </c>
      <c r="L1" s="462">
        <v>2023</v>
      </c>
      <c r="M1" s="462">
        <v>2024</v>
      </c>
      <c r="N1" s="462">
        <v>2025</v>
      </c>
      <c r="O1" s="462">
        <v>2026</v>
      </c>
      <c r="P1" s="462">
        <v>2027</v>
      </c>
      <c r="Q1" s="462">
        <v>2028</v>
      </c>
      <c r="R1" s="462">
        <v>2029</v>
      </c>
      <c r="S1" s="462">
        <v>2030</v>
      </c>
      <c r="T1" s="462">
        <v>2031</v>
      </c>
      <c r="U1" s="462">
        <v>2032</v>
      </c>
      <c r="V1" s="462">
        <v>2033</v>
      </c>
      <c r="W1" s="462">
        <v>2034</v>
      </c>
      <c r="X1" s="462">
        <v>2035</v>
      </c>
      <c r="Y1" s="462">
        <v>2036</v>
      </c>
      <c r="Z1" s="462">
        <v>2037</v>
      </c>
      <c r="AA1" s="462">
        <v>2038</v>
      </c>
      <c r="AB1" s="462">
        <v>2039</v>
      </c>
      <c r="AC1" s="462">
        <v>2040</v>
      </c>
      <c r="AD1" s="462">
        <v>2041</v>
      </c>
      <c r="AE1" s="462">
        <v>2042</v>
      </c>
      <c r="AF1" s="462">
        <v>2043</v>
      </c>
      <c r="AG1" s="462">
        <v>2044</v>
      </c>
      <c r="AH1" s="462">
        <v>2045</v>
      </c>
      <c r="AI1" s="462">
        <v>2046</v>
      </c>
      <c r="AJ1" s="462">
        <v>2047</v>
      </c>
      <c r="AK1" s="462">
        <v>2048</v>
      </c>
      <c r="AL1" s="462">
        <v>2049</v>
      </c>
      <c r="AM1" s="566">
        <v>2050</v>
      </c>
    </row>
    <row r="2" spans="1:46">
      <c r="A2" t="str">
        <f t="shared" ref="A2:A10" si="0">$B$1&amp;$B$2&amp;C2</f>
        <v>High ElectrificationDomestic heat</v>
      </c>
      <c r="C2" s="180" t="s">
        <v>806</v>
      </c>
      <c r="D2" s="318">
        <f>IFERROR(INDEX(D$15:D$73,MATCH($A2,$A$15:$A$73,0),1),"")</f>
        <v>683.10906051041047</v>
      </c>
      <c r="E2">
        <f>D2+($I2-$D2)/5</f>
        <v>687.28833344021643</v>
      </c>
      <c r="F2">
        <f>E2+($I2-$D2)/5</f>
        <v>691.46760637002239</v>
      </c>
      <c r="G2">
        <f>F2+($I2-$D2)/5</f>
        <v>695.64687929982836</v>
      </c>
      <c r="H2">
        <f>G2+($I2-$D2)/5</f>
        <v>699.82615222963432</v>
      </c>
      <c r="I2" s="318">
        <f t="shared" ref="I2:I10" si="1">IFERROR(INDEX(E$15:E$73,MATCH($A2,$A$15:$A$73,0),1),"")</f>
        <v>704.00542515944005</v>
      </c>
      <c r="J2">
        <f>I2+($N2-$I2)/5</f>
        <v>696.22284083088641</v>
      </c>
      <c r="K2">
        <f t="shared" ref="K2:M2" si="2">J2+($N2-$I2)/5</f>
        <v>688.44025650233277</v>
      </c>
      <c r="L2">
        <f t="shared" si="2"/>
        <v>680.65767217377913</v>
      </c>
      <c r="M2">
        <f t="shared" si="2"/>
        <v>672.87508784522549</v>
      </c>
      <c r="N2" s="318">
        <f t="shared" ref="N2:N10" si="3">IFERROR(INDEX(F$15:F$73,MATCH($A2,$A$15:$A$73,0),1),"")</f>
        <v>665.09250351667163</v>
      </c>
      <c r="O2">
        <f>N2+($S2-$N2)/5</f>
        <v>692.64888679806563</v>
      </c>
      <c r="P2">
        <f t="shared" ref="P2:R2" si="4">O2+($S2-$N2)/5</f>
        <v>720.20527007945964</v>
      </c>
      <c r="Q2">
        <f t="shared" si="4"/>
        <v>747.76165336085364</v>
      </c>
      <c r="R2">
        <f t="shared" si="4"/>
        <v>775.31803664224765</v>
      </c>
      <c r="S2" s="318">
        <f t="shared" ref="S2:S10" si="5">IFERROR(INDEX(G$15:G$73,MATCH($A2,$A$15:$A$73,0),1),"")</f>
        <v>802.87441992364143</v>
      </c>
      <c r="T2">
        <f>S2+($X2-$S2)/5</f>
        <v>852.52397911615731</v>
      </c>
      <c r="U2">
        <f t="shared" ref="U2:W2" si="6">T2+($X2-$S2)/5</f>
        <v>902.17353830867319</v>
      </c>
      <c r="V2">
        <f t="shared" si="6"/>
        <v>951.82309750118907</v>
      </c>
      <c r="W2">
        <f t="shared" si="6"/>
        <v>1001.4726566937049</v>
      </c>
      <c r="X2" s="318">
        <f t="shared" ref="X2:X10" si="7">IFERROR(INDEX(H$15:H$73,MATCH($A2,$A$15:$A$73,0),1),"")</f>
        <v>1051.1222158862208</v>
      </c>
      <c r="Y2">
        <f>X2+($AC2-$X2)/5</f>
        <v>1137.5220182046439</v>
      </c>
      <c r="Z2">
        <f t="shared" ref="Z2:AB2" si="8">Y2+($AC2-$X2)/5</f>
        <v>1223.921820523067</v>
      </c>
      <c r="AA2">
        <f t="shared" si="8"/>
        <v>1310.3216228414901</v>
      </c>
      <c r="AB2">
        <f t="shared" si="8"/>
        <v>1396.7214251599132</v>
      </c>
      <c r="AC2" s="318">
        <f t="shared" ref="AC2:AC10" si="9">IFERROR(INDEX(I$15:I$73,MATCH($A2,$A$15:$A$73,0),1),"")</f>
        <v>1483.1212274783366</v>
      </c>
      <c r="AD2">
        <f>AC2+($AH2-$AC2)/5</f>
        <v>1531.5123938834774</v>
      </c>
      <c r="AE2">
        <f t="shared" ref="AE2:AG2" si="10">AD2+($AH2-$AC2)/5</f>
        <v>1579.9035602886183</v>
      </c>
      <c r="AF2">
        <f t="shared" si="10"/>
        <v>1628.2947266937592</v>
      </c>
      <c r="AG2">
        <f t="shared" si="10"/>
        <v>1676.6858930989001</v>
      </c>
      <c r="AH2" s="318">
        <f t="shared" ref="AH2:AH10" si="11">IFERROR(INDEX(J$15:J$73,MATCH($A2,$A$15:$A$73,0),1),"")</f>
        <v>1725.0770595040415</v>
      </c>
      <c r="AI2">
        <f>AH2+($AM2-$AH2)/5</f>
        <v>1785.3234804048218</v>
      </c>
      <c r="AJ2">
        <f t="shared" ref="AJ2:AL2" si="12">AI2+($AM2-$AH2)/5</f>
        <v>1845.5699013056021</v>
      </c>
      <c r="AK2">
        <f t="shared" si="12"/>
        <v>1905.8163222063824</v>
      </c>
      <c r="AL2">
        <f t="shared" si="12"/>
        <v>1966.0627431071628</v>
      </c>
      <c r="AM2" s="318">
        <f t="shared" ref="AM2:AM10" si="13">IFERROR(INDEX(K$15:K$73,MATCH($A2,$A$15:$A$73,0),1),"")</f>
        <v>2026.3091640079435</v>
      </c>
    </row>
    <row r="3" spans="1:46">
      <c r="A3" t="str">
        <f t="shared" si="0"/>
        <v>High ElectrificationOther domestic</v>
      </c>
      <c r="C3" s="180" t="s">
        <v>807</v>
      </c>
      <c r="D3" s="318">
        <f>IFERROR(INDEX(D$15:D$73,MATCH($A3,$A$15:$A$73,0),1),"")</f>
        <v>2154.3990054544697</v>
      </c>
      <c r="E3">
        <f t="shared" ref="E3:H3" si="14">D3+($I3-$D3)/5</f>
        <v>2158.9523523495081</v>
      </c>
      <c r="F3">
        <f t="shared" si="14"/>
        <v>2163.5056992445466</v>
      </c>
      <c r="G3">
        <f t="shared" si="14"/>
        <v>2168.059046139585</v>
      </c>
      <c r="H3">
        <f t="shared" si="14"/>
        <v>2172.6123930346234</v>
      </c>
      <c r="I3" s="318">
        <f>IFERROR(INDEX(E$15:E$73,MATCH($A3,$A$15:$A$73,0),1),"")</f>
        <v>2177.1657399296614</v>
      </c>
      <c r="J3">
        <f t="shared" ref="J3:M3" si="15">I3+($N3-$I3)/5</f>
        <v>2181.7190868246998</v>
      </c>
      <c r="K3">
        <f t="shared" si="15"/>
        <v>2186.2724337197383</v>
      </c>
      <c r="L3">
        <f t="shared" si="15"/>
        <v>2190.8257806147767</v>
      </c>
      <c r="M3">
        <f t="shared" si="15"/>
        <v>2195.3791275098151</v>
      </c>
      <c r="N3" s="318">
        <f t="shared" si="3"/>
        <v>2199.9324744048531</v>
      </c>
      <c r="O3">
        <f t="shared" ref="O3:R3" si="16">N3+($S3-$N3)/5</f>
        <v>2204.4858212998915</v>
      </c>
      <c r="P3">
        <f t="shared" si="16"/>
        <v>2209.03916819493</v>
      </c>
      <c r="Q3">
        <f t="shared" si="16"/>
        <v>2213.5925150899684</v>
      </c>
      <c r="R3">
        <f t="shared" si="16"/>
        <v>2218.1458619850068</v>
      </c>
      <c r="S3" s="318">
        <f t="shared" si="5"/>
        <v>2222.6992088800448</v>
      </c>
      <c r="T3">
        <f t="shared" ref="T3:W3" si="17">S3+($X3-$S3)/5</f>
        <v>2224.4223003613611</v>
      </c>
      <c r="U3">
        <f t="shared" si="17"/>
        <v>2226.1453918426773</v>
      </c>
      <c r="V3">
        <f t="shared" si="17"/>
        <v>2227.8684833239936</v>
      </c>
      <c r="W3">
        <f t="shared" si="17"/>
        <v>2229.5915748053098</v>
      </c>
      <c r="X3" s="318">
        <f t="shared" si="7"/>
        <v>2231.3146662866266</v>
      </c>
      <c r="Y3">
        <f t="shared" ref="Y3:AB3" si="18">X3+($AC3-$X3)/5</f>
        <v>2230.1902475960628</v>
      </c>
      <c r="Z3">
        <f t="shared" si="18"/>
        <v>2229.0658289054991</v>
      </c>
      <c r="AA3">
        <f t="shared" si="18"/>
        <v>2227.9414102149353</v>
      </c>
      <c r="AB3">
        <f t="shared" si="18"/>
        <v>2226.8169915243716</v>
      </c>
      <c r="AC3" s="318">
        <f t="shared" si="9"/>
        <v>2225.6925728338074</v>
      </c>
      <c r="AD3">
        <f t="shared" ref="AD3:AG3" si="19">AC3+($AH3-$AC3)/5</f>
        <v>2220.9459228697519</v>
      </c>
      <c r="AE3">
        <f t="shared" si="19"/>
        <v>2216.1992729056965</v>
      </c>
      <c r="AF3">
        <f t="shared" si="19"/>
        <v>2211.452622941641</v>
      </c>
      <c r="AG3">
        <f t="shared" si="19"/>
        <v>2206.7059729775856</v>
      </c>
      <c r="AH3" s="318">
        <f t="shared" si="11"/>
        <v>2201.9593230135292</v>
      </c>
      <c r="AI3">
        <f t="shared" ref="AI3:AL3" si="20">AH3+($AM3-$AH3)/5</f>
        <v>2194.3016076760455</v>
      </c>
      <c r="AJ3">
        <f t="shared" si="20"/>
        <v>2186.6438923385617</v>
      </c>
      <c r="AK3">
        <f t="shared" si="20"/>
        <v>2178.986177001078</v>
      </c>
      <c r="AL3">
        <f t="shared" si="20"/>
        <v>2171.3284616635942</v>
      </c>
      <c r="AM3" s="318">
        <f t="shared" si="13"/>
        <v>2163.6707463261096</v>
      </c>
    </row>
    <row r="4" spans="1:46">
      <c r="A4" t="str">
        <f t="shared" si="0"/>
        <v>High ElectrificationNon-domestic heat</v>
      </c>
      <c r="C4" s="180" t="s">
        <v>808</v>
      </c>
      <c r="D4" s="318">
        <f t="shared" ref="D4:D10" si="21">IFERROR(INDEX(D$15:D$73,MATCH($A4,$A$15:$A$73,0),1),"")</f>
        <v>708.32689732451422</v>
      </c>
      <c r="E4">
        <f t="shared" ref="E4:H4" si="22">D4+($I4-$D4)/5</f>
        <v>707.69487180784506</v>
      </c>
      <c r="F4">
        <f t="shared" si="22"/>
        <v>707.0628462911759</v>
      </c>
      <c r="G4">
        <f t="shared" si="22"/>
        <v>706.43082077450674</v>
      </c>
      <c r="H4">
        <f t="shared" si="22"/>
        <v>705.79879525783758</v>
      </c>
      <c r="I4" s="318">
        <f t="shared" si="1"/>
        <v>705.16676974116842</v>
      </c>
      <c r="J4">
        <f t="shared" ref="J4:M4" si="23">I4+($N4-$I4)/5</f>
        <v>699.27379465734293</v>
      </c>
      <c r="K4">
        <f t="shared" si="23"/>
        <v>693.38081957351744</v>
      </c>
      <c r="L4">
        <f t="shared" si="23"/>
        <v>687.48784448969195</v>
      </c>
      <c r="M4">
        <f t="shared" si="23"/>
        <v>681.59486940586646</v>
      </c>
      <c r="N4" s="318">
        <f t="shared" si="3"/>
        <v>675.70189432204086</v>
      </c>
      <c r="O4">
        <f t="shared" ref="O4:R4" si="24">N4+($S4-$N4)/5</f>
        <v>667.52251712726149</v>
      </c>
      <c r="P4">
        <f t="shared" si="24"/>
        <v>659.34313993248213</v>
      </c>
      <c r="Q4">
        <f t="shared" si="24"/>
        <v>651.16376273770277</v>
      </c>
      <c r="R4">
        <f t="shared" si="24"/>
        <v>642.98438554292341</v>
      </c>
      <c r="S4" s="318">
        <f t="shared" si="5"/>
        <v>634.80500834814382</v>
      </c>
      <c r="T4">
        <f t="shared" ref="T4:W4" si="25">S4+($X4-$S4)/5</f>
        <v>634.34170420948249</v>
      </c>
      <c r="U4">
        <f t="shared" si="25"/>
        <v>633.87840007082116</v>
      </c>
      <c r="V4">
        <f t="shared" si="25"/>
        <v>633.41509593215983</v>
      </c>
      <c r="W4">
        <f t="shared" si="25"/>
        <v>632.9517917934985</v>
      </c>
      <c r="X4" s="318">
        <f t="shared" si="7"/>
        <v>632.48848765483694</v>
      </c>
      <c r="Y4">
        <f t="shared" ref="Y4:AB4" si="26">X4+($AC4-$X4)/5</f>
        <v>648.93337541946084</v>
      </c>
      <c r="Z4">
        <f t="shared" si="26"/>
        <v>665.37826318408474</v>
      </c>
      <c r="AA4">
        <f t="shared" si="26"/>
        <v>681.82315094870864</v>
      </c>
      <c r="AB4">
        <f t="shared" si="26"/>
        <v>698.26803871333254</v>
      </c>
      <c r="AC4" s="318">
        <f t="shared" si="9"/>
        <v>714.71292647795622</v>
      </c>
      <c r="AD4">
        <f t="shared" ref="AD4:AG4" si="27">AC4+($AH4-$AC4)/5</f>
        <v>716.08642402406474</v>
      </c>
      <c r="AE4">
        <f t="shared" si="27"/>
        <v>717.45992157017326</v>
      </c>
      <c r="AF4">
        <f t="shared" si="27"/>
        <v>718.83341911628179</v>
      </c>
      <c r="AG4">
        <f t="shared" si="27"/>
        <v>720.20691666239031</v>
      </c>
      <c r="AH4" s="318">
        <f t="shared" si="11"/>
        <v>721.58041420849906</v>
      </c>
      <c r="AI4">
        <f t="shared" ref="AI4:AL4" si="28">AH4+($AM4-$AH4)/5</f>
        <v>727.96502066007031</v>
      </c>
      <c r="AJ4">
        <f t="shared" si="28"/>
        <v>734.34962711164155</v>
      </c>
      <c r="AK4">
        <f t="shared" si="28"/>
        <v>740.7342335632128</v>
      </c>
      <c r="AL4">
        <f t="shared" si="28"/>
        <v>747.11884001478404</v>
      </c>
      <c r="AM4" s="318">
        <f t="shared" si="13"/>
        <v>753.5034464663554</v>
      </c>
    </row>
    <row r="5" spans="1:46">
      <c r="A5" t="str">
        <f t="shared" si="0"/>
        <v>High ElectrificationOther non-domestic</v>
      </c>
      <c r="C5" s="180" t="s">
        <v>809</v>
      </c>
      <c r="D5" s="318">
        <f t="shared" si="21"/>
        <v>4308.1139743073154</v>
      </c>
      <c r="E5">
        <f t="shared" ref="E5:H5" si="29">D5+($I5-$D5)/5</f>
        <v>4311.7231230831758</v>
      </c>
      <c r="F5">
        <f t="shared" si="29"/>
        <v>4315.3322718590362</v>
      </c>
      <c r="G5">
        <f t="shared" si="29"/>
        <v>4318.9414206348965</v>
      </c>
      <c r="H5">
        <f t="shared" si="29"/>
        <v>4322.5505694107569</v>
      </c>
      <c r="I5" s="318">
        <f t="shared" si="1"/>
        <v>4326.1597181866182</v>
      </c>
      <c r="J5">
        <f t="shared" ref="J5:M5" si="30">I5+($N5-$I5)/5</f>
        <v>4329.7688669624795</v>
      </c>
      <c r="K5">
        <f t="shared" si="30"/>
        <v>4333.3780157383408</v>
      </c>
      <c r="L5">
        <f t="shared" si="30"/>
        <v>4336.987164514202</v>
      </c>
      <c r="M5">
        <f t="shared" si="30"/>
        <v>4340.5963132900633</v>
      </c>
      <c r="N5" s="318">
        <f>IFERROR(INDEX(F$15:F$73,MATCH($A5,$A$15:$A$73,0),1),"")</f>
        <v>4344.2054620659228</v>
      </c>
      <c r="O5">
        <f t="shared" ref="O5:R5" si="31">N5+($S5-$N5)/5</f>
        <v>4347.8146108417832</v>
      </c>
      <c r="P5">
        <f t="shared" si="31"/>
        <v>4351.4237596176436</v>
      </c>
      <c r="Q5">
        <f t="shared" si="31"/>
        <v>4355.0329083935039</v>
      </c>
      <c r="R5">
        <f t="shared" si="31"/>
        <v>4358.6420571693643</v>
      </c>
      <c r="S5" s="318">
        <f t="shared" si="5"/>
        <v>4362.2512059452247</v>
      </c>
      <c r="T5">
        <f t="shared" ref="T5:W5" si="32">S5+($X5-$S5)/5</f>
        <v>4363.6170463172612</v>
      </c>
      <c r="U5">
        <f t="shared" si="32"/>
        <v>4364.9828866892976</v>
      </c>
      <c r="V5">
        <f t="shared" si="32"/>
        <v>4366.3487270613341</v>
      </c>
      <c r="W5">
        <f t="shared" si="32"/>
        <v>4367.7145674333706</v>
      </c>
      <c r="X5" s="318">
        <f t="shared" si="7"/>
        <v>4369.0804078054052</v>
      </c>
      <c r="Y5">
        <f t="shared" ref="Y5:AB5" si="33">X5+($AC5-$X5)/5</f>
        <v>4368.203364300678</v>
      </c>
      <c r="Z5">
        <f t="shared" si="33"/>
        <v>4367.3263207959508</v>
      </c>
      <c r="AA5">
        <f t="shared" si="33"/>
        <v>4366.4492772912236</v>
      </c>
      <c r="AB5">
        <f t="shared" si="33"/>
        <v>4365.5722337864963</v>
      </c>
      <c r="AC5" s="318">
        <f t="shared" si="9"/>
        <v>4364.6951902817691</v>
      </c>
      <c r="AD5">
        <f t="shared" ref="AD5:AG5" si="34">AC5+($AH5-$AC5)/5</f>
        <v>4361.5529708917902</v>
      </c>
      <c r="AE5">
        <f t="shared" si="34"/>
        <v>4358.4107515018113</v>
      </c>
      <c r="AF5">
        <f t="shared" si="34"/>
        <v>4355.2685321118324</v>
      </c>
      <c r="AG5">
        <f t="shared" si="34"/>
        <v>4352.1263127218535</v>
      </c>
      <c r="AH5" s="318">
        <f t="shared" si="11"/>
        <v>4348.9840933318737</v>
      </c>
      <c r="AI5">
        <f t="shared" ref="AI5:AL5" si="35">AH5+($AM5-$AH5)/5</f>
        <v>4343.5791416179991</v>
      </c>
      <c r="AJ5">
        <f t="shared" si="35"/>
        <v>4338.1741899041244</v>
      </c>
      <c r="AK5">
        <f t="shared" si="35"/>
        <v>4332.7692381902498</v>
      </c>
      <c r="AL5">
        <f t="shared" si="35"/>
        <v>4327.3642864763751</v>
      </c>
      <c r="AM5" s="318">
        <f t="shared" si="13"/>
        <v>4321.9593347625023</v>
      </c>
    </row>
    <row r="6" spans="1:46">
      <c r="A6" t="str">
        <f t="shared" si="0"/>
        <v>High ElectrificationElectric vehicles</v>
      </c>
      <c r="C6" s="180" t="s">
        <v>810</v>
      </c>
      <c r="D6" s="318">
        <f t="shared" si="21"/>
        <v>6.7556060997870322</v>
      </c>
      <c r="E6">
        <f t="shared" ref="E6:H6" si="36">D6+($I6-$D6)/5</f>
        <v>8.4504697885493112</v>
      </c>
      <c r="F6">
        <f t="shared" si="36"/>
        <v>10.14533347731159</v>
      </c>
      <c r="G6">
        <f t="shared" si="36"/>
        <v>11.840197166073869</v>
      </c>
      <c r="H6">
        <f t="shared" si="36"/>
        <v>13.535060854836148</v>
      </c>
      <c r="I6" s="318">
        <f t="shared" si="1"/>
        <v>15.229924543598424</v>
      </c>
      <c r="J6">
        <f t="shared" ref="J6:M6" si="37">I6+($N6-$I6)/5</f>
        <v>26.161249827204827</v>
      </c>
      <c r="K6">
        <f t="shared" si="37"/>
        <v>37.092575110811232</v>
      </c>
      <c r="L6">
        <f t="shared" si="37"/>
        <v>48.023900394417637</v>
      </c>
      <c r="M6">
        <f t="shared" si="37"/>
        <v>58.955225678024043</v>
      </c>
      <c r="N6" s="318">
        <f t="shared" si="3"/>
        <v>69.886550961630448</v>
      </c>
      <c r="O6">
        <f t="shared" ref="O6:R6" si="38">N6+($S6-$N6)/5</f>
        <v>90.230695538191412</v>
      </c>
      <c r="P6">
        <f t="shared" si="38"/>
        <v>110.57484011475239</v>
      </c>
      <c r="Q6">
        <f t="shared" si="38"/>
        <v>130.91898469131337</v>
      </c>
      <c r="R6">
        <f t="shared" si="38"/>
        <v>151.26312926787435</v>
      </c>
      <c r="S6" s="318">
        <f t="shared" si="5"/>
        <v>171.6072738444353</v>
      </c>
      <c r="T6">
        <f t="shared" ref="T6:W6" si="39">S6+($X6-$S6)/5</f>
        <v>189.69543465728867</v>
      </c>
      <c r="U6">
        <f t="shared" si="39"/>
        <v>207.78359547014205</v>
      </c>
      <c r="V6">
        <f t="shared" si="39"/>
        <v>225.87175628299542</v>
      </c>
      <c r="W6">
        <f t="shared" si="39"/>
        <v>243.95991709584879</v>
      </c>
      <c r="X6" s="318">
        <f t="shared" si="7"/>
        <v>262.04807790870223</v>
      </c>
      <c r="Y6">
        <f t="shared" ref="Y6:AB6" si="40">X6+($AC6-$X6)/5</f>
        <v>273.75483898882749</v>
      </c>
      <c r="Z6">
        <f t="shared" si="40"/>
        <v>285.46160006895275</v>
      </c>
      <c r="AA6">
        <f t="shared" si="40"/>
        <v>297.16836114907801</v>
      </c>
      <c r="AB6">
        <f t="shared" si="40"/>
        <v>308.87512222920327</v>
      </c>
      <c r="AC6" s="318">
        <f t="shared" si="9"/>
        <v>320.58188330932853</v>
      </c>
      <c r="AD6">
        <f t="shared" ref="AD6:AG6" si="41">AC6+($AH6-$AC6)/5</f>
        <v>326.54205116915358</v>
      </c>
      <c r="AE6">
        <f t="shared" si="41"/>
        <v>332.50221902897863</v>
      </c>
      <c r="AF6">
        <f t="shared" si="41"/>
        <v>338.46238688880368</v>
      </c>
      <c r="AG6">
        <f t="shared" si="41"/>
        <v>344.42255474862873</v>
      </c>
      <c r="AH6" s="318">
        <f t="shared" si="11"/>
        <v>350.38272260845372</v>
      </c>
      <c r="AI6">
        <f t="shared" ref="AI6:AL6" si="42">AH6+($AM6-$AH6)/5</f>
        <v>352.08358387121672</v>
      </c>
      <c r="AJ6">
        <f t="shared" si="42"/>
        <v>353.78444513397972</v>
      </c>
      <c r="AK6">
        <f t="shared" si="42"/>
        <v>355.48530639674271</v>
      </c>
      <c r="AL6">
        <f t="shared" si="42"/>
        <v>357.18616765950571</v>
      </c>
      <c r="AM6" s="318">
        <f t="shared" si="13"/>
        <v>358.88702892226866</v>
      </c>
    </row>
    <row r="7" spans="1:46">
      <c r="A7" t="str">
        <f t="shared" si="0"/>
        <v>High ElectrificationHydrogen vehicles</v>
      </c>
      <c r="C7" s="180" t="s">
        <v>811</v>
      </c>
      <c r="D7" s="318">
        <f t="shared" si="21"/>
        <v>0</v>
      </c>
      <c r="E7">
        <f t="shared" ref="E7:H7" si="43">D7+($I7-$D7)/5</f>
        <v>0</v>
      </c>
      <c r="F7">
        <f t="shared" si="43"/>
        <v>0</v>
      </c>
      <c r="G7">
        <f t="shared" si="43"/>
        <v>0</v>
      </c>
      <c r="H7">
        <f t="shared" si="43"/>
        <v>0</v>
      </c>
      <c r="I7" s="318">
        <f t="shared" si="1"/>
        <v>0</v>
      </c>
      <c r="J7">
        <f t="shared" ref="J7:M7" si="44">I7+($N7-$I7)/5</f>
        <v>0</v>
      </c>
      <c r="K7">
        <f t="shared" si="44"/>
        <v>0</v>
      </c>
      <c r="L7">
        <f t="shared" si="44"/>
        <v>0</v>
      </c>
      <c r="M7">
        <f t="shared" si="44"/>
        <v>0</v>
      </c>
      <c r="N7" s="318">
        <f t="shared" si="3"/>
        <v>0</v>
      </c>
      <c r="O7">
        <f t="shared" ref="O7:R7" si="45">N7+($S7-$N7)/5</f>
        <v>0</v>
      </c>
      <c r="P7">
        <f t="shared" si="45"/>
        <v>0</v>
      </c>
      <c r="Q7">
        <f t="shared" si="45"/>
        <v>0</v>
      </c>
      <c r="R7">
        <f t="shared" si="45"/>
        <v>0</v>
      </c>
      <c r="S7" s="318">
        <f t="shared" si="5"/>
        <v>0</v>
      </c>
      <c r="T7">
        <f t="shared" ref="T7:W7" si="46">S7+($X7-$S7)/5</f>
        <v>0</v>
      </c>
      <c r="U7">
        <f t="shared" si="46"/>
        <v>0</v>
      </c>
      <c r="V7">
        <f t="shared" si="46"/>
        <v>0</v>
      </c>
      <c r="W7">
        <f t="shared" si="46"/>
        <v>0</v>
      </c>
      <c r="X7" s="318">
        <f t="shared" si="7"/>
        <v>0</v>
      </c>
      <c r="Y7">
        <f t="shared" ref="Y7:AB7" si="47">X7+($AC7-$X7)/5</f>
        <v>0</v>
      </c>
      <c r="Z7">
        <f t="shared" si="47"/>
        <v>0</v>
      </c>
      <c r="AA7">
        <f t="shared" si="47"/>
        <v>0</v>
      </c>
      <c r="AB7">
        <f t="shared" si="47"/>
        <v>0</v>
      </c>
      <c r="AC7" s="318">
        <f t="shared" si="9"/>
        <v>0</v>
      </c>
      <c r="AD7">
        <f t="shared" ref="AD7:AG7" si="48">AC7+($AH7-$AC7)/5</f>
        <v>0</v>
      </c>
      <c r="AE7">
        <f t="shared" si="48"/>
        <v>0</v>
      </c>
      <c r="AF7">
        <f t="shared" si="48"/>
        <v>0</v>
      </c>
      <c r="AG7">
        <f t="shared" si="48"/>
        <v>0</v>
      </c>
      <c r="AH7" s="318">
        <f t="shared" si="11"/>
        <v>0</v>
      </c>
      <c r="AI7">
        <f t="shared" ref="AI7:AL7" si="49">AH7+($AM7-$AH7)/5</f>
        <v>0</v>
      </c>
      <c r="AJ7">
        <f t="shared" si="49"/>
        <v>0</v>
      </c>
      <c r="AK7">
        <f t="shared" si="49"/>
        <v>0</v>
      </c>
      <c r="AL7">
        <f t="shared" si="49"/>
        <v>0</v>
      </c>
      <c r="AM7" s="318">
        <f t="shared" si="13"/>
        <v>0</v>
      </c>
    </row>
    <row r="8" spans="1:46">
      <c r="A8" t="str">
        <f t="shared" si="0"/>
        <v>High ElectrificationUnderground, rail, DLR</v>
      </c>
      <c r="C8" s="180" t="s">
        <v>812</v>
      </c>
      <c r="D8" s="318">
        <f t="shared" si="21"/>
        <v>12.074046466723365</v>
      </c>
      <c r="E8">
        <f t="shared" ref="E8:H8" si="50">D8+($I8-$D8)/5</f>
        <v>12.440899812052658</v>
      </c>
      <c r="F8">
        <f t="shared" si="50"/>
        <v>12.807753157381951</v>
      </c>
      <c r="G8">
        <f t="shared" si="50"/>
        <v>13.174606502711244</v>
      </c>
      <c r="H8">
        <f t="shared" si="50"/>
        <v>13.541459848040537</v>
      </c>
      <c r="I8" s="318">
        <f t="shared" si="1"/>
        <v>13.908313193369827</v>
      </c>
      <c r="J8">
        <f t="shared" ref="J8:M8" si="51">I8+($N8-$I8)/5</f>
        <v>13.955576590538145</v>
      </c>
      <c r="K8">
        <f t="shared" si="51"/>
        <v>14.002839987706464</v>
      </c>
      <c r="L8">
        <f t="shared" si="51"/>
        <v>14.050103384874783</v>
      </c>
      <c r="M8">
        <f t="shared" si="51"/>
        <v>14.097366782043101</v>
      </c>
      <c r="N8" s="318">
        <f t="shared" si="3"/>
        <v>14.14463017921142</v>
      </c>
      <c r="O8">
        <f t="shared" ref="O8:R8" si="52">N8+($S8-$N8)/5</f>
        <v>14.13941274355842</v>
      </c>
      <c r="P8">
        <f t="shared" si="52"/>
        <v>14.13419530790542</v>
      </c>
      <c r="Q8">
        <f t="shared" si="52"/>
        <v>14.12897787225242</v>
      </c>
      <c r="R8">
        <f t="shared" si="52"/>
        <v>14.12376043659942</v>
      </c>
      <c r="S8" s="318">
        <f t="shared" si="5"/>
        <v>14.118543000946417</v>
      </c>
      <c r="T8">
        <f t="shared" ref="T8:W8" si="53">S8+($X8-$S8)/5</f>
        <v>14.540682334272489</v>
      </c>
      <c r="U8">
        <f t="shared" si="53"/>
        <v>14.962821667598561</v>
      </c>
      <c r="V8">
        <f t="shared" si="53"/>
        <v>15.384961000924633</v>
      </c>
      <c r="W8">
        <f t="shared" si="53"/>
        <v>15.807100334250705</v>
      </c>
      <c r="X8" s="318">
        <f t="shared" si="7"/>
        <v>16.229239667576774</v>
      </c>
      <c r="Y8">
        <f t="shared" ref="Y8:AB8" si="54">X8+($AC8-$X8)/5</f>
        <v>16.651379000902846</v>
      </c>
      <c r="Z8">
        <f t="shared" si="54"/>
        <v>17.073518334228918</v>
      </c>
      <c r="AA8">
        <f t="shared" si="54"/>
        <v>17.49565766755499</v>
      </c>
      <c r="AB8">
        <f t="shared" si="54"/>
        <v>17.917797000881063</v>
      </c>
      <c r="AC8" s="318">
        <f t="shared" si="9"/>
        <v>18.339936334207135</v>
      </c>
      <c r="AD8">
        <f t="shared" ref="AD8:AG8" si="55">AC8+($AH8-$AC8)/5</f>
        <v>18.339936334207135</v>
      </c>
      <c r="AE8">
        <f t="shared" si="55"/>
        <v>18.339936334207135</v>
      </c>
      <c r="AF8">
        <f t="shared" si="55"/>
        <v>18.339936334207135</v>
      </c>
      <c r="AG8">
        <f t="shared" si="55"/>
        <v>18.339936334207135</v>
      </c>
      <c r="AH8" s="318">
        <f t="shared" si="11"/>
        <v>18.339936334207135</v>
      </c>
      <c r="AI8">
        <f t="shared" ref="AI8:AL8" si="56">AH8+($AM8-$AH8)/5</f>
        <v>18.339936334207135</v>
      </c>
      <c r="AJ8">
        <f t="shared" si="56"/>
        <v>18.339936334207135</v>
      </c>
      <c r="AK8">
        <f t="shared" si="56"/>
        <v>18.339936334207135</v>
      </c>
      <c r="AL8">
        <f t="shared" si="56"/>
        <v>18.339936334207135</v>
      </c>
      <c r="AM8" s="318">
        <f t="shared" si="13"/>
        <v>18.339936334207135</v>
      </c>
    </row>
    <row r="9" spans="1:46">
      <c r="A9" t="str">
        <f t="shared" si="0"/>
        <v>High ElectrificationDH baseload heat pumps</v>
      </c>
      <c r="C9" s="180" t="s">
        <v>813</v>
      </c>
      <c r="D9" s="318">
        <f t="shared" si="21"/>
        <v>0</v>
      </c>
      <c r="E9">
        <f t="shared" ref="E9:H9" si="57">D9+($I9-$D9)/5</f>
        <v>0</v>
      </c>
      <c r="F9">
        <f t="shared" si="57"/>
        <v>0</v>
      </c>
      <c r="G9">
        <f t="shared" si="57"/>
        <v>0</v>
      </c>
      <c r="H9">
        <f t="shared" si="57"/>
        <v>0</v>
      </c>
      <c r="I9" s="318">
        <f t="shared" si="1"/>
        <v>0</v>
      </c>
      <c r="J9">
        <f t="shared" ref="J9:M9" si="58">I9+($N9-$I9)/5</f>
        <v>0</v>
      </c>
      <c r="K9">
        <f t="shared" si="58"/>
        <v>0</v>
      </c>
      <c r="L9">
        <f t="shared" si="58"/>
        <v>0</v>
      </c>
      <c r="M9">
        <f t="shared" si="58"/>
        <v>0</v>
      </c>
      <c r="N9" s="318">
        <f t="shared" si="3"/>
        <v>0</v>
      </c>
      <c r="O9">
        <f t="shared" ref="O9:R9" si="59">N9+($S9-$N9)/5</f>
        <v>0</v>
      </c>
      <c r="P9">
        <f t="shared" si="59"/>
        <v>0</v>
      </c>
      <c r="Q9">
        <f t="shared" si="59"/>
        <v>0</v>
      </c>
      <c r="R9">
        <f t="shared" si="59"/>
        <v>0</v>
      </c>
      <c r="S9" s="318">
        <f t="shared" si="5"/>
        <v>0</v>
      </c>
      <c r="T9">
        <f t="shared" ref="T9:W9" si="60">S9+($X9-$S9)/5</f>
        <v>0</v>
      </c>
      <c r="U9">
        <f t="shared" si="60"/>
        <v>0</v>
      </c>
      <c r="V9">
        <f t="shared" si="60"/>
        <v>0</v>
      </c>
      <c r="W9">
        <f t="shared" si="60"/>
        <v>0</v>
      </c>
      <c r="X9" s="318">
        <f t="shared" si="7"/>
        <v>0</v>
      </c>
      <c r="Y9">
        <f t="shared" ref="Y9:AB9" si="61">X9+($AC9-$X9)/5</f>
        <v>0</v>
      </c>
      <c r="Z9">
        <f t="shared" si="61"/>
        <v>0</v>
      </c>
      <c r="AA9">
        <f t="shared" si="61"/>
        <v>0</v>
      </c>
      <c r="AB9">
        <f t="shared" si="61"/>
        <v>0</v>
      </c>
      <c r="AC9" s="318">
        <f t="shared" si="9"/>
        <v>0</v>
      </c>
      <c r="AD9">
        <f t="shared" ref="AD9:AG9" si="62">AC9+($AH9-$AC9)/5</f>
        <v>0</v>
      </c>
      <c r="AE9">
        <f t="shared" si="62"/>
        <v>0</v>
      </c>
      <c r="AF9">
        <f t="shared" si="62"/>
        <v>0</v>
      </c>
      <c r="AG9">
        <f t="shared" si="62"/>
        <v>0</v>
      </c>
      <c r="AH9" s="318">
        <f t="shared" si="11"/>
        <v>0</v>
      </c>
      <c r="AI9">
        <f t="shared" ref="AI9:AL9" si="63">AH9+($AM9-$AH9)/5</f>
        <v>0</v>
      </c>
      <c r="AJ9">
        <f t="shared" si="63"/>
        <v>0</v>
      </c>
      <c r="AK9">
        <f t="shared" si="63"/>
        <v>0</v>
      </c>
      <c r="AL9">
        <f t="shared" si="63"/>
        <v>0</v>
      </c>
      <c r="AM9" s="318">
        <f t="shared" si="13"/>
        <v>0</v>
      </c>
    </row>
    <row r="10" spans="1:46">
      <c r="A10" t="str">
        <f t="shared" si="0"/>
        <v>High ElectrificationDH peaking heat pumps</v>
      </c>
      <c r="C10" s="180" t="s">
        <v>814</v>
      </c>
      <c r="D10" s="318">
        <f t="shared" si="21"/>
        <v>0</v>
      </c>
      <c r="E10">
        <f t="shared" ref="E10:H10" si="64">D10+($I10-$D10)/5</f>
        <v>0</v>
      </c>
      <c r="F10">
        <f t="shared" si="64"/>
        <v>0</v>
      </c>
      <c r="G10">
        <f t="shared" si="64"/>
        <v>0</v>
      </c>
      <c r="H10">
        <f t="shared" si="64"/>
        <v>0</v>
      </c>
      <c r="I10" s="318">
        <f t="shared" si="1"/>
        <v>0</v>
      </c>
      <c r="J10">
        <f t="shared" ref="J10:M10" si="65">I10+($N10-$I10)/5</f>
        <v>0</v>
      </c>
      <c r="K10">
        <f t="shared" si="65"/>
        <v>0</v>
      </c>
      <c r="L10">
        <f t="shared" si="65"/>
        <v>0</v>
      </c>
      <c r="M10">
        <f t="shared" si="65"/>
        <v>0</v>
      </c>
      <c r="N10" s="318">
        <f t="shared" si="3"/>
        <v>0</v>
      </c>
      <c r="O10">
        <f t="shared" ref="O10:R10" si="66">N10+($S10-$N10)/5</f>
        <v>5.912199359357297</v>
      </c>
      <c r="P10">
        <f t="shared" si="66"/>
        <v>11.824398718714594</v>
      </c>
      <c r="Q10">
        <f t="shared" si="66"/>
        <v>17.736598078071893</v>
      </c>
      <c r="R10">
        <f t="shared" si="66"/>
        <v>23.648797437429188</v>
      </c>
      <c r="S10" s="318">
        <f t="shared" si="5"/>
        <v>29.560996796786487</v>
      </c>
      <c r="T10">
        <f t="shared" ref="T10:W10" si="67">S10+($X10-$S10)/5</f>
        <v>36.611675335570787</v>
      </c>
      <c r="U10">
        <f t="shared" si="67"/>
        <v>43.662353874355091</v>
      </c>
      <c r="V10">
        <f t="shared" si="67"/>
        <v>50.713032413139395</v>
      </c>
      <c r="W10">
        <f t="shared" si="67"/>
        <v>57.763710951923699</v>
      </c>
      <c r="X10" s="318">
        <f t="shared" si="7"/>
        <v>64.814389490707995</v>
      </c>
      <c r="Y10">
        <f t="shared" ref="Y10:AB10" si="68">X10+($AC10-$X10)/5</f>
        <v>72.639885351520547</v>
      </c>
      <c r="Z10">
        <f t="shared" si="68"/>
        <v>80.465381212333099</v>
      </c>
      <c r="AA10">
        <f t="shared" si="68"/>
        <v>88.290877073145651</v>
      </c>
      <c r="AB10">
        <f t="shared" si="68"/>
        <v>96.116372933958203</v>
      </c>
      <c r="AC10" s="318">
        <f t="shared" si="9"/>
        <v>103.94186879477078</v>
      </c>
      <c r="AD10">
        <f t="shared" ref="AD10:AG10" si="69">AC10+($AH10-$AC10)/5</f>
        <v>114.92582441273889</v>
      </c>
      <c r="AE10">
        <f t="shared" si="69"/>
        <v>125.909780030707</v>
      </c>
      <c r="AF10">
        <f t="shared" si="69"/>
        <v>136.89373564867512</v>
      </c>
      <c r="AG10">
        <f t="shared" si="69"/>
        <v>147.87769126664324</v>
      </c>
      <c r="AH10" s="318">
        <f t="shared" si="11"/>
        <v>158.86164688461133</v>
      </c>
      <c r="AI10">
        <f t="shared" ref="AI10:AL10" si="70">AH10+($AM10-$AH10)/5</f>
        <v>163.71651643923468</v>
      </c>
      <c r="AJ10">
        <f t="shared" si="70"/>
        <v>168.57138599385803</v>
      </c>
      <c r="AK10">
        <f t="shared" si="70"/>
        <v>173.42625554848138</v>
      </c>
      <c r="AL10">
        <f t="shared" si="70"/>
        <v>178.28112510310473</v>
      </c>
      <c r="AM10" s="318">
        <f t="shared" si="13"/>
        <v>183.13599465772813</v>
      </c>
    </row>
    <row r="13" spans="1:46">
      <c r="C13" s="180" t="s">
        <v>22</v>
      </c>
      <c r="D13" s="300"/>
      <c r="E13" s="180"/>
      <c r="F13" s="180"/>
      <c r="G13" s="180"/>
      <c r="H13" s="180"/>
      <c r="I13" s="180"/>
      <c r="J13" s="180"/>
      <c r="K13" s="524"/>
      <c r="L13" s="524"/>
      <c r="M13" s="524"/>
      <c r="N13" s="524"/>
      <c r="O13" s="524"/>
      <c r="P13" s="524"/>
      <c r="Q13" s="524"/>
      <c r="R13" s="524"/>
      <c r="S13" s="524"/>
      <c r="T13" s="524"/>
      <c r="U13" s="524"/>
      <c r="V13" s="524"/>
      <c r="W13" s="524"/>
      <c r="X13" s="524"/>
      <c r="Y13" s="524"/>
      <c r="Z13" s="524"/>
      <c r="AA13" s="524"/>
      <c r="AB13" s="524"/>
      <c r="AC13" s="524"/>
      <c r="AD13" s="524"/>
      <c r="AE13" s="524"/>
      <c r="AF13" s="524"/>
      <c r="AG13" s="524"/>
      <c r="AH13" s="524"/>
      <c r="AI13" s="524"/>
      <c r="AJ13" s="524"/>
      <c r="AK13" s="524"/>
      <c r="AL13" s="524"/>
      <c r="AM13" s="524"/>
      <c r="AN13" s="524"/>
      <c r="AO13" s="524"/>
      <c r="AP13" s="524"/>
      <c r="AQ13" s="524"/>
      <c r="AR13" s="524"/>
      <c r="AS13" s="524"/>
      <c r="AT13" s="524"/>
    </row>
    <row r="14" spans="1:46">
      <c r="C14" s="180"/>
      <c r="D14" s="180">
        <v>2015</v>
      </c>
      <c r="E14" s="180">
        <v>2020</v>
      </c>
      <c r="F14" s="180">
        <v>2025</v>
      </c>
      <c r="G14" s="180">
        <v>2030</v>
      </c>
      <c r="H14" s="180">
        <v>2035</v>
      </c>
      <c r="I14" s="180">
        <v>2040</v>
      </c>
      <c r="J14" s="180">
        <v>2045</v>
      </c>
      <c r="K14" s="180">
        <v>2050</v>
      </c>
    </row>
    <row r="15" spans="1:46">
      <c r="A15" t="str">
        <f t="shared" ref="A15:A23" si="71">$C$13&amp;$B$14&amp;C15</f>
        <v>BaselineDomestic heat</v>
      </c>
      <c r="C15" s="180" t="s">
        <v>806</v>
      </c>
      <c r="D15" s="180">
        <v>695.51736843188246</v>
      </c>
      <c r="E15" s="180">
        <v>705.68376108953646</v>
      </c>
      <c r="F15" s="180">
        <v>715.85015374719057</v>
      </c>
      <c r="G15" s="180">
        <v>688.9415562632247</v>
      </c>
      <c r="H15" s="180">
        <v>662.03295877925916</v>
      </c>
      <c r="I15" s="180">
        <v>670.96004563651206</v>
      </c>
      <c r="J15" s="180">
        <v>679.88713249376406</v>
      </c>
      <c r="K15" s="180">
        <v>688.81421935101696</v>
      </c>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row>
    <row r="16" spans="1:46">
      <c r="A16" t="str">
        <f t="shared" si="71"/>
        <v>BaselineOther domestic</v>
      </c>
      <c r="C16" s="180" t="s">
        <v>807</v>
      </c>
      <c r="D16" s="180">
        <v>2393.1243595414799</v>
      </c>
      <c r="E16" s="180">
        <v>2323.7273475726547</v>
      </c>
      <c r="F16" s="180">
        <v>2254.3303356038273</v>
      </c>
      <c r="G16" s="180">
        <v>2079.1154070816069</v>
      </c>
      <c r="H16" s="180">
        <v>1903.9004785593886</v>
      </c>
      <c r="I16" s="180">
        <v>1896.2703984767052</v>
      </c>
      <c r="J16" s="180">
        <v>1888.6403183940206</v>
      </c>
      <c r="K16" s="180">
        <v>1881.0102383113367</v>
      </c>
      <c r="L16" s="533"/>
      <c r="M16" s="533"/>
      <c r="N16" s="533"/>
      <c r="O16" s="533"/>
      <c r="P16" s="533"/>
      <c r="Q16" s="533"/>
      <c r="R16" s="533"/>
      <c r="S16" s="533"/>
      <c r="T16" s="533"/>
      <c r="U16" s="533"/>
      <c r="V16" s="533"/>
      <c r="W16" s="533"/>
      <c r="X16" s="533"/>
      <c r="Y16" s="533"/>
      <c r="Z16" s="533"/>
      <c r="AA16" s="533"/>
      <c r="AB16" s="533"/>
      <c r="AC16" s="533"/>
      <c r="AD16" s="533"/>
      <c r="AE16" s="533"/>
      <c r="AF16" s="533"/>
      <c r="AG16" s="533"/>
      <c r="AH16" s="533"/>
      <c r="AI16" s="533"/>
      <c r="AJ16" s="533"/>
      <c r="AK16" s="533"/>
      <c r="AL16" s="533"/>
      <c r="AM16" s="533"/>
      <c r="AN16" s="533"/>
      <c r="AO16" s="533"/>
      <c r="AP16" s="533"/>
      <c r="AQ16" s="533"/>
      <c r="AR16" s="533"/>
      <c r="AS16" s="533"/>
      <c r="AT16" s="533"/>
    </row>
    <row r="17" spans="1:46">
      <c r="A17" t="str">
        <f>$C$13&amp;$B$14&amp;C17</f>
        <v>BaselineNon-domestic heat</v>
      </c>
      <c r="C17" s="180" t="s">
        <v>808</v>
      </c>
      <c r="D17" s="180">
        <v>673.24582877232251</v>
      </c>
      <c r="E17" s="180">
        <v>671.77049980091385</v>
      </c>
      <c r="F17" s="180">
        <v>670.29517082950474</v>
      </c>
      <c r="G17" s="180">
        <v>655.86554451285599</v>
      </c>
      <c r="H17" s="180">
        <v>641.43591819620769</v>
      </c>
      <c r="I17" s="180">
        <v>646.03752414577912</v>
      </c>
      <c r="J17" s="180">
        <v>650.63913009535065</v>
      </c>
      <c r="K17" s="180">
        <v>655.24073604492219</v>
      </c>
      <c r="L17" s="533"/>
      <c r="M17" s="533"/>
      <c r="N17" s="533"/>
      <c r="O17" s="533"/>
      <c r="P17" s="533"/>
      <c r="Q17" s="533"/>
      <c r="R17" s="533"/>
      <c r="S17" s="533"/>
      <c r="T17" s="533"/>
      <c r="U17" s="533"/>
      <c r="V17" s="533"/>
      <c r="W17" s="533"/>
      <c r="X17" s="533"/>
      <c r="Y17" s="533"/>
      <c r="Z17" s="533"/>
      <c r="AA17" s="533"/>
      <c r="AB17" s="533"/>
      <c r="AC17" s="533"/>
      <c r="AD17" s="533"/>
      <c r="AE17" s="533"/>
      <c r="AF17" s="533"/>
      <c r="AG17" s="533"/>
      <c r="AH17" s="533"/>
      <c r="AI17" s="533"/>
      <c r="AJ17" s="533"/>
      <c r="AK17" s="533"/>
      <c r="AL17" s="533"/>
      <c r="AM17" s="533"/>
      <c r="AN17" s="533"/>
      <c r="AO17" s="533"/>
      <c r="AP17" s="533"/>
      <c r="AQ17" s="533"/>
      <c r="AR17" s="533"/>
      <c r="AS17" s="533"/>
      <c r="AT17" s="533"/>
    </row>
    <row r="18" spans="1:46">
      <c r="A18" t="str">
        <f t="shared" si="71"/>
        <v>BaselineOther non-domestic</v>
      </c>
      <c r="C18" s="180" t="s">
        <v>809</v>
      </c>
      <c r="D18" s="180">
        <v>3477.6571417388532</v>
      </c>
      <c r="E18" s="180">
        <v>3447.8037808364625</v>
      </c>
      <c r="F18" s="180">
        <v>3417.9504199340699</v>
      </c>
      <c r="G18" s="180">
        <v>3287.4961595044833</v>
      </c>
      <c r="H18" s="180">
        <v>3157.0418990748958</v>
      </c>
      <c r="I18" s="180">
        <v>3157.0418990748958</v>
      </c>
      <c r="J18" s="180">
        <v>3157.0418990748958</v>
      </c>
      <c r="K18" s="180">
        <v>3157.0418990748958</v>
      </c>
      <c r="L18" s="533"/>
      <c r="M18" s="533"/>
      <c r="N18" s="533"/>
      <c r="O18" s="533"/>
      <c r="P18" s="533"/>
      <c r="Q18" s="533"/>
      <c r="R18" s="533"/>
      <c r="S18" s="533"/>
      <c r="T18" s="533"/>
      <c r="U18" s="533"/>
      <c r="V18" s="533"/>
      <c r="W18" s="533"/>
      <c r="X18" s="533"/>
      <c r="Y18" s="533"/>
      <c r="Z18" s="533"/>
      <c r="AA18" s="533"/>
      <c r="AB18" s="533"/>
      <c r="AC18" s="533"/>
      <c r="AD18" s="533"/>
      <c r="AE18" s="533"/>
      <c r="AF18" s="533"/>
      <c r="AG18" s="533"/>
      <c r="AH18" s="533"/>
      <c r="AI18" s="533"/>
      <c r="AJ18" s="533"/>
      <c r="AK18" s="533"/>
      <c r="AL18" s="533"/>
      <c r="AM18" s="533"/>
      <c r="AN18" s="533"/>
      <c r="AO18" s="533"/>
      <c r="AP18" s="533"/>
      <c r="AQ18" s="533"/>
      <c r="AR18" s="533"/>
      <c r="AS18" s="533"/>
      <c r="AT18" s="533"/>
    </row>
    <row r="19" spans="1:46">
      <c r="A19" t="str">
        <f t="shared" si="71"/>
        <v>BaselineElectric vehicles</v>
      </c>
      <c r="C19" s="180" t="s">
        <v>810</v>
      </c>
      <c r="D19" s="180">
        <v>11.852174494103618</v>
      </c>
      <c r="E19" s="180">
        <v>15.460704345517289</v>
      </c>
      <c r="F19" s="180">
        <v>26.371685815564796</v>
      </c>
      <c r="G19" s="180">
        <v>46.972206142467577</v>
      </c>
      <c r="H19" s="180">
        <v>84.39069643077201</v>
      </c>
      <c r="I19" s="180">
        <v>121.80918671907642</v>
      </c>
      <c r="J19" s="180">
        <v>150.27591463584426</v>
      </c>
      <c r="K19" s="180">
        <v>178.74264255261207</v>
      </c>
      <c r="L19" s="533"/>
      <c r="M19" s="533"/>
      <c r="N19" s="533"/>
      <c r="O19" s="533"/>
      <c r="P19" s="533"/>
      <c r="Q19" s="533"/>
      <c r="R19" s="533"/>
      <c r="S19" s="533"/>
      <c r="T19" s="533"/>
      <c r="U19" s="533"/>
      <c r="V19" s="533"/>
      <c r="W19" s="533"/>
      <c r="X19" s="533"/>
      <c r="Y19" s="533"/>
      <c r="Z19" s="533"/>
      <c r="AA19" s="533"/>
      <c r="AB19" s="533"/>
      <c r="AC19" s="533"/>
      <c r="AD19" s="533"/>
      <c r="AE19" s="533"/>
      <c r="AF19" s="533"/>
      <c r="AG19" s="533"/>
      <c r="AH19" s="533"/>
      <c r="AI19" s="533"/>
      <c r="AJ19" s="533"/>
      <c r="AK19" s="533"/>
      <c r="AL19" s="533"/>
      <c r="AM19" s="533"/>
      <c r="AN19" s="533"/>
      <c r="AO19" s="533"/>
      <c r="AP19" s="533"/>
      <c r="AQ19" s="533"/>
      <c r="AR19" s="533"/>
      <c r="AS19" s="533"/>
      <c r="AT19" s="533"/>
    </row>
    <row r="20" spans="1:46">
      <c r="A20" t="str">
        <f t="shared" si="71"/>
        <v>BaselineHydrogen vehicles</v>
      </c>
      <c r="C20" s="180" t="s">
        <v>811</v>
      </c>
      <c r="D20" s="180">
        <v>0</v>
      </c>
      <c r="E20" s="180">
        <v>0</v>
      </c>
      <c r="F20" s="180">
        <v>0</v>
      </c>
      <c r="G20" s="180">
        <v>7.037843247397026</v>
      </c>
      <c r="H20" s="180">
        <v>14.075686494794052</v>
      </c>
      <c r="I20" s="180">
        <v>21.11352974219108</v>
      </c>
      <c r="J20" s="180">
        <v>28.151372989588104</v>
      </c>
      <c r="K20" s="180">
        <v>35.189216236985146</v>
      </c>
      <c r="L20" s="533"/>
      <c r="M20" s="533"/>
      <c r="N20" s="533"/>
      <c r="O20" s="533"/>
      <c r="P20" s="533"/>
      <c r="Q20" s="533"/>
      <c r="R20" s="533"/>
      <c r="S20" s="533"/>
      <c r="T20" s="533"/>
      <c r="U20" s="533"/>
      <c r="V20" s="533"/>
      <c r="W20" s="533"/>
      <c r="X20" s="533"/>
      <c r="Y20" s="533"/>
      <c r="Z20" s="533"/>
      <c r="AA20" s="533"/>
      <c r="AB20" s="533"/>
      <c r="AC20" s="533"/>
      <c r="AD20" s="533"/>
      <c r="AE20" s="533"/>
      <c r="AF20" s="533"/>
      <c r="AG20" s="533"/>
      <c r="AH20" s="533"/>
      <c r="AI20" s="533"/>
      <c r="AJ20" s="533"/>
      <c r="AK20" s="533"/>
      <c r="AL20" s="533"/>
      <c r="AM20" s="533"/>
      <c r="AN20" s="533"/>
      <c r="AO20" s="533"/>
      <c r="AP20" s="533"/>
      <c r="AQ20" s="533"/>
      <c r="AR20" s="533"/>
      <c r="AS20" s="533"/>
      <c r="AT20" s="533"/>
    </row>
    <row r="21" spans="1:46">
      <c r="A21" t="str">
        <f t="shared" si="71"/>
        <v>BaselineUnderground, rail, DLR</v>
      </c>
      <c r="C21" s="180" t="s">
        <v>812</v>
      </c>
      <c r="D21" s="180">
        <v>12.010957220329372</v>
      </c>
      <c r="E21" s="180">
        <v>13.144528907093502</v>
      </c>
      <c r="F21" s="180">
        <v>14.278100593857632</v>
      </c>
      <c r="G21" s="180">
        <v>14.278100593857632</v>
      </c>
      <c r="H21" s="180">
        <v>14.278100593857632</v>
      </c>
      <c r="I21" s="180">
        <v>14.278100593857632</v>
      </c>
      <c r="J21" s="180">
        <v>14.278100593857632</v>
      </c>
      <c r="K21" s="180">
        <v>14.278100593857632</v>
      </c>
      <c r="L21" s="533"/>
      <c r="M21" s="533"/>
      <c r="N21" s="533"/>
      <c r="O21" s="533"/>
      <c r="P21" s="533"/>
      <c r="Q21" s="533"/>
      <c r="R21" s="533"/>
      <c r="S21" s="533"/>
      <c r="T21" s="533"/>
      <c r="U21" s="533"/>
      <c r="V21" s="533"/>
      <c r="W21" s="533"/>
      <c r="X21" s="533"/>
      <c r="Y21" s="533"/>
      <c r="Z21" s="533"/>
      <c r="AA21" s="533"/>
      <c r="AB21" s="533"/>
      <c r="AC21" s="533"/>
      <c r="AD21" s="533"/>
      <c r="AE21" s="533"/>
      <c r="AF21" s="533"/>
      <c r="AG21" s="533"/>
      <c r="AH21" s="533"/>
      <c r="AI21" s="533"/>
      <c r="AJ21" s="533"/>
      <c r="AK21" s="533"/>
      <c r="AL21" s="533"/>
      <c r="AM21" s="533"/>
      <c r="AN21" s="533"/>
      <c r="AO21" s="533"/>
      <c r="AP21" s="533"/>
      <c r="AQ21" s="533"/>
      <c r="AR21" s="533"/>
      <c r="AS21" s="533"/>
      <c r="AT21" s="533"/>
    </row>
    <row r="22" spans="1:46">
      <c r="A22" t="str">
        <f t="shared" si="71"/>
        <v>BaselineDH baseload heat pumps</v>
      </c>
      <c r="C22" s="180" t="s">
        <v>813</v>
      </c>
      <c r="D22" s="180">
        <v>0</v>
      </c>
      <c r="E22" s="180">
        <v>2.1967837680598041</v>
      </c>
      <c r="F22" s="180">
        <v>4.3935675361196083</v>
      </c>
      <c r="G22" s="180">
        <v>39.190339991189632</v>
      </c>
      <c r="H22" s="180">
        <v>73.987112446259658</v>
      </c>
      <c r="I22" s="180">
        <v>108.78388490132974</v>
      </c>
      <c r="J22" s="180">
        <v>143.58065735639974</v>
      </c>
      <c r="K22" s="180">
        <v>178.37742981146977</v>
      </c>
      <c r="L22" s="533"/>
      <c r="M22" s="533"/>
      <c r="N22" s="533"/>
      <c r="O22" s="533"/>
      <c r="P22" s="533"/>
      <c r="Q22" s="533"/>
      <c r="R22" s="533"/>
      <c r="S22" s="533"/>
      <c r="T22" s="533"/>
      <c r="U22" s="533"/>
      <c r="V22" s="533"/>
      <c r="W22" s="533"/>
      <c r="X22" s="533"/>
      <c r="Y22" s="533"/>
      <c r="Z22" s="533"/>
      <c r="AA22" s="533"/>
      <c r="AB22" s="533"/>
      <c r="AC22" s="533"/>
      <c r="AD22" s="533"/>
      <c r="AE22" s="533"/>
      <c r="AF22" s="533"/>
      <c r="AG22" s="533"/>
      <c r="AH22" s="533"/>
      <c r="AI22" s="533"/>
      <c r="AJ22" s="533"/>
      <c r="AK22" s="533"/>
      <c r="AL22" s="533"/>
      <c r="AM22" s="533"/>
      <c r="AN22" s="533"/>
      <c r="AO22" s="533"/>
      <c r="AP22" s="533"/>
      <c r="AQ22" s="533"/>
      <c r="AR22" s="533"/>
      <c r="AS22" s="533"/>
      <c r="AT22" s="533"/>
    </row>
    <row r="23" spans="1:46">
      <c r="A23" t="str">
        <f t="shared" si="71"/>
        <v>BaselineDH peaking heat pumps</v>
      </c>
      <c r="C23" s="180" t="s">
        <v>814</v>
      </c>
      <c r="D23" s="180">
        <v>0</v>
      </c>
      <c r="E23" s="180">
        <v>0</v>
      </c>
      <c r="F23" s="180">
        <v>0</v>
      </c>
      <c r="G23" s="180">
        <v>9.4268407849426374</v>
      </c>
      <c r="H23" s="180">
        <v>18.853681569885275</v>
      </c>
      <c r="I23" s="180">
        <v>28.280522354827905</v>
      </c>
      <c r="J23" s="180">
        <v>37.70736313977055</v>
      </c>
      <c r="K23" s="180">
        <v>47.134203924713141</v>
      </c>
      <c r="L23" s="533"/>
      <c r="M23" s="533"/>
      <c r="N23" s="533"/>
      <c r="O23" s="533"/>
      <c r="P23" s="533"/>
      <c r="Q23" s="533"/>
      <c r="R23" s="533"/>
      <c r="S23" s="533"/>
      <c r="T23" s="533"/>
      <c r="U23" s="533"/>
      <c r="V23" s="533"/>
      <c r="W23" s="533"/>
      <c r="X23" s="533"/>
      <c r="Y23" s="533"/>
      <c r="Z23" s="533"/>
      <c r="AA23" s="533"/>
      <c r="AB23" s="533"/>
      <c r="AC23" s="533"/>
      <c r="AD23" s="533"/>
      <c r="AE23" s="533"/>
      <c r="AF23" s="533"/>
      <c r="AG23" s="533"/>
      <c r="AH23" s="533"/>
      <c r="AI23" s="533"/>
      <c r="AJ23" s="533"/>
      <c r="AK23" s="533"/>
      <c r="AL23" s="533"/>
      <c r="AM23" s="533"/>
      <c r="AN23" s="533"/>
      <c r="AO23" s="533"/>
      <c r="AP23" s="533"/>
      <c r="AQ23" s="533"/>
      <c r="AR23" s="533"/>
      <c r="AS23" s="533"/>
      <c r="AT23" s="533"/>
    </row>
    <row r="24" spans="1:46">
      <c r="F24" s="180"/>
      <c r="K24" s="533"/>
      <c r="L24" s="533"/>
      <c r="M24" s="533"/>
      <c r="N24" s="533"/>
      <c r="O24" s="533"/>
      <c r="P24" s="533"/>
      <c r="Q24" s="533"/>
      <c r="R24" s="533"/>
      <c r="S24" s="533"/>
      <c r="T24" s="533"/>
      <c r="U24" s="533"/>
      <c r="V24" s="533"/>
      <c r="W24" s="533"/>
      <c r="X24" s="533"/>
      <c r="Y24" s="533"/>
      <c r="Z24" s="533"/>
      <c r="AA24" s="533"/>
      <c r="AB24" s="533"/>
      <c r="AC24" s="533"/>
      <c r="AD24" s="533"/>
      <c r="AE24" s="533"/>
      <c r="AF24" s="533"/>
      <c r="AG24" s="533"/>
      <c r="AH24" s="533"/>
      <c r="AI24" s="533"/>
      <c r="AJ24" s="533"/>
      <c r="AK24" s="533"/>
      <c r="AL24" s="533"/>
      <c r="AM24" s="533"/>
      <c r="AN24" s="533"/>
      <c r="AO24" s="533"/>
      <c r="AP24" s="533"/>
      <c r="AQ24" s="533"/>
      <c r="AR24" s="533"/>
      <c r="AS24" s="533"/>
      <c r="AT24" s="533"/>
    </row>
    <row r="25" spans="1:46">
      <c r="A25" s="524"/>
      <c r="B25" s="524"/>
      <c r="C25" s="524" t="str">
        <f>INDEX('Scenario names'!$C$3:$C$6,4)</f>
        <v>No Constraints</v>
      </c>
      <c r="D25" s="524"/>
      <c r="E25" s="524"/>
      <c r="F25" s="524"/>
      <c r="G25" s="524"/>
      <c r="H25" s="524"/>
      <c r="I25" s="524"/>
      <c r="J25" s="524"/>
      <c r="K25" s="533"/>
      <c r="L25" s="533"/>
      <c r="M25" s="533"/>
      <c r="N25" s="533"/>
      <c r="O25" s="533"/>
      <c r="P25" s="533"/>
      <c r="Q25" s="533"/>
      <c r="R25" s="533"/>
      <c r="S25" s="533"/>
      <c r="T25" s="533"/>
      <c r="U25" s="533"/>
      <c r="V25" s="533"/>
      <c r="W25" s="533"/>
      <c r="X25" s="533"/>
      <c r="Y25" s="533"/>
      <c r="Z25" s="533"/>
      <c r="AA25" s="533"/>
      <c r="AB25" s="533"/>
      <c r="AC25" s="533"/>
      <c r="AD25" s="533"/>
      <c r="AE25" s="533"/>
      <c r="AF25" s="533"/>
      <c r="AG25" s="533"/>
      <c r="AH25" s="533"/>
      <c r="AI25" s="533"/>
      <c r="AJ25" s="533"/>
      <c r="AK25" s="533"/>
      <c r="AL25" s="533"/>
      <c r="AM25" s="533"/>
      <c r="AN25" s="533"/>
      <c r="AO25" s="533"/>
      <c r="AP25" s="533"/>
      <c r="AQ25" s="533"/>
      <c r="AR25" s="533"/>
      <c r="AS25" s="533"/>
      <c r="AT25" s="533"/>
    </row>
    <row r="26" spans="1:46">
      <c r="B26" s="180"/>
      <c r="D26" s="180">
        <v>2015</v>
      </c>
      <c r="E26" s="180">
        <v>2020</v>
      </c>
      <c r="F26" s="180">
        <v>2025</v>
      </c>
      <c r="G26" s="180">
        <v>2030</v>
      </c>
      <c r="H26" s="180">
        <v>2035</v>
      </c>
      <c r="I26" s="180">
        <v>2040</v>
      </c>
      <c r="J26" s="180">
        <v>2045</v>
      </c>
      <c r="K26" s="180">
        <v>2050</v>
      </c>
      <c r="L26" s="533"/>
      <c r="M26" s="533"/>
      <c r="N26" s="533"/>
      <c r="O26" s="533"/>
      <c r="P26" s="533"/>
      <c r="Q26" s="533"/>
      <c r="R26" s="533"/>
      <c r="S26" s="533"/>
      <c r="T26" s="533"/>
      <c r="U26" s="533"/>
      <c r="V26" s="533"/>
      <c r="W26" s="533"/>
      <c r="X26" s="533"/>
      <c r="Y26" s="533"/>
      <c r="Z26" s="533"/>
      <c r="AA26" s="533"/>
      <c r="AB26" s="533"/>
      <c r="AC26" s="533"/>
      <c r="AD26" s="533"/>
      <c r="AE26" s="533"/>
      <c r="AF26" s="533"/>
      <c r="AG26" s="533"/>
      <c r="AH26" s="533"/>
      <c r="AI26" s="533"/>
      <c r="AJ26" s="533"/>
      <c r="AK26" s="533"/>
      <c r="AL26" s="533"/>
      <c r="AM26" s="533"/>
      <c r="AN26" s="533"/>
      <c r="AO26" s="533"/>
      <c r="AP26" s="533"/>
      <c r="AQ26" s="533"/>
      <c r="AR26" s="533"/>
      <c r="AS26" s="533"/>
      <c r="AT26" s="533"/>
    </row>
    <row r="27" spans="1:46">
      <c r="A27" t="str">
        <f t="shared" ref="A27:A35" si="72">$C$25&amp;$B$26&amp;C27</f>
        <v>No ConstraintsDomestic heat</v>
      </c>
      <c r="C27" s="180" t="s">
        <v>806</v>
      </c>
      <c r="D27" s="180">
        <v>683.10906051041047</v>
      </c>
      <c r="E27" s="180">
        <v>703.74248288214505</v>
      </c>
      <c r="F27" s="180">
        <v>888.40137300148865</v>
      </c>
      <c r="G27" s="180">
        <v>1237.9705326183744</v>
      </c>
      <c r="H27" s="180">
        <v>1366.0112798295438</v>
      </c>
      <c r="I27" s="180">
        <v>1493.6178823673895</v>
      </c>
      <c r="J27" s="180">
        <v>1592.7245017146713</v>
      </c>
      <c r="K27" s="180">
        <v>1589.6839508412179</v>
      </c>
      <c r="L27" s="533"/>
      <c r="M27" s="533"/>
      <c r="N27" s="533"/>
      <c r="O27" s="533"/>
      <c r="P27" s="533"/>
      <c r="Q27" s="533"/>
      <c r="R27" s="533"/>
      <c r="S27" s="533"/>
      <c r="T27" s="533"/>
      <c r="U27" s="533"/>
      <c r="V27" s="533"/>
      <c r="W27" s="533"/>
      <c r="X27" s="533"/>
      <c r="Y27" s="533"/>
      <c r="Z27" s="533"/>
      <c r="AA27" s="533"/>
      <c r="AB27" s="533"/>
      <c r="AC27" s="533"/>
      <c r="AD27" s="533"/>
      <c r="AE27" s="533"/>
      <c r="AF27" s="533"/>
      <c r="AG27" s="533"/>
      <c r="AH27" s="533"/>
      <c r="AI27" s="533"/>
      <c r="AJ27" s="533"/>
      <c r="AK27" s="533"/>
      <c r="AL27" s="533"/>
      <c r="AM27" s="533"/>
      <c r="AN27" s="533"/>
      <c r="AO27" s="533"/>
      <c r="AP27" s="533"/>
      <c r="AQ27" s="533"/>
      <c r="AR27" s="533"/>
      <c r="AS27" s="533"/>
      <c r="AT27" s="533"/>
    </row>
    <row r="28" spans="1:46">
      <c r="A28" t="str">
        <f t="shared" si="72"/>
        <v>No ConstraintsOther domestic</v>
      </c>
      <c r="C28" s="180" t="s">
        <v>807</v>
      </c>
      <c r="D28" s="180">
        <v>2154.3990054544697</v>
      </c>
      <c r="E28" s="180">
        <v>2177.1657399296614</v>
      </c>
      <c r="F28" s="180">
        <v>2199.9324744048531</v>
      </c>
      <c r="G28" s="180">
        <v>2222.6992088800448</v>
      </c>
      <c r="H28" s="180">
        <v>2231.3146662866266</v>
      </c>
      <c r="I28" s="180">
        <v>2225.6925728338074</v>
      </c>
      <c r="J28" s="180">
        <v>2201.9593230135292</v>
      </c>
      <c r="K28" s="180">
        <v>2163.6707463261096</v>
      </c>
      <c r="L28" s="533"/>
      <c r="M28" s="533"/>
      <c r="N28" s="533"/>
      <c r="O28" s="533"/>
      <c r="P28" s="533"/>
      <c r="Q28" s="533"/>
      <c r="R28" s="533"/>
      <c r="S28" s="533"/>
      <c r="T28" s="533"/>
      <c r="U28" s="533"/>
      <c r="V28" s="533"/>
      <c r="W28" s="533"/>
      <c r="X28" s="533"/>
      <c r="Y28" s="533"/>
      <c r="Z28" s="533"/>
      <c r="AA28" s="533"/>
      <c r="AB28" s="533"/>
      <c r="AC28" s="533"/>
      <c r="AD28" s="533"/>
      <c r="AE28" s="533"/>
      <c r="AF28" s="533"/>
      <c r="AG28" s="533"/>
      <c r="AH28" s="533"/>
      <c r="AI28" s="533"/>
      <c r="AJ28" s="533"/>
      <c r="AK28" s="533"/>
      <c r="AL28" s="533"/>
      <c r="AM28" s="533"/>
      <c r="AN28" s="533"/>
      <c r="AO28" s="533"/>
      <c r="AP28" s="533"/>
      <c r="AQ28" s="533"/>
      <c r="AR28" s="533"/>
      <c r="AS28" s="533"/>
      <c r="AT28" s="533"/>
    </row>
    <row r="29" spans="1:46">
      <c r="A29" t="str">
        <f t="shared" si="72"/>
        <v>No ConstraintsNon-domestic heat</v>
      </c>
      <c r="C29" s="180" t="s">
        <v>808</v>
      </c>
      <c r="D29" s="180">
        <v>708.32689732451422</v>
      </c>
      <c r="E29" s="180">
        <v>704.7065220273621</v>
      </c>
      <c r="F29" s="180">
        <v>743.15860920365105</v>
      </c>
      <c r="G29" s="180">
        <v>737.71850777368525</v>
      </c>
      <c r="H29" s="180">
        <v>656.74480948956568</v>
      </c>
      <c r="I29" s="180">
        <v>683.34869259172808</v>
      </c>
      <c r="J29" s="180">
        <v>706.81421392365303</v>
      </c>
      <c r="K29" s="180">
        <v>710.36097299766323</v>
      </c>
      <c r="L29" s="533"/>
      <c r="M29" s="533"/>
      <c r="N29" s="533"/>
      <c r="O29" s="533"/>
      <c r="P29" s="533"/>
      <c r="Q29" s="533"/>
      <c r="R29" s="533"/>
      <c r="S29" s="533"/>
      <c r="T29" s="533"/>
      <c r="U29" s="533"/>
      <c r="V29" s="533"/>
      <c r="W29" s="533"/>
      <c r="X29" s="533"/>
      <c r="Y29" s="533"/>
      <c r="Z29" s="533"/>
      <c r="AA29" s="533"/>
      <c r="AB29" s="533"/>
      <c r="AC29" s="533"/>
      <c r="AD29" s="533"/>
      <c r="AE29" s="533"/>
      <c r="AF29" s="533"/>
      <c r="AG29" s="533"/>
      <c r="AH29" s="533"/>
      <c r="AI29" s="533"/>
      <c r="AJ29" s="533"/>
      <c r="AK29" s="533"/>
      <c r="AL29" s="533"/>
      <c r="AM29" s="533"/>
      <c r="AN29" s="533"/>
      <c r="AO29" s="533"/>
      <c r="AP29" s="533"/>
      <c r="AQ29" s="533"/>
      <c r="AR29" s="533"/>
      <c r="AS29" s="533"/>
      <c r="AT29" s="533"/>
    </row>
    <row r="30" spans="1:46">
      <c r="A30" t="str">
        <f t="shared" si="72"/>
        <v>No ConstraintsOther non-domestic</v>
      </c>
      <c r="C30" s="180" t="s">
        <v>809</v>
      </c>
      <c r="D30" s="180">
        <v>4308.1139743073154</v>
      </c>
      <c r="E30" s="180">
        <v>4326.1597181866182</v>
      </c>
      <c r="F30" s="180">
        <v>4344.2054620659228</v>
      </c>
      <c r="G30" s="180">
        <v>4362.2512059452247</v>
      </c>
      <c r="H30" s="180">
        <v>4369.0804078054052</v>
      </c>
      <c r="I30" s="180">
        <v>4364.6951902817691</v>
      </c>
      <c r="J30" s="180">
        <v>4348.9840933318737</v>
      </c>
      <c r="K30" s="180">
        <v>4321.9593347625023</v>
      </c>
      <c r="M30" s="533"/>
      <c r="N30" s="533"/>
      <c r="O30" s="533"/>
      <c r="P30" s="533"/>
      <c r="Q30" s="533"/>
      <c r="R30" s="533"/>
      <c r="S30" s="533"/>
      <c r="T30" s="533"/>
      <c r="U30" s="533"/>
      <c r="V30" s="533"/>
      <c r="W30" s="533"/>
      <c r="X30" s="533"/>
      <c r="Y30" s="533"/>
      <c r="Z30" s="533"/>
      <c r="AA30" s="533"/>
      <c r="AB30" s="533"/>
      <c r="AC30" s="533"/>
      <c r="AD30" s="533"/>
      <c r="AE30" s="533"/>
      <c r="AF30" s="533"/>
      <c r="AG30" s="533"/>
      <c r="AH30" s="533"/>
      <c r="AI30" s="533"/>
      <c r="AJ30" s="533"/>
    </row>
    <row r="31" spans="1:46">
      <c r="A31" t="str">
        <f t="shared" si="72"/>
        <v>No ConstraintsElectric vehicles</v>
      </c>
      <c r="C31" s="180" t="s">
        <v>810</v>
      </c>
      <c r="D31" s="180">
        <v>6.7556060997870322</v>
      </c>
      <c r="E31" s="180">
        <v>16.419385652487417</v>
      </c>
      <c r="F31" s="180">
        <v>89.641146165948342</v>
      </c>
      <c r="G31" s="180">
        <v>224.7581291288889</v>
      </c>
      <c r="H31" s="180">
        <v>277.13718172550091</v>
      </c>
      <c r="I31" s="180">
        <v>299.26414442087184</v>
      </c>
      <c r="J31" s="180">
        <v>320.60476221778652</v>
      </c>
      <c r="K31" s="180">
        <v>341.91874976958246</v>
      </c>
      <c r="M31" s="533"/>
      <c r="N31" s="533"/>
      <c r="O31" s="533"/>
      <c r="P31" s="533"/>
      <c r="Q31" s="533"/>
      <c r="R31" s="533"/>
      <c r="S31" s="533"/>
      <c r="T31" s="533"/>
      <c r="U31" s="533"/>
      <c r="V31" s="533"/>
      <c r="W31" s="533"/>
      <c r="X31" s="533"/>
      <c r="Y31" s="533"/>
      <c r="Z31" s="533"/>
      <c r="AA31" s="533"/>
      <c r="AB31" s="533"/>
      <c r="AC31" s="533"/>
      <c r="AD31" s="533"/>
      <c r="AE31" s="533"/>
      <c r="AF31" s="533"/>
      <c r="AG31" s="533"/>
      <c r="AH31" s="533"/>
      <c r="AI31" s="533"/>
      <c r="AJ31" s="533"/>
    </row>
    <row r="32" spans="1:46">
      <c r="A32" t="str">
        <f t="shared" si="72"/>
        <v>No ConstraintsHydrogen vehicles</v>
      </c>
      <c r="C32" s="180" t="s">
        <v>811</v>
      </c>
      <c r="D32" s="180">
        <v>0</v>
      </c>
      <c r="E32" s="180">
        <v>0</v>
      </c>
      <c r="F32" s="180">
        <v>0</v>
      </c>
      <c r="G32" s="180">
        <v>0</v>
      </c>
      <c r="H32" s="180">
        <v>0</v>
      </c>
      <c r="I32" s="180">
        <v>0</v>
      </c>
      <c r="J32" s="180">
        <v>0</v>
      </c>
      <c r="K32" s="180">
        <v>0</v>
      </c>
      <c r="L32" s="524"/>
      <c r="M32" s="533"/>
      <c r="N32" s="533"/>
      <c r="O32" s="533"/>
      <c r="P32" s="533"/>
      <c r="Q32" s="533"/>
      <c r="R32" s="533"/>
      <c r="S32" s="533"/>
      <c r="T32" s="533"/>
      <c r="U32" s="533"/>
      <c r="V32" s="533"/>
      <c r="W32" s="533"/>
      <c r="X32" s="533"/>
      <c r="Y32" s="533"/>
      <c r="Z32" s="533"/>
      <c r="AA32" s="533"/>
      <c r="AB32" s="533"/>
      <c r="AC32" s="533"/>
      <c r="AD32" s="533"/>
      <c r="AE32" s="533"/>
      <c r="AF32" s="533"/>
      <c r="AG32" s="533"/>
      <c r="AH32" s="533"/>
      <c r="AI32" s="533"/>
      <c r="AJ32" s="533"/>
      <c r="AK32" s="524"/>
      <c r="AL32" s="524"/>
      <c r="AM32" s="524"/>
      <c r="AN32" s="524"/>
      <c r="AO32" s="524"/>
      <c r="AP32" s="524"/>
      <c r="AQ32" s="524"/>
      <c r="AR32" s="524"/>
      <c r="AS32" s="524"/>
      <c r="AT32" s="524"/>
    </row>
    <row r="33" spans="1:46">
      <c r="A33" t="str">
        <f t="shared" si="72"/>
        <v>No ConstraintsUnderground, rail, DLR</v>
      </c>
      <c r="C33" s="180" t="s">
        <v>812</v>
      </c>
      <c r="D33" s="180">
        <v>12.074046466723365</v>
      </c>
      <c r="E33" s="180">
        <v>13.908313193369827</v>
      </c>
      <c r="F33" s="180">
        <v>14.14463017921142</v>
      </c>
      <c r="G33" s="180">
        <v>14.118543000946417</v>
      </c>
      <c r="H33" s="180">
        <v>16.229239667576774</v>
      </c>
      <c r="I33" s="180">
        <v>18.339936334207135</v>
      </c>
      <c r="J33" s="180">
        <v>18.339936334207135</v>
      </c>
      <c r="K33" s="180">
        <v>18.339936334207135</v>
      </c>
      <c r="L33" s="180"/>
      <c r="M33" s="533"/>
      <c r="N33" s="533"/>
      <c r="O33" s="533"/>
      <c r="P33" s="533"/>
      <c r="Q33" s="533"/>
      <c r="R33" s="533"/>
      <c r="S33" s="533"/>
      <c r="T33" s="533"/>
      <c r="U33" s="533"/>
      <c r="V33" s="533"/>
      <c r="W33" s="533"/>
      <c r="X33" s="533"/>
      <c r="Y33" s="533"/>
      <c r="Z33" s="533"/>
      <c r="AA33" s="533"/>
      <c r="AB33" s="533"/>
      <c r="AC33" s="533"/>
      <c r="AD33" s="533"/>
      <c r="AE33" s="533"/>
      <c r="AF33" s="533"/>
      <c r="AG33" s="533"/>
      <c r="AH33" s="533"/>
      <c r="AI33" s="533"/>
      <c r="AJ33" s="533"/>
      <c r="AK33" s="180"/>
      <c r="AL33" s="180"/>
      <c r="AM33" s="180"/>
      <c r="AN33" s="180"/>
      <c r="AO33" s="180"/>
      <c r="AP33" s="180"/>
      <c r="AQ33" s="180"/>
      <c r="AR33" s="180"/>
      <c r="AS33" s="180"/>
      <c r="AT33" s="180"/>
    </row>
    <row r="34" spans="1:46">
      <c r="A34" t="str">
        <f t="shared" si="72"/>
        <v>No ConstraintsDH baseload heat pumps</v>
      </c>
      <c r="C34" s="180" t="s">
        <v>813</v>
      </c>
      <c r="D34" s="180">
        <v>0</v>
      </c>
      <c r="E34" s="180">
        <v>0</v>
      </c>
      <c r="F34" s="180">
        <v>0</v>
      </c>
      <c r="G34" s="180">
        <v>0</v>
      </c>
      <c r="H34" s="180">
        <v>0</v>
      </c>
      <c r="I34" s="180">
        <v>0</v>
      </c>
      <c r="J34" s="180">
        <v>0</v>
      </c>
      <c r="K34" s="180">
        <v>0</v>
      </c>
      <c r="L34" s="180"/>
      <c r="M34" s="533"/>
      <c r="N34" s="533"/>
      <c r="O34" s="533"/>
      <c r="P34" s="533"/>
      <c r="Q34" s="533"/>
      <c r="R34" s="533"/>
      <c r="S34" s="533"/>
      <c r="T34" s="533"/>
      <c r="U34" s="533"/>
      <c r="V34" s="533"/>
      <c r="W34" s="533"/>
      <c r="X34" s="533"/>
      <c r="Y34" s="533"/>
      <c r="Z34" s="533"/>
      <c r="AA34" s="533"/>
      <c r="AB34" s="533"/>
      <c r="AC34" s="533"/>
      <c r="AD34" s="533"/>
      <c r="AE34" s="533"/>
      <c r="AF34" s="533"/>
      <c r="AG34" s="533"/>
      <c r="AH34" s="533"/>
      <c r="AI34" s="533"/>
      <c r="AJ34" s="533"/>
      <c r="AK34" s="180"/>
      <c r="AL34" s="180"/>
      <c r="AM34" s="180"/>
      <c r="AN34" s="180"/>
      <c r="AO34" s="180"/>
      <c r="AP34" s="180"/>
      <c r="AQ34" s="180"/>
      <c r="AR34" s="180"/>
      <c r="AS34" s="180"/>
      <c r="AT34" s="180"/>
    </row>
    <row r="35" spans="1:46">
      <c r="A35" t="str">
        <f t="shared" si="72"/>
        <v>No ConstraintsDH peaking heat pumps</v>
      </c>
      <c r="C35" s="180" t="s">
        <v>814</v>
      </c>
      <c r="D35" s="180">
        <v>0</v>
      </c>
      <c r="E35" s="180">
        <v>0</v>
      </c>
      <c r="F35" s="180">
        <v>0</v>
      </c>
      <c r="G35" s="180">
        <v>66.034195106519562</v>
      </c>
      <c r="H35" s="180">
        <v>135.99962752327812</v>
      </c>
      <c r="I35" s="180">
        <v>201.07329107635763</v>
      </c>
      <c r="J35" s="180">
        <v>289.66581154744847</v>
      </c>
      <c r="K35" s="180">
        <v>300.91266592125254</v>
      </c>
      <c r="L35" s="180"/>
      <c r="M35" s="533"/>
      <c r="N35" s="533"/>
      <c r="O35" s="533"/>
      <c r="P35" s="533"/>
      <c r="Q35" s="533"/>
      <c r="R35" s="533"/>
      <c r="S35" s="533"/>
      <c r="T35" s="533"/>
      <c r="U35" s="533"/>
      <c r="V35" s="533"/>
      <c r="W35" s="533"/>
      <c r="X35" s="533"/>
      <c r="Y35" s="533"/>
      <c r="Z35" s="533"/>
      <c r="AA35" s="533"/>
      <c r="AB35" s="533"/>
      <c r="AC35" s="533"/>
      <c r="AD35" s="533"/>
      <c r="AE35" s="533"/>
      <c r="AF35" s="533"/>
      <c r="AG35" s="533"/>
      <c r="AH35" s="533"/>
      <c r="AI35" s="533"/>
      <c r="AJ35" s="533"/>
      <c r="AK35" s="180"/>
      <c r="AL35" s="180"/>
      <c r="AM35" s="180"/>
      <c r="AN35" s="180"/>
      <c r="AO35" s="180"/>
      <c r="AP35" s="180"/>
      <c r="AQ35" s="180"/>
      <c r="AR35" s="180"/>
      <c r="AS35" s="180"/>
      <c r="AT35" s="180"/>
    </row>
    <row r="36" spans="1:46">
      <c r="L36" s="180"/>
      <c r="M36" s="533"/>
      <c r="N36" s="533"/>
      <c r="O36" s="533"/>
      <c r="P36" s="533"/>
      <c r="Q36" s="533"/>
      <c r="R36" s="533"/>
      <c r="S36" s="533"/>
      <c r="T36" s="533"/>
      <c r="U36" s="533"/>
      <c r="V36" s="533"/>
      <c r="W36" s="533"/>
      <c r="X36" s="533"/>
      <c r="Y36" s="533"/>
      <c r="Z36" s="533"/>
      <c r="AA36" s="533"/>
      <c r="AB36" s="533"/>
      <c r="AC36" s="533"/>
      <c r="AD36" s="533"/>
      <c r="AE36" s="533"/>
      <c r="AF36" s="533"/>
      <c r="AG36" s="533"/>
      <c r="AH36" s="533"/>
      <c r="AI36" s="533"/>
      <c r="AJ36" s="533"/>
      <c r="AK36" s="180"/>
      <c r="AL36" s="180"/>
      <c r="AM36" s="180"/>
      <c r="AN36" s="180"/>
      <c r="AO36" s="180"/>
      <c r="AP36" s="180"/>
      <c r="AQ36" s="180"/>
      <c r="AR36" s="180"/>
      <c r="AS36" s="180"/>
      <c r="AT36" s="180"/>
    </row>
    <row r="37" spans="1:46">
      <c r="L37" s="180"/>
      <c r="M37" s="533"/>
      <c r="N37" s="533"/>
      <c r="O37" s="533"/>
      <c r="P37" s="533"/>
      <c r="Q37" s="533"/>
      <c r="R37" s="533"/>
      <c r="S37" s="533"/>
      <c r="T37" s="533"/>
      <c r="U37" s="533"/>
      <c r="V37" s="533"/>
      <c r="W37" s="533"/>
      <c r="X37" s="533"/>
      <c r="Y37" s="533"/>
      <c r="Z37" s="533"/>
      <c r="AA37" s="533"/>
      <c r="AB37" s="533"/>
      <c r="AC37" s="533"/>
      <c r="AD37" s="533"/>
      <c r="AE37" s="533"/>
      <c r="AF37" s="533"/>
      <c r="AG37" s="533"/>
      <c r="AH37" s="533"/>
      <c r="AI37" s="533"/>
      <c r="AJ37" s="533"/>
      <c r="AK37" s="180"/>
      <c r="AL37" s="180"/>
      <c r="AM37" s="180"/>
      <c r="AN37" s="180"/>
      <c r="AO37" s="180"/>
      <c r="AP37" s="180"/>
      <c r="AQ37" s="180"/>
      <c r="AR37" s="180"/>
      <c r="AS37" s="180"/>
      <c r="AT37" s="180"/>
    </row>
    <row r="38" spans="1:46">
      <c r="A38" s="524"/>
      <c r="B38" s="524"/>
      <c r="C38" s="524" t="str">
        <f>INDEX('Scenario names'!$C$3:$C$6,1)</f>
        <v>High Electrification</v>
      </c>
      <c r="D38" s="524"/>
      <c r="E38" s="524"/>
      <c r="F38" s="524"/>
      <c r="G38" s="524"/>
      <c r="H38" s="524"/>
      <c r="I38" s="524"/>
      <c r="J38" s="524"/>
      <c r="K38" s="533"/>
      <c r="L38" s="180"/>
      <c r="M38" s="533"/>
      <c r="N38" s="533"/>
      <c r="O38" s="533"/>
      <c r="P38" s="533"/>
      <c r="Q38" s="533"/>
      <c r="R38" s="533"/>
      <c r="S38" s="533"/>
      <c r="T38" s="533"/>
      <c r="U38" s="533"/>
      <c r="V38" s="533"/>
      <c r="W38" s="533"/>
      <c r="X38" s="533"/>
      <c r="Y38" s="533"/>
      <c r="Z38" s="533"/>
      <c r="AA38" s="533"/>
      <c r="AB38" s="533"/>
      <c r="AC38" s="533"/>
      <c r="AD38" s="533"/>
      <c r="AE38" s="533"/>
      <c r="AF38" s="533"/>
      <c r="AG38" s="533"/>
      <c r="AH38" s="533"/>
      <c r="AI38" s="533"/>
      <c r="AJ38" s="533"/>
      <c r="AK38" s="180"/>
      <c r="AL38" s="180"/>
      <c r="AM38" s="180"/>
      <c r="AN38" s="180"/>
      <c r="AO38" s="180"/>
      <c r="AP38" s="180"/>
      <c r="AQ38" s="180"/>
      <c r="AR38" s="180"/>
      <c r="AS38" s="180"/>
      <c r="AT38" s="180"/>
    </row>
    <row r="39" spans="1:46">
      <c r="B39" s="180"/>
      <c r="D39" s="180">
        <v>2015</v>
      </c>
      <c r="E39" s="180">
        <v>2020</v>
      </c>
      <c r="F39" s="180">
        <v>2025</v>
      </c>
      <c r="G39" s="180">
        <v>2030</v>
      </c>
      <c r="H39" s="180">
        <v>2035</v>
      </c>
      <c r="I39" s="180">
        <v>2040</v>
      </c>
      <c r="J39" s="180">
        <v>2045</v>
      </c>
      <c r="K39" s="180">
        <v>2050</v>
      </c>
      <c r="L39" s="180"/>
      <c r="M39" s="533"/>
      <c r="N39" s="533"/>
      <c r="O39" s="533"/>
      <c r="P39" s="533"/>
      <c r="Q39" s="533"/>
      <c r="R39" s="533"/>
      <c r="S39" s="533"/>
      <c r="T39" s="533"/>
      <c r="U39" s="533"/>
      <c r="V39" s="533"/>
      <c r="W39" s="533"/>
      <c r="X39" s="533"/>
      <c r="Y39" s="533"/>
      <c r="Z39" s="533"/>
      <c r="AA39" s="533"/>
      <c r="AB39" s="533"/>
      <c r="AC39" s="533"/>
      <c r="AD39" s="533"/>
      <c r="AE39" s="533"/>
      <c r="AF39" s="533"/>
      <c r="AG39" s="533"/>
      <c r="AH39" s="533"/>
      <c r="AI39" s="533"/>
      <c r="AJ39" s="533"/>
      <c r="AK39" s="180"/>
      <c r="AL39" s="180"/>
      <c r="AM39" s="180"/>
      <c r="AN39" s="180"/>
      <c r="AO39" s="180"/>
      <c r="AP39" s="180"/>
      <c r="AQ39" s="180"/>
      <c r="AR39" s="180"/>
      <c r="AS39" s="180"/>
      <c r="AT39" s="180"/>
    </row>
    <row r="40" spans="1:46">
      <c r="A40" t="str">
        <f>$C$38&amp;$B$39&amp;C40</f>
        <v>High ElectrificationDomestic heat</v>
      </c>
      <c r="C40" s="180" t="s">
        <v>806</v>
      </c>
      <c r="D40" s="180">
        <v>683.10906051041047</v>
      </c>
      <c r="E40" s="180">
        <v>704.00542515944005</v>
      </c>
      <c r="F40" s="180">
        <v>665.09250351667163</v>
      </c>
      <c r="G40" s="180">
        <v>802.87441992364143</v>
      </c>
      <c r="H40" s="180">
        <v>1051.1222158862208</v>
      </c>
      <c r="I40" s="180">
        <v>1483.1212274783366</v>
      </c>
      <c r="J40" s="180">
        <v>1725.0770595040415</v>
      </c>
      <c r="K40" s="180">
        <v>2026.3091640079435</v>
      </c>
      <c r="L40" s="180"/>
      <c r="M40" s="533"/>
      <c r="N40" s="533"/>
      <c r="O40" s="533"/>
      <c r="P40" s="533"/>
      <c r="Q40" s="533"/>
      <c r="R40" s="533"/>
      <c r="S40" s="533"/>
      <c r="T40" s="533"/>
      <c r="U40" s="533"/>
      <c r="V40" s="533"/>
      <c r="W40" s="533"/>
      <c r="X40" s="533"/>
      <c r="Y40" s="533"/>
      <c r="Z40" s="533"/>
      <c r="AA40" s="533"/>
      <c r="AB40" s="533"/>
      <c r="AC40" s="533"/>
      <c r="AD40" s="533"/>
      <c r="AE40" s="533"/>
      <c r="AF40" s="533"/>
      <c r="AG40" s="533"/>
      <c r="AH40" s="533"/>
      <c r="AI40" s="533"/>
      <c r="AJ40" s="533"/>
      <c r="AK40" s="180"/>
      <c r="AL40" s="180"/>
      <c r="AM40" s="180"/>
      <c r="AN40" s="180"/>
      <c r="AO40" s="180"/>
      <c r="AP40" s="180"/>
      <c r="AQ40" s="180"/>
      <c r="AR40" s="180"/>
      <c r="AS40" s="180"/>
      <c r="AT40" s="180"/>
    </row>
    <row r="41" spans="1:46">
      <c r="A41" t="str">
        <f t="shared" ref="A41:A48" si="73">$C$38&amp;$B$39&amp;C41</f>
        <v>High ElectrificationOther domestic</v>
      </c>
      <c r="C41" s="180" t="s">
        <v>807</v>
      </c>
      <c r="D41" s="180">
        <v>2154.3990054544697</v>
      </c>
      <c r="E41" s="180">
        <v>2177.1657399296614</v>
      </c>
      <c r="F41" s="180">
        <v>2199.9324744048531</v>
      </c>
      <c r="G41" s="180">
        <v>2222.6992088800448</v>
      </c>
      <c r="H41" s="180">
        <v>2231.3146662866266</v>
      </c>
      <c r="I41" s="180">
        <v>2225.6925728338074</v>
      </c>
      <c r="J41" s="180">
        <v>2201.9593230135292</v>
      </c>
      <c r="K41" s="180">
        <v>2163.6707463261096</v>
      </c>
      <c r="L41" s="180"/>
      <c r="M41" s="533"/>
      <c r="N41" s="533"/>
      <c r="O41" s="533"/>
      <c r="P41" s="533"/>
      <c r="Q41" s="533"/>
      <c r="R41" s="533"/>
      <c r="S41" s="533"/>
      <c r="T41" s="533"/>
      <c r="U41" s="533"/>
      <c r="V41" s="533"/>
      <c r="W41" s="533"/>
      <c r="X41" s="533"/>
      <c r="Y41" s="533"/>
      <c r="Z41" s="533"/>
      <c r="AA41" s="533"/>
      <c r="AB41" s="533"/>
      <c r="AC41" s="533"/>
      <c r="AD41" s="533"/>
      <c r="AE41" s="533"/>
      <c r="AF41" s="533"/>
      <c r="AG41" s="533"/>
      <c r="AH41" s="533"/>
      <c r="AI41" s="533"/>
      <c r="AJ41" s="533"/>
      <c r="AK41" s="180"/>
      <c r="AL41" s="180"/>
      <c r="AM41" s="180"/>
      <c r="AN41" s="180"/>
      <c r="AO41" s="180"/>
      <c r="AP41" s="180"/>
      <c r="AQ41" s="180"/>
      <c r="AR41" s="180"/>
      <c r="AS41" s="180"/>
      <c r="AT41" s="180"/>
    </row>
    <row r="42" spans="1:46">
      <c r="A42" t="str">
        <f t="shared" si="73"/>
        <v>High ElectrificationNon-domestic heat</v>
      </c>
      <c r="C42" s="180" t="s">
        <v>808</v>
      </c>
      <c r="D42" s="180">
        <v>708.32689732451422</v>
      </c>
      <c r="E42" s="180">
        <v>705.16676974116842</v>
      </c>
      <c r="F42" s="180">
        <v>675.70189432204086</v>
      </c>
      <c r="G42" s="180">
        <v>634.80500834814382</v>
      </c>
      <c r="H42" s="180">
        <v>632.48848765483694</v>
      </c>
      <c r="I42" s="180">
        <v>714.71292647795622</v>
      </c>
      <c r="J42" s="180">
        <v>721.58041420849906</v>
      </c>
      <c r="K42" s="180">
        <v>753.5034464663554</v>
      </c>
      <c r="L42" s="180"/>
      <c r="M42" s="533"/>
      <c r="N42" s="533"/>
      <c r="O42" s="533"/>
      <c r="P42" s="533"/>
      <c r="Q42" s="533"/>
      <c r="R42" s="533"/>
      <c r="S42" s="533"/>
      <c r="T42" s="533"/>
      <c r="U42" s="533"/>
      <c r="V42" s="533"/>
      <c r="W42" s="533"/>
      <c r="X42" s="533"/>
      <c r="Y42" s="533"/>
      <c r="Z42" s="533"/>
      <c r="AA42" s="533"/>
      <c r="AB42" s="533"/>
      <c r="AC42" s="533"/>
      <c r="AD42" s="533"/>
      <c r="AE42" s="533"/>
      <c r="AF42" s="533"/>
      <c r="AG42" s="533"/>
      <c r="AH42" s="533"/>
      <c r="AI42" s="533"/>
      <c r="AJ42" s="533"/>
      <c r="AK42" s="180"/>
      <c r="AL42" s="180"/>
      <c r="AM42" s="180"/>
      <c r="AN42" s="180"/>
      <c r="AO42" s="180"/>
      <c r="AP42" s="180"/>
      <c r="AQ42" s="180"/>
      <c r="AR42" s="180"/>
      <c r="AS42" s="180"/>
      <c r="AT42" s="180"/>
    </row>
    <row r="43" spans="1:46">
      <c r="A43" t="str">
        <f t="shared" si="73"/>
        <v>High ElectrificationOther non-domestic</v>
      </c>
      <c r="C43" s="180" t="s">
        <v>809</v>
      </c>
      <c r="D43" s="180">
        <v>4308.1139743073154</v>
      </c>
      <c r="E43" s="180">
        <v>4326.1597181866182</v>
      </c>
      <c r="F43" s="180">
        <v>4344.2054620659228</v>
      </c>
      <c r="G43" s="180">
        <v>4362.2512059452247</v>
      </c>
      <c r="H43" s="180">
        <v>4369.0804078054052</v>
      </c>
      <c r="I43" s="180">
        <v>4364.6951902817691</v>
      </c>
      <c r="J43" s="180">
        <v>4348.9840933318737</v>
      </c>
      <c r="K43" s="180">
        <v>4321.9593347625023</v>
      </c>
      <c r="L43" s="180"/>
      <c r="M43" s="533"/>
      <c r="N43" s="533"/>
      <c r="O43" s="533"/>
      <c r="P43" s="533"/>
      <c r="Q43" s="533"/>
      <c r="R43" s="533"/>
      <c r="S43" s="533"/>
      <c r="T43" s="533"/>
      <c r="U43" s="533"/>
      <c r="V43" s="533"/>
      <c r="W43" s="533"/>
      <c r="X43" s="533"/>
      <c r="Y43" s="533"/>
      <c r="Z43" s="533"/>
      <c r="AA43" s="533"/>
      <c r="AB43" s="533"/>
      <c r="AC43" s="533"/>
      <c r="AD43" s="533"/>
      <c r="AE43" s="533"/>
      <c r="AF43" s="533"/>
      <c r="AG43" s="533"/>
      <c r="AH43" s="533"/>
      <c r="AI43" s="533"/>
      <c r="AJ43" s="533"/>
      <c r="AK43" s="180"/>
      <c r="AL43" s="180"/>
      <c r="AM43" s="180"/>
      <c r="AN43" s="180"/>
      <c r="AO43" s="180"/>
      <c r="AP43" s="180"/>
      <c r="AQ43" s="180"/>
      <c r="AR43" s="180"/>
      <c r="AS43" s="180"/>
      <c r="AT43" s="180"/>
    </row>
    <row r="44" spans="1:46">
      <c r="A44" t="str">
        <f t="shared" si="73"/>
        <v>High ElectrificationElectric vehicles</v>
      </c>
      <c r="C44" s="180" t="s">
        <v>810</v>
      </c>
      <c r="D44" s="180">
        <v>6.7556060997870322</v>
      </c>
      <c r="E44" s="180">
        <v>15.229924543598424</v>
      </c>
      <c r="F44" s="180">
        <v>69.886550961630448</v>
      </c>
      <c r="G44" s="180">
        <v>171.6072738444353</v>
      </c>
      <c r="H44" s="180">
        <v>262.04807790870223</v>
      </c>
      <c r="I44" s="180">
        <v>320.58188330932853</v>
      </c>
      <c r="J44" s="180">
        <v>350.38272260845372</v>
      </c>
      <c r="K44" s="180">
        <v>358.88702892226866</v>
      </c>
      <c r="M44" s="533"/>
      <c r="N44" s="533"/>
      <c r="O44" s="533"/>
      <c r="P44" s="533"/>
      <c r="Q44" s="533"/>
      <c r="R44" s="533"/>
      <c r="S44" s="533"/>
      <c r="T44" s="533"/>
      <c r="U44" s="533"/>
      <c r="V44" s="533"/>
      <c r="W44" s="533"/>
      <c r="X44" s="533"/>
      <c r="Y44" s="533"/>
      <c r="Z44" s="533"/>
      <c r="AA44" s="533"/>
      <c r="AB44" s="533"/>
      <c r="AC44" s="533"/>
      <c r="AD44" s="533"/>
      <c r="AE44" s="533"/>
      <c r="AF44" s="533"/>
      <c r="AG44" s="533"/>
      <c r="AH44" s="533"/>
      <c r="AI44" s="533"/>
      <c r="AJ44" s="533"/>
      <c r="AK44" s="180"/>
      <c r="AL44" s="180"/>
      <c r="AM44" s="180"/>
      <c r="AN44" s="180"/>
      <c r="AO44" s="180"/>
      <c r="AP44" s="180"/>
      <c r="AQ44" s="180"/>
      <c r="AR44" s="180"/>
      <c r="AS44" s="180"/>
      <c r="AT44" s="180"/>
    </row>
    <row r="45" spans="1:46">
      <c r="A45" t="str">
        <f t="shared" si="73"/>
        <v>High ElectrificationHydrogen vehicles</v>
      </c>
      <c r="C45" s="180" t="s">
        <v>811</v>
      </c>
      <c r="D45" s="180">
        <v>0</v>
      </c>
      <c r="E45" s="180">
        <v>0</v>
      </c>
      <c r="F45" s="180">
        <v>0</v>
      </c>
      <c r="G45" s="180">
        <v>0</v>
      </c>
      <c r="H45" s="180">
        <v>0</v>
      </c>
      <c r="I45" s="180">
        <v>0</v>
      </c>
      <c r="J45" s="180">
        <v>0</v>
      </c>
      <c r="K45" s="180">
        <v>0</v>
      </c>
      <c r="M45" s="533"/>
      <c r="N45" s="533"/>
      <c r="O45" s="533"/>
      <c r="P45" s="533"/>
      <c r="Q45" s="533"/>
      <c r="R45" s="533"/>
      <c r="S45" s="533"/>
      <c r="T45" s="533"/>
      <c r="U45" s="533"/>
      <c r="V45" s="533"/>
      <c r="W45" s="533"/>
      <c r="X45" s="533"/>
      <c r="Y45" s="533"/>
      <c r="Z45" s="533"/>
      <c r="AA45" s="533"/>
      <c r="AB45" s="533"/>
      <c r="AC45" s="533"/>
      <c r="AD45" s="533"/>
      <c r="AE45" s="533"/>
      <c r="AF45" s="533"/>
      <c r="AG45" s="533"/>
      <c r="AH45" s="533"/>
      <c r="AI45" s="533"/>
      <c r="AJ45" s="533"/>
      <c r="AK45" s="180"/>
      <c r="AL45" s="180"/>
      <c r="AM45" s="180"/>
      <c r="AN45" s="180"/>
      <c r="AO45" s="180"/>
      <c r="AP45" s="180"/>
      <c r="AQ45" s="180"/>
      <c r="AR45" s="180"/>
      <c r="AS45" s="180"/>
      <c r="AT45" s="180"/>
    </row>
    <row r="46" spans="1:46">
      <c r="A46" t="str">
        <f t="shared" si="73"/>
        <v>High ElectrificationUnderground, rail, DLR</v>
      </c>
      <c r="C46" s="180" t="s">
        <v>812</v>
      </c>
      <c r="D46" s="180">
        <v>12.074046466723365</v>
      </c>
      <c r="E46" s="180">
        <v>13.908313193369827</v>
      </c>
      <c r="F46" s="180">
        <v>14.14463017921142</v>
      </c>
      <c r="G46" s="180">
        <v>14.118543000946417</v>
      </c>
      <c r="H46" s="180">
        <v>16.229239667576774</v>
      </c>
      <c r="I46" s="180">
        <v>18.339936334207135</v>
      </c>
      <c r="J46" s="180">
        <v>18.339936334207135</v>
      </c>
      <c r="K46" s="180">
        <v>18.339936334207135</v>
      </c>
      <c r="M46" s="533"/>
      <c r="N46" s="533"/>
      <c r="O46" s="533"/>
      <c r="P46" s="533"/>
      <c r="Q46" s="533"/>
      <c r="R46" s="533"/>
      <c r="S46" s="533"/>
      <c r="T46" s="533"/>
      <c r="U46" s="533"/>
      <c r="V46" s="533"/>
      <c r="W46" s="533"/>
      <c r="X46" s="533"/>
      <c r="Y46" s="533"/>
      <c r="Z46" s="533"/>
      <c r="AA46" s="533"/>
      <c r="AB46" s="533"/>
      <c r="AC46" s="533"/>
      <c r="AD46" s="533"/>
      <c r="AE46" s="533"/>
      <c r="AF46" s="533"/>
      <c r="AG46" s="533"/>
      <c r="AH46" s="533"/>
      <c r="AI46" s="533"/>
      <c r="AJ46" s="533"/>
      <c r="AK46" s="180"/>
      <c r="AL46" s="180"/>
      <c r="AM46" s="180"/>
      <c r="AN46" s="180"/>
      <c r="AO46" s="180"/>
      <c r="AP46" s="180"/>
      <c r="AQ46" s="180"/>
      <c r="AR46" s="180"/>
      <c r="AS46" s="180"/>
      <c r="AT46" s="180"/>
    </row>
    <row r="47" spans="1:46">
      <c r="A47" t="str">
        <f t="shared" si="73"/>
        <v>High ElectrificationDH baseload heat pumps</v>
      </c>
      <c r="C47" s="180" t="s">
        <v>813</v>
      </c>
      <c r="D47" s="180">
        <v>0</v>
      </c>
      <c r="E47" s="180">
        <v>0</v>
      </c>
      <c r="F47" s="180">
        <v>0</v>
      </c>
      <c r="G47" s="180">
        <v>0</v>
      </c>
      <c r="H47" s="180">
        <v>0</v>
      </c>
      <c r="I47" s="180">
        <v>0</v>
      </c>
      <c r="J47" s="180">
        <v>0</v>
      </c>
      <c r="K47" s="180">
        <v>0</v>
      </c>
      <c r="M47" s="533"/>
      <c r="N47" s="533"/>
      <c r="O47" s="533"/>
      <c r="P47" s="533"/>
      <c r="Q47" s="533"/>
      <c r="R47" s="533"/>
      <c r="S47" s="533"/>
      <c r="T47" s="533"/>
      <c r="U47" s="533"/>
      <c r="V47" s="533"/>
      <c r="W47" s="533"/>
      <c r="X47" s="533"/>
      <c r="Y47" s="533"/>
      <c r="Z47" s="533"/>
      <c r="AA47" s="533"/>
      <c r="AB47" s="533"/>
      <c r="AC47" s="533"/>
      <c r="AD47" s="533"/>
      <c r="AE47" s="533"/>
      <c r="AF47" s="533"/>
      <c r="AG47" s="533"/>
      <c r="AH47" s="533"/>
      <c r="AI47" s="533"/>
      <c r="AJ47" s="533"/>
      <c r="AK47" s="180"/>
      <c r="AL47" s="180"/>
      <c r="AM47" s="180"/>
      <c r="AN47" s="180"/>
      <c r="AO47" s="180"/>
      <c r="AP47" s="180"/>
      <c r="AQ47" s="180"/>
      <c r="AR47" s="180"/>
      <c r="AS47" s="180"/>
      <c r="AT47" s="180"/>
    </row>
    <row r="48" spans="1:46">
      <c r="A48" t="str">
        <f t="shared" si="73"/>
        <v>High ElectrificationDH peaking heat pumps</v>
      </c>
      <c r="C48" s="180" t="s">
        <v>814</v>
      </c>
      <c r="D48" s="180">
        <v>0</v>
      </c>
      <c r="E48" s="180">
        <v>0</v>
      </c>
      <c r="F48" s="180">
        <v>0</v>
      </c>
      <c r="G48" s="180">
        <v>29.560996796786487</v>
      </c>
      <c r="H48" s="180">
        <v>64.814389490707995</v>
      </c>
      <c r="I48" s="180">
        <v>103.94186879477078</v>
      </c>
      <c r="J48" s="180">
        <v>158.86164688461133</v>
      </c>
      <c r="K48" s="180">
        <v>183.13599465772813</v>
      </c>
      <c r="M48" s="533"/>
      <c r="N48" s="533"/>
      <c r="O48" s="533"/>
      <c r="P48" s="533"/>
      <c r="Q48" s="533"/>
      <c r="R48" s="533"/>
      <c r="S48" s="533"/>
      <c r="T48" s="533"/>
      <c r="U48" s="533"/>
      <c r="V48" s="533"/>
      <c r="W48" s="533"/>
      <c r="X48" s="533"/>
      <c r="Y48" s="533"/>
      <c r="Z48" s="533"/>
      <c r="AA48" s="533"/>
      <c r="AB48" s="533"/>
      <c r="AC48" s="533"/>
      <c r="AD48" s="533"/>
      <c r="AE48" s="533"/>
      <c r="AF48" s="533"/>
      <c r="AG48" s="533"/>
      <c r="AH48" s="533"/>
      <c r="AI48" s="533"/>
      <c r="AJ48" s="533"/>
      <c r="AK48" s="180"/>
      <c r="AL48" s="180"/>
      <c r="AM48" s="180"/>
      <c r="AN48" s="180"/>
      <c r="AO48" s="180"/>
      <c r="AP48" s="180"/>
      <c r="AQ48" s="180"/>
      <c r="AR48" s="180"/>
      <c r="AS48" s="180"/>
      <c r="AT48" s="180"/>
    </row>
    <row r="49" spans="1:46">
      <c r="M49" s="533"/>
      <c r="N49" s="533"/>
      <c r="O49" s="533"/>
      <c r="P49" s="533"/>
      <c r="Q49" s="533"/>
      <c r="R49" s="533"/>
      <c r="S49" s="533"/>
      <c r="T49" s="533"/>
      <c r="U49" s="533"/>
      <c r="V49" s="533"/>
      <c r="W49" s="533"/>
      <c r="X49" s="533"/>
      <c r="Y49" s="533"/>
      <c r="Z49" s="533"/>
      <c r="AA49" s="533"/>
      <c r="AB49" s="533"/>
      <c r="AC49" s="533"/>
      <c r="AD49" s="533"/>
      <c r="AE49" s="533"/>
      <c r="AF49" s="533"/>
      <c r="AG49" s="533"/>
      <c r="AH49" s="533"/>
      <c r="AI49" s="533"/>
      <c r="AJ49" s="533"/>
      <c r="AK49" s="180"/>
      <c r="AL49" s="180"/>
      <c r="AM49" s="180"/>
      <c r="AN49" s="180"/>
      <c r="AO49" s="180"/>
      <c r="AP49" s="180"/>
      <c r="AQ49" s="180"/>
      <c r="AR49" s="180"/>
      <c r="AS49" s="180"/>
      <c r="AT49" s="180"/>
    </row>
    <row r="50" spans="1:46">
      <c r="A50" s="524"/>
      <c r="B50" s="524"/>
      <c r="C50" s="524" t="str">
        <f>INDEX('Scenario names'!$C$3:$C$6,2)</f>
        <v>High Hydrogen</v>
      </c>
      <c r="D50" s="524"/>
      <c r="E50" s="524"/>
      <c r="F50" s="524"/>
      <c r="G50" s="524"/>
      <c r="H50" s="524"/>
      <c r="I50" s="524"/>
      <c r="J50" s="524"/>
      <c r="K50" s="533"/>
      <c r="L50" s="180"/>
      <c r="M50" s="533"/>
      <c r="N50" s="533"/>
      <c r="O50" s="533"/>
      <c r="P50" s="533"/>
      <c r="Q50" s="533"/>
      <c r="R50" s="533"/>
      <c r="S50" s="533"/>
      <c r="T50" s="533"/>
      <c r="U50" s="533"/>
      <c r="V50" s="533"/>
      <c r="W50" s="533"/>
      <c r="X50" s="533"/>
      <c r="Y50" s="533"/>
      <c r="Z50" s="533"/>
      <c r="AA50" s="533"/>
      <c r="AB50" s="533"/>
      <c r="AC50" s="533"/>
      <c r="AD50" s="533"/>
      <c r="AE50" s="533"/>
      <c r="AF50" s="533"/>
      <c r="AG50" s="533"/>
      <c r="AH50" s="533"/>
      <c r="AI50" s="533"/>
      <c r="AJ50" s="533"/>
      <c r="AK50" s="180"/>
      <c r="AL50" s="180"/>
      <c r="AM50" s="180"/>
      <c r="AN50" s="180"/>
      <c r="AO50" s="180"/>
      <c r="AP50" s="180"/>
      <c r="AQ50" s="180"/>
      <c r="AR50" s="180"/>
      <c r="AS50" s="180"/>
      <c r="AT50" s="180"/>
    </row>
    <row r="51" spans="1:46">
      <c r="B51" s="180"/>
      <c r="D51" s="180">
        <v>2015</v>
      </c>
      <c r="E51" s="180">
        <v>2020</v>
      </c>
      <c r="F51" s="180">
        <v>2025</v>
      </c>
      <c r="G51" s="180">
        <v>2030</v>
      </c>
      <c r="H51" s="180">
        <v>2035</v>
      </c>
      <c r="I51" s="180">
        <v>2040</v>
      </c>
      <c r="J51" s="180">
        <v>2045</v>
      </c>
      <c r="K51" s="180">
        <v>2050</v>
      </c>
      <c r="L51" s="180"/>
      <c r="M51" s="533"/>
      <c r="N51" s="533"/>
      <c r="O51" s="533"/>
      <c r="P51" s="533"/>
      <c r="Q51" s="533"/>
      <c r="R51" s="533"/>
      <c r="S51" s="533"/>
      <c r="T51" s="533"/>
      <c r="U51" s="533"/>
      <c r="V51" s="533"/>
      <c r="W51" s="533"/>
      <c r="X51" s="533"/>
      <c r="Y51" s="533"/>
      <c r="Z51" s="533"/>
      <c r="AA51" s="533"/>
      <c r="AB51" s="533"/>
      <c r="AC51" s="533"/>
      <c r="AD51" s="533"/>
      <c r="AE51" s="533"/>
      <c r="AF51" s="533"/>
      <c r="AG51" s="533"/>
      <c r="AH51" s="533"/>
      <c r="AI51" s="533"/>
      <c r="AJ51" s="533"/>
      <c r="AK51" s="180"/>
      <c r="AL51" s="180"/>
      <c r="AM51" s="180"/>
      <c r="AN51" s="180"/>
      <c r="AO51" s="180"/>
      <c r="AP51" s="180"/>
      <c r="AQ51" s="180"/>
      <c r="AR51" s="180"/>
      <c r="AS51" s="180"/>
      <c r="AT51" s="180"/>
    </row>
    <row r="52" spans="1:46">
      <c r="A52" t="str">
        <f>$C$50&amp;$B$51&amp;C52</f>
        <v>High HydrogenDomestic heat</v>
      </c>
      <c r="C52" s="180" t="s">
        <v>806</v>
      </c>
      <c r="D52" s="180">
        <v>683.10906051041047</v>
      </c>
      <c r="E52" s="180">
        <v>704.00542515944005</v>
      </c>
      <c r="F52" s="180">
        <v>585.55327242578937</v>
      </c>
      <c r="G52" s="180">
        <v>564.13709825906142</v>
      </c>
      <c r="H52" s="180">
        <v>651.36450996409826</v>
      </c>
      <c r="I52" s="180">
        <v>754.65602012068598</v>
      </c>
      <c r="J52" s="180">
        <v>809.08273315680833</v>
      </c>
      <c r="K52" s="180">
        <v>802.61483914553128</v>
      </c>
      <c r="L52" s="180"/>
      <c r="M52" s="533"/>
      <c r="N52" s="533"/>
      <c r="O52" s="533"/>
      <c r="P52" s="533"/>
      <c r="Q52" s="533"/>
      <c r="R52" s="533"/>
      <c r="S52" s="533"/>
      <c r="T52" s="533"/>
      <c r="U52" s="533"/>
      <c r="V52" s="533"/>
      <c r="W52" s="533"/>
      <c r="X52" s="533"/>
      <c r="Y52" s="533"/>
      <c r="Z52" s="533"/>
      <c r="AA52" s="533"/>
      <c r="AB52" s="533"/>
      <c r="AC52" s="533"/>
      <c r="AD52" s="533"/>
      <c r="AE52" s="533"/>
      <c r="AF52" s="533"/>
      <c r="AG52" s="533"/>
      <c r="AH52" s="533"/>
      <c r="AI52" s="533"/>
      <c r="AJ52" s="533"/>
      <c r="AK52" s="180"/>
      <c r="AL52" s="180"/>
      <c r="AM52" s="180"/>
      <c r="AN52" s="180"/>
      <c r="AO52" s="180"/>
      <c r="AP52" s="180"/>
      <c r="AQ52" s="180"/>
      <c r="AR52" s="180"/>
      <c r="AS52" s="180"/>
      <c r="AT52" s="180"/>
    </row>
    <row r="53" spans="1:46">
      <c r="A53" t="str">
        <f t="shared" ref="A53:A60" si="74">$C$50&amp;$B$51&amp;C53</f>
        <v>High HydrogenOther domestic</v>
      </c>
      <c r="C53" s="180" t="s">
        <v>807</v>
      </c>
      <c r="D53" s="180">
        <v>2154.3990054544697</v>
      </c>
      <c r="E53" s="180">
        <v>2177.1657399296614</v>
      </c>
      <c r="F53" s="180">
        <v>2199.9324744048531</v>
      </c>
      <c r="G53" s="180">
        <v>2222.6992088800448</v>
      </c>
      <c r="H53" s="180">
        <v>2231.3146662866266</v>
      </c>
      <c r="I53" s="180">
        <v>2225.6925728338074</v>
      </c>
      <c r="J53" s="180">
        <v>2201.9593230135292</v>
      </c>
      <c r="K53" s="180">
        <v>2163.6707463261096</v>
      </c>
      <c r="L53" s="180"/>
      <c r="M53" s="533"/>
      <c r="N53" s="533"/>
      <c r="O53" s="533"/>
      <c r="P53" s="533"/>
      <c r="Q53" s="533"/>
      <c r="R53" s="533"/>
      <c r="S53" s="533"/>
      <c r="T53" s="533"/>
      <c r="U53" s="533"/>
      <c r="V53" s="533"/>
      <c r="W53" s="533"/>
      <c r="X53" s="533"/>
      <c r="Y53" s="180"/>
      <c r="Z53" s="180"/>
      <c r="AA53" s="180"/>
      <c r="AB53" s="180"/>
      <c r="AC53" s="180"/>
      <c r="AD53" s="533"/>
      <c r="AE53" s="533"/>
      <c r="AF53" s="533"/>
      <c r="AG53" s="533"/>
      <c r="AH53" s="533"/>
      <c r="AI53" s="533"/>
      <c r="AJ53" s="533"/>
      <c r="AK53" s="180"/>
      <c r="AL53" s="180"/>
      <c r="AM53" s="180"/>
      <c r="AN53" s="180"/>
      <c r="AO53" s="180"/>
      <c r="AP53" s="180"/>
      <c r="AQ53" s="180"/>
      <c r="AR53" s="180"/>
      <c r="AS53" s="180"/>
      <c r="AT53" s="180"/>
    </row>
    <row r="54" spans="1:46">
      <c r="A54" t="str">
        <f t="shared" si="74"/>
        <v>High HydrogenNon-domestic heat</v>
      </c>
      <c r="C54" s="180" t="s">
        <v>808</v>
      </c>
      <c r="D54" s="180">
        <v>706.11431922361373</v>
      </c>
      <c r="E54" s="180">
        <v>703.04664029640685</v>
      </c>
      <c r="F54" s="180">
        <v>637.78528471234858</v>
      </c>
      <c r="G54" s="180">
        <v>519.40505722188982</v>
      </c>
      <c r="H54" s="180">
        <v>456.23861481349059</v>
      </c>
      <c r="I54" s="180">
        <v>484.8935308328052</v>
      </c>
      <c r="J54" s="180">
        <v>498.15007131598099</v>
      </c>
      <c r="K54" s="180">
        <v>495.05576262772269</v>
      </c>
      <c r="L54" s="180"/>
      <c r="M54" s="180"/>
      <c r="N54" s="180"/>
      <c r="O54" s="180"/>
      <c r="P54" s="180"/>
      <c r="Q54" s="180"/>
      <c r="R54" s="180"/>
      <c r="S54" s="180"/>
      <c r="T54" s="180"/>
      <c r="U54" s="180"/>
      <c r="V54" s="180"/>
      <c r="W54" s="180"/>
      <c r="X54" s="180"/>
      <c r="Z54" s="180"/>
      <c r="AA54" s="180"/>
      <c r="AB54" s="180"/>
      <c r="AC54" s="180"/>
      <c r="AD54" s="180"/>
      <c r="AE54" s="180"/>
      <c r="AF54" s="180"/>
      <c r="AG54" s="180"/>
      <c r="AH54" s="180"/>
      <c r="AI54" s="180"/>
      <c r="AJ54" s="180"/>
      <c r="AK54" s="180"/>
      <c r="AL54" s="180"/>
      <c r="AM54" s="180"/>
      <c r="AN54" s="180"/>
      <c r="AO54" s="180"/>
      <c r="AP54" s="180"/>
      <c r="AQ54" s="180"/>
      <c r="AR54" s="180"/>
      <c r="AS54" s="180"/>
      <c r="AT54" s="180"/>
    </row>
    <row r="55" spans="1:46">
      <c r="A55" t="str">
        <f t="shared" si="74"/>
        <v>High HydrogenOther non-domestic</v>
      </c>
      <c r="C55" s="180" t="s">
        <v>809</v>
      </c>
      <c r="D55" s="180">
        <v>4308.1139743073154</v>
      </c>
      <c r="E55" s="180">
        <v>4326.1597181866182</v>
      </c>
      <c r="F55" s="180">
        <v>4344.2054620659228</v>
      </c>
      <c r="G55" s="180">
        <v>4362.2512059452247</v>
      </c>
      <c r="H55" s="180">
        <v>4369.0804078054052</v>
      </c>
      <c r="I55" s="180">
        <v>4364.6951902817691</v>
      </c>
      <c r="J55" s="180">
        <v>4348.9840933318737</v>
      </c>
      <c r="K55" s="180">
        <v>4321.9593347625023</v>
      </c>
      <c r="L55" s="180"/>
      <c r="M55" s="180"/>
      <c r="N55" s="180"/>
      <c r="O55" s="180"/>
      <c r="P55" s="180"/>
      <c r="Q55" s="180"/>
      <c r="R55" s="180"/>
      <c r="S55" s="180"/>
      <c r="T55" s="180"/>
      <c r="U55" s="180"/>
      <c r="V55" s="180"/>
      <c r="W55" s="180"/>
      <c r="X55" s="180"/>
      <c r="Z55" s="180"/>
      <c r="AA55" s="180"/>
      <c r="AB55" s="180"/>
      <c r="AC55" s="180"/>
      <c r="AD55" s="180"/>
      <c r="AE55" s="180"/>
      <c r="AF55" s="180"/>
      <c r="AG55" s="180"/>
      <c r="AH55" s="180"/>
      <c r="AI55" s="180"/>
      <c r="AJ55" s="180"/>
      <c r="AK55" s="180"/>
      <c r="AL55" s="180"/>
      <c r="AM55" s="180"/>
      <c r="AN55" s="180"/>
      <c r="AO55" s="180"/>
      <c r="AP55" s="180"/>
      <c r="AQ55" s="180"/>
      <c r="AR55" s="180"/>
      <c r="AS55" s="180"/>
      <c r="AT55" s="180"/>
    </row>
    <row r="56" spans="1:46">
      <c r="A56" t="str">
        <f t="shared" si="74"/>
        <v>High HydrogenElectric vehicles</v>
      </c>
      <c r="C56" s="180" t="s">
        <v>810</v>
      </c>
      <c r="D56" s="180">
        <v>6.9103441685994937</v>
      </c>
      <c r="E56" s="180">
        <v>15.587476976779298</v>
      </c>
      <c r="F56" s="180">
        <v>68.97666503925231</v>
      </c>
      <c r="G56" s="180">
        <v>164.58055147148289</v>
      </c>
      <c r="H56" s="180">
        <v>235.22237856281993</v>
      </c>
      <c r="I56" s="180">
        <v>260.47998310772073</v>
      </c>
      <c r="J56" s="180">
        <v>262.93789167703108</v>
      </c>
      <c r="K56" s="180">
        <v>256.47964571768534</v>
      </c>
      <c r="M56" s="180"/>
      <c r="N56" s="180"/>
      <c r="O56" s="180"/>
      <c r="P56" s="180"/>
      <c r="Q56" s="180"/>
      <c r="R56" s="180"/>
      <c r="S56" s="180"/>
      <c r="T56" s="180"/>
      <c r="U56" s="180"/>
      <c r="V56" s="180"/>
      <c r="W56" s="180"/>
      <c r="X56" s="180"/>
      <c r="Z56" s="180"/>
      <c r="AA56" s="180"/>
      <c r="AB56" s="180"/>
      <c r="AC56" s="180"/>
      <c r="AD56" s="180"/>
      <c r="AE56" s="180"/>
      <c r="AF56" s="180"/>
      <c r="AG56" s="180"/>
      <c r="AH56" s="180"/>
      <c r="AI56" s="180"/>
      <c r="AJ56" s="180"/>
      <c r="AK56" s="180"/>
      <c r="AL56" s="180"/>
      <c r="AM56" s="180"/>
      <c r="AN56" s="180"/>
      <c r="AO56" s="180"/>
      <c r="AP56" s="180"/>
      <c r="AQ56" s="180"/>
      <c r="AR56" s="180"/>
      <c r="AS56" s="180"/>
      <c r="AT56" s="180"/>
    </row>
    <row r="57" spans="1:46">
      <c r="A57" t="str">
        <f t="shared" si="74"/>
        <v>High HydrogenHydrogen vehicles</v>
      </c>
      <c r="C57" s="180" t="s">
        <v>811</v>
      </c>
      <c r="D57" s="180">
        <v>0</v>
      </c>
      <c r="E57" s="180">
        <v>0</v>
      </c>
      <c r="F57" s="180">
        <v>0</v>
      </c>
      <c r="G57" s="180">
        <v>0</v>
      </c>
      <c r="H57" s="180">
        <v>0</v>
      </c>
      <c r="I57" s="180">
        <v>0</v>
      </c>
      <c r="J57" s="180">
        <v>0</v>
      </c>
      <c r="K57" s="180">
        <v>0</v>
      </c>
      <c r="M57" s="180"/>
      <c r="N57" s="180"/>
      <c r="O57" s="180"/>
      <c r="P57" s="180"/>
      <c r="Q57" s="180"/>
      <c r="R57" s="180"/>
      <c r="S57" s="180"/>
      <c r="T57" s="180"/>
      <c r="U57" s="180"/>
      <c r="V57" s="180"/>
      <c r="W57" s="180"/>
      <c r="X57" s="180"/>
      <c r="Z57" s="180"/>
      <c r="AA57" s="180"/>
      <c r="AB57" s="180"/>
      <c r="AC57" s="180"/>
      <c r="AD57" s="180"/>
      <c r="AE57" s="180"/>
      <c r="AF57" s="180"/>
      <c r="AG57" s="180"/>
      <c r="AH57" s="180"/>
      <c r="AI57" s="180"/>
      <c r="AJ57" s="180"/>
      <c r="AK57" s="180"/>
      <c r="AL57" s="180"/>
      <c r="AM57" s="180"/>
      <c r="AN57" s="180"/>
      <c r="AO57" s="180"/>
      <c r="AP57" s="180"/>
      <c r="AQ57" s="180"/>
      <c r="AR57" s="180"/>
      <c r="AS57" s="180"/>
      <c r="AT57" s="180"/>
    </row>
    <row r="58" spans="1:46">
      <c r="A58" t="str">
        <f t="shared" si="74"/>
        <v>High HydrogenUnderground, rail, DLR</v>
      </c>
      <c r="C58" s="180" t="s">
        <v>812</v>
      </c>
      <c r="D58" s="180">
        <v>12.074046466723365</v>
      </c>
      <c r="E58" s="180">
        <v>13.908313193369827</v>
      </c>
      <c r="F58" s="180">
        <v>14.14463017921142</v>
      </c>
      <c r="G58" s="180">
        <v>14.118543000946417</v>
      </c>
      <c r="H58" s="180">
        <v>16.229239667576774</v>
      </c>
      <c r="I58" s="180">
        <v>18.339936334207135</v>
      </c>
      <c r="J58" s="180">
        <v>18.339936334207135</v>
      </c>
      <c r="K58" s="180">
        <v>18.339936334207135</v>
      </c>
      <c r="M58" s="180"/>
      <c r="N58" s="180"/>
      <c r="O58" s="180"/>
      <c r="P58" s="180"/>
      <c r="Q58" s="180"/>
      <c r="R58" s="180"/>
      <c r="S58" s="180"/>
      <c r="T58" s="180"/>
      <c r="U58" s="180"/>
      <c r="V58" s="180"/>
      <c r="W58" s="180"/>
      <c r="X58" s="180"/>
      <c r="Z58" s="180"/>
      <c r="AA58" s="180"/>
      <c r="AB58" s="180"/>
      <c r="AC58" s="180"/>
      <c r="AD58" s="180"/>
      <c r="AE58" s="180"/>
      <c r="AF58" s="180"/>
      <c r="AG58" s="180"/>
      <c r="AH58" s="180"/>
      <c r="AI58" s="180"/>
      <c r="AJ58" s="180"/>
      <c r="AK58" s="180"/>
      <c r="AL58" s="180"/>
      <c r="AM58" s="180"/>
      <c r="AN58" s="180"/>
      <c r="AO58" s="180"/>
      <c r="AP58" s="180"/>
      <c r="AQ58" s="180"/>
      <c r="AR58" s="180"/>
      <c r="AS58" s="180"/>
      <c r="AT58" s="180"/>
    </row>
    <row r="59" spans="1:46">
      <c r="A59" t="str">
        <f t="shared" si="74"/>
        <v>High HydrogenDH baseload heat pumps</v>
      </c>
      <c r="C59" s="180" t="s">
        <v>813</v>
      </c>
      <c r="D59" s="180">
        <v>0</v>
      </c>
      <c r="E59" s="180">
        <v>0</v>
      </c>
      <c r="F59" s="180">
        <v>0</v>
      </c>
      <c r="G59" s="180">
        <v>0</v>
      </c>
      <c r="H59" s="180">
        <v>0</v>
      </c>
      <c r="I59" s="180">
        <v>0</v>
      </c>
      <c r="J59" s="180">
        <v>0</v>
      </c>
      <c r="K59" s="180">
        <v>0</v>
      </c>
      <c r="M59" s="180"/>
      <c r="N59" s="180"/>
      <c r="O59" s="180"/>
      <c r="P59" s="180"/>
      <c r="Q59" s="180"/>
      <c r="R59" s="180"/>
      <c r="S59" s="180"/>
      <c r="T59" s="180"/>
      <c r="U59" s="180"/>
      <c r="V59" s="180"/>
      <c r="W59" s="180"/>
      <c r="X59" s="180"/>
      <c r="Z59" s="180"/>
      <c r="AA59" s="180"/>
      <c r="AB59" s="180"/>
      <c r="AC59" s="180"/>
      <c r="AD59" s="180"/>
      <c r="AE59" s="180"/>
      <c r="AF59" s="180"/>
      <c r="AG59" s="180"/>
      <c r="AH59" s="180"/>
      <c r="AI59" s="180"/>
      <c r="AJ59" s="180"/>
      <c r="AK59" s="180"/>
      <c r="AL59" s="180"/>
      <c r="AM59" s="180"/>
      <c r="AN59" s="180"/>
      <c r="AO59" s="180"/>
      <c r="AP59" s="180"/>
      <c r="AQ59" s="180"/>
      <c r="AR59" s="180"/>
      <c r="AS59" s="180"/>
      <c r="AT59" s="180"/>
    </row>
    <row r="60" spans="1:46">
      <c r="A60" t="str">
        <f t="shared" si="74"/>
        <v>High HydrogenDH peaking heat pumps</v>
      </c>
      <c r="C60" s="180" t="s">
        <v>814</v>
      </c>
      <c r="D60" s="180">
        <v>0</v>
      </c>
      <c r="E60" s="180">
        <v>0</v>
      </c>
      <c r="F60" s="180">
        <v>0</v>
      </c>
      <c r="G60" s="180">
        <v>12.25773843982132</v>
      </c>
      <c r="H60" s="180">
        <v>24.515476879642645</v>
      </c>
      <c r="I60" s="180">
        <v>36.773215319463972</v>
      </c>
      <c r="J60" s="180">
        <v>49.030953759285275</v>
      </c>
      <c r="K60" s="180">
        <v>51.48250144724954</v>
      </c>
      <c r="M60" s="180"/>
      <c r="N60" s="180"/>
      <c r="O60" s="180"/>
      <c r="P60" s="180"/>
      <c r="Q60" s="180"/>
      <c r="R60" s="180"/>
      <c r="S60" s="180"/>
      <c r="T60" s="180"/>
      <c r="U60" s="180"/>
      <c r="V60" s="180"/>
      <c r="W60" s="180"/>
      <c r="X60" s="180"/>
      <c r="Z60" s="180"/>
      <c r="AA60" s="180"/>
      <c r="AB60" s="180"/>
      <c r="AC60" s="180"/>
      <c r="AD60" s="180"/>
      <c r="AE60" s="180"/>
      <c r="AF60" s="180"/>
      <c r="AG60" s="180"/>
      <c r="AH60" s="180"/>
      <c r="AI60" s="180"/>
      <c r="AJ60" s="180"/>
      <c r="AK60" s="180"/>
      <c r="AL60" s="180"/>
      <c r="AM60" s="180"/>
      <c r="AN60" s="180"/>
      <c r="AO60" s="180"/>
      <c r="AP60" s="180"/>
      <c r="AQ60" s="180"/>
      <c r="AR60" s="180"/>
      <c r="AS60" s="180"/>
      <c r="AT60" s="180"/>
    </row>
    <row r="61" spans="1:46">
      <c r="M61" s="180"/>
      <c r="N61" s="180"/>
      <c r="O61" s="180"/>
      <c r="P61" s="180"/>
      <c r="Q61" s="180"/>
      <c r="R61" s="180"/>
      <c r="S61" s="180"/>
      <c r="T61" s="180"/>
      <c r="U61" s="180"/>
      <c r="V61" s="180"/>
      <c r="W61" s="180"/>
      <c r="X61" s="180"/>
      <c r="Z61" s="180"/>
      <c r="AA61" s="180"/>
      <c r="AB61" s="180"/>
      <c r="AC61" s="180"/>
      <c r="AD61" s="180"/>
      <c r="AE61" s="180"/>
      <c r="AF61" s="180"/>
      <c r="AG61" s="180"/>
      <c r="AH61" s="180"/>
      <c r="AI61" s="180"/>
      <c r="AJ61" s="180"/>
      <c r="AK61" s="180"/>
      <c r="AL61" s="180"/>
      <c r="AM61" s="180"/>
      <c r="AN61" s="180"/>
      <c r="AO61" s="180"/>
      <c r="AP61" s="180"/>
      <c r="AQ61" s="180"/>
      <c r="AR61" s="180"/>
      <c r="AS61" s="180"/>
      <c r="AT61" s="180"/>
    </row>
    <row r="62" spans="1:46">
      <c r="M62" s="180"/>
      <c r="N62" s="180"/>
      <c r="O62" s="180"/>
      <c r="P62" s="180"/>
      <c r="Q62" s="180"/>
      <c r="R62" s="180"/>
      <c r="S62" s="180"/>
      <c r="T62" s="180"/>
      <c r="U62" s="180"/>
      <c r="V62" s="180"/>
      <c r="W62" s="180"/>
      <c r="X62" s="180"/>
      <c r="Z62" s="525"/>
      <c r="AA62" s="525"/>
      <c r="AB62" s="525"/>
      <c r="AC62" s="525"/>
      <c r="AD62" s="525"/>
      <c r="AE62" s="525"/>
      <c r="AF62" s="525"/>
      <c r="AG62" s="525"/>
      <c r="AH62" s="525"/>
      <c r="AI62" s="525"/>
      <c r="AJ62" s="525"/>
      <c r="AK62" s="525"/>
      <c r="AL62" s="525"/>
      <c r="AM62" s="525"/>
      <c r="AN62" s="525"/>
      <c r="AO62" s="525"/>
      <c r="AP62" s="525"/>
      <c r="AQ62" s="525"/>
      <c r="AR62" s="525"/>
      <c r="AS62" s="525"/>
      <c r="AT62" s="525"/>
    </row>
    <row r="63" spans="1:46">
      <c r="C63" s="180" t="str">
        <f>INDEX('Scenario names'!$C$3:$C$6,3)</f>
        <v>Accelerated Green</v>
      </c>
      <c r="M63" s="180"/>
      <c r="N63" s="180"/>
      <c r="O63" s="180"/>
      <c r="P63" s="180"/>
      <c r="Q63" s="180"/>
      <c r="R63" s="180"/>
      <c r="S63" s="180"/>
      <c r="T63" s="180"/>
      <c r="U63" s="180"/>
      <c r="V63" s="180"/>
      <c r="W63" s="180"/>
      <c r="X63" s="180"/>
      <c r="Z63" s="525"/>
      <c r="AA63" s="525"/>
      <c r="AB63" s="525"/>
      <c r="AC63" s="525"/>
      <c r="AD63" s="525"/>
      <c r="AE63" s="525"/>
      <c r="AF63" s="525"/>
      <c r="AG63" s="525"/>
      <c r="AH63" s="525"/>
      <c r="AI63" s="525"/>
      <c r="AJ63" s="525"/>
      <c r="AK63" s="525"/>
      <c r="AL63" s="525"/>
      <c r="AM63" s="525"/>
      <c r="AN63" s="525"/>
      <c r="AO63" s="525"/>
      <c r="AP63" s="525"/>
      <c r="AQ63" s="525"/>
      <c r="AR63" s="525"/>
      <c r="AS63" s="525"/>
      <c r="AT63" s="525"/>
    </row>
    <row r="64" spans="1:46">
      <c r="B64" s="180"/>
      <c r="D64" s="180">
        <v>2015</v>
      </c>
      <c r="E64" s="180">
        <v>2020</v>
      </c>
      <c r="F64" s="180">
        <v>2025</v>
      </c>
      <c r="G64" s="180">
        <v>2030</v>
      </c>
      <c r="H64" s="180">
        <v>2035</v>
      </c>
      <c r="I64" s="180">
        <v>2040</v>
      </c>
      <c r="J64" s="180">
        <v>2045</v>
      </c>
      <c r="K64" s="180">
        <v>2050</v>
      </c>
      <c r="M64" s="180"/>
      <c r="N64" s="180"/>
      <c r="O64" s="180"/>
      <c r="P64" s="180"/>
      <c r="Q64" s="180"/>
      <c r="R64" s="180"/>
      <c r="S64" s="180"/>
      <c r="T64" s="180"/>
      <c r="U64" s="180"/>
      <c r="V64" s="180"/>
      <c r="W64" s="180"/>
      <c r="X64" s="180"/>
      <c r="Z64" s="525"/>
      <c r="AA64" s="525"/>
      <c r="AB64" s="525"/>
      <c r="AC64" s="525"/>
      <c r="AD64" s="525"/>
      <c r="AE64" s="525"/>
      <c r="AF64" s="525"/>
      <c r="AG64" s="525"/>
      <c r="AH64" s="525"/>
      <c r="AI64" s="525"/>
      <c r="AJ64" s="525"/>
      <c r="AK64" s="525"/>
      <c r="AL64" s="525"/>
      <c r="AM64" s="525"/>
      <c r="AN64" s="525"/>
      <c r="AO64" s="525"/>
      <c r="AP64" s="525"/>
      <c r="AQ64" s="525"/>
      <c r="AR64" s="525"/>
      <c r="AS64" s="525"/>
      <c r="AT64" s="525"/>
    </row>
    <row r="65" spans="1:46">
      <c r="A65" s="180" t="str">
        <f>$C$63&amp;$B$64&amp;C65</f>
        <v>Accelerated GreenDomestic heat</v>
      </c>
      <c r="C65" s="180" t="s">
        <v>806</v>
      </c>
      <c r="D65" s="180">
        <v>683.10906051041047</v>
      </c>
      <c r="E65" s="180">
        <v>703.73902690478735</v>
      </c>
      <c r="F65" s="180">
        <v>720.36071715426476</v>
      </c>
      <c r="G65" s="180">
        <v>910.53284760967847</v>
      </c>
      <c r="H65" s="180">
        <v>1107.5846681666453</v>
      </c>
      <c r="I65" s="180">
        <v>1085.2791966999971</v>
      </c>
      <c r="J65" s="180">
        <v>1013.9293286967853</v>
      </c>
      <c r="K65" s="180">
        <v>1007.5206774957821</v>
      </c>
      <c r="M65" s="180"/>
      <c r="N65" s="180"/>
      <c r="O65" s="180"/>
      <c r="P65" s="180"/>
      <c r="Q65" s="180"/>
      <c r="R65" s="180"/>
      <c r="S65" s="180"/>
      <c r="T65" s="180"/>
      <c r="U65" s="180"/>
      <c r="V65" s="180"/>
      <c r="W65" s="180"/>
      <c r="X65" s="180"/>
      <c r="Z65" s="525"/>
      <c r="AA65" s="525"/>
      <c r="AB65" s="525"/>
      <c r="AC65" s="525"/>
      <c r="AD65" s="525"/>
      <c r="AE65" s="525"/>
      <c r="AF65" s="525"/>
      <c r="AG65" s="525"/>
      <c r="AH65" s="525"/>
      <c r="AI65" s="525"/>
      <c r="AJ65" s="525"/>
      <c r="AK65" s="525"/>
      <c r="AL65" s="525"/>
      <c r="AM65" s="525"/>
      <c r="AN65" s="525"/>
      <c r="AO65" s="525"/>
      <c r="AP65" s="525"/>
      <c r="AQ65" s="525"/>
      <c r="AR65" s="525"/>
      <c r="AS65" s="525"/>
      <c r="AT65" s="525"/>
    </row>
    <row r="66" spans="1:46">
      <c r="A66" s="180" t="str">
        <f t="shared" ref="A66:A73" si="75">$C$63&amp;$B$64&amp;C66</f>
        <v>Accelerated GreenOther domestic</v>
      </c>
      <c r="C66" s="180" t="s">
        <v>807</v>
      </c>
      <c r="D66" s="180">
        <v>2154.3990054544697</v>
      </c>
      <c r="E66" s="180">
        <v>2177.1657399296614</v>
      </c>
      <c r="F66" s="180">
        <v>2199.9324744048531</v>
      </c>
      <c r="G66" s="180">
        <v>2222.6992088800448</v>
      </c>
      <c r="H66" s="180">
        <v>2231.3146662866266</v>
      </c>
      <c r="I66" s="180">
        <v>2225.6925728338074</v>
      </c>
      <c r="J66" s="180">
        <v>2201.9593230135292</v>
      </c>
      <c r="K66" s="180">
        <v>2163.6707463261096</v>
      </c>
      <c r="M66" s="180"/>
      <c r="N66" s="180"/>
      <c r="O66" s="180"/>
      <c r="P66" s="180"/>
      <c r="Q66" s="180"/>
      <c r="R66" s="180"/>
      <c r="S66" s="180"/>
      <c r="T66" s="180"/>
      <c r="U66" s="180"/>
      <c r="V66" s="180"/>
      <c r="W66" s="180"/>
      <c r="X66" s="180"/>
      <c r="Z66" s="525"/>
      <c r="AA66" s="525"/>
      <c r="AB66" s="525"/>
      <c r="AC66" s="525"/>
      <c r="AD66" s="525"/>
      <c r="AE66" s="525"/>
      <c r="AF66" s="525"/>
      <c r="AG66" s="525"/>
      <c r="AH66" s="525"/>
      <c r="AI66" s="525"/>
      <c r="AJ66" s="525"/>
      <c r="AK66" s="525"/>
      <c r="AL66" s="525"/>
      <c r="AM66" s="525"/>
      <c r="AN66" s="525"/>
      <c r="AO66" s="525"/>
      <c r="AP66" s="525"/>
      <c r="AQ66" s="525"/>
      <c r="AR66" s="525"/>
      <c r="AS66" s="525"/>
      <c r="AT66" s="525"/>
    </row>
    <row r="67" spans="1:46">
      <c r="A67" s="180" t="str">
        <f t="shared" si="75"/>
        <v>Accelerated GreenNon-domestic heat</v>
      </c>
      <c r="C67" s="180" t="s">
        <v>808</v>
      </c>
      <c r="D67" s="180">
        <v>708.32689732451422</v>
      </c>
      <c r="E67" s="180">
        <v>704.70075264639638</v>
      </c>
      <c r="F67" s="180">
        <v>700.23176558092371</v>
      </c>
      <c r="G67" s="180">
        <v>650.82850179698778</v>
      </c>
      <c r="H67" s="180">
        <v>590.7519221814631</v>
      </c>
      <c r="I67" s="180">
        <v>561.43882208283094</v>
      </c>
      <c r="J67" s="180">
        <v>522.28161355963789</v>
      </c>
      <c r="K67" s="180">
        <v>517.62587133952502</v>
      </c>
      <c r="M67" s="180"/>
      <c r="N67" s="180"/>
      <c r="O67" s="180"/>
      <c r="P67" s="180"/>
      <c r="Q67" s="180"/>
      <c r="R67" s="180"/>
      <c r="S67" s="180"/>
      <c r="T67" s="180"/>
      <c r="U67" s="180"/>
      <c r="V67" s="180"/>
      <c r="W67" s="180"/>
      <c r="X67" s="180"/>
      <c r="Z67" s="525"/>
      <c r="AA67" s="525"/>
      <c r="AB67" s="525"/>
      <c r="AC67" s="525"/>
      <c r="AD67" s="525"/>
      <c r="AE67" s="525"/>
      <c r="AF67" s="525"/>
      <c r="AG67" s="525"/>
      <c r="AH67" s="525"/>
      <c r="AI67" s="525"/>
      <c r="AJ67" s="525"/>
      <c r="AK67" s="525"/>
      <c r="AL67" s="525"/>
      <c r="AM67" s="525"/>
      <c r="AN67" s="525"/>
      <c r="AO67" s="525"/>
      <c r="AP67" s="525"/>
      <c r="AQ67" s="525"/>
      <c r="AR67" s="525"/>
      <c r="AS67" s="525"/>
      <c r="AT67" s="525"/>
    </row>
    <row r="68" spans="1:46">
      <c r="A68" s="180" t="str">
        <f t="shared" si="75"/>
        <v>Accelerated GreenOther non-domestic</v>
      </c>
      <c r="C68" s="180" t="s">
        <v>809</v>
      </c>
      <c r="D68" s="180">
        <v>4308.1139743073154</v>
      </c>
      <c r="E68" s="180">
        <v>4326.1597181866182</v>
      </c>
      <c r="F68" s="180">
        <v>4344.2054620659228</v>
      </c>
      <c r="G68" s="180">
        <v>4362.2512059452247</v>
      </c>
      <c r="H68" s="180">
        <v>4369.0804078054052</v>
      </c>
      <c r="I68" s="180">
        <v>4364.6951902817691</v>
      </c>
      <c r="J68" s="180">
        <v>4348.9840933318737</v>
      </c>
      <c r="K68" s="180">
        <v>4321.9593347625023</v>
      </c>
      <c r="M68" s="180"/>
      <c r="N68" s="180"/>
      <c r="O68" s="180"/>
      <c r="P68" s="180"/>
      <c r="Q68" s="180"/>
      <c r="R68" s="180"/>
      <c r="S68" s="180"/>
      <c r="T68" s="180"/>
      <c r="U68" s="180"/>
      <c r="V68" s="180"/>
      <c r="W68" s="180"/>
      <c r="X68" s="180"/>
      <c r="Z68" s="525"/>
      <c r="AA68" s="525"/>
      <c r="AB68" s="525"/>
      <c r="AC68" s="525"/>
      <c r="AD68" s="525"/>
      <c r="AE68" s="525"/>
      <c r="AF68" s="525"/>
      <c r="AG68" s="525"/>
      <c r="AH68" s="525"/>
      <c r="AI68" s="525"/>
      <c r="AJ68" s="525"/>
      <c r="AK68" s="525"/>
      <c r="AL68" s="525"/>
      <c r="AM68" s="525"/>
      <c r="AN68" s="525"/>
      <c r="AO68" s="525"/>
      <c r="AP68" s="525"/>
      <c r="AQ68" s="525"/>
      <c r="AR68" s="525"/>
      <c r="AS68" s="525"/>
      <c r="AT68" s="525"/>
    </row>
    <row r="69" spans="1:46">
      <c r="A69" s="180" t="str">
        <f t="shared" si="75"/>
        <v>Accelerated GreenElectric vehicles</v>
      </c>
      <c r="C69" s="180" t="s">
        <v>810</v>
      </c>
      <c r="D69" s="180">
        <v>6.6674057900782211</v>
      </c>
      <c r="E69" s="180">
        <v>15.049662680435414</v>
      </c>
      <c r="F69" s="180">
        <v>68.551371892928231</v>
      </c>
      <c r="G69" s="180">
        <v>160.59962684933001</v>
      </c>
      <c r="H69" s="180">
        <v>249.4921686528902</v>
      </c>
      <c r="I69" s="180">
        <v>300.62155038477374</v>
      </c>
      <c r="J69" s="180">
        <v>316.56031442025693</v>
      </c>
      <c r="K69" s="180">
        <v>331.69602402033678</v>
      </c>
      <c r="M69" s="180"/>
      <c r="N69" s="180"/>
      <c r="O69" s="180"/>
      <c r="P69" s="180"/>
      <c r="Q69" s="180"/>
      <c r="R69" s="180"/>
      <c r="S69" s="180"/>
      <c r="T69" s="180"/>
      <c r="U69" s="180"/>
      <c r="V69" s="180"/>
      <c r="W69" s="180"/>
      <c r="X69" s="180"/>
      <c r="Z69" s="525"/>
      <c r="AA69" s="525"/>
      <c r="AB69" s="525"/>
      <c r="AC69" s="525"/>
      <c r="AD69" s="525"/>
      <c r="AE69" s="525"/>
      <c r="AF69" s="525"/>
      <c r="AG69" s="525"/>
      <c r="AH69" s="525"/>
      <c r="AI69" s="525"/>
      <c r="AJ69" s="525"/>
      <c r="AK69" s="525"/>
      <c r="AL69" s="525"/>
      <c r="AM69" s="525"/>
      <c r="AN69" s="525"/>
      <c r="AO69" s="525"/>
      <c r="AP69" s="525"/>
      <c r="AQ69" s="525"/>
      <c r="AR69" s="525"/>
      <c r="AS69" s="525"/>
      <c r="AT69" s="525"/>
    </row>
    <row r="70" spans="1:46">
      <c r="A70" s="180" t="str">
        <f t="shared" si="75"/>
        <v>Accelerated GreenHydrogen vehicles</v>
      </c>
      <c r="C70" s="180" t="s">
        <v>811</v>
      </c>
      <c r="D70" s="180">
        <v>0</v>
      </c>
      <c r="E70" s="180">
        <v>0</v>
      </c>
      <c r="F70" s="180">
        <v>0</v>
      </c>
      <c r="G70" s="180">
        <v>0</v>
      </c>
      <c r="H70" s="180">
        <v>0</v>
      </c>
      <c r="I70" s="180">
        <v>0</v>
      </c>
      <c r="J70" s="180">
        <v>0</v>
      </c>
      <c r="K70" s="180">
        <v>0</v>
      </c>
      <c r="M70" s="180"/>
      <c r="N70" s="180"/>
      <c r="O70" s="180"/>
      <c r="P70" s="180"/>
      <c r="Q70" s="180"/>
      <c r="R70" s="180"/>
      <c r="S70" s="180"/>
      <c r="T70" s="180"/>
      <c r="U70" s="180"/>
      <c r="V70" s="180"/>
      <c r="W70" s="180"/>
      <c r="X70" s="180"/>
      <c r="Z70" s="525"/>
      <c r="AA70" s="525"/>
      <c r="AB70" s="525"/>
      <c r="AC70" s="525"/>
      <c r="AD70" s="525"/>
      <c r="AE70" s="525"/>
      <c r="AF70" s="525"/>
      <c r="AG70" s="525"/>
      <c r="AH70" s="525"/>
      <c r="AI70" s="525"/>
      <c r="AJ70" s="525"/>
      <c r="AK70" s="525"/>
      <c r="AL70" s="525"/>
      <c r="AM70" s="525"/>
      <c r="AN70" s="525"/>
      <c r="AO70" s="525"/>
      <c r="AP70" s="525"/>
      <c r="AQ70" s="525"/>
      <c r="AR70" s="525"/>
      <c r="AS70" s="525"/>
      <c r="AT70" s="525"/>
    </row>
    <row r="71" spans="1:46">
      <c r="A71" s="180" t="str">
        <f t="shared" si="75"/>
        <v>Accelerated GreenUnderground, rail, DLR</v>
      </c>
      <c r="C71" s="180" t="s">
        <v>812</v>
      </c>
      <c r="D71" s="180">
        <v>12.074046466723365</v>
      </c>
      <c r="E71" s="180">
        <v>13.908313193369827</v>
      </c>
      <c r="F71" s="180">
        <v>14.14463017921142</v>
      </c>
      <c r="G71" s="180">
        <v>14.118543000946417</v>
      </c>
      <c r="H71" s="180">
        <v>16.229239667576774</v>
      </c>
      <c r="I71" s="180">
        <v>18.339936334207135</v>
      </c>
      <c r="J71" s="180">
        <v>18.339936334207135</v>
      </c>
      <c r="K71" s="180">
        <v>18.339936334207135</v>
      </c>
      <c r="M71" s="180"/>
      <c r="N71" s="180"/>
      <c r="O71" s="180"/>
      <c r="P71" s="180"/>
      <c r="Q71" s="180"/>
      <c r="R71" s="180"/>
      <c r="S71" s="180"/>
      <c r="T71" s="180"/>
      <c r="U71" s="180"/>
      <c r="V71" s="180"/>
      <c r="W71" s="180"/>
      <c r="X71" s="180"/>
      <c r="Z71" s="525"/>
      <c r="AA71" s="525"/>
      <c r="AB71" s="525"/>
      <c r="AC71" s="525"/>
      <c r="AD71" s="525"/>
      <c r="AE71" s="525"/>
      <c r="AF71" s="525"/>
      <c r="AG71" s="525"/>
      <c r="AH71" s="525"/>
      <c r="AI71" s="525"/>
      <c r="AJ71" s="525"/>
      <c r="AK71" s="525"/>
      <c r="AL71" s="525"/>
      <c r="AM71" s="525"/>
      <c r="AN71" s="525"/>
      <c r="AO71" s="525"/>
      <c r="AP71" s="525"/>
      <c r="AQ71" s="525"/>
      <c r="AR71" s="525"/>
      <c r="AS71" s="525"/>
      <c r="AT71" s="525"/>
    </row>
    <row r="72" spans="1:46">
      <c r="A72" s="180" t="str">
        <f t="shared" si="75"/>
        <v>Accelerated GreenDH baseload heat pumps</v>
      </c>
      <c r="C72" s="180" t="s">
        <v>813</v>
      </c>
      <c r="D72" s="180">
        <v>0</v>
      </c>
      <c r="E72" s="180">
        <v>0</v>
      </c>
      <c r="F72" s="180">
        <v>0</v>
      </c>
      <c r="G72" s="180">
        <v>0</v>
      </c>
      <c r="H72" s="180">
        <v>0</v>
      </c>
      <c r="I72" s="180">
        <v>0</v>
      </c>
      <c r="J72" s="180">
        <v>0</v>
      </c>
      <c r="K72" s="180">
        <v>0</v>
      </c>
      <c r="M72" s="180"/>
      <c r="N72" s="180"/>
      <c r="O72" s="180"/>
      <c r="P72" s="180"/>
      <c r="Q72" s="180"/>
      <c r="R72" s="180"/>
      <c r="S72" s="180"/>
      <c r="T72" s="180"/>
      <c r="U72" s="180"/>
      <c r="V72" s="180"/>
      <c r="W72" s="180"/>
      <c r="X72" s="180"/>
      <c r="Z72" s="525"/>
      <c r="AA72" s="525"/>
      <c r="AB72" s="525"/>
      <c r="AC72" s="525"/>
      <c r="AD72" s="525"/>
      <c r="AE72" s="525"/>
      <c r="AF72" s="525"/>
      <c r="AG72" s="525"/>
      <c r="AH72" s="525"/>
      <c r="AI72" s="525"/>
      <c r="AJ72" s="525"/>
      <c r="AK72" s="525"/>
      <c r="AL72" s="525"/>
      <c r="AM72" s="525"/>
      <c r="AN72" s="525"/>
      <c r="AO72" s="525"/>
      <c r="AP72" s="525"/>
      <c r="AQ72" s="525"/>
      <c r="AR72" s="525"/>
      <c r="AS72" s="525"/>
      <c r="AT72" s="525"/>
    </row>
    <row r="73" spans="1:46">
      <c r="A73" s="180" t="str">
        <f t="shared" si="75"/>
        <v>Accelerated GreenDH peaking heat pumps</v>
      </c>
      <c r="C73" s="180" t="s">
        <v>814</v>
      </c>
      <c r="D73" s="180">
        <v>0</v>
      </c>
      <c r="E73" s="180">
        <v>0</v>
      </c>
      <c r="F73" s="180">
        <v>0</v>
      </c>
      <c r="G73" s="180">
        <v>33.98271433767178</v>
      </c>
      <c r="H73" s="180">
        <v>76.650467052895067</v>
      </c>
      <c r="I73" s="180">
        <v>137.57024133654892</v>
      </c>
      <c r="J73" s="180">
        <v>217.57904559865096</v>
      </c>
      <c r="K73" s="180">
        <v>226.5682032691586</v>
      </c>
      <c r="M73" s="180"/>
      <c r="N73" s="180"/>
      <c r="O73" s="180"/>
      <c r="P73" s="180"/>
      <c r="Q73" s="180"/>
      <c r="R73" s="180"/>
      <c r="S73" s="180"/>
      <c r="T73" s="180"/>
      <c r="U73" s="180"/>
      <c r="V73" s="180"/>
      <c r="W73" s="180"/>
      <c r="X73" s="180"/>
      <c r="Z73" s="525"/>
      <c r="AA73" s="525"/>
      <c r="AB73" s="525"/>
      <c r="AC73" s="525"/>
      <c r="AD73" s="525"/>
      <c r="AE73" s="525"/>
      <c r="AF73" s="525"/>
      <c r="AG73" s="525"/>
      <c r="AH73" s="525"/>
      <c r="AI73" s="525"/>
      <c r="AJ73" s="525"/>
      <c r="AK73" s="525"/>
      <c r="AL73" s="525"/>
      <c r="AM73" s="525"/>
      <c r="AN73" s="525"/>
      <c r="AO73" s="525"/>
      <c r="AP73" s="525"/>
      <c r="AQ73" s="525"/>
      <c r="AR73" s="525"/>
      <c r="AS73" s="525"/>
      <c r="AT73" s="525"/>
    </row>
    <row r="74" spans="1:46">
      <c r="M74" s="180"/>
      <c r="N74" s="180"/>
      <c r="O74" s="180"/>
      <c r="P74" s="180"/>
      <c r="Q74" s="180"/>
      <c r="R74" s="180"/>
      <c r="S74" s="180"/>
      <c r="T74" s="180"/>
      <c r="U74" s="180"/>
      <c r="V74" s="180"/>
      <c r="W74" s="180"/>
      <c r="X74" s="180"/>
      <c r="Z74" s="525"/>
      <c r="AA74" s="525"/>
      <c r="AB74" s="525"/>
      <c r="AC74" s="525"/>
      <c r="AD74" s="525"/>
      <c r="AE74" s="525"/>
      <c r="AF74" s="525"/>
      <c r="AG74" s="525"/>
      <c r="AH74" s="525"/>
      <c r="AI74" s="525"/>
      <c r="AJ74" s="525"/>
      <c r="AK74" s="525"/>
      <c r="AL74" s="525"/>
      <c r="AM74" s="525"/>
      <c r="AN74" s="525"/>
      <c r="AO74" s="525"/>
      <c r="AP74" s="525"/>
      <c r="AQ74" s="525"/>
      <c r="AR74" s="525"/>
      <c r="AS74" s="525"/>
      <c r="AT74" s="525"/>
    </row>
    <row r="75" spans="1:46">
      <c r="M75" s="180"/>
      <c r="N75" s="180"/>
      <c r="O75" s="180"/>
      <c r="P75" s="180"/>
      <c r="Q75" s="180"/>
      <c r="R75" s="180"/>
      <c r="S75" s="180"/>
      <c r="T75" s="180"/>
      <c r="U75" s="180"/>
      <c r="V75" s="180"/>
      <c r="W75" s="180"/>
      <c r="X75" s="180"/>
      <c r="Z75" s="525"/>
      <c r="AA75" s="525"/>
      <c r="AB75" s="525"/>
      <c r="AC75" s="525"/>
      <c r="AD75" s="525"/>
      <c r="AE75" s="525"/>
      <c r="AF75" s="525"/>
      <c r="AG75" s="525"/>
      <c r="AH75" s="525"/>
      <c r="AI75" s="525"/>
      <c r="AJ75" s="525"/>
      <c r="AK75" s="525"/>
      <c r="AL75" s="525"/>
      <c r="AM75" s="525"/>
      <c r="AN75" s="525"/>
      <c r="AO75" s="525"/>
      <c r="AP75" s="525"/>
      <c r="AQ75" s="525"/>
      <c r="AR75" s="525"/>
      <c r="AS75" s="525"/>
      <c r="AT75" s="525"/>
    </row>
    <row r="76" spans="1:46">
      <c r="M76" s="180"/>
      <c r="N76" s="180"/>
      <c r="O76" s="180"/>
      <c r="P76" s="180"/>
      <c r="Q76" s="180"/>
      <c r="R76" s="180"/>
      <c r="S76" s="180"/>
      <c r="T76" s="180"/>
      <c r="U76" s="180"/>
      <c r="V76" s="180"/>
      <c r="W76" s="180"/>
      <c r="X76" s="180"/>
      <c r="Z76" s="525"/>
      <c r="AA76" s="525"/>
      <c r="AB76" s="525"/>
      <c r="AC76" s="525"/>
      <c r="AD76" s="525"/>
      <c r="AE76" s="525"/>
      <c r="AF76" s="525"/>
      <c r="AG76" s="525"/>
      <c r="AH76" s="525"/>
      <c r="AI76" s="525"/>
      <c r="AJ76" s="525"/>
      <c r="AK76" s="525"/>
      <c r="AL76" s="525"/>
      <c r="AM76" s="525"/>
      <c r="AN76" s="525"/>
      <c r="AO76" s="525"/>
      <c r="AP76" s="525"/>
      <c r="AQ76" s="525"/>
      <c r="AR76" s="525"/>
      <c r="AS76" s="525"/>
      <c r="AT76" s="525"/>
    </row>
    <row r="77" spans="1:46">
      <c r="M77" s="180"/>
      <c r="N77" s="180"/>
      <c r="O77" s="180"/>
      <c r="P77" s="180"/>
      <c r="Q77" s="180"/>
      <c r="R77" s="180"/>
      <c r="S77" s="180"/>
      <c r="T77" s="180"/>
      <c r="U77" s="180"/>
      <c r="V77" s="180"/>
      <c r="W77" s="180"/>
      <c r="X77" s="180"/>
      <c r="Z77" s="525"/>
      <c r="AA77" s="525"/>
      <c r="AB77" s="525"/>
      <c r="AC77" s="525"/>
      <c r="AD77" s="525"/>
      <c r="AE77" s="525"/>
      <c r="AF77" s="525"/>
      <c r="AG77" s="525"/>
      <c r="AH77" s="525"/>
      <c r="AI77" s="525"/>
      <c r="AJ77" s="525"/>
      <c r="AK77" s="525"/>
      <c r="AL77" s="525"/>
      <c r="AM77" s="525"/>
      <c r="AN77" s="525"/>
      <c r="AO77" s="525"/>
      <c r="AP77" s="525"/>
      <c r="AQ77" s="525"/>
      <c r="AR77" s="525"/>
      <c r="AS77" s="525"/>
      <c r="AT77" s="525"/>
    </row>
    <row r="78" spans="1:46">
      <c r="M78" s="180"/>
      <c r="N78" s="180"/>
      <c r="O78" s="180"/>
      <c r="P78" s="180"/>
      <c r="Q78" s="180"/>
      <c r="R78" s="180"/>
      <c r="S78" s="180"/>
      <c r="T78" s="180"/>
      <c r="U78" s="180"/>
      <c r="V78" s="180"/>
      <c r="W78" s="180"/>
      <c r="X78" s="180"/>
      <c r="Z78" s="525"/>
      <c r="AA78" s="525"/>
      <c r="AB78" s="525"/>
      <c r="AC78" s="525"/>
      <c r="AD78" s="525"/>
      <c r="AE78" s="525"/>
      <c r="AF78" s="525"/>
      <c r="AG78" s="525"/>
      <c r="AH78" s="525"/>
      <c r="AI78" s="525"/>
      <c r="AJ78" s="525"/>
      <c r="AK78" s="525"/>
      <c r="AL78" s="525"/>
      <c r="AM78" s="525"/>
      <c r="AN78" s="525"/>
      <c r="AO78" s="525"/>
      <c r="AP78" s="525"/>
      <c r="AQ78" s="525"/>
      <c r="AR78" s="525"/>
      <c r="AS78" s="525"/>
      <c r="AT78" s="525"/>
    </row>
    <row r="79" spans="1:46">
      <c r="M79" s="180"/>
      <c r="N79" s="180"/>
      <c r="O79" s="180"/>
      <c r="P79" s="180"/>
      <c r="Q79" s="180"/>
      <c r="R79" s="180"/>
      <c r="S79" s="180"/>
      <c r="T79" s="180"/>
      <c r="U79" s="180"/>
      <c r="V79" s="180"/>
      <c r="W79" s="180"/>
      <c r="X79" s="180"/>
      <c r="Z79" s="525"/>
      <c r="AA79" s="525"/>
      <c r="AB79" s="525"/>
      <c r="AC79" s="525"/>
      <c r="AD79" s="525"/>
      <c r="AE79" s="525"/>
      <c r="AF79" s="525"/>
      <c r="AG79" s="525"/>
      <c r="AH79" s="525"/>
      <c r="AI79" s="525"/>
      <c r="AJ79" s="525"/>
      <c r="AK79" s="525"/>
      <c r="AL79" s="525"/>
      <c r="AM79" s="525"/>
      <c r="AN79" s="525"/>
      <c r="AO79" s="525"/>
      <c r="AP79" s="525"/>
      <c r="AQ79" s="525"/>
      <c r="AR79" s="525"/>
      <c r="AS79" s="525"/>
      <c r="AT79" s="525"/>
    </row>
    <row r="80" spans="1:46">
      <c r="M80" s="180"/>
      <c r="N80" s="180"/>
      <c r="O80" s="180"/>
      <c r="P80" s="180"/>
      <c r="Q80" s="180"/>
      <c r="R80" s="180"/>
      <c r="S80" s="180"/>
      <c r="T80" s="180"/>
      <c r="U80" s="180"/>
      <c r="V80" s="180"/>
      <c r="W80" s="180"/>
      <c r="X80" s="180"/>
      <c r="Z80" s="525"/>
      <c r="AA80" s="525"/>
      <c r="AB80" s="525"/>
      <c r="AC80" s="525"/>
      <c r="AD80" s="525"/>
      <c r="AE80" s="525"/>
      <c r="AF80" s="525"/>
      <c r="AG80" s="525"/>
      <c r="AH80" s="525"/>
      <c r="AI80" s="525"/>
      <c r="AJ80" s="525"/>
      <c r="AK80" s="525"/>
      <c r="AL80" s="525"/>
      <c r="AM80" s="525"/>
      <c r="AN80" s="525"/>
      <c r="AO80" s="525"/>
      <c r="AP80" s="525"/>
      <c r="AQ80" s="525"/>
      <c r="AR80" s="525"/>
      <c r="AS80" s="525"/>
      <c r="AT80" s="525"/>
    </row>
    <row r="81" spans="13:46">
      <c r="M81" s="180"/>
      <c r="N81" s="180"/>
      <c r="O81" s="180"/>
      <c r="P81" s="180"/>
      <c r="Q81" s="180"/>
      <c r="R81" s="180"/>
      <c r="S81" s="180"/>
      <c r="T81" s="180"/>
      <c r="U81" s="180"/>
      <c r="V81" s="180"/>
      <c r="W81" s="180"/>
      <c r="X81" s="180"/>
      <c r="Z81" s="525"/>
      <c r="AA81" s="525"/>
      <c r="AB81" s="525"/>
      <c r="AC81" s="525"/>
      <c r="AD81" s="525"/>
      <c r="AE81" s="525"/>
      <c r="AF81" s="525"/>
      <c r="AG81" s="525"/>
      <c r="AH81" s="525"/>
      <c r="AI81" s="525"/>
      <c r="AJ81" s="525"/>
      <c r="AK81" s="525"/>
      <c r="AL81" s="525"/>
      <c r="AM81" s="525"/>
      <c r="AN81" s="525"/>
      <c r="AO81" s="525"/>
      <c r="AP81" s="525"/>
      <c r="AQ81" s="525"/>
      <c r="AR81" s="525"/>
      <c r="AS81" s="525"/>
      <c r="AT81" s="525"/>
    </row>
    <row r="82" spans="13:46">
      <c r="M82" s="180"/>
      <c r="N82" s="180"/>
      <c r="O82" s="180"/>
      <c r="P82" s="180"/>
      <c r="Q82" s="180"/>
      <c r="R82" s="180"/>
      <c r="S82" s="180"/>
      <c r="T82" s="180"/>
      <c r="U82" s="180"/>
      <c r="V82" s="180"/>
      <c r="W82" s="180"/>
      <c r="X82" s="180"/>
      <c r="Z82" s="525"/>
      <c r="AA82" s="525"/>
      <c r="AB82" s="525"/>
      <c r="AC82" s="525"/>
      <c r="AD82" s="525"/>
      <c r="AE82" s="525"/>
      <c r="AF82" s="525"/>
      <c r="AG82" s="525"/>
      <c r="AH82" s="525"/>
      <c r="AI82" s="525"/>
      <c r="AJ82" s="525"/>
      <c r="AK82" s="525"/>
      <c r="AL82" s="525"/>
      <c r="AM82" s="525"/>
      <c r="AN82" s="525"/>
      <c r="AO82" s="525"/>
      <c r="AP82" s="525"/>
      <c r="AQ82" s="525"/>
      <c r="AR82" s="525"/>
      <c r="AS82" s="525"/>
      <c r="AT82" s="525"/>
    </row>
    <row r="83" spans="13:46">
      <c r="M83" s="180"/>
      <c r="N83" s="180"/>
      <c r="O83" s="180"/>
      <c r="P83" s="180"/>
      <c r="Q83" s="180"/>
      <c r="R83" s="180"/>
      <c r="S83" s="180"/>
      <c r="T83" s="180"/>
      <c r="U83" s="180"/>
      <c r="V83" s="180"/>
      <c r="W83" s="180"/>
      <c r="X83" s="180"/>
      <c r="Z83" s="525"/>
      <c r="AA83" s="525"/>
      <c r="AB83" s="525"/>
      <c r="AC83" s="525"/>
      <c r="AD83" s="525"/>
      <c r="AE83" s="525"/>
      <c r="AF83" s="525"/>
      <c r="AG83" s="525"/>
      <c r="AH83" s="525"/>
      <c r="AI83" s="525"/>
      <c r="AJ83" s="525"/>
      <c r="AK83" s="525"/>
      <c r="AL83" s="525"/>
      <c r="AM83" s="525"/>
      <c r="AN83" s="525"/>
      <c r="AO83" s="525"/>
      <c r="AP83" s="525"/>
      <c r="AQ83" s="525"/>
      <c r="AR83" s="525"/>
      <c r="AS83" s="525"/>
      <c r="AT83" s="525"/>
    </row>
    <row r="84" spans="13:46">
      <c r="M84" s="180"/>
      <c r="N84" s="180"/>
      <c r="O84" s="180"/>
      <c r="P84" s="180"/>
      <c r="Q84" s="180"/>
      <c r="R84" s="180"/>
      <c r="S84" s="180"/>
      <c r="T84" s="180"/>
      <c r="U84" s="180"/>
      <c r="V84" s="180"/>
      <c r="W84" s="180"/>
      <c r="X84" s="180"/>
      <c r="Z84" s="525"/>
      <c r="AA84" s="525"/>
      <c r="AB84" s="525"/>
      <c r="AC84" s="525"/>
      <c r="AD84" s="525"/>
      <c r="AE84" s="525"/>
      <c r="AF84" s="525"/>
      <c r="AG84" s="525"/>
      <c r="AH84" s="525"/>
      <c r="AI84" s="525"/>
      <c r="AJ84" s="525"/>
      <c r="AK84" s="525"/>
      <c r="AL84" s="525"/>
      <c r="AM84" s="525"/>
      <c r="AN84" s="525"/>
      <c r="AO84" s="525"/>
      <c r="AP84" s="525"/>
      <c r="AQ84" s="525"/>
      <c r="AR84" s="525"/>
      <c r="AS84" s="525"/>
      <c r="AT84" s="525"/>
    </row>
    <row r="85" spans="13:46">
      <c r="M85" s="180"/>
      <c r="N85" s="180"/>
      <c r="O85" s="180"/>
      <c r="P85" s="180"/>
      <c r="Q85" s="180"/>
      <c r="R85" s="180"/>
      <c r="S85" s="180"/>
      <c r="T85" s="180"/>
      <c r="U85" s="180"/>
      <c r="V85" s="180"/>
      <c r="W85" s="180"/>
      <c r="X85" s="180"/>
      <c r="Z85" s="525"/>
      <c r="AA85" s="525"/>
      <c r="AB85" s="525"/>
      <c r="AC85" s="525"/>
      <c r="AD85" s="525"/>
      <c r="AE85" s="525"/>
      <c r="AF85" s="525"/>
      <c r="AG85" s="525"/>
      <c r="AH85" s="525"/>
      <c r="AI85" s="525"/>
      <c r="AJ85" s="525"/>
      <c r="AK85" s="525"/>
      <c r="AL85" s="525"/>
      <c r="AM85" s="525"/>
      <c r="AN85" s="525"/>
      <c r="AO85" s="525"/>
      <c r="AP85" s="525"/>
      <c r="AQ85" s="525"/>
      <c r="AR85" s="525"/>
      <c r="AS85" s="525"/>
      <c r="AT85" s="525"/>
    </row>
    <row r="86" spans="13:46">
      <c r="M86" s="180"/>
      <c r="N86" s="180"/>
      <c r="O86" s="180"/>
      <c r="P86" s="180"/>
      <c r="Q86" s="180"/>
      <c r="R86" s="180"/>
      <c r="S86" s="180"/>
      <c r="T86" s="180"/>
      <c r="U86" s="180"/>
      <c r="V86" s="180"/>
      <c r="W86" s="180"/>
      <c r="X86" s="180"/>
      <c r="Z86" s="525"/>
      <c r="AA86" s="525"/>
      <c r="AB86" s="525"/>
      <c r="AC86" s="525"/>
      <c r="AD86" s="525"/>
      <c r="AE86" s="525"/>
      <c r="AF86" s="525"/>
      <c r="AG86" s="525"/>
      <c r="AH86" s="525"/>
      <c r="AI86" s="525"/>
      <c r="AJ86" s="525"/>
      <c r="AK86" s="525"/>
      <c r="AL86" s="525"/>
      <c r="AM86" s="525"/>
      <c r="AN86" s="525"/>
      <c r="AO86" s="525"/>
      <c r="AP86" s="525"/>
      <c r="AQ86" s="525"/>
      <c r="AR86" s="525"/>
      <c r="AS86" s="525"/>
      <c r="AT86" s="525"/>
    </row>
    <row r="87" spans="13:46">
      <c r="M87" s="180"/>
      <c r="N87" s="180"/>
      <c r="O87" s="180"/>
      <c r="P87" s="180"/>
      <c r="Q87" s="180"/>
      <c r="R87" s="180"/>
      <c r="S87" s="180"/>
      <c r="T87" s="180"/>
      <c r="U87" s="180"/>
      <c r="V87" s="180"/>
      <c r="W87" s="180"/>
      <c r="X87" s="180"/>
      <c r="Z87" s="180"/>
      <c r="AA87" s="180"/>
      <c r="AB87" s="180"/>
      <c r="AC87" s="180"/>
      <c r="AD87" s="180"/>
      <c r="AE87" s="180"/>
      <c r="AF87" s="180"/>
      <c r="AG87" s="180"/>
      <c r="AH87" s="180"/>
      <c r="AI87" s="180"/>
      <c r="AJ87" s="180"/>
      <c r="AK87" s="180"/>
      <c r="AL87" s="180"/>
      <c r="AM87" s="180"/>
      <c r="AN87" s="180"/>
      <c r="AO87" s="180"/>
      <c r="AP87" s="180"/>
      <c r="AQ87" s="180"/>
      <c r="AR87" s="180"/>
      <c r="AS87" s="180"/>
      <c r="AT87" s="180"/>
    </row>
    <row r="88" spans="13:46">
      <c r="M88" s="180"/>
      <c r="N88" s="180"/>
      <c r="O88" s="180"/>
      <c r="P88" s="180"/>
      <c r="Q88" s="180"/>
      <c r="R88" s="180"/>
      <c r="S88" s="180"/>
      <c r="T88" s="180"/>
      <c r="U88" s="180"/>
      <c r="V88" s="180"/>
      <c r="W88" s="180"/>
      <c r="X88" s="180"/>
      <c r="Z88" s="180"/>
      <c r="AA88" s="180"/>
      <c r="AB88" s="180"/>
      <c r="AC88" s="180"/>
      <c r="AD88" s="180"/>
      <c r="AE88" s="180"/>
      <c r="AF88" s="180"/>
      <c r="AG88" s="180"/>
      <c r="AH88" s="180"/>
      <c r="AI88" s="180"/>
      <c r="AJ88" s="180"/>
      <c r="AK88" s="180"/>
      <c r="AL88" s="180"/>
      <c r="AM88" s="180"/>
      <c r="AN88" s="180"/>
      <c r="AO88" s="180"/>
      <c r="AP88" s="180"/>
      <c r="AQ88" s="180"/>
      <c r="AR88" s="180"/>
      <c r="AS88" s="180"/>
      <c r="AT88" s="180"/>
    </row>
    <row r="89" spans="13:46">
      <c r="M89" s="180"/>
      <c r="N89" s="180"/>
      <c r="O89" s="180"/>
      <c r="P89" s="180"/>
      <c r="Q89" s="180"/>
      <c r="R89" s="180"/>
      <c r="S89" s="180"/>
      <c r="T89" s="180"/>
      <c r="U89" s="180"/>
      <c r="V89" s="180"/>
      <c r="W89" s="180"/>
      <c r="X89" s="180"/>
      <c r="Z89" s="180"/>
      <c r="AA89" s="180"/>
      <c r="AB89" s="180"/>
      <c r="AC89" s="180"/>
      <c r="AD89" s="180"/>
      <c r="AE89" s="180"/>
      <c r="AF89" s="180"/>
      <c r="AG89" s="180"/>
      <c r="AH89" s="180"/>
      <c r="AI89" s="180"/>
      <c r="AJ89" s="180"/>
      <c r="AK89" s="180"/>
      <c r="AL89" s="180"/>
      <c r="AM89" s="180"/>
      <c r="AN89" s="180"/>
      <c r="AO89" s="180"/>
      <c r="AP89" s="180"/>
      <c r="AQ89" s="180"/>
      <c r="AR89" s="180"/>
      <c r="AS89" s="180"/>
      <c r="AT89" s="180"/>
    </row>
    <row r="90" spans="13:46">
      <c r="M90" s="180"/>
      <c r="N90" s="180"/>
      <c r="O90" s="180"/>
      <c r="P90" s="180"/>
      <c r="Q90" s="180"/>
      <c r="R90" s="180"/>
      <c r="S90" s="180"/>
      <c r="T90" s="180"/>
      <c r="U90" s="180"/>
      <c r="V90" s="180"/>
      <c r="W90" s="180"/>
      <c r="X90" s="180"/>
      <c r="Z90" s="180"/>
      <c r="AA90" s="180"/>
      <c r="AB90" s="180"/>
      <c r="AC90" s="180"/>
      <c r="AD90" s="180"/>
      <c r="AE90" s="180"/>
      <c r="AF90" s="180"/>
      <c r="AG90" s="180"/>
      <c r="AH90" s="180"/>
      <c r="AI90" s="180"/>
      <c r="AJ90" s="180"/>
      <c r="AK90" s="180"/>
      <c r="AL90" s="180"/>
      <c r="AM90" s="180"/>
      <c r="AN90" s="180"/>
      <c r="AO90" s="180"/>
      <c r="AP90" s="180"/>
      <c r="AQ90" s="180"/>
      <c r="AR90" s="180"/>
      <c r="AS90" s="180"/>
      <c r="AT90" s="180"/>
    </row>
    <row r="91" spans="13:46">
      <c r="M91" s="180"/>
      <c r="N91" s="180"/>
      <c r="O91" s="180"/>
      <c r="P91" s="180"/>
      <c r="Q91" s="180"/>
      <c r="R91" s="180"/>
      <c r="S91" s="180"/>
      <c r="T91" s="180"/>
      <c r="U91" s="180"/>
      <c r="V91" s="180"/>
      <c r="W91" s="180"/>
      <c r="X91" s="180"/>
      <c r="Z91" s="180"/>
      <c r="AA91" s="180"/>
      <c r="AB91" s="180"/>
      <c r="AC91" s="180"/>
      <c r="AD91" s="180"/>
      <c r="AE91" s="180"/>
      <c r="AF91" s="180"/>
      <c r="AG91" s="180"/>
      <c r="AH91" s="180"/>
      <c r="AI91" s="180"/>
      <c r="AJ91" s="180"/>
      <c r="AK91" s="180"/>
      <c r="AL91" s="180"/>
      <c r="AM91" s="180"/>
      <c r="AN91" s="180"/>
      <c r="AO91" s="180"/>
      <c r="AP91" s="180"/>
      <c r="AQ91" s="180"/>
      <c r="AR91" s="180"/>
      <c r="AS91" s="180"/>
      <c r="AT91" s="180"/>
    </row>
    <row r="92" spans="13:46">
      <c r="M92" s="180"/>
      <c r="N92" s="180"/>
      <c r="O92" s="180"/>
      <c r="P92" s="180"/>
      <c r="Q92" s="180"/>
      <c r="R92" s="180"/>
      <c r="S92" s="180"/>
      <c r="T92" s="180"/>
      <c r="U92" s="180"/>
      <c r="V92" s="180"/>
      <c r="W92" s="180"/>
      <c r="X92" s="180"/>
      <c r="Z92" s="180"/>
      <c r="AA92" s="180"/>
      <c r="AB92" s="180"/>
      <c r="AC92" s="180"/>
      <c r="AD92" s="180"/>
      <c r="AE92" s="180"/>
      <c r="AF92" s="180"/>
      <c r="AG92" s="180"/>
      <c r="AH92" s="180"/>
      <c r="AI92" s="180"/>
      <c r="AJ92" s="180"/>
      <c r="AK92" s="180"/>
      <c r="AL92" s="180"/>
      <c r="AM92" s="180"/>
      <c r="AN92" s="180"/>
      <c r="AO92" s="180"/>
      <c r="AP92" s="180"/>
      <c r="AQ92" s="180"/>
      <c r="AR92" s="180"/>
      <c r="AS92" s="180"/>
      <c r="AT92" s="180"/>
    </row>
    <row r="93" spans="13:46">
      <c r="Z93" s="180"/>
      <c r="AA93" s="180"/>
      <c r="AB93" s="180"/>
      <c r="AC93" s="180"/>
      <c r="AD93" s="180"/>
      <c r="AE93" s="180"/>
      <c r="AF93" s="180"/>
      <c r="AG93" s="180"/>
      <c r="AH93" s="180"/>
      <c r="AI93" s="180"/>
      <c r="AJ93" s="180"/>
      <c r="AK93" s="180"/>
      <c r="AL93" s="180"/>
      <c r="AM93" s="180"/>
      <c r="AN93" s="180"/>
      <c r="AO93" s="180"/>
      <c r="AP93" s="180"/>
      <c r="AQ93" s="180"/>
      <c r="AR93" s="180"/>
      <c r="AS93" s="180"/>
      <c r="AT93" s="180"/>
    </row>
    <row r="94" spans="13:46">
      <c r="Z94" s="180"/>
      <c r="AA94" s="180"/>
      <c r="AB94" s="180"/>
      <c r="AC94" s="180"/>
      <c r="AD94" s="180"/>
      <c r="AE94" s="180"/>
      <c r="AF94" s="180"/>
      <c r="AG94" s="180"/>
      <c r="AH94" s="180"/>
      <c r="AI94" s="180"/>
      <c r="AJ94" s="180"/>
      <c r="AK94" s="180"/>
      <c r="AL94" s="180"/>
      <c r="AM94" s="180"/>
      <c r="AN94" s="180"/>
      <c r="AO94" s="180"/>
      <c r="AP94" s="180"/>
      <c r="AQ94" s="180"/>
      <c r="AR94" s="180"/>
      <c r="AS94" s="180"/>
      <c r="AT94" s="180"/>
    </row>
    <row r="95" spans="13:46">
      <c r="Z95" s="180"/>
      <c r="AA95" s="180"/>
      <c r="AB95" s="180"/>
      <c r="AC95" s="180"/>
      <c r="AD95" s="180"/>
      <c r="AE95" s="180"/>
      <c r="AF95" s="180"/>
      <c r="AG95" s="180"/>
      <c r="AH95" s="180"/>
      <c r="AI95" s="180"/>
      <c r="AJ95" s="180"/>
      <c r="AK95" s="180"/>
      <c r="AL95" s="180"/>
      <c r="AM95" s="180"/>
      <c r="AN95" s="180"/>
      <c r="AO95" s="180"/>
      <c r="AP95" s="180"/>
      <c r="AQ95" s="180"/>
      <c r="AR95" s="180"/>
      <c r="AS95" s="180"/>
      <c r="AT95" s="180"/>
    </row>
    <row r="96" spans="13:46">
      <c r="Z96" s="180"/>
      <c r="AA96" s="180"/>
      <c r="AB96" s="180"/>
      <c r="AC96" s="180"/>
      <c r="AD96" s="180"/>
      <c r="AE96" s="180"/>
      <c r="AF96" s="180"/>
      <c r="AG96" s="180"/>
      <c r="AH96" s="180"/>
      <c r="AI96" s="180"/>
      <c r="AJ96" s="180"/>
      <c r="AK96" s="180"/>
      <c r="AL96" s="180"/>
      <c r="AM96" s="180"/>
      <c r="AN96" s="180"/>
      <c r="AO96" s="180"/>
      <c r="AP96" s="180"/>
      <c r="AQ96" s="180"/>
      <c r="AR96" s="180"/>
      <c r="AS96" s="180"/>
      <c r="AT96" s="180"/>
    </row>
    <row r="97" spans="26:46">
      <c r="Z97" s="180"/>
      <c r="AA97" s="180"/>
      <c r="AB97" s="180"/>
      <c r="AC97" s="180"/>
      <c r="AD97" s="180"/>
      <c r="AE97" s="180"/>
      <c r="AF97" s="180"/>
      <c r="AG97" s="180"/>
      <c r="AH97" s="180"/>
      <c r="AI97" s="180"/>
      <c r="AJ97" s="180"/>
      <c r="AK97" s="180"/>
      <c r="AL97" s="180"/>
      <c r="AM97" s="180"/>
      <c r="AN97" s="180"/>
      <c r="AO97" s="180"/>
      <c r="AP97" s="180"/>
      <c r="AQ97" s="180"/>
      <c r="AR97" s="180"/>
      <c r="AS97" s="180"/>
      <c r="AT97" s="180"/>
    </row>
    <row r="98" spans="26:46">
      <c r="Z98" s="180"/>
      <c r="AA98" s="180"/>
      <c r="AB98" s="180"/>
      <c r="AC98" s="180"/>
      <c r="AD98" s="180"/>
      <c r="AE98" s="180"/>
      <c r="AF98" s="180"/>
      <c r="AG98" s="180"/>
      <c r="AH98" s="180"/>
      <c r="AI98" s="180"/>
      <c r="AJ98" s="180"/>
      <c r="AK98" s="180"/>
      <c r="AL98" s="180"/>
      <c r="AM98" s="180"/>
      <c r="AN98" s="180"/>
      <c r="AO98" s="180"/>
      <c r="AP98" s="180"/>
      <c r="AQ98" s="180"/>
      <c r="AR98" s="180"/>
      <c r="AS98" s="180"/>
      <c r="AT98" s="180"/>
    </row>
    <row r="99" spans="26:46">
      <c r="Z99" s="180"/>
      <c r="AA99" s="180"/>
      <c r="AB99" s="180"/>
      <c r="AC99" s="180"/>
      <c r="AD99" s="180"/>
      <c r="AE99" s="180"/>
      <c r="AF99" s="180"/>
      <c r="AG99" s="180"/>
      <c r="AH99" s="180"/>
      <c r="AI99" s="180"/>
      <c r="AJ99" s="180"/>
      <c r="AK99" s="180"/>
      <c r="AL99" s="180"/>
      <c r="AM99" s="180"/>
      <c r="AN99" s="180"/>
      <c r="AO99" s="180"/>
      <c r="AP99" s="180"/>
      <c r="AQ99" s="180"/>
      <c r="AR99" s="180"/>
      <c r="AS99" s="180"/>
      <c r="AT99" s="180"/>
    </row>
    <row r="100" spans="26:46">
      <c r="Z100" s="180"/>
      <c r="AA100" s="180"/>
      <c r="AB100" s="180"/>
      <c r="AC100" s="180"/>
      <c r="AD100" s="180"/>
      <c r="AE100" s="180"/>
      <c r="AF100" s="180"/>
      <c r="AG100" s="180"/>
      <c r="AH100" s="180"/>
      <c r="AI100" s="180"/>
      <c r="AJ100" s="180"/>
      <c r="AK100" s="180"/>
      <c r="AL100" s="180"/>
      <c r="AM100" s="180"/>
      <c r="AN100" s="180"/>
      <c r="AO100" s="180"/>
      <c r="AP100" s="180"/>
      <c r="AQ100" s="180"/>
      <c r="AR100" s="180"/>
      <c r="AS100" s="180"/>
      <c r="AT100" s="180"/>
    </row>
    <row r="101" spans="26:46">
      <c r="Z101" s="180"/>
      <c r="AA101" s="180"/>
      <c r="AB101" s="180"/>
      <c r="AC101" s="180"/>
      <c r="AD101" s="180"/>
      <c r="AE101" s="180"/>
      <c r="AF101" s="180"/>
      <c r="AG101" s="180"/>
      <c r="AH101" s="180"/>
      <c r="AI101" s="180"/>
      <c r="AJ101" s="180"/>
      <c r="AK101" s="180"/>
      <c r="AL101" s="180"/>
      <c r="AM101" s="180"/>
      <c r="AN101" s="180"/>
      <c r="AO101" s="180"/>
      <c r="AP101" s="180"/>
      <c r="AQ101" s="180"/>
      <c r="AR101" s="180"/>
      <c r="AS101" s="180">
        <v>11.580329129981594</v>
      </c>
      <c r="AT101" s="180">
        <v>11.556557411475966</v>
      </c>
    </row>
    <row r="102" spans="26:46">
      <c r="Z102" s="180"/>
      <c r="AA102" s="180"/>
      <c r="AB102" s="180"/>
      <c r="AC102" s="180"/>
      <c r="AD102" s="180"/>
      <c r="AE102" s="180"/>
      <c r="AF102" s="180"/>
      <c r="AG102" s="180"/>
      <c r="AH102" s="180"/>
      <c r="AI102" s="180"/>
      <c r="AJ102" s="180"/>
      <c r="AK102" s="180"/>
      <c r="AL102" s="180"/>
      <c r="AM102" s="180"/>
      <c r="AN102" s="180"/>
      <c r="AO102" s="180"/>
      <c r="AP102" s="180"/>
      <c r="AQ102" s="180"/>
      <c r="AR102" s="180"/>
      <c r="AS102" s="180">
        <v>461.69281516603019</v>
      </c>
      <c r="AT102" s="180">
        <v>473.24937257750616</v>
      </c>
    </row>
    <row r="103" spans="26:46">
      <c r="Z103" s="180"/>
      <c r="AA103" s="180"/>
      <c r="AB103" s="180"/>
      <c r="AC103" s="180"/>
      <c r="AD103" s="180"/>
      <c r="AE103" s="180"/>
      <c r="AF103" s="180"/>
      <c r="AG103" s="180"/>
      <c r="AH103" s="180"/>
      <c r="AI103" s="180"/>
      <c r="AJ103" s="180"/>
      <c r="AK103" s="180"/>
      <c r="AL103" s="180"/>
      <c r="AM103" s="180"/>
      <c r="AN103" s="180"/>
      <c r="AO103" s="180"/>
      <c r="AP103" s="180"/>
      <c r="AQ103" s="180"/>
      <c r="AR103" s="180"/>
      <c r="AS103" s="180">
        <v>2.3161547358494996</v>
      </c>
      <c r="AT103" s="180">
        <v>2.3084033483399229</v>
      </c>
    </row>
    <row r="104" spans="26:46">
      <c r="Z104" s="180"/>
      <c r="AA104" s="180"/>
      <c r="AB104" s="180"/>
      <c r="AC104" s="180"/>
      <c r="AD104" s="180"/>
      <c r="AE104" s="180"/>
      <c r="AF104" s="180"/>
      <c r="AG104" s="180"/>
      <c r="AH104" s="180"/>
      <c r="AI104" s="180"/>
      <c r="AJ104" s="180"/>
      <c r="AK104" s="180"/>
      <c r="AL104" s="180"/>
      <c r="AM104" s="180"/>
      <c r="AN104" s="180"/>
      <c r="AO104" s="180"/>
      <c r="AP104" s="180"/>
      <c r="AQ104" s="180"/>
      <c r="AR104" s="180"/>
      <c r="AS104" s="180">
        <v>97.075407870319097</v>
      </c>
      <c r="AT104" s="180">
        <v>99.383811218659019</v>
      </c>
    </row>
    <row r="105" spans="26:46">
      <c r="Z105" s="180"/>
      <c r="AA105" s="180"/>
      <c r="AB105" s="180"/>
      <c r="AC105" s="180"/>
      <c r="AD105" s="180"/>
      <c r="AE105" s="180"/>
      <c r="AF105" s="180"/>
      <c r="AG105" s="180"/>
      <c r="AH105" s="180"/>
      <c r="AI105" s="180"/>
      <c r="AJ105" s="180"/>
      <c r="AK105" s="180"/>
      <c r="AL105" s="180"/>
      <c r="AM105" s="180"/>
      <c r="AN105" s="180"/>
      <c r="AO105" s="180"/>
      <c r="AP105" s="180"/>
      <c r="AQ105" s="180"/>
      <c r="AR105" s="180"/>
      <c r="AS105" s="180">
        <v>0</v>
      </c>
      <c r="AT105" s="180">
        <v>0</v>
      </c>
    </row>
    <row r="106" spans="26:46">
      <c r="Z106" s="180"/>
      <c r="AA106" s="180"/>
      <c r="AB106" s="180"/>
      <c r="AC106" s="180"/>
      <c r="AD106" s="180"/>
      <c r="AE106" s="180"/>
      <c r="AF106" s="180"/>
      <c r="AG106" s="180"/>
      <c r="AH106" s="180"/>
      <c r="AI106" s="180"/>
      <c r="AJ106" s="180"/>
      <c r="AK106" s="180"/>
      <c r="AL106" s="180"/>
      <c r="AM106" s="180"/>
      <c r="AN106" s="180"/>
      <c r="AO106" s="180"/>
      <c r="AP106" s="180"/>
      <c r="AQ106" s="180"/>
      <c r="AR106" s="180"/>
      <c r="AS106" s="180">
        <v>1972.8057757090955</v>
      </c>
      <c r="AT106" s="180">
        <v>1963.3149186320627</v>
      </c>
    </row>
    <row r="107" spans="26:46">
      <c r="Z107" s="180"/>
      <c r="AA107" s="180"/>
      <c r="AB107" s="180"/>
      <c r="AC107" s="180"/>
      <c r="AD107" s="180"/>
      <c r="AE107" s="180"/>
      <c r="AF107" s="180"/>
      <c r="AG107" s="180"/>
      <c r="AH107" s="180"/>
      <c r="AI107" s="180"/>
      <c r="AJ107" s="180"/>
      <c r="AK107" s="180"/>
      <c r="AL107" s="180"/>
      <c r="AM107" s="180"/>
      <c r="AN107" s="180"/>
      <c r="AO107" s="180"/>
      <c r="AP107" s="180"/>
      <c r="AQ107" s="180"/>
      <c r="AR107" s="180"/>
      <c r="AS107" s="180">
        <v>85097.231974857612</v>
      </c>
      <c r="AT107" s="180">
        <v>87060.546893489678</v>
      </c>
    </row>
    <row r="108" spans="26:46">
      <c r="Z108" s="180"/>
      <c r="AA108" s="180"/>
      <c r="AB108" s="180"/>
      <c r="AC108" s="180"/>
      <c r="AD108" s="180"/>
      <c r="AE108" s="180"/>
      <c r="AF108" s="180"/>
      <c r="AG108" s="180"/>
      <c r="AH108" s="180"/>
      <c r="AI108" s="180"/>
      <c r="AJ108" s="180"/>
      <c r="AK108" s="180"/>
      <c r="AL108" s="180"/>
      <c r="AM108" s="180"/>
      <c r="AN108" s="180"/>
      <c r="AO108" s="180"/>
      <c r="AP108" s="180"/>
      <c r="AQ108" s="180"/>
      <c r="AR108" s="180"/>
      <c r="AS108" s="180">
        <v>21.213129022684932</v>
      </c>
      <c r="AT108" s="180">
        <v>18.271213656041105</v>
      </c>
    </row>
    <row r="109" spans="26:46">
      <c r="Z109" s="180"/>
      <c r="AA109" s="180"/>
      <c r="AB109" s="180"/>
      <c r="AC109" s="180"/>
      <c r="AD109" s="180"/>
      <c r="AE109" s="180"/>
      <c r="AF109" s="180"/>
      <c r="AG109" s="180"/>
      <c r="AH109" s="180"/>
      <c r="AI109" s="180"/>
      <c r="AJ109" s="180"/>
      <c r="AK109" s="180"/>
      <c r="AL109" s="180"/>
      <c r="AM109" s="180"/>
      <c r="AN109" s="180"/>
      <c r="AO109" s="180"/>
      <c r="AP109" s="180"/>
      <c r="AQ109" s="180"/>
      <c r="AR109" s="180"/>
      <c r="AS109" s="180">
        <v>278.75416388625251</v>
      </c>
      <c r="AT109" s="180">
        <v>279.73189694576996</v>
      </c>
    </row>
    <row r="110" spans="26:46">
      <c r="Z110" s="180"/>
      <c r="AA110" s="180"/>
      <c r="AB110" s="180"/>
      <c r="AC110" s="180"/>
      <c r="AD110" s="180"/>
      <c r="AE110" s="180"/>
      <c r="AF110" s="180"/>
      <c r="AG110" s="180"/>
      <c r="AH110" s="180"/>
      <c r="AI110" s="180"/>
      <c r="AJ110" s="180"/>
      <c r="AK110" s="180"/>
      <c r="AL110" s="180"/>
      <c r="AM110" s="180"/>
      <c r="AN110" s="180"/>
      <c r="AO110" s="180"/>
      <c r="AP110" s="180"/>
      <c r="AQ110" s="180"/>
      <c r="AR110" s="180"/>
      <c r="AS110" s="180">
        <v>921.8731828331114</v>
      </c>
      <c r="AT110" s="180">
        <v>921.9969830508511</v>
      </c>
    </row>
    <row r="111" spans="26:46">
      <c r="Z111" s="180"/>
      <c r="AA111" s="180"/>
      <c r="AB111" s="180"/>
      <c r="AC111" s="180"/>
      <c r="AD111" s="180"/>
      <c r="AE111" s="180"/>
      <c r="AF111" s="180"/>
      <c r="AG111" s="180"/>
      <c r="AH111" s="180"/>
      <c r="AI111" s="180"/>
      <c r="AJ111" s="180"/>
      <c r="AK111" s="180"/>
      <c r="AL111" s="180"/>
      <c r="AM111" s="180"/>
      <c r="AN111" s="180"/>
      <c r="AO111" s="180"/>
      <c r="AP111" s="180"/>
      <c r="AQ111" s="180"/>
      <c r="AR111" s="180"/>
      <c r="AS111" s="180">
        <v>66.08711974413248</v>
      </c>
      <c r="AT111" s="180">
        <v>58.737047670775105</v>
      </c>
    </row>
    <row r="112" spans="26:46">
      <c r="Z112" s="180"/>
      <c r="AA112" s="180"/>
      <c r="AB112" s="180"/>
      <c r="AC112" s="180"/>
      <c r="AD112" s="180"/>
      <c r="AE112" s="180"/>
      <c r="AF112" s="180"/>
      <c r="AG112" s="180"/>
      <c r="AH112" s="180"/>
      <c r="AI112" s="180"/>
      <c r="AJ112" s="180"/>
      <c r="AK112" s="180"/>
      <c r="AL112" s="180"/>
      <c r="AM112" s="180"/>
      <c r="AN112" s="180"/>
      <c r="AO112" s="180"/>
      <c r="AP112" s="180"/>
      <c r="AQ112" s="180"/>
      <c r="AR112" s="180"/>
      <c r="AS112" s="180">
        <v>0</v>
      </c>
      <c r="AT112" s="180">
        <v>0</v>
      </c>
    </row>
    <row r="113" spans="26:46">
      <c r="Z113" s="180"/>
      <c r="AA113" s="180"/>
      <c r="AB113" s="180"/>
      <c r="AC113" s="180"/>
      <c r="AD113" s="180"/>
      <c r="AE113" s="180"/>
      <c r="AF113" s="180"/>
      <c r="AG113" s="180"/>
      <c r="AH113" s="180"/>
      <c r="AI113" s="180"/>
      <c r="AJ113" s="180"/>
      <c r="AK113" s="180"/>
      <c r="AL113" s="180"/>
      <c r="AM113" s="180"/>
      <c r="AN113" s="180"/>
      <c r="AO113" s="180"/>
      <c r="AP113" s="180"/>
      <c r="AQ113" s="180"/>
      <c r="AR113" s="180"/>
      <c r="AS113" s="180">
        <v>510.51590332606077</v>
      </c>
      <c r="AT113" s="180">
        <v>509.97432106677587</v>
      </c>
    </row>
    <row r="114" spans="26:46">
      <c r="Z114" s="180"/>
      <c r="AA114" s="180"/>
      <c r="AB114" s="180"/>
      <c r="AC114" s="180"/>
      <c r="AD114" s="180"/>
      <c r="AE114" s="180"/>
      <c r="AF114" s="180"/>
      <c r="AG114" s="180"/>
      <c r="AH114" s="180"/>
      <c r="AI114" s="180"/>
      <c r="AJ114" s="180"/>
      <c r="AK114" s="180"/>
      <c r="AL114" s="180"/>
      <c r="AM114" s="180"/>
      <c r="AN114" s="180"/>
      <c r="AO114" s="180"/>
      <c r="AP114" s="180"/>
      <c r="AQ114" s="180"/>
      <c r="AR114" s="180"/>
      <c r="AS114" s="180">
        <v>15.001896422531544</v>
      </c>
      <c r="AT114" s="180">
        <v>14.989516762293986</v>
      </c>
    </row>
    <row r="115" spans="26:46">
      <c r="Z115" s="180"/>
      <c r="AA115" s="180"/>
      <c r="AB115" s="180"/>
      <c r="AC115" s="180"/>
      <c r="AD115" s="180"/>
      <c r="AE115" s="180"/>
      <c r="AF115" s="180"/>
      <c r="AG115" s="180"/>
      <c r="AH115" s="180"/>
      <c r="AI115" s="180"/>
      <c r="AJ115" s="180"/>
      <c r="AK115" s="180"/>
      <c r="AL115" s="180"/>
      <c r="AM115" s="180"/>
      <c r="AN115" s="180"/>
      <c r="AO115" s="180"/>
      <c r="AP115" s="180"/>
      <c r="AQ115" s="180"/>
      <c r="AR115" s="180"/>
      <c r="AS115" s="180">
        <v>154.60362490789308</v>
      </c>
      <c r="AT115" s="180">
        <v>154.85489856735336</v>
      </c>
    </row>
    <row r="116" spans="26:46">
      <c r="Z116" s="180"/>
      <c r="AA116" s="180"/>
      <c r="AB116" s="180"/>
      <c r="AC116" s="180"/>
      <c r="AD116" s="180"/>
      <c r="AE116" s="180"/>
      <c r="AF116" s="180"/>
      <c r="AG116" s="180"/>
      <c r="AH116" s="180"/>
      <c r="AI116" s="180"/>
      <c r="AJ116" s="180"/>
      <c r="AK116" s="180"/>
      <c r="AL116" s="180"/>
      <c r="AM116" s="180"/>
      <c r="AN116" s="180"/>
      <c r="AO116" s="180"/>
      <c r="AP116" s="180"/>
      <c r="AQ116" s="180"/>
      <c r="AR116" s="180"/>
      <c r="AS116" s="180">
        <v>0</v>
      </c>
      <c r="AT116" s="180">
        <v>0</v>
      </c>
    </row>
    <row r="117" spans="26:46">
      <c r="Z117" s="180"/>
      <c r="AA117" s="180"/>
      <c r="AB117" s="180"/>
      <c r="AC117" s="180"/>
      <c r="AD117" s="180"/>
      <c r="AE117" s="180"/>
      <c r="AF117" s="180"/>
      <c r="AG117" s="180"/>
      <c r="AH117" s="180"/>
      <c r="AI117" s="180"/>
      <c r="AJ117" s="180"/>
      <c r="AK117" s="180"/>
      <c r="AL117" s="180"/>
      <c r="AM117" s="180"/>
      <c r="AN117" s="180"/>
      <c r="AO117" s="180"/>
      <c r="AP117" s="180"/>
      <c r="AQ117" s="180"/>
      <c r="AR117" s="180"/>
      <c r="AS117" s="180">
        <v>0</v>
      </c>
      <c r="AT117" s="180">
        <v>0</v>
      </c>
    </row>
    <row r="118" spans="26:46">
      <c r="Z118" s="180"/>
      <c r="AA118" s="180"/>
      <c r="AB118" s="180"/>
      <c r="AC118" s="180"/>
      <c r="AD118" s="180"/>
      <c r="AE118" s="180"/>
      <c r="AF118" s="180"/>
      <c r="AG118" s="180"/>
      <c r="AH118" s="180"/>
      <c r="AI118" s="180"/>
      <c r="AJ118" s="180"/>
      <c r="AK118" s="180"/>
      <c r="AL118" s="180"/>
      <c r="AM118" s="180"/>
      <c r="AN118" s="180"/>
      <c r="AO118" s="180"/>
      <c r="AP118" s="180"/>
      <c r="AQ118" s="180"/>
      <c r="AR118" s="180"/>
      <c r="AS118" s="180">
        <v>4.7567555664289083</v>
      </c>
      <c r="AT118" s="180">
        <v>4.7590409122021686</v>
      </c>
    </row>
    <row r="119" spans="26:46">
      <c r="Z119" s="180"/>
      <c r="AA119" s="180"/>
      <c r="AB119" s="180"/>
      <c r="AC119" s="180"/>
      <c r="AD119" s="180"/>
      <c r="AE119" s="180"/>
      <c r="AF119" s="180"/>
      <c r="AG119" s="180"/>
      <c r="AH119" s="180"/>
      <c r="AI119" s="180"/>
      <c r="AJ119" s="180"/>
      <c r="AK119" s="180"/>
      <c r="AL119" s="180"/>
      <c r="AM119" s="180"/>
      <c r="AN119" s="180"/>
      <c r="AO119" s="180"/>
      <c r="AP119" s="180"/>
      <c r="AQ119" s="180"/>
      <c r="AR119" s="180"/>
      <c r="AS119" s="180">
        <v>0</v>
      </c>
      <c r="AT119" s="180">
        <v>0</v>
      </c>
    </row>
    <row r="120" spans="26:46">
      <c r="Z120" s="180"/>
      <c r="AA120" s="180"/>
      <c r="AB120" s="180"/>
      <c r="AC120" s="180"/>
      <c r="AD120" s="180"/>
      <c r="AE120" s="180"/>
      <c r="AF120" s="180"/>
      <c r="AG120" s="180"/>
      <c r="AH120" s="180"/>
      <c r="AI120" s="180"/>
      <c r="AJ120" s="180"/>
      <c r="AK120" s="180"/>
      <c r="AL120" s="180"/>
      <c r="AM120" s="180"/>
      <c r="AN120" s="180"/>
      <c r="AO120" s="180"/>
      <c r="AP120" s="180"/>
      <c r="AQ120" s="180"/>
      <c r="AR120" s="180"/>
      <c r="AS120" s="180">
        <v>343.3489601404039</v>
      </c>
      <c r="AT120" s="180">
        <v>345.0884297078602</v>
      </c>
    </row>
    <row r="121" spans="26:46">
      <c r="Z121" s="180"/>
      <c r="AA121" s="180"/>
      <c r="AB121" s="180"/>
      <c r="AC121" s="180"/>
      <c r="AD121" s="180"/>
      <c r="AE121" s="180"/>
      <c r="AF121" s="180"/>
      <c r="AG121" s="180"/>
      <c r="AH121" s="180"/>
      <c r="AI121" s="180"/>
      <c r="AJ121" s="180"/>
      <c r="AK121" s="180"/>
      <c r="AL121" s="180"/>
      <c r="AM121" s="180"/>
      <c r="AN121" s="180"/>
      <c r="AO121" s="180"/>
      <c r="AP121" s="180"/>
      <c r="AQ121" s="180"/>
      <c r="AR121" s="180"/>
      <c r="AS121" s="180">
        <v>11978.175895461532</v>
      </c>
      <c r="AT121" s="180">
        <v>12323.264325169393</v>
      </c>
    </row>
    <row r="122" spans="26:46">
      <c r="Z122" s="180"/>
      <c r="AA122" s="180"/>
      <c r="AB122" s="180"/>
      <c r="AC122" s="180"/>
      <c r="AD122" s="180"/>
      <c r="AE122" s="180"/>
      <c r="AF122" s="180"/>
      <c r="AG122" s="180"/>
      <c r="AH122" s="180"/>
      <c r="AI122" s="180"/>
      <c r="AJ122" s="180"/>
      <c r="AK122" s="180"/>
      <c r="AL122" s="180"/>
      <c r="AM122" s="180"/>
      <c r="AN122" s="180"/>
      <c r="AO122" s="180"/>
      <c r="AP122" s="180"/>
      <c r="AQ122" s="180"/>
      <c r="AR122" s="180"/>
      <c r="AS122" s="180">
        <v>22.604760177657468</v>
      </c>
      <c r="AT122" s="180">
        <v>22.604760177657472</v>
      </c>
    </row>
    <row r="123" spans="26:46">
      <c r="Z123" s="180"/>
      <c r="AA123" s="180"/>
      <c r="AB123" s="180"/>
      <c r="AC123" s="180"/>
      <c r="AD123" s="180"/>
      <c r="AE123" s="180"/>
      <c r="AF123" s="180"/>
      <c r="AG123" s="180"/>
      <c r="AH123" s="180"/>
      <c r="AI123" s="180"/>
      <c r="AJ123" s="180"/>
      <c r="AK123" s="180"/>
      <c r="AL123" s="180"/>
      <c r="AM123" s="180"/>
      <c r="AN123" s="180"/>
      <c r="AO123" s="180"/>
      <c r="AP123" s="180"/>
      <c r="AQ123" s="180"/>
      <c r="AR123" s="180"/>
      <c r="AS123" s="180">
        <v>24.141094389332121</v>
      </c>
      <c r="AT123" s="180">
        <v>23.800288522925822</v>
      </c>
    </row>
    <row r="124" spans="26:46">
      <c r="Z124" s="180"/>
      <c r="AA124" s="180"/>
      <c r="AB124" s="180"/>
      <c r="AC124" s="180"/>
      <c r="AD124" s="180"/>
      <c r="AE124" s="180"/>
      <c r="AF124" s="180"/>
      <c r="AG124" s="180"/>
      <c r="AH124" s="180"/>
      <c r="AI124" s="180"/>
      <c r="AJ124" s="180"/>
      <c r="AK124" s="180"/>
      <c r="AL124" s="180"/>
      <c r="AM124" s="180"/>
      <c r="AN124" s="180"/>
      <c r="AO124" s="180"/>
      <c r="AP124" s="180"/>
      <c r="AQ124" s="180"/>
      <c r="AR124" s="180"/>
      <c r="AS124" s="180">
        <v>15.523931675583272</v>
      </c>
      <c r="AT124" s="180">
        <v>15.523799907088383</v>
      </c>
    </row>
    <row r="125" spans="26:46">
      <c r="Z125" s="180"/>
      <c r="AA125" s="180"/>
      <c r="AB125" s="180"/>
      <c r="AC125" s="180"/>
      <c r="AD125" s="180"/>
      <c r="AE125" s="180"/>
      <c r="AF125" s="180"/>
      <c r="AG125" s="180"/>
      <c r="AH125" s="180"/>
      <c r="AI125" s="180"/>
      <c r="AJ125" s="180"/>
      <c r="AK125" s="180"/>
      <c r="AL125" s="180"/>
      <c r="AM125" s="180"/>
      <c r="AN125" s="180"/>
      <c r="AO125" s="180"/>
      <c r="AP125" s="180"/>
      <c r="AQ125" s="180"/>
      <c r="AR125" s="180"/>
      <c r="AS125" s="180">
        <v>0</v>
      </c>
      <c r="AT125" s="180">
        <v>0</v>
      </c>
    </row>
    <row r="126" spans="26:46">
      <c r="Z126" s="180"/>
      <c r="AA126" s="180"/>
      <c r="AB126" s="180"/>
      <c r="AC126" s="180"/>
      <c r="AD126" s="180"/>
      <c r="AE126" s="180"/>
      <c r="AF126" s="180"/>
      <c r="AG126" s="180"/>
      <c r="AH126" s="180"/>
      <c r="AI126" s="180"/>
      <c r="AJ126" s="180"/>
      <c r="AK126" s="180"/>
      <c r="AL126" s="180"/>
      <c r="AM126" s="180"/>
      <c r="AN126" s="180"/>
      <c r="AO126" s="180"/>
      <c r="AP126" s="180"/>
      <c r="AQ126" s="180"/>
      <c r="AR126" s="180"/>
      <c r="AS126" s="180">
        <v>236.37956366836465</v>
      </c>
      <c r="AT126" s="180">
        <v>238.85352426498878</v>
      </c>
    </row>
    <row r="127" spans="26:46">
      <c r="Z127" s="180"/>
      <c r="AA127" s="180"/>
      <c r="AB127" s="180"/>
      <c r="AC127" s="180"/>
      <c r="AD127" s="180"/>
      <c r="AE127" s="180"/>
      <c r="AF127" s="180"/>
      <c r="AG127" s="180"/>
      <c r="AH127" s="180"/>
      <c r="AI127" s="180"/>
      <c r="AJ127" s="180"/>
      <c r="AK127" s="180"/>
      <c r="AL127" s="180"/>
      <c r="AM127" s="180"/>
      <c r="AN127" s="180"/>
      <c r="AO127" s="180"/>
      <c r="AP127" s="180"/>
      <c r="AQ127" s="180"/>
      <c r="AR127" s="180"/>
      <c r="AS127" s="180">
        <v>44.699610229466373</v>
      </c>
      <c r="AT127" s="180">
        <v>44.306056835199762</v>
      </c>
    </row>
    <row r="128" spans="26:46">
      <c r="Z128" s="180"/>
      <c r="AA128" s="180"/>
      <c r="AB128" s="180"/>
      <c r="AC128" s="180"/>
      <c r="AD128" s="180"/>
      <c r="AE128" s="180"/>
      <c r="AF128" s="180"/>
      <c r="AG128" s="180"/>
      <c r="AH128" s="180"/>
      <c r="AI128" s="180"/>
      <c r="AJ128" s="180"/>
      <c r="AK128" s="180"/>
      <c r="AL128" s="180"/>
      <c r="AM128" s="180"/>
      <c r="AN128" s="180"/>
      <c r="AO128" s="180"/>
      <c r="AP128" s="180"/>
      <c r="AQ128" s="180"/>
      <c r="AR128" s="180"/>
      <c r="AS128" s="180">
        <v>0</v>
      </c>
      <c r="AT128" s="180">
        <v>0</v>
      </c>
    </row>
    <row r="129" spans="26:46">
      <c r="Z129" s="180"/>
      <c r="AA129" s="180"/>
      <c r="AB129" s="180"/>
      <c r="AC129" s="180"/>
      <c r="AD129" s="180"/>
      <c r="AE129" s="180"/>
      <c r="AF129" s="180"/>
      <c r="AG129" s="180"/>
      <c r="AH129" s="180"/>
      <c r="AI129" s="180"/>
      <c r="AJ129" s="180"/>
      <c r="AK129" s="180"/>
      <c r="AL129" s="180"/>
      <c r="AM129" s="180"/>
      <c r="AN129" s="180"/>
      <c r="AO129" s="180"/>
      <c r="AP129" s="180"/>
      <c r="AQ129" s="180"/>
      <c r="AR129" s="180"/>
      <c r="AS129" s="180">
        <v>9264.1743941320947</v>
      </c>
      <c r="AT129" s="180">
        <v>9248.1540631360422</v>
      </c>
    </row>
    <row r="130" spans="26:46">
      <c r="Z130" s="180"/>
      <c r="AA130" s="180"/>
      <c r="AB130" s="180"/>
      <c r="AC130" s="180"/>
      <c r="AD130" s="180"/>
      <c r="AE130" s="180"/>
      <c r="AF130" s="180"/>
      <c r="AG130" s="180"/>
      <c r="AH130" s="180"/>
      <c r="AI130" s="180"/>
      <c r="AJ130" s="180"/>
      <c r="AK130" s="180"/>
      <c r="AL130" s="180"/>
      <c r="AM130" s="180"/>
      <c r="AN130" s="180"/>
      <c r="AO130" s="180"/>
      <c r="AP130" s="180"/>
      <c r="AQ130" s="180"/>
      <c r="AR130" s="180"/>
      <c r="AS130" s="180">
        <v>364617.40729571099</v>
      </c>
      <c r="AT130" s="180">
        <v>373865.56135884702</v>
      </c>
    </row>
    <row r="131" spans="26:46">
      <c r="Z131" s="180"/>
      <c r="AA131" s="180"/>
      <c r="AB131" s="180"/>
      <c r="AC131" s="180"/>
      <c r="AD131" s="180"/>
      <c r="AE131" s="180"/>
      <c r="AF131" s="180"/>
      <c r="AG131" s="180"/>
      <c r="AH131" s="180"/>
      <c r="AI131" s="180"/>
      <c r="AJ131" s="180"/>
      <c r="AK131" s="180"/>
      <c r="AL131" s="180"/>
      <c r="AM131" s="180"/>
      <c r="AN131" s="180"/>
      <c r="AO131" s="180"/>
      <c r="AP131" s="180"/>
      <c r="AQ131" s="180"/>
      <c r="AR131" s="180"/>
      <c r="AS131" s="180">
        <v>993.07330009034229</v>
      </c>
      <c r="AT131" s="180">
        <v>980.3998433905723</v>
      </c>
    </row>
    <row r="132" spans="26:46">
      <c r="Z132" s="180"/>
      <c r="AA132" s="180"/>
      <c r="AB132" s="180"/>
      <c r="AC132" s="180"/>
      <c r="AD132" s="180"/>
      <c r="AE132" s="180"/>
      <c r="AF132" s="180"/>
      <c r="AG132" s="180"/>
      <c r="AH132" s="180"/>
      <c r="AI132" s="180"/>
      <c r="AJ132" s="180"/>
      <c r="AK132" s="180"/>
      <c r="AL132" s="180"/>
      <c r="AM132" s="180"/>
      <c r="AN132" s="180"/>
      <c r="AO132" s="180"/>
      <c r="AP132" s="180"/>
      <c r="AQ132" s="180"/>
      <c r="AR132" s="180"/>
      <c r="AS132" s="180">
        <v>5969.3656824857071</v>
      </c>
      <c r="AT132" s="180">
        <v>5992.6932102403189</v>
      </c>
    </row>
    <row r="133" spans="26:46">
      <c r="Z133" s="180"/>
      <c r="AA133" s="180"/>
      <c r="AB133" s="180"/>
      <c r="AC133" s="180"/>
      <c r="AD133" s="180"/>
      <c r="AE133" s="180"/>
      <c r="AF133" s="180"/>
      <c r="AG133" s="180"/>
      <c r="AH133" s="180"/>
      <c r="AI133" s="180"/>
      <c r="AJ133" s="180"/>
      <c r="AK133" s="180"/>
      <c r="AL133" s="180"/>
      <c r="AM133" s="180"/>
      <c r="AN133" s="180"/>
      <c r="AO133" s="180"/>
      <c r="AP133" s="180"/>
      <c r="AQ133" s="180"/>
      <c r="AR133" s="180"/>
      <c r="AS133" s="180">
        <v>1210.7162661439249</v>
      </c>
      <c r="AT133" s="180">
        <v>1215.4078111888891</v>
      </c>
    </row>
    <row r="134" spans="26:46">
      <c r="Z134" s="180"/>
      <c r="AA134" s="180"/>
      <c r="AB134" s="180"/>
      <c r="AC134" s="180"/>
      <c r="AD134" s="180"/>
      <c r="AE134" s="180"/>
      <c r="AF134" s="180"/>
      <c r="AG134" s="180"/>
      <c r="AH134" s="180"/>
      <c r="AI134" s="180"/>
      <c r="AJ134" s="180"/>
      <c r="AK134" s="180"/>
      <c r="AL134" s="180"/>
      <c r="AM134" s="180"/>
      <c r="AN134" s="180"/>
      <c r="AO134" s="180"/>
      <c r="AP134" s="180"/>
      <c r="AQ134" s="180"/>
      <c r="AR134" s="180"/>
      <c r="AS134" s="180">
        <v>22.893288013231324</v>
      </c>
      <c r="AT134" s="180">
        <v>0</v>
      </c>
    </row>
    <row r="135" spans="26:46">
      <c r="Z135" s="180"/>
      <c r="AA135" s="180"/>
      <c r="AB135" s="180"/>
      <c r="AC135" s="180"/>
      <c r="AD135" s="180"/>
      <c r="AE135" s="180"/>
      <c r="AF135" s="180"/>
      <c r="AG135" s="180"/>
      <c r="AH135" s="180"/>
      <c r="AI135" s="180"/>
      <c r="AJ135" s="180"/>
      <c r="AK135" s="180"/>
      <c r="AL135" s="180"/>
      <c r="AM135" s="180"/>
      <c r="AN135" s="180"/>
      <c r="AO135" s="180"/>
      <c r="AP135" s="180"/>
      <c r="AQ135" s="180"/>
      <c r="AR135" s="180"/>
      <c r="AS135" s="180">
        <v>250.1534183347672</v>
      </c>
      <c r="AT135" s="180">
        <v>212.32442968154396</v>
      </c>
    </row>
    <row r="136" spans="26:46">
      <c r="Z136" s="180"/>
      <c r="AA136" s="180"/>
      <c r="AB136" s="180"/>
      <c r="AC136" s="180"/>
      <c r="AD136" s="180"/>
      <c r="AE136" s="180"/>
      <c r="AF136" s="180"/>
      <c r="AG136" s="180"/>
      <c r="AH136" s="180"/>
      <c r="AI136" s="180"/>
      <c r="AJ136" s="180"/>
      <c r="AK136" s="180"/>
      <c r="AL136" s="180"/>
      <c r="AM136" s="180"/>
      <c r="AN136" s="180"/>
      <c r="AO136" s="180"/>
      <c r="AP136" s="180"/>
      <c r="AQ136" s="180"/>
      <c r="AR136" s="180"/>
      <c r="AS136" s="180">
        <v>0</v>
      </c>
      <c r="AT136" s="180">
        <v>0</v>
      </c>
    </row>
    <row r="137" spans="26:46">
      <c r="Z137" s="180"/>
      <c r="AA137" s="180"/>
      <c r="AB137" s="180"/>
      <c r="AC137" s="180"/>
      <c r="AD137" s="180"/>
      <c r="AE137" s="180"/>
      <c r="AF137" s="180"/>
      <c r="AG137" s="180"/>
      <c r="AH137" s="180"/>
      <c r="AI137" s="180"/>
      <c r="AJ137" s="180"/>
      <c r="AK137" s="180"/>
      <c r="AL137" s="180"/>
      <c r="AM137" s="180"/>
      <c r="AN137" s="180"/>
      <c r="AO137" s="180"/>
      <c r="AP137" s="180"/>
      <c r="AQ137" s="180"/>
      <c r="AR137" s="180"/>
      <c r="AS137" s="180">
        <v>273.83239697706671</v>
      </c>
      <c r="AT137" s="180">
        <v>294.66218109311774</v>
      </c>
    </row>
    <row r="138" spans="26:46">
      <c r="Z138" s="180"/>
      <c r="AA138" s="180"/>
      <c r="AB138" s="180"/>
      <c r="AC138" s="180"/>
      <c r="AD138" s="180"/>
      <c r="AE138" s="180"/>
      <c r="AF138" s="180"/>
      <c r="AG138" s="180"/>
      <c r="AH138" s="180"/>
      <c r="AI138" s="180"/>
      <c r="AJ138" s="180"/>
      <c r="AK138" s="180"/>
      <c r="AL138" s="180"/>
      <c r="AM138" s="180"/>
      <c r="AN138" s="180"/>
      <c r="AO138" s="180"/>
      <c r="AP138" s="180"/>
      <c r="AQ138" s="180"/>
      <c r="AR138" s="180"/>
      <c r="AS138" s="180">
        <v>544.14004208705546</v>
      </c>
      <c r="AT138" s="180">
        <v>552.66658754160096</v>
      </c>
    </row>
    <row r="139" spans="26:46">
      <c r="Z139" s="180"/>
      <c r="AA139" s="180"/>
      <c r="AB139" s="180"/>
      <c r="AC139" s="180"/>
      <c r="AD139" s="180"/>
      <c r="AE139" s="180"/>
      <c r="AF139" s="180"/>
      <c r="AG139" s="180"/>
      <c r="AH139" s="180"/>
      <c r="AI139" s="180"/>
      <c r="AJ139" s="180"/>
      <c r="AK139" s="180"/>
      <c r="AL139" s="180"/>
      <c r="AM139" s="180"/>
      <c r="AN139" s="180"/>
      <c r="AO139" s="180"/>
      <c r="AP139" s="180"/>
      <c r="AQ139" s="180"/>
      <c r="AR139" s="180"/>
      <c r="AS139" s="180">
        <v>0</v>
      </c>
      <c r="AT139" s="180">
        <v>0</v>
      </c>
    </row>
    <row r="140" spans="26:46">
      <c r="Z140" s="180"/>
      <c r="AA140" s="180"/>
      <c r="AB140" s="180"/>
      <c r="AC140" s="180"/>
      <c r="AD140" s="180"/>
      <c r="AE140" s="180"/>
      <c r="AF140" s="180"/>
      <c r="AG140" s="180"/>
      <c r="AH140" s="180"/>
      <c r="AI140" s="180"/>
      <c r="AJ140" s="180"/>
      <c r="AK140" s="180"/>
      <c r="AL140" s="180"/>
      <c r="AM140" s="180"/>
      <c r="AN140" s="180"/>
      <c r="AO140" s="180"/>
      <c r="AP140" s="180"/>
      <c r="AQ140" s="180"/>
      <c r="AR140" s="180"/>
      <c r="AS140" s="180">
        <v>1200.6664934926639</v>
      </c>
      <c r="AT140" s="180">
        <v>1186.5021086376269</v>
      </c>
    </row>
    <row r="141" spans="26:46">
      <c r="Z141" s="180"/>
      <c r="AA141" s="180"/>
      <c r="AB141" s="180"/>
      <c r="AC141" s="180"/>
      <c r="AD141" s="180"/>
      <c r="AE141" s="180"/>
      <c r="AF141" s="180"/>
      <c r="AG141" s="180"/>
      <c r="AH141" s="180"/>
      <c r="AI141" s="180"/>
      <c r="AJ141" s="180"/>
      <c r="AK141" s="180"/>
      <c r="AL141" s="180"/>
      <c r="AM141" s="180"/>
      <c r="AN141" s="180"/>
      <c r="AO141" s="180"/>
      <c r="AP141" s="180"/>
      <c r="AQ141" s="180"/>
      <c r="AR141" s="180"/>
      <c r="AS141" s="180">
        <v>60162.161404916522</v>
      </c>
      <c r="AT141" s="180">
        <v>61348.663513554151</v>
      </c>
    </row>
    <row r="142" spans="26:46">
      <c r="Z142" s="180"/>
      <c r="AA142" s="180"/>
      <c r="AB142" s="180"/>
      <c r="AC142" s="180"/>
      <c r="AD142" s="180"/>
      <c r="AE142" s="180"/>
      <c r="AF142" s="180"/>
      <c r="AG142" s="180"/>
      <c r="AH142" s="180"/>
      <c r="AI142" s="180"/>
      <c r="AJ142" s="180"/>
      <c r="AK142" s="180"/>
      <c r="AL142" s="180"/>
      <c r="AM142" s="180"/>
      <c r="AN142" s="180"/>
      <c r="AO142" s="180"/>
      <c r="AP142" s="180"/>
      <c r="AQ142" s="180"/>
      <c r="AR142" s="180"/>
      <c r="AS142" s="180">
        <v>21.213129022684932</v>
      </c>
      <c r="AT142" s="180">
        <v>18.271213656041105</v>
      </c>
    </row>
    <row r="143" spans="26:46">
      <c r="Z143" s="180"/>
      <c r="AA143" s="180"/>
      <c r="AB143" s="180"/>
      <c r="AC143" s="180"/>
      <c r="AD143" s="180"/>
      <c r="AE143" s="180"/>
      <c r="AF143" s="180"/>
      <c r="AG143" s="180"/>
      <c r="AH143" s="180"/>
      <c r="AI143" s="180"/>
      <c r="AJ143" s="180"/>
      <c r="AK143" s="180"/>
      <c r="AL143" s="180"/>
      <c r="AM143" s="180"/>
      <c r="AN143" s="180"/>
      <c r="AO143" s="180"/>
      <c r="AP143" s="180"/>
      <c r="AQ143" s="180"/>
      <c r="AR143" s="180"/>
      <c r="AS143" s="180">
        <v>173.10417947234262</v>
      </c>
      <c r="AT143" s="180">
        <v>173.06226991791476</v>
      </c>
    </row>
    <row r="144" spans="26:46">
      <c r="Z144" s="180"/>
      <c r="AA144" s="180"/>
      <c r="AB144" s="180"/>
      <c r="AC144" s="180"/>
      <c r="AD144" s="180"/>
      <c r="AE144" s="180"/>
      <c r="AF144" s="180"/>
      <c r="AG144" s="180"/>
      <c r="AH144" s="180"/>
      <c r="AI144" s="180"/>
      <c r="AJ144" s="180"/>
      <c r="AK144" s="180"/>
      <c r="AL144" s="180"/>
      <c r="AM144" s="180"/>
      <c r="AN144" s="180"/>
      <c r="AO144" s="180"/>
      <c r="AP144" s="180"/>
      <c r="AQ144" s="180"/>
      <c r="AR144" s="180"/>
      <c r="AS144" s="180">
        <v>555.55662095403807</v>
      </c>
      <c r="AT144" s="180">
        <v>552.02582548420389</v>
      </c>
    </row>
    <row r="145" spans="26:46">
      <c r="Z145" s="180"/>
      <c r="AA145" s="180"/>
      <c r="AB145" s="180"/>
      <c r="AC145" s="180"/>
      <c r="AD145" s="180"/>
      <c r="AE145" s="180"/>
      <c r="AF145" s="180"/>
      <c r="AG145" s="180"/>
      <c r="AH145" s="180"/>
      <c r="AI145" s="180"/>
      <c r="AJ145" s="180"/>
      <c r="AK145" s="180"/>
      <c r="AL145" s="180"/>
      <c r="AM145" s="180"/>
      <c r="AN145" s="180"/>
      <c r="AO145" s="180"/>
      <c r="AP145" s="180"/>
      <c r="AQ145" s="180"/>
      <c r="AR145" s="180"/>
      <c r="AS145" s="180">
        <v>38.717179381703133</v>
      </c>
      <c r="AT145" s="180">
        <v>31.077575837847448</v>
      </c>
    </row>
    <row r="146" spans="26:46">
      <c r="Z146" s="180"/>
      <c r="AA146" s="180"/>
      <c r="AB146" s="180"/>
      <c r="AC146" s="180"/>
      <c r="AD146" s="180"/>
      <c r="AE146" s="180"/>
      <c r="AF146" s="180"/>
      <c r="AG146" s="180"/>
      <c r="AH146" s="180"/>
      <c r="AI146" s="180"/>
      <c r="AJ146" s="180"/>
      <c r="AK146" s="180"/>
      <c r="AL146" s="180"/>
      <c r="AM146" s="180"/>
      <c r="AN146" s="180"/>
      <c r="AO146" s="180"/>
      <c r="AP146" s="180"/>
      <c r="AQ146" s="180"/>
      <c r="AR146" s="180"/>
      <c r="AS146" s="180">
        <v>0</v>
      </c>
      <c r="AT146" s="180">
        <v>0</v>
      </c>
    </row>
    <row r="147" spans="26:46">
      <c r="Z147" s="180"/>
      <c r="AA147" s="180"/>
      <c r="AB147" s="180"/>
      <c r="AC147" s="180"/>
      <c r="AD147" s="180"/>
      <c r="AE147" s="180"/>
      <c r="AF147" s="180"/>
      <c r="AG147" s="180"/>
      <c r="AH147" s="180"/>
      <c r="AI147" s="180"/>
      <c r="AJ147" s="180"/>
      <c r="AK147" s="180"/>
      <c r="AL147" s="180"/>
      <c r="AM147" s="180"/>
      <c r="AN147" s="180"/>
      <c r="AO147" s="180"/>
      <c r="AP147" s="180"/>
      <c r="AQ147" s="180"/>
      <c r="AR147" s="180"/>
      <c r="AS147" s="180">
        <v>252.78883254213963</v>
      </c>
      <c r="AT147" s="180">
        <v>252.77743509957887</v>
      </c>
    </row>
    <row r="148" spans="26:46">
      <c r="Z148" s="180"/>
      <c r="AA148" s="180"/>
      <c r="AB148" s="180"/>
      <c r="AC148" s="180"/>
      <c r="AD148" s="180"/>
      <c r="AE148" s="180"/>
      <c r="AF148" s="180"/>
      <c r="AG148" s="180"/>
      <c r="AH148" s="180"/>
      <c r="AI148" s="180"/>
      <c r="AJ148" s="180"/>
      <c r="AK148" s="180"/>
      <c r="AL148" s="180"/>
      <c r="AM148" s="180"/>
      <c r="AN148" s="180"/>
      <c r="AO148" s="180"/>
      <c r="AP148" s="180"/>
      <c r="AQ148" s="180"/>
      <c r="AR148" s="180"/>
      <c r="AS148" s="180">
        <v>8.9874651396290997</v>
      </c>
      <c r="AT148" s="180">
        <v>8.9864163161417583</v>
      </c>
    </row>
    <row r="149" spans="26:46">
      <c r="Z149" s="180"/>
      <c r="AA149" s="180"/>
      <c r="AB149" s="180"/>
      <c r="AC149" s="180"/>
      <c r="AD149" s="180"/>
      <c r="AE149" s="180"/>
      <c r="AF149" s="180"/>
      <c r="AG149" s="180"/>
      <c r="AH149" s="180"/>
      <c r="AI149" s="180"/>
      <c r="AJ149" s="180"/>
      <c r="AK149" s="180"/>
      <c r="AL149" s="180"/>
      <c r="AM149" s="180"/>
      <c r="AN149" s="180"/>
      <c r="AO149" s="180"/>
      <c r="AP149" s="180"/>
      <c r="AQ149" s="180"/>
      <c r="AR149" s="180"/>
      <c r="AS149" s="180">
        <v>145.54233141369735</v>
      </c>
      <c r="AT149" s="180">
        <v>145.54233141369684</v>
      </c>
    </row>
    <row r="150" spans="26:46">
      <c r="Z150" s="180"/>
      <c r="AA150" s="180"/>
      <c r="AB150" s="180"/>
      <c r="AC150" s="180"/>
      <c r="AD150" s="180"/>
      <c r="AE150" s="180"/>
      <c r="AF150" s="180"/>
      <c r="AG150" s="180"/>
      <c r="AH150" s="180"/>
      <c r="AI150" s="180"/>
      <c r="AJ150" s="180"/>
      <c r="AK150" s="180"/>
      <c r="AL150" s="180"/>
      <c r="AM150" s="180"/>
      <c r="AN150" s="180"/>
      <c r="AO150" s="180"/>
      <c r="AP150" s="180"/>
      <c r="AQ150" s="180"/>
      <c r="AR150" s="180"/>
      <c r="AS150" s="180">
        <v>0</v>
      </c>
      <c r="AT150" s="180">
        <v>0</v>
      </c>
    </row>
    <row r="151" spans="26:46">
      <c r="Z151" s="180"/>
      <c r="AA151" s="180"/>
      <c r="AB151" s="180"/>
      <c r="AC151" s="180"/>
      <c r="AD151" s="180"/>
      <c r="AE151" s="180"/>
      <c r="AF151" s="180"/>
      <c r="AG151" s="180"/>
      <c r="AH151" s="180"/>
      <c r="AI151" s="180"/>
      <c r="AJ151" s="180"/>
      <c r="AK151" s="180"/>
      <c r="AL151" s="180"/>
      <c r="AM151" s="180"/>
      <c r="AN151" s="180"/>
      <c r="AO151" s="180"/>
      <c r="AP151" s="180"/>
      <c r="AQ151" s="180"/>
      <c r="AR151" s="180"/>
      <c r="AS151" s="180">
        <v>0</v>
      </c>
      <c r="AT151" s="180">
        <v>0</v>
      </c>
    </row>
    <row r="152" spans="26:46">
      <c r="Z152" s="180"/>
      <c r="AA152" s="180"/>
      <c r="AB152" s="180"/>
      <c r="AC152" s="180"/>
      <c r="AD152" s="180"/>
      <c r="AE152" s="180"/>
      <c r="AF152" s="180"/>
      <c r="AG152" s="180"/>
      <c r="AH152" s="180"/>
      <c r="AI152" s="180"/>
      <c r="AJ152" s="180"/>
      <c r="AK152" s="180"/>
      <c r="AL152" s="180"/>
      <c r="AM152" s="180"/>
      <c r="AN152" s="180"/>
      <c r="AO152" s="180"/>
      <c r="AP152" s="180"/>
      <c r="AQ152" s="180"/>
      <c r="AR152" s="180"/>
      <c r="AS152" s="180">
        <v>4.7567555664289083</v>
      </c>
      <c r="AT152" s="180">
        <v>4.7590409122021686</v>
      </c>
    </row>
    <row r="153" spans="26:46">
      <c r="Z153" s="180"/>
      <c r="AA153" s="180"/>
      <c r="AB153" s="180"/>
      <c r="AC153" s="180"/>
      <c r="AD153" s="180"/>
      <c r="AE153" s="180"/>
      <c r="AF153" s="180"/>
      <c r="AG153" s="180"/>
      <c r="AH153" s="180"/>
      <c r="AI153" s="180"/>
      <c r="AJ153" s="180"/>
      <c r="AK153" s="180"/>
      <c r="AL153" s="180"/>
      <c r="AM153" s="180"/>
      <c r="AN153" s="180"/>
      <c r="AO153" s="180"/>
      <c r="AP153" s="180"/>
      <c r="AQ153" s="180"/>
      <c r="AR153" s="180"/>
      <c r="AS153" s="180"/>
      <c r="AT153" s="180"/>
    </row>
    <row r="154" spans="26:46">
      <c r="Z154" s="180"/>
      <c r="AA154" s="180"/>
      <c r="AB154" s="180"/>
      <c r="AC154" s="180"/>
      <c r="AD154" s="180"/>
      <c r="AE154" s="180"/>
      <c r="AF154" s="180"/>
      <c r="AG154" s="180"/>
      <c r="AH154" s="180"/>
      <c r="AI154" s="180"/>
      <c r="AJ154" s="180"/>
      <c r="AK154" s="180"/>
      <c r="AL154" s="180"/>
      <c r="AM154" s="180"/>
      <c r="AN154" s="180"/>
      <c r="AO154" s="180"/>
      <c r="AP154" s="180"/>
      <c r="AQ154" s="180"/>
      <c r="AR154" s="180"/>
      <c r="AS154" s="180">
        <v>11341.621672843547</v>
      </c>
      <c r="AT154" s="180">
        <v>11314.072045526851</v>
      </c>
    </row>
    <row r="155" spans="26:46">
      <c r="Z155" s="180"/>
      <c r="AA155" s="180"/>
      <c r="AB155" s="180"/>
      <c r="AC155" s="180"/>
      <c r="AD155" s="180"/>
      <c r="AE155" s="180"/>
      <c r="AF155" s="180"/>
      <c r="AG155" s="180"/>
      <c r="AH155" s="180"/>
      <c r="AI155" s="180"/>
      <c r="AJ155" s="180"/>
      <c r="AK155" s="180"/>
      <c r="AL155" s="180"/>
      <c r="AM155" s="180"/>
      <c r="AN155" s="180"/>
      <c r="AO155" s="180"/>
      <c r="AP155" s="180"/>
      <c r="AQ155" s="180"/>
      <c r="AR155" s="180"/>
      <c r="AS155" s="180">
        <v>452304.1969066154</v>
      </c>
      <c r="AT155" s="180">
        <v>463618.26895214227</v>
      </c>
    </row>
    <row r="156" spans="26:46">
      <c r="Z156" s="180"/>
      <c r="AA156" s="180"/>
      <c r="AB156" s="180"/>
      <c r="AC156" s="180"/>
      <c r="AD156" s="180"/>
      <c r="AE156" s="180"/>
      <c r="AF156" s="180"/>
      <c r="AG156" s="180"/>
      <c r="AH156" s="180"/>
      <c r="AI156" s="180"/>
      <c r="AJ156" s="180"/>
      <c r="AK156" s="180"/>
      <c r="AL156" s="180"/>
      <c r="AM156" s="180"/>
      <c r="AN156" s="180"/>
      <c r="AO156" s="180"/>
      <c r="AP156" s="180"/>
      <c r="AQ156" s="180"/>
      <c r="AR156" s="180"/>
      <c r="AS156" s="180">
        <v>7506.5790246631041</v>
      </c>
      <c r="AT156" s="180">
        <v>7525.7596411724926</v>
      </c>
    </row>
    <row r="157" spans="26:46">
      <c r="Z157" s="180"/>
      <c r="AA157" s="180"/>
      <c r="AB157" s="180"/>
      <c r="AC157" s="180"/>
      <c r="AD157" s="180"/>
      <c r="AE157" s="180"/>
      <c r="AF157" s="180"/>
      <c r="AG157" s="180"/>
      <c r="AH157" s="180"/>
      <c r="AI157" s="180"/>
      <c r="AJ157" s="180"/>
      <c r="AK157" s="180"/>
      <c r="AL157" s="180"/>
      <c r="AM157" s="180"/>
      <c r="AN157" s="180"/>
      <c r="AO157" s="180"/>
      <c r="AP157" s="180"/>
      <c r="AQ157" s="180"/>
      <c r="AR157" s="180"/>
      <c r="AS157" s="180">
        <v>1757.5953694689902</v>
      </c>
      <c r="AT157" s="180">
        <v>1722.3944219635509</v>
      </c>
    </row>
    <row r="158" spans="26:46">
      <c r="Z158" s="180"/>
      <c r="AA158" s="180"/>
      <c r="AB158" s="180"/>
      <c r="AC158" s="180"/>
      <c r="AD158" s="180"/>
      <c r="AE158" s="180"/>
      <c r="AF158" s="180"/>
      <c r="AG158" s="180"/>
      <c r="AH158" s="180"/>
      <c r="AI158" s="180"/>
      <c r="AJ158" s="180"/>
      <c r="AK158" s="180"/>
      <c r="AL158" s="180"/>
      <c r="AM158" s="180"/>
      <c r="AN158" s="180"/>
      <c r="AO158" s="180"/>
      <c r="AP158" s="180"/>
      <c r="AQ158" s="180"/>
      <c r="AR158" s="180"/>
      <c r="AS158" s="180">
        <v>1972.8057757090955</v>
      </c>
      <c r="AT158" s="180">
        <v>1963.3149186320627</v>
      </c>
    </row>
    <row r="159" spans="26:46">
      <c r="Z159" s="180"/>
      <c r="AA159" s="180"/>
      <c r="AB159" s="180"/>
      <c r="AC159" s="180"/>
      <c r="AD159" s="180"/>
      <c r="AE159" s="180"/>
      <c r="AF159" s="180"/>
      <c r="AG159" s="180"/>
      <c r="AH159" s="180"/>
      <c r="AI159" s="180"/>
      <c r="AJ159" s="180"/>
      <c r="AK159" s="180"/>
      <c r="AL159" s="180"/>
      <c r="AM159" s="180"/>
      <c r="AN159" s="180"/>
      <c r="AO159" s="180"/>
      <c r="AP159" s="180"/>
      <c r="AQ159" s="180"/>
      <c r="AR159" s="180"/>
      <c r="AS159" s="180">
        <v>104.64150300235593</v>
      </c>
      <c r="AT159" s="180">
        <v>102.60306375874451</v>
      </c>
    </row>
    <row r="160" spans="26:46">
      <c r="Z160" s="180"/>
      <c r="AA160" s="180"/>
      <c r="AB160" s="180"/>
      <c r="AC160" s="180"/>
      <c r="AD160" s="180"/>
      <c r="AE160" s="180"/>
      <c r="AF160" s="180"/>
      <c r="AG160" s="180"/>
      <c r="AH160" s="180"/>
      <c r="AI160" s="180"/>
      <c r="AJ160" s="180"/>
      <c r="AK160" s="180"/>
      <c r="AL160" s="180"/>
      <c r="AM160" s="180"/>
      <c r="AN160" s="180"/>
      <c r="AO160" s="180"/>
      <c r="AP160" s="180"/>
      <c r="AQ160" s="180"/>
      <c r="AR160" s="180"/>
      <c r="AS160" s="180">
        <v>198.56494635904659</v>
      </c>
      <c r="AT160" s="180">
        <v>61.973154664506872</v>
      </c>
    </row>
    <row r="161" spans="26:46">
      <c r="Z161" s="180"/>
      <c r="AA161" s="180"/>
      <c r="AB161" s="180"/>
      <c r="AC161" s="180"/>
      <c r="AD161" s="180"/>
      <c r="AE161" s="180"/>
      <c r="AF161" s="180"/>
      <c r="AG161" s="180"/>
      <c r="AH161" s="180"/>
      <c r="AI161" s="180"/>
      <c r="AJ161" s="180"/>
      <c r="AK161" s="180"/>
      <c r="AL161" s="180"/>
      <c r="AM161" s="180"/>
      <c r="AN161" s="180"/>
      <c r="AO161" s="180"/>
      <c r="AP161" s="180"/>
      <c r="AQ161" s="180"/>
      <c r="AR161" s="180"/>
      <c r="AS161" s="180">
        <v>8995.6699436593808</v>
      </c>
      <c r="AT161" s="180">
        <v>9057.6430983238879</v>
      </c>
    </row>
    <row r="162" spans="26:46">
      <c r="Z162" s="180"/>
      <c r="AA162" s="180"/>
      <c r="AB162" s="180"/>
      <c r="AC162" s="180"/>
      <c r="AD162" s="180"/>
      <c r="AE162" s="180"/>
      <c r="AF162" s="180"/>
      <c r="AG162" s="180"/>
      <c r="AH162" s="180"/>
      <c r="AI162" s="180"/>
      <c r="AJ162" s="180"/>
      <c r="AK162" s="180"/>
      <c r="AL162" s="180"/>
      <c r="AM162" s="180"/>
      <c r="AN162" s="180"/>
      <c r="AO162" s="180"/>
      <c r="AP162" s="180"/>
      <c r="AQ162" s="180"/>
      <c r="AR162" s="180"/>
      <c r="AS162" s="180">
        <v>15.523931675583272</v>
      </c>
      <c r="AT162" s="180">
        <v>15.523799907088383</v>
      </c>
    </row>
    <row r="163" spans="26:46">
      <c r="Z163" s="180"/>
      <c r="AA163" s="180"/>
      <c r="AB163" s="180"/>
      <c r="AC163" s="180"/>
      <c r="AD163" s="180"/>
      <c r="AE163" s="180"/>
      <c r="AF163" s="180"/>
      <c r="AG163" s="180"/>
      <c r="AH163" s="180"/>
      <c r="AI163" s="180"/>
      <c r="AJ163" s="180"/>
      <c r="AK163" s="180"/>
      <c r="AL163" s="180"/>
      <c r="AM163" s="180"/>
      <c r="AN163" s="180"/>
      <c r="AO163" s="180"/>
      <c r="AP163" s="180"/>
      <c r="AQ163" s="180"/>
      <c r="AR163" s="180"/>
      <c r="AS163" s="180">
        <v>46.745854566989593</v>
      </c>
      <c r="AT163" s="180">
        <v>46.405048700583293</v>
      </c>
    </row>
    <row r="164" spans="26:46">
      <c r="Z164" s="180"/>
      <c r="AA164" s="180"/>
      <c r="AB164" s="180"/>
      <c r="AC164" s="180"/>
      <c r="AD164" s="180"/>
      <c r="AE164" s="180"/>
      <c r="AF164" s="180"/>
      <c r="AG164" s="180"/>
      <c r="AH164" s="180"/>
      <c r="AI164" s="180"/>
      <c r="AJ164" s="180"/>
      <c r="AK164" s="180"/>
      <c r="AL164" s="180"/>
      <c r="AM164" s="180"/>
      <c r="AN164" s="180"/>
      <c r="AO164" s="180"/>
      <c r="AP164" s="180"/>
      <c r="AQ164" s="180"/>
      <c r="AR164" s="180"/>
      <c r="AS164" s="180">
        <v>0</v>
      </c>
      <c r="AT164" s="180">
        <v>0</v>
      </c>
    </row>
    <row r="165" spans="26:46">
      <c r="Z165" s="180"/>
      <c r="AA165" s="180"/>
      <c r="AB165" s="180"/>
      <c r="AC165" s="180"/>
      <c r="AD165" s="180"/>
      <c r="AE165" s="180"/>
      <c r="AF165" s="180"/>
      <c r="AG165" s="180"/>
      <c r="AH165" s="180"/>
      <c r="AI165" s="180"/>
      <c r="AJ165" s="180"/>
      <c r="AK165" s="180"/>
      <c r="AL165" s="180"/>
      <c r="AM165" s="180"/>
      <c r="AN165" s="180"/>
      <c r="AO165" s="180"/>
      <c r="AP165" s="180"/>
      <c r="AQ165" s="180"/>
      <c r="AR165" s="180"/>
      <c r="AS165" s="180">
        <v>136.29516011647374</v>
      </c>
      <c r="AT165" s="180">
        <v>4.430605683519976E-2</v>
      </c>
    </row>
    <row r="166" spans="26:46">
      <c r="Z166" s="180"/>
      <c r="AA166" s="180"/>
      <c r="AB166" s="180"/>
      <c r="AC166" s="180"/>
      <c r="AD166" s="180"/>
      <c r="AE166" s="180"/>
      <c r="AF166" s="180"/>
      <c r="AG166" s="180"/>
      <c r="AH166" s="180"/>
      <c r="AI166" s="180"/>
      <c r="AJ166" s="180"/>
      <c r="AK166" s="180"/>
      <c r="AL166" s="180"/>
      <c r="AM166" s="180"/>
      <c r="AN166" s="180"/>
      <c r="AO166" s="180"/>
      <c r="AP166" s="180"/>
      <c r="AQ166" s="180"/>
      <c r="AR166" s="180"/>
      <c r="AS166" s="180"/>
      <c r="AT166" s="180"/>
    </row>
    <row r="167" spans="26:46">
      <c r="Z167" s="180"/>
      <c r="AA167" s="180"/>
      <c r="AB167" s="180"/>
      <c r="AC167" s="180"/>
      <c r="AD167" s="180"/>
      <c r="AE167" s="180"/>
      <c r="AF167" s="180"/>
      <c r="AG167" s="180"/>
      <c r="AH167" s="180"/>
      <c r="AI167" s="180"/>
      <c r="AJ167" s="180"/>
      <c r="AK167" s="180"/>
      <c r="AL167" s="180"/>
      <c r="AM167" s="180"/>
      <c r="AN167" s="180"/>
      <c r="AO167" s="180"/>
      <c r="AP167" s="180"/>
      <c r="AQ167" s="180"/>
      <c r="AR167" s="180"/>
      <c r="AS167" s="180"/>
      <c r="AT167" s="180"/>
    </row>
    <row r="168" spans="26:46">
      <c r="Z168" s="180"/>
      <c r="AA168" s="180"/>
      <c r="AB168" s="180"/>
      <c r="AC168" s="180"/>
      <c r="AD168" s="180"/>
      <c r="AE168" s="180"/>
      <c r="AF168" s="180"/>
      <c r="AG168" s="180"/>
      <c r="AH168" s="180"/>
      <c r="AI168" s="180"/>
      <c r="AJ168" s="180"/>
      <c r="AK168" s="180"/>
      <c r="AL168" s="180"/>
      <c r="AM168" s="180"/>
      <c r="AN168" s="180"/>
      <c r="AO168" s="180"/>
      <c r="AP168" s="180"/>
      <c r="AQ168" s="180"/>
      <c r="AR168" s="180"/>
      <c r="AS168" s="180">
        <v>14.939470674344417</v>
      </c>
      <c r="AT168" s="180">
        <v>15.021973800195475</v>
      </c>
    </row>
    <row r="169" spans="26:46">
      <c r="Z169" s="180"/>
      <c r="AA169" s="180"/>
      <c r="AB169" s="180"/>
      <c r="AC169" s="180"/>
      <c r="AD169" s="180"/>
      <c r="AE169" s="180"/>
      <c r="AF169" s="180"/>
      <c r="AG169" s="180"/>
      <c r="AH169" s="180"/>
      <c r="AI169" s="180"/>
      <c r="AJ169" s="180"/>
      <c r="AK169" s="180"/>
      <c r="AL169" s="180"/>
      <c r="AM169" s="180"/>
      <c r="AN169" s="180"/>
      <c r="AO169" s="180"/>
      <c r="AP169" s="180"/>
      <c r="AQ169" s="180"/>
      <c r="AR169" s="180"/>
      <c r="AS169" s="180">
        <v>493.8081832466321</v>
      </c>
      <c r="AT169" s="180">
        <v>508.83015704682759</v>
      </c>
    </row>
    <row r="170" spans="26:46">
      <c r="Z170" s="180"/>
      <c r="AA170" s="180"/>
      <c r="AB170" s="180"/>
      <c r="AC170" s="180"/>
      <c r="AD170" s="180"/>
      <c r="AE170" s="180"/>
      <c r="AF170" s="180"/>
      <c r="AG170" s="180"/>
      <c r="AH170" s="180"/>
      <c r="AI170" s="180"/>
      <c r="AJ170" s="180"/>
      <c r="AK170" s="180"/>
      <c r="AL170" s="180"/>
      <c r="AM170" s="180"/>
      <c r="AN170" s="180"/>
      <c r="AO170" s="180"/>
      <c r="AP170" s="180"/>
      <c r="AQ170" s="180"/>
      <c r="AR170" s="180"/>
      <c r="AS170" s="180">
        <v>3.638955560722319</v>
      </c>
      <c r="AT170" s="180">
        <v>3.6297042865358891</v>
      </c>
    </row>
    <row r="171" spans="26:46">
      <c r="Z171" s="180"/>
      <c r="AA171" s="180"/>
      <c r="AB171" s="180"/>
      <c r="AC171" s="180"/>
      <c r="AD171" s="180"/>
      <c r="AE171" s="180"/>
      <c r="AF171" s="180"/>
      <c r="AG171" s="180"/>
      <c r="AH171" s="180"/>
      <c r="AI171" s="180"/>
      <c r="AJ171" s="180"/>
      <c r="AK171" s="180"/>
      <c r="AL171" s="180"/>
      <c r="AM171" s="180"/>
      <c r="AN171" s="180"/>
      <c r="AO171" s="180"/>
      <c r="AP171" s="180"/>
      <c r="AQ171" s="180"/>
      <c r="AR171" s="180"/>
      <c r="AS171" s="180">
        <v>111.70067677677997</v>
      </c>
      <c r="AT171" s="180">
        <v>115.33038106331585</v>
      </c>
    </row>
    <row r="172" spans="26:46">
      <c r="Z172" s="180"/>
      <c r="AA172" s="180"/>
      <c r="AB172" s="180"/>
      <c r="AC172" s="180"/>
      <c r="AD172" s="180"/>
      <c r="AE172" s="180"/>
      <c r="AF172" s="180"/>
      <c r="AG172" s="180"/>
      <c r="AH172" s="180"/>
      <c r="AI172" s="180"/>
      <c r="AJ172" s="180"/>
      <c r="AK172" s="180"/>
      <c r="AL172" s="180"/>
      <c r="AM172" s="180"/>
      <c r="AN172" s="180"/>
      <c r="AO172" s="180"/>
      <c r="AP172" s="180"/>
      <c r="AQ172" s="180"/>
      <c r="AR172" s="180"/>
      <c r="AS172" s="180">
        <v>0</v>
      </c>
      <c r="AT172" s="180">
        <v>0</v>
      </c>
    </row>
    <row r="173" spans="26:46">
      <c r="Z173" s="180"/>
      <c r="AA173" s="180"/>
      <c r="AB173" s="180"/>
      <c r="AC173" s="180"/>
      <c r="AD173" s="180"/>
      <c r="AE173" s="180"/>
      <c r="AF173" s="180"/>
      <c r="AG173" s="180"/>
      <c r="AH173" s="180"/>
      <c r="AI173" s="180"/>
      <c r="AJ173" s="180"/>
      <c r="AK173" s="180"/>
      <c r="AL173" s="180"/>
      <c r="AM173" s="180"/>
      <c r="AN173" s="180"/>
      <c r="AO173" s="180"/>
      <c r="AP173" s="180"/>
      <c r="AQ173" s="180"/>
      <c r="AR173" s="180"/>
      <c r="AS173" s="180">
        <v>3066.9285366291501</v>
      </c>
      <c r="AT173" s="180">
        <v>3056.9872315609373</v>
      </c>
    </row>
    <row r="174" spans="26:46">
      <c r="Z174" s="180"/>
      <c r="AA174" s="180"/>
      <c r="AB174" s="180"/>
      <c r="AC174" s="180"/>
      <c r="AD174" s="180"/>
      <c r="AE174" s="180"/>
      <c r="AF174" s="180"/>
      <c r="AG174" s="180"/>
      <c r="AH174" s="180"/>
      <c r="AI174" s="180"/>
      <c r="AJ174" s="180"/>
      <c r="AK174" s="180"/>
      <c r="AL174" s="180"/>
      <c r="AM174" s="180"/>
      <c r="AN174" s="180"/>
      <c r="AO174" s="180"/>
      <c r="AP174" s="180"/>
      <c r="AQ174" s="180"/>
      <c r="AR174" s="180"/>
      <c r="AS174" s="180">
        <v>102220.35461548661</v>
      </c>
      <c r="AT174" s="180">
        <v>105277.34184704754</v>
      </c>
    </row>
    <row r="175" spans="26:46">
      <c r="Z175" s="180"/>
      <c r="AA175" s="180"/>
      <c r="AB175" s="180"/>
      <c r="AC175" s="180"/>
      <c r="AD175" s="180"/>
      <c r="AE175" s="180"/>
      <c r="AF175" s="180"/>
      <c r="AG175" s="180"/>
      <c r="AH175" s="180"/>
      <c r="AI175" s="180"/>
      <c r="AJ175" s="180"/>
      <c r="AK175" s="180"/>
      <c r="AL175" s="180"/>
      <c r="AM175" s="180"/>
      <c r="AN175" s="180"/>
      <c r="AO175" s="180"/>
      <c r="AP175" s="180"/>
      <c r="AQ175" s="180"/>
      <c r="AR175" s="180"/>
      <c r="AS175" s="180">
        <v>21.213129022684932</v>
      </c>
      <c r="AT175" s="180">
        <v>18.271213656041105</v>
      </c>
    </row>
    <row r="176" spans="26:46">
      <c r="Z176" s="180"/>
      <c r="AA176" s="180"/>
      <c r="AB176" s="180"/>
      <c r="AC176" s="180"/>
      <c r="AD176" s="180"/>
      <c r="AE176" s="180"/>
      <c r="AF176" s="180"/>
      <c r="AG176" s="180"/>
      <c r="AH176" s="180"/>
      <c r="AI176" s="180"/>
      <c r="AJ176" s="180"/>
      <c r="AK176" s="180"/>
      <c r="AL176" s="180"/>
      <c r="AM176" s="180"/>
      <c r="AN176" s="180"/>
      <c r="AO176" s="180"/>
      <c r="AP176" s="180"/>
      <c r="AQ176" s="180"/>
      <c r="AR176" s="180"/>
      <c r="AS176" s="180">
        <v>62.799752829301433</v>
      </c>
      <c r="AT176" s="180">
        <v>63.12409463815095</v>
      </c>
    </row>
    <row r="177" spans="26:46">
      <c r="Z177" s="180"/>
      <c r="AA177" s="180"/>
      <c r="AB177" s="180"/>
      <c r="AC177" s="180"/>
      <c r="AD177" s="180"/>
      <c r="AE177" s="180"/>
      <c r="AF177" s="180"/>
      <c r="AG177" s="180"/>
      <c r="AH177" s="180"/>
      <c r="AI177" s="180"/>
      <c r="AJ177" s="180"/>
      <c r="AK177" s="180"/>
      <c r="AL177" s="180"/>
      <c r="AM177" s="180"/>
      <c r="AN177" s="180"/>
      <c r="AO177" s="180"/>
      <c r="AP177" s="180"/>
      <c r="AQ177" s="180"/>
      <c r="AR177" s="180"/>
      <c r="AS177" s="180">
        <v>2634.2175155658811</v>
      </c>
      <c r="AT177" s="180">
        <v>2657.798584761902</v>
      </c>
    </row>
    <row r="178" spans="26:46">
      <c r="Z178" s="180"/>
      <c r="AA178" s="180"/>
      <c r="AB178" s="180"/>
      <c r="AC178" s="180"/>
      <c r="AD178" s="180"/>
      <c r="AE178" s="180"/>
      <c r="AF178" s="180"/>
      <c r="AG178" s="180"/>
      <c r="AH178" s="180"/>
      <c r="AI178" s="180"/>
      <c r="AJ178" s="180"/>
      <c r="AK178" s="180"/>
      <c r="AL178" s="180"/>
      <c r="AM178" s="180"/>
      <c r="AN178" s="180"/>
      <c r="AO178" s="180"/>
      <c r="AP178" s="180"/>
      <c r="AQ178" s="180"/>
      <c r="AR178" s="180"/>
      <c r="AS178" s="180">
        <v>66.08711974413248</v>
      </c>
      <c r="AT178" s="180">
        <v>58.737047670775105</v>
      </c>
    </row>
    <row r="179" spans="26:46">
      <c r="Z179" s="180"/>
      <c r="AA179" s="180"/>
      <c r="AB179" s="180"/>
      <c r="AC179" s="180"/>
      <c r="AD179" s="180"/>
      <c r="AE179" s="180"/>
      <c r="AF179" s="180"/>
      <c r="AG179" s="180"/>
      <c r="AH179" s="180"/>
      <c r="AI179" s="180"/>
      <c r="AJ179" s="180"/>
      <c r="AK179" s="180"/>
      <c r="AL179" s="180"/>
      <c r="AM179" s="180"/>
      <c r="AN179" s="180"/>
      <c r="AO179" s="180"/>
      <c r="AP179" s="180"/>
      <c r="AQ179" s="180"/>
      <c r="AR179" s="180"/>
      <c r="AS179" s="180">
        <v>0</v>
      </c>
      <c r="AT179" s="180">
        <v>0</v>
      </c>
    </row>
    <row r="180" spans="26:46">
      <c r="Z180" s="180"/>
      <c r="AA180" s="180"/>
      <c r="AB180" s="180"/>
      <c r="AC180" s="180"/>
      <c r="AD180" s="180"/>
      <c r="AE180" s="180"/>
      <c r="AF180" s="180"/>
      <c r="AG180" s="180"/>
      <c r="AH180" s="180"/>
      <c r="AI180" s="180"/>
      <c r="AJ180" s="180"/>
      <c r="AK180" s="180"/>
      <c r="AL180" s="180"/>
      <c r="AM180" s="180"/>
      <c r="AN180" s="180"/>
      <c r="AO180" s="180"/>
      <c r="AP180" s="180"/>
      <c r="AQ180" s="180"/>
      <c r="AR180" s="180"/>
      <c r="AS180" s="180">
        <v>15.792935581298133</v>
      </c>
      <c r="AT180" s="180">
        <v>0</v>
      </c>
    </row>
    <row r="181" spans="26:46">
      <c r="Z181" s="180"/>
      <c r="AA181" s="180"/>
      <c r="AB181" s="180"/>
      <c r="AC181" s="180"/>
      <c r="AD181" s="180"/>
      <c r="AE181" s="180"/>
      <c r="AF181" s="180"/>
      <c r="AG181" s="180"/>
      <c r="AH181" s="180"/>
      <c r="AI181" s="180"/>
      <c r="AJ181" s="180"/>
      <c r="AK181" s="180"/>
      <c r="AL181" s="180"/>
      <c r="AM181" s="180"/>
      <c r="AN181" s="180"/>
      <c r="AO181" s="180"/>
      <c r="AP181" s="180"/>
      <c r="AQ181" s="180"/>
      <c r="AR181" s="180"/>
      <c r="AS181" s="180">
        <v>100.9170253458805</v>
      </c>
      <c r="AT181" s="180">
        <v>93.980132503648349</v>
      </c>
    </row>
    <row r="182" spans="26:46">
      <c r="Z182" s="180"/>
      <c r="AA182" s="180"/>
      <c r="AB182" s="180"/>
      <c r="AC182" s="180"/>
      <c r="AD182" s="180"/>
      <c r="AE182" s="180"/>
      <c r="AF182" s="180"/>
      <c r="AG182" s="180"/>
      <c r="AH182" s="180"/>
      <c r="AI182" s="180"/>
      <c r="AJ182" s="180"/>
      <c r="AK182" s="180"/>
      <c r="AL182" s="180"/>
      <c r="AM182" s="180"/>
      <c r="AN182" s="180"/>
      <c r="AO182" s="180"/>
      <c r="AP182" s="180"/>
      <c r="AQ182" s="180"/>
      <c r="AR182" s="180"/>
      <c r="AS182" s="180">
        <v>154.60362490789308</v>
      </c>
      <c r="AT182" s="180">
        <v>154.85489856735336</v>
      </c>
    </row>
    <row r="183" spans="26:46">
      <c r="Z183" s="180"/>
      <c r="AA183" s="180"/>
      <c r="AB183" s="180"/>
      <c r="AC183" s="180"/>
      <c r="AD183" s="180"/>
      <c r="AE183" s="180"/>
      <c r="AF183" s="180"/>
      <c r="AG183" s="180"/>
      <c r="AH183" s="180"/>
      <c r="AI183" s="180"/>
      <c r="AJ183" s="180"/>
      <c r="AK183" s="180"/>
      <c r="AL183" s="180"/>
      <c r="AM183" s="180"/>
      <c r="AN183" s="180"/>
      <c r="AO183" s="180"/>
      <c r="AP183" s="180"/>
      <c r="AQ183" s="180"/>
      <c r="AR183" s="180"/>
      <c r="AS183" s="180">
        <v>0</v>
      </c>
      <c r="AT183" s="180">
        <v>0</v>
      </c>
    </row>
    <row r="184" spans="26:46">
      <c r="Z184" s="180"/>
      <c r="AA184" s="180"/>
      <c r="AB184" s="180"/>
      <c r="AC184" s="180"/>
      <c r="AD184" s="180"/>
      <c r="AE184" s="180"/>
      <c r="AF184" s="180"/>
      <c r="AG184" s="180"/>
      <c r="AH184" s="180"/>
      <c r="AI184" s="180"/>
      <c r="AJ184" s="180"/>
      <c r="AK184" s="180"/>
      <c r="AL184" s="180"/>
      <c r="AM184" s="180"/>
      <c r="AN184" s="180"/>
      <c r="AO184" s="180"/>
      <c r="AP184" s="180"/>
      <c r="AQ184" s="180"/>
      <c r="AR184" s="180"/>
      <c r="AS184" s="180">
        <v>0</v>
      </c>
      <c r="AT184" s="180">
        <v>0</v>
      </c>
    </row>
    <row r="185" spans="26:46">
      <c r="Z185" s="180"/>
      <c r="AA185" s="180"/>
      <c r="AB185" s="180"/>
      <c r="AC185" s="180"/>
      <c r="AD185" s="180"/>
      <c r="AE185" s="180"/>
      <c r="AF185" s="180"/>
      <c r="AG185" s="180"/>
      <c r="AH185" s="180"/>
      <c r="AI185" s="180"/>
      <c r="AJ185" s="180"/>
      <c r="AK185" s="180"/>
      <c r="AL185" s="180"/>
      <c r="AM185" s="180"/>
      <c r="AN185" s="180"/>
      <c r="AO185" s="180"/>
      <c r="AP185" s="180"/>
      <c r="AQ185" s="180"/>
      <c r="AR185" s="180"/>
      <c r="AS185" s="180">
        <v>11.297433632078711</v>
      </c>
      <c r="AT185" s="180">
        <v>10.221259763066305</v>
      </c>
    </row>
    <row r="186" spans="26:46">
      <c r="Z186" s="180"/>
      <c r="AA186" s="180"/>
      <c r="AB186" s="180"/>
      <c r="AC186" s="180"/>
      <c r="AD186" s="180"/>
      <c r="AE186" s="180"/>
      <c r="AF186" s="180"/>
      <c r="AG186" s="180"/>
      <c r="AH186" s="180"/>
      <c r="AI186" s="180"/>
      <c r="AJ186" s="180"/>
      <c r="AK186" s="180"/>
      <c r="AL186" s="180"/>
      <c r="AM186" s="180"/>
      <c r="AN186" s="180"/>
      <c r="AO186" s="180"/>
      <c r="AP186" s="180"/>
      <c r="AQ186" s="180"/>
      <c r="AR186" s="180"/>
      <c r="AS186" s="180">
        <v>0</v>
      </c>
      <c r="AT186" s="180">
        <v>0</v>
      </c>
    </row>
    <row r="187" spans="26:46">
      <c r="Z187" s="180"/>
      <c r="AA187" s="180"/>
      <c r="AB187" s="180"/>
      <c r="AC187" s="180"/>
      <c r="AD187" s="180"/>
      <c r="AE187" s="180"/>
      <c r="AF187" s="180"/>
      <c r="AG187" s="180"/>
      <c r="AH187" s="180"/>
      <c r="AI187" s="180"/>
      <c r="AJ187" s="180"/>
      <c r="AK187" s="180"/>
      <c r="AL187" s="180"/>
      <c r="AM187" s="180"/>
      <c r="AN187" s="180"/>
      <c r="AO187" s="180"/>
      <c r="AP187" s="180"/>
      <c r="AQ187" s="180"/>
      <c r="AR187" s="180"/>
      <c r="AS187" s="180">
        <v>572.02702409316862</v>
      </c>
      <c r="AT187" s="180">
        <v>572.71705497495191</v>
      </c>
    </row>
    <row r="188" spans="26:46">
      <c r="Z188" s="180"/>
      <c r="AA188" s="180"/>
      <c r="AB188" s="180"/>
      <c r="AC188" s="180"/>
      <c r="AD188" s="180"/>
      <c r="AE188" s="180"/>
      <c r="AF188" s="180"/>
      <c r="AG188" s="180"/>
      <c r="AH188" s="180"/>
      <c r="AI188" s="180"/>
      <c r="AJ188" s="180"/>
      <c r="AK188" s="180"/>
      <c r="AL188" s="180"/>
      <c r="AM188" s="180"/>
      <c r="AN188" s="180"/>
      <c r="AO188" s="180"/>
      <c r="AP188" s="180"/>
      <c r="AQ188" s="180"/>
      <c r="AR188" s="180"/>
      <c r="AS188" s="180">
        <v>9480.3221612933557</v>
      </c>
      <c r="AT188" s="180">
        <v>10053.039216268307</v>
      </c>
    </row>
    <row r="189" spans="26:46">
      <c r="Z189" s="180"/>
      <c r="AA189" s="180"/>
      <c r="AB189" s="180"/>
      <c r="AC189" s="180"/>
      <c r="AD189" s="180"/>
      <c r="AE189" s="180"/>
      <c r="AF189" s="180"/>
      <c r="AG189" s="180"/>
      <c r="AH189" s="180"/>
      <c r="AI189" s="180"/>
      <c r="AJ189" s="180"/>
      <c r="AK189" s="180"/>
      <c r="AL189" s="180"/>
      <c r="AM189" s="180"/>
      <c r="AN189" s="180"/>
      <c r="AO189" s="180"/>
      <c r="AP189" s="180"/>
      <c r="AQ189" s="180"/>
      <c r="AR189" s="180"/>
      <c r="AS189" s="180">
        <v>187.01323585944078</v>
      </c>
      <c r="AT189" s="180">
        <v>187.01323585944081</v>
      </c>
    </row>
    <row r="190" spans="26:46">
      <c r="Z190" s="180"/>
      <c r="AA190" s="180"/>
      <c r="AB190" s="180"/>
      <c r="AC190" s="180"/>
      <c r="AD190" s="180"/>
      <c r="AE190" s="180"/>
      <c r="AF190" s="180"/>
      <c r="AG190" s="180"/>
      <c r="AH190" s="180"/>
      <c r="AI190" s="180"/>
      <c r="AJ190" s="180"/>
      <c r="AK190" s="180"/>
      <c r="AL190" s="180"/>
      <c r="AM190" s="180"/>
      <c r="AN190" s="180"/>
      <c r="AO190" s="180"/>
      <c r="AP190" s="180"/>
      <c r="AQ190" s="180"/>
      <c r="AR190" s="180"/>
      <c r="AS190" s="180">
        <v>98.48609949486081</v>
      </c>
      <c r="AT190" s="180">
        <v>97.095746600082563</v>
      </c>
    </row>
    <row r="191" spans="26:46">
      <c r="Z191" s="180"/>
      <c r="AA191" s="180"/>
      <c r="AB191" s="180"/>
      <c r="AC191" s="180"/>
      <c r="AD191" s="180"/>
      <c r="AE191" s="180"/>
      <c r="AF191" s="180"/>
      <c r="AG191" s="180"/>
      <c r="AH191" s="180"/>
      <c r="AI191" s="180"/>
      <c r="AJ191" s="180"/>
      <c r="AK191" s="180"/>
      <c r="AL191" s="180"/>
      <c r="AM191" s="180"/>
      <c r="AN191" s="180"/>
      <c r="AO191" s="180"/>
      <c r="AP191" s="180"/>
      <c r="AQ191" s="180"/>
      <c r="AR191" s="180"/>
      <c r="AS191" s="180">
        <v>5.4485148410360358</v>
      </c>
      <c r="AT191" s="180">
        <v>5.4484914152400474</v>
      </c>
    </row>
    <row r="192" spans="26:46">
      <c r="Z192" s="180"/>
      <c r="AA192" s="180"/>
      <c r="AB192" s="180"/>
      <c r="AC192" s="180"/>
      <c r="AD192" s="180"/>
      <c r="AE192" s="180"/>
      <c r="AF192" s="180"/>
      <c r="AG192" s="180"/>
      <c r="AH192" s="180"/>
      <c r="AI192" s="180"/>
      <c r="AJ192" s="180"/>
      <c r="AK192" s="180"/>
      <c r="AL192" s="180"/>
      <c r="AM192" s="180"/>
      <c r="AN192" s="180"/>
      <c r="AO192" s="180"/>
      <c r="AP192" s="180"/>
      <c r="AQ192" s="180"/>
      <c r="AR192" s="180"/>
      <c r="AS192" s="180">
        <v>0</v>
      </c>
      <c r="AT192" s="180">
        <v>0</v>
      </c>
    </row>
    <row r="193" spans="26:46">
      <c r="Z193" s="180"/>
      <c r="AA193" s="180"/>
      <c r="AB193" s="180"/>
      <c r="AC193" s="180"/>
      <c r="AD193" s="180"/>
      <c r="AE193" s="180"/>
      <c r="AF193" s="180"/>
      <c r="AG193" s="180"/>
      <c r="AH193" s="180"/>
      <c r="AI193" s="180"/>
      <c r="AJ193" s="180"/>
      <c r="AK193" s="180"/>
      <c r="AL193" s="180"/>
      <c r="AM193" s="180"/>
      <c r="AN193" s="180"/>
      <c r="AO193" s="180"/>
      <c r="AP193" s="180"/>
      <c r="AQ193" s="180"/>
      <c r="AR193" s="180"/>
      <c r="AS193" s="180">
        <v>236.37956366836465</v>
      </c>
      <c r="AT193" s="180">
        <v>238.85352426498878</v>
      </c>
    </row>
    <row r="194" spans="26:46">
      <c r="Z194" s="180"/>
      <c r="AA194" s="180"/>
      <c r="AB194" s="180"/>
      <c r="AC194" s="180"/>
      <c r="AD194" s="180"/>
      <c r="AE194" s="180"/>
      <c r="AF194" s="180"/>
      <c r="AG194" s="180"/>
      <c r="AH194" s="180"/>
      <c r="AI194" s="180"/>
      <c r="AJ194" s="180"/>
      <c r="AK194" s="180"/>
      <c r="AL194" s="180"/>
      <c r="AM194" s="180"/>
      <c r="AN194" s="180"/>
      <c r="AO194" s="180"/>
      <c r="AP194" s="180"/>
      <c r="AQ194" s="180"/>
      <c r="AR194" s="180"/>
      <c r="AS194" s="180">
        <v>44.699610229466373</v>
      </c>
      <c r="AT194" s="180">
        <v>44.306056835199762</v>
      </c>
    </row>
    <row r="195" spans="26:46">
      <c r="Z195" s="180"/>
      <c r="AA195" s="180"/>
      <c r="AB195" s="180"/>
      <c r="AC195" s="180"/>
      <c r="AD195" s="180"/>
      <c r="AE195" s="180"/>
      <c r="AF195" s="180"/>
      <c r="AG195" s="180"/>
      <c r="AH195" s="180"/>
      <c r="AI195" s="180"/>
      <c r="AJ195" s="180"/>
      <c r="AK195" s="180"/>
      <c r="AL195" s="180"/>
      <c r="AM195" s="180"/>
      <c r="AN195" s="180"/>
      <c r="AO195" s="180"/>
      <c r="AP195" s="180"/>
      <c r="AQ195" s="180"/>
      <c r="AR195" s="180"/>
      <c r="AS195" s="180">
        <v>0</v>
      </c>
      <c r="AT195" s="180">
        <v>0</v>
      </c>
    </row>
    <row r="196" spans="26:46">
      <c r="Z196" s="180"/>
      <c r="AA196" s="180"/>
      <c r="AB196" s="180"/>
      <c r="AC196" s="180"/>
      <c r="AD196" s="180"/>
      <c r="AE196" s="180"/>
      <c r="AF196" s="180"/>
      <c r="AG196" s="180"/>
      <c r="AH196" s="180"/>
      <c r="AI196" s="180"/>
      <c r="AJ196" s="180"/>
      <c r="AK196" s="180"/>
      <c r="AL196" s="180"/>
      <c r="AM196" s="180"/>
      <c r="AN196" s="180"/>
      <c r="AO196" s="180"/>
      <c r="AP196" s="180"/>
      <c r="AQ196" s="180"/>
      <c r="AR196" s="180"/>
      <c r="AS196" s="180">
        <v>11300.515113622097</v>
      </c>
      <c r="AT196" s="180">
        <v>11392.269513659587</v>
      </c>
    </row>
    <row r="197" spans="26:46">
      <c r="Z197" s="180"/>
      <c r="AA197" s="180"/>
      <c r="AB197" s="180"/>
      <c r="AC197" s="180"/>
      <c r="AD197" s="180"/>
      <c r="AE197" s="180"/>
      <c r="AF197" s="180"/>
      <c r="AG197" s="180"/>
      <c r="AH197" s="180"/>
      <c r="AI197" s="180"/>
      <c r="AJ197" s="180"/>
      <c r="AK197" s="180"/>
      <c r="AL197" s="180"/>
      <c r="AM197" s="180"/>
      <c r="AN197" s="180"/>
      <c r="AO197" s="180"/>
      <c r="AP197" s="180"/>
      <c r="AQ197" s="180"/>
      <c r="AR197" s="180"/>
      <c r="AS197" s="180">
        <v>382107.50646985217</v>
      </c>
      <c r="AT197" s="180">
        <v>393499.77598351176</v>
      </c>
    </row>
    <row r="198" spans="26:46">
      <c r="Z198" s="180"/>
      <c r="AA198" s="180"/>
      <c r="AB198" s="180"/>
      <c r="AC198" s="180"/>
      <c r="AD198" s="180"/>
      <c r="AE198" s="180"/>
      <c r="AF198" s="180"/>
      <c r="AG198" s="180"/>
      <c r="AH198" s="180"/>
      <c r="AI198" s="180"/>
      <c r="AJ198" s="180"/>
      <c r="AK198" s="180"/>
      <c r="AL198" s="180"/>
      <c r="AM198" s="180"/>
      <c r="AN198" s="180"/>
      <c r="AO198" s="180"/>
      <c r="AP198" s="180"/>
      <c r="AQ198" s="180"/>
      <c r="AR198" s="180"/>
      <c r="AS198" s="180">
        <v>105.52746183631747</v>
      </c>
      <c r="AT198" s="180">
        <v>45.327740810971498</v>
      </c>
    </row>
    <row r="199" spans="26:46">
      <c r="Z199" s="180"/>
      <c r="AA199" s="180"/>
      <c r="AB199" s="180"/>
      <c r="AC199" s="180"/>
      <c r="AD199" s="180"/>
      <c r="AE199" s="180"/>
      <c r="AF199" s="180"/>
      <c r="AG199" s="180"/>
      <c r="AH199" s="180"/>
      <c r="AI199" s="180"/>
      <c r="AJ199" s="180"/>
      <c r="AK199" s="180"/>
      <c r="AL199" s="180"/>
      <c r="AM199" s="180"/>
      <c r="AN199" s="180"/>
      <c r="AO199" s="180"/>
      <c r="AP199" s="180"/>
      <c r="AQ199" s="180"/>
      <c r="AR199" s="180"/>
      <c r="AS199" s="180">
        <v>9324.6213448940834</v>
      </c>
      <c r="AT199" s="180">
        <v>9511.7764134623576</v>
      </c>
    </row>
    <row r="200" spans="26:46">
      <c r="Z200" s="180"/>
      <c r="AA200" s="180"/>
      <c r="AB200" s="180"/>
      <c r="AC200" s="180"/>
      <c r="AD200" s="180"/>
      <c r="AE200" s="180"/>
      <c r="AF200" s="180"/>
      <c r="AG200" s="180"/>
      <c r="AH200" s="180"/>
      <c r="AI200" s="180"/>
      <c r="AJ200" s="180"/>
      <c r="AK200" s="180"/>
      <c r="AL200" s="180"/>
      <c r="AM200" s="180"/>
      <c r="AN200" s="180"/>
      <c r="AO200" s="180"/>
      <c r="AP200" s="180"/>
      <c r="AQ200" s="180"/>
      <c r="AR200" s="180"/>
      <c r="AS200" s="180">
        <v>1210.7162661439249</v>
      </c>
      <c r="AT200" s="180">
        <v>1215.4078111888891</v>
      </c>
    </row>
    <row r="201" spans="26:46">
      <c r="Z201" s="180"/>
      <c r="AA201" s="180"/>
      <c r="AB201" s="180"/>
      <c r="AC201" s="180"/>
      <c r="AD201" s="180"/>
      <c r="AE201" s="180"/>
      <c r="AF201" s="180"/>
      <c r="AG201" s="180"/>
      <c r="AH201" s="180"/>
      <c r="AI201" s="180"/>
      <c r="AJ201" s="180"/>
      <c r="AK201" s="180"/>
      <c r="AL201" s="180"/>
      <c r="AM201" s="180"/>
      <c r="AN201" s="180"/>
      <c r="AO201" s="180"/>
      <c r="AP201" s="180"/>
      <c r="AQ201" s="180"/>
      <c r="AR201" s="180"/>
      <c r="AS201" s="180">
        <v>22.893288013231324</v>
      </c>
      <c r="AT201" s="180">
        <v>0</v>
      </c>
    </row>
    <row r="202" spans="26:46">
      <c r="Z202" s="180"/>
      <c r="AA202" s="180"/>
      <c r="AB202" s="180"/>
      <c r="AC202" s="180"/>
      <c r="AD202" s="180"/>
      <c r="AE202" s="180"/>
      <c r="AF202" s="180"/>
      <c r="AG202" s="180"/>
      <c r="AH202" s="180"/>
      <c r="AI202" s="180"/>
      <c r="AJ202" s="180"/>
      <c r="AK202" s="180"/>
      <c r="AL202" s="180"/>
      <c r="AM202" s="180"/>
      <c r="AN202" s="180"/>
      <c r="AO202" s="180"/>
      <c r="AP202" s="180"/>
      <c r="AQ202" s="180"/>
      <c r="AR202" s="180"/>
      <c r="AS202" s="180">
        <v>250.1534183347672</v>
      </c>
      <c r="AT202" s="180">
        <v>212.32442968154396</v>
      </c>
    </row>
    <row r="203" spans="26:46">
      <c r="Z203" s="180"/>
      <c r="AA203" s="180"/>
      <c r="AB203" s="180"/>
      <c r="AC203" s="180"/>
      <c r="AD203" s="180"/>
      <c r="AE203" s="180"/>
      <c r="AF203" s="180"/>
      <c r="AG203" s="180"/>
      <c r="AH203" s="180"/>
      <c r="AI203" s="180"/>
      <c r="AJ203" s="180"/>
      <c r="AK203" s="180"/>
      <c r="AL203" s="180"/>
      <c r="AM203" s="180"/>
      <c r="AN203" s="180"/>
      <c r="AO203" s="180"/>
      <c r="AP203" s="180"/>
      <c r="AQ203" s="180"/>
      <c r="AR203" s="180"/>
      <c r="AS203" s="180">
        <v>0</v>
      </c>
      <c r="AT203" s="180">
        <v>0</v>
      </c>
    </row>
    <row r="204" spans="26:46">
      <c r="Z204" s="180"/>
      <c r="AA204" s="180"/>
      <c r="AB204" s="180"/>
      <c r="AC204" s="180"/>
      <c r="AD204" s="180"/>
      <c r="AE204" s="180"/>
      <c r="AF204" s="180"/>
      <c r="AG204" s="180"/>
      <c r="AH204" s="180"/>
      <c r="AI204" s="180"/>
      <c r="AJ204" s="180"/>
      <c r="AK204" s="180"/>
      <c r="AL204" s="180"/>
      <c r="AM204" s="180"/>
      <c r="AN204" s="180"/>
      <c r="AO204" s="180"/>
      <c r="AP204" s="180"/>
      <c r="AQ204" s="180"/>
      <c r="AR204" s="180"/>
      <c r="AS204" s="180">
        <v>273.83239697706671</v>
      </c>
      <c r="AT204" s="180">
        <v>294.66218109311774</v>
      </c>
    </row>
    <row r="205" spans="26:46">
      <c r="Z205" s="180"/>
      <c r="AA205" s="180"/>
      <c r="AB205" s="180"/>
      <c r="AC205" s="180"/>
      <c r="AD205" s="180"/>
      <c r="AE205" s="180"/>
      <c r="AF205" s="180"/>
      <c r="AG205" s="180"/>
      <c r="AH205" s="180"/>
      <c r="AI205" s="180"/>
      <c r="AJ205" s="180"/>
      <c r="AK205" s="180"/>
      <c r="AL205" s="180"/>
      <c r="AM205" s="180"/>
      <c r="AN205" s="180"/>
      <c r="AO205" s="180"/>
      <c r="AP205" s="180"/>
      <c r="AQ205" s="180"/>
      <c r="AR205" s="180"/>
      <c r="AS205" s="180">
        <v>112.77093742270775</v>
      </c>
      <c r="AT205" s="180">
        <v>112.77093742270775</v>
      </c>
    </row>
    <row r="206" spans="26:46">
      <c r="Z206" s="180"/>
      <c r="AA206" s="180"/>
      <c r="AB206" s="180"/>
      <c r="AC206" s="180"/>
      <c r="AD206" s="180"/>
      <c r="AE206" s="180"/>
      <c r="AF206" s="180"/>
      <c r="AG206" s="180"/>
      <c r="AH206" s="180"/>
      <c r="AI206" s="180"/>
      <c r="AJ206" s="180"/>
      <c r="AK206" s="180"/>
      <c r="AL206" s="180"/>
      <c r="AM206" s="180"/>
      <c r="AN206" s="180"/>
      <c r="AO206" s="180"/>
      <c r="AP206" s="180"/>
      <c r="AQ206" s="180"/>
      <c r="AR206" s="180"/>
      <c r="AS206" s="180">
        <v>0</v>
      </c>
      <c r="AT206" s="180">
        <v>0</v>
      </c>
    </row>
    <row r="207" spans="26:46">
      <c r="Z207" s="180"/>
      <c r="AA207" s="180"/>
      <c r="AB207" s="180"/>
      <c r="AC207" s="180"/>
      <c r="AD207" s="180"/>
      <c r="AE207" s="180"/>
      <c r="AF207" s="180"/>
      <c r="AG207" s="180"/>
      <c r="AH207" s="180"/>
      <c r="AI207" s="180"/>
      <c r="AJ207" s="180"/>
      <c r="AK207" s="180"/>
      <c r="AL207" s="180"/>
      <c r="AM207" s="180"/>
      <c r="AN207" s="180"/>
      <c r="AO207" s="180"/>
      <c r="AP207" s="180"/>
      <c r="AQ207" s="180"/>
      <c r="AR207" s="180"/>
      <c r="AS207" s="180">
        <v>2063.881994932186</v>
      </c>
      <c r="AT207" s="180">
        <v>2028.8266941233276</v>
      </c>
    </row>
    <row r="208" spans="26:46">
      <c r="Z208" s="180"/>
      <c r="AA208" s="180"/>
      <c r="AB208" s="180"/>
      <c r="AC208" s="180"/>
      <c r="AD208" s="180"/>
      <c r="AE208" s="180"/>
      <c r="AF208" s="180"/>
      <c r="AG208" s="180"/>
      <c r="AH208" s="180"/>
      <c r="AI208" s="180"/>
      <c r="AJ208" s="180"/>
      <c r="AK208" s="180"/>
      <c r="AL208" s="180"/>
      <c r="AM208" s="180"/>
      <c r="AN208" s="180"/>
      <c r="AO208" s="180"/>
      <c r="AP208" s="180"/>
      <c r="AQ208" s="180"/>
      <c r="AR208" s="180"/>
      <c r="AS208" s="180">
        <v>77300.744777007014</v>
      </c>
      <c r="AT208" s="180">
        <v>79329.571471130344</v>
      </c>
    </row>
    <row r="209" spans="26:46">
      <c r="Z209" s="180"/>
      <c r="AA209" s="180"/>
      <c r="AB209" s="180"/>
      <c r="AC209" s="180"/>
      <c r="AD209" s="180"/>
      <c r="AE209" s="180"/>
      <c r="AF209" s="180"/>
      <c r="AG209" s="180"/>
      <c r="AH209" s="180"/>
      <c r="AI209" s="180"/>
      <c r="AJ209" s="180"/>
      <c r="AK209" s="180"/>
      <c r="AL209" s="180"/>
      <c r="AM209" s="180"/>
      <c r="AN209" s="180"/>
      <c r="AO209" s="180"/>
      <c r="AP209" s="180"/>
      <c r="AQ209" s="180"/>
      <c r="AR209" s="180"/>
      <c r="AS209" s="180">
        <v>21.213129022684932</v>
      </c>
      <c r="AT209" s="180">
        <v>18.271213656041105</v>
      </c>
    </row>
    <row r="210" spans="26:46">
      <c r="Z210" s="180"/>
      <c r="AA210" s="180"/>
      <c r="AB210" s="180"/>
      <c r="AC210" s="180"/>
      <c r="AD210" s="180"/>
      <c r="AE210" s="180"/>
      <c r="AF210" s="180"/>
      <c r="AG210" s="180"/>
      <c r="AH210" s="180"/>
      <c r="AI210" s="180"/>
      <c r="AJ210" s="180"/>
      <c r="AK210" s="180"/>
      <c r="AL210" s="180"/>
      <c r="AM210" s="180"/>
      <c r="AN210" s="180"/>
      <c r="AO210" s="180"/>
      <c r="AP210" s="180"/>
      <c r="AQ210" s="180"/>
      <c r="AR210" s="180"/>
      <c r="AS210" s="180">
        <v>36.859792972394104</v>
      </c>
      <c r="AT210" s="180">
        <v>36.852646769488835</v>
      </c>
    </row>
    <row r="211" spans="26:46">
      <c r="Z211" s="180"/>
      <c r="AA211" s="180"/>
      <c r="AB211" s="180"/>
      <c r="AC211" s="180"/>
      <c r="AD211" s="180"/>
      <c r="AE211" s="180"/>
      <c r="AF211" s="180"/>
      <c r="AG211" s="180"/>
      <c r="AH211" s="180"/>
      <c r="AI211" s="180"/>
      <c r="AJ211" s="180"/>
      <c r="AK211" s="180"/>
      <c r="AL211" s="180"/>
      <c r="AM211" s="180"/>
      <c r="AN211" s="180"/>
      <c r="AO211" s="180"/>
      <c r="AP211" s="180"/>
      <c r="AQ211" s="180"/>
      <c r="AR211" s="180"/>
      <c r="AS211" s="180">
        <v>1738.9294018582846</v>
      </c>
      <c r="AT211" s="180">
        <v>1727.4077938278058</v>
      </c>
    </row>
    <row r="212" spans="26:46">
      <c r="Z212" s="180"/>
      <c r="AA212" s="180"/>
      <c r="AB212" s="180"/>
      <c r="AC212" s="180"/>
      <c r="AD212" s="180"/>
      <c r="AE212" s="180"/>
      <c r="AF212" s="180"/>
      <c r="AG212" s="180"/>
      <c r="AH212" s="180"/>
      <c r="AI212" s="180"/>
      <c r="AJ212" s="180"/>
      <c r="AK212" s="180"/>
      <c r="AL212" s="180"/>
      <c r="AM212" s="180"/>
      <c r="AN212" s="180"/>
      <c r="AO212" s="180"/>
      <c r="AP212" s="180"/>
      <c r="AQ212" s="180"/>
      <c r="AR212" s="180"/>
      <c r="AS212" s="180">
        <v>38.717179381703133</v>
      </c>
      <c r="AT212" s="180">
        <v>31.077575837847448</v>
      </c>
    </row>
    <row r="213" spans="26:46">
      <c r="Z213" s="180"/>
      <c r="AA213" s="180"/>
      <c r="AB213" s="180"/>
      <c r="AC213" s="180"/>
      <c r="AD213" s="180"/>
      <c r="AE213" s="180"/>
      <c r="AF213" s="180"/>
      <c r="AG213" s="180"/>
      <c r="AH213" s="180"/>
      <c r="AI213" s="180"/>
      <c r="AJ213" s="180"/>
      <c r="AK213" s="180"/>
      <c r="AL213" s="180"/>
      <c r="AM213" s="180"/>
      <c r="AN213" s="180"/>
      <c r="AO213" s="180"/>
      <c r="AP213" s="180"/>
      <c r="AQ213" s="180"/>
      <c r="AR213" s="180"/>
      <c r="AS213" s="180">
        <v>0</v>
      </c>
      <c r="AT213" s="180">
        <v>0</v>
      </c>
    </row>
    <row r="214" spans="26:46">
      <c r="Z214" s="180"/>
      <c r="AA214" s="180"/>
      <c r="AB214" s="180"/>
      <c r="AC214" s="180"/>
      <c r="AD214" s="180"/>
      <c r="AE214" s="180"/>
      <c r="AF214" s="180"/>
      <c r="AG214" s="180"/>
      <c r="AH214" s="180"/>
      <c r="AI214" s="180"/>
      <c r="AJ214" s="180"/>
      <c r="AK214" s="180"/>
      <c r="AL214" s="180"/>
      <c r="AM214" s="180"/>
      <c r="AN214" s="180"/>
      <c r="AO214" s="180"/>
      <c r="AP214" s="180"/>
      <c r="AQ214" s="180"/>
      <c r="AR214" s="180"/>
      <c r="AS214" s="180">
        <v>7.0598424125133716</v>
      </c>
      <c r="AT214" s="180">
        <v>0</v>
      </c>
    </row>
    <row r="215" spans="26:46">
      <c r="Z215" s="180"/>
      <c r="AA215" s="180"/>
      <c r="AB215" s="180"/>
      <c r="AC215" s="180"/>
      <c r="AD215" s="180"/>
      <c r="AE215" s="180"/>
      <c r="AF215" s="180"/>
      <c r="AG215" s="180"/>
      <c r="AH215" s="180"/>
      <c r="AI215" s="180"/>
      <c r="AJ215" s="180"/>
      <c r="AK215" s="180"/>
      <c r="AL215" s="180"/>
      <c r="AM215" s="180"/>
      <c r="AN215" s="180"/>
      <c r="AO215" s="180"/>
      <c r="AP215" s="180"/>
      <c r="AQ215" s="180"/>
      <c r="AR215" s="180"/>
      <c r="AS215" s="180">
        <v>64.262884238830182</v>
      </c>
      <c r="AT215" s="180">
        <v>59.453872855381455</v>
      </c>
    </row>
    <row r="216" spans="26:46">
      <c r="Z216" s="180"/>
      <c r="AA216" s="180"/>
      <c r="AB216" s="180"/>
      <c r="AC216" s="180"/>
      <c r="AD216" s="180"/>
      <c r="AE216" s="180"/>
      <c r="AF216" s="180"/>
      <c r="AG216" s="180"/>
      <c r="AH216" s="180"/>
      <c r="AI216" s="180"/>
      <c r="AJ216" s="180"/>
      <c r="AK216" s="180"/>
      <c r="AL216" s="180"/>
      <c r="AM216" s="180"/>
      <c r="AN216" s="180"/>
      <c r="AO216" s="180"/>
      <c r="AP216" s="180"/>
      <c r="AQ216" s="180"/>
      <c r="AR216" s="180"/>
      <c r="AS216" s="180">
        <v>145.54233141369735</v>
      </c>
      <c r="AT216" s="180">
        <v>145.54233141369684</v>
      </c>
    </row>
    <row r="217" spans="26:46">
      <c r="Z217" s="180"/>
      <c r="AA217" s="180"/>
      <c r="AB217" s="180"/>
      <c r="AC217" s="180"/>
      <c r="AD217" s="180"/>
      <c r="AE217" s="180"/>
      <c r="AF217" s="180"/>
      <c r="AG217" s="180"/>
      <c r="AH217" s="180"/>
      <c r="AI217" s="180"/>
      <c r="AJ217" s="180"/>
      <c r="AK217" s="180"/>
      <c r="AL217" s="180"/>
      <c r="AM217" s="180"/>
      <c r="AN217" s="180"/>
      <c r="AO217" s="180"/>
      <c r="AP217" s="180"/>
      <c r="AQ217" s="180"/>
      <c r="AR217" s="180"/>
      <c r="AS217" s="180">
        <v>0</v>
      </c>
      <c r="AT217" s="180">
        <v>0</v>
      </c>
    </row>
    <row r="218" spans="26:46">
      <c r="Z218" s="180"/>
      <c r="AA218" s="180"/>
      <c r="AB218" s="180"/>
      <c r="AC218" s="180"/>
      <c r="AD218" s="180"/>
      <c r="AE218" s="180"/>
      <c r="AF218" s="180"/>
      <c r="AG218" s="180"/>
      <c r="AH218" s="180"/>
      <c r="AI218" s="180"/>
      <c r="AJ218" s="180"/>
      <c r="AK218" s="180"/>
      <c r="AL218" s="180"/>
      <c r="AM218" s="180"/>
      <c r="AN218" s="180"/>
      <c r="AO218" s="180"/>
      <c r="AP218" s="180"/>
      <c r="AQ218" s="180"/>
      <c r="AR218" s="180"/>
      <c r="AS218" s="180">
        <v>0</v>
      </c>
      <c r="AT218" s="180">
        <v>0</v>
      </c>
    </row>
    <row r="219" spans="26:46">
      <c r="Z219" s="180"/>
      <c r="AA219" s="180"/>
      <c r="AB219" s="180"/>
      <c r="AC219" s="180"/>
      <c r="AD219" s="180"/>
      <c r="AE219" s="180"/>
      <c r="AF219" s="180"/>
      <c r="AG219" s="180"/>
      <c r="AH219" s="180"/>
      <c r="AI219" s="180"/>
      <c r="AJ219" s="180"/>
      <c r="AK219" s="180"/>
      <c r="AL219" s="180"/>
      <c r="AM219" s="180"/>
      <c r="AN219" s="180"/>
      <c r="AO219" s="180"/>
      <c r="AP219" s="180"/>
      <c r="AQ219" s="180"/>
      <c r="AR219" s="180"/>
      <c r="AS219" s="180">
        <v>11.297433632078711</v>
      </c>
      <c r="AT219" s="180">
        <v>10.221259763066305</v>
      </c>
    </row>
    <row r="220" spans="26:46">
      <c r="Z220" s="180"/>
      <c r="AA220" s="180"/>
      <c r="AB220" s="180"/>
      <c r="AC220" s="180"/>
      <c r="AD220" s="180"/>
      <c r="AE220" s="180"/>
      <c r="AF220" s="180"/>
      <c r="AG220" s="180"/>
      <c r="AH220" s="180"/>
      <c r="AI220" s="180"/>
      <c r="AJ220" s="180"/>
      <c r="AK220" s="180"/>
      <c r="AL220" s="180"/>
      <c r="AM220" s="180"/>
      <c r="AN220" s="180"/>
      <c r="AO220" s="180"/>
      <c r="AP220" s="180"/>
      <c r="AQ220" s="180"/>
      <c r="AR220" s="180"/>
      <c r="AS220" s="180"/>
      <c r="AT220" s="180"/>
    </row>
    <row r="221" spans="26:46">
      <c r="Z221" s="180"/>
      <c r="AA221" s="180"/>
      <c r="AB221" s="180"/>
      <c r="AC221" s="180"/>
      <c r="AD221" s="180"/>
      <c r="AE221" s="180"/>
      <c r="AF221" s="180"/>
      <c r="AG221" s="180"/>
      <c r="AH221" s="180"/>
      <c r="AI221" s="180"/>
      <c r="AJ221" s="180"/>
      <c r="AK221" s="180"/>
      <c r="AL221" s="180"/>
      <c r="AM221" s="180"/>
      <c r="AN221" s="180"/>
      <c r="AO221" s="180"/>
      <c r="AP221" s="180"/>
      <c r="AQ221" s="180"/>
      <c r="AR221" s="180"/>
      <c r="AS221" s="180">
        <v>14472.085153253605</v>
      </c>
      <c r="AT221" s="180">
        <v>14551.859808979269</v>
      </c>
    </row>
    <row r="222" spans="26:46">
      <c r="Z222" s="180"/>
      <c r="AA222" s="180"/>
      <c r="AB222" s="180"/>
      <c r="AC222" s="180"/>
      <c r="AD222" s="180"/>
      <c r="AE222" s="180"/>
      <c r="AF222" s="180"/>
      <c r="AG222" s="180"/>
      <c r="AH222" s="180"/>
      <c r="AI222" s="180"/>
      <c r="AJ222" s="180"/>
      <c r="AK222" s="180"/>
      <c r="AL222" s="180"/>
      <c r="AM222" s="180"/>
      <c r="AN222" s="180"/>
      <c r="AO222" s="180"/>
      <c r="AP222" s="180"/>
      <c r="AQ222" s="180"/>
      <c r="AR222" s="180"/>
      <c r="AS222" s="180">
        <v>486917.41872138565</v>
      </c>
      <c r="AT222" s="180">
        <v>501469.27853036491</v>
      </c>
    </row>
    <row r="223" spans="26:46">
      <c r="Z223" s="180"/>
      <c r="AA223" s="180"/>
      <c r="AB223" s="180"/>
      <c r="AC223" s="180"/>
      <c r="AD223" s="180"/>
      <c r="AE223" s="180"/>
      <c r="AF223" s="180"/>
      <c r="AG223" s="180"/>
      <c r="AH223" s="180"/>
      <c r="AI223" s="180"/>
      <c r="AJ223" s="180"/>
      <c r="AK223" s="180"/>
      <c r="AL223" s="180"/>
      <c r="AM223" s="180"/>
      <c r="AN223" s="180"/>
      <c r="AO223" s="180"/>
      <c r="AP223" s="180"/>
      <c r="AQ223" s="180"/>
      <c r="AR223" s="180"/>
      <c r="AS223" s="180">
        <v>9542.9197441531087</v>
      </c>
      <c r="AT223" s="180">
        <v>9669.8750916960362</v>
      </c>
    </row>
    <row r="224" spans="26:46">
      <c r="Z224" s="180"/>
      <c r="AA224" s="180"/>
      <c r="AB224" s="180"/>
      <c r="AC224" s="180"/>
      <c r="AD224" s="180"/>
      <c r="AE224" s="180"/>
      <c r="AF224" s="180"/>
      <c r="AG224" s="180"/>
      <c r="AH224" s="180"/>
      <c r="AI224" s="180"/>
      <c r="AJ224" s="180"/>
      <c r="AK224" s="180"/>
      <c r="AL224" s="180"/>
      <c r="AM224" s="180"/>
      <c r="AN224" s="180"/>
      <c r="AO224" s="180"/>
      <c r="AP224" s="180"/>
      <c r="AQ224" s="180"/>
      <c r="AR224" s="180"/>
      <c r="AS224" s="180">
        <v>1757.5953694689902</v>
      </c>
      <c r="AT224" s="180">
        <v>1722.3944219635509</v>
      </c>
    </row>
    <row r="225" spans="26:46">
      <c r="Z225" s="180"/>
      <c r="AA225" s="180"/>
      <c r="AB225" s="180"/>
      <c r="AC225" s="180"/>
      <c r="AD225" s="180"/>
      <c r="AE225" s="180"/>
      <c r="AF225" s="180"/>
      <c r="AG225" s="180"/>
      <c r="AH225" s="180"/>
      <c r="AI225" s="180"/>
      <c r="AJ225" s="180"/>
      <c r="AK225" s="180"/>
      <c r="AL225" s="180"/>
      <c r="AM225" s="180"/>
      <c r="AN225" s="180"/>
      <c r="AO225" s="180"/>
      <c r="AP225" s="180"/>
      <c r="AQ225" s="180"/>
      <c r="AR225" s="180"/>
      <c r="AS225" s="180">
        <v>3066.9285366291501</v>
      </c>
      <c r="AT225" s="180">
        <v>3056.9872315609373</v>
      </c>
    </row>
    <row r="226" spans="26:46">
      <c r="Z226" s="180"/>
      <c r="AA226" s="180"/>
      <c r="AB226" s="180"/>
      <c r="AC226" s="180"/>
      <c r="AD226" s="180"/>
      <c r="AE226" s="180"/>
      <c r="AF226" s="180"/>
      <c r="AG226" s="180"/>
      <c r="AH226" s="180"/>
      <c r="AI226" s="180"/>
      <c r="AJ226" s="180"/>
      <c r="AK226" s="180"/>
      <c r="AL226" s="180"/>
      <c r="AM226" s="180"/>
      <c r="AN226" s="180"/>
      <c r="AO226" s="180"/>
      <c r="AP226" s="180"/>
      <c r="AQ226" s="180"/>
      <c r="AR226" s="180"/>
      <c r="AS226" s="180">
        <v>104.64150300235593</v>
      </c>
      <c r="AT226" s="180">
        <v>102.60306375874451</v>
      </c>
    </row>
    <row r="227" spans="26:46">
      <c r="Z227" s="180"/>
      <c r="AA227" s="180"/>
      <c r="AB227" s="180"/>
      <c r="AC227" s="180"/>
      <c r="AD227" s="180"/>
      <c r="AE227" s="180"/>
      <c r="AF227" s="180"/>
      <c r="AG227" s="180"/>
      <c r="AH227" s="180"/>
      <c r="AI227" s="180"/>
      <c r="AJ227" s="180"/>
      <c r="AK227" s="180"/>
      <c r="AL227" s="180"/>
      <c r="AM227" s="180"/>
      <c r="AN227" s="180"/>
      <c r="AO227" s="180"/>
      <c r="AP227" s="180"/>
      <c r="AQ227" s="180"/>
      <c r="AR227" s="180"/>
      <c r="AS227" s="180">
        <v>427.24301031181142</v>
      </c>
      <c r="AT227" s="180">
        <v>289.60177993159857</v>
      </c>
    </row>
    <row r="228" spans="26:46">
      <c r="Z228" s="180"/>
      <c r="AA228" s="180"/>
      <c r="AB228" s="180"/>
      <c r="AC228" s="180"/>
      <c r="AD228" s="180"/>
      <c r="AE228" s="180"/>
      <c r="AF228" s="180"/>
      <c r="AG228" s="180"/>
      <c r="AH228" s="180"/>
      <c r="AI228" s="180"/>
      <c r="AJ228" s="180"/>
      <c r="AK228" s="180"/>
      <c r="AL228" s="180"/>
      <c r="AM228" s="180"/>
      <c r="AN228" s="180"/>
      <c r="AO228" s="180"/>
      <c r="AP228" s="180"/>
      <c r="AQ228" s="180"/>
      <c r="AR228" s="180"/>
      <c r="AS228" s="180">
        <v>6497.8162094912013</v>
      </c>
      <c r="AT228" s="180">
        <v>6787.4179894228</v>
      </c>
    </row>
    <row r="229" spans="26:46">
      <c r="Z229" s="180"/>
      <c r="AA229" s="180"/>
      <c r="AB229" s="180"/>
      <c r="AC229" s="180"/>
      <c r="AD229" s="180"/>
      <c r="AE229" s="180"/>
      <c r="AF229" s="180"/>
      <c r="AG229" s="180"/>
      <c r="AH229" s="180"/>
      <c r="AI229" s="180"/>
      <c r="AJ229" s="180"/>
      <c r="AK229" s="180"/>
      <c r="AL229" s="180"/>
      <c r="AM229" s="180"/>
      <c r="AN229" s="180"/>
      <c r="AO229" s="180"/>
      <c r="AP229" s="180"/>
      <c r="AQ229" s="180"/>
      <c r="AR229" s="180"/>
      <c r="AS229" s="180">
        <v>5.4485148410360358</v>
      </c>
      <c r="AT229" s="180">
        <v>5.4484914152400474</v>
      </c>
    </row>
    <row r="230" spans="26:46">
      <c r="Z230" s="180"/>
      <c r="AA230" s="180"/>
      <c r="AB230" s="180"/>
      <c r="AC230" s="180"/>
      <c r="AD230" s="180"/>
      <c r="AE230" s="180"/>
      <c r="AF230" s="180"/>
      <c r="AG230" s="180"/>
      <c r="AH230" s="180"/>
      <c r="AI230" s="180"/>
      <c r="AJ230" s="180"/>
      <c r="AK230" s="180"/>
      <c r="AL230" s="180"/>
      <c r="AM230" s="180"/>
      <c r="AN230" s="180"/>
      <c r="AO230" s="180"/>
      <c r="AP230" s="180"/>
      <c r="AQ230" s="180"/>
      <c r="AR230" s="180"/>
      <c r="AS230" s="180">
        <v>285.49933535430159</v>
      </c>
      <c r="AT230" s="180">
        <v>284.10898245952336</v>
      </c>
    </row>
    <row r="231" spans="26:46">
      <c r="Z231" s="180"/>
      <c r="AA231" s="180"/>
      <c r="AB231" s="180"/>
      <c r="AC231" s="180"/>
      <c r="AD231" s="180"/>
      <c r="AE231" s="180"/>
      <c r="AF231" s="180"/>
      <c r="AG231" s="180"/>
      <c r="AH231" s="180"/>
      <c r="AI231" s="180"/>
      <c r="AJ231" s="180"/>
      <c r="AK231" s="180"/>
      <c r="AL231" s="180"/>
      <c r="AM231" s="180"/>
      <c r="AN231" s="180"/>
      <c r="AO231" s="180"/>
      <c r="AP231" s="180"/>
      <c r="AQ231" s="180"/>
      <c r="AR231" s="180"/>
      <c r="AS231" s="180">
        <v>0</v>
      </c>
      <c r="AT231" s="180">
        <v>0</v>
      </c>
    </row>
    <row r="232" spans="26:46">
      <c r="Z232" s="180"/>
      <c r="AA232" s="180"/>
      <c r="AB232" s="180"/>
      <c r="AC232" s="180"/>
      <c r="AD232" s="180"/>
      <c r="AE232" s="180"/>
      <c r="AF232" s="180"/>
      <c r="AG232" s="180"/>
      <c r="AH232" s="180"/>
      <c r="AI232" s="180"/>
      <c r="AJ232" s="180"/>
      <c r="AK232" s="180"/>
      <c r="AL232" s="180"/>
      <c r="AM232" s="180"/>
      <c r="AN232" s="180"/>
      <c r="AO232" s="180"/>
      <c r="AP232" s="180"/>
      <c r="AQ232" s="180"/>
      <c r="AR232" s="180"/>
      <c r="AS232" s="180">
        <v>136.29516011647374</v>
      </c>
      <c r="AT232" s="180">
        <v>4.430605683519976E-2</v>
      </c>
    </row>
    <row r="233" spans="26:46">
      <c r="Z233" s="180"/>
      <c r="AA233" s="180"/>
      <c r="AB233" s="180"/>
      <c r="AC233" s="180"/>
      <c r="AD233" s="180"/>
      <c r="AE233" s="180"/>
      <c r="AF233" s="180"/>
      <c r="AG233" s="180"/>
      <c r="AH233" s="180"/>
      <c r="AI233" s="180"/>
      <c r="AJ233" s="180"/>
      <c r="AK233" s="180"/>
      <c r="AL233" s="180"/>
      <c r="AM233" s="180"/>
      <c r="AN233" s="180"/>
      <c r="AO233" s="180"/>
      <c r="AP233" s="180"/>
      <c r="AQ233" s="180"/>
      <c r="AR233" s="180"/>
      <c r="AS233" s="180"/>
      <c r="AT233" s="180"/>
    </row>
    <row r="234" spans="26:46">
      <c r="Z234" s="180"/>
      <c r="AA234" s="180"/>
      <c r="AB234" s="180"/>
      <c r="AC234" s="180"/>
      <c r="AD234" s="180"/>
      <c r="AE234" s="180"/>
      <c r="AF234" s="180"/>
      <c r="AG234" s="180"/>
      <c r="AH234" s="180"/>
      <c r="AI234" s="180"/>
      <c r="AJ234" s="180"/>
      <c r="AK234" s="180"/>
      <c r="AL234" s="180"/>
      <c r="AM234" s="180"/>
      <c r="AN234" s="180"/>
      <c r="AO234" s="180"/>
      <c r="AP234" s="180"/>
      <c r="AQ234" s="180"/>
      <c r="AR234" s="180"/>
      <c r="AS234" s="180"/>
      <c r="AT234" s="180"/>
    </row>
    <row r="235" spans="26:46">
      <c r="Z235" s="180"/>
      <c r="AA235" s="180"/>
      <c r="AB235" s="180"/>
      <c r="AC235" s="180"/>
      <c r="AD235" s="180"/>
      <c r="AE235" s="180"/>
      <c r="AF235" s="180"/>
      <c r="AG235" s="180"/>
      <c r="AH235" s="180"/>
      <c r="AI235" s="180"/>
      <c r="AJ235" s="180"/>
      <c r="AK235" s="180"/>
      <c r="AL235" s="180"/>
      <c r="AM235" s="180"/>
      <c r="AN235" s="180"/>
      <c r="AO235" s="180"/>
      <c r="AP235" s="180"/>
      <c r="AQ235" s="180"/>
      <c r="AR235" s="180"/>
      <c r="AS235" s="180">
        <v>11.255575226672063</v>
      </c>
      <c r="AT235" s="180">
        <v>11.221169809528444</v>
      </c>
    </row>
    <row r="236" spans="26:46">
      <c r="Z236" s="180"/>
      <c r="AA236" s="180"/>
      <c r="AB236" s="180"/>
      <c r="AC236" s="180"/>
      <c r="AD236" s="180"/>
      <c r="AE236" s="180"/>
      <c r="AF236" s="180"/>
      <c r="AG236" s="180"/>
      <c r="AH236" s="180"/>
      <c r="AI236" s="180"/>
      <c r="AJ236" s="180"/>
      <c r="AK236" s="180"/>
      <c r="AL236" s="180"/>
      <c r="AM236" s="180"/>
      <c r="AN236" s="180"/>
      <c r="AO236" s="180"/>
      <c r="AP236" s="180"/>
      <c r="AQ236" s="180"/>
      <c r="AR236" s="180"/>
      <c r="AS236" s="180">
        <v>456.73756959073921</v>
      </c>
      <c r="AT236" s="180">
        <v>467.95873940026763</v>
      </c>
    </row>
    <row r="237" spans="26:46">
      <c r="Z237" s="180"/>
      <c r="AA237" s="180"/>
      <c r="AB237" s="180"/>
      <c r="AC237" s="180"/>
      <c r="AD237" s="180"/>
      <c r="AE237" s="180"/>
      <c r="AF237" s="180"/>
      <c r="AG237" s="180"/>
      <c r="AH237" s="180"/>
      <c r="AI237" s="180"/>
      <c r="AJ237" s="180"/>
      <c r="AK237" s="180"/>
      <c r="AL237" s="180"/>
      <c r="AM237" s="180"/>
      <c r="AN237" s="180"/>
      <c r="AO237" s="180"/>
      <c r="AP237" s="180"/>
      <c r="AQ237" s="180"/>
      <c r="AR237" s="180"/>
      <c r="AS237" s="180">
        <v>1.3220686777739283</v>
      </c>
      <c r="AT237" s="180">
        <v>1.3127356906104524</v>
      </c>
    </row>
    <row r="238" spans="26:46">
      <c r="Z238" s="180"/>
      <c r="AA238" s="180"/>
      <c r="AB238" s="180"/>
      <c r="AC238" s="180"/>
      <c r="AD238" s="180"/>
      <c r="AE238" s="180"/>
      <c r="AF238" s="180"/>
      <c r="AG238" s="180"/>
      <c r="AH238" s="180"/>
      <c r="AI238" s="180"/>
      <c r="AJ238" s="180"/>
      <c r="AK238" s="180"/>
      <c r="AL238" s="180"/>
      <c r="AM238" s="180"/>
      <c r="AN238" s="180"/>
      <c r="AO238" s="180"/>
      <c r="AP238" s="180"/>
      <c r="AQ238" s="180"/>
      <c r="AR238" s="180"/>
      <c r="AS238" s="180">
        <v>85.243270590774685</v>
      </c>
      <c r="AT238" s="180">
        <v>86.556006281385137</v>
      </c>
    </row>
    <row r="239" spans="26:46">
      <c r="Z239" s="180"/>
      <c r="AA239" s="180"/>
      <c r="AB239" s="180"/>
      <c r="AC239" s="180"/>
      <c r="AD239" s="180"/>
      <c r="AE239" s="180"/>
      <c r="AF239" s="180"/>
      <c r="AG239" s="180"/>
      <c r="AH239" s="180"/>
      <c r="AI239" s="180"/>
      <c r="AJ239" s="180"/>
      <c r="AK239" s="180"/>
      <c r="AL239" s="180"/>
      <c r="AM239" s="180"/>
      <c r="AN239" s="180"/>
      <c r="AO239" s="180"/>
      <c r="AP239" s="180"/>
      <c r="AQ239" s="180"/>
      <c r="AR239" s="180"/>
      <c r="AS239" s="180">
        <v>0</v>
      </c>
      <c r="AT239" s="180">
        <v>0</v>
      </c>
    </row>
    <row r="240" spans="26:46">
      <c r="Z240" s="180"/>
      <c r="AA240" s="180"/>
      <c r="AB240" s="180"/>
      <c r="AC240" s="180"/>
      <c r="AD240" s="180"/>
      <c r="AE240" s="180"/>
      <c r="AF240" s="180"/>
      <c r="AG240" s="180"/>
      <c r="AH240" s="180"/>
      <c r="AI240" s="180"/>
      <c r="AJ240" s="180"/>
      <c r="AK240" s="180"/>
      <c r="AL240" s="180"/>
      <c r="AM240" s="180"/>
      <c r="AN240" s="180"/>
      <c r="AO240" s="180"/>
      <c r="AP240" s="180"/>
      <c r="AQ240" s="180"/>
      <c r="AR240" s="180"/>
      <c r="AS240" s="180">
        <v>1072.7228089532643</v>
      </c>
      <c r="AT240" s="180">
        <v>1064.8713883557714</v>
      </c>
    </row>
    <row r="241" spans="26:46">
      <c r="Z241" s="180"/>
      <c r="AA241" s="180"/>
      <c r="AB241" s="180"/>
      <c r="AC241" s="180"/>
      <c r="AD241" s="180"/>
      <c r="AE241" s="180"/>
      <c r="AF241" s="180"/>
      <c r="AG241" s="180"/>
      <c r="AH241" s="180"/>
      <c r="AI241" s="180"/>
      <c r="AJ241" s="180"/>
      <c r="AK241" s="180"/>
      <c r="AL241" s="180"/>
      <c r="AM241" s="180"/>
      <c r="AN241" s="180"/>
      <c r="AO241" s="180"/>
      <c r="AP241" s="180"/>
      <c r="AQ241" s="180"/>
      <c r="AR241" s="180"/>
      <c r="AS241" s="180">
        <v>73464.031584788478</v>
      </c>
      <c r="AT241" s="180">
        <v>74528.902973144242</v>
      </c>
    </row>
    <row r="242" spans="26:46">
      <c r="Z242" s="180"/>
      <c r="AA242" s="180"/>
      <c r="AB242" s="180"/>
      <c r="AC242" s="180"/>
      <c r="AD242" s="180"/>
      <c r="AE242" s="180"/>
      <c r="AF242" s="180"/>
      <c r="AG242" s="180"/>
      <c r="AH242" s="180"/>
      <c r="AI242" s="180"/>
      <c r="AJ242" s="180"/>
      <c r="AK242" s="180"/>
      <c r="AL242" s="180"/>
      <c r="AM242" s="180"/>
      <c r="AN242" s="180"/>
      <c r="AO242" s="180"/>
      <c r="AP242" s="180"/>
      <c r="AQ242" s="180"/>
      <c r="AR242" s="180"/>
      <c r="AS242" s="180">
        <v>21.213129022684932</v>
      </c>
      <c r="AT242" s="180">
        <v>18.271213656041105</v>
      </c>
    </row>
    <row r="243" spans="26:46">
      <c r="Z243" s="180"/>
      <c r="AA243" s="180"/>
      <c r="AB243" s="180"/>
      <c r="AC243" s="180"/>
      <c r="AD243" s="180"/>
      <c r="AE243" s="180"/>
      <c r="AF243" s="180"/>
      <c r="AG243" s="180"/>
      <c r="AH243" s="180"/>
      <c r="AI243" s="180"/>
      <c r="AJ243" s="180"/>
      <c r="AK243" s="180"/>
      <c r="AL243" s="180"/>
      <c r="AM243" s="180"/>
      <c r="AN243" s="180"/>
      <c r="AO243" s="180"/>
      <c r="AP243" s="180"/>
      <c r="AQ243" s="180"/>
      <c r="AR243" s="180"/>
      <c r="AS243" s="180">
        <v>178.12767786480575</v>
      </c>
      <c r="AT243" s="180">
        <v>179.14160650512477</v>
      </c>
    </row>
    <row r="244" spans="26:46">
      <c r="Z244" s="180"/>
      <c r="AA244" s="180"/>
      <c r="AB244" s="180"/>
      <c r="AC244" s="180"/>
      <c r="AD244" s="180"/>
      <c r="AE244" s="180"/>
      <c r="AF244" s="180"/>
      <c r="AG244" s="180"/>
      <c r="AH244" s="180"/>
      <c r="AI244" s="180"/>
      <c r="AJ244" s="180"/>
      <c r="AK244" s="180"/>
      <c r="AL244" s="180"/>
      <c r="AM244" s="180"/>
      <c r="AN244" s="180"/>
      <c r="AO244" s="180"/>
      <c r="AP244" s="180"/>
      <c r="AQ244" s="180"/>
      <c r="AR244" s="180"/>
      <c r="AS244" s="180">
        <v>137.99269135208985</v>
      </c>
      <c r="AT244" s="180">
        <v>137.76588326357259</v>
      </c>
    </row>
    <row r="245" spans="26:46">
      <c r="Z245" s="180"/>
      <c r="AA245" s="180"/>
      <c r="AB245" s="180"/>
      <c r="AC245" s="180"/>
      <c r="AD245" s="180"/>
      <c r="AE245" s="180"/>
      <c r="AF245" s="180"/>
      <c r="AG245" s="180"/>
      <c r="AH245" s="180"/>
      <c r="AI245" s="180"/>
      <c r="AJ245" s="180"/>
      <c r="AK245" s="180"/>
      <c r="AL245" s="180"/>
      <c r="AM245" s="180"/>
      <c r="AN245" s="180"/>
      <c r="AO245" s="180"/>
      <c r="AP245" s="180"/>
      <c r="AQ245" s="180"/>
      <c r="AR245" s="180"/>
      <c r="AS245" s="180">
        <v>66.08711974413248</v>
      </c>
      <c r="AT245" s="180">
        <v>58.737047670775105</v>
      </c>
    </row>
    <row r="246" spans="26:46">
      <c r="Z246" s="180"/>
      <c r="AA246" s="180"/>
      <c r="AB246" s="180"/>
      <c r="AC246" s="180"/>
      <c r="AD246" s="180"/>
      <c r="AE246" s="180"/>
      <c r="AF246" s="180"/>
      <c r="AG246" s="180"/>
      <c r="AH246" s="180"/>
      <c r="AI246" s="180"/>
      <c r="AJ246" s="180"/>
      <c r="AK246" s="180"/>
      <c r="AL246" s="180"/>
      <c r="AM246" s="180"/>
      <c r="AN246" s="180"/>
      <c r="AO246" s="180"/>
      <c r="AP246" s="180"/>
      <c r="AQ246" s="180"/>
      <c r="AR246" s="180"/>
      <c r="AS246" s="180">
        <v>578.71122465653343</v>
      </c>
      <c r="AT246" s="180">
        <v>580.39344296840886</v>
      </c>
    </row>
    <row r="247" spans="26:46">
      <c r="Z247" s="180"/>
      <c r="AA247" s="180"/>
      <c r="AB247" s="180"/>
      <c r="AC247" s="180"/>
      <c r="AD247" s="180"/>
      <c r="AE247" s="180"/>
      <c r="AF247" s="180"/>
      <c r="AG247" s="180"/>
      <c r="AH247" s="180"/>
      <c r="AI247" s="180"/>
      <c r="AJ247" s="180"/>
      <c r="AK247" s="180"/>
      <c r="AL247" s="180"/>
      <c r="AM247" s="180"/>
      <c r="AN247" s="180"/>
      <c r="AO247" s="180"/>
      <c r="AP247" s="180"/>
      <c r="AQ247" s="180"/>
      <c r="AR247" s="180"/>
      <c r="AS247" s="180">
        <v>0</v>
      </c>
      <c r="AT247" s="180">
        <v>0</v>
      </c>
    </row>
    <row r="248" spans="26:46">
      <c r="Z248" s="180"/>
      <c r="AA248" s="180"/>
      <c r="AB248" s="180"/>
      <c r="AC248" s="180"/>
      <c r="AD248" s="180"/>
      <c r="AE248" s="180"/>
      <c r="AF248" s="180"/>
      <c r="AG248" s="180"/>
      <c r="AH248" s="180"/>
      <c r="AI248" s="180"/>
      <c r="AJ248" s="180"/>
      <c r="AK248" s="180"/>
      <c r="AL248" s="180"/>
      <c r="AM248" s="180"/>
      <c r="AN248" s="180"/>
      <c r="AO248" s="180"/>
      <c r="AP248" s="180"/>
      <c r="AQ248" s="180"/>
      <c r="AR248" s="180"/>
      <c r="AS248" s="180">
        <v>30.518123056661377</v>
      </c>
      <c r="AT248" s="180">
        <v>30.390529784599092</v>
      </c>
    </row>
    <row r="249" spans="26:46">
      <c r="Z249" s="180"/>
      <c r="AA249" s="180"/>
      <c r="AB249" s="180"/>
      <c r="AC249" s="180"/>
      <c r="AD249" s="180"/>
      <c r="AE249" s="180"/>
      <c r="AF249" s="180"/>
      <c r="AG249" s="180"/>
      <c r="AH249" s="180"/>
      <c r="AI249" s="180"/>
      <c r="AJ249" s="180"/>
      <c r="AK249" s="180"/>
      <c r="AL249" s="180"/>
      <c r="AM249" s="180"/>
      <c r="AN249" s="180"/>
      <c r="AO249" s="180"/>
      <c r="AP249" s="180"/>
      <c r="AQ249" s="180"/>
      <c r="AR249" s="180"/>
      <c r="AS249" s="180">
        <v>60.072843256356499</v>
      </c>
      <c r="AT249" s="180">
        <v>60.171664507249851</v>
      </c>
    </row>
    <row r="250" spans="26:46">
      <c r="Z250" s="180"/>
      <c r="AA250" s="180"/>
      <c r="AB250" s="180"/>
      <c r="AC250" s="180"/>
      <c r="AD250" s="180"/>
      <c r="AE250" s="180"/>
      <c r="AF250" s="180"/>
      <c r="AG250" s="180"/>
      <c r="AH250" s="180"/>
      <c r="AI250" s="180"/>
      <c r="AJ250" s="180"/>
      <c r="AK250" s="180"/>
      <c r="AL250" s="180"/>
      <c r="AM250" s="180"/>
      <c r="AN250" s="180"/>
      <c r="AO250" s="180"/>
      <c r="AP250" s="180"/>
      <c r="AQ250" s="180"/>
      <c r="AR250" s="180"/>
      <c r="AS250" s="180">
        <v>0</v>
      </c>
      <c r="AT250" s="180">
        <v>0</v>
      </c>
    </row>
    <row r="251" spans="26:46">
      <c r="Z251" s="180"/>
      <c r="AA251" s="180"/>
      <c r="AB251" s="180"/>
      <c r="AC251" s="180"/>
      <c r="AD251" s="180"/>
      <c r="AE251" s="180"/>
      <c r="AF251" s="180"/>
      <c r="AG251" s="180"/>
      <c r="AH251" s="180"/>
      <c r="AI251" s="180"/>
      <c r="AJ251" s="180"/>
      <c r="AK251" s="180"/>
      <c r="AL251" s="180"/>
      <c r="AM251" s="180"/>
      <c r="AN251" s="180"/>
      <c r="AO251" s="180"/>
      <c r="AP251" s="180"/>
      <c r="AQ251" s="180"/>
      <c r="AR251" s="180"/>
      <c r="AS251" s="180">
        <v>0</v>
      </c>
      <c r="AT251" s="180">
        <v>0</v>
      </c>
    </row>
    <row r="252" spans="26:46">
      <c r="Z252" s="180"/>
      <c r="AA252" s="180"/>
      <c r="AB252" s="180"/>
      <c r="AC252" s="180"/>
      <c r="AD252" s="180"/>
      <c r="AE252" s="180"/>
      <c r="AF252" s="180"/>
      <c r="AG252" s="180"/>
      <c r="AH252" s="180"/>
      <c r="AI252" s="180"/>
      <c r="AJ252" s="180"/>
      <c r="AK252" s="180"/>
      <c r="AL252" s="180"/>
      <c r="AM252" s="180"/>
      <c r="AN252" s="180"/>
      <c r="AO252" s="180"/>
      <c r="AP252" s="180"/>
      <c r="AQ252" s="180"/>
      <c r="AR252" s="180"/>
      <c r="AS252" s="180">
        <v>0</v>
      </c>
      <c r="AT252" s="180">
        <v>0</v>
      </c>
    </row>
    <row r="253" spans="26:46">
      <c r="Z253" s="180"/>
      <c r="AA253" s="180"/>
      <c r="AB253" s="180"/>
      <c r="AC253" s="180"/>
      <c r="AD253" s="180"/>
      <c r="AE253" s="180"/>
      <c r="AF253" s="180"/>
      <c r="AG253" s="180"/>
      <c r="AH253" s="180"/>
      <c r="AI253" s="180"/>
      <c r="AJ253" s="180"/>
      <c r="AK253" s="180"/>
      <c r="AL253" s="180"/>
      <c r="AM253" s="180"/>
      <c r="AN253" s="180"/>
      <c r="AO253" s="180"/>
      <c r="AP253" s="180"/>
      <c r="AQ253" s="180"/>
      <c r="AR253" s="180"/>
      <c r="AS253" s="180">
        <v>0</v>
      </c>
      <c r="AT253" s="180">
        <v>0</v>
      </c>
    </row>
    <row r="254" spans="26:46">
      <c r="Z254" s="180"/>
      <c r="AA254" s="180"/>
      <c r="AB254" s="180"/>
      <c r="AC254" s="180"/>
      <c r="AD254" s="180"/>
      <c r="AE254" s="180"/>
      <c r="AF254" s="180"/>
      <c r="AG254" s="180"/>
      <c r="AH254" s="180"/>
      <c r="AI254" s="180"/>
      <c r="AJ254" s="180"/>
      <c r="AK254" s="180"/>
      <c r="AL254" s="180"/>
      <c r="AM254" s="180"/>
      <c r="AN254" s="180"/>
      <c r="AO254" s="180"/>
      <c r="AP254" s="180"/>
      <c r="AQ254" s="180"/>
      <c r="AR254" s="180"/>
      <c r="AS254" s="180">
        <v>249.34586882066412</v>
      </c>
      <c r="AT254" s="180">
        <v>247.86430225468106</v>
      </c>
    </row>
    <row r="255" spans="26:46">
      <c r="Z255" s="180"/>
      <c r="AA255" s="180"/>
      <c r="AB255" s="180"/>
      <c r="AC255" s="180"/>
      <c r="AD255" s="180"/>
      <c r="AE255" s="180"/>
      <c r="AF255" s="180"/>
      <c r="AG255" s="180"/>
      <c r="AH255" s="180"/>
      <c r="AI255" s="180"/>
      <c r="AJ255" s="180"/>
      <c r="AK255" s="180"/>
      <c r="AL255" s="180"/>
      <c r="AM255" s="180"/>
      <c r="AN255" s="180"/>
      <c r="AO255" s="180"/>
      <c r="AP255" s="180"/>
      <c r="AQ255" s="180"/>
      <c r="AR255" s="180"/>
      <c r="AS255" s="180">
        <v>11779.239005986194</v>
      </c>
      <c r="AT255" s="180">
        <v>12027.103308240874</v>
      </c>
    </row>
    <row r="256" spans="26:46">
      <c r="Z256" s="180"/>
      <c r="AA256" s="180"/>
      <c r="AB256" s="180"/>
      <c r="AC256" s="180"/>
      <c r="AD256" s="180"/>
      <c r="AE256" s="180"/>
      <c r="AF256" s="180"/>
      <c r="AG256" s="180"/>
      <c r="AH256" s="180"/>
      <c r="AI256" s="180"/>
      <c r="AJ256" s="180"/>
      <c r="AK256" s="180"/>
      <c r="AL256" s="180"/>
      <c r="AM256" s="180"/>
      <c r="AN256" s="180"/>
      <c r="AO256" s="180"/>
      <c r="AP256" s="180"/>
      <c r="AQ256" s="180"/>
      <c r="AR256" s="180"/>
      <c r="AS256" s="180">
        <v>0.29298700894029883</v>
      </c>
      <c r="AT256" s="180">
        <v>0.29298700894029994</v>
      </c>
    </row>
    <row r="257" spans="26:46">
      <c r="Z257" s="180"/>
      <c r="AA257" s="180"/>
      <c r="AB257" s="180"/>
      <c r="AC257" s="180"/>
      <c r="AD257" s="180"/>
      <c r="AE257" s="180"/>
      <c r="AF257" s="180"/>
      <c r="AG257" s="180"/>
      <c r="AH257" s="180"/>
      <c r="AI257" s="180"/>
      <c r="AJ257" s="180"/>
      <c r="AK257" s="180"/>
      <c r="AL257" s="180"/>
      <c r="AM257" s="180"/>
      <c r="AN257" s="180"/>
      <c r="AO257" s="180"/>
      <c r="AP257" s="180"/>
      <c r="AQ257" s="180"/>
      <c r="AR257" s="180"/>
      <c r="AS257" s="180">
        <v>0</v>
      </c>
      <c r="AT257" s="180">
        <v>0</v>
      </c>
    </row>
    <row r="258" spans="26:46">
      <c r="Z258" s="180"/>
      <c r="AA258" s="180"/>
      <c r="AB258" s="180"/>
      <c r="AC258" s="180"/>
      <c r="AD258" s="180"/>
      <c r="AE258" s="180"/>
      <c r="AF258" s="180"/>
      <c r="AG258" s="180"/>
      <c r="AH258" s="180"/>
      <c r="AI258" s="180"/>
      <c r="AJ258" s="180"/>
      <c r="AK258" s="180"/>
      <c r="AL258" s="180"/>
      <c r="AM258" s="180"/>
      <c r="AN258" s="180"/>
      <c r="AO258" s="180"/>
      <c r="AP258" s="180"/>
      <c r="AQ258" s="180"/>
      <c r="AR258" s="180"/>
      <c r="AS258" s="180">
        <v>15.516356042754797</v>
      </c>
      <c r="AT258" s="180">
        <v>15.516801559244593</v>
      </c>
    </row>
    <row r="259" spans="26:46">
      <c r="Z259" s="180"/>
      <c r="AA259" s="180"/>
      <c r="AB259" s="180"/>
      <c r="AC259" s="180"/>
      <c r="AD259" s="180"/>
      <c r="AE259" s="180"/>
      <c r="AF259" s="180"/>
      <c r="AG259" s="180"/>
      <c r="AH259" s="180"/>
      <c r="AI259" s="180"/>
      <c r="AJ259" s="180"/>
      <c r="AK259" s="180"/>
      <c r="AL259" s="180"/>
      <c r="AM259" s="180"/>
      <c r="AN259" s="180"/>
      <c r="AO259" s="180"/>
      <c r="AP259" s="180"/>
      <c r="AQ259" s="180"/>
      <c r="AR259" s="180"/>
      <c r="AS259" s="180">
        <v>0</v>
      </c>
      <c r="AT259" s="180">
        <v>0</v>
      </c>
    </row>
    <row r="260" spans="26:46">
      <c r="Z260" s="180"/>
      <c r="AA260" s="180"/>
      <c r="AB260" s="180"/>
      <c r="AC260" s="180"/>
      <c r="AD260" s="180"/>
      <c r="AE260" s="180"/>
      <c r="AF260" s="180"/>
      <c r="AG260" s="180"/>
      <c r="AH260" s="180"/>
      <c r="AI260" s="180"/>
      <c r="AJ260" s="180"/>
      <c r="AK260" s="180"/>
      <c r="AL260" s="180"/>
      <c r="AM260" s="180"/>
      <c r="AN260" s="180"/>
      <c r="AO260" s="180"/>
      <c r="AP260" s="180"/>
      <c r="AQ260" s="180"/>
      <c r="AR260" s="180"/>
      <c r="AS260" s="180">
        <v>108.41887719271449</v>
      </c>
      <c r="AT260" s="180">
        <v>106.79519584897548</v>
      </c>
    </row>
    <row r="261" spans="26:46">
      <c r="Z261" s="180"/>
      <c r="AA261" s="180"/>
      <c r="AB261" s="180"/>
      <c r="AC261" s="180"/>
      <c r="AD261" s="180"/>
      <c r="AE261" s="180"/>
      <c r="AF261" s="180"/>
      <c r="AG261" s="180"/>
      <c r="AH261" s="180"/>
      <c r="AI261" s="180"/>
      <c r="AJ261" s="180"/>
      <c r="AK261" s="180"/>
      <c r="AL261" s="180"/>
      <c r="AM261" s="180"/>
      <c r="AN261" s="180"/>
      <c r="AO261" s="180"/>
      <c r="AP261" s="180"/>
      <c r="AQ261" s="180"/>
      <c r="AR261" s="180"/>
      <c r="AS261" s="180">
        <v>125.11764857625452</v>
      </c>
      <c r="AT261" s="180">
        <v>125.25931783752068</v>
      </c>
    </row>
    <row r="262" spans="26:46">
      <c r="Z262" s="180"/>
      <c r="AA262" s="180"/>
      <c r="AB262" s="180"/>
      <c r="AC262" s="180"/>
      <c r="AD262" s="180"/>
      <c r="AE262" s="180"/>
      <c r="AF262" s="180"/>
      <c r="AG262" s="180"/>
      <c r="AH262" s="180"/>
      <c r="AI262" s="180"/>
      <c r="AJ262" s="180"/>
      <c r="AK262" s="180"/>
      <c r="AL262" s="180"/>
      <c r="AM262" s="180"/>
      <c r="AN262" s="180"/>
      <c r="AO262" s="180"/>
      <c r="AP262" s="180"/>
      <c r="AQ262" s="180"/>
      <c r="AR262" s="180"/>
      <c r="AS262" s="180">
        <v>0</v>
      </c>
      <c r="AT262" s="180">
        <v>0</v>
      </c>
    </row>
    <row r="263" spans="26:46">
      <c r="Z263" s="180"/>
      <c r="AA263" s="180"/>
      <c r="AB263" s="180"/>
      <c r="AC263" s="180"/>
      <c r="AD263" s="180"/>
      <c r="AE263" s="180"/>
      <c r="AF263" s="180"/>
      <c r="AG263" s="180"/>
      <c r="AH263" s="180"/>
      <c r="AI263" s="180"/>
      <c r="AJ263" s="180"/>
      <c r="AK263" s="180"/>
      <c r="AL263" s="180"/>
      <c r="AM263" s="180"/>
      <c r="AN263" s="180"/>
      <c r="AO263" s="180"/>
      <c r="AP263" s="180"/>
      <c r="AQ263" s="180"/>
      <c r="AR263" s="180"/>
      <c r="AS263" s="180">
        <v>9933.5065488981345</v>
      </c>
      <c r="AT263" s="180">
        <v>9908.4341189179922</v>
      </c>
    </row>
    <row r="264" spans="26:46">
      <c r="Z264" s="180"/>
      <c r="AA264" s="180"/>
      <c r="AB264" s="180"/>
      <c r="AC264" s="180"/>
      <c r="AD264" s="180"/>
      <c r="AE264" s="180"/>
      <c r="AF264" s="180"/>
      <c r="AG264" s="180"/>
      <c r="AH264" s="180"/>
      <c r="AI264" s="180"/>
      <c r="AJ264" s="180"/>
      <c r="AK264" s="180"/>
      <c r="AL264" s="180"/>
      <c r="AM264" s="180"/>
      <c r="AN264" s="180"/>
      <c r="AO264" s="180"/>
      <c r="AP264" s="180"/>
      <c r="AQ264" s="180"/>
      <c r="AR264" s="180"/>
      <c r="AS264" s="180">
        <v>371494.29899996443</v>
      </c>
      <c r="AT264" s="180">
        <v>381402.7331188824</v>
      </c>
    </row>
    <row r="265" spans="26:46">
      <c r="Z265" s="180"/>
      <c r="AA265" s="180"/>
      <c r="AB265" s="180"/>
      <c r="AC265" s="180"/>
      <c r="AD265" s="180"/>
      <c r="AE265" s="180"/>
      <c r="AF265" s="180"/>
      <c r="AG265" s="180"/>
      <c r="AH265" s="180"/>
      <c r="AI265" s="180"/>
      <c r="AJ265" s="180"/>
      <c r="AK265" s="180"/>
      <c r="AL265" s="180"/>
      <c r="AM265" s="180"/>
      <c r="AN265" s="180"/>
      <c r="AO265" s="180"/>
      <c r="AP265" s="180"/>
      <c r="AQ265" s="180"/>
      <c r="AR265" s="180"/>
      <c r="AS265" s="180">
        <v>0</v>
      </c>
      <c r="AT265" s="180">
        <v>0</v>
      </c>
    </row>
    <row r="266" spans="26:46">
      <c r="Z266" s="180"/>
      <c r="AA266" s="180"/>
      <c r="AB266" s="180"/>
      <c r="AC266" s="180"/>
      <c r="AD266" s="180"/>
      <c r="AE266" s="180"/>
      <c r="AF266" s="180"/>
      <c r="AG266" s="180"/>
      <c r="AH266" s="180"/>
      <c r="AI266" s="180"/>
      <c r="AJ266" s="180"/>
      <c r="AK266" s="180"/>
      <c r="AL266" s="180"/>
      <c r="AM266" s="180"/>
      <c r="AN266" s="180"/>
      <c r="AO266" s="180"/>
      <c r="AP266" s="180"/>
      <c r="AQ266" s="180"/>
      <c r="AR266" s="180"/>
      <c r="AS266" s="180">
        <v>5210.0939404276096</v>
      </c>
      <c r="AT266" s="180">
        <v>5223.4178052153329</v>
      </c>
    </row>
    <row r="267" spans="26:46">
      <c r="Z267" s="180"/>
      <c r="AA267" s="180"/>
      <c r="AB267" s="180"/>
      <c r="AC267" s="180"/>
      <c r="AD267" s="180"/>
      <c r="AE267" s="180"/>
      <c r="AF267" s="180"/>
      <c r="AG267" s="180"/>
      <c r="AH267" s="180"/>
      <c r="AI267" s="180"/>
      <c r="AJ267" s="180"/>
      <c r="AK267" s="180"/>
      <c r="AL267" s="180"/>
      <c r="AM267" s="180"/>
      <c r="AN267" s="180"/>
      <c r="AO267" s="180"/>
      <c r="AP267" s="180"/>
      <c r="AQ267" s="180"/>
      <c r="AR267" s="180"/>
      <c r="AS267" s="180">
        <v>743.6456420617418</v>
      </c>
      <c r="AT267" s="180">
        <v>723.56308097437795</v>
      </c>
    </row>
    <row r="268" spans="26:46">
      <c r="Z268" s="180"/>
      <c r="AA268" s="180"/>
      <c r="AB268" s="180"/>
      <c r="AC268" s="180"/>
      <c r="AD268" s="180"/>
      <c r="AE268" s="180"/>
      <c r="AF268" s="180"/>
      <c r="AG268" s="180"/>
      <c r="AH268" s="180"/>
      <c r="AI268" s="180"/>
      <c r="AJ268" s="180"/>
      <c r="AK268" s="180"/>
      <c r="AL268" s="180"/>
      <c r="AM268" s="180"/>
      <c r="AN268" s="180"/>
      <c r="AO268" s="180"/>
      <c r="AP268" s="180"/>
      <c r="AQ268" s="180"/>
      <c r="AR268" s="180"/>
      <c r="AS268" s="180">
        <v>22.893288013231324</v>
      </c>
      <c r="AT268" s="180">
        <v>0</v>
      </c>
    </row>
    <row r="269" spans="26:46">
      <c r="Z269" s="180"/>
      <c r="AA269" s="180"/>
      <c r="AB269" s="180"/>
      <c r="AC269" s="180"/>
      <c r="AD269" s="180"/>
      <c r="AE269" s="180"/>
      <c r="AF269" s="180"/>
      <c r="AG269" s="180"/>
      <c r="AH269" s="180"/>
      <c r="AI269" s="180"/>
      <c r="AJ269" s="180"/>
      <c r="AK269" s="180"/>
      <c r="AL269" s="180"/>
      <c r="AM269" s="180"/>
      <c r="AN269" s="180"/>
      <c r="AO269" s="180"/>
      <c r="AP269" s="180"/>
      <c r="AQ269" s="180"/>
      <c r="AR269" s="180"/>
      <c r="AS269" s="180">
        <v>250.1534183347672</v>
      </c>
      <c r="AT269" s="180">
        <v>212.32442968154396</v>
      </c>
    </row>
    <row r="270" spans="26:46">
      <c r="Z270" s="180"/>
      <c r="AA270" s="180"/>
      <c r="AB270" s="180"/>
      <c r="AC270" s="180"/>
      <c r="AD270" s="180"/>
      <c r="AE270" s="180"/>
      <c r="AF270" s="180"/>
      <c r="AG270" s="180"/>
      <c r="AH270" s="180"/>
      <c r="AI270" s="180"/>
      <c r="AJ270" s="180"/>
      <c r="AK270" s="180"/>
      <c r="AL270" s="180"/>
      <c r="AM270" s="180"/>
      <c r="AN270" s="180"/>
      <c r="AO270" s="180"/>
      <c r="AP270" s="180"/>
      <c r="AQ270" s="180"/>
      <c r="AR270" s="180"/>
      <c r="AS270" s="180">
        <v>3043.4722043231554</v>
      </c>
      <c r="AT270" s="180">
        <v>3053.5783160789288</v>
      </c>
    </row>
    <row r="271" spans="26:46">
      <c r="Z271" s="180"/>
      <c r="AA271" s="180"/>
      <c r="AB271" s="180"/>
      <c r="AC271" s="180"/>
      <c r="AD271" s="180"/>
      <c r="AE271" s="180"/>
      <c r="AF271" s="180"/>
      <c r="AG271" s="180"/>
      <c r="AH271" s="180"/>
      <c r="AI271" s="180"/>
      <c r="AJ271" s="180"/>
      <c r="AK271" s="180"/>
      <c r="AL271" s="180"/>
      <c r="AM271" s="180"/>
      <c r="AN271" s="180"/>
      <c r="AO271" s="180"/>
      <c r="AP271" s="180"/>
      <c r="AQ271" s="180"/>
      <c r="AR271" s="180"/>
      <c r="AS271" s="180">
        <v>550.47711831492234</v>
      </c>
      <c r="AT271" s="180">
        <v>582.77954954510312</v>
      </c>
    </row>
    <row r="272" spans="26:46">
      <c r="Z272" s="180"/>
      <c r="AA272" s="180"/>
      <c r="AB272" s="180"/>
      <c r="AC272" s="180"/>
      <c r="AD272" s="180"/>
      <c r="AE272" s="180"/>
      <c r="AF272" s="180"/>
      <c r="AG272" s="180"/>
      <c r="AH272" s="180"/>
      <c r="AI272" s="180"/>
      <c r="AJ272" s="180"/>
      <c r="AK272" s="180"/>
      <c r="AL272" s="180"/>
      <c r="AM272" s="180"/>
      <c r="AN272" s="180"/>
      <c r="AO272" s="180"/>
      <c r="AP272" s="180"/>
      <c r="AQ272" s="180"/>
      <c r="AR272" s="180"/>
      <c r="AS272" s="180">
        <v>112.77093742270775</v>
      </c>
      <c r="AT272" s="180">
        <v>112.77093742270775</v>
      </c>
    </row>
    <row r="273" spans="26:46">
      <c r="Z273" s="180"/>
      <c r="AA273" s="180"/>
      <c r="AB273" s="180"/>
      <c r="AC273" s="180"/>
      <c r="AD273" s="180"/>
      <c r="AE273" s="180"/>
      <c r="AF273" s="180"/>
      <c r="AG273" s="180"/>
      <c r="AH273" s="180"/>
      <c r="AI273" s="180"/>
      <c r="AJ273" s="180"/>
      <c r="AK273" s="180"/>
      <c r="AL273" s="180"/>
      <c r="AM273" s="180"/>
      <c r="AN273" s="180"/>
      <c r="AO273" s="180"/>
      <c r="AP273" s="180"/>
      <c r="AQ273" s="180"/>
      <c r="AR273" s="180"/>
      <c r="AS273" s="180">
        <v>0</v>
      </c>
      <c r="AT273" s="180">
        <v>0</v>
      </c>
    </row>
    <row r="274" spans="26:46">
      <c r="Z274" s="180"/>
      <c r="AA274" s="180"/>
      <c r="AB274" s="180"/>
      <c r="AC274" s="180"/>
      <c r="AD274" s="180"/>
      <c r="AE274" s="180"/>
      <c r="AF274" s="180"/>
      <c r="AG274" s="180"/>
      <c r="AH274" s="180"/>
      <c r="AI274" s="180"/>
      <c r="AJ274" s="180"/>
      <c r="AK274" s="180"/>
      <c r="AL274" s="180"/>
      <c r="AM274" s="180"/>
      <c r="AN274" s="180"/>
      <c r="AO274" s="180"/>
      <c r="AP274" s="180"/>
      <c r="AQ274" s="180"/>
      <c r="AR274" s="180"/>
      <c r="AS274" s="180">
        <v>356.60506010283996</v>
      </c>
      <c r="AT274" s="180">
        <v>345.20868143434217</v>
      </c>
    </row>
    <row r="275" spans="26:46">
      <c r="Z275" s="180"/>
      <c r="AA275" s="180"/>
      <c r="AB275" s="180"/>
      <c r="AC275" s="180"/>
      <c r="AD275" s="180"/>
      <c r="AE275" s="180"/>
      <c r="AF275" s="180"/>
      <c r="AG275" s="180"/>
      <c r="AH275" s="180"/>
      <c r="AI275" s="180"/>
      <c r="AJ275" s="180"/>
      <c r="AK275" s="180"/>
      <c r="AL275" s="180"/>
      <c r="AM275" s="180"/>
      <c r="AN275" s="180"/>
      <c r="AO275" s="180"/>
      <c r="AP275" s="180"/>
      <c r="AQ275" s="180"/>
      <c r="AR275" s="180"/>
      <c r="AS275" s="180">
        <v>51824.047033479517</v>
      </c>
      <c r="AT275" s="180">
        <v>52169.255714913859</v>
      </c>
    </row>
    <row r="276" spans="26:46">
      <c r="Z276" s="180"/>
      <c r="AA276" s="180"/>
      <c r="AB276" s="180"/>
      <c r="AC276" s="180"/>
      <c r="AD276" s="180"/>
      <c r="AE276" s="180"/>
      <c r="AF276" s="180"/>
      <c r="AG276" s="180"/>
      <c r="AH276" s="180"/>
      <c r="AI276" s="180"/>
      <c r="AJ276" s="180"/>
      <c r="AK276" s="180"/>
      <c r="AL276" s="180"/>
      <c r="AM276" s="180"/>
      <c r="AN276" s="180"/>
      <c r="AO276" s="180"/>
      <c r="AP276" s="180"/>
      <c r="AQ276" s="180"/>
      <c r="AR276" s="180"/>
      <c r="AS276" s="180">
        <v>21.213129022684932</v>
      </c>
      <c r="AT276" s="180">
        <v>18.271213656041105</v>
      </c>
    </row>
    <row r="277" spans="26:46">
      <c r="Z277" s="180"/>
      <c r="AA277" s="180"/>
      <c r="AB277" s="180"/>
      <c r="AC277" s="180"/>
      <c r="AD277" s="180"/>
      <c r="AE277" s="180"/>
      <c r="AF277" s="180"/>
      <c r="AG277" s="180"/>
      <c r="AH277" s="180"/>
      <c r="AI277" s="180"/>
      <c r="AJ277" s="180"/>
      <c r="AK277" s="180"/>
      <c r="AL277" s="180"/>
      <c r="AM277" s="180"/>
      <c r="AN277" s="180"/>
      <c r="AO277" s="180"/>
      <c r="AP277" s="180"/>
      <c r="AQ277" s="180"/>
      <c r="AR277" s="180"/>
      <c r="AS277" s="180">
        <v>109.18693006335819</v>
      </c>
      <c r="AT277" s="180">
        <v>109.17297740747792</v>
      </c>
    </row>
    <row r="278" spans="26:46">
      <c r="Z278" s="180"/>
      <c r="AA278" s="180"/>
      <c r="AB278" s="180"/>
      <c r="AC278" s="180"/>
      <c r="AD278" s="180"/>
      <c r="AE278" s="180"/>
      <c r="AF278" s="180"/>
      <c r="AG278" s="180"/>
      <c r="AH278" s="180"/>
      <c r="AI278" s="180"/>
      <c r="AJ278" s="180"/>
      <c r="AK278" s="180"/>
      <c r="AL278" s="180"/>
      <c r="AM278" s="180"/>
      <c r="AN278" s="180"/>
      <c r="AO278" s="180"/>
      <c r="AP278" s="180"/>
      <c r="AQ278" s="180"/>
      <c r="AR278" s="180"/>
      <c r="AS278" s="180">
        <v>83.845486190999594</v>
      </c>
      <c r="AT278" s="180">
        <v>83.20551453707219</v>
      </c>
    </row>
    <row r="279" spans="26:46">
      <c r="Z279" s="180"/>
      <c r="AA279" s="180"/>
      <c r="AB279" s="180"/>
      <c r="AC279" s="180"/>
      <c r="AD279" s="180"/>
      <c r="AE279" s="180"/>
      <c r="AF279" s="180"/>
      <c r="AG279" s="180"/>
      <c r="AH279" s="180"/>
      <c r="AI279" s="180"/>
      <c r="AJ279" s="180"/>
      <c r="AK279" s="180"/>
      <c r="AL279" s="180"/>
      <c r="AM279" s="180"/>
      <c r="AN279" s="180"/>
      <c r="AO279" s="180"/>
      <c r="AP279" s="180"/>
      <c r="AQ279" s="180"/>
      <c r="AR279" s="180"/>
      <c r="AS279" s="180">
        <v>38.717179381703133</v>
      </c>
      <c r="AT279" s="180">
        <v>31.077575837847448</v>
      </c>
    </row>
    <row r="280" spans="26:46">
      <c r="Z280" s="180"/>
      <c r="AA280" s="180"/>
      <c r="AB280" s="180"/>
      <c r="AC280" s="180"/>
      <c r="AD280" s="180"/>
      <c r="AE280" s="180"/>
      <c r="AF280" s="180"/>
      <c r="AG280" s="180"/>
      <c r="AH280" s="180"/>
      <c r="AI280" s="180"/>
      <c r="AJ280" s="180"/>
      <c r="AK280" s="180"/>
      <c r="AL280" s="180"/>
      <c r="AM280" s="180"/>
      <c r="AN280" s="180"/>
      <c r="AO280" s="180"/>
      <c r="AP280" s="180"/>
      <c r="AQ280" s="180"/>
      <c r="AR280" s="180"/>
      <c r="AS280" s="180">
        <v>28.469209662691419</v>
      </c>
      <c r="AT280" s="180">
        <v>28.469209662689725</v>
      </c>
    </row>
    <row r="281" spans="26:46">
      <c r="Z281" s="180"/>
      <c r="AA281" s="180"/>
      <c r="AB281" s="180"/>
      <c r="AC281" s="180"/>
      <c r="AD281" s="180"/>
      <c r="AE281" s="180"/>
      <c r="AF281" s="180"/>
      <c r="AG281" s="180"/>
      <c r="AH281" s="180"/>
      <c r="AI281" s="180"/>
      <c r="AJ281" s="180"/>
      <c r="AK281" s="180"/>
      <c r="AL281" s="180"/>
      <c r="AM281" s="180"/>
      <c r="AN281" s="180"/>
      <c r="AO281" s="180"/>
      <c r="AP281" s="180"/>
      <c r="AQ281" s="180"/>
      <c r="AR281" s="180"/>
      <c r="AS281" s="180">
        <v>0</v>
      </c>
      <c r="AT281" s="180">
        <v>0</v>
      </c>
    </row>
    <row r="282" spans="26:46">
      <c r="Z282" s="180"/>
      <c r="AA282" s="180"/>
      <c r="AB282" s="180"/>
      <c r="AC282" s="180"/>
      <c r="AD282" s="180"/>
      <c r="AE282" s="180"/>
      <c r="AF282" s="180"/>
      <c r="AG282" s="180"/>
      <c r="AH282" s="180"/>
      <c r="AI282" s="180"/>
      <c r="AJ282" s="180"/>
      <c r="AK282" s="180"/>
      <c r="AL282" s="180"/>
      <c r="AM282" s="180"/>
      <c r="AN282" s="180"/>
      <c r="AO282" s="180"/>
      <c r="AP282" s="180"/>
      <c r="AQ282" s="180"/>
      <c r="AR282" s="180"/>
      <c r="AS282" s="180">
        <v>18.678603274788543</v>
      </c>
      <c r="AT282" s="180">
        <v>18.517667826600391</v>
      </c>
    </row>
    <row r="283" spans="26:46">
      <c r="Z283" s="180"/>
      <c r="AA283" s="180"/>
      <c r="AB283" s="180"/>
      <c r="AC283" s="180"/>
      <c r="AD283" s="180"/>
      <c r="AE283" s="180"/>
      <c r="AF283" s="180"/>
      <c r="AG283" s="180"/>
      <c r="AH283" s="180"/>
      <c r="AI283" s="180"/>
      <c r="AJ283" s="180"/>
      <c r="AK283" s="180"/>
      <c r="AL283" s="180"/>
      <c r="AM283" s="180"/>
      <c r="AN283" s="180"/>
      <c r="AO283" s="180"/>
      <c r="AP283" s="180"/>
      <c r="AQ283" s="180"/>
      <c r="AR283" s="180"/>
      <c r="AS283" s="180">
        <v>56.494522506614132</v>
      </c>
      <c r="AT283" s="180">
        <v>56.494522506613414</v>
      </c>
    </row>
    <row r="284" spans="26:46">
      <c r="Z284" s="180"/>
      <c r="AA284" s="180"/>
      <c r="AB284" s="180"/>
      <c r="AC284" s="180"/>
      <c r="AD284" s="180"/>
      <c r="AE284" s="180"/>
      <c r="AF284" s="180"/>
      <c r="AG284" s="180"/>
      <c r="AH284" s="180"/>
      <c r="AI284" s="180"/>
      <c r="AJ284" s="180"/>
      <c r="AK284" s="180"/>
      <c r="AL284" s="180"/>
      <c r="AM284" s="180"/>
      <c r="AN284" s="180"/>
      <c r="AO284" s="180"/>
      <c r="AP284" s="180"/>
      <c r="AQ284" s="180"/>
      <c r="AR284" s="180"/>
      <c r="AS284" s="180">
        <v>0</v>
      </c>
      <c r="AT284" s="180">
        <v>0</v>
      </c>
    </row>
    <row r="285" spans="26:46">
      <c r="Z285" s="180"/>
      <c r="AA285" s="180"/>
      <c r="AB285" s="180"/>
      <c r="AC285" s="180"/>
      <c r="AD285" s="180"/>
      <c r="AE285" s="180"/>
      <c r="AF285" s="180"/>
      <c r="AG285" s="180"/>
      <c r="AH285" s="180"/>
      <c r="AI285" s="180"/>
      <c r="AJ285" s="180"/>
      <c r="AK285" s="180"/>
      <c r="AL285" s="180"/>
      <c r="AM285" s="180"/>
      <c r="AN285" s="180"/>
      <c r="AO285" s="180"/>
      <c r="AP285" s="180"/>
      <c r="AQ285" s="180"/>
      <c r="AR285" s="180"/>
      <c r="AS285" s="180">
        <v>0</v>
      </c>
      <c r="AT285" s="180">
        <v>0</v>
      </c>
    </row>
    <row r="286" spans="26:46">
      <c r="Z286" s="180"/>
      <c r="AA286" s="180"/>
      <c r="AB286" s="180"/>
      <c r="AC286" s="180"/>
      <c r="AD286" s="180"/>
      <c r="AE286" s="180"/>
      <c r="AF286" s="180"/>
      <c r="AG286" s="180"/>
      <c r="AH286" s="180"/>
      <c r="AI286" s="180"/>
      <c r="AJ286" s="180"/>
      <c r="AK286" s="180"/>
      <c r="AL286" s="180"/>
      <c r="AM286" s="180"/>
      <c r="AN286" s="180"/>
      <c r="AO286" s="180"/>
      <c r="AP286" s="180"/>
      <c r="AQ286" s="180"/>
      <c r="AR286" s="180"/>
      <c r="AS286" s="180">
        <v>0</v>
      </c>
      <c r="AT286" s="180">
        <v>0</v>
      </c>
    </row>
    <row r="287" spans="26:46">
      <c r="Z287" s="180"/>
      <c r="AA287" s="180"/>
      <c r="AB287" s="180"/>
      <c r="AC287" s="180"/>
      <c r="AD287" s="180"/>
      <c r="AE287" s="180"/>
      <c r="AF287" s="180"/>
      <c r="AG287" s="180"/>
      <c r="AH287" s="180"/>
      <c r="AI287" s="180"/>
      <c r="AJ287" s="180"/>
      <c r="AK287" s="180"/>
      <c r="AL287" s="180"/>
      <c r="AM287" s="180"/>
      <c r="AN287" s="180"/>
      <c r="AO287" s="180"/>
      <c r="AP287" s="180"/>
      <c r="AQ287" s="180"/>
      <c r="AR287" s="180"/>
      <c r="AS287" s="180"/>
      <c r="AT287" s="180"/>
    </row>
    <row r="288" spans="26:46">
      <c r="Z288" s="180"/>
      <c r="AA288" s="180"/>
      <c r="AB288" s="180"/>
      <c r="AC288" s="180"/>
      <c r="AD288" s="180"/>
      <c r="AE288" s="180"/>
      <c r="AF288" s="180"/>
      <c r="AG288" s="180"/>
      <c r="AH288" s="180"/>
      <c r="AI288" s="180"/>
      <c r="AJ288" s="180"/>
      <c r="AK288" s="180"/>
      <c r="AL288" s="180"/>
      <c r="AM288" s="180"/>
      <c r="AN288" s="180"/>
      <c r="AO288" s="180"/>
      <c r="AP288" s="180"/>
      <c r="AQ288" s="180"/>
      <c r="AR288" s="180"/>
      <c r="AS288" s="180">
        <v>11023.845618042096</v>
      </c>
      <c r="AT288" s="180">
        <v>10986.987013853473</v>
      </c>
    </row>
    <row r="289" spans="26:46">
      <c r="Z289" s="180"/>
      <c r="AA289" s="180"/>
      <c r="AB289" s="180"/>
      <c r="AC289" s="180"/>
      <c r="AD289" s="180"/>
      <c r="AE289" s="180"/>
      <c r="AF289" s="180"/>
      <c r="AG289" s="180"/>
      <c r="AH289" s="180"/>
      <c r="AI289" s="180"/>
      <c r="AJ289" s="180"/>
      <c r="AK289" s="180"/>
      <c r="AL289" s="180"/>
      <c r="AM289" s="180"/>
      <c r="AN289" s="180"/>
      <c r="AO289" s="180"/>
      <c r="AP289" s="180"/>
      <c r="AQ289" s="180"/>
      <c r="AR289" s="180"/>
      <c r="AS289" s="180">
        <v>446379.95661865734</v>
      </c>
      <c r="AT289" s="180">
        <v>457366.94363251078</v>
      </c>
    </row>
    <row r="290" spans="26:46">
      <c r="Z290" s="180"/>
      <c r="AA290" s="180"/>
      <c r="AB290" s="180"/>
      <c r="AC290" s="180"/>
      <c r="AD290" s="180"/>
      <c r="AE290" s="180"/>
      <c r="AF290" s="180"/>
      <c r="AG290" s="180"/>
      <c r="AH290" s="180"/>
      <c r="AI290" s="180"/>
      <c r="AJ290" s="180"/>
      <c r="AK290" s="180"/>
      <c r="AL290" s="180"/>
      <c r="AM290" s="180"/>
      <c r="AN290" s="180"/>
      <c r="AO290" s="180"/>
      <c r="AP290" s="180"/>
      <c r="AQ290" s="180"/>
      <c r="AR290" s="180"/>
      <c r="AS290" s="180">
        <v>8366.3370821734716</v>
      </c>
      <c r="AT290" s="180">
        <v>8389.7670587169687</v>
      </c>
    </row>
    <row r="291" spans="26:46">
      <c r="Z291" s="180"/>
      <c r="AA291" s="180"/>
      <c r="AB291" s="180"/>
      <c r="AC291" s="180"/>
      <c r="AD291" s="180"/>
      <c r="AE291" s="180"/>
      <c r="AF291" s="180"/>
      <c r="AG291" s="180"/>
      <c r="AH291" s="180"/>
      <c r="AI291" s="180"/>
      <c r="AJ291" s="180"/>
      <c r="AK291" s="180"/>
      <c r="AL291" s="180"/>
      <c r="AM291" s="180"/>
      <c r="AN291" s="180"/>
      <c r="AO291" s="180"/>
      <c r="AP291" s="180"/>
      <c r="AQ291" s="180"/>
      <c r="AR291" s="180"/>
      <c r="AS291" s="180">
        <v>1567.1694667246627</v>
      </c>
      <c r="AT291" s="180">
        <v>1518.6670602010249</v>
      </c>
    </row>
    <row r="292" spans="26:46">
      <c r="Z292" s="180"/>
      <c r="AA292" s="180"/>
      <c r="AB292" s="180"/>
      <c r="AC292" s="180"/>
      <c r="AD292" s="180"/>
      <c r="AE292" s="180"/>
      <c r="AF292" s="180"/>
      <c r="AG292" s="180"/>
      <c r="AH292" s="180"/>
      <c r="AI292" s="180"/>
      <c r="AJ292" s="180"/>
      <c r="AK292" s="180"/>
      <c r="AL292" s="180"/>
      <c r="AM292" s="180"/>
      <c r="AN292" s="180"/>
      <c r="AO292" s="180"/>
      <c r="AP292" s="180"/>
      <c r="AQ292" s="180"/>
      <c r="AR292" s="180"/>
      <c r="AS292" s="180">
        <v>1072.7228089532643</v>
      </c>
      <c r="AT292" s="180">
        <v>1064.8713883557714</v>
      </c>
    </row>
    <row r="293" spans="26:46">
      <c r="Z293" s="180"/>
      <c r="AA293" s="180"/>
      <c r="AB293" s="180"/>
      <c r="AC293" s="180"/>
      <c r="AD293" s="180"/>
      <c r="AE293" s="180"/>
      <c r="AF293" s="180"/>
      <c r="AG293" s="180"/>
      <c r="AH293" s="180"/>
      <c r="AI293" s="180"/>
      <c r="AJ293" s="180"/>
      <c r="AK293" s="180"/>
      <c r="AL293" s="180"/>
      <c r="AM293" s="180"/>
      <c r="AN293" s="180"/>
      <c r="AO293" s="180"/>
      <c r="AP293" s="180"/>
      <c r="AQ293" s="180"/>
      <c r="AR293" s="180"/>
      <c r="AS293" s="180">
        <v>17.61626019069719</v>
      </c>
      <c r="AT293" s="180">
        <v>13.681506579706799</v>
      </c>
    </row>
    <row r="294" spans="26:46">
      <c r="Z294" s="180"/>
      <c r="AA294" s="180"/>
      <c r="AB294" s="180"/>
      <c r="AC294" s="180"/>
      <c r="AD294" s="180"/>
      <c r="AE294" s="180"/>
      <c r="AF294" s="180"/>
      <c r="AG294" s="180"/>
      <c r="AH294" s="180"/>
      <c r="AI294" s="180"/>
      <c r="AJ294" s="180"/>
      <c r="AK294" s="180"/>
      <c r="AL294" s="180"/>
      <c r="AM294" s="180"/>
      <c r="AN294" s="180"/>
      <c r="AO294" s="180"/>
      <c r="AP294" s="180"/>
      <c r="AQ294" s="180"/>
      <c r="AR294" s="180"/>
      <c r="AS294" s="180">
        <v>109.04814996954005</v>
      </c>
      <c r="AT294" s="180">
        <v>15.935047886022414</v>
      </c>
    </row>
    <row r="295" spans="26:46">
      <c r="Z295" s="180"/>
      <c r="AA295" s="180"/>
      <c r="AB295" s="180"/>
      <c r="AC295" s="180"/>
      <c r="AD295" s="180"/>
      <c r="AE295" s="180"/>
      <c r="AF295" s="180"/>
      <c r="AG295" s="180"/>
      <c r="AH295" s="180"/>
      <c r="AI295" s="180"/>
      <c r="AJ295" s="180"/>
      <c r="AK295" s="180"/>
      <c r="AL295" s="180"/>
      <c r="AM295" s="180"/>
      <c r="AN295" s="180"/>
      <c r="AO295" s="180"/>
      <c r="AP295" s="180"/>
      <c r="AQ295" s="180"/>
      <c r="AR295" s="180"/>
      <c r="AS295" s="180">
        <v>8676.2426929850153</v>
      </c>
      <c r="AT295" s="180">
        <v>8692.1777408710386</v>
      </c>
    </row>
    <row r="296" spans="26:46">
      <c r="Z296" s="180"/>
      <c r="AA296" s="180"/>
      <c r="AB296" s="180"/>
      <c r="AC296" s="180"/>
      <c r="AD296" s="180"/>
      <c r="AE296" s="180"/>
      <c r="AF296" s="180"/>
      <c r="AG296" s="180"/>
      <c r="AH296" s="180"/>
      <c r="AI296" s="180"/>
      <c r="AJ296" s="180"/>
      <c r="AK296" s="180"/>
      <c r="AL296" s="180"/>
      <c r="AM296" s="180"/>
      <c r="AN296" s="180"/>
      <c r="AO296" s="180"/>
      <c r="AP296" s="180"/>
      <c r="AQ296" s="180"/>
      <c r="AR296" s="180"/>
      <c r="AS296" s="180">
        <v>15.516356042754797</v>
      </c>
      <c r="AT296" s="180">
        <v>15.516801559244593</v>
      </c>
    </row>
    <row r="297" spans="26:46">
      <c r="Z297" s="180"/>
      <c r="AA297" s="180"/>
      <c r="AB297" s="180"/>
      <c r="AC297" s="180"/>
      <c r="AD297" s="180"/>
      <c r="AE297" s="180"/>
      <c r="AF297" s="180"/>
      <c r="AG297" s="180"/>
      <c r="AH297" s="180"/>
      <c r="AI297" s="180"/>
      <c r="AJ297" s="180"/>
      <c r="AK297" s="180"/>
      <c r="AL297" s="180"/>
      <c r="AM297" s="180"/>
      <c r="AN297" s="180"/>
      <c r="AO297" s="180"/>
      <c r="AP297" s="180"/>
      <c r="AQ297" s="180"/>
      <c r="AR297" s="180"/>
      <c r="AS297" s="180">
        <v>0.29298700894029883</v>
      </c>
      <c r="AT297" s="180">
        <v>0.29298700894029994</v>
      </c>
    </row>
    <row r="298" spans="26:46">
      <c r="Z298" s="180"/>
      <c r="AA298" s="180"/>
      <c r="AB298" s="180"/>
      <c r="AC298" s="180"/>
      <c r="AD298" s="180"/>
      <c r="AE298" s="180"/>
      <c r="AF298" s="180"/>
      <c r="AG298" s="180"/>
      <c r="AH298" s="180"/>
      <c r="AI298" s="180"/>
      <c r="AJ298" s="180"/>
      <c r="AK298" s="180"/>
      <c r="AL298" s="180"/>
      <c r="AM298" s="180"/>
      <c r="AN298" s="180"/>
      <c r="AO298" s="180"/>
      <c r="AP298" s="180"/>
      <c r="AQ298" s="180"/>
      <c r="AR298" s="180"/>
      <c r="AS298" s="180">
        <v>0</v>
      </c>
      <c r="AT298" s="180">
        <v>0</v>
      </c>
    </row>
    <row r="299" spans="26:46">
      <c r="Z299" s="180"/>
      <c r="AA299" s="180"/>
      <c r="AB299" s="180"/>
      <c r="AC299" s="180"/>
      <c r="AD299" s="180"/>
      <c r="AE299" s="180"/>
      <c r="AF299" s="180"/>
      <c r="AG299" s="180"/>
      <c r="AH299" s="180"/>
      <c r="AI299" s="180"/>
      <c r="AJ299" s="180"/>
      <c r="AK299" s="180"/>
      <c r="AL299" s="180"/>
      <c r="AM299" s="180"/>
      <c r="AN299" s="180"/>
      <c r="AO299" s="180"/>
      <c r="AP299" s="180"/>
      <c r="AQ299" s="180"/>
      <c r="AR299" s="180"/>
      <c r="AS299" s="180">
        <v>93.238806917844954</v>
      </c>
      <c r="AT299" s="180">
        <v>0.12525931783752067</v>
      </c>
    </row>
    <row r="300" spans="26:46">
      <c r="Z300" s="180"/>
      <c r="AA300" s="180"/>
      <c r="AB300" s="180"/>
      <c r="AC300" s="180"/>
      <c r="AD300" s="180"/>
      <c r="AE300" s="180"/>
      <c r="AF300" s="180"/>
      <c r="AG300" s="180"/>
      <c r="AH300" s="180"/>
      <c r="AI300" s="180"/>
      <c r="AJ300" s="180"/>
      <c r="AK300" s="180"/>
      <c r="AL300" s="180"/>
      <c r="AM300" s="180"/>
      <c r="AN300" s="180"/>
      <c r="AO300" s="180"/>
      <c r="AP300" s="180"/>
      <c r="AQ300" s="180"/>
      <c r="AR300" s="180"/>
      <c r="AS300" s="180"/>
      <c r="AT300" s="180"/>
    </row>
    <row r="301" spans="26:46">
      <c r="Z301" s="180"/>
      <c r="AA301" s="180"/>
      <c r="AB301" s="180"/>
      <c r="AC301" s="180"/>
      <c r="AD301" s="180"/>
      <c r="AE301" s="180"/>
      <c r="AF301" s="180"/>
      <c r="AG301" s="180"/>
      <c r="AH301" s="180"/>
      <c r="AI301" s="180"/>
      <c r="AJ301" s="180"/>
      <c r="AK301" s="180"/>
      <c r="AL301" s="180"/>
      <c r="AM301" s="180"/>
      <c r="AN301" s="180"/>
      <c r="AO301" s="180"/>
      <c r="AP301" s="180"/>
      <c r="AQ301" s="180"/>
      <c r="AR301" s="180"/>
      <c r="AS301" s="180"/>
      <c r="AT301" s="180"/>
    </row>
    <row r="302" spans="26:46">
      <c r="Z302" s="180"/>
      <c r="AA302" s="180"/>
      <c r="AB302" s="180"/>
      <c r="AC302" s="180"/>
      <c r="AD302" s="180"/>
      <c r="AE302" s="180"/>
      <c r="AF302" s="180"/>
      <c r="AG302" s="180"/>
      <c r="AH302" s="180"/>
      <c r="AI302" s="180"/>
      <c r="AJ302" s="180"/>
      <c r="AK302" s="180"/>
      <c r="AL302" s="180"/>
      <c r="AM302" s="180"/>
      <c r="AN302" s="180"/>
      <c r="AO302" s="180"/>
      <c r="AP302" s="180"/>
      <c r="AQ302" s="180"/>
      <c r="AR302" s="180"/>
      <c r="AS302" s="180">
        <v>12.892287455138339</v>
      </c>
      <c r="AT302" s="180">
        <v>12.782600835777435</v>
      </c>
    </row>
    <row r="303" spans="26:46">
      <c r="Z303" s="180"/>
      <c r="AA303" s="180"/>
      <c r="AB303" s="180"/>
      <c r="AC303" s="180"/>
      <c r="AD303" s="180"/>
      <c r="AE303" s="180"/>
      <c r="AF303" s="180"/>
      <c r="AG303" s="180"/>
      <c r="AH303" s="180"/>
      <c r="AI303" s="180"/>
      <c r="AJ303" s="180"/>
      <c r="AK303" s="180"/>
      <c r="AL303" s="180"/>
      <c r="AM303" s="180"/>
      <c r="AN303" s="180"/>
      <c r="AO303" s="180"/>
      <c r="AP303" s="180"/>
      <c r="AQ303" s="180"/>
      <c r="AR303" s="180"/>
      <c r="AS303" s="180">
        <v>481.3340591183827</v>
      </c>
      <c r="AT303" s="180">
        <v>494.11665995416013</v>
      </c>
    </row>
    <row r="304" spans="26:46">
      <c r="Z304" s="180"/>
      <c r="AA304" s="180"/>
      <c r="AB304" s="180"/>
      <c r="AC304" s="180"/>
      <c r="AD304" s="180"/>
      <c r="AE304" s="180"/>
      <c r="AF304" s="180"/>
      <c r="AG304" s="180"/>
      <c r="AH304" s="180"/>
      <c r="AI304" s="180"/>
      <c r="AJ304" s="180"/>
      <c r="AK304" s="180"/>
      <c r="AL304" s="180"/>
      <c r="AM304" s="180"/>
      <c r="AN304" s="180"/>
      <c r="AO304" s="180"/>
      <c r="AP304" s="180"/>
      <c r="AQ304" s="180"/>
      <c r="AR304" s="180"/>
      <c r="AS304" s="180">
        <v>3.3017800921959086</v>
      </c>
      <c r="AT304" s="180">
        <v>3.2063946853665422</v>
      </c>
    </row>
    <row r="305" spans="26:46">
      <c r="Z305" s="180"/>
      <c r="AA305" s="180"/>
      <c r="AB305" s="180"/>
      <c r="AC305" s="180"/>
      <c r="AD305" s="180"/>
      <c r="AE305" s="180"/>
      <c r="AF305" s="180"/>
      <c r="AG305" s="180"/>
      <c r="AH305" s="180"/>
      <c r="AI305" s="180"/>
      <c r="AJ305" s="180"/>
      <c r="AK305" s="180"/>
      <c r="AL305" s="180"/>
      <c r="AM305" s="180"/>
      <c r="AN305" s="180"/>
      <c r="AO305" s="180"/>
      <c r="AP305" s="180"/>
      <c r="AQ305" s="180"/>
      <c r="AR305" s="180"/>
      <c r="AS305" s="180">
        <v>110.94515431659845</v>
      </c>
      <c r="AT305" s="180">
        <v>114.15154900196499</v>
      </c>
    </row>
    <row r="306" spans="26:46">
      <c r="Z306" s="180"/>
      <c r="AA306" s="180"/>
      <c r="AB306" s="180"/>
      <c r="AC306" s="180"/>
      <c r="AD306" s="180"/>
      <c r="AE306" s="180"/>
      <c r="AF306" s="180"/>
      <c r="AG306" s="180"/>
      <c r="AH306" s="180"/>
      <c r="AI306" s="180"/>
      <c r="AJ306" s="180"/>
      <c r="AK306" s="180"/>
      <c r="AL306" s="180"/>
      <c r="AM306" s="180"/>
      <c r="AN306" s="180"/>
      <c r="AO306" s="180"/>
      <c r="AP306" s="180"/>
      <c r="AQ306" s="180"/>
      <c r="AR306" s="180"/>
      <c r="AS306" s="180">
        <v>0</v>
      </c>
      <c r="AT306" s="180">
        <v>0</v>
      </c>
    </row>
    <row r="307" spans="26:46">
      <c r="Z307" s="180"/>
      <c r="AA307" s="180"/>
      <c r="AB307" s="180"/>
      <c r="AC307" s="180"/>
      <c r="AD307" s="180"/>
      <c r="AE307" s="180"/>
      <c r="AF307" s="180"/>
      <c r="AG307" s="180"/>
      <c r="AH307" s="180"/>
      <c r="AI307" s="180"/>
      <c r="AJ307" s="180"/>
      <c r="AK307" s="180"/>
      <c r="AL307" s="180"/>
      <c r="AM307" s="180"/>
      <c r="AN307" s="180"/>
      <c r="AO307" s="180"/>
      <c r="AP307" s="180"/>
      <c r="AQ307" s="180"/>
      <c r="AR307" s="180"/>
      <c r="AS307" s="180">
        <v>2962.1048799278278</v>
      </c>
      <c r="AT307" s="180">
        <v>2865.68567204697</v>
      </c>
    </row>
    <row r="308" spans="26:46">
      <c r="Z308" s="180"/>
      <c r="AA308" s="180"/>
      <c r="AB308" s="180"/>
      <c r="AC308" s="180"/>
      <c r="AD308" s="180"/>
      <c r="AE308" s="180"/>
      <c r="AF308" s="180"/>
      <c r="AG308" s="180"/>
      <c r="AH308" s="180"/>
      <c r="AI308" s="180"/>
      <c r="AJ308" s="180"/>
      <c r="AK308" s="180"/>
      <c r="AL308" s="180"/>
      <c r="AM308" s="180"/>
      <c r="AN308" s="180"/>
      <c r="AO308" s="180"/>
      <c r="AP308" s="180"/>
      <c r="AQ308" s="180"/>
      <c r="AR308" s="180"/>
      <c r="AS308" s="180">
        <v>101134.65096803514</v>
      </c>
      <c r="AT308" s="180">
        <v>104000.33664008211</v>
      </c>
    </row>
    <row r="309" spans="26:46">
      <c r="Z309" s="180"/>
      <c r="AA309" s="180"/>
      <c r="AB309" s="180"/>
      <c r="AC309" s="180"/>
      <c r="AD309" s="180"/>
      <c r="AE309" s="180"/>
      <c r="AF309" s="180"/>
      <c r="AG309" s="180"/>
      <c r="AH309" s="180"/>
      <c r="AI309" s="180"/>
      <c r="AJ309" s="180"/>
      <c r="AK309" s="180"/>
      <c r="AL309" s="180"/>
      <c r="AM309" s="180"/>
      <c r="AN309" s="180"/>
      <c r="AO309" s="180"/>
      <c r="AP309" s="180"/>
      <c r="AQ309" s="180"/>
      <c r="AR309" s="180"/>
      <c r="AS309" s="180">
        <v>21.213129022684932</v>
      </c>
      <c r="AT309" s="180">
        <v>18.271213656041105</v>
      </c>
    </row>
    <row r="310" spans="26:46">
      <c r="Z310" s="180"/>
      <c r="AA310" s="180"/>
      <c r="AB310" s="180"/>
      <c r="AC310" s="180"/>
      <c r="AD310" s="180"/>
      <c r="AE310" s="180"/>
      <c r="AF310" s="180"/>
      <c r="AG310" s="180"/>
      <c r="AH310" s="180"/>
      <c r="AI310" s="180"/>
      <c r="AJ310" s="180"/>
      <c r="AK310" s="180"/>
      <c r="AL310" s="180"/>
      <c r="AM310" s="180"/>
      <c r="AN310" s="180"/>
      <c r="AO310" s="180"/>
      <c r="AP310" s="180"/>
      <c r="AQ310" s="180"/>
      <c r="AR310" s="180"/>
      <c r="AS310" s="180">
        <v>178.12767786480575</v>
      </c>
      <c r="AT310" s="180">
        <v>179.14160650512477</v>
      </c>
    </row>
    <row r="311" spans="26:46">
      <c r="Z311" s="180"/>
      <c r="AA311" s="180"/>
      <c r="AB311" s="180"/>
      <c r="AC311" s="180"/>
      <c r="AD311" s="180"/>
      <c r="AE311" s="180"/>
      <c r="AF311" s="180"/>
      <c r="AG311" s="180"/>
      <c r="AH311" s="180"/>
      <c r="AI311" s="180"/>
      <c r="AJ311" s="180"/>
      <c r="AK311" s="180"/>
      <c r="AL311" s="180"/>
      <c r="AM311" s="180"/>
      <c r="AN311" s="180"/>
      <c r="AO311" s="180"/>
      <c r="AP311" s="180"/>
      <c r="AQ311" s="180"/>
      <c r="AR311" s="180"/>
      <c r="AS311" s="180">
        <v>2495.6404557180622</v>
      </c>
      <c r="AT311" s="180">
        <v>2439.5172534063286</v>
      </c>
    </row>
    <row r="312" spans="26:46">
      <c r="Z312" s="180"/>
      <c r="AA312" s="180"/>
      <c r="AB312" s="180"/>
      <c r="AC312" s="180"/>
      <c r="AD312" s="180"/>
      <c r="AE312" s="180"/>
      <c r="AF312" s="180"/>
      <c r="AG312" s="180"/>
      <c r="AH312" s="180"/>
      <c r="AI312" s="180"/>
      <c r="AJ312" s="180"/>
      <c r="AK312" s="180"/>
      <c r="AL312" s="180"/>
      <c r="AM312" s="180"/>
      <c r="AN312" s="180"/>
      <c r="AO312" s="180"/>
      <c r="AP312" s="180"/>
      <c r="AQ312" s="180"/>
      <c r="AR312" s="180"/>
      <c r="AS312" s="180">
        <v>66.08711974413248</v>
      </c>
      <c r="AT312" s="180">
        <v>58.737047670775105</v>
      </c>
    </row>
    <row r="313" spans="26:46">
      <c r="Z313" s="180"/>
      <c r="AA313" s="180"/>
      <c r="AB313" s="180"/>
      <c r="AC313" s="180"/>
      <c r="AD313" s="180"/>
      <c r="AE313" s="180"/>
      <c r="AF313" s="180"/>
      <c r="AG313" s="180"/>
      <c r="AH313" s="180"/>
      <c r="AI313" s="180"/>
      <c r="AJ313" s="180"/>
      <c r="AK313" s="180"/>
      <c r="AL313" s="180"/>
      <c r="AM313" s="180"/>
      <c r="AN313" s="180"/>
      <c r="AO313" s="180"/>
      <c r="AP313" s="180"/>
      <c r="AQ313" s="180"/>
      <c r="AR313" s="180"/>
      <c r="AS313" s="180">
        <v>0</v>
      </c>
      <c r="AT313" s="180">
        <v>0</v>
      </c>
    </row>
    <row r="314" spans="26:46">
      <c r="Z314" s="180"/>
      <c r="AA314" s="180"/>
      <c r="AB314" s="180"/>
      <c r="AC314" s="180"/>
      <c r="AD314" s="180"/>
      <c r="AE314" s="180"/>
      <c r="AF314" s="180"/>
      <c r="AG314" s="180"/>
      <c r="AH314" s="180"/>
      <c r="AI314" s="180"/>
      <c r="AJ314" s="180"/>
      <c r="AK314" s="180"/>
      <c r="AL314" s="180"/>
      <c r="AM314" s="180"/>
      <c r="AN314" s="180"/>
      <c r="AO314" s="180"/>
      <c r="AP314" s="180"/>
      <c r="AQ314" s="180"/>
      <c r="AR314" s="180"/>
      <c r="AS314" s="180">
        <v>128.95844933137215</v>
      </c>
      <c r="AT314" s="180">
        <v>98.561941924676731</v>
      </c>
    </row>
    <row r="315" spans="26:46">
      <c r="Z315" s="180"/>
      <c r="AA315" s="180"/>
      <c r="AB315" s="180"/>
      <c r="AC315" s="180"/>
      <c r="AD315" s="180"/>
      <c r="AE315" s="180"/>
      <c r="AF315" s="180"/>
      <c r="AG315" s="180"/>
      <c r="AH315" s="180"/>
      <c r="AI315" s="180"/>
      <c r="AJ315" s="180"/>
      <c r="AK315" s="180"/>
      <c r="AL315" s="180"/>
      <c r="AM315" s="180"/>
      <c r="AN315" s="180"/>
      <c r="AO315" s="180"/>
      <c r="AP315" s="180"/>
      <c r="AQ315" s="180"/>
      <c r="AR315" s="180"/>
      <c r="AS315" s="180">
        <v>3.4653746300390358</v>
      </c>
      <c r="AT315" s="180">
        <v>2.5558953880786128</v>
      </c>
    </row>
    <row r="316" spans="26:46">
      <c r="Z316" s="180"/>
      <c r="AA316" s="180"/>
      <c r="AB316" s="180"/>
      <c r="AC316" s="180"/>
      <c r="AD316" s="180"/>
      <c r="AE316" s="180"/>
      <c r="AF316" s="180"/>
      <c r="AG316" s="180"/>
      <c r="AH316" s="180"/>
      <c r="AI316" s="180"/>
      <c r="AJ316" s="180"/>
      <c r="AK316" s="180"/>
      <c r="AL316" s="180"/>
      <c r="AM316" s="180"/>
      <c r="AN316" s="180"/>
      <c r="AO316" s="180"/>
      <c r="AP316" s="180"/>
      <c r="AQ316" s="180"/>
      <c r="AR316" s="180"/>
      <c r="AS316" s="180">
        <v>60.072843256356499</v>
      </c>
      <c r="AT316" s="180">
        <v>60.171664507249851</v>
      </c>
    </row>
    <row r="317" spans="26:46">
      <c r="Z317" s="180"/>
      <c r="AA317" s="180"/>
      <c r="AB317" s="180"/>
      <c r="AC317" s="180"/>
      <c r="AD317" s="180"/>
      <c r="AE317" s="180"/>
      <c r="AF317" s="180"/>
      <c r="AG317" s="180"/>
      <c r="AH317" s="180"/>
      <c r="AI317" s="180"/>
      <c r="AJ317" s="180"/>
      <c r="AK317" s="180"/>
      <c r="AL317" s="180"/>
      <c r="AM317" s="180"/>
      <c r="AN317" s="180"/>
      <c r="AO317" s="180"/>
      <c r="AP317" s="180"/>
      <c r="AQ317" s="180"/>
      <c r="AR317" s="180"/>
      <c r="AS317" s="180">
        <v>0</v>
      </c>
      <c r="AT317" s="180">
        <v>0</v>
      </c>
    </row>
    <row r="318" spans="26:46">
      <c r="Z318" s="180"/>
      <c r="AA318" s="180"/>
      <c r="AB318" s="180"/>
      <c r="AC318" s="180"/>
      <c r="AD318" s="180"/>
      <c r="AE318" s="180"/>
      <c r="AF318" s="180"/>
      <c r="AG318" s="180"/>
      <c r="AH318" s="180"/>
      <c r="AI318" s="180"/>
      <c r="AJ318" s="180"/>
      <c r="AK318" s="180"/>
      <c r="AL318" s="180"/>
      <c r="AM318" s="180"/>
      <c r="AN318" s="180"/>
      <c r="AO318" s="180"/>
      <c r="AP318" s="180"/>
      <c r="AQ318" s="180"/>
      <c r="AR318" s="180"/>
      <c r="AS318" s="180">
        <v>0</v>
      </c>
      <c r="AT318" s="180">
        <v>0</v>
      </c>
    </row>
    <row r="319" spans="26:46">
      <c r="Z319" s="180"/>
      <c r="AA319" s="180"/>
      <c r="AB319" s="180"/>
      <c r="AC319" s="180"/>
      <c r="AD319" s="180"/>
      <c r="AE319" s="180"/>
      <c r="AF319" s="180"/>
      <c r="AG319" s="180"/>
      <c r="AH319" s="180"/>
      <c r="AI319" s="180"/>
      <c r="AJ319" s="180"/>
      <c r="AK319" s="180"/>
      <c r="AL319" s="180"/>
      <c r="AM319" s="180"/>
      <c r="AN319" s="180"/>
      <c r="AO319" s="180"/>
      <c r="AP319" s="180"/>
      <c r="AQ319" s="180"/>
      <c r="AR319" s="180"/>
      <c r="AS319" s="180">
        <v>8.5398303603748094</v>
      </c>
      <c r="AT319" s="180">
        <v>8.7290489886956397</v>
      </c>
    </row>
    <row r="320" spans="26:46">
      <c r="Z320" s="180"/>
      <c r="AA320" s="180"/>
      <c r="AB320" s="180"/>
      <c r="AC320" s="180"/>
      <c r="AD320" s="180"/>
      <c r="AE320" s="180"/>
      <c r="AF320" s="180"/>
      <c r="AG320" s="180"/>
      <c r="AH320" s="180"/>
      <c r="AI320" s="180"/>
      <c r="AJ320" s="180"/>
      <c r="AK320" s="180"/>
      <c r="AL320" s="180"/>
      <c r="AM320" s="180"/>
      <c r="AN320" s="180"/>
      <c r="AO320" s="180"/>
      <c r="AP320" s="180"/>
      <c r="AQ320" s="180"/>
      <c r="AR320" s="180"/>
      <c r="AS320" s="180">
        <v>0</v>
      </c>
      <c r="AT320" s="180">
        <v>0</v>
      </c>
    </row>
    <row r="321" spans="26:46">
      <c r="Z321" s="180"/>
      <c r="AA321" s="180"/>
      <c r="AB321" s="180"/>
      <c r="AC321" s="180"/>
      <c r="AD321" s="180"/>
      <c r="AE321" s="180"/>
      <c r="AF321" s="180"/>
      <c r="AG321" s="180"/>
      <c r="AH321" s="180"/>
      <c r="AI321" s="180"/>
      <c r="AJ321" s="180"/>
      <c r="AK321" s="180"/>
      <c r="AL321" s="180"/>
      <c r="AM321" s="180"/>
      <c r="AN321" s="180"/>
      <c r="AO321" s="180"/>
      <c r="AP321" s="180"/>
      <c r="AQ321" s="180"/>
      <c r="AR321" s="180"/>
      <c r="AS321" s="180">
        <v>339.675212268081</v>
      </c>
      <c r="AT321" s="180">
        <v>340.70901331957214</v>
      </c>
    </row>
    <row r="322" spans="26:46">
      <c r="Z322" s="180"/>
      <c r="AA322" s="180"/>
      <c r="AB322" s="180"/>
      <c r="AC322" s="180"/>
      <c r="AD322" s="180"/>
      <c r="AE322" s="180"/>
      <c r="AF322" s="180"/>
      <c r="AG322" s="180"/>
      <c r="AH322" s="180"/>
      <c r="AI322" s="180"/>
      <c r="AJ322" s="180"/>
      <c r="AK322" s="180"/>
      <c r="AL322" s="180"/>
      <c r="AM322" s="180"/>
      <c r="AN322" s="180"/>
      <c r="AO322" s="180"/>
      <c r="AP322" s="180"/>
      <c r="AQ322" s="180"/>
      <c r="AR322" s="180"/>
      <c r="AS322" s="180">
        <v>9810.5033485633285</v>
      </c>
      <c r="AT322" s="180">
        <v>10151.212361882901</v>
      </c>
    </row>
    <row r="323" spans="26:46">
      <c r="Z323" s="180"/>
      <c r="AA323" s="180"/>
      <c r="AB323" s="180"/>
      <c r="AC323" s="180"/>
      <c r="AD323" s="180"/>
      <c r="AE323" s="180"/>
      <c r="AF323" s="180"/>
      <c r="AG323" s="180"/>
      <c r="AH323" s="180"/>
      <c r="AI323" s="180"/>
      <c r="AJ323" s="180"/>
      <c r="AK323" s="180"/>
      <c r="AL323" s="180"/>
      <c r="AM323" s="180"/>
      <c r="AN323" s="180"/>
      <c r="AO323" s="180"/>
      <c r="AP323" s="180"/>
      <c r="AQ323" s="180"/>
      <c r="AR323" s="180"/>
      <c r="AS323" s="180">
        <v>25.654259197031198</v>
      </c>
      <c r="AT323" s="180">
        <v>25.654259197030985</v>
      </c>
    </row>
    <row r="324" spans="26:46">
      <c r="Z324" s="180"/>
      <c r="AA324" s="180"/>
      <c r="AB324" s="180"/>
      <c r="AC324" s="180"/>
      <c r="AD324" s="180"/>
      <c r="AE324" s="180"/>
      <c r="AF324" s="180"/>
      <c r="AG324" s="180"/>
      <c r="AH324" s="180"/>
      <c r="AI324" s="180"/>
      <c r="AJ324" s="180"/>
      <c r="AK324" s="180"/>
      <c r="AL324" s="180"/>
      <c r="AM324" s="180"/>
      <c r="AN324" s="180"/>
      <c r="AO324" s="180"/>
      <c r="AP324" s="180"/>
      <c r="AQ324" s="180"/>
      <c r="AR324" s="180"/>
      <c r="AS324" s="180">
        <v>22.576446360510584</v>
      </c>
      <c r="AT324" s="180">
        <v>22.257729021595111</v>
      </c>
    </row>
    <row r="325" spans="26:46">
      <c r="Z325" s="180"/>
      <c r="AA325" s="180"/>
      <c r="AB325" s="180"/>
      <c r="AC325" s="180"/>
      <c r="AD325" s="180"/>
      <c r="AE325" s="180"/>
      <c r="AF325" s="180"/>
      <c r="AG325" s="180"/>
      <c r="AH325" s="180"/>
      <c r="AI325" s="180"/>
      <c r="AJ325" s="180"/>
      <c r="AK325" s="180"/>
      <c r="AL325" s="180"/>
      <c r="AM325" s="180"/>
      <c r="AN325" s="180"/>
      <c r="AO325" s="180"/>
      <c r="AP325" s="180"/>
      <c r="AQ325" s="180"/>
      <c r="AR325" s="180"/>
      <c r="AS325" s="180">
        <v>15.499483984807087</v>
      </c>
      <c r="AT325" s="180">
        <v>15.499630911190687</v>
      </c>
    </row>
    <row r="326" spans="26:46">
      <c r="Z326" s="180"/>
      <c r="AA326" s="180"/>
      <c r="AB326" s="180"/>
      <c r="AC326" s="180"/>
      <c r="AD326" s="180"/>
      <c r="AE326" s="180"/>
      <c r="AF326" s="180"/>
      <c r="AG326" s="180"/>
      <c r="AH326" s="180"/>
      <c r="AI326" s="180"/>
      <c r="AJ326" s="180"/>
      <c r="AK326" s="180"/>
      <c r="AL326" s="180"/>
      <c r="AM326" s="180"/>
      <c r="AN326" s="180"/>
      <c r="AO326" s="180"/>
      <c r="AP326" s="180"/>
      <c r="AQ326" s="180"/>
      <c r="AR326" s="180"/>
      <c r="AS326" s="180">
        <v>0</v>
      </c>
      <c r="AT326" s="180">
        <v>0</v>
      </c>
    </row>
    <row r="327" spans="26:46">
      <c r="Z327" s="180"/>
      <c r="AA327" s="180"/>
      <c r="AB327" s="180"/>
      <c r="AC327" s="180"/>
      <c r="AD327" s="180"/>
      <c r="AE327" s="180"/>
      <c r="AF327" s="180"/>
      <c r="AG327" s="180"/>
      <c r="AH327" s="180"/>
      <c r="AI327" s="180"/>
      <c r="AJ327" s="180"/>
      <c r="AK327" s="180"/>
      <c r="AL327" s="180"/>
      <c r="AM327" s="180"/>
      <c r="AN327" s="180"/>
      <c r="AO327" s="180"/>
      <c r="AP327" s="180"/>
      <c r="AQ327" s="180"/>
      <c r="AR327" s="180"/>
      <c r="AS327" s="180">
        <v>206.10427186790298</v>
      </c>
      <c r="AT327" s="180">
        <v>207.3431999108175</v>
      </c>
    </row>
    <row r="328" spans="26:46">
      <c r="Z328" s="180"/>
      <c r="AA328" s="180"/>
      <c r="AB328" s="180"/>
      <c r="AC328" s="180"/>
      <c r="AD328" s="180"/>
      <c r="AE328" s="180"/>
      <c r="AF328" s="180"/>
      <c r="AG328" s="180"/>
      <c r="AH328" s="180"/>
      <c r="AI328" s="180"/>
      <c r="AJ328" s="180"/>
      <c r="AK328" s="180"/>
      <c r="AL328" s="180"/>
      <c r="AM328" s="180"/>
      <c r="AN328" s="180"/>
      <c r="AO328" s="180"/>
      <c r="AP328" s="180"/>
      <c r="AQ328" s="180"/>
      <c r="AR328" s="180"/>
      <c r="AS328" s="180">
        <v>69.840750857829178</v>
      </c>
      <c r="AT328" s="180">
        <v>69.95419427893782</v>
      </c>
    </row>
    <row r="329" spans="26:46">
      <c r="Z329" s="180"/>
      <c r="AA329" s="180"/>
      <c r="AB329" s="180"/>
      <c r="AC329" s="180"/>
      <c r="AD329" s="180"/>
      <c r="AE329" s="180"/>
      <c r="AF329" s="180"/>
      <c r="AG329" s="180"/>
      <c r="AH329" s="180"/>
      <c r="AI329" s="180"/>
      <c r="AJ329" s="180"/>
      <c r="AK329" s="180"/>
      <c r="AL329" s="180"/>
      <c r="AM329" s="180"/>
      <c r="AN329" s="180"/>
      <c r="AO329" s="180"/>
      <c r="AP329" s="180"/>
      <c r="AQ329" s="180"/>
      <c r="AR329" s="180"/>
      <c r="AS329" s="180">
        <v>0</v>
      </c>
      <c r="AT329" s="180">
        <v>0</v>
      </c>
    </row>
    <row r="330" spans="26:46">
      <c r="Z330" s="180"/>
      <c r="AA330" s="180"/>
      <c r="AB330" s="180"/>
      <c r="AC330" s="180"/>
      <c r="AD330" s="180"/>
      <c r="AE330" s="180"/>
      <c r="AF330" s="180"/>
      <c r="AG330" s="180"/>
      <c r="AH330" s="180"/>
      <c r="AI330" s="180"/>
      <c r="AJ330" s="180"/>
      <c r="AK330" s="180"/>
      <c r="AL330" s="180"/>
      <c r="AM330" s="180"/>
      <c r="AN330" s="180"/>
      <c r="AO330" s="180"/>
      <c r="AP330" s="180"/>
      <c r="AQ330" s="180"/>
      <c r="AR330" s="180"/>
      <c r="AS330" s="180">
        <v>9590.5073629424296</v>
      </c>
      <c r="AT330" s="180">
        <v>9576.2061504108933</v>
      </c>
    </row>
    <row r="331" spans="26:46">
      <c r="Z331" s="180"/>
      <c r="AA331" s="180"/>
      <c r="AB331" s="180"/>
      <c r="AC331" s="180"/>
      <c r="AD331" s="180"/>
      <c r="AE331" s="180"/>
      <c r="AF331" s="180"/>
      <c r="AG331" s="180"/>
      <c r="AH331" s="180"/>
      <c r="AI331" s="180"/>
      <c r="AJ331" s="180"/>
      <c r="AK331" s="180"/>
      <c r="AL331" s="180"/>
      <c r="AM331" s="180"/>
      <c r="AN331" s="180"/>
      <c r="AO331" s="180"/>
      <c r="AP331" s="180"/>
      <c r="AQ331" s="180"/>
      <c r="AR331" s="180"/>
      <c r="AS331" s="180">
        <v>370388.90480178414</v>
      </c>
      <c r="AT331" s="180">
        <v>379965.11095219501</v>
      </c>
    </row>
    <row r="332" spans="26:46">
      <c r="Z332" s="180"/>
      <c r="AA332" s="180"/>
      <c r="AB332" s="180"/>
      <c r="AC332" s="180"/>
      <c r="AD332" s="180"/>
      <c r="AE332" s="180"/>
      <c r="AF332" s="180"/>
      <c r="AG332" s="180"/>
      <c r="AH332" s="180"/>
      <c r="AI332" s="180"/>
      <c r="AJ332" s="180"/>
      <c r="AK332" s="180"/>
      <c r="AL332" s="180"/>
      <c r="AM332" s="180"/>
      <c r="AN332" s="180"/>
      <c r="AO332" s="180"/>
      <c r="AP332" s="180"/>
      <c r="AQ332" s="180"/>
      <c r="AR332" s="180"/>
      <c r="AS332" s="180">
        <v>358.52394932765378</v>
      </c>
      <c r="AT332" s="180">
        <v>317.22793408531101</v>
      </c>
    </row>
    <row r="333" spans="26:46">
      <c r="Z333" s="180"/>
      <c r="AA333" s="180"/>
      <c r="AB333" s="180"/>
      <c r="AC333" s="180"/>
      <c r="AD333" s="180"/>
      <c r="AE333" s="180"/>
      <c r="AF333" s="180"/>
      <c r="AG333" s="180"/>
      <c r="AH333" s="180"/>
      <c r="AI333" s="180"/>
      <c r="AJ333" s="180"/>
      <c r="AK333" s="180"/>
      <c r="AL333" s="180"/>
      <c r="AM333" s="180"/>
      <c r="AN333" s="180"/>
      <c r="AO333" s="180"/>
      <c r="AP333" s="180"/>
      <c r="AQ333" s="180"/>
      <c r="AR333" s="180"/>
      <c r="AS333" s="180">
        <v>6705.0667736495243</v>
      </c>
      <c r="AT333" s="180">
        <v>6770.4418668913404</v>
      </c>
    </row>
    <row r="334" spans="26:46">
      <c r="Z334" s="180"/>
      <c r="AA334" s="180"/>
      <c r="AB334" s="180"/>
      <c r="AC334" s="180"/>
      <c r="AD334" s="180"/>
      <c r="AE334" s="180"/>
      <c r="AF334" s="180"/>
      <c r="AG334" s="180"/>
      <c r="AH334" s="180"/>
      <c r="AI334" s="180"/>
      <c r="AJ334" s="180"/>
      <c r="AK334" s="180"/>
      <c r="AL334" s="180"/>
      <c r="AM334" s="180"/>
      <c r="AN334" s="180"/>
      <c r="AO334" s="180"/>
      <c r="AP334" s="180"/>
      <c r="AQ334" s="180"/>
      <c r="AR334" s="180"/>
      <c r="AS334" s="180">
        <v>1082.6052113062435</v>
      </c>
      <c r="AT334" s="180">
        <v>1080.6765362348351</v>
      </c>
    </row>
    <row r="335" spans="26:46">
      <c r="Z335" s="180"/>
      <c r="AA335" s="180"/>
      <c r="AB335" s="180"/>
      <c r="AC335" s="180"/>
      <c r="AD335" s="180"/>
      <c r="AE335" s="180"/>
      <c r="AF335" s="180"/>
      <c r="AG335" s="180"/>
      <c r="AH335" s="180"/>
      <c r="AI335" s="180"/>
      <c r="AJ335" s="180"/>
      <c r="AK335" s="180"/>
      <c r="AL335" s="180"/>
      <c r="AM335" s="180"/>
      <c r="AN335" s="180"/>
      <c r="AO335" s="180"/>
      <c r="AP335" s="180"/>
      <c r="AQ335" s="180"/>
      <c r="AR335" s="180"/>
      <c r="AS335" s="180">
        <v>22.893288013231324</v>
      </c>
      <c r="AT335" s="180">
        <v>0</v>
      </c>
    </row>
    <row r="336" spans="26:46">
      <c r="Z336" s="180"/>
      <c r="AA336" s="180"/>
      <c r="AB336" s="180"/>
      <c r="AC336" s="180"/>
      <c r="AD336" s="180"/>
      <c r="AE336" s="180"/>
      <c r="AF336" s="180"/>
      <c r="AG336" s="180"/>
      <c r="AH336" s="180"/>
      <c r="AI336" s="180"/>
      <c r="AJ336" s="180"/>
      <c r="AK336" s="180"/>
      <c r="AL336" s="180"/>
      <c r="AM336" s="180"/>
      <c r="AN336" s="180"/>
      <c r="AO336" s="180"/>
      <c r="AP336" s="180"/>
      <c r="AQ336" s="180"/>
      <c r="AR336" s="180"/>
      <c r="AS336" s="180">
        <v>250.1534183347672</v>
      </c>
      <c r="AT336" s="180">
        <v>212.32442968154396</v>
      </c>
    </row>
    <row r="337" spans="26:46">
      <c r="Z337" s="180"/>
      <c r="AA337" s="180"/>
      <c r="AB337" s="180"/>
      <c r="AC337" s="180"/>
      <c r="AD337" s="180"/>
      <c r="AE337" s="180"/>
      <c r="AF337" s="180"/>
      <c r="AG337" s="180"/>
      <c r="AH337" s="180"/>
      <c r="AI337" s="180"/>
      <c r="AJ337" s="180"/>
      <c r="AK337" s="180"/>
      <c r="AL337" s="180"/>
      <c r="AM337" s="180"/>
      <c r="AN337" s="180"/>
      <c r="AO337" s="180"/>
      <c r="AP337" s="180"/>
      <c r="AQ337" s="180"/>
      <c r="AR337" s="180"/>
      <c r="AS337" s="180">
        <v>333.1202509135486</v>
      </c>
      <c r="AT337" s="180">
        <v>329.07623766437263</v>
      </c>
    </row>
    <row r="338" spans="26:46">
      <c r="Z338" s="180"/>
      <c r="AA338" s="180"/>
      <c r="AB338" s="180"/>
      <c r="AC338" s="180"/>
      <c r="AD338" s="180"/>
      <c r="AE338" s="180"/>
      <c r="AF338" s="180"/>
      <c r="AG338" s="180"/>
      <c r="AH338" s="180"/>
      <c r="AI338" s="180"/>
      <c r="AJ338" s="180"/>
      <c r="AK338" s="180"/>
      <c r="AL338" s="180"/>
      <c r="AM338" s="180"/>
      <c r="AN338" s="180"/>
      <c r="AO338" s="180"/>
      <c r="AP338" s="180"/>
      <c r="AQ338" s="180"/>
      <c r="AR338" s="180"/>
      <c r="AS338" s="180">
        <v>294.00442931040288</v>
      </c>
      <c r="AT338" s="180">
        <v>313.7925583118905</v>
      </c>
    </row>
    <row r="339" spans="26:46">
      <c r="Z339" s="180"/>
      <c r="AA339" s="180"/>
      <c r="AB339" s="180"/>
      <c r="AC339" s="180"/>
      <c r="AD339" s="180"/>
      <c r="AE339" s="180"/>
      <c r="AF339" s="180"/>
      <c r="AG339" s="180"/>
      <c r="AH339" s="180"/>
      <c r="AI339" s="180"/>
      <c r="AJ339" s="180"/>
      <c r="AK339" s="180"/>
      <c r="AL339" s="180"/>
      <c r="AM339" s="180"/>
      <c r="AN339" s="180"/>
      <c r="AO339" s="180"/>
      <c r="AP339" s="180"/>
      <c r="AQ339" s="180"/>
      <c r="AR339" s="180"/>
      <c r="AS339" s="180">
        <v>544.14004208705546</v>
      </c>
      <c r="AT339" s="180">
        <v>552.66658754160096</v>
      </c>
    </row>
    <row r="340" spans="26:46">
      <c r="Z340" s="180"/>
      <c r="AA340" s="180"/>
      <c r="AB340" s="180"/>
      <c r="AC340" s="180"/>
      <c r="AD340" s="180"/>
      <c r="AE340" s="180"/>
      <c r="AF340" s="180"/>
      <c r="AG340" s="180"/>
      <c r="AH340" s="180"/>
      <c r="AI340" s="180"/>
      <c r="AJ340" s="180"/>
      <c r="AK340" s="180"/>
      <c r="AL340" s="180"/>
      <c r="AM340" s="180"/>
      <c r="AN340" s="180"/>
      <c r="AO340" s="180"/>
      <c r="AP340" s="180"/>
      <c r="AQ340" s="180"/>
      <c r="AR340" s="180"/>
      <c r="AS340" s="180">
        <v>0</v>
      </c>
      <c r="AT340" s="180">
        <v>0</v>
      </c>
    </row>
    <row r="341" spans="26:46">
      <c r="Z341" s="180"/>
      <c r="AA341" s="180"/>
      <c r="AB341" s="180"/>
      <c r="AC341" s="180"/>
      <c r="AD341" s="180"/>
      <c r="AE341" s="180"/>
      <c r="AF341" s="180"/>
      <c r="AG341" s="180"/>
      <c r="AH341" s="180"/>
      <c r="AI341" s="180"/>
      <c r="AJ341" s="180"/>
      <c r="AK341" s="180"/>
      <c r="AL341" s="180"/>
      <c r="AM341" s="180"/>
      <c r="AN341" s="180"/>
      <c r="AO341" s="180"/>
      <c r="AP341" s="180"/>
      <c r="AQ341" s="180"/>
      <c r="AR341" s="180"/>
      <c r="AS341" s="180">
        <v>1921.1583729033357</v>
      </c>
      <c r="AT341" s="180">
        <v>1807.3478560315941</v>
      </c>
    </row>
    <row r="342" spans="26:46">
      <c r="Z342" s="180"/>
      <c r="AA342" s="180"/>
      <c r="AB342" s="180"/>
      <c r="AC342" s="180"/>
      <c r="AD342" s="180"/>
      <c r="AE342" s="180"/>
      <c r="AF342" s="180"/>
      <c r="AG342" s="180"/>
      <c r="AH342" s="180"/>
      <c r="AI342" s="180"/>
      <c r="AJ342" s="180"/>
      <c r="AK342" s="180"/>
      <c r="AL342" s="180"/>
      <c r="AM342" s="180"/>
      <c r="AN342" s="180"/>
      <c r="AO342" s="180"/>
      <c r="AP342" s="180"/>
      <c r="AQ342" s="180"/>
      <c r="AR342" s="180"/>
      <c r="AS342" s="180">
        <v>74928.3164754912</v>
      </c>
      <c r="AT342" s="180">
        <v>76735.664331522799</v>
      </c>
    </row>
    <row r="343" spans="26:46">
      <c r="Z343" s="180"/>
      <c r="AA343" s="180"/>
      <c r="AB343" s="180"/>
      <c r="AC343" s="180"/>
      <c r="AD343" s="180"/>
      <c r="AE343" s="180"/>
      <c r="AF343" s="180"/>
      <c r="AG343" s="180"/>
      <c r="AH343" s="180"/>
      <c r="AI343" s="180"/>
      <c r="AJ343" s="180"/>
      <c r="AK343" s="180"/>
      <c r="AL343" s="180"/>
      <c r="AM343" s="180"/>
      <c r="AN343" s="180"/>
      <c r="AO343" s="180"/>
      <c r="AP343" s="180"/>
      <c r="AQ343" s="180"/>
      <c r="AR343" s="180"/>
      <c r="AS343" s="180">
        <v>21.213129022684932</v>
      </c>
      <c r="AT343" s="180">
        <v>18.271213656041105</v>
      </c>
    </row>
    <row r="344" spans="26:46">
      <c r="Z344" s="180"/>
      <c r="AA344" s="180"/>
      <c r="AB344" s="180"/>
      <c r="AC344" s="180"/>
      <c r="AD344" s="180"/>
      <c r="AE344" s="180"/>
      <c r="AF344" s="180"/>
      <c r="AG344" s="180"/>
      <c r="AH344" s="180"/>
      <c r="AI344" s="180"/>
      <c r="AJ344" s="180"/>
      <c r="AK344" s="180"/>
      <c r="AL344" s="180"/>
      <c r="AM344" s="180"/>
      <c r="AN344" s="180"/>
      <c r="AO344" s="180"/>
      <c r="AP344" s="180"/>
      <c r="AQ344" s="180"/>
      <c r="AR344" s="180"/>
      <c r="AS344" s="180">
        <v>109.18693006335819</v>
      </c>
      <c r="AT344" s="180">
        <v>109.17297740747792</v>
      </c>
    </row>
    <row r="345" spans="26:46">
      <c r="Z345" s="180"/>
      <c r="AA345" s="180"/>
      <c r="AB345" s="180"/>
      <c r="AC345" s="180"/>
      <c r="AD345" s="180"/>
      <c r="AE345" s="180"/>
      <c r="AF345" s="180"/>
      <c r="AG345" s="180"/>
      <c r="AH345" s="180"/>
      <c r="AI345" s="180"/>
      <c r="AJ345" s="180"/>
      <c r="AK345" s="180"/>
      <c r="AL345" s="180"/>
      <c r="AM345" s="180"/>
      <c r="AN345" s="180"/>
      <c r="AO345" s="180"/>
      <c r="AP345" s="180"/>
      <c r="AQ345" s="180"/>
      <c r="AR345" s="180"/>
      <c r="AS345" s="180">
        <v>1618.280529981296</v>
      </c>
      <c r="AT345" s="180">
        <v>1530.7918972282159</v>
      </c>
    </row>
    <row r="346" spans="26:46">
      <c r="Z346" s="180"/>
      <c r="AA346" s="180"/>
      <c r="AB346" s="180"/>
      <c r="AC346" s="180"/>
      <c r="AD346" s="180"/>
      <c r="AE346" s="180"/>
      <c r="AF346" s="180"/>
      <c r="AG346" s="180"/>
      <c r="AH346" s="180"/>
      <c r="AI346" s="180"/>
      <c r="AJ346" s="180"/>
      <c r="AK346" s="180"/>
      <c r="AL346" s="180"/>
      <c r="AM346" s="180"/>
      <c r="AN346" s="180"/>
      <c r="AO346" s="180"/>
      <c r="AP346" s="180"/>
      <c r="AQ346" s="180"/>
      <c r="AR346" s="180"/>
      <c r="AS346" s="180">
        <v>38.717179381703133</v>
      </c>
      <c r="AT346" s="180">
        <v>31.077575837847448</v>
      </c>
    </row>
    <row r="347" spans="26:46">
      <c r="Z347" s="180"/>
      <c r="AA347" s="180"/>
      <c r="AB347" s="180"/>
      <c r="AC347" s="180"/>
      <c r="AD347" s="180"/>
      <c r="AE347" s="180"/>
      <c r="AF347" s="180"/>
      <c r="AG347" s="180"/>
      <c r="AH347" s="180"/>
      <c r="AI347" s="180"/>
      <c r="AJ347" s="180"/>
      <c r="AK347" s="180"/>
      <c r="AL347" s="180"/>
      <c r="AM347" s="180"/>
      <c r="AN347" s="180"/>
      <c r="AO347" s="180"/>
      <c r="AP347" s="180"/>
      <c r="AQ347" s="180"/>
      <c r="AR347" s="180"/>
      <c r="AS347" s="180">
        <v>0</v>
      </c>
      <c r="AT347" s="180">
        <v>0</v>
      </c>
    </row>
    <row r="348" spans="26:46">
      <c r="Z348" s="180"/>
      <c r="AA348" s="180"/>
      <c r="AB348" s="180"/>
      <c r="AC348" s="180"/>
      <c r="AD348" s="180"/>
      <c r="AE348" s="180"/>
      <c r="AF348" s="180"/>
      <c r="AG348" s="180"/>
      <c r="AH348" s="180"/>
      <c r="AI348" s="180"/>
      <c r="AJ348" s="180"/>
      <c r="AK348" s="180"/>
      <c r="AL348" s="180"/>
      <c r="AM348" s="180"/>
      <c r="AN348" s="180"/>
      <c r="AO348" s="180"/>
      <c r="AP348" s="180"/>
      <c r="AQ348" s="180"/>
      <c r="AR348" s="180"/>
      <c r="AS348" s="180">
        <v>66.59170664833664</v>
      </c>
      <c r="AT348" s="180">
        <v>51.228968930271677</v>
      </c>
    </row>
    <row r="349" spans="26:46">
      <c r="Z349" s="180"/>
      <c r="AA349" s="180"/>
      <c r="AB349" s="180"/>
      <c r="AC349" s="180"/>
      <c r="AD349" s="180"/>
      <c r="AE349" s="180"/>
      <c r="AF349" s="180"/>
      <c r="AG349" s="180"/>
      <c r="AH349" s="180"/>
      <c r="AI349" s="180"/>
      <c r="AJ349" s="180"/>
      <c r="AK349" s="180"/>
      <c r="AL349" s="180"/>
      <c r="AM349" s="180"/>
      <c r="AN349" s="180"/>
      <c r="AO349" s="180"/>
      <c r="AP349" s="180"/>
      <c r="AQ349" s="180"/>
      <c r="AR349" s="180"/>
      <c r="AS349" s="180">
        <v>2.1345449389679501</v>
      </c>
      <c r="AT349" s="180">
        <v>1.5816514764308678</v>
      </c>
    </row>
    <row r="350" spans="26:46">
      <c r="Z350" s="180"/>
      <c r="AA350" s="180"/>
      <c r="AB350" s="180"/>
      <c r="AC350" s="180"/>
      <c r="AD350" s="180"/>
      <c r="AE350" s="180"/>
      <c r="AF350" s="180"/>
      <c r="AG350" s="180"/>
      <c r="AH350" s="180"/>
      <c r="AI350" s="180"/>
      <c r="AJ350" s="180"/>
      <c r="AK350" s="180"/>
      <c r="AL350" s="180"/>
      <c r="AM350" s="180"/>
      <c r="AN350" s="180"/>
      <c r="AO350" s="180"/>
      <c r="AP350" s="180"/>
      <c r="AQ350" s="180"/>
      <c r="AR350" s="180"/>
      <c r="AS350" s="180">
        <v>56.494522506614132</v>
      </c>
      <c r="AT350" s="180">
        <v>56.494522506613414</v>
      </c>
    </row>
    <row r="351" spans="26:46">
      <c r="Z351" s="180"/>
      <c r="AA351" s="180"/>
      <c r="AB351" s="180"/>
      <c r="AC351" s="180"/>
      <c r="AD351" s="180"/>
      <c r="AE351" s="180"/>
      <c r="AF351" s="180"/>
      <c r="AG351" s="180"/>
      <c r="AH351" s="180"/>
      <c r="AI351" s="180"/>
      <c r="AJ351" s="180"/>
      <c r="AK351" s="180"/>
      <c r="AL351" s="180"/>
      <c r="AM351" s="180"/>
      <c r="AN351" s="180"/>
      <c r="AO351" s="180"/>
      <c r="AP351" s="180"/>
      <c r="AQ351" s="180"/>
      <c r="AR351" s="180"/>
      <c r="AS351" s="180">
        <v>0</v>
      </c>
      <c r="AT351" s="180">
        <v>0</v>
      </c>
    </row>
    <row r="352" spans="26:46">
      <c r="Z352" s="180"/>
      <c r="AA352" s="180"/>
      <c r="AB352" s="180"/>
      <c r="AC352" s="180"/>
      <c r="AD352" s="180"/>
      <c r="AE352" s="180"/>
      <c r="AF352" s="180"/>
      <c r="AG352" s="180"/>
      <c r="AH352" s="180"/>
      <c r="AI352" s="180"/>
      <c r="AJ352" s="180"/>
      <c r="AK352" s="180"/>
      <c r="AL352" s="180"/>
      <c r="AM352" s="180"/>
      <c r="AN352" s="180"/>
      <c r="AO352" s="180"/>
      <c r="AP352" s="180"/>
      <c r="AQ352" s="180"/>
      <c r="AR352" s="180"/>
      <c r="AS352" s="180">
        <v>0</v>
      </c>
      <c r="AT352" s="180">
        <v>0</v>
      </c>
    </row>
    <row r="353" spans="26:46">
      <c r="Z353" s="180"/>
      <c r="AA353" s="180"/>
      <c r="AB353" s="180"/>
      <c r="AC353" s="180"/>
      <c r="AD353" s="180"/>
      <c r="AE353" s="180"/>
      <c r="AF353" s="180"/>
      <c r="AG353" s="180"/>
      <c r="AH353" s="180"/>
      <c r="AI353" s="180"/>
      <c r="AJ353" s="180"/>
      <c r="AK353" s="180"/>
      <c r="AL353" s="180"/>
      <c r="AM353" s="180"/>
      <c r="AN353" s="180"/>
      <c r="AO353" s="180"/>
      <c r="AP353" s="180"/>
      <c r="AQ353" s="180"/>
      <c r="AR353" s="180"/>
      <c r="AS353" s="180">
        <v>8.5398303603748094</v>
      </c>
      <c r="AT353" s="180">
        <v>8.7290489886956397</v>
      </c>
    </row>
    <row r="354" spans="26:46">
      <c r="Z354" s="180"/>
      <c r="AA354" s="180"/>
      <c r="AB354" s="180"/>
      <c r="AC354" s="180"/>
      <c r="AD354" s="180"/>
      <c r="AE354" s="180"/>
      <c r="AF354" s="180"/>
      <c r="AG354" s="180"/>
      <c r="AH354" s="180"/>
      <c r="AI354" s="180"/>
      <c r="AJ354" s="180"/>
      <c r="AK354" s="180"/>
      <c r="AL354" s="180"/>
      <c r="AM354" s="180"/>
      <c r="AN354" s="180"/>
      <c r="AO354" s="180"/>
      <c r="AP354" s="180"/>
      <c r="AQ354" s="180"/>
      <c r="AR354" s="180"/>
      <c r="AS354" s="180"/>
      <c r="AT354" s="180"/>
    </row>
    <row r="355" spans="26:46">
      <c r="Z355" s="180"/>
      <c r="AA355" s="180"/>
      <c r="AB355" s="180"/>
      <c r="AC355" s="180"/>
      <c r="AD355" s="180"/>
      <c r="AE355" s="180"/>
      <c r="AF355" s="180"/>
      <c r="AG355" s="180"/>
      <c r="AH355" s="180"/>
      <c r="AI355" s="180"/>
      <c r="AJ355" s="180"/>
      <c r="AK355" s="180"/>
      <c r="AL355" s="180"/>
      <c r="AM355" s="180"/>
      <c r="AN355" s="180"/>
      <c r="AO355" s="180"/>
      <c r="AP355" s="180"/>
      <c r="AQ355" s="180"/>
      <c r="AR355" s="180"/>
      <c r="AS355" s="180">
        <v>12637.632050582091</v>
      </c>
      <c r="AT355" s="180">
        <v>12524.248734062248</v>
      </c>
    </row>
    <row r="356" spans="26:46">
      <c r="Z356" s="180"/>
      <c r="AA356" s="180"/>
      <c r="AB356" s="180"/>
      <c r="AC356" s="180"/>
      <c r="AD356" s="180"/>
      <c r="AE356" s="180"/>
      <c r="AF356" s="180"/>
      <c r="AG356" s="180"/>
      <c r="AH356" s="180"/>
      <c r="AI356" s="180"/>
      <c r="AJ356" s="180"/>
      <c r="AK356" s="180"/>
      <c r="AL356" s="180"/>
      <c r="AM356" s="180"/>
      <c r="AN356" s="180"/>
      <c r="AO356" s="180"/>
      <c r="AP356" s="180"/>
      <c r="AQ356" s="180"/>
      <c r="AR356" s="180"/>
      <c r="AS356" s="180">
        <v>473870.00106280856</v>
      </c>
      <c r="AT356" s="180">
        <v>486394.2497968708</v>
      </c>
    </row>
    <row r="357" spans="26:46">
      <c r="Z357" s="180"/>
      <c r="AA357" s="180"/>
      <c r="AB357" s="180"/>
      <c r="AC357" s="180"/>
      <c r="AD357" s="180"/>
      <c r="AE357" s="180"/>
      <c r="AF357" s="180"/>
      <c r="AG357" s="180"/>
      <c r="AH357" s="180"/>
      <c r="AI357" s="180"/>
      <c r="AJ357" s="180"/>
      <c r="AK357" s="180"/>
      <c r="AL357" s="180"/>
      <c r="AM357" s="180"/>
      <c r="AN357" s="180"/>
      <c r="AO357" s="180"/>
      <c r="AP357" s="180"/>
      <c r="AQ357" s="180"/>
      <c r="AR357" s="180"/>
      <c r="AS357" s="180">
        <v>7940.8510159777816</v>
      </c>
      <c r="AT357" s="180">
        <v>7969.412626182625</v>
      </c>
    </row>
    <row r="358" spans="26:46">
      <c r="Z358" s="180"/>
      <c r="AA358" s="180"/>
      <c r="AB358" s="180"/>
      <c r="AC358" s="180"/>
      <c r="AD358" s="180"/>
      <c r="AE358" s="180"/>
      <c r="AF358" s="180"/>
      <c r="AG358" s="180"/>
      <c r="AH358" s="180"/>
      <c r="AI358" s="180"/>
      <c r="AJ358" s="180"/>
      <c r="AK358" s="180"/>
      <c r="AL358" s="180"/>
      <c r="AM358" s="180"/>
      <c r="AN358" s="180"/>
      <c r="AO358" s="180"/>
      <c r="AP358" s="180"/>
      <c r="AQ358" s="180"/>
      <c r="AR358" s="180"/>
      <c r="AS358" s="180">
        <v>1649.6563469646449</v>
      </c>
      <c r="AT358" s="180">
        <v>1606.7935242282697</v>
      </c>
    </row>
    <row r="359" spans="26:46">
      <c r="Z359" s="180"/>
      <c r="AA359" s="180"/>
      <c r="AB359" s="180"/>
      <c r="AC359" s="180"/>
      <c r="AD359" s="180"/>
      <c r="AE359" s="180"/>
      <c r="AF359" s="180"/>
      <c r="AG359" s="180"/>
      <c r="AH359" s="180"/>
      <c r="AI359" s="180"/>
      <c r="AJ359" s="180"/>
      <c r="AK359" s="180"/>
      <c r="AL359" s="180"/>
      <c r="AM359" s="180"/>
      <c r="AN359" s="180"/>
      <c r="AO359" s="180"/>
      <c r="AP359" s="180"/>
      <c r="AQ359" s="180"/>
      <c r="AR359" s="180"/>
      <c r="AS359" s="180">
        <v>2962.1048799278278</v>
      </c>
      <c r="AT359" s="180">
        <v>2865.68567204697</v>
      </c>
    </row>
    <row r="360" spans="26:46">
      <c r="Z360" s="180"/>
      <c r="AA360" s="180"/>
      <c r="AB360" s="180"/>
      <c r="AC360" s="180"/>
      <c r="AD360" s="180"/>
      <c r="AE360" s="180"/>
      <c r="AF360" s="180"/>
      <c r="AG360" s="180"/>
      <c r="AH360" s="180"/>
      <c r="AI360" s="180"/>
      <c r="AJ360" s="180"/>
      <c r="AK360" s="180"/>
      <c r="AL360" s="180"/>
      <c r="AM360" s="180"/>
      <c r="AN360" s="180"/>
      <c r="AO360" s="180"/>
      <c r="AP360" s="180"/>
      <c r="AQ360" s="180"/>
      <c r="AR360" s="180"/>
      <c r="AS360" s="180">
        <v>85.01980771183662</v>
      </c>
      <c r="AT360" s="180">
        <v>82.356911604383299</v>
      </c>
    </row>
    <row r="361" spans="26:46">
      <c r="Z361" s="180"/>
      <c r="AA361" s="180"/>
      <c r="AB361" s="180"/>
      <c r="AC361" s="180"/>
      <c r="AD361" s="180"/>
      <c r="AE361" s="180"/>
      <c r="AF361" s="180"/>
      <c r="AG361" s="180"/>
      <c r="AH361" s="180"/>
      <c r="AI361" s="180"/>
      <c r="AJ361" s="180"/>
      <c r="AK361" s="180"/>
      <c r="AL361" s="180"/>
      <c r="AM361" s="180"/>
      <c r="AN361" s="180"/>
      <c r="AO361" s="180"/>
      <c r="AP361" s="180"/>
      <c r="AQ361" s="180"/>
      <c r="AR361" s="180"/>
      <c r="AS361" s="180">
        <v>188.78631859964091</v>
      </c>
      <c r="AT361" s="180">
        <v>63.481573324095713</v>
      </c>
    </row>
    <row r="362" spans="26:46">
      <c r="Z362" s="180"/>
      <c r="AA362" s="180"/>
      <c r="AB362" s="180"/>
      <c r="AC362" s="180"/>
      <c r="AD362" s="180"/>
      <c r="AE362" s="180"/>
      <c r="AF362" s="180"/>
      <c r="AG362" s="180"/>
      <c r="AH362" s="180"/>
      <c r="AI362" s="180"/>
      <c r="AJ362" s="180"/>
      <c r="AK362" s="180"/>
      <c r="AL362" s="180"/>
      <c r="AM362" s="180"/>
      <c r="AN362" s="180"/>
      <c r="AO362" s="180"/>
      <c r="AP362" s="180"/>
      <c r="AQ362" s="180"/>
      <c r="AR362" s="180"/>
      <c r="AS362" s="180">
        <v>6681.2172796796249</v>
      </c>
      <c r="AT362" s="180">
        <v>6744.6988530037206</v>
      </c>
    </row>
    <row r="363" spans="26:46">
      <c r="Z363" s="180"/>
      <c r="AA363" s="180"/>
      <c r="AB363" s="180"/>
      <c r="AC363" s="180"/>
      <c r="AD363" s="180"/>
      <c r="AE363" s="180"/>
      <c r="AF363" s="180"/>
      <c r="AG363" s="180"/>
      <c r="AH363" s="180"/>
      <c r="AI363" s="180"/>
      <c r="AJ363" s="180"/>
      <c r="AK363" s="180"/>
      <c r="AL363" s="180"/>
      <c r="AM363" s="180"/>
      <c r="AN363" s="180"/>
      <c r="AO363" s="180"/>
      <c r="AP363" s="180"/>
      <c r="AQ363" s="180"/>
      <c r="AR363" s="180"/>
      <c r="AS363" s="180">
        <v>15.499483984807087</v>
      </c>
      <c r="AT363" s="180">
        <v>15.499630911190687</v>
      </c>
    </row>
    <row r="364" spans="26:46">
      <c r="Z364" s="180"/>
      <c r="AA364" s="180"/>
      <c r="AB364" s="180"/>
      <c r="AC364" s="180"/>
      <c r="AD364" s="180"/>
      <c r="AE364" s="180"/>
      <c r="AF364" s="180"/>
      <c r="AG364" s="180"/>
      <c r="AH364" s="180"/>
      <c r="AI364" s="180"/>
      <c r="AJ364" s="180"/>
      <c r="AK364" s="180"/>
      <c r="AL364" s="180"/>
      <c r="AM364" s="180"/>
      <c r="AN364" s="180"/>
      <c r="AO364" s="180"/>
      <c r="AP364" s="180"/>
      <c r="AQ364" s="180"/>
      <c r="AR364" s="180"/>
      <c r="AS364" s="180">
        <v>48.230705557541782</v>
      </c>
      <c r="AT364" s="180">
        <v>47.911988218626092</v>
      </c>
    </row>
    <row r="365" spans="26:46">
      <c r="Z365" s="180"/>
      <c r="AA365" s="180"/>
      <c r="AB365" s="180"/>
      <c r="AC365" s="180"/>
      <c r="AD365" s="180"/>
      <c r="AE365" s="180"/>
      <c r="AF365" s="180"/>
      <c r="AG365" s="180"/>
      <c r="AH365" s="180"/>
      <c r="AI365" s="180"/>
      <c r="AJ365" s="180"/>
      <c r="AK365" s="180"/>
      <c r="AL365" s="180"/>
      <c r="AM365" s="180"/>
      <c r="AN365" s="180"/>
      <c r="AO365" s="180"/>
      <c r="AP365" s="180"/>
      <c r="AQ365" s="180"/>
      <c r="AR365" s="180"/>
      <c r="AS365" s="180">
        <v>0</v>
      </c>
      <c r="AT365" s="180">
        <v>0</v>
      </c>
    </row>
    <row r="366" spans="26:46">
      <c r="Z366" s="180"/>
      <c r="AA366" s="180"/>
      <c r="AB366" s="180"/>
      <c r="AC366" s="180"/>
      <c r="AD366" s="180"/>
      <c r="AE366" s="180"/>
      <c r="AF366" s="180"/>
      <c r="AG366" s="180"/>
      <c r="AH366" s="180"/>
      <c r="AI366" s="180"/>
      <c r="AJ366" s="180"/>
      <c r="AK366" s="180"/>
      <c r="AL366" s="180"/>
      <c r="AM366" s="180"/>
      <c r="AN366" s="180"/>
      <c r="AO366" s="180"/>
      <c r="AP366" s="180"/>
      <c r="AQ366" s="180"/>
      <c r="AR366" s="180"/>
      <c r="AS366" s="180">
        <v>125.05612905729204</v>
      </c>
      <c r="AT366" s="180">
        <v>6.9954194278937815E-2</v>
      </c>
    </row>
    <row r="367" spans="26:46">
      <c r="Z367" s="180"/>
      <c r="AA367" s="180"/>
      <c r="AB367" s="180"/>
      <c r="AC367" s="180"/>
      <c r="AD367" s="180"/>
      <c r="AE367" s="180"/>
      <c r="AF367" s="180"/>
      <c r="AG367" s="180"/>
      <c r="AH367" s="180"/>
      <c r="AI367" s="180"/>
      <c r="AJ367" s="180"/>
      <c r="AK367" s="180"/>
      <c r="AL367" s="180"/>
      <c r="AM367" s="180"/>
      <c r="AN367" s="180"/>
      <c r="AO367" s="180"/>
      <c r="AP367" s="180"/>
      <c r="AQ367" s="180"/>
      <c r="AR367" s="180"/>
      <c r="AS367" s="180"/>
      <c r="AT367" s="180"/>
    </row>
    <row r="368" spans="26:46">
      <c r="Z368" s="180"/>
      <c r="AA368" s="180"/>
      <c r="AB368" s="180"/>
      <c r="AC368" s="180"/>
      <c r="AD368" s="180"/>
      <c r="AE368" s="180"/>
      <c r="AF368" s="180"/>
      <c r="AG368" s="180"/>
      <c r="AH368" s="180"/>
      <c r="AI368" s="180"/>
      <c r="AJ368" s="180"/>
      <c r="AK368" s="180"/>
      <c r="AL368" s="180"/>
      <c r="AM368" s="180"/>
      <c r="AN368" s="180"/>
      <c r="AO368" s="180"/>
      <c r="AP368" s="180"/>
      <c r="AQ368" s="180"/>
      <c r="AR368" s="180"/>
      <c r="AS368" s="180"/>
      <c r="AT368" s="180"/>
    </row>
    <row r="369" spans="26:46">
      <c r="Z369" s="180"/>
      <c r="AA369" s="180"/>
      <c r="AB369" s="180"/>
      <c r="AC369" s="180"/>
      <c r="AD369" s="180"/>
      <c r="AE369" s="180"/>
      <c r="AF369" s="180"/>
      <c r="AG369" s="180"/>
      <c r="AH369" s="180"/>
      <c r="AI369" s="180"/>
      <c r="AJ369" s="180"/>
      <c r="AK369" s="180"/>
      <c r="AL369" s="180"/>
      <c r="AM369" s="180"/>
      <c r="AN369" s="180"/>
      <c r="AO369" s="180"/>
      <c r="AP369" s="180"/>
      <c r="AQ369" s="180"/>
      <c r="AR369" s="180"/>
      <c r="AS369" s="180">
        <v>12.865462373552342</v>
      </c>
      <c r="AT369" s="180">
        <v>12.764370007761482</v>
      </c>
    </row>
    <row r="370" spans="26:46">
      <c r="Z370" s="180"/>
      <c r="AA370" s="180"/>
      <c r="AB370" s="180"/>
      <c r="AC370" s="180"/>
      <c r="AD370" s="180"/>
      <c r="AE370" s="180"/>
      <c r="AF370" s="180"/>
      <c r="AG370" s="180"/>
      <c r="AH370" s="180"/>
      <c r="AI370" s="180"/>
      <c r="AJ370" s="180"/>
      <c r="AK370" s="180"/>
      <c r="AL370" s="180"/>
      <c r="AM370" s="180"/>
      <c r="AN370" s="180"/>
      <c r="AO370" s="180"/>
      <c r="AP370" s="180"/>
      <c r="AQ370" s="180"/>
      <c r="AR370" s="180"/>
      <c r="AS370" s="180">
        <v>480.12948244038739</v>
      </c>
      <c r="AT370" s="180">
        <v>492.89385244814889</v>
      </c>
    </row>
    <row r="371" spans="26:46">
      <c r="Z371" s="180"/>
      <c r="AA371" s="180"/>
      <c r="AB371" s="180"/>
      <c r="AC371" s="180"/>
      <c r="AD371" s="180"/>
      <c r="AE371" s="180"/>
      <c r="AF371" s="180"/>
      <c r="AG371" s="180"/>
      <c r="AH371" s="180"/>
      <c r="AI371" s="180"/>
      <c r="AJ371" s="180"/>
      <c r="AK371" s="180"/>
      <c r="AL371" s="180"/>
      <c r="AM371" s="180"/>
      <c r="AN371" s="180"/>
      <c r="AO371" s="180"/>
      <c r="AP371" s="180"/>
      <c r="AQ371" s="180"/>
      <c r="AR371" s="180"/>
      <c r="AS371" s="180">
        <v>3.3069096349995459</v>
      </c>
      <c r="AT371" s="180">
        <v>3.2122520582510323</v>
      </c>
    </row>
    <row r="372" spans="26:46">
      <c r="Z372" s="180"/>
      <c r="AA372" s="180"/>
      <c r="AB372" s="180"/>
      <c r="AC372" s="180"/>
      <c r="AD372" s="180"/>
      <c r="AE372" s="180"/>
      <c r="AF372" s="180"/>
      <c r="AG372" s="180"/>
      <c r="AH372" s="180"/>
      <c r="AI372" s="180"/>
      <c r="AJ372" s="180"/>
      <c r="AK372" s="180"/>
      <c r="AL372" s="180"/>
      <c r="AM372" s="180"/>
      <c r="AN372" s="180"/>
      <c r="AO372" s="180"/>
      <c r="AP372" s="180"/>
      <c r="AQ372" s="180"/>
      <c r="AR372" s="180"/>
      <c r="AS372" s="180">
        <v>110.63467161215006</v>
      </c>
      <c r="AT372" s="180">
        <v>113.8469236704011</v>
      </c>
    </row>
    <row r="373" spans="26:46">
      <c r="Z373" s="180"/>
      <c r="AA373" s="180"/>
      <c r="AB373" s="180"/>
      <c r="AC373" s="180"/>
      <c r="AD373" s="180"/>
      <c r="AE373" s="180"/>
      <c r="AF373" s="180"/>
      <c r="AG373" s="180"/>
      <c r="AH373" s="180"/>
      <c r="AI373" s="180"/>
      <c r="AJ373" s="180"/>
      <c r="AK373" s="180"/>
      <c r="AL373" s="180"/>
      <c r="AM373" s="180"/>
      <c r="AN373" s="180"/>
      <c r="AO373" s="180"/>
      <c r="AP373" s="180"/>
      <c r="AQ373" s="180"/>
      <c r="AR373" s="180"/>
      <c r="AS373" s="180">
        <v>0</v>
      </c>
      <c r="AT373" s="180">
        <v>0</v>
      </c>
    </row>
    <row r="374" spans="26:46">
      <c r="Z374" s="180"/>
      <c r="AA374" s="180"/>
      <c r="AB374" s="180"/>
      <c r="AC374" s="180"/>
      <c r="AD374" s="180"/>
      <c r="AE374" s="180"/>
      <c r="AF374" s="180"/>
      <c r="AG374" s="180"/>
      <c r="AH374" s="180"/>
      <c r="AI374" s="180"/>
      <c r="AJ374" s="180"/>
      <c r="AK374" s="180"/>
      <c r="AL374" s="180"/>
      <c r="AM374" s="180"/>
      <c r="AN374" s="180"/>
      <c r="AO374" s="180"/>
      <c r="AP374" s="180"/>
      <c r="AQ374" s="180"/>
      <c r="AR374" s="180"/>
      <c r="AS374" s="180">
        <v>2962.1048799278278</v>
      </c>
      <c r="AT374" s="180">
        <v>2865.68567204697</v>
      </c>
    </row>
    <row r="375" spans="26:46">
      <c r="Z375" s="180"/>
      <c r="AA375" s="180"/>
      <c r="AB375" s="180"/>
      <c r="AC375" s="180"/>
      <c r="AD375" s="180"/>
      <c r="AE375" s="180"/>
      <c r="AF375" s="180"/>
      <c r="AG375" s="180"/>
      <c r="AH375" s="180"/>
      <c r="AI375" s="180"/>
      <c r="AJ375" s="180"/>
      <c r="AK375" s="180"/>
      <c r="AL375" s="180"/>
      <c r="AM375" s="180"/>
      <c r="AN375" s="180"/>
      <c r="AO375" s="180"/>
      <c r="AP375" s="180"/>
      <c r="AQ375" s="180"/>
      <c r="AR375" s="180"/>
      <c r="AS375" s="180">
        <v>101134.65096803514</v>
      </c>
      <c r="AT375" s="180">
        <v>104000.33664008211</v>
      </c>
    </row>
    <row r="376" spans="26:46">
      <c r="Z376" s="180"/>
      <c r="AA376" s="180"/>
      <c r="AB376" s="180"/>
      <c r="AC376" s="180"/>
      <c r="AD376" s="180"/>
      <c r="AE376" s="180"/>
      <c r="AF376" s="180"/>
      <c r="AG376" s="180"/>
      <c r="AH376" s="180"/>
      <c r="AI376" s="180"/>
      <c r="AJ376" s="180"/>
      <c r="AK376" s="180"/>
      <c r="AL376" s="180"/>
      <c r="AM376" s="180"/>
      <c r="AN376" s="180"/>
      <c r="AO376" s="180"/>
      <c r="AP376" s="180"/>
      <c r="AQ376" s="180"/>
      <c r="AR376" s="180"/>
      <c r="AS376" s="180">
        <v>21.213129022684932</v>
      </c>
      <c r="AT376" s="180">
        <v>18.271213656041105</v>
      </c>
    </row>
    <row r="377" spans="26:46">
      <c r="Z377" s="180"/>
      <c r="AA377" s="180"/>
      <c r="AB377" s="180"/>
      <c r="AC377" s="180"/>
      <c r="AD377" s="180"/>
      <c r="AE377" s="180"/>
      <c r="AF377" s="180"/>
      <c r="AG377" s="180"/>
      <c r="AH377" s="180"/>
      <c r="AI377" s="180"/>
      <c r="AJ377" s="180"/>
      <c r="AK377" s="180"/>
      <c r="AL377" s="180"/>
      <c r="AM377" s="180"/>
      <c r="AN377" s="180"/>
      <c r="AO377" s="180"/>
      <c r="AP377" s="180"/>
      <c r="AQ377" s="180"/>
      <c r="AR377" s="180"/>
      <c r="AS377" s="180">
        <v>178.12767786480575</v>
      </c>
      <c r="AT377" s="180">
        <v>179.14160650512477</v>
      </c>
    </row>
    <row r="378" spans="26:46">
      <c r="Z378" s="180"/>
      <c r="AA378" s="180"/>
      <c r="AB378" s="180"/>
      <c r="AC378" s="180"/>
      <c r="AD378" s="180"/>
      <c r="AE378" s="180"/>
      <c r="AF378" s="180"/>
      <c r="AG378" s="180"/>
      <c r="AH378" s="180"/>
      <c r="AI378" s="180"/>
      <c r="AJ378" s="180"/>
      <c r="AK378" s="180"/>
      <c r="AL378" s="180"/>
      <c r="AM378" s="180"/>
      <c r="AN378" s="180"/>
      <c r="AO378" s="180"/>
      <c r="AP378" s="180"/>
      <c r="AQ378" s="180"/>
      <c r="AR378" s="180"/>
      <c r="AS378" s="180">
        <v>2495.6404557180622</v>
      </c>
      <c r="AT378" s="180">
        <v>2439.5172534063286</v>
      </c>
    </row>
    <row r="379" spans="26:46">
      <c r="Z379" s="180"/>
      <c r="AA379" s="180"/>
      <c r="AB379" s="180"/>
      <c r="AC379" s="180"/>
      <c r="AD379" s="180"/>
      <c r="AE379" s="180"/>
      <c r="AF379" s="180"/>
      <c r="AG379" s="180"/>
      <c r="AH379" s="180"/>
      <c r="AI379" s="180"/>
      <c r="AJ379" s="180"/>
      <c r="AK379" s="180"/>
      <c r="AL379" s="180"/>
      <c r="AM379" s="180"/>
      <c r="AN379" s="180"/>
      <c r="AO379" s="180"/>
      <c r="AP379" s="180"/>
      <c r="AQ379" s="180"/>
      <c r="AR379" s="180"/>
      <c r="AS379" s="180">
        <v>66.08711974413248</v>
      </c>
      <c r="AT379" s="180">
        <v>58.737047670775105</v>
      </c>
    </row>
    <row r="380" spans="26:46">
      <c r="Z380" s="180"/>
      <c r="AA380" s="180"/>
      <c r="AB380" s="180"/>
      <c r="AC380" s="180"/>
      <c r="AD380" s="180"/>
      <c r="AE380" s="180"/>
      <c r="AF380" s="180"/>
      <c r="AG380" s="180"/>
      <c r="AH380" s="180"/>
      <c r="AI380" s="180"/>
      <c r="AJ380" s="180"/>
      <c r="AK380" s="180"/>
      <c r="AL380" s="180"/>
      <c r="AM380" s="180"/>
      <c r="AN380" s="180"/>
      <c r="AO380" s="180"/>
      <c r="AP380" s="180"/>
      <c r="AQ380" s="180"/>
      <c r="AR380" s="180"/>
      <c r="AS380" s="180">
        <v>0</v>
      </c>
      <c r="AT380" s="180">
        <v>0</v>
      </c>
    </row>
    <row r="381" spans="26:46">
      <c r="Z381" s="180"/>
      <c r="AA381" s="180"/>
      <c r="AB381" s="180"/>
      <c r="AC381" s="180"/>
      <c r="AD381" s="180"/>
      <c r="AE381" s="180"/>
      <c r="AF381" s="180"/>
      <c r="AG381" s="180"/>
      <c r="AH381" s="180"/>
      <c r="AI381" s="180"/>
      <c r="AJ381" s="180"/>
      <c r="AK381" s="180"/>
      <c r="AL381" s="180"/>
      <c r="AM381" s="180"/>
      <c r="AN381" s="180"/>
      <c r="AO381" s="180"/>
      <c r="AP381" s="180"/>
      <c r="AQ381" s="180"/>
      <c r="AR381" s="180"/>
      <c r="AS381" s="180">
        <v>128.95844933137215</v>
      </c>
      <c r="AT381" s="180">
        <v>98.561941924676731</v>
      </c>
    </row>
    <row r="382" spans="26:46">
      <c r="Z382" s="180"/>
      <c r="AA382" s="180"/>
      <c r="AB382" s="180"/>
      <c r="AC382" s="180"/>
      <c r="AD382" s="180"/>
      <c r="AE382" s="180"/>
      <c r="AF382" s="180"/>
      <c r="AG382" s="180"/>
      <c r="AH382" s="180"/>
      <c r="AI382" s="180"/>
      <c r="AJ382" s="180"/>
      <c r="AK382" s="180"/>
      <c r="AL382" s="180"/>
      <c r="AM382" s="180"/>
      <c r="AN382" s="180"/>
      <c r="AO382" s="180"/>
      <c r="AP382" s="180"/>
      <c r="AQ382" s="180"/>
      <c r="AR382" s="180"/>
      <c r="AS382" s="180">
        <v>3.4653746300390358</v>
      </c>
      <c r="AT382" s="180">
        <v>2.5558953880786128</v>
      </c>
    </row>
    <row r="383" spans="26:46">
      <c r="Z383" s="180"/>
      <c r="AA383" s="180"/>
      <c r="AB383" s="180"/>
      <c r="AC383" s="180"/>
      <c r="AD383" s="180"/>
      <c r="AE383" s="180"/>
      <c r="AF383" s="180"/>
      <c r="AG383" s="180"/>
      <c r="AH383" s="180"/>
      <c r="AI383" s="180"/>
      <c r="AJ383" s="180"/>
      <c r="AK383" s="180"/>
      <c r="AL383" s="180"/>
      <c r="AM383" s="180"/>
      <c r="AN383" s="180"/>
      <c r="AO383" s="180"/>
      <c r="AP383" s="180"/>
      <c r="AQ383" s="180"/>
      <c r="AR383" s="180"/>
      <c r="AS383" s="180">
        <v>60.072843256356499</v>
      </c>
      <c r="AT383" s="180">
        <v>60.171664507249851</v>
      </c>
    </row>
    <row r="384" spans="26:46">
      <c r="Z384" s="180"/>
      <c r="AA384" s="180"/>
      <c r="AB384" s="180"/>
      <c r="AC384" s="180"/>
      <c r="AD384" s="180"/>
      <c r="AE384" s="180"/>
      <c r="AF384" s="180"/>
      <c r="AG384" s="180"/>
      <c r="AH384" s="180"/>
      <c r="AI384" s="180"/>
      <c r="AJ384" s="180"/>
      <c r="AK384" s="180"/>
      <c r="AL384" s="180"/>
      <c r="AM384" s="180"/>
      <c r="AN384" s="180"/>
      <c r="AO384" s="180"/>
      <c r="AP384" s="180"/>
      <c r="AQ384" s="180"/>
      <c r="AR384" s="180"/>
      <c r="AS384" s="180">
        <v>0</v>
      </c>
      <c r="AT384" s="180">
        <v>0</v>
      </c>
    </row>
    <row r="385" spans="26:46">
      <c r="Z385" s="180"/>
      <c r="AA385" s="180"/>
      <c r="AB385" s="180"/>
      <c r="AC385" s="180"/>
      <c r="AD385" s="180"/>
      <c r="AE385" s="180"/>
      <c r="AF385" s="180"/>
      <c r="AG385" s="180"/>
      <c r="AH385" s="180"/>
      <c r="AI385" s="180"/>
      <c r="AJ385" s="180"/>
      <c r="AK385" s="180"/>
      <c r="AL385" s="180"/>
      <c r="AM385" s="180"/>
      <c r="AN385" s="180"/>
      <c r="AO385" s="180"/>
      <c r="AP385" s="180"/>
      <c r="AQ385" s="180"/>
      <c r="AR385" s="180"/>
      <c r="AS385" s="180">
        <v>0</v>
      </c>
      <c r="AT385" s="180">
        <v>0</v>
      </c>
    </row>
    <row r="386" spans="26:46">
      <c r="Z386" s="180"/>
      <c r="AA386" s="180"/>
      <c r="AB386" s="180"/>
      <c r="AC386" s="180"/>
      <c r="AD386" s="180"/>
      <c r="AE386" s="180"/>
      <c r="AF386" s="180"/>
      <c r="AG386" s="180"/>
      <c r="AH386" s="180"/>
      <c r="AI386" s="180"/>
      <c r="AJ386" s="180"/>
      <c r="AK386" s="180"/>
      <c r="AL386" s="180"/>
      <c r="AM386" s="180"/>
      <c r="AN386" s="180"/>
      <c r="AO386" s="180"/>
      <c r="AP386" s="180"/>
      <c r="AQ386" s="180"/>
      <c r="AR386" s="180"/>
      <c r="AS386" s="180">
        <v>8.5398303603748094</v>
      </c>
      <c r="AT386" s="180">
        <v>8.7290489886956397</v>
      </c>
    </row>
    <row r="387" spans="26:46">
      <c r="Z387" s="180"/>
      <c r="AA387" s="180"/>
      <c r="AB387" s="180"/>
      <c r="AC387" s="180"/>
      <c r="AD387" s="180"/>
      <c r="AE387" s="180"/>
      <c r="AF387" s="180"/>
      <c r="AG387" s="180"/>
      <c r="AH387" s="180"/>
      <c r="AI387" s="180"/>
      <c r="AJ387" s="180"/>
      <c r="AK387" s="180"/>
      <c r="AL387" s="180"/>
      <c r="AM387" s="180"/>
      <c r="AN387" s="180"/>
      <c r="AO387" s="180"/>
      <c r="AP387" s="180"/>
      <c r="AQ387" s="180"/>
      <c r="AR387" s="180"/>
      <c r="AS387" s="180">
        <v>0</v>
      </c>
      <c r="AT387" s="180">
        <v>0</v>
      </c>
    </row>
    <row r="388" spans="26:46">
      <c r="Z388" s="180"/>
      <c r="AA388" s="180"/>
      <c r="AB388" s="180"/>
      <c r="AC388" s="180"/>
      <c r="AD388" s="180"/>
      <c r="AE388" s="180"/>
      <c r="AF388" s="180"/>
      <c r="AG388" s="180"/>
      <c r="AH388" s="180"/>
      <c r="AI388" s="180"/>
      <c r="AJ388" s="180"/>
      <c r="AK388" s="180"/>
      <c r="AL388" s="180"/>
      <c r="AM388" s="180"/>
      <c r="AN388" s="180"/>
      <c r="AO388" s="180"/>
      <c r="AP388" s="180"/>
      <c r="AQ388" s="180"/>
      <c r="AR388" s="180"/>
      <c r="AS388" s="180">
        <v>344.80475507171815</v>
      </c>
      <c r="AT388" s="180">
        <v>346.56638620406233</v>
      </c>
    </row>
    <row r="389" spans="26:46">
      <c r="Z389" s="180"/>
      <c r="AA389" s="180"/>
      <c r="AB389" s="180"/>
      <c r="AC389" s="180"/>
      <c r="AD389" s="180"/>
      <c r="AE389" s="180"/>
      <c r="AF389" s="180"/>
      <c r="AG389" s="180"/>
      <c r="AH389" s="180"/>
      <c r="AI389" s="180"/>
      <c r="AJ389" s="180"/>
      <c r="AK389" s="180"/>
      <c r="AL389" s="180"/>
      <c r="AM389" s="180"/>
      <c r="AN389" s="180"/>
      <c r="AO389" s="180"/>
      <c r="AP389" s="180"/>
      <c r="AQ389" s="180"/>
      <c r="AR389" s="180"/>
      <c r="AS389" s="180">
        <v>9500.0206441149439</v>
      </c>
      <c r="AT389" s="180">
        <v>9846.5870303190059</v>
      </c>
    </row>
    <row r="390" spans="26:46">
      <c r="Z390" s="180"/>
      <c r="AA390" s="180"/>
      <c r="AB390" s="180"/>
      <c r="AC390" s="180"/>
      <c r="AD390" s="180"/>
      <c r="AE390" s="180"/>
      <c r="AF390" s="180"/>
      <c r="AG390" s="180"/>
      <c r="AH390" s="180"/>
      <c r="AI390" s="180"/>
      <c r="AJ390" s="180"/>
      <c r="AK390" s="180"/>
      <c r="AL390" s="180"/>
      <c r="AM390" s="180"/>
      <c r="AN390" s="180"/>
      <c r="AO390" s="180"/>
      <c r="AP390" s="180"/>
      <c r="AQ390" s="180"/>
      <c r="AR390" s="180"/>
      <c r="AS390" s="180">
        <v>25.654259197031198</v>
      </c>
      <c r="AT390" s="180">
        <v>25.654259197030985</v>
      </c>
    </row>
    <row r="391" spans="26:46">
      <c r="Z391" s="180"/>
      <c r="AA391" s="180"/>
      <c r="AB391" s="180"/>
      <c r="AC391" s="180"/>
      <c r="AD391" s="180"/>
      <c r="AE391" s="180"/>
      <c r="AF391" s="180"/>
      <c r="AG391" s="180"/>
      <c r="AH391" s="180"/>
      <c r="AI391" s="180"/>
      <c r="AJ391" s="180"/>
      <c r="AK391" s="180"/>
      <c r="AL391" s="180"/>
      <c r="AM391" s="180"/>
      <c r="AN391" s="180"/>
      <c r="AO391" s="180"/>
      <c r="AP391" s="180"/>
      <c r="AQ391" s="180"/>
      <c r="AR391" s="180"/>
      <c r="AS391" s="180">
        <v>22.576446360510584</v>
      </c>
      <c r="AT391" s="180">
        <v>22.257729021595111</v>
      </c>
    </row>
    <row r="392" spans="26:46">
      <c r="Z392" s="180"/>
      <c r="AA392" s="180"/>
      <c r="AB392" s="180"/>
      <c r="AC392" s="180"/>
      <c r="AD392" s="180"/>
      <c r="AE392" s="180"/>
      <c r="AF392" s="180"/>
      <c r="AG392" s="180"/>
      <c r="AH392" s="180"/>
      <c r="AI392" s="180"/>
      <c r="AJ392" s="180"/>
      <c r="AK392" s="180"/>
      <c r="AL392" s="180"/>
      <c r="AM392" s="180"/>
      <c r="AN392" s="180"/>
      <c r="AO392" s="180"/>
      <c r="AP392" s="180"/>
      <c r="AQ392" s="180"/>
      <c r="AR392" s="180"/>
      <c r="AS392" s="180">
        <v>15.494875616345361</v>
      </c>
      <c r="AT392" s="180">
        <v>15.49481688524769</v>
      </c>
    </row>
    <row r="393" spans="26:46">
      <c r="Z393" s="180"/>
      <c r="AA393" s="180"/>
      <c r="AB393" s="180"/>
      <c r="AC393" s="180"/>
      <c r="AD393" s="180"/>
      <c r="AE393" s="180"/>
      <c r="AF393" s="180"/>
      <c r="AG393" s="180"/>
      <c r="AH393" s="180"/>
      <c r="AI393" s="180"/>
      <c r="AJ393" s="180"/>
      <c r="AK393" s="180"/>
      <c r="AL393" s="180"/>
      <c r="AM393" s="180"/>
      <c r="AN393" s="180"/>
      <c r="AO393" s="180"/>
      <c r="AP393" s="180"/>
      <c r="AQ393" s="180"/>
      <c r="AR393" s="180"/>
      <c r="AS393" s="180">
        <v>0</v>
      </c>
      <c r="AT393" s="180">
        <v>0</v>
      </c>
    </row>
    <row r="394" spans="26:46">
      <c r="Z394" s="180"/>
      <c r="AA394" s="180"/>
      <c r="AB394" s="180"/>
      <c r="AC394" s="180"/>
      <c r="AD394" s="180"/>
      <c r="AE394" s="180"/>
      <c r="AF394" s="180"/>
      <c r="AG394" s="180"/>
      <c r="AH394" s="180"/>
      <c r="AI394" s="180"/>
      <c r="AJ394" s="180"/>
      <c r="AK394" s="180"/>
      <c r="AL394" s="180"/>
      <c r="AM394" s="180"/>
      <c r="AN394" s="180"/>
      <c r="AO394" s="180"/>
      <c r="AP394" s="180"/>
      <c r="AQ394" s="180"/>
      <c r="AR394" s="180"/>
      <c r="AS394" s="180">
        <v>236.37956366836465</v>
      </c>
      <c r="AT394" s="180">
        <v>238.85352426498878</v>
      </c>
    </row>
    <row r="395" spans="26:46">
      <c r="Z395" s="180"/>
      <c r="AA395" s="180"/>
      <c r="AB395" s="180"/>
      <c r="AC395" s="180"/>
      <c r="AD395" s="180"/>
      <c r="AE395" s="180"/>
      <c r="AF395" s="180"/>
      <c r="AG395" s="180"/>
      <c r="AH395" s="180"/>
      <c r="AI395" s="180"/>
      <c r="AJ395" s="180"/>
      <c r="AK395" s="180"/>
      <c r="AL395" s="180"/>
      <c r="AM395" s="180"/>
      <c r="AN395" s="180"/>
      <c r="AO395" s="180"/>
      <c r="AP395" s="180"/>
      <c r="AQ395" s="180"/>
      <c r="AR395" s="180"/>
      <c r="AS395" s="180">
        <v>44.699610229466373</v>
      </c>
      <c r="AT395" s="180">
        <v>44.306056835199762</v>
      </c>
    </row>
    <row r="396" spans="26:46">
      <c r="Z396" s="180"/>
      <c r="AA396" s="180"/>
      <c r="AB396" s="180"/>
      <c r="AC396" s="180"/>
      <c r="AD396" s="180"/>
      <c r="AE396" s="180"/>
      <c r="AF396" s="180"/>
      <c r="AG396" s="180"/>
      <c r="AH396" s="180"/>
      <c r="AI396" s="180"/>
      <c r="AJ396" s="180"/>
      <c r="AK396" s="180"/>
      <c r="AL396" s="180"/>
      <c r="AM396" s="180"/>
      <c r="AN396" s="180"/>
      <c r="AO396" s="180"/>
      <c r="AP396" s="180"/>
      <c r="AQ396" s="180"/>
      <c r="AR396" s="180"/>
      <c r="AS396" s="180">
        <v>0</v>
      </c>
      <c r="AT396" s="180">
        <v>0</v>
      </c>
    </row>
    <row r="397" spans="26:46">
      <c r="Z397" s="180"/>
      <c r="AA397" s="180"/>
      <c r="AB397" s="180"/>
      <c r="AC397" s="180"/>
      <c r="AD397" s="180"/>
      <c r="AE397" s="180"/>
      <c r="AF397" s="180"/>
      <c r="AG397" s="180"/>
      <c r="AH397" s="180"/>
      <c r="AI397" s="180"/>
      <c r="AJ397" s="180"/>
      <c r="AK397" s="180"/>
      <c r="AL397" s="180"/>
      <c r="AM397" s="180"/>
      <c r="AN397" s="180"/>
      <c r="AO397" s="180"/>
      <c r="AP397" s="180"/>
      <c r="AQ397" s="180"/>
      <c r="AR397" s="180"/>
      <c r="AS397" s="180">
        <v>9558.5527385527948</v>
      </c>
      <c r="AT397" s="180">
        <v>9552.1179495104498</v>
      </c>
    </row>
    <row r="398" spans="26:46">
      <c r="Z398" s="180"/>
      <c r="AA398" s="180"/>
      <c r="AB398" s="180"/>
      <c r="AC398" s="180"/>
      <c r="AD398" s="180"/>
      <c r="AE398" s="180"/>
      <c r="AF398" s="180"/>
      <c r="AG398" s="180"/>
      <c r="AH398" s="180"/>
      <c r="AI398" s="180"/>
      <c r="AJ398" s="180"/>
      <c r="AK398" s="180"/>
      <c r="AL398" s="180"/>
      <c r="AM398" s="180"/>
      <c r="AN398" s="180"/>
      <c r="AO398" s="180"/>
      <c r="AP398" s="180"/>
      <c r="AQ398" s="180"/>
      <c r="AR398" s="180"/>
      <c r="AS398" s="180">
        <v>369494.81082823727</v>
      </c>
      <c r="AT398" s="180">
        <v>379046.92877774773</v>
      </c>
    </row>
    <row r="399" spans="26:46">
      <c r="Z399" s="180"/>
      <c r="AA399" s="180"/>
      <c r="AB399" s="180"/>
      <c r="AC399" s="180"/>
      <c r="AD399" s="180"/>
      <c r="AE399" s="180"/>
      <c r="AF399" s="180"/>
      <c r="AG399" s="180"/>
      <c r="AH399" s="180"/>
      <c r="AI399" s="180"/>
      <c r="AJ399" s="180"/>
      <c r="AK399" s="180"/>
      <c r="AL399" s="180"/>
      <c r="AM399" s="180"/>
      <c r="AN399" s="180"/>
      <c r="AO399" s="180"/>
      <c r="AP399" s="180"/>
      <c r="AQ399" s="180"/>
      <c r="AR399" s="180"/>
      <c r="AS399" s="180">
        <v>452.43491068647512</v>
      </c>
      <c r="AT399" s="180">
        <v>400.37532109390503</v>
      </c>
    </row>
    <row r="400" spans="26:46">
      <c r="Z400" s="180"/>
      <c r="AA400" s="180"/>
      <c r="AB400" s="180"/>
      <c r="AC400" s="180"/>
      <c r="AD400" s="180"/>
      <c r="AE400" s="180"/>
      <c r="AF400" s="180"/>
      <c r="AG400" s="180"/>
      <c r="AH400" s="180"/>
      <c r="AI400" s="180"/>
      <c r="AJ400" s="180"/>
      <c r="AK400" s="180"/>
      <c r="AL400" s="180"/>
      <c r="AM400" s="180"/>
      <c r="AN400" s="180"/>
      <c r="AO400" s="180"/>
      <c r="AP400" s="180"/>
      <c r="AQ400" s="180"/>
      <c r="AR400" s="180"/>
      <c r="AS400" s="180">
        <v>6791.4529961322842</v>
      </c>
      <c r="AT400" s="180">
        <v>6862.4595228109674</v>
      </c>
    </row>
    <row r="401" spans="26:46">
      <c r="Z401" s="180"/>
      <c r="AA401" s="180"/>
      <c r="AB401" s="180"/>
      <c r="AC401" s="180"/>
      <c r="AD401" s="180"/>
      <c r="AE401" s="180"/>
      <c r="AF401" s="180"/>
      <c r="AG401" s="180"/>
      <c r="AH401" s="180"/>
      <c r="AI401" s="180"/>
      <c r="AJ401" s="180"/>
      <c r="AK401" s="180"/>
      <c r="AL401" s="180"/>
      <c r="AM401" s="180"/>
      <c r="AN401" s="180"/>
      <c r="AO401" s="180"/>
      <c r="AP401" s="180"/>
      <c r="AQ401" s="180"/>
      <c r="AR401" s="180"/>
      <c r="AS401" s="180">
        <v>1223.6456863219166</v>
      </c>
      <c r="AT401" s="180">
        <v>1229.629907289316</v>
      </c>
    </row>
    <row r="402" spans="26:46">
      <c r="Z402" s="180"/>
      <c r="AA402" s="180"/>
      <c r="AB402" s="180"/>
      <c r="AC402" s="180"/>
      <c r="AD402" s="180"/>
      <c r="AE402" s="180"/>
      <c r="AF402" s="180"/>
      <c r="AG402" s="180"/>
      <c r="AH402" s="180"/>
      <c r="AI402" s="180"/>
      <c r="AJ402" s="180"/>
      <c r="AK402" s="180"/>
      <c r="AL402" s="180"/>
      <c r="AM402" s="180"/>
      <c r="AN402" s="180"/>
      <c r="AO402" s="180"/>
      <c r="AP402" s="180"/>
      <c r="AQ402" s="180"/>
      <c r="AR402" s="180"/>
      <c r="AS402" s="180">
        <v>22.893288013231324</v>
      </c>
      <c r="AT402" s="180">
        <v>0</v>
      </c>
    </row>
    <row r="403" spans="26:46">
      <c r="Z403" s="180"/>
      <c r="AA403" s="180"/>
      <c r="AB403" s="180"/>
      <c r="AC403" s="180"/>
      <c r="AD403" s="180"/>
      <c r="AE403" s="180"/>
      <c r="AF403" s="180"/>
      <c r="AG403" s="180"/>
      <c r="AH403" s="180"/>
      <c r="AI403" s="180"/>
      <c r="AJ403" s="180"/>
      <c r="AK403" s="180"/>
      <c r="AL403" s="180"/>
      <c r="AM403" s="180"/>
      <c r="AN403" s="180"/>
      <c r="AO403" s="180"/>
      <c r="AP403" s="180"/>
      <c r="AQ403" s="180"/>
      <c r="AR403" s="180"/>
      <c r="AS403" s="180">
        <v>250.1534183347672</v>
      </c>
      <c r="AT403" s="180">
        <v>212.32442968154396</v>
      </c>
    </row>
    <row r="404" spans="26:46">
      <c r="Z404" s="180"/>
      <c r="AA404" s="180"/>
      <c r="AB404" s="180"/>
      <c r="AC404" s="180"/>
      <c r="AD404" s="180"/>
      <c r="AE404" s="180"/>
      <c r="AF404" s="180"/>
      <c r="AG404" s="180"/>
      <c r="AH404" s="180"/>
      <c r="AI404" s="180"/>
      <c r="AJ404" s="180"/>
      <c r="AK404" s="180"/>
      <c r="AL404" s="180"/>
      <c r="AM404" s="180"/>
      <c r="AN404" s="180"/>
      <c r="AO404" s="180"/>
      <c r="AP404" s="180"/>
      <c r="AQ404" s="180"/>
      <c r="AR404" s="180"/>
      <c r="AS404" s="180">
        <v>0</v>
      </c>
      <c r="AT404" s="180">
        <v>0</v>
      </c>
    </row>
    <row r="405" spans="26:46">
      <c r="Z405" s="180"/>
      <c r="AA405" s="180"/>
      <c r="AB405" s="180"/>
      <c r="AC405" s="180"/>
      <c r="AD405" s="180"/>
      <c r="AE405" s="180"/>
      <c r="AF405" s="180"/>
      <c r="AG405" s="180"/>
      <c r="AH405" s="180"/>
      <c r="AI405" s="180"/>
      <c r="AJ405" s="180"/>
      <c r="AK405" s="180"/>
      <c r="AL405" s="180"/>
      <c r="AM405" s="180"/>
      <c r="AN405" s="180"/>
      <c r="AO405" s="180"/>
      <c r="AP405" s="180"/>
      <c r="AQ405" s="180"/>
      <c r="AR405" s="180"/>
      <c r="AS405" s="180">
        <v>273.83239697706671</v>
      </c>
      <c r="AT405" s="180">
        <v>294.66218109311774</v>
      </c>
    </row>
    <row r="406" spans="26:46">
      <c r="Z406" s="180"/>
      <c r="AA406" s="180"/>
      <c r="AB406" s="180"/>
      <c r="AC406" s="180"/>
      <c r="AD406" s="180"/>
      <c r="AE406" s="180"/>
      <c r="AF406" s="180"/>
      <c r="AG406" s="180"/>
      <c r="AH406" s="180"/>
      <c r="AI406" s="180"/>
      <c r="AJ406" s="180"/>
      <c r="AK406" s="180"/>
      <c r="AL406" s="180"/>
      <c r="AM406" s="180"/>
      <c r="AN406" s="180"/>
      <c r="AO406" s="180"/>
      <c r="AP406" s="180"/>
      <c r="AQ406" s="180"/>
      <c r="AR406" s="180"/>
      <c r="AS406" s="180">
        <v>544.14004208705546</v>
      </c>
      <c r="AT406" s="180">
        <v>552.66658754160096</v>
      </c>
    </row>
    <row r="407" spans="26:46">
      <c r="Z407" s="180"/>
      <c r="AA407" s="180"/>
      <c r="AB407" s="180"/>
      <c r="AC407" s="180"/>
      <c r="AD407" s="180"/>
      <c r="AE407" s="180"/>
      <c r="AF407" s="180"/>
      <c r="AG407" s="180"/>
      <c r="AH407" s="180"/>
      <c r="AI407" s="180"/>
      <c r="AJ407" s="180"/>
      <c r="AK407" s="180"/>
      <c r="AL407" s="180"/>
      <c r="AM407" s="180"/>
      <c r="AN407" s="180"/>
      <c r="AO407" s="180"/>
      <c r="AP407" s="180"/>
      <c r="AQ407" s="180"/>
      <c r="AR407" s="180"/>
      <c r="AS407" s="180">
        <v>0</v>
      </c>
      <c r="AT407" s="180">
        <v>0</v>
      </c>
    </row>
    <row r="408" spans="26:46">
      <c r="Z408" s="180"/>
      <c r="AA408" s="180"/>
      <c r="AB408" s="180"/>
      <c r="AC408" s="180"/>
      <c r="AD408" s="180"/>
      <c r="AE408" s="180"/>
      <c r="AF408" s="180"/>
      <c r="AG408" s="180"/>
      <c r="AH408" s="180"/>
      <c r="AI408" s="180"/>
      <c r="AJ408" s="180"/>
      <c r="AK408" s="180"/>
      <c r="AL408" s="180"/>
      <c r="AM408" s="180"/>
      <c r="AN408" s="180"/>
      <c r="AO408" s="180"/>
      <c r="AP408" s="180"/>
      <c r="AQ408" s="180"/>
      <c r="AR408" s="180"/>
      <c r="AS408" s="180">
        <v>1921.1583729033357</v>
      </c>
      <c r="AT408" s="180">
        <v>1807.3478560315941</v>
      </c>
    </row>
    <row r="409" spans="26:46">
      <c r="Z409" s="180"/>
      <c r="AA409" s="180"/>
      <c r="AB409" s="180"/>
      <c r="AC409" s="180"/>
      <c r="AD409" s="180"/>
      <c r="AE409" s="180"/>
      <c r="AF409" s="180"/>
      <c r="AG409" s="180"/>
      <c r="AH409" s="180"/>
      <c r="AI409" s="180"/>
      <c r="AJ409" s="180"/>
      <c r="AK409" s="180"/>
      <c r="AL409" s="180"/>
      <c r="AM409" s="180"/>
      <c r="AN409" s="180"/>
      <c r="AO409" s="180"/>
      <c r="AP409" s="180"/>
      <c r="AQ409" s="180"/>
      <c r="AR409" s="180"/>
      <c r="AS409" s="180">
        <v>74928.3164754912</v>
      </c>
      <c r="AT409" s="180">
        <v>76735.664331522799</v>
      </c>
    </row>
    <row r="410" spans="26:46">
      <c r="Z410" s="180"/>
      <c r="AA410" s="180"/>
      <c r="AB410" s="180"/>
      <c r="AC410" s="180"/>
      <c r="AD410" s="180"/>
      <c r="AE410" s="180"/>
      <c r="AF410" s="180"/>
      <c r="AG410" s="180"/>
      <c r="AH410" s="180"/>
      <c r="AI410" s="180"/>
      <c r="AJ410" s="180"/>
      <c r="AK410" s="180"/>
      <c r="AL410" s="180"/>
      <c r="AM410" s="180"/>
      <c r="AN410" s="180"/>
      <c r="AO410" s="180"/>
      <c r="AP410" s="180"/>
      <c r="AQ410" s="180"/>
      <c r="AR410" s="180"/>
      <c r="AS410" s="180">
        <v>21.213129022684932</v>
      </c>
      <c r="AT410" s="180">
        <v>18.271213656041105</v>
      </c>
    </row>
    <row r="411" spans="26:46">
      <c r="Z411" s="180"/>
      <c r="AA411" s="180"/>
      <c r="AB411" s="180"/>
      <c r="AC411" s="180"/>
      <c r="AD411" s="180"/>
      <c r="AE411" s="180"/>
      <c r="AF411" s="180"/>
      <c r="AG411" s="180"/>
      <c r="AH411" s="180"/>
      <c r="AI411" s="180"/>
      <c r="AJ411" s="180"/>
      <c r="AK411" s="180"/>
      <c r="AL411" s="180"/>
      <c r="AM411" s="180"/>
      <c r="AN411" s="180"/>
      <c r="AO411" s="180"/>
      <c r="AP411" s="180"/>
      <c r="AQ411" s="180"/>
      <c r="AR411" s="180"/>
      <c r="AS411" s="180">
        <v>109.18693006335819</v>
      </c>
      <c r="AT411" s="180">
        <v>109.17297740747792</v>
      </c>
    </row>
    <row r="412" spans="26:46">
      <c r="Z412" s="180"/>
      <c r="AA412" s="180"/>
      <c r="AB412" s="180"/>
      <c r="AC412" s="180"/>
      <c r="AD412" s="180"/>
      <c r="AE412" s="180"/>
      <c r="AF412" s="180"/>
      <c r="AG412" s="180"/>
      <c r="AH412" s="180"/>
      <c r="AI412" s="180"/>
      <c r="AJ412" s="180"/>
      <c r="AK412" s="180"/>
      <c r="AL412" s="180"/>
      <c r="AM412" s="180"/>
      <c r="AN412" s="180"/>
      <c r="AO412" s="180"/>
      <c r="AP412" s="180"/>
      <c r="AQ412" s="180"/>
      <c r="AR412" s="180"/>
      <c r="AS412" s="180">
        <v>1618.280529981296</v>
      </c>
      <c r="AT412" s="180">
        <v>1530.7918972282159</v>
      </c>
    </row>
    <row r="413" spans="26:46">
      <c r="Z413" s="180"/>
      <c r="AA413" s="180"/>
      <c r="AB413" s="180"/>
      <c r="AC413" s="180"/>
      <c r="AD413" s="180"/>
      <c r="AE413" s="180"/>
      <c r="AF413" s="180"/>
      <c r="AG413" s="180"/>
      <c r="AH413" s="180"/>
      <c r="AI413" s="180"/>
      <c r="AJ413" s="180"/>
      <c r="AK413" s="180"/>
      <c r="AL413" s="180"/>
      <c r="AM413" s="180"/>
      <c r="AN413" s="180"/>
      <c r="AO413" s="180"/>
      <c r="AP413" s="180"/>
      <c r="AQ413" s="180"/>
      <c r="AR413" s="180"/>
      <c r="AS413" s="180">
        <v>38.717179381703133</v>
      </c>
      <c r="AT413" s="180">
        <v>31.077575837847448</v>
      </c>
    </row>
    <row r="414" spans="26:46">
      <c r="Z414" s="180"/>
      <c r="AA414" s="180"/>
      <c r="AB414" s="180"/>
      <c r="AC414" s="180"/>
      <c r="AD414" s="180"/>
      <c r="AE414" s="180"/>
      <c r="AF414" s="180"/>
      <c r="AG414" s="180"/>
      <c r="AH414" s="180"/>
      <c r="AI414" s="180"/>
      <c r="AJ414" s="180"/>
      <c r="AK414" s="180"/>
      <c r="AL414" s="180"/>
      <c r="AM414" s="180"/>
      <c r="AN414" s="180"/>
      <c r="AO414" s="180"/>
      <c r="AP414" s="180"/>
      <c r="AQ414" s="180"/>
      <c r="AR414" s="180"/>
      <c r="AS414" s="180">
        <v>0</v>
      </c>
      <c r="AT414" s="180">
        <v>0</v>
      </c>
    </row>
    <row r="415" spans="26:46">
      <c r="Z415" s="180"/>
      <c r="AA415" s="180"/>
      <c r="AB415" s="180"/>
      <c r="AC415" s="180"/>
      <c r="AD415" s="180"/>
      <c r="AE415" s="180"/>
      <c r="AF415" s="180"/>
      <c r="AG415" s="180"/>
      <c r="AH415" s="180"/>
      <c r="AI415" s="180"/>
      <c r="AJ415" s="180"/>
      <c r="AK415" s="180"/>
      <c r="AL415" s="180"/>
      <c r="AM415" s="180"/>
      <c r="AN415" s="180"/>
      <c r="AO415" s="180"/>
      <c r="AP415" s="180"/>
      <c r="AQ415" s="180"/>
      <c r="AR415" s="180"/>
      <c r="AS415" s="180">
        <v>66.59170664833664</v>
      </c>
      <c r="AT415" s="180">
        <v>51.228968930271677</v>
      </c>
    </row>
    <row r="416" spans="26:46">
      <c r="Z416" s="180"/>
      <c r="AA416" s="180"/>
      <c r="AB416" s="180"/>
      <c r="AC416" s="180"/>
      <c r="AD416" s="180"/>
      <c r="AE416" s="180"/>
      <c r="AF416" s="180"/>
      <c r="AG416" s="180"/>
      <c r="AH416" s="180"/>
      <c r="AI416" s="180"/>
      <c r="AJ416" s="180"/>
      <c r="AK416" s="180"/>
      <c r="AL416" s="180"/>
      <c r="AM416" s="180"/>
      <c r="AN416" s="180"/>
      <c r="AO416" s="180"/>
      <c r="AP416" s="180"/>
      <c r="AQ416" s="180"/>
      <c r="AR416" s="180"/>
      <c r="AS416" s="180">
        <v>2.1345449389679501</v>
      </c>
      <c r="AT416" s="180">
        <v>1.5816514764308678</v>
      </c>
    </row>
    <row r="417" spans="26:46">
      <c r="Z417" s="180"/>
      <c r="AA417" s="180"/>
      <c r="AB417" s="180"/>
      <c r="AC417" s="180"/>
      <c r="AD417" s="180"/>
      <c r="AE417" s="180"/>
      <c r="AF417" s="180"/>
      <c r="AG417" s="180"/>
      <c r="AH417" s="180"/>
      <c r="AI417" s="180"/>
      <c r="AJ417" s="180"/>
      <c r="AK417" s="180"/>
      <c r="AL417" s="180"/>
      <c r="AM417" s="180"/>
      <c r="AN417" s="180"/>
      <c r="AO417" s="180"/>
      <c r="AP417" s="180"/>
      <c r="AQ417" s="180"/>
      <c r="AR417" s="180"/>
      <c r="AS417" s="180">
        <v>56.494522506614132</v>
      </c>
      <c r="AT417" s="180">
        <v>56.494522506613414</v>
      </c>
    </row>
    <row r="418" spans="26:46">
      <c r="Z418" s="180"/>
      <c r="AA418" s="180"/>
      <c r="AB418" s="180"/>
      <c r="AC418" s="180"/>
      <c r="AD418" s="180"/>
      <c r="AE418" s="180"/>
      <c r="AF418" s="180"/>
      <c r="AG418" s="180"/>
      <c r="AH418" s="180"/>
      <c r="AI418" s="180"/>
      <c r="AJ418" s="180"/>
      <c r="AK418" s="180"/>
      <c r="AL418" s="180"/>
      <c r="AM418" s="180"/>
      <c r="AN418" s="180"/>
      <c r="AO418" s="180"/>
      <c r="AP418" s="180"/>
      <c r="AQ418" s="180"/>
      <c r="AR418" s="180"/>
      <c r="AS418" s="180">
        <v>0</v>
      </c>
      <c r="AT418" s="180">
        <v>0</v>
      </c>
    </row>
    <row r="419" spans="26:46">
      <c r="Z419" s="180"/>
      <c r="AA419" s="180"/>
      <c r="AB419" s="180"/>
      <c r="AC419" s="180"/>
      <c r="AD419" s="180"/>
      <c r="AE419" s="180"/>
      <c r="AF419" s="180"/>
      <c r="AG419" s="180"/>
      <c r="AH419" s="180"/>
      <c r="AI419" s="180"/>
      <c r="AJ419" s="180"/>
      <c r="AK419" s="180"/>
      <c r="AL419" s="180"/>
      <c r="AM419" s="180"/>
      <c r="AN419" s="180"/>
      <c r="AO419" s="180"/>
      <c r="AP419" s="180"/>
      <c r="AQ419" s="180"/>
      <c r="AR419" s="180"/>
      <c r="AS419" s="180">
        <v>0</v>
      </c>
      <c r="AT419" s="180">
        <v>0</v>
      </c>
    </row>
    <row r="420" spans="26:46">
      <c r="Z420" s="180"/>
      <c r="AA420" s="180"/>
      <c r="AB420" s="180"/>
      <c r="AC420" s="180"/>
      <c r="AD420" s="180"/>
      <c r="AE420" s="180"/>
      <c r="AF420" s="180"/>
      <c r="AG420" s="180"/>
      <c r="AH420" s="180"/>
      <c r="AI420" s="180"/>
      <c r="AJ420" s="180"/>
      <c r="AK420" s="180"/>
      <c r="AL420" s="180"/>
      <c r="AM420" s="180"/>
      <c r="AN420" s="180"/>
      <c r="AO420" s="180"/>
      <c r="AP420" s="180"/>
      <c r="AQ420" s="180"/>
      <c r="AR420" s="180"/>
      <c r="AS420" s="180">
        <v>8.5398303603748094</v>
      </c>
      <c r="AT420" s="180">
        <v>8.7290489886956397</v>
      </c>
    </row>
    <row r="421" spans="26:46">
      <c r="Z421" s="180"/>
      <c r="AA421" s="180"/>
      <c r="AB421" s="180"/>
      <c r="AC421" s="180"/>
      <c r="AD421" s="180"/>
      <c r="AE421" s="180"/>
      <c r="AF421" s="180"/>
      <c r="AG421" s="180"/>
      <c r="AH421" s="180"/>
      <c r="AI421" s="180"/>
      <c r="AJ421" s="180"/>
      <c r="AK421" s="180"/>
      <c r="AL421" s="180"/>
      <c r="AM421" s="180"/>
      <c r="AN421" s="180"/>
      <c r="AO421" s="180"/>
      <c r="AP421" s="180"/>
      <c r="AQ421" s="180"/>
      <c r="AR421" s="180"/>
      <c r="AS421" s="180"/>
      <c r="AT421" s="180"/>
    </row>
    <row r="422" spans="26:46">
      <c r="Z422" s="180"/>
      <c r="AA422" s="180"/>
      <c r="AB422" s="180"/>
      <c r="AC422" s="180"/>
      <c r="AD422" s="180"/>
      <c r="AE422" s="180"/>
      <c r="AF422" s="180"/>
      <c r="AG422" s="180"/>
      <c r="AH422" s="180"/>
      <c r="AI422" s="180"/>
      <c r="AJ422" s="180"/>
      <c r="AK422" s="180"/>
      <c r="AL422" s="180"/>
      <c r="AM422" s="180"/>
      <c r="AN422" s="180"/>
      <c r="AO422" s="180"/>
      <c r="AP422" s="180"/>
      <c r="AQ422" s="180"/>
      <c r="AR422" s="180"/>
      <c r="AS422" s="180">
        <v>12625.299121482982</v>
      </c>
      <c r="AT422" s="180">
        <v>12520.406685316166</v>
      </c>
    </row>
    <row r="423" spans="26:46">
      <c r="Z423" s="180"/>
      <c r="AA423" s="180"/>
      <c r="AB423" s="180"/>
      <c r="AC423" s="180"/>
      <c r="AD423" s="180"/>
      <c r="AE423" s="180"/>
      <c r="AF423" s="180"/>
      <c r="AG423" s="180"/>
      <c r="AH423" s="180"/>
      <c r="AI423" s="180"/>
      <c r="AJ423" s="180"/>
      <c r="AK423" s="180"/>
      <c r="AL423" s="180"/>
      <c r="AM423" s="180"/>
      <c r="AN423" s="180"/>
      <c r="AO423" s="180"/>
      <c r="AP423" s="180"/>
      <c r="AQ423" s="180"/>
      <c r="AR423" s="180"/>
      <c r="AS423" s="180">
        <v>473219.01943231915</v>
      </c>
      <c r="AT423" s="180">
        <v>485739.42611763533</v>
      </c>
    </row>
    <row r="424" spans="26:46">
      <c r="Z424" s="180"/>
      <c r="AA424" s="180"/>
      <c r="AB424" s="180"/>
      <c r="AC424" s="180"/>
      <c r="AD424" s="180"/>
      <c r="AE424" s="180"/>
      <c r="AF424" s="180"/>
      <c r="AG424" s="180"/>
      <c r="AH424" s="180"/>
      <c r="AI424" s="180"/>
      <c r="AJ424" s="180"/>
      <c r="AK424" s="180"/>
      <c r="AL424" s="180"/>
      <c r="AM424" s="180"/>
      <c r="AN424" s="180"/>
      <c r="AO424" s="180"/>
      <c r="AP424" s="180"/>
      <c r="AQ424" s="180"/>
      <c r="AR424" s="180"/>
      <c r="AS424" s="180">
        <v>7788.0279489058139</v>
      </c>
      <c r="AT424" s="180">
        <v>7815.5014314464734</v>
      </c>
    </row>
    <row r="425" spans="26:46">
      <c r="Z425" s="180"/>
      <c r="AA425" s="180"/>
      <c r="AB425" s="180"/>
      <c r="AC425" s="180"/>
      <c r="AD425" s="180"/>
      <c r="AE425" s="180"/>
      <c r="AF425" s="180"/>
      <c r="AG425" s="180"/>
      <c r="AH425" s="180"/>
      <c r="AI425" s="180"/>
      <c r="AJ425" s="180"/>
      <c r="AK425" s="180"/>
      <c r="AL425" s="180"/>
      <c r="AM425" s="180"/>
      <c r="AN425" s="180"/>
      <c r="AO425" s="180"/>
      <c r="AP425" s="180"/>
      <c r="AQ425" s="180"/>
      <c r="AR425" s="180"/>
      <c r="AS425" s="180">
        <v>1770.5247896469818</v>
      </c>
      <c r="AT425" s="180">
        <v>1736.6165180639778</v>
      </c>
    </row>
    <row r="426" spans="26:46">
      <c r="Z426" s="180"/>
      <c r="AA426" s="180"/>
      <c r="AB426" s="180"/>
      <c r="AC426" s="180"/>
      <c r="AD426" s="180"/>
      <c r="AE426" s="180"/>
      <c r="AF426" s="180"/>
      <c r="AG426" s="180"/>
      <c r="AH426" s="180"/>
      <c r="AI426" s="180"/>
      <c r="AJ426" s="180"/>
      <c r="AK426" s="180"/>
      <c r="AL426" s="180"/>
      <c r="AM426" s="180"/>
      <c r="AN426" s="180"/>
      <c r="AO426" s="180"/>
      <c r="AP426" s="180"/>
      <c r="AQ426" s="180"/>
      <c r="AR426" s="180"/>
      <c r="AS426" s="180">
        <v>2962.1048799278278</v>
      </c>
      <c r="AT426" s="180">
        <v>2865.68567204697</v>
      </c>
    </row>
    <row r="427" spans="26:46">
      <c r="Z427" s="180"/>
      <c r="AA427" s="180"/>
      <c r="AB427" s="180"/>
      <c r="AC427" s="180"/>
      <c r="AD427" s="180"/>
      <c r="AE427" s="180"/>
      <c r="AF427" s="180"/>
      <c r="AG427" s="180"/>
      <c r="AH427" s="180"/>
      <c r="AI427" s="180"/>
      <c r="AJ427" s="180"/>
      <c r="AK427" s="180"/>
      <c r="AL427" s="180"/>
      <c r="AM427" s="180"/>
      <c r="AN427" s="180"/>
      <c r="AO427" s="180"/>
      <c r="AP427" s="180"/>
      <c r="AQ427" s="180"/>
      <c r="AR427" s="180"/>
      <c r="AS427" s="180">
        <v>104.64150300235593</v>
      </c>
      <c r="AT427" s="180">
        <v>102.60306375874451</v>
      </c>
    </row>
    <row r="428" spans="26:46">
      <c r="Z428" s="180"/>
      <c r="AA428" s="180"/>
      <c r="AB428" s="180"/>
      <c r="AC428" s="180"/>
      <c r="AD428" s="180"/>
      <c r="AE428" s="180"/>
      <c r="AF428" s="180"/>
      <c r="AG428" s="180"/>
      <c r="AH428" s="180"/>
      <c r="AI428" s="180"/>
      <c r="AJ428" s="180"/>
      <c r="AK428" s="180"/>
      <c r="AL428" s="180"/>
      <c r="AM428" s="180"/>
      <c r="AN428" s="180"/>
      <c r="AO428" s="180"/>
      <c r="AP428" s="180"/>
      <c r="AQ428" s="180"/>
      <c r="AR428" s="180"/>
      <c r="AS428" s="180">
        <v>200.02074129036089</v>
      </c>
      <c r="AT428" s="180">
        <v>63.451111160708976</v>
      </c>
    </row>
    <row r="429" spans="26:46">
      <c r="Z429" s="180"/>
      <c r="AA429" s="180"/>
      <c r="AB429" s="180"/>
      <c r="AC429" s="180"/>
      <c r="AD429" s="180"/>
      <c r="AE429" s="180"/>
      <c r="AF429" s="180"/>
      <c r="AG429" s="180"/>
      <c r="AH429" s="180"/>
      <c r="AI429" s="180"/>
      <c r="AJ429" s="180"/>
      <c r="AK429" s="180"/>
      <c r="AL429" s="180"/>
      <c r="AM429" s="180"/>
      <c r="AN429" s="180"/>
      <c r="AO429" s="180"/>
      <c r="AP429" s="180"/>
      <c r="AQ429" s="180"/>
      <c r="AR429" s="180"/>
      <c r="AS429" s="180">
        <v>6517.5146923127877</v>
      </c>
      <c r="AT429" s="180">
        <v>6580.9658034734966</v>
      </c>
    </row>
    <row r="430" spans="26:46">
      <c r="Z430" s="180"/>
      <c r="AA430" s="180"/>
      <c r="AB430" s="180"/>
      <c r="AC430" s="180"/>
      <c r="AD430" s="180"/>
      <c r="AE430" s="180"/>
      <c r="AF430" s="180"/>
      <c r="AG430" s="180"/>
      <c r="AH430" s="180"/>
      <c r="AI430" s="180"/>
      <c r="AJ430" s="180"/>
      <c r="AK430" s="180"/>
      <c r="AL430" s="180"/>
      <c r="AM430" s="180"/>
      <c r="AN430" s="180"/>
      <c r="AO430" s="180"/>
      <c r="AP430" s="180"/>
      <c r="AQ430" s="180"/>
      <c r="AR430" s="180"/>
      <c r="AS430" s="180">
        <v>15.494875616345361</v>
      </c>
      <c r="AT430" s="180">
        <v>15.49481688524769</v>
      </c>
    </row>
    <row r="431" spans="26:46">
      <c r="Z431" s="180"/>
      <c r="AA431" s="180"/>
      <c r="AB431" s="180"/>
      <c r="AC431" s="180"/>
      <c r="AD431" s="180"/>
      <c r="AE431" s="180"/>
      <c r="AF431" s="180"/>
      <c r="AG431" s="180"/>
      <c r="AH431" s="180"/>
      <c r="AI431" s="180"/>
      <c r="AJ431" s="180"/>
      <c r="AK431" s="180"/>
      <c r="AL431" s="180"/>
      <c r="AM431" s="180"/>
      <c r="AN431" s="180"/>
      <c r="AO431" s="180"/>
      <c r="AP431" s="180"/>
      <c r="AQ431" s="180"/>
      <c r="AR431" s="180"/>
      <c r="AS431" s="180">
        <v>48.230705557541782</v>
      </c>
      <c r="AT431" s="180">
        <v>47.911988218626092</v>
      </c>
    </row>
    <row r="432" spans="26:46">
      <c r="Z432" s="180"/>
      <c r="AA432" s="180"/>
      <c r="AB432" s="180"/>
      <c r="AC432" s="180"/>
      <c r="AD432" s="180"/>
      <c r="AE432" s="180"/>
      <c r="AF432" s="180"/>
      <c r="AG432" s="180"/>
      <c r="AH432" s="180"/>
      <c r="AI432" s="180"/>
      <c r="AJ432" s="180"/>
      <c r="AK432" s="180"/>
      <c r="AL432" s="180"/>
      <c r="AM432" s="180"/>
      <c r="AN432" s="180"/>
      <c r="AO432" s="180"/>
      <c r="AP432" s="180"/>
      <c r="AQ432" s="180"/>
      <c r="AR432" s="180"/>
      <c r="AS432" s="180">
        <v>0</v>
      </c>
      <c r="AT432" s="180">
        <v>0</v>
      </c>
    </row>
    <row r="433" spans="26:46">
      <c r="Z433" s="180"/>
      <c r="AA433" s="180"/>
      <c r="AB433" s="180"/>
      <c r="AC433" s="180"/>
      <c r="AD433" s="180"/>
      <c r="AE433" s="180"/>
      <c r="AF433" s="180"/>
      <c r="AG433" s="180"/>
      <c r="AH433" s="180"/>
      <c r="AI433" s="180"/>
      <c r="AJ433" s="180"/>
      <c r="AK433" s="180"/>
      <c r="AL433" s="180"/>
      <c r="AM433" s="180"/>
      <c r="AN433" s="180"/>
      <c r="AO433" s="180"/>
      <c r="AP433" s="180"/>
      <c r="AQ433" s="180"/>
      <c r="AR433" s="180"/>
      <c r="AS433" s="180">
        <v>136.29516011647374</v>
      </c>
      <c r="AT433" s="180">
        <v>4.430605683519976E-2</v>
      </c>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7">
    <tabColor theme="1" tint="0.249977111117893"/>
  </sheetPr>
  <dimension ref="A2:AS309"/>
  <sheetViews>
    <sheetView topLeftCell="A155" zoomScale="70" zoomScaleNormal="70" workbookViewId="0">
      <selection activeCell="O35" sqref="O35"/>
    </sheetView>
  </sheetViews>
  <sheetFormatPr defaultRowHeight="15"/>
  <cols>
    <col min="3" max="3" width="27.85546875" customWidth="1"/>
    <col min="4" max="4" width="17.140625" bestFit="1" customWidth="1"/>
    <col min="5" max="5" width="43.42578125" bestFit="1" customWidth="1"/>
    <col min="6" max="6" width="14.5703125" bestFit="1" customWidth="1"/>
    <col min="10" max="10" width="9.42578125" customWidth="1"/>
  </cols>
  <sheetData>
    <row r="2" spans="1:45">
      <c r="A2" t="s">
        <v>815</v>
      </c>
      <c r="C2" s="300" t="s">
        <v>816</v>
      </c>
      <c r="E2" t="str">
        <f>Dashboard!$D$6</f>
        <v>High Electrification</v>
      </c>
      <c r="J2" s="524">
        <v>2015</v>
      </c>
      <c r="K2" s="524">
        <v>2016</v>
      </c>
      <c r="L2" s="524">
        <v>2017</v>
      </c>
      <c r="M2" s="524">
        <v>2018</v>
      </c>
      <c r="N2" s="524">
        <v>2019</v>
      </c>
      <c r="O2" s="524">
        <v>2020</v>
      </c>
      <c r="P2" s="524">
        <v>2021</v>
      </c>
      <c r="Q2" s="524">
        <v>2022</v>
      </c>
      <c r="R2" s="524">
        <v>2023</v>
      </c>
      <c r="S2" s="524">
        <v>2024</v>
      </c>
      <c r="T2" s="524">
        <v>2025</v>
      </c>
      <c r="U2" s="524">
        <v>2026</v>
      </c>
      <c r="V2" s="524">
        <v>2027</v>
      </c>
      <c r="W2" s="524">
        <v>2028</v>
      </c>
      <c r="X2" s="524">
        <v>2029</v>
      </c>
      <c r="Y2" s="524">
        <v>2030</v>
      </c>
      <c r="Z2" s="524">
        <v>2031</v>
      </c>
      <c r="AA2" s="524">
        <v>2032</v>
      </c>
      <c r="AB2" s="524">
        <v>2033</v>
      </c>
      <c r="AC2" s="524">
        <v>2034</v>
      </c>
      <c r="AD2" s="524">
        <v>2035</v>
      </c>
      <c r="AE2" s="524">
        <v>2036</v>
      </c>
      <c r="AF2" s="524">
        <v>2037</v>
      </c>
      <c r="AG2" s="524">
        <v>2038</v>
      </c>
      <c r="AH2" s="524">
        <v>2039</v>
      </c>
      <c r="AI2" s="524">
        <v>2040</v>
      </c>
      <c r="AJ2" s="524">
        <v>2041</v>
      </c>
      <c r="AK2" s="524">
        <v>2042</v>
      </c>
      <c r="AL2" s="524">
        <v>2043</v>
      </c>
      <c r="AM2" s="524">
        <v>2044</v>
      </c>
      <c r="AN2" s="524">
        <v>2045</v>
      </c>
      <c r="AO2" s="524">
        <v>2046</v>
      </c>
      <c r="AP2" s="524">
        <v>2047</v>
      </c>
      <c r="AQ2" s="524">
        <v>2048</v>
      </c>
      <c r="AR2" s="524">
        <v>2049</v>
      </c>
      <c r="AS2" s="524">
        <v>2050</v>
      </c>
    </row>
    <row r="3" spans="1:45">
      <c r="A3" t="s">
        <v>817</v>
      </c>
      <c r="B3" t="s">
        <v>818</v>
      </c>
      <c r="C3" t="s">
        <v>819</v>
      </c>
    </row>
    <row r="4" spans="1:45">
      <c r="A4">
        <v>7</v>
      </c>
      <c r="D4" t="s">
        <v>820</v>
      </c>
      <c r="E4" t="s">
        <v>344</v>
      </c>
      <c r="J4" s="180">
        <f t="shared" ref="J4:AS4" ca="1" si="0">OFFSET(I$22,MATCH($E$2,$B$23:$B$290,0)+$A4,1)</f>
        <v>0</v>
      </c>
      <c r="K4" s="180">
        <f t="shared" ca="1" si="0"/>
        <v>5.6777300000000004</v>
      </c>
      <c r="L4" s="180">
        <f t="shared" ca="1" si="0"/>
        <v>5.5893160000000002</v>
      </c>
      <c r="M4" s="180">
        <f t="shared" ca="1" si="0"/>
        <v>5.500902</v>
      </c>
      <c r="N4" s="180">
        <f t="shared" ca="1" si="0"/>
        <v>81.528713794928947</v>
      </c>
      <c r="O4" s="180">
        <f t="shared" ca="1" si="0"/>
        <v>486.98221216072562</v>
      </c>
      <c r="P4" s="180">
        <f t="shared" ca="1" si="0"/>
        <v>1271.3667002175175</v>
      </c>
      <c r="Q4" s="180">
        <f t="shared" ca="1" si="0"/>
        <v>4173.8215880441121</v>
      </c>
      <c r="R4" s="180">
        <f t="shared" ca="1" si="0"/>
        <v>7371.1362548731768</v>
      </c>
      <c r="S4" s="180">
        <f t="shared" ca="1" si="0"/>
        <v>8672.5099394526696</v>
      </c>
      <c r="T4" s="180">
        <f t="shared" ca="1" si="0"/>
        <v>8004.3627833189712</v>
      </c>
      <c r="U4" s="180">
        <f t="shared" ca="1" si="0"/>
        <v>7089.7000194545217</v>
      </c>
      <c r="V4" s="180">
        <f t="shared" ca="1" si="0"/>
        <v>6075.7383286022068</v>
      </c>
      <c r="W4" s="180">
        <f t="shared" ca="1" si="0"/>
        <v>4183.1333771750096</v>
      </c>
      <c r="X4" s="180">
        <f t="shared" ca="1" si="0"/>
        <v>2657.7164653158538</v>
      </c>
      <c r="Y4" s="180">
        <f t="shared" ca="1" si="0"/>
        <v>1348.7376691668742</v>
      </c>
      <c r="Z4" s="180">
        <f t="shared" ca="1" si="0"/>
        <v>680.31125012902862</v>
      </c>
      <c r="AA4" s="180">
        <f t="shared" ca="1" si="0"/>
        <v>583.39473556673988</v>
      </c>
      <c r="AB4" s="180">
        <f t="shared" ca="1" si="0"/>
        <v>486.478321004375</v>
      </c>
      <c r="AC4" s="180">
        <f t="shared" ca="1" si="0"/>
        <v>389.5618064420355</v>
      </c>
      <c r="AD4" s="180">
        <f t="shared" ca="1" si="0"/>
        <v>6.4072944250052455</v>
      </c>
      <c r="AE4" s="180">
        <f t="shared" ca="1" si="0"/>
        <v>5.3399230275579468</v>
      </c>
      <c r="AF4" s="180">
        <f t="shared" ca="1" si="0"/>
        <v>5.3213031859672686</v>
      </c>
      <c r="AG4" s="180">
        <f t="shared" ca="1" si="0"/>
        <v>3.4353190988842521</v>
      </c>
      <c r="AH4" s="180">
        <f t="shared" ca="1" si="0"/>
        <v>3.4166992573063166</v>
      </c>
      <c r="AI4" s="180">
        <f t="shared" ca="1" si="0"/>
        <v>3.3980794157411247</v>
      </c>
      <c r="AJ4" s="180">
        <f t="shared" ca="1" si="0"/>
        <v>3.3794595741504461</v>
      </c>
      <c r="AK4" s="180">
        <f t="shared" ca="1" si="0"/>
        <v>3.3608397325852537</v>
      </c>
      <c r="AL4" s="180">
        <f t="shared" ca="1" si="0"/>
        <v>3.3422198910200613</v>
      </c>
      <c r="AM4" s="180">
        <f t="shared" ca="1" si="0"/>
        <v>3.3236000494293831</v>
      </c>
      <c r="AN4" s="180">
        <f t="shared" ca="1" si="0"/>
        <v>3.3049802078769339</v>
      </c>
      <c r="AO4" s="180">
        <f t="shared" ca="1" si="0"/>
        <v>3.2863603662989984</v>
      </c>
      <c r="AP4" s="180">
        <f t="shared" ca="1" si="0"/>
        <v>3.2677405247083198</v>
      </c>
      <c r="AQ4" s="180">
        <f t="shared" ca="1" si="0"/>
        <v>3.2491206831558705</v>
      </c>
      <c r="AR4" s="180">
        <f t="shared" ca="1" si="0"/>
        <v>3.2305008415651919</v>
      </c>
      <c r="AS4" s="180">
        <f t="shared" ca="1" si="0"/>
        <v>3.211881</v>
      </c>
    </row>
    <row r="5" spans="1:45">
      <c r="A5">
        <v>8</v>
      </c>
      <c r="B5">
        <v>23</v>
      </c>
      <c r="E5" s="180" t="s">
        <v>160</v>
      </c>
      <c r="J5" s="533">
        <f t="shared" ref="J5:AS5" ca="1" si="1">OFFSET(I$22,MATCH($E$2,$B$23:$B$290,0)+$A5,1)+OFFSET(I$22,MATCH($E$2,$B$23:$B$290,0)+$B5,1)</f>
        <v>36.218805731765897</v>
      </c>
      <c r="K5" s="533">
        <f t="shared" ca="1" si="1"/>
        <v>36.898251837976083</v>
      </c>
      <c r="L5" s="533">
        <f t="shared" ca="1" si="1"/>
        <v>41.092722838512245</v>
      </c>
      <c r="M5" s="533">
        <f t="shared" ca="1" si="1"/>
        <v>45.39480261245965</v>
      </c>
      <c r="N5" s="533">
        <f t="shared" ca="1" si="1"/>
        <v>49.804491159818205</v>
      </c>
      <c r="O5" s="533">
        <f t="shared" ca="1" si="1"/>
        <v>185.78966985470669</v>
      </c>
      <c r="P5" s="533">
        <f t="shared" ca="1" si="1"/>
        <v>184.10397302210362</v>
      </c>
      <c r="Q5" s="533">
        <f t="shared" ca="1" si="1"/>
        <v>220.93659491634568</v>
      </c>
      <c r="R5" s="533">
        <f t="shared" ca="1" si="1"/>
        <v>233.3486664485404</v>
      </c>
      <c r="S5" s="533">
        <f t="shared" ca="1" si="1"/>
        <v>246.00921343496231</v>
      </c>
      <c r="T5" s="533">
        <f t="shared" ca="1" si="1"/>
        <v>257.81372961548971</v>
      </c>
      <c r="U5" s="533">
        <f t="shared" ca="1" si="1"/>
        <v>293.2741339550775</v>
      </c>
      <c r="V5" s="533">
        <f t="shared" ca="1" si="1"/>
        <v>303.81984098992314</v>
      </c>
      <c r="W5" s="533">
        <f t="shared" ca="1" si="1"/>
        <v>314.54419816392448</v>
      </c>
      <c r="X5" s="533">
        <f t="shared" ca="1" si="1"/>
        <v>325.44720591182556</v>
      </c>
      <c r="Y5" s="533">
        <f t="shared" ca="1" si="1"/>
        <v>338.68895425422414</v>
      </c>
      <c r="Z5" s="533">
        <f t="shared" ca="1" si="1"/>
        <v>303.2632279538505</v>
      </c>
      <c r="AA5" s="533">
        <f t="shared" ca="1" si="1"/>
        <v>308.76203811511022</v>
      </c>
      <c r="AB5" s="533">
        <f t="shared" ca="1" si="1"/>
        <v>314.2597017211412</v>
      </c>
      <c r="AC5" s="533">
        <f t="shared" ca="1" si="1"/>
        <v>319.75683983775468</v>
      </c>
      <c r="AD5" s="533">
        <f t="shared" ca="1" si="1"/>
        <v>361.30034796540247</v>
      </c>
      <c r="AE5" s="533">
        <f t="shared" ca="1" si="1"/>
        <v>311.37737464853581</v>
      </c>
      <c r="AF5" s="533">
        <f t="shared" ca="1" si="1"/>
        <v>333.69701179939278</v>
      </c>
      <c r="AG5" s="533">
        <f t="shared" ca="1" si="1"/>
        <v>342.09737938012034</v>
      </c>
      <c r="AH5" s="533">
        <f t="shared" ca="1" si="1"/>
        <v>350.49727140100515</v>
      </c>
      <c r="AI5" s="533">
        <f t="shared" ca="1" si="1"/>
        <v>358.63097385164775</v>
      </c>
      <c r="AJ5" s="533">
        <f t="shared" ca="1" si="1"/>
        <v>364.94006565307456</v>
      </c>
      <c r="AK5" s="533">
        <f t="shared" ca="1" si="1"/>
        <v>371.88696092669619</v>
      </c>
      <c r="AL5" s="533">
        <f t="shared" ca="1" si="1"/>
        <v>378.8333947373896</v>
      </c>
      <c r="AM5" s="533">
        <f t="shared" ca="1" si="1"/>
        <v>385.77936696176175</v>
      </c>
      <c r="AN5" s="533">
        <f t="shared" ca="1" si="1"/>
        <v>392.72487744549699</v>
      </c>
      <c r="AO5" s="533">
        <f t="shared" ca="1" si="1"/>
        <v>226.37547330576405</v>
      </c>
      <c r="AP5" s="533">
        <f t="shared" ca="1" si="1"/>
        <v>227.93845460182388</v>
      </c>
      <c r="AQ5" s="533">
        <f t="shared" ca="1" si="1"/>
        <v>229.5014333497362</v>
      </c>
      <c r="AR5" s="533">
        <f t="shared" ca="1" si="1"/>
        <v>231.06440953731357</v>
      </c>
      <c r="AS5" s="533">
        <f t="shared" ca="1" si="1"/>
        <v>232.62738315243899</v>
      </c>
    </row>
    <row r="6" spans="1:45">
      <c r="A6">
        <v>9</v>
      </c>
      <c r="E6" s="180" t="s">
        <v>821</v>
      </c>
      <c r="J6" s="533">
        <f t="shared" ref="J6:AS6" ca="1" si="2">OFFSET(I$22,MATCH($E$2,$B$23:$B$290,0)+$A6,1)</f>
        <v>0</v>
      </c>
      <c r="K6" s="533">
        <f t="shared" ca="1" si="2"/>
        <v>0</v>
      </c>
      <c r="L6" s="533">
        <f t="shared" ca="1" si="2"/>
        <v>0</v>
      </c>
      <c r="M6" s="533">
        <f t="shared" ca="1" si="2"/>
        <v>0</v>
      </c>
      <c r="N6" s="533">
        <f t="shared" ca="1" si="2"/>
        <v>0</v>
      </c>
      <c r="O6" s="533">
        <f t="shared" ca="1" si="2"/>
        <v>289.14360712216336</v>
      </c>
      <c r="P6" s="533">
        <f t="shared" ca="1" si="2"/>
        <v>447.9167255099793</v>
      </c>
      <c r="Q6" s="533">
        <f t="shared" ca="1" si="2"/>
        <v>908.69041598273702</v>
      </c>
      <c r="R6" s="533">
        <f t="shared" ca="1" si="2"/>
        <v>1195.8918845188432</v>
      </c>
      <c r="S6" s="533">
        <f t="shared" ca="1" si="2"/>
        <v>1628.3519554861296</v>
      </c>
      <c r="T6" s="533">
        <f t="shared" ca="1" si="2"/>
        <v>1920.0265476113268</v>
      </c>
      <c r="U6" s="533">
        <f t="shared" ca="1" si="2"/>
        <v>2350.4917429332586</v>
      </c>
      <c r="V6" s="533">
        <f t="shared" ca="1" si="2"/>
        <v>2770.4605712882708</v>
      </c>
      <c r="W6" s="533">
        <f t="shared" ca="1" si="2"/>
        <v>2766.3287645786872</v>
      </c>
      <c r="X6" s="533">
        <f t="shared" ca="1" si="2"/>
        <v>2743.1574417197244</v>
      </c>
      <c r="Y6" s="533">
        <f t="shared" ca="1" si="2"/>
        <v>2712.059423070069</v>
      </c>
      <c r="Z6" s="533">
        <f t="shared" ca="1" si="2"/>
        <v>2520.6259889756907</v>
      </c>
      <c r="AA6" s="533">
        <f t="shared" ca="1" si="2"/>
        <v>2543.4710697735322</v>
      </c>
      <c r="AB6" s="533">
        <f t="shared" ca="1" si="2"/>
        <v>2566.2971231060178</v>
      </c>
      <c r="AC6" s="533">
        <f t="shared" ca="1" si="2"/>
        <v>2532.9465013305417</v>
      </c>
      <c r="AD6" s="533">
        <f t="shared" ca="1" si="2"/>
        <v>2738.4863811602772</v>
      </c>
      <c r="AE6" s="533">
        <f t="shared" ca="1" si="2"/>
        <v>2846.5282516185202</v>
      </c>
      <c r="AF6" s="533">
        <f t="shared" ca="1" si="2"/>
        <v>2638.2281345789547</v>
      </c>
      <c r="AG6" s="533">
        <f t="shared" ca="1" si="2"/>
        <v>2283.9977526619605</v>
      </c>
      <c r="AH6" s="533">
        <f t="shared" ca="1" si="2"/>
        <v>1474.4037075962435</v>
      </c>
      <c r="AI6" s="533">
        <f t="shared" ca="1" si="2"/>
        <v>1647.253734733767</v>
      </c>
      <c r="AJ6" s="533">
        <f t="shared" ca="1" si="2"/>
        <v>1905.3342428142496</v>
      </c>
      <c r="AK6" s="533">
        <f t="shared" ca="1" si="2"/>
        <v>2160.9668200220576</v>
      </c>
      <c r="AL6" s="533">
        <f t="shared" ca="1" si="2"/>
        <v>2168.5353020003731</v>
      </c>
      <c r="AM6" s="533">
        <f t="shared" ca="1" si="2"/>
        <v>2167.4660456765937</v>
      </c>
      <c r="AN6" s="533">
        <f t="shared" ca="1" si="2"/>
        <v>2162.6556591865528</v>
      </c>
      <c r="AO6" s="533">
        <f t="shared" ca="1" si="2"/>
        <v>1955.8578007149638</v>
      </c>
      <c r="AP6" s="533">
        <f t="shared" ca="1" si="2"/>
        <v>1957.7363075633255</v>
      </c>
      <c r="AQ6" s="533">
        <f t="shared" ca="1" si="2"/>
        <v>1959.5801666809102</v>
      </c>
      <c r="AR6" s="533">
        <f t="shared" ca="1" si="2"/>
        <v>1906.0955313665727</v>
      </c>
      <c r="AS6" s="533">
        <f t="shared" ca="1" si="2"/>
        <v>1863.6088195706036</v>
      </c>
    </row>
    <row r="7" spans="1:45">
      <c r="A7">
        <v>10</v>
      </c>
      <c r="B7">
        <v>14</v>
      </c>
      <c r="E7" s="180" t="s">
        <v>822</v>
      </c>
      <c r="J7" s="533">
        <f t="shared" ref="J7:AS7" ca="1" si="3">OFFSET(I$22,MATCH($E$2,$B$23:$B$290,0)+$A7,1)+OFFSET(I$22,MATCH($E$2,$B$23:$B$290,0)+$B7,1)</f>
        <v>54.086680515791095</v>
      </c>
      <c r="K7" s="533">
        <f t="shared" ca="1" si="3"/>
        <v>53.337526664008067</v>
      </c>
      <c r="L7" s="533">
        <f t="shared" ca="1" si="3"/>
        <v>52.569861772937969</v>
      </c>
      <c r="M7" s="533">
        <f t="shared" ca="1" si="3"/>
        <v>51.783685842580972</v>
      </c>
      <c r="N7" s="533">
        <f t="shared" ca="1" si="3"/>
        <v>50.978998872937019</v>
      </c>
      <c r="O7" s="533">
        <f t="shared" ca="1" si="3"/>
        <v>82.696084959628536</v>
      </c>
      <c r="P7" s="533">
        <f t="shared" ca="1" si="3"/>
        <v>94.739018814452521</v>
      </c>
      <c r="Q7" s="533">
        <f t="shared" ca="1" si="3"/>
        <v>91.778828910965359</v>
      </c>
      <c r="R7" s="533">
        <f t="shared" ca="1" si="3"/>
        <v>87.559476472170871</v>
      </c>
      <c r="S7" s="533">
        <f t="shared" ca="1" si="3"/>
        <v>84.288786823371908</v>
      </c>
      <c r="T7" s="533">
        <f t="shared" ca="1" si="3"/>
        <v>82.846923863717791</v>
      </c>
      <c r="U7" s="533">
        <f t="shared" ca="1" si="3"/>
        <v>92.252550361752867</v>
      </c>
      <c r="V7" s="533">
        <f t="shared" ca="1" si="3"/>
        <v>82.36850931000599</v>
      </c>
      <c r="W7" s="533">
        <f t="shared" ca="1" si="3"/>
        <v>83.637984579045849</v>
      </c>
      <c r="X7" s="533">
        <f t="shared" ca="1" si="3"/>
        <v>85.862683014739034</v>
      </c>
      <c r="Y7" s="533">
        <f t="shared" ca="1" si="3"/>
        <v>88.153901683711339</v>
      </c>
      <c r="Z7" s="533">
        <f t="shared" ca="1" si="3"/>
        <v>97.700866374168669</v>
      </c>
      <c r="AA7" s="533">
        <f t="shared" ca="1" si="3"/>
        <v>111.03389858975646</v>
      </c>
      <c r="AB7" s="533">
        <f t="shared" ca="1" si="3"/>
        <v>124.80852104632837</v>
      </c>
      <c r="AC7" s="533">
        <f t="shared" ca="1" si="3"/>
        <v>139.56327153986899</v>
      </c>
      <c r="AD7" s="533">
        <f t="shared" ca="1" si="3"/>
        <v>189.03113893669405</v>
      </c>
      <c r="AE7" s="533">
        <f t="shared" ca="1" si="3"/>
        <v>200.48362979808354</v>
      </c>
      <c r="AF7" s="533">
        <f t="shared" ca="1" si="3"/>
        <v>165.57444520085636</v>
      </c>
      <c r="AG7" s="533">
        <f t="shared" ca="1" si="3"/>
        <v>170.52950099463573</v>
      </c>
      <c r="AH7" s="533">
        <f t="shared" ca="1" si="3"/>
        <v>176.02652044561393</v>
      </c>
      <c r="AI7" s="533">
        <f t="shared" ca="1" si="3"/>
        <v>199.24282325053906</v>
      </c>
      <c r="AJ7" s="533">
        <f t="shared" ca="1" si="3"/>
        <v>205.53434988852331</v>
      </c>
      <c r="AK7" s="533">
        <f t="shared" ca="1" si="3"/>
        <v>202.53208067532663</v>
      </c>
      <c r="AL7" s="533">
        <f t="shared" ca="1" si="3"/>
        <v>199.22962065427544</v>
      </c>
      <c r="AM7" s="533">
        <f t="shared" ca="1" si="3"/>
        <v>195.53870531226482</v>
      </c>
      <c r="AN7" s="533">
        <f t="shared" ca="1" si="3"/>
        <v>202.90580181993053</v>
      </c>
      <c r="AO7" s="533">
        <f t="shared" ca="1" si="3"/>
        <v>211.93578740561085</v>
      </c>
      <c r="AP7" s="533">
        <f t="shared" ca="1" si="3"/>
        <v>199.2258559022294</v>
      </c>
      <c r="AQ7" s="533">
        <f t="shared" ca="1" si="3"/>
        <v>192.4178800407654</v>
      </c>
      <c r="AR7" s="533">
        <f t="shared" ca="1" si="3"/>
        <v>186.66808252155107</v>
      </c>
      <c r="AS7" s="533">
        <f t="shared" ca="1" si="3"/>
        <v>182.47099717664213</v>
      </c>
    </row>
    <row r="8" spans="1:45">
      <c r="A8">
        <v>11</v>
      </c>
      <c r="B8">
        <v>24</v>
      </c>
      <c r="E8" s="180" t="s">
        <v>823</v>
      </c>
      <c r="J8" s="533">
        <f t="shared" ref="J8:AS8" ca="1" si="4">OFFSET(I$22,MATCH($E$2,$B$23:$B$290,0)+$A8,1)</f>
        <v>0</v>
      </c>
      <c r="K8" s="533">
        <f t="shared" ca="1" si="4"/>
        <v>0</v>
      </c>
      <c r="L8" s="533">
        <f t="shared" ca="1" si="4"/>
        <v>0</v>
      </c>
      <c r="M8" s="533">
        <f t="shared" ca="1" si="4"/>
        <v>0</v>
      </c>
      <c r="N8" s="533">
        <f t="shared" ca="1" si="4"/>
        <v>0</v>
      </c>
      <c r="O8" s="533">
        <f t="shared" ca="1" si="4"/>
        <v>0</v>
      </c>
      <c r="P8" s="533">
        <f t="shared" ca="1" si="4"/>
        <v>0</v>
      </c>
      <c r="Q8" s="533">
        <f t="shared" ca="1" si="4"/>
        <v>0</v>
      </c>
      <c r="R8" s="533">
        <f t="shared" ca="1" si="4"/>
        <v>0</v>
      </c>
      <c r="S8" s="533">
        <f t="shared" ca="1" si="4"/>
        <v>0</v>
      </c>
      <c r="T8" s="533">
        <f t="shared" ca="1" si="4"/>
        <v>0</v>
      </c>
      <c r="U8" s="533">
        <f t="shared" ca="1" si="4"/>
        <v>0</v>
      </c>
      <c r="V8" s="533">
        <f t="shared" ca="1" si="4"/>
        <v>0</v>
      </c>
      <c r="W8" s="533">
        <f t="shared" ca="1" si="4"/>
        <v>0</v>
      </c>
      <c r="X8" s="533">
        <f t="shared" ca="1" si="4"/>
        <v>0</v>
      </c>
      <c r="Y8" s="533">
        <f t="shared" ca="1" si="4"/>
        <v>0</v>
      </c>
      <c r="Z8" s="533">
        <f t="shared" ca="1" si="4"/>
        <v>0</v>
      </c>
      <c r="AA8" s="533">
        <f t="shared" ca="1" si="4"/>
        <v>0</v>
      </c>
      <c r="AB8" s="533">
        <f t="shared" ca="1" si="4"/>
        <v>0</v>
      </c>
      <c r="AC8" s="533">
        <f t="shared" ca="1" si="4"/>
        <v>0</v>
      </c>
      <c r="AD8" s="533">
        <f t="shared" ca="1" si="4"/>
        <v>0</v>
      </c>
      <c r="AE8" s="533">
        <f t="shared" ca="1" si="4"/>
        <v>0</v>
      </c>
      <c r="AF8" s="533">
        <f t="shared" ca="1" si="4"/>
        <v>0</v>
      </c>
      <c r="AG8" s="533">
        <f t="shared" ca="1" si="4"/>
        <v>0</v>
      </c>
      <c r="AH8" s="533">
        <f t="shared" ca="1" si="4"/>
        <v>0</v>
      </c>
      <c r="AI8" s="533">
        <f t="shared" ca="1" si="4"/>
        <v>0</v>
      </c>
      <c r="AJ8" s="533">
        <f t="shared" ca="1" si="4"/>
        <v>0</v>
      </c>
      <c r="AK8" s="533">
        <f t="shared" ca="1" si="4"/>
        <v>0</v>
      </c>
      <c r="AL8" s="533">
        <f t="shared" ca="1" si="4"/>
        <v>0</v>
      </c>
      <c r="AM8" s="533">
        <f t="shared" ca="1" si="4"/>
        <v>0</v>
      </c>
      <c r="AN8" s="533">
        <f t="shared" ca="1" si="4"/>
        <v>0</v>
      </c>
      <c r="AO8" s="533">
        <f t="shared" ca="1" si="4"/>
        <v>0</v>
      </c>
      <c r="AP8" s="533">
        <f t="shared" ca="1" si="4"/>
        <v>0</v>
      </c>
      <c r="AQ8" s="533">
        <f t="shared" ca="1" si="4"/>
        <v>0</v>
      </c>
      <c r="AR8" s="533">
        <f t="shared" ca="1" si="4"/>
        <v>0</v>
      </c>
      <c r="AS8" s="533">
        <f t="shared" ca="1" si="4"/>
        <v>0</v>
      </c>
    </row>
    <row r="9" spans="1:45">
      <c r="A9">
        <v>12</v>
      </c>
      <c r="E9" s="180" t="s">
        <v>774</v>
      </c>
      <c r="J9" s="533">
        <f t="shared" ref="J9:AS9" ca="1" si="5">OFFSET(I$22,MATCH($E$2,$B$23:$B$290,0)+$A9,1)</f>
        <v>1087.9968769713655</v>
      </c>
      <c r="K9" s="533">
        <f t="shared" ca="1" si="5"/>
        <v>1096.8839324537196</v>
      </c>
      <c r="L9" s="533">
        <f t="shared" ca="1" si="5"/>
        <v>1102.9847393467815</v>
      </c>
      <c r="M9" s="533">
        <f t="shared" ca="1" si="5"/>
        <v>1108.9693730151398</v>
      </c>
      <c r="N9" s="533">
        <f t="shared" ca="1" si="5"/>
        <v>1114.86549588139</v>
      </c>
      <c r="O9" s="533">
        <f t="shared" ca="1" si="5"/>
        <v>1009.0695981485899</v>
      </c>
      <c r="P9" s="533">
        <f t="shared" ca="1" si="5"/>
        <v>974.75456332750866</v>
      </c>
      <c r="Q9" s="533">
        <f t="shared" ca="1" si="5"/>
        <v>900.11945649405891</v>
      </c>
      <c r="R9" s="533">
        <f t="shared" ca="1" si="5"/>
        <v>883.71903199072005</v>
      </c>
      <c r="S9" s="533">
        <f t="shared" ca="1" si="5"/>
        <v>855.93454855061862</v>
      </c>
      <c r="T9" s="533">
        <f t="shared" ca="1" si="5"/>
        <v>819.35691277436069</v>
      </c>
      <c r="U9" s="533">
        <f t="shared" ca="1" si="5"/>
        <v>764.9621807654413</v>
      </c>
      <c r="V9" s="533">
        <f t="shared" ca="1" si="5"/>
        <v>700.9504736613269</v>
      </c>
      <c r="W9" s="533">
        <f t="shared" ca="1" si="5"/>
        <v>637.58150540466193</v>
      </c>
      <c r="X9" s="533">
        <f t="shared" ca="1" si="5"/>
        <v>576.97634856975048</v>
      </c>
      <c r="Y9" s="533">
        <f t="shared" ca="1" si="5"/>
        <v>653.62755909356747</v>
      </c>
      <c r="Z9" s="533">
        <f t="shared" ca="1" si="5"/>
        <v>561.50373816824754</v>
      </c>
      <c r="AA9" s="533">
        <f t="shared" ca="1" si="5"/>
        <v>469.68526758524007</v>
      </c>
      <c r="AB9" s="533">
        <f t="shared" ca="1" si="5"/>
        <v>376.82465460360686</v>
      </c>
      <c r="AC9" s="533">
        <f t="shared" ca="1" si="5"/>
        <v>306.85434723548877</v>
      </c>
      <c r="AD9" s="533">
        <f t="shared" ca="1" si="5"/>
        <v>258.10360469333312</v>
      </c>
      <c r="AE9" s="533">
        <f t="shared" ca="1" si="5"/>
        <v>197.54684289194734</v>
      </c>
      <c r="AF9" s="533">
        <f t="shared" ca="1" si="5"/>
        <v>152.66058271285189</v>
      </c>
      <c r="AG9" s="533">
        <f t="shared" ca="1" si="5"/>
        <v>121.28561779009752</v>
      </c>
      <c r="AH9" s="533">
        <f t="shared" ca="1" si="5"/>
        <v>109.19967323230554</v>
      </c>
      <c r="AI9" s="533">
        <f t="shared" ca="1" si="5"/>
        <v>97.515127082596251</v>
      </c>
      <c r="AJ9" s="533">
        <f t="shared" ca="1" si="5"/>
        <v>85.5449206814761</v>
      </c>
      <c r="AK9" s="533">
        <f t="shared" ca="1" si="5"/>
        <v>74.079923295393073</v>
      </c>
      <c r="AL9" s="533">
        <f t="shared" ca="1" si="5"/>
        <v>63.115370588623882</v>
      </c>
      <c r="AM9" s="533">
        <f t="shared" ca="1" si="5"/>
        <v>52.646575725331687</v>
      </c>
      <c r="AN9" s="533">
        <f t="shared" ca="1" si="5"/>
        <v>42.669021423334755</v>
      </c>
      <c r="AO9" s="533">
        <f t="shared" ca="1" si="5"/>
        <v>34.12163175531051</v>
      </c>
      <c r="AP9" s="533">
        <f t="shared" ca="1" si="5"/>
        <v>25.587294278106761</v>
      </c>
      <c r="AQ9" s="533">
        <f t="shared" ca="1" si="5"/>
        <v>17.059764329954653</v>
      </c>
      <c r="AR9" s="533">
        <f t="shared" ca="1" si="5"/>
        <v>8.5327657499281742</v>
      </c>
      <c r="AS9" s="533">
        <f t="shared" ca="1" si="5"/>
        <v>0</v>
      </c>
    </row>
    <row r="10" spans="1:45">
      <c r="A10">
        <v>13</v>
      </c>
      <c r="E10" s="180" t="s">
        <v>218</v>
      </c>
      <c r="J10" s="533">
        <f t="shared" ref="J10:AS10" ca="1" si="6">OFFSET(I$22,MATCH($E$2,$B$23:$B$290,0)+$A10,1)</f>
        <v>44.276626912034367</v>
      </c>
      <c r="K10" s="533">
        <f t="shared" ca="1" si="6"/>
        <v>45.051746388195973</v>
      </c>
      <c r="L10" s="533">
        <f t="shared" ca="1" si="6"/>
        <v>45.735093794624561</v>
      </c>
      <c r="M10" s="533">
        <f t="shared" ca="1" si="6"/>
        <v>46.408665463604351</v>
      </c>
      <c r="N10" s="533">
        <f t="shared" ca="1" si="6"/>
        <v>47.075050747769644</v>
      </c>
      <c r="O10" s="533">
        <f t="shared" ca="1" si="6"/>
        <v>44.215199383032285</v>
      </c>
      <c r="P10" s="533">
        <f t="shared" ca="1" si="6"/>
        <v>43.499291927789614</v>
      </c>
      <c r="Q10" s="533">
        <f t="shared" ca="1" si="6"/>
        <v>41.179055973985655</v>
      </c>
      <c r="R10" s="533">
        <f t="shared" ca="1" si="6"/>
        <v>40.440664007782324</v>
      </c>
      <c r="S10" s="533">
        <f t="shared" ca="1" si="6"/>
        <v>39.121349649687041</v>
      </c>
      <c r="T10" s="533">
        <f t="shared" ca="1" si="6"/>
        <v>37.373900695277555</v>
      </c>
      <c r="U10" s="533">
        <f t="shared" ca="1" si="6"/>
        <v>34.540739601242493</v>
      </c>
      <c r="V10" s="533">
        <f t="shared" ca="1" si="6"/>
        <v>31.717600698333129</v>
      </c>
      <c r="W10" s="533">
        <f t="shared" ca="1" si="6"/>
        <v>28.950495624223745</v>
      </c>
      <c r="X10" s="533">
        <f t="shared" ca="1" si="6"/>
        <v>26.286481912884479</v>
      </c>
      <c r="Y10" s="533">
        <f t="shared" ca="1" si="6"/>
        <v>28.096373244498416</v>
      </c>
      <c r="Z10" s="533">
        <f t="shared" ca="1" si="6"/>
        <v>24.906622581644939</v>
      </c>
      <c r="AA10" s="533">
        <f t="shared" ca="1" si="6"/>
        <v>21.584445404562132</v>
      </c>
      <c r="AB10" s="533">
        <f t="shared" ca="1" si="6"/>
        <v>17.879397618899894</v>
      </c>
      <c r="AC10" s="533">
        <f t="shared" ca="1" si="6"/>
        <v>14.744626562659786</v>
      </c>
      <c r="AD10" s="533">
        <f t="shared" ca="1" si="6"/>
        <v>12.290858008759731</v>
      </c>
      <c r="AE10" s="533">
        <f t="shared" ca="1" si="6"/>
        <v>53.357721498263359</v>
      </c>
      <c r="AF10" s="533">
        <f t="shared" ca="1" si="6"/>
        <v>44.466808058842609</v>
      </c>
      <c r="AG10" s="533">
        <f t="shared" ca="1" si="6"/>
        <v>41.910196224749534</v>
      </c>
      <c r="AH10" s="533">
        <f t="shared" ca="1" si="6"/>
        <v>62.109850171195582</v>
      </c>
      <c r="AI10" s="533">
        <f t="shared" ca="1" si="6"/>
        <v>66.463040028189695</v>
      </c>
      <c r="AJ10" s="533">
        <f t="shared" ca="1" si="6"/>
        <v>68.268202600602237</v>
      </c>
      <c r="AK10" s="533">
        <f t="shared" ca="1" si="6"/>
        <v>71.220750144725159</v>
      </c>
      <c r="AL10" s="533">
        <f t="shared" ca="1" si="6"/>
        <v>73.888520633006038</v>
      </c>
      <c r="AM10" s="533">
        <f t="shared" ca="1" si="6"/>
        <v>76.273320295916292</v>
      </c>
      <c r="AN10" s="533">
        <f t="shared" ca="1" si="6"/>
        <v>78.377530575410916</v>
      </c>
      <c r="AO10" s="533">
        <f t="shared" ca="1" si="6"/>
        <v>91.95897745668826</v>
      </c>
      <c r="AP10" s="533">
        <f t="shared" ca="1" si="6"/>
        <v>97.265305817545837</v>
      </c>
      <c r="AQ10" s="533">
        <f t="shared" ca="1" si="6"/>
        <v>102.61022564352402</v>
      </c>
      <c r="AR10" s="533">
        <f t="shared" ca="1" si="6"/>
        <v>107.99763641430528</v>
      </c>
      <c r="AS10" s="533">
        <f t="shared" ca="1" si="6"/>
        <v>113.43217725016942</v>
      </c>
    </row>
    <row r="11" spans="1:45">
      <c r="A11">
        <v>15</v>
      </c>
      <c r="B11">
        <v>16</v>
      </c>
      <c r="C11">
        <v>17</v>
      </c>
      <c r="D11">
        <v>22</v>
      </c>
      <c r="E11" s="180" t="s">
        <v>824</v>
      </c>
      <c r="J11" s="533">
        <f t="shared" ref="J11:AS11" ca="1" si="7">OFFSET(I$22,MATCH($E$2,$B$23:$B$290,0)+$A11,1)+OFFSET(I$22,MATCH($E$2,$B$23:$B$290,0)+$B11,1)+OFFSET(I$22,MATCH($E$2,$B$23:$B$290,0)+$C11,1)+OFFSET(I$22,MATCH($E$2,$B$23:$B$290,0)+$D11,1)</f>
        <v>0</v>
      </c>
      <c r="K11" s="533">
        <f t="shared" ca="1" si="7"/>
        <v>0</v>
      </c>
      <c r="L11" s="533">
        <f t="shared" ca="1" si="7"/>
        <v>0</v>
      </c>
      <c r="M11" s="533">
        <f t="shared" ca="1" si="7"/>
        <v>0</v>
      </c>
      <c r="N11" s="533">
        <f t="shared" ca="1" si="7"/>
        <v>0</v>
      </c>
      <c r="O11" s="533">
        <f t="shared" ca="1" si="7"/>
        <v>0</v>
      </c>
      <c r="P11" s="533">
        <f t="shared" ca="1" si="7"/>
        <v>14.404460248601751</v>
      </c>
      <c r="Q11" s="533">
        <f t="shared" ca="1" si="7"/>
        <v>17.676988419704347</v>
      </c>
      <c r="R11" s="533">
        <f t="shared" ca="1" si="7"/>
        <v>21.044192456977576</v>
      </c>
      <c r="S11" s="533">
        <f t="shared" ca="1" si="7"/>
        <v>24.452159896525579</v>
      </c>
      <c r="T11" s="533">
        <f t="shared" ca="1" si="7"/>
        <v>27.810267213499429</v>
      </c>
      <c r="U11" s="533">
        <f t="shared" ca="1" si="7"/>
        <v>16.510562750883327</v>
      </c>
      <c r="V11" s="533">
        <f t="shared" ca="1" si="7"/>
        <v>16.641212530653988</v>
      </c>
      <c r="W11" s="533">
        <f t="shared" ca="1" si="7"/>
        <v>16.676928623442308</v>
      </c>
      <c r="X11" s="533">
        <f t="shared" ca="1" si="7"/>
        <v>55.699346161499967</v>
      </c>
      <c r="Y11" s="533">
        <f t="shared" ca="1" si="7"/>
        <v>88.159508979183101</v>
      </c>
      <c r="Z11" s="533">
        <f t="shared" ca="1" si="7"/>
        <v>94.424216346113312</v>
      </c>
      <c r="AA11" s="533">
        <f t="shared" ca="1" si="7"/>
        <v>95.553557160050218</v>
      </c>
      <c r="AB11" s="533">
        <f t="shared" ca="1" si="7"/>
        <v>96.598334630797723</v>
      </c>
      <c r="AC11" s="533">
        <f t="shared" ca="1" si="7"/>
        <v>97.72229773396424</v>
      </c>
      <c r="AD11" s="533">
        <f t="shared" ca="1" si="7"/>
        <v>73.494733395270188</v>
      </c>
      <c r="AE11" s="533">
        <f t="shared" ca="1" si="7"/>
        <v>98.835673337669107</v>
      </c>
      <c r="AF11" s="533">
        <f t="shared" ca="1" si="7"/>
        <v>98.847001906632244</v>
      </c>
      <c r="AG11" s="533">
        <f t="shared" ca="1" si="7"/>
        <v>98.659154939726449</v>
      </c>
      <c r="AH11" s="533">
        <f t="shared" ca="1" si="7"/>
        <v>98.272230992711997</v>
      </c>
      <c r="AI11" s="533">
        <f t="shared" ca="1" si="7"/>
        <v>95.487145794857156</v>
      </c>
      <c r="AJ11" s="533">
        <f t="shared" ca="1" si="7"/>
        <v>93.329455525683343</v>
      </c>
      <c r="AK11" s="533">
        <f t="shared" ca="1" si="7"/>
        <v>91.508840864886906</v>
      </c>
      <c r="AL11" s="533">
        <f t="shared" ca="1" si="7"/>
        <v>89.577332157145648</v>
      </c>
      <c r="AM11" s="533">
        <f t="shared" ca="1" si="7"/>
        <v>81.398769379371487</v>
      </c>
      <c r="AN11" s="533">
        <f t="shared" ca="1" si="7"/>
        <v>34.777629249220432</v>
      </c>
      <c r="AO11" s="533">
        <f t="shared" ca="1" si="7"/>
        <v>32.143765893792178</v>
      </c>
      <c r="AP11" s="533">
        <f t="shared" ca="1" si="7"/>
        <v>29.646756271990807</v>
      </c>
      <c r="AQ11" s="533">
        <f t="shared" ca="1" si="7"/>
        <v>25.224222116589015</v>
      </c>
      <c r="AR11" s="533">
        <f t="shared" ca="1" si="7"/>
        <v>22.00993525608644</v>
      </c>
      <c r="AS11" s="533">
        <f t="shared" ca="1" si="7"/>
        <v>19.045856493430026</v>
      </c>
    </row>
    <row r="12" spans="1:45">
      <c r="A12">
        <v>21</v>
      </c>
      <c r="E12" s="180" t="s">
        <v>825</v>
      </c>
      <c r="J12" s="533">
        <f t="shared" ref="J12:AS12" ca="1" si="8">OFFSET(I$22,MATCH($E$2,$B$23:$B$290,0)+$A12,1)</f>
        <v>0</v>
      </c>
      <c r="K12" s="533">
        <f t="shared" ca="1" si="8"/>
        <v>3.4645097327743776E-2</v>
      </c>
      <c r="L12" s="533">
        <f t="shared" ca="1" si="8"/>
        <v>3.4645097327743776E-2</v>
      </c>
      <c r="M12" s="533">
        <f t="shared" ca="1" si="8"/>
        <v>3.464509732774379E-2</v>
      </c>
      <c r="N12" s="533">
        <f t="shared" ca="1" si="8"/>
        <v>3.4645097327743762E-2</v>
      </c>
      <c r="O12" s="533">
        <f t="shared" ca="1" si="8"/>
        <v>0</v>
      </c>
      <c r="P12" s="533">
        <f t="shared" ca="1" si="8"/>
        <v>0</v>
      </c>
      <c r="Q12" s="533">
        <f t="shared" ca="1" si="8"/>
        <v>0</v>
      </c>
      <c r="R12" s="533">
        <f t="shared" ca="1" si="8"/>
        <v>0</v>
      </c>
      <c r="S12" s="533">
        <f t="shared" ca="1" si="8"/>
        <v>0</v>
      </c>
      <c r="T12" s="533">
        <f t="shared" ca="1" si="8"/>
        <v>0</v>
      </c>
      <c r="U12" s="533">
        <f t="shared" ca="1" si="8"/>
        <v>0</v>
      </c>
      <c r="V12" s="533">
        <f t="shared" ca="1" si="8"/>
        <v>0</v>
      </c>
      <c r="W12" s="533">
        <f t="shared" ca="1" si="8"/>
        <v>0</v>
      </c>
      <c r="X12" s="533">
        <f t="shared" ca="1" si="8"/>
        <v>0</v>
      </c>
      <c r="Y12" s="533">
        <f t="shared" ca="1" si="8"/>
        <v>0</v>
      </c>
      <c r="Z12" s="533">
        <f t="shared" ca="1" si="8"/>
        <v>0</v>
      </c>
      <c r="AA12" s="533">
        <f t="shared" ca="1" si="8"/>
        <v>0</v>
      </c>
      <c r="AB12" s="533">
        <f t="shared" ca="1" si="8"/>
        <v>1.4058832682701463</v>
      </c>
      <c r="AC12" s="533">
        <f t="shared" ca="1" si="8"/>
        <v>48.774910958854797</v>
      </c>
      <c r="AD12" s="533">
        <f t="shared" ca="1" si="8"/>
        <v>105.81328782710403</v>
      </c>
      <c r="AE12" s="533">
        <f t="shared" ca="1" si="8"/>
        <v>105.81328782710405</v>
      </c>
      <c r="AF12" s="533">
        <f t="shared" ca="1" si="8"/>
        <v>105.81328782710359</v>
      </c>
      <c r="AG12" s="533">
        <f t="shared" ca="1" si="8"/>
        <v>105.81328782710406</v>
      </c>
      <c r="AH12" s="533">
        <f t="shared" ca="1" si="8"/>
        <v>105.81328782710403</v>
      </c>
      <c r="AI12" s="533">
        <f t="shared" ca="1" si="8"/>
        <v>81.585513659953719</v>
      </c>
      <c r="AJ12" s="533">
        <f t="shared" ca="1" si="8"/>
        <v>81.585513659953676</v>
      </c>
      <c r="AK12" s="533">
        <f t="shared" ca="1" si="8"/>
        <v>81.585513659953691</v>
      </c>
      <c r="AL12" s="533">
        <f t="shared" ca="1" si="8"/>
        <v>81.585513659953676</v>
      </c>
      <c r="AM12" s="533">
        <f t="shared" ca="1" si="8"/>
        <v>81.585513659953719</v>
      </c>
      <c r="AN12" s="533">
        <f t="shared" ca="1" si="8"/>
        <v>88.456442867754262</v>
      </c>
      <c r="AO12" s="533">
        <f t="shared" ca="1" si="8"/>
        <v>88.456442867754262</v>
      </c>
      <c r="AP12" s="533">
        <f t="shared" ca="1" si="8"/>
        <v>88.456442867753907</v>
      </c>
      <c r="AQ12" s="533">
        <f t="shared" ca="1" si="8"/>
        <v>88.456442867754205</v>
      </c>
      <c r="AR12" s="533">
        <f t="shared" ca="1" si="8"/>
        <v>88.456442867754291</v>
      </c>
      <c r="AS12" s="533">
        <f t="shared" ca="1" si="8"/>
        <v>0</v>
      </c>
    </row>
    <row r="13" spans="1:45">
      <c r="A13">
        <v>25</v>
      </c>
      <c r="E13" s="180" t="s">
        <v>826</v>
      </c>
      <c r="J13" s="533">
        <f t="shared" ref="J13:AS13" ca="1" si="9">OFFSET(I$22,MATCH($E$2,$B$23:$B$290,0)+$A13,1)</f>
        <v>0</v>
      </c>
      <c r="K13" s="533">
        <f t="shared" ca="1" si="9"/>
        <v>0</v>
      </c>
      <c r="L13" s="533">
        <f t="shared" ca="1" si="9"/>
        <v>0</v>
      </c>
      <c r="M13" s="533">
        <f t="shared" ca="1" si="9"/>
        <v>38.318530256271544</v>
      </c>
      <c r="N13" s="533">
        <f t="shared" ca="1" si="9"/>
        <v>14.705208218570442</v>
      </c>
      <c r="O13" s="533">
        <f t="shared" ca="1" si="9"/>
        <v>33.557593601478644</v>
      </c>
      <c r="P13" s="533">
        <f t="shared" ca="1" si="9"/>
        <v>60.581440438178888</v>
      </c>
      <c r="Q13" s="533">
        <f t="shared" ca="1" si="9"/>
        <v>135.96434076085342</v>
      </c>
      <c r="R13" s="533">
        <f t="shared" ca="1" si="9"/>
        <v>160.17274450213324</v>
      </c>
      <c r="S13" s="533">
        <f t="shared" ca="1" si="9"/>
        <v>155.00743280675815</v>
      </c>
      <c r="T13" s="533">
        <f t="shared" ca="1" si="9"/>
        <v>177.87463932770424</v>
      </c>
      <c r="U13" s="533">
        <f t="shared" ca="1" si="9"/>
        <v>179.40401787539622</v>
      </c>
      <c r="V13" s="533">
        <f t="shared" ca="1" si="9"/>
        <v>188.98915094086789</v>
      </c>
      <c r="W13" s="533">
        <f t="shared" ca="1" si="9"/>
        <v>181.48689705169011</v>
      </c>
      <c r="X13" s="533">
        <f t="shared" ca="1" si="9"/>
        <v>173.8072719732393</v>
      </c>
      <c r="Y13" s="533">
        <f t="shared" ca="1" si="9"/>
        <v>166.94312116512097</v>
      </c>
      <c r="Z13" s="533">
        <f t="shared" ca="1" si="9"/>
        <v>148.03402901057734</v>
      </c>
      <c r="AA13" s="533">
        <f t="shared" ca="1" si="9"/>
        <v>131.28979454983357</v>
      </c>
      <c r="AB13" s="533">
        <f t="shared" ca="1" si="9"/>
        <v>149.82953773635359</v>
      </c>
      <c r="AC13" s="533">
        <f t="shared" ca="1" si="9"/>
        <v>114.73595929779974</v>
      </c>
      <c r="AD13" s="533">
        <f t="shared" ca="1" si="9"/>
        <v>114.01517099949677</v>
      </c>
      <c r="AE13" s="533">
        <f t="shared" ca="1" si="9"/>
        <v>102.33702130125198</v>
      </c>
      <c r="AF13" s="533">
        <f t="shared" ca="1" si="9"/>
        <v>174.47582733680639</v>
      </c>
      <c r="AG13" s="533">
        <f t="shared" ca="1" si="9"/>
        <v>183.46951295773806</v>
      </c>
      <c r="AH13" s="533">
        <f t="shared" ca="1" si="9"/>
        <v>175.14607929276701</v>
      </c>
      <c r="AI13" s="533">
        <f t="shared" ca="1" si="9"/>
        <v>187.49526172831241</v>
      </c>
      <c r="AJ13" s="533">
        <f t="shared" ca="1" si="9"/>
        <v>197.53300766560596</v>
      </c>
      <c r="AK13" s="533">
        <f t="shared" ca="1" si="9"/>
        <v>203.65697432479746</v>
      </c>
      <c r="AL13" s="533">
        <f t="shared" ca="1" si="9"/>
        <v>196.20334600477108</v>
      </c>
      <c r="AM13" s="533">
        <f t="shared" ca="1" si="9"/>
        <v>189.57482798723683</v>
      </c>
      <c r="AN13" s="533">
        <f t="shared" ca="1" si="9"/>
        <v>183.86701356245359</v>
      </c>
      <c r="AO13" s="533">
        <f t="shared" ca="1" si="9"/>
        <v>150.38999536622495</v>
      </c>
      <c r="AP13" s="533">
        <f t="shared" ca="1" si="9"/>
        <v>134.68521248386548</v>
      </c>
      <c r="AQ13" s="533">
        <f t="shared" ca="1" si="9"/>
        <v>125.30497444735033</v>
      </c>
      <c r="AR13" s="533">
        <f t="shared" ca="1" si="9"/>
        <v>109.56780325993492</v>
      </c>
      <c r="AS13" s="533">
        <f t="shared" ca="1" si="9"/>
        <v>98.124106020116173</v>
      </c>
    </row>
    <row r="14" spans="1:45">
      <c r="A14">
        <v>26</v>
      </c>
      <c r="E14" s="180" t="s">
        <v>827</v>
      </c>
      <c r="J14" s="533">
        <f t="shared" ref="J14:AS14" ca="1" si="10">OFFSET(I$22,MATCH($E$2,$B$23:$B$290,0)+$A14,1)</f>
        <v>0</v>
      </c>
      <c r="K14" s="533">
        <f t="shared" ca="1" si="10"/>
        <v>0</v>
      </c>
      <c r="L14" s="533">
        <f t="shared" ca="1" si="10"/>
        <v>0</v>
      </c>
      <c r="M14" s="533">
        <f t="shared" ca="1" si="10"/>
        <v>0</v>
      </c>
      <c r="N14" s="533">
        <f t="shared" ca="1" si="10"/>
        <v>0</v>
      </c>
      <c r="O14" s="533">
        <f t="shared" ca="1" si="10"/>
        <v>0.9</v>
      </c>
      <c r="P14" s="533">
        <f t="shared" ca="1" si="10"/>
        <v>0</v>
      </c>
      <c r="Q14" s="533">
        <f t="shared" ca="1" si="10"/>
        <v>0</v>
      </c>
      <c r="R14" s="533">
        <f t="shared" ca="1" si="10"/>
        <v>0</v>
      </c>
      <c r="S14" s="533">
        <f t="shared" ca="1" si="10"/>
        <v>0</v>
      </c>
      <c r="T14" s="533">
        <f t="shared" ca="1" si="10"/>
        <v>0.83250000000000002</v>
      </c>
      <c r="U14" s="533">
        <f t="shared" ca="1" si="10"/>
        <v>5.3715000000000002</v>
      </c>
      <c r="V14" s="533">
        <f t="shared" ca="1" si="10"/>
        <v>3.6974999999999998</v>
      </c>
      <c r="W14" s="533">
        <f t="shared" ca="1" si="10"/>
        <v>0.79200000000000004</v>
      </c>
      <c r="X14" s="533">
        <f t="shared" ca="1" si="10"/>
        <v>0.77849999999999997</v>
      </c>
      <c r="Y14" s="533">
        <f t="shared" ca="1" si="10"/>
        <v>0</v>
      </c>
      <c r="Z14" s="533">
        <f t="shared" ca="1" si="10"/>
        <v>0.80100000000000005</v>
      </c>
      <c r="AA14" s="533">
        <f t="shared" ca="1" si="10"/>
        <v>5.3895</v>
      </c>
      <c r="AB14" s="533">
        <f t="shared" ca="1" si="10"/>
        <v>0.873</v>
      </c>
      <c r="AC14" s="533">
        <f t="shared" ca="1" si="10"/>
        <v>0.90900000000000003</v>
      </c>
      <c r="AD14" s="533">
        <f t="shared" ca="1" si="10"/>
        <v>1.89</v>
      </c>
      <c r="AE14" s="533">
        <f t="shared" ca="1" si="10"/>
        <v>0.98099999999999998</v>
      </c>
      <c r="AF14" s="533">
        <f t="shared" ca="1" si="10"/>
        <v>3.0510000000000002</v>
      </c>
      <c r="AG14" s="533">
        <f t="shared" ca="1" si="10"/>
        <v>1.0529999999999999</v>
      </c>
      <c r="AH14" s="533">
        <f t="shared" ca="1" si="10"/>
        <v>2.1779999999999999</v>
      </c>
      <c r="AI14" s="533">
        <f t="shared" ca="1" si="10"/>
        <v>9.0525000000000002</v>
      </c>
      <c r="AJ14" s="533">
        <f t="shared" ca="1" si="10"/>
        <v>4.5</v>
      </c>
      <c r="AK14" s="533">
        <f t="shared" ca="1" si="10"/>
        <v>5.625</v>
      </c>
      <c r="AL14" s="533">
        <f t="shared" ca="1" si="10"/>
        <v>4.5</v>
      </c>
      <c r="AM14" s="533">
        <f t="shared" ca="1" si="10"/>
        <v>5.625</v>
      </c>
      <c r="AN14" s="533">
        <f t="shared" ca="1" si="10"/>
        <v>5.625</v>
      </c>
      <c r="AO14" s="533">
        <f t="shared" ca="1" si="10"/>
        <v>11.3025</v>
      </c>
      <c r="AP14" s="533">
        <f t="shared" ca="1" si="10"/>
        <v>8.1974999999999998</v>
      </c>
      <c r="AQ14" s="533">
        <f t="shared" ca="1" si="10"/>
        <v>6.75</v>
      </c>
      <c r="AR14" s="533">
        <f t="shared" ca="1" si="10"/>
        <v>4.5</v>
      </c>
      <c r="AS14" s="533">
        <f t="shared" ca="1" si="10"/>
        <v>4.5</v>
      </c>
    </row>
    <row r="15" spans="1:45">
      <c r="A15">
        <v>30</v>
      </c>
      <c r="B15">
        <v>37</v>
      </c>
      <c r="E15" s="180" t="s">
        <v>828</v>
      </c>
      <c r="J15" s="533">
        <f t="shared" ref="J15:AS15" ca="1" si="11">OFFSET(I$22,MATCH($E$2,$B$23:$B$290,0)+$A15,1)+OFFSET(I$22,MATCH($E$2,$B$23:$B$290,0)+$B15,1)</f>
        <v>2797.5571606950239</v>
      </c>
      <c r="K15" s="533">
        <f t="shared" ca="1" si="11"/>
        <v>2462.294091825157</v>
      </c>
      <c r="L15" s="533">
        <f t="shared" ca="1" si="11"/>
        <v>2318.2726802742291</v>
      </c>
      <c r="M15" s="533">
        <f t="shared" ca="1" si="11"/>
        <v>2368.3970713751651</v>
      </c>
      <c r="N15" s="533">
        <f t="shared" ca="1" si="11"/>
        <v>2383.5213795109025</v>
      </c>
      <c r="O15" s="533">
        <f t="shared" ca="1" si="11"/>
        <v>2118.18964868992</v>
      </c>
      <c r="P15" s="533">
        <f t="shared" ca="1" si="11"/>
        <v>2238.9594893381282</v>
      </c>
      <c r="Q15" s="533">
        <f t="shared" ca="1" si="11"/>
        <v>2237.0771569385092</v>
      </c>
      <c r="R15" s="533">
        <f t="shared" ca="1" si="11"/>
        <v>2126.8410173696075</v>
      </c>
      <c r="S15" s="533">
        <f t="shared" ca="1" si="11"/>
        <v>1976.770908826777</v>
      </c>
      <c r="T15" s="533">
        <f t="shared" ca="1" si="11"/>
        <v>1819.8788057306901</v>
      </c>
      <c r="U15" s="533">
        <f t="shared" ca="1" si="11"/>
        <v>1635.350283834181</v>
      </c>
      <c r="V15" s="533">
        <f t="shared" ca="1" si="11"/>
        <v>1446.3827907385394</v>
      </c>
      <c r="W15" s="533">
        <f t="shared" ca="1" si="11"/>
        <v>1279.8799159935825</v>
      </c>
      <c r="X15" s="533">
        <f t="shared" ca="1" si="11"/>
        <v>1135.6699235447397</v>
      </c>
      <c r="Y15" s="533">
        <f t="shared" ca="1" si="11"/>
        <v>1016.1991884378454</v>
      </c>
      <c r="Z15" s="533">
        <f t="shared" ca="1" si="11"/>
        <v>904.61502655925517</v>
      </c>
      <c r="AA15" s="533">
        <f t="shared" ca="1" si="11"/>
        <v>798.66773345078377</v>
      </c>
      <c r="AB15" s="533">
        <f t="shared" ca="1" si="11"/>
        <v>698.10717122481287</v>
      </c>
      <c r="AC15" s="533">
        <f t="shared" ca="1" si="11"/>
        <v>603.5265951253532</v>
      </c>
      <c r="AD15" s="533">
        <f t="shared" ca="1" si="11"/>
        <v>522.9580549138675</v>
      </c>
      <c r="AE15" s="533">
        <f t="shared" ca="1" si="11"/>
        <v>420.92133259433149</v>
      </c>
      <c r="AF15" s="533">
        <f t="shared" ca="1" si="11"/>
        <v>343.45525857044049</v>
      </c>
      <c r="AG15" s="533">
        <f t="shared" ca="1" si="11"/>
        <v>289.60986913019156</v>
      </c>
      <c r="AH15" s="533">
        <f t="shared" ca="1" si="11"/>
        <v>269.31095474314156</v>
      </c>
      <c r="AI15" s="533">
        <f t="shared" ca="1" si="11"/>
        <v>249.69799461711176</v>
      </c>
      <c r="AJ15" s="533">
        <f t="shared" ca="1" si="11"/>
        <v>229.7931856818056</v>
      </c>
      <c r="AK15" s="533">
        <f t="shared" ca="1" si="11"/>
        <v>210.88816802802558</v>
      </c>
      <c r="AL15" s="533">
        <f t="shared" ca="1" si="11"/>
        <v>192.97142426703482</v>
      </c>
      <c r="AM15" s="533">
        <f t="shared" ca="1" si="11"/>
        <v>176.0314600607104</v>
      </c>
      <c r="AN15" s="533">
        <f t="shared" ca="1" si="11"/>
        <v>160.05700801937436</v>
      </c>
      <c r="AO15" s="533">
        <f t="shared" ca="1" si="11"/>
        <v>146.84243428170777</v>
      </c>
      <c r="AP15" s="533">
        <f t="shared" ca="1" si="11"/>
        <v>119.28493044639566</v>
      </c>
      <c r="AQ15" s="533">
        <f t="shared" ca="1" si="11"/>
        <v>79.742747573764376</v>
      </c>
      <c r="AR15" s="533">
        <f t="shared" ca="1" si="11"/>
        <v>39.990049878460503</v>
      </c>
      <c r="AS15" s="533">
        <f t="shared" ca="1" si="11"/>
        <v>0</v>
      </c>
    </row>
    <row r="16" spans="1:45">
      <c r="A16">
        <v>33</v>
      </c>
      <c r="B16">
        <v>34</v>
      </c>
      <c r="E16" s="180" t="s">
        <v>829</v>
      </c>
      <c r="J16" s="533">
        <f t="shared" ref="J16:AS16" ca="1" si="12">OFFSET(I$22,MATCH($E$2,$B$23:$B$290,0)+$A16,1)+OFFSET(I$22,MATCH($E$2,$B$23:$B$290,0)+$B16,1)</f>
        <v>2922.520870104624</v>
      </c>
      <c r="K16" s="533">
        <f t="shared" ca="1" si="12"/>
        <v>2797.9297933637881</v>
      </c>
      <c r="L16" s="533">
        <f t="shared" ca="1" si="12"/>
        <v>2936.6490384502185</v>
      </c>
      <c r="M16" s="533">
        <f t="shared" ca="1" si="12"/>
        <v>3039.3305107891347</v>
      </c>
      <c r="N16" s="533">
        <f t="shared" ca="1" si="12"/>
        <v>2801.4401263155091</v>
      </c>
      <c r="O16" s="533">
        <f t="shared" ca="1" si="12"/>
        <v>2597.0461414771962</v>
      </c>
      <c r="P16" s="533">
        <f t="shared" ca="1" si="12"/>
        <v>2583.5555884380542</v>
      </c>
      <c r="Q16" s="533">
        <f t="shared" ca="1" si="12"/>
        <v>2513.0662304271918</v>
      </c>
      <c r="R16" s="533">
        <f t="shared" ca="1" si="12"/>
        <v>2436.3988185615099</v>
      </c>
      <c r="S16" s="533">
        <f t="shared" ca="1" si="12"/>
        <v>2334.8940377360332</v>
      </c>
      <c r="T16" s="533">
        <f t="shared" ca="1" si="12"/>
        <v>2214.9656762344184</v>
      </c>
      <c r="U16" s="533">
        <f t="shared" ca="1" si="12"/>
        <v>2097.8107670233157</v>
      </c>
      <c r="V16" s="533">
        <f t="shared" ca="1" si="12"/>
        <v>1949.482553016092</v>
      </c>
      <c r="W16" s="533">
        <f t="shared" ca="1" si="12"/>
        <v>1800.1365350353883</v>
      </c>
      <c r="X16" s="533">
        <f t="shared" ca="1" si="12"/>
        <v>1648.3759551623484</v>
      </c>
      <c r="Y16" s="533">
        <f t="shared" ca="1" si="12"/>
        <v>1488.9205800521243</v>
      </c>
      <c r="Z16" s="533">
        <f t="shared" ca="1" si="12"/>
        <v>1340.3780962072342</v>
      </c>
      <c r="AA16" s="533">
        <f t="shared" ca="1" si="12"/>
        <v>1194.7748415659557</v>
      </c>
      <c r="AB16" s="533">
        <f t="shared" ca="1" si="12"/>
        <v>1055.7617647602426</v>
      </c>
      <c r="AC16" s="533">
        <f t="shared" ca="1" si="12"/>
        <v>929.53821381563955</v>
      </c>
      <c r="AD16" s="533">
        <f t="shared" ca="1" si="12"/>
        <v>809.21302060087851</v>
      </c>
      <c r="AE16" s="533">
        <f t="shared" ca="1" si="12"/>
        <v>687.92331918226114</v>
      </c>
      <c r="AF16" s="533">
        <f t="shared" ca="1" si="12"/>
        <v>576.54211519946625</v>
      </c>
      <c r="AG16" s="533">
        <f t="shared" ca="1" si="12"/>
        <v>475.64571520203174</v>
      </c>
      <c r="AH16" s="533">
        <f t="shared" ca="1" si="12"/>
        <v>382.98737705271282</v>
      </c>
      <c r="AI16" s="533">
        <f t="shared" ca="1" si="12"/>
        <v>298.47647767856125</v>
      </c>
      <c r="AJ16" s="533">
        <f t="shared" ca="1" si="12"/>
        <v>245.30564494640871</v>
      </c>
      <c r="AK16" s="533">
        <f t="shared" ca="1" si="12"/>
        <v>197.17417847785717</v>
      </c>
      <c r="AL16" s="533">
        <f t="shared" ca="1" si="12"/>
        <v>153.51939685173463</v>
      </c>
      <c r="AM16" s="533">
        <f t="shared" ca="1" si="12"/>
        <v>113.64239536986298</v>
      </c>
      <c r="AN16" s="533">
        <f t="shared" ca="1" si="12"/>
        <v>76.614147558313419</v>
      </c>
      <c r="AO16" s="533">
        <f t="shared" ca="1" si="12"/>
        <v>60.256335232474697</v>
      </c>
      <c r="AP16" s="533">
        <f t="shared" ca="1" si="12"/>
        <v>45.703483640111997</v>
      </c>
      <c r="AQ16" s="533">
        <f t="shared" ca="1" si="12"/>
        <v>32.450497947525498</v>
      </c>
      <c r="AR16" s="533">
        <f t="shared" ca="1" si="12"/>
        <v>20.25586214817562</v>
      </c>
      <c r="AS16" s="533">
        <f t="shared" ca="1" si="12"/>
        <v>8.8398116991414142</v>
      </c>
    </row>
    <row r="17" spans="1:45">
      <c r="A17">
        <v>31</v>
      </c>
      <c r="B17">
        <v>32</v>
      </c>
      <c r="E17" s="180" t="s">
        <v>830</v>
      </c>
      <c r="J17" s="533">
        <f t="shared" ref="J17:AS17" ca="1" si="13">OFFSET(I$22,MATCH($E$2,$B$23:$B$290,0)+$A17,1)+OFFSET(I$22,MATCH($E$2,$B$23:$B$290,0)+$B17,1)</f>
        <v>5310.2378660206959</v>
      </c>
      <c r="K17" s="533">
        <f t="shared" ca="1" si="13"/>
        <v>5207.7524012100139</v>
      </c>
      <c r="L17" s="533">
        <f t="shared" ca="1" si="13"/>
        <v>5425.6955347080466</v>
      </c>
      <c r="M17" s="533">
        <f t="shared" ca="1" si="13"/>
        <v>5852.2548285960629</v>
      </c>
      <c r="N17" s="533">
        <f t="shared" ca="1" si="13"/>
        <v>6176.9033243896929</v>
      </c>
      <c r="O17" s="533">
        <f t="shared" ca="1" si="13"/>
        <v>6349.4660221914874</v>
      </c>
      <c r="P17" s="533">
        <f t="shared" ca="1" si="13"/>
        <v>6748.4207069683607</v>
      </c>
      <c r="Q17" s="533">
        <f t="shared" ca="1" si="13"/>
        <v>6850.6416153388191</v>
      </c>
      <c r="R17" s="533">
        <f t="shared" ca="1" si="13"/>
        <v>6719.9517881323445</v>
      </c>
      <c r="S17" s="533">
        <f t="shared" ca="1" si="13"/>
        <v>6620.2444626608185</v>
      </c>
      <c r="T17" s="533">
        <f t="shared" ca="1" si="13"/>
        <v>6616.3379407999018</v>
      </c>
      <c r="U17" s="533">
        <f t="shared" ca="1" si="13"/>
        <v>6617.4115413867394</v>
      </c>
      <c r="V17" s="533">
        <f t="shared" ca="1" si="13"/>
        <v>6537.5443720261082</v>
      </c>
      <c r="W17" s="533">
        <f t="shared" ca="1" si="13"/>
        <v>6452.7604334985608</v>
      </c>
      <c r="X17" s="533">
        <f t="shared" ca="1" si="13"/>
        <v>6384.2934570112411</v>
      </c>
      <c r="Y17" s="533">
        <f t="shared" ca="1" si="13"/>
        <v>6457.881339477125</v>
      </c>
      <c r="Z17" s="533">
        <f t="shared" ca="1" si="13"/>
        <v>6642.571746510308</v>
      </c>
      <c r="AA17" s="533">
        <f t="shared" ca="1" si="13"/>
        <v>6689.7790879142467</v>
      </c>
      <c r="AB17" s="533">
        <f t="shared" ca="1" si="13"/>
        <v>6699.6993808816278</v>
      </c>
      <c r="AC17" s="533">
        <f t="shared" ca="1" si="13"/>
        <v>6748.4112140218676</v>
      </c>
      <c r="AD17" s="533">
        <f t="shared" ca="1" si="13"/>
        <v>6834.5397495403204</v>
      </c>
      <c r="AE17" s="533">
        <f t="shared" ca="1" si="13"/>
        <v>7036.6777399279636</v>
      </c>
      <c r="AF17" s="533">
        <f t="shared" ca="1" si="13"/>
        <v>7178.0741961664717</v>
      </c>
      <c r="AG17" s="533">
        <f t="shared" ca="1" si="13"/>
        <v>7325.0781169201855</v>
      </c>
      <c r="AH17" s="533">
        <f t="shared" ca="1" si="13"/>
        <v>7502.8296969236135</v>
      </c>
      <c r="AI17" s="533">
        <f t="shared" ca="1" si="13"/>
        <v>7533.1471954771978</v>
      </c>
      <c r="AJ17" s="533">
        <f t="shared" ca="1" si="13"/>
        <v>7633.6328614864342</v>
      </c>
      <c r="AK17" s="533">
        <f t="shared" ca="1" si="13"/>
        <v>7729.3945351856046</v>
      </c>
      <c r="AL17" s="533">
        <f t="shared" ca="1" si="13"/>
        <v>7820.7008481376233</v>
      </c>
      <c r="AM17" s="533">
        <f t="shared" ca="1" si="13"/>
        <v>7907.9807738541658</v>
      </c>
      <c r="AN17" s="533">
        <f t="shared" ca="1" si="13"/>
        <v>7991.5054632625288</v>
      </c>
      <c r="AO17" s="533">
        <f t="shared" ca="1" si="13"/>
        <v>8077.8103577878628</v>
      </c>
      <c r="AP17" s="533">
        <f t="shared" ca="1" si="13"/>
        <v>8154.6530892207084</v>
      </c>
      <c r="AQ17" s="533">
        <f t="shared" ca="1" si="13"/>
        <v>8231.3406919571025</v>
      </c>
      <c r="AR17" s="533">
        <f t="shared" ca="1" si="13"/>
        <v>8307.9035789858754</v>
      </c>
      <c r="AS17" s="533">
        <f t="shared" ca="1" si="13"/>
        <v>8384.510719187856</v>
      </c>
    </row>
    <row r="18" spans="1:45">
      <c r="A18">
        <v>35</v>
      </c>
      <c r="B18">
        <v>36</v>
      </c>
      <c r="E18" s="180" t="s">
        <v>831</v>
      </c>
      <c r="J18" s="533">
        <f t="shared" ref="J18:AS18" ca="1" si="14">OFFSET(I$22,MATCH($E$2,$B$23:$B$290,0)+$A18,1)+OFFSET(I$22,MATCH($E$2,$B$23:$B$290,0)+$B18,1)</f>
        <v>0</v>
      </c>
      <c r="K18" s="533">
        <f t="shared" ca="1" si="14"/>
        <v>0</v>
      </c>
      <c r="L18" s="533">
        <f t="shared" ca="1" si="14"/>
        <v>0</v>
      </c>
      <c r="M18" s="533">
        <f t="shared" ca="1" si="14"/>
        <v>0</v>
      </c>
      <c r="N18" s="533">
        <f t="shared" ca="1" si="14"/>
        <v>0</v>
      </c>
      <c r="O18" s="533">
        <f t="shared" ca="1" si="14"/>
        <v>0</v>
      </c>
      <c r="P18" s="533">
        <f t="shared" ca="1" si="14"/>
        <v>0.26015032303996832</v>
      </c>
      <c r="Q18" s="533">
        <f t="shared" ca="1" si="14"/>
        <v>0.26935581148087279</v>
      </c>
      <c r="R18" s="533">
        <f t="shared" ca="1" si="14"/>
        <v>0.32812584620844143</v>
      </c>
      <c r="S18" s="533">
        <f t="shared" ca="1" si="14"/>
        <v>0.39965161863149801</v>
      </c>
      <c r="T18" s="533">
        <f t="shared" ca="1" si="14"/>
        <v>0.51521920881530781</v>
      </c>
      <c r="U18" s="533">
        <f t="shared" ca="1" si="14"/>
        <v>1.1045823167907187</v>
      </c>
      <c r="V18" s="533">
        <f t="shared" ca="1" si="14"/>
        <v>21.814249840140249</v>
      </c>
      <c r="W18" s="533">
        <f t="shared" ca="1" si="14"/>
        <v>38.375099094688785</v>
      </c>
      <c r="X18" s="533">
        <f t="shared" ca="1" si="14"/>
        <v>51.770724406558436</v>
      </c>
      <c r="Y18" s="533">
        <f t="shared" ca="1" si="14"/>
        <v>61.663296849550662</v>
      </c>
      <c r="Z18" s="533">
        <f t="shared" ca="1" si="14"/>
        <v>86.305832332026753</v>
      </c>
      <c r="AA18" s="533">
        <f t="shared" ca="1" si="14"/>
        <v>107.6825501518199</v>
      </c>
      <c r="AB18" s="533">
        <f t="shared" ca="1" si="14"/>
        <v>125.27542870083207</v>
      </c>
      <c r="AC18" s="533">
        <f t="shared" ca="1" si="14"/>
        <v>224.02512511788692</v>
      </c>
      <c r="AD18" s="533">
        <f t="shared" ca="1" si="14"/>
        <v>282.32104104589763</v>
      </c>
      <c r="AE18" s="533">
        <f t="shared" ca="1" si="14"/>
        <v>298.9536487222943</v>
      </c>
      <c r="AF18" s="533">
        <f t="shared" ca="1" si="14"/>
        <v>304.06556731846553</v>
      </c>
      <c r="AG18" s="533">
        <f t="shared" ca="1" si="14"/>
        <v>305.17576729263476</v>
      </c>
      <c r="AH18" s="533">
        <f t="shared" ca="1" si="14"/>
        <v>285.82138136117408</v>
      </c>
      <c r="AI18" s="533">
        <f t="shared" ca="1" si="14"/>
        <v>315.7651319878824</v>
      </c>
      <c r="AJ18" s="533">
        <f t="shared" ca="1" si="14"/>
        <v>334.68269831113855</v>
      </c>
      <c r="AK18" s="533">
        <f t="shared" ca="1" si="14"/>
        <v>342.10089046676865</v>
      </c>
      <c r="AL18" s="533">
        <f t="shared" ca="1" si="14"/>
        <v>338.08158033295013</v>
      </c>
      <c r="AM18" s="533">
        <f t="shared" ca="1" si="14"/>
        <v>322.7011121153493</v>
      </c>
      <c r="AN18" s="533">
        <f t="shared" ca="1" si="14"/>
        <v>296.09577471748531</v>
      </c>
      <c r="AO18" s="533">
        <f t="shared" ca="1" si="14"/>
        <v>246.65512333898195</v>
      </c>
      <c r="AP18" s="533">
        <f t="shared" ca="1" si="14"/>
        <v>214.71193856721862</v>
      </c>
      <c r="AQ18" s="533">
        <f t="shared" ca="1" si="14"/>
        <v>182.09958419666461</v>
      </c>
      <c r="AR18" s="533">
        <f t="shared" ca="1" si="14"/>
        <v>148.76825508044479</v>
      </c>
      <c r="AS18" s="533">
        <f t="shared" ca="1" si="14"/>
        <v>114.68494895048738</v>
      </c>
    </row>
    <row r="19" spans="1:45">
      <c r="D19" s="180"/>
      <c r="E19" s="180"/>
      <c r="I19" s="533"/>
      <c r="J19" s="533"/>
      <c r="K19" s="533"/>
      <c r="L19" s="533"/>
      <c r="M19" s="533"/>
      <c r="N19" s="533"/>
      <c r="O19" s="533"/>
      <c r="P19" s="533"/>
      <c r="Q19" s="533"/>
      <c r="R19" s="533"/>
      <c r="S19" s="533"/>
      <c r="T19" s="533"/>
      <c r="U19" s="533"/>
      <c r="V19" s="533"/>
      <c r="W19" s="533"/>
      <c r="X19" s="533"/>
      <c r="Y19" s="533"/>
      <c r="Z19" s="533"/>
      <c r="AA19" s="533"/>
      <c r="AB19" s="533"/>
      <c r="AC19" s="533"/>
      <c r="AD19" s="533"/>
      <c r="AE19" s="533"/>
      <c r="AF19" s="533"/>
      <c r="AG19" s="533"/>
      <c r="AH19" s="533"/>
      <c r="AI19" s="533"/>
      <c r="AJ19" s="533"/>
      <c r="AK19" s="533"/>
      <c r="AL19" s="533"/>
      <c r="AM19" s="533"/>
      <c r="AN19" s="533"/>
      <c r="AO19" s="533"/>
      <c r="AP19" s="533"/>
      <c r="AQ19" s="533"/>
      <c r="AR19" s="533"/>
      <c r="AS19" s="533"/>
    </row>
    <row r="20" spans="1:45">
      <c r="D20" s="180"/>
      <c r="I20" s="533"/>
      <c r="J20" s="533"/>
      <c r="K20" s="533"/>
      <c r="L20" s="533"/>
      <c r="M20" s="533"/>
      <c r="N20" s="533"/>
      <c r="O20" s="533"/>
      <c r="P20" s="533"/>
      <c r="Q20" s="533"/>
      <c r="R20" s="533"/>
      <c r="S20" s="533"/>
      <c r="T20" s="533"/>
      <c r="U20" s="533"/>
      <c r="V20" s="533"/>
      <c r="W20" s="533"/>
      <c r="X20" s="533"/>
      <c r="Y20" s="533"/>
      <c r="Z20" s="533"/>
      <c r="AA20" s="533"/>
      <c r="AB20" s="533"/>
      <c r="AC20" s="533"/>
      <c r="AD20" s="533"/>
      <c r="AE20" s="533"/>
      <c r="AF20" s="533"/>
      <c r="AG20" s="533"/>
      <c r="AH20" s="533"/>
      <c r="AI20" s="533"/>
      <c r="AJ20" s="533"/>
      <c r="AK20" s="533"/>
      <c r="AL20" s="533"/>
      <c r="AM20" s="533"/>
      <c r="AN20" s="533"/>
      <c r="AO20" s="533"/>
      <c r="AP20" s="533"/>
      <c r="AQ20" s="533"/>
      <c r="AR20" s="533"/>
      <c r="AS20" s="533"/>
    </row>
    <row r="21" spans="1:45">
      <c r="B21" s="180"/>
      <c r="C21" s="300" t="s">
        <v>816</v>
      </c>
      <c r="D21" s="180"/>
      <c r="E21" s="180"/>
      <c r="F21" s="180"/>
      <c r="G21" s="180"/>
      <c r="H21" s="180"/>
      <c r="I21" s="180"/>
      <c r="J21" s="524">
        <v>2015</v>
      </c>
      <c r="K21" s="524">
        <v>2016</v>
      </c>
      <c r="L21" s="524">
        <v>2017</v>
      </c>
      <c r="M21" s="524">
        <v>2018</v>
      </c>
      <c r="N21" s="524">
        <v>2019</v>
      </c>
      <c r="O21" s="524">
        <v>2020</v>
      </c>
      <c r="P21" s="524">
        <v>2021</v>
      </c>
      <c r="Q21" s="524">
        <v>2022</v>
      </c>
      <c r="R21" s="524">
        <v>2023</v>
      </c>
      <c r="S21" s="524">
        <v>2024</v>
      </c>
      <c r="T21" s="524">
        <v>2025</v>
      </c>
      <c r="U21" s="524">
        <v>2026</v>
      </c>
      <c r="V21" s="524">
        <v>2027</v>
      </c>
      <c r="W21" s="524">
        <v>2028</v>
      </c>
      <c r="X21" s="524">
        <v>2029</v>
      </c>
      <c r="Y21" s="524">
        <v>2030</v>
      </c>
      <c r="Z21" s="524">
        <v>2031</v>
      </c>
      <c r="AA21" s="524">
        <v>2032</v>
      </c>
      <c r="AB21" s="524">
        <v>2033</v>
      </c>
      <c r="AC21" s="524">
        <v>2034</v>
      </c>
      <c r="AD21" s="524">
        <v>2035</v>
      </c>
      <c r="AE21" s="524">
        <v>2036</v>
      </c>
      <c r="AF21" s="524">
        <v>2037</v>
      </c>
      <c r="AG21" s="524">
        <v>2038</v>
      </c>
      <c r="AH21" s="524">
        <v>2039</v>
      </c>
      <c r="AI21" s="524">
        <v>2040</v>
      </c>
      <c r="AJ21" s="524">
        <v>2041</v>
      </c>
      <c r="AK21" s="524">
        <v>2042</v>
      </c>
      <c r="AL21" s="524">
        <v>2043</v>
      </c>
      <c r="AM21" s="524">
        <v>2044</v>
      </c>
      <c r="AN21" s="524">
        <v>2045</v>
      </c>
      <c r="AO21" s="524">
        <v>2046</v>
      </c>
      <c r="AP21" s="524">
        <v>2047</v>
      </c>
      <c r="AQ21" s="524">
        <v>2048</v>
      </c>
      <c r="AR21" s="524">
        <v>2049</v>
      </c>
      <c r="AS21" s="524">
        <v>2050</v>
      </c>
    </row>
    <row r="22" spans="1:45">
      <c r="B22" s="180"/>
      <c r="C22" s="180"/>
      <c r="D22" s="180"/>
      <c r="E22" s="180"/>
      <c r="F22" s="180"/>
      <c r="G22" s="180"/>
      <c r="H22" s="180"/>
      <c r="I22" s="180"/>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c r="AJ22" s="180"/>
      <c r="AK22" s="180"/>
      <c r="AL22" s="180"/>
      <c r="AM22" s="180"/>
      <c r="AN22" s="180"/>
      <c r="AO22" s="180"/>
      <c r="AP22" s="180"/>
      <c r="AQ22" s="180"/>
      <c r="AR22" s="180"/>
      <c r="AS22" s="180"/>
    </row>
    <row r="23" spans="1:45">
      <c r="B23" s="526" t="str">
        <f>INDEX('Scenario names'!$C$3:$C$6,4)</f>
        <v>No Constraints</v>
      </c>
      <c r="C23" s="180" t="s">
        <v>174</v>
      </c>
      <c r="D23" s="180"/>
      <c r="E23" s="180"/>
      <c r="F23" s="180"/>
      <c r="G23" s="180" t="s">
        <v>832</v>
      </c>
      <c r="H23" s="180"/>
      <c r="I23" s="180">
        <v>496.00229863833221</v>
      </c>
      <c r="J23" s="180">
        <v>12.255145045909067</v>
      </c>
      <c r="K23" s="180">
        <v>11.721033086314042</v>
      </c>
      <c r="L23" s="180">
        <v>11.945933287322664</v>
      </c>
      <c r="M23" s="180">
        <v>12.576814987249476</v>
      </c>
      <c r="N23" s="180">
        <v>12.743315699692172</v>
      </c>
      <c r="O23" s="180">
        <v>13.223119903285651</v>
      </c>
      <c r="P23" s="180">
        <v>15.114352020238766</v>
      </c>
      <c r="Q23" s="180">
        <v>19.454370694212589</v>
      </c>
      <c r="R23" s="180">
        <v>23.236437764055601</v>
      </c>
      <c r="S23" s="180">
        <v>24.627329911665139</v>
      </c>
      <c r="T23" s="180">
        <v>24.428593496997294</v>
      </c>
      <c r="U23" s="180">
        <v>23.301482177546937</v>
      </c>
      <c r="V23" s="180">
        <v>21.811122490156514</v>
      </c>
      <c r="W23" s="180">
        <v>19.443373787191565</v>
      </c>
      <c r="X23" s="180">
        <v>17.32929366023949</v>
      </c>
      <c r="Y23" s="180">
        <v>15.689709551935497</v>
      </c>
      <c r="Z23" s="180">
        <v>10.540295475775689</v>
      </c>
      <c r="AA23" s="180">
        <v>10.268674681423652</v>
      </c>
      <c r="AB23" s="180">
        <v>10.049463360123232</v>
      </c>
      <c r="AC23" s="180">
        <v>9.8137863635837093</v>
      </c>
      <c r="AD23" s="180">
        <v>9.6764748878878883</v>
      </c>
      <c r="AE23" s="180">
        <v>9.9398885602846825</v>
      </c>
      <c r="AF23" s="180">
        <v>10.738948911541542</v>
      </c>
      <c r="AG23" s="180">
        <v>11.319013366227857</v>
      </c>
      <c r="AH23" s="180">
        <v>11.932869051089254</v>
      </c>
      <c r="AI23" s="180">
        <v>12.354039278219265</v>
      </c>
      <c r="AJ23" s="180">
        <v>12.467465349826197</v>
      </c>
      <c r="AK23" s="180">
        <v>12.419043669174195</v>
      </c>
      <c r="AL23" s="180">
        <v>12.443243176343792</v>
      </c>
      <c r="AM23" s="180">
        <v>12.314799162765393</v>
      </c>
      <c r="AN23" s="180">
        <v>12.282826769195504</v>
      </c>
      <c r="AO23" s="180">
        <v>9.7042300399890085</v>
      </c>
      <c r="AP23" s="180">
        <v>9.692777797618481</v>
      </c>
      <c r="AQ23" s="180">
        <v>9.6913897540114124</v>
      </c>
      <c r="AR23" s="180">
        <v>9.7132282724050896</v>
      </c>
      <c r="AS23" s="180">
        <v>9.7384131468340485</v>
      </c>
    </row>
    <row r="24" spans="1:45">
      <c r="B24" s="526"/>
      <c r="C24" s="180" t="s">
        <v>833</v>
      </c>
      <c r="D24" s="180"/>
      <c r="E24" s="180"/>
      <c r="F24" s="180"/>
      <c r="G24" s="180" t="s">
        <v>834</v>
      </c>
      <c r="H24" s="180"/>
      <c r="I24" s="180"/>
      <c r="J24" s="180">
        <v>12.255145045909067</v>
      </c>
      <c r="K24" s="180">
        <v>23.976178132223112</v>
      </c>
      <c r="L24" s="180">
        <v>35.922111419545772</v>
      </c>
      <c r="M24" s="180">
        <v>48.498926406795249</v>
      </c>
      <c r="N24" s="180">
        <v>61.242242106487424</v>
      </c>
      <c r="O24" s="180">
        <v>74.465362009773074</v>
      </c>
      <c r="P24" s="180">
        <v>89.579714030011843</v>
      </c>
      <c r="Q24" s="180">
        <v>109.03408472422443</v>
      </c>
      <c r="R24" s="180">
        <v>132.27052248828002</v>
      </c>
      <c r="S24" s="180">
        <v>156.89785239994515</v>
      </c>
      <c r="T24" s="180">
        <v>181.32644589694246</v>
      </c>
      <c r="U24" s="180">
        <v>204.6279280744894</v>
      </c>
      <c r="V24" s="180">
        <v>226.43905056464592</v>
      </c>
      <c r="W24" s="180">
        <v>245.8824243518375</v>
      </c>
      <c r="X24" s="180">
        <v>263.21171801207697</v>
      </c>
      <c r="Y24" s="180">
        <v>278.90142756401247</v>
      </c>
      <c r="Z24" s="180">
        <v>289.44172303978814</v>
      </c>
      <c r="AA24" s="180">
        <v>299.71039772121179</v>
      </c>
      <c r="AB24" s="180">
        <v>309.75986108133503</v>
      </c>
      <c r="AC24" s="180">
        <v>319.57364744491872</v>
      </c>
      <c r="AD24" s="180">
        <v>329.2501223328066</v>
      </c>
      <c r="AE24" s="180">
        <v>339.19001089309126</v>
      </c>
      <c r="AF24" s="180">
        <v>349.92895980463277</v>
      </c>
      <c r="AG24" s="180">
        <v>361.24797317086063</v>
      </c>
      <c r="AH24" s="180">
        <v>373.18084222194989</v>
      </c>
      <c r="AI24" s="180">
        <v>385.53488150016915</v>
      </c>
      <c r="AJ24" s="180">
        <v>398.00234684999532</v>
      </c>
      <c r="AK24" s="180">
        <v>410.42139051916951</v>
      </c>
      <c r="AL24" s="180">
        <v>422.86463369551331</v>
      </c>
      <c r="AM24" s="180">
        <v>435.17943285827869</v>
      </c>
      <c r="AN24" s="180">
        <v>447.46225962747417</v>
      </c>
      <c r="AO24" s="180">
        <v>457.16648966746317</v>
      </c>
      <c r="AP24" s="180">
        <v>466.85926746508164</v>
      </c>
      <c r="AQ24" s="180">
        <v>476.55065721909307</v>
      </c>
      <c r="AR24" s="180">
        <v>486.26388549149817</v>
      </c>
      <c r="AS24" s="180">
        <v>496.00229863833221</v>
      </c>
    </row>
    <row r="25" spans="1:45">
      <c r="B25" s="526"/>
      <c r="C25" s="180" t="s">
        <v>835</v>
      </c>
      <c r="D25" s="180"/>
      <c r="E25" s="180"/>
      <c r="F25" s="180"/>
      <c r="G25" s="180" t="s">
        <v>832</v>
      </c>
      <c r="H25" s="180"/>
      <c r="I25" s="180">
        <v>163.53137767130107</v>
      </c>
      <c r="J25" s="180">
        <v>1.2243924277589939</v>
      </c>
      <c r="K25" s="180">
        <v>1.2529674356123104</v>
      </c>
      <c r="L25" s="180">
        <v>1.2628933563286202</v>
      </c>
      <c r="M25" s="180">
        <v>1.3136675247026126</v>
      </c>
      <c r="N25" s="180">
        <v>1.3773682165441374</v>
      </c>
      <c r="O25" s="180">
        <v>2.1528436784320872</v>
      </c>
      <c r="P25" s="180">
        <v>3.5384469133050911</v>
      </c>
      <c r="Q25" s="180">
        <v>7.84190431311605</v>
      </c>
      <c r="R25" s="180">
        <v>11.95227089345129</v>
      </c>
      <c r="S25" s="180">
        <v>13.752542636442966</v>
      </c>
      <c r="T25" s="180">
        <v>13.924380317837734</v>
      </c>
      <c r="U25" s="180">
        <v>13.197757716922021</v>
      </c>
      <c r="V25" s="180">
        <v>12.179013513295667</v>
      </c>
      <c r="W25" s="180">
        <v>10.244995425867653</v>
      </c>
      <c r="X25" s="180">
        <v>8.5142608410076761</v>
      </c>
      <c r="Y25" s="180">
        <v>7.0813853846278345</v>
      </c>
      <c r="Z25" s="180">
        <v>1.9014269450788852</v>
      </c>
      <c r="AA25" s="180">
        <v>1.745899790623666</v>
      </c>
      <c r="AB25" s="180">
        <v>1.669829911375315</v>
      </c>
      <c r="AC25" s="180">
        <v>1.5611278911351243</v>
      </c>
      <c r="AD25" s="180">
        <v>1.4940391419089056</v>
      </c>
      <c r="AE25" s="180">
        <v>1.7890273879915051</v>
      </c>
      <c r="AF25" s="180">
        <v>2.6148054167342107</v>
      </c>
      <c r="AG25" s="180">
        <v>3.1786553359973873</v>
      </c>
      <c r="AH25" s="180">
        <v>3.7268292784842632</v>
      </c>
      <c r="AI25" s="180">
        <v>4.2421972288823717</v>
      </c>
      <c r="AJ25" s="180">
        <v>4.4033806553217731</v>
      </c>
      <c r="AK25" s="180">
        <v>4.3454825931333243</v>
      </c>
      <c r="AL25" s="180">
        <v>4.3585220044051081</v>
      </c>
      <c r="AM25" s="180">
        <v>4.2205592142115309</v>
      </c>
      <c r="AN25" s="180">
        <v>4.1574841171482664</v>
      </c>
      <c r="AO25" s="180">
        <v>1.5395637642201065</v>
      </c>
      <c r="AP25" s="180">
        <v>1.4878592230109424</v>
      </c>
      <c r="AQ25" s="180">
        <v>1.4458814550069827</v>
      </c>
      <c r="AR25" s="180">
        <v>1.4268025124766053</v>
      </c>
      <c r="AS25" s="180">
        <v>1.4109132089020857</v>
      </c>
    </row>
    <row r="26" spans="1:45">
      <c r="B26" s="526"/>
      <c r="C26" s="180" t="s">
        <v>836</v>
      </c>
      <c r="D26" s="180"/>
      <c r="E26" s="180"/>
      <c r="F26" s="180"/>
      <c r="G26" s="180" t="s">
        <v>834</v>
      </c>
      <c r="H26" s="180"/>
      <c r="I26" s="180"/>
      <c r="J26" s="180">
        <v>1.2243924277589939</v>
      </c>
      <c r="K26" s="180">
        <v>2.4773598633713041</v>
      </c>
      <c r="L26" s="180">
        <v>3.7402532196999241</v>
      </c>
      <c r="M26" s="180">
        <v>5.0539207444025367</v>
      </c>
      <c r="N26" s="180">
        <v>6.4312889609466737</v>
      </c>
      <c r="O26" s="180">
        <v>8.5841326393787618</v>
      </c>
      <c r="P26" s="180">
        <v>12.122579552683852</v>
      </c>
      <c r="Q26" s="180">
        <v>19.964483865799902</v>
      </c>
      <c r="R26" s="180">
        <v>31.916754759251191</v>
      </c>
      <c r="S26" s="180">
        <v>45.669297395694159</v>
      </c>
      <c r="T26" s="180">
        <v>59.593677713531889</v>
      </c>
      <c r="U26" s="180">
        <v>72.791435430453916</v>
      </c>
      <c r="V26" s="180">
        <v>84.970448943749588</v>
      </c>
      <c r="W26" s="180">
        <v>95.215444369617245</v>
      </c>
      <c r="X26" s="180">
        <v>103.72970521062493</v>
      </c>
      <c r="Y26" s="180">
        <v>110.81109059525276</v>
      </c>
      <c r="Z26" s="180">
        <v>112.71251754033165</v>
      </c>
      <c r="AA26" s="180">
        <v>114.45841733095531</v>
      </c>
      <c r="AB26" s="180">
        <v>116.12824724233063</v>
      </c>
      <c r="AC26" s="180">
        <v>117.68937513346576</v>
      </c>
      <c r="AD26" s="180">
        <v>119.18341427537466</v>
      </c>
      <c r="AE26" s="180">
        <v>120.97244166336617</v>
      </c>
      <c r="AF26" s="180">
        <v>123.58724708010038</v>
      </c>
      <c r="AG26" s="180">
        <v>126.76590241609777</v>
      </c>
      <c r="AH26" s="180">
        <v>130.49273169458203</v>
      </c>
      <c r="AI26" s="180">
        <v>134.73492892346439</v>
      </c>
      <c r="AJ26" s="180">
        <v>139.13830957878616</v>
      </c>
      <c r="AK26" s="180">
        <v>143.48379217191948</v>
      </c>
      <c r="AL26" s="180">
        <v>147.84231417632458</v>
      </c>
      <c r="AM26" s="180">
        <v>152.06287339053611</v>
      </c>
      <c r="AN26" s="180">
        <v>156.22035750768438</v>
      </c>
      <c r="AO26" s="180">
        <v>157.75992127190449</v>
      </c>
      <c r="AP26" s="180">
        <v>159.24778049491542</v>
      </c>
      <c r="AQ26" s="180">
        <v>160.69366194992239</v>
      </c>
      <c r="AR26" s="180">
        <v>162.12046446239899</v>
      </c>
      <c r="AS26" s="180">
        <v>163.53137767130107</v>
      </c>
    </row>
    <row r="27" spans="1:45">
      <c r="B27" s="526"/>
      <c r="C27" s="180"/>
      <c r="D27" s="180"/>
      <c r="E27" s="180"/>
      <c r="F27" s="180"/>
      <c r="G27" s="180"/>
      <c r="H27" s="180"/>
      <c r="I27" s="180"/>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c r="AJ27" s="180"/>
      <c r="AK27" s="180"/>
      <c r="AL27" s="180"/>
      <c r="AM27" s="180"/>
      <c r="AN27" s="180"/>
      <c r="AO27" s="180"/>
      <c r="AP27" s="180"/>
      <c r="AQ27" s="180"/>
      <c r="AR27" s="180"/>
      <c r="AS27" s="180"/>
    </row>
    <row r="28" spans="1:45">
      <c r="B28" s="526"/>
      <c r="C28" s="180" t="s">
        <v>837</v>
      </c>
      <c r="D28" s="180" t="s">
        <v>142</v>
      </c>
      <c r="E28" s="180"/>
      <c r="F28" s="180"/>
      <c r="G28" s="180" t="s">
        <v>838</v>
      </c>
      <c r="H28" s="180"/>
      <c r="I28" s="180">
        <v>155515.83862811004</v>
      </c>
      <c r="J28" s="180">
        <v>1215.3005056984905</v>
      </c>
      <c r="K28" s="180">
        <v>1230.2138965026431</v>
      </c>
      <c r="L28" s="180">
        <v>1238.7231956297608</v>
      </c>
      <c r="M28" s="180">
        <v>1247.1953580500619</v>
      </c>
      <c r="N28" s="180">
        <v>1331.7768036660523</v>
      </c>
      <c r="O28" s="180">
        <v>2038.683937750503</v>
      </c>
      <c r="P28" s="180">
        <v>3358.7754936501874</v>
      </c>
      <c r="Q28" s="180">
        <v>7544.334780366049</v>
      </c>
      <c r="R28" s="180">
        <v>11626.274119046384</v>
      </c>
      <c r="S28" s="180">
        <v>13420.088304581981</v>
      </c>
      <c r="T28" s="180">
        <v>13611.208637803655</v>
      </c>
      <c r="U28" s="180">
        <v>12783.208216968249</v>
      </c>
      <c r="V28" s="180">
        <v>11721.836205423735</v>
      </c>
      <c r="W28" s="180">
        <v>9780.4629766157377</v>
      </c>
      <c r="X28" s="180">
        <v>8035.9750020099409</v>
      </c>
      <c r="Y28" s="180">
        <v>6477.926615721186</v>
      </c>
      <c r="Z28" s="180">
        <v>1710.1525120730739</v>
      </c>
      <c r="AA28" s="180">
        <v>1572.8344268074902</v>
      </c>
      <c r="AB28" s="180">
        <v>1488.1012739071002</v>
      </c>
      <c r="AC28" s="180">
        <v>1405.1413369706368</v>
      </c>
      <c r="AD28" s="180">
        <v>1337.0177343741409</v>
      </c>
      <c r="AE28" s="180">
        <v>1622.0797182307915</v>
      </c>
      <c r="AF28" s="180">
        <v>2373.1929921650881</v>
      </c>
      <c r="AG28" s="180">
        <v>2924.7709550052214</v>
      </c>
      <c r="AH28" s="180">
        <v>3470.2637707792555</v>
      </c>
      <c r="AI28" s="180">
        <v>4005.7208888130194</v>
      </c>
      <c r="AJ28" s="180">
        <v>4115.4204595850752</v>
      </c>
      <c r="AK28" s="180">
        <v>4132.6018101531436</v>
      </c>
      <c r="AL28" s="180">
        <v>4144.8258809935451</v>
      </c>
      <c r="AM28" s="180">
        <v>3998.8973017865674</v>
      </c>
      <c r="AN28" s="180">
        <v>3839.3968789963633</v>
      </c>
      <c r="AO28" s="180">
        <v>1389.2989027759343</v>
      </c>
      <c r="AP28" s="180">
        <v>1347.5060534290155</v>
      </c>
      <c r="AQ28" s="180">
        <v>1334.7044044827956</v>
      </c>
      <c r="AR28" s="180">
        <v>1324.7449657948541</v>
      </c>
      <c r="AS28" s="180">
        <v>1317.1823115022926</v>
      </c>
    </row>
    <row r="29" spans="1:45">
      <c r="B29" s="526"/>
      <c r="C29" s="180"/>
      <c r="D29" s="180" t="s">
        <v>839</v>
      </c>
      <c r="E29" s="180"/>
      <c r="F29" s="180"/>
      <c r="G29" s="180" t="s">
        <v>840</v>
      </c>
      <c r="H29" s="180"/>
      <c r="I29" s="180"/>
      <c r="J29" s="180">
        <v>1215.3005056984905</v>
      </c>
      <c r="K29" s="180">
        <v>2445.5144022011336</v>
      </c>
      <c r="L29" s="180">
        <v>3684.2375978308946</v>
      </c>
      <c r="M29" s="180">
        <v>4931.4329558809568</v>
      </c>
      <c r="N29" s="180">
        <v>6263.2097595470095</v>
      </c>
      <c r="O29" s="180">
        <v>8301.8936972975134</v>
      </c>
      <c r="P29" s="180">
        <v>11660.669190947701</v>
      </c>
      <c r="Q29" s="180">
        <v>19205.003971313752</v>
      </c>
      <c r="R29" s="180">
        <v>30831.278090360138</v>
      </c>
      <c r="S29" s="180">
        <v>44251.366394942117</v>
      </c>
      <c r="T29" s="180">
        <v>57862.575032745772</v>
      </c>
      <c r="U29" s="180">
        <v>70645.783249714019</v>
      </c>
      <c r="V29" s="180">
        <v>82367.619455137756</v>
      </c>
      <c r="W29" s="180">
        <v>92148.082431753486</v>
      </c>
      <c r="X29" s="180">
        <v>100184.05743376343</v>
      </c>
      <c r="Y29" s="180">
        <v>106661.98404948461</v>
      </c>
      <c r="Z29" s="180">
        <v>108372.13656155769</v>
      </c>
      <c r="AA29" s="180">
        <v>109944.97098836518</v>
      </c>
      <c r="AB29" s="180">
        <v>111433.07226227228</v>
      </c>
      <c r="AC29" s="180">
        <v>112838.21359924292</v>
      </c>
      <c r="AD29" s="180">
        <v>114175.23133361706</v>
      </c>
      <c r="AE29" s="180">
        <v>115797.31105184785</v>
      </c>
      <c r="AF29" s="180">
        <v>118170.50404401294</v>
      </c>
      <c r="AG29" s="180">
        <v>121095.27499901816</v>
      </c>
      <c r="AH29" s="180">
        <v>124565.53876979742</v>
      </c>
      <c r="AI29" s="180">
        <v>128571.25965861045</v>
      </c>
      <c r="AJ29" s="180">
        <v>132686.68011819554</v>
      </c>
      <c r="AK29" s="180">
        <v>136819.28192834868</v>
      </c>
      <c r="AL29" s="180">
        <v>140964.10780934221</v>
      </c>
      <c r="AM29" s="180">
        <v>144963.00511112879</v>
      </c>
      <c r="AN29" s="180">
        <v>148802.40199012516</v>
      </c>
      <c r="AO29" s="180">
        <v>150191.70089290111</v>
      </c>
      <c r="AP29" s="180">
        <v>151539.20694633012</v>
      </c>
      <c r="AQ29" s="180">
        <v>152873.91135081291</v>
      </c>
      <c r="AR29" s="180">
        <v>154198.65631660775</v>
      </c>
      <c r="AS29" s="180">
        <v>155515.83862811004</v>
      </c>
    </row>
    <row r="30" spans="1:45">
      <c r="B30" s="526"/>
      <c r="C30" s="180"/>
      <c r="D30" s="180" t="s">
        <v>344</v>
      </c>
      <c r="E30" s="180"/>
      <c r="F30" s="180"/>
      <c r="G30" s="180" t="s">
        <v>838</v>
      </c>
      <c r="H30" s="180"/>
      <c r="I30" s="180">
        <v>53633.52343400001</v>
      </c>
      <c r="J30" s="180">
        <v>0</v>
      </c>
      <c r="K30" s="180">
        <v>5.6777300000000004</v>
      </c>
      <c r="L30" s="180">
        <v>5.5893160000000002</v>
      </c>
      <c r="M30" s="180">
        <v>5.500902</v>
      </c>
      <c r="N30" s="180">
        <v>81.528713794928947</v>
      </c>
      <c r="O30" s="180">
        <v>486.98221216072562</v>
      </c>
      <c r="P30" s="180">
        <v>1271.3667002175175</v>
      </c>
      <c r="Q30" s="180">
        <v>4173.8215880441121</v>
      </c>
      <c r="R30" s="180">
        <v>7371.1362548731768</v>
      </c>
      <c r="S30" s="180">
        <v>8672.5099394526696</v>
      </c>
      <c r="T30" s="180">
        <v>8004.3627833189712</v>
      </c>
      <c r="U30" s="180">
        <v>7089.7000194545217</v>
      </c>
      <c r="V30" s="180">
        <v>6075.7383286022068</v>
      </c>
      <c r="W30" s="180">
        <v>4183.1333771750096</v>
      </c>
      <c r="X30" s="180">
        <v>2657.7164653158538</v>
      </c>
      <c r="Y30" s="180">
        <v>1348.7376691668742</v>
      </c>
      <c r="Z30" s="180">
        <v>680.31125012902862</v>
      </c>
      <c r="AA30" s="180">
        <v>583.39473556673988</v>
      </c>
      <c r="AB30" s="180">
        <v>486.478321004375</v>
      </c>
      <c r="AC30" s="180">
        <v>389.5618064420355</v>
      </c>
      <c r="AD30" s="180">
        <v>6.4072944250052455</v>
      </c>
      <c r="AE30" s="180">
        <v>5.3399230275579468</v>
      </c>
      <c r="AF30" s="180">
        <v>5.3213031859672686</v>
      </c>
      <c r="AG30" s="180">
        <v>3.4353190988842521</v>
      </c>
      <c r="AH30" s="180">
        <v>3.4166992573063166</v>
      </c>
      <c r="AI30" s="180">
        <v>3.3980794157411247</v>
      </c>
      <c r="AJ30" s="180">
        <v>3.3794595741504461</v>
      </c>
      <c r="AK30" s="180">
        <v>3.3608397325852537</v>
      </c>
      <c r="AL30" s="180">
        <v>3.3422198910200613</v>
      </c>
      <c r="AM30" s="180">
        <v>3.3236000494293831</v>
      </c>
      <c r="AN30" s="180">
        <v>3.3049802078769339</v>
      </c>
      <c r="AO30" s="180">
        <v>3.2863603662989984</v>
      </c>
      <c r="AP30" s="180">
        <v>3.2677405247083198</v>
      </c>
      <c r="AQ30" s="180">
        <v>3.2491206831558705</v>
      </c>
      <c r="AR30" s="180">
        <v>3.2305008415651919</v>
      </c>
      <c r="AS30" s="180">
        <v>3.211881</v>
      </c>
    </row>
    <row r="31" spans="1:45">
      <c r="B31" s="526"/>
      <c r="C31" s="180"/>
      <c r="D31" s="180" t="s">
        <v>841</v>
      </c>
      <c r="E31" s="180"/>
      <c r="F31" s="180"/>
      <c r="G31" s="180" t="s">
        <v>838</v>
      </c>
      <c r="H31" s="180"/>
      <c r="I31" s="180">
        <v>6999.3575854714172</v>
      </c>
      <c r="J31" s="180">
        <v>28.941743608602792</v>
      </c>
      <c r="K31" s="180">
        <v>29.299391272742881</v>
      </c>
      <c r="L31" s="180">
        <v>31.918713741875212</v>
      </c>
      <c r="M31" s="180">
        <v>34.645600107805649</v>
      </c>
      <c r="N31" s="180">
        <v>37.480054924928965</v>
      </c>
      <c r="O31" s="180">
        <v>130.83103891973815</v>
      </c>
      <c r="P31" s="180">
        <v>137.58120050471189</v>
      </c>
      <c r="Q31" s="180">
        <v>171.58436689991879</v>
      </c>
      <c r="R31" s="180">
        <v>184.12188212060101</v>
      </c>
      <c r="S31" s="180">
        <v>217.33001519464725</v>
      </c>
      <c r="T31" s="180">
        <v>256.66463020404979</v>
      </c>
      <c r="U31" s="180">
        <v>473.18469386791861</v>
      </c>
      <c r="V31" s="180">
        <v>484.27987502414982</v>
      </c>
      <c r="W31" s="180">
        <v>504.7482086762152</v>
      </c>
      <c r="X31" s="180">
        <v>522.85292107159762</v>
      </c>
      <c r="Y31" s="180">
        <v>542.80194661669941</v>
      </c>
      <c r="Z31" s="180">
        <v>88.272536686879775</v>
      </c>
      <c r="AA31" s="180">
        <v>90.430381696910644</v>
      </c>
      <c r="AB31" s="180">
        <v>92.588225103687307</v>
      </c>
      <c r="AC31" s="180">
        <v>94.746069198091888</v>
      </c>
      <c r="AD31" s="180">
        <v>135.75246474929682</v>
      </c>
      <c r="AE31" s="180">
        <v>136.31582696128106</v>
      </c>
      <c r="AF31" s="180">
        <v>161.9287830103564</v>
      </c>
      <c r="AG31" s="180">
        <v>169.1532290640925</v>
      </c>
      <c r="AH31" s="180">
        <v>187.89196662980422</v>
      </c>
      <c r="AI31" s="180">
        <v>210.53411619117267</v>
      </c>
      <c r="AJ31" s="180">
        <v>276.59386029498552</v>
      </c>
      <c r="AK31" s="180">
        <v>280.24736276566597</v>
      </c>
      <c r="AL31" s="180">
        <v>288.11075516178977</v>
      </c>
      <c r="AM31" s="180">
        <v>294.757338342997</v>
      </c>
      <c r="AN31" s="180">
        <v>301.13504803906039</v>
      </c>
      <c r="AO31" s="180">
        <v>80.526667763828584</v>
      </c>
      <c r="AP31" s="180">
        <v>80.526667763828584</v>
      </c>
      <c r="AQ31" s="180">
        <v>80.526667763828584</v>
      </c>
      <c r="AR31" s="180">
        <v>80.526667763828584</v>
      </c>
      <c r="AS31" s="180">
        <v>80.526667763828584</v>
      </c>
    </row>
    <row r="32" spans="1:45">
      <c r="B32" s="526"/>
      <c r="C32" s="180"/>
      <c r="D32" s="180" t="s">
        <v>821</v>
      </c>
      <c r="E32" s="180"/>
      <c r="F32" s="180"/>
      <c r="G32" s="180" t="s">
        <v>838</v>
      </c>
      <c r="H32" s="180"/>
      <c r="I32" s="180">
        <v>73674.93566271523</v>
      </c>
      <c r="J32" s="180">
        <v>0</v>
      </c>
      <c r="K32" s="180">
        <v>0</v>
      </c>
      <c r="L32" s="180">
        <v>0</v>
      </c>
      <c r="M32" s="180">
        <v>0</v>
      </c>
      <c r="N32" s="180">
        <v>0</v>
      </c>
      <c r="O32" s="180">
        <v>289.14360712216336</v>
      </c>
      <c r="P32" s="180">
        <v>736.29572240083644</v>
      </c>
      <c r="Q32" s="180">
        <v>2079.7759078884415</v>
      </c>
      <c r="R32" s="180">
        <v>3007.8871098457371</v>
      </c>
      <c r="S32" s="180">
        <v>3943.8154391909461</v>
      </c>
      <c r="T32" s="180">
        <v>4815.1899659181991</v>
      </c>
      <c r="U32" s="180">
        <v>4752.186930549432</v>
      </c>
      <c r="V32" s="180">
        <v>4757.1765240455306</v>
      </c>
      <c r="W32" s="180">
        <v>4742.2007240528292</v>
      </c>
      <c r="X32" s="180">
        <v>4552.7856731579168</v>
      </c>
      <c r="Y32" s="180">
        <v>4334.856691594423</v>
      </c>
      <c r="Z32" s="180">
        <v>654.77111700381363</v>
      </c>
      <c r="AA32" s="180">
        <v>600.77253138381104</v>
      </c>
      <c r="AB32" s="180">
        <v>599.60119526566575</v>
      </c>
      <c r="AC32" s="180">
        <v>598.93594816823895</v>
      </c>
      <c r="AD32" s="180">
        <v>827.33118217537299</v>
      </c>
      <c r="AE32" s="180">
        <v>1079.5542292044984</v>
      </c>
      <c r="AF32" s="180">
        <v>1847.5387526320517</v>
      </c>
      <c r="AG32" s="180">
        <v>2391.3324624098718</v>
      </c>
      <c r="AH32" s="180">
        <v>2909.9953122220154</v>
      </c>
      <c r="AI32" s="180">
        <v>3422.6422424437201</v>
      </c>
      <c r="AJ32" s="180">
        <v>3372.3495223564746</v>
      </c>
      <c r="AK32" s="180">
        <v>3390.1839754982934</v>
      </c>
      <c r="AL32" s="180">
        <v>3399.228236770733</v>
      </c>
      <c r="AM32" s="180">
        <v>3257.944833278596</v>
      </c>
      <c r="AN32" s="180">
        <v>3089.2133085064647</v>
      </c>
      <c r="AO32" s="180">
        <v>867.82915527054467</v>
      </c>
      <c r="AP32" s="180">
        <v>840.90263327546165</v>
      </c>
      <c r="AQ32" s="180">
        <v>838.98422311591651</v>
      </c>
      <c r="AR32" s="180">
        <v>837.63589986392083</v>
      </c>
      <c r="AS32" s="180">
        <v>836.87460610329458</v>
      </c>
    </row>
    <row r="33" spans="2:45">
      <c r="B33" s="526"/>
      <c r="C33" s="180"/>
      <c r="D33" s="180" t="s">
        <v>842</v>
      </c>
      <c r="E33" s="180"/>
      <c r="F33" s="180"/>
      <c r="G33" s="180" t="s">
        <v>838</v>
      </c>
      <c r="H33" s="180"/>
      <c r="I33" s="180">
        <v>1902.9147254537879</v>
      </c>
      <c r="J33" s="180">
        <v>0</v>
      </c>
      <c r="K33" s="180">
        <v>0</v>
      </c>
      <c r="L33" s="180">
        <v>0</v>
      </c>
      <c r="M33" s="180">
        <v>0</v>
      </c>
      <c r="N33" s="180">
        <v>0</v>
      </c>
      <c r="O33" s="180">
        <v>32.540284095622418</v>
      </c>
      <c r="P33" s="180">
        <v>45.424926998664588</v>
      </c>
      <c r="Q33" s="180">
        <v>43.32495718268224</v>
      </c>
      <c r="R33" s="180">
        <v>39.984335870679857</v>
      </c>
      <c r="S33" s="180">
        <v>37.610888387959612</v>
      </c>
      <c r="T33" s="180">
        <v>37.084778633671519</v>
      </c>
      <c r="U33" s="180">
        <v>30.957187360039441</v>
      </c>
      <c r="V33" s="180">
        <v>20.895059782518157</v>
      </c>
      <c r="W33" s="180">
        <v>21.973515705283042</v>
      </c>
      <c r="X33" s="180">
        <v>23.984460841635165</v>
      </c>
      <c r="Y33" s="180">
        <v>26.022564314279251</v>
      </c>
      <c r="Z33" s="180">
        <v>35.248842175204608</v>
      </c>
      <c r="AA33" s="180">
        <v>48.145757582849349</v>
      </c>
      <c r="AB33" s="180">
        <v>61.287641017029706</v>
      </c>
      <c r="AC33" s="180">
        <v>75.07528728885525</v>
      </c>
      <c r="AD33" s="180">
        <v>89.464494738366909</v>
      </c>
      <c r="AE33" s="180">
        <v>95.298947672568303</v>
      </c>
      <c r="AF33" s="180">
        <v>60.331354519075383</v>
      </c>
      <c r="AG33" s="180">
        <v>65.229139903918608</v>
      </c>
      <c r="AH33" s="180">
        <v>70.670027093286521</v>
      </c>
      <c r="AI33" s="180">
        <v>93.831335783929518</v>
      </c>
      <c r="AJ33" s="180">
        <v>100.06900645495963</v>
      </c>
      <c r="AK33" s="180">
        <v>97.014019422135632</v>
      </c>
      <c r="AL33" s="180">
        <v>93.659979728786794</v>
      </c>
      <c r="AM33" s="180">
        <v>89.918622861803087</v>
      </c>
      <c r="AN33" s="180">
        <v>97.236415991826021</v>
      </c>
      <c r="AO33" s="180">
        <v>91.545938141112742</v>
      </c>
      <c r="AP33" s="180">
        <v>78.821022222588169</v>
      </c>
      <c r="AQ33" s="180">
        <v>71.999200093309028</v>
      </c>
      <c r="AR33" s="180">
        <v>66.236694453608052</v>
      </c>
      <c r="AS33" s="180">
        <v>62.02803913553894</v>
      </c>
    </row>
    <row r="34" spans="2:45">
      <c r="B34" s="526"/>
      <c r="C34" s="180"/>
      <c r="D34" s="180" t="s">
        <v>843</v>
      </c>
      <c r="E34" s="180"/>
      <c r="F34" s="180"/>
      <c r="G34" s="180" t="s">
        <v>838</v>
      </c>
      <c r="H34" s="180"/>
      <c r="I34" s="180">
        <v>0</v>
      </c>
      <c r="J34" s="180">
        <v>0</v>
      </c>
      <c r="K34" s="180">
        <v>0</v>
      </c>
      <c r="L34" s="180">
        <v>0</v>
      </c>
      <c r="M34" s="180">
        <v>0</v>
      </c>
      <c r="N34" s="180">
        <v>0</v>
      </c>
      <c r="O34" s="180">
        <v>0</v>
      </c>
      <c r="P34" s="180">
        <v>0</v>
      </c>
      <c r="Q34" s="180">
        <v>0</v>
      </c>
      <c r="R34" s="180">
        <v>0</v>
      </c>
      <c r="S34" s="180">
        <v>0</v>
      </c>
      <c r="T34" s="180">
        <v>0</v>
      </c>
      <c r="U34" s="180">
        <v>0</v>
      </c>
      <c r="V34" s="180">
        <v>0</v>
      </c>
      <c r="W34" s="180">
        <v>0</v>
      </c>
      <c r="X34" s="180">
        <v>0</v>
      </c>
      <c r="Y34" s="180">
        <v>0</v>
      </c>
      <c r="Z34" s="180">
        <v>0</v>
      </c>
      <c r="AA34" s="180">
        <v>0</v>
      </c>
      <c r="AB34" s="180">
        <v>0</v>
      </c>
      <c r="AC34" s="180">
        <v>0</v>
      </c>
      <c r="AD34" s="180">
        <v>0</v>
      </c>
      <c r="AE34" s="180">
        <v>0</v>
      </c>
      <c r="AF34" s="180">
        <v>0</v>
      </c>
      <c r="AG34" s="180">
        <v>0</v>
      </c>
      <c r="AH34" s="180">
        <v>0</v>
      </c>
      <c r="AI34" s="180">
        <v>0</v>
      </c>
      <c r="AJ34" s="180">
        <v>0</v>
      </c>
      <c r="AK34" s="180">
        <v>0</v>
      </c>
      <c r="AL34" s="180">
        <v>0</v>
      </c>
      <c r="AM34" s="180">
        <v>0</v>
      </c>
      <c r="AN34" s="180">
        <v>0</v>
      </c>
      <c r="AO34" s="180">
        <v>0</v>
      </c>
      <c r="AP34" s="180">
        <v>0</v>
      </c>
      <c r="AQ34" s="180">
        <v>0</v>
      </c>
      <c r="AR34" s="180">
        <v>0</v>
      </c>
      <c r="AS34" s="180">
        <v>0</v>
      </c>
    </row>
    <row r="35" spans="2:45">
      <c r="B35" s="526"/>
      <c r="C35" s="180"/>
      <c r="D35" s="180" t="s">
        <v>774</v>
      </c>
      <c r="E35" s="180"/>
      <c r="F35" s="180"/>
      <c r="G35" s="180" t="s">
        <v>838</v>
      </c>
      <c r="H35" s="180"/>
      <c r="I35" s="180">
        <v>10918.919516566011</v>
      </c>
      <c r="J35" s="180">
        <v>1087.9955745798518</v>
      </c>
      <c r="K35" s="180">
        <v>1096.8490651853799</v>
      </c>
      <c r="L35" s="180">
        <v>1102.9134822925334</v>
      </c>
      <c r="M35" s="180">
        <v>1108.8615111197587</v>
      </c>
      <c r="N35" s="180">
        <v>1114.7207568777815</v>
      </c>
      <c r="O35" s="180">
        <v>1008.7048746108587</v>
      </c>
      <c r="P35" s="180">
        <v>963.83300054332562</v>
      </c>
      <c r="Q35" s="180">
        <v>873.94522713497156</v>
      </c>
      <c r="R35" s="180">
        <v>822.78960957086235</v>
      </c>
      <c r="S35" s="180">
        <v>351.63392790568236</v>
      </c>
      <c r="T35" s="180">
        <v>305.10738207087439</v>
      </c>
      <c r="U35" s="180">
        <v>261.12812662904332</v>
      </c>
      <c r="V35" s="180">
        <v>212.56533229743485</v>
      </c>
      <c r="W35" s="180">
        <v>162.40543405479477</v>
      </c>
      <c r="X35" s="180">
        <v>117.46445255669524</v>
      </c>
      <c r="Y35" s="180">
        <v>63.824368120194784</v>
      </c>
      <c r="Z35" s="180">
        <v>59.237591478541674</v>
      </c>
      <c r="AA35" s="180">
        <v>52.33615653914994</v>
      </c>
      <c r="AB35" s="180">
        <v>45.118479445363683</v>
      </c>
      <c r="AC35" s="180">
        <v>38.118518808465652</v>
      </c>
      <c r="AD35" s="180">
        <v>29.4944213207004</v>
      </c>
      <c r="AE35" s="180">
        <v>22.468978097428295</v>
      </c>
      <c r="AF35" s="180">
        <v>11.64189372102836</v>
      </c>
      <c r="AG35" s="180">
        <v>5.7613516052909102</v>
      </c>
      <c r="AH35" s="180">
        <v>0</v>
      </c>
      <c r="AI35" s="180">
        <v>0</v>
      </c>
      <c r="AJ35" s="180">
        <v>0</v>
      </c>
      <c r="AK35" s="180">
        <v>0</v>
      </c>
      <c r="AL35" s="180">
        <v>0</v>
      </c>
      <c r="AM35" s="180">
        <v>0</v>
      </c>
      <c r="AN35" s="180">
        <v>0</v>
      </c>
      <c r="AO35" s="180">
        <v>0</v>
      </c>
      <c r="AP35" s="180">
        <v>0</v>
      </c>
      <c r="AQ35" s="180">
        <v>0</v>
      </c>
      <c r="AR35" s="180">
        <v>0</v>
      </c>
      <c r="AS35" s="180">
        <v>0</v>
      </c>
    </row>
    <row r="36" spans="2:45">
      <c r="B36" s="526"/>
      <c r="C36" s="180"/>
      <c r="D36" s="180" t="s">
        <v>218</v>
      </c>
      <c r="E36" s="180"/>
      <c r="F36" s="180"/>
      <c r="G36" s="180" t="s">
        <v>838</v>
      </c>
      <c r="H36" s="180"/>
      <c r="I36" s="180">
        <v>1445.4800701334441</v>
      </c>
      <c r="J36" s="180">
        <v>44.276506994244833</v>
      </c>
      <c r="K36" s="180">
        <v>45.050183380512365</v>
      </c>
      <c r="L36" s="180">
        <v>45.731821822414247</v>
      </c>
      <c r="M36" s="180">
        <v>46.403658979916592</v>
      </c>
      <c r="N36" s="180">
        <v>47.068279195475888</v>
      </c>
      <c r="O36" s="180">
        <v>44.196871024142531</v>
      </c>
      <c r="P36" s="180">
        <v>43.048323105202627</v>
      </c>
      <c r="Q36" s="180">
        <v>39.926649856331252</v>
      </c>
      <c r="R36" s="180">
        <v>37.614215097362596</v>
      </c>
      <c r="S36" s="180">
        <v>33.668646486269772</v>
      </c>
      <c r="T36" s="180">
        <v>28.600847878350045</v>
      </c>
      <c r="U36" s="180">
        <v>23.643900535621405</v>
      </c>
      <c r="V36" s="180">
        <v>18.298255162365862</v>
      </c>
      <c r="W36" s="180">
        <v>12.719073981605712</v>
      </c>
      <c r="X36" s="180">
        <v>7.5569570994468913</v>
      </c>
      <c r="Y36" s="180">
        <v>7.7911996707430289</v>
      </c>
      <c r="Z36" s="180">
        <v>31.653280293709166</v>
      </c>
      <c r="AA36" s="180">
        <v>35.350667971020485</v>
      </c>
      <c r="AB36" s="180">
        <v>38.764810485702931</v>
      </c>
      <c r="AC36" s="180">
        <v>42.169441432001982</v>
      </c>
      <c r="AD36" s="180">
        <v>45.644141288541185</v>
      </c>
      <c r="AE36" s="180">
        <v>49.039757262884322</v>
      </c>
      <c r="AF36" s="180">
        <v>52.120622864284286</v>
      </c>
      <c r="AG36" s="180">
        <v>55.502215225955595</v>
      </c>
      <c r="AH36" s="180">
        <v>64.086824893963481</v>
      </c>
      <c r="AI36" s="180">
        <v>44.944546954138914</v>
      </c>
      <c r="AJ36" s="180">
        <v>44.962759642973296</v>
      </c>
      <c r="AK36" s="180">
        <v>44.999976412494931</v>
      </c>
      <c r="AL36" s="180">
        <v>45.056308318287847</v>
      </c>
      <c r="AM36" s="180">
        <v>45.131290557934335</v>
      </c>
      <c r="AN36" s="180">
        <v>45.225980252455791</v>
      </c>
      <c r="AO36" s="180">
        <v>46.304478572888115</v>
      </c>
      <c r="AP36" s="180">
        <v>46.674490100939899</v>
      </c>
      <c r="AQ36" s="180">
        <v>47.044526683038022</v>
      </c>
      <c r="AR36" s="180">
        <v>47.416223007475217</v>
      </c>
      <c r="AS36" s="180">
        <v>47.792337642748315</v>
      </c>
    </row>
    <row r="37" spans="2:45">
      <c r="B37" s="526"/>
      <c r="C37" s="180"/>
      <c r="D37" s="180" t="s">
        <v>800</v>
      </c>
      <c r="E37" s="180"/>
      <c r="F37" s="180"/>
      <c r="G37" s="180" t="s">
        <v>838</v>
      </c>
      <c r="H37" s="180"/>
      <c r="I37" s="180">
        <v>6020.1678412009214</v>
      </c>
      <c r="J37" s="180">
        <v>54.086680515791095</v>
      </c>
      <c r="K37" s="180">
        <v>53.337526664008067</v>
      </c>
      <c r="L37" s="180">
        <v>52.569861772937969</v>
      </c>
      <c r="M37" s="180">
        <v>51.783685842580972</v>
      </c>
      <c r="N37" s="180">
        <v>50.978998872937019</v>
      </c>
      <c r="O37" s="180">
        <v>46.285049817252244</v>
      </c>
      <c r="P37" s="180">
        <v>146.82115963132725</v>
      </c>
      <c r="Q37" s="180">
        <v>144.27909493988722</v>
      </c>
      <c r="R37" s="180">
        <v>141.69651921098713</v>
      </c>
      <c r="S37" s="180">
        <v>139.06728806727958</v>
      </c>
      <c r="T37" s="180">
        <v>136.38798256604068</v>
      </c>
      <c r="U37" s="180">
        <v>135.89679582079015</v>
      </c>
      <c r="V37" s="180">
        <v>136.2416179788745</v>
      </c>
      <c r="W37" s="180">
        <v>136.60571434655907</v>
      </c>
      <c r="X37" s="180">
        <v>136.99635290571581</v>
      </c>
      <c r="Y37" s="180">
        <v>137.42858436257183</v>
      </c>
      <c r="Z37" s="180">
        <v>137.92959506356598</v>
      </c>
      <c r="AA37" s="180">
        <v>138.546556010741</v>
      </c>
      <c r="AB37" s="180">
        <v>139.36018405826115</v>
      </c>
      <c r="AC37" s="180">
        <v>140.50788500276664</v>
      </c>
      <c r="AD37" s="180">
        <v>175.76660489394578</v>
      </c>
      <c r="AE37" s="180">
        <v>181.56398527926339</v>
      </c>
      <c r="AF37" s="180">
        <v>181.80088293805193</v>
      </c>
      <c r="AG37" s="180">
        <v>182.03568536984037</v>
      </c>
      <c r="AH37" s="180">
        <v>182.26831230252662</v>
      </c>
      <c r="AI37" s="180">
        <v>179.16135758956185</v>
      </c>
      <c r="AJ37" s="180">
        <v>268.45971526355947</v>
      </c>
      <c r="AK37" s="180">
        <v>268.45549915240173</v>
      </c>
      <c r="AL37" s="180">
        <v>268.46513682871233</v>
      </c>
      <c r="AM37" s="180">
        <v>268.48231934697577</v>
      </c>
      <c r="AN37" s="180">
        <v>268.5035167494587</v>
      </c>
      <c r="AO37" s="180">
        <v>267.66253676746902</v>
      </c>
      <c r="AP37" s="180">
        <v>267.66674326949817</v>
      </c>
      <c r="AQ37" s="180">
        <v>267.67644402695862</v>
      </c>
      <c r="AR37" s="180">
        <v>267.68904460836978</v>
      </c>
      <c r="AS37" s="180">
        <v>267.70292336345204</v>
      </c>
    </row>
    <row r="38" spans="2:45">
      <c r="B38" s="526"/>
      <c r="C38" s="180"/>
      <c r="D38" s="180" t="s">
        <v>844</v>
      </c>
      <c r="E38" s="180"/>
      <c r="F38" s="180"/>
      <c r="G38" s="180" t="s">
        <v>838</v>
      </c>
      <c r="H38" s="180"/>
      <c r="I38" s="180">
        <v>37.365475506243747</v>
      </c>
      <c r="J38" s="180">
        <v>0</v>
      </c>
      <c r="K38" s="180">
        <v>0</v>
      </c>
      <c r="L38" s="180">
        <v>0</v>
      </c>
      <c r="M38" s="180">
        <v>0</v>
      </c>
      <c r="N38" s="180">
        <v>0</v>
      </c>
      <c r="O38" s="180">
        <v>0</v>
      </c>
      <c r="P38" s="180">
        <v>4.7467167013757727</v>
      </c>
      <c r="Q38" s="180">
        <v>5.4801725811029494</v>
      </c>
      <c r="R38" s="180">
        <v>6.0242069982837005</v>
      </c>
      <c r="S38" s="180">
        <v>6.3249074890221939</v>
      </c>
      <c r="T38" s="180">
        <v>6.3238900033320746</v>
      </c>
      <c r="U38" s="180">
        <v>3.1966444207458156</v>
      </c>
      <c r="V38" s="180">
        <v>2.5396785358540614</v>
      </c>
      <c r="W38" s="180">
        <v>1.7879104828779044</v>
      </c>
      <c r="X38" s="180">
        <v>0.94134829364927453</v>
      </c>
      <c r="Y38" s="180">
        <v>0</v>
      </c>
      <c r="Z38" s="180">
        <v>0</v>
      </c>
      <c r="AA38" s="180">
        <v>0</v>
      </c>
      <c r="AB38" s="180">
        <v>0</v>
      </c>
      <c r="AC38" s="180">
        <v>0</v>
      </c>
      <c r="AD38" s="180">
        <v>0</v>
      </c>
      <c r="AE38" s="180">
        <v>0</v>
      </c>
      <c r="AF38" s="180">
        <v>0</v>
      </c>
      <c r="AG38" s="180">
        <v>0</v>
      </c>
      <c r="AH38" s="180">
        <v>0</v>
      </c>
      <c r="AI38" s="180">
        <v>0</v>
      </c>
      <c r="AJ38" s="180">
        <v>0</v>
      </c>
      <c r="AK38" s="180">
        <v>0</v>
      </c>
      <c r="AL38" s="180">
        <v>0</v>
      </c>
      <c r="AM38" s="180">
        <v>0</v>
      </c>
      <c r="AN38" s="180">
        <v>0</v>
      </c>
      <c r="AO38" s="180">
        <v>0</v>
      </c>
      <c r="AP38" s="180">
        <v>0</v>
      </c>
      <c r="AQ38" s="180">
        <v>0</v>
      </c>
      <c r="AR38" s="180">
        <v>0</v>
      </c>
      <c r="AS38" s="180">
        <v>0</v>
      </c>
    </row>
    <row r="39" spans="2:45">
      <c r="B39" s="526"/>
      <c r="C39" s="180"/>
      <c r="D39" s="180" t="s">
        <v>845</v>
      </c>
      <c r="E39" s="180"/>
      <c r="F39" s="180"/>
      <c r="G39" s="180" t="s">
        <v>838</v>
      </c>
      <c r="H39" s="180"/>
      <c r="I39" s="180">
        <v>0</v>
      </c>
      <c r="J39" s="180">
        <v>0</v>
      </c>
      <c r="K39" s="180">
        <v>0</v>
      </c>
      <c r="L39" s="180">
        <v>0</v>
      </c>
      <c r="M39" s="180">
        <v>0</v>
      </c>
      <c r="N39" s="180">
        <v>0</v>
      </c>
      <c r="O39" s="180">
        <v>0</v>
      </c>
      <c r="P39" s="180">
        <v>0</v>
      </c>
      <c r="Q39" s="180">
        <v>0</v>
      </c>
      <c r="R39" s="180">
        <v>0</v>
      </c>
      <c r="S39" s="180">
        <v>0</v>
      </c>
      <c r="T39" s="180">
        <v>0</v>
      </c>
      <c r="U39" s="180">
        <v>0</v>
      </c>
      <c r="V39" s="180">
        <v>0</v>
      </c>
      <c r="W39" s="180">
        <v>0</v>
      </c>
      <c r="X39" s="180">
        <v>0</v>
      </c>
      <c r="Y39" s="180">
        <v>0</v>
      </c>
      <c r="Z39" s="180">
        <v>0</v>
      </c>
      <c r="AA39" s="180">
        <v>0</v>
      </c>
      <c r="AB39" s="180">
        <v>0</v>
      </c>
      <c r="AC39" s="180">
        <v>0</v>
      </c>
      <c r="AD39" s="180">
        <v>0</v>
      </c>
      <c r="AE39" s="180">
        <v>0</v>
      </c>
      <c r="AF39" s="180">
        <v>0</v>
      </c>
      <c r="AG39" s="180">
        <v>0</v>
      </c>
      <c r="AH39" s="180">
        <v>0</v>
      </c>
      <c r="AI39" s="180">
        <v>0</v>
      </c>
      <c r="AJ39" s="180">
        <v>0</v>
      </c>
      <c r="AK39" s="180">
        <v>0</v>
      </c>
      <c r="AL39" s="180">
        <v>0</v>
      </c>
      <c r="AM39" s="180">
        <v>0</v>
      </c>
      <c r="AN39" s="180">
        <v>0</v>
      </c>
      <c r="AO39" s="180">
        <v>0</v>
      </c>
      <c r="AP39" s="180">
        <v>0</v>
      </c>
      <c r="AQ39" s="180">
        <v>0</v>
      </c>
      <c r="AR39" s="180">
        <v>0</v>
      </c>
      <c r="AS39" s="180">
        <v>0</v>
      </c>
    </row>
    <row r="40" spans="2:45">
      <c r="B40" s="526"/>
      <c r="C40" s="180"/>
      <c r="D40" s="180" t="s">
        <v>846</v>
      </c>
      <c r="E40" s="180"/>
      <c r="F40" s="180"/>
      <c r="G40" s="180" t="s">
        <v>838</v>
      </c>
      <c r="H40" s="180"/>
      <c r="I40" s="180">
        <v>883.17431706298146</v>
      </c>
      <c r="J40" s="180">
        <v>0</v>
      </c>
      <c r="K40" s="180">
        <v>0</v>
      </c>
      <c r="L40" s="180">
        <v>0</v>
      </c>
      <c r="M40" s="180">
        <v>0</v>
      </c>
      <c r="N40" s="180">
        <v>0</v>
      </c>
      <c r="O40" s="180">
        <v>0</v>
      </c>
      <c r="P40" s="180">
        <v>9.6577435472259783</v>
      </c>
      <c r="Q40" s="180">
        <v>12.196815838601397</v>
      </c>
      <c r="R40" s="180">
        <v>15.019985458693878</v>
      </c>
      <c r="S40" s="180">
        <v>18.127252407503384</v>
      </c>
      <c r="T40" s="180">
        <v>21.486377210167355</v>
      </c>
      <c r="U40" s="180">
        <v>13.313918330137513</v>
      </c>
      <c r="V40" s="180">
        <v>14.101533994799928</v>
      </c>
      <c r="W40" s="180">
        <v>14.889018140564405</v>
      </c>
      <c r="X40" s="180">
        <v>15.67637076743126</v>
      </c>
      <c r="Y40" s="180">
        <v>16.463591875400116</v>
      </c>
      <c r="Z40" s="180">
        <v>22.728299242330323</v>
      </c>
      <c r="AA40" s="180">
        <v>23.857640056267815</v>
      </c>
      <c r="AB40" s="180">
        <v>24.902417527014737</v>
      </c>
      <c r="AC40" s="180">
        <v>26.026380630180633</v>
      </c>
      <c r="AD40" s="180">
        <v>27.157130782911455</v>
      </c>
      <c r="AE40" s="180">
        <v>52.498070725309773</v>
      </c>
      <c r="AF40" s="180">
        <v>52.509399294272896</v>
      </c>
      <c r="AG40" s="180">
        <v>52.321552327367101</v>
      </c>
      <c r="AH40" s="180">
        <v>51.934628380352656</v>
      </c>
      <c r="AI40" s="180">
        <v>51.209210434755093</v>
      </c>
      <c r="AJ40" s="180">
        <v>49.606135997971812</v>
      </c>
      <c r="AK40" s="180">
        <v>48.340137169566439</v>
      </c>
      <c r="AL40" s="180">
        <v>46.963244294215123</v>
      </c>
      <c r="AM40" s="180">
        <v>39.339297348831472</v>
      </c>
      <c r="AN40" s="180">
        <v>34.777629249220432</v>
      </c>
      <c r="AO40" s="180">
        <v>32.143765893792178</v>
      </c>
      <c r="AP40" s="180">
        <v>29.646756271990807</v>
      </c>
      <c r="AQ40" s="180">
        <v>25.224222116589015</v>
      </c>
      <c r="AR40" s="180">
        <v>22.00993525608644</v>
      </c>
      <c r="AS40" s="180">
        <v>19.045856493430026</v>
      </c>
    </row>
    <row r="41" spans="2:45">
      <c r="B41" s="526"/>
      <c r="C41" s="180"/>
      <c r="D41" s="180"/>
      <c r="E41" s="180"/>
      <c r="F41" s="180"/>
      <c r="G41" s="180"/>
      <c r="H41" s="180"/>
      <c r="I41" s="180"/>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s="180"/>
      <c r="AK41" s="180"/>
      <c r="AL41" s="180"/>
      <c r="AM41" s="180"/>
      <c r="AN41" s="180"/>
      <c r="AO41" s="180"/>
      <c r="AP41" s="180"/>
      <c r="AQ41" s="180"/>
      <c r="AR41" s="180"/>
      <c r="AS41" s="180"/>
    </row>
    <row r="42" spans="2:45">
      <c r="B42" s="526"/>
      <c r="C42" s="180" t="s">
        <v>847</v>
      </c>
      <c r="D42" s="180" t="s">
        <v>142</v>
      </c>
      <c r="E42" s="180"/>
      <c r="F42" s="180"/>
      <c r="G42" s="180" t="s">
        <v>838</v>
      </c>
      <c r="H42" s="180"/>
      <c r="I42" s="180">
        <v>8015.5390431910864</v>
      </c>
      <c r="J42" s="180">
        <v>9.0919220605034532</v>
      </c>
      <c r="K42" s="180">
        <v>22.753539109667045</v>
      </c>
      <c r="L42" s="180">
        <v>24.170160698859451</v>
      </c>
      <c r="M42" s="180">
        <v>66.472166652550612</v>
      </c>
      <c r="N42" s="180">
        <v>45.591412878085158</v>
      </c>
      <c r="O42" s="180">
        <v>114.15974068158394</v>
      </c>
      <c r="P42" s="180">
        <v>179.67141965490362</v>
      </c>
      <c r="Q42" s="180">
        <v>297.56953275000058</v>
      </c>
      <c r="R42" s="180">
        <v>325.99677440490569</v>
      </c>
      <c r="S42" s="180">
        <v>332.45433186098501</v>
      </c>
      <c r="T42" s="180">
        <v>313.17168003408085</v>
      </c>
      <c r="U42" s="180">
        <v>414.54949995377353</v>
      </c>
      <c r="V42" s="180">
        <v>457.17730787193301</v>
      </c>
      <c r="W42" s="180">
        <v>464.53244925191541</v>
      </c>
      <c r="X42" s="180">
        <v>478.28583899773446</v>
      </c>
      <c r="Y42" s="180">
        <v>603.45876890664817</v>
      </c>
      <c r="Z42" s="180">
        <v>191.27443300581126</v>
      </c>
      <c r="AA42" s="180">
        <v>173.06536381617562</v>
      </c>
      <c r="AB42" s="180">
        <v>181.72863746821488</v>
      </c>
      <c r="AC42" s="180">
        <v>155.98655416448767</v>
      </c>
      <c r="AD42" s="180">
        <v>157.02140753476453</v>
      </c>
      <c r="AE42" s="180">
        <v>166.9476697607135</v>
      </c>
      <c r="AF42" s="180">
        <v>241.61242456912257</v>
      </c>
      <c r="AG42" s="180">
        <v>253.88438099216589</v>
      </c>
      <c r="AH42" s="180">
        <v>256.5655077050078</v>
      </c>
      <c r="AI42" s="180">
        <v>236.47634006935209</v>
      </c>
      <c r="AJ42" s="180">
        <v>287.9601957366981</v>
      </c>
      <c r="AK42" s="180">
        <v>212.88078298018087</v>
      </c>
      <c r="AL42" s="180">
        <v>213.69612341156312</v>
      </c>
      <c r="AM42" s="180">
        <v>221.66191242496387</v>
      </c>
      <c r="AN42" s="180">
        <v>318.08723815190348</v>
      </c>
      <c r="AO42" s="180">
        <v>150.26486144417231</v>
      </c>
      <c r="AP42" s="180">
        <v>140.35316958192695</v>
      </c>
      <c r="AQ42" s="180">
        <v>111.17705052418721</v>
      </c>
      <c r="AR42" s="180">
        <v>102.05754668175108</v>
      </c>
      <c r="AS42" s="180">
        <v>93.730897399793093</v>
      </c>
    </row>
    <row r="43" spans="2:45">
      <c r="B43" s="526"/>
      <c r="C43" s="180"/>
      <c r="D43" s="180" t="s">
        <v>839</v>
      </c>
      <c r="E43" s="180"/>
      <c r="F43" s="180"/>
      <c r="G43" s="180" t="s">
        <v>840</v>
      </c>
      <c r="H43" s="180"/>
      <c r="I43" s="180"/>
      <c r="J43" s="180">
        <v>9.0919220605034532</v>
      </c>
      <c r="K43" s="180">
        <v>31.845461170170498</v>
      </c>
      <c r="L43" s="180">
        <v>56.01562186902995</v>
      </c>
      <c r="M43" s="180">
        <v>122.48778852158057</v>
      </c>
      <c r="N43" s="180">
        <v>168.07920139966572</v>
      </c>
      <c r="O43" s="180">
        <v>282.23894208124966</v>
      </c>
      <c r="P43" s="180">
        <v>461.91036173615328</v>
      </c>
      <c r="Q43" s="180">
        <v>759.47989448615385</v>
      </c>
      <c r="R43" s="180">
        <v>1085.4766688910595</v>
      </c>
      <c r="S43" s="180">
        <v>1417.9310007520444</v>
      </c>
      <c r="T43" s="180">
        <v>1731.1026807861253</v>
      </c>
      <c r="U43" s="180">
        <v>2145.652180739899</v>
      </c>
      <c r="V43" s="180">
        <v>2602.8294886118319</v>
      </c>
      <c r="W43" s="180">
        <v>3067.3619378637472</v>
      </c>
      <c r="X43" s="180">
        <v>3545.6477768614818</v>
      </c>
      <c r="Y43" s="180">
        <v>4149.1065457681298</v>
      </c>
      <c r="Z43" s="180">
        <v>4340.380978773941</v>
      </c>
      <c r="AA43" s="180">
        <v>4513.4463425901167</v>
      </c>
      <c r="AB43" s="180">
        <v>4695.174980058332</v>
      </c>
      <c r="AC43" s="180">
        <v>4851.1615342228197</v>
      </c>
      <c r="AD43" s="180">
        <v>5008.1829417575846</v>
      </c>
      <c r="AE43" s="180">
        <v>5175.1306115182979</v>
      </c>
      <c r="AF43" s="180">
        <v>5416.7430360874205</v>
      </c>
      <c r="AG43" s="180">
        <v>5670.6274170795859</v>
      </c>
      <c r="AH43" s="180">
        <v>5927.1929247845937</v>
      </c>
      <c r="AI43" s="180">
        <v>6163.6692648539456</v>
      </c>
      <c r="AJ43" s="180">
        <v>6451.6294605906442</v>
      </c>
      <c r="AK43" s="180">
        <v>6664.510243570825</v>
      </c>
      <c r="AL43" s="180">
        <v>6878.2063669823883</v>
      </c>
      <c r="AM43" s="180">
        <v>7099.868279407352</v>
      </c>
      <c r="AN43" s="180">
        <v>7417.9555175592559</v>
      </c>
      <c r="AO43" s="180">
        <v>7568.2203790034282</v>
      </c>
      <c r="AP43" s="180">
        <v>7708.5735485853547</v>
      </c>
      <c r="AQ43" s="180">
        <v>7819.7505991095422</v>
      </c>
      <c r="AR43" s="180">
        <v>7921.8081457912931</v>
      </c>
      <c r="AS43" s="180">
        <v>8015.5390431910864</v>
      </c>
    </row>
    <row r="44" spans="2:45">
      <c r="B44" s="526"/>
      <c r="C44" s="180"/>
      <c r="D44" s="180" t="s">
        <v>848</v>
      </c>
      <c r="E44" s="180"/>
      <c r="F44" s="180"/>
      <c r="G44" s="180" t="s">
        <v>838</v>
      </c>
      <c r="H44" s="180"/>
      <c r="I44" s="180">
        <v>946.26051621819249</v>
      </c>
      <c r="J44" s="180">
        <v>0</v>
      </c>
      <c r="K44" s="180">
        <v>3.4904161989333507E-2</v>
      </c>
      <c r="L44" s="180">
        <v>3.4904161989333507E-2</v>
      </c>
      <c r="M44" s="180">
        <v>3.4904161989333507E-2</v>
      </c>
      <c r="N44" s="180">
        <v>3.49041619893335E-2</v>
      </c>
      <c r="O44" s="180">
        <v>3.49041619893335E-2</v>
      </c>
      <c r="P44" s="180">
        <v>17.059969107158544</v>
      </c>
      <c r="Q44" s="180">
        <v>17.234489917104987</v>
      </c>
      <c r="R44" s="180">
        <v>17.234489917104977</v>
      </c>
      <c r="S44" s="180">
        <v>17.234489917105225</v>
      </c>
      <c r="T44" s="180">
        <v>17.234489917105197</v>
      </c>
      <c r="U44" s="180">
        <v>21.291491133583659</v>
      </c>
      <c r="V44" s="180">
        <v>21.291491133584124</v>
      </c>
      <c r="W44" s="180">
        <v>21.291491133583659</v>
      </c>
      <c r="X44" s="180">
        <v>21.29149113358412</v>
      </c>
      <c r="Y44" s="180">
        <v>21.291491133583659</v>
      </c>
      <c r="Z44" s="180">
        <v>52.968652129791863</v>
      </c>
      <c r="AA44" s="180">
        <v>52.968652129791863</v>
      </c>
      <c r="AB44" s="180">
        <v>52.968652129791835</v>
      </c>
      <c r="AC44" s="180">
        <v>52.968652129791863</v>
      </c>
      <c r="AD44" s="180">
        <v>52.968652129791863</v>
      </c>
      <c r="AE44" s="180">
        <v>52.012441775533865</v>
      </c>
      <c r="AF44" s="180">
        <v>52.012441775533887</v>
      </c>
      <c r="AG44" s="180">
        <v>52.012441775533894</v>
      </c>
      <c r="AH44" s="180">
        <v>52.012441775533887</v>
      </c>
      <c r="AI44" s="180">
        <v>52.012441775533865</v>
      </c>
      <c r="AJ44" s="180">
        <v>22.076749804634805</v>
      </c>
      <c r="AK44" s="180">
        <v>22.076749804634808</v>
      </c>
      <c r="AL44" s="180">
        <v>22.076749804634439</v>
      </c>
      <c r="AM44" s="180">
        <v>22.076749804634808</v>
      </c>
      <c r="AN44" s="180">
        <v>22.076749804634805</v>
      </c>
      <c r="AO44" s="180">
        <v>23.668278482989244</v>
      </c>
      <c r="AP44" s="180">
        <v>23.668278482988832</v>
      </c>
      <c r="AQ44" s="180">
        <v>23.668278482989201</v>
      </c>
      <c r="AR44" s="180">
        <v>23.668278482988832</v>
      </c>
      <c r="AS44" s="180">
        <v>23.668278482989244</v>
      </c>
    </row>
    <row r="45" spans="2:45">
      <c r="B45" s="526"/>
      <c r="C45" s="180"/>
      <c r="D45" s="180" t="s">
        <v>849</v>
      </c>
      <c r="E45" s="180"/>
      <c r="F45" s="180"/>
      <c r="G45" s="180" t="s">
        <v>838</v>
      </c>
      <c r="H45" s="180"/>
      <c r="I45" s="180">
        <v>604.07388447135042</v>
      </c>
      <c r="J45" s="180">
        <v>0</v>
      </c>
      <c r="K45" s="180">
        <v>13.282890927782283</v>
      </c>
      <c r="L45" s="180">
        <v>13.282890927781992</v>
      </c>
      <c r="M45" s="180">
        <v>13.282890927781992</v>
      </c>
      <c r="N45" s="180">
        <v>13.282890927782283</v>
      </c>
      <c r="O45" s="180">
        <v>13.282890927782283</v>
      </c>
      <c r="P45" s="180">
        <v>15.573898234649096</v>
      </c>
      <c r="Q45" s="180">
        <v>15.573898234649675</v>
      </c>
      <c r="R45" s="180">
        <v>15.573898234649096</v>
      </c>
      <c r="S45" s="180">
        <v>15.573898234649675</v>
      </c>
      <c r="T45" s="180">
        <v>15.573898234649096</v>
      </c>
      <c r="U45" s="180">
        <v>35.538450168489362</v>
      </c>
      <c r="V45" s="180">
        <v>35.538450168489362</v>
      </c>
      <c r="W45" s="180">
        <v>35.538450168489362</v>
      </c>
      <c r="X45" s="180">
        <v>35.538450168489362</v>
      </c>
      <c r="Y45" s="180">
        <v>35.538450168489362</v>
      </c>
      <c r="Z45" s="180">
        <v>31.481133410903855</v>
      </c>
      <c r="AA45" s="180">
        <v>31.481133410903855</v>
      </c>
      <c r="AB45" s="180">
        <v>31.481133410903855</v>
      </c>
      <c r="AC45" s="180">
        <v>31.481133410903855</v>
      </c>
      <c r="AD45" s="180">
        <v>31.481133410903855</v>
      </c>
      <c r="AE45" s="180">
        <v>12.554760934416556</v>
      </c>
      <c r="AF45" s="180">
        <v>12.554760934416556</v>
      </c>
      <c r="AG45" s="180">
        <v>12.554760934415972</v>
      </c>
      <c r="AH45" s="180">
        <v>12.554760934416556</v>
      </c>
      <c r="AI45" s="180">
        <v>12.444906051954232</v>
      </c>
      <c r="AJ45" s="180">
        <v>12.728528535194172</v>
      </c>
      <c r="AK45" s="180">
        <v>12.567071364857336</v>
      </c>
      <c r="AL45" s="180">
        <v>12.405614194521625</v>
      </c>
      <c r="AM45" s="180">
        <v>12.244157024184805</v>
      </c>
      <c r="AN45" s="180">
        <v>12.082699853849077</v>
      </c>
      <c r="AO45" s="180">
        <v>0</v>
      </c>
      <c r="AP45" s="180">
        <v>0</v>
      </c>
      <c r="AQ45" s="180">
        <v>0</v>
      </c>
      <c r="AR45" s="180">
        <v>0</v>
      </c>
      <c r="AS45" s="180">
        <v>0</v>
      </c>
    </row>
    <row r="46" spans="2:45">
      <c r="B46" s="526"/>
      <c r="C46" s="180"/>
      <c r="D46" s="180" t="s">
        <v>188</v>
      </c>
      <c r="E46" s="180"/>
      <c r="F46" s="180"/>
      <c r="G46" s="180" t="s">
        <v>838</v>
      </c>
      <c r="H46" s="180"/>
      <c r="I46" s="180">
        <v>1780.7163897849509</v>
      </c>
      <c r="J46" s="180">
        <v>9.0919220605034532</v>
      </c>
      <c r="K46" s="180">
        <v>9.4357440198954272</v>
      </c>
      <c r="L46" s="180">
        <v>10.852365609088126</v>
      </c>
      <c r="M46" s="180">
        <v>12.269012299527557</v>
      </c>
      <c r="N46" s="180">
        <v>13.685686569004622</v>
      </c>
      <c r="O46" s="180">
        <v>62.316269149655383</v>
      </c>
      <c r="P46" s="180">
        <v>64.831942843490282</v>
      </c>
      <c r="Q46" s="180">
        <v>84.308760932144025</v>
      </c>
      <c r="R46" s="180">
        <v>89.735069201202478</v>
      </c>
      <c r="S46" s="180">
        <v>106.51926823160839</v>
      </c>
      <c r="T46" s="180">
        <v>126.43807509187525</v>
      </c>
      <c r="U46" s="180">
        <v>229.88262063143802</v>
      </c>
      <c r="V46" s="180">
        <v>231.53235850626083</v>
      </c>
      <c r="W46" s="180">
        <v>238.04599115239841</v>
      </c>
      <c r="X46" s="180">
        <v>243.11455877458829</v>
      </c>
      <c r="Y46" s="180">
        <v>247.84741944973587</v>
      </c>
      <c r="Z46" s="180">
        <v>9.6724084898823628E-2</v>
      </c>
      <c r="AA46" s="180">
        <v>9.5731067566604836E-2</v>
      </c>
      <c r="AB46" s="180">
        <v>9.4683951692478285E-2</v>
      </c>
      <c r="AC46" s="180">
        <v>9.3646550002347673E-2</v>
      </c>
      <c r="AD46" s="180">
        <v>2.7724647212838311E-2</v>
      </c>
      <c r="AE46" s="180">
        <v>2.6730022059768016E-2</v>
      </c>
      <c r="AF46" s="180">
        <v>2.672729958604177E-2</v>
      </c>
      <c r="AG46" s="180">
        <v>2.6724587850931028E-2</v>
      </c>
      <c r="AH46" s="180">
        <v>2.6721886908755096E-2</v>
      </c>
      <c r="AI46" s="180">
        <v>2.6719196796061509E-2</v>
      </c>
      <c r="AJ46" s="180">
        <v>2.6719196796061509E-2</v>
      </c>
      <c r="AK46" s="180">
        <v>2.6719196796061509E-2</v>
      </c>
      <c r="AL46" s="180">
        <v>2.6719196796061509E-2</v>
      </c>
      <c r="AM46" s="180">
        <v>2.6719196796061509E-2</v>
      </c>
      <c r="AN46" s="180">
        <v>2.6719196796061509E-2</v>
      </c>
      <c r="AO46" s="180">
        <v>2.6719196796061509E-2</v>
      </c>
      <c r="AP46" s="180">
        <v>2.6719196796061509E-2</v>
      </c>
      <c r="AQ46" s="180">
        <v>2.6719196796061509E-2</v>
      </c>
      <c r="AR46" s="180">
        <v>2.6719196796061509E-2</v>
      </c>
      <c r="AS46" s="180">
        <v>2.6719196796061509E-2</v>
      </c>
    </row>
    <row r="47" spans="2:45">
      <c r="B47" s="526"/>
      <c r="C47" s="180"/>
      <c r="D47" s="180" t="s">
        <v>850</v>
      </c>
      <c r="E47" s="180"/>
      <c r="F47" s="180"/>
      <c r="G47" s="180" t="s">
        <v>838</v>
      </c>
      <c r="H47" s="180"/>
      <c r="I47" s="180">
        <v>4.5458047844781397</v>
      </c>
      <c r="J47" s="180">
        <v>0</v>
      </c>
      <c r="K47" s="180">
        <v>0</v>
      </c>
      <c r="L47" s="180">
        <v>0</v>
      </c>
      <c r="M47" s="180">
        <v>0</v>
      </c>
      <c r="N47" s="180">
        <v>0</v>
      </c>
      <c r="O47" s="180">
        <v>0</v>
      </c>
      <c r="P47" s="180">
        <v>0</v>
      </c>
      <c r="Q47" s="180">
        <v>0</v>
      </c>
      <c r="R47" s="180">
        <v>0</v>
      </c>
      <c r="S47" s="180">
        <v>0</v>
      </c>
      <c r="T47" s="180">
        <v>0</v>
      </c>
      <c r="U47" s="180">
        <v>0.40563910991569946</v>
      </c>
      <c r="V47" s="180">
        <v>0.40563910991569946</v>
      </c>
      <c r="W47" s="180">
        <v>0.40563910991569946</v>
      </c>
      <c r="X47" s="180">
        <v>0.40563910991569946</v>
      </c>
      <c r="Y47" s="180">
        <v>0.40563910991569946</v>
      </c>
      <c r="Z47" s="180">
        <v>0.50352184697992841</v>
      </c>
      <c r="AA47" s="180">
        <v>0.50352184697992808</v>
      </c>
      <c r="AB47" s="180">
        <v>0.50352184697992841</v>
      </c>
      <c r="AC47" s="180">
        <v>0.50352184697992841</v>
      </c>
      <c r="AD47" s="180">
        <v>0.50352184697992886</v>
      </c>
      <c r="AE47" s="180">
        <v>0</v>
      </c>
      <c r="AF47" s="180">
        <v>0</v>
      </c>
      <c r="AG47" s="180">
        <v>0</v>
      </c>
      <c r="AH47" s="180">
        <v>0</v>
      </c>
      <c r="AI47" s="180">
        <v>0</v>
      </c>
      <c r="AJ47" s="180">
        <v>0</v>
      </c>
      <c r="AK47" s="180">
        <v>0</v>
      </c>
      <c r="AL47" s="180">
        <v>0</v>
      </c>
      <c r="AM47" s="180">
        <v>0</v>
      </c>
      <c r="AN47" s="180">
        <v>0</v>
      </c>
      <c r="AO47" s="180">
        <v>0</v>
      </c>
      <c r="AP47" s="180">
        <v>0</v>
      </c>
      <c r="AQ47" s="180">
        <v>0</v>
      </c>
      <c r="AR47" s="180">
        <v>0</v>
      </c>
      <c r="AS47" s="180">
        <v>0</v>
      </c>
    </row>
    <row r="48" spans="2:45">
      <c r="B48" s="526"/>
      <c r="C48" s="180"/>
      <c r="D48" s="180" t="s">
        <v>826</v>
      </c>
      <c r="E48" s="180"/>
      <c r="F48" s="180"/>
      <c r="G48" s="180" t="s">
        <v>838</v>
      </c>
      <c r="H48" s="180"/>
      <c r="I48" s="180">
        <v>4572.6684479321129</v>
      </c>
      <c r="J48" s="180">
        <v>0</v>
      </c>
      <c r="K48" s="180">
        <v>0</v>
      </c>
      <c r="L48" s="180">
        <v>0</v>
      </c>
      <c r="M48" s="180">
        <v>40.885359263251729</v>
      </c>
      <c r="N48" s="180">
        <v>18.587931219308921</v>
      </c>
      <c r="O48" s="180">
        <v>37.625676442156937</v>
      </c>
      <c r="P48" s="180">
        <v>82.205609469605676</v>
      </c>
      <c r="Q48" s="180">
        <v>180.45238366610192</v>
      </c>
      <c r="R48" s="180">
        <v>203.45331705194914</v>
      </c>
      <c r="S48" s="180">
        <v>188.57417547762171</v>
      </c>
      <c r="T48" s="180">
        <v>153.92521679045132</v>
      </c>
      <c r="U48" s="180">
        <v>126.61229891034679</v>
      </c>
      <c r="V48" s="180">
        <v>159.35386895368299</v>
      </c>
      <c r="W48" s="180">
        <v>169.25087768752829</v>
      </c>
      <c r="X48" s="180">
        <v>177.15719981115697</v>
      </c>
      <c r="Y48" s="180">
        <v>298.37576904492352</v>
      </c>
      <c r="Z48" s="180">
        <v>105.4234015332368</v>
      </c>
      <c r="AA48" s="180">
        <v>88.016325360933379</v>
      </c>
      <c r="AB48" s="180">
        <v>95.807646128846812</v>
      </c>
      <c r="AC48" s="180">
        <v>65.478100226809687</v>
      </c>
      <c r="AD48" s="180">
        <v>68.260375499876062</v>
      </c>
      <c r="AE48" s="180">
        <v>93.87723702870332</v>
      </c>
      <c r="AF48" s="180">
        <v>168.3979945595861</v>
      </c>
      <c r="AG48" s="180">
        <v>186.13145369436509</v>
      </c>
      <c r="AH48" s="180">
        <v>188.70458310814863</v>
      </c>
      <c r="AI48" s="180">
        <v>165.18977304506794</v>
      </c>
      <c r="AJ48" s="180">
        <v>248.62819820007309</v>
      </c>
      <c r="AK48" s="180">
        <v>174.83524261389266</v>
      </c>
      <c r="AL48" s="180">
        <v>174.68704021561101</v>
      </c>
      <c r="AM48" s="180">
        <v>179.38678639934818</v>
      </c>
      <c r="AN48" s="180">
        <v>280.52606929662352</v>
      </c>
      <c r="AO48" s="180">
        <v>120.94486376438699</v>
      </c>
      <c r="AP48" s="180">
        <v>105.03317190214204</v>
      </c>
      <c r="AQ48" s="180">
        <v>85.232052844401949</v>
      </c>
      <c r="AR48" s="180">
        <v>73.862549001966187</v>
      </c>
      <c r="AS48" s="180">
        <v>67.785899720007791</v>
      </c>
    </row>
    <row r="49" spans="2:45">
      <c r="B49" s="526"/>
      <c r="C49" s="180"/>
      <c r="D49" s="180" t="s">
        <v>851</v>
      </c>
      <c r="E49" s="180"/>
      <c r="F49" s="180"/>
      <c r="G49" s="180" t="s">
        <v>838</v>
      </c>
      <c r="H49" s="180"/>
      <c r="I49" s="180">
        <v>107.274</v>
      </c>
      <c r="J49" s="180">
        <v>0</v>
      </c>
      <c r="K49" s="180">
        <v>0</v>
      </c>
      <c r="L49" s="180">
        <v>0</v>
      </c>
      <c r="M49" s="180">
        <v>0</v>
      </c>
      <c r="N49" s="180">
        <v>0</v>
      </c>
      <c r="O49" s="180">
        <v>0.9</v>
      </c>
      <c r="P49" s="180">
        <v>0</v>
      </c>
      <c r="Q49" s="180">
        <v>0</v>
      </c>
      <c r="R49" s="180">
        <v>0</v>
      </c>
      <c r="S49" s="180">
        <v>4.5525000000000002</v>
      </c>
      <c r="T49" s="180">
        <v>0</v>
      </c>
      <c r="U49" s="180">
        <v>0.81899999999999995</v>
      </c>
      <c r="V49" s="180">
        <v>9.0555000000000003</v>
      </c>
      <c r="W49" s="180">
        <v>0</v>
      </c>
      <c r="X49" s="180">
        <v>0.77849999999999997</v>
      </c>
      <c r="Y49" s="180">
        <v>0</v>
      </c>
      <c r="Z49" s="180">
        <v>0.80100000000000005</v>
      </c>
      <c r="AA49" s="180">
        <v>0</v>
      </c>
      <c r="AB49" s="180">
        <v>0.873</v>
      </c>
      <c r="AC49" s="180">
        <v>5.4615</v>
      </c>
      <c r="AD49" s="180">
        <v>3.78</v>
      </c>
      <c r="AE49" s="180">
        <v>8.4764999999999997</v>
      </c>
      <c r="AF49" s="180">
        <v>8.6204999999999998</v>
      </c>
      <c r="AG49" s="180">
        <v>3.1589999999999998</v>
      </c>
      <c r="AH49" s="180">
        <v>3.2669999999999999</v>
      </c>
      <c r="AI49" s="180">
        <v>6.8025000000000002</v>
      </c>
      <c r="AJ49" s="180">
        <v>4.5</v>
      </c>
      <c r="AK49" s="180">
        <v>3.375</v>
      </c>
      <c r="AL49" s="180">
        <v>4.5</v>
      </c>
      <c r="AM49" s="180">
        <v>7.9275000000000002</v>
      </c>
      <c r="AN49" s="180">
        <v>3.375</v>
      </c>
      <c r="AO49" s="180">
        <v>5.625</v>
      </c>
      <c r="AP49" s="180">
        <v>11.625</v>
      </c>
      <c r="AQ49" s="180">
        <v>2.25</v>
      </c>
      <c r="AR49" s="180">
        <v>4.5</v>
      </c>
      <c r="AS49" s="180">
        <v>2.25</v>
      </c>
    </row>
    <row r="50" spans="2:45">
      <c r="B50" s="526"/>
      <c r="C50" s="180"/>
      <c r="D50" s="180"/>
      <c r="E50" s="180"/>
      <c r="F50" s="180"/>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s="180"/>
      <c r="AK50" s="180"/>
      <c r="AL50" s="180"/>
      <c r="AM50" s="180"/>
      <c r="AN50" s="180"/>
      <c r="AO50" s="180"/>
      <c r="AP50" s="180"/>
      <c r="AQ50" s="180"/>
      <c r="AR50" s="180"/>
      <c r="AS50" s="180"/>
    </row>
    <row r="51" spans="2:45">
      <c r="B51" s="526"/>
      <c r="C51" s="180" t="s">
        <v>852</v>
      </c>
      <c r="D51" s="180" t="s">
        <v>142</v>
      </c>
      <c r="E51" s="180"/>
      <c r="F51" s="180"/>
      <c r="G51" s="180" t="s">
        <v>838</v>
      </c>
      <c r="H51" s="180"/>
      <c r="I51" s="180">
        <v>332470.92096703115</v>
      </c>
      <c r="J51" s="180">
        <v>11030.752618150073</v>
      </c>
      <c r="K51" s="180">
        <v>10468.065650701732</v>
      </c>
      <c r="L51" s="180">
        <v>10683.039930994042</v>
      </c>
      <c r="M51" s="180">
        <v>11263.147462546864</v>
      </c>
      <c r="N51" s="180">
        <v>11365.947483148035</v>
      </c>
      <c r="O51" s="180">
        <v>11070.276224853564</v>
      </c>
      <c r="P51" s="180">
        <v>11575.905106933675</v>
      </c>
      <c r="Q51" s="180">
        <v>11612.466381096539</v>
      </c>
      <c r="R51" s="180">
        <v>11284.166870604311</v>
      </c>
      <c r="S51" s="180">
        <v>10874.787275222174</v>
      </c>
      <c r="T51" s="180">
        <v>10504.21317915956</v>
      </c>
      <c r="U51" s="180">
        <v>10103.724460624913</v>
      </c>
      <c r="V51" s="180">
        <v>9632.1089768608472</v>
      </c>
      <c r="W51" s="180">
        <v>9198.3783613239139</v>
      </c>
      <c r="X51" s="180">
        <v>8815.0328192318157</v>
      </c>
      <c r="Y51" s="180">
        <v>8608.3241673076627</v>
      </c>
      <c r="Z51" s="180">
        <v>8638.8685306968036</v>
      </c>
      <c r="AA51" s="180">
        <v>8522.7748907999867</v>
      </c>
      <c r="AB51" s="180">
        <v>8379.633448747918</v>
      </c>
      <c r="AC51" s="180">
        <v>8252.6584724485856</v>
      </c>
      <c r="AD51" s="180">
        <v>8182.4357459789844</v>
      </c>
      <c r="AE51" s="180">
        <v>8150.8611722931773</v>
      </c>
      <c r="AF51" s="180">
        <v>8124.143494807332</v>
      </c>
      <c r="AG51" s="180">
        <v>8140.3580302304699</v>
      </c>
      <c r="AH51" s="180">
        <v>8206.0397726049905</v>
      </c>
      <c r="AI51" s="180">
        <v>8111.8420493368922</v>
      </c>
      <c r="AJ51" s="180">
        <v>8064.0846945044241</v>
      </c>
      <c r="AK51" s="180">
        <v>8073.5610760408717</v>
      </c>
      <c r="AL51" s="180">
        <v>8084.7211719386851</v>
      </c>
      <c r="AM51" s="180">
        <v>8094.2399485538617</v>
      </c>
      <c r="AN51" s="180">
        <v>8125.3426520472367</v>
      </c>
      <c r="AO51" s="180">
        <v>8164.6662757689019</v>
      </c>
      <c r="AP51" s="180">
        <v>8204.9185746075382</v>
      </c>
      <c r="AQ51" s="180">
        <v>8245.5082990044284</v>
      </c>
      <c r="AR51" s="180">
        <v>8286.4257599284847</v>
      </c>
      <c r="AS51" s="180">
        <v>8327.4999379319634</v>
      </c>
    </row>
    <row r="52" spans="2:45">
      <c r="B52" s="526"/>
      <c r="C52" s="180"/>
      <c r="D52" s="180" t="s">
        <v>839</v>
      </c>
      <c r="E52" s="180"/>
      <c r="F52" s="180"/>
      <c r="G52" s="180" t="s">
        <v>840</v>
      </c>
      <c r="H52" s="180"/>
      <c r="I52" s="180"/>
      <c r="J52" s="180">
        <v>11030.752618150073</v>
      </c>
      <c r="K52" s="180">
        <v>21498.818268851806</v>
      </c>
      <c r="L52" s="180">
        <v>32181.858199845847</v>
      </c>
      <c r="M52" s="180">
        <v>43445.005662392708</v>
      </c>
      <c r="N52" s="180">
        <v>54810.953145540741</v>
      </c>
      <c r="O52" s="180">
        <v>65881.2293703943</v>
      </c>
      <c r="P52" s="180">
        <v>77457.134477327971</v>
      </c>
      <c r="Q52" s="180">
        <v>89069.600858424514</v>
      </c>
      <c r="R52" s="180">
        <v>100353.76772902883</v>
      </c>
      <c r="S52" s="180">
        <v>111228.555004251</v>
      </c>
      <c r="T52" s="180">
        <v>121732.76818341056</v>
      </c>
      <c r="U52" s="180">
        <v>131836.49264403546</v>
      </c>
      <c r="V52" s="180">
        <v>141468.60162089631</v>
      </c>
      <c r="W52" s="180">
        <v>150666.97998222022</v>
      </c>
      <c r="X52" s="180">
        <v>159482.01280145205</v>
      </c>
      <c r="Y52" s="180">
        <v>168090.33696875972</v>
      </c>
      <c r="Z52" s="180">
        <v>176729.20549945653</v>
      </c>
      <c r="AA52" s="180">
        <v>185251.9803902565</v>
      </c>
      <c r="AB52" s="180">
        <v>193631.61383900442</v>
      </c>
      <c r="AC52" s="180">
        <v>201884.27231145301</v>
      </c>
      <c r="AD52" s="180">
        <v>210066.708057432</v>
      </c>
      <c r="AE52" s="180">
        <v>218217.56922972517</v>
      </c>
      <c r="AF52" s="180">
        <v>226341.7127245325</v>
      </c>
      <c r="AG52" s="180">
        <v>234482.07075476297</v>
      </c>
      <c r="AH52" s="180">
        <v>242688.11052736797</v>
      </c>
      <c r="AI52" s="180">
        <v>250799.95257670488</v>
      </c>
      <c r="AJ52" s="180">
        <v>258864.03727120929</v>
      </c>
      <c r="AK52" s="180">
        <v>266937.59834725014</v>
      </c>
      <c r="AL52" s="180">
        <v>275022.31951918884</v>
      </c>
      <c r="AM52" s="180">
        <v>283116.55946774269</v>
      </c>
      <c r="AN52" s="180">
        <v>291241.90211978991</v>
      </c>
      <c r="AO52" s="180">
        <v>299406.5683955588</v>
      </c>
      <c r="AP52" s="180">
        <v>307611.48697016633</v>
      </c>
      <c r="AQ52" s="180">
        <v>315856.99526917073</v>
      </c>
      <c r="AR52" s="180">
        <v>324143.42102909921</v>
      </c>
      <c r="AS52" s="180">
        <v>332470.92096703115</v>
      </c>
    </row>
    <row r="53" spans="2:45">
      <c r="B53" s="526"/>
      <c r="C53" s="180"/>
      <c r="D53" s="180" t="s">
        <v>775</v>
      </c>
      <c r="E53" s="180"/>
      <c r="F53" s="180"/>
      <c r="G53" s="180" t="s">
        <v>838</v>
      </c>
      <c r="H53" s="180"/>
      <c r="I53" s="180">
        <v>27119.65107782101</v>
      </c>
      <c r="J53" s="180">
        <v>2797.5576532383629</v>
      </c>
      <c r="K53" s="180">
        <v>2445.6800612455536</v>
      </c>
      <c r="L53" s="180">
        <v>2300.3282749614377</v>
      </c>
      <c r="M53" s="180">
        <v>2346.738007259964</v>
      </c>
      <c r="N53" s="180">
        <v>2356.2996685602579</v>
      </c>
      <c r="O53" s="180">
        <v>2089.8879695933601</v>
      </c>
      <c r="P53" s="180">
        <v>2192.5623779185917</v>
      </c>
      <c r="Q53" s="180">
        <v>2137.2154735371641</v>
      </c>
      <c r="R53" s="180">
        <v>1950.157654904119</v>
      </c>
      <c r="S53" s="180">
        <v>1690.803779404145</v>
      </c>
      <c r="T53" s="180">
        <v>1393.6129569381828</v>
      </c>
      <c r="U53" s="180">
        <v>1101.8133155200396</v>
      </c>
      <c r="V53" s="180">
        <v>823.68524626419435</v>
      </c>
      <c r="W53" s="180">
        <v>568.23882945237267</v>
      </c>
      <c r="X53" s="180">
        <v>344.04727325258352</v>
      </c>
      <c r="Y53" s="180">
        <v>134.92477737414345</v>
      </c>
      <c r="Z53" s="180">
        <v>110.29472730209092</v>
      </c>
      <c r="AA53" s="180">
        <v>90.894839486632421</v>
      </c>
      <c r="AB53" s="180">
        <v>73.421004361238886</v>
      </c>
      <c r="AC53" s="180">
        <v>57.629056217830232</v>
      </c>
      <c r="AD53" s="180">
        <v>44.623135229214711</v>
      </c>
      <c r="AE53" s="180">
        <v>33.785275137352471</v>
      </c>
      <c r="AF53" s="180">
        <v>22.795322812771854</v>
      </c>
      <c r="AG53" s="180">
        <v>11.806645715717703</v>
      </c>
      <c r="AH53" s="180">
        <v>0.84775213368357927</v>
      </c>
      <c r="AI53" s="180">
        <v>0</v>
      </c>
      <c r="AJ53" s="180">
        <v>0</v>
      </c>
      <c r="AK53" s="180">
        <v>0</v>
      </c>
      <c r="AL53" s="180">
        <v>0</v>
      </c>
      <c r="AM53" s="180">
        <v>0</v>
      </c>
      <c r="AN53" s="180">
        <v>0</v>
      </c>
      <c r="AO53" s="180">
        <v>0</v>
      </c>
      <c r="AP53" s="180">
        <v>0</v>
      </c>
      <c r="AQ53" s="180">
        <v>0</v>
      </c>
      <c r="AR53" s="180">
        <v>0</v>
      </c>
      <c r="AS53" s="180">
        <v>0</v>
      </c>
    </row>
    <row r="54" spans="2:45">
      <c r="B54" s="526"/>
      <c r="C54" s="180"/>
      <c r="D54" s="180" t="s">
        <v>853</v>
      </c>
      <c r="E54" s="180"/>
      <c r="F54" s="180"/>
      <c r="G54" s="180" t="s">
        <v>838</v>
      </c>
      <c r="H54" s="180"/>
      <c r="I54" s="180">
        <v>235883.20307242809</v>
      </c>
      <c r="J54" s="180">
        <v>5303.7637834503466</v>
      </c>
      <c r="K54" s="180">
        <v>5199.3751942746012</v>
      </c>
      <c r="L54" s="180">
        <v>5414.6654469447349</v>
      </c>
      <c r="M54" s="180">
        <v>5837.5779942501013</v>
      </c>
      <c r="N54" s="180">
        <v>6157.3262432002366</v>
      </c>
      <c r="O54" s="180">
        <v>6325.8781569265975</v>
      </c>
      <c r="P54" s="180">
        <v>6719.5567586689413</v>
      </c>
      <c r="Q54" s="180">
        <v>6853.043679332678</v>
      </c>
      <c r="R54" s="180">
        <v>6777.9323992037744</v>
      </c>
      <c r="S54" s="180">
        <v>6755.2739963940376</v>
      </c>
      <c r="T54" s="180">
        <v>6844.0824090745091</v>
      </c>
      <c r="U54" s="180">
        <v>6868.8951189392619</v>
      </c>
      <c r="V54" s="180">
        <v>6774.2143086870556</v>
      </c>
      <c r="W54" s="180">
        <v>6672.5355583196679</v>
      </c>
      <c r="X54" s="180">
        <v>6583.4313692249652</v>
      </c>
      <c r="Y54" s="180">
        <v>6697.0489751724281</v>
      </c>
      <c r="Z54" s="180">
        <v>6756.9203611849316</v>
      </c>
      <c r="AA54" s="180">
        <v>6684.7525781904005</v>
      </c>
      <c r="AB54" s="180">
        <v>6576.3828554388328</v>
      </c>
      <c r="AC54" s="180">
        <v>6517.0735895076095</v>
      </c>
      <c r="AD54" s="180">
        <v>6512.2593367287236</v>
      </c>
      <c r="AE54" s="180">
        <v>6541.0909962788301</v>
      </c>
      <c r="AF54" s="180">
        <v>6551.3534768062718</v>
      </c>
      <c r="AG54" s="180">
        <v>6611.1708710449548</v>
      </c>
      <c r="AH54" s="180">
        <v>6710.8349338244925</v>
      </c>
      <c r="AI54" s="180">
        <v>6655.2378103268338</v>
      </c>
      <c r="AJ54" s="180">
        <v>6680.7164727172358</v>
      </c>
      <c r="AK54" s="180">
        <v>6706.35609548717</v>
      </c>
      <c r="AL54" s="180">
        <v>6732.1608945559328</v>
      </c>
      <c r="AM54" s="180">
        <v>6758.1347800701451</v>
      </c>
      <c r="AN54" s="180">
        <v>6784.2813841292946</v>
      </c>
      <c r="AO54" s="180">
        <v>6810.6040855437132</v>
      </c>
      <c r="AP54" s="180">
        <v>6837.1060319888866</v>
      </c>
      <c r="AQ54" s="180">
        <v>6863.7901598699764</v>
      </c>
      <c r="AR54" s="180">
        <v>6890.6592121678877</v>
      </c>
      <c r="AS54" s="180">
        <v>6917.7157545020418</v>
      </c>
    </row>
    <row r="55" spans="2:45">
      <c r="B55" s="526"/>
      <c r="C55" s="180"/>
      <c r="D55" s="180" t="s">
        <v>854</v>
      </c>
      <c r="E55" s="180"/>
      <c r="F55" s="180"/>
      <c r="G55" s="180" t="s">
        <v>838</v>
      </c>
      <c r="H55" s="180"/>
      <c r="I55" s="180">
        <v>21846.214858299805</v>
      </c>
      <c r="J55" s="180">
        <v>6.9131286884068279</v>
      </c>
      <c r="K55" s="180">
        <v>9.3698415659785734</v>
      </c>
      <c r="L55" s="180">
        <v>12.693777806698801</v>
      </c>
      <c r="M55" s="180">
        <v>17.227919606825175</v>
      </c>
      <c r="N55" s="180">
        <v>23.556264818814739</v>
      </c>
      <c r="O55" s="180">
        <v>24.76680683872247</v>
      </c>
      <c r="P55" s="180">
        <v>46.069473158666511</v>
      </c>
      <c r="Q55" s="180">
        <v>91.951011291868639</v>
      </c>
      <c r="R55" s="180">
        <v>144.60389505333072</v>
      </c>
      <c r="S55" s="180">
        <v>207.208535710429</v>
      </c>
      <c r="T55" s="180">
        <v>263.77715377879883</v>
      </c>
      <c r="U55" s="180">
        <v>329.23093417397706</v>
      </c>
      <c r="V55" s="180">
        <v>408.48197554615047</v>
      </c>
      <c r="W55" s="180">
        <v>490.82524738803579</v>
      </c>
      <c r="X55" s="180">
        <v>571.44782756332916</v>
      </c>
      <c r="Y55" s="180">
        <v>705.76301954465146</v>
      </c>
      <c r="Z55" s="180">
        <v>758.40723433957226</v>
      </c>
      <c r="AA55" s="180">
        <v>787.92554545941471</v>
      </c>
      <c r="AB55" s="180">
        <v>805.79872017800585</v>
      </c>
      <c r="AC55" s="180">
        <v>825.54801331975216</v>
      </c>
      <c r="AD55" s="180">
        <v>840.7473318252529</v>
      </c>
      <c r="AE55" s="180">
        <v>855.29240256369951</v>
      </c>
      <c r="AF55" s="180">
        <v>872.25333905616208</v>
      </c>
      <c r="AG55" s="180">
        <v>881.54005995463831</v>
      </c>
      <c r="AH55" s="180">
        <v>911.03331384989883</v>
      </c>
      <c r="AI55" s="180">
        <v>913.59080321606609</v>
      </c>
      <c r="AJ55" s="180">
        <v>954.20031215988604</v>
      </c>
      <c r="AK55" s="180">
        <v>963.15054250767469</v>
      </c>
      <c r="AL55" s="180">
        <v>970.3284911636141</v>
      </c>
      <c r="AM55" s="180">
        <v>977.07700643337205</v>
      </c>
      <c r="AN55" s="180">
        <v>983.53376063735857</v>
      </c>
      <c r="AO55" s="180">
        <v>1002.3342511418082</v>
      </c>
      <c r="AP55" s="180">
        <v>1020.6498171987351</v>
      </c>
      <c r="AQ55" s="180">
        <v>1038.6442569643575</v>
      </c>
      <c r="AR55" s="180">
        <v>1056.3727125531593</v>
      </c>
      <c r="AS55" s="180">
        <v>1073.9001312426881</v>
      </c>
    </row>
    <row r="56" spans="2:45">
      <c r="B56" s="526"/>
      <c r="C56" s="180"/>
      <c r="D56" s="180" t="s">
        <v>212</v>
      </c>
      <c r="E56" s="180"/>
      <c r="F56" s="180"/>
      <c r="G56" s="180" t="s">
        <v>838</v>
      </c>
      <c r="H56" s="180"/>
      <c r="I56" s="180">
        <v>12654.998910297985</v>
      </c>
      <c r="J56" s="180">
        <v>1072.8802340110697</v>
      </c>
      <c r="K56" s="180">
        <v>990.8316516333183</v>
      </c>
      <c r="L56" s="180">
        <v>1009.8413452664861</v>
      </c>
      <c r="M56" s="180">
        <v>1029.9547907527885</v>
      </c>
      <c r="N56" s="180">
        <v>966.68160582286168</v>
      </c>
      <c r="O56" s="180">
        <v>909.86913937576639</v>
      </c>
      <c r="P56" s="180">
        <v>881.56772087693366</v>
      </c>
      <c r="Q56" s="180">
        <v>841.45393815103591</v>
      </c>
      <c r="R56" s="180">
        <v>783.65092728025832</v>
      </c>
      <c r="S56" s="180">
        <v>684.94592896725783</v>
      </c>
      <c r="T56" s="180">
        <v>562.40468990231557</v>
      </c>
      <c r="U56" s="180">
        <v>460.88708941033531</v>
      </c>
      <c r="V56" s="180">
        <v>382.05999415377363</v>
      </c>
      <c r="W56" s="180">
        <v>323.55983634260792</v>
      </c>
      <c r="X56" s="180">
        <v>276.06442372547048</v>
      </c>
      <c r="Y56" s="180">
        <v>184.15817938337844</v>
      </c>
      <c r="Z56" s="180">
        <v>158.67357846503467</v>
      </c>
      <c r="AA56" s="180">
        <v>136.70789808916723</v>
      </c>
      <c r="AB56" s="180">
        <v>123.79416639029077</v>
      </c>
      <c r="AC56" s="180">
        <v>117.76291118428938</v>
      </c>
      <c r="AD56" s="180">
        <v>114.57804380976559</v>
      </c>
      <c r="AE56" s="180">
        <v>111.43516856607225</v>
      </c>
      <c r="AF56" s="180">
        <v>108.46826748797363</v>
      </c>
      <c r="AG56" s="180">
        <v>105.15448530135674</v>
      </c>
      <c r="AH56" s="180">
        <v>100.11521568604792</v>
      </c>
      <c r="AI56" s="180">
        <v>93.239406345943635</v>
      </c>
      <c r="AJ56" s="180">
        <v>29.558992015726187</v>
      </c>
      <c r="AK56" s="180">
        <v>21.072979237276765</v>
      </c>
      <c r="AL56" s="180">
        <v>17.321667037489707</v>
      </c>
      <c r="AM56" s="180">
        <v>14.13929160963434</v>
      </c>
      <c r="AN56" s="180">
        <v>11.196665679714222</v>
      </c>
      <c r="AO56" s="180">
        <v>8.5899192523289116</v>
      </c>
      <c r="AP56" s="180">
        <v>7.0539383051193223</v>
      </c>
      <c r="AQ56" s="180">
        <v>5.9158116445688353</v>
      </c>
      <c r="AR56" s="180">
        <v>5.0809336264036826</v>
      </c>
      <c r="AS56" s="180">
        <v>4.3280755081239288</v>
      </c>
    </row>
    <row r="57" spans="2:45">
      <c r="B57" s="526"/>
      <c r="C57" s="180"/>
      <c r="D57" s="180" t="s">
        <v>213</v>
      </c>
      <c r="E57" s="180"/>
      <c r="F57" s="180"/>
      <c r="G57" s="180" t="s">
        <v>838</v>
      </c>
      <c r="H57" s="180"/>
      <c r="I57" s="180">
        <v>26794.396657611178</v>
      </c>
      <c r="J57" s="180">
        <v>1849.6378187618864</v>
      </c>
      <c r="K57" s="180">
        <v>1806.3090478369029</v>
      </c>
      <c r="L57" s="180">
        <v>1925.1204984716451</v>
      </c>
      <c r="M57" s="180">
        <v>2004.9867739992376</v>
      </c>
      <c r="N57" s="180">
        <v>1828.1609609134894</v>
      </c>
      <c r="O57" s="180">
        <v>1681.9568693167607</v>
      </c>
      <c r="P57" s="180">
        <v>1686.7170558542678</v>
      </c>
      <c r="Q57" s="180">
        <v>1632.0920598078364</v>
      </c>
      <c r="R57" s="180">
        <v>1560.0263601767647</v>
      </c>
      <c r="S57" s="180">
        <v>1457.6933180965198</v>
      </c>
      <c r="T57" s="180">
        <v>1346.511883248502</v>
      </c>
      <c r="U57" s="180">
        <v>1221.2322874301615</v>
      </c>
      <c r="V57" s="180">
        <v>1070.1405989722182</v>
      </c>
      <c r="W57" s="180">
        <v>938.39440219153005</v>
      </c>
      <c r="X57" s="180">
        <v>812.77317323030297</v>
      </c>
      <c r="Y57" s="180">
        <v>641.6267853234865</v>
      </c>
      <c r="Z57" s="180">
        <v>564.50770105951949</v>
      </c>
      <c r="AA57" s="180">
        <v>492.10292606095294</v>
      </c>
      <c r="AB57" s="180">
        <v>428.86872009190807</v>
      </c>
      <c r="AC57" s="180">
        <v>368.46445346097897</v>
      </c>
      <c r="AD57" s="180">
        <v>311.42118869424934</v>
      </c>
      <c r="AE57" s="180">
        <v>263.78910018442332</v>
      </c>
      <c r="AF57" s="180">
        <v>221.38181256848205</v>
      </c>
      <c r="AG57" s="180">
        <v>182.78064066382316</v>
      </c>
      <c r="AH57" s="180">
        <v>146.38650903222469</v>
      </c>
      <c r="AI57" s="180">
        <v>111.74606107701501</v>
      </c>
      <c r="AJ57" s="180">
        <v>62.609275064311326</v>
      </c>
      <c r="AK57" s="180">
        <v>49.690807532258027</v>
      </c>
      <c r="AL57" s="180">
        <v>38.057681197787097</v>
      </c>
      <c r="AM57" s="180">
        <v>27.393087202489824</v>
      </c>
      <c r="AN57" s="180">
        <v>17.552143538389235</v>
      </c>
      <c r="AO57" s="180">
        <v>14.239497915707014</v>
      </c>
      <c r="AP57" s="180">
        <v>11.265914185070496</v>
      </c>
      <c r="AQ57" s="180">
        <v>8.5832010374682088</v>
      </c>
      <c r="AR57" s="180">
        <v>6.1680981118988942</v>
      </c>
      <c r="AS57" s="180">
        <v>4.0079453007039527</v>
      </c>
    </row>
    <row r="58" spans="2:45">
      <c r="B58" s="526"/>
      <c r="C58" s="180"/>
      <c r="D58" s="180" t="s">
        <v>855</v>
      </c>
      <c r="E58" s="180"/>
      <c r="F58" s="180"/>
      <c r="G58" s="180" t="s">
        <v>838</v>
      </c>
      <c r="H58" s="180"/>
      <c r="I58" s="180">
        <v>2465.7258509417497</v>
      </c>
      <c r="J58" s="180">
        <v>0</v>
      </c>
      <c r="K58" s="180">
        <v>0</v>
      </c>
      <c r="L58" s="180">
        <v>0</v>
      </c>
      <c r="M58" s="180">
        <v>0</v>
      </c>
      <c r="N58" s="180">
        <v>0</v>
      </c>
      <c r="O58" s="180">
        <v>0</v>
      </c>
      <c r="P58" s="180">
        <v>0</v>
      </c>
      <c r="Q58" s="180">
        <v>0</v>
      </c>
      <c r="R58" s="180">
        <v>0</v>
      </c>
      <c r="S58" s="180">
        <v>0</v>
      </c>
      <c r="T58" s="180">
        <v>3.7521224757289353</v>
      </c>
      <c r="U58" s="180">
        <v>12.995402664803704</v>
      </c>
      <c r="V58" s="180">
        <v>49.151878472948788</v>
      </c>
      <c r="W58" s="180">
        <v>68.054751056023747</v>
      </c>
      <c r="X58" s="180">
        <v>75.773572067589086</v>
      </c>
      <c r="Y58" s="180">
        <v>77.078039755536693</v>
      </c>
      <c r="Z58" s="180">
        <v>81.981867090369477</v>
      </c>
      <c r="AA58" s="180">
        <v>86.608724335793326</v>
      </c>
      <c r="AB58" s="180">
        <v>90.534006577217212</v>
      </c>
      <c r="AC58" s="180">
        <v>103.53042545886491</v>
      </c>
      <c r="AD58" s="180">
        <v>110.95866284658374</v>
      </c>
      <c r="AE58" s="180">
        <v>110.82342314200812</v>
      </c>
      <c r="AF58" s="180">
        <v>112.45932693551326</v>
      </c>
      <c r="AG58" s="180">
        <v>112.6988630450227</v>
      </c>
      <c r="AH58" s="180">
        <v>107.92060194866089</v>
      </c>
      <c r="AI58" s="180">
        <v>109.87940205767504</v>
      </c>
      <c r="AJ58" s="180">
        <v>111.26351526194674</v>
      </c>
      <c r="AK58" s="180">
        <v>111.80030603981946</v>
      </c>
      <c r="AL58" s="180">
        <v>111.27711490142082</v>
      </c>
      <c r="AM58" s="180">
        <v>109.62071001626161</v>
      </c>
      <c r="AN58" s="180">
        <v>112.39597852298586</v>
      </c>
      <c r="AO58" s="180">
        <v>114.5377052352942</v>
      </c>
      <c r="AP58" s="180">
        <v>116.73394273465398</v>
      </c>
      <c r="AQ58" s="180">
        <v>118.96895941181634</v>
      </c>
      <c r="AR58" s="180">
        <v>121.27544344245078</v>
      </c>
      <c r="AS58" s="180">
        <v>123.65110544476019</v>
      </c>
    </row>
    <row r="59" spans="2:45">
      <c r="B59" s="526"/>
      <c r="C59" s="180"/>
      <c r="D59" s="180" t="s">
        <v>759</v>
      </c>
      <c r="E59" s="180"/>
      <c r="F59" s="180"/>
      <c r="G59" s="180" t="s">
        <v>838</v>
      </c>
      <c r="H59" s="180"/>
      <c r="I59" s="180">
        <v>2497.5079143265912</v>
      </c>
      <c r="J59" s="180">
        <v>0</v>
      </c>
      <c r="K59" s="180">
        <v>0</v>
      </c>
      <c r="L59" s="180">
        <v>0</v>
      </c>
      <c r="M59" s="180">
        <v>0</v>
      </c>
      <c r="N59" s="180">
        <v>0</v>
      </c>
      <c r="O59" s="180">
        <v>0</v>
      </c>
      <c r="P59" s="180">
        <v>0.27810684445200934</v>
      </c>
      <c r="Q59" s="180">
        <v>0.30445879028009876</v>
      </c>
      <c r="R59" s="180">
        <v>0.36293850037707764</v>
      </c>
      <c r="S59" s="180">
        <v>0.43040836693279394</v>
      </c>
      <c r="T59" s="180">
        <v>0.7891848844728615</v>
      </c>
      <c r="U59" s="180">
        <v>4.0559976418132422</v>
      </c>
      <c r="V59" s="180">
        <v>9.8335788723615298</v>
      </c>
      <c r="W59" s="180">
        <v>14.88998235515238</v>
      </c>
      <c r="X59" s="180">
        <v>19.578999226614318</v>
      </c>
      <c r="Y59" s="180">
        <v>25.937965581483216</v>
      </c>
      <c r="Z59" s="180">
        <v>36.122452128446405</v>
      </c>
      <c r="AA59" s="180">
        <v>46.357355460804847</v>
      </c>
      <c r="AB59" s="180">
        <v>56.314112036323834</v>
      </c>
      <c r="AC59" s="180">
        <v>72.706402900973544</v>
      </c>
      <c r="AD59" s="180">
        <v>86.712110117189212</v>
      </c>
      <c r="AE59" s="180">
        <v>97.414161242719587</v>
      </c>
      <c r="AF59" s="180">
        <v>108.57767494978016</v>
      </c>
      <c r="AG59" s="180">
        <v>119.17868843087683</v>
      </c>
      <c r="AH59" s="180">
        <v>124.03715391610369</v>
      </c>
      <c r="AI59" s="180">
        <v>134.69501510716881</v>
      </c>
      <c r="AJ59" s="180">
        <v>142.28867257679894</v>
      </c>
      <c r="AK59" s="180">
        <v>148.03660213562398</v>
      </c>
      <c r="AL59" s="180">
        <v>152.1180067542663</v>
      </c>
      <c r="AM59" s="180">
        <v>154.43284401489001</v>
      </c>
      <c r="AN59" s="180">
        <v>162.91466988845528</v>
      </c>
      <c r="AO59" s="180">
        <v>160.86729602826713</v>
      </c>
      <c r="AP59" s="180">
        <v>158.59088427011395</v>
      </c>
      <c r="AQ59" s="180">
        <v>156.06417322505308</v>
      </c>
      <c r="AR59" s="180">
        <v>153.3056749225899</v>
      </c>
      <c r="AS59" s="180">
        <v>150.31234315620617</v>
      </c>
    </row>
    <row r="60" spans="2:45">
      <c r="B60" s="526"/>
      <c r="C60" s="180"/>
      <c r="D60" s="180" t="s">
        <v>856</v>
      </c>
      <c r="E60" s="180"/>
      <c r="F60" s="180"/>
      <c r="G60" s="180" t="s">
        <v>838</v>
      </c>
      <c r="H60" s="180"/>
      <c r="I60" s="180">
        <v>3209.2226253048443</v>
      </c>
      <c r="J60" s="180">
        <v>0</v>
      </c>
      <c r="K60" s="180">
        <v>16.499854145376588</v>
      </c>
      <c r="L60" s="180">
        <v>20.390587543040063</v>
      </c>
      <c r="M60" s="180">
        <v>26.661976677946825</v>
      </c>
      <c r="N60" s="180">
        <v>33.922739832373509</v>
      </c>
      <c r="O60" s="180">
        <v>37.917282802356617</v>
      </c>
      <c r="P60" s="180">
        <v>49.15361361182083</v>
      </c>
      <c r="Q60" s="180">
        <v>56.405760185672804</v>
      </c>
      <c r="R60" s="180">
        <v>67.432695485686551</v>
      </c>
      <c r="S60" s="180">
        <v>78.431308282850921</v>
      </c>
      <c r="T60" s="180">
        <v>89.282778857048797</v>
      </c>
      <c r="U60" s="180">
        <v>104.61431484452183</v>
      </c>
      <c r="V60" s="180">
        <v>114.54139589214311</v>
      </c>
      <c r="W60" s="180">
        <v>121.87975421852182</v>
      </c>
      <c r="X60" s="180">
        <v>131.91618094096182</v>
      </c>
      <c r="Y60" s="180">
        <v>141.78642517255506</v>
      </c>
      <c r="Z60" s="180">
        <v>171.96060912684007</v>
      </c>
      <c r="AA60" s="180">
        <v>197.42502371682207</v>
      </c>
      <c r="AB60" s="180">
        <v>224.51986367410058</v>
      </c>
      <c r="AC60" s="180">
        <v>189.94362039828732</v>
      </c>
      <c r="AD60" s="180">
        <v>161.1359367280055</v>
      </c>
      <c r="AE60" s="180">
        <v>137.23064517807248</v>
      </c>
      <c r="AF60" s="180">
        <v>126.85427419037779</v>
      </c>
      <c r="AG60" s="180">
        <v>116.02777607408089</v>
      </c>
      <c r="AH60" s="180">
        <v>104.86429221387762</v>
      </c>
      <c r="AI60" s="180">
        <v>93.453551206190383</v>
      </c>
      <c r="AJ60" s="180">
        <v>83.447454708518421</v>
      </c>
      <c r="AK60" s="180">
        <v>73.453743101048175</v>
      </c>
      <c r="AL60" s="180">
        <v>63.457316328174656</v>
      </c>
      <c r="AM60" s="180">
        <v>53.442229207067967</v>
      </c>
      <c r="AN60" s="180">
        <v>53.468049651039365</v>
      </c>
      <c r="AO60" s="180">
        <v>53.493520651781765</v>
      </c>
      <c r="AP60" s="180">
        <v>53.518045924959416</v>
      </c>
      <c r="AQ60" s="180">
        <v>53.541736851188482</v>
      </c>
      <c r="AR60" s="180">
        <v>53.563685104094361</v>
      </c>
      <c r="AS60" s="180">
        <v>53.584582777439557</v>
      </c>
    </row>
    <row r="61" spans="2:45">
      <c r="B61" s="526"/>
      <c r="C61" s="180"/>
      <c r="D61" s="180"/>
      <c r="E61" s="180"/>
      <c r="F61" s="180"/>
      <c r="G61" s="180"/>
      <c r="H61" s="180"/>
      <c r="I61" s="18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s="180"/>
      <c r="AK61" s="180"/>
      <c r="AL61" s="180"/>
      <c r="AM61" s="180"/>
      <c r="AN61" s="180"/>
      <c r="AO61" s="180"/>
      <c r="AP61" s="180"/>
      <c r="AQ61" s="180"/>
      <c r="AR61" s="180"/>
      <c r="AS61" s="180"/>
    </row>
    <row r="62" spans="2:45">
      <c r="B62" s="526"/>
      <c r="C62" s="180" t="s">
        <v>857</v>
      </c>
      <c r="D62" s="180" t="s">
        <v>142</v>
      </c>
      <c r="E62" s="180"/>
      <c r="F62" s="180"/>
      <c r="G62" s="180" t="s">
        <v>838</v>
      </c>
      <c r="H62" s="180"/>
      <c r="I62" s="180">
        <v>137053.78242577726</v>
      </c>
      <c r="J62" s="180">
        <v>863.24421838317437</v>
      </c>
      <c r="K62" s="180">
        <v>868.69904043428926</v>
      </c>
      <c r="L62" s="180">
        <v>867.7706860031758</v>
      </c>
      <c r="M62" s="180">
        <v>866.82277721745595</v>
      </c>
      <c r="N62" s="180">
        <v>942.00144493077437</v>
      </c>
      <c r="O62" s="180">
        <v>1588.9393759831589</v>
      </c>
      <c r="P62" s="180">
        <v>2894.7734628436501</v>
      </c>
      <c r="Q62" s="180">
        <v>7062.5070457605752</v>
      </c>
      <c r="R62" s="180">
        <v>11130.297104622245</v>
      </c>
      <c r="S62" s="180">
        <v>12906.616415535962</v>
      </c>
      <c r="T62" s="180">
        <v>13083.736687539707</v>
      </c>
      <c r="U62" s="180">
        <v>12108.651789230531</v>
      </c>
      <c r="V62" s="180">
        <v>11047.861633922306</v>
      </c>
      <c r="W62" s="180">
        <v>9103.3626876779581</v>
      </c>
      <c r="X62" s="180">
        <v>7353.3183563476305</v>
      </c>
      <c r="Y62" s="180">
        <v>5785.774448380148</v>
      </c>
      <c r="Z62" s="180">
        <v>1246.7433509165185</v>
      </c>
      <c r="AA62" s="180">
        <v>1104.2724056333452</v>
      </c>
      <c r="AB62" s="180">
        <v>1014.1829798327321</v>
      </c>
      <c r="AC62" s="180">
        <v>925.64082479747242</v>
      </c>
      <c r="AD62" s="180">
        <v>851.54095648438965</v>
      </c>
      <c r="AE62" s="180">
        <v>1130.5982651773381</v>
      </c>
      <c r="AF62" s="180">
        <v>1876.3888489405899</v>
      </c>
      <c r="AG62" s="180">
        <v>2422.6134245406342</v>
      </c>
      <c r="AH62" s="180">
        <v>2962.7096217994931</v>
      </c>
      <c r="AI62" s="180">
        <v>3492.8816642930274</v>
      </c>
      <c r="AJ62" s="180">
        <v>3597.4113724586855</v>
      </c>
      <c r="AK62" s="180">
        <v>3609.5484365879533</v>
      </c>
      <c r="AL62" s="180">
        <v>3616.8512420149195</v>
      </c>
      <c r="AM62" s="180">
        <v>3466.1221570877974</v>
      </c>
      <c r="AN62" s="180">
        <v>3301.9399183220085</v>
      </c>
      <c r="AO62" s="180">
        <v>847.27699459164285</v>
      </c>
      <c r="AP62" s="180">
        <v>801.03440303155469</v>
      </c>
      <c r="AQ62" s="180">
        <v>783.89670243188073</v>
      </c>
      <c r="AR62" s="180">
        <v>769.71353045094077</v>
      </c>
      <c r="AS62" s="180">
        <v>758.03815157160022</v>
      </c>
    </row>
    <row r="63" spans="2:45">
      <c r="B63" s="526"/>
      <c r="C63" s="180"/>
      <c r="D63" s="180" t="s">
        <v>839</v>
      </c>
      <c r="E63" s="180"/>
      <c r="F63" s="180"/>
      <c r="G63" s="180" t="s">
        <v>840</v>
      </c>
      <c r="H63" s="180"/>
      <c r="I63" s="180"/>
      <c r="J63" s="180">
        <v>863.24421838317437</v>
      </c>
      <c r="K63" s="180">
        <v>1731.9432588174636</v>
      </c>
      <c r="L63" s="180">
        <v>2599.7139448206394</v>
      </c>
      <c r="M63" s="180">
        <v>3466.5367220380954</v>
      </c>
      <c r="N63" s="180">
        <v>4408.5381669688695</v>
      </c>
      <c r="O63" s="180">
        <v>5997.4775429520287</v>
      </c>
      <c r="P63" s="180">
        <v>8892.2510057956788</v>
      </c>
      <c r="Q63" s="180">
        <v>15954.758051556255</v>
      </c>
      <c r="R63" s="180">
        <v>27085.0551561785</v>
      </c>
      <c r="S63" s="180">
        <v>39991.671571714462</v>
      </c>
      <c r="T63" s="180">
        <v>53075.408259254167</v>
      </c>
      <c r="U63" s="180">
        <v>65184.060048484695</v>
      </c>
      <c r="V63" s="180">
        <v>76231.921682407003</v>
      </c>
      <c r="W63" s="180">
        <v>85335.284370084963</v>
      </c>
      <c r="X63" s="180">
        <v>92688.602726432597</v>
      </c>
      <c r="Y63" s="180">
        <v>98474.377174812747</v>
      </c>
      <c r="Z63" s="180">
        <v>99721.12052572926</v>
      </c>
      <c r="AA63" s="180">
        <v>100825.3929313626</v>
      </c>
      <c r="AB63" s="180">
        <v>101839.57591119534</v>
      </c>
      <c r="AC63" s="180">
        <v>102765.21673599281</v>
      </c>
      <c r="AD63" s="180">
        <v>103616.7576924772</v>
      </c>
      <c r="AE63" s="180">
        <v>104747.35595765454</v>
      </c>
      <c r="AF63" s="180">
        <v>106623.74480659513</v>
      </c>
      <c r="AG63" s="180">
        <v>109046.35823113576</v>
      </c>
      <c r="AH63" s="180">
        <v>112009.06785293526</v>
      </c>
      <c r="AI63" s="180">
        <v>115501.94951722829</v>
      </c>
      <c r="AJ63" s="180">
        <v>119099.36088968697</v>
      </c>
      <c r="AK63" s="180">
        <v>122708.90932627492</v>
      </c>
      <c r="AL63" s="180">
        <v>126325.76056828984</v>
      </c>
      <c r="AM63" s="180">
        <v>129791.88272537764</v>
      </c>
      <c r="AN63" s="180">
        <v>133093.82264369965</v>
      </c>
      <c r="AO63" s="180">
        <v>133941.09963829129</v>
      </c>
      <c r="AP63" s="180">
        <v>134742.13404132283</v>
      </c>
      <c r="AQ63" s="180">
        <v>135526.0307437547</v>
      </c>
      <c r="AR63" s="180">
        <v>136295.74427420564</v>
      </c>
      <c r="AS63" s="180">
        <v>137053.78242577726</v>
      </c>
    </row>
    <row r="64" spans="2:45">
      <c r="B64" s="526"/>
      <c r="C64" s="180"/>
      <c r="D64" s="180" t="s">
        <v>344</v>
      </c>
      <c r="E64" s="180"/>
      <c r="F64" s="180"/>
      <c r="G64" s="180" t="s">
        <v>838</v>
      </c>
      <c r="H64" s="180"/>
      <c r="I64" s="180">
        <v>53633.52343400001</v>
      </c>
      <c r="J64" s="180">
        <v>0</v>
      </c>
      <c r="K64" s="180">
        <v>5.6777300000000004</v>
      </c>
      <c r="L64" s="180">
        <v>5.5893160000000002</v>
      </c>
      <c r="M64" s="180">
        <v>5.500902</v>
      </c>
      <c r="N64" s="180">
        <v>81.528713794928947</v>
      </c>
      <c r="O64" s="180">
        <v>486.98221216072562</v>
      </c>
      <c r="P64" s="180">
        <v>1271.3667002175175</v>
      </c>
      <c r="Q64" s="180">
        <v>4173.8215880441121</v>
      </c>
      <c r="R64" s="180">
        <v>7371.1362548731768</v>
      </c>
      <c r="S64" s="180">
        <v>8672.5099394526696</v>
      </c>
      <c r="T64" s="180">
        <v>8004.3627833189712</v>
      </c>
      <c r="U64" s="180">
        <v>7089.7000194545217</v>
      </c>
      <c r="V64" s="180">
        <v>6075.7383286022068</v>
      </c>
      <c r="W64" s="180">
        <v>4183.1333771750096</v>
      </c>
      <c r="X64" s="180">
        <v>2657.7164653158538</v>
      </c>
      <c r="Y64" s="180">
        <v>1348.7376691668742</v>
      </c>
      <c r="Z64" s="180">
        <v>680.31125012902862</v>
      </c>
      <c r="AA64" s="180">
        <v>583.39473556673988</v>
      </c>
      <c r="AB64" s="180">
        <v>486.478321004375</v>
      </c>
      <c r="AC64" s="180">
        <v>389.5618064420355</v>
      </c>
      <c r="AD64" s="180">
        <v>6.4072944250052455</v>
      </c>
      <c r="AE64" s="180">
        <v>5.3399230275579468</v>
      </c>
      <c r="AF64" s="180">
        <v>5.3213031859672686</v>
      </c>
      <c r="AG64" s="180">
        <v>3.4353190988842521</v>
      </c>
      <c r="AH64" s="180">
        <v>3.4166992573063166</v>
      </c>
      <c r="AI64" s="180">
        <v>3.3980794157411247</v>
      </c>
      <c r="AJ64" s="180">
        <v>3.3794595741504461</v>
      </c>
      <c r="AK64" s="180">
        <v>3.3608397325852537</v>
      </c>
      <c r="AL64" s="180">
        <v>3.3422198910200613</v>
      </c>
      <c r="AM64" s="180">
        <v>3.3236000494293831</v>
      </c>
      <c r="AN64" s="180">
        <v>3.3049802078769339</v>
      </c>
      <c r="AO64" s="180">
        <v>3.2863603662989984</v>
      </c>
      <c r="AP64" s="180">
        <v>3.2677405247083198</v>
      </c>
      <c r="AQ64" s="180">
        <v>3.2491206831558705</v>
      </c>
      <c r="AR64" s="180">
        <v>3.2305008415651919</v>
      </c>
      <c r="AS64" s="180">
        <v>3.211881</v>
      </c>
    </row>
    <row r="65" spans="2:45">
      <c r="B65" s="526"/>
      <c r="C65" s="180"/>
      <c r="D65" s="180" t="s">
        <v>841</v>
      </c>
      <c r="E65" s="180"/>
      <c r="F65" s="180"/>
      <c r="G65" s="180" t="s">
        <v>838</v>
      </c>
      <c r="H65" s="180"/>
      <c r="I65" s="180">
        <v>3300.3943173889961</v>
      </c>
      <c r="J65" s="180">
        <v>13.331647900758298</v>
      </c>
      <c r="K65" s="180">
        <v>13.331647900758298</v>
      </c>
      <c r="L65" s="180">
        <v>15.489492910789183</v>
      </c>
      <c r="M65" s="180">
        <v>17.647336317565848</v>
      </c>
      <c r="N65" s="180">
        <v>19.805180411970429</v>
      </c>
      <c r="O65" s="180">
        <v>60.811575963175351</v>
      </c>
      <c r="P65" s="180">
        <v>61.374938175159606</v>
      </c>
      <c r="Q65" s="180">
        <v>86.98789422423495</v>
      </c>
      <c r="R65" s="180">
        <v>94.212340277971052</v>
      </c>
      <c r="S65" s="180">
        <v>112.95107784368274</v>
      </c>
      <c r="T65" s="180">
        <v>135.59322740505124</v>
      </c>
      <c r="U65" s="180">
        <v>201.65297150886406</v>
      </c>
      <c r="V65" s="180">
        <v>205.30647397954459</v>
      </c>
      <c r="W65" s="180">
        <v>213.16986637566836</v>
      </c>
      <c r="X65" s="180">
        <v>219.81644955687557</v>
      </c>
      <c r="Y65" s="180">
        <v>228.35424919828301</v>
      </c>
      <c r="Z65" s="180">
        <v>7.7458689230511659</v>
      </c>
      <c r="AA65" s="180">
        <v>9.9037139330820487</v>
      </c>
      <c r="AB65" s="180">
        <v>12.061557339858716</v>
      </c>
      <c r="AC65" s="180">
        <v>14.219401434263297</v>
      </c>
      <c r="AD65" s="180">
        <v>55.225796985468214</v>
      </c>
      <c r="AE65" s="180">
        <v>55.78915919745247</v>
      </c>
      <c r="AF65" s="180">
        <v>81.402115246527813</v>
      </c>
      <c r="AG65" s="180">
        <v>88.626561300263916</v>
      </c>
      <c r="AH65" s="180">
        <v>107.36529886597562</v>
      </c>
      <c r="AI65" s="180">
        <v>130.00744842734409</v>
      </c>
      <c r="AJ65" s="180">
        <v>196.06719253115696</v>
      </c>
      <c r="AK65" s="180">
        <v>199.72069500183744</v>
      </c>
      <c r="AL65" s="180">
        <v>207.58408739796121</v>
      </c>
      <c r="AM65" s="180">
        <v>214.23067057916845</v>
      </c>
      <c r="AN65" s="180">
        <v>220.60838027523181</v>
      </c>
      <c r="AO65" s="180">
        <v>0</v>
      </c>
      <c r="AP65" s="180">
        <v>0</v>
      </c>
      <c r="AQ65" s="180">
        <v>0</v>
      </c>
      <c r="AR65" s="180">
        <v>0</v>
      </c>
      <c r="AS65" s="180">
        <v>0</v>
      </c>
    </row>
    <row r="66" spans="2:45">
      <c r="B66" s="526"/>
      <c r="C66" s="180"/>
      <c r="D66" s="180" t="s">
        <v>821</v>
      </c>
      <c r="E66" s="180"/>
      <c r="F66" s="180"/>
      <c r="G66" s="180" t="s">
        <v>838</v>
      </c>
      <c r="H66" s="180"/>
      <c r="I66" s="180">
        <v>64540.971867889304</v>
      </c>
      <c r="J66" s="180">
        <v>0</v>
      </c>
      <c r="K66" s="180">
        <v>0</v>
      </c>
      <c r="L66" s="180">
        <v>0</v>
      </c>
      <c r="M66" s="180">
        <v>0</v>
      </c>
      <c r="N66" s="180">
        <v>0</v>
      </c>
      <c r="O66" s="180">
        <v>285.66062523610623</v>
      </c>
      <c r="P66" s="180">
        <v>725.50294207310924</v>
      </c>
      <c r="Q66" s="180">
        <v>2050.0330549602504</v>
      </c>
      <c r="R66" s="180">
        <v>2951.0308104344235</v>
      </c>
      <c r="S66" s="180">
        <v>3851.5618687116116</v>
      </c>
      <c r="T66" s="180">
        <v>4679.9481226299704</v>
      </c>
      <c r="U66" s="180">
        <v>4574.8689470710633</v>
      </c>
      <c r="V66" s="180">
        <v>4537.6291405213724</v>
      </c>
      <c r="W66" s="180">
        <v>4480.3617710491026</v>
      </c>
      <c r="X66" s="180">
        <v>4250.8557106706303</v>
      </c>
      <c r="Y66" s="180">
        <v>3995.4566346330039</v>
      </c>
      <c r="Z66" s="180">
        <v>311.18790461393189</v>
      </c>
      <c r="AA66" s="180">
        <v>253.34806198364939</v>
      </c>
      <c r="AB66" s="180">
        <v>248.41420133168876</v>
      </c>
      <c r="AC66" s="180">
        <v>244.05606228818939</v>
      </c>
      <c r="AD66" s="180">
        <v>468.81868988619181</v>
      </c>
      <c r="AE66" s="180">
        <v>717.46413331579242</v>
      </c>
      <c r="AF66" s="180">
        <v>1481.9211708083972</v>
      </c>
      <c r="AG66" s="180">
        <v>2022.2310517492594</v>
      </c>
      <c r="AH66" s="180">
        <v>2538.0171441908146</v>
      </c>
      <c r="AI66" s="180">
        <v>3047.8002329580254</v>
      </c>
      <c r="AJ66" s="180">
        <v>2994.6415569864002</v>
      </c>
      <c r="AK66" s="180">
        <v>3009.6080616250947</v>
      </c>
      <c r="AL66" s="180">
        <v>3015.7824944064669</v>
      </c>
      <c r="AM66" s="180">
        <v>2871.6274867346397</v>
      </c>
      <c r="AN66" s="180">
        <v>2700.0226788184104</v>
      </c>
      <c r="AO66" s="180">
        <v>475.76365329854076</v>
      </c>
      <c r="AP66" s="180">
        <v>445.96075340899682</v>
      </c>
      <c r="AQ66" s="180">
        <v>441.16453752059357</v>
      </c>
      <c r="AR66" s="180">
        <v>436.93705321517535</v>
      </c>
      <c r="AS66" s="180">
        <v>433.29531075842482</v>
      </c>
    </row>
    <row r="67" spans="2:45">
      <c r="B67" s="526"/>
      <c r="C67" s="180"/>
      <c r="D67" s="180" t="s">
        <v>842</v>
      </c>
      <c r="E67" s="180"/>
      <c r="F67" s="180"/>
      <c r="G67" s="180" t="s">
        <v>838</v>
      </c>
      <c r="H67" s="180"/>
      <c r="I67" s="180">
        <v>1500.0824270415085</v>
      </c>
      <c r="J67" s="180">
        <v>0</v>
      </c>
      <c r="K67" s="180">
        <v>0</v>
      </c>
      <c r="L67" s="180">
        <v>0</v>
      </c>
      <c r="M67" s="180">
        <v>0</v>
      </c>
      <c r="N67" s="180">
        <v>0</v>
      </c>
      <c r="O67" s="180">
        <v>31.889314771882709</v>
      </c>
      <c r="P67" s="180">
        <v>43.88943673483157</v>
      </c>
      <c r="Q67" s="180">
        <v>40.972601662264971</v>
      </c>
      <c r="R67" s="180">
        <v>36.913906600993975</v>
      </c>
      <c r="S67" s="180">
        <v>33.890782366603631</v>
      </c>
      <c r="T67" s="180">
        <v>32.732814085153706</v>
      </c>
      <c r="U67" s="180">
        <v>26.095803569654972</v>
      </c>
      <c r="V67" s="180">
        <v>15.768253009401663</v>
      </c>
      <c r="W67" s="180">
        <v>16.540107639968966</v>
      </c>
      <c r="X67" s="180">
        <v>18.183629412613904</v>
      </c>
      <c r="Y67" s="180">
        <v>19.80019255080509</v>
      </c>
      <c r="Z67" s="180">
        <v>28.441384179687319</v>
      </c>
      <c r="AA67" s="180">
        <v>40.50654755552889</v>
      </c>
      <c r="AB67" s="180">
        <v>52.568180182127961</v>
      </c>
      <c r="AC67" s="180">
        <v>65.018555335215552</v>
      </c>
      <c r="AD67" s="180">
        <v>77.81371062392337</v>
      </c>
      <c r="AE67" s="180">
        <v>81.950750180685034</v>
      </c>
      <c r="AF67" s="180">
        <v>45.902163524314233</v>
      </c>
      <c r="AG67" s="180">
        <v>49.626815788681185</v>
      </c>
      <c r="AH67" s="180">
        <v>53.789286379288932</v>
      </c>
      <c r="AI67" s="180">
        <v>75.566877498314568</v>
      </c>
      <c r="AJ67" s="180">
        <v>80.509914597490663</v>
      </c>
      <c r="AK67" s="180">
        <v>76.266185510418936</v>
      </c>
      <c r="AL67" s="180">
        <v>71.829544528412171</v>
      </c>
      <c r="AM67" s="180">
        <v>67.111949286095154</v>
      </c>
      <c r="AN67" s="180">
        <v>73.560061932794341</v>
      </c>
      <c r="AO67" s="180">
        <v>67.10662924302072</v>
      </c>
      <c r="AP67" s="180">
        <v>53.725624611362512</v>
      </c>
      <c r="AQ67" s="180">
        <v>46.354693076583018</v>
      </c>
      <c r="AR67" s="180">
        <v>40.150143207556056</v>
      </c>
      <c r="AS67" s="180">
        <v>35.606567395832734</v>
      </c>
    </row>
    <row r="68" spans="2:45">
      <c r="B68" s="526"/>
      <c r="C68" s="180"/>
      <c r="D68" s="180" t="s">
        <v>843</v>
      </c>
      <c r="E68" s="180"/>
      <c r="F68" s="180"/>
      <c r="G68" s="180" t="s">
        <v>838</v>
      </c>
      <c r="H68" s="180"/>
      <c r="I68" s="180">
        <v>0</v>
      </c>
      <c r="J68" s="180">
        <v>0</v>
      </c>
      <c r="K68" s="180">
        <v>0</v>
      </c>
      <c r="L68" s="180">
        <v>0</v>
      </c>
      <c r="M68" s="180">
        <v>0</v>
      </c>
      <c r="N68" s="180">
        <v>0</v>
      </c>
      <c r="O68" s="180">
        <v>0</v>
      </c>
      <c r="P68" s="180">
        <v>0</v>
      </c>
      <c r="Q68" s="180">
        <v>0</v>
      </c>
      <c r="R68" s="180">
        <v>0</v>
      </c>
      <c r="S68" s="180">
        <v>0</v>
      </c>
      <c r="T68" s="180">
        <v>0</v>
      </c>
      <c r="U68" s="180">
        <v>0</v>
      </c>
      <c r="V68" s="180">
        <v>0</v>
      </c>
      <c r="W68" s="180">
        <v>0</v>
      </c>
      <c r="X68" s="180">
        <v>0</v>
      </c>
      <c r="Y68" s="180">
        <v>0</v>
      </c>
      <c r="Z68" s="180">
        <v>0</v>
      </c>
      <c r="AA68" s="180">
        <v>0</v>
      </c>
      <c r="AB68" s="180">
        <v>0</v>
      </c>
      <c r="AC68" s="180">
        <v>0</v>
      </c>
      <c r="AD68" s="180">
        <v>0</v>
      </c>
      <c r="AE68" s="180">
        <v>0</v>
      </c>
      <c r="AF68" s="180">
        <v>0</v>
      </c>
      <c r="AG68" s="180">
        <v>0</v>
      </c>
      <c r="AH68" s="180">
        <v>0</v>
      </c>
      <c r="AI68" s="180">
        <v>0</v>
      </c>
      <c r="AJ68" s="180">
        <v>0</v>
      </c>
      <c r="AK68" s="180">
        <v>0</v>
      </c>
      <c r="AL68" s="180">
        <v>0</v>
      </c>
      <c r="AM68" s="180">
        <v>0</v>
      </c>
      <c r="AN68" s="180">
        <v>0</v>
      </c>
      <c r="AO68" s="180">
        <v>0</v>
      </c>
      <c r="AP68" s="180">
        <v>0</v>
      </c>
      <c r="AQ68" s="180">
        <v>0</v>
      </c>
      <c r="AR68" s="180">
        <v>0</v>
      </c>
      <c r="AS68" s="180">
        <v>0</v>
      </c>
    </row>
    <row r="69" spans="2:45">
      <c r="B69" s="526"/>
      <c r="C69" s="180"/>
      <c r="D69" s="180" t="s">
        <v>774</v>
      </c>
      <c r="E69" s="180"/>
      <c r="F69" s="180"/>
      <c r="G69" s="180" t="s">
        <v>838</v>
      </c>
      <c r="H69" s="180"/>
      <c r="I69" s="180">
        <v>6781.5651917024697</v>
      </c>
      <c r="J69" s="180">
        <v>775.48412178690319</v>
      </c>
      <c r="K69" s="180">
        <v>776.2068743859727</v>
      </c>
      <c r="L69" s="180">
        <v>774.23870173488149</v>
      </c>
      <c r="M69" s="180">
        <v>772.25262730529562</v>
      </c>
      <c r="N69" s="180">
        <v>770.27601684595766</v>
      </c>
      <c r="O69" s="180">
        <v>661.23684646219158</v>
      </c>
      <c r="P69" s="180">
        <v>617.17435721665561</v>
      </c>
      <c r="Q69" s="180">
        <v>537.51877141988587</v>
      </c>
      <c r="R69" s="180">
        <v>504.58834068412585</v>
      </c>
      <c r="S69" s="180">
        <v>64.622431906638127</v>
      </c>
      <c r="T69" s="180">
        <v>61.569023176679579</v>
      </c>
      <c r="U69" s="180">
        <v>60.879993972500444</v>
      </c>
      <c r="V69" s="180">
        <v>59.892889163077115</v>
      </c>
      <c r="W69" s="180">
        <v>58.703170797706257</v>
      </c>
      <c r="X69" s="180">
        <v>57.372024285703233</v>
      </c>
      <c r="Y69" s="180">
        <v>43.519409121885587</v>
      </c>
      <c r="Z69" s="180">
        <v>41.432561770859209</v>
      </c>
      <c r="AA69" s="180">
        <v>36.959427062316479</v>
      </c>
      <c r="AB69" s="180">
        <v>32.12098597496604</v>
      </c>
      <c r="AC69" s="180">
        <v>27.444483408117271</v>
      </c>
      <c r="AD69" s="180">
        <v>20.961809895873433</v>
      </c>
      <c r="AE69" s="180">
        <v>16.078914091494671</v>
      </c>
      <c r="AF69" s="180">
        <v>7.3903432204311468</v>
      </c>
      <c r="AG69" s="180">
        <v>3.6410660123519394</v>
      </c>
      <c r="AH69" s="180">
        <v>0</v>
      </c>
      <c r="AI69" s="180">
        <v>0</v>
      </c>
      <c r="AJ69" s="180">
        <v>0</v>
      </c>
      <c r="AK69" s="180">
        <v>0</v>
      </c>
      <c r="AL69" s="180">
        <v>0</v>
      </c>
      <c r="AM69" s="180">
        <v>0</v>
      </c>
      <c r="AN69" s="180">
        <v>0</v>
      </c>
      <c r="AO69" s="180">
        <v>0</v>
      </c>
      <c r="AP69" s="180">
        <v>0</v>
      </c>
      <c r="AQ69" s="180">
        <v>0</v>
      </c>
      <c r="AR69" s="180">
        <v>0</v>
      </c>
      <c r="AS69" s="180">
        <v>0</v>
      </c>
    </row>
    <row r="70" spans="2:45">
      <c r="B70" s="526"/>
      <c r="C70" s="180"/>
      <c r="D70" s="180" t="s">
        <v>218</v>
      </c>
      <c r="E70" s="180"/>
      <c r="F70" s="180"/>
      <c r="G70" s="180" t="s">
        <v>838</v>
      </c>
      <c r="H70" s="180"/>
      <c r="I70" s="180">
        <v>690.28401916927692</v>
      </c>
      <c r="J70" s="180">
        <v>20.754139579721855</v>
      </c>
      <c r="K70" s="180">
        <v>20.839936861137009</v>
      </c>
      <c r="L70" s="180">
        <v>20.841781900453853</v>
      </c>
      <c r="M70" s="180">
        <v>20.841975966913026</v>
      </c>
      <c r="N70" s="180">
        <v>20.843056079605859</v>
      </c>
      <c r="O70" s="180">
        <v>17.692014727610168</v>
      </c>
      <c r="P70" s="180">
        <v>16.55728144716926</v>
      </c>
      <c r="Q70" s="180">
        <v>14.177463773789565</v>
      </c>
      <c r="R70" s="180">
        <v>13.221025399052058</v>
      </c>
      <c r="S70" s="180">
        <v>11.636439400618661</v>
      </c>
      <c r="T70" s="180">
        <v>9.8808286629214521</v>
      </c>
      <c r="U70" s="180">
        <v>8.2201377411960763</v>
      </c>
      <c r="V70" s="180">
        <v>6.4394223839485729</v>
      </c>
      <c r="W70" s="180">
        <v>4.5869731989592353</v>
      </c>
      <c r="X70" s="180">
        <v>2.7920504251842728</v>
      </c>
      <c r="Y70" s="180">
        <v>3.6603285035303363</v>
      </c>
      <c r="Z70" s="180">
        <v>25.224231342250306</v>
      </c>
      <c r="AA70" s="180">
        <v>26.622387593607318</v>
      </c>
      <c r="AB70" s="180">
        <v>27.750117046615102</v>
      </c>
      <c r="AC70" s="180">
        <v>28.882967078170921</v>
      </c>
      <c r="AD70" s="180">
        <v>30.067788254267644</v>
      </c>
      <c r="AE70" s="180">
        <v>31.189778108672588</v>
      </c>
      <c r="AF70" s="180">
        <v>32.013931454666213</v>
      </c>
      <c r="AG70" s="180">
        <v>33.161282536135431</v>
      </c>
      <c r="AH70" s="180">
        <v>38.975051537535592</v>
      </c>
      <c r="AI70" s="180">
        <v>19.383590128915689</v>
      </c>
      <c r="AJ70" s="180">
        <v>18.978308801596658</v>
      </c>
      <c r="AK70" s="180">
        <v>18.611157030243309</v>
      </c>
      <c r="AL70" s="180">
        <v>18.27933064521325</v>
      </c>
      <c r="AM70" s="180">
        <v>17.979778597654906</v>
      </c>
      <c r="AN70" s="180">
        <v>17.711197673045042</v>
      </c>
      <c r="AO70" s="180">
        <v>18.435611323130562</v>
      </c>
      <c r="AP70" s="180">
        <v>18.458837936160428</v>
      </c>
      <c r="AQ70" s="180">
        <v>18.487684524064615</v>
      </c>
      <c r="AR70" s="180">
        <v>18.522255951339357</v>
      </c>
      <c r="AS70" s="180">
        <v>18.563875554180541</v>
      </c>
    </row>
    <row r="71" spans="2:45">
      <c r="B71" s="526"/>
      <c r="C71" s="180"/>
      <c r="D71" s="180" t="s">
        <v>800</v>
      </c>
      <c r="E71" s="180"/>
      <c r="F71" s="180"/>
      <c r="G71" s="180" t="s">
        <v>838</v>
      </c>
      <c r="H71" s="180"/>
      <c r="I71" s="180">
        <v>5686.4213760164639</v>
      </c>
      <c r="J71" s="180">
        <v>53.67430911579109</v>
      </c>
      <c r="K71" s="180">
        <v>52.642851286421212</v>
      </c>
      <c r="L71" s="180">
        <v>51.61139345705125</v>
      </c>
      <c r="M71" s="180">
        <v>50.57993562768138</v>
      </c>
      <c r="N71" s="180">
        <v>49.548477798311538</v>
      </c>
      <c r="O71" s="180">
        <v>44.666786661467221</v>
      </c>
      <c r="P71" s="180">
        <v>144.5033467306057</v>
      </c>
      <c r="Q71" s="180">
        <v>141.31868325633269</v>
      </c>
      <c r="R71" s="180">
        <v>138.15023389552502</v>
      </c>
      <c r="S71" s="180">
        <v>134.99171595761118</v>
      </c>
      <c r="T71" s="180">
        <v>131.83962104746089</v>
      </c>
      <c r="U71" s="180">
        <v>130.72335316184567</v>
      </c>
      <c r="V71" s="180">
        <v>130.44591373210105</v>
      </c>
      <c r="W71" s="180">
        <v>130.19049281810373</v>
      </c>
      <c r="X71" s="180">
        <v>129.96430761968875</v>
      </c>
      <c r="Y71" s="180">
        <v>129.78237333036512</v>
      </c>
      <c r="Z71" s="180">
        <v>129.67185071537955</v>
      </c>
      <c r="AA71" s="180">
        <v>129.67989188215338</v>
      </c>
      <c r="AB71" s="180">
        <v>129.8871994260858</v>
      </c>
      <c r="AC71" s="180">
        <v>130.43116818129971</v>
      </c>
      <c r="AD71" s="180">
        <v>165.08873563074852</v>
      </c>
      <c r="AE71" s="180">
        <v>170.28753653037307</v>
      </c>
      <c r="AF71" s="180">
        <v>169.92842220601349</v>
      </c>
      <c r="AG71" s="180">
        <v>169.56977572769117</v>
      </c>
      <c r="AH71" s="180">
        <v>169.21151318821899</v>
      </c>
      <c r="AI71" s="180">
        <v>165.51622542993107</v>
      </c>
      <c r="AJ71" s="180">
        <v>254.2288039699192</v>
      </c>
      <c r="AK71" s="180">
        <v>253.64136051820728</v>
      </c>
      <c r="AL71" s="180">
        <v>253.07032085163129</v>
      </c>
      <c r="AM71" s="180">
        <v>252.50937449197824</v>
      </c>
      <c r="AN71" s="180">
        <v>251.95499016542948</v>
      </c>
      <c r="AO71" s="180">
        <v>250.54097446685961</v>
      </c>
      <c r="AP71" s="180">
        <v>249.97469027833574</v>
      </c>
      <c r="AQ71" s="180">
        <v>249.41644451089471</v>
      </c>
      <c r="AR71" s="180">
        <v>248.86364197921836</v>
      </c>
      <c r="AS71" s="180">
        <v>248.31466036973214</v>
      </c>
    </row>
    <row r="72" spans="2:45">
      <c r="B72" s="526"/>
      <c r="C72" s="180"/>
      <c r="D72" s="180" t="s">
        <v>844</v>
      </c>
      <c r="E72" s="180"/>
      <c r="F72" s="180"/>
      <c r="G72" s="180" t="s">
        <v>838</v>
      </c>
      <c r="H72" s="180"/>
      <c r="I72" s="180">
        <v>37.365475506243747</v>
      </c>
      <c r="J72" s="180">
        <v>0</v>
      </c>
      <c r="K72" s="180">
        <v>0</v>
      </c>
      <c r="L72" s="180">
        <v>0</v>
      </c>
      <c r="M72" s="180">
        <v>0</v>
      </c>
      <c r="N72" s="180">
        <v>0</v>
      </c>
      <c r="O72" s="180">
        <v>0</v>
      </c>
      <c r="P72" s="180">
        <v>4.7467167013757727</v>
      </c>
      <c r="Q72" s="180">
        <v>5.4801725811029494</v>
      </c>
      <c r="R72" s="180">
        <v>6.0242069982837005</v>
      </c>
      <c r="S72" s="180">
        <v>6.3249074890221939</v>
      </c>
      <c r="T72" s="180">
        <v>6.3238900033320746</v>
      </c>
      <c r="U72" s="180">
        <v>3.1966444207458156</v>
      </c>
      <c r="V72" s="180">
        <v>2.5396785358540614</v>
      </c>
      <c r="W72" s="180">
        <v>1.7879104828779044</v>
      </c>
      <c r="X72" s="180">
        <v>0.94134829364927453</v>
      </c>
      <c r="Y72" s="180">
        <v>0</v>
      </c>
      <c r="Z72" s="180">
        <v>0</v>
      </c>
      <c r="AA72" s="180">
        <v>0</v>
      </c>
      <c r="AB72" s="180">
        <v>0</v>
      </c>
      <c r="AC72" s="180">
        <v>0</v>
      </c>
      <c r="AD72" s="180">
        <v>0</v>
      </c>
      <c r="AE72" s="180">
        <v>0</v>
      </c>
      <c r="AF72" s="180">
        <v>0</v>
      </c>
      <c r="AG72" s="180">
        <v>0</v>
      </c>
      <c r="AH72" s="180">
        <v>0</v>
      </c>
      <c r="AI72" s="180">
        <v>0</v>
      </c>
      <c r="AJ72" s="180">
        <v>0</v>
      </c>
      <c r="AK72" s="180">
        <v>0</v>
      </c>
      <c r="AL72" s="180">
        <v>0</v>
      </c>
      <c r="AM72" s="180">
        <v>0</v>
      </c>
      <c r="AN72" s="180">
        <v>0</v>
      </c>
      <c r="AO72" s="180">
        <v>0</v>
      </c>
      <c r="AP72" s="180">
        <v>0</v>
      </c>
      <c r="AQ72" s="180">
        <v>0</v>
      </c>
      <c r="AR72" s="180">
        <v>0</v>
      </c>
      <c r="AS72" s="180">
        <v>0</v>
      </c>
    </row>
    <row r="73" spans="2:45">
      <c r="B73" s="526"/>
      <c r="C73" s="180"/>
      <c r="D73" s="180" t="s">
        <v>845</v>
      </c>
      <c r="E73" s="180"/>
      <c r="F73" s="180"/>
      <c r="G73" s="180" t="s">
        <v>838</v>
      </c>
      <c r="H73" s="180"/>
      <c r="I73" s="180">
        <v>0</v>
      </c>
      <c r="J73" s="180">
        <v>0</v>
      </c>
      <c r="K73" s="180">
        <v>0</v>
      </c>
      <c r="L73" s="180">
        <v>0</v>
      </c>
      <c r="M73" s="180">
        <v>0</v>
      </c>
      <c r="N73" s="180">
        <v>0</v>
      </c>
      <c r="O73" s="180">
        <v>0</v>
      </c>
      <c r="P73" s="180">
        <v>0</v>
      </c>
      <c r="Q73" s="180">
        <v>0</v>
      </c>
      <c r="R73" s="180">
        <v>0</v>
      </c>
      <c r="S73" s="180">
        <v>0</v>
      </c>
      <c r="T73" s="180">
        <v>0</v>
      </c>
      <c r="U73" s="180">
        <v>0</v>
      </c>
      <c r="V73" s="180">
        <v>0</v>
      </c>
      <c r="W73" s="180">
        <v>0</v>
      </c>
      <c r="X73" s="180">
        <v>0</v>
      </c>
      <c r="Y73" s="180">
        <v>0</v>
      </c>
      <c r="Z73" s="180">
        <v>0</v>
      </c>
      <c r="AA73" s="180">
        <v>0</v>
      </c>
      <c r="AB73" s="180">
        <v>0</v>
      </c>
      <c r="AC73" s="180">
        <v>0</v>
      </c>
      <c r="AD73" s="180">
        <v>0</v>
      </c>
      <c r="AE73" s="180">
        <v>0</v>
      </c>
      <c r="AF73" s="180">
        <v>0</v>
      </c>
      <c r="AG73" s="180">
        <v>0</v>
      </c>
      <c r="AH73" s="180">
        <v>0</v>
      </c>
      <c r="AI73" s="180">
        <v>0</v>
      </c>
      <c r="AJ73" s="180">
        <v>0</v>
      </c>
      <c r="AK73" s="180">
        <v>0</v>
      </c>
      <c r="AL73" s="180">
        <v>0</v>
      </c>
      <c r="AM73" s="180">
        <v>0</v>
      </c>
      <c r="AN73" s="180">
        <v>0</v>
      </c>
      <c r="AO73" s="180">
        <v>0</v>
      </c>
      <c r="AP73" s="180">
        <v>0</v>
      </c>
      <c r="AQ73" s="180">
        <v>0</v>
      </c>
      <c r="AR73" s="180">
        <v>0</v>
      </c>
      <c r="AS73" s="180">
        <v>0</v>
      </c>
    </row>
    <row r="74" spans="2:45">
      <c r="B74" s="526"/>
      <c r="C74" s="180"/>
      <c r="D74" s="180" t="s">
        <v>846</v>
      </c>
      <c r="E74" s="180"/>
      <c r="F74" s="180"/>
      <c r="G74" s="180" t="s">
        <v>838</v>
      </c>
      <c r="H74" s="180"/>
      <c r="I74" s="180">
        <v>883.17431706298146</v>
      </c>
      <c r="J74" s="180">
        <v>0</v>
      </c>
      <c r="K74" s="180">
        <v>0</v>
      </c>
      <c r="L74" s="180">
        <v>0</v>
      </c>
      <c r="M74" s="180">
        <v>0</v>
      </c>
      <c r="N74" s="180">
        <v>0</v>
      </c>
      <c r="O74" s="180">
        <v>0</v>
      </c>
      <c r="P74" s="180">
        <v>9.6577435472259783</v>
      </c>
      <c r="Q74" s="180">
        <v>12.196815838601397</v>
      </c>
      <c r="R74" s="180">
        <v>15.019985458693878</v>
      </c>
      <c r="S74" s="180">
        <v>18.127252407503384</v>
      </c>
      <c r="T74" s="180">
        <v>21.486377210167355</v>
      </c>
      <c r="U74" s="180">
        <v>13.313918330137513</v>
      </c>
      <c r="V74" s="180">
        <v>14.101533994799928</v>
      </c>
      <c r="W74" s="180">
        <v>14.889018140564405</v>
      </c>
      <c r="X74" s="180">
        <v>15.67637076743126</v>
      </c>
      <c r="Y74" s="180">
        <v>16.463591875400116</v>
      </c>
      <c r="Z74" s="180">
        <v>22.728299242330323</v>
      </c>
      <c r="AA74" s="180">
        <v>23.857640056267815</v>
      </c>
      <c r="AB74" s="180">
        <v>24.902417527014737</v>
      </c>
      <c r="AC74" s="180">
        <v>26.026380630180633</v>
      </c>
      <c r="AD74" s="180">
        <v>27.157130782911455</v>
      </c>
      <c r="AE74" s="180">
        <v>52.498070725309773</v>
      </c>
      <c r="AF74" s="180">
        <v>52.509399294272896</v>
      </c>
      <c r="AG74" s="180">
        <v>52.321552327367101</v>
      </c>
      <c r="AH74" s="180">
        <v>51.934628380352656</v>
      </c>
      <c r="AI74" s="180">
        <v>51.209210434755093</v>
      </c>
      <c r="AJ74" s="180">
        <v>49.606135997971812</v>
      </c>
      <c r="AK74" s="180">
        <v>48.340137169566439</v>
      </c>
      <c r="AL74" s="180">
        <v>46.963244294215123</v>
      </c>
      <c r="AM74" s="180">
        <v>39.339297348831472</v>
      </c>
      <c r="AN74" s="180">
        <v>34.777629249220432</v>
      </c>
      <c r="AO74" s="180">
        <v>32.143765893792178</v>
      </c>
      <c r="AP74" s="180">
        <v>29.646756271990807</v>
      </c>
      <c r="AQ74" s="180">
        <v>25.224222116589015</v>
      </c>
      <c r="AR74" s="180">
        <v>22.00993525608644</v>
      </c>
      <c r="AS74" s="180">
        <v>19.045856493430026</v>
      </c>
    </row>
    <row r="75" spans="2:45">
      <c r="B75" s="526"/>
      <c r="C75" s="180"/>
      <c r="D75" s="180"/>
      <c r="E75" s="180"/>
      <c r="F75" s="180"/>
      <c r="G75" s="180"/>
      <c r="H75" s="180"/>
      <c r="I75" s="180"/>
      <c r="J75" s="180"/>
      <c r="K75" s="180"/>
      <c r="L75" s="180"/>
      <c r="M75" s="180"/>
      <c r="N75" s="180"/>
      <c r="O75" s="180"/>
      <c r="P75" s="180"/>
      <c r="Q75" s="180"/>
      <c r="R75" s="180"/>
      <c r="S75" s="180"/>
      <c r="T75" s="180"/>
      <c r="U75" s="180"/>
      <c r="V75" s="180"/>
      <c r="W75" s="180"/>
      <c r="X75" s="180"/>
      <c r="Y75" s="180"/>
      <c r="Z75" s="180"/>
      <c r="AA75" s="180"/>
      <c r="AB75" s="180"/>
      <c r="AC75" s="180"/>
      <c r="AD75" s="180"/>
      <c r="AE75" s="180"/>
      <c r="AF75" s="180"/>
      <c r="AG75" s="180"/>
      <c r="AH75" s="180"/>
      <c r="AI75" s="180"/>
      <c r="AJ75" s="180"/>
      <c r="AK75" s="180"/>
      <c r="AL75" s="180"/>
      <c r="AM75" s="180"/>
      <c r="AN75" s="180"/>
      <c r="AO75" s="180"/>
      <c r="AP75" s="180"/>
      <c r="AQ75" s="180"/>
      <c r="AR75" s="180"/>
      <c r="AS75" s="180"/>
    </row>
    <row r="76" spans="2:45">
      <c r="B76" s="526"/>
      <c r="C76" s="180" t="s">
        <v>858</v>
      </c>
      <c r="D76" s="180" t="s">
        <v>859</v>
      </c>
      <c r="E76" s="180"/>
      <c r="F76" s="180"/>
      <c r="G76" s="180" t="s">
        <v>838</v>
      </c>
      <c r="H76" s="180"/>
      <c r="I76" s="180">
        <v>491586.61993881874</v>
      </c>
      <c r="J76" s="180">
        <v>12246.053123848564</v>
      </c>
      <c r="K76" s="180">
        <v>11698.279547204374</v>
      </c>
      <c r="L76" s="180">
        <v>11921.763126623802</v>
      </c>
      <c r="M76" s="180">
        <v>12542.920947761939</v>
      </c>
      <c r="N76" s="180">
        <v>12711.207473510631</v>
      </c>
      <c r="O76" s="180">
        <v>13117.88095374234</v>
      </c>
      <c r="P76" s="180">
        <v>14984.229838771222</v>
      </c>
      <c r="Q76" s="180">
        <v>19275.797248146464</v>
      </c>
      <c r="R76" s="180">
        <v>23048.126838657721</v>
      </c>
      <c r="S76" s="180">
        <v>24437.087715201789</v>
      </c>
      <c r="T76" s="180">
        <v>24233.875573076617</v>
      </c>
      <c r="U76" s="180">
        <v>22994.92104512066</v>
      </c>
      <c r="V76" s="180">
        <v>21490.486351412554</v>
      </c>
      <c r="W76" s="180">
        <v>19117.476517972162</v>
      </c>
      <c r="X76" s="180">
        <v>16993.351685401252</v>
      </c>
      <c r="Y76" s="180">
        <v>15309.754665015758</v>
      </c>
      <c r="Z76" s="180">
        <v>10427.195962622758</v>
      </c>
      <c r="AA76" s="180">
        <v>10161.91979305229</v>
      </c>
      <c r="AB76" s="180">
        <v>9944.847591086278</v>
      </c>
      <c r="AC76" s="180">
        <v>9710.327763246094</v>
      </c>
      <c r="AD76" s="180">
        <v>9564.4530202383994</v>
      </c>
      <c r="AE76" s="180">
        <v>9844.9799713182401</v>
      </c>
      <c r="AF76" s="180">
        <v>10628.597497891349</v>
      </c>
      <c r="AG76" s="180">
        <v>11211.346931179098</v>
      </c>
      <c r="AH76" s="180">
        <v>11832.711974794694</v>
      </c>
      <c r="AI76" s="180">
        <v>12254.460006358302</v>
      </c>
      <c r="AJ76" s="180">
        <v>12371.380046390708</v>
      </c>
      <c r="AK76" s="180">
        <v>12358.397315538285</v>
      </c>
      <c r="AL76" s="180">
        <v>12381.136688481422</v>
      </c>
      <c r="AM76" s="180">
        <v>12248.34293825112</v>
      </c>
      <c r="AN76" s="180">
        <v>12201.229261158813</v>
      </c>
      <c r="AO76" s="180">
        <v>9653.9613537758432</v>
      </c>
      <c r="AP76" s="180">
        <v>9639.9801247720388</v>
      </c>
      <c r="AQ76" s="180">
        <v>9652.0542776678376</v>
      </c>
      <c r="AR76" s="180">
        <v>9673.989886436244</v>
      </c>
      <c r="AS76" s="180">
        <v>9702.0948830910966</v>
      </c>
    </row>
    <row r="77" spans="2:45">
      <c r="B77" s="526"/>
      <c r="C77" s="180"/>
      <c r="D77" s="180" t="s">
        <v>860</v>
      </c>
      <c r="E77" s="180"/>
      <c r="F77" s="180"/>
      <c r="G77" s="180" t="s">
        <v>840</v>
      </c>
      <c r="H77" s="180"/>
      <c r="I77" s="180"/>
      <c r="J77" s="180">
        <v>12246.053123848564</v>
      </c>
      <c r="K77" s="180">
        <v>23944.332671052936</v>
      </c>
      <c r="L77" s="180">
        <v>35866.095797676739</v>
      </c>
      <c r="M77" s="180">
        <v>48409.016745438676</v>
      </c>
      <c r="N77" s="180">
        <v>61120.224218949304</v>
      </c>
      <c r="O77" s="180">
        <v>74238.105172691648</v>
      </c>
      <c r="P77" s="180">
        <v>89222.33501146287</v>
      </c>
      <c r="Q77" s="180">
        <v>108498.13225960934</v>
      </c>
      <c r="R77" s="180">
        <v>131546.25909826707</v>
      </c>
      <c r="S77" s="180">
        <v>155983.34681346884</v>
      </c>
      <c r="T77" s="180">
        <v>180217.22238654547</v>
      </c>
      <c r="U77" s="180">
        <v>203212.14343166613</v>
      </c>
      <c r="V77" s="180">
        <v>224702.62978307868</v>
      </c>
      <c r="W77" s="180">
        <v>243820.10630105084</v>
      </c>
      <c r="X77" s="180">
        <v>260813.45798645209</v>
      </c>
      <c r="Y77" s="180">
        <v>276123.21265146782</v>
      </c>
      <c r="Z77" s="180">
        <v>286550.40861409059</v>
      </c>
      <c r="AA77" s="180">
        <v>296712.32840714289</v>
      </c>
      <c r="AB77" s="180">
        <v>306657.17599822918</v>
      </c>
      <c r="AC77" s="180">
        <v>316367.50376147527</v>
      </c>
      <c r="AD77" s="180">
        <v>325931.95678171364</v>
      </c>
      <c r="AE77" s="180">
        <v>335776.93675303186</v>
      </c>
      <c r="AF77" s="180">
        <v>346405.5342509232</v>
      </c>
      <c r="AG77" s="180">
        <v>357616.88118210231</v>
      </c>
      <c r="AH77" s="180">
        <v>369449.593156897</v>
      </c>
      <c r="AI77" s="180">
        <v>381704.05316325527</v>
      </c>
      <c r="AJ77" s="180">
        <v>394075.43320964597</v>
      </c>
      <c r="AK77" s="180">
        <v>406433.83052518428</v>
      </c>
      <c r="AL77" s="180">
        <v>418814.96721366572</v>
      </c>
      <c r="AM77" s="180">
        <v>431063.31015191681</v>
      </c>
      <c r="AN77" s="180">
        <v>443264.5394130756</v>
      </c>
      <c r="AO77" s="180">
        <v>452918.50076685147</v>
      </c>
      <c r="AP77" s="180">
        <v>462558.48089162353</v>
      </c>
      <c r="AQ77" s="180">
        <v>472210.53516929137</v>
      </c>
      <c r="AR77" s="180">
        <v>481884.52505572763</v>
      </c>
      <c r="AS77" s="180">
        <v>491586.61993881874</v>
      </c>
    </row>
    <row r="78" spans="2:45">
      <c r="B78" s="526"/>
      <c r="C78" s="180"/>
      <c r="D78" s="180" t="s">
        <v>861</v>
      </c>
      <c r="E78" s="180"/>
      <c r="F78" s="180"/>
      <c r="G78" s="180" t="s">
        <v>838</v>
      </c>
      <c r="H78" s="180"/>
      <c r="I78" s="180">
        <v>268677.80262649572</v>
      </c>
      <c r="J78" s="180">
        <v>8101.3214366887096</v>
      </c>
      <c r="K78" s="180">
        <v>7661.5551096655317</v>
      </c>
      <c r="L78" s="180">
        <v>7735.3843094492122</v>
      </c>
      <c r="M78" s="180">
        <v>8210.9779781880134</v>
      </c>
      <c r="N78" s="180">
        <v>8547.5486515928678</v>
      </c>
      <c r="O78" s="180">
        <v>8453.6834093223133</v>
      </c>
      <c r="P78" s="180">
        <v>8961.272750199354</v>
      </c>
      <c r="Q78" s="180">
        <v>9046.6649130555161</v>
      </c>
      <c r="R78" s="180">
        <v>8795.5227495935796</v>
      </c>
      <c r="S78" s="180">
        <v>8524.5090840810335</v>
      </c>
      <c r="T78" s="180">
        <v>8330.7302673454706</v>
      </c>
      <c r="U78" s="180">
        <v>8088.3181519686268</v>
      </c>
      <c r="V78" s="180">
        <v>7761.5928293163424</v>
      </c>
      <c r="W78" s="180">
        <v>7430.7088930465861</v>
      </c>
      <c r="X78" s="180">
        <v>7135.1683954860991</v>
      </c>
      <c r="Y78" s="180">
        <v>7050.838217474663</v>
      </c>
      <c r="Z78" s="180">
        <v>7121.1575647042318</v>
      </c>
      <c r="AA78" s="180">
        <v>7059.6811657296475</v>
      </c>
      <c r="AB78" s="180">
        <v>6964.8577300513898</v>
      </c>
      <c r="AC78" s="180">
        <v>6868.176691582592</v>
      </c>
      <c r="AD78" s="180">
        <v>6828.9770715325276</v>
      </c>
      <c r="AE78" s="180">
        <v>6822.9303397362628</v>
      </c>
      <c r="AF78" s="180">
        <v>6813.4624007449347</v>
      </c>
      <c r="AG78" s="180">
        <v>6851.7041558797755</v>
      </c>
      <c r="AH78" s="180">
        <v>6924.467580120715</v>
      </c>
      <c r="AI78" s="180">
        <v>6858.5707635906992</v>
      </c>
      <c r="AJ78" s="180">
        <v>6875.4274426877009</v>
      </c>
      <c r="AK78" s="180">
        <v>6891.6101446280381</v>
      </c>
      <c r="AL78" s="180">
        <v>6906.8953257855283</v>
      </c>
      <c r="AM78" s="180">
        <v>6921.1977192934746</v>
      </c>
      <c r="AN78" s="180">
        <v>6950.14541230332</v>
      </c>
      <c r="AO78" s="180">
        <v>6978.6353114307894</v>
      </c>
      <c r="AP78" s="180">
        <v>7007.3580206485003</v>
      </c>
      <c r="AQ78" s="180">
        <v>7036.3008561329807</v>
      </c>
      <c r="AR78" s="180">
        <v>7065.4983407144327</v>
      </c>
      <c r="AS78" s="180">
        <v>7094.9514427242411</v>
      </c>
    </row>
    <row r="79" spans="2:45">
      <c r="B79" s="526"/>
      <c r="C79" s="180"/>
      <c r="D79" s="180" t="s">
        <v>862</v>
      </c>
      <c r="E79" s="180"/>
      <c r="F79" s="180"/>
      <c r="G79" s="180" t="s">
        <v>838</v>
      </c>
      <c r="H79" s="180"/>
      <c r="I79" s="180">
        <v>63793.11834053554</v>
      </c>
      <c r="J79" s="180">
        <v>2929.4311814613629</v>
      </c>
      <c r="K79" s="180">
        <v>2806.5105410361998</v>
      </c>
      <c r="L79" s="180">
        <v>2947.65562154483</v>
      </c>
      <c r="M79" s="180">
        <v>3052.1694843588512</v>
      </c>
      <c r="N79" s="180">
        <v>2818.398831555166</v>
      </c>
      <c r="O79" s="180">
        <v>2616.5928155312495</v>
      </c>
      <c r="P79" s="180">
        <v>2614.6323567343197</v>
      </c>
      <c r="Q79" s="180">
        <v>2565.8014680410211</v>
      </c>
      <c r="R79" s="180">
        <v>2488.6441210107305</v>
      </c>
      <c r="S79" s="180">
        <v>2350.2781911411394</v>
      </c>
      <c r="T79" s="180">
        <v>2173.4829118140892</v>
      </c>
      <c r="U79" s="180">
        <v>2015.4063086562871</v>
      </c>
      <c r="V79" s="180">
        <v>1870.5161475445038</v>
      </c>
      <c r="W79" s="180">
        <v>1767.6694682773261</v>
      </c>
      <c r="X79" s="180">
        <v>1679.864423745717</v>
      </c>
      <c r="Y79" s="180">
        <v>1557.4859498329997</v>
      </c>
      <c r="Z79" s="180">
        <v>1517.7109659925729</v>
      </c>
      <c r="AA79" s="180">
        <v>1463.0937250703398</v>
      </c>
      <c r="AB79" s="180">
        <v>1414.7757186965287</v>
      </c>
      <c r="AC79" s="180">
        <v>1384.4817808659939</v>
      </c>
      <c r="AD79" s="180">
        <v>1353.4586744464571</v>
      </c>
      <c r="AE79" s="180">
        <v>1327.9308325569145</v>
      </c>
      <c r="AF79" s="180">
        <v>1310.681094062398</v>
      </c>
      <c r="AG79" s="180">
        <v>1288.6538743506949</v>
      </c>
      <c r="AH79" s="180">
        <v>1281.5721924842751</v>
      </c>
      <c r="AI79" s="180">
        <v>1253.2712857461934</v>
      </c>
      <c r="AJ79" s="180">
        <v>1188.6572518167225</v>
      </c>
      <c r="AK79" s="180">
        <v>1181.9509314128334</v>
      </c>
      <c r="AL79" s="180">
        <v>1177.8258461531573</v>
      </c>
      <c r="AM79" s="180">
        <v>1173.0422292603862</v>
      </c>
      <c r="AN79" s="180">
        <v>1175.1972397439174</v>
      </c>
      <c r="AO79" s="180">
        <v>1186.0309643381113</v>
      </c>
      <c r="AP79" s="180">
        <v>1197.5605539590388</v>
      </c>
      <c r="AQ79" s="180">
        <v>1209.2074428714475</v>
      </c>
      <c r="AR79" s="180">
        <v>1220.927419214052</v>
      </c>
      <c r="AS79" s="180">
        <v>1232.5484952077222</v>
      </c>
    </row>
    <row r="80" spans="2:45">
      <c r="B80" s="526"/>
      <c r="C80" s="180"/>
      <c r="D80" s="180" t="s">
        <v>837</v>
      </c>
      <c r="E80" s="180"/>
      <c r="F80" s="180"/>
      <c r="G80" s="180" t="s">
        <v>838</v>
      </c>
      <c r="H80" s="180"/>
      <c r="I80" s="180">
        <v>155515.83862811004</v>
      </c>
      <c r="J80" s="180">
        <v>1215.3005056984905</v>
      </c>
      <c r="K80" s="180">
        <v>1230.2138965026431</v>
      </c>
      <c r="L80" s="180">
        <v>1238.7231956297608</v>
      </c>
      <c r="M80" s="180">
        <v>1247.1953580500619</v>
      </c>
      <c r="N80" s="180">
        <v>1331.7768036660523</v>
      </c>
      <c r="O80" s="180">
        <v>2038.683937750503</v>
      </c>
      <c r="P80" s="180">
        <v>3358.7754936501874</v>
      </c>
      <c r="Q80" s="180">
        <v>7544.334780366049</v>
      </c>
      <c r="R80" s="180">
        <v>11626.274119046384</v>
      </c>
      <c r="S80" s="180">
        <v>13420.088304581981</v>
      </c>
      <c r="T80" s="180">
        <v>13611.208637803655</v>
      </c>
      <c r="U80" s="180">
        <v>12783.208216968249</v>
      </c>
      <c r="V80" s="180">
        <v>11721.836205423735</v>
      </c>
      <c r="W80" s="180">
        <v>9780.4629766157377</v>
      </c>
      <c r="X80" s="180">
        <v>8035.9750020099409</v>
      </c>
      <c r="Y80" s="180">
        <v>6477.926615721186</v>
      </c>
      <c r="Z80" s="180">
        <v>1710.1525120730739</v>
      </c>
      <c r="AA80" s="180">
        <v>1572.8344268074902</v>
      </c>
      <c r="AB80" s="180">
        <v>1488.1012739071002</v>
      </c>
      <c r="AC80" s="180">
        <v>1405.1413369706368</v>
      </c>
      <c r="AD80" s="180">
        <v>1337.0177343741409</v>
      </c>
      <c r="AE80" s="180">
        <v>1622.0797182307915</v>
      </c>
      <c r="AF80" s="180">
        <v>2373.1929921650881</v>
      </c>
      <c r="AG80" s="180">
        <v>2924.7709550052214</v>
      </c>
      <c r="AH80" s="180">
        <v>3470.2637707792555</v>
      </c>
      <c r="AI80" s="180">
        <v>4005.7208888130194</v>
      </c>
      <c r="AJ80" s="180">
        <v>4115.4204595850752</v>
      </c>
      <c r="AK80" s="180">
        <v>4132.6018101531436</v>
      </c>
      <c r="AL80" s="180">
        <v>4144.8258809935451</v>
      </c>
      <c r="AM80" s="180">
        <v>3998.8973017865674</v>
      </c>
      <c r="AN80" s="180">
        <v>3839.3968789963633</v>
      </c>
      <c r="AO80" s="180">
        <v>1389.2989027759343</v>
      </c>
      <c r="AP80" s="180">
        <v>1347.5060534290155</v>
      </c>
      <c r="AQ80" s="180">
        <v>1334.7044044827956</v>
      </c>
      <c r="AR80" s="180">
        <v>1324.7449657948541</v>
      </c>
      <c r="AS80" s="180">
        <v>1317.1823115022926</v>
      </c>
    </row>
    <row r="81" spans="2:45">
      <c r="B81" s="526"/>
      <c r="C81" s="180"/>
      <c r="D81" s="180" t="s">
        <v>863</v>
      </c>
      <c r="E81" s="180"/>
      <c r="F81" s="180"/>
      <c r="G81" s="180" t="s">
        <v>838</v>
      </c>
      <c r="H81" s="180"/>
      <c r="I81" s="180">
        <v>3599.8603436774838</v>
      </c>
      <c r="J81" s="180">
        <v>0</v>
      </c>
      <c r="K81" s="180">
        <v>0</v>
      </c>
      <c r="L81" s="180">
        <v>0</v>
      </c>
      <c r="M81" s="180">
        <v>32.578127165011558</v>
      </c>
      <c r="N81" s="180">
        <v>13.483186696544289</v>
      </c>
      <c r="O81" s="180">
        <v>8.9207911382755931</v>
      </c>
      <c r="P81" s="180">
        <v>49.549238187358775</v>
      </c>
      <c r="Q81" s="180">
        <v>118.9960866838758</v>
      </c>
      <c r="R81" s="180">
        <v>137.68584900702905</v>
      </c>
      <c r="S81" s="180">
        <v>142.2121353976346</v>
      </c>
      <c r="T81" s="180">
        <v>118.45375611340216</v>
      </c>
      <c r="U81" s="180">
        <v>107.98836752749826</v>
      </c>
      <c r="V81" s="180">
        <v>136.54116912797284</v>
      </c>
      <c r="W81" s="180">
        <v>138.63518003251025</v>
      </c>
      <c r="X81" s="180">
        <v>142.34386415949336</v>
      </c>
      <c r="Y81" s="180">
        <v>223.50388198691024</v>
      </c>
      <c r="Z81" s="180">
        <v>78.174919852877778</v>
      </c>
      <c r="AA81" s="180">
        <v>66.310475444813036</v>
      </c>
      <c r="AB81" s="180">
        <v>77.112868431259301</v>
      </c>
      <c r="AC81" s="180">
        <v>52.527953826871531</v>
      </c>
      <c r="AD81" s="180">
        <v>44.999539885273002</v>
      </c>
      <c r="AE81" s="180">
        <v>72.039080794272067</v>
      </c>
      <c r="AF81" s="180">
        <v>131.2610109189277</v>
      </c>
      <c r="AG81" s="180">
        <v>146.21794594340375</v>
      </c>
      <c r="AH81" s="180">
        <v>156.40843141044954</v>
      </c>
      <c r="AI81" s="180">
        <v>136.89706820839163</v>
      </c>
      <c r="AJ81" s="180">
        <v>191.87489230121068</v>
      </c>
      <c r="AK81" s="180">
        <v>152.23442934426959</v>
      </c>
      <c r="AL81" s="180">
        <v>151.5896355491912</v>
      </c>
      <c r="AM81" s="180">
        <v>155.20568791069314</v>
      </c>
      <c r="AN81" s="180">
        <v>236.48973011521176</v>
      </c>
      <c r="AO81" s="180">
        <v>99.996175231008863</v>
      </c>
      <c r="AP81" s="180">
        <v>87.555496735485207</v>
      </c>
      <c r="AQ81" s="180">
        <v>71.841574180612355</v>
      </c>
      <c r="AR81" s="180">
        <v>62.819160712904861</v>
      </c>
      <c r="AS81" s="180">
        <v>57.412633656840221</v>
      </c>
    </row>
    <row r="82" spans="2:45">
      <c r="B82" s="526"/>
      <c r="C82" s="180"/>
      <c r="D82" s="180" t="s">
        <v>864</v>
      </c>
      <c r="E82" s="180"/>
      <c r="F82" s="180"/>
      <c r="G82" s="180" t="s">
        <v>838</v>
      </c>
      <c r="H82" s="180"/>
      <c r="I82" s="180">
        <v>4308.5119735136032</v>
      </c>
      <c r="J82" s="180">
        <v>9.0919220605034532</v>
      </c>
      <c r="K82" s="180">
        <v>22.753539109667045</v>
      </c>
      <c r="L82" s="180">
        <v>32.477392797099625</v>
      </c>
      <c r="M82" s="180">
        <v>30.691551912063513</v>
      </c>
      <c r="N82" s="180">
        <v>55.708366962657578</v>
      </c>
      <c r="O82" s="180">
        <v>108.29133552167391</v>
      </c>
      <c r="P82" s="180">
        <v>158.92210716752402</v>
      </c>
      <c r="Q82" s="180">
        <v>182.88461712881877</v>
      </c>
      <c r="R82" s="180">
        <v>168.9054974329436</v>
      </c>
      <c r="S82" s="180">
        <v>174.80366956041246</v>
      </c>
      <c r="T82" s="180">
        <v>177.87039462647809</v>
      </c>
      <c r="U82" s="180">
        <v>309.93171986913683</v>
      </c>
      <c r="V82" s="180">
        <v>319.39269207326805</v>
      </c>
      <c r="W82" s="180">
        <v>330.09490721605079</v>
      </c>
      <c r="X82" s="180">
        <v>375.22280474459069</v>
      </c>
      <c r="Y82" s="180">
        <v>332.33148154208362</v>
      </c>
      <c r="Z82" s="180">
        <v>106.7566823886948</v>
      </c>
      <c r="AA82" s="180">
        <v>103.74381615282977</v>
      </c>
      <c r="AB82" s="180">
        <v>97.999010739306243</v>
      </c>
      <c r="AC82" s="180">
        <v>108.31325105228105</v>
      </c>
      <c r="AD82" s="180">
        <v>106.82296826931974</v>
      </c>
      <c r="AE82" s="180">
        <v>101.73939287266859</v>
      </c>
      <c r="AF82" s="180">
        <v>104.51605826049781</v>
      </c>
      <c r="AG82" s="180">
        <v>96.893237995499916</v>
      </c>
      <c r="AH82" s="180">
        <v>92.889896433535512</v>
      </c>
      <c r="AI82" s="180">
        <v>121.2441754231466</v>
      </c>
      <c r="AJ82" s="180">
        <v>57.437310806248085</v>
      </c>
      <c r="AK82" s="180">
        <v>57.77132003270799</v>
      </c>
      <c r="AL82" s="180">
        <v>58.694681684607133</v>
      </c>
      <c r="AM82" s="180">
        <v>78.391892707027495</v>
      </c>
      <c r="AN82" s="180">
        <v>55.138232388658054</v>
      </c>
      <c r="AO82" s="180">
        <v>41.178297846442135</v>
      </c>
      <c r="AP82" s="180">
        <v>37.097101343574494</v>
      </c>
      <c r="AQ82" s="180">
        <v>34.740635968846583</v>
      </c>
      <c r="AR82" s="180">
        <v>34.072763742952475</v>
      </c>
      <c r="AS82" s="180">
        <v>23.697247679785306</v>
      </c>
    </row>
    <row r="83" spans="2:45">
      <c r="B83" s="526"/>
      <c r="C83" s="180"/>
      <c r="D83" s="180" t="s">
        <v>865</v>
      </c>
      <c r="E83" s="180"/>
      <c r="F83" s="180"/>
      <c r="G83" s="180" t="s">
        <v>840</v>
      </c>
      <c r="H83" s="180"/>
      <c r="I83" s="180"/>
      <c r="J83" s="180">
        <v>9.0919220605034532</v>
      </c>
      <c r="K83" s="180">
        <v>31.845461170170498</v>
      </c>
      <c r="L83" s="180">
        <v>64.32285396727012</v>
      </c>
      <c r="M83" s="180">
        <v>95.014405879333637</v>
      </c>
      <c r="N83" s="180">
        <v>150.72277284199123</v>
      </c>
      <c r="O83" s="180">
        <v>259.01410836366517</v>
      </c>
      <c r="P83" s="180">
        <v>417.93621553118919</v>
      </c>
      <c r="Q83" s="180">
        <v>600.82083266000791</v>
      </c>
      <c r="R83" s="180">
        <v>769.72633009295146</v>
      </c>
      <c r="S83" s="180">
        <v>944.52999965336392</v>
      </c>
      <c r="T83" s="180">
        <v>1122.400394279842</v>
      </c>
      <c r="U83" s="180">
        <v>1432.3321141489787</v>
      </c>
      <c r="V83" s="180">
        <v>1751.7248062222468</v>
      </c>
      <c r="W83" s="180">
        <v>2081.8197134382976</v>
      </c>
      <c r="X83" s="180">
        <v>2457.0425181828882</v>
      </c>
      <c r="Y83" s="180">
        <v>2789.3739997249718</v>
      </c>
      <c r="Z83" s="180">
        <v>2896.1306821136668</v>
      </c>
      <c r="AA83" s="180">
        <v>2999.8744982664966</v>
      </c>
      <c r="AB83" s="180">
        <v>3097.873509005803</v>
      </c>
      <c r="AC83" s="180">
        <v>3206.186760058084</v>
      </c>
      <c r="AD83" s="180">
        <v>3313.0097283274035</v>
      </c>
      <c r="AE83" s="180">
        <v>3414.7491212000723</v>
      </c>
      <c r="AF83" s="180">
        <v>3519.2651794605699</v>
      </c>
      <c r="AG83" s="180">
        <v>3616.1584174560699</v>
      </c>
      <c r="AH83" s="180">
        <v>3709.0483138896052</v>
      </c>
      <c r="AI83" s="180">
        <v>3830.292489312752</v>
      </c>
      <c r="AJ83" s="180">
        <v>3887.7298001190002</v>
      </c>
      <c r="AK83" s="180">
        <v>3945.5011201517082</v>
      </c>
      <c r="AL83" s="180">
        <v>4004.1958018363152</v>
      </c>
      <c r="AM83" s="180">
        <v>4082.5876945433429</v>
      </c>
      <c r="AN83" s="180">
        <v>4137.7259269320011</v>
      </c>
      <c r="AO83" s="180">
        <v>4178.9042247784437</v>
      </c>
      <c r="AP83" s="180">
        <v>4216.0013261220183</v>
      </c>
      <c r="AQ83" s="180">
        <v>4250.7419620908649</v>
      </c>
      <c r="AR83" s="180">
        <v>4284.8147258338176</v>
      </c>
      <c r="AS83" s="180">
        <v>4308.5119735136032</v>
      </c>
    </row>
    <row r="84" spans="2:45">
      <c r="B84" s="526"/>
      <c r="C84" s="180"/>
      <c r="D84" s="180" t="s">
        <v>866</v>
      </c>
      <c r="E84" s="180"/>
      <c r="F84" s="180"/>
      <c r="G84" s="180" t="s">
        <v>838</v>
      </c>
      <c r="H84" s="180"/>
      <c r="I84" s="180">
        <v>1780.7163897849509</v>
      </c>
      <c r="J84" s="180">
        <v>9.0919220605034532</v>
      </c>
      <c r="K84" s="180">
        <v>9.4357440198954272</v>
      </c>
      <c r="L84" s="180">
        <v>10.852365609088126</v>
      </c>
      <c r="M84" s="180">
        <v>12.269012299527557</v>
      </c>
      <c r="N84" s="180">
        <v>13.685686569004622</v>
      </c>
      <c r="O84" s="180">
        <v>62.316269149655383</v>
      </c>
      <c r="P84" s="180">
        <v>64.831942843490282</v>
      </c>
      <c r="Q84" s="180">
        <v>84.308760932144025</v>
      </c>
      <c r="R84" s="180">
        <v>89.735069201202478</v>
      </c>
      <c r="S84" s="180">
        <v>106.51926823160839</v>
      </c>
      <c r="T84" s="180">
        <v>126.43807509187525</v>
      </c>
      <c r="U84" s="180">
        <v>229.88262063143802</v>
      </c>
      <c r="V84" s="180">
        <v>231.53235850626083</v>
      </c>
      <c r="W84" s="180">
        <v>238.04599115239841</v>
      </c>
      <c r="X84" s="180">
        <v>243.11455877458829</v>
      </c>
      <c r="Y84" s="180">
        <v>247.84741944973587</v>
      </c>
      <c r="Z84" s="180">
        <v>9.6724084898823628E-2</v>
      </c>
      <c r="AA84" s="180">
        <v>9.5731067566604836E-2</v>
      </c>
      <c r="AB84" s="180">
        <v>9.4683951692478285E-2</v>
      </c>
      <c r="AC84" s="180">
        <v>9.3646550002347673E-2</v>
      </c>
      <c r="AD84" s="180">
        <v>2.7724647212838311E-2</v>
      </c>
      <c r="AE84" s="180">
        <v>2.6730022059768016E-2</v>
      </c>
      <c r="AF84" s="180">
        <v>2.672729958604177E-2</v>
      </c>
      <c r="AG84" s="180">
        <v>2.6724587850931028E-2</v>
      </c>
      <c r="AH84" s="180">
        <v>2.6721886908755096E-2</v>
      </c>
      <c r="AI84" s="180">
        <v>2.6719196796061509E-2</v>
      </c>
      <c r="AJ84" s="180">
        <v>2.6719196796061509E-2</v>
      </c>
      <c r="AK84" s="180">
        <v>2.6719196796061509E-2</v>
      </c>
      <c r="AL84" s="180">
        <v>2.6719196796061509E-2</v>
      </c>
      <c r="AM84" s="180">
        <v>2.6719196796061509E-2</v>
      </c>
      <c r="AN84" s="180">
        <v>2.6719196796061509E-2</v>
      </c>
      <c r="AO84" s="180">
        <v>2.6719196796061509E-2</v>
      </c>
      <c r="AP84" s="180">
        <v>2.6719196796061509E-2</v>
      </c>
      <c r="AQ84" s="180">
        <v>2.6719196796061509E-2</v>
      </c>
      <c r="AR84" s="180">
        <v>2.6719196796061509E-2</v>
      </c>
      <c r="AS84" s="180">
        <v>2.6719196796061509E-2</v>
      </c>
    </row>
    <row r="85" spans="2:45">
      <c r="B85" s="526"/>
      <c r="C85" s="180"/>
      <c r="D85" s="180" t="s">
        <v>867</v>
      </c>
      <c r="E85" s="180"/>
      <c r="F85" s="180"/>
      <c r="G85" s="180" t="s">
        <v>838</v>
      </c>
      <c r="H85" s="180"/>
      <c r="I85" s="180">
        <v>1550.3344006895434</v>
      </c>
      <c r="J85" s="180">
        <v>0</v>
      </c>
      <c r="K85" s="180">
        <v>13.317795089771616</v>
      </c>
      <c r="L85" s="180">
        <v>13.317795089771325</v>
      </c>
      <c r="M85" s="180">
        <v>13.317795089771325</v>
      </c>
      <c r="N85" s="180">
        <v>13.317795089771616</v>
      </c>
      <c r="O85" s="180">
        <v>13.317795089771616</v>
      </c>
      <c r="P85" s="180">
        <v>32.633867341807644</v>
      </c>
      <c r="Q85" s="180">
        <v>32.808388151754663</v>
      </c>
      <c r="R85" s="180">
        <v>32.808388151754073</v>
      </c>
      <c r="S85" s="180">
        <v>32.808388151754897</v>
      </c>
      <c r="T85" s="180">
        <v>32.808388151754293</v>
      </c>
      <c r="U85" s="180">
        <v>56.829941302073024</v>
      </c>
      <c r="V85" s="180">
        <v>56.829941302073486</v>
      </c>
      <c r="W85" s="180">
        <v>56.829941302073024</v>
      </c>
      <c r="X85" s="180">
        <v>56.829941302073479</v>
      </c>
      <c r="Y85" s="180">
        <v>56.829941302073024</v>
      </c>
      <c r="Z85" s="180">
        <v>84.449785540695714</v>
      </c>
      <c r="AA85" s="180">
        <v>84.449785540695714</v>
      </c>
      <c r="AB85" s="180">
        <v>84.449785540695686</v>
      </c>
      <c r="AC85" s="180">
        <v>84.449785540695714</v>
      </c>
      <c r="AD85" s="180">
        <v>84.449785540695714</v>
      </c>
      <c r="AE85" s="180">
        <v>64.567202709950422</v>
      </c>
      <c r="AF85" s="180">
        <v>64.567202709950436</v>
      </c>
      <c r="AG85" s="180">
        <v>64.567202709949868</v>
      </c>
      <c r="AH85" s="180">
        <v>64.567202709950436</v>
      </c>
      <c r="AI85" s="180">
        <v>64.457347827488093</v>
      </c>
      <c r="AJ85" s="180">
        <v>34.805278339828973</v>
      </c>
      <c r="AK85" s="180">
        <v>34.643821169492142</v>
      </c>
      <c r="AL85" s="180">
        <v>34.482363999156064</v>
      </c>
      <c r="AM85" s="180">
        <v>34.320906828819616</v>
      </c>
      <c r="AN85" s="180">
        <v>34.159449658483879</v>
      </c>
      <c r="AO85" s="180">
        <v>23.668278482989244</v>
      </c>
      <c r="AP85" s="180">
        <v>23.668278482988832</v>
      </c>
      <c r="AQ85" s="180">
        <v>23.668278482989201</v>
      </c>
      <c r="AR85" s="180">
        <v>23.668278482988832</v>
      </c>
      <c r="AS85" s="180">
        <v>23.668278482989244</v>
      </c>
    </row>
    <row r="86" spans="2:45">
      <c r="B86" s="526"/>
      <c r="C86" s="180"/>
      <c r="D86" s="180" t="s">
        <v>868</v>
      </c>
      <c r="E86" s="180"/>
      <c r="F86" s="180"/>
      <c r="G86" s="180" t="s">
        <v>838</v>
      </c>
      <c r="H86" s="180"/>
      <c r="I86" s="180">
        <v>4.5458047844781397</v>
      </c>
      <c r="J86" s="180">
        <v>0</v>
      </c>
      <c r="K86" s="180">
        <v>0</v>
      </c>
      <c r="L86" s="180">
        <v>0</v>
      </c>
      <c r="M86" s="180">
        <v>0</v>
      </c>
      <c r="N86" s="180">
        <v>0</v>
      </c>
      <c r="O86" s="180">
        <v>0</v>
      </c>
      <c r="P86" s="180">
        <v>0</v>
      </c>
      <c r="Q86" s="180">
        <v>0</v>
      </c>
      <c r="R86" s="180">
        <v>0</v>
      </c>
      <c r="S86" s="180">
        <v>0</v>
      </c>
      <c r="T86" s="180">
        <v>0</v>
      </c>
      <c r="U86" s="180">
        <v>0.40563910991569946</v>
      </c>
      <c r="V86" s="180">
        <v>0.40563910991569946</v>
      </c>
      <c r="W86" s="180">
        <v>0.40563910991569946</v>
      </c>
      <c r="X86" s="180">
        <v>0.40563910991569946</v>
      </c>
      <c r="Y86" s="180">
        <v>0.40563910991569946</v>
      </c>
      <c r="Z86" s="180">
        <v>0.50352184697992841</v>
      </c>
      <c r="AA86" s="180">
        <v>0.50352184697992808</v>
      </c>
      <c r="AB86" s="180">
        <v>0.50352184697992841</v>
      </c>
      <c r="AC86" s="180">
        <v>0.50352184697992841</v>
      </c>
      <c r="AD86" s="180">
        <v>0.50352184697992886</v>
      </c>
      <c r="AE86" s="180">
        <v>0</v>
      </c>
      <c r="AF86" s="180">
        <v>0</v>
      </c>
      <c r="AG86" s="180">
        <v>0</v>
      </c>
      <c r="AH86" s="180">
        <v>0</v>
      </c>
      <c r="AI86" s="180">
        <v>0</v>
      </c>
      <c r="AJ86" s="180">
        <v>0</v>
      </c>
      <c r="AK86" s="180">
        <v>0</v>
      </c>
      <c r="AL86" s="180">
        <v>0</v>
      </c>
      <c r="AM86" s="180">
        <v>0</v>
      </c>
      <c r="AN86" s="180">
        <v>0</v>
      </c>
      <c r="AO86" s="180">
        <v>0</v>
      </c>
      <c r="AP86" s="180">
        <v>0</v>
      </c>
      <c r="AQ86" s="180">
        <v>0</v>
      </c>
      <c r="AR86" s="180">
        <v>0</v>
      </c>
      <c r="AS86" s="180">
        <v>0</v>
      </c>
    </row>
    <row r="87" spans="2:45">
      <c r="B87" s="526"/>
      <c r="C87" s="180"/>
      <c r="D87" s="180" t="s">
        <v>869</v>
      </c>
      <c r="E87" s="180"/>
      <c r="F87" s="180"/>
      <c r="G87" s="180" t="s">
        <v>838</v>
      </c>
      <c r="H87" s="180"/>
      <c r="I87" s="180">
        <v>972.9153782546291</v>
      </c>
      <c r="J87" s="180">
        <v>0</v>
      </c>
      <c r="K87" s="180">
        <v>0</v>
      </c>
      <c r="L87" s="180">
        <v>8.3072320982401742</v>
      </c>
      <c r="M87" s="180">
        <v>5.1047445227646309</v>
      </c>
      <c r="N87" s="180">
        <v>28.704885303881344</v>
      </c>
      <c r="O87" s="180">
        <v>32.657271282246917</v>
      </c>
      <c r="P87" s="180">
        <v>61.456296982226085</v>
      </c>
      <c r="Q87" s="180">
        <v>65.767468044920093</v>
      </c>
      <c r="R87" s="180">
        <v>46.362040079987061</v>
      </c>
      <c r="S87" s="180">
        <v>35.476013177049168</v>
      </c>
      <c r="T87" s="180">
        <v>18.623931382848543</v>
      </c>
      <c r="U87" s="180">
        <v>22.81351882571013</v>
      </c>
      <c r="V87" s="180">
        <v>30.624753155018041</v>
      </c>
      <c r="W87" s="180">
        <v>34.813335651663635</v>
      </c>
      <c r="X87" s="180">
        <v>74.872665558013225</v>
      </c>
      <c r="Y87" s="180">
        <v>27.248481680359017</v>
      </c>
      <c r="Z87" s="180">
        <v>21.706650916120331</v>
      </c>
      <c r="AA87" s="180">
        <v>18.694777697587529</v>
      </c>
      <c r="AB87" s="180">
        <v>12.951019399938156</v>
      </c>
      <c r="AC87" s="180">
        <v>23.266297114603059</v>
      </c>
      <c r="AD87" s="180">
        <v>21.841936234431266</v>
      </c>
      <c r="AE87" s="180">
        <v>37.145460140658408</v>
      </c>
      <c r="AF87" s="180">
        <v>39.922128250961336</v>
      </c>
      <c r="AG87" s="180">
        <v>32.299310697699113</v>
      </c>
      <c r="AH87" s="180">
        <v>28.295971836676308</v>
      </c>
      <c r="AI87" s="180">
        <v>56.76010839886245</v>
      </c>
      <c r="AJ87" s="180">
        <v>22.605313269623053</v>
      </c>
      <c r="AK87" s="180">
        <v>23.100779666419793</v>
      </c>
      <c r="AL87" s="180">
        <v>24.185598488655007</v>
      </c>
      <c r="AM87" s="180">
        <v>44.04426668141182</v>
      </c>
      <c r="AN87" s="180">
        <v>20.952063533378116</v>
      </c>
      <c r="AO87" s="180">
        <v>17.483300166656825</v>
      </c>
      <c r="AP87" s="180">
        <v>13.402103663789598</v>
      </c>
      <c r="AQ87" s="180">
        <v>11.045638289061321</v>
      </c>
      <c r="AR87" s="180">
        <v>10.377766063167581</v>
      </c>
      <c r="AS87" s="180">
        <v>2.2499999999999998E-3</v>
      </c>
    </row>
    <row r="88" spans="2:45">
      <c r="B88" s="180"/>
      <c r="C88" s="180"/>
      <c r="D88" s="180"/>
      <c r="E88" s="180"/>
      <c r="F88" s="180"/>
      <c r="G88" s="180"/>
      <c r="H88" s="180"/>
      <c r="I88" s="180"/>
      <c r="J88" s="180"/>
      <c r="K88" s="180"/>
      <c r="L88" s="180"/>
      <c r="M88" s="180"/>
      <c r="N88" s="180"/>
      <c r="O88" s="180"/>
      <c r="P88" s="180"/>
      <c r="Q88" s="180"/>
      <c r="R88" s="180"/>
      <c r="S88" s="180"/>
      <c r="T88" s="180"/>
      <c r="U88" s="180"/>
      <c r="V88" s="180"/>
      <c r="W88" s="180"/>
      <c r="X88" s="180"/>
      <c r="Y88" s="180"/>
      <c r="Z88" s="180"/>
      <c r="AA88" s="180"/>
      <c r="AB88" s="180"/>
      <c r="AC88" s="180"/>
      <c r="AD88" s="180"/>
      <c r="AE88" s="180"/>
      <c r="AF88" s="180"/>
      <c r="AG88" s="180"/>
      <c r="AH88" s="180"/>
      <c r="AI88" s="180"/>
      <c r="AJ88" s="180"/>
      <c r="AK88" s="180"/>
      <c r="AL88" s="180"/>
      <c r="AM88" s="180"/>
      <c r="AN88" s="180"/>
      <c r="AO88" s="180"/>
      <c r="AP88" s="180"/>
      <c r="AQ88" s="180"/>
      <c r="AR88" s="180"/>
      <c r="AS88" s="180"/>
    </row>
    <row r="89" spans="2:45">
      <c r="B89" s="180"/>
      <c r="C89" s="180"/>
      <c r="D89" s="180"/>
      <c r="E89" s="180"/>
      <c r="F89" s="180"/>
      <c r="G89" s="180"/>
      <c r="H89" s="180"/>
      <c r="I89" s="180"/>
      <c r="J89" s="180"/>
      <c r="K89" s="180"/>
      <c r="L89" s="180"/>
      <c r="M89" s="180"/>
      <c r="N89" s="180"/>
      <c r="O89" s="180"/>
      <c r="P89" s="180"/>
      <c r="Q89" s="180"/>
      <c r="R89" s="180"/>
      <c r="S89" s="180"/>
      <c r="T89" s="180"/>
      <c r="U89" s="180"/>
      <c r="V89" s="180"/>
      <c r="W89" s="180"/>
      <c r="X89" s="180"/>
      <c r="Y89" s="180"/>
      <c r="Z89" s="180"/>
      <c r="AA89" s="180"/>
      <c r="AB89" s="180"/>
      <c r="AC89" s="180"/>
      <c r="AD89" s="180"/>
      <c r="AE89" s="180"/>
      <c r="AF89" s="180"/>
      <c r="AG89" s="180"/>
      <c r="AH89" s="180"/>
      <c r="AI89" s="180"/>
      <c r="AJ89" s="180"/>
      <c r="AK89" s="180"/>
      <c r="AL89" s="180"/>
      <c r="AM89" s="180"/>
      <c r="AN89" s="180"/>
      <c r="AO89" s="180"/>
      <c r="AP89" s="180"/>
      <c r="AQ89" s="180"/>
      <c r="AR89" s="180"/>
      <c r="AS89" s="180"/>
    </row>
    <row r="90" spans="2:45">
      <c r="B90" s="527" t="str">
        <f>INDEX('Scenario names'!$C$3:$C$6,1)</f>
        <v>High Electrification</v>
      </c>
      <c r="C90" s="180" t="s">
        <v>174</v>
      </c>
      <c r="D90" s="180"/>
      <c r="E90" s="180"/>
      <c r="F90" s="180"/>
      <c r="G90" s="180" t="s">
        <v>832</v>
      </c>
      <c r="H90" s="180"/>
      <c r="I90" s="180">
        <v>499.33601372829685</v>
      </c>
      <c r="J90" s="180">
        <v>12.252894886951301</v>
      </c>
      <c r="K90" s="180">
        <v>11.705860118840189</v>
      </c>
      <c r="L90" s="180">
        <v>11.928623632282678</v>
      </c>
      <c r="M90" s="180">
        <v>12.556393015047748</v>
      </c>
      <c r="N90" s="180">
        <v>12.720857433988849</v>
      </c>
      <c r="O90" s="180">
        <v>13.197055777588929</v>
      </c>
      <c r="P90" s="180">
        <v>14.662562108573717</v>
      </c>
      <c r="Q90" s="180">
        <v>18.091221628018765</v>
      </c>
      <c r="R90" s="180">
        <v>21.276832665180017</v>
      </c>
      <c r="S90" s="180">
        <v>22.63798444694298</v>
      </c>
      <c r="T90" s="180">
        <v>21.979995846394171</v>
      </c>
      <c r="U90" s="180">
        <v>21.178381903191703</v>
      </c>
      <c r="V90" s="180">
        <v>20.129804434575561</v>
      </c>
      <c r="W90" s="180">
        <v>17.784481415756002</v>
      </c>
      <c r="X90" s="180">
        <v>15.8660390856375</v>
      </c>
      <c r="Y90" s="180">
        <v>14.44932819640699</v>
      </c>
      <c r="Z90" s="180">
        <v>13.406007764747672</v>
      </c>
      <c r="AA90" s="180">
        <v>13.061634643427157</v>
      </c>
      <c r="AB90" s="180">
        <v>12.714664343902831</v>
      </c>
      <c r="AC90" s="180">
        <v>12.471636832619243</v>
      </c>
      <c r="AD90" s="180">
        <v>12.310430807111832</v>
      </c>
      <c r="AE90" s="180">
        <v>12.367220394394444</v>
      </c>
      <c r="AF90" s="180">
        <v>12.124416167880915</v>
      </c>
      <c r="AG90" s="180">
        <v>11.747903818438719</v>
      </c>
      <c r="AH90" s="180">
        <v>10.998156358315555</v>
      </c>
      <c r="AI90" s="180">
        <v>11.143354627325019</v>
      </c>
      <c r="AJ90" s="180">
        <v>11.453363608489108</v>
      </c>
      <c r="AK90" s="180">
        <v>11.745981475804678</v>
      </c>
      <c r="AL90" s="180">
        <v>11.764083869915902</v>
      </c>
      <c r="AM90" s="180">
        <v>11.759567466447951</v>
      </c>
      <c r="AN90" s="180">
        <v>11.719636349895733</v>
      </c>
      <c r="AO90" s="180">
        <v>11.337392985773436</v>
      </c>
      <c r="AP90" s="180">
        <v>11.306360312185785</v>
      </c>
      <c r="AQ90" s="180">
        <v>11.275787751834798</v>
      </c>
      <c r="AR90" s="180">
        <v>11.185040853907967</v>
      </c>
      <c r="AS90" s="180">
        <v>11.025056700500883</v>
      </c>
    </row>
    <row r="91" spans="2:45">
      <c r="B91" s="528"/>
      <c r="C91" s="180" t="s">
        <v>833</v>
      </c>
      <c r="D91" s="180"/>
      <c r="E91" s="180"/>
      <c r="F91" s="180"/>
      <c r="G91" s="180" t="s">
        <v>834</v>
      </c>
      <c r="H91" s="180"/>
      <c r="I91" s="180"/>
      <c r="J91" s="180">
        <v>12.252894886951301</v>
      </c>
      <c r="K91" s="180">
        <v>23.958755005791488</v>
      </c>
      <c r="L91" s="180">
        <v>35.887378638074168</v>
      </c>
      <c r="M91" s="180">
        <v>48.443771653121914</v>
      </c>
      <c r="N91" s="180">
        <v>61.164629087110761</v>
      </c>
      <c r="O91" s="180">
        <v>74.361684864699697</v>
      </c>
      <c r="P91" s="180">
        <v>89.024246973273421</v>
      </c>
      <c r="Q91" s="180">
        <v>107.11546860129218</v>
      </c>
      <c r="R91" s="180">
        <v>128.3923012664722</v>
      </c>
      <c r="S91" s="180">
        <v>151.0302857134152</v>
      </c>
      <c r="T91" s="180">
        <v>173.01028155980936</v>
      </c>
      <c r="U91" s="180">
        <v>194.18866346300106</v>
      </c>
      <c r="V91" s="180">
        <v>214.31846789757662</v>
      </c>
      <c r="W91" s="180">
        <v>232.10294931333263</v>
      </c>
      <c r="X91" s="180">
        <v>247.96898839897014</v>
      </c>
      <c r="Y91" s="180">
        <v>262.41831659537712</v>
      </c>
      <c r="Z91" s="180">
        <v>275.82432436012482</v>
      </c>
      <c r="AA91" s="180">
        <v>288.88595900355199</v>
      </c>
      <c r="AB91" s="180">
        <v>301.60062334745481</v>
      </c>
      <c r="AC91" s="180">
        <v>314.07226018007407</v>
      </c>
      <c r="AD91" s="180">
        <v>326.38269098718592</v>
      </c>
      <c r="AE91" s="180">
        <v>338.74991138158038</v>
      </c>
      <c r="AF91" s="180">
        <v>350.87432754946127</v>
      </c>
      <c r="AG91" s="180">
        <v>362.62223136789999</v>
      </c>
      <c r="AH91" s="180">
        <v>373.62038772621554</v>
      </c>
      <c r="AI91" s="180">
        <v>384.76374235354058</v>
      </c>
      <c r="AJ91" s="180">
        <v>396.21710596202968</v>
      </c>
      <c r="AK91" s="180">
        <v>407.96308743783436</v>
      </c>
      <c r="AL91" s="180">
        <v>419.72717130775027</v>
      </c>
      <c r="AM91" s="180">
        <v>431.48673877419822</v>
      </c>
      <c r="AN91" s="180">
        <v>443.20637512409394</v>
      </c>
      <c r="AO91" s="180">
        <v>454.54376810986736</v>
      </c>
      <c r="AP91" s="180">
        <v>465.85012842205316</v>
      </c>
      <c r="AQ91" s="180">
        <v>477.12591617388796</v>
      </c>
      <c r="AR91" s="180">
        <v>488.31095702779595</v>
      </c>
      <c r="AS91" s="180">
        <v>499.33601372829685</v>
      </c>
    </row>
    <row r="92" spans="2:45">
      <c r="B92" s="528"/>
      <c r="C92" s="180" t="s">
        <v>835</v>
      </c>
      <c r="D92" s="180"/>
      <c r="E92" s="180"/>
      <c r="F92" s="180"/>
      <c r="G92" s="180" t="s">
        <v>832</v>
      </c>
      <c r="H92" s="180"/>
      <c r="I92" s="180">
        <v>158.84026238549367</v>
      </c>
      <c r="J92" s="180">
        <v>1.2225789901309569</v>
      </c>
      <c r="K92" s="180">
        <v>1.2378838324412276</v>
      </c>
      <c r="L92" s="180">
        <v>1.2480063788501838</v>
      </c>
      <c r="M92" s="180">
        <v>1.2964106042873842</v>
      </c>
      <c r="N92" s="180">
        <v>1.3589926037727418</v>
      </c>
      <c r="O92" s="180">
        <v>2.1323539652303252</v>
      </c>
      <c r="P92" s="180">
        <v>3.091366173506132</v>
      </c>
      <c r="Q92" s="180">
        <v>6.4901672695027619</v>
      </c>
      <c r="R92" s="180">
        <v>9.9933129152703462</v>
      </c>
      <c r="S92" s="180">
        <v>11.705675386100721</v>
      </c>
      <c r="T92" s="180">
        <v>11.328298204420348</v>
      </c>
      <c r="U92" s="180">
        <v>10.82670472863067</v>
      </c>
      <c r="V92" s="180">
        <v>10.174580468954684</v>
      </c>
      <c r="W92" s="180">
        <v>8.2133294321337775</v>
      </c>
      <c r="X92" s="180">
        <v>6.6459290255126104</v>
      </c>
      <c r="Y92" s="180">
        <v>5.4246637915903433</v>
      </c>
      <c r="Z92" s="180">
        <v>4.432137063138847</v>
      </c>
      <c r="AA92" s="180">
        <v>4.2707304303443507</v>
      </c>
      <c r="AB92" s="180">
        <v>4.1358205983353153</v>
      </c>
      <c r="AC92" s="180">
        <v>3.9661356845384939</v>
      </c>
      <c r="AD92" s="180">
        <v>3.8613989410108682</v>
      </c>
      <c r="AE92" s="180">
        <v>3.9227443539675941</v>
      </c>
      <c r="AF92" s="180">
        <v>3.7222790306260682</v>
      </c>
      <c r="AG92" s="180">
        <v>3.3523943498936766</v>
      </c>
      <c r="AH92" s="180">
        <v>2.5572069482349136</v>
      </c>
      <c r="AI92" s="180">
        <v>2.7462678275642651</v>
      </c>
      <c r="AJ92" s="180">
        <v>3.0099492180633187</v>
      </c>
      <c r="AK92" s="180">
        <v>3.2664237036464221</v>
      </c>
      <c r="AL92" s="180">
        <v>3.258810620326559</v>
      </c>
      <c r="AM92" s="180">
        <v>3.23921172504786</v>
      </c>
      <c r="AN92" s="180">
        <v>3.1953639563380318</v>
      </c>
      <c r="AO92" s="180">
        <v>2.8058287351324078</v>
      </c>
      <c r="AP92" s="180">
        <v>2.7720068703113498</v>
      </c>
      <c r="AQ92" s="180">
        <v>2.7501542301597399</v>
      </c>
      <c r="AR92" s="180">
        <v>2.6681231078150116</v>
      </c>
      <c r="AS92" s="180">
        <v>2.5170212206634011</v>
      </c>
    </row>
    <row r="93" spans="2:45">
      <c r="B93" s="528"/>
      <c r="C93" s="180" t="s">
        <v>836</v>
      </c>
      <c r="D93" s="180"/>
      <c r="E93" s="180"/>
      <c r="F93" s="180"/>
      <c r="G93" s="180" t="s">
        <v>834</v>
      </c>
      <c r="H93" s="180"/>
      <c r="I93" s="180"/>
      <c r="J93" s="180">
        <v>1.2225789901309569</v>
      </c>
      <c r="K93" s="180">
        <v>2.4604628225721843</v>
      </c>
      <c r="L93" s="180">
        <v>3.7084692014223681</v>
      </c>
      <c r="M93" s="180">
        <v>5.0048798057097521</v>
      </c>
      <c r="N93" s="180">
        <v>6.3638724094824939</v>
      </c>
      <c r="O93" s="180">
        <v>8.4962263747128191</v>
      </c>
      <c r="P93" s="180">
        <v>11.58759254821895</v>
      </c>
      <c r="Q93" s="180">
        <v>18.077759817721713</v>
      </c>
      <c r="R93" s="180">
        <v>28.071072732992057</v>
      </c>
      <c r="S93" s="180">
        <v>39.77674811909278</v>
      </c>
      <c r="T93" s="180">
        <v>51.105046323513129</v>
      </c>
      <c r="U93" s="180">
        <v>61.931751052143795</v>
      </c>
      <c r="V93" s="180">
        <v>72.106331521098483</v>
      </c>
      <c r="W93" s="180">
        <v>80.319660953232258</v>
      </c>
      <c r="X93" s="180">
        <v>86.965589978744873</v>
      </c>
      <c r="Y93" s="180">
        <v>92.390253770335221</v>
      </c>
      <c r="Z93" s="180">
        <v>96.822390833474074</v>
      </c>
      <c r="AA93" s="180">
        <v>101.09312126381843</v>
      </c>
      <c r="AB93" s="180">
        <v>105.22894186215375</v>
      </c>
      <c r="AC93" s="180">
        <v>109.19507754669225</v>
      </c>
      <c r="AD93" s="180">
        <v>113.05647648770311</v>
      </c>
      <c r="AE93" s="180">
        <v>116.9792208416707</v>
      </c>
      <c r="AF93" s="180">
        <v>120.70149987229676</v>
      </c>
      <c r="AG93" s="180">
        <v>124.05389422219044</v>
      </c>
      <c r="AH93" s="180">
        <v>126.61110117042534</v>
      </c>
      <c r="AI93" s="180">
        <v>129.3573689979896</v>
      </c>
      <c r="AJ93" s="180">
        <v>132.36731821605292</v>
      </c>
      <c r="AK93" s="180">
        <v>135.63374191969933</v>
      </c>
      <c r="AL93" s="180">
        <v>138.89255254002589</v>
      </c>
      <c r="AM93" s="180">
        <v>142.13176426507374</v>
      </c>
      <c r="AN93" s="180">
        <v>145.32712822141178</v>
      </c>
      <c r="AO93" s="180">
        <v>148.13295695654418</v>
      </c>
      <c r="AP93" s="180">
        <v>150.90496382685552</v>
      </c>
      <c r="AQ93" s="180">
        <v>153.65511805701527</v>
      </c>
      <c r="AR93" s="180">
        <v>156.32324116483028</v>
      </c>
      <c r="AS93" s="180">
        <v>158.84026238549367</v>
      </c>
    </row>
    <row r="94" spans="2:45">
      <c r="B94" s="528"/>
      <c r="C94" s="180"/>
      <c r="D94" s="180"/>
      <c r="E94" s="180"/>
      <c r="F94" s="180"/>
      <c r="G94" s="180"/>
      <c r="H94" s="180"/>
      <c r="I94" s="180"/>
      <c r="J94" s="180"/>
      <c r="K94" s="180"/>
      <c r="L94" s="180"/>
      <c r="M94" s="180"/>
      <c r="N94" s="180"/>
      <c r="O94" s="180"/>
      <c r="P94" s="180"/>
      <c r="Q94" s="180"/>
      <c r="R94" s="180"/>
      <c r="S94" s="180"/>
      <c r="T94" s="180"/>
      <c r="U94" s="180"/>
      <c r="V94" s="180"/>
      <c r="W94" s="180"/>
      <c r="X94" s="180"/>
      <c r="Y94" s="180"/>
      <c r="Z94" s="180"/>
      <c r="AA94" s="180"/>
      <c r="AB94" s="180"/>
      <c r="AC94" s="180"/>
      <c r="AD94" s="180"/>
      <c r="AE94" s="180"/>
      <c r="AF94" s="180"/>
      <c r="AG94" s="180"/>
      <c r="AH94" s="180"/>
      <c r="AI94" s="180"/>
      <c r="AJ94" s="180"/>
      <c r="AK94" s="180"/>
      <c r="AL94" s="180"/>
      <c r="AM94" s="180"/>
      <c r="AN94" s="180"/>
      <c r="AO94" s="180"/>
      <c r="AP94" s="180"/>
      <c r="AQ94" s="180"/>
      <c r="AR94" s="180"/>
      <c r="AS94" s="180"/>
    </row>
    <row r="95" spans="2:45">
      <c r="B95" s="528"/>
      <c r="C95" s="180" t="s">
        <v>837</v>
      </c>
      <c r="D95" s="180" t="s">
        <v>142</v>
      </c>
      <c r="E95" s="180"/>
      <c r="F95" s="180"/>
      <c r="G95" s="180" t="s">
        <v>838</v>
      </c>
      <c r="H95" s="180"/>
      <c r="I95" s="180">
        <v>149654.28110547029</v>
      </c>
      <c r="J95" s="180">
        <v>1213.2176501201839</v>
      </c>
      <c r="K95" s="180">
        <v>1228.1440482064215</v>
      </c>
      <c r="L95" s="180">
        <v>1236.6707949536326</v>
      </c>
      <c r="M95" s="180">
        <v>1245.1606636824863</v>
      </c>
      <c r="N95" s="180">
        <v>1329.7601319631403</v>
      </c>
      <c r="O95" s="180">
        <v>2033.1337635869527</v>
      </c>
      <c r="P95" s="180">
        <v>2967.3641178642192</v>
      </c>
      <c r="Q95" s="180">
        <v>6276.1396513228347</v>
      </c>
      <c r="R95" s="180">
        <v>9751.1844506408634</v>
      </c>
      <c r="S95" s="180">
        <v>11464.819822449106</v>
      </c>
      <c r="T95" s="180">
        <v>11060.238926365306</v>
      </c>
      <c r="U95" s="180">
        <v>10542.33624917172</v>
      </c>
      <c r="V95" s="180">
        <v>9879.6045957566621</v>
      </c>
      <c r="W95" s="180">
        <v>7926.0650567307775</v>
      </c>
      <c r="X95" s="180">
        <v>6324.5798961381888</v>
      </c>
      <c r="Y95" s="180">
        <v>5075.6467749387293</v>
      </c>
      <c r="Z95" s="180">
        <v>4113.9022752732471</v>
      </c>
      <c r="AA95" s="180">
        <v>3964.6750125461508</v>
      </c>
      <c r="AB95" s="180">
        <v>3814.3604176645317</v>
      </c>
      <c r="AC95" s="180">
        <v>3632.388525107629</v>
      </c>
      <c r="AD95" s="180">
        <v>3495.8005138872431</v>
      </c>
      <c r="AE95" s="180">
        <v>3620.8098433472264</v>
      </c>
      <c r="AF95" s="180">
        <v>3346.1478535809229</v>
      </c>
      <c r="AG95" s="180">
        <v>2969.2796395288474</v>
      </c>
      <c r="AH95" s="180">
        <v>2181.3028808164727</v>
      </c>
      <c r="AI95" s="180">
        <v>2377.4397374113614</v>
      </c>
      <c r="AJ95" s="180">
        <v>2636.3461059766205</v>
      </c>
      <c r="AK95" s="180">
        <v>2886.1382636702574</v>
      </c>
      <c r="AL95" s="180">
        <v>2887.670490323394</v>
      </c>
      <c r="AM95" s="180">
        <v>2874.1418377218515</v>
      </c>
      <c r="AN95" s="180">
        <v>2871.2025782477358</v>
      </c>
      <c r="AO95" s="180">
        <v>2540.2040302278679</v>
      </c>
      <c r="AP95" s="180">
        <v>2525.1920526144322</v>
      </c>
      <c r="AQ95" s="180">
        <v>2514.1672573727474</v>
      </c>
      <c r="AR95" s="180">
        <v>2450.1234156491819</v>
      </c>
      <c r="AS95" s="180">
        <v>2398.9217806113384</v>
      </c>
    </row>
    <row r="96" spans="2:45">
      <c r="B96" s="528"/>
      <c r="C96" s="180"/>
      <c r="D96" s="180" t="s">
        <v>839</v>
      </c>
      <c r="E96" s="180"/>
      <c r="F96" s="180"/>
      <c r="G96" s="180" t="s">
        <v>840</v>
      </c>
      <c r="H96" s="180"/>
      <c r="I96" s="180"/>
      <c r="J96" s="180">
        <v>1213.2176501201839</v>
      </c>
      <c r="K96" s="180">
        <v>2441.3616983266056</v>
      </c>
      <c r="L96" s="180">
        <v>3678.0324932802382</v>
      </c>
      <c r="M96" s="180">
        <v>4923.193156962725</v>
      </c>
      <c r="N96" s="180">
        <v>6252.9532889258653</v>
      </c>
      <c r="O96" s="180">
        <v>8286.0870525128175</v>
      </c>
      <c r="P96" s="180">
        <v>11253.451170377037</v>
      </c>
      <c r="Q96" s="180">
        <v>17529.590821699872</v>
      </c>
      <c r="R96" s="180">
        <v>27280.775272340736</v>
      </c>
      <c r="S96" s="180">
        <v>38745.595094789838</v>
      </c>
      <c r="T96" s="180">
        <v>49805.83402115514</v>
      </c>
      <c r="U96" s="180">
        <v>60348.17027032686</v>
      </c>
      <c r="V96" s="180">
        <v>70227.77486608352</v>
      </c>
      <c r="W96" s="180">
        <v>78153.839922814295</v>
      </c>
      <c r="X96" s="180">
        <v>84478.41981895249</v>
      </c>
      <c r="Y96" s="180">
        <v>89554.066593891213</v>
      </c>
      <c r="Z96" s="180">
        <v>93667.968869164455</v>
      </c>
      <c r="AA96" s="180">
        <v>97632.64388171061</v>
      </c>
      <c r="AB96" s="180">
        <v>101447.00429937514</v>
      </c>
      <c r="AC96" s="180">
        <v>105079.39282448277</v>
      </c>
      <c r="AD96" s="180">
        <v>108575.19333837001</v>
      </c>
      <c r="AE96" s="180">
        <v>112196.00318171724</v>
      </c>
      <c r="AF96" s="180">
        <v>115542.15103529817</v>
      </c>
      <c r="AG96" s="180">
        <v>118511.43067482702</v>
      </c>
      <c r="AH96" s="180">
        <v>120692.73355564348</v>
      </c>
      <c r="AI96" s="180">
        <v>123070.17329305485</v>
      </c>
      <c r="AJ96" s="180">
        <v>125706.51939903147</v>
      </c>
      <c r="AK96" s="180">
        <v>128592.65766270173</v>
      </c>
      <c r="AL96" s="180">
        <v>131480.32815302513</v>
      </c>
      <c r="AM96" s="180">
        <v>134354.46999074699</v>
      </c>
      <c r="AN96" s="180">
        <v>137225.67256899472</v>
      </c>
      <c r="AO96" s="180">
        <v>139765.8765992226</v>
      </c>
      <c r="AP96" s="180">
        <v>142291.06865183703</v>
      </c>
      <c r="AQ96" s="180">
        <v>144805.23590920979</v>
      </c>
      <c r="AR96" s="180">
        <v>147255.35932485896</v>
      </c>
      <c r="AS96" s="180">
        <v>149654.28110547029</v>
      </c>
    </row>
    <row r="97" spans="2:45">
      <c r="B97" s="528"/>
      <c r="C97" s="180"/>
      <c r="D97" s="180" t="s">
        <v>344</v>
      </c>
      <c r="E97" s="180"/>
      <c r="F97" s="180"/>
      <c r="G97" s="180" t="s">
        <v>838</v>
      </c>
      <c r="H97" s="180"/>
      <c r="I97" s="180">
        <v>53633.52343400001</v>
      </c>
      <c r="J97" s="180">
        <v>0</v>
      </c>
      <c r="K97" s="180">
        <v>5.6777300000000004</v>
      </c>
      <c r="L97" s="180">
        <v>5.5893160000000002</v>
      </c>
      <c r="M97" s="180">
        <v>5.500902</v>
      </c>
      <c r="N97" s="180">
        <v>81.528713794928947</v>
      </c>
      <c r="O97" s="180">
        <v>486.98221216072562</v>
      </c>
      <c r="P97" s="180">
        <v>1271.3667002175175</v>
      </c>
      <c r="Q97" s="180">
        <v>4173.8215880441121</v>
      </c>
      <c r="R97" s="180">
        <v>7371.1362548731768</v>
      </c>
      <c r="S97" s="180">
        <v>8672.5099394526696</v>
      </c>
      <c r="T97" s="180">
        <v>8004.3627833189712</v>
      </c>
      <c r="U97" s="180">
        <v>7089.7000194545217</v>
      </c>
      <c r="V97" s="180">
        <v>6075.7383286022068</v>
      </c>
      <c r="W97" s="180">
        <v>4183.1333771750096</v>
      </c>
      <c r="X97" s="180">
        <v>2657.7164653158538</v>
      </c>
      <c r="Y97" s="180">
        <v>1348.7376691668742</v>
      </c>
      <c r="Z97" s="180">
        <v>680.31125012902862</v>
      </c>
      <c r="AA97" s="180">
        <v>583.39473556673988</v>
      </c>
      <c r="AB97" s="180">
        <v>486.478321004375</v>
      </c>
      <c r="AC97" s="180">
        <v>389.5618064420355</v>
      </c>
      <c r="AD97" s="180">
        <v>6.4072944250052455</v>
      </c>
      <c r="AE97" s="180">
        <v>5.3399230275579468</v>
      </c>
      <c r="AF97" s="180">
        <v>5.3213031859672686</v>
      </c>
      <c r="AG97" s="180">
        <v>3.4353190988842521</v>
      </c>
      <c r="AH97" s="180">
        <v>3.4166992573063166</v>
      </c>
      <c r="AI97" s="180">
        <v>3.3980794157411247</v>
      </c>
      <c r="AJ97" s="180">
        <v>3.3794595741504461</v>
      </c>
      <c r="AK97" s="180">
        <v>3.3608397325852537</v>
      </c>
      <c r="AL97" s="180">
        <v>3.3422198910200613</v>
      </c>
      <c r="AM97" s="180">
        <v>3.3236000494293831</v>
      </c>
      <c r="AN97" s="180">
        <v>3.3049802078769339</v>
      </c>
      <c r="AO97" s="180">
        <v>3.2863603662989984</v>
      </c>
      <c r="AP97" s="180">
        <v>3.2677405247083198</v>
      </c>
      <c r="AQ97" s="180">
        <v>3.2491206831558705</v>
      </c>
      <c r="AR97" s="180">
        <v>3.2305008415651919</v>
      </c>
      <c r="AS97" s="180">
        <v>3.211881</v>
      </c>
    </row>
    <row r="98" spans="2:45">
      <c r="B98" s="528"/>
      <c r="C98" s="180"/>
      <c r="D98" s="180" t="s">
        <v>841</v>
      </c>
      <c r="E98" s="180"/>
      <c r="F98" s="180"/>
      <c r="G98" s="180" t="s">
        <v>838</v>
      </c>
      <c r="H98" s="180"/>
      <c r="I98" s="180">
        <v>7387.9643086258757</v>
      </c>
      <c r="J98" s="180">
        <v>26.857465720992771</v>
      </c>
      <c r="K98" s="180">
        <v>27.193112700497956</v>
      </c>
      <c r="L98" s="180">
        <v>29.791784039288693</v>
      </c>
      <c r="M98" s="180">
        <v>32.498037361161018</v>
      </c>
      <c r="N98" s="180">
        <v>35.311872666114795</v>
      </c>
      <c r="O98" s="180">
        <v>121.027061812813</v>
      </c>
      <c r="P98" s="180">
        <v>120.68335781837006</v>
      </c>
      <c r="Q98" s="180">
        <v>142.87331749727147</v>
      </c>
      <c r="R98" s="180">
        <v>151.39294632119103</v>
      </c>
      <c r="S98" s="180">
        <v>160.16108259010645</v>
      </c>
      <c r="T98" s="180">
        <v>168.46159088815241</v>
      </c>
      <c r="U98" s="180">
        <v>193.87845330461764</v>
      </c>
      <c r="V98" s="180">
        <v>201.72789966586251</v>
      </c>
      <c r="W98" s="180">
        <v>209.75600074570832</v>
      </c>
      <c r="X98" s="180">
        <v>217.96275654415692</v>
      </c>
      <c r="Y98" s="180">
        <v>228.50825680460832</v>
      </c>
      <c r="Z98" s="180">
        <v>206.12550980213646</v>
      </c>
      <c r="AA98" s="180">
        <v>211.64795557005192</v>
      </c>
      <c r="AB98" s="180">
        <v>217.16998275828973</v>
      </c>
      <c r="AC98" s="180">
        <v>222.69159136685295</v>
      </c>
      <c r="AD98" s="180">
        <v>264.32410588026301</v>
      </c>
      <c r="AE98" s="180">
        <v>265.05540378754364</v>
      </c>
      <c r="AF98" s="180">
        <v>287.38718054917695</v>
      </c>
      <c r="AG98" s="180">
        <v>295.79970043115287</v>
      </c>
      <c r="AH98" s="180">
        <v>304.21180173345527</v>
      </c>
      <c r="AI98" s="180">
        <v>312.35772246577244</v>
      </c>
      <c r="AJ98" s="180">
        <v>318.67879441964737</v>
      </c>
      <c r="AK98" s="180">
        <v>325.63771263060335</v>
      </c>
      <c r="AL98" s="180">
        <v>332.59621226188005</v>
      </c>
      <c r="AM98" s="180">
        <v>339.55429331348387</v>
      </c>
      <c r="AN98" s="180">
        <v>346.5119557854087</v>
      </c>
      <c r="AO98" s="180">
        <v>210.89970663520319</v>
      </c>
      <c r="AP98" s="180">
        <v>212.46279225652583</v>
      </c>
      <c r="AQ98" s="180">
        <v>214.02587787784805</v>
      </c>
      <c r="AR98" s="180">
        <v>215.58896349917285</v>
      </c>
      <c r="AS98" s="180">
        <v>217.15204912049268</v>
      </c>
    </row>
    <row r="99" spans="2:45">
      <c r="B99" s="528"/>
      <c r="C99" s="180"/>
      <c r="D99" s="180" t="s">
        <v>821</v>
      </c>
      <c r="E99" s="180"/>
      <c r="F99" s="180"/>
      <c r="G99" s="180" t="s">
        <v>838</v>
      </c>
      <c r="H99" s="180"/>
      <c r="I99" s="180">
        <v>63732.59442095289</v>
      </c>
      <c r="J99" s="180">
        <v>0</v>
      </c>
      <c r="K99" s="180">
        <v>0</v>
      </c>
      <c r="L99" s="180">
        <v>0</v>
      </c>
      <c r="M99" s="180">
        <v>0</v>
      </c>
      <c r="N99" s="180">
        <v>0</v>
      </c>
      <c r="O99" s="180">
        <v>289.14360712216336</v>
      </c>
      <c r="P99" s="180">
        <v>447.9167255099793</v>
      </c>
      <c r="Q99" s="180">
        <v>908.69041598273702</v>
      </c>
      <c r="R99" s="180">
        <v>1195.8918845188432</v>
      </c>
      <c r="S99" s="180">
        <v>1628.3519554861296</v>
      </c>
      <c r="T99" s="180">
        <v>1920.0265476113268</v>
      </c>
      <c r="U99" s="180">
        <v>2350.4917429332586</v>
      </c>
      <c r="V99" s="180">
        <v>2770.4605712882708</v>
      </c>
      <c r="W99" s="180">
        <v>2766.3287645786872</v>
      </c>
      <c r="X99" s="180">
        <v>2743.1574417197244</v>
      </c>
      <c r="Y99" s="180">
        <v>2712.059423070069</v>
      </c>
      <c r="Z99" s="180">
        <v>2520.6259889756907</v>
      </c>
      <c r="AA99" s="180">
        <v>2543.4710697735322</v>
      </c>
      <c r="AB99" s="180">
        <v>2566.2971231060178</v>
      </c>
      <c r="AC99" s="180">
        <v>2532.9465013305417</v>
      </c>
      <c r="AD99" s="180">
        <v>2738.4863811602772</v>
      </c>
      <c r="AE99" s="180">
        <v>2846.5282516185202</v>
      </c>
      <c r="AF99" s="180">
        <v>2638.2281345789547</v>
      </c>
      <c r="AG99" s="180">
        <v>2283.9977526619605</v>
      </c>
      <c r="AH99" s="180">
        <v>1474.4037075962435</v>
      </c>
      <c r="AI99" s="180">
        <v>1647.253734733767</v>
      </c>
      <c r="AJ99" s="180">
        <v>1905.3342428142496</v>
      </c>
      <c r="AK99" s="180">
        <v>2160.9668200220576</v>
      </c>
      <c r="AL99" s="180">
        <v>2168.5353020003731</v>
      </c>
      <c r="AM99" s="180">
        <v>2167.4660456765937</v>
      </c>
      <c r="AN99" s="180">
        <v>2162.6556591865528</v>
      </c>
      <c r="AO99" s="180">
        <v>1955.8578007149638</v>
      </c>
      <c r="AP99" s="180">
        <v>1957.7363075633255</v>
      </c>
      <c r="AQ99" s="180">
        <v>1959.5801666809102</v>
      </c>
      <c r="AR99" s="180">
        <v>1906.0955313665727</v>
      </c>
      <c r="AS99" s="180">
        <v>1863.6088195706036</v>
      </c>
    </row>
    <row r="100" spans="2:45">
      <c r="B100" s="528"/>
      <c r="C100" s="180"/>
      <c r="D100" s="180" t="s">
        <v>842</v>
      </c>
      <c r="E100" s="180"/>
      <c r="F100" s="180"/>
      <c r="G100" s="180" t="s">
        <v>838</v>
      </c>
      <c r="H100" s="180"/>
      <c r="I100" s="180">
        <v>1902.9147254537879</v>
      </c>
      <c r="J100" s="180">
        <v>0</v>
      </c>
      <c r="K100" s="180">
        <v>0</v>
      </c>
      <c r="L100" s="180">
        <v>0</v>
      </c>
      <c r="M100" s="180">
        <v>0</v>
      </c>
      <c r="N100" s="180">
        <v>0</v>
      </c>
      <c r="O100" s="180">
        <v>32.540284095622418</v>
      </c>
      <c r="P100" s="180">
        <v>45.424926998664588</v>
      </c>
      <c r="Q100" s="180">
        <v>43.32495718268224</v>
      </c>
      <c r="R100" s="180">
        <v>39.984335870679857</v>
      </c>
      <c r="S100" s="180">
        <v>37.610888387959612</v>
      </c>
      <c r="T100" s="180">
        <v>37.084778633671519</v>
      </c>
      <c r="U100" s="180">
        <v>30.957187360039441</v>
      </c>
      <c r="V100" s="180">
        <v>20.895059782518157</v>
      </c>
      <c r="W100" s="180">
        <v>21.973515705283042</v>
      </c>
      <c r="X100" s="180">
        <v>23.984460841635165</v>
      </c>
      <c r="Y100" s="180">
        <v>26.022564314279251</v>
      </c>
      <c r="Z100" s="180">
        <v>35.248842175204608</v>
      </c>
      <c r="AA100" s="180">
        <v>48.145757582849349</v>
      </c>
      <c r="AB100" s="180">
        <v>61.287641017029706</v>
      </c>
      <c r="AC100" s="180">
        <v>75.07528728885525</v>
      </c>
      <c r="AD100" s="180">
        <v>89.464494738366909</v>
      </c>
      <c r="AE100" s="180">
        <v>95.298947672568303</v>
      </c>
      <c r="AF100" s="180">
        <v>60.331354519075383</v>
      </c>
      <c r="AG100" s="180">
        <v>65.229139903918608</v>
      </c>
      <c r="AH100" s="180">
        <v>70.670027093286521</v>
      </c>
      <c r="AI100" s="180">
        <v>93.831335783929518</v>
      </c>
      <c r="AJ100" s="180">
        <v>100.06900645495963</v>
      </c>
      <c r="AK100" s="180">
        <v>97.014019422135632</v>
      </c>
      <c r="AL100" s="180">
        <v>93.659979728786794</v>
      </c>
      <c r="AM100" s="180">
        <v>89.918622861803087</v>
      </c>
      <c r="AN100" s="180">
        <v>97.236415991826021</v>
      </c>
      <c r="AO100" s="180">
        <v>91.545938141112742</v>
      </c>
      <c r="AP100" s="180">
        <v>78.821022222588169</v>
      </c>
      <c r="AQ100" s="180">
        <v>71.999200093309028</v>
      </c>
      <c r="AR100" s="180">
        <v>66.236694453608052</v>
      </c>
      <c r="AS100" s="180">
        <v>62.02803913553894</v>
      </c>
    </row>
    <row r="101" spans="2:45">
      <c r="B101" s="528"/>
      <c r="C101" s="180"/>
      <c r="D101" s="180" t="s">
        <v>843</v>
      </c>
      <c r="E101" s="180"/>
      <c r="F101" s="180"/>
      <c r="G101" s="180" t="s">
        <v>838</v>
      </c>
      <c r="H101" s="180"/>
      <c r="I101" s="180">
        <v>0</v>
      </c>
      <c r="J101" s="180">
        <v>0</v>
      </c>
      <c r="K101" s="180">
        <v>0</v>
      </c>
      <c r="L101" s="180">
        <v>0</v>
      </c>
      <c r="M101" s="180">
        <v>0</v>
      </c>
      <c r="N101" s="180">
        <v>0</v>
      </c>
      <c r="O101" s="180">
        <v>0</v>
      </c>
      <c r="P101" s="180">
        <v>0</v>
      </c>
      <c r="Q101" s="180">
        <v>0</v>
      </c>
      <c r="R101" s="180">
        <v>0</v>
      </c>
      <c r="S101" s="180">
        <v>0</v>
      </c>
      <c r="T101" s="180">
        <v>0</v>
      </c>
      <c r="U101" s="180">
        <v>0</v>
      </c>
      <c r="V101" s="180">
        <v>0</v>
      </c>
      <c r="W101" s="180">
        <v>0</v>
      </c>
      <c r="X101" s="180">
        <v>0</v>
      </c>
      <c r="Y101" s="180">
        <v>0</v>
      </c>
      <c r="Z101" s="180">
        <v>0</v>
      </c>
      <c r="AA101" s="180">
        <v>0</v>
      </c>
      <c r="AB101" s="180">
        <v>0</v>
      </c>
      <c r="AC101" s="180">
        <v>0</v>
      </c>
      <c r="AD101" s="180">
        <v>0</v>
      </c>
      <c r="AE101" s="180">
        <v>0</v>
      </c>
      <c r="AF101" s="180">
        <v>0</v>
      </c>
      <c r="AG101" s="180">
        <v>0</v>
      </c>
      <c r="AH101" s="180">
        <v>0</v>
      </c>
      <c r="AI101" s="180">
        <v>0</v>
      </c>
      <c r="AJ101" s="180">
        <v>0</v>
      </c>
      <c r="AK101" s="180">
        <v>0</v>
      </c>
      <c r="AL101" s="180">
        <v>0</v>
      </c>
      <c r="AM101" s="180">
        <v>0</v>
      </c>
      <c r="AN101" s="180">
        <v>0</v>
      </c>
      <c r="AO101" s="180">
        <v>0</v>
      </c>
      <c r="AP101" s="180">
        <v>0</v>
      </c>
      <c r="AQ101" s="180">
        <v>0</v>
      </c>
      <c r="AR101" s="180">
        <v>0</v>
      </c>
      <c r="AS101" s="180">
        <v>0</v>
      </c>
    </row>
    <row r="102" spans="2:45">
      <c r="B102" s="528"/>
      <c r="C102" s="180"/>
      <c r="D102" s="180" t="s">
        <v>774</v>
      </c>
      <c r="E102" s="180"/>
      <c r="F102" s="180"/>
      <c r="G102" s="180" t="s">
        <v>838</v>
      </c>
      <c r="H102" s="180"/>
      <c r="I102" s="180">
        <v>17343.289320272183</v>
      </c>
      <c r="J102" s="180">
        <v>1087.9968769713655</v>
      </c>
      <c r="K102" s="180">
        <v>1096.8839324537196</v>
      </c>
      <c r="L102" s="180">
        <v>1102.9847393467815</v>
      </c>
      <c r="M102" s="180">
        <v>1108.9693730151398</v>
      </c>
      <c r="N102" s="180">
        <v>1114.86549588139</v>
      </c>
      <c r="O102" s="180">
        <v>1009.0695981485899</v>
      </c>
      <c r="P102" s="180">
        <v>974.75456332750866</v>
      </c>
      <c r="Q102" s="180">
        <v>900.11945649405891</v>
      </c>
      <c r="R102" s="180">
        <v>883.71903199072005</v>
      </c>
      <c r="S102" s="180">
        <v>855.93454855061862</v>
      </c>
      <c r="T102" s="180">
        <v>819.35691277436069</v>
      </c>
      <c r="U102" s="180">
        <v>764.9621807654413</v>
      </c>
      <c r="V102" s="180">
        <v>700.9504736613269</v>
      </c>
      <c r="W102" s="180">
        <v>637.58150540466193</v>
      </c>
      <c r="X102" s="180">
        <v>576.97634856975048</v>
      </c>
      <c r="Y102" s="180">
        <v>653.62755909356747</v>
      </c>
      <c r="Z102" s="180">
        <v>561.50373816824754</v>
      </c>
      <c r="AA102" s="180">
        <v>469.68526758524007</v>
      </c>
      <c r="AB102" s="180">
        <v>376.82465460360686</v>
      </c>
      <c r="AC102" s="180">
        <v>306.85434723548877</v>
      </c>
      <c r="AD102" s="180">
        <v>258.10360469333312</v>
      </c>
      <c r="AE102" s="180">
        <v>197.54684289194734</v>
      </c>
      <c r="AF102" s="180">
        <v>152.66058271285189</v>
      </c>
      <c r="AG102" s="180">
        <v>121.28561779009752</v>
      </c>
      <c r="AH102" s="180">
        <v>109.19967323230554</v>
      </c>
      <c r="AI102" s="180">
        <v>97.515127082596251</v>
      </c>
      <c r="AJ102" s="180">
        <v>85.5449206814761</v>
      </c>
      <c r="AK102" s="180">
        <v>74.079923295393073</v>
      </c>
      <c r="AL102" s="180">
        <v>63.115370588623882</v>
      </c>
      <c r="AM102" s="180">
        <v>52.646575725331687</v>
      </c>
      <c r="AN102" s="180">
        <v>42.669021423334755</v>
      </c>
      <c r="AO102" s="180">
        <v>34.12163175531051</v>
      </c>
      <c r="AP102" s="180">
        <v>25.587294278106761</v>
      </c>
      <c r="AQ102" s="180">
        <v>17.059764329954653</v>
      </c>
      <c r="AR102" s="180">
        <v>8.5327657499281742</v>
      </c>
      <c r="AS102" s="180">
        <v>0</v>
      </c>
    </row>
    <row r="103" spans="2:45">
      <c r="B103" s="528"/>
      <c r="C103" s="180"/>
      <c r="D103" s="180" t="s">
        <v>218</v>
      </c>
      <c r="E103" s="180"/>
      <c r="F103" s="180"/>
      <c r="G103" s="180" t="s">
        <v>838</v>
      </c>
      <c r="H103" s="180"/>
      <c r="I103" s="180">
        <v>1864.9745490146263</v>
      </c>
      <c r="J103" s="180">
        <v>44.276626912034367</v>
      </c>
      <c r="K103" s="180">
        <v>45.051746388195973</v>
      </c>
      <c r="L103" s="180">
        <v>45.735093794624561</v>
      </c>
      <c r="M103" s="180">
        <v>46.408665463604351</v>
      </c>
      <c r="N103" s="180">
        <v>47.075050747769644</v>
      </c>
      <c r="O103" s="180">
        <v>44.215199383032285</v>
      </c>
      <c r="P103" s="180">
        <v>43.499291927789614</v>
      </c>
      <c r="Q103" s="180">
        <v>41.179055973985655</v>
      </c>
      <c r="R103" s="180">
        <v>40.440664007782324</v>
      </c>
      <c r="S103" s="180">
        <v>39.121349649687041</v>
      </c>
      <c r="T103" s="180">
        <v>37.373900695277555</v>
      </c>
      <c r="U103" s="180">
        <v>34.540739601242493</v>
      </c>
      <c r="V103" s="180">
        <v>31.717600698333129</v>
      </c>
      <c r="W103" s="180">
        <v>28.950495624223745</v>
      </c>
      <c r="X103" s="180">
        <v>26.286481912884479</v>
      </c>
      <c r="Y103" s="180">
        <v>28.096373244498416</v>
      </c>
      <c r="Z103" s="180">
        <v>24.906622581644939</v>
      </c>
      <c r="AA103" s="180">
        <v>21.584445404562132</v>
      </c>
      <c r="AB103" s="180">
        <v>17.879397618899894</v>
      </c>
      <c r="AC103" s="180">
        <v>14.744626562659786</v>
      </c>
      <c r="AD103" s="180">
        <v>12.290858008759731</v>
      </c>
      <c r="AE103" s="180">
        <v>53.357721498263359</v>
      </c>
      <c r="AF103" s="180">
        <v>44.466808058842609</v>
      </c>
      <c r="AG103" s="180">
        <v>41.910196224749534</v>
      </c>
      <c r="AH103" s="180">
        <v>62.109850171195582</v>
      </c>
      <c r="AI103" s="180">
        <v>66.463040028189695</v>
      </c>
      <c r="AJ103" s="180">
        <v>68.268202600602237</v>
      </c>
      <c r="AK103" s="180">
        <v>71.220750144725159</v>
      </c>
      <c r="AL103" s="180">
        <v>73.888520633006038</v>
      </c>
      <c r="AM103" s="180">
        <v>76.273320295916292</v>
      </c>
      <c r="AN103" s="180">
        <v>78.377530575410916</v>
      </c>
      <c r="AO103" s="180">
        <v>91.95897745668826</v>
      </c>
      <c r="AP103" s="180">
        <v>97.265305817545837</v>
      </c>
      <c r="AQ103" s="180">
        <v>102.61022564352402</v>
      </c>
      <c r="AR103" s="180">
        <v>107.99763641430528</v>
      </c>
      <c r="AS103" s="180">
        <v>113.43217725016942</v>
      </c>
    </row>
    <row r="104" spans="2:45">
      <c r="B104" s="528"/>
      <c r="C104" s="180"/>
      <c r="D104" s="180" t="s">
        <v>800</v>
      </c>
      <c r="E104" s="180"/>
      <c r="F104" s="180"/>
      <c r="G104" s="180" t="s">
        <v>838</v>
      </c>
      <c r="H104" s="180"/>
      <c r="I104" s="180">
        <v>2868.4805545816948</v>
      </c>
      <c r="J104" s="180">
        <v>54.086680515791095</v>
      </c>
      <c r="K104" s="180">
        <v>53.337526664008067</v>
      </c>
      <c r="L104" s="180">
        <v>52.569861772937969</v>
      </c>
      <c r="M104" s="180">
        <v>51.783685842580972</v>
      </c>
      <c r="N104" s="180">
        <v>50.978998872937019</v>
      </c>
      <c r="O104" s="180">
        <v>50.155800864006125</v>
      </c>
      <c r="P104" s="180">
        <v>49.314091815787926</v>
      </c>
      <c r="Q104" s="180">
        <v>48.453871728283112</v>
      </c>
      <c r="R104" s="180">
        <v>47.575140601491007</v>
      </c>
      <c r="S104" s="180">
        <v>46.677898435412288</v>
      </c>
      <c r="T104" s="180">
        <v>45.762145230046279</v>
      </c>
      <c r="U104" s="180">
        <v>61.295363001713426</v>
      </c>
      <c r="V104" s="180">
        <v>61.47344952748783</v>
      </c>
      <c r="W104" s="180">
        <v>61.664468873762814</v>
      </c>
      <c r="X104" s="180">
        <v>61.878222173103872</v>
      </c>
      <c r="Y104" s="180">
        <v>62.131337369432089</v>
      </c>
      <c r="Z104" s="180">
        <v>62.452024198964061</v>
      </c>
      <c r="AA104" s="180">
        <v>62.888141006907105</v>
      </c>
      <c r="AB104" s="180">
        <v>63.52088002929866</v>
      </c>
      <c r="AC104" s="180">
        <v>64.487984251013756</v>
      </c>
      <c r="AD104" s="180">
        <v>99.566644198327126</v>
      </c>
      <c r="AE104" s="180">
        <v>105.18468212551522</v>
      </c>
      <c r="AF104" s="180">
        <v>105.24309068178097</v>
      </c>
      <c r="AG104" s="180">
        <v>105.3003610907171</v>
      </c>
      <c r="AH104" s="180">
        <v>105.35649335232742</v>
      </c>
      <c r="AI104" s="180">
        <v>105.41148746660953</v>
      </c>
      <c r="AJ104" s="180">
        <v>105.46534343356366</v>
      </c>
      <c r="AK104" s="180">
        <v>105.51806125319099</v>
      </c>
      <c r="AL104" s="180">
        <v>105.56964092548863</v>
      </c>
      <c r="AM104" s="180">
        <v>105.62008245046172</v>
      </c>
      <c r="AN104" s="180">
        <v>105.66938582810451</v>
      </c>
      <c r="AO104" s="180">
        <v>120.38984926449811</v>
      </c>
      <c r="AP104" s="180">
        <v>120.40483367964123</v>
      </c>
      <c r="AQ104" s="180">
        <v>120.41867994745637</v>
      </c>
      <c r="AR104" s="180">
        <v>120.43138806794302</v>
      </c>
      <c r="AS104" s="180">
        <v>120.4429580411032</v>
      </c>
    </row>
    <row r="105" spans="2:45">
      <c r="B105" s="528"/>
      <c r="C105" s="180"/>
      <c r="D105" s="180" t="s">
        <v>844</v>
      </c>
      <c r="E105" s="180"/>
      <c r="F105" s="180"/>
      <c r="G105" s="180" t="s">
        <v>838</v>
      </c>
      <c r="H105" s="180"/>
      <c r="I105" s="180">
        <v>37.365475506243747</v>
      </c>
      <c r="J105" s="180">
        <v>0</v>
      </c>
      <c r="K105" s="180">
        <v>0</v>
      </c>
      <c r="L105" s="180">
        <v>0</v>
      </c>
      <c r="M105" s="180">
        <v>0</v>
      </c>
      <c r="N105" s="180">
        <v>0</v>
      </c>
      <c r="O105" s="180">
        <v>0</v>
      </c>
      <c r="P105" s="180">
        <v>4.7467167013757727</v>
      </c>
      <c r="Q105" s="180">
        <v>5.4801725811029494</v>
      </c>
      <c r="R105" s="180">
        <v>6.0242069982837005</v>
      </c>
      <c r="S105" s="180">
        <v>6.3249074890221939</v>
      </c>
      <c r="T105" s="180">
        <v>6.3238900033320746</v>
      </c>
      <c r="U105" s="180">
        <v>3.1966444207458156</v>
      </c>
      <c r="V105" s="180">
        <v>2.5396785358540614</v>
      </c>
      <c r="W105" s="180">
        <v>1.7879104828779044</v>
      </c>
      <c r="X105" s="180">
        <v>0.94134829364927453</v>
      </c>
      <c r="Y105" s="180">
        <v>0</v>
      </c>
      <c r="Z105" s="180">
        <v>0</v>
      </c>
      <c r="AA105" s="180">
        <v>0</v>
      </c>
      <c r="AB105" s="180">
        <v>0</v>
      </c>
      <c r="AC105" s="180">
        <v>0</v>
      </c>
      <c r="AD105" s="180">
        <v>0</v>
      </c>
      <c r="AE105" s="180">
        <v>0</v>
      </c>
      <c r="AF105" s="180">
        <v>0</v>
      </c>
      <c r="AG105" s="180">
        <v>0</v>
      </c>
      <c r="AH105" s="180">
        <v>0</v>
      </c>
      <c r="AI105" s="180">
        <v>0</v>
      </c>
      <c r="AJ105" s="180">
        <v>0</v>
      </c>
      <c r="AK105" s="180">
        <v>0</v>
      </c>
      <c r="AL105" s="180">
        <v>0</v>
      </c>
      <c r="AM105" s="180">
        <v>0</v>
      </c>
      <c r="AN105" s="180">
        <v>0</v>
      </c>
      <c r="AO105" s="180">
        <v>0</v>
      </c>
      <c r="AP105" s="180">
        <v>0</v>
      </c>
      <c r="AQ105" s="180">
        <v>0</v>
      </c>
      <c r="AR105" s="180">
        <v>0</v>
      </c>
      <c r="AS105" s="180">
        <v>0</v>
      </c>
    </row>
    <row r="106" spans="2:45">
      <c r="B106" s="528"/>
      <c r="C106" s="180"/>
      <c r="D106" s="180" t="s">
        <v>845</v>
      </c>
      <c r="E106" s="180"/>
      <c r="F106" s="180"/>
      <c r="G106" s="180" t="s">
        <v>838</v>
      </c>
      <c r="H106" s="180"/>
      <c r="I106" s="180">
        <v>0</v>
      </c>
      <c r="J106" s="180">
        <v>0</v>
      </c>
      <c r="K106" s="180">
        <v>0</v>
      </c>
      <c r="L106" s="180">
        <v>0</v>
      </c>
      <c r="M106" s="180">
        <v>0</v>
      </c>
      <c r="N106" s="180">
        <v>0</v>
      </c>
      <c r="O106" s="180">
        <v>0</v>
      </c>
      <c r="P106" s="180">
        <v>0</v>
      </c>
      <c r="Q106" s="180">
        <v>0</v>
      </c>
      <c r="R106" s="180">
        <v>0</v>
      </c>
      <c r="S106" s="180">
        <v>0</v>
      </c>
      <c r="T106" s="180">
        <v>0</v>
      </c>
      <c r="U106" s="180">
        <v>0</v>
      </c>
      <c r="V106" s="180">
        <v>0</v>
      </c>
      <c r="W106" s="180">
        <v>0</v>
      </c>
      <c r="X106" s="180">
        <v>0</v>
      </c>
      <c r="Y106" s="180">
        <v>0</v>
      </c>
      <c r="Z106" s="180">
        <v>0</v>
      </c>
      <c r="AA106" s="180">
        <v>0</v>
      </c>
      <c r="AB106" s="180">
        <v>0</v>
      </c>
      <c r="AC106" s="180">
        <v>0</v>
      </c>
      <c r="AD106" s="180">
        <v>0</v>
      </c>
      <c r="AE106" s="180">
        <v>0</v>
      </c>
      <c r="AF106" s="180">
        <v>0</v>
      </c>
      <c r="AG106" s="180">
        <v>0</v>
      </c>
      <c r="AH106" s="180">
        <v>0</v>
      </c>
      <c r="AI106" s="180">
        <v>0</v>
      </c>
      <c r="AJ106" s="180">
        <v>0</v>
      </c>
      <c r="AK106" s="180">
        <v>0</v>
      </c>
      <c r="AL106" s="180">
        <v>0</v>
      </c>
      <c r="AM106" s="180">
        <v>0</v>
      </c>
      <c r="AN106" s="180">
        <v>0</v>
      </c>
      <c r="AO106" s="180">
        <v>0</v>
      </c>
      <c r="AP106" s="180">
        <v>0</v>
      </c>
      <c r="AQ106" s="180">
        <v>0</v>
      </c>
      <c r="AR106" s="180">
        <v>0</v>
      </c>
      <c r="AS106" s="180">
        <v>0</v>
      </c>
    </row>
    <row r="107" spans="2:45">
      <c r="B107" s="528"/>
      <c r="C107" s="180"/>
      <c r="D107" s="180" t="s">
        <v>846</v>
      </c>
      <c r="E107" s="180"/>
      <c r="F107" s="180"/>
      <c r="G107" s="180" t="s">
        <v>838</v>
      </c>
      <c r="H107" s="180"/>
      <c r="I107" s="180">
        <v>883.17431706298146</v>
      </c>
      <c r="J107" s="180">
        <v>0</v>
      </c>
      <c r="K107" s="180">
        <v>0</v>
      </c>
      <c r="L107" s="180">
        <v>0</v>
      </c>
      <c r="M107" s="180">
        <v>0</v>
      </c>
      <c r="N107" s="180">
        <v>0</v>
      </c>
      <c r="O107" s="180">
        <v>0</v>
      </c>
      <c r="P107" s="180">
        <v>9.6577435472259783</v>
      </c>
      <c r="Q107" s="180">
        <v>12.196815838601397</v>
      </c>
      <c r="R107" s="180">
        <v>15.019985458693878</v>
      </c>
      <c r="S107" s="180">
        <v>18.127252407503384</v>
      </c>
      <c r="T107" s="180">
        <v>21.486377210167355</v>
      </c>
      <c r="U107" s="180">
        <v>13.313918330137513</v>
      </c>
      <c r="V107" s="180">
        <v>14.101533994799928</v>
      </c>
      <c r="W107" s="180">
        <v>14.889018140564405</v>
      </c>
      <c r="X107" s="180">
        <v>15.67637076743126</v>
      </c>
      <c r="Y107" s="180">
        <v>16.463591875400116</v>
      </c>
      <c r="Z107" s="180">
        <v>22.728299242330323</v>
      </c>
      <c r="AA107" s="180">
        <v>23.857640056267815</v>
      </c>
      <c r="AB107" s="180">
        <v>24.902417527014737</v>
      </c>
      <c r="AC107" s="180">
        <v>26.026380630181244</v>
      </c>
      <c r="AD107" s="180">
        <v>27.157130782910844</v>
      </c>
      <c r="AE107" s="180">
        <v>52.498070725309773</v>
      </c>
      <c r="AF107" s="180">
        <v>52.509399294272896</v>
      </c>
      <c r="AG107" s="180">
        <v>52.321552327367101</v>
      </c>
      <c r="AH107" s="180">
        <v>51.934628380352656</v>
      </c>
      <c r="AI107" s="180">
        <v>51.209210434755093</v>
      </c>
      <c r="AJ107" s="180">
        <v>49.606135997971812</v>
      </c>
      <c r="AK107" s="180">
        <v>48.340137169566439</v>
      </c>
      <c r="AL107" s="180">
        <v>46.963244294215123</v>
      </c>
      <c r="AM107" s="180">
        <v>39.339297348831472</v>
      </c>
      <c r="AN107" s="180">
        <v>34.777629249220432</v>
      </c>
      <c r="AO107" s="180">
        <v>32.143765893792178</v>
      </c>
      <c r="AP107" s="180">
        <v>29.646756271990807</v>
      </c>
      <c r="AQ107" s="180">
        <v>25.224222116589015</v>
      </c>
      <c r="AR107" s="180">
        <v>22.00993525608644</v>
      </c>
      <c r="AS107" s="180">
        <v>19.045856493430026</v>
      </c>
    </row>
    <row r="108" spans="2:45">
      <c r="B108" s="528"/>
      <c r="C108" s="180"/>
      <c r="D108" s="180"/>
      <c r="E108" s="180"/>
      <c r="F108" s="180"/>
      <c r="G108" s="180"/>
      <c r="H108" s="180"/>
      <c r="I108" s="180"/>
      <c r="J108" s="180"/>
      <c r="K108" s="180"/>
      <c r="L108" s="180"/>
      <c r="M108" s="180"/>
      <c r="N108" s="180"/>
      <c r="O108" s="180"/>
      <c r="P108" s="180"/>
      <c r="Q108" s="180"/>
      <c r="R108" s="180"/>
      <c r="S108" s="180"/>
      <c r="T108" s="180"/>
      <c r="U108" s="180"/>
      <c r="V108" s="180"/>
      <c r="W108" s="180"/>
      <c r="X108" s="180"/>
      <c r="Y108" s="180"/>
      <c r="Z108" s="180"/>
      <c r="AA108" s="180"/>
      <c r="AB108" s="180"/>
      <c r="AC108" s="180"/>
      <c r="AD108" s="180"/>
      <c r="AE108" s="180"/>
      <c r="AF108" s="180"/>
      <c r="AG108" s="180"/>
      <c r="AH108" s="180"/>
      <c r="AI108" s="180"/>
      <c r="AJ108" s="180"/>
      <c r="AK108" s="180"/>
      <c r="AL108" s="180"/>
      <c r="AM108" s="180"/>
      <c r="AN108" s="180"/>
      <c r="AO108" s="180"/>
      <c r="AP108" s="180"/>
      <c r="AQ108" s="180"/>
      <c r="AR108" s="180"/>
      <c r="AS108" s="180"/>
    </row>
    <row r="109" spans="2:45">
      <c r="B109" s="528"/>
      <c r="C109" s="180" t="s">
        <v>847</v>
      </c>
      <c r="D109" s="180" t="s">
        <v>142</v>
      </c>
      <c r="E109" s="180"/>
      <c r="F109" s="180"/>
      <c r="G109" s="180" t="s">
        <v>838</v>
      </c>
      <c r="H109" s="180"/>
      <c r="I109" s="180">
        <v>9185.9812800234231</v>
      </c>
      <c r="J109" s="180">
        <v>9.3613400107731284</v>
      </c>
      <c r="K109" s="180">
        <v>9.739784234805871</v>
      </c>
      <c r="L109" s="180">
        <v>11.335583896551292</v>
      </c>
      <c r="M109" s="180">
        <v>51.249940604897915</v>
      </c>
      <c r="N109" s="180">
        <v>29.232471809601595</v>
      </c>
      <c r="O109" s="180">
        <v>99.22020164337232</v>
      </c>
      <c r="P109" s="180">
        <v>124.00205564191245</v>
      </c>
      <c r="Q109" s="180">
        <v>214.02761817992763</v>
      </c>
      <c r="R109" s="180">
        <v>242.12846462948261</v>
      </c>
      <c r="S109" s="180">
        <v>240.85556365161403</v>
      </c>
      <c r="T109" s="180">
        <v>268.05927805504149</v>
      </c>
      <c r="U109" s="180">
        <v>284.36847945895022</v>
      </c>
      <c r="V109" s="180">
        <v>294.97587319802261</v>
      </c>
      <c r="W109" s="180">
        <v>287.26437540300037</v>
      </c>
      <c r="X109" s="180">
        <v>321.34912937442152</v>
      </c>
      <c r="Y109" s="180">
        <v>349.01701665161386</v>
      </c>
      <c r="Z109" s="180">
        <v>318.23478786560003</v>
      </c>
      <c r="AA109" s="180">
        <v>306.05541779819998</v>
      </c>
      <c r="AB109" s="180">
        <v>321.46018067078387</v>
      </c>
      <c r="AC109" s="180">
        <v>333.74715943086494</v>
      </c>
      <c r="AD109" s="180">
        <v>365.5984271236253</v>
      </c>
      <c r="AE109" s="180">
        <v>301.9345106203678</v>
      </c>
      <c r="AF109" s="180">
        <v>376.13117704514542</v>
      </c>
      <c r="AG109" s="180">
        <v>383.11471036482919</v>
      </c>
      <c r="AH109" s="180">
        <v>375.9040674184406</v>
      </c>
      <c r="AI109" s="180">
        <v>368.82809015290377</v>
      </c>
      <c r="AJ109" s="180">
        <v>373.60311208669839</v>
      </c>
      <c r="AK109" s="180">
        <v>380.28543997616441</v>
      </c>
      <c r="AL109" s="180">
        <v>371.14013000316481</v>
      </c>
      <c r="AM109" s="180">
        <v>365.06988732600848</v>
      </c>
      <c r="AN109" s="180">
        <v>324.16137809029613</v>
      </c>
      <c r="AO109" s="180">
        <v>265.62470490454007</v>
      </c>
      <c r="AP109" s="180">
        <v>246.81481769691743</v>
      </c>
      <c r="AQ109" s="180">
        <v>235.98697278699268</v>
      </c>
      <c r="AR109" s="180">
        <v>217.99969216582991</v>
      </c>
      <c r="AS109" s="180">
        <v>118.09944005206249</v>
      </c>
    </row>
    <row r="110" spans="2:45">
      <c r="B110" s="528"/>
      <c r="C110" s="180"/>
      <c r="D110" s="180" t="s">
        <v>839</v>
      </c>
      <c r="E110" s="180"/>
      <c r="F110" s="180"/>
      <c r="G110" s="180" t="s">
        <v>840</v>
      </c>
      <c r="H110" s="180"/>
      <c r="I110" s="180"/>
      <c r="J110" s="180">
        <v>9.3613400107731284</v>
      </c>
      <c r="K110" s="180">
        <v>19.101124245579001</v>
      </c>
      <c r="L110" s="180">
        <v>30.436708142130293</v>
      </c>
      <c r="M110" s="180">
        <v>81.686648747028215</v>
      </c>
      <c r="N110" s="180">
        <v>110.91912055662981</v>
      </c>
      <c r="O110" s="180">
        <v>210.13932220000214</v>
      </c>
      <c r="P110" s="180">
        <v>334.14137784191462</v>
      </c>
      <c r="Q110" s="180">
        <v>548.1689960218423</v>
      </c>
      <c r="R110" s="180">
        <v>790.29746065132485</v>
      </c>
      <c r="S110" s="180">
        <v>1031.1530243029388</v>
      </c>
      <c r="T110" s="180">
        <v>1299.2123023579802</v>
      </c>
      <c r="U110" s="180">
        <v>1583.5807818169305</v>
      </c>
      <c r="V110" s="180">
        <v>1878.5566550149531</v>
      </c>
      <c r="W110" s="180">
        <v>2165.8210304179534</v>
      </c>
      <c r="X110" s="180">
        <v>2487.1701597923748</v>
      </c>
      <c r="Y110" s="180">
        <v>2836.1871764439884</v>
      </c>
      <c r="Z110" s="180">
        <v>3154.4219643095885</v>
      </c>
      <c r="AA110" s="180">
        <v>3460.4773821077883</v>
      </c>
      <c r="AB110" s="180">
        <v>3781.9375627785721</v>
      </c>
      <c r="AC110" s="180">
        <v>4115.6847222094366</v>
      </c>
      <c r="AD110" s="180">
        <v>4481.2831493330623</v>
      </c>
      <c r="AE110" s="180">
        <v>4783.2176599534305</v>
      </c>
      <c r="AF110" s="180">
        <v>5159.3488369985762</v>
      </c>
      <c r="AG110" s="180">
        <v>5542.4635473634053</v>
      </c>
      <c r="AH110" s="180">
        <v>5918.367614781846</v>
      </c>
      <c r="AI110" s="180">
        <v>6287.1957049347493</v>
      </c>
      <c r="AJ110" s="180">
        <v>6660.7988170214476</v>
      </c>
      <c r="AK110" s="180">
        <v>7041.0842569976121</v>
      </c>
      <c r="AL110" s="180">
        <v>7412.2243870007769</v>
      </c>
      <c r="AM110" s="180">
        <v>7777.2942743267849</v>
      </c>
      <c r="AN110" s="180">
        <v>8101.4556524170812</v>
      </c>
      <c r="AO110" s="180">
        <v>8367.0803573216217</v>
      </c>
      <c r="AP110" s="180">
        <v>8613.8951750185388</v>
      </c>
      <c r="AQ110" s="180">
        <v>8849.8821478055306</v>
      </c>
      <c r="AR110" s="180">
        <v>9067.88183997136</v>
      </c>
      <c r="AS110" s="180">
        <v>9185.9812800234231</v>
      </c>
    </row>
    <row r="111" spans="2:45">
      <c r="B111" s="528"/>
      <c r="C111" s="180"/>
      <c r="D111" s="180" t="s">
        <v>848</v>
      </c>
      <c r="E111" s="180"/>
      <c r="F111" s="180"/>
      <c r="G111" s="180" t="s">
        <v>838</v>
      </c>
      <c r="H111" s="180"/>
      <c r="I111" s="180">
        <v>1429.5955963904951</v>
      </c>
      <c r="J111" s="180">
        <v>0</v>
      </c>
      <c r="K111" s="180">
        <v>3.4645097327743776E-2</v>
      </c>
      <c r="L111" s="180">
        <v>3.4645097327743776E-2</v>
      </c>
      <c r="M111" s="180">
        <v>3.464509732774379E-2</v>
      </c>
      <c r="N111" s="180">
        <v>3.4645097327743762E-2</v>
      </c>
      <c r="O111" s="180">
        <v>0</v>
      </c>
      <c r="P111" s="180">
        <v>0</v>
      </c>
      <c r="Q111" s="180">
        <v>0</v>
      </c>
      <c r="R111" s="180">
        <v>0</v>
      </c>
      <c r="S111" s="180">
        <v>0</v>
      </c>
      <c r="T111" s="180">
        <v>0</v>
      </c>
      <c r="U111" s="180">
        <v>0</v>
      </c>
      <c r="V111" s="180">
        <v>0</v>
      </c>
      <c r="W111" s="180">
        <v>0</v>
      </c>
      <c r="X111" s="180">
        <v>0</v>
      </c>
      <c r="Y111" s="180">
        <v>0</v>
      </c>
      <c r="Z111" s="180">
        <v>0</v>
      </c>
      <c r="AA111" s="180">
        <v>0</v>
      </c>
      <c r="AB111" s="180">
        <v>1.4058832682701463</v>
      </c>
      <c r="AC111" s="180">
        <v>48.774910958854797</v>
      </c>
      <c r="AD111" s="180">
        <v>105.81328782710403</v>
      </c>
      <c r="AE111" s="180">
        <v>105.81328782710405</v>
      </c>
      <c r="AF111" s="180">
        <v>105.81328782710359</v>
      </c>
      <c r="AG111" s="180">
        <v>105.81328782710406</v>
      </c>
      <c r="AH111" s="180">
        <v>105.81328782710403</v>
      </c>
      <c r="AI111" s="180">
        <v>81.585513659953719</v>
      </c>
      <c r="AJ111" s="180">
        <v>81.585513659953676</v>
      </c>
      <c r="AK111" s="180">
        <v>81.585513659953691</v>
      </c>
      <c r="AL111" s="180">
        <v>81.585513659953676</v>
      </c>
      <c r="AM111" s="180">
        <v>81.585513659953719</v>
      </c>
      <c r="AN111" s="180">
        <v>88.456442867754262</v>
      </c>
      <c r="AO111" s="180">
        <v>88.456442867754262</v>
      </c>
      <c r="AP111" s="180">
        <v>88.456442867753907</v>
      </c>
      <c r="AQ111" s="180">
        <v>88.456442867754205</v>
      </c>
      <c r="AR111" s="180">
        <v>88.456442867754291</v>
      </c>
      <c r="AS111" s="180">
        <v>0</v>
      </c>
    </row>
    <row r="112" spans="2:45">
      <c r="B112" s="528"/>
      <c r="C112" s="180"/>
      <c r="D112" s="180" t="s">
        <v>849</v>
      </c>
      <c r="E112" s="180"/>
      <c r="F112" s="180"/>
      <c r="G112" s="180" t="s">
        <v>838</v>
      </c>
      <c r="H112" s="180"/>
      <c r="I112" s="180">
        <v>845.09274415773507</v>
      </c>
      <c r="J112" s="180">
        <v>0</v>
      </c>
      <c r="K112" s="180">
        <v>0</v>
      </c>
      <c r="L112" s="180">
        <v>0</v>
      </c>
      <c r="M112" s="180">
        <v>0</v>
      </c>
      <c r="N112" s="180">
        <v>0</v>
      </c>
      <c r="O112" s="180">
        <v>0</v>
      </c>
      <c r="P112" s="180">
        <v>0</v>
      </c>
      <c r="Q112" s="180">
        <v>0</v>
      </c>
      <c r="R112" s="180">
        <v>0</v>
      </c>
      <c r="S112" s="180">
        <v>0</v>
      </c>
      <c r="T112" s="180">
        <v>0</v>
      </c>
      <c r="U112" s="180">
        <v>0</v>
      </c>
      <c r="V112" s="180">
        <v>0</v>
      </c>
      <c r="W112" s="180">
        <v>0</v>
      </c>
      <c r="X112" s="180">
        <v>39.081627100419432</v>
      </c>
      <c r="Y112" s="180">
        <v>71.695917103782989</v>
      </c>
      <c r="Z112" s="180">
        <v>71.695917103782989</v>
      </c>
      <c r="AA112" s="180">
        <v>71.695917103782406</v>
      </c>
      <c r="AB112" s="180">
        <v>71.695917103782989</v>
      </c>
      <c r="AC112" s="180">
        <v>71.695917103782989</v>
      </c>
      <c r="AD112" s="180">
        <v>46.337602612359341</v>
      </c>
      <c r="AE112" s="180">
        <v>46.337602612359341</v>
      </c>
      <c r="AF112" s="180">
        <v>46.337602612359341</v>
      </c>
      <c r="AG112" s="180">
        <v>46.337602612359341</v>
      </c>
      <c r="AH112" s="180">
        <v>46.337602612359341</v>
      </c>
      <c r="AI112" s="180">
        <v>44.277935360102056</v>
      </c>
      <c r="AJ112" s="180">
        <v>43.723319527711531</v>
      </c>
      <c r="AK112" s="180">
        <v>43.16870369532046</v>
      </c>
      <c r="AL112" s="180">
        <v>42.614087862930525</v>
      </c>
      <c r="AM112" s="180">
        <v>42.059472030540014</v>
      </c>
      <c r="AN112" s="180">
        <v>0</v>
      </c>
      <c r="AO112" s="180">
        <v>0</v>
      </c>
      <c r="AP112" s="180">
        <v>0</v>
      </c>
      <c r="AQ112" s="180">
        <v>0</v>
      </c>
      <c r="AR112" s="180">
        <v>0</v>
      </c>
      <c r="AS112" s="180">
        <v>0</v>
      </c>
    </row>
    <row r="113" spans="2:45">
      <c r="B113" s="528"/>
      <c r="C113" s="180"/>
      <c r="D113" s="180" t="s">
        <v>188</v>
      </c>
      <c r="E113" s="180"/>
      <c r="F113" s="180"/>
      <c r="G113" s="180" t="s">
        <v>838</v>
      </c>
      <c r="H113" s="180"/>
      <c r="I113" s="180">
        <v>2070.5349324672375</v>
      </c>
      <c r="J113" s="180">
        <v>9.3613400107731284</v>
      </c>
      <c r="K113" s="180">
        <v>9.7051391374781275</v>
      </c>
      <c r="L113" s="180">
        <v>11.300938799223548</v>
      </c>
      <c r="M113" s="180">
        <v>12.89676525129863</v>
      </c>
      <c r="N113" s="180">
        <v>14.492618493703409</v>
      </c>
      <c r="O113" s="180">
        <v>64.762608041893671</v>
      </c>
      <c r="P113" s="180">
        <v>63.420615203733561</v>
      </c>
      <c r="Q113" s="180">
        <v>78.063277419074211</v>
      </c>
      <c r="R113" s="180">
        <v>81.955720127349366</v>
      </c>
      <c r="S113" s="180">
        <v>85.848130844855874</v>
      </c>
      <c r="T113" s="180">
        <v>89.352138727337262</v>
      </c>
      <c r="U113" s="180">
        <v>99.395680650459866</v>
      </c>
      <c r="V113" s="180">
        <v>102.09194132406061</v>
      </c>
      <c r="W113" s="180">
        <v>104.78819741821617</v>
      </c>
      <c r="X113" s="180">
        <v>107.48444936766866</v>
      </c>
      <c r="Y113" s="180">
        <v>110.18069744961581</v>
      </c>
      <c r="Z113" s="180">
        <v>97.137718151714054</v>
      </c>
      <c r="AA113" s="180">
        <v>97.114082545058281</v>
      </c>
      <c r="AB113" s="180">
        <v>97.089718962851464</v>
      </c>
      <c r="AC113" s="180">
        <v>97.065248470901722</v>
      </c>
      <c r="AD113" s="180">
        <v>96.976242085139461</v>
      </c>
      <c r="AE113" s="180">
        <v>46.321970860992174</v>
      </c>
      <c r="AF113" s="180">
        <v>46.309831250215815</v>
      </c>
      <c r="AG113" s="180">
        <v>46.297678948967473</v>
      </c>
      <c r="AH113" s="180">
        <v>46.285469667549897</v>
      </c>
      <c r="AI113" s="180">
        <v>46.273251385875291</v>
      </c>
      <c r="AJ113" s="180">
        <v>46.261271233427195</v>
      </c>
      <c r="AK113" s="180">
        <v>46.249248296092837</v>
      </c>
      <c r="AL113" s="180">
        <v>46.237182475509528</v>
      </c>
      <c r="AM113" s="180">
        <v>46.225073648277913</v>
      </c>
      <c r="AN113" s="180">
        <v>46.212921660088284</v>
      </c>
      <c r="AO113" s="180">
        <v>15.475766670560846</v>
      </c>
      <c r="AP113" s="180">
        <v>15.475662345298039</v>
      </c>
      <c r="AQ113" s="180">
        <v>15.475555471888153</v>
      </c>
      <c r="AR113" s="180">
        <v>15.475446038140721</v>
      </c>
      <c r="AS113" s="180">
        <v>15.475334031946316</v>
      </c>
    </row>
    <row r="114" spans="2:45">
      <c r="B114" s="528"/>
      <c r="C114" s="180"/>
      <c r="D114" s="180" t="s">
        <v>850</v>
      </c>
      <c r="E114" s="180"/>
      <c r="F114" s="180"/>
      <c r="G114" s="180" t="s">
        <v>838</v>
      </c>
      <c r="H114" s="180"/>
      <c r="I114" s="180">
        <v>4.5351627564003243</v>
      </c>
      <c r="J114" s="180">
        <v>0</v>
      </c>
      <c r="K114" s="180">
        <v>0</v>
      </c>
      <c r="L114" s="180">
        <v>0</v>
      </c>
      <c r="M114" s="180">
        <v>0</v>
      </c>
      <c r="N114" s="180">
        <v>0</v>
      </c>
      <c r="O114" s="180">
        <v>0</v>
      </c>
      <c r="P114" s="180">
        <v>0</v>
      </c>
      <c r="Q114" s="180">
        <v>0</v>
      </c>
      <c r="R114" s="180">
        <v>0</v>
      </c>
      <c r="S114" s="180">
        <v>0</v>
      </c>
      <c r="T114" s="180">
        <v>0</v>
      </c>
      <c r="U114" s="180">
        <v>0.19728093309411074</v>
      </c>
      <c r="V114" s="180">
        <v>0.19728093309411074</v>
      </c>
      <c r="W114" s="180">
        <v>0.19728093309411071</v>
      </c>
      <c r="X114" s="180">
        <v>0.19728093309411077</v>
      </c>
      <c r="Y114" s="180">
        <v>0.19728093309411077</v>
      </c>
      <c r="Z114" s="180">
        <v>0.56612359952568514</v>
      </c>
      <c r="AA114" s="180">
        <v>0.56612359952568481</v>
      </c>
      <c r="AB114" s="180">
        <v>0.56612359952568525</v>
      </c>
      <c r="AC114" s="180">
        <v>0.56612359952568481</v>
      </c>
      <c r="AD114" s="180">
        <v>0.56612359952568525</v>
      </c>
      <c r="AE114" s="180">
        <v>0.1436280186602685</v>
      </c>
      <c r="AF114" s="180">
        <v>0.14362801866026903</v>
      </c>
      <c r="AG114" s="180">
        <v>0.14362801866026903</v>
      </c>
      <c r="AH114" s="180">
        <v>0.14362801866026903</v>
      </c>
      <c r="AI114" s="180">
        <v>0.1436280186602685</v>
      </c>
      <c r="AJ114" s="180">
        <v>0</v>
      </c>
      <c r="AK114" s="180">
        <v>0</v>
      </c>
      <c r="AL114" s="180">
        <v>0</v>
      </c>
      <c r="AM114" s="180">
        <v>0</v>
      </c>
      <c r="AN114" s="180">
        <v>0</v>
      </c>
      <c r="AO114" s="180">
        <v>0</v>
      </c>
      <c r="AP114" s="180">
        <v>0</v>
      </c>
      <c r="AQ114" s="180">
        <v>0</v>
      </c>
      <c r="AR114" s="180">
        <v>0</v>
      </c>
      <c r="AS114" s="180">
        <v>0</v>
      </c>
    </row>
    <row r="115" spans="2:45">
      <c r="B115" s="528"/>
      <c r="C115" s="180"/>
      <c r="D115" s="180" t="s">
        <v>826</v>
      </c>
      <c r="E115" s="180"/>
      <c r="F115" s="180"/>
      <c r="G115" s="180" t="s">
        <v>838</v>
      </c>
      <c r="H115" s="180"/>
      <c r="I115" s="180">
        <v>4736.5478442515569</v>
      </c>
      <c r="J115" s="180">
        <v>0</v>
      </c>
      <c r="K115" s="180">
        <v>0</v>
      </c>
      <c r="L115" s="180">
        <v>0</v>
      </c>
      <c r="M115" s="180">
        <v>38.318530256271544</v>
      </c>
      <c r="N115" s="180">
        <v>14.705208218570442</v>
      </c>
      <c r="O115" s="180">
        <v>33.557593601478644</v>
      </c>
      <c r="P115" s="180">
        <v>60.581440438178888</v>
      </c>
      <c r="Q115" s="180">
        <v>135.96434076085342</v>
      </c>
      <c r="R115" s="180">
        <v>160.17274450213324</v>
      </c>
      <c r="S115" s="180">
        <v>155.00743280675815</v>
      </c>
      <c r="T115" s="180">
        <v>177.87463932770424</v>
      </c>
      <c r="U115" s="180">
        <v>179.40401787539622</v>
      </c>
      <c r="V115" s="180">
        <v>188.98915094086789</v>
      </c>
      <c r="W115" s="180">
        <v>181.48689705169011</v>
      </c>
      <c r="X115" s="180">
        <v>173.8072719732393</v>
      </c>
      <c r="Y115" s="180">
        <v>166.94312116512097</v>
      </c>
      <c r="Z115" s="180">
        <v>148.03402901057734</v>
      </c>
      <c r="AA115" s="180">
        <v>131.28979454983357</v>
      </c>
      <c r="AB115" s="180">
        <v>149.82953773635359</v>
      </c>
      <c r="AC115" s="180">
        <v>114.73595929779974</v>
      </c>
      <c r="AD115" s="180">
        <v>114.01517099949677</v>
      </c>
      <c r="AE115" s="180">
        <v>102.33702130125198</v>
      </c>
      <c r="AF115" s="180">
        <v>174.47582733680639</v>
      </c>
      <c r="AG115" s="180">
        <v>183.46951295773806</v>
      </c>
      <c r="AH115" s="180">
        <v>175.14607929276701</v>
      </c>
      <c r="AI115" s="180">
        <v>187.49526172831241</v>
      </c>
      <c r="AJ115" s="180">
        <v>197.53300766560596</v>
      </c>
      <c r="AK115" s="180">
        <v>203.65697432479746</v>
      </c>
      <c r="AL115" s="180">
        <v>196.20334600477108</v>
      </c>
      <c r="AM115" s="180">
        <v>189.57482798723683</v>
      </c>
      <c r="AN115" s="180">
        <v>183.86701356245359</v>
      </c>
      <c r="AO115" s="180">
        <v>150.38999536622495</v>
      </c>
      <c r="AP115" s="180">
        <v>134.68521248386548</v>
      </c>
      <c r="AQ115" s="180">
        <v>125.30497444735033</v>
      </c>
      <c r="AR115" s="180">
        <v>109.56780325993492</v>
      </c>
      <c r="AS115" s="180">
        <v>98.124106020116173</v>
      </c>
    </row>
    <row r="116" spans="2:45">
      <c r="B116" s="528"/>
      <c r="C116" s="180"/>
      <c r="D116" s="180" t="s">
        <v>851</v>
      </c>
      <c r="E116" s="180"/>
      <c r="F116" s="180"/>
      <c r="G116" s="180" t="s">
        <v>838</v>
      </c>
      <c r="H116" s="180"/>
      <c r="I116" s="180">
        <v>99.675000000000011</v>
      </c>
      <c r="J116" s="180">
        <v>0</v>
      </c>
      <c r="K116" s="180">
        <v>0</v>
      </c>
      <c r="L116" s="180">
        <v>0</v>
      </c>
      <c r="M116" s="180">
        <v>0</v>
      </c>
      <c r="N116" s="180">
        <v>0</v>
      </c>
      <c r="O116" s="180">
        <v>0.9</v>
      </c>
      <c r="P116" s="180">
        <v>0</v>
      </c>
      <c r="Q116" s="180">
        <v>0</v>
      </c>
      <c r="R116" s="180">
        <v>0</v>
      </c>
      <c r="S116" s="180">
        <v>0</v>
      </c>
      <c r="T116" s="180">
        <v>0.83250000000000002</v>
      </c>
      <c r="U116" s="180">
        <v>5.3715000000000002</v>
      </c>
      <c r="V116" s="180">
        <v>3.6974999999999998</v>
      </c>
      <c r="W116" s="180">
        <v>0.79200000000000004</v>
      </c>
      <c r="X116" s="180">
        <v>0.77849999999999997</v>
      </c>
      <c r="Y116" s="180">
        <v>0</v>
      </c>
      <c r="Z116" s="180">
        <v>0.80100000000000005</v>
      </c>
      <c r="AA116" s="180">
        <v>5.3895</v>
      </c>
      <c r="AB116" s="180">
        <v>0.873</v>
      </c>
      <c r="AC116" s="180">
        <v>0.90900000000000003</v>
      </c>
      <c r="AD116" s="180">
        <v>1.89</v>
      </c>
      <c r="AE116" s="180">
        <v>0.98099999999999998</v>
      </c>
      <c r="AF116" s="180">
        <v>3.0510000000000002</v>
      </c>
      <c r="AG116" s="180">
        <v>1.0529999999999999</v>
      </c>
      <c r="AH116" s="180">
        <v>2.1779999999999999</v>
      </c>
      <c r="AI116" s="180">
        <v>9.0525000000000002</v>
      </c>
      <c r="AJ116" s="180">
        <v>4.5</v>
      </c>
      <c r="AK116" s="180">
        <v>5.625</v>
      </c>
      <c r="AL116" s="180">
        <v>4.5</v>
      </c>
      <c r="AM116" s="180">
        <v>5.625</v>
      </c>
      <c r="AN116" s="180">
        <v>5.625</v>
      </c>
      <c r="AO116" s="180">
        <v>11.3025</v>
      </c>
      <c r="AP116" s="180">
        <v>8.1974999999999998</v>
      </c>
      <c r="AQ116" s="180">
        <v>6.75</v>
      </c>
      <c r="AR116" s="180">
        <v>4.5</v>
      </c>
      <c r="AS116" s="180">
        <v>4.5</v>
      </c>
    </row>
    <row r="117" spans="2:45">
      <c r="B117" s="528"/>
      <c r="C117" s="180"/>
      <c r="D117" s="180"/>
      <c r="E117" s="180"/>
      <c r="F117" s="180"/>
      <c r="G117" s="180"/>
      <c r="H117" s="180"/>
      <c r="I117" s="180"/>
      <c r="J117" s="180"/>
      <c r="K117" s="180"/>
      <c r="L117" s="180"/>
      <c r="M117" s="180"/>
      <c r="N117" s="180"/>
      <c r="O117" s="180"/>
      <c r="P117" s="180"/>
      <c r="Q117" s="180"/>
      <c r="R117" s="180"/>
      <c r="S117" s="180"/>
      <c r="T117" s="180"/>
      <c r="U117" s="180"/>
      <c r="V117" s="180"/>
      <c r="W117" s="180"/>
      <c r="X117" s="180"/>
      <c r="Y117" s="180"/>
      <c r="Z117" s="180"/>
      <c r="AA117" s="180"/>
      <c r="AB117" s="180"/>
      <c r="AC117" s="180"/>
      <c r="AD117" s="180"/>
      <c r="AE117" s="180"/>
      <c r="AF117" s="180"/>
      <c r="AG117" s="180"/>
      <c r="AH117" s="180"/>
      <c r="AI117" s="180"/>
      <c r="AJ117" s="180"/>
      <c r="AK117" s="180"/>
      <c r="AL117" s="180"/>
      <c r="AM117" s="180"/>
      <c r="AN117" s="180"/>
      <c r="AO117" s="180"/>
      <c r="AP117" s="180"/>
      <c r="AQ117" s="180"/>
      <c r="AR117" s="180"/>
      <c r="AS117" s="180"/>
    </row>
    <row r="118" spans="2:45">
      <c r="B118" s="528"/>
      <c r="C118" s="180" t="s">
        <v>852</v>
      </c>
      <c r="D118" s="180" t="s">
        <v>142</v>
      </c>
      <c r="E118" s="180"/>
      <c r="F118" s="180"/>
      <c r="G118" s="180" t="s">
        <v>838</v>
      </c>
      <c r="H118" s="180"/>
      <c r="I118" s="180">
        <v>340495.75134280307</v>
      </c>
      <c r="J118" s="180">
        <v>11030.315896820344</v>
      </c>
      <c r="K118" s="180">
        <v>10467.97628639896</v>
      </c>
      <c r="L118" s="180">
        <v>10680.617253432494</v>
      </c>
      <c r="M118" s="180">
        <v>11259.982410760364</v>
      </c>
      <c r="N118" s="180">
        <v>11361.864830216107</v>
      </c>
      <c r="O118" s="180">
        <v>11064.701812358602</v>
      </c>
      <c r="P118" s="180">
        <v>11571.195935067584</v>
      </c>
      <c r="Q118" s="180">
        <v>11601.054358516001</v>
      </c>
      <c r="R118" s="180">
        <v>11283.519749909668</v>
      </c>
      <c r="S118" s="180">
        <v>10932.309060842259</v>
      </c>
      <c r="T118" s="180">
        <v>10651.697641973826</v>
      </c>
      <c r="U118" s="180">
        <v>10351.677174561029</v>
      </c>
      <c r="V118" s="180">
        <v>9955.2239656208767</v>
      </c>
      <c r="W118" s="180">
        <v>9571.1519836222233</v>
      </c>
      <c r="X118" s="180">
        <v>9220.1100601248891</v>
      </c>
      <c r="Y118" s="180">
        <v>9024.6644048166472</v>
      </c>
      <c r="Z118" s="180">
        <v>8973.8707016088247</v>
      </c>
      <c r="AA118" s="180">
        <v>8790.9042130828057</v>
      </c>
      <c r="AB118" s="180">
        <v>8578.8437455675139</v>
      </c>
      <c r="AC118" s="180">
        <v>8505.501148080748</v>
      </c>
      <c r="AD118" s="180">
        <v>8449.0318661009642</v>
      </c>
      <c r="AE118" s="180">
        <v>8444.4760404268509</v>
      </c>
      <c r="AF118" s="180">
        <v>8402.1371372548456</v>
      </c>
      <c r="AG118" s="180">
        <v>8395.5094685450422</v>
      </c>
      <c r="AH118" s="180">
        <v>8440.9494100806405</v>
      </c>
      <c r="AI118" s="180">
        <v>8397.0867997607547</v>
      </c>
      <c r="AJ118" s="180">
        <v>8443.414390425789</v>
      </c>
      <c r="AK118" s="180">
        <v>8479.5577721582558</v>
      </c>
      <c r="AL118" s="180">
        <v>8505.2732495893451</v>
      </c>
      <c r="AM118" s="180">
        <v>8520.3557414000898</v>
      </c>
      <c r="AN118" s="180">
        <v>8524.2723935577014</v>
      </c>
      <c r="AO118" s="180">
        <v>8531.5642506410277</v>
      </c>
      <c r="AP118" s="180">
        <v>8534.3534418744348</v>
      </c>
      <c r="AQ118" s="180">
        <v>8525.6335216750576</v>
      </c>
      <c r="AR118" s="180">
        <v>8516.917746092955</v>
      </c>
      <c r="AS118" s="180">
        <v>8508.0354798374829</v>
      </c>
    </row>
    <row r="119" spans="2:45">
      <c r="B119" s="528"/>
      <c r="C119" s="180"/>
      <c r="D119" s="180" t="s">
        <v>839</v>
      </c>
      <c r="E119" s="180"/>
      <c r="F119" s="180"/>
      <c r="G119" s="180" t="s">
        <v>840</v>
      </c>
      <c r="H119" s="180"/>
      <c r="I119" s="180"/>
      <c r="J119" s="180">
        <v>11030.315896820344</v>
      </c>
      <c r="K119" s="180">
        <v>21498.292183219302</v>
      </c>
      <c r="L119" s="180">
        <v>32178.909436651797</v>
      </c>
      <c r="M119" s="180">
        <v>43438.89184741216</v>
      </c>
      <c r="N119" s="180">
        <v>54800.756677628269</v>
      </c>
      <c r="O119" s="180">
        <v>65865.458489986864</v>
      </c>
      <c r="P119" s="180">
        <v>77436.654425054454</v>
      </c>
      <c r="Q119" s="180">
        <v>89037.708783570459</v>
      </c>
      <c r="R119" s="180">
        <v>100321.22853348013</v>
      </c>
      <c r="S119" s="180">
        <v>111253.53759432239</v>
      </c>
      <c r="T119" s="180">
        <v>121905.23523629621</v>
      </c>
      <c r="U119" s="180">
        <v>132256.91241085724</v>
      </c>
      <c r="V119" s="180">
        <v>142212.13637647813</v>
      </c>
      <c r="W119" s="180">
        <v>151783.28836010036</v>
      </c>
      <c r="X119" s="180">
        <v>161003.39842022525</v>
      </c>
      <c r="Y119" s="180">
        <v>170028.06282504188</v>
      </c>
      <c r="Z119" s="180">
        <v>179001.93352665071</v>
      </c>
      <c r="AA119" s="180">
        <v>187792.83773973351</v>
      </c>
      <c r="AB119" s="180">
        <v>196371.68148530103</v>
      </c>
      <c r="AC119" s="180">
        <v>204877.18263338177</v>
      </c>
      <c r="AD119" s="180">
        <v>213326.21449948274</v>
      </c>
      <c r="AE119" s="180">
        <v>221770.69053990958</v>
      </c>
      <c r="AF119" s="180">
        <v>230172.82767716443</v>
      </c>
      <c r="AG119" s="180">
        <v>238568.33714570946</v>
      </c>
      <c r="AH119" s="180">
        <v>247009.28655579011</v>
      </c>
      <c r="AI119" s="180">
        <v>255406.37335555087</v>
      </c>
      <c r="AJ119" s="180">
        <v>263849.78774597665</v>
      </c>
      <c r="AK119" s="180">
        <v>272329.34551813488</v>
      </c>
      <c r="AL119" s="180">
        <v>280834.61876772426</v>
      </c>
      <c r="AM119" s="180">
        <v>289354.97450912435</v>
      </c>
      <c r="AN119" s="180">
        <v>297879.24690268206</v>
      </c>
      <c r="AO119" s="180">
        <v>306410.8111533231</v>
      </c>
      <c r="AP119" s="180">
        <v>314945.16459519754</v>
      </c>
      <c r="AQ119" s="180">
        <v>323470.79811687261</v>
      </c>
      <c r="AR119" s="180">
        <v>331987.71586296556</v>
      </c>
      <c r="AS119" s="180">
        <v>340495.75134280307</v>
      </c>
    </row>
    <row r="120" spans="2:45">
      <c r="B120" s="528"/>
      <c r="C120" s="180"/>
      <c r="D120" s="180" t="s">
        <v>775</v>
      </c>
      <c r="E120" s="180"/>
      <c r="F120" s="180"/>
      <c r="G120" s="180" t="s">
        <v>838</v>
      </c>
      <c r="H120" s="180"/>
      <c r="I120" s="180">
        <v>35521.293469945384</v>
      </c>
      <c r="J120" s="180">
        <v>2797.5571606950239</v>
      </c>
      <c r="K120" s="180">
        <v>2445.7942376797805</v>
      </c>
      <c r="L120" s="180">
        <v>2300.541734584629</v>
      </c>
      <c r="M120" s="180">
        <v>2347.0674900328077</v>
      </c>
      <c r="N120" s="180">
        <v>2356.7402691169236</v>
      </c>
      <c r="O120" s="180">
        <v>2090.8892050722234</v>
      </c>
      <c r="P120" s="180">
        <v>2207.2474805563083</v>
      </c>
      <c r="Q120" s="180">
        <v>2200.0105145307816</v>
      </c>
      <c r="R120" s="180">
        <v>2083.4914274145231</v>
      </c>
      <c r="S120" s="180">
        <v>1928.7517404903374</v>
      </c>
      <c r="T120" s="180">
        <v>1765.6714042817673</v>
      </c>
      <c r="U120" s="180">
        <v>1575.1177995297589</v>
      </c>
      <c r="V120" s="180">
        <v>1380.4822615951148</v>
      </c>
      <c r="W120" s="180">
        <v>1209.5646731752047</v>
      </c>
      <c r="X120" s="180">
        <v>1061.1760801898436</v>
      </c>
      <c r="Y120" s="180">
        <v>936.0590350794447</v>
      </c>
      <c r="Z120" s="180">
        <v>821.43408074906279</v>
      </c>
      <c r="AA120" s="180">
        <v>713.82392160553798</v>
      </c>
      <c r="AB120" s="180">
        <v>611.08595500764557</v>
      </c>
      <c r="AC120" s="180">
        <v>514.8894168084978</v>
      </c>
      <c r="AD120" s="180">
        <v>433.05635967245422</v>
      </c>
      <c r="AE120" s="180">
        <v>329.51874060120042</v>
      </c>
      <c r="AF120" s="180">
        <v>251.25704090097742</v>
      </c>
      <c r="AG120" s="180">
        <v>196.7654145239224</v>
      </c>
      <c r="AH120" s="180">
        <v>175.93083478377909</v>
      </c>
      <c r="AI120" s="180">
        <v>155.86881585591081</v>
      </c>
      <c r="AJ120" s="180">
        <v>135.90807037772836</v>
      </c>
      <c r="AK120" s="180">
        <v>116.95035151626284</v>
      </c>
      <c r="AL120" s="180">
        <v>98.983667355641529</v>
      </c>
      <c r="AM120" s="180">
        <v>81.996187322878328</v>
      </c>
      <c r="AN120" s="180">
        <v>65.976302437009295</v>
      </c>
      <c r="AO120" s="180">
        <v>52.7169107241711</v>
      </c>
      <c r="AP120" s="180">
        <v>39.500351056234472</v>
      </c>
      <c r="AQ120" s="180">
        <v>26.315862272677165</v>
      </c>
      <c r="AR120" s="180">
        <v>13.152672349330567</v>
      </c>
      <c r="AS120" s="180">
        <v>0</v>
      </c>
    </row>
    <row r="121" spans="2:45">
      <c r="B121" s="528"/>
      <c r="C121" s="180"/>
      <c r="D121" s="180" t="s">
        <v>853</v>
      </c>
      <c r="E121" s="180"/>
      <c r="F121" s="180"/>
      <c r="G121" s="180" t="s">
        <v>838</v>
      </c>
      <c r="H121" s="180"/>
      <c r="I121" s="180">
        <v>229070.95346557297</v>
      </c>
      <c r="J121" s="180">
        <v>5303.763809135241</v>
      </c>
      <c r="K121" s="180">
        <v>5199.5899778413486</v>
      </c>
      <c r="L121" s="180">
        <v>5415.1114617916683</v>
      </c>
      <c r="M121" s="180">
        <v>5838.2534158899789</v>
      </c>
      <c r="N121" s="180">
        <v>6158.2859906683861</v>
      </c>
      <c r="O121" s="180">
        <v>6328.3985995924286</v>
      </c>
      <c r="P121" s="180">
        <v>6711.3333894429925</v>
      </c>
      <c r="Q121" s="180">
        <v>6778.5998496986131</v>
      </c>
      <c r="R121" s="180">
        <v>6606.7899797535729</v>
      </c>
      <c r="S121" s="180">
        <v>6468.4081474991171</v>
      </c>
      <c r="T121" s="180">
        <v>6414.8931599145044</v>
      </c>
      <c r="U121" s="180">
        <v>6355.5378422452641</v>
      </c>
      <c r="V121" s="180">
        <v>6215.7586200384249</v>
      </c>
      <c r="W121" s="180">
        <v>6068.1449168287609</v>
      </c>
      <c r="X121" s="180">
        <v>5940.3406503026827</v>
      </c>
      <c r="Y121" s="180">
        <v>5940.9925914397954</v>
      </c>
      <c r="Z121" s="180">
        <v>6050.6976235408756</v>
      </c>
      <c r="AA121" s="180">
        <v>6041.6718520636159</v>
      </c>
      <c r="AB121" s="180">
        <v>6003.0651040107459</v>
      </c>
      <c r="AC121" s="180">
        <v>6004.6668349622287</v>
      </c>
      <c r="AD121" s="180">
        <v>6048.6914074959195</v>
      </c>
      <c r="AE121" s="180">
        <v>6202.4056802893456</v>
      </c>
      <c r="AF121" s="180">
        <v>6296.2083690692634</v>
      </c>
      <c r="AG121" s="180">
        <v>6405.5196094431067</v>
      </c>
      <c r="AH121" s="180">
        <v>6527.2858396482752</v>
      </c>
      <c r="AI121" s="180">
        <v>6533.0033403655534</v>
      </c>
      <c r="AJ121" s="180">
        <v>6607.6238777566714</v>
      </c>
      <c r="AK121" s="180">
        <v>6679.290657361832</v>
      </c>
      <c r="AL121" s="180">
        <v>6748.0447503849855</v>
      </c>
      <c r="AM121" s="180">
        <v>6813.9265402559795</v>
      </c>
      <c r="AN121" s="180">
        <v>6876.9758897141237</v>
      </c>
      <c r="AO121" s="180">
        <v>6956.3933140387117</v>
      </c>
      <c r="AP121" s="180">
        <v>7026.8540381719267</v>
      </c>
      <c r="AQ121" s="180">
        <v>7097.4055862235045</v>
      </c>
      <c r="AR121" s="180">
        <v>7168.0862832846633</v>
      </c>
      <c r="AS121" s="180">
        <v>7238.9344654088409</v>
      </c>
    </row>
    <row r="122" spans="2:45">
      <c r="B122" s="528"/>
      <c r="C122" s="180"/>
      <c r="D122" s="180" t="s">
        <v>854</v>
      </c>
      <c r="E122" s="180"/>
      <c r="F122" s="180"/>
      <c r="G122" s="180" t="s">
        <v>838</v>
      </c>
      <c r="H122" s="180"/>
      <c r="I122" s="180">
        <v>21687.085212192636</v>
      </c>
      <c r="J122" s="180">
        <v>6.4740568854553704</v>
      </c>
      <c r="K122" s="180">
        <v>8.1624233686651628</v>
      </c>
      <c r="L122" s="180">
        <v>10.584072916378025</v>
      </c>
      <c r="M122" s="180">
        <v>14.001412706083688</v>
      </c>
      <c r="N122" s="180">
        <v>18.617333721306888</v>
      </c>
      <c r="O122" s="180">
        <v>21.067422599058705</v>
      </c>
      <c r="P122" s="180">
        <v>37.087317525368341</v>
      </c>
      <c r="Q122" s="180">
        <v>72.041765640205952</v>
      </c>
      <c r="R122" s="180">
        <v>113.16180837877192</v>
      </c>
      <c r="S122" s="180">
        <v>151.83631516170126</v>
      </c>
      <c r="T122" s="180">
        <v>201.44478088539711</v>
      </c>
      <c r="U122" s="180">
        <v>261.87369914147519</v>
      </c>
      <c r="V122" s="180">
        <v>321.78575198768334</v>
      </c>
      <c r="W122" s="180">
        <v>384.61551666980029</v>
      </c>
      <c r="X122" s="180">
        <v>443.95280670855846</v>
      </c>
      <c r="Y122" s="180">
        <v>516.88874803732995</v>
      </c>
      <c r="Z122" s="180">
        <v>591.87412296943239</v>
      </c>
      <c r="AA122" s="180">
        <v>648.10723585063067</v>
      </c>
      <c r="AB122" s="180">
        <v>696.63427687088188</v>
      </c>
      <c r="AC122" s="180">
        <v>743.7443790596385</v>
      </c>
      <c r="AD122" s="180">
        <v>785.84834204440108</v>
      </c>
      <c r="AE122" s="180">
        <v>834.27205963861752</v>
      </c>
      <c r="AF122" s="180">
        <v>881.86582709720869</v>
      </c>
      <c r="AG122" s="180">
        <v>919.55850747707893</v>
      </c>
      <c r="AH122" s="180">
        <v>975.54385727533815</v>
      </c>
      <c r="AI122" s="180">
        <v>1000.1438551116443</v>
      </c>
      <c r="AJ122" s="180">
        <v>1026.0089837297626</v>
      </c>
      <c r="AK122" s="180">
        <v>1050.1038778237723</v>
      </c>
      <c r="AL122" s="180">
        <v>1072.6560977526381</v>
      </c>
      <c r="AM122" s="180">
        <v>1094.0542335981866</v>
      </c>
      <c r="AN122" s="180">
        <v>1114.5295735484046</v>
      </c>
      <c r="AO122" s="180">
        <v>1121.4170437491514</v>
      </c>
      <c r="AP122" s="180">
        <v>1127.7990510487821</v>
      </c>
      <c r="AQ122" s="180">
        <v>1133.9351057335975</v>
      </c>
      <c r="AR122" s="180">
        <v>1139.817295701213</v>
      </c>
      <c r="AS122" s="180">
        <v>1145.5762537790156</v>
      </c>
    </row>
    <row r="123" spans="2:45">
      <c r="B123" s="528"/>
      <c r="C123" s="180"/>
      <c r="D123" s="180" t="s">
        <v>212</v>
      </c>
      <c r="E123" s="180"/>
      <c r="F123" s="180"/>
      <c r="G123" s="180" t="s">
        <v>838</v>
      </c>
      <c r="H123" s="180"/>
      <c r="I123" s="180">
        <v>15470.037633178912</v>
      </c>
      <c r="J123" s="180">
        <v>1072.8802340110697</v>
      </c>
      <c r="K123" s="180">
        <v>990.8316516333183</v>
      </c>
      <c r="L123" s="180">
        <v>1009.8413452664861</v>
      </c>
      <c r="M123" s="180">
        <v>1029.2425445824642</v>
      </c>
      <c r="N123" s="180">
        <v>965.48956369524717</v>
      </c>
      <c r="O123" s="180">
        <v>908.69821217678407</v>
      </c>
      <c r="P123" s="180">
        <v>895.75300532480412</v>
      </c>
      <c r="Q123" s="180">
        <v>868.66013578404386</v>
      </c>
      <c r="R123" s="180">
        <v>845.61787091959559</v>
      </c>
      <c r="S123" s="180">
        <v>801.16058564721823</v>
      </c>
      <c r="T123" s="180">
        <v>745.55280364783846</v>
      </c>
      <c r="U123" s="180">
        <v>697.56691425742758</v>
      </c>
      <c r="V123" s="180">
        <v>640.57794246417586</v>
      </c>
      <c r="W123" s="180">
        <v>583.13437840949928</v>
      </c>
      <c r="X123" s="180">
        <v>524.33000215509094</v>
      </c>
      <c r="Y123" s="180">
        <v>463.5222483230757</v>
      </c>
      <c r="Z123" s="180">
        <v>410.05260553622554</v>
      </c>
      <c r="AA123" s="180">
        <v>359.07877900688288</v>
      </c>
      <c r="AB123" s="180">
        <v>309.92167651365878</v>
      </c>
      <c r="AC123" s="180">
        <v>265.36133518192014</v>
      </c>
      <c r="AD123" s="180">
        <v>221.61068150328714</v>
      </c>
      <c r="AE123" s="180">
        <v>181.98521907078134</v>
      </c>
      <c r="AF123" s="180">
        <v>147.49982727974958</v>
      </c>
      <c r="AG123" s="180">
        <v>118.9630031328464</v>
      </c>
      <c r="AH123" s="180">
        <v>94.640046690567814</v>
      </c>
      <c r="AI123" s="180">
        <v>74.743717787970851</v>
      </c>
      <c r="AJ123" s="180">
        <v>60.014787967193847</v>
      </c>
      <c r="AK123" s="180">
        <v>47.666161334584906</v>
      </c>
      <c r="AL123" s="180">
        <v>37.473702587064189</v>
      </c>
      <c r="AM123" s="180">
        <v>29.217451503758447</v>
      </c>
      <c r="AN123" s="180">
        <v>22.352162632776547</v>
      </c>
      <c r="AO123" s="180">
        <v>16.775226325552183</v>
      </c>
      <c r="AP123" s="180">
        <v>12.275238690511355</v>
      </c>
      <c r="AQ123" s="180">
        <v>8.586619557454533</v>
      </c>
      <c r="AR123" s="180">
        <v>5.6587563110669379</v>
      </c>
      <c r="AS123" s="180">
        <v>3.3011962669242432</v>
      </c>
    </row>
    <row r="124" spans="2:45">
      <c r="B124" s="528"/>
      <c r="C124" s="180"/>
      <c r="D124" s="180" t="s">
        <v>213</v>
      </c>
      <c r="E124" s="180"/>
      <c r="F124" s="180"/>
      <c r="G124" s="180" t="s">
        <v>838</v>
      </c>
      <c r="H124" s="180"/>
      <c r="I124" s="180">
        <v>31397.488284144627</v>
      </c>
      <c r="J124" s="180">
        <v>1849.6406360935541</v>
      </c>
      <c r="K124" s="180">
        <v>1807.0981417304699</v>
      </c>
      <c r="L124" s="180">
        <v>1926.8076931837325</v>
      </c>
      <c r="M124" s="180">
        <v>2010.0879662066702</v>
      </c>
      <c r="N124" s="180">
        <v>1835.950562620262</v>
      </c>
      <c r="O124" s="180">
        <v>1688.347929300412</v>
      </c>
      <c r="P124" s="180">
        <v>1687.80258311325</v>
      </c>
      <c r="Q124" s="180">
        <v>1644.406094643148</v>
      </c>
      <c r="R124" s="180">
        <v>1590.7809476419143</v>
      </c>
      <c r="S124" s="180">
        <v>1533.7334520888148</v>
      </c>
      <c r="T124" s="180">
        <v>1469.4128725865799</v>
      </c>
      <c r="U124" s="180">
        <v>1400.2438527658881</v>
      </c>
      <c r="V124" s="180">
        <v>1308.904610551916</v>
      </c>
      <c r="W124" s="180">
        <v>1217.002156625889</v>
      </c>
      <c r="X124" s="180">
        <v>1124.0459530072576</v>
      </c>
      <c r="Y124" s="180">
        <v>1025.3983317290486</v>
      </c>
      <c r="Z124" s="180">
        <v>930.32549067100877</v>
      </c>
      <c r="AA124" s="180">
        <v>835.69606255907286</v>
      </c>
      <c r="AB124" s="180">
        <v>745.84008824658383</v>
      </c>
      <c r="AC124" s="180">
        <v>664.17687863371941</v>
      </c>
      <c r="AD124" s="180">
        <v>587.60233909759143</v>
      </c>
      <c r="AE124" s="180">
        <v>505.93810011147986</v>
      </c>
      <c r="AF124" s="180">
        <v>429.04228791971667</v>
      </c>
      <c r="AG124" s="180">
        <v>356.68271206918536</v>
      </c>
      <c r="AH124" s="180">
        <v>288.34733036214499</v>
      </c>
      <c r="AI124" s="180">
        <v>223.73275989059042</v>
      </c>
      <c r="AJ124" s="180">
        <v>185.29085697921485</v>
      </c>
      <c r="AK124" s="180">
        <v>149.50801714327227</v>
      </c>
      <c r="AL124" s="180">
        <v>116.04569426467043</v>
      </c>
      <c r="AM124" s="180">
        <v>84.424943866104528</v>
      </c>
      <c r="AN124" s="180">
        <v>54.261984925536865</v>
      </c>
      <c r="AO124" s="180">
        <v>43.481108906922515</v>
      </c>
      <c r="AP124" s="180">
        <v>33.428244949600646</v>
      </c>
      <c r="AQ124" s="180">
        <v>23.863878390070965</v>
      </c>
      <c r="AR124" s="180">
        <v>14.597105837108682</v>
      </c>
      <c r="AS124" s="180">
        <v>5.5386154322171715</v>
      </c>
    </row>
    <row r="125" spans="2:45">
      <c r="B125" s="528"/>
      <c r="C125" s="180"/>
      <c r="D125" s="180" t="s">
        <v>855</v>
      </c>
      <c r="E125" s="180"/>
      <c r="F125" s="180"/>
      <c r="G125" s="180" t="s">
        <v>838</v>
      </c>
      <c r="H125" s="180"/>
      <c r="I125" s="180">
        <v>2502.2040524934491</v>
      </c>
      <c r="J125" s="180">
        <v>0</v>
      </c>
      <c r="K125" s="180">
        <v>0</v>
      </c>
      <c r="L125" s="180">
        <v>0</v>
      </c>
      <c r="M125" s="180">
        <v>0</v>
      </c>
      <c r="N125" s="180">
        <v>0</v>
      </c>
      <c r="O125" s="180">
        <v>0</v>
      </c>
      <c r="P125" s="180">
        <v>0</v>
      </c>
      <c r="Q125" s="180">
        <v>0</v>
      </c>
      <c r="R125" s="180">
        <v>0</v>
      </c>
      <c r="S125" s="180">
        <v>0</v>
      </c>
      <c r="T125" s="180">
        <v>0</v>
      </c>
      <c r="U125" s="180">
        <v>0.45562782821929165</v>
      </c>
      <c r="V125" s="180">
        <v>17.701093474583072</v>
      </c>
      <c r="W125" s="180">
        <v>31.906614650733058</v>
      </c>
      <c r="X125" s="180">
        <v>43.013577748343785</v>
      </c>
      <c r="Y125" s="180">
        <v>50.31802601729499</v>
      </c>
      <c r="Z125" s="180">
        <v>69.606864364355488</v>
      </c>
      <c r="AA125" s="180">
        <v>85.188951710305915</v>
      </c>
      <c r="AB125" s="180">
        <v>96.668426855815895</v>
      </c>
      <c r="AC125" s="180">
        <v>168.02041973085886</v>
      </c>
      <c r="AD125" s="180">
        <v>198.94051373026605</v>
      </c>
      <c r="AE125" s="180">
        <v>191.01572064934081</v>
      </c>
      <c r="AF125" s="180">
        <v>175.96486334432791</v>
      </c>
      <c r="AG125" s="180">
        <v>161.16193557242607</v>
      </c>
      <c r="AH125" s="180">
        <v>141.89211663948018</v>
      </c>
      <c r="AI125" s="180">
        <v>147.52033775720244</v>
      </c>
      <c r="AJ125" s="180">
        <v>147.20833346403708</v>
      </c>
      <c r="AK125" s="180">
        <v>141.63742786459437</v>
      </c>
      <c r="AL125" s="180">
        <v>131.74324345719566</v>
      </c>
      <c r="AM125" s="180">
        <v>118.42346729939533</v>
      </c>
      <c r="AN125" s="180">
        <v>102.35413608622241</v>
      </c>
      <c r="AO125" s="180">
        <v>81.878177317785543</v>
      </c>
      <c r="AP125" s="180">
        <v>68.385868315295852</v>
      </c>
      <c r="AQ125" s="180">
        <v>55.612583448828097</v>
      </c>
      <c r="AR125" s="180">
        <v>43.50929508019918</v>
      </c>
      <c r="AS125" s="180">
        <v>32.076430086341908</v>
      </c>
    </row>
    <row r="126" spans="2:45">
      <c r="B126" s="528"/>
      <c r="C126" s="180"/>
      <c r="D126" s="180" t="s">
        <v>759</v>
      </c>
      <c r="E126" s="180"/>
      <c r="F126" s="180"/>
      <c r="G126" s="180" t="s">
        <v>838</v>
      </c>
      <c r="H126" s="180"/>
      <c r="I126" s="180">
        <v>2550.2697829308599</v>
      </c>
      <c r="J126" s="180">
        <v>0</v>
      </c>
      <c r="K126" s="180">
        <v>0</v>
      </c>
      <c r="L126" s="180">
        <v>0</v>
      </c>
      <c r="M126" s="180">
        <v>0</v>
      </c>
      <c r="N126" s="180">
        <v>0</v>
      </c>
      <c r="O126" s="180">
        <v>0</v>
      </c>
      <c r="P126" s="180">
        <v>0.26015032303996832</v>
      </c>
      <c r="Q126" s="180">
        <v>0.26935581148087279</v>
      </c>
      <c r="R126" s="180">
        <v>0.32812584620844143</v>
      </c>
      <c r="S126" s="180">
        <v>0.39965161863149801</v>
      </c>
      <c r="T126" s="180">
        <v>0.51521920881530781</v>
      </c>
      <c r="U126" s="180">
        <v>0.64895448857142712</v>
      </c>
      <c r="V126" s="180">
        <v>4.1131563655571792</v>
      </c>
      <c r="W126" s="180">
        <v>6.4684844439557247</v>
      </c>
      <c r="X126" s="180">
        <v>8.7571466582146495</v>
      </c>
      <c r="Y126" s="180">
        <v>11.345270832255672</v>
      </c>
      <c r="Z126" s="180">
        <v>16.698967967671262</v>
      </c>
      <c r="AA126" s="180">
        <v>22.493598441513974</v>
      </c>
      <c r="AB126" s="180">
        <v>28.607001845016171</v>
      </c>
      <c r="AC126" s="180">
        <v>56.004705387028046</v>
      </c>
      <c r="AD126" s="180">
        <v>83.380527315631596</v>
      </c>
      <c r="AE126" s="180">
        <v>107.93792807295348</v>
      </c>
      <c r="AF126" s="180">
        <v>128.10070397413762</v>
      </c>
      <c r="AG126" s="180">
        <v>144.01383172020869</v>
      </c>
      <c r="AH126" s="180">
        <v>143.92926472169387</v>
      </c>
      <c r="AI126" s="180">
        <v>168.24479423067996</v>
      </c>
      <c r="AJ126" s="180">
        <v>187.47436484710147</v>
      </c>
      <c r="AK126" s="180">
        <v>200.46346260217425</v>
      </c>
      <c r="AL126" s="180">
        <v>206.33833687575446</v>
      </c>
      <c r="AM126" s="180">
        <v>204.27764481595398</v>
      </c>
      <c r="AN126" s="180">
        <v>193.7416386312629</v>
      </c>
      <c r="AO126" s="180">
        <v>164.77694602119641</v>
      </c>
      <c r="AP126" s="180">
        <v>146.32607025192277</v>
      </c>
      <c r="AQ126" s="180">
        <v>126.48700074783652</v>
      </c>
      <c r="AR126" s="180">
        <v>105.25896000024561</v>
      </c>
      <c r="AS126" s="180">
        <v>82.608518864145466</v>
      </c>
    </row>
    <row r="127" spans="2:45">
      <c r="B127" s="528"/>
      <c r="C127" s="180"/>
      <c r="D127" s="180" t="s">
        <v>856</v>
      </c>
      <c r="E127" s="180"/>
      <c r="F127" s="180"/>
      <c r="G127" s="180" t="s">
        <v>838</v>
      </c>
      <c r="H127" s="180"/>
      <c r="I127" s="180">
        <v>2296.4194423441718</v>
      </c>
      <c r="J127" s="180">
        <v>0</v>
      </c>
      <c r="K127" s="180">
        <v>16.499854145376588</v>
      </c>
      <c r="L127" s="180">
        <v>17.730945689600031</v>
      </c>
      <c r="M127" s="180">
        <v>21.329581342357571</v>
      </c>
      <c r="N127" s="180">
        <v>26.781110393979088</v>
      </c>
      <c r="O127" s="180">
        <v>27.300443617696683</v>
      </c>
      <c r="P127" s="180">
        <v>31.712008781819936</v>
      </c>
      <c r="Q127" s="180">
        <v>37.066642407727791</v>
      </c>
      <c r="R127" s="180">
        <v>43.349589955084348</v>
      </c>
      <c r="S127" s="180">
        <v>48.01916833643967</v>
      </c>
      <c r="T127" s="180">
        <v>54.207401448922802</v>
      </c>
      <c r="U127" s="180">
        <v>60.232484304421973</v>
      </c>
      <c r="V127" s="180">
        <v>65.900529143424492</v>
      </c>
      <c r="W127" s="180">
        <v>70.315242818377797</v>
      </c>
      <c r="X127" s="180">
        <v>74.493843354896256</v>
      </c>
      <c r="Y127" s="180">
        <v>80.140153358400596</v>
      </c>
      <c r="Z127" s="180">
        <v>83.180945810192412</v>
      </c>
      <c r="AA127" s="180">
        <v>84.843811845245781</v>
      </c>
      <c r="AB127" s="180">
        <v>87.021216217167293</v>
      </c>
      <c r="AC127" s="180">
        <v>88.637178316855412</v>
      </c>
      <c r="AD127" s="180">
        <v>89.901695241413336</v>
      </c>
      <c r="AE127" s="180">
        <v>91.402591993131097</v>
      </c>
      <c r="AF127" s="180">
        <v>92.198217669463062</v>
      </c>
      <c r="AG127" s="180">
        <v>92.844454606269139</v>
      </c>
      <c r="AH127" s="180">
        <v>93.380119959362446</v>
      </c>
      <c r="AI127" s="180">
        <v>93.829178761200964</v>
      </c>
      <c r="AJ127" s="180">
        <v>93.885115304077218</v>
      </c>
      <c r="AK127" s="180">
        <v>93.937816511762747</v>
      </c>
      <c r="AL127" s="180">
        <v>93.987756911393291</v>
      </c>
      <c r="AM127" s="180">
        <v>94.035272737832074</v>
      </c>
      <c r="AN127" s="180">
        <v>94.08070558236507</v>
      </c>
      <c r="AO127" s="180">
        <v>94.125523557536681</v>
      </c>
      <c r="AP127" s="180">
        <v>79.784579390161184</v>
      </c>
      <c r="AQ127" s="180">
        <v>53.426885301087218</v>
      </c>
      <c r="AR127" s="180">
        <v>26.837377529129935</v>
      </c>
      <c r="AS127" s="180">
        <v>0</v>
      </c>
    </row>
    <row r="128" spans="2:45">
      <c r="B128" s="528"/>
      <c r="C128" s="180"/>
      <c r="D128" s="180"/>
      <c r="E128" s="180"/>
      <c r="F128" s="180"/>
      <c r="G128" s="180"/>
      <c r="H128" s="180"/>
      <c r="I128" s="180"/>
      <c r="J128" s="180"/>
      <c r="K128" s="180"/>
      <c r="L128" s="180"/>
      <c r="M128" s="180"/>
      <c r="N128" s="180"/>
      <c r="O128" s="180"/>
      <c r="P128" s="180"/>
      <c r="Q128" s="180"/>
      <c r="R128" s="180"/>
      <c r="S128" s="180"/>
      <c r="T128" s="180"/>
      <c r="U128" s="180"/>
      <c r="V128" s="180"/>
      <c r="W128" s="180"/>
      <c r="X128" s="180"/>
      <c r="Y128" s="180"/>
      <c r="Z128" s="180"/>
      <c r="AA128" s="180"/>
      <c r="AB128" s="180"/>
      <c r="AC128" s="180"/>
      <c r="AD128" s="180"/>
      <c r="AE128" s="180"/>
      <c r="AF128" s="180"/>
      <c r="AG128" s="180"/>
      <c r="AH128" s="180"/>
      <c r="AI128" s="180"/>
      <c r="AJ128" s="180"/>
      <c r="AK128" s="180"/>
      <c r="AL128" s="180"/>
      <c r="AM128" s="180"/>
      <c r="AN128" s="180"/>
      <c r="AO128" s="180"/>
      <c r="AP128" s="180"/>
      <c r="AQ128" s="180"/>
      <c r="AR128" s="180"/>
      <c r="AS128" s="180"/>
    </row>
    <row r="129" spans="2:45">
      <c r="B129" s="528"/>
      <c r="C129" s="180" t="s">
        <v>857</v>
      </c>
      <c r="D129" s="180" t="s">
        <v>142</v>
      </c>
      <c r="E129" s="180"/>
      <c r="F129" s="180"/>
      <c r="G129" s="180" t="s">
        <v>838</v>
      </c>
      <c r="H129" s="180"/>
      <c r="I129" s="180">
        <v>131060.11254395483</v>
      </c>
      <c r="J129" s="180">
        <v>862.14229014716727</v>
      </c>
      <c r="K129" s="180">
        <v>867.61898442229779</v>
      </c>
      <c r="L129" s="180">
        <v>866.71602539150911</v>
      </c>
      <c r="M129" s="180">
        <v>865.79368789405316</v>
      </c>
      <c r="N129" s="180">
        <v>940.99816075810531</v>
      </c>
      <c r="O129" s="180">
        <v>1589.2030834783247</v>
      </c>
      <c r="P129" s="180">
        <v>2513.8524801433209</v>
      </c>
      <c r="Q129" s="180">
        <v>5812.8494930945599</v>
      </c>
      <c r="R129" s="180">
        <v>9278.8814029963487</v>
      </c>
      <c r="S129" s="180">
        <v>10984.435632392519</v>
      </c>
      <c r="T129" s="180">
        <v>10573.428330258386</v>
      </c>
      <c r="U129" s="180">
        <v>10032.329080335685</v>
      </c>
      <c r="V129" s="180">
        <v>9367.1170564561744</v>
      </c>
      <c r="W129" s="180">
        <v>7410.9778434771906</v>
      </c>
      <c r="X129" s="180">
        <v>5805.0642072790415</v>
      </c>
      <c r="Y129" s="180">
        <v>4549.5425392629159</v>
      </c>
      <c r="Z129" s="180">
        <v>3583.795044739094</v>
      </c>
      <c r="AA129" s="180">
        <v>3429.8359697173009</v>
      </c>
      <c r="AB129" s="180">
        <v>3274.092382483826</v>
      </c>
      <c r="AC129" s="180">
        <v>3085.8965683786842</v>
      </c>
      <c r="AD129" s="180">
        <v>2941.2461763169781</v>
      </c>
      <c r="AE129" s="180">
        <v>3057.7437811363525</v>
      </c>
      <c r="AF129" s="180">
        <v>2775.9452725550541</v>
      </c>
      <c r="AG129" s="180">
        <v>2392.534869876361</v>
      </c>
      <c r="AH129" s="180">
        <v>1599.1363418497681</v>
      </c>
      <c r="AI129" s="180">
        <v>1789.7272296557373</v>
      </c>
      <c r="AJ129" s="180">
        <v>2043.5971924096984</v>
      </c>
      <c r="AK129" s="180">
        <v>2288.4583464756206</v>
      </c>
      <c r="AL129" s="180">
        <v>2285.1656802890138</v>
      </c>
      <c r="AM129" s="180">
        <v>2266.9189200700994</v>
      </c>
      <c r="AN129" s="180">
        <v>2259.3689225918438</v>
      </c>
      <c r="AO129" s="180">
        <v>1995.5527387522252</v>
      </c>
      <c r="AP129" s="180">
        <v>1976.4832328375994</v>
      </c>
      <c r="AQ129" s="180">
        <v>1961.4931382490793</v>
      </c>
      <c r="AR129" s="180">
        <v>1893.5763329089755</v>
      </c>
      <c r="AS129" s="180">
        <v>1838.594104873968</v>
      </c>
    </row>
    <row r="130" spans="2:45">
      <c r="B130" s="528"/>
      <c r="C130" s="180"/>
      <c r="D130" s="180" t="s">
        <v>839</v>
      </c>
      <c r="E130" s="180"/>
      <c r="F130" s="180"/>
      <c r="G130" s="180" t="s">
        <v>840</v>
      </c>
      <c r="H130" s="180"/>
      <c r="I130" s="180"/>
      <c r="J130" s="180">
        <v>862.14229014716727</v>
      </c>
      <c r="K130" s="180">
        <v>1729.7612745694651</v>
      </c>
      <c r="L130" s="180">
        <v>2596.4772999609741</v>
      </c>
      <c r="M130" s="180">
        <v>3462.2709878550272</v>
      </c>
      <c r="N130" s="180">
        <v>4403.2691486131325</v>
      </c>
      <c r="O130" s="180">
        <v>5992.472232091457</v>
      </c>
      <c r="P130" s="180">
        <v>8506.3247122347784</v>
      </c>
      <c r="Q130" s="180">
        <v>14319.174205329338</v>
      </c>
      <c r="R130" s="180">
        <v>23598.055608325689</v>
      </c>
      <c r="S130" s="180">
        <v>34582.491240718206</v>
      </c>
      <c r="T130" s="180">
        <v>45155.919570976592</v>
      </c>
      <c r="U130" s="180">
        <v>55188.248651312279</v>
      </c>
      <c r="V130" s="180">
        <v>64555.365707768455</v>
      </c>
      <c r="W130" s="180">
        <v>71966.343551245649</v>
      </c>
      <c r="X130" s="180">
        <v>77771.407758524685</v>
      </c>
      <c r="Y130" s="180">
        <v>82320.950297787596</v>
      </c>
      <c r="Z130" s="180">
        <v>85904.745342526687</v>
      </c>
      <c r="AA130" s="180">
        <v>89334.581312243987</v>
      </c>
      <c r="AB130" s="180">
        <v>92608.673694727811</v>
      </c>
      <c r="AC130" s="180">
        <v>95694.570263106492</v>
      </c>
      <c r="AD130" s="180">
        <v>98635.816439423477</v>
      </c>
      <c r="AE130" s="180">
        <v>101693.56022055983</v>
      </c>
      <c r="AF130" s="180">
        <v>104469.50549311488</v>
      </c>
      <c r="AG130" s="180">
        <v>106862.04036299123</v>
      </c>
      <c r="AH130" s="180">
        <v>108461.176704841</v>
      </c>
      <c r="AI130" s="180">
        <v>110250.90393449673</v>
      </c>
      <c r="AJ130" s="180">
        <v>112294.50112690643</v>
      </c>
      <c r="AK130" s="180">
        <v>114582.95947338204</v>
      </c>
      <c r="AL130" s="180">
        <v>116868.12515367105</v>
      </c>
      <c r="AM130" s="180">
        <v>119135.04407374114</v>
      </c>
      <c r="AN130" s="180">
        <v>121394.41299633299</v>
      </c>
      <c r="AO130" s="180">
        <v>123389.96573508522</v>
      </c>
      <c r="AP130" s="180">
        <v>125366.44896792281</v>
      </c>
      <c r="AQ130" s="180">
        <v>127327.94210617189</v>
      </c>
      <c r="AR130" s="180">
        <v>129221.51843908087</v>
      </c>
      <c r="AS130" s="180">
        <v>131060.11254395483</v>
      </c>
    </row>
    <row r="131" spans="2:45">
      <c r="B131" s="528"/>
      <c r="C131" s="180"/>
      <c r="D131" s="180" t="s">
        <v>344</v>
      </c>
      <c r="E131" s="180"/>
      <c r="F131" s="180"/>
      <c r="G131" s="180" t="s">
        <v>838</v>
      </c>
      <c r="H131" s="180"/>
      <c r="I131" s="180">
        <v>53633.52343400001</v>
      </c>
      <c r="J131" s="180">
        <v>0</v>
      </c>
      <c r="K131" s="180">
        <v>5.6777300000000004</v>
      </c>
      <c r="L131" s="180">
        <v>5.5893160000000002</v>
      </c>
      <c r="M131" s="180">
        <v>5.500902</v>
      </c>
      <c r="N131" s="180">
        <v>81.528713794928947</v>
      </c>
      <c r="O131" s="180">
        <v>486.98221216072562</v>
      </c>
      <c r="P131" s="180">
        <v>1271.3667002175175</v>
      </c>
      <c r="Q131" s="180">
        <v>4173.8215880441121</v>
      </c>
      <c r="R131" s="180">
        <v>7371.1362548731768</v>
      </c>
      <c r="S131" s="180">
        <v>8672.5099394526696</v>
      </c>
      <c r="T131" s="180">
        <v>8004.3627833189712</v>
      </c>
      <c r="U131" s="180">
        <v>7089.7000194545217</v>
      </c>
      <c r="V131" s="180">
        <v>6075.7383286022068</v>
      </c>
      <c r="W131" s="180">
        <v>4183.1333771750096</v>
      </c>
      <c r="X131" s="180">
        <v>2657.7164653158538</v>
      </c>
      <c r="Y131" s="180">
        <v>1348.7376691668742</v>
      </c>
      <c r="Z131" s="180">
        <v>680.31125012902862</v>
      </c>
      <c r="AA131" s="180">
        <v>583.39473556673988</v>
      </c>
      <c r="AB131" s="180">
        <v>486.478321004375</v>
      </c>
      <c r="AC131" s="180">
        <v>389.5618064420355</v>
      </c>
      <c r="AD131" s="180">
        <v>6.4072944250052455</v>
      </c>
      <c r="AE131" s="180">
        <v>5.3399230275579468</v>
      </c>
      <c r="AF131" s="180">
        <v>5.3213031859672686</v>
      </c>
      <c r="AG131" s="180">
        <v>3.4353190988842521</v>
      </c>
      <c r="AH131" s="180">
        <v>3.4166992573063166</v>
      </c>
      <c r="AI131" s="180">
        <v>3.3980794157411247</v>
      </c>
      <c r="AJ131" s="180">
        <v>3.3794595741504461</v>
      </c>
      <c r="AK131" s="180">
        <v>3.3608397325852537</v>
      </c>
      <c r="AL131" s="180">
        <v>3.3422198910200613</v>
      </c>
      <c r="AM131" s="180">
        <v>3.3236000494293831</v>
      </c>
      <c r="AN131" s="180">
        <v>3.3049802078769339</v>
      </c>
      <c r="AO131" s="180">
        <v>3.2863603662989984</v>
      </c>
      <c r="AP131" s="180">
        <v>3.2677405247083198</v>
      </c>
      <c r="AQ131" s="180">
        <v>3.2491206831558705</v>
      </c>
      <c r="AR131" s="180">
        <v>3.2305008415651919</v>
      </c>
      <c r="AS131" s="180">
        <v>3.211881</v>
      </c>
    </row>
    <row r="132" spans="2:45">
      <c r="B132" s="528"/>
      <c r="C132" s="180"/>
      <c r="D132" s="180" t="s">
        <v>841</v>
      </c>
      <c r="E132" s="180"/>
      <c r="F132" s="180"/>
      <c r="G132" s="180" t="s">
        <v>838</v>
      </c>
      <c r="H132" s="180"/>
      <c r="I132" s="180">
        <v>3581.3212692269481</v>
      </c>
      <c r="J132" s="180">
        <v>12.228298662578032</v>
      </c>
      <c r="K132" s="180">
        <v>12.228298662578032</v>
      </c>
      <c r="L132" s="180">
        <v>14.386644323996038</v>
      </c>
      <c r="M132" s="180">
        <v>16.544989985414109</v>
      </c>
      <c r="N132" s="180">
        <v>18.703335646832077</v>
      </c>
      <c r="O132" s="180">
        <v>56.97300579277492</v>
      </c>
      <c r="P132" s="180">
        <v>54.341877912264685</v>
      </c>
      <c r="Q132" s="180">
        <v>73.311647465781377</v>
      </c>
      <c r="R132" s="180">
        <v>78.362578719320268</v>
      </c>
      <c r="S132" s="180">
        <v>83.413509972858947</v>
      </c>
      <c r="T132" s="180">
        <v>88.198679236090115</v>
      </c>
      <c r="U132" s="180">
        <v>91.159418300554492</v>
      </c>
      <c r="V132" s="180">
        <v>94.758422201776142</v>
      </c>
      <c r="W132" s="180">
        <v>98.357426102996627</v>
      </c>
      <c r="X132" s="180">
        <v>101.9564300042184</v>
      </c>
      <c r="Y132" s="180">
        <v>107.71552364884073</v>
      </c>
      <c r="Z132" s="180">
        <v>81.954305304318552</v>
      </c>
      <c r="AA132" s="180">
        <v>84.098698309860069</v>
      </c>
      <c r="AB132" s="180">
        <v>86.243091315400235</v>
      </c>
      <c r="AC132" s="180">
        <v>88.387484320941851</v>
      </c>
      <c r="AD132" s="180">
        <v>126.64320181100678</v>
      </c>
      <c r="AE132" s="180">
        <v>123.99812127461908</v>
      </c>
      <c r="AF132" s="180">
        <v>142.95393817225954</v>
      </c>
      <c r="AG132" s="180">
        <v>147.99091676992009</v>
      </c>
      <c r="AH132" s="180">
        <v>153.02789536758203</v>
      </c>
      <c r="AI132" s="180">
        <v>157.7991119749359</v>
      </c>
      <c r="AJ132" s="180">
        <v>160.74589838352375</v>
      </c>
      <c r="AK132" s="180">
        <v>164.33094962886855</v>
      </c>
      <c r="AL132" s="180">
        <v>167.91600087421133</v>
      </c>
      <c r="AM132" s="180">
        <v>171.50105211955622</v>
      </c>
      <c r="AN132" s="180">
        <v>175.08610336489934</v>
      </c>
      <c r="AO132" s="180">
        <v>109.22878803098891</v>
      </c>
      <c r="AP132" s="180">
        <v>109.21483537511146</v>
      </c>
      <c r="AQ132" s="180">
        <v>109.20088271923353</v>
      </c>
      <c r="AR132" s="180">
        <v>109.18693006335819</v>
      </c>
      <c r="AS132" s="180">
        <v>109.17297740747792</v>
      </c>
    </row>
    <row r="133" spans="2:45">
      <c r="B133" s="528"/>
      <c r="C133" s="180"/>
      <c r="D133" s="180" t="s">
        <v>821</v>
      </c>
      <c r="E133" s="180"/>
      <c r="F133" s="180"/>
      <c r="G133" s="180" t="s">
        <v>838</v>
      </c>
      <c r="H133" s="180"/>
      <c r="I133" s="180">
        <v>56326.825399302623</v>
      </c>
      <c r="J133" s="180">
        <v>0</v>
      </c>
      <c r="K133" s="180">
        <v>0</v>
      </c>
      <c r="L133" s="180">
        <v>0</v>
      </c>
      <c r="M133" s="180">
        <v>0</v>
      </c>
      <c r="N133" s="180">
        <v>0</v>
      </c>
      <c r="O133" s="180">
        <v>285.66062523610623</v>
      </c>
      <c r="P133" s="180">
        <v>439.54848184492079</v>
      </c>
      <c r="Q133" s="180">
        <v>890.8176036969594</v>
      </c>
      <c r="R133" s="180">
        <v>1166.0644902503243</v>
      </c>
      <c r="S133" s="180">
        <v>1582.8689996905478</v>
      </c>
      <c r="T133" s="180">
        <v>1856.3632039105482</v>
      </c>
      <c r="U133" s="180">
        <v>2264.8415274123645</v>
      </c>
      <c r="V133" s="180">
        <v>2659.0646118265822</v>
      </c>
      <c r="W133" s="180">
        <v>2629.1254463523692</v>
      </c>
      <c r="X133" s="180">
        <v>2580.1745451868901</v>
      </c>
      <c r="Y133" s="180">
        <v>2523.3633532338049</v>
      </c>
      <c r="Z133" s="180">
        <v>2309.4052767517064</v>
      </c>
      <c r="AA133" s="180">
        <v>2309.7224252758915</v>
      </c>
      <c r="AB133" s="180">
        <v>2310.0174855771834</v>
      </c>
      <c r="AC133" s="180">
        <v>2254.9953186196008</v>
      </c>
      <c r="AD133" s="180">
        <v>2439.5097084095864</v>
      </c>
      <c r="AE133" s="180">
        <v>2526.5827117866356</v>
      </c>
      <c r="AF133" s="180">
        <v>2302.2246345351991</v>
      </c>
      <c r="AG133" s="180">
        <v>1936.846635443389</v>
      </c>
      <c r="AH133" s="180">
        <v>1125.9364031487862</v>
      </c>
      <c r="AI133" s="180">
        <v>1297.464276715355</v>
      </c>
      <c r="AJ133" s="180">
        <v>1554.2172023450953</v>
      </c>
      <c r="AK133" s="180">
        <v>1808.5172429044326</v>
      </c>
      <c r="AL133" s="180">
        <v>1814.7486548458805</v>
      </c>
      <c r="AM133" s="180">
        <v>1812.3381694660143</v>
      </c>
      <c r="AN133" s="180">
        <v>1806.1827290646549</v>
      </c>
      <c r="AO133" s="180">
        <v>1598.0362910419321</v>
      </c>
      <c r="AP133" s="180">
        <v>1598.5629614190186</v>
      </c>
      <c r="AQ133" s="180">
        <v>1599.0519691580043</v>
      </c>
      <c r="AR133" s="180">
        <v>1544.2096861013447</v>
      </c>
      <c r="AS133" s="180">
        <v>1500.3627280514813</v>
      </c>
    </row>
    <row r="134" spans="2:45">
      <c r="B134" s="528"/>
      <c r="C134" s="180"/>
      <c r="D134" s="180" t="s">
        <v>842</v>
      </c>
      <c r="E134" s="180"/>
      <c r="F134" s="180"/>
      <c r="G134" s="180" t="s">
        <v>838</v>
      </c>
      <c r="H134" s="180"/>
      <c r="I134" s="180">
        <v>1500.0824270415085</v>
      </c>
      <c r="J134" s="180">
        <v>0</v>
      </c>
      <c r="K134" s="180">
        <v>0</v>
      </c>
      <c r="L134" s="180">
        <v>0</v>
      </c>
      <c r="M134" s="180">
        <v>0</v>
      </c>
      <c r="N134" s="180">
        <v>0</v>
      </c>
      <c r="O134" s="180">
        <v>31.889314771882709</v>
      </c>
      <c r="P134" s="180">
        <v>43.88943673483157</v>
      </c>
      <c r="Q134" s="180">
        <v>40.972601662264971</v>
      </c>
      <c r="R134" s="180">
        <v>36.913906600993975</v>
      </c>
      <c r="S134" s="180">
        <v>33.890782366603631</v>
      </c>
      <c r="T134" s="180">
        <v>32.732814085153706</v>
      </c>
      <c r="U134" s="180">
        <v>26.095803569654972</v>
      </c>
      <c r="V134" s="180">
        <v>15.768253009401663</v>
      </c>
      <c r="W134" s="180">
        <v>16.540107639968966</v>
      </c>
      <c r="X134" s="180">
        <v>18.183629412613904</v>
      </c>
      <c r="Y134" s="180">
        <v>19.80019255080509</v>
      </c>
      <c r="Z134" s="180">
        <v>28.441384179687319</v>
      </c>
      <c r="AA134" s="180">
        <v>40.50654755552889</v>
      </c>
      <c r="AB134" s="180">
        <v>52.568180182127961</v>
      </c>
      <c r="AC134" s="180">
        <v>65.018555335215552</v>
      </c>
      <c r="AD134" s="180">
        <v>77.81371062392337</v>
      </c>
      <c r="AE134" s="180">
        <v>81.950750180685034</v>
      </c>
      <c r="AF134" s="180">
        <v>45.902163524314233</v>
      </c>
      <c r="AG134" s="180">
        <v>49.626815788681185</v>
      </c>
      <c r="AH134" s="180">
        <v>53.789286379288932</v>
      </c>
      <c r="AI134" s="180">
        <v>75.566877498314568</v>
      </c>
      <c r="AJ134" s="180">
        <v>80.509914597490663</v>
      </c>
      <c r="AK134" s="180">
        <v>76.266185510418936</v>
      </c>
      <c r="AL134" s="180">
        <v>71.829544528412171</v>
      </c>
      <c r="AM134" s="180">
        <v>67.111949286095154</v>
      </c>
      <c r="AN134" s="180">
        <v>73.560061932794341</v>
      </c>
      <c r="AO134" s="180">
        <v>67.10662924302072</v>
      </c>
      <c r="AP134" s="180">
        <v>53.725624611362512</v>
      </c>
      <c r="AQ134" s="180">
        <v>46.354693076583018</v>
      </c>
      <c r="AR134" s="180">
        <v>40.150143207556056</v>
      </c>
      <c r="AS134" s="180">
        <v>35.606567395832734</v>
      </c>
    </row>
    <row r="135" spans="2:45">
      <c r="B135" s="528"/>
      <c r="C135" s="180"/>
      <c r="D135" s="180" t="s">
        <v>843</v>
      </c>
      <c r="E135" s="180"/>
      <c r="F135" s="180"/>
      <c r="G135" s="180" t="s">
        <v>838</v>
      </c>
      <c r="H135" s="180"/>
      <c r="I135" s="180">
        <v>0</v>
      </c>
      <c r="J135" s="180">
        <v>0</v>
      </c>
      <c r="K135" s="180">
        <v>0</v>
      </c>
      <c r="L135" s="180">
        <v>0</v>
      </c>
      <c r="M135" s="180">
        <v>0</v>
      </c>
      <c r="N135" s="180">
        <v>0</v>
      </c>
      <c r="O135" s="180">
        <v>0</v>
      </c>
      <c r="P135" s="180">
        <v>0</v>
      </c>
      <c r="Q135" s="180">
        <v>0</v>
      </c>
      <c r="R135" s="180">
        <v>0</v>
      </c>
      <c r="S135" s="180">
        <v>0</v>
      </c>
      <c r="T135" s="180">
        <v>0</v>
      </c>
      <c r="U135" s="180">
        <v>0</v>
      </c>
      <c r="V135" s="180">
        <v>0</v>
      </c>
      <c r="W135" s="180">
        <v>0</v>
      </c>
      <c r="X135" s="180">
        <v>0</v>
      </c>
      <c r="Y135" s="180">
        <v>0</v>
      </c>
      <c r="Z135" s="180">
        <v>0</v>
      </c>
      <c r="AA135" s="180">
        <v>0</v>
      </c>
      <c r="AB135" s="180">
        <v>0</v>
      </c>
      <c r="AC135" s="180">
        <v>0</v>
      </c>
      <c r="AD135" s="180">
        <v>0</v>
      </c>
      <c r="AE135" s="180">
        <v>0</v>
      </c>
      <c r="AF135" s="180">
        <v>0</v>
      </c>
      <c r="AG135" s="180">
        <v>0</v>
      </c>
      <c r="AH135" s="180">
        <v>0</v>
      </c>
      <c r="AI135" s="180">
        <v>0</v>
      </c>
      <c r="AJ135" s="180">
        <v>0</v>
      </c>
      <c r="AK135" s="180">
        <v>0</v>
      </c>
      <c r="AL135" s="180">
        <v>0</v>
      </c>
      <c r="AM135" s="180">
        <v>0</v>
      </c>
      <c r="AN135" s="180">
        <v>0</v>
      </c>
      <c r="AO135" s="180">
        <v>0</v>
      </c>
      <c r="AP135" s="180">
        <v>0</v>
      </c>
      <c r="AQ135" s="180">
        <v>0</v>
      </c>
      <c r="AR135" s="180">
        <v>0</v>
      </c>
      <c r="AS135" s="180">
        <v>0</v>
      </c>
    </row>
    <row r="136" spans="2:45">
      <c r="B136" s="528"/>
      <c r="C136" s="180"/>
      <c r="D136" s="180" t="s">
        <v>774</v>
      </c>
      <c r="E136" s="180"/>
      <c r="F136" s="180"/>
      <c r="G136" s="180" t="s">
        <v>838</v>
      </c>
      <c r="H136" s="180"/>
      <c r="I136" s="180">
        <v>11435.243210808067</v>
      </c>
      <c r="J136" s="180">
        <v>775.48542296278595</v>
      </c>
      <c r="K136" s="180">
        <v>776.22952722606124</v>
      </c>
      <c r="L136" s="180">
        <v>774.28547371173215</v>
      </c>
      <c r="M136" s="180">
        <v>772.32367781957657</v>
      </c>
      <c r="N136" s="180">
        <v>770.37156077920758</v>
      </c>
      <c r="O136" s="180">
        <v>661.47987933690979</v>
      </c>
      <c r="P136" s="180">
        <v>625.97053332244013</v>
      </c>
      <c r="Q136" s="180">
        <v>555.02294477425698</v>
      </c>
      <c r="R136" s="180">
        <v>545.41773521674156</v>
      </c>
      <c r="S136" s="180">
        <v>528.88036714188615</v>
      </c>
      <c r="T136" s="180">
        <v>507.20823616791478</v>
      </c>
      <c r="U136" s="180">
        <v>473.29463630334584</v>
      </c>
      <c r="V136" s="180">
        <v>435.46890737759372</v>
      </c>
      <c r="W136" s="180">
        <v>398.41006559781448</v>
      </c>
      <c r="X136" s="180">
        <v>362.58635713129956</v>
      </c>
      <c r="Y136" s="180">
        <v>462.14310335525761</v>
      </c>
      <c r="Z136" s="180">
        <v>391.26364155299296</v>
      </c>
      <c r="AA136" s="180">
        <v>320.20736629943565</v>
      </c>
      <c r="AB136" s="180">
        <v>247.65793234590026</v>
      </c>
      <c r="AC136" s="180">
        <v>196.66767347767689</v>
      </c>
      <c r="AD136" s="180">
        <v>164.72311960899142</v>
      </c>
      <c r="AE136" s="180">
        <v>126.06335050598715</v>
      </c>
      <c r="AF136" s="180">
        <v>97.407586014846814</v>
      </c>
      <c r="AG136" s="180">
        <v>77.379099527727149</v>
      </c>
      <c r="AH136" s="180">
        <v>69.67763744710237</v>
      </c>
      <c r="AI136" s="180">
        <v>62.23106056067315</v>
      </c>
      <c r="AJ136" s="180">
        <v>54.591263249625165</v>
      </c>
      <c r="AK136" s="180">
        <v>47.273254416661288</v>
      </c>
      <c r="AL136" s="180">
        <v>40.274297053100263</v>
      </c>
      <c r="AM136" s="180">
        <v>33.591699465975601</v>
      </c>
      <c r="AN136" s="180">
        <v>27.22287944887449</v>
      </c>
      <c r="AO136" s="180">
        <v>21.771732663496355</v>
      </c>
      <c r="AP136" s="180">
        <v>16.327868394476088</v>
      </c>
      <c r="AQ136" s="180">
        <v>10.887300641902376</v>
      </c>
      <c r="AR136" s="180">
        <v>5.4460199077987426</v>
      </c>
      <c r="AS136" s="180">
        <v>0</v>
      </c>
    </row>
    <row r="137" spans="2:45">
      <c r="B137" s="528"/>
      <c r="C137" s="180"/>
      <c r="D137" s="180" t="s">
        <v>218</v>
      </c>
      <c r="E137" s="180"/>
      <c r="F137" s="180"/>
      <c r="G137" s="180" t="s">
        <v>838</v>
      </c>
      <c r="H137" s="180"/>
      <c r="I137" s="180">
        <v>958.93406832701316</v>
      </c>
      <c r="J137" s="180">
        <v>20.754259406012274</v>
      </c>
      <c r="K137" s="180">
        <v>20.840577247237309</v>
      </c>
      <c r="L137" s="180">
        <v>20.843197898729695</v>
      </c>
      <c r="M137" s="180">
        <v>20.844182461381102</v>
      </c>
      <c r="N137" s="180">
        <v>20.846072738825193</v>
      </c>
      <c r="O137" s="180">
        <v>17.701026210983894</v>
      </c>
      <c r="P137" s="180">
        <v>16.845427723172914</v>
      </c>
      <c r="Q137" s="180">
        <v>14.772014721278843</v>
      </c>
      <c r="R137" s="180">
        <v>14.519598397983319</v>
      </c>
      <c r="S137" s="180">
        <v>14.028685219963712</v>
      </c>
      <c r="T137" s="180">
        <v>13.392615504116325</v>
      </c>
      <c r="U137" s="180">
        <v>12.113326880046698</v>
      </c>
      <c r="V137" s="180">
        <v>11.163473499993914</v>
      </c>
      <c r="W137" s="180">
        <v>10.306511866140932</v>
      </c>
      <c r="X137" s="180">
        <v>9.4630762357592779</v>
      </c>
      <c r="Y137" s="180">
        <v>12.974615644416538</v>
      </c>
      <c r="Z137" s="180">
        <v>11.299183154789779</v>
      </c>
      <c r="AA137" s="180">
        <v>9.493069466875184</v>
      </c>
      <c r="AB137" s="180">
        <v>7.3079242208846642</v>
      </c>
      <c r="AC137" s="180">
        <v>5.6252727712024146</v>
      </c>
      <c r="AD137" s="180">
        <v>4.5681935299097409</v>
      </c>
      <c r="AE137" s="180">
        <v>41.53678003889592</v>
      </c>
      <c r="AF137" s="180">
        <v>30.060408984108946</v>
      </c>
      <c r="AG137" s="180">
        <v>25.576926828886442</v>
      </c>
      <c r="AH137" s="180">
        <v>42.204422530420295</v>
      </c>
      <c r="AI137" s="180">
        <v>43.117478469611029</v>
      </c>
      <c r="AJ137" s="180">
        <v>41.814418428067619</v>
      </c>
      <c r="AK137" s="180">
        <v>41.845072031891199</v>
      </c>
      <c r="AL137" s="180">
        <v>41.775288473556358</v>
      </c>
      <c r="AM137" s="180">
        <v>41.604956758154259</v>
      </c>
      <c r="AN137" s="180">
        <v>41.334578500059372</v>
      </c>
      <c r="AO137" s="180">
        <v>51.615147235731932</v>
      </c>
      <c r="AP137" s="180">
        <v>53.613699384389989</v>
      </c>
      <c r="AQ137" s="180">
        <v>55.64148041749209</v>
      </c>
      <c r="AR137" s="180">
        <v>57.699925515570989</v>
      </c>
      <c r="AS137" s="180">
        <v>59.791179930473312</v>
      </c>
    </row>
    <row r="138" spans="2:45">
      <c r="B138" s="528"/>
      <c r="C138" s="180"/>
      <c r="D138" s="180" t="s">
        <v>800</v>
      </c>
      <c r="E138" s="180"/>
      <c r="F138" s="180"/>
      <c r="G138" s="180" t="s">
        <v>838</v>
      </c>
      <c r="H138" s="180"/>
      <c r="I138" s="180">
        <v>2703.6429426795048</v>
      </c>
      <c r="J138" s="180">
        <v>53.67430911579109</v>
      </c>
      <c r="K138" s="180">
        <v>52.642851286421212</v>
      </c>
      <c r="L138" s="180">
        <v>51.61139345705125</v>
      </c>
      <c r="M138" s="180">
        <v>50.57993562768138</v>
      </c>
      <c r="N138" s="180">
        <v>49.548477798311538</v>
      </c>
      <c r="O138" s="180">
        <v>48.517019968941753</v>
      </c>
      <c r="P138" s="180">
        <v>47.485562139571641</v>
      </c>
      <c r="Q138" s="180">
        <v>46.45410431020192</v>
      </c>
      <c r="R138" s="180">
        <v>45.422646480831887</v>
      </c>
      <c r="S138" s="180">
        <v>44.391188651462215</v>
      </c>
      <c r="T138" s="180">
        <v>43.35973082209226</v>
      </c>
      <c r="U138" s="180">
        <v>58.613785664311834</v>
      </c>
      <c r="V138" s="180">
        <v>58.513847407966381</v>
      </c>
      <c r="W138" s="180">
        <v>58.427980119449224</v>
      </c>
      <c r="X138" s="180">
        <v>58.365984931325841</v>
      </c>
      <c r="Y138" s="180">
        <v>58.344489787517325</v>
      </c>
      <c r="Z138" s="180">
        <v>58.391704424240274</v>
      </c>
      <c r="AA138" s="180">
        <v>58.555487186702003</v>
      </c>
      <c r="AB138" s="180">
        <v>58.917030310939964</v>
      </c>
      <c r="AC138" s="180">
        <v>59.614076781829169</v>
      </c>
      <c r="AD138" s="180">
        <v>94.423817125644334</v>
      </c>
      <c r="AE138" s="180">
        <v>99.774073596661964</v>
      </c>
      <c r="AF138" s="180">
        <v>99.565838844084951</v>
      </c>
      <c r="AG138" s="180">
        <v>99.357604091506047</v>
      </c>
      <c r="AH138" s="180">
        <v>99.149369338928992</v>
      </c>
      <c r="AI138" s="180">
        <v>98.941134586351453</v>
      </c>
      <c r="AJ138" s="180">
        <v>98.732899833773672</v>
      </c>
      <c r="AK138" s="180">
        <v>98.524665081196787</v>
      </c>
      <c r="AL138" s="180">
        <v>98.316430328617912</v>
      </c>
      <c r="AM138" s="180">
        <v>98.108195576042192</v>
      </c>
      <c r="AN138" s="180">
        <v>97.8999608234639</v>
      </c>
      <c r="AO138" s="180">
        <v>112.36402427696413</v>
      </c>
      <c r="AP138" s="180">
        <v>112.12374685654157</v>
      </c>
      <c r="AQ138" s="180">
        <v>111.88346943611876</v>
      </c>
      <c r="AR138" s="180">
        <v>111.64319201569513</v>
      </c>
      <c r="AS138" s="180">
        <v>111.40291459527279</v>
      </c>
    </row>
    <row r="139" spans="2:45">
      <c r="B139" s="528"/>
      <c r="C139" s="180"/>
      <c r="D139" s="180" t="s">
        <v>844</v>
      </c>
      <c r="E139" s="180"/>
      <c r="F139" s="180"/>
      <c r="G139" s="180" t="s">
        <v>838</v>
      </c>
      <c r="H139" s="180"/>
      <c r="I139" s="180">
        <v>37.365475506243747</v>
      </c>
      <c r="J139" s="180">
        <v>0</v>
      </c>
      <c r="K139" s="180">
        <v>0</v>
      </c>
      <c r="L139" s="180">
        <v>0</v>
      </c>
      <c r="M139" s="180">
        <v>0</v>
      </c>
      <c r="N139" s="180">
        <v>0</v>
      </c>
      <c r="O139" s="180">
        <v>0</v>
      </c>
      <c r="P139" s="180">
        <v>4.7467167013757727</v>
      </c>
      <c r="Q139" s="180">
        <v>5.4801725811029494</v>
      </c>
      <c r="R139" s="180">
        <v>6.0242069982837005</v>
      </c>
      <c r="S139" s="180">
        <v>6.3249074890221939</v>
      </c>
      <c r="T139" s="180">
        <v>6.3238900033320746</v>
      </c>
      <c r="U139" s="180">
        <v>3.1966444207458156</v>
      </c>
      <c r="V139" s="180">
        <v>2.5396785358540614</v>
      </c>
      <c r="W139" s="180">
        <v>1.7879104828779044</v>
      </c>
      <c r="X139" s="180">
        <v>0.94134829364927453</v>
      </c>
      <c r="Y139" s="180">
        <v>0</v>
      </c>
      <c r="Z139" s="180">
        <v>0</v>
      </c>
      <c r="AA139" s="180">
        <v>0</v>
      </c>
      <c r="AB139" s="180">
        <v>0</v>
      </c>
      <c r="AC139" s="180">
        <v>0</v>
      </c>
      <c r="AD139" s="180">
        <v>0</v>
      </c>
      <c r="AE139" s="180">
        <v>0</v>
      </c>
      <c r="AF139" s="180">
        <v>0</v>
      </c>
      <c r="AG139" s="180">
        <v>0</v>
      </c>
      <c r="AH139" s="180">
        <v>0</v>
      </c>
      <c r="AI139" s="180">
        <v>0</v>
      </c>
      <c r="AJ139" s="180">
        <v>0</v>
      </c>
      <c r="AK139" s="180">
        <v>0</v>
      </c>
      <c r="AL139" s="180">
        <v>0</v>
      </c>
      <c r="AM139" s="180">
        <v>0</v>
      </c>
      <c r="AN139" s="180">
        <v>0</v>
      </c>
      <c r="AO139" s="180">
        <v>0</v>
      </c>
      <c r="AP139" s="180">
        <v>0</v>
      </c>
      <c r="AQ139" s="180">
        <v>0</v>
      </c>
      <c r="AR139" s="180">
        <v>0</v>
      </c>
      <c r="AS139" s="180">
        <v>0</v>
      </c>
    </row>
    <row r="140" spans="2:45">
      <c r="B140" s="528"/>
      <c r="C140" s="180"/>
      <c r="D140" s="180" t="s">
        <v>845</v>
      </c>
      <c r="E140" s="180"/>
      <c r="F140" s="180"/>
      <c r="G140" s="180" t="s">
        <v>838</v>
      </c>
      <c r="H140" s="180"/>
      <c r="I140" s="180">
        <v>0</v>
      </c>
      <c r="J140" s="180">
        <v>0</v>
      </c>
      <c r="K140" s="180">
        <v>0</v>
      </c>
      <c r="L140" s="180">
        <v>0</v>
      </c>
      <c r="M140" s="180">
        <v>0</v>
      </c>
      <c r="N140" s="180">
        <v>0</v>
      </c>
      <c r="O140" s="180">
        <v>0</v>
      </c>
      <c r="P140" s="180">
        <v>0</v>
      </c>
      <c r="Q140" s="180">
        <v>0</v>
      </c>
      <c r="R140" s="180">
        <v>0</v>
      </c>
      <c r="S140" s="180">
        <v>0</v>
      </c>
      <c r="T140" s="180">
        <v>0</v>
      </c>
      <c r="U140" s="180">
        <v>0</v>
      </c>
      <c r="V140" s="180">
        <v>0</v>
      </c>
      <c r="W140" s="180">
        <v>0</v>
      </c>
      <c r="X140" s="180">
        <v>0</v>
      </c>
      <c r="Y140" s="180">
        <v>0</v>
      </c>
      <c r="Z140" s="180">
        <v>0</v>
      </c>
      <c r="AA140" s="180">
        <v>0</v>
      </c>
      <c r="AB140" s="180">
        <v>0</v>
      </c>
      <c r="AC140" s="180">
        <v>0</v>
      </c>
      <c r="AD140" s="180">
        <v>0</v>
      </c>
      <c r="AE140" s="180">
        <v>0</v>
      </c>
      <c r="AF140" s="180">
        <v>0</v>
      </c>
      <c r="AG140" s="180">
        <v>0</v>
      </c>
      <c r="AH140" s="180">
        <v>0</v>
      </c>
      <c r="AI140" s="180">
        <v>0</v>
      </c>
      <c r="AJ140" s="180">
        <v>0</v>
      </c>
      <c r="AK140" s="180">
        <v>0</v>
      </c>
      <c r="AL140" s="180">
        <v>0</v>
      </c>
      <c r="AM140" s="180">
        <v>0</v>
      </c>
      <c r="AN140" s="180">
        <v>0</v>
      </c>
      <c r="AO140" s="180">
        <v>0</v>
      </c>
      <c r="AP140" s="180">
        <v>0</v>
      </c>
      <c r="AQ140" s="180">
        <v>0</v>
      </c>
      <c r="AR140" s="180">
        <v>0</v>
      </c>
      <c r="AS140" s="180">
        <v>0</v>
      </c>
    </row>
    <row r="141" spans="2:45">
      <c r="B141" s="528"/>
      <c r="C141" s="180"/>
      <c r="D141" s="180" t="s">
        <v>846</v>
      </c>
      <c r="E141" s="180"/>
      <c r="F141" s="180"/>
      <c r="G141" s="180" t="s">
        <v>838</v>
      </c>
      <c r="H141" s="180"/>
      <c r="I141" s="180">
        <v>883.17431706298146</v>
      </c>
      <c r="J141" s="180">
        <v>0</v>
      </c>
      <c r="K141" s="180">
        <v>0</v>
      </c>
      <c r="L141" s="180">
        <v>0</v>
      </c>
      <c r="M141" s="180">
        <v>0</v>
      </c>
      <c r="N141" s="180">
        <v>0</v>
      </c>
      <c r="O141" s="180">
        <v>0</v>
      </c>
      <c r="P141" s="180">
        <v>9.6577435472259783</v>
      </c>
      <c r="Q141" s="180">
        <v>12.196815838601397</v>
      </c>
      <c r="R141" s="180">
        <v>15.019985458693878</v>
      </c>
      <c r="S141" s="180">
        <v>18.127252407503384</v>
      </c>
      <c r="T141" s="180">
        <v>21.486377210167355</v>
      </c>
      <c r="U141" s="180">
        <v>13.313918330137513</v>
      </c>
      <c r="V141" s="180">
        <v>14.101533994799928</v>
      </c>
      <c r="W141" s="180">
        <v>14.889018140564405</v>
      </c>
      <c r="X141" s="180">
        <v>15.67637076743126</v>
      </c>
      <c r="Y141" s="180">
        <v>16.463591875400116</v>
      </c>
      <c r="Z141" s="180">
        <v>22.728299242330323</v>
      </c>
      <c r="AA141" s="180">
        <v>23.857640056267815</v>
      </c>
      <c r="AB141" s="180">
        <v>24.902417527014737</v>
      </c>
      <c r="AC141" s="180">
        <v>26.026380630181244</v>
      </c>
      <c r="AD141" s="180">
        <v>27.157130782910844</v>
      </c>
      <c r="AE141" s="180">
        <v>52.498070725309773</v>
      </c>
      <c r="AF141" s="180">
        <v>52.509399294272896</v>
      </c>
      <c r="AG141" s="180">
        <v>52.321552327367101</v>
      </c>
      <c r="AH141" s="180">
        <v>51.934628380352656</v>
      </c>
      <c r="AI141" s="180">
        <v>51.209210434755093</v>
      </c>
      <c r="AJ141" s="180">
        <v>49.606135997971812</v>
      </c>
      <c r="AK141" s="180">
        <v>48.340137169566439</v>
      </c>
      <c r="AL141" s="180">
        <v>46.963244294215123</v>
      </c>
      <c r="AM141" s="180">
        <v>39.339297348831472</v>
      </c>
      <c r="AN141" s="180">
        <v>34.777629249220432</v>
      </c>
      <c r="AO141" s="180">
        <v>32.143765893792178</v>
      </c>
      <c r="AP141" s="180">
        <v>29.646756271990807</v>
      </c>
      <c r="AQ141" s="180">
        <v>25.224222116589015</v>
      </c>
      <c r="AR141" s="180">
        <v>22.00993525608644</v>
      </c>
      <c r="AS141" s="180">
        <v>19.045856493430026</v>
      </c>
    </row>
    <row r="142" spans="2:45">
      <c r="B142" s="528"/>
      <c r="C142" s="180"/>
      <c r="D142" s="180"/>
      <c r="E142" s="180"/>
      <c r="F142" s="180"/>
      <c r="G142" s="180"/>
      <c r="H142" s="180"/>
      <c r="I142" s="180"/>
      <c r="J142" s="180"/>
      <c r="K142" s="180"/>
      <c r="L142" s="180"/>
      <c r="M142" s="180"/>
      <c r="N142" s="180"/>
      <c r="O142" s="180"/>
      <c r="P142" s="180"/>
      <c r="Q142" s="180"/>
      <c r="R142" s="180"/>
      <c r="S142" s="180"/>
      <c r="T142" s="180"/>
      <c r="U142" s="180"/>
      <c r="V142" s="180"/>
      <c r="W142" s="180"/>
      <c r="X142" s="180"/>
      <c r="Y142" s="180"/>
      <c r="Z142" s="180"/>
      <c r="AA142" s="180"/>
      <c r="AB142" s="180"/>
      <c r="AC142" s="180"/>
      <c r="AD142" s="180"/>
      <c r="AE142" s="180"/>
      <c r="AF142" s="180"/>
      <c r="AG142" s="180"/>
      <c r="AH142" s="180"/>
      <c r="AI142" s="180"/>
      <c r="AJ142" s="180"/>
      <c r="AK142" s="180"/>
      <c r="AL142" s="180"/>
      <c r="AM142" s="180"/>
      <c r="AN142" s="180"/>
      <c r="AO142" s="180"/>
      <c r="AP142" s="180"/>
      <c r="AQ142" s="180"/>
      <c r="AR142" s="180"/>
      <c r="AS142" s="180"/>
    </row>
    <row r="143" spans="2:45">
      <c r="B143" s="528"/>
      <c r="C143" s="180" t="s">
        <v>858</v>
      </c>
      <c r="D143" s="180" t="s">
        <v>859</v>
      </c>
      <c r="E143" s="180"/>
      <c r="F143" s="180"/>
      <c r="G143" s="180" t="s">
        <v>838</v>
      </c>
      <c r="H143" s="180"/>
      <c r="I143" s="180">
        <v>493906.32688851265</v>
      </c>
      <c r="J143" s="180">
        <v>12243.533546940529</v>
      </c>
      <c r="K143" s="180">
        <v>11696.120334605381</v>
      </c>
      <c r="L143" s="180">
        <v>11917.288048386126</v>
      </c>
      <c r="M143" s="180">
        <v>12535.153535403961</v>
      </c>
      <c r="N143" s="180">
        <v>12702.471294180688</v>
      </c>
      <c r="O143" s="180">
        <v>13104.971952919883</v>
      </c>
      <c r="P143" s="180">
        <v>14576.471864361962</v>
      </c>
      <c r="Q143" s="180">
        <v>17970.145764135454</v>
      </c>
      <c r="R143" s="180">
        <v>21145.735080416576</v>
      </c>
      <c r="S143" s="180">
        <v>22508.459563984212</v>
      </c>
      <c r="T143" s="180">
        <v>21839.31232848949</v>
      </c>
      <c r="U143" s="180">
        <v>21027.408642707447</v>
      </c>
      <c r="V143" s="180">
        <v>19976.008921330169</v>
      </c>
      <c r="W143" s="180">
        <v>17632.147624877663</v>
      </c>
      <c r="X143" s="180">
        <v>15674.106565609727</v>
      </c>
      <c r="Y143" s="180">
        <v>14224.961098464397</v>
      </c>
      <c r="Z143" s="180">
        <v>13199.131951992835</v>
      </c>
      <c r="AA143" s="180">
        <v>12855.827198046658</v>
      </c>
      <c r="AB143" s="180">
        <v>12510.351794731094</v>
      </c>
      <c r="AC143" s="180">
        <v>12227.7813065882</v>
      </c>
      <c r="AD143" s="180">
        <v>12023.816644679982</v>
      </c>
      <c r="AE143" s="180">
        <v>12152.678024237073</v>
      </c>
      <c r="AF143" s="180">
        <v>11892.574540384161</v>
      </c>
      <c r="AG143" s="180">
        <v>11518.7819878746</v>
      </c>
      <c r="AH143" s="180">
        <v>10773.039407889741</v>
      </c>
      <c r="AI143" s="180">
        <v>10936.787552070444</v>
      </c>
      <c r="AJ143" s="180">
        <v>11246.528945078033</v>
      </c>
      <c r="AK143" s="180">
        <v>11539.145384210551</v>
      </c>
      <c r="AL143" s="180">
        <v>11560.935394327442</v>
      </c>
      <c r="AM143" s="180">
        <v>11557.846403906558</v>
      </c>
      <c r="AN143" s="180">
        <v>11554.957651700088</v>
      </c>
      <c r="AO143" s="180">
        <v>11200.869415435098</v>
      </c>
      <c r="AP143" s="180">
        <v>11176.09343479139</v>
      </c>
      <c r="AQ143" s="180">
        <v>11148.601799581636</v>
      </c>
      <c r="AR143" s="180">
        <v>11063.144381521304</v>
      </c>
      <c r="AS143" s="180">
        <v>10993.137502652033</v>
      </c>
    </row>
    <row r="144" spans="2:45">
      <c r="B144" s="528"/>
      <c r="C144" s="180"/>
      <c r="D144" s="180" t="s">
        <v>860</v>
      </c>
      <c r="E144" s="180"/>
      <c r="F144" s="180"/>
      <c r="G144" s="180" t="s">
        <v>840</v>
      </c>
      <c r="H144" s="180"/>
      <c r="I144" s="180"/>
      <c r="J144" s="180">
        <v>12243.533546940529</v>
      </c>
      <c r="K144" s="180">
        <v>23939.65388154591</v>
      </c>
      <c r="L144" s="180">
        <v>35856.941929932036</v>
      </c>
      <c r="M144" s="180">
        <v>48392.095465335995</v>
      </c>
      <c r="N144" s="180">
        <v>61094.566759516681</v>
      </c>
      <c r="O144" s="180">
        <v>74199.538712436566</v>
      </c>
      <c r="P144" s="180">
        <v>88776.010576798522</v>
      </c>
      <c r="Q144" s="180">
        <v>106746.15634093397</v>
      </c>
      <c r="R144" s="180">
        <v>127891.89142135055</v>
      </c>
      <c r="S144" s="180">
        <v>150400.35098533475</v>
      </c>
      <c r="T144" s="180">
        <v>172239.66331382425</v>
      </c>
      <c r="U144" s="180">
        <v>193267.0719565317</v>
      </c>
      <c r="V144" s="180">
        <v>213243.08087786188</v>
      </c>
      <c r="W144" s="180">
        <v>230875.22850273954</v>
      </c>
      <c r="X144" s="180">
        <v>246549.33506834926</v>
      </c>
      <c r="Y144" s="180">
        <v>260774.29616681367</v>
      </c>
      <c r="Z144" s="180">
        <v>273973.42811880651</v>
      </c>
      <c r="AA144" s="180">
        <v>286829.25531685317</v>
      </c>
      <c r="AB144" s="180">
        <v>299339.60711158428</v>
      </c>
      <c r="AC144" s="180">
        <v>311567.38841817249</v>
      </c>
      <c r="AD144" s="180">
        <v>323591.20506285247</v>
      </c>
      <c r="AE144" s="180">
        <v>335743.88308708952</v>
      </c>
      <c r="AF144" s="180">
        <v>347636.45762747369</v>
      </c>
      <c r="AG144" s="180">
        <v>359155.23961534828</v>
      </c>
      <c r="AH144" s="180">
        <v>369928.27902323805</v>
      </c>
      <c r="AI144" s="180">
        <v>380865.0665753085</v>
      </c>
      <c r="AJ144" s="180">
        <v>392111.59552038653</v>
      </c>
      <c r="AK144" s="180">
        <v>403650.7409045971</v>
      </c>
      <c r="AL144" s="180">
        <v>415211.67629892455</v>
      </c>
      <c r="AM144" s="180">
        <v>426769.52270283108</v>
      </c>
      <c r="AN144" s="180">
        <v>438324.48035453114</v>
      </c>
      <c r="AO144" s="180">
        <v>449525.34976996627</v>
      </c>
      <c r="AP144" s="180">
        <v>460701.44320475764</v>
      </c>
      <c r="AQ144" s="180">
        <v>471850.04500433931</v>
      </c>
      <c r="AR144" s="180">
        <v>482913.18938586063</v>
      </c>
      <c r="AS144" s="180">
        <v>493906.32688851265</v>
      </c>
    </row>
    <row r="145" spans="2:45">
      <c r="B145" s="528"/>
      <c r="C145" s="180"/>
      <c r="D145" s="180" t="s">
        <v>861</v>
      </c>
      <c r="E145" s="180"/>
      <c r="F145" s="180"/>
      <c r="G145" s="180" t="s">
        <v>838</v>
      </c>
      <c r="H145" s="180"/>
      <c r="I145" s="180">
        <v>269390.87043035607</v>
      </c>
      <c r="J145" s="180">
        <v>8101.3209698302653</v>
      </c>
      <c r="K145" s="180">
        <v>7661.8840696665065</v>
      </c>
      <c r="L145" s="180">
        <v>7733.3841420658973</v>
      </c>
      <c r="M145" s="180">
        <v>8206.650487265144</v>
      </c>
      <c r="N145" s="180">
        <v>8541.8073701792891</v>
      </c>
      <c r="O145" s="180">
        <v>8446.5882482823472</v>
      </c>
      <c r="P145" s="180">
        <v>8950.2928787811215</v>
      </c>
      <c r="Q145" s="180">
        <v>9015.6770066371228</v>
      </c>
      <c r="R145" s="180">
        <v>8733.6309971231785</v>
      </c>
      <c r="S145" s="180">
        <v>8445.1790563258946</v>
      </c>
      <c r="T145" s="180">
        <v>8234.7719656451955</v>
      </c>
      <c r="U145" s="180">
        <v>7991.343753907664</v>
      </c>
      <c r="V145" s="180">
        <v>7679.8425042515464</v>
      </c>
      <c r="W145" s="180">
        <v>7379.9314474730763</v>
      </c>
      <c r="X145" s="180">
        <v>7119.0241515957659</v>
      </c>
      <c r="Y145" s="180">
        <v>7007.5098058949352</v>
      </c>
      <c r="Z145" s="180">
        <v>7024.9195144644864</v>
      </c>
      <c r="AA145" s="180">
        <v>6925.5285372247063</v>
      </c>
      <c r="AB145" s="180">
        <v>6797.8407020913746</v>
      </c>
      <c r="AC145" s="180">
        <v>6776.2138498184404</v>
      </c>
      <c r="AD145" s="180">
        <v>6770.5899761400524</v>
      </c>
      <c r="AE145" s="180">
        <v>6814.3427335330171</v>
      </c>
      <c r="AF145" s="180">
        <v>6815.6284909840315</v>
      </c>
      <c r="AG145" s="180">
        <v>6856.291414145724</v>
      </c>
      <c r="AH145" s="180">
        <v>6938.4889110308968</v>
      </c>
      <c r="AI145" s="180">
        <v>6930.2216727398672</v>
      </c>
      <c r="AJ145" s="180">
        <v>6984.6253969025138</v>
      </c>
      <c r="AK145" s="180">
        <v>7031.816253254452</v>
      </c>
      <c r="AL145" s="180">
        <v>7072.7594181092163</v>
      </c>
      <c r="AM145" s="180">
        <v>7108.3814676160855</v>
      </c>
      <c r="AN145" s="180">
        <v>7139.3870338197212</v>
      </c>
      <c r="AO145" s="180">
        <v>7185.1139256382039</v>
      </c>
      <c r="AP145" s="180">
        <v>7214.5248369336186</v>
      </c>
      <c r="AQ145" s="180">
        <v>7232.7609172460971</v>
      </c>
      <c r="AR145" s="180">
        <v>7251.5856282433233</v>
      </c>
      <c r="AS145" s="180">
        <v>7271.0108954951829</v>
      </c>
    </row>
    <row r="146" spans="2:45">
      <c r="B146" s="528"/>
      <c r="C146" s="180"/>
      <c r="D146" s="180" t="s">
        <v>862</v>
      </c>
      <c r="E146" s="180">
        <v>0</v>
      </c>
      <c r="F146" s="180">
        <v>0</v>
      </c>
      <c r="G146" s="180" t="s">
        <v>838</v>
      </c>
      <c r="H146" s="180">
        <v>0</v>
      </c>
      <c r="I146" s="180">
        <v>71104.880912447057</v>
      </c>
      <c r="J146" s="180">
        <v>2928.994926990079</v>
      </c>
      <c r="K146" s="180">
        <v>2806.0922167324534</v>
      </c>
      <c r="L146" s="180">
        <v>2947.2331113665964</v>
      </c>
      <c r="M146" s="180">
        <v>3053.3319234952182</v>
      </c>
      <c r="N146" s="180">
        <v>2820.0574600368159</v>
      </c>
      <c r="O146" s="180">
        <v>2618.113564076255</v>
      </c>
      <c r="P146" s="180">
        <v>2620.9030562864623</v>
      </c>
      <c r="Q146" s="180">
        <v>2585.3773518788789</v>
      </c>
      <c r="R146" s="180">
        <v>2549.8887527864899</v>
      </c>
      <c r="S146" s="180">
        <v>2487.1300045163662</v>
      </c>
      <c r="T146" s="180">
        <v>2416.9256763286307</v>
      </c>
      <c r="U146" s="180">
        <v>2360.3334206533623</v>
      </c>
      <c r="V146" s="180">
        <v>2275.3814613693321</v>
      </c>
      <c r="W146" s="180">
        <v>2191.2205361491442</v>
      </c>
      <c r="X146" s="180">
        <v>2101.0859085291213</v>
      </c>
      <c r="Y146" s="180">
        <v>2017.1545989217097</v>
      </c>
      <c r="Z146" s="180">
        <v>1948.9511871443378</v>
      </c>
      <c r="AA146" s="180">
        <v>1865.3756758581005</v>
      </c>
      <c r="AB146" s="180">
        <v>1781.0030434761406</v>
      </c>
      <c r="AC146" s="180">
        <v>1729.2872982623062</v>
      </c>
      <c r="AD146" s="180">
        <v>1678.4418899609111</v>
      </c>
      <c r="AE146" s="180">
        <v>1630.1333068938322</v>
      </c>
      <c r="AF146" s="180">
        <v>1586.5086462708125</v>
      </c>
      <c r="AG146" s="180">
        <v>1539.2180543993193</v>
      </c>
      <c r="AH146" s="180">
        <v>1502.4604990497448</v>
      </c>
      <c r="AI146" s="180">
        <v>1466.8651270208854</v>
      </c>
      <c r="AJ146" s="180">
        <v>1458.7889935232727</v>
      </c>
      <c r="AK146" s="180">
        <v>1447.741518903804</v>
      </c>
      <c r="AL146" s="180">
        <v>1432.5138314801272</v>
      </c>
      <c r="AM146" s="180">
        <v>1411.9742737840033</v>
      </c>
      <c r="AN146" s="180">
        <v>1384.8853597379809</v>
      </c>
      <c r="AO146" s="180">
        <v>1346.4503250028226</v>
      </c>
      <c r="AP146" s="180">
        <v>1319.8286049408168</v>
      </c>
      <c r="AQ146" s="180">
        <v>1292.8726044289594</v>
      </c>
      <c r="AR146" s="180">
        <v>1265.3321178496344</v>
      </c>
      <c r="AS146" s="180">
        <v>1237.0245843423027</v>
      </c>
    </row>
    <row r="147" spans="2:45">
      <c r="B147" s="528"/>
      <c r="C147" s="180"/>
      <c r="D147" s="180" t="s">
        <v>837</v>
      </c>
      <c r="E147" s="180">
        <v>0</v>
      </c>
      <c r="F147" s="180">
        <v>0</v>
      </c>
      <c r="G147" s="180" t="s">
        <v>838</v>
      </c>
      <c r="H147" s="180">
        <v>0</v>
      </c>
      <c r="I147" s="180">
        <v>149654.28110547029</v>
      </c>
      <c r="J147" s="180">
        <v>1213.2176501201839</v>
      </c>
      <c r="K147" s="180">
        <v>1228.1440482064215</v>
      </c>
      <c r="L147" s="180">
        <v>1236.6707949536326</v>
      </c>
      <c r="M147" s="180">
        <v>1245.1606636824863</v>
      </c>
      <c r="N147" s="180">
        <v>1329.7601319631403</v>
      </c>
      <c r="O147" s="180">
        <v>2033.1337635869527</v>
      </c>
      <c r="P147" s="180">
        <v>2967.3641178642192</v>
      </c>
      <c r="Q147" s="180">
        <v>6276.1396513228347</v>
      </c>
      <c r="R147" s="180">
        <v>9751.1844506408634</v>
      </c>
      <c r="S147" s="180">
        <v>11464.819822449106</v>
      </c>
      <c r="T147" s="180">
        <v>11060.238926365306</v>
      </c>
      <c r="U147" s="180">
        <v>10542.33624917172</v>
      </c>
      <c r="V147" s="180">
        <v>9879.6045957566621</v>
      </c>
      <c r="W147" s="180">
        <v>7926.0650567307775</v>
      </c>
      <c r="X147" s="180">
        <v>6324.5798961381888</v>
      </c>
      <c r="Y147" s="180">
        <v>5075.6467749387293</v>
      </c>
      <c r="Z147" s="180">
        <v>4113.9022752732471</v>
      </c>
      <c r="AA147" s="180">
        <v>3964.6750125461508</v>
      </c>
      <c r="AB147" s="180">
        <v>3814.3604176645317</v>
      </c>
      <c r="AC147" s="180">
        <v>3632.388525107629</v>
      </c>
      <c r="AD147" s="180">
        <v>3495.8005138872431</v>
      </c>
      <c r="AE147" s="180">
        <v>3620.8098433472264</v>
      </c>
      <c r="AF147" s="180">
        <v>3346.1478535809229</v>
      </c>
      <c r="AG147" s="180">
        <v>2969.2796395288474</v>
      </c>
      <c r="AH147" s="180">
        <v>2181.3028808164727</v>
      </c>
      <c r="AI147" s="180">
        <v>2377.4397374113614</v>
      </c>
      <c r="AJ147" s="180">
        <v>2636.3461059766205</v>
      </c>
      <c r="AK147" s="180">
        <v>2886.1382636702574</v>
      </c>
      <c r="AL147" s="180">
        <v>2887.670490323394</v>
      </c>
      <c r="AM147" s="180">
        <v>2874.1418377218515</v>
      </c>
      <c r="AN147" s="180">
        <v>2871.2025782477358</v>
      </c>
      <c r="AO147" s="180">
        <v>2540.2040302278679</v>
      </c>
      <c r="AP147" s="180">
        <v>2525.1920526144322</v>
      </c>
      <c r="AQ147" s="180">
        <v>2514.1672573727474</v>
      </c>
      <c r="AR147" s="180">
        <v>2450.1234156491819</v>
      </c>
      <c r="AS147" s="180">
        <v>2398.9217806113384</v>
      </c>
    </row>
    <row r="148" spans="2:45">
      <c r="B148" s="528"/>
      <c r="C148" s="180"/>
      <c r="D148" s="180" t="s">
        <v>863</v>
      </c>
      <c r="E148" s="180">
        <v>0</v>
      </c>
      <c r="F148" s="180">
        <v>0</v>
      </c>
      <c r="G148" s="180" t="s">
        <v>838</v>
      </c>
      <c r="H148" s="180">
        <v>0</v>
      </c>
      <c r="I148" s="180">
        <v>3756.2944402393155</v>
      </c>
      <c r="J148" s="180">
        <v>0</v>
      </c>
      <c r="K148" s="180">
        <v>0</v>
      </c>
      <c r="L148" s="180">
        <v>0</v>
      </c>
      <c r="M148" s="180">
        <v>30.010460961112649</v>
      </c>
      <c r="N148" s="180">
        <v>10.846332001442576</v>
      </c>
      <c r="O148" s="180">
        <v>7.1363769743277183</v>
      </c>
      <c r="P148" s="180">
        <v>37.911811430157755</v>
      </c>
      <c r="Q148" s="180">
        <v>92.951754296615576</v>
      </c>
      <c r="R148" s="180">
        <v>111.03087986604584</v>
      </c>
      <c r="S148" s="180">
        <v>111.33068069284603</v>
      </c>
      <c r="T148" s="180">
        <v>127.37576015036169</v>
      </c>
      <c r="U148" s="180">
        <v>133.39521897470414</v>
      </c>
      <c r="V148" s="180">
        <v>141.18035995262886</v>
      </c>
      <c r="W148" s="180">
        <v>134.93058452466443</v>
      </c>
      <c r="X148" s="180">
        <v>129.41660934665262</v>
      </c>
      <c r="Y148" s="180">
        <v>124.64991870902129</v>
      </c>
      <c r="Z148" s="180">
        <v>111.35897511076203</v>
      </c>
      <c r="AA148" s="180">
        <v>100.24797241769927</v>
      </c>
      <c r="AB148" s="180">
        <v>117.14763149904681</v>
      </c>
      <c r="AC148" s="180">
        <v>89.891633399823206</v>
      </c>
      <c r="AD148" s="180">
        <v>78.984264691775692</v>
      </c>
      <c r="AE148" s="180">
        <v>87.3921404629981</v>
      </c>
      <c r="AF148" s="180">
        <v>144.28954954839358</v>
      </c>
      <c r="AG148" s="180">
        <v>153.99287980070761</v>
      </c>
      <c r="AH148" s="180">
        <v>150.78711699262561</v>
      </c>
      <c r="AI148" s="180">
        <v>162.26101489832865</v>
      </c>
      <c r="AJ148" s="180">
        <v>166.76844867562679</v>
      </c>
      <c r="AK148" s="180">
        <v>173.44934838203713</v>
      </c>
      <c r="AL148" s="180">
        <v>167.99165441470441</v>
      </c>
      <c r="AM148" s="180">
        <v>163.34882478461827</v>
      </c>
      <c r="AN148" s="180">
        <v>159.48267989465052</v>
      </c>
      <c r="AO148" s="180">
        <v>129.10113456620502</v>
      </c>
      <c r="AP148" s="180">
        <v>116.54794030252329</v>
      </c>
      <c r="AQ148" s="180">
        <v>108.80102053383303</v>
      </c>
      <c r="AR148" s="180">
        <v>96.103219779166338</v>
      </c>
      <c r="AS148" s="180">
        <v>86.18024220320936</v>
      </c>
    </row>
    <row r="149" spans="2:45">
      <c r="B149" s="528"/>
      <c r="C149" s="180"/>
      <c r="D149" s="180" t="s">
        <v>864</v>
      </c>
      <c r="E149" s="180">
        <v>0</v>
      </c>
      <c r="F149" s="180">
        <v>0</v>
      </c>
      <c r="G149" s="180" t="s">
        <v>838</v>
      </c>
      <c r="H149" s="180">
        <v>0</v>
      </c>
      <c r="I149" s="180">
        <v>5330.1115147841092</v>
      </c>
      <c r="J149" s="180">
        <v>9.3613400107731284</v>
      </c>
      <c r="K149" s="180">
        <v>9.739784234805871</v>
      </c>
      <c r="L149" s="180">
        <v>19.643653191710193</v>
      </c>
      <c r="M149" s="180">
        <v>16.79028656575424</v>
      </c>
      <c r="N149" s="180">
        <v>40.94848021818207</v>
      </c>
      <c r="O149" s="180">
        <v>87.433137049914805</v>
      </c>
      <c r="P149" s="180">
        <v>106.43320166797139</v>
      </c>
      <c r="Q149" s="180">
        <v>127.20514205516162</v>
      </c>
      <c r="R149" s="180">
        <v>125.63247224126148</v>
      </c>
      <c r="S149" s="180">
        <v>136.34701002219845</v>
      </c>
      <c r="T149" s="180">
        <v>135.36177012802932</v>
      </c>
      <c r="U149" s="180">
        <v>147.40712407179296</v>
      </c>
      <c r="V149" s="180">
        <v>148.84923228418043</v>
      </c>
      <c r="W149" s="180">
        <v>149.37693297789698</v>
      </c>
      <c r="X149" s="180">
        <v>189.05733835728188</v>
      </c>
      <c r="Y149" s="180">
        <v>218.74894938630823</v>
      </c>
      <c r="Z149" s="180">
        <v>200.44238198715703</v>
      </c>
      <c r="AA149" s="180">
        <v>202.06341898567314</v>
      </c>
      <c r="AB149" s="180">
        <v>195.60284183240685</v>
      </c>
      <c r="AC149" s="180">
        <v>253.13401544078633</v>
      </c>
      <c r="AD149" s="180">
        <v>264.64002696238242</v>
      </c>
      <c r="AE149" s="180">
        <v>228.80374810752869</v>
      </c>
      <c r="AF149" s="180">
        <v>228.08403386536949</v>
      </c>
      <c r="AG149" s="180">
        <v>222.9522127072326</v>
      </c>
      <c r="AH149" s="180">
        <v>223.81641295565734</v>
      </c>
      <c r="AI149" s="180">
        <v>203.05393991457055</v>
      </c>
      <c r="AJ149" s="180">
        <v>201.78223036385276</v>
      </c>
      <c r="AK149" s="180">
        <v>199.22078224143365</v>
      </c>
      <c r="AL149" s="180">
        <v>196.66728720101227</v>
      </c>
      <c r="AM149" s="180">
        <v>194.26001800657471</v>
      </c>
      <c r="AN149" s="180">
        <v>155.9638503278625</v>
      </c>
      <c r="AO149" s="180">
        <v>122.08078421965729</v>
      </c>
      <c r="AP149" s="180">
        <v>120.44425662656924</v>
      </c>
      <c r="AQ149" s="180">
        <v>117.40333182041095</v>
      </c>
      <c r="AR149" s="180">
        <v>115.88025272280183</v>
      </c>
      <c r="AS149" s="180">
        <v>15.479834031946316</v>
      </c>
    </row>
    <row r="150" spans="2:45">
      <c r="B150" s="528"/>
      <c r="C150" s="180"/>
      <c r="D150" s="180" t="s">
        <v>865</v>
      </c>
      <c r="E150" s="180">
        <v>0</v>
      </c>
      <c r="F150" s="180">
        <v>0</v>
      </c>
      <c r="G150" s="180" t="s">
        <v>840</v>
      </c>
      <c r="H150" s="180">
        <v>0</v>
      </c>
      <c r="I150" s="180"/>
      <c r="J150" s="180">
        <v>9.3613400107731284</v>
      </c>
      <c r="K150" s="180">
        <v>19.101124245579001</v>
      </c>
      <c r="L150" s="180">
        <v>38.744777437289194</v>
      </c>
      <c r="M150" s="180">
        <v>55.535064003043431</v>
      </c>
      <c r="N150" s="180">
        <v>96.4835442212255</v>
      </c>
      <c r="O150" s="180">
        <v>183.91668127114031</v>
      </c>
      <c r="P150" s="180">
        <v>290.34988293911169</v>
      </c>
      <c r="Q150" s="180">
        <v>417.55502499427331</v>
      </c>
      <c r="R150" s="180">
        <v>543.18749723553481</v>
      </c>
      <c r="S150" s="180">
        <v>679.53450725773325</v>
      </c>
      <c r="T150" s="180">
        <v>814.89627738576257</v>
      </c>
      <c r="U150" s="180">
        <v>962.30340145755554</v>
      </c>
      <c r="V150" s="180">
        <v>1111.1526337417361</v>
      </c>
      <c r="W150" s="180">
        <v>1260.5295667196331</v>
      </c>
      <c r="X150" s="180">
        <v>1449.5869050769149</v>
      </c>
      <c r="Y150" s="180">
        <v>1668.3358544632231</v>
      </c>
      <c r="Z150" s="180">
        <v>1868.7782364503801</v>
      </c>
      <c r="AA150" s="180">
        <v>2070.8416554360533</v>
      </c>
      <c r="AB150" s="180">
        <v>2266.4444972684601</v>
      </c>
      <c r="AC150" s="180">
        <v>2519.5785127092463</v>
      </c>
      <c r="AD150" s="180">
        <v>2784.2185396716286</v>
      </c>
      <c r="AE150" s="180">
        <v>3013.0222877791575</v>
      </c>
      <c r="AF150" s="180">
        <v>3241.1063216445268</v>
      </c>
      <c r="AG150" s="180">
        <v>3464.0585343517596</v>
      </c>
      <c r="AH150" s="180">
        <v>3687.8749473074167</v>
      </c>
      <c r="AI150" s="180">
        <v>3890.9288872219872</v>
      </c>
      <c r="AJ150" s="180">
        <v>4092.7111175858399</v>
      </c>
      <c r="AK150" s="180">
        <v>4291.9318998272738</v>
      </c>
      <c r="AL150" s="180">
        <v>4488.599187028286</v>
      </c>
      <c r="AM150" s="180">
        <v>4682.8592050348607</v>
      </c>
      <c r="AN150" s="180">
        <v>4838.8230553627236</v>
      </c>
      <c r="AO150" s="180">
        <v>4960.9038395823809</v>
      </c>
      <c r="AP150" s="180">
        <v>5081.3480962089498</v>
      </c>
      <c r="AQ150" s="180">
        <v>5198.7514280293608</v>
      </c>
      <c r="AR150" s="180">
        <v>5314.6316807521625</v>
      </c>
      <c r="AS150" s="180">
        <v>5330.1115147841092</v>
      </c>
    </row>
    <row r="151" spans="2:45">
      <c r="B151" s="528"/>
      <c r="C151" s="180"/>
      <c r="D151" s="180" t="s">
        <v>866</v>
      </c>
      <c r="E151" s="180">
        <v>0</v>
      </c>
      <c r="F151" s="180">
        <v>0</v>
      </c>
      <c r="G151" s="180" t="s">
        <v>838</v>
      </c>
      <c r="H151" s="180">
        <v>0</v>
      </c>
      <c r="I151" s="180">
        <v>2070.5349324672375</v>
      </c>
      <c r="J151" s="180">
        <v>9.3613400107731284</v>
      </c>
      <c r="K151" s="180">
        <v>9.7051391374781275</v>
      </c>
      <c r="L151" s="180">
        <v>11.300938799223548</v>
      </c>
      <c r="M151" s="180">
        <v>12.89676525129863</v>
      </c>
      <c r="N151" s="180">
        <v>14.492618493703409</v>
      </c>
      <c r="O151" s="180">
        <v>64.762608041893671</v>
      </c>
      <c r="P151" s="180">
        <v>63.420615203733561</v>
      </c>
      <c r="Q151" s="180">
        <v>78.063277419074211</v>
      </c>
      <c r="R151" s="180">
        <v>81.955720127349366</v>
      </c>
      <c r="S151" s="180">
        <v>85.848130844855874</v>
      </c>
      <c r="T151" s="180">
        <v>89.352138727337262</v>
      </c>
      <c r="U151" s="180">
        <v>99.395680650459866</v>
      </c>
      <c r="V151" s="180">
        <v>102.09194132406061</v>
      </c>
      <c r="W151" s="180">
        <v>104.78819741821617</v>
      </c>
      <c r="X151" s="180">
        <v>107.48444936766866</v>
      </c>
      <c r="Y151" s="180">
        <v>110.18069744961581</v>
      </c>
      <c r="Z151" s="180">
        <v>97.137718151714054</v>
      </c>
      <c r="AA151" s="180">
        <v>97.114082545058281</v>
      </c>
      <c r="AB151" s="180">
        <v>97.089718962851464</v>
      </c>
      <c r="AC151" s="180">
        <v>97.065248470901722</v>
      </c>
      <c r="AD151" s="180">
        <v>96.976242085139461</v>
      </c>
      <c r="AE151" s="180">
        <v>46.321970860992174</v>
      </c>
      <c r="AF151" s="180">
        <v>46.309831250215815</v>
      </c>
      <c r="AG151" s="180">
        <v>46.297678948967473</v>
      </c>
      <c r="AH151" s="180">
        <v>46.285469667549897</v>
      </c>
      <c r="AI151" s="180">
        <v>46.273251385875291</v>
      </c>
      <c r="AJ151" s="180">
        <v>46.261271233427195</v>
      </c>
      <c r="AK151" s="180">
        <v>46.249248296092837</v>
      </c>
      <c r="AL151" s="180">
        <v>46.237182475509528</v>
      </c>
      <c r="AM151" s="180">
        <v>46.225073648277913</v>
      </c>
      <c r="AN151" s="180">
        <v>46.212921660088284</v>
      </c>
      <c r="AO151" s="180">
        <v>15.475766670560846</v>
      </c>
      <c r="AP151" s="180">
        <v>15.475662345298039</v>
      </c>
      <c r="AQ151" s="180">
        <v>15.475555471888153</v>
      </c>
      <c r="AR151" s="180">
        <v>15.475446038140721</v>
      </c>
      <c r="AS151" s="180">
        <v>15.475334031946316</v>
      </c>
    </row>
    <row r="152" spans="2:45">
      <c r="B152" s="528"/>
      <c r="C152" s="180"/>
      <c r="D152" s="180" t="s">
        <v>867</v>
      </c>
      <c r="E152" s="180">
        <v>0</v>
      </c>
      <c r="F152" s="180">
        <v>0</v>
      </c>
      <c r="G152" s="180" t="s">
        <v>838</v>
      </c>
      <c r="H152" s="180">
        <v>0</v>
      </c>
      <c r="I152" s="180">
        <v>2274.6883405482308</v>
      </c>
      <c r="J152" s="180">
        <v>0</v>
      </c>
      <c r="K152" s="180">
        <v>3.4645097327743776E-2</v>
      </c>
      <c r="L152" s="180">
        <v>3.4645097327743776E-2</v>
      </c>
      <c r="M152" s="180">
        <v>3.464509732774379E-2</v>
      </c>
      <c r="N152" s="180">
        <v>3.4645097327743762E-2</v>
      </c>
      <c r="O152" s="180">
        <v>0</v>
      </c>
      <c r="P152" s="180">
        <v>0</v>
      </c>
      <c r="Q152" s="180">
        <v>0</v>
      </c>
      <c r="R152" s="180">
        <v>0</v>
      </c>
      <c r="S152" s="180">
        <v>0</v>
      </c>
      <c r="T152" s="180">
        <v>0</v>
      </c>
      <c r="U152" s="180">
        <v>0</v>
      </c>
      <c r="V152" s="180">
        <v>0</v>
      </c>
      <c r="W152" s="180">
        <v>0</v>
      </c>
      <c r="X152" s="180">
        <v>39.081627100419432</v>
      </c>
      <c r="Y152" s="180">
        <v>71.695917103782989</v>
      </c>
      <c r="Z152" s="180">
        <v>71.695917103782989</v>
      </c>
      <c r="AA152" s="180">
        <v>71.695917103782406</v>
      </c>
      <c r="AB152" s="180">
        <v>73.101800372053134</v>
      </c>
      <c r="AC152" s="180">
        <v>120.47082806263779</v>
      </c>
      <c r="AD152" s="180">
        <v>152.15089043946338</v>
      </c>
      <c r="AE152" s="180">
        <v>152.15089043946338</v>
      </c>
      <c r="AF152" s="180">
        <v>152.15089043946293</v>
      </c>
      <c r="AG152" s="180">
        <v>152.15089043946341</v>
      </c>
      <c r="AH152" s="180">
        <v>152.15089043946338</v>
      </c>
      <c r="AI152" s="180">
        <v>125.86344902005578</v>
      </c>
      <c r="AJ152" s="180">
        <v>125.30883318766521</v>
      </c>
      <c r="AK152" s="180">
        <v>124.75421735527415</v>
      </c>
      <c r="AL152" s="180">
        <v>124.19960152288419</v>
      </c>
      <c r="AM152" s="180">
        <v>123.64498569049374</v>
      </c>
      <c r="AN152" s="180">
        <v>88.456442867754262</v>
      </c>
      <c r="AO152" s="180">
        <v>88.456442867754262</v>
      </c>
      <c r="AP152" s="180">
        <v>88.456442867753907</v>
      </c>
      <c r="AQ152" s="180">
        <v>88.456442867754205</v>
      </c>
      <c r="AR152" s="180">
        <v>88.456442867754291</v>
      </c>
      <c r="AS152" s="180">
        <v>0</v>
      </c>
    </row>
    <row r="153" spans="2:45">
      <c r="B153" s="528"/>
      <c r="C153" s="180"/>
      <c r="D153" s="180" t="s">
        <v>868</v>
      </c>
      <c r="E153" s="180">
        <v>0</v>
      </c>
      <c r="F153" s="180">
        <v>0</v>
      </c>
      <c r="G153" s="180" t="s">
        <v>838</v>
      </c>
      <c r="H153" s="180">
        <v>0</v>
      </c>
      <c r="I153" s="180">
        <v>4.5351627564003243</v>
      </c>
      <c r="J153" s="180">
        <v>0</v>
      </c>
      <c r="K153" s="180">
        <v>0</v>
      </c>
      <c r="L153" s="180">
        <v>0</v>
      </c>
      <c r="M153" s="180">
        <v>0</v>
      </c>
      <c r="N153" s="180">
        <v>0</v>
      </c>
      <c r="O153" s="180">
        <v>0</v>
      </c>
      <c r="P153" s="180">
        <v>0</v>
      </c>
      <c r="Q153" s="180">
        <v>0</v>
      </c>
      <c r="R153" s="180">
        <v>0</v>
      </c>
      <c r="S153" s="180">
        <v>0</v>
      </c>
      <c r="T153" s="180">
        <v>0</v>
      </c>
      <c r="U153" s="180">
        <v>0.19728093309411074</v>
      </c>
      <c r="V153" s="180">
        <v>0.19728093309411074</v>
      </c>
      <c r="W153" s="180">
        <v>0.19728093309411071</v>
      </c>
      <c r="X153" s="180">
        <v>0.19728093309411077</v>
      </c>
      <c r="Y153" s="180">
        <v>0.19728093309411077</v>
      </c>
      <c r="Z153" s="180">
        <v>0.56612359952568514</v>
      </c>
      <c r="AA153" s="180">
        <v>0.56612359952568481</v>
      </c>
      <c r="AB153" s="180">
        <v>0.56612359952568525</v>
      </c>
      <c r="AC153" s="180">
        <v>0.56612359952568481</v>
      </c>
      <c r="AD153" s="180">
        <v>0.56612359952568525</v>
      </c>
      <c r="AE153" s="180">
        <v>0.1436280186602685</v>
      </c>
      <c r="AF153" s="180">
        <v>0.14362801866026903</v>
      </c>
      <c r="AG153" s="180">
        <v>0.14362801866026903</v>
      </c>
      <c r="AH153" s="180">
        <v>0.14362801866026903</v>
      </c>
      <c r="AI153" s="180">
        <v>0.1436280186602685</v>
      </c>
      <c r="AJ153" s="180">
        <v>0</v>
      </c>
      <c r="AK153" s="180">
        <v>0</v>
      </c>
      <c r="AL153" s="180">
        <v>0</v>
      </c>
      <c r="AM153" s="180">
        <v>0</v>
      </c>
      <c r="AN153" s="180">
        <v>0</v>
      </c>
      <c r="AO153" s="180">
        <v>0</v>
      </c>
      <c r="AP153" s="180">
        <v>0</v>
      </c>
      <c r="AQ153" s="180">
        <v>0</v>
      </c>
      <c r="AR153" s="180">
        <v>0</v>
      </c>
      <c r="AS153" s="180">
        <v>0</v>
      </c>
    </row>
    <row r="154" spans="2:45">
      <c r="B154" s="528"/>
      <c r="C154" s="180"/>
      <c r="D154" s="180" t="s">
        <v>869</v>
      </c>
      <c r="E154" s="180">
        <v>0</v>
      </c>
      <c r="F154" s="180">
        <v>0</v>
      </c>
      <c r="G154" s="180" t="s">
        <v>838</v>
      </c>
      <c r="H154" s="180">
        <v>0</v>
      </c>
      <c r="I154" s="180">
        <v>980.35307901224098</v>
      </c>
      <c r="J154" s="180">
        <v>0</v>
      </c>
      <c r="K154" s="180">
        <v>0</v>
      </c>
      <c r="L154" s="180">
        <v>8.3080692951589032</v>
      </c>
      <c r="M154" s="180">
        <v>3.8588762171278668</v>
      </c>
      <c r="N154" s="180">
        <v>26.421216627150919</v>
      </c>
      <c r="O154" s="180">
        <v>22.670529008021134</v>
      </c>
      <c r="P154" s="180">
        <v>43.012586464237835</v>
      </c>
      <c r="Q154" s="180">
        <v>49.141864636087412</v>
      </c>
      <c r="R154" s="180">
        <v>43.676752113912116</v>
      </c>
      <c r="S154" s="180">
        <v>50.498879177342573</v>
      </c>
      <c r="T154" s="180">
        <v>46.009631400692065</v>
      </c>
      <c r="U154" s="180">
        <v>47.814162488238992</v>
      </c>
      <c r="V154" s="180">
        <v>46.560010027025712</v>
      </c>
      <c r="W154" s="180">
        <v>44.391454626586714</v>
      </c>
      <c r="X154" s="180">
        <v>42.293980956099681</v>
      </c>
      <c r="Y154" s="180">
        <v>36.675053899815332</v>
      </c>
      <c r="Z154" s="180">
        <v>31.042623132134324</v>
      </c>
      <c r="AA154" s="180">
        <v>32.687295737306748</v>
      </c>
      <c r="AB154" s="180">
        <v>24.845198897976545</v>
      </c>
      <c r="AC154" s="180">
        <v>35.031815307721097</v>
      </c>
      <c r="AD154" s="180">
        <v>14.94677083825389</v>
      </c>
      <c r="AE154" s="180">
        <v>30.187258788412848</v>
      </c>
      <c r="AF154" s="180">
        <v>29.479684157030466</v>
      </c>
      <c r="AG154" s="180">
        <v>24.360015300141438</v>
      </c>
      <c r="AH154" s="180">
        <v>25.236424829983772</v>
      </c>
      <c r="AI154" s="180">
        <v>30.773611489979192</v>
      </c>
      <c r="AJ154" s="180">
        <v>30.212125942760323</v>
      </c>
      <c r="AK154" s="180">
        <v>28.217316590066666</v>
      </c>
      <c r="AL154" s="180">
        <v>26.230503202618561</v>
      </c>
      <c r="AM154" s="180">
        <v>24.389958667803054</v>
      </c>
      <c r="AN154" s="180">
        <v>21.294485800019952</v>
      </c>
      <c r="AO154" s="180">
        <v>18.148574681342179</v>
      </c>
      <c r="AP154" s="180">
        <v>16.512151413517302</v>
      </c>
      <c r="AQ154" s="180">
        <v>13.471333480768592</v>
      </c>
      <c r="AR154" s="180">
        <v>11.948363816906813</v>
      </c>
      <c r="AS154" s="180">
        <v>4.4999999999999997E-3</v>
      </c>
    </row>
    <row r="155" spans="2:45">
      <c r="B155" s="180"/>
      <c r="C155" s="180"/>
      <c r="D155" s="180"/>
      <c r="E155" s="180"/>
      <c r="F155" s="180"/>
      <c r="G155" s="180"/>
      <c r="H155" s="180"/>
      <c r="I155" s="180"/>
      <c r="J155" s="180"/>
      <c r="K155" s="180"/>
      <c r="L155" s="180"/>
      <c r="M155" s="180"/>
      <c r="N155" s="180"/>
      <c r="O155" s="180"/>
      <c r="P155" s="180"/>
      <c r="Q155" s="180"/>
      <c r="R155" s="180"/>
      <c r="S155" s="180"/>
      <c r="T155" s="180"/>
      <c r="U155" s="180"/>
      <c r="V155" s="180"/>
      <c r="W155" s="180"/>
      <c r="X155" s="180"/>
      <c r="Y155" s="180"/>
      <c r="Z155" s="180"/>
      <c r="AA155" s="180"/>
      <c r="AB155" s="180"/>
      <c r="AC155" s="180"/>
      <c r="AD155" s="180"/>
      <c r="AE155" s="180"/>
      <c r="AF155" s="180"/>
      <c r="AG155" s="180"/>
      <c r="AH155" s="180"/>
      <c r="AI155" s="180"/>
      <c r="AJ155" s="180"/>
      <c r="AK155" s="180"/>
      <c r="AL155" s="180"/>
      <c r="AM155" s="180"/>
      <c r="AN155" s="180"/>
      <c r="AO155" s="180"/>
      <c r="AP155" s="180"/>
      <c r="AQ155" s="180"/>
      <c r="AR155" s="180"/>
      <c r="AS155" s="180"/>
    </row>
    <row r="156" spans="2:45">
      <c r="B156" s="180"/>
      <c r="C156" s="180"/>
      <c r="D156" s="180"/>
      <c r="E156" s="180"/>
      <c r="F156" s="180"/>
      <c r="G156" s="180"/>
      <c r="H156" s="180"/>
      <c r="I156" s="180"/>
      <c r="J156" s="180"/>
      <c r="K156" s="180"/>
      <c r="L156" s="180"/>
      <c r="M156" s="180"/>
      <c r="N156" s="180"/>
      <c r="O156" s="180"/>
      <c r="P156" s="180"/>
      <c r="Q156" s="180"/>
      <c r="R156" s="180"/>
      <c r="S156" s="180"/>
      <c r="T156" s="180"/>
      <c r="U156" s="180"/>
      <c r="V156" s="180"/>
      <c r="W156" s="180"/>
      <c r="X156" s="180"/>
      <c r="Y156" s="180"/>
      <c r="Z156" s="180"/>
      <c r="AA156" s="180"/>
      <c r="AB156" s="180"/>
      <c r="AC156" s="180"/>
      <c r="AD156" s="180"/>
      <c r="AE156" s="180"/>
      <c r="AF156" s="180"/>
      <c r="AG156" s="180"/>
      <c r="AH156" s="180"/>
      <c r="AI156" s="180"/>
      <c r="AJ156" s="180"/>
      <c r="AK156" s="180"/>
      <c r="AL156" s="180"/>
      <c r="AM156" s="180"/>
      <c r="AN156" s="180"/>
      <c r="AO156" s="180"/>
      <c r="AP156" s="180"/>
      <c r="AQ156" s="180"/>
      <c r="AR156" s="180"/>
      <c r="AS156" s="180"/>
    </row>
    <row r="157" spans="2:45">
      <c r="B157" s="529" t="str">
        <f>INDEX('Scenario names'!$C$3:$C$6,2)</f>
        <v>High Hydrogen</v>
      </c>
      <c r="C157" s="180" t="s">
        <v>174</v>
      </c>
      <c r="D157" s="180"/>
      <c r="E157" s="180"/>
      <c r="F157" s="180"/>
      <c r="G157" s="180" t="s">
        <v>832</v>
      </c>
      <c r="H157" s="180"/>
      <c r="I157" s="180">
        <v>496.33048278812765</v>
      </c>
      <c r="J157" s="180">
        <v>12.253089099492676</v>
      </c>
      <c r="K157" s="180">
        <v>11.706062450491102</v>
      </c>
      <c r="L157" s="180">
        <v>11.93146594292598</v>
      </c>
      <c r="M157" s="180">
        <v>12.562946086048791</v>
      </c>
      <c r="N157" s="180">
        <v>12.728565430759078</v>
      </c>
      <c r="O157" s="180">
        <v>13.219476037892418</v>
      </c>
      <c r="P157" s="180">
        <v>14.660054702497003</v>
      </c>
      <c r="Q157" s="180">
        <v>17.707519440639285</v>
      </c>
      <c r="R157" s="180">
        <v>20.651252959690179</v>
      </c>
      <c r="S157" s="180">
        <v>21.730218146423468</v>
      </c>
      <c r="T157" s="180">
        <v>20.798862088676337</v>
      </c>
      <c r="U157" s="180">
        <v>19.801155613066857</v>
      </c>
      <c r="V157" s="180">
        <v>18.427669355855926</v>
      </c>
      <c r="W157" s="180">
        <v>16.393273858703033</v>
      </c>
      <c r="X157" s="180">
        <v>14.466598138917224</v>
      </c>
      <c r="Y157" s="180">
        <v>13.360424889448995</v>
      </c>
      <c r="Z157" s="180">
        <v>12.591861453968788</v>
      </c>
      <c r="AA157" s="180">
        <v>12.287049188573775</v>
      </c>
      <c r="AB157" s="180">
        <v>12.010768892783641</v>
      </c>
      <c r="AC157" s="180">
        <v>12.540521320722664</v>
      </c>
      <c r="AD157" s="180">
        <v>12.243962246354583</v>
      </c>
      <c r="AE157" s="180">
        <v>12.201877501949816</v>
      </c>
      <c r="AF157" s="180">
        <v>12.221805214091003</v>
      </c>
      <c r="AG157" s="180">
        <v>12.261107753718358</v>
      </c>
      <c r="AH157" s="180">
        <v>12.189924660790286</v>
      </c>
      <c r="AI157" s="180">
        <v>12.540478300895261</v>
      </c>
      <c r="AJ157" s="180">
        <v>12.657998748754624</v>
      </c>
      <c r="AK157" s="180">
        <v>12.056591221467174</v>
      </c>
      <c r="AL157" s="180">
        <v>12.234126787904541</v>
      </c>
      <c r="AM157" s="180">
        <v>12.186605332323813</v>
      </c>
      <c r="AN157" s="180">
        <v>12.37973773455534</v>
      </c>
      <c r="AO157" s="180">
        <v>11.683135603176902</v>
      </c>
      <c r="AP157" s="180">
        <v>11.715257388840444</v>
      </c>
      <c r="AQ157" s="180">
        <v>11.73911870810684</v>
      </c>
      <c r="AR157" s="180">
        <v>12.144235406673578</v>
      </c>
      <c r="AS157" s="180">
        <v>12.045685080947926</v>
      </c>
    </row>
    <row r="158" spans="2:45">
      <c r="B158" s="530"/>
      <c r="C158" s="180" t="s">
        <v>833</v>
      </c>
      <c r="D158" s="180"/>
      <c r="E158" s="180"/>
      <c r="F158" s="180"/>
      <c r="G158" s="180" t="s">
        <v>834</v>
      </c>
      <c r="H158" s="180"/>
      <c r="I158" s="180"/>
      <c r="J158" s="180">
        <v>12.253089099492676</v>
      </c>
      <c r="K158" s="180">
        <v>23.95915154998378</v>
      </c>
      <c r="L158" s="180">
        <v>35.890617492909762</v>
      </c>
      <c r="M158" s="180">
        <v>48.453563578958551</v>
      </c>
      <c r="N158" s="180">
        <v>61.182129009717627</v>
      </c>
      <c r="O158" s="180">
        <v>74.401605047610047</v>
      </c>
      <c r="P158" s="180">
        <v>89.061659750107054</v>
      </c>
      <c r="Q158" s="180">
        <v>106.76917919074634</v>
      </c>
      <c r="R158" s="180">
        <v>127.42043215043653</v>
      </c>
      <c r="S158" s="180">
        <v>149.15065029685999</v>
      </c>
      <c r="T158" s="180">
        <v>169.94951238553634</v>
      </c>
      <c r="U158" s="180">
        <v>189.75066799860321</v>
      </c>
      <c r="V158" s="180">
        <v>208.17833735445913</v>
      </c>
      <c r="W158" s="180">
        <v>224.57161121316216</v>
      </c>
      <c r="X158" s="180">
        <v>239.03820935207938</v>
      </c>
      <c r="Y158" s="180">
        <v>252.39863424152838</v>
      </c>
      <c r="Z158" s="180">
        <v>264.99049569549715</v>
      </c>
      <c r="AA158" s="180">
        <v>277.27754488407095</v>
      </c>
      <c r="AB158" s="180">
        <v>289.28831377685458</v>
      </c>
      <c r="AC158" s="180">
        <v>301.82883509757727</v>
      </c>
      <c r="AD158" s="180">
        <v>314.07279734393182</v>
      </c>
      <c r="AE158" s="180">
        <v>326.27467484588163</v>
      </c>
      <c r="AF158" s="180">
        <v>338.49648005997261</v>
      </c>
      <c r="AG158" s="180">
        <v>350.75758781369098</v>
      </c>
      <c r="AH158" s="180">
        <v>362.94751247448124</v>
      </c>
      <c r="AI158" s="180">
        <v>375.48799077537649</v>
      </c>
      <c r="AJ158" s="180">
        <v>388.1459895241311</v>
      </c>
      <c r="AK158" s="180">
        <v>400.20258074559825</v>
      </c>
      <c r="AL158" s="180">
        <v>412.43670753350278</v>
      </c>
      <c r="AM158" s="180">
        <v>424.62331286582662</v>
      </c>
      <c r="AN158" s="180">
        <v>437.00305060038198</v>
      </c>
      <c r="AO158" s="180">
        <v>448.68618620355886</v>
      </c>
      <c r="AP158" s="180">
        <v>460.40144359239929</v>
      </c>
      <c r="AQ158" s="180">
        <v>472.14056230050613</v>
      </c>
      <c r="AR158" s="180">
        <v>484.28479770717973</v>
      </c>
      <c r="AS158" s="180">
        <v>496.33048278812765</v>
      </c>
    </row>
    <row r="159" spans="2:45">
      <c r="B159" s="530"/>
      <c r="C159" s="180" t="s">
        <v>835</v>
      </c>
      <c r="D159" s="180"/>
      <c r="E159" s="180"/>
      <c r="F159" s="180"/>
      <c r="G159" s="180" t="s">
        <v>832</v>
      </c>
      <c r="H159" s="180"/>
      <c r="I159" s="180">
        <v>143.71312171903725</v>
      </c>
      <c r="J159" s="180">
        <v>1.2225789901309569</v>
      </c>
      <c r="K159" s="180">
        <v>1.2378907653630407</v>
      </c>
      <c r="L159" s="180">
        <v>1.2480133117719971</v>
      </c>
      <c r="M159" s="180">
        <v>1.2974514383430804</v>
      </c>
      <c r="N159" s="180">
        <v>1.3592428942150081</v>
      </c>
      <c r="O159" s="180">
        <v>2.1425332701144852</v>
      </c>
      <c r="P159" s="180">
        <v>3.071351127317651</v>
      </c>
      <c r="Q159" s="180">
        <v>6.0955484009084104</v>
      </c>
      <c r="R159" s="180">
        <v>9.3588654820985404</v>
      </c>
      <c r="S159" s="180">
        <v>10.789355071773118</v>
      </c>
      <c r="T159" s="180">
        <v>10.141647713829537</v>
      </c>
      <c r="U159" s="180">
        <v>9.4548925239195398</v>
      </c>
      <c r="V159" s="180">
        <v>8.4727541314142982</v>
      </c>
      <c r="W159" s="180">
        <v>6.8201859171800479</v>
      </c>
      <c r="X159" s="180">
        <v>5.2369115778590594</v>
      </c>
      <c r="Y159" s="180">
        <v>4.3234801644217304</v>
      </c>
      <c r="Z159" s="180">
        <v>3.576180912193665</v>
      </c>
      <c r="AA159" s="180">
        <v>3.4149409979798193</v>
      </c>
      <c r="AB159" s="180">
        <v>3.2938568188442519</v>
      </c>
      <c r="AC159" s="180">
        <v>3.8093717156702454</v>
      </c>
      <c r="AD159" s="180">
        <v>3.4626965199339774</v>
      </c>
      <c r="AE159" s="180">
        <v>3.35504626383833</v>
      </c>
      <c r="AF159" s="180">
        <v>3.3469311884197013</v>
      </c>
      <c r="AG159" s="180">
        <v>3.3103860252367667</v>
      </c>
      <c r="AH159" s="180">
        <v>3.2175568096793112</v>
      </c>
      <c r="AI159" s="180">
        <v>3.5340066740426708</v>
      </c>
      <c r="AJ159" s="180">
        <v>3.5154513618018388</v>
      </c>
      <c r="AK159" s="180">
        <v>2.7549372649213262</v>
      </c>
      <c r="AL159" s="180">
        <v>2.8742524603673405</v>
      </c>
      <c r="AM159" s="180">
        <v>2.8370678650682422</v>
      </c>
      <c r="AN159" s="180">
        <v>3.0366451300554269</v>
      </c>
      <c r="AO159" s="180">
        <v>2.3150803465104035</v>
      </c>
      <c r="AP159" s="180">
        <v>2.3097949528582253</v>
      </c>
      <c r="AQ159" s="180">
        <v>2.2948249603926101</v>
      </c>
      <c r="AR159" s="180">
        <v>2.6602712417699381</v>
      </c>
      <c r="AS159" s="180">
        <v>2.5211194287926566</v>
      </c>
    </row>
    <row r="160" spans="2:45">
      <c r="B160" s="530"/>
      <c r="C160" s="180" t="s">
        <v>836</v>
      </c>
      <c r="D160" s="180"/>
      <c r="E160" s="180"/>
      <c r="F160" s="180"/>
      <c r="G160" s="180" t="s">
        <v>834</v>
      </c>
      <c r="H160" s="180"/>
      <c r="I160" s="180"/>
      <c r="J160" s="180">
        <v>1.2225789901309569</v>
      </c>
      <c r="K160" s="180">
        <v>2.4604697554939978</v>
      </c>
      <c r="L160" s="180">
        <v>3.7084830672659947</v>
      </c>
      <c r="M160" s="180">
        <v>5.0059345056090754</v>
      </c>
      <c r="N160" s="180">
        <v>6.3651773998240833</v>
      </c>
      <c r="O160" s="180">
        <v>8.5077106699385681</v>
      </c>
      <c r="P160" s="180">
        <v>11.57906179725622</v>
      </c>
      <c r="Q160" s="180">
        <v>17.674610198164629</v>
      </c>
      <c r="R160" s="180">
        <v>27.033475680263169</v>
      </c>
      <c r="S160" s="180">
        <v>37.822830752036289</v>
      </c>
      <c r="T160" s="180">
        <v>47.964478465865824</v>
      </c>
      <c r="U160" s="180">
        <v>57.419370989785364</v>
      </c>
      <c r="V160" s="180">
        <v>65.892125121199655</v>
      </c>
      <c r="W160" s="180">
        <v>72.71231103837971</v>
      </c>
      <c r="X160" s="180">
        <v>77.949222616238771</v>
      </c>
      <c r="Y160" s="180">
        <v>82.272702780660495</v>
      </c>
      <c r="Z160" s="180">
        <v>85.848883692854159</v>
      </c>
      <c r="AA160" s="180">
        <v>89.263824690833985</v>
      </c>
      <c r="AB160" s="180">
        <v>92.557681509678233</v>
      </c>
      <c r="AC160" s="180">
        <v>96.367053225348485</v>
      </c>
      <c r="AD160" s="180">
        <v>99.829749745282456</v>
      </c>
      <c r="AE160" s="180">
        <v>103.18479600912079</v>
      </c>
      <c r="AF160" s="180">
        <v>106.53172719754049</v>
      </c>
      <c r="AG160" s="180">
        <v>109.84211322277726</v>
      </c>
      <c r="AH160" s="180">
        <v>113.05967003245657</v>
      </c>
      <c r="AI160" s="180">
        <v>116.59367670649924</v>
      </c>
      <c r="AJ160" s="180">
        <v>120.10912806830108</v>
      </c>
      <c r="AK160" s="180">
        <v>122.8640653332224</v>
      </c>
      <c r="AL160" s="180">
        <v>125.73831779358974</v>
      </c>
      <c r="AM160" s="180">
        <v>128.57538565865798</v>
      </c>
      <c r="AN160" s="180">
        <v>131.61203078871341</v>
      </c>
      <c r="AO160" s="180">
        <v>133.92711113522381</v>
      </c>
      <c r="AP160" s="180">
        <v>136.23690608808204</v>
      </c>
      <c r="AQ160" s="180">
        <v>138.53173104847465</v>
      </c>
      <c r="AR160" s="180">
        <v>141.1920022902446</v>
      </c>
      <c r="AS160" s="180">
        <v>143.71312171903725</v>
      </c>
    </row>
    <row r="161" spans="2:45">
      <c r="B161" s="530"/>
      <c r="C161" s="180"/>
      <c r="D161" s="180"/>
      <c r="E161" s="180"/>
      <c r="F161" s="180"/>
      <c r="G161" s="180"/>
      <c r="H161" s="180"/>
      <c r="I161" s="180"/>
      <c r="J161" s="180"/>
      <c r="K161" s="180"/>
      <c r="L161" s="180"/>
      <c r="M161" s="180"/>
      <c r="N161" s="180"/>
      <c r="O161" s="180"/>
      <c r="P161" s="180"/>
      <c r="Q161" s="180"/>
      <c r="R161" s="180"/>
      <c r="S161" s="180"/>
      <c r="T161" s="180"/>
      <c r="U161" s="180"/>
      <c r="V161" s="180"/>
      <c r="W161" s="180"/>
      <c r="X161" s="180"/>
      <c r="Y161" s="180"/>
      <c r="Z161" s="180"/>
      <c r="AA161" s="180"/>
      <c r="AB161" s="180"/>
      <c r="AC161" s="180"/>
      <c r="AD161" s="180"/>
      <c r="AE161" s="180"/>
      <c r="AF161" s="180"/>
      <c r="AG161" s="180"/>
      <c r="AH161" s="180"/>
      <c r="AI161" s="180"/>
      <c r="AJ161" s="180"/>
      <c r="AK161" s="180"/>
      <c r="AL161" s="180"/>
      <c r="AM161" s="180"/>
      <c r="AN161" s="180"/>
      <c r="AO161" s="180"/>
      <c r="AP161" s="180"/>
      <c r="AQ161" s="180"/>
      <c r="AR161" s="180"/>
      <c r="AS161" s="180"/>
    </row>
    <row r="162" spans="2:45">
      <c r="B162" s="530"/>
      <c r="C162" s="180" t="s">
        <v>837</v>
      </c>
      <c r="D162" s="180" t="s">
        <v>142</v>
      </c>
      <c r="E162" s="180"/>
      <c r="F162" s="180"/>
      <c r="G162" s="180" t="s">
        <v>838</v>
      </c>
      <c r="H162" s="180"/>
      <c r="I162" s="180">
        <v>134202.02776081947</v>
      </c>
      <c r="J162" s="180">
        <v>1213.2176501201839</v>
      </c>
      <c r="K162" s="180">
        <v>1228.1440482064215</v>
      </c>
      <c r="L162" s="180">
        <v>1236.6707949536326</v>
      </c>
      <c r="M162" s="180">
        <v>1245.1606636824863</v>
      </c>
      <c r="N162" s="180">
        <v>1329.7601319631403</v>
      </c>
      <c r="O162" s="180">
        <v>2033.1337635869527</v>
      </c>
      <c r="P162" s="180">
        <v>2952.9596576156177</v>
      </c>
      <c r="Q162" s="180">
        <v>5877.5251144407484</v>
      </c>
      <c r="R162" s="180">
        <v>9115.4955632073379</v>
      </c>
      <c r="S162" s="180">
        <v>10552.186338593114</v>
      </c>
      <c r="T162" s="180">
        <v>9878.515639954725</v>
      </c>
      <c r="U162" s="180">
        <v>9177.1004713196889</v>
      </c>
      <c r="V162" s="180">
        <v>8186.4678490468141</v>
      </c>
      <c r="W162" s="180">
        <v>6539.0756726621785</v>
      </c>
      <c r="X162" s="180">
        <v>4956.7249040033912</v>
      </c>
      <c r="Y162" s="180">
        <v>4053.4359950398489</v>
      </c>
      <c r="Z162" s="180">
        <v>3343.7690586448794</v>
      </c>
      <c r="AA162" s="180">
        <v>3193.2586202668817</v>
      </c>
      <c r="AB162" s="180">
        <v>3054.0254785262755</v>
      </c>
      <c r="AC162" s="180">
        <v>3354.5170145799825</v>
      </c>
      <c r="AD162" s="180">
        <v>3006.0059595551365</v>
      </c>
      <c r="AE162" s="180">
        <v>2980.1336699144681</v>
      </c>
      <c r="AF162" s="180">
        <v>2890.3789977343199</v>
      </c>
      <c r="AG162" s="180">
        <v>2864.8282101553145</v>
      </c>
      <c r="AH162" s="180">
        <v>2757.3409785852728</v>
      </c>
      <c r="AI162" s="180">
        <v>3066.2302611253349</v>
      </c>
      <c r="AJ162" s="180">
        <v>3038.7290539715741</v>
      </c>
      <c r="AK162" s="180">
        <v>2266.8081439802772</v>
      </c>
      <c r="AL162" s="180">
        <v>2398.6033233523895</v>
      </c>
      <c r="AM162" s="180">
        <v>2353.2301377265394</v>
      </c>
      <c r="AN162" s="180">
        <v>2567.8893579899468</v>
      </c>
      <c r="AO162" s="180">
        <v>2172.5421257115263</v>
      </c>
      <c r="AP162" s="180">
        <v>2174.6386773426884</v>
      </c>
      <c r="AQ162" s="180">
        <v>2166.2447786510379</v>
      </c>
      <c r="AR162" s="180">
        <v>2548.9345825166024</v>
      </c>
      <c r="AS162" s="180">
        <v>2428.3450720927312</v>
      </c>
    </row>
    <row r="163" spans="2:45">
      <c r="B163" s="530"/>
      <c r="C163" s="180"/>
      <c r="D163" s="180" t="s">
        <v>839</v>
      </c>
      <c r="E163" s="180"/>
      <c r="F163" s="180"/>
      <c r="G163" s="180" t="s">
        <v>840</v>
      </c>
      <c r="H163" s="180"/>
      <c r="I163" s="180"/>
      <c r="J163" s="180">
        <v>1213.2176501201839</v>
      </c>
      <c r="K163" s="180">
        <v>2441.3616983266056</v>
      </c>
      <c r="L163" s="180">
        <v>3678.0324932802382</v>
      </c>
      <c r="M163" s="180">
        <v>4923.193156962725</v>
      </c>
      <c r="N163" s="180">
        <v>6252.9532889258653</v>
      </c>
      <c r="O163" s="180">
        <v>8286.0870525128175</v>
      </c>
      <c r="P163" s="180">
        <v>11239.046710128436</v>
      </c>
      <c r="Q163" s="180">
        <v>17116.571824569182</v>
      </c>
      <c r="R163" s="180">
        <v>26232.067387776522</v>
      </c>
      <c r="S163" s="180">
        <v>36784.253726369636</v>
      </c>
      <c r="T163" s="180">
        <v>46662.769366324363</v>
      </c>
      <c r="U163" s="180">
        <v>55839.869837644052</v>
      </c>
      <c r="V163" s="180">
        <v>64026.337686690866</v>
      </c>
      <c r="W163" s="180">
        <v>70565.413359353042</v>
      </c>
      <c r="X163" s="180">
        <v>75522.138263356435</v>
      </c>
      <c r="Y163" s="180">
        <v>79575.574258396286</v>
      </c>
      <c r="Z163" s="180">
        <v>82919.343317041159</v>
      </c>
      <c r="AA163" s="180">
        <v>86112.601937308034</v>
      </c>
      <c r="AB163" s="180">
        <v>89166.627415834315</v>
      </c>
      <c r="AC163" s="180">
        <v>92521.144430414293</v>
      </c>
      <c r="AD163" s="180">
        <v>95527.150389969436</v>
      </c>
      <c r="AE163" s="180">
        <v>98507.28405988391</v>
      </c>
      <c r="AF163" s="180">
        <v>101397.66305761824</v>
      </c>
      <c r="AG163" s="180">
        <v>104262.49126777356</v>
      </c>
      <c r="AH163" s="180">
        <v>107019.83224635883</v>
      </c>
      <c r="AI163" s="180">
        <v>110086.06250748417</v>
      </c>
      <c r="AJ163" s="180">
        <v>113124.79156145574</v>
      </c>
      <c r="AK163" s="180">
        <v>115391.59970543602</v>
      </c>
      <c r="AL163" s="180">
        <v>117790.20302878841</v>
      </c>
      <c r="AM163" s="180">
        <v>120143.43316651495</v>
      </c>
      <c r="AN163" s="180">
        <v>122711.3225245049</v>
      </c>
      <c r="AO163" s="180">
        <v>124883.86465021642</v>
      </c>
      <c r="AP163" s="180">
        <v>127058.50332755911</v>
      </c>
      <c r="AQ163" s="180">
        <v>129224.74810621014</v>
      </c>
      <c r="AR163" s="180">
        <v>131773.68268872675</v>
      </c>
      <c r="AS163" s="180">
        <v>134202.02776081947</v>
      </c>
    </row>
    <row r="164" spans="2:45">
      <c r="B164" s="530"/>
      <c r="C164" s="180"/>
      <c r="D164" s="180" t="s">
        <v>344</v>
      </c>
      <c r="E164" s="180"/>
      <c r="F164" s="180"/>
      <c r="G164" s="180" t="s">
        <v>838</v>
      </c>
      <c r="H164" s="180"/>
      <c r="I164" s="180">
        <v>53633.52343400001</v>
      </c>
      <c r="J164" s="180">
        <v>0</v>
      </c>
      <c r="K164" s="180">
        <v>5.6777300000000004</v>
      </c>
      <c r="L164" s="180">
        <v>5.5893160000000002</v>
      </c>
      <c r="M164" s="180">
        <v>5.500902</v>
      </c>
      <c r="N164" s="180">
        <v>81.528713794928947</v>
      </c>
      <c r="O164" s="180">
        <v>486.98221216072562</v>
      </c>
      <c r="P164" s="180">
        <v>1271.3667002175175</v>
      </c>
      <c r="Q164" s="180">
        <v>4173.8215880441121</v>
      </c>
      <c r="R164" s="180">
        <v>7371.1362548731768</v>
      </c>
      <c r="S164" s="180">
        <v>8672.5099394526696</v>
      </c>
      <c r="T164" s="180">
        <v>8004.3627833189712</v>
      </c>
      <c r="U164" s="180">
        <v>7089.7000194545217</v>
      </c>
      <c r="V164" s="180">
        <v>6075.7383286022068</v>
      </c>
      <c r="W164" s="180">
        <v>4183.1333771750096</v>
      </c>
      <c r="X164" s="180">
        <v>2657.7164653158538</v>
      </c>
      <c r="Y164" s="180">
        <v>1348.7376691668742</v>
      </c>
      <c r="Z164" s="180">
        <v>680.31125012902862</v>
      </c>
      <c r="AA164" s="180">
        <v>583.39473556673988</v>
      </c>
      <c r="AB164" s="180">
        <v>486.478321004375</v>
      </c>
      <c r="AC164" s="180">
        <v>389.5618064420355</v>
      </c>
      <c r="AD164" s="180">
        <v>6.4072944250052455</v>
      </c>
      <c r="AE164" s="180">
        <v>5.3399230275579468</v>
      </c>
      <c r="AF164" s="180">
        <v>5.3213031859672686</v>
      </c>
      <c r="AG164" s="180">
        <v>3.4353190988842521</v>
      </c>
      <c r="AH164" s="180">
        <v>3.4166992573063166</v>
      </c>
      <c r="AI164" s="180">
        <v>3.3980794157411247</v>
      </c>
      <c r="AJ164" s="180">
        <v>3.3794595741504461</v>
      </c>
      <c r="AK164" s="180">
        <v>3.3608397325852537</v>
      </c>
      <c r="AL164" s="180">
        <v>3.3422198910200613</v>
      </c>
      <c r="AM164" s="180">
        <v>3.3236000494293831</v>
      </c>
      <c r="AN164" s="180">
        <v>3.3049802078769339</v>
      </c>
      <c r="AO164" s="180">
        <v>3.2863603662989984</v>
      </c>
      <c r="AP164" s="180">
        <v>3.2677405247083198</v>
      </c>
      <c r="AQ164" s="180">
        <v>3.2491206831558705</v>
      </c>
      <c r="AR164" s="180">
        <v>3.2305008415651919</v>
      </c>
      <c r="AS164" s="180">
        <v>3.211881</v>
      </c>
    </row>
    <row r="165" spans="2:45">
      <c r="B165" s="530"/>
      <c r="C165" s="180"/>
      <c r="D165" s="180" t="s">
        <v>841</v>
      </c>
      <c r="E165" s="180"/>
      <c r="F165" s="180"/>
      <c r="G165" s="180" t="s">
        <v>838</v>
      </c>
      <c r="H165" s="180"/>
      <c r="I165" s="180">
        <v>7387.9643086258757</v>
      </c>
      <c r="J165" s="180">
        <v>26.857465720992771</v>
      </c>
      <c r="K165" s="180">
        <v>27.193112700497956</v>
      </c>
      <c r="L165" s="180">
        <v>29.791784039288693</v>
      </c>
      <c r="M165" s="180">
        <v>32.498037361161018</v>
      </c>
      <c r="N165" s="180">
        <v>35.311872666114795</v>
      </c>
      <c r="O165" s="180">
        <v>121.027061812813</v>
      </c>
      <c r="P165" s="180">
        <v>120.68335781837006</v>
      </c>
      <c r="Q165" s="180">
        <v>142.87331749727147</v>
      </c>
      <c r="R165" s="180">
        <v>151.39294632119103</v>
      </c>
      <c r="S165" s="180">
        <v>160.16108259010645</v>
      </c>
      <c r="T165" s="180">
        <v>168.46159088815241</v>
      </c>
      <c r="U165" s="180">
        <v>193.87845330461764</v>
      </c>
      <c r="V165" s="180">
        <v>201.72789966586251</v>
      </c>
      <c r="W165" s="180">
        <v>209.75600074570832</v>
      </c>
      <c r="X165" s="180">
        <v>217.96275654415692</v>
      </c>
      <c r="Y165" s="180">
        <v>228.50825680460832</v>
      </c>
      <c r="Z165" s="180">
        <v>206.12550980213646</v>
      </c>
      <c r="AA165" s="180">
        <v>211.64795557005192</v>
      </c>
      <c r="AB165" s="180">
        <v>217.16998275828973</v>
      </c>
      <c r="AC165" s="180">
        <v>222.69159136685295</v>
      </c>
      <c r="AD165" s="180">
        <v>264.32410588026301</v>
      </c>
      <c r="AE165" s="180">
        <v>265.05540378754364</v>
      </c>
      <c r="AF165" s="180">
        <v>287.38718054917695</v>
      </c>
      <c r="AG165" s="180">
        <v>295.79970043115287</v>
      </c>
      <c r="AH165" s="180">
        <v>304.21180173345527</v>
      </c>
      <c r="AI165" s="180">
        <v>312.35772246577244</v>
      </c>
      <c r="AJ165" s="180">
        <v>318.67879441964737</v>
      </c>
      <c r="AK165" s="180">
        <v>325.63771263060335</v>
      </c>
      <c r="AL165" s="180">
        <v>332.59621226188005</v>
      </c>
      <c r="AM165" s="180">
        <v>339.55429331348387</v>
      </c>
      <c r="AN165" s="180">
        <v>346.5119557854087</v>
      </c>
      <c r="AO165" s="180">
        <v>210.89970663520319</v>
      </c>
      <c r="AP165" s="180">
        <v>212.46279225652583</v>
      </c>
      <c r="AQ165" s="180">
        <v>214.02587787784805</v>
      </c>
      <c r="AR165" s="180">
        <v>215.58896349917285</v>
      </c>
      <c r="AS165" s="180">
        <v>217.15204912049268</v>
      </c>
    </row>
    <row r="166" spans="2:45">
      <c r="B166" s="530"/>
      <c r="C166" s="180"/>
      <c r="D166" s="180" t="s">
        <v>821</v>
      </c>
      <c r="E166" s="180"/>
      <c r="F166" s="180"/>
      <c r="G166" s="180" t="s">
        <v>838</v>
      </c>
      <c r="H166" s="180"/>
      <c r="I166" s="180">
        <v>39584.952381697876</v>
      </c>
      <c r="J166" s="180">
        <v>0</v>
      </c>
      <c r="K166" s="180">
        <v>0</v>
      </c>
      <c r="L166" s="180">
        <v>0</v>
      </c>
      <c r="M166" s="180">
        <v>0</v>
      </c>
      <c r="N166" s="180">
        <v>0</v>
      </c>
      <c r="O166" s="180">
        <v>289.14360712216336</v>
      </c>
      <c r="P166" s="180">
        <v>447.9167255099793</v>
      </c>
      <c r="Q166" s="180">
        <v>505.99510455975263</v>
      </c>
      <c r="R166" s="180">
        <v>564.05222316142283</v>
      </c>
      <c r="S166" s="180">
        <v>705.01957105036684</v>
      </c>
      <c r="T166" s="180">
        <v>705.32502040178372</v>
      </c>
      <c r="U166" s="180">
        <v>909.96663819822913</v>
      </c>
      <c r="V166" s="180">
        <v>909.92844340753663</v>
      </c>
      <c r="W166" s="180">
        <v>1181.5736405472669</v>
      </c>
      <c r="X166" s="180">
        <v>1146.8373116055543</v>
      </c>
      <c r="Y166" s="180">
        <v>1358.8512705812157</v>
      </c>
      <c r="Z166" s="180">
        <v>1334.5431419001811</v>
      </c>
      <c r="AA166" s="180">
        <v>1312.2281581146069</v>
      </c>
      <c r="AB166" s="180">
        <v>1300.3388224346604</v>
      </c>
      <c r="AC166" s="180">
        <v>1354.0539424947617</v>
      </c>
      <c r="AD166" s="180">
        <v>1583.9879447568576</v>
      </c>
      <c r="AE166" s="180">
        <v>1678.1781634392</v>
      </c>
      <c r="AF166" s="180">
        <v>1746.6670702219658</v>
      </c>
      <c r="AG166" s="180">
        <v>1815.8703788954456</v>
      </c>
      <c r="AH166" s="180">
        <v>1916.8403182416134</v>
      </c>
      <c r="AI166" s="180">
        <v>1955.7854123000286</v>
      </c>
      <c r="AJ166" s="180">
        <v>2037.9871654947212</v>
      </c>
      <c r="AK166" s="180">
        <v>1102.4102351054341</v>
      </c>
      <c r="AL166" s="180">
        <v>1269.0027591290861</v>
      </c>
      <c r="AM166" s="180">
        <v>1257.5516028956426</v>
      </c>
      <c r="AN166" s="180">
        <v>1495.1748101083883</v>
      </c>
      <c r="AO166" s="180">
        <v>1520.0037441921374</v>
      </c>
      <c r="AP166" s="180">
        <v>1541.3566330996223</v>
      </c>
      <c r="AQ166" s="180">
        <v>1546.3298121830512</v>
      </c>
      <c r="AR166" s="180">
        <v>1544.8044638065237</v>
      </c>
      <c r="AS166" s="180">
        <v>1547.2282467386713</v>
      </c>
    </row>
    <row r="167" spans="2:45">
      <c r="B167" s="530"/>
      <c r="C167" s="180"/>
      <c r="D167" s="180" t="s">
        <v>842</v>
      </c>
      <c r="E167" s="180"/>
      <c r="F167" s="180"/>
      <c r="G167" s="180" t="s">
        <v>838</v>
      </c>
      <c r="H167" s="180"/>
      <c r="I167" s="180">
        <v>1902.9147254537879</v>
      </c>
      <c r="J167" s="180">
        <v>0</v>
      </c>
      <c r="K167" s="180">
        <v>0</v>
      </c>
      <c r="L167" s="180">
        <v>0</v>
      </c>
      <c r="M167" s="180">
        <v>0</v>
      </c>
      <c r="N167" s="180">
        <v>0</v>
      </c>
      <c r="O167" s="180">
        <v>32.540284095622418</v>
      </c>
      <c r="P167" s="180">
        <v>45.424926998664588</v>
      </c>
      <c r="Q167" s="180">
        <v>43.32495718268224</v>
      </c>
      <c r="R167" s="180">
        <v>39.984335870679857</v>
      </c>
      <c r="S167" s="180">
        <v>37.610888387959612</v>
      </c>
      <c r="T167" s="180">
        <v>37.084778633671519</v>
      </c>
      <c r="U167" s="180">
        <v>30.957187360039441</v>
      </c>
      <c r="V167" s="180">
        <v>20.895059782518157</v>
      </c>
      <c r="W167" s="180">
        <v>21.973515705283042</v>
      </c>
      <c r="X167" s="180">
        <v>23.984460841635165</v>
      </c>
      <c r="Y167" s="180">
        <v>26.022564314279251</v>
      </c>
      <c r="Z167" s="180">
        <v>35.248842175204608</v>
      </c>
      <c r="AA167" s="180">
        <v>48.145757582849349</v>
      </c>
      <c r="AB167" s="180">
        <v>61.287641017029706</v>
      </c>
      <c r="AC167" s="180">
        <v>75.07528728885525</v>
      </c>
      <c r="AD167" s="180">
        <v>89.464494738366909</v>
      </c>
      <c r="AE167" s="180">
        <v>95.298947672568303</v>
      </c>
      <c r="AF167" s="180">
        <v>60.331354519075383</v>
      </c>
      <c r="AG167" s="180">
        <v>65.229139903918608</v>
      </c>
      <c r="AH167" s="180">
        <v>70.670027093286521</v>
      </c>
      <c r="AI167" s="180">
        <v>93.831335783929518</v>
      </c>
      <c r="AJ167" s="180">
        <v>100.06900645495963</v>
      </c>
      <c r="AK167" s="180">
        <v>97.014019422135632</v>
      </c>
      <c r="AL167" s="180">
        <v>93.659979728786794</v>
      </c>
      <c r="AM167" s="180">
        <v>89.918622861803087</v>
      </c>
      <c r="AN167" s="180">
        <v>97.236415991826021</v>
      </c>
      <c r="AO167" s="180">
        <v>91.545938141112742</v>
      </c>
      <c r="AP167" s="180">
        <v>78.821022222588169</v>
      </c>
      <c r="AQ167" s="180">
        <v>71.999200093309028</v>
      </c>
      <c r="AR167" s="180">
        <v>66.236694453608052</v>
      </c>
      <c r="AS167" s="180">
        <v>62.02803913553894</v>
      </c>
    </row>
    <row r="168" spans="2:45">
      <c r="B168" s="530"/>
      <c r="C168" s="180"/>
      <c r="D168" s="180" t="s">
        <v>843</v>
      </c>
      <c r="E168" s="180"/>
      <c r="F168" s="180"/>
      <c r="G168" s="180" t="s">
        <v>838</v>
      </c>
      <c r="H168" s="180"/>
      <c r="I168" s="180">
        <v>6577.9961478489586</v>
      </c>
      <c r="J168" s="180">
        <v>0</v>
      </c>
      <c r="K168" s="180">
        <v>0</v>
      </c>
      <c r="L168" s="180">
        <v>0</v>
      </c>
      <c r="M168" s="180">
        <v>0</v>
      </c>
      <c r="N168" s="180">
        <v>0</v>
      </c>
      <c r="O168" s="180">
        <v>0</v>
      </c>
      <c r="P168" s="180">
        <v>0</v>
      </c>
      <c r="Q168" s="180">
        <v>0</v>
      </c>
      <c r="R168" s="180">
        <v>0</v>
      </c>
      <c r="S168" s="180">
        <v>0</v>
      </c>
      <c r="T168" s="180">
        <v>0</v>
      </c>
      <c r="U168" s="180">
        <v>0</v>
      </c>
      <c r="V168" s="180">
        <v>53.272355066530118</v>
      </c>
      <c r="W168" s="180">
        <v>51.222354209942658</v>
      </c>
      <c r="X168" s="180">
        <v>49.535854430805976</v>
      </c>
      <c r="Y168" s="180">
        <v>46.148596076125557</v>
      </c>
      <c r="Z168" s="180">
        <v>85.591399023886055</v>
      </c>
      <c r="AA168" s="180">
        <v>79.883672131927611</v>
      </c>
      <c r="AB168" s="180">
        <v>73.848977509193219</v>
      </c>
      <c r="AC168" s="180">
        <v>478.44901701563913</v>
      </c>
      <c r="AD168" s="180">
        <v>369.79609508942406</v>
      </c>
      <c r="AE168" s="180">
        <v>335.59437667056812</v>
      </c>
      <c r="AF168" s="180">
        <v>300.31293292706437</v>
      </c>
      <c r="AG168" s="180">
        <v>263.82657905399793</v>
      </c>
      <c r="AH168" s="180">
        <v>63.36894080393558</v>
      </c>
      <c r="AI168" s="180">
        <v>366.02846543745494</v>
      </c>
      <c r="AJ168" s="180">
        <v>301.49463146140778</v>
      </c>
      <c r="AK168" s="180">
        <v>501.40495568492855</v>
      </c>
      <c r="AL168" s="180">
        <v>502.3471817142343</v>
      </c>
      <c r="AM168" s="180">
        <v>503.54853450834565</v>
      </c>
      <c r="AN168" s="180">
        <v>503.67287628199495</v>
      </c>
      <c r="AO168" s="180">
        <v>209.84021279576038</v>
      </c>
      <c r="AP168" s="180">
        <v>201.71522111708197</v>
      </c>
      <c r="AQ168" s="180">
        <v>193.57590571919798</v>
      </c>
      <c r="AR168" s="180">
        <v>581.95913466588547</v>
      </c>
      <c r="AS168" s="180">
        <v>461.5578784536259</v>
      </c>
    </row>
    <row r="169" spans="2:45">
      <c r="B169" s="530"/>
      <c r="C169" s="180"/>
      <c r="D169" s="180" t="s">
        <v>774</v>
      </c>
      <c r="E169" s="180"/>
      <c r="F169" s="180"/>
      <c r="G169" s="180" t="s">
        <v>838</v>
      </c>
      <c r="H169" s="180"/>
      <c r="I169" s="180">
        <v>21127.625209785467</v>
      </c>
      <c r="J169" s="180">
        <v>1087.9968769713655</v>
      </c>
      <c r="K169" s="180">
        <v>1096.8839324537196</v>
      </c>
      <c r="L169" s="180">
        <v>1102.9847393467815</v>
      </c>
      <c r="M169" s="180">
        <v>1108.9693730151398</v>
      </c>
      <c r="N169" s="180">
        <v>1114.86549588139</v>
      </c>
      <c r="O169" s="180">
        <v>1009.0695981485899</v>
      </c>
      <c r="P169" s="180">
        <v>974.75456332750866</v>
      </c>
      <c r="Q169" s="180">
        <v>921.09009403603523</v>
      </c>
      <c r="R169" s="180">
        <v>900.06038717641889</v>
      </c>
      <c r="S169" s="180">
        <v>889.39348485784342</v>
      </c>
      <c r="T169" s="180">
        <v>877.26789427200708</v>
      </c>
      <c r="U169" s="180">
        <v>852.45649412988143</v>
      </c>
      <c r="V169" s="180">
        <v>825.60344114231145</v>
      </c>
      <c r="W169" s="180">
        <v>793.27613939152786</v>
      </c>
      <c r="X169" s="180">
        <v>763.53028143764914</v>
      </c>
      <c r="Y169" s="180">
        <v>943.0910146336106</v>
      </c>
      <c r="Z169" s="180">
        <v>901.21792997038506</v>
      </c>
      <c r="AA169" s="180">
        <v>858.36963675959112</v>
      </c>
      <c r="AB169" s="180">
        <v>816.26611239279839</v>
      </c>
      <c r="AC169" s="180">
        <v>736.65627745991139</v>
      </c>
      <c r="AD169" s="180">
        <v>563.56244554580007</v>
      </c>
      <c r="AE169" s="180">
        <v>468.9336562046542</v>
      </c>
      <c r="AF169" s="180">
        <v>361.56238014792717</v>
      </c>
      <c r="AG169" s="180">
        <v>293.76878855718059</v>
      </c>
      <c r="AH169" s="180">
        <v>273.38573117561049</v>
      </c>
      <c r="AI169" s="180">
        <v>210.83793822237732</v>
      </c>
      <c r="AJ169" s="180">
        <v>154.63407284680474</v>
      </c>
      <c r="AK169" s="180">
        <v>114.52034539763653</v>
      </c>
      <c r="AL169" s="180">
        <v>75.382537560736409</v>
      </c>
      <c r="AM169" s="180">
        <v>37.233547322274646</v>
      </c>
      <c r="AN169" s="180">
        <v>0</v>
      </c>
      <c r="AO169" s="180">
        <v>0</v>
      </c>
      <c r="AP169" s="180">
        <v>0</v>
      </c>
      <c r="AQ169" s="180">
        <v>0</v>
      </c>
      <c r="AR169" s="180">
        <v>0</v>
      </c>
      <c r="AS169" s="180">
        <v>0</v>
      </c>
    </row>
    <row r="170" spans="2:45">
      <c r="B170" s="530"/>
      <c r="C170" s="180"/>
      <c r="D170" s="180" t="s">
        <v>218</v>
      </c>
      <c r="E170" s="180"/>
      <c r="F170" s="180"/>
      <c r="G170" s="180" t="s">
        <v>838</v>
      </c>
      <c r="H170" s="180"/>
      <c r="I170" s="180">
        <v>1118.5709988258161</v>
      </c>
      <c r="J170" s="180">
        <v>44.276626912034367</v>
      </c>
      <c r="K170" s="180">
        <v>45.051746388195973</v>
      </c>
      <c r="L170" s="180">
        <v>45.735093794624561</v>
      </c>
      <c r="M170" s="180">
        <v>46.408665463604351</v>
      </c>
      <c r="N170" s="180">
        <v>47.075050747769644</v>
      </c>
      <c r="O170" s="180">
        <v>44.215199383032285</v>
      </c>
      <c r="P170" s="180">
        <v>43.499291927789614</v>
      </c>
      <c r="Q170" s="180">
        <v>41.96618139261215</v>
      </c>
      <c r="R170" s="180">
        <v>41.294275202956456</v>
      </c>
      <c r="S170" s="180">
        <v>40.813473818758297</v>
      </c>
      <c r="T170" s="180">
        <v>40.251427210094924</v>
      </c>
      <c r="U170" s="180">
        <v>38.846315870687278</v>
      </c>
      <c r="V170" s="180">
        <v>37.82887185236121</v>
      </c>
      <c r="W170" s="180">
        <v>36.47617601367719</v>
      </c>
      <c r="X170" s="180">
        <v>35.279551654633131</v>
      </c>
      <c r="Y170" s="180">
        <v>39.9452860937037</v>
      </c>
      <c r="Z170" s="180">
        <v>38.278961445093692</v>
      </c>
      <c r="AA170" s="180">
        <v>36.700563534207745</v>
      </c>
      <c r="AB170" s="180">
        <v>35.114741380630868</v>
      </c>
      <c r="AC170" s="180">
        <v>33.541108260912878</v>
      </c>
      <c r="AD170" s="180">
        <v>28.896934921092509</v>
      </c>
      <c r="AE170" s="180">
        <v>26.548516986860463</v>
      </c>
      <c r="AF170" s="180">
        <v>23.553685501361471</v>
      </c>
      <c r="AG170" s="180">
        <v>21.5979431240177</v>
      </c>
      <c r="AH170" s="180">
        <v>20.090966927737657</v>
      </c>
      <c r="AI170" s="180">
        <v>18.579820033420802</v>
      </c>
      <c r="AJ170" s="180">
        <v>17.020580286319493</v>
      </c>
      <c r="AK170" s="180">
        <v>16.941974753763134</v>
      </c>
      <c r="AL170" s="180">
        <v>16.702792141157243</v>
      </c>
      <c r="AM170" s="180">
        <v>16.479854325098628</v>
      </c>
      <c r="AN170" s="180">
        <v>16.318933786347529</v>
      </c>
      <c r="AO170" s="180">
        <v>16.57631431651582</v>
      </c>
      <c r="AP170" s="180">
        <v>16.610434442520386</v>
      </c>
      <c r="AQ170" s="180">
        <v>16.646182147019299</v>
      </c>
      <c r="AR170" s="180">
        <v>16.68343718190399</v>
      </c>
      <c r="AS170" s="180">
        <v>16.724019603299578</v>
      </c>
    </row>
    <row r="171" spans="2:45">
      <c r="B171" s="530"/>
      <c r="C171" s="180"/>
      <c r="D171" s="180" t="s">
        <v>800</v>
      </c>
      <c r="E171" s="180"/>
      <c r="F171" s="180"/>
      <c r="G171" s="180" t="s">
        <v>838</v>
      </c>
      <c r="H171" s="180"/>
      <c r="I171" s="180">
        <v>2868.4805545816948</v>
      </c>
      <c r="J171" s="180">
        <v>54.086680515791095</v>
      </c>
      <c r="K171" s="180">
        <v>53.337526664008067</v>
      </c>
      <c r="L171" s="180">
        <v>52.569861772937969</v>
      </c>
      <c r="M171" s="180">
        <v>51.783685842580972</v>
      </c>
      <c r="N171" s="180">
        <v>50.978998872937019</v>
      </c>
      <c r="O171" s="180">
        <v>50.155800864006125</v>
      </c>
      <c r="P171" s="180">
        <v>49.314091815787926</v>
      </c>
      <c r="Q171" s="180">
        <v>48.453871728283112</v>
      </c>
      <c r="R171" s="180">
        <v>47.575140601491007</v>
      </c>
      <c r="S171" s="180">
        <v>46.677898435412288</v>
      </c>
      <c r="T171" s="180">
        <v>45.762145230046279</v>
      </c>
      <c r="U171" s="180">
        <v>61.295363001713426</v>
      </c>
      <c r="V171" s="180">
        <v>61.47344952748783</v>
      </c>
      <c r="W171" s="180">
        <v>61.664468873762814</v>
      </c>
      <c r="X171" s="180">
        <v>61.878222173103872</v>
      </c>
      <c r="Y171" s="180">
        <v>62.131337369432089</v>
      </c>
      <c r="Z171" s="180">
        <v>62.452024198964061</v>
      </c>
      <c r="AA171" s="180">
        <v>62.888141006907105</v>
      </c>
      <c r="AB171" s="180">
        <v>63.52088002929866</v>
      </c>
      <c r="AC171" s="180">
        <v>64.487984251013756</v>
      </c>
      <c r="AD171" s="180">
        <v>99.566644198327126</v>
      </c>
      <c r="AE171" s="180">
        <v>105.18468212551522</v>
      </c>
      <c r="AF171" s="180">
        <v>105.24309068178097</v>
      </c>
      <c r="AG171" s="180">
        <v>105.3003610907171</v>
      </c>
      <c r="AH171" s="180">
        <v>105.35649335232742</v>
      </c>
      <c r="AI171" s="180">
        <v>105.41148746660953</v>
      </c>
      <c r="AJ171" s="180">
        <v>105.46534343356366</v>
      </c>
      <c r="AK171" s="180">
        <v>105.51806125319099</v>
      </c>
      <c r="AL171" s="180">
        <v>105.56964092548863</v>
      </c>
      <c r="AM171" s="180">
        <v>105.62008245046172</v>
      </c>
      <c r="AN171" s="180">
        <v>105.66938582810451</v>
      </c>
      <c r="AO171" s="180">
        <v>120.38984926449811</v>
      </c>
      <c r="AP171" s="180">
        <v>120.40483367964123</v>
      </c>
      <c r="AQ171" s="180">
        <v>120.41867994745637</v>
      </c>
      <c r="AR171" s="180">
        <v>120.43138806794302</v>
      </c>
      <c r="AS171" s="180">
        <v>120.4429580411032</v>
      </c>
    </row>
    <row r="172" spans="2:45">
      <c r="B172" s="530"/>
      <c r="C172" s="180"/>
      <c r="D172" s="180" t="s">
        <v>844</v>
      </c>
      <c r="E172" s="180"/>
      <c r="F172" s="180"/>
      <c r="G172" s="180" t="s">
        <v>838</v>
      </c>
      <c r="H172" s="180"/>
      <c r="I172" s="180">
        <v>0</v>
      </c>
      <c r="J172" s="180">
        <v>0</v>
      </c>
      <c r="K172" s="180">
        <v>0</v>
      </c>
      <c r="L172" s="180">
        <v>0</v>
      </c>
      <c r="M172" s="180">
        <v>0</v>
      </c>
      <c r="N172" s="180">
        <v>0</v>
      </c>
      <c r="O172" s="180">
        <v>0</v>
      </c>
      <c r="P172" s="180">
        <v>0</v>
      </c>
      <c r="Q172" s="180">
        <v>0</v>
      </c>
      <c r="R172" s="180">
        <v>0</v>
      </c>
      <c r="S172" s="180">
        <v>0</v>
      </c>
      <c r="T172" s="180">
        <v>0</v>
      </c>
      <c r="U172" s="180">
        <v>0</v>
      </c>
      <c r="V172" s="180">
        <v>0</v>
      </c>
      <c r="W172" s="180">
        <v>0</v>
      </c>
      <c r="X172" s="180">
        <v>0</v>
      </c>
      <c r="Y172" s="180">
        <v>0</v>
      </c>
      <c r="Z172" s="180">
        <v>0</v>
      </c>
      <c r="AA172" s="180">
        <v>0</v>
      </c>
      <c r="AB172" s="180">
        <v>0</v>
      </c>
      <c r="AC172" s="180">
        <v>0</v>
      </c>
      <c r="AD172" s="180">
        <v>0</v>
      </c>
      <c r="AE172" s="180">
        <v>0</v>
      </c>
      <c r="AF172" s="180">
        <v>0</v>
      </c>
      <c r="AG172" s="180">
        <v>0</v>
      </c>
      <c r="AH172" s="180">
        <v>0</v>
      </c>
      <c r="AI172" s="180">
        <v>0</v>
      </c>
      <c r="AJ172" s="180">
        <v>0</v>
      </c>
      <c r="AK172" s="180">
        <v>0</v>
      </c>
      <c r="AL172" s="180">
        <v>0</v>
      </c>
      <c r="AM172" s="180">
        <v>0</v>
      </c>
      <c r="AN172" s="180">
        <v>0</v>
      </c>
      <c r="AO172" s="180">
        <v>0</v>
      </c>
      <c r="AP172" s="180">
        <v>0</v>
      </c>
      <c r="AQ172" s="180">
        <v>0</v>
      </c>
      <c r="AR172" s="180">
        <v>0</v>
      </c>
      <c r="AS172" s="180">
        <v>0</v>
      </c>
    </row>
    <row r="173" spans="2:45">
      <c r="B173" s="530"/>
      <c r="C173" s="180"/>
      <c r="D173" s="180" t="s">
        <v>845</v>
      </c>
      <c r="E173" s="180"/>
      <c r="F173" s="180"/>
      <c r="G173" s="180" t="s">
        <v>838</v>
      </c>
      <c r="H173" s="180"/>
      <c r="I173" s="180">
        <v>0</v>
      </c>
      <c r="J173" s="180">
        <v>0</v>
      </c>
      <c r="K173" s="180">
        <v>0</v>
      </c>
      <c r="L173" s="180">
        <v>0</v>
      </c>
      <c r="M173" s="180">
        <v>0</v>
      </c>
      <c r="N173" s="180">
        <v>0</v>
      </c>
      <c r="O173" s="180">
        <v>0</v>
      </c>
      <c r="P173" s="180">
        <v>0</v>
      </c>
      <c r="Q173" s="180">
        <v>0</v>
      </c>
      <c r="R173" s="180">
        <v>0</v>
      </c>
      <c r="S173" s="180">
        <v>0</v>
      </c>
      <c r="T173" s="180">
        <v>0</v>
      </c>
      <c r="U173" s="180">
        <v>0</v>
      </c>
      <c r="V173" s="180">
        <v>0</v>
      </c>
      <c r="W173" s="180">
        <v>0</v>
      </c>
      <c r="X173" s="180">
        <v>0</v>
      </c>
      <c r="Y173" s="180">
        <v>0</v>
      </c>
      <c r="Z173" s="180">
        <v>0</v>
      </c>
      <c r="AA173" s="180">
        <v>0</v>
      </c>
      <c r="AB173" s="180">
        <v>0</v>
      </c>
      <c r="AC173" s="180">
        <v>0</v>
      </c>
      <c r="AD173" s="180">
        <v>0</v>
      </c>
      <c r="AE173" s="180">
        <v>0</v>
      </c>
      <c r="AF173" s="180">
        <v>0</v>
      </c>
      <c r="AG173" s="180">
        <v>0</v>
      </c>
      <c r="AH173" s="180">
        <v>0</v>
      </c>
      <c r="AI173" s="180">
        <v>0</v>
      </c>
      <c r="AJ173" s="180">
        <v>0</v>
      </c>
      <c r="AK173" s="180">
        <v>0</v>
      </c>
      <c r="AL173" s="180">
        <v>0</v>
      </c>
      <c r="AM173" s="180">
        <v>0</v>
      </c>
      <c r="AN173" s="180">
        <v>0</v>
      </c>
      <c r="AO173" s="180">
        <v>0</v>
      </c>
      <c r="AP173" s="180">
        <v>0</v>
      </c>
      <c r="AQ173" s="180">
        <v>0</v>
      </c>
      <c r="AR173" s="180">
        <v>0</v>
      </c>
      <c r="AS173" s="180">
        <v>0</v>
      </c>
    </row>
    <row r="174" spans="2:45">
      <c r="B174" s="530"/>
      <c r="C174" s="180"/>
      <c r="D174" s="180" t="s">
        <v>846</v>
      </c>
      <c r="E174" s="180"/>
      <c r="F174" s="180"/>
      <c r="G174" s="180" t="s">
        <v>838</v>
      </c>
      <c r="H174" s="180"/>
      <c r="I174" s="180">
        <v>0</v>
      </c>
      <c r="J174" s="180">
        <v>0</v>
      </c>
      <c r="K174" s="180">
        <v>0</v>
      </c>
      <c r="L174" s="180">
        <v>0</v>
      </c>
      <c r="M174" s="180">
        <v>0</v>
      </c>
      <c r="N174" s="180">
        <v>0</v>
      </c>
      <c r="O174" s="180">
        <v>0</v>
      </c>
      <c r="P174" s="180">
        <v>0</v>
      </c>
      <c r="Q174" s="180">
        <v>0</v>
      </c>
      <c r="R174" s="180">
        <v>0</v>
      </c>
      <c r="S174" s="180">
        <v>0</v>
      </c>
      <c r="T174" s="180">
        <v>0</v>
      </c>
      <c r="U174" s="180">
        <v>0</v>
      </c>
      <c r="V174" s="180">
        <v>0</v>
      </c>
      <c r="W174" s="180">
        <v>0</v>
      </c>
      <c r="X174" s="180">
        <v>0</v>
      </c>
      <c r="Y174" s="180">
        <v>0</v>
      </c>
      <c r="Z174" s="180">
        <v>0</v>
      </c>
      <c r="AA174" s="180">
        <v>0</v>
      </c>
      <c r="AB174" s="180">
        <v>0</v>
      </c>
      <c r="AC174" s="180">
        <v>0</v>
      </c>
      <c r="AD174" s="180">
        <v>0</v>
      </c>
      <c r="AE174" s="180">
        <v>0</v>
      </c>
      <c r="AF174" s="180">
        <v>0</v>
      </c>
      <c r="AG174" s="180">
        <v>0</v>
      </c>
      <c r="AH174" s="180">
        <v>0</v>
      </c>
      <c r="AI174" s="180">
        <v>0</v>
      </c>
      <c r="AJ174" s="180">
        <v>0</v>
      </c>
      <c r="AK174" s="180">
        <v>0</v>
      </c>
      <c r="AL174" s="180">
        <v>0</v>
      </c>
      <c r="AM174" s="180">
        <v>0</v>
      </c>
      <c r="AN174" s="180">
        <v>0</v>
      </c>
      <c r="AO174" s="180">
        <v>0</v>
      </c>
      <c r="AP174" s="180">
        <v>0</v>
      </c>
      <c r="AQ174" s="180">
        <v>0</v>
      </c>
      <c r="AR174" s="180">
        <v>0</v>
      </c>
      <c r="AS174" s="180">
        <v>0</v>
      </c>
    </row>
    <row r="175" spans="2:45">
      <c r="B175" s="530"/>
      <c r="C175" s="180"/>
      <c r="D175" s="180"/>
      <c r="E175" s="180"/>
      <c r="F175" s="180"/>
      <c r="G175" s="180"/>
      <c r="H175" s="180"/>
      <c r="I175" s="180"/>
      <c r="J175" s="180"/>
      <c r="K175" s="180"/>
      <c r="L175" s="180"/>
      <c r="M175" s="180"/>
      <c r="N175" s="180"/>
      <c r="O175" s="180"/>
      <c r="P175" s="180"/>
      <c r="Q175" s="180"/>
      <c r="R175" s="180"/>
      <c r="S175" s="180"/>
      <c r="T175" s="180"/>
      <c r="U175" s="180"/>
      <c r="V175" s="180"/>
      <c r="W175" s="180"/>
      <c r="X175" s="180"/>
      <c r="Y175" s="180"/>
      <c r="Z175" s="180"/>
      <c r="AA175" s="180"/>
      <c r="AB175" s="180"/>
      <c r="AC175" s="180"/>
      <c r="AD175" s="180"/>
      <c r="AE175" s="180"/>
      <c r="AF175" s="180"/>
      <c r="AG175" s="180"/>
      <c r="AH175" s="180"/>
      <c r="AI175" s="180"/>
      <c r="AJ175" s="180"/>
      <c r="AK175" s="180"/>
      <c r="AL175" s="180"/>
      <c r="AM175" s="180"/>
      <c r="AN175" s="180"/>
      <c r="AO175" s="180"/>
      <c r="AP175" s="180"/>
      <c r="AQ175" s="180"/>
      <c r="AR175" s="180"/>
      <c r="AS175" s="180"/>
    </row>
    <row r="176" spans="2:45">
      <c r="B176" s="530"/>
      <c r="C176" s="180" t="s">
        <v>847</v>
      </c>
      <c r="D176" s="180" t="s">
        <v>142</v>
      </c>
      <c r="E176" s="180"/>
      <c r="F176" s="180"/>
      <c r="G176" s="180" t="s">
        <v>838</v>
      </c>
      <c r="H176" s="180"/>
      <c r="I176" s="180">
        <v>9511.0939582177871</v>
      </c>
      <c r="J176" s="180">
        <v>9.3613400107731284</v>
      </c>
      <c r="K176" s="180">
        <v>9.7467171566191588</v>
      </c>
      <c r="L176" s="180">
        <v>11.342516818364579</v>
      </c>
      <c r="M176" s="180">
        <v>52.290774660594003</v>
      </c>
      <c r="N176" s="180">
        <v>29.48276225186779</v>
      </c>
      <c r="O176" s="180">
        <v>109.39950652753271</v>
      </c>
      <c r="P176" s="180">
        <v>118.39146970203311</v>
      </c>
      <c r="Q176" s="180">
        <v>218.02328646766205</v>
      </c>
      <c r="R176" s="180">
        <v>243.3699188912037</v>
      </c>
      <c r="S176" s="180">
        <v>237.16873318000466</v>
      </c>
      <c r="T176" s="180">
        <v>263.13207387481026</v>
      </c>
      <c r="U176" s="180">
        <v>277.7920525998511</v>
      </c>
      <c r="V176" s="180">
        <v>286.28628236748341</v>
      </c>
      <c r="W176" s="180">
        <v>281.11024451786926</v>
      </c>
      <c r="X176" s="180">
        <v>280.18667385566835</v>
      </c>
      <c r="Y176" s="180">
        <v>270.04416938188172</v>
      </c>
      <c r="Z176" s="180">
        <v>232.41185354878544</v>
      </c>
      <c r="AA176" s="180">
        <v>221.68237771293772</v>
      </c>
      <c r="AB176" s="180">
        <v>239.83134031797624</v>
      </c>
      <c r="AC176" s="180">
        <v>454.85470109026312</v>
      </c>
      <c r="AD176" s="180">
        <v>456.6905603788407</v>
      </c>
      <c r="AE176" s="180">
        <v>374.91259392386195</v>
      </c>
      <c r="AF176" s="180">
        <v>456.55219068538122</v>
      </c>
      <c r="AG176" s="180">
        <v>445.55781508145196</v>
      </c>
      <c r="AH176" s="180">
        <v>460.21583109403878</v>
      </c>
      <c r="AI176" s="180">
        <v>467.77641291733619</v>
      </c>
      <c r="AJ176" s="180">
        <v>476.72230783026464</v>
      </c>
      <c r="AK176" s="180">
        <v>488.12912094104894</v>
      </c>
      <c r="AL176" s="180">
        <v>475.64913701495107</v>
      </c>
      <c r="AM176" s="180">
        <v>483.83772734170259</v>
      </c>
      <c r="AN176" s="180">
        <v>468.75577206547985</v>
      </c>
      <c r="AO176" s="180">
        <v>142.53822079887723</v>
      </c>
      <c r="AP176" s="180">
        <v>135.15627551553689</v>
      </c>
      <c r="AQ176" s="180">
        <v>128.58018174157212</v>
      </c>
      <c r="AR176" s="180">
        <v>111.33665925333555</v>
      </c>
      <c r="AS176" s="180">
        <v>92.774356699925406</v>
      </c>
    </row>
    <row r="177" spans="2:45">
      <c r="B177" s="530"/>
      <c r="C177" s="180"/>
      <c r="D177" s="180" t="s">
        <v>839</v>
      </c>
      <c r="E177" s="180"/>
      <c r="F177" s="180"/>
      <c r="G177" s="180" t="s">
        <v>840</v>
      </c>
      <c r="H177" s="180"/>
      <c r="I177" s="180"/>
      <c r="J177" s="180">
        <v>9.3613400107731284</v>
      </c>
      <c r="K177" s="180">
        <v>19.108057167392289</v>
      </c>
      <c r="L177" s="180">
        <v>30.450573985756868</v>
      </c>
      <c r="M177" s="180">
        <v>82.741348646350872</v>
      </c>
      <c r="N177" s="180">
        <v>112.22411089821867</v>
      </c>
      <c r="O177" s="180">
        <v>221.62361742575138</v>
      </c>
      <c r="P177" s="180">
        <v>340.01508712778445</v>
      </c>
      <c r="Q177" s="180">
        <v>558.0383735954465</v>
      </c>
      <c r="R177" s="180">
        <v>801.40829248665023</v>
      </c>
      <c r="S177" s="180">
        <v>1038.5770256666549</v>
      </c>
      <c r="T177" s="180">
        <v>1301.7090995414651</v>
      </c>
      <c r="U177" s="180">
        <v>1579.5011521413162</v>
      </c>
      <c r="V177" s="180">
        <v>1865.7874345087996</v>
      </c>
      <c r="W177" s="180">
        <v>2146.8976790266688</v>
      </c>
      <c r="X177" s="180">
        <v>2427.084352882337</v>
      </c>
      <c r="Y177" s="180">
        <v>2697.1285222642186</v>
      </c>
      <c r="Z177" s="180">
        <v>2929.5403758130042</v>
      </c>
      <c r="AA177" s="180">
        <v>3151.2227535259417</v>
      </c>
      <c r="AB177" s="180">
        <v>3391.0540938439181</v>
      </c>
      <c r="AC177" s="180">
        <v>3845.9087949341811</v>
      </c>
      <c r="AD177" s="180">
        <v>4302.599355313022</v>
      </c>
      <c r="AE177" s="180">
        <v>4677.511949236884</v>
      </c>
      <c r="AF177" s="180">
        <v>5134.064139922265</v>
      </c>
      <c r="AG177" s="180">
        <v>5579.6219550037167</v>
      </c>
      <c r="AH177" s="180">
        <v>6039.8377860977553</v>
      </c>
      <c r="AI177" s="180">
        <v>6507.6141990150918</v>
      </c>
      <c r="AJ177" s="180">
        <v>6984.3365068453568</v>
      </c>
      <c r="AK177" s="180">
        <v>7472.465627786406</v>
      </c>
      <c r="AL177" s="180">
        <v>7948.1147648013575</v>
      </c>
      <c r="AM177" s="180">
        <v>8431.9524921430602</v>
      </c>
      <c r="AN177" s="180">
        <v>8900.7082642085406</v>
      </c>
      <c r="AO177" s="180">
        <v>9043.2464850074175</v>
      </c>
      <c r="AP177" s="180">
        <v>9178.4027605229548</v>
      </c>
      <c r="AQ177" s="180">
        <v>9306.9829422645271</v>
      </c>
      <c r="AR177" s="180">
        <v>9418.3196015178619</v>
      </c>
      <c r="AS177" s="180">
        <v>9511.0939582177871</v>
      </c>
    </row>
    <row r="178" spans="2:45">
      <c r="B178" s="530"/>
      <c r="C178" s="180"/>
      <c r="D178" s="180" t="s">
        <v>848</v>
      </c>
      <c r="E178" s="180"/>
      <c r="F178" s="180"/>
      <c r="G178" s="180" t="s">
        <v>838</v>
      </c>
      <c r="H178" s="180"/>
      <c r="I178" s="180">
        <v>79.618131191306361</v>
      </c>
      <c r="J178" s="180">
        <v>0</v>
      </c>
      <c r="K178" s="180">
        <v>4.1578019141031909E-2</v>
      </c>
      <c r="L178" s="180">
        <v>4.1578019141031909E-2</v>
      </c>
      <c r="M178" s="180">
        <v>4.1578019141031909E-2</v>
      </c>
      <c r="N178" s="180">
        <v>4.1578019141031909E-2</v>
      </c>
      <c r="O178" s="180">
        <v>4.1578019141031909E-2</v>
      </c>
      <c r="P178" s="180">
        <v>0</v>
      </c>
      <c r="Q178" s="180">
        <v>0</v>
      </c>
      <c r="R178" s="180">
        <v>0</v>
      </c>
      <c r="S178" s="180">
        <v>0</v>
      </c>
      <c r="T178" s="180">
        <v>0</v>
      </c>
      <c r="U178" s="180">
        <v>0</v>
      </c>
      <c r="V178" s="180">
        <v>0</v>
      </c>
      <c r="W178" s="180">
        <v>0.10330792340238566</v>
      </c>
      <c r="X178" s="180">
        <v>0.12682105678461161</v>
      </c>
      <c r="Y178" s="180">
        <v>0.12682105678461153</v>
      </c>
      <c r="Z178" s="180">
        <v>0</v>
      </c>
      <c r="AA178" s="180">
        <v>0</v>
      </c>
      <c r="AB178" s="180">
        <v>0</v>
      </c>
      <c r="AC178" s="180">
        <v>0</v>
      </c>
      <c r="AD178" s="180">
        <v>0</v>
      </c>
      <c r="AE178" s="180">
        <v>0</v>
      </c>
      <c r="AF178" s="180">
        <v>0</v>
      </c>
      <c r="AG178" s="180">
        <v>0</v>
      </c>
      <c r="AH178" s="180">
        <v>0</v>
      </c>
      <c r="AI178" s="180">
        <v>0</v>
      </c>
      <c r="AJ178" s="180">
        <v>0</v>
      </c>
      <c r="AK178" s="180">
        <v>0</v>
      </c>
      <c r="AL178" s="180">
        <v>2.96906053737153E-2</v>
      </c>
      <c r="AM178" s="180">
        <v>15.827726554409097</v>
      </c>
      <c r="AN178" s="180">
        <v>16.269262764433321</v>
      </c>
      <c r="AO178" s="180">
        <v>9.3853222268827814</v>
      </c>
      <c r="AP178" s="180">
        <v>9.3853222268825576</v>
      </c>
      <c r="AQ178" s="180">
        <v>9.3853222268825665</v>
      </c>
      <c r="AR178" s="180">
        <v>9.3853222268829981</v>
      </c>
      <c r="AS178" s="180">
        <v>9.3853222268825665</v>
      </c>
    </row>
    <row r="179" spans="2:45">
      <c r="B179" s="530"/>
      <c r="C179" s="180"/>
      <c r="D179" s="180" t="s">
        <v>849</v>
      </c>
      <c r="E179" s="180"/>
      <c r="F179" s="180"/>
      <c r="G179" s="180" t="s">
        <v>838</v>
      </c>
      <c r="H179" s="180"/>
      <c r="I179" s="180">
        <v>74.396285518005655</v>
      </c>
      <c r="J179" s="180">
        <v>0</v>
      </c>
      <c r="K179" s="180">
        <v>0</v>
      </c>
      <c r="L179" s="180">
        <v>0</v>
      </c>
      <c r="M179" s="180">
        <v>0</v>
      </c>
      <c r="N179" s="180">
        <v>0</v>
      </c>
      <c r="O179" s="180">
        <v>0</v>
      </c>
      <c r="P179" s="180">
        <v>0</v>
      </c>
      <c r="Q179" s="180">
        <v>0</v>
      </c>
      <c r="R179" s="180">
        <v>0</v>
      </c>
      <c r="S179" s="180">
        <v>0</v>
      </c>
      <c r="T179" s="180">
        <v>0</v>
      </c>
      <c r="U179" s="180">
        <v>0</v>
      </c>
      <c r="V179" s="180">
        <v>0</v>
      </c>
      <c r="W179" s="180">
        <v>0</v>
      </c>
      <c r="X179" s="180">
        <v>0</v>
      </c>
      <c r="Y179" s="180">
        <v>0</v>
      </c>
      <c r="Z179" s="180">
        <v>0</v>
      </c>
      <c r="AA179" s="180">
        <v>0</v>
      </c>
      <c r="AB179" s="180">
        <v>0</v>
      </c>
      <c r="AC179" s="180">
        <v>0</v>
      </c>
      <c r="AD179" s="180">
        <v>0</v>
      </c>
      <c r="AE179" s="180">
        <v>0</v>
      </c>
      <c r="AF179" s="180">
        <v>0</v>
      </c>
      <c r="AG179" s="180">
        <v>0</v>
      </c>
      <c r="AH179" s="180">
        <v>15.361082303636067</v>
      </c>
      <c r="AI179" s="180">
        <v>15.796002344322581</v>
      </c>
      <c r="AJ179" s="180">
        <v>8.8729408070168674</v>
      </c>
      <c r="AK179" s="180">
        <v>8.7603904905129077</v>
      </c>
      <c r="AL179" s="180">
        <v>8.6478401740092341</v>
      </c>
      <c r="AM179" s="180">
        <v>8.5352898575061076</v>
      </c>
      <c r="AN179" s="180">
        <v>8.4227395410018833</v>
      </c>
      <c r="AO179" s="180">
        <v>0</v>
      </c>
      <c r="AP179" s="180">
        <v>0</v>
      </c>
      <c r="AQ179" s="180">
        <v>0</v>
      </c>
      <c r="AR179" s="180">
        <v>0</v>
      </c>
      <c r="AS179" s="180">
        <v>0</v>
      </c>
    </row>
    <row r="180" spans="2:45">
      <c r="B180" s="530"/>
      <c r="C180" s="180"/>
      <c r="D180" s="180" t="s">
        <v>188</v>
      </c>
      <c r="E180" s="180"/>
      <c r="F180" s="180"/>
      <c r="G180" s="180" t="s">
        <v>838</v>
      </c>
      <c r="H180" s="180"/>
      <c r="I180" s="180">
        <v>2071.1381496157619</v>
      </c>
      <c r="J180" s="180">
        <v>9.3613400107731284</v>
      </c>
      <c r="K180" s="180">
        <v>9.7051391374781275</v>
      </c>
      <c r="L180" s="180">
        <v>11.300938799223548</v>
      </c>
      <c r="M180" s="180">
        <v>12.89676525129863</v>
      </c>
      <c r="N180" s="180">
        <v>14.492618493703409</v>
      </c>
      <c r="O180" s="180">
        <v>64.762608041893671</v>
      </c>
      <c r="P180" s="180">
        <v>63.420615203733561</v>
      </c>
      <c r="Q180" s="180">
        <v>78.063277419074211</v>
      </c>
      <c r="R180" s="180">
        <v>81.955720127349366</v>
      </c>
      <c r="S180" s="180">
        <v>85.848130844855874</v>
      </c>
      <c r="T180" s="180">
        <v>89.36305900818661</v>
      </c>
      <c r="U180" s="180">
        <v>99.40721608734944</v>
      </c>
      <c r="V180" s="180">
        <v>102.10400380507535</v>
      </c>
      <c r="W180" s="180">
        <v>104.80070369313414</v>
      </c>
      <c r="X180" s="180">
        <v>107.49732408947649</v>
      </c>
      <c r="Y180" s="180">
        <v>110.19390971161904</v>
      </c>
      <c r="Z180" s="180">
        <v>97.151415318287647</v>
      </c>
      <c r="AA180" s="180">
        <v>97.128257753905089</v>
      </c>
      <c r="AB180" s="180">
        <v>97.105238519444612</v>
      </c>
      <c r="AC180" s="180">
        <v>97.082237191955173</v>
      </c>
      <c r="AD180" s="180">
        <v>96.995835937468513</v>
      </c>
      <c r="AE180" s="180">
        <v>46.343074851708785</v>
      </c>
      <c r="AF180" s="180">
        <v>46.332206043256441</v>
      </c>
      <c r="AG180" s="180">
        <v>46.321330439745672</v>
      </c>
      <c r="AH180" s="180">
        <v>46.310367710002289</v>
      </c>
      <c r="AI180" s="180">
        <v>46.299223466188366</v>
      </c>
      <c r="AJ180" s="180">
        <v>46.288784610509786</v>
      </c>
      <c r="AK180" s="180">
        <v>46.278355403422282</v>
      </c>
      <c r="AL180" s="180">
        <v>46.267936026721969</v>
      </c>
      <c r="AM180" s="180">
        <v>46.257526686632886</v>
      </c>
      <c r="AN180" s="180">
        <v>46.247127597134259</v>
      </c>
      <c r="AO180" s="180">
        <v>15.510354316837994</v>
      </c>
      <c r="AP180" s="180">
        <v>15.510761670213896</v>
      </c>
      <c r="AQ180" s="180">
        <v>15.511170746552779</v>
      </c>
      <c r="AR180" s="180">
        <v>15.511581543140482</v>
      </c>
      <c r="AS180" s="180">
        <v>15.511994058408748</v>
      </c>
    </row>
    <row r="181" spans="2:45">
      <c r="B181" s="530"/>
      <c r="C181" s="180"/>
      <c r="D181" s="180" t="s">
        <v>850</v>
      </c>
      <c r="E181" s="180"/>
      <c r="F181" s="180"/>
      <c r="G181" s="180" t="s">
        <v>838</v>
      </c>
      <c r="H181" s="180"/>
      <c r="I181" s="180">
        <v>2957.9895576707604</v>
      </c>
      <c r="J181" s="180">
        <v>0</v>
      </c>
      <c r="K181" s="180">
        <v>0</v>
      </c>
      <c r="L181" s="180">
        <v>0</v>
      </c>
      <c r="M181" s="180">
        <v>0</v>
      </c>
      <c r="N181" s="180">
        <v>0</v>
      </c>
      <c r="O181" s="180">
        <v>0</v>
      </c>
      <c r="P181" s="180">
        <v>0</v>
      </c>
      <c r="Q181" s="180">
        <v>0</v>
      </c>
      <c r="R181" s="180">
        <v>0</v>
      </c>
      <c r="S181" s="180">
        <v>0</v>
      </c>
      <c r="T181" s="180">
        <v>0</v>
      </c>
      <c r="U181" s="180">
        <v>0.77640483650631431</v>
      </c>
      <c r="V181" s="180">
        <v>0.77640483650631431</v>
      </c>
      <c r="W181" s="180">
        <v>0.77640483650631442</v>
      </c>
      <c r="X181" s="180">
        <v>0.7764048365063142</v>
      </c>
      <c r="Y181" s="180">
        <v>0.7764048365063142</v>
      </c>
      <c r="Z181" s="180">
        <v>1.2738338207475011</v>
      </c>
      <c r="AA181" s="180">
        <v>1.2738338207475011</v>
      </c>
      <c r="AB181" s="180">
        <v>1.273833820747502</v>
      </c>
      <c r="AC181" s="180">
        <v>246.91335780476248</v>
      </c>
      <c r="AD181" s="180">
        <v>246.91335780476248</v>
      </c>
      <c r="AE181" s="180">
        <v>245.65233929927737</v>
      </c>
      <c r="AF181" s="180">
        <v>245.65233929927737</v>
      </c>
      <c r="AG181" s="180">
        <v>245.65233929927737</v>
      </c>
      <c r="AH181" s="180">
        <v>245.65233929927737</v>
      </c>
      <c r="AI181" s="180">
        <v>245.65233929927737</v>
      </c>
      <c r="AJ181" s="180">
        <v>245.639523984015</v>
      </c>
      <c r="AK181" s="180">
        <v>245.639523984015</v>
      </c>
      <c r="AL181" s="180">
        <v>245.639523984015</v>
      </c>
      <c r="AM181" s="180">
        <v>245.639523984015</v>
      </c>
      <c r="AN181" s="180">
        <v>245.639523984015</v>
      </c>
      <c r="AO181" s="180">
        <v>0</v>
      </c>
      <c r="AP181" s="180">
        <v>0</v>
      </c>
      <c r="AQ181" s="180">
        <v>0</v>
      </c>
      <c r="AR181" s="180">
        <v>0</v>
      </c>
      <c r="AS181" s="180">
        <v>0</v>
      </c>
    </row>
    <row r="182" spans="2:45">
      <c r="B182" s="530"/>
      <c r="C182" s="180"/>
      <c r="D182" s="180" t="s">
        <v>826</v>
      </c>
      <c r="E182" s="180"/>
      <c r="F182" s="180"/>
      <c r="G182" s="180" t="s">
        <v>838</v>
      </c>
      <c r="H182" s="180"/>
      <c r="I182" s="180">
        <v>4038.8778342219516</v>
      </c>
      <c r="J182" s="180">
        <v>0</v>
      </c>
      <c r="K182" s="180">
        <v>0</v>
      </c>
      <c r="L182" s="180">
        <v>0</v>
      </c>
      <c r="M182" s="180">
        <v>39.352431390154344</v>
      </c>
      <c r="N182" s="180">
        <v>14.94856573902335</v>
      </c>
      <c r="O182" s="180">
        <v>43.695320466498003</v>
      </c>
      <c r="P182" s="180">
        <v>54.970854498299552</v>
      </c>
      <c r="Q182" s="180">
        <v>135.40750904858783</v>
      </c>
      <c r="R182" s="180">
        <v>156.86169876385432</v>
      </c>
      <c r="S182" s="180">
        <v>151.32060233514878</v>
      </c>
      <c r="T182" s="180">
        <v>173.76901486662365</v>
      </c>
      <c r="U182" s="180">
        <v>173.09193167599534</v>
      </c>
      <c r="V182" s="180">
        <v>182.60037372590176</v>
      </c>
      <c r="W182" s="180">
        <v>175.42982806482644</v>
      </c>
      <c r="X182" s="180">
        <v>166.45512387290091</v>
      </c>
      <c r="Y182" s="180">
        <v>158.94703377697172</v>
      </c>
      <c r="Z182" s="180">
        <v>128.6331044097503</v>
      </c>
      <c r="AA182" s="180">
        <v>114.17528613828513</v>
      </c>
      <c r="AB182" s="180">
        <v>131.47426797778414</v>
      </c>
      <c r="AC182" s="180">
        <v>97.147606093545434</v>
      </c>
      <c r="AD182" s="180">
        <v>95.343866636609718</v>
      </c>
      <c r="AE182" s="180">
        <v>66.190679772875811</v>
      </c>
      <c r="AF182" s="180">
        <v>143.14464534284744</v>
      </c>
      <c r="AG182" s="180">
        <v>141.32014534242893</v>
      </c>
      <c r="AH182" s="180">
        <v>132.27004178112304</v>
      </c>
      <c r="AI182" s="180">
        <v>144.97634780754785</v>
      </c>
      <c r="AJ182" s="180">
        <v>158.61855842872296</v>
      </c>
      <c r="AK182" s="180">
        <v>165.86585106309877</v>
      </c>
      <c r="AL182" s="180">
        <v>157.76164622483111</v>
      </c>
      <c r="AM182" s="180">
        <v>151.40016025913954</v>
      </c>
      <c r="AN182" s="180">
        <v>144.24961817889542</v>
      </c>
      <c r="AO182" s="180">
        <v>104.62254425515644</v>
      </c>
      <c r="AP182" s="180">
        <v>102.33269161844044</v>
      </c>
      <c r="AQ182" s="180">
        <v>93.18368876813679</v>
      </c>
      <c r="AR182" s="180">
        <v>77.387255483312074</v>
      </c>
      <c r="AS182" s="180">
        <v>61.929540414634083</v>
      </c>
    </row>
    <row r="183" spans="2:45">
      <c r="B183" s="530"/>
      <c r="C183" s="180"/>
      <c r="D183" s="180" t="s">
        <v>851</v>
      </c>
      <c r="E183" s="180"/>
      <c r="F183" s="180"/>
      <c r="G183" s="180" t="s">
        <v>838</v>
      </c>
      <c r="H183" s="180"/>
      <c r="I183" s="180">
        <v>289.07400000000007</v>
      </c>
      <c r="J183" s="180">
        <v>0</v>
      </c>
      <c r="K183" s="180">
        <v>0</v>
      </c>
      <c r="L183" s="180">
        <v>0</v>
      </c>
      <c r="M183" s="180">
        <v>0</v>
      </c>
      <c r="N183" s="180">
        <v>0</v>
      </c>
      <c r="O183" s="180">
        <v>0.9</v>
      </c>
      <c r="P183" s="180">
        <v>0</v>
      </c>
      <c r="Q183" s="180">
        <v>4.5525000000000002</v>
      </c>
      <c r="R183" s="180">
        <v>4.5525000000000002</v>
      </c>
      <c r="S183" s="180">
        <v>0</v>
      </c>
      <c r="T183" s="180">
        <v>0</v>
      </c>
      <c r="U183" s="180">
        <v>4.5164999999999997</v>
      </c>
      <c r="V183" s="180">
        <v>0.80549999999999999</v>
      </c>
      <c r="W183" s="180">
        <v>0</v>
      </c>
      <c r="X183" s="180">
        <v>5.3310000000000004</v>
      </c>
      <c r="Y183" s="180">
        <v>0</v>
      </c>
      <c r="Z183" s="180">
        <v>5.3535000000000004</v>
      </c>
      <c r="AA183" s="180">
        <v>9.1050000000000004</v>
      </c>
      <c r="AB183" s="180">
        <v>9.9779999999999998</v>
      </c>
      <c r="AC183" s="180">
        <v>13.711499999999999</v>
      </c>
      <c r="AD183" s="180">
        <v>17.4375</v>
      </c>
      <c r="AE183" s="180">
        <v>16.726500000000001</v>
      </c>
      <c r="AF183" s="180">
        <v>21.422999999999998</v>
      </c>
      <c r="AG183" s="180">
        <v>12.263999999999999</v>
      </c>
      <c r="AH183" s="180">
        <v>20.622</v>
      </c>
      <c r="AI183" s="180">
        <v>15.0525</v>
      </c>
      <c r="AJ183" s="180">
        <v>17.302499999999998</v>
      </c>
      <c r="AK183" s="180">
        <v>21.585000000000001</v>
      </c>
      <c r="AL183" s="180">
        <v>17.302499999999998</v>
      </c>
      <c r="AM183" s="180">
        <v>16.177499999999998</v>
      </c>
      <c r="AN183" s="180">
        <v>7.9275000000000002</v>
      </c>
      <c r="AO183" s="180">
        <v>13.02</v>
      </c>
      <c r="AP183" s="180">
        <v>7.9275000000000002</v>
      </c>
      <c r="AQ183" s="180">
        <v>10.5</v>
      </c>
      <c r="AR183" s="180">
        <v>9.0525000000000002</v>
      </c>
      <c r="AS183" s="180">
        <v>5.9474999999999998</v>
      </c>
    </row>
    <row r="184" spans="2:45">
      <c r="B184" s="530"/>
      <c r="C184" s="180"/>
      <c r="D184" s="180"/>
      <c r="E184" s="180"/>
      <c r="F184" s="180"/>
      <c r="G184" s="180"/>
      <c r="H184" s="180"/>
      <c r="I184" s="180"/>
      <c r="J184" s="180"/>
      <c r="K184" s="180"/>
      <c r="L184" s="180"/>
      <c r="M184" s="180"/>
      <c r="N184" s="180"/>
      <c r="O184" s="180"/>
      <c r="P184" s="180"/>
      <c r="Q184" s="180"/>
      <c r="R184" s="180"/>
      <c r="S184" s="180"/>
      <c r="T184" s="180"/>
      <c r="U184" s="180"/>
      <c r="V184" s="180"/>
      <c r="W184" s="180"/>
      <c r="X184" s="180"/>
      <c r="Y184" s="180"/>
      <c r="Z184" s="180"/>
      <c r="AA184" s="180"/>
      <c r="AB184" s="180"/>
      <c r="AC184" s="180"/>
      <c r="AD184" s="180"/>
      <c r="AE184" s="180"/>
      <c r="AF184" s="180"/>
      <c r="AG184" s="180"/>
      <c r="AH184" s="180"/>
      <c r="AI184" s="180"/>
      <c r="AJ184" s="180"/>
      <c r="AK184" s="180"/>
      <c r="AL184" s="180"/>
      <c r="AM184" s="180"/>
      <c r="AN184" s="180"/>
      <c r="AO184" s="180"/>
      <c r="AP184" s="180"/>
      <c r="AQ184" s="180"/>
      <c r="AR184" s="180"/>
      <c r="AS184" s="180"/>
    </row>
    <row r="185" spans="2:45">
      <c r="B185" s="530"/>
      <c r="C185" s="180" t="s">
        <v>852</v>
      </c>
      <c r="D185" s="180" t="s">
        <v>142</v>
      </c>
      <c r="E185" s="180"/>
      <c r="F185" s="180"/>
      <c r="G185" s="180" t="s">
        <v>838</v>
      </c>
      <c r="H185" s="180"/>
      <c r="I185" s="180">
        <v>352617.36106909037</v>
      </c>
      <c r="J185" s="180">
        <v>11030.51010936172</v>
      </c>
      <c r="K185" s="180">
        <v>10468.17168512806</v>
      </c>
      <c r="L185" s="180">
        <v>10683.452631153983</v>
      </c>
      <c r="M185" s="180">
        <v>11265.494647705711</v>
      </c>
      <c r="N185" s="180">
        <v>11369.322536544068</v>
      </c>
      <c r="O185" s="180">
        <v>11076.942767777933</v>
      </c>
      <c r="P185" s="180">
        <v>11588.703575179354</v>
      </c>
      <c r="Q185" s="180">
        <v>11611.971039730875</v>
      </c>
      <c r="R185" s="180">
        <v>11292.387477591637</v>
      </c>
      <c r="S185" s="180">
        <v>10940.86307465035</v>
      </c>
      <c r="T185" s="180">
        <v>10657.214374846804</v>
      </c>
      <c r="U185" s="180">
        <v>10346.263089147318</v>
      </c>
      <c r="V185" s="180">
        <v>9954.9152244416273</v>
      </c>
      <c r="W185" s="180">
        <v>9573.0879415229829</v>
      </c>
      <c r="X185" s="180">
        <v>9229.6865610581644</v>
      </c>
      <c r="Y185" s="180">
        <v>9036.9447250272642</v>
      </c>
      <c r="Z185" s="180">
        <v>9015.6805417751239</v>
      </c>
      <c r="AA185" s="180">
        <v>8872.1081905939554</v>
      </c>
      <c r="AB185" s="180">
        <v>8716.9120739393893</v>
      </c>
      <c r="AC185" s="180">
        <v>8731.1496050524183</v>
      </c>
      <c r="AD185" s="180">
        <v>8781.2657264206046</v>
      </c>
      <c r="AE185" s="180">
        <v>8846.8312381114865</v>
      </c>
      <c r="AF185" s="180">
        <v>8874.8740256713008</v>
      </c>
      <c r="AG185" s="180">
        <v>8950.7217284815906</v>
      </c>
      <c r="AH185" s="180">
        <v>8972.3678511109756</v>
      </c>
      <c r="AI185" s="180">
        <v>9006.4716268525899</v>
      </c>
      <c r="AJ185" s="180">
        <v>9142.547386952785</v>
      </c>
      <c r="AK185" s="180">
        <v>9301.6539565458497</v>
      </c>
      <c r="AL185" s="180">
        <v>9359.8743275371999</v>
      </c>
      <c r="AM185" s="180">
        <v>9349.5374672555718</v>
      </c>
      <c r="AN185" s="180">
        <v>9343.0926044999123</v>
      </c>
      <c r="AO185" s="180">
        <v>9368.0552566664992</v>
      </c>
      <c r="AP185" s="180">
        <v>9405.4624359822192</v>
      </c>
      <c r="AQ185" s="180">
        <v>9444.2937477142295</v>
      </c>
      <c r="AR185" s="180">
        <v>9483.9641649036403</v>
      </c>
      <c r="AS185" s="180">
        <v>9524.5656521552683</v>
      </c>
    </row>
    <row r="186" spans="2:45">
      <c r="B186" s="530"/>
      <c r="C186" s="180"/>
      <c r="D186" s="180" t="s">
        <v>839</v>
      </c>
      <c r="E186" s="180"/>
      <c r="F186" s="180"/>
      <c r="G186" s="180" t="s">
        <v>840</v>
      </c>
      <c r="H186" s="180"/>
      <c r="I186" s="180"/>
      <c r="J186" s="180">
        <v>11030.51010936172</v>
      </c>
      <c r="K186" s="180">
        <v>21498.681794489778</v>
      </c>
      <c r="L186" s="180">
        <v>32182.134425643759</v>
      </c>
      <c r="M186" s="180">
        <v>43447.629073349468</v>
      </c>
      <c r="N186" s="180">
        <v>54816.951609893535</v>
      </c>
      <c r="O186" s="180">
        <v>65893.894377671473</v>
      </c>
      <c r="P186" s="180">
        <v>77482.597952850832</v>
      </c>
      <c r="Q186" s="180">
        <v>89094.568992581713</v>
      </c>
      <c r="R186" s="180">
        <v>100386.95647017335</v>
      </c>
      <c r="S186" s="180">
        <v>111327.81954482369</v>
      </c>
      <c r="T186" s="180">
        <v>121985.0339196705</v>
      </c>
      <c r="U186" s="180">
        <v>132331.29700881781</v>
      </c>
      <c r="V186" s="180">
        <v>142286.21223325943</v>
      </c>
      <c r="W186" s="180">
        <v>151859.3001747824</v>
      </c>
      <c r="X186" s="180">
        <v>161088.98673584056</v>
      </c>
      <c r="Y186" s="180">
        <v>170125.93146086781</v>
      </c>
      <c r="Z186" s="180">
        <v>179141.61200264294</v>
      </c>
      <c r="AA186" s="180">
        <v>188013.72019323689</v>
      </c>
      <c r="AB186" s="180">
        <v>196730.63226717629</v>
      </c>
      <c r="AC186" s="180">
        <v>205461.78187222872</v>
      </c>
      <c r="AD186" s="180">
        <v>214243.04759864931</v>
      </c>
      <c r="AE186" s="180">
        <v>223089.87883676079</v>
      </c>
      <c r="AF186" s="180">
        <v>231964.7528624321</v>
      </c>
      <c r="AG186" s="180">
        <v>240915.47459091368</v>
      </c>
      <c r="AH186" s="180">
        <v>249887.84244202467</v>
      </c>
      <c r="AI186" s="180">
        <v>258894.31406887725</v>
      </c>
      <c r="AJ186" s="180">
        <v>268036.86145583005</v>
      </c>
      <c r="AK186" s="180">
        <v>277338.51541237591</v>
      </c>
      <c r="AL186" s="180">
        <v>286698.38973991311</v>
      </c>
      <c r="AM186" s="180">
        <v>296047.92720716866</v>
      </c>
      <c r="AN186" s="180">
        <v>305391.01981166855</v>
      </c>
      <c r="AO186" s="180">
        <v>314759.07506833505</v>
      </c>
      <c r="AP186" s="180">
        <v>324164.53750431724</v>
      </c>
      <c r="AQ186" s="180">
        <v>333608.83125203149</v>
      </c>
      <c r="AR186" s="180">
        <v>343092.79541693511</v>
      </c>
      <c r="AS186" s="180">
        <v>352617.36106909037</v>
      </c>
    </row>
    <row r="187" spans="2:45">
      <c r="B187" s="530"/>
      <c r="C187" s="180"/>
      <c r="D187" s="180" t="s">
        <v>775</v>
      </c>
      <c r="E187" s="180"/>
      <c r="F187" s="180"/>
      <c r="G187" s="180" t="s">
        <v>838</v>
      </c>
      <c r="H187" s="180"/>
      <c r="I187" s="180">
        <v>41168.290712585149</v>
      </c>
      <c r="J187" s="180">
        <v>2797.5571606950239</v>
      </c>
      <c r="K187" s="180">
        <v>2445.7942376797805</v>
      </c>
      <c r="L187" s="180">
        <v>2300.541734584629</v>
      </c>
      <c r="M187" s="180">
        <v>2347.0674900328077</v>
      </c>
      <c r="N187" s="180">
        <v>2356.7402691169236</v>
      </c>
      <c r="O187" s="180">
        <v>2090.8892050722234</v>
      </c>
      <c r="P187" s="180">
        <v>2207.3662010151311</v>
      </c>
      <c r="Q187" s="180">
        <v>2213.1371579685865</v>
      </c>
      <c r="R187" s="180">
        <v>2118.8864359952513</v>
      </c>
      <c r="S187" s="180">
        <v>1998.156346944133</v>
      </c>
      <c r="T187" s="180">
        <v>1880.6458284362886</v>
      </c>
      <c r="U187" s="180">
        <v>1741.8070540458079</v>
      </c>
      <c r="V187" s="180">
        <v>1612.5909236249609</v>
      </c>
      <c r="W187" s="180">
        <v>1494.4552566841915</v>
      </c>
      <c r="X187" s="180">
        <v>1396.3775491701829</v>
      </c>
      <c r="Y187" s="180">
        <v>1312.1428875785109</v>
      </c>
      <c r="Z187" s="180">
        <v>1226.9637418848411</v>
      </c>
      <c r="AA187" s="180">
        <v>1149.8573676856033</v>
      </c>
      <c r="AB187" s="180">
        <v>1077.7363360892073</v>
      </c>
      <c r="AC187" s="180">
        <v>942.88516446729784</v>
      </c>
      <c r="AD187" s="180">
        <v>836.8713174597741</v>
      </c>
      <c r="AE187" s="180">
        <v>738.51704142084054</v>
      </c>
      <c r="AF187" s="180">
        <v>641.79432836660635</v>
      </c>
      <c r="AG187" s="180">
        <v>551.47288429066475</v>
      </c>
      <c r="AH187" s="180">
        <v>520.9030044698851</v>
      </c>
      <c r="AI187" s="180">
        <v>408.64133405479771</v>
      </c>
      <c r="AJ187" s="180">
        <v>306.92280770066304</v>
      </c>
      <c r="AK187" s="180">
        <v>227.53952532763</v>
      </c>
      <c r="AL187" s="180">
        <v>149.92498531389464</v>
      </c>
      <c r="AM187" s="180">
        <v>74.10513540901816</v>
      </c>
      <c r="AN187" s="180">
        <v>0</v>
      </c>
      <c r="AO187" s="180">
        <v>0</v>
      </c>
      <c r="AP187" s="180">
        <v>0</v>
      </c>
      <c r="AQ187" s="180">
        <v>0</v>
      </c>
      <c r="AR187" s="180">
        <v>0</v>
      </c>
      <c r="AS187" s="180">
        <v>0</v>
      </c>
    </row>
    <row r="188" spans="2:45">
      <c r="B188" s="530"/>
      <c r="C188" s="180"/>
      <c r="D188" s="180" t="s">
        <v>853</v>
      </c>
      <c r="E188" s="180"/>
      <c r="F188" s="180"/>
      <c r="G188" s="180" t="s">
        <v>838</v>
      </c>
      <c r="H188" s="180"/>
      <c r="I188" s="180">
        <v>207937.33549358565</v>
      </c>
      <c r="J188" s="180">
        <v>5303.763809135241</v>
      </c>
      <c r="K188" s="180">
        <v>5199.5899778413486</v>
      </c>
      <c r="L188" s="180">
        <v>5415.1114617916683</v>
      </c>
      <c r="M188" s="180">
        <v>5838.2534158899789</v>
      </c>
      <c r="N188" s="180">
        <v>6158.2859906683861</v>
      </c>
      <c r="O188" s="180">
        <v>6328.3985995924286</v>
      </c>
      <c r="P188" s="180">
        <v>6710.672339396976</v>
      </c>
      <c r="Q188" s="180">
        <v>6755.5333291820452</v>
      </c>
      <c r="R188" s="180">
        <v>6553.8555468911518</v>
      </c>
      <c r="S188" s="180">
        <v>6374.1036236789469</v>
      </c>
      <c r="T188" s="180">
        <v>6266.5758165577436</v>
      </c>
      <c r="U188" s="180">
        <v>6130.4115344463789</v>
      </c>
      <c r="V188" s="180">
        <v>5907.4906390825663</v>
      </c>
      <c r="W188" s="180">
        <v>5694.5145220754948</v>
      </c>
      <c r="X188" s="180">
        <v>5506.1500199257807</v>
      </c>
      <c r="Y188" s="180">
        <v>5448.0145310066009</v>
      </c>
      <c r="Z188" s="180">
        <v>5513.8415589344086</v>
      </c>
      <c r="AA188" s="180">
        <v>5468.4798282977354</v>
      </c>
      <c r="AB188" s="180">
        <v>5390.2914288761503</v>
      </c>
      <c r="AC188" s="180">
        <v>5359.7655627967988</v>
      </c>
      <c r="AD188" s="180">
        <v>5368.4940684508911</v>
      </c>
      <c r="AE188" s="180">
        <v>5404.1845749448066</v>
      </c>
      <c r="AF188" s="180">
        <v>5427.3480876087515</v>
      </c>
      <c r="AG188" s="180">
        <v>5499.5692713628705</v>
      </c>
      <c r="AH188" s="180">
        <v>5589.6847855764672</v>
      </c>
      <c r="AI188" s="180">
        <v>5595.1405043017849</v>
      </c>
      <c r="AJ188" s="180">
        <v>5656.1798588365536</v>
      </c>
      <c r="AK188" s="180">
        <v>5683.270157005205</v>
      </c>
      <c r="AL188" s="180">
        <v>5710.260826927537</v>
      </c>
      <c r="AM188" s="180">
        <v>5736.9056240598702</v>
      </c>
      <c r="AN188" s="180">
        <v>5762.609587482978</v>
      </c>
      <c r="AO188" s="180">
        <v>5793.7935850618169</v>
      </c>
      <c r="AP188" s="180">
        <v>5814.9547188509669</v>
      </c>
      <c r="AQ188" s="180">
        <v>5836.104882406923</v>
      </c>
      <c r="AR188" s="180">
        <v>5857.2769301968829</v>
      </c>
      <c r="AS188" s="180">
        <v>5878.4544944435047</v>
      </c>
    </row>
    <row r="189" spans="2:45">
      <c r="B189" s="530"/>
      <c r="C189" s="180"/>
      <c r="D189" s="180" t="s">
        <v>854</v>
      </c>
      <c r="E189" s="180"/>
      <c r="F189" s="180"/>
      <c r="G189" s="180" t="s">
        <v>838</v>
      </c>
      <c r="H189" s="180"/>
      <c r="I189" s="180">
        <v>18023.252944531239</v>
      </c>
      <c r="J189" s="180">
        <v>6.8185293620257728</v>
      </c>
      <c r="K189" s="180">
        <v>8.7580464358767216</v>
      </c>
      <c r="L189" s="180">
        <v>11.464525992799214</v>
      </c>
      <c r="M189" s="180">
        <v>15.216199601968645</v>
      </c>
      <c r="N189" s="180">
        <v>20.171118738609941</v>
      </c>
      <c r="O189" s="180">
        <v>22.837884061273424</v>
      </c>
      <c r="P189" s="180">
        <v>38.150341777167121</v>
      </c>
      <c r="Q189" s="180">
        <v>73.104308301428858</v>
      </c>
      <c r="R189" s="180">
        <v>113.77103913871494</v>
      </c>
      <c r="S189" s="180">
        <v>151.86711656119866</v>
      </c>
      <c r="T189" s="180">
        <v>200.77212601808858</v>
      </c>
      <c r="U189" s="180">
        <v>258.17593806230707</v>
      </c>
      <c r="V189" s="180">
        <v>315.34021218357384</v>
      </c>
      <c r="W189" s="180">
        <v>375.23319880678861</v>
      </c>
      <c r="X189" s="180">
        <v>431.32949992771455</v>
      </c>
      <c r="Y189" s="180">
        <v>500.84773770667942</v>
      </c>
      <c r="Z189" s="180">
        <v>561.36385212362916</v>
      </c>
      <c r="AA189" s="180">
        <v>605.10178905430257</v>
      </c>
      <c r="AB189" s="180">
        <v>640.1674599966201</v>
      </c>
      <c r="AC189" s="180">
        <v>675.0391511664609</v>
      </c>
      <c r="AD189" s="180">
        <v>702.12575675078733</v>
      </c>
      <c r="AE189" s="180">
        <v>731.72876001235522</v>
      </c>
      <c r="AF189" s="180">
        <v>760.16990972082999</v>
      </c>
      <c r="AG189" s="180">
        <v>776.37684975467926</v>
      </c>
      <c r="AH189" s="180">
        <v>807.34069285819976</v>
      </c>
      <c r="AI189" s="180">
        <v>812.08956034502023</v>
      </c>
      <c r="AJ189" s="180">
        <v>822.55252573279358</v>
      </c>
      <c r="AK189" s="180">
        <v>831.4979165859653</v>
      </c>
      <c r="AL189" s="180">
        <v>838.61265423052771</v>
      </c>
      <c r="AM189" s="180">
        <v>844.9107242308512</v>
      </c>
      <c r="AN189" s="180">
        <v>850.04314847541286</v>
      </c>
      <c r="AO189" s="180">
        <v>845.5798862890623</v>
      </c>
      <c r="AP189" s="180">
        <v>844.71099113293769</v>
      </c>
      <c r="AQ189" s="180">
        <v>844.24676366716062</v>
      </c>
      <c r="AR189" s="180">
        <v>843.21596803596219</v>
      </c>
      <c r="AS189" s="180">
        <v>842.52076169146289</v>
      </c>
    </row>
    <row r="190" spans="2:45">
      <c r="B190" s="530"/>
      <c r="C190" s="180"/>
      <c r="D190" s="180" t="s">
        <v>212</v>
      </c>
      <c r="E190" s="180"/>
      <c r="F190" s="180"/>
      <c r="G190" s="180" t="s">
        <v>838</v>
      </c>
      <c r="H190" s="180"/>
      <c r="I190" s="180">
        <v>15470.037633178912</v>
      </c>
      <c r="J190" s="180">
        <v>1072.8802340110697</v>
      </c>
      <c r="K190" s="180">
        <v>990.8316516333183</v>
      </c>
      <c r="L190" s="180">
        <v>1009.8413452664861</v>
      </c>
      <c r="M190" s="180">
        <v>1029.2425445824642</v>
      </c>
      <c r="N190" s="180">
        <v>965.48956369524717</v>
      </c>
      <c r="O190" s="180">
        <v>908.69821217678407</v>
      </c>
      <c r="P190" s="180">
        <v>895.75300532480412</v>
      </c>
      <c r="Q190" s="180">
        <v>868.66013578404386</v>
      </c>
      <c r="R190" s="180">
        <v>845.61787091959559</v>
      </c>
      <c r="S190" s="180">
        <v>801.16058564721823</v>
      </c>
      <c r="T190" s="180">
        <v>745.55280364783846</v>
      </c>
      <c r="U190" s="180">
        <v>697.56691425742758</v>
      </c>
      <c r="V190" s="180">
        <v>640.57794246417586</v>
      </c>
      <c r="W190" s="180">
        <v>583.13437840949928</v>
      </c>
      <c r="X190" s="180">
        <v>524.33000215509094</v>
      </c>
      <c r="Y190" s="180">
        <v>463.5222483230757</v>
      </c>
      <c r="Z190" s="180">
        <v>410.05260553622554</v>
      </c>
      <c r="AA190" s="180">
        <v>359.07877900688288</v>
      </c>
      <c r="AB190" s="180">
        <v>309.92167651365878</v>
      </c>
      <c r="AC190" s="180">
        <v>265.36133518192014</v>
      </c>
      <c r="AD190" s="180">
        <v>221.61068150328714</v>
      </c>
      <c r="AE190" s="180">
        <v>181.98521907078134</v>
      </c>
      <c r="AF190" s="180">
        <v>147.49982727974958</v>
      </c>
      <c r="AG190" s="180">
        <v>118.9630031328464</v>
      </c>
      <c r="AH190" s="180">
        <v>94.640046690567814</v>
      </c>
      <c r="AI190" s="180">
        <v>74.743717787970851</v>
      </c>
      <c r="AJ190" s="180">
        <v>60.014787967193847</v>
      </c>
      <c r="AK190" s="180">
        <v>47.666161334584906</v>
      </c>
      <c r="AL190" s="180">
        <v>37.473702587064189</v>
      </c>
      <c r="AM190" s="180">
        <v>29.217451503758447</v>
      </c>
      <c r="AN190" s="180">
        <v>22.352162632776547</v>
      </c>
      <c r="AO190" s="180">
        <v>16.775226325552183</v>
      </c>
      <c r="AP190" s="180">
        <v>12.275238690511355</v>
      </c>
      <c r="AQ190" s="180">
        <v>8.586619557454533</v>
      </c>
      <c r="AR190" s="180">
        <v>5.6587563110669379</v>
      </c>
      <c r="AS190" s="180">
        <v>3.3011962669242432</v>
      </c>
    </row>
    <row r="191" spans="2:45">
      <c r="B191" s="530"/>
      <c r="C191" s="180"/>
      <c r="D191" s="180" t="s">
        <v>213</v>
      </c>
      <c r="E191" s="180"/>
      <c r="F191" s="180"/>
      <c r="G191" s="180" t="s">
        <v>838</v>
      </c>
      <c r="H191" s="180"/>
      <c r="I191" s="180">
        <v>31398.959563660796</v>
      </c>
      <c r="J191" s="180">
        <v>1849.4903761583585</v>
      </c>
      <c r="K191" s="180">
        <v>1806.6979173923571</v>
      </c>
      <c r="L191" s="180">
        <v>1926.1029759753606</v>
      </c>
      <c r="M191" s="180">
        <v>2009.0530209205431</v>
      </c>
      <c r="N191" s="180">
        <v>1834.7128544925276</v>
      </c>
      <c r="O191" s="180">
        <v>1688.2015840728695</v>
      </c>
      <c r="P191" s="180">
        <v>1687.3178155336236</v>
      </c>
      <c r="Q191" s="180">
        <v>1644.7986941063862</v>
      </c>
      <c r="R191" s="180">
        <v>1592.0813389223581</v>
      </c>
      <c r="S191" s="180">
        <v>1535.974547406968</v>
      </c>
      <c r="T191" s="180">
        <v>1472.6252028915085</v>
      </c>
      <c r="U191" s="180">
        <v>1403.2050297434823</v>
      </c>
      <c r="V191" s="180">
        <v>1311.0646387489862</v>
      </c>
      <c r="W191" s="180">
        <v>1218.8700418404635</v>
      </c>
      <c r="X191" s="180">
        <v>1125.6113381635657</v>
      </c>
      <c r="Y191" s="180">
        <v>1026.6521388937574</v>
      </c>
      <c r="Z191" s="180">
        <v>931.38285142896393</v>
      </c>
      <c r="AA191" s="180">
        <v>836.54992625368072</v>
      </c>
      <c r="AB191" s="180">
        <v>746.48872857039601</v>
      </c>
      <c r="AC191" s="180">
        <v>664.61836888417599</v>
      </c>
      <c r="AD191" s="180">
        <v>587.83562609365117</v>
      </c>
      <c r="AE191" s="180">
        <v>505.90053472751026</v>
      </c>
      <c r="AF191" s="180">
        <v>428.73581035228716</v>
      </c>
      <c r="AG191" s="180">
        <v>356.10954035333054</v>
      </c>
      <c r="AH191" s="180">
        <v>287.50961555153179</v>
      </c>
      <c r="AI191" s="180">
        <v>222.63124697714545</v>
      </c>
      <c r="AJ191" s="180">
        <v>184.07560414110097</v>
      </c>
      <c r="AK191" s="180">
        <v>148.17701589038461</v>
      </c>
      <c r="AL191" s="180">
        <v>114.59673711564531</v>
      </c>
      <c r="AM191" s="180">
        <v>82.855759323758534</v>
      </c>
      <c r="AN191" s="180">
        <v>52.57027714911294</v>
      </c>
      <c r="AO191" s="180">
        <v>42.058124156992356</v>
      </c>
      <c r="AP191" s="180">
        <v>32.273051484540446</v>
      </c>
      <c r="AQ191" s="180">
        <v>22.975529947016305</v>
      </c>
      <c r="AR191" s="180">
        <v>13.974641333440379</v>
      </c>
      <c r="AS191" s="180">
        <v>5.1810586630247943</v>
      </c>
    </row>
    <row r="192" spans="2:45">
      <c r="B192" s="530"/>
      <c r="C192" s="180"/>
      <c r="D192" s="180" t="s">
        <v>855</v>
      </c>
      <c r="E192" s="180"/>
      <c r="F192" s="180"/>
      <c r="G192" s="180" t="s">
        <v>838</v>
      </c>
      <c r="H192" s="180"/>
      <c r="I192" s="180">
        <v>28322.117712594023</v>
      </c>
      <c r="J192" s="180">
        <v>0</v>
      </c>
      <c r="K192" s="180">
        <v>0</v>
      </c>
      <c r="L192" s="180">
        <v>0</v>
      </c>
      <c r="M192" s="180">
        <v>0</v>
      </c>
      <c r="N192" s="180">
        <v>0</v>
      </c>
      <c r="O192" s="180">
        <v>0</v>
      </c>
      <c r="P192" s="180">
        <v>0</v>
      </c>
      <c r="Q192" s="180">
        <v>0</v>
      </c>
      <c r="R192" s="180">
        <v>0</v>
      </c>
      <c r="S192" s="180">
        <v>0</v>
      </c>
      <c r="T192" s="180">
        <v>0</v>
      </c>
      <c r="U192" s="180">
        <v>5.7214220105808371</v>
      </c>
      <c r="V192" s="180">
        <v>40.644003550179185</v>
      </c>
      <c r="W192" s="180">
        <v>67.41687624889002</v>
      </c>
      <c r="X192" s="180">
        <v>91.303163025602203</v>
      </c>
      <c r="Y192" s="180">
        <v>116.00973853148291</v>
      </c>
      <c r="Z192" s="180">
        <v>159.23646469434738</v>
      </c>
      <c r="AA192" s="180">
        <v>202.72086841786052</v>
      </c>
      <c r="AB192" s="180">
        <v>256.40124202126833</v>
      </c>
      <c r="AC192" s="180">
        <v>482.06465773152496</v>
      </c>
      <c r="AD192" s="180">
        <v>673.7397631674479</v>
      </c>
      <c r="AE192" s="180">
        <v>846.79688066714232</v>
      </c>
      <c r="AF192" s="180">
        <v>989.14908056986485</v>
      </c>
      <c r="AG192" s="180">
        <v>1120.6073361635649</v>
      </c>
      <c r="AH192" s="180">
        <v>1097.0284619214817</v>
      </c>
      <c r="AI192" s="180">
        <v>1269.5769507513116</v>
      </c>
      <c r="AJ192" s="180">
        <v>1441.9992063503287</v>
      </c>
      <c r="AK192" s="180">
        <v>1654.1182143672945</v>
      </c>
      <c r="AL192" s="180">
        <v>1864.4270164278223</v>
      </c>
      <c r="AM192" s="180">
        <v>2072.4326127244817</v>
      </c>
      <c r="AN192" s="180">
        <v>2279.1632870747671</v>
      </c>
      <c r="AO192" s="180">
        <v>2277.0294092065601</v>
      </c>
      <c r="AP192" s="180">
        <v>2297.3701616553335</v>
      </c>
      <c r="AQ192" s="180">
        <v>2318.1158572654158</v>
      </c>
      <c r="AR192" s="180">
        <v>2338.9640128924216</v>
      </c>
      <c r="AS192" s="180">
        <v>2360.0810251570474</v>
      </c>
    </row>
    <row r="193" spans="2:45">
      <c r="B193" s="530"/>
      <c r="C193" s="180"/>
      <c r="D193" s="180" t="s">
        <v>759</v>
      </c>
      <c r="E193" s="180"/>
      <c r="F193" s="180"/>
      <c r="G193" s="180" t="s">
        <v>838</v>
      </c>
      <c r="H193" s="180"/>
      <c r="I193" s="180">
        <v>5023.1939635963045</v>
      </c>
      <c r="J193" s="180">
        <v>0</v>
      </c>
      <c r="K193" s="180">
        <v>0</v>
      </c>
      <c r="L193" s="180">
        <v>0</v>
      </c>
      <c r="M193" s="180">
        <v>0</v>
      </c>
      <c r="N193" s="180">
        <v>0</v>
      </c>
      <c r="O193" s="180">
        <v>0</v>
      </c>
      <c r="P193" s="180">
        <v>0.29025851982805018</v>
      </c>
      <c r="Q193" s="180">
        <v>0.33165420271144552</v>
      </c>
      <c r="R193" s="180">
        <v>0.74255023887787641</v>
      </c>
      <c r="S193" s="180">
        <v>1.1695461290344817</v>
      </c>
      <c r="T193" s="180">
        <v>1.7598184382874935</v>
      </c>
      <c r="U193" s="180">
        <v>4.7608817368105578</v>
      </c>
      <c r="V193" s="180">
        <v>12.665468895039492</v>
      </c>
      <c r="W193" s="180">
        <v>17.583913239132553</v>
      </c>
      <c r="X193" s="180">
        <v>22.668807749264825</v>
      </c>
      <c r="Y193" s="180">
        <v>27.969017814603621</v>
      </c>
      <c r="Z193" s="180">
        <v>40.878858045869677</v>
      </c>
      <c r="AA193" s="180">
        <v>52.894608161068689</v>
      </c>
      <c r="AB193" s="180">
        <v>68.311251765649942</v>
      </c>
      <c r="AC193" s="180">
        <v>85.731196602540621</v>
      </c>
      <c r="AD193" s="180">
        <v>105.32351847874267</v>
      </c>
      <c r="AE193" s="180">
        <v>127.47673713751769</v>
      </c>
      <c r="AF193" s="180">
        <v>150.3910493401321</v>
      </c>
      <c r="AG193" s="180">
        <v>179.45613865012405</v>
      </c>
      <c r="AH193" s="180">
        <v>207.12807881843244</v>
      </c>
      <c r="AI193" s="180">
        <v>237.5051538865396</v>
      </c>
      <c r="AJ193" s="180">
        <v>266.37440722197323</v>
      </c>
      <c r="AK193" s="180">
        <v>293.89077761737195</v>
      </c>
      <c r="AL193" s="180">
        <v>321.68134347583816</v>
      </c>
      <c r="AM193" s="180">
        <v>348.99241901417321</v>
      </c>
      <c r="AN193" s="180">
        <v>376.35414168486597</v>
      </c>
      <c r="AO193" s="180">
        <v>392.8190256265159</v>
      </c>
      <c r="AP193" s="180">
        <v>403.8782741679284</v>
      </c>
      <c r="AQ193" s="180">
        <v>414.26409487025933</v>
      </c>
      <c r="AR193" s="180">
        <v>424.87385613386726</v>
      </c>
      <c r="AS193" s="180">
        <v>435.02711593330343</v>
      </c>
    </row>
    <row r="194" spans="2:45">
      <c r="B194" s="530"/>
      <c r="C194" s="180"/>
      <c r="D194" s="180" t="s">
        <v>856</v>
      </c>
      <c r="E194" s="180"/>
      <c r="F194" s="180"/>
      <c r="G194" s="180" t="s">
        <v>838</v>
      </c>
      <c r="H194" s="180"/>
      <c r="I194" s="180">
        <v>5274.1730453583723</v>
      </c>
      <c r="J194" s="180">
        <v>0</v>
      </c>
      <c r="K194" s="180">
        <v>16.499854145376588</v>
      </c>
      <c r="L194" s="180">
        <v>20.390587543040063</v>
      </c>
      <c r="M194" s="180">
        <v>26.661976677946825</v>
      </c>
      <c r="N194" s="180">
        <v>33.922739832373509</v>
      </c>
      <c r="O194" s="180">
        <v>37.917282802356617</v>
      </c>
      <c r="P194" s="180">
        <v>49.15361361182083</v>
      </c>
      <c r="Q194" s="180">
        <v>56.405760185672804</v>
      </c>
      <c r="R194" s="180">
        <v>67.432695485686551</v>
      </c>
      <c r="S194" s="180">
        <v>78.431308282850921</v>
      </c>
      <c r="T194" s="180">
        <v>89.282778857048797</v>
      </c>
      <c r="U194" s="180">
        <v>104.61431484452183</v>
      </c>
      <c r="V194" s="180">
        <v>114.54139589214311</v>
      </c>
      <c r="W194" s="180">
        <v>121.87975421852182</v>
      </c>
      <c r="X194" s="180">
        <v>131.91618094096182</v>
      </c>
      <c r="Y194" s="180">
        <v>141.78642517255506</v>
      </c>
      <c r="Z194" s="180">
        <v>171.96060912684007</v>
      </c>
      <c r="AA194" s="180">
        <v>197.42502371682207</v>
      </c>
      <c r="AB194" s="180">
        <v>227.59395010643777</v>
      </c>
      <c r="AC194" s="180">
        <v>255.68416822169812</v>
      </c>
      <c r="AD194" s="180">
        <v>285.26499451602342</v>
      </c>
      <c r="AE194" s="180">
        <v>310.24149013053176</v>
      </c>
      <c r="AF194" s="180">
        <v>329.78593243307904</v>
      </c>
      <c r="AG194" s="180">
        <v>348.16670477350948</v>
      </c>
      <c r="AH194" s="180">
        <v>368.13316522440959</v>
      </c>
      <c r="AI194" s="180">
        <v>386.14315874801986</v>
      </c>
      <c r="AJ194" s="180">
        <v>404.4281890021789</v>
      </c>
      <c r="AK194" s="180">
        <v>415.4941884174126</v>
      </c>
      <c r="AL194" s="180">
        <v>322.89706145887146</v>
      </c>
      <c r="AM194" s="180">
        <v>160.11774098966112</v>
      </c>
      <c r="AN194" s="180">
        <v>0</v>
      </c>
      <c r="AO194" s="180">
        <v>0</v>
      </c>
      <c r="AP194" s="180">
        <v>0</v>
      </c>
      <c r="AQ194" s="180">
        <v>0</v>
      </c>
      <c r="AR194" s="180">
        <v>0</v>
      </c>
      <c r="AS194" s="180">
        <v>0</v>
      </c>
    </row>
    <row r="195" spans="2:45">
      <c r="B195" s="530"/>
      <c r="C195" s="180"/>
      <c r="D195" s="180"/>
      <c r="E195" s="180"/>
      <c r="F195" s="180"/>
      <c r="G195" s="180"/>
      <c r="H195" s="180"/>
      <c r="I195" s="180"/>
      <c r="J195" s="180"/>
      <c r="K195" s="180"/>
      <c r="L195" s="180"/>
      <c r="M195" s="180"/>
      <c r="N195" s="180"/>
      <c r="O195" s="180"/>
      <c r="P195" s="180"/>
      <c r="Q195" s="180"/>
      <c r="R195" s="180"/>
      <c r="S195" s="180"/>
      <c r="T195" s="180"/>
      <c r="U195" s="180"/>
      <c r="V195" s="180"/>
      <c r="W195" s="180"/>
      <c r="X195" s="180"/>
      <c r="Y195" s="180"/>
      <c r="Z195" s="180"/>
      <c r="AA195" s="180"/>
      <c r="AB195" s="180"/>
      <c r="AC195" s="180"/>
      <c r="AD195" s="180"/>
      <c r="AE195" s="180"/>
      <c r="AF195" s="180"/>
      <c r="AG195" s="180"/>
      <c r="AH195" s="180"/>
      <c r="AI195" s="180"/>
      <c r="AJ195" s="180"/>
      <c r="AK195" s="180"/>
      <c r="AL195" s="180"/>
      <c r="AM195" s="180"/>
      <c r="AN195" s="180"/>
      <c r="AO195" s="180"/>
      <c r="AP195" s="180"/>
      <c r="AQ195" s="180"/>
      <c r="AR195" s="180"/>
      <c r="AS195" s="180"/>
    </row>
    <row r="196" spans="2:45">
      <c r="B196" s="530"/>
      <c r="C196" s="180" t="s">
        <v>857</v>
      </c>
      <c r="D196" s="180" t="s">
        <v>142</v>
      </c>
      <c r="E196" s="180"/>
      <c r="F196" s="180"/>
      <c r="G196" s="180" t="s">
        <v>838</v>
      </c>
      <c r="H196" s="180"/>
      <c r="I196" s="180">
        <v>114627.16917466836</v>
      </c>
      <c r="J196" s="180">
        <v>862.14229014716727</v>
      </c>
      <c r="K196" s="180">
        <v>867.61898442229779</v>
      </c>
      <c r="L196" s="180">
        <v>866.71602539150911</v>
      </c>
      <c r="M196" s="180">
        <v>865.79368789405316</v>
      </c>
      <c r="N196" s="180">
        <v>940.99816075810531</v>
      </c>
      <c r="O196" s="180">
        <v>1589.2030834783247</v>
      </c>
      <c r="P196" s="180">
        <v>2499.4480198947194</v>
      </c>
      <c r="Q196" s="180">
        <v>5415.0686065177661</v>
      </c>
      <c r="R196" s="180">
        <v>8645.3447364972817</v>
      </c>
      <c r="S196" s="180">
        <v>10075.338487347635</v>
      </c>
      <c r="T196" s="180">
        <v>9396.4413255496765</v>
      </c>
      <c r="U196" s="180">
        <v>8672.5333361758421</v>
      </c>
      <c r="V196" s="180">
        <v>7678.4131404047303</v>
      </c>
      <c r="W196" s="180">
        <v>6027.015566113686</v>
      </c>
      <c r="X196" s="180">
        <v>4439.1925724878747</v>
      </c>
      <c r="Y196" s="180">
        <v>3526.0518611760749</v>
      </c>
      <c r="Z196" s="180">
        <v>2806.0782060686574</v>
      </c>
      <c r="AA196" s="180">
        <v>2643.965776393306</v>
      </c>
      <c r="AB196" s="180">
        <v>2492.7158396206592</v>
      </c>
      <c r="AC196" s="180">
        <v>2780.9680696602459</v>
      </c>
      <c r="AD196" s="180">
        <v>2419.8284682046433</v>
      </c>
      <c r="AE196" s="180">
        <v>2381.1708253169686</v>
      </c>
      <c r="AF196" s="180">
        <v>2279.2337115054856</v>
      </c>
      <c r="AG196" s="180">
        <v>2241.3926902331064</v>
      </c>
      <c r="AH196" s="180">
        <v>2121.554949521018</v>
      </c>
      <c r="AI196" s="180">
        <v>2418.0726499554635</v>
      </c>
      <c r="AJ196" s="180">
        <v>2378.556254911713</v>
      </c>
      <c r="AK196" s="180">
        <v>1601.9152571317782</v>
      </c>
      <c r="AL196" s="180">
        <v>1729.0913526252461</v>
      </c>
      <c r="AM196" s="180">
        <v>1679.1922585071884</v>
      </c>
      <c r="AN196" s="180">
        <v>1889.4194202657213</v>
      </c>
      <c r="AO196" s="180">
        <v>1561.3942938303078</v>
      </c>
      <c r="AP196" s="180">
        <v>1559.5725788598218</v>
      </c>
      <c r="AQ196" s="180">
        <v>1547.3488628507941</v>
      </c>
      <c r="AR196" s="180">
        <v>1926.3045417267747</v>
      </c>
      <c r="AS196" s="180">
        <v>1802.0732832227388</v>
      </c>
    </row>
    <row r="197" spans="2:45">
      <c r="B197" s="530"/>
      <c r="C197" s="180"/>
      <c r="D197" s="180" t="s">
        <v>839</v>
      </c>
      <c r="E197" s="180"/>
      <c r="F197" s="180"/>
      <c r="G197" s="180" t="s">
        <v>840</v>
      </c>
      <c r="H197" s="180"/>
      <c r="I197" s="180"/>
      <c r="J197" s="180">
        <v>862.14229014716727</v>
      </c>
      <c r="K197" s="180">
        <v>1729.7612745694651</v>
      </c>
      <c r="L197" s="180">
        <v>2596.4772999609741</v>
      </c>
      <c r="M197" s="180">
        <v>3462.2709878550272</v>
      </c>
      <c r="N197" s="180">
        <v>4403.2691486131325</v>
      </c>
      <c r="O197" s="180">
        <v>5992.472232091457</v>
      </c>
      <c r="P197" s="180">
        <v>8491.9202519861756</v>
      </c>
      <c r="Q197" s="180">
        <v>13906.988858503941</v>
      </c>
      <c r="R197" s="180">
        <v>22552.333595001222</v>
      </c>
      <c r="S197" s="180">
        <v>32627.672082348858</v>
      </c>
      <c r="T197" s="180">
        <v>42024.113407898534</v>
      </c>
      <c r="U197" s="180">
        <v>50696.646744074373</v>
      </c>
      <c r="V197" s="180">
        <v>58375.059884479102</v>
      </c>
      <c r="W197" s="180">
        <v>64402.075450592791</v>
      </c>
      <c r="X197" s="180">
        <v>68841.268023080658</v>
      </c>
      <c r="Y197" s="180">
        <v>72367.319884256736</v>
      </c>
      <c r="Z197" s="180">
        <v>75173.398090325398</v>
      </c>
      <c r="AA197" s="180">
        <v>77817.363866718704</v>
      </c>
      <c r="AB197" s="180">
        <v>80310.079706339369</v>
      </c>
      <c r="AC197" s="180">
        <v>83091.047775999614</v>
      </c>
      <c r="AD197" s="180">
        <v>85510.876244204264</v>
      </c>
      <c r="AE197" s="180">
        <v>87892.047069521228</v>
      </c>
      <c r="AF197" s="180">
        <v>90171.280781026711</v>
      </c>
      <c r="AG197" s="180">
        <v>92412.673471259812</v>
      </c>
      <c r="AH197" s="180">
        <v>94534.228420780826</v>
      </c>
      <c r="AI197" s="180">
        <v>96952.301070736285</v>
      </c>
      <c r="AJ197" s="180">
        <v>99330.857325648001</v>
      </c>
      <c r="AK197" s="180">
        <v>100932.77258277978</v>
      </c>
      <c r="AL197" s="180">
        <v>102661.86393540502</v>
      </c>
      <c r="AM197" s="180">
        <v>104341.05619391221</v>
      </c>
      <c r="AN197" s="180">
        <v>106230.47561417794</v>
      </c>
      <c r="AO197" s="180">
        <v>107791.86990800824</v>
      </c>
      <c r="AP197" s="180">
        <v>109351.44248686807</v>
      </c>
      <c r="AQ197" s="180">
        <v>110898.79134971886</v>
      </c>
      <c r="AR197" s="180">
        <v>112825.09589144563</v>
      </c>
      <c r="AS197" s="180">
        <v>114627.16917466836</v>
      </c>
    </row>
    <row r="198" spans="2:45">
      <c r="B198" s="530"/>
      <c r="C198" s="180"/>
      <c r="D198" s="180" t="s">
        <v>344</v>
      </c>
      <c r="E198" s="180"/>
      <c r="F198" s="180"/>
      <c r="G198" s="180" t="s">
        <v>838</v>
      </c>
      <c r="H198" s="180"/>
      <c r="I198" s="180">
        <v>53633.52343400001</v>
      </c>
      <c r="J198" s="180">
        <v>0</v>
      </c>
      <c r="K198" s="180">
        <v>5.6777300000000004</v>
      </c>
      <c r="L198" s="180">
        <v>5.5893160000000002</v>
      </c>
      <c r="M198" s="180">
        <v>5.500902</v>
      </c>
      <c r="N198" s="180">
        <v>81.528713794928947</v>
      </c>
      <c r="O198" s="180">
        <v>486.98221216072562</v>
      </c>
      <c r="P198" s="180">
        <v>1271.3667002175175</v>
      </c>
      <c r="Q198" s="180">
        <v>4173.8215880441121</v>
      </c>
      <c r="R198" s="180">
        <v>7371.1362548731768</v>
      </c>
      <c r="S198" s="180">
        <v>8672.5099394526696</v>
      </c>
      <c r="T198" s="180">
        <v>8004.3627833189712</v>
      </c>
      <c r="U198" s="180">
        <v>7089.7000194545217</v>
      </c>
      <c r="V198" s="180">
        <v>6075.7383286022068</v>
      </c>
      <c r="W198" s="180">
        <v>4183.1333771750096</v>
      </c>
      <c r="X198" s="180">
        <v>2657.7164653158538</v>
      </c>
      <c r="Y198" s="180">
        <v>1348.7376691668742</v>
      </c>
      <c r="Z198" s="180">
        <v>680.31125012902862</v>
      </c>
      <c r="AA198" s="180">
        <v>583.39473556673988</v>
      </c>
      <c r="AB198" s="180">
        <v>486.478321004375</v>
      </c>
      <c r="AC198" s="180">
        <v>389.5618064420355</v>
      </c>
      <c r="AD198" s="180">
        <v>6.4072944250052455</v>
      </c>
      <c r="AE198" s="180">
        <v>5.3399230275579468</v>
      </c>
      <c r="AF198" s="180">
        <v>5.3213031859672686</v>
      </c>
      <c r="AG198" s="180">
        <v>3.4353190988842521</v>
      </c>
      <c r="AH198" s="180">
        <v>3.4166992573063166</v>
      </c>
      <c r="AI198" s="180">
        <v>3.3980794157411247</v>
      </c>
      <c r="AJ198" s="180">
        <v>3.3794595741504461</v>
      </c>
      <c r="AK198" s="180">
        <v>3.3608397325852537</v>
      </c>
      <c r="AL198" s="180">
        <v>3.3422198910200613</v>
      </c>
      <c r="AM198" s="180">
        <v>3.3236000494293831</v>
      </c>
      <c r="AN198" s="180">
        <v>3.3049802078769339</v>
      </c>
      <c r="AO198" s="180">
        <v>3.2863603662989984</v>
      </c>
      <c r="AP198" s="180">
        <v>3.2677405247083198</v>
      </c>
      <c r="AQ198" s="180">
        <v>3.2491206831558705</v>
      </c>
      <c r="AR198" s="180">
        <v>3.2305008415651919</v>
      </c>
      <c r="AS198" s="180">
        <v>3.211881</v>
      </c>
    </row>
    <row r="199" spans="2:45">
      <c r="B199" s="530"/>
      <c r="C199" s="180"/>
      <c r="D199" s="180" t="s">
        <v>841</v>
      </c>
      <c r="E199" s="180"/>
      <c r="F199" s="180"/>
      <c r="G199" s="180" t="s">
        <v>838</v>
      </c>
      <c r="H199" s="180"/>
      <c r="I199" s="180">
        <v>3581.3212692269481</v>
      </c>
      <c r="J199" s="180">
        <v>12.228298662578032</v>
      </c>
      <c r="K199" s="180">
        <v>12.228298662578032</v>
      </c>
      <c r="L199" s="180">
        <v>14.386644323996038</v>
      </c>
      <c r="M199" s="180">
        <v>16.544989985414109</v>
      </c>
      <c r="N199" s="180">
        <v>18.703335646832077</v>
      </c>
      <c r="O199" s="180">
        <v>56.97300579277492</v>
      </c>
      <c r="P199" s="180">
        <v>54.341877912264685</v>
      </c>
      <c r="Q199" s="180">
        <v>73.311647465781377</v>
      </c>
      <c r="R199" s="180">
        <v>78.362578719320268</v>
      </c>
      <c r="S199" s="180">
        <v>83.413509972858947</v>
      </c>
      <c r="T199" s="180">
        <v>88.198679236090115</v>
      </c>
      <c r="U199" s="180">
        <v>91.159418300554492</v>
      </c>
      <c r="V199" s="180">
        <v>94.758422201776142</v>
      </c>
      <c r="W199" s="180">
        <v>98.357426102996627</v>
      </c>
      <c r="X199" s="180">
        <v>101.9564300042184</v>
      </c>
      <c r="Y199" s="180">
        <v>107.71552364884073</v>
      </c>
      <c r="Z199" s="180">
        <v>81.954305304318552</v>
      </c>
      <c r="AA199" s="180">
        <v>84.098698309860069</v>
      </c>
      <c r="AB199" s="180">
        <v>86.243091315400235</v>
      </c>
      <c r="AC199" s="180">
        <v>88.387484320941851</v>
      </c>
      <c r="AD199" s="180">
        <v>126.64320181100678</v>
      </c>
      <c r="AE199" s="180">
        <v>123.99812127461908</v>
      </c>
      <c r="AF199" s="180">
        <v>142.95393817225954</v>
      </c>
      <c r="AG199" s="180">
        <v>147.99091676992009</v>
      </c>
      <c r="AH199" s="180">
        <v>153.02789536758203</v>
      </c>
      <c r="AI199" s="180">
        <v>157.7991119749359</v>
      </c>
      <c r="AJ199" s="180">
        <v>160.74589838352375</v>
      </c>
      <c r="AK199" s="180">
        <v>164.33094962886855</v>
      </c>
      <c r="AL199" s="180">
        <v>167.91600087421133</v>
      </c>
      <c r="AM199" s="180">
        <v>171.50105211955622</v>
      </c>
      <c r="AN199" s="180">
        <v>175.08610336489934</v>
      </c>
      <c r="AO199" s="180">
        <v>109.22878803098891</v>
      </c>
      <c r="AP199" s="180">
        <v>109.21483537511146</v>
      </c>
      <c r="AQ199" s="180">
        <v>109.20088271923353</v>
      </c>
      <c r="AR199" s="180">
        <v>109.18693006335819</v>
      </c>
      <c r="AS199" s="180">
        <v>109.17297740747792</v>
      </c>
    </row>
    <row r="200" spans="2:45">
      <c r="B200" s="530"/>
      <c r="C200" s="180"/>
      <c r="D200" s="180" t="s">
        <v>821</v>
      </c>
      <c r="E200" s="180"/>
      <c r="F200" s="180"/>
      <c r="G200" s="180" t="s">
        <v>838</v>
      </c>
      <c r="H200" s="180"/>
      <c r="I200" s="180">
        <v>33675.845879049361</v>
      </c>
      <c r="J200" s="180">
        <v>0</v>
      </c>
      <c r="K200" s="180">
        <v>0</v>
      </c>
      <c r="L200" s="180">
        <v>0</v>
      </c>
      <c r="M200" s="180">
        <v>0</v>
      </c>
      <c r="N200" s="180">
        <v>0</v>
      </c>
      <c r="O200" s="180">
        <v>285.66062523610623</v>
      </c>
      <c r="P200" s="180">
        <v>439.54848184492079</v>
      </c>
      <c r="Q200" s="180">
        <v>491.99032527909907</v>
      </c>
      <c r="R200" s="180">
        <v>543.65217238099922</v>
      </c>
      <c r="S200" s="180">
        <v>676.99671162973891</v>
      </c>
      <c r="T200" s="180">
        <v>669.65385541958392</v>
      </c>
      <c r="U200" s="180">
        <v>865.18843271447349</v>
      </c>
      <c r="V200" s="180">
        <v>856.01549036177971</v>
      </c>
      <c r="W200" s="180">
        <v>1116.0567984650124</v>
      </c>
      <c r="X200" s="180">
        <v>1069.5822999708962</v>
      </c>
      <c r="Y200" s="180">
        <v>1263.5098705366074</v>
      </c>
      <c r="Z200" s="180">
        <v>1219.1333146037291</v>
      </c>
      <c r="AA200" s="180">
        <v>1175.7386683282227</v>
      </c>
      <c r="AB200" s="180">
        <v>1142.6066329496548</v>
      </c>
      <c r="AC200" s="180">
        <v>1175.2724029009767</v>
      </c>
      <c r="AD200" s="180">
        <v>1384.0750678497027</v>
      </c>
      <c r="AE200" s="180">
        <v>1457.0524903513503</v>
      </c>
      <c r="AF200" s="180">
        <v>1504.3341565095791</v>
      </c>
      <c r="AG200" s="180">
        <v>1552.335551545819</v>
      </c>
      <c r="AH200" s="180">
        <v>1632.1094947268564</v>
      </c>
      <c r="AI200" s="180">
        <v>1649.9513539254847</v>
      </c>
      <c r="AJ200" s="180">
        <v>1710.9947653249048</v>
      </c>
      <c r="AK200" s="180">
        <v>772.94013643644109</v>
      </c>
      <c r="AL200" s="180">
        <v>937.06347852062788</v>
      </c>
      <c r="AM200" s="180">
        <v>923.37075892658027</v>
      </c>
      <c r="AN200" s="180">
        <v>1159.6287849988964</v>
      </c>
      <c r="AO200" s="180">
        <v>1183.0886490875689</v>
      </c>
      <c r="AP200" s="180">
        <v>1203.0691653931935</v>
      </c>
      <c r="AQ200" s="180">
        <v>1206.6634415671192</v>
      </c>
      <c r="AR200" s="180">
        <v>1203.7598184719411</v>
      </c>
      <c r="AS200" s="180">
        <v>1204.8026827914989</v>
      </c>
    </row>
    <row r="201" spans="2:45">
      <c r="B201" s="530"/>
      <c r="C201" s="180"/>
      <c r="D201" s="180" t="s">
        <v>842</v>
      </c>
      <c r="E201" s="180"/>
      <c r="F201" s="180"/>
      <c r="G201" s="180" t="s">
        <v>838</v>
      </c>
      <c r="H201" s="180"/>
      <c r="I201" s="180">
        <v>1500.0824270415085</v>
      </c>
      <c r="J201" s="180">
        <v>0</v>
      </c>
      <c r="K201" s="180">
        <v>0</v>
      </c>
      <c r="L201" s="180">
        <v>0</v>
      </c>
      <c r="M201" s="180">
        <v>0</v>
      </c>
      <c r="N201" s="180">
        <v>0</v>
      </c>
      <c r="O201" s="180">
        <v>31.889314771882709</v>
      </c>
      <c r="P201" s="180">
        <v>43.88943673483157</v>
      </c>
      <c r="Q201" s="180">
        <v>40.972601662264971</v>
      </c>
      <c r="R201" s="180">
        <v>36.913906600993975</v>
      </c>
      <c r="S201" s="180">
        <v>33.890782366603631</v>
      </c>
      <c r="T201" s="180">
        <v>32.732814085153706</v>
      </c>
      <c r="U201" s="180">
        <v>26.095803569654972</v>
      </c>
      <c r="V201" s="180">
        <v>15.768253009401663</v>
      </c>
      <c r="W201" s="180">
        <v>16.540107639968966</v>
      </c>
      <c r="X201" s="180">
        <v>18.183629412613904</v>
      </c>
      <c r="Y201" s="180">
        <v>19.80019255080509</v>
      </c>
      <c r="Z201" s="180">
        <v>28.441384179687319</v>
      </c>
      <c r="AA201" s="180">
        <v>40.50654755552889</v>
      </c>
      <c r="AB201" s="180">
        <v>52.568180182127961</v>
      </c>
      <c r="AC201" s="180">
        <v>65.018555335215552</v>
      </c>
      <c r="AD201" s="180">
        <v>77.81371062392337</v>
      </c>
      <c r="AE201" s="180">
        <v>81.950750180685034</v>
      </c>
      <c r="AF201" s="180">
        <v>45.902163524314233</v>
      </c>
      <c r="AG201" s="180">
        <v>49.626815788681185</v>
      </c>
      <c r="AH201" s="180">
        <v>53.789286379288932</v>
      </c>
      <c r="AI201" s="180">
        <v>75.566877498314568</v>
      </c>
      <c r="AJ201" s="180">
        <v>80.509914597490663</v>
      </c>
      <c r="AK201" s="180">
        <v>76.266185510418936</v>
      </c>
      <c r="AL201" s="180">
        <v>71.829544528412171</v>
      </c>
      <c r="AM201" s="180">
        <v>67.111949286095154</v>
      </c>
      <c r="AN201" s="180">
        <v>73.560061932794341</v>
      </c>
      <c r="AO201" s="180">
        <v>67.10662924302072</v>
      </c>
      <c r="AP201" s="180">
        <v>53.725624611362512</v>
      </c>
      <c r="AQ201" s="180">
        <v>46.354693076583018</v>
      </c>
      <c r="AR201" s="180">
        <v>40.150143207556056</v>
      </c>
      <c r="AS201" s="180">
        <v>35.606567395832734</v>
      </c>
    </row>
    <row r="202" spans="2:45">
      <c r="B202" s="530"/>
      <c r="C202" s="180"/>
      <c r="D202" s="180" t="s">
        <v>843</v>
      </c>
      <c r="E202" s="180"/>
      <c r="F202" s="180"/>
      <c r="G202" s="180" t="s">
        <v>838</v>
      </c>
      <c r="H202" s="180"/>
      <c r="I202" s="180">
        <v>4952.8866022361644</v>
      </c>
      <c r="J202" s="180">
        <v>0</v>
      </c>
      <c r="K202" s="180">
        <v>0</v>
      </c>
      <c r="L202" s="180">
        <v>0</v>
      </c>
      <c r="M202" s="180">
        <v>0</v>
      </c>
      <c r="N202" s="180">
        <v>0</v>
      </c>
      <c r="O202" s="180">
        <v>0</v>
      </c>
      <c r="P202" s="180">
        <v>0</v>
      </c>
      <c r="Q202" s="180">
        <v>0</v>
      </c>
      <c r="R202" s="180">
        <v>0</v>
      </c>
      <c r="S202" s="180">
        <v>0</v>
      </c>
      <c r="T202" s="180">
        <v>0</v>
      </c>
      <c r="U202" s="180">
        <v>0</v>
      </c>
      <c r="V202" s="180">
        <v>51.39903458501891</v>
      </c>
      <c r="W202" s="180">
        <v>47.615306753420732</v>
      </c>
      <c r="X202" s="180">
        <v>44.316457568139185</v>
      </c>
      <c r="Y202" s="180">
        <v>39.492736867980319</v>
      </c>
      <c r="Z202" s="180">
        <v>76.165278281476205</v>
      </c>
      <c r="AA202" s="180">
        <v>67.985924869976117</v>
      </c>
      <c r="AB202" s="180">
        <v>59.778764847645611</v>
      </c>
      <c r="AC202" s="180">
        <v>448.08199459046421</v>
      </c>
      <c r="AD202" s="180">
        <v>327.52345968482314</v>
      </c>
      <c r="AE202" s="180">
        <v>283.03620405097587</v>
      </c>
      <c r="AF202" s="180">
        <v>239.07967824341674</v>
      </c>
      <c r="AG202" s="180">
        <v>195.52392385049734</v>
      </c>
      <c r="AH202" s="180">
        <v>0</v>
      </c>
      <c r="AI202" s="180">
        <v>292.10898852071978</v>
      </c>
      <c r="AJ202" s="180">
        <v>219.81548677110314</v>
      </c>
      <c r="AK202" s="180">
        <v>407.24901837894555</v>
      </c>
      <c r="AL202" s="180">
        <v>396.19483128807263</v>
      </c>
      <c r="AM202" s="180">
        <v>385.68606257822069</v>
      </c>
      <c r="AN202" s="180">
        <v>373.71439918473146</v>
      </c>
      <c r="AO202" s="180">
        <v>79.848852439714761</v>
      </c>
      <c r="AP202" s="180">
        <v>71.678813896955418</v>
      </c>
      <c r="AQ202" s="180">
        <v>63.482257636723162</v>
      </c>
      <c r="AR202" s="180">
        <v>451.79605039888889</v>
      </c>
      <c r="AS202" s="180">
        <v>331.31307694825438</v>
      </c>
    </row>
    <row r="203" spans="2:45">
      <c r="B203" s="530"/>
      <c r="C203" s="180"/>
      <c r="D203" s="180" t="s">
        <v>774</v>
      </c>
      <c r="E203" s="180"/>
      <c r="F203" s="180"/>
      <c r="G203" s="180" t="s">
        <v>838</v>
      </c>
      <c r="H203" s="180"/>
      <c r="I203" s="180">
        <v>14124.410467571397</v>
      </c>
      <c r="J203" s="180">
        <v>775.48542296278595</v>
      </c>
      <c r="K203" s="180">
        <v>776.22952722606124</v>
      </c>
      <c r="L203" s="180">
        <v>774.28547371173215</v>
      </c>
      <c r="M203" s="180">
        <v>772.32367781957657</v>
      </c>
      <c r="N203" s="180">
        <v>770.37156077920758</v>
      </c>
      <c r="O203" s="180">
        <v>661.47987933690979</v>
      </c>
      <c r="P203" s="180">
        <v>625.97053332244013</v>
      </c>
      <c r="Q203" s="180">
        <v>573.17914148282046</v>
      </c>
      <c r="R203" s="180">
        <v>555.00720633498588</v>
      </c>
      <c r="S203" s="180">
        <v>549.41369719251009</v>
      </c>
      <c r="T203" s="180">
        <v>543.52831764701205</v>
      </c>
      <c r="U203" s="180">
        <v>527.89549493068102</v>
      </c>
      <c r="V203" s="180">
        <v>512.63298321857792</v>
      </c>
      <c r="W203" s="180">
        <v>493.76995520755196</v>
      </c>
      <c r="X203" s="180">
        <v>476.34649271674249</v>
      </c>
      <c r="Y203" s="180">
        <v>670.08892391968709</v>
      </c>
      <c r="Z203" s="180">
        <v>643.99282744801826</v>
      </c>
      <c r="AA203" s="180">
        <v>616.58407353217194</v>
      </c>
      <c r="AB203" s="180">
        <v>589.61412383026391</v>
      </c>
      <c r="AC203" s="180">
        <v>539.11109315156114</v>
      </c>
      <c r="AD203" s="180">
        <v>390.68526720548562</v>
      </c>
      <c r="AE203" s="180">
        <v>319.12707978839143</v>
      </c>
      <c r="AF203" s="180">
        <v>233.19551505312654</v>
      </c>
      <c r="AG203" s="180">
        <v>185.21319621148228</v>
      </c>
      <c r="AH203" s="180">
        <v>172.67144876894133</v>
      </c>
      <c r="AI203" s="180">
        <v>133.43811745899959</v>
      </c>
      <c r="AJ203" s="180">
        <v>98.061449273222038</v>
      </c>
      <c r="AK203" s="180">
        <v>72.828732125083945</v>
      </c>
      <c r="AL203" s="180">
        <v>48.077067486317652</v>
      </c>
      <c r="AM203" s="180">
        <v>23.80218842904554</v>
      </c>
      <c r="AN203" s="180">
        <v>0</v>
      </c>
      <c r="AO203" s="180">
        <v>0</v>
      </c>
      <c r="AP203" s="180">
        <v>0</v>
      </c>
      <c r="AQ203" s="180">
        <v>0</v>
      </c>
      <c r="AR203" s="180">
        <v>0</v>
      </c>
      <c r="AS203" s="180">
        <v>0</v>
      </c>
    </row>
    <row r="204" spans="2:45">
      <c r="B204" s="530"/>
      <c r="C204" s="180"/>
      <c r="D204" s="180" t="s">
        <v>218</v>
      </c>
      <c r="E204" s="180"/>
      <c r="F204" s="180"/>
      <c r="G204" s="180" t="s">
        <v>838</v>
      </c>
      <c r="H204" s="180"/>
      <c r="I204" s="180">
        <v>455.45615286349556</v>
      </c>
      <c r="J204" s="180">
        <v>20.754259406012274</v>
      </c>
      <c r="K204" s="180">
        <v>20.840577247237309</v>
      </c>
      <c r="L204" s="180">
        <v>20.843197898729695</v>
      </c>
      <c r="M204" s="180">
        <v>20.844182461381102</v>
      </c>
      <c r="N204" s="180">
        <v>20.846072738825193</v>
      </c>
      <c r="O204" s="180">
        <v>17.701026210983894</v>
      </c>
      <c r="P204" s="180">
        <v>16.845427723172914</v>
      </c>
      <c r="Q204" s="180">
        <v>15.3391982734856</v>
      </c>
      <c r="R204" s="180">
        <v>14.849971106971854</v>
      </c>
      <c r="S204" s="180">
        <v>14.722658081791586</v>
      </c>
      <c r="T204" s="180">
        <v>14.605145020774051</v>
      </c>
      <c r="U204" s="180">
        <v>13.880381541642885</v>
      </c>
      <c r="V204" s="180">
        <v>13.586781018002982</v>
      </c>
      <c r="W204" s="180">
        <v>13.114614650276897</v>
      </c>
      <c r="X204" s="180">
        <v>12.724812568084637</v>
      </c>
      <c r="Y204" s="180">
        <v>18.362454697762423</v>
      </c>
      <c r="Z204" s="180">
        <v>17.688141698159487</v>
      </c>
      <c r="AA204" s="180">
        <v>17.101641044104127</v>
      </c>
      <c r="AB204" s="180">
        <v>16.509695180251644</v>
      </c>
      <c r="AC204" s="180">
        <v>15.920656137221961</v>
      </c>
      <c r="AD204" s="180">
        <v>12.256649479052241</v>
      </c>
      <c r="AE204" s="180">
        <v>10.892183046727576</v>
      </c>
      <c r="AF204" s="180">
        <v>8.8811179727373819</v>
      </c>
      <c r="AG204" s="180">
        <v>7.9093628763162718</v>
      </c>
      <c r="AH204" s="180">
        <v>7.3907556821138805</v>
      </c>
      <c r="AI204" s="180">
        <v>6.8689865749165833</v>
      </c>
      <c r="AJ204" s="180">
        <v>6.3163811535441488</v>
      </c>
      <c r="AK204" s="180">
        <v>6.4147302382379792</v>
      </c>
      <c r="AL204" s="180">
        <v>6.3517797079661067</v>
      </c>
      <c r="AM204" s="180">
        <v>6.288451542219077</v>
      </c>
      <c r="AN204" s="180">
        <v>6.2251297530588499</v>
      </c>
      <c r="AO204" s="180">
        <v>6.4709903857512243</v>
      </c>
      <c r="AP204" s="180">
        <v>6.4926522019488573</v>
      </c>
      <c r="AQ204" s="180">
        <v>6.5149977318604515</v>
      </c>
      <c r="AR204" s="180">
        <v>6.5379067277701139</v>
      </c>
      <c r="AS204" s="180">
        <v>6.5631830844022732</v>
      </c>
    </row>
    <row r="205" spans="2:45">
      <c r="B205" s="530"/>
      <c r="C205" s="180"/>
      <c r="D205" s="180" t="s">
        <v>800</v>
      </c>
      <c r="E205" s="180"/>
      <c r="F205" s="180"/>
      <c r="G205" s="180" t="s">
        <v>838</v>
      </c>
      <c r="H205" s="180"/>
      <c r="I205" s="180">
        <v>2703.6429426795048</v>
      </c>
      <c r="J205" s="180">
        <v>53.67430911579109</v>
      </c>
      <c r="K205" s="180">
        <v>52.642851286421212</v>
      </c>
      <c r="L205" s="180">
        <v>51.61139345705125</v>
      </c>
      <c r="M205" s="180">
        <v>50.57993562768138</v>
      </c>
      <c r="N205" s="180">
        <v>49.548477798311538</v>
      </c>
      <c r="O205" s="180">
        <v>48.517019968941753</v>
      </c>
      <c r="P205" s="180">
        <v>47.485562139571641</v>
      </c>
      <c r="Q205" s="180">
        <v>46.45410431020192</v>
      </c>
      <c r="R205" s="180">
        <v>45.422646480831887</v>
      </c>
      <c r="S205" s="180">
        <v>44.391188651462215</v>
      </c>
      <c r="T205" s="180">
        <v>43.35973082209226</v>
      </c>
      <c r="U205" s="180">
        <v>58.613785664311834</v>
      </c>
      <c r="V205" s="180">
        <v>58.513847407966381</v>
      </c>
      <c r="W205" s="180">
        <v>58.427980119449224</v>
      </c>
      <c r="X205" s="180">
        <v>58.365984931325841</v>
      </c>
      <c r="Y205" s="180">
        <v>58.344489787517325</v>
      </c>
      <c r="Z205" s="180">
        <v>58.391704424240274</v>
      </c>
      <c r="AA205" s="180">
        <v>58.555487186702003</v>
      </c>
      <c r="AB205" s="180">
        <v>58.917030310939964</v>
      </c>
      <c r="AC205" s="180">
        <v>59.614076781829169</v>
      </c>
      <c r="AD205" s="180">
        <v>94.423817125644334</v>
      </c>
      <c r="AE205" s="180">
        <v>99.774073596661964</v>
      </c>
      <c r="AF205" s="180">
        <v>99.565838844084951</v>
      </c>
      <c r="AG205" s="180">
        <v>99.357604091506047</v>
      </c>
      <c r="AH205" s="180">
        <v>99.149369338928992</v>
      </c>
      <c r="AI205" s="180">
        <v>98.941134586351453</v>
      </c>
      <c r="AJ205" s="180">
        <v>98.732899833773672</v>
      </c>
      <c r="AK205" s="180">
        <v>98.524665081196787</v>
      </c>
      <c r="AL205" s="180">
        <v>98.316430328617912</v>
      </c>
      <c r="AM205" s="180">
        <v>98.108195576042192</v>
      </c>
      <c r="AN205" s="180">
        <v>97.8999608234639</v>
      </c>
      <c r="AO205" s="180">
        <v>112.36402427696413</v>
      </c>
      <c r="AP205" s="180">
        <v>112.12374685654157</v>
      </c>
      <c r="AQ205" s="180">
        <v>111.88346943611876</v>
      </c>
      <c r="AR205" s="180">
        <v>111.64319201569513</v>
      </c>
      <c r="AS205" s="180">
        <v>111.40291459527279</v>
      </c>
    </row>
    <row r="206" spans="2:45">
      <c r="B206" s="530"/>
      <c r="C206" s="180"/>
      <c r="D206" s="180" t="s">
        <v>844</v>
      </c>
      <c r="E206" s="180"/>
      <c r="F206" s="180"/>
      <c r="G206" s="180" t="s">
        <v>838</v>
      </c>
      <c r="H206" s="180"/>
      <c r="I206" s="180">
        <v>0</v>
      </c>
      <c r="J206" s="180">
        <v>0</v>
      </c>
      <c r="K206" s="180">
        <v>0</v>
      </c>
      <c r="L206" s="180">
        <v>0</v>
      </c>
      <c r="M206" s="180">
        <v>0</v>
      </c>
      <c r="N206" s="180">
        <v>0</v>
      </c>
      <c r="O206" s="180">
        <v>0</v>
      </c>
      <c r="P206" s="180">
        <v>0</v>
      </c>
      <c r="Q206" s="180">
        <v>0</v>
      </c>
      <c r="R206" s="180">
        <v>0</v>
      </c>
      <c r="S206" s="180">
        <v>0</v>
      </c>
      <c r="T206" s="180">
        <v>0</v>
      </c>
      <c r="U206" s="180">
        <v>0</v>
      </c>
      <c r="V206" s="180">
        <v>0</v>
      </c>
      <c r="W206" s="180">
        <v>0</v>
      </c>
      <c r="X206" s="180">
        <v>0</v>
      </c>
      <c r="Y206" s="180">
        <v>0</v>
      </c>
      <c r="Z206" s="180">
        <v>0</v>
      </c>
      <c r="AA206" s="180">
        <v>0</v>
      </c>
      <c r="AB206" s="180">
        <v>0</v>
      </c>
      <c r="AC206" s="180">
        <v>0</v>
      </c>
      <c r="AD206" s="180">
        <v>0</v>
      </c>
      <c r="AE206" s="180">
        <v>0</v>
      </c>
      <c r="AF206" s="180">
        <v>0</v>
      </c>
      <c r="AG206" s="180">
        <v>0</v>
      </c>
      <c r="AH206" s="180">
        <v>0</v>
      </c>
      <c r="AI206" s="180">
        <v>0</v>
      </c>
      <c r="AJ206" s="180">
        <v>0</v>
      </c>
      <c r="AK206" s="180">
        <v>0</v>
      </c>
      <c r="AL206" s="180">
        <v>0</v>
      </c>
      <c r="AM206" s="180">
        <v>0</v>
      </c>
      <c r="AN206" s="180">
        <v>0</v>
      </c>
      <c r="AO206" s="180">
        <v>0</v>
      </c>
      <c r="AP206" s="180">
        <v>0</v>
      </c>
      <c r="AQ206" s="180">
        <v>0</v>
      </c>
      <c r="AR206" s="180">
        <v>0</v>
      </c>
      <c r="AS206" s="180">
        <v>0</v>
      </c>
    </row>
    <row r="207" spans="2:45">
      <c r="B207" s="530"/>
      <c r="C207" s="180"/>
      <c r="D207" s="180" t="s">
        <v>845</v>
      </c>
      <c r="E207" s="180"/>
      <c r="F207" s="180"/>
      <c r="G207" s="180" t="s">
        <v>838</v>
      </c>
      <c r="H207" s="180"/>
      <c r="I207" s="180">
        <v>0</v>
      </c>
      <c r="J207" s="180">
        <v>0</v>
      </c>
      <c r="K207" s="180">
        <v>0</v>
      </c>
      <c r="L207" s="180">
        <v>0</v>
      </c>
      <c r="M207" s="180">
        <v>0</v>
      </c>
      <c r="N207" s="180">
        <v>0</v>
      </c>
      <c r="O207" s="180">
        <v>0</v>
      </c>
      <c r="P207" s="180">
        <v>0</v>
      </c>
      <c r="Q207" s="180">
        <v>0</v>
      </c>
      <c r="R207" s="180">
        <v>0</v>
      </c>
      <c r="S207" s="180">
        <v>0</v>
      </c>
      <c r="T207" s="180">
        <v>0</v>
      </c>
      <c r="U207" s="180">
        <v>0</v>
      </c>
      <c r="V207" s="180">
        <v>0</v>
      </c>
      <c r="W207" s="180">
        <v>0</v>
      </c>
      <c r="X207" s="180">
        <v>0</v>
      </c>
      <c r="Y207" s="180">
        <v>0</v>
      </c>
      <c r="Z207" s="180">
        <v>0</v>
      </c>
      <c r="AA207" s="180">
        <v>0</v>
      </c>
      <c r="AB207" s="180">
        <v>0</v>
      </c>
      <c r="AC207" s="180">
        <v>0</v>
      </c>
      <c r="AD207" s="180">
        <v>0</v>
      </c>
      <c r="AE207" s="180">
        <v>0</v>
      </c>
      <c r="AF207" s="180">
        <v>0</v>
      </c>
      <c r="AG207" s="180">
        <v>0</v>
      </c>
      <c r="AH207" s="180">
        <v>0</v>
      </c>
      <c r="AI207" s="180">
        <v>0</v>
      </c>
      <c r="AJ207" s="180">
        <v>0</v>
      </c>
      <c r="AK207" s="180">
        <v>0</v>
      </c>
      <c r="AL207" s="180">
        <v>0</v>
      </c>
      <c r="AM207" s="180">
        <v>0</v>
      </c>
      <c r="AN207" s="180">
        <v>0</v>
      </c>
      <c r="AO207" s="180">
        <v>0</v>
      </c>
      <c r="AP207" s="180">
        <v>0</v>
      </c>
      <c r="AQ207" s="180">
        <v>0</v>
      </c>
      <c r="AR207" s="180">
        <v>0</v>
      </c>
      <c r="AS207" s="180">
        <v>0</v>
      </c>
    </row>
    <row r="208" spans="2:45">
      <c r="B208" s="530"/>
      <c r="C208" s="180"/>
      <c r="D208" s="180" t="s">
        <v>846</v>
      </c>
      <c r="E208" s="180"/>
      <c r="F208" s="180"/>
      <c r="G208" s="180" t="s">
        <v>838</v>
      </c>
      <c r="H208" s="180"/>
      <c r="I208" s="180">
        <v>0</v>
      </c>
      <c r="J208" s="180">
        <v>0</v>
      </c>
      <c r="K208" s="180">
        <v>0</v>
      </c>
      <c r="L208" s="180">
        <v>0</v>
      </c>
      <c r="M208" s="180">
        <v>0</v>
      </c>
      <c r="N208" s="180">
        <v>0</v>
      </c>
      <c r="O208" s="180">
        <v>0</v>
      </c>
      <c r="P208" s="180">
        <v>0</v>
      </c>
      <c r="Q208" s="180">
        <v>0</v>
      </c>
      <c r="R208" s="180">
        <v>0</v>
      </c>
      <c r="S208" s="180">
        <v>0</v>
      </c>
      <c r="T208" s="180">
        <v>0</v>
      </c>
      <c r="U208" s="180">
        <v>0</v>
      </c>
      <c r="V208" s="180">
        <v>0</v>
      </c>
      <c r="W208" s="180">
        <v>0</v>
      </c>
      <c r="X208" s="180">
        <v>0</v>
      </c>
      <c r="Y208" s="180">
        <v>0</v>
      </c>
      <c r="Z208" s="180">
        <v>0</v>
      </c>
      <c r="AA208" s="180">
        <v>0</v>
      </c>
      <c r="AB208" s="180">
        <v>0</v>
      </c>
      <c r="AC208" s="180">
        <v>0</v>
      </c>
      <c r="AD208" s="180">
        <v>0</v>
      </c>
      <c r="AE208" s="180">
        <v>0</v>
      </c>
      <c r="AF208" s="180">
        <v>0</v>
      </c>
      <c r="AG208" s="180">
        <v>0</v>
      </c>
      <c r="AH208" s="180">
        <v>0</v>
      </c>
      <c r="AI208" s="180">
        <v>0</v>
      </c>
      <c r="AJ208" s="180">
        <v>0</v>
      </c>
      <c r="AK208" s="180">
        <v>0</v>
      </c>
      <c r="AL208" s="180">
        <v>0</v>
      </c>
      <c r="AM208" s="180">
        <v>0</v>
      </c>
      <c r="AN208" s="180">
        <v>0</v>
      </c>
      <c r="AO208" s="180">
        <v>0</v>
      </c>
      <c r="AP208" s="180">
        <v>0</v>
      </c>
      <c r="AQ208" s="180">
        <v>0</v>
      </c>
      <c r="AR208" s="180">
        <v>0</v>
      </c>
      <c r="AS208" s="180">
        <v>0</v>
      </c>
    </row>
    <row r="209" spans="2:45">
      <c r="B209" s="530"/>
      <c r="C209" s="180"/>
      <c r="D209" s="180"/>
      <c r="E209" s="180"/>
      <c r="F209" s="180"/>
      <c r="G209" s="180"/>
      <c r="H209" s="180"/>
      <c r="I209" s="180"/>
      <c r="J209" s="180"/>
      <c r="K209" s="180"/>
      <c r="L209" s="180"/>
      <c r="M209" s="180"/>
      <c r="N209" s="180"/>
      <c r="O209" s="180"/>
      <c r="P209" s="180"/>
      <c r="Q209" s="180"/>
      <c r="R209" s="180"/>
      <c r="S209" s="180"/>
      <c r="T209" s="180"/>
      <c r="U209" s="180"/>
      <c r="V209" s="180"/>
      <c r="W209" s="180"/>
      <c r="X209" s="180"/>
      <c r="Y209" s="180"/>
      <c r="Z209" s="180"/>
      <c r="AA209" s="180"/>
      <c r="AB209" s="180"/>
      <c r="AC209" s="180"/>
      <c r="AD209" s="180"/>
      <c r="AE209" s="180"/>
      <c r="AF209" s="180"/>
      <c r="AG209" s="180"/>
      <c r="AH209" s="180"/>
      <c r="AI209" s="180"/>
      <c r="AJ209" s="180"/>
      <c r="AK209" s="180"/>
      <c r="AL209" s="180"/>
      <c r="AM209" s="180"/>
      <c r="AN209" s="180"/>
      <c r="AO209" s="180"/>
      <c r="AP209" s="180"/>
      <c r="AQ209" s="180"/>
      <c r="AR209" s="180"/>
      <c r="AS209" s="180"/>
    </row>
    <row r="210" spans="2:45">
      <c r="B210" s="530"/>
      <c r="C210" s="180" t="s">
        <v>858</v>
      </c>
      <c r="D210" s="180" t="s">
        <v>859</v>
      </c>
      <c r="E210" s="180"/>
      <c r="F210" s="180"/>
      <c r="G210" s="180" t="s">
        <v>838</v>
      </c>
      <c r="H210" s="180"/>
      <c r="I210" s="180">
        <v>489962.89133934776</v>
      </c>
      <c r="J210" s="180">
        <v>12243.727759481902</v>
      </c>
      <c r="K210" s="180">
        <v>11696.315733334479</v>
      </c>
      <c r="L210" s="180">
        <v>11920.123426107615</v>
      </c>
      <c r="M210" s="180">
        <v>12541.699673483192</v>
      </c>
      <c r="N210" s="180">
        <v>12710.172358029105</v>
      </c>
      <c r="O210" s="180">
        <v>13120.938174596238</v>
      </c>
      <c r="P210" s="180">
        <v>14576.338319780183</v>
      </c>
      <c r="Q210" s="180">
        <v>17581.38258686307</v>
      </c>
      <c r="R210" s="180">
        <v>20516.613337945</v>
      </c>
      <c r="S210" s="180">
        <v>21602.005458428732</v>
      </c>
      <c r="T210" s="180">
        <v>20660.68186002033</v>
      </c>
      <c r="U210" s="180">
        <v>19652.261682556127</v>
      </c>
      <c r="V210" s="180">
        <v>18278.208408031569</v>
      </c>
      <c r="W210" s="180">
        <v>16242.936825375191</v>
      </c>
      <c r="X210" s="180">
        <v>14310.862168899514</v>
      </c>
      <c r="Y210" s="180">
        <v>13209.774727146163</v>
      </c>
      <c r="Z210" s="180">
        <v>12454.132375947638</v>
      </c>
      <c r="AA210" s="180">
        <v>12151.121016328134</v>
      </c>
      <c r="AB210" s="180">
        <v>11873.225024905612</v>
      </c>
      <c r="AC210" s="180">
        <v>12160.544861808272</v>
      </c>
      <c r="AD210" s="180">
        <v>11848.965931560793</v>
      </c>
      <c r="AE210" s="180">
        <v>11883.59860339347</v>
      </c>
      <c r="AF210" s="180">
        <v>11881.955935463218</v>
      </c>
      <c r="AG210" s="180">
        <v>11931.26751102353</v>
      </c>
      <c r="AH210" s="180">
        <v>11841.479211544724</v>
      </c>
      <c r="AI210" s="180">
        <v>12196.065529073696</v>
      </c>
      <c r="AJ210" s="180">
        <v>12313.644751624677</v>
      </c>
      <c r="AK210" s="180">
        <v>11708.25469048133</v>
      </c>
      <c r="AL210" s="180">
        <v>11892.26600161506</v>
      </c>
      <c r="AM210" s="180">
        <v>11831.868187227426</v>
      </c>
      <c r="AN210" s="180">
        <v>12035.158215142661</v>
      </c>
      <c r="AO210" s="180">
        <v>11627.877308629611</v>
      </c>
      <c r="AP210" s="180">
        <v>11668.438013869407</v>
      </c>
      <c r="AQ210" s="180">
        <v>11691.178555898292</v>
      </c>
      <c r="AR210" s="180">
        <v>12100.682627075203</v>
      </c>
      <c r="AS210" s="180">
        <v>12007.124486656618</v>
      </c>
    </row>
    <row r="211" spans="2:45">
      <c r="B211" s="530"/>
      <c r="C211" s="180"/>
      <c r="D211" s="180" t="s">
        <v>860</v>
      </c>
      <c r="E211" s="180"/>
      <c r="F211" s="180"/>
      <c r="G211" s="180" t="s">
        <v>840</v>
      </c>
      <c r="H211" s="180"/>
      <c r="I211" s="180"/>
      <c r="J211" s="180">
        <v>12243.727759481902</v>
      </c>
      <c r="K211" s="180">
        <v>23940.043492816381</v>
      </c>
      <c r="L211" s="180">
        <v>35860.166918923998</v>
      </c>
      <c r="M211" s="180">
        <v>48401.86659240719</v>
      </c>
      <c r="N211" s="180">
        <v>61112.038950436297</v>
      </c>
      <c r="O211" s="180">
        <v>74232.977125032543</v>
      </c>
      <c r="P211" s="180">
        <v>88809.315444812732</v>
      </c>
      <c r="Q211" s="180">
        <v>106390.6980316758</v>
      </c>
      <c r="R211" s="180">
        <v>126907.3113696208</v>
      </c>
      <c r="S211" s="180">
        <v>148509.31682804954</v>
      </c>
      <c r="T211" s="180">
        <v>169169.99868806987</v>
      </c>
      <c r="U211" s="180">
        <v>188822.260370626</v>
      </c>
      <c r="V211" s="180">
        <v>207100.46877865755</v>
      </c>
      <c r="W211" s="180">
        <v>223343.40560403274</v>
      </c>
      <c r="X211" s="180">
        <v>237654.26777293225</v>
      </c>
      <c r="Y211" s="180">
        <v>250864.04250007842</v>
      </c>
      <c r="Z211" s="180">
        <v>263318.17487602605</v>
      </c>
      <c r="AA211" s="180">
        <v>275469.29589235416</v>
      </c>
      <c r="AB211" s="180">
        <v>287342.5209172598</v>
      </c>
      <c r="AC211" s="180">
        <v>299503.06577906804</v>
      </c>
      <c r="AD211" s="180">
        <v>311352.03171062883</v>
      </c>
      <c r="AE211" s="180">
        <v>323235.6303140223</v>
      </c>
      <c r="AF211" s="180">
        <v>335117.5862494855</v>
      </c>
      <c r="AG211" s="180">
        <v>347048.85376050905</v>
      </c>
      <c r="AH211" s="180">
        <v>358890.33297205379</v>
      </c>
      <c r="AI211" s="180">
        <v>371086.39850112749</v>
      </c>
      <c r="AJ211" s="180">
        <v>383400.04325275216</v>
      </c>
      <c r="AK211" s="180">
        <v>395108.29794323351</v>
      </c>
      <c r="AL211" s="180">
        <v>407000.56394484855</v>
      </c>
      <c r="AM211" s="180">
        <v>418832.43213207595</v>
      </c>
      <c r="AN211" s="180">
        <v>430867.59034721862</v>
      </c>
      <c r="AO211" s="180">
        <v>442495.46765584825</v>
      </c>
      <c r="AP211" s="180">
        <v>454163.90566971764</v>
      </c>
      <c r="AQ211" s="180">
        <v>465855.08422561595</v>
      </c>
      <c r="AR211" s="180">
        <v>477955.76685269113</v>
      </c>
      <c r="AS211" s="180">
        <v>489962.89133934776</v>
      </c>
    </row>
    <row r="212" spans="2:45">
      <c r="B212" s="530"/>
      <c r="C212" s="180"/>
      <c r="D212" s="180" t="s">
        <v>861</v>
      </c>
      <c r="E212" s="180"/>
      <c r="F212" s="180"/>
      <c r="G212" s="180" t="s">
        <v>838</v>
      </c>
      <c r="H212" s="180"/>
      <c r="I212" s="180">
        <v>282701.91696412314</v>
      </c>
      <c r="J212" s="180">
        <v>8101.3209698302653</v>
      </c>
      <c r="K212" s="180">
        <v>7661.8840696665065</v>
      </c>
      <c r="L212" s="180">
        <v>7736.0437839193373</v>
      </c>
      <c r="M212" s="180">
        <v>8211.9828826007342</v>
      </c>
      <c r="N212" s="180">
        <v>8548.9489996176835</v>
      </c>
      <c r="O212" s="180">
        <v>8457.2050874670076</v>
      </c>
      <c r="P212" s="180">
        <v>8967.1921540239291</v>
      </c>
      <c r="Q212" s="180">
        <v>9025.0762473363047</v>
      </c>
      <c r="R212" s="180">
        <v>8740.1746783720901</v>
      </c>
      <c r="S212" s="180">
        <v>8450.6912789059297</v>
      </c>
      <c r="T212" s="180">
        <v>8236.5044238510818</v>
      </c>
      <c r="U212" s="180">
        <v>7982.5543253472897</v>
      </c>
      <c r="V212" s="180">
        <v>7675.2669621498499</v>
      </c>
      <c r="W212" s="180">
        <v>7378.2664092270979</v>
      </c>
      <c r="X212" s="180">
        <v>7125.7469130625268</v>
      </c>
      <c r="Y212" s="180">
        <v>7017.9535822891494</v>
      </c>
      <c r="Z212" s="180">
        <v>7072.0023746404358</v>
      </c>
      <c r="AA212" s="180">
        <v>7018.4830881180205</v>
      </c>
      <c r="AB212" s="180">
        <v>6952.0229570930642</v>
      </c>
      <c r="AC212" s="180">
        <v>7040.3995532173194</v>
      </c>
      <c r="AD212" s="180">
        <v>7164.3701435941366</v>
      </c>
      <c r="AE212" s="180">
        <v>7299.7399871633215</v>
      </c>
      <c r="AF212" s="180">
        <v>7388.0774289783021</v>
      </c>
      <c r="AG212" s="180">
        <v>7519.8161965906083</v>
      </c>
      <c r="AH212" s="180">
        <v>7575.7494171922435</v>
      </c>
      <c r="AI212" s="180">
        <v>7659.5019478559143</v>
      </c>
      <c r="AJ212" s="180">
        <v>7809.5300618897236</v>
      </c>
      <c r="AK212" s="180">
        <v>7980.4220851175423</v>
      </c>
      <c r="AL212" s="180">
        <v>8047.5098901281253</v>
      </c>
      <c r="AM212" s="180">
        <v>8043.5611131830301</v>
      </c>
      <c r="AN212" s="180">
        <v>8041.7728745577451</v>
      </c>
      <c r="AO212" s="180">
        <v>8070.8229942683774</v>
      </c>
      <c r="AP212" s="180">
        <v>8112.3248805063004</v>
      </c>
      <c r="AQ212" s="180">
        <v>8154.2207396723388</v>
      </c>
      <c r="AR212" s="180">
        <v>8196.240943089304</v>
      </c>
      <c r="AS212" s="180">
        <v>8238.5355196005512</v>
      </c>
    </row>
    <row r="213" spans="2:45">
      <c r="B213" s="530"/>
      <c r="C213" s="180"/>
      <c r="D213" s="180" t="s">
        <v>862</v>
      </c>
      <c r="E213" s="180"/>
      <c r="F213" s="180"/>
      <c r="G213" s="180" t="s">
        <v>838</v>
      </c>
      <c r="H213" s="180"/>
      <c r="I213" s="180">
        <v>69915.444104967246</v>
      </c>
      <c r="J213" s="180">
        <v>2929.1891395314542</v>
      </c>
      <c r="K213" s="180">
        <v>2806.2876154615524</v>
      </c>
      <c r="L213" s="180">
        <v>2947.4088472346457</v>
      </c>
      <c r="M213" s="180">
        <v>3053.5117651049759</v>
      </c>
      <c r="N213" s="180">
        <v>2820.373536926385</v>
      </c>
      <c r="O213" s="180">
        <v>2619.7376803109269</v>
      </c>
      <c r="P213" s="180">
        <v>2621.5114211554228</v>
      </c>
      <c r="Q213" s="180">
        <v>2586.8947923945702</v>
      </c>
      <c r="R213" s="180">
        <v>2552.2127992195465</v>
      </c>
      <c r="S213" s="180">
        <v>2490.1717957444198</v>
      </c>
      <c r="T213" s="180">
        <v>2420.7099509957229</v>
      </c>
      <c r="U213" s="180">
        <v>2363.7087638000276</v>
      </c>
      <c r="V213" s="180">
        <v>2279.6482622917752</v>
      </c>
      <c r="W213" s="180">
        <v>2194.8215322958836</v>
      </c>
      <c r="X213" s="180">
        <v>2103.9396479956363</v>
      </c>
      <c r="Y213" s="180">
        <v>2018.9911427381162</v>
      </c>
      <c r="Z213" s="180">
        <v>1943.6781671346882</v>
      </c>
      <c r="AA213" s="180">
        <v>1853.6251024759347</v>
      </c>
      <c r="AB213" s="180">
        <v>1764.8891168463249</v>
      </c>
      <c r="AC213" s="180">
        <v>1690.7500518350978</v>
      </c>
      <c r="AD213" s="180">
        <v>1616.8955828264684</v>
      </c>
      <c r="AE213" s="180">
        <v>1547.0912509481643</v>
      </c>
      <c r="AF213" s="180">
        <v>1486.7965966929987</v>
      </c>
      <c r="AG213" s="180">
        <v>1430.9055318909805</v>
      </c>
      <c r="AH213" s="180">
        <v>1396.6184339187319</v>
      </c>
      <c r="AI213" s="180">
        <v>1346.9696789966761</v>
      </c>
      <c r="AJ213" s="180">
        <v>1333.0173250630614</v>
      </c>
      <c r="AK213" s="180">
        <v>1321.2318714283067</v>
      </c>
      <c r="AL213" s="180">
        <v>1312.3644374090754</v>
      </c>
      <c r="AM213" s="180">
        <v>1305.9763540725414</v>
      </c>
      <c r="AN213" s="180">
        <v>1301.3197299421684</v>
      </c>
      <c r="AO213" s="180">
        <v>1297.2322623981227</v>
      </c>
      <c r="AP213" s="180">
        <v>1293.1375554759179</v>
      </c>
      <c r="AQ213" s="180">
        <v>1290.0730080418907</v>
      </c>
      <c r="AR213" s="180">
        <v>1287.7232218143367</v>
      </c>
      <c r="AS213" s="180">
        <v>1286.0301325547152</v>
      </c>
    </row>
    <row r="214" spans="2:45">
      <c r="B214" s="530"/>
      <c r="C214" s="180"/>
      <c r="D214" s="180" t="s">
        <v>837</v>
      </c>
      <c r="E214" s="180">
        <v>0</v>
      </c>
      <c r="F214" s="180">
        <v>0</v>
      </c>
      <c r="G214" s="180" t="s">
        <v>838</v>
      </c>
      <c r="H214" s="180">
        <v>0</v>
      </c>
      <c r="I214" s="180">
        <v>134202.02776081947</v>
      </c>
      <c r="J214" s="180">
        <v>1213.2176501201839</v>
      </c>
      <c r="K214" s="180">
        <v>1228.1440482064215</v>
      </c>
      <c r="L214" s="180">
        <v>1236.6707949536326</v>
      </c>
      <c r="M214" s="180">
        <v>1245.1606636824863</v>
      </c>
      <c r="N214" s="180">
        <v>1329.7601319631403</v>
      </c>
      <c r="O214" s="180">
        <v>2033.1337635869527</v>
      </c>
      <c r="P214" s="180">
        <v>2952.9596576156177</v>
      </c>
      <c r="Q214" s="180">
        <v>5877.5251144407484</v>
      </c>
      <c r="R214" s="180">
        <v>9115.4955632073379</v>
      </c>
      <c r="S214" s="180">
        <v>10552.186338593114</v>
      </c>
      <c r="T214" s="180">
        <v>9878.515639954725</v>
      </c>
      <c r="U214" s="180">
        <v>9177.1004713196889</v>
      </c>
      <c r="V214" s="180">
        <v>8186.4678490468141</v>
      </c>
      <c r="W214" s="180">
        <v>6539.0756726621785</v>
      </c>
      <c r="X214" s="180">
        <v>4956.7249040033912</v>
      </c>
      <c r="Y214" s="180">
        <v>4053.4359950398489</v>
      </c>
      <c r="Z214" s="180">
        <v>3343.7690586448794</v>
      </c>
      <c r="AA214" s="180">
        <v>3193.2586202668817</v>
      </c>
      <c r="AB214" s="180">
        <v>3054.0254785262755</v>
      </c>
      <c r="AC214" s="180">
        <v>3354.5170145799825</v>
      </c>
      <c r="AD214" s="180">
        <v>3006.0059595551365</v>
      </c>
      <c r="AE214" s="180">
        <v>2980.1336699144681</v>
      </c>
      <c r="AF214" s="180">
        <v>2890.3789977343199</v>
      </c>
      <c r="AG214" s="180">
        <v>2864.8282101553145</v>
      </c>
      <c r="AH214" s="180">
        <v>2757.3409785852728</v>
      </c>
      <c r="AI214" s="180">
        <v>3066.2302611253349</v>
      </c>
      <c r="AJ214" s="180">
        <v>3038.7290539715741</v>
      </c>
      <c r="AK214" s="180">
        <v>2266.8081439802772</v>
      </c>
      <c r="AL214" s="180">
        <v>2398.6033233523895</v>
      </c>
      <c r="AM214" s="180">
        <v>2353.2301377265394</v>
      </c>
      <c r="AN214" s="180">
        <v>2567.8893579899468</v>
      </c>
      <c r="AO214" s="180">
        <v>2172.5421257115263</v>
      </c>
      <c r="AP214" s="180">
        <v>2174.6386773426884</v>
      </c>
      <c r="AQ214" s="180">
        <v>2166.2447786510379</v>
      </c>
      <c r="AR214" s="180">
        <v>2548.9345825166024</v>
      </c>
      <c r="AS214" s="180">
        <v>2428.3450720927312</v>
      </c>
    </row>
    <row r="215" spans="2:45">
      <c r="B215" s="530"/>
      <c r="C215" s="180"/>
      <c r="D215" s="180" t="s">
        <v>863</v>
      </c>
      <c r="E215" s="180">
        <v>0</v>
      </c>
      <c r="F215" s="180">
        <v>0</v>
      </c>
      <c r="G215" s="180" t="s">
        <v>838</v>
      </c>
      <c r="H215" s="180">
        <v>0</v>
      </c>
      <c r="I215" s="180">
        <v>3143.5025094378839</v>
      </c>
      <c r="J215" s="180">
        <v>0</v>
      </c>
      <c r="K215" s="180">
        <v>0</v>
      </c>
      <c r="L215" s="180">
        <v>0</v>
      </c>
      <c r="M215" s="180">
        <v>31.044362094995453</v>
      </c>
      <c r="N215" s="180">
        <v>11.089689521895473</v>
      </c>
      <c r="O215" s="180">
        <v>10.861643231349289</v>
      </c>
      <c r="P215" s="180">
        <v>34.675086985212417</v>
      </c>
      <c r="Q215" s="180">
        <v>91.886432691443744</v>
      </c>
      <c r="R215" s="180">
        <v>108.73029714602745</v>
      </c>
      <c r="S215" s="180">
        <v>108.95604518527202</v>
      </c>
      <c r="T215" s="180">
        <v>124.95184521880353</v>
      </c>
      <c r="U215" s="180">
        <v>128.89812208912272</v>
      </c>
      <c r="V215" s="180">
        <v>136.8253345431292</v>
      </c>
      <c r="W215" s="180">
        <v>130.77321119003119</v>
      </c>
      <c r="X215" s="180">
        <v>124.45070383795935</v>
      </c>
      <c r="Y215" s="180">
        <v>119.3940070790494</v>
      </c>
      <c r="Z215" s="180">
        <v>94.682775527635826</v>
      </c>
      <c r="AA215" s="180">
        <v>85.754205467296885</v>
      </c>
      <c r="AB215" s="180">
        <v>102.28747243994798</v>
      </c>
      <c r="AC215" s="180">
        <v>74.878242175872643</v>
      </c>
      <c r="AD215" s="180">
        <v>61.694245585050886</v>
      </c>
      <c r="AE215" s="180">
        <v>56.633695367515408</v>
      </c>
      <c r="AF215" s="180">
        <v>116.7029120575979</v>
      </c>
      <c r="AG215" s="180">
        <v>115.71757238662845</v>
      </c>
      <c r="AH215" s="180">
        <v>111.77038184847531</v>
      </c>
      <c r="AI215" s="180">
        <v>123.3636410957709</v>
      </c>
      <c r="AJ215" s="180">
        <v>132.3683107003188</v>
      </c>
      <c r="AK215" s="180">
        <v>139.79258995520294</v>
      </c>
      <c r="AL215" s="180">
        <v>133.78835072547244</v>
      </c>
      <c r="AM215" s="180">
        <v>129.10058224531605</v>
      </c>
      <c r="AN215" s="180">
        <v>124.17625265280003</v>
      </c>
      <c r="AO215" s="180">
        <v>87.279926251586346</v>
      </c>
      <c r="AP215" s="180">
        <v>88.336900544498818</v>
      </c>
      <c r="AQ215" s="180">
        <v>80.640029533024801</v>
      </c>
      <c r="AR215" s="180">
        <v>67.783879654960671</v>
      </c>
      <c r="AS215" s="180">
        <v>54.213762408619104</v>
      </c>
    </row>
    <row r="216" spans="2:45">
      <c r="B216" s="530"/>
      <c r="C216" s="180"/>
      <c r="D216" s="180" t="s">
        <v>864</v>
      </c>
      <c r="E216" s="180">
        <v>0</v>
      </c>
      <c r="F216" s="180">
        <v>0</v>
      </c>
      <c r="G216" s="180" t="s">
        <v>838</v>
      </c>
      <c r="H216" s="180">
        <v>0</v>
      </c>
      <c r="I216" s="180">
        <v>6078.8065227799025</v>
      </c>
      <c r="J216" s="180">
        <v>9.3613400107731284</v>
      </c>
      <c r="K216" s="180">
        <v>9.7467171566191588</v>
      </c>
      <c r="L216" s="180">
        <v>19.650586113523474</v>
      </c>
      <c r="M216" s="180">
        <v>16.797219487567538</v>
      </c>
      <c r="N216" s="180">
        <v>47.36787374799313</v>
      </c>
      <c r="O216" s="180">
        <v>85.100853574121828</v>
      </c>
      <c r="P216" s="180">
        <v>106.94169156087763</v>
      </c>
      <c r="Q216" s="180">
        <v>126.19923153690105</v>
      </c>
      <c r="R216" s="180">
        <v>124.32482977722613</v>
      </c>
      <c r="S216" s="180">
        <v>134.66530049267601</v>
      </c>
      <c r="T216" s="180">
        <v>133.5568685950592</v>
      </c>
      <c r="U216" s="180">
        <v>145.96317660662834</v>
      </c>
      <c r="V216" s="180">
        <v>147.53783101637688</v>
      </c>
      <c r="W216" s="180">
        <v>147.6848364879844</v>
      </c>
      <c r="X216" s="180">
        <v>147.95890768068978</v>
      </c>
      <c r="Y216" s="180">
        <v>145.04746448702446</v>
      </c>
      <c r="Z216" s="180">
        <v>126.85168331002342</v>
      </c>
      <c r="AA216" s="180">
        <v>127.59799211248874</v>
      </c>
      <c r="AB216" s="180">
        <v>120.65841425786489</v>
      </c>
      <c r="AC216" s="180">
        <v>377.65892754827649</v>
      </c>
      <c r="AD216" s="180">
        <v>353.48361564759136</v>
      </c>
      <c r="AE216" s="180">
        <v>318.45387393623571</v>
      </c>
      <c r="AF216" s="180">
        <v>317.60854129833427</v>
      </c>
      <c r="AG216" s="180">
        <v>312.48559367167076</v>
      </c>
      <c r="AH216" s="180">
        <v>328.95711802469265</v>
      </c>
      <c r="AI216" s="180">
        <v>334.01286533819246</v>
      </c>
      <c r="AJ216" s="180">
        <v>326.8918130094375</v>
      </c>
      <c r="AK216" s="180">
        <v>324.67315037730884</v>
      </c>
      <c r="AL216" s="180">
        <v>322.90187130394344</v>
      </c>
      <c r="AM216" s="180">
        <v>336.34961010865845</v>
      </c>
      <c r="AN216" s="180">
        <v>333.92919939015451</v>
      </c>
      <c r="AO216" s="180">
        <v>38.904487617662397</v>
      </c>
      <c r="AP216" s="180">
        <v>37.447670632208435</v>
      </c>
      <c r="AQ216" s="180">
        <v>34.510368801786747</v>
      </c>
      <c r="AR216" s="180">
        <v>32.621734276038453</v>
      </c>
      <c r="AS216" s="180">
        <v>24.903263785291315</v>
      </c>
    </row>
    <row r="217" spans="2:45">
      <c r="B217" s="530"/>
      <c r="C217" s="180"/>
      <c r="D217" s="180" t="s">
        <v>865</v>
      </c>
      <c r="E217" s="180">
        <v>0</v>
      </c>
      <c r="F217" s="180">
        <v>0</v>
      </c>
      <c r="G217" s="180" t="s">
        <v>840</v>
      </c>
      <c r="H217" s="180">
        <v>0</v>
      </c>
      <c r="I217" s="180"/>
      <c r="J217" s="180">
        <v>9.3613400107731284</v>
      </c>
      <c r="K217" s="180">
        <v>19.108057167392289</v>
      </c>
      <c r="L217" s="180">
        <v>38.758643280915763</v>
      </c>
      <c r="M217" s="180">
        <v>55.555862768483301</v>
      </c>
      <c r="N217" s="180">
        <v>102.92373651647642</v>
      </c>
      <c r="O217" s="180">
        <v>188.02459009059825</v>
      </c>
      <c r="P217" s="180">
        <v>294.96628165147587</v>
      </c>
      <c r="Q217" s="180">
        <v>421.16551318837691</v>
      </c>
      <c r="R217" s="180">
        <v>545.49034296560308</v>
      </c>
      <c r="S217" s="180">
        <v>680.15564345827909</v>
      </c>
      <c r="T217" s="180">
        <v>813.71251205333829</v>
      </c>
      <c r="U217" s="180">
        <v>959.67568865996668</v>
      </c>
      <c r="V217" s="180">
        <v>1107.2135196763436</v>
      </c>
      <c r="W217" s="180">
        <v>1254.8983561643281</v>
      </c>
      <c r="X217" s="180">
        <v>1402.8572638450178</v>
      </c>
      <c r="Y217" s="180">
        <v>1547.9047283320422</v>
      </c>
      <c r="Z217" s="180">
        <v>1674.7564116420656</v>
      </c>
      <c r="AA217" s="180">
        <v>1802.3544037545544</v>
      </c>
      <c r="AB217" s="180">
        <v>1923.0128180124193</v>
      </c>
      <c r="AC217" s="180">
        <v>2300.6717455606959</v>
      </c>
      <c r="AD217" s="180">
        <v>2654.1553612082871</v>
      </c>
      <c r="AE217" s="180">
        <v>2972.6092351445227</v>
      </c>
      <c r="AF217" s="180">
        <v>3290.217776442857</v>
      </c>
      <c r="AG217" s="180">
        <v>3602.7033701145278</v>
      </c>
      <c r="AH217" s="180">
        <v>3931.6604881392204</v>
      </c>
      <c r="AI217" s="180">
        <v>4265.673353477413</v>
      </c>
      <c r="AJ217" s="180">
        <v>4592.5651664868501</v>
      </c>
      <c r="AK217" s="180">
        <v>4917.2383168641591</v>
      </c>
      <c r="AL217" s="180">
        <v>5240.1401881681022</v>
      </c>
      <c r="AM217" s="180">
        <v>5576.4897982767607</v>
      </c>
      <c r="AN217" s="180">
        <v>5910.4189976669149</v>
      </c>
      <c r="AO217" s="180">
        <v>5949.3234852845771</v>
      </c>
      <c r="AP217" s="180">
        <v>5986.7711559167856</v>
      </c>
      <c r="AQ217" s="180">
        <v>6021.2815247185727</v>
      </c>
      <c r="AR217" s="180">
        <v>6053.903258994611</v>
      </c>
      <c r="AS217" s="180">
        <v>6078.8065227799025</v>
      </c>
    </row>
    <row r="218" spans="2:45">
      <c r="B218" s="530"/>
      <c r="C218" s="180"/>
      <c r="D218" s="180" t="s">
        <v>866</v>
      </c>
      <c r="E218" s="180">
        <v>0</v>
      </c>
      <c r="F218" s="180">
        <v>0</v>
      </c>
      <c r="G218" s="180" t="s">
        <v>838</v>
      </c>
      <c r="H218" s="180">
        <v>0</v>
      </c>
      <c r="I218" s="180">
        <v>2071.1381496157619</v>
      </c>
      <c r="J218" s="180">
        <v>9.3613400107731284</v>
      </c>
      <c r="K218" s="180">
        <v>9.7051391374781275</v>
      </c>
      <c r="L218" s="180">
        <v>11.300938799223548</v>
      </c>
      <c r="M218" s="180">
        <v>12.89676525129863</v>
      </c>
      <c r="N218" s="180">
        <v>14.492618493703409</v>
      </c>
      <c r="O218" s="180">
        <v>64.762608041893671</v>
      </c>
      <c r="P218" s="180">
        <v>63.420615203733561</v>
      </c>
      <c r="Q218" s="180">
        <v>78.063277419074211</v>
      </c>
      <c r="R218" s="180">
        <v>81.955720127349366</v>
      </c>
      <c r="S218" s="180">
        <v>85.848130844855874</v>
      </c>
      <c r="T218" s="180">
        <v>89.36305900818661</v>
      </c>
      <c r="U218" s="180">
        <v>99.40721608734944</v>
      </c>
      <c r="V218" s="180">
        <v>102.10400380507535</v>
      </c>
      <c r="W218" s="180">
        <v>104.80070369313414</v>
      </c>
      <c r="X218" s="180">
        <v>107.49732408947649</v>
      </c>
      <c r="Y218" s="180">
        <v>110.19390971161904</v>
      </c>
      <c r="Z218" s="180">
        <v>97.151415318287647</v>
      </c>
      <c r="AA218" s="180">
        <v>97.128257753905089</v>
      </c>
      <c r="AB218" s="180">
        <v>97.105238519444612</v>
      </c>
      <c r="AC218" s="180">
        <v>97.082237191955173</v>
      </c>
      <c r="AD218" s="180">
        <v>96.995835937468513</v>
      </c>
      <c r="AE218" s="180">
        <v>46.343074851708785</v>
      </c>
      <c r="AF218" s="180">
        <v>46.332206043256441</v>
      </c>
      <c r="AG218" s="180">
        <v>46.321330439745672</v>
      </c>
      <c r="AH218" s="180">
        <v>46.310367710002289</v>
      </c>
      <c r="AI218" s="180">
        <v>46.299223466188366</v>
      </c>
      <c r="AJ218" s="180">
        <v>46.288784610509786</v>
      </c>
      <c r="AK218" s="180">
        <v>46.278355403422282</v>
      </c>
      <c r="AL218" s="180">
        <v>46.267936026721969</v>
      </c>
      <c r="AM218" s="180">
        <v>46.257526686632886</v>
      </c>
      <c r="AN218" s="180">
        <v>46.247127597134259</v>
      </c>
      <c r="AO218" s="180">
        <v>15.510354316837994</v>
      </c>
      <c r="AP218" s="180">
        <v>15.510761670213896</v>
      </c>
      <c r="AQ218" s="180">
        <v>15.511170746552779</v>
      </c>
      <c r="AR218" s="180">
        <v>15.511581543140482</v>
      </c>
      <c r="AS218" s="180">
        <v>15.511994058408748</v>
      </c>
    </row>
    <row r="219" spans="2:45">
      <c r="B219" s="530"/>
      <c r="C219" s="180"/>
      <c r="D219" s="180" t="s">
        <v>867</v>
      </c>
      <c r="E219" s="180">
        <v>0</v>
      </c>
      <c r="F219" s="180">
        <v>0</v>
      </c>
      <c r="G219" s="180" t="s">
        <v>838</v>
      </c>
      <c r="H219" s="180">
        <v>0</v>
      </c>
      <c r="I219" s="180">
        <v>154.01441670931203</v>
      </c>
      <c r="J219" s="180">
        <v>0</v>
      </c>
      <c r="K219" s="180">
        <v>4.1578019141031909E-2</v>
      </c>
      <c r="L219" s="180">
        <v>4.1578019141031909E-2</v>
      </c>
      <c r="M219" s="180">
        <v>4.1578019141031909E-2</v>
      </c>
      <c r="N219" s="180">
        <v>4.1578019141031909E-2</v>
      </c>
      <c r="O219" s="180">
        <v>4.1578019141031909E-2</v>
      </c>
      <c r="P219" s="180">
        <v>0</v>
      </c>
      <c r="Q219" s="180">
        <v>0</v>
      </c>
      <c r="R219" s="180">
        <v>0</v>
      </c>
      <c r="S219" s="180">
        <v>0</v>
      </c>
      <c r="T219" s="180">
        <v>0</v>
      </c>
      <c r="U219" s="180">
        <v>0</v>
      </c>
      <c r="V219" s="180">
        <v>0</v>
      </c>
      <c r="W219" s="180">
        <v>0.10330792340238566</v>
      </c>
      <c r="X219" s="180">
        <v>0.12682105678461161</v>
      </c>
      <c r="Y219" s="180">
        <v>0.12682105678461153</v>
      </c>
      <c r="Z219" s="180">
        <v>0</v>
      </c>
      <c r="AA219" s="180">
        <v>0</v>
      </c>
      <c r="AB219" s="180">
        <v>0</v>
      </c>
      <c r="AC219" s="180">
        <v>0</v>
      </c>
      <c r="AD219" s="180">
        <v>0</v>
      </c>
      <c r="AE219" s="180">
        <v>0</v>
      </c>
      <c r="AF219" s="180">
        <v>0</v>
      </c>
      <c r="AG219" s="180">
        <v>0</v>
      </c>
      <c r="AH219" s="180">
        <v>15.361082303636067</v>
      </c>
      <c r="AI219" s="180">
        <v>15.796002344322581</v>
      </c>
      <c r="AJ219" s="180">
        <v>8.8729408070168674</v>
      </c>
      <c r="AK219" s="180">
        <v>8.7603904905129077</v>
      </c>
      <c r="AL219" s="180">
        <v>8.6775307793829501</v>
      </c>
      <c r="AM219" s="180">
        <v>24.363016411915204</v>
      </c>
      <c r="AN219" s="180">
        <v>24.692002305435203</v>
      </c>
      <c r="AO219" s="180">
        <v>9.3853222268827814</v>
      </c>
      <c r="AP219" s="180">
        <v>9.3853222268825576</v>
      </c>
      <c r="AQ219" s="180">
        <v>9.3853222268825665</v>
      </c>
      <c r="AR219" s="180">
        <v>9.3853222268829981</v>
      </c>
      <c r="AS219" s="180">
        <v>9.3853222268825665</v>
      </c>
    </row>
    <row r="220" spans="2:45">
      <c r="B220" s="530"/>
      <c r="C220" s="180"/>
      <c r="D220" s="180" t="s">
        <v>868</v>
      </c>
      <c r="E220" s="180">
        <v>0</v>
      </c>
      <c r="F220" s="180">
        <v>0</v>
      </c>
      <c r="G220" s="180" t="s">
        <v>838</v>
      </c>
      <c r="H220" s="180">
        <v>0</v>
      </c>
      <c r="I220" s="180">
        <v>2957.9895576707604</v>
      </c>
      <c r="J220" s="180">
        <v>0</v>
      </c>
      <c r="K220" s="180">
        <v>0</v>
      </c>
      <c r="L220" s="180">
        <v>0</v>
      </c>
      <c r="M220" s="180">
        <v>0</v>
      </c>
      <c r="N220" s="180">
        <v>0</v>
      </c>
      <c r="O220" s="180">
        <v>0</v>
      </c>
      <c r="P220" s="180">
        <v>0</v>
      </c>
      <c r="Q220" s="180">
        <v>0</v>
      </c>
      <c r="R220" s="180">
        <v>0</v>
      </c>
      <c r="S220" s="180">
        <v>0</v>
      </c>
      <c r="T220" s="180">
        <v>0</v>
      </c>
      <c r="U220" s="180">
        <v>0.77640483650631431</v>
      </c>
      <c r="V220" s="180">
        <v>0.77640483650631431</v>
      </c>
      <c r="W220" s="180">
        <v>0.77640483650631442</v>
      </c>
      <c r="X220" s="180">
        <v>0.7764048365063142</v>
      </c>
      <c r="Y220" s="180">
        <v>0.7764048365063142</v>
      </c>
      <c r="Z220" s="180">
        <v>1.2738338207475011</v>
      </c>
      <c r="AA220" s="180">
        <v>1.2738338207475011</v>
      </c>
      <c r="AB220" s="180">
        <v>1.273833820747502</v>
      </c>
      <c r="AC220" s="180">
        <v>246.91335780476248</v>
      </c>
      <c r="AD220" s="180">
        <v>246.91335780476248</v>
      </c>
      <c r="AE220" s="180">
        <v>245.65233929927737</v>
      </c>
      <c r="AF220" s="180">
        <v>245.65233929927737</v>
      </c>
      <c r="AG220" s="180">
        <v>245.65233929927737</v>
      </c>
      <c r="AH220" s="180">
        <v>245.65233929927737</v>
      </c>
      <c r="AI220" s="180">
        <v>245.65233929927737</v>
      </c>
      <c r="AJ220" s="180">
        <v>245.639523984015</v>
      </c>
      <c r="AK220" s="180">
        <v>245.639523984015</v>
      </c>
      <c r="AL220" s="180">
        <v>245.639523984015</v>
      </c>
      <c r="AM220" s="180">
        <v>245.639523984015</v>
      </c>
      <c r="AN220" s="180">
        <v>245.639523984015</v>
      </c>
      <c r="AO220" s="180">
        <v>0</v>
      </c>
      <c r="AP220" s="180">
        <v>0</v>
      </c>
      <c r="AQ220" s="180">
        <v>0</v>
      </c>
      <c r="AR220" s="180">
        <v>0</v>
      </c>
      <c r="AS220" s="180">
        <v>0</v>
      </c>
    </row>
    <row r="221" spans="2:45">
      <c r="B221" s="530"/>
      <c r="C221" s="180"/>
      <c r="D221" s="180" t="s">
        <v>869</v>
      </c>
      <c r="E221" s="180">
        <v>0</v>
      </c>
      <c r="F221" s="180">
        <v>0</v>
      </c>
      <c r="G221" s="180" t="s">
        <v>838</v>
      </c>
      <c r="H221" s="180">
        <v>0</v>
      </c>
      <c r="I221" s="180">
        <v>895.66439878406811</v>
      </c>
      <c r="J221" s="180">
        <v>0</v>
      </c>
      <c r="K221" s="180">
        <v>0</v>
      </c>
      <c r="L221" s="180">
        <v>8.3080692951588944</v>
      </c>
      <c r="M221" s="180">
        <v>3.8588762171278783</v>
      </c>
      <c r="N221" s="180">
        <v>32.833677235148691</v>
      </c>
      <c r="O221" s="180">
        <v>20.296667513087129</v>
      </c>
      <c r="P221" s="180">
        <v>43.521076357144068</v>
      </c>
      <c r="Q221" s="180">
        <v>48.135954117826842</v>
      </c>
      <c r="R221" s="180">
        <v>42.369109649876762</v>
      </c>
      <c r="S221" s="180">
        <v>48.817169647820123</v>
      </c>
      <c r="T221" s="180">
        <v>44.193809586872582</v>
      </c>
      <c r="U221" s="180">
        <v>45.779555682772568</v>
      </c>
      <c r="V221" s="180">
        <v>44.65742237479521</v>
      </c>
      <c r="W221" s="180">
        <v>42.004420034941553</v>
      </c>
      <c r="X221" s="180">
        <v>39.558357697922361</v>
      </c>
      <c r="Y221" s="180">
        <v>33.950328882114498</v>
      </c>
      <c r="Z221" s="180">
        <v>28.426434170988273</v>
      </c>
      <c r="AA221" s="180">
        <v>29.195900537836152</v>
      </c>
      <c r="AB221" s="180">
        <v>22.279341917672784</v>
      </c>
      <c r="AC221" s="180">
        <v>33.663332551558824</v>
      </c>
      <c r="AD221" s="180">
        <v>9.574421905360408</v>
      </c>
      <c r="AE221" s="180">
        <v>26.458459785249573</v>
      </c>
      <c r="AF221" s="180">
        <v>25.623995955800488</v>
      </c>
      <c r="AG221" s="180">
        <v>20.511923932647722</v>
      </c>
      <c r="AH221" s="180">
        <v>21.633328711776951</v>
      </c>
      <c r="AI221" s="180">
        <v>26.265300228404147</v>
      </c>
      <c r="AJ221" s="180">
        <v>26.090563607895845</v>
      </c>
      <c r="AK221" s="180">
        <v>23.994880499358686</v>
      </c>
      <c r="AL221" s="180">
        <v>22.316880513823495</v>
      </c>
      <c r="AM221" s="180">
        <v>20.089543026095392</v>
      </c>
      <c r="AN221" s="180">
        <v>17.350545503570086</v>
      </c>
      <c r="AO221" s="180">
        <v>14.008811073941622</v>
      </c>
      <c r="AP221" s="180">
        <v>12.551586735111984</v>
      </c>
      <c r="AQ221" s="180">
        <v>9.6138758283514036</v>
      </c>
      <c r="AR221" s="180">
        <v>7.7248305060149756</v>
      </c>
      <c r="AS221" s="180">
        <v>5.9474999999999997E-3</v>
      </c>
    </row>
    <row r="222" spans="2:45">
      <c r="B222" s="180"/>
      <c r="C222" s="180"/>
      <c r="D222" s="180"/>
      <c r="E222" s="180"/>
      <c r="F222" s="180"/>
      <c r="G222" s="180"/>
      <c r="H222" s="180"/>
      <c r="I222" s="180"/>
      <c r="J222" s="180"/>
      <c r="K222" s="180"/>
      <c r="L222" s="180"/>
      <c r="M222" s="180"/>
      <c r="N222" s="180"/>
      <c r="O222" s="180"/>
      <c r="P222" s="180"/>
      <c r="Q222" s="180"/>
      <c r="R222" s="180"/>
      <c r="S222" s="180"/>
      <c r="T222" s="180"/>
      <c r="U222" s="180"/>
      <c r="V222" s="180"/>
      <c r="W222" s="180"/>
      <c r="X222" s="180"/>
      <c r="Y222" s="180"/>
      <c r="Z222" s="180"/>
      <c r="AA222" s="180"/>
      <c r="AB222" s="180"/>
      <c r="AC222" s="180"/>
      <c r="AD222" s="180"/>
      <c r="AE222" s="180"/>
      <c r="AF222" s="180"/>
      <c r="AG222" s="180"/>
      <c r="AH222" s="180"/>
      <c r="AI222" s="180"/>
      <c r="AJ222" s="180"/>
      <c r="AK222" s="180"/>
      <c r="AL222" s="180"/>
      <c r="AM222" s="180"/>
      <c r="AN222" s="180"/>
      <c r="AO222" s="180"/>
      <c r="AP222" s="180"/>
      <c r="AQ222" s="180"/>
      <c r="AR222" s="180"/>
      <c r="AS222" s="180"/>
    </row>
    <row r="223" spans="2:45">
      <c r="B223" s="180"/>
      <c r="C223" s="180"/>
      <c r="D223" s="180"/>
      <c r="E223" s="180"/>
      <c r="F223" s="180"/>
      <c r="G223" s="180"/>
      <c r="H223" s="180"/>
      <c r="I223" s="180"/>
      <c r="J223" s="180"/>
      <c r="K223" s="180"/>
      <c r="L223" s="180"/>
      <c r="M223" s="180"/>
      <c r="N223" s="180"/>
      <c r="O223" s="180"/>
      <c r="P223" s="180"/>
      <c r="Q223" s="180"/>
      <c r="R223" s="180"/>
      <c r="S223" s="180"/>
      <c r="T223" s="180"/>
      <c r="U223" s="180"/>
      <c r="V223" s="180"/>
      <c r="W223" s="180"/>
      <c r="X223" s="180"/>
      <c r="Y223" s="180"/>
      <c r="Z223" s="180"/>
      <c r="AA223" s="180"/>
      <c r="AB223" s="180"/>
      <c r="AC223" s="180"/>
      <c r="AD223" s="180"/>
      <c r="AE223" s="180"/>
      <c r="AF223" s="180"/>
      <c r="AG223" s="180"/>
      <c r="AH223" s="180"/>
      <c r="AI223" s="180"/>
      <c r="AJ223" s="180"/>
      <c r="AK223" s="180"/>
      <c r="AL223" s="180"/>
      <c r="AM223" s="180"/>
      <c r="AN223" s="180"/>
      <c r="AO223" s="180"/>
      <c r="AP223" s="180"/>
      <c r="AQ223" s="180"/>
      <c r="AR223" s="180"/>
      <c r="AS223" s="180"/>
    </row>
    <row r="224" spans="2:45">
      <c r="B224" s="531" t="str">
        <f>INDEX('Scenario names'!$C$3:$C$6,3)</f>
        <v>Accelerated Green</v>
      </c>
      <c r="C224" s="180" t="s">
        <v>174</v>
      </c>
      <c r="D224" s="180"/>
      <c r="E224" s="180"/>
      <c r="F224" s="180"/>
      <c r="G224" s="180" t="s">
        <v>832</v>
      </c>
      <c r="H224" s="180"/>
      <c r="I224" s="180">
        <v>506.31114602795952</v>
      </c>
      <c r="J224" s="180">
        <v>12.254020471618102</v>
      </c>
      <c r="K224" s="180">
        <v>11.706764085219072</v>
      </c>
      <c r="L224" s="180">
        <v>11.931538731936129</v>
      </c>
      <c r="M224" s="180">
        <v>12.563556079287673</v>
      </c>
      <c r="N224" s="180">
        <v>12.727099198636449</v>
      </c>
      <c r="O224" s="180">
        <v>13.201158476436706</v>
      </c>
      <c r="P224" s="180">
        <v>14.89328634021226</v>
      </c>
      <c r="Q224" s="180">
        <v>18.185976838606113</v>
      </c>
      <c r="R224" s="180">
        <v>21.729578489501055</v>
      </c>
      <c r="S224" s="180">
        <v>23.215197533023538</v>
      </c>
      <c r="T224" s="180">
        <v>22.44722883278942</v>
      </c>
      <c r="U224" s="180">
        <v>21.847603839770308</v>
      </c>
      <c r="V224" s="180">
        <v>20.378555148747974</v>
      </c>
      <c r="W224" s="180">
        <v>17.877793831706395</v>
      </c>
      <c r="X224" s="180">
        <v>15.919525008433139</v>
      </c>
      <c r="Y224" s="180">
        <v>14.584687540957566</v>
      </c>
      <c r="Z224" s="180">
        <v>13.764238503354674</v>
      </c>
      <c r="AA224" s="180">
        <v>13.154606574782683</v>
      </c>
      <c r="AB224" s="180">
        <v>12.711836927997799</v>
      </c>
      <c r="AC224" s="180">
        <v>12.2975219761621</v>
      </c>
      <c r="AD224" s="180">
        <v>10.873573226987689</v>
      </c>
      <c r="AE224" s="180">
        <v>10.568651689586174</v>
      </c>
      <c r="AF224" s="180">
        <v>10.763177497623778</v>
      </c>
      <c r="AG224" s="180">
        <v>11.19626287524331</v>
      </c>
      <c r="AH224" s="180">
        <v>11.508101892076898</v>
      </c>
      <c r="AI224" s="180">
        <v>11.82275970781162</v>
      </c>
      <c r="AJ224" s="180">
        <v>12.366766467385757</v>
      </c>
      <c r="AK224" s="180">
        <v>12.400160768277868</v>
      </c>
      <c r="AL224" s="180">
        <v>12.469118073353085</v>
      </c>
      <c r="AM224" s="180">
        <v>12.532178877548187</v>
      </c>
      <c r="AN224" s="180">
        <v>12.600287407826674</v>
      </c>
      <c r="AO224" s="180">
        <v>12.079364931219878</v>
      </c>
      <c r="AP224" s="180">
        <v>12.280282903324286</v>
      </c>
      <c r="AQ224" s="180">
        <v>12.362067661033734</v>
      </c>
      <c r="AR224" s="180">
        <v>12.1709501874649</v>
      </c>
      <c r="AS224" s="180">
        <v>10.925667432016729</v>
      </c>
    </row>
    <row r="225" spans="2:45">
      <c r="B225" s="532" t="s">
        <v>870</v>
      </c>
      <c r="C225" s="180" t="s">
        <v>833</v>
      </c>
      <c r="D225" s="180"/>
      <c r="E225" s="180"/>
      <c r="F225" s="180"/>
      <c r="G225" s="180" t="s">
        <v>834</v>
      </c>
      <c r="H225" s="180"/>
      <c r="I225" s="180"/>
      <c r="J225" s="180">
        <v>12.254020471618102</v>
      </c>
      <c r="K225" s="180">
        <v>23.960784556837176</v>
      </c>
      <c r="L225" s="180">
        <v>35.892323288773305</v>
      </c>
      <c r="M225" s="180">
        <v>48.455879368060977</v>
      </c>
      <c r="N225" s="180">
        <v>61.182978566697429</v>
      </c>
      <c r="O225" s="180">
        <v>74.384137043134132</v>
      </c>
      <c r="P225" s="180">
        <v>89.277423383346388</v>
      </c>
      <c r="Q225" s="180">
        <v>107.4634002219525</v>
      </c>
      <c r="R225" s="180">
        <v>129.19297871145355</v>
      </c>
      <c r="S225" s="180">
        <v>152.40817624447709</v>
      </c>
      <c r="T225" s="180">
        <v>174.85540507726651</v>
      </c>
      <c r="U225" s="180">
        <v>196.70300891703681</v>
      </c>
      <c r="V225" s="180">
        <v>217.08156406578479</v>
      </c>
      <c r="W225" s="180">
        <v>234.95935789749117</v>
      </c>
      <c r="X225" s="180">
        <v>250.87888290592431</v>
      </c>
      <c r="Y225" s="180">
        <v>265.46357044688187</v>
      </c>
      <c r="Z225" s="180">
        <v>279.22780895023652</v>
      </c>
      <c r="AA225" s="180">
        <v>292.38241552501921</v>
      </c>
      <c r="AB225" s="180">
        <v>305.09425245301702</v>
      </c>
      <c r="AC225" s="180">
        <v>317.39177442917912</v>
      </c>
      <c r="AD225" s="180">
        <v>328.2653476561668</v>
      </c>
      <c r="AE225" s="180">
        <v>338.83399934575294</v>
      </c>
      <c r="AF225" s="180">
        <v>349.5971768433767</v>
      </c>
      <c r="AG225" s="180">
        <v>360.79343971861999</v>
      </c>
      <c r="AH225" s="180">
        <v>372.30154161069692</v>
      </c>
      <c r="AI225" s="180">
        <v>384.12430131850851</v>
      </c>
      <c r="AJ225" s="180">
        <v>396.49106778589424</v>
      </c>
      <c r="AK225" s="180">
        <v>408.89122855417213</v>
      </c>
      <c r="AL225" s="180">
        <v>421.36034662752519</v>
      </c>
      <c r="AM225" s="180">
        <v>433.89252550507337</v>
      </c>
      <c r="AN225" s="180">
        <v>446.49281291290004</v>
      </c>
      <c r="AO225" s="180">
        <v>458.57217784411989</v>
      </c>
      <c r="AP225" s="180">
        <v>470.85246074744418</v>
      </c>
      <c r="AQ225" s="180">
        <v>483.21452840847792</v>
      </c>
      <c r="AR225" s="180">
        <v>495.3854785959428</v>
      </c>
      <c r="AS225" s="180">
        <v>506.31114602795952</v>
      </c>
    </row>
    <row r="226" spans="2:45">
      <c r="B226" s="532"/>
      <c r="C226" s="180" t="s">
        <v>835</v>
      </c>
      <c r="D226" s="180"/>
      <c r="E226" s="180"/>
      <c r="F226" s="180"/>
      <c r="G226" s="180" t="s">
        <v>832</v>
      </c>
      <c r="H226" s="180"/>
      <c r="I226" s="180">
        <v>165.46517978038051</v>
      </c>
      <c r="J226" s="180">
        <v>1.2236116776906676</v>
      </c>
      <c r="K226" s="180">
        <v>1.2389936696063049</v>
      </c>
      <c r="L226" s="180">
        <v>1.248804314645882</v>
      </c>
      <c r="M226" s="180">
        <v>1.299282754436115</v>
      </c>
      <c r="N226" s="180">
        <v>1.3591783109525435</v>
      </c>
      <c r="O226" s="180">
        <v>2.1294558192434261</v>
      </c>
      <c r="P226" s="180">
        <v>3.3314153634553461</v>
      </c>
      <c r="Q226" s="180">
        <v>6.6195931605673941</v>
      </c>
      <c r="R226" s="180">
        <v>10.494471960376954</v>
      </c>
      <c r="S226" s="180">
        <v>12.341425706474118</v>
      </c>
      <c r="T226" s="180">
        <v>11.862415565978866</v>
      </c>
      <c r="U226" s="180">
        <v>11.607369655077685</v>
      </c>
      <c r="V226" s="180">
        <v>10.581850953963674</v>
      </c>
      <c r="W226" s="180">
        <v>8.5074057671288834</v>
      </c>
      <c r="X226" s="180">
        <v>6.9345578527904257</v>
      </c>
      <c r="Y226" s="180">
        <v>5.8202675674342119</v>
      </c>
      <c r="Z226" s="180">
        <v>5.0252867053266117</v>
      </c>
      <c r="AA226" s="180">
        <v>4.5809991101469301</v>
      </c>
      <c r="AB226" s="180">
        <v>4.3191195635490942</v>
      </c>
      <c r="AC226" s="180">
        <v>3.9540616585299455</v>
      </c>
      <c r="AD226" s="180">
        <v>2.5435202098870833</v>
      </c>
      <c r="AE226" s="180">
        <v>2.2181493711734492</v>
      </c>
      <c r="AF226" s="180">
        <v>2.4062600550572402</v>
      </c>
      <c r="AG226" s="180">
        <v>2.8048768031560178</v>
      </c>
      <c r="AH226" s="180">
        <v>3.0820675035223513</v>
      </c>
      <c r="AI226" s="180">
        <v>3.4185270710335001</v>
      </c>
      <c r="AJ226" s="180">
        <v>3.8750648740288218</v>
      </c>
      <c r="AK226" s="180">
        <v>3.8373818396956461</v>
      </c>
      <c r="AL226" s="180">
        <v>3.8334458521192847</v>
      </c>
      <c r="AM226" s="180">
        <v>3.8245624487504908</v>
      </c>
      <c r="AN226" s="180">
        <v>3.8145273835570261</v>
      </c>
      <c r="AO226" s="180">
        <v>3.2660951259592443</v>
      </c>
      <c r="AP226" s="180">
        <v>3.4256675723862409</v>
      </c>
      <c r="AQ226" s="180">
        <v>3.4647926991527784</v>
      </c>
      <c r="AR226" s="180">
        <v>3.2300943546569587</v>
      </c>
      <c r="AS226" s="180">
        <v>1.9405794788693052</v>
      </c>
    </row>
    <row r="227" spans="2:45">
      <c r="B227" s="532"/>
      <c r="C227" s="180" t="s">
        <v>836</v>
      </c>
      <c r="D227" s="180"/>
      <c r="E227" s="180"/>
      <c r="F227" s="180"/>
      <c r="G227" s="180" t="s">
        <v>834</v>
      </c>
      <c r="H227" s="180"/>
      <c r="I227" s="180"/>
      <c r="J227" s="180">
        <v>1.2236116776906676</v>
      </c>
      <c r="K227" s="180">
        <v>2.4626053472969724</v>
      </c>
      <c r="L227" s="180">
        <v>3.7114096619428545</v>
      </c>
      <c r="M227" s="180">
        <v>5.0106924163789692</v>
      </c>
      <c r="N227" s="180">
        <v>6.3698707273315129</v>
      </c>
      <c r="O227" s="180">
        <v>8.4993265465749381</v>
      </c>
      <c r="P227" s="180">
        <v>11.830741910030284</v>
      </c>
      <c r="Q227" s="180">
        <v>18.450335070597678</v>
      </c>
      <c r="R227" s="180">
        <v>28.94480703097463</v>
      </c>
      <c r="S227" s="180">
        <v>41.286232737448749</v>
      </c>
      <c r="T227" s="180">
        <v>53.148648303427613</v>
      </c>
      <c r="U227" s="180">
        <v>64.756017958505296</v>
      </c>
      <c r="V227" s="180">
        <v>75.337868912468963</v>
      </c>
      <c r="W227" s="180">
        <v>83.84527467959785</v>
      </c>
      <c r="X227" s="180">
        <v>90.779832532388269</v>
      </c>
      <c r="Y227" s="180">
        <v>96.600100099822484</v>
      </c>
      <c r="Z227" s="180">
        <v>101.62538680514909</v>
      </c>
      <c r="AA227" s="180">
        <v>106.20638591529602</v>
      </c>
      <c r="AB227" s="180">
        <v>110.52550547884512</v>
      </c>
      <c r="AC227" s="180">
        <v>114.47956713737507</v>
      </c>
      <c r="AD227" s="180">
        <v>117.02308734726215</v>
      </c>
      <c r="AE227" s="180">
        <v>119.2412367184356</v>
      </c>
      <c r="AF227" s="180">
        <v>121.64749677349285</v>
      </c>
      <c r="AG227" s="180">
        <v>124.45237357664887</v>
      </c>
      <c r="AH227" s="180">
        <v>127.53444108017122</v>
      </c>
      <c r="AI227" s="180">
        <v>130.95296815120471</v>
      </c>
      <c r="AJ227" s="180">
        <v>134.82803302523354</v>
      </c>
      <c r="AK227" s="180">
        <v>138.66541486492918</v>
      </c>
      <c r="AL227" s="180">
        <v>142.49886071704847</v>
      </c>
      <c r="AM227" s="180">
        <v>146.32342316579897</v>
      </c>
      <c r="AN227" s="180">
        <v>150.13795054935599</v>
      </c>
      <c r="AO227" s="180">
        <v>153.40404567531525</v>
      </c>
      <c r="AP227" s="180">
        <v>156.82971324770148</v>
      </c>
      <c r="AQ227" s="180">
        <v>160.29450594685426</v>
      </c>
      <c r="AR227" s="180">
        <v>163.52460030151121</v>
      </c>
      <c r="AS227" s="180">
        <v>165.46517978038051</v>
      </c>
    </row>
    <row r="228" spans="2:45">
      <c r="B228" s="532"/>
      <c r="C228" s="180"/>
      <c r="D228" s="180"/>
      <c r="E228" s="180"/>
      <c r="F228" s="180"/>
      <c r="G228" s="180"/>
      <c r="H228" s="180"/>
      <c r="I228" s="180"/>
      <c r="J228" s="180"/>
      <c r="K228" s="180"/>
      <c r="L228" s="180"/>
      <c r="M228" s="180"/>
      <c r="N228" s="180"/>
      <c r="O228" s="180"/>
      <c r="P228" s="180"/>
      <c r="Q228" s="180"/>
      <c r="R228" s="180"/>
      <c r="S228" s="180"/>
      <c r="T228" s="180"/>
      <c r="U228" s="180"/>
      <c r="V228" s="180"/>
      <c r="W228" s="180"/>
      <c r="X228" s="180"/>
      <c r="Y228" s="180"/>
      <c r="Z228" s="180"/>
      <c r="AA228" s="180"/>
      <c r="AB228" s="180"/>
      <c r="AC228" s="180"/>
      <c r="AD228" s="180"/>
      <c r="AE228" s="180"/>
      <c r="AF228" s="180"/>
      <c r="AG228" s="180"/>
      <c r="AH228" s="180"/>
      <c r="AI228" s="180"/>
      <c r="AJ228" s="180"/>
      <c r="AK228" s="180"/>
      <c r="AL228" s="180"/>
      <c r="AM228" s="180"/>
      <c r="AN228" s="180"/>
      <c r="AO228" s="180"/>
      <c r="AP228" s="180"/>
      <c r="AQ228" s="180"/>
      <c r="AR228" s="180"/>
      <c r="AS228" s="180"/>
    </row>
    <row r="229" spans="2:45">
      <c r="B229" s="532"/>
      <c r="C229" s="180" t="s">
        <v>837</v>
      </c>
      <c r="D229" s="180" t="s">
        <v>142</v>
      </c>
      <c r="E229" s="180"/>
      <c r="F229" s="180"/>
      <c r="G229" s="180" t="s">
        <v>838</v>
      </c>
      <c r="H229" s="180"/>
      <c r="I229" s="180">
        <v>157029.6583276983</v>
      </c>
      <c r="J229" s="180">
        <v>1215.3005072023584</v>
      </c>
      <c r="K229" s="180">
        <v>1230.2138953496101</v>
      </c>
      <c r="L229" s="180">
        <v>1238.7231945316328</v>
      </c>
      <c r="M229" s="180">
        <v>1247.1953562593408</v>
      </c>
      <c r="N229" s="180">
        <v>1331.7768024019349</v>
      </c>
      <c r="O229" s="180">
        <v>2038.6966361249085</v>
      </c>
      <c r="P229" s="180">
        <v>3215.5070722386367</v>
      </c>
      <c r="Q229" s="180">
        <v>6420.1546207774927</v>
      </c>
      <c r="R229" s="180">
        <v>10272.277472675714</v>
      </c>
      <c r="S229" s="180">
        <v>12120.665730274926</v>
      </c>
      <c r="T229" s="180">
        <v>11626.535078352439</v>
      </c>
      <c r="U229" s="180">
        <v>11301.154049050514</v>
      </c>
      <c r="V229" s="180">
        <v>10260.735375988275</v>
      </c>
      <c r="W229" s="180">
        <v>8204.5481412590525</v>
      </c>
      <c r="X229" s="180">
        <v>6631.5959736241693</v>
      </c>
      <c r="Y229" s="180">
        <v>5496.5485921697173</v>
      </c>
      <c r="Z229" s="180">
        <v>4702.7887910371446</v>
      </c>
      <c r="AA229" s="180">
        <v>4270.7436849868436</v>
      </c>
      <c r="AB229" s="180">
        <v>3983.1957724784875</v>
      </c>
      <c r="AC229" s="180">
        <v>3612.7568469174416</v>
      </c>
      <c r="AD229" s="180">
        <v>2171.1965661450972</v>
      </c>
      <c r="AE229" s="180">
        <v>1922.2491265240528</v>
      </c>
      <c r="AF229" s="180">
        <v>2062.7132725910997</v>
      </c>
      <c r="AG229" s="180">
        <v>2468.0821563627487</v>
      </c>
      <c r="AH229" s="180">
        <v>2755.3032613758896</v>
      </c>
      <c r="AI229" s="180">
        <v>3081.1731071676054</v>
      </c>
      <c r="AJ229" s="180">
        <v>3553.5740768982109</v>
      </c>
      <c r="AK229" s="180">
        <v>3515.4023463300032</v>
      </c>
      <c r="AL229" s="180">
        <v>3521.9186564014835</v>
      </c>
      <c r="AM229" s="180">
        <v>3519.9339947354983</v>
      </c>
      <c r="AN229" s="180">
        <v>3523.4743787400153</v>
      </c>
      <c r="AO229" s="180">
        <v>3088.6139079481841</v>
      </c>
      <c r="AP229" s="180">
        <v>3246.5696965942789</v>
      </c>
      <c r="AQ229" s="180">
        <v>3301.5364040330442</v>
      </c>
      <c r="AR229" s="180">
        <v>3077.3857318702071</v>
      </c>
      <c r="AS229" s="180">
        <v>1799.4180502802071</v>
      </c>
    </row>
    <row r="230" spans="2:45">
      <c r="B230" s="532"/>
      <c r="C230" s="180"/>
      <c r="D230" s="180" t="s">
        <v>839</v>
      </c>
      <c r="E230" s="180"/>
      <c r="F230" s="180"/>
      <c r="G230" s="180" t="s">
        <v>840</v>
      </c>
      <c r="H230" s="180"/>
      <c r="I230" s="180"/>
      <c r="J230" s="180">
        <v>1215.3005072023584</v>
      </c>
      <c r="K230" s="180">
        <v>2445.5144025519685</v>
      </c>
      <c r="L230" s="180">
        <v>3684.237597083601</v>
      </c>
      <c r="M230" s="180">
        <v>4931.4329533429418</v>
      </c>
      <c r="N230" s="180">
        <v>6263.2097557448769</v>
      </c>
      <c r="O230" s="180">
        <v>8301.9063918697848</v>
      </c>
      <c r="P230" s="180">
        <v>11517.413464108422</v>
      </c>
      <c r="Q230" s="180">
        <v>17937.568084885916</v>
      </c>
      <c r="R230" s="180">
        <v>28209.845557561632</v>
      </c>
      <c r="S230" s="180">
        <v>40330.511287836562</v>
      </c>
      <c r="T230" s="180">
        <v>51957.046366189003</v>
      </c>
      <c r="U230" s="180">
        <v>63258.200415239517</v>
      </c>
      <c r="V230" s="180">
        <v>73518.935791227792</v>
      </c>
      <c r="W230" s="180">
        <v>81723.483932486852</v>
      </c>
      <c r="X230" s="180">
        <v>88355.079906111016</v>
      </c>
      <c r="Y230" s="180">
        <v>93851.628498280726</v>
      </c>
      <c r="Z230" s="180">
        <v>98554.417289317877</v>
      </c>
      <c r="AA230" s="180">
        <v>102825.16097430472</v>
      </c>
      <c r="AB230" s="180">
        <v>106808.3567467832</v>
      </c>
      <c r="AC230" s="180">
        <v>110421.11359370065</v>
      </c>
      <c r="AD230" s="180">
        <v>112592.31015984574</v>
      </c>
      <c r="AE230" s="180">
        <v>114514.5592863698</v>
      </c>
      <c r="AF230" s="180">
        <v>116577.27255896089</v>
      </c>
      <c r="AG230" s="180">
        <v>119045.35471532364</v>
      </c>
      <c r="AH230" s="180">
        <v>121800.65797669953</v>
      </c>
      <c r="AI230" s="180">
        <v>124881.83108386713</v>
      </c>
      <c r="AJ230" s="180">
        <v>128435.40516076534</v>
      </c>
      <c r="AK230" s="180">
        <v>131950.80750709533</v>
      </c>
      <c r="AL230" s="180">
        <v>135472.72616349682</v>
      </c>
      <c r="AM230" s="180">
        <v>138992.66015823232</v>
      </c>
      <c r="AN230" s="180">
        <v>142516.13453697233</v>
      </c>
      <c r="AO230" s="180">
        <v>145604.74844492052</v>
      </c>
      <c r="AP230" s="180">
        <v>148851.31814151481</v>
      </c>
      <c r="AQ230" s="180">
        <v>152152.85454554786</v>
      </c>
      <c r="AR230" s="180">
        <v>155230.24027741808</v>
      </c>
      <c r="AS230" s="180">
        <v>157029.6583276983</v>
      </c>
    </row>
    <row r="231" spans="2:45">
      <c r="B231" s="532"/>
      <c r="C231" s="180"/>
      <c r="D231" s="180" t="s">
        <v>344</v>
      </c>
      <c r="E231" s="180"/>
      <c r="F231" s="180"/>
      <c r="G231" s="180" t="s">
        <v>838</v>
      </c>
      <c r="H231" s="180"/>
      <c r="I231" s="180">
        <v>53633.52343400001</v>
      </c>
      <c r="J231" s="180">
        <v>0</v>
      </c>
      <c r="K231" s="180">
        <v>5.6777300000000004</v>
      </c>
      <c r="L231" s="180">
        <v>5.5893160000000002</v>
      </c>
      <c r="M231" s="180">
        <v>5.500902</v>
      </c>
      <c r="N231" s="180">
        <v>81.528713794928947</v>
      </c>
      <c r="O231" s="180">
        <v>486.98221216072562</v>
      </c>
      <c r="P231" s="180">
        <v>1271.3667002175175</v>
      </c>
      <c r="Q231" s="180">
        <v>4173.8215880441121</v>
      </c>
      <c r="R231" s="180">
        <v>7371.1362548731768</v>
      </c>
      <c r="S231" s="180">
        <v>8672.5099394526696</v>
      </c>
      <c r="T231" s="180">
        <v>8004.3627833189712</v>
      </c>
      <c r="U231" s="180">
        <v>7089.7000194545217</v>
      </c>
      <c r="V231" s="180">
        <v>6075.7383286022068</v>
      </c>
      <c r="W231" s="180">
        <v>4183.1333771750096</v>
      </c>
      <c r="X231" s="180">
        <v>2657.7164653158538</v>
      </c>
      <c r="Y231" s="180">
        <v>1348.7376691668742</v>
      </c>
      <c r="Z231" s="180">
        <v>680.31125012902862</v>
      </c>
      <c r="AA231" s="180">
        <v>583.39473556673988</v>
      </c>
      <c r="AB231" s="180">
        <v>486.478321004375</v>
      </c>
      <c r="AC231" s="180">
        <v>389.5618064420355</v>
      </c>
      <c r="AD231" s="180">
        <v>6.4072944250052455</v>
      </c>
      <c r="AE231" s="180">
        <v>5.3399230275579468</v>
      </c>
      <c r="AF231" s="180">
        <v>5.3213031859672686</v>
      </c>
      <c r="AG231" s="180">
        <v>3.4353190988842521</v>
      </c>
      <c r="AH231" s="180">
        <v>3.4166992573063166</v>
      </c>
      <c r="AI231" s="180">
        <v>3.3980794157411247</v>
      </c>
      <c r="AJ231" s="180">
        <v>3.3794595741504461</v>
      </c>
      <c r="AK231" s="180">
        <v>3.3608397325852537</v>
      </c>
      <c r="AL231" s="180">
        <v>3.3422198910200613</v>
      </c>
      <c r="AM231" s="180">
        <v>3.3236000494293831</v>
      </c>
      <c r="AN231" s="180">
        <v>3.3049802078769339</v>
      </c>
      <c r="AO231" s="180">
        <v>3.2863603662989984</v>
      </c>
      <c r="AP231" s="180">
        <v>3.2677405247083198</v>
      </c>
      <c r="AQ231" s="180">
        <v>3.2491206831558705</v>
      </c>
      <c r="AR231" s="180">
        <v>3.2305008415651919</v>
      </c>
      <c r="AS231" s="180">
        <v>3.211881</v>
      </c>
    </row>
    <row r="232" spans="2:45">
      <c r="B232" s="532"/>
      <c r="C232" s="180"/>
      <c r="D232" s="180" t="s">
        <v>841</v>
      </c>
      <c r="E232" s="180"/>
      <c r="F232" s="180"/>
      <c r="G232" s="180" t="s">
        <v>838</v>
      </c>
      <c r="H232" s="180"/>
      <c r="I232" s="180">
        <v>12210.165732643583</v>
      </c>
      <c r="J232" s="180">
        <v>28.941741333868404</v>
      </c>
      <c r="K232" s="180">
        <v>29.299388964572906</v>
      </c>
      <c r="L232" s="180">
        <v>31.918710739214738</v>
      </c>
      <c r="M232" s="180">
        <v>34.645599464756437</v>
      </c>
      <c r="N232" s="180">
        <v>37.480055141198093</v>
      </c>
      <c r="O232" s="180">
        <v>130.86535555850205</v>
      </c>
      <c r="P232" s="180">
        <v>130.64534372862374</v>
      </c>
      <c r="Q232" s="180">
        <v>152.95890537900081</v>
      </c>
      <c r="R232" s="180">
        <v>161.60204598130696</v>
      </c>
      <c r="S232" s="180">
        <v>170.49360383552005</v>
      </c>
      <c r="T232" s="180">
        <v>178.8094262979042</v>
      </c>
      <c r="U232" s="180">
        <v>333.81189807382236</v>
      </c>
      <c r="V232" s="180">
        <v>343.78091510332985</v>
      </c>
      <c r="W232" s="180">
        <v>353.92792775685774</v>
      </c>
      <c r="X232" s="180">
        <v>364.25293603440895</v>
      </c>
      <c r="Y232" s="180">
        <v>376.91602967938144</v>
      </c>
      <c r="Z232" s="180">
        <v>398.71836955751672</v>
      </c>
      <c r="AA232" s="180">
        <v>407.00797695955237</v>
      </c>
      <c r="AB232" s="180">
        <v>415.29632707495483</v>
      </c>
      <c r="AC232" s="180">
        <v>423.58341990372537</v>
      </c>
      <c r="AD232" s="180">
        <v>470.73393918281471</v>
      </c>
      <c r="AE232" s="180">
        <v>474.22653853280821</v>
      </c>
      <c r="AF232" s="180">
        <v>499.31877803019597</v>
      </c>
      <c r="AG232" s="180">
        <v>510.49092194097085</v>
      </c>
      <c r="AH232" s="180">
        <v>521.66180856511494</v>
      </c>
      <c r="AI232" s="180">
        <v>532.52559009498384</v>
      </c>
      <c r="AJ232" s="180">
        <v>587.54714571917907</v>
      </c>
      <c r="AK232" s="180">
        <v>597.24336974806283</v>
      </c>
      <c r="AL232" s="180">
        <v>606.93833649031399</v>
      </c>
      <c r="AM232" s="180">
        <v>616.63204594593333</v>
      </c>
      <c r="AN232" s="180">
        <v>626.32449811491733</v>
      </c>
      <c r="AO232" s="180">
        <v>329.24309929650394</v>
      </c>
      <c r="AP232" s="180">
        <v>330.77822801927903</v>
      </c>
      <c r="AQ232" s="180">
        <v>332.31335674205411</v>
      </c>
      <c r="AR232" s="180">
        <v>333.84848546483141</v>
      </c>
      <c r="AS232" s="180">
        <v>335.3836141876036</v>
      </c>
    </row>
    <row r="233" spans="2:45">
      <c r="B233" s="532"/>
      <c r="C233" s="180"/>
      <c r="D233" s="180" t="s">
        <v>821</v>
      </c>
      <c r="E233" s="180"/>
      <c r="F233" s="180"/>
      <c r="G233" s="180" t="s">
        <v>838</v>
      </c>
      <c r="H233" s="180"/>
      <c r="I233" s="180">
        <v>66802.109863334699</v>
      </c>
      <c r="J233" s="180">
        <v>0</v>
      </c>
      <c r="K233" s="180">
        <v>0</v>
      </c>
      <c r="L233" s="180">
        <v>0</v>
      </c>
      <c r="M233" s="180">
        <v>0</v>
      </c>
      <c r="N233" s="180">
        <v>0</v>
      </c>
      <c r="O233" s="180">
        <v>289.14360712216336</v>
      </c>
      <c r="P233" s="180">
        <v>591.47583629813948</v>
      </c>
      <c r="Q233" s="180">
        <v>935.22268636775004</v>
      </c>
      <c r="R233" s="180">
        <v>1624.9333259727573</v>
      </c>
      <c r="S233" s="180">
        <v>2205.7365858515514</v>
      </c>
      <c r="T233" s="180">
        <v>2785.5897396513146</v>
      </c>
      <c r="U233" s="180">
        <v>3275.0354340040076</v>
      </c>
      <c r="V233" s="180">
        <v>3283.8464121061393</v>
      </c>
      <c r="W233" s="180">
        <v>3144.6483711776755</v>
      </c>
      <c r="X233" s="180">
        <v>3118.5430833315522</v>
      </c>
      <c r="Y233" s="180">
        <v>3087.8650300866616</v>
      </c>
      <c r="Z233" s="180">
        <v>2956.1920233809096</v>
      </c>
      <c r="AA233" s="180">
        <v>2631.7861483834904</v>
      </c>
      <c r="AB233" s="180">
        <v>2469.7049636033007</v>
      </c>
      <c r="AC233" s="180">
        <v>2274.0516233254057</v>
      </c>
      <c r="AD233" s="180">
        <v>1199.060958197676</v>
      </c>
      <c r="AE233" s="180">
        <v>976.27250272243441</v>
      </c>
      <c r="AF233" s="180">
        <v>1187.6906289425324</v>
      </c>
      <c r="AG233" s="180">
        <v>1601.5777195452708</v>
      </c>
      <c r="AH233" s="180">
        <v>1879.0264079691169</v>
      </c>
      <c r="AI233" s="180">
        <v>2180.8773375952183</v>
      </c>
      <c r="AJ233" s="180">
        <v>2506.8963323529015</v>
      </c>
      <c r="AK233" s="180">
        <v>2462.6751617465793</v>
      </c>
      <c r="AL233" s="180">
        <v>2471.9913944165578</v>
      </c>
      <c r="AM233" s="180">
        <v>2464.7888556050461</v>
      </c>
      <c r="AN233" s="180">
        <v>2453.1398463597307</v>
      </c>
      <c r="AO233" s="180">
        <v>2315.9523350674176</v>
      </c>
      <c r="AP233" s="180">
        <v>2488.6583783569176</v>
      </c>
      <c r="AQ233" s="180">
        <v>2549.6647079999116</v>
      </c>
      <c r="AR233" s="180">
        <v>2333.0048181377006</v>
      </c>
      <c r="AS233" s="180">
        <v>1057.0576076568718</v>
      </c>
    </row>
    <row r="234" spans="2:45">
      <c r="B234" s="532"/>
      <c r="C234" s="180"/>
      <c r="D234" s="180" t="s">
        <v>842</v>
      </c>
      <c r="E234" s="180"/>
      <c r="F234" s="180"/>
      <c r="G234" s="180" t="s">
        <v>838</v>
      </c>
      <c r="H234" s="180"/>
      <c r="I234" s="180">
        <v>1902.9147254537879</v>
      </c>
      <c r="J234" s="180">
        <v>0</v>
      </c>
      <c r="K234" s="180">
        <v>0</v>
      </c>
      <c r="L234" s="180">
        <v>0</v>
      </c>
      <c r="M234" s="180">
        <v>0</v>
      </c>
      <c r="N234" s="180">
        <v>0</v>
      </c>
      <c r="O234" s="180">
        <v>32.540284095622418</v>
      </c>
      <c r="P234" s="180">
        <v>45.424926998664588</v>
      </c>
      <c r="Q234" s="180">
        <v>43.32495718268224</v>
      </c>
      <c r="R234" s="180">
        <v>39.984335870679857</v>
      </c>
      <c r="S234" s="180">
        <v>37.610888387959612</v>
      </c>
      <c r="T234" s="180">
        <v>37.084778633671519</v>
      </c>
      <c r="U234" s="180">
        <v>30.957187360039441</v>
      </c>
      <c r="V234" s="180">
        <v>20.895059782518157</v>
      </c>
      <c r="W234" s="180">
        <v>21.973515705283042</v>
      </c>
      <c r="X234" s="180">
        <v>23.984460841635165</v>
      </c>
      <c r="Y234" s="180">
        <v>26.022564314279251</v>
      </c>
      <c r="Z234" s="180">
        <v>35.248842175204608</v>
      </c>
      <c r="AA234" s="180">
        <v>48.145757582849349</v>
      </c>
      <c r="AB234" s="180">
        <v>61.287641017029706</v>
      </c>
      <c r="AC234" s="180">
        <v>75.07528728885525</v>
      </c>
      <c r="AD234" s="180">
        <v>89.464494738366909</v>
      </c>
      <c r="AE234" s="180">
        <v>95.298947672568303</v>
      </c>
      <c r="AF234" s="180">
        <v>60.331354519075383</v>
      </c>
      <c r="AG234" s="180">
        <v>65.229139903918608</v>
      </c>
      <c r="AH234" s="180">
        <v>70.670027093286521</v>
      </c>
      <c r="AI234" s="180">
        <v>93.831335783929518</v>
      </c>
      <c r="AJ234" s="180">
        <v>100.06900645495963</v>
      </c>
      <c r="AK234" s="180">
        <v>97.014019422135632</v>
      </c>
      <c r="AL234" s="180">
        <v>93.659979728786794</v>
      </c>
      <c r="AM234" s="180">
        <v>89.918622861803087</v>
      </c>
      <c r="AN234" s="180">
        <v>97.236415991826021</v>
      </c>
      <c r="AO234" s="180">
        <v>91.545938141112742</v>
      </c>
      <c r="AP234" s="180">
        <v>78.821022222588169</v>
      </c>
      <c r="AQ234" s="180">
        <v>71.999200093309028</v>
      </c>
      <c r="AR234" s="180">
        <v>66.236694453608052</v>
      </c>
      <c r="AS234" s="180">
        <v>62.02803913553894</v>
      </c>
    </row>
    <row r="235" spans="2:45">
      <c r="B235" s="532"/>
      <c r="C235" s="180"/>
      <c r="D235" s="180" t="s">
        <v>843</v>
      </c>
      <c r="E235" s="180"/>
      <c r="F235" s="180"/>
      <c r="G235" s="180" t="s">
        <v>838</v>
      </c>
      <c r="H235" s="180"/>
      <c r="I235" s="180">
        <v>0</v>
      </c>
      <c r="J235" s="180">
        <v>0</v>
      </c>
      <c r="K235" s="180">
        <v>0</v>
      </c>
      <c r="L235" s="180">
        <v>0</v>
      </c>
      <c r="M235" s="180">
        <v>0</v>
      </c>
      <c r="N235" s="180">
        <v>0</v>
      </c>
      <c r="O235" s="180">
        <v>0</v>
      </c>
      <c r="P235" s="180">
        <v>0</v>
      </c>
      <c r="Q235" s="180">
        <v>0</v>
      </c>
      <c r="R235" s="180">
        <v>0</v>
      </c>
      <c r="S235" s="180">
        <v>0</v>
      </c>
      <c r="T235" s="180">
        <v>0</v>
      </c>
      <c r="U235" s="180">
        <v>0</v>
      </c>
      <c r="V235" s="180">
        <v>0</v>
      </c>
      <c r="W235" s="180">
        <v>0</v>
      </c>
      <c r="X235" s="180">
        <v>0</v>
      </c>
      <c r="Y235" s="180">
        <v>0</v>
      </c>
      <c r="Z235" s="180">
        <v>0</v>
      </c>
      <c r="AA235" s="180">
        <v>0</v>
      </c>
      <c r="AB235" s="180">
        <v>0</v>
      </c>
      <c r="AC235" s="180">
        <v>0</v>
      </c>
      <c r="AD235" s="180">
        <v>0</v>
      </c>
      <c r="AE235" s="180">
        <v>0</v>
      </c>
      <c r="AF235" s="180">
        <v>0</v>
      </c>
      <c r="AG235" s="180">
        <v>0</v>
      </c>
      <c r="AH235" s="180">
        <v>0</v>
      </c>
      <c r="AI235" s="180">
        <v>0</v>
      </c>
      <c r="AJ235" s="180">
        <v>0</v>
      </c>
      <c r="AK235" s="180">
        <v>0</v>
      </c>
      <c r="AL235" s="180">
        <v>0</v>
      </c>
      <c r="AM235" s="180">
        <v>0</v>
      </c>
      <c r="AN235" s="180">
        <v>0</v>
      </c>
      <c r="AO235" s="180">
        <v>0</v>
      </c>
      <c r="AP235" s="180">
        <v>0</v>
      </c>
      <c r="AQ235" s="180">
        <v>0</v>
      </c>
      <c r="AR235" s="180">
        <v>0</v>
      </c>
      <c r="AS235" s="180">
        <v>0</v>
      </c>
    </row>
    <row r="236" spans="2:45">
      <c r="B236" s="532"/>
      <c r="C236" s="180"/>
      <c r="D236" s="180" t="s">
        <v>774</v>
      </c>
      <c r="E236" s="180"/>
      <c r="F236" s="180"/>
      <c r="G236" s="180" t="s">
        <v>838</v>
      </c>
      <c r="H236" s="180"/>
      <c r="I236" s="180">
        <v>15066.139389372165</v>
      </c>
      <c r="J236" s="180">
        <v>1087.9955782046422</v>
      </c>
      <c r="K236" s="180">
        <v>1096.849066293659</v>
      </c>
      <c r="L236" s="180">
        <v>1102.9134841221071</v>
      </c>
      <c r="M236" s="180">
        <v>1108.8615100127827</v>
      </c>
      <c r="N236" s="180">
        <v>1114.7207554519268</v>
      </c>
      <c r="O236" s="180">
        <v>1008.6840244612711</v>
      </c>
      <c r="P236" s="180">
        <v>972.06214884538383</v>
      </c>
      <c r="Q236" s="180">
        <v>911.51414453618645</v>
      </c>
      <c r="R236" s="180">
        <v>872.18876222278436</v>
      </c>
      <c r="S236" s="180">
        <v>833.05054808237514</v>
      </c>
      <c r="T236" s="180">
        <v>421.45904794730217</v>
      </c>
      <c r="U236" s="180">
        <v>387.77683225682853</v>
      </c>
      <c r="V236" s="180">
        <v>355.5907302764881</v>
      </c>
      <c r="W236" s="180">
        <v>323.12639368639424</v>
      </c>
      <c r="X236" s="180">
        <v>292.43748558864638</v>
      </c>
      <c r="Y236" s="180">
        <v>479.06528061717853</v>
      </c>
      <c r="Z236" s="180">
        <v>451.03583490867049</v>
      </c>
      <c r="AA236" s="180">
        <v>420.86374614936807</v>
      </c>
      <c r="AB236" s="180">
        <v>372.322418829725</v>
      </c>
      <c r="AC236" s="180">
        <v>273.98215585455046</v>
      </c>
      <c r="AD236" s="180">
        <v>195.92612071946007</v>
      </c>
      <c r="AE236" s="180">
        <v>155.7247300975572</v>
      </c>
      <c r="AF236" s="180">
        <v>95.466896015572132</v>
      </c>
      <c r="AG236" s="180">
        <v>72.300596363084594</v>
      </c>
      <c r="AH236" s="180">
        <v>65.267871397575647</v>
      </c>
      <c r="AI236" s="180">
        <v>58.995248064744089</v>
      </c>
      <c r="AJ236" s="180">
        <v>54.768730116269488</v>
      </c>
      <c r="AK236" s="180">
        <v>54.105534621228415</v>
      </c>
      <c r="AL236" s="180">
        <v>53.463673569975207</v>
      </c>
      <c r="AM236" s="180">
        <v>52.842063636736988</v>
      </c>
      <c r="AN236" s="180">
        <v>52.239680053938145</v>
      </c>
      <c r="AO236" s="180">
        <v>56.553024287791935</v>
      </c>
      <c r="AP236" s="180">
        <v>52.970242183567009</v>
      </c>
      <c r="AQ236" s="180">
        <v>52.968106175564337</v>
      </c>
      <c r="AR236" s="180">
        <v>52.99504841420994</v>
      </c>
      <c r="AS236" s="180">
        <v>53.051875306621007</v>
      </c>
    </row>
    <row r="237" spans="2:45">
      <c r="B237" s="532"/>
      <c r="C237" s="180"/>
      <c r="D237" s="180" t="s">
        <v>218</v>
      </c>
      <c r="E237" s="180"/>
      <c r="F237" s="180"/>
      <c r="G237" s="180" t="s">
        <v>838</v>
      </c>
      <c r="H237" s="180"/>
      <c r="I237" s="180">
        <v>721.55480858475278</v>
      </c>
      <c r="J237" s="180">
        <v>44.276507148056631</v>
      </c>
      <c r="K237" s="180">
        <v>45.05018342737015</v>
      </c>
      <c r="L237" s="180">
        <v>45.731821897372939</v>
      </c>
      <c r="M237" s="180">
        <v>46.403658939220549</v>
      </c>
      <c r="N237" s="180">
        <v>47.068279140944107</v>
      </c>
      <c r="O237" s="180">
        <v>44.196102909371774</v>
      </c>
      <c r="P237" s="180">
        <v>43.369404611956092</v>
      </c>
      <c r="Q237" s="180">
        <v>41.507111301792513</v>
      </c>
      <c r="R237" s="180">
        <v>39.932711830132476</v>
      </c>
      <c r="S237" s="180">
        <v>38.0760331076714</v>
      </c>
      <c r="T237" s="180">
        <v>35.452416610276821</v>
      </c>
      <c r="U237" s="180">
        <v>31.774352039082547</v>
      </c>
      <c r="V237" s="180">
        <v>28.33364095714753</v>
      </c>
      <c r="W237" s="180">
        <v>24.810449977304767</v>
      </c>
      <c r="X237" s="180">
        <v>21.422225153038745</v>
      </c>
      <c r="Y237" s="180">
        <v>24.453843322287298</v>
      </c>
      <c r="Z237" s="180">
        <v>21.319214773643328</v>
      </c>
      <c r="AA237" s="180">
        <v>18.089405637871057</v>
      </c>
      <c r="AB237" s="180">
        <v>14.671170533299437</v>
      </c>
      <c r="AC237" s="180">
        <v>10.830131587412238</v>
      </c>
      <c r="AD237" s="180">
        <v>7.583209413778091</v>
      </c>
      <c r="AE237" s="180">
        <v>6.4795179343339431</v>
      </c>
      <c r="AF237" s="180">
        <v>4.408769524141162</v>
      </c>
      <c r="AG237" s="180">
        <v>3.5568256662260085</v>
      </c>
      <c r="AH237" s="180">
        <v>3.244424414320191</v>
      </c>
      <c r="AI237" s="180">
        <v>2.9888661248361661</v>
      </c>
      <c r="AJ237" s="180">
        <v>2.6906410722750675</v>
      </c>
      <c r="AK237" s="180">
        <v>2.6498246317910867</v>
      </c>
      <c r="AL237" s="180">
        <v>2.6089741919893958</v>
      </c>
      <c r="AM237" s="180">
        <v>2.5680415076260403</v>
      </c>
      <c r="AN237" s="180">
        <v>2.5269856088029399</v>
      </c>
      <c r="AO237" s="180">
        <v>2.9698721315444128</v>
      </c>
      <c r="AP237" s="180">
        <v>2.6202067670261702</v>
      </c>
      <c r="AQ237" s="180">
        <v>2.6241295034754835</v>
      </c>
      <c r="AR237" s="180">
        <v>2.6294883875336397</v>
      </c>
      <c r="AS237" s="180">
        <v>2.6363667998005935</v>
      </c>
    </row>
    <row r="238" spans="2:45">
      <c r="B238" s="532"/>
      <c r="C238" s="180"/>
      <c r="D238" s="180" t="s">
        <v>800</v>
      </c>
      <c r="E238" s="180"/>
      <c r="F238" s="180"/>
      <c r="G238" s="180" t="s">
        <v>838</v>
      </c>
      <c r="H238" s="180"/>
      <c r="I238" s="180">
        <v>6020.1678412009214</v>
      </c>
      <c r="J238" s="180">
        <v>54.086680515791095</v>
      </c>
      <c r="K238" s="180">
        <v>53.337526664008067</v>
      </c>
      <c r="L238" s="180">
        <v>52.569861772937969</v>
      </c>
      <c r="M238" s="180">
        <v>51.783685842580972</v>
      </c>
      <c r="N238" s="180">
        <v>50.978998872937019</v>
      </c>
      <c r="O238" s="180">
        <v>46.285049817252244</v>
      </c>
      <c r="P238" s="180">
        <v>146.82115963132725</v>
      </c>
      <c r="Q238" s="180">
        <v>144.27909493988722</v>
      </c>
      <c r="R238" s="180">
        <v>141.69651921098713</v>
      </c>
      <c r="S238" s="180">
        <v>139.06728806727958</v>
      </c>
      <c r="T238" s="180">
        <v>136.38798256604068</v>
      </c>
      <c r="U238" s="180">
        <v>135.89679582079015</v>
      </c>
      <c r="V238" s="180">
        <v>136.2416179788745</v>
      </c>
      <c r="W238" s="180">
        <v>136.60571434655907</v>
      </c>
      <c r="X238" s="180">
        <v>136.99635290571581</v>
      </c>
      <c r="Y238" s="180">
        <v>137.42858436257183</v>
      </c>
      <c r="Z238" s="180">
        <v>137.92959506356598</v>
      </c>
      <c r="AA238" s="180">
        <v>138.546556010741</v>
      </c>
      <c r="AB238" s="180">
        <v>139.36018405826115</v>
      </c>
      <c r="AC238" s="180">
        <v>140.50788500276664</v>
      </c>
      <c r="AD238" s="180">
        <v>175.76660489394578</v>
      </c>
      <c r="AE238" s="180">
        <v>181.56398527926339</v>
      </c>
      <c r="AF238" s="180">
        <v>181.80088293805193</v>
      </c>
      <c r="AG238" s="180">
        <v>182.03568536984037</v>
      </c>
      <c r="AH238" s="180">
        <v>182.26831230252662</v>
      </c>
      <c r="AI238" s="180">
        <v>179.16135758956185</v>
      </c>
      <c r="AJ238" s="180">
        <v>268.45971526355947</v>
      </c>
      <c r="AK238" s="180">
        <v>268.45549915240173</v>
      </c>
      <c r="AL238" s="180">
        <v>268.46513682871233</v>
      </c>
      <c r="AM238" s="180">
        <v>268.48231934697577</v>
      </c>
      <c r="AN238" s="180">
        <v>268.5035167494587</v>
      </c>
      <c r="AO238" s="180">
        <v>267.66253676746902</v>
      </c>
      <c r="AP238" s="180">
        <v>267.66674326949817</v>
      </c>
      <c r="AQ238" s="180">
        <v>267.67644402695862</v>
      </c>
      <c r="AR238" s="180">
        <v>267.68904460836978</v>
      </c>
      <c r="AS238" s="180">
        <v>267.70292336345204</v>
      </c>
    </row>
    <row r="239" spans="2:45">
      <c r="B239" s="532"/>
      <c r="C239" s="180"/>
      <c r="D239" s="180" t="s">
        <v>844</v>
      </c>
      <c r="E239" s="180"/>
      <c r="F239" s="180"/>
      <c r="G239" s="180" t="s">
        <v>838</v>
      </c>
      <c r="H239" s="180"/>
      <c r="I239" s="180">
        <v>36.900711317374814</v>
      </c>
      <c r="J239" s="180">
        <v>0</v>
      </c>
      <c r="K239" s="180">
        <v>0</v>
      </c>
      <c r="L239" s="180">
        <v>0</v>
      </c>
      <c r="M239" s="180">
        <v>0</v>
      </c>
      <c r="N239" s="180">
        <v>0</v>
      </c>
      <c r="O239" s="180">
        <v>0</v>
      </c>
      <c r="P239" s="180">
        <v>4.724533520621585</v>
      </c>
      <c r="Q239" s="180">
        <v>5.4331202479856433</v>
      </c>
      <c r="R239" s="180">
        <v>5.9566620392016612</v>
      </c>
      <c r="S239" s="180">
        <v>6.2422994137271584</v>
      </c>
      <c r="T239" s="180">
        <v>6.2327452173322175</v>
      </c>
      <c r="U239" s="180">
        <v>3.1419098368328804</v>
      </c>
      <c r="V239" s="180">
        <v>2.4935420909025279</v>
      </c>
      <c r="W239" s="180">
        <v>1.7535854329861686</v>
      </c>
      <c r="X239" s="180">
        <v>0.92231351778497117</v>
      </c>
      <c r="Y239" s="180">
        <v>0</v>
      </c>
      <c r="Z239" s="180">
        <v>0</v>
      </c>
      <c r="AA239" s="180">
        <v>0</v>
      </c>
      <c r="AB239" s="180">
        <v>0</v>
      </c>
      <c r="AC239" s="180">
        <v>0</v>
      </c>
      <c r="AD239" s="180">
        <v>0</v>
      </c>
      <c r="AE239" s="180">
        <v>0</v>
      </c>
      <c r="AF239" s="180">
        <v>0</v>
      </c>
      <c r="AG239" s="180">
        <v>0</v>
      </c>
      <c r="AH239" s="180">
        <v>0</v>
      </c>
      <c r="AI239" s="180">
        <v>0</v>
      </c>
      <c r="AJ239" s="180">
        <v>0</v>
      </c>
      <c r="AK239" s="180">
        <v>0</v>
      </c>
      <c r="AL239" s="180">
        <v>0</v>
      </c>
      <c r="AM239" s="180">
        <v>0</v>
      </c>
      <c r="AN239" s="180">
        <v>0</v>
      </c>
      <c r="AO239" s="180">
        <v>0</v>
      </c>
      <c r="AP239" s="180">
        <v>0</v>
      </c>
      <c r="AQ239" s="180">
        <v>0</v>
      </c>
      <c r="AR239" s="180">
        <v>0</v>
      </c>
      <c r="AS239" s="180">
        <v>0</v>
      </c>
    </row>
    <row r="240" spans="2:45">
      <c r="B240" s="532"/>
      <c r="C240" s="180"/>
      <c r="D240" s="180" t="s">
        <v>845</v>
      </c>
      <c r="E240" s="180"/>
      <c r="F240" s="180"/>
      <c r="G240" s="180" t="s">
        <v>838</v>
      </c>
      <c r="H240" s="180"/>
      <c r="I240" s="180">
        <v>0</v>
      </c>
      <c r="J240" s="180">
        <v>0</v>
      </c>
      <c r="K240" s="180">
        <v>0</v>
      </c>
      <c r="L240" s="180">
        <v>0</v>
      </c>
      <c r="M240" s="180">
        <v>0</v>
      </c>
      <c r="N240" s="180">
        <v>0</v>
      </c>
      <c r="O240" s="180">
        <v>0</v>
      </c>
      <c r="P240" s="180">
        <v>0</v>
      </c>
      <c r="Q240" s="180">
        <v>0</v>
      </c>
      <c r="R240" s="180">
        <v>0</v>
      </c>
      <c r="S240" s="180">
        <v>0</v>
      </c>
      <c r="T240" s="180">
        <v>0</v>
      </c>
      <c r="U240" s="180">
        <v>0</v>
      </c>
      <c r="V240" s="180">
        <v>0</v>
      </c>
      <c r="W240" s="180">
        <v>0</v>
      </c>
      <c r="X240" s="180">
        <v>0</v>
      </c>
      <c r="Y240" s="180">
        <v>0</v>
      </c>
      <c r="Z240" s="180">
        <v>0</v>
      </c>
      <c r="AA240" s="180">
        <v>0</v>
      </c>
      <c r="AB240" s="180">
        <v>0</v>
      </c>
      <c r="AC240" s="180">
        <v>0</v>
      </c>
      <c r="AD240" s="180">
        <v>0</v>
      </c>
      <c r="AE240" s="180">
        <v>0</v>
      </c>
      <c r="AF240" s="180">
        <v>0</v>
      </c>
      <c r="AG240" s="180">
        <v>0</v>
      </c>
      <c r="AH240" s="180">
        <v>0</v>
      </c>
      <c r="AI240" s="180">
        <v>0</v>
      </c>
      <c r="AJ240" s="180">
        <v>0</v>
      </c>
      <c r="AK240" s="180">
        <v>0</v>
      </c>
      <c r="AL240" s="180">
        <v>0</v>
      </c>
      <c r="AM240" s="180">
        <v>0</v>
      </c>
      <c r="AN240" s="180">
        <v>0</v>
      </c>
      <c r="AO240" s="180">
        <v>0</v>
      </c>
      <c r="AP240" s="180">
        <v>0</v>
      </c>
      <c r="AQ240" s="180">
        <v>0</v>
      </c>
      <c r="AR240" s="180">
        <v>0</v>
      </c>
      <c r="AS240" s="180">
        <v>0</v>
      </c>
    </row>
    <row r="241" spans="2:45">
      <c r="B241" s="532"/>
      <c r="C241" s="180"/>
      <c r="D241" s="180" t="s">
        <v>846</v>
      </c>
      <c r="E241" s="180"/>
      <c r="F241" s="180"/>
      <c r="G241" s="180" t="s">
        <v>838</v>
      </c>
      <c r="H241" s="180"/>
      <c r="I241" s="180">
        <v>636.18182179097903</v>
      </c>
      <c r="J241" s="180">
        <v>0</v>
      </c>
      <c r="K241" s="180">
        <v>0</v>
      </c>
      <c r="L241" s="180">
        <v>0</v>
      </c>
      <c r="M241" s="180">
        <v>0</v>
      </c>
      <c r="N241" s="180">
        <v>0</v>
      </c>
      <c r="O241" s="180">
        <v>0</v>
      </c>
      <c r="P241" s="180">
        <v>9.6170183864023535</v>
      </c>
      <c r="Q241" s="180">
        <v>12.093012778097192</v>
      </c>
      <c r="R241" s="180">
        <v>14.846854674687231</v>
      </c>
      <c r="S241" s="180">
        <v>17.878544076172489</v>
      </c>
      <c r="T241" s="180">
        <v>21.156158109627107</v>
      </c>
      <c r="U241" s="180">
        <v>13.059620204587809</v>
      </c>
      <c r="V241" s="180">
        <v>13.815129090668433</v>
      </c>
      <c r="W241" s="180">
        <v>14.568806000983612</v>
      </c>
      <c r="X241" s="180">
        <v>15.32065093553361</v>
      </c>
      <c r="Y241" s="180">
        <v>16.059590620483636</v>
      </c>
      <c r="Z241" s="180">
        <v>22.033661048604326</v>
      </c>
      <c r="AA241" s="180">
        <v>22.909358696230381</v>
      </c>
      <c r="AB241" s="180">
        <v>24.074746357541574</v>
      </c>
      <c r="AC241" s="180">
        <v>25.164537512690369</v>
      </c>
      <c r="AD241" s="180">
        <v>26.253944574050447</v>
      </c>
      <c r="AE241" s="180">
        <v>27.34298125752942</v>
      </c>
      <c r="AF241" s="180">
        <v>28.374659435563633</v>
      </c>
      <c r="AG241" s="180">
        <v>29.455948474553342</v>
      </c>
      <c r="AH241" s="180">
        <v>29.747710376642267</v>
      </c>
      <c r="AI241" s="180">
        <v>29.395292498590525</v>
      </c>
      <c r="AJ241" s="180">
        <v>29.763046344916255</v>
      </c>
      <c r="AK241" s="180">
        <v>29.898097275218912</v>
      </c>
      <c r="AL241" s="180">
        <v>21.448941284128193</v>
      </c>
      <c r="AM241" s="180">
        <v>21.378445781947931</v>
      </c>
      <c r="AN241" s="180">
        <v>20.198455653464588</v>
      </c>
      <c r="AO241" s="180">
        <v>21.400741890045079</v>
      </c>
      <c r="AP241" s="180">
        <v>21.787135250694771</v>
      </c>
      <c r="AQ241" s="180">
        <v>21.041338808615375</v>
      </c>
      <c r="AR241" s="180">
        <v>17.751651562388851</v>
      </c>
      <c r="AS241" s="180">
        <v>18.345742830319388</v>
      </c>
    </row>
    <row r="242" spans="2:45">
      <c r="B242" s="532"/>
      <c r="C242" s="180"/>
      <c r="D242" s="180"/>
      <c r="E242" s="180"/>
      <c r="F242" s="180"/>
      <c r="G242" s="180"/>
      <c r="H242" s="180"/>
      <c r="I242" s="180"/>
      <c r="J242" s="180"/>
      <c r="K242" s="180"/>
      <c r="L242" s="180"/>
      <c r="M242" s="180"/>
      <c r="N242" s="180"/>
      <c r="O242" s="180"/>
      <c r="P242" s="180"/>
      <c r="Q242" s="180"/>
      <c r="R242" s="180"/>
      <c r="S242" s="180"/>
      <c r="T242" s="180"/>
      <c r="U242" s="180"/>
      <c r="V242" s="180"/>
      <c r="W242" s="180"/>
      <c r="X242" s="180"/>
      <c r="Y242" s="180"/>
      <c r="Z242" s="180"/>
      <c r="AA242" s="180"/>
      <c r="AB242" s="180"/>
      <c r="AC242" s="180"/>
      <c r="AD242" s="180"/>
      <c r="AE242" s="180"/>
      <c r="AF242" s="180"/>
      <c r="AG242" s="180"/>
      <c r="AH242" s="180"/>
      <c r="AI242" s="180"/>
      <c r="AJ242" s="180"/>
      <c r="AK242" s="180"/>
      <c r="AL242" s="180"/>
      <c r="AM242" s="180"/>
      <c r="AN242" s="180"/>
      <c r="AO242" s="180"/>
      <c r="AP242" s="180"/>
      <c r="AQ242" s="180"/>
      <c r="AR242" s="180"/>
      <c r="AS242" s="180"/>
    </row>
    <row r="243" spans="2:45">
      <c r="B243" s="532"/>
      <c r="C243" s="180" t="s">
        <v>847</v>
      </c>
      <c r="D243" s="180" t="s">
        <v>142</v>
      </c>
      <c r="E243" s="180"/>
      <c r="F243" s="180"/>
      <c r="G243" s="180" t="s">
        <v>838</v>
      </c>
      <c r="H243" s="180"/>
      <c r="I243" s="180">
        <v>8435.521452682251</v>
      </c>
      <c r="J243" s="180">
        <v>8.3111704883093438</v>
      </c>
      <c r="K243" s="180">
        <v>8.7797742566947683</v>
      </c>
      <c r="L243" s="180">
        <v>10.081120114249245</v>
      </c>
      <c r="M243" s="180">
        <v>52.087398176774293</v>
      </c>
      <c r="N243" s="180">
        <v>27.4015085506087</v>
      </c>
      <c r="O243" s="180">
        <v>90.75918311851737</v>
      </c>
      <c r="P243" s="180">
        <v>115.90829121670927</v>
      </c>
      <c r="Q243" s="180">
        <v>199.43853978990148</v>
      </c>
      <c r="R243" s="180">
        <v>222.19448770123839</v>
      </c>
      <c r="S243" s="180">
        <v>220.75997619919059</v>
      </c>
      <c r="T243" s="180">
        <v>235.88048762642802</v>
      </c>
      <c r="U243" s="180">
        <v>306.21560602716994</v>
      </c>
      <c r="V243" s="180">
        <v>321.11557797539939</v>
      </c>
      <c r="W243" s="180">
        <v>302.85762586983071</v>
      </c>
      <c r="X243" s="180">
        <v>302.96187916625632</v>
      </c>
      <c r="Y243" s="180">
        <v>323.71897526449493</v>
      </c>
      <c r="Z243" s="180">
        <v>322.49791428946753</v>
      </c>
      <c r="AA243" s="180">
        <v>310.25542516008693</v>
      </c>
      <c r="AB243" s="180">
        <v>335.92379107060674</v>
      </c>
      <c r="AC243" s="180">
        <v>341.30481161250373</v>
      </c>
      <c r="AD243" s="180">
        <v>372.32364374198573</v>
      </c>
      <c r="AE243" s="180">
        <v>295.90024464939631</v>
      </c>
      <c r="AF243" s="180">
        <v>343.5467824661406</v>
      </c>
      <c r="AG243" s="180">
        <v>336.79464679326946</v>
      </c>
      <c r="AH243" s="180">
        <v>326.76424214646153</v>
      </c>
      <c r="AI243" s="180">
        <v>337.35396386589434</v>
      </c>
      <c r="AJ243" s="180">
        <v>321.4907971306111</v>
      </c>
      <c r="AK243" s="180">
        <v>321.97949336564307</v>
      </c>
      <c r="AL243" s="180">
        <v>311.52719571780108</v>
      </c>
      <c r="AM243" s="180">
        <v>304.62845401499243</v>
      </c>
      <c r="AN243" s="180">
        <v>291.05300481701084</v>
      </c>
      <c r="AO243" s="180">
        <v>177.48121801106007</v>
      </c>
      <c r="AP243" s="180">
        <v>179.09787579196205</v>
      </c>
      <c r="AQ243" s="180">
        <v>163.25629511973429</v>
      </c>
      <c r="AR243" s="180">
        <v>152.70862278675168</v>
      </c>
      <c r="AS243" s="180">
        <v>141.16142858909811</v>
      </c>
    </row>
    <row r="244" spans="2:45">
      <c r="B244" s="532"/>
      <c r="C244" s="180"/>
      <c r="D244" s="180" t="s">
        <v>839</v>
      </c>
      <c r="E244" s="180"/>
      <c r="F244" s="180"/>
      <c r="G244" s="180" t="s">
        <v>840</v>
      </c>
      <c r="H244" s="180"/>
      <c r="I244" s="180"/>
      <c r="J244" s="180">
        <v>8.3111704883093438</v>
      </c>
      <c r="K244" s="180">
        <v>17.090944745004112</v>
      </c>
      <c r="L244" s="180">
        <v>27.172064859253357</v>
      </c>
      <c r="M244" s="180">
        <v>79.259463036027654</v>
      </c>
      <c r="N244" s="180">
        <v>106.66097158663635</v>
      </c>
      <c r="O244" s="180">
        <v>197.42015470515372</v>
      </c>
      <c r="P244" s="180">
        <v>313.32844592186302</v>
      </c>
      <c r="Q244" s="180">
        <v>512.76698571176451</v>
      </c>
      <c r="R244" s="180">
        <v>734.96147341300286</v>
      </c>
      <c r="S244" s="180">
        <v>955.72144961219351</v>
      </c>
      <c r="T244" s="180">
        <v>1191.6019372386215</v>
      </c>
      <c r="U244" s="180">
        <v>1497.8175432657915</v>
      </c>
      <c r="V244" s="180">
        <v>1818.933121241191</v>
      </c>
      <c r="W244" s="180">
        <v>2121.7907471110216</v>
      </c>
      <c r="X244" s="180">
        <v>2424.7526262772781</v>
      </c>
      <c r="Y244" s="180">
        <v>2748.471601541773</v>
      </c>
      <c r="Z244" s="180">
        <v>3070.9695158312406</v>
      </c>
      <c r="AA244" s="180">
        <v>3381.2249409913275</v>
      </c>
      <c r="AB244" s="180">
        <v>3717.1487320619344</v>
      </c>
      <c r="AC244" s="180">
        <v>4058.4535436744382</v>
      </c>
      <c r="AD244" s="180">
        <v>4430.7771874164237</v>
      </c>
      <c r="AE244" s="180">
        <v>4726.6774320658196</v>
      </c>
      <c r="AF244" s="180">
        <v>5070.2242145319606</v>
      </c>
      <c r="AG244" s="180">
        <v>5407.0188613252303</v>
      </c>
      <c r="AH244" s="180">
        <v>5733.7831034716919</v>
      </c>
      <c r="AI244" s="180">
        <v>6071.1370673375859</v>
      </c>
      <c r="AJ244" s="180">
        <v>6392.627864468197</v>
      </c>
      <c r="AK244" s="180">
        <v>6714.6073578338401</v>
      </c>
      <c r="AL244" s="180">
        <v>7026.1345535516411</v>
      </c>
      <c r="AM244" s="180">
        <v>7330.7630075666339</v>
      </c>
      <c r="AN244" s="180">
        <v>7621.8160123836451</v>
      </c>
      <c r="AO244" s="180">
        <v>7799.2972303947054</v>
      </c>
      <c r="AP244" s="180">
        <v>7978.3951061866674</v>
      </c>
      <c r="AQ244" s="180">
        <v>8141.6514013064016</v>
      </c>
      <c r="AR244" s="180">
        <v>8294.3600240931537</v>
      </c>
      <c r="AS244" s="180">
        <v>8435.521452682251</v>
      </c>
    </row>
    <row r="245" spans="2:45">
      <c r="B245" s="532"/>
      <c r="C245" s="180"/>
      <c r="D245" s="180" t="s">
        <v>848</v>
      </c>
      <c r="E245" s="180"/>
      <c r="F245" s="180"/>
      <c r="G245" s="180" t="s">
        <v>838</v>
      </c>
      <c r="H245" s="180"/>
      <c r="I245" s="180">
        <v>313.11904897385631</v>
      </c>
      <c r="J245" s="180">
        <v>0</v>
      </c>
      <c r="K245" s="180">
        <v>0.12478183915516979</v>
      </c>
      <c r="L245" s="180">
        <v>0.12478183915516979</v>
      </c>
      <c r="M245" s="180">
        <v>0.12478183915516981</v>
      </c>
      <c r="N245" s="180">
        <v>0.12478183915516976</v>
      </c>
      <c r="O245" s="180">
        <v>0.12478183915516981</v>
      </c>
      <c r="P245" s="180">
        <v>0</v>
      </c>
      <c r="Q245" s="180">
        <v>0</v>
      </c>
      <c r="R245" s="180">
        <v>0</v>
      </c>
      <c r="S245" s="180">
        <v>0</v>
      </c>
      <c r="T245" s="180">
        <v>0</v>
      </c>
      <c r="U245" s="180">
        <v>0</v>
      </c>
      <c r="V245" s="180">
        <v>0</v>
      </c>
      <c r="W245" s="180">
        <v>0</v>
      </c>
      <c r="X245" s="180">
        <v>0</v>
      </c>
      <c r="Y245" s="180">
        <v>0</v>
      </c>
      <c r="Z245" s="180">
        <v>0</v>
      </c>
      <c r="AA245" s="180">
        <v>0</v>
      </c>
      <c r="AB245" s="180">
        <v>0</v>
      </c>
      <c r="AC245" s="180">
        <v>10.566216581254817</v>
      </c>
      <c r="AD245" s="180">
        <v>41.096889922852306</v>
      </c>
      <c r="AE245" s="180">
        <v>20.336974481738014</v>
      </c>
      <c r="AF245" s="180">
        <v>20.336974481738476</v>
      </c>
      <c r="AG245" s="180">
        <v>20.336974481738014</v>
      </c>
      <c r="AH245" s="180">
        <v>20.336974481738476</v>
      </c>
      <c r="AI245" s="180">
        <v>20.336974481738014</v>
      </c>
      <c r="AJ245" s="180">
        <v>16.08264301225179</v>
      </c>
      <c r="AK245" s="180">
        <v>16.082643012251793</v>
      </c>
      <c r="AL245" s="180">
        <v>16.082643012251772</v>
      </c>
      <c r="AM245" s="180">
        <v>16.082643012251793</v>
      </c>
      <c r="AN245" s="180">
        <v>16.08264301225179</v>
      </c>
      <c r="AO245" s="180">
        <v>15.746789160804495</v>
      </c>
      <c r="AP245" s="180">
        <v>15.746789160804942</v>
      </c>
      <c r="AQ245" s="180">
        <v>15.746789160804484</v>
      </c>
      <c r="AR245" s="180">
        <v>15.746789160804939</v>
      </c>
      <c r="AS245" s="180">
        <v>15.746789160804504</v>
      </c>
    </row>
    <row r="246" spans="2:45">
      <c r="B246" s="532"/>
      <c r="C246" s="180"/>
      <c r="D246" s="180" t="s">
        <v>849</v>
      </c>
      <c r="E246" s="180"/>
      <c r="F246" s="180"/>
      <c r="G246" s="180" t="s">
        <v>838</v>
      </c>
      <c r="H246" s="180"/>
      <c r="I246" s="180">
        <v>258.42707022174636</v>
      </c>
      <c r="J246" s="180">
        <v>0</v>
      </c>
      <c r="K246" s="180">
        <v>0</v>
      </c>
      <c r="L246" s="180">
        <v>0</v>
      </c>
      <c r="M246" s="180">
        <v>0</v>
      </c>
      <c r="N246" s="180">
        <v>0</v>
      </c>
      <c r="O246" s="180">
        <v>0</v>
      </c>
      <c r="P246" s="180">
        <v>0</v>
      </c>
      <c r="Q246" s="180">
        <v>0</v>
      </c>
      <c r="R246" s="180">
        <v>0</v>
      </c>
      <c r="S246" s="180">
        <v>0</v>
      </c>
      <c r="T246" s="180">
        <v>0</v>
      </c>
      <c r="U246" s="180">
        <v>0</v>
      </c>
      <c r="V246" s="180">
        <v>0</v>
      </c>
      <c r="W246" s="180">
        <v>0</v>
      </c>
      <c r="X246" s="180">
        <v>8.1755375568274768</v>
      </c>
      <c r="Y246" s="180">
        <v>36.963398456153513</v>
      </c>
      <c r="Z246" s="180">
        <v>17.302693738379165</v>
      </c>
      <c r="AA246" s="180">
        <v>17.302693738379745</v>
      </c>
      <c r="AB246" s="180">
        <v>17.302693738379165</v>
      </c>
      <c r="AC246" s="180">
        <v>17.302693738379745</v>
      </c>
      <c r="AD246" s="180">
        <v>17.302693738379165</v>
      </c>
      <c r="AE246" s="180">
        <v>13.278589152816568</v>
      </c>
      <c r="AF246" s="180">
        <v>13.278589152816568</v>
      </c>
      <c r="AG246" s="180">
        <v>13.278589152816568</v>
      </c>
      <c r="AH246" s="180">
        <v>13.278589152816568</v>
      </c>
      <c r="AI246" s="180">
        <v>13.162400731685478</v>
      </c>
      <c r="AJ246" s="180">
        <v>12.414530041588709</v>
      </c>
      <c r="AK246" s="180">
        <v>12.257055838186467</v>
      </c>
      <c r="AL246" s="180">
        <v>12.0995816347831</v>
      </c>
      <c r="AM246" s="180">
        <v>11.942107431380842</v>
      </c>
      <c r="AN246" s="180">
        <v>11.784633227977487</v>
      </c>
      <c r="AO246" s="180">
        <v>0</v>
      </c>
      <c r="AP246" s="180">
        <v>0</v>
      </c>
      <c r="AQ246" s="180">
        <v>0</v>
      </c>
      <c r="AR246" s="180">
        <v>0</v>
      </c>
      <c r="AS246" s="180">
        <v>0</v>
      </c>
    </row>
    <row r="247" spans="2:45">
      <c r="B247" s="532"/>
      <c r="C247" s="180"/>
      <c r="D247" s="180" t="s">
        <v>188</v>
      </c>
      <c r="E247" s="180"/>
      <c r="F247" s="180"/>
      <c r="G247" s="180" t="s">
        <v>838</v>
      </c>
      <c r="H247" s="180"/>
      <c r="I247" s="180">
        <v>3052.824955898639</v>
      </c>
      <c r="J247" s="180">
        <v>8.3111704883093438</v>
      </c>
      <c r="K247" s="180">
        <v>8.6549924175395994</v>
      </c>
      <c r="L247" s="180">
        <v>9.9563382750940761</v>
      </c>
      <c r="M247" s="180">
        <v>11.257710895437489</v>
      </c>
      <c r="N247" s="180">
        <v>12.559110278570039</v>
      </c>
      <c r="O247" s="180">
        <v>57.22852911996717</v>
      </c>
      <c r="P247" s="180">
        <v>56.128914702748922</v>
      </c>
      <c r="Q247" s="180">
        <v>68.070635583046936</v>
      </c>
      <c r="R247" s="180">
        <v>71.242241565898325</v>
      </c>
      <c r="S247" s="180">
        <v>74.413805589724873</v>
      </c>
      <c r="T247" s="180">
        <v>77.285700200457214</v>
      </c>
      <c r="U247" s="180">
        <v>145.79821875249857</v>
      </c>
      <c r="V247" s="180">
        <v>147.96883832883515</v>
      </c>
      <c r="W247" s="180">
        <v>150.13932522060495</v>
      </c>
      <c r="X247" s="180">
        <v>152.30960899581322</v>
      </c>
      <c r="Y247" s="180">
        <v>154.47960702922995</v>
      </c>
      <c r="Z247" s="180">
        <v>163.38575661946558</v>
      </c>
      <c r="AA247" s="180">
        <v>163.32893257186251</v>
      </c>
      <c r="AB247" s="180">
        <v>163.27121928267636</v>
      </c>
      <c r="AC247" s="180">
        <v>163.21329573357761</v>
      </c>
      <c r="AD247" s="180">
        <v>163.04991657206148</v>
      </c>
      <c r="AE247" s="180">
        <v>95.476155673724634</v>
      </c>
      <c r="AF247" s="180">
        <v>95.441809751023129</v>
      </c>
      <c r="AG247" s="180">
        <v>95.407329008189535</v>
      </c>
      <c r="AH247" s="180">
        <v>95.372618396044345</v>
      </c>
      <c r="AI247" s="180">
        <v>95.337665715458087</v>
      </c>
      <c r="AJ247" s="180">
        <v>95.30365801334473</v>
      </c>
      <c r="AK247" s="180">
        <v>95.269267541177513</v>
      </c>
      <c r="AL247" s="180">
        <v>95.234895352000677</v>
      </c>
      <c r="AM247" s="180">
        <v>95.200514996098875</v>
      </c>
      <c r="AN247" s="180">
        <v>95.166232849017931</v>
      </c>
      <c r="AO247" s="180">
        <v>15.511857435403074</v>
      </c>
      <c r="AP247" s="180">
        <v>15.512022316914253</v>
      </c>
      <c r="AQ247" s="180">
        <v>15.512187633967434</v>
      </c>
      <c r="AR247" s="180">
        <v>15.512353392794326</v>
      </c>
      <c r="AS247" s="180">
        <v>15.512519600059871</v>
      </c>
    </row>
    <row r="248" spans="2:45">
      <c r="B248" s="532"/>
      <c r="C248" s="180"/>
      <c r="D248" s="180" t="s">
        <v>850</v>
      </c>
      <c r="E248" s="180"/>
      <c r="F248" s="180"/>
      <c r="G248" s="180" t="s">
        <v>838</v>
      </c>
      <c r="H248" s="180"/>
      <c r="I248" s="180">
        <v>303.37651589420204</v>
      </c>
      <c r="J248" s="180">
        <v>0</v>
      </c>
      <c r="K248" s="180">
        <v>0</v>
      </c>
      <c r="L248" s="180">
        <v>0</v>
      </c>
      <c r="M248" s="180">
        <v>0</v>
      </c>
      <c r="N248" s="180">
        <v>0</v>
      </c>
      <c r="O248" s="180">
        <v>0</v>
      </c>
      <c r="P248" s="180">
        <v>0</v>
      </c>
      <c r="Q248" s="180">
        <v>0</v>
      </c>
      <c r="R248" s="180">
        <v>0</v>
      </c>
      <c r="S248" s="180">
        <v>0</v>
      </c>
      <c r="T248" s="180">
        <v>0</v>
      </c>
      <c r="U248" s="180">
        <v>0.47625225809396166</v>
      </c>
      <c r="V248" s="180">
        <v>0.47625225809396166</v>
      </c>
      <c r="W248" s="180">
        <v>0.47625225809396166</v>
      </c>
      <c r="X248" s="180">
        <v>0.47625225809396166</v>
      </c>
      <c r="Y248" s="180">
        <v>0.47625225809396166</v>
      </c>
      <c r="Z248" s="180">
        <v>0.59717523866778033</v>
      </c>
      <c r="AA248" s="180">
        <v>0.59717523866778088</v>
      </c>
      <c r="AB248" s="180">
        <v>0.59717523866778088</v>
      </c>
      <c r="AC248" s="180">
        <v>25.347175238667781</v>
      </c>
      <c r="AD248" s="180">
        <v>25.347175238667781</v>
      </c>
      <c r="AE248" s="180">
        <v>24.951875682078668</v>
      </c>
      <c r="AF248" s="180">
        <v>24.951875682078668</v>
      </c>
      <c r="AG248" s="180">
        <v>24.951875682078668</v>
      </c>
      <c r="AH248" s="180">
        <v>24.951875682078668</v>
      </c>
      <c r="AI248" s="180">
        <v>24.951875682078668</v>
      </c>
      <c r="AJ248" s="180">
        <v>24.75</v>
      </c>
      <c r="AK248" s="180">
        <v>24.75</v>
      </c>
      <c r="AL248" s="180">
        <v>24.75</v>
      </c>
      <c r="AM248" s="180">
        <v>24.75</v>
      </c>
      <c r="AN248" s="180">
        <v>24.75</v>
      </c>
      <c r="AO248" s="180">
        <v>0</v>
      </c>
      <c r="AP248" s="180">
        <v>0</v>
      </c>
      <c r="AQ248" s="180">
        <v>0</v>
      </c>
      <c r="AR248" s="180">
        <v>0</v>
      </c>
      <c r="AS248" s="180">
        <v>0</v>
      </c>
    </row>
    <row r="249" spans="2:45">
      <c r="B249" s="532"/>
      <c r="C249" s="180"/>
      <c r="D249" s="180" t="s">
        <v>826</v>
      </c>
      <c r="E249" s="180"/>
      <c r="F249" s="180"/>
      <c r="G249" s="180" t="s">
        <v>838</v>
      </c>
      <c r="H249" s="180"/>
      <c r="I249" s="180">
        <v>4400.4998616938083</v>
      </c>
      <c r="J249" s="180">
        <v>0</v>
      </c>
      <c r="K249" s="180">
        <v>0</v>
      </c>
      <c r="L249" s="180">
        <v>0</v>
      </c>
      <c r="M249" s="180">
        <v>40.704905442181634</v>
      </c>
      <c r="N249" s="180">
        <v>14.717616432883492</v>
      </c>
      <c r="O249" s="180">
        <v>32.505872159395025</v>
      </c>
      <c r="P249" s="180">
        <v>59.779376513960344</v>
      </c>
      <c r="Q249" s="180">
        <v>131.36790420685455</v>
      </c>
      <c r="R249" s="180">
        <v>150.95224613534006</v>
      </c>
      <c r="S249" s="180">
        <v>141.79367060946569</v>
      </c>
      <c r="T249" s="180">
        <v>158.59478742597082</v>
      </c>
      <c r="U249" s="180">
        <v>159.12213501657743</v>
      </c>
      <c r="V249" s="180">
        <v>163.6149873884703</v>
      </c>
      <c r="W249" s="180">
        <v>152.24204839113185</v>
      </c>
      <c r="X249" s="180">
        <v>141.22198035552168</v>
      </c>
      <c r="Y249" s="180">
        <v>131.79971752101747</v>
      </c>
      <c r="Z249" s="180">
        <v>140.41128869295503</v>
      </c>
      <c r="AA249" s="180">
        <v>129.02662361117692</v>
      </c>
      <c r="AB249" s="180">
        <v>153.87970281088346</v>
      </c>
      <c r="AC249" s="180">
        <v>119.41393032062376</v>
      </c>
      <c r="AD249" s="180">
        <v>121.74696827002504</v>
      </c>
      <c r="AE249" s="180">
        <v>133.38014965903841</v>
      </c>
      <c r="AF249" s="180">
        <v>180.91703339848377</v>
      </c>
      <c r="AG249" s="180">
        <v>179.66087846844667</v>
      </c>
      <c r="AH249" s="180">
        <v>169.55718443378345</v>
      </c>
      <c r="AI249" s="180">
        <v>176.76254725493411</v>
      </c>
      <c r="AJ249" s="180">
        <v>168.43996606342589</v>
      </c>
      <c r="AK249" s="180">
        <v>170.24552697402731</v>
      </c>
      <c r="AL249" s="180">
        <v>158.86007571876556</v>
      </c>
      <c r="AM249" s="180">
        <v>148.7256885752609</v>
      </c>
      <c r="AN249" s="180">
        <v>139.89449572776363</v>
      </c>
      <c r="AO249" s="180">
        <v>140.5975714148525</v>
      </c>
      <c r="AP249" s="180">
        <v>136.21406431424285</v>
      </c>
      <c r="AQ249" s="180">
        <v>129.74731832496238</v>
      </c>
      <c r="AR249" s="180">
        <v>116.9494802331524</v>
      </c>
      <c r="AS249" s="180">
        <v>107.65211982823372</v>
      </c>
    </row>
    <row r="250" spans="2:45">
      <c r="B250" s="532"/>
      <c r="C250" s="180"/>
      <c r="D250" s="180" t="s">
        <v>851</v>
      </c>
      <c r="E250" s="180"/>
      <c r="F250" s="180"/>
      <c r="G250" s="180" t="s">
        <v>838</v>
      </c>
      <c r="H250" s="180"/>
      <c r="I250" s="180">
        <v>107.274</v>
      </c>
      <c r="J250" s="180">
        <v>0</v>
      </c>
      <c r="K250" s="180">
        <v>0</v>
      </c>
      <c r="L250" s="180">
        <v>0</v>
      </c>
      <c r="M250" s="180">
        <v>0</v>
      </c>
      <c r="N250" s="180">
        <v>0</v>
      </c>
      <c r="O250" s="180">
        <v>0.9</v>
      </c>
      <c r="P250" s="180">
        <v>0</v>
      </c>
      <c r="Q250" s="180">
        <v>0</v>
      </c>
      <c r="R250" s="180">
        <v>0</v>
      </c>
      <c r="S250" s="180">
        <v>4.5525000000000002</v>
      </c>
      <c r="T250" s="180">
        <v>0</v>
      </c>
      <c r="U250" s="180">
        <v>0.81899999999999995</v>
      </c>
      <c r="V250" s="180">
        <v>9.0555000000000003</v>
      </c>
      <c r="W250" s="180">
        <v>0</v>
      </c>
      <c r="X250" s="180">
        <v>0.77849999999999997</v>
      </c>
      <c r="Y250" s="180">
        <v>0</v>
      </c>
      <c r="Z250" s="180">
        <v>0.80100000000000005</v>
      </c>
      <c r="AA250" s="180">
        <v>0</v>
      </c>
      <c r="AB250" s="180">
        <v>0.873</v>
      </c>
      <c r="AC250" s="180">
        <v>5.4615</v>
      </c>
      <c r="AD250" s="180">
        <v>3.78</v>
      </c>
      <c r="AE250" s="180">
        <v>8.4764999999999997</v>
      </c>
      <c r="AF250" s="180">
        <v>8.6204999999999998</v>
      </c>
      <c r="AG250" s="180">
        <v>3.1589999999999998</v>
      </c>
      <c r="AH250" s="180">
        <v>3.2669999999999999</v>
      </c>
      <c r="AI250" s="180">
        <v>6.8025000000000002</v>
      </c>
      <c r="AJ250" s="180">
        <v>4.5</v>
      </c>
      <c r="AK250" s="180">
        <v>3.375</v>
      </c>
      <c r="AL250" s="180">
        <v>4.5</v>
      </c>
      <c r="AM250" s="180">
        <v>7.9275000000000002</v>
      </c>
      <c r="AN250" s="180">
        <v>3.375</v>
      </c>
      <c r="AO250" s="180">
        <v>5.625</v>
      </c>
      <c r="AP250" s="180">
        <v>11.625</v>
      </c>
      <c r="AQ250" s="180">
        <v>2.25</v>
      </c>
      <c r="AR250" s="180">
        <v>4.5</v>
      </c>
      <c r="AS250" s="180">
        <v>2.25</v>
      </c>
    </row>
    <row r="251" spans="2:45">
      <c r="B251" s="532"/>
      <c r="C251" s="180"/>
      <c r="D251" s="180"/>
      <c r="E251" s="180"/>
      <c r="F251" s="180"/>
      <c r="G251" s="180"/>
      <c r="H251" s="180"/>
      <c r="I251" s="180"/>
      <c r="J251" s="180"/>
      <c r="K251" s="180"/>
      <c r="L251" s="180"/>
      <c r="M251" s="180"/>
      <c r="N251" s="180"/>
      <c r="O251" s="180"/>
      <c r="P251" s="180"/>
      <c r="Q251" s="180"/>
      <c r="R251" s="180"/>
      <c r="S251" s="180"/>
      <c r="T251" s="180"/>
      <c r="U251" s="180"/>
      <c r="V251" s="180"/>
      <c r="W251" s="180"/>
      <c r="X251" s="180"/>
      <c r="Y251" s="180"/>
      <c r="Z251" s="180"/>
      <c r="AA251" s="180"/>
      <c r="AB251" s="180"/>
      <c r="AC251" s="180"/>
      <c r="AD251" s="180"/>
      <c r="AE251" s="180"/>
      <c r="AF251" s="180"/>
      <c r="AG251" s="180"/>
      <c r="AH251" s="180"/>
      <c r="AI251" s="180"/>
      <c r="AJ251" s="180"/>
      <c r="AK251" s="180"/>
      <c r="AL251" s="180"/>
      <c r="AM251" s="180"/>
      <c r="AN251" s="180"/>
      <c r="AO251" s="180"/>
      <c r="AP251" s="180"/>
      <c r="AQ251" s="180"/>
      <c r="AR251" s="180"/>
      <c r="AS251" s="180"/>
    </row>
    <row r="252" spans="2:45">
      <c r="B252" s="532"/>
      <c r="C252" s="180" t="s">
        <v>852</v>
      </c>
      <c r="D252" s="180" t="s">
        <v>142</v>
      </c>
      <c r="E252" s="180"/>
      <c r="F252" s="180"/>
      <c r="G252" s="180" t="s">
        <v>838</v>
      </c>
      <c r="H252" s="180"/>
      <c r="I252" s="180">
        <v>340845.9662475792</v>
      </c>
      <c r="J252" s="180">
        <v>11030.408793927434</v>
      </c>
      <c r="K252" s="180">
        <v>10467.770415612767</v>
      </c>
      <c r="L252" s="180">
        <v>10682.734417290247</v>
      </c>
      <c r="M252" s="180">
        <v>11264.273324851558</v>
      </c>
      <c r="N252" s="180">
        <v>11367.920887683904</v>
      </c>
      <c r="O252" s="180">
        <v>11071.702657193282</v>
      </c>
      <c r="P252" s="180">
        <v>11561.870976756914</v>
      </c>
      <c r="Q252" s="180">
        <v>11566.383678038719</v>
      </c>
      <c r="R252" s="180">
        <v>11235.106529124101</v>
      </c>
      <c r="S252" s="180">
        <v>10873.771826549419</v>
      </c>
      <c r="T252" s="180">
        <v>10584.813266810554</v>
      </c>
      <c r="U252" s="180">
        <v>10240.234184692627</v>
      </c>
      <c r="V252" s="180">
        <v>9796.7041947843009</v>
      </c>
      <c r="W252" s="180">
        <v>9370.3880645775153</v>
      </c>
      <c r="X252" s="180">
        <v>8984.9671556427129</v>
      </c>
      <c r="Y252" s="180">
        <v>8764.4199735233542</v>
      </c>
      <c r="Z252" s="180">
        <v>8738.9517980280634</v>
      </c>
      <c r="AA252" s="180">
        <v>8573.607464635752</v>
      </c>
      <c r="AB252" s="180">
        <v>8392.7173644487066</v>
      </c>
      <c r="AC252" s="180">
        <v>8343.4603176321561</v>
      </c>
      <c r="AD252" s="180">
        <v>8330.0530171006067</v>
      </c>
      <c r="AE252" s="180">
        <v>8350.502318412724</v>
      </c>
      <c r="AF252" s="180">
        <v>8356.9174425665369</v>
      </c>
      <c r="AG252" s="180">
        <v>8391.3860720872926</v>
      </c>
      <c r="AH252" s="180">
        <v>8426.0343885545481</v>
      </c>
      <c r="AI252" s="180">
        <v>8404.2326367781206</v>
      </c>
      <c r="AJ252" s="180">
        <v>8491.7015933569346</v>
      </c>
      <c r="AK252" s="180">
        <v>8562.77892858222</v>
      </c>
      <c r="AL252" s="180">
        <v>8635.6722212338009</v>
      </c>
      <c r="AM252" s="180">
        <v>8707.6164287976972</v>
      </c>
      <c r="AN252" s="180">
        <v>8785.7600242696481</v>
      </c>
      <c r="AO252" s="180">
        <v>8813.2698052606338</v>
      </c>
      <c r="AP252" s="180">
        <v>8854.6153309380461</v>
      </c>
      <c r="AQ252" s="180">
        <v>8897.2749618809557</v>
      </c>
      <c r="AR252" s="180">
        <v>8940.8558328079398</v>
      </c>
      <c r="AS252" s="180">
        <v>8985.0879531474238</v>
      </c>
    </row>
    <row r="253" spans="2:45">
      <c r="B253" s="532"/>
      <c r="C253" s="180"/>
      <c r="D253" s="180" t="s">
        <v>839</v>
      </c>
      <c r="E253" s="180"/>
      <c r="F253" s="180"/>
      <c r="G253" s="180" t="s">
        <v>840</v>
      </c>
      <c r="H253" s="180"/>
      <c r="I253" s="180"/>
      <c r="J253" s="180">
        <v>11030.408793927434</v>
      </c>
      <c r="K253" s="180">
        <v>21498.179209540202</v>
      </c>
      <c r="L253" s="180">
        <v>32180.91362683045</v>
      </c>
      <c r="M253" s="180">
        <v>43445.186951682008</v>
      </c>
      <c r="N253" s="180">
        <v>54813.107839365912</v>
      </c>
      <c r="O253" s="180">
        <v>65884.810496559192</v>
      </c>
      <c r="P253" s="180">
        <v>77446.681473316101</v>
      </c>
      <c r="Q253" s="180">
        <v>89013.065151354822</v>
      </c>
      <c r="R253" s="180">
        <v>100248.17168047892</v>
      </c>
      <c r="S253" s="180">
        <v>111121.94350702834</v>
      </c>
      <c r="T253" s="180">
        <v>121706.75677383889</v>
      </c>
      <c r="U253" s="180">
        <v>131946.9909585315</v>
      </c>
      <c r="V253" s="180">
        <v>141743.69515331581</v>
      </c>
      <c r="W253" s="180">
        <v>151114.08321789332</v>
      </c>
      <c r="X253" s="180">
        <v>160099.05037353604</v>
      </c>
      <c r="Y253" s="180">
        <v>168863.4703470594</v>
      </c>
      <c r="Z253" s="180">
        <v>177602.42214508745</v>
      </c>
      <c r="AA253" s="180">
        <v>186176.02960972319</v>
      </c>
      <c r="AB253" s="180">
        <v>194568.7469741719</v>
      </c>
      <c r="AC253" s="180">
        <v>202912.20729180405</v>
      </c>
      <c r="AD253" s="180">
        <v>211242.26030890466</v>
      </c>
      <c r="AE253" s="180">
        <v>219592.7626273174</v>
      </c>
      <c r="AF253" s="180">
        <v>227949.68006988394</v>
      </c>
      <c r="AG253" s="180">
        <v>236341.06614197124</v>
      </c>
      <c r="AH253" s="180">
        <v>244767.10053052579</v>
      </c>
      <c r="AI253" s="180">
        <v>253171.33316730391</v>
      </c>
      <c r="AJ253" s="180">
        <v>261663.03476066084</v>
      </c>
      <c r="AK253" s="180">
        <v>270225.81368924305</v>
      </c>
      <c r="AL253" s="180">
        <v>278861.48591047683</v>
      </c>
      <c r="AM253" s="180">
        <v>287569.10233927454</v>
      </c>
      <c r="AN253" s="180">
        <v>296354.86236354418</v>
      </c>
      <c r="AO253" s="180">
        <v>305168.13216880482</v>
      </c>
      <c r="AP253" s="180">
        <v>314022.74749974289</v>
      </c>
      <c r="AQ253" s="180">
        <v>322920.02246162383</v>
      </c>
      <c r="AR253" s="180">
        <v>331860.87829443178</v>
      </c>
      <c r="AS253" s="180">
        <v>340845.9662475792</v>
      </c>
    </row>
    <row r="254" spans="2:45">
      <c r="B254" s="532"/>
      <c r="C254" s="180"/>
      <c r="D254" s="180" t="s">
        <v>775</v>
      </c>
      <c r="E254" s="180"/>
      <c r="F254" s="180"/>
      <c r="G254" s="180" t="s">
        <v>838</v>
      </c>
      <c r="H254" s="180"/>
      <c r="I254" s="180">
        <v>34015.281203387683</v>
      </c>
      <c r="J254" s="180">
        <v>2797.5571606950239</v>
      </c>
      <c r="K254" s="180">
        <v>2445.6796541015892</v>
      </c>
      <c r="L254" s="180">
        <v>2300.3278987247395</v>
      </c>
      <c r="M254" s="180">
        <v>2346.7375759685315</v>
      </c>
      <c r="N254" s="180">
        <v>2356.2992352435103</v>
      </c>
      <c r="O254" s="180">
        <v>2089.8740976740141</v>
      </c>
      <c r="P254" s="180">
        <v>2200.6309306559579</v>
      </c>
      <c r="Q254" s="180">
        <v>2190.2634541184025</v>
      </c>
      <c r="R254" s="180">
        <v>2056.6777670138249</v>
      </c>
      <c r="S254" s="180">
        <v>1878.6384690377245</v>
      </c>
      <c r="T254" s="180">
        <v>1681.0379692481904</v>
      </c>
      <c r="U254" s="180">
        <v>1444.3952817273691</v>
      </c>
      <c r="V254" s="180">
        <v>1221.944097316765</v>
      </c>
      <c r="W254" s="180">
        <v>1029.0223728561607</v>
      </c>
      <c r="X254" s="180">
        <v>860.55220754061111</v>
      </c>
      <c r="Y254" s="180">
        <v>716.1581880314352</v>
      </c>
      <c r="Z254" s="180">
        <v>578.10219513852769</v>
      </c>
      <c r="AA254" s="180">
        <v>458.73803964360792</v>
      </c>
      <c r="AB254" s="180">
        <v>351.03245063179463</v>
      </c>
      <c r="AC254" s="180">
        <v>265.28082926015662</v>
      </c>
      <c r="AD254" s="180">
        <v>232.43960156767113</v>
      </c>
      <c r="AE254" s="180">
        <v>219.65545234756965</v>
      </c>
      <c r="AF254" s="180">
        <v>204.67833985300342</v>
      </c>
      <c r="AG254" s="180">
        <v>191.33893951425497</v>
      </c>
      <c r="AH254" s="180">
        <v>179.78323558521626</v>
      </c>
      <c r="AI254" s="180">
        <v>169.27629055356732</v>
      </c>
      <c r="AJ254" s="180">
        <v>163.90991113232027</v>
      </c>
      <c r="AK254" s="180">
        <v>160.50792996536541</v>
      </c>
      <c r="AL254" s="180">
        <v>157.16096434891412</v>
      </c>
      <c r="AM254" s="180">
        <v>153.86773390517351</v>
      </c>
      <c r="AN254" s="180">
        <v>150.62695917145393</v>
      </c>
      <c r="AO254" s="180">
        <v>152.9383460044578</v>
      </c>
      <c r="AP254" s="180">
        <v>152.72588258993289</v>
      </c>
      <c r="AQ254" s="180">
        <v>152.56529010956751</v>
      </c>
      <c r="AR254" s="180">
        <v>152.45660302721819</v>
      </c>
      <c r="AS254" s="180">
        <v>152.39984908407413</v>
      </c>
    </row>
    <row r="255" spans="2:45">
      <c r="B255" s="532"/>
      <c r="C255" s="180"/>
      <c r="D255" s="180" t="s">
        <v>853</v>
      </c>
      <c r="E255" s="180"/>
      <c r="F255" s="180"/>
      <c r="G255" s="180" t="s">
        <v>838</v>
      </c>
      <c r="H255" s="180"/>
      <c r="I255" s="180">
        <v>219716.06059515767</v>
      </c>
      <c r="J255" s="180">
        <v>5303.763809135241</v>
      </c>
      <c r="K255" s="180">
        <v>5199.3752004741682</v>
      </c>
      <c r="L255" s="180">
        <v>5414.6654549795376</v>
      </c>
      <c r="M255" s="180">
        <v>5837.5779946961347</v>
      </c>
      <c r="N255" s="180">
        <v>6157.3262411297628</v>
      </c>
      <c r="O255" s="180">
        <v>6325.8505353226883</v>
      </c>
      <c r="P255" s="180">
        <v>6714.6321591339229</v>
      </c>
      <c r="Q255" s="180">
        <v>6779.8810843813599</v>
      </c>
      <c r="R255" s="180">
        <v>6628.9867494548707</v>
      </c>
      <c r="S255" s="180">
        <v>6516.8757152699773</v>
      </c>
      <c r="T255" s="180">
        <v>6502.4555195389348</v>
      </c>
      <c r="U255" s="180">
        <v>6453.6363133324021</v>
      </c>
      <c r="V255" s="180">
        <v>6303.3980001912214</v>
      </c>
      <c r="W255" s="180">
        <v>6144.9119197146474</v>
      </c>
      <c r="X255" s="180">
        <v>6007.0188812020415</v>
      </c>
      <c r="Y255" s="180">
        <v>6001.9615053130565</v>
      </c>
      <c r="Z255" s="180">
        <v>6115.8891581533608</v>
      </c>
      <c r="AA255" s="180">
        <v>6092.984184701384</v>
      </c>
      <c r="AB255" s="180">
        <v>6037.1090201018515</v>
      </c>
      <c r="AC255" s="180">
        <v>6017.6863276044196</v>
      </c>
      <c r="AD255" s="180">
        <v>5994.8667014039866</v>
      </c>
      <c r="AE255" s="180">
        <v>5985.6772915674546</v>
      </c>
      <c r="AF255" s="180">
        <v>5969.4868092218849</v>
      </c>
      <c r="AG255" s="180">
        <v>6000.0057444199692</v>
      </c>
      <c r="AH255" s="180">
        <v>6063.2552142265949</v>
      </c>
      <c r="AI255" s="180">
        <v>6020.8653280796871</v>
      </c>
      <c r="AJ255" s="180">
        <v>6033.9888549948182</v>
      </c>
      <c r="AK255" s="180">
        <v>6045.6831921953244</v>
      </c>
      <c r="AL255" s="180">
        <v>6058.0389675632514</v>
      </c>
      <c r="AM255" s="180">
        <v>6071.0410891743404</v>
      </c>
      <c r="AN255" s="180">
        <v>6084.6770691608335</v>
      </c>
      <c r="AO255" s="180">
        <v>6121.8744711290065</v>
      </c>
      <c r="AP255" s="180">
        <v>6144.1793178722128</v>
      </c>
      <c r="AQ255" s="180">
        <v>6166.4909579094192</v>
      </c>
      <c r="AR255" s="180">
        <v>6188.8093533930332</v>
      </c>
      <c r="AS255" s="180">
        <v>6211.1344590148865</v>
      </c>
    </row>
    <row r="256" spans="2:45">
      <c r="B256" s="532"/>
      <c r="C256" s="180"/>
      <c r="D256" s="180" t="s">
        <v>854</v>
      </c>
      <c r="E256" s="180"/>
      <c r="F256" s="180"/>
      <c r="G256" s="180" t="s">
        <v>838</v>
      </c>
      <c r="H256" s="180"/>
      <c r="I256" s="180">
        <v>19839.181593693098</v>
      </c>
      <c r="J256" s="180">
        <v>6.7172139277403486</v>
      </c>
      <c r="K256" s="180">
        <v>8.8916610580756021</v>
      </c>
      <c r="L256" s="180">
        <v>11.846129951793346</v>
      </c>
      <c r="M256" s="180">
        <v>16.790104547378661</v>
      </c>
      <c r="N256" s="180">
        <v>20.919482171586175</v>
      </c>
      <c r="O256" s="180">
        <v>21.33507161911438</v>
      </c>
      <c r="P256" s="180">
        <v>38.067173677498225</v>
      </c>
      <c r="Q256" s="180">
        <v>72.951774740397269</v>
      </c>
      <c r="R256" s="180">
        <v>112.97449032139302</v>
      </c>
      <c r="S256" s="180">
        <v>149.64732125542304</v>
      </c>
      <c r="T256" s="180">
        <v>195.88065984067333</v>
      </c>
      <c r="U256" s="180">
        <v>254.82586048685212</v>
      </c>
      <c r="V256" s="180">
        <v>312.03032242399206</v>
      </c>
      <c r="W256" s="180">
        <v>370.86345916995498</v>
      </c>
      <c r="X256" s="180">
        <v>425.25784081299787</v>
      </c>
      <c r="Y256" s="180">
        <v>491.68407333317879</v>
      </c>
      <c r="Z256" s="180">
        <v>559.5716604833251</v>
      </c>
      <c r="AA256" s="180">
        <v>610.9456870394298</v>
      </c>
      <c r="AB256" s="180">
        <v>656.0423449599773</v>
      </c>
      <c r="AC256" s="180">
        <v>700.58845982427886</v>
      </c>
      <c r="AD256" s="180">
        <v>740.80057256867224</v>
      </c>
      <c r="AE256" s="180">
        <v>779.18997779333188</v>
      </c>
      <c r="AF256" s="180">
        <v>817.29954459817964</v>
      </c>
      <c r="AG256" s="180">
        <v>843.92330860295851</v>
      </c>
      <c r="AH256" s="180">
        <v>887.45684154195988</v>
      </c>
      <c r="AI256" s="180">
        <v>902.04898257594994</v>
      </c>
      <c r="AJ256" s="180">
        <v>918.74628850260854</v>
      </c>
      <c r="AK256" s="180">
        <v>933.71451016538924</v>
      </c>
      <c r="AL256" s="180">
        <v>947.18129568592212</v>
      </c>
      <c r="AM256" s="180">
        <v>959.52610673327297</v>
      </c>
      <c r="AN256" s="180">
        <v>970.95611415005067</v>
      </c>
      <c r="AO256" s="180">
        <v>986.06221321203304</v>
      </c>
      <c r="AP256" s="180">
        <v>1003.306422061643</v>
      </c>
      <c r="AQ256" s="180">
        <v>1020.3015217319236</v>
      </c>
      <c r="AR256" s="180">
        <v>1037.0662404353318</v>
      </c>
      <c r="AS256" s="180">
        <v>1053.7708616888106</v>
      </c>
    </row>
    <row r="257" spans="2:45">
      <c r="B257" s="532"/>
      <c r="C257" s="180"/>
      <c r="D257" s="180" t="s">
        <v>212</v>
      </c>
      <c r="E257" s="180"/>
      <c r="F257" s="180"/>
      <c r="G257" s="180" t="s">
        <v>838</v>
      </c>
      <c r="H257" s="180"/>
      <c r="I257" s="180">
        <v>14658.30304498809</v>
      </c>
      <c r="J257" s="180">
        <v>1072.8802340110697</v>
      </c>
      <c r="K257" s="180">
        <v>990.8316516333183</v>
      </c>
      <c r="L257" s="180">
        <v>1009.8413452664861</v>
      </c>
      <c r="M257" s="180">
        <v>1029.242544582464</v>
      </c>
      <c r="N257" s="180">
        <v>965.43288273244275</v>
      </c>
      <c r="O257" s="180">
        <v>908.60836619910094</v>
      </c>
      <c r="P257" s="180">
        <v>881.76680377764546</v>
      </c>
      <c r="Q257" s="180">
        <v>841.35730103024798</v>
      </c>
      <c r="R257" s="180">
        <v>805.41283430415342</v>
      </c>
      <c r="S257" s="180">
        <v>749.92362495089958</v>
      </c>
      <c r="T257" s="180">
        <v>684.95204810421683</v>
      </c>
      <c r="U257" s="180">
        <v>629.73570353992068</v>
      </c>
      <c r="V257" s="180">
        <v>567.90752299746305</v>
      </c>
      <c r="W257" s="180">
        <v>507.49306238254974</v>
      </c>
      <c r="X257" s="180">
        <v>447.74934343053138</v>
      </c>
      <c r="Y257" s="180">
        <v>387.86320095953516</v>
      </c>
      <c r="Z257" s="180">
        <v>348.31968065401776</v>
      </c>
      <c r="AA257" s="180">
        <v>309.66673875959981</v>
      </c>
      <c r="AB257" s="180">
        <v>271.38851231844137</v>
      </c>
      <c r="AC257" s="180">
        <v>235.95745125407686</v>
      </c>
      <c r="AD257" s="180">
        <v>200.06116503170699</v>
      </c>
      <c r="AE257" s="180">
        <v>166.79085558657457</v>
      </c>
      <c r="AF257" s="180">
        <v>137.21524373432857</v>
      </c>
      <c r="AG257" s="180">
        <v>112.28557756436707</v>
      </c>
      <c r="AH257" s="180">
        <v>90.572895385369947</v>
      </c>
      <c r="AI257" s="180">
        <v>72.401365627015139</v>
      </c>
      <c r="AJ257" s="180">
        <v>57.944700419269537</v>
      </c>
      <c r="AK257" s="180">
        <v>45.829731175460346</v>
      </c>
      <c r="AL257" s="180">
        <v>35.824681550967341</v>
      </c>
      <c r="AM257" s="180">
        <v>27.72160000261227</v>
      </c>
      <c r="AN257" s="180">
        <v>21.063996412087302</v>
      </c>
      <c r="AO257" s="180">
        <v>15.736247209322864</v>
      </c>
      <c r="AP257" s="180">
        <v>11.540438350962027</v>
      </c>
      <c r="AQ257" s="180">
        <v>8.2014624674496712</v>
      </c>
      <c r="AR257" s="180">
        <v>5.5536788534034223</v>
      </c>
      <c r="AS257" s="180">
        <v>3.2285527290182721</v>
      </c>
    </row>
    <row r="258" spans="2:45">
      <c r="B258" s="532"/>
      <c r="C258" s="180"/>
      <c r="D258" s="180" t="s">
        <v>213</v>
      </c>
      <c r="E258" s="180"/>
      <c r="F258" s="180"/>
      <c r="G258" s="180" t="s">
        <v>838</v>
      </c>
      <c r="H258" s="180"/>
      <c r="I258" s="180">
        <v>29971.660043278058</v>
      </c>
      <c r="J258" s="180">
        <v>1849.4903761583585</v>
      </c>
      <c r="K258" s="180">
        <v>1806.4923942002397</v>
      </c>
      <c r="L258" s="180">
        <v>1925.6630008246493</v>
      </c>
      <c r="M258" s="180">
        <v>2007.2631283791004</v>
      </c>
      <c r="N258" s="180">
        <v>1834.0203065742294</v>
      </c>
      <c r="O258" s="180">
        <v>1688.1173035760073</v>
      </c>
      <c r="P258" s="180">
        <v>1677.3511673163202</v>
      </c>
      <c r="Q258" s="180">
        <v>1625.2373962817576</v>
      </c>
      <c r="R258" s="180">
        <v>1563.2704126134327</v>
      </c>
      <c r="S258" s="180">
        <v>1499.8290949395334</v>
      </c>
      <c r="T258" s="180">
        <v>1430.6652065248356</v>
      </c>
      <c r="U258" s="180">
        <v>1349.8397890781732</v>
      </c>
      <c r="V258" s="180">
        <v>1248.6375489878651</v>
      </c>
      <c r="W258" s="180">
        <v>1147.7647758972525</v>
      </c>
      <c r="X258" s="180">
        <v>1047.4810461062416</v>
      </c>
      <c r="Y258" s="180">
        <v>941.44897914071237</v>
      </c>
      <c r="Z258" s="180">
        <v>847.50666538688881</v>
      </c>
      <c r="AA258" s="180">
        <v>753.14932998401878</v>
      </c>
      <c r="AB258" s="180">
        <v>662.57214029732938</v>
      </c>
      <c r="AC258" s="180">
        <v>579.12975904013922</v>
      </c>
      <c r="AD258" s="180">
        <v>499.47648593344172</v>
      </c>
      <c r="AE258" s="180">
        <v>425.75147510625527</v>
      </c>
      <c r="AF258" s="180">
        <v>356.25051778067626</v>
      </c>
      <c r="AG258" s="180">
        <v>290.87843937487406</v>
      </c>
      <c r="AH258" s="180">
        <v>229.23564427708573</v>
      </c>
      <c r="AI258" s="180">
        <v>171.00240553234386</v>
      </c>
      <c r="AJ258" s="180">
        <v>139.73890076701576</v>
      </c>
      <c r="AK258" s="180">
        <v>111.09310641055693</v>
      </c>
      <c r="AL258" s="180">
        <v>84.715833379681243</v>
      </c>
      <c r="AM258" s="180">
        <v>60.130942207580354</v>
      </c>
      <c r="AN258" s="180">
        <v>36.959908360500712</v>
      </c>
      <c r="AO258" s="180">
        <v>29.330831209999594</v>
      </c>
      <c r="AP258" s="180">
        <v>22.416336143211566</v>
      </c>
      <c r="AQ258" s="180">
        <v>15.98335509653471</v>
      </c>
      <c r="AR258" s="180">
        <v>9.8464564952426858</v>
      </c>
      <c r="AS258" s="180">
        <v>3.9195838959703364</v>
      </c>
    </row>
    <row r="259" spans="2:45">
      <c r="B259" s="532"/>
      <c r="C259" s="180"/>
      <c r="D259" s="180" t="s">
        <v>855</v>
      </c>
      <c r="E259" s="180"/>
      <c r="F259" s="180"/>
      <c r="G259" s="180" t="s">
        <v>838</v>
      </c>
      <c r="H259" s="180"/>
      <c r="I259" s="180">
        <v>8826.099318797038</v>
      </c>
      <c r="J259" s="180">
        <v>0</v>
      </c>
      <c r="K259" s="180">
        <v>0</v>
      </c>
      <c r="L259" s="180">
        <v>0</v>
      </c>
      <c r="M259" s="180">
        <v>0</v>
      </c>
      <c r="N259" s="180">
        <v>0</v>
      </c>
      <c r="O259" s="180">
        <v>0</v>
      </c>
      <c r="P259" s="180">
        <v>0</v>
      </c>
      <c r="Q259" s="180">
        <v>0</v>
      </c>
      <c r="R259" s="180">
        <v>0</v>
      </c>
      <c r="S259" s="180">
        <v>0</v>
      </c>
      <c r="T259" s="180">
        <v>0</v>
      </c>
      <c r="U259" s="180">
        <v>1.5733199632411947</v>
      </c>
      <c r="V259" s="180">
        <v>20.34554977667657</v>
      </c>
      <c r="W259" s="180">
        <v>35.812683133018957</v>
      </c>
      <c r="X259" s="180">
        <v>47.754529136928859</v>
      </c>
      <c r="Y259" s="180">
        <v>61.276880479423369</v>
      </c>
      <c r="Z259" s="180">
        <v>85.111307752548285</v>
      </c>
      <c r="AA259" s="180">
        <v>107.37906458015539</v>
      </c>
      <c r="AB259" s="180">
        <v>131.07016512114853</v>
      </c>
      <c r="AC259" s="180">
        <v>200.51226779767208</v>
      </c>
      <c r="AD259" s="180">
        <v>259.39908341879089</v>
      </c>
      <c r="AE259" s="180">
        <v>317.59058971776597</v>
      </c>
      <c r="AF259" s="180">
        <v>371.36284704644055</v>
      </c>
      <c r="AG259" s="180">
        <v>399.25655626881064</v>
      </c>
      <c r="AH259" s="180">
        <v>387.83483216833389</v>
      </c>
      <c r="AI259" s="180">
        <v>422.32738575054981</v>
      </c>
      <c r="AJ259" s="180">
        <v>471.92892056074959</v>
      </c>
      <c r="AK259" s="180">
        <v>513.1113127371566</v>
      </c>
      <c r="AL259" s="180">
        <v>552.18378877260545</v>
      </c>
      <c r="AM259" s="180">
        <v>588.46595646270737</v>
      </c>
      <c r="AN259" s="180">
        <v>626.03276816670905</v>
      </c>
      <c r="AO259" s="180">
        <v>619.7749249272689</v>
      </c>
      <c r="AP259" s="180">
        <v>631.99491140849966</v>
      </c>
      <c r="AQ259" s="180">
        <v>644.72239624150006</v>
      </c>
      <c r="AR259" s="180">
        <v>657.85220865737654</v>
      </c>
      <c r="AS259" s="180">
        <v>671.42506875096183</v>
      </c>
    </row>
    <row r="260" spans="2:45">
      <c r="B260" s="532"/>
      <c r="C260" s="180"/>
      <c r="D260" s="180" t="s">
        <v>759</v>
      </c>
      <c r="E260" s="180"/>
      <c r="F260" s="180"/>
      <c r="G260" s="180" t="s">
        <v>838</v>
      </c>
      <c r="H260" s="180"/>
      <c r="I260" s="180">
        <v>5449.2914420226107</v>
      </c>
      <c r="J260" s="180">
        <v>0</v>
      </c>
      <c r="K260" s="180">
        <v>0</v>
      </c>
      <c r="L260" s="180">
        <v>0</v>
      </c>
      <c r="M260" s="180">
        <v>0</v>
      </c>
      <c r="N260" s="180">
        <v>0</v>
      </c>
      <c r="O260" s="180">
        <v>0</v>
      </c>
      <c r="P260" s="180">
        <v>0.26912858374598886</v>
      </c>
      <c r="Q260" s="180">
        <v>0.28690730088048577</v>
      </c>
      <c r="R260" s="180">
        <v>0.3515799307398389</v>
      </c>
      <c r="S260" s="180">
        <v>0.42629281301059996</v>
      </c>
      <c r="T260" s="180">
        <v>0.53908469665552761</v>
      </c>
      <c r="U260" s="180">
        <v>1.6136017201469355</v>
      </c>
      <c r="V260" s="180">
        <v>7.8997571981749397</v>
      </c>
      <c r="W260" s="180">
        <v>12.640037205408078</v>
      </c>
      <c r="X260" s="180">
        <v>17.237126472399503</v>
      </c>
      <c r="Y260" s="180">
        <v>22.240721093457442</v>
      </c>
      <c r="Z260" s="180">
        <v>32.490521332555666</v>
      </c>
      <c r="AA260" s="180">
        <v>43.319396210734503</v>
      </c>
      <c r="AB260" s="180">
        <v>55.90878091172528</v>
      </c>
      <c r="AC260" s="180">
        <v>88.621054629715005</v>
      </c>
      <c r="AD260" s="180">
        <v>117.74441266031273</v>
      </c>
      <c r="AE260" s="180">
        <v>145.6051861632406</v>
      </c>
      <c r="AF260" s="180">
        <v>170.83820789894571</v>
      </c>
      <c r="AG260" s="180">
        <v>205.53080156854793</v>
      </c>
      <c r="AH260" s="180">
        <v>219.76256014557856</v>
      </c>
      <c r="AI260" s="180">
        <v>260.16771991098699</v>
      </c>
      <c r="AJ260" s="180">
        <v>301.01582797797369</v>
      </c>
      <c r="AK260" s="180">
        <v>337.34495751555431</v>
      </c>
      <c r="AL260" s="180">
        <v>373.10314167198879</v>
      </c>
      <c r="AM260" s="180">
        <v>407.42893732560333</v>
      </c>
      <c r="AN260" s="180">
        <v>443.13212431741078</v>
      </c>
      <c r="AO260" s="180">
        <v>439.06037349442084</v>
      </c>
      <c r="AP260" s="180">
        <v>438.31291536763842</v>
      </c>
      <c r="AQ260" s="180">
        <v>437.14248207764439</v>
      </c>
      <c r="AR260" s="180">
        <v>435.6011841166042</v>
      </c>
      <c r="AS260" s="180">
        <v>433.65661971080965</v>
      </c>
    </row>
    <row r="261" spans="2:45">
      <c r="B261" s="532"/>
      <c r="C261" s="180"/>
      <c r="D261" s="180" t="s">
        <v>856</v>
      </c>
      <c r="E261" s="180"/>
      <c r="F261" s="180"/>
      <c r="G261" s="180" t="s">
        <v>838</v>
      </c>
      <c r="H261" s="180"/>
      <c r="I261" s="180">
        <v>8370.0890062549261</v>
      </c>
      <c r="J261" s="180">
        <v>0</v>
      </c>
      <c r="K261" s="180">
        <v>16.499854145376588</v>
      </c>
      <c r="L261" s="180">
        <v>20.390587543040063</v>
      </c>
      <c r="M261" s="180">
        <v>26.661976677946825</v>
      </c>
      <c r="N261" s="180">
        <v>33.922739832373509</v>
      </c>
      <c r="O261" s="180">
        <v>37.917282802356617</v>
      </c>
      <c r="P261" s="180">
        <v>49.15361361182083</v>
      </c>
      <c r="Q261" s="180">
        <v>56.405760185672804</v>
      </c>
      <c r="R261" s="180">
        <v>67.432695485686551</v>
      </c>
      <c r="S261" s="180">
        <v>78.431308282850921</v>
      </c>
      <c r="T261" s="180">
        <v>89.282778857048797</v>
      </c>
      <c r="U261" s="180">
        <v>104.61431484452183</v>
      </c>
      <c r="V261" s="180">
        <v>114.54139589214311</v>
      </c>
      <c r="W261" s="180">
        <v>121.87975421852182</v>
      </c>
      <c r="X261" s="180">
        <v>131.91618094096182</v>
      </c>
      <c r="Y261" s="180">
        <v>141.78642517255506</v>
      </c>
      <c r="Z261" s="180">
        <v>171.96060912684007</v>
      </c>
      <c r="AA261" s="180">
        <v>197.42502371682207</v>
      </c>
      <c r="AB261" s="180">
        <v>227.59395010643777</v>
      </c>
      <c r="AC261" s="180">
        <v>255.68416822169812</v>
      </c>
      <c r="AD261" s="180">
        <v>285.26499451602342</v>
      </c>
      <c r="AE261" s="180">
        <v>310.24149013053176</v>
      </c>
      <c r="AF261" s="180">
        <v>329.78593243307904</v>
      </c>
      <c r="AG261" s="180">
        <v>348.16670477350948</v>
      </c>
      <c r="AH261" s="180">
        <v>368.13316522440959</v>
      </c>
      <c r="AI261" s="180">
        <v>386.14315874801986</v>
      </c>
      <c r="AJ261" s="180">
        <v>404.4281890021789</v>
      </c>
      <c r="AK261" s="180">
        <v>415.4941884174126</v>
      </c>
      <c r="AL261" s="180">
        <v>427.46354826047127</v>
      </c>
      <c r="AM261" s="180">
        <v>439.4340629864077</v>
      </c>
      <c r="AN261" s="180">
        <v>452.31108453060159</v>
      </c>
      <c r="AO261" s="180">
        <v>448.492398074123</v>
      </c>
      <c r="AP261" s="180">
        <v>450.1391071439441</v>
      </c>
      <c r="AQ261" s="180">
        <v>451.86749624691811</v>
      </c>
      <c r="AR261" s="180">
        <v>453.6701078297296</v>
      </c>
      <c r="AS261" s="180">
        <v>455.55295827289206</v>
      </c>
    </row>
    <row r="262" spans="2:45">
      <c r="B262" s="532"/>
      <c r="C262" s="180"/>
      <c r="D262" s="180"/>
      <c r="E262" s="180"/>
      <c r="F262" s="180"/>
      <c r="G262" s="180"/>
      <c r="H262" s="180"/>
      <c r="I262" s="180"/>
      <c r="J262" s="180"/>
      <c r="K262" s="180"/>
      <c r="L262" s="180"/>
      <c r="M262" s="180"/>
      <c r="N262" s="180"/>
      <c r="O262" s="180"/>
      <c r="P262" s="180"/>
      <c r="Q262" s="180"/>
      <c r="R262" s="180"/>
      <c r="S262" s="180"/>
      <c r="T262" s="180"/>
      <c r="U262" s="180"/>
      <c r="V262" s="180"/>
      <c r="W262" s="180"/>
      <c r="X262" s="180"/>
      <c r="Y262" s="180"/>
      <c r="Z262" s="180"/>
      <c r="AA262" s="180"/>
      <c r="AB262" s="180"/>
      <c r="AC262" s="180"/>
      <c r="AD262" s="180"/>
      <c r="AE262" s="180"/>
      <c r="AF262" s="180"/>
      <c r="AG262" s="180"/>
      <c r="AH262" s="180"/>
      <c r="AI262" s="180"/>
      <c r="AJ262" s="180"/>
      <c r="AK262" s="180"/>
      <c r="AL262" s="180"/>
      <c r="AM262" s="180"/>
      <c r="AN262" s="180"/>
      <c r="AO262" s="180"/>
      <c r="AP262" s="180"/>
      <c r="AQ262" s="180"/>
      <c r="AR262" s="180"/>
      <c r="AS262" s="180"/>
    </row>
    <row r="263" spans="2:45">
      <c r="B263" s="532"/>
      <c r="C263" s="180" t="s">
        <v>857</v>
      </c>
      <c r="D263" s="180" t="s">
        <v>142</v>
      </c>
      <c r="E263" s="180"/>
      <c r="F263" s="180"/>
      <c r="G263" s="180" t="s">
        <v>838</v>
      </c>
      <c r="H263" s="180"/>
      <c r="I263" s="180">
        <v>135191.60587065332</v>
      </c>
      <c r="J263" s="180">
        <v>863.24421960830443</v>
      </c>
      <c r="K263" s="180">
        <v>868.69904001568409</v>
      </c>
      <c r="L263" s="180">
        <v>867.77068578918841</v>
      </c>
      <c r="M263" s="180">
        <v>866.82277559733666</v>
      </c>
      <c r="N263" s="180">
        <v>942.00144364591483</v>
      </c>
      <c r="O263" s="180">
        <v>1588.9359819542731</v>
      </c>
      <c r="P263" s="180">
        <v>2755.1550750067127</v>
      </c>
      <c r="Q263" s="180">
        <v>5949.1254591801162</v>
      </c>
      <c r="R263" s="180">
        <v>9790.8102603960033</v>
      </c>
      <c r="S263" s="180">
        <v>11629.843870362456</v>
      </c>
      <c r="T263" s="180">
        <v>11128.085774548168</v>
      </c>
      <c r="U263" s="180">
        <v>10696.786650257318</v>
      </c>
      <c r="V263" s="180">
        <v>9653.5162695762137</v>
      </c>
      <c r="W263" s="180">
        <v>7593.7130231935225</v>
      </c>
      <c r="X263" s="180">
        <v>6014.9746112660705</v>
      </c>
      <c r="Y263" s="180">
        <v>4871.5259487392541</v>
      </c>
      <c r="Z263" s="180">
        <v>4044.7231123470137</v>
      </c>
      <c r="AA263" s="180">
        <v>3596.3829241826361</v>
      </c>
      <c r="AB263" s="180">
        <v>3288.2960404385831</v>
      </c>
      <c r="AC263" s="180">
        <v>2899.315449317427</v>
      </c>
      <c r="AD263" s="180">
        <v>1448.0548207456784</v>
      </c>
      <c r="AE263" s="180">
        <v>1192.8477413618216</v>
      </c>
      <c r="AF263" s="180">
        <v>1327.2742243956548</v>
      </c>
      <c r="AG263" s="180">
        <v>1726.5015117716819</v>
      </c>
      <c r="AH263" s="180">
        <v>2007.4638341851353</v>
      </c>
      <c r="AI263" s="180">
        <v>2326.9387984583723</v>
      </c>
      <c r="AJ263" s="180">
        <v>2793.5069586397763</v>
      </c>
      <c r="AK263" s="180">
        <v>2750.0295860823153</v>
      </c>
      <c r="AL263" s="180">
        <v>2751.3352167297567</v>
      </c>
      <c r="AM263" s="180">
        <v>2744.23561183127</v>
      </c>
      <c r="AN263" s="180">
        <v>2742.7574779873935</v>
      </c>
      <c r="AO263" s="180">
        <v>2488.1766245192193</v>
      </c>
      <c r="AP263" s="180">
        <v>2641.9981751306523</v>
      </c>
      <c r="AQ263" s="180">
        <v>2692.9241594258356</v>
      </c>
      <c r="AR263" s="180">
        <v>2464.8265581900382</v>
      </c>
      <c r="AS263" s="180">
        <v>1183.005955776526</v>
      </c>
    </row>
    <row r="264" spans="2:45">
      <c r="B264" s="532"/>
      <c r="C264" s="180"/>
      <c r="D264" s="180" t="s">
        <v>839</v>
      </c>
      <c r="E264" s="180"/>
      <c r="F264" s="180"/>
      <c r="G264" s="180" t="s">
        <v>840</v>
      </c>
      <c r="H264" s="180"/>
      <c r="I264" s="180"/>
      <c r="J264" s="180">
        <v>863.24421960830443</v>
      </c>
      <c r="K264" s="180">
        <v>1731.9432596239885</v>
      </c>
      <c r="L264" s="180">
        <v>2599.713945413177</v>
      </c>
      <c r="M264" s="180">
        <v>3466.5367210105137</v>
      </c>
      <c r="N264" s="180">
        <v>4408.5381646564283</v>
      </c>
      <c r="O264" s="180">
        <v>5997.4741466107016</v>
      </c>
      <c r="P264" s="180">
        <v>8752.6292216174152</v>
      </c>
      <c r="Q264" s="180">
        <v>14701.75468079753</v>
      </c>
      <c r="R264" s="180">
        <v>24492.564941193534</v>
      </c>
      <c r="S264" s="180">
        <v>36122.408811555986</v>
      </c>
      <c r="T264" s="180">
        <v>47250.494586104156</v>
      </c>
      <c r="U264" s="180">
        <v>57947.281236361472</v>
      </c>
      <c r="V264" s="180">
        <v>67600.797505937691</v>
      </c>
      <c r="W264" s="180">
        <v>75194.510529131221</v>
      </c>
      <c r="X264" s="180">
        <v>81209.485140397286</v>
      </c>
      <c r="Y264" s="180">
        <v>86081.011089136533</v>
      </c>
      <c r="Z264" s="180">
        <v>90125.734201483545</v>
      </c>
      <c r="AA264" s="180">
        <v>93722.117125666176</v>
      </c>
      <c r="AB264" s="180">
        <v>97010.413166104758</v>
      </c>
      <c r="AC264" s="180">
        <v>99909.72861542218</v>
      </c>
      <c r="AD264" s="180">
        <v>101357.78343616785</v>
      </c>
      <c r="AE264" s="180">
        <v>102550.63117752968</v>
      </c>
      <c r="AF264" s="180">
        <v>103877.90540192534</v>
      </c>
      <c r="AG264" s="180">
        <v>105604.40691369702</v>
      </c>
      <c r="AH264" s="180">
        <v>107611.87074788216</v>
      </c>
      <c r="AI264" s="180">
        <v>109938.80954634053</v>
      </c>
      <c r="AJ264" s="180">
        <v>112732.31650498031</v>
      </c>
      <c r="AK264" s="180">
        <v>115482.34609106262</v>
      </c>
      <c r="AL264" s="180">
        <v>118233.68130779237</v>
      </c>
      <c r="AM264" s="180">
        <v>120977.91691962365</v>
      </c>
      <c r="AN264" s="180">
        <v>123720.67439761104</v>
      </c>
      <c r="AO264" s="180">
        <v>126208.85102213026</v>
      </c>
      <c r="AP264" s="180">
        <v>128850.8491972609</v>
      </c>
      <c r="AQ264" s="180">
        <v>131543.77335668675</v>
      </c>
      <c r="AR264" s="180">
        <v>134008.5999148768</v>
      </c>
      <c r="AS264" s="180">
        <v>135191.60587065332</v>
      </c>
    </row>
    <row r="265" spans="2:45">
      <c r="B265" s="532"/>
      <c r="C265" s="180"/>
      <c r="D265" s="180" t="s">
        <v>344</v>
      </c>
      <c r="E265" s="180"/>
      <c r="F265" s="180"/>
      <c r="G265" s="180" t="s">
        <v>838</v>
      </c>
      <c r="H265" s="180"/>
      <c r="I265" s="180">
        <v>53633.52343400001</v>
      </c>
      <c r="J265" s="180">
        <v>0</v>
      </c>
      <c r="K265" s="180">
        <v>5.6777300000000004</v>
      </c>
      <c r="L265" s="180">
        <v>5.5893160000000002</v>
      </c>
      <c r="M265" s="180">
        <v>5.500902</v>
      </c>
      <c r="N265" s="180">
        <v>81.528713794928947</v>
      </c>
      <c r="O265" s="180">
        <v>486.98221216072562</v>
      </c>
      <c r="P265" s="180">
        <v>1271.3667002175175</v>
      </c>
      <c r="Q265" s="180">
        <v>4173.8215880441121</v>
      </c>
      <c r="R265" s="180">
        <v>7371.1362548731768</v>
      </c>
      <c r="S265" s="180">
        <v>8672.5099394526696</v>
      </c>
      <c r="T265" s="180">
        <v>8004.3627833189712</v>
      </c>
      <c r="U265" s="180">
        <v>7089.7000194545217</v>
      </c>
      <c r="V265" s="180">
        <v>6075.7383286022068</v>
      </c>
      <c r="W265" s="180">
        <v>4183.1333771750096</v>
      </c>
      <c r="X265" s="180">
        <v>2657.7164653158538</v>
      </c>
      <c r="Y265" s="180">
        <v>1348.7376691668742</v>
      </c>
      <c r="Z265" s="180">
        <v>680.31125012902862</v>
      </c>
      <c r="AA265" s="180">
        <v>583.39473556673988</v>
      </c>
      <c r="AB265" s="180">
        <v>486.478321004375</v>
      </c>
      <c r="AC265" s="180">
        <v>389.5618064420355</v>
      </c>
      <c r="AD265" s="180">
        <v>6.4072944250052455</v>
      </c>
      <c r="AE265" s="180">
        <v>5.3399230275579468</v>
      </c>
      <c r="AF265" s="180">
        <v>5.3213031859672686</v>
      </c>
      <c r="AG265" s="180">
        <v>3.4353190988842521</v>
      </c>
      <c r="AH265" s="180">
        <v>3.4166992573063166</v>
      </c>
      <c r="AI265" s="180">
        <v>3.3980794157411247</v>
      </c>
      <c r="AJ265" s="180">
        <v>3.3794595741504461</v>
      </c>
      <c r="AK265" s="180">
        <v>3.3608397325852537</v>
      </c>
      <c r="AL265" s="180">
        <v>3.3422198910200613</v>
      </c>
      <c r="AM265" s="180">
        <v>3.3236000494293831</v>
      </c>
      <c r="AN265" s="180">
        <v>3.3049802078769339</v>
      </c>
      <c r="AO265" s="180">
        <v>3.2863603662989984</v>
      </c>
      <c r="AP265" s="180">
        <v>3.2677405247083198</v>
      </c>
      <c r="AQ265" s="180">
        <v>3.2491206831558705</v>
      </c>
      <c r="AR265" s="180">
        <v>3.2305008415651919</v>
      </c>
      <c r="AS265" s="180">
        <v>3.211881</v>
      </c>
    </row>
    <row r="266" spans="2:45">
      <c r="B266" s="532"/>
      <c r="C266" s="180"/>
      <c r="D266" s="180" t="s">
        <v>841</v>
      </c>
      <c r="E266" s="180"/>
      <c r="F266" s="180"/>
      <c r="G266" s="180" t="s">
        <v>838</v>
      </c>
      <c r="H266" s="180"/>
      <c r="I266" s="180">
        <v>5402.8238542385152</v>
      </c>
      <c r="J266" s="180">
        <v>13.331646654416195</v>
      </c>
      <c r="K266" s="180">
        <v>13.331646654416195</v>
      </c>
      <c r="L266" s="180">
        <v>15.489491243117586</v>
      </c>
      <c r="M266" s="180">
        <v>17.647335831818967</v>
      </c>
      <c r="N266" s="180">
        <v>19.805180420520241</v>
      </c>
      <c r="O266" s="180">
        <v>60.827708746175283</v>
      </c>
      <c r="P266" s="180">
        <v>58.193574429365043</v>
      </c>
      <c r="Q266" s="180">
        <v>77.160337546581758</v>
      </c>
      <c r="R266" s="180">
        <v>82.208262363820609</v>
      </c>
      <c r="S266" s="180">
        <v>87.256187181059289</v>
      </c>
      <c r="T266" s="180">
        <v>91.998264190657082</v>
      </c>
      <c r="U266" s="180">
        <v>140.8993725812112</v>
      </c>
      <c r="V266" s="180">
        <v>144.47640666308894</v>
      </c>
      <c r="W266" s="180">
        <v>148.05344074496554</v>
      </c>
      <c r="X266" s="180">
        <v>151.63047482684357</v>
      </c>
      <c r="Y266" s="180">
        <v>157.36759865212184</v>
      </c>
      <c r="Z266" s="180">
        <v>146.50709940486431</v>
      </c>
      <c r="AA266" s="180">
        <v>148.62303443914166</v>
      </c>
      <c r="AB266" s="180">
        <v>150.73896947341797</v>
      </c>
      <c r="AC266" s="180">
        <v>152.85490450769541</v>
      </c>
      <c r="AD266" s="180">
        <v>193.83552327892488</v>
      </c>
      <c r="AE266" s="180">
        <v>191.15947940769036</v>
      </c>
      <c r="AF266" s="180">
        <v>210.08433297048316</v>
      </c>
      <c r="AG266" s="180">
        <v>215.09034823329642</v>
      </c>
      <c r="AH266" s="180">
        <v>220.0963634961108</v>
      </c>
      <c r="AI266" s="180">
        <v>224.79653095128361</v>
      </c>
      <c r="AJ266" s="180">
        <v>273.65572978741432</v>
      </c>
      <c r="AK266" s="180">
        <v>277.19085431486741</v>
      </c>
      <c r="AL266" s="180">
        <v>280.72597884231953</v>
      </c>
      <c r="AM266" s="180">
        <v>284.26110336977308</v>
      </c>
      <c r="AN266" s="180">
        <v>287.79622789722453</v>
      </c>
      <c r="AO266" s="180">
        <v>173.22990813561557</v>
      </c>
      <c r="AP266" s="180">
        <v>173.18799858119056</v>
      </c>
      <c r="AQ266" s="180">
        <v>173.14608902676551</v>
      </c>
      <c r="AR266" s="180">
        <v>173.10417947234262</v>
      </c>
      <c r="AS266" s="180">
        <v>173.06226991791476</v>
      </c>
    </row>
    <row r="267" spans="2:45">
      <c r="B267" s="532"/>
      <c r="C267" s="180"/>
      <c r="D267" s="180" t="s">
        <v>821</v>
      </c>
      <c r="E267" s="180"/>
      <c r="F267" s="180"/>
      <c r="G267" s="180" t="s">
        <v>838</v>
      </c>
      <c r="H267" s="180"/>
      <c r="I267" s="180">
        <v>58305.602890524649</v>
      </c>
      <c r="J267" s="180">
        <v>0</v>
      </c>
      <c r="K267" s="180">
        <v>0</v>
      </c>
      <c r="L267" s="180">
        <v>0</v>
      </c>
      <c r="M267" s="180">
        <v>0</v>
      </c>
      <c r="N267" s="180">
        <v>0</v>
      </c>
      <c r="O267" s="180">
        <v>285.66062523610623</v>
      </c>
      <c r="P267" s="180">
        <v>581.91566010153497</v>
      </c>
      <c r="Q267" s="180">
        <v>916.43579772306305</v>
      </c>
      <c r="R267" s="180">
        <v>1590.5753377455142</v>
      </c>
      <c r="S267" s="180">
        <v>2150.8556475571363</v>
      </c>
      <c r="T267" s="180">
        <v>2705.1858510389648</v>
      </c>
      <c r="U267" s="180">
        <v>3165.2247766191604</v>
      </c>
      <c r="V267" s="180">
        <v>3144.4964122491579</v>
      </c>
      <c r="W267" s="180">
        <v>2975.0219039473536</v>
      </c>
      <c r="X267" s="180">
        <v>2918.7106553171643</v>
      </c>
      <c r="Y267" s="180">
        <v>2857.9648140342897</v>
      </c>
      <c r="Z267" s="180">
        <v>2698.1489576952081</v>
      </c>
      <c r="AA267" s="180">
        <v>2336.7306610673299</v>
      </c>
      <c r="AB267" s="180">
        <v>2134.4437060518594</v>
      </c>
      <c r="AC267" s="180">
        <v>1901.899557582246</v>
      </c>
      <c r="AD267" s="180">
        <v>816.15671654436039</v>
      </c>
      <c r="AE267" s="180">
        <v>591.21795520331273</v>
      </c>
      <c r="AF267" s="180">
        <v>800.14775778776345</v>
      </c>
      <c r="AG267" s="180">
        <v>1211.665422519839</v>
      </c>
      <c r="AH267" s="180">
        <v>1487.6295869982175</v>
      </c>
      <c r="AI267" s="180">
        <v>1788.5861138550213</v>
      </c>
      <c r="AJ267" s="180">
        <v>2115.862974211951</v>
      </c>
      <c r="AK267" s="180">
        <v>2074.0207904072677</v>
      </c>
      <c r="AL267" s="180">
        <v>2085.7106710926691</v>
      </c>
      <c r="AM267" s="180">
        <v>2080.8765660605218</v>
      </c>
      <c r="AN267" s="180">
        <v>2071.5908608542486</v>
      </c>
      <c r="AO267" s="180">
        <v>1933.5670795139017</v>
      </c>
      <c r="AP267" s="180">
        <v>2104.9235710907183</v>
      </c>
      <c r="AQ267" s="180">
        <v>2164.5753470031605</v>
      </c>
      <c r="AR267" s="180">
        <v>1946.5561214886334</v>
      </c>
      <c r="AS267" s="180">
        <v>669.24499192697033</v>
      </c>
    </row>
    <row r="268" spans="2:45">
      <c r="B268" s="532"/>
      <c r="C268" s="180"/>
      <c r="D268" s="180" t="s">
        <v>842</v>
      </c>
      <c r="E268" s="180"/>
      <c r="F268" s="180"/>
      <c r="G268" s="180" t="s">
        <v>838</v>
      </c>
      <c r="H268" s="180"/>
      <c r="I268" s="180">
        <v>1500.0824270415085</v>
      </c>
      <c r="J268" s="180">
        <v>0</v>
      </c>
      <c r="K268" s="180">
        <v>0</v>
      </c>
      <c r="L268" s="180">
        <v>0</v>
      </c>
      <c r="M268" s="180">
        <v>0</v>
      </c>
      <c r="N268" s="180">
        <v>0</v>
      </c>
      <c r="O268" s="180">
        <v>31.889314771882709</v>
      </c>
      <c r="P268" s="180">
        <v>43.88943673483157</v>
      </c>
      <c r="Q268" s="180">
        <v>40.972601662264971</v>
      </c>
      <c r="R268" s="180">
        <v>36.913906600993975</v>
      </c>
      <c r="S268" s="180">
        <v>33.890782366603631</v>
      </c>
      <c r="T268" s="180">
        <v>32.732814085153706</v>
      </c>
      <c r="U268" s="180">
        <v>26.095803569654972</v>
      </c>
      <c r="V268" s="180">
        <v>15.768253009401663</v>
      </c>
      <c r="W268" s="180">
        <v>16.540107639968966</v>
      </c>
      <c r="X268" s="180">
        <v>18.183629412613904</v>
      </c>
      <c r="Y268" s="180">
        <v>19.80019255080509</v>
      </c>
      <c r="Z268" s="180">
        <v>28.441384179687319</v>
      </c>
      <c r="AA268" s="180">
        <v>40.50654755552889</v>
      </c>
      <c r="AB268" s="180">
        <v>52.568180182127961</v>
      </c>
      <c r="AC268" s="180">
        <v>65.018555335215552</v>
      </c>
      <c r="AD268" s="180">
        <v>77.81371062392337</v>
      </c>
      <c r="AE268" s="180">
        <v>81.950750180685034</v>
      </c>
      <c r="AF268" s="180">
        <v>45.902163524314233</v>
      </c>
      <c r="AG268" s="180">
        <v>49.626815788681185</v>
      </c>
      <c r="AH268" s="180">
        <v>53.789286379288932</v>
      </c>
      <c r="AI268" s="180">
        <v>75.566877498314568</v>
      </c>
      <c r="AJ268" s="180">
        <v>80.509914597490663</v>
      </c>
      <c r="AK268" s="180">
        <v>76.266185510418936</v>
      </c>
      <c r="AL268" s="180">
        <v>71.829544528412171</v>
      </c>
      <c r="AM268" s="180">
        <v>67.111949286095154</v>
      </c>
      <c r="AN268" s="180">
        <v>73.560061932794341</v>
      </c>
      <c r="AO268" s="180">
        <v>67.10662924302072</v>
      </c>
      <c r="AP268" s="180">
        <v>53.725624611362512</v>
      </c>
      <c r="AQ268" s="180">
        <v>46.354693076583018</v>
      </c>
      <c r="AR268" s="180">
        <v>40.150143207556056</v>
      </c>
      <c r="AS268" s="180">
        <v>35.606567395832734</v>
      </c>
    </row>
    <row r="269" spans="2:45">
      <c r="B269" s="532"/>
      <c r="C269" s="180"/>
      <c r="D269" s="180" t="s">
        <v>843</v>
      </c>
      <c r="E269" s="180"/>
      <c r="F269" s="180"/>
      <c r="G269" s="180" t="s">
        <v>838</v>
      </c>
      <c r="H269" s="180"/>
      <c r="I269" s="180">
        <v>0</v>
      </c>
      <c r="J269" s="180">
        <v>0</v>
      </c>
      <c r="K269" s="180">
        <v>0</v>
      </c>
      <c r="L269" s="180">
        <v>0</v>
      </c>
      <c r="M269" s="180">
        <v>0</v>
      </c>
      <c r="N269" s="180">
        <v>0</v>
      </c>
      <c r="O269" s="180">
        <v>0</v>
      </c>
      <c r="P269" s="180">
        <v>0</v>
      </c>
      <c r="Q269" s="180">
        <v>0</v>
      </c>
      <c r="R269" s="180">
        <v>0</v>
      </c>
      <c r="S269" s="180">
        <v>0</v>
      </c>
      <c r="T269" s="180">
        <v>0</v>
      </c>
      <c r="U269" s="180">
        <v>0</v>
      </c>
      <c r="V269" s="180">
        <v>0</v>
      </c>
      <c r="W269" s="180">
        <v>0</v>
      </c>
      <c r="X269" s="180">
        <v>0</v>
      </c>
      <c r="Y269" s="180">
        <v>0</v>
      </c>
      <c r="Z269" s="180">
        <v>0</v>
      </c>
      <c r="AA269" s="180">
        <v>0</v>
      </c>
      <c r="AB269" s="180">
        <v>0</v>
      </c>
      <c r="AC269" s="180">
        <v>0</v>
      </c>
      <c r="AD269" s="180">
        <v>0</v>
      </c>
      <c r="AE269" s="180">
        <v>0</v>
      </c>
      <c r="AF269" s="180">
        <v>0</v>
      </c>
      <c r="AG269" s="180">
        <v>0</v>
      </c>
      <c r="AH269" s="180">
        <v>0</v>
      </c>
      <c r="AI269" s="180">
        <v>0</v>
      </c>
      <c r="AJ269" s="180">
        <v>0</v>
      </c>
      <c r="AK269" s="180">
        <v>0</v>
      </c>
      <c r="AL269" s="180">
        <v>0</v>
      </c>
      <c r="AM269" s="180">
        <v>0</v>
      </c>
      <c r="AN269" s="180">
        <v>0</v>
      </c>
      <c r="AO269" s="180">
        <v>0</v>
      </c>
      <c r="AP269" s="180">
        <v>0</v>
      </c>
      <c r="AQ269" s="180">
        <v>0</v>
      </c>
      <c r="AR269" s="180">
        <v>0</v>
      </c>
      <c r="AS269" s="180">
        <v>0</v>
      </c>
    </row>
    <row r="270" spans="2:45">
      <c r="B270" s="532"/>
      <c r="C270" s="180"/>
      <c r="D270" s="180" t="s">
        <v>774</v>
      </c>
      <c r="E270" s="180"/>
      <c r="F270" s="180"/>
      <c r="G270" s="180" t="s">
        <v>838</v>
      </c>
      <c r="H270" s="180"/>
      <c r="I270" s="180">
        <v>9684.6959392962854</v>
      </c>
      <c r="J270" s="180">
        <v>775.48412419606268</v>
      </c>
      <c r="K270" s="180">
        <v>776.20687518991508</v>
      </c>
      <c r="L270" s="180">
        <v>774.23870314560293</v>
      </c>
      <c r="M270" s="180">
        <v>772.25262621066827</v>
      </c>
      <c r="N270" s="180">
        <v>770.27601559360983</v>
      </c>
      <c r="O270" s="180">
        <v>661.21793599349485</v>
      </c>
      <c r="P270" s="180">
        <v>624.16193355059306</v>
      </c>
      <c r="Q270" s="180">
        <v>566.76896368990685</v>
      </c>
      <c r="R270" s="180">
        <v>536.79475088812376</v>
      </c>
      <c r="S270" s="180">
        <v>512.72657135846202</v>
      </c>
      <c r="T270" s="180">
        <v>122.13077652393119</v>
      </c>
      <c r="U270" s="180">
        <v>117.00287461131602</v>
      </c>
      <c r="V270" s="180">
        <v>116.47959113285945</v>
      </c>
      <c r="W270" s="180">
        <v>115.82248223718568</v>
      </c>
      <c r="X270" s="180">
        <v>115.04732945951091</v>
      </c>
      <c r="Y270" s="180">
        <v>329.2163936289034</v>
      </c>
      <c r="Z270" s="180">
        <v>328.13005941899075</v>
      </c>
      <c r="AA270" s="180">
        <v>324.27002412702109</v>
      </c>
      <c r="AB270" s="180">
        <v>301.24519223259239</v>
      </c>
      <c r="AC270" s="180">
        <v>227.4269261224176</v>
      </c>
      <c r="AD270" s="180">
        <v>158.06403094248464</v>
      </c>
      <c r="AE270" s="180">
        <v>121.88393911957924</v>
      </c>
      <c r="AF270" s="180">
        <v>65.588342940259011</v>
      </c>
      <c r="AG270" s="180">
        <v>46.269659686590998</v>
      </c>
      <c r="AH270" s="180">
        <v>42.256256841231846</v>
      </c>
      <c r="AI270" s="180">
        <v>38.425949229250421</v>
      </c>
      <c r="AJ270" s="180">
        <v>35.076919789308455</v>
      </c>
      <c r="AK270" s="180">
        <v>34.639881797049092</v>
      </c>
      <c r="AL270" s="180">
        <v>34.214892574067932</v>
      </c>
      <c r="AM270" s="180">
        <v>33.801265724622716</v>
      </c>
      <c r="AN270" s="180">
        <v>33.398358921479492</v>
      </c>
      <c r="AO270" s="180">
        <v>37.663368885853913</v>
      </c>
      <c r="AP270" s="180">
        <v>34.099392510801991</v>
      </c>
      <c r="AQ270" s="180">
        <v>34.105896062422701</v>
      </c>
      <c r="AR270" s="180">
        <v>34.131289845998552</v>
      </c>
      <c r="AS270" s="180">
        <v>34.176345114113545</v>
      </c>
    </row>
    <row r="271" spans="2:45">
      <c r="B271" s="532"/>
      <c r="C271" s="180"/>
      <c r="D271" s="180" t="s">
        <v>218</v>
      </c>
      <c r="E271" s="180"/>
      <c r="F271" s="180"/>
      <c r="G271" s="180" t="s">
        <v>838</v>
      </c>
      <c r="H271" s="180"/>
      <c r="I271" s="180">
        <v>305.37341642754939</v>
      </c>
      <c r="J271" s="180">
        <v>20.754139642034545</v>
      </c>
      <c r="K271" s="180">
        <v>20.839936884931593</v>
      </c>
      <c r="L271" s="180">
        <v>20.841781943416631</v>
      </c>
      <c r="M271" s="180">
        <v>20.841975927168001</v>
      </c>
      <c r="N271" s="180">
        <v>20.84305603854429</v>
      </c>
      <c r="O271" s="180">
        <v>17.69139838442095</v>
      </c>
      <c r="P271" s="180">
        <v>16.782871335240738</v>
      </c>
      <c r="Q271" s="180">
        <v>15.121354231771976</v>
      </c>
      <c r="R271" s="180">
        <v>14.22799731495707</v>
      </c>
      <c r="S271" s="180">
        <v>13.492182999014958</v>
      </c>
      <c r="T271" s="180">
        <v>12.446761016071488</v>
      </c>
      <c r="U271" s="180">
        <v>10.9389202181861</v>
      </c>
      <c r="V271" s="180">
        <v>9.8026930058250308</v>
      </c>
      <c r="W271" s="180">
        <v>8.6288271969641013</v>
      </c>
      <c r="X271" s="180">
        <v>7.4787848610754191</v>
      </c>
      <c r="Y271" s="180">
        <v>12.597316755411512</v>
      </c>
      <c r="Z271" s="180">
        <v>11.478849755250842</v>
      </c>
      <c r="AA271" s="180">
        <v>10.268670848491249</v>
      </c>
      <c r="AB271" s="180">
        <v>8.8597257105830582</v>
      </c>
      <c r="AC271" s="180">
        <v>6.9579936338267041</v>
      </c>
      <c r="AD271" s="180">
        <v>4.4348647261811553</v>
      </c>
      <c r="AE271" s="180">
        <v>3.6651766350939212</v>
      </c>
      <c r="AF271" s="180">
        <v>1.9272423452904035</v>
      </c>
      <c r="AG271" s="180">
        <v>1.3882222421453845</v>
      </c>
      <c r="AH271" s="180">
        <v>1.3164176481186205</v>
      </c>
      <c r="AI271" s="180">
        <v>1.2537295802392303</v>
      </c>
      <c r="AJ271" s="180">
        <v>1.0301103646261502</v>
      </c>
      <c r="AK271" s="180">
        <v>1.0115765267009895</v>
      </c>
      <c r="AL271" s="180">
        <v>0.99264766550875438</v>
      </c>
      <c r="AM271" s="180">
        <v>0.97330706690166835</v>
      </c>
      <c r="AN271" s="180">
        <v>0.95354235487603067</v>
      </c>
      <c r="AO271" s="180">
        <v>1.381562017624409</v>
      </c>
      <c r="AP271" s="180">
        <v>1.0320222828400694</v>
      </c>
      <c r="AQ271" s="180">
        <v>1.0352302542384328</v>
      </c>
      <c r="AR271" s="180">
        <v>1.0390297923348513</v>
      </c>
      <c r="AS271" s="180">
        <v>1.0434972216430616</v>
      </c>
    </row>
    <row r="272" spans="2:45">
      <c r="B272" s="532"/>
      <c r="C272" s="180"/>
      <c r="D272" s="180" t="s">
        <v>800</v>
      </c>
      <c r="E272" s="180"/>
      <c r="F272" s="180"/>
      <c r="G272" s="180" t="s">
        <v>838</v>
      </c>
      <c r="H272" s="180"/>
      <c r="I272" s="180">
        <v>5686.4213760164639</v>
      </c>
      <c r="J272" s="180">
        <v>53.67430911579109</v>
      </c>
      <c r="K272" s="180">
        <v>52.642851286421212</v>
      </c>
      <c r="L272" s="180">
        <v>51.61139345705125</v>
      </c>
      <c r="M272" s="180">
        <v>50.57993562768138</v>
      </c>
      <c r="N272" s="180">
        <v>49.548477798311538</v>
      </c>
      <c r="O272" s="180">
        <v>44.666786661467221</v>
      </c>
      <c r="P272" s="180">
        <v>144.5033467306057</v>
      </c>
      <c r="Q272" s="180">
        <v>141.31868325633269</v>
      </c>
      <c r="R272" s="180">
        <v>138.15023389552502</v>
      </c>
      <c r="S272" s="180">
        <v>134.99171595761118</v>
      </c>
      <c r="T272" s="180">
        <v>131.83962104746089</v>
      </c>
      <c r="U272" s="180">
        <v>130.72335316184567</v>
      </c>
      <c r="V272" s="180">
        <v>130.44591373210105</v>
      </c>
      <c r="W272" s="180">
        <v>130.19049281810373</v>
      </c>
      <c r="X272" s="180">
        <v>129.96430761968875</v>
      </c>
      <c r="Y272" s="180">
        <v>129.78237333036512</v>
      </c>
      <c r="Z272" s="180">
        <v>129.67185071537955</v>
      </c>
      <c r="AA272" s="180">
        <v>129.67989188215338</v>
      </c>
      <c r="AB272" s="180">
        <v>129.8871994260858</v>
      </c>
      <c r="AC272" s="180">
        <v>130.43116818129971</v>
      </c>
      <c r="AD272" s="180">
        <v>165.08873563074852</v>
      </c>
      <c r="AE272" s="180">
        <v>170.28753653037307</v>
      </c>
      <c r="AF272" s="180">
        <v>169.92842220601349</v>
      </c>
      <c r="AG272" s="180">
        <v>169.56977572769117</v>
      </c>
      <c r="AH272" s="180">
        <v>169.21151318821899</v>
      </c>
      <c r="AI272" s="180">
        <v>165.51622542993107</v>
      </c>
      <c r="AJ272" s="180">
        <v>254.2288039699192</v>
      </c>
      <c r="AK272" s="180">
        <v>253.64136051820728</v>
      </c>
      <c r="AL272" s="180">
        <v>253.07032085163129</v>
      </c>
      <c r="AM272" s="180">
        <v>252.50937449197824</v>
      </c>
      <c r="AN272" s="180">
        <v>251.95499016542948</v>
      </c>
      <c r="AO272" s="180">
        <v>250.54097446685961</v>
      </c>
      <c r="AP272" s="180">
        <v>249.97469027833574</v>
      </c>
      <c r="AQ272" s="180">
        <v>249.41644451089471</v>
      </c>
      <c r="AR272" s="180">
        <v>248.86364197921836</v>
      </c>
      <c r="AS272" s="180">
        <v>248.31466036973214</v>
      </c>
    </row>
    <row r="273" spans="2:45">
      <c r="B273" s="532"/>
      <c r="C273" s="180"/>
      <c r="D273" s="180" t="s">
        <v>844</v>
      </c>
      <c r="E273" s="180"/>
      <c r="F273" s="180"/>
      <c r="G273" s="180" t="s">
        <v>838</v>
      </c>
      <c r="H273" s="180"/>
      <c r="I273" s="180">
        <v>36.900711317374814</v>
      </c>
      <c r="J273" s="180">
        <v>0</v>
      </c>
      <c r="K273" s="180">
        <v>0</v>
      </c>
      <c r="L273" s="180">
        <v>0</v>
      </c>
      <c r="M273" s="180">
        <v>0</v>
      </c>
      <c r="N273" s="180">
        <v>0</v>
      </c>
      <c r="O273" s="180">
        <v>0</v>
      </c>
      <c r="P273" s="180">
        <v>4.724533520621585</v>
      </c>
      <c r="Q273" s="180">
        <v>5.4331202479856433</v>
      </c>
      <c r="R273" s="180">
        <v>5.9566620392016612</v>
      </c>
      <c r="S273" s="180">
        <v>6.2422994137271584</v>
      </c>
      <c r="T273" s="180">
        <v>6.2327452173322175</v>
      </c>
      <c r="U273" s="180">
        <v>3.1419098368328804</v>
      </c>
      <c r="V273" s="180">
        <v>2.4935420909025279</v>
      </c>
      <c r="W273" s="180">
        <v>1.7535854329861686</v>
      </c>
      <c r="X273" s="180">
        <v>0.92231351778497117</v>
      </c>
      <c r="Y273" s="180">
        <v>0</v>
      </c>
      <c r="Z273" s="180">
        <v>0</v>
      </c>
      <c r="AA273" s="180">
        <v>0</v>
      </c>
      <c r="AB273" s="180">
        <v>0</v>
      </c>
      <c r="AC273" s="180">
        <v>0</v>
      </c>
      <c r="AD273" s="180">
        <v>0</v>
      </c>
      <c r="AE273" s="180">
        <v>0</v>
      </c>
      <c r="AF273" s="180">
        <v>0</v>
      </c>
      <c r="AG273" s="180">
        <v>0</v>
      </c>
      <c r="AH273" s="180">
        <v>0</v>
      </c>
      <c r="AI273" s="180">
        <v>0</v>
      </c>
      <c r="AJ273" s="180">
        <v>0</v>
      </c>
      <c r="AK273" s="180">
        <v>0</v>
      </c>
      <c r="AL273" s="180">
        <v>0</v>
      </c>
      <c r="AM273" s="180">
        <v>0</v>
      </c>
      <c r="AN273" s="180">
        <v>0</v>
      </c>
      <c r="AO273" s="180">
        <v>0</v>
      </c>
      <c r="AP273" s="180">
        <v>0</v>
      </c>
      <c r="AQ273" s="180">
        <v>0</v>
      </c>
      <c r="AR273" s="180">
        <v>0</v>
      </c>
      <c r="AS273" s="180">
        <v>0</v>
      </c>
    </row>
    <row r="274" spans="2:45">
      <c r="B274" s="532"/>
      <c r="C274" s="180"/>
      <c r="D274" s="180" t="s">
        <v>845</v>
      </c>
      <c r="E274" s="180"/>
      <c r="F274" s="180"/>
      <c r="G274" s="180" t="s">
        <v>838</v>
      </c>
      <c r="H274" s="180"/>
      <c r="I274" s="180">
        <v>0</v>
      </c>
      <c r="J274" s="180">
        <v>0</v>
      </c>
      <c r="K274" s="180">
        <v>0</v>
      </c>
      <c r="L274" s="180">
        <v>0</v>
      </c>
      <c r="M274" s="180">
        <v>0</v>
      </c>
      <c r="N274" s="180">
        <v>0</v>
      </c>
      <c r="O274" s="180">
        <v>0</v>
      </c>
      <c r="P274" s="180">
        <v>0</v>
      </c>
      <c r="Q274" s="180">
        <v>0</v>
      </c>
      <c r="R274" s="180">
        <v>0</v>
      </c>
      <c r="S274" s="180">
        <v>0</v>
      </c>
      <c r="T274" s="180">
        <v>0</v>
      </c>
      <c r="U274" s="180">
        <v>0</v>
      </c>
      <c r="V274" s="180">
        <v>0</v>
      </c>
      <c r="W274" s="180">
        <v>0</v>
      </c>
      <c r="X274" s="180">
        <v>0</v>
      </c>
      <c r="Y274" s="180">
        <v>0</v>
      </c>
      <c r="Z274" s="180">
        <v>0</v>
      </c>
      <c r="AA274" s="180">
        <v>0</v>
      </c>
      <c r="AB274" s="180">
        <v>0</v>
      </c>
      <c r="AC274" s="180">
        <v>0</v>
      </c>
      <c r="AD274" s="180">
        <v>0</v>
      </c>
      <c r="AE274" s="180">
        <v>0</v>
      </c>
      <c r="AF274" s="180">
        <v>0</v>
      </c>
      <c r="AG274" s="180">
        <v>0</v>
      </c>
      <c r="AH274" s="180">
        <v>0</v>
      </c>
      <c r="AI274" s="180">
        <v>0</v>
      </c>
      <c r="AJ274" s="180">
        <v>0</v>
      </c>
      <c r="AK274" s="180">
        <v>0</v>
      </c>
      <c r="AL274" s="180">
        <v>0</v>
      </c>
      <c r="AM274" s="180">
        <v>0</v>
      </c>
      <c r="AN274" s="180">
        <v>0</v>
      </c>
      <c r="AO274" s="180">
        <v>0</v>
      </c>
      <c r="AP274" s="180">
        <v>0</v>
      </c>
      <c r="AQ274" s="180">
        <v>0</v>
      </c>
      <c r="AR274" s="180">
        <v>0</v>
      </c>
      <c r="AS274" s="180">
        <v>0</v>
      </c>
    </row>
    <row r="275" spans="2:45">
      <c r="B275" s="532"/>
      <c r="C275" s="180"/>
      <c r="D275" s="180" t="s">
        <v>846</v>
      </c>
      <c r="E275" s="180"/>
      <c r="F275" s="180"/>
      <c r="G275" s="180" t="s">
        <v>838</v>
      </c>
      <c r="H275" s="180"/>
      <c r="I275" s="180">
        <v>636.18182179097903</v>
      </c>
      <c r="J275" s="180">
        <v>0</v>
      </c>
      <c r="K275" s="180">
        <v>0</v>
      </c>
      <c r="L275" s="180">
        <v>0</v>
      </c>
      <c r="M275" s="180">
        <v>0</v>
      </c>
      <c r="N275" s="180">
        <v>0</v>
      </c>
      <c r="O275" s="180">
        <v>0</v>
      </c>
      <c r="P275" s="180">
        <v>9.6170183864023535</v>
      </c>
      <c r="Q275" s="180">
        <v>12.093012778097192</v>
      </c>
      <c r="R275" s="180">
        <v>14.846854674687231</v>
      </c>
      <c r="S275" s="180">
        <v>17.878544076172489</v>
      </c>
      <c r="T275" s="180">
        <v>21.156158109627107</v>
      </c>
      <c r="U275" s="180">
        <v>13.059620204587809</v>
      </c>
      <c r="V275" s="180">
        <v>13.815129090668433</v>
      </c>
      <c r="W275" s="180">
        <v>14.568806000983612</v>
      </c>
      <c r="X275" s="180">
        <v>15.32065093553361</v>
      </c>
      <c r="Y275" s="180">
        <v>16.059590620483636</v>
      </c>
      <c r="Z275" s="180">
        <v>22.033661048604326</v>
      </c>
      <c r="AA275" s="180">
        <v>22.909358696230381</v>
      </c>
      <c r="AB275" s="180">
        <v>24.074746357541574</v>
      </c>
      <c r="AC275" s="180">
        <v>25.164537512690369</v>
      </c>
      <c r="AD275" s="180">
        <v>26.253944574050447</v>
      </c>
      <c r="AE275" s="180">
        <v>27.34298125752942</v>
      </c>
      <c r="AF275" s="180">
        <v>28.374659435563633</v>
      </c>
      <c r="AG275" s="180">
        <v>29.455948474553342</v>
      </c>
      <c r="AH275" s="180">
        <v>29.747710376642267</v>
      </c>
      <c r="AI275" s="180">
        <v>29.395292498590525</v>
      </c>
      <c r="AJ275" s="180">
        <v>29.763046344916255</v>
      </c>
      <c r="AK275" s="180">
        <v>29.898097275218912</v>
      </c>
      <c r="AL275" s="180">
        <v>21.448941284128193</v>
      </c>
      <c r="AM275" s="180">
        <v>21.378445781947931</v>
      </c>
      <c r="AN275" s="180">
        <v>20.198455653464588</v>
      </c>
      <c r="AO275" s="180">
        <v>21.400741890045079</v>
      </c>
      <c r="AP275" s="180">
        <v>21.787135250694771</v>
      </c>
      <c r="AQ275" s="180">
        <v>21.041338808615375</v>
      </c>
      <c r="AR275" s="180">
        <v>17.751651562388851</v>
      </c>
      <c r="AS275" s="180">
        <v>18.345742830319388</v>
      </c>
    </row>
    <row r="276" spans="2:45">
      <c r="B276" s="532"/>
      <c r="C276" s="180"/>
      <c r="D276" s="180"/>
      <c r="E276" s="180"/>
      <c r="F276" s="180"/>
      <c r="G276" s="180"/>
      <c r="H276" s="180"/>
      <c r="I276" s="180"/>
      <c r="J276" s="180"/>
      <c r="K276" s="180"/>
      <c r="L276" s="180"/>
      <c r="M276" s="180"/>
      <c r="N276" s="180"/>
      <c r="O276" s="180"/>
      <c r="P276" s="180"/>
      <c r="Q276" s="180"/>
      <c r="R276" s="180"/>
      <c r="S276" s="180"/>
      <c r="T276" s="180"/>
      <c r="U276" s="180"/>
      <c r="V276" s="180"/>
      <c r="W276" s="180"/>
      <c r="X276" s="180"/>
      <c r="Y276" s="180"/>
      <c r="Z276" s="180"/>
      <c r="AA276" s="180"/>
      <c r="AB276" s="180"/>
      <c r="AC276" s="180"/>
      <c r="AD276" s="180"/>
      <c r="AE276" s="180"/>
      <c r="AF276" s="180"/>
      <c r="AG276" s="180"/>
      <c r="AH276" s="180"/>
      <c r="AI276" s="180"/>
      <c r="AJ276" s="180"/>
      <c r="AK276" s="180"/>
      <c r="AL276" s="180"/>
      <c r="AM276" s="180"/>
      <c r="AN276" s="180"/>
      <c r="AO276" s="180"/>
      <c r="AP276" s="180"/>
      <c r="AQ276" s="180"/>
      <c r="AR276" s="180"/>
      <c r="AS276" s="180"/>
    </row>
    <row r="277" spans="2:45">
      <c r="B277" s="532"/>
      <c r="C277" s="180" t="s">
        <v>858</v>
      </c>
      <c r="D277" s="180" t="s">
        <v>859</v>
      </c>
      <c r="E277" s="180"/>
      <c r="F277" s="180"/>
      <c r="G277" s="180" t="s">
        <v>838</v>
      </c>
      <c r="H277" s="180"/>
      <c r="I277" s="180">
        <v>501311.10088208417</v>
      </c>
      <c r="J277" s="180">
        <v>12245.709301129793</v>
      </c>
      <c r="K277" s="180">
        <v>11697.984310962378</v>
      </c>
      <c r="L277" s="180">
        <v>11921.457611821877</v>
      </c>
      <c r="M277" s="180">
        <v>12543.865517257922</v>
      </c>
      <c r="N277" s="180">
        <v>12710.556430318769</v>
      </c>
      <c r="O277" s="180">
        <v>13116.530969149533</v>
      </c>
      <c r="P277" s="180">
        <v>14815.197641931534</v>
      </c>
      <c r="Q277" s="180">
        <v>18077.045112727857</v>
      </c>
      <c r="R277" s="180">
        <v>21613.054497758836</v>
      </c>
      <c r="S277" s="180">
        <v>23097.688690143092</v>
      </c>
      <c r="T277" s="180">
        <v>22326.65249143702</v>
      </c>
      <c r="U277" s="180">
        <v>21662.720891230547</v>
      </c>
      <c r="V277" s="180">
        <v>20183.246197307657</v>
      </c>
      <c r="W277" s="180">
        <v>17692.16009319578</v>
      </c>
      <c r="X277" s="180">
        <v>15726.313976830192</v>
      </c>
      <c r="Y277" s="180">
        <v>14364.73096441887</v>
      </c>
      <c r="Z277" s="180">
        <v>13545.475580691618</v>
      </c>
      <c r="AA277" s="180">
        <v>12940.426920579128</v>
      </c>
      <c r="AB277" s="180">
        <v>12493.758511983773</v>
      </c>
      <c r="AC277" s="180">
        <v>12045.948250013838</v>
      </c>
      <c r="AD277" s="180">
        <v>10582.18569850138</v>
      </c>
      <c r="AE277" s="180">
        <v>10372.354702062235</v>
      </c>
      <c r="AF277" s="180">
        <v>10560.494212100512</v>
      </c>
      <c r="AG277" s="180">
        <v>11000.386857463558</v>
      </c>
      <c r="AH277" s="180">
        <v>11317.154650195484</v>
      </c>
      <c r="AI277" s="180">
        <v>11628.637461037579</v>
      </c>
      <c r="AJ277" s="180">
        <v>12184.797879917827</v>
      </c>
      <c r="AK277" s="180">
        <v>12220.973461037442</v>
      </c>
      <c r="AL277" s="180">
        <v>12291.956589457484</v>
      </c>
      <c r="AM277" s="180">
        <v>12354.65854982814</v>
      </c>
      <c r="AN277" s="180">
        <v>12430.189264753928</v>
      </c>
      <c r="AO277" s="180">
        <v>12020.347051346718</v>
      </c>
      <c r="AP277" s="180">
        <v>12217.957280419299</v>
      </c>
      <c r="AQ277" s="180">
        <v>12310.438568901414</v>
      </c>
      <c r="AR277" s="180">
        <v>12119.82593496252</v>
      </c>
      <c r="AS277" s="180">
        <v>10878.218759208659</v>
      </c>
    </row>
    <row r="278" spans="2:45">
      <c r="B278" s="532"/>
      <c r="C278" s="180"/>
      <c r="D278" s="180" t="s">
        <v>860</v>
      </c>
      <c r="E278" s="180"/>
      <c r="F278" s="180"/>
      <c r="G278" s="180" t="s">
        <v>840</v>
      </c>
      <c r="H278" s="180"/>
      <c r="I278" s="180"/>
      <c r="J278" s="180">
        <v>12245.709301129793</v>
      </c>
      <c r="K278" s="180">
        <v>23943.693612092171</v>
      </c>
      <c r="L278" s="180">
        <v>35865.15122391405</v>
      </c>
      <c r="M278" s="180">
        <v>48409.016741171974</v>
      </c>
      <c r="N278" s="180">
        <v>61119.573171490745</v>
      </c>
      <c r="O278" s="180">
        <v>74236.10414064028</v>
      </c>
      <c r="P278" s="180">
        <v>89051.301782571813</v>
      </c>
      <c r="Q278" s="180">
        <v>107128.34689529968</v>
      </c>
      <c r="R278" s="180">
        <v>128741.40139305851</v>
      </c>
      <c r="S278" s="180">
        <v>151839.09008320159</v>
      </c>
      <c r="T278" s="180">
        <v>174165.7425746386</v>
      </c>
      <c r="U278" s="180">
        <v>195828.46346586914</v>
      </c>
      <c r="V278" s="180">
        <v>216011.70966317679</v>
      </c>
      <c r="W278" s="180">
        <v>233703.86975637259</v>
      </c>
      <c r="X278" s="180">
        <v>249430.18373320278</v>
      </c>
      <c r="Y278" s="180">
        <v>263794.91469762166</v>
      </c>
      <c r="Z278" s="180">
        <v>277340.39027831325</v>
      </c>
      <c r="AA278" s="180">
        <v>290280.81719889236</v>
      </c>
      <c r="AB278" s="180">
        <v>302774.57571087615</v>
      </c>
      <c r="AC278" s="180">
        <v>314820.52396088996</v>
      </c>
      <c r="AD278" s="180">
        <v>325402.70965939132</v>
      </c>
      <c r="AE278" s="180">
        <v>335775.06436145352</v>
      </c>
      <c r="AF278" s="180">
        <v>346335.55857355404</v>
      </c>
      <c r="AG278" s="180">
        <v>357335.94543101761</v>
      </c>
      <c r="AH278" s="180">
        <v>368653.10008121311</v>
      </c>
      <c r="AI278" s="180">
        <v>380281.73754225066</v>
      </c>
      <c r="AJ278" s="180">
        <v>392466.5354221685</v>
      </c>
      <c r="AK278" s="180">
        <v>404687.50888320594</v>
      </c>
      <c r="AL278" s="180">
        <v>416979.4654726634</v>
      </c>
      <c r="AM278" s="180">
        <v>429334.12402249157</v>
      </c>
      <c r="AN278" s="180">
        <v>441764.31328724552</v>
      </c>
      <c r="AO278" s="180">
        <v>453784.66033859225</v>
      </c>
      <c r="AP278" s="180">
        <v>466002.61761901155</v>
      </c>
      <c r="AQ278" s="180">
        <v>478313.05618791294</v>
      </c>
      <c r="AR278" s="180">
        <v>490432.88212287548</v>
      </c>
      <c r="AS278" s="180">
        <v>501311.10088208417</v>
      </c>
    </row>
    <row r="279" spans="2:45">
      <c r="B279" s="532"/>
      <c r="C279" s="180"/>
      <c r="D279" s="180" t="s">
        <v>861</v>
      </c>
      <c r="E279" s="180"/>
      <c r="F279" s="180"/>
      <c r="G279" s="180" t="s">
        <v>838</v>
      </c>
      <c r="H279" s="180"/>
      <c r="I279" s="180">
        <v>270927.53012359736</v>
      </c>
      <c r="J279" s="180">
        <v>8101.3209698302653</v>
      </c>
      <c r="K279" s="180">
        <v>7661.5547087211344</v>
      </c>
      <c r="L279" s="180">
        <v>7735.3839412473171</v>
      </c>
      <c r="M279" s="180">
        <v>8210.9775473426143</v>
      </c>
      <c r="N279" s="180">
        <v>8547.5482162056451</v>
      </c>
      <c r="O279" s="180">
        <v>8453.6419157990586</v>
      </c>
      <c r="P279" s="180">
        <v>8964.4167034017028</v>
      </c>
      <c r="Q279" s="180">
        <v>9026.5502986854353</v>
      </c>
      <c r="R279" s="180">
        <v>8753.0972119543821</v>
      </c>
      <c r="S279" s="180">
        <v>8473.945492590552</v>
      </c>
      <c r="T279" s="180">
        <v>8272.7762676441744</v>
      </c>
      <c r="U279" s="180">
        <v>8004.2192298675345</v>
      </c>
      <c r="V279" s="180">
        <v>7660.229043176806</v>
      </c>
      <c r="W279" s="180">
        <v>7331.6267299223491</v>
      </c>
      <c r="X279" s="180">
        <v>7047.2417988205425</v>
      </c>
      <c r="Y279" s="180">
        <v>6921.1829989964699</v>
      </c>
      <c r="Z279" s="180">
        <v>6951.0632701712757</v>
      </c>
      <c r="AA279" s="180">
        <v>6856.5263126419695</v>
      </c>
      <c r="AB279" s="180">
        <v>6746.8055859612323</v>
      </c>
      <c r="AC279" s="180">
        <v>6739.1635928839469</v>
      </c>
      <c r="AD279" s="180">
        <v>6771.9703809064722</v>
      </c>
      <c r="AE279" s="180">
        <v>6833.1648237633226</v>
      </c>
      <c r="AF279" s="180">
        <v>6875.3139285544084</v>
      </c>
      <c r="AG279" s="180">
        <v>6938.7679449765437</v>
      </c>
      <c r="AH279" s="180">
        <v>6999.0064472045551</v>
      </c>
      <c r="AI279" s="180">
        <v>6998.6121631318247</v>
      </c>
      <c r="AJ279" s="180">
        <v>7074.2558756900671</v>
      </c>
      <c r="AK279" s="180">
        <v>7134.7966233152583</v>
      </c>
      <c r="AL279" s="180">
        <v>7194.847268945241</v>
      </c>
      <c r="AM279" s="180">
        <v>7252.8088425286287</v>
      </c>
      <c r="AN279" s="180">
        <v>7313.6478810295976</v>
      </c>
      <c r="AO279" s="180">
        <v>7343.0801401348572</v>
      </c>
      <c r="AP279" s="180">
        <v>7379.0392190145885</v>
      </c>
      <c r="AQ279" s="180">
        <v>7415.6461405074042</v>
      </c>
      <c r="AR279" s="180">
        <v>7452.7882729073572</v>
      </c>
      <c r="AS279" s="180">
        <v>7490.5123351228149</v>
      </c>
    </row>
    <row r="280" spans="2:45">
      <c r="B280" s="532"/>
      <c r="C280" s="180"/>
      <c r="D280" s="180" t="s">
        <v>862</v>
      </c>
      <c r="E280" s="180"/>
      <c r="F280" s="180"/>
      <c r="G280" s="180" t="s">
        <v>838</v>
      </c>
      <c r="H280" s="180"/>
      <c r="I280" s="180">
        <v>69918.436123981868</v>
      </c>
      <c r="J280" s="180">
        <v>2929.0878240971688</v>
      </c>
      <c r="K280" s="180">
        <v>2806.2157068916335</v>
      </c>
      <c r="L280" s="180">
        <v>2947.3504760429287</v>
      </c>
      <c r="M280" s="180">
        <v>3053.295777508943</v>
      </c>
      <c r="N280" s="180">
        <v>2820.3726714782583</v>
      </c>
      <c r="O280" s="180">
        <v>2618.0607413942225</v>
      </c>
      <c r="P280" s="180">
        <v>2597.4542733552098</v>
      </c>
      <c r="Q280" s="180">
        <v>2539.8333793532834</v>
      </c>
      <c r="R280" s="180">
        <v>2482.009317169719</v>
      </c>
      <c r="S280" s="180">
        <v>2399.8263339588666</v>
      </c>
      <c r="T280" s="180">
        <v>2312.0369991663815</v>
      </c>
      <c r="U280" s="180">
        <v>2236.0149548250929</v>
      </c>
      <c r="V280" s="180">
        <v>2136.4751516074953</v>
      </c>
      <c r="W280" s="180">
        <v>2038.7613346551655</v>
      </c>
      <c r="X280" s="180">
        <v>1937.7253568221704</v>
      </c>
      <c r="Y280" s="180">
        <v>1843.2369745268838</v>
      </c>
      <c r="Z280" s="180">
        <v>1787.8885278567875</v>
      </c>
      <c r="AA280" s="180">
        <v>1717.0811519937829</v>
      </c>
      <c r="AB280" s="180">
        <v>1645.9117784874732</v>
      </c>
      <c r="AC280" s="180">
        <v>1604.29672474821</v>
      </c>
      <c r="AD280" s="180">
        <v>1558.0826361941336</v>
      </c>
      <c r="AE280" s="180">
        <v>1517.3374946494025</v>
      </c>
      <c r="AF280" s="180">
        <v>1481.6035140121303</v>
      </c>
      <c r="AG280" s="180">
        <v>1452.6181271107475</v>
      </c>
      <c r="AH280" s="180">
        <v>1427.0279413499941</v>
      </c>
      <c r="AI280" s="180">
        <v>1405.620473646296</v>
      </c>
      <c r="AJ280" s="180">
        <v>1417.4457176668675</v>
      </c>
      <c r="AK280" s="180">
        <v>1427.9823052669608</v>
      </c>
      <c r="AL280" s="180">
        <v>1440.8249522885596</v>
      </c>
      <c r="AM280" s="180">
        <v>1454.8075862690689</v>
      </c>
      <c r="AN280" s="180">
        <v>1472.1121432400496</v>
      </c>
      <c r="AO280" s="180">
        <v>1470.1896651257764</v>
      </c>
      <c r="AP280" s="180">
        <v>1475.5761119234551</v>
      </c>
      <c r="AQ280" s="180">
        <v>1481.6288213735525</v>
      </c>
      <c r="AR280" s="180">
        <v>1488.067559900582</v>
      </c>
      <c r="AS280" s="180">
        <v>1494.575618024609</v>
      </c>
    </row>
    <row r="281" spans="2:45">
      <c r="B281" s="532"/>
      <c r="C281" s="180"/>
      <c r="D281" s="180" t="s">
        <v>837</v>
      </c>
      <c r="E281" s="180">
        <v>0</v>
      </c>
      <c r="F281" s="180">
        <v>0</v>
      </c>
      <c r="G281" s="180" t="s">
        <v>838</v>
      </c>
      <c r="H281" s="180">
        <v>0</v>
      </c>
      <c r="I281" s="180">
        <v>157029.6583276983</v>
      </c>
      <c r="J281" s="180">
        <v>1215.3005072023584</v>
      </c>
      <c r="K281" s="180">
        <v>1230.2138953496101</v>
      </c>
      <c r="L281" s="180">
        <v>1238.7231945316328</v>
      </c>
      <c r="M281" s="180">
        <v>1247.1953562593408</v>
      </c>
      <c r="N281" s="180">
        <v>1331.7768024019349</v>
      </c>
      <c r="O281" s="180">
        <v>2038.6966361249085</v>
      </c>
      <c r="P281" s="180">
        <v>3215.5070722386367</v>
      </c>
      <c r="Q281" s="180">
        <v>6420.1546207774927</v>
      </c>
      <c r="R281" s="180">
        <v>10272.277472675714</v>
      </c>
      <c r="S281" s="180">
        <v>12120.665730274926</v>
      </c>
      <c r="T281" s="180">
        <v>11626.535078352439</v>
      </c>
      <c r="U281" s="180">
        <v>11301.154049050514</v>
      </c>
      <c r="V281" s="180">
        <v>10260.735375988275</v>
      </c>
      <c r="W281" s="180">
        <v>8204.5481412590525</v>
      </c>
      <c r="X281" s="180">
        <v>6631.5959736241693</v>
      </c>
      <c r="Y281" s="180">
        <v>5496.5485921697173</v>
      </c>
      <c r="Z281" s="180">
        <v>4702.7887910371446</v>
      </c>
      <c r="AA281" s="180">
        <v>4270.7436849868436</v>
      </c>
      <c r="AB281" s="180">
        <v>3983.1957724784875</v>
      </c>
      <c r="AC281" s="180">
        <v>3612.7568469174416</v>
      </c>
      <c r="AD281" s="180">
        <v>2171.1965661450972</v>
      </c>
      <c r="AE281" s="180">
        <v>1922.2491265240528</v>
      </c>
      <c r="AF281" s="180">
        <v>2062.7132725910997</v>
      </c>
      <c r="AG281" s="180">
        <v>2468.0821563627487</v>
      </c>
      <c r="AH281" s="180">
        <v>2755.3032613758896</v>
      </c>
      <c r="AI281" s="180">
        <v>3081.1731071676054</v>
      </c>
      <c r="AJ281" s="180">
        <v>3553.5740768982109</v>
      </c>
      <c r="AK281" s="180">
        <v>3515.4023463300032</v>
      </c>
      <c r="AL281" s="180">
        <v>3521.9186564014835</v>
      </c>
      <c r="AM281" s="180">
        <v>3519.9339947354983</v>
      </c>
      <c r="AN281" s="180">
        <v>3523.4743787400153</v>
      </c>
      <c r="AO281" s="180">
        <v>3088.6139079481841</v>
      </c>
      <c r="AP281" s="180">
        <v>3246.5696965942789</v>
      </c>
      <c r="AQ281" s="180">
        <v>3301.5364040330442</v>
      </c>
      <c r="AR281" s="180">
        <v>3077.3857318702071</v>
      </c>
      <c r="AS281" s="180">
        <v>1799.4180502802071</v>
      </c>
    </row>
    <row r="282" spans="2:45">
      <c r="B282" s="532"/>
      <c r="C282" s="180"/>
      <c r="D282" s="180" t="s">
        <v>863</v>
      </c>
      <c r="E282" s="180">
        <v>0</v>
      </c>
      <c r="F282" s="180">
        <v>0</v>
      </c>
      <c r="G282" s="180" t="s">
        <v>838</v>
      </c>
      <c r="H282" s="180">
        <v>0</v>
      </c>
      <c r="I282" s="180">
        <v>3435.4763068067105</v>
      </c>
      <c r="J282" s="180">
        <v>0</v>
      </c>
      <c r="K282" s="180">
        <v>0</v>
      </c>
      <c r="L282" s="180">
        <v>0</v>
      </c>
      <c r="M282" s="180">
        <v>32.396836147022732</v>
      </c>
      <c r="N282" s="180">
        <v>10.858740232930538</v>
      </c>
      <c r="O282" s="180">
        <v>6.1316758313437223</v>
      </c>
      <c r="P282" s="180">
        <v>37.819592935984218</v>
      </c>
      <c r="Q282" s="180">
        <v>90.506813911643277</v>
      </c>
      <c r="R282" s="180">
        <v>105.67049595901993</v>
      </c>
      <c r="S282" s="180">
        <v>103.25113331874573</v>
      </c>
      <c r="T282" s="180">
        <v>115.30414627402445</v>
      </c>
      <c r="U282" s="180">
        <v>121.33265748740386</v>
      </c>
      <c r="V282" s="180">
        <v>125.80662653507984</v>
      </c>
      <c r="W282" s="180">
        <v>117.22388735921459</v>
      </c>
      <c r="X282" s="180">
        <v>109.75084756330898</v>
      </c>
      <c r="Y282" s="180">
        <v>103.76239872579968</v>
      </c>
      <c r="Z282" s="180">
        <v>103.7349916264094</v>
      </c>
      <c r="AA282" s="180">
        <v>96.075770956532963</v>
      </c>
      <c r="AB282" s="180">
        <v>117.84537505658058</v>
      </c>
      <c r="AC282" s="180">
        <v>89.731085464240365</v>
      </c>
      <c r="AD282" s="180">
        <v>80.936115255675205</v>
      </c>
      <c r="AE282" s="180">
        <v>99.603257125456054</v>
      </c>
      <c r="AF282" s="180">
        <v>140.86349694287293</v>
      </c>
      <c r="AG282" s="180">
        <v>140.91862901351786</v>
      </c>
      <c r="AH282" s="180">
        <v>135.81700026504325</v>
      </c>
      <c r="AI282" s="180">
        <v>143.23171709185294</v>
      </c>
      <c r="AJ282" s="180">
        <v>139.52220966268152</v>
      </c>
      <c r="AK282" s="180">
        <v>142.79218612522024</v>
      </c>
      <c r="AL282" s="180">
        <v>134.36571182220024</v>
      </c>
      <c r="AM282" s="180">
        <v>127.108126294944</v>
      </c>
      <c r="AN282" s="180">
        <v>120.95486174426765</v>
      </c>
      <c r="AO282" s="180">
        <v>118.46333813790004</v>
      </c>
      <c r="AP282" s="180">
        <v>116.7722528869766</v>
      </c>
      <c r="AQ282" s="180">
        <v>111.62720298741175</v>
      </c>
      <c r="AR282" s="180">
        <v>101.58437028437486</v>
      </c>
      <c r="AS282" s="180">
        <v>93.71275578102933</v>
      </c>
    </row>
    <row r="283" spans="2:45">
      <c r="B283" s="532"/>
      <c r="C283" s="180"/>
      <c r="D283" s="180" t="s">
        <v>864</v>
      </c>
      <c r="E283" s="180">
        <v>0</v>
      </c>
      <c r="F283" s="180">
        <v>0</v>
      </c>
      <c r="G283" s="180" t="s">
        <v>838</v>
      </c>
      <c r="H283" s="180">
        <v>0</v>
      </c>
      <c r="I283" s="180">
        <v>4892.8784198755411</v>
      </c>
      <c r="J283" s="180">
        <v>8.3111704883093438</v>
      </c>
      <c r="K283" s="180">
        <v>8.7797742566947683</v>
      </c>
      <c r="L283" s="180">
        <v>18.389189409408147</v>
      </c>
      <c r="M283" s="180">
        <v>15.241368934545612</v>
      </c>
      <c r="N283" s="180">
        <v>39.058088445776512</v>
      </c>
      <c r="O283" s="180">
        <v>79.313994537098466</v>
      </c>
      <c r="P283" s="180">
        <v>96.990004997960199</v>
      </c>
      <c r="Q283" s="180">
        <v>113.35238575936708</v>
      </c>
      <c r="R283" s="180">
        <v>109.78477885661829</v>
      </c>
      <c r="S283" s="180">
        <v>117.70899924167128</v>
      </c>
      <c r="T283" s="180">
        <v>115.07517772963075</v>
      </c>
      <c r="U283" s="180">
        <v>184.08365086398297</v>
      </c>
      <c r="V283" s="180">
        <v>183.4723071188464</v>
      </c>
      <c r="W283" s="180">
        <v>182.08671027091162</v>
      </c>
      <c r="X283" s="180">
        <v>188.99949610595243</v>
      </c>
      <c r="Y283" s="180">
        <v>228.59555481002303</v>
      </c>
      <c r="Z283" s="180">
        <v>214.23727925115648</v>
      </c>
      <c r="AA283" s="180">
        <v>217.26312930321293</v>
      </c>
      <c r="AB283" s="180">
        <v>210.85480611610669</v>
      </c>
      <c r="AC283" s="180">
        <v>257.24569580622978</v>
      </c>
      <c r="AD283" s="180">
        <v>280.57734800554306</v>
      </c>
      <c r="AE283" s="180">
        <v>194.1056079459687</v>
      </c>
      <c r="AF283" s="180">
        <v>192.76011902258568</v>
      </c>
      <c r="AG283" s="180">
        <v>187.71811149356301</v>
      </c>
      <c r="AH283" s="180">
        <v>187.47415487575918</v>
      </c>
      <c r="AI283" s="180">
        <v>182.71347551170464</v>
      </c>
      <c r="AJ283" s="180">
        <v>176.00867191599232</v>
      </c>
      <c r="AK283" s="180">
        <v>172.85670528818113</v>
      </c>
      <c r="AL283" s="180">
        <v>169.78918227935245</v>
      </c>
      <c r="AM283" s="180">
        <v>166.92282692322752</v>
      </c>
      <c r="AN283" s="180">
        <v>169.92111736619967</v>
      </c>
      <c r="AO283" s="180">
        <v>50.706083023473823</v>
      </c>
      <c r="AP283" s="180">
        <v>49.390551815269838</v>
      </c>
      <c r="AQ283" s="180">
        <v>46.626336743549452</v>
      </c>
      <c r="AR283" s="180">
        <v>45.203006600803654</v>
      </c>
      <c r="AS283" s="180">
        <v>31.261558760864375</v>
      </c>
    </row>
    <row r="284" spans="2:45">
      <c r="B284" s="532"/>
      <c r="C284" s="180"/>
      <c r="D284" s="180" t="s">
        <v>865</v>
      </c>
      <c r="E284" s="180">
        <v>0</v>
      </c>
      <c r="F284" s="180">
        <v>0</v>
      </c>
      <c r="G284" s="180" t="s">
        <v>840</v>
      </c>
      <c r="H284" s="180">
        <v>0</v>
      </c>
      <c r="I284" s="180"/>
      <c r="J284" s="180">
        <v>8.3111704883093438</v>
      </c>
      <c r="K284" s="180">
        <v>17.090944745004112</v>
      </c>
      <c r="L284" s="180">
        <v>35.480134154412255</v>
      </c>
      <c r="M284" s="180">
        <v>50.721503088957867</v>
      </c>
      <c r="N284" s="180">
        <v>89.779591534734379</v>
      </c>
      <c r="O284" s="180">
        <v>169.09358607183285</v>
      </c>
      <c r="P284" s="180">
        <v>266.08359106979304</v>
      </c>
      <c r="Q284" s="180">
        <v>379.43597682916015</v>
      </c>
      <c r="R284" s="180">
        <v>489.22075568577844</v>
      </c>
      <c r="S284" s="180">
        <v>606.92975492744972</v>
      </c>
      <c r="T284" s="180">
        <v>722.00493265708042</v>
      </c>
      <c r="U284" s="180">
        <v>906.08858352106336</v>
      </c>
      <c r="V284" s="180">
        <v>1089.5608906399098</v>
      </c>
      <c r="W284" s="180">
        <v>1271.6476009108214</v>
      </c>
      <c r="X284" s="180">
        <v>1460.6470970167738</v>
      </c>
      <c r="Y284" s="180">
        <v>1689.2426518267969</v>
      </c>
      <c r="Z284" s="180">
        <v>1903.4799310779533</v>
      </c>
      <c r="AA284" s="180">
        <v>2120.7430603811663</v>
      </c>
      <c r="AB284" s="180">
        <v>2331.5978664972731</v>
      </c>
      <c r="AC284" s="180">
        <v>2588.8435623035029</v>
      </c>
      <c r="AD284" s="180">
        <v>2869.4209103090461</v>
      </c>
      <c r="AE284" s="180">
        <v>3063.5265182550147</v>
      </c>
      <c r="AF284" s="180">
        <v>3256.2866372776002</v>
      </c>
      <c r="AG284" s="180">
        <v>3444.0047487711631</v>
      </c>
      <c r="AH284" s="180">
        <v>3631.4789036469224</v>
      </c>
      <c r="AI284" s="180">
        <v>3814.1923791586269</v>
      </c>
      <c r="AJ284" s="180">
        <v>3990.201051074619</v>
      </c>
      <c r="AK284" s="180">
        <v>4163.0577563628003</v>
      </c>
      <c r="AL284" s="180">
        <v>4332.846938642153</v>
      </c>
      <c r="AM284" s="180">
        <v>4499.7697655653801</v>
      </c>
      <c r="AN284" s="180">
        <v>4669.6908829315798</v>
      </c>
      <c r="AO284" s="180">
        <v>4720.3969659550539</v>
      </c>
      <c r="AP284" s="180">
        <v>4769.7875177703236</v>
      </c>
      <c r="AQ284" s="180">
        <v>4816.413854513873</v>
      </c>
      <c r="AR284" s="180">
        <v>4861.6168611146768</v>
      </c>
      <c r="AS284" s="180">
        <v>4892.8784198755411</v>
      </c>
    </row>
    <row r="285" spans="2:45">
      <c r="B285" s="532"/>
      <c r="C285" s="180"/>
      <c r="D285" s="180" t="s">
        <v>866</v>
      </c>
      <c r="E285" s="180">
        <v>0</v>
      </c>
      <c r="F285" s="180">
        <v>0</v>
      </c>
      <c r="G285" s="180" t="s">
        <v>838</v>
      </c>
      <c r="H285" s="180">
        <v>0</v>
      </c>
      <c r="I285" s="180">
        <v>3052.824955898639</v>
      </c>
      <c r="J285" s="180">
        <v>8.3111704883093438</v>
      </c>
      <c r="K285" s="180">
        <v>8.6549924175395994</v>
      </c>
      <c r="L285" s="180">
        <v>9.9563382750940761</v>
      </c>
      <c r="M285" s="180">
        <v>11.257710895437489</v>
      </c>
      <c r="N285" s="180">
        <v>12.559110278570039</v>
      </c>
      <c r="O285" s="180">
        <v>57.22852911996717</v>
      </c>
      <c r="P285" s="180">
        <v>56.128914702748922</v>
      </c>
      <c r="Q285" s="180">
        <v>68.070635583046936</v>
      </c>
      <c r="R285" s="180">
        <v>71.242241565898325</v>
      </c>
      <c r="S285" s="180">
        <v>74.413805589724873</v>
      </c>
      <c r="T285" s="180">
        <v>77.285700200457214</v>
      </c>
      <c r="U285" s="180">
        <v>145.79821875249857</v>
      </c>
      <c r="V285" s="180">
        <v>147.96883832883515</v>
      </c>
      <c r="W285" s="180">
        <v>150.13932522060495</v>
      </c>
      <c r="X285" s="180">
        <v>152.30960899581322</v>
      </c>
      <c r="Y285" s="180">
        <v>154.47960702922995</v>
      </c>
      <c r="Z285" s="180">
        <v>163.38575661946558</v>
      </c>
      <c r="AA285" s="180">
        <v>163.32893257186251</v>
      </c>
      <c r="AB285" s="180">
        <v>163.27121928267636</v>
      </c>
      <c r="AC285" s="180">
        <v>163.21329573357761</v>
      </c>
      <c r="AD285" s="180">
        <v>163.04991657206148</v>
      </c>
      <c r="AE285" s="180">
        <v>95.476155673724634</v>
      </c>
      <c r="AF285" s="180">
        <v>95.441809751023129</v>
      </c>
      <c r="AG285" s="180">
        <v>95.407329008189535</v>
      </c>
      <c r="AH285" s="180">
        <v>95.372618396044345</v>
      </c>
      <c r="AI285" s="180">
        <v>95.337665715458087</v>
      </c>
      <c r="AJ285" s="180">
        <v>95.30365801334473</v>
      </c>
      <c r="AK285" s="180">
        <v>95.269267541177513</v>
      </c>
      <c r="AL285" s="180">
        <v>95.234895352000677</v>
      </c>
      <c r="AM285" s="180">
        <v>95.200514996098875</v>
      </c>
      <c r="AN285" s="180">
        <v>95.166232849017931</v>
      </c>
      <c r="AO285" s="180">
        <v>15.511857435403074</v>
      </c>
      <c r="AP285" s="180">
        <v>15.512022316914253</v>
      </c>
      <c r="AQ285" s="180">
        <v>15.512187633967434</v>
      </c>
      <c r="AR285" s="180">
        <v>15.512353392794326</v>
      </c>
      <c r="AS285" s="180">
        <v>15.512519600059871</v>
      </c>
    </row>
    <row r="286" spans="2:45">
      <c r="B286" s="532"/>
      <c r="C286" s="180"/>
      <c r="D286" s="180" t="s">
        <v>867</v>
      </c>
      <c r="E286" s="180">
        <v>0</v>
      </c>
      <c r="F286" s="180">
        <v>0</v>
      </c>
      <c r="G286" s="180" t="s">
        <v>838</v>
      </c>
      <c r="H286" s="180">
        <v>0</v>
      </c>
      <c r="I286" s="180">
        <v>571.54611919560261</v>
      </c>
      <c r="J286" s="180">
        <v>0</v>
      </c>
      <c r="K286" s="180">
        <v>0.12478183915516979</v>
      </c>
      <c r="L286" s="180">
        <v>0.12478183915516979</v>
      </c>
      <c r="M286" s="180">
        <v>0.12478183915516981</v>
      </c>
      <c r="N286" s="180">
        <v>0.12478183915516976</v>
      </c>
      <c r="O286" s="180">
        <v>0.12478183915516981</v>
      </c>
      <c r="P286" s="180">
        <v>0</v>
      </c>
      <c r="Q286" s="180">
        <v>0</v>
      </c>
      <c r="R286" s="180">
        <v>0</v>
      </c>
      <c r="S286" s="180">
        <v>0</v>
      </c>
      <c r="T286" s="180">
        <v>0</v>
      </c>
      <c r="U286" s="180">
        <v>0</v>
      </c>
      <c r="V286" s="180">
        <v>0</v>
      </c>
      <c r="W286" s="180">
        <v>0</v>
      </c>
      <c r="X286" s="180">
        <v>8.1755375568274768</v>
      </c>
      <c r="Y286" s="180">
        <v>36.963398456153513</v>
      </c>
      <c r="Z286" s="180">
        <v>17.302693738379165</v>
      </c>
      <c r="AA286" s="180">
        <v>17.302693738379745</v>
      </c>
      <c r="AB286" s="180">
        <v>17.302693738379165</v>
      </c>
      <c r="AC286" s="180">
        <v>27.868910319634562</v>
      </c>
      <c r="AD286" s="180">
        <v>58.399583661231475</v>
      </c>
      <c r="AE286" s="180">
        <v>33.615563634554583</v>
      </c>
      <c r="AF286" s="180">
        <v>33.615563634555045</v>
      </c>
      <c r="AG286" s="180">
        <v>33.615563634554583</v>
      </c>
      <c r="AH286" s="180">
        <v>33.615563634555045</v>
      </c>
      <c r="AI286" s="180">
        <v>33.499375213423491</v>
      </c>
      <c r="AJ286" s="180">
        <v>28.497173053840498</v>
      </c>
      <c r="AK286" s="180">
        <v>28.339698850438261</v>
      </c>
      <c r="AL286" s="180">
        <v>28.182224647034872</v>
      </c>
      <c r="AM286" s="180">
        <v>28.024750443632634</v>
      </c>
      <c r="AN286" s="180">
        <v>27.867276240229277</v>
      </c>
      <c r="AO286" s="180">
        <v>15.746789160804495</v>
      </c>
      <c r="AP286" s="180">
        <v>15.746789160804942</v>
      </c>
      <c r="AQ286" s="180">
        <v>15.746789160804484</v>
      </c>
      <c r="AR286" s="180">
        <v>15.746789160804939</v>
      </c>
      <c r="AS286" s="180">
        <v>15.746789160804504</v>
      </c>
    </row>
    <row r="287" spans="2:45">
      <c r="B287" s="532"/>
      <c r="C287" s="180"/>
      <c r="D287" s="180" t="s">
        <v>868</v>
      </c>
      <c r="E287" s="180">
        <v>0</v>
      </c>
      <c r="F287" s="180">
        <v>0</v>
      </c>
      <c r="G287" s="180" t="s">
        <v>838</v>
      </c>
      <c r="H287" s="180">
        <v>0</v>
      </c>
      <c r="I287" s="180">
        <v>303.37651589420204</v>
      </c>
      <c r="J287" s="180">
        <v>0</v>
      </c>
      <c r="K287" s="180">
        <v>0</v>
      </c>
      <c r="L287" s="180">
        <v>0</v>
      </c>
      <c r="M287" s="180">
        <v>0</v>
      </c>
      <c r="N287" s="180">
        <v>0</v>
      </c>
      <c r="O287" s="180">
        <v>0</v>
      </c>
      <c r="P287" s="180">
        <v>0</v>
      </c>
      <c r="Q287" s="180">
        <v>0</v>
      </c>
      <c r="R287" s="180">
        <v>0</v>
      </c>
      <c r="S287" s="180">
        <v>0</v>
      </c>
      <c r="T287" s="180">
        <v>0</v>
      </c>
      <c r="U287" s="180">
        <v>0.47625225809396166</v>
      </c>
      <c r="V287" s="180">
        <v>0.47625225809396166</v>
      </c>
      <c r="W287" s="180">
        <v>0.47625225809396166</v>
      </c>
      <c r="X287" s="180">
        <v>0.47625225809396166</v>
      </c>
      <c r="Y287" s="180">
        <v>0.47625225809396166</v>
      </c>
      <c r="Z287" s="180">
        <v>0.59717523866778033</v>
      </c>
      <c r="AA287" s="180">
        <v>0.59717523866778088</v>
      </c>
      <c r="AB287" s="180">
        <v>0.59717523866778088</v>
      </c>
      <c r="AC287" s="180">
        <v>25.347175238667781</v>
      </c>
      <c r="AD287" s="180">
        <v>25.347175238667781</v>
      </c>
      <c r="AE287" s="180">
        <v>24.951875682078668</v>
      </c>
      <c r="AF287" s="180">
        <v>24.951875682078668</v>
      </c>
      <c r="AG287" s="180">
        <v>24.951875682078668</v>
      </c>
      <c r="AH287" s="180">
        <v>24.951875682078668</v>
      </c>
      <c r="AI287" s="180">
        <v>24.951875682078668</v>
      </c>
      <c r="AJ287" s="180">
        <v>24.75</v>
      </c>
      <c r="AK287" s="180">
        <v>24.75</v>
      </c>
      <c r="AL287" s="180">
        <v>24.75</v>
      </c>
      <c r="AM287" s="180">
        <v>24.75</v>
      </c>
      <c r="AN287" s="180">
        <v>24.75</v>
      </c>
      <c r="AO287" s="180">
        <v>0</v>
      </c>
      <c r="AP287" s="180">
        <v>0</v>
      </c>
      <c r="AQ287" s="180">
        <v>0</v>
      </c>
      <c r="AR287" s="180">
        <v>0</v>
      </c>
      <c r="AS287" s="180">
        <v>0</v>
      </c>
    </row>
    <row r="288" spans="2:45">
      <c r="B288" s="532"/>
      <c r="C288" s="180"/>
      <c r="D288" s="180" t="s">
        <v>869</v>
      </c>
      <c r="E288" s="180">
        <v>0</v>
      </c>
      <c r="F288" s="180">
        <v>0</v>
      </c>
      <c r="G288" s="180" t="s">
        <v>838</v>
      </c>
      <c r="H288" s="180">
        <v>0</v>
      </c>
      <c r="I288" s="180">
        <v>965.13082888709891</v>
      </c>
      <c r="J288" s="180">
        <v>0</v>
      </c>
      <c r="K288" s="180">
        <v>0</v>
      </c>
      <c r="L288" s="180">
        <v>8.3080692951589032</v>
      </c>
      <c r="M288" s="180">
        <v>3.8588761999529537</v>
      </c>
      <c r="N288" s="180">
        <v>26.374196328051305</v>
      </c>
      <c r="O288" s="180">
        <v>21.960683577976123</v>
      </c>
      <c r="P288" s="180">
        <v>40.861090295211284</v>
      </c>
      <c r="Q288" s="180">
        <v>45.281750176320145</v>
      </c>
      <c r="R288" s="180">
        <v>38.542537290719956</v>
      </c>
      <c r="S288" s="180">
        <v>43.295193651946398</v>
      </c>
      <c r="T288" s="180">
        <v>37.789477529173539</v>
      </c>
      <c r="U288" s="180">
        <v>37.809179853390454</v>
      </c>
      <c r="V288" s="180">
        <v>35.02721653191729</v>
      </c>
      <c r="W288" s="180">
        <v>31.471132792212728</v>
      </c>
      <c r="X288" s="180">
        <v>28.038097295217796</v>
      </c>
      <c r="Y288" s="180">
        <v>36.676297066545615</v>
      </c>
      <c r="Z288" s="180">
        <v>32.951653654643955</v>
      </c>
      <c r="AA288" s="180">
        <v>36.034327754302886</v>
      </c>
      <c r="AB288" s="180">
        <v>29.683717856383403</v>
      </c>
      <c r="AC288" s="180">
        <v>40.816314514349848</v>
      </c>
      <c r="AD288" s="180">
        <v>33.780672533582354</v>
      </c>
      <c r="AE288" s="180">
        <v>40.062012955610825</v>
      </c>
      <c r="AF288" s="180">
        <v>38.750869954928852</v>
      </c>
      <c r="AG288" s="180">
        <v>33.743343168740218</v>
      </c>
      <c r="AH288" s="180">
        <v>33.534097163081121</v>
      </c>
      <c r="AI288" s="180">
        <v>28.92455890074439</v>
      </c>
      <c r="AJ288" s="180">
        <v>27.457840848807077</v>
      </c>
      <c r="AK288" s="180">
        <v>24.497738896565345</v>
      </c>
      <c r="AL288" s="180">
        <v>21.622062280316907</v>
      </c>
      <c r="AM288" s="180">
        <v>18.947561483495996</v>
      </c>
      <c r="AN288" s="180">
        <v>22.137608276952449</v>
      </c>
      <c r="AO288" s="180">
        <v>19.447436427266254</v>
      </c>
      <c r="AP288" s="180">
        <v>18.131740337550642</v>
      </c>
      <c r="AQ288" s="180">
        <v>15.367359948777532</v>
      </c>
      <c r="AR288" s="180">
        <v>13.943864047204391</v>
      </c>
      <c r="AS288" s="180">
        <v>2.2499999999999998E-3</v>
      </c>
    </row>
    <row r="289" spans="2:45">
      <c r="B289" s="180"/>
      <c r="C289" s="180"/>
      <c r="D289" s="180"/>
      <c r="E289" s="180"/>
      <c r="F289" s="180"/>
      <c r="G289" s="180"/>
      <c r="H289" s="180"/>
      <c r="I289" s="180"/>
      <c r="J289" s="180"/>
      <c r="K289" s="180"/>
      <c r="L289" s="180"/>
      <c r="M289" s="180"/>
      <c r="N289" s="180"/>
      <c r="O289" s="180"/>
      <c r="P289" s="180"/>
      <c r="Q289" s="180"/>
      <c r="R289" s="180"/>
      <c r="S289" s="180"/>
      <c r="T289" s="180"/>
      <c r="U289" s="180"/>
      <c r="V289" s="180"/>
      <c r="W289" s="180"/>
      <c r="X289" s="180"/>
      <c r="Y289" s="180"/>
      <c r="Z289" s="180"/>
      <c r="AA289" s="180"/>
      <c r="AB289" s="180"/>
      <c r="AC289" s="180"/>
      <c r="AD289" s="180"/>
      <c r="AE289" s="180"/>
      <c r="AF289" s="180"/>
      <c r="AG289" s="180"/>
      <c r="AH289" s="180"/>
      <c r="AI289" s="180"/>
      <c r="AJ289" s="180"/>
      <c r="AK289" s="180"/>
      <c r="AL289" s="180"/>
      <c r="AM289" s="180"/>
      <c r="AN289" s="180"/>
      <c r="AO289" s="180"/>
      <c r="AP289" s="180"/>
      <c r="AQ289" s="180"/>
      <c r="AR289" s="180"/>
      <c r="AS289" s="180"/>
    </row>
    <row r="290" spans="2:45">
      <c r="B290" s="180"/>
      <c r="C290" s="180"/>
      <c r="D290" s="180"/>
      <c r="E290" s="180"/>
      <c r="F290" s="180"/>
      <c r="G290" s="180"/>
      <c r="H290" s="180"/>
      <c r="I290" s="180"/>
      <c r="J290" s="180"/>
      <c r="K290" s="180"/>
      <c r="L290" s="180"/>
      <c r="M290" s="180"/>
      <c r="N290" s="180"/>
      <c r="O290" s="180"/>
      <c r="P290" s="180"/>
      <c r="Q290" s="180"/>
      <c r="R290" s="180"/>
      <c r="S290" s="180"/>
      <c r="T290" s="180"/>
      <c r="U290" s="180"/>
      <c r="V290" s="180"/>
      <c r="W290" s="180"/>
      <c r="X290" s="180"/>
      <c r="Y290" s="180"/>
      <c r="Z290" s="180"/>
      <c r="AA290" s="180"/>
      <c r="AB290" s="180"/>
      <c r="AC290" s="180"/>
      <c r="AD290" s="180"/>
      <c r="AE290" s="180"/>
      <c r="AF290" s="180"/>
      <c r="AG290" s="180"/>
      <c r="AH290" s="180"/>
      <c r="AI290" s="180"/>
      <c r="AJ290" s="180"/>
      <c r="AK290" s="180"/>
      <c r="AL290" s="180"/>
      <c r="AM290" s="180"/>
      <c r="AN290" s="180"/>
      <c r="AO290" s="180"/>
      <c r="AP290" s="180"/>
      <c r="AQ290" s="180"/>
      <c r="AR290" s="180"/>
      <c r="AS290" s="180"/>
    </row>
    <row r="294" spans="2:45" s="636" customFormat="1" ht="21">
      <c r="B294" s="637" t="s">
        <v>871</v>
      </c>
    </row>
    <row r="296" spans="2:45">
      <c r="C296" t="s">
        <v>872</v>
      </c>
    </row>
    <row r="299" spans="2:45">
      <c r="D299" s="35" t="s">
        <v>873</v>
      </c>
      <c r="E299" s="78"/>
    </row>
    <row r="300" spans="2:45">
      <c r="E300" s="76" t="s">
        <v>874</v>
      </c>
    </row>
    <row r="301" spans="2:45">
      <c r="C301" t="s">
        <v>875</v>
      </c>
      <c r="D301" t="s">
        <v>876</v>
      </c>
      <c r="E301" s="170">
        <f>default_domestic_energy_efficiency_total_costs</f>
        <v>41844000000</v>
      </c>
      <c r="F301" t="s">
        <v>877</v>
      </c>
    </row>
    <row r="302" spans="2:45">
      <c r="C302" t="s">
        <v>875</v>
      </c>
      <c r="D302" t="s">
        <v>878</v>
      </c>
      <c r="E302" s="170">
        <f>default_non_domestic_energy_efficiency_costs</f>
        <v>11789523434</v>
      </c>
      <c r="F302" t="s">
        <v>879</v>
      </c>
    </row>
    <row r="303" spans="2:45">
      <c r="D303" t="s">
        <v>880</v>
      </c>
      <c r="E303" s="170">
        <f>E301+E302</f>
        <v>53633523434</v>
      </c>
    </row>
    <row r="305" spans="4:5">
      <c r="D305" s="179" t="s">
        <v>881</v>
      </c>
    </row>
    <row r="307" spans="4:5">
      <c r="D307" s="640" t="s">
        <v>876</v>
      </c>
      <c r="E307" s="641">
        <v>41844000000</v>
      </c>
    </row>
    <row r="308" spans="4:5">
      <c r="D308" s="640" t="s">
        <v>878</v>
      </c>
      <c r="E308" s="641">
        <v>11789523434</v>
      </c>
    </row>
    <row r="309" spans="4:5">
      <c r="D309" s="640" t="s">
        <v>880</v>
      </c>
      <c r="E309" s="641">
        <f>default_domestic_energy_efficiency_total_costs+default_non_domestic_energy_efficiency_costs</f>
        <v>53633523434</v>
      </c>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5">
    <tabColor theme="9" tint="0.79998168889431442"/>
  </sheetPr>
  <dimension ref="A1:BE103"/>
  <sheetViews>
    <sheetView workbookViewId="0">
      <selection activeCell="O35" sqref="O35"/>
    </sheetView>
  </sheetViews>
  <sheetFormatPr defaultColWidth="0" defaultRowHeight="15" zeroHeight="1"/>
  <cols>
    <col min="1" max="35" width="9.140625" customWidth="1"/>
    <col min="36" max="57" width="0" hidden="1" customWidth="1"/>
    <col min="58" max="16384" width="9.140625" hidden="1"/>
  </cols>
  <sheetData>
    <row r="1" spans="1:57">
      <c r="A1" s="557"/>
      <c r="B1" s="557"/>
      <c r="C1" s="557"/>
      <c r="D1" s="557"/>
      <c r="E1" s="557"/>
      <c r="F1" s="557"/>
      <c r="G1" s="557"/>
      <c r="H1" s="557"/>
      <c r="I1" s="557"/>
      <c r="J1" s="557"/>
      <c r="K1" s="557"/>
      <c r="L1" s="557"/>
      <c r="M1" s="557"/>
      <c r="N1" s="557"/>
      <c r="O1" s="557"/>
      <c r="P1" s="557"/>
      <c r="Q1" s="557"/>
      <c r="R1" s="557"/>
      <c r="S1" s="557"/>
      <c r="T1" s="557"/>
      <c r="U1" s="557"/>
      <c r="V1" s="557"/>
      <c r="W1" s="557"/>
      <c r="X1" s="557"/>
      <c r="Y1" s="557"/>
      <c r="Z1" s="557"/>
      <c r="AA1" s="557"/>
      <c r="AB1" s="557"/>
      <c r="AC1" s="557"/>
      <c r="AD1" s="557"/>
      <c r="AE1" s="557"/>
      <c r="AF1" s="557"/>
      <c r="AG1" s="557"/>
      <c r="AH1" s="557"/>
      <c r="AI1" s="557"/>
      <c r="AJ1" s="557"/>
      <c r="AK1" s="557"/>
      <c r="AL1" s="557"/>
      <c r="AM1" s="557"/>
      <c r="AN1" s="557"/>
      <c r="AO1" s="557"/>
      <c r="AP1" s="557"/>
      <c r="AQ1" s="557"/>
      <c r="AR1" s="557"/>
      <c r="AS1" s="557"/>
      <c r="AT1" s="557"/>
      <c r="AU1" s="557"/>
      <c r="AV1" s="557"/>
      <c r="AW1" s="557"/>
      <c r="AX1" s="557"/>
      <c r="AY1" s="557"/>
      <c r="AZ1" s="557"/>
      <c r="BA1" s="557"/>
      <c r="BB1" s="557"/>
      <c r="BC1" s="557"/>
      <c r="BD1" s="557"/>
      <c r="BE1" s="557"/>
    </row>
    <row r="2" spans="1:57">
      <c r="A2" s="557"/>
      <c r="B2" s="557"/>
      <c r="C2" s="557"/>
      <c r="D2" s="557"/>
      <c r="E2" s="557"/>
      <c r="F2" s="557"/>
      <c r="G2" s="557"/>
      <c r="H2" s="557"/>
      <c r="I2" s="557"/>
      <c r="J2" s="557"/>
      <c r="K2" s="557"/>
      <c r="L2" s="557"/>
      <c r="M2" s="557"/>
      <c r="N2" s="557"/>
      <c r="O2" s="557"/>
      <c r="P2" s="557"/>
      <c r="Q2" s="557"/>
      <c r="R2" s="557"/>
      <c r="S2" s="557"/>
      <c r="T2" s="557"/>
      <c r="U2" s="557"/>
      <c r="V2" s="557"/>
      <c r="W2" s="557"/>
      <c r="X2" s="557"/>
      <c r="Y2" s="557"/>
      <c r="Z2" s="557"/>
      <c r="AA2" s="557"/>
      <c r="AB2" s="557"/>
      <c r="AC2" s="557"/>
      <c r="AD2" s="557"/>
      <c r="AE2" s="557"/>
      <c r="AF2" s="557"/>
      <c r="AG2" s="557"/>
      <c r="AH2" s="557"/>
      <c r="AI2" s="557"/>
      <c r="AJ2" s="557"/>
      <c r="AK2" s="557"/>
      <c r="AL2" s="557"/>
      <c r="AM2" s="557"/>
      <c r="AN2" s="557"/>
      <c r="AO2" s="557"/>
      <c r="AP2" s="557"/>
      <c r="AQ2" s="557"/>
      <c r="AR2" s="557"/>
      <c r="AS2" s="557"/>
      <c r="AT2" s="557"/>
      <c r="AU2" s="557"/>
      <c r="AV2" s="557"/>
      <c r="AW2" s="557"/>
      <c r="AX2" s="557"/>
      <c r="AY2" s="557"/>
      <c r="AZ2" s="557"/>
      <c r="BA2" s="557"/>
      <c r="BB2" s="557"/>
      <c r="BC2" s="557"/>
      <c r="BD2" s="557"/>
      <c r="BE2" s="557"/>
    </row>
    <row r="3" spans="1:57">
      <c r="A3" s="557"/>
      <c r="B3" s="557"/>
      <c r="C3" s="557"/>
      <c r="D3" s="557"/>
      <c r="E3" s="557"/>
      <c r="F3" s="557"/>
      <c r="G3" s="557"/>
      <c r="H3" s="557"/>
      <c r="I3" s="557"/>
      <c r="J3" s="557"/>
      <c r="K3" s="557"/>
      <c r="L3" s="557"/>
      <c r="M3" s="557"/>
      <c r="N3" s="557"/>
      <c r="O3" s="557"/>
      <c r="P3" s="557"/>
      <c r="Q3" s="557"/>
      <c r="R3" s="557"/>
      <c r="S3" s="557"/>
      <c r="T3" s="557"/>
      <c r="U3" s="557"/>
      <c r="V3" s="557"/>
      <c r="W3" s="557"/>
      <c r="X3" s="557"/>
      <c r="Y3" s="557"/>
      <c r="Z3" s="557"/>
      <c r="AA3" s="557"/>
      <c r="AB3" s="557"/>
      <c r="AC3" s="557"/>
      <c r="AD3" s="557"/>
      <c r="AE3" s="557"/>
      <c r="AF3" s="557"/>
      <c r="AG3" s="557"/>
      <c r="AH3" s="557"/>
      <c r="AI3" s="557"/>
      <c r="AJ3" s="557"/>
      <c r="AK3" s="557"/>
      <c r="AL3" s="557"/>
      <c r="AM3" s="557"/>
      <c r="AN3" s="557"/>
      <c r="AO3" s="557"/>
      <c r="AP3" s="557"/>
      <c r="AQ3" s="557"/>
      <c r="AR3" s="557"/>
      <c r="AS3" s="557"/>
      <c r="AT3" s="557"/>
      <c r="AU3" s="557"/>
      <c r="AV3" s="557"/>
      <c r="AW3" s="557"/>
      <c r="AX3" s="557"/>
      <c r="AY3" s="557"/>
      <c r="AZ3" s="557"/>
      <c r="BA3" s="557"/>
      <c r="BB3" s="557"/>
      <c r="BC3" s="557"/>
      <c r="BD3" s="557"/>
      <c r="BE3" s="557"/>
    </row>
    <row r="4" spans="1:57">
      <c r="A4" s="557"/>
      <c r="B4" s="557"/>
      <c r="C4" s="557"/>
      <c r="D4" s="557"/>
      <c r="E4" s="557"/>
      <c r="F4" s="557"/>
      <c r="G4" s="557"/>
      <c r="H4" s="557"/>
      <c r="I4" s="557"/>
      <c r="J4" s="557"/>
      <c r="K4" s="557"/>
      <c r="L4" s="557"/>
      <c r="M4" s="557"/>
      <c r="N4" s="557"/>
      <c r="O4" s="557"/>
      <c r="P4" s="557"/>
      <c r="Q4" s="557"/>
      <c r="R4" s="557"/>
      <c r="S4" s="557"/>
      <c r="T4" s="557"/>
      <c r="U4" s="557"/>
      <c r="V4" s="557"/>
      <c r="W4" s="557"/>
      <c r="X4" s="557"/>
      <c r="Y4" s="557"/>
      <c r="Z4" s="557"/>
      <c r="AA4" s="557"/>
      <c r="AB4" s="557"/>
      <c r="AC4" s="557"/>
      <c r="AD4" s="557"/>
      <c r="AE4" s="557"/>
      <c r="AF4" s="557"/>
      <c r="AG4" s="557"/>
      <c r="AH4" s="557"/>
      <c r="AI4" s="557"/>
      <c r="AJ4" s="557"/>
      <c r="AK4" s="557"/>
      <c r="AL4" s="557"/>
      <c r="AM4" s="557"/>
      <c r="AN4" s="557"/>
      <c r="AO4" s="557"/>
      <c r="AP4" s="557"/>
      <c r="AQ4" s="557"/>
      <c r="AR4" s="557"/>
      <c r="AS4" s="557"/>
      <c r="AT4" s="557"/>
      <c r="AU4" s="557"/>
      <c r="AV4" s="557"/>
      <c r="AW4" s="557"/>
      <c r="AX4" s="557"/>
      <c r="AY4" s="557"/>
      <c r="AZ4" s="557"/>
      <c r="BA4" s="557"/>
      <c r="BB4" s="557"/>
      <c r="BC4" s="557"/>
      <c r="BD4" s="557"/>
      <c r="BE4" s="557"/>
    </row>
    <row r="5" spans="1:57">
      <c r="A5" s="557"/>
      <c r="B5" s="557"/>
      <c r="C5" s="557"/>
      <c r="D5" s="557"/>
      <c r="E5" s="557"/>
      <c r="F5" s="557"/>
      <c r="G5" s="557"/>
      <c r="H5" s="557"/>
      <c r="I5" s="557"/>
      <c r="J5" s="557"/>
      <c r="K5" s="557"/>
      <c r="L5" s="557"/>
      <c r="M5" s="557"/>
      <c r="N5" s="557"/>
      <c r="O5" s="557"/>
      <c r="P5" s="557"/>
      <c r="Q5" s="557"/>
      <c r="R5" s="557"/>
      <c r="S5" s="557"/>
      <c r="T5" s="557"/>
      <c r="U5" s="557"/>
      <c r="V5" s="557"/>
      <c r="W5" s="557"/>
      <c r="X5" s="557"/>
      <c r="Y5" s="557"/>
      <c r="Z5" s="557"/>
      <c r="AA5" s="557"/>
      <c r="AB5" s="557"/>
      <c r="AC5" s="557"/>
      <c r="AD5" s="557"/>
      <c r="AE5" s="557"/>
      <c r="AF5" s="557"/>
      <c r="AG5" s="557"/>
      <c r="AH5" s="557"/>
      <c r="AI5" s="557"/>
      <c r="AJ5" s="557"/>
      <c r="AK5" s="557"/>
      <c r="AL5" s="557"/>
      <c r="AM5" s="557"/>
      <c r="AN5" s="557"/>
      <c r="AO5" s="557"/>
      <c r="AP5" s="557"/>
      <c r="AQ5" s="557"/>
      <c r="AR5" s="557"/>
      <c r="AS5" s="557"/>
      <c r="AT5" s="557"/>
      <c r="AU5" s="557"/>
      <c r="AV5" s="557"/>
      <c r="AW5" s="557"/>
      <c r="AX5" s="557"/>
      <c r="AY5" s="557"/>
      <c r="AZ5" s="557"/>
      <c r="BA5" s="557"/>
      <c r="BB5" s="557"/>
      <c r="BC5" s="557"/>
      <c r="BD5" s="557"/>
      <c r="BE5" s="557"/>
    </row>
    <row r="6" spans="1:57">
      <c r="A6" s="557"/>
      <c r="B6" s="730" t="s">
        <v>882</v>
      </c>
      <c r="C6" s="730"/>
      <c r="D6" s="730"/>
      <c r="E6" s="730"/>
      <c r="F6" s="730"/>
      <c r="G6" s="730"/>
      <c r="H6" s="730"/>
      <c r="I6" s="730"/>
      <c r="J6" s="730"/>
      <c r="K6" s="730"/>
      <c r="L6" s="730"/>
      <c r="M6" s="730"/>
      <c r="N6" s="730"/>
      <c r="O6" s="730"/>
      <c r="P6" s="557"/>
      <c r="Q6" s="557"/>
      <c r="R6" s="557"/>
      <c r="S6" s="557"/>
      <c r="T6" s="557"/>
      <c r="U6" s="557"/>
      <c r="V6" s="557"/>
      <c r="W6" s="557"/>
      <c r="X6" s="557"/>
      <c r="Y6" s="557"/>
      <c r="Z6" s="557"/>
      <c r="AA6" s="557"/>
      <c r="AB6" s="557"/>
      <c r="AC6" s="557"/>
      <c r="AD6" s="557"/>
      <c r="AE6" s="557"/>
      <c r="AF6" s="557"/>
      <c r="AG6" s="557"/>
      <c r="AH6" s="557"/>
      <c r="AI6" s="557"/>
      <c r="AJ6" s="557"/>
      <c r="AK6" s="557"/>
      <c r="AL6" s="557"/>
      <c r="AM6" s="557"/>
      <c r="AN6" s="557"/>
      <c r="AO6" s="557"/>
      <c r="AP6" s="557"/>
      <c r="AQ6" s="557"/>
      <c r="AR6" s="557"/>
      <c r="AS6" s="557"/>
      <c r="AT6" s="557"/>
      <c r="AU6" s="557"/>
      <c r="AV6" s="557"/>
      <c r="AW6" s="557"/>
      <c r="AX6" s="557"/>
      <c r="AY6" s="557"/>
      <c r="AZ6" s="557"/>
      <c r="BA6" s="557"/>
      <c r="BB6" s="557"/>
      <c r="BC6" s="557"/>
      <c r="BD6" s="557"/>
      <c r="BE6" s="557"/>
    </row>
    <row r="7" spans="1:57">
      <c r="A7" s="557"/>
      <c r="B7" s="730"/>
      <c r="C7" s="730"/>
      <c r="D7" s="730"/>
      <c r="E7" s="730"/>
      <c r="F7" s="730"/>
      <c r="G7" s="730"/>
      <c r="H7" s="730"/>
      <c r="I7" s="730"/>
      <c r="J7" s="730"/>
      <c r="K7" s="730"/>
      <c r="L7" s="730"/>
      <c r="M7" s="730"/>
      <c r="N7" s="730"/>
      <c r="O7" s="730"/>
      <c r="P7" s="557"/>
      <c r="Q7" s="557"/>
      <c r="R7" s="557"/>
      <c r="S7" s="557"/>
      <c r="T7" s="557"/>
      <c r="U7" s="557"/>
      <c r="V7" s="557"/>
      <c r="W7" s="557"/>
      <c r="X7" s="557"/>
      <c r="Y7" s="557"/>
      <c r="Z7" s="557"/>
      <c r="AA7" s="557"/>
      <c r="AB7" s="557"/>
      <c r="AC7" s="557"/>
      <c r="AD7" s="557"/>
      <c r="AE7" s="557"/>
      <c r="AF7" s="557"/>
      <c r="AG7" s="557"/>
      <c r="AH7" s="557"/>
      <c r="AI7" s="557"/>
      <c r="AJ7" s="557"/>
      <c r="AK7" s="557"/>
      <c r="AL7" s="557"/>
      <c r="AM7" s="557"/>
      <c r="AN7" s="557"/>
      <c r="AO7" s="557"/>
      <c r="AP7" s="557"/>
      <c r="AQ7" s="557"/>
      <c r="AR7" s="557"/>
      <c r="AS7" s="557"/>
      <c r="AT7" s="557"/>
      <c r="AU7" s="557"/>
      <c r="AV7" s="557"/>
      <c r="AW7" s="557"/>
      <c r="AX7" s="557"/>
      <c r="AY7" s="557"/>
      <c r="AZ7" s="557"/>
      <c r="BA7" s="557"/>
      <c r="BB7" s="557"/>
      <c r="BC7" s="557"/>
      <c r="BD7" s="557"/>
      <c r="BE7" s="557"/>
    </row>
    <row r="8" spans="1:57">
      <c r="A8" s="557"/>
      <c r="B8" s="730"/>
      <c r="C8" s="730"/>
      <c r="D8" s="730"/>
      <c r="E8" s="730"/>
      <c r="F8" s="730"/>
      <c r="G8" s="730"/>
      <c r="H8" s="730"/>
      <c r="I8" s="730"/>
      <c r="J8" s="730"/>
      <c r="K8" s="730"/>
      <c r="L8" s="730"/>
      <c r="M8" s="730"/>
      <c r="N8" s="730"/>
      <c r="O8" s="730"/>
      <c r="P8" s="557"/>
      <c r="Q8" s="557"/>
      <c r="R8" s="557"/>
      <c r="S8" s="557"/>
      <c r="T8" s="557"/>
      <c r="U8" s="557"/>
      <c r="V8" s="557"/>
      <c r="W8" s="557"/>
      <c r="X8" s="557"/>
      <c r="Y8" s="557"/>
      <c r="Z8" s="557"/>
      <c r="AA8" s="557"/>
      <c r="AB8" s="557"/>
      <c r="AC8" s="557"/>
      <c r="AD8" s="557"/>
      <c r="AE8" s="557"/>
      <c r="AF8" s="557"/>
      <c r="AG8" s="557"/>
      <c r="AH8" s="557"/>
      <c r="AI8" s="557"/>
      <c r="AJ8" s="557"/>
      <c r="AK8" s="557"/>
      <c r="AL8" s="557"/>
      <c r="AM8" s="557"/>
      <c r="AN8" s="557"/>
      <c r="AO8" s="557"/>
      <c r="AP8" s="557"/>
      <c r="AQ8" s="557"/>
      <c r="AR8" s="557"/>
      <c r="AS8" s="557"/>
      <c r="AT8" s="557"/>
      <c r="AU8" s="557"/>
      <c r="AV8" s="557"/>
      <c r="AW8" s="557"/>
      <c r="AX8" s="557"/>
      <c r="AY8" s="557"/>
      <c r="AZ8" s="557"/>
      <c r="BA8" s="557"/>
      <c r="BB8" s="557"/>
      <c r="BC8" s="557"/>
      <c r="BD8" s="557"/>
      <c r="BE8" s="557"/>
    </row>
    <row r="9" spans="1:57">
      <c r="A9" s="557"/>
      <c r="B9" s="730"/>
      <c r="C9" s="730"/>
      <c r="D9" s="730"/>
      <c r="E9" s="730"/>
      <c r="F9" s="730"/>
      <c r="G9" s="730"/>
      <c r="H9" s="730"/>
      <c r="I9" s="730"/>
      <c r="J9" s="730"/>
      <c r="K9" s="730"/>
      <c r="L9" s="730"/>
      <c r="M9" s="730"/>
      <c r="N9" s="730"/>
      <c r="O9" s="730"/>
      <c r="P9" s="557"/>
      <c r="Q9" s="557"/>
      <c r="R9" s="557"/>
      <c r="S9" s="557"/>
      <c r="T9" s="557"/>
      <c r="U9" s="557"/>
      <c r="V9" s="557"/>
      <c r="W9" s="557"/>
      <c r="X9" s="557"/>
      <c r="Y9" s="557"/>
      <c r="Z9" s="557"/>
      <c r="AA9" s="557"/>
      <c r="AB9" s="557"/>
      <c r="AC9" s="557"/>
      <c r="AD9" s="557"/>
      <c r="AE9" s="557"/>
      <c r="AF9" s="557"/>
      <c r="AG9" s="557"/>
      <c r="AH9" s="557"/>
      <c r="AI9" s="557"/>
      <c r="AJ9" s="557"/>
      <c r="AK9" s="557"/>
      <c r="AL9" s="557"/>
      <c r="AM9" s="557"/>
      <c r="AN9" s="557"/>
      <c r="AO9" s="557"/>
      <c r="AP9" s="557"/>
      <c r="AQ9" s="557"/>
      <c r="AR9" s="557"/>
      <c r="AS9" s="557"/>
      <c r="AT9" s="557"/>
      <c r="AU9" s="557"/>
      <c r="AV9" s="557"/>
      <c r="AW9" s="557"/>
      <c r="AX9" s="557"/>
      <c r="AY9" s="557"/>
      <c r="AZ9" s="557"/>
      <c r="BA9" s="557"/>
      <c r="BB9" s="557"/>
      <c r="BC9" s="557"/>
      <c r="BD9" s="557"/>
      <c r="BE9" s="557"/>
    </row>
    <row r="10" spans="1:57">
      <c r="A10" s="557"/>
      <c r="B10" s="730"/>
      <c r="C10" s="730"/>
      <c r="D10" s="730"/>
      <c r="E10" s="730"/>
      <c r="F10" s="730"/>
      <c r="G10" s="730"/>
      <c r="H10" s="730"/>
      <c r="I10" s="730"/>
      <c r="J10" s="730"/>
      <c r="K10" s="730"/>
      <c r="L10" s="730"/>
      <c r="M10" s="730"/>
      <c r="N10" s="730"/>
      <c r="O10" s="730"/>
      <c r="P10" s="557"/>
      <c r="Q10" s="557"/>
      <c r="R10" s="557"/>
      <c r="S10" s="557"/>
      <c r="T10" s="557"/>
      <c r="U10" s="557"/>
      <c r="V10" s="557"/>
      <c r="W10" s="557"/>
      <c r="X10" s="557"/>
      <c r="Y10" s="557"/>
      <c r="Z10" s="557"/>
      <c r="AA10" s="557"/>
      <c r="AB10" s="557"/>
      <c r="AC10" s="557"/>
      <c r="AD10" s="557"/>
      <c r="AE10" s="557"/>
      <c r="AF10" s="557"/>
      <c r="AG10" s="557"/>
      <c r="AH10" s="557"/>
      <c r="AI10" s="557"/>
      <c r="AJ10" s="557"/>
      <c r="AK10" s="557"/>
      <c r="AL10" s="557"/>
      <c r="AM10" s="557"/>
      <c r="AN10" s="557"/>
      <c r="AO10" s="557"/>
      <c r="AP10" s="557"/>
      <c r="AQ10" s="557"/>
      <c r="AR10" s="557"/>
      <c r="AS10" s="557"/>
      <c r="AT10" s="557"/>
      <c r="AU10" s="557"/>
      <c r="AV10" s="557"/>
      <c r="AW10" s="557"/>
      <c r="AX10" s="557"/>
      <c r="AY10" s="557"/>
      <c r="AZ10" s="557"/>
      <c r="BA10" s="557"/>
      <c r="BB10" s="557"/>
      <c r="BC10" s="557"/>
      <c r="BD10" s="557"/>
      <c r="BE10" s="557"/>
    </row>
    <row r="11" spans="1:57">
      <c r="A11" s="557"/>
      <c r="B11" s="730"/>
      <c r="C11" s="730"/>
      <c r="D11" s="730"/>
      <c r="E11" s="730"/>
      <c r="F11" s="730"/>
      <c r="G11" s="730"/>
      <c r="H11" s="730"/>
      <c r="I11" s="730"/>
      <c r="J11" s="730"/>
      <c r="K11" s="730"/>
      <c r="L11" s="730"/>
      <c r="M11" s="730"/>
      <c r="N11" s="730"/>
      <c r="O11" s="730"/>
      <c r="P11" s="557"/>
      <c r="Q11" s="557"/>
      <c r="R11" s="557"/>
      <c r="S11" s="557"/>
      <c r="T11" s="557"/>
      <c r="U11" s="557"/>
      <c r="V11" s="557"/>
      <c r="W11" s="557"/>
      <c r="X11" s="557"/>
      <c r="Y11" s="557"/>
      <c r="Z11" s="557"/>
      <c r="AA11" s="557"/>
      <c r="AB11" s="557"/>
      <c r="AC11" s="557"/>
      <c r="AD11" s="557"/>
      <c r="AE11" s="557"/>
      <c r="AF11" s="557"/>
      <c r="AG11" s="557"/>
      <c r="AH11" s="557"/>
      <c r="AI11" s="557"/>
      <c r="AJ11" s="557"/>
      <c r="AK11" s="557"/>
      <c r="AL11" s="557"/>
      <c r="AM11" s="557"/>
      <c r="AN11" s="557"/>
      <c r="AO11" s="557"/>
      <c r="AP11" s="557"/>
      <c r="AQ11" s="557"/>
      <c r="AR11" s="557"/>
      <c r="AS11" s="557"/>
      <c r="AT11" s="557"/>
      <c r="AU11" s="557"/>
      <c r="AV11" s="557"/>
      <c r="AW11" s="557"/>
      <c r="AX11" s="557"/>
      <c r="AY11" s="557"/>
      <c r="AZ11" s="557"/>
      <c r="BA11" s="557"/>
      <c r="BB11" s="557"/>
      <c r="BC11" s="557"/>
      <c r="BD11" s="557"/>
      <c r="BE11" s="557"/>
    </row>
    <row r="12" spans="1:57">
      <c r="A12" s="557"/>
      <c r="B12" s="730"/>
      <c r="C12" s="730"/>
      <c r="D12" s="730"/>
      <c r="E12" s="730"/>
      <c r="F12" s="730"/>
      <c r="G12" s="730"/>
      <c r="H12" s="730"/>
      <c r="I12" s="730"/>
      <c r="J12" s="730"/>
      <c r="K12" s="730"/>
      <c r="L12" s="730"/>
      <c r="M12" s="730"/>
      <c r="N12" s="730"/>
      <c r="O12" s="730"/>
      <c r="P12" s="557"/>
      <c r="Q12" s="557"/>
      <c r="R12" s="557"/>
      <c r="S12" s="557"/>
      <c r="T12" s="557"/>
      <c r="U12" s="557"/>
      <c r="V12" s="557"/>
      <c r="W12" s="557"/>
      <c r="X12" s="557"/>
      <c r="Y12" s="557"/>
      <c r="Z12" s="557"/>
      <c r="AA12" s="557"/>
      <c r="AB12" s="557"/>
      <c r="AC12" s="557"/>
      <c r="AD12" s="557"/>
      <c r="AE12" s="557"/>
      <c r="AF12" s="557"/>
      <c r="AG12" s="557"/>
      <c r="AH12" s="557"/>
      <c r="AI12" s="557"/>
      <c r="AJ12" s="557"/>
      <c r="AK12" s="557"/>
      <c r="AL12" s="557"/>
      <c r="AM12" s="557"/>
      <c r="AN12" s="557"/>
      <c r="AO12" s="557"/>
      <c r="AP12" s="557"/>
      <c r="AQ12" s="557"/>
      <c r="AR12" s="557"/>
      <c r="AS12" s="557"/>
      <c r="AT12" s="557"/>
      <c r="AU12" s="557"/>
      <c r="AV12" s="557"/>
      <c r="AW12" s="557"/>
      <c r="AX12" s="557"/>
      <c r="AY12" s="557"/>
      <c r="AZ12" s="557"/>
      <c r="BA12" s="557"/>
      <c r="BB12" s="557"/>
      <c r="BC12" s="557"/>
      <c r="BD12" s="557"/>
      <c r="BE12" s="557"/>
    </row>
    <row r="13" spans="1:57">
      <c r="A13" s="557"/>
      <c r="B13" s="730"/>
      <c r="C13" s="730"/>
      <c r="D13" s="730"/>
      <c r="E13" s="730"/>
      <c r="F13" s="730"/>
      <c r="G13" s="730"/>
      <c r="H13" s="730"/>
      <c r="I13" s="730"/>
      <c r="J13" s="730"/>
      <c r="K13" s="730"/>
      <c r="L13" s="730"/>
      <c r="M13" s="730"/>
      <c r="N13" s="730"/>
      <c r="O13" s="730"/>
      <c r="P13" s="557"/>
      <c r="Q13" s="557"/>
      <c r="R13" s="557"/>
      <c r="S13" s="557"/>
      <c r="T13" s="557"/>
      <c r="U13" s="557"/>
      <c r="V13" s="557"/>
      <c r="W13" s="557"/>
      <c r="X13" s="557"/>
      <c r="Y13" s="557"/>
      <c r="Z13" s="557"/>
      <c r="AA13" s="557"/>
      <c r="AB13" s="557"/>
      <c r="AC13" s="557"/>
      <c r="AD13" s="557"/>
      <c r="AE13" s="557"/>
      <c r="AF13" s="557"/>
      <c r="AG13" s="557"/>
      <c r="AH13" s="557"/>
      <c r="AI13" s="557"/>
      <c r="AJ13" s="557"/>
      <c r="AK13" s="557"/>
      <c r="AL13" s="557"/>
      <c r="AM13" s="557"/>
      <c r="AN13" s="557"/>
      <c r="AO13" s="557"/>
      <c r="AP13" s="557"/>
      <c r="AQ13" s="557"/>
      <c r="AR13" s="557"/>
      <c r="AS13" s="557"/>
      <c r="AT13" s="557"/>
      <c r="AU13" s="557"/>
      <c r="AV13" s="557"/>
      <c r="AW13" s="557"/>
      <c r="AX13" s="557"/>
      <c r="AY13" s="557"/>
      <c r="AZ13" s="557"/>
      <c r="BA13" s="557"/>
      <c r="BB13" s="557"/>
      <c r="BC13" s="557"/>
      <c r="BD13" s="557"/>
      <c r="BE13" s="557"/>
    </row>
    <row r="14" spans="1:57">
      <c r="A14" s="557"/>
      <c r="B14" s="730"/>
      <c r="C14" s="730"/>
      <c r="D14" s="730"/>
      <c r="E14" s="730"/>
      <c r="F14" s="730"/>
      <c r="G14" s="730"/>
      <c r="H14" s="730"/>
      <c r="I14" s="730"/>
      <c r="J14" s="730"/>
      <c r="K14" s="730"/>
      <c r="L14" s="730"/>
      <c r="M14" s="730"/>
      <c r="N14" s="730"/>
      <c r="O14" s="730"/>
      <c r="P14" s="557"/>
      <c r="Q14" s="557"/>
      <c r="R14" s="557"/>
      <c r="S14" s="557"/>
      <c r="T14" s="557"/>
      <c r="U14" s="557"/>
      <c r="V14" s="557"/>
      <c r="W14" s="557"/>
      <c r="X14" s="557"/>
      <c r="Y14" s="557"/>
      <c r="Z14" s="557"/>
      <c r="AA14" s="557"/>
      <c r="AB14" s="557"/>
      <c r="AC14" s="557"/>
      <c r="AD14" s="557"/>
      <c r="AE14" s="557"/>
      <c r="AF14" s="557"/>
      <c r="AG14" s="557"/>
      <c r="AH14" s="557"/>
      <c r="AI14" s="557"/>
      <c r="AJ14" s="557"/>
      <c r="AK14" s="557"/>
      <c r="AL14" s="557"/>
      <c r="AM14" s="557"/>
      <c r="AN14" s="557"/>
      <c r="AO14" s="557"/>
      <c r="AP14" s="557"/>
      <c r="AQ14" s="557"/>
      <c r="AR14" s="557"/>
      <c r="AS14" s="557"/>
      <c r="AT14" s="557"/>
      <c r="AU14" s="557"/>
      <c r="AV14" s="557"/>
      <c r="AW14" s="557"/>
      <c r="AX14" s="557"/>
      <c r="AY14" s="557"/>
      <c r="AZ14" s="557"/>
      <c r="BA14" s="557"/>
      <c r="BB14" s="557"/>
      <c r="BC14" s="557"/>
      <c r="BD14" s="557"/>
      <c r="BE14" s="557"/>
    </row>
    <row r="15" spans="1:57">
      <c r="A15" s="557"/>
      <c r="B15" s="730"/>
      <c r="C15" s="730"/>
      <c r="D15" s="730"/>
      <c r="E15" s="730"/>
      <c r="F15" s="730"/>
      <c r="G15" s="730"/>
      <c r="H15" s="730"/>
      <c r="I15" s="730"/>
      <c r="J15" s="730"/>
      <c r="K15" s="730"/>
      <c r="L15" s="730"/>
      <c r="M15" s="730"/>
      <c r="N15" s="730"/>
      <c r="O15" s="730"/>
      <c r="P15" s="557"/>
      <c r="Q15" s="557"/>
      <c r="R15" s="557"/>
      <c r="S15" s="557"/>
      <c r="T15" s="557"/>
      <c r="U15" s="557"/>
      <c r="V15" s="557"/>
      <c r="W15" s="557"/>
      <c r="X15" s="557"/>
      <c r="Y15" s="557"/>
      <c r="Z15" s="557"/>
      <c r="AA15" s="557"/>
      <c r="AB15" s="557"/>
      <c r="AC15" s="557"/>
      <c r="AD15" s="557"/>
      <c r="AE15" s="557"/>
      <c r="AF15" s="557"/>
      <c r="AG15" s="557"/>
      <c r="AH15" s="557"/>
      <c r="AI15" s="557"/>
      <c r="AJ15" s="557"/>
      <c r="AK15" s="557"/>
      <c r="AL15" s="557"/>
      <c r="AM15" s="557"/>
      <c r="AN15" s="557"/>
      <c r="AO15" s="557"/>
      <c r="AP15" s="557"/>
      <c r="AQ15" s="557"/>
      <c r="AR15" s="557"/>
      <c r="AS15" s="557"/>
      <c r="AT15" s="557"/>
      <c r="AU15" s="557"/>
      <c r="AV15" s="557"/>
      <c r="AW15" s="557"/>
      <c r="AX15" s="557"/>
      <c r="AY15" s="557"/>
      <c r="AZ15" s="557"/>
      <c r="BA15" s="557"/>
      <c r="BB15" s="557"/>
      <c r="BC15" s="557"/>
      <c r="BD15" s="557"/>
      <c r="BE15" s="557"/>
    </row>
    <row r="16" spans="1:57">
      <c r="A16" s="557"/>
      <c r="B16" s="730"/>
      <c r="C16" s="730"/>
      <c r="D16" s="730"/>
      <c r="E16" s="730"/>
      <c r="F16" s="730"/>
      <c r="G16" s="730"/>
      <c r="H16" s="730"/>
      <c r="I16" s="730"/>
      <c r="J16" s="730"/>
      <c r="K16" s="730"/>
      <c r="L16" s="730"/>
      <c r="M16" s="730"/>
      <c r="N16" s="730"/>
      <c r="O16" s="730"/>
      <c r="P16" s="557"/>
      <c r="Q16" s="557"/>
      <c r="R16" s="557"/>
      <c r="S16" s="557"/>
      <c r="T16" s="557"/>
      <c r="U16" s="557"/>
      <c r="V16" s="557"/>
      <c r="W16" s="557"/>
      <c r="X16" s="557"/>
      <c r="Y16" s="557"/>
      <c r="Z16" s="557"/>
      <c r="AA16" s="557"/>
      <c r="AB16" s="557"/>
      <c r="AC16" s="557"/>
      <c r="AD16" s="557"/>
      <c r="AE16" s="557"/>
      <c r="AF16" s="557"/>
      <c r="AG16" s="557"/>
      <c r="AH16" s="557"/>
      <c r="AI16" s="557"/>
      <c r="AJ16" s="557"/>
      <c r="AK16" s="557"/>
      <c r="AL16" s="557"/>
      <c r="AM16" s="557"/>
      <c r="AN16" s="557"/>
      <c r="AO16" s="557"/>
      <c r="AP16" s="557"/>
      <c r="AQ16" s="557"/>
      <c r="AR16" s="557"/>
      <c r="AS16" s="557"/>
      <c r="AT16" s="557"/>
      <c r="AU16" s="557"/>
      <c r="AV16" s="557"/>
      <c r="AW16" s="557"/>
      <c r="AX16" s="557"/>
      <c r="AY16" s="557"/>
      <c r="AZ16" s="557"/>
      <c r="BA16" s="557"/>
      <c r="BB16" s="557"/>
      <c r="BC16" s="557"/>
      <c r="BD16" s="557"/>
      <c r="BE16" s="557"/>
    </row>
    <row r="17" spans="1:57">
      <c r="A17" s="557"/>
      <c r="B17" s="730"/>
      <c r="C17" s="730"/>
      <c r="D17" s="730"/>
      <c r="E17" s="730"/>
      <c r="F17" s="730"/>
      <c r="G17" s="730"/>
      <c r="H17" s="730"/>
      <c r="I17" s="730"/>
      <c r="J17" s="730"/>
      <c r="K17" s="730"/>
      <c r="L17" s="730"/>
      <c r="M17" s="730"/>
      <c r="N17" s="730"/>
      <c r="O17" s="730"/>
      <c r="P17" s="557"/>
      <c r="Q17" s="557"/>
      <c r="R17" s="557"/>
      <c r="S17" s="557"/>
      <c r="T17" s="557"/>
      <c r="U17" s="557"/>
      <c r="V17" s="557"/>
      <c r="W17" s="557"/>
      <c r="X17" s="557"/>
      <c r="Y17" s="557"/>
      <c r="Z17" s="557"/>
      <c r="AA17" s="557"/>
      <c r="AB17" s="557"/>
      <c r="AC17" s="557"/>
      <c r="AD17" s="557"/>
      <c r="AE17" s="557"/>
      <c r="AF17" s="557"/>
      <c r="AG17" s="557"/>
      <c r="AH17" s="557"/>
      <c r="AI17" s="557"/>
      <c r="AJ17" s="557"/>
      <c r="AK17" s="557"/>
      <c r="AL17" s="557"/>
      <c r="AM17" s="557"/>
      <c r="AN17" s="557"/>
      <c r="AO17" s="557"/>
      <c r="AP17" s="557"/>
      <c r="AQ17" s="557"/>
      <c r="AR17" s="557"/>
      <c r="AS17" s="557"/>
      <c r="AT17" s="557"/>
      <c r="AU17" s="557"/>
      <c r="AV17" s="557"/>
      <c r="AW17" s="557"/>
      <c r="AX17" s="557"/>
      <c r="AY17" s="557"/>
      <c r="AZ17" s="557"/>
      <c r="BA17" s="557"/>
      <c r="BB17" s="557"/>
      <c r="BC17" s="557"/>
      <c r="BD17" s="557"/>
      <c r="BE17" s="557"/>
    </row>
    <row r="18" spans="1:57">
      <c r="A18" s="557"/>
      <c r="B18" s="730"/>
      <c r="C18" s="730"/>
      <c r="D18" s="730"/>
      <c r="E18" s="730"/>
      <c r="F18" s="730"/>
      <c r="G18" s="730"/>
      <c r="H18" s="730"/>
      <c r="I18" s="730"/>
      <c r="J18" s="730"/>
      <c r="K18" s="730"/>
      <c r="L18" s="730"/>
      <c r="M18" s="730"/>
      <c r="N18" s="730"/>
      <c r="O18" s="730"/>
      <c r="P18" s="557"/>
      <c r="Q18" s="557"/>
      <c r="R18" s="557"/>
      <c r="S18" s="557"/>
      <c r="T18" s="557"/>
      <c r="U18" s="557"/>
      <c r="V18" s="557"/>
      <c r="W18" s="557"/>
      <c r="X18" s="557"/>
      <c r="Y18" s="557"/>
      <c r="Z18" s="557"/>
      <c r="AA18" s="557"/>
      <c r="AB18" s="557"/>
      <c r="AC18" s="557"/>
      <c r="AD18" s="557"/>
      <c r="AE18" s="557"/>
      <c r="AF18" s="557"/>
      <c r="AG18" s="557"/>
      <c r="AH18" s="557"/>
      <c r="AI18" s="557"/>
      <c r="AJ18" s="557"/>
      <c r="AK18" s="557"/>
      <c r="AL18" s="557"/>
      <c r="AM18" s="557"/>
      <c r="AN18" s="557"/>
      <c r="AO18" s="557"/>
      <c r="AP18" s="557"/>
      <c r="AQ18" s="557"/>
      <c r="AR18" s="557"/>
      <c r="AS18" s="557"/>
      <c r="AT18" s="557"/>
      <c r="AU18" s="557"/>
      <c r="AV18" s="557"/>
      <c r="AW18" s="557"/>
      <c r="AX18" s="557"/>
      <c r="AY18" s="557"/>
      <c r="AZ18" s="557"/>
      <c r="BA18" s="557"/>
      <c r="BB18" s="557"/>
      <c r="BC18" s="557"/>
      <c r="BD18" s="557"/>
      <c r="BE18" s="557"/>
    </row>
    <row r="19" spans="1:57">
      <c r="A19" s="557"/>
      <c r="B19" s="730"/>
      <c r="C19" s="730"/>
      <c r="D19" s="730"/>
      <c r="E19" s="730"/>
      <c r="F19" s="730"/>
      <c r="G19" s="730"/>
      <c r="H19" s="730"/>
      <c r="I19" s="730"/>
      <c r="J19" s="730"/>
      <c r="K19" s="730"/>
      <c r="L19" s="730"/>
      <c r="M19" s="730"/>
      <c r="N19" s="730"/>
      <c r="O19" s="730"/>
      <c r="P19" s="557"/>
      <c r="Q19" s="557"/>
      <c r="R19" s="557"/>
      <c r="S19" s="557"/>
      <c r="T19" s="557"/>
      <c r="U19" s="557"/>
      <c r="V19" s="557"/>
      <c r="W19" s="557"/>
      <c r="X19" s="557"/>
      <c r="Y19" s="557"/>
      <c r="Z19" s="557"/>
      <c r="AA19" s="557"/>
      <c r="AB19" s="557"/>
      <c r="AC19" s="557"/>
      <c r="AD19" s="557"/>
      <c r="AE19" s="557"/>
      <c r="AF19" s="557"/>
      <c r="AG19" s="557"/>
      <c r="AH19" s="557"/>
      <c r="AI19" s="557"/>
      <c r="AJ19" s="557"/>
      <c r="AK19" s="557"/>
      <c r="AL19" s="557"/>
      <c r="AM19" s="557"/>
      <c r="AN19" s="557"/>
      <c r="AO19" s="557"/>
      <c r="AP19" s="557"/>
      <c r="AQ19" s="557"/>
      <c r="AR19" s="557"/>
      <c r="AS19" s="557"/>
      <c r="AT19" s="557"/>
      <c r="AU19" s="557"/>
      <c r="AV19" s="557"/>
      <c r="AW19" s="557"/>
      <c r="AX19" s="557"/>
      <c r="AY19" s="557"/>
      <c r="AZ19" s="557"/>
      <c r="BA19" s="557"/>
      <c r="BB19" s="557"/>
      <c r="BC19" s="557"/>
      <c r="BD19" s="557"/>
      <c r="BE19" s="557"/>
    </row>
    <row r="20" spans="1:57">
      <c r="A20" s="557"/>
      <c r="B20" s="730"/>
      <c r="C20" s="730"/>
      <c r="D20" s="730"/>
      <c r="E20" s="730"/>
      <c r="F20" s="730"/>
      <c r="G20" s="730"/>
      <c r="H20" s="730"/>
      <c r="I20" s="730"/>
      <c r="J20" s="730"/>
      <c r="K20" s="730"/>
      <c r="L20" s="730"/>
      <c r="M20" s="730"/>
      <c r="N20" s="730"/>
      <c r="O20" s="730"/>
      <c r="P20" s="557"/>
      <c r="Q20" s="557"/>
      <c r="R20" s="557"/>
      <c r="S20" s="557"/>
      <c r="T20" s="557"/>
      <c r="U20" s="557"/>
      <c r="V20" s="557"/>
      <c r="W20" s="557"/>
      <c r="X20" s="557"/>
      <c r="Y20" s="557"/>
      <c r="Z20" s="557"/>
      <c r="AA20" s="557"/>
      <c r="AB20" s="557"/>
      <c r="AC20" s="557"/>
      <c r="AD20" s="557"/>
      <c r="AE20" s="557"/>
      <c r="AF20" s="557"/>
      <c r="AG20" s="557"/>
      <c r="AH20" s="557"/>
      <c r="AI20" s="557"/>
      <c r="AJ20" s="557"/>
      <c r="AK20" s="557"/>
      <c r="AL20" s="557"/>
      <c r="AM20" s="557"/>
      <c r="AN20" s="557"/>
      <c r="AO20" s="557"/>
      <c r="AP20" s="557"/>
      <c r="AQ20" s="557"/>
      <c r="AR20" s="557"/>
      <c r="AS20" s="557"/>
      <c r="AT20" s="557"/>
      <c r="AU20" s="557"/>
      <c r="AV20" s="557"/>
      <c r="AW20" s="557"/>
      <c r="AX20" s="557"/>
      <c r="AY20" s="557"/>
      <c r="AZ20" s="557"/>
      <c r="BA20" s="557"/>
      <c r="BB20" s="557"/>
      <c r="BC20" s="557"/>
      <c r="BD20" s="557"/>
      <c r="BE20" s="557"/>
    </row>
    <row r="21" spans="1:57">
      <c r="A21" s="557"/>
      <c r="B21" s="730"/>
      <c r="C21" s="730"/>
      <c r="D21" s="730"/>
      <c r="E21" s="730"/>
      <c r="F21" s="730"/>
      <c r="G21" s="730"/>
      <c r="H21" s="730"/>
      <c r="I21" s="730"/>
      <c r="J21" s="730"/>
      <c r="K21" s="730"/>
      <c r="L21" s="730"/>
      <c r="M21" s="730"/>
      <c r="N21" s="730"/>
      <c r="O21" s="730"/>
      <c r="P21" s="557"/>
      <c r="Q21" s="557"/>
      <c r="R21" s="557"/>
      <c r="S21" s="557"/>
      <c r="T21" s="557"/>
      <c r="U21" s="557"/>
      <c r="V21" s="557"/>
      <c r="W21" s="557"/>
      <c r="X21" s="557"/>
      <c r="Y21" s="557"/>
      <c r="Z21" s="557"/>
      <c r="AA21" s="557"/>
      <c r="AB21" s="557"/>
      <c r="AC21" s="557"/>
      <c r="AD21" s="557"/>
      <c r="AE21" s="557"/>
      <c r="AF21" s="557"/>
      <c r="AG21" s="557"/>
      <c r="AH21" s="557"/>
      <c r="AI21" s="557"/>
      <c r="AJ21" s="557"/>
      <c r="AK21" s="557"/>
      <c r="AL21" s="557"/>
      <c r="AM21" s="557"/>
      <c r="AN21" s="557"/>
      <c r="AO21" s="557"/>
      <c r="AP21" s="557"/>
      <c r="AQ21" s="557"/>
      <c r="AR21" s="557"/>
      <c r="AS21" s="557"/>
      <c r="AT21" s="557"/>
      <c r="AU21" s="557"/>
      <c r="AV21" s="557"/>
      <c r="AW21" s="557"/>
      <c r="AX21" s="557"/>
      <c r="AY21" s="557"/>
      <c r="AZ21" s="557"/>
      <c r="BA21" s="557"/>
      <c r="BB21" s="557"/>
      <c r="BC21" s="557"/>
      <c r="BD21" s="557"/>
      <c r="BE21" s="557"/>
    </row>
    <row r="22" spans="1:57">
      <c r="A22" s="557"/>
      <c r="B22" s="730"/>
      <c r="C22" s="730"/>
      <c r="D22" s="730"/>
      <c r="E22" s="730"/>
      <c r="F22" s="730"/>
      <c r="G22" s="730"/>
      <c r="H22" s="730"/>
      <c r="I22" s="730"/>
      <c r="J22" s="730"/>
      <c r="K22" s="730"/>
      <c r="L22" s="730"/>
      <c r="M22" s="730"/>
      <c r="N22" s="730"/>
      <c r="O22" s="730"/>
      <c r="P22" s="557"/>
      <c r="Q22" s="557"/>
      <c r="R22" s="557"/>
      <c r="S22" s="557"/>
      <c r="T22" s="557"/>
      <c r="U22" s="557"/>
      <c r="V22" s="557"/>
      <c r="W22" s="557"/>
      <c r="X22" s="557"/>
      <c r="Y22" s="557"/>
      <c r="Z22" s="557"/>
      <c r="AA22" s="557"/>
      <c r="AB22" s="557"/>
      <c r="AC22" s="557"/>
      <c r="AD22" s="557"/>
      <c r="AE22" s="557"/>
      <c r="AF22" s="557"/>
      <c r="AG22" s="557"/>
      <c r="AH22" s="557"/>
      <c r="AI22" s="557"/>
      <c r="AJ22" s="557"/>
      <c r="AK22" s="557"/>
      <c r="AL22" s="557"/>
      <c r="AM22" s="557"/>
      <c r="AN22" s="557"/>
      <c r="AO22" s="557"/>
      <c r="AP22" s="557"/>
      <c r="AQ22" s="557"/>
      <c r="AR22" s="557"/>
      <c r="AS22" s="557"/>
      <c r="AT22" s="557"/>
      <c r="AU22" s="557"/>
      <c r="AV22" s="557"/>
      <c r="AW22" s="557"/>
      <c r="AX22" s="557"/>
      <c r="AY22" s="557"/>
      <c r="AZ22" s="557"/>
      <c r="BA22" s="557"/>
      <c r="BB22" s="557"/>
      <c r="BC22" s="557"/>
      <c r="BD22" s="557"/>
      <c r="BE22" s="557"/>
    </row>
    <row r="23" spans="1:57">
      <c r="A23" s="557"/>
      <c r="B23" s="730"/>
      <c r="C23" s="730"/>
      <c r="D23" s="730"/>
      <c r="E23" s="730"/>
      <c r="F23" s="730"/>
      <c r="G23" s="730"/>
      <c r="H23" s="730"/>
      <c r="I23" s="730"/>
      <c r="J23" s="730"/>
      <c r="K23" s="730"/>
      <c r="L23" s="730"/>
      <c r="M23" s="730"/>
      <c r="N23" s="730"/>
      <c r="O23" s="730"/>
      <c r="P23" s="557"/>
      <c r="Q23" s="557"/>
      <c r="R23" s="557"/>
      <c r="S23" s="557"/>
      <c r="T23" s="557"/>
      <c r="U23" s="557"/>
      <c r="V23" s="557"/>
      <c r="W23" s="557"/>
      <c r="X23" s="557"/>
      <c r="Y23" s="557"/>
      <c r="Z23" s="557"/>
      <c r="AA23" s="557"/>
      <c r="AB23" s="557"/>
      <c r="AC23" s="557"/>
      <c r="AD23" s="557"/>
      <c r="AE23" s="557"/>
      <c r="AF23" s="557"/>
      <c r="AG23" s="557"/>
      <c r="AH23" s="557"/>
      <c r="AI23" s="557"/>
      <c r="AJ23" s="557"/>
      <c r="AK23" s="557"/>
      <c r="AL23" s="557"/>
      <c r="AM23" s="557"/>
      <c r="AN23" s="557"/>
      <c r="AO23" s="557"/>
      <c r="AP23" s="557"/>
      <c r="AQ23" s="557"/>
      <c r="AR23" s="557"/>
      <c r="AS23" s="557"/>
      <c r="AT23" s="557"/>
      <c r="AU23" s="557"/>
      <c r="AV23" s="557"/>
      <c r="AW23" s="557"/>
      <c r="AX23" s="557"/>
      <c r="AY23" s="557"/>
      <c r="AZ23" s="557"/>
      <c r="BA23" s="557"/>
      <c r="BB23" s="557"/>
      <c r="BC23" s="557"/>
      <c r="BD23" s="557"/>
      <c r="BE23" s="557"/>
    </row>
    <row r="24" spans="1:57">
      <c r="A24" s="557"/>
      <c r="B24" s="730"/>
      <c r="C24" s="730"/>
      <c r="D24" s="730"/>
      <c r="E24" s="730"/>
      <c r="F24" s="730"/>
      <c r="G24" s="730"/>
      <c r="H24" s="730"/>
      <c r="I24" s="730"/>
      <c r="J24" s="730"/>
      <c r="K24" s="730"/>
      <c r="L24" s="730"/>
      <c r="M24" s="730"/>
      <c r="N24" s="730"/>
      <c r="O24" s="730"/>
      <c r="P24" s="557"/>
      <c r="Q24" s="557"/>
      <c r="R24" s="557"/>
      <c r="S24" s="557"/>
      <c r="T24" s="557"/>
      <c r="U24" s="557"/>
      <c r="V24" s="557"/>
      <c r="W24" s="557"/>
      <c r="X24" s="557"/>
      <c r="Y24" s="557"/>
      <c r="Z24" s="557"/>
      <c r="AA24" s="557"/>
      <c r="AB24" s="557"/>
      <c r="AC24" s="557"/>
      <c r="AD24" s="557"/>
      <c r="AE24" s="557"/>
      <c r="AF24" s="557"/>
      <c r="AG24" s="557"/>
      <c r="AH24" s="557"/>
      <c r="AI24" s="557"/>
      <c r="AJ24" s="557"/>
      <c r="AK24" s="557"/>
      <c r="AL24" s="557"/>
      <c r="AM24" s="557"/>
      <c r="AN24" s="557"/>
      <c r="AO24" s="557"/>
      <c r="AP24" s="557"/>
      <c r="AQ24" s="557"/>
      <c r="AR24" s="557"/>
      <c r="AS24" s="557"/>
      <c r="AT24" s="557"/>
      <c r="AU24" s="557"/>
      <c r="AV24" s="557"/>
      <c r="AW24" s="557"/>
      <c r="AX24" s="557"/>
      <c r="AY24" s="557"/>
      <c r="AZ24" s="557"/>
      <c r="BA24" s="557"/>
      <c r="BB24" s="557"/>
      <c r="BC24" s="557"/>
      <c r="BD24" s="557"/>
      <c r="BE24" s="557"/>
    </row>
    <row r="25" spans="1:57">
      <c r="A25" s="557"/>
      <c r="B25" s="730"/>
      <c r="C25" s="730"/>
      <c r="D25" s="730"/>
      <c r="E25" s="730"/>
      <c r="F25" s="730"/>
      <c r="G25" s="730"/>
      <c r="H25" s="730"/>
      <c r="I25" s="730"/>
      <c r="J25" s="730"/>
      <c r="K25" s="730"/>
      <c r="L25" s="730"/>
      <c r="M25" s="730"/>
      <c r="N25" s="730"/>
      <c r="O25" s="730"/>
      <c r="P25" s="557"/>
      <c r="Q25" s="557"/>
      <c r="R25" s="557"/>
      <c r="S25" s="557"/>
      <c r="T25" s="557"/>
      <c r="U25" s="557"/>
      <c r="V25" s="557"/>
      <c r="W25" s="557"/>
      <c r="X25" s="557"/>
      <c r="Y25" s="557"/>
      <c r="Z25" s="557"/>
      <c r="AA25" s="557"/>
      <c r="AB25" s="557"/>
      <c r="AC25" s="557"/>
      <c r="AD25" s="557"/>
      <c r="AE25" s="557"/>
      <c r="AF25" s="557"/>
      <c r="AG25" s="557"/>
      <c r="AH25" s="557"/>
      <c r="AI25" s="557"/>
      <c r="AJ25" s="557"/>
      <c r="AK25" s="557"/>
      <c r="AL25" s="557"/>
      <c r="AM25" s="557"/>
      <c r="AN25" s="557"/>
      <c r="AO25" s="557"/>
      <c r="AP25" s="557"/>
      <c r="AQ25" s="557"/>
      <c r="AR25" s="557"/>
      <c r="AS25" s="557"/>
      <c r="AT25" s="557"/>
      <c r="AU25" s="557"/>
      <c r="AV25" s="557"/>
      <c r="AW25" s="557"/>
      <c r="AX25" s="557"/>
      <c r="AY25" s="557"/>
      <c r="AZ25" s="557"/>
      <c r="BA25" s="557"/>
      <c r="BB25" s="557"/>
      <c r="BC25" s="557"/>
      <c r="BD25" s="557"/>
      <c r="BE25" s="557"/>
    </row>
    <row r="26" spans="1:57">
      <c r="A26" s="557"/>
      <c r="B26" s="557"/>
      <c r="C26" s="557"/>
      <c r="D26" s="557"/>
      <c r="E26" s="557"/>
      <c r="F26" s="557"/>
      <c r="G26" s="557"/>
      <c r="H26" s="557"/>
      <c r="I26" s="557"/>
      <c r="J26" s="557"/>
      <c r="K26" s="557"/>
      <c r="L26" s="557"/>
      <c r="M26" s="557"/>
      <c r="N26" s="557"/>
      <c r="O26" s="557"/>
      <c r="P26" s="557"/>
      <c r="Q26" s="557"/>
      <c r="R26" s="557"/>
      <c r="S26" s="557"/>
      <c r="T26" s="557"/>
      <c r="U26" s="557"/>
      <c r="V26" s="557"/>
      <c r="W26" s="557"/>
      <c r="X26" s="557"/>
      <c r="Y26" s="557"/>
      <c r="Z26" s="557"/>
      <c r="AA26" s="557"/>
      <c r="AB26" s="557"/>
      <c r="AC26" s="557"/>
      <c r="AD26" s="557"/>
      <c r="AE26" s="557"/>
      <c r="AF26" s="557"/>
      <c r="AG26" s="557"/>
      <c r="AH26" s="557"/>
      <c r="AI26" s="557"/>
      <c r="AJ26" s="557"/>
      <c r="AK26" s="557"/>
      <c r="AL26" s="557"/>
      <c r="AM26" s="557"/>
      <c r="AN26" s="557"/>
      <c r="AO26" s="557"/>
      <c r="AP26" s="557"/>
      <c r="AQ26" s="557"/>
      <c r="AR26" s="557"/>
      <c r="AS26" s="557"/>
      <c r="AT26" s="557"/>
      <c r="AU26" s="557"/>
      <c r="AV26" s="557"/>
      <c r="AW26" s="557"/>
      <c r="AX26" s="557"/>
      <c r="AY26" s="557"/>
      <c r="AZ26" s="557"/>
      <c r="BA26" s="557"/>
      <c r="BB26" s="557"/>
      <c r="BC26" s="557"/>
      <c r="BD26" s="557"/>
      <c r="BE26" s="557"/>
    </row>
    <row r="27" spans="1:57">
      <c r="A27" s="557"/>
      <c r="B27" s="557"/>
      <c r="C27" s="557"/>
      <c r="D27" s="557"/>
      <c r="E27" s="557"/>
      <c r="F27" s="557"/>
      <c r="G27" s="557"/>
      <c r="H27" s="557"/>
      <c r="I27" s="557"/>
      <c r="J27" s="557"/>
      <c r="K27" s="557"/>
      <c r="L27" s="557"/>
      <c r="M27" s="557"/>
      <c r="N27" s="557"/>
      <c r="O27" s="557"/>
      <c r="P27" s="557"/>
      <c r="Q27" s="557"/>
      <c r="R27" s="557"/>
      <c r="S27" s="557"/>
      <c r="T27" s="557"/>
      <c r="U27" s="557"/>
      <c r="V27" s="557"/>
      <c r="W27" s="557"/>
      <c r="X27" s="557"/>
      <c r="Y27" s="557"/>
      <c r="Z27" s="557"/>
      <c r="AA27" s="557"/>
      <c r="AB27" s="557"/>
      <c r="AC27" s="557"/>
      <c r="AD27" s="557"/>
      <c r="AE27" s="557"/>
      <c r="AF27" s="557"/>
      <c r="AG27" s="557"/>
      <c r="AH27" s="557"/>
      <c r="AI27" s="557"/>
      <c r="AJ27" s="557"/>
      <c r="AK27" s="557"/>
      <c r="AL27" s="557"/>
      <c r="AM27" s="557"/>
      <c r="AN27" s="557"/>
      <c r="AO27" s="557"/>
      <c r="AP27" s="557"/>
      <c r="AQ27" s="557"/>
      <c r="AR27" s="557"/>
      <c r="AS27" s="557"/>
      <c r="AT27" s="557"/>
      <c r="AU27" s="557"/>
      <c r="AV27" s="557"/>
      <c r="AW27" s="557"/>
      <c r="AX27" s="557"/>
      <c r="AY27" s="557"/>
      <c r="AZ27" s="557"/>
      <c r="BA27" s="557"/>
      <c r="BB27" s="557"/>
      <c r="BC27" s="557"/>
      <c r="BD27" s="557"/>
      <c r="BE27" s="557"/>
    </row>
    <row r="28" spans="1:57">
      <c r="A28" s="557"/>
      <c r="B28" s="557"/>
      <c r="C28" s="557"/>
      <c r="D28" s="557"/>
      <c r="E28" s="557"/>
      <c r="F28" s="557"/>
      <c r="G28" s="557"/>
      <c r="H28" s="557"/>
      <c r="I28" s="557"/>
      <c r="J28" s="557"/>
      <c r="K28" s="557"/>
      <c r="L28" s="557"/>
      <c r="M28" s="557"/>
      <c r="N28" s="557"/>
      <c r="O28" s="557"/>
      <c r="P28" s="557"/>
      <c r="Q28" s="557"/>
      <c r="R28" s="557"/>
      <c r="S28" s="557"/>
      <c r="T28" s="557"/>
      <c r="U28" s="557"/>
      <c r="V28" s="557"/>
      <c r="W28" s="557"/>
      <c r="X28" s="557"/>
      <c r="Y28" s="557"/>
      <c r="Z28" s="557"/>
      <c r="AA28" s="557"/>
      <c r="AB28" s="557"/>
      <c r="AC28" s="557"/>
      <c r="AD28" s="557"/>
      <c r="AE28" s="557"/>
      <c r="AF28" s="557"/>
      <c r="AG28" s="557"/>
      <c r="AH28" s="557"/>
      <c r="AI28" s="557"/>
      <c r="AJ28" s="557"/>
      <c r="AK28" s="557"/>
      <c r="AL28" s="557"/>
      <c r="AM28" s="557"/>
      <c r="AN28" s="557"/>
      <c r="AO28" s="557"/>
      <c r="AP28" s="557"/>
      <c r="AQ28" s="557"/>
      <c r="AR28" s="557"/>
      <c r="AS28" s="557"/>
      <c r="AT28" s="557"/>
      <c r="AU28" s="557"/>
      <c r="AV28" s="557"/>
      <c r="AW28" s="557"/>
      <c r="AX28" s="557"/>
      <c r="AY28" s="557"/>
      <c r="AZ28" s="557"/>
      <c r="BA28" s="557"/>
      <c r="BB28" s="557"/>
      <c r="BC28" s="557"/>
      <c r="BD28" s="557"/>
      <c r="BE28" s="557"/>
    </row>
    <row r="29" spans="1:57">
      <c r="A29" s="557"/>
      <c r="B29" s="557"/>
      <c r="C29" s="557"/>
      <c r="D29" s="557"/>
      <c r="E29" s="557"/>
      <c r="F29" s="557"/>
      <c r="G29" s="557"/>
      <c r="H29" s="557"/>
      <c r="I29" s="557"/>
      <c r="J29" s="557"/>
      <c r="K29" s="557"/>
      <c r="L29" s="557"/>
      <c r="M29" s="557"/>
      <c r="N29" s="557"/>
      <c r="O29" s="557"/>
      <c r="P29" s="557"/>
      <c r="Q29" s="557"/>
      <c r="R29" s="557"/>
      <c r="S29" s="557"/>
      <c r="T29" s="557"/>
      <c r="U29" s="557"/>
      <c r="V29" s="557"/>
      <c r="W29" s="557"/>
      <c r="X29" s="557"/>
      <c r="Y29" s="557"/>
      <c r="Z29" s="557"/>
      <c r="AA29" s="557"/>
      <c r="AB29" s="557"/>
      <c r="AC29" s="557"/>
      <c r="AD29" s="557"/>
      <c r="AE29" s="557"/>
      <c r="AF29" s="557"/>
      <c r="AG29" s="557"/>
      <c r="AH29" s="557"/>
      <c r="AI29" s="557"/>
      <c r="AJ29" s="557"/>
      <c r="AK29" s="557"/>
      <c r="AL29" s="557"/>
      <c r="AM29" s="557"/>
      <c r="AN29" s="557"/>
      <c r="AO29" s="557"/>
      <c r="AP29" s="557"/>
      <c r="AQ29" s="557"/>
      <c r="AR29" s="557"/>
      <c r="AS29" s="557"/>
      <c r="AT29" s="557"/>
      <c r="AU29" s="557"/>
      <c r="AV29" s="557"/>
      <c r="AW29" s="557"/>
      <c r="AX29" s="557"/>
      <c r="AY29" s="557"/>
      <c r="AZ29" s="557"/>
      <c r="BA29" s="557"/>
      <c r="BB29" s="557"/>
      <c r="BC29" s="557"/>
      <c r="BD29" s="557"/>
      <c r="BE29" s="557"/>
    </row>
    <row r="30" spans="1:57">
      <c r="A30" s="557"/>
      <c r="B30" s="557"/>
      <c r="C30" s="557"/>
      <c r="D30" s="557"/>
      <c r="E30" s="557"/>
      <c r="F30" s="557"/>
      <c r="G30" s="557"/>
      <c r="H30" s="557"/>
      <c r="I30" s="557"/>
      <c r="J30" s="557"/>
      <c r="K30" s="557"/>
      <c r="L30" s="557"/>
      <c r="M30" s="557"/>
      <c r="N30" s="557"/>
      <c r="O30" s="557"/>
      <c r="P30" s="557"/>
      <c r="Q30" s="557"/>
      <c r="R30" s="557"/>
      <c r="S30" s="557"/>
      <c r="T30" s="557"/>
      <c r="U30" s="557"/>
      <c r="V30" s="557"/>
      <c r="W30" s="557"/>
      <c r="X30" s="557"/>
      <c r="Y30" s="557"/>
      <c r="Z30" s="557"/>
      <c r="AA30" s="557"/>
      <c r="AB30" s="557"/>
      <c r="AC30" s="557"/>
      <c r="AD30" s="557"/>
      <c r="AE30" s="557"/>
      <c r="AF30" s="557"/>
      <c r="AG30" s="557"/>
      <c r="AH30" s="557"/>
      <c r="AI30" s="557"/>
      <c r="AJ30" s="557"/>
      <c r="AK30" s="557"/>
      <c r="AL30" s="557"/>
      <c r="AM30" s="557"/>
      <c r="AN30" s="557"/>
      <c r="AO30" s="557"/>
      <c r="AP30" s="557"/>
      <c r="AQ30" s="557"/>
      <c r="AR30" s="557"/>
      <c r="AS30" s="557"/>
      <c r="AT30" s="557"/>
      <c r="AU30" s="557"/>
      <c r="AV30" s="557"/>
      <c r="AW30" s="557"/>
      <c r="AX30" s="557"/>
      <c r="AY30" s="557"/>
      <c r="AZ30" s="557"/>
      <c r="BA30" s="557"/>
      <c r="BB30" s="557"/>
      <c r="BC30" s="557"/>
      <c r="BD30" s="557"/>
      <c r="BE30" s="557"/>
    </row>
    <row r="31" spans="1:57">
      <c r="A31" s="557"/>
      <c r="B31" s="557"/>
      <c r="C31" s="557"/>
      <c r="D31" s="557"/>
      <c r="E31" s="557"/>
      <c r="F31" s="557"/>
      <c r="G31" s="557"/>
      <c r="H31" s="557"/>
      <c r="I31" s="557"/>
      <c r="J31" s="557"/>
      <c r="K31" s="557"/>
      <c r="L31" s="557"/>
      <c r="M31" s="557"/>
      <c r="N31" s="557"/>
      <c r="O31" s="557"/>
      <c r="P31" s="557"/>
      <c r="Q31" s="557"/>
      <c r="R31" s="557"/>
      <c r="S31" s="557"/>
      <c r="T31" s="557"/>
      <c r="U31" s="557"/>
      <c r="V31" s="557"/>
      <c r="W31" s="557"/>
      <c r="X31" s="557"/>
      <c r="Y31" s="557"/>
      <c r="Z31" s="557"/>
      <c r="AA31" s="557"/>
      <c r="AB31" s="557"/>
      <c r="AC31" s="557"/>
      <c r="AD31" s="557"/>
      <c r="AE31" s="557"/>
      <c r="AF31" s="557"/>
      <c r="AG31" s="557"/>
      <c r="AH31" s="557"/>
      <c r="AI31" s="557"/>
      <c r="AJ31" s="557"/>
      <c r="AK31" s="557"/>
      <c r="AL31" s="557"/>
      <c r="AM31" s="557"/>
      <c r="AN31" s="557"/>
      <c r="AO31" s="557"/>
      <c r="AP31" s="557"/>
      <c r="AQ31" s="557"/>
      <c r="AR31" s="557"/>
      <c r="AS31" s="557"/>
      <c r="AT31" s="557"/>
      <c r="AU31" s="557"/>
      <c r="AV31" s="557"/>
      <c r="AW31" s="557"/>
      <c r="AX31" s="557"/>
      <c r="AY31" s="557"/>
      <c r="AZ31" s="557"/>
      <c r="BA31" s="557"/>
      <c r="BB31" s="557"/>
      <c r="BC31" s="557"/>
      <c r="BD31" s="557"/>
      <c r="BE31" s="557"/>
    </row>
    <row r="32" spans="1:57">
      <c r="A32" s="557"/>
      <c r="B32" s="557"/>
      <c r="C32" s="557"/>
      <c r="D32" s="557"/>
      <c r="E32" s="557"/>
      <c r="F32" s="557"/>
      <c r="G32" s="557"/>
      <c r="H32" s="557"/>
      <c r="I32" s="557"/>
      <c r="J32" s="557"/>
      <c r="K32" s="557"/>
      <c r="L32" s="557"/>
      <c r="M32" s="557"/>
      <c r="N32" s="557"/>
      <c r="O32" s="557"/>
      <c r="P32" s="557"/>
      <c r="Q32" s="557"/>
      <c r="R32" s="557"/>
      <c r="S32" s="557"/>
      <c r="T32" s="557"/>
      <c r="U32" s="557"/>
      <c r="V32" s="557"/>
      <c r="W32" s="557"/>
      <c r="X32" s="557"/>
      <c r="Y32" s="557"/>
      <c r="Z32" s="557"/>
      <c r="AA32" s="557"/>
      <c r="AB32" s="557"/>
      <c r="AC32" s="557"/>
      <c r="AD32" s="557"/>
      <c r="AE32" s="557"/>
      <c r="AF32" s="557"/>
      <c r="AG32" s="557"/>
      <c r="AH32" s="557"/>
      <c r="AI32" s="557"/>
      <c r="AJ32" s="557"/>
      <c r="AK32" s="557"/>
      <c r="AL32" s="557"/>
      <c r="AM32" s="557"/>
      <c r="AN32" s="557"/>
      <c r="AO32" s="557"/>
      <c r="AP32" s="557"/>
      <c r="AQ32" s="557"/>
      <c r="AR32" s="557"/>
      <c r="AS32" s="557"/>
      <c r="AT32" s="557"/>
      <c r="AU32" s="557"/>
      <c r="AV32" s="557"/>
      <c r="AW32" s="557"/>
      <c r="AX32" s="557"/>
      <c r="AY32" s="557"/>
      <c r="AZ32" s="557"/>
      <c r="BA32" s="557"/>
      <c r="BB32" s="557"/>
      <c r="BC32" s="557"/>
      <c r="BD32" s="557"/>
      <c r="BE32" s="557"/>
    </row>
    <row r="33" spans="1:57">
      <c r="A33" s="557"/>
      <c r="B33" s="557"/>
      <c r="C33" s="557"/>
      <c r="D33" s="557"/>
      <c r="E33" s="557"/>
      <c r="F33" s="557"/>
      <c r="G33" s="557"/>
      <c r="H33" s="557"/>
      <c r="I33" s="557"/>
      <c r="J33" s="557"/>
      <c r="K33" s="557"/>
      <c r="L33" s="557"/>
      <c r="M33" s="557"/>
      <c r="N33" s="557"/>
      <c r="O33" s="557"/>
      <c r="P33" s="557"/>
      <c r="Q33" s="557"/>
      <c r="R33" s="557"/>
      <c r="S33" s="557"/>
      <c r="T33" s="557"/>
      <c r="U33" s="557"/>
      <c r="V33" s="557"/>
      <c r="W33" s="557"/>
      <c r="X33" s="557"/>
      <c r="Y33" s="557"/>
      <c r="Z33" s="557"/>
      <c r="AA33" s="557"/>
      <c r="AB33" s="557"/>
      <c r="AC33" s="557"/>
      <c r="AD33" s="557"/>
      <c r="AE33" s="557"/>
      <c r="AF33" s="557"/>
      <c r="AG33" s="557"/>
      <c r="AH33" s="557"/>
      <c r="AI33" s="557"/>
      <c r="AJ33" s="557"/>
      <c r="AK33" s="557"/>
      <c r="AL33" s="557"/>
      <c r="AM33" s="557"/>
      <c r="AN33" s="557"/>
      <c r="AO33" s="557"/>
      <c r="AP33" s="557"/>
      <c r="AQ33" s="557"/>
      <c r="AR33" s="557"/>
      <c r="AS33" s="557"/>
      <c r="AT33" s="557"/>
      <c r="AU33" s="557"/>
      <c r="AV33" s="557"/>
      <c r="AW33" s="557"/>
      <c r="AX33" s="557"/>
      <c r="AY33" s="557"/>
      <c r="AZ33" s="557"/>
      <c r="BA33" s="557"/>
      <c r="BB33" s="557"/>
      <c r="BC33" s="557"/>
      <c r="BD33" s="557"/>
      <c r="BE33" s="557"/>
    </row>
    <row r="34" spans="1:57">
      <c r="A34" s="557"/>
      <c r="B34" s="557"/>
      <c r="C34" s="557"/>
      <c r="D34" s="557"/>
      <c r="E34" s="557"/>
      <c r="F34" s="557"/>
      <c r="G34" s="557"/>
      <c r="H34" s="557"/>
      <c r="I34" s="557"/>
      <c r="J34" s="557"/>
      <c r="K34" s="557"/>
      <c r="L34" s="557"/>
      <c r="M34" s="557"/>
      <c r="N34" s="557"/>
      <c r="O34" s="557"/>
      <c r="P34" s="557"/>
      <c r="Q34" s="557"/>
      <c r="R34" s="557"/>
      <c r="S34" s="557"/>
      <c r="T34" s="557"/>
      <c r="U34" s="557"/>
      <c r="V34" s="557"/>
      <c r="W34" s="557"/>
      <c r="X34" s="557"/>
      <c r="Y34" s="557"/>
      <c r="Z34" s="557"/>
      <c r="AA34" s="557"/>
      <c r="AB34" s="557"/>
      <c r="AC34" s="557"/>
      <c r="AD34" s="557"/>
      <c r="AE34" s="557"/>
      <c r="AF34" s="557"/>
      <c r="AG34" s="557"/>
      <c r="AH34" s="557"/>
      <c r="AI34" s="557"/>
      <c r="AJ34" s="557"/>
      <c r="AK34" s="557"/>
      <c r="AL34" s="557"/>
      <c r="AM34" s="557"/>
      <c r="AN34" s="557"/>
      <c r="AO34" s="557"/>
      <c r="AP34" s="557"/>
      <c r="AQ34" s="557"/>
      <c r="AR34" s="557"/>
      <c r="AS34" s="557"/>
      <c r="AT34" s="557"/>
      <c r="AU34" s="557"/>
      <c r="AV34" s="557"/>
      <c r="AW34" s="557"/>
      <c r="AX34" s="557"/>
      <c r="AY34" s="557"/>
      <c r="AZ34" s="557"/>
      <c r="BA34" s="557"/>
      <c r="BB34" s="557"/>
      <c r="BC34" s="557"/>
      <c r="BD34" s="557"/>
      <c r="BE34" s="557"/>
    </row>
    <row r="35" spans="1:57">
      <c r="A35" s="557"/>
      <c r="B35" s="557"/>
      <c r="C35" s="557"/>
      <c r="D35" s="557"/>
      <c r="E35" s="557"/>
      <c r="F35" s="557"/>
      <c r="G35" s="557"/>
      <c r="H35" s="557"/>
      <c r="I35" s="557"/>
      <c r="J35" s="557"/>
      <c r="K35" s="557"/>
      <c r="L35" s="557"/>
      <c r="M35" s="557"/>
      <c r="N35" s="557"/>
      <c r="O35" s="557"/>
      <c r="P35" s="557"/>
      <c r="Q35" s="557"/>
      <c r="R35" s="557"/>
      <c r="S35" s="557"/>
      <c r="T35" s="557"/>
      <c r="U35" s="557"/>
      <c r="V35" s="557"/>
      <c r="W35" s="557"/>
      <c r="X35" s="557"/>
      <c r="Y35" s="557"/>
      <c r="Z35" s="557"/>
      <c r="AA35" s="557"/>
      <c r="AB35" s="557"/>
      <c r="AC35" s="557"/>
      <c r="AD35" s="557"/>
      <c r="AE35" s="557"/>
      <c r="AF35" s="557"/>
      <c r="AG35" s="557"/>
      <c r="AH35" s="557"/>
      <c r="AI35" s="557"/>
      <c r="AJ35" s="557"/>
      <c r="AK35" s="557"/>
      <c r="AL35" s="557"/>
      <c r="AM35" s="557"/>
      <c r="AN35" s="557"/>
      <c r="AO35" s="557"/>
      <c r="AP35" s="557"/>
      <c r="AQ35" s="557"/>
      <c r="AR35" s="557"/>
      <c r="AS35" s="557"/>
      <c r="AT35" s="557"/>
      <c r="AU35" s="557"/>
      <c r="AV35" s="557"/>
      <c r="AW35" s="557"/>
      <c r="AX35" s="557"/>
      <c r="AY35" s="557"/>
      <c r="AZ35" s="557"/>
      <c r="BA35" s="557"/>
      <c r="BB35" s="557"/>
      <c r="BC35" s="557"/>
      <c r="BD35" s="557"/>
      <c r="BE35" s="557"/>
    </row>
    <row r="36" spans="1:57">
      <c r="A36" s="557"/>
      <c r="B36" s="557"/>
      <c r="C36" s="557"/>
      <c r="D36" s="557"/>
      <c r="E36" s="557"/>
      <c r="F36" s="557"/>
      <c r="G36" s="557"/>
      <c r="H36" s="557"/>
      <c r="I36" s="557"/>
      <c r="J36" s="557"/>
      <c r="K36" s="557"/>
      <c r="L36" s="557"/>
      <c r="M36" s="557"/>
      <c r="N36" s="557"/>
      <c r="O36" s="557"/>
      <c r="P36" s="557"/>
      <c r="Q36" s="557"/>
      <c r="R36" s="557"/>
      <c r="S36" s="557"/>
      <c r="T36" s="557"/>
      <c r="U36" s="557"/>
      <c r="V36" s="557"/>
      <c r="W36" s="557"/>
      <c r="X36" s="557"/>
      <c r="Y36" s="557"/>
      <c r="Z36" s="557"/>
      <c r="AA36" s="557"/>
      <c r="AB36" s="557"/>
      <c r="AC36" s="557"/>
      <c r="AD36" s="557"/>
      <c r="AE36" s="557"/>
      <c r="AF36" s="557"/>
      <c r="AG36" s="557"/>
      <c r="AH36" s="557"/>
      <c r="AI36" s="557"/>
      <c r="AJ36" s="557"/>
      <c r="AK36" s="557"/>
      <c r="AL36" s="557"/>
      <c r="AM36" s="557"/>
      <c r="AN36" s="557"/>
      <c r="AO36" s="557"/>
      <c r="AP36" s="557"/>
      <c r="AQ36" s="557"/>
      <c r="AR36" s="557"/>
      <c r="AS36" s="557"/>
      <c r="AT36" s="557"/>
      <c r="AU36" s="557"/>
      <c r="AV36" s="557"/>
      <c r="AW36" s="557"/>
      <c r="AX36" s="557"/>
      <c r="AY36" s="557"/>
      <c r="AZ36" s="557"/>
      <c r="BA36" s="557"/>
      <c r="BB36" s="557"/>
      <c r="BC36" s="557"/>
      <c r="BD36" s="557"/>
      <c r="BE36" s="557"/>
    </row>
    <row r="37" spans="1:57">
      <c r="A37" s="557"/>
      <c r="B37" s="557"/>
      <c r="C37" s="557"/>
      <c r="D37" s="557"/>
      <c r="E37" s="557"/>
      <c r="F37" s="557"/>
      <c r="G37" s="557"/>
      <c r="H37" s="557"/>
      <c r="I37" s="557"/>
      <c r="J37" s="557"/>
      <c r="K37" s="557"/>
      <c r="L37" s="557"/>
      <c r="M37" s="557"/>
      <c r="N37" s="557"/>
      <c r="O37" s="557"/>
      <c r="P37" s="557"/>
      <c r="Q37" s="557"/>
      <c r="R37" s="557"/>
      <c r="S37" s="557"/>
      <c r="T37" s="557"/>
      <c r="U37" s="557"/>
      <c r="V37" s="557"/>
      <c r="W37" s="557"/>
      <c r="X37" s="557"/>
      <c r="Y37" s="557"/>
      <c r="Z37" s="557"/>
      <c r="AA37" s="557"/>
      <c r="AB37" s="557"/>
      <c r="AC37" s="557"/>
      <c r="AD37" s="557"/>
      <c r="AE37" s="557"/>
      <c r="AF37" s="557"/>
      <c r="AG37" s="557"/>
      <c r="AH37" s="557"/>
      <c r="AI37" s="557"/>
      <c r="AJ37" s="557"/>
      <c r="AK37" s="557"/>
      <c r="AL37" s="557"/>
      <c r="AM37" s="557"/>
      <c r="AN37" s="557"/>
      <c r="AO37" s="557"/>
      <c r="AP37" s="557"/>
      <c r="AQ37" s="557"/>
      <c r="AR37" s="557"/>
      <c r="AS37" s="557"/>
      <c r="AT37" s="557"/>
      <c r="AU37" s="557"/>
      <c r="AV37" s="557"/>
      <c r="AW37" s="557"/>
      <c r="AX37" s="557"/>
      <c r="AY37" s="557"/>
      <c r="AZ37" s="557"/>
      <c r="BA37" s="557"/>
      <c r="BB37" s="557"/>
      <c r="BC37" s="557"/>
      <c r="BD37" s="557"/>
      <c r="BE37" s="557"/>
    </row>
    <row r="38" spans="1:57">
      <c r="A38" s="557"/>
      <c r="B38" s="557"/>
      <c r="C38" s="557"/>
      <c r="D38" s="557"/>
      <c r="E38" s="557"/>
      <c r="F38" s="557"/>
      <c r="G38" s="557"/>
      <c r="H38" s="557"/>
      <c r="I38" s="557"/>
      <c r="J38" s="557"/>
      <c r="K38" s="557"/>
      <c r="L38" s="557"/>
      <c r="M38" s="557"/>
      <c r="N38" s="557"/>
      <c r="O38" s="557"/>
      <c r="P38" s="557"/>
      <c r="Q38" s="557"/>
      <c r="R38" s="557"/>
      <c r="S38" s="557"/>
      <c r="T38" s="557"/>
      <c r="U38" s="557"/>
      <c r="V38" s="557"/>
      <c r="W38" s="557"/>
      <c r="X38" s="557"/>
      <c r="Y38" s="557"/>
      <c r="Z38" s="557"/>
      <c r="AA38" s="557"/>
      <c r="AB38" s="557"/>
      <c r="AC38" s="557"/>
      <c r="AD38" s="557"/>
      <c r="AE38" s="557"/>
      <c r="AF38" s="557"/>
      <c r="AG38" s="557"/>
      <c r="AH38" s="557"/>
      <c r="AI38" s="557"/>
      <c r="AJ38" s="557"/>
      <c r="AK38" s="557"/>
      <c r="AL38" s="557"/>
      <c r="AM38" s="557"/>
      <c r="AN38" s="557"/>
      <c r="AO38" s="557"/>
      <c r="AP38" s="557"/>
      <c r="AQ38" s="557"/>
      <c r="AR38" s="557"/>
      <c r="AS38" s="557"/>
      <c r="AT38" s="557"/>
      <c r="AU38" s="557"/>
      <c r="AV38" s="557"/>
      <c r="AW38" s="557"/>
      <c r="AX38" s="557"/>
      <c r="AY38" s="557"/>
      <c r="AZ38" s="557"/>
      <c r="BA38" s="557"/>
      <c r="BB38" s="557"/>
      <c r="BC38" s="557"/>
      <c r="BD38" s="557"/>
      <c r="BE38" s="557"/>
    </row>
    <row r="39" spans="1:57">
      <c r="A39" s="557"/>
      <c r="B39" s="557"/>
      <c r="C39" s="557"/>
      <c r="D39" s="557"/>
      <c r="E39" s="557"/>
      <c r="F39" s="557"/>
      <c r="G39" s="557"/>
      <c r="H39" s="557"/>
      <c r="I39" s="557"/>
      <c r="J39" s="557"/>
      <c r="K39" s="557"/>
      <c r="L39" s="557"/>
      <c r="M39" s="557"/>
      <c r="N39" s="557"/>
      <c r="O39" s="557"/>
      <c r="P39" s="557"/>
      <c r="Q39" s="557"/>
      <c r="R39" s="557"/>
      <c r="S39" s="557"/>
      <c r="T39" s="557"/>
      <c r="U39" s="557"/>
      <c r="V39" s="557"/>
      <c r="W39" s="557"/>
      <c r="X39" s="557"/>
      <c r="Y39" s="557"/>
      <c r="Z39" s="557"/>
      <c r="AA39" s="557"/>
      <c r="AB39" s="557"/>
      <c r="AC39" s="557"/>
      <c r="AD39" s="557"/>
      <c r="AE39" s="557"/>
      <c r="AF39" s="557"/>
      <c r="AG39" s="557"/>
      <c r="AH39" s="557"/>
      <c r="AI39" s="557"/>
      <c r="AJ39" s="557"/>
      <c r="AK39" s="557"/>
      <c r="AL39" s="557"/>
      <c r="AM39" s="557"/>
      <c r="AN39" s="557"/>
      <c r="AO39" s="557"/>
      <c r="AP39" s="557"/>
      <c r="AQ39" s="557"/>
      <c r="AR39" s="557"/>
      <c r="AS39" s="557"/>
      <c r="AT39" s="557"/>
      <c r="AU39" s="557"/>
      <c r="AV39" s="557"/>
      <c r="AW39" s="557"/>
      <c r="AX39" s="557"/>
      <c r="AY39" s="557"/>
      <c r="AZ39" s="557"/>
      <c r="BA39" s="557"/>
      <c r="BB39" s="557"/>
      <c r="BC39" s="557"/>
      <c r="BD39" s="557"/>
      <c r="BE39" s="557"/>
    </row>
    <row r="40" spans="1:57">
      <c r="A40" s="557"/>
      <c r="B40" s="557"/>
      <c r="C40" s="557"/>
      <c r="D40" s="557"/>
      <c r="E40" s="557"/>
      <c r="F40" s="557"/>
      <c r="G40" s="557"/>
      <c r="H40" s="557"/>
      <c r="I40" s="557"/>
      <c r="J40" s="557"/>
      <c r="K40" s="557"/>
      <c r="L40" s="557"/>
      <c r="M40" s="557"/>
      <c r="N40" s="557"/>
      <c r="O40" s="557"/>
      <c r="P40" s="557"/>
      <c r="Q40" s="557"/>
      <c r="R40" s="557"/>
      <c r="S40" s="557"/>
      <c r="T40" s="557"/>
      <c r="U40" s="557"/>
      <c r="V40" s="557"/>
      <c r="W40" s="557"/>
      <c r="X40" s="557"/>
      <c r="Y40" s="557"/>
      <c r="Z40" s="557"/>
      <c r="AA40" s="557"/>
      <c r="AB40" s="557"/>
      <c r="AC40" s="557"/>
      <c r="AD40" s="557"/>
      <c r="AE40" s="557"/>
      <c r="AF40" s="557"/>
      <c r="AG40" s="557"/>
      <c r="AH40" s="557"/>
      <c r="AI40" s="557"/>
      <c r="AJ40" s="557"/>
      <c r="AK40" s="557"/>
      <c r="AL40" s="557"/>
      <c r="AM40" s="557"/>
      <c r="AN40" s="557"/>
      <c r="AO40" s="557"/>
      <c r="AP40" s="557"/>
      <c r="AQ40" s="557"/>
      <c r="AR40" s="557"/>
      <c r="AS40" s="557"/>
      <c r="AT40" s="557"/>
      <c r="AU40" s="557"/>
      <c r="AV40" s="557"/>
      <c r="AW40" s="557"/>
      <c r="AX40" s="557"/>
      <c r="AY40" s="557"/>
      <c r="AZ40" s="557"/>
      <c r="BA40" s="557"/>
      <c r="BB40" s="557"/>
      <c r="BC40" s="557"/>
      <c r="BD40" s="557"/>
      <c r="BE40" s="557"/>
    </row>
    <row r="41" spans="1:57">
      <c r="A41" s="557"/>
      <c r="B41" s="557"/>
      <c r="C41" s="557"/>
      <c r="D41" s="557"/>
      <c r="E41" s="557"/>
      <c r="F41" s="557"/>
      <c r="G41" s="557"/>
      <c r="H41" s="557"/>
      <c r="I41" s="557"/>
      <c r="J41" s="557"/>
      <c r="K41" s="557"/>
      <c r="L41" s="557"/>
      <c r="M41" s="557"/>
      <c r="N41" s="557"/>
      <c r="O41" s="557"/>
      <c r="P41" s="557"/>
      <c r="Q41" s="557"/>
      <c r="R41" s="557"/>
      <c r="S41" s="557"/>
      <c r="T41" s="557"/>
      <c r="U41" s="557"/>
      <c r="V41" s="557"/>
      <c r="W41" s="557"/>
      <c r="X41" s="557"/>
      <c r="Y41" s="557"/>
      <c r="Z41" s="557"/>
      <c r="AA41" s="557"/>
      <c r="AB41" s="557"/>
      <c r="AC41" s="557"/>
      <c r="AD41" s="557"/>
      <c r="AE41" s="557"/>
      <c r="AF41" s="557"/>
      <c r="AG41" s="557"/>
      <c r="AH41" s="557"/>
      <c r="AI41" s="557"/>
      <c r="AJ41" s="557"/>
      <c r="AK41" s="557"/>
      <c r="AL41" s="557"/>
      <c r="AM41" s="557"/>
      <c r="AN41" s="557"/>
      <c r="AO41" s="557"/>
      <c r="AP41" s="557"/>
      <c r="AQ41" s="557"/>
      <c r="AR41" s="557"/>
      <c r="AS41" s="557"/>
      <c r="AT41" s="557"/>
      <c r="AU41" s="557"/>
      <c r="AV41" s="557"/>
      <c r="AW41" s="557"/>
      <c r="AX41" s="557"/>
      <c r="AY41" s="557"/>
      <c r="AZ41" s="557"/>
      <c r="BA41" s="557"/>
      <c r="BB41" s="557"/>
      <c r="BC41" s="557"/>
      <c r="BD41" s="557"/>
      <c r="BE41" s="557"/>
    </row>
    <row r="42" spans="1:57">
      <c r="A42" s="557"/>
      <c r="B42" s="557"/>
      <c r="C42" s="557"/>
      <c r="D42" s="557"/>
      <c r="E42" s="557"/>
      <c r="F42" s="557"/>
      <c r="G42" s="557"/>
      <c r="H42" s="557"/>
      <c r="I42" s="557"/>
      <c r="J42" s="557"/>
      <c r="K42" s="557"/>
      <c r="L42" s="557"/>
      <c r="M42" s="557"/>
      <c r="N42" s="557"/>
      <c r="O42" s="557"/>
      <c r="P42" s="557"/>
      <c r="Q42" s="557"/>
      <c r="R42" s="557"/>
      <c r="S42" s="557"/>
      <c r="T42" s="557"/>
      <c r="U42" s="557"/>
      <c r="V42" s="557"/>
      <c r="W42" s="557"/>
      <c r="X42" s="557"/>
      <c r="Y42" s="557"/>
      <c r="Z42" s="557"/>
      <c r="AA42" s="557"/>
      <c r="AB42" s="557"/>
      <c r="AC42" s="557"/>
      <c r="AD42" s="557"/>
      <c r="AE42" s="557"/>
      <c r="AF42" s="557"/>
      <c r="AG42" s="557"/>
      <c r="AH42" s="557"/>
      <c r="AI42" s="557"/>
      <c r="AJ42" s="557"/>
      <c r="AK42" s="557"/>
      <c r="AL42" s="557"/>
      <c r="AM42" s="557"/>
      <c r="AN42" s="557"/>
      <c r="AO42" s="557"/>
      <c r="AP42" s="557"/>
      <c r="AQ42" s="557"/>
      <c r="AR42" s="557"/>
      <c r="AS42" s="557"/>
      <c r="AT42" s="557"/>
      <c r="AU42" s="557"/>
      <c r="AV42" s="557"/>
      <c r="AW42" s="557"/>
      <c r="AX42" s="557"/>
      <c r="AY42" s="557"/>
      <c r="AZ42" s="557"/>
      <c r="BA42" s="557"/>
      <c r="BB42" s="557"/>
      <c r="BC42" s="557"/>
      <c r="BD42" s="557"/>
      <c r="BE42" s="557"/>
    </row>
    <row r="43" spans="1:57">
      <c r="A43" s="557"/>
      <c r="B43" s="557"/>
      <c r="C43" s="557"/>
      <c r="D43" s="557"/>
      <c r="E43" s="557"/>
      <c r="F43" s="557"/>
      <c r="G43" s="557"/>
      <c r="H43" s="557"/>
      <c r="I43" s="557"/>
      <c r="J43" s="557"/>
      <c r="K43" s="557"/>
      <c r="L43" s="557"/>
      <c r="M43" s="557"/>
      <c r="N43" s="557"/>
      <c r="O43" s="557"/>
      <c r="P43" s="557"/>
      <c r="Q43" s="557"/>
      <c r="R43" s="557"/>
      <c r="S43" s="557"/>
      <c r="T43" s="557"/>
      <c r="U43" s="557"/>
      <c r="V43" s="557"/>
      <c r="W43" s="557"/>
      <c r="X43" s="557"/>
      <c r="Y43" s="557"/>
      <c r="Z43" s="557"/>
      <c r="AA43" s="557"/>
      <c r="AB43" s="557"/>
      <c r="AC43" s="557"/>
      <c r="AD43" s="557"/>
      <c r="AE43" s="557"/>
      <c r="AF43" s="557"/>
      <c r="AG43" s="557"/>
      <c r="AH43" s="557"/>
      <c r="AI43" s="557"/>
      <c r="AJ43" s="557"/>
      <c r="AK43" s="557"/>
      <c r="AL43" s="557"/>
      <c r="AM43" s="557"/>
      <c r="AN43" s="557"/>
      <c r="AO43" s="557"/>
      <c r="AP43" s="557"/>
      <c r="AQ43" s="557"/>
      <c r="AR43" s="557"/>
      <c r="AS43" s="557"/>
      <c r="AT43" s="557"/>
      <c r="AU43" s="557"/>
      <c r="AV43" s="557"/>
      <c r="AW43" s="557"/>
      <c r="AX43" s="557"/>
      <c r="AY43" s="557"/>
      <c r="AZ43" s="557"/>
      <c r="BA43" s="557"/>
      <c r="BB43" s="557"/>
      <c r="BC43" s="557"/>
      <c r="BD43" s="557"/>
      <c r="BE43" s="557"/>
    </row>
    <row r="44" spans="1:57">
      <c r="A44" s="557"/>
      <c r="B44" s="557"/>
      <c r="C44" s="557"/>
      <c r="D44" s="557"/>
      <c r="E44" s="557"/>
      <c r="F44" s="557"/>
      <c r="G44" s="557"/>
      <c r="H44" s="557"/>
      <c r="I44" s="557"/>
      <c r="J44" s="557"/>
      <c r="K44" s="557"/>
      <c r="L44" s="557"/>
      <c r="M44" s="557"/>
      <c r="N44" s="557"/>
      <c r="O44" s="557"/>
      <c r="P44" s="557"/>
      <c r="Q44" s="557"/>
      <c r="R44" s="557"/>
      <c r="S44" s="557"/>
      <c r="T44" s="557"/>
      <c r="U44" s="557"/>
      <c r="V44" s="557"/>
      <c r="W44" s="557"/>
      <c r="X44" s="557"/>
      <c r="Y44" s="557"/>
      <c r="Z44" s="557"/>
      <c r="AA44" s="557"/>
      <c r="AB44" s="557"/>
      <c r="AC44" s="557"/>
      <c r="AD44" s="557"/>
      <c r="AE44" s="557"/>
      <c r="AF44" s="557"/>
      <c r="AG44" s="557"/>
      <c r="AH44" s="557"/>
      <c r="AI44" s="557"/>
      <c r="AJ44" s="557"/>
      <c r="AK44" s="557"/>
      <c r="AL44" s="557"/>
      <c r="AM44" s="557"/>
      <c r="AN44" s="557"/>
      <c r="AO44" s="557"/>
      <c r="AP44" s="557"/>
      <c r="AQ44" s="557"/>
      <c r="AR44" s="557"/>
      <c r="AS44" s="557"/>
      <c r="AT44" s="557"/>
      <c r="AU44" s="557"/>
      <c r="AV44" s="557"/>
      <c r="AW44" s="557"/>
      <c r="AX44" s="557"/>
      <c r="AY44" s="557"/>
      <c r="AZ44" s="557"/>
      <c r="BA44" s="557"/>
      <c r="BB44" s="557"/>
      <c r="BC44" s="557"/>
      <c r="BD44" s="557"/>
      <c r="BE44" s="557"/>
    </row>
    <row r="45" spans="1:57">
      <c r="A45" s="557"/>
      <c r="B45" s="557"/>
      <c r="C45" s="557"/>
      <c r="D45" s="557"/>
      <c r="E45" s="557"/>
      <c r="F45" s="557"/>
      <c r="G45" s="557"/>
      <c r="H45" s="557"/>
      <c r="I45" s="557"/>
      <c r="J45" s="557"/>
      <c r="K45" s="557"/>
      <c r="L45" s="557"/>
      <c r="M45" s="557"/>
      <c r="N45" s="557"/>
      <c r="O45" s="557"/>
      <c r="P45" s="557"/>
      <c r="Q45" s="557"/>
      <c r="R45" s="557"/>
      <c r="S45" s="557"/>
      <c r="T45" s="557"/>
      <c r="U45" s="557"/>
      <c r="V45" s="557"/>
      <c r="W45" s="557"/>
      <c r="X45" s="557"/>
      <c r="Y45" s="557"/>
      <c r="Z45" s="557"/>
      <c r="AA45" s="557"/>
      <c r="AB45" s="557"/>
      <c r="AC45" s="557"/>
      <c r="AD45" s="557"/>
      <c r="AE45" s="557"/>
      <c r="AF45" s="557"/>
      <c r="AG45" s="557"/>
      <c r="AH45" s="557"/>
      <c r="AI45" s="557"/>
      <c r="AJ45" s="557"/>
      <c r="AK45" s="557"/>
      <c r="AL45" s="557"/>
      <c r="AM45" s="557"/>
      <c r="AN45" s="557"/>
      <c r="AO45" s="557"/>
      <c r="AP45" s="557"/>
      <c r="AQ45" s="557"/>
      <c r="AR45" s="557"/>
      <c r="AS45" s="557"/>
      <c r="AT45" s="557"/>
      <c r="AU45" s="557"/>
      <c r="AV45" s="557"/>
      <c r="AW45" s="557"/>
      <c r="AX45" s="557"/>
      <c r="AY45" s="557"/>
      <c r="AZ45" s="557"/>
      <c r="BA45" s="557"/>
      <c r="BB45" s="557"/>
      <c r="BC45" s="557"/>
      <c r="BD45" s="557"/>
      <c r="BE45" s="557"/>
    </row>
    <row r="46" spans="1:57">
      <c r="A46" s="557"/>
      <c r="B46" s="557"/>
      <c r="C46" s="557"/>
      <c r="D46" s="557"/>
      <c r="E46" s="557"/>
      <c r="F46" s="557"/>
      <c r="G46" s="557"/>
      <c r="H46" s="557"/>
      <c r="I46" s="557"/>
      <c r="J46" s="557"/>
      <c r="K46" s="557"/>
      <c r="L46" s="557"/>
      <c r="M46" s="557"/>
      <c r="N46" s="557"/>
      <c r="O46" s="557"/>
      <c r="P46" s="557"/>
      <c r="Q46" s="557"/>
      <c r="R46" s="557"/>
      <c r="S46" s="557"/>
      <c r="T46" s="557"/>
      <c r="U46" s="557"/>
      <c r="V46" s="557"/>
      <c r="W46" s="557"/>
      <c r="X46" s="557"/>
      <c r="Y46" s="557"/>
      <c r="Z46" s="557"/>
      <c r="AA46" s="557"/>
      <c r="AB46" s="557"/>
      <c r="AC46" s="557"/>
      <c r="AD46" s="557"/>
      <c r="AE46" s="557"/>
      <c r="AF46" s="557"/>
      <c r="AG46" s="557"/>
      <c r="AH46" s="557"/>
      <c r="AI46" s="557"/>
      <c r="AJ46" s="557"/>
      <c r="AK46" s="557"/>
      <c r="AL46" s="557"/>
      <c r="AM46" s="557"/>
      <c r="AN46" s="557"/>
      <c r="AO46" s="557"/>
      <c r="AP46" s="557"/>
      <c r="AQ46" s="557"/>
      <c r="AR46" s="557"/>
      <c r="AS46" s="557"/>
      <c r="AT46" s="557"/>
      <c r="AU46" s="557"/>
      <c r="AV46" s="557"/>
      <c r="AW46" s="557"/>
      <c r="AX46" s="557"/>
      <c r="AY46" s="557"/>
      <c r="AZ46" s="557"/>
      <c r="BA46" s="557"/>
      <c r="BB46" s="557"/>
      <c r="BC46" s="557"/>
      <c r="BD46" s="557"/>
      <c r="BE46" s="557"/>
    </row>
    <row r="47" spans="1:57">
      <c r="A47" s="557"/>
      <c r="B47" s="557"/>
      <c r="C47" s="557"/>
      <c r="D47" s="557"/>
      <c r="E47" s="557"/>
      <c r="F47" s="557"/>
      <c r="G47" s="557"/>
      <c r="H47" s="557"/>
      <c r="I47" s="557"/>
      <c r="J47" s="557"/>
      <c r="K47" s="557"/>
      <c r="L47" s="557"/>
      <c r="M47" s="557"/>
      <c r="N47" s="557"/>
      <c r="O47" s="557"/>
      <c r="P47" s="557"/>
      <c r="Q47" s="557"/>
      <c r="R47" s="557"/>
      <c r="S47" s="557"/>
      <c r="T47" s="557"/>
      <c r="U47" s="557"/>
      <c r="V47" s="557"/>
      <c r="W47" s="557"/>
      <c r="X47" s="557"/>
      <c r="Y47" s="557"/>
      <c r="Z47" s="557"/>
      <c r="AA47" s="557"/>
      <c r="AB47" s="557"/>
      <c r="AC47" s="557"/>
      <c r="AD47" s="557"/>
      <c r="AE47" s="557"/>
      <c r="AF47" s="557"/>
      <c r="AG47" s="557"/>
      <c r="AH47" s="557"/>
      <c r="AI47" s="557"/>
      <c r="AJ47" s="557"/>
      <c r="AK47" s="557"/>
      <c r="AL47" s="557"/>
      <c r="AM47" s="557"/>
      <c r="AN47" s="557"/>
      <c r="AO47" s="557"/>
      <c r="AP47" s="557"/>
      <c r="AQ47" s="557"/>
      <c r="AR47" s="557"/>
      <c r="AS47" s="557"/>
      <c r="AT47" s="557"/>
      <c r="AU47" s="557"/>
      <c r="AV47" s="557"/>
      <c r="AW47" s="557"/>
      <c r="AX47" s="557"/>
      <c r="AY47" s="557"/>
      <c r="AZ47" s="557"/>
      <c r="BA47" s="557"/>
      <c r="BB47" s="557"/>
      <c r="BC47" s="557"/>
      <c r="BD47" s="557"/>
      <c r="BE47" s="557"/>
    </row>
    <row r="48" spans="1:57">
      <c r="A48" s="557"/>
      <c r="B48" s="557"/>
      <c r="C48" s="557"/>
      <c r="D48" s="557"/>
      <c r="E48" s="557"/>
      <c r="F48" s="557"/>
      <c r="G48" s="557"/>
      <c r="H48" s="557"/>
      <c r="I48" s="557"/>
      <c r="J48" s="557"/>
      <c r="K48" s="557"/>
      <c r="L48" s="557"/>
      <c r="M48" s="557"/>
      <c r="N48" s="557"/>
      <c r="O48" s="557"/>
      <c r="P48" s="557"/>
      <c r="Q48" s="557"/>
      <c r="R48" s="557"/>
      <c r="S48" s="557"/>
      <c r="T48" s="557"/>
      <c r="U48" s="557"/>
      <c r="V48" s="557"/>
      <c r="W48" s="557"/>
      <c r="X48" s="557"/>
      <c r="Y48" s="557"/>
      <c r="Z48" s="557"/>
      <c r="AA48" s="557"/>
      <c r="AB48" s="557"/>
      <c r="AC48" s="557"/>
      <c r="AD48" s="557"/>
      <c r="AE48" s="557"/>
      <c r="AF48" s="557"/>
      <c r="AG48" s="557"/>
      <c r="AH48" s="557"/>
      <c r="AI48" s="557"/>
      <c r="AJ48" s="557"/>
      <c r="AK48" s="557"/>
      <c r="AL48" s="557"/>
      <c r="AM48" s="557"/>
      <c r="AN48" s="557"/>
      <c r="AO48" s="557"/>
      <c r="AP48" s="557"/>
      <c r="AQ48" s="557"/>
      <c r="AR48" s="557"/>
      <c r="AS48" s="557"/>
      <c r="AT48" s="557"/>
      <c r="AU48" s="557"/>
      <c r="AV48" s="557"/>
      <c r="AW48" s="557"/>
      <c r="AX48" s="557"/>
      <c r="AY48" s="557"/>
      <c r="AZ48" s="557"/>
      <c r="BA48" s="557"/>
      <c r="BB48" s="557"/>
      <c r="BC48" s="557"/>
      <c r="BD48" s="557"/>
      <c r="BE48" s="557"/>
    </row>
    <row r="49" spans="1:57">
      <c r="A49" s="557"/>
      <c r="B49" s="557"/>
      <c r="C49" s="557"/>
      <c r="D49" s="557"/>
      <c r="E49" s="557"/>
      <c r="F49" s="557"/>
      <c r="G49" s="557"/>
      <c r="H49" s="557"/>
      <c r="I49" s="557"/>
      <c r="J49" s="557"/>
      <c r="K49" s="557"/>
      <c r="L49" s="557"/>
      <c r="M49" s="557"/>
      <c r="N49" s="557"/>
      <c r="O49" s="557"/>
      <c r="P49" s="557"/>
      <c r="Q49" s="557"/>
      <c r="R49" s="557"/>
      <c r="S49" s="557"/>
      <c r="T49" s="557"/>
      <c r="U49" s="557"/>
      <c r="V49" s="557"/>
      <c r="W49" s="557"/>
      <c r="X49" s="557"/>
      <c r="Y49" s="557"/>
      <c r="Z49" s="557"/>
      <c r="AA49" s="557"/>
      <c r="AB49" s="557"/>
      <c r="AC49" s="557"/>
      <c r="AD49" s="557"/>
      <c r="AE49" s="557"/>
      <c r="AF49" s="557"/>
      <c r="AG49" s="557"/>
      <c r="AH49" s="557"/>
      <c r="AI49" s="557"/>
      <c r="AJ49" s="557"/>
      <c r="AK49" s="557"/>
      <c r="AL49" s="557"/>
      <c r="AM49" s="557"/>
      <c r="AN49" s="557"/>
      <c r="AO49" s="557"/>
      <c r="AP49" s="557"/>
      <c r="AQ49" s="557"/>
      <c r="AR49" s="557"/>
      <c r="AS49" s="557"/>
      <c r="AT49" s="557"/>
      <c r="AU49" s="557"/>
      <c r="AV49" s="557"/>
      <c r="AW49" s="557"/>
      <c r="AX49" s="557"/>
      <c r="AY49" s="557"/>
      <c r="AZ49" s="557"/>
      <c r="BA49" s="557"/>
      <c r="BB49" s="557"/>
      <c r="BC49" s="557"/>
      <c r="BD49" s="557"/>
      <c r="BE49" s="557"/>
    </row>
    <row r="50" spans="1:57">
      <c r="A50" s="557"/>
      <c r="B50" s="557"/>
      <c r="C50" s="557"/>
      <c r="D50" s="557"/>
      <c r="E50" s="557"/>
      <c r="F50" s="557"/>
      <c r="G50" s="557"/>
      <c r="H50" s="557"/>
      <c r="I50" s="557"/>
      <c r="J50" s="557"/>
      <c r="K50" s="557"/>
      <c r="L50" s="557"/>
      <c r="M50" s="557"/>
      <c r="N50" s="557"/>
      <c r="O50" s="557"/>
      <c r="P50" s="557"/>
      <c r="Q50" s="557"/>
      <c r="R50" s="557"/>
      <c r="S50" s="557"/>
      <c r="T50" s="557"/>
      <c r="U50" s="557"/>
      <c r="V50" s="557"/>
      <c r="W50" s="557"/>
      <c r="X50" s="557"/>
      <c r="Y50" s="557"/>
      <c r="Z50" s="557"/>
      <c r="AA50" s="557"/>
      <c r="AB50" s="557"/>
      <c r="AC50" s="557"/>
      <c r="AD50" s="557"/>
      <c r="AE50" s="557"/>
      <c r="AF50" s="557"/>
      <c r="AG50" s="557"/>
      <c r="AH50" s="557"/>
      <c r="AI50" s="557"/>
      <c r="AJ50" s="557"/>
      <c r="AK50" s="557"/>
      <c r="AL50" s="557"/>
      <c r="AM50" s="557"/>
      <c r="AN50" s="557"/>
      <c r="AO50" s="557"/>
      <c r="AP50" s="557"/>
      <c r="AQ50" s="557"/>
      <c r="AR50" s="557"/>
      <c r="AS50" s="557"/>
      <c r="AT50" s="557"/>
      <c r="AU50" s="557"/>
      <c r="AV50" s="557"/>
      <c r="AW50" s="557"/>
      <c r="AX50" s="557"/>
      <c r="AY50" s="557"/>
      <c r="AZ50" s="557"/>
      <c r="BA50" s="557"/>
      <c r="BB50" s="557"/>
      <c r="BC50" s="557"/>
      <c r="BD50" s="557"/>
      <c r="BE50" s="557"/>
    </row>
    <row r="51" spans="1:57" hidden="1">
      <c r="A51" s="557"/>
      <c r="B51" s="557"/>
      <c r="C51" s="557"/>
      <c r="D51" s="557"/>
      <c r="E51" s="557"/>
      <c r="F51" s="557"/>
      <c r="G51" s="557"/>
      <c r="H51" s="557"/>
      <c r="I51" s="557"/>
      <c r="J51" s="557"/>
      <c r="K51" s="557"/>
      <c r="L51" s="557"/>
      <c r="M51" s="557"/>
      <c r="N51" s="557"/>
      <c r="O51" s="557"/>
      <c r="P51" s="557"/>
      <c r="Q51" s="557"/>
      <c r="R51" s="557"/>
      <c r="S51" s="557"/>
      <c r="T51" s="557"/>
      <c r="U51" s="557"/>
      <c r="V51" s="557"/>
      <c r="W51" s="557"/>
      <c r="X51" s="557"/>
      <c r="Y51" s="557"/>
      <c r="Z51" s="557"/>
      <c r="AA51" s="557"/>
      <c r="AB51" s="557"/>
      <c r="AC51" s="557"/>
      <c r="AD51" s="557"/>
      <c r="AE51" s="557"/>
      <c r="AF51" s="557"/>
      <c r="AG51" s="557"/>
      <c r="AH51" s="557"/>
      <c r="AI51" s="557"/>
      <c r="AJ51" s="557"/>
      <c r="AK51" s="557"/>
      <c r="AL51" s="557"/>
      <c r="AM51" s="557"/>
      <c r="AN51" s="557"/>
      <c r="AO51" s="557"/>
      <c r="AP51" s="557"/>
      <c r="AQ51" s="557"/>
      <c r="AR51" s="557"/>
      <c r="AS51" s="557"/>
      <c r="AT51" s="557"/>
      <c r="AU51" s="557"/>
      <c r="AV51" s="557"/>
      <c r="AW51" s="557"/>
      <c r="AX51" s="557"/>
      <c r="AY51" s="557"/>
      <c r="AZ51" s="557"/>
      <c r="BA51" s="557"/>
      <c r="BB51" s="557"/>
      <c r="BC51" s="557"/>
      <c r="BD51" s="557"/>
      <c r="BE51" s="557"/>
    </row>
    <row r="52" spans="1:57" hidden="1">
      <c r="A52" s="557"/>
      <c r="B52" s="557"/>
      <c r="C52" s="557"/>
      <c r="D52" s="557"/>
      <c r="E52" s="557"/>
      <c r="F52" s="557"/>
      <c r="G52" s="557"/>
      <c r="H52" s="557"/>
      <c r="I52" s="557"/>
      <c r="J52" s="557"/>
      <c r="K52" s="557"/>
      <c r="L52" s="557"/>
      <c r="M52" s="557"/>
      <c r="N52" s="557"/>
      <c r="O52" s="557"/>
      <c r="P52" s="557"/>
      <c r="Q52" s="557"/>
      <c r="R52" s="557"/>
      <c r="S52" s="557"/>
      <c r="T52" s="557"/>
      <c r="U52" s="557"/>
      <c r="V52" s="557"/>
      <c r="W52" s="557"/>
      <c r="X52" s="557"/>
      <c r="Y52" s="557"/>
      <c r="Z52" s="557"/>
      <c r="AA52" s="557"/>
      <c r="AB52" s="557"/>
      <c r="AC52" s="557"/>
      <c r="AD52" s="557"/>
      <c r="AE52" s="557"/>
      <c r="AF52" s="557"/>
      <c r="AG52" s="557"/>
      <c r="AH52" s="557"/>
      <c r="AI52" s="557"/>
      <c r="AJ52" s="557"/>
      <c r="AK52" s="557"/>
      <c r="AL52" s="557"/>
      <c r="AM52" s="557"/>
      <c r="AN52" s="557"/>
      <c r="AO52" s="557"/>
      <c r="AP52" s="557"/>
      <c r="AQ52" s="557"/>
      <c r="AR52" s="557"/>
      <c r="AS52" s="557"/>
      <c r="AT52" s="557"/>
      <c r="AU52" s="557"/>
      <c r="AV52" s="557"/>
      <c r="AW52" s="557"/>
      <c r="AX52" s="557"/>
      <c r="AY52" s="557"/>
      <c r="AZ52" s="557"/>
      <c r="BA52" s="557"/>
      <c r="BB52" s="557"/>
      <c r="BC52" s="557"/>
      <c r="BD52" s="557"/>
      <c r="BE52" s="557"/>
    </row>
    <row r="53" spans="1:57" hidden="1">
      <c r="A53" s="557"/>
      <c r="B53" s="557"/>
      <c r="C53" s="557"/>
      <c r="D53" s="557"/>
      <c r="E53" s="557"/>
      <c r="F53" s="557"/>
      <c r="G53" s="557"/>
      <c r="H53" s="557"/>
      <c r="I53" s="557"/>
      <c r="J53" s="557"/>
      <c r="K53" s="557"/>
      <c r="L53" s="557"/>
      <c r="M53" s="557"/>
      <c r="N53" s="557"/>
      <c r="O53" s="557"/>
      <c r="P53" s="557"/>
      <c r="Q53" s="557"/>
      <c r="R53" s="557"/>
      <c r="S53" s="557"/>
      <c r="T53" s="557"/>
      <c r="U53" s="557"/>
      <c r="V53" s="557"/>
      <c r="W53" s="557"/>
      <c r="X53" s="557"/>
      <c r="Y53" s="557"/>
      <c r="Z53" s="557"/>
      <c r="AA53" s="557"/>
      <c r="AB53" s="557"/>
      <c r="AC53" s="557"/>
      <c r="AD53" s="557"/>
      <c r="AE53" s="557"/>
      <c r="AF53" s="557"/>
      <c r="AG53" s="557"/>
      <c r="AH53" s="557"/>
      <c r="AI53" s="557"/>
      <c r="AJ53" s="557"/>
      <c r="AK53" s="557"/>
      <c r="AL53" s="557"/>
      <c r="AM53" s="557"/>
      <c r="AN53" s="557"/>
      <c r="AO53" s="557"/>
      <c r="AP53" s="557"/>
      <c r="AQ53" s="557"/>
      <c r="AR53" s="557"/>
      <c r="AS53" s="557"/>
      <c r="AT53" s="557"/>
      <c r="AU53" s="557"/>
      <c r="AV53" s="557"/>
      <c r="AW53" s="557"/>
      <c r="AX53" s="557"/>
      <c r="AY53" s="557"/>
      <c r="AZ53" s="557"/>
      <c r="BA53" s="557"/>
      <c r="BB53" s="557"/>
      <c r="BC53" s="557"/>
      <c r="BD53" s="557"/>
      <c r="BE53" s="557"/>
    </row>
    <row r="54" spans="1:57" hidden="1">
      <c r="A54" s="557"/>
      <c r="B54" s="557"/>
      <c r="C54" s="557"/>
      <c r="D54" s="557"/>
      <c r="E54" s="557"/>
      <c r="F54" s="557"/>
      <c r="G54" s="557"/>
      <c r="H54" s="557"/>
      <c r="I54" s="557"/>
      <c r="J54" s="557"/>
      <c r="K54" s="557"/>
      <c r="L54" s="557"/>
      <c r="M54" s="557"/>
      <c r="N54" s="557"/>
      <c r="O54" s="557"/>
      <c r="P54" s="557"/>
      <c r="Q54" s="557"/>
      <c r="R54" s="557"/>
      <c r="S54" s="557"/>
      <c r="T54" s="557"/>
      <c r="U54" s="557"/>
      <c r="V54" s="557"/>
      <c r="W54" s="557"/>
      <c r="X54" s="557"/>
      <c r="Y54" s="557"/>
      <c r="Z54" s="557"/>
      <c r="AA54" s="557"/>
      <c r="AB54" s="557"/>
      <c r="AC54" s="557"/>
      <c r="AD54" s="557"/>
      <c r="AE54" s="557"/>
      <c r="AF54" s="557"/>
      <c r="AG54" s="557"/>
      <c r="AH54" s="557"/>
      <c r="AI54" s="557"/>
      <c r="AJ54" s="557"/>
      <c r="AK54" s="557"/>
      <c r="AL54" s="557"/>
      <c r="AM54" s="557"/>
      <c r="AN54" s="557"/>
      <c r="AO54" s="557"/>
      <c r="AP54" s="557"/>
      <c r="AQ54" s="557"/>
      <c r="AR54" s="557"/>
      <c r="AS54" s="557"/>
      <c r="AT54" s="557"/>
      <c r="AU54" s="557"/>
      <c r="AV54" s="557"/>
      <c r="AW54" s="557"/>
      <c r="AX54" s="557"/>
      <c r="AY54" s="557"/>
      <c r="AZ54" s="557"/>
      <c r="BA54" s="557"/>
      <c r="BB54" s="557"/>
      <c r="BC54" s="557"/>
      <c r="BD54" s="557"/>
      <c r="BE54" s="557"/>
    </row>
    <row r="55" spans="1:57" hidden="1">
      <c r="A55" s="557"/>
      <c r="B55" s="557"/>
      <c r="C55" s="557"/>
      <c r="D55" s="557"/>
      <c r="E55" s="557"/>
      <c r="F55" s="557"/>
      <c r="G55" s="557"/>
      <c r="H55" s="557"/>
      <c r="I55" s="557"/>
      <c r="J55" s="557"/>
      <c r="K55" s="557"/>
      <c r="L55" s="557"/>
      <c r="M55" s="557"/>
      <c r="N55" s="557"/>
      <c r="O55" s="557"/>
      <c r="P55" s="557"/>
      <c r="Q55" s="557"/>
      <c r="R55" s="557"/>
      <c r="S55" s="557"/>
      <c r="T55" s="557"/>
      <c r="U55" s="557"/>
      <c r="V55" s="557"/>
      <c r="W55" s="557"/>
      <c r="X55" s="557"/>
      <c r="Y55" s="557"/>
      <c r="Z55" s="557"/>
      <c r="AA55" s="557"/>
      <c r="AB55" s="557"/>
      <c r="AC55" s="557"/>
      <c r="AD55" s="557"/>
      <c r="AE55" s="557"/>
      <c r="AF55" s="557"/>
      <c r="AG55" s="557"/>
      <c r="AH55" s="557"/>
      <c r="AI55" s="557"/>
      <c r="AJ55" s="557"/>
      <c r="AK55" s="557"/>
      <c r="AL55" s="557"/>
      <c r="AM55" s="557"/>
      <c r="AN55" s="557"/>
      <c r="AO55" s="557"/>
      <c r="AP55" s="557"/>
      <c r="AQ55" s="557"/>
      <c r="AR55" s="557"/>
      <c r="AS55" s="557"/>
      <c r="AT55" s="557"/>
      <c r="AU55" s="557"/>
      <c r="AV55" s="557"/>
      <c r="AW55" s="557"/>
      <c r="AX55" s="557"/>
      <c r="AY55" s="557"/>
      <c r="AZ55" s="557"/>
      <c r="BA55" s="557"/>
      <c r="BB55" s="557"/>
      <c r="BC55" s="557"/>
      <c r="BD55" s="557"/>
      <c r="BE55" s="557"/>
    </row>
    <row r="56" spans="1:57" hidden="1">
      <c r="A56" s="557"/>
      <c r="B56" s="557"/>
      <c r="C56" s="557"/>
      <c r="D56" s="557"/>
      <c r="E56" s="557"/>
      <c r="F56" s="557"/>
      <c r="G56" s="557"/>
      <c r="H56" s="557"/>
      <c r="I56" s="557"/>
      <c r="J56" s="557"/>
      <c r="K56" s="557"/>
      <c r="L56" s="557"/>
      <c r="M56" s="557"/>
      <c r="N56" s="557"/>
      <c r="O56" s="557"/>
      <c r="P56" s="557"/>
      <c r="Q56" s="557"/>
      <c r="R56" s="557"/>
      <c r="S56" s="557"/>
      <c r="T56" s="557"/>
      <c r="U56" s="557"/>
      <c r="V56" s="557"/>
      <c r="W56" s="557"/>
      <c r="X56" s="557"/>
      <c r="Y56" s="557"/>
      <c r="Z56" s="557"/>
      <c r="AA56" s="557"/>
      <c r="AB56" s="557"/>
      <c r="AC56" s="557"/>
      <c r="AD56" s="557"/>
      <c r="AE56" s="557"/>
      <c r="AF56" s="557"/>
      <c r="AG56" s="557"/>
      <c r="AH56" s="557"/>
      <c r="AI56" s="557"/>
      <c r="AJ56" s="557"/>
      <c r="AK56" s="557"/>
      <c r="AL56" s="557"/>
      <c r="AM56" s="557"/>
      <c r="AN56" s="557"/>
      <c r="AO56" s="557"/>
      <c r="AP56" s="557"/>
      <c r="AQ56" s="557"/>
      <c r="AR56" s="557"/>
      <c r="AS56" s="557"/>
      <c r="AT56" s="557"/>
      <c r="AU56" s="557"/>
      <c r="AV56" s="557"/>
      <c r="AW56" s="557"/>
      <c r="AX56" s="557"/>
      <c r="AY56" s="557"/>
      <c r="AZ56" s="557"/>
      <c r="BA56" s="557"/>
      <c r="BB56" s="557"/>
      <c r="BC56" s="557"/>
      <c r="BD56" s="557"/>
      <c r="BE56" s="557"/>
    </row>
    <row r="57" spans="1:57" hidden="1">
      <c r="A57" s="557"/>
      <c r="B57" s="557"/>
      <c r="C57" s="557"/>
      <c r="D57" s="557"/>
      <c r="E57" s="557"/>
      <c r="F57" s="557"/>
      <c r="G57" s="557"/>
      <c r="H57" s="557"/>
      <c r="I57" s="557"/>
      <c r="J57" s="557"/>
      <c r="K57" s="557"/>
      <c r="L57" s="557"/>
      <c r="M57" s="557"/>
      <c r="N57" s="557"/>
      <c r="O57" s="557"/>
      <c r="P57" s="557"/>
      <c r="Q57" s="557"/>
      <c r="R57" s="557"/>
      <c r="S57" s="557"/>
      <c r="T57" s="557"/>
      <c r="U57" s="557"/>
      <c r="V57" s="557"/>
      <c r="W57" s="557"/>
      <c r="X57" s="557"/>
      <c r="Y57" s="557"/>
      <c r="Z57" s="557"/>
      <c r="AA57" s="557"/>
      <c r="AB57" s="557"/>
      <c r="AC57" s="557"/>
      <c r="AD57" s="557"/>
      <c r="AE57" s="557"/>
      <c r="AF57" s="557"/>
      <c r="AG57" s="557"/>
      <c r="AH57" s="557"/>
      <c r="AI57" s="557"/>
      <c r="AJ57" s="557"/>
      <c r="AK57" s="557"/>
      <c r="AL57" s="557"/>
      <c r="AM57" s="557"/>
      <c r="AN57" s="557"/>
      <c r="AO57" s="557"/>
      <c r="AP57" s="557"/>
      <c r="AQ57" s="557"/>
      <c r="AR57" s="557"/>
      <c r="AS57" s="557"/>
      <c r="AT57" s="557"/>
      <c r="AU57" s="557"/>
      <c r="AV57" s="557"/>
      <c r="AW57" s="557"/>
      <c r="AX57" s="557"/>
      <c r="AY57" s="557"/>
      <c r="AZ57" s="557"/>
      <c r="BA57" s="557"/>
      <c r="BB57" s="557"/>
      <c r="BC57" s="557"/>
      <c r="BD57" s="557"/>
      <c r="BE57" s="557"/>
    </row>
    <row r="58" spans="1:57" hidden="1">
      <c r="A58" s="557"/>
      <c r="B58" s="557"/>
      <c r="C58" s="557"/>
      <c r="D58" s="557"/>
      <c r="E58" s="557"/>
      <c r="F58" s="557"/>
      <c r="G58" s="557"/>
      <c r="H58" s="557"/>
      <c r="I58" s="557"/>
      <c r="J58" s="557"/>
      <c r="K58" s="557"/>
      <c r="L58" s="557"/>
      <c r="M58" s="557"/>
      <c r="N58" s="557"/>
      <c r="O58" s="557"/>
      <c r="P58" s="557"/>
      <c r="Q58" s="557"/>
      <c r="R58" s="557"/>
      <c r="S58" s="557"/>
      <c r="T58" s="557"/>
      <c r="U58" s="557"/>
      <c r="V58" s="557"/>
      <c r="W58" s="557"/>
      <c r="X58" s="557"/>
      <c r="Y58" s="557"/>
      <c r="Z58" s="557"/>
      <c r="AA58" s="557"/>
      <c r="AB58" s="557"/>
      <c r="AC58" s="557"/>
      <c r="AD58" s="557"/>
      <c r="AE58" s="557"/>
      <c r="AF58" s="557"/>
      <c r="AG58" s="557"/>
      <c r="AH58" s="557"/>
      <c r="AI58" s="557"/>
      <c r="AJ58" s="557"/>
      <c r="AK58" s="557"/>
      <c r="AL58" s="557"/>
      <c r="AM58" s="557"/>
      <c r="AN58" s="557"/>
      <c r="AO58" s="557"/>
      <c r="AP58" s="557"/>
      <c r="AQ58" s="557"/>
      <c r="AR58" s="557"/>
      <c r="AS58" s="557"/>
      <c r="AT58" s="557"/>
      <c r="AU58" s="557"/>
      <c r="AV58" s="557"/>
      <c r="AW58" s="557"/>
      <c r="AX58" s="557"/>
      <c r="AY58" s="557"/>
      <c r="AZ58" s="557"/>
      <c r="BA58" s="557"/>
      <c r="BB58" s="557"/>
      <c r="BC58" s="557"/>
      <c r="BD58" s="557"/>
      <c r="BE58" s="557"/>
    </row>
    <row r="59" spans="1:57" hidden="1">
      <c r="A59" s="557"/>
      <c r="B59" s="557"/>
      <c r="C59" s="557"/>
      <c r="D59" s="557"/>
      <c r="E59" s="557"/>
      <c r="F59" s="557"/>
      <c r="G59" s="557"/>
      <c r="H59" s="557"/>
      <c r="I59" s="557"/>
      <c r="J59" s="557"/>
      <c r="K59" s="557"/>
      <c r="L59" s="557"/>
      <c r="M59" s="557"/>
      <c r="N59" s="557"/>
      <c r="O59" s="557"/>
      <c r="P59" s="557"/>
      <c r="Q59" s="557"/>
      <c r="R59" s="557"/>
      <c r="S59" s="557"/>
      <c r="T59" s="557"/>
      <c r="U59" s="557"/>
      <c r="V59" s="557"/>
      <c r="W59" s="557"/>
      <c r="X59" s="557"/>
      <c r="Y59" s="557"/>
      <c r="Z59" s="557"/>
      <c r="AA59" s="557"/>
      <c r="AB59" s="557"/>
      <c r="AC59" s="557"/>
      <c r="AD59" s="557"/>
      <c r="AE59" s="557"/>
      <c r="AF59" s="557"/>
      <c r="AG59" s="557"/>
      <c r="AH59" s="557"/>
      <c r="AI59" s="557"/>
      <c r="AJ59" s="557"/>
      <c r="AK59" s="557"/>
      <c r="AL59" s="557"/>
      <c r="AM59" s="557"/>
      <c r="AN59" s="557"/>
      <c r="AO59" s="557"/>
      <c r="AP59" s="557"/>
      <c r="AQ59" s="557"/>
      <c r="AR59" s="557"/>
      <c r="AS59" s="557"/>
      <c r="AT59" s="557"/>
      <c r="AU59" s="557"/>
      <c r="AV59" s="557"/>
      <c r="AW59" s="557"/>
      <c r="AX59" s="557"/>
      <c r="AY59" s="557"/>
      <c r="AZ59" s="557"/>
      <c r="BA59" s="557"/>
      <c r="BB59" s="557"/>
      <c r="BC59" s="557"/>
      <c r="BD59" s="557"/>
      <c r="BE59" s="557"/>
    </row>
    <row r="60" spans="1:57" hidden="1">
      <c r="A60" s="557"/>
      <c r="B60" s="557"/>
      <c r="C60" s="557"/>
      <c r="D60" s="557"/>
      <c r="E60" s="557"/>
      <c r="F60" s="557"/>
      <c r="G60" s="557"/>
      <c r="H60" s="557"/>
      <c r="I60" s="557"/>
      <c r="J60" s="557"/>
      <c r="K60" s="557"/>
      <c r="L60" s="557"/>
      <c r="M60" s="557"/>
      <c r="N60" s="557"/>
      <c r="O60" s="557"/>
      <c r="P60" s="557"/>
      <c r="Q60" s="557"/>
      <c r="R60" s="557"/>
      <c r="S60" s="557"/>
      <c r="T60" s="557"/>
      <c r="U60" s="557"/>
      <c r="V60" s="557"/>
      <c r="W60" s="557"/>
      <c r="X60" s="557"/>
      <c r="Y60" s="557"/>
      <c r="Z60" s="557"/>
      <c r="AA60" s="557"/>
      <c r="AB60" s="557"/>
      <c r="AC60" s="557"/>
      <c r="AD60" s="557"/>
      <c r="AE60" s="557"/>
      <c r="AF60" s="557"/>
      <c r="AG60" s="557"/>
      <c r="AH60" s="557"/>
      <c r="AI60" s="557"/>
      <c r="AJ60" s="557"/>
      <c r="AK60" s="557"/>
      <c r="AL60" s="557"/>
      <c r="AM60" s="557"/>
      <c r="AN60" s="557"/>
      <c r="AO60" s="557"/>
      <c r="AP60" s="557"/>
      <c r="AQ60" s="557"/>
      <c r="AR60" s="557"/>
      <c r="AS60" s="557"/>
      <c r="AT60" s="557"/>
      <c r="AU60" s="557"/>
      <c r="AV60" s="557"/>
      <c r="AW60" s="557"/>
      <c r="AX60" s="557"/>
      <c r="AY60" s="557"/>
      <c r="AZ60" s="557"/>
      <c r="BA60" s="557"/>
      <c r="BB60" s="557"/>
      <c r="BC60" s="557"/>
      <c r="BD60" s="557"/>
      <c r="BE60" s="557"/>
    </row>
    <row r="61" spans="1:57" hidden="1">
      <c r="A61" s="557"/>
      <c r="B61" s="557"/>
      <c r="C61" s="557"/>
      <c r="D61" s="557"/>
      <c r="E61" s="557"/>
      <c r="F61" s="557"/>
      <c r="G61" s="557"/>
      <c r="H61" s="557"/>
      <c r="I61" s="557"/>
      <c r="J61" s="557"/>
      <c r="K61" s="557"/>
      <c r="L61" s="557"/>
      <c r="M61" s="557"/>
      <c r="N61" s="557"/>
      <c r="O61" s="557"/>
      <c r="P61" s="557"/>
      <c r="Q61" s="557"/>
      <c r="R61" s="557"/>
      <c r="S61" s="557"/>
      <c r="T61" s="557"/>
      <c r="U61" s="557"/>
      <c r="V61" s="557"/>
      <c r="W61" s="557"/>
      <c r="X61" s="557"/>
      <c r="Y61" s="557"/>
      <c r="Z61" s="557"/>
      <c r="AA61" s="557"/>
      <c r="AB61" s="557"/>
      <c r="AC61" s="557"/>
      <c r="AD61" s="557"/>
      <c r="AE61" s="557"/>
      <c r="AF61" s="557"/>
      <c r="AG61" s="557"/>
      <c r="AH61" s="557"/>
      <c r="AI61" s="557"/>
      <c r="AJ61" s="557"/>
      <c r="AK61" s="557"/>
      <c r="AL61" s="557"/>
      <c r="AM61" s="557"/>
      <c r="AN61" s="557"/>
      <c r="AO61" s="557"/>
      <c r="AP61" s="557"/>
      <c r="AQ61" s="557"/>
      <c r="AR61" s="557"/>
      <c r="AS61" s="557"/>
      <c r="AT61" s="557"/>
      <c r="AU61" s="557"/>
      <c r="AV61" s="557"/>
      <c r="AW61" s="557"/>
      <c r="AX61" s="557"/>
      <c r="AY61" s="557"/>
      <c r="AZ61" s="557"/>
      <c r="BA61" s="557"/>
      <c r="BB61" s="557"/>
      <c r="BC61" s="557"/>
      <c r="BD61" s="557"/>
      <c r="BE61" s="557"/>
    </row>
    <row r="62" spans="1:57" hidden="1">
      <c r="A62" s="557"/>
      <c r="B62" s="557"/>
      <c r="C62" s="557"/>
      <c r="D62" s="557"/>
      <c r="E62" s="557"/>
      <c r="F62" s="557"/>
      <c r="G62" s="557"/>
      <c r="H62" s="557"/>
      <c r="I62" s="557"/>
      <c r="J62" s="557"/>
      <c r="K62" s="557"/>
      <c r="L62" s="557"/>
      <c r="M62" s="557"/>
      <c r="N62" s="557"/>
      <c r="O62" s="557"/>
      <c r="P62" s="557"/>
      <c r="Q62" s="557"/>
      <c r="R62" s="557"/>
      <c r="S62" s="557"/>
      <c r="T62" s="557"/>
      <c r="U62" s="557"/>
      <c r="V62" s="557"/>
      <c r="W62" s="557"/>
      <c r="X62" s="557"/>
      <c r="Y62" s="557"/>
      <c r="Z62" s="557"/>
      <c r="AA62" s="557"/>
      <c r="AB62" s="557"/>
      <c r="AC62" s="557"/>
      <c r="AD62" s="557"/>
      <c r="AE62" s="557"/>
      <c r="AF62" s="557"/>
      <c r="AG62" s="557"/>
      <c r="AH62" s="557"/>
      <c r="AI62" s="557"/>
      <c r="AJ62" s="557"/>
      <c r="AK62" s="557"/>
      <c r="AL62" s="557"/>
      <c r="AM62" s="557"/>
      <c r="AN62" s="557"/>
      <c r="AO62" s="557"/>
      <c r="AP62" s="557"/>
      <c r="AQ62" s="557"/>
      <c r="AR62" s="557"/>
      <c r="AS62" s="557"/>
      <c r="AT62" s="557"/>
      <c r="AU62" s="557"/>
      <c r="AV62" s="557"/>
      <c r="AW62" s="557"/>
      <c r="AX62" s="557"/>
      <c r="AY62" s="557"/>
      <c r="AZ62" s="557"/>
      <c r="BA62" s="557"/>
      <c r="BB62" s="557"/>
      <c r="BC62" s="557"/>
      <c r="BD62" s="557"/>
      <c r="BE62" s="557"/>
    </row>
    <row r="63" spans="1:57" hidden="1">
      <c r="A63" s="557"/>
      <c r="B63" s="557"/>
      <c r="C63" s="557"/>
      <c r="D63" s="557"/>
      <c r="E63" s="557"/>
      <c r="F63" s="557"/>
      <c r="G63" s="557"/>
      <c r="H63" s="557"/>
      <c r="I63" s="557"/>
      <c r="J63" s="557"/>
      <c r="K63" s="557"/>
      <c r="L63" s="557"/>
      <c r="M63" s="557"/>
      <c r="N63" s="557"/>
      <c r="O63" s="557"/>
      <c r="P63" s="557"/>
      <c r="Q63" s="557"/>
      <c r="R63" s="557"/>
      <c r="S63" s="557"/>
      <c r="T63" s="557"/>
      <c r="U63" s="557"/>
      <c r="V63" s="557"/>
      <c r="W63" s="557"/>
      <c r="X63" s="557"/>
      <c r="Y63" s="557"/>
      <c r="Z63" s="557"/>
      <c r="AA63" s="557"/>
      <c r="AB63" s="557"/>
      <c r="AC63" s="557"/>
      <c r="AD63" s="557"/>
      <c r="AE63" s="557"/>
      <c r="AF63" s="557"/>
      <c r="AG63" s="557"/>
      <c r="AH63" s="557"/>
      <c r="AI63" s="557"/>
      <c r="AJ63" s="557"/>
      <c r="AK63" s="557"/>
      <c r="AL63" s="557"/>
      <c r="AM63" s="557"/>
      <c r="AN63" s="557"/>
      <c r="AO63" s="557"/>
      <c r="AP63" s="557"/>
      <c r="AQ63" s="557"/>
      <c r="AR63" s="557"/>
      <c r="AS63" s="557"/>
      <c r="AT63" s="557"/>
      <c r="AU63" s="557"/>
      <c r="AV63" s="557"/>
      <c r="AW63" s="557"/>
      <c r="AX63" s="557"/>
      <c r="AY63" s="557"/>
      <c r="AZ63" s="557"/>
      <c r="BA63" s="557"/>
      <c r="BB63" s="557"/>
      <c r="BC63" s="557"/>
      <c r="BD63" s="557"/>
      <c r="BE63" s="557"/>
    </row>
    <row r="64" spans="1:57" hidden="1">
      <c r="A64" s="557"/>
      <c r="B64" s="557"/>
      <c r="C64" s="557"/>
      <c r="D64" s="557"/>
      <c r="E64" s="557"/>
      <c r="F64" s="557"/>
      <c r="G64" s="557"/>
      <c r="H64" s="557"/>
      <c r="I64" s="557"/>
      <c r="J64" s="557"/>
      <c r="K64" s="557"/>
      <c r="L64" s="557"/>
      <c r="M64" s="557"/>
      <c r="N64" s="557"/>
      <c r="O64" s="557"/>
      <c r="P64" s="557"/>
      <c r="Q64" s="557"/>
      <c r="R64" s="557"/>
      <c r="S64" s="557"/>
      <c r="T64" s="557"/>
      <c r="U64" s="557"/>
      <c r="V64" s="557"/>
      <c r="W64" s="557"/>
      <c r="X64" s="557"/>
      <c r="Y64" s="557"/>
      <c r="Z64" s="557"/>
      <c r="AA64" s="557"/>
      <c r="AB64" s="557"/>
      <c r="AC64" s="557"/>
      <c r="AD64" s="557"/>
      <c r="AE64" s="557"/>
      <c r="AF64" s="557"/>
      <c r="AG64" s="557"/>
      <c r="AH64" s="557"/>
      <c r="AI64" s="557"/>
      <c r="AJ64" s="557"/>
      <c r="AK64" s="557"/>
      <c r="AL64" s="557"/>
      <c r="AM64" s="557"/>
      <c r="AN64" s="557"/>
      <c r="AO64" s="557"/>
      <c r="AP64" s="557"/>
      <c r="AQ64" s="557"/>
      <c r="AR64" s="557"/>
      <c r="AS64" s="557"/>
      <c r="AT64" s="557"/>
      <c r="AU64" s="557"/>
      <c r="AV64" s="557"/>
      <c r="AW64" s="557"/>
      <c r="AX64" s="557"/>
      <c r="AY64" s="557"/>
      <c r="AZ64" s="557"/>
      <c r="BA64" s="557"/>
      <c r="BB64" s="557"/>
      <c r="BC64" s="557"/>
      <c r="BD64" s="557"/>
      <c r="BE64" s="557"/>
    </row>
    <row r="65" spans="1:57" hidden="1">
      <c r="A65" s="557"/>
      <c r="B65" s="557"/>
      <c r="C65" s="557"/>
      <c r="D65" s="557"/>
      <c r="E65" s="557"/>
      <c r="F65" s="557"/>
      <c r="G65" s="557"/>
      <c r="H65" s="557"/>
      <c r="I65" s="557"/>
      <c r="J65" s="557"/>
      <c r="K65" s="557"/>
      <c r="L65" s="557"/>
      <c r="M65" s="557"/>
      <c r="N65" s="557"/>
      <c r="O65" s="557"/>
      <c r="P65" s="557"/>
      <c r="Q65" s="557"/>
      <c r="R65" s="557"/>
      <c r="S65" s="557"/>
      <c r="T65" s="557"/>
      <c r="U65" s="557"/>
      <c r="V65" s="557"/>
      <c r="W65" s="557"/>
      <c r="X65" s="557"/>
      <c r="Y65" s="557"/>
      <c r="Z65" s="557"/>
      <c r="AA65" s="557"/>
      <c r="AB65" s="557"/>
      <c r="AC65" s="557"/>
      <c r="AD65" s="557"/>
      <c r="AE65" s="557"/>
      <c r="AF65" s="557"/>
      <c r="AG65" s="557"/>
      <c r="AH65" s="557"/>
      <c r="AI65" s="557"/>
      <c r="AJ65" s="557"/>
      <c r="AK65" s="557"/>
      <c r="AL65" s="557"/>
      <c r="AM65" s="557"/>
      <c r="AN65" s="557"/>
      <c r="AO65" s="557"/>
      <c r="AP65" s="557"/>
      <c r="AQ65" s="557"/>
      <c r="AR65" s="557"/>
      <c r="AS65" s="557"/>
      <c r="AT65" s="557"/>
      <c r="AU65" s="557"/>
      <c r="AV65" s="557"/>
      <c r="AW65" s="557"/>
      <c r="AX65" s="557"/>
      <c r="AY65" s="557"/>
      <c r="AZ65" s="557"/>
      <c r="BA65" s="557"/>
      <c r="BB65" s="557"/>
      <c r="BC65" s="557"/>
      <c r="BD65" s="557"/>
      <c r="BE65" s="557"/>
    </row>
    <row r="66" spans="1:57" hidden="1">
      <c r="A66" s="557"/>
      <c r="B66" s="557"/>
      <c r="C66" s="557"/>
      <c r="D66" s="557"/>
      <c r="E66" s="557"/>
      <c r="F66" s="557"/>
      <c r="G66" s="557"/>
      <c r="H66" s="557"/>
      <c r="I66" s="557"/>
      <c r="J66" s="557"/>
      <c r="K66" s="557"/>
      <c r="L66" s="557"/>
      <c r="M66" s="557"/>
      <c r="N66" s="557"/>
      <c r="O66" s="557"/>
      <c r="P66" s="557"/>
      <c r="Q66" s="557"/>
      <c r="R66" s="557"/>
      <c r="S66" s="557"/>
      <c r="T66" s="557"/>
      <c r="U66" s="557"/>
      <c r="V66" s="557"/>
      <c r="W66" s="557"/>
      <c r="X66" s="557"/>
      <c r="Y66" s="557"/>
      <c r="Z66" s="557"/>
      <c r="AA66" s="557"/>
      <c r="AB66" s="557"/>
      <c r="AC66" s="557"/>
      <c r="AD66" s="557"/>
      <c r="AE66" s="557"/>
      <c r="AF66" s="557"/>
      <c r="AG66" s="557"/>
      <c r="AH66" s="557"/>
      <c r="AI66" s="557"/>
      <c r="AJ66" s="557"/>
      <c r="AK66" s="557"/>
      <c r="AL66" s="557"/>
      <c r="AM66" s="557"/>
      <c r="AN66" s="557"/>
      <c r="AO66" s="557"/>
      <c r="AP66" s="557"/>
      <c r="AQ66" s="557"/>
      <c r="AR66" s="557"/>
      <c r="AS66" s="557"/>
      <c r="AT66" s="557"/>
      <c r="AU66" s="557"/>
      <c r="AV66" s="557"/>
      <c r="AW66" s="557"/>
      <c r="AX66" s="557"/>
      <c r="AY66" s="557"/>
      <c r="AZ66" s="557"/>
      <c r="BA66" s="557"/>
      <c r="BB66" s="557"/>
      <c r="BC66" s="557"/>
      <c r="BD66" s="557"/>
      <c r="BE66" s="557"/>
    </row>
    <row r="67" spans="1:57" hidden="1">
      <c r="A67" s="557"/>
      <c r="B67" s="557"/>
      <c r="C67" s="557"/>
      <c r="D67" s="557"/>
      <c r="E67" s="557"/>
      <c r="F67" s="557"/>
      <c r="G67" s="557"/>
      <c r="H67" s="557"/>
      <c r="I67" s="557"/>
      <c r="J67" s="557"/>
      <c r="K67" s="557"/>
      <c r="L67" s="557"/>
      <c r="M67" s="557"/>
      <c r="N67" s="557"/>
      <c r="O67" s="557"/>
      <c r="P67" s="557"/>
      <c r="Q67" s="557"/>
      <c r="R67" s="557"/>
      <c r="S67" s="557"/>
      <c r="T67" s="557"/>
      <c r="U67" s="557"/>
      <c r="V67" s="557"/>
      <c r="W67" s="557"/>
      <c r="X67" s="557"/>
      <c r="Y67" s="557"/>
      <c r="Z67" s="557"/>
      <c r="AA67" s="557"/>
      <c r="AB67" s="557"/>
      <c r="AC67" s="557"/>
      <c r="AD67" s="557"/>
      <c r="AE67" s="557"/>
      <c r="AF67" s="557"/>
      <c r="AG67" s="557"/>
      <c r="AH67" s="557"/>
      <c r="AI67" s="557"/>
      <c r="AJ67" s="557"/>
      <c r="AK67" s="557"/>
      <c r="AL67" s="557"/>
      <c r="AM67" s="557"/>
      <c r="AN67" s="557"/>
      <c r="AO67" s="557"/>
      <c r="AP67" s="557"/>
      <c r="AQ67" s="557"/>
      <c r="AR67" s="557"/>
      <c r="AS67" s="557"/>
      <c r="AT67" s="557"/>
      <c r="AU67" s="557"/>
      <c r="AV67" s="557"/>
      <c r="AW67" s="557"/>
      <c r="AX67" s="557"/>
      <c r="AY67" s="557"/>
      <c r="AZ67" s="557"/>
      <c r="BA67" s="557"/>
      <c r="BB67" s="557"/>
      <c r="BC67" s="557"/>
      <c r="BD67" s="557"/>
      <c r="BE67" s="557"/>
    </row>
    <row r="68" spans="1:57" hidden="1">
      <c r="A68" s="557"/>
      <c r="B68" s="557"/>
      <c r="C68" s="557"/>
      <c r="D68" s="557"/>
      <c r="E68" s="557"/>
      <c r="F68" s="557"/>
      <c r="G68" s="557"/>
      <c r="H68" s="557"/>
      <c r="I68" s="557"/>
      <c r="J68" s="557"/>
      <c r="K68" s="557"/>
      <c r="L68" s="557"/>
      <c r="M68" s="557"/>
      <c r="N68" s="557"/>
      <c r="O68" s="557"/>
      <c r="P68" s="557"/>
      <c r="Q68" s="557"/>
      <c r="R68" s="557"/>
      <c r="S68" s="557"/>
      <c r="T68" s="557"/>
      <c r="U68" s="557"/>
      <c r="V68" s="557"/>
      <c r="W68" s="557"/>
      <c r="X68" s="557"/>
      <c r="Y68" s="557"/>
      <c r="Z68" s="557"/>
      <c r="AA68" s="557"/>
      <c r="AB68" s="557"/>
      <c r="AC68" s="557"/>
      <c r="AD68" s="557"/>
      <c r="AE68" s="557"/>
      <c r="AF68" s="557"/>
      <c r="AG68" s="557"/>
      <c r="AH68" s="557"/>
      <c r="AI68" s="557"/>
      <c r="AJ68" s="557"/>
      <c r="AK68" s="557"/>
      <c r="AL68" s="557"/>
      <c r="AM68" s="557"/>
      <c r="AN68" s="557"/>
      <c r="AO68" s="557"/>
      <c r="AP68" s="557"/>
      <c r="AQ68" s="557"/>
      <c r="AR68" s="557"/>
      <c r="AS68" s="557"/>
      <c r="AT68" s="557"/>
      <c r="AU68" s="557"/>
      <c r="AV68" s="557"/>
      <c r="AW68" s="557"/>
      <c r="AX68" s="557"/>
      <c r="AY68" s="557"/>
      <c r="AZ68" s="557"/>
      <c r="BA68" s="557"/>
      <c r="BB68" s="557"/>
      <c r="BC68" s="557"/>
      <c r="BD68" s="557"/>
      <c r="BE68" s="557"/>
    </row>
    <row r="69" spans="1:57" hidden="1">
      <c r="A69" s="557"/>
      <c r="B69" s="557"/>
      <c r="C69" s="557"/>
      <c r="D69" s="557"/>
      <c r="E69" s="557"/>
      <c r="F69" s="557"/>
      <c r="G69" s="557"/>
      <c r="H69" s="557"/>
      <c r="I69" s="557"/>
      <c r="J69" s="557"/>
      <c r="K69" s="557"/>
      <c r="L69" s="557"/>
      <c r="M69" s="557"/>
      <c r="N69" s="557"/>
      <c r="O69" s="557"/>
      <c r="P69" s="557"/>
      <c r="Q69" s="557"/>
      <c r="R69" s="557"/>
      <c r="S69" s="557"/>
      <c r="T69" s="557"/>
      <c r="U69" s="557"/>
      <c r="V69" s="557"/>
      <c r="W69" s="557"/>
      <c r="X69" s="557"/>
      <c r="Y69" s="557"/>
      <c r="Z69" s="557"/>
      <c r="AA69" s="557"/>
      <c r="AB69" s="557"/>
      <c r="AC69" s="557"/>
      <c r="AD69" s="557"/>
      <c r="AE69" s="557"/>
      <c r="AF69" s="557"/>
      <c r="AG69" s="557"/>
      <c r="AH69" s="557"/>
      <c r="AI69" s="557"/>
      <c r="AJ69" s="557"/>
      <c r="AK69" s="557"/>
      <c r="AL69" s="557"/>
      <c r="AM69" s="557"/>
      <c r="AN69" s="557"/>
      <c r="AO69" s="557"/>
      <c r="AP69" s="557"/>
      <c r="AQ69" s="557"/>
      <c r="AR69" s="557"/>
      <c r="AS69" s="557"/>
      <c r="AT69" s="557"/>
      <c r="AU69" s="557"/>
      <c r="AV69" s="557"/>
      <c r="AW69" s="557"/>
      <c r="AX69" s="557"/>
      <c r="AY69" s="557"/>
      <c r="AZ69" s="557"/>
      <c r="BA69" s="557"/>
      <c r="BB69" s="557"/>
      <c r="BC69" s="557"/>
      <c r="BD69" s="557"/>
      <c r="BE69" s="557"/>
    </row>
    <row r="70" spans="1:57" hidden="1">
      <c r="A70" s="557"/>
      <c r="B70" s="557"/>
      <c r="C70" s="557"/>
      <c r="D70" s="557"/>
      <c r="E70" s="557"/>
      <c r="F70" s="557"/>
      <c r="G70" s="557"/>
      <c r="H70" s="557"/>
      <c r="I70" s="557"/>
      <c r="J70" s="557"/>
      <c r="K70" s="557"/>
      <c r="L70" s="557"/>
      <c r="M70" s="557"/>
      <c r="N70" s="557"/>
      <c r="O70" s="557"/>
      <c r="P70" s="557"/>
      <c r="Q70" s="557"/>
      <c r="R70" s="557"/>
      <c r="S70" s="557"/>
      <c r="T70" s="557"/>
      <c r="U70" s="557"/>
      <c r="V70" s="557"/>
      <c r="W70" s="557"/>
      <c r="X70" s="557"/>
      <c r="Y70" s="557"/>
      <c r="Z70" s="557"/>
      <c r="AA70" s="557"/>
      <c r="AB70" s="557"/>
      <c r="AC70" s="557"/>
      <c r="AD70" s="557"/>
      <c r="AE70" s="557"/>
      <c r="AF70" s="557"/>
      <c r="AG70" s="557"/>
      <c r="AH70" s="557"/>
      <c r="AI70" s="557"/>
      <c r="AJ70" s="557"/>
      <c r="AK70" s="557"/>
      <c r="AL70" s="557"/>
      <c r="AM70" s="557"/>
      <c r="AN70" s="557"/>
      <c r="AO70" s="557"/>
      <c r="AP70" s="557"/>
      <c r="AQ70" s="557"/>
      <c r="AR70" s="557"/>
      <c r="AS70" s="557"/>
      <c r="AT70" s="557"/>
      <c r="AU70" s="557"/>
      <c r="AV70" s="557"/>
      <c r="AW70" s="557"/>
      <c r="AX70" s="557"/>
      <c r="AY70" s="557"/>
      <c r="AZ70" s="557"/>
      <c r="BA70" s="557"/>
      <c r="BB70" s="557"/>
      <c r="BC70" s="557"/>
      <c r="BD70" s="557"/>
      <c r="BE70" s="557"/>
    </row>
    <row r="71" spans="1:57" hidden="1">
      <c r="A71" s="557"/>
      <c r="B71" s="557"/>
      <c r="C71" s="557"/>
      <c r="D71" s="557"/>
      <c r="E71" s="557"/>
      <c r="F71" s="557"/>
      <c r="G71" s="557"/>
      <c r="H71" s="557"/>
      <c r="I71" s="557"/>
      <c r="J71" s="557"/>
      <c r="K71" s="557"/>
      <c r="L71" s="557"/>
      <c r="M71" s="557"/>
      <c r="N71" s="557"/>
      <c r="O71" s="557"/>
      <c r="P71" s="557"/>
      <c r="Q71" s="557"/>
      <c r="R71" s="557"/>
      <c r="S71" s="557"/>
      <c r="T71" s="557"/>
      <c r="U71" s="557"/>
      <c r="V71" s="557"/>
      <c r="W71" s="557"/>
      <c r="X71" s="557"/>
      <c r="Y71" s="557"/>
      <c r="Z71" s="557"/>
      <c r="AA71" s="557"/>
      <c r="AB71" s="557"/>
      <c r="AC71" s="557"/>
      <c r="AD71" s="557"/>
      <c r="AE71" s="557"/>
      <c r="AF71" s="557"/>
      <c r="AG71" s="557"/>
      <c r="AH71" s="557"/>
      <c r="AI71" s="557"/>
      <c r="AJ71" s="557"/>
      <c r="AK71" s="557"/>
      <c r="AL71" s="557"/>
      <c r="AM71" s="557"/>
      <c r="AN71" s="557"/>
      <c r="AO71" s="557"/>
      <c r="AP71" s="557"/>
      <c r="AQ71" s="557"/>
      <c r="AR71" s="557"/>
      <c r="AS71" s="557"/>
      <c r="AT71" s="557"/>
      <c r="AU71" s="557"/>
      <c r="AV71" s="557"/>
      <c r="AW71" s="557"/>
      <c r="AX71" s="557"/>
      <c r="AY71" s="557"/>
      <c r="AZ71" s="557"/>
      <c r="BA71" s="557"/>
      <c r="BB71" s="557"/>
      <c r="BC71" s="557"/>
      <c r="BD71" s="557"/>
      <c r="BE71" s="557"/>
    </row>
    <row r="72" spans="1:57" hidden="1">
      <c r="A72" s="557"/>
      <c r="B72" s="557"/>
      <c r="C72" s="557"/>
      <c r="D72" s="557"/>
      <c r="E72" s="557"/>
      <c r="F72" s="557"/>
      <c r="G72" s="557"/>
      <c r="H72" s="557"/>
      <c r="I72" s="557"/>
      <c r="J72" s="557"/>
      <c r="K72" s="557"/>
      <c r="L72" s="557"/>
      <c r="M72" s="557"/>
      <c r="N72" s="557"/>
      <c r="O72" s="557"/>
      <c r="P72" s="557"/>
      <c r="Q72" s="557"/>
      <c r="R72" s="557"/>
      <c r="S72" s="557"/>
      <c r="T72" s="557"/>
      <c r="U72" s="557"/>
      <c r="V72" s="557"/>
      <c r="W72" s="557"/>
      <c r="X72" s="557"/>
      <c r="Y72" s="557"/>
      <c r="Z72" s="557"/>
      <c r="AA72" s="557"/>
      <c r="AB72" s="557"/>
      <c r="AC72" s="557"/>
      <c r="AD72" s="557"/>
      <c r="AE72" s="557"/>
      <c r="AF72" s="557"/>
      <c r="AG72" s="557"/>
      <c r="AH72" s="557"/>
      <c r="AI72" s="557"/>
      <c r="AJ72" s="557"/>
      <c r="AK72" s="557"/>
      <c r="AL72" s="557"/>
      <c r="AM72" s="557"/>
      <c r="AN72" s="557"/>
      <c r="AO72" s="557"/>
      <c r="AP72" s="557"/>
      <c r="AQ72" s="557"/>
      <c r="AR72" s="557"/>
      <c r="AS72" s="557"/>
      <c r="AT72" s="557"/>
      <c r="AU72" s="557"/>
      <c r="AV72" s="557"/>
      <c r="AW72" s="557"/>
      <c r="AX72" s="557"/>
      <c r="AY72" s="557"/>
      <c r="AZ72" s="557"/>
      <c r="BA72" s="557"/>
      <c r="BB72" s="557"/>
      <c r="BC72" s="557"/>
      <c r="BD72" s="557"/>
      <c r="BE72" s="557"/>
    </row>
    <row r="73" spans="1:57" hidden="1">
      <c r="A73" s="557"/>
      <c r="B73" s="557"/>
      <c r="C73" s="557"/>
      <c r="D73" s="557"/>
      <c r="E73" s="557"/>
      <c r="F73" s="557"/>
      <c r="G73" s="557"/>
      <c r="H73" s="557"/>
      <c r="I73" s="557"/>
      <c r="J73" s="557"/>
      <c r="K73" s="557"/>
      <c r="L73" s="557"/>
      <c r="M73" s="557"/>
      <c r="N73" s="557"/>
      <c r="O73" s="557"/>
      <c r="P73" s="557"/>
      <c r="Q73" s="557"/>
      <c r="R73" s="557"/>
      <c r="S73" s="557"/>
      <c r="T73" s="557"/>
      <c r="U73" s="557"/>
      <c r="V73" s="557"/>
      <c r="W73" s="557"/>
      <c r="X73" s="557"/>
      <c r="Y73" s="557"/>
      <c r="Z73" s="557"/>
      <c r="AA73" s="557"/>
      <c r="AB73" s="557"/>
      <c r="AC73" s="557"/>
      <c r="AD73" s="557"/>
      <c r="AE73" s="557"/>
      <c r="AF73" s="557"/>
      <c r="AG73" s="557"/>
      <c r="AH73" s="557"/>
      <c r="AI73" s="557"/>
      <c r="AJ73" s="557"/>
      <c r="AK73" s="557"/>
      <c r="AL73" s="557"/>
      <c r="AM73" s="557"/>
      <c r="AN73" s="557"/>
      <c r="AO73" s="557"/>
      <c r="AP73" s="557"/>
      <c r="AQ73" s="557"/>
      <c r="AR73" s="557"/>
      <c r="AS73" s="557"/>
      <c r="AT73" s="557"/>
      <c r="AU73" s="557"/>
      <c r="AV73" s="557"/>
      <c r="AW73" s="557"/>
      <c r="AX73" s="557"/>
      <c r="AY73" s="557"/>
      <c r="AZ73" s="557"/>
      <c r="BA73" s="557"/>
      <c r="BB73" s="557"/>
      <c r="BC73" s="557"/>
      <c r="BD73" s="557"/>
      <c r="BE73" s="557"/>
    </row>
    <row r="74" spans="1:57" hidden="1">
      <c r="A74" s="557"/>
      <c r="B74" s="557"/>
      <c r="C74" s="557"/>
      <c r="D74" s="557"/>
      <c r="E74" s="557"/>
      <c r="F74" s="557"/>
      <c r="G74" s="557"/>
      <c r="H74" s="557"/>
      <c r="I74" s="557"/>
      <c r="J74" s="557"/>
      <c r="K74" s="557"/>
      <c r="L74" s="557"/>
      <c r="M74" s="557"/>
      <c r="N74" s="557"/>
      <c r="O74" s="557"/>
      <c r="P74" s="557"/>
      <c r="Q74" s="557"/>
      <c r="R74" s="557"/>
      <c r="S74" s="557"/>
      <c r="T74" s="557"/>
      <c r="U74" s="557"/>
      <c r="V74" s="557"/>
      <c r="W74" s="557"/>
      <c r="X74" s="557"/>
      <c r="Y74" s="557"/>
      <c r="Z74" s="557"/>
      <c r="AA74" s="557"/>
      <c r="AB74" s="557"/>
      <c r="AC74" s="557"/>
      <c r="AD74" s="557"/>
      <c r="AE74" s="557"/>
      <c r="AF74" s="557"/>
      <c r="AG74" s="557"/>
      <c r="AH74" s="557"/>
      <c r="AI74" s="557"/>
      <c r="AJ74" s="557"/>
      <c r="AK74" s="557"/>
      <c r="AL74" s="557"/>
      <c r="AM74" s="557"/>
      <c r="AN74" s="557"/>
      <c r="AO74" s="557"/>
      <c r="AP74" s="557"/>
      <c r="AQ74" s="557"/>
      <c r="AR74" s="557"/>
      <c r="AS74" s="557"/>
      <c r="AT74" s="557"/>
      <c r="AU74" s="557"/>
      <c r="AV74" s="557"/>
      <c r="AW74" s="557"/>
      <c r="AX74" s="557"/>
      <c r="AY74" s="557"/>
      <c r="AZ74" s="557"/>
      <c r="BA74" s="557"/>
      <c r="BB74" s="557"/>
      <c r="BC74" s="557"/>
      <c r="BD74" s="557"/>
      <c r="BE74" s="557"/>
    </row>
    <row r="75" spans="1:57" hidden="1">
      <c r="A75" s="557"/>
      <c r="B75" s="557"/>
      <c r="C75" s="557"/>
      <c r="D75" s="557"/>
      <c r="E75" s="557"/>
      <c r="F75" s="557"/>
      <c r="G75" s="557"/>
      <c r="H75" s="557"/>
      <c r="I75" s="557"/>
      <c r="J75" s="557"/>
      <c r="K75" s="557"/>
      <c r="L75" s="557"/>
      <c r="M75" s="557"/>
      <c r="N75" s="557"/>
      <c r="O75" s="557"/>
      <c r="P75" s="557"/>
      <c r="Q75" s="557"/>
      <c r="R75" s="557"/>
      <c r="S75" s="557"/>
      <c r="T75" s="557"/>
      <c r="U75" s="557"/>
      <c r="V75" s="557"/>
      <c r="W75" s="557"/>
      <c r="X75" s="557"/>
      <c r="Y75" s="557"/>
      <c r="Z75" s="557"/>
      <c r="AA75" s="557"/>
      <c r="AB75" s="557"/>
      <c r="AC75" s="557"/>
      <c r="AD75" s="557"/>
      <c r="AE75" s="557"/>
      <c r="AF75" s="557"/>
      <c r="AG75" s="557"/>
      <c r="AH75" s="557"/>
      <c r="AI75" s="557"/>
      <c r="AJ75" s="557"/>
      <c r="AK75" s="557"/>
      <c r="AL75" s="557"/>
      <c r="AM75" s="557"/>
      <c r="AN75" s="557"/>
      <c r="AO75" s="557"/>
      <c r="AP75" s="557"/>
      <c r="AQ75" s="557"/>
      <c r="AR75" s="557"/>
      <c r="AS75" s="557"/>
      <c r="AT75" s="557"/>
      <c r="AU75" s="557"/>
      <c r="AV75" s="557"/>
      <c r="AW75" s="557"/>
      <c r="AX75" s="557"/>
      <c r="AY75" s="557"/>
      <c r="AZ75" s="557"/>
      <c r="BA75" s="557"/>
      <c r="BB75" s="557"/>
      <c r="BC75" s="557"/>
      <c r="BD75" s="557"/>
      <c r="BE75" s="557"/>
    </row>
    <row r="76" spans="1:57" hidden="1">
      <c r="A76" s="557"/>
      <c r="B76" s="557"/>
      <c r="C76" s="557"/>
      <c r="D76" s="557"/>
      <c r="E76" s="557"/>
      <c r="F76" s="557"/>
      <c r="G76" s="557"/>
      <c r="H76" s="557"/>
      <c r="I76" s="557"/>
      <c r="J76" s="557"/>
      <c r="K76" s="557"/>
      <c r="L76" s="557"/>
      <c r="M76" s="557"/>
      <c r="N76" s="557"/>
      <c r="O76" s="557"/>
      <c r="P76" s="557"/>
      <c r="Q76" s="557"/>
      <c r="R76" s="557"/>
      <c r="S76" s="557"/>
      <c r="T76" s="557"/>
      <c r="U76" s="557"/>
      <c r="V76" s="557"/>
      <c r="W76" s="557"/>
      <c r="X76" s="557"/>
      <c r="Y76" s="557"/>
      <c r="Z76" s="557"/>
      <c r="AA76" s="557"/>
      <c r="AB76" s="557"/>
      <c r="AC76" s="557"/>
      <c r="AD76" s="557"/>
      <c r="AE76" s="557"/>
      <c r="AF76" s="557"/>
      <c r="AG76" s="557"/>
      <c r="AH76" s="557"/>
      <c r="AI76" s="557"/>
      <c r="AJ76" s="557"/>
      <c r="AK76" s="557"/>
      <c r="AL76" s="557"/>
      <c r="AM76" s="557"/>
      <c r="AN76" s="557"/>
      <c r="AO76" s="557"/>
      <c r="AP76" s="557"/>
      <c r="AQ76" s="557"/>
      <c r="AR76" s="557"/>
      <c r="AS76" s="557"/>
      <c r="AT76" s="557"/>
      <c r="AU76" s="557"/>
      <c r="AV76" s="557"/>
      <c r="AW76" s="557"/>
      <c r="AX76" s="557"/>
      <c r="AY76" s="557"/>
      <c r="AZ76" s="557"/>
      <c r="BA76" s="557"/>
      <c r="BB76" s="557"/>
      <c r="BC76" s="557"/>
      <c r="BD76" s="557"/>
      <c r="BE76" s="557"/>
    </row>
    <row r="77" spans="1:57" hidden="1">
      <c r="A77" s="557"/>
      <c r="B77" s="557"/>
      <c r="C77" s="557"/>
      <c r="D77" s="557"/>
      <c r="E77" s="557"/>
      <c r="F77" s="557"/>
      <c r="G77" s="557"/>
      <c r="H77" s="557"/>
      <c r="I77" s="557"/>
      <c r="J77" s="557"/>
      <c r="K77" s="557"/>
      <c r="L77" s="557"/>
      <c r="M77" s="557"/>
      <c r="N77" s="557"/>
      <c r="O77" s="557"/>
      <c r="P77" s="557"/>
      <c r="Q77" s="557"/>
      <c r="R77" s="557"/>
      <c r="S77" s="557"/>
      <c r="T77" s="557"/>
      <c r="U77" s="557"/>
      <c r="V77" s="557"/>
      <c r="W77" s="557"/>
      <c r="X77" s="557"/>
      <c r="Y77" s="557"/>
      <c r="Z77" s="557"/>
      <c r="AA77" s="557"/>
      <c r="AB77" s="557"/>
      <c r="AC77" s="557"/>
      <c r="AD77" s="557"/>
      <c r="AE77" s="557"/>
      <c r="AF77" s="557"/>
      <c r="AG77" s="557"/>
      <c r="AH77" s="557"/>
      <c r="AI77" s="557"/>
      <c r="AJ77" s="557"/>
      <c r="AK77" s="557"/>
      <c r="AL77" s="557"/>
      <c r="AM77" s="557"/>
      <c r="AN77" s="557"/>
      <c r="AO77" s="557"/>
      <c r="AP77" s="557"/>
      <c r="AQ77" s="557"/>
      <c r="AR77" s="557"/>
      <c r="AS77" s="557"/>
      <c r="AT77" s="557"/>
      <c r="AU77" s="557"/>
      <c r="AV77" s="557"/>
      <c r="AW77" s="557"/>
      <c r="AX77" s="557"/>
      <c r="AY77" s="557"/>
      <c r="AZ77" s="557"/>
      <c r="BA77" s="557"/>
      <c r="BB77" s="557"/>
      <c r="BC77" s="557"/>
      <c r="BD77" s="557"/>
      <c r="BE77" s="557"/>
    </row>
    <row r="78" spans="1:57" hidden="1">
      <c r="A78" s="557"/>
      <c r="B78" s="557"/>
      <c r="C78" s="557"/>
      <c r="D78" s="557"/>
      <c r="E78" s="557"/>
      <c r="F78" s="557"/>
      <c r="G78" s="557"/>
      <c r="H78" s="557"/>
      <c r="I78" s="557"/>
      <c r="J78" s="557"/>
      <c r="K78" s="557"/>
      <c r="L78" s="557"/>
      <c r="M78" s="557"/>
      <c r="N78" s="557"/>
      <c r="O78" s="557"/>
      <c r="P78" s="557"/>
      <c r="Q78" s="557"/>
      <c r="R78" s="557"/>
      <c r="S78" s="557"/>
      <c r="T78" s="557"/>
      <c r="U78" s="557"/>
      <c r="V78" s="557"/>
      <c r="W78" s="557"/>
      <c r="X78" s="557"/>
      <c r="Y78" s="557"/>
      <c r="Z78" s="557"/>
      <c r="AA78" s="557"/>
      <c r="AB78" s="557"/>
      <c r="AC78" s="557"/>
      <c r="AD78" s="557"/>
      <c r="AE78" s="557"/>
      <c r="AF78" s="557"/>
      <c r="AG78" s="557"/>
      <c r="AH78" s="557"/>
      <c r="AI78" s="557"/>
      <c r="AJ78" s="557"/>
      <c r="AK78" s="557"/>
      <c r="AL78" s="557"/>
      <c r="AM78" s="557"/>
      <c r="AN78" s="557"/>
      <c r="AO78" s="557"/>
      <c r="AP78" s="557"/>
      <c r="AQ78" s="557"/>
      <c r="AR78" s="557"/>
      <c r="AS78" s="557"/>
      <c r="AT78" s="557"/>
      <c r="AU78" s="557"/>
      <c r="AV78" s="557"/>
      <c r="AW78" s="557"/>
      <c r="AX78" s="557"/>
      <c r="AY78" s="557"/>
      <c r="AZ78" s="557"/>
      <c r="BA78" s="557"/>
      <c r="BB78" s="557"/>
      <c r="BC78" s="557"/>
      <c r="BD78" s="557"/>
      <c r="BE78" s="557"/>
    </row>
    <row r="79" spans="1:57" hidden="1">
      <c r="A79" s="557"/>
      <c r="B79" s="557"/>
      <c r="C79" s="557"/>
      <c r="D79" s="557"/>
      <c r="E79" s="557"/>
      <c r="F79" s="557"/>
      <c r="G79" s="557"/>
      <c r="H79" s="557"/>
      <c r="I79" s="557"/>
      <c r="J79" s="557"/>
      <c r="K79" s="557"/>
      <c r="L79" s="557"/>
      <c r="M79" s="557"/>
      <c r="N79" s="557"/>
      <c r="O79" s="557"/>
      <c r="P79" s="557"/>
      <c r="Q79" s="557"/>
      <c r="R79" s="557"/>
      <c r="S79" s="557"/>
      <c r="T79" s="557"/>
      <c r="U79" s="557"/>
      <c r="V79" s="557"/>
      <c r="W79" s="557"/>
      <c r="X79" s="557"/>
      <c r="Y79" s="557"/>
      <c r="Z79" s="557"/>
      <c r="AA79" s="557"/>
      <c r="AB79" s="557"/>
      <c r="AC79" s="557"/>
      <c r="AD79" s="557"/>
      <c r="AE79" s="557"/>
      <c r="AF79" s="557"/>
      <c r="AG79" s="557"/>
      <c r="AH79" s="557"/>
      <c r="AI79" s="557"/>
      <c r="AJ79" s="557"/>
      <c r="AK79" s="557"/>
      <c r="AL79" s="557"/>
      <c r="AM79" s="557"/>
      <c r="AN79" s="557"/>
      <c r="AO79" s="557"/>
      <c r="AP79" s="557"/>
      <c r="AQ79" s="557"/>
      <c r="AR79" s="557"/>
      <c r="AS79" s="557"/>
      <c r="AT79" s="557"/>
      <c r="AU79" s="557"/>
      <c r="AV79" s="557"/>
      <c r="AW79" s="557"/>
      <c r="AX79" s="557"/>
      <c r="AY79" s="557"/>
      <c r="AZ79" s="557"/>
      <c r="BA79" s="557"/>
      <c r="BB79" s="557"/>
      <c r="BC79" s="557"/>
      <c r="BD79" s="557"/>
      <c r="BE79" s="557"/>
    </row>
    <row r="80" spans="1:57" hidden="1">
      <c r="A80" s="557"/>
      <c r="B80" s="557"/>
      <c r="C80" s="557"/>
      <c r="D80" s="557"/>
      <c r="E80" s="557"/>
      <c r="F80" s="557"/>
      <c r="G80" s="557"/>
      <c r="H80" s="557"/>
      <c r="I80" s="557"/>
      <c r="J80" s="557"/>
      <c r="K80" s="557"/>
      <c r="L80" s="557"/>
      <c r="M80" s="557"/>
      <c r="N80" s="557"/>
      <c r="O80" s="557"/>
      <c r="P80" s="557"/>
      <c r="Q80" s="557"/>
      <c r="R80" s="557"/>
      <c r="S80" s="557"/>
      <c r="T80" s="557"/>
      <c r="U80" s="557"/>
      <c r="V80" s="557"/>
      <c r="W80" s="557"/>
      <c r="X80" s="557"/>
      <c r="Y80" s="557"/>
      <c r="Z80" s="557"/>
      <c r="AA80" s="557"/>
      <c r="AB80" s="557"/>
      <c r="AC80" s="557"/>
      <c r="AD80" s="557"/>
      <c r="AE80" s="557"/>
      <c r="AF80" s="557"/>
      <c r="AG80" s="557"/>
      <c r="AH80" s="557"/>
      <c r="AI80" s="557"/>
      <c r="AJ80" s="557"/>
      <c r="AK80" s="557"/>
      <c r="AL80" s="557"/>
      <c r="AM80" s="557"/>
      <c r="AN80" s="557"/>
      <c r="AO80" s="557"/>
      <c r="AP80" s="557"/>
      <c r="AQ80" s="557"/>
      <c r="AR80" s="557"/>
      <c r="AS80" s="557"/>
      <c r="AT80" s="557"/>
      <c r="AU80" s="557"/>
      <c r="AV80" s="557"/>
      <c r="AW80" s="557"/>
      <c r="AX80" s="557"/>
      <c r="AY80" s="557"/>
      <c r="AZ80" s="557"/>
      <c r="BA80" s="557"/>
      <c r="BB80" s="557"/>
      <c r="BC80" s="557"/>
      <c r="BD80" s="557"/>
      <c r="BE80" s="557"/>
    </row>
    <row r="81" spans="1:57" hidden="1">
      <c r="A81" s="557"/>
      <c r="B81" s="557"/>
      <c r="C81" s="557"/>
      <c r="D81" s="557"/>
      <c r="E81" s="557"/>
      <c r="F81" s="557"/>
      <c r="G81" s="557"/>
      <c r="H81" s="557"/>
      <c r="I81" s="557"/>
      <c r="J81" s="557"/>
      <c r="K81" s="557"/>
      <c r="L81" s="557"/>
      <c r="M81" s="557"/>
      <c r="N81" s="557"/>
      <c r="O81" s="557"/>
      <c r="P81" s="557"/>
      <c r="Q81" s="557"/>
      <c r="R81" s="557"/>
      <c r="S81" s="557"/>
      <c r="T81" s="557"/>
      <c r="U81" s="557"/>
      <c r="V81" s="557"/>
      <c r="W81" s="557"/>
      <c r="X81" s="557"/>
      <c r="Y81" s="557"/>
      <c r="Z81" s="557"/>
      <c r="AA81" s="557"/>
      <c r="AB81" s="557"/>
      <c r="AC81" s="557"/>
      <c r="AD81" s="557"/>
      <c r="AE81" s="557"/>
      <c r="AF81" s="557"/>
      <c r="AG81" s="557"/>
      <c r="AH81" s="557"/>
      <c r="AI81" s="557"/>
      <c r="AJ81" s="557"/>
      <c r="AK81" s="557"/>
      <c r="AL81" s="557"/>
      <c r="AM81" s="557"/>
      <c r="AN81" s="557"/>
      <c r="AO81" s="557"/>
      <c r="AP81" s="557"/>
      <c r="AQ81" s="557"/>
      <c r="AR81" s="557"/>
      <c r="AS81" s="557"/>
      <c r="AT81" s="557"/>
      <c r="AU81" s="557"/>
      <c r="AV81" s="557"/>
      <c r="AW81" s="557"/>
      <c r="AX81" s="557"/>
      <c r="AY81" s="557"/>
      <c r="AZ81" s="557"/>
      <c r="BA81" s="557"/>
      <c r="BB81" s="557"/>
      <c r="BC81" s="557"/>
      <c r="BD81" s="557"/>
      <c r="BE81" s="557"/>
    </row>
    <row r="82" spans="1:57" hidden="1">
      <c r="A82" s="557"/>
      <c r="B82" s="557"/>
      <c r="C82" s="557"/>
      <c r="D82" s="557"/>
      <c r="E82" s="557"/>
      <c r="F82" s="557"/>
      <c r="G82" s="557"/>
      <c r="H82" s="557"/>
      <c r="I82" s="557"/>
      <c r="J82" s="557"/>
      <c r="K82" s="557"/>
      <c r="L82" s="557"/>
      <c r="M82" s="557"/>
      <c r="N82" s="557"/>
      <c r="O82" s="557"/>
      <c r="P82" s="557"/>
      <c r="Q82" s="557"/>
      <c r="R82" s="557"/>
      <c r="S82" s="557"/>
      <c r="T82" s="557"/>
      <c r="U82" s="557"/>
      <c r="V82" s="557"/>
      <c r="W82" s="557"/>
      <c r="X82" s="557"/>
      <c r="Y82" s="557"/>
      <c r="Z82" s="557"/>
      <c r="AA82" s="557"/>
      <c r="AB82" s="557"/>
      <c r="AC82" s="557"/>
      <c r="AD82" s="557"/>
      <c r="AE82" s="557"/>
      <c r="AF82" s="557"/>
      <c r="AG82" s="557"/>
      <c r="AH82" s="557"/>
      <c r="AI82" s="557"/>
      <c r="AJ82" s="557"/>
      <c r="AK82" s="557"/>
      <c r="AL82" s="557"/>
      <c r="AM82" s="557"/>
      <c r="AN82" s="557"/>
      <c r="AO82" s="557"/>
      <c r="AP82" s="557"/>
      <c r="AQ82" s="557"/>
      <c r="AR82" s="557"/>
      <c r="AS82" s="557"/>
      <c r="AT82" s="557"/>
      <c r="AU82" s="557"/>
      <c r="AV82" s="557"/>
      <c r="AW82" s="557"/>
      <c r="AX82" s="557"/>
      <c r="AY82" s="557"/>
      <c r="AZ82" s="557"/>
      <c r="BA82" s="557"/>
      <c r="BB82" s="557"/>
      <c r="BC82" s="557"/>
      <c r="BD82" s="557"/>
      <c r="BE82" s="557"/>
    </row>
    <row r="83" spans="1:57" hidden="1">
      <c r="A83" s="557"/>
      <c r="B83" s="557"/>
      <c r="C83" s="557"/>
      <c r="D83" s="557"/>
      <c r="E83" s="557"/>
      <c r="F83" s="557"/>
      <c r="G83" s="557"/>
      <c r="H83" s="557"/>
      <c r="I83" s="557"/>
      <c r="J83" s="557"/>
      <c r="K83" s="557"/>
      <c r="L83" s="557"/>
      <c r="M83" s="557"/>
      <c r="N83" s="557"/>
      <c r="O83" s="557"/>
      <c r="P83" s="557"/>
      <c r="Q83" s="557"/>
      <c r="R83" s="557"/>
      <c r="S83" s="557"/>
      <c r="T83" s="557"/>
      <c r="U83" s="557"/>
      <c r="V83" s="557"/>
      <c r="W83" s="557"/>
      <c r="X83" s="557"/>
      <c r="Y83" s="557"/>
      <c r="Z83" s="557"/>
      <c r="AA83" s="557"/>
      <c r="AB83" s="557"/>
      <c r="AC83" s="557"/>
      <c r="AD83" s="557"/>
      <c r="AE83" s="557"/>
      <c r="AF83" s="557"/>
      <c r="AG83" s="557"/>
      <c r="AH83" s="557"/>
      <c r="AI83" s="557"/>
      <c r="AJ83" s="557"/>
      <c r="AK83" s="557"/>
      <c r="AL83" s="557"/>
      <c r="AM83" s="557"/>
      <c r="AN83" s="557"/>
      <c r="AO83" s="557"/>
      <c r="AP83" s="557"/>
      <c r="AQ83" s="557"/>
      <c r="AR83" s="557"/>
      <c r="AS83" s="557"/>
      <c r="AT83" s="557"/>
      <c r="AU83" s="557"/>
      <c r="AV83" s="557"/>
      <c r="AW83" s="557"/>
      <c r="AX83" s="557"/>
      <c r="AY83" s="557"/>
      <c r="AZ83" s="557"/>
      <c r="BA83" s="557"/>
      <c r="BB83" s="557"/>
      <c r="BC83" s="557"/>
      <c r="BD83" s="557"/>
      <c r="BE83" s="557"/>
    </row>
    <row r="84" spans="1:57" hidden="1">
      <c r="A84" s="557"/>
      <c r="B84" s="557"/>
      <c r="C84" s="557"/>
      <c r="D84" s="557"/>
      <c r="E84" s="557"/>
      <c r="F84" s="557"/>
      <c r="G84" s="557"/>
      <c r="H84" s="557"/>
      <c r="I84" s="557"/>
      <c r="J84" s="557"/>
      <c r="K84" s="557"/>
      <c r="L84" s="557"/>
      <c r="M84" s="557"/>
      <c r="N84" s="557"/>
      <c r="O84" s="557"/>
      <c r="P84" s="557"/>
      <c r="Q84" s="557"/>
      <c r="R84" s="557"/>
      <c r="S84" s="557"/>
      <c r="T84" s="557"/>
      <c r="U84" s="557"/>
      <c r="V84" s="557"/>
      <c r="W84" s="557"/>
      <c r="X84" s="557"/>
      <c r="Y84" s="557"/>
      <c r="Z84" s="557"/>
      <c r="AA84" s="557"/>
      <c r="AB84" s="557"/>
      <c r="AC84" s="557"/>
      <c r="AD84" s="557"/>
      <c r="AE84" s="557"/>
      <c r="AF84" s="557"/>
      <c r="AG84" s="557"/>
      <c r="AH84" s="557"/>
      <c r="AI84" s="557"/>
      <c r="AJ84" s="557"/>
      <c r="AK84" s="557"/>
      <c r="AL84" s="557"/>
      <c r="AM84" s="557"/>
      <c r="AN84" s="557"/>
      <c r="AO84" s="557"/>
      <c r="AP84" s="557"/>
      <c r="AQ84" s="557"/>
      <c r="AR84" s="557"/>
      <c r="AS84" s="557"/>
      <c r="AT84" s="557"/>
      <c r="AU84" s="557"/>
      <c r="AV84" s="557"/>
      <c r="AW84" s="557"/>
      <c r="AX84" s="557"/>
      <c r="AY84" s="557"/>
      <c r="AZ84" s="557"/>
      <c r="BA84" s="557"/>
      <c r="BB84" s="557"/>
      <c r="BC84" s="557"/>
      <c r="BD84" s="557"/>
      <c r="BE84" s="557"/>
    </row>
    <row r="85" spans="1:57" hidden="1">
      <c r="A85" s="557"/>
      <c r="B85" s="557"/>
      <c r="C85" s="557"/>
      <c r="D85" s="557"/>
      <c r="E85" s="557"/>
      <c r="F85" s="557"/>
      <c r="G85" s="557"/>
      <c r="H85" s="557"/>
      <c r="I85" s="557"/>
      <c r="J85" s="557"/>
      <c r="K85" s="557"/>
      <c r="L85" s="557"/>
      <c r="M85" s="557"/>
      <c r="N85" s="557"/>
      <c r="O85" s="557"/>
      <c r="P85" s="557"/>
      <c r="Q85" s="557"/>
      <c r="R85" s="557"/>
      <c r="S85" s="557"/>
      <c r="T85" s="557"/>
      <c r="U85" s="557"/>
      <c r="V85" s="557"/>
      <c r="W85" s="557"/>
      <c r="X85" s="557"/>
      <c r="Y85" s="557"/>
      <c r="Z85" s="557"/>
      <c r="AA85" s="557"/>
      <c r="AB85" s="557"/>
      <c r="AC85" s="557"/>
      <c r="AD85" s="557"/>
      <c r="AE85" s="557"/>
      <c r="AF85" s="557"/>
      <c r="AG85" s="557"/>
      <c r="AH85" s="557"/>
      <c r="AI85" s="557"/>
      <c r="AJ85" s="557"/>
      <c r="AK85" s="557"/>
      <c r="AL85" s="557"/>
      <c r="AM85" s="557"/>
      <c r="AN85" s="557"/>
      <c r="AO85" s="557"/>
      <c r="AP85" s="557"/>
      <c r="AQ85" s="557"/>
      <c r="AR85" s="557"/>
      <c r="AS85" s="557"/>
      <c r="AT85" s="557"/>
      <c r="AU85" s="557"/>
      <c r="AV85" s="557"/>
      <c r="AW85" s="557"/>
      <c r="AX85" s="557"/>
      <c r="AY85" s="557"/>
      <c r="AZ85" s="557"/>
      <c r="BA85" s="557"/>
      <c r="BB85" s="557"/>
      <c r="BC85" s="557"/>
      <c r="BD85" s="557"/>
      <c r="BE85" s="557"/>
    </row>
    <row r="86" spans="1:57" hidden="1">
      <c r="A86" s="557"/>
      <c r="B86" s="557"/>
      <c r="C86" s="557"/>
      <c r="D86" s="557"/>
      <c r="E86" s="557"/>
      <c r="F86" s="557"/>
      <c r="G86" s="557"/>
      <c r="H86" s="557"/>
      <c r="I86" s="557"/>
      <c r="J86" s="557"/>
      <c r="K86" s="557"/>
      <c r="L86" s="557"/>
      <c r="M86" s="557"/>
      <c r="N86" s="557"/>
      <c r="O86" s="557"/>
      <c r="P86" s="557"/>
      <c r="Q86" s="557"/>
      <c r="R86" s="557"/>
      <c r="S86" s="557"/>
      <c r="T86" s="557"/>
      <c r="U86" s="557"/>
      <c r="V86" s="557"/>
      <c r="W86" s="557"/>
      <c r="X86" s="557"/>
      <c r="Y86" s="557"/>
      <c r="Z86" s="557"/>
      <c r="AA86" s="557"/>
      <c r="AB86" s="557"/>
      <c r="AC86" s="557"/>
      <c r="AD86" s="557"/>
      <c r="AE86" s="557"/>
      <c r="AF86" s="557"/>
      <c r="AG86" s="557"/>
      <c r="AH86" s="557"/>
      <c r="AI86" s="557"/>
      <c r="AJ86" s="557"/>
      <c r="AK86" s="557"/>
      <c r="AL86" s="557"/>
      <c r="AM86" s="557"/>
      <c r="AN86" s="557"/>
      <c r="AO86" s="557"/>
      <c r="AP86" s="557"/>
      <c r="AQ86" s="557"/>
      <c r="AR86" s="557"/>
      <c r="AS86" s="557"/>
      <c r="AT86" s="557"/>
      <c r="AU86" s="557"/>
      <c r="AV86" s="557"/>
      <c r="AW86" s="557"/>
      <c r="AX86" s="557"/>
      <c r="AY86" s="557"/>
      <c r="AZ86" s="557"/>
      <c r="BA86" s="557"/>
      <c r="BB86" s="557"/>
      <c r="BC86" s="557"/>
      <c r="BD86" s="557"/>
      <c r="BE86" s="557"/>
    </row>
    <row r="87" spans="1:57" hidden="1">
      <c r="A87" s="557"/>
      <c r="B87" s="557"/>
      <c r="C87" s="557"/>
      <c r="D87" s="557"/>
      <c r="E87" s="557"/>
      <c r="F87" s="557"/>
      <c r="G87" s="557"/>
      <c r="H87" s="557"/>
      <c r="I87" s="557"/>
      <c r="J87" s="557"/>
      <c r="K87" s="557"/>
      <c r="L87" s="557"/>
      <c r="M87" s="557"/>
      <c r="N87" s="557"/>
      <c r="O87" s="557"/>
      <c r="P87" s="557"/>
      <c r="Q87" s="557"/>
      <c r="R87" s="557"/>
      <c r="S87" s="557"/>
      <c r="T87" s="557"/>
      <c r="U87" s="557"/>
      <c r="V87" s="557"/>
      <c r="W87" s="557"/>
      <c r="X87" s="557"/>
      <c r="Y87" s="557"/>
      <c r="Z87" s="557"/>
      <c r="AA87" s="557"/>
      <c r="AB87" s="557"/>
      <c r="AC87" s="557"/>
      <c r="AD87" s="557"/>
      <c r="AE87" s="557"/>
      <c r="AF87" s="557"/>
      <c r="AG87" s="557"/>
      <c r="AH87" s="557"/>
      <c r="AI87" s="557"/>
      <c r="AJ87" s="557"/>
      <c r="AK87" s="557"/>
      <c r="AL87" s="557"/>
      <c r="AM87" s="557"/>
      <c r="AN87" s="557"/>
      <c r="AO87" s="557"/>
      <c r="AP87" s="557"/>
      <c r="AQ87" s="557"/>
      <c r="AR87" s="557"/>
      <c r="AS87" s="557"/>
      <c r="AT87" s="557"/>
      <c r="AU87" s="557"/>
      <c r="AV87" s="557"/>
      <c r="AW87" s="557"/>
      <c r="AX87" s="557"/>
      <c r="AY87" s="557"/>
      <c r="AZ87" s="557"/>
      <c r="BA87" s="557"/>
      <c r="BB87" s="557"/>
      <c r="BC87" s="557"/>
      <c r="BD87" s="557"/>
      <c r="BE87" s="557"/>
    </row>
    <row r="88" spans="1:57" hidden="1">
      <c r="A88" s="557"/>
      <c r="B88" s="557"/>
      <c r="C88" s="557"/>
      <c r="D88" s="557"/>
      <c r="E88" s="557"/>
      <c r="F88" s="557"/>
      <c r="G88" s="557"/>
      <c r="H88" s="557"/>
      <c r="I88" s="557"/>
      <c r="J88" s="557"/>
      <c r="K88" s="557"/>
      <c r="L88" s="557"/>
      <c r="M88" s="557"/>
      <c r="N88" s="557"/>
      <c r="O88" s="557"/>
      <c r="P88" s="557"/>
      <c r="Q88" s="557"/>
      <c r="R88" s="557"/>
      <c r="S88" s="557"/>
      <c r="T88" s="557"/>
      <c r="U88" s="557"/>
      <c r="V88" s="557"/>
      <c r="W88" s="557"/>
      <c r="X88" s="557"/>
      <c r="Y88" s="557"/>
      <c r="Z88" s="557"/>
      <c r="AA88" s="557"/>
      <c r="AB88" s="557"/>
      <c r="AC88" s="557"/>
      <c r="AD88" s="557"/>
      <c r="AE88" s="557"/>
      <c r="AF88" s="557"/>
      <c r="AG88" s="557"/>
      <c r="AH88" s="557"/>
      <c r="AI88" s="557"/>
      <c r="AJ88" s="557"/>
      <c r="AK88" s="557"/>
      <c r="AL88" s="557"/>
      <c r="AM88" s="557"/>
      <c r="AN88" s="557"/>
      <c r="AO88" s="557"/>
      <c r="AP88" s="557"/>
      <c r="AQ88" s="557"/>
      <c r="AR88" s="557"/>
      <c r="AS88" s="557"/>
      <c r="AT88" s="557"/>
      <c r="AU88" s="557"/>
      <c r="AV88" s="557"/>
      <c r="AW88" s="557"/>
      <c r="AX88" s="557"/>
      <c r="AY88" s="557"/>
      <c r="AZ88" s="557"/>
      <c r="BA88" s="557"/>
      <c r="BB88" s="557"/>
      <c r="BC88" s="557"/>
      <c r="BD88" s="557"/>
      <c r="BE88" s="557"/>
    </row>
    <row r="89" spans="1:57" hidden="1">
      <c r="A89" s="557"/>
      <c r="B89" s="557"/>
      <c r="C89" s="557"/>
      <c r="D89" s="557"/>
      <c r="E89" s="557"/>
      <c r="F89" s="557"/>
      <c r="G89" s="557"/>
      <c r="H89" s="557"/>
      <c r="I89" s="557"/>
      <c r="J89" s="557"/>
      <c r="K89" s="557"/>
      <c r="L89" s="557"/>
      <c r="M89" s="557"/>
      <c r="N89" s="557"/>
      <c r="O89" s="557"/>
      <c r="P89" s="557"/>
      <c r="Q89" s="557"/>
      <c r="R89" s="557"/>
      <c r="S89" s="557"/>
      <c r="T89" s="557"/>
      <c r="U89" s="557"/>
      <c r="V89" s="557"/>
      <c r="W89" s="557"/>
      <c r="X89" s="557"/>
      <c r="Y89" s="557"/>
      <c r="Z89" s="557"/>
      <c r="AA89" s="557"/>
      <c r="AB89" s="557"/>
      <c r="AC89" s="557"/>
      <c r="AD89" s="557"/>
      <c r="AE89" s="557"/>
      <c r="AF89" s="557"/>
      <c r="AG89" s="557"/>
      <c r="AH89" s="557"/>
      <c r="AI89" s="557"/>
      <c r="AJ89" s="557"/>
      <c r="AK89" s="557"/>
      <c r="AL89" s="557"/>
      <c r="AM89" s="557"/>
      <c r="AN89" s="557"/>
      <c r="AO89" s="557"/>
      <c r="AP89" s="557"/>
      <c r="AQ89" s="557"/>
      <c r="AR89" s="557"/>
      <c r="AS89" s="557"/>
      <c r="AT89" s="557"/>
      <c r="AU89" s="557"/>
      <c r="AV89" s="557"/>
      <c r="AW89" s="557"/>
      <c r="AX89" s="557"/>
      <c r="AY89" s="557"/>
      <c r="AZ89" s="557"/>
      <c r="BA89" s="557"/>
      <c r="BB89" s="557"/>
      <c r="BC89" s="557"/>
      <c r="BD89" s="557"/>
      <c r="BE89" s="557"/>
    </row>
    <row r="90" spans="1:57" hidden="1">
      <c r="A90" s="557"/>
      <c r="B90" s="557"/>
      <c r="C90" s="557"/>
      <c r="D90" s="557"/>
      <c r="E90" s="557"/>
      <c r="F90" s="557"/>
      <c r="G90" s="557"/>
      <c r="H90" s="557"/>
      <c r="I90" s="557"/>
      <c r="J90" s="557"/>
      <c r="K90" s="557"/>
      <c r="L90" s="557"/>
      <c r="M90" s="557"/>
      <c r="N90" s="557"/>
      <c r="O90" s="557"/>
      <c r="P90" s="557"/>
      <c r="Q90" s="557"/>
      <c r="R90" s="557"/>
      <c r="S90" s="557"/>
      <c r="T90" s="557"/>
      <c r="U90" s="557"/>
      <c r="V90" s="557"/>
      <c r="W90" s="557"/>
      <c r="X90" s="557"/>
      <c r="Y90" s="557"/>
      <c r="Z90" s="557"/>
      <c r="AA90" s="557"/>
      <c r="AB90" s="557"/>
      <c r="AC90" s="557"/>
      <c r="AD90" s="557"/>
      <c r="AE90" s="557"/>
      <c r="AF90" s="557"/>
      <c r="AG90" s="557"/>
      <c r="AH90" s="557"/>
      <c r="AI90" s="557"/>
      <c r="AJ90" s="557"/>
      <c r="AK90" s="557"/>
      <c r="AL90" s="557"/>
      <c r="AM90" s="557"/>
      <c r="AN90" s="557"/>
      <c r="AO90" s="557"/>
      <c r="AP90" s="557"/>
      <c r="AQ90" s="557"/>
      <c r="AR90" s="557"/>
      <c r="AS90" s="557"/>
      <c r="AT90" s="557"/>
      <c r="AU90" s="557"/>
      <c r="AV90" s="557"/>
      <c r="AW90" s="557"/>
      <c r="AX90" s="557"/>
      <c r="AY90" s="557"/>
      <c r="AZ90" s="557"/>
      <c r="BA90" s="557"/>
      <c r="BB90" s="557"/>
      <c r="BC90" s="557"/>
      <c r="BD90" s="557"/>
      <c r="BE90" s="557"/>
    </row>
    <row r="91" spans="1:57" hidden="1">
      <c r="A91" s="557"/>
      <c r="B91" s="557"/>
      <c r="C91" s="557"/>
      <c r="D91" s="557"/>
      <c r="E91" s="557"/>
      <c r="F91" s="557"/>
      <c r="G91" s="557"/>
      <c r="H91" s="557"/>
      <c r="I91" s="557"/>
      <c r="J91" s="557"/>
      <c r="K91" s="557"/>
      <c r="L91" s="557"/>
      <c r="M91" s="557"/>
      <c r="N91" s="557"/>
      <c r="O91" s="557"/>
      <c r="P91" s="557"/>
      <c r="Q91" s="557"/>
      <c r="R91" s="557"/>
      <c r="S91" s="557"/>
      <c r="T91" s="557"/>
      <c r="U91" s="557"/>
      <c r="V91" s="557"/>
      <c r="W91" s="557"/>
      <c r="X91" s="557"/>
      <c r="Y91" s="557"/>
      <c r="Z91" s="557"/>
      <c r="AA91" s="557"/>
      <c r="AB91" s="557"/>
      <c r="AC91" s="557"/>
      <c r="AD91" s="557"/>
      <c r="AE91" s="557"/>
      <c r="AF91" s="557"/>
      <c r="AG91" s="557"/>
      <c r="AH91" s="557"/>
      <c r="AI91" s="557"/>
      <c r="AJ91" s="557"/>
      <c r="AK91" s="557"/>
      <c r="AL91" s="557"/>
      <c r="AM91" s="557"/>
      <c r="AN91" s="557"/>
      <c r="AO91" s="557"/>
      <c r="AP91" s="557"/>
      <c r="AQ91" s="557"/>
      <c r="AR91" s="557"/>
      <c r="AS91" s="557"/>
      <c r="AT91" s="557"/>
      <c r="AU91" s="557"/>
      <c r="AV91" s="557"/>
      <c r="AW91" s="557"/>
      <c r="AX91" s="557"/>
      <c r="AY91" s="557"/>
      <c r="AZ91" s="557"/>
      <c r="BA91" s="557"/>
      <c r="BB91" s="557"/>
      <c r="BC91" s="557"/>
      <c r="BD91" s="557"/>
      <c r="BE91" s="557"/>
    </row>
    <row r="92" spans="1:57" hidden="1">
      <c r="A92" s="557"/>
      <c r="B92" s="557"/>
      <c r="C92" s="557"/>
      <c r="D92" s="557"/>
      <c r="E92" s="557"/>
      <c r="F92" s="557"/>
      <c r="G92" s="557"/>
      <c r="H92" s="557"/>
      <c r="I92" s="557"/>
      <c r="J92" s="557"/>
      <c r="K92" s="557"/>
      <c r="L92" s="557"/>
      <c r="M92" s="557"/>
      <c r="N92" s="557"/>
      <c r="O92" s="557"/>
      <c r="P92" s="557"/>
      <c r="Q92" s="557"/>
      <c r="R92" s="557"/>
      <c r="S92" s="557"/>
      <c r="T92" s="557"/>
      <c r="U92" s="557"/>
      <c r="V92" s="557"/>
      <c r="W92" s="557"/>
      <c r="X92" s="557"/>
      <c r="Y92" s="557"/>
      <c r="Z92" s="557"/>
      <c r="AA92" s="557"/>
      <c r="AB92" s="557"/>
      <c r="AC92" s="557"/>
      <c r="AD92" s="557"/>
      <c r="AE92" s="557"/>
      <c r="AF92" s="557"/>
      <c r="AG92" s="557"/>
      <c r="AH92" s="557"/>
      <c r="AI92" s="557"/>
      <c r="AJ92" s="557"/>
      <c r="AK92" s="557"/>
      <c r="AL92" s="557"/>
      <c r="AM92" s="557"/>
      <c r="AN92" s="557"/>
      <c r="AO92" s="557"/>
      <c r="AP92" s="557"/>
      <c r="AQ92" s="557"/>
      <c r="AR92" s="557"/>
      <c r="AS92" s="557"/>
      <c r="AT92" s="557"/>
      <c r="AU92" s="557"/>
      <c r="AV92" s="557"/>
      <c r="AW92" s="557"/>
      <c r="AX92" s="557"/>
      <c r="AY92" s="557"/>
      <c r="AZ92" s="557"/>
      <c r="BA92" s="557"/>
      <c r="BB92" s="557"/>
      <c r="BC92" s="557"/>
      <c r="BD92" s="557"/>
      <c r="BE92" s="557"/>
    </row>
    <row r="93" spans="1:57" hidden="1">
      <c r="A93" s="557"/>
      <c r="B93" s="557"/>
      <c r="C93" s="557"/>
      <c r="D93" s="557"/>
      <c r="E93" s="557"/>
      <c r="F93" s="557"/>
      <c r="G93" s="557"/>
      <c r="H93" s="557"/>
      <c r="I93" s="557"/>
      <c r="J93" s="557"/>
      <c r="K93" s="557"/>
      <c r="L93" s="557"/>
      <c r="M93" s="557"/>
      <c r="N93" s="557"/>
      <c r="O93" s="557"/>
      <c r="P93" s="557"/>
      <c r="Q93" s="557"/>
      <c r="R93" s="557"/>
      <c r="S93" s="557"/>
      <c r="T93" s="557"/>
      <c r="U93" s="557"/>
      <c r="V93" s="557"/>
      <c r="W93" s="557"/>
      <c r="X93" s="557"/>
      <c r="Y93" s="557"/>
      <c r="Z93" s="557"/>
      <c r="AA93" s="557"/>
      <c r="AB93" s="557"/>
      <c r="AC93" s="557"/>
      <c r="AD93" s="557"/>
      <c r="AE93" s="557"/>
      <c r="AF93" s="557"/>
      <c r="AG93" s="557"/>
      <c r="AH93" s="557"/>
      <c r="AI93" s="557"/>
      <c r="AJ93" s="557"/>
      <c r="AK93" s="557"/>
      <c r="AL93" s="557"/>
      <c r="AM93" s="557"/>
      <c r="AN93" s="557"/>
      <c r="AO93" s="557"/>
      <c r="AP93" s="557"/>
      <c r="AQ93" s="557"/>
      <c r="AR93" s="557"/>
      <c r="AS93" s="557"/>
      <c r="AT93" s="557"/>
      <c r="AU93" s="557"/>
      <c r="AV93" s="557"/>
      <c r="AW93" s="557"/>
      <c r="AX93" s="557"/>
      <c r="AY93" s="557"/>
      <c r="AZ93" s="557"/>
      <c r="BA93" s="557"/>
      <c r="BB93" s="557"/>
      <c r="BC93" s="557"/>
      <c r="BD93" s="557"/>
      <c r="BE93" s="557"/>
    </row>
    <row r="94" spans="1:57" hidden="1">
      <c r="A94" s="557"/>
      <c r="B94" s="557"/>
      <c r="C94" s="557"/>
      <c r="D94" s="557"/>
      <c r="E94" s="557"/>
      <c r="F94" s="557"/>
      <c r="G94" s="557"/>
      <c r="H94" s="557"/>
      <c r="I94" s="557"/>
      <c r="J94" s="557"/>
      <c r="K94" s="557"/>
      <c r="L94" s="557"/>
      <c r="M94" s="557"/>
      <c r="N94" s="557"/>
      <c r="O94" s="557"/>
      <c r="P94" s="557"/>
      <c r="Q94" s="557"/>
      <c r="R94" s="557"/>
      <c r="S94" s="557"/>
      <c r="T94" s="557"/>
      <c r="U94" s="557"/>
      <c r="V94" s="557"/>
      <c r="W94" s="557"/>
      <c r="X94" s="557"/>
      <c r="Y94" s="557"/>
      <c r="Z94" s="557"/>
      <c r="AA94" s="557"/>
      <c r="AB94" s="557"/>
      <c r="AC94" s="557"/>
      <c r="AD94" s="557"/>
      <c r="AE94" s="557"/>
      <c r="AF94" s="557"/>
      <c r="AG94" s="557"/>
      <c r="AH94" s="557"/>
      <c r="AI94" s="557"/>
      <c r="AJ94" s="557"/>
      <c r="AK94" s="557"/>
      <c r="AL94" s="557"/>
      <c r="AM94" s="557"/>
      <c r="AN94" s="557"/>
      <c r="AO94" s="557"/>
      <c r="AP94" s="557"/>
      <c r="AQ94" s="557"/>
      <c r="AR94" s="557"/>
      <c r="AS94" s="557"/>
      <c r="AT94" s="557"/>
      <c r="AU94" s="557"/>
      <c r="AV94" s="557"/>
      <c r="AW94" s="557"/>
      <c r="AX94" s="557"/>
      <c r="AY94" s="557"/>
      <c r="AZ94" s="557"/>
      <c r="BA94" s="557"/>
      <c r="BB94" s="557"/>
      <c r="BC94" s="557"/>
      <c r="BD94" s="557"/>
      <c r="BE94" s="557"/>
    </row>
    <row r="95" spans="1:57" hidden="1">
      <c r="A95" s="557"/>
      <c r="B95" s="557"/>
      <c r="C95" s="557"/>
      <c r="D95" s="557"/>
      <c r="E95" s="557"/>
      <c r="F95" s="557"/>
      <c r="G95" s="557"/>
      <c r="H95" s="557"/>
      <c r="I95" s="557"/>
      <c r="J95" s="557"/>
      <c r="K95" s="557"/>
      <c r="L95" s="557"/>
      <c r="M95" s="557"/>
      <c r="N95" s="557"/>
      <c r="O95" s="557"/>
      <c r="P95" s="557"/>
      <c r="Q95" s="557"/>
      <c r="R95" s="557"/>
      <c r="S95" s="557"/>
      <c r="T95" s="557"/>
      <c r="U95" s="557"/>
      <c r="V95" s="557"/>
      <c r="W95" s="557"/>
      <c r="X95" s="557"/>
      <c r="Y95" s="557"/>
      <c r="Z95" s="557"/>
      <c r="AA95" s="557"/>
      <c r="AB95" s="557"/>
      <c r="AC95" s="557"/>
      <c r="AD95" s="557"/>
      <c r="AE95" s="557"/>
      <c r="AF95" s="557"/>
      <c r="AG95" s="557"/>
      <c r="AH95" s="557"/>
      <c r="AI95" s="557"/>
      <c r="AJ95" s="557"/>
      <c r="AK95" s="557"/>
      <c r="AL95" s="557"/>
      <c r="AM95" s="557"/>
      <c r="AN95" s="557"/>
      <c r="AO95" s="557"/>
      <c r="AP95" s="557"/>
      <c r="AQ95" s="557"/>
      <c r="AR95" s="557"/>
      <c r="AS95" s="557"/>
      <c r="AT95" s="557"/>
      <c r="AU95" s="557"/>
      <c r="AV95" s="557"/>
      <c r="AW95" s="557"/>
      <c r="AX95" s="557"/>
      <c r="AY95" s="557"/>
      <c r="AZ95" s="557"/>
      <c r="BA95" s="557"/>
      <c r="BB95" s="557"/>
      <c r="BC95" s="557"/>
      <c r="BD95" s="557"/>
      <c r="BE95" s="557"/>
    </row>
    <row r="96" spans="1:57" hidden="1">
      <c r="A96" s="557"/>
      <c r="B96" s="557"/>
      <c r="C96" s="557"/>
      <c r="D96" s="557"/>
      <c r="E96" s="557"/>
      <c r="F96" s="557"/>
      <c r="G96" s="557"/>
      <c r="H96" s="557"/>
      <c r="I96" s="557"/>
      <c r="J96" s="557"/>
      <c r="K96" s="557"/>
      <c r="L96" s="557"/>
      <c r="M96" s="557"/>
      <c r="N96" s="557"/>
      <c r="O96" s="557"/>
      <c r="P96" s="557"/>
      <c r="Q96" s="557"/>
      <c r="R96" s="557"/>
      <c r="S96" s="557"/>
      <c r="T96" s="557"/>
      <c r="U96" s="557"/>
      <c r="V96" s="557"/>
      <c r="W96" s="557"/>
      <c r="X96" s="557"/>
      <c r="Y96" s="557"/>
      <c r="Z96" s="557"/>
      <c r="AA96" s="557"/>
      <c r="AB96" s="557"/>
      <c r="AC96" s="557"/>
      <c r="AD96" s="557"/>
      <c r="AE96" s="557"/>
      <c r="AF96" s="557"/>
      <c r="AG96" s="557"/>
      <c r="AH96" s="557"/>
      <c r="AI96" s="557"/>
      <c r="AJ96" s="557"/>
      <c r="AK96" s="557"/>
      <c r="AL96" s="557"/>
      <c r="AM96" s="557"/>
      <c r="AN96" s="557"/>
      <c r="AO96" s="557"/>
      <c r="AP96" s="557"/>
      <c r="AQ96" s="557"/>
      <c r="AR96" s="557"/>
      <c r="AS96" s="557"/>
      <c r="AT96" s="557"/>
      <c r="AU96" s="557"/>
      <c r="AV96" s="557"/>
      <c r="AW96" s="557"/>
      <c r="AX96" s="557"/>
      <c r="AY96" s="557"/>
      <c r="AZ96" s="557"/>
      <c r="BA96" s="557"/>
      <c r="BB96" s="557"/>
      <c r="BC96" s="557"/>
      <c r="BD96" s="557"/>
      <c r="BE96" s="557"/>
    </row>
    <row r="97" spans="1:57" hidden="1">
      <c r="A97" s="557"/>
      <c r="B97" s="557"/>
      <c r="C97" s="557"/>
      <c r="D97" s="557"/>
      <c r="E97" s="557"/>
      <c r="F97" s="557"/>
      <c r="G97" s="557"/>
      <c r="H97" s="557"/>
      <c r="I97" s="557"/>
      <c r="J97" s="557"/>
      <c r="K97" s="557"/>
      <c r="L97" s="557"/>
      <c r="M97" s="557"/>
      <c r="N97" s="557"/>
      <c r="O97" s="557"/>
      <c r="P97" s="557"/>
      <c r="Q97" s="557"/>
      <c r="R97" s="557"/>
      <c r="S97" s="557"/>
      <c r="T97" s="557"/>
      <c r="U97" s="557"/>
      <c r="V97" s="557"/>
      <c r="W97" s="557"/>
      <c r="X97" s="557"/>
      <c r="Y97" s="557"/>
      <c r="Z97" s="557"/>
      <c r="AA97" s="557"/>
      <c r="AB97" s="557"/>
      <c r="AC97" s="557"/>
      <c r="AD97" s="557"/>
      <c r="AE97" s="557"/>
      <c r="AF97" s="557"/>
      <c r="AG97" s="557"/>
      <c r="AH97" s="557"/>
      <c r="AI97" s="557"/>
      <c r="AJ97" s="557"/>
      <c r="AK97" s="557"/>
      <c r="AL97" s="557"/>
      <c r="AM97" s="557"/>
      <c r="AN97" s="557"/>
      <c r="AO97" s="557"/>
      <c r="AP97" s="557"/>
      <c r="AQ97" s="557"/>
      <c r="AR97" s="557"/>
      <c r="AS97" s="557"/>
      <c r="AT97" s="557"/>
      <c r="AU97" s="557"/>
      <c r="AV97" s="557"/>
      <c r="AW97" s="557"/>
      <c r="AX97" s="557"/>
      <c r="AY97" s="557"/>
      <c r="AZ97" s="557"/>
      <c r="BA97" s="557"/>
      <c r="BB97" s="557"/>
      <c r="BC97" s="557"/>
      <c r="BD97" s="557"/>
      <c r="BE97" s="557"/>
    </row>
    <row r="98" spans="1:57" hidden="1">
      <c r="A98" s="557"/>
      <c r="B98" s="557"/>
      <c r="C98" s="557"/>
      <c r="D98" s="557"/>
      <c r="E98" s="557"/>
      <c r="F98" s="557"/>
      <c r="G98" s="557"/>
      <c r="H98" s="557"/>
      <c r="I98" s="557"/>
      <c r="J98" s="557"/>
      <c r="K98" s="557"/>
      <c r="L98" s="557"/>
      <c r="M98" s="557"/>
      <c r="N98" s="557"/>
      <c r="O98" s="557"/>
      <c r="P98" s="557"/>
      <c r="Q98" s="557"/>
      <c r="R98" s="557"/>
      <c r="S98" s="557"/>
      <c r="T98" s="557"/>
      <c r="U98" s="557"/>
      <c r="V98" s="557"/>
      <c r="W98" s="557"/>
      <c r="X98" s="557"/>
      <c r="Y98" s="557"/>
      <c r="Z98" s="557"/>
      <c r="AA98" s="557"/>
      <c r="AB98" s="557"/>
      <c r="AC98" s="557"/>
      <c r="AD98" s="557"/>
      <c r="AE98" s="557"/>
      <c r="AF98" s="557"/>
      <c r="AG98" s="557"/>
      <c r="AH98" s="557"/>
      <c r="AI98" s="557"/>
      <c r="AJ98" s="557"/>
      <c r="AK98" s="557"/>
      <c r="AL98" s="557"/>
      <c r="AM98" s="557"/>
      <c r="AN98" s="557"/>
      <c r="AO98" s="557"/>
      <c r="AP98" s="557"/>
      <c r="AQ98" s="557"/>
      <c r="AR98" s="557"/>
      <c r="AS98" s="557"/>
      <c r="AT98" s="557"/>
      <c r="AU98" s="557"/>
      <c r="AV98" s="557"/>
      <c r="AW98" s="557"/>
      <c r="AX98" s="557"/>
      <c r="AY98" s="557"/>
      <c r="AZ98" s="557"/>
      <c r="BA98" s="557"/>
      <c r="BB98" s="557"/>
      <c r="BC98" s="557"/>
      <c r="BD98" s="557"/>
      <c r="BE98" s="557"/>
    </row>
    <row r="99" spans="1:57" hidden="1">
      <c r="A99" s="557"/>
      <c r="B99" s="557"/>
      <c r="C99" s="557"/>
      <c r="D99" s="557"/>
      <c r="E99" s="557"/>
      <c r="F99" s="557"/>
      <c r="G99" s="557"/>
      <c r="H99" s="557"/>
      <c r="I99" s="557"/>
      <c r="J99" s="557"/>
      <c r="K99" s="557"/>
      <c r="L99" s="557"/>
      <c r="M99" s="557"/>
      <c r="N99" s="557"/>
      <c r="O99" s="557"/>
      <c r="P99" s="557"/>
      <c r="Q99" s="557"/>
      <c r="R99" s="557"/>
      <c r="S99" s="557"/>
      <c r="T99" s="557"/>
      <c r="U99" s="557"/>
      <c r="V99" s="557"/>
      <c r="W99" s="557"/>
      <c r="X99" s="557"/>
      <c r="Y99" s="557"/>
      <c r="Z99" s="557"/>
      <c r="AA99" s="557"/>
      <c r="AB99" s="557"/>
      <c r="AC99" s="557"/>
      <c r="AD99" s="557"/>
      <c r="AE99" s="557"/>
      <c r="AF99" s="557"/>
      <c r="AG99" s="557"/>
      <c r="AH99" s="557"/>
      <c r="AI99" s="557"/>
      <c r="AJ99" s="557"/>
      <c r="AK99" s="557"/>
      <c r="AL99" s="557"/>
      <c r="AM99" s="557"/>
      <c r="AN99" s="557"/>
      <c r="AO99" s="557"/>
      <c r="AP99" s="557"/>
      <c r="AQ99" s="557"/>
      <c r="AR99" s="557"/>
      <c r="AS99" s="557"/>
      <c r="AT99" s="557"/>
      <c r="AU99" s="557"/>
      <c r="AV99" s="557"/>
      <c r="AW99" s="557"/>
      <c r="AX99" s="557"/>
      <c r="AY99" s="557"/>
      <c r="AZ99" s="557"/>
      <c r="BA99" s="557"/>
      <c r="BB99" s="557"/>
      <c r="BC99" s="557"/>
      <c r="BD99" s="557"/>
      <c r="BE99" s="557"/>
    </row>
    <row r="100" spans="1:57" hidden="1">
      <c r="A100" s="557"/>
      <c r="B100" s="557"/>
      <c r="C100" s="557"/>
      <c r="D100" s="557"/>
      <c r="E100" s="557"/>
      <c r="F100" s="557"/>
      <c r="G100" s="557"/>
      <c r="H100" s="557"/>
      <c r="I100" s="557"/>
      <c r="J100" s="557"/>
      <c r="K100" s="557"/>
      <c r="L100" s="557"/>
      <c r="M100" s="557"/>
      <c r="N100" s="557"/>
      <c r="O100" s="557"/>
      <c r="P100" s="557"/>
      <c r="Q100" s="557"/>
      <c r="R100" s="557"/>
      <c r="S100" s="557"/>
      <c r="T100" s="557"/>
      <c r="U100" s="557"/>
      <c r="V100" s="557"/>
      <c r="W100" s="557"/>
      <c r="X100" s="557"/>
      <c r="Y100" s="557"/>
      <c r="Z100" s="557"/>
      <c r="AA100" s="557"/>
      <c r="AB100" s="557"/>
      <c r="AC100" s="557"/>
      <c r="AD100" s="557"/>
      <c r="AE100" s="557"/>
      <c r="AF100" s="557"/>
      <c r="AG100" s="557"/>
      <c r="AH100" s="557"/>
      <c r="AI100" s="557"/>
      <c r="AJ100" s="557"/>
      <c r="AK100" s="557"/>
      <c r="AL100" s="557"/>
      <c r="AM100" s="557"/>
      <c r="AN100" s="557"/>
      <c r="AO100" s="557"/>
      <c r="AP100" s="557"/>
      <c r="AQ100" s="557"/>
      <c r="AR100" s="557"/>
      <c r="AS100" s="557"/>
      <c r="AT100" s="557"/>
      <c r="AU100" s="557"/>
      <c r="AV100" s="557"/>
      <c r="AW100" s="557"/>
      <c r="AX100" s="557"/>
      <c r="AY100" s="557"/>
      <c r="AZ100" s="557"/>
      <c r="BA100" s="557"/>
      <c r="BB100" s="557"/>
      <c r="BC100" s="557"/>
      <c r="BD100" s="557"/>
      <c r="BE100" s="557"/>
    </row>
    <row r="101" spans="1:57" hidden="1">
      <c r="A101" s="557"/>
      <c r="B101" s="557"/>
      <c r="C101" s="557"/>
      <c r="D101" s="557"/>
      <c r="E101" s="557"/>
      <c r="F101" s="557"/>
      <c r="G101" s="557"/>
      <c r="H101" s="557"/>
      <c r="I101" s="557"/>
      <c r="J101" s="557"/>
      <c r="K101" s="557"/>
      <c r="L101" s="557"/>
      <c r="M101" s="557"/>
      <c r="N101" s="557"/>
      <c r="O101" s="557"/>
      <c r="P101" s="557"/>
      <c r="Q101" s="557"/>
      <c r="R101" s="557"/>
      <c r="S101" s="557"/>
      <c r="T101" s="557"/>
      <c r="U101" s="557"/>
      <c r="V101" s="557"/>
      <c r="W101" s="557"/>
      <c r="X101" s="557"/>
      <c r="Y101" s="557"/>
      <c r="Z101" s="557"/>
      <c r="AA101" s="557"/>
      <c r="AB101" s="557"/>
      <c r="AC101" s="557"/>
      <c r="AD101" s="557"/>
      <c r="AE101" s="557"/>
      <c r="AF101" s="557"/>
      <c r="AG101" s="557"/>
      <c r="AH101" s="557"/>
      <c r="AI101" s="557"/>
      <c r="AJ101" s="557"/>
      <c r="AK101" s="557"/>
      <c r="AL101" s="557"/>
      <c r="AM101" s="557"/>
      <c r="AN101" s="557"/>
      <c r="AO101" s="557"/>
      <c r="AP101" s="557"/>
      <c r="AQ101" s="557"/>
      <c r="AR101" s="557"/>
      <c r="AS101" s="557"/>
      <c r="AT101" s="557"/>
      <c r="AU101" s="557"/>
      <c r="AV101" s="557"/>
      <c r="AW101" s="557"/>
      <c r="AX101" s="557"/>
      <c r="AY101" s="557"/>
      <c r="AZ101" s="557"/>
      <c r="BA101" s="557"/>
      <c r="BB101" s="557"/>
      <c r="BC101" s="557"/>
      <c r="BD101" s="557"/>
      <c r="BE101" s="557"/>
    </row>
    <row r="102" spans="1:57" hidden="1">
      <c r="A102" s="557"/>
      <c r="B102" s="557"/>
      <c r="C102" s="557"/>
      <c r="D102" s="557"/>
      <c r="E102" s="557"/>
      <c r="F102" s="557"/>
      <c r="G102" s="557"/>
      <c r="H102" s="557"/>
      <c r="I102" s="557"/>
      <c r="J102" s="557"/>
      <c r="K102" s="557"/>
      <c r="L102" s="557"/>
      <c r="M102" s="557"/>
      <c r="N102" s="557"/>
      <c r="O102" s="557"/>
      <c r="P102" s="557"/>
      <c r="Q102" s="557"/>
      <c r="R102" s="557"/>
      <c r="S102" s="557"/>
      <c r="T102" s="557"/>
      <c r="U102" s="557"/>
      <c r="V102" s="557"/>
      <c r="W102" s="557"/>
      <c r="X102" s="557"/>
      <c r="Y102" s="557"/>
      <c r="Z102" s="557"/>
      <c r="AA102" s="557"/>
      <c r="AB102" s="557"/>
      <c r="AC102" s="557"/>
      <c r="AD102" s="557"/>
      <c r="AE102" s="557"/>
      <c r="AF102" s="557"/>
      <c r="AG102" s="557"/>
      <c r="AH102" s="557"/>
      <c r="AI102" s="557"/>
      <c r="AJ102" s="557"/>
      <c r="AK102" s="557"/>
      <c r="AL102" s="557"/>
      <c r="AM102" s="557"/>
      <c r="AN102" s="557"/>
      <c r="AO102" s="557"/>
      <c r="AP102" s="557"/>
      <c r="AQ102" s="557"/>
      <c r="AR102" s="557"/>
      <c r="AS102" s="557"/>
      <c r="AT102" s="557"/>
      <c r="AU102" s="557"/>
      <c r="AV102" s="557"/>
      <c r="AW102" s="557"/>
      <c r="AX102" s="557"/>
      <c r="AY102" s="557"/>
      <c r="AZ102" s="557"/>
      <c r="BA102" s="557"/>
      <c r="BB102" s="557"/>
      <c r="BC102" s="557"/>
      <c r="BD102" s="557"/>
      <c r="BE102" s="557"/>
    </row>
    <row r="103" spans="1:57" hidden="1">
      <c r="A103" s="557"/>
      <c r="B103" s="557"/>
      <c r="C103" s="557"/>
      <c r="D103" s="557"/>
      <c r="E103" s="557"/>
      <c r="F103" s="557"/>
      <c r="G103" s="557"/>
      <c r="H103" s="557"/>
      <c r="I103" s="557"/>
      <c r="J103" s="557"/>
      <c r="K103" s="557"/>
      <c r="L103" s="557"/>
      <c r="M103" s="557"/>
      <c r="N103" s="557"/>
      <c r="O103" s="557"/>
      <c r="P103" s="557"/>
      <c r="Q103" s="557"/>
      <c r="R103" s="557"/>
      <c r="S103" s="557"/>
      <c r="T103" s="557"/>
      <c r="U103" s="557"/>
      <c r="V103" s="557"/>
      <c r="W103" s="557"/>
      <c r="X103" s="557"/>
      <c r="Y103" s="557"/>
      <c r="Z103" s="557"/>
      <c r="AA103" s="557"/>
      <c r="AB103" s="557"/>
      <c r="AC103" s="557"/>
      <c r="AD103" s="557"/>
      <c r="AE103" s="557"/>
      <c r="AF103" s="557"/>
      <c r="AG103" s="557"/>
      <c r="AH103" s="557"/>
      <c r="AI103" s="557"/>
      <c r="AJ103" s="557"/>
      <c r="AK103" s="557"/>
      <c r="AL103" s="557"/>
      <c r="AM103" s="557"/>
      <c r="AN103" s="557"/>
      <c r="AO103" s="557"/>
      <c r="AP103" s="557"/>
      <c r="AQ103" s="557"/>
      <c r="AR103" s="557"/>
      <c r="AS103" s="557"/>
      <c r="AT103" s="557"/>
      <c r="AU103" s="557"/>
      <c r="AV103" s="557"/>
      <c r="AW103" s="557"/>
      <c r="AX103" s="557"/>
      <c r="AY103" s="557"/>
      <c r="AZ103" s="557"/>
      <c r="BA103" s="557"/>
      <c r="BB103" s="557"/>
      <c r="BC103" s="557"/>
      <c r="BD103" s="557"/>
      <c r="BE103" s="557"/>
    </row>
  </sheetData>
  <mergeCells count="1">
    <mergeCell ref="B6:O25"/>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tabColor theme="9" tint="0.79998168889431442"/>
  </sheetPr>
  <dimension ref="A1:XFD55"/>
  <sheetViews>
    <sheetView topLeftCell="A10" zoomScale="70" zoomScaleNormal="70" workbookViewId="0">
      <selection activeCell="D35" sqref="D35"/>
    </sheetView>
  </sheetViews>
  <sheetFormatPr defaultColWidth="0" defaultRowHeight="15"/>
  <cols>
    <col min="1" max="3" width="1.85546875" customWidth="1"/>
    <col min="4" max="4" width="7.140625" bestFit="1" customWidth="1"/>
    <col min="5" max="5" width="25.85546875" customWidth="1"/>
    <col min="6" max="6" width="4.5703125" customWidth="1"/>
    <col min="7" max="7" width="19.85546875" customWidth="1"/>
    <col min="8" max="8" width="1.85546875" customWidth="1"/>
    <col min="9" max="9" width="19.85546875" customWidth="1"/>
    <col min="10" max="10" width="1.85546875" customWidth="1"/>
    <col min="11" max="16" width="19.85546875" customWidth="1"/>
    <col min="17" max="17" width="9.85546875" customWidth="1"/>
    <col min="18" max="19" width="19.85546875" customWidth="1"/>
    <col min="20" max="20" width="1.85546875" customWidth="1"/>
    <col min="21" max="23" width="19.85546875" customWidth="1"/>
    <col min="24" max="24" width="2.5703125" customWidth="1"/>
    <col min="25" max="32" width="19.85546875" customWidth="1"/>
    <col min="33" max="33" width="1.85546875" customWidth="1"/>
    <col min="34" max="40" width="19.85546875" customWidth="1"/>
    <col min="41" max="41" width="1.85546875" customWidth="1"/>
    <col min="42" max="42" width="14.85546875" customWidth="1"/>
    <col min="43" max="43" width="1.85546875" customWidth="1"/>
    <col min="44" max="44" width="15.42578125" customWidth="1"/>
    <col min="45" max="45" width="15" customWidth="1"/>
    <col min="46" max="46" width="16.42578125" customWidth="1"/>
    <col min="47" max="47" width="22.85546875" customWidth="1"/>
    <col min="48" max="48" width="15.85546875" customWidth="1"/>
    <col min="49" max="49" width="15.42578125" customWidth="1"/>
    <col min="50" max="51" width="15" customWidth="1"/>
    <col min="52" max="52" width="24.140625" customWidth="1"/>
    <col min="53" max="54" width="14.42578125" customWidth="1"/>
    <col min="55" max="55" width="1.85546875" customWidth="1"/>
    <col min="56" max="56" width="17.42578125" customWidth="1"/>
    <col min="57" max="57" width="16" customWidth="1"/>
    <col min="58" max="59" width="17.140625" customWidth="1"/>
    <col min="60" max="60" width="17.42578125" customWidth="1"/>
    <col min="61" max="61" width="16.85546875" customWidth="1"/>
    <col min="62" max="62" width="15.42578125" customWidth="1"/>
    <col min="63" max="63" width="17.140625" customWidth="1"/>
    <col min="64" max="64" width="16.85546875" customWidth="1"/>
    <col min="65" max="65" width="15.42578125" customWidth="1"/>
    <col min="66" max="66" width="15.85546875" customWidth="1"/>
    <col min="67" max="67" width="1.85546875" customWidth="1"/>
    <col min="68" max="68" width="17.140625" customWidth="1"/>
    <col min="69" max="69" width="16.85546875" customWidth="1"/>
    <col min="70" max="70" width="18.85546875" customWidth="1"/>
    <col min="71" max="71" width="17.140625" customWidth="1"/>
    <col min="72" max="72" width="17.42578125" customWidth="1"/>
    <col min="73" max="73" width="17.140625" customWidth="1"/>
    <col min="74" max="74" width="15.140625" customWidth="1"/>
    <col min="75" max="75" width="17.42578125" customWidth="1"/>
    <col min="76" max="76" width="16.85546875" customWidth="1"/>
    <col min="77" max="78" width="15.42578125" customWidth="1"/>
    <col min="79" max="79" width="1.85546875" customWidth="1"/>
    <col min="80" max="80" width="23.85546875" customWidth="1"/>
    <col min="81" max="81" width="22.42578125" customWidth="1"/>
    <col min="82" max="82" width="1.85546875" customWidth="1"/>
    <col min="83" max="83" width="15.85546875" customWidth="1"/>
    <col min="84" max="84" width="1.85546875" customWidth="1"/>
    <col min="85" max="85" width="19.85546875" customWidth="1"/>
    <col min="86" max="90" width="9.140625" hidden="1" customWidth="1"/>
    <col min="91" max="109" width="0" hidden="1" customWidth="1"/>
    <col min="110" max="16384" width="9.140625" hidden="1"/>
  </cols>
  <sheetData>
    <row r="1" spans="5:85">
      <c r="E1" t="s">
        <v>883</v>
      </c>
    </row>
    <row r="2" spans="5:85">
      <c r="E2" t="s">
        <v>884</v>
      </c>
    </row>
    <row r="4" spans="5:85" s="114" customFormat="1" ht="14.25"/>
    <row r="5" spans="5:85">
      <c r="AR5" s="731">
        <v>2015</v>
      </c>
      <c r="AS5" s="732"/>
      <c r="AT5" s="732"/>
      <c r="AU5" s="732"/>
      <c r="AV5" s="732"/>
      <c r="AW5" s="732"/>
      <c r="AX5" s="732"/>
      <c r="AY5" s="732"/>
      <c r="AZ5" s="732"/>
      <c r="BA5" s="732"/>
      <c r="BB5" s="733"/>
      <c r="BC5" s="81"/>
      <c r="BD5" s="734">
        <v>2025</v>
      </c>
      <c r="BE5" s="735"/>
      <c r="BF5" s="735"/>
      <c r="BG5" s="735"/>
      <c r="BH5" s="735"/>
      <c r="BI5" s="735"/>
      <c r="BJ5" s="735"/>
      <c r="BK5" s="735"/>
      <c r="BL5" s="735"/>
      <c r="BM5" s="735"/>
      <c r="BN5" s="736"/>
      <c r="BO5" s="81"/>
      <c r="BP5" s="734">
        <v>2050</v>
      </c>
      <c r="BQ5" s="735"/>
      <c r="BR5" s="735"/>
      <c r="BS5" s="735"/>
      <c r="BT5" s="735"/>
      <c r="BU5" s="735"/>
      <c r="BV5" s="735"/>
      <c r="BW5" s="735"/>
      <c r="BX5" s="735"/>
      <c r="BY5" s="735"/>
      <c r="BZ5" s="736"/>
    </row>
    <row r="6" spans="5:85" s="494" customFormat="1" ht="45">
      <c r="E6" s="494" t="s">
        <v>885</v>
      </c>
      <c r="G6" s="494" t="s">
        <v>886</v>
      </c>
      <c r="I6" s="494" t="s">
        <v>887</v>
      </c>
      <c r="K6" s="494" t="s">
        <v>888</v>
      </c>
      <c r="L6" s="494" t="s">
        <v>889</v>
      </c>
      <c r="M6" s="494" t="s">
        <v>890</v>
      </c>
      <c r="N6" s="494" t="s">
        <v>891</v>
      </c>
      <c r="O6" s="494" t="s">
        <v>892</v>
      </c>
      <c r="P6" s="494" t="s">
        <v>893</v>
      </c>
      <c r="R6" s="494" t="s">
        <v>894</v>
      </c>
      <c r="S6" s="494" t="s">
        <v>895</v>
      </c>
      <c r="U6" s="494" t="s">
        <v>896</v>
      </c>
      <c r="V6" s="494" t="s">
        <v>897</v>
      </c>
      <c r="W6" s="494" t="s">
        <v>898</v>
      </c>
      <c r="Y6" s="494" t="s">
        <v>899</v>
      </c>
      <c r="Z6" s="494" t="s">
        <v>900</v>
      </c>
      <c r="AA6" s="494" t="s">
        <v>901</v>
      </c>
      <c r="AB6" s="494" t="s">
        <v>902</v>
      </c>
      <c r="AC6" s="494" t="s">
        <v>903</v>
      </c>
      <c r="AD6" s="494" t="s">
        <v>904</v>
      </c>
      <c r="AE6" s="494" t="s">
        <v>905</v>
      </c>
      <c r="AF6" s="494" t="s">
        <v>906</v>
      </c>
      <c r="AH6" s="494" t="s">
        <v>907</v>
      </c>
      <c r="AI6" s="494" t="s">
        <v>908</v>
      </c>
      <c r="AJ6" s="494" t="s">
        <v>909</v>
      </c>
      <c r="AK6" s="494" t="s">
        <v>910</v>
      </c>
      <c r="AL6" s="494" t="s">
        <v>911</v>
      </c>
      <c r="AM6" s="494" t="s">
        <v>912</v>
      </c>
      <c r="AN6" s="494" t="s">
        <v>913</v>
      </c>
      <c r="AP6" s="494" t="s">
        <v>914</v>
      </c>
      <c r="AR6" s="494" t="s">
        <v>915</v>
      </c>
      <c r="AS6" s="494" t="s">
        <v>916</v>
      </c>
      <c r="AT6" s="494" t="s">
        <v>917</v>
      </c>
      <c r="AU6" s="494" t="s">
        <v>918</v>
      </c>
      <c r="AV6" s="494" t="s">
        <v>919</v>
      </c>
      <c r="AW6" s="494" t="s">
        <v>920</v>
      </c>
      <c r="AX6" s="494" t="s">
        <v>921</v>
      </c>
      <c r="AY6" s="494" t="s">
        <v>922</v>
      </c>
      <c r="AZ6" s="494" t="s">
        <v>923</v>
      </c>
      <c r="BA6" s="494" t="s">
        <v>924</v>
      </c>
      <c r="BB6" s="494" t="s">
        <v>925</v>
      </c>
      <c r="BD6" s="494" t="s">
        <v>915</v>
      </c>
      <c r="BE6" s="494" t="s">
        <v>916</v>
      </c>
      <c r="BF6" s="494" t="s">
        <v>917</v>
      </c>
      <c r="BG6" s="494" t="s">
        <v>918</v>
      </c>
      <c r="BH6" s="494" t="s">
        <v>919</v>
      </c>
      <c r="BI6" s="494" t="s">
        <v>920</v>
      </c>
      <c r="BJ6" s="494" t="s">
        <v>921</v>
      </c>
      <c r="BK6" s="494" t="s">
        <v>922</v>
      </c>
      <c r="BL6" s="494" t="s">
        <v>923</v>
      </c>
      <c r="BM6" s="494" t="s">
        <v>924</v>
      </c>
      <c r="BN6" s="494" t="s">
        <v>925</v>
      </c>
      <c r="BP6" s="494" t="s">
        <v>915</v>
      </c>
      <c r="BQ6" s="494" t="s">
        <v>916</v>
      </c>
      <c r="BR6" s="494" t="s">
        <v>917</v>
      </c>
      <c r="BS6" s="494" t="s">
        <v>918</v>
      </c>
      <c r="BT6" s="494" t="s">
        <v>919</v>
      </c>
      <c r="BU6" s="494" t="s">
        <v>920</v>
      </c>
      <c r="BV6" s="494" t="s">
        <v>921</v>
      </c>
      <c r="BW6" s="494" t="s">
        <v>922</v>
      </c>
      <c r="BX6" s="494" t="s">
        <v>923</v>
      </c>
      <c r="BY6" s="494" t="s">
        <v>924</v>
      </c>
      <c r="BZ6" s="494" t="s">
        <v>925</v>
      </c>
      <c r="CB6" s="494" t="s">
        <v>926</v>
      </c>
      <c r="CC6" s="494" t="s">
        <v>927</v>
      </c>
      <c r="CE6" s="494" t="s">
        <v>928</v>
      </c>
      <c r="CG6" s="494" t="s">
        <v>929</v>
      </c>
    </row>
    <row r="7" spans="5:85">
      <c r="E7" t="s">
        <v>632</v>
      </c>
      <c r="G7" s="159">
        <v>315.14</v>
      </c>
      <c r="H7" s="159"/>
      <c r="I7" s="184">
        <v>0.37417073174167037</v>
      </c>
      <c r="K7" s="159">
        <v>4385</v>
      </c>
      <c r="L7" s="159">
        <v>5064.608695652174</v>
      </c>
      <c r="M7" s="159">
        <v>5550.04347826087</v>
      </c>
      <c r="N7" s="159">
        <v>6376.2034951492005</v>
      </c>
      <c r="O7" s="159">
        <v>7640.1757028389047</v>
      </c>
      <c r="P7" s="159">
        <v>8321.6261713981748</v>
      </c>
      <c r="Q7" s="159"/>
      <c r="R7" s="184">
        <v>0.94</v>
      </c>
      <c r="S7" s="159">
        <v>3936.6261713981748</v>
      </c>
      <c r="T7" s="159"/>
      <c r="U7" s="184">
        <v>0.23421559110328175</v>
      </c>
      <c r="V7" s="184">
        <v>0.30131031075465942</v>
      </c>
      <c r="W7" s="184">
        <v>0.46447409814205881</v>
      </c>
      <c r="Y7" s="184">
        <v>0.2492588369441277</v>
      </c>
      <c r="Z7" s="184">
        <v>0.17377423033067274</v>
      </c>
      <c r="AA7" s="184">
        <v>2.9646522234891676E-3</v>
      </c>
      <c r="AB7" s="184">
        <v>0.10444697833523375</v>
      </c>
      <c r="AC7" s="184">
        <v>6.088939566704675E-2</v>
      </c>
      <c r="AD7" s="184">
        <v>0.33090079817559864</v>
      </c>
      <c r="AE7" s="184">
        <v>2.7822120866590649E-2</v>
      </c>
      <c r="AF7" s="184">
        <v>4.9942987457240594E-2</v>
      </c>
      <c r="AH7" s="159">
        <v>5513</v>
      </c>
      <c r="AI7" s="159">
        <v>2.1</v>
      </c>
      <c r="AJ7" s="159">
        <v>1.3</v>
      </c>
      <c r="AK7" s="159">
        <v>7.9</v>
      </c>
      <c r="AL7" s="159">
        <v>523.5</v>
      </c>
      <c r="AM7" s="159">
        <v>20.8</v>
      </c>
      <c r="AN7" s="159">
        <v>44.5</v>
      </c>
      <c r="AO7" s="159"/>
      <c r="AP7" s="159">
        <v>5856004.3538749628</v>
      </c>
      <c r="AR7" s="159">
        <v>180224.68933544803</v>
      </c>
      <c r="AS7" s="159">
        <v>213399.93566455197</v>
      </c>
      <c r="AT7" s="159">
        <v>4994000</v>
      </c>
      <c r="AU7" s="159">
        <v>0</v>
      </c>
      <c r="AV7" s="159">
        <v>104000</v>
      </c>
      <c r="AW7" s="159">
        <v>36230.671698113205</v>
      </c>
      <c r="AX7" s="159">
        <v>4306.670909090908</v>
      </c>
      <c r="AY7" s="159">
        <v>23744.947738346415</v>
      </c>
      <c r="AZ7" s="159">
        <v>117443.43852941175</v>
      </c>
      <c r="BA7" s="159">
        <v>169130</v>
      </c>
      <c r="BB7" s="159">
        <v>13524</v>
      </c>
      <c r="BC7" s="159"/>
      <c r="BD7" s="159">
        <v>205078.42324153829</v>
      </c>
      <c r="BE7" s="159">
        <v>213399.93566455197</v>
      </c>
      <c r="BF7" s="159">
        <v>5477761.1520000007</v>
      </c>
      <c r="BG7" s="159">
        <v>0</v>
      </c>
      <c r="BH7" s="159">
        <v>104000</v>
      </c>
      <c r="BI7" s="159">
        <v>53589.651977838905</v>
      </c>
      <c r="BJ7" s="159">
        <v>6077.293638310296</v>
      </c>
      <c r="BK7" s="159">
        <v>32103.591791433137</v>
      </c>
      <c r="BL7" s="159">
        <v>158785.61834194505</v>
      </c>
      <c r="BM7" s="159">
        <v>228666.76901194162</v>
      </c>
      <c r="BN7" s="159">
        <v>18284.688607092172</v>
      </c>
      <c r="BO7" s="159"/>
      <c r="BP7" s="159">
        <v>309607.30511729012</v>
      </c>
      <c r="BQ7" s="159">
        <v>216362.81946109846</v>
      </c>
      <c r="BR7" s="159">
        <v>5798615.5519999992</v>
      </c>
      <c r="BS7" s="159">
        <v>0</v>
      </c>
      <c r="BT7" s="159">
        <v>104000</v>
      </c>
      <c r="BU7" s="159">
        <v>84587.831048777647</v>
      </c>
      <c r="BV7" s="159">
        <v>10318.836019583116</v>
      </c>
      <c r="BW7" s="159">
        <v>43682.095748524021</v>
      </c>
      <c r="BX7" s="159">
        <v>216053.35094474809</v>
      </c>
      <c r="BY7" s="159">
        <v>311137.8864825567</v>
      </c>
      <c r="BZ7" s="159">
        <v>24879.257238751834</v>
      </c>
      <c r="CB7" s="159">
        <v>31957039</v>
      </c>
      <c r="CC7" s="159">
        <v>26823497</v>
      </c>
      <c r="CD7" s="159"/>
      <c r="CE7" s="159">
        <v>2624</v>
      </c>
      <c r="CF7" s="159"/>
      <c r="CG7" s="159">
        <v>1297111</v>
      </c>
    </row>
    <row r="8" spans="5:85">
      <c r="E8" t="s">
        <v>626</v>
      </c>
      <c r="G8" s="159">
        <v>3777.99</v>
      </c>
      <c r="H8" s="159"/>
      <c r="I8" s="184">
        <v>5.7316369223528903E-3</v>
      </c>
      <c r="K8" s="159">
        <v>69681</v>
      </c>
      <c r="L8" s="159">
        <v>78663.521739130432</v>
      </c>
      <c r="M8" s="159">
        <v>85079.608695652147</v>
      </c>
      <c r="N8" s="159">
        <v>95798.471515124998</v>
      </c>
      <c r="O8" s="159">
        <v>112103.32758885327</v>
      </c>
      <c r="P8" s="159">
        <v>120708.87931475524</v>
      </c>
      <c r="Q8" s="159"/>
      <c r="R8" s="184">
        <v>0.85838953808676888</v>
      </c>
      <c r="S8" s="159">
        <v>51027.879314755526</v>
      </c>
      <c r="T8" s="159"/>
      <c r="U8" s="184">
        <v>0.53996183679403964</v>
      </c>
      <c r="V8" s="184">
        <v>0.18312585095599329</v>
      </c>
      <c r="W8" s="184">
        <v>0.27691231224996699</v>
      </c>
      <c r="Y8" s="184">
        <v>0.17089306984687361</v>
      </c>
      <c r="Z8" s="184">
        <v>0.29299235085604397</v>
      </c>
      <c r="AA8" s="184">
        <v>1.3002109613811513E-2</v>
      </c>
      <c r="AB8" s="184">
        <v>0.28389374434924874</v>
      </c>
      <c r="AC8" s="184">
        <v>5.2769047516539658E-2</v>
      </c>
      <c r="AD8" s="184">
        <v>0.16588453093382702</v>
      </c>
      <c r="AE8" s="184">
        <v>1.1036006945939352E-2</v>
      </c>
      <c r="AF8" s="184">
        <v>9.5291399377161641E-3</v>
      </c>
      <c r="AH8" s="159">
        <v>71079</v>
      </c>
      <c r="AI8" s="159">
        <v>444.89999999999981</v>
      </c>
      <c r="AJ8" s="159">
        <v>2209.9</v>
      </c>
      <c r="AK8" s="159">
        <v>5182.9999999999982</v>
      </c>
      <c r="AL8" s="159">
        <v>2747.5000000000014</v>
      </c>
      <c r="AM8" s="159">
        <v>274.79999999999995</v>
      </c>
      <c r="AN8" s="159">
        <v>135.79999999999995</v>
      </c>
      <c r="AO8" s="159"/>
      <c r="AP8" s="159">
        <v>1940060.6156294132</v>
      </c>
      <c r="AR8" s="159">
        <v>198917.52747271158</v>
      </c>
      <c r="AS8" s="159">
        <v>77077.472527288308</v>
      </c>
      <c r="AT8" s="159">
        <v>96000</v>
      </c>
      <c r="AU8" s="159">
        <v>268156.23995938868</v>
      </c>
      <c r="AV8" s="159">
        <v>628843.76004061126</v>
      </c>
      <c r="AW8" s="159">
        <v>13249.889502762431</v>
      </c>
      <c r="AX8" s="159">
        <v>26695.000000000011</v>
      </c>
      <c r="AY8" s="159">
        <v>398077.8913092062</v>
      </c>
      <c r="AZ8" s="159">
        <v>156483.12481744419</v>
      </c>
      <c r="BA8" s="159">
        <v>17157.8</v>
      </c>
      <c r="BB8" s="159">
        <v>59401.91</v>
      </c>
      <c r="BC8" s="159"/>
      <c r="BD8" s="159">
        <v>229775.9158515851</v>
      </c>
      <c r="BE8" s="159">
        <v>77077.472527288308</v>
      </c>
      <c r="BF8" s="159">
        <v>105064.71999999994</v>
      </c>
      <c r="BG8" s="159">
        <v>254325.02337200963</v>
      </c>
      <c r="BH8" s="159">
        <v>596408.66083851666</v>
      </c>
      <c r="BI8" s="159">
        <v>18580.304819965706</v>
      </c>
      <c r="BJ8" s="159">
        <v>29962.697440095981</v>
      </c>
      <c r="BK8" s="159">
        <v>485365.94384459918</v>
      </c>
      <c r="BL8" s="159">
        <v>190795.77447262904</v>
      </c>
      <c r="BM8" s="159">
        <v>20920.056032019758</v>
      </c>
      <c r="BN8" s="159">
        <v>72427.192624287185</v>
      </c>
      <c r="BO8" s="159"/>
      <c r="BP8" s="159">
        <v>224336.85927887177</v>
      </c>
      <c r="BQ8" s="159">
        <v>77193.42843049673</v>
      </c>
      <c r="BR8" s="159">
        <v>131118.72000000012</v>
      </c>
      <c r="BS8" s="159">
        <v>229626.42232311858</v>
      </c>
      <c r="BT8" s="159">
        <v>538488.84083477617</v>
      </c>
      <c r="BU8" s="159">
        <v>28098.903600685844</v>
      </c>
      <c r="BV8" s="159">
        <v>41800.230317076363</v>
      </c>
      <c r="BW8" s="159">
        <v>619101.93158808514</v>
      </c>
      <c r="BX8" s="159">
        <v>243366.95644362876</v>
      </c>
      <c r="BY8" s="159">
        <v>26684.293083614375</v>
      </c>
      <c r="BZ8" s="159">
        <v>92383.520973929277</v>
      </c>
      <c r="CB8" s="159">
        <v>746935468</v>
      </c>
      <c r="CC8" s="159">
        <v>270013041</v>
      </c>
      <c r="CD8" s="159"/>
      <c r="CE8" s="159">
        <v>65715</v>
      </c>
      <c r="CF8" s="159"/>
      <c r="CG8" s="159">
        <v>2594939</v>
      </c>
    </row>
    <row r="9" spans="5:85">
      <c r="E9" t="s">
        <v>627</v>
      </c>
      <c r="G9" s="159">
        <v>8673.7199999999939</v>
      </c>
      <c r="H9" s="159"/>
      <c r="I9" s="184">
        <v>0.14400618880035446</v>
      </c>
      <c r="K9" s="159">
        <v>135916</v>
      </c>
      <c r="L9" s="159">
        <v>149626.5652173913</v>
      </c>
      <c r="M9" s="159">
        <v>159419.8260869566</v>
      </c>
      <c r="N9" s="159">
        <v>177127.9070577737</v>
      </c>
      <c r="O9" s="159">
        <v>204709.46030375542</v>
      </c>
      <c r="P9" s="159">
        <v>220539.10050626</v>
      </c>
      <c r="Q9" s="159"/>
      <c r="R9" s="184">
        <v>0.82635012016592901</v>
      </c>
      <c r="S9" s="159">
        <v>84623.100506260002</v>
      </c>
      <c r="T9" s="159"/>
      <c r="U9" s="184">
        <v>0.56945872668067954</v>
      </c>
      <c r="V9" s="184">
        <v>0.16551579342500983</v>
      </c>
      <c r="W9" s="184">
        <v>0.26502547989431058</v>
      </c>
      <c r="Y9" s="184">
        <v>0.28035698519673918</v>
      </c>
      <c r="Z9" s="184">
        <v>0.29610200417905175</v>
      </c>
      <c r="AA9" s="184">
        <v>8.7627652373524819E-3</v>
      </c>
      <c r="AB9" s="184">
        <v>8.5817710939109448E-2</v>
      </c>
      <c r="AC9" s="184">
        <v>5.6431913829129758E-2</v>
      </c>
      <c r="AD9" s="184">
        <v>0.24408458165337416</v>
      </c>
      <c r="AE9" s="184">
        <v>1.2353218164160216E-2</v>
      </c>
      <c r="AF9" s="184">
        <v>1.6090820801083022E-2</v>
      </c>
      <c r="AH9" s="159">
        <v>139346</v>
      </c>
      <c r="AI9" s="159">
        <v>2489.7000000000003</v>
      </c>
      <c r="AJ9" s="159">
        <v>6558.8999999999978</v>
      </c>
      <c r="AK9" s="159">
        <v>3450.300000000002</v>
      </c>
      <c r="AL9" s="159">
        <v>6397.8000000000038</v>
      </c>
      <c r="AM9" s="159">
        <v>1817.1999999999996</v>
      </c>
      <c r="AN9" s="159">
        <v>360.5</v>
      </c>
      <c r="AO9" s="159"/>
      <c r="AP9" s="159">
        <v>2370369.5019498141</v>
      </c>
      <c r="AR9" s="159">
        <v>514091.72128812392</v>
      </c>
      <c r="AS9" s="159">
        <v>209788.5287118761</v>
      </c>
      <c r="AT9" s="159">
        <v>356000</v>
      </c>
      <c r="AU9" s="159">
        <v>96599.002725710292</v>
      </c>
      <c r="AV9" s="159">
        <v>121400.99727428971</v>
      </c>
      <c r="AW9" s="159">
        <v>60949.491712707168</v>
      </c>
      <c r="AX9" s="159">
        <v>132126.42857142843</v>
      </c>
      <c r="AY9" s="159">
        <v>605325.5459658805</v>
      </c>
      <c r="AZ9" s="159">
        <v>195159.27569979712</v>
      </c>
      <c r="BA9" s="159">
        <v>42642</v>
      </c>
      <c r="BB9" s="159">
        <v>36286.51</v>
      </c>
      <c r="BC9" s="159"/>
      <c r="BD9" s="159">
        <v>613389.85338900483</v>
      </c>
      <c r="BE9" s="159">
        <v>209788.5287118761</v>
      </c>
      <c r="BF9" s="159">
        <v>400527.39200000023</v>
      </c>
      <c r="BG9" s="159">
        <v>90719.063429362708</v>
      </c>
      <c r="BH9" s="159">
        <v>114011.37135324597</v>
      </c>
      <c r="BI9" s="159">
        <v>78435.001630287108</v>
      </c>
      <c r="BJ9" s="159">
        <v>148508.63684836321</v>
      </c>
      <c r="BK9" s="159">
        <v>715449.82564906706</v>
      </c>
      <c r="BL9" s="159">
        <v>230663.7654791596</v>
      </c>
      <c r="BM9" s="159">
        <v>50399.67612245318</v>
      </c>
      <c r="BN9" s="159">
        <v>42887.959092307079</v>
      </c>
      <c r="BO9" s="159"/>
      <c r="BP9" s="159">
        <v>758398.86108827114</v>
      </c>
      <c r="BQ9" s="159">
        <v>213454.52910648106</v>
      </c>
      <c r="BR9" s="159">
        <v>553859.7919999999</v>
      </c>
      <c r="BS9" s="159">
        <v>80219.171828742008</v>
      </c>
      <c r="BT9" s="159">
        <v>100815.61077995365</v>
      </c>
      <c r="BU9" s="159">
        <v>109659.12648310843</v>
      </c>
      <c r="BV9" s="159">
        <v>203330.54840260374</v>
      </c>
      <c r="BW9" s="159">
        <v>884677.56061610067</v>
      </c>
      <c r="BX9" s="159">
        <v>285223.43573359336</v>
      </c>
      <c r="BY9" s="159">
        <v>62320.879717040938</v>
      </c>
      <c r="BZ9" s="159">
        <v>53032.391188527821</v>
      </c>
      <c r="CB9" s="159">
        <v>2217640053</v>
      </c>
      <c r="CC9" s="159">
        <v>632546652</v>
      </c>
      <c r="CD9" s="159"/>
      <c r="CE9" s="159">
        <v>126561</v>
      </c>
      <c r="CF9" s="159"/>
      <c r="CG9" s="159">
        <v>3506388</v>
      </c>
    </row>
    <row r="10" spans="5:85">
      <c r="E10" t="s">
        <v>628</v>
      </c>
      <c r="G10" s="159">
        <v>6426.43</v>
      </c>
      <c r="H10" s="159"/>
      <c r="I10" s="184">
        <v>2.2562460556559395E-2</v>
      </c>
      <c r="K10" s="159">
        <v>92604</v>
      </c>
      <c r="L10" s="159">
        <v>96240.043478260894</v>
      </c>
      <c r="M10" s="159">
        <v>98837.217391304366</v>
      </c>
      <c r="N10" s="159">
        <v>104655.52771649246</v>
      </c>
      <c r="O10" s="159">
        <v>114214.40923643377</v>
      </c>
      <c r="P10" s="159">
        <v>120656.6820607229</v>
      </c>
      <c r="Q10" s="159"/>
      <c r="R10" s="184">
        <v>0.79216593552381975</v>
      </c>
      <c r="S10" s="159">
        <v>28052.682060722636</v>
      </c>
      <c r="T10" s="159"/>
      <c r="U10" s="184">
        <v>0.53245793468366498</v>
      </c>
      <c r="V10" s="184">
        <v>0.18899094802859637</v>
      </c>
      <c r="W10" s="184">
        <v>0.27855111728773907</v>
      </c>
      <c r="Y10" s="184">
        <v>0.32533151915683989</v>
      </c>
      <c r="Z10" s="184">
        <v>0.399842339423783</v>
      </c>
      <c r="AA10" s="184">
        <v>8.1421968813442189E-3</v>
      </c>
      <c r="AB10" s="184">
        <v>1.8282147639410825E-2</v>
      </c>
      <c r="AC10" s="184">
        <v>0.12617165565202368</v>
      </c>
      <c r="AD10" s="184">
        <v>0.10497386721955855</v>
      </c>
      <c r="AE10" s="184">
        <v>9.0168891192605079E-3</v>
      </c>
      <c r="AF10" s="184">
        <v>8.239384907779361E-3</v>
      </c>
      <c r="AH10" s="159">
        <v>95037</v>
      </c>
      <c r="AI10" s="159">
        <v>1060.0999999999999</v>
      </c>
      <c r="AJ10" s="159">
        <v>6750.5999999999985</v>
      </c>
      <c r="AK10" s="159">
        <v>3651.7999999999993</v>
      </c>
      <c r="AL10" s="159">
        <v>2695.4</v>
      </c>
      <c r="AM10" s="159">
        <v>242.99999999999994</v>
      </c>
      <c r="AN10" s="159">
        <v>195.59999999999997</v>
      </c>
      <c r="AO10" s="159"/>
      <c r="AP10" s="159">
        <v>2183163.7516248729</v>
      </c>
      <c r="AR10" s="159">
        <v>291572.22300050809</v>
      </c>
      <c r="AS10" s="159">
        <v>160162.15199949197</v>
      </c>
      <c r="AT10" s="159">
        <v>147000</v>
      </c>
      <c r="AU10" s="159">
        <v>379956.14264458185</v>
      </c>
      <c r="AV10" s="159">
        <v>550043.85735541815</v>
      </c>
      <c r="AW10" s="159">
        <v>15899.867403314918</v>
      </c>
      <c r="AX10" s="159">
        <v>43220.476190476169</v>
      </c>
      <c r="AY10" s="159">
        <v>405448.3002988291</v>
      </c>
      <c r="AZ10" s="159">
        <v>151891.93373225152</v>
      </c>
      <c r="BA10" s="159">
        <v>10967.609</v>
      </c>
      <c r="BB10" s="159">
        <v>27001.189999999995</v>
      </c>
      <c r="BC10" s="159"/>
      <c r="BD10" s="159">
        <v>341372.20215181657</v>
      </c>
      <c r="BE10" s="159">
        <v>160162.15199949197</v>
      </c>
      <c r="BF10" s="159">
        <v>161655.39600000001</v>
      </c>
      <c r="BG10" s="159">
        <v>357245.29161364387</v>
      </c>
      <c r="BH10" s="159">
        <v>517166.47309223848</v>
      </c>
      <c r="BI10" s="159">
        <v>21521.032646911099</v>
      </c>
      <c r="BJ10" s="159">
        <v>46411.112639691797</v>
      </c>
      <c r="BK10" s="159">
        <v>437799.31021763105</v>
      </c>
      <c r="BL10" s="159">
        <v>164011.49978083622</v>
      </c>
      <c r="BM10" s="159">
        <v>11842.722367803075</v>
      </c>
      <c r="BN10" s="159">
        <v>29155.634265435685</v>
      </c>
      <c r="BO10" s="159"/>
      <c r="BP10" s="159">
        <v>375608.97583026002</v>
      </c>
      <c r="BQ10" s="159">
        <v>161893.37117350771</v>
      </c>
      <c r="BR10" s="159">
        <v>213766.59599999996</v>
      </c>
      <c r="BS10" s="159">
        <v>316690.20048696885</v>
      </c>
      <c r="BT10" s="159">
        <v>458456.85833656049</v>
      </c>
      <c r="BU10" s="159">
        <v>31558.827724761424</v>
      </c>
      <c r="BV10" s="159">
        <v>56637.354833648096</v>
      </c>
      <c r="BW10" s="159">
        <v>484495.63276899559</v>
      </c>
      <c r="BX10" s="159">
        <v>181505.20915212744</v>
      </c>
      <c r="BY10" s="159">
        <v>13105.884667666658</v>
      </c>
      <c r="BZ10" s="159">
        <v>32265.417378551174</v>
      </c>
      <c r="CB10" s="159">
        <v>1260135522</v>
      </c>
      <c r="CC10" s="159">
        <v>387005579</v>
      </c>
      <c r="CD10" s="159"/>
      <c r="CE10" s="159">
        <v>88773</v>
      </c>
      <c r="CF10" s="159"/>
      <c r="CG10" s="159">
        <v>3024989</v>
      </c>
    </row>
    <row r="11" spans="5:85">
      <c r="E11" t="s">
        <v>629</v>
      </c>
      <c r="G11" s="159">
        <v>4323.5200000000004</v>
      </c>
      <c r="H11" s="159"/>
      <c r="I11" s="184">
        <v>7.4768458608787794E-2</v>
      </c>
      <c r="K11" s="159">
        <v>110286</v>
      </c>
      <c r="L11" s="159">
        <v>119590.5217391304</v>
      </c>
      <c r="M11" s="159">
        <v>126236.60869565213</v>
      </c>
      <c r="N11" s="159">
        <v>136521.38657438324</v>
      </c>
      <c r="O11" s="159">
        <v>151774.07276662765</v>
      </c>
      <c r="P11" s="159">
        <v>159051.45461104711</v>
      </c>
      <c r="Q11" s="159"/>
      <c r="R11" s="184">
        <v>0.85788541255929063</v>
      </c>
      <c r="S11" s="159">
        <v>48765.454611046727</v>
      </c>
      <c r="T11" s="159"/>
      <c r="U11" s="184">
        <v>0.59194399265793685</v>
      </c>
      <c r="V11" s="184">
        <v>0.15625762746551133</v>
      </c>
      <c r="W11" s="184">
        <v>0.25179837987655229</v>
      </c>
      <c r="Y11" s="184">
        <v>0.20325335944725531</v>
      </c>
      <c r="Z11" s="184">
        <v>0.22584915583120252</v>
      </c>
      <c r="AA11" s="184">
        <v>1.4834158460729377E-2</v>
      </c>
      <c r="AB11" s="184">
        <v>9.6893531363908381E-2</v>
      </c>
      <c r="AC11" s="184">
        <v>0.14421594762707868</v>
      </c>
      <c r="AD11" s="184">
        <v>0.28819614456957365</v>
      </c>
      <c r="AE11" s="184">
        <v>1.2667065629363655E-2</v>
      </c>
      <c r="AF11" s="184">
        <v>1.4090637070888418E-2</v>
      </c>
      <c r="AH11" s="159">
        <v>112083</v>
      </c>
      <c r="AI11" s="159">
        <v>1238.2</v>
      </c>
      <c r="AJ11" s="159">
        <v>4674.5999999999985</v>
      </c>
      <c r="AK11" s="159">
        <v>3002.9</v>
      </c>
      <c r="AL11" s="159">
        <v>5358.699999999998</v>
      </c>
      <c r="AM11" s="159">
        <v>2716.2999999999997</v>
      </c>
      <c r="AN11" s="159">
        <v>300.59999999999997</v>
      </c>
      <c r="AO11" s="159"/>
      <c r="AP11" s="159">
        <v>3391220.7590904799</v>
      </c>
      <c r="AR11" s="159">
        <v>359822.98337116826</v>
      </c>
      <c r="AS11" s="159">
        <v>181213.14162883186</v>
      </c>
      <c r="AT11" s="159">
        <v>268000</v>
      </c>
      <c r="AU11" s="159">
        <v>353146.37418441783</v>
      </c>
      <c r="AV11" s="159">
        <v>981853.62581558211</v>
      </c>
      <c r="AW11" s="159">
        <v>47699.602209944758</v>
      </c>
      <c r="AX11" s="159">
        <v>118152.43705627698</v>
      </c>
      <c r="AY11" s="159">
        <v>461025.57059504825</v>
      </c>
      <c r="AZ11" s="159">
        <v>341317.02422920894</v>
      </c>
      <c r="BA11" s="159">
        <v>19131</v>
      </c>
      <c r="BB11" s="159">
        <v>259859</v>
      </c>
      <c r="BC11" s="159"/>
      <c r="BD11" s="159">
        <v>446455.50443506247</v>
      </c>
      <c r="BE11" s="159">
        <v>181213.14162883186</v>
      </c>
      <c r="BF11" s="159">
        <v>302191.13600000006</v>
      </c>
      <c r="BG11" s="159">
        <v>337508.26223756536</v>
      </c>
      <c r="BH11" s="159">
        <v>938374.94944126683</v>
      </c>
      <c r="BI11" s="159">
        <v>58133.890193370164</v>
      </c>
      <c r="BJ11" s="159">
        <v>142043.82030490809</v>
      </c>
      <c r="BK11" s="159">
        <v>516032.93323328142</v>
      </c>
      <c r="BL11" s="159">
        <v>382041.33655345975</v>
      </c>
      <c r="BM11" s="159">
        <v>21413.619277004029</v>
      </c>
      <c r="BN11" s="159">
        <v>290864.1310806016</v>
      </c>
      <c r="BO11" s="159"/>
      <c r="BP11" s="159">
        <v>473225.05074286688</v>
      </c>
      <c r="BQ11" s="159">
        <v>183467.45518348776</v>
      </c>
      <c r="BR11" s="159">
        <v>401560.33600000001</v>
      </c>
      <c r="BS11" s="159">
        <v>309583.06233247154</v>
      </c>
      <c r="BT11" s="159">
        <v>860734.4559157039</v>
      </c>
      <c r="BU11" s="159">
        <v>76766.547306629829</v>
      </c>
      <c r="BV11" s="159">
        <v>186063.5255928782</v>
      </c>
      <c r="BW11" s="159">
        <v>579370.09724556771</v>
      </c>
      <c r="BX11" s="159">
        <v>428932.55847828323</v>
      </c>
      <c r="BY11" s="159">
        <v>24041.897103665775</v>
      </c>
      <c r="BZ11" s="159">
        <v>326564.38970579091</v>
      </c>
      <c r="CB11" s="159">
        <v>1564287958</v>
      </c>
      <c r="CC11" s="159">
        <v>430801069</v>
      </c>
      <c r="CD11" s="159"/>
      <c r="CE11" s="159">
        <v>102149</v>
      </c>
      <c r="CF11" s="159"/>
      <c r="CG11" s="159">
        <v>3466130</v>
      </c>
    </row>
    <row r="12" spans="5:85">
      <c r="E12" t="s">
        <v>630</v>
      </c>
      <c r="G12" s="159">
        <v>15015.450000000003</v>
      </c>
      <c r="H12" s="159"/>
      <c r="I12" s="184">
        <v>8.0742880260988831E-2</v>
      </c>
      <c r="K12" s="159">
        <v>130862</v>
      </c>
      <c r="L12" s="159">
        <v>134925.65217391303</v>
      </c>
      <c r="M12" s="159">
        <v>137828.26086956525</v>
      </c>
      <c r="N12" s="159">
        <v>146482.27268380552</v>
      </c>
      <c r="O12" s="159">
        <v>161468.20935576461</v>
      </c>
      <c r="P12" s="159">
        <v>172971.01559293954</v>
      </c>
      <c r="Q12" s="159"/>
      <c r="R12" s="184">
        <v>0.78724151193769221</v>
      </c>
      <c r="S12" s="159">
        <v>42109.015592940283</v>
      </c>
      <c r="T12" s="159"/>
      <c r="U12" s="184">
        <v>0.47987734815665456</v>
      </c>
      <c r="V12" s="184">
        <v>0.231559126403795</v>
      </c>
      <c r="W12" s="184">
        <v>0.28856352543955027</v>
      </c>
      <c r="Y12" s="184">
        <v>0.33354984640308111</v>
      </c>
      <c r="Z12" s="184">
        <v>0.37547951276917668</v>
      </c>
      <c r="AA12" s="184">
        <v>7.9167367150127614E-3</v>
      </c>
      <c r="AB12" s="184">
        <v>1.5183934220782198E-2</v>
      </c>
      <c r="AC12" s="184">
        <v>0.12561324142990327</v>
      </c>
      <c r="AD12" s="184">
        <v>0.12401613913894026</v>
      </c>
      <c r="AE12" s="184">
        <v>8.8948663477556502E-3</v>
      </c>
      <c r="AF12" s="184">
        <v>9.3457229753480774E-3</v>
      </c>
      <c r="AH12" s="159">
        <v>135036</v>
      </c>
      <c r="AI12" s="159">
        <v>3766.2</v>
      </c>
      <c r="AJ12" s="159">
        <v>6243.199999999998</v>
      </c>
      <c r="AK12" s="159">
        <v>4336.0999999999967</v>
      </c>
      <c r="AL12" s="159">
        <v>3913.8999999999996</v>
      </c>
      <c r="AM12" s="159">
        <v>1109.0999999999999</v>
      </c>
      <c r="AN12" s="159">
        <v>303.79999999999967</v>
      </c>
      <c r="AO12" s="159"/>
      <c r="AP12" s="159">
        <v>2623534.2918406236</v>
      </c>
      <c r="AR12" s="159">
        <v>500900.95271837531</v>
      </c>
      <c r="AS12" s="159">
        <v>228176.29728162472</v>
      </c>
      <c r="AT12" s="159">
        <v>289000</v>
      </c>
      <c r="AU12" s="159">
        <v>47106.443489462887</v>
      </c>
      <c r="AV12" s="159">
        <v>332893.55651053716</v>
      </c>
      <c r="AW12" s="159">
        <v>34449.712707182327</v>
      </c>
      <c r="AX12" s="159">
        <v>82627.380952380874</v>
      </c>
      <c r="AY12" s="159">
        <v>617945.74981391896</v>
      </c>
      <c r="AZ12" s="159">
        <v>366005.74836713989</v>
      </c>
      <c r="BA12" s="159">
        <v>15654.449999999999</v>
      </c>
      <c r="BB12" s="159">
        <v>108774</v>
      </c>
      <c r="BC12" s="159"/>
      <c r="BD12" s="159">
        <v>555491.87794133788</v>
      </c>
      <c r="BE12" s="159">
        <v>228176.29728162472</v>
      </c>
      <c r="BF12" s="159">
        <v>313822.39199999976</v>
      </c>
      <c r="BG12" s="159">
        <v>44908.142793287938</v>
      </c>
      <c r="BH12" s="159">
        <v>317358.52387337876</v>
      </c>
      <c r="BI12" s="159">
        <v>48803.75966850829</v>
      </c>
      <c r="BJ12" s="159">
        <v>86846.395740580687</v>
      </c>
      <c r="BK12" s="159">
        <v>672597.79861386877</v>
      </c>
      <c r="BL12" s="159">
        <v>398375.84562381078</v>
      </c>
      <c r="BM12" s="159">
        <v>17038.953033792211</v>
      </c>
      <c r="BN12" s="159">
        <v>118394.13568012379</v>
      </c>
      <c r="BO12" s="159"/>
      <c r="BP12" s="159">
        <v>646909.96532387973</v>
      </c>
      <c r="BQ12" s="159">
        <v>230159.51395316955</v>
      </c>
      <c r="BR12" s="159">
        <v>426214.79200000013</v>
      </c>
      <c r="BS12" s="159">
        <v>40982.605835832699</v>
      </c>
      <c r="BT12" s="159">
        <v>289617.39416416729</v>
      </c>
      <c r="BU12" s="159">
        <v>74435.986385161785</v>
      </c>
      <c r="BV12" s="159">
        <v>108376.38487011746</v>
      </c>
      <c r="BW12" s="159">
        <v>768617.99729084701</v>
      </c>
      <c r="BX12" s="159">
        <v>455248.06245791272</v>
      </c>
      <c r="BY12" s="159">
        <v>19471.437438177967</v>
      </c>
      <c r="BZ12" s="159">
        <v>135296.10659591173</v>
      </c>
      <c r="CB12" s="159">
        <v>2072810678</v>
      </c>
      <c r="CC12" s="159">
        <v>571314776</v>
      </c>
      <c r="CD12" s="159"/>
      <c r="CE12" s="159">
        <v>128752</v>
      </c>
      <c r="CF12" s="159"/>
      <c r="CG12" s="159">
        <v>3171784</v>
      </c>
    </row>
    <row r="13" spans="5:85">
      <c r="E13" t="s">
        <v>631</v>
      </c>
      <c r="G13" s="159">
        <v>2179.599999999999</v>
      </c>
      <c r="H13" s="159"/>
      <c r="I13" s="184">
        <v>0.52377465192012707</v>
      </c>
      <c r="K13" s="159">
        <v>97534</v>
      </c>
      <c r="L13" s="159">
        <v>103677.26086956523</v>
      </c>
      <c r="M13" s="159">
        <v>108065.30434782617</v>
      </c>
      <c r="N13" s="159">
        <v>116768.02983271074</v>
      </c>
      <c r="O13" s="159">
        <v>130663.04601987104</v>
      </c>
      <c r="P13" s="159">
        <v>139292.41003311847</v>
      </c>
      <c r="Q13" s="159"/>
      <c r="R13" s="184">
        <v>0.93136547513940859</v>
      </c>
      <c r="S13" s="159">
        <v>41758.41003311846</v>
      </c>
      <c r="T13" s="159"/>
      <c r="U13" s="184">
        <v>0.54864507202322177</v>
      </c>
      <c r="V13" s="184">
        <v>0.18290148777905388</v>
      </c>
      <c r="W13" s="184">
        <v>0.26845344019772416</v>
      </c>
      <c r="Y13" s="184">
        <v>0.17064818422293765</v>
      </c>
      <c r="Z13" s="184">
        <v>0.15096274119794123</v>
      </c>
      <c r="AA13" s="184">
        <v>6.910410728566449E-3</v>
      </c>
      <c r="AB13" s="184">
        <v>0.23041195890663768</v>
      </c>
      <c r="AC13" s="184">
        <v>0.10070334447474727</v>
      </c>
      <c r="AD13" s="184">
        <v>0.30457071380236633</v>
      </c>
      <c r="AE13" s="184">
        <v>1.7716898722496769E-2</v>
      </c>
      <c r="AF13" s="184">
        <v>1.8075747944306601E-2</v>
      </c>
      <c r="AH13" s="159">
        <v>99828</v>
      </c>
      <c r="AI13" s="159">
        <v>265.39999999999998</v>
      </c>
      <c r="AJ13" s="159">
        <v>557.69999999999993</v>
      </c>
      <c r="AK13" s="159">
        <v>1196</v>
      </c>
      <c r="AL13" s="159">
        <v>6975.6000000000031</v>
      </c>
      <c r="AM13" s="159">
        <v>3920.1000000000013</v>
      </c>
      <c r="AN13" s="159">
        <v>378.50000000000011</v>
      </c>
      <c r="AO13" s="159"/>
      <c r="AP13" s="159">
        <v>5137843.7284281235</v>
      </c>
      <c r="AR13" s="159">
        <v>469497.12029993854</v>
      </c>
      <c r="AS13" s="159">
        <v>325117.50470006157</v>
      </c>
      <c r="AT13" s="159">
        <v>2136000</v>
      </c>
      <c r="AU13" s="159">
        <v>19258.27814569536</v>
      </c>
      <c r="AV13" s="159">
        <v>162741.72185430463</v>
      </c>
      <c r="AW13" s="159">
        <v>575161.91320754692</v>
      </c>
      <c r="AX13" s="159">
        <v>163356.09800865798</v>
      </c>
      <c r="AY13" s="159">
        <v>360199.56621800282</v>
      </c>
      <c r="AZ13" s="159">
        <v>559023.32599391474</v>
      </c>
      <c r="BA13" s="159">
        <v>308256.59999999998</v>
      </c>
      <c r="BB13" s="159">
        <v>59231.6</v>
      </c>
      <c r="BC13" s="159"/>
      <c r="BD13" s="159">
        <v>552996.72927761369</v>
      </c>
      <c r="BE13" s="159">
        <v>325117.50470006157</v>
      </c>
      <c r="BF13" s="159">
        <v>2442545.2600000002</v>
      </c>
      <c r="BG13" s="159">
        <v>18153.294973401367</v>
      </c>
      <c r="BH13" s="159">
        <v>153404.08207577898</v>
      </c>
      <c r="BI13" s="159">
        <v>656929.55941171222</v>
      </c>
      <c r="BJ13" s="159">
        <v>208464.40912696155</v>
      </c>
      <c r="BK13" s="159">
        <v>416479.74662460224</v>
      </c>
      <c r="BL13" s="159">
        <v>646369.16588144284</v>
      </c>
      <c r="BM13" s="159">
        <v>356420.83640284179</v>
      </c>
      <c r="BN13" s="159">
        <v>68486.37276048123</v>
      </c>
      <c r="BO13" s="159"/>
      <c r="BP13" s="159">
        <v>633362.78139395674</v>
      </c>
      <c r="BQ13" s="159">
        <v>332204.74776764354</v>
      </c>
      <c r="BR13" s="159">
        <v>3172867.2599999993</v>
      </c>
      <c r="BS13" s="159">
        <v>16180.110737162086</v>
      </c>
      <c r="BT13" s="159">
        <v>136729.72532841173</v>
      </c>
      <c r="BU13" s="159">
        <v>802943.21334772173</v>
      </c>
      <c r="BV13" s="159">
        <v>292559.22657090536</v>
      </c>
      <c r="BW13" s="159">
        <v>494976.75424717832</v>
      </c>
      <c r="BX13" s="159">
        <v>768195.12681328843</v>
      </c>
      <c r="BY13" s="159">
        <v>423598.09853553557</v>
      </c>
      <c r="BZ13" s="159">
        <v>81394.504231920509</v>
      </c>
      <c r="CB13" s="159">
        <v>983446197</v>
      </c>
      <c r="CC13" s="159">
        <v>358146571</v>
      </c>
      <c r="CD13" s="159"/>
      <c r="CE13" s="159">
        <v>79540</v>
      </c>
      <c r="CF13" s="159"/>
      <c r="CG13" s="159">
        <v>3061753</v>
      </c>
    </row>
    <row r="14" spans="5:85">
      <c r="E14" t="s">
        <v>634</v>
      </c>
      <c r="G14" s="159">
        <v>8651.8899999999958</v>
      </c>
      <c r="H14" s="159"/>
      <c r="I14" s="184">
        <v>4.5947836521864169E-2</v>
      </c>
      <c r="K14" s="159">
        <v>145010</v>
      </c>
      <c r="L14" s="159">
        <v>153734.4347826087</v>
      </c>
      <c r="M14" s="159">
        <v>159966.17391304355</v>
      </c>
      <c r="N14" s="159">
        <v>173830.3533880735</v>
      </c>
      <c r="O14" s="159">
        <v>196573.32103378634</v>
      </c>
      <c r="P14" s="159">
        <v>211838.20172297649</v>
      </c>
      <c r="Q14" s="159"/>
      <c r="R14" s="184">
        <v>0.83221889126440418</v>
      </c>
      <c r="S14" s="159">
        <v>66828.201722976242</v>
      </c>
      <c r="T14" s="159"/>
      <c r="U14" s="184">
        <v>0.56351938798231094</v>
      </c>
      <c r="V14" s="184">
        <v>0.16698990814377077</v>
      </c>
      <c r="W14" s="184">
        <v>0.26949070387391821</v>
      </c>
      <c r="Y14" s="184">
        <v>0.24054892766016137</v>
      </c>
      <c r="Z14" s="184">
        <v>0.34720364112819807</v>
      </c>
      <c r="AA14" s="184">
        <v>1.2792221226122336E-2</v>
      </c>
      <c r="AB14" s="184">
        <v>9.9041445417557411E-2</v>
      </c>
      <c r="AC14" s="184">
        <v>7.9477277429142817E-2</v>
      </c>
      <c r="AD14" s="184">
        <v>0.19834494172815667</v>
      </c>
      <c r="AE14" s="184">
        <v>1.1792290186883663E-2</v>
      </c>
      <c r="AF14" s="184">
        <v>1.0799255223777671E-2</v>
      </c>
      <c r="AH14" s="159">
        <v>148099</v>
      </c>
      <c r="AI14" s="159">
        <v>2997.1000000000013</v>
      </c>
      <c r="AJ14" s="159">
        <v>5879.0000000000073</v>
      </c>
      <c r="AK14" s="159">
        <v>6006.4999999999991</v>
      </c>
      <c r="AL14" s="159">
        <v>5009.2999999999984</v>
      </c>
      <c r="AM14" s="159">
        <v>1763.9999999999993</v>
      </c>
      <c r="AN14" s="159">
        <v>338.29999999999995</v>
      </c>
      <c r="AO14" s="159"/>
      <c r="AP14" s="159">
        <v>3467908.9599806177</v>
      </c>
      <c r="AR14" s="159">
        <v>587203.51931370376</v>
      </c>
      <c r="AS14" s="159">
        <v>267778.98068629607</v>
      </c>
      <c r="AT14" s="159">
        <v>630000</v>
      </c>
      <c r="AU14" s="159">
        <v>152561.41915149722</v>
      </c>
      <c r="AV14" s="159">
        <v>521438.58084850287</v>
      </c>
      <c r="AW14" s="159">
        <v>111299.07182320446</v>
      </c>
      <c r="AX14" s="159">
        <v>195721.03809523798</v>
      </c>
      <c r="AY14" s="159">
        <v>648498.28415953973</v>
      </c>
      <c r="AZ14" s="159">
        <v>294603.31590263685</v>
      </c>
      <c r="BA14" s="159">
        <v>23265.75</v>
      </c>
      <c r="BB14" s="159">
        <v>35539</v>
      </c>
      <c r="BC14" s="159"/>
      <c r="BD14" s="159">
        <v>640073.62482429727</v>
      </c>
      <c r="BE14" s="159">
        <v>267778.98068629607</v>
      </c>
      <c r="BF14" s="159">
        <v>664154.56800000044</v>
      </c>
      <c r="BG14" s="159">
        <v>147251.27030810254</v>
      </c>
      <c r="BH14" s="159">
        <v>503289.06118361017</v>
      </c>
      <c r="BI14" s="159">
        <v>130001.590750972</v>
      </c>
      <c r="BJ14" s="159">
        <v>219398.41928645817</v>
      </c>
      <c r="BK14" s="159">
        <v>724788.73377193906</v>
      </c>
      <c r="BL14" s="159">
        <v>329260.95490725571</v>
      </c>
      <c r="BM14" s="159">
        <v>26002.772705264433</v>
      </c>
      <c r="BN14" s="159">
        <v>39719.868870437989</v>
      </c>
      <c r="BO14" s="159"/>
      <c r="BP14" s="159">
        <v>779847.81523352466</v>
      </c>
      <c r="BQ14" s="159">
        <v>265084.04648409662</v>
      </c>
      <c r="BR14" s="159">
        <v>738744.1679999996</v>
      </c>
      <c r="BS14" s="159">
        <v>137768.86165918349</v>
      </c>
      <c r="BT14" s="159">
        <v>470879.20463915908</v>
      </c>
      <c r="BU14" s="159">
        <v>163398.94597912824</v>
      </c>
      <c r="BV14" s="159">
        <v>294779.64610186301</v>
      </c>
      <c r="BW14" s="159">
        <v>844713.08092055074</v>
      </c>
      <c r="BX14" s="159">
        <v>383740.83741492941</v>
      </c>
      <c r="BY14" s="159">
        <v>30305.220295066203</v>
      </c>
      <c r="BZ14" s="159">
        <v>46291.962393920592</v>
      </c>
      <c r="CB14" s="159">
        <v>2062139363</v>
      </c>
      <c r="CC14" s="159">
        <v>608671868</v>
      </c>
      <c r="CD14" s="159"/>
      <c r="CE14" s="159">
        <v>137219</v>
      </c>
      <c r="CF14" s="159"/>
      <c r="CG14" s="159">
        <v>3368321</v>
      </c>
    </row>
    <row r="15" spans="5:85">
      <c r="E15" t="s">
        <v>635</v>
      </c>
      <c r="G15" s="159">
        <v>5552.5000000000036</v>
      </c>
      <c r="H15" s="159"/>
      <c r="I15" s="184">
        <v>0.12202470433891589</v>
      </c>
      <c r="K15" s="159">
        <v>124082</v>
      </c>
      <c r="L15" s="159">
        <v>133307.3913043479</v>
      </c>
      <c r="M15" s="159">
        <v>139896.95652173908</v>
      </c>
      <c r="N15" s="159">
        <v>150941.13504648558</v>
      </c>
      <c r="O15" s="159">
        <v>167757.83992206553</v>
      </c>
      <c r="P15" s="159">
        <v>176667.0665367757</v>
      </c>
      <c r="Q15" s="159"/>
      <c r="R15" s="184">
        <v>0.85203376954182286</v>
      </c>
      <c r="S15" s="159">
        <v>52585.066536775827</v>
      </c>
      <c r="T15" s="159"/>
      <c r="U15" s="184">
        <v>0.57842327155264406</v>
      </c>
      <c r="V15" s="184">
        <v>0.17284711141963693</v>
      </c>
      <c r="W15" s="184">
        <v>0.24872961702771926</v>
      </c>
      <c r="Y15" s="184">
        <v>0.22899372995277317</v>
      </c>
      <c r="Z15" s="184">
        <v>0.2821198884608565</v>
      </c>
      <c r="AA15" s="184">
        <v>1.7520671813800553E-2</v>
      </c>
      <c r="AB15" s="184">
        <v>0.1048258409761287</v>
      </c>
      <c r="AC15" s="184">
        <v>7.6280201802034139E-2</v>
      </c>
      <c r="AD15" s="184">
        <v>0.2635031672603601</v>
      </c>
      <c r="AE15" s="184">
        <v>1.1975951386986025E-2</v>
      </c>
      <c r="AF15" s="184">
        <v>1.4780548347060815E-2</v>
      </c>
      <c r="AH15" s="159">
        <v>127187</v>
      </c>
      <c r="AI15" s="159">
        <v>1096.6000000000006</v>
      </c>
      <c r="AJ15" s="159">
        <v>4679.0999999999985</v>
      </c>
      <c r="AK15" s="159">
        <v>5438.4000000000005</v>
      </c>
      <c r="AL15" s="159">
        <v>5730.5</v>
      </c>
      <c r="AM15" s="159">
        <v>2314.6000000000004</v>
      </c>
      <c r="AN15" s="159">
        <v>315.89999999999998</v>
      </c>
      <c r="AO15" s="159"/>
      <c r="AP15" s="159">
        <v>3601157.2794028064</v>
      </c>
      <c r="AR15" s="159">
        <v>419317.1285104797</v>
      </c>
      <c r="AS15" s="159">
        <v>187312.49648952018</v>
      </c>
      <c r="AT15" s="159">
        <v>436000</v>
      </c>
      <c r="AU15" s="159">
        <v>302794.80162823363</v>
      </c>
      <c r="AV15" s="159">
        <v>1525205.1983717661</v>
      </c>
      <c r="AW15" s="159">
        <v>42399.646408839777</v>
      </c>
      <c r="AX15" s="159">
        <v>89969.532294372242</v>
      </c>
      <c r="AY15" s="159">
        <v>392317.9610849896</v>
      </c>
      <c r="AZ15" s="159">
        <v>150791.08461460442</v>
      </c>
      <c r="BA15" s="159">
        <v>12682.43</v>
      </c>
      <c r="BB15" s="159">
        <v>42367</v>
      </c>
      <c r="BC15" s="159"/>
      <c r="BD15" s="159">
        <v>464872.34142599022</v>
      </c>
      <c r="BE15" s="159">
        <v>187312.49648952018</v>
      </c>
      <c r="BF15" s="159">
        <v>490037.28399999958</v>
      </c>
      <c r="BG15" s="159">
        <v>293250.80037616164</v>
      </c>
      <c r="BH15" s="159">
        <v>1477131.1883668024</v>
      </c>
      <c r="BI15" s="159">
        <v>54431.978497834869</v>
      </c>
      <c r="BJ15" s="159">
        <v>108837.69204298884</v>
      </c>
      <c r="BK15" s="159">
        <v>442511.32807859511</v>
      </c>
      <c r="BL15" s="159">
        <v>170083.37556272402</v>
      </c>
      <c r="BM15" s="159">
        <v>14305.026787565401</v>
      </c>
      <c r="BN15" s="159">
        <v>47787.456339895703</v>
      </c>
      <c r="BO15" s="159"/>
      <c r="BP15" s="159">
        <v>524078.00296442927</v>
      </c>
      <c r="BQ15" s="159">
        <v>188887.37071442767</v>
      </c>
      <c r="BR15" s="159">
        <v>609127.0839999998</v>
      </c>
      <c r="BS15" s="159">
        <v>276207.94099746196</v>
      </c>
      <c r="BT15" s="159">
        <v>1391284.7419293667</v>
      </c>
      <c r="BU15" s="159">
        <v>75918.285799611796</v>
      </c>
      <c r="BV15" s="159">
        <v>142983.51740613833</v>
      </c>
      <c r="BW15" s="159">
        <v>510951.06632936682</v>
      </c>
      <c r="BX15" s="159">
        <v>196388.83028376795</v>
      </c>
      <c r="BY15" s="159">
        <v>16517.472496610313</v>
      </c>
      <c r="BZ15" s="159">
        <v>55178.365444468385</v>
      </c>
      <c r="CB15" s="159">
        <v>1709516742</v>
      </c>
      <c r="CC15" s="159">
        <v>488715060</v>
      </c>
      <c r="CD15" s="159"/>
      <c r="CE15" s="159">
        <v>117851</v>
      </c>
      <c r="CF15" s="159"/>
      <c r="CG15" s="159">
        <v>4469924</v>
      </c>
    </row>
    <row r="16" spans="5:85">
      <c r="E16" t="s">
        <v>636</v>
      </c>
      <c r="G16" s="159">
        <v>8219.8700000000008</v>
      </c>
      <c r="H16" s="159"/>
      <c r="I16" s="184">
        <v>0.1006249920095842</v>
      </c>
      <c r="K16" s="159">
        <v>119916</v>
      </c>
      <c r="L16" s="159">
        <v>126628.39130434785</v>
      </c>
      <c r="M16" s="159">
        <v>131422.95652173916</v>
      </c>
      <c r="N16" s="159">
        <v>139980.5349464592</v>
      </c>
      <c r="O16" s="159">
        <v>153260.03962198595</v>
      </c>
      <c r="P16" s="159">
        <v>160786.06603664393</v>
      </c>
      <c r="Q16" s="159"/>
      <c r="R16" s="184">
        <v>0.82816976107406326</v>
      </c>
      <c r="S16" s="159">
        <v>40870.066036643548</v>
      </c>
      <c r="T16" s="159"/>
      <c r="U16" s="184">
        <v>0.56757780671528135</v>
      </c>
      <c r="V16" s="184">
        <v>0.16307165678836388</v>
      </c>
      <c r="W16" s="184">
        <v>0.26935053649635488</v>
      </c>
      <c r="Y16" s="184">
        <v>0.26228359851896327</v>
      </c>
      <c r="Z16" s="184">
        <v>0.31697188031622137</v>
      </c>
      <c r="AA16" s="184">
        <v>9.0646786083591856E-3</v>
      </c>
      <c r="AB16" s="184">
        <v>0.11396310750858935</v>
      </c>
      <c r="AC16" s="184">
        <v>6.1768237766436508E-2</v>
      </c>
      <c r="AD16" s="184">
        <v>0.21177324126888822</v>
      </c>
      <c r="AE16" s="184">
        <v>9.9736482204209609E-3</v>
      </c>
      <c r="AF16" s="184">
        <v>1.4201607792121151E-2</v>
      </c>
      <c r="AH16" s="159">
        <v>122042</v>
      </c>
      <c r="AI16" s="159">
        <v>1309.0000000000009</v>
      </c>
      <c r="AJ16" s="159">
        <v>4525.4000000000015</v>
      </c>
      <c r="AK16" s="159">
        <v>5888.9</v>
      </c>
      <c r="AL16" s="159">
        <v>5155.0999999999995</v>
      </c>
      <c r="AM16" s="159">
        <v>1157.2999999999997</v>
      </c>
      <c r="AN16" s="159">
        <v>253.70000000000002</v>
      </c>
      <c r="AO16" s="159"/>
      <c r="AP16" s="159">
        <v>3318526.2230371484</v>
      </c>
      <c r="AR16" s="159">
        <v>434535.0230819697</v>
      </c>
      <c r="AS16" s="159">
        <v>230641.9769180303</v>
      </c>
      <c r="AT16" s="159">
        <v>192000</v>
      </c>
      <c r="AU16" s="159">
        <v>128467.38628043605</v>
      </c>
      <c r="AV16" s="159">
        <v>1114532.6137195639</v>
      </c>
      <c r="AW16" s="159">
        <v>29149.756906077353</v>
      </c>
      <c r="AX16" s="159">
        <v>190246.28995670981</v>
      </c>
      <c r="AY16" s="159">
        <v>575032.16418653051</v>
      </c>
      <c r="AZ16" s="159">
        <v>375352.05198782956</v>
      </c>
      <c r="BA16" s="159">
        <v>18348.21</v>
      </c>
      <c r="BB16" s="159">
        <v>30220.75</v>
      </c>
      <c r="BC16" s="159"/>
      <c r="BD16" s="159">
        <v>508435.34280877985</v>
      </c>
      <c r="BE16" s="159">
        <v>230641.9769180303</v>
      </c>
      <c r="BF16" s="159">
        <v>215334.3599999999</v>
      </c>
      <c r="BG16" s="159">
        <v>122348.63035656375</v>
      </c>
      <c r="BH16" s="159">
        <v>1061448.6892310651</v>
      </c>
      <c r="BI16" s="159">
        <v>33624.500290782198</v>
      </c>
      <c r="BJ16" s="159">
        <v>203361.24401724868</v>
      </c>
      <c r="BK16" s="159">
        <v>633661.7698586788</v>
      </c>
      <c r="BL16" s="159">
        <v>413622.50739341561</v>
      </c>
      <c r="BM16" s="159">
        <v>20218.971992264509</v>
      </c>
      <c r="BN16" s="159">
        <v>33302.022259131962</v>
      </c>
      <c r="BO16" s="159"/>
      <c r="BP16" s="159">
        <v>544546.86226498184</v>
      </c>
      <c r="BQ16" s="159">
        <v>232827.43657385767</v>
      </c>
      <c r="BR16" s="159">
        <v>261156.3599999999</v>
      </c>
      <c r="BS16" s="159">
        <v>111422.28049250603</v>
      </c>
      <c r="BT16" s="159">
        <v>966655.96693017439</v>
      </c>
      <c r="BU16" s="159">
        <v>41615.113477755156</v>
      </c>
      <c r="BV16" s="159">
        <v>245847.16670767253</v>
      </c>
      <c r="BW16" s="159">
        <v>681316.62847392564</v>
      </c>
      <c r="BX16" s="159">
        <v>444729.20034463017</v>
      </c>
      <c r="BY16" s="159">
        <v>21739.550157887301</v>
      </c>
      <c r="BZ16" s="159">
        <v>35806.517934663534</v>
      </c>
      <c r="CB16" s="159">
        <v>1581835947</v>
      </c>
      <c r="CC16" s="159">
        <v>506113642</v>
      </c>
      <c r="CD16" s="159"/>
      <c r="CE16" s="159">
        <v>107151</v>
      </c>
      <c r="CF16" s="159"/>
      <c r="CG16" s="159">
        <v>3900541</v>
      </c>
    </row>
    <row r="17" spans="5:85">
      <c r="E17" t="s">
        <v>637</v>
      </c>
      <c r="G17" s="159">
        <v>5037.8599999999988</v>
      </c>
      <c r="H17" s="159"/>
      <c r="I17" s="184">
        <v>0.19084535179997089</v>
      </c>
      <c r="K17" s="159">
        <v>101045</v>
      </c>
      <c r="L17" s="159">
        <v>116197.56521739137</v>
      </c>
      <c r="M17" s="159">
        <v>127020.82608695657</v>
      </c>
      <c r="N17" s="159">
        <v>143150.41324177943</v>
      </c>
      <c r="O17" s="159">
        <v>166750.97885577317</v>
      </c>
      <c r="P17" s="159">
        <v>177363.63142628863</v>
      </c>
      <c r="Q17" s="159"/>
      <c r="R17" s="184">
        <v>0.86419480321824227</v>
      </c>
      <c r="S17" s="159">
        <v>76318.631426288688</v>
      </c>
      <c r="T17" s="159"/>
      <c r="U17" s="184">
        <v>0.48399230095152695</v>
      </c>
      <c r="V17" s="184">
        <v>0.21626876186741981</v>
      </c>
      <c r="W17" s="184">
        <v>0.29973893718105304</v>
      </c>
      <c r="Y17" s="184">
        <v>0.16413479142956108</v>
      </c>
      <c r="Z17" s="184">
        <v>0.26853382156464939</v>
      </c>
      <c r="AA17" s="184">
        <v>1.563659755554456E-2</v>
      </c>
      <c r="AB17" s="184">
        <v>0.22641397397199267</v>
      </c>
      <c r="AC17" s="184">
        <v>0.11662130733831461</v>
      </c>
      <c r="AD17" s="184">
        <v>0.18484833490029196</v>
      </c>
      <c r="AE17" s="184">
        <v>1.31228660497798E-2</v>
      </c>
      <c r="AF17" s="184">
        <v>1.0688307189865902E-2</v>
      </c>
      <c r="AH17" s="159">
        <v>103186</v>
      </c>
      <c r="AI17" s="159">
        <v>650.10000000000014</v>
      </c>
      <c r="AJ17" s="159">
        <v>2934.7999999999988</v>
      </c>
      <c r="AK17" s="159">
        <v>4754.5999999999995</v>
      </c>
      <c r="AL17" s="159">
        <v>5555.1000000000013</v>
      </c>
      <c r="AM17" s="159">
        <v>1054.3000000000002</v>
      </c>
      <c r="AN17" s="159">
        <v>145.5</v>
      </c>
      <c r="AO17" s="159"/>
      <c r="AP17" s="159">
        <v>2056014.5803843618</v>
      </c>
      <c r="AR17" s="159">
        <v>280294.83773604583</v>
      </c>
      <c r="AS17" s="159">
        <v>167339.78726395417</v>
      </c>
      <c r="AT17" s="159">
        <v>139000</v>
      </c>
      <c r="AU17" s="159">
        <v>48838.850311731861</v>
      </c>
      <c r="AV17" s="159">
        <v>498161.14968826802</v>
      </c>
      <c r="AW17" s="159">
        <v>37099.690607734803</v>
      </c>
      <c r="AX17" s="159">
        <v>117323.05186147179</v>
      </c>
      <c r="AY17" s="159">
        <v>437937.47682996164</v>
      </c>
      <c r="AZ17" s="159">
        <v>174278.33608519266</v>
      </c>
      <c r="BA17" s="159">
        <v>85408.3</v>
      </c>
      <c r="BB17" s="159">
        <v>70333.100000000006</v>
      </c>
      <c r="BC17" s="159"/>
      <c r="BD17" s="159">
        <v>314671.3590663948</v>
      </c>
      <c r="BE17" s="159">
        <v>167339.78726395417</v>
      </c>
      <c r="BF17" s="159">
        <v>151350.96800000002</v>
      </c>
      <c r="BG17" s="159">
        <v>41656.666442359521</v>
      </c>
      <c r="BH17" s="159">
        <v>424902.15708705212</v>
      </c>
      <c r="BI17" s="159">
        <v>52365.469246463865</v>
      </c>
      <c r="BJ17" s="159">
        <v>131609.96346747485</v>
      </c>
      <c r="BK17" s="159">
        <v>538855.08471109439</v>
      </c>
      <c r="BL17" s="159">
        <v>214438.75558281556</v>
      </c>
      <c r="BM17" s="159">
        <v>105089.65130061214</v>
      </c>
      <c r="BN17" s="159">
        <v>86540.546456153359</v>
      </c>
      <c r="BO17" s="159"/>
      <c r="BP17" s="159">
        <v>346931.03513835953</v>
      </c>
      <c r="BQ17" s="159">
        <v>167341.00529225703</v>
      </c>
      <c r="BR17" s="159">
        <v>200265.568</v>
      </c>
      <c r="BS17" s="159">
        <v>28831.338104194645</v>
      </c>
      <c r="BT17" s="159">
        <v>294082.52744202374</v>
      </c>
      <c r="BU17" s="159">
        <v>79625.788244194322</v>
      </c>
      <c r="BV17" s="159">
        <v>178781.04669971409</v>
      </c>
      <c r="BW17" s="159">
        <v>691445.21258625179</v>
      </c>
      <c r="BX17" s="159">
        <v>275162.38622891926</v>
      </c>
      <c r="BY17" s="159">
        <v>134848.3819599202</v>
      </c>
      <c r="BZ17" s="159">
        <v>111046.63988424149</v>
      </c>
      <c r="CB17" s="159">
        <v>1150395419</v>
      </c>
      <c r="CC17" s="159">
        <v>374577860</v>
      </c>
      <c r="CD17" s="159"/>
      <c r="CE17" s="159">
        <v>92355</v>
      </c>
      <c r="CF17" s="159"/>
      <c r="CG17" s="159">
        <v>2719774</v>
      </c>
    </row>
    <row r="18" spans="5:85">
      <c r="E18" t="s">
        <v>638</v>
      </c>
      <c r="G18" s="159">
        <v>1906.3500000000004</v>
      </c>
      <c r="H18" s="159"/>
      <c r="I18" s="184">
        <v>0.19758709922402148</v>
      </c>
      <c r="K18" s="159">
        <v>101690</v>
      </c>
      <c r="L18" s="159">
        <v>113039.13043478254</v>
      </c>
      <c r="M18" s="159">
        <v>121145.65217391305</v>
      </c>
      <c r="N18" s="159">
        <v>133877.88149013586</v>
      </c>
      <c r="O18" s="159">
        <v>152857.12273127673</v>
      </c>
      <c r="P18" s="159">
        <v>162108.5378854619</v>
      </c>
      <c r="Q18" s="159"/>
      <c r="R18" s="184">
        <v>0.92368490679655491</v>
      </c>
      <c r="S18" s="159">
        <v>60418.537885461927</v>
      </c>
      <c r="T18" s="159"/>
      <c r="U18" s="184">
        <v>0.49024627387412567</v>
      </c>
      <c r="V18" s="184">
        <v>0.19276657200329303</v>
      </c>
      <c r="W18" s="184">
        <v>0.31698715412258099</v>
      </c>
      <c r="Y18" s="184">
        <v>8.4541252827219984E-2</v>
      </c>
      <c r="Z18" s="184">
        <v>0.1532304061362966</v>
      </c>
      <c r="AA18" s="184">
        <v>2.334546169731537E-2</v>
      </c>
      <c r="AB18" s="184">
        <v>0.23761431802537122</v>
      </c>
      <c r="AC18" s="184">
        <v>0.19930179958698005</v>
      </c>
      <c r="AD18" s="184">
        <v>0.27644802832136889</v>
      </c>
      <c r="AE18" s="184">
        <v>1.3147802143770282E-2</v>
      </c>
      <c r="AF18" s="184">
        <v>1.2370931261677648E-2</v>
      </c>
      <c r="AH18" s="159">
        <v>102408</v>
      </c>
      <c r="AI18" s="159">
        <v>281.09999999999991</v>
      </c>
      <c r="AJ18" s="159">
        <v>654.50000000000068</v>
      </c>
      <c r="AK18" s="159">
        <v>2319.5</v>
      </c>
      <c r="AL18" s="159">
        <v>8206.3000000000011</v>
      </c>
      <c r="AM18" s="159">
        <v>2587.3999999999992</v>
      </c>
      <c r="AN18" s="159">
        <v>341</v>
      </c>
      <c r="AO18" s="159"/>
      <c r="AP18" s="159">
        <v>2177103.77047492</v>
      </c>
      <c r="AR18" s="159">
        <v>230012.31943115572</v>
      </c>
      <c r="AS18" s="159">
        <v>202563.68056884431</v>
      </c>
      <c r="AT18" s="159">
        <v>538000</v>
      </c>
      <c r="AU18" s="159">
        <v>244092.52774614983</v>
      </c>
      <c r="AV18" s="159">
        <v>146907.47225385014</v>
      </c>
      <c r="AW18" s="159">
        <v>54346.007547169807</v>
      </c>
      <c r="AX18" s="159">
        <v>62428.1683116883</v>
      </c>
      <c r="AY18" s="159">
        <v>546069.89696900186</v>
      </c>
      <c r="AZ18" s="159">
        <v>66100.597647058836</v>
      </c>
      <c r="BA18" s="159">
        <v>27221</v>
      </c>
      <c r="BB18" s="159">
        <v>59362.100000000006</v>
      </c>
      <c r="BC18" s="159"/>
      <c r="BD18" s="159">
        <v>262544.87291663891</v>
      </c>
      <c r="BE18" s="159">
        <v>202563.68056884431</v>
      </c>
      <c r="BF18" s="159">
        <v>600959.37200000009</v>
      </c>
      <c r="BG18" s="159">
        <v>221002.69404043295</v>
      </c>
      <c r="BH18" s="159">
        <v>133010.81947308054</v>
      </c>
      <c r="BI18" s="159">
        <v>124045.08342031309</v>
      </c>
      <c r="BJ18" s="159">
        <v>84243.385870050231</v>
      </c>
      <c r="BK18" s="159">
        <v>657184.53519571794</v>
      </c>
      <c r="BL18" s="159">
        <v>79550.787878914009</v>
      </c>
      <c r="BM18" s="159">
        <v>32759.945808875327</v>
      </c>
      <c r="BN18" s="159">
        <v>71441.136589436006</v>
      </c>
      <c r="BO18" s="159"/>
      <c r="BP18" s="159">
        <v>297666.58104725264</v>
      </c>
      <c r="BQ18" s="159">
        <v>204350.46445378743</v>
      </c>
      <c r="BR18" s="159">
        <v>736047.77200000011</v>
      </c>
      <c r="BS18" s="159">
        <v>179770.84813736708</v>
      </c>
      <c r="BT18" s="159">
        <v>108195.3680788491</v>
      </c>
      <c r="BU18" s="159">
        <v>248507.71890806904</v>
      </c>
      <c r="BV18" s="159">
        <v>119378.13695816349</v>
      </c>
      <c r="BW18" s="159">
        <v>786559.24447013321</v>
      </c>
      <c r="BX18" s="159">
        <v>95211.320808710036</v>
      </c>
      <c r="BY18" s="159">
        <v>39209.136618891323</v>
      </c>
      <c r="BZ18" s="159">
        <v>85505.186763318328</v>
      </c>
      <c r="CB18" s="159">
        <v>997575088</v>
      </c>
      <c r="CC18" s="159">
        <v>348380429</v>
      </c>
      <c r="CD18" s="159"/>
      <c r="CE18" s="159">
        <v>91238</v>
      </c>
      <c r="CF18" s="159"/>
      <c r="CG18" s="159">
        <v>1533462</v>
      </c>
    </row>
    <row r="19" spans="5:85">
      <c r="E19" t="s">
        <v>639</v>
      </c>
      <c r="G19" s="159">
        <v>1716.06</v>
      </c>
      <c r="H19" s="159"/>
      <c r="I19" s="184">
        <v>0.50827982379130687</v>
      </c>
      <c r="K19" s="159">
        <v>80590</v>
      </c>
      <c r="L19" s="159">
        <v>93075.260869565216</v>
      </c>
      <c r="M19" s="159">
        <v>101993.30434782611</v>
      </c>
      <c r="N19" s="159">
        <v>110911.34782608702</v>
      </c>
      <c r="O19" s="159">
        <v>121613</v>
      </c>
      <c r="P19" s="159">
        <v>121613</v>
      </c>
      <c r="Q19" s="159"/>
      <c r="R19" s="184">
        <v>0.89926602150013413</v>
      </c>
      <c r="S19" s="159">
        <v>41023</v>
      </c>
      <c r="T19" s="159"/>
      <c r="U19" s="184">
        <v>0.62062401264054423</v>
      </c>
      <c r="V19" s="184">
        <v>0.13865044428871254</v>
      </c>
      <c r="W19" s="184">
        <v>0.24072554307074298</v>
      </c>
      <c r="Y19" s="184">
        <v>0.15854324357860777</v>
      </c>
      <c r="Z19" s="184">
        <v>0.18141208586673285</v>
      </c>
      <c r="AA19" s="184">
        <v>1.5597468668569302E-2</v>
      </c>
      <c r="AB19" s="184">
        <v>0.15737684576250155</v>
      </c>
      <c r="AC19" s="184">
        <v>0.15448566819704679</v>
      </c>
      <c r="AD19" s="184">
        <v>0.30047152252140463</v>
      </c>
      <c r="AE19" s="184">
        <v>1.6627373123216278E-2</v>
      </c>
      <c r="AF19" s="184">
        <v>1.5485792281920834E-2</v>
      </c>
      <c r="AH19" s="159">
        <v>82390</v>
      </c>
      <c r="AI19" s="159">
        <v>167.8</v>
      </c>
      <c r="AJ19" s="159">
        <v>590.29999999999995</v>
      </c>
      <c r="AK19" s="159">
        <v>2411.6</v>
      </c>
      <c r="AL19" s="159">
        <v>4797.6999999999989</v>
      </c>
      <c r="AM19" s="159">
        <v>3065.9999999999991</v>
      </c>
      <c r="AN19" s="159">
        <v>260.19999999999993</v>
      </c>
      <c r="AO19" s="159"/>
      <c r="AP19" s="159">
        <v>2690735.3504131604</v>
      </c>
      <c r="AR19" s="159">
        <v>411214.25602415425</v>
      </c>
      <c r="AS19" s="159">
        <v>251668.49397584581</v>
      </c>
      <c r="AT19" s="159">
        <v>767000</v>
      </c>
      <c r="AU19" s="159">
        <v>8601.8454635197122</v>
      </c>
      <c r="AV19" s="159">
        <v>171398.15453648029</v>
      </c>
      <c r="AW19" s="159">
        <v>153980.35471698112</v>
      </c>
      <c r="AX19" s="159">
        <v>39330.021212121217</v>
      </c>
      <c r="AY19" s="159">
        <v>365175.89036641078</v>
      </c>
      <c r="AZ19" s="159">
        <v>336656.15411764698</v>
      </c>
      <c r="BA19" s="159">
        <v>119282.18000000001</v>
      </c>
      <c r="BB19" s="159">
        <v>66428</v>
      </c>
      <c r="BC19" s="159"/>
      <c r="BD19" s="159">
        <v>476673.1051093656</v>
      </c>
      <c r="BE19" s="159">
        <v>251668.49397584581</v>
      </c>
      <c r="BF19" s="159">
        <v>949042.9240000014</v>
      </c>
      <c r="BG19" s="159">
        <v>7236.5525498331526</v>
      </c>
      <c r="BH19" s="159">
        <v>144193.68000830637</v>
      </c>
      <c r="BI19" s="159">
        <v>202880.51512137108</v>
      </c>
      <c r="BJ19" s="159">
        <v>53804.353066928059</v>
      </c>
      <c r="BK19" s="159">
        <v>470494.00895260955</v>
      </c>
      <c r="BL19" s="159">
        <v>433749.07207167731</v>
      </c>
      <c r="BM19" s="159">
        <v>153683.61533532629</v>
      </c>
      <c r="BN19" s="159">
        <v>85586.088378792672</v>
      </c>
      <c r="BO19" s="159"/>
      <c r="BP19" s="159">
        <v>630186.34625315154</v>
      </c>
      <c r="BQ19" s="159">
        <v>257372.49063309515</v>
      </c>
      <c r="BR19" s="159">
        <v>1212805.7239999995</v>
      </c>
      <c r="BS19" s="159">
        <v>4798.5294896785836</v>
      </c>
      <c r="BT19" s="159">
        <v>95614.261207995849</v>
      </c>
      <c r="BU19" s="159">
        <v>290202.23012920999</v>
      </c>
      <c r="BV19" s="159">
        <v>65278.369828285839</v>
      </c>
      <c r="BW19" s="159">
        <v>531939.14521842659</v>
      </c>
      <c r="BX19" s="159">
        <v>490395.42745874554</v>
      </c>
      <c r="BY19" s="159">
        <v>173754.24430491589</v>
      </c>
      <c r="BZ19" s="159">
        <v>96763.380252498289</v>
      </c>
      <c r="CB19" s="159">
        <v>908739744</v>
      </c>
      <c r="CC19" s="159">
        <v>286598896</v>
      </c>
      <c r="CD19" s="159"/>
      <c r="CE19" s="159">
        <v>74856</v>
      </c>
      <c r="CF19" s="159"/>
      <c r="CG19" s="159">
        <v>1760975</v>
      </c>
    </row>
    <row r="20" spans="5:85">
      <c r="E20" t="s">
        <v>640</v>
      </c>
      <c r="G20" s="159">
        <v>2958.8500000000008</v>
      </c>
      <c r="H20" s="159"/>
      <c r="I20" s="184">
        <v>0.30417868411725968</v>
      </c>
      <c r="K20" s="159">
        <v>101955</v>
      </c>
      <c r="L20" s="159">
        <v>108761.73913043473</v>
      </c>
      <c r="M20" s="159">
        <v>113623.69565217392</v>
      </c>
      <c r="N20" s="159">
        <v>124461.69755956664</v>
      </c>
      <c r="O20" s="159">
        <v>142248.13615696065</v>
      </c>
      <c r="P20" s="159">
        <v>154200.22692826853</v>
      </c>
      <c r="Q20" s="159"/>
      <c r="R20" s="184">
        <v>0.88181164152960423</v>
      </c>
      <c r="S20" s="159">
        <v>52245.226928268014</v>
      </c>
      <c r="T20" s="159"/>
      <c r="U20" s="184">
        <v>0.60535111252681106</v>
      </c>
      <c r="V20" s="184">
        <v>0.1486146170715619</v>
      </c>
      <c r="W20" s="184">
        <v>0.24603427040162698</v>
      </c>
      <c r="Y20" s="184">
        <v>0.16012946888333088</v>
      </c>
      <c r="Z20" s="184">
        <v>0.22830660585552451</v>
      </c>
      <c r="AA20" s="184">
        <v>1.5036045314109165E-2</v>
      </c>
      <c r="AB20" s="184">
        <v>0.1695650041685057</v>
      </c>
      <c r="AC20" s="184">
        <v>9.7631307929969102E-2</v>
      </c>
      <c r="AD20" s="184">
        <v>0.30331028394880094</v>
      </c>
      <c r="AE20" s="184">
        <v>1.1485459271247118E-2</v>
      </c>
      <c r="AF20" s="184">
        <v>1.453582462851258E-2</v>
      </c>
      <c r="AH20" s="159">
        <v>104173</v>
      </c>
      <c r="AI20" s="159">
        <v>644.09999999999957</v>
      </c>
      <c r="AJ20" s="159">
        <v>1419.9999999999993</v>
      </c>
      <c r="AK20" s="159">
        <v>4150.2000000000007</v>
      </c>
      <c r="AL20" s="159">
        <v>4407.5000000000018</v>
      </c>
      <c r="AM20" s="159">
        <v>3533.1000000000004</v>
      </c>
      <c r="AN20" s="159">
        <v>335.19999999999993</v>
      </c>
      <c r="AO20" s="159"/>
      <c r="AP20" s="159">
        <v>2209041.3430958823</v>
      </c>
      <c r="AR20" s="159">
        <v>327036.52455655666</v>
      </c>
      <c r="AS20" s="159">
        <v>149999.60044344328</v>
      </c>
      <c r="AT20" s="159">
        <v>132000</v>
      </c>
      <c r="AU20" s="159">
        <v>129911.74396033777</v>
      </c>
      <c r="AV20" s="159">
        <v>423088.25603966223</v>
      </c>
      <c r="AW20" s="159">
        <v>31701.837735849054</v>
      </c>
      <c r="AX20" s="159">
        <v>108216.63497835492</v>
      </c>
      <c r="AY20" s="159">
        <v>444027.07054394932</v>
      </c>
      <c r="AZ20" s="159">
        <v>335347.14483772812</v>
      </c>
      <c r="BA20" s="159">
        <v>29572.960000000003</v>
      </c>
      <c r="BB20" s="159">
        <v>98139.569999999992</v>
      </c>
      <c r="BC20" s="159"/>
      <c r="BD20" s="159">
        <v>379885.02886296215</v>
      </c>
      <c r="BE20" s="159">
        <v>149999.60044344328</v>
      </c>
      <c r="BF20" s="159">
        <v>149413.28399999996</v>
      </c>
      <c r="BG20" s="159">
        <v>116842.77810085464</v>
      </c>
      <c r="BH20" s="159">
        <v>380526.08417459438</v>
      </c>
      <c r="BI20" s="159">
        <v>39098.933207547161</v>
      </c>
      <c r="BJ20" s="159">
        <v>138786.05339855779</v>
      </c>
      <c r="BK20" s="159">
        <v>506255.8776662653</v>
      </c>
      <c r="BL20" s="159">
        <v>382344.84876051388</v>
      </c>
      <c r="BM20" s="159">
        <v>33717.504659454084</v>
      </c>
      <c r="BN20" s="159">
        <v>111893.48001525106</v>
      </c>
      <c r="BO20" s="159"/>
      <c r="BP20" s="159">
        <v>439387.07381523278</v>
      </c>
      <c r="BQ20" s="159">
        <v>152362.43338840018</v>
      </c>
      <c r="BR20" s="159">
        <v>197253.08400000003</v>
      </c>
      <c r="BS20" s="159">
        <v>93505.339066063447</v>
      </c>
      <c r="BT20" s="159">
        <v>304522.20584411611</v>
      </c>
      <c r="BU20" s="159">
        <v>52308.032264150956</v>
      </c>
      <c r="BV20" s="159">
        <v>199245.54232771441</v>
      </c>
      <c r="BW20" s="159">
        <v>619279.28227718524</v>
      </c>
      <c r="BX20" s="159">
        <v>467704.68051509542</v>
      </c>
      <c r="BY20" s="159">
        <v>41245.056120512389</v>
      </c>
      <c r="BZ20" s="159">
        <v>136874.09282983353</v>
      </c>
      <c r="CB20" s="159">
        <v>1300135461</v>
      </c>
      <c r="CC20" s="159">
        <v>371600492</v>
      </c>
      <c r="CD20" s="159"/>
      <c r="CE20" s="159">
        <v>96417</v>
      </c>
      <c r="CF20" s="159"/>
      <c r="CG20" s="159">
        <v>2080155</v>
      </c>
    </row>
    <row r="21" spans="5:85">
      <c r="E21" t="s">
        <v>641</v>
      </c>
      <c r="G21" s="159">
        <v>5046.9099999999989</v>
      </c>
      <c r="H21" s="159"/>
      <c r="I21" s="184">
        <v>7.9510950917774867E-2</v>
      </c>
      <c r="K21" s="159">
        <v>84268</v>
      </c>
      <c r="L21" s="159">
        <v>88522.782608695605</v>
      </c>
      <c r="M21" s="159">
        <v>91561.913043478256</v>
      </c>
      <c r="N21" s="159">
        <v>97995.860589452015</v>
      </c>
      <c r="O21" s="159">
        <v>108432.45133357376</v>
      </c>
      <c r="P21" s="159">
        <v>115222.08555595597</v>
      </c>
      <c r="Q21" s="159"/>
      <c r="R21" s="184">
        <v>0.81438875324635196</v>
      </c>
      <c r="S21" s="159">
        <v>30954.085555955597</v>
      </c>
      <c r="T21" s="159"/>
      <c r="U21" s="184">
        <v>0.62088894416576912</v>
      </c>
      <c r="V21" s="184">
        <v>0.13742211712375468</v>
      </c>
      <c r="W21" s="184">
        <v>0.24168893871047634</v>
      </c>
      <c r="Y21" s="184">
        <v>0.31145867945127448</v>
      </c>
      <c r="Z21" s="184">
        <v>0.34123273365927753</v>
      </c>
      <c r="AA21" s="184">
        <v>9.7427255897849716E-3</v>
      </c>
      <c r="AB21" s="184">
        <v>6.119760763279062E-2</v>
      </c>
      <c r="AC21" s="184">
        <v>4.4690748564105001E-2</v>
      </c>
      <c r="AD21" s="184">
        <v>0.20369535292163099</v>
      </c>
      <c r="AE21" s="184">
        <v>1.3753738073764656E-2</v>
      </c>
      <c r="AF21" s="184">
        <v>1.4228414107371719E-2</v>
      </c>
      <c r="AH21" s="159">
        <v>86524</v>
      </c>
      <c r="AI21" s="159">
        <v>1589.2</v>
      </c>
      <c r="AJ21" s="159">
        <v>5702</v>
      </c>
      <c r="AK21" s="159">
        <v>2681.0999999999985</v>
      </c>
      <c r="AL21" s="159">
        <v>2722.8</v>
      </c>
      <c r="AM21" s="159">
        <v>790.09999999999968</v>
      </c>
      <c r="AN21" s="159">
        <v>213.6</v>
      </c>
      <c r="AO21" s="159"/>
      <c r="AP21" s="159">
        <v>1783363.9723291735</v>
      </c>
      <c r="AR21" s="159">
        <v>266004.97377636924</v>
      </c>
      <c r="AS21" s="159">
        <v>122033.65122363078</v>
      </c>
      <c r="AT21" s="159">
        <v>219000</v>
      </c>
      <c r="AU21" s="159">
        <v>49773.928596442704</v>
      </c>
      <c r="AV21" s="159">
        <v>196226.07140355726</v>
      </c>
      <c r="AW21" s="159">
        <v>52999.558011049703</v>
      </c>
      <c r="AX21" s="159">
        <v>92796.904761904705</v>
      </c>
      <c r="AY21" s="159">
        <v>433309.53265966568</v>
      </c>
      <c r="AZ21" s="159">
        <v>324724.35189655167</v>
      </c>
      <c r="BA21" s="159">
        <v>9296</v>
      </c>
      <c r="BB21" s="159">
        <v>17199</v>
      </c>
      <c r="BC21" s="159"/>
      <c r="BD21" s="159">
        <v>307103.5223018073</v>
      </c>
      <c r="BE21" s="159">
        <v>122033.65122363078</v>
      </c>
      <c r="BF21" s="159">
        <v>251380.15200000012</v>
      </c>
      <c r="BG21" s="159">
        <v>42903.724367637944</v>
      </c>
      <c r="BH21" s="159">
        <v>169141.34605489729</v>
      </c>
      <c r="BI21" s="159">
        <v>70452.369452860454</v>
      </c>
      <c r="BJ21" s="159">
        <v>100774.04599567429</v>
      </c>
      <c r="BK21" s="159">
        <v>474600.81202148035</v>
      </c>
      <c r="BL21" s="159">
        <v>355668.24516251398</v>
      </c>
      <c r="BM21" s="159">
        <v>10181.84188441779</v>
      </c>
      <c r="BN21" s="159">
        <v>18837.940896095261</v>
      </c>
      <c r="BO21" s="159"/>
      <c r="BP21" s="159">
        <v>328811.41225705825</v>
      </c>
      <c r="BQ21" s="159">
        <v>123037.79046470813</v>
      </c>
      <c r="BR21" s="159">
        <v>351294.55199999979</v>
      </c>
      <c r="BS21" s="159">
        <v>30635.502530486574</v>
      </c>
      <c r="BT21" s="159">
        <v>120775.76507514724</v>
      </c>
      <c r="BU21" s="159">
        <v>101618.10417037958</v>
      </c>
      <c r="BV21" s="159">
        <v>127555.28497557095</v>
      </c>
      <c r="BW21" s="159">
        <v>532906.47010451427</v>
      </c>
      <c r="BX21" s="159">
        <v>399362.79976116825</v>
      </c>
      <c r="BY21" s="159">
        <v>11432.701504821276</v>
      </c>
      <c r="BZ21" s="159">
        <v>21152.21957631467</v>
      </c>
      <c r="CB21" s="159">
        <v>1435647120</v>
      </c>
      <c r="CC21" s="159">
        <v>360295742</v>
      </c>
      <c r="CD21" s="159"/>
      <c r="CE21" s="159">
        <v>81883</v>
      </c>
      <c r="CF21" s="159"/>
      <c r="CG21" s="159">
        <v>2032499</v>
      </c>
    </row>
    <row r="22" spans="5:85">
      <c r="E22" t="s">
        <v>642</v>
      </c>
      <c r="G22" s="159">
        <v>11446.959999999997</v>
      </c>
      <c r="H22" s="159"/>
      <c r="I22" s="184">
        <v>3.3498021619044277E-2</v>
      </c>
      <c r="K22" s="159">
        <v>97199</v>
      </c>
      <c r="L22" s="159">
        <v>105128.17391304349</v>
      </c>
      <c r="M22" s="159">
        <v>110791.86956521739</v>
      </c>
      <c r="N22" s="159">
        <v>119828.55211503724</v>
      </c>
      <c r="O22" s="159">
        <v>133370.9606929374</v>
      </c>
      <c r="P22" s="159">
        <v>140116.93448822977</v>
      </c>
      <c r="Q22" s="159"/>
      <c r="R22" s="184">
        <v>0.76860741381183506</v>
      </c>
      <c r="S22" s="159">
        <v>42917.934488229534</v>
      </c>
      <c r="T22" s="159"/>
      <c r="U22" s="184">
        <v>0.50131513526379168</v>
      </c>
      <c r="V22" s="184">
        <v>0.2035188765360442</v>
      </c>
      <c r="W22" s="184">
        <v>0.2951659882001641</v>
      </c>
      <c r="Y22" s="184">
        <v>0.35622794473194169</v>
      </c>
      <c r="Z22" s="184">
        <v>0.38141338902663607</v>
      </c>
      <c r="AA22" s="184">
        <v>6.0288686097593599E-3</v>
      </c>
      <c r="AB22" s="184">
        <v>0.1076554285537917</v>
      </c>
      <c r="AC22" s="184">
        <v>3.4311052582845503E-2</v>
      </c>
      <c r="AD22" s="184">
        <v>9.8776736386176817E-2</v>
      </c>
      <c r="AE22" s="184">
        <v>7.5720943631107313E-3</v>
      </c>
      <c r="AF22" s="184">
        <v>8.014485745738124E-3</v>
      </c>
      <c r="AH22" s="159">
        <v>99184</v>
      </c>
      <c r="AI22" s="159">
        <v>1703.6999999999987</v>
      </c>
      <c r="AJ22" s="159">
        <v>6252.2999999999956</v>
      </c>
      <c r="AK22" s="159">
        <v>3996.5000000000009</v>
      </c>
      <c r="AL22" s="159">
        <v>2621.2000000000012</v>
      </c>
      <c r="AM22" s="159">
        <v>216.7</v>
      </c>
      <c r="AN22" s="159">
        <v>177.9</v>
      </c>
      <c r="AO22" s="159"/>
      <c r="AP22" s="159">
        <v>2196189.410419899</v>
      </c>
      <c r="AR22" s="159">
        <v>410366.19653761445</v>
      </c>
      <c r="AS22" s="159">
        <v>154721.05346238558</v>
      </c>
      <c r="AT22" s="159">
        <v>151000</v>
      </c>
      <c r="AU22" s="159">
        <v>236688.46389430662</v>
      </c>
      <c r="AV22" s="159">
        <v>395311.53610569332</v>
      </c>
      <c r="AW22" s="159">
        <v>31799.73480662984</v>
      </c>
      <c r="AX22" s="159">
        <v>88983.333333333299</v>
      </c>
      <c r="AY22" s="159">
        <v>418818.97119474155</v>
      </c>
      <c r="AZ22" s="159">
        <v>219088.48108519259</v>
      </c>
      <c r="BA22" s="159">
        <v>11195.599999999999</v>
      </c>
      <c r="BB22" s="159">
        <v>78216.040000000008</v>
      </c>
      <c r="BC22" s="159"/>
      <c r="BD22" s="159">
        <v>478901.56877142272</v>
      </c>
      <c r="BE22" s="159">
        <v>154721.05346238558</v>
      </c>
      <c r="BF22" s="159">
        <v>160887.33199999999</v>
      </c>
      <c r="BG22" s="159">
        <v>225376.84654353451</v>
      </c>
      <c r="BH22" s="159">
        <v>376419.13739220845</v>
      </c>
      <c r="BI22" s="159">
        <v>38346.739031524208</v>
      </c>
      <c r="BJ22" s="159">
        <v>98605.244740449358</v>
      </c>
      <c r="BK22" s="159">
        <v>483424.09995490359</v>
      </c>
      <c r="BL22" s="159">
        <v>252884.08372945737</v>
      </c>
      <c r="BM22" s="159">
        <v>12922.58284770618</v>
      </c>
      <c r="BN22" s="159">
        <v>90281.29416194759</v>
      </c>
      <c r="BO22" s="159"/>
      <c r="BP22" s="159">
        <v>566191.56439995102</v>
      </c>
      <c r="BQ22" s="159">
        <v>157948.00913856909</v>
      </c>
      <c r="BR22" s="159">
        <v>209842.73200000005</v>
      </c>
      <c r="BS22" s="159">
        <v>205177.5298457272</v>
      </c>
      <c r="BT22" s="159">
        <v>342682.71111812827</v>
      </c>
      <c r="BU22" s="159">
        <v>50037.818004549874</v>
      </c>
      <c r="BV22" s="159">
        <v>124488.50561904046</v>
      </c>
      <c r="BW22" s="159">
        <v>574023.46270383045</v>
      </c>
      <c r="BX22" s="159">
        <v>300277.53564336145</v>
      </c>
      <c r="BY22" s="159">
        <v>15344.426879026942</v>
      </c>
      <c r="BZ22" s="159">
        <v>107201.07064802658</v>
      </c>
      <c r="CB22" s="159">
        <v>1365655606</v>
      </c>
      <c r="CC22" s="159">
        <v>416670070</v>
      </c>
      <c r="CD22" s="159"/>
      <c r="CE22" s="159">
        <v>95200</v>
      </c>
      <c r="CF22" s="159"/>
      <c r="CG22" s="159">
        <v>2980406</v>
      </c>
    </row>
    <row r="23" spans="5:85">
      <c r="E23" t="s">
        <v>643</v>
      </c>
      <c r="G23" s="159">
        <v>11569.869999999999</v>
      </c>
      <c r="H23" s="159"/>
      <c r="I23" s="184">
        <v>6.5991665389432186E-2</v>
      </c>
      <c r="K23" s="159">
        <v>100214</v>
      </c>
      <c r="L23" s="159">
        <v>104732.65217391304</v>
      </c>
      <c r="M23" s="159">
        <v>107960.26086956519</v>
      </c>
      <c r="N23" s="159">
        <v>114960.65486968844</v>
      </c>
      <c r="O23" s="159">
        <v>126379.35591341332</v>
      </c>
      <c r="P23" s="159">
        <v>133924.92652235494</v>
      </c>
      <c r="Q23" s="159"/>
      <c r="R23" s="184">
        <v>0.7849333502151713</v>
      </c>
      <c r="S23" s="159">
        <v>33710.92652235525</v>
      </c>
      <c r="T23" s="159"/>
      <c r="U23" s="184">
        <v>0.48129463856190535</v>
      </c>
      <c r="V23" s="184">
        <v>0.22248428752565769</v>
      </c>
      <c r="W23" s="184">
        <v>0.29622107391243685</v>
      </c>
      <c r="Y23" s="184">
        <v>0.27861376653960523</v>
      </c>
      <c r="Z23" s="184">
        <v>0.35015067755004292</v>
      </c>
      <c r="AA23" s="184">
        <v>1.2772666493703474E-2</v>
      </c>
      <c r="AB23" s="184">
        <v>0.10458618556289541</v>
      </c>
      <c r="AC23" s="184">
        <v>6.2576087173448813E-2</v>
      </c>
      <c r="AD23" s="184">
        <v>0.16655357534875367</v>
      </c>
      <c r="AE23" s="184">
        <v>1.4469036262398467E-2</v>
      </c>
      <c r="AF23" s="184">
        <v>1.0278005069152015E-2</v>
      </c>
      <c r="AH23" s="159">
        <v>103907</v>
      </c>
      <c r="AI23" s="159">
        <v>2380.8999999999992</v>
      </c>
      <c r="AJ23" s="159">
        <v>6035.8000000000029</v>
      </c>
      <c r="AK23" s="159">
        <v>3631.2</v>
      </c>
      <c r="AL23" s="159">
        <v>3392.8999999999996</v>
      </c>
      <c r="AM23" s="159">
        <v>405.29999999999984</v>
      </c>
      <c r="AN23" s="159">
        <v>229.69999999999996</v>
      </c>
      <c r="AO23" s="159"/>
      <c r="AP23" s="159">
        <v>3420219.6667671911</v>
      </c>
      <c r="AR23" s="159">
        <v>324116.16502081201</v>
      </c>
      <c r="AS23" s="159">
        <v>189564.58497918796</v>
      </c>
      <c r="AT23" s="159">
        <v>657000</v>
      </c>
      <c r="AU23" s="159">
        <v>189222.94340754207</v>
      </c>
      <c r="AV23" s="159">
        <v>869777.05659245793</v>
      </c>
      <c r="AW23" s="159">
        <v>113949.04972375695</v>
      </c>
      <c r="AX23" s="159">
        <v>158898.4761904761</v>
      </c>
      <c r="AY23" s="159">
        <v>554079.52888541133</v>
      </c>
      <c r="AZ23" s="159">
        <v>252570.63196754549</v>
      </c>
      <c r="BA23" s="159">
        <v>23865.23</v>
      </c>
      <c r="BB23" s="159">
        <v>87176</v>
      </c>
      <c r="BC23" s="159"/>
      <c r="BD23" s="159">
        <v>415300.00847600732</v>
      </c>
      <c r="BE23" s="159">
        <v>189564.58497918796</v>
      </c>
      <c r="BF23" s="159">
        <v>725839.34400000016</v>
      </c>
      <c r="BG23" s="159">
        <v>181213.97231447863</v>
      </c>
      <c r="BH23" s="159">
        <v>832963.23698784679</v>
      </c>
      <c r="BI23" s="159">
        <v>132445.12736007688</v>
      </c>
      <c r="BJ23" s="159">
        <v>163818.64489750922</v>
      </c>
      <c r="BK23" s="159">
        <v>619258.97670072585</v>
      </c>
      <c r="BL23" s="159">
        <v>282281.91612042807</v>
      </c>
      <c r="BM23" s="159">
        <v>26672.629357479556</v>
      </c>
      <c r="BN23" s="159">
        <v>97430.996343535677</v>
      </c>
      <c r="BO23" s="159"/>
      <c r="BP23" s="159">
        <v>550682.83784666855</v>
      </c>
      <c r="BQ23" s="159">
        <v>196722.24995019534</v>
      </c>
      <c r="BR23" s="159">
        <v>949761.1440000002</v>
      </c>
      <c r="BS23" s="159">
        <v>166912.23821972255</v>
      </c>
      <c r="BT23" s="159">
        <v>767224.27340818441</v>
      </c>
      <c r="BU23" s="159">
        <v>165473.83742493394</v>
      </c>
      <c r="BV23" s="159">
        <v>197566.42305818165</v>
      </c>
      <c r="BW23" s="159">
        <v>697151.25977924746</v>
      </c>
      <c r="BX23" s="159">
        <v>317788.19660350558</v>
      </c>
      <c r="BY23" s="159">
        <v>30027.594040317461</v>
      </c>
      <c r="BZ23" s="159">
        <v>109686.16426737618</v>
      </c>
      <c r="CB23" s="159">
        <v>1456206725</v>
      </c>
      <c r="CC23" s="159">
        <v>437012685</v>
      </c>
      <c r="CD23" s="159"/>
      <c r="CE23" s="159">
        <v>97071</v>
      </c>
      <c r="CF23" s="159"/>
      <c r="CG23" s="159">
        <v>5396612</v>
      </c>
    </row>
    <row r="24" spans="5:85">
      <c r="E24" t="s">
        <v>644</v>
      </c>
      <c r="G24" s="159">
        <v>5659.39</v>
      </c>
      <c r="H24" s="159"/>
      <c r="I24" s="184">
        <v>0.17898162308255025</v>
      </c>
      <c r="K24" s="159">
        <v>94902</v>
      </c>
      <c r="L24" s="159">
        <v>100719.91304347826</v>
      </c>
      <c r="M24" s="159">
        <v>104875.56521739131</v>
      </c>
      <c r="N24" s="159">
        <v>112671.1343736633</v>
      </c>
      <c r="O24" s="159">
        <v>124937.75094707696</v>
      </c>
      <c r="P24" s="159">
        <v>132217.58491179498</v>
      </c>
      <c r="Q24" s="159"/>
      <c r="R24" s="184">
        <v>0.80963769600556335</v>
      </c>
      <c r="S24" s="159">
        <v>37315.584911794635</v>
      </c>
      <c r="T24" s="159"/>
      <c r="U24" s="184">
        <v>0.51467795487288137</v>
      </c>
      <c r="V24" s="184">
        <v>0.21060999428503541</v>
      </c>
      <c r="W24" s="184">
        <v>0.27471205084208294</v>
      </c>
      <c r="Y24" s="184">
        <v>0.21124949948367791</v>
      </c>
      <c r="Z24" s="184">
        <v>0.28992012813217843</v>
      </c>
      <c r="AA24" s="184">
        <v>2.3655981960338034E-2</v>
      </c>
      <c r="AB24" s="184">
        <v>0.15063960717371605</v>
      </c>
      <c r="AC24" s="184">
        <v>7.7827653790225701E-2</v>
      </c>
      <c r="AD24" s="184">
        <v>0.22232408168426376</v>
      </c>
      <c r="AE24" s="184">
        <v>1.1664664601378263E-2</v>
      </c>
      <c r="AF24" s="184">
        <v>1.2718383174221829E-2</v>
      </c>
      <c r="AH24" s="159">
        <v>96892</v>
      </c>
      <c r="AI24" s="159">
        <v>695.5999999999998</v>
      </c>
      <c r="AJ24" s="159">
        <v>4459.4000000000005</v>
      </c>
      <c r="AK24" s="159">
        <v>3265.900000000001</v>
      </c>
      <c r="AL24" s="159">
        <v>4687.7000000000007</v>
      </c>
      <c r="AM24" s="159">
        <v>887.6</v>
      </c>
      <c r="AN24" s="159">
        <v>182.50000000000003</v>
      </c>
      <c r="AO24" s="159"/>
      <c r="AP24" s="159">
        <v>3221626.0553071378</v>
      </c>
      <c r="AR24" s="159">
        <v>343635.39301141689</v>
      </c>
      <c r="AS24" s="159">
        <v>153147.60698858323</v>
      </c>
      <c r="AT24" s="159">
        <v>752000</v>
      </c>
      <c r="AU24" s="159">
        <v>132468.49286041746</v>
      </c>
      <c r="AV24" s="159">
        <v>1005531.5071395828</v>
      </c>
      <c r="AW24" s="159">
        <v>76849.359116022111</v>
      </c>
      <c r="AX24" s="159">
        <v>44491.666666666664</v>
      </c>
      <c r="AY24" s="159">
        <v>458767.02981856506</v>
      </c>
      <c r="AZ24" s="159">
        <v>154248.23970588233</v>
      </c>
      <c r="BA24" s="159">
        <v>39689.1</v>
      </c>
      <c r="BB24" s="159">
        <v>60797.659999999996</v>
      </c>
      <c r="BC24" s="159"/>
      <c r="BD24" s="159">
        <v>400656.97419105028</v>
      </c>
      <c r="BE24" s="159">
        <v>153147.60698858323</v>
      </c>
      <c r="BF24" s="159">
        <v>810725.01600000029</v>
      </c>
      <c r="BG24" s="159">
        <v>129664.2203301062</v>
      </c>
      <c r="BH24" s="159">
        <v>984245.05386344262</v>
      </c>
      <c r="BI24" s="159">
        <v>108308.16109334106</v>
      </c>
      <c r="BJ24" s="159">
        <v>48855.101118882572</v>
      </c>
      <c r="BK24" s="159">
        <v>517259.27053057379</v>
      </c>
      <c r="BL24" s="159">
        <v>173914.70346603583</v>
      </c>
      <c r="BM24" s="159">
        <v>44749.412184511384</v>
      </c>
      <c r="BN24" s="159">
        <v>68549.288020987631</v>
      </c>
      <c r="BO24" s="159"/>
      <c r="BP24" s="159">
        <v>432103.34204194893</v>
      </c>
      <c r="BQ24" s="159">
        <v>154813.92650420545</v>
      </c>
      <c r="BR24" s="159">
        <v>1018820.216</v>
      </c>
      <c r="BS24" s="159">
        <v>124656.59081169323</v>
      </c>
      <c r="BT24" s="159">
        <v>946233.53015604836</v>
      </c>
      <c r="BU24" s="159">
        <v>164484.59319569648</v>
      </c>
      <c r="BV24" s="159">
        <v>61927.014014462213</v>
      </c>
      <c r="BW24" s="159">
        <v>588675.47957451676</v>
      </c>
      <c r="BX24" s="159">
        <v>197926.50862093578</v>
      </c>
      <c r="BY24" s="159">
        <v>50927.809667623762</v>
      </c>
      <c r="BZ24" s="159">
        <v>78013.652532229302</v>
      </c>
      <c r="CB24" s="159">
        <v>1182010055</v>
      </c>
      <c r="CC24" s="159">
        <v>387563179</v>
      </c>
      <c r="CD24" s="159"/>
      <c r="CE24" s="159">
        <v>83224</v>
      </c>
      <c r="CF24" s="159"/>
      <c r="CG24" s="159">
        <v>3274683</v>
      </c>
    </row>
    <row r="25" spans="5:85">
      <c r="E25" t="s">
        <v>645</v>
      </c>
      <c r="G25" s="159">
        <v>1485.95</v>
      </c>
      <c r="H25" s="159"/>
      <c r="I25" s="184">
        <v>0.38456887750025909</v>
      </c>
      <c r="K25" s="159">
        <v>93556</v>
      </c>
      <c r="L25" s="159">
        <v>101478.47826086952</v>
      </c>
      <c r="M25" s="159">
        <v>107137.39130434781</v>
      </c>
      <c r="N25" s="159">
        <v>117117.20010341452</v>
      </c>
      <c r="O25" s="159">
        <v>132549.6872667658</v>
      </c>
      <c r="P25" s="159">
        <v>141191.4787779426</v>
      </c>
      <c r="Q25" s="159"/>
      <c r="R25" s="184">
        <v>0.93634111747619986</v>
      </c>
      <c r="S25" s="159">
        <v>47635.478777942248</v>
      </c>
      <c r="T25" s="159"/>
      <c r="U25" s="184">
        <v>0.49342204226937136</v>
      </c>
      <c r="V25" s="184">
        <v>0.19124018374332616</v>
      </c>
      <c r="W25" s="184">
        <v>0.31533777398730251</v>
      </c>
      <c r="Y25" s="184">
        <v>0.11316217025097268</v>
      </c>
      <c r="Z25" s="184">
        <v>0.17077472316046005</v>
      </c>
      <c r="AA25" s="184">
        <v>1.2901363889007653E-2</v>
      </c>
      <c r="AB25" s="184">
        <v>0.26736927615545769</v>
      </c>
      <c r="AC25" s="184">
        <v>0.15314891615716789</v>
      </c>
      <c r="AD25" s="184">
        <v>0.25603916370943608</v>
      </c>
      <c r="AE25" s="184">
        <v>1.3499935867288041E-2</v>
      </c>
      <c r="AF25" s="184">
        <v>1.3104450810209927E-2</v>
      </c>
      <c r="AH25" s="159">
        <v>96872</v>
      </c>
      <c r="AI25" s="159">
        <v>137.60000000000002</v>
      </c>
      <c r="AJ25" s="159">
        <v>362.59999999999997</v>
      </c>
      <c r="AK25" s="159">
        <v>1714.3999999999999</v>
      </c>
      <c r="AL25" s="159">
        <v>6690.2000000000016</v>
      </c>
      <c r="AM25" s="159">
        <v>3062.7999999999993</v>
      </c>
      <c r="AN25" s="159">
        <v>326.20000000000016</v>
      </c>
      <c r="AO25" s="159"/>
      <c r="AP25" s="159">
        <v>2949177.8761815988</v>
      </c>
      <c r="AR25" s="159">
        <v>284645.49626831658</v>
      </c>
      <c r="AS25" s="159">
        <v>226830.75373168345</v>
      </c>
      <c r="AT25" s="159">
        <v>1449000</v>
      </c>
      <c r="AU25" s="159">
        <v>99397.940078627755</v>
      </c>
      <c r="AV25" s="159">
        <v>160602.05992137222</v>
      </c>
      <c r="AW25" s="159">
        <v>99634.347169811314</v>
      </c>
      <c r="AX25" s="159">
        <v>79646.241385281362</v>
      </c>
      <c r="AY25" s="159">
        <v>275311.20203827112</v>
      </c>
      <c r="AZ25" s="159">
        <v>198267.53558823525</v>
      </c>
      <c r="BA25" s="159">
        <v>26900</v>
      </c>
      <c r="BB25" s="159">
        <v>48942.3</v>
      </c>
      <c r="BC25" s="159"/>
      <c r="BD25" s="159">
        <v>357002.60092638363</v>
      </c>
      <c r="BE25" s="159">
        <v>226830.75373168345</v>
      </c>
      <c r="BF25" s="159">
        <v>1641940.8319999992</v>
      </c>
      <c r="BG25" s="159">
        <v>94428.043074696368</v>
      </c>
      <c r="BH25" s="159">
        <v>152571.95692530362</v>
      </c>
      <c r="BI25" s="159">
        <v>115710.10176635889</v>
      </c>
      <c r="BJ25" s="159">
        <v>90854.452049095678</v>
      </c>
      <c r="BK25" s="159">
        <v>330842.21055221325</v>
      </c>
      <c r="BL25" s="159">
        <v>238258.62975830867</v>
      </c>
      <c r="BM25" s="159">
        <v>32325.802212063238</v>
      </c>
      <c r="BN25" s="159">
        <v>58814.093293809019</v>
      </c>
      <c r="BO25" s="159"/>
      <c r="BP25" s="159">
        <v>423002.36021724943</v>
      </c>
      <c r="BQ25" s="159">
        <v>231615.88256920732</v>
      </c>
      <c r="BR25" s="159">
        <v>1974926.2320000005</v>
      </c>
      <c r="BS25" s="159">
        <v>85553.226996247482</v>
      </c>
      <c r="BT25" s="159">
        <v>138232.48728946681</v>
      </c>
      <c r="BU25" s="159">
        <v>144416.80640305098</v>
      </c>
      <c r="BV25" s="159">
        <v>119682.79034868766</v>
      </c>
      <c r="BW25" s="159">
        <v>399102.81979289261</v>
      </c>
      <c r="BX25" s="159">
        <v>287417.04638539429</v>
      </c>
      <c r="BY25" s="159">
        <v>38995.383307855445</v>
      </c>
      <c r="BZ25" s="159">
        <v>70948.838233013128</v>
      </c>
      <c r="CB25" s="159">
        <v>930090942</v>
      </c>
      <c r="CC25" s="159">
        <v>320203519</v>
      </c>
      <c r="CD25" s="159"/>
      <c r="CE25" s="159">
        <v>87886</v>
      </c>
      <c r="CF25" s="159"/>
      <c r="CG25" s="159">
        <v>1789606</v>
      </c>
    </row>
    <row r="26" spans="5:85">
      <c r="E26" t="s">
        <v>646</v>
      </c>
      <c r="G26" s="159">
        <v>1238.9500000000003</v>
      </c>
      <c r="H26" s="159"/>
      <c r="I26" s="184">
        <v>0.72119654183219006</v>
      </c>
      <c r="K26" s="159">
        <v>78536</v>
      </c>
      <c r="L26" s="159">
        <v>82537.869565217406</v>
      </c>
      <c r="M26" s="159">
        <v>85396.347826086887</v>
      </c>
      <c r="N26" s="159">
        <v>91634.469425419113</v>
      </c>
      <c r="O26" s="159">
        <v>101823.93001538799</v>
      </c>
      <c r="P26" s="159">
        <v>108583.21669231301</v>
      </c>
      <c r="Q26" s="159"/>
      <c r="R26" s="184">
        <v>0.93263740684115415</v>
      </c>
      <c r="S26" s="159">
        <v>30047.216692313068</v>
      </c>
      <c r="T26" s="159"/>
      <c r="U26" s="184">
        <v>0.60995039401932394</v>
      </c>
      <c r="V26" s="184">
        <v>0.13605703924286558</v>
      </c>
      <c r="W26" s="184">
        <v>0.25399256673781029</v>
      </c>
      <c r="Y26" s="184">
        <v>0.22834114291535093</v>
      </c>
      <c r="Z26" s="184">
        <v>0.12827238463889171</v>
      </c>
      <c r="AA26" s="184">
        <v>8.9131099113782218E-3</v>
      </c>
      <c r="AB26" s="184">
        <v>9.1690434959763673E-2</v>
      </c>
      <c r="AC26" s="184">
        <v>0.15368748090047876</v>
      </c>
      <c r="AD26" s="184">
        <v>0.3396658857084649</v>
      </c>
      <c r="AE26" s="184">
        <v>1.8233676275848019E-2</v>
      </c>
      <c r="AF26" s="184">
        <v>3.1195884689823775E-2</v>
      </c>
      <c r="AH26" s="159">
        <v>84798</v>
      </c>
      <c r="AI26" s="159">
        <v>141.50000000000003</v>
      </c>
      <c r="AJ26" s="159">
        <v>344.6</v>
      </c>
      <c r="AK26" s="159">
        <v>1307.1000000000004</v>
      </c>
      <c r="AL26" s="159">
        <v>5427.5000000000018</v>
      </c>
      <c r="AM26" s="159">
        <v>2856.8000000000006</v>
      </c>
      <c r="AN26" s="159">
        <v>209.60000000000011</v>
      </c>
      <c r="AO26" s="159"/>
      <c r="AP26" s="159">
        <v>2873261.8634804953</v>
      </c>
      <c r="AR26" s="159">
        <v>595156.4647611964</v>
      </c>
      <c r="AS26" s="159">
        <v>217329.78523880371</v>
      </c>
      <c r="AT26" s="159">
        <v>487000</v>
      </c>
      <c r="AU26" s="159">
        <v>25906.810035842296</v>
      </c>
      <c r="AV26" s="159">
        <v>68093.189964157704</v>
      </c>
      <c r="AW26" s="159">
        <v>484585.23396226391</v>
      </c>
      <c r="AX26" s="159">
        <v>28174.298441558447</v>
      </c>
      <c r="AY26" s="159">
        <v>307487.84705030284</v>
      </c>
      <c r="AZ26" s="159">
        <v>291691.98402636917</v>
      </c>
      <c r="BA26" s="159">
        <v>311161.25</v>
      </c>
      <c r="BB26" s="159">
        <v>56675</v>
      </c>
      <c r="BC26" s="159"/>
      <c r="BD26" s="159">
        <v>711312.88209181931</v>
      </c>
      <c r="BE26" s="159">
        <v>217329.78523880371</v>
      </c>
      <c r="BF26" s="159">
        <v>555469.7440000003</v>
      </c>
      <c r="BG26" s="159">
        <v>24611.469534050178</v>
      </c>
      <c r="BH26" s="159">
        <v>64688.530465949822</v>
      </c>
      <c r="BI26" s="159">
        <v>524130.40201876999</v>
      </c>
      <c r="BJ26" s="159">
        <v>38895.559661017898</v>
      </c>
      <c r="BK26" s="159">
        <v>336745.41405942908</v>
      </c>
      <c r="BL26" s="159">
        <v>319446.56961582944</v>
      </c>
      <c r="BM26" s="159">
        <v>340768.34247487492</v>
      </c>
      <c r="BN26" s="159">
        <v>62067.644379766229</v>
      </c>
      <c r="BO26" s="159"/>
      <c r="BP26" s="159">
        <v>1128792.3724061269</v>
      </c>
      <c r="BQ26" s="159">
        <v>234500.2348930469</v>
      </c>
      <c r="BR26" s="159">
        <v>719061.54400000046</v>
      </c>
      <c r="BS26" s="159">
        <v>22298.361495135687</v>
      </c>
      <c r="BT26" s="159">
        <v>58608.781362007154</v>
      </c>
      <c r="BU26" s="159">
        <v>594746.77354824473</v>
      </c>
      <c r="BV26" s="159">
        <v>54809.282752578605</v>
      </c>
      <c r="BW26" s="159">
        <v>416043.06074929109</v>
      </c>
      <c r="BX26" s="159">
        <v>394670.64144005318</v>
      </c>
      <c r="BY26" s="159">
        <v>421013.31834229274</v>
      </c>
      <c r="BZ26" s="159">
        <v>76683.48747490067</v>
      </c>
      <c r="CB26" s="159">
        <v>909933408</v>
      </c>
      <c r="CC26" s="159">
        <v>380263229</v>
      </c>
      <c r="CD26" s="159"/>
      <c r="CE26" s="159">
        <v>70784</v>
      </c>
      <c r="CF26" s="159"/>
      <c r="CG26" s="159">
        <v>1231095</v>
      </c>
    </row>
    <row r="27" spans="5:85">
      <c r="E27" t="s">
        <v>648</v>
      </c>
      <c r="G27" s="159">
        <v>3724.69</v>
      </c>
      <c r="H27" s="159"/>
      <c r="I27" s="184">
        <v>9.431103821663496E-2</v>
      </c>
      <c r="K27" s="159">
        <v>63639</v>
      </c>
      <c r="L27" s="159">
        <v>67177.95652173915</v>
      </c>
      <c r="M27" s="159">
        <v>69705.782608695677</v>
      </c>
      <c r="N27" s="159">
        <v>75138.502676469172</v>
      </c>
      <c r="O27" s="159">
        <v>83981.681942450829</v>
      </c>
      <c r="P27" s="159">
        <v>89791.469904085068</v>
      </c>
      <c r="Q27" s="159"/>
      <c r="R27" s="184">
        <v>0.81584934444031654</v>
      </c>
      <c r="S27" s="159">
        <v>26152.469904084905</v>
      </c>
      <c r="T27" s="159"/>
      <c r="U27" s="184">
        <v>0.572088669029997</v>
      </c>
      <c r="V27" s="184">
        <v>0.157884905971901</v>
      </c>
      <c r="W27" s="184">
        <v>0.27002642499810225</v>
      </c>
      <c r="Y27" s="184">
        <v>0.27855560269645974</v>
      </c>
      <c r="Z27" s="184">
        <v>0.36196357579471705</v>
      </c>
      <c r="AA27" s="184">
        <v>6.8197174688477188E-3</v>
      </c>
      <c r="AB27" s="184">
        <v>8.2528009553889906E-2</v>
      </c>
      <c r="AC27" s="184">
        <v>3.5355678121906375E-2</v>
      </c>
      <c r="AD27" s="184">
        <v>0.21042128254686593</v>
      </c>
      <c r="AE27" s="184">
        <v>1.4472257577900344E-2</v>
      </c>
      <c r="AF27" s="184">
        <v>9.8838762394129389E-3</v>
      </c>
      <c r="AH27" s="159">
        <v>65198</v>
      </c>
      <c r="AI27" s="159">
        <v>1354.9999999999995</v>
      </c>
      <c r="AJ27" s="159">
        <v>3294.9000000000019</v>
      </c>
      <c r="AK27" s="159">
        <v>1829.2999999999997</v>
      </c>
      <c r="AL27" s="159">
        <v>2509.6000000000013</v>
      </c>
      <c r="AM27" s="159">
        <v>635.09999999999991</v>
      </c>
      <c r="AN27" s="159">
        <v>168.40000000000003</v>
      </c>
      <c r="AO27" s="159"/>
      <c r="AP27" s="159">
        <v>1761008.8739170772</v>
      </c>
      <c r="AR27" s="159">
        <v>269283.44801685197</v>
      </c>
      <c r="AS27" s="159">
        <v>218901.05198314806</v>
      </c>
      <c r="AT27" s="159">
        <v>286000</v>
      </c>
      <c r="AU27" s="159">
        <v>40938.347058854779</v>
      </c>
      <c r="AV27" s="159">
        <v>260061.65294114524</v>
      </c>
      <c r="AW27" s="159">
        <v>34449.712707182327</v>
      </c>
      <c r="AX27" s="159">
        <v>62288.333333333343</v>
      </c>
      <c r="AY27" s="159">
        <v>289731.92346479656</v>
      </c>
      <c r="AZ27" s="159">
        <v>247901.33441176466</v>
      </c>
      <c r="BA27" s="159">
        <v>10847.85</v>
      </c>
      <c r="BB27" s="159">
        <v>40605.22</v>
      </c>
      <c r="BC27" s="159"/>
      <c r="BD27" s="159">
        <v>316142.08291241527</v>
      </c>
      <c r="BE27" s="159">
        <v>218901.05198314806</v>
      </c>
      <c r="BF27" s="159">
        <v>303486.1399999999</v>
      </c>
      <c r="BG27" s="159">
        <v>39209.054812403163</v>
      </c>
      <c r="BH27" s="159">
        <v>249076.29001518307</v>
      </c>
      <c r="BI27" s="159">
        <v>43501.814394505018</v>
      </c>
      <c r="BJ27" s="159">
        <v>66661.302876727364</v>
      </c>
      <c r="BK27" s="159">
        <v>331205.55578673654</v>
      </c>
      <c r="BL27" s="159">
        <v>283387.13339642866</v>
      </c>
      <c r="BM27" s="159">
        <v>12400.663845997267</v>
      </c>
      <c r="BN27" s="159">
        <v>46417.648069688017</v>
      </c>
      <c r="BO27" s="159"/>
      <c r="BP27" s="159">
        <v>495615.48667121399</v>
      </c>
      <c r="BQ27" s="159">
        <v>223764.39846121665</v>
      </c>
      <c r="BR27" s="159">
        <v>397199.13999999984</v>
      </c>
      <c r="BS27" s="159">
        <v>36121.032943739549</v>
      </c>
      <c r="BT27" s="159">
        <v>229459.57050453633</v>
      </c>
      <c r="BU27" s="159">
        <v>59666.281693295488</v>
      </c>
      <c r="BV27" s="159">
        <v>86243.285129193639</v>
      </c>
      <c r="BW27" s="159">
        <v>389266.79698973766</v>
      </c>
      <c r="BX27" s="159">
        <v>333065.67416508554</v>
      </c>
      <c r="BY27" s="159">
        <v>14574.534187421701</v>
      </c>
      <c r="BZ27" s="159">
        <v>54554.788928477014</v>
      </c>
      <c r="CB27" s="159">
        <v>910612312</v>
      </c>
      <c r="CC27" s="159">
        <v>273470298</v>
      </c>
      <c r="CD27" s="159"/>
      <c r="CE27" s="159">
        <v>59288</v>
      </c>
      <c r="CF27" s="159"/>
      <c r="CG27" s="159">
        <v>1732481</v>
      </c>
    </row>
    <row r="28" spans="5:85">
      <c r="E28" t="s">
        <v>649</v>
      </c>
      <c r="G28" s="159">
        <v>2725.1999999999989</v>
      </c>
      <c r="H28" s="159"/>
      <c r="I28" s="184">
        <v>0.28872126951985561</v>
      </c>
      <c r="K28" s="159">
        <v>130017</v>
      </c>
      <c r="L28" s="159">
        <v>141392.60869565216</v>
      </c>
      <c r="M28" s="159">
        <v>149518.04347826081</v>
      </c>
      <c r="N28" s="159">
        <v>163744.65928678916</v>
      </c>
      <c r="O28" s="159">
        <v>185697.54307775953</v>
      </c>
      <c r="P28" s="159">
        <v>197899.90512959886</v>
      </c>
      <c r="Q28" s="159"/>
      <c r="R28" s="184">
        <v>0.9213694621638755</v>
      </c>
      <c r="S28" s="159">
        <v>67882.905129597988</v>
      </c>
      <c r="T28" s="159"/>
      <c r="U28" s="184">
        <v>0.56334661393192309</v>
      </c>
      <c r="V28" s="184">
        <v>0.17550423694794628</v>
      </c>
      <c r="W28" s="184">
        <v>0.26114914912013049</v>
      </c>
      <c r="Y28" s="184">
        <v>0.11366205957682457</v>
      </c>
      <c r="Z28" s="184">
        <v>0.21617942269087889</v>
      </c>
      <c r="AA28" s="184">
        <v>1.5282616888560727E-2</v>
      </c>
      <c r="AB28" s="184">
        <v>0.19609743341255376</v>
      </c>
      <c r="AC28" s="184">
        <v>0.15477206826799572</v>
      </c>
      <c r="AD28" s="184">
        <v>0.27706376858410825</v>
      </c>
      <c r="AE28" s="184">
        <v>1.6228647023081598E-2</v>
      </c>
      <c r="AF28" s="184">
        <v>1.0713983555996523E-2</v>
      </c>
      <c r="AH28" s="159">
        <v>132213</v>
      </c>
      <c r="AI28" s="159">
        <v>451.6</v>
      </c>
      <c r="AJ28" s="159">
        <v>1533.3000000000011</v>
      </c>
      <c r="AK28" s="159">
        <v>3052.2999999999993</v>
      </c>
      <c r="AL28" s="159">
        <v>8544.3000000000011</v>
      </c>
      <c r="AM28" s="159">
        <v>3972.8000000000006</v>
      </c>
      <c r="AN28" s="159">
        <v>241.69999999999987</v>
      </c>
      <c r="AO28" s="159"/>
      <c r="AP28" s="159">
        <v>2737088.107908071</v>
      </c>
      <c r="AR28" s="159">
        <v>274336.13396521495</v>
      </c>
      <c r="AS28" s="159">
        <v>211943.11603478502</v>
      </c>
      <c r="AT28" s="159">
        <v>622000</v>
      </c>
      <c r="AU28" s="159">
        <v>79014.558927123362</v>
      </c>
      <c r="AV28" s="159">
        <v>350985.44107287668</v>
      </c>
      <c r="AW28" s="159">
        <v>122278.51698113207</v>
      </c>
      <c r="AX28" s="159">
        <v>102860.15982683979</v>
      </c>
      <c r="AY28" s="159">
        <v>442700.73962951003</v>
      </c>
      <c r="AZ28" s="159">
        <v>386191.54147058807</v>
      </c>
      <c r="BA28" s="159">
        <v>29051.4</v>
      </c>
      <c r="BB28" s="159">
        <v>115726.5</v>
      </c>
      <c r="BC28" s="159"/>
      <c r="BD28" s="159">
        <v>320417.36727831396</v>
      </c>
      <c r="BE28" s="159">
        <v>211943.11603478502</v>
      </c>
      <c r="BF28" s="159">
        <v>689181.21199999971</v>
      </c>
      <c r="BG28" s="159">
        <v>74405.376323041142</v>
      </c>
      <c r="BH28" s="159">
        <v>330511.29034362541</v>
      </c>
      <c r="BI28" s="159">
        <v>162738.32039400667</v>
      </c>
      <c r="BJ28" s="159">
        <v>129340.17158945624</v>
      </c>
      <c r="BK28" s="159">
        <v>520910.77702566859</v>
      </c>
      <c r="BL28" s="159">
        <v>454418.34164664469</v>
      </c>
      <c r="BM28" s="159">
        <v>34183.786004848909</v>
      </c>
      <c r="BN28" s="159">
        <v>136171.40348107659</v>
      </c>
      <c r="BO28" s="159"/>
      <c r="BP28" s="159">
        <v>330619.48369654454</v>
      </c>
      <c r="BQ28" s="159">
        <v>212655.9965008093</v>
      </c>
      <c r="BR28" s="159">
        <v>867727.61200000008</v>
      </c>
      <c r="BS28" s="159">
        <v>66174.693101465789</v>
      </c>
      <c r="BT28" s="159">
        <v>293950.30689853424</v>
      </c>
      <c r="BU28" s="159">
        <v>234987.96934556836</v>
      </c>
      <c r="BV28" s="159">
        <v>178445.46551089114</v>
      </c>
      <c r="BW28" s="159">
        <v>641568.64579105005</v>
      </c>
      <c r="BX28" s="159">
        <v>559674.65625785291</v>
      </c>
      <c r="BY28" s="159">
        <v>42101.730780780665</v>
      </c>
      <c r="BZ28" s="159">
        <v>167712.60411553364</v>
      </c>
      <c r="CB28" s="159">
        <v>1422107690</v>
      </c>
      <c r="CC28" s="159">
        <v>448195619</v>
      </c>
      <c r="CD28" s="159"/>
      <c r="CE28" s="159">
        <v>119778</v>
      </c>
      <c r="CF28" s="159"/>
      <c r="CG28" s="159">
        <v>2024311</v>
      </c>
    </row>
    <row r="29" spans="5:85">
      <c r="E29" t="s">
        <v>650</v>
      </c>
      <c r="G29" s="159">
        <v>3531.400000000001</v>
      </c>
      <c r="H29" s="159"/>
      <c r="I29" s="184">
        <v>0.18653178957816655</v>
      </c>
      <c r="K29" s="159">
        <v>116091</v>
      </c>
      <c r="L29" s="159">
        <v>124564.652173913</v>
      </c>
      <c r="M29" s="159">
        <v>130617.26086956523</v>
      </c>
      <c r="N29" s="159">
        <v>142190.20066590275</v>
      </c>
      <c r="O29" s="159">
        <v>160493.99330205636</v>
      </c>
      <c r="P29" s="159">
        <v>171534.65550342744</v>
      </c>
      <c r="Q29" s="159"/>
      <c r="R29" s="184">
        <v>0.88607146572611817</v>
      </c>
      <c r="S29" s="159">
        <v>55443.655503426686</v>
      </c>
      <c r="T29" s="159"/>
      <c r="U29" s="184">
        <v>0.54568910839647411</v>
      </c>
      <c r="V29" s="184">
        <v>0.18275485586554133</v>
      </c>
      <c r="W29" s="184">
        <v>0.27155603573798487</v>
      </c>
      <c r="Y29" s="184">
        <v>0.14878845043974123</v>
      </c>
      <c r="Z29" s="184">
        <v>0.27525820261691258</v>
      </c>
      <c r="AA29" s="184">
        <v>1.2369606601717618E-2</v>
      </c>
      <c r="AB29" s="184">
        <v>0.15577434943277257</v>
      </c>
      <c r="AC29" s="184">
        <v>0.15477513330060039</v>
      </c>
      <c r="AD29" s="184">
        <v>0.22969050141699185</v>
      </c>
      <c r="AE29" s="184">
        <v>1.3360208801715895E-2</v>
      </c>
      <c r="AF29" s="184">
        <v>9.9835473895478546E-3</v>
      </c>
      <c r="AH29" s="159">
        <v>117651</v>
      </c>
      <c r="AI29" s="159">
        <v>564.20000000000027</v>
      </c>
      <c r="AJ29" s="159">
        <v>2284.1000000000004</v>
      </c>
      <c r="AK29" s="159">
        <v>4904.7</v>
      </c>
      <c r="AL29" s="159">
        <v>5975.7000000000035</v>
      </c>
      <c r="AM29" s="159">
        <v>2899.3999999999983</v>
      </c>
      <c r="AN29" s="159">
        <v>264.89999999999992</v>
      </c>
      <c r="AO29" s="159"/>
      <c r="AP29" s="159">
        <v>1869076.2782741929</v>
      </c>
      <c r="AR29" s="159">
        <v>323214.5881908111</v>
      </c>
      <c r="AS29" s="159">
        <v>140624.53680918887</v>
      </c>
      <c r="AT29" s="159">
        <v>138000</v>
      </c>
      <c r="AU29" s="159">
        <v>90817.843469531945</v>
      </c>
      <c r="AV29" s="159">
        <v>214182.15653046806</v>
      </c>
      <c r="AW29" s="159">
        <v>36230.671698113205</v>
      </c>
      <c r="AX29" s="159">
        <v>82479.047619047589</v>
      </c>
      <c r="AY29" s="159">
        <v>416816.38382518466</v>
      </c>
      <c r="AZ29" s="159">
        <v>350019.05013184575</v>
      </c>
      <c r="BA29" s="159">
        <v>41478</v>
      </c>
      <c r="BB29" s="159">
        <v>35214</v>
      </c>
      <c r="BC29" s="159"/>
      <c r="BD29" s="159">
        <v>364765.74671142822</v>
      </c>
      <c r="BE29" s="159">
        <v>140624.53680918887</v>
      </c>
      <c r="BF29" s="159">
        <v>150758.89999999997</v>
      </c>
      <c r="BG29" s="159">
        <v>75040.729056576718</v>
      </c>
      <c r="BH29" s="159">
        <v>176973.86948356926</v>
      </c>
      <c r="BI29" s="159">
        <v>45985.08330914368</v>
      </c>
      <c r="BJ29" s="159">
        <v>93121.247787635963</v>
      </c>
      <c r="BK29" s="159">
        <v>477396.59575814329</v>
      </c>
      <c r="BL29" s="159">
        <v>400890.91856217413</v>
      </c>
      <c r="BM29" s="159">
        <v>47506.424332785136</v>
      </c>
      <c r="BN29" s="159">
        <v>40332.012788820488</v>
      </c>
      <c r="BO29" s="159"/>
      <c r="BP29" s="159">
        <v>382676.24632445123</v>
      </c>
      <c r="BQ29" s="159">
        <v>141100.64129218526</v>
      </c>
      <c r="BR29" s="159">
        <v>199818.89999999997</v>
      </c>
      <c r="BS29" s="159">
        <v>46867.310462013898</v>
      </c>
      <c r="BT29" s="159">
        <v>110530.4997569642</v>
      </c>
      <c r="BU29" s="159">
        <v>63403.675471698109</v>
      </c>
      <c r="BV29" s="159">
        <v>122705.21449595675</v>
      </c>
      <c r="BW29" s="159">
        <v>570207.5110649229</v>
      </c>
      <c r="BX29" s="159">
        <v>478828.32620297099</v>
      </c>
      <c r="BY29" s="159">
        <v>56742.172481085268</v>
      </c>
      <c r="BZ29" s="159">
        <v>48172.979935120704</v>
      </c>
      <c r="CB29" s="159">
        <v>1346138152</v>
      </c>
      <c r="CC29" s="159">
        <v>419513637</v>
      </c>
      <c r="CD29" s="159"/>
      <c r="CE29" s="159">
        <v>108984</v>
      </c>
      <c r="CF29" s="159"/>
      <c r="CG29" s="159">
        <v>1694635</v>
      </c>
    </row>
    <row r="30" spans="5:85">
      <c r="E30" t="s">
        <v>651</v>
      </c>
      <c r="G30" s="159">
        <v>3760.869999999999</v>
      </c>
      <c r="H30" s="159"/>
      <c r="I30" s="184">
        <v>0.12031272675454192</v>
      </c>
      <c r="K30" s="159">
        <v>78757</v>
      </c>
      <c r="L30" s="159">
        <v>81112.043478260865</v>
      </c>
      <c r="M30" s="159">
        <v>82794.217391304366</v>
      </c>
      <c r="N30" s="159">
        <v>88092.717563011451</v>
      </c>
      <c r="O30" s="159">
        <v>97343.97877599069</v>
      </c>
      <c r="P30" s="159">
        <v>104576.63129331781</v>
      </c>
      <c r="Q30" s="159"/>
      <c r="R30" s="184">
        <v>0.84464742741027121</v>
      </c>
      <c r="S30" s="159">
        <v>25819.631293317914</v>
      </c>
      <c r="T30" s="159"/>
      <c r="U30" s="184">
        <v>0.63405250643937106</v>
      </c>
      <c r="V30" s="184">
        <v>0.13700549985945012</v>
      </c>
      <c r="W30" s="184">
        <v>0.22894199370117843</v>
      </c>
      <c r="Y30" s="184">
        <v>0.25597724646698072</v>
      </c>
      <c r="Z30" s="184">
        <v>0.33684624858742712</v>
      </c>
      <c r="AA30" s="184">
        <v>8.5198775981817493E-3</v>
      </c>
      <c r="AB30" s="184">
        <v>3.6657059055068122E-2</v>
      </c>
      <c r="AC30" s="184">
        <v>0.10430818847848446</v>
      </c>
      <c r="AD30" s="184">
        <v>0.23462041469329711</v>
      </c>
      <c r="AE30" s="184">
        <v>1.3014716152215042E-2</v>
      </c>
      <c r="AF30" s="184">
        <v>1.0056248968345671E-2</v>
      </c>
      <c r="AH30" s="159">
        <v>80919</v>
      </c>
      <c r="AI30" s="159">
        <v>754.70000000000016</v>
      </c>
      <c r="AJ30" s="159">
        <v>2342.4</v>
      </c>
      <c r="AK30" s="159">
        <v>4907.0999999999985</v>
      </c>
      <c r="AL30" s="159">
        <v>3073.2000000000003</v>
      </c>
      <c r="AM30" s="159">
        <v>1122.3000000000006</v>
      </c>
      <c r="AN30" s="159">
        <v>196.79999999999998</v>
      </c>
      <c r="AO30" s="159"/>
      <c r="AP30" s="159">
        <v>1797557.6002527277</v>
      </c>
      <c r="AR30" s="159">
        <v>308716.03646261099</v>
      </c>
      <c r="AS30" s="159">
        <v>104475.96353738902</v>
      </c>
      <c r="AT30" s="159">
        <v>260000</v>
      </c>
      <c r="AU30" s="159">
        <v>157272.84517507546</v>
      </c>
      <c r="AV30" s="159">
        <v>401727.15482492471</v>
      </c>
      <c r="AW30" s="159">
        <v>34449.712707182327</v>
      </c>
      <c r="AX30" s="159">
        <v>52118.80952380949</v>
      </c>
      <c r="AY30" s="159">
        <v>293892.4490866444</v>
      </c>
      <c r="AZ30" s="159">
        <v>126971.82893509125</v>
      </c>
      <c r="BA30" s="159">
        <v>7259.96</v>
      </c>
      <c r="BB30" s="159">
        <v>50672.84</v>
      </c>
      <c r="BC30" s="159"/>
      <c r="BD30" s="159">
        <v>351818.49324864801</v>
      </c>
      <c r="BE30" s="159">
        <v>104475.96353738902</v>
      </c>
      <c r="BF30" s="159">
        <v>295455.11199999991</v>
      </c>
      <c r="BG30" s="159">
        <v>151674.99814342021</v>
      </c>
      <c r="BH30" s="159">
        <v>387428.39168708835</v>
      </c>
      <c r="BI30" s="159">
        <v>44019.077348066312</v>
      </c>
      <c r="BJ30" s="159">
        <v>56602.669219401461</v>
      </c>
      <c r="BK30" s="159">
        <v>318305.31234956387</v>
      </c>
      <c r="BL30" s="159">
        <v>137519.04070479999</v>
      </c>
      <c r="BM30" s="159">
        <v>7863.0255477031751</v>
      </c>
      <c r="BN30" s="159">
        <v>54882.097903387257</v>
      </c>
      <c r="BO30" s="159"/>
      <c r="BP30" s="159">
        <v>387461.32252349332</v>
      </c>
      <c r="BQ30" s="159">
        <v>106200.16780037544</v>
      </c>
      <c r="BR30" s="159">
        <v>347391.51199999987</v>
      </c>
      <c r="BS30" s="159">
        <v>141678.84272975018</v>
      </c>
      <c r="BT30" s="159">
        <v>361894.88608380925</v>
      </c>
      <c r="BU30" s="159">
        <v>61107.228492501963</v>
      </c>
      <c r="BV30" s="159">
        <v>73158.108710344153</v>
      </c>
      <c r="BW30" s="159">
        <v>357156.80770404846</v>
      </c>
      <c r="BX30" s="159">
        <v>154304.24712079673</v>
      </c>
      <c r="BY30" s="159">
        <v>8822.7654222400288</v>
      </c>
      <c r="BZ30" s="159">
        <v>61580.860032107812</v>
      </c>
      <c r="CB30" s="159">
        <v>1086394259</v>
      </c>
      <c r="CC30" s="159">
        <v>321578479</v>
      </c>
      <c r="CD30" s="159"/>
      <c r="CE30" s="159">
        <v>75957</v>
      </c>
      <c r="CF30" s="159"/>
      <c r="CG30" s="159">
        <v>2305178</v>
      </c>
    </row>
    <row r="31" spans="5:85">
      <c r="E31" t="s">
        <v>652</v>
      </c>
      <c r="G31" s="159">
        <v>3867.590000000002</v>
      </c>
      <c r="H31" s="159"/>
      <c r="I31" s="184">
        <v>2.4907843501322257E-2</v>
      </c>
      <c r="K31" s="159">
        <v>101519</v>
      </c>
      <c r="L31" s="159">
        <v>119760.08695652171</v>
      </c>
      <c r="M31" s="159">
        <v>132789.43478260867</v>
      </c>
      <c r="N31" s="159">
        <v>151460.16379316093</v>
      </c>
      <c r="O31" s="159">
        <v>178378.14355339631</v>
      </c>
      <c r="P31" s="159">
        <v>189660.90592232646</v>
      </c>
      <c r="Q31" s="159"/>
      <c r="R31" s="184">
        <v>0.87847557872203463</v>
      </c>
      <c r="S31" s="159">
        <v>88141.905922326783</v>
      </c>
      <c r="T31" s="159"/>
      <c r="U31" s="184">
        <v>0.51208165566747144</v>
      </c>
      <c r="V31" s="184">
        <v>0.19617151244735831</v>
      </c>
      <c r="W31" s="184">
        <v>0.2917468318851702</v>
      </c>
      <c r="Y31" s="184">
        <v>0.12798589426609797</v>
      </c>
      <c r="Z31" s="184">
        <v>0.20517341581378856</v>
      </c>
      <c r="AA31" s="184">
        <v>1.778977334292103E-2</v>
      </c>
      <c r="AB31" s="184">
        <v>0.1831381317782878</v>
      </c>
      <c r="AC31" s="184">
        <v>0.11327928762103645</v>
      </c>
      <c r="AD31" s="184">
        <v>0.32622464760291175</v>
      </c>
      <c r="AE31" s="184">
        <v>1.4302741358760428E-2</v>
      </c>
      <c r="AF31" s="184">
        <v>1.2106108216195984E-2</v>
      </c>
      <c r="AH31" s="159">
        <v>103212</v>
      </c>
      <c r="AI31" s="159">
        <v>1160.1000000000001</v>
      </c>
      <c r="AJ31" s="159">
        <v>1793.3</v>
      </c>
      <c r="AK31" s="159">
        <v>6112.4000000000015</v>
      </c>
      <c r="AL31" s="159">
        <v>5627.0000000000009</v>
      </c>
      <c r="AM31" s="159">
        <v>1429.0999999999985</v>
      </c>
      <c r="AN31" s="159">
        <v>268.10000000000014</v>
      </c>
      <c r="AO31" s="159"/>
      <c r="AP31" s="159">
        <v>2975711.709986066</v>
      </c>
      <c r="AR31" s="159">
        <v>494957.61430440476</v>
      </c>
      <c r="AS31" s="159">
        <v>163139.63569559524</v>
      </c>
      <c r="AT31" s="159">
        <v>225000</v>
      </c>
      <c r="AU31" s="159">
        <v>164837.08981021537</v>
      </c>
      <c r="AV31" s="159">
        <v>758162.91018978436</v>
      </c>
      <c r="AW31" s="159">
        <v>63403.675471698109</v>
      </c>
      <c r="AX31" s="159">
        <v>70720.47619047614</v>
      </c>
      <c r="AY31" s="159">
        <v>492734.73674174061</v>
      </c>
      <c r="AZ31" s="159">
        <v>238788.07158215003</v>
      </c>
      <c r="BA31" s="159">
        <v>10069</v>
      </c>
      <c r="BB31" s="159">
        <v>293898.5</v>
      </c>
      <c r="BC31" s="159"/>
      <c r="BD31" s="159">
        <v>595016.20999519073</v>
      </c>
      <c r="BE31" s="159">
        <v>163139.63569559524</v>
      </c>
      <c r="BF31" s="159">
        <v>255037.08400000006</v>
      </c>
      <c r="BG31" s="159">
        <v>141716.27305422674</v>
      </c>
      <c r="BH31" s="159">
        <v>651819.45473405311</v>
      </c>
      <c r="BI31" s="159">
        <v>76925.247839318312</v>
      </c>
      <c r="BJ31" s="159">
        <v>91861.819184532811</v>
      </c>
      <c r="BK31" s="159">
        <v>619336.14486335439</v>
      </c>
      <c r="BL31" s="159">
        <v>300141.37966196984</v>
      </c>
      <c r="BM31" s="159">
        <v>12656.090950408616</v>
      </c>
      <c r="BN31" s="159">
        <v>369411.67406779889</v>
      </c>
      <c r="BO31" s="159"/>
      <c r="BP31" s="159">
        <v>739343.98145901703</v>
      </c>
      <c r="BQ31" s="159">
        <v>168868.46304586818</v>
      </c>
      <c r="BR31" s="159">
        <v>310306.88399999996</v>
      </c>
      <c r="BS31" s="159">
        <v>100429.10027567565</v>
      </c>
      <c r="BT31" s="159">
        <v>461920.42713453225</v>
      </c>
      <c r="BU31" s="159">
        <v>101070.91278149725</v>
      </c>
      <c r="BV31" s="159">
        <v>131929.83492191238</v>
      </c>
      <c r="BW31" s="159">
        <v>783719.94813420868</v>
      </c>
      <c r="BX31" s="159">
        <v>379804.71259837016</v>
      </c>
      <c r="BY31" s="159">
        <v>16015.262512128178</v>
      </c>
      <c r="BZ31" s="159">
        <v>467460.68422094575</v>
      </c>
      <c r="CB31" s="159">
        <v>1101886188</v>
      </c>
      <c r="CC31" s="159">
        <v>376740950</v>
      </c>
      <c r="CD31" s="159"/>
      <c r="CE31" s="159">
        <v>92862</v>
      </c>
      <c r="CF31" s="159"/>
      <c r="CG31" s="159">
        <v>3100542</v>
      </c>
    </row>
    <row r="32" spans="5:85">
      <c r="E32" t="s">
        <v>653</v>
      </c>
      <c r="G32" s="159">
        <v>5643.4500000000016</v>
      </c>
      <c r="H32" s="159"/>
      <c r="I32" s="184">
        <v>9.6098336361783984E-2</v>
      </c>
      <c r="K32" s="159">
        <v>99105</v>
      </c>
      <c r="L32" s="159">
        <v>105290.26086956523</v>
      </c>
      <c r="M32" s="159">
        <v>109708.3043478261</v>
      </c>
      <c r="N32" s="159">
        <v>119037.47602025828</v>
      </c>
      <c r="O32" s="159">
        <v>134161.38458251351</v>
      </c>
      <c r="P32" s="159">
        <v>143983.64097085662</v>
      </c>
      <c r="Q32" s="159"/>
      <c r="R32" s="184">
        <v>0.82841260692106888</v>
      </c>
      <c r="S32" s="159">
        <v>44878.640970856301</v>
      </c>
      <c r="T32" s="159"/>
      <c r="U32" s="184">
        <v>0.62159020569148171</v>
      </c>
      <c r="V32" s="184">
        <v>0.13424763542804599</v>
      </c>
      <c r="W32" s="184">
        <v>0.24416215888047246</v>
      </c>
      <c r="Y32" s="184">
        <v>0.28163059381464106</v>
      </c>
      <c r="Z32" s="184">
        <v>0.35388729125674789</v>
      </c>
      <c r="AA32" s="184">
        <v>1.0120579183694061E-2</v>
      </c>
      <c r="AB32" s="184">
        <v>6.3256142475152613E-2</v>
      </c>
      <c r="AC32" s="184">
        <v>5.0653347459764894E-2</v>
      </c>
      <c r="AD32" s="184">
        <v>0.21634629937944605</v>
      </c>
      <c r="AE32" s="184">
        <v>1.2269814842843448E-2</v>
      </c>
      <c r="AF32" s="184">
        <v>1.1835931587710005E-2</v>
      </c>
      <c r="AH32" s="159">
        <v>101348</v>
      </c>
      <c r="AI32" s="159">
        <v>1139.3</v>
      </c>
      <c r="AJ32" s="159">
        <v>4448.7</v>
      </c>
      <c r="AK32" s="159">
        <v>5739.8</v>
      </c>
      <c r="AL32" s="159">
        <v>3488.599999999999</v>
      </c>
      <c r="AM32" s="159">
        <v>1035.5999999999997</v>
      </c>
      <c r="AN32" s="159">
        <v>238.7</v>
      </c>
      <c r="AO32" s="159"/>
      <c r="AP32" s="159">
        <v>1925018.1566284648</v>
      </c>
      <c r="AR32" s="159">
        <v>346499.86702037347</v>
      </c>
      <c r="AS32" s="159">
        <v>147387.88297962639</v>
      </c>
      <c r="AT32" s="159">
        <v>152000</v>
      </c>
      <c r="AU32" s="159">
        <v>123679.94665515709</v>
      </c>
      <c r="AV32" s="159">
        <v>110320.05334484289</v>
      </c>
      <c r="AW32" s="159">
        <v>76849.359116022111</v>
      </c>
      <c r="AX32" s="159">
        <v>96610.476190476111</v>
      </c>
      <c r="AY32" s="159">
        <v>521375.01787706948</v>
      </c>
      <c r="AZ32" s="159">
        <v>304599.65344489517</v>
      </c>
      <c r="BA32" s="159">
        <v>15617.75</v>
      </c>
      <c r="BB32" s="159">
        <v>30078.15</v>
      </c>
      <c r="BC32" s="159"/>
      <c r="BD32" s="159">
        <v>398013.02060884802</v>
      </c>
      <c r="BE32" s="159">
        <v>147387.88297962639</v>
      </c>
      <c r="BF32" s="159">
        <v>168751.22399999996</v>
      </c>
      <c r="BG32" s="159">
        <v>109877.98159363956</v>
      </c>
      <c r="BH32" s="159">
        <v>98008.974928099589</v>
      </c>
      <c r="BI32" s="159">
        <v>101140.82320441988</v>
      </c>
      <c r="BJ32" s="159">
        <v>107441.23793443898</v>
      </c>
      <c r="BK32" s="159">
        <v>587443.67512442137</v>
      </c>
      <c r="BL32" s="159">
        <v>343198.53028225427</v>
      </c>
      <c r="BM32" s="159">
        <v>17596.831728783782</v>
      </c>
      <c r="BN32" s="159">
        <v>33889.654032310544</v>
      </c>
      <c r="BO32" s="159"/>
      <c r="BP32" s="159">
        <v>453879.08822416532</v>
      </c>
      <c r="BQ32" s="159">
        <v>148741.23161419036</v>
      </c>
      <c r="BR32" s="159">
        <v>230999.02400000006</v>
      </c>
      <c r="BS32" s="159">
        <v>85231.615412358282</v>
      </c>
      <c r="BT32" s="159">
        <v>76024.906326772179</v>
      </c>
      <c r="BU32" s="159">
        <v>144518.43764798739</v>
      </c>
      <c r="BV32" s="159">
        <v>141093.80793674861</v>
      </c>
      <c r="BW32" s="159">
        <v>689206.33025063772</v>
      </c>
      <c r="BX32" s="159">
        <v>402650.68740955711</v>
      </c>
      <c r="BY32" s="159">
        <v>20645.124517281358</v>
      </c>
      <c r="BZ32" s="159">
        <v>39760.346528755181</v>
      </c>
      <c r="CB32" s="159">
        <v>1460748076</v>
      </c>
      <c r="CC32" s="159">
        <v>411382637</v>
      </c>
      <c r="CD32" s="159"/>
      <c r="CE32" s="159">
        <v>93657</v>
      </c>
      <c r="CF32" s="159"/>
      <c r="CG32" s="159">
        <v>2363158</v>
      </c>
    </row>
    <row r="33" spans="4:16384">
      <c r="E33" t="s">
        <v>654</v>
      </c>
      <c r="G33" s="159">
        <v>5876.9099999999971</v>
      </c>
      <c r="H33" s="159"/>
      <c r="I33" s="184">
        <v>0.5295461659445323</v>
      </c>
      <c r="K33" s="159">
        <v>79835</v>
      </c>
      <c r="L33" s="159">
        <v>81817.521739130447</v>
      </c>
      <c r="M33" s="159">
        <v>83233.60869565219</v>
      </c>
      <c r="N33" s="159">
        <v>88083.168999138084</v>
      </c>
      <c r="O33" s="159">
        <v>96649.420040892743</v>
      </c>
      <c r="P33" s="159">
        <v>103516.366734821</v>
      </c>
      <c r="Q33" s="159"/>
      <c r="R33" s="184">
        <v>0.82438777223711646</v>
      </c>
      <c r="S33" s="159">
        <v>23681.366734820913</v>
      </c>
      <c r="T33" s="159"/>
      <c r="U33" s="184">
        <v>0.60026754802068882</v>
      </c>
      <c r="V33" s="184">
        <v>0.15235620727361665</v>
      </c>
      <c r="W33" s="184">
        <v>0.24737624470569447</v>
      </c>
      <c r="Y33" s="184">
        <v>0.29756372518319035</v>
      </c>
      <c r="Z33" s="184">
        <v>0.33812237740339451</v>
      </c>
      <c r="AA33" s="184">
        <v>7.5280265547692116E-3</v>
      </c>
      <c r="AB33" s="184">
        <v>3.070082044216196E-2</v>
      </c>
      <c r="AC33" s="184">
        <v>9.5196342456316155E-2</v>
      </c>
      <c r="AD33" s="184">
        <v>0.20554894469844054</v>
      </c>
      <c r="AE33" s="184">
        <v>1.2901609569737583E-2</v>
      </c>
      <c r="AF33" s="184">
        <v>1.2438153691989728E-2</v>
      </c>
      <c r="AH33" s="159">
        <v>82482</v>
      </c>
      <c r="AI33" s="159">
        <v>1001.5000000000002</v>
      </c>
      <c r="AJ33" s="159">
        <v>2919.599999999999</v>
      </c>
      <c r="AK33" s="159">
        <v>3106</v>
      </c>
      <c r="AL33" s="159">
        <v>3068</v>
      </c>
      <c r="AM33" s="159">
        <v>1124.3000000000002</v>
      </c>
      <c r="AN33" s="159">
        <v>251.8</v>
      </c>
      <c r="AO33" s="159"/>
      <c r="AP33" s="159">
        <v>1601860.4862477311</v>
      </c>
      <c r="AR33" s="159">
        <v>256559.98268266133</v>
      </c>
      <c r="AS33" s="159">
        <v>147921.2673173387</v>
      </c>
      <c r="AT33" s="159">
        <v>301000</v>
      </c>
      <c r="AU33" s="159">
        <v>30697.550201994833</v>
      </c>
      <c r="AV33" s="159">
        <v>84302.449798005182</v>
      </c>
      <c r="AW33" s="159">
        <v>45049.624309392268</v>
      </c>
      <c r="AX33" s="159">
        <v>70491.333333333299</v>
      </c>
      <c r="AY33" s="159">
        <v>292442.45378756069</v>
      </c>
      <c r="AZ33" s="159">
        <v>172141.12481744422</v>
      </c>
      <c r="BA33" s="159">
        <v>187687.8</v>
      </c>
      <c r="BB33" s="159">
        <v>13566.9</v>
      </c>
      <c r="BC33" s="159"/>
      <c r="BD33" s="159">
        <v>291299.48850290588</v>
      </c>
      <c r="BE33" s="159">
        <v>147921.2673173387</v>
      </c>
      <c r="BF33" s="159">
        <v>328150.64800000004</v>
      </c>
      <c r="BG33" s="159">
        <v>28906.859773545133</v>
      </c>
      <c r="BH33" s="159">
        <v>79384.806893121509</v>
      </c>
      <c r="BI33" s="159">
        <v>50988.36951025376</v>
      </c>
      <c r="BJ33" s="159">
        <v>72999.370073906088</v>
      </c>
      <c r="BK33" s="159">
        <v>316440.5894026992</v>
      </c>
      <c r="BL33" s="159">
        <v>186267.20673478604</v>
      </c>
      <c r="BM33" s="159">
        <v>203089.65844897536</v>
      </c>
      <c r="BN33" s="159">
        <v>14680.214096022244</v>
      </c>
      <c r="BO33" s="159"/>
      <c r="BP33" s="159">
        <v>346473.13002764573</v>
      </c>
      <c r="BQ33" s="159">
        <v>149889.45795549874</v>
      </c>
      <c r="BR33" s="159">
        <v>457976.24799999996</v>
      </c>
      <c r="BS33" s="159">
        <v>25709.198294170674</v>
      </c>
      <c r="BT33" s="159">
        <v>70603.301705829319</v>
      </c>
      <c r="BU33" s="159">
        <v>61593.271654649325</v>
      </c>
      <c r="BV33" s="159">
        <v>91213.824710874076</v>
      </c>
      <c r="BW33" s="159">
        <v>359870.18719194928</v>
      </c>
      <c r="BX33" s="159">
        <v>211831.27828795902</v>
      </c>
      <c r="BY33" s="159">
        <v>230962.51192280941</v>
      </c>
      <c r="BZ33" s="159">
        <v>16694.986584133672</v>
      </c>
      <c r="CB33" s="159">
        <v>1224355716</v>
      </c>
      <c r="CC33" s="159">
        <v>347777514</v>
      </c>
      <c r="CD33" s="159"/>
      <c r="CE33" s="159">
        <v>77638</v>
      </c>
      <c r="CF33" s="159"/>
      <c r="CG33" s="159">
        <v>1779665</v>
      </c>
    </row>
    <row r="34" spans="4:16384">
      <c r="E34" t="s">
        <v>655</v>
      </c>
      <c r="G34" s="159">
        <v>2989.76</v>
      </c>
      <c r="H34" s="159"/>
      <c r="I34" s="184">
        <v>0.23336560872806236</v>
      </c>
      <c r="K34" s="159">
        <v>120422</v>
      </c>
      <c r="L34" s="159">
        <v>134250.95652173911</v>
      </c>
      <c r="M34" s="159">
        <v>144128.78260869574</v>
      </c>
      <c r="N34" s="159">
        <v>160722.14860920503</v>
      </c>
      <c r="O34" s="159">
        <v>186006.61974065806</v>
      </c>
      <c r="P34" s="159">
        <v>199437.69956776398</v>
      </c>
      <c r="Q34" s="159"/>
      <c r="R34" s="184">
        <v>0.91935637865155084</v>
      </c>
      <c r="S34" s="159">
        <v>79015.69956776411</v>
      </c>
      <c r="T34" s="159"/>
      <c r="U34" s="184">
        <v>0.43332159991795716</v>
      </c>
      <c r="V34" s="184">
        <v>0.25581406534742979</v>
      </c>
      <c r="W34" s="184">
        <v>0.31086433473461339</v>
      </c>
      <c r="Y34" s="184">
        <v>9.8030260251449064E-2</v>
      </c>
      <c r="Z34" s="184">
        <v>0.19535466941256582</v>
      </c>
      <c r="AA34" s="184">
        <v>2.0370032053943631E-2</v>
      </c>
      <c r="AB34" s="184">
        <v>0.31246782149441132</v>
      </c>
      <c r="AC34" s="184">
        <v>0.1246948232050622</v>
      </c>
      <c r="AD34" s="184">
        <v>0.2221520984537709</v>
      </c>
      <c r="AE34" s="184">
        <v>1.4457491156101045E-2</v>
      </c>
      <c r="AF34" s="184">
        <v>1.2472803972696019E-2</v>
      </c>
      <c r="AH34" s="159">
        <v>123265</v>
      </c>
      <c r="AI34" s="159">
        <v>366.19999999999993</v>
      </c>
      <c r="AJ34" s="159">
        <v>1081.8999999999996</v>
      </c>
      <c r="AK34" s="159">
        <v>2637.4</v>
      </c>
      <c r="AL34" s="159">
        <v>10441.499999999995</v>
      </c>
      <c r="AM34" s="159">
        <v>1806.3999999999999</v>
      </c>
      <c r="AN34" s="159">
        <v>244.39999999999984</v>
      </c>
      <c r="AO34" s="159"/>
      <c r="AP34" s="159">
        <v>3622607.4610372353</v>
      </c>
      <c r="AR34" s="159">
        <v>298439.17722320982</v>
      </c>
      <c r="AS34" s="159">
        <v>243584.44777679007</v>
      </c>
      <c r="AT34" s="159">
        <v>1270000</v>
      </c>
      <c r="AU34" s="159">
        <v>213455.795437725</v>
      </c>
      <c r="AV34" s="159">
        <v>510544.20456227503</v>
      </c>
      <c r="AW34" s="159">
        <v>113220.84905660377</v>
      </c>
      <c r="AX34" s="159">
        <v>79225.640259740219</v>
      </c>
      <c r="AY34" s="159">
        <v>438399.08554441965</v>
      </c>
      <c r="AZ34" s="159">
        <v>237556.49117647056</v>
      </c>
      <c r="BA34" s="159">
        <v>124423.27</v>
      </c>
      <c r="BB34" s="159">
        <v>93758.5</v>
      </c>
      <c r="BC34" s="159"/>
      <c r="BD34" s="159">
        <v>367289.05315007659</v>
      </c>
      <c r="BE34" s="159">
        <v>243584.44777679007</v>
      </c>
      <c r="BF34" s="159">
        <v>1454767.9959999993</v>
      </c>
      <c r="BG34" s="159">
        <v>191087.67316131675</v>
      </c>
      <c r="BH34" s="159">
        <v>457044.06336562941</v>
      </c>
      <c r="BI34" s="159">
        <v>141071.35911570807</v>
      </c>
      <c r="BJ34" s="159">
        <v>115391.13727881471</v>
      </c>
      <c r="BK34" s="159">
        <v>528503.22866421717</v>
      </c>
      <c r="BL34" s="159">
        <v>286381.46546541178</v>
      </c>
      <c r="BM34" s="159">
        <v>149995.97874228875</v>
      </c>
      <c r="BN34" s="159">
        <v>113028.68002833298</v>
      </c>
      <c r="BO34" s="159"/>
      <c r="BP34" s="159">
        <v>387010.54818445025</v>
      </c>
      <c r="BQ34" s="159">
        <v>246411.88372097604</v>
      </c>
      <c r="BR34" s="159">
        <v>1851504.1959999981</v>
      </c>
      <c r="BS34" s="159">
        <v>151144.59766773041</v>
      </c>
      <c r="BT34" s="159">
        <v>361508.09694304806</v>
      </c>
      <c r="BU34" s="159">
        <v>190804.41279268006</v>
      </c>
      <c r="BV34" s="159">
        <v>172150.99425564212</v>
      </c>
      <c r="BW34" s="159">
        <v>663749.91737643571</v>
      </c>
      <c r="BX34" s="159">
        <v>359667.95230607712</v>
      </c>
      <c r="BY34" s="159">
        <v>188380.71954380951</v>
      </c>
      <c r="BZ34" s="159">
        <v>141953.2993574937</v>
      </c>
      <c r="CB34" s="159">
        <v>1060781773</v>
      </c>
      <c r="CC34" s="159">
        <v>447946129</v>
      </c>
      <c r="CD34" s="159"/>
      <c r="CE34" s="159">
        <v>102348</v>
      </c>
      <c r="CF34" s="159"/>
      <c r="CG34" s="159">
        <v>2564837</v>
      </c>
    </row>
    <row r="35" spans="4:16384">
      <c r="D35" s="611"/>
      <c r="E35" t="s">
        <v>656</v>
      </c>
      <c r="G35" s="159">
        <v>4385.0199999999986</v>
      </c>
      <c r="H35" s="159"/>
      <c r="I35" s="184">
        <v>4.6095490171609278E-2</v>
      </c>
      <c r="K35" s="159">
        <v>78174</v>
      </c>
      <c r="L35" s="159">
        <v>80558.565217391282</v>
      </c>
      <c r="M35" s="159">
        <v>82261.826086956527</v>
      </c>
      <c r="N35" s="159">
        <v>87195.173493529408</v>
      </c>
      <c r="O35" s="159">
        <v>95699.259611022906</v>
      </c>
      <c r="P35" s="159">
        <v>102159.43268503813</v>
      </c>
      <c r="Q35" s="159"/>
      <c r="R35" s="184">
        <v>0.83405132230892465</v>
      </c>
      <c r="S35" s="159">
        <v>23985.432685037966</v>
      </c>
      <c r="T35" s="159"/>
      <c r="U35" s="184">
        <v>0.55584764319144064</v>
      </c>
      <c r="V35" s="184">
        <v>0.15717001085655236</v>
      </c>
      <c r="W35" s="184">
        <v>0.28698234595200678</v>
      </c>
      <c r="Y35" s="184">
        <v>0.28599022692966969</v>
      </c>
      <c r="Z35" s="184">
        <v>0.39392892777649857</v>
      </c>
      <c r="AA35" s="184">
        <v>7.8158978688566538E-3</v>
      </c>
      <c r="AB35" s="184">
        <v>8.2137283495791441E-2</v>
      </c>
      <c r="AC35" s="184">
        <v>6.3972676337401183E-2</v>
      </c>
      <c r="AD35" s="184">
        <v>0.14929516207434698</v>
      </c>
      <c r="AE35" s="184">
        <v>9.6963184690562077E-3</v>
      </c>
      <c r="AF35" s="184">
        <v>7.1635070483792567E-3</v>
      </c>
      <c r="AH35" s="159">
        <v>79696</v>
      </c>
      <c r="AI35" s="159">
        <v>1391.8</v>
      </c>
      <c r="AJ35" s="159">
        <v>3635.2999999999993</v>
      </c>
      <c r="AK35" s="159">
        <v>3184.5000000000014</v>
      </c>
      <c r="AL35" s="159">
        <v>3240.6</v>
      </c>
      <c r="AM35" s="159">
        <v>466.59999999999985</v>
      </c>
      <c r="AN35" s="159">
        <v>176.79999999999998</v>
      </c>
      <c r="AO35" s="159"/>
      <c r="AP35" s="159">
        <v>1684387.9892085248</v>
      </c>
      <c r="AR35" s="159">
        <v>283442.55813483638</v>
      </c>
      <c r="AS35" s="159">
        <v>79401.566865163608</v>
      </c>
      <c r="AT35" s="159">
        <v>160000</v>
      </c>
      <c r="AU35" s="159">
        <v>51379.564301386672</v>
      </c>
      <c r="AV35" s="159">
        <v>365620.43569861335</v>
      </c>
      <c r="AW35" s="159">
        <v>15899.867403314918</v>
      </c>
      <c r="AX35" s="159">
        <v>111864.76190476188</v>
      </c>
      <c r="AY35" s="159">
        <v>344472.15646231303</v>
      </c>
      <c r="AZ35" s="159">
        <v>185079.73843813385</v>
      </c>
      <c r="BA35" s="159">
        <v>12378.54</v>
      </c>
      <c r="BB35" s="159">
        <v>74848.800000000003</v>
      </c>
      <c r="BC35" s="159"/>
      <c r="BD35" s="159">
        <v>324445.66180339153</v>
      </c>
      <c r="BE35" s="159">
        <v>79401.566865163608</v>
      </c>
      <c r="BF35" s="159">
        <v>175302.81199999998</v>
      </c>
      <c r="BG35" s="159">
        <v>50410.428807079094</v>
      </c>
      <c r="BH35" s="159">
        <v>358724.00233064557</v>
      </c>
      <c r="BI35" s="159">
        <v>23319.805524861877</v>
      </c>
      <c r="BJ35" s="159">
        <v>117876.39476093897</v>
      </c>
      <c r="BK35" s="159">
        <v>375287.59348801192</v>
      </c>
      <c r="BL35" s="159">
        <v>201636.41193867291</v>
      </c>
      <c r="BM35" s="159">
        <v>13485.886741047347</v>
      </c>
      <c r="BN35" s="159">
        <v>81544.547216659194</v>
      </c>
      <c r="BO35" s="159"/>
      <c r="BP35" s="159">
        <v>366239.98286480369</v>
      </c>
      <c r="BQ35" s="159">
        <v>80773.671540144438</v>
      </c>
      <c r="BR35" s="159">
        <v>239174.21200000003</v>
      </c>
      <c r="BS35" s="159">
        <v>48679.82971010125</v>
      </c>
      <c r="BT35" s="159">
        <v>346408.9427449886</v>
      </c>
      <c r="BU35" s="159">
        <v>36569.695027624308</v>
      </c>
      <c r="BV35" s="159">
        <v>147386.65306506652</v>
      </c>
      <c r="BW35" s="159">
        <v>421980.39200914546</v>
      </c>
      <c r="BX35" s="159">
        <v>226723.75434099371</v>
      </c>
      <c r="BY35" s="159">
        <v>15163.78338193021</v>
      </c>
      <c r="BZ35" s="159">
        <v>91690.214645460452</v>
      </c>
      <c r="CB35" s="159">
        <v>1061399388</v>
      </c>
      <c r="CC35" s="159">
        <v>337082639</v>
      </c>
      <c r="CD35" s="159"/>
      <c r="CE35" s="159">
        <v>71314</v>
      </c>
      <c r="CF35" s="159"/>
      <c r="CG35" s="159">
        <v>2008666</v>
      </c>
    </row>
    <row r="36" spans="4:16384">
      <c r="E36" t="s">
        <v>657</v>
      </c>
      <c r="G36" s="159">
        <v>2156.6899999999996</v>
      </c>
      <c r="H36" s="159"/>
      <c r="I36" s="184">
        <v>0.30406128930579562</v>
      </c>
      <c r="K36" s="159">
        <v>101257</v>
      </c>
      <c r="L36" s="159">
        <v>120636.34782608697</v>
      </c>
      <c r="M36" s="159">
        <v>134478.73913043484</v>
      </c>
      <c r="N36" s="159">
        <v>155355.49572577843</v>
      </c>
      <c r="O36" s="159">
        <v>186035.09587298692</v>
      </c>
      <c r="P36" s="159">
        <v>200103.82645497887</v>
      </c>
      <c r="Q36" s="159"/>
      <c r="R36" s="184">
        <v>0.9365478471950559</v>
      </c>
      <c r="S36" s="159">
        <v>98846.826454978858</v>
      </c>
      <c r="T36" s="159"/>
      <c r="U36" s="184">
        <v>0.32661853457828149</v>
      </c>
      <c r="V36" s="184">
        <v>0.29839341354189192</v>
      </c>
      <c r="W36" s="184">
        <v>0.37498805187982659</v>
      </c>
      <c r="Y36" s="184">
        <v>8.5406441036175271E-2</v>
      </c>
      <c r="Z36" s="184">
        <v>0.15706568434774879</v>
      </c>
      <c r="AA36" s="184">
        <v>2.3534175415033033E-2</v>
      </c>
      <c r="AB36" s="184">
        <v>0.17330159890180433</v>
      </c>
      <c r="AC36" s="184">
        <v>0.22277965967784943</v>
      </c>
      <c r="AD36" s="184">
        <v>0.30839349378314584</v>
      </c>
      <c r="AE36" s="184">
        <v>1.7154369574449175E-2</v>
      </c>
      <c r="AF36" s="184">
        <v>1.2364577263794108E-2</v>
      </c>
      <c r="AH36" s="159">
        <v>105379</v>
      </c>
      <c r="AI36" s="159">
        <v>175.60000000000002</v>
      </c>
      <c r="AJ36" s="159">
        <v>364</v>
      </c>
      <c r="AK36" s="159">
        <v>1533.5999999999997</v>
      </c>
      <c r="AL36" s="159">
        <v>11498.200000000003</v>
      </c>
      <c r="AM36" s="159">
        <v>591.40000000000009</v>
      </c>
      <c r="AN36" s="159">
        <v>225.10000000000008</v>
      </c>
      <c r="AO36" s="159"/>
      <c r="AP36" s="159">
        <v>4696163.1558103841</v>
      </c>
      <c r="AR36" s="159">
        <v>337582.54819418734</v>
      </c>
      <c r="AS36" s="159">
        <v>206394.95180581248</v>
      </c>
      <c r="AT36" s="159">
        <v>2364000</v>
      </c>
      <c r="AU36" s="159">
        <v>161870.03577696157</v>
      </c>
      <c r="AV36" s="159">
        <v>469129.96422303829</v>
      </c>
      <c r="AW36" s="159">
        <v>31701.837735849054</v>
      </c>
      <c r="AX36" s="159">
        <v>78314.578961038947</v>
      </c>
      <c r="AY36" s="159">
        <v>512504.08747252246</v>
      </c>
      <c r="AZ36" s="159">
        <v>431678.77864097361</v>
      </c>
      <c r="BA36" s="159">
        <v>48604.87</v>
      </c>
      <c r="BB36" s="159">
        <v>54381.502999999997</v>
      </c>
      <c r="BC36" s="159"/>
      <c r="BD36" s="159">
        <v>421139.78354536253</v>
      </c>
      <c r="BE36" s="159">
        <v>206394.95180581248</v>
      </c>
      <c r="BF36" s="159">
        <v>2619669.8480000002</v>
      </c>
      <c r="BG36" s="159">
        <v>139208.23076818703</v>
      </c>
      <c r="BH36" s="159">
        <v>403451.76923181303</v>
      </c>
      <c r="BI36" s="159">
        <v>43996.87430685338</v>
      </c>
      <c r="BJ36" s="159">
        <v>94836.489573884945</v>
      </c>
      <c r="BK36" s="159">
        <v>669584.74049668922</v>
      </c>
      <c r="BL36" s="159">
        <v>563986.76623187086</v>
      </c>
      <c r="BM36" s="159">
        <v>63502.087224953422</v>
      </c>
      <c r="BN36" s="159">
        <v>71049.237389793765</v>
      </c>
      <c r="BO36" s="159"/>
      <c r="BP36" s="159">
        <v>470951.64384732296</v>
      </c>
      <c r="BQ36" s="159">
        <v>211613.95026283033</v>
      </c>
      <c r="BR36" s="159">
        <v>2927660.4480000003</v>
      </c>
      <c r="BS36" s="159">
        <v>98740.721823946602</v>
      </c>
      <c r="BT36" s="159">
        <v>286169.27817605337</v>
      </c>
      <c r="BU36" s="159">
        <v>65952.296755075397</v>
      </c>
      <c r="BV36" s="159">
        <v>135582.70487774382</v>
      </c>
      <c r="BW36" s="159">
        <v>879442.69825864281</v>
      </c>
      <c r="BX36" s="159">
        <v>740748.7260077059</v>
      </c>
      <c r="BY36" s="159">
        <v>83404.599233761779</v>
      </c>
      <c r="BZ36" s="159">
        <v>93317.140102311037</v>
      </c>
      <c r="CB36" s="159">
        <v>723664745</v>
      </c>
      <c r="CC36" s="159">
        <v>398921501</v>
      </c>
      <c r="CD36" s="159"/>
      <c r="CE36" s="159">
        <v>76988</v>
      </c>
      <c r="CF36" s="159"/>
      <c r="CG36" s="159">
        <v>2276531</v>
      </c>
    </row>
    <row r="37" spans="4:16384">
      <c r="E37" t="s">
        <v>658</v>
      </c>
      <c r="G37" s="159">
        <v>3881.400000000001</v>
      </c>
      <c r="H37" s="159"/>
      <c r="I37" s="184">
        <v>2.0504870043285925E-2</v>
      </c>
      <c r="K37" s="159">
        <v>96861</v>
      </c>
      <c r="L37" s="159">
        <v>103135.73913043486</v>
      </c>
      <c r="M37" s="159">
        <v>107617.69565217392</v>
      </c>
      <c r="N37" s="159">
        <v>116292.32002456891</v>
      </c>
      <c r="O37" s="159">
        <v>130056.00355196735</v>
      </c>
      <c r="P37" s="159">
        <v>138441.33925327941</v>
      </c>
      <c r="Q37" s="159"/>
      <c r="R37" s="184">
        <v>0.86031385025313378</v>
      </c>
      <c r="S37" s="159">
        <v>41580.339253279395</v>
      </c>
      <c r="T37" s="159"/>
      <c r="U37" s="184">
        <v>0.60198852418076232</v>
      </c>
      <c r="V37" s="184">
        <v>0.15568691863752152</v>
      </c>
      <c r="W37" s="184">
        <v>0.24232455718171608</v>
      </c>
      <c r="Y37" s="184">
        <v>0.20024571292883617</v>
      </c>
      <c r="Z37" s="184">
        <v>0.29903676402267165</v>
      </c>
      <c r="AA37" s="184">
        <v>1.0509905947698248E-2</v>
      </c>
      <c r="AB37" s="184">
        <v>0.10738067953046118</v>
      </c>
      <c r="AC37" s="184">
        <v>0.11330669722592168</v>
      </c>
      <c r="AD37" s="184">
        <v>0.24694149348034813</v>
      </c>
      <c r="AE37" s="184">
        <v>1.2213377933327139E-2</v>
      </c>
      <c r="AF37" s="184">
        <v>1.0365368930735797E-2</v>
      </c>
      <c r="AH37" s="159">
        <v>98279</v>
      </c>
      <c r="AI37" s="159">
        <v>673.6</v>
      </c>
      <c r="AJ37" s="159">
        <v>2528.400000000001</v>
      </c>
      <c r="AK37" s="159">
        <v>5488.1</v>
      </c>
      <c r="AL37" s="159">
        <v>3741.7999999999997</v>
      </c>
      <c r="AM37" s="159">
        <v>1707.0000000000007</v>
      </c>
      <c r="AN37" s="159">
        <v>254.3</v>
      </c>
      <c r="AO37" s="159"/>
      <c r="AP37" s="159">
        <v>1791139.8188953104</v>
      </c>
      <c r="AR37" s="159">
        <v>282884.81051845168</v>
      </c>
      <c r="AS37" s="159">
        <v>174703.68948154838</v>
      </c>
      <c r="AT37" s="159">
        <v>99000</v>
      </c>
      <c r="AU37" s="159">
        <v>108207.27497435281</v>
      </c>
      <c r="AV37" s="159">
        <v>421792.72502564726</v>
      </c>
      <c r="AW37" s="159">
        <v>10599.911602209944</v>
      </c>
      <c r="AX37" s="159">
        <v>90254.523809523787</v>
      </c>
      <c r="AY37" s="159">
        <v>376754.75642475212</v>
      </c>
      <c r="AZ37" s="159">
        <v>184052.78705882348</v>
      </c>
      <c r="BA37" s="159">
        <v>10105.14</v>
      </c>
      <c r="BB37" s="159">
        <v>32784.199999999997</v>
      </c>
      <c r="BC37" s="159"/>
      <c r="BD37" s="159">
        <v>347733.21440101473</v>
      </c>
      <c r="BE37" s="159">
        <v>174703.68948154838</v>
      </c>
      <c r="BF37" s="159">
        <v>108806.04799999997</v>
      </c>
      <c r="BG37" s="159">
        <v>98250.173615210486</v>
      </c>
      <c r="BH37" s="159">
        <v>382979.87333314633</v>
      </c>
      <c r="BI37" s="159">
        <v>13743.953179136623</v>
      </c>
      <c r="BJ37" s="159">
        <v>97633.817079153348</v>
      </c>
      <c r="BK37" s="159">
        <v>423836.93079145538</v>
      </c>
      <c r="BL37" s="159">
        <v>207053.44004384289</v>
      </c>
      <c r="BM37" s="159">
        <v>11367.956076948381</v>
      </c>
      <c r="BN37" s="159">
        <v>36881.165982647559</v>
      </c>
      <c r="BO37" s="159"/>
      <c r="BP37" s="159">
        <v>357035.5315777341</v>
      </c>
      <c r="BQ37" s="159">
        <v>177251.09056087543</v>
      </c>
      <c r="BR37" s="159">
        <v>147501.64800000002</v>
      </c>
      <c r="BS37" s="159">
        <v>80469.635473884904</v>
      </c>
      <c r="BT37" s="159">
        <v>313671.20959653764</v>
      </c>
      <c r="BU37" s="159">
        <v>19358.313137934263</v>
      </c>
      <c r="BV37" s="159">
        <v>123896.21061072614</v>
      </c>
      <c r="BW37" s="159">
        <v>489559.72241109132</v>
      </c>
      <c r="BX37" s="159">
        <v>239160.43475220646</v>
      </c>
      <c r="BY37" s="159">
        <v>13130.742078138235</v>
      </c>
      <c r="BZ37" s="159">
        <v>42600.189056074385</v>
      </c>
      <c r="CB37" s="159">
        <v>1222433075</v>
      </c>
      <c r="CC37" s="159">
        <v>358751847</v>
      </c>
      <c r="CD37" s="159"/>
      <c r="CE37" s="159">
        <v>92416</v>
      </c>
      <c r="CF37" s="159"/>
      <c r="CG37" s="159">
        <v>2206864</v>
      </c>
    </row>
    <row r="38" spans="4:16384">
      <c r="E38" t="s">
        <v>659</v>
      </c>
      <c r="G38" s="159">
        <v>3521.9299999999989</v>
      </c>
      <c r="H38" s="159"/>
      <c r="I38" s="184">
        <v>0.2997511673397753</v>
      </c>
      <c r="K38" s="159">
        <v>130493</v>
      </c>
      <c r="L38" s="159">
        <v>142816.65217391305</v>
      </c>
      <c r="M38" s="159">
        <v>151619.26086956513</v>
      </c>
      <c r="N38" s="159">
        <v>165373.32702415131</v>
      </c>
      <c r="O38" s="159">
        <v>185839.37237680107</v>
      </c>
      <c r="P38" s="159">
        <v>195742.28729466899</v>
      </c>
      <c r="Q38" s="159"/>
      <c r="R38" s="184">
        <v>0.91787147830450277</v>
      </c>
      <c r="S38" s="159">
        <v>65249.287294669244</v>
      </c>
      <c r="T38" s="159"/>
      <c r="U38" s="184">
        <v>0.55062145827530951</v>
      </c>
      <c r="V38" s="184">
        <v>0.20363081377129214</v>
      </c>
      <c r="W38" s="184">
        <v>0.24574772795339814</v>
      </c>
      <c r="Y38" s="184">
        <v>0.18443134880798204</v>
      </c>
      <c r="Z38" s="184">
        <v>0.27071183894921569</v>
      </c>
      <c r="AA38" s="184">
        <v>1.4644463687707386E-2</v>
      </c>
      <c r="AB38" s="184">
        <v>0.12837470209129992</v>
      </c>
      <c r="AC38" s="184">
        <v>7.4823936916156422E-2</v>
      </c>
      <c r="AD38" s="184">
        <v>0.30017702098963162</v>
      </c>
      <c r="AE38" s="184">
        <v>1.6445326569241261E-2</v>
      </c>
      <c r="AF38" s="184">
        <v>1.039136198876568E-2</v>
      </c>
      <c r="AH38" s="159">
        <v>134619</v>
      </c>
      <c r="AI38" s="159">
        <v>473.59999999999968</v>
      </c>
      <c r="AJ38" s="159">
        <v>1425.1999999999996</v>
      </c>
      <c r="AK38" s="159">
        <v>4562.9999999999982</v>
      </c>
      <c r="AL38" s="159">
        <v>7504.2</v>
      </c>
      <c r="AM38" s="159">
        <v>3562.3</v>
      </c>
      <c r="AN38" s="159">
        <v>358.20000000000016</v>
      </c>
      <c r="AO38" s="159"/>
      <c r="AP38" s="159">
        <v>2602020.0282241181</v>
      </c>
      <c r="AR38" s="159">
        <v>362278.55937826674</v>
      </c>
      <c r="AS38" s="159">
        <v>230849.81562173332</v>
      </c>
      <c r="AT38" s="159">
        <v>306000</v>
      </c>
      <c r="AU38" s="159">
        <v>100799.17239841285</v>
      </c>
      <c r="AV38" s="159">
        <v>456200.82760158711</v>
      </c>
      <c r="AW38" s="159">
        <v>49817.173584905657</v>
      </c>
      <c r="AX38" s="159">
        <v>96166.08995670994</v>
      </c>
      <c r="AY38" s="159">
        <v>495776.97436810075</v>
      </c>
      <c r="AZ38" s="159">
        <v>397874.21531440155</v>
      </c>
      <c r="BA38" s="159">
        <v>47388</v>
      </c>
      <c r="BB38" s="159">
        <v>58869.2</v>
      </c>
      <c r="BC38" s="159"/>
      <c r="BD38" s="159">
        <v>420414.47604933422</v>
      </c>
      <c r="BE38" s="159">
        <v>230849.81562173332</v>
      </c>
      <c r="BF38" s="159">
        <v>346837.3</v>
      </c>
      <c r="BG38" s="159">
        <v>84637.517382577906</v>
      </c>
      <c r="BH38" s="159">
        <v>383055.77870680758</v>
      </c>
      <c r="BI38" s="159">
        <v>63561.776657317685</v>
      </c>
      <c r="BJ38" s="159">
        <v>126959.78690381408</v>
      </c>
      <c r="BK38" s="159">
        <v>580345.97126150143</v>
      </c>
      <c r="BL38" s="159">
        <v>465743.08583178301</v>
      </c>
      <c r="BM38" s="159">
        <v>55471.383924580892</v>
      </c>
      <c r="BN38" s="159">
        <v>68911.032213491562</v>
      </c>
      <c r="BO38" s="159"/>
      <c r="BP38" s="159">
        <v>466144.17008788686</v>
      </c>
      <c r="BQ38" s="159">
        <v>232332.08390616704</v>
      </c>
      <c r="BR38" s="159">
        <v>500442.2999999997</v>
      </c>
      <c r="BS38" s="159">
        <v>55777.419140015583</v>
      </c>
      <c r="BT38" s="159">
        <v>252439.61996612966</v>
      </c>
      <c r="BU38" s="159">
        <v>88105.710715196314</v>
      </c>
      <c r="BV38" s="159">
        <v>177276.64955931422</v>
      </c>
      <c r="BW38" s="159">
        <v>728405.6222635234</v>
      </c>
      <c r="BX38" s="159">
        <v>584564.89585480222</v>
      </c>
      <c r="BY38" s="159">
        <v>69623.414180980908</v>
      </c>
      <c r="BZ38" s="159">
        <v>86491.826920380729</v>
      </c>
      <c r="CB38" s="159">
        <v>1557700146</v>
      </c>
      <c r="CC38" s="159">
        <v>501382132</v>
      </c>
      <c r="CD38" s="159"/>
      <c r="CE38" s="159">
        <v>119465</v>
      </c>
      <c r="CF38" s="159"/>
      <c r="CG38" s="159">
        <v>2583981</v>
      </c>
    </row>
    <row r="39" spans="4:16384">
      <c r="E39" t="s">
        <v>633</v>
      </c>
      <c r="G39" s="159">
        <v>2202.87</v>
      </c>
      <c r="H39" s="159"/>
      <c r="I39" s="184">
        <v>0.77096452179396857</v>
      </c>
      <c r="K39" s="159">
        <v>105772</v>
      </c>
      <c r="L39" s="159">
        <v>111996.52173913046</v>
      </c>
      <c r="M39" s="159">
        <v>116442.60869565222</v>
      </c>
      <c r="N39" s="159">
        <v>126445.19077826884</v>
      </c>
      <c r="O39" s="159">
        <v>142893.48537828441</v>
      </c>
      <c r="P39" s="159">
        <v>154006.47563047454</v>
      </c>
      <c r="Q39" s="159"/>
      <c r="R39" s="184">
        <v>0.93617259722480217</v>
      </c>
      <c r="S39" s="159">
        <v>48234.475630474364</v>
      </c>
      <c r="T39" s="159"/>
      <c r="U39" s="184">
        <v>0.56726227233865667</v>
      </c>
      <c r="V39" s="184">
        <v>0.14939611162530311</v>
      </c>
      <c r="W39" s="184">
        <v>0.28334161603604013</v>
      </c>
      <c r="Y39" s="184">
        <v>0.17671973679234579</v>
      </c>
      <c r="Z39" s="184">
        <v>0.12853118027455282</v>
      </c>
      <c r="AA39" s="184">
        <v>8.3670536625950163E-3</v>
      </c>
      <c r="AB39" s="184">
        <v>0.11858525885867716</v>
      </c>
      <c r="AC39" s="184">
        <v>0.13997088076239458</v>
      </c>
      <c r="AD39" s="184">
        <v>0.37563816510985892</v>
      </c>
      <c r="AE39" s="184">
        <v>2.09601784971448E-2</v>
      </c>
      <c r="AF39" s="184">
        <v>3.1227546042430891E-2</v>
      </c>
      <c r="AH39" s="159">
        <v>118318</v>
      </c>
      <c r="AI39" s="159">
        <v>151.80000000000001</v>
      </c>
      <c r="AJ39" s="159">
        <v>240.89999999999986</v>
      </c>
      <c r="AK39" s="159">
        <v>1004.4999999999998</v>
      </c>
      <c r="AL39" s="159">
        <v>8526.5</v>
      </c>
      <c r="AM39" s="159">
        <v>2516.5999999999995</v>
      </c>
      <c r="AN39" s="159">
        <v>355.30000000000007</v>
      </c>
      <c r="AO39" s="159"/>
      <c r="AP39" s="159">
        <v>10329043.015585447</v>
      </c>
      <c r="AR39" s="159">
        <v>1496125.2616596692</v>
      </c>
      <c r="AS39" s="159">
        <v>690724.98834033066</v>
      </c>
      <c r="AT39" s="159">
        <v>5337000</v>
      </c>
      <c r="AU39" s="159">
        <v>35301.688528085193</v>
      </c>
      <c r="AV39" s="159">
        <v>102698.3114719148</v>
      </c>
      <c r="AW39" s="159">
        <v>1304304.1811320754</v>
      </c>
      <c r="AX39" s="159">
        <v>47299.028051948044</v>
      </c>
      <c r="AY39" s="159">
        <v>411711.21943388059</v>
      </c>
      <c r="AZ39" s="159">
        <v>272757.77696754556</v>
      </c>
      <c r="BA39" s="159">
        <v>240166.7</v>
      </c>
      <c r="BB39" s="159">
        <v>390953.86</v>
      </c>
      <c r="BC39" s="159"/>
      <c r="BD39" s="159">
        <v>1805567.8104668139</v>
      </c>
      <c r="BE39" s="159">
        <v>690724.98834033066</v>
      </c>
      <c r="BF39" s="159">
        <v>5683496.1080000037</v>
      </c>
      <c r="BG39" s="159">
        <v>34066.129429602224</v>
      </c>
      <c r="BH39" s="159">
        <v>99103.870570397761</v>
      </c>
      <c r="BI39" s="159">
        <v>1517102.4851565473</v>
      </c>
      <c r="BJ39" s="159">
        <v>50793.075515490615</v>
      </c>
      <c r="BK39" s="159">
        <v>473485.25265163509</v>
      </c>
      <c r="BL39" s="159">
        <v>313682.93805002113</v>
      </c>
      <c r="BM39" s="159">
        <v>276201.82608667464</v>
      </c>
      <c r="BN39" s="159">
        <v>449613.41454762104</v>
      </c>
      <c r="BO39" s="159"/>
      <c r="BP39" s="159">
        <v>2954140.9041097006</v>
      </c>
      <c r="BQ39" s="159">
        <v>736921.58222039056</v>
      </c>
      <c r="BR39" s="159">
        <v>6476508.7080000006</v>
      </c>
      <c r="BS39" s="159">
        <v>31859.773896596897</v>
      </c>
      <c r="BT39" s="159">
        <v>92685.226103403096</v>
      </c>
      <c r="BU39" s="159">
        <v>1897099.4566288178</v>
      </c>
      <c r="BV39" s="159">
        <v>66852.468434620911</v>
      </c>
      <c r="BW39" s="159">
        <v>581884.81009803689</v>
      </c>
      <c r="BX39" s="159">
        <v>385497.40634165995</v>
      </c>
      <c r="BY39" s="159">
        <v>339435.38097779598</v>
      </c>
      <c r="BZ39" s="159">
        <v>552547.76125849201</v>
      </c>
      <c r="CB39" s="159">
        <v>1003430556</v>
      </c>
      <c r="CC39" s="159">
        <v>492855393</v>
      </c>
      <c r="CD39" s="159"/>
      <c r="CE39" s="159">
        <v>89339</v>
      </c>
      <c r="CF39" s="159"/>
      <c r="CG39" s="159">
        <v>3190894</v>
      </c>
    </row>
    <row r="40" spans="4:16384" s="38" customFormat="1">
      <c r="E40" s="38" t="s">
        <v>122</v>
      </c>
      <c r="G40" s="69">
        <f>SUM(G7:G39)</f>
        <v>159471.03999999995</v>
      </c>
      <c r="I40" s="38">
        <f>SUMPRODUCT(G7:G39,I7:I39)/SUM(G7:G39)</f>
        <v>0.14823335931618192</v>
      </c>
      <c r="K40" s="69">
        <f t="shared" ref="K40:P40" si="0">SUM(K7:K39)</f>
        <v>3266173</v>
      </c>
      <c r="L40" s="69">
        <f t="shared" si="0"/>
        <v>3530161.8695652178</v>
      </c>
      <c r="M40" s="69">
        <f t="shared" si="0"/>
        <v>3718725.3478260878</v>
      </c>
      <c r="N40" s="69">
        <f t="shared" si="0"/>
        <v>4054221.578510935</v>
      </c>
      <c r="O40" s="69">
        <f t="shared" si="0"/>
        <v>4574363.2572719287</v>
      </c>
      <c r="P40" s="69">
        <f t="shared" si="0"/>
        <v>4868228.7621198846</v>
      </c>
      <c r="Q40" s="69"/>
      <c r="R40" s="38">
        <f>SUMPRODUCT(S7:S39,R7:R39)/SUM(S7:S39)</f>
        <v>0.87075976339364713</v>
      </c>
      <c r="S40" s="69">
        <f>SUM(S7:S39)</f>
        <v>1602055.762119882</v>
      </c>
      <c r="U40" s="38">
        <f>SUMPRODUCT(K7:K39,U7:U39)/SUM(K7:K39)</f>
        <v>0.54329662345291585</v>
      </c>
      <c r="V40" s="38">
        <f>SUMPRODUCT(K7:K39,V7:V39)/SUM(K7:K39)</f>
        <v>0.18238201588634759</v>
      </c>
      <c r="W40" s="38">
        <f>SUMPRODUCT($K$7:$K$39,W7:W39)/SUM($K$7:$K$39)</f>
        <v>0.2743213606607367</v>
      </c>
      <c r="Y40" s="38">
        <f t="shared" ref="Y40:AF40" si="1">SUMPRODUCT($K$7:$K$39,Y7:Y39)/SUM($K$7:$K$39)</f>
        <v>0.21122518617354316</v>
      </c>
      <c r="Z40" s="38">
        <f t="shared" si="1"/>
        <v>0.27136009023404456</v>
      </c>
      <c r="AA40" s="38">
        <f t="shared" si="1"/>
        <v>1.2892152375272222E-2</v>
      </c>
      <c r="AB40" s="38">
        <f t="shared" si="1"/>
        <v>0.13463065183626219</v>
      </c>
      <c r="AC40" s="38">
        <f t="shared" si="1"/>
        <v>0.10601581728830653</v>
      </c>
      <c r="AD40" s="38">
        <f t="shared" si="1"/>
        <v>0.23746170212049392</v>
      </c>
      <c r="AE40" s="38">
        <f t="shared" si="1"/>
        <v>1.3316502218345445E-2</v>
      </c>
      <c r="AF40" s="38">
        <f t="shared" si="1"/>
        <v>1.3097897753731966E-2</v>
      </c>
      <c r="AH40" s="69">
        <f t="shared" ref="AH40:BM40" si="2">SUM(AH7:AH39)</f>
        <v>3358163</v>
      </c>
      <c r="AI40" s="69">
        <f t="shared" si="2"/>
        <v>32719.899999999987</v>
      </c>
      <c r="AJ40" s="69">
        <f t="shared" si="2"/>
        <v>98728</v>
      </c>
      <c r="AK40" s="69">
        <f t="shared" si="2"/>
        <v>116456.59999999999</v>
      </c>
      <c r="AL40" s="69">
        <f t="shared" si="2"/>
        <v>170255.40000000002</v>
      </c>
      <c r="AM40" s="69">
        <f t="shared" si="2"/>
        <v>56666.200000000004</v>
      </c>
      <c r="AN40" s="69">
        <f t="shared" si="2"/>
        <v>8293.0999999999985</v>
      </c>
      <c r="AO40" s="69">
        <f t="shared" si="2"/>
        <v>0</v>
      </c>
      <c r="AP40" s="69">
        <f t="shared" si="2"/>
        <v>98859206.035688013</v>
      </c>
      <c r="AQ40" s="69">
        <f t="shared" si="2"/>
        <v>0</v>
      </c>
      <c r="AR40" s="69">
        <f t="shared" si="2"/>
        <v>12762886.101267615</v>
      </c>
      <c r="AS40" s="69">
        <f t="shared" si="2"/>
        <v>6675920.3987323856</v>
      </c>
      <c r="AT40" s="69">
        <f t="shared" si="2"/>
        <v>26355000</v>
      </c>
      <c r="AU40" s="69">
        <f t="shared" si="2"/>
        <v>4271221.347279218</v>
      </c>
      <c r="AV40" s="69">
        <f t="shared" si="2"/>
        <v>14483778.652720781</v>
      </c>
      <c r="AW40" s="69">
        <f t="shared" si="2"/>
        <v>4041689.8904826418</v>
      </c>
      <c r="AX40" s="69">
        <f t="shared" si="2"/>
        <v>2907403.4081385275</v>
      </c>
      <c r="AY40" s="69">
        <f t="shared" si="2"/>
        <v>14057912.411845075</v>
      </c>
      <c r="AZ40" s="69">
        <f t="shared" si="2"/>
        <v>8596656.1732217688</v>
      </c>
      <c r="BA40" s="69">
        <f t="shared" si="2"/>
        <v>2105905.7490000003</v>
      </c>
      <c r="BB40" s="69">
        <f t="shared" si="2"/>
        <v>2600831.9029999999</v>
      </c>
      <c r="BC40" s="69">
        <f t="shared" si="2"/>
        <v>0</v>
      </c>
      <c r="BD40" s="69">
        <f t="shared" si="2"/>
        <v>14986056.146734618</v>
      </c>
      <c r="BE40" s="69">
        <f t="shared" si="2"/>
        <v>6675920.3987323856</v>
      </c>
      <c r="BF40" s="69">
        <f t="shared" si="2"/>
        <v>29149803.060000002</v>
      </c>
      <c r="BG40" s="69">
        <f t="shared" si="2"/>
        <v>3969138.1726789093</v>
      </c>
      <c r="BH40" s="69">
        <f t="shared" si="2"/>
        <v>13502817.437511764</v>
      </c>
      <c r="BI40" s="69">
        <f t="shared" si="2"/>
        <v>4889929.1615469484</v>
      </c>
      <c r="BJ40" s="69">
        <f t="shared" si="2"/>
        <v>3371677.0451294417</v>
      </c>
      <c r="BK40" s="69">
        <f t="shared" si="2"/>
        <v>16233793.639692806</v>
      </c>
      <c r="BL40" s="69">
        <f t="shared" si="2"/>
        <v>9960854.1146938298</v>
      </c>
      <c r="BM40" s="69">
        <f t="shared" si="2"/>
        <v>2465422.3314542668</v>
      </c>
      <c r="BN40" s="69">
        <f t="shared" ref="BN40:CG40" si="3">SUM(BN7:BN39)</f>
        <v>3029564.7519332189</v>
      </c>
      <c r="BO40" s="69">
        <f t="shared" si="3"/>
        <v>0</v>
      </c>
      <c r="BP40" s="69">
        <f t="shared" si="3"/>
        <v>18551268.924259763</v>
      </c>
      <c r="BQ40" s="69">
        <f t="shared" si="3"/>
        <v>6818123.8250172688</v>
      </c>
      <c r="BR40" s="69">
        <f t="shared" si="3"/>
        <v>34831320.059999987</v>
      </c>
      <c r="BS40" s="69">
        <f t="shared" si="3"/>
        <v>3429703.9323212137</v>
      </c>
      <c r="BT40" s="69">
        <f t="shared" si="3"/>
        <v>11751100.981781378</v>
      </c>
      <c r="BU40" s="69">
        <f t="shared" si="3"/>
        <v>6404642.1455903491</v>
      </c>
      <c r="BV40" s="69">
        <f t="shared" si="3"/>
        <v>4479344.0556239188</v>
      </c>
      <c r="BW40" s="69">
        <f t="shared" si="3"/>
        <v>19305047.672028858</v>
      </c>
      <c r="BX40" s="69">
        <f t="shared" si="3"/>
        <v>11885822.863178838</v>
      </c>
      <c r="BY40" s="69">
        <f t="shared" si="3"/>
        <v>3004723.413944162</v>
      </c>
      <c r="BZ40" s="69">
        <f t="shared" si="3"/>
        <v>3641504.8472334733</v>
      </c>
      <c r="CA40" s="69">
        <f t="shared" si="3"/>
        <v>0</v>
      </c>
      <c r="CB40" s="69">
        <f t="shared" si="3"/>
        <v>41048746611</v>
      </c>
      <c r="CC40" s="69">
        <f t="shared" si="3"/>
        <v>13098916631</v>
      </c>
      <c r="CD40" s="69">
        <f t="shared" si="3"/>
        <v>0</v>
      </c>
      <c r="CE40" s="69">
        <f t="shared" si="3"/>
        <v>3007283</v>
      </c>
      <c r="CF40" s="69">
        <f t="shared" si="3"/>
        <v>0</v>
      </c>
      <c r="CG40" s="69">
        <f t="shared" si="3"/>
        <v>86492890</v>
      </c>
    </row>
    <row r="41" spans="4:16384" s="60" customFormat="1"/>
    <row r="42" spans="4:16384" s="38" customFormat="1">
      <c r="K42" s="380"/>
      <c r="L42" s="69"/>
      <c r="M42" s="69"/>
      <c r="N42" s="69"/>
      <c r="O42" s="69"/>
      <c r="P42" s="69"/>
      <c r="Q42" s="69"/>
      <c r="U42" s="70"/>
      <c r="V42" s="70"/>
      <c r="W42" s="70"/>
    </row>
    <row r="43" spans="4:16384" s="60" customFormat="1">
      <c r="E43" s="60" t="str">
        <f>Dashboard!$D$5</f>
        <v>Inner London</v>
      </c>
      <c r="G43" s="380" t="e">
        <f>INDEX(G7:G40,MATCH($E$43,$E$7:$E$40,0))</f>
        <v>#N/A</v>
      </c>
      <c r="H43" s="380" t="e">
        <f t="shared" ref="H43:BS43" si="4">INDEX(H7:H40,MATCH($E$43,$E$7:$E$40,0))</f>
        <v>#N/A</v>
      </c>
      <c r="I43" s="380" t="e">
        <f t="shared" si="4"/>
        <v>#N/A</v>
      </c>
      <c r="J43" s="380" t="e">
        <f t="shared" si="4"/>
        <v>#N/A</v>
      </c>
      <c r="K43" s="380" t="e">
        <f t="shared" si="4"/>
        <v>#N/A</v>
      </c>
      <c r="L43" s="380" t="e">
        <f t="shared" si="4"/>
        <v>#N/A</v>
      </c>
      <c r="M43" s="380" t="e">
        <f t="shared" si="4"/>
        <v>#N/A</v>
      </c>
      <c r="N43" s="380" t="e">
        <f t="shared" si="4"/>
        <v>#N/A</v>
      </c>
      <c r="O43" s="380" t="e">
        <f t="shared" si="4"/>
        <v>#N/A</v>
      </c>
      <c r="P43" s="380" t="e">
        <f t="shared" si="4"/>
        <v>#N/A</v>
      </c>
      <c r="Q43" s="380" t="e">
        <f t="shared" si="4"/>
        <v>#N/A</v>
      </c>
      <c r="R43" s="380" t="e">
        <f t="shared" si="4"/>
        <v>#N/A</v>
      </c>
      <c r="S43" s="380" t="e">
        <f t="shared" si="4"/>
        <v>#N/A</v>
      </c>
      <c r="T43" s="380" t="e">
        <f t="shared" si="4"/>
        <v>#N/A</v>
      </c>
      <c r="U43" s="380" t="e">
        <f t="shared" si="4"/>
        <v>#N/A</v>
      </c>
      <c r="V43" s="380" t="e">
        <f t="shared" si="4"/>
        <v>#N/A</v>
      </c>
      <c r="W43" s="380" t="e">
        <f t="shared" si="4"/>
        <v>#N/A</v>
      </c>
      <c r="X43" s="380" t="e">
        <f t="shared" si="4"/>
        <v>#N/A</v>
      </c>
      <c r="Y43" s="495" t="e">
        <f t="shared" si="4"/>
        <v>#N/A</v>
      </c>
      <c r="Z43" s="495" t="e">
        <f t="shared" si="4"/>
        <v>#N/A</v>
      </c>
      <c r="AA43" s="495" t="e">
        <f t="shared" si="4"/>
        <v>#N/A</v>
      </c>
      <c r="AB43" s="495" t="e">
        <f t="shared" si="4"/>
        <v>#N/A</v>
      </c>
      <c r="AC43" s="495" t="e">
        <f t="shared" si="4"/>
        <v>#N/A</v>
      </c>
      <c r="AD43" s="495" t="e">
        <f t="shared" si="4"/>
        <v>#N/A</v>
      </c>
      <c r="AE43" s="495" t="e">
        <f t="shared" si="4"/>
        <v>#N/A</v>
      </c>
      <c r="AF43" s="495" t="e">
        <f t="shared" si="4"/>
        <v>#N/A</v>
      </c>
      <c r="AG43" s="380" t="e">
        <f t="shared" si="4"/>
        <v>#N/A</v>
      </c>
      <c r="AH43" s="380" t="e">
        <f t="shared" si="4"/>
        <v>#N/A</v>
      </c>
      <c r="AI43" s="380" t="e">
        <f t="shared" si="4"/>
        <v>#N/A</v>
      </c>
      <c r="AJ43" s="380" t="e">
        <f t="shared" si="4"/>
        <v>#N/A</v>
      </c>
      <c r="AK43" s="380" t="e">
        <f t="shared" si="4"/>
        <v>#N/A</v>
      </c>
      <c r="AL43" s="380" t="e">
        <f t="shared" si="4"/>
        <v>#N/A</v>
      </c>
      <c r="AM43" s="380" t="e">
        <f t="shared" si="4"/>
        <v>#N/A</v>
      </c>
      <c r="AN43" s="380" t="e">
        <f t="shared" si="4"/>
        <v>#N/A</v>
      </c>
      <c r="AO43" s="380" t="e">
        <f t="shared" si="4"/>
        <v>#N/A</v>
      </c>
      <c r="AP43" s="380" t="e">
        <f t="shared" si="4"/>
        <v>#N/A</v>
      </c>
      <c r="AQ43" s="380" t="e">
        <f t="shared" si="4"/>
        <v>#N/A</v>
      </c>
      <c r="AR43" s="380" t="e">
        <f t="shared" si="4"/>
        <v>#N/A</v>
      </c>
      <c r="AS43" s="380" t="e">
        <f t="shared" si="4"/>
        <v>#N/A</v>
      </c>
      <c r="AT43" s="380" t="e">
        <f t="shared" si="4"/>
        <v>#N/A</v>
      </c>
      <c r="AU43" s="380" t="e">
        <f t="shared" si="4"/>
        <v>#N/A</v>
      </c>
      <c r="AV43" s="380" t="e">
        <f t="shared" si="4"/>
        <v>#N/A</v>
      </c>
      <c r="AW43" s="380" t="e">
        <f t="shared" si="4"/>
        <v>#N/A</v>
      </c>
      <c r="AX43" s="380" t="e">
        <f t="shared" si="4"/>
        <v>#N/A</v>
      </c>
      <c r="AY43" s="380" t="e">
        <f t="shared" si="4"/>
        <v>#N/A</v>
      </c>
      <c r="AZ43" s="380" t="e">
        <f t="shared" si="4"/>
        <v>#N/A</v>
      </c>
      <c r="BA43" s="380" t="e">
        <f t="shared" si="4"/>
        <v>#N/A</v>
      </c>
      <c r="BB43" s="380" t="e">
        <f t="shared" si="4"/>
        <v>#N/A</v>
      </c>
      <c r="BC43" s="380" t="e">
        <f t="shared" si="4"/>
        <v>#N/A</v>
      </c>
      <c r="BD43" s="380" t="e">
        <f t="shared" si="4"/>
        <v>#N/A</v>
      </c>
      <c r="BE43" s="380" t="e">
        <f t="shared" si="4"/>
        <v>#N/A</v>
      </c>
      <c r="BF43" s="380" t="e">
        <f t="shared" si="4"/>
        <v>#N/A</v>
      </c>
      <c r="BG43" s="380" t="e">
        <f t="shared" si="4"/>
        <v>#N/A</v>
      </c>
      <c r="BH43" s="380" t="e">
        <f t="shared" si="4"/>
        <v>#N/A</v>
      </c>
      <c r="BI43" s="380" t="e">
        <f t="shared" si="4"/>
        <v>#N/A</v>
      </c>
      <c r="BJ43" s="380" t="e">
        <f t="shared" si="4"/>
        <v>#N/A</v>
      </c>
      <c r="BK43" s="380" t="e">
        <f t="shared" si="4"/>
        <v>#N/A</v>
      </c>
      <c r="BL43" s="380" t="e">
        <f t="shared" si="4"/>
        <v>#N/A</v>
      </c>
      <c r="BM43" s="380" t="e">
        <f t="shared" si="4"/>
        <v>#N/A</v>
      </c>
      <c r="BN43" s="380" t="e">
        <f t="shared" si="4"/>
        <v>#N/A</v>
      </c>
      <c r="BO43" s="380" t="e">
        <f t="shared" si="4"/>
        <v>#N/A</v>
      </c>
      <c r="BP43" s="380" t="e">
        <f t="shared" si="4"/>
        <v>#N/A</v>
      </c>
      <c r="BQ43" s="380" t="e">
        <f t="shared" si="4"/>
        <v>#N/A</v>
      </c>
      <c r="BR43" s="380" t="e">
        <f t="shared" si="4"/>
        <v>#N/A</v>
      </c>
      <c r="BS43" s="380" t="e">
        <f t="shared" si="4"/>
        <v>#N/A</v>
      </c>
      <c r="BT43" s="380" t="e">
        <f t="shared" ref="BT43:EE43" si="5">INDEX(BT7:BT40,MATCH($E$43,$E$7:$E$40,0))</f>
        <v>#N/A</v>
      </c>
      <c r="BU43" s="380" t="e">
        <f t="shared" si="5"/>
        <v>#N/A</v>
      </c>
      <c r="BV43" s="380" t="e">
        <f t="shared" si="5"/>
        <v>#N/A</v>
      </c>
      <c r="BW43" s="380" t="e">
        <f t="shared" si="5"/>
        <v>#N/A</v>
      </c>
      <c r="BX43" s="380" t="e">
        <f t="shared" si="5"/>
        <v>#N/A</v>
      </c>
      <c r="BY43" s="380" t="e">
        <f t="shared" si="5"/>
        <v>#N/A</v>
      </c>
      <c r="BZ43" s="380" t="e">
        <f t="shared" si="5"/>
        <v>#N/A</v>
      </c>
      <c r="CA43" s="380" t="e">
        <f t="shared" si="5"/>
        <v>#N/A</v>
      </c>
      <c r="CB43" s="380" t="e">
        <f t="shared" si="5"/>
        <v>#N/A</v>
      </c>
      <c r="CC43" s="380" t="e">
        <f t="shared" si="5"/>
        <v>#N/A</v>
      </c>
      <c r="CD43" s="380" t="e">
        <f t="shared" si="5"/>
        <v>#N/A</v>
      </c>
      <c r="CE43" s="380" t="e">
        <f t="shared" si="5"/>
        <v>#N/A</v>
      </c>
      <c r="CF43" s="380" t="e">
        <f t="shared" si="5"/>
        <v>#N/A</v>
      </c>
      <c r="CG43" s="380" t="e">
        <f t="shared" si="5"/>
        <v>#N/A</v>
      </c>
      <c r="CH43" s="380" t="e">
        <f t="shared" si="5"/>
        <v>#N/A</v>
      </c>
      <c r="CI43" s="380" t="e">
        <f t="shared" si="5"/>
        <v>#N/A</v>
      </c>
      <c r="CJ43" s="380" t="e">
        <f t="shared" si="5"/>
        <v>#N/A</v>
      </c>
      <c r="CK43" s="380" t="e">
        <f t="shared" si="5"/>
        <v>#N/A</v>
      </c>
      <c r="CL43" s="380" t="e">
        <f t="shared" si="5"/>
        <v>#N/A</v>
      </c>
      <c r="CM43" s="380" t="e">
        <f t="shared" si="5"/>
        <v>#N/A</v>
      </c>
      <c r="CN43" s="380" t="e">
        <f t="shared" si="5"/>
        <v>#N/A</v>
      </c>
      <c r="CO43" s="380" t="e">
        <f t="shared" si="5"/>
        <v>#N/A</v>
      </c>
      <c r="CP43" s="380" t="e">
        <f t="shared" si="5"/>
        <v>#N/A</v>
      </c>
      <c r="CQ43" s="380" t="e">
        <f t="shared" si="5"/>
        <v>#N/A</v>
      </c>
      <c r="CR43" s="380" t="e">
        <f t="shared" si="5"/>
        <v>#N/A</v>
      </c>
      <c r="CS43" s="380" t="e">
        <f t="shared" si="5"/>
        <v>#N/A</v>
      </c>
      <c r="CT43" s="380" t="e">
        <f t="shared" si="5"/>
        <v>#N/A</v>
      </c>
      <c r="CU43" s="380" t="e">
        <f t="shared" si="5"/>
        <v>#N/A</v>
      </c>
      <c r="CV43" s="380" t="e">
        <f t="shared" si="5"/>
        <v>#N/A</v>
      </c>
      <c r="CW43" s="380" t="e">
        <f t="shared" si="5"/>
        <v>#N/A</v>
      </c>
      <c r="CX43" s="380" t="e">
        <f t="shared" si="5"/>
        <v>#N/A</v>
      </c>
      <c r="CY43" s="380" t="e">
        <f t="shared" si="5"/>
        <v>#N/A</v>
      </c>
      <c r="CZ43" s="380" t="e">
        <f t="shared" si="5"/>
        <v>#N/A</v>
      </c>
      <c r="DA43" s="380" t="e">
        <f t="shared" si="5"/>
        <v>#N/A</v>
      </c>
      <c r="DB43" s="380" t="e">
        <f t="shared" si="5"/>
        <v>#N/A</v>
      </c>
      <c r="DC43" s="380" t="e">
        <f t="shared" si="5"/>
        <v>#N/A</v>
      </c>
      <c r="DD43" s="380" t="e">
        <f t="shared" si="5"/>
        <v>#N/A</v>
      </c>
      <c r="DE43" s="380" t="e">
        <f t="shared" si="5"/>
        <v>#N/A</v>
      </c>
      <c r="DF43" s="380" t="e">
        <f t="shared" si="5"/>
        <v>#N/A</v>
      </c>
      <c r="DG43" s="380" t="e">
        <f t="shared" si="5"/>
        <v>#N/A</v>
      </c>
      <c r="DH43" s="380" t="e">
        <f t="shared" si="5"/>
        <v>#N/A</v>
      </c>
      <c r="DI43" s="380" t="e">
        <f t="shared" si="5"/>
        <v>#N/A</v>
      </c>
      <c r="DJ43" s="380" t="e">
        <f t="shared" si="5"/>
        <v>#N/A</v>
      </c>
      <c r="DK43" s="380" t="e">
        <f t="shared" si="5"/>
        <v>#N/A</v>
      </c>
      <c r="DL43" s="380" t="e">
        <f t="shared" si="5"/>
        <v>#N/A</v>
      </c>
      <c r="DM43" s="380" t="e">
        <f t="shared" si="5"/>
        <v>#N/A</v>
      </c>
      <c r="DN43" s="380" t="e">
        <f t="shared" si="5"/>
        <v>#N/A</v>
      </c>
      <c r="DO43" s="380" t="e">
        <f t="shared" si="5"/>
        <v>#N/A</v>
      </c>
      <c r="DP43" s="380" t="e">
        <f t="shared" si="5"/>
        <v>#N/A</v>
      </c>
      <c r="DQ43" s="380" t="e">
        <f t="shared" si="5"/>
        <v>#N/A</v>
      </c>
      <c r="DR43" s="380" t="e">
        <f t="shared" si="5"/>
        <v>#N/A</v>
      </c>
      <c r="DS43" s="380" t="e">
        <f t="shared" si="5"/>
        <v>#N/A</v>
      </c>
      <c r="DT43" s="380" t="e">
        <f t="shared" si="5"/>
        <v>#N/A</v>
      </c>
      <c r="DU43" s="380" t="e">
        <f t="shared" si="5"/>
        <v>#N/A</v>
      </c>
      <c r="DV43" s="380" t="e">
        <f t="shared" si="5"/>
        <v>#N/A</v>
      </c>
      <c r="DW43" s="380" t="e">
        <f t="shared" si="5"/>
        <v>#N/A</v>
      </c>
      <c r="DX43" s="380" t="e">
        <f t="shared" si="5"/>
        <v>#N/A</v>
      </c>
      <c r="DY43" s="380" t="e">
        <f t="shared" si="5"/>
        <v>#N/A</v>
      </c>
      <c r="DZ43" s="380" t="e">
        <f t="shared" si="5"/>
        <v>#N/A</v>
      </c>
      <c r="EA43" s="380" t="e">
        <f t="shared" si="5"/>
        <v>#N/A</v>
      </c>
      <c r="EB43" s="380" t="e">
        <f t="shared" si="5"/>
        <v>#N/A</v>
      </c>
      <c r="EC43" s="380" t="e">
        <f t="shared" si="5"/>
        <v>#N/A</v>
      </c>
      <c r="ED43" s="380" t="e">
        <f t="shared" si="5"/>
        <v>#N/A</v>
      </c>
      <c r="EE43" s="380" t="e">
        <f t="shared" si="5"/>
        <v>#N/A</v>
      </c>
      <c r="EF43" s="380" t="e">
        <f t="shared" ref="EF43:GQ43" si="6">INDEX(EF7:EF40,MATCH($E$43,$E$7:$E$40,0))</f>
        <v>#N/A</v>
      </c>
      <c r="EG43" s="380" t="e">
        <f t="shared" si="6"/>
        <v>#N/A</v>
      </c>
      <c r="EH43" s="380" t="e">
        <f t="shared" si="6"/>
        <v>#N/A</v>
      </c>
      <c r="EI43" s="380" t="e">
        <f t="shared" si="6"/>
        <v>#N/A</v>
      </c>
      <c r="EJ43" s="380" t="e">
        <f t="shared" si="6"/>
        <v>#N/A</v>
      </c>
      <c r="EK43" s="380" t="e">
        <f t="shared" si="6"/>
        <v>#N/A</v>
      </c>
      <c r="EL43" s="380" t="e">
        <f t="shared" si="6"/>
        <v>#N/A</v>
      </c>
      <c r="EM43" s="380" t="e">
        <f t="shared" si="6"/>
        <v>#N/A</v>
      </c>
      <c r="EN43" s="380" t="e">
        <f t="shared" si="6"/>
        <v>#N/A</v>
      </c>
      <c r="EO43" s="380" t="e">
        <f t="shared" si="6"/>
        <v>#N/A</v>
      </c>
      <c r="EP43" s="380" t="e">
        <f t="shared" si="6"/>
        <v>#N/A</v>
      </c>
      <c r="EQ43" s="380" t="e">
        <f t="shared" si="6"/>
        <v>#N/A</v>
      </c>
      <c r="ER43" s="380" t="e">
        <f t="shared" si="6"/>
        <v>#N/A</v>
      </c>
      <c r="ES43" s="380" t="e">
        <f t="shared" si="6"/>
        <v>#N/A</v>
      </c>
      <c r="ET43" s="380" t="e">
        <f t="shared" si="6"/>
        <v>#N/A</v>
      </c>
      <c r="EU43" s="380" t="e">
        <f t="shared" si="6"/>
        <v>#N/A</v>
      </c>
      <c r="EV43" s="380" t="e">
        <f t="shared" si="6"/>
        <v>#N/A</v>
      </c>
      <c r="EW43" s="380" t="e">
        <f t="shared" si="6"/>
        <v>#N/A</v>
      </c>
      <c r="EX43" s="380" t="e">
        <f t="shared" si="6"/>
        <v>#N/A</v>
      </c>
      <c r="EY43" s="380" t="e">
        <f t="shared" si="6"/>
        <v>#N/A</v>
      </c>
      <c r="EZ43" s="380" t="e">
        <f t="shared" si="6"/>
        <v>#N/A</v>
      </c>
      <c r="FA43" s="380" t="e">
        <f t="shared" si="6"/>
        <v>#N/A</v>
      </c>
      <c r="FB43" s="380" t="e">
        <f t="shared" si="6"/>
        <v>#N/A</v>
      </c>
      <c r="FC43" s="380" t="e">
        <f t="shared" si="6"/>
        <v>#N/A</v>
      </c>
      <c r="FD43" s="380" t="e">
        <f t="shared" si="6"/>
        <v>#N/A</v>
      </c>
      <c r="FE43" s="380" t="e">
        <f t="shared" si="6"/>
        <v>#N/A</v>
      </c>
      <c r="FF43" s="380" t="e">
        <f t="shared" si="6"/>
        <v>#N/A</v>
      </c>
      <c r="FG43" s="380" t="e">
        <f t="shared" si="6"/>
        <v>#N/A</v>
      </c>
      <c r="FH43" s="380" t="e">
        <f t="shared" si="6"/>
        <v>#N/A</v>
      </c>
      <c r="FI43" s="380" t="e">
        <f t="shared" si="6"/>
        <v>#N/A</v>
      </c>
      <c r="FJ43" s="380" t="e">
        <f t="shared" si="6"/>
        <v>#N/A</v>
      </c>
      <c r="FK43" s="380" t="e">
        <f t="shared" si="6"/>
        <v>#N/A</v>
      </c>
      <c r="FL43" s="380" t="e">
        <f t="shared" si="6"/>
        <v>#N/A</v>
      </c>
      <c r="FM43" s="380" t="e">
        <f t="shared" si="6"/>
        <v>#N/A</v>
      </c>
      <c r="FN43" s="380" t="e">
        <f t="shared" si="6"/>
        <v>#N/A</v>
      </c>
      <c r="FO43" s="380" t="e">
        <f t="shared" si="6"/>
        <v>#N/A</v>
      </c>
      <c r="FP43" s="380" t="e">
        <f t="shared" si="6"/>
        <v>#N/A</v>
      </c>
      <c r="FQ43" s="380" t="e">
        <f t="shared" si="6"/>
        <v>#N/A</v>
      </c>
      <c r="FR43" s="380" t="e">
        <f t="shared" si="6"/>
        <v>#N/A</v>
      </c>
      <c r="FS43" s="380" t="e">
        <f t="shared" si="6"/>
        <v>#N/A</v>
      </c>
      <c r="FT43" s="380" t="e">
        <f t="shared" si="6"/>
        <v>#N/A</v>
      </c>
      <c r="FU43" s="380" t="e">
        <f t="shared" si="6"/>
        <v>#N/A</v>
      </c>
      <c r="FV43" s="380" t="e">
        <f t="shared" si="6"/>
        <v>#N/A</v>
      </c>
      <c r="FW43" s="380" t="e">
        <f t="shared" si="6"/>
        <v>#N/A</v>
      </c>
      <c r="FX43" s="380" t="e">
        <f t="shared" si="6"/>
        <v>#N/A</v>
      </c>
      <c r="FY43" s="380" t="e">
        <f t="shared" si="6"/>
        <v>#N/A</v>
      </c>
      <c r="FZ43" s="380" t="e">
        <f t="shared" si="6"/>
        <v>#N/A</v>
      </c>
      <c r="GA43" s="380" t="e">
        <f t="shared" si="6"/>
        <v>#N/A</v>
      </c>
      <c r="GB43" s="380" t="e">
        <f t="shared" si="6"/>
        <v>#N/A</v>
      </c>
      <c r="GC43" s="380" t="e">
        <f t="shared" si="6"/>
        <v>#N/A</v>
      </c>
      <c r="GD43" s="380" t="e">
        <f t="shared" si="6"/>
        <v>#N/A</v>
      </c>
      <c r="GE43" s="380" t="e">
        <f t="shared" si="6"/>
        <v>#N/A</v>
      </c>
      <c r="GF43" s="380" t="e">
        <f t="shared" si="6"/>
        <v>#N/A</v>
      </c>
      <c r="GG43" s="380" t="e">
        <f t="shared" si="6"/>
        <v>#N/A</v>
      </c>
      <c r="GH43" s="380" t="e">
        <f t="shared" si="6"/>
        <v>#N/A</v>
      </c>
      <c r="GI43" s="380" t="e">
        <f t="shared" si="6"/>
        <v>#N/A</v>
      </c>
      <c r="GJ43" s="380" t="e">
        <f t="shared" si="6"/>
        <v>#N/A</v>
      </c>
      <c r="GK43" s="380" t="e">
        <f t="shared" si="6"/>
        <v>#N/A</v>
      </c>
      <c r="GL43" s="380" t="e">
        <f t="shared" si="6"/>
        <v>#N/A</v>
      </c>
      <c r="GM43" s="380" t="e">
        <f t="shared" si="6"/>
        <v>#N/A</v>
      </c>
      <c r="GN43" s="380" t="e">
        <f t="shared" si="6"/>
        <v>#N/A</v>
      </c>
      <c r="GO43" s="380" t="e">
        <f t="shared" si="6"/>
        <v>#N/A</v>
      </c>
      <c r="GP43" s="380" t="e">
        <f t="shared" si="6"/>
        <v>#N/A</v>
      </c>
      <c r="GQ43" s="380" t="e">
        <f t="shared" si="6"/>
        <v>#N/A</v>
      </c>
      <c r="GR43" s="380" t="e">
        <f t="shared" ref="GR43:JC43" si="7">INDEX(GR7:GR40,MATCH($E$43,$E$7:$E$40,0))</f>
        <v>#N/A</v>
      </c>
      <c r="GS43" s="380" t="e">
        <f t="shared" si="7"/>
        <v>#N/A</v>
      </c>
      <c r="GT43" s="380" t="e">
        <f t="shared" si="7"/>
        <v>#N/A</v>
      </c>
      <c r="GU43" s="380" t="e">
        <f t="shared" si="7"/>
        <v>#N/A</v>
      </c>
      <c r="GV43" s="380" t="e">
        <f t="shared" si="7"/>
        <v>#N/A</v>
      </c>
      <c r="GW43" s="380" t="e">
        <f t="shared" si="7"/>
        <v>#N/A</v>
      </c>
      <c r="GX43" s="380" t="e">
        <f t="shared" si="7"/>
        <v>#N/A</v>
      </c>
      <c r="GY43" s="380" t="e">
        <f t="shared" si="7"/>
        <v>#N/A</v>
      </c>
      <c r="GZ43" s="380" t="e">
        <f t="shared" si="7"/>
        <v>#N/A</v>
      </c>
      <c r="HA43" s="380" t="e">
        <f t="shared" si="7"/>
        <v>#N/A</v>
      </c>
      <c r="HB43" s="380" t="e">
        <f t="shared" si="7"/>
        <v>#N/A</v>
      </c>
      <c r="HC43" s="380" t="e">
        <f t="shared" si="7"/>
        <v>#N/A</v>
      </c>
      <c r="HD43" s="380" t="e">
        <f t="shared" si="7"/>
        <v>#N/A</v>
      </c>
      <c r="HE43" s="380" t="e">
        <f t="shared" si="7"/>
        <v>#N/A</v>
      </c>
      <c r="HF43" s="380" t="e">
        <f t="shared" si="7"/>
        <v>#N/A</v>
      </c>
      <c r="HG43" s="380" t="e">
        <f t="shared" si="7"/>
        <v>#N/A</v>
      </c>
      <c r="HH43" s="380" t="e">
        <f t="shared" si="7"/>
        <v>#N/A</v>
      </c>
      <c r="HI43" s="380" t="e">
        <f t="shared" si="7"/>
        <v>#N/A</v>
      </c>
      <c r="HJ43" s="380" t="e">
        <f t="shared" si="7"/>
        <v>#N/A</v>
      </c>
      <c r="HK43" s="380" t="e">
        <f t="shared" si="7"/>
        <v>#N/A</v>
      </c>
      <c r="HL43" s="380" t="e">
        <f t="shared" si="7"/>
        <v>#N/A</v>
      </c>
      <c r="HM43" s="380" t="e">
        <f t="shared" si="7"/>
        <v>#N/A</v>
      </c>
      <c r="HN43" s="380" t="e">
        <f t="shared" si="7"/>
        <v>#N/A</v>
      </c>
      <c r="HO43" s="380" t="e">
        <f t="shared" si="7"/>
        <v>#N/A</v>
      </c>
      <c r="HP43" s="380" t="e">
        <f t="shared" si="7"/>
        <v>#N/A</v>
      </c>
      <c r="HQ43" s="380" t="e">
        <f t="shared" si="7"/>
        <v>#N/A</v>
      </c>
      <c r="HR43" s="380" t="e">
        <f t="shared" si="7"/>
        <v>#N/A</v>
      </c>
      <c r="HS43" s="380" t="e">
        <f t="shared" si="7"/>
        <v>#N/A</v>
      </c>
      <c r="HT43" s="380" t="e">
        <f t="shared" si="7"/>
        <v>#N/A</v>
      </c>
      <c r="HU43" s="380" t="e">
        <f t="shared" si="7"/>
        <v>#N/A</v>
      </c>
      <c r="HV43" s="380" t="e">
        <f t="shared" si="7"/>
        <v>#N/A</v>
      </c>
      <c r="HW43" s="380" t="e">
        <f t="shared" si="7"/>
        <v>#N/A</v>
      </c>
      <c r="HX43" s="380" t="e">
        <f t="shared" si="7"/>
        <v>#N/A</v>
      </c>
      <c r="HY43" s="380" t="e">
        <f t="shared" si="7"/>
        <v>#N/A</v>
      </c>
      <c r="HZ43" s="380" t="e">
        <f t="shared" si="7"/>
        <v>#N/A</v>
      </c>
      <c r="IA43" s="380" t="e">
        <f t="shared" si="7"/>
        <v>#N/A</v>
      </c>
      <c r="IB43" s="380" t="e">
        <f t="shared" si="7"/>
        <v>#N/A</v>
      </c>
      <c r="IC43" s="380" t="e">
        <f t="shared" si="7"/>
        <v>#N/A</v>
      </c>
      <c r="ID43" s="380" t="e">
        <f t="shared" si="7"/>
        <v>#N/A</v>
      </c>
      <c r="IE43" s="380" t="e">
        <f t="shared" si="7"/>
        <v>#N/A</v>
      </c>
      <c r="IF43" s="380" t="e">
        <f t="shared" si="7"/>
        <v>#N/A</v>
      </c>
      <c r="IG43" s="380" t="e">
        <f t="shared" si="7"/>
        <v>#N/A</v>
      </c>
      <c r="IH43" s="380" t="e">
        <f t="shared" si="7"/>
        <v>#N/A</v>
      </c>
      <c r="II43" s="380" t="e">
        <f t="shared" si="7"/>
        <v>#N/A</v>
      </c>
      <c r="IJ43" s="380" t="e">
        <f t="shared" si="7"/>
        <v>#N/A</v>
      </c>
      <c r="IK43" s="380" t="e">
        <f t="shared" si="7"/>
        <v>#N/A</v>
      </c>
      <c r="IL43" s="380" t="e">
        <f t="shared" si="7"/>
        <v>#N/A</v>
      </c>
      <c r="IM43" s="380" t="e">
        <f t="shared" si="7"/>
        <v>#N/A</v>
      </c>
      <c r="IN43" s="380" t="e">
        <f t="shared" si="7"/>
        <v>#N/A</v>
      </c>
      <c r="IO43" s="380" t="e">
        <f t="shared" si="7"/>
        <v>#N/A</v>
      </c>
      <c r="IP43" s="380" t="e">
        <f t="shared" si="7"/>
        <v>#N/A</v>
      </c>
      <c r="IQ43" s="380" t="e">
        <f t="shared" si="7"/>
        <v>#N/A</v>
      </c>
      <c r="IR43" s="380" t="e">
        <f t="shared" si="7"/>
        <v>#N/A</v>
      </c>
      <c r="IS43" s="380" t="e">
        <f t="shared" si="7"/>
        <v>#N/A</v>
      </c>
      <c r="IT43" s="380" t="e">
        <f t="shared" si="7"/>
        <v>#N/A</v>
      </c>
      <c r="IU43" s="380" t="e">
        <f t="shared" si="7"/>
        <v>#N/A</v>
      </c>
      <c r="IV43" s="380" t="e">
        <f t="shared" si="7"/>
        <v>#N/A</v>
      </c>
      <c r="IW43" s="380" t="e">
        <f t="shared" si="7"/>
        <v>#N/A</v>
      </c>
      <c r="IX43" s="380" t="e">
        <f t="shared" si="7"/>
        <v>#N/A</v>
      </c>
      <c r="IY43" s="380" t="e">
        <f t="shared" si="7"/>
        <v>#N/A</v>
      </c>
      <c r="IZ43" s="380" t="e">
        <f t="shared" si="7"/>
        <v>#N/A</v>
      </c>
      <c r="JA43" s="380" t="e">
        <f t="shared" si="7"/>
        <v>#N/A</v>
      </c>
      <c r="JB43" s="380" t="e">
        <f t="shared" si="7"/>
        <v>#N/A</v>
      </c>
      <c r="JC43" s="380" t="e">
        <f t="shared" si="7"/>
        <v>#N/A</v>
      </c>
      <c r="JD43" s="380" t="e">
        <f t="shared" ref="JD43:LO43" si="8">INDEX(JD7:JD40,MATCH($E$43,$E$7:$E$40,0))</f>
        <v>#N/A</v>
      </c>
      <c r="JE43" s="380" t="e">
        <f t="shared" si="8"/>
        <v>#N/A</v>
      </c>
      <c r="JF43" s="380" t="e">
        <f t="shared" si="8"/>
        <v>#N/A</v>
      </c>
      <c r="JG43" s="380" t="e">
        <f t="shared" si="8"/>
        <v>#N/A</v>
      </c>
      <c r="JH43" s="380" t="e">
        <f t="shared" si="8"/>
        <v>#N/A</v>
      </c>
      <c r="JI43" s="380" t="e">
        <f t="shared" si="8"/>
        <v>#N/A</v>
      </c>
      <c r="JJ43" s="380" t="e">
        <f t="shared" si="8"/>
        <v>#N/A</v>
      </c>
      <c r="JK43" s="380" t="e">
        <f t="shared" si="8"/>
        <v>#N/A</v>
      </c>
      <c r="JL43" s="380" t="e">
        <f t="shared" si="8"/>
        <v>#N/A</v>
      </c>
      <c r="JM43" s="380" t="e">
        <f t="shared" si="8"/>
        <v>#N/A</v>
      </c>
      <c r="JN43" s="380" t="e">
        <f t="shared" si="8"/>
        <v>#N/A</v>
      </c>
      <c r="JO43" s="380" t="e">
        <f t="shared" si="8"/>
        <v>#N/A</v>
      </c>
      <c r="JP43" s="380" t="e">
        <f t="shared" si="8"/>
        <v>#N/A</v>
      </c>
      <c r="JQ43" s="380" t="e">
        <f t="shared" si="8"/>
        <v>#N/A</v>
      </c>
      <c r="JR43" s="380" t="e">
        <f t="shared" si="8"/>
        <v>#N/A</v>
      </c>
      <c r="JS43" s="380" t="e">
        <f t="shared" si="8"/>
        <v>#N/A</v>
      </c>
      <c r="JT43" s="380" t="e">
        <f t="shared" si="8"/>
        <v>#N/A</v>
      </c>
      <c r="JU43" s="380" t="e">
        <f t="shared" si="8"/>
        <v>#N/A</v>
      </c>
      <c r="JV43" s="380" t="e">
        <f t="shared" si="8"/>
        <v>#N/A</v>
      </c>
      <c r="JW43" s="380" t="e">
        <f t="shared" si="8"/>
        <v>#N/A</v>
      </c>
      <c r="JX43" s="380" t="e">
        <f t="shared" si="8"/>
        <v>#N/A</v>
      </c>
      <c r="JY43" s="380" t="e">
        <f t="shared" si="8"/>
        <v>#N/A</v>
      </c>
      <c r="JZ43" s="380" t="e">
        <f t="shared" si="8"/>
        <v>#N/A</v>
      </c>
      <c r="KA43" s="380" t="e">
        <f t="shared" si="8"/>
        <v>#N/A</v>
      </c>
      <c r="KB43" s="380" t="e">
        <f t="shared" si="8"/>
        <v>#N/A</v>
      </c>
      <c r="KC43" s="380" t="e">
        <f t="shared" si="8"/>
        <v>#N/A</v>
      </c>
      <c r="KD43" s="380" t="e">
        <f t="shared" si="8"/>
        <v>#N/A</v>
      </c>
      <c r="KE43" s="380" t="e">
        <f t="shared" si="8"/>
        <v>#N/A</v>
      </c>
      <c r="KF43" s="380" t="e">
        <f t="shared" si="8"/>
        <v>#N/A</v>
      </c>
      <c r="KG43" s="380" t="e">
        <f t="shared" si="8"/>
        <v>#N/A</v>
      </c>
      <c r="KH43" s="380" t="e">
        <f t="shared" si="8"/>
        <v>#N/A</v>
      </c>
      <c r="KI43" s="380" t="e">
        <f t="shared" si="8"/>
        <v>#N/A</v>
      </c>
      <c r="KJ43" s="380" t="e">
        <f t="shared" si="8"/>
        <v>#N/A</v>
      </c>
      <c r="KK43" s="380" t="e">
        <f t="shared" si="8"/>
        <v>#N/A</v>
      </c>
      <c r="KL43" s="380" t="e">
        <f t="shared" si="8"/>
        <v>#N/A</v>
      </c>
      <c r="KM43" s="380" t="e">
        <f t="shared" si="8"/>
        <v>#N/A</v>
      </c>
      <c r="KN43" s="380" t="e">
        <f t="shared" si="8"/>
        <v>#N/A</v>
      </c>
      <c r="KO43" s="380" t="e">
        <f t="shared" si="8"/>
        <v>#N/A</v>
      </c>
      <c r="KP43" s="380" t="e">
        <f t="shared" si="8"/>
        <v>#N/A</v>
      </c>
      <c r="KQ43" s="380" t="e">
        <f t="shared" si="8"/>
        <v>#N/A</v>
      </c>
      <c r="KR43" s="380" t="e">
        <f t="shared" si="8"/>
        <v>#N/A</v>
      </c>
      <c r="KS43" s="380" t="e">
        <f t="shared" si="8"/>
        <v>#N/A</v>
      </c>
      <c r="KT43" s="380" t="e">
        <f t="shared" si="8"/>
        <v>#N/A</v>
      </c>
      <c r="KU43" s="380" t="e">
        <f t="shared" si="8"/>
        <v>#N/A</v>
      </c>
      <c r="KV43" s="380" t="e">
        <f t="shared" si="8"/>
        <v>#N/A</v>
      </c>
      <c r="KW43" s="380" t="e">
        <f t="shared" si="8"/>
        <v>#N/A</v>
      </c>
      <c r="KX43" s="380" t="e">
        <f t="shared" si="8"/>
        <v>#N/A</v>
      </c>
      <c r="KY43" s="380" t="e">
        <f t="shared" si="8"/>
        <v>#N/A</v>
      </c>
      <c r="KZ43" s="380" t="e">
        <f t="shared" si="8"/>
        <v>#N/A</v>
      </c>
      <c r="LA43" s="380" t="e">
        <f t="shared" si="8"/>
        <v>#N/A</v>
      </c>
      <c r="LB43" s="380" t="e">
        <f t="shared" si="8"/>
        <v>#N/A</v>
      </c>
      <c r="LC43" s="380" t="e">
        <f t="shared" si="8"/>
        <v>#N/A</v>
      </c>
      <c r="LD43" s="380" t="e">
        <f t="shared" si="8"/>
        <v>#N/A</v>
      </c>
      <c r="LE43" s="380" t="e">
        <f t="shared" si="8"/>
        <v>#N/A</v>
      </c>
      <c r="LF43" s="380" t="e">
        <f t="shared" si="8"/>
        <v>#N/A</v>
      </c>
      <c r="LG43" s="380" t="e">
        <f t="shared" si="8"/>
        <v>#N/A</v>
      </c>
      <c r="LH43" s="380" t="e">
        <f t="shared" si="8"/>
        <v>#N/A</v>
      </c>
      <c r="LI43" s="380" t="e">
        <f t="shared" si="8"/>
        <v>#N/A</v>
      </c>
      <c r="LJ43" s="380" t="e">
        <f t="shared" si="8"/>
        <v>#N/A</v>
      </c>
      <c r="LK43" s="380" t="e">
        <f t="shared" si="8"/>
        <v>#N/A</v>
      </c>
      <c r="LL43" s="380" t="e">
        <f t="shared" si="8"/>
        <v>#N/A</v>
      </c>
      <c r="LM43" s="380" t="e">
        <f t="shared" si="8"/>
        <v>#N/A</v>
      </c>
      <c r="LN43" s="380" t="e">
        <f t="shared" si="8"/>
        <v>#N/A</v>
      </c>
      <c r="LO43" s="380" t="e">
        <f t="shared" si="8"/>
        <v>#N/A</v>
      </c>
      <c r="LP43" s="380" t="e">
        <f t="shared" ref="LP43:OA43" si="9">INDEX(LP7:LP40,MATCH($E$43,$E$7:$E$40,0))</f>
        <v>#N/A</v>
      </c>
      <c r="LQ43" s="380" t="e">
        <f t="shared" si="9"/>
        <v>#N/A</v>
      </c>
      <c r="LR43" s="380" t="e">
        <f t="shared" si="9"/>
        <v>#N/A</v>
      </c>
      <c r="LS43" s="380" t="e">
        <f t="shared" si="9"/>
        <v>#N/A</v>
      </c>
      <c r="LT43" s="380" t="e">
        <f t="shared" si="9"/>
        <v>#N/A</v>
      </c>
      <c r="LU43" s="380" t="e">
        <f t="shared" si="9"/>
        <v>#N/A</v>
      </c>
      <c r="LV43" s="380" t="e">
        <f t="shared" si="9"/>
        <v>#N/A</v>
      </c>
      <c r="LW43" s="380" t="e">
        <f t="shared" si="9"/>
        <v>#N/A</v>
      </c>
      <c r="LX43" s="380" t="e">
        <f t="shared" si="9"/>
        <v>#N/A</v>
      </c>
      <c r="LY43" s="380" t="e">
        <f t="shared" si="9"/>
        <v>#N/A</v>
      </c>
      <c r="LZ43" s="380" t="e">
        <f t="shared" si="9"/>
        <v>#N/A</v>
      </c>
      <c r="MA43" s="380" t="e">
        <f t="shared" si="9"/>
        <v>#N/A</v>
      </c>
      <c r="MB43" s="380" t="e">
        <f t="shared" si="9"/>
        <v>#N/A</v>
      </c>
      <c r="MC43" s="380" t="e">
        <f t="shared" si="9"/>
        <v>#N/A</v>
      </c>
      <c r="MD43" s="380" t="e">
        <f t="shared" si="9"/>
        <v>#N/A</v>
      </c>
      <c r="ME43" s="380" t="e">
        <f t="shared" si="9"/>
        <v>#N/A</v>
      </c>
      <c r="MF43" s="380" t="e">
        <f t="shared" si="9"/>
        <v>#N/A</v>
      </c>
      <c r="MG43" s="380" t="e">
        <f t="shared" si="9"/>
        <v>#N/A</v>
      </c>
      <c r="MH43" s="380" t="e">
        <f t="shared" si="9"/>
        <v>#N/A</v>
      </c>
      <c r="MI43" s="380" t="e">
        <f t="shared" si="9"/>
        <v>#N/A</v>
      </c>
      <c r="MJ43" s="380" t="e">
        <f t="shared" si="9"/>
        <v>#N/A</v>
      </c>
      <c r="MK43" s="380" t="e">
        <f t="shared" si="9"/>
        <v>#N/A</v>
      </c>
      <c r="ML43" s="380" t="e">
        <f t="shared" si="9"/>
        <v>#N/A</v>
      </c>
      <c r="MM43" s="380" t="e">
        <f t="shared" si="9"/>
        <v>#N/A</v>
      </c>
      <c r="MN43" s="380" t="e">
        <f t="shared" si="9"/>
        <v>#N/A</v>
      </c>
      <c r="MO43" s="380" t="e">
        <f t="shared" si="9"/>
        <v>#N/A</v>
      </c>
      <c r="MP43" s="380" t="e">
        <f t="shared" si="9"/>
        <v>#N/A</v>
      </c>
      <c r="MQ43" s="380" t="e">
        <f t="shared" si="9"/>
        <v>#N/A</v>
      </c>
      <c r="MR43" s="380" t="e">
        <f t="shared" si="9"/>
        <v>#N/A</v>
      </c>
      <c r="MS43" s="380" t="e">
        <f t="shared" si="9"/>
        <v>#N/A</v>
      </c>
      <c r="MT43" s="380" t="e">
        <f t="shared" si="9"/>
        <v>#N/A</v>
      </c>
      <c r="MU43" s="380" t="e">
        <f t="shared" si="9"/>
        <v>#N/A</v>
      </c>
      <c r="MV43" s="380" t="e">
        <f t="shared" si="9"/>
        <v>#N/A</v>
      </c>
      <c r="MW43" s="380" t="e">
        <f t="shared" si="9"/>
        <v>#N/A</v>
      </c>
      <c r="MX43" s="380" t="e">
        <f t="shared" si="9"/>
        <v>#N/A</v>
      </c>
      <c r="MY43" s="380" t="e">
        <f t="shared" si="9"/>
        <v>#N/A</v>
      </c>
      <c r="MZ43" s="380" t="e">
        <f t="shared" si="9"/>
        <v>#N/A</v>
      </c>
      <c r="NA43" s="380" t="e">
        <f t="shared" si="9"/>
        <v>#N/A</v>
      </c>
      <c r="NB43" s="380" t="e">
        <f t="shared" si="9"/>
        <v>#N/A</v>
      </c>
      <c r="NC43" s="380" t="e">
        <f t="shared" si="9"/>
        <v>#N/A</v>
      </c>
      <c r="ND43" s="380" t="e">
        <f t="shared" si="9"/>
        <v>#N/A</v>
      </c>
      <c r="NE43" s="380" t="e">
        <f t="shared" si="9"/>
        <v>#N/A</v>
      </c>
      <c r="NF43" s="380" t="e">
        <f t="shared" si="9"/>
        <v>#N/A</v>
      </c>
      <c r="NG43" s="380" t="e">
        <f t="shared" si="9"/>
        <v>#N/A</v>
      </c>
      <c r="NH43" s="380" t="e">
        <f t="shared" si="9"/>
        <v>#N/A</v>
      </c>
      <c r="NI43" s="380" t="e">
        <f t="shared" si="9"/>
        <v>#N/A</v>
      </c>
      <c r="NJ43" s="380" t="e">
        <f t="shared" si="9"/>
        <v>#N/A</v>
      </c>
      <c r="NK43" s="380" t="e">
        <f t="shared" si="9"/>
        <v>#N/A</v>
      </c>
      <c r="NL43" s="380" t="e">
        <f t="shared" si="9"/>
        <v>#N/A</v>
      </c>
      <c r="NM43" s="380" t="e">
        <f t="shared" si="9"/>
        <v>#N/A</v>
      </c>
      <c r="NN43" s="380" t="e">
        <f t="shared" si="9"/>
        <v>#N/A</v>
      </c>
      <c r="NO43" s="380" t="e">
        <f t="shared" si="9"/>
        <v>#N/A</v>
      </c>
      <c r="NP43" s="380" t="e">
        <f t="shared" si="9"/>
        <v>#N/A</v>
      </c>
      <c r="NQ43" s="380" t="e">
        <f t="shared" si="9"/>
        <v>#N/A</v>
      </c>
      <c r="NR43" s="380" t="e">
        <f t="shared" si="9"/>
        <v>#N/A</v>
      </c>
      <c r="NS43" s="380" t="e">
        <f t="shared" si="9"/>
        <v>#N/A</v>
      </c>
      <c r="NT43" s="380" t="e">
        <f t="shared" si="9"/>
        <v>#N/A</v>
      </c>
      <c r="NU43" s="380" t="e">
        <f t="shared" si="9"/>
        <v>#N/A</v>
      </c>
      <c r="NV43" s="380" t="e">
        <f t="shared" si="9"/>
        <v>#N/A</v>
      </c>
      <c r="NW43" s="380" t="e">
        <f t="shared" si="9"/>
        <v>#N/A</v>
      </c>
      <c r="NX43" s="380" t="e">
        <f t="shared" si="9"/>
        <v>#N/A</v>
      </c>
      <c r="NY43" s="380" t="e">
        <f t="shared" si="9"/>
        <v>#N/A</v>
      </c>
      <c r="NZ43" s="380" t="e">
        <f t="shared" si="9"/>
        <v>#N/A</v>
      </c>
      <c r="OA43" s="380" t="e">
        <f t="shared" si="9"/>
        <v>#N/A</v>
      </c>
      <c r="OB43" s="380" t="e">
        <f t="shared" ref="OB43:QM43" si="10">INDEX(OB7:OB40,MATCH($E$43,$E$7:$E$40,0))</f>
        <v>#N/A</v>
      </c>
      <c r="OC43" s="380" t="e">
        <f t="shared" si="10"/>
        <v>#N/A</v>
      </c>
      <c r="OD43" s="380" t="e">
        <f t="shared" si="10"/>
        <v>#N/A</v>
      </c>
      <c r="OE43" s="380" t="e">
        <f t="shared" si="10"/>
        <v>#N/A</v>
      </c>
      <c r="OF43" s="380" t="e">
        <f t="shared" si="10"/>
        <v>#N/A</v>
      </c>
      <c r="OG43" s="380" t="e">
        <f t="shared" si="10"/>
        <v>#N/A</v>
      </c>
      <c r="OH43" s="380" t="e">
        <f t="shared" si="10"/>
        <v>#N/A</v>
      </c>
      <c r="OI43" s="380" t="e">
        <f t="shared" si="10"/>
        <v>#N/A</v>
      </c>
      <c r="OJ43" s="380" t="e">
        <f t="shared" si="10"/>
        <v>#N/A</v>
      </c>
      <c r="OK43" s="380" t="e">
        <f t="shared" si="10"/>
        <v>#N/A</v>
      </c>
      <c r="OL43" s="380" t="e">
        <f t="shared" si="10"/>
        <v>#N/A</v>
      </c>
      <c r="OM43" s="380" t="e">
        <f t="shared" si="10"/>
        <v>#N/A</v>
      </c>
      <c r="ON43" s="380" t="e">
        <f t="shared" si="10"/>
        <v>#N/A</v>
      </c>
      <c r="OO43" s="380" t="e">
        <f t="shared" si="10"/>
        <v>#N/A</v>
      </c>
      <c r="OP43" s="380" t="e">
        <f t="shared" si="10"/>
        <v>#N/A</v>
      </c>
      <c r="OQ43" s="380" t="e">
        <f t="shared" si="10"/>
        <v>#N/A</v>
      </c>
      <c r="OR43" s="380" t="e">
        <f t="shared" si="10"/>
        <v>#N/A</v>
      </c>
      <c r="OS43" s="380" t="e">
        <f t="shared" si="10"/>
        <v>#N/A</v>
      </c>
      <c r="OT43" s="380" t="e">
        <f t="shared" si="10"/>
        <v>#N/A</v>
      </c>
      <c r="OU43" s="380" t="e">
        <f t="shared" si="10"/>
        <v>#N/A</v>
      </c>
      <c r="OV43" s="380" t="e">
        <f t="shared" si="10"/>
        <v>#N/A</v>
      </c>
      <c r="OW43" s="380" t="e">
        <f t="shared" si="10"/>
        <v>#N/A</v>
      </c>
      <c r="OX43" s="380" t="e">
        <f t="shared" si="10"/>
        <v>#N/A</v>
      </c>
      <c r="OY43" s="380" t="e">
        <f t="shared" si="10"/>
        <v>#N/A</v>
      </c>
      <c r="OZ43" s="380" t="e">
        <f t="shared" si="10"/>
        <v>#N/A</v>
      </c>
      <c r="PA43" s="380" t="e">
        <f t="shared" si="10"/>
        <v>#N/A</v>
      </c>
      <c r="PB43" s="380" t="e">
        <f t="shared" si="10"/>
        <v>#N/A</v>
      </c>
      <c r="PC43" s="380" t="e">
        <f t="shared" si="10"/>
        <v>#N/A</v>
      </c>
      <c r="PD43" s="380" t="e">
        <f t="shared" si="10"/>
        <v>#N/A</v>
      </c>
      <c r="PE43" s="380" t="e">
        <f t="shared" si="10"/>
        <v>#N/A</v>
      </c>
      <c r="PF43" s="380" t="e">
        <f t="shared" si="10"/>
        <v>#N/A</v>
      </c>
      <c r="PG43" s="380" t="e">
        <f t="shared" si="10"/>
        <v>#N/A</v>
      </c>
      <c r="PH43" s="380" t="e">
        <f t="shared" si="10"/>
        <v>#N/A</v>
      </c>
      <c r="PI43" s="380" t="e">
        <f t="shared" si="10"/>
        <v>#N/A</v>
      </c>
      <c r="PJ43" s="380" t="e">
        <f t="shared" si="10"/>
        <v>#N/A</v>
      </c>
      <c r="PK43" s="380" t="e">
        <f t="shared" si="10"/>
        <v>#N/A</v>
      </c>
      <c r="PL43" s="380" t="e">
        <f t="shared" si="10"/>
        <v>#N/A</v>
      </c>
      <c r="PM43" s="380" t="e">
        <f t="shared" si="10"/>
        <v>#N/A</v>
      </c>
      <c r="PN43" s="380" t="e">
        <f t="shared" si="10"/>
        <v>#N/A</v>
      </c>
      <c r="PO43" s="380" t="e">
        <f t="shared" si="10"/>
        <v>#N/A</v>
      </c>
      <c r="PP43" s="380" t="e">
        <f t="shared" si="10"/>
        <v>#N/A</v>
      </c>
      <c r="PQ43" s="380" t="e">
        <f t="shared" si="10"/>
        <v>#N/A</v>
      </c>
      <c r="PR43" s="380" t="e">
        <f t="shared" si="10"/>
        <v>#N/A</v>
      </c>
      <c r="PS43" s="380" t="e">
        <f t="shared" si="10"/>
        <v>#N/A</v>
      </c>
      <c r="PT43" s="380" t="e">
        <f t="shared" si="10"/>
        <v>#N/A</v>
      </c>
      <c r="PU43" s="380" t="e">
        <f t="shared" si="10"/>
        <v>#N/A</v>
      </c>
      <c r="PV43" s="380" t="e">
        <f t="shared" si="10"/>
        <v>#N/A</v>
      </c>
      <c r="PW43" s="380" t="e">
        <f t="shared" si="10"/>
        <v>#N/A</v>
      </c>
      <c r="PX43" s="380" t="e">
        <f t="shared" si="10"/>
        <v>#N/A</v>
      </c>
      <c r="PY43" s="380" t="e">
        <f t="shared" si="10"/>
        <v>#N/A</v>
      </c>
      <c r="PZ43" s="380" t="e">
        <f t="shared" si="10"/>
        <v>#N/A</v>
      </c>
      <c r="QA43" s="380" t="e">
        <f t="shared" si="10"/>
        <v>#N/A</v>
      </c>
      <c r="QB43" s="380" t="e">
        <f t="shared" si="10"/>
        <v>#N/A</v>
      </c>
      <c r="QC43" s="380" t="e">
        <f t="shared" si="10"/>
        <v>#N/A</v>
      </c>
      <c r="QD43" s="380" t="e">
        <f t="shared" si="10"/>
        <v>#N/A</v>
      </c>
      <c r="QE43" s="380" t="e">
        <f t="shared" si="10"/>
        <v>#N/A</v>
      </c>
      <c r="QF43" s="380" t="e">
        <f t="shared" si="10"/>
        <v>#N/A</v>
      </c>
      <c r="QG43" s="380" t="e">
        <f t="shared" si="10"/>
        <v>#N/A</v>
      </c>
      <c r="QH43" s="380" t="e">
        <f t="shared" si="10"/>
        <v>#N/A</v>
      </c>
      <c r="QI43" s="380" t="e">
        <f t="shared" si="10"/>
        <v>#N/A</v>
      </c>
      <c r="QJ43" s="380" t="e">
        <f t="shared" si="10"/>
        <v>#N/A</v>
      </c>
      <c r="QK43" s="380" t="e">
        <f t="shared" si="10"/>
        <v>#N/A</v>
      </c>
      <c r="QL43" s="380" t="e">
        <f t="shared" si="10"/>
        <v>#N/A</v>
      </c>
      <c r="QM43" s="380" t="e">
        <f t="shared" si="10"/>
        <v>#N/A</v>
      </c>
      <c r="QN43" s="380" t="e">
        <f t="shared" ref="QN43:SY43" si="11">INDEX(QN7:QN40,MATCH($E$43,$E$7:$E$40,0))</f>
        <v>#N/A</v>
      </c>
      <c r="QO43" s="380" t="e">
        <f t="shared" si="11"/>
        <v>#N/A</v>
      </c>
      <c r="QP43" s="380" t="e">
        <f t="shared" si="11"/>
        <v>#N/A</v>
      </c>
      <c r="QQ43" s="380" t="e">
        <f t="shared" si="11"/>
        <v>#N/A</v>
      </c>
      <c r="QR43" s="380" t="e">
        <f t="shared" si="11"/>
        <v>#N/A</v>
      </c>
      <c r="QS43" s="380" t="e">
        <f t="shared" si="11"/>
        <v>#N/A</v>
      </c>
      <c r="QT43" s="380" t="e">
        <f t="shared" si="11"/>
        <v>#N/A</v>
      </c>
      <c r="QU43" s="380" t="e">
        <f t="shared" si="11"/>
        <v>#N/A</v>
      </c>
      <c r="QV43" s="380" t="e">
        <f t="shared" si="11"/>
        <v>#N/A</v>
      </c>
      <c r="QW43" s="380" t="e">
        <f t="shared" si="11"/>
        <v>#N/A</v>
      </c>
      <c r="QX43" s="380" t="e">
        <f t="shared" si="11"/>
        <v>#N/A</v>
      </c>
      <c r="QY43" s="380" t="e">
        <f t="shared" si="11"/>
        <v>#N/A</v>
      </c>
      <c r="QZ43" s="380" t="e">
        <f t="shared" si="11"/>
        <v>#N/A</v>
      </c>
      <c r="RA43" s="380" t="e">
        <f t="shared" si="11"/>
        <v>#N/A</v>
      </c>
      <c r="RB43" s="380" t="e">
        <f t="shared" si="11"/>
        <v>#N/A</v>
      </c>
      <c r="RC43" s="380" t="e">
        <f t="shared" si="11"/>
        <v>#N/A</v>
      </c>
      <c r="RD43" s="380" t="e">
        <f t="shared" si="11"/>
        <v>#N/A</v>
      </c>
      <c r="RE43" s="380" t="e">
        <f t="shared" si="11"/>
        <v>#N/A</v>
      </c>
      <c r="RF43" s="380" t="e">
        <f t="shared" si="11"/>
        <v>#N/A</v>
      </c>
      <c r="RG43" s="380" t="e">
        <f t="shared" si="11"/>
        <v>#N/A</v>
      </c>
      <c r="RH43" s="380" t="e">
        <f t="shared" si="11"/>
        <v>#N/A</v>
      </c>
      <c r="RI43" s="380" t="e">
        <f t="shared" si="11"/>
        <v>#N/A</v>
      </c>
      <c r="RJ43" s="380" t="e">
        <f t="shared" si="11"/>
        <v>#N/A</v>
      </c>
      <c r="RK43" s="380" t="e">
        <f t="shared" si="11"/>
        <v>#N/A</v>
      </c>
      <c r="RL43" s="380" t="e">
        <f t="shared" si="11"/>
        <v>#N/A</v>
      </c>
      <c r="RM43" s="380" t="e">
        <f t="shared" si="11"/>
        <v>#N/A</v>
      </c>
      <c r="RN43" s="380" t="e">
        <f t="shared" si="11"/>
        <v>#N/A</v>
      </c>
      <c r="RO43" s="380" t="e">
        <f t="shared" si="11"/>
        <v>#N/A</v>
      </c>
      <c r="RP43" s="380" t="e">
        <f t="shared" si="11"/>
        <v>#N/A</v>
      </c>
      <c r="RQ43" s="380" t="e">
        <f t="shared" si="11"/>
        <v>#N/A</v>
      </c>
      <c r="RR43" s="380" t="e">
        <f t="shared" si="11"/>
        <v>#N/A</v>
      </c>
      <c r="RS43" s="380" t="e">
        <f t="shared" si="11"/>
        <v>#N/A</v>
      </c>
      <c r="RT43" s="380" t="e">
        <f t="shared" si="11"/>
        <v>#N/A</v>
      </c>
      <c r="RU43" s="380" t="e">
        <f t="shared" si="11"/>
        <v>#N/A</v>
      </c>
      <c r="RV43" s="380" t="e">
        <f t="shared" si="11"/>
        <v>#N/A</v>
      </c>
      <c r="RW43" s="380" t="e">
        <f t="shared" si="11"/>
        <v>#N/A</v>
      </c>
      <c r="RX43" s="380" t="e">
        <f t="shared" si="11"/>
        <v>#N/A</v>
      </c>
      <c r="RY43" s="380" t="e">
        <f t="shared" si="11"/>
        <v>#N/A</v>
      </c>
      <c r="RZ43" s="380" t="e">
        <f t="shared" si="11"/>
        <v>#N/A</v>
      </c>
      <c r="SA43" s="380" t="e">
        <f t="shared" si="11"/>
        <v>#N/A</v>
      </c>
      <c r="SB43" s="380" t="e">
        <f t="shared" si="11"/>
        <v>#N/A</v>
      </c>
      <c r="SC43" s="380" t="e">
        <f t="shared" si="11"/>
        <v>#N/A</v>
      </c>
      <c r="SD43" s="380" t="e">
        <f t="shared" si="11"/>
        <v>#N/A</v>
      </c>
      <c r="SE43" s="380" t="e">
        <f t="shared" si="11"/>
        <v>#N/A</v>
      </c>
      <c r="SF43" s="380" t="e">
        <f t="shared" si="11"/>
        <v>#N/A</v>
      </c>
      <c r="SG43" s="380" t="e">
        <f t="shared" si="11"/>
        <v>#N/A</v>
      </c>
      <c r="SH43" s="380" t="e">
        <f t="shared" si="11"/>
        <v>#N/A</v>
      </c>
      <c r="SI43" s="380" t="e">
        <f t="shared" si="11"/>
        <v>#N/A</v>
      </c>
      <c r="SJ43" s="380" t="e">
        <f t="shared" si="11"/>
        <v>#N/A</v>
      </c>
      <c r="SK43" s="380" t="e">
        <f t="shared" si="11"/>
        <v>#N/A</v>
      </c>
      <c r="SL43" s="380" t="e">
        <f t="shared" si="11"/>
        <v>#N/A</v>
      </c>
      <c r="SM43" s="380" t="e">
        <f t="shared" si="11"/>
        <v>#N/A</v>
      </c>
      <c r="SN43" s="380" t="e">
        <f t="shared" si="11"/>
        <v>#N/A</v>
      </c>
      <c r="SO43" s="380" t="e">
        <f t="shared" si="11"/>
        <v>#N/A</v>
      </c>
      <c r="SP43" s="380" t="e">
        <f t="shared" si="11"/>
        <v>#N/A</v>
      </c>
      <c r="SQ43" s="380" t="e">
        <f t="shared" si="11"/>
        <v>#N/A</v>
      </c>
      <c r="SR43" s="380" t="e">
        <f t="shared" si="11"/>
        <v>#N/A</v>
      </c>
      <c r="SS43" s="380" t="e">
        <f t="shared" si="11"/>
        <v>#N/A</v>
      </c>
      <c r="ST43" s="380" t="e">
        <f t="shared" si="11"/>
        <v>#N/A</v>
      </c>
      <c r="SU43" s="380" t="e">
        <f t="shared" si="11"/>
        <v>#N/A</v>
      </c>
      <c r="SV43" s="380" t="e">
        <f t="shared" si="11"/>
        <v>#N/A</v>
      </c>
      <c r="SW43" s="380" t="e">
        <f t="shared" si="11"/>
        <v>#N/A</v>
      </c>
      <c r="SX43" s="380" t="e">
        <f t="shared" si="11"/>
        <v>#N/A</v>
      </c>
      <c r="SY43" s="380" t="e">
        <f t="shared" si="11"/>
        <v>#N/A</v>
      </c>
      <c r="SZ43" s="380" t="e">
        <f t="shared" ref="SZ43:VK43" si="12">INDEX(SZ7:SZ40,MATCH($E$43,$E$7:$E$40,0))</f>
        <v>#N/A</v>
      </c>
      <c r="TA43" s="380" t="e">
        <f t="shared" si="12"/>
        <v>#N/A</v>
      </c>
      <c r="TB43" s="380" t="e">
        <f t="shared" si="12"/>
        <v>#N/A</v>
      </c>
      <c r="TC43" s="380" t="e">
        <f t="shared" si="12"/>
        <v>#N/A</v>
      </c>
      <c r="TD43" s="380" t="e">
        <f t="shared" si="12"/>
        <v>#N/A</v>
      </c>
      <c r="TE43" s="380" t="e">
        <f t="shared" si="12"/>
        <v>#N/A</v>
      </c>
      <c r="TF43" s="380" t="e">
        <f t="shared" si="12"/>
        <v>#N/A</v>
      </c>
      <c r="TG43" s="380" t="e">
        <f t="shared" si="12"/>
        <v>#N/A</v>
      </c>
      <c r="TH43" s="380" t="e">
        <f t="shared" si="12"/>
        <v>#N/A</v>
      </c>
      <c r="TI43" s="380" t="e">
        <f t="shared" si="12"/>
        <v>#N/A</v>
      </c>
      <c r="TJ43" s="380" t="e">
        <f t="shared" si="12"/>
        <v>#N/A</v>
      </c>
      <c r="TK43" s="380" t="e">
        <f t="shared" si="12"/>
        <v>#N/A</v>
      </c>
      <c r="TL43" s="380" t="e">
        <f t="shared" si="12"/>
        <v>#N/A</v>
      </c>
      <c r="TM43" s="380" t="e">
        <f t="shared" si="12"/>
        <v>#N/A</v>
      </c>
      <c r="TN43" s="380" t="e">
        <f t="shared" si="12"/>
        <v>#N/A</v>
      </c>
      <c r="TO43" s="380" t="e">
        <f t="shared" si="12"/>
        <v>#N/A</v>
      </c>
      <c r="TP43" s="380" t="e">
        <f t="shared" si="12"/>
        <v>#N/A</v>
      </c>
      <c r="TQ43" s="380" t="e">
        <f t="shared" si="12"/>
        <v>#N/A</v>
      </c>
      <c r="TR43" s="380" t="e">
        <f t="shared" si="12"/>
        <v>#N/A</v>
      </c>
      <c r="TS43" s="380" t="e">
        <f t="shared" si="12"/>
        <v>#N/A</v>
      </c>
      <c r="TT43" s="380" t="e">
        <f t="shared" si="12"/>
        <v>#N/A</v>
      </c>
      <c r="TU43" s="380" t="e">
        <f t="shared" si="12"/>
        <v>#N/A</v>
      </c>
      <c r="TV43" s="380" t="e">
        <f t="shared" si="12"/>
        <v>#N/A</v>
      </c>
      <c r="TW43" s="380" t="e">
        <f t="shared" si="12"/>
        <v>#N/A</v>
      </c>
      <c r="TX43" s="380" t="e">
        <f t="shared" si="12"/>
        <v>#N/A</v>
      </c>
      <c r="TY43" s="380" t="e">
        <f t="shared" si="12"/>
        <v>#N/A</v>
      </c>
      <c r="TZ43" s="380" t="e">
        <f t="shared" si="12"/>
        <v>#N/A</v>
      </c>
      <c r="UA43" s="380" t="e">
        <f t="shared" si="12"/>
        <v>#N/A</v>
      </c>
      <c r="UB43" s="380" t="e">
        <f t="shared" si="12"/>
        <v>#N/A</v>
      </c>
      <c r="UC43" s="380" t="e">
        <f t="shared" si="12"/>
        <v>#N/A</v>
      </c>
      <c r="UD43" s="380" t="e">
        <f t="shared" si="12"/>
        <v>#N/A</v>
      </c>
      <c r="UE43" s="380" t="e">
        <f t="shared" si="12"/>
        <v>#N/A</v>
      </c>
      <c r="UF43" s="380" t="e">
        <f t="shared" si="12"/>
        <v>#N/A</v>
      </c>
      <c r="UG43" s="380" t="e">
        <f t="shared" si="12"/>
        <v>#N/A</v>
      </c>
      <c r="UH43" s="380" t="e">
        <f t="shared" si="12"/>
        <v>#N/A</v>
      </c>
      <c r="UI43" s="380" t="e">
        <f t="shared" si="12"/>
        <v>#N/A</v>
      </c>
      <c r="UJ43" s="380" t="e">
        <f t="shared" si="12"/>
        <v>#N/A</v>
      </c>
      <c r="UK43" s="380" t="e">
        <f t="shared" si="12"/>
        <v>#N/A</v>
      </c>
      <c r="UL43" s="380" t="e">
        <f t="shared" si="12"/>
        <v>#N/A</v>
      </c>
      <c r="UM43" s="380" t="e">
        <f t="shared" si="12"/>
        <v>#N/A</v>
      </c>
      <c r="UN43" s="380" t="e">
        <f t="shared" si="12"/>
        <v>#N/A</v>
      </c>
      <c r="UO43" s="380" t="e">
        <f t="shared" si="12"/>
        <v>#N/A</v>
      </c>
      <c r="UP43" s="380" t="e">
        <f t="shared" si="12"/>
        <v>#N/A</v>
      </c>
      <c r="UQ43" s="380" t="e">
        <f t="shared" si="12"/>
        <v>#N/A</v>
      </c>
      <c r="UR43" s="380" t="e">
        <f t="shared" si="12"/>
        <v>#N/A</v>
      </c>
      <c r="US43" s="380" t="e">
        <f t="shared" si="12"/>
        <v>#N/A</v>
      </c>
      <c r="UT43" s="380" t="e">
        <f t="shared" si="12"/>
        <v>#N/A</v>
      </c>
      <c r="UU43" s="380" t="e">
        <f t="shared" si="12"/>
        <v>#N/A</v>
      </c>
      <c r="UV43" s="380" t="e">
        <f t="shared" si="12"/>
        <v>#N/A</v>
      </c>
      <c r="UW43" s="380" t="e">
        <f t="shared" si="12"/>
        <v>#N/A</v>
      </c>
      <c r="UX43" s="380" t="e">
        <f t="shared" si="12"/>
        <v>#N/A</v>
      </c>
      <c r="UY43" s="380" t="e">
        <f t="shared" si="12"/>
        <v>#N/A</v>
      </c>
      <c r="UZ43" s="380" t="e">
        <f t="shared" si="12"/>
        <v>#N/A</v>
      </c>
      <c r="VA43" s="380" t="e">
        <f t="shared" si="12"/>
        <v>#N/A</v>
      </c>
      <c r="VB43" s="380" t="e">
        <f t="shared" si="12"/>
        <v>#N/A</v>
      </c>
      <c r="VC43" s="380" t="e">
        <f t="shared" si="12"/>
        <v>#N/A</v>
      </c>
      <c r="VD43" s="380" t="e">
        <f t="shared" si="12"/>
        <v>#N/A</v>
      </c>
      <c r="VE43" s="380" t="e">
        <f t="shared" si="12"/>
        <v>#N/A</v>
      </c>
      <c r="VF43" s="380" t="e">
        <f t="shared" si="12"/>
        <v>#N/A</v>
      </c>
      <c r="VG43" s="380" t="e">
        <f t="shared" si="12"/>
        <v>#N/A</v>
      </c>
      <c r="VH43" s="380" t="e">
        <f t="shared" si="12"/>
        <v>#N/A</v>
      </c>
      <c r="VI43" s="380" t="e">
        <f t="shared" si="12"/>
        <v>#N/A</v>
      </c>
      <c r="VJ43" s="380" t="e">
        <f t="shared" si="12"/>
        <v>#N/A</v>
      </c>
      <c r="VK43" s="380" t="e">
        <f t="shared" si="12"/>
        <v>#N/A</v>
      </c>
      <c r="VL43" s="380" t="e">
        <f t="shared" ref="VL43:XW43" si="13">INDEX(VL7:VL40,MATCH($E$43,$E$7:$E$40,0))</f>
        <v>#N/A</v>
      </c>
      <c r="VM43" s="380" t="e">
        <f t="shared" si="13"/>
        <v>#N/A</v>
      </c>
      <c r="VN43" s="380" t="e">
        <f t="shared" si="13"/>
        <v>#N/A</v>
      </c>
      <c r="VO43" s="380" t="e">
        <f t="shared" si="13"/>
        <v>#N/A</v>
      </c>
      <c r="VP43" s="380" t="e">
        <f t="shared" si="13"/>
        <v>#N/A</v>
      </c>
      <c r="VQ43" s="380" t="e">
        <f t="shared" si="13"/>
        <v>#N/A</v>
      </c>
      <c r="VR43" s="380" t="e">
        <f t="shared" si="13"/>
        <v>#N/A</v>
      </c>
      <c r="VS43" s="380" t="e">
        <f t="shared" si="13"/>
        <v>#N/A</v>
      </c>
      <c r="VT43" s="380" t="e">
        <f t="shared" si="13"/>
        <v>#N/A</v>
      </c>
      <c r="VU43" s="380" t="e">
        <f t="shared" si="13"/>
        <v>#N/A</v>
      </c>
      <c r="VV43" s="380" t="e">
        <f t="shared" si="13"/>
        <v>#N/A</v>
      </c>
      <c r="VW43" s="380" t="e">
        <f t="shared" si="13"/>
        <v>#N/A</v>
      </c>
      <c r="VX43" s="380" t="e">
        <f t="shared" si="13"/>
        <v>#N/A</v>
      </c>
      <c r="VY43" s="380" t="e">
        <f t="shared" si="13"/>
        <v>#N/A</v>
      </c>
      <c r="VZ43" s="380" t="e">
        <f t="shared" si="13"/>
        <v>#N/A</v>
      </c>
      <c r="WA43" s="380" t="e">
        <f t="shared" si="13"/>
        <v>#N/A</v>
      </c>
      <c r="WB43" s="380" t="e">
        <f t="shared" si="13"/>
        <v>#N/A</v>
      </c>
      <c r="WC43" s="380" t="e">
        <f t="shared" si="13"/>
        <v>#N/A</v>
      </c>
      <c r="WD43" s="380" t="e">
        <f t="shared" si="13"/>
        <v>#N/A</v>
      </c>
      <c r="WE43" s="380" t="e">
        <f t="shared" si="13"/>
        <v>#N/A</v>
      </c>
      <c r="WF43" s="380" t="e">
        <f t="shared" si="13"/>
        <v>#N/A</v>
      </c>
      <c r="WG43" s="380" t="e">
        <f t="shared" si="13"/>
        <v>#N/A</v>
      </c>
      <c r="WH43" s="380" t="e">
        <f t="shared" si="13"/>
        <v>#N/A</v>
      </c>
      <c r="WI43" s="380" t="e">
        <f t="shared" si="13"/>
        <v>#N/A</v>
      </c>
      <c r="WJ43" s="380" t="e">
        <f t="shared" si="13"/>
        <v>#N/A</v>
      </c>
      <c r="WK43" s="380" t="e">
        <f t="shared" si="13"/>
        <v>#N/A</v>
      </c>
      <c r="WL43" s="380" t="e">
        <f t="shared" si="13"/>
        <v>#N/A</v>
      </c>
      <c r="WM43" s="380" t="e">
        <f t="shared" si="13"/>
        <v>#N/A</v>
      </c>
      <c r="WN43" s="380" t="e">
        <f t="shared" si="13"/>
        <v>#N/A</v>
      </c>
      <c r="WO43" s="380" t="e">
        <f t="shared" si="13"/>
        <v>#N/A</v>
      </c>
      <c r="WP43" s="380" t="e">
        <f t="shared" si="13"/>
        <v>#N/A</v>
      </c>
      <c r="WQ43" s="380" t="e">
        <f t="shared" si="13"/>
        <v>#N/A</v>
      </c>
      <c r="WR43" s="380" t="e">
        <f t="shared" si="13"/>
        <v>#N/A</v>
      </c>
      <c r="WS43" s="380" t="e">
        <f t="shared" si="13"/>
        <v>#N/A</v>
      </c>
      <c r="WT43" s="380" t="e">
        <f t="shared" si="13"/>
        <v>#N/A</v>
      </c>
      <c r="WU43" s="380" t="e">
        <f t="shared" si="13"/>
        <v>#N/A</v>
      </c>
      <c r="WV43" s="380" t="e">
        <f t="shared" si="13"/>
        <v>#N/A</v>
      </c>
      <c r="WW43" s="380" t="e">
        <f t="shared" si="13"/>
        <v>#N/A</v>
      </c>
      <c r="WX43" s="380" t="e">
        <f t="shared" si="13"/>
        <v>#N/A</v>
      </c>
      <c r="WY43" s="380" t="e">
        <f t="shared" si="13"/>
        <v>#N/A</v>
      </c>
      <c r="WZ43" s="380" t="e">
        <f t="shared" si="13"/>
        <v>#N/A</v>
      </c>
      <c r="XA43" s="380" t="e">
        <f t="shared" si="13"/>
        <v>#N/A</v>
      </c>
      <c r="XB43" s="380" t="e">
        <f t="shared" si="13"/>
        <v>#N/A</v>
      </c>
      <c r="XC43" s="380" t="e">
        <f t="shared" si="13"/>
        <v>#N/A</v>
      </c>
      <c r="XD43" s="380" t="e">
        <f t="shared" si="13"/>
        <v>#N/A</v>
      </c>
      <c r="XE43" s="380" t="e">
        <f t="shared" si="13"/>
        <v>#N/A</v>
      </c>
      <c r="XF43" s="380" t="e">
        <f t="shared" si="13"/>
        <v>#N/A</v>
      </c>
      <c r="XG43" s="380" t="e">
        <f t="shared" si="13"/>
        <v>#N/A</v>
      </c>
      <c r="XH43" s="380" t="e">
        <f t="shared" si="13"/>
        <v>#N/A</v>
      </c>
      <c r="XI43" s="380" t="e">
        <f t="shared" si="13"/>
        <v>#N/A</v>
      </c>
      <c r="XJ43" s="380" t="e">
        <f t="shared" si="13"/>
        <v>#N/A</v>
      </c>
      <c r="XK43" s="380" t="e">
        <f t="shared" si="13"/>
        <v>#N/A</v>
      </c>
      <c r="XL43" s="380" t="e">
        <f t="shared" si="13"/>
        <v>#N/A</v>
      </c>
      <c r="XM43" s="380" t="e">
        <f t="shared" si="13"/>
        <v>#N/A</v>
      </c>
      <c r="XN43" s="380" t="e">
        <f t="shared" si="13"/>
        <v>#N/A</v>
      </c>
      <c r="XO43" s="380" t="e">
        <f t="shared" si="13"/>
        <v>#N/A</v>
      </c>
      <c r="XP43" s="380" t="e">
        <f t="shared" si="13"/>
        <v>#N/A</v>
      </c>
      <c r="XQ43" s="380" t="e">
        <f t="shared" si="13"/>
        <v>#N/A</v>
      </c>
      <c r="XR43" s="380" t="e">
        <f t="shared" si="13"/>
        <v>#N/A</v>
      </c>
      <c r="XS43" s="380" t="e">
        <f t="shared" si="13"/>
        <v>#N/A</v>
      </c>
      <c r="XT43" s="380" t="e">
        <f t="shared" si="13"/>
        <v>#N/A</v>
      </c>
      <c r="XU43" s="380" t="e">
        <f t="shared" si="13"/>
        <v>#N/A</v>
      </c>
      <c r="XV43" s="380" t="e">
        <f t="shared" si="13"/>
        <v>#N/A</v>
      </c>
      <c r="XW43" s="380" t="e">
        <f t="shared" si="13"/>
        <v>#N/A</v>
      </c>
      <c r="XX43" s="380" t="e">
        <f t="shared" ref="XX43:AAI43" si="14">INDEX(XX7:XX40,MATCH($E$43,$E$7:$E$40,0))</f>
        <v>#N/A</v>
      </c>
      <c r="XY43" s="380" t="e">
        <f t="shared" si="14"/>
        <v>#N/A</v>
      </c>
      <c r="XZ43" s="380" t="e">
        <f t="shared" si="14"/>
        <v>#N/A</v>
      </c>
      <c r="YA43" s="380" t="e">
        <f t="shared" si="14"/>
        <v>#N/A</v>
      </c>
      <c r="YB43" s="380" t="e">
        <f t="shared" si="14"/>
        <v>#N/A</v>
      </c>
      <c r="YC43" s="380" t="e">
        <f t="shared" si="14"/>
        <v>#N/A</v>
      </c>
      <c r="YD43" s="380" t="e">
        <f t="shared" si="14"/>
        <v>#N/A</v>
      </c>
      <c r="YE43" s="380" t="e">
        <f t="shared" si="14"/>
        <v>#N/A</v>
      </c>
      <c r="YF43" s="380" t="e">
        <f t="shared" si="14"/>
        <v>#N/A</v>
      </c>
      <c r="YG43" s="380" t="e">
        <f t="shared" si="14"/>
        <v>#N/A</v>
      </c>
      <c r="YH43" s="380" t="e">
        <f t="shared" si="14"/>
        <v>#N/A</v>
      </c>
      <c r="YI43" s="380" t="e">
        <f t="shared" si="14"/>
        <v>#N/A</v>
      </c>
      <c r="YJ43" s="380" t="e">
        <f t="shared" si="14"/>
        <v>#N/A</v>
      </c>
      <c r="YK43" s="380" t="e">
        <f t="shared" si="14"/>
        <v>#N/A</v>
      </c>
      <c r="YL43" s="380" t="e">
        <f t="shared" si="14"/>
        <v>#N/A</v>
      </c>
      <c r="YM43" s="380" t="e">
        <f t="shared" si="14"/>
        <v>#N/A</v>
      </c>
      <c r="YN43" s="380" t="e">
        <f t="shared" si="14"/>
        <v>#N/A</v>
      </c>
      <c r="YO43" s="380" t="e">
        <f t="shared" si="14"/>
        <v>#N/A</v>
      </c>
      <c r="YP43" s="380" t="e">
        <f t="shared" si="14"/>
        <v>#N/A</v>
      </c>
      <c r="YQ43" s="380" t="e">
        <f t="shared" si="14"/>
        <v>#N/A</v>
      </c>
      <c r="YR43" s="380" t="e">
        <f t="shared" si="14"/>
        <v>#N/A</v>
      </c>
      <c r="YS43" s="380" t="e">
        <f t="shared" si="14"/>
        <v>#N/A</v>
      </c>
      <c r="YT43" s="380" t="e">
        <f t="shared" si="14"/>
        <v>#N/A</v>
      </c>
      <c r="YU43" s="380" t="e">
        <f t="shared" si="14"/>
        <v>#N/A</v>
      </c>
      <c r="YV43" s="380" t="e">
        <f t="shared" si="14"/>
        <v>#N/A</v>
      </c>
      <c r="YW43" s="380" t="e">
        <f t="shared" si="14"/>
        <v>#N/A</v>
      </c>
      <c r="YX43" s="380" t="e">
        <f t="shared" si="14"/>
        <v>#N/A</v>
      </c>
      <c r="YY43" s="380" t="e">
        <f t="shared" si="14"/>
        <v>#N/A</v>
      </c>
      <c r="YZ43" s="380" t="e">
        <f t="shared" si="14"/>
        <v>#N/A</v>
      </c>
      <c r="ZA43" s="380" t="e">
        <f t="shared" si="14"/>
        <v>#N/A</v>
      </c>
      <c r="ZB43" s="380" t="e">
        <f t="shared" si="14"/>
        <v>#N/A</v>
      </c>
      <c r="ZC43" s="380" t="e">
        <f t="shared" si="14"/>
        <v>#N/A</v>
      </c>
      <c r="ZD43" s="380" t="e">
        <f t="shared" si="14"/>
        <v>#N/A</v>
      </c>
      <c r="ZE43" s="380" t="e">
        <f t="shared" si="14"/>
        <v>#N/A</v>
      </c>
      <c r="ZF43" s="380" t="e">
        <f t="shared" si="14"/>
        <v>#N/A</v>
      </c>
      <c r="ZG43" s="380" t="e">
        <f t="shared" si="14"/>
        <v>#N/A</v>
      </c>
      <c r="ZH43" s="380" t="e">
        <f t="shared" si="14"/>
        <v>#N/A</v>
      </c>
      <c r="ZI43" s="380" t="e">
        <f t="shared" si="14"/>
        <v>#N/A</v>
      </c>
      <c r="ZJ43" s="380" t="e">
        <f t="shared" si="14"/>
        <v>#N/A</v>
      </c>
      <c r="ZK43" s="380" t="e">
        <f t="shared" si="14"/>
        <v>#N/A</v>
      </c>
      <c r="ZL43" s="380" t="e">
        <f t="shared" si="14"/>
        <v>#N/A</v>
      </c>
      <c r="ZM43" s="380" t="e">
        <f t="shared" si="14"/>
        <v>#N/A</v>
      </c>
      <c r="ZN43" s="380" t="e">
        <f t="shared" si="14"/>
        <v>#N/A</v>
      </c>
      <c r="ZO43" s="380" t="e">
        <f t="shared" si="14"/>
        <v>#N/A</v>
      </c>
      <c r="ZP43" s="380" t="e">
        <f t="shared" si="14"/>
        <v>#N/A</v>
      </c>
      <c r="ZQ43" s="380" t="e">
        <f t="shared" si="14"/>
        <v>#N/A</v>
      </c>
      <c r="ZR43" s="380" t="e">
        <f t="shared" si="14"/>
        <v>#N/A</v>
      </c>
      <c r="ZS43" s="380" t="e">
        <f t="shared" si="14"/>
        <v>#N/A</v>
      </c>
      <c r="ZT43" s="380" t="e">
        <f t="shared" si="14"/>
        <v>#N/A</v>
      </c>
      <c r="ZU43" s="380" t="e">
        <f t="shared" si="14"/>
        <v>#N/A</v>
      </c>
      <c r="ZV43" s="380" t="e">
        <f t="shared" si="14"/>
        <v>#N/A</v>
      </c>
      <c r="ZW43" s="380" t="e">
        <f t="shared" si="14"/>
        <v>#N/A</v>
      </c>
      <c r="ZX43" s="380" t="e">
        <f t="shared" si="14"/>
        <v>#N/A</v>
      </c>
      <c r="ZY43" s="380" t="e">
        <f t="shared" si="14"/>
        <v>#N/A</v>
      </c>
      <c r="ZZ43" s="380" t="e">
        <f t="shared" si="14"/>
        <v>#N/A</v>
      </c>
      <c r="AAA43" s="380" t="e">
        <f t="shared" si="14"/>
        <v>#N/A</v>
      </c>
      <c r="AAB43" s="380" t="e">
        <f t="shared" si="14"/>
        <v>#N/A</v>
      </c>
      <c r="AAC43" s="380" t="e">
        <f t="shared" si="14"/>
        <v>#N/A</v>
      </c>
      <c r="AAD43" s="380" t="e">
        <f t="shared" si="14"/>
        <v>#N/A</v>
      </c>
      <c r="AAE43" s="380" t="e">
        <f t="shared" si="14"/>
        <v>#N/A</v>
      </c>
      <c r="AAF43" s="380" t="e">
        <f t="shared" si="14"/>
        <v>#N/A</v>
      </c>
      <c r="AAG43" s="380" t="e">
        <f t="shared" si="14"/>
        <v>#N/A</v>
      </c>
      <c r="AAH43" s="380" t="e">
        <f t="shared" si="14"/>
        <v>#N/A</v>
      </c>
      <c r="AAI43" s="380" t="e">
        <f t="shared" si="14"/>
        <v>#N/A</v>
      </c>
      <c r="AAJ43" s="380" t="e">
        <f t="shared" ref="AAJ43:ACU43" si="15">INDEX(AAJ7:AAJ40,MATCH($E$43,$E$7:$E$40,0))</f>
        <v>#N/A</v>
      </c>
      <c r="AAK43" s="380" t="e">
        <f t="shared" si="15"/>
        <v>#N/A</v>
      </c>
      <c r="AAL43" s="380" t="e">
        <f t="shared" si="15"/>
        <v>#N/A</v>
      </c>
      <c r="AAM43" s="380" t="e">
        <f t="shared" si="15"/>
        <v>#N/A</v>
      </c>
      <c r="AAN43" s="380" t="e">
        <f t="shared" si="15"/>
        <v>#N/A</v>
      </c>
      <c r="AAO43" s="380" t="e">
        <f t="shared" si="15"/>
        <v>#N/A</v>
      </c>
      <c r="AAP43" s="380" t="e">
        <f t="shared" si="15"/>
        <v>#N/A</v>
      </c>
      <c r="AAQ43" s="380" t="e">
        <f t="shared" si="15"/>
        <v>#N/A</v>
      </c>
      <c r="AAR43" s="380" t="e">
        <f t="shared" si="15"/>
        <v>#N/A</v>
      </c>
      <c r="AAS43" s="380" t="e">
        <f t="shared" si="15"/>
        <v>#N/A</v>
      </c>
      <c r="AAT43" s="380" t="e">
        <f t="shared" si="15"/>
        <v>#N/A</v>
      </c>
      <c r="AAU43" s="380" t="e">
        <f t="shared" si="15"/>
        <v>#N/A</v>
      </c>
      <c r="AAV43" s="380" t="e">
        <f t="shared" si="15"/>
        <v>#N/A</v>
      </c>
      <c r="AAW43" s="380" t="e">
        <f t="shared" si="15"/>
        <v>#N/A</v>
      </c>
      <c r="AAX43" s="380" t="e">
        <f t="shared" si="15"/>
        <v>#N/A</v>
      </c>
      <c r="AAY43" s="380" t="e">
        <f t="shared" si="15"/>
        <v>#N/A</v>
      </c>
      <c r="AAZ43" s="380" t="e">
        <f t="shared" si="15"/>
        <v>#N/A</v>
      </c>
      <c r="ABA43" s="380" t="e">
        <f t="shared" si="15"/>
        <v>#N/A</v>
      </c>
      <c r="ABB43" s="380" t="e">
        <f t="shared" si="15"/>
        <v>#N/A</v>
      </c>
      <c r="ABC43" s="380" t="e">
        <f t="shared" si="15"/>
        <v>#N/A</v>
      </c>
      <c r="ABD43" s="380" t="e">
        <f t="shared" si="15"/>
        <v>#N/A</v>
      </c>
      <c r="ABE43" s="380" t="e">
        <f t="shared" si="15"/>
        <v>#N/A</v>
      </c>
      <c r="ABF43" s="380" t="e">
        <f t="shared" si="15"/>
        <v>#N/A</v>
      </c>
      <c r="ABG43" s="380" t="e">
        <f t="shared" si="15"/>
        <v>#N/A</v>
      </c>
      <c r="ABH43" s="380" t="e">
        <f t="shared" si="15"/>
        <v>#N/A</v>
      </c>
      <c r="ABI43" s="380" t="e">
        <f t="shared" si="15"/>
        <v>#N/A</v>
      </c>
      <c r="ABJ43" s="380" t="e">
        <f t="shared" si="15"/>
        <v>#N/A</v>
      </c>
      <c r="ABK43" s="380" t="e">
        <f t="shared" si="15"/>
        <v>#N/A</v>
      </c>
      <c r="ABL43" s="380" t="e">
        <f t="shared" si="15"/>
        <v>#N/A</v>
      </c>
      <c r="ABM43" s="380" t="e">
        <f t="shared" si="15"/>
        <v>#N/A</v>
      </c>
      <c r="ABN43" s="380" t="e">
        <f t="shared" si="15"/>
        <v>#N/A</v>
      </c>
      <c r="ABO43" s="380" t="e">
        <f t="shared" si="15"/>
        <v>#N/A</v>
      </c>
      <c r="ABP43" s="380" t="e">
        <f t="shared" si="15"/>
        <v>#N/A</v>
      </c>
      <c r="ABQ43" s="380" t="e">
        <f t="shared" si="15"/>
        <v>#N/A</v>
      </c>
      <c r="ABR43" s="380" t="e">
        <f t="shared" si="15"/>
        <v>#N/A</v>
      </c>
      <c r="ABS43" s="380" t="e">
        <f t="shared" si="15"/>
        <v>#N/A</v>
      </c>
      <c r="ABT43" s="380" t="e">
        <f t="shared" si="15"/>
        <v>#N/A</v>
      </c>
      <c r="ABU43" s="380" t="e">
        <f t="shared" si="15"/>
        <v>#N/A</v>
      </c>
      <c r="ABV43" s="380" t="e">
        <f t="shared" si="15"/>
        <v>#N/A</v>
      </c>
      <c r="ABW43" s="380" t="e">
        <f t="shared" si="15"/>
        <v>#N/A</v>
      </c>
      <c r="ABX43" s="380" t="e">
        <f t="shared" si="15"/>
        <v>#N/A</v>
      </c>
      <c r="ABY43" s="380" t="e">
        <f t="shared" si="15"/>
        <v>#N/A</v>
      </c>
      <c r="ABZ43" s="380" t="e">
        <f t="shared" si="15"/>
        <v>#N/A</v>
      </c>
      <c r="ACA43" s="380" t="e">
        <f t="shared" si="15"/>
        <v>#N/A</v>
      </c>
      <c r="ACB43" s="380" t="e">
        <f t="shared" si="15"/>
        <v>#N/A</v>
      </c>
      <c r="ACC43" s="380" t="e">
        <f t="shared" si="15"/>
        <v>#N/A</v>
      </c>
      <c r="ACD43" s="380" t="e">
        <f t="shared" si="15"/>
        <v>#N/A</v>
      </c>
      <c r="ACE43" s="380" t="e">
        <f t="shared" si="15"/>
        <v>#N/A</v>
      </c>
      <c r="ACF43" s="380" t="e">
        <f t="shared" si="15"/>
        <v>#N/A</v>
      </c>
      <c r="ACG43" s="380" t="e">
        <f t="shared" si="15"/>
        <v>#N/A</v>
      </c>
      <c r="ACH43" s="380" t="e">
        <f t="shared" si="15"/>
        <v>#N/A</v>
      </c>
      <c r="ACI43" s="380" t="e">
        <f t="shared" si="15"/>
        <v>#N/A</v>
      </c>
      <c r="ACJ43" s="380" t="e">
        <f t="shared" si="15"/>
        <v>#N/A</v>
      </c>
      <c r="ACK43" s="380" t="e">
        <f t="shared" si="15"/>
        <v>#N/A</v>
      </c>
      <c r="ACL43" s="380" t="e">
        <f t="shared" si="15"/>
        <v>#N/A</v>
      </c>
      <c r="ACM43" s="380" t="e">
        <f t="shared" si="15"/>
        <v>#N/A</v>
      </c>
      <c r="ACN43" s="380" t="e">
        <f t="shared" si="15"/>
        <v>#N/A</v>
      </c>
      <c r="ACO43" s="380" t="e">
        <f t="shared" si="15"/>
        <v>#N/A</v>
      </c>
      <c r="ACP43" s="380" t="e">
        <f t="shared" si="15"/>
        <v>#N/A</v>
      </c>
      <c r="ACQ43" s="380" t="e">
        <f t="shared" si="15"/>
        <v>#N/A</v>
      </c>
      <c r="ACR43" s="380" t="e">
        <f t="shared" si="15"/>
        <v>#N/A</v>
      </c>
      <c r="ACS43" s="380" t="e">
        <f t="shared" si="15"/>
        <v>#N/A</v>
      </c>
      <c r="ACT43" s="380" t="e">
        <f t="shared" si="15"/>
        <v>#N/A</v>
      </c>
      <c r="ACU43" s="380" t="e">
        <f t="shared" si="15"/>
        <v>#N/A</v>
      </c>
      <c r="ACV43" s="380" t="e">
        <f t="shared" ref="ACV43:AFG43" si="16">INDEX(ACV7:ACV40,MATCH($E$43,$E$7:$E$40,0))</f>
        <v>#N/A</v>
      </c>
      <c r="ACW43" s="380" t="e">
        <f t="shared" si="16"/>
        <v>#N/A</v>
      </c>
      <c r="ACX43" s="380" t="e">
        <f t="shared" si="16"/>
        <v>#N/A</v>
      </c>
      <c r="ACY43" s="380" t="e">
        <f t="shared" si="16"/>
        <v>#N/A</v>
      </c>
      <c r="ACZ43" s="380" t="e">
        <f t="shared" si="16"/>
        <v>#N/A</v>
      </c>
      <c r="ADA43" s="380" t="e">
        <f t="shared" si="16"/>
        <v>#N/A</v>
      </c>
      <c r="ADB43" s="380" t="e">
        <f t="shared" si="16"/>
        <v>#N/A</v>
      </c>
      <c r="ADC43" s="380" t="e">
        <f t="shared" si="16"/>
        <v>#N/A</v>
      </c>
      <c r="ADD43" s="380" t="e">
        <f t="shared" si="16"/>
        <v>#N/A</v>
      </c>
      <c r="ADE43" s="380" t="e">
        <f t="shared" si="16"/>
        <v>#N/A</v>
      </c>
      <c r="ADF43" s="380" t="e">
        <f t="shared" si="16"/>
        <v>#N/A</v>
      </c>
      <c r="ADG43" s="380" t="e">
        <f t="shared" si="16"/>
        <v>#N/A</v>
      </c>
      <c r="ADH43" s="380" t="e">
        <f t="shared" si="16"/>
        <v>#N/A</v>
      </c>
      <c r="ADI43" s="380" t="e">
        <f t="shared" si="16"/>
        <v>#N/A</v>
      </c>
      <c r="ADJ43" s="380" t="e">
        <f t="shared" si="16"/>
        <v>#N/A</v>
      </c>
      <c r="ADK43" s="380" t="e">
        <f t="shared" si="16"/>
        <v>#N/A</v>
      </c>
      <c r="ADL43" s="380" t="e">
        <f t="shared" si="16"/>
        <v>#N/A</v>
      </c>
      <c r="ADM43" s="380" t="e">
        <f t="shared" si="16"/>
        <v>#N/A</v>
      </c>
      <c r="ADN43" s="380" t="e">
        <f t="shared" si="16"/>
        <v>#N/A</v>
      </c>
      <c r="ADO43" s="380" t="e">
        <f t="shared" si="16"/>
        <v>#N/A</v>
      </c>
      <c r="ADP43" s="380" t="e">
        <f t="shared" si="16"/>
        <v>#N/A</v>
      </c>
      <c r="ADQ43" s="380" t="e">
        <f t="shared" si="16"/>
        <v>#N/A</v>
      </c>
      <c r="ADR43" s="380" t="e">
        <f t="shared" si="16"/>
        <v>#N/A</v>
      </c>
      <c r="ADS43" s="380" t="e">
        <f t="shared" si="16"/>
        <v>#N/A</v>
      </c>
      <c r="ADT43" s="380" t="e">
        <f t="shared" si="16"/>
        <v>#N/A</v>
      </c>
      <c r="ADU43" s="380" t="e">
        <f t="shared" si="16"/>
        <v>#N/A</v>
      </c>
      <c r="ADV43" s="380" t="e">
        <f t="shared" si="16"/>
        <v>#N/A</v>
      </c>
      <c r="ADW43" s="380" t="e">
        <f t="shared" si="16"/>
        <v>#N/A</v>
      </c>
      <c r="ADX43" s="380" t="e">
        <f t="shared" si="16"/>
        <v>#N/A</v>
      </c>
      <c r="ADY43" s="380" t="e">
        <f t="shared" si="16"/>
        <v>#N/A</v>
      </c>
      <c r="ADZ43" s="380" t="e">
        <f t="shared" si="16"/>
        <v>#N/A</v>
      </c>
      <c r="AEA43" s="380" t="e">
        <f t="shared" si="16"/>
        <v>#N/A</v>
      </c>
      <c r="AEB43" s="380" t="e">
        <f t="shared" si="16"/>
        <v>#N/A</v>
      </c>
      <c r="AEC43" s="380" t="e">
        <f t="shared" si="16"/>
        <v>#N/A</v>
      </c>
      <c r="AED43" s="380" t="e">
        <f t="shared" si="16"/>
        <v>#N/A</v>
      </c>
      <c r="AEE43" s="380" t="e">
        <f t="shared" si="16"/>
        <v>#N/A</v>
      </c>
      <c r="AEF43" s="380" t="e">
        <f t="shared" si="16"/>
        <v>#N/A</v>
      </c>
      <c r="AEG43" s="380" t="e">
        <f t="shared" si="16"/>
        <v>#N/A</v>
      </c>
      <c r="AEH43" s="380" t="e">
        <f t="shared" si="16"/>
        <v>#N/A</v>
      </c>
      <c r="AEI43" s="380" t="e">
        <f t="shared" si="16"/>
        <v>#N/A</v>
      </c>
      <c r="AEJ43" s="380" t="e">
        <f t="shared" si="16"/>
        <v>#N/A</v>
      </c>
      <c r="AEK43" s="380" t="e">
        <f t="shared" si="16"/>
        <v>#N/A</v>
      </c>
      <c r="AEL43" s="380" t="e">
        <f t="shared" si="16"/>
        <v>#N/A</v>
      </c>
      <c r="AEM43" s="380" t="e">
        <f t="shared" si="16"/>
        <v>#N/A</v>
      </c>
      <c r="AEN43" s="380" t="e">
        <f t="shared" si="16"/>
        <v>#N/A</v>
      </c>
      <c r="AEO43" s="380" t="e">
        <f t="shared" si="16"/>
        <v>#N/A</v>
      </c>
      <c r="AEP43" s="380" t="e">
        <f t="shared" si="16"/>
        <v>#N/A</v>
      </c>
      <c r="AEQ43" s="380" t="e">
        <f t="shared" si="16"/>
        <v>#N/A</v>
      </c>
      <c r="AER43" s="380" t="e">
        <f t="shared" si="16"/>
        <v>#N/A</v>
      </c>
      <c r="AES43" s="380" t="e">
        <f t="shared" si="16"/>
        <v>#N/A</v>
      </c>
      <c r="AET43" s="380" t="e">
        <f t="shared" si="16"/>
        <v>#N/A</v>
      </c>
      <c r="AEU43" s="380" t="e">
        <f t="shared" si="16"/>
        <v>#N/A</v>
      </c>
      <c r="AEV43" s="380" t="e">
        <f t="shared" si="16"/>
        <v>#N/A</v>
      </c>
      <c r="AEW43" s="380" t="e">
        <f t="shared" si="16"/>
        <v>#N/A</v>
      </c>
      <c r="AEX43" s="380" t="e">
        <f t="shared" si="16"/>
        <v>#N/A</v>
      </c>
      <c r="AEY43" s="380" t="e">
        <f t="shared" si="16"/>
        <v>#N/A</v>
      </c>
      <c r="AEZ43" s="380" t="e">
        <f t="shared" si="16"/>
        <v>#N/A</v>
      </c>
      <c r="AFA43" s="380" t="e">
        <f t="shared" si="16"/>
        <v>#N/A</v>
      </c>
      <c r="AFB43" s="380" t="e">
        <f t="shared" si="16"/>
        <v>#N/A</v>
      </c>
      <c r="AFC43" s="380" t="e">
        <f t="shared" si="16"/>
        <v>#N/A</v>
      </c>
      <c r="AFD43" s="380" t="e">
        <f t="shared" si="16"/>
        <v>#N/A</v>
      </c>
      <c r="AFE43" s="380" t="e">
        <f t="shared" si="16"/>
        <v>#N/A</v>
      </c>
      <c r="AFF43" s="380" t="e">
        <f t="shared" si="16"/>
        <v>#N/A</v>
      </c>
      <c r="AFG43" s="380" t="e">
        <f t="shared" si="16"/>
        <v>#N/A</v>
      </c>
      <c r="AFH43" s="380" t="e">
        <f t="shared" ref="AFH43:AHS43" si="17">INDEX(AFH7:AFH40,MATCH($E$43,$E$7:$E$40,0))</f>
        <v>#N/A</v>
      </c>
      <c r="AFI43" s="380" t="e">
        <f t="shared" si="17"/>
        <v>#N/A</v>
      </c>
      <c r="AFJ43" s="380" t="e">
        <f t="shared" si="17"/>
        <v>#N/A</v>
      </c>
      <c r="AFK43" s="380" t="e">
        <f t="shared" si="17"/>
        <v>#N/A</v>
      </c>
      <c r="AFL43" s="380" t="e">
        <f t="shared" si="17"/>
        <v>#N/A</v>
      </c>
      <c r="AFM43" s="380" t="e">
        <f t="shared" si="17"/>
        <v>#N/A</v>
      </c>
      <c r="AFN43" s="380" t="e">
        <f t="shared" si="17"/>
        <v>#N/A</v>
      </c>
      <c r="AFO43" s="380" t="e">
        <f t="shared" si="17"/>
        <v>#N/A</v>
      </c>
      <c r="AFP43" s="380" t="e">
        <f t="shared" si="17"/>
        <v>#N/A</v>
      </c>
      <c r="AFQ43" s="380" t="e">
        <f t="shared" si="17"/>
        <v>#N/A</v>
      </c>
      <c r="AFR43" s="380" t="e">
        <f t="shared" si="17"/>
        <v>#N/A</v>
      </c>
      <c r="AFS43" s="380" t="e">
        <f t="shared" si="17"/>
        <v>#N/A</v>
      </c>
      <c r="AFT43" s="380" t="e">
        <f t="shared" si="17"/>
        <v>#N/A</v>
      </c>
      <c r="AFU43" s="380" t="e">
        <f t="shared" si="17"/>
        <v>#N/A</v>
      </c>
      <c r="AFV43" s="380" t="e">
        <f t="shared" si="17"/>
        <v>#N/A</v>
      </c>
      <c r="AFW43" s="380" t="e">
        <f t="shared" si="17"/>
        <v>#N/A</v>
      </c>
      <c r="AFX43" s="380" t="e">
        <f t="shared" si="17"/>
        <v>#N/A</v>
      </c>
      <c r="AFY43" s="380" t="e">
        <f t="shared" si="17"/>
        <v>#N/A</v>
      </c>
      <c r="AFZ43" s="380" t="e">
        <f t="shared" si="17"/>
        <v>#N/A</v>
      </c>
      <c r="AGA43" s="380" t="e">
        <f t="shared" si="17"/>
        <v>#N/A</v>
      </c>
      <c r="AGB43" s="380" t="e">
        <f t="shared" si="17"/>
        <v>#N/A</v>
      </c>
      <c r="AGC43" s="380" t="e">
        <f t="shared" si="17"/>
        <v>#N/A</v>
      </c>
      <c r="AGD43" s="380" t="e">
        <f t="shared" si="17"/>
        <v>#N/A</v>
      </c>
      <c r="AGE43" s="380" t="e">
        <f t="shared" si="17"/>
        <v>#N/A</v>
      </c>
      <c r="AGF43" s="380" t="e">
        <f t="shared" si="17"/>
        <v>#N/A</v>
      </c>
      <c r="AGG43" s="380" t="e">
        <f t="shared" si="17"/>
        <v>#N/A</v>
      </c>
      <c r="AGH43" s="380" t="e">
        <f t="shared" si="17"/>
        <v>#N/A</v>
      </c>
      <c r="AGI43" s="380" t="e">
        <f t="shared" si="17"/>
        <v>#N/A</v>
      </c>
      <c r="AGJ43" s="380" t="e">
        <f t="shared" si="17"/>
        <v>#N/A</v>
      </c>
      <c r="AGK43" s="380" t="e">
        <f t="shared" si="17"/>
        <v>#N/A</v>
      </c>
      <c r="AGL43" s="380" t="e">
        <f t="shared" si="17"/>
        <v>#N/A</v>
      </c>
      <c r="AGM43" s="380" t="e">
        <f t="shared" si="17"/>
        <v>#N/A</v>
      </c>
      <c r="AGN43" s="380" t="e">
        <f t="shared" si="17"/>
        <v>#N/A</v>
      </c>
      <c r="AGO43" s="380" t="e">
        <f t="shared" si="17"/>
        <v>#N/A</v>
      </c>
      <c r="AGP43" s="380" t="e">
        <f t="shared" si="17"/>
        <v>#N/A</v>
      </c>
      <c r="AGQ43" s="380" t="e">
        <f t="shared" si="17"/>
        <v>#N/A</v>
      </c>
      <c r="AGR43" s="380" t="e">
        <f t="shared" si="17"/>
        <v>#N/A</v>
      </c>
      <c r="AGS43" s="380" t="e">
        <f t="shared" si="17"/>
        <v>#N/A</v>
      </c>
      <c r="AGT43" s="380" t="e">
        <f t="shared" si="17"/>
        <v>#N/A</v>
      </c>
      <c r="AGU43" s="380" t="e">
        <f t="shared" si="17"/>
        <v>#N/A</v>
      </c>
      <c r="AGV43" s="380" t="e">
        <f t="shared" si="17"/>
        <v>#N/A</v>
      </c>
      <c r="AGW43" s="380" t="e">
        <f t="shared" si="17"/>
        <v>#N/A</v>
      </c>
      <c r="AGX43" s="380" t="e">
        <f t="shared" si="17"/>
        <v>#N/A</v>
      </c>
      <c r="AGY43" s="380" t="e">
        <f t="shared" si="17"/>
        <v>#N/A</v>
      </c>
      <c r="AGZ43" s="380" t="e">
        <f t="shared" si="17"/>
        <v>#N/A</v>
      </c>
      <c r="AHA43" s="380" t="e">
        <f t="shared" si="17"/>
        <v>#N/A</v>
      </c>
      <c r="AHB43" s="380" t="e">
        <f t="shared" si="17"/>
        <v>#N/A</v>
      </c>
      <c r="AHC43" s="380" t="e">
        <f t="shared" si="17"/>
        <v>#N/A</v>
      </c>
      <c r="AHD43" s="380" t="e">
        <f t="shared" si="17"/>
        <v>#N/A</v>
      </c>
      <c r="AHE43" s="380" t="e">
        <f t="shared" si="17"/>
        <v>#N/A</v>
      </c>
      <c r="AHF43" s="380" t="e">
        <f t="shared" si="17"/>
        <v>#N/A</v>
      </c>
      <c r="AHG43" s="380" t="e">
        <f t="shared" si="17"/>
        <v>#N/A</v>
      </c>
      <c r="AHH43" s="380" t="e">
        <f t="shared" si="17"/>
        <v>#N/A</v>
      </c>
      <c r="AHI43" s="380" t="e">
        <f t="shared" si="17"/>
        <v>#N/A</v>
      </c>
      <c r="AHJ43" s="380" t="e">
        <f t="shared" si="17"/>
        <v>#N/A</v>
      </c>
      <c r="AHK43" s="380" t="e">
        <f t="shared" si="17"/>
        <v>#N/A</v>
      </c>
      <c r="AHL43" s="380" t="e">
        <f t="shared" si="17"/>
        <v>#N/A</v>
      </c>
      <c r="AHM43" s="380" t="e">
        <f t="shared" si="17"/>
        <v>#N/A</v>
      </c>
      <c r="AHN43" s="380" t="e">
        <f t="shared" si="17"/>
        <v>#N/A</v>
      </c>
      <c r="AHO43" s="380" t="e">
        <f t="shared" si="17"/>
        <v>#N/A</v>
      </c>
      <c r="AHP43" s="380" t="e">
        <f t="shared" si="17"/>
        <v>#N/A</v>
      </c>
      <c r="AHQ43" s="380" t="e">
        <f t="shared" si="17"/>
        <v>#N/A</v>
      </c>
      <c r="AHR43" s="380" t="e">
        <f t="shared" si="17"/>
        <v>#N/A</v>
      </c>
      <c r="AHS43" s="380" t="e">
        <f t="shared" si="17"/>
        <v>#N/A</v>
      </c>
      <c r="AHT43" s="380" t="e">
        <f t="shared" ref="AHT43:AKE43" si="18">INDEX(AHT7:AHT40,MATCH($E$43,$E$7:$E$40,0))</f>
        <v>#N/A</v>
      </c>
      <c r="AHU43" s="380" t="e">
        <f t="shared" si="18"/>
        <v>#N/A</v>
      </c>
      <c r="AHV43" s="380" t="e">
        <f t="shared" si="18"/>
        <v>#N/A</v>
      </c>
      <c r="AHW43" s="380" t="e">
        <f t="shared" si="18"/>
        <v>#N/A</v>
      </c>
      <c r="AHX43" s="380" t="e">
        <f t="shared" si="18"/>
        <v>#N/A</v>
      </c>
      <c r="AHY43" s="380" t="e">
        <f t="shared" si="18"/>
        <v>#N/A</v>
      </c>
      <c r="AHZ43" s="380" t="e">
        <f t="shared" si="18"/>
        <v>#N/A</v>
      </c>
      <c r="AIA43" s="380" t="e">
        <f t="shared" si="18"/>
        <v>#N/A</v>
      </c>
      <c r="AIB43" s="380" t="e">
        <f t="shared" si="18"/>
        <v>#N/A</v>
      </c>
      <c r="AIC43" s="380" t="e">
        <f t="shared" si="18"/>
        <v>#N/A</v>
      </c>
      <c r="AID43" s="380" t="e">
        <f t="shared" si="18"/>
        <v>#N/A</v>
      </c>
      <c r="AIE43" s="380" t="e">
        <f t="shared" si="18"/>
        <v>#N/A</v>
      </c>
      <c r="AIF43" s="380" t="e">
        <f t="shared" si="18"/>
        <v>#N/A</v>
      </c>
      <c r="AIG43" s="380" t="e">
        <f t="shared" si="18"/>
        <v>#N/A</v>
      </c>
      <c r="AIH43" s="380" t="e">
        <f t="shared" si="18"/>
        <v>#N/A</v>
      </c>
      <c r="AII43" s="380" t="e">
        <f t="shared" si="18"/>
        <v>#N/A</v>
      </c>
      <c r="AIJ43" s="380" t="e">
        <f t="shared" si="18"/>
        <v>#N/A</v>
      </c>
      <c r="AIK43" s="380" t="e">
        <f t="shared" si="18"/>
        <v>#N/A</v>
      </c>
      <c r="AIL43" s="380" t="e">
        <f t="shared" si="18"/>
        <v>#N/A</v>
      </c>
      <c r="AIM43" s="380" t="e">
        <f t="shared" si="18"/>
        <v>#N/A</v>
      </c>
      <c r="AIN43" s="380" t="e">
        <f t="shared" si="18"/>
        <v>#N/A</v>
      </c>
      <c r="AIO43" s="380" t="e">
        <f t="shared" si="18"/>
        <v>#N/A</v>
      </c>
      <c r="AIP43" s="380" t="e">
        <f t="shared" si="18"/>
        <v>#N/A</v>
      </c>
      <c r="AIQ43" s="380" t="e">
        <f t="shared" si="18"/>
        <v>#N/A</v>
      </c>
      <c r="AIR43" s="380" t="e">
        <f t="shared" si="18"/>
        <v>#N/A</v>
      </c>
      <c r="AIS43" s="380" t="e">
        <f t="shared" si="18"/>
        <v>#N/A</v>
      </c>
      <c r="AIT43" s="380" t="e">
        <f t="shared" si="18"/>
        <v>#N/A</v>
      </c>
      <c r="AIU43" s="380" t="e">
        <f t="shared" si="18"/>
        <v>#N/A</v>
      </c>
      <c r="AIV43" s="380" t="e">
        <f t="shared" si="18"/>
        <v>#N/A</v>
      </c>
      <c r="AIW43" s="380" t="e">
        <f t="shared" si="18"/>
        <v>#N/A</v>
      </c>
      <c r="AIX43" s="380" t="e">
        <f t="shared" si="18"/>
        <v>#N/A</v>
      </c>
      <c r="AIY43" s="380" t="e">
        <f t="shared" si="18"/>
        <v>#N/A</v>
      </c>
      <c r="AIZ43" s="380" t="e">
        <f t="shared" si="18"/>
        <v>#N/A</v>
      </c>
      <c r="AJA43" s="380" t="e">
        <f t="shared" si="18"/>
        <v>#N/A</v>
      </c>
      <c r="AJB43" s="380" t="e">
        <f t="shared" si="18"/>
        <v>#N/A</v>
      </c>
      <c r="AJC43" s="380" t="e">
        <f t="shared" si="18"/>
        <v>#N/A</v>
      </c>
      <c r="AJD43" s="380" t="e">
        <f t="shared" si="18"/>
        <v>#N/A</v>
      </c>
      <c r="AJE43" s="380" t="e">
        <f t="shared" si="18"/>
        <v>#N/A</v>
      </c>
      <c r="AJF43" s="380" t="e">
        <f t="shared" si="18"/>
        <v>#N/A</v>
      </c>
      <c r="AJG43" s="380" t="e">
        <f t="shared" si="18"/>
        <v>#N/A</v>
      </c>
      <c r="AJH43" s="380" t="e">
        <f t="shared" si="18"/>
        <v>#N/A</v>
      </c>
      <c r="AJI43" s="380" t="e">
        <f t="shared" si="18"/>
        <v>#N/A</v>
      </c>
      <c r="AJJ43" s="380" t="e">
        <f t="shared" si="18"/>
        <v>#N/A</v>
      </c>
      <c r="AJK43" s="380" t="e">
        <f t="shared" si="18"/>
        <v>#N/A</v>
      </c>
      <c r="AJL43" s="380" t="e">
        <f t="shared" si="18"/>
        <v>#N/A</v>
      </c>
      <c r="AJM43" s="380" t="e">
        <f t="shared" si="18"/>
        <v>#N/A</v>
      </c>
      <c r="AJN43" s="380" t="e">
        <f t="shared" si="18"/>
        <v>#N/A</v>
      </c>
      <c r="AJO43" s="380" t="e">
        <f t="shared" si="18"/>
        <v>#N/A</v>
      </c>
      <c r="AJP43" s="380" t="e">
        <f t="shared" si="18"/>
        <v>#N/A</v>
      </c>
      <c r="AJQ43" s="380" t="e">
        <f t="shared" si="18"/>
        <v>#N/A</v>
      </c>
      <c r="AJR43" s="380" t="e">
        <f t="shared" si="18"/>
        <v>#N/A</v>
      </c>
      <c r="AJS43" s="380" t="e">
        <f t="shared" si="18"/>
        <v>#N/A</v>
      </c>
      <c r="AJT43" s="380" t="e">
        <f t="shared" si="18"/>
        <v>#N/A</v>
      </c>
      <c r="AJU43" s="380" t="e">
        <f t="shared" si="18"/>
        <v>#N/A</v>
      </c>
      <c r="AJV43" s="380" t="e">
        <f t="shared" si="18"/>
        <v>#N/A</v>
      </c>
      <c r="AJW43" s="380" t="e">
        <f t="shared" si="18"/>
        <v>#N/A</v>
      </c>
      <c r="AJX43" s="380" t="e">
        <f t="shared" si="18"/>
        <v>#N/A</v>
      </c>
      <c r="AJY43" s="380" t="e">
        <f t="shared" si="18"/>
        <v>#N/A</v>
      </c>
      <c r="AJZ43" s="380" t="e">
        <f t="shared" si="18"/>
        <v>#N/A</v>
      </c>
      <c r="AKA43" s="380" t="e">
        <f t="shared" si="18"/>
        <v>#N/A</v>
      </c>
      <c r="AKB43" s="380" t="e">
        <f t="shared" si="18"/>
        <v>#N/A</v>
      </c>
      <c r="AKC43" s="380" t="e">
        <f t="shared" si="18"/>
        <v>#N/A</v>
      </c>
      <c r="AKD43" s="380" t="e">
        <f t="shared" si="18"/>
        <v>#N/A</v>
      </c>
      <c r="AKE43" s="380" t="e">
        <f t="shared" si="18"/>
        <v>#N/A</v>
      </c>
      <c r="AKF43" s="380" t="e">
        <f t="shared" ref="AKF43:AMQ43" si="19">INDEX(AKF7:AKF40,MATCH($E$43,$E$7:$E$40,0))</f>
        <v>#N/A</v>
      </c>
      <c r="AKG43" s="380" t="e">
        <f t="shared" si="19"/>
        <v>#N/A</v>
      </c>
      <c r="AKH43" s="380" t="e">
        <f t="shared" si="19"/>
        <v>#N/A</v>
      </c>
      <c r="AKI43" s="380" t="e">
        <f t="shared" si="19"/>
        <v>#N/A</v>
      </c>
      <c r="AKJ43" s="380" t="e">
        <f t="shared" si="19"/>
        <v>#N/A</v>
      </c>
      <c r="AKK43" s="380" t="e">
        <f t="shared" si="19"/>
        <v>#N/A</v>
      </c>
      <c r="AKL43" s="380" t="e">
        <f t="shared" si="19"/>
        <v>#N/A</v>
      </c>
      <c r="AKM43" s="380" t="e">
        <f t="shared" si="19"/>
        <v>#N/A</v>
      </c>
      <c r="AKN43" s="380" t="e">
        <f t="shared" si="19"/>
        <v>#N/A</v>
      </c>
      <c r="AKO43" s="380" t="e">
        <f t="shared" si="19"/>
        <v>#N/A</v>
      </c>
      <c r="AKP43" s="380" t="e">
        <f t="shared" si="19"/>
        <v>#N/A</v>
      </c>
      <c r="AKQ43" s="380" t="e">
        <f t="shared" si="19"/>
        <v>#N/A</v>
      </c>
      <c r="AKR43" s="380" t="e">
        <f t="shared" si="19"/>
        <v>#N/A</v>
      </c>
      <c r="AKS43" s="380" t="e">
        <f t="shared" si="19"/>
        <v>#N/A</v>
      </c>
      <c r="AKT43" s="380" t="e">
        <f t="shared" si="19"/>
        <v>#N/A</v>
      </c>
      <c r="AKU43" s="380" t="e">
        <f t="shared" si="19"/>
        <v>#N/A</v>
      </c>
      <c r="AKV43" s="380" t="e">
        <f t="shared" si="19"/>
        <v>#N/A</v>
      </c>
      <c r="AKW43" s="380" t="e">
        <f t="shared" si="19"/>
        <v>#N/A</v>
      </c>
      <c r="AKX43" s="380" t="e">
        <f t="shared" si="19"/>
        <v>#N/A</v>
      </c>
      <c r="AKY43" s="380" t="e">
        <f t="shared" si="19"/>
        <v>#N/A</v>
      </c>
      <c r="AKZ43" s="380" t="e">
        <f t="shared" si="19"/>
        <v>#N/A</v>
      </c>
      <c r="ALA43" s="380" t="e">
        <f t="shared" si="19"/>
        <v>#N/A</v>
      </c>
      <c r="ALB43" s="380" t="e">
        <f t="shared" si="19"/>
        <v>#N/A</v>
      </c>
      <c r="ALC43" s="380" t="e">
        <f t="shared" si="19"/>
        <v>#N/A</v>
      </c>
      <c r="ALD43" s="380" t="e">
        <f t="shared" si="19"/>
        <v>#N/A</v>
      </c>
      <c r="ALE43" s="380" t="e">
        <f t="shared" si="19"/>
        <v>#N/A</v>
      </c>
      <c r="ALF43" s="380" t="e">
        <f t="shared" si="19"/>
        <v>#N/A</v>
      </c>
      <c r="ALG43" s="380" t="e">
        <f t="shared" si="19"/>
        <v>#N/A</v>
      </c>
      <c r="ALH43" s="380" t="e">
        <f t="shared" si="19"/>
        <v>#N/A</v>
      </c>
      <c r="ALI43" s="380" t="e">
        <f t="shared" si="19"/>
        <v>#N/A</v>
      </c>
      <c r="ALJ43" s="380" t="e">
        <f t="shared" si="19"/>
        <v>#N/A</v>
      </c>
      <c r="ALK43" s="380" t="e">
        <f t="shared" si="19"/>
        <v>#N/A</v>
      </c>
      <c r="ALL43" s="380" t="e">
        <f t="shared" si="19"/>
        <v>#N/A</v>
      </c>
      <c r="ALM43" s="380" t="e">
        <f t="shared" si="19"/>
        <v>#N/A</v>
      </c>
      <c r="ALN43" s="380" t="e">
        <f t="shared" si="19"/>
        <v>#N/A</v>
      </c>
      <c r="ALO43" s="380" t="e">
        <f t="shared" si="19"/>
        <v>#N/A</v>
      </c>
      <c r="ALP43" s="380" t="e">
        <f t="shared" si="19"/>
        <v>#N/A</v>
      </c>
      <c r="ALQ43" s="380" t="e">
        <f t="shared" si="19"/>
        <v>#N/A</v>
      </c>
      <c r="ALR43" s="380" t="e">
        <f t="shared" si="19"/>
        <v>#N/A</v>
      </c>
      <c r="ALS43" s="380" t="e">
        <f t="shared" si="19"/>
        <v>#N/A</v>
      </c>
      <c r="ALT43" s="380" t="e">
        <f t="shared" si="19"/>
        <v>#N/A</v>
      </c>
      <c r="ALU43" s="380" t="e">
        <f t="shared" si="19"/>
        <v>#N/A</v>
      </c>
      <c r="ALV43" s="380" t="e">
        <f t="shared" si="19"/>
        <v>#N/A</v>
      </c>
      <c r="ALW43" s="380" t="e">
        <f t="shared" si="19"/>
        <v>#N/A</v>
      </c>
      <c r="ALX43" s="380" t="e">
        <f t="shared" si="19"/>
        <v>#N/A</v>
      </c>
      <c r="ALY43" s="380" t="e">
        <f t="shared" si="19"/>
        <v>#N/A</v>
      </c>
      <c r="ALZ43" s="380" t="e">
        <f t="shared" si="19"/>
        <v>#N/A</v>
      </c>
      <c r="AMA43" s="380" t="e">
        <f t="shared" si="19"/>
        <v>#N/A</v>
      </c>
      <c r="AMB43" s="380" t="e">
        <f t="shared" si="19"/>
        <v>#N/A</v>
      </c>
      <c r="AMC43" s="380" t="e">
        <f t="shared" si="19"/>
        <v>#N/A</v>
      </c>
      <c r="AMD43" s="380" t="e">
        <f t="shared" si="19"/>
        <v>#N/A</v>
      </c>
      <c r="AME43" s="380" t="e">
        <f t="shared" si="19"/>
        <v>#N/A</v>
      </c>
      <c r="AMF43" s="380" t="e">
        <f t="shared" si="19"/>
        <v>#N/A</v>
      </c>
      <c r="AMG43" s="380" t="e">
        <f t="shared" si="19"/>
        <v>#N/A</v>
      </c>
      <c r="AMH43" s="380" t="e">
        <f t="shared" si="19"/>
        <v>#N/A</v>
      </c>
      <c r="AMI43" s="380" t="e">
        <f t="shared" si="19"/>
        <v>#N/A</v>
      </c>
      <c r="AMJ43" s="380" t="e">
        <f t="shared" si="19"/>
        <v>#N/A</v>
      </c>
      <c r="AMK43" s="380" t="e">
        <f t="shared" si="19"/>
        <v>#N/A</v>
      </c>
      <c r="AML43" s="380" t="e">
        <f t="shared" si="19"/>
        <v>#N/A</v>
      </c>
      <c r="AMM43" s="380" t="e">
        <f t="shared" si="19"/>
        <v>#N/A</v>
      </c>
      <c r="AMN43" s="380" t="e">
        <f t="shared" si="19"/>
        <v>#N/A</v>
      </c>
      <c r="AMO43" s="380" t="e">
        <f t="shared" si="19"/>
        <v>#N/A</v>
      </c>
      <c r="AMP43" s="380" t="e">
        <f t="shared" si="19"/>
        <v>#N/A</v>
      </c>
      <c r="AMQ43" s="380" t="e">
        <f t="shared" si="19"/>
        <v>#N/A</v>
      </c>
      <c r="AMR43" s="380" t="e">
        <f t="shared" ref="AMR43:APC43" si="20">INDEX(AMR7:AMR40,MATCH($E$43,$E$7:$E$40,0))</f>
        <v>#N/A</v>
      </c>
      <c r="AMS43" s="380" t="e">
        <f t="shared" si="20"/>
        <v>#N/A</v>
      </c>
      <c r="AMT43" s="380" t="e">
        <f t="shared" si="20"/>
        <v>#N/A</v>
      </c>
      <c r="AMU43" s="380" t="e">
        <f t="shared" si="20"/>
        <v>#N/A</v>
      </c>
      <c r="AMV43" s="380" t="e">
        <f t="shared" si="20"/>
        <v>#N/A</v>
      </c>
      <c r="AMW43" s="380" t="e">
        <f t="shared" si="20"/>
        <v>#N/A</v>
      </c>
      <c r="AMX43" s="380" t="e">
        <f t="shared" si="20"/>
        <v>#N/A</v>
      </c>
      <c r="AMY43" s="380" t="e">
        <f t="shared" si="20"/>
        <v>#N/A</v>
      </c>
      <c r="AMZ43" s="380" t="e">
        <f t="shared" si="20"/>
        <v>#N/A</v>
      </c>
      <c r="ANA43" s="380" t="e">
        <f t="shared" si="20"/>
        <v>#N/A</v>
      </c>
      <c r="ANB43" s="380" t="e">
        <f t="shared" si="20"/>
        <v>#N/A</v>
      </c>
      <c r="ANC43" s="380" t="e">
        <f t="shared" si="20"/>
        <v>#N/A</v>
      </c>
      <c r="AND43" s="380" t="e">
        <f t="shared" si="20"/>
        <v>#N/A</v>
      </c>
      <c r="ANE43" s="380" t="e">
        <f t="shared" si="20"/>
        <v>#N/A</v>
      </c>
      <c r="ANF43" s="380" t="e">
        <f t="shared" si="20"/>
        <v>#N/A</v>
      </c>
      <c r="ANG43" s="380" t="e">
        <f t="shared" si="20"/>
        <v>#N/A</v>
      </c>
      <c r="ANH43" s="380" t="e">
        <f t="shared" si="20"/>
        <v>#N/A</v>
      </c>
      <c r="ANI43" s="380" t="e">
        <f t="shared" si="20"/>
        <v>#N/A</v>
      </c>
      <c r="ANJ43" s="380" t="e">
        <f t="shared" si="20"/>
        <v>#N/A</v>
      </c>
      <c r="ANK43" s="380" t="e">
        <f t="shared" si="20"/>
        <v>#N/A</v>
      </c>
      <c r="ANL43" s="380" t="e">
        <f t="shared" si="20"/>
        <v>#N/A</v>
      </c>
      <c r="ANM43" s="380" t="e">
        <f t="shared" si="20"/>
        <v>#N/A</v>
      </c>
      <c r="ANN43" s="380" t="e">
        <f t="shared" si="20"/>
        <v>#N/A</v>
      </c>
      <c r="ANO43" s="380" t="e">
        <f t="shared" si="20"/>
        <v>#N/A</v>
      </c>
      <c r="ANP43" s="380" t="e">
        <f t="shared" si="20"/>
        <v>#N/A</v>
      </c>
      <c r="ANQ43" s="380" t="e">
        <f t="shared" si="20"/>
        <v>#N/A</v>
      </c>
      <c r="ANR43" s="380" t="e">
        <f t="shared" si="20"/>
        <v>#N/A</v>
      </c>
      <c r="ANS43" s="380" t="e">
        <f t="shared" si="20"/>
        <v>#N/A</v>
      </c>
      <c r="ANT43" s="380" t="e">
        <f t="shared" si="20"/>
        <v>#N/A</v>
      </c>
      <c r="ANU43" s="380" t="e">
        <f t="shared" si="20"/>
        <v>#N/A</v>
      </c>
      <c r="ANV43" s="380" t="e">
        <f t="shared" si="20"/>
        <v>#N/A</v>
      </c>
      <c r="ANW43" s="380" t="e">
        <f t="shared" si="20"/>
        <v>#N/A</v>
      </c>
      <c r="ANX43" s="380" t="e">
        <f t="shared" si="20"/>
        <v>#N/A</v>
      </c>
      <c r="ANY43" s="380" t="e">
        <f t="shared" si="20"/>
        <v>#N/A</v>
      </c>
      <c r="ANZ43" s="380" t="e">
        <f t="shared" si="20"/>
        <v>#N/A</v>
      </c>
      <c r="AOA43" s="380" t="e">
        <f t="shared" si="20"/>
        <v>#N/A</v>
      </c>
      <c r="AOB43" s="380" t="e">
        <f t="shared" si="20"/>
        <v>#N/A</v>
      </c>
      <c r="AOC43" s="380" t="e">
        <f t="shared" si="20"/>
        <v>#N/A</v>
      </c>
      <c r="AOD43" s="380" t="e">
        <f t="shared" si="20"/>
        <v>#N/A</v>
      </c>
      <c r="AOE43" s="380" t="e">
        <f t="shared" si="20"/>
        <v>#N/A</v>
      </c>
      <c r="AOF43" s="380" t="e">
        <f t="shared" si="20"/>
        <v>#N/A</v>
      </c>
      <c r="AOG43" s="380" t="e">
        <f t="shared" si="20"/>
        <v>#N/A</v>
      </c>
      <c r="AOH43" s="380" t="e">
        <f t="shared" si="20"/>
        <v>#N/A</v>
      </c>
      <c r="AOI43" s="380" t="e">
        <f t="shared" si="20"/>
        <v>#N/A</v>
      </c>
      <c r="AOJ43" s="380" t="e">
        <f t="shared" si="20"/>
        <v>#N/A</v>
      </c>
      <c r="AOK43" s="380" t="e">
        <f t="shared" si="20"/>
        <v>#N/A</v>
      </c>
      <c r="AOL43" s="380" t="e">
        <f t="shared" si="20"/>
        <v>#N/A</v>
      </c>
      <c r="AOM43" s="380" t="e">
        <f t="shared" si="20"/>
        <v>#N/A</v>
      </c>
      <c r="AON43" s="380" t="e">
        <f t="shared" si="20"/>
        <v>#N/A</v>
      </c>
      <c r="AOO43" s="380" t="e">
        <f t="shared" si="20"/>
        <v>#N/A</v>
      </c>
      <c r="AOP43" s="380" t="e">
        <f t="shared" si="20"/>
        <v>#N/A</v>
      </c>
      <c r="AOQ43" s="380" t="e">
        <f t="shared" si="20"/>
        <v>#N/A</v>
      </c>
      <c r="AOR43" s="380" t="e">
        <f t="shared" si="20"/>
        <v>#N/A</v>
      </c>
      <c r="AOS43" s="380" t="e">
        <f t="shared" si="20"/>
        <v>#N/A</v>
      </c>
      <c r="AOT43" s="380" t="e">
        <f t="shared" si="20"/>
        <v>#N/A</v>
      </c>
      <c r="AOU43" s="380" t="e">
        <f t="shared" si="20"/>
        <v>#N/A</v>
      </c>
      <c r="AOV43" s="380" t="e">
        <f t="shared" si="20"/>
        <v>#N/A</v>
      </c>
      <c r="AOW43" s="380" t="e">
        <f t="shared" si="20"/>
        <v>#N/A</v>
      </c>
      <c r="AOX43" s="380" t="e">
        <f t="shared" si="20"/>
        <v>#N/A</v>
      </c>
      <c r="AOY43" s="380" t="e">
        <f t="shared" si="20"/>
        <v>#N/A</v>
      </c>
      <c r="AOZ43" s="380" t="e">
        <f t="shared" si="20"/>
        <v>#N/A</v>
      </c>
      <c r="APA43" s="380" t="e">
        <f t="shared" si="20"/>
        <v>#N/A</v>
      </c>
      <c r="APB43" s="380" t="e">
        <f t="shared" si="20"/>
        <v>#N/A</v>
      </c>
      <c r="APC43" s="380" t="e">
        <f t="shared" si="20"/>
        <v>#N/A</v>
      </c>
      <c r="APD43" s="380" t="e">
        <f t="shared" ref="APD43:ARO43" si="21">INDEX(APD7:APD40,MATCH($E$43,$E$7:$E$40,0))</f>
        <v>#N/A</v>
      </c>
      <c r="APE43" s="380" t="e">
        <f t="shared" si="21"/>
        <v>#N/A</v>
      </c>
      <c r="APF43" s="380" t="e">
        <f t="shared" si="21"/>
        <v>#N/A</v>
      </c>
      <c r="APG43" s="380" t="e">
        <f t="shared" si="21"/>
        <v>#N/A</v>
      </c>
      <c r="APH43" s="380" t="e">
        <f t="shared" si="21"/>
        <v>#N/A</v>
      </c>
      <c r="API43" s="380" t="e">
        <f t="shared" si="21"/>
        <v>#N/A</v>
      </c>
      <c r="APJ43" s="380" t="e">
        <f t="shared" si="21"/>
        <v>#N/A</v>
      </c>
      <c r="APK43" s="380" t="e">
        <f t="shared" si="21"/>
        <v>#N/A</v>
      </c>
      <c r="APL43" s="380" t="e">
        <f t="shared" si="21"/>
        <v>#N/A</v>
      </c>
      <c r="APM43" s="380" t="e">
        <f t="shared" si="21"/>
        <v>#N/A</v>
      </c>
      <c r="APN43" s="380" t="e">
        <f t="shared" si="21"/>
        <v>#N/A</v>
      </c>
      <c r="APO43" s="380" t="e">
        <f t="shared" si="21"/>
        <v>#N/A</v>
      </c>
      <c r="APP43" s="380" t="e">
        <f t="shared" si="21"/>
        <v>#N/A</v>
      </c>
      <c r="APQ43" s="380" t="e">
        <f t="shared" si="21"/>
        <v>#N/A</v>
      </c>
      <c r="APR43" s="380" t="e">
        <f t="shared" si="21"/>
        <v>#N/A</v>
      </c>
      <c r="APS43" s="380" t="e">
        <f t="shared" si="21"/>
        <v>#N/A</v>
      </c>
      <c r="APT43" s="380" t="e">
        <f t="shared" si="21"/>
        <v>#N/A</v>
      </c>
      <c r="APU43" s="380" t="e">
        <f t="shared" si="21"/>
        <v>#N/A</v>
      </c>
      <c r="APV43" s="380" t="e">
        <f t="shared" si="21"/>
        <v>#N/A</v>
      </c>
      <c r="APW43" s="380" t="e">
        <f t="shared" si="21"/>
        <v>#N/A</v>
      </c>
      <c r="APX43" s="380" t="e">
        <f t="shared" si="21"/>
        <v>#N/A</v>
      </c>
      <c r="APY43" s="380" t="e">
        <f t="shared" si="21"/>
        <v>#N/A</v>
      </c>
      <c r="APZ43" s="380" t="e">
        <f t="shared" si="21"/>
        <v>#N/A</v>
      </c>
      <c r="AQA43" s="380" t="e">
        <f t="shared" si="21"/>
        <v>#N/A</v>
      </c>
      <c r="AQB43" s="380" t="e">
        <f t="shared" si="21"/>
        <v>#N/A</v>
      </c>
      <c r="AQC43" s="380" t="e">
        <f t="shared" si="21"/>
        <v>#N/A</v>
      </c>
      <c r="AQD43" s="380" t="e">
        <f t="shared" si="21"/>
        <v>#N/A</v>
      </c>
      <c r="AQE43" s="380" t="e">
        <f t="shared" si="21"/>
        <v>#N/A</v>
      </c>
      <c r="AQF43" s="380" t="e">
        <f t="shared" si="21"/>
        <v>#N/A</v>
      </c>
      <c r="AQG43" s="380" t="e">
        <f t="shared" si="21"/>
        <v>#N/A</v>
      </c>
      <c r="AQH43" s="380" t="e">
        <f t="shared" si="21"/>
        <v>#N/A</v>
      </c>
      <c r="AQI43" s="380" t="e">
        <f t="shared" si="21"/>
        <v>#N/A</v>
      </c>
      <c r="AQJ43" s="380" t="e">
        <f t="shared" si="21"/>
        <v>#N/A</v>
      </c>
      <c r="AQK43" s="380" t="e">
        <f t="shared" si="21"/>
        <v>#N/A</v>
      </c>
      <c r="AQL43" s="380" t="e">
        <f t="shared" si="21"/>
        <v>#N/A</v>
      </c>
      <c r="AQM43" s="380" t="e">
        <f t="shared" si="21"/>
        <v>#N/A</v>
      </c>
      <c r="AQN43" s="380" t="e">
        <f t="shared" si="21"/>
        <v>#N/A</v>
      </c>
      <c r="AQO43" s="380" t="e">
        <f t="shared" si="21"/>
        <v>#N/A</v>
      </c>
      <c r="AQP43" s="380" t="e">
        <f t="shared" si="21"/>
        <v>#N/A</v>
      </c>
      <c r="AQQ43" s="380" t="e">
        <f t="shared" si="21"/>
        <v>#N/A</v>
      </c>
      <c r="AQR43" s="380" t="e">
        <f t="shared" si="21"/>
        <v>#N/A</v>
      </c>
      <c r="AQS43" s="380" t="e">
        <f t="shared" si="21"/>
        <v>#N/A</v>
      </c>
      <c r="AQT43" s="380" t="e">
        <f t="shared" si="21"/>
        <v>#N/A</v>
      </c>
      <c r="AQU43" s="380" t="e">
        <f t="shared" si="21"/>
        <v>#N/A</v>
      </c>
      <c r="AQV43" s="380" t="e">
        <f t="shared" si="21"/>
        <v>#N/A</v>
      </c>
      <c r="AQW43" s="380" t="e">
        <f t="shared" si="21"/>
        <v>#N/A</v>
      </c>
      <c r="AQX43" s="380" t="e">
        <f t="shared" si="21"/>
        <v>#N/A</v>
      </c>
      <c r="AQY43" s="380" t="e">
        <f t="shared" si="21"/>
        <v>#N/A</v>
      </c>
      <c r="AQZ43" s="380" t="e">
        <f t="shared" si="21"/>
        <v>#N/A</v>
      </c>
      <c r="ARA43" s="380" t="e">
        <f t="shared" si="21"/>
        <v>#N/A</v>
      </c>
      <c r="ARB43" s="380" t="e">
        <f t="shared" si="21"/>
        <v>#N/A</v>
      </c>
      <c r="ARC43" s="380" t="e">
        <f t="shared" si="21"/>
        <v>#N/A</v>
      </c>
      <c r="ARD43" s="380" t="e">
        <f t="shared" si="21"/>
        <v>#N/A</v>
      </c>
      <c r="ARE43" s="380" t="e">
        <f t="shared" si="21"/>
        <v>#N/A</v>
      </c>
      <c r="ARF43" s="380" t="e">
        <f t="shared" si="21"/>
        <v>#N/A</v>
      </c>
      <c r="ARG43" s="380" t="e">
        <f t="shared" si="21"/>
        <v>#N/A</v>
      </c>
      <c r="ARH43" s="380" t="e">
        <f t="shared" si="21"/>
        <v>#N/A</v>
      </c>
      <c r="ARI43" s="380" t="e">
        <f t="shared" si="21"/>
        <v>#N/A</v>
      </c>
      <c r="ARJ43" s="380" t="e">
        <f t="shared" si="21"/>
        <v>#N/A</v>
      </c>
      <c r="ARK43" s="380" t="e">
        <f t="shared" si="21"/>
        <v>#N/A</v>
      </c>
      <c r="ARL43" s="380" t="e">
        <f t="shared" si="21"/>
        <v>#N/A</v>
      </c>
      <c r="ARM43" s="380" t="e">
        <f t="shared" si="21"/>
        <v>#N/A</v>
      </c>
      <c r="ARN43" s="380" t="e">
        <f t="shared" si="21"/>
        <v>#N/A</v>
      </c>
      <c r="ARO43" s="380" t="e">
        <f t="shared" si="21"/>
        <v>#N/A</v>
      </c>
      <c r="ARP43" s="380" t="e">
        <f t="shared" ref="ARP43:AUA43" si="22">INDEX(ARP7:ARP40,MATCH($E$43,$E$7:$E$40,0))</f>
        <v>#N/A</v>
      </c>
      <c r="ARQ43" s="380" t="e">
        <f t="shared" si="22"/>
        <v>#N/A</v>
      </c>
      <c r="ARR43" s="380" t="e">
        <f t="shared" si="22"/>
        <v>#N/A</v>
      </c>
      <c r="ARS43" s="380" t="e">
        <f t="shared" si="22"/>
        <v>#N/A</v>
      </c>
      <c r="ART43" s="380" t="e">
        <f t="shared" si="22"/>
        <v>#N/A</v>
      </c>
      <c r="ARU43" s="380" t="e">
        <f t="shared" si="22"/>
        <v>#N/A</v>
      </c>
      <c r="ARV43" s="380" t="e">
        <f t="shared" si="22"/>
        <v>#N/A</v>
      </c>
      <c r="ARW43" s="380" t="e">
        <f t="shared" si="22"/>
        <v>#N/A</v>
      </c>
      <c r="ARX43" s="380" t="e">
        <f t="shared" si="22"/>
        <v>#N/A</v>
      </c>
      <c r="ARY43" s="380" t="e">
        <f t="shared" si="22"/>
        <v>#N/A</v>
      </c>
      <c r="ARZ43" s="380" t="e">
        <f t="shared" si="22"/>
        <v>#N/A</v>
      </c>
      <c r="ASA43" s="380" t="e">
        <f t="shared" si="22"/>
        <v>#N/A</v>
      </c>
      <c r="ASB43" s="380" t="e">
        <f t="shared" si="22"/>
        <v>#N/A</v>
      </c>
      <c r="ASC43" s="380" t="e">
        <f t="shared" si="22"/>
        <v>#N/A</v>
      </c>
      <c r="ASD43" s="380" t="e">
        <f t="shared" si="22"/>
        <v>#N/A</v>
      </c>
      <c r="ASE43" s="380" t="e">
        <f t="shared" si="22"/>
        <v>#N/A</v>
      </c>
      <c r="ASF43" s="380" t="e">
        <f t="shared" si="22"/>
        <v>#N/A</v>
      </c>
      <c r="ASG43" s="380" t="e">
        <f t="shared" si="22"/>
        <v>#N/A</v>
      </c>
      <c r="ASH43" s="380" t="e">
        <f t="shared" si="22"/>
        <v>#N/A</v>
      </c>
      <c r="ASI43" s="380" t="e">
        <f t="shared" si="22"/>
        <v>#N/A</v>
      </c>
      <c r="ASJ43" s="380" t="e">
        <f t="shared" si="22"/>
        <v>#N/A</v>
      </c>
      <c r="ASK43" s="380" t="e">
        <f t="shared" si="22"/>
        <v>#N/A</v>
      </c>
      <c r="ASL43" s="380" t="e">
        <f t="shared" si="22"/>
        <v>#N/A</v>
      </c>
      <c r="ASM43" s="380" t="e">
        <f t="shared" si="22"/>
        <v>#N/A</v>
      </c>
      <c r="ASN43" s="380" t="e">
        <f t="shared" si="22"/>
        <v>#N/A</v>
      </c>
      <c r="ASO43" s="380" t="e">
        <f t="shared" si="22"/>
        <v>#N/A</v>
      </c>
      <c r="ASP43" s="380" t="e">
        <f t="shared" si="22"/>
        <v>#N/A</v>
      </c>
      <c r="ASQ43" s="380" t="e">
        <f t="shared" si="22"/>
        <v>#N/A</v>
      </c>
      <c r="ASR43" s="380" t="e">
        <f t="shared" si="22"/>
        <v>#N/A</v>
      </c>
      <c r="ASS43" s="380" t="e">
        <f t="shared" si="22"/>
        <v>#N/A</v>
      </c>
      <c r="AST43" s="380" t="e">
        <f t="shared" si="22"/>
        <v>#N/A</v>
      </c>
      <c r="ASU43" s="380" t="e">
        <f t="shared" si="22"/>
        <v>#N/A</v>
      </c>
      <c r="ASV43" s="380" t="e">
        <f t="shared" si="22"/>
        <v>#N/A</v>
      </c>
      <c r="ASW43" s="380" t="e">
        <f t="shared" si="22"/>
        <v>#N/A</v>
      </c>
      <c r="ASX43" s="380" t="e">
        <f t="shared" si="22"/>
        <v>#N/A</v>
      </c>
      <c r="ASY43" s="380" t="e">
        <f t="shared" si="22"/>
        <v>#N/A</v>
      </c>
      <c r="ASZ43" s="380" t="e">
        <f t="shared" si="22"/>
        <v>#N/A</v>
      </c>
      <c r="ATA43" s="380" t="e">
        <f t="shared" si="22"/>
        <v>#N/A</v>
      </c>
      <c r="ATB43" s="380" t="e">
        <f t="shared" si="22"/>
        <v>#N/A</v>
      </c>
      <c r="ATC43" s="380" t="e">
        <f t="shared" si="22"/>
        <v>#N/A</v>
      </c>
      <c r="ATD43" s="380" t="e">
        <f t="shared" si="22"/>
        <v>#N/A</v>
      </c>
      <c r="ATE43" s="380" t="e">
        <f t="shared" si="22"/>
        <v>#N/A</v>
      </c>
      <c r="ATF43" s="380" t="e">
        <f t="shared" si="22"/>
        <v>#N/A</v>
      </c>
      <c r="ATG43" s="380" t="e">
        <f t="shared" si="22"/>
        <v>#N/A</v>
      </c>
      <c r="ATH43" s="380" t="e">
        <f t="shared" si="22"/>
        <v>#N/A</v>
      </c>
      <c r="ATI43" s="380" t="e">
        <f t="shared" si="22"/>
        <v>#N/A</v>
      </c>
      <c r="ATJ43" s="380" t="e">
        <f t="shared" si="22"/>
        <v>#N/A</v>
      </c>
      <c r="ATK43" s="380" t="e">
        <f t="shared" si="22"/>
        <v>#N/A</v>
      </c>
      <c r="ATL43" s="380" t="e">
        <f t="shared" si="22"/>
        <v>#N/A</v>
      </c>
      <c r="ATM43" s="380" t="e">
        <f t="shared" si="22"/>
        <v>#N/A</v>
      </c>
      <c r="ATN43" s="380" t="e">
        <f t="shared" si="22"/>
        <v>#N/A</v>
      </c>
      <c r="ATO43" s="380" t="e">
        <f t="shared" si="22"/>
        <v>#N/A</v>
      </c>
      <c r="ATP43" s="380" t="e">
        <f t="shared" si="22"/>
        <v>#N/A</v>
      </c>
      <c r="ATQ43" s="380" t="e">
        <f t="shared" si="22"/>
        <v>#N/A</v>
      </c>
      <c r="ATR43" s="380" t="e">
        <f t="shared" si="22"/>
        <v>#N/A</v>
      </c>
      <c r="ATS43" s="380" t="e">
        <f t="shared" si="22"/>
        <v>#N/A</v>
      </c>
      <c r="ATT43" s="380" t="e">
        <f t="shared" si="22"/>
        <v>#N/A</v>
      </c>
      <c r="ATU43" s="380" t="e">
        <f t="shared" si="22"/>
        <v>#N/A</v>
      </c>
      <c r="ATV43" s="380" t="e">
        <f t="shared" si="22"/>
        <v>#N/A</v>
      </c>
      <c r="ATW43" s="380" t="e">
        <f t="shared" si="22"/>
        <v>#N/A</v>
      </c>
      <c r="ATX43" s="380" t="e">
        <f t="shared" si="22"/>
        <v>#N/A</v>
      </c>
      <c r="ATY43" s="380" t="e">
        <f t="shared" si="22"/>
        <v>#N/A</v>
      </c>
      <c r="ATZ43" s="380" t="e">
        <f t="shared" si="22"/>
        <v>#N/A</v>
      </c>
      <c r="AUA43" s="380" t="e">
        <f t="shared" si="22"/>
        <v>#N/A</v>
      </c>
      <c r="AUB43" s="380" t="e">
        <f t="shared" ref="AUB43:AWM43" si="23">INDEX(AUB7:AUB40,MATCH($E$43,$E$7:$E$40,0))</f>
        <v>#N/A</v>
      </c>
      <c r="AUC43" s="380" t="e">
        <f t="shared" si="23"/>
        <v>#N/A</v>
      </c>
      <c r="AUD43" s="380" t="e">
        <f t="shared" si="23"/>
        <v>#N/A</v>
      </c>
      <c r="AUE43" s="380" t="e">
        <f t="shared" si="23"/>
        <v>#N/A</v>
      </c>
      <c r="AUF43" s="380" t="e">
        <f t="shared" si="23"/>
        <v>#N/A</v>
      </c>
      <c r="AUG43" s="380" t="e">
        <f t="shared" si="23"/>
        <v>#N/A</v>
      </c>
      <c r="AUH43" s="380" t="e">
        <f t="shared" si="23"/>
        <v>#N/A</v>
      </c>
      <c r="AUI43" s="380" t="e">
        <f t="shared" si="23"/>
        <v>#N/A</v>
      </c>
      <c r="AUJ43" s="380" t="e">
        <f t="shared" si="23"/>
        <v>#N/A</v>
      </c>
      <c r="AUK43" s="380" t="e">
        <f t="shared" si="23"/>
        <v>#N/A</v>
      </c>
      <c r="AUL43" s="380" t="e">
        <f t="shared" si="23"/>
        <v>#N/A</v>
      </c>
      <c r="AUM43" s="380" t="e">
        <f t="shared" si="23"/>
        <v>#N/A</v>
      </c>
      <c r="AUN43" s="380" t="e">
        <f t="shared" si="23"/>
        <v>#N/A</v>
      </c>
      <c r="AUO43" s="380" t="e">
        <f t="shared" si="23"/>
        <v>#N/A</v>
      </c>
      <c r="AUP43" s="380" t="e">
        <f t="shared" si="23"/>
        <v>#N/A</v>
      </c>
      <c r="AUQ43" s="380" t="e">
        <f t="shared" si="23"/>
        <v>#N/A</v>
      </c>
      <c r="AUR43" s="380" t="e">
        <f t="shared" si="23"/>
        <v>#N/A</v>
      </c>
      <c r="AUS43" s="380" t="e">
        <f t="shared" si="23"/>
        <v>#N/A</v>
      </c>
      <c r="AUT43" s="380" t="e">
        <f t="shared" si="23"/>
        <v>#N/A</v>
      </c>
      <c r="AUU43" s="380" t="e">
        <f t="shared" si="23"/>
        <v>#N/A</v>
      </c>
      <c r="AUV43" s="380" t="e">
        <f t="shared" si="23"/>
        <v>#N/A</v>
      </c>
      <c r="AUW43" s="380" t="e">
        <f t="shared" si="23"/>
        <v>#N/A</v>
      </c>
      <c r="AUX43" s="380" t="e">
        <f t="shared" si="23"/>
        <v>#N/A</v>
      </c>
      <c r="AUY43" s="380" t="e">
        <f t="shared" si="23"/>
        <v>#N/A</v>
      </c>
      <c r="AUZ43" s="380" t="e">
        <f t="shared" si="23"/>
        <v>#N/A</v>
      </c>
      <c r="AVA43" s="380" t="e">
        <f t="shared" si="23"/>
        <v>#N/A</v>
      </c>
      <c r="AVB43" s="380" t="e">
        <f t="shared" si="23"/>
        <v>#N/A</v>
      </c>
      <c r="AVC43" s="380" t="e">
        <f t="shared" si="23"/>
        <v>#N/A</v>
      </c>
      <c r="AVD43" s="380" t="e">
        <f t="shared" si="23"/>
        <v>#N/A</v>
      </c>
      <c r="AVE43" s="380" t="e">
        <f t="shared" si="23"/>
        <v>#N/A</v>
      </c>
      <c r="AVF43" s="380" t="e">
        <f t="shared" si="23"/>
        <v>#N/A</v>
      </c>
      <c r="AVG43" s="380" t="e">
        <f t="shared" si="23"/>
        <v>#N/A</v>
      </c>
      <c r="AVH43" s="380" t="e">
        <f t="shared" si="23"/>
        <v>#N/A</v>
      </c>
      <c r="AVI43" s="380" t="e">
        <f t="shared" si="23"/>
        <v>#N/A</v>
      </c>
      <c r="AVJ43" s="380" t="e">
        <f t="shared" si="23"/>
        <v>#N/A</v>
      </c>
      <c r="AVK43" s="380" t="e">
        <f t="shared" si="23"/>
        <v>#N/A</v>
      </c>
      <c r="AVL43" s="380" t="e">
        <f t="shared" si="23"/>
        <v>#N/A</v>
      </c>
      <c r="AVM43" s="380" t="e">
        <f t="shared" si="23"/>
        <v>#N/A</v>
      </c>
      <c r="AVN43" s="380" t="e">
        <f t="shared" si="23"/>
        <v>#N/A</v>
      </c>
      <c r="AVO43" s="380" t="e">
        <f t="shared" si="23"/>
        <v>#N/A</v>
      </c>
      <c r="AVP43" s="380" t="e">
        <f t="shared" si="23"/>
        <v>#N/A</v>
      </c>
      <c r="AVQ43" s="380" t="e">
        <f t="shared" si="23"/>
        <v>#N/A</v>
      </c>
      <c r="AVR43" s="380" t="e">
        <f t="shared" si="23"/>
        <v>#N/A</v>
      </c>
      <c r="AVS43" s="380" t="e">
        <f t="shared" si="23"/>
        <v>#N/A</v>
      </c>
      <c r="AVT43" s="380" t="e">
        <f t="shared" si="23"/>
        <v>#N/A</v>
      </c>
      <c r="AVU43" s="380" t="e">
        <f t="shared" si="23"/>
        <v>#N/A</v>
      </c>
      <c r="AVV43" s="380" t="e">
        <f t="shared" si="23"/>
        <v>#N/A</v>
      </c>
      <c r="AVW43" s="380" t="e">
        <f t="shared" si="23"/>
        <v>#N/A</v>
      </c>
      <c r="AVX43" s="380" t="e">
        <f t="shared" si="23"/>
        <v>#N/A</v>
      </c>
      <c r="AVY43" s="380" t="e">
        <f t="shared" si="23"/>
        <v>#N/A</v>
      </c>
      <c r="AVZ43" s="380" t="e">
        <f t="shared" si="23"/>
        <v>#N/A</v>
      </c>
      <c r="AWA43" s="380" t="e">
        <f t="shared" si="23"/>
        <v>#N/A</v>
      </c>
      <c r="AWB43" s="380" t="e">
        <f t="shared" si="23"/>
        <v>#N/A</v>
      </c>
      <c r="AWC43" s="380" t="e">
        <f t="shared" si="23"/>
        <v>#N/A</v>
      </c>
      <c r="AWD43" s="380" t="e">
        <f t="shared" si="23"/>
        <v>#N/A</v>
      </c>
      <c r="AWE43" s="380" t="e">
        <f t="shared" si="23"/>
        <v>#N/A</v>
      </c>
      <c r="AWF43" s="380" t="e">
        <f t="shared" si="23"/>
        <v>#N/A</v>
      </c>
      <c r="AWG43" s="380" t="e">
        <f t="shared" si="23"/>
        <v>#N/A</v>
      </c>
      <c r="AWH43" s="380" t="e">
        <f t="shared" si="23"/>
        <v>#N/A</v>
      </c>
      <c r="AWI43" s="380" t="e">
        <f t="shared" si="23"/>
        <v>#N/A</v>
      </c>
      <c r="AWJ43" s="380" t="e">
        <f t="shared" si="23"/>
        <v>#N/A</v>
      </c>
      <c r="AWK43" s="380" t="e">
        <f t="shared" si="23"/>
        <v>#N/A</v>
      </c>
      <c r="AWL43" s="380" t="e">
        <f t="shared" si="23"/>
        <v>#N/A</v>
      </c>
      <c r="AWM43" s="380" t="e">
        <f t="shared" si="23"/>
        <v>#N/A</v>
      </c>
      <c r="AWN43" s="380" t="e">
        <f t="shared" ref="AWN43:AYY43" si="24">INDEX(AWN7:AWN40,MATCH($E$43,$E$7:$E$40,0))</f>
        <v>#N/A</v>
      </c>
      <c r="AWO43" s="380" t="e">
        <f t="shared" si="24"/>
        <v>#N/A</v>
      </c>
      <c r="AWP43" s="380" t="e">
        <f t="shared" si="24"/>
        <v>#N/A</v>
      </c>
      <c r="AWQ43" s="380" t="e">
        <f t="shared" si="24"/>
        <v>#N/A</v>
      </c>
      <c r="AWR43" s="380" t="e">
        <f t="shared" si="24"/>
        <v>#N/A</v>
      </c>
      <c r="AWS43" s="380" t="e">
        <f t="shared" si="24"/>
        <v>#N/A</v>
      </c>
      <c r="AWT43" s="380" t="e">
        <f t="shared" si="24"/>
        <v>#N/A</v>
      </c>
      <c r="AWU43" s="380" t="e">
        <f t="shared" si="24"/>
        <v>#N/A</v>
      </c>
      <c r="AWV43" s="380" t="e">
        <f t="shared" si="24"/>
        <v>#N/A</v>
      </c>
      <c r="AWW43" s="380" t="e">
        <f t="shared" si="24"/>
        <v>#N/A</v>
      </c>
      <c r="AWX43" s="380" t="e">
        <f t="shared" si="24"/>
        <v>#N/A</v>
      </c>
      <c r="AWY43" s="380" t="e">
        <f t="shared" si="24"/>
        <v>#N/A</v>
      </c>
      <c r="AWZ43" s="380" t="e">
        <f t="shared" si="24"/>
        <v>#N/A</v>
      </c>
      <c r="AXA43" s="380" t="e">
        <f t="shared" si="24"/>
        <v>#N/A</v>
      </c>
      <c r="AXB43" s="380" t="e">
        <f t="shared" si="24"/>
        <v>#N/A</v>
      </c>
      <c r="AXC43" s="380" t="e">
        <f t="shared" si="24"/>
        <v>#N/A</v>
      </c>
      <c r="AXD43" s="380" t="e">
        <f t="shared" si="24"/>
        <v>#N/A</v>
      </c>
      <c r="AXE43" s="380" t="e">
        <f t="shared" si="24"/>
        <v>#N/A</v>
      </c>
      <c r="AXF43" s="380" t="e">
        <f t="shared" si="24"/>
        <v>#N/A</v>
      </c>
      <c r="AXG43" s="380" t="e">
        <f t="shared" si="24"/>
        <v>#N/A</v>
      </c>
      <c r="AXH43" s="380" t="e">
        <f t="shared" si="24"/>
        <v>#N/A</v>
      </c>
      <c r="AXI43" s="380" t="e">
        <f t="shared" si="24"/>
        <v>#N/A</v>
      </c>
      <c r="AXJ43" s="380" t="e">
        <f t="shared" si="24"/>
        <v>#N/A</v>
      </c>
      <c r="AXK43" s="380" t="e">
        <f t="shared" si="24"/>
        <v>#N/A</v>
      </c>
      <c r="AXL43" s="380" t="e">
        <f t="shared" si="24"/>
        <v>#N/A</v>
      </c>
      <c r="AXM43" s="380" t="e">
        <f t="shared" si="24"/>
        <v>#N/A</v>
      </c>
      <c r="AXN43" s="380" t="e">
        <f t="shared" si="24"/>
        <v>#N/A</v>
      </c>
      <c r="AXO43" s="380" t="e">
        <f t="shared" si="24"/>
        <v>#N/A</v>
      </c>
      <c r="AXP43" s="380" t="e">
        <f t="shared" si="24"/>
        <v>#N/A</v>
      </c>
      <c r="AXQ43" s="380" t="e">
        <f t="shared" si="24"/>
        <v>#N/A</v>
      </c>
      <c r="AXR43" s="380" t="e">
        <f t="shared" si="24"/>
        <v>#N/A</v>
      </c>
      <c r="AXS43" s="380" t="e">
        <f t="shared" si="24"/>
        <v>#N/A</v>
      </c>
      <c r="AXT43" s="380" t="e">
        <f t="shared" si="24"/>
        <v>#N/A</v>
      </c>
      <c r="AXU43" s="380" t="e">
        <f t="shared" si="24"/>
        <v>#N/A</v>
      </c>
      <c r="AXV43" s="380" t="e">
        <f t="shared" si="24"/>
        <v>#N/A</v>
      </c>
      <c r="AXW43" s="380" t="e">
        <f t="shared" si="24"/>
        <v>#N/A</v>
      </c>
      <c r="AXX43" s="380" t="e">
        <f t="shared" si="24"/>
        <v>#N/A</v>
      </c>
      <c r="AXY43" s="380" t="e">
        <f t="shared" si="24"/>
        <v>#N/A</v>
      </c>
      <c r="AXZ43" s="380" t="e">
        <f t="shared" si="24"/>
        <v>#N/A</v>
      </c>
      <c r="AYA43" s="380" t="e">
        <f t="shared" si="24"/>
        <v>#N/A</v>
      </c>
      <c r="AYB43" s="380" t="e">
        <f t="shared" si="24"/>
        <v>#N/A</v>
      </c>
      <c r="AYC43" s="380" t="e">
        <f t="shared" si="24"/>
        <v>#N/A</v>
      </c>
      <c r="AYD43" s="380" t="e">
        <f t="shared" si="24"/>
        <v>#N/A</v>
      </c>
      <c r="AYE43" s="380" t="e">
        <f t="shared" si="24"/>
        <v>#N/A</v>
      </c>
      <c r="AYF43" s="380" t="e">
        <f t="shared" si="24"/>
        <v>#N/A</v>
      </c>
      <c r="AYG43" s="380" t="e">
        <f t="shared" si="24"/>
        <v>#N/A</v>
      </c>
      <c r="AYH43" s="380" t="e">
        <f t="shared" si="24"/>
        <v>#N/A</v>
      </c>
      <c r="AYI43" s="380" t="e">
        <f t="shared" si="24"/>
        <v>#N/A</v>
      </c>
      <c r="AYJ43" s="380" t="e">
        <f t="shared" si="24"/>
        <v>#N/A</v>
      </c>
      <c r="AYK43" s="380" t="e">
        <f t="shared" si="24"/>
        <v>#N/A</v>
      </c>
      <c r="AYL43" s="380" t="e">
        <f t="shared" si="24"/>
        <v>#N/A</v>
      </c>
      <c r="AYM43" s="380" t="e">
        <f t="shared" si="24"/>
        <v>#N/A</v>
      </c>
      <c r="AYN43" s="380" t="e">
        <f t="shared" si="24"/>
        <v>#N/A</v>
      </c>
      <c r="AYO43" s="380" t="e">
        <f t="shared" si="24"/>
        <v>#N/A</v>
      </c>
      <c r="AYP43" s="380" t="e">
        <f t="shared" si="24"/>
        <v>#N/A</v>
      </c>
      <c r="AYQ43" s="380" t="e">
        <f t="shared" si="24"/>
        <v>#N/A</v>
      </c>
      <c r="AYR43" s="380" t="e">
        <f t="shared" si="24"/>
        <v>#N/A</v>
      </c>
      <c r="AYS43" s="380" t="e">
        <f t="shared" si="24"/>
        <v>#N/A</v>
      </c>
      <c r="AYT43" s="380" t="e">
        <f t="shared" si="24"/>
        <v>#N/A</v>
      </c>
      <c r="AYU43" s="380" t="e">
        <f t="shared" si="24"/>
        <v>#N/A</v>
      </c>
      <c r="AYV43" s="380" t="e">
        <f t="shared" si="24"/>
        <v>#N/A</v>
      </c>
      <c r="AYW43" s="380" t="e">
        <f t="shared" si="24"/>
        <v>#N/A</v>
      </c>
      <c r="AYX43" s="380" t="e">
        <f t="shared" si="24"/>
        <v>#N/A</v>
      </c>
      <c r="AYY43" s="380" t="e">
        <f t="shared" si="24"/>
        <v>#N/A</v>
      </c>
      <c r="AYZ43" s="380" t="e">
        <f t="shared" ref="AYZ43:BBK43" si="25">INDEX(AYZ7:AYZ40,MATCH($E$43,$E$7:$E$40,0))</f>
        <v>#N/A</v>
      </c>
      <c r="AZA43" s="380" t="e">
        <f t="shared" si="25"/>
        <v>#N/A</v>
      </c>
      <c r="AZB43" s="380" t="e">
        <f t="shared" si="25"/>
        <v>#N/A</v>
      </c>
      <c r="AZC43" s="380" t="e">
        <f t="shared" si="25"/>
        <v>#N/A</v>
      </c>
      <c r="AZD43" s="380" t="e">
        <f t="shared" si="25"/>
        <v>#N/A</v>
      </c>
      <c r="AZE43" s="380" t="e">
        <f t="shared" si="25"/>
        <v>#N/A</v>
      </c>
      <c r="AZF43" s="380" t="e">
        <f t="shared" si="25"/>
        <v>#N/A</v>
      </c>
      <c r="AZG43" s="380" t="e">
        <f t="shared" si="25"/>
        <v>#N/A</v>
      </c>
      <c r="AZH43" s="380" t="e">
        <f t="shared" si="25"/>
        <v>#N/A</v>
      </c>
      <c r="AZI43" s="380" t="e">
        <f t="shared" si="25"/>
        <v>#N/A</v>
      </c>
      <c r="AZJ43" s="380" t="e">
        <f t="shared" si="25"/>
        <v>#N/A</v>
      </c>
      <c r="AZK43" s="380" t="e">
        <f t="shared" si="25"/>
        <v>#N/A</v>
      </c>
      <c r="AZL43" s="380" t="e">
        <f t="shared" si="25"/>
        <v>#N/A</v>
      </c>
      <c r="AZM43" s="380" t="e">
        <f t="shared" si="25"/>
        <v>#N/A</v>
      </c>
      <c r="AZN43" s="380" t="e">
        <f t="shared" si="25"/>
        <v>#N/A</v>
      </c>
      <c r="AZO43" s="380" t="e">
        <f t="shared" si="25"/>
        <v>#N/A</v>
      </c>
      <c r="AZP43" s="380" t="e">
        <f t="shared" si="25"/>
        <v>#N/A</v>
      </c>
      <c r="AZQ43" s="380" t="e">
        <f t="shared" si="25"/>
        <v>#N/A</v>
      </c>
      <c r="AZR43" s="380" t="e">
        <f t="shared" si="25"/>
        <v>#N/A</v>
      </c>
      <c r="AZS43" s="380" t="e">
        <f t="shared" si="25"/>
        <v>#N/A</v>
      </c>
      <c r="AZT43" s="380" t="e">
        <f t="shared" si="25"/>
        <v>#N/A</v>
      </c>
      <c r="AZU43" s="380" t="e">
        <f t="shared" si="25"/>
        <v>#N/A</v>
      </c>
      <c r="AZV43" s="380" t="e">
        <f t="shared" si="25"/>
        <v>#N/A</v>
      </c>
      <c r="AZW43" s="380" t="e">
        <f t="shared" si="25"/>
        <v>#N/A</v>
      </c>
      <c r="AZX43" s="380" t="e">
        <f t="shared" si="25"/>
        <v>#N/A</v>
      </c>
      <c r="AZY43" s="380" t="e">
        <f t="shared" si="25"/>
        <v>#N/A</v>
      </c>
      <c r="AZZ43" s="380" t="e">
        <f t="shared" si="25"/>
        <v>#N/A</v>
      </c>
      <c r="BAA43" s="380" t="e">
        <f t="shared" si="25"/>
        <v>#N/A</v>
      </c>
      <c r="BAB43" s="380" t="e">
        <f t="shared" si="25"/>
        <v>#N/A</v>
      </c>
      <c r="BAC43" s="380" t="e">
        <f t="shared" si="25"/>
        <v>#N/A</v>
      </c>
      <c r="BAD43" s="380" t="e">
        <f t="shared" si="25"/>
        <v>#N/A</v>
      </c>
      <c r="BAE43" s="380" t="e">
        <f t="shared" si="25"/>
        <v>#N/A</v>
      </c>
      <c r="BAF43" s="380" t="e">
        <f t="shared" si="25"/>
        <v>#N/A</v>
      </c>
      <c r="BAG43" s="380" t="e">
        <f t="shared" si="25"/>
        <v>#N/A</v>
      </c>
      <c r="BAH43" s="380" t="e">
        <f t="shared" si="25"/>
        <v>#N/A</v>
      </c>
      <c r="BAI43" s="380" t="e">
        <f t="shared" si="25"/>
        <v>#N/A</v>
      </c>
      <c r="BAJ43" s="380" t="e">
        <f t="shared" si="25"/>
        <v>#N/A</v>
      </c>
      <c r="BAK43" s="380" t="e">
        <f t="shared" si="25"/>
        <v>#N/A</v>
      </c>
      <c r="BAL43" s="380" t="e">
        <f t="shared" si="25"/>
        <v>#N/A</v>
      </c>
      <c r="BAM43" s="380" t="e">
        <f t="shared" si="25"/>
        <v>#N/A</v>
      </c>
      <c r="BAN43" s="380" t="e">
        <f t="shared" si="25"/>
        <v>#N/A</v>
      </c>
      <c r="BAO43" s="380" t="e">
        <f t="shared" si="25"/>
        <v>#N/A</v>
      </c>
      <c r="BAP43" s="380" t="e">
        <f t="shared" si="25"/>
        <v>#N/A</v>
      </c>
      <c r="BAQ43" s="380" t="e">
        <f t="shared" si="25"/>
        <v>#N/A</v>
      </c>
      <c r="BAR43" s="380" t="e">
        <f t="shared" si="25"/>
        <v>#N/A</v>
      </c>
      <c r="BAS43" s="380" t="e">
        <f t="shared" si="25"/>
        <v>#N/A</v>
      </c>
      <c r="BAT43" s="380" t="e">
        <f t="shared" si="25"/>
        <v>#N/A</v>
      </c>
      <c r="BAU43" s="380" t="e">
        <f t="shared" si="25"/>
        <v>#N/A</v>
      </c>
      <c r="BAV43" s="380" t="e">
        <f t="shared" si="25"/>
        <v>#N/A</v>
      </c>
      <c r="BAW43" s="380" t="e">
        <f t="shared" si="25"/>
        <v>#N/A</v>
      </c>
      <c r="BAX43" s="380" t="e">
        <f t="shared" si="25"/>
        <v>#N/A</v>
      </c>
      <c r="BAY43" s="380" t="e">
        <f t="shared" si="25"/>
        <v>#N/A</v>
      </c>
      <c r="BAZ43" s="380" t="e">
        <f t="shared" si="25"/>
        <v>#N/A</v>
      </c>
      <c r="BBA43" s="380" t="e">
        <f t="shared" si="25"/>
        <v>#N/A</v>
      </c>
      <c r="BBB43" s="380" t="e">
        <f t="shared" si="25"/>
        <v>#N/A</v>
      </c>
      <c r="BBC43" s="380" t="e">
        <f t="shared" si="25"/>
        <v>#N/A</v>
      </c>
      <c r="BBD43" s="380" t="e">
        <f t="shared" si="25"/>
        <v>#N/A</v>
      </c>
      <c r="BBE43" s="380" t="e">
        <f t="shared" si="25"/>
        <v>#N/A</v>
      </c>
      <c r="BBF43" s="380" t="e">
        <f t="shared" si="25"/>
        <v>#N/A</v>
      </c>
      <c r="BBG43" s="380" t="e">
        <f t="shared" si="25"/>
        <v>#N/A</v>
      </c>
      <c r="BBH43" s="380" t="e">
        <f t="shared" si="25"/>
        <v>#N/A</v>
      </c>
      <c r="BBI43" s="380" t="e">
        <f t="shared" si="25"/>
        <v>#N/A</v>
      </c>
      <c r="BBJ43" s="380" t="e">
        <f t="shared" si="25"/>
        <v>#N/A</v>
      </c>
      <c r="BBK43" s="380" t="e">
        <f t="shared" si="25"/>
        <v>#N/A</v>
      </c>
      <c r="BBL43" s="380" t="e">
        <f t="shared" ref="BBL43:BDW43" si="26">INDEX(BBL7:BBL40,MATCH($E$43,$E$7:$E$40,0))</f>
        <v>#N/A</v>
      </c>
      <c r="BBM43" s="380" t="e">
        <f t="shared" si="26"/>
        <v>#N/A</v>
      </c>
      <c r="BBN43" s="380" t="e">
        <f t="shared" si="26"/>
        <v>#N/A</v>
      </c>
      <c r="BBO43" s="380" t="e">
        <f t="shared" si="26"/>
        <v>#N/A</v>
      </c>
      <c r="BBP43" s="380" t="e">
        <f t="shared" si="26"/>
        <v>#N/A</v>
      </c>
      <c r="BBQ43" s="380" t="e">
        <f t="shared" si="26"/>
        <v>#N/A</v>
      </c>
      <c r="BBR43" s="380" t="e">
        <f t="shared" si="26"/>
        <v>#N/A</v>
      </c>
      <c r="BBS43" s="380" t="e">
        <f t="shared" si="26"/>
        <v>#N/A</v>
      </c>
      <c r="BBT43" s="380" t="e">
        <f t="shared" si="26"/>
        <v>#N/A</v>
      </c>
      <c r="BBU43" s="380" t="e">
        <f t="shared" si="26"/>
        <v>#N/A</v>
      </c>
      <c r="BBV43" s="380" t="e">
        <f t="shared" si="26"/>
        <v>#N/A</v>
      </c>
      <c r="BBW43" s="380" t="e">
        <f t="shared" si="26"/>
        <v>#N/A</v>
      </c>
      <c r="BBX43" s="380" t="e">
        <f t="shared" si="26"/>
        <v>#N/A</v>
      </c>
      <c r="BBY43" s="380" t="e">
        <f t="shared" si="26"/>
        <v>#N/A</v>
      </c>
      <c r="BBZ43" s="380" t="e">
        <f t="shared" si="26"/>
        <v>#N/A</v>
      </c>
      <c r="BCA43" s="380" t="e">
        <f t="shared" si="26"/>
        <v>#N/A</v>
      </c>
      <c r="BCB43" s="380" t="e">
        <f t="shared" si="26"/>
        <v>#N/A</v>
      </c>
      <c r="BCC43" s="380" t="e">
        <f t="shared" si="26"/>
        <v>#N/A</v>
      </c>
      <c r="BCD43" s="380" t="e">
        <f t="shared" si="26"/>
        <v>#N/A</v>
      </c>
      <c r="BCE43" s="380" t="e">
        <f t="shared" si="26"/>
        <v>#N/A</v>
      </c>
      <c r="BCF43" s="380" t="e">
        <f t="shared" si="26"/>
        <v>#N/A</v>
      </c>
      <c r="BCG43" s="380" t="e">
        <f t="shared" si="26"/>
        <v>#N/A</v>
      </c>
      <c r="BCH43" s="380" t="e">
        <f t="shared" si="26"/>
        <v>#N/A</v>
      </c>
      <c r="BCI43" s="380" t="e">
        <f t="shared" si="26"/>
        <v>#N/A</v>
      </c>
      <c r="BCJ43" s="380" t="e">
        <f t="shared" si="26"/>
        <v>#N/A</v>
      </c>
      <c r="BCK43" s="380" t="e">
        <f t="shared" si="26"/>
        <v>#N/A</v>
      </c>
      <c r="BCL43" s="380" t="e">
        <f t="shared" si="26"/>
        <v>#N/A</v>
      </c>
      <c r="BCM43" s="380" t="e">
        <f t="shared" si="26"/>
        <v>#N/A</v>
      </c>
      <c r="BCN43" s="380" t="e">
        <f t="shared" si="26"/>
        <v>#N/A</v>
      </c>
      <c r="BCO43" s="380" t="e">
        <f t="shared" si="26"/>
        <v>#N/A</v>
      </c>
      <c r="BCP43" s="380" t="e">
        <f t="shared" si="26"/>
        <v>#N/A</v>
      </c>
      <c r="BCQ43" s="380" t="e">
        <f t="shared" si="26"/>
        <v>#N/A</v>
      </c>
      <c r="BCR43" s="380" t="e">
        <f t="shared" si="26"/>
        <v>#N/A</v>
      </c>
      <c r="BCS43" s="380" t="e">
        <f t="shared" si="26"/>
        <v>#N/A</v>
      </c>
      <c r="BCT43" s="380" t="e">
        <f t="shared" si="26"/>
        <v>#N/A</v>
      </c>
      <c r="BCU43" s="380" t="e">
        <f t="shared" si="26"/>
        <v>#N/A</v>
      </c>
      <c r="BCV43" s="380" t="e">
        <f t="shared" si="26"/>
        <v>#N/A</v>
      </c>
      <c r="BCW43" s="380" t="e">
        <f t="shared" si="26"/>
        <v>#N/A</v>
      </c>
      <c r="BCX43" s="380" t="e">
        <f t="shared" si="26"/>
        <v>#N/A</v>
      </c>
      <c r="BCY43" s="380" t="e">
        <f t="shared" si="26"/>
        <v>#N/A</v>
      </c>
      <c r="BCZ43" s="380" t="e">
        <f t="shared" si="26"/>
        <v>#N/A</v>
      </c>
      <c r="BDA43" s="380" t="e">
        <f t="shared" si="26"/>
        <v>#N/A</v>
      </c>
      <c r="BDB43" s="380" t="e">
        <f t="shared" si="26"/>
        <v>#N/A</v>
      </c>
      <c r="BDC43" s="380" t="e">
        <f t="shared" si="26"/>
        <v>#N/A</v>
      </c>
      <c r="BDD43" s="380" t="e">
        <f t="shared" si="26"/>
        <v>#N/A</v>
      </c>
      <c r="BDE43" s="380" t="e">
        <f t="shared" si="26"/>
        <v>#N/A</v>
      </c>
      <c r="BDF43" s="380" t="e">
        <f t="shared" si="26"/>
        <v>#N/A</v>
      </c>
      <c r="BDG43" s="380" t="e">
        <f t="shared" si="26"/>
        <v>#N/A</v>
      </c>
      <c r="BDH43" s="380" t="e">
        <f t="shared" si="26"/>
        <v>#N/A</v>
      </c>
      <c r="BDI43" s="380" t="e">
        <f t="shared" si="26"/>
        <v>#N/A</v>
      </c>
      <c r="BDJ43" s="380" t="e">
        <f t="shared" si="26"/>
        <v>#N/A</v>
      </c>
      <c r="BDK43" s="380" t="e">
        <f t="shared" si="26"/>
        <v>#N/A</v>
      </c>
      <c r="BDL43" s="380" t="e">
        <f t="shared" si="26"/>
        <v>#N/A</v>
      </c>
      <c r="BDM43" s="380" t="e">
        <f t="shared" si="26"/>
        <v>#N/A</v>
      </c>
      <c r="BDN43" s="380" t="e">
        <f t="shared" si="26"/>
        <v>#N/A</v>
      </c>
      <c r="BDO43" s="380" t="e">
        <f t="shared" si="26"/>
        <v>#N/A</v>
      </c>
      <c r="BDP43" s="380" t="e">
        <f t="shared" si="26"/>
        <v>#N/A</v>
      </c>
      <c r="BDQ43" s="380" t="e">
        <f t="shared" si="26"/>
        <v>#N/A</v>
      </c>
      <c r="BDR43" s="380" t="e">
        <f t="shared" si="26"/>
        <v>#N/A</v>
      </c>
      <c r="BDS43" s="380" t="e">
        <f t="shared" si="26"/>
        <v>#N/A</v>
      </c>
      <c r="BDT43" s="380" t="e">
        <f t="shared" si="26"/>
        <v>#N/A</v>
      </c>
      <c r="BDU43" s="380" t="e">
        <f t="shared" si="26"/>
        <v>#N/A</v>
      </c>
      <c r="BDV43" s="380" t="e">
        <f t="shared" si="26"/>
        <v>#N/A</v>
      </c>
      <c r="BDW43" s="380" t="e">
        <f t="shared" si="26"/>
        <v>#N/A</v>
      </c>
      <c r="BDX43" s="380" t="e">
        <f t="shared" ref="BDX43:BGI43" si="27">INDEX(BDX7:BDX40,MATCH($E$43,$E$7:$E$40,0))</f>
        <v>#N/A</v>
      </c>
      <c r="BDY43" s="380" t="e">
        <f t="shared" si="27"/>
        <v>#N/A</v>
      </c>
      <c r="BDZ43" s="380" t="e">
        <f t="shared" si="27"/>
        <v>#N/A</v>
      </c>
      <c r="BEA43" s="380" t="e">
        <f t="shared" si="27"/>
        <v>#N/A</v>
      </c>
      <c r="BEB43" s="380" t="e">
        <f t="shared" si="27"/>
        <v>#N/A</v>
      </c>
      <c r="BEC43" s="380" t="e">
        <f t="shared" si="27"/>
        <v>#N/A</v>
      </c>
      <c r="BED43" s="380" t="e">
        <f t="shared" si="27"/>
        <v>#N/A</v>
      </c>
      <c r="BEE43" s="380" t="e">
        <f t="shared" si="27"/>
        <v>#N/A</v>
      </c>
      <c r="BEF43" s="380" t="e">
        <f t="shared" si="27"/>
        <v>#N/A</v>
      </c>
      <c r="BEG43" s="380" t="e">
        <f t="shared" si="27"/>
        <v>#N/A</v>
      </c>
      <c r="BEH43" s="380" t="e">
        <f t="shared" si="27"/>
        <v>#N/A</v>
      </c>
      <c r="BEI43" s="380" t="e">
        <f t="shared" si="27"/>
        <v>#N/A</v>
      </c>
      <c r="BEJ43" s="380" t="e">
        <f t="shared" si="27"/>
        <v>#N/A</v>
      </c>
      <c r="BEK43" s="380" t="e">
        <f t="shared" si="27"/>
        <v>#N/A</v>
      </c>
      <c r="BEL43" s="380" t="e">
        <f t="shared" si="27"/>
        <v>#N/A</v>
      </c>
      <c r="BEM43" s="380" t="e">
        <f t="shared" si="27"/>
        <v>#N/A</v>
      </c>
      <c r="BEN43" s="380" t="e">
        <f t="shared" si="27"/>
        <v>#N/A</v>
      </c>
      <c r="BEO43" s="380" t="e">
        <f t="shared" si="27"/>
        <v>#N/A</v>
      </c>
      <c r="BEP43" s="380" t="e">
        <f t="shared" si="27"/>
        <v>#N/A</v>
      </c>
      <c r="BEQ43" s="380" t="e">
        <f t="shared" si="27"/>
        <v>#N/A</v>
      </c>
      <c r="BER43" s="380" t="e">
        <f t="shared" si="27"/>
        <v>#N/A</v>
      </c>
      <c r="BES43" s="380" t="e">
        <f t="shared" si="27"/>
        <v>#N/A</v>
      </c>
      <c r="BET43" s="380" t="e">
        <f t="shared" si="27"/>
        <v>#N/A</v>
      </c>
      <c r="BEU43" s="380" t="e">
        <f t="shared" si="27"/>
        <v>#N/A</v>
      </c>
      <c r="BEV43" s="380" t="e">
        <f t="shared" si="27"/>
        <v>#N/A</v>
      </c>
      <c r="BEW43" s="380" t="e">
        <f t="shared" si="27"/>
        <v>#N/A</v>
      </c>
      <c r="BEX43" s="380" t="e">
        <f t="shared" si="27"/>
        <v>#N/A</v>
      </c>
      <c r="BEY43" s="380" t="e">
        <f t="shared" si="27"/>
        <v>#N/A</v>
      </c>
      <c r="BEZ43" s="380" t="e">
        <f t="shared" si="27"/>
        <v>#N/A</v>
      </c>
      <c r="BFA43" s="380" t="e">
        <f t="shared" si="27"/>
        <v>#N/A</v>
      </c>
      <c r="BFB43" s="380" t="e">
        <f t="shared" si="27"/>
        <v>#N/A</v>
      </c>
      <c r="BFC43" s="380" t="e">
        <f t="shared" si="27"/>
        <v>#N/A</v>
      </c>
      <c r="BFD43" s="380" t="e">
        <f t="shared" si="27"/>
        <v>#N/A</v>
      </c>
      <c r="BFE43" s="380" t="e">
        <f t="shared" si="27"/>
        <v>#N/A</v>
      </c>
      <c r="BFF43" s="380" t="e">
        <f t="shared" si="27"/>
        <v>#N/A</v>
      </c>
      <c r="BFG43" s="380" t="e">
        <f t="shared" si="27"/>
        <v>#N/A</v>
      </c>
      <c r="BFH43" s="380" t="e">
        <f t="shared" si="27"/>
        <v>#N/A</v>
      </c>
      <c r="BFI43" s="380" t="e">
        <f t="shared" si="27"/>
        <v>#N/A</v>
      </c>
      <c r="BFJ43" s="380" t="e">
        <f t="shared" si="27"/>
        <v>#N/A</v>
      </c>
      <c r="BFK43" s="380" t="e">
        <f t="shared" si="27"/>
        <v>#N/A</v>
      </c>
      <c r="BFL43" s="380" t="e">
        <f t="shared" si="27"/>
        <v>#N/A</v>
      </c>
      <c r="BFM43" s="380" t="e">
        <f t="shared" si="27"/>
        <v>#N/A</v>
      </c>
      <c r="BFN43" s="380" t="e">
        <f t="shared" si="27"/>
        <v>#N/A</v>
      </c>
      <c r="BFO43" s="380" t="e">
        <f t="shared" si="27"/>
        <v>#N/A</v>
      </c>
      <c r="BFP43" s="380" t="e">
        <f t="shared" si="27"/>
        <v>#N/A</v>
      </c>
      <c r="BFQ43" s="380" t="e">
        <f t="shared" si="27"/>
        <v>#N/A</v>
      </c>
      <c r="BFR43" s="380" t="e">
        <f t="shared" si="27"/>
        <v>#N/A</v>
      </c>
      <c r="BFS43" s="380" t="e">
        <f t="shared" si="27"/>
        <v>#N/A</v>
      </c>
      <c r="BFT43" s="380" t="e">
        <f t="shared" si="27"/>
        <v>#N/A</v>
      </c>
      <c r="BFU43" s="380" t="e">
        <f t="shared" si="27"/>
        <v>#N/A</v>
      </c>
      <c r="BFV43" s="380" t="e">
        <f t="shared" si="27"/>
        <v>#N/A</v>
      </c>
      <c r="BFW43" s="380" t="e">
        <f t="shared" si="27"/>
        <v>#N/A</v>
      </c>
      <c r="BFX43" s="380" t="e">
        <f t="shared" si="27"/>
        <v>#N/A</v>
      </c>
      <c r="BFY43" s="380" t="e">
        <f t="shared" si="27"/>
        <v>#N/A</v>
      </c>
      <c r="BFZ43" s="380" t="e">
        <f t="shared" si="27"/>
        <v>#N/A</v>
      </c>
      <c r="BGA43" s="380" t="e">
        <f t="shared" si="27"/>
        <v>#N/A</v>
      </c>
      <c r="BGB43" s="380" t="e">
        <f t="shared" si="27"/>
        <v>#N/A</v>
      </c>
      <c r="BGC43" s="380" t="e">
        <f t="shared" si="27"/>
        <v>#N/A</v>
      </c>
      <c r="BGD43" s="380" t="e">
        <f t="shared" si="27"/>
        <v>#N/A</v>
      </c>
      <c r="BGE43" s="380" t="e">
        <f t="shared" si="27"/>
        <v>#N/A</v>
      </c>
      <c r="BGF43" s="380" t="e">
        <f t="shared" si="27"/>
        <v>#N/A</v>
      </c>
      <c r="BGG43" s="380" t="e">
        <f t="shared" si="27"/>
        <v>#N/A</v>
      </c>
      <c r="BGH43" s="380" t="e">
        <f t="shared" si="27"/>
        <v>#N/A</v>
      </c>
      <c r="BGI43" s="380" t="e">
        <f t="shared" si="27"/>
        <v>#N/A</v>
      </c>
      <c r="BGJ43" s="380" t="e">
        <f t="shared" ref="BGJ43:BIU43" si="28">INDEX(BGJ7:BGJ40,MATCH($E$43,$E$7:$E$40,0))</f>
        <v>#N/A</v>
      </c>
      <c r="BGK43" s="380" t="e">
        <f t="shared" si="28"/>
        <v>#N/A</v>
      </c>
      <c r="BGL43" s="380" t="e">
        <f t="shared" si="28"/>
        <v>#N/A</v>
      </c>
      <c r="BGM43" s="380" t="e">
        <f t="shared" si="28"/>
        <v>#N/A</v>
      </c>
      <c r="BGN43" s="380" t="e">
        <f t="shared" si="28"/>
        <v>#N/A</v>
      </c>
      <c r="BGO43" s="380" t="e">
        <f t="shared" si="28"/>
        <v>#N/A</v>
      </c>
      <c r="BGP43" s="380" t="e">
        <f t="shared" si="28"/>
        <v>#N/A</v>
      </c>
      <c r="BGQ43" s="380" t="e">
        <f t="shared" si="28"/>
        <v>#N/A</v>
      </c>
      <c r="BGR43" s="380" t="e">
        <f t="shared" si="28"/>
        <v>#N/A</v>
      </c>
      <c r="BGS43" s="380" t="e">
        <f t="shared" si="28"/>
        <v>#N/A</v>
      </c>
      <c r="BGT43" s="380" t="e">
        <f t="shared" si="28"/>
        <v>#N/A</v>
      </c>
      <c r="BGU43" s="380" t="e">
        <f t="shared" si="28"/>
        <v>#N/A</v>
      </c>
      <c r="BGV43" s="380" t="e">
        <f t="shared" si="28"/>
        <v>#N/A</v>
      </c>
      <c r="BGW43" s="380" t="e">
        <f t="shared" si="28"/>
        <v>#N/A</v>
      </c>
      <c r="BGX43" s="380" t="e">
        <f t="shared" si="28"/>
        <v>#N/A</v>
      </c>
      <c r="BGY43" s="380" t="e">
        <f t="shared" si="28"/>
        <v>#N/A</v>
      </c>
      <c r="BGZ43" s="380" t="e">
        <f t="shared" si="28"/>
        <v>#N/A</v>
      </c>
      <c r="BHA43" s="380" t="e">
        <f t="shared" si="28"/>
        <v>#N/A</v>
      </c>
      <c r="BHB43" s="380" t="e">
        <f t="shared" si="28"/>
        <v>#N/A</v>
      </c>
      <c r="BHC43" s="380" t="e">
        <f t="shared" si="28"/>
        <v>#N/A</v>
      </c>
      <c r="BHD43" s="380" t="e">
        <f t="shared" si="28"/>
        <v>#N/A</v>
      </c>
      <c r="BHE43" s="380" t="e">
        <f t="shared" si="28"/>
        <v>#N/A</v>
      </c>
      <c r="BHF43" s="380" t="e">
        <f t="shared" si="28"/>
        <v>#N/A</v>
      </c>
      <c r="BHG43" s="380" t="e">
        <f t="shared" si="28"/>
        <v>#N/A</v>
      </c>
      <c r="BHH43" s="380" t="e">
        <f t="shared" si="28"/>
        <v>#N/A</v>
      </c>
      <c r="BHI43" s="380" t="e">
        <f t="shared" si="28"/>
        <v>#N/A</v>
      </c>
      <c r="BHJ43" s="380" t="e">
        <f t="shared" si="28"/>
        <v>#N/A</v>
      </c>
      <c r="BHK43" s="380" t="e">
        <f t="shared" si="28"/>
        <v>#N/A</v>
      </c>
      <c r="BHL43" s="380" t="e">
        <f t="shared" si="28"/>
        <v>#N/A</v>
      </c>
      <c r="BHM43" s="380" t="e">
        <f t="shared" si="28"/>
        <v>#N/A</v>
      </c>
      <c r="BHN43" s="380" t="e">
        <f t="shared" si="28"/>
        <v>#N/A</v>
      </c>
      <c r="BHO43" s="380" t="e">
        <f t="shared" si="28"/>
        <v>#N/A</v>
      </c>
      <c r="BHP43" s="380" t="e">
        <f t="shared" si="28"/>
        <v>#N/A</v>
      </c>
      <c r="BHQ43" s="380" t="e">
        <f t="shared" si="28"/>
        <v>#N/A</v>
      </c>
      <c r="BHR43" s="380" t="e">
        <f t="shared" si="28"/>
        <v>#N/A</v>
      </c>
      <c r="BHS43" s="380" t="e">
        <f t="shared" si="28"/>
        <v>#N/A</v>
      </c>
      <c r="BHT43" s="380" t="e">
        <f t="shared" si="28"/>
        <v>#N/A</v>
      </c>
      <c r="BHU43" s="380" t="e">
        <f t="shared" si="28"/>
        <v>#N/A</v>
      </c>
      <c r="BHV43" s="380" t="e">
        <f t="shared" si="28"/>
        <v>#N/A</v>
      </c>
      <c r="BHW43" s="380" t="e">
        <f t="shared" si="28"/>
        <v>#N/A</v>
      </c>
      <c r="BHX43" s="380" t="e">
        <f t="shared" si="28"/>
        <v>#N/A</v>
      </c>
      <c r="BHY43" s="380" t="e">
        <f t="shared" si="28"/>
        <v>#N/A</v>
      </c>
      <c r="BHZ43" s="380" t="e">
        <f t="shared" si="28"/>
        <v>#N/A</v>
      </c>
      <c r="BIA43" s="380" t="e">
        <f t="shared" si="28"/>
        <v>#N/A</v>
      </c>
      <c r="BIB43" s="380" t="e">
        <f t="shared" si="28"/>
        <v>#N/A</v>
      </c>
      <c r="BIC43" s="380" t="e">
        <f t="shared" si="28"/>
        <v>#N/A</v>
      </c>
      <c r="BID43" s="380" t="e">
        <f t="shared" si="28"/>
        <v>#N/A</v>
      </c>
      <c r="BIE43" s="380" t="e">
        <f t="shared" si="28"/>
        <v>#N/A</v>
      </c>
      <c r="BIF43" s="380" t="e">
        <f t="shared" si="28"/>
        <v>#N/A</v>
      </c>
      <c r="BIG43" s="380" t="e">
        <f t="shared" si="28"/>
        <v>#N/A</v>
      </c>
      <c r="BIH43" s="380" t="e">
        <f t="shared" si="28"/>
        <v>#N/A</v>
      </c>
      <c r="BII43" s="380" t="e">
        <f t="shared" si="28"/>
        <v>#N/A</v>
      </c>
      <c r="BIJ43" s="380" t="e">
        <f t="shared" si="28"/>
        <v>#N/A</v>
      </c>
      <c r="BIK43" s="380" t="e">
        <f t="shared" si="28"/>
        <v>#N/A</v>
      </c>
      <c r="BIL43" s="380" t="e">
        <f t="shared" si="28"/>
        <v>#N/A</v>
      </c>
      <c r="BIM43" s="380" t="e">
        <f t="shared" si="28"/>
        <v>#N/A</v>
      </c>
      <c r="BIN43" s="380" t="e">
        <f t="shared" si="28"/>
        <v>#N/A</v>
      </c>
      <c r="BIO43" s="380" t="e">
        <f t="shared" si="28"/>
        <v>#N/A</v>
      </c>
      <c r="BIP43" s="380" t="e">
        <f t="shared" si="28"/>
        <v>#N/A</v>
      </c>
      <c r="BIQ43" s="380" t="e">
        <f t="shared" si="28"/>
        <v>#N/A</v>
      </c>
      <c r="BIR43" s="380" t="e">
        <f t="shared" si="28"/>
        <v>#N/A</v>
      </c>
      <c r="BIS43" s="380" t="e">
        <f t="shared" si="28"/>
        <v>#N/A</v>
      </c>
      <c r="BIT43" s="380" t="e">
        <f t="shared" si="28"/>
        <v>#N/A</v>
      </c>
      <c r="BIU43" s="380" t="e">
        <f t="shared" si="28"/>
        <v>#N/A</v>
      </c>
      <c r="BIV43" s="380" t="e">
        <f t="shared" ref="BIV43:BLG43" si="29">INDEX(BIV7:BIV40,MATCH($E$43,$E$7:$E$40,0))</f>
        <v>#N/A</v>
      </c>
      <c r="BIW43" s="380" t="e">
        <f t="shared" si="29"/>
        <v>#N/A</v>
      </c>
      <c r="BIX43" s="380" t="e">
        <f t="shared" si="29"/>
        <v>#N/A</v>
      </c>
      <c r="BIY43" s="380" t="e">
        <f t="shared" si="29"/>
        <v>#N/A</v>
      </c>
      <c r="BIZ43" s="380" t="e">
        <f t="shared" si="29"/>
        <v>#N/A</v>
      </c>
      <c r="BJA43" s="380" t="e">
        <f t="shared" si="29"/>
        <v>#N/A</v>
      </c>
      <c r="BJB43" s="380" t="e">
        <f t="shared" si="29"/>
        <v>#N/A</v>
      </c>
      <c r="BJC43" s="380" t="e">
        <f t="shared" si="29"/>
        <v>#N/A</v>
      </c>
      <c r="BJD43" s="380" t="e">
        <f t="shared" si="29"/>
        <v>#N/A</v>
      </c>
      <c r="BJE43" s="380" t="e">
        <f t="shared" si="29"/>
        <v>#N/A</v>
      </c>
      <c r="BJF43" s="380" t="e">
        <f t="shared" si="29"/>
        <v>#N/A</v>
      </c>
      <c r="BJG43" s="380" t="e">
        <f t="shared" si="29"/>
        <v>#N/A</v>
      </c>
      <c r="BJH43" s="380" t="e">
        <f t="shared" si="29"/>
        <v>#N/A</v>
      </c>
      <c r="BJI43" s="380" t="e">
        <f t="shared" si="29"/>
        <v>#N/A</v>
      </c>
      <c r="BJJ43" s="380" t="e">
        <f t="shared" si="29"/>
        <v>#N/A</v>
      </c>
      <c r="BJK43" s="380" t="e">
        <f t="shared" si="29"/>
        <v>#N/A</v>
      </c>
      <c r="BJL43" s="380" t="e">
        <f t="shared" si="29"/>
        <v>#N/A</v>
      </c>
      <c r="BJM43" s="380" t="e">
        <f t="shared" si="29"/>
        <v>#N/A</v>
      </c>
      <c r="BJN43" s="380" t="e">
        <f t="shared" si="29"/>
        <v>#N/A</v>
      </c>
      <c r="BJO43" s="380" t="e">
        <f t="shared" si="29"/>
        <v>#N/A</v>
      </c>
      <c r="BJP43" s="380" t="e">
        <f t="shared" si="29"/>
        <v>#N/A</v>
      </c>
      <c r="BJQ43" s="380" t="e">
        <f t="shared" si="29"/>
        <v>#N/A</v>
      </c>
      <c r="BJR43" s="380" t="e">
        <f t="shared" si="29"/>
        <v>#N/A</v>
      </c>
      <c r="BJS43" s="380" t="e">
        <f t="shared" si="29"/>
        <v>#N/A</v>
      </c>
      <c r="BJT43" s="380" t="e">
        <f t="shared" si="29"/>
        <v>#N/A</v>
      </c>
      <c r="BJU43" s="380" t="e">
        <f t="shared" si="29"/>
        <v>#N/A</v>
      </c>
      <c r="BJV43" s="380" t="e">
        <f t="shared" si="29"/>
        <v>#N/A</v>
      </c>
      <c r="BJW43" s="380" t="e">
        <f t="shared" si="29"/>
        <v>#N/A</v>
      </c>
      <c r="BJX43" s="380" t="e">
        <f t="shared" si="29"/>
        <v>#N/A</v>
      </c>
      <c r="BJY43" s="380" t="e">
        <f t="shared" si="29"/>
        <v>#N/A</v>
      </c>
      <c r="BJZ43" s="380" t="e">
        <f t="shared" si="29"/>
        <v>#N/A</v>
      </c>
      <c r="BKA43" s="380" t="e">
        <f t="shared" si="29"/>
        <v>#N/A</v>
      </c>
      <c r="BKB43" s="380" t="e">
        <f t="shared" si="29"/>
        <v>#N/A</v>
      </c>
      <c r="BKC43" s="380" t="e">
        <f t="shared" si="29"/>
        <v>#N/A</v>
      </c>
      <c r="BKD43" s="380" t="e">
        <f t="shared" si="29"/>
        <v>#N/A</v>
      </c>
      <c r="BKE43" s="380" t="e">
        <f t="shared" si="29"/>
        <v>#N/A</v>
      </c>
      <c r="BKF43" s="380" t="e">
        <f t="shared" si="29"/>
        <v>#N/A</v>
      </c>
      <c r="BKG43" s="380" t="e">
        <f t="shared" si="29"/>
        <v>#N/A</v>
      </c>
      <c r="BKH43" s="380" t="e">
        <f t="shared" si="29"/>
        <v>#N/A</v>
      </c>
      <c r="BKI43" s="380" t="e">
        <f t="shared" si="29"/>
        <v>#N/A</v>
      </c>
      <c r="BKJ43" s="380" t="e">
        <f t="shared" si="29"/>
        <v>#N/A</v>
      </c>
      <c r="BKK43" s="380" t="e">
        <f t="shared" si="29"/>
        <v>#N/A</v>
      </c>
      <c r="BKL43" s="380" t="e">
        <f t="shared" si="29"/>
        <v>#N/A</v>
      </c>
      <c r="BKM43" s="380" t="e">
        <f t="shared" si="29"/>
        <v>#N/A</v>
      </c>
      <c r="BKN43" s="380" t="e">
        <f t="shared" si="29"/>
        <v>#N/A</v>
      </c>
      <c r="BKO43" s="380" t="e">
        <f t="shared" si="29"/>
        <v>#N/A</v>
      </c>
      <c r="BKP43" s="380" t="e">
        <f t="shared" si="29"/>
        <v>#N/A</v>
      </c>
      <c r="BKQ43" s="380" t="e">
        <f t="shared" si="29"/>
        <v>#N/A</v>
      </c>
      <c r="BKR43" s="380" t="e">
        <f t="shared" si="29"/>
        <v>#N/A</v>
      </c>
      <c r="BKS43" s="380" t="e">
        <f t="shared" si="29"/>
        <v>#N/A</v>
      </c>
      <c r="BKT43" s="380" t="e">
        <f t="shared" si="29"/>
        <v>#N/A</v>
      </c>
      <c r="BKU43" s="380" t="e">
        <f t="shared" si="29"/>
        <v>#N/A</v>
      </c>
      <c r="BKV43" s="380" t="e">
        <f t="shared" si="29"/>
        <v>#N/A</v>
      </c>
      <c r="BKW43" s="380" t="e">
        <f t="shared" si="29"/>
        <v>#N/A</v>
      </c>
      <c r="BKX43" s="380" t="e">
        <f t="shared" si="29"/>
        <v>#N/A</v>
      </c>
      <c r="BKY43" s="380" t="e">
        <f t="shared" si="29"/>
        <v>#N/A</v>
      </c>
      <c r="BKZ43" s="380" t="e">
        <f t="shared" si="29"/>
        <v>#N/A</v>
      </c>
      <c r="BLA43" s="380" t="e">
        <f t="shared" si="29"/>
        <v>#N/A</v>
      </c>
      <c r="BLB43" s="380" t="e">
        <f t="shared" si="29"/>
        <v>#N/A</v>
      </c>
      <c r="BLC43" s="380" t="e">
        <f t="shared" si="29"/>
        <v>#N/A</v>
      </c>
      <c r="BLD43" s="380" t="e">
        <f t="shared" si="29"/>
        <v>#N/A</v>
      </c>
      <c r="BLE43" s="380" t="e">
        <f t="shared" si="29"/>
        <v>#N/A</v>
      </c>
      <c r="BLF43" s="380" t="e">
        <f t="shared" si="29"/>
        <v>#N/A</v>
      </c>
      <c r="BLG43" s="380" t="e">
        <f t="shared" si="29"/>
        <v>#N/A</v>
      </c>
      <c r="BLH43" s="380" t="e">
        <f t="shared" ref="BLH43:BNS43" si="30">INDEX(BLH7:BLH40,MATCH($E$43,$E$7:$E$40,0))</f>
        <v>#N/A</v>
      </c>
      <c r="BLI43" s="380" t="e">
        <f t="shared" si="30"/>
        <v>#N/A</v>
      </c>
      <c r="BLJ43" s="380" t="e">
        <f t="shared" si="30"/>
        <v>#N/A</v>
      </c>
      <c r="BLK43" s="380" t="e">
        <f t="shared" si="30"/>
        <v>#N/A</v>
      </c>
      <c r="BLL43" s="380" t="e">
        <f t="shared" si="30"/>
        <v>#N/A</v>
      </c>
      <c r="BLM43" s="380" t="e">
        <f t="shared" si="30"/>
        <v>#N/A</v>
      </c>
      <c r="BLN43" s="380" t="e">
        <f t="shared" si="30"/>
        <v>#N/A</v>
      </c>
      <c r="BLO43" s="380" t="e">
        <f t="shared" si="30"/>
        <v>#N/A</v>
      </c>
      <c r="BLP43" s="380" t="e">
        <f t="shared" si="30"/>
        <v>#N/A</v>
      </c>
      <c r="BLQ43" s="380" t="e">
        <f t="shared" si="30"/>
        <v>#N/A</v>
      </c>
      <c r="BLR43" s="380" t="e">
        <f t="shared" si="30"/>
        <v>#N/A</v>
      </c>
      <c r="BLS43" s="380" t="e">
        <f t="shared" si="30"/>
        <v>#N/A</v>
      </c>
      <c r="BLT43" s="380" t="e">
        <f t="shared" si="30"/>
        <v>#N/A</v>
      </c>
      <c r="BLU43" s="380" t="e">
        <f t="shared" si="30"/>
        <v>#N/A</v>
      </c>
      <c r="BLV43" s="380" t="e">
        <f t="shared" si="30"/>
        <v>#N/A</v>
      </c>
      <c r="BLW43" s="380" t="e">
        <f t="shared" si="30"/>
        <v>#N/A</v>
      </c>
      <c r="BLX43" s="380" t="e">
        <f t="shared" si="30"/>
        <v>#N/A</v>
      </c>
      <c r="BLY43" s="380" t="e">
        <f t="shared" si="30"/>
        <v>#N/A</v>
      </c>
      <c r="BLZ43" s="380" t="e">
        <f t="shared" si="30"/>
        <v>#N/A</v>
      </c>
      <c r="BMA43" s="380" t="e">
        <f t="shared" si="30"/>
        <v>#N/A</v>
      </c>
      <c r="BMB43" s="380" t="e">
        <f t="shared" si="30"/>
        <v>#N/A</v>
      </c>
      <c r="BMC43" s="380" t="e">
        <f t="shared" si="30"/>
        <v>#N/A</v>
      </c>
      <c r="BMD43" s="380" t="e">
        <f t="shared" si="30"/>
        <v>#N/A</v>
      </c>
      <c r="BME43" s="380" t="e">
        <f t="shared" si="30"/>
        <v>#N/A</v>
      </c>
      <c r="BMF43" s="380" t="e">
        <f t="shared" si="30"/>
        <v>#N/A</v>
      </c>
      <c r="BMG43" s="380" t="e">
        <f t="shared" si="30"/>
        <v>#N/A</v>
      </c>
      <c r="BMH43" s="380" t="e">
        <f t="shared" si="30"/>
        <v>#N/A</v>
      </c>
      <c r="BMI43" s="380" t="e">
        <f t="shared" si="30"/>
        <v>#N/A</v>
      </c>
      <c r="BMJ43" s="380" t="e">
        <f t="shared" si="30"/>
        <v>#N/A</v>
      </c>
      <c r="BMK43" s="380" t="e">
        <f t="shared" si="30"/>
        <v>#N/A</v>
      </c>
      <c r="BML43" s="380" t="e">
        <f t="shared" si="30"/>
        <v>#N/A</v>
      </c>
      <c r="BMM43" s="380" t="e">
        <f t="shared" si="30"/>
        <v>#N/A</v>
      </c>
      <c r="BMN43" s="380" t="e">
        <f t="shared" si="30"/>
        <v>#N/A</v>
      </c>
      <c r="BMO43" s="380" t="e">
        <f t="shared" si="30"/>
        <v>#N/A</v>
      </c>
      <c r="BMP43" s="380" t="e">
        <f t="shared" si="30"/>
        <v>#N/A</v>
      </c>
      <c r="BMQ43" s="380" t="e">
        <f t="shared" si="30"/>
        <v>#N/A</v>
      </c>
      <c r="BMR43" s="380" t="e">
        <f t="shared" si="30"/>
        <v>#N/A</v>
      </c>
      <c r="BMS43" s="380" t="e">
        <f t="shared" si="30"/>
        <v>#N/A</v>
      </c>
      <c r="BMT43" s="380" t="e">
        <f t="shared" si="30"/>
        <v>#N/A</v>
      </c>
      <c r="BMU43" s="380" t="e">
        <f t="shared" si="30"/>
        <v>#N/A</v>
      </c>
      <c r="BMV43" s="380" t="e">
        <f t="shared" si="30"/>
        <v>#N/A</v>
      </c>
      <c r="BMW43" s="380" t="e">
        <f t="shared" si="30"/>
        <v>#N/A</v>
      </c>
      <c r="BMX43" s="380" t="e">
        <f t="shared" si="30"/>
        <v>#N/A</v>
      </c>
      <c r="BMY43" s="380" t="e">
        <f t="shared" si="30"/>
        <v>#N/A</v>
      </c>
      <c r="BMZ43" s="380" t="e">
        <f t="shared" si="30"/>
        <v>#N/A</v>
      </c>
      <c r="BNA43" s="380" t="e">
        <f t="shared" si="30"/>
        <v>#N/A</v>
      </c>
      <c r="BNB43" s="380" t="e">
        <f t="shared" si="30"/>
        <v>#N/A</v>
      </c>
      <c r="BNC43" s="380" t="e">
        <f t="shared" si="30"/>
        <v>#N/A</v>
      </c>
      <c r="BND43" s="380" t="e">
        <f t="shared" si="30"/>
        <v>#N/A</v>
      </c>
      <c r="BNE43" s="380" t="e">
        <f t="shared" si="30"/>
        <v>#N/A</v>
      </c>
      <c r="BNF43" s="380" t="e">
        <f t="shared" si="30"/>
        <v>#N/A</v>
      </c>
      <c r="BNG43" s="380" t="e">
        <f t="shared" si="30"/>
        <v>#N/A</v>
      </c>
      <c r="BNH43" s="380" t="e">
        <f t="shared" si="30"/>
        <v>#N/A</v>
      </c>
      <c r="BNI43" s="380" t="e">
        <f t="shared" si="30"/>
        <v>#N/A</v>
      </c>
      <c r="BNJ43" s="380" t="e">
        <f t="shared" si="30"/>
        <v>#N/A</v>
      </c>
      <c r="BNK43" s="380" t="e">
        <f t="shared" si="30"/>
        <v>#N/A</v>
      </c>
      <c r="BNL43" s="380" t="e">
        <f t="shared" si="30"/>
        <v>#N/A</v>
      </c>
      <c r="BNM43" s="380" t="e">
        <f t="shared" si="30"/>
        <v>#N/A</v>
      </c>
      <c r="BNN43" s="380" t="e">
        <f t="shared" si="30"/>
        <v>#N/A</v>
      </c>
      <c r="BNO43" s="380" t="e">
        <f t="shared" si="30"/>
        <v>#N/A</v>
      </c>
      <c r="BNP43" s="380" t="e">
        <f t="shared" si="30"/>
        <v>#N/A</v>
      </c>
      <c r="BNQ43" s="380" t="e">
        <f t="shared" si="30"/>
        <v>#N/A</v>
      </c>
      <c r="BNR43" s="380" t="e">
        <f t="shared" si="30"/>
        <v>#N/A</v>
      </c>
      <c r="BNS43" s="380" t="e">
        <f t="shared" si="30"/>
        <v>#N/A</v>
      </c>
      <c r="BNT43" s="380" t="e">
        <f t="shared" ref="BNT43:BQE43" si="31">INDEX(BNT7:BNT40,MATCH($E$43,$E$7:$E$40,0))</f>
        <v>#N/A</v>
      </c>
      <c r="BNU43" s="380" t="e">
        <f t="shared" si="31"/>
        <v>#N/A</v>
      </c>
      <c r="BNV43" s="380" t="e">
        <f t="shared" si="31"/>
        <v>#N/A</v>
      </c>
      <c r="BNW43" s="380" t="e">
        <f t="shared" si="31"/>
        <v>#N/A</v>
      </c>
      <c r="BNX43" s="380" t="e">
        <f t="shared" si="31"/>
        <v>#N/A</v>
      </c>
      <c r="BNY43" s="380" t="e">
        <f t="shared" si="31"/>
        <v>#N/A</v>
      </c>
      <c r="BNZ43" s="380" t="e">
        <f t="shared" si="31"/>
        <v>#N/A</v>
      </c>
      <c r="BOA43" s="380" t="e">
        <f t="shared" si="31"/>
        <v>#N/A</v>
      </c>
      <c r="BOB43" s="380" t="e">
        <f t="shared" si="31"/>
        <v>#N/A</v>
      </c>
      <c r="BOC43" s="380" t="e">
        <f t="shared" si="31"/>
        <v>#N/A</v>
      </c>
      <c r="BOD43" s="380" t="e">
        <f t="shared" si="31"/>
        <v>#N/A</v>
      </c>
      <c r="BOE43" s="380" t="e">
        <f t="shared" si="31"/>
        <v>#N/A</v>
      </c>
      <c r="BOF43" s="380" t="e">
        <f t="shared" si="31"/>
        <v>#N/A</v>
      </c>
      <c r="BOG43" s="380" t="e">
        <f t="shared" si="31"/>
        <v>#N/A</v>
      </c>
      <c r="BOH43" s="380" t="e">
        <f t="shared" si="31"/>
        <v>#N/A</v>
      </c>
      <c r="BOI43" s="380" t="e">
        <f t="shared" si="31"/>
        <v>#N/A</v>
      </c>
      <c r="BOJ43" s="380" t="e">
        <f t="shared" si="31"/>
        <v>#N/A</v>
      </c>
      <c r="BOK43" s="380" t="e">
        <f t="shared" si="31"/>
        <v>#N/A</v>
      </c>
      <c r="BOL43" s="380" t="e">
        <f t="shared" si="31"/>
        <v>#N/A</v>
      </c>
      <c r="BOM43" s="380" t="e">
        <f t="shared" si="31"/>
        <v>#N/A</v>
      </c>
      <c r="BON43" s="380" t="e">
        <f t="shared" si="31"/>
        <v>#N/A</v>
      </c>
      <c r="BOO43" s="380" t="e">
        <f t="shared" si="31"/>
        <v>#N/A</v>
      </c>
      <c r="BOP43" s="380" t="e">
        <f t="shared" si="31"/>
        <v>#N/A</v>
      </c>
      <c r="BOQ43" s="380" t="e">
        <f t="shared" si="31"/>
        <v>#N/A</v>
      </c>
      <c r="BOR43" s="380" t="e">
        <f t="shared" si="31"/>
        <v>#N/A</v>
      </c>
      <c r="BOS43" s="380" t="e">
        <f t="shared" si="31"/>
        <v>#N/A</v>
      </c>
      <c r="BOT43" s="380" t="e">
        <f t="shared" si="31"/>
        <v>#N/A</v>
      </c>
      <c r="BOU43" s="380" t="e">
        <f t="shared" si="31"/>
        <v>#N/A</v>
      </c>
      <c r="BOV43" s="380" t="e">
        <f t="shared" si="31"/>
        <v>#N/A</v>
      </c>
      <c r="BOW43" s="380" t="e">
        <f t="shared" si="31"/>
        <v>#N/A</v>
      </c>
      <c r="BOX43" s="380" t="e">
        <f t="shared" si="31"/>
        <v>#N/A</v>
      </c>
      <c r="BOY43" s="380" t="e">
        <f t="shared" si="31"/>
        <v>#N/A</v>
      </c>
      <c r="BOZ43" s="380" t="e">
        <f t="shared" si="31"/>
        <v>#N/A</v>
      </c>
      <c r="BPA43" s="380" t="e">
        <f t="shared" si="31"/>
        <v>#N/A</v>
      </c>
      <c r="BPB43" s="380" t="e">
        <f t="shared" si="31"/>
        <v>#N/A</v>
      </c>
      <c r="BPC43" s="380" t="e">
        <f t="shared" si="31"/>
        <v>#N/A</v>
      </c>
      <c r="BPD43" s="380" t="e">
        <f t="shared" si="31"/>
        <v>#N/A</v>
      </c>
      <c r="BPE43" s="380" t="e">
        <f t="shared" si="31"/>
        <v>#N/A</v>
      </c>
      <c r="BPF43" s="380" t="e">
        <f t="shared" si="31"/>
        <v>#N/A</v>
      </c>
      <c r="BPG43" s="380" t="e">
        <f t="shared" si="31"/>
        <v>#N/A</v>
      </c>
      <c r="BPH43" s="380" t="e">
        <f t="shared" si="31"/>
        <v>#N/A</v>
      </c>
      <c r="BPI43" s="380" t="e">
        <f t="shared" si="31"/>
        <v>#N/A</v>
      </c>
      <c r="BPJ43" s="380" t="e">
        <f t="shared" si="31"/>
        <v>#N/A</v>
      </c>
      <c r="BPK43" s="380" t="e">
        <f t="shared" si="31"/>
        <v>#N/A</v>
      </c>
      <c r="BPL43" s="380" t="e">
        <f t="shared" si="31"/>
        <v>#N/A</v>
      </c>
      <c r="BPM43" s="380" t="e">
        <f t="shared" si="31"/>
        <v>#N/A</v>
      </c>
      <c r="BPN43" s="380" t="e">
        <f t="shared" si="31"/>
        <v>#N/A</v>
      </c>
      <c r="BPO43" s="380" t="e">
        <f t="shared" si="31"/>
        <v>#N/A</v>
      </c>
      <c r="BPP43" s="380" t="e">
        <f t="shared" si="31"/>
        <v>#N/A</v>
      </c>
      <c r="BPQ43" s="380" t="e">
        <f t="shared" si="31"/>
        <v>#N/A</v>
      </c>
      <c r="BPR43" s="380" t="e">
        <f t="shared" si="31"/>
        <v>#N/A</v>
      </c>
      <c r="BPS43" s="380" t="e">
        <f t="shared" si="31"/>
        <v>#N/A</v>
      </c>
      <c r="BPT43" s="380" t="e">
        <f t="shared" si="31"/>
        <v>#N/A</v>
      </c>
      <c r="BPU43" s="380" t="e">
        <f t="shared" si="31"/>
        <v>#N/A</v>
      </c>
      <c r="BPV43" s="380" t="e">
        <f t="shared" si="31"/>
        <v>#N/A</v>
      </c>
      <c r="BPW43" s="380" t="e">
        <f t="shared" si="31"/>
        <v>#N/A</v>
      </c>
      <c r="BPX43" s="380" t="e">
        <f t="shared" si="31"/>
        <v>#N/A</v>
      </c>
      <c r="BPY43" s="380" t="e">
        <f t="shared" si="31"/>
        <v>#N/A</v>
      </c>
      <c r="BPZ43" s="380" t="e">
        <f t="shared" si="31"/>
        <v>#N/A</v>
      </c>
      <c r="BQA43" s="380" t="e">
        <f t="shared" si="31"/>
        <v>#N/A</v>
      </c>
      <c r="BQB43" s="380" t="e">
        <f t="shared" si="31"/>
        <v>#N/A</v>
      </c>
      <c r="BQC43" s="380" t="e">
        <f t="shared" si="31"/>
        <v>#N/A</v>
      </c>
      <c r="BQD43" s="380" t="e">
        <f t="shared" si="31"/>
        <v>#N/A</v>
      </c>
      <c r="BQE43" s="380" t="e">
        <f t="shared" si="31"/>
        <v>#N/A</v>
      </c>
      <c r="BQF43" s="380" t="e">
        <f t="shared" ref="BQF43:BSQ43" si="32">INDEX(BQF7:BQF40,MATCH($E$43,$E$7:$E$40,0))</f>
        <v>#N/A</v>
      </c>
      <c r="BQG43" s="380" t="e">
        <f t="shared" si="32"/>
        <v>#N/A</v>
      </c>
      <c r="BQH43" s="380" t="e">
        <f t="shared" si="32"/>
        <v>#N/A</v>
      </c>
      <c r="BQI43" s="380" t="e">
        <f t="shared" si="32"/>
        <v>#N/A</v>
      </c>
      <c r="BQJ43" s="380" t="e">
        <f t="shared" si="32"/>
        <v>#N/A</v>
      </c>
      <c r="BQK43" s="380" t="e">
        <f t="shared" si="32"/>
        <v>#N/A</v>
      </c>
      <c r="BQL43" s="380" t="e">
        <f t="shared" si="32"/>
        <v>#N/A</v>
      </c>
      <c r="BQM43" s="380" t="e">
        <f t="shared" si="32"/>
        <v>#N/A</v>
      </c>
      <c r="BQN43" s="380" t="e">
        <f t="shared" si="32"/>
        <v>#N/A</v>
      </c>
      <c r="BQO43" s="380" t="e">
        <f t="shared" si="32"/>
        <v>#N/A</v>
      </c>
      <c r="BQP43" s="380" t="e">
        <f t="shared" si="32"/>
        <v>#N/A</v>
      </c>
      <c r="BQQ43" s="380" t="e">
        <f t="shared" si="32"/>
        <v>#N/A</v>
      </c>
      <c r="BQR43" s="380" t="e">
        <f t="shared" si="32"/>
        <v>#N/A</v>
      </c>
      <c r="BQS43" s="380" t="e">
        <f t="shared" si="32"/>
        <v>#N/A</v>
      </c>
      <c r="BQT43" s="380" t="e">
        <f t="shared" si="32"/>
        <v>#N/A</v>
      </c>
      <c r="BQU43" s="380" t="e">
        <f t="shared" si="32"/>
        <v>#N/A</v>
      </c>
      <c r="BQV43" s="380" t="e">
        <f t="shared" si="32"/>
        <v>#N/A</v>
      </c>
      <c r="BQW43" s="380" t="e">
        <f t="shared" si="32"/>
        <v>#N/A</v>
      </c>
      <c r="BQX43" s="380" t="e">
        <f t="shared" si="32"/>
        <v>#N/A</v>
      </c>
      <c r="BQY43" s="380" t="e">
        <f t="shared" si="32"/>
        <v>#N/A</v>
      </c>
      <c r="BQZ43" s="380" t="e">
        <f t="shared" si="32"/>
        <v>#N/A</v>
      </c>
      <c r="BRA43" s="380" t="e">
        <f t="shared" si="32"/>
        <v>#N/A</v>
      </c>
      <c r="BRB43" s="380" t="e">
        <f t="shared" si="32"/>
        <v>#N/A</v>
      </c>
      <c r="BRC43" s="380" t="e">
        <f t="shared" si="32"/>
        <v>#N/A</v>
      </c>
      <c r="BRD43" s="380" t="e">
        <f t="shared" si="32"/>
        <v>#N/A</v>
      </c>
      <c r="BRE43" s="380" t="e">
        <f t="shared" si="32"/>
        <v>#N/A</v>
      </c>
      <c r="BRF43" s="380" t="e">
        <f t="shared" si="32"/>
        <v>#N/A</v>
      </c>
      <c r="BRG43" s="380" t="e">
        <f t="shared" si="32"/>
        <v>#N/A</v>
      </c>
      <c r="BRH43" s="380" t="e">
        <f t="shared" si="32"/>
        <v>#N/A</v>
      </c>
      <c r="BRI43" s="380" t="e">
        <f t="shared" si="32"/>
        <v>#N/A</v>
      </c>
      <c r="BRJ43" s="380" t="e">
        <f t="shared" si="32"/>
        <v>#N/A</v>
      </c>
      <c r="BRK43" s="380" t="e">
        <f t="shared" si="32"/>
        <v>#N/A</v>
      </c>
      <c r="BRL43" s="380" t="e">
        <f t="shared" si="32"/>
        <v>#N/A</v>
      </c>
      <c r="BRM43" s="380" t="e">
        <f t="shared" si="32"/>
        <v>#N/A</v>
      </c>
      <c r="BRN43" s="380" t="e">
        <f t="shared" si="32"/>
        <v>#N/A</v>
      </c>
      <c r="BRO43" s="380" t="e">
        <f t="shared" si="32"/>
        <v>#N/A</v>
      </c>
      <c r="BRP43" s="380" t="e">
        <f t="shared" si="32"/>
        <v>#N/A</v>
      </c>
      <c r="BRQ43" s="380" t="e">
        <f t="shared" si="32"/>
        <v>#N/A</v>
      </c>
      <c r="BRR43" s="380" t="e">
        <f t="shared" si="32"/>
        <v>#N/A</v>
      </c>
      <c r="BRS43" s="380" t="e">
        <f t="shared" si="32"/>
        <v>#N/A</v>
      </c>
      <c r="BRT43" s="380" t="e">
        <f t="shared" si="32"/>
        <v>#N/A</v>
      </c>
      <c r="BRU43" s="380" t="e">
        <f t="shared" si="32"/>
        <v>#N/A</v>
      </c>
      <c r="BRV43" s="380" t="e">
        <f t="shared" si="32"/>
        <v>#N/A</v>
      </c>
      <c r="BRW43" s="380" t="e">
        <f t="shared" si="32"/>
        <v>#N/A</v>
      </c>
      <c r="BRX43" s="380" t="e">
        <f t="shared" si="32"/>
        <v>#N/A</v>
      </c>
      <c r="BRY43" s="380" t="e">
        <f t="shared" si="32"/>
        <v>#N/A</v>
      </c>
      <c r="BRZ43" s="380" t="e">
        <f t="shared" si="32"/>
        <v>#N/A</v>
      </c>
      <c r="BSA43" s="380" t="e">
        <f t="shared" si="32"/>
        <v>#N/A</v>
      </c>
      <c r="BSB43" s="380" t="e">
        <f t="shared" si="32"/>
        <v>#N/A</v>
      </c>
      <c r="BSC43" s="380" t="e">
        <f t="shared" si="32"/>
        <v>#N/A</v>
      </c>
      <c r="BSD43" s="380" t="e">
        <f t="shared" si="32"/>
        <v>#N/A</v>
      </c>
      <c r="BSE43" s="380" t="e">
        <f t="shared" si="32"/>
        <v>#N/A</v>
      </c>
      <c r="BSF43" s="380" t="e">
        <f t="shared" si="32"/>
        <v>#N/A</v>
      </c>
      <c r="BSG43" s="380" t="e">
        <f t="shared" si="32"/>
        <v>#N/A</v>
      </c>
      <c r="BSH43" s="380" t="e">
        <f t="shared" si="32"/>
        <v>#N/A</v>
      </c>
      <c r="BSI43" s="380" t="e">
        <f t="shared" si="32"/>
        <v>#N/A</v>
      </c>
      <c r="BSJ43" s="380" t="e">
        <f t="shared" si="32"/>
        <v>#N/A</v>
      </c>
      <c r="BSK43" s="380" t="e">
        <f t="shared" si="32"/>
        <v>#N/A</v>
      </c>
      <c r="BSL43" s="380" t="e">
        <f t="shared" si="32"/>
        <v>#N/A</v>
      </c>
      <c r="BSM43" s="380" t="e">
        <f t="shared" si="32"/>
        <v>#N/A</v>
      </c>
      <c r="BSN43" s="380" t="e">
        <f t="shared" si="32"/>
        <v>#N/A</v>
      </c>
      <c r="BSO43" s="380" t="e">
        <f t="shared" si="32"/>
        <v>#N/A</v>
      </c>
      <c r="BSP43" s="380" t="e">
        <f t="shared" si="32"/>
        <v>#N/A</v>
      </c>
      <c r="BSQ43" s="380" t="e">
        <f t="shared" si="32"/>
        <v>#N/A</v>
      </c>
      <c r="BSR43" s="380" t="e">
        <f t="shared" ref="BSR43:BVC43" si="33">INDEX(BSR7:BSR40,MATCH($E$43,$E$7:$E$40,0))</f>
        <v>#N/A</v>
      </c>
      <c r="BSS43" s="380" t="e">
        <f t="shared" si="33"/>
        <v>#N/A</v>
      </c>
      <c r="BST43" s="380" t="e">
        <f t="shared" si="33"/>
        <v>#N/A</v>
      </c>
      <c r="BSU43" s="380" t="e">
        <f t="shared" si="33"/>
        <v>#N/A</v>
      </c>
      <c r="BSV43" s="380" t="e">
        <f t="shared" si="33"/>
        <v>#N/A</v>
      </c>
      <c r="BSW43" s="380" t="e">
        <f t="shared" si="33"/>
        <v>#N/A</v>
      </c>
      <c r="BSX43" s="380" t="e">
        <f t="shared" si="33"/>
        <v>#N/A</v>
      </c>
      <c r="BSY43" s="380" t="e">
        <f t="shared" si="33"/>
        <v>#N/A</v>
      </c>
      <c r="BSZ43" s="380" t="e">
        <f t="shared" si="33"/>
        <v>#N/A</v>
      </c>
      <c r="BTA43" s="380" t="e">
        <f t="shared" si="33"/>
        <v>#N/A</v>
      </c>
      <c r="BTB43" s="380" t="e">
        <f t="shared" si="33"/>
        <v>#N/A</v>
      </c>
      <c r="BTC43" s="380" t="e">
        <f t="shared" si="33"/>
        <v>#N/A</v>
      </c>
      <c r="BTD43" s="380" t="e">
        <f t="shared" si="33"/>
        <v>#N/A</v>
      </c>
      <c r="BTE43" s="380" t="e">
        <f t="shared" si="33"/>
        <v>#N/A</v>
      </c>
      <c r="BTF43" s="380" t="e">
        <f t="shared" si="33"/>
        <v>#N/A</v>
      </c>
      <c r="BTG43" s="380" t="e">
        <f t="shared" si="33"/>
        <v>#N/A</v>
      </c>
      <c r="BTH43" s="380" t="e">
        <f t="shared" si="33"/>
        <v>#N/A</v>
      </c>
      <c r="BTI43" s="380" t="e">
        <f t="shared" si="33"/>
        <v>#N/A</v>
      </c>
      <c r="BTJ43" s="380" t="e">
        <f t="shared" si="33"/>
        <v>#N/A</v>
      </c>
      <c r="BTK43" s="380" t="e">
        <f t="shared" si="33"/>
        <v>#N/A</v>
      </c>
      <c r="BTL43" s="380" t="e">
        <f t="shared" si="33"/>
        <v>#N/A</v>
      </c>
      <c r="BTM43" s="380" t="e">
        <f t="shared" si="33"/>
        <v>#N/A</v>
      </c>
      <c r="BTN43" s="380" t="e">
        <f t="shared" si="33"/>
        <v>#N/A</v>
      </c>
      <c r="BTO43" s="380" t="e">
        <f t="shared" si="33"/>
        <v>#N/A</v>
      </c>
      <c r="BTP43" s="380" t="e">
        <f t="shared" si="33"/>
        <v>#N/A</v>
      </c>
      <c r="BTQ43" s="380" t="e">
        <f t="shared" si="33"/>
        <v>#N/A</v>
      </c>
      <c r="BTR43" s="380" t="e">
        <f t="shared" si="33"/>
        <v>#N/A</v>
      </c>
      <c r="BTS43" s="380" t="e">
        <f t="shared" si="33"/>
        <v>#N/A</v>
      </c>
      <c r="BTT43" s="380" t="e">
        <f t="shared" si="33"/>
        <v>#N/A</v>
      </c>
      <c r="BTU43" s="380" t="e">
        <f t="shared" si="33"/>
        <v>#N/A</v>
      </c>
      <c r="BTV43" s="380" t="e">
        <f t="shared" si="33"/>
        <v>#N/A</v>
      </c>
      <c r="BTW43" s="380" t="e">
        <f t="shared" si="33"/>
        <v>#N/A</v>
      </c>
      <c r="BTX43" s="380" t="e">
        <f t="shared" si="33"/>
        <v>#N/A</v>
      </c>
      <c r="BTY43" s="380" t="e">
        <f t="shared" si="33"/>
        <v>#N/A</v>
      </c>
      <c r="BTZ43" s="380" t="e">
        <f t="shared" si="33"/>
        <v>#N/A</v>
      </c>
      <c r="BUA43" s="380" t="e">
        <f t="shared" si="33"/>
        <v>#N/A</v>
      </c>
      <c r="BUB43" s="380" t="e">
        <f t="shared" si="33"/>
        <v>#N/A</v>
      </c>
      <c r="BUC43" s="380" t="e">
        <f t="shared" si="33"/>
        <v>#N/A</v>
      </c>
      <c r="BUD43" s="380" t="e">
        <f t="shared" si="33"/>
        <v>#N/A</v>
      </c>
      <c r="BUE43" s="380" t="e">
        <f t="shared" si="33"/>
        <v>#N/A</v>
      </c>
      <c r="BUF43" s="380" t="e">
        <f t="shared" si="33"/>
        <v>#N/A</v>
      </c>
      <c r="BUG43" s="380" t="e">
        <f t="shared" si="33"/>
        <v>#N/A</v>
      </c>
      <c r="BUH43" s="380" t="e">
        <f t="shared" si="33"/>
        <v>#N/A</v>
      </c>
      <c r="BUI43" s="380" t="e">
        <f t="shared" si="33"/>
        <v>#N/A</v>
      </c>
      <c r="BUJ43" s="380" t="e">
        <f t="shared" si="33"/>
        <v>#N/A</v>
      </c>
      <c r="BUK43" s="380" t="e">
        <f t="shared" si="33"/>
        <v>#N/A</v>
      </c>
      <c r="BUL43" s="380" t="e">
        <f t="shared" si="33"/>
        <v>#N/A</v>
      </c>
      <c r="BUM43" s="380" t="e">
        <f t="shared" si="33"/>
        <v>#N/A</v>
      </c>
      <c r="BUN43" s="380" t="e">
        <f t="shared" si="33"/>
        <v>#N/A</v>
      </c>
      <c r="BUO43" s="380" t="e">
        <f t="shared" si="33"/>
        <v>#N/A</v>
      </c>
      <c r="BUP43" s="380" t="e">
        <f t="shared" si="33"/>
        <v>#N/A</v>
      </c>
      <c r="BUQ43" s="380" t="e">
        <f t="shared" si="33"/>
        <v>#N/A</v>
      </c>
      <c r="BUR43" s="380" t="e">
        <f t="shared" si="33"/>
        <v>#N/A</v>
      </c>
      <c r="BUS43" s="380" t="e">
        <f t="shared" si="33"/>
        <v>#N/A</v>
      </c>
      <c r="BUT43" s="380" t="e">
        <f t="shared" si="33"/>
        <v>#N/A</v>
      </c>
      <c r="BUU43" s="380" t="e">
        <f t="shared" si="33"/>
        <v>#N/A</v>
      </c>
      <c r="BUV43" s="380" t="e">
        <f t="shared" si="33"/>
        <v>#N/A</v>
      </c>
      <c r="BUW43" s="380" t="e">
        <f t="shared" si="33"/>
        <v>#N/A</v>
      </c>
      <c r="BUX43" s="380" t="e">
        <f t="shared" si="33"/>
        <v>#N/A</v>
      </c>
      <c r="BUY43" s="380" t="e">
        <f t="shared" si="33"/>
        <v>#N/A</v>
      </c>
      <c r="BUZ43" s="380" t="e">
        <f t="shared" si="33"/>
        <v>#N/A</v>
      </c>
      <c r="BVA43" s="380" t="e">
        <f t="shared" si="33"/>
        <v>#N/A</v>
      </c>
      <c r="BVB43" s="380" t="e">
        <f t="shared" si="33"/>
        <v>#N/A</v>
      </c>
      <c r="BVC43" s="380" t="e">
        <f t="shared" si="33"/>
        <v>#N/A</v>
      </c>
      <c r="BVD43" s="380" t="e">
        <f t="shared" ref="BVD43:BXO43" si="34">INDEX(BVD7:BVD40,MATCH($E$43,$E$7:$E$40,0))</f>
        <v>#N/A</v>
      </c>
      <c r="BVE43" s="380" t="e">
        <f t="shared" si="34"/>
        <v>#N/A</v>
      </c>
      <c r="BVF43" s="380" t="e">
        <f t="shared" si="34"/>
        <v>#N/A</v>
      </c>
      <c r="BVG43" s="380" t="e">
        <f t="shared" si="34"/>
        <v>#N/A</v>
      </c>
      <c r="BVH43" s="380" t="e">
        <f t="shared" si="34"/>
        <v>#N/A</v>
      </c>
      <c r="BVI43" s="380" t="e">
        <f t="shared" si="34"/>
        <v>#N/A</v>
      </c>
      <c r="BVJ43" s="380" t="e">
        <f t="shared" si="34"/>
        <v>#N/A</v>
      </c>
      <c r="BVK43" s="380" t="e">
        <f t="shared" si="34"/>
        <v>#N/A</v>
      </c>
      <c r="BVL43" s="380" t="e">
        <f t="shared" si="34"/>
        <v>#N/A</v>
      </c>
      <c r="BVM43" s="380" t="e">
        <f t="shared" si="34"/>
        <v>#N/A</v>
      </c>
      <c r="BVN43" s="380" t="e">
        <f t="shared" si="34"/>
        <v>#N/A</v>
      </c>
      <c r="BVO43" s="380" t="e">
        <f t="shared" si="34"/>
        <v>#N/A</v>
      </c>
      <c r="BVP43" s="380" t="e">
        <f t="shared" si="34"/>
        <v>#N/A</v>
      </c>
      <c r="BVQ43" s="380" t="e">
        <f t="shared" si="34"/>
        <v>#N/A</v>
      </c>
      <c r="BVR43" s="380" t="e">
        <f t="shared" si="34"/>
        <v>#N/A</v>
      </c>
      <c r="BVS43" s="380" t="e">
        <f t="shared" si="34"/>
        <v>#N/A</v>
      </c>
      <c r="BVT43" s="380" t="e">
        <f t="shared" si="34"/>
        <v>#N/A</v>
      </c>
      <c r="BVU43" s="380" t="e">
        <f t="shared" si="34"/>
        <v>#N/A</v>
      </c>
      <c r="BVV43" s="380" t="e">
        <f t="shared" si="34"/>
        <v>#N/A</v>
      </c>
      <c r="BVW43" s="380" t="e">
        <f t="shared" si="34"/>
        <v>#N/A</v>
      </c>
      <c r="BVX43" s="380" t="e">
        <f t="shared" si="34"/>
        <v>#N/A</v>
      </c>
      <c r="BVY43" s="380" t="e">
        <f t="shared" si="34"/>
        <v>#N/A</v>
      </c>
      <c r="BVZ43" s="380" t="e">
        <f t="shared" si="34"/>
        <v>#N/A</v>
      </c>
      <c r="BWA43" s="380" t="e">
        <f t="shared" si="34"/>
        <v>#N/A</v>
      </c>
      <c r="BWB43" s="380" t="e">
        <f t="shared" si="34"/>
        <v>#N/A</v>
      </c>
      <c r="BWC43" s="380" t="e">
        <f t="shared" si="34"/>
        <v>#N/A</v>
      </c>
      <c r="BWD43" s="380" t="e">
        <f t="shared" si="34"/>
        <v>#N/A</v>
      </c>
      <c r="BWE43" s="380" t="e">
        <f t="shared" si="34"/>
        <v>#N/A</v>
      </c>
      <c r="BWF43" s="380" t="e">
        <f t="shared" si="34"/>
        <v>#N/A</v>
      </c>
      <c r="BWG43" s="380" t="e">
        <f t="shared" si="34"/>
        <v>#N/A</v>
      </c>
      <c r="BWH43" s="380" t="e">
        <f t="shared" si="34"/>
        <v>#N/A</v>
      </c>
      <c r="BWI43" s="380" t="e">
        <f t="shared" si="34"/>
        <v>#N/A</v>
      </c>
      <c r="BWJ43" s="380" t="e">
        <f t="shared" si="34"/>
        <v>#N/A</v>
      </c>
      <c r="BWK43" s="380" t="e">
        <f t="shared" si="34"/>
        <v>#N/A</v>
      </c>
      <c r="BWL43" s="380" t="e">
        <f t="shared" si="34"/>
        <v>#N/A</v>
      </c>
      <c r="BWM43" s="380" t="e">
        <f t="shared" si="34"/>
        <v>#N/A</v>
      </c>
      <c r="BWN43" s="380" t="e">
        <f t="shared" si="34"/>
        <v>#N/A</v>
      </c>
      <c r="BWO43" s="380" t="e">
        <f t="shared" si="34"/>
        <v>#N/A</v>
      </c>
      <c r="BWP43" s="380" t="e">
        <f t="shared" si="34"/>
        <v>#N/A</v>
      </c>
      <c r="BWQ43" s="380" t="e">
        <f t="shared" si="34"/>
        <v>#N/A</v>
      </c>
      <c r="BWR43" s="380" t="e">
        <f t="shared" si="34"/>
        <v>#N/A</v>
      </c>
      <c r="BWS43" s="380" t="e">
        <f t="shared" si="34"/>
        <v>#N/A</v>
      </c>
      <c r="BWT43" s="380" t="e">
        <f t="shared" si="34"/>
        <v>#N/A</v>
      </c>
      <c r="BWU43" s="380" t="e">
        <f t="shared" si="34"/>
        <v>#N/A</v>
      </c>
      <c r="BWV43" s="380" t="e">
        <f t="shared" si="34"/>
        <v>#N/A</v>
      </c>
      <c r="BWW43" s="380" t="e">
        <f t="shared" si="34"/>
        <v>#N/A</v>
      </c>
      <c r="BWX43" s="380" t="e">
        <f t="shared" si="34"/>
        <v>#N/A</v>
      </c>
      <c r="BWY43" s="380" t="e">
        <f t="shared" si="34"/>
        <v>#N/A</v>
      </c>
      <c r="BWZ43" s="380" t="e">
        <f t="shared" si="34"/>
        <v>#N/A</v>
      </c>
      <c r="BXA43" s="380" t="e">
        <f t="shared" si="34"/>
        <v>#N/A</v>
      </c>
      <c r="BXB43" s="380" t="e">
        <f t="shared" si="34"/>
        <v>#N/A</v>
      </c>
      <c r="BXC43" s="380" t="e">
        <f t="shared" si="34"/>
        <v>#N/A</v>
      </c>
      <c r="BXD43" s="380" t="e">
        <f t="shared" si="34"/>
        <v>#N/A</v>
      </c>
      <c r="BXE43" s="380" t="e">
        <f t="shared" si="34"/>
        <v>#N/A</v>
      </c>
      <c r="BXF43" s="380" t="e">
        <f t="shared" si="34"/>
        <v>#N/A</v>
      </c>
      <c r="BXG43" s="380" t="e">
        <f t="shared" si="34"/>
        <v>#N/A</v>
      </c>
      <c r="BXH43" s="380" t="e">
        <f t="shared" si="34"/>
        <v>#N/A</v>
      </c>
      <c r="BXI43" s="380" t="e">
        <f t="shared" si="34"/>
        <v>#N/A</v>
      </c>
      <c r="BXJ43" s="380" t="e">
        <f t="shared" si="34"/>
        <v>#N/A</v>
      </c>
      <c r="BXK43" s="380" t="e">
        <f t="shared" si="34"/>
        <v>#N/A</v>
      </c>
      <c r="BXL43" s="380" t="e">
        <f t="shared" si="34"/>
        <v>#N/A</v>
      </c>
      <c r="BXM43" s="380" t="e">
        <f t="shared" si="34"/>
        <v>#N/A</v>
      </c>
      <c r="BXN43" s="380" t="e">
        <f t="shared" si="34"/>
        <v>#N/A</v>
      </c>
      <c r="BXO43" s="380" t="e">
        <f t="shared" si="34"/>
        <v>#N/A</v>
      </c>
      <c r="BXP43" s="380" t="e">
        <f t="shared" ref="BXP43:CAA43" si="35">INDEX(BXP7:BXP40,MATCH($E$43,$E$7:$E$40,0))</f>
        <v>#N/A</v>
      </c>
      <c r="BXQ43" s="380" t="e">
        <f t="shared" si="35"/>
        <v>#N/A</v>
      </c>
      <c r="BXR43" s="380" t="e">
        <f t="shared" si="35"/>
        <v>#N/A</v>
      </c>
      <c r="BXS43" s="380" t="e">
        <f t="shared" si="35"/>
        <v>#N/A</v>
      </c>
      <c r="BXT43" s="380" t="e">
        <f t="shared" si="35"/>
        <v>#N/A</v>
      </c>
      <c r="BXU43" s="380" t="e">
        <f t="shared" si="35"/>
        <v>#N/A</v>
      </c>
      <c r="BXV43" s="380" t="e">
        <f t="shared" si="35"/>
        <v>#N/A</v>
      </c>
      <c r="BXW43" s="380" t="e">
        <f t="shared" si="35"/>
        <v>#N/A</v>
      </c>
      <c r="BXX43" s="380" t="e">
        <f t="shared" si="35"/>
        <v>#N/A</v>
      </c>
      <c r="BXY43" s="380" t="e">
        <f t="shared" si="35"/>
        <v>#N/A</v>
      </c>
      <c r="BXZ43" s="380" t="e">
        <f t="shared" si="35"/>
        <v>#N/A</v>
      </c>
      <c r="BYA43" s="380" t="e">
        <f t="shared" si="35"/>
        <v>#N/A</v>
      </c>
      <c r="BYB43" s="380" t="e">
        <f t="shared" si="35"/>
        <v>#N/A</v>
      </c>
      <c r="BYC43" s="380" t="e">
        <f t="shared" si="35"/>
        <v>#N/A</v>
      </c>
      <c r="BYD43" s="380" t="e">
        <f t="shared" si="35"/>
        <v>#N/A</v>
      </c>
      <c r="BYE43" s="380" t="e">
        <f t="shared" si="35"/>
        <v>#N/A</v>
      </c>
      <c r="BYF43" s="380" t="e">
        <f t="shared" si="35"/>
        <v>#N/A</v>
      </c>
      <c r="BYG43" s="380" t="e">
        <f t="shared" si="35"/>
        <v>#N/A</v>
      </c>
      <c r="BYH43" s="380" t="e">
        <f t="shared" si="35"/>
        <v>#N/A</v>
      </c>
      <c r="BYI43" s="380" t="e">
        <f t="shared" si="35"/>
        <v>#N/A</v>
      </c>
      <c r="BYJ43" s="380" t="e">
        <f t="shared" si="35"/>
        <v>#N/A</v>
      </c>
      <c r="BYK43" s="380" t="e">
        <f t="shared" si="35"/>
        <v>#N/A</v>
      </c>
      <c r="BYL43" s="380" t="e">
        <f t="shared" si="35"/>
        <v>#N/A</v>
      </c>
      <c r="BYM43" s="380" t="e">
        <f t="shared" si="35"/>
        <v>#N/A</v>
      </c>
      <c r="BYN43" s="380" t="e">
        <f t="shared" si="35"/>
        <v>#N/A</v>
      </c>
      <c r="BYO43" s="380" t="e">
        <f t="shared" si="35"/>
        <v>#N/A</v>
      </c>
      <c r="BYP43" s="380" t="e">
        <f t="shared" si="35"/>
        <v>#N/A</v>
      </c>
      <c r="BYQ43" s="380" t="e">
        <f t="shared" si="35"/>
        <v>#N/A</v>
      </c>
      <c r="BYR43" s="380" t="e">
        <f t="shared" si="35"/>
        <v>#N/A</v>
      </c>
      <c r="BYS43" s="380" t="e">
        <f t="shared" si="35"/>
        <v>#N/A</v>
      </c>
      <c r="BYT43" s="380" t="e">
        <f t="shared" si="35"/>
        <v>#N/A</v>
      </c>
      <c r="BYU43" s="380" t="e">
        <f t="shared" si="35"/>
        <v>#N/A</v>
      </c>
      <c r="BYV43" s="380" t="e">
        <f t="shared" si="35"/>
        <v>#N/A</v>
      </c>
      <c r="BYW43" s="380" t="e">
        <f t="shared" si="35"/>
        <v>#N/A</v>
      </c>
      <c r="BYX43" s="380" t="e">
        <f t="shared" si="35"/>
        <v>#N/A</v>
      </c>
      <c r="BYY43" s="380" t="e">
        <f t="shared" si="35"/>
        <v>#N/A</v>
      </c>
      <c r="BYZ43" s="380" t="e">
        <f t="shared" si="35"/>
        <v>#N/A</v>
      </c>
      <c r="BZA43" s="380" t="e">
        <f t="shared" si="35"/>
        <v>#N/A</v>
      </c>
      <c r="BZB43" s="380" t="e">
        <f t="shared" si="35"/>
        <v>#N/A</v>
      </c>
      <c r="BZC43" s="380" t="e">
        <f t="shared" si="35"/>
        <v>#N/A</v>
      </c>
      <c r="BZD43" s="380" t="e">
        <f t="shared" si="35"/>
        <v>#N/A</v>
      </c>
      <c r="BZE43" s="380" t="e">
        <f t="shared" si="35"/>
        <v>#N/A</v>
      </c>
      <c r="BZF43" s="380" t="e">
        <f t="shared" si="35"/>
        <v>#N/A</v>
      </c>
      <c r="BZG43" s="380" t="e">
        <f t="shared" si="35"/>
        <v>#N/A</v>
      </c>
      <c r="BZH43" s="380" t="e">
        <f t="shared" si="35"/>
        <v>#N/A</v>
      </c>
      <c r="BZI43" s="380" t="e">
        <f t="shared" si="35"/>
        <v>#N/A</v>
      </c>
      <c r="BZJ43" s="380" t="e">
        <f t="shared" si="35"/>
        <v>#N/A</v>
      </c>
      <c r="BZK43" s="380" t="e">
        <f t="shared" si="35"/>
        <v>#N/A</v>
      </c>
      <c r="BZL43" s="380" t="e">
        <f t="shared" si="35"/>
        <v>#N/A</v>
      </c>
      <c r="BZM43" s="380" t="e">
        <f t="shared" si="35"/>
        <v>#N/A</v>
      </c>
      <c r="BZN43" s="380" t="e">
        <f t="shared" si="35"/>
        <v>#N/A</v>
      </c>
      <c r="BZO43" s="380" t="e">
        <f t="shared" si="35"/>
        <v>#N/A</v>
      </c>
      <c r="BZP43" s="380" t="e">
        <f t="shared" si="35"/>
        <v>#N/A</v>
      </c>
      <c r="BZQ43" s="380" t="e">
        <f t="shared" si="35"/>
        <v>#N/A</v>
      </c>
      <c r="BZR43" s="380" t="e">
        <f t="shared" si="35"/>
        <v>#N/A</v>
      </c>
      <c r="BZS43" s="380" t="e">
        <f t="shared" si="35"/>
        <v>#N/A</v>
      </c>
      <c r="BZT43" s="380" t="e">
        <f t="shared" si="35"/>
        <v>#N/A</v>
      </c>
      <c r="BZU43" s="380" t="e">
        <f t="shared" si="35"/>
        <v>#N/A</v>
      </c>
      <c r="BZV43" s="380" t="e">
        <f t="shared" si="35"/>
        <v>#N/A</v>
      </c>
      <c r="BZW43" s="380" t="e">
        <f t="shared" si="35"/>
        <v>#N/A</v>
      </c>
      <c r="BZX43" s="380" t="e">
        <f t="shared" si="35"/>
        <v>#N/A</v>
      </c>
      <c r="BZY43" s="380" t="e">
        <f t="shared" si="35"/>
        <v>#N/A</v>
      </c>
      <c r="BZZ43" s="380" t="e">
        <f t="shared" si="35"/>
        <v>#N/A</v>
      </c>
      <c r="CAA43" s="380" t="e">
        <f t="shared" si="35"/>
        <v>#N/A</v>
      </c>
      <c r="CAB43" s="380" t="e">
        <f t="shared" ref="CAB43:CCM43" si="36">INDEX(CAB7:CAB40,MATCH($E$43,$E$7:$E$40,0))</f>
        <v>#N/A</v>
      </c>
      <c r="CAC43" s="380" t="e">
        <f t="shared" si="36"/>
        <v>#N/A</v>
      </c>
      <c r="CAD43" s="380" t="e">
        <f t="shared" si="36"/>
        <v>#N/A</v>
      </c>
      <c r="CAE43" s="380" t="e">
        <f t="shared" si="36"/>
        <v>#N/A</v>
      </c>
      <c r="CAF43" s="380" t="e">
        <f t="shared" si="36"/>
        <v>#N/A</v>
      </c>
      <c r="CAG43" s="380" t="e">
        <f t="shared" si="36"/>
        <v>#N/A</v>
      </c>
      <c r="CAH43" s="380" t="e">
        <f t="shared" si="36"/>
        <v>#N/A</v>
      </c>
      <c r="CAI43" s="380" t="e">
        <f t="shared" si="36"/>
        <v>#N/A</v>
      </c>
      <c r="CAJ43" s="380" t="e">
        <f t="shared" si="36"/>
        <v>#N/A</v>
      </c>
      <c r="CAK43" s="380" t="e">
        <f t="shared" si="36"/>
        <v>#N/A</v>
      </c>
      <c r="CAL43" s="380" t="e">
        <f t="shared" si="36"/>
        <v>#N/A</v>
      </c>
      <c r="CAM43" s="380" t="e">
        <f t="shared" si="36"/>
        <v>#N/A</v>
      </c>
      <c r="CAN43" s="380" t="e">
        <f t="shared" si="36"/>
        <v>#N/A</v>
      </c>
      <c r="CAO43" s="380" t="e">
        <f t="shared" si="36"/>
        <v>#N/A</v>
      </c>
      <c r="CAP43" s="380" t="e">
        <f t="shared" si="36"/>
        <v>#N/A</v>
      </c>
      <c r="CAQ43" s="380" t="e">
        <f t="shared" si="36"/>
        <v>#N/A</v>
      </c>
      <c r="CAR43" s="380" t="e">
        <f t="shared" si="36"/>
        <v>#N/A</v>
      </c>
      <c r="CAS43" s="380" t="e">
        <f t="shared" si="36"/>
        <v>#N/A</v>
      </c>
      <c r="CAT43" s="380" t="e">
        <f t="shared" si="36"/>
        <v>#N/A</v>
      </c>
      <c r="CAU43" s="380" t="e">
        <f t="shared" si="36"/>
        <v>#N/A</v>
      </c>
      <c r="CAV43" s="380" t="e">
        <f t="shared" si="36"/>
        <v>#N/A</v>
      </c>
      <c r="CAW43" s="380" t="e">
        <f t="shared" si="36"/>
        <v>#N/A</v>
      </c>
      <c r="CAX43" s="380" t="e">
        <f t="shared" si="36"/>
        <v>#N/A</v>
      </c>
      <c r="CAY43" s="380" t="e">
        <f t="shared" si="36"/>
        <v>#N/A</v>
      </c>
      <c r="CAZ43" s="380" t="e">
        <f t="shared" si="36"/>
        <v>#N/A</v>
      </c>
      <c r="CBA43" s="380" t="e">
        <f t="shared" si="36"/>
        <v>#N/A</v>
      </c>
      <c r="CBB43" s="380" t="e">
        <f t="shared" si="36"/>
        <v>#N/A</v>
      </c>
      <c r="CBC43" s="380" t="e">
        <f t="shared" si="36"/>
        <v>#N/A</v>
      </c>
      <c r="CBD43" s="380" t="e">
        <f t="shared" si="36"/>
        <v>#N/A</v>
      </c>
      <c r="CBE43" s="380" t="e">
        <f t="shared" si="36"/>
        <v>#N/A</v>
      </c>
      <c r="CBF43" s="380" t="e">
        <f t="shared" si="36"/>
        <v>#N/A</v>
      </c>
      <c r="CBG43" s="380" t="e">
        <f t="shared" si="36"/>
        <v>#N/A</v>
      </c>
      <c r="CBH43" s="380" t="e">
        <f t="shared" si="36"/>
        <v>#N/A</v>
      </c>
      <c r="CBI43" s="380" t="e">
        <f t="shared" si="36"/>
        <v>#N/A</v>
      </c>
      <c r="CBJ43" s="380" t="e">
        <f t="shared" si="36"/>
        <v>#N/A</v>
      </c>
      <c r="CBK43" s="380" t="e">
        <f t="shared" si="36"/>
        <v>#N/A</v>
      </c>
      <c r="CBL43" s="380" t="e">
        <f t="shared" si="36"/>
        <v>#N/A</v>
      </c>
      <c r="CBM43" s="380" t="e">
        <f t="shared" si="36"/>
        <v>#N/A</v>
      </c>
      <c r="CBN43" s="380" t="e">
        <f t="shared" si="36"/>
        <v>#N/A</v>
      </c>
      <c r="CBO43" s="380" t="e">
        <f t="shared" si="36"/>
        <v>#N/A</v>
      </c>
      <c r="CBP43" s="380" t="e">
        <f t="shared" si="36"/>
        <v>#N/A</v>
      </c>
      <c r="CBQ43" s="380" t="e">
        <f t="shared" si="36"/>
        <v>#N/A</v>
      </c>
      <c r="CBR43" s="380" t="e">
        <f t="shared" si="36"/>
        <v>#N/A</v>
      </c>
      <c r="CBS43" s="380" t="e">
        <f t="shared" si="36"/>
        <v>#N/A</v>
      </c>
      <c r="CBT43" s="380" t="e">
        <f t="shared" si="36"/>
        <v>#N/A</v>
      </c>
      <c r="CBU43" s="380" t="e">
        <f t="shared" si="36"/>
        <v>#N/A</v>
      </c>
      <c r="CBV43" s="380" t="e">
        <f t="shared" si="36"/>
        <v>#N/A</v>
      </c>
      <c r="CBW43" s="380" t="e">
        <f t="shared" si="36"/>
        <v>#N/A</v>
      </c>
      <c r="CBX43" s="380" t="e">
        <f t="shared" si="36"/>
        <v>#N/A</v>
      </c>
      <c r="CBY43" s="380" t="e">
        <f t="shared" si="36"/>
        <v>#N/A</v>
      </c>
      <c r="CBZ43" s="380" t="e">
        <f t="shared" si="36"/>
        <v>#N/A</v>
      </c>
      <c r="CCA43" s="380" t="e">
        <f t="shared" si="36"/>
        <v>#N/A</v>
      </c>
      <c r="CCB43" s="380" t="e">
        <f t="shared" si="36"/>
        <v>#N/A</v>
      </c>
      <c r="CCC43" s="380" t="e">
        <f t="shared" si="36"/>
        <v>#N/A</v>
      </c>
      <c r="CCD43" s="380" t="e">
        <f t="shared" si="36"/>
        <v>#N/A</v>
      </c>
      <c r="CCE43" s="380" t="e">
        <f t="shared" si="36"/>
        <v>#N/A</v>
      </c>
      <c r="CCF43" s="380" t="e">
        <f t="shared" si="36"/>
        <v>#N/A</v>
      </c>
      <c r="CCG43" s="380" t="e">
        <f t="shared" si="36"/>
        <v>#N/A</v>
      </c>
      <c r="CCH43" s="380" t="e">
        <f t="shared" si="36"/>
        <v>#N/A</v>
      </c>
      <c r="CCI43" s="380" t="e">
        <f t="shared" si="36"/>
        <v>#N/A</v>
      </c>
      <c r="CCJ43" s="380" t="e">
        <f t="shared" si="36"/>
        <v>#N/A</v>
      </c>
      <c r="CCK43" s="380" t="e">
        <f t="shared" si="36"/>
        <v>#N/A</v>
      </c>
      <c r="CCL43" s="380" t="e">
        <f t="shared" si="36"/>
        <v>#N/A</v>
      </c>
      <c r="CCM43" s="380" t="e">
        <f t="shared" si="36"/>
        <v>#N/A</v>
      </c>
      <c r="CCN43" s="380" t="e">
        <f t="shared" ref="CCN43:CEY43" si="37">INDEX(CCN7:CCN40,MATCH($E$43,$E$7:$E$40,0))</f>
        <v>#N/A</v>
      </c>
      <c r="CCO43" s="380" t="e">
        <f t="shared" si="37"/>
        <v>#N/A</v>
      </c>
      <c r="CCP43" s="380" t="e">
        <f t="shared" si="37"/>
        <v>#N/A</v>
      </c>
      <c r="CCQ43" s="380" t="e">
        <f t="shared" si="37"/>
        <v>#N/A</v>
      </c>
      <c r="CCR43" s="380" t="e">
        <f t="shared" si="37"/>
        <v>#N/A</v>
      </c>
      <c r="CCS43" s="380" t="e">
        <f t="shared" si="37"/>
        <v>#N/A</v>
      </c>
      <c r="CCT43" s="380" t="e">
        <f t="shared" si="37"/>
        <v>#N/A</v>
      </c>
      <c r="CCU43" s="380" t="e">
        <f t="shared" si="37"/>
        <v>#N/A</v>
      </c>
      <c r="CCV43" s="380" t="e">
        <f t="shared" si="37"/>
        <v>#N/A</v>
      </c>
      <c r="CCW43" s="380" t="e">
        <f t="shared" si="37"/>
        <v>#N/A</v>
      </c>
      <c r="CCX43" s="380" t="e">
        <f t="shared" si="37"/>
        <v>#N/A</v>
      </c>
      <c r="CCY43" s="380" t="e">
        <f t="shared" si="37"/>
        <v>#N/A</v>
      </c>
      <c r="CCZ43" s="380" t="e">
        <f t="shared" si="37"/>
        <v>#N/A</v>
      </c>
      <c r="CDA43" s="380" t="e">
        <f t="shared" si="37"/>
        <v>#N/A</v>
      </c>
      <c r="CDB43" s="380" t="e">
        <f t="shared" si="37"/>
        <v>#N/A</v>
      </c>
      <c r="CDC43" s="380" t="e">
        <f t="shared" si="37"/>
        <v>#N/A</v>
      </c>
      <c r="CDD43" s="380" t="e">
        <f t="shared" si="37"/>
        <v>#N/A</v>
      </c>
      <c r="CDE43" s="380" t="e">
        <f t="shared" si="37"/>
        <v>#N/A</v>
      </c>
      <c r="CDF43" s="380" t="e">
        <f t="shared" si="37"/>
        <v>#N/A</v>
      </c>
      <c r="CDG43" s="380" t="e">
        <f t="shared" si="37"/>
        <v>#N/A</v>
      </c>
      <c r="CDH43" s="380" t="e">
        <f t="shared" si="37"/>
        <v>#N/A</v>
      </c>
      <c r="CDI43" s="380" t="e">
        <f t="shared" si="37"/>
        <v>#N/A</v>
      </c>
      <c r="CDJ43" s="380" t="e">
        <f t="shared" si="37"/>
        <v>#N/A</v>
      </c>
      <c r="CDK43" s="380" t="e">
        <f t="shared" si="37"/>
        <v>#N/A</v>
      </c>
      <c r="CDL43" s="380" t="e">
        <f t="shared" si="37"/>
        <v>#N/A</v>
      </c>
      <c r="CDM43" s="380" t="e">
        <f t="shared" si="37"/>
        <v>#N/A</v>
      </c>
      <c r="CDN43" s="380" t="e">
        <f t="shared" si="37"/>
        <v>#N/A</v>
      </c>
      <c r="CDO43" s="380" t="e">
        <f t="shared" si="37"/>
        <v>#N/A</v>
      </c>
      <c r="CDP43" s="380" t="e">
        <f t="shared" si="37"/>
        <v>#N/A</v>
      </c>
      <c r="CDQ43" s="380" t="e">
        <f t="shared" si="37"/>
        <v>#N/A</v>
      </c>
      <c r="CDR43" s="380" t="e">
        <f t="shared" si="37"/>
        <v>#N/A</v>
      </c>
      <c r="CDS43" s="380" t="e">
        <f t="shared" si="37"/>
        <v>#N/A</v>
      </c>
      <c r="CDT43" s="380" t="e">
        <f t="shared" si="37"/>
        <v>#N/A</v>
      </c>
      <c r="CDU43" s="380" t="e">
        <f t="shared" si="37"/>
        <v>#N/A</v>
      </c>
      <c r="CDV43" s="380" t="e">
        <f t="shared" si="37"/>
        <v>#N/A</v>
      </c>
      <c r="CDW43" s="380" t="e">
        <f t="shared" si="37"/>
        <v>#N/A</v>
      </c>
      <c r="CDX43" s="380" t="e">
        <f t="shared" si="37"/>
        <v>#N/A</v>
      </c>
      <c r="CDY43" s="380" t="e">
        <f t="shared" si="37"/>
        <v>#N/A</v>
      </c>
      <c r="CDZ43" s="380" t="e">
        <f t="shared" si="37"/>
        <v>#N/A</v>
      </c>
      <c r="CEA43" s="380" t="e">
        <f t="shared" si="37"/>
        <v>#N/A</v>
      </c>
      <c r="CEB43" s="380" t="e">
        <f t="shared" si="37"/>
        <v>#N/A</v>
      </c>
      <c r="CEC43" s="380" t="e">
        <f t="shared" si="37"/>
        <v>#N/A</v>
      </c>
      <c r="CED43" s="380" t="e">
        <f t="shared" si="37"/>
        <v>#N/A</v>
      </c>
      <c r="CEE43" s="380" t="e">
        <f t="shared" si="37"/>
        <v>#N/A</v>
      </c>
      <c r="CEF43" s="380" t="e">
        <f t="shared" si="37"/>
        <v>#N/A</v>
      </c>
      <c r="CEG43" s="380" t="e">
        <f t="shared" si="37"/>
        <v>#N/A</v>
      </c>
      <c r="CEH43" s="380" t="e">
        <f t="shared" si="37"/>
        <v>#N/A</v>
      </c>
      <c r="CEI43" s="380" t="e">
        <f t="shared" si="37"/>
        <v>#N/A</v>
      </c>
      <c r="CEJ43" s="380" t="e">
        <f t="shared" si="37"/>
        <v>#N/A</v>
      </c>
      <c r="CEK43" s="380" t="e">
        <f t="shared" si="37"/>
        <v>#N/A</v>
      </c>
      <c r="CEL43" s="380" t="e">
        <f t="shared" si="37"/>
        <v>#N/A</v>
      </c>
      <c r="CEM43" s="380" t="e">
        <f t="shared" si="37"/>
        <v>#N/A</v>
      </c>
      <c r="CEN43" s="380" t="e">
        <f t="shared" si="37"/>
        <v>#N/A</v>
      </c>
      <c r="CEO43" s="380" t="e">
        <f t="shared" si="37"/>
        <v>#N/A</v>
      </c>
      <c r="CEP43" s="380" t="e">
        <f t="shared" si="37"/>
        <v>#N/A</v>
      </c>
      <c r="CEQ43" s="380" t="e">
        <f t="shared" si="37"/>
        <v>#N/A</v>
      </c>
      <c r="CER43" s="380" t="e">
        <f t="shared" si="37"/>
        <v>#N/A</v>
      </c>
      <c r="CES43" s="380" t="e">
        <f t="shared" si="37"/>
        <v>#N/A</v>
      </c>
      <c r="CET43" s="380" t="e">
        <f t="shared" si="37"/>
        <v>#N/A</v>
      </c>
      <c r="CEU43" s="380" t="e">
        <f t="shared" si="37"/>
        <v>#N/A</v>
      </c>
      <c r="CEV43" s="380" t="e">
        <f t="shared" si="37"/>
        <v>#N/A</v>
      </c>
      <c r="CEW43" s="380" t="e">
        <f t="shared" si="37"/>
        <v>#N/A</v>
      </c>
      <c r="CEX43" s="380" t="e">
        <f t="shared" si="37"/>
        <v>#N/A</v>
      </c>
      <c r="CEY43" s="380" t="e">
        <f t="shared" si="37"/>
        <v>#N/A</v>
      </c>
      <c r="CEZ43" s="380" t="e">
        <f t="shared" ref="CEZ43:CHK43" si="38">INDEX(CEZ7:CEZ40,MATCH($E$43,$E$7:$E$40,0))</f>
        <v>#N/A</v>
      </c>
      <c r="CFA43" s="380" t="e">
        <f t="shared" si="38"/>
        <v>#N/A</v>
      </c>
      <c r="CFB43" s="380" t="e">
        <f t="shared" si="38"/>
        <v>#N/A</v>
      </c>
      <c r="CFC43" s="380" t="e">
        <f t="shared" si="38"/>
        <v>#N/A</v>
      </c>
      <c r="CFD43" s="380" t="e">
        <f t="shared" si="38"/>
        <v>#N/A</v>
      </c>
      <c r="CFE43" s="380" t="e">
        <f t="shared" si="38"/>
        <v>#N/A</v>
      </c>
      <c r="CFF43" s="380" t="e">
        <f t="shared" si="38"/>
        <v>#N/A</v>
      </c>
      <c r="CFG43" s="380" t="e">
        <f t="shared" si="38"/>
        <v>#N/A</v>
      </c>
      <c r="CFH43" s="380" t="e">
        <f t="shared" si="38"/>
        <v>#N/A</v>
      </c>
      <c r="CFI43" s="380" t="e">
        <f t="shared" si="38"/>
        <v>#N/A</v>
      </c>
      <c r="CFJ43" s="380" t="e">
        <f t="shared" si="38"/>
        <v>#N/A</v>
      </c>
      <c r="CFK43" s="380" t="e">
        <f t="shared" si="38"/>
        <v>#N/A</v>
      </c>
      <c r="CFL43" s="380" t="e">
        <f t="shared" si="38"/>
        <v>#N/A</v>
      </c>
      <c r="CFM43" s="380" t="e">
        <f t="shared" si="38"/>
        <v>#N/A</v>
      </c>
      <c r="CFN43" s="380" t="e">
        <f t="shared" si="38"/>
        <v>#N/A</v>
      </c>
      <c r="CFO43" s="380" t="e">
        <f t="shared" si="38"/>
        <v>#N/A</v>
      </c>
      <c r="CFP43" s="380" t="e">
        <f t="shared" si="38"/>
        <v>#N/A</v>
      </c>
      <c r="CFQ43" s="380" t="e">
        <f t="shared" si="38"/>
        <v>#N/A</v>
      </c>
      <c r="CFR43" s="380" t="e">
        <f t="shared" si="38"/>
        <v>#N/A</v>
      </c>
      <c r="CFS43" s="380" t="e">
        <f t="shared" si="38"/>
        <v>#N/A</v>
      </c>
      <c r="CFT43" s="380" t="e">
        <f t="shared" si="38"/>
        <v>#N/A</v>
      </c>
      <c r="CFU43" s="380" t="e">
        <f t="shared" si="38"/>
        <v>#N/A</v>
      </c>
      <c r="CFV43" s="380" t="e">
        <f t="shared" si="38"/>
        <v>#N/A</v>
      </c>
      <c r="CFW43" s="380" t="e">
        <f t="shared" si="38"/>
        <v>#N/A</v>
      </c>
      <c r="CFX43" s="380" t="e">
        <f t="shared" si="38"/>
        <v>#N/A</v>
      </c>
      <c r="CFY43" s="380" t="e">
        <f t="shared" si="38"/>
        <v>#N/A</v>
      </c>
      <c r="CFZ43" s="380" t="e">
        <f t="shared" si="38"/>
        <v>#N/A</v>
      </c>
      <c r="CGA43" s="380" t="e">
        <f t="shared" si="38"/>
        <v>#N/A</v>
      </c>
      <c r="CGB43" s="380" t="e">
        <f t="shared" si="38"/>
        <v>#N/A</v>
      </c>
      <c r="CGC43" s="380" t="e">
        <f t="shared" si="38"/>
        <v>#N/A</v>
      </c>
      <c r="CGD43" s="380" t="e">
        <f t="shared" si="38"/>
        <v>#N/A</v>
      </c>
      <c r="CGE43" s="380" t="e">
        <f t="shared" si="38"/>
        <v>#N/A</v>
      </c>
      <c r="CGF43" s="380" t="e">
        <f t="shared" si="38"/>
        <v>#N/A</v>
      </c>
      <c r="CGG43" s="380" t="e">
        <f t="shared" si="38"/>
        <v>#N/A</v>
      </c>
      <c r="CGH43" s="380" t="e">
        <f t="shared" si="38"/>
        <v>#N/A</v>
      </c>
      <c r="CGI43" s="380" t="e">
        <f t="shared" si="38"/>
        <v>#N/A</v>
      </c>
      <c r="CGJ43" s="380" t="e">
        <f t="shared" si="38"/>
        <v>#N/A</v>
      </c>
      <c r="CGK43" s="380" t="e">
        <f t="shared" si="38"/>
        <v>#N/A</v>
      </c>
      <c r="CGL43" s="380" t="e">
        <f t="shared" si="38"/>
        <v>#N/A</v>
      </c>
      <c r="CGM43" s="380" t="e">
        <f t="shared" si="38"/>
        <v>#N/A</v>
      </c>
      <c r="CGN43" s="380" t="e">
        <f t="shared" si="38"/>
        <v>#N/A</v>
      </c>
      <c r="CGO43" s="380" t="e">
        <f t="shared" si="38"/>
        <v>#N/A</v>
      </c>
      <c r="CGP43" s="380" t="e">
        <f t="shared" si="38"/>
        <v>#N/A</v>
      </c>
      <c r="CGQ43" s="380" t="e">
        <f t="shared" si="38"/>
        <v>#N/A</v>
      </c>
      <c r="CGR43" s="380" t="e">
        <f t="shared" si="38"/>
        <v>#N/A</v>
      </c>
      <c r="CGS43" s="380" t="e">
        <f t="shared" si="38"/>
        <v>#N/A</v>
      </c>
      <c r="CGT43" s="380" t="e">
        <f t="shared" si="38"/>
        <v>#N/A</v>
      </c>
      <c r="CGU43" s="380" t="e">
        <f t="shared" si="38"/>
        <v>#N/A</v>
      </c>
      <c r="CGV43" s="380" t="e">
        <f t="shared" si="38"/>
        <v>#N/A</v>
      </c>
      <c r="CGW43" s="380" t="e">
        <f t="shared" si="38"/>
        <v>#N/A</v>
      </c>
      <c r="CGX43" s="380" t="e">
        <f t="shared" si="38"/>
        <v>#N/A</v>
      </c>
      <c r="CGY43" s="380" t="e">
        <f t="shared" si="38"/>
        <v>#N/A</v>
      </c>
      <c r="CGZ43" s="380" t="e">
        <f t="shared" si="38"/>
        <v>#N/A</v>
      </c>
      <c r="CHA43" s="380" t="e">
        <f t="shared" si="38"/>
        <v>#N/A</v>
      </c>
      <c r="CHB43" s="380" t="e">
        <f t="shared" si="38"/>
        <v>#N/A</v>
      </c>
      <c r="CHC43" s="380" t="e">
        <f t="shared" si="38"/>
        <v>#N/A</v>
      </c>
      <c r="CHD43" s="380" t="e">
        <f t="shared" si="38"/>
        <v>#N/A</v>
      </c>
      <c r="CHE43" s="380" t="e">
        <f t="shared" si="38"/>
        <v>#N/A</v>
      </c>
      <c r="CHF43" s="380" t="e">
        <f t="shared" si="38"/>
        <v>#N/A</v>
      </c>
      <c r="CHG43" s="380" t="e">
        <f t="shared" si="38"/>
        <v>#N/A</v>
      </c>
      <c r="CHH43" s="380" t="e">
        <f t="shared" si="38"/>
        <v>#N/A</v>
      </c>
      <c r="CHI43" s="380" t="e">
        <f t="shared" si="38"/>
        <v>#N/A</v>
      </c>
      <c r="CHJ43" s="380" t="e">
        <f t="shared" si="38"/>
        <v>#N/A</v>
      </c>
      <c r="CHK43" s="380" t="e">
        <f t="shared" si="38"/>
        <v>#N/A</v>
      </c>
      <c r="CHL43" s="380" t="e">
        <f t="shared" ref="CHL43:CJW43" si="39">INDEX(CHL7:CHL40,MATCH($E$43,$E$7:$E$40,0))</f>
        <v>#N/A</v>
      </c>
      <c r="CHM43" s="380" t="e">
        <f t="shared" si="39"/>
        <v>#N/A</v>
      </c>
      <c r="CHN43" s="380" t="e">
        <f t="shared" si="39"/>
        <v>#N/A</v>
      </c>
      <c r="CHO43" s="380" t="e">
        <f t="shared" si="39"/>
        <v>#N/A</v>
      </c>
      <c r="CHP43" s="380" t="e">
        <f t="shared" si="39"/>
        <v>#N/A</v>
      </c>
      <c r="CHQ43" s="380" t="e">
        <f t="shared" si="39"/>
        <v>#N/A</v>
      </c>
      <c r="CHR43" s="380" t="e">
        <f t="shared" si="39"/>
        <v>#N/A</v>
      </c>
      <c r="CHS43" s="380" t="e">
        <f t="shared" si="39"/>
        <v>#N/A</v>
      </c>
      <c r="CHT43" s="380" t="e">
        <f t="shared" si="39"/>
        <v>#N/A</v>
      </c>
      <c r="CHU43" s="380" t="e">
        <f t="shared" si="39"/>
        <v>#N/A</v>
      </c>
      <c r="CHV43" s="380" t="e">
        <f t="shared" si="39"/>
        <v>#N/A</v>
      </c>
      <c r="CHW43" s="380" t="e">
        <f t="shared" si="39"/>
        <v>#N/A</v>
      </c>
      <c r="CHX43" s="380" t="e">
        <f t="shared" si="39"/>
        <v>#N/A</v>
      </c>
      <c r="CHY43" s="380" t="e">
        <f t="shared" si="39"/>
        <v>#N/A</v>
      </c>
      <c r="CHZ43" s="380" t="e">
        <f t="shared" si="39"/>
        <v>#N/A</v>
      </c>
      <c r="CIA43" s="380" t="e">
        <f t="shared" si="39"/>
        <v>#N/A</v>
      </c>
      <c r="CIB43" s="380" t="e">
        <f t="shared" si="39"/>
        <v>#N/A</v>
      </c>
      <c r="CIC43" s="380" t="e">
        <f t="shared" si="39"/>
        <v>#N/A</v>
      </c>
      <c r="CID43" s="380" t="e">
        <f t="shared" si="39"/>
        <v>#N/A</v>
      </c>
      <c r="CIE43" s="380" t="e">
        <f t="shared" si="39"/>
        <v>#N/A</v>
      </c>
      <c r="CIF43" s="380" t="e">
        <f t="shared" si="39"/>
        <v>#N/A</v>
      </c>
      <c r="CIG43" s="380" t="e">
        <f t="shared" si="39"/>
        <v>#N/A</v>
      </c>
      <c r="CIH43" s="380" t="e">
        <f t="shared" si="39"/>
        <v>#N/A</v>
      </c>
      <c r="CII43" s="380" t="e">
        <f t="shared" si="39"/>
        <v>#N/A</v>
      </c>
      <c r="CIJ43" s="380" t="e">
        <f t="shared" si="39"/>
        <v>#N/A</v>
      </c>
      <c r="CIK43" s="380" t="e">
        <f t="shared" si="39"/>
        <v>#N/A</v>
      </c>
      <c r="CIL43" s="380" t="e">
        <f t="shared" si="39"/>
        <v>#N/A</v>
      </c>
      <c r="CIM43" s="380" t="e">
        <f t="shared" si="39"/>
        <v>#N/A</v>
      </c>
      <c r="CIN43" s="380" t="e">
        <f t="shared" si="39"/>
        <v>#N/A</v>
      </c>
      <c r="CIO43" s="380" t="e">
        <f t="shared" si="39"/>
        <v>#N/A</v>
      </c>
      <c r="CIP43" s="380" t="e">
        <f t="shared" si="39"/>
        <v>#N/A</v>
      </c>
      <c r="CIQ43" s="380" t="e">
        <f t="shared" si="39"/>
        <v>#N/A</v>
      </c>
      <c r="CIR43" s="380" t="e">
        <f t="shared" si="39"/>
        <v>#N/A</v>
      </c>
      <c r="CIS43" s="380" t="e">
        <f t="shared" si="39"/>
        <v>#N/A</v>
      </c>
      <c r="CIT43" s="380" t="e">
        <f t="shared" si="39"/>
        <v>#N/A</v>
      </c>
      <c r="CIU43" s="380" t="e">
        <f t="shared" si="39"/>
        <v>#N/A</v>
      </c>
      <c r="CIV43" s="380" t="e">
        <f t="shared" si="39"/>
        <v>#N/A</v>
      </c>
      <c r="CIW43" s="380" t="e">
        <f t="shared" si="39"/>
        <v>#N/A</v>
      </c>
      <c r="CIX43" s="380" t="e">
        <f t="shared" si="39"/>
        <v>#N/A</v>
      </c>
      <c r="CIY43" s="380" t="e">
        <f t="shared" si="39"/>
        <v>#N/A</v>
      </c>
      <c r="CIZ43" s="380" t="e">
        <f t="shared" si="39"/>
        <v>#N/A</v>
      </c>
      <c r="CJA43" s="380" t="e">
        <f t="shared" si="39"/>
        <v>#N/A</v>
      </c>
      <c r="CJB43" s="380" t="e">
        <f t="shared" si="39"/>
        <v>#N/A</v>
      </c>
      <c r="CJC43" s="380" t="e">
        <f t="shared" si="39"/>
        <v>#N/A</v>
      </c>
      <c r="CJD43" s="380" t="e">
        <f t="shared" si="39"/>
        <v>#N/A</v>
      </c>
      <c r="CJE43" s="380" t="e">
        <f t="shared" si="39"/>
        <v>#N/A</v>
      </c>
      <c r="CJF43" s="380" t="e">
        <f t="shared" si="39"/>
        <v>#N/A</v>
      </c>
      <c r="CJG43" s="380" t="e">
        <f t="shared" si="39"/>
        <v>#N/A</v>
      </c>
      <c r="CJH43" s="380" t="e">
        <f t="shared" si="39"/>
        <v>#N/A</v>
      </c>
      <c r="CJI43" s="380" t="e">
        <f t="shared" si="39"/>
        <v>#N/A</v>
      </c>
      <c r="CJJ43" s="380" t="e">
        <f t="shared" si="39"/>
        <v>#N/A</v>
      </c>
      <c r="CJK43" s="380" t="e">
        <f t="shared" si="39"/>
        <v>#N/A</v>
      </c>
      <c r="CJL43" s="380" t="e">
        <f t="shared" si="39"/>
        <v>#N/A</v>
      </c>
      <c r="CJM43" s="380" t="e">
        <f t="shared" si="39"/>
        <v>#N/A</v>
      </c>
      <c r="CJN43" s="380" t="e">
        <f t="shared" si="39"/>
        <v>#N/A</v>
      </c>
      <c r="CJO43" s="380" t="e">
        <f t="shared" si="39"/>
        <v>#N/A</v>
      </c>
      <c r="CJP43" s="380" t="e">
        <f t="shared" si="39"/>
        <v>#N/A</v>
      </c>
      <c r="CJQ43" s="380" t="e">
        <f t="shared" si="39"/>
        <v>#N/A</v>
      </c>
      <c r="CJR43" s="380" t="e">
        <f t="shared" si="39"/>
        <v>#N/A</v>
      </c>
      <c r="CJS43" s="380" t="e">
        <f t="shared" si="39"/>
        <v>#N/A</v>
      </c>
      <c r="CJT43" s="380" t="e">
        <f t="shared" si="39"/>
        <v>#N/A</v>
      </c>
      <c r="CJU43" s="380" t="e">
        <f t="shared" si="39"/>
        <v>#N/A</v>
      </c>
      <c r="CJV43" s="380" t="e">
        <f t="shared" si="39"/>
        <v>#N/A</v>
      </c>
      <c r="CJW43" s="380" t="e">
        <f t="shared" si="39"/>
        <v>#N/A</v>
      </c>
      <c r="CJX43" s="380" t="e">
        <f t="shared" ref="CJX43:CMI43" si="40">INDEX(CJX7:CJX40,MATCH($E$43,$E$7:$E$40,0))</f>
        <v>#N/A</v>
      </c>
      <c r="CJY43" s="380" t="e">
        <f t="shared" si="40"/>
        <v>#N/A</v>
      </c>
      <c r="CJZ43" s="380" t="e">
        <f t="shared" si="40"/>
        <v>#N/A</v>
      </c>
      <c r="CKA43" s="380" t="e">
        <f t="shared" si="40"/>
        <v>#N/A</v>
      </c>
      <c r="CKB43" s="380" t="e">
        <f t="shared" si="40"/>
        <v>#N/A</v>
      </c>
      <c r="CKC43" s="380" t="e">
        <f t="shared" si="40"/>
        <v>#N/A</v>
      </c>
      <c r="CKD43" s="380" t="e">
        <f t="shared" si="40"/>
        <v>#N/A</v>
      </c>
      <c r="CKE43" s="380" t="e">
        <f t="shared" si="40"/>
        <v>#N/A</v>
      </c>
      <c r="CKF43" s="380" t="e">
        <f t="shared" si="40"/>
        <v>#N/A</v>
      </c>
      <c r="CKG43" s="380" t="e">
        <f t="shared" si="40"/>
        <v>#N/A</v>
      </c>
      <c r="CKH43" s="380" t="e">
        <f t="shared" si="40"/>
        <v>#N/A</v>
      </c>
      <c r="CKI43" s="380" t="e">
        <f t="shared" si="40"/>
        <v>#N/A</v>
      </c>
      <c r="CKJ43" s="380" t="e">
        <f t="shared" si="40"/>
        <v>#N/A</v>
      </c>
      <c r="CKK43" s="380" t="e">
        <f t="shared" si="40"/>
        <v>#N/A</v>
      </c>
      <c r="CKL43" s="380" t="e">
        <f t="shared" si="40"/>
        <v>#N/A</v>
      </c>
      <c r="CKM43" s="380" t="e">
        <f t="shared" si="40"/>
        <v>#N/A</v>
      </c>
      <c r="CKN43" s="380" t="e">
        <f t="shared" si="40"/>
        <v>#N/A</v>
      </c>
      <c r="CKO43" s="380" t="e">
        <f t="shared" si="40"/>
        <v>#N/A</v>
      </c>
      <c r="CKP43" s="380" t="e">
        <f t="shared" si="40"/>
        <v>#N/A</v>
      </c>
      <c r="CKQ43" s="380" t="e">
        <f t="shared" si="40"/>
        <v>#N/A</v>
      </c>
      <c r="CKR43" s="380" t="e">
        <f t="shared" si="40"/>
        <v>#N/A</v>
      </c>
      <c r="CKS43" s="380" t="e">
        <f t="shared" si="40"/>
        <v>#N/A</v>
      </c>
      <c r="CKT43" s="380" t="e">
        <f t="shared" si="40"/>
        <v>#N/A</v>
      </c>
      <c r="CKU43" s="380" t="e">
        <f t="shared" si="40"/>
        <v>#N/A</v>
      </c>
      <c r="CKV43" s="380" t="e">
        <f t="shared" si="40"/>
        <v>#N/A</v>
      </c>
      <c r="CKW43" s="380" t="e">
        <f t="shared" si="40"/>
        <v>#N/A</v>
      </c>
      <c r="CKX43" s="380" t="e">
        <f t="shared" si="40"/>
        <v>#N/A</v>
      </c>
      <c r="CKY43" s="380" t="e">
        <f t="shared" si="40"/>
        <v>#N/A</v>
      </c>
      <c r="CKZ43" s="380" t="e">
        <f t="shared" si="40"/>
        <v>#N/A</v>
      </c>
      <c r="CLA43" s="380" t="e">
        <f t="shared" si="40"/>
        <v>#N/A</v>
      </c>
      <c r="CLB43" s="380" t="e">
        <f t="shared" si="40"/>
        <v>#N/A</v>
      </c>
      <c r="CLC43" s="380" t="e">
        <f t="shared" si="40"/>
        <v>#N/A</v>
      </c>
      <c r="CLD43" s="380" t="e">
        <f t="shared" si="40"/>
        <v>#N/A</v>
      </c>
      <c r="CLE43" s="380" t="e">
        <f t="shared" si="40"/>
        <v>#N/A</v>
      </c>
      <c r="CLF43" s="380" t="e">
        <f t="shared" si="40"/>
        <v>#N/A</v>
      </c>
      <c r="CLG43" s="380" t="e">
        <f t="shared" si="40"/>
        <v>#N/A</v>
      </c>
      <c r="CLH43" s="380" t="e">
        <f t="shared" si="40"/>
        <v>#N/A</v>
      </c>
      <c r="CLI43" s="380" t="e">
        <f t="shared" si="40"/>
        <v>#N/A</v>
      </c>
      <c r="CLJ43" s="380" t="e">
        <f t="shared" si="40"/>
        <v>#N/A</v>
      </c>
      <c r="CLK43" s="380" t="e">
        <f t="shared" si="40"/>
        <v>#N/A</v>
      </c>
      <c r="CLL43" s="380" t="e">
        <f t="shared" si="40"/>
        <v>#N/A</v>
      </c>
      <c r="CLM43" s="380" t="e">
        <f t="shared" si="40"/>
        <v>#N/A</v>
      </c>
      <c r="CLN43" s="380" t="e">
        <f t="shared" si="40"/>
        <v>#N/A</v>
      </c>
      <c r="CLO43" s="380" t="e">
        <f t="shared" si="40"/>
        <v>#N/A</v>
      </c>
      <c r="CLP43" s="380" t="e">
        <f t="shared" si="40"/>
        <v>#N/A</v>
      </c>
      <c r="CLQ43" s="380" t="e">
        <f t="shared" si="40"/>
        <v>#N/A</v>
      </c>
      <c r="CLR43" s="380" t="e">
        <f t="shared" si="40"/>
        <v>#N/A</v>
      </c>
      <c r="CLS43" s="380" t="e">
        <f t="shared" si="40"/>
        <v>#N/A</v>
      </c>
      <c r="CLT43" s="380" t="e">
        <f t="shared" si="40"/>
        <v>#N/A</v>
      </c>
      <c r="CLU43" s="380" t="e">
        <f t="shared" si="40"/>
        <v>#N/A</v>
      </c>
      <c r="CLV43" s="380" t="e">
        <f t="shared" si="40"/>
        <v>#N/A</v>
      </c>
      <c r="CLW43" s="380" t="e">
        <f t="shared" si="40"/>
        <v>#N/A</v>
      </c>
      <c r="CLX43" s="380" t="e">
        <f t="shared" si="40"/>
        <v>#N/A</v>
      </c>
      <c r="CLY43" s="380" t="e">
        <f t="shared" si="40"/>
        <v>#N/A</v>
      </c>
      <c r="CLZ43" s="380" t="e">
        <f t="shared" si="40"/>
        <v>#N/A</v>
      </c>
      <c r="CMA43" s="380" t="e">
        <f t="shared" si="40"/>
        <v>#N/A</v>
      </c>
      <c r="CMB43" s="380" t="e">
        <f t="shared" si="40"/>
        <v>#N/A</v>
      </c>
      <c r="CMC43" s="380" t="e">
        <f t="shared" si="40"/>
        <v>#N/A</v>
      </c>
      <c r="CMD43" s="380" t="e">
        <f t="shared" si="40"/>
        <v>#N/A</v>
      </c>
      <c r="CME43" s="380" t="e">
        <f t="shared" si="40"/>
        <v>#N/A</v>
      </c>
      <c r="CMF43" s="380" t="e">
        <f t="shared" si="40"/>
        <v>#N/A</v>
      </c>
      <c r="CMG43" s="380" t="e">
        <f t="shared" si="40"/>
        <v>#N/A</v>
      </c>
      <c r="CMH43" s="380" t="e">
        <f t="shared" si="40"/>
        <v>#N/A</v>
      </c>
      <c r="CMI43" s="380" t="e">
        <f t="shared" si="40"/>
        <v>#N/A</v>
      </c>
      <c r="CMJ43" s="380" t="e">
        <f t="shared" ref="CMJ43:COU43" si="41">INDEX(CMJ7:CMJ40,MATCH($E$43,$E$7:$E$40,0))</f>
        <v>#N/A</v>
      </c>
      <c r="CMK43" s="380" t="e">
        <f t="shared" si="41"/>
        <v>#N/A</v>
      </c>
      <c r="CML43" s="380" t="e">
        <f t="shared" si="41"/>
        <v>#N/A</v>
      </c>
      <c r="CMM43" s="380" t="e">
        <f t="shared" si="41"/>
        <v>#N/A</v>
      </c>
      <c r="CMN43" s="380" t="e">
        <f t="shared" si="41"/>
        <v>#N/A</v>
      </c>
      <c r="CMO43" s="380" t="e">
        <f t="shared" si="41"/>
        <v>#N/A</v>
      </c>
      <c r="CMP43" s="380" t="e">
        <f t="shared" si="41"/>
        <v>#N/A</v>
      </c>
      <c r="CMQ43" s="380" t="e">
        <f t="shared" si="41"/>
        <v>#N/A</v>
      </c>
      <c r="CMR43" s="380" t="e">
        <f t="shared" si="41"/>
        <v>#N/A</v>
      </c>
      <c r="CMS43" s="380" t="e">
        <f t="shared" si="41"/>
        <v>#N/A</v>
      </c>
      <c r="CMT43" s="380" t="e">
        <f t="shared" si="41"/>
        <v>#N/A</v>
      </c>
      <c r="CMU43" s="380" t="e">
        <f t="shared" si="41"/>
        <v>#N/A</v>
      </c>
      <c r="CMV43" s="380" t="e">
        <f t="shared" si="41"/>
        <v>#N/A</v>
      </c>
      <c r="CMW43" s="380" t="e">
        <f t="shared" si="41"/>
        <v>#N/A</v>
      </c>
      <c r="CMX43" s="380" t="e">
        <f t="shared" si="41"/>
        <v>#N/A</v>
      </c>
      <c r="CMY43" s="380" t="e">
        <f t="shared" si="41"/>
        <v>#N/A</v>
      </c>
      <c r="CMZ43" s="380" t="e">
        <f t="shared" si="41"/>
        <v>#N/A</v>
      </c>
      <c r="CNA43" s="380" t="e">
        <f t="shared" si="41"/>
        <v>#N/A</v>
      </c>
      <c r="CNB43" s="380" t="e">
        <f t="shared" si="41"/>
        <v>#N/A</v>
      </c>
      <c r="CNC43" s="380" t="e">
        <f t="shared" si="41"/>
        <v>#N/A</v>
      </c>
      <c r="CND43" s="380" t="e">
        <f t="shared" si="41"/>
        <v>#N/A</v>
      </c>
      <c r="CNE43" s="380" t="e">
        <f t="shared" si="41"/>
        <v>#N/A</v>
      </c>
      <c r="CNF43" s="380" t="e">
        <f t="shared" si="41"/>
        <v>#N/A</v>
      </c>
      <c r="CNG43" s="380" t="e">
        <f t="shared" si="41"/>
        <v>#N/A</v>
      </c>
      <c r="CNH43" s="380" t="e">
        <f t="shared" si="41"/>
        <v>#N/A</v>
      </c>
      <c r="CNI43" s="380" t="e">
        <f t="shared" si="41"/>
        <v>#N/A</v>
      </c>
      <c r="CNJ43" s="380" t="e">
        <f t="shared" si="41"/>
        <v>#N/A</v>
      </c>
      <c r="CNK43" s="380" t="e">
        <f t="shared" si="41"/>
        <v>#N/A</v>
      </c>
      <c r="CNL43" s="380" t="e">
        <f t="shared" si="41"/>
        <v>#N/A</v>
      </c>
      <c r="CNM43" s="380" t="e">
        <f t="shared" si="41"/>
        <v>#N/A</v>
      </c>
      <c r="CNN43" s="380" t="e">
        <f t="shared" si="41"/>
        <v>#N/A</v>
      </c>
      <c r="CNO43" s="380" t="e">
        <f t="shared" si="41"/>
        <v>#N/A</v>
      </c>
      <c r="CNP43" s="380" t="e">
        <f t="shared" si="41"/>
        <v>#N/A</v>
      </c>
      <c r="CNQ43" s="380" t="e">
        <f t="shared" si="41"/>
        <v>#N/A</v>
      </c>
      <c r="CNR43" s="380" t="e">
        <f t="shared" si="41"/>
        <v>#N/A</v>
      </c>
      <c r="CNS43" s="380" t="e">
        <f t="shared" si="41"/>
        <v>#N/A</v>
      </c>
      <c r="CNT43" s="380" t="e">
        <f t="shared" si="41"/>
        <v>#N/A</v>
      </c>
      <c r="CNU43" s="380" t="e">
        <f t="shared" si="41"/>
        <v>#N/A</v>
      </c>
      <c r="CNV43" s="380" t="e">
        <f t="shared" si="41"/>
        <v>#N/A</v>
      </c>
      <c r="CNW43" s="380" t="e">
        <f t="shared" si="41"/>
        <v>#N/A</v>
      </c>
      <c r="CNX43" s="380" t="e">
        <f t="shared" si="41"/>
        <v>#N/A</v>
      </c>
      <c r="CNY43" s="380" t="e">
        <f t="shared" si="41"/>
        <v>#N/A</v>
      </c>
      <c r="CNZ43" s="380" t="e">
        <f t="shared" si="41"/>
        <v>#N/A</v>
      </c>
      <c r="COA43" s="380" t="e">
        <f t="shared" si="41"/>
        <v>#N/A</v>
      </c>
      <c r="COB43" s="380" t="e">
        <f t="shared" si="41"/>
        <v>#N/A</v>
      </c>
      <c r="COC43" s="380" t="e">
        <f t="shared" si="41"/>
        <v>#N/A</v>
      </c>
      <c r="COD43" s="380" t="e">
        <f t="shared" si="41"/>
        <v>#N/A</v>
      </c>
      <c r="COE43" s="380" t="e">
        <f t="shared" si="41"/>
        <v>#N/A</v>
      </c>
      <c r="COF43" s="380" t="e">
        <f t="shared" si="41"/>
        <v>#N/A</v>
      </c>
      <c r="COG43" s="380" t="e">
        <f t="shared" si="41"/>
        <v>#N/A</v>
      </c>
      <c r="COH43" s="380" t="e">
        <f t="shared" si="41"/>
        <v>#N/A</v>
      </c>
      <c r="COI43" s="380" t="e">
        <f t="shared" si="41"/>
        <v>#N/A</v>
      </c>
      <c r="COJ43" s="380" t="e">
        <f t="shared" si="41"/>
        <v>#N/A</v>
      </c>
      <c r="COK43" s="380" t="e">
        <f t="shared" si="41"/>
        <v>#N/A</v>
      </c>
      <c r="COL43" s="380" t="e">
        <f t="shared" si="41"/>
        <v>#N/A</v>
      </c>
      <c r="COM43" s="380" t="e">
        <f t="shared" si="41"/>
        <v>#N/A</v>
      </c>
      <c r="CON43" s="380" t="e">
        <f t="shared" si="41"/>
        <v>#N/A</v>
      </c>
      <c r="COO43" s="380" t="e">
        <f t="shared" si="41"/>
        <v>#N/A</v>
      </c>
      <c r="COP43" s="380" t="e">
        <f t="shared" si="41"/>
        <v>#N/A</v>
      </c>
      <c r="COQ43" s="380" t="e">
        <f t="shared" si="41"/>
        <v>#N/A</v>
      </c>
      <c r="COR43" s="380" t="e">
        <f t="shared" si="41"/>
        <v>#N/A</v>
      </c>
      <c r="COS43" s="380" t="e">
        <f t="shared" si="41"/>
        <v>#N/A</v>
      </c>
      <c r="COT43" s="380" t="e">
        <f t="shared" si="41"/>
        <v>#N/A</v>
      </c>
      <c r="COU43" s="380" t="e">
        <f t="shared" si="41"/>
        <v>#N/A</v>
      </c>
      <c r="COV43" s="380" t="e">
        <f t="shared" ref="COV43:CRG43" si="42">INDEX(COV7:COV40,MATCH($E$43,$E$7:$E$40,0))</f>
        <v>#N/A</v>
      </c>
      <c r="COW43" s="380" t="e">
        <f t="shared" si="42"/>
        <v>#N/A</v>
      </c>
      <c r="COX43" s="380" t="e">
        <f t="shared" si="42"/>
        <v>#N/A</v>
      </c>
      <c r="COY43" s="380" t="e">
        <f t="shared" si="42"/>
        <v>#N/A</v>
      </c>
      <c r="COZ43" s="380" t="e">
        <f t="shared" si="42"/>
        <v>#N/A</v>
      </c>
      <c r="CPA43" s="380" t="e">
        <f t="shared" si="42"/>
        <v>#N/A</v>
      </c>
      <c r="CPB43" s="380" t="e">
        <f t="shared" si="42"/>
        <v>#N/A</v>
      </c>
      <c r="CPC43" s="380" t="e">
        <f t="shared" si="42"/>
        <v>#N/A</v>
      </c>
      <c r="CPD43" s="380" t="e">
        <f t="shared" si="42"/>
        <v>#N/A</v>
      </c>
      <c r="CPE43" s="380" t="e">
        <f t="shared" si="42"/>
        <v>#N/A</v>
      </c>
      <c r="CPF43" s="380" t="e">
        <f t="shared" si="42"/>
        <v>#N/A</v>
      </c>
      <c r="CPG43" s="380" t="e">
        <f t="shared" si="42"/>
        <v>#N/A</v>
      </c>
      <c r="CPH43" s="380" t="e">
        <f t="shared" si="42"/>
        <v>#N/A</v>
      </c>
      <c r="CPI43" s="380" t="e">
        <f t="shared" si="42"/>
        <v>#N/A</v>
      </c>
      <c r="CPJ43" s="380" t="e">
        <f t="shared" si="42"/>
        <v>#N/A</v>
      </c>
      <c r="CPK43" s="380" t="e">
        <f t="shared" si="42"/>
        <v>#N/A</v>
      </c>
      <c r="CPL43" s="380" t="e">
        <f t="shared" si="42"/>
        <v>#N/A</v>
      </c>
      <c r="CPM43" s="380" t="e">
        <f t="shared" si="42"/>
        <v>#N/A</v>
      </c>
      <c r="CPN43" s="380" t="e">
        <f t="shared" si="42"/>
        <v>#N/A</v>
      </c>
      <c r="CPO43" s="380" t="e">
        <f t="shared" si="42"/>
        <v>#N/A</v>
      </c>
      <c r="CPP43" s="380" t="e">
        <f t="shared" si="42"/>
        <v>#N/A</v>
      </c>
      <c r="CPQ43" s="380" t="e">
        <f t="shared" si="42"/>
        <v>#N/A</v>
      </c>
      <c r="CPR43" s="380" t="e">
        <f t="shared" si="42"/>
        <v>#N/A</v>
      </c>
      <c r="CPS43" s="380" t="e">
        <f t="shared" si="42"/>
        <v>#N/A</v>
      </c>
      <c r="CPT43" s="380" t="e">
        <f t="shared" si="42"/>
        <v>#N/A</v>
      </c>
      <c r="CPU43" s="380" t="e">
        <f t="shared" si="42"/>
        <v>#N/A</v>
      </c>
      <c r="CPV43" s="380" t="e">
        <f t="shared" si="42"/>
        <v>#N/A</v>
      </c>
      <c r="CPW43" s="380" t="e">
        <f t="shared" si="42"/>
        <v>#N/A</v>
      </c>
      <c r="CPX43" s="380" t="e">
        <f t="shared" si="42"/>
        <v>#N/A</v>
      </c>
      <c r="CPY43" s="380" t="e">
        <f t="shared" si="42"/>
        <v>#N/A</v>
      </c>
      <c r="CPZ43" s="380" t="e">
        <f t="shared" si="42"/>
        <v>#N/A</v>
      </c>
      <c r="CQA43" s="380" t="e">
        <f t="shared" si="42"/>
        <v>#N/A</v>
      </c>
      <c r="CQB43" s="380" t="e">
        <f t="shared" si="42"/>
        <v>#N/A</v>
      </c>
      <c r="CQC43" s="380" t="e">
        <f t="shared" si="42"/>
        <v>#N/A</v>
      </c>
      <c r="CQD43" s="380" t="e">
        <f t="shared" si="42"/>
        <v>#N/A</v>
      </c>
      <c r="CQE43" s="380" t="e">
        <f t="shared" si="42"/>
        <v>#N/A</v>
      </c>
      <c r="CQF43" s="380" t="e">
        <f t="shared" si="42"/>
        <v>#N/A</v>
      </c>
      <c r="CQG43" s="380" t="e">
        <f t="shared" si="42"/>
        <v>#N/A</v>
      </c>
      <c r="CQH43" s="380" t="e">
        <f t="shared" si="42"/>
        <v>#N/A</v>
      </c>
      <c r="CQI43" s="380" t="e">
        <f t="shared" si="42"/>
        <v>#N/A</v>
      </c>
      <c r="CQJ43" s="380" t="e">
        <f t="shared" si="42"/>
        <v>#N/A</v>
      </c>
      <c r="CQK43" s="380" t="e">
        <f t="shared" si="42"/>
        <v>#N/A</v>
      </c>
      <c r="CQL43" s="380" t="e">
        <f t="shared" si="42"/>
        <v>#N/A</v>
      </c>
      <c r="CQM43" s="380" t="e">
        <f t="shared" si="42"/>
        <v>#N/A</v>
      </c>
      <c r="CQN43" s="380" t="e">
        <f t="shared" si="42"/>
        <v>#N/A</v>
      </c>
      <c r="CQO43" s="380" t="e">
        <f t="shared" si="42"/>
        <v>#N/A</v>
      </c>
      <c r="CQP43" s="380" t="e">
        <f t="shared" si="42"/>
        <v>#N/A</v>
      </c>
      <c r="CQQ43" s="380" t="e">
        <f t="shared" si="42"/>
        <v>#N/A</v>
      </c>
      <c r="CQR43" s="380" t="e">
        <f t="shared" si="42"/>
        <v>#N/A</v>
      </c>
      <c r="CQS43" s="380" t="e">
        <f t="shared" si="42"/>
        <v>#N/A</v>
      </c>
      <c r="CQT43" s="380" t="e">
        <f t="shared" si="42"/>
        <v>#N/A</v>
      </c>
      <c r="CQU43" s="380" t="e">
        <f t="shared" si="42"/>
        <v>#N/A</v>
      </c>
      <c r="CQV43" s="380" t="e">
        <f t="shared" si="42"/>
        <v>#N/A</v>
      </c>
      <c r="CQW43" s="380" t="e">
        <f t="shared" si="42"/>
        <v>#N/A</v>
      </c>
      <c r="CQX43" s="380" t="e">
        <f t="shared" si="42"/>
        <v>#N/A</v>
      </c>
      <c r="CQY43" s="380" t="e">
        <f t="shared" si="42"/>
        <v>#N/A</v>
      </c>
      <c r="CQZ43" s="380" t="e">
        <f t="shared" si="42"/>
        <v>#N/A</v>
      </c>
      <c r="CRA43" s="380" t="e">
        <f t="shared" si="42"/>
        <v>#N/A</v>
      </c>
      <c r="CRB43" s="380" t="e">
        <f t="shared" si="42"/>
        <v>#N/A</v>
      </c>
      <c r="CRC43" s="380" t="e">
        <f t="shared" si="42"/>
        <v>#N/A</v>
      </c>
      <c r="CRD43" s="380" t="e">
        <f t="shared" si="42"/>
        <v>#N/A</v>
      </c>
      <c r="CRE43" s="380" t="e">
        <f t="shared" si="42"/>
        <v>#N/A</v>
      </c>
      <c r="CRF43" s="380" t="e">
        <f t="shared" si="42"/>
        <v>#N/A</v>
      </c>
      <c r="CRG43" s="380" t="e">
        <f t="shared" si="42"/>
        <v>#N/A</v>
      </c>
      <c r="CRH43" s="380" t="e">
        <f t="shared" ref="CRH43:CTS43" si="43">INDEX(CRH7:CRH40,MATCH($E$43,$E$7:$E$40,0))</f>
        <v>#N/A</v>
      </c>
      <c r="CRI43" s="380" t="e">
        <f t="shared" si="43"/>
        <v>#N/A</v>
      </c>
      <c r="CRJ43" s="380" t="e">
        <f t="shared" si="43"/>
        <v>#N/A</v>
      </c>
      <c r="CRK43" s="380" t="e">
        <f t="shared" si="43"/>
        <v>#N/A</v>
      </c>
      <c r="CRL43" s="380" t="e">
        <f t="shared" si="43"/>
        <v>#N/A</v>
      </c>
      <c r="CRM43" s="380" t="e">
        <f t="shared" si="43"/>
        <v>#N/A</v>
      </c>
      <c r="CRN43" s="380" t="e">
        <f t="shared" si="43"/>
        <v>#N/A</v>
      </c>
      <c r="CRO43" s="380" t="e">
        <f t="shared" si="43"/>
        <v>#N/A</v>
      </c>
      <c r="CRP43" s="380" t="e">
        <f t="shared" si="43"/>
        <v>#N/A</v>
      </c>
      <c r="CRQ43" s="380" t="e">
        <f t="shared" si="43"/>
        <v>#N/A</v>
      </c>
      <c r="CRR43" s="380" t="e">
        <f t="shared" si="43"/>
        <v>#N/A</v>
      </c>
      <c r="CRS43" s="380" t="e">
        <f t="shared" si="43"/>
        <v>#N/A</v>
      </c>
      <c r="CRT43" s="380" t="e">
        <f t="shared" si="43"/>
        <v>#N/A</v>
      </c>
      <c r="CRU43" s="380" t="e">
        <f t="shared" si="43"/>
        <v>#N/A</v>
      </c>
      <c r="CRV43" s="380" t="e">
        <f t="shared" si="43"/>
        <v>#N/A</v>
      </c>
      <c r="CRW43" s="380" t="e">
        <f t="shared" si="43"/>
        <v>#N/A</v>
      </c>
      <c r="CRX43" s="380" t="e">
        <f t="shared" si="43"/>
        <v>#N/A</v>
      </c>
      <c r="CRY43" s="380" t="e">
        <f t="shared" si="43"/>
        <v>#N/A</v>
      </c>
      <c r="CRZ43" s="380" t="e">
        <f t="shared" si="43"/>
        <v>#N/A</v>
      </c>
      <c r="CSA43" s="380" t="e">
        <f t="shared" si="43"/>
        <v>#N/A</v>
      </c>
      <c r="CSB43" s="380" t="e">
        <f t="shared" si="43"/>
        <v>#N/A</v>
      </c>
      <c r="CSC43" s="380" t="e">
        <f t="shared" si="43"/>
        <v>#N/A</v>
      </c>
      <c r="CSD43" s="380" t="e">
        <f t="shared" si="43"/>
        <v>#N/A</v>
      </c>
      <c r="CSE43" s="380" t="e">
        <f t="shared" si="43"/>
        <v>#N/A</v>
      </c>
      <c r="CSF43" s="380" t="e">
        <f t="shared" si="43"/>
        <v>#N/A</v>
      </c>
      <c r="CSG43" s="380" t="e">
        <f t="shared" si="43"/>
        <v>#N/A</v>
      </c>
      <c r="CSH43" s="380" t="e">
        <f t="shared" si="43"/>
        <v>#N/A</v>
      </c>
      <c r="CSI43" s="380" t="e">
        <f t="shared" si="43"/>
        <v>#N/A</v>
      </c>
      <c r="CSJ43" s="380" t="e">
        <f t="shared" si="43"/>
        <v>#N/A</v>
      </c>
      <c r="CSK43" s="380" t="e">
        <f t="shared" si="43"/>
        <v>#N/A</v>
      </c>
      <c r="CSL43" s="380" t="e">
        <f t="shared" si="43"/>
        <v>#N/A</v>
      </c>
      <c r="CSM43" s="380" t="e">
        <f t="shared" si="43"/>
        <v>#N/A</v>
      </c>
      <c r="CSN43" s="380" t="e">
        <f t="shared" si="43"/>
        <v>#N/A</v>
      </c>
      <c r="CSO43" s="380" t="e">
        <f t="shared" si="43"/>
        <v>#N/A</v>
      </c>
      <c r="CSP43" s="380" t="e">
        <f t="shared" si="43"/>
        <v>#N/A</v>
      </c>
      <c r="CSQ43" s="380" t="e">
        <f t="shared" si="43"/>
        <v>#N/A</v>
      </c>
      <c r="CSR43" s="380" t="e">
        <f t="shared" si="43"/>
        <v>#N/A</v>
      </c>
      <c r="CSS43" s="380" t="e">
        <f t="shared" si="43"/>
        <v>#N/A</v>
      </c>
      <c r="CST43" s="380" t="e">
        <f t="shared" si="43"/>
        <v>#N/A</v>
      </c>
      <c r="CSU43" s="380" t="e">
        <f t="shared" si="43"/>
        <v>#N/A</v>
      </c>
      <c r="CSV43" s="380" t="e">
        <f t="shared" si="43"/>
        <v>#N/A</v>
      </c>
      <c r="CSW43" s="380" t="e">
        <f t="shared" si="43"/>
        <v>#N/A</v>
      </c>
      <c r="CSX43" s="380" t="e">
        <f t="shared" si="43"/>
        <v>#N/A</v>
      </c>
      <c r="CSY43" s="380" t="e">
        <f t="shared" si="43"/>
        <v>#N/A</v>
      </c>
      <c r="CSZ43" s="380" t="e">
        <f t="shared" si="43"/>
        <v>#N/A</v>
      </c>
      <c r="CTA43" s="380" t="e">
        <f t="shared" si="43"/>
        <v>#N/A</v>
      </c>
      <c r="CTB43" s="380" t="e">
        <f t="shared" si="43"/>
        <v>#N/A</v>
      </c>
      <c r="CTC43" s="380" t="e">
        <f t="shared" si="43"/>
        <v>#N/A</v>
      </c>
      <c r="CTD43" s="380" t="e">
        <f t="shared" si="43"/>
        <v>#N/A</v>
      </c>
      <c r="CTE43" s="380" t="e">
        <f t="shared" si="43"/>
        <v>#N/A</v>
      </c>
      <c r="CTF43" s="380" t="e">
        <f t="shared" si="43"/>
        <v>#N/A</v>
      </c>
      <c r="CTG43" s="380" t="e">
        <f t="shared" si="43"/>
        <v>#N/A</v>
      </c>
      <c r="CTH43" s="380" t="e">
        <f t="shared" si="43"/>
        <v>#N/A</v>
      </c>
      <c r="CTI43" s="380" t="e">
        <f t="shared" si="43"/>
        <v>#N/A</v>
      </c>
      <c r="CTJ43" s="380" t="e">
        <f t="shared" si="43"/>
        <v>#N/A</v>
      </c>
      <c r="CTK43" s="380" t="e">
        <f t="shared" si="43"/>
        <v>#N/A</v>
      </c>
      <c r="CTL43" s="380" t="e">
        <f t="shared" si="43"/>
        <v>#N/A</v>
      </c>
      <c r="CTM43" s="380" t="e">
        <f t="shared" si="43"/>
        <v>#N/A</v>
      </c>
      <c r="CTN43" s="380" t="e">
        <f t="shared" si="43"/>
        <v>#N/A</v>
      </c>
      <c r="CTO43" s="380" t="e">
        <f t="shared" si="43"/>
        <v>#N/A</v>
      </c>
      <c r="CTP43" s="380" t="e">
        <f t="shared" si="43"/>
        <v>#N/A</v>
      </c>
      <c r="CTQ43" s="380" t="e">
        <f t="shared" si="43"/>
        <v>#N/A</v>
      </c>
      <c r="CTR43" s="380" t="e">
        <f t="shared" si="43"/>
        <v>#N/A</v>
      </c>
      <c r="CTS43" s="380" t="e">
        <f t="shared" si="43"/>
        <v>#N/A</v>
      </c>
      <c r="CTT43" s="380" t="e">
        <f t="shared" ref="CTT43:CWE43" si="44">INDEX(CTT7:CTT40,MATCH($E$43,$E$7:$E$40,0))</f>
        <v>#N/A</v>
      </c>
      <c r="CTU43" s="380" t="e">
        <f t="shared" si="44"/>
        <v>#N/A</v>
      </c>
      <c r="CTV43" s="380" t="e">
        <f t="shared" si="44"/>
        <v>#N/A</v>
      </c>
      <c r="CTW43" s="380" t="e">
        <f t="shared" si="44"/>
        <v>#N/A</v>
      </c>
      <c r="CTX43" s="380" t="e">
        <f t="shared" si="44"/>
        <v>#N/A</v>
      </c>
      <c r="CTY43" s="380" t="e">
        <f t="shared" si="44"/>
        <v>#N/A</v>
      </c>
      <c r="CTZ43" s="380" t="e">
        <f t="shared" si="44"/>
        <v>#N/A</v>
      </c>
      <c r="CUA43" s="380" t="e">
        <f t="shared" si="44"/>
        <v>#N/A</v>
      </c>
      <c r="CUB43" s="380" t="e">
        <f t="shared" si="44"/>
        <v>#N/A</v>
      </c>
      <c r="CUC43" s="380" t="e">
        <f t="shared" si="44"/>
        <v>#N/A</v>
      </c>
      <c r="CUD43" s="380" t="e">
        <f t="shared" si="44"/>
        <v>#N/A</v>
      </c>
      <c r="CUE43" s="380" t="e">
        <f t="shared" si="44"/>
        <v>#N/A</v>
      </c>
      <c r="CUF43" s="380" t="e">
        <f t="shared" si="44"/>
        <v>#N/A</v>
      </c>
      <c r="CUG43" s="380" t="e">
        <f t="shared" si="44"/>
        <v>#N/A</v>
      </c>
      <c r="CUH43" s="380" t="e">
        <f t="shared" si="44"/>
        <v>#N/A</v>
      </c>
      <c r="CUI43" s="380" t="e">
        <f t="shared" si="44"/>
        <v>#N/A</v>
      </c>
      <c r="CUJ43" s="380" t="e">
        <f t="shared" si="44"/>
        <v>#N/A</v>
      </c>
      <c r="CUK43" s="380" t="e">
        <f t="shared" si="44"/>
        <v>#N/A</v>
      </c>
      <c r="CUL43" s="380" t="e">
        <f t="shared" si="44"/>
        <v>#N/A</v>
      </c>
      <c r="CUM43" s="380" t="e">
        <f t="shared" si="44"/>
        <v>#N/A</v>
      </c>
      <c r="CUN43" s="380" t="e">
        <f t="shared" si="44"/>
        <v>#N/A</v>
      </c>
      <c r="CUO43" s="380" t="e">
        <f t="shared" si="44"/>
        <v>#N/A</v>
      </c>
      <c r="CUP43" s="380" t="e">
        <f t="shared" si="44"/>
        <v>#N/A</v>
      </c>
      <c r="CUQ43" s="380" t="e">
        <f t="shared" si="44"/>
        <v>#N/A</v>
      </c>
      <c r="CUR43" s="380" t="e">
        <f t="shared" si="44"/>
        <v>#N/A</v>
      </c>
      <c r="CUS43" s="380" t="e">
        <f t="shared" si="44"/>
        <v>#N/A</v>
      </c>
      <c r="CUT43" s="380" t="e">
        <f t="shared" si="44"/>
        <v>#N/A</v>
      </c>
      <c r="CUU43" s="380" t="e">
        <f t="shared" si="44"/>
        <v>#N/A</v>
      </c>
      <c r="CUV43" s="380" t="e">
        <f t="shared" si="44"/>
        <v>#N/A</v>
      </c>
      <c r="CUW43" s="380" t="e">
        <f t="shared" si="44"/>
        <v>#N/A</v>
      </c>
      <c r="CUX43" s="380" t="e">
        <f t="shared" si="44"/>
        <v>#N/A</v>
      </c>
      <c r="CUY43" s="380" t="e">
        <f t="shared" si="44"/>
        <v>#N/A</v>
      </c>
      <c r="CUZ43" s="380" t="e">
        <f t="shared" si="44"/>
        <v>#N/A</v>
      </c>
      <c r="CVA43" s="380" t="e">
        <f t="shared" si="44"/>
        <v>#N/A</v>
      </c>
      <c r="CVB43" s="380" t="e">
        <f t="shared" si="44"/>
        <v>#N/A</v>
      </c>
      <c r="CVC43" s="380" t="e">
        <f t="shared" si="44"/>
        <v>#N/A</v>
      </c>
      <c r="CVD43" s="380" t="e">
        <f t="shared" si="44"/>
        <v>#N/A</v>
      </c>
      <c r="CVE43" s="380" t="e">
        <f t="shared" si="44"/>
        <v>#N/A</v>
      </c>
      <c r="CVF43" s="380" t="e">
        <f t="shared" si="44"/>
        <v>#N/A</v>
      </c>
      <c r="CVG43" s="380" t="e">
        <f t="shared" si="44"/>
        <v>#N/A</v>
      </c>
      <c r="CVH43" s="380" t="e">
        <f t="shared" si="44"/>
        <v>#N/A</v>
      </c>
      <c r="CVI43" s="380" t="e">
        <f t="shared" si="44"/>
        <v>#N/A</v>
      </c>
      <c r="CVJ43" s="380" t="e">
        <f t="shared" si="44"/>
        <v>#N/A</v>
      </c>
      <c r="CVK43" s="380" t="e">
        <f t="shared" si="44"/>
        <v>#N/A</v>
      </c>
      <c r="CVL43" s="380" t="e">
        <f t="shared" si="44"/>
        <v>#N/A</v>
      </c>
      <c r="CVM43" s="380" t="e">
        <f t="shared" si="44"/>
        <v>#N/A</v>
      </c>
      <c r="CVN43" s="380" t="e">
        <f t="shared" si="44"/>
        <v>#N/A</v>
      </c>
      <c r="CVO43" s="380" t="e">
        <f t="shared" si="44"/>
        <v>#N/A</v>
      </c>
      <c r="CVP43" s="380" t="e">
        <f t="shared" si="44"/>
        <v>#N/A</v>
      </c>
      <c r="CVQ43" s="380" t="e">
        <f t="shared" si="44"/>
        <v>#N/A</v>
      </c>
      <c r="CVR43" s="380" t="e">
        <f t="shared" si="44"/>
        <v>#N/A</v>
      </c>
      <c r="CVS43" s="380" t="e">
        <f t="shared" si="44"/>
        <v>#N/A</v>
      </c>
      <c r="CVT43" s="380" t="e">
        <f t="shared" si="44"/>
        <v>#N/A</v>
      </c>
      <c r="CVU43" s="380" t="e">
        <f t="shared" si="44"/>
        <v>#N/A</v>
      </c>
      <c r="CVV43" s="380" t="e">
        <f t="shared" si="44"/>
        <v>#N/A</v>
      </c>
      <c r="CVW43" s="380" t="e">
        <f t="shared" si="44"/>
        <v>#N/A</v>
      </c>
      <c r="CVX43" s="380" t="e">
        <f t="shared" si="44"/>
        <v>#N/A</v>
      </c>
      <c r="CVY43" s="380" t="e">
        <f t="shared" si="44"/>
        <v>#N/A</v>
      </c>
      <c r="CVZ43" s="380" t="e">
        <f t="shared" si="44"/>
        <v>#N/A</v>
      </c>
      <c r="CWA43" s="380" t="e">
        <f t="shared" si="44"/>
        <v>#N/A</v>
      </c>
      <c r="CWB43" s="380" t="e">
        <f t="shared" si="44"/>
        <v>#N/A</v>
      </c>
      <c r="CWC43" s="380" t="e">
        <f t="shared" si="44"/>
        <v>#N/A</v>
      </c>
      <c r="CWD43" s="380" t="e">
        <f t="shared" si="44"/>
        <v>#N/A</v>
      </c>
      <c r="CWE43" s="380" t="e">
        <f t="shared" si="44"/>
        <v>#N/A</v>
      </c>
      <c r="CWF43" s="380" t="e">
        <f t="shared" ref="CWF43:CYQ43" si="45">INDEX(CWF7:CWF40,MATCH($E$43,$E$7:$E$40,0))</f>
        <v>#N/A</v>
      </c>
      <c r="CWG43" s="380" t="e">
        <f t="shared" si="45"/>
        <v>#N/A</v>
      </c>
      <c r="CWH43" s="380" t="e">
        <f t="shared" si="45"/>
        <v>#N/A</v>
      </c>
      <c r="CWI43" s="380" t="e">
        <f t="shared" si="45"/>
        <v>#N/A</v>
      </c>
      <c r="CWJ43" s="380" t="e">
        <f t="shared" si="45"/>
        <v>#N/A</v>
      </c>
      <c r="CWK43" s="380" t="e">
        <f t="shared" si="45"/>
        <v>#N/A</v>
      </c>
      <c r="CWL43" s="380" t="e">
        <f t="shared" si="45"/>
        <v>#N/A</v>
      </c>
      <c r="CWM43" s="380" t="e">
        <f t="shared" si="45"/>
        <v>#N/A</v>
      </c>
      <c r="CWN43" s="380" t="e">
        <f t="shared" si="45"/>
        <v>#N/A</v>
      </c>
      <c r="CWO43" s="380" t="e">
        <f t="shared" si="45"/>
        <v>#N/A</v>
      </c>
      <c r="CWP43" s="380" t="e">
        <f t="shared" si="45"/>
        <v>#N/A</v>
      </c>
      <c r="CWQ43" s="380" t="e">
        <f t="shared" si="45"/>
        <v>#N/A</v>
      </c>
      <c r="CWR43" s="380" t="e">
        <f t="shared" si="45"/>
        <v>#N/A</v>
      </c>
      <c r="CWS43" s="380" t="e">
        <f t="shared" si="45"/>
        <v>#N/A</v>
      </c>
      <c r="CWT43" s="380" t="e">
        <f t="shared" si="45"/>
        <v>#N/A</v>
      </c>
      <c r="CWU43" s="380" t="e">
        <f t="shared" si="45"/>
        <v>#N/A</v>
      </c>
      <c r="CWV43" s="380" t="e">
        <f t="shared" si="45"/>
        <v>#N/A</v>
      </c>
      <c r="CWW43" s="380" t="e">
        <f t="shared" si="45"/>
        <v>#N/A</v>
      </c>
      <c r="CWX43" s="380" t="e">
        <f t="shared" si="45"/>
        <v>#N/A</v>
      </c>
      <c r="CWY43" s="380" t="e">
        <f t="shared" si="45"/>
        <v>#N/A</v>
      </c>
      <c r="CWZ43" s="380" t="e">
        <f t="shared" si="45"/>
        <v>#N/A</v>
      </c>
      <c r="CXA43" s="380" t="e">
        <f t="shared" si="45"/>
        <v>#N/A</v>
      </c>
      <c r="CXB43" s="380" t="e">
        <f t="shared" si="45"/>
        <v>#N/A</v>
      </c>
      <c r="CXC43" s="380" t="e">
        <f t="shared" si="45"/>
        <v>#N/A</v>
      </c>
      <c r="CXD43" s="380" t="e">
        <f t="shared" si="45"/>
        <v>#N/A</v>
      </c>
      <c r="CXE43" s="380" t="e">
        <f t="shared" si="45"/>
        <v>#N/A</v>
      </c>
      <c r="CXF43" s="380" t="e">
        <f t="shared" si="45"/>
        <v>#N/A</v>
      </c>
      <c r="CXG43" s="380" t="e">
        <f t="shared" si="45"/>
        <v>#N/A</v>
      </c>
      <c r="CXH43" s="380" t="e">
        <f t="shared" si="45"/>
        <v>#N/A</v>
      </c>
      <c r="CXI43" s="380" t="e">
        <f t="shared" si="45"/>
        <v>#N/A</v>
      </c>
      <c r="CXJ43" s="380" t="e">
        <f t="shared" si="45"/>
        <v>#N/A</v>
      </c>
      <c r="CXK43" s="380" t="e">
        <f t="shared" si="45"/>
        <v>#N/A</v>
      </c>
      <c r="CXL43" s="380" t="e">
        <f t="shared" si="45"/>
        <v>#N/A</v>
      </c>
      <c r="CXM43" s="380" t="e">
        <f t="shared" si="45"/>
        <v>#N/A</v>
      </c>
      <c r="CXN43" s="380" t="e">
        <f t="shared" si="45"/>
        <v>#N/A</v>
      </c>
      <c r="CXO43" s="380" t="e">
        <f t="shared" si="45"/>
        <v>#N/A</v>
      </c>
      <c r="CXP43" s="380" t="e">
        <f t="shared" si="45"/>
        <v>#N/A</v>
      </c>
      <c r="CXQ43" s="380" t="e">
        <f t="shared" si="45"/>
        <v>#N/A</v>
      </c>
      <c r="CXR43" s="380" t="e">
        <f t="shared" si="45"/>
        <v>#N/A</v>
      </c>
      <c r="CXS43" s="380" t="e">
        <f t="shared" si="45"/>
        <v>#N/A</v>
      </c>
      <c r="CXT43" s="380" t="e">
        <f t="shared" si="45"/>
        <v>#N/A</v>
      </c>
      <c r="CXU43" s="380" t="e">
        <f t="shared" si="45"/>
        <v>#N/A</v>
      </c>
      <c r="CXV43" s="380" t="e">
        <f t="shared" si="45"/>
        <v>#N/A</v>
      </c>
      <c r="CXW43" s="380" t="e">
        <f t="shared" si="45"/>
        <v>#N/A</v>
      </c>
      <c r="CXX43" s="380" t="e">
        <f t="shared" si="45"/>
        <v>#N/A</v>
      </c>
      <c r="CXY43" s="380" t="e">
        <f t="shared" si="45"/>
        <v>#N/A</v>
      </c>
      <c r="CXZ43" s="380" t="e">
        <f t="shared" si="45"/>
        <v>#N/A</v>
      </c>
      <c r="CYA43" s="380" t="e">
        <f t="shared" si="45"/>
        <v>#N/A</v>
      </c>
      <c r="CYB43" s="380" t="e">
        <f t="shared" si="45"/>
        <v>#N/A</v>
      </c>
      <c r="CYC43" s="380" t="e">
        <f t="shared" si="45"/>
        <v>#N/A</v>
      </c>
      <c r="CYD43" s="380" t="e">
        <f t="shared" si="45"/>
        <v>#N/A</v>
      </c>
      <c r="CYE43" s="380" t="e">
        <f t="shared" si="45"/>
        <v>#N/A</v>
      </c>
      <c r="CYF43" s="380" t="e">
        <f t="shared" si="45"/>
        <v>#N/A</v>
      </c>
      <c r="CYG43" s="380" t="e">
        <f t="shared" si="45"/>
        <v>#N/A</v>
      </c>
      <c r="CYH43" s="380" t="e">
        <f t="shared" si="45"/>
        <v>#N/A</v>
      </c>
      <c r="CYI43" s="380" t="e">
        <f t="shared" si="45"/>
        <v>#N/A</v>
      </c>
      <c r="CYJ43" s="380" t="e">
        <f t="shared" si="45"/>
        <v>#N/A</v>
      </c>
      <c r="CYK43" s="380" t="e">
        <f t="shared" si="45"/>
        <v>#N/A</v>
      </c>
      <c r="CYL43" s="380" t="e">
        <f t="shared" si="45"/>
        <v>#N/A</v>
      </c>
      <c r="CYM43" s="380" t="e">
        <f t="shared" si="45"/>
        <v>#N/A</v>
      </c>
      <c r="CYN43" s="380" t="e">
        <f t="shared" si="45"/>
        <v>#N/A</v>
      </c>
      <c r="CYO43" s="380" t="e">
        <f t="shared" si="45"/>
        <v>#N/A</v>
      </c>
      <c r="CYP43" s="380" t="e">
        <f t="shared" si="45"/>
        <v>#N/A</v>
      </c>
      <c r="CYQ43" s="380" t="e">
        <f t="shared" si="45"/>
        <v>#N/A</v>
      </c>
      <c r="CYR43" s="380" t="e">
        <f t="shared" ref="CYR43:DBC43" si="46">INDEX(CYR7:CYR40,MATCH($E$43,$E$7:$E$40,0))</f>
        <v>#N/A</v>
      </c>
      <c r="CYS43" s="380" t="e">
        <f t="shared" si="46"/>
        <v>#N/A</v>
      </c>
      <c r="CYT43" s="380" t="e">
        <f t="shared" si="46"/>
        <v>#N/A</v>
      </c>
      <c r="CYU43" s="380" t="e">
        <f t="shared" si="46"/>
        <v>#N/A</v>
      </c>
      <c r="CYV43" s="380" t="e">
        <f t="shared" si="46"/>
        <v>#N/A</v>
      </c>
      <c r="CYW43" s="380" t="e">
        <f t="shared" si="46"/>
        <v>#N/A</v>
      </c>
      <c r="CYX43" s="380" t="e">
        <f t="shared" si="46"/>
        <v>#N/A</v>
      </c>
      <c r="CYY43" s="380" t="e">
        <f t="shared" si="46"/>
        <v>#N/A</v>
      </c>
      <c r="CYZ43" s="380" t="e">
        <f t="shared" si="46"/>
        <v>#N/A</v>
      </c>
      <c r="CZA43" s="380" t="e">
        <f t="shared" si="46"/>
        <v>#N/A</v>
      </c>
      <c r="CZB43" s="380" t="e">
        <f t="shared" si="46"/>
        <v>#N/A</v>
      </c>
      <c r="CZC43" s="380" t="e">
        <f t="shared" si="46"/>
        <v>#N/A</v>
      </c>
      <c r="CZD43" s="380" t="e">
        <f t="shared" si="46"/>
        <v>#N/A</v>
      </c>
      <c r="CZE43" s="380" t="e">
        <f t="shared" si="46"/>
        <v>#N/A</v>
      </c>
      <c r="CZF43" s="380" t="e">
        <f t="shared" si="46"/>
        <v>#N/A</v>
      </c>
      <c r="CZG43" s="380" t="e">
        <f t="shared" si="46"/>
        <v>#N/A</v>
      </c>
      <c r="CZH43" s="380" t="e">
        <f t="shared" si="46"/>
        <v>#N/A</v>
      </c>
      <c r="CZI43" s="380" t="e">
        <f t="shared" si="46"/>
        <v>#N/A</v>
      </c>
      <c r="CZJ43" s="380" t="e">
        <f t="shared" si="46"/>
        <v>#N/A</v>
      </c>
      <c r="CZK43" s="380" t="e">
        <f t="shared" si="46"/>
        <v>#N/A</v>
      </c>
      <c r="CZL43" s="380" t="e">
        <f t="shared" si="46"/>
        <v>#N/A</v>
      </c>
      <c r="CZM43" s="380" t="e">
        <f t="shared" si="46"/>
        <v>#N/A</v>
      </c>
      <c r="CZN43" s="380" t="e">
        <f t="shared" si="46"/>
        <v>#N/A</v>
      </c>
      <c r="CZO43" s="380" t="e">
        <f t="shared" si="46"/>
        <v>#N/A</v>
      </c>
      <c r="CZP43" s="380" t="e">
        <f t="shared" si="46"/>
        <v>#N/A</v>
      </c>
      <c r="CZQ43" s="380" t="e">
        <f t="shared" si="46"/>
        <v>#N/A</v>
      </c>
      <c r="CZR43" s="380" t="e">
        <f t="shared" si="46"/>
        <v>#N/A</v>
      </c>
      <c r="CZS43" s="380" t="e">
        <f t="shared" si="46"/>
        <v>#N/A</v>
      </c>
      <c r="CZT43" s="380" t="e">
        <f t="shared" si="46"/>
        <v>#N/A</v>
      </c>
      <c r="CZU43" s="380" t="e">
        <f t="shared" si="46"/>
        <v>#N/A</v>
      </c>
      <c r="CZV43" s="380" t="e">
        <f t="shared" si="46"/>
        <v>#N/A</v>
      </c>
      <c r="CZW43" s="380" t="e">
        <f t="shared" si="46"/>
        <v>#N/A</v>
      </c>
      <c r="CZX43" s="380" t="e">
        <f t="shared" si="46"/>
        <v>#N/A</v>
      </c>
      <c r="CZY43" s="380" t="e">
        <f t="shared" si="46"/>
        <v>#N/A</v>
      </c>
      <c r="CZZ43" s="380" t="e">
        <f t="shared" si="46"/>
        <v>#N/A</v>
      </c>
      <c r="DAA43" s="380" t="e">
        <f t="shared" si="46"/>
        <v>#N/A</v>
      </c>
      <c r="DAB43" s="380" t="e">
        <f t="shared" si="46"/>
        <v>#N/A</v>
      </c>
      <c r="DAC43" s="380" t="e">
        <f t="shared" si="46"/>
        <v>#N/A</v>
      </c>
      <c r="DAD43" s="380" t="e">
        <f t="shared" si="46"/>
        <v>#N/A</v>
      </c>
      <c r="DAE43" s="380" t="e">
        <f t="shared" si="46"/>
        <v>#N/A</v>
      </c>
      <c r="DAF43" s="380" t="e">
        <f t="shared" si="46"/>
        <v>#N/A</v>
      </c>
      <c r="DAG43" s="380" t="e">
        <f t="shared" si="46"/>
        <v>#N/A</v>
      </c>
      <c r="DAH43" s="380" t="e">
        <f t="shared" si="46"/>
        <v>#N/A</v>
      </c>
      <c r="DAI43" s="380" t="e">
        <f t="shared" si="46"/>
        <v>#N/A</v>
      </c>
      <c r="DAJ43" s="380" t="e">
        <f t="shared" si="46"/>
        <v>#N/A</v>
      </c>
      <c r="DAK43" s="380" t="e">
        <f t="shared" si="46"/>
        <v>#N/A</v>
      </c>
      <c r="DAL43" s="380" t="e">
        <f t="shared" si="46"/>
        <v>#N/A</v>
      </c>
      <c r="DAM43" s="380" t="e">
        <f t="shared" si="46"/>
        <v>#N/A</v>
      </c>
      <c r="DAN43" s="380" t="e">
        <f t="shared" si="46"/>
        <v>#N/A</v>
      </c>
      <c r="DAO43" s="380" t="e">
        <f t="shared" si="46"/>
        <v>#N/A</v>
      </c>
      <c r="DAP43" s="380" t="e">
        <f t="shared" si="46"/>
        <v>#N/A</v>
      </c>
      <c r="DAQ43" s="380" t="e">
        <f t="shared" si="46"/>
        <v>#N/A</v>
      </c>
      <c r="DAR43" s="380" t="e">
        <f t="shared" si="46"/>
        <v>#N/A</v>
      </c>
      <c r="DAS43" s="380" t="e">
        <f t="shared" si="46"/>
        <v>#N/A</v>
      </c>
      <c r="DAT43" s="380" t="e">
        <f t="shared" si="46"/>
        <v>#N/A</v>
      </c>
      <c r="DAU43" s="380" t="e">
        <f t="shared" si="46"/>
        <v>#N/A</v>
      </c>
      <c r="DAV43" s="380" t="e">
        <f t="shared" si="46"/>
        <v>#N/A</v>
      </c>
      <c r="DAW43" s="380" t="e">
        <f t="shared" si="46"/>
        <v>#N/A</v>
      </c>
      <c r="DAX43" s="380" t="e">
        <f t="shared" si="46"/>
        <v>#N/A</v>
      </c>
      <c r="DAY43" s="380" t="e">
        <f t="shared" si="46"/>
        <v>#N/A</v>
      </c>
      <c r="DAZ43" s="380" t="e">
        <f t="shared" si="46"/>
        <v>#N/A</v>
      </c>
      <c r="DBA43" s="380" t="e">
        <f t="shared" si="46"/>
        <v>#N/A</v>
      </c>
      <c r="DBB43" s="380" t="e">
        <f t="shared" si="46"/>
        <v>#N/A</v>
      </c>
      <c r="DBC43" s="380" t="e">
        <f t="shared" si="46"/>
        <v>#N/A</v>
      </c>
      <c r="DBD43" s="380" t="e">
        <f t="shared" ref="DBD43:DDO43" si="47">INDEX(DBD7:DBD40,MATCH($E$43,$E$7:$E$40,0))</f>
        <v>#N/A</v>
      </c>
      <c r="DBE43" s="380" t="e">
        <f t="shared" si="47"/>
        <v>#N/A</v>
      </c>
      <c r="DBF43" s="380" t="e">
        <f t="shared" si="47"/>
        <v>#N/A</v>
      </c>
      <c r="DBG43" s="380" t="e">
        <f t="shared" si="47"/>
        <v>#N/A</v>
      </c>
      <c r="DBH43" s="380" t="e">
        <f t="shared" si="47"/>
        <v>#N/A</v>
      </c>
      <c r="DBI43" s="380" t="e">
        <f t="shared" si="47"/>
        <v>#N/A</v>
      </c>
      <c r="DBJ43" s="380" t="e">
        <f t="shared" si="47"/>
        <v>#N/A</v>
      </c>
      <c r="DBK43" s="380" t="e">
        <f t="shared" si="47"/>
        <v>#N/A</v>
      </c>
      <c r="DBL43" s="380" t="e">
        <f t="shared" si="47"/>
        <v>#N/A</v>
      </c>
      <c r="DBM43" s="380" t="e">
        <f t="shared" si="47"/>
        <v>#N/A</v>
      </c>
      <c r="DBN43" s="380" t="e">
        <f t="shared" si="47"/>
        <v>#N/A</v>
      </c>
      <c r="DBO43" s="380" t="e">
        <f t="shared" si="47"/>
        <v>#N/A</v>
      </c>
      <c r="DBP43" s="380" t="e">
        <f t="shared" si="47"/>
        <v>#N/A</v>
      </c>
      <c r="DBQ43" s="380" t="e">
        <f t="shared" si="47"/>
        <v>#N/A</v>
      </c>
      <c r="DBR43" s="380" t="e">
        <f t="shared" si="47"/>
        <v>#N/A</v>
      </c>
      <c r="DBS43" s="380" t="e">
        <f t="shared" si="47"/>
        <v>#N/A</v>
      </c>
      <c r="DBT43" s="380" t="e">
        <f t="shared" si="47"/>
        <v>#N/A</v>
      </c>
      <c r="DBU43" s="380" t="e">
        <f t="shared" si="47"/>
        <v>#N/A</v>
      </c>
      <c r="DBV43" s="380" t="e">
        <f t="shared" si="47"/>
        <v>#N/A</v>
      </c>
      <c r="DBW43" s="380" t="e">
        <f t="shared" si="47"/>
        <v>#N/A</v>
      </c>
      <c r="DBX43" s="380" t="e">
        <f t="shared" si="47"/>
        <v>#N/A</v>
      </c>
      <c r="DBY43" s="380" t="e">
        <f t="shared" si="47"/>
        <v>#N/A</v>
      </c>
      <c r="DBZ43" s="380" t="e">
        <f t="shared" si="47"/>
        <v>#N/A</v>
      </c>
      <c r="DCA43" s="380" t="e">
        <f t="shared" si="47"/>
        <v>#N/A</v>
      </c>
      <c r="DCB43" s="380" t="e">
        <f t="shared" si="47"/>
        <v>#N/A</v>
      </c>
      <c r="DCC43" s="380" t="e">
        <f t="shared" si="47"/>
        <v>#N/A</v>
      </c>
      <c r="DCD43" s="380" t="e">
        <f t="shared" si="47"/>
        <v>#N/A</v>
      </c>
      <c r="DCE43" s="380" t="e">
        <f t="shared" si="47"/>
        <v>#N/A</v>
      </c>
      <c r="DCF43" s="380" t="e">
        <f t="shared" si="47"/>
        <v>#N/A</v>
      </c>
      <c r="DCG43" s="380" t="e">
        <f t="shared" si="47"/>
        <v>#N/A</v>
      </c>
      <c r="DCH43" s="380" t="e">
        <f t="shared" si="47"/>
        <v>#N/A</v>
      </c>
      <c r="DCI43" s="380" t="e">
        <f t="shared" si="47"/>
        <v>#N/A</v>
      </c>
      <c r="DCJ43" s="380" t="e">
        <f t="shared" si="47"/>
        <v>#N/A</v>
      </c>
      <c r="DCK43" s="380" t="e">
        <f t="shared" si="47"/>
        <v>#N/A</v>
      </c>
      <c r="DCL43" s="380" t="e">
        <f t="shared" si="47"/>
        <v>#N/A</v>
      </c>
      <c r="DCM43" s="380" t="e">
        <f t="shared" si="47"/>
        <v>#N/A</v>
      </c>
      <c r="DCN43" s="380" t="e">
        <f t="shared" si="47"/>
        <v>#N/A</v>
      </c>
      <c r="DCO43" s="380" t="e">
        <f t="shared" si="47"/>
        <v>#N/A</v>
      </c>
      <c r="DCP43" s="380" t="e">
        <f t="shared" si="47"/>
        <v>#N/A</v>
      </c>
      <c r="DCQ43" s="380" t="e">
        <f t="shared" si="47"/>
        <v>#N/A</v>
      </c>
      <c r="DCR43" s="380" t="e">
        <f t="shared" si="47"/>
        <v>#N/A</v>
      </c>
      <c r="DCS43" s="380" t="e">
        <f t="shared" si="47"/>
        <v>#N/A</v>
      </c>
      <c r="DCT43" s="380" t="e">
        <f t="shared" si="47"/>
        <v>#N/A</v>
      </c>
      <c r="DCU43" s="380" t="e">
        <f t="shared" si="47"/>
        <v>#N/A</v>
      </c>
      <c r="DCV43" s="380" t="e">
        <f t="shared" si="47"/>
        <v>#N/A</v>
      </c>
      <c r="DCW43" s="380" t="e">
        <f t="shared" si="47"/>
        <v>#N/A</v>
      </c>
      <c r="DCX43" s="380" t="e">
        <f t="shared" si="47"/>
        <v>#N/A</v>
      </c>
      <c r="DCY43" s="380" t="e">
        <f t="shared" si="47"/>
        <v>#N/A</v>
      </c>
      <c r="DCZ43" s="380" t="e">
        <f t="shared" si="47"/>
        <v>#N/A</v>
      </c>
      <c r="DDA43" s="380" t="e">
        <f t="shared" si="47"/>
        <v>#N/A</v>
      </c>
      <c r="DDB43" s="380" t="e">
        <f t="shared" si="47"/>
        <v>#N/A</v>
      </c>
      <c r="DDC43" s="380" t="e">
        <f t="shared" si="47"/>
        <v>#N/A</v>
      </c>
      <c r="DDD43" s="380" t="e">
        <f t="shared" si="47"/>
        <v>#N/A</v>
      </c>
      <c r="DDE43" s="380" t="e">
        <f t="shared" si="47"/>
        <v>#N/A</v>
      </c>
      <c r="DDF43" s="380" t="e">
        <f t="shared" si="47"/>
        <v>#N/A</v>
      </c>
      <c r="DDG43" s="380" t="e">
        <f t="shared" si="47"/>
        <v>#N/A</v>
      </c>
      <c r="DDH43" s="380" t="e">
        <f t="shared" si="47"/>
        <v>#N/A</v>
      </c>
      <c r="DDI43" s="380" t="e">
        <f t="shared" si="47"/>
        <v>#N/A</v>
      </c>
      <c r="DDJ43" s="380" t="e">
        <f t="shared" si="47"/>
        <v>#N/A</v>
      </c>
      <c r="DDK43" s="380" t="e">
        <f t="shared" si="47"/>
        <v>#N/A</v>
      </c>
      <c r="DDL43" s="380" t="e">
        <f t="shared" si="47"/>
        <v>#N/A</v>
      </c>
      <c r="DDM43" s="380" t="e">
        <f t="shared" si="47"/>
        <v>#N/A</v>
      </c>
      <c r="DDN43" s="380" t="e">
        <f t="shared" si="47"/>
        <v>#N/A</v>
      </c>
      <c r="DDO43" s="380" t="e">
        <f t="shared" si="47"/>
        <v>#N/A</v>
      </c>
      <c r="DDP43" s="380" t="e">
        <f t="shared" ref="DDP43:DGA43" si="48">INDEX(DDP7:DDP40,MATCH($E$43,$E$7:$E$40,0))</f>
        <v>#N/A</v>
      </c>
      <c r="DDQ43" s="380" t="e">
        <f t="shared" si="48"/>
        <v>#N/A</v>
      </c>
      <c r="DDR43" s="380" t="e">
        <f t="shared" si="48"/>
        <v>#N/A</v>
      </c>
      <c r="DDS43" s="380" t="e">
        <f t="shared" si="48"/>
        <v>#N/A</v>
      </c>
      <c r="DDT43" s="380" t="e">
        <f t="shared" si="48"/>
        <v>#N/A</v>
      </c>
      <c r="DDU43" s="380" t="e">
        <f t="shared" si="48"/>
        <v>#N/A</v>
      </c>
      <c r="DDV43" s="380" t="e">
        <f t="shared" si="48"/>
        <v>#N/A</v>
      </c>
      <c r="DDW43" s="380" t="e">
        <f t="shared" si="48"/>
        <v>#N/A</v>
      </c>
      <c r="DDX43" s="380" t="e">
        <f t="shared" si="48"/>
        <v>#N/A</v>
      </c>
      <c r="DDY43" s="380" t="e">
        <f t="shared" si="48"/>
        <v>#N/A</v>
      </c>
      <c r="DDZ43" s="380" t="e">
        <f t="shared" si="48"/>
        <v>#N/A</v>
      </c>
      <c r="DEA43" s="380" t="e">
        <f t="shared" si="48"/>
        <v>#N/A</v>
      </c>
      <c r="DEB43" s="380" t="e">
        <f t="shared" si="48"/>
        <v>#N/A</v>
      </c>
      <c r="DEC43" s="380" t="e">
        <f t="shared" si="48"/>
        <v>#N/A</v>
      </c>
      <c r="DED43" s="380" t="e">
        <f t="shared" si="48"/>
        <v>#N/A</v>
      </c>
      <c r="DEE43" s="380" t="e">
        <f t="shared" si="48"/>
        <v>#N/A</v>
      </c>
      <c r="DEF43" s="380" t="e">
        <f t="shared" si="48"/>
        <v>#N/A</v>
      </c>
      <c r="DEG43" s="380" t="e">
        <f t="shared" si="48"/>
        <v>#N/A</v>
      </c>
      <c r="DEH43" s="380" t="e">
        <f t="shared" si="48"/>
        <v>#N/A</v>
      </c>
      <c r="DEI43" s="380" t="e">
        <f t="shared" si="48"/>
        <v>#N/A</v>
      </c>
      <c r="DEJ43" s="380" t="e">
        <f t="shared" si="48"/>
        <v>#N/A</v>
      </c>
      <c r="DEK43" s="380" t="e">
        <f t="shared" si="48"/>
        <v>#N/A</v>
      </c>
      <c r="DEL43" s="380" t="e">
        <f t="shared" si="48"/>
        <v>#N/A</v>
      </c>
      <c r="DEM43" s="380" t="e">
        <f t="shared" si="48"/>
        <v>#N/A</v>
      </c>
      <c r="DEN43" s="380" t="e">
        <f t="shared" si="48"/>
        <v>#N/A</v>
      </c>
      <c r="DEO43" s="380" t="e">
        <f t="shared" si="48"/>
        <v>#N/A</v>
      </c>
      <c r="DEP43" s="380" t="e">
        <f t="shared" si="48"/>
        <v>#N/A</v>
      </c>
      <c r="DEQ43" s="380" t="e">
        <f t="shared" si="48"/>
        <v>#N/A</v>
      </c>
      <c r="DER43" s="380" t="e">
        <f t="shared" si="48"/>
        <v>#N/A</v>
      </c>
      <c r="DES43" s="380" t="e">
        <f t="shared" si="48"/>
        <v>#N/A</v>
      </c>
      <c r="DET43" s="380" t="e">
        <f t="shared" si="48"/>
        <v>#N/A</v>
      </c>
      <c r="DEU43" s="380" t="e">
        <f t="shared" si="48"/>
        <v>#N/A</v>
      </c>
      <c r="DEV43" s="380" t="e">
        <f t="shared" si="48"/>
        <v>#N/A</v>
      </c>
      <c r="DEW43" s="380" t="e">
        <f t="shared" si="48"/>
        <v>#N/A</v>
      </c>
      <c r="DEX43" s="380" t="e">
        <f t="shared" si="48"/>
        <v>#N/A</v>
      </c>
      <c r="DEY43" s="380" t="e">
        <f t="shared" si="48"/>
        <v>#N/A</v>
      </c>
      <c r="DEZ43" s="380" t="e">
        <f t="shared" si="48"/>
        <v>#N/A</v>
      </c>
      <c r="DFA43" s="380" t="e">
        <f t="shared" si="48"/>
        <v>#N/A</v>
      </c>
      <c r="DFB43" s="380" t="e">
        <f t="shared" si="48"/>
        <v>#N/A</v>
      </c>
      <c r="DFC43" s="380" t="e">
        <f t="shared" si="48"/>
        <v>#N/A</v>
      </c>
      <c r="DFD43" s="380" t="e">
        <f t="shared" si="48"/>
        <v>#N/A</v>
      </c>
      <c r="DFE43" s="380" t="e">
        <f t="shared" si="48"/>
        <v>#N/A</v>
      </c>
      <c r="DFF43" s="380" t="e">
        <f t="shared" si="48"/>
        <v>#N/A</v>
      </c>
      <c r="DFG43" s="380" t="e">
        <f t="shared" si="48"/>
        <v>#N/A</v>
      </c>
      <c r="DFH43" s="380" t="e">
        <f t="shared" si="48"/>
        <v>#N/A</v>
      </c>
      <c r="DFI43" s="380" t="e">
        <f t="shared" si="48"/>
        <v>#N/A</v>
      </c>
      <c r="DFJ43" s="380" t="e">
        <f t="shared" si="48"/>
        <v>#N/A</v>
      </c>
      <c r="DFK43" s="380" t="e">
        <f t="shared" si="48"/>
        <v>#N/A</v>
      </c>
      <c r="DFL43" s="380" t="e">
        <f t="shared" si="48"/>
        <v>#N/A</v>
      </c>
      <c r="DFM43" s="380" t="e">
        <f t="shared" si="48"/>
        <v>#N/A</v>
      </c>
      <c r="DFN43" s="380" t="e">
        <f t="shared" si="48"/>
        <v>#N/A</v>
      </c>
      <c r="DFO43" s="380" t="e">
        <f t="shared" si="48"/>
        <v>#N/A</v>
      </c>
      <c r="DFP43" s="380" t="e">
        <f t="shared" si="48"/>
        <v>#N/A</v>
      </c>
      <c r="DFQ43" s="380" t="e">
        <f t="shared" si="48"/>
        <v>#N/A</v>
      </c>
      <c r="DFR43" s="380" t="e">
        <f t="shared" si="48"/>
        <v>#N/A</v>
      </c>
      <c r="DFS43" s="380" t="e">
        <f t="shared" si="48"/>
        <v>#N/A</v>
      </c>
      <c r="DFT43" s="380" t="e">
        <f t="shared" si="48"/>
        <v>#N/A</v>
      </c>
      <c r="DFU43" s="380" t="e">
        <f t="shared" si="48"/>
        <v>#N/A</v>
      </c>
      <c r="DFV43" s="380" t="e">
        <f t="shared" si="48"/>
        <v>#N/A</v>
      </c>
      <c r="DFW43" s="380" t="e">
        <f t="shared" si="48"/>
        <v>#N/A</v>
      </c>
      <c r="DFX43" s="380" t="e">
        <f t="shared" si="48"/>
        <v>#N/A</v>
      </c>
      <c r="DFY43" s="380" t="e">
        <f t="shared" si="48"/>
        <v>#N/A</v>
      </c>
      <c r="DFZ43" s="380" t="e">
        <f t="shared" si="48"/>
        <v>#N/A</v>
      </c>
      <c r="DGA43" s="380" t="e">
        <f t="shared" si="48"/>
        <v>#N/A</v>
      </c>
      <c r="DGB43" s="380" t="e">
        <f t="shared" ref="DGB43:DIM43" si="49">INDEX(DGB7:DGB40,MATCH($E$43,$E$7:$E$40,0))</f>
        <v>#N/A</v>
      </c>
      <c r="DGC43" s="380" t="e">
        <f t="shared" si="49"/>
        <v>#N/A</v>
      </c>
      <c r="DGD43" s="380" t="e">
        <f t="shared" si="49"/>
        <v>#N/A</v>
      </c>
      <c r="DGE43" s="380" t="e">
        <f t="shared" si="49"/>
        <v>#N/A</v>
      </c>
      <c r="DGF43" s="380" t="e">
        <f t="shared" si="49"/>
        <v>#N/A</v>
      </c>
      <c r="DGG43" s="380" t="e">
        <f t="shared" si="49"/>
        <v>#N/A</v>
      </c>
      <c r="DGH43" s="380" t="e">
        <f t="shared" si="49"/>
        <v>#N/A</v>
      </c>
      <c r="DGI43" s="380" t="e">
        <f t="shared" si="49"/>
        <v>#N/A</v>
      </c>
      <c r="DGJ43" s="380" t="e">
        <f t="shared" si="49"/>
        <v>#N/A</v>
      </c>
      <c r="DGK43" s="380" t="e">
        <f t="shared" si="49"/>
        <v>#N/A</v>
      </c>
      <c r="DGL43" s="380" t="e">
        <f t="shared" si="49"/>
        <v>#N/A</v>
      </c>
      <c r="DGM43" s="380" t="e">
        <f t="shared" si="49"/>
        <v>#N/A</v>
      </c>
      <c r="DGN43" s="380" t="e">
        <f t="shared" si="49"/>
        <v>#N/A</v>
      </c>
      <c r="DGO43" s="380" t="e">
        <f t="shared" si="49"/>
        <v>#N/A</v>
      </c>
      <c r="DGP43" s="380" t="e">
        <f t="shared" si="49"/>
        <v>#N/A</v>
      </c>
      <c r="DGQ43" s="380" t="e">
        <f t="shared" si="49"/>
        <v>#N/A</v>
      </c>
      <c r="DGR43" s="380" t="e">
        <f t="shared" si="49"/>
        <v>#N/A</v>
      </c>
      <c r="DGS43" s="380" t="e">
        <f t="shared" si="49"/>
        <v>#N/A</v>
      </c>
      <c r="DGT43" s="380" t="e">
        <f t="shared" si="49"/>
        <v>#N/A</v>
      </c>
      <c r="DGU43" s="380" t="e">
        <f t="shared" si="49"/>
        <v>#N/A</v>
      </c>
      <c r="DGV43" s="380" t="e">
        <f t="shared" si="49"/>
        <v>#N/A</v>
      </c>
      <c r="DGW43" s="380" t="e">
        <f t="shared" si="49"/>
        <v>#N/A</v>
      </c>
      <c r="DGX43" s="380" t="e">
        <f t="shared" si="49"/>
        <v>#N/A</v>
      </c>
      <c r="DGY43" s="380" t="e">
        <f t="shared" si="49"/>
        <v>#N/A</v>
      </c>
      <c r="DGZ43" s="380" t="e">
        <f t="shared" si="49"/>
        <v>#N/A</v>
      </c>
      <c r="DHA43" s="380" t="e">
        <f t="shared" si="49"/>
        <v>#N/A</v>
      </c>
      <c r="DHB43" s="380" t="e">
        <f t="shared" si="49"/>
        <v>#N/A</v>
      </c>
      <c r="DHC43" s="380" t="e">
        <f t="shared" si="49"/>
        <v>#N/A</v>
      </c>
      <c r="DHD43" s="380" t="e">
        <f t="shared" si="49"/>
        <v>#N/A</v>
      </c>
      <c r="DHE43" s="380" t="e">
        <f t="shared" si="49"/>
        <v>#N/A</v>
      </c>
      <c r="DHF43" s="380" t="e">
        <f t="shared" si="49"/>
        <v>#N/A</v>
      </c>
      <c r="DHG43" s="380" t="e">
        <f t="shared" si="49"/>
        <v>#N/A</v>
      </c>
      <c r="DHH43" s="380" t="e">
        <f t="shared" si="49"/>
        <v>#N/A</v>
      </c>
      <c r="DHI43" s="380" t="e">
        <f t="shared" si="49"/>
        <v>#N/A</v>
      </c>
      <c r="DHJ43" s="380" t="e">
        <f t="shared" si="49"/>
        <v>#N/A</v>
      </c>
      <c r="DHK43" s="380" t="e">
        <f t="shared" si="49"/>
        <v>#N/A</v>
      </c>
      <c r="DHL43" s="380" t="e">
        <f t="shared" si="49"/>
        <v>#N/A</v>
      </c>
      <c r="DHM43" s="380" t="e">
        <f t="shared" si="49"/>
        <v>#N/A</v>
      </c>
      <c r="DHN43" s="380" t="e">
        <f t="shared" si="49"/>
        <v>#N/A</v>
      </c>
      <c r="DHO43" s="380" t="e">
        <f t="shared" si="49"/>
        <v>#N/A</v>
      </c>
      <c r="DHP43" s="380" t="e">
        <f t="shared" si="49"/>
        <v>#N/A</v>
      </c>
      <c r="DHQ43" s="380" t="e">
        <f t="shared" si="49"/>
        <v>#N/A</v>
      </c>
      <c r="DHR43" s="380" t="e">
        <f t="shared" si="49"/>
        <v>#N/A</v>
      </c>
      <c r="DHS43" s="380" t="e">
        <f t="shared" si="49"/>
        <v>#N/A</v>
      </c>
      <c r="DHT43" s="380" t="e">
        <f t="shared" si="49"/>
        <v>#N/A</v>
      </c>
      <c r="DHU43" s="380" t="e">
        <f t="shared" si="49"/>
        <v>#N/A</v>
      </c>
      <c r="DHV43" s="380" t="e">
        <f t="shared" si="49"/>
        <v>#N/A</v>
      </c>
      <c r="DHW43" s="380" t="e">
        <f t="shared" si="49"/>
        <v>#N/A</v>
      </c>
      <c r="DHX43" s="380" t="e">
        <f t="shared" si="49"/>
        <v>#N/A</v>
      </c>
      <c r="DHY43" s="380" t="e">
        <f t="shared" si="49"/>
        <v>#N/A</v>
      </c>
      <c r="DHZ43" s="380" t="e">
        <f t="shared" si="49"/>
        <v>#N/A</v>
      </c>
      <c r="DIA43" s="380" t="e">
        <f t="shared" si="49"/>
        <v>#N/A</v>
      </c>
      <c r="DIB43" s="380" t="e">
        <f t="shared" si="49"/>
        <v>#N/A</v>
      </c>
      <c r="DIC43" s="380" t="e">
        <f t="shared" si="49"/>
        <v>#N/A</v>
      </c>
      <c r="DID43" s="380" t="e">
        <f t="shared" si="49"/>
        <v>#N/A</v>
      </c>
      <c r="DIE43" s="380" t="e">
        <f t="shared" si="49"/>
        <v>#N/A</v>
      </c>
      <c r="DIF43" s="380" t="e">
        <f t="shared" si="49"/>
        <v>#N/A</v>
      </c>
      <c r="DIG43" s="380" t="e">
        <f t="shared" si="49"/>
        <v>#N/A</v>
      </c>
      <c r="DIH43" s="380" t="e">
        <f t="shared" si="49"/>
        <v>#N/A</v>
      </c>
      <c r="DII43" s="380" t="e">
        <f t="shared" si="49"/>
        <v>#N/A</v>
      </c>
      <c r="DIJ43" s="380" t="e">
        <f t="shared" si="49"/>
        <v>#N/A</v>
      </c>
      <c r="DIK43" s="380" t="e">
        <f t="shared" si="49"/>
        <v>#N/A</v>
      </c>
      <c r="DIL43" s="380" t="e">
        <f t="shared" si="49"/>
        <v>#N/A</v>
      </c>
      <c r="DIM43" s="380" t="e">
        <f t="shared" si="49"/>
        <v>#N/A</v>
      </c>
      <c r="DIN43" s="380" t="e">
        <f t="shared" ref="DIN43:DKY43" si="50">INDEX(DIN7:DIN40,MATCH($E$43,$E$7:$E$40,0))</f>
        <v>#N/A</v>
      </c>
      <c r="DIO43" s="380" t="e">
        <f t="shared" si="50"/>
        <v>#N/A</v>
      </c>
      <c r="DIP43" s="380" t="e">
        <f t="shared" si="50"/>
        <v>#N/A</v>
      </c>
      <c r="DIQ43" s="380" t="e">
        <f t="shared" si="50"/>
        <v>#N/A</v>
      </c>
      <c r="DIR43" s="380" t="e">
        <f t="shared" si="50"/>
        <v>#N/A</v>
      </c>
      <c r="DIS43" s="380" t="e">
        <f t="shared" si="50"/>
        <v>#N/A</v>
      </c>
      <c r="DIT43" s="380" t="e">
        <f t="shared" si="50"/>
        <v>#N/A</v>
      </c>
      <c r="DIU43" s="380" t="e">
        <f t="shared" si="50"/>
        <v>#N/A</v>
      </c>
      <c r="DIV43" s="380" t="e">
        <f t="shared" si="50"/>
        <v>#N/A</v>
      </c>
      <c r="DIW43" s="380" t="e">
        <f t="shared" si="50"/>
        <v>#N/A</v>
      </c>
      <c r="DIX43" s="380" t="e">
        <f t="shared" si="50"/>
        <v>#N/A</v>
      </c>
      <c r="DIY43" s="380" t="e">
        <f t="shared" si="50"/>
        <v>#N/A</v>
      </c>
      <c r="DIZ43" s="380" t="e">
        <f t="shared" si="50"/>
        <v>#N/A</v>
      </c>
      <c r="DJA43" s="380" t="e">
        <f t="shared" si="50"/>
        <v>#N/A</v>
      </c>
      <c r="DJB43" s="380" t="e">
        <f t="shared" si="50"/>
        <v>#N/A</v>
      </c>
      <c r="DJC43" s="380" t="e">
        <f t="shared" si="50"/>
        <v>#N/A</v>
      </c>
      <c r="DJD43" s="380" t="e">
        <f t="shared" si="50"/>
        <v>#N/A</v>
      </c>
      <c r="DJE43" s="380" t="e">
        <f t="shared" si="50"/>
        <v>#N/A</v>
      </c>
      <c r="DJF43" s="380" t="e">
        <f t="shared" si="50"/>
        <v>#N/A</v>
      </c>
      <c r="DJG43" s="380" t="e">
        <f t="shared" si="50"/>
        <v>#N/A</v>
      </c>
      <c r="DJH43" s="380" t="e">
        <f t="shared" si="50"/>
        <v>#N/A</v>
      </c>
      <c r="DJI43" s="380" t="e">
        <f t="shared" si="50"/>
        <v>#N/A</v>
      </c>
      <c r="DJJ43" s="380" t="e">
        <f t="shared" si="50"/>
        <v>#N/A</v>
      </c>
      <c r="DJK43" s="380" t="e">
        <f t="shared" si="50"/>
        <v>#N/A</v>
      </c>
      <c r="DJL43" s="380" t="e">
        <f t="shared" si="50"/>
        <v>#N/A</v>
      </c>
      <c r="DJM43" s="380" t="e">
        <f t="shared" si="50"/>
        <v>#N/A</v>
      </c>
      <c r="DJN43" s="380" t="e">
        <f t="shared" si="50"/>
        <v>#N/A</v>
      </c>
      <c r="DJO43" s="380" t="e">
        <f t="shared" si="50"/>
        <v>#N/A</v>
      </c>
      <c r="DJP43" s="380" t="e">
        <f t="shared" si="50"/>
        <v>#N/A</v>
      </c>
      <c r="DJQ43" s="380" t="e">
        <f t="shared" si="50"/>
        <v>#N/A</v>
      </c>
      <c r="DJR43" s="380" t="e">
        <f t="shared" si="50"/>
        <v>#N/A</v>
      </c>
      <c r="DJS43" s="380" t="e">
        <f t="shared" si="50"/>
        <v>#N/A</v>
      </c>
      <c r="DJT43" s="380" t="e">
        <f t="shared" si="50"/>
        <v>#N/A</v>
      </c>
      <c r="DJU43" s="380" t="e">
        <f t="shared" si="50"/>
        <v>#N/A</v>
      </c>
      <c r="DJV43" s="380" t="e">
        <f t="shared" si="50"/>
        <v>#N/A</v>
      </c>
      <c r="DJW43" s="380" t="e">
        <f t="shared" si="50"/>
        <v>#N/A</v>
      </c>
      <c r="DJX43" s="380" t="e">
        <f t="shared" si="50"/>
        <v>#N/A</v>
      </c>
      <c r="DJY43" s="380" t="e">
        <f t="shared" si="50"/>
        <v>#N/A</v>
      </c>
      <c r="DJZ43" s="380" t="e">
        <f t="shared" si="50"/>
        <v>#N/A</v>
      </c>
      <c r="DKA43" s="380" t="e">
        <f t="shared" si="50"/>
        <v>#N/A</v>
      </c>
      <c r="DKB43" s="380" t="e">
        <f t="shared" si="50"/>
        <v>#N/A</v>
      </c>
      <c r="DKC43" s="380" t="e">
        <f t="shared" si="50"/>
        <v>#N/A</v>
      </c>
      <c r="DKD43" s="380" t="e">
        <f t="shared" si="50"/>
        <v>#N/A</v>
      </c>
      <c r="DKE43" s="380" t="e">
        <f t="shared" si="50"/>
        <v>#N/A</v>
      </c>
      <c r="DKF43" s="380" t="e">
        <f t="shared" si="50"/>
        <v>#N/A</v>
      </c>
      <c r="DKG43" s="380" t="e">
        <f t="shared" si="50"/>
        <v>#N/A</v>
      </c>
      <c r="DKH43" s="380" t="e">
        <f t="shared" si="50"/>
        <v>#N/A</v>
      </c>
      <c r="DKI43" s="380" t="e">
        <f t="shared" si="50"/>
        <v>#N/A</v>
      </c>
      <c r="DKJ43" s="380" t="e">
        <f t="shared" si="50"/>
        <v>#N/A</v>
      </c>
      <c r="DKK43" s="380" t="e">
        <f t="shared" si="50"/>
        <v>#N/A</v>
      </c>
      <c r="DKL43" s="380" t="e">
        <f t="shared" si="50"/>
        <v>#N/A</v>
      </c>
      <c r="DKM43" s="380" t="e">
        <f t="shared" si="50"/>
        <v>#N/A</v>
      </c>
      <c r="DKN43" s="380" t="e">
        <f t="shared" si="50"/>
        <v>#N/A</v>
      </c>
      <c r="DKO43" s="380" t="e">
        <f t="shared" si="50"/>
        <v>#N/A</v>
      </c>
      <c r="DKP43" s="380" t="e">
        <f t="shared" si="50"/>
        <v>#N/A</v>
      </c>
      <c r="DKQ43" s="380" t="e">
        <f t="shared" si="50"/>
        <v>#N/A</v>
      </c>
      <c r="DKR43" s="380" t="e">
        <f t="shared" si="50"/>
        <v>#N/A</v>
      </c>
      <c r="DKS43" s="380" t="e">
        <f t="shared" si="50"/>
        <v>#N/A</v>
      </c>
      <c r="DKT43" s="380" t="e">
        <f t="shared" si="50"/>
        <v>#N/A</v>
      </c>
      <c r="DKU43" s="380" t="e">
        <f t="shared" si="50"/>
        <v>#N/A</v>
      </c>
      <c r="DKV43" s="380" t="e">
        <f t="shared" si="50"/>
        <v>#N/A</v>
      </c>
      <c r="DKW43" s="380" t="e">
        <f t="shared" si="50"/>
        <v>#N/A</v>
      </c>
      <c r="DKX43" s="380" t="e">
        <f t="shared" si="50"/>
        <v>#N/A</v>
      </c>
      <c r="DKY43" s="380" t="e">
        <f t="shared" si="50"/>
        <v>#N/A</v>
      </c>
      <c r="DKZ43" s="380" t="e">
        <f t="shared" ref="DKZ43:DNK43" si="51">INDEX(DKZ7:DKZ40,MATCH($E$43,$E$7:$E$40,0))</f>
        <v>#N/A</v>
      </c>
      <c r="DLA43" s="380" t="e">
        <f t="shared" si="51"/>
        <v>#N/A</v>
      </c>
      <c r="DLB43" s="380" t="e">
        <f t="shared" si="51"/>
        <v>#N/A</v>
      </c>
      <c r="DLC43" s="380" t="e">
        <f t="shared" si="51"/>
        <v>#N/A</v>
      </c>
      <c r="DLD43" s="380" t="e">
        <f t="shared" si="51"/>
        <v>#N/A</v>
      </c>
      <c r="DLE43" s="380" t="e">
        <f t="shared" si="51"/>
        <v>#N/A</v>
      </c>
      <c r="DLF43" s="380" t="e">
        <f t="shared" si="51"/>
        <v>#N/A</v>
      </c>
      <c r="DLG43" s="380" t="e">
        <f t="shared" si="51"/>
        <v>#N/A</v>
      </c>
      <c r="DLH43" s="380" t="e">
        <f t="shared" si="51"/>
        <v>#N/A</v>
      </c>
      <c r="DLI43" s="380" t="e">
        <f t="shared" si="51"/>
        <v>#N/A</v>
      </c>
      <c r="DLJ43" s="380" t="e">
        <f t="shared" si="51"/>
        <v>#N/A</v>
      </c>
      <c r="DLK43" s="380" t="e">
        <f t="shared" si="51"/>
        <v>#N/A</v>
      </c>
      <c r="DLL43" s="380" t="e">
        <f t="shared" si="51"/>
        <v>#N/A</v>
      </c>
      <c r="DLM43" s="380" t="e">
        <f t="shared" si="51"/>
        <v>#N/A</v>
      </c>
      <c r="DLN43" s="380" t="e">
        <f t="shared" si="51"/>
        <v>#N/A</v>
      </c>
      <c r="DLO43" s="380" t="e">
        <f t="shared" si="51"/>
        <v>#N/A</v>
      </c>
      <c r="DLP43" s="380" t="e">
        <f t="shared" si="51"/>
        <v>#N/A</v>
      </c>
      <c r="DLQ43" s="380" t="e">
        <f t="shared" si="51"/>
        <v>#N/A</v>
      </c>
      <c r="DLR43" s="380" t="e">
        <f t="shared" si="51"/>
        <v>#N/A</v>
      </c>
      <c r="DLS43" s="380" t="e">
        <f t="shared" si="51"/>
        <v>#N/A</v>
      </c>
      <c r="DLT43" s="380" t="e">
        <f t="shared" si="51"/>
        <v>#N/A</v>
      </c>
      <c r="DLU43" s="380" t="e">
        <f t="shared" si="51"/>
        <v>#N/A</v>
      </c>
      <c r="DLV43" s="380" t="e">
        <f t="shared" si="51"/>
        <v>#N/A</v>
      </c>
      <c r="DLW43" s="380" t="e">
        <f t="shared" si="51"/>
        <v>#N/A</v>
      </c>
      <c r="DLX43" s="380" t="e">
        <f t="shared" si="51"/>
        <v>#N/A</v>
      </c>
      <c r="DLY43" s="380" t="e">
        <f t="shared" si="51"/>
        <v>#N/A</v>
      </c>
      <c r="DLZ43" s="380" t="e">
        <f t="shared" si="51"/>
        <v>#N/A</v>
      </c>
      <c r="DMA43" s="380" t="e">
        <f t="shared" si="51"/>
        <v>#N/A</v>
      </c>
      <c r="DMB43" s="380" t="e">
        <f t="shared" si="51"/>
        <v>#N/A</v>
      </c>
      <c r="DMC43" s="380" t="e">
        <f t="shared" si="51"/>
        <v>#N/A</v>
      </c>
      <c r="DMD43" s="380" t="e">
        <f t="shared" si="51"/>
        <v>#N/A</v>
      </c>
      <c r="DME43" s="380" t="e">
        <f t="shared" si="51"/>
        <v>#N/A</v>
      </c>
      <c r="DMF43" s="380" t="e">
        <f t="shared" si="51"/>
        <v>#N/A</v>
      </c>
      <c r="DMG43" s="380" t="e">
        <f t="shared" si="51"/>
        <v>#N/A</v>
      </c>
      <c r="DMH43" s="380" t="e">
        <f t="shared" si="51"/>
        <v>#N/A</v>
      </c>
      <c r="DMI43" s="380" t="e">
        <f t="shared" si="51"/>
        <v>#N/A</v>
      </c>
      <c r="DMJ43" s="380" t="e">
        <f t="shared" si="51"/>
        <v>#N/A</v>
      </c>
      <c r="DMK43" s="380" t="e">
        <f t="shared" si="51"/>
        <v>#N/A</v>
      </c>
      <c r="DML43" s="380" t="e">
        <f t="shared" si="51"/>
        <v>#N/A</v>
      </c>
      <c r="DMM43" s="380" t="e">
        <f t="shared" si="51"/>
        <v>#N/A</v>
      </c>
      <c r="DMN43" s="380" t="e">
        <f t="shared" si="51"/>
        <v>#N/A</v>
      </c>
      <c r="DMO43" s="380" t="e">
        <f t="shared" si="51"/>
        <v>#N/A</v>
      </c>
      <c r="DMP43" s="380" t="e">
        <f t="shared" si="51"/>
        <v>#N/A</v>
      </c>
      <c r="DMQ43" s="380" t="e">
        <f t="shared" si="51"/>
        <v>#N/A</v>
      </c>
      <c r="DMR43" s="380" t="e">
        <f t="shared" si="51"/>
        <v>#N/A</v>
      </c>
      <c r="DMS43" s="380" t="e">
        <f t="shared" si="51"/>
        <v>#N/A</v>
      </c>
      <c r="DMT43" s="380" t="e">
        <f t="shared" si="51"/>
        <v>#N/A</v>
      </c>
      <c r="DMU43" s="380" t="e">
        <f t="shared" si="51"/>
        <v>#N/A</v>
      </c>
      <c r="DMV43" s="380" t="e">
        <f t="shared" si="51"/>
        <v>#N/A</v>
      </c>
      <c r="DMW43" s="380" t="e">
        <f t="shared" si="51"/>
        <v>#N/A</v>
      </c>
      <c r="DMX43" s="380" t="e">
        <f t="shared" si="51"/>
        <v>#N/A</v>
      </c>
      <c r="DMY43" s="380" t="e">
        <f t="shared" si="51"/>
        <v>#N/A</v>
      </c>
      <c r="DMZ43" s="380" t="e">
        <f t="shared" si="51"/>
        <v>#N/A</v>
      </c>
      <c r="DNA43" s="380" t="e">
        <f t="shared" si="51"/>
        <v>#N/A</v>
      </c>
      <c r="DNB43" s="380" t="e">
        <f t="shared" si="51"/>
        <v>#N/A</v>
      </c>
      <c r="DNC43" s="380" t="e">
        <f t="shared" si="51"/>
        <v>#N/A</v>
      </c>
      <c r="DND43" s="380" t="e">
        <f t="shared" si="51"/>
        <v>#N/A</v>
      </c>
      <c r="DNE43" s="380" t="e">
        <f t="shared" si="51"/>
        <v>#N/A</v>
      </c>
      <c r="DNF43" s="380" t="e">
        <f t="shared" si="51"/>
        <v>#N/A</v>
      </c>
      <c r="DNG43" s="380" t="e">
        <f t="shared" si="51"/>
        <v>#N/A</v>
      </c>
      <c r="DNH43" s="380" t="e">
        <f t="shared" si="51"/>
        <v>#N/A</v>
      </c>
      <c r="DNI43" s="380" t="e">
        <f t="shared" si="51"/>
        <v>#N/A</v>
      </c>
      <c r="DNJ43" s="380" t="e">
        <f t="shared" si="51"/>
        <v>#N/A</v>
      </c>
      <c r="DNK43" s="380" t="e">
        <f t="shared" si="51"/>
        <v>#N/A</v>
      </c>
      <c r="DNL43" s="380" t="e">
        <f t="shared" ref="DNL43:DPW43" si="52">INDEX(DNL7:DNL40,MATCH($E$43,$E$7:$E$40,0))</f>
        <v>#N/A</v>
      </c>
      <c r="DNM43" s="380" t="e">
        <f t="shared" si="52"/>
        <v>#N/A</v>
      </c>
      <c r="DNN43" s="380" t="e">
        <f t="shared" si="52"/>
        <v>#N/A</v>
      </c>
      <c r="DNO43" s="380" t="e">
        <f t="shared" si="52"/>
        <v>#N/A</v>
      </c>
      <c r="DNP43" s="380" t="e">
        <f t="shared" si="52"/>
        <v>#N/A</v>
      </c>
      <c r="DNQ43" s="380" t="e">
        <f t="shared" si="52"/>
        <v>#N/A</v>
      </c>
      <c r="DNR43" s="380" t="e">
        <f t="shared" si="52"/>
        <v>#N/A</v>
      </c>
      <c r="DNS43" s="380" t="e">
        <f t="shared" si="52"/>
        <v>#N/A</v>
      </c>
      <c r="DNT43" s="380" t="e">
        <f t="shared" si="52"/>
        <v>#N/A</v>
      </c>
      <c r="DNU43" s="380" t="e">
        <f t="shared" si="52"/>
        <v>#N/A</v>
      </c>
      <c r="DNV43" s="380" t="e">
        <f t="shared" si="52"/>
        <v>#N/A</v>
      </c>
      <c r="DNW43" s="380" t="e">
        <f t="shared" si="52"/>
        <v>#N/A</v>
      </c>
      <c r="DNX43" s="380" t="e">
        <f t="shared" si="52"/>
        <v>#N/A</v>
      </c>
      <c r="DNY43" s="380" t="e">
        <f t="shared" si="52"/>
        <v>#N/A</v>
      </c>
      <c r="DNZ43" s="380" t="e">
        <f t="shared" si="52"/>
        <v>#N/A</v>
      </c>
      <c r="DOA43" s="380" t="e">
        <f t="shared" si="52"/>
        <v>#N/A</v>
      </c>
      <c r="DOB43" s="380" t="e">
        <f t="shared" si="52"/>
        <v>#N/A</v>
      </c>
      <c r="DOC43" s="380" t="e">
        <f t="shared" si="52"/>
        <v>#N/A</v>
      </c>
      <c r="DOD43" s="380" t="e">
        <f t="shared" si="52"/>
        <v>#N/A</v>
      </c>
      <c r="DOE43" s="380" t="e">
        <f t="shared" si="52"/>
        <v>#N/A</v>
      </c>
      <c r="DOF43" s="380" t="e">
        <f t="shared" si="52"/>
        <v>#N/A</v>
      </c>
      <c r="DOG43" s="380" t="e">
        <f t="shared" si="52"/>
        <v>#N/A</v>
      </c>
      <c r="DOH43" s="380" t="e">
        <f t="shared" si="52"/>
        <v>#N/A</v>
      </c>
      <c r="DOI43" s="380" t="e">
        <f t="shared" si="52"/>
        <v>#N/A</v>
      </c>
      <c r="DOJ43" s="380" t="e">
        <f t="shared" si="52"/>
        <v>#N/A</v>
      </c>
      <c r="DOK43" s="380" t="e">
        <f t="shared" si="52"/>
        <v>#N/A</v>
      </c>
      <c r="DOL43" s="380" t="e">
        <f t="shared" si="52"/>
        <v>#N/A</v>
      </c>
      <c r="DOM43" s="380" t="e">
        <f t="shared" si="52"/>
        <v>#N/A</v>
      </c>
      <c r="DON43" s="380" t="e">
        <f t="shared" si="52"/>
        <v>#N/A</v>
      </c>
      <c r="DOO43" s="380" t="e">
        <f t="shared" si="52"/>
        <v>#N/A</v>
      </c>
      <c r="DOP43" s="380" t="e">
        <f t="shared" si="52"/>
        <v>#N/A</v>
      </c>
      <c r="DOQ43" s="380" t="e">
        <f t="shared" si="52"/>
        <v>#N/A</v>
      </c>
      <c r="DOR43" s="380" t="e">
        <f t="shared" si="52"/>
        <v>#N/A</v>
      </c>
      <c r="DOS43" s="380" t="e">
        <f t="shared" si="52"/>
        <v>#N/A</v>
      </c>
      <c r="DOT43" s="380" t="e">
        <f t="shared" si="52"/>
        <v>#N/A</v>
      </c>
      <c r="DOU43" s="380" t="e">
        <f t="shared" si="52"/>
        <v>#N/A</v>
      </c>
      <c r="DOV43" s="380" t="e">
        <f t="shared" si="52"/>
        <v>#N/A</v>
      </c>
      <c r="DOW43" s="380" t="e">
        <f t="shared" si="52"/>
        <v>#N/A</v>
      </c>
      <c r="DOX43" s="380" t="e">
        <f t="shared" si="52"/>
        <v>#N/A</v>
      </c>
      <c r="DOY43" s="380" t="e">
        <f t="shared" si="52"/>
        <v>#N/A</v>
      </c>
      <c r="DOZ43" s="380" t="e">
        <f t="shared" si="52"/>
        <v>#N/A</v>
      </c>
      <c r="DPA43" s="380" t="e">
        <f t="shared" si="52"/>
        <v>#N/A</v>
      </c>
      <c r="DPB43" s="380" t="e">
        <f t="shared" si="52"/>
        <v>#N/A</v>
      </c>
      <c r="DPC43" s="380" t="e">
        <f t="shared" si="52"/>
        <v>#N/A</v>
      </c>
      <c r="DPD43" s="380" t="e">
        <f t="shared" si="52"/>
        <v>#N/A</v>
      </c>
      <c r="DPE43" s="380" t="e">
        <f t="shared" si="52"/>
        <v>#N/A</v>
      </c>
      <c r="DPF43" s="380" t="e">
        <f t="shared" si="52"/>
        <v>#N/A</v>
      </c>
      <c r="DPG43" s="380" t="e">
        <f t="shared" si="52"/>
        <v>#N/A</v>
      </c>
      <c r="DPH43" s="380" t="e">
        <f t="shared" si="52"/>
        <v>#N/A</v>
      </c>
      <c r="DPI43" s="380" t="e">
        <f t="shared" si="52"/>
        <v>#N/A</v>
      </c>
      <c r="DPJ43" s="380" t="e">
        <f t="shared" si="52"/>
        <v>#N/A</v>
      </c>
      <c r="DPK43" s="380" t="e">
        <f t="shared" si="52"/>
        <v>#N/A</v>
      </c>
      <c r="DPL43" s="380" t="e">
        <f t="shared" si="52"/>
        <v>#N/A</v>
      </c>
      <c r="DPM43" s="380" t="e">
        <f t="shared" si="52"/>
        <v>#N/A</v>
      </c>
      <c r="DPN43" s="380" t="e">
        <f t="shared" si="52"/>
        <v>#N/A</v>
      </c>
      <c r="DPO43" s="380" t="e">
        <f t="shared" si="52"/>
        <v>#N/A</v>
      </c>
      <c r="DPP43" s="380" t="e">
        <f t="shared" si="52"/>
        <v>#N/A</v>
      </c>
      <c r="DPQ43" s="380" t="e">
        <f t="shared" si="52"/>
        <v>#N/A</v>
      </c>
      <c r="DPR43" s="380" t="e">
        <f t="shared" si="52"/>
        <v>#N/A</v>
      </c>
      <c r="DPS43" s="380" t="e">
        <f t="shared" si="52"/>
        <v>#N/A</v>
      </c>
      <c r="DPT43" s="380" t="e">
        <f t="shared" si="52"/>
        <v>#N/A</v>
      </c>
      <c r="DPU43" s="380" t="e">
        <f t="shared" si="52"/>
        <v>#N/A</v>
      </c>
      <c r="DPV43" s="380" t="e">
        <f t="shared" si="52"/>
        <v>#N/A</v>
      </c>
      <c r="DPW43" s="380" t="e">
        <f t="shared" si="52"/>
        <v>#N/A</v>
      </c>
      <c r="DPX43" s="380" t="e">
        <f t="shared" ref="DPX43:DSI43" si="53">INDEX(DPX7:DPX40,MATCH($E$43,$E$7:$E$40,0))</f>
        <v>#N/A</v>
      </c>
      <c r="DPY43" s="380" t="e">
        <f t="shared" si="53"/>
        <v>#N/A</v>
      </c>
      <c r="DPZ43" s="380" t="e">
        <f t="shared" si="53"/>
        <v>#N/A</v>
      </c>
      <c r="DQA43" s="380" t="e">
        <f t="shared" si="53"/>
        <v>#N/A</v>
      </c>
      <c r="DQB43" s="380" t="e">
        <f t="shared" si="53"/>
        <v>#N/A</v>
      </c>
      <c r="DQC43" s="380" t="e">
        <f t="shared" si="53"/>
        <v>#N/A</v>
      </c>
      <c r="DQD43" s="380" t="e">
        <f t="shared" si="53"/>
        <v>#N/A</v>
      </c>
      <c r="DQE43" s="380" t="e">
        <f t="shared" si="53"/>
        <v>#N/A</v>
      </c>
      <c r="DQF43" s="380" t="e">
        <f t="shared" si="53"/>
        <v>#N/A</v>
      </c>
      <c r="DQG43" s="380" t="e">
        <f t="shared" si="53"/>
        <v>#N/A</v>
      </c>
      <c r="DQH43" s="380" t="e">
        <f t="shared" si="53"/>
        <v>#N/A</v>
      </c>
      <c r="DQI43" s="380" t="e">
        <f t="shared" si="53"/>
        <v>#N/A</v>
      </c>
      <c r="DQJ43" s="380" t="e">
        <f t="shared" si="53"/>
        <v>#N/A</v>
      </c>
      <c r="DQK43" s="380" t="e">
        <f t="shared" si="53"/>
        <v>#N/A</v>
      </c>
      <c r="DQL43" s="380" t="e">
        <f t="shared" si="53"/>
        <v>#N/A</v>
      </c>
      <c r="DQM43" s="380" t="e">
        <f t="shared" si="53"/>
        <v>#N/A</v>
      </c>
      <c r="DQN43" s="380" t="e">
        <f t="shared" si="53"/>
        <v>#N/A</v>
      </c>
      <c r="DQO43" s="380" t="e">
        <f t="shared" si="53"/>
        <v>#N/A</v>
      </c>
      <c r="DQP43" s="380" t="e">
        <f t="shared" si="53"/>
        <v>#N/A</v>
      </c>
      <c r="DQQ43" s="380" t="e">
        <f t="shared" si="53"/>
        <v>#N/A</v>
      </c>
      <c r="DQR43" s="380" t="e">
        <f t="shared" si="53"/>
        <v>#N/A</v>
      </c>
      <c r="DQS43" s="380" t="e">
        <f t="shared" si="53"/>
        <v>#N/A</v>
      </c>
      <c r="DQT43" s="380" t="e">
        <f t="shared" si="53"/>
        <v>#N/A</v>
      </c>
      <c r="DQU43" s="380" t="e">
        <f t="shared" si="53"/>
        <v>#N/A</v>
      </c>
      <c r="DQV43" s="380" t="e">
        <f t="shared" si="53"/>
        <v>#N/A</v>
      </c>
      <c r="DQW43" s="380" t="e">
        <f t="shared" si="53"/>
        <v>#N/A</v>
      </c>
      <c r="DQX43" s="380" t="e">
        <f t="shared" si="53"/>
        <v>#N/A</v>
      </c>
      <c r="DQY43" s="380" t="e">
        <f t="shared" si="53"/>
        <v>#N/A</v>
      </c>
      <c r="DQZ43" s="380" t="e">
        <f t="shared" si="53"/>
        <v>#N/A</v>
      </c>
      <c r="DRA43" s="380" t="e">
        <f t="shared" si="53"/>
        <v>#N/A</v>
      </c>
      <c r="DRB43" s="380" t="e">
        <f t="shared" si="53"/>
        <v>#N/A</v>
      </c>
      <c r="DRC43" s="380" t="e">
        <f t="shared" si="53"/>
        <v>#N/A</v>
      </c>
      <c r="DRD43" s="380" t="e">
        <f t="shared" si="53"/>
        <v>#N/A</v>
      </c>
      <c r="DRE43" s="380" t="e">
        <f t="shared" si="53"/>
        <v>#N/A</v>
      </c>
      <c r="DRF43" s="380" t="e">
        <f t="shared" si="53"/>
        <v>#N/A</v>
      </c>
      <c r="DRG43" s="380" t="e">
        <f t="shared" si="53"/>
        <v>#N/A</v>
      </c>
      <c r="DRH43" s="380" t="e">
        <f t="shared" si="53"/>
        <v>#N/A</v>
      </c>
      <c r="DRI43" s="380" t="e">
        <f t="shared" si="53"/>
        <v>#N/A</v>
      </c>
      <c r="DRJ43" s="380" t="e">
        <f t="shared" si="53"/>
        <v>#N/A</v>
      </c>
      <c r="DRK43" s="380" t="e">
        <f t="shared" si="53"/>
        <v>#N/A</v>
      </c>
      <c r="DRL43" s="380" t="e">
        <f t="shared" si="53"/>
        <v>#N/A</v>
      </c>
      <c r="DRM43" s="380" t="e">
        <f t="shared" si="53"/>
        <v>#N/A</v>
      </c>
      <c r="DRN43" s="380" t="e">
        <f t="shared" si="53"/>
        <v>#N/A</v>
      </c>
      <c r="DRO43" s="380" t="e">
        <f t="shared" si="53"/>
        <v>#N/A</v>
      </c>
      <c r="DRP43" s="380" t="e">
        <f t="shared" si="53"/>
        <v>#N/A</v>
      </c>
      <c r="DRQ43" s="380" t="e">
        <f t="shared" si="53"/>
        <v>#N/A</v>
      </c>
      <c r="DRR43" s="380" t="e">
        <f t="shared" si="53"/>
        <v>#N/A</v>
      </c>
      <c r="DRS43" s="380" t="e">
        <f t="shared" si="53"/>
        <v>#N/A</v>
      </c>
      <c r="DRT43" s="380" t="e">
        <f t="shared" si="53"/>
        <v>#N/A</v>
      </c>
      <c r="DRU43" s="380" t="e">
        <f t="shared" si="53"/>
        <v>#N/A</v>
      </c>
      <c r="DRV43" s="380" t="e">
        <f t="shared" si="53"/>
        <v>#N/A</v>
      </c>
      <c r="DRW43" s="380" t="e">
        <f t="shared" si="53"/>
        <v>#N/A</v>
      </c>
      <c r="DRX43" s="380" t="e">
        <f t="shared" si="53"/>
        <v>#N/A</v>
      </c>
      <c r="DRY43" s="380" t="e">
        <f t="shared" si="53"/>
        <v>#N/A</v>
      </c>
      <c r="DRZ43" s="380" t="e">
        <f t="shared" si="53"/>
        <v>#N/A</v>
      </c>
      <c r="DSA43" s="380" t="e">
        <f t="shared" si="53"/>
        <v>#N/A</v>
      </c>
      <c r="DSB43" s="380" t="e">
        <f t="shared" si="53"/>
        <v>#N/A</v>
      </c>
      <c r="DSC43" s="380" t="e">
        <f t="shared" si="53"/>
        <v>#N/A</v>
      </c>
      <c r="DSD43" s="380" t="e">
        <f t="shared" si="53"/>
        <v>#N/A</v>
      </c>
      <c r="DSE43" s="380" t="e">
        <f t="shared" si="53"/>
        <v>#N/A</v>
      </c>
      <c r="DSF43" s="380" t="e">
        <f t="shared" si="53"/>
        <v>#N/A</v>
      </c>
      <c r="DSG43" s="380" t="e">
        <f t="shared" si="53"/>
        <v>#N/A</v>
      </c>
      <c r="DSH43" s="380" t="e">
        <f t="shared" si="53"/>
        <v>#N/A</v>
      </c>
      <c r="DSI43" s="380" t="e">
        <f t="shared" si="53"/>
        <v>#N/A</v>
      </c>
      <c r="DSJ43" s="380" t="e">
        <f t="shared" ref="DSJ43:DUU43" si="54">INDEX(DSJ7:DSJ40,MATCH($E$43,$E$7:$E$40,0))</f>
        <v>#N/A</v>
      </c>
      <c r="DSK43" s="380" t="e">
        <f t="shared" si="54"/>
        <v>#N/A</v>
      </c>
      <c r="DSL43" s="380" t="e">
        <f t="shared" si="54"/>
        <v>#N/A</v>
      </c>
      <c r="DSM43" s="380" t="e">
        <f t="shared" si="54"/>
        <v>#N/A</v>
      </c>
      <c r="DSN43" s="380" t="e">
        <f t="shared" si="54"/>
        <v>#N/A</v>
      </c>
      <c r="DSO43" s="380" t="e">
        <f t="shared" si="54"/>
        <v>#N/A</v>
      </c>
      <c r="DSP43" s="380" t="e">
        <f t="shared" si="54"/>
        <v>#N/A</v>
      </c>
      <c r="DSQ43" s="380" t="e">
        <f t="shared" si="54"/>
        <v>#N/A</v>
      </c>
      <c r="DSR43" s="380" t="e">
        <f t="shared" si="54"/>
        <v>#N/A</v>
      </c>
      <c r="DSS43" s="380" t="e">
        <f t="shared" si="54"/>
        <v>#N/A</v>
      </c>
      <c r="DST43" s="380" t="e">
        <f t="shared" si="54"/>
        <v>#N/A</v>
      </c>
      <c r="DSU43" s="380" t="e">
        <f t="shared" si="54"/>
        <v>#N/A</v>
      </c>
      <c r="DSV43" s="380" t="e">
        <f t="shared" si="54"/>
        <v>#N/A</v>
      </c>
      <c r="DSW43" s="380" t="e">
        <f t="shared" si="54"/>
        <v>#N/A</v>
      </c>
      <c r="DSX43" s="380" t="e">
        <f t="shared" si="54"/>
        <v>#N/A</v>
      </c>
      <c r="DSY43" s="380" t="e">
        <f t="shared" si="54"/>
        <v>#N/A</v>
      </c>
      <c r="DSZ43" s="380" t="e">
        <f t="shared" si="54"/>
        <v>#N/A</v>
      </c>
      <c r="DTA43" s="380" t="e">
        <f t="shared" si="54"/>
        <v>#N/A</v>
      </c>
      <c r="DTB43" s="380" t="e">
        <f t="shared" si="54"/>
        <v>#N/A</v>
      </c>
      <c r="DTC43" s="380" t="e">
        <f t="shared" si="54"/>
        <v>#N/A</v>
      </c>
      <c r="DTD43" s="380" t="e">
        <f t="shared" si="54"/>
        <v>#N/A</v>
      </c>
      <c r="DTE43" s="380" t="e">
        <f t="shared" si="54"/>
        <v>#N/A</v>
      </c>
      <c r="DTF43" s="380" t="e">
        <f t="shared" si="54"/>
        <v>#N/A</v>
      </c>
      <c r="DTG43" s="380" t="e">
        <f t="shared" si="54"/>
        <v>#N/A</v>
      </c>
      <c r="DTH43" s="380" t="e">
        <f t="shared" si="54"/>
        <v>#N/A</v>
      </c>
      <c r="DTI43" s="380" t="e">
        <f t="shared" si="54"/>
        <v>#N/A</v>
      </c>
      <c r="DTJ43" s="380" t="e">
        <f t="shared" si="54"/>
        <v>#N/A</v>
      </c>
      <c r="DTK43" s="380" t="e">
        <f t="shared" si="54"/>
        <v>#N/A</v>
      </c>
      <c r="DTL43" s="380" t="e">
        <f t="shared" si="54"/>
        <v>#N/A</v>
      </c>
      <c r="DTM43" s="380" t="e">
        <f t="shared" si="54"/>
        <v>#N/A</v>
      </c>
      <c r="DTN43" s="380" t="e">
        <f t="shared" si="54"/>
        <v>#N/A</v>
      </c>
      <c r="DTO43" s="380" t="e">
        <f t="shared" si="54"/>
        <v>#N/A</v>
      </c>
      <c r="DTP43" s="380" t="e">
        <f t="shared" si="54"/>
        <v>#N/A</v>
      </c>
      <c r="DTQ43" s="380" t="e">
        <f t="shared" si="54"/>
        <v>#N/A</v>
      </c>
      <c r="DTR43" s="380" t="e">
        <f t="shared" si="54"/>
        <v>#N/A</v>
      </c>
      <c r="DTS43" s="380" t="e">
        <f t="shared" si="54"/>
        <v>#N/A</v>
      </c>
      <c r="DTT43" s="380" t="e">
        <f t="shared" si="54"/>
        <v>#N/A</v>
      </c>
      <c r="DTU43" s="380" t="e">
        <f t="shared" si="54"/>
        <v>#N/A</v>
      </c>
      <c r="DTV43" s="380" t="e">
        <f t="shared" si="54"/>
        <v>#N/A</v>
      </c>
      <c r="DTW43" s="380" t="e">
        <f t="shared" si="54"/>
        <v>#N/A</v>
      </c>
      <c r="DTX43" s="380" t="e">
        <f t="shared" si="54"/>
        <v>#N/A</v>
      </c>
      <c r="DTY43" s="380" t="e">
        <f t="shared" si="54"/>
        <v>#N/A</v>
      </c>
      <c r="DTZ43" s="380" t="e">
        <f t="shared" si="54"/>
        <v>#N/A</v>
      </c>
      <c r="DUA43" s="380" t="e">
        <f t="shared" si="54"/>
        <v>#N/A</v>
      </c>
      <c r="DUB43" s="380" t="e">
        <f t="shared" si="54"/>
        <v>#N/A</v>
      </c>
      <c r="DUC43" s="380" t="e">
        <f t="shared" si="54"/>
        <v>#N/A</v>
      </c>
      <c r="DUD43" s="380" t="e">
        <f t="shared" si="54"/>
        <v>#N/A</v>
      </c>
      <c r="DUE43" s="380" t="e">
        <f t="shared" si="54"/>
        <v>#N/A</v>
      </c>
      <c r="DUF43" s="380" t="e">
        <f t="shared" si="54"/>
        <v>#N/A</v>
      </c>
      <c r="DUG43" s="380" t="e">
        <f t="shared" si="54"/>
        <v>#N/A</v>
      </c>
      <c r="DUH43" s="380" t="e">
        <f t="shared" si="54"/>
        <v>#N/A</v>
      </c>
      <c r="DUI43" s="380" t="e">
        <f t="shared" si="54"/>
        <v>#N/A</v>
      </c>
      <c r="DUJ43" s="380" t="e">
        <f t="shared" si="54"/>
        <v>#N/A</v>
      </c>
      <c r="DUK43" s="380" t="e">
        <f t="shared" si="54"/>
        <v>#N/A</v>
      </c>
      <c r="DUL43" s="380" t="e">
        <f t="shared" si="54"/>
        <v>#N/A</v>
      </c>
      <c r="DUM43" s="380" t="e">
        <f t="shared" si="54"/>
        <v>#N/A</v>
      </c>
      <c r="DUN43" s="380" t="e">
        <f t="shared" si="54"/>
        <v>#N/A</v>
      </c>
      <c r="DUO43" s="380" t="e">
        <f t="shared" si="54"/>
        <v>#N/A</v>
      </c>
      <c r="DUP43" s="380" t="e">
        <f t="shared" si="54"/>
        <v>#N/A</v>
      </c>
      <c r="DUQ43" s="380" t="e">
        <f t="shared" si="54"/>
        <v>#N/A</v>
      </c>
      <c r="DUR43" s="380" t="e">
        <f t="shared" si="54"/>
        <v>#N/A</v>
      </c>
      <c r="DUS43" s="380" t="e">
        <f t="shared" si="54"/>
        <v>#N/A</v>
      </c>
      <c r="DUT43" s="380" t="e">
        <f t="shared" si="54"/>
        <v>#N/A</v>
      </c>
      <c r="DUU43" s="380" t="e">
        <f t="shared" si="54"/>
        <v>#N/A</v>
      </c>
      <c r="DUV43" s="380" t="e">
        <f t="shared" ref="DUV43:DXG43" si="55">INDEX(DUV7:DUV40,MATCH($E$43,$E$7:$E$40,0))</f>
        <v>#N/A</v>
      </c>
      <c r="DUW43" s="380" t="e">
        <f t="shared" si="55"/>
        <v>#N/A</v>
      </c>
      <c r="DUX43" s="380" t="e">
        <f t="shared" si="55"/>
        <v>#N/A</v>
      </c>
      <c r="DUY43" s="380" t="e">
        <f t="shared" si="55"/>
        <v>#N/A</v>
      </c>
      <c r="DUZ43" s="380" t="e">
        <f t="shared" si="55"/>
        <v>#N/A</v>
      </c>
      <c r="DVA43" s="380" t="e">
        <f t="shared" si="55"/>
        <v>#N/A</v>
      </c>
      <c r="DVB43" s="380" t="e">
        <f t="shared" si="55"/>
        <v>#N/A</v>
      </c>
      <c r="DVC43" s="380" t="e">
        <f t="shared" si="55"/>
        <v>#N/A</v>
      </c>
      <c r="DVD43" s="380" t="e">
        <f t="shared" si="55"/>
        <v>#N/A</v>
      </c>
      <c r="DVE43" s="380" t="e">
        <f t="shared" si="55"/>
        <v>#N/A</v>
      </c>
      <c r="DVF43" s="380" t="e">
        <f t="shared" si="55"/>
        <v>#N/A</v>
      </c>
      <c r="DVG43" s="380" t="e">
        <f t="shared" si="55"/>
        <v>#N/A</v>
      </c>
      <c r="DVH43" s="380" t="e">
        <f t="shared" si="55"/>
        <v>#N/A</v>
      </c>
      <c r="DVI43" s="380" t="e">
        <f t="shared" si="55"/>
        <v>#N/A</v>
      </c>
      <c r="DVJ43" s="380" t="e">
        <f t="shared" si="55"/>
        <v>#N/A</v>
      </c>
      <c r="DVK43" s="380" t="e">
        <f t="shared" si="55"/>
        <v>#N/A</v>
      </c>
      <c r="DVL43" s="380" t="e">
        <f t="shared" si="55"/>
        <v>#N/A</v>
      </c>
      <c r="DVM43" s="380" t="e">
        <f t="shared" si="55"/>
        <v>#N/A</v>
      </c>
      <c r="DVN43" s="380" t="e">
        <f t="shared" si="55"/>
        <v>#N/A</v>
      </c>
      <c r="DVO43" s="380" t="e">
        <f t="shared" si="55"/>
        <v>#N/A</v>
      </c>
      <c r="DVP43" s="380" t="e">
        <f t="shared" si="55"/>
        <v>#N/A</v>
      </c>
      <c r="DVQ43" s="380" t="e">
        <f t="shared" si="55"/>
        <v>#N/A</v>
      </c>
      <c r="DVR43" s="380" t="e">
        <f t="shared" si="55"/>
        <v>#N/A</v>
      </c>
      <c r="DVS43" s="380" t="e">
        <f t="shared" si="55"/>
        <v>#N/A</v>
      </c>
      <c r="DVT43" s="380" t="e">
        <f t="shared" si="55"/>
        <v>#N/A</v>
      </c>
      <c r="DVU43" s="380" t="e">
        <f t="shared" si="55"/>
        <v>#N/A</v>
      </c>
      <c r="DVV43" s="380" t="e">
        <f t="shared" si="55"/>
        <v>#N/A</v>
      </c>
      <c r="DVW43" s="380" t="e">
        <f t="shared" si="55"/>
        <v>#N/A</v>
      </c>
      <c r="DVX43" s="380" t="e">
        <f t="shared" si="55"/>
        <v>#N/A</v>
      </c>
      <c r="DVY43" s="380" t="e">
        <f t="shared" si="55"/>
        <v>#N/A</v>
      </c>
      <c r="DVZ43" s="380" t="e">
        <f t="shared" si="55"/>
        <v>#N/A</v>
      </c>
      <c r="DWA43" s="380" t="e">
        <f t="shared" si="55"/>
        <v>#N/A</v>
      </c>
      <c r="DWB43" s="380" t="e">
        <f t="shared" si="55"/>
        <v>#N/A</v>
      </c>
      <c r="DWC43" s="380" t="e">
        <f t="shared" si="55"/>
        <v>#N/A</v>
      </c>
      <c r="DWD43" s="380" t="e">
        <f t="shared" si="55"/>
        <v>#N/A</v>
      </c>
      <c r="DWE43" s="380" t="e">
        <f t="shared" si="55"/>
        <v>#N/A</v>
      </c>
      <c r="DWF43" s="380" t="e">
        <f t="shared" si="55"/>
        <v>#N/A</v>
      </c>
      <c r="DWG43" s="380" t="e">
        <f t="shared" si="55"/>
        <v>#N/A</v>
      </c>
      <c r="DWH43" s="380" t="e">
        <f t="shared" si="55"/>
        <v>#N/A</v>
      </c>
      <c r="DWI43" s="380" t="e">
        <f t="shared" si="55"/>
        <v>#N/A</v>
      </c>
      <c r="DWJ43" s="380" t="e">
        <f t="shared" si="55"/>
        <v>#N/A</v>
      </c>
      <c r="DWK43" s="380" t="e">
        <f t="shared" si="55"/>
        <v>#N/A</v>
      </c>
      <c r="DWL43" s="380" t="e">
        <f t="shared" si="55"/>
        <v>#N/A</v>
      </c>
      <c r="DWM43" s="380" t="e">
        <f t="shared" si="55"/>
        <v>#N/A</v>
      </c>
      <c r="DWN43" s="380" t="e">
        <f t="shared" si="55"/>
        <v>#N/A</v>
      </c>
      <c r="DWO43" s="380" t="e">
        <f t="shared" si="55"/>
        <v>#N/A</v>
      </c>
      <c r="DWP43" s="380" t="e">
        <f t="shared" si="55"/>
        <v>#N/A</v>
      </c>
      <c r="DWQ43" s="380" t="e">
        <f t="shared" si="55"/>
        <v>#N/A</v>
      </c>
      <c r="DWR43" s="380" t="e">
        <f t="shared" si="55"/>
        <v>#N/A</v>
      </c>
      <c r="DWS43" s="380" t="e">
        <f t="shared" si="55"/>
        <v>#N/A</v>
      </c>
      <c r="DWT43" s="380" t="e">
        <f t="shared" si="55"/>
        <v>#N/A</v>
      </c>
      <c r="DWU43" s="380" t="e">
        <f t="shared" si="55"/>
        <v>#N/A</v>
      </c>
      <c r="DWV43" s="380" t="e">
        <f t="shared" si="55"/>
        <v>#N/A</v>
      </c>
      <c r="DWW43" s="380" t="e">
        <f t="shared" si="55"/>
        <v>#N/A</v>
      </c>
      <c r="DWX43" s="380" t="e">
        <f t="shared" si="55"/>
        <v>#N/A</v>
      </c>
      <c r="DWY43" s="380" t="e">
        <f t="shared" si="55"/>
        <v>#N/A</v>
      </c>
      <c r="DWZ43" s="380" t="e">
        <f t="shared" si="55"/>
        <v>#N/A</v>
      </c>
      <c r="DXA43" s="380" t="e">
        <f t="shared" si="55"/>
        <v>#N/A</v>
      </c>
      <c r="DXB43" s="380" t="e">
        <f t="shared" si="55"/>
        <v>#N/A</v>
      </c>
      <c r="DXC43" s="380" t="e">
        <f t="shared" si="55"/>
        <v>#N/A</v>
      </c>
      <c r="DXD43" s="380" t="e">
        <f t="shared" si="55"/>
        <v>#N/A</v>
      </c>
      <c r="DXE43" s="380" t="e">
        <f t="shared" si="55"/>
        <v>#N/A</v>
      </c>
      <c r="DXF43" s="380" t="e">
        <f t="shared" si="55"/>
        <v>#N/A</v>
      </c>
      <c r="DXG43" s="380" t="e">
        <f t="shared" si="55"/>
        <v>#N/A</v>
      </c>
      <c r="DXH43" s="380" t="e">
        <f t="shared" ref="DXH43:DZS43" si="56">INDEX(DXH7:DXH40,MATCH($E$43,$E$7:$E$40,0))</f>
        <v>#N/A</v>
      </c>
      <c r="DXI43" s="380" t="e">
        <f t="shared" si="56"/>
        <v>#N/A</v>
      </c>
      <c r="DXJ43" s="380" t="e">
        <f t="shared" si="56"/>
        <v>#N/A</v>
      </c>
      <c r="DXK43" s="380" t="e">
        <f t="shared" si="56"/>
        <v>#N/A</v>
      </c>
      <c r="DXL43" s="380" t="e">
        <f t="shared" si="56"/>
        <v>#N/A</v>
      </c>
      <c r="DXM43" s="380" t="e">
        <f t="shared" si="56"/>
        <v>#N/A</v>
      </c>
      <c r="DXN43" s="380" t="e">
        <f t="shared" si="56"/>
        <v>#N/A</v>
      </c>
      <c r="DXO43" s="380" t="e">
        <f t="shared" si="56"/>
        <v>#N/A</v>
      </c>
      <c r="DXP43" s="380" t="e">
        <f t="shared" si="56"/>
        <v>#N/A</v>
      </c>
      <c r="DXQ43" s="380" t="e">
        <f t="shared" si="56"/>
        <v>#N/A</v>
      </c>
      <c r="DXR43" s="380" t="e">
        <f t="shared" si="56"/>
        <v>#N/A</v>
      </c>
      <c r="DXS43" s="380" t="e">
        <f t="shared" si="56"/>
        <v>#N/A</v>
      </c>
      <c r="DXT43" s="380" t="e">
        <f t="shared" si="56"/>
        <v>#N/A</v>
      </c>
      <c r="DXU43" s="380" t="e">
        <f t="shared" si="56"/>
        <v>#N/A</v>
      </c>
      <c r="DXV43" s="380" t="e">
        <f t="shared" si="56"/>
        <v>#N/A</v>
      </c>
      <c r="DXW43" s="380" t="e">
        <f t="shared" si="56"/>
        <v>#N/A</v>
      </c>
      <c r="DXX43" s="380" t="e">
        <f t="shared" si="56"/>
        <v>#N/A</v>
      </c>
      <c r="DXY43" s="380" t="e">
        <f t="shared" si="56"/>
        <v>#N/A</v>
      </c>
      <c r="DXZ43" s="380" t="e">
        <f t="shared" si="56"/>
        <v>#N/A</v>
      </c>
      <c r="DYA43" s="380" t="e">
        <f t="shared" si="56"/>
        <v>#N/A</v>
      </c>
      <c r="DYB43" s="380" t="e">
        <f t="shared" si="56"/>
        <v>#N/A</v>
      </c>
      <c r="DYC43" s="380" t="e">
        <f t="shared" si="56"/>
        <v>#N/A</v>
      </c>
      <c r="DYD43" s="380" t="e">
        <f t="shared" si="56"/>
        <v>#N/A</v>
      </c>
      <c r="DYE43" s="380" t="e">
        <f t="shared" si="56"/>
        <v>#N/A</v>
      </c>
      <c r="DYF43" s="380" t="e">
        <f t="shared" si="56"/>
        <v>#N/A</v>
      </c>
      <c r="DYG43" s="380" t="e">
        <f t="shared" si="56"/>
        <v>#N/A</v>
      </c>
      <c r="DYH43" s="380" t="e">
        <f t="shared" si="56"/>
        <v>#N/A</v>
      </c>
      <c r="DYI43" s="380" t="e">
        <f t="shared" si="56"/>
        <v>#N/A</v>
      </c>
      <c r="DYJ43" s="380" t="e">
        <f t="shared" si="56"/>
        <v>#N/A</v>
      </c>
      <c r="DYK43" s="380" t="e">
        <f t="shared" si="56"/>
        <v>#N/A</v>
      </c>
      <c r="DYL43" s="380" t="e">
        <f t="shared" si="56"/>
        <v>#N/A</v>
      </c>
      <c r="DYM43" s="380" t="e">
        <f t="shared" si="56"/>
        <v>#N/A</v>
      </c>
      <c r="DYN43" s="380" t="e">
        <f t="shared" si="56"/>
        <v>#N/A</v>
      </c>
      <c r="DYO43" s="380" t="e">
        <f t="shared" si="56"/>
        <v>#N/A</v>
      </c>
      <c r="DYP43" s="380" t="e">
        <f t="shared" si="56"/>
        <v>#N/A</v>
      </c>
      <c r="DYQ43" s="380" t="e">
        <f t="shared" si="56"/>
        <v>#N/A</v>
      </c>
      <c r="DYR43" s="380" t="e">
        <f t="shared" si="56"/>
        <v>#N/A</v>
      </c>
      <c r="DYS43" s="380" t="e">
        <f t="shared" si="56"/>
        <v>#N/A</v>
      </c>
      <c r="DYT43" s="380" t="e">
        <f t="shared" si="56"/>
        <v>#N/A</v>
      </c>
      <c r="DYU43" s="380" t="e">
        <f t="shared" si="56"/>
        <v>#N/A</v>
      </c>
      <c r="DYV43" s="380" t="e">
        <f t="shared" si="56"/>
        <v>#N/A</v>
      </c>
      <c r="DYW43" s="380" t="e">
        <f t="shared" si="56"/>
        <v>#N/A</v>
      </c>
      <c r="DYX43" s="380" t="e">
        <f t="shared" si="56"/>
        <v>#N/A</v>
      </c>
      <c r="DYY43" s="380" t="e">
        <f t="shared" si="56"/>
        <v>#N/A</v>
      </c>
      <c r="DYZ43" s="380" t="e">
        <f t="shared" si="56"/>
        <v>#N/A</v>
      </c>
      <c r="DZA43" s="380" t="e">
        <f t="shared" si="56"/>
        <v>#N/A</v>
      </c>
      <c r="DZB43" s="380" t="e">
        <f t="shared" si="56"/>
        <v>#N/A</v>
      </c>
      <c r="DZC43" s="380" t="e">
        <f t="shared" si="56"/>
        <v>#N/A</v>
      </c>
      <c r="DZD43" s="380" t="e">
        <f t="shared" si="56"/>
        <v>#N/A</v>
      </c>
      <c r="DZE43" s="380" t="e">
        <f t="shared" si="56"/>
        <v>#N/A</v>
      </c>
      <c r="DZF43" s="380" t="e">
        <f t="shared" si="56"/>
        <v>#N/A</v>
      </c>
      <c r="DZG43" s="380" t="e">
        <f t="shared" si="56"/>
        <v>#N/A</v>
      </c>
      <c r="DZH43" s="380" t="e">
        <f t="shared" si="56"/>
        <v>#N/A</v>
      </c>
      <c r="DZI43" s="380" t="e">
        <f t="shared" si="56"/>
        <v>#N/A</v>
      </c>
      <c r="DZJ43" s="380" t="e">
        <f t="shared" si="56"/>
        <v>#N/A</v>
      </c>
      <c r="DZK43" s="380" t="e">
        <f t="shared" si="56"/>
        <v>#N/A</v>
      </c>
      <c r="DZL43" s="380" t="e">
        <f t="shared" si="56"/>
        <v>#N/A</v>
      </c>
      <c r="DZM43" s="380" t="e">
        <f t="shared" si="56"/>
        <v>#N/A</v>
      </c>
      <c r="DZN43" s="380" t="e">
        <f t="shared" si="56"/>
        <v>#N/A</v>
      </c>
      <c r="DZO43" s="380" t="e">
        <f t="shared" si="56"/>
        <v>#N/A</v>
      </c>
      <c r="DZP43" s="380" t="e">
        <f t="shared" si="56"/>
        <v>#N/A</v>
      </c>
      <c r="DZQ43" s="380" t="e">
        <f t="shared" si="56"/>
        <v>#N/A</v>
      </c>
      <c r="DZR43" s="380" t="e">
        <f t="shared" si="56"/>
        <v>#N/A</v>
      </c>
      <c r="DZS43" s="380" t="e">
        <f t="shared" si="56"/>
        <v>#N/A</v>
      </c>
      <c r="DZT43" s="380" t="e">
        <f t="shared" ref="DZT43:ECE43" si="57">INDEX(DZT7:DZT40,MATCH($E$43,$E$7:$E$40,0))</f>
        <v>#N/A</v>
      </c>
      <c r="DZU43" s="380" t="e">
        <f t="shared" si="57"/>
        <v>#N/A</v>
      </c>
      <c r="DZV43" s="380" t="e">
        <f t="shared" si="57"/>
        <v>#N/A</v>
      </c>
      <c r="DZW43" s="380" t="e">
        <f t="shared" si="57"/>
        <v>#N/A</v>
      </c>
      <c r="DZX43" s="380" t="e">
        <f t="shared" si="57"/>
        <v>#N/A</v>
      </c>
      <c r="DZY43" s="380" t="e">
        <f t="shared" si="57"/>
        <v>#N/A</v>
      </c>
      <c r="DZZ43" s="380" t="e">
        <f t="shared" si="57"/>
        <v>#N/A</v>
      </c>
      <c r="EAA43" s="380" t="e">
        <f t="shared" si="57"/>
        <v>#N/A</v>
      </c>
      <c r="EAB43" s="380" t="e">
        <f t="shared" si="57"/>
        <v>#N/A</v>
      </c>
      <c r="EAC43" s="380" t="e">
        <f t="shared" si="57"/>
        <v>#N/A</v>
      </c>
      <c r="EAD43" s="380" t="e">
        <f t="shared" si="57"/>
        <v>#N/A</v>
      </c>
      <c r="EAE43" s="380" t="e">
        <f t="shared" si="57"/>
        <v>#N/A</v>
      </c>
      <c r="EAF43" s="380" t="e">
        <f t="shared" si="57"/>
        <v>#N/A</v>
      </c>
      <c r="EAG43" s="380" t="e">
        <f t="shared" si="57"/>
        <v>#N/A</v>
      </c>
      <c r="EAH43" s="380" t="e">
        <f t="shared" si="57"/>
        <v>#N/A</v>
      </c>
      <c r="EAI43" s="380" t="e">
        <f t="shared" si="57"/>
        <v>#N/A</v>
      </c>
      <c r="EAJ43" s="380" t="e">
        <f t="shared" si="57"/>
        <v>#N/A</v>
      </c>
      <c r="EAK43" s="380" t="e">
        <f t="shared" si="57"/>
        <v>#N/A</v>
      </c>
      <c r="EAL43" s="380" t="e">
        <f t="shared" si="57"/>
        <v>#N/A</v>
      </c>
      <c r="EAM43" s="380" t="e">
        <f t="shared" si="57"/>
        <v>#N/A</v>
      </c>
      <c r="EAN43" s="380" t="e">
        <f t="shared" si="57"/>
        <v>#N/A</v>
      </c>
      <c r="EAO43" s="380" t="e">
        <f t="shared" si="57"/>
        <v>#N/A</v>
      </c>
      <c r="EAP43" s="380" t="e">
        <f t="shared" si="57"/>
        <v>#N/A</v>
      </c>
      <c r="EAQ43" s="380" t="e">
        <f t="shared" si="57"/>
        <v>#N/A</v>
      </c>
      <c r="EAR43" s="380" t="e">
        <f t="shared" si="57"/>
        <v>#N/A</v>
      </c>
      <c r="EAS43" s="380" t="e">
        <f t="shared" si="57"/>
        <v>#N/A</v>
      </c>
      <c r="EAT43" s="380" t="e">
        <f t="shared" si="57"/>
        <v>#N/A</v>
      </c>
      <c r="EAU43" s="380" t="e">
        <f t="shared" si="57"/>
        <v>#N/A</v>
      </c>
      <c r="EAV43" s="380" t="e">
        <f t="shared" si="57"/>
        <v>#N/A</v>
      </c>
      <c r="EAW43" s="380" t="e">
        <f t="shared" si="57"/>
        <v>#N/A</v>
      </c>
      <c r="EAX43" s="380" t="e">
        <f t="shared" si="57"/>
        <v>#N/A</v>
      </c>
      <c r="EAY43" s="380" t="e">
        <f t="shared" si="57"/>
        <v>#N/A</v>
      </c>
      <c r="EAZ43" s="380" t="e">
        <f t="shared" si="57"/>
        <v>#N/A</v>
      </c>
      <c r="EBA43" s="380" t="e">
        <f t="shared" si="57"/>
        <v>#N/A</v>
      </c>
      <c r="EBB43" s="380" t="e">
        <f t="shared" si="57"/>
        <v>#N/A</v>
      </c>
      <c r="EBC43" s="380" t="e">
        <f t="shared" si="57"/>
        <v>#N/A</v>
      </c>
      <c r="EBD43" s="380" t="e">
        <f t="shared" si="57"/>
        <v>#N/A</v>
      </c>
      <c r="EBE43" s="380" t="e">
        <f t="shared" si="57"/>
        <v>#N/A</v>
      </c>
      <c r="EBF43" s="380" t="e">
        <f t="shared" si="57"/>
        <v>#N/A</v>
      </c>
      <c r="EBG43" s="380" t="e">
        <f t="shared" si="57"/>
        <v>#N/A</v>
      </c>
      <c r="EBH43" s="380" t="e">
        <f t="shared" si="57"/>
        <v>#N/A</v>
      </c>
      <c r="EBI43" s="380" t="e">
        <f t="shared" si="57"/>
        <v>#N/A</v>
      </c>
      <c r="EBJ43" s="380" t="e">
        <f t="shared" si="57"/>
        <v>#N/A</v>
      </c>
      <c r="EBK43" s="380" t="e">
        <f t="shared" si="57"/>
        <v>#N/A</v>
      </c>
      <c r="EBL43" s="380" t="e">
        <f t="shared" si="57"/>
        <v>#N/A</v>
      </c>
      <c r="EBM43" s="380" t="e">
        <f t="shared" si="57"/>
        <v>#N/A</v>
      </c>
      <c r="EBN43" s="380" t="e">
        <f t="shared" si="57"/>
        <v>#N/A</v>
      </c>
      <c r="EBO43" s="380" t="e">
        <f t="shared" si="57"/>
        <v>#N/A</v>
      </c>
      <c r="EBP43" s="380" t="e">
        <f t="shared" si="57"/>
        <v>#N/A</v>
      </c>
      <c r="EBQ43" s="380" t="e">
        <f t="shared" si="57"/>
        <v>#N/A</v>
      </c>
      <c r="EBR43" s="380" t="e">
        <f t="shared" si="57"/>
        <v>#N/A</v>
      </c>
      <c r="EBS43" s="380" t="e">
        <f t="shared" si="57"/>
        <v>#N/A</v>
      </c>
      <c r="EBT43" s="380" t="e">
        <f t="shared" si="57"/>
        <v>#N/A</v>
      </c>
      <c r="EBU43" s="380" t="e">
        <f t="shared" si="57"/>
        <v>#N/A</v>
      </c>
      <c r="EBV43" s="380" t="e">
        <f t="shared" si="57"/>
        <v>#N/A</v>
      </c>
      <c r="EBW43" s="380" t="e">
        <f t="shared" si="57"/>
        <v>#N/A</v>
      </c>
      <c r="EBX43" s="380" t="e">
        <f t="shared" si="57"/>
        <v>#N/A</v>
      </c>
      <c r="EBY43" s="380" t="e">
        <f t="shared" si="57"/>
        <v>#N/A</v>
      </c>
      <c r="EBZ43" s="380" t="e">
        <f t="shared" si="57"/>
        <v>#N/A</v>
      </c>
      <c r="ECA43" s="380" t="e">
        <f t="shared" si="57"/>
        <v>#N/A</v>
      </c>
      <c r="ECB43" s="380" t="e">
        <f t="shared" si="57"/>
        <v>#N/A</v>
      </c>
      <c r="ECC43" s="380" t="e">
        <f t="shared" si="57"/>
        <v>#N/A</v>
      </c>
      <c r="ECD43" s="380" t="e">
        <f t="shared" si="57"/>
        <v>#N/A</v>
      </c>
      <c r="ECE43" s="380" t="e">
        <f t="shared" si="57"/>
        <v>#N/A</v>
      </c>
      <c r="ECF43" s="380" t="e">
        <f t="shared" ref="ECF43:EEQ43" si="58">INDEX(ECF7:ECF40,MATCH($E$43,$E$7:$E$40,0))</f>
        <v>#N/A</v>
      </c>
      <c r="ECG43" s="380" t="e">
        <f t="shared" si="58"/>
        <v>#N/A</v>
      </c>
      <c r="ECH43" s="380" t="e">
        <f t="shared" si="58"/>
        <v>#N/A</v>
      </c>
      <c r="ECI43" s="380" t="e">
        <f t="shared" si="58"/>
        <v>#N/A</v>
      </c>
      <c r="ECJ43" s="380" t="e">
        <f t="shared" si="58"/>
        <v>#N/A</v>
      </c>
      <c r="ECK43" s="380" t="e">
        <f t="shared" si="58"/>
        <v>#N/A</v>
      </c>
      <c r="ECL43" s="380" t="e">
        <f t="shared" si="58"/>
        <v>#N/A</v>
      </c>
      <c r="ECM43" s="380" t="e">
        <f t="shared" si="58"/>
        <v>#N/A</v>
      </c>
      <c r="ECN43" s="380" t="e">
        <f t="shared" si="58"/>
        <v>#N/A</v>
      </c>
      <c r="ECO43" s="380" t="e">
        <f t="shared" si="58"/>
        <v>#N/A</v>
      </c>
      <c r="ECP43" s="380" t="e">
        <f t="shared" si="58"/>
        <v>#N/A</v>
      </c>
      <c r="ECQ43" s="380" t="e">
        <f t="shared" si="58"/>
        <v>#N/A</v>
      </c>
      <c r="ECR43" s="380" t="e">
        <f t="shared" si="58"/>
        <v>#N/A</v>
      </c>
      <c r="ECS43" s="380" t="e">
        <f t="shared" si="58"/>
        <v>#N/A</v>
      </c>
      <c r="ECT43" s="380" t="e">
        <f t="shared" si="58"/>
        <v>#N/A</v>
      </c>
      <c r="ECU43" s="380" t="e">
        <f t="shared" si="58"/>
        <v>#N/A</v>
      </c>
      <c r="ECV43" s="380" t="e">
        <f t="shared" si="58"/>
        <v>#N/A</v>
      </c>
      <c r="ECW43" s="380" t="e">
        <f t="shared" si="58"/>
        <v>#N/A</v>
      </c>
      <c r="ECX43" s="380" t="e">
        <f t="shared" si="58"/>
        <v>#N/A</v>
      </c>
      <c r="ECY43" s="380" t="e">
        <f t="shared" si="58"/>
        <v>#N/A</v>
      </c>
      <c r="ECZ43" s="380" t="e">
        <f t="shared" si="58"/>
        <v>#N/A</v>
      </c>
      <c r="EDA43" s="380" t="e">
        <f t="shared" si="58"/>
        <v>#N/A</v>
      </c>
      <c r="EDB43" s="380" t="e">
        <f t="shared" si="58"/>
        <v>#N/A</v>
      </c>
      <c r="EDC43" s="380" t="e">
        <f t="shared" si="58"/>
        <v>#N/A</v>
      </c>
      <c r="EDD43" s="380" t="e">
        <f t="shared" si="58"/>
        <v>#N/A</v>
      </c>
      <c r="EDE43" s="380" t="e">
        <f t="shared" si="58"/>
        <v>#N/A</v>
      </c>
      <c r="EDF43" s="380" t="e">
        <f t="shared" si="58"/>
        <v>#N/A</v>
      </c>
      <c r="EDG43" s="380" t="e">
        <f t="shared" si="58"/>
        <v>#N/A</v>
      </c>
      <c r="EDH43" s="380" t="e">
        <f t="shared" si="58"/>
        <v>#N/A</v>
      </c>
      <c r="EDI43" s="380" t="e">
        <f t="shared" si="58"/>
        <v>#N/A</v>
      </c>
      <c r="EDJ43" s="380" t="e">
        <f t="shared" si="58"/>
        <v>#N/A</v>
      </c>
      <c r="EDK43" s="380" t="e">
        <f t="shared" si="58"/>
        <v>#N/A</v>
      </c>
      <c r="EDL43" s="380" t="e">
        <f t="shared" si="58"/>
        <v>#N/A</v>
      </c>
      <c r="EDM43" s="380" t="e">
        <f t="shared" si="58"/>
        <v>#N/A</v>
      </c>
      <c r="EDN43" s="380" t="e">
        <f t="shared" si="58"/>
        <v>#N/A</v>
      </c>
      <c r="EDO43" s="380" t="e">
        <f t="shared" si="58"/>
        <v>#N/A</v>
      </c>
      <c r="EDP43" s="380" t="e">
        <f t="shared" si="58"/>
        <v>#N/A</v>
      </c>
      <c r="EDQ43" s="380" t="e">
        <f t="shared" si="58"/>
        <v>#N/A</v>
      </c>
      <c r="EDR43" s="380" t="e">
        <f t="shared" si="58"/>
        <v>#N/A</v>
      </c>
      <c r="EDS43" s="380" t="e">
        <f t="shared" si="58"/>
        <v>#N/A</v>
      </c>
      <c r="EDT43" s="380" t="e">
        <f t="shared" si="58"/>
        <v>#N/A</v>
      </c>
      <c r="EDU43" s="380" t="e">
        <f t="shared" si="58"/>
        <v>#N/A</v>
      </c>
      <c r="EDV43" s="380" t="e">
        <f t="shared" si="58"/>
        <v>#N/A</v>
      </c>
      <c r="EDW43" s="380" t="e">
        <f t="shared" si="58"/>
        <v>#N/A</v>
      </c>
      <c r="EDX43" s="380" t="e">
        <f t="shared" si="58"/>
        <v>#N/A</v>
      </c>
      <c r="EDY43" s="380" t="e">
        <f t="shared" si="58"/>
        <v>#N/A</v>
      </c>
      <c r="EDZ43" s="380" t="e">
        <f t="shared" si="58"/>
        <v>#N/A</v>
      </c>
      <c r="EEA43" s="380" t="e">
        <f t="shared" si="58"/>
        <v>#N/A</v>
      </c>
      <c r="EEB43" s="380" t="e">
        <f t="shared" si="58"/>
        <v>#N/A</v>
      </c>
      <c r="EEC43" s="380" t="e">
        <f t="shared" si="58"/>
        <v>#N/A</v>
      </c>
      <c r="EED43" s="380" t="e">
        <f t="shared" si="58"/>
        <v>#N/A</v>
      </c>
      <c r="EEE43" s="380" t="e">
        <f t="shared" si="58"/>
        <v>#N/A</v>
      </c>
      <c r="EEF43" s="380" t="e">
        <f t="shared" si="58"/>
        <v>#N/A</v>
      </c>
      <c r="EEG43" s="380" t="e">
        <f t="shared" si="58"/>
        <v>#N/A</v>
      </c>
      <c r="EEH43" s="380" t="e">
        <f t="shared" si="58"/>
        <v>#N/A</v>
      </c>
      <c r="EEI43" s="380" t="e">
        <f t="shared" si="58"/>
        <v>#N/A</v>
      </c>
      <c r="EEJ43" s="380" t="e">
        <f t="shared" si="58"/>
        <v>#N/A</v>
      </c>
      <c r="EEK43" s="380" t="e">
        <f t="shared" si="58"/>
        <v>#N/A</v>
      </c>
      <c r="EEL43" s="380" t="e">
        <f t="shared" si="58"/>
        <v>#N/A</v>
      </c>
      <c r="EEM43" s="380" t="e">
        <f t="shared" si="58"/>
        <v>#N/A</v>
      </c>
      <c r="EEN43" s="380" t="e">
        <f t="shared" si="58"/>
        <v>#N/A</v>
      </c>
      <c r="EEO43" s="380" t="e">
        <f t="shared" si="58"/>
        <v>#N/A</v>
      </c>
      <c r="EEP43" s="380" t="e">
        <f t="shared" si="58"/>
        <v>#N/A</v>
      </c>
      <c r="EEQ43" s="380" t="e">
        <f t="shared" si="58"/>
        <v>#N/A</v>
      </c>
      <c r="EER43" s="380" t="e">
        <f t="shared" ref="EER43:EHC43" si="59">INDEX(EER7:EER40,MATCH($E$43,$E$7:$E$40,0))</f>
        <v>#N/A</v>
      </c>
      <c r="EES43" s="380" t="e">
        <f t="shared" si="59"/>
        <v>#N/A</v>
      </c>
      <c r="EET43" s="380" t="e">
        <f t="shared" si="59"/>
        <v>#N/A</v>
      </c>
      <c r="EEU43" s="380" t="e">
        <f t="shared" si="59"/>
        <v>#N/A</v>
      </c>
      <c r="EEV43" s="380" t="e">
        <f t="shared" si="59"/>
        <v>#N/A</v>
      </c>
      <c r="EEW43" s="380" t="e">
        <f t="shared" si="59"/>
        <v>#N/A</v>
      </c>
      <c r="EEX43" s="380" t="e">
        <f t="shared" si="59"/>
        <v>#N/A</v>
      </c>
      <c r="EEY43" s="380" t="e">
        <f t="shared" si="59"/>
        <v>#N/A</v>
      </c>
      <c r="EEZ43" s="380" t="e">
        <f t="shared" si="59"/>
        <v>#N/A</v>
      </c>
      <c r="EFA43" s="380" t="e">
        <f t="shared" si="59"/>
        <v>#N/A</v>
      </c>
      <c r="EFB43" s="380" t="e">
        <f t="shared" si="59"/>
        <v>#N/A</v>
      </c>
      <c r="EFC43" s="380" t="e">
        <f t="shared" si="59"/>
        <v>#N/A</v>
      </c>
      <c r="EFD43" s="380" t="e">
        <f t="shared" si="59"/>
        <v>#N/A</v>
      </c>
      <c r="EFE43" s="380" t="e">
        <f t="shared" si="59"/>
        <v>#N/A</v>
      </c>
      <c r="EFF43" s="380" t="e">
        <f t="shared" si="59"/>
        <v>#N/A</v>
      </c>
      <c r="EFG43" s="380" t="e">
        <f t="shared" si="59"/>
        <v>#N/A</v>
      </c>
      <c r="EFH43" s="380" t="e">
        <f t="shared" si="59"/>
        <v>#N/A</v>
      </c>
      <c r="EFI43" s="380" t="e">
        <f t="shared" si="59"/>
        <v>#N/A</v>
      </c>
      <c r="EFJ43" s="380" t="e">
        <f t="shared" si="59"/>
        <v>#N/A</v>
      </c>
      <c r="EFK43" s="380" t="e">
        <f t="shared" si="59"/>
        <v>#N/A</v>
      </c>
      <c r="EFL43" s="380" t="e">
        <f t="shared" si="59"/>
        <v>#N/A</v>
      </c>
      <c r="EFM43" s="380" t="e">
        <f t="shared" si="59"/>
        <v>#N/A</v>
      </c>
      <c r="EFN43" s="380" t="e">
        <f t="shared" si="59"/>
        <v>#N/A</v>
      </c>
      <c r="EFO43" s="380" t="e">
        <f t="shared" si="59"/>
        <v>#N/A</v>
      </c>
      <c r="EFP43" s="380" t="e">
        <f t="shared" si="59"/>
        <v>#N/A</v>
      </c>
      <c r="EFQ43" s="380" t="e">
        <f t="shared" si="59"/>
        <v>#N/A</v>
      </c>
      <c r="EFR43" s="380" t="e">
        <f t="shared" si="59"/>
        <v>#N/A</v>
      </c>
      <c r="EFS43" s="380" t="e">
        <f t="shared" si="59"/>
        <v>#N/A</v>
      </c>
      <c r="EFT43" s="380" t="e">
        <f t="shared" si="59"/>
        <v>#N/A</v>
      </c>
      <c r="EFU43" s="380" t="e">
        <f t="shared" si="59"/>
        <v>#N/A</v>
      </c>
      <c r="EFV43" s="380" t="e">
        <f t="shared" si="59"/>
        <v>#N/A</v>
      </c>
      <c r="EFW43" s="380" t="e">
        <f t="shared" si="59"/>
        <v>#N/A</v>
      </c>
      <c r="EFX43" s="380" t="e">
        <f t="shared" si="59"/>
        <v>#N/A</v>
      </c>
      <c r="EFY43" s="380" t="e">
        <f t="shared" si="59"/>
        <v>#N/A</v>
      </c>
      <c r="EFZ43" s="380" t="e">
        <f t="shared" si="59"/>
        <v>#N/A</v>
      </c>
      <c r="EGA43" s="380" t="e">
        <f t="shared" si="59"/>
        <v>#N/A</v>
      </c>
      <c r="EGB43" s="380" t="e">
        <f t="shared" si="59"/>
        <v>#N/A</v>
      </c>
      <c r="EGC43" s="380" t="e">
        <f t="shared" si="59"/>
        <v>#N/A</v>
      </c>
      <c r="EGD43" s="380" t="e">
        <f t="shared" si="59"/>
        <v>#N/A</v>
      </c>
      <c r="EGE43" s="380" t="e">
        <f t="shared" si="59"/>
        <v>#N/A</v>
      </c>
      <c r="EGF43" s="380" t="e">
        <f t="shared" si="59"/>
        <v>#N/A</v>
      </c>
      <c r="EGG43" s="380" t="e">
        <f t="shared" si="59"/>
        <v>#N/A</v>
      </c>
      <c r="EGH43" s="380" t="e">
        <f t="shared" si="59"/>
        <v>#N/A</v>
      </c>
      <c r="EGI43" s="380" t="e">
        <f t="shared" si="59"/>
        <v>#N/A</v>
      </c>
      <c r="EGJ43" s="380" t="e">
        <f t="shared" si="59"/>
        <v>#N/A</v>
      </c>
      <c r="EGK43" s="380" t="e">
        <f t="shared" si="59"/>
        <v>#N/A</v>
      </c>
      <c r="EGL43" s="380" t="e">
        <f t="shared" si="59"/>
        <v>#N/A</v>
      </c>
      <c r="EGM43" s="380" t="e">
        <f t="shared" si="59"/>
        <v>#N/A</v>
      </c>
      <c r="EGN43" s="380" t="e">
        <f t="shared" si="59"/>
        <v>#N/A</v>
      </c>
      <c r="EGO43" s="380" t="e">
        <f t="shared" si="59"/>
        <v>#N/A</v>
      </c>
      <c r="EGP43" s="380" t="e">
        <f t="shared" si="59"/>
        <v>#N/A</v>
      </c>
      <c r="EGQ43" s="380" t="e">
        <f t="shared" si="59"/>
        <v>#N/A</v>
      </c>
      <c r="EGR43" s="380" t="e">
        <f t="shared" si="59"/>
        <v>#N/A</v>
      </c>
      <c r="EGS43" s="380" t="e">
        <f t="shared" si="59"/>
        <v>#N/A</v>
      </c>
      <c r="EGT43" s="380" t="e">
        <f t="shared" si="59"/>
        <v>#N/A</v>
      </c>
      <c r="EGU43" s="380" t="e">
        <f t="shared" si="59"/>
        <v>#N/A</v>
      </c>
      <c r="EGV43" s="380" t="e">
        <f t="shared" si="59"/>
        <v>#N/A</v>
      </c>
      <c r="EGW43" s="380" t="e">
        <f t="shared" si="59"/>
        <v>#N/A</v>
      </c>
      <c r="EGX43" s="380" t="e">
        <f t="shared" si="59"/>
        <v>#N/A</v>
      </c>
      <c r="EGY43" s="380" t="e">
        <f t="shared" si="59"/>
        <v>#N/A</v>
      </c>
      <c r="EGZ43" s="380" t="e">
        <f t="shared" si="59"/>
        <v>#N/A</v>
      </c>
      <c r="EHA43" s="380" t="e">
        <f t="shared" si="59"/>
        <v>#N/A</v>
      </c>
      <c r="EHB43" s="380" t="e">
        <f t="shared" si="59"/>
        <v>#N/A</v>
      </c>
      <c r="EHC43" s="380" t="e">
        <f t="shared" si="59"/>
        <v>#N/A</v>
      </c>
      <c r="EHD43" s="380" t="e">
        <f t="shared" ref="EHD43:EJO43" si="60">INDEX(EHD7:EHD40,MATCH($E$43,$E$7:$E$40,0))</f>
        <v>#N/A</v>
      </c>
      <c r="EHE43" s="380" t="e">
        <f t="shared" si="60"/>
        <v>#N/A</v>
      </c>
      <c r="EHF43" s="380" t="e">
        <f t="shared" si="60"/>
        <v>#N/A</v>
      </c>
      <c r="EHG43" s="380" t="e">
        <f t="shared" si="60"/>
        <v>#N/A</v>
      </c>
      <c r="EHH43" s="380" t="e">
        <f t="shared" si="60"/>
        <v>#N/A</v>
      </c>
      <c r="EHI43" s="380" t="e">
        <f t="shared" si="60"/>
        <v>#N/A</v>
      </c>
      <c r="EHJ43" s="380" t="e">
        <f t="shared" si="60"/>
        <v>#N/A</v>
      </c>
      <c r="EHK43" s="380" t="e">
        <f t="shared" si="60"/>
        <v>#N/A</v>
      </c>
      <c r="EHL43" s="380" t="e">
        <f t="shared" si="60"/>
        <v>#N/A</v>
      </c>
      <c r="EHM43" s="380" t="e">
        <f t="shared" si="60"/>
        <v>#N/A</v>
      </c>
      <c r="EHN43" s="380" t="e">
        <f t="shared" si="60"/>
        <v>#N/A</v>
      </c>
      <c r="EHO43" s="380" t="e">
        <f t="shared" si="60"/>
        <v>#N/A</v>
      </c>
      <c r="EHP43" s="380" t="e">
        <f t="shared" si="60"/>
        <v>#N/A</v>
      </c>
      <c r="EHQ43" s="380" t="e">
        <f t="shared" si="60"/>
        <v>#N/A</v>
      </c>
      <c r="EHR43" s="380" t="e">
        <f t="shared" si="60"/>
        <v>#N/A</v>
      </c>
      <c r="EHS43" s="380" t="e">
        <f t="shared" si="60"/>
        <v>#N/A</v>
      </c>
      <c r="EHT43" s="380" t="e">
        <f t="shared" si="60"/>
        <v>#N/A</v>
      </c>
      <c r="EHU43" s="380" t="e">
        <f t="shared" si="60"/>
        <v>#N/A</v>
      </c>
      <c r="EHV43" s="380" t="e">
        <f t="shared" si="60"/>
        <v>#N/A</v>
      </c>
      <c r="EHW43" s="380" t="e">
        <f t="shared" si="60"/>
        <v>#N/A</v>
      </c>
      <c r="EHX43" s="380" t="e">
        <f t="shared" si="60"/>
        <v>#N/A</v>
      </c>
      <c r="EHY43" s="380" t="e">
        <f t="shared" si="60"/>
        <v>#N/A</v>
      </c>
      <c r="EHZ43" s="380" t="e">
        <f t="shared" si="60"/>
        <v>#N/A</v>
      </c>
      <c r="EIA43" s="380" t="e">
        <f t="shared" si="60"/>
        <v>#N/A</v>
      </c>
      <c r="EIB43" s="380" t="e">
        <f t="shared" si="60"/>
        <v>#N/A</v>
      </c>
      <c r="EIC43" s="380" t="e">
        <f t="shared" si="60"/>
        <v>#N/A</v>
      </c>
      <c r="EID43" s="380" t="e">
        <f t="shared" si="60"/>
        <v>#N/A</v>
      </c>
      <c r="EIE43" s="380" t="e">
        <f t="shared" si="60"/>
        <v>#N/A</v>
      </c>
      <c r="EIF43" s="380" t="e">
        <f t="shared" si="60"/>
        <v>#N/A</v>
      </c>
      <c r="EIG43" s="380" t="e">
        <f t="shared" si="60"/>
        <v>#N/A</v>
      </c>
      <c r="EIH43" s="380" t="e">
        <f t="shared" si="60"/>
        <v>#N/A</v>
      </c>
      <c r="EII43" s="380" t="e">
        <f t="shared" si="60"/>
        <v>#N/A</v>
      </c>
      <c r="EIJ43" s="380" t="e">
        <f t="shared" si="60"/>
        <v>#N/A</v>
      </c>
      <c r="EIK43" s="380" t="e">
        <f t="shared" si="60"/>
        <v>#N/A</v>
      </c>
      <c r="EIL43" s="380" t="e">
        <f t="shared" si="60"/>
        <v>#N/A</v>
      </c>
      <c r="EIM43" s="380" t="e">
        <f t="shared" si="60"/>
        <v>#N/A</v>
      </c>
      <c r="EIN43" s="380" t="e">
        <f t="shared" si="60"/>
        <v>#N/A</v>
      </c>
      <c r="EIO43" s="380" t="e">
        <f t="shared" si="60"/>
        <v>#N/A</v>
      </c>
      <c r="EIP43" s="380" t="e">
        <f t="shared" si="60"/>
        <v>#N/A</v>
      </c>
      <c r="EIQ43" s="380" t="e">
        <f t="shared" si="60"/>
        <v>#N/A</v>
      </c>
      <c r="EIR43" s="380" t="e">
        <f t="shared" si="60"/>
        <v>#N/A</v>
      </c>
      <c r="EIS43" s="380" t="e">
        <f t="shared" si="60"/>
        <v>#N/A</v>
      </c>
      <c r="EIT43" s="380" t="e">
        <f t="shared" si="60"/>
        <v>#N/A</v>
      </c>
      <c r="EIU43" s="380" t="e">
        <f t="shared" si="60"/>
        <v>#N/A</v>
      </c>
      <c r="EIV43" s="380" t="e">
        <f t="shared" si="60"/>
        <v>#N/A</v>
      </c>
      <c r="EIW43" s="380" t="e">
        <f t="shared" si="60"/>
        <v>#N/A</v>
      </c>
      <c r="EIX43" s="380" t="e">
        <f t="shared" si="60"/>
        <v>#N/A</v>
      </c>
      <c r="EIY43" s="380" t="e">
        <f t="shared" si="60"/>
        <v>#N/A</v>
      </c>
      <c r="EIZ43" s="380" t="e">
        <f t="shared" si="60"/>
        <v>#N/A</v>
      </c>
      <c r="EJA43" s="380" t="e">
        <f t="shared" si="60"/>
        <v>#N/A</v>
      </c>
      <c r="EJB43" s="380" t="e">
        <f t="shared" si="60"/>
        <v>#N/A</v>
      </c>
      <c r="EJC43" s="380" t="e">
        <f t="shared" si="60"/>
        <v>#N/A</v>
      </c>
      <c r="EJD43" s="380" t="e">
        <f t="shared" si="60"/>
        <v>#N/A</v>
      </c>
      <c r="EJE43" s="380" t="e">
        <f t="shared" si="60"/>
        <v>#N/A</v>
      </c>
      <c r="EJF43" s="380" t="e">
        <f t="shared" si="60"/>
        <v>#N/A</v>
      </c>
      <c r="EJG43" s="380" t="e">
        <f t="shared" si="60"/>
        <v>#N/A</v>
      </c>
      <c r="EJH43" s="380" t="e">
        <f t="shared" si="60"/>
        <v>#N/A</v>
      </c>
      <c r="EJI43" s="380" t="e">
        <f t="shared" si="60"/>
        <v>#N/A</v>
      </c>
      <c r="EJJ43" s="380" t="e">
        <f t="shared" si="60"/>
        <v>#N/A</v>
      </c>
      <c r="EJK43" s="380" t="e">
        <f t="shared" si="60"/>
        <v>#N/A</v>
      </c>
      <c r="EJL43" s="380" t="e">
        <f t="shared" si="60"/>
        <v>#N/A</v>
      </c>
      <c r="EJM43" s="380" t="e">
        <f t="shared" si="60"/>
        <v>#N/A</v>
      </c>
      <c r="EJN43" s="380" t="e">
        <f t="shared" si="60"/>
        <v>#N/A</v>
      </c>
      <c r="EJO43" s="380" t="e">
        <f t="shared" si="60"/>
        <v>#N/A</v>
      </c>
      <c r="EJP43" s="380" t="e">
        <f t="shared" ref="EJP43:EMA43" si="61">INDEX(EJP7:EJP40,MATCH($E$43,$E$7:$E$40,0))</f>
        <v>#N/A</v>
      </c>
      <c r="EJQ43" s="380" t="e">
        <f t="shared" si="61"/>
        <v>#N/A</v>
      </c>
      <c r="EJR43" s="380" t="e">
        <f t="shared" si="61"/>
        <v>#N/A</v>
      </c>
      <c r="EJS43" s="380" t="e">
        <f t="shared" si="61"/>
        <v>#N/A</v>
      </c>
      <c r="EJT43" s="380" t="e">
        <f t="shared" si="61"/>
        <v>#N/A</v>
      </c>
      <c r="EJU43" s="380" t="e">
        <f t="shared" si="61"/>
        <v>#N/A</v>
      </c>
      <c r="EJV43" s="380" t="e">
        <f t="shared" si="61"/>
        <v>#N/A</v>
      </c>
      <c r="EJW43" s="380" t="e">
        <f t="shared" si="61"/>
        <v>#N/A</v>
      </c>
      <c r="EJX43" s="380" t="e">
        <f t="shared" si="61"/>
        <v>#N/A</v>
      </c>
      <c r="EJY43" s="380" t="e">
        <f t="shared" si="61"/>
        <v>#N/A</v>
      </c>
      <c r="EJZ43" s="380" t="e">
        <f t="shared" si="61"/>
        <v>#N/A</v>
      </c>
      <c r="EKA43" s="380" t="e">
        <f t="shared" si="61"/>
        <v>#N/A</v>
      </c>
      <c r="EKB43" s="380" t="e">
        <f t="shared" si="61"/>
        <v>#N/A</v>
      </c>
      <c r="EKC43" s="380" t="e">
        <f t="shared" si="61"/>
        <v>#N/A</v>
      </c>
      <c r="EKD43" s="380" t="e">
        <f t="shared" si="61"/>
        <v>#N/A</v>
      </c>
      <c r="EKE43" s="380" t="e">
        <f t="shared" si="61"/>
        <v>#N/A</v>
      </c>
      <c r="EKF43" s="380" t="e">
        <f t="shared" si="61"/>
        <v>#N/A</v>
      </c>
      <c r="EKG43" s="380" t="e">
        <f t="shared" si="61"/>
        <v>#N/A</v>
      </c>
      <c r="EKH43" s="380" t="e">
        <f t="shared" si="61"/>
        <v>#N/A</v>
      </c>
      <c r="EKI43" s="380" t="e">
        <f t="shared" si="61"/>
        <v>#N/A</v>
      </c>
      <c r="EKJ43" s="380" t="e">
        <f t="shared" si="61"/>
        <v>#N/A</v>
      </c>
      <c r="EKK43" s="380" t="e">
        <f t="shared" si="61"/>
        <v>#N/A</v>
      </c>
      <c r="EKL43" s="380" t="e">
        <f t="shared" si="61"/>
        <v>#N/A</v>
      </c>
      <c r="EKM43" s="380" t="e">
        <f t="shared" si="61"/>
        <v>#N/A</v>
      </c>
      <c r="EKN43" s="380" t="e">
        <f t="shared" si="61"/>
        <v>#N/A</v>
      </c>
      <c r="EKO43" s="380" t="e">
        <f t="shared" si="61"/>
        <v>#N/A</v>
      </c>
      <c r="EKP43" s="380" t="e">
        <f t="shared" si="61"/>
        <v>#N/A</v>
      </c>
      <c r="EKQ43" s="380" t="e">
        <f t="shared" si="61"/>
        <v>#N/A</v>
      </c>
      <c r="EKR43" s="380" t="e">
        <f t="shared" si="61"/>
        <v>#N/A</v>
      </c>
      <c r="EKS43" s="380" t="e">
        <f t="shared" si="61"/>
        <v>#N/A</v>
      </c>
      <c r="EKT43" s="380" t="e">
        <f t="shared" si="61"/>
        <v>#N/A</v>
      </c>
      <c r="EKU43" s="380" t="e">
        <f t="shared" si="61"/>
        <v>#N/A</v>
      </c>
      <c r="EKV43" s="380" t="e">
        <f t="shared" si="61"/>
        <v>#N/A</v>
      </c>
      <c r="EKW43" s="380" t="e">
        <f t="shared" si="61"/>
        <v>#N/A</v>
      </c>
      <c r="EKX43" s="380" t="e">
        <f t="shared" si="61"/>
        <v>#N/A</v>
      </c>
      <c r="EKY43" s="380" t="e">
        <f t="shared" si="61"/>
        <v>#N/A</v>
      </c>
      <c r="EKZ43" s="380" t="e">
        <f t="shared" si="61"/>
        <v>#N/A</v>
      </c>
      <c r="ELA43" s="380" t="e">
        <f t="shared" si="61"/>
        <v>#N/A</v>
      </c>
      <c r="ELB43" s="380" t="e">
        <f t="shared" si="61"/>
        <v>#N/A</v>
      </c>
      <c r="ELC43" s="380" t="e">
        <f t="shared" si="61"/>
        <v>#N/A</v>
      </c>
      <c r="ELD43" s="380" t="e">
        <f t="shared" si="61"/>
        <v>#N/A</v>
      </c>
      <c r="ELE43" s="380" t="e">
        <f t="shared" si="61"/>
        <v>#N/A</v>
      </c>
      <c r="ELF43" s="380" t="e">
        <f t="shared" si="61"/>
        <v>#N/A</v>
      </c>
      <c r="ELG43" s="380" t="e">
        <f t="shared" si="61"/>
        <v>#N/A</v>
      </c>
      <c r="ELH43" s="380" t="e">
        <f t="shared" si="61"/>
        <v>#N/A</v>
      </c>
      <c r="ELI43" s="380" t="e">
        <f t="shared" si="61"/>
        <v>#N/A</v>
      </c>
      <c r="ELJ43" s="380" t="e">
        <f t="shared" si="61"/>
        <v>#N/A</v>
      </c>
      <c r="ELK43" s="380" t="e">
        <f t="shared" si="61"/>
        <v>#N/A</v>
      </c>
      <c r="ELL43" s="380" t="e">
        <f t="shared" si="61"/>
        <v>#N/A</v>
      </c>
      <c r="ELM43" s="380" t="e">
        <f t="shared" si="61"/>
        <v>#N/A</v>
      </c>
      <c r="ELN43" s="380" t="e">
        <f t="shared" si="61"/>
        <v>#N/A</v>
      </c>
      <c r="ELO43" s="380" t="e">
        <f t="shared" si="61"/>
        <v>#N/A</v>
      </c>
      <c r="ELP43" s="380" t="e">
        <f t="shared" si="61"/>
        <v>#N/A</v>
      </c>
      <c r="ELQ43" s="380" t="e">
        <f t="shared" si="61"/>
        <v>#N/A</v>
      </c>
      <c r="ELR43" s="380" t="e">
        <f t="shared" si="61"/>
        <v>#N/A</v>
      </c>
      <c r="ELS43" s="380" t="e">
        <f t="shared" si="61"/>
        <v>#N/A</v>
      </c>
      <c r="ELT43" s="380" t="e">
        <f t="shared" si="61"/>
        <v>#N/A</v>
      </c>
      <c r="ELU43" s="380" t="e">
        <f t="shared" si="61"/>
        <v>#N/A</v>
      </c>
      <c r="ELV43" s="380" t="e">
        <f t="shared" si="61"/>
        <v>#N/A</v>
      </c>
      <c r="ELW43" s="380" t="e">
        <f t="shared" si="61"/>
        <v>#N/A</v>
      </c>
      <c r="ELX43" s="380" t="e">
        <f t="shared" si="61"/>
        <v>#N/A</v>
      </c>
      <c r="ELY43" s="380" t="e">
        <f t="shared" si="61"/>
        <v>#N/A</v>
      </c>
      <c r="ELZ43" s="380" t="e">
        <f t="shared" si="61"/>
        <v>#N/A</v>
      </c>
      <c r="EMA43" s="380" t="e">
        <f t="shared" si="61"/>
        <v>#N/A</v>
      </c>
      <c r="EMB43" s="380" t="e">
        <f t="shared" ref="EMB43:EOM43" si="62">INDEX(EMB7:EMB40,MATCH($E$43,$E$7:$E$40,0))</f>
        <v>#N/A</v>
      </c>
      <c r="EMC43" s="380" t="e">
        <f t="shared" si="62"/>
        <v>#N/A</v>
      </c>
      <c r="EMD43" s="380" t="e">
        <f t="shared" si="62"/>
        <v>#N/A</v>
      </c>
      <c r="EME43" s="380" t="e">
        <f t="shared" si="62"/>
        <v>#N/A</v>
      </c>
      <c r="EMF43" s="380" t="e">
        <f t="shared" si="62"/>
        <v>#N/A</v>
      </c>
      <c r="EMG43" s="380" t="e">
        <f t="shared" si="62"/>
        <v>#N/A</v>
      </c>
      <c r="EMH43" s="380" t="e">
        <f t="shared" si="62"/>
        <v>#N/A</v>
      </c>
      <c r="EMI43" s="380" t="e">
        <f t="shared" si="62"/>
        <v>#N/A</v>
      </c>
      <c r="EMJ43" s="380" t="e">
        <f t="shared" si="62"/>
        <v>#N/A</v>
      </c>
      <c r="EMK43" s="380" t="e">
        <f t="shared" si="62"/>
        <v>#N/A</v>
      </c>
      <c r="EML43" s="380" t="e">
        <f t="shared" si="62"/>
        <v>#N/A</v>
      </c>
      <c r="EMM43" s="380" t="e">
        <f t="shared" si="62"/>
        <v>#N/A</v>
      </c>
      <c r="EMN43" s="380" t="e">
        <f t="shared" si="62"/>
        <v>#N/A</v>
      </c>
      <c r="EMO43" s="380" t="e">
        <f t="shared" si="62"/>
        <v>#N/A</v>
      </c>
      <c r="EMP43" s="380" t="e">
        <f t="shared" si="62"/>
        <v>#N/A</v>
      </c>
      <c r="EMQ43" s="380" t="e">
        <f t="shared" si="62"/>
        <v>#N/A</v>
      </c>
      <c r="EMR43" s="380" t="e">
        <f t="shared" si="62"/>
        <v>#N/A</v>
      </c>
      <c r="EMS43" s="380" t="e">
        <f t="shared" si="62"/>
        <v>#N/A</v>
      </c>
      <c r="EMT43" s="380" t="e">
        <f t="shared" si="62"/>
        <v>#N/A</v>
      </c>
      <c r="EMU43" s="380" t="e">
        <f t="shared" si="62"/>
        <v>#N/A</v>
      </c>
      <c r="EMV43" s="380" t="e">
        <f t="shared" si="62"/>
        <v>#N/A</v>
      </c>
      <c r="EMW43" s="380" t="e">
        <f t="shared" si="62"/>
        <v>#N/A</v>
      </c>
      <c r="EMX43" s="380" t="e">
        <f t="shared" si="62"/>
        <v>#N/A</v>
      </c>
      <c r="EMY43" s="380" t="e">
        <f t="shared" si="62"/>
        <v>#N/A</v>
      </c>
      <c r="EMZ43" s="380" t="e">
        <f t="shared" si="62"/>
        <v>#N/A</v>
      </c>
      <c r="ENA43" s="380" t="e">
        <f t="shared" si="62"/>
        <v>#N/A</v>
      </c>
      <c r="ENB43" s="380" t="e">
        <f t="shared" si="62"/>
        <v>#N/A</v>
      </c>
      <c r="ENC43" s="380" t="e">
        <f t="shared" si="62"/>
        <v>#N/A</v>
      </c>
      <c r="END43" s="380" t="e">
        <f t="shared" si="62"/>
        <v>#N/A</v>
      </c>
      <c r="ENE43" s="380" t="e">
        <f t="shared" si="62"/>
        <v>#N/A</v>
      </c>
      <c r="ENF43" s="380" t="e">
        <f t="shared" si="62"/>
        <v>#N/A</v>
      </c>
      <c r="ENG43" s="380" t="e">
        <f t="shared" si="62"/>
        <v>#N/A</v>
      </c>
      <c r="ENH43" s="380" t="e">
        <f t="shared" si="62"/>
        <v>#N/A</v>
      </c>
      <c r="ENI43" s="380" t="e">
        <f t="shared" si="62"/>
        <v>#N/A</v>
      </c>
      <c r="ENJ43" s="380" t="e">
        <f t="shared" si="62"/>
        <v>#N/A</v>
      </c>
      <c r="ENK43" s="380" t="e">
        <f t="shared" si="62"/>
        <v>#N/A</v>
      </c>
      <c r="ENL43" s="380" t="e">
        <f t="shared" si="62"/>
        <v>#N/A</v>
      </c>
      <c r="ENM43" s="380" t="e">
        <f t="shared" si="62"/>
        <v>#N/A</v>
      </c>
      <c r="ENN43" s="380" t="e">
        <f t="shared" si="62"/>
        <v>#N/A</v>
      </c>
      <c r="ENO43" s="380" t="e">
        <f t="shared" si="62"/>
        <v>#N/A</v>
      </c>
      <c r="ENP43" s="380" t="e">
        <f t="shared" si="62"/>
        <v>#N/A</v>
      </c>
      <c r="ENQ43" s="380" t="e">
        <f t="shared" si="62"/>
        <v>#N/A</v>
      </c>
      <c r="ENR43" s="380" t="e">
        <f t="shared" si="62"/>
        <v>#N/A</v>
      </c>
      <c r="ENS43" s="380" t="e">
        <f t="shared" si="62"/>
        <v>#N/A</v>
      </c>
      <c r="ENT43" s="380" t="e">
        <f t="shared" si="62"/>
        <v>#N/A</v>
      </c>
      <c r="ENU43" s="380" t="e">
        <f t="shared" si="62"/>
        <v>#N/A</v>
      </c>
      <c r="ENV43" s="380" t="e">
        <f t="shared" si="62"/>
        <v>#N/A</v>
      </c>
      <c r="ENW43" s="380" t="e">
        <f t="shared" si="62"/>
        <v>#N/A</v>
      </c>
      <c r="ENX43" s="380" t="e">
        <f t="shared" si="62"/>
        <v>#N/A</v>
      </c>
      <c r="ENY43" s="380" t="e">
        <f t="shared" si="62"/>
        <v>#N/A</v>
      </c>
      <c r="ENZ43" s="380" t="e">
        <f t="shared" si="62"/>
        <v>#N/A</v>
      </c>
      <c r="EOA43" s="380" t="e">
        <f t="shared" si="62"/>
        <v>#N/A</v>
      </c>
      <c r="EOB43" s="380" t="e">
        <f t="shared" si="62"/>
        <v>#N/A</v>
      </c>
      <c r="EOC43" s="380" t="e">
        <f t="shared" si="62"/>
        <v>#N/A</v>
      </c>
      <c r="EOD43" s="380" t="e">
        <f t="shared" si="62"/>
        <v>#N/A</v>
      </c>
      <c r="EOE43" s="380" t="e">
        <f t="shared" si="62"/>
        <v>#N/A</v>
      </c>
      <c r="EOF43" s="380" t="e">
        <f t="shared" si="62"/>
        <v>#N/A</v>
      </c>
      <c r="EOG43" s="380" t="e">
        <f t="shared" si="62"/>
        <v>#N/A</v>
      </c>
      <c r="EOH43" s="380" t="e">
        <f t="shared" si="62"/>
        <v>#N/A</v>
      </c>
      <c r="EOI43" s="380" t="e">
        <f t="shared" si="62"/>
        <v>#N/A</v>
      </c>
      <c r="EOJ43" s="380" t="e">
        <f t="shared" si="62"/>
        <v>#N/A</v>
      </c>
      <c r="EOK43" s="380" t="e">
        <f t="shared" si="62"/>
        <v>#N/A</v>
      </c>
      <c r="EOL43" s="380" t="e">
        <f t="shared" si="62"/>
        <v>#N/A</v>
      </c>
      <c r="EOM43" s="380" t="e">
        <f t="shared" si="62"/>
        <v>#N/A</v>
      </c>
      <c r="EON43" s="380" t="e">
        <f t="shared" ref="EON43:EQY43" si="63">INDEX(EON7:EON40,MATCH($E$43,$E$7:$E$40,0))</f>
        <v>#N/A</v>
      </c>
      <c r="EOO43" s="380" t="e">
        <f t="shared" si="63"/>
        <v>#N/A</v>
      </c>
      <c r="EOP43" s="380" t="e">
        <f t="shared" si="63"/>
        <v>#N/A</v>
      </c>
      <c r="EOQ43" s="380" t="e">
        <f t="shared" si="63"/>
        <v>#N/A</v>
      </c>
      <c r="EOR43" s="380" t="e">
        <f t="shared" si="63"/>
        <v>#N/A</v>
      </c>
      <c r="EOS43" s="380" t="e">
        <f t="shared" si="63"/>
        <v>#N/A</v>
      </c>
      <c r="EOT43" s="380" t="e">
        <f t="shared" si="63"/>
        <v>#N/A</v>
      </c>
      <c r="EOU43" s="380" t="e">
        <f t="shared" si="63"/>
        <v>#N/A</v>
      </c>
      <c r="EOV43" s="380" t="e">
        <f t="shared" si="63"/>
        <v>#N/A</v>
      </c>
      <c r="EOW43" s="380" t="e">
        <f t="shared" si="63"/>
        <v>#N/A</v>
      </c>
      <c r="EOX43" s="380" t="e">
        <f t="shared" si="63"/>
        <v>#N/A</v>
      </c>
      <c r="EOY43" s="380" t="e">
        <f t="shared" si="63"/>
        <v>#N/A</v>
      </c>
      <c r="EOZ43" s="380" t="e">
        <f t="shared" si="63"/>
        <v>#N/A</v>
      </c>
      <c r="EPA43" s="380" t="e">
        <f t="shared" si="63"/>
        <v>#N/A</v>
      </c>
      <c r="EPB43" s="380" t="e">
        <f t="shared" si="63"/>
        <v>#N/A</v>
      </c>
      <c r="EPC43" s="380" t="e">
        <f t="shared" si="63"/>
        <v>#N/A</v>
      </c>
      <c r="EPD43" s="380" t="e">
        <f t="shared" si="63"/>
        <v>#N/A</v>
      </c>
      <c r="EPE43" s="380" t="e">
        <f t="shared" si="63"/>
        <v>#N/A</v>
      </c>
      <c r="EPF43" s="380" t="e">
        <f t="shared" si="63"/>
        <v>#N/A</v>
      </c>
      <c r="EPG43" s="380" t="e">
        <f t="shared" si="63"/>
        <v>#N/A</v>
      </c>
      <c r="EPH43" s="380" t="e">
        <f t="shared" si="63"/>
        <v>#N/A</v>
      </c>
      <c r="EPI43" s="380" t="e">
        <f t="shared" si="63"/>
        <v>#N/A</v>
      </c>
      <c r="EPJ43" s="380" t="e">
        <f t="shared" si="63"/>
        <v>#N/A</v>
      </c>
      <c r="EPK43" s="380" t="e">
        <f t="shared" si="63"/>
        <v>#N/A</v>
      </c>
      <c r="EPL43" s="380" t="e">
        <f t="shared" si="63"/>
        <v>#N/A</v>
      </c>
      <c r="EPM43" s="380" t="e">
        <f t="shared" si="63"/>
        <v>#N/A</v>
      </c>
      <c r="EPN43" s="380" t="e">
        <f t="shared" si="63"/>
        <v>#N/A</v>
      </c>
      <c r="EPO43" s="380" t="e">
        <f t="shared" si="63"/>
        <v>#N/A</v>
      </c>
      <c r="EPP43" s="380" t="e">
        <f t="shared" si="63"/>
        <v>#N/A</v>
      </c>
      <c r="EPQ43" s="380" t="e">
        <f t="shared" si="63"/>
        <v>#N/A</v>
      </c>
      <c r="EPR43" s="380" t="e">
        <f t="shared" si="63"/>
        <v>#N/A</v>
      </c>
      <c r="EPS43" s="380" t="e">
        <f t="shared" si="63"/>
        <v>#N/A</v>
      </c>
      <c r="EPT43" s="380" t="e">
        <f t="shared" si="63"/>
        <v>#N/A</v>
      </c>
      <c r="EPU43" s="380" t="e">
        <f t="shared" si="63"/>
        <v>#N/A</v>
      </c>
      <c r="EPV43" s="380" t="e">
        <f t="shared" si="63"/>
        <v>#N/A</v>
      </c>
      <c r="EPW43" s="380" t="e">
        <f t="shared" si="63"/>
        <v>#N/A</v>
      </c>
      <c r="EPX43" s="380" t="e">
        <f t="shared" si="63"/>
        <v>#N/A</v>
      </c>
      <c r="EPY43" s="380" t="e">
        <f t="shared" si="63"/>
        <v>#N/A</v>
      </c>
      <c r="EPZ43" s="380" t="e">
        <f t="shared" si="63"/>
        <v>#N/A</v>
      </c>
      <c r="EQA43" s="380" t="e">
        <f t="shared" si="63"/>
        <v>#N/A</v>
      </c>
      <c r="EQB43" s="380" t="e">
        <f t="shared" si="63"/>
        <v>#N/A</v>
      </c>
      <c r="EQC43" s="380" t="e">
        <f t="shared" si="63"/>
        <v>#N/A</v>
      </c>
      <c r="EQD43" s="380" t="e">
        <f t="shared" si="63"/>
        <v>#N/A</v>
      </c>
      <c r="EQE43" s="380" t="e">
        <f t="shared" si="63"/>
        <v>#N/A</v>
      </c>
      <c r="EQF43" s="380" t="e">
        <f t="shared" si="63"/>
        <v>#N/A</v>
      </c>
      <c r="EQG43" s="380" t="e">
        <f t="shared" si="63"/>
        <v>#N/A</v>
      </c>
      <c r="EQH43" s="380" t="e">
        <f t="shared" si="63"/>
        <v>#N/A</v>
      </c>
      <c r="EQI43" s="380" t="e">
        <f t="shared" si="63"/>
        <v>#N/A</v>
      </c>
      <c r="EQJ43" s="380" t="e">
        <f t="shared" si="63"/>
        <v>#N/A</v>
      </c>
      <c r="EQK43" s="380" t="e">
        <f t="shared" si="63"/>
        <v>#N/A</v>
      </c>
      <c r="EQL43" s="380" t="e">
        <f t="shared" si="63"/>
        <v>#N/A</v>
      </c>
      <c r="EQM43" s="380" t="e">
        <f t="shared" si="63"/>
        <v>#N/A</v>
      </c>
      <c r="EQN43" s="380" t="e">
        <f t="shared" si="63"/>
        <v>#N/A</v>
      </c>
      <c r="EQO43" s="380" t="e">
        <f t="shared" si="63"/>
        <v>#N/A</v>
      </c>
      <c r="EQP43" s="380" t="e">
        <f t="shared" si="63"/>
        <v>#N/A</v>
      </c>
      <c r="EQQ43" s="380" t="e">
        <f t="shared" si="63"/>
        <v>#N/A</v>
      </c>
      <c r="EQR43" s="380" t="e">
        <f t="shared" si="63"/>
        <v>#N/A</v>
      </c>
      <c r="EQS43" s="380" t="e">
        <f t="shared" si="63"/>
        <v>#N/A</v>
      </c>
      <c r="EQT43" s="380" t="e">
        <f t="shared" si="63"/>
        <v>#N/A</v>
      </c>
      <c r="EQU43" s="380" t="e">
        <f t="shared" si="63"/>
        <v>#N/A</v>
      </c>
      <c r="EQV43" s="380" t="e">
        <f t="shared" si="63"/>
        <v>#N/A</v>
      </c>
      <c r="EQW43" s="380" t="e">
        <f t="shared" si="63"/>
        <v>#N/A</v>
      </c>
      <c r="EQX43" s="380" t="e">
        <f t="shared" si="63"/>
        <v>#N/A</v>
      </c>
      <c r="EQY43" s="380" t="e">
        <f t="shared" si="63"/>
        <v>#N/A</v>
      </c>
      <c r="EQZ43" s="380" t="e">
        <f t="shared" ref="EQZ43:ETK43" si="64">INDEX(EQZ7:EQZ40,MATCH($E$43,$E$7:$E$40,0))</f>
        <v>#N/A</v>
      </c>
      <c r="ERA43" s="380" t="e">
        <f t="shared" si="64"/>
        <v>#N/A</v>
      </c>
      <c r="ERB43" s="380" t="e">
        <f t="shared" si="64"/>
        <v>#N/A</v>
      </c>
      <c r="ERC43" s="380" t="e">
        <f t="shared" si="64"/>
        <v>#N/A</v>
      </c>
      <c r="ERD43" s="380" t="e">
        <f t="shared" si="64"/>
        <v>#N/A</v>
      </c>
      <c r="ERE43" s="380" t="e">
        <f t="shared" si="64"/>
        <v>#N/A</v>
      </c>
      <c r="ERF43" s="380" t="e">
        <f t="shared" si="64"/>
        <v>#N/A</v>
      </c>
      <c r="ERG43" s="380" t="e">
        <f t="shared" si="64"/>
        <v>#N/A</v>
      </c>
      <c r="ERH43" s="380" t="e">
        <f t="shared" si="64"/>
        <v>#N/A</v>
      </c>
      <c r="ERI43" s="380" t="e">
        <f t="shared" si="64"/>
        <v>#N/A</v>
      </c>
      <c r="ERJ43" s="380" t="e">
        <f t="shared" si="64"/>
        <v>#N/A</v>
      </c>
      <c r="ERK43" s="380" t="e">
        <f t="shared" si="64"/>
        <v>#N/A</v>
      </c>
      <c r="ERL43" s="380" t="e">
        <f t="shared" si="64"/>
        <v>#N/A</v>
      </c>
      <c r="ERM43" s="380" t="e">
        <f t="shared" si="64"/>
        <v>#N/A</v>
      </c>
      <c r="ERN43" s="380" t="e">
        <f t="shared" si="64"/>
        <v>#N/A</v>
      </c>
      <c r="ERO43" s="380" t="e">
        <f t="shared" si="64"/>
        <v>#N/A</v>
      </c>
      <c r="ERP43" s="380" t="e">
        <f t="shared" si="64"/>
        <v>#N/A</v>
      </c>
      <c r="ERQ43" s="380" t="e">
        <f t="shared" si="64"/>
        <v>#N/A</v>
      </c>
      <c r="ERR43" s="380" t="e">
        <f t="shared" si="64"/>
        <v>#N/A</v>
      </c>
      <c r="ERS43" s="380" t="e">
        <f t="shared" si="64"/>
        <v>#N/A</v>
      </c>
      <c r="ERT43" s="380" t="e">
        <f t="shared" si="64"/>
        <v>#N/A</v>
      </c>
      <c r="ERU43" s="380" t="e">
        <f t="shared" si="64"/>
        <v>#N/A</v>
      </c>
      <c r="ERV43" s="380" t="e">
        <f t="shared" si="64"/>
        <v>#N/A</v>
      </c>
      <c r="ERW43" s="380" t="e">
        <f t="shared" si="64"/>
        <v>#N/A</v>
      </c>
      <c r="ERX43" s="380" t="e">
        <f t="shared" si="64"/>
        <v>#N/A</v>
      </c>
      <c r="ERY43" s="380" t="e">
        <f t="shared" si="64"/>
        <v>#N/A</v>
      </c>
      <c r="ERZ43" s="380" t="e">
        <f t="shared" si="64"/>
        <v>#N/A</v>
      </c>
      <c r="ESA43" s="380" t="e">
        <f t="shared" si="64"/>
        <v>#N/A</v>
      </c>
      <c r="ESB43" s="380" t="e">
        <f t="shared" si="64"/>
        <v>#N/A</v>
      </c>
      <c r="ESC43" s="380" t="e">
        <f t="shared" si="64"/>
        <v>#N/A</v>
      </c>
      <c r="ESD43" s="380" t="e">
        <f t="shared" si="64"/>
        <v>#N/A</v>
      </c>
      <c r="ESE43" s="380" t="e">
        <f t="shared" si="64"/>
        <v>#N/A</v>
      </c>
      <c r="ESF43" s="380" t="e">
        <f t="shared" si="64"/>
        <v>#N/A</v>
      </c>
      <c r="ESG43" s="380" t="e">
        <f t="shared" si="64"/>
        <v>#N/A</v>
      </c>
      <c r="ESH43" s="380" t="e">
        <f t="shared" si="64"/>
        <v>#N/A</v>
      </c>
      <c r="ESI43" s="380" t="e">
        <f t="shared" si="64"/>
        <v>#N/A</v>
      </c>
      <c r="ESJ43" s="380" t="e">
        <f t="shared" si="64"/>
        <v>#N/A</v>
      </c>
      <c r="ESK43" s="380" t="e">
        <f t="shared" si="64"/>
        <v>#N/A</v>
      </c>
      <c r="ESL43" s="380" t="e">
        <f t="shared" si="64"/>
        <v>#N/A</v>
      </c>
      <c r="ESM43" s="380" t="e">
        <f t="shared" si="64"/>
        <v>#N/A</v>
      </c>
      <c r="ESN43" s="380" t="e">
        <f t="shared" si="64"/>
        <v>#N/A</v>
      </c>
      <c r="ESO43" s="380" t="e">
        <f t="shared" si="64"/>
        <v>#N/A</v>
      </c>
      <c r="ESP43" s="380" t="e">
        <f t="shared" si="64"/>
        <v>#N/A</v>
      </c>
      <c r="ESQ43" s="380" t="e">
        <f t="shared" si="64"/>
        <v>#N/A</v>
      </c>
      <c r="ESR43" s="380" t="e">
        <f t="shared" si="64"/>
        <v>#N/A</v>
      </c>
      <c r="ESS43" s="380" t="e">
        <f t="shared" si="64"/>
        <v>#N/A</v>
      </c>
      <c r="EST43" s="380" t="e">
        <f t="shared" si="64"/>
        <v>#N/A</v>
      </c>
      <c r="ESU43" s="380" t="e">
        <f t="shared" si="64"/>
        <v>#N/A</v>
      </c>
      <c r="ESV43" s="380" t="e">
        <f t="shared" si="64"/>
        <v>#N/A</v>
      </c>
      <c r="ESW43" s="380" t="e">
        <f t="shared" si="64"/>
        <v>#N/A</v>
      </c>
      <c r="ESX43" s="380" t="e">
        <f t="shared" si="64"/>
        <v>#N/A</v>
      </c>
      <c r="ESY43" s="380" t="e">
        <f t="shared" si="64"/>
        <v>#N/A</v>
      </c>
      <c r="ESZ43" s="380" t="e">
        <f t="shared" si="64"/>
        <v>#N/A</v>
      </c>
      <c r="ETA43" s="380" t="e">
        <f t="shared" si="64"/>
        <v>#N/A</v>
      </c>
      <c r="ETB43" s="380" t="e">
        <f t="shared" si="64"/>
        <v>#N/A</v>
      </c>
      <c r="ETC43" s="380" t="e">
        <f t="shared" si="64"/>
        <v>#N/A</v>
      </c>
      <c r="ETD43" s="380" t="e">
        <f t="shared" si="64"/>
        <v>#N/A</v>
      </c>
      <c r="ETE43" s="380" t="e">
        <f t="shared" si="64"/>
        <v>#N/A</v>
      </c>
      <c r="ETF43" s="380" t="e">
        <f t="shared" si="64"/>
        <v>#N/A</v>
      </c>
      <c r="ETG43" s="380" t="e">
        <f t="shared" si="64"/>
        <v>#N/A</v>
      </c>
      <c r="ETH43" s="380" t="e">
        <f t="shared" si="64"/>
        <v>#N/A</v>
      </c>
      <c r="ETI43" s="380" t="e">
        <f t="shared" si="64"/>
        <v>#N/A</v>
      </c>
      <c r="ETJ43" s="380" t="e">
        <f t="shared" si="64"/>
        <v>#N/A</v>
      </c>
      <c r="ETK43" s="380" t="e">
        <f t="shared" si="64"/>
        <v>#N/A</v>
      </c>
      <c r="ETL43" s="380" t="e">
        <f t="shared" ref="ETL43:EVW43" si="65">INDEX(ETL7:ETL40,MATCH($E$43,$E$7:$E$40,0))</f>
        <v>#N/A</v>
      </c>
      <c r="ETM43" s="380" t="e">
        <f t="shared" si="65"/>
        <v>#N/A</v>
      </c>
      <c r="ETN43" s="380" t="e">
        <f t="shared" si="65"/>
        <v>#N/A</v>
      </c>
      <c r="ETO43" s="380" t="e">
        <f t="shared" si="65"/>
        <v>#N/A</v>
      </c>
      <c r="ETP43" s="380" t="e">
        <f t="shared" si="65"/>
        <v>#N/A</v>
      </c>
      <c r="ETQ43" s="380" t="e">
        <f t="shared" si="65"/>
        <v>#N/A</v>
      </c>
      <c r="ETR43" s="380" t="e">
        <f t="shared" si="65"/>
        <v>#N/A</v>
      </c>
      <c r="ETS43" s="380" t="e">
        <f t="shared" si="65"/>
        <v>#N/A</v>
      </c>
      <c r="ETT43" s="380" t="e">
        <f t="shared" si="65"/>
        <v>#N/A</v>
      </c>
      <c r="ETU43" s="380" t="e">
        <f t="shared" si="65"/>
        <v>#N/A</v>
      </c>
      <c r="ETV43" s="380" t="e">
        <f t="shared" si="65"/>
        <v>#N/A</v>
      </c>
      <c r="ETW43" s="380" t="e">
        <f t="shared" si="65"/>
        <v>#N/A</v>
      </c>
      <c r="ETX43" s="380" t="e">
        <f t="shared" si="65"/>
        <v>#N/A</v>
      </c>
      <c r="ETY43" s="380" t="e">
        <f t="shared" si="65"/>
        <v>#N/A</v>
      </c>
      <c r="ETZ43" s="380" t="e">
        <f t="shared" si="65"/>
        <v>#N/A</v>
      </c>
      <c r="EUA43" s="380" t="e">
        <f t="shared" si="65"/>
        <v>#N/A</v>
      </c>
      <c r="EUB43" s="380" t="e">
        <f t="shared" si="65"/>
        <v>#N/A</v>
      </c>
      <c r="EUC43" s="380" t="e">
        <f t="shared" si="65"/>
        <v>#N/A</v>
      </c>
      <c r="EUD43" s="380" t="e">
        <f t="shared" si="65"/>
        <v>#N/A</v>
      </c>
      <c r="EUE43" s="380" t="e">
        <f t="shared" si="65"/>
        <v>#N/A</v>
      </c>
      <c r="EUF43" s="380" t="e">
        <f t="shared" si="65"/>
        <v>#N/A</v>
      </c>
      <c r="EUG43" s="380" t="e">
        <f t="shared" si="65"/>
        <v>#N/A</v>
      </c>
      <c r="EUH43" s="380" t="e">
        <f t="shared" si="65"/>
        <v>#N/A</v>
      </c>
      <c r="EUI43" s="380" t="e">
        <f t="shared" si="65"/>
        <v>#N/A</v>
      </c>
      <c r="EUJ43" s="380" t="e">
        <f t="shared" si="65"/>
        <v>#N/A</v>
      </c>
      <c r="EUK43" s="380" t="e">
        <f t="shared" si="65"/>
        <v>#N/A</v>
      </c>
      <c r="EUL43" s="380" t="e">
        <f t="shared" si="65"/>
        <v>#N/A</v>
      </c>
      <c r="EUM43" s="380" t="e">
        <f t="shared" si="65"/>
        <v>#N/A</v>
      </c>
      <c r="EUN43" s="380" t="e">
        <f t="shared" si="65"/>
        <v>#N/A</v>
      </c>
      <c r="EUO43" s="380" t="e">
        <f t="shared" si="65"/>
        <v>#N/A</v>
      </c>
      <c r="EUP43" s="380" t="e">
        <f t="shared" si="65"/>
        <v>#N/A</v>
      </c>
      <c r="EUQ43" s="380" t="e">
        <f t="shared" si="65"/>
        <v>#N/A</v>
      </c>
      <c r="EUR43" s="380" t="e">
        <f t="shared" si="65"/>
        <v>#N/A</v>
      </c>
      <c r="EUS43" s="380" t="e">
        <f t="shared" si="65"/>
        <v>#N/A</v>
      </c>
      <c r="EUT43" s="380" t="e">
        <f t="shared" si="65"/>
        <v>#N/A</v>
      </c>
      <c r="EUU43" s="380" t="e">
        <f t="shared" si="65"/>
        <v>#N/A</v>
      </c>
      <c r="EUV43" s="380" t="e">
        <f t="shared" si="65"/>
        <v>#N/A</v>
      </c>
      <c r="EUW43" s="380" t="e">
        <f t="shared" si="65"/>
        <v>#N/A</v>
      </c>
      <c r="EUX43" s="380" t="e">
        <f t="shared" si="65"/>
        <v>#N/A</v>
      </c>
      <c r="EUY43" s="380" t="e">
        <f t="shared" si="65"/>
        <v>#N/A</v>
      </c>
      <c r="EUZ43" s="380" t="e">
        <f t="shared" si="65"/>
        <v>#N/A</v>
      </c>
      <c r="EVA43" s="380" t="e">
        <f t="shared" si="65"/>
        <v>#N/A</v>
      </c>
      <c r="EVB43" s="380" t="e">
        <f t="shared" si="65"/>
        <v>#N/A</v>
      </c>
      <c r="EVC43" s="380" t="e">
        <f t="shared" si="65"/>
        <v>#N/A</v>
      </c>
      <c r="EVD43" s="380" t="e">
        <f t="shared" si="65"/>
        <v>#N/A</v>
      </c>
      <c r="EVE43" s="380" t="e">
        <f t="shared" si="65"/>
        <v>#N/A</v>
      </c>
      <c r="EVF43" s="380" t="e">
        <f t="shared" si="65"/>
        <v>#N/A</v>
      </c>
      <c r="EVG43" s="380" t="e">
        <f t="shared" si="65"/>
        <v>#N/A</v>
      </c>
      <c r="EVH43" s="380" t="e">
        <f t="shared" si="65"/>
        <v>#N/A</v>
      </c>
      <c r="EVI43" s="380" t="e">
        <f t="shared" si="65"/>
        <v>#N/A</v>
      </c>
      <c r="EVJ43" s="380" t="e">
        <f t="shared" si="65"/>
        <v>#N/A</v>
      </c>
      <c r="EVK43" s="380" t="e">
        <f t="shared" si="65"/>
        <v>#N/A</v>
      </c>
      <c r="EVL43" s="380" t="e">
        <f t="shared" si="65"/>
        <v>#N/A</v>
      </c>
      <c r="EVM43" s="380" t="e">
        <f t="shared" si="65"/>
        <v>#N/A</v>
      </c>
      <c r="EVN43" s="380" t="e">
        <f t="shared" si="65"/>
        <v>#N/A</v>
      </c>
      <c r="EVO43" s="380" t="e">
        <f t="shared" si="65"/>
        <v>#N/A</v>
      </c>
      <c r="EVP43" s="380" t="e">
        <f t="shared" si="65"/>
        <v>#N/A</v>
      </c>
      <c r="EVQ43" s="380" t="e">
        <f t="shared" si="65"/>
        <v>#N/A</v>
      </c>
      <c r="EVR43" s="380" t="e">
        <f t="shared" si="65"/>
        <v>#N/A</v>
      </c>
      <c r="EVS43" s="380" t="e">
        <f t="shared" si="65"/>
        <v>#N/A</v>
      </c>
      <c r="EVT43" s="380" t="e">
        <f t="shared" si="65"/>
        <v>#N/A</v>
      </c>
      <c r="EVU43" s="380" t="e">
        <f t="shared" si="65"/>
        <v>#N/A</v>
      </c>
      <c r="EVV43" s="380" t="e">
        <f t="shared" si="65"/>
        <v>#N/A</v>
      </c>
      <c r="EVW43" s="380" t="e">
        <f t="shared" si="65"/>
        <v>#N/A</v>
      </c>
      <c r="EVX43" s="380" t="e">
        <f t="shared" ref="EVX43:EYI43" si="66">INDEX(EVX7:EVX40,MATCH($E$43,$E$7:$E$40,0))</f>
        <v>#N/A</v>
      </c>
      <c r="EVY43" s="380" t="e">
        <f t="shared" si="66"/>
        <v>#N/A</v>
      </c>
      <c r="EVZ43" s="380" t="e">
        <f t="shared" si="66"/>
        <v>#N/A</v>
      </c>
      <c r="EWA43" s="380" t="e">
        <f t="shared" si="66"/>
        <v>#N/A</v>
      </c>
      <c r="EWB43" s="380" t="e">
        <f t="shared" si="66"/>
        <v>#N/A</v>
      </c>
      <c r="EWC43" s="380" t="e">
        <f t="shared" si="66"/>
        <v>#N/A</v>
      </c>
      <c r="EWD43" s="380" t="e">
        <f t="shared" si="66"/>
        <v>#N/A</v>
      </c>
      <c r="EWE43" s="380" t="e">
        <f t="shared" si="66"/>
        <v>#N/A</v>
      </c>
      <c r="EWF43" s="380" t="e">
        <f t="shared" si="66"/>
        <v>#N/A</v>
      </c>
      <c r="EWG43" s="380" t="e">
        <f t="shared" si="66"/>
        <v>#N/A</v>
      </c>
      <c r="EWH43" s="380" t="e">
        <f t="shared" si="66"/>
        <v>#N/A</v>
      </c>
      <c r="EWI43" s="380" t="e">
        <f t="shared" si="66"/>
        <v>#N/A</v>
      </c>
      <c r="EWJ43" s="380" t="e">
        <f t="shared" si="66"/>
        <v>#N/A</v>
      </c>
      <c r="EWK43" s="380" t="e">
        <f t="shared" si="66"/>
        <v>#N/A</v>
      </c>
      <c r="EWL43" s="380" t="e">
        <f t="shared" si="66"/>
        <v>#N/A</v>
      </c>
      <c r="EWM43" s="380" t="e">
        <f t="shared" si="66"/>
        <v>#N/A</v>
      </c>
      <c r="EWN43" s="380" t="e">
        <f t="shared" si="66"/>
        <v>#N/A</v>
      </c>
      <c r="EWO43" s="380" t="e">
        <f t="shared" si="66"/>
        <v>#N/A</v>
      </c>
      <c r="EWP43" s="380" t="e">
        <f t="shared" si="66"/>
        <v>#N/A</v>
      </c>
      <c r="EWQ43" s="380" t="e">
        <f t="shared" si="66"/>
        <v>#N/A</v>
      </c>
      <c r="EWR43" s="380" t="e">
        <f t="shared" si="66"/>
        <v>#N/A</v>
      </c>
      <c r="EWS43" s="380" t="e">
        <f t="shared" si="66"/>
        <v>#N/A</v>
      </c>
      <c r="EWT43" s="380" t="e">
        <f t="shared" si="66"/>
        <v>#N/A</v>
      </c>
      <c r="EWU43" s="380" t="e">
        <f t="shared" si="66"/>
        <v>#N/A</v>
      </c>
      <c r="EWV43" s="380" t="e">
        <f t="shared" si="66"/>
        <v>#N/A</v>
      </c>
      <c r="EWW43" s="380" t="e">
        <f t="shared" si="66"/>
        <v>#N/A</v>
      </c>
      <c r="EWX43" s="380" t="e">
        <f t="shared" si="66"/>
        <v>#N/A</v>
      </c>
      <c r="EWY43" s="380" t="e">
        <f t="shared" si="66"/>
        <v>#N/A</v>
      </c>
      <c r="EWZ43" s="380" t="e">
        <f t="shared" si="66"/>
        <v>#N/A</v>
      </c>
      <c r="EXA43" s="380" t="e">
        <f t="shared" si="66"/>
        <v>#N/A</v>
      </c>
      <c r="EXB43" s="380" t="e">
        <f t="shared" si="66"/>
        <v>#N/A</v>
      </c>
      <c r="EXC43" s="380" t="e">
        <f t="shared" si="66"/>
        <v>#N/A</v>
      </c>
      <c r="EXD43" s="380" t="e">
        <f t="shared" si="66"/>
        <v>#N/A</v>
      </c>
      <c r="EXE43" s="380" t="e">
        <f t="shared" si="66"/>
        <v>#N/A</v>
      </c>
      <c r="EXF43" s="380" t="e">
        <f t="shared" si="66"/>
        <v>#N/A</v>
      </c>
      <c r="EXG43" s="380" t="e">
        <f t="shared" si="66"/>
        <v>#N/A</v>
      </c>
      <c r="EXH43" s="380" t="e">
        <f t="shared" si="66"/>
        <v>#N/A</v>
      </c>
      <c r="EXI43" s="380" t="e">
        <f t="shared" si="66"/>
        <v>#N/A</v>
      </c>
      <c r="EXJ43" s="380" t="e">
        <f t="shared" si="66"/>
        <v>#N/A</v>
      </c>
      <c r="EXK43" s="380" t="e">
        <f t="shared" si="66"/>
        <v>#N/A</v>
      </c>
      <c r="EXL43" s="380" t="e">
        <f t="shared" si="66"/>
        <v>#N/A</v>
      </c>
      <c r="EXM43" s="380" t="e">
        <f t="shared" si="66"/>
        <v>#N/A</v>
      </c>
      <c r="EXN43" s="380" t="e">
        <f t="shared" si="66"/>
        <v>#N/A</v>
      </c>
      <c r="EXO43" s="380" t="e">
        <f t="shared" si="66"/>
        <v>#N/A</v>
      </c>
      <c r="EXP43" s="380" t="e">
        <f t="shared" si="66"/>
        <v>#N/A</v>
      </c>
      <c r="EXQ43" s="380" t="e">
        <f t="shared" si="66"/>
        <v>#N/A</v>
      </c>
      <c r="EXR43" s="380" t="e">
        <f t="shared" si="66"/>
        <v>#N/A</v>
      </c>
      <c r="EXS43" s="380" t="e">
        <f t="shared" si="66"/>
        <v>#N/A</v>
      </c>
      <c r="EXT43" s="380" t="e">
        <f t="shared" si="66"/>
        <v>#N/A</v>
      </c>
      <c r="EXU43" s="380" t="e">
        <f t="shared" si="66"/>
        <v>#N/A</v>
      </c>
      <c r="EXV43" s="380" t="e">
        <f t="shared" si="66"/>
        <v>#N/A</v>
      </c>
      <c r="EXW43" s="380" t="e">
        <f t="shared" si="66"/>
        <v>#N/A</v>
      </c>
      <c r="EXX43" s="380" t="e">
        <f t="shared" si="66"/>
        <v>#N/A</v>
      </c>
      <c r="EXY43" s="380" t="e">
        <f t="shared" si="66"/>
        <v>#N/A</v>
      </c>
      <c r="EXZ43" s="380" t="e">
        <f t="shared" si="66"/>
        <v>#N/A</v>
      </c>
      <c r="EYA43" s="380" t="e">
        <f t="shared" si="66"/>
        <v>#N/A</v>
      </c>
      <c r="EYB43" s="380" t="e">
        <f t="shared" si="66"/>
        <v>#N/A</v>
      </c>
      <c r="EYC43" s="380" t="e">
        <f t="shared" si="66"/>
        <v>#N/A</v>
      </c>
      <c r="EYD43" s="380" t="e">
        <f t="shared" si="66"/>
        <v>#N/A</v>
      </c>
      <c r="EYE43" s="380" t="e">
        <f t="shared" si="66"/>
        <v>#N/A</v>
      </c>
      <c r="EYF43" s="380" t="e">
        <f t="shared" si="66"/>
        <v>#N/A</v>
      </c>
      <c r="EYG43" s="380" t="e">
        <f t="shared" si="66"/>
        <v>#N/A</v>
      </c>
      <c r="EYH43" s="380" t="e">
        <f t="shared" si="66"/>
        <v>#N/A</v>
      </c>
      <c r="EYI43" s="380" t="e">
        <f t="shared" si="66"/>
        <v>#N/A</v>
      </c>
      <c r="EYJ43" s="380" t="e">
        <f t="shared" ref="EYJ43:FAU43" si="67">INDEX(EYJ7:EYJ40,MATCH($E$43,$E$7:$E$40,0))</f>
        <v>#N/A</v>
      </c>
      <c r="EYK43" s="380" t="e">
        <f t="shared" si="67"/>
        <v>#N/A</v>
      </c>
      <c r="EYL43" s="380" t="e">
        <f t="shared" si="67"/>
        <v>#N/A</v>
      </c>
      <c r="EYM43" s="380" t="e">
        <f t="shared" si="67"/>
        <v>#N/A</v>
      </c>
      <c r="EYN43" s="380" t="e">
        <f t="shared" si="67"/>
        <v>#N/A</v>
      </c>
      <c r="EYO43" s="380" t="e">
        <f t="shared" si="67"/>
        <v>#N/A</v>
      </c>
      <c r="EYP43" s="380" t="e">
        <f t="shared" si="67"/>
        <v>#N/A</v>
      </c>
      <c r="EYQ43" s="380" t="e">
        <f t="shared" si="67"/>
        <v>#N/A</v>
      </c>
      <c r="EYR43" s="380" t="e">
        <f t="shared" si="67"/>
        <v>#N/A</v>
      </c>
      <c r="EYS43" s="380" t="e">
        <f t="shared" si="67"/>
        <v>#N/A</v>
      </c>
      <c r="EYT43" s="380" t="e">
        <f t="shared" si="67"/>
        <v>#N/A</v>
      </c>
      <c r="EYU43" s="380" t="e">
        <f t="shared" si="67"/>
        <v>#N/A</v>
      </c>
      <c r="EYV43" s="380" t="e">
        <f t="shared" si="67"/>
        <v>#N/A</v>
      </c>
      <c r="EYW43" s="380" t="e">
        <f t="shared" si="67"/>
        <v>#N/A</v>
      </c>
      <c r="EYX43" s="380" t="e">
        <f t="shared" si="67"/>
        <v>#N/A</v>
      </c>
      <c r="EYY43" s="380" t="e">
        <f t="shared" si="67"/>
        <v>#N/A</v>
      </c>
      <c r="EYZ43" s="380" t="e">
        <f t="shared" si="67"/>
        <v>#N/A</v>
      </c>
      <c r="EZA43" s="380" t="e">
        <f t="shared" si="67"/>
        <v>#N/A</v>
      </c>
      <c r="EZB43" s="380" t="e">
        <f t="shared" si="67"/>
        <v>#N/A</v>
      </c>
      <c r="EZC43" s="380" t="e">
        <f t="shared" si="67"/>
        <v>#N/A</v>
      </c>
      <c r="EZD43" s="380" t="e">
        <f t="shared" si="67"/>
        <v>#N/A</v>
      </c>
      <c r="EZE43" s="380" t="e">
        <f t="shared" si="67"/>
        <v>#N/A</v>
      </c>
      <c r="EZF43" s="380" t="e">
        <f t="shared" si="67"/>
        <v>#N/A</v>
      </c>
      <c r="EZG43" s="380" t="e">
        <f t="shared" si="67"/>
        <v>#N/A</v>
      </c>
      <c r="EZH43" s="380" t="e">
        <f t="shared" si="67"/>
        <v>#N/A</v>
      </c>
      <c r="EZI43" s="380" t="e">
        <f t="shared" si="67"/>
        <v>#N/A</v>
      </c>
      <c r="EZJ43" s="380" t="e">
        <f t="shared" si="67"/>
        <v>#N/A</v>
      </c>
      <c r="EZK43" s="380" t="e">
        <f t="shared" si="67"/>
        <v>#N/A</v>
      </c>
      <c r="EZL43" s="380" t="e">
        <f t="shared" si="67"/>
        <v>#N/A</v>
      </c>
      <c r="EZM43" s="380" t="e">
        <f t="shared" si="67"/>
        <v>#N/A</v>
      </c>
      <c r="EZN43" s="380" t="e">
        <f t="shared" si="67"/>
        <v>#N/A</v>
      </c>
      <c r="EZO43" s="380" t="e">
        <f t="shared" si="67"/>
        <v>#N/A</v>
      </c>
      <c r="EZP43" s="380" t="e">
        <f t="shared" si="67"/>
        <v>#N/A</v>
      </c>
      <c r="EZQ43" s="380" t="e">
        <f t="shared" si="67"/>
        <v>#N/A</v>
      </c>
      <c r="EZR43" s="380" t="e">
        <f t="shared" si="67"/>
        <v>#N/A</v>
      </c>
      <c r="EZS43" s="380" t="e">
        <f t="shared" si="67"/>
        <v>#N/A</v>
      </c>
      <c r="EZT43" s="380" t="e">
        <f t="shared" si="67"/>
        <v>#N/A</v>
      </c>
      <c r="EZU43" s="380" t="e">
        <f t="shared" si="67"/>
        <v>#N/A</v>
      </c>
      <c r="EZV43" s="380" t="e">
        <f t="shared" si="67"/>
        <v>#N/A</v>
      </c>
      <c r="EZW43" s="380" t="e">
        <f t="shared" si="67"/>
        <v>#N/A</v>
      </c>
      <c r="EZX43" s="380" t="e">
        <f t="shared" si="67"/>
        <v>#N/A</v>
      </c>
      <c r="EZY43" s="380" t="e">
        <f t="shared" si="67"/>
        <v>#N/A</v>
      </c>
      <c r="EZZ43" s="380" t="e">
        <f t="shared" si="67"/>
        <v>#N/A</v>
      </c>
      <c r="FAA43" s="380" t="e">
        <f t="shared" si="67"/>
        <v>#N/A</v>
      </c>
      <c r="FAB43" s="380" t="e">
        <f t="shared" si="67"/>
        <v>#N/A</v>
      </c>
      <c r="FAC43" s="380" t="e">
        <f t="shared" si="67"/>
        <v>#N/A</v>
      </c>
      <c r="FAD43" s="380" t="e">
        <f t="shared" si="67"/>
        <v>#N/A</v>
      </c>
      <c r="FAE43" s="380" t="e">
        <f t="shared" si="67"/>
        <v>#N/A</v>
      </c>
      <c r="FAF43" s="380" t="e">
        <f t="shared" si="67"/>
        <v>#N/A</v>
      </c>
      <c r="FAG43" s="380" t="e">
        <f t="shared" si="67"/>
        <v>#N/A</v>
      </c>
      <c r="FAH43" s="380" t="e">
        <f t="shared" si="67"/>
        <v>#N/A</v>
      </c>
      <c r="FAI43" s="380" t="e">
        <f t="shared" si="67"/>
        <v>#N/A</v>
      </c>
      <c r="FAJ43" s="380" t="e">
        <f t="shared" si="67"/>
        <v>#N/A</v>
      </c>
      <c r="FAK43" s="380" t="e">
        <f t="shared" si="67"/>
        <v>#N/A</v>
      </c>
      <c r="FAL43" s="380" t="e">
        <f t="shared" si="67"/>
        <v>#N/A</v>
      </c>
      <c r="FAM43" s="380" t="e">
        <f t="shared" si="67"/>
        <v>#N/A</v>
      </c>
      <c r="FAN43" s="380" t="e">
        <f t="shared" si="67"/>
        <v>#N/A</v>
      </c>
      <c r="FAO43" s="380" t="e">
        <f t="shared" si="67"/>
        <v>#N/A</v>
      </c>
      <c r="FAP43" s="380" t="e">
        <f t="shared" si="67"/>
        <v>#N/A</v>
      </c>
      <c r="FAQ43" s="380" t="e">
        <f t="shared" si="67"/>
        <v>#N/A</v>
      </c>
      <c r="FAR43" s="380" t="e">
        <f t="shared" si="67"/>
        <v>#N/A</v>
      </c>
      <c r="FAS43" s="380" t="e">
        <f t="shared" si="67"/>
        <v>#N/A</v>
      </c>
      <c r="FAT43" s="380" t="e">
        <f t="shared" si="67"/>
        <v>#N/A</v>
      </c>
      <c r="FAU43" s="380" t="e">
        <f t="shared" si="67"/>
        <v>#N/A</v>
      </c>
      <c r="FAV43" s="380" t="e">
        <f t="shared" ref="FAV43:FDG43" si="68">INDEX(FAV7:FAV40,MATCH($E$43,$E$7:$E$40,0))</f>
        <v>#N/A</v>
      </c>
      <c r="FAW43" s="380" t="e">
        <f t="shared" si="68"/>
        <v>#N/A</v>
      </c>
      <c r="FAX43" s="380" t="e">
        <f t="shared" si="68"/>
        <v>#N/A</v>
      </c>
      <c r="FAY43" s="380" t="e">
        <f t="shared" si="68"/>
        <v>#N/A</v>
      </c>
      <c r="FAZ43" s="380" t="e">
        <f t="shared" si="68"/>
        <v>#N/A</v>
      </c>
      <c r="FBA43" s="380" t="e">
        <f t="shared" si="68"/>
        <v>#N/A</v>
      </c>
      <c r="FBB43" s="380" t="e">
        <f t="shared" si="68"/>
        <v>#N/A</v>
      </c>
      <c r="FBC43" s="380" t="e">
        <f t="shared" si="68"/>
        <v>#N/A</v>
      </c>
      <c r="FBD43" s="380" t="e">
        <f t="shared" si="68"/>
        <v>#N/A</v>
      </c>
      <c r="FBE43" s="380" t="e">
        <f t="shared" si="68"/>
        <v>#N/A</v>
      </c>
      <c r="FBF43" s="380" t="e">
        <f t="shared" si="68"/>
        <v>#N/A</v>
      </c>
      <c r="FBG43" s="380" t="e">
        <f t="shared" si="68"/>
        <v>#N/A</v>
      </c>
      <c r="FBH43" s="380" t="e">
        <f t="shared" si="68"/>
        <v>#N/A</v>
      </c>
      <c r="FBI43" s="380" t="e">
        <f t="shared" si="68"/>
        <v>#N/A</v>
      </c>
      <c r="FBJ43" s="380" t="e">
        <f t="shared" si="68"/>
        <v>#N/A</v>
      </c>
      <c r="FBK43" s="380" t="e">
        <f t="shared" si="68"/>
        <v>#N/A</v>
      </c>
      <c r="FBL43" s="380" t="e">
        <f t="shared" si="68"/>
        <v>#N/A</v>
      </c>
      <c r="FBM43" s="380" t="e">
        <f t="shared" si="68"/>
        <v>#N/A</v>
      </c>
      <c r="FBN43" s="380" t="e">
        <f t="shared" si="68"/>
        <v>#N/A</v>
      </c>
      <c r="FBO43" s="380" t="e">
        <f t="shared" si="68"/>
        <v>#N/A</v>
      </c>
      <c r="FBP43" s="380" t="e">
        <f t="shared" si="68"/>
        <v>#N/A</v>
      </c>
      <c r="FBQ43" s="380" t="e">
        <f t="shared" si="68"/>
        <v>#N/A</v>
      </c>
      <c r="FBR43" s="380" t="e">
        <f t="shared" si="68"/>
        <v>#N/A</v>
      </c>
      <c r="FBS43" s="380" t="e">
        <f t="shared" si="68"/>
        <v>#N/A</v>
      </c>
      <c r="FBT43" s="380" t="e">
        <f t="shared" si="68"/>
        <v>#N/A</v>
      </c>
      <c r="FBU43" s="380" t="e">
        <f t="shared" si="68"/>
        <v>#N/A</v>
      </c>
      <c r="FBV43" s="380" t="e">
        <f t="shared" si="68"/>
        <v>#N/A</v>
      </c>
      <c r="FBW43" s="380" t="e">
        <f t="shared" si="68"/>
        <v>#N/A</v>
      </c>
      <c r="FBX43" s="380" t="e">
        <f t="shared" si="68"/>
        <v>#N/A</v>
      </c>
      <c r="FBY43" s="380" t="e">
        <f t="shared" si="68"/>
        <v>#N/A</v>
      </c>
      <c r="FBZ43" s="380" t="e">
        <f t="shared" si="68"/>
        <v>#N/A</v>
      </c>
      <c r="FCA43" s="380" t="e">
        <f t="shared" si="68"/>
        <v>#N/A</v>
      </c>
      <c r="FCB43" s="380" t="e">
        <f t="shared" si="68"/>
        <v>#N/A</v>
      </c>
      <c r="FCC43" s="380" t="e">
        <f t="shared" si="68"/>
        <v>#N/A</v>
      </c>
      <c r="FCD43" s="380" t="e">
        <f t="shared" si="68"/>
        <v>#N/A</v>
      </c>
      <c r="FCE43" s="380" t="e">
        <f t="shared" si="68"/>
        <v>#N/A</v>
      </c>
      <c r="FCF43" s="380" t="e">
        <f t="shared" si="68"/>
        <v>#N/A</v>
      </c>
      <c r="FCG43" s="380" t="e">
        <f t="shared" si="68"/>
        <v>#N/A</v>
      </c>
      <c r="FCH43" s="380" t="e">
        <f t="shared" si="68"/>
        <v>#N/A</v>
      </c>
      <c r="FCI43" s="380" t="e">
        <f t="shared" si="68"/>
        <v>#N/A</v>
      </c>
      <c r="FCJ43" s="380" t="e">
        <f t="shared" si="68"/>
        <v>#N/A</v>
      </c>
      <c r="FCK43" s="380" t="e">
        <f t="shared" si="68"/>
        <v>#N/A</v>
      </c>
      <c r="FCL43" s="380" t="e">
        <f t="shared" si="68"/>
        <v>#N/A</v>
      </c>
      <c r="FCM43" s="380" t="e">
        <f t="shared" si="68"/>
        <v>#N/A</v>
      </c>
      <c r="FCN43" s="380" t="e">
        <f t="shared" si="68"/>
        <v>#N/A</v>
      </c>
      <c r="FCO43" s="380" t="e">
        <f t="shared" si="68"/>
        <v>#N/A</v>
      </c>
      <c r="FCP43" s="380" t="e">
        <f t="shared" si="68"/>
        <v>#N/A</v>
      </c>
      <c r="FCQ43" s="380" t="e">
        <f t="shared" si="68"/>
        <v>#N/A</v>
      </c>
      <c r="FCR43" s="380" t="e">
        <f t="shared" si="68"/>
        <v>#N/A</v>
      </c>
      <c r="FCS43" s="380" t="e">
        <f t="shared" si="68"/>
        <v>#N/A</v>
      </c>
      <c r="FCT43" s="380" t="e">
        <f t="shared" si="68"/>
        <v>#N/A</v>
      </c>
      <c r="FCU43" s="380" t="e">
        <f t="shared" si="68"/>
        <v>#N/A</v>
      </c>
      <c r="FCV43" s="380" t="e">
        <f t="shared" si="68"/>
        <v>#N/A</v>
      </c>
      <c r="FCW43" s="380" t="e">
        <f t="shared" si="68"/>
        <v>#N/A</v>
      </c>
      <c r="FCX43" s="380" t="e">
        <f t="shared" si="68"/>
        <v>#N/A</v>
      </c>
      <c r="FCY43" s="380" t="e">
        <f t="shared" si="68"/>
        <v>#N/A</v>
      </c>
      <c r="FCZ43" s="380" t="e">
        <f t="shared" si="68"/>
        <v>#N/A</v>
      </c>
      <c r="FDA43" s="380" t="e">
        <f t="shared" si="68"/>
        <v>#N/A</v>
      </c>
      <c r="FDB43" s="380" t="e">
        <f t="shared" si="68"/>
        <v>#N/A</v>
      </c>
      <c r="FDC43" s="380" t="e">
        <f t="shared" si="68"/>
        <v>#N/A</v>
      </c>
      <c r="FDD43" s="380" t="e">
        <f t="shared" si="68"/>
        <v>#N/A</v>
      </c>
      <c r="FDE43" s="380" t="e">
        <f t="shared" si="68"/>
        <v>#N/A</v>
      </c>
      <c r="FDF43" s="380" t="e">
        <f t="shared" si="68"/>
        <v>#N/A</v>
      </c>
      <c r="FDG43" s="380" t="e">
        <f t="shared" si="68"/>
        <v>#N/A</v>
      </c>
      <c r="FDH43" s="380" t="e">
        <f t="shared" ref="FDH43:FFS43" si="69">INDEX(FDH7:FDH40,MATCH($E$43,$E$7:$E$40,0))</f>
        <v>#N/A</v>
      </c>
      <c r="FDI43" s="380" t="e">
        <f t="shared" si="69"/>
        <v>#N/A</v>
      </c>
      <c r="FDJ43" s="380" t="e">
        <f t="shared" si="69"/>
        <v>#N/A</v>
      </c>
      <c r="FDK43" s="380" t="e">
        <f t="shared" si="69"/>
        <v>#N/A</v>
      </c>
      <c r="FDL43" s="380" t="e">
        <f t="shared" si="69"/>
        <v>#N/A</v>
      </c>
      <c r="FDM43" s="380" t="e">
        <f t="shared" si="69"/>
        <v>#N/A</v>
      </c>
      <c r="FDN43" s="380" t="e">
        <f t="shared" si="69"/>
        <v>#N/A</v>
      </c>
      <c r="FDO43" s="380" t="e">
        <f t="shared" si="69"/>
        <v>#N/A</v>
      </c>
      <c r="FDP43" s="380" t="e">
        <f t="shared" si="69"/>
        <v>#N/A</v>
      </c>
      <c r="FDQ43" s="380" t="e">
        <f t="shared" si="69"/>
        <v>#N/A</v>
      </c>
      <c r="FDR43" s="380" t="e">
        <f t="shared" si="69"/>
        <v>#N/A</v>
      </c>
      <c r="FDS43" s="380" t="e">
        <f t="shared" si="69"/>
        <v>#N/A</v>
      </c>
      <c r="FDT43" s="380" t="e">
        <f t="shared" si="69"/>
        <v>#N/A</v>
      </c>
      <c r="FDU43" s="380" t="e">
        <f t="shared" si="69"/>
        <v>#N/A</v>
      </c>
      <c r="FDV43" s="380" t="e">
        <f t="shared" si="69"/>
        <v>#N/A</v>
      </c>
      <c r="FDW43" s="380" t="e">
        <f t="shared" si="69"/>
        <v>#N/A</v>
      </c>
      <c r="FDX43" s="380" t="e">
        <f t="shared" si="69"/>
        <v>#N/A</v>
      </c>
      <c r="FDY43" s="380" t="e">
        <f t="shared" si="69"/>
        <v>#N/A</v>
      </c>
      <c r="FDZ43" s="380" t="e">
        <f t="shared" si="69"/>
        <v>#N/A</v>
      </c>
      <c r="FEA43" s="380" t="e">
        <f t="shared" si="69"/>
        <v>#N/A</v>
      </c>
      <c r="FEB43" s="380" t="e">
        <f t="shared" si="69"/>
        <v>#N/A</v>
      </c>
      <c r="FEC43" s="380" t="e">
        <f t="shared" si="69"/>
        <v>#N/A</v>
      </c>
      <c r="FED43" s="380" t="e">
        <f t="shared" si="69"/>
        <v>#N/A</v>
      </c>
      <c r="FEE43" s="380" t="e">
        <f t="shared" si="69"/>
        <v>#N/A</v>
      </c>
      <c r="FEF43" s="380" t="e">
        <f t="shared" si="69"/>
        <v>#N/A</v>
      </c>
      <c r="FEG43" s="380" t="e">
        <f t="shared" si="69"/>
        <v>#N/A</v>
      </c>
      <c r="FEH43" s="380" t="e">
        <f t="shared" si="69"/>
        <v>#N/A</v>
      </c>
      <c r="FEI43" s="380" t="e">
        <f t="shared" si="69"/>
        <v>#N/A</v>
      </c>
      <c r="FEJ43" s="380" t="e">
        <f t="shared" si="69"/>
        <v>#N/A</v>
      </c>
      <c r="FEK43" s="380" t="e">
        <f t="shared" si="69"/>
        <v>#N/A</v>
      </c>
      <c r="FEL43" s="380" t="e">
        <f t="shared" si="69"/>
        <v>#N/A</v>
      </c>
      <c r="FEM43" s="380" t="e">
        <f t="shared" si="69"/>
        <v>#N/A</v>
      </c>
      <c r="FEN43" s="380" t="e">
        <f t="shared" si="69"/>
        <v>#N/A</v>
      </c>
      <c r="FEO43" s="380" t="e">
        <f t="shared" si="69"/>
        <v>#N/A</v>
      </c>
      <c r="FEP43" s="380" t="e">
        <f t="shared" si="69"/>
        <v>#N/A</v>
      </c>
      <c r="FEQ43" s="380" t="e">
        <f t="shared" si="69"/>
        <v>#N/A</v>
      </c>
      <c r="FER43" s="380" t="e">
        <f t="shared" si="69"/>
        <v>#N/A</v>
      </c>
      <c r="FES43" s="380" t="e">
        <f t="shared" si="69"/>
        <v>#N/A</v>
      </c>
      <c r="FET43" s="380" t="e">
        <f t="shared" si="69"/>
        <v>#N/A</v>
      </c>
      <c r="FEU43" s="380" t="e">
        <f t="shared" si="69"/>
        <v>#N/A</v>
      </c>
      <c r="FEV43" s="380" t="e">
        <f t="shared" si="69"/>
        <v>#N/A</v>
      </c>
      <c r="FEW43" s="380" t="e">
        <f t="shared" si="69"/>
        <v>#N/A</v>
      </c>
      <c r="FEX43" s="380" t="e">
        <f t="shared" si="69"/>
        <v>#N/A</v>
      </c>
      <c r="FEY43" s="380" t="e">
        <f t="shared" si="69"/>
        <v>#N/A</v>
      </c>
      <c r="FEZ43" s="380" t="e">
        <f t="shared" si="69"/>
        <v>#N/A</v>
      </c>
      <c r="FFA43" s="380" t="e">
        <f t="shared" si="69"/>
        <v>#N/A</v>
      </c>
      <c r="FFB43" s="380" t="e">
        <f t="shared" si="69"/>
        <v>#N/A</v>
      </c>
      <c r="FFC43" s="380" t="e">
        <f t="shared" si="69"/>
        <v>#N/A</v>
      </c>
      <c r="FFD43" s="380" t="e">
        <f t="shared" si="69"/>
        <v>#N/A</v>
      </c>
      <c r="FFE43" s="380" t="e">
        <f t="shared" si="69"/>
        <v>#N/A</v>
      </c>
      <c r="FFF43" s="380" t="e">
        <f t="shared" si="69"/>
        <v>#N/A</v>
      </c>
      <c r="FFG43" s="380" t="e">
        <f t="shared" si="69"/>
        <v>#N/A</v>
      </c>
      <c r="FFH43" s="380" t="e">
        <f t="shared" si="69"/>
        <v>#N/A</v>
      </c>
      <c r="FFI43" s="380" t="e">
        <f t="shared" si="69"/>
        <v>#N/A</v>
      </c>
      <c r="FFJ43" s="380" t="e">
        <f t="shared" si="69"/>
        <v>#N/A</v>
      </c>
      <c r="FFK43" s="380" t="e">
        <f t="shared" si="69"/>
        <v>#N/A</v>
      </c>
      <c r="FFL43" s="380" t="e">
        <f t="shared" si="69"/>
        <v>#N/A</v>
      </c>
      <c r="FFM43" s="380" t="e">
        <f t="shared" si="69"/>
        <v>#N/A</v>
      </c>
      <c r="FFN43" s="380" t="e">
        <f t="shared" si="69"/>
        <v>#N/A</v>
      </c>
      <c r="FFO43" s="380" t="e">
        <f t="shared" si="69"/>
        <v>#N/A</v>
      </c>
      <c r="FFP43" s="380" t="e">
        <f t="shared" si="69"/>
        <v>#N/A</v>
      </c>
      <c r="FFQ43" s="380" t="e">
        <f t="shared" si="69"/>
        <v>#N/A</v>
      </c>
      <c r="FFR43" s="380" t="e">
        <f t="shared" si="69"/>
        <v>#N/A</v>
      </c>
      <c r="FFS43" s="380" t="e">
        <f t="shared" si="69"/>
        <v>#N/A</v>
      </c>
      <c r="FFT43" s="380" t="e">
        <f t="shared" ref="FFT43:FIE43" si="70">INDEX(FFT7:FFT40,MATCH($E$43,$E$7:$E$40,0))</f>
        <v>#N/A</v>
      </c>
      <c r="FFU43" s="380" t="e">
        <f t="shared" si="70"/>
        <v>#N/A</v>
      </c>
      <c r="FFV43" s="380" t="e">
        <f t="shared" si="70"/>
        <v>#N/A</v>
      </c>
      <c r="FFW43" s="380" t="e">
        <f t="shared" si="70"/>
        <v>#N/A</v>
      </c>
      <c r="FFX43" s="380" t="e">
        <f t="shared" si="70"/>
        <v>#N/A</v>
      </c>
      <c r="FFY43" s="380" t="e">
        <f t="shared" si="70"/>
        <v>#N/A</v>
      </c>
      <c r="FFZ43" s="380" t="e">
        <f t="shared" si="70"/>
        <v>#N/A</v>
      </c>
      <c r="FGA43" s="380" t="e">
        <f t="shared" si="70"/>
        <v>#N/A</v>
      </c>
      <c r="FGB43" s="380" t="e">
        <f t="shared" si="70"/>
        <v>#N/A</v>
      </c>
      <c r="FGC43" s="380" t="e">
        <f t="shared" si="70"/>
        <v>#N/A</v>
      </c>
      <c r="FGD43" s="380" t="e">
        <f t="shared" si="70"/>
        <v>#N/A</v>
      </c>
      <c r="FGE43" s="380" t="e">
        <f t="shared" si="70"/>
        <v>#N/A</v>
      </c>
      <c r="FGF43" s="380" t="e">
        <f t="shared" si="70"/>
        <v>#N/A</v>
      </c>
      <c r="FGG43" s="380" t="e">
        <f t="shared" si="70"/>
        <v>#N/A</v>
      </c>
      <c r="FGH43" s="380" t="e">
        <f t="shared" si="70"/>
        <v>#N/A</v>
      </c>
      <c r="FGI43" s="380" t="e">
        <f t="shared" si="70"/>
        <v>#N/A</v>
      </c>
      <c r="FGJ43" s="380" t="e">
        <f t="shared" si="70"/>
        <v>#N/A</v>
      </c>
      <c r="FGK43" s="380" t="e">
        <f t="shared" si="70"/>
        <v>#N/A</v>
      </c>
      <c r="FGL43" s="380" t="e">
        <f t="shared" si="70"/>
        <v>#N/A</v>
      </c>
      <c r="FGM43" s="380" t="e">
        <f t="shared" si="70"/>
        <v>#N/A</v>
      </c>
      <c r="FGN43" s="380" t="e">
        <f t="shared" si="70"/>
        <v>#N/A</v>
      </c>
      <c r="FGO43" s="380" t="e">
        <f t="shared" si="70"/>
        <v>#N/A</v>
      </c>
      <c r="FGP43" s="380" t="e">
        <f t="shared" si="70"/>
        <v>#N/A</v>
      </c>
      <c r="FGQ43" s="380" t="e">
        <f t="shared" si="70"/>
        <v>#N/A</v>
      </c>
      <c r="FGR43" s="380" t="e">
        <f t="shared" si="70"/>
        <v>#N/A</v>
      </c>
      <c r="FGS43" s="380" t="e">
        <f t="shared" si="70"/>
        <v>#N/A</v>
      </c>
      <c r="FGT43" s="380" t="e">
        <f t="shared" si="70"/>
        <v>#N/A</v>
      </c>
      <c r="FGU43" s="380" t="e">
        <f t="shared" si="70"/>
        <v>#N/A</v>
      </c>
      <c r="FGV43" s="380" t="e">
        <f t="shared" si="70"/>
        <v>#N/A</v>
      </c>
      <c r="FGW43" s="380" t="e">
        <f t="shared" si="70"/>
        <v>#N/A</v>
      </c>
      <c r="FGX43" s="380" t="e">
        <f t="shared" si="70"/>
        <v>#N/A</v>
      </c>
      <c r="FGY43" s="380" t="e">
        <f t="shared" si="70"/>
        <v>#N/A</v>
      </c>
      <c r="FGZ43" s="380" t="e">
        <f t="shared" si="70"/>
        <v>#N/A</v>
      </c>
      <c r="FHA43" s="380" t="e">
        <f t="shared" si="70"/>
        <v>#N/A</v>
      </c>
      <c r="FHB43" s="380" t="e">
        <f t="shared" si="70"/>
        <v>#N/A</v>
      </c>
      <c r="FHC43" s="380" t="e">
        <f t="shared" si="70"/>
        <v>#N/A</v>
      </c>
      <c r="FHD43" s="380" t="e">
        <f t="shared" si="70"/>
        <v>#N/A</v>
      </c>
      <c r="FHE43" s="380" t="e">
        <f t="shared" si="70"/>
        <v>#N/A</v>
      </c>
      <c r="FHF43" s="380" t="e">
        <f t="shared" si="70"/>
        <v>#N/A</v>
      </c>
      <c r="FHG43" s="380" t="e">
        <f t="shared" si="70"/>
        <v>#N/A</v>
      </c>
      <c r="FHH43" s="380" t="e">
        <f t="shared" si="70"/>
        <v>#N/A</v>
      </c>
      <c r="FHI43" s="380" t="e">
        <f t="shared" si="70"/>
        <v>#N/A</v>
      </c>
      <c r="FHJ43" s="380" t="e">
        <f t="shared" si="70"/>
        <v>#N/A</v>
      </c>
      <c r="FHK43" s="380" t="e">
        <f t="shared" si="70"/>
        <v>#N/A</v>
      </c>
      <c r="FHL43" s="380" t="e">
        <f t="shared" si="70"/>
        <v>#N/A</v>
      </c>
      <c r="FHM43" s="380" t="e">
        <f t="shared" si="70"/>
        <v>#N/A</v>
      </c>
      <c r="FHN43" s="380" t="e">
        <f t="shared" si="70"/>
        <v>#N/A</v>
      </c>
      <c r="FHO43" s="380" t="e">
        <f t="shared" si="70"/>
        <v>#N/A</v>
      </c>
      <c r="FHP43" s="380" t="e">
        <f t="shared" si="70"/>
        <v>#N/A</v>
      </c>
      <c r="FHQ43" s="380" t="e">
        <f t="shared" si="70"/>
        <v>#N/A</v>
      </c>
      <c r="FHR43" s="380" t="e">
        <f t="shared" si="70"/>
        <v>#N/A</v>
      </c>
      <c r="FHS43" s="380" t="e">
        <f t="shared" si="70"/>
        <v>#N/A</v>
      </c>
      <c r="FHT43" s="380" t="e">
        <f t="shared" si="70"/>
        <v>#N/A</v>
      </c>
      <c r="FHU43" s="380" t="e">
        <f t="shared" si="70"/>
        <v>#N/A</v>
      </c>
      <c r="FHV43" s="380" t="e">
        <f t="shared" si="70"/>
        <v>#N/A</v>
      </c>
      <c r="FHW43" s="380" t="e">
        <f t="shared" si="70"/>
        <v>#N/A</v>
      </c>
      <c r="FHX43" s="380" t="e">
        <f t="shared" si="70"/>
        <v>#N/A</v>
      </c>
      <c r="FHY43" s="380" t="e">
        <f t="shared" si="70"/>
        <v>#N/A</v>
      </c>
      <c r="FHZ43" s="380" t="e">
        <f t="shared" si="70"/>
        <v>#N/A</v>
      </c>
      <c r="FIA43" s="380" t="e">
        <f t="shared" si="70"/>
        <v>#N/A</v>
      </c>
      <c r="FIB43" s="380" t="e">
        <f t="shared" si="70"/>
        <v>#N/A</v>
      </c>
      <c r="FIC43" s="380" t="e">
        <f t="shared" si="70"/>
        <v>#N/A</v>
      </c>
      <c r="FID43" s="380" t="e">
        <f t="shared" si="70"/>
        <v>#N/A</v>
      </c>
      <c r="FIE43" s="380" t="e">
        <f t="shared" si="70"/>
        <v>#N/A</v>
      </c>
      <c r="FIF43" s="380" t="e">
        <f t="shared" ref="FIF43:FKQ43" si="71">INDEX(FIF7:FIF40,MATCH($E$43,$E$7:$E$40,0))</f>
        <v>#N/A</v>
      </c>
      <c r="FIG43" s="380" t="e">
        <f t="shared" si="71"/>
        <v>#N/A</v>
      </c>
      <c r="FIH43" s="380" t="e">
        <f t="shared" si="71"/>
        <v>#N/A</v>
      </c>
      <c r="FII43" s="380" t="e">
        <f t="shared" si="71"/>
        <v>#N/A</v>
      </c>
      <c r="FIJ43" s="380" t="e">
        <f t="shared" si="71"/>
        <v>#N/A</v>
      </c>
      <c r="FIK43" s="380" t="e">
        <f t="shared" si="71"/>
        <v>#N/A</v>
      </c>
      <c r="FIL43" s="380" t="e">
        <f t="shared" si="71"/>
        <v>#N/A</v>
      </c>
      <c r="FIM43" s="380" t="e">
        <f t="shared" si="71"/>
        <v>#N/A</v>
      </c>
      <c r="FIN43" s="380" t="e">
        <f t="shared" si="71"/>
        <v>#N/A</v>
      </c>
      <c r="FIO43" s="380" t="e">
        <f t="shared" si="71"/>
        <v>#N/A</v>
      </c>
      <c r="FIP43" s="380" t="e">
        <f t="shared" si="71"/>
        <v>#N/A</v>
      </c>
      <c r="FIQ43" s="380" t="e">
        <f t="shared" si="71"/>
        <v>#N/A</v>
      </c>
      <c r="FIR43" s="380" t="e">
        <f t="shared" si="71"/>
        <v>#N/A</v>
      </c>
      <c r="FIS43" s="380" t="e">
        <f t="shared" si="71"/>
        <v>#N/A</v>
      </c>
      <c r="FIT43" s="380" t="e">
        <f t="shared" si="71"/>
        <v>#N/A</v>
      </c>
      <c r="FIU43" s="380" t="e">
        <f t="shared" si="71"/>
        <v>#N/A</v>
      </c>
      <c r="FIV43" s="380" t="e">
        <f t="shared" si="71"/>
        <v>#N/A</v>
      </c>
      <c r="FIW43" s="380" t="e">
        <f t="shared" si="71"/>
        <v>#N/A</v>
      </c>
      <c r="FIX43" s="380" t="e">
        <f t="shared" si="71"/>
        <v>#N/A</v>
      </c>
      <c r="FIY43" s="380" t="e">
        <f t="shared" si="71"/>
        <v>#N/A</v>
      </c>
      <c r="FIZ43" s="380" t="e">
        <f t="shared" si="71"/>
        <v>#N/A</v>
      </c>
      <c r="FJA43" s="380" t="e">
        <f t="shared" si="71"/>
        <v>#N/A</v>
      </c>
      <c r="FJB43" s="380" t="e">
        <f t="shared" si="71"/>
        <v>#N/A</v>
      </c>
      <c r="FJC43" s="380" t="e">
        <f t="shared" si="71"/>
        <v>#N/A</v>
      </c>
      <c r="FJD43" s="380" t="e">
        <f t="shared" si="71"/>
        <v>#N/A</v>
      </c>
      <c r="FJE43" s="380" t="e">
        <f t="shared" si="71"/>
        <v>#N/A</v>
      </c>
      <c r="FJF43" s="380" t="e">
        <f t="shared" si="71"/>
        <v>#N/A</v>
      </c>
      <c r="FJG43" s="380" t="e">
        <f t="shared" si="71"/>
        <v>#N/A</v>
      </c>
      <c r="FJH43" s="380" t="e">
        <f t="shared" si="71"/>
        <v>#N/A</v>
      </c>
      <c r="FJI43" s="380" t="e">
        <f t="shared" si="71"/>
        <v>#N/A</v>
      </c>
      <c r="FJJ43" s="380" t="e">
        <f t="shared" si="71"/>
        <v>#N/A</v>
      </c>
      <c r="FJK43" s="380" t="e">
        <f t="shared" si="71"/>
        <v>#N/A</v>
      </c>
      <c r="FJL43" s="380" t="e">
        <f t="shared" si="71"/>
        <v>#N/A</v>
      </c>
      <c r="FJM43" s="380" t="e">
        <f t="shared" si="71"/>
        <v>#N/A</v>
      </c>
      <c r="FJN43" s="380" t="e">
        <f t="shared" si="71"/>
        <v>#N/A</v>
      </c>
      <c r="FJO43" s="380" t="e">
        <f t="shared" si="71"/>
        <v>#N/A</v>
      </c>
      <c r="FJP43" s="380" t="e">
        <f t="shared" si="71"/>
        <v>#N/A</v>
      </c>
      <c r="FJQ43" s="380" t="e">
        <f t="shared" si="71"/>
        <v>#N/A</v>
      </c>
      <c r="FJR43" s="380" t="e">
        <f t="shared" si="71"/>
        <v>#N/A</v>
      </c>
      <c r="FJS43" s="380" t="e">
        <f t="shared" si="71"/>
        <v>#N/A</v>
      </c>
      <c r="FJT43" s="380" t="e">
        <f t="shared" si="71"/>
        <v>#N/A</v>
      </c>
      <c r="FJU43" s="380" t="e">
        <f t="shared" si="71"/>
        <v>#N/A</v>
      </c>
      <c r="FJV43" s="380" t="e">
        <f t="shared" si="71"/>
        <v>#N/A</v>
      </c>
      <c r="FJW43" s="380" t="e">
        <f t="shared" si="71"/>
        <v>#N/A</v>
      </c>
      <c r="FJX43" s="380" t="e">
        <f t="shared" si="71"/>
        <v>#N/A</v>
      </c>
      <c r="FJY43" s="380" t="e">
        <f t="shared" si="71"/>
        <v>#N/A</v>
      </c>
      <c r="FJZ43" s="380" t="e">
        <f t="shared" si="71"/>
        <v>#N/A</v>
      </c>
      <c r="FKA43" s="380" t="e">
        <f t="shared" si="71"/>
        <v>#N/A</v>
      </c>
      <c r="FKB43" s="380" t="e">
        <f t="shared" si="71"/>
        <v>#N/A</v>
      </c>
      <c r="FKC43" s="380" t="e">
        <f t="shared" si="71"/>
        <v>#N/A</v>
      </c>
      <c r="FKD43" s="380" t="e">
        <f t="shared" si="71"/>
        <v>#N/A</v>
      </c>
      <c r="FKE43" s="380" t="e">
        <f t="shared" si="71"/>
        <v>#N/A</v>
      </c>
      <c r="FKF43" s="380" t="e">
        <f t="shared" si="71"/>
        <v>#N/A</v>
      </c>
      <c r="FKG43" s="380" t="e">
        <f t="shared" si="71"/>
        <v>#N/A</v>
      </c>
      <c r="FKH43" s="380" t="e">
        <f t="shared" si="71"/>
        <v>#N/A</v>
      </c>
      <c r="FKI43" s="380" t="e">
        <f t="shared" si="71"/>
        <v>#N/A</v>
      </c>
      <c r="FKJ43" s="380" t="e">
        <f t="shared" si="71"/>
        <v>#N/A</v>
      </c>
      <c r="FKK43" s="380" t="e">
        <f t="shared" si="71"/>
        <v>#N/A</v>
      </c>
      <c r="FKL43" s="380" t="e">
        <f t="shared" si="71"/>
        <v>#N/A</v>
      </c>
      <c r="FKM43" s="380" t="e">
        <f t="shared" si="71"/>
        <v>#N/A</v>
      </c>
      <c r="FKN43" s="380" t="e">
        <f t="shared" si="71"/>
        <v>#N/A</v>
      </c>
      <c r="FKO43" s="380" t="e">
        <f t="shared" si="71"/>
        <v>#N/A</v>
      </c>
      <c r="FKP43" s="380" t="e">
        <f t="shared" si="71"/>
        <v>#N/A</v>
      </c>
      <c r="FKQ43" s="380" t="e">
        <f t="shared" si="71"/>
        <v>#N/A</v>
      </c>
      <c r="FKR43" s="380" t="e">
        <f t="shared" ref="FKR43:FNC43" si="72">INDEX(FKR7:FKR40,MATCH($E$43,$E$7:$E$40,0))</f>
        <v>#N/A</v>
      </c>
      <c r="FKS43" s="380" t="e">
        <f t="shared" si="72"/>
        <v>#N/A</v>
      </c>
      <c r="FKT43" s="380" t="e">
        <f t="shared" si="72"/>
        <v>#N/A</v>
      </c>
      <c r="FKU43" s="380" t="e">
        <f t="shared" si="72"/>
        <v>#N/A</v>
      </c>
      <c r="FKV43" s="380" t="e">
        <f t="shared" si="72"/>
        <v>#N/A</v>
      </c>
      <c r="FKW43" s="380" t="e">
        <f t="shared" si="72"/>
        <v>#N/A</v>
      </c>
      <c r="FKX43" s="380" t="e">
        <f t="shared" si="72"/>
        <v>#N/A</v>
      </c>
      <c r="FKY43" s="380" t="e">
        <f t="shared" si="72"/>
        <v>#N/A</v>
      </c>
      <c r="FKZ43" s="380" t="e">
        <f t="shared" si="72"/>
        <v>#N/A</v>
      </c>
      <c r="FLA43" s="380" t="e">
        <f t="shared" si="72"/>
        <v>#N/A</v>
      </c>
      <c r="FLB43" s="380" t="e">
        <f t="shared" si="72"/>
        <v>#N/A</v>
      </c>
      <c r="FLC43" s="380" t="e">
        <f t="shared" si="72"/>
        <v>#N/A</v>
      </c>
      <c r="FLD43" s="380" t="e">
        <f t="shared" si="72"/>
        <v>#N/A</v>
      </c>
      <c r="FLE43" s="380" t="e">
        <f t="shared" si="72"/>
        <v>#N/A</v>
      </c>
      <c r="FLF43" s="380" t="e">
        <f t="shared" si="72"/>
        <v>#N/A</v>
      </c>
      <c r="FLG43" s="380" t="e">
        <f t="shared" si="72"/>
        <v>#N/A</v>
      </c>
      <c r="FLH43" s="380" t="e">
        <f t="shared" si="72"/>
        <v>#N/A</v>
      </c>
      <c r="FLI43" s="380" t="e">
        <f t="shared" si="72"/>
        <v>#N/A</v>
      </c>
      <c r="FLJ43" s="380" t="e">
        <f t="shared" si="72"/>
        <v>#N/A</v>
      </c>
      <c r="FLK43" s="380" t="e">
        <f t="shared" si="72"/>
        <v>#N/A</v>
      </c>
      <c r="FLL43" s="380" t="e">
        <f t="shared" si="72"/>
        <v>#N/A</v>
      </c>
      <c r="FLM43" s="380" t="e">
        <f t="shared" si="72"/>
        <v>#N/A</v>
      </c>
      <c r="FLN43" s="380" t="e">
        <f t="shared" si="72"/>
        <v>#N/A</v>
      </c>
      <c r="FLO43" s="380" t="e">
        <f t="shared" si="72"/>
        <v>#N/A</v>
      </c>
      <c r="FLP43" s="380" t="e">
        <f t="shared" si="72"/>
        <v>#N/A</v>
      </c>
      <c r="FLQ43" s="380" t="e">
        <f t="shared" si="72"/>
        <v>#N/A</v>
      </c>
      <c r="FLR43" s="380" t="e">
        <f t="shared" si="72"/>
        <v>#N/A</v>
      </c>
      <c r="FLS43" s="380" t="e">
        <f t="shared" si="72"/>
        <v>#N/A</v>
      </c>
      <c r="FLT43" s="380" t="e">
        <f t="shared" si="72"/>
        <v>#N/A</v>
      </c>
      <c r="FLU43" s="380" t="e">
        <f t="shared" si="72"/>
        <v>#N/A</v>
      </c>
      <c r="FLV43" s="380" t="e">
        <f t="shared" si="72"/>
        <v>#N/A</v>
      </c>
      <c r="FLW43" s="380" t="e">
        <f t="shared" si="72"/>
        <v>#N/A</v>
      </c>
      <c r="FLX43" s="380" t="e">
        <f t="shared" si="72"/>
        <v>#N/A</v>
      </c>
      <c r="FLY43" s="380" t="e">
        <f t="shared" si="72"/>
        <v>#N/A</v>
      </c>
      <c r="FLZ43" s="380" t="e">
        <f t="shared" si="72"/>
        <v>#N/A</v>
      </c>
      <c r="FMA43" s="380" t="e">
        <f t="shared" si="72"/>
        <v>#N/A</v>
      </c>
      <c r="FMB43" s="380" t="e">
        <f t="shared" si="72"/>
        <v>#N/A</v>
      </c>
      <c r="FMC43" s="380" t="e">
        <f t="shared" si="72"/>
        <v>#N/A</v>
      </c>
      <c r="FMD43" s="380" t="e">
        <f t="shared" si="72"/>
        <v>#N/A</v>
      </c>
      <c r="FME43" s="380" t="e">
        <f t="shared" si="72"/>
        <v>#N/A</v>
      </c>
      <c r="FMF43" s="380" t="e">
        <f t="shared" si="72"/>
        <v>#N/A</v>
      </c>
      <c r="FMG43" s="380" t="e">
        <f t="shared" si="72"/>
        <v>#N/A</v>
      </c>
      <c r="FMH43" s="380" t="e">
        <f t="shared" si="72"/>
        <v>#N/A</v>
      </c>
      <c r="FMI43" s="380" t="e">
        <f t="shared" si="72"/>
        <v>#N/A</v>
      </c>
      <c r="FMJ43" s="380" t="e">
        <f t="shared" si="72"/>
        <v>#N/A</v>
      </c>
      <c r="FMK43" s="380" t="e">
        <f t="shared" si="72"/>
        <v>#N/A</v>
      </c>
      <c r="FML43" s="380" t="e">
        <f t="shared" si="72"/>
        <v>#N/A</v>
      </c>
      <c r="FMM43" s="380" t="e">
        <f t="shared" si="72"/>
        <v>#N/A</v>
      </c>
      <c r="FMN43" s="380" t="e">
        <f t="shared" si="72"/>
        <v>#N/A</v>
      </c>
      <c r="FMO43" s="380" t="e">
        <f t="shared" si="72"/>
        <v>#N/A</v>
      </c>
      <c r="FMP43" s="380" t="e">
        <f t="shared" si="72"/>
        <v>#N/A</v>
      </c>
      <c r="FMQ43" s="380" t="e">
        <f t="shared" si="72"/>
        <v>#N/A</v>
      </c>
      <c r="FMR43" s="380" t="e">
        <f t="shared" si="72"/>
        <v>#N/A</v>
      </c>
      <c r="FMS43" s="380" t="e">
        <f t="shared" si="72"/>
        <v>#N/A</v>
      </c>
      <c r="FMT43" s="380" t="e">
        <f t="shared" si="72"/>
        <v>#N/A</v>
      </c>
      <c r="FMU43" s="380" t="e">
        <f t="shared" si="72"/>
        <v>#N/A</v>
      </c>
      <c r="FMV43" s="380" t="e">
        <f t="shared" si="72"/>
        <v>#N/A</v>
      </c>
      <c r="FMW43" s="380" t="e">
        <f t="shared" si="72"/>
        <v>#N/A</v>
      </c>
      <c r="FMX43" s="380" t="e">
        <f t="shared" si="72"/>
        <v>#N/A</v>
      </c>
      <c r="FMY43" s="380" t="e">
        <f t="shared" si="72"/>
        <v>#N/A</v>
      </c>
      <c r="FMZ43" s="380" t="e">
        <f t="shared" si="72"/>
        <v>#N/A</v>
      </c>
      <c r="FNA43" s="380" t="e">
        <f t="shared" si="72"/>
        <v>#N/A</v>
      </c>
      <c r="FNB43" s="380" t="e">
        <f t="shared" si="72"/>
        <v>#N/A</v>
      </c>
      <c r="FNC43" s="380" t="e">
        <f t="shared" si="72"/>
        <v>#N/A</v>
      </c>
      <c r="FND43" s="380" t="e">
        <f t="shared" ref="FND43:FPO43" si="73">INDEX(FND7:FND40,MATCH($E$43,$E$7:$E$40,0))</f>
        <v>#N/A</v>
      </c>
      <c r="FNE43" s="380" t="e">
        <f t="shared" si="73"/>
        <v>#N/A</v>
      </c>
      <c r="FNF43" s="380" t="e">
        <f t="shared" si="73"/>
        <v>#N/A</v>
      </c>
      <c r="FNG43" s="380" t="e">
        <f t="shared" si="73"/>
        <v>#N/A</v>
      </c>
      <c r="FNH43" s="380" t="e">
        <f t="shared" si="73"/>
        <v>#N/A</v>
      </c>
      <c r="FNI43" s="380" t="e">
        <f t="shared" si="73"/>
        <v>#N/A</v>
      </c>
      <c r="FNJ43" s="380" t="e">
        <f t="shared" si="73"/>
        <v>#N/A</v>
      </c>
      <c r="FNK43" s="380" t="e">
        <f t="shared" si="73"/>
        <v>#N/A</v>
      </c>
      <c r="FNL43" s="380" t="e">
        <f t="shared" si="73"/>
        <v>#N/A</v>
      </c>
      <c r="FNM43" s="380" t="e">
        <f t="shared" si="73"/>
        <v>#N/A</v>
      </c>
      <c r="FNN43" s="380" t="e">
        <f t="shared" si="73"/>
        <v>#N/A</v>
      </c>
      <c r="FNO43" s="380" t="e">
        <f t="shared" si="73"/>
        <v>#N/A</v>
      </c>
      <c r="FNP43" s="380" t="e">
        <f t="shared" si="73"/>
        <v>#N/A</v>
      </c>
      <c r="FNQ43" s="380" t="e">
        <f t="shared" si="73"/>
        <v>#N/A</v>
      </c>
      <c r="FNR43" s="380" t="e">
        <f t="shared" si="73"/>
        <v>#N/A</v>
      </c>
      <c r="FNS43" s="380" t="e">
        <f t="shared" si="73"/>
        <v>#N/A</v>
      </c>
      <c r="FNT43" s="380" t="e">
        <f t="shared" si="73"/>
        <v>#N/A</v>
      </c>
      <c r="FNU43" s="380" t="e">
        <f t="shared" si="73"/>
        <v>#N/A</v>
      </c>
      <c r="FNV43" s="380" t="e">
        <f t="shared" si="73"/>
        <v>#N/A</v>
      </c>
      <c r="FNW43" s="380" t="e">
        <f t="shared" si="73"/>
        <v>#N/A</v>
      </c>
      <c r="FNX43" s="380" t="e">
        <f t="shared" si="73"/>
        <v>#N/A</v>
      </c>
      <c r="FNY43" s="380" t="e">
        <f t="shared" si="73"/>
        <v>#N/A</v>
      </c>
      <c r="FNZ43" s="380" t="e">
        <f t="shared" si="73"/>
        <v>#N/A</v>
      </c>
      <c r="FOA43" s="380" t="e">
        <f t="shared" si="73"/>
        <v>#N/A</v>
      </c>
      <c r="FOB43" s="380" t="e">
        <f t="shared" si="73"/>
        <v>#N/A</v>
      </c>
      <c r="FOC43" s="380" t="e">
        <f t="shared" si="73"/>
        <v>#N/A</v>
      </c>
      <c r="FOD43" s="380" t="e">
        <f t="shared" si="73"/>
        <v>#N/A</v>
      </c>
      <c r="FOE43" s="380" t="e">
        <f t="shared" si="73"/>
        <v>#N/A</v>
      </c>
      <c r="FOF43" s="380" t="e">
        <f t="shared" si="73"/>
        <v>#N/A</v>
      </c>
      <c r="FOG43" s="380" t="e">
        <f t="shared" si="73"/>
        <v>#N/A</v>
      </c>
      <c r="FOH43" s="380" t="e">
        <f t="shared" si="73"/>
        <v>#N/A</v>
      </c>
      <c r="FOI43" s="380" t="e">
        <f t="shared" si="73"/>
        <v>#N/A</v>
      </c>
      <c r="FOJ43" s="380" t="e">
        <f t="shared" si="73"/>
        <v>#N/A</v>
      </c>
      <c r="FOK43" s="380" t="e">
        <f t="shared" si="73"/>
        <v>#N/A</v>
      </c>
      <c r="FOL43" s="380" t="e">
        <f t="shared" si="73"/>
        <v>#N/A</v>
      </c>
      <c r="FOM43" s="380" t="e">
        <f t="shared" si="73"/>
        <v>#N/A</v>
      </c>
      <c r="FON43" s="380" t="e">
        <f t="shared" si="73"/>
        <v>#N/A</v>
      </c>
      <c r="FOO43" s="380" t="e">
        <f t="shared" si="73"/>
        <v>#N/A</v>
      </c>
      <c r="FOP43" s="380" t="e">
        <f t="shared" si="73"/>
        <v>#N/A</v>
      </c>
      <c r="FOQ43" s="380" t="e">
        <f t="shared" si="73"/>
        <v>#N/A</v>
      </c>
      <c r="FOR43" s="380" t="e">
        <f t="shared" si="73"/>
        <v>#N/A</v>
      </c>
      <c r="FOS43" s="380" t="e">
        <f t="shared" si="73"/>
        <v>#N/A</v>
      </c>
      <c r="FOT43" s="380" t="e">
        <f t="shared" si="73"/>
        <v>#N/A</v>
      </c>
      <c r="FOU43" s="380" t="e">
        <f t="shared" si="73"/>
        <v>#N/A</v>
      </c>
      <c r="FOV43" s="380" t="e">
        <f t="shared" si="73"/>
        <v>#N/A</v>
      </c>
      <c r="FOW43" s="380" t="e">
        <f t="shared" si="73"/>
        <v>#N/A</v>
      </c>
      <c r="FOX43" s="380" t="e">
        <f t="shared" si="73"/>
        <v>#N/A</v>
      </c>
      <c r="FOY43" s="380" t="e">
        <f t="shared" si="73"/>
        <v>#N/A</v>
      </c>
      <c r="FOZ43" s="380" t="e">
        <f t="shared" si="73"/>
        <v>#N/A</v>
      </c>
      <c r="FPA43" s="380" t="e">
        <f t="shared" si="73"/>
        <v>#N/A</v>
      </c>
      <c r="FPB43" s="380" t="e">
        <f t="shared" si="73"/>
        <v>#N/A</v>
      </c>
      <c r="FPC43" s="380" t="e">
        <f t="shared" si="73"/>
        <v>#N/A</v>
      </c>
      <c r="FPD43" s="380" t="e">
        <f t="shared" si="73"/>
        <v>#N/A</v>
      </c>
      <c r="FPE43" s="380" t="e">
        <f t="shared" si="73"/>
        <v>#N/A</v>
      </c>
      <c r="FPF43" s="380" t="e">
        <f t="shared" si="73"/>
        <v>#N/A</v>
      </c>
      <c r="FPG43" s="380" t="e">
        <f t="shared" si="73"/>
        <v>#N/A</v>
      </c>
      <c r="FPH43" s="380" t="e">
        <f t="shared" si="73"/>
        <v>#N/A</v>
      </c>
      <c r="FPI43" s="380" t="e">
        <f t="shared" si="73"/>
        <v>#N/A</v>
      </c>
      <c r="FPJ43" s="380" t="e">
        <f t="shared" si="73"/>
        <v>#N/A</v>
      </c>
      <c r="FPK43" s="380" t="e">
        <f t="shared" si="73"/>
        <v>#N/A</v>
      </c>
      <c r="FPL43" s="380" t="e">
        <f t="shared" si="73"/>
        <v>#N/A</v>
      </c>
      <c r="FPM43" s="380" t="e">
        <f t="shared" si="73"/>
        <v>#N/A</v>
      </c>
      <c r="FPN43" s="380" t="e">
        <f t="shared" si="73"/>
        <v>#N/A</v>
      </c>
      <c r="FPO43" s="380" t="e">
        <f t="shared" si="73"/>
        <v>#N/A</v>
      </c>
      <c r="FPP43" s="380" t="e">
        <f t="shared" ref="FPP43:FSA43" si="74">INDEX(FPP7:FPP40,MATCH($E$43,$E$7:$E$40,0))</f>
        <v>#N/A</v>
      </c>
      <c r="FPQ43" s="380" t="e">
        <f t="shared" si="74"/>
        <v>#N/A</v>
      </c>
      <c r="FPR43" s="380" t="e">
        <f t="shared" si="74"/>
        <v>#N/A</v>
      </c>
      <c r="FPS43" s="380" t="e">
        <f t="shared" si="74"/>
        <v>#N/A</v>
      </c>
      <c r="FPT43" s="380" t="e">
        <f t="shared" si="74"/>
        <v>#N/A</v>
      </c>
      <c r="FPU43" s="380" t="e">
        <f t="shared" si="74"/>
        <v>#N/A</v>
      </c>
      <c r="FPV43" s="380" t="e">
        <f t="shared" si="74"/>
        <v>#N/A</v>
      </c>
      <c r="FPW43" s="380" t="e">
        <f t="shared" si="74"/>
        <v>#N/A</v>
      </c>
      <c r="FPX43" s="380" t="e">
        <f t="shared" si="74"/>
        <v>#N/A</v>
      </c>
      <c r="FPY43" s="380" t="e">
        <f t="shared" si="74"/>
        <v>#N/A</v>
      </c>
      <c r="FPZ43" s="380" t="e">
        <f t="shared" si="74"/>
        <v>#N/A</v>
      </c>
      <c r="FQA43" s="380" t="e">
        <f t="shared" si="74"/>
        <v>#N/A</v>
      </c>
      <c r="FQB43" s="380" t="e">
        <f t="shared" si="74"/>
        <v>#N/A</v>
      </c>
      <c r="FQC43" s="380" t="e">
        <f t="shared" si="74"/>
        <v>#N/A</v>
      </c>
      <c r="FQD43" s="380" t="e">
        <f t="shared" si="74"/>
        <v>#N/A</v>
      </c>
      <c r="FQE43" s="380" t="e">
        <f t="shared" si="74"/>
        <v>#N/A</v>
      </c>
      <c r="FQF43" s="380" t="e">
        <f t="shared" si="74"/>
        <v>#N/A</v>
      </c>
      <c r="FQG43" s="380" t="e">
        <f t="shared" si="74"/>
        <v>#N/A</v>
      </c>
      <c r="FQH43" s="380" t="e">
        <f t="shared" si="74"/>
        <v>#N/A</v>
      </c>
      <c r="FQI43" s="380" t="e">
        <f t="shared" si="74"/>
        <v>#N/A</v>
      </c>
      <c r="FQJ43" s="380" t="e">
        <f t="shared" si="74"/>
        <v>#N/A</v>
      </c>
      <c r="FQK43" s="380" t="e">
        <f t="shared" si="74"/>
        <v>#N/A</v>
      </c>
      <c r="FQL43" s="380" t="e">
        <f t="shared" si="74"/>
        <v>#N/A</v>
      </c>
      <c r="FQM43" s="380" t="e">
        <f t="shared" si="74"/>
        <v>#N/A</v>
      </c>
      <c r="FQN43" s="380" t="e">
        <f t="shared" si="74"/>
        <v>#N/A</v>
      </c>
      <c r="FQO43" s="380" t="e">
        <f t="shared" si="74"/>
        <v>#N/A</v>
      </c>
      <c r="FQP43" s="380" t="e">
        <f t="shared" si="74"/>
        <v>#N/A</v>
      </c>
      <c r="FQQ43" s="380" t="e">
        <f t="shared" si="74"/>
        <v>#N/A</v>
      </c>
      <c r="FQR43" s="380" t="e">
        <f t="shared" si="74"/>
        <v>#N/A</v>
      </c>
      <c r="FQS43" s="380" t="e">
        <f t="shared" si="74"/>
        <v>#N/A</v>
      </c>
      <c r="FQT43" s="380" t="e">
        <f t="shared" si="74"/>
        <v>#N/A</v>
      </c>
      <c r="FQU43" s="380" t="e">
        <f t="shared" si="74"/>
        <v>#N/A</v>
      </c>
      <c r="FQV43" s="380" t="e">
        <f t="shared" si="74"/>
        <v>#N/A</v>
      </c>
      <c r="FQW43" s="380" t="e">
        <f t="shared" si="74"/>
        <v>#N/A</v>
      </c>
      <c r="FQX43" s="380" t="e">
        <f t="shared" si="74"/>
        <v>#N/A</v>
      </c>
      <c r="FQY43" s="380" t="e">
        <f t="shared" si="74"/>
        <v>#N/A</v>
      </c>
      <c r="FQZ43" s="380" t="e">
        <f t="shared" si="74"/>
        <v>#N/A</v>
      </c>
      <c r="FRA43" s="380" t="e">
        <f t="shared" si="74"/>
        <v>#N/A</v>
      </c>
      <c r="FRB43" s="380" t="e">
        <f t="shared" si="74"/>
        <v>#N/A</v>
      </c>
      <c r="FRC43" s="380" t="e">
        <f t="shared" si="74"/>
        <v>#N/A</v>
      </c>
      <c r="FRD43" s="380" t="e">
        <f t="shared" si="74"/>
        <v>#N/A</v>
      </c>
      <c r="FRE43" s="380" t="e">
        <f t="shared" si="74"/>
        <v>#N/A</v>
      </c>
      <c r="FRF43" s="380" t="e">
        <f t="shared" si="74"/>
        <v>#N/A</v>
      </c>
      <c r="FRG43" s="380" t="e">
        <f t="shared" si="74"/>
        <v>#N/A</v>
      </c>
      <c r="FRH43" s="380" t="e">
        <f t="shared" si="74"/>
        <v>#N/A</v>
      </c>
      <c r="FRI43" s="380" t="e">
        <f t="shared" si="74"/>
        <v>#N/A</v>
      </c>
      <c r="FRJ43" s="380" t="e">
        <f t="shared" si="74"/>
        <v>#N/A</v>
      </c>
      <c r="FRK43" s="380" t="e">
        <f t="shared" si="74"/>
        <v>#N/A</v>
      </c>
      <c r="FRL43" s="380" t="e">
        <f t="shared" si="74"/>
        <v>#N/A</v>
      </c>
      <c r="FRM43" s="380" t="e">
        <f t="shared" si="74"/>
        <v>#N/A</v>
      </c>
      <c r="FRN43" s="380" t="e">
        <f t="shared" si="74"/>
        <v>#N/A</v>
      </c>
      <c r="FRO43" s="380" t="e">
        <f t="shared" si="74"/>
        <v>#N/A</v>
      </c>
      <c r="FRP43" s="380" t="e">
        <f t="shared" si="74"/>
        <v>#N/A</v>
      </c>
      <c r="FRQ43" s="380" t="e">
        <f t="shared" si="74"/>
        <v>#N/A</v>
      </c>
      <c r="FRR43" s="380" t="e">
        <f t="shared" si="74"/>
        <v>#N/A</v>
      </c>
      <c r="FRS43" s="380" t="e">
        <f t="shared" si="74"/>
        <v>#N/A</v>
      </c>
      <c r="FRT43" s="380" t="e">
        <f t="shared" si="74"/>
        <v>#N/A</v>
      </c>
      <c r="FRU43" s="380" t="e">
        <f t="shared" si="74"/>
        <v>#N/A</v>
      </c>
      <c r="FRV43" s="380" t="e">
        <f t="shared" si="74"/>
        <v>#N/A</v>
      </c>
      <c r="FRW43" s="380" t="e">
        <f t="shared" si="74"/>
        <v>#N/A</v>
      </c>
      <c r="FRX43" s="380" t="e">
        <f t="shared" si="74"/>
        <v>#N/A</v>
      </c>
      <c r="FRY43" s="380" t="e">
        <f t="shared" si="74"/>
        <v>#N/A</v>
      </c>
      <c r="FRZ43" s="380" t="e">
        <f t="shared" si="74"/>
        <v>#N/A</v>
      </c>
      <c r="FSA43" s="380" t="e">
        <f t="shared" si="74"/>
        <v>#N/A</v>
      </c>
      <c r="FSB43" s="380" t="e">
        <f t="shared" ref="FSB43:FUM43" si="75">INDEX(FSB7:FSB40,MATCH($E$43,$E$7:$E$40,0))</f>
        <v>#N/A</v>
      </c>
      <c r="FSC43" s="380" t="e">
        <f t="shared" si="75"/>
        <v>#N/A</v>
      </c>
      <c r="FSD43" s="380" t="e">
        <f t="shared" si="75"/>
        <v>#N/A</v>
      </c>
      <c r="FSE43" s="380" t="e">
        <f t="shared" si="75"/>
        <v>#N/A</v>
      </c>
      <c r="FSF43" s="380" t="e">
        <f t="shared" si="75"/>
        <v>#N/A</v>
      </c>
      <c r="FSG43" s="380" t="e">
        <f t="shared" si="75"/>
        <v>#N/A</v>
      </c>
      <c r="FSH43" s="380" t="e">
        <f t="shared" si="75"/>
        <v>#N/A</v>
      </c>
      <c r="FSI43" s="380" t="e">
        <f t="shared" si="75"/>
        <v>#N/A</v>
      </c>
      <c r="FSJ43" s="380" t="e">
        <f t="shared" si="75"/>
        <v>#N/A</v>
      </c>
      <c r="FSK43" s="380" t="e">
        <f t="shared" si="75"/>
        <v>#N/A</v>
      </c>
      <c r="FSL43" s="380" t="e">
        <f t="shared" si="75"/>
        <v>#N/A</v>
      </c>
      <c r="FSM43" s="380" t="e">
        <f t="shared" si="75"/>
        <v>#N/A</v>
      </c>
      <c r="FSN43" s="380" t="e">
        <f t="shared" si="75"/>
        <v>#N/A</v>
      </c>
      <c r="FSO43" s="380" t="e">
        <f t="shared" si="75"/>
        <v>#N/A</v>
      </c>
      <c r="FSP43" s="380" t="e">
        <f t="shared" si="75"/>
        <v>#N/A</v>
      </c>
      <c r="FSQ43" s="380" t="e">
        <f t="shared" si="75"/>
        <v>#N/A</v>
      </c>
      <c r="FSR43" s="380" t="e">
        <f t="shared" si="75"/>
        <v>#N/A</v>
      </c>
      <c r="FSS43" s="380" t="e">
        <f t="shared" si="75"/>
        <v>#N/A</v>
      </c>
      <c r="FST43" s="380" t="e">
        <f t="shared" si="75"/>
        <v>#N/A</v>
      </c>
      <c r="FSU43" s="380" t="e">
        <f t="shared" si="75"/>
        <v>#N/A</v>
      </c>
      <c r="FSV43" s="380" t="e">
        <f t="shared" si="75"/>
        <v>#N/A</v>
      </c>
      <c r="FSW43" s="380" t="e">
        <f t="shared" si="75"/>
        <v>#N/A</v>
      </c>
      <c r="FSX43" s="380" t="e">
        <f t="shared" si="75"/>
        <v>#N/A</v>
      </c>
      <c r="FSY43" s="380" t="e">
        <f t="shared" si="75"/>
        <v>#N/A</v>
      </c>
      <c r="FSZ43" s="380" t="e">
        <f t="shared" si="75"/>
        <v>#N/A</v>
      </c>
      <c r="FTA43" s="380" t="e">
        <f t="shared" si="75"/>
        <v>#N/A</v>
      </c>
      <c r="FTB43" s="380" t="e">
        <f t="shared" si="75"/>
        <v>#N/A</v>
      </c>
      <c r="FTC43" s="380" t="e">
        <f t="shared" si="75"/>
        <v>#N/A</v>
      </c>
      <c r="FTD43" s="380" t="e">
        <f t="shared" si="75"/>
        <v>#N/A</v>
      </c>
      <c r="FTE43" s="380" t="e">
        <f t="shared" si="75"/>
        <v>#N/A</v>
      </c>
      <c r="FTF43" s="380" t="e">
        <f t="shared" si="75"/>
        <v>#N/A</v>
      </c>
      <c r="FTG43" s="380" t="e">
        <f t="shared" si="75"/>
        <v>#N/A</v>
      </c>
      <c r="FTH43" s="380" t="e">
        <f t="shared" si="75"/>
        <v>#N/A</v>
      </c>
      <c r="FTI43" s="380" t="e">
        <f t="shared" si="75"/>
        <v>#N/A</v>
      </c>
      <c r="FTJ43" s="380" t="e">
        <f t="shared" si="75"/>
        <v>#N/A</v>
      </c>
      <c r="FTK43" s="380" t="e">
        <f t="shared" si="75"/>
        <v>#N/A</v>
      </c>
      <c r="FTL43" s="380" t="e">
        <f t="shared" si="75"/>
        <v>#N/A</v>
      </c>
      <c r="FTM43" s="380" t="e">
        <f t="shared" si="75"/>
        <v>#N/A</v>
      </c>
      <c r="FTN43" s="380" t="e">
        <f t="shared" si="75"/>
        <v>#N/A</v>
      </c>
      <c r="FTO43" s="380" t="e">
        <f t="shared" si="75"/>
        <v>#N/A</v>
      </c>
      <c r="FTP43" s="380" t="e">
        <f t="shared" si="75"/>
        <v>#N/A</v>
      </c>
      <c r="FTQ43" s="380" t="e">
        <f t="shared" si="75"/>
        <v>#N/A</v>
      </c>
      <c r="FTR43" s="380" t="e">
        <f t="shared" si="75"/>
        <v>#N/A</v>
      </c>
      <c r="FTS43" s="380" t="e">
        <f t="shared" si="75"/>
        <v>#N/A</v>
      </c>
      <c r="FTT43" s="380" t="e">
        <f t="shared" si="75"/>
        <v>#N/A</v>
      </c>
      <c r="FTU43" s="380" t="e">
        <f t="shared" si="75"/>
        <v>#N/A</v>
      </c>
      <c r="FTV43" s="380" t="e">
        <f t="shared" si="75"/>
        <v>#N/A</v>
      </c>
      <c r="FTW43" s="380" t="e">
        <f t="shared" si="75"/>
        <v>#N/A</v>
      </c>
      <c r="FTX43" s="380" t="e">
        <f t="shared" si="75"/>
        <v>#N/A</v>
      </c>
      <c r="FTY43" s="380" t="e">
        <f t="shared" si="75"/>
        <v>#N/A</v>
      </c>
      <c r="FTZ43" s="380" t="e">
        <f t="shared" si="75"/>
        <v>#N/A</v>
      </c>
      <c r="FUA43" s="380" t="e">
        <f t="shared" si="75"/>
        <v>#N/A</v>
      </c>
      <c r="FUB43" s="380" t="e">
        <f t="shared" si="75"/>
        <v>#N/A</v>
      </c>
      <c r="FUC43" s="380" t="e">
        <f t="shared" si="75"/>
        <v>#N/A</v>
      </c>
      <c r="FUD43" s="380" t="e">
        <f t="shared" si="75"/>
        <v>#N/A</v>
      </c>
      <c r="FUE43" s="380" t="e">
        <f t="shared" si="75"/>
        <v>#N/A</v>
      </c>
      <c r="FUF43" s="380" t="e">
        <f t="shared" si="75"/>
        <v>#N/A</v>
      </c>
      <c r="FUG43" s="380" t="e">
        <f t="shared" si="75"/>
        <v>#N/A</v>
      </c>
      <c r="FUH43" s="380" t="e">
        <f t="shared" si="75"/>
        <v>#N/A</v>
      </c>
      <c r="FUI43" s="380" t="e">
        <f t="shared" si="75"/>
        <v>#N/A</v>
      </c>
      <c r="FUJ43" s="380" t="e">
        <f t="shared" si="75"/>
        <v>#N/A</v>
      </c>
      <c r="FUK43" s="380" t="e">
        <f t="shared" si="75"/>
        <v>#N/A</v>
      </c>
      <c r="FUL43" s="380" t="e">
        <f t="shared" si="75"/>
        <v>#N/A</v>
      </c>
      <c r="FUM43" s="380" t="e">
        <f t="shared" si="75"/>
        <v>#N/A</v>
      </c>
      <c r="FUN43" s="380" t="e">
        <f t="shared" ref="FUN43:FWY43" si="76">INDEX(FUN7:FUN40,MATCH($E$43,$E$7:$E$40,0))</f>
        <v>#N/A</v>
      </c>
      <c r="FUO43" s="380" t="e">
        <f t="shared" si="76"/>
        <v>#N/A</v>
      </c>
      <c r="FUP43" s="380" t="e">
        <f t="shared" si="76"/>
        <v>#N/A</v>
      </c>
      <c r="FUQ43" s="380" t="e">
        <f t="shared" si="76"/>
        <v>#N/A</v>
      </c>
      <c r="FUR43" s="380" t="e">
        <f t="shared" si="76"/>
        <v>#N/A</v>
      </c>
      <c r="FUS43" s="380" t="e">
        <f t="shared" si="76"/>
        <v>#N/A</v>
      </c>
      <c r="FUT43" s="380" t="e">
        <f t="shared" si="76"/>
        <v>#N/A</v>
      </c>
      <c r="FUU43" s="380" t="e">
        <f t="shared" si="76"/>
        <v>#N/A</v>
      </c>
      <c r="FUV43" s="380" t="e">
        <f t="shared" si="76"/>
        <v>#N/A</v>
      </c>
      <c r="FUW43" s="380" t="e">
        <f t="shared" si="76"/>
        <v>#N/A</v>
      </c>
      <c r="FUX43" s="380" t="e">
        <f t="shared" si="76"/>
        <v>#N/A</v>
      </c>
      <c r="FUY43" s="380" t="e">
        <f t="shared" si="76"/>
        <v>#N/A</v>
      </c>
      <c r="FUZ43" s="380" t="e">
        <f t="shared" si="76"/>
        <v>#N/A</v>
      </c>
      <c r="FVA43" s="380" t="e">
        <f t="shared" si="76"/>
        <v>#N/A</v>
      </c>
      <c r="FVB43" s="380" t="e">
        <f t="shared" si="76"/>
        <v>#N/A</v>
      </c>
      <c r="FVC43" s="380" t="e">
        <f t="shared" si="76"/>
        <v>#N/A</v>
      </c>
      <c r="FVD43" s="380" t="e">
        <f t="shared" si="76"/>
        <v>#N/A</v>
      </c>
      <c r="FVE43" s="380" t="e">
        <f t="shared" si="76"/>
        <v>#N/A</v>
      </c>
      <c r="FVF43" s="380" t="e">
        <f t="shared" si="76"/>
        <v>#N/A</v>
      </c>
      <c r="FVG43" s="380" t="e">
        <f t="shared" si="76"/>
        <v>#N/A</v>
      </c>
      <c r="FVH43" s="380" t="e">
        <f t="shared" si="76"/>
        <v>#N/A</v>
      </c>
      <c r="FVI43" s="380" t="e">
        <f t="shared" si="76"/>
        <v>#N/A</v>
      </c>
      <c r="FVJ43" s="380" t="e">
        <f t="shared" si="76"/>
        <v>#N/A</v>
      </c>
      <c r="FVK43" s="380" t="e">
        <f t="shared" si="76"/>
        <v>#N/A</v>
      </c>
      <c r="FVL43" s="380" t="e">
        <f t="shared" si="76"/>
        <v>#N/A</v>
      </c>
      <c r="FVM43" s="380" t="e">
        <f t="shared" si="76"/>
        <v>#N/A</v>
      </c>
      <c r="FVN43" s="380" t="e">
        <f t="shared" si="76"/>
        <v>#N/A</v>
      </c>
      <c r="FVO43" s="380" t="e">
        <f t="shared" si="76"/>
        <v>#N/A</v>
      </c>
      <c r="FVP43" s="380" t="e">
        <f t="shared" si="76"/>
        <v>#N/A</v>
      </c>
      <c r="FVQ43" s="380" t="e">
        <f t="shared" si="76"/>
        <v>#N/A</v>
      </c>
      <c r="FVR43" s="380" t="e">
        <f t="shared" si="76"/>
        <v>#N/A</v>
      </c>
      <c r="FVS43" s="380" t="e">
        <f t="shared" si="76"/>
        <v>#N/A</v>
      </c>
      <c r="FVT43" s="380" t="e">
        <f t="shared" si="76"/>
        <v>#N/A</v>
      </c>
      <c r="FVU43" s="380" t="e">
        <f t="shared" si="76"/>
        <v>#N/A</v>
      </c>
      <c r="FVV43" s="380" t="e">
        <f t="shared" si="76"/>
        <v>#N/A</v>
      </c>
      <c r="FVW43" s="380" t="e">
        <f t="shared" si="76"/>
        <v>#N/A</v>
      </c>
      <c r="FVX43" s="380" t="e">
        <f t="shared" si="76"/>
        <v>#N/A</v>
      </c>
      <c r="FVY43" s="380" t="e">
        <f t="shared" si="76"/>
        <v>#N/A</v>
      </c>
      <c r="FVZ43" s="380" t="e">
        <f t="shared" si="76"/>
        <v>#N/A</v>
      </c>
      <c r="FWA43" s="380" t="e">
        <f t="shared" si="76"/>
        <v>#N/A</v>
      </c>
      <c r="FWB43" s="380" t="e">
        <f t="shared" si="76"/>
        <v>#N/A</v>
      </c>
      <c r="FWC43" s="380" t="e">
        <f t="shared" si="76"/>
        <v>#N/A</v>
      </c>
      <c r="FWD43" s="380" t="e">
        <f t="shared" si="76"/>
        <v>#N/A</v>
      </c>
      <c r="FWE43" s="380" t="e">
        <f t="shared" si="76"/>
        <v>#N/A</v>
      </c>
      <c r="FWF43" s="380" t="e">
        <f t="shared" si="76"/>
        <v>#N/A</v>
      </c>
      <c r="FWG43" s="380" t="e">
        <f t="shared" si="76"/>
        <v>#N/A</v>
      </c>
      <c r="FWH43" s="380" t="e">
        <f t="shared" si="76"/>
        <v>#N/A</v>
      </c>
      <c r="FWI43" s="380" t="e">
        <f t="shared" si="76"/>
        <v>#N/A</v>
      </c>
      <c r="FWJ43" s="380" t="e">
        <f t="shared" si="76"/>
        <v>#N/A</v>
      </c>
      <c r="FWK43" s="380" t="e">
        <f t="shared" si="76"/>
        <v>#N/A</v>
      </c>
      <c r="FWL43" s="380" t="e">
        <f t="shared" si="76"/>
        <v>#N/A</v>
      </c>
      <c r="FWM43" s="380" t="e">
        <f t="shared" si="76"/>
        <v>#N/A</v>
      </c>
      <c r="FWN43" s="380" t="e">
        <f t="shared" si="76"/>
        <v>#N/A</v>
      </c>
      <c r="FWO43" s="380" t="e">
        <f t="shared" si="76"/>
        <v>#N/A</v>
      </c>
      <c r="FWP43" s="380" t="e">
        <f t="shared" si="76"/>
        <v>#N/A</v>
      </c>
      <c r="FWQ43" s="380" t="e">
        <f t="shared" si="76"/>
        <v>#N/A</v>
      </c>
      <c r="FWR43" s="380" t="e">
        <f t="shared" si="76"/>
        <v>#N/A</v>
      </c>
      <c r="FWS43" s="380" t="e">
        <f t="shared" si="76"/>
        <v>#N/A</v>
      </c>
      <c r="FWT43" s="380" t="e">
        <f t="shared" si="76"/>
        <v>#N/A</v>
      </c>
      <c r="FWU43" s="380" t="e">
        <f t="shared" si="76"/>
        <v>#N/A</v>
      </c>
      <c r="FWV43" s="380" t="e">
        <f t="shared" si="76"/>
        <v>#N/A</v>
      </c>
      <c r="FWW43" s="380" t="e">
        <f t="shared" si="76"/>
        <v>#N/A</v>
      </c>
      <c r="FWX43" s="380" t="e">
        <f t="shared" si="76"/>
        <v>#N/A</v>
      </c>
      <c r="FWY43" s="380" t="e">
        <f t="shared" si="76"/>
        <v>#N/A</v>
      </c>
      <c r="FWZ43" s="380" t="e">
        <f t="shared" ref="FWZ43:FZK43" si="77">INDEX(FWZ7:FWZ40,MATCH($E$43,$E$7:$E$40,0))</f>
        <v>#N/A</v>
      </c>
      <c r="FXA43" s="380" t="e">
        <f t="shared" si="77"/>
        <v>#N/A</v>
      </c>
      <c r="FXB43" s="380" t="e">
        <f t="shared" si="77"/>
        <v>#N/A</v>
      </c>
      <c r="FXC43" s="380" t="e">
        <f t="shared" si="77"/>
        <v>#N/A</v>
      </c>
      <c r="FXD43" s="380" t="e">
        <f t="shared" si="77"/>
        <v>#N/A</v>
      </c>
      <c r="FXE43" s="380" t="e">
        <f t="shared" si="77"/>
        <v>#N/A</v>
      </c>
      <c r="FXF43" s="380" t="e">
        <f t="shared" si="77"/>
        <v>#N/A</v>
      </c>
      <c r="FXG43" s="380" t="e">
        <f t="shared" si="77"/>
        <v>#N/A</v>
      </c>
      <c r="FXH43" s="380" t="e">
        <f t="shared" si="77"/>
        <v>#N/A</v>
      </c>
      <c r="FXI43" s="380" t="e">
        <f t="shared" si="77"/>
        <v>#N/A</v>
      </c>
      <c r="FXJ43" s="380" t="e">
        <f t="shared" si="77"/>
        <v>#N/A</v>
      </c>
      <c r="FXK43" s="380" t="e">
        <f t="shared" si="77"/>
        <v>#N/A</v>
      </c>
      <c r="FXL43" s="380" t="e">
        <f t="shared" si="77"/>
        <v>#N/A</v>
      </c>
      <c r="FXM43" s="380" t="e">
        <f t="shared" si="77"/>
        <v>#N/A</v>
      </c>
      <c r="FXN43" s="380" t="e">
        <f t="shared" si="77"/>
        <v>#N/A</v>
      </c>
      <c r="FXO43" s="380" t="e">
        <f t="shared" si="77"/>
        <v>#N/A</v>
      </c>
      <c r="FXP43" s="380" t="e">
        <f t="shared" si="77"/>
        <v>#N/A</v>
      </c>
      <c r="FXQ43" s="380" t="e">
        <f t="shared" si="77"/>
        <v>#N/A</v>
      </c>
      <c r="FXR43" s="380" t="e">
        <f t="shared" si="77"/>
        <v>#N/A</v>
      </c>
      <c r="FXS43" s="380" t="e">
        <f t="shared" si="77"/>
        <v>#N/A</v>
      </c>
      <c r="FXT43" s="380" t="e">
        <f t="shared" si="77"/>
        <v>#N/A</v>
      </c>
      <c r="FXU43" s="380" t="e">
        <f t="shared" si="77"/>
        <v>#N/A</v>
      </c>
      <c r="FXV43" s="380" t="e">
        <f t="shared" si="77"/>
        <v>#N/A</v>
      </c>
      <c r="FXW43" s="380" t="e">
        <f t="shared" si="77"/>
        <v>#N/A</v>
      </c>
      <c r="FXX43" s="380" t="e">
        <f t="shared" si="77"/>
        <v>#N/A</v>
      </c>
      <c r="FXY43" s="380" t="e">
        <f t="shared" si="77"/>
        <v>#N/A</v>
      </c>
      <c r="FXZ43" s="380" t="e">
        <f t="shared" si="77"/>
        <v>#N/A</v>
      </c>
      <c r="FYA43" s="380" t="e">
        <f t="shared" si="77"/>
        <v>#N/A</v>
      </c>
      <c r="FYB43" s="380" t="e">
        <f t="shared" si="77"/>
        <v>#N/A</v>
      </c>
      <c r="FYC43" s="380" t="e">
        <f t="shared" si="77"/>
        <v>#N/A</v>
      </c>
      <c r="FYD43" s="380" t="e">
        <f t="shared" si="77"/>
        <v>#N/A</v>
      </c>
      <c r="FYE43" s="380" t="e">
        <f t="shared" si="77"/>
        <v>#N/A</v>
      </c>
      <c r="FYF43" s="380" t="e">
        <f t="shared" si="77"/>
        <v>#N/A</v>
      </c>
      <c r="FYG43" s="380" t="e">
        <f t="shared" si="77"/>
        <v>#N/A</v>
      </c>
      <c r="FYH43" s="380" t="e">
        <f t="shared" si="77"/>
        <v>#N/A</v>
      </c>
      <c r="FYI43" s="380" t="e">
        <f t="shared" si="77"/>
        <v>#N/A</v>
      </c>
      <c r="FYJ43" s="380" t="e">
        <f t="shared" si="77"/>
        <v>#N/A</v>
      </c>
      <c r="FYK43" s="380" t="e">
        <f t="shared" si="77"/>
        <v>#N/A</v>
      </c>
      <c r="FYL43" s="380" t="e">
        <f t="shared" si="77"/>
        <v>#N/A</v>
      </c>
      <c r="FYM43" s="380" t="e">
        <f t="shared" si="77"/>
        <v>#N/A</v>
      </c>
      <c r="FYN43" s="380" t="e">
        <f t="shared" si="77"/>
        <v>#N/A</v>
      </c>
      <c r="FYO43" s="380" t="e">
        <f t="shared" si="77"/>
        <v>#N/A</v>
      </c>
      <c r="FYP43" s="380" t="e">
        <f t="shared" si="77"/>
        <v>#N/A</v>
      </c>
      <c r="FYQ43" s="380" t="e">
        <f t="shared" si="77"/>
        <v>#N/A</v>
      </c>
      <c r="FYR43" s="380" t="e">
        <f t="shared" si="77"/>
        <v>#N/A</v>
      </c>
      <c r="FYS43" s="380" t="e">
        <f t="shared" si="77"/>
        <v>#N/A</v>
      </c>
      <c r="FYT43" s="380" t="e">
        <f t="shared" si="77"/>
        <v>#N/A</v>
      </c>
      <c r="FYU43" s="380" t="e">
        <f t="shared" si="77"/>
        <v>#N/A</v>
      </c>
      <c r="FYV43" s="380" t="e">
        <f t="shared" si="77"/>
        <v>#N/A</v>
      </c>
      <c r="FYW43" s="380" t="e">
        <f t="shared" si="77"/>
        <v>#N/A</v>
      </c>
      <c r="FYX43" s="380" t="e">
        <f t="shared" si="77"/>
        <v>#N/A</v>
      </c>
      <c r="FYY43" s="380" t="e">
        <f t="shared" si="77"/>
        <v>#N/A</v>
      </c>
      <c r="FYZ43" s="380" t="e">
        <f t="shared" si="77"/>
        <v>#N/A</v>
      </c>
      <c r="FZA43" s="380" t="e">
        <f t="shared" si="77"/>
        <v>#N/A</v>
      </c>
      <c r="FZB43" s="380" t="e">
        <f t="shared" si="77"/>
        <v>#N/A</v>
      </c>
      <c r="FZC43" s="380" t="e">
        <f t="shared" si="77"/>
        <v>#N/A</v>
      </c>
      <c r="FZD43" s="380" t="e">
        <f t="shared" si="77"/>
        <v>#N/A</v>
      </c>
      <c r="FZE43" s="380" t="e">
        <f t="shared" si="77"/>
        <v>#N/A</v>
      </c>
      <c r="FZF43" s="380" t="e">
        <f t="shared" si="77"/>
        <v>#N/A</v>
      </c>
      <c r="FZG43" s="380" t="e">
        <f t="shared" si="77"/>
        <v>#N/A</v>
      </c>
      <c r="FZH43" s="380" t="e">
        <f t="shared" si="77"/>
        <v>#N/A</v>
      </c>
      <c r="FZI43" s="380" t="e">
        <f t="shared" si="77"/>
        <v>#N/A</v>
      </c>
      <c r="FZJ43" s="380" t="e">
        <f t="shared" si="77"/>
        <v>#N/A</v>
      </c>
      <c r="FZK43" s="380" t="e">
        <f t="shared" si="77"/>
        <v>#N/A</v>
      </c>
      <c r="FZL43" s="380" t="e">
        <f t="shared" ref="FZL43:GBW43" si="78">INDEX(FZL7:FZL40,MATCH($E$43,$E$7:$E$40,0))</f>
        <v>#N/A</v>
      </c>
      <c r="FZM43" s="380" t="e">
        <f t="shared" si="78"/>
        <v>#N/A</v>
      </c>
      <c r="FZN43" s="380" t="e">
        <f t="shared" si="78"/>
        <v>#N/A</v>
      </c>
      <c r="FZO43" s="380" t="e">
        <f t="shared" si="78"/>
        <v>#N/A</v>
      </c>
      <c r="FZP43" s="380" t="e">
        <f t="shared" si="78"/>
        <v>#N/A</v>
      </c>
      <c r="FZQ43" s="380" t="e">
        <f t="shared" si="78"/>
        <v>#N/A</v>
      </c>
      <c r="FZR43" s="380" t="e">
        <f t="shared" si="78"/>
        <v>#N/A</v>
      </c>
      <c r="FZS43" s="380" t="e">
        <f t="shared" si="78"/>
        <v>#N/A</v>
      </c>
      <c r="FZT43" s="380" t="e">
        <f t="shared" si="78"/>
        <v>#N/A</v>
      </c>
      <c r="FZU43" s="380" t="e">
        <f t="shared" si="78"/>
        <v>#N/A</v>
      </c>
      <c r="FZV43" s="380" t="e">
        <f t="shared" si="78"/>
        <v>#N/A</v>
      </c>
      <c r="FZW43" s="380" t="e">
        <f t="shared" si="78"/>
        <v>#N/A</v>
      </c>
      <c r="FZX43" s="380" t="e">
        <f t="shared" si="78"/>
        <v>#N/A</v>
      </c>
      <c r="FZY43" s="380" t="e">
        <f t="shared" si="78"/>
        <v>#N/A</v>
      </c>
      <c r="FZZ43" s="380" t="e">
        <f t="shared" si="78"/>
        <v>#N/A</v>
      </c>
      <c r="GAA43" s="380" t="e">
        <f t="shared" si="78"/>
        <v>#N/A</v>
      </c>
      <c r="GAB43" s="380" t="e">
        <f t="shared" si="78"/>
        <v>#N/A</v>
      </c>
      <c r="GAC43" s="380" t="e">
        <f t="shared" si="78"/>
        <v>#N/A</v>
      </c>
      <c r="GAD43" s="380" t="e">
        <f t="shared" si="78"/>
        <v>#N/A</v>
      </c>
      <c r="GAE43" s="380" t="e">
        <f t="shared" si="78"/>
        <v>#N/A</v>
      </c>
      <c r="GAF43" s="380" t="e">
        <f t="shared" si="78"/>
        <v>#N/A</v>
      </c>
      <c r="GAG43" s="380" t="e">
        <f t="shared" si="78"/>
        <v>#N/A</v>
      </c>
      <c r="GAH43" s="380" t="e">
        <f t="shared" si="78"/>
        <v>#N/A</v>
      </c>
      <c r="GAI43" s="380" t="e">
        <f t="shared" si="78"/>
        <v>#N/A</v>
      </c>
      <c r="GAJ43" s="380" t="e">
        <f t="shared" si="78"/>
        <v>#N/A</v>
      </c>
      <c r="GAK43" s="380" t="e">
        <f t="shared" si="78"/>
        <v>#N/A</v>
      </c>
      <c r="GAL43" s="380" t="e">
        <f t="shared" si="78"/>
        <v>#N/A</v>
      </c>
      <c r="GAM43" s="380" t="e">
        <f t="shared" si="78"/>
        <v>#N/A</v>
      </c>
      <c r="GAN43" s="380" t="e">
        <f t="shared" si="78"/>
        <v>#N/A</v>
      </c>
      <c r="GAO43" s="380" t="e">
        <f t="shared" si="78"/>
        <v>#N/A</v>
      </c>
      <c r="GAP43" s="380" t="e">
        <f t="shared" si="78"/>
        <v>#N/A</v>
      </c>
      <c r="GAQ43" s="380" t="e">
        <f t="shared" si="78"/>
        <v>#N/A</v>
      </c>
      <c r="GAR43" s="380" t="e">
        <f t="shared" si="78"/>
        <v>#N/A</v>
      </c>
      <c r="GAS43" s="380" t="e">
        <f t="shared" si="78"/>
        <v>#N/A</v>
      </c>
      <c r="GAT43" s="380" t="e">
        <f t="shared" si="78"/>
        <v>#N/A</v>
      </c>
      <c r="GAU43" s="380" t="e">
        <f t="shared" si="78"/>
        <v>#N/A</v>
      </c>
      <c r="GAV43" s="380" t="e">
        <f t="shared" si="78"/>
        <v>#N/A</v>
      </c>
      <c r="GAW43" s="380" t="e">
        <f t="shared" si="78"/>
        <v>#N/A</v>
      </c>
      <c r="GAX43" s="380" t="e">
        <f t="shared" si="78"/>
        <v>#N/A</v>
      </c>
      <c r="GAY43" s="380" t="e">
        <f t="shared" si="78"/>
        <v>#N/A</v>
      </c>
      <c r="GAZ43" s="380" t="e">
        <f t="shared" si="78"/>
        <v>#N/A</v>
      </c>
      <c r="GBA43" s="380" t="e">
        <f t="shared" si="78"/>
        <v>#N/A</v>
      </c>
      <c r="GBB43" s="380" t="e">
        <f t="shared" si="78"/>
        <v>#N/A</v>
      </c>
      <c r="GBC43" s="380" t="e">
        <f t="shared" si="78"/>
        <v>#N/A</v>
      </c>
      <c r="GBD43" s="380" t="e">
        <f t="shared" si="78"/>
        <v>#N/A</v>
      </c>
      <c r="GBE43" s="380" t="e">
        <f t="shared" si="78"/>
        <v>#N/A</v>
      </c>
      <c r="GBF43" s="380" t="e">
        <f t="shared" si="78"/>
        <v>#N/A</v>
      </c>
      <c r="GBG43" s="380" t="e">
        <f t="shared" si="78"/>
        <v>#N/A</v>
      </c>
      <c r="GBH43" s="380" t="e">
        <f t="shared" si="78"/>
        <v>#N/A</v>
      </c>
      <c r="GBI43" s="380" t="e">
        <f t="shared" si="78"/>
        <v>#N/A</v>
      </c>
      <c r="GBJ43" s="380" t="e">
        <f t="shared" si="78"/>
        <v>#N/A</v>
      </c>
      <c r="GBK43" s="380" t="e">
        <f t="shared" si="78"/>
        <v>#N/A</v>
      </c>
      <c r="GBL43" s="380" t="e">
        <f t="shared" si="78"/>
        <v>#N/A</v>
      </c>
      <c r="GBM43" s="380" t="e">
        <f t="shared" si="78"/>
        <v>#N/A</v>
      </c>
      <c r="GBN43" s="380" t="e">
        <f t="shared" si="78"/>
        <v>#N/A</v>
      </c>
      <c r="GBO43" s="380" t="e">
        <f t="shared" si="78"/>
        <v>#N/A</v>
      </c>
      <c r="GBP43" s="380" t="e">
        <f t="shared" si="78"/>
        <v>#N/A</v>
      </c>
      <c r="GBQ43" s="380" t="e">
        <f t="shared" si="78"/>
        <v>#N/A</v>
      </c>
      <c r="GBR43" s="380" t="e">
        <f t="shared" si="78"/>
        <v>#N/A</v>
      </c>
      <c r="GBS43" s="380" t="e">
        <f t="shared" si="78"/>
        <v>#N/A</v>
      </c>
      <c r="GBT43" s="380" t="e">
        <f t="shared" si="78"/>
        <v>#N/A</v>
      </c>
      <c r="GBU43" s="380" t="e">
        <f t="shared" si="78"/>
        <v>#N/A</v>
      </c>
      <c r="GBV43" s="380" t="e">
        <f t="shared" si="78"/>
        <v>#N/A</v>
      </c>
      <c r="GBW43" s="380" t="e">
        <f t="shared" si="78"/>
        <v>#N/A</v>
      </c>
      <c r="GBX43" s="380" t="e">
        <f t="shared" ref="GBX43:GEI43" si="79">INDEX(GBX7:GBX40,MATCH($E$43,$E$7:$E$40,0))</f>
        <v>#N/A</v>
      </c>
      <c r="GBY43" s="380" t="e">
        <f t="shared" si="79"/>
        <v>#N/A</v>
      </c>
      <c r="GBZ43" s="380" t="e">
        <f t="shared" si="79"/>
        <v>#N/A</v>
      </c>
      <c r="GCA43" s="380" t="e">
        <f t="shared" si="79"/>
        <v>#N/A</v>
      </c>
      <c r="GCB43" s="380" t="e">
        <f t="shared" si="79"/>
        <v>#N/A</v>
      </c>
      <c r="GCC43" s="380" t="e">
        <f t="shared" si="79"/>
        <v>#N/A</v>
      </c>
      <c r="GCD43" s="380" t="e">
        <f t="shared" si="79"/>
        <v>#N/A</v>
      </c>
      <c r="GCE43" s="380" t="e">
        <f t="shared" si="79"/>
        <v>#N/A</v>
      </c>
      <c r="GCF43" s="380" t="e">
        <f t="shared" si="79"/>
        <v>#N/A</v>
      </c>
      <c r="GCG43" s="380" t="e">
        <f t="shared" si="79"/>
        <v>#N/A</v>
      </c>
      <c r="GCH43" s="380" t="e">
        <f t="shared" si="79"/>
        <v>#N/A</v>
      </c>
      <c r="GCI43" s="380" t="e">
        <f t="shared" si="79"/>
        <v>#N/A</v>
      </c>
      <c r="GCJ43" s="380" t="e">
        <f t="shared" si="79"/>
        <v>#N/A</v>
      </c>
      <c r="GCK43" s="380" t="e">
        <f t="shared" si="79"/>
        <v>#N/A</v>
      </c>
      <c r="GCL43" s="380" t="e">
        <f t="shared" si="79"/>
        <v>#N/A</v>
      </c>
      <c r="GCM43" s="380" t="e">
        <f t="shared" si="79"/>
        <v>#N/A</v>
      </c>
      <c r="GCN43" s="380" t="e">
        <f t="shared" si="79"/>
        <v>#N/A</v>
      </c>
      <c r="GCO43" s="380" t="e">
        <f t="shared" si="79"/>
        <v>#N/A</v>
      </c>
      <c r="GCP43" s="380" t="e">
        <f t="shared" si="79"/>
        <v>#N/A</v>
      </c>
      <c r="GCQ43" s="380" t="e">
        <f t="shared" si="79"/>
        <v>#N/A</v>
      </c>
      <c r="GCR43" s="380" t="e">
        <f t="shared" si="79"/>
        <v>#N/A</v>
      </c>
      <c r="GCS43" s="380" t="e">
        <f t="shared" si="79"/>
        <v>#N/A</v>
      </c>
      <c r="GCT43" s="380" t="e">
        <f t="shared" si="79"/>
        <v>#N/A</v>
      </c>
      <c r="GCU43" s="380" t="e">
        <f t="shared" si="79"/>
        <v>#N/A</v>
      </c>
      <c r="GCV43" s="380" t="e">
        <f t="shared" si="79"/>
        <v>#N/A</v>
      </c>
      <c r="GCW43" s="380" t="e">
        <f t="shared" si="79"/>
        <v>#N/A</v>
      </c>
      <c r="GCX43" s="380" t="e">
        <f t="shared" si="79"/>
        <v>#N/A</v>
      </c>
      <c r="GCY43" s="380" t="e">
        <f t="shared" si="79"/>
        <v>#N/A</v>
      </c>
      <c r="GCZ43" s="380" t="e">
        <f t="shared" si="79"/>
        <v>#N/A</v>
      </c>
      <c r="GDA43" s="380" t="e">
        <f t="shared" si="79"/>
        <v>#N/A</v>
      </c>
      <c r="GDB43" s="380" t="e">
        <f t="shared" si="79"/>
        <v>#N/A</v>
      </c>
      <c r="GDC43" s="380" t="e">
        <f t="shared" si="79"/>
        <v>#N/A</v>
      </c>
      <c r="GDD43" s="380" t="e">
        <f t="shared" si="79"/>
        <v>#N/A</v>
      </c>
      <c r="GDE43" s="380" t="e">
        <f t="shared" si="79"/>
        <v>#N/A</v>
      </c>
      <c r="GDF43" s="380" t="e">
        <f t="shared" si="79"/>
        <v>#N/A</v>
      </c>
      <c r="GDG43" s="380" t="e">
        <f t="shared" si="79"/>
        <v>#N/A</v>
      </c>
      <c r="GDH43" s="380" t="e">
        <f t="shared" si="79"/>
        <v>#N/A</v>
      </c>
      <c r="GDI43" s="380" t="e">
        <f t="shared" si="79"/>
        <v>#N/A</v>
      </c>
      <c r="GDJ43" s="380" t="e">
        <f t="shared" si="79"/>
        <v>#N/A</v>
      </c>
      <c r="GDK43" s="380" t="e">
        <f t="shared" si="79"/>
        <v>#N/A</v>
      </c>
      <c r="GDL43" s="380" t="e">
        <f t="shared" si="79"/>
        <v>#N/A</v>
      </c>
      <c r="GDM43" s="380" t="e">
        <f t="shared" si="79"/>
        <v>#N/A</v>
      </c>
      <c r="GDN43" s="380" t="e">
        <f t="shared" si="79"/>
        <v>#N/A</v>
      </c>
      <c r="GDO43" s="380" t="e">
        <f t="shared" si="79"/>
        <v>#N/A</v>
      </c>
      <c r="GDP43" s="380" t="e">
        <f t="shared" si="79"/>
        <v>#N/A</v>
      </c>
      <c r="GDQ43" s="380" t="e">
        <f t="shared" si="79"/>
        <v>#N/A</v>
      </c>
      <c r="GDR43" s="380" t="e">
        <f t="shared" si="79"/>
        <v>#N/A</v>
      </c>
      <c r="GDS43" s="380" t="e">
        <f t="shared" si="79"/>
        <v>#N/A</v>
      </c>
      <c r="GDT43" s="380" t="e">
        <f t="shared" si="79"/>
        <v>#N/A</v>
      </c>
      <c r="GDU43" s="380" t="e">
        <f t="shared" si="79"/>
        <v>#N/A</v>
      </c>
      <c r="GDV43" s="380" t="e">
        <f t="shared" si="79"/>
        <v>#N/A</v>
      </c>
      <c r="GDW43" s="380" t="e">
        <f t="shared" si="79"/>
        <v>#N/A</v>
      </c>
      <c r="GDX43" s="380" t="e">
        <f t="shared" si="79"/>
        <v>#N/A</v>
      </c>
      <c r="GDY43" s="380" t="e">
        <f t="shared" si="79"/>
        <v>#N/A</v>
      </c>
      <c r="GDZ43" s="380" t="e">
        <f t="shared" si="79"/>
        <v>#N/A</v>
      </c>
      <c r="GEA43" s="380" t="e">
        <f t="shared" si="79"/>
        <v>#N/A</v>
      </c>
      <c r="GEB43" s="380" t="e">
        <f t="shared" si="79"/>
        <v>#N/A</v>
      </c>
      <c r="GEC43" s="380" t="e">
        <f t="shared" si="79"/>
        <v>#N/A</v>
      </c>
      <c r="GED43" s="380" t="e">
        <f t="shared" si="79"/>
        <v>#N/A</v>
      </c>
      <c r="GEE43" s="380" t="e">
        <f t="shared" si="79"/>
        <v>#N/A</v>
      </c>
      <c r="GEF43" s="380" t="e">
        <f t="shared" si="79"/>
        <v>#N/A</v>
      </c>
      <c r="GEG43" s="380" t="e">
        <f t="shared" si="79"/>
        <v>#N/A</v>
      </c>
      <c r="GEH43" s="380" t="e">
        <f t="shared" si="79"/>
        <v>#N/A</v>
      </c>
      <c r="GEI43" s="380" t="e">
        <f t="shared" si="79"/>
        <v>#N/A</v>
      </c>
      <c r="GEJ43" s="380" t="e">
        <f t="shared" ref="GEJ43:GGU43" si="80">INDEX(GEJ7:GEJ40,MATCH($E$43,$E$7:$E$40,0))</f>
        <v>#N/A</v>
      </c>
      <c r="GEK43" s="380" t="e">
        <f t="shared" si="80"/>
        <v>#N/A</v>
      </c>
      <c r="GEL43" s="380" t="e">
        <f t="shared" si="80"/>
        <v>#N/A</v>
      </c>
      <c r="GEM43" s="380" t="e">
        <f t="shared" si="80"/>
        <v>#N/A</v>
      </c>
      <c r="GEN43" s="380" t="e">
        <f t="shared" si="80"/>
        <v>#N/A</v>
      </c>
      <c r="GEO43" s="380" t="e">
        <f t="shared" si="80"/>
        <v>#N/A</v>
      </c>
      <c r="GEP43" s="380" t="e">
        <f t="shared" si="80"/>
        <v>#N/A</v>
      </c>
      <c r="GEQ43" s="380" t="e">
        <f t="shared" si="80"/>
        <v>#N/A</v>
      </c>
      <c r="GER43" s="380" t="e">
        <f t="shared" si="80"/>
        <v>#N/A</v>
      </c>
      <c r="GES43" s="380" t="e">
        <f t="shared" si="80"/>
        <v>#N/A</v>
      </c>
      <c r="GET43" s="380" t="e">
        <f t="shared" si="80"/>
        <v>#N/A</v>
      </c>
      <c r="GEU43" s="380" t="e">
        <f t="shared" si="80"/>
        <v>#N/A</v>
      </c>
      <c r="GEV43" s="380" t="e">
        <f t="shared" si="80"/>
        <v>#N/A</v>
      </c>
      <c r="GEW43" s="380" t="e">
        <f t="shared" si="80"/>
        <v>#N/A</v>
      </c>
      <c r="GEX43" s="380" t="e">
        <f t="shared" si="80"/>
        <v>#N/A</v>
      </c>
      <c r="GEY43" s="380" t="e">
        <f t="shared" si="80"/>
        <v>#N/A</v>
      </c>
      <c r="GEZ43" s="380" t="e">
        <f t="shared" si="80"/>
        <v>#N/A</v>
      </c>
      <c r="GFA43" s="380" t="e">
        <f t="shared" si="80"/>
        <v>#N/A</v>
      </c>
      <c r="GFB43" s="380" t="e">
        <f t="shared" si="80"/>
        <v>#N/A</v>
      </c>
      <c r="GFC43" s="380" t="e">
        <f t="shared" si="80"/>
        <v>#N/A</v>
      </c>
      <c r="GFD43" s="380" t="e">
        <f t="shared" si="80"/>
        <v>#N/A</v>
      </c>
      <c r="GFE43" s="380" t="e">
        <f t="shared" si="80"/>
        <v>#N/A</v>
      </c>
      <c r="GFF43" s="380" t="e">
        <f t="shared" si="80"/>
        <v>#N/A</v>
      </c>
      <c r="GFG43" s="380" t="e">
        <f t="shared" si="80"/>
        <v>#N/A</v>
      </c>
      <c r="GFH43" s="380" t="e">
        <f t="shared" si="80"/>
        <v>#N/A</v>
      </c>
      <c r="GFI43" s="380" t="e">
        <f t="shared" si="80"/>
        <v>#N/A</v>
      </c>
      <c r="GFJ43" s="380" t="e">
        <f t="shared" si="80"/>
        <v>#N/A</v>
      </c>
      <c r="GFK43" s="380" t="e">
        <f t="shared" si="80"/>
        <v>#N/A</v>
      </c>
      <c r="GFL43" s="380" t="e">
        <f t="shared" si="80"/>
        <v>#N/A</v>
      </c>
      <c r="GFM43" s="380" t="e">
        <f t="shared" si="80"/>
        <v>#N/A</v>
      </c>
      <c r="GFN43" s="380" t="e">
        <f t="shared" si="80"/>
        <v>#N/A</v>
      </c>
      <c r="GFO43" s="380" t="e">
        <f t="shared" si="80"/>
        <v>#N/A</v>
      </c>
      <c r="GFP43" s="380" t="e">
        <f t="shared" si="80"/>
        <v>#N/A</v>
      </c>
      <c r="GFQ43" s="380" t="e">
        <f t="shared" si="80"/>
        <v>#N/A</v>
      </c>
      <c r="GFR43" s="380" t="e">
        <f t="shared" si="80"/>
        <v>#N/A</v>
      </c>
      <c r="GFS43" s="380" t="e">
        <f t="shared" si="80"/>
        <v>#N/A</v>
      </c>
      <c r="GFT43" s="380" t="e">
        <f t="shared" si="80"/>
        <v>#N/A</v>
      </c>
      <c r="GFU43" s="380" t="e">
        <f t="shared" si="80"/>
        <v>#N/A</v>
      </c>
      <c r="GFV43" s="380" t="e">
        <f t="shared" si="80"/>
        <v>#N/A</v>
      </c>
      <c r="GFW43" s="380" t="e">
        <f t="shared" si="80"/>
        <v>#N/A</v>
      </c>
      <c r="GFX43" s="380" t="e">
        <f t="shared" si="80"/>
        <v>#N/A</v>
      </c>
      <c r="GFY43" s="380" t="e">
        <f t="shared" si="80"/>
        <v>#N/A</v>
      </c>
      <c r="GFZ43" s="380" t="e">
        <f t="shared" si="80"/>
        <v>#N/A</v>
      </c>
      <c r="GGA43" s="380" t="e">
        <f t="shared" si="80"/>
        <v>#N/A</v>
      </c>
      <c r="GGB43" s="380" t="e">
        <f t="shared" si="80"/>
        <v>#N/A</v>
      </c>
      <c r="GGC43" s="380" t="e">
        <f t="shared" si="80"/>
        <v>#N/A</v>
      </c>
      <c r="GGD43" s="380" t="e">
        <f t="shared" si="80"/>
        <v>#N/A</v>
      </c>
      <c r="GGE43" s="380" t="e">
        <f t="shared" si="80"/>
        <v>#N/A</v>
      </c>
      <c r="GGF43" s="380" t="e">
        <f t="shared" si="80"/>
        <v>#N/A</v>
      </c>
      <c r="GGG43" s="380" t="e">
        <f t="shared" si="80"/>
        <v>#N/A</v>
      </c>
      <c r="GGH43" s="380" t="e">
        <f t="shared" si="80"/>
        <v>#N/A</v>
      </c>
      <c r="GGI43" s="380" t="e">
        <f t="shared" si="80"/>
        <v>#N/A</v>
      </c>
      <c r="GGJ43" s="380" t="e">
        <f t="shared" si="80"/>
        <v>#N/A</v>
      </c>
      <c r="GGK43" s="380" t="e">
        <f t="shared" si="80"/>
        <v>#N/A</v>
      </c>
      <c r="GGL43" s="380" t="e">
        <f t="shared" si="80"/>
        <v>#N/A</v>
      </c>
      <c r="GGM43" s="380" t="e">
        <f t="shared" si="80"/>
        <v>#N/A</v>
      </c>
      <c r="GGN43" s="380" t="e">
        <f t="shared" si="80"/>
        <v>#N/A</v>
      </c>
      <c r="GGO43" s="380" t="e">
        <f t="shared" si="80"/>
        <v>#N/A</v>
      </c>
      <c r="GGP43" s="380" t="e">
        <f t="shared" si="80"/>
        <v>#N/A</v>
      </c>
      <c r="GGQ43" s="380" t="e">
        <f t="shared" si="80"/>
        <v>#N/A</v>
      </c>
      <c r="GGR43" s="380" t="e">
        <f t="shared" si="80"/>
        <v>#N/A</v>
      </c>
      <c r="GGS43" s="380" t="e">
        <f t="shared" si="80"/>
        <v>#N/A</v>
      </c>
      <c r="GGT43" s="380" t="e">
        <f t="shared" si="80"/>
        <v>#N/A</v>
      </c>
      <c r="GGU43" s="380" t="e">
        <f t="shared" si="80"/>
        <v>#N/A</v>
      </c>
      <c r="GGV43" s="380" t="e">
        <f t="shared" ref="GGV43:GJG43" si="81">INDEX(GGV7:GGV40,MATCH($E$43,$E$7:$E$40,0))</f>
        <v>#N/A</v>
      </c>
      <c r="GGW43" s="380" t="e">
        <f t="shared" si="81"/>
        <v>#N/A</v>
      </c>
      <c r="GGX43" s="380" t="e">
        <f t="shared" si="81"/>
        <v>#N/A</v>
      </c>
      <c r="GGY43" s="380" t="e">
        <f t="shared" si="81"/>
        <v>#N/A</v>
      </c>
      <c r="GGZ43" s="380" t="e">
        <f t="shared" si="81"/>
        <v>#N/A</v>
      </c>
      <c r="GHA43" s="380" t="e">
        <f t="shared" si="81"/>
        <v>#N/A</v>
      </c>
      <c r="GHB43" s="380" t="e">
        <f t="shared" si="81"/>
        <v>#N/A</v>
      </c>
      <c r="GHC43" s="380" t="e">
        <f t="shared" si="81"/>
        <v>#N/A</v>
      </c>
      <c r="GHD43" s="380" t="e">
        <f t="shared" si="81"/>
        <v>#N/A</v>
      </c>
      <c r="GHE43" s="380" t="e">
        <f t="shared" si="81"/>
        <v>#N/A</v>
      </c>
      <c r="GHF43" s="380" t="e">
        <f t="shared" si="81"/>
        <v>#N/A</v>
      </c>
      <c r="GHG43" s="380" t="e">
        <f t="shared" si="81"/>
        <v>#N/A</v>
      </c>
      <c r="GHH43" s="380" t="e">
        <f t="shared" si="81"/>
        <v>#N/A</v>
      </c>
      <c r="GHI43" s="380" t="e">
        <f t="shared" si="81"/>
        <v>#N/A</v>
      </c>
      <c r="GHJ43" s="380" t="e">
        <f t="shared" si="81"/>
        <v>#N/A</v>
      </c>
      <c r="GHK43" s="380" t="e">
        <f t="shared" si="81"/>
        <v>#N/A</v>
      </c>
      <c r="GHL43" s="380" t="e">
        <f t="shared" si="81"/>
        <v>#N/A</v>
      </c>
      <c r="GHM43" s="380" t="e">
        <f t="shared" si="81"/>
        <v>#N/A</v>
      </c>
      <c r="GHN43" s="380" t="e">
        <f t="shared" si="81"/>
        <v>#N/A</v>
      </c>
      <c r="GHO43" s="380" t="e">
        <f t="shared" si="81"/>
        <v>#N/A</v>
      </c>
      <c r="GHP43" s="380" t="e">
        <f t="shared" si="81"/>
        <v>#N/A</v>
      </c>
      <c r="GHQ43" s="380" t="e">
        <f t="shared" si="81"/>
        <v>#N/A</v>
      </c>
      <c r="GHR43" s="380" t="e">
        <f t="shared" si="81"/>
        <v>#N/A</v>
      </c>
      <c r="GHS43" s="380" t="e">
        <f t="shared" si="81"/>
        <v>#N/A</v>
      </c>
      <c r="GHT43" s="380" t="e">
        <f t="shared" si="81"/>
        <v>#N/A</v>
      </c>
      <c r="GHU43" s="380" t="e">
        <f t="shared" si="81"/>
        <v>#N/A</v>
      </c>
      <c r="GHV43" s="380" t="e">
        <f t="shared" si="81"/>
        <v>#N/A</v>
      </c>
      <c r="GHW43" s="380" t="e">
        <f t="shared" si="81"/>
        <v>#N/A</v>
      </c>
      <c r="GHX43" s="380" t="e">
        <f t="shared" si="81"/>
        <v>#N/A</v>
      </c>
      <c r="GHY43" s="380" t="e">
        <f t="shared" si="81"/>
        <v>#N/A</v>
      </c>
      <c r="GHZ43" s="380" t="e">
        <f t="shared" si="81"/>
        <v>#N/A</v>
      </c>
      <c r="GIA43" s="380" t="e">
        <f t="shared" si="81"/>
        <v>#N/A</v>
      </c>
      <c r="GIB43" s="380" t="e">
        <f t="shared" si="81"/>
        <v>#N/A</v>
      </c>
      <c r="GIC43" s="380" t="e">
        <f t="shared" si="81"/>
        <v>#N/A</v>
      </c>
      <c r="GID43" s="380" t="e">
        <f t="shared" si="81"/>
        <v>#N/A</v>
      </c>
      <c r="GIE43" s="380" t="e">
        <f t="shared" si="81"/>
        <v>#N/A</v>
      </c>
      <c r="GIF43" s="380" t="e">
        <f t="shared" si="81"/>
        <v>#N/A</v>
      </c>
      <c r="GIG43" s="380" t="e">
        <f t="shared" si="81"/>
        <v>#N/A</v>
      </c>
      <c r="GIH43" s="380" t="e">
        <f t="shared" si="81"/>
        <v>#N/A</v>
      </c>
      <c r="GII43" s="380" t="e">
        <f t="shared" si="81"/>
        <v>#N/A</v>
      </c>
      <c r="GIJ43" s="380" t="e">
        <f t="shared" si="81"/>
        <v>#N/A</v>
      </c>
      <c r="GIK43" s="380" t="e">
        <f t="shared" si="81"/>
        <v>#N/A</v>
      </c>
      <c r="GIL43" s="380" t="e">
        <f t="shared" si="81"/>
        <v>#N/A</v>
      </c>
      <c r="GIM43" s="380" t="e">
        <f t="shared" si="81"/>
        <v>#N/A</v>
      </c>
      <c r="GIN43" s="380" t="e">
        <f t="shared" si="81"/>
        <v>#N/A</v>
      </c>
      <c r="GIO43" s="380" t="e">
        <f t="shared" si="81"/>
        <v>#N/A</v>
      </c>
      <c r="GIP43" s="380" t="e">
        <f t="shared" si="81"/>
        <v>#N/A</v>
      </c>
      <c r="GIQ43" s="380" t="e">
        <f t="shared" si="81"/>
        <v>#N/A</v>
      </c>
      <c r="GIR43" s="380" t="e">
        <f t="shared" si="81"/>
        <v>#N/A</v>
      </c>
      <c r="GIS43" s="380" t="e">
        <f t="shared" si="81"/>
        <v>#N/A</v>
      </c>
      <c r="GIT43" s="380" t="e">
        <f t="shared" si="81"/>
        <v>#N/A</v>
      </c>
      <c r="GIU43" s="380" t="e">
        <f t="shared" si="81"/>
        <v>#N/A</v>
      </c>
      <c r="GIV43" s="380" t="e">
        <f t="shared" si="81"/>
        <v>#N/A</v>
      </c>
      <c r="GIW43" s="380" t="e">
        <f t="shared" si="81"/>
        <v>#N/A</v>
      </c>
      <c r="GIX43" s="380" t="e">
        <f t="shared" si="81"/>
        <v>#N/A</v>
      </c>
      <c r="GIY43" s="380" t="e">
        <f t="shared" si="81"/>
        <v>#N/A</v>
      </c>
      <c r="GIZ43" s="380" t="e">
        <f t="shared" si="81"/>
        <v>#N/A</v>
      </c>
      <c r="GJA43" s="380" t="e">
        <f t="shared" si="81"/>
        <v>#N/A</v>
      </c>
      <c r="GJB43" s="380" t="e">
        <f t="shared" si="81"/>
        <v>#N/A</v>
      </c>
      <c r="GJC43" s="380" t="e">
        <f t="shared" si="81"/>
        <v>#N/A</v>
      </c>
      <c r="GJD43" s="380" t="e">
        <f t="shared" si="81"/>
        <v>#N/A</v>
      </c>
      <c r="GJE43" s="380" t="e">
        <f t="shared" si="81"/>
        <v>#N/A</v>
      </c>
      <c r="GJF43" s="380" t="e">
        <f t="shared" si="81"/>
        <v>#N/A</v>
      </c>
      <c r="GJG43" s="380" t="e">
        <f t="shared" si="81"/>
        <v>#N/A</v>
      </c>
      <c r="GJH43" s="380" t="e">
        <f t="shared" ref="GJH43:GLS43" si="82">INDEX(GJH7:GJH40,MATCH($E$43,$E$7:$E$40,0))</f>
        <v>#N/A</v>
      </c>
      <c r="GJI43" s="380" t="e">
        <f t="shared" si="82"/>
        <v>#N/A</v>
      </c>
      <c r="GJJ43" s="380" t="e">
        <f t="shared" si="82"/>
        <v>#N/A</v>
      </c>
      <c r="GJK43" s="380" t="e">
        <f t="shared" si="82"/>
        <v>#N/A</v>
      </c>
      <c r="GJL43" s="380" t="e">
        <f t="shared" si="82"/>
        <v>#N/A</v>
      </c>
      <c r="GJM43" s="380" t="e">
        <f t="shared" si="82"/>
        <v>#N/A</v>
      </c>
      <c r="GJN43" s="380" t="e">
        <f t="shared" si="82"/>
        <v>#N/A</v>
      </c>
      <c r="GJO43" s="380" t="e">
        <f t="shared" si="82"/>
        <v>#N/A</v>
      </c>
      <c r="GJP43" s="380" t="e">
        <f t="shared" si="82"/>
        <v>#N/A</v>
      </c>
      <c r="GJQ43" s="380" t="e">
        <f t="shared" si="82"/>
        <v>#N/A</v>
      </c>
      <c r="GJR43" s="380" t="e">
        <f t="shared" si="82"/>
        <v>#N/A</v>
      </c>
      <c r="GJS43" s="380" t="e">
        <f t="shared" si="82"/>
        <v>#N/A</v>
      </c>
      <c r="GJT43" s="380" t="e">
        <f t="shared" si="82"/>
        <v>#N/A</v>
      </c>
      <c r="GJU43" s="380" t="e">
        <f t="shared" si="82"/>
        <v>#N/A</v>
      </c>
      <c r="GJV43" s="380" t="e">
        <f t="shared" si="82"/>
        <v>#N/A</v>
      </c>
      <c r="GJW43" s="380" t="e">
        <f t="shared" si="82"/>
        <v>#N/A</v>
      </c>
      <c r="GJX43" s="380" t="e">
        <f t="shared" si="82"/>
        <v>#N/A</v>
      </c>
      <c r="GJY43" s="380" t="e">
        <f t="shared" si="82"/>
        <v>#N/A</v>
      </c>
      <c r="GJZ43" s="380" t="e">
        <f t="shared" si="82"/>
        <v>#N/A</v>
      </c>
      <c r="GKA43" s="380" t="e">
        <f t="shared" si="82"/>
        <v>#N/A</v>
      </c>
      <c r="GKB43" s="380" t="e">
        <f t="shared" si="82"/>
        <v>#N/A</v>
      </c>
      <c r="GKC43" s="380" t="e">
        <f t="shared" si="82"/>
        <v>#N/A</v>
      </c>
      <c r="GKD43" s="380" t="e">
        <f t="shared" si="82"/>
        <v>#N/A</v>
      </c>
      <c r="GKE43" s="380" t="e">
        <f t="shared" si="82"/>
        <v>#N/A</v>
      </c>
      <c r="GKF43" s="380" t="e">
        <f t="shared" si="82"/>
        <v>#N/A</v>
      </c>
      <c r="GKG43" s="380" t="e">
        <f t="shared" si="82"/>
        <v>#N/A</v>
      </c>
      <c r="GKH43" s="380" t="e">
        <f t="shared" si="82"/>
        <v>#N/A</v>
      </c>
      <c r="GKI43" s="380" t="e">
        <f t="shared" si="82"/>
        <v>#N/A</v>
      </c>
      <c r="GKJ43" s="380" t="e">
        <f t="shared" si="82"/>
        <v>#N/A</v>
      </c>
      <c r="GKK43" s="380" t="e">
        <f t="shared" si="82"/>
        <v>#N/A</v>
      </c>
      <c r="GKL43" s="380" t="e">
        <f t="shared" si="82"/>
        <v>#N/A</v>
      </c>
      <c r="GKM43" s="380" t="e">
        <f t="shared" si="82"/>
        <v>#N/A</v>
      </c>
      <c r="GKN43" s="380" t="e">
        <f t="shared" si="82"/>
        <v>#N/A</v>
      </c>
      <c r="GKO43" s="380" t="e">
        <f t="shared" si="82"/>
        <v>#N/A</v>
      </c>
      <c r="GKP43" s="380" t="e">
        <f t="shared" si="82"/>
        <v>#N/A</v>
      </c>
      <c r="GKQ43" s="380" t="e">
        <f t="shared" si="82"/>
        <v>#N/A</v>
      </c>
      <c r="GKR43" s="380" t="e">
        <f t="shared" si="82"/>
        <v>#N/A</v>
      </c>
      <c r="GKS43" s="380" t="e">
        <f t="shared" si="82"/>
        <v>#N/A</v>
      </c>
      <c r="GKT43" s="380" t="e">
        <f t="shared" si="82"/>
        <v>#N/A</v>
      </c>
      <c r="GKU43" s="380" t="e">
        <f t="shared" si="82"/>
        <v>#N/A</v>
      </c>
      <c r="GKV43" s="380" t="e">
        <f t="shared" si="82"/>
        <v>#N/A</v>
      </c>
      <c r="GKW43" s="380" t="e">
        <f t="shared" si="82"/>
        <v>#N/A</v>
      </c>
      <c r="GKX43" s="380" t="e">
        <f t="shared" si="82"/>
        <v>#N/A</v>
      </c>
      <c r="GKY43" s="380" t="e">
        <f t="shared" si="82"/>
        <v>#N/A</v>
      </c>
      <c r="GKZ43" s="380" t="e">
        <f t="shared" si="82"/>
        <v>#N/A</v>
      </c>
      <c r="GLA43" s="380" t="e">
        <f t="shared" si="82"/>
        <v>#N/A</v>
      </c>
      <c r="GLB43" s="380" t="e">
        <f t="shared" si="82"/>
        <v>#N/A</v>
      </c>
      <c r="GLC43" s="380" t="e">
        <f t="shared" si="82"/>
        <v>#N/A</v>
      </c>
      <c r="GLD43" s="380" t="e">
        <f t="shared" si="82"/>
        <v>#N/A</v>
      </c>
      <c r="GLE43" s="380" t="e">
        <f t="shared" si="82"/>
        <v>#N/A</v>
      </c>
      <c r="GLF43" s="380" t="e">
        <f t="shared" si="82"/>
        <v>#N/A</v>
      </c>
      <c r="GLG43" s="380" t="e">
        <f t="shared" si="82"/>
        <v>#N/A</v>
      </c>
      <c r="GLH43" s="380" t="e">
        <f t="shared" si="82"/>
        <v>#N/A</v>
      </c>
      <c r="GLI43" s="380" t="e">
        <f t="shared" si="82"/>
        <v>#N/A</v>
      </c>
      <c r="GLJ43" s="380" t="e">
        <f t="shared" si="82"/>
        <v>#N/A</v>
      </c>
      <c r="GLK43" s="380" t="e">
        <f t="shared" si="82"/>
        <v>#N/A</v>
      </c>
      <c r="GLL43" s="380" t="e">
        <f t="shared" si="82"/>
        <v>#N/A</v>
      </c>
      <c r="GLM43" s="380" t="e">
        <f t="shared" si="82"/>
        <v>#N/A</v>
      </c>
      <c r="GLN43" s="380" t="e">
        <f t="shared" si="82"/>
        <v>#N/A</v>
      </c>
      <c r="GLO43" s="380" t="e">
        <f t="shared" si="82"/>
        <v>#N/A</v>
      </c>
      <c r="GLP43" s="380" t="e">
        <f t="shared" si="82"/>
        <v>#N/A</v>
      </c>
      <c r="GLQ43" s="380" t="e">
        <f t="shared" si="82"/>
        <v>#N/A</v>
      </c>
      <c r="GLR43" s="380" t="e">
        <f t="shared" si="82"/>
        <v>#N/A</v>
      </c>
      <c r="GLS43" s="380" t="e">
        <f t="shared" si="82"/>
        <v>#N/A</v>
      </c>
      <c r="GLT43" s="380" t="e">
        <f t="shared" ref="GLT43:GOE43" si="83">INDEX(GLT7:GLT40,MATCH($E$43,$E$7:$E$40,0))</f>
        <v>#N/A</v>
      </c>
      <c r="GLU43" s="380" t="e">
        <f t="shared" si="83"/>
        <v>#N/A</v>
      </c>
      <c r="GLV43" s="380" t="e">
        <f t="shared" si="83"/>
        <v>#N/A</v>
      </c>
      <c r="GLW43" s="380" t="e">
        <f t="shared" si="83"/>
        <v>#N/A</v>
      </c>
      <c r="GLX43" s="380" t="e">
        <f t="shared" si="83"/>
        <v>#N/A</v>
      </c>
      <c r="GLY43" s="380" t="e">
        <f t="shared" si="83"/>
        <v>#N/A</v>
      </c>
      <c r="GLZ43" s="380" t="e">
        <f t="shared" si="83"/>
        <v>#N/A</v>
      </c>
      <c r="GMA43" s="380" t="e">
        <f t="shared" si="83"/>
        <v>#N/A</v>
      </c>
      <c r="GMB43" s="380" t="e">
        <f t="shared" si="83"/>
        <v>#N/A</v>
      </c>
      <c r="GMC43" s="380" t="e">
        <f t="shared" si="83"/>
        <v>#N/A</v>
      </c>
      <c r="GMD43" s="380" t="e">
        <f t="shared" si="83"/>
        <v>#N/A</v>
      </c>
      <c r="GME43" s="380" t="e">
        <f t="shared" si="83"/>
        <v>#N/A</v>
      </c>
      <c r="GMF43" s="380" t="e">
        <f t="shared" si="83"/>
        <v>#N/A</v>
      </c>
      <c r="GMG43" s="380" t="e">
        <f t="shared" si="83"/>
        <v>#N/A</v>
      </c>
      <c r="GMH43" s="380" t="e">
        <f t="shared" si="83"/>
        <v>#N/A</v>
      </c>
      <c r="GMI43" s="380" t="e">
        <f t="shared" si="83"/>
        <v>#N/A</v>
      </c>
      <c r="GMJ43" s="380" t="e">
        <f t="shared" si="83"/>
        <v>#N/A</v>
      </c>
      <c r="GMK43" s="380" t="e">
        <f t="shared" si="83"/>
        <v>#N/A</v>
      </c>
      <c r="GML43" s="380" t="e">
        <f t="shared" si="83"/>
        <v>#N/A</v>
      </c>
      <c r="GMM43" s="380" t="e">
        <f t="shared" si="83"/>
        <v>#N/A</v>
      </c>
      <c r="GMN43" s="380" t="e">
        <f t="shared" si="83"/>
        <v>#N/A</v>
      </c>
      <c r="GMO43" s="380" t="e">
        <f t="shared" si="83"/>
        <v>#N/A</v>
      </c>
      <c r="GMP43" s="380" t="e">
        <f t="shared" si="83"/>
        <v>#N/A</v>
      </c>
      <c r="GMQ43" s="380" t="e">
        <f t="shared" si="83"/>
        <v>#N/A</v>
      </c>
      <c r="GMR43" s="380" t="e">
        <f t="shared" si="83"/>
        <v>#N/A</v>
      </c>
      <c r="GMS43" s="380" t="e">
        <f t="shared" si="83"/>
        <v>#N/A</v>
      </c>
      <c r="GMT43" s="380" t="e">
        <f t="shared" si="83"/>
        <v>#N/A</v>
      </c>
      <c r="GMU43" s="380" t="e">
        <f t="shared" si="83"/>
        <v>#N/A</v>
      </c>
      <c r="GMV43" s="380" t="e">
        <f t="shared" si="83"/>
        <v>#N/A</v>
      </c>
      <c r="GMW43" s="380" t="e">
        <f t="shared" si="83"/>
        <v>#N/A</v>
      </c>
      <c r="GMX43" s="380" t="e">
        <f t="shared" si="83"/>
        <v>#N/A</v>
      </c>
      <c r="GMY43" s="380" t="e">
        <f t="shared" si="83"/>
        <v>#N/A</v>
      </c>
      <c r="GMZ43" s="380" t="e">
        <f t="shared" si="83"/>
        <v>#N/A</v>
      </c>
      <c r="GNA43" s="380" t="e">
        <f t="shared" si="83"/>
        <v>#N/A</v>
      </c>
      <c r="GNB43" s="380" t="e">
        <f t="shared" si="83"/>
        <v>#N/A</v>
      </c>
      <c r="GNC43" s="380" t="e">
        <f t="shared" si="83"/>
        <v>#N/A</v>
      </c>
      <c r="GND43" s="380" t="e">
        <f t="shared" si="83"/>
        <v>#N/A</v>
      </c>
      <c r="GNE43" s="380" t="e">
        <f t="shared" si="83"/>
        <v>#N/A</v>
      </c>
      <c r="GNF43" s="380" t="e">
        <f t="shared" si="83"/>
        <v>#N/A</v>
      </c>
      <c r="GNG43" s="380" t="e">
        <f t="shared" si="83"/>
        <v>#N/A</v>
      </c>
      <c r="GNH43" s="380" t="e">
        <f t="shared" si="83"/>
        <v>#N/A</v>
      </c>
      <c r="GNI43" s="380" t="e">
        <f t="shared" si="83"/>
        <v>#N/A</v>
      </c>
      <c r="GNJ43" s="380" t="e">
        <f t="shared" si="83"/>
        <v>#N/A</v>
      </c>
      <c r="GNK43" s="380" t="e">
        <f t="shared" si="83"/>
        <v>#N/A</v>
      </c>
      <c r="GNL43" s="380" t="e">
        <f t="shared" si="83"/>
        <v>#N/A</v>
      </c>
      <c r="GNM43" s="380" t="e">
        <f t="shared" si="83"/>
        <v>#N/A</v>
      </c>
      <c r="GNN43" s="380" t="e">
        <f t="shared" si="83"/>
        <v>#N/A</v>
      </c>
      <c r="GNO43" s="380" t="e">
        <f t="shared" si="83"/>
        <v>#N/A</v>
      </c>
      <c r="GNP43" s="380" t="e">
        <f t="shared" si="83"/>
        <v>#N/A</v>
      </c>
      <c r="GNQ43" s="380" t="e">
        <f t="shared" si="83"/>
        <v>#N/A</v>
      </c>
      <c r="GNR43" s="380" t="e">
        <f t="shared" si="83"/>
        <v>#N/A</v>
      </c>
      <c r="GNS43" s="380" t="e">
        <f t="shared" si="83"/>
        <v>#N/A</v>
      </c>
      <c r="GNT43" s="380" t="e">
        <f t="shared" si="83"/>
        <v>#N/A</v>
      </c>
      <c r="GNU43" s="380" t="e">
        <f t="shared" si="83"/>
        <v>#N/A</v>
      </c>
      <c r="GNV43" s="380" t="e">
        <f t="shared" si="83"/>
        <v>#N/A</v>
      </c>
      <c r="GNW43" s="380" t="e">
        <f t="shared" si="83"/>
        <v>#N/A</v>
      </c>
      <c r="GNX43" s="380" t="e">
        <f t="shared" si="83"/>
        <v>#N/A</v>
      </c>
      <c r="GNY43" s="380" t="e">
        <f t="shared" si="83"/>
        <v>#N/A</v>
      </c>
      <c r="GNZ43" s="380" t="e">
        <f t="shared" si="83"/>
        <v>#N/A</v>
      </c>
      <c r="GOA43" s="380" t="e">
        <f t="shared" si="83"/>
        <v>#N/A</v>
      </c>
      <c r="GOB43" s="380" t="e">
        <f t="shared" si="83"/>
        <v>#N/A</v>
      </c>
      <c r="GOC43" s="380" t="e">
        <f t="shared" si="83"/>
        <v>#N/A</v>
      </c>
      <c r="GOD43" s="380" t="e">
        <f t="shared" si="83"/>
        <v>#N/A</v>
      </c>
      <c r="GOE43" s="380" t="e">
        <f t="shared" si="83"/>
        <v>#N/A</v>
      </c>
      <c r="GOF43" s="380" t="e">
        <f t="shared" ref="GOF43:GQQ43" si="84">INDEX(GOF7:GOF40,MATCH($E$43,$E$7:$E$40,0))</f>
        <v>#N/A</v>
      </c>
      <c r="GOG43" s="380" t="e">
        <f t="shared" si="84"/>
        <v>#N/A</v>
      </c>
      <c r="GOH43" s="380" t="e">
        <f t="shared" si="84"/>
        <v>#N/A</v>
      </c>
      <c r="GOI43" s="380" t="e">
        <f t="shared" si="84"/>
        <v>#N/A</v>
      </c>
      <c r="GOJ43" s="380" t="e">
        <f t="shared" si="84"/>
        <v>#N/A</v>
      </c>
      <c r="GOK43" s="380" t="e">
        <f t="shared" si="84"/>
        <v>#N/A</v>
      </c>
      <c r="GOL43" s="380" t="e">
        <f t="shared" si="84"/>
        <v>#N/A</v>
      </c>
      <c r="GOM43" s="380" t="e">
        <f t="shared" si="84"/>
        <v>#N/A</v>
      </c>
      <c r="GON43" s="380" t="e">
        <f t="shared" si="84"/>
        <v>#N/A</v>
      </c>
      <c r="GOO43" s="380" t="e">
        <f t="shared" si="84"/>
        <v>#N/A</v>
      </c>
      <c r="GOP43" s="380" t="e">
        <f t="shared" si="84"/>
        <v>#N/A</v>
      </c>
      <c r="GOQ43" s="380" t="e">
        <f t="shared" si="84"/>
        <v>#N/A</v>
      </c>
      <c r="GOR43" s="380" t="e">
        <f t="shared" si="84"/>
        <v>#N/A</v>
      </c>
      <c r="GOS43" s="380" t="e">
        <f t="shared" si="84"/>
        <v>#N/A</v>
      </c>
      <c r="GOT43" s="380" t="e">
        <f t="shared" si="84"/>
        <v>#N/A</v>
      </c>
      <c r="GOU43" s="380" t="e">
        <f t="shared" si="84"/>
        <v>#N/A</v>
      </c>
      <c r="GOV43" s="380" t="e">
        <f t="shared" si="84"/>
        <v>#N/A</v>
      </c>
      <c r="GOW43" s="380" t="e">
        <f t="shared" si="84"/>
        <v>#N/A</v>
      </c>
      <c r="GOX43" s="380" t="e">
        <f t="shared" si="84"/>
        <v>#N/A</v>
      </c>
      <c r="GOY43" s="380" t="e">
        <f t="shared" si="84"/>
        <v>#N/A</v>
      </c>
      <c r="GOZ43" s="380" t="e">
        <f t="shared" si="84"/>
        <v>#N/A</v>
      </c>
      <c r="GPA43" s="380" t="e">
        <f t="shared" si="84"/>
        <v>#N/A</v>
      </c>
      <c r="GPB43" s="380" t="e">
        <f t="shared" si="84"/>
        <v>#N/A</v>
      </c>
      <c r="GPC43" s="380" t="e">
        <f t="shared" si="84"/>
        <v>#N/A</v>
      </c>
      <c r="GPD43" s="380" t="e">
        <f t="shared" si="84"/>
        <v>#N/A</v>
      </c>
      <c r="GPE43" s="380" t="e">
        <f t="shared" si="84"/>
        <v>#N/A</v>
      </c>
      <c r="GPF43" s="380" t="e">
        <f t="shared" si="84"/>
        <v>#N/A</v>
      </c>
      <c r="GPG43" s="380" t="e">
        <f t="shared" si="84"/>
        <v>#N/A</v>
      </c>
      <c r="GPH43" s="380" t="e">
        <f t="shared" si="84"/>
        <v>#N/A</v>
      </c>
      <c r="GPI43" s="380" t="e">
        <f t="shared" si="84"/>
        <v>#N/A</v>
      </c>
      <c r="GPJ43" s="380" t="e">
        <f t="shared" si="84"/>
        <v>#N/A</v>
      </c>
      <c r="GPK43" s="380" t="e">
        <f t="shared" si="84"/>
        <v>#N/A</v>
      </c>
      <c r="GPL43" s="380" t="e">
        <f t="shared" si="84"/>
        <v>#N/A</v>
      </c>
      <c r="GPM43" s="380" t="e">
        <f t="shared" si="84"/>
        <v>#N/A</v>
      </c>
      <c r="GPN43" s="380" t="e">
        <f t="shared" si="84"/>
        <v>#N/A</v>
      </c>
      <c r="GPO43" s="380" t="e">
        <f t="shared" si="84"/>
        <v>#N/A</v>
      </c>
      <c r="GPP43" s="380" t="e">
        <f t="shared" si="84"/>
        <v>#N/A</v>
      </c>
      <c r="GPQ43" s="380" t="e">
        <f t="shared" si="84"/>
        <v>#N/A</v>
      </c>
      <c r="GPR43" s="380" t="e">
        <f t="shared" si="84"/>
        <v>#N/A</v>
      </c>
      <c r="GPS43" s="380" t="e">
        <f t="shared" si="84"/>
        <v>#N/A</v>
      </c>
      <c r="GPT43" s="380" t="e">
        <f t="shared" si="84"/>
        <v>#N/A</v>
      </c>
      <c r="GPU43" s="380" t="e">
        <f t="shared" si="84"/>
        <v>#N/A</v>
      </c>
      <c r="GPV43" s="380" t="e">
        <f t="shared" si="84"/>
        <v>#N/A</v>
      </c>
      <c r="GPW43" s="380" t="e">
        <f t="shared" si="84"/>
        <v>#N/A</v>
      </c>
      <c r="GPX43" s="380" t="e">
        <f t="shared" si="84"/>
        <v>#N/A</v>
      </c>
      <c r="GPY43" s="380" t="e">
        <f t="shared" si="84"/>
        <v>#N/A</v>
      </c>
      <c r="GPZ43" s="380" t="e">
        <f t="shared" si="84"/>
        <v>#N/A</v>
      </c>
      <c r="GQA43" s="380" t="e">
        <f t="shared" si="84"/>
        <v>#N/A</v>
      </c>
      <c r="GQB43" s="380" t="e">
        <f t="shared" si="84"/>
        <v>#N/A</v>
      </c>
      <c r="GQC43" s="380" t="e">
        <f t="shared" si="84"/>
        <v>#N/A</v>
      </c>
      <c r="GQD43" s="380" t="e">
        <f t="shared" si="84"/>
        <v>#N/A</v>
      </c>
      <c r="GQE43" s="380" t="e">
        <f t="shared" si="84"/>
        <v>#N/A</v>
      </c>
      <c r="GQF43" s="380" t="e">
        <f t="shared" si="84"/>
        <v>#N/A</v>
      </c>
      <c r="GQG43" s="380" t="e">
        <f t="shared" si="84"/>
        <v>#N/A</v>
      </c>
      <c r="GQH43" s="380" t="e">
        <f t="shared" si="84"/>
        <v>#N/A</v>
      </c>
      <c r="GQI43" s="380" t="e">
        <f t="shared" si="84"/>
        <v>#N/A</v>
      </c>
      <c r="GQJ43" s="380" t="e">
        <f t="shared" si="84"/>
        <v>#N/A</v>
      </c>
      <c r="GQK43" s="380" t="e">
        <f t="shared" si="84"/>
        <v>#N/A</v>
      </c>
      <c r="GQL43" s="380" t="e">
        <f t="shared" si="84"/>
        <v>#N/A</v>
      </c>
      <c r="GQM43" s="380" t="e">
        <f t="shared" si="84"/>
        <v>#N/A</v>
      </c>
      <c r="GQN43" s="380" t="e">
        <f t="shared" si="84"/>
        <v>#N/A</v>
      </c>
      <c r="GQO43" s="380" t="e">
        <f t="shared" si="84"/>
        <v>#N/A</v>
      </c>
      <c r="GQP43" s="380" t="e">
        <f t="shared" si="84"/>
        <v>#N/A</v>
      </c>
      <c r="GQQ43" s="380" t="e">
        <f t="shared" si="84"/>
        <v>#N/A</v>
      </c>
      <c r="GQR43" s="380" t="e">
        <f t="shared" ref="GQR43:GTC43" si="85">INDEX(GQR7:GQR40,MATCH($E$43,$E$7:$E$40,0))</f>
        <v>#N/A</v>
      </c>
      <c r="GQS43" s="380" t="e">
        <f t="shared" si="85"/>
        <v>#N/A</v>
      </c>
      <c r="GQT43" s="380" t="e">
        <f t="shared" si="85"/>
        <v>#N/A</v>
      </c>
      <c r="GQU43" s="380" t="e">
        <f t="shared" si="85"/>
        <v>#N/A</v>
      </c>
      <c r="GQV43" s="380" t="e">
        <f t="shared" si="85"/>
        <v>#N/A</v>
      </c>
      <c r="GQW43" s="380" t="e">
        <f t="shared" si="85"/>
        <v>#N/A</v>
      </c>
      <c r="GQX43" s="380" t="e">
        <f t="shared" si="85"/>
        <v>#N/A</v>
      </c>
      <c r="GQY43" s="380" t="e">
        <f t="shared" si="85"/>
        <v>#N/A</v>
      </c>
      <c r="GQZ43" s="380" t="e">
        <f t="shared" si="85"/>
        <v>#N/A</v>
      </c>
      <c r="GRA43" s="380" t="e">
        <f t="shared" si="85"/>
        <v>#N/A</v>
      </c>
      <c r="GRB43" s="380" t="e">
        <f t="shared" si="85"/>
        <v>#N/A</v>
      </c>
      <c r="GRC43" s="380" t="e">
        <f t="shared" si="85"/>
        <v>#N/A</v>
      </c>
      <c r="GRD43" s="380" t="e">
        <f t="shared" si="85"/>
        <v>#N/A</v>
      </c>
      <c r="GRE43" s="380" t="e">
        <f t="shared" si="85"/>
        <v>#N/A</v>
      </c>
      <c r="GRF43" s="380" t="e">
        <f t="shared" si="85"/>
        <v>#N/A</v>
      </c>
      <c r="GRG43" s="380" t="e">
        <f t="shared" si="85"/>
        <v>#N/A</v>
      </c>
      <c r="GRH43" s="380" t="e">
        <f t="shared" si="85"/>
        <v>#N/A</v>
      </c>
      <c r="GRI43" s="380" t="e">
        <f t="shared" si="85"/>
        <v>#N/A</v>
      </c>
      <c r="GRJ43" s="380" t="e">
        <f t="shared" si="85"/>
        <v>#N/A</v>
      </c>
      <c r="GRK43" s="380" t="e">
        <f t="shared" si="85"/>
        <v>#N/A</v>
      </c>
      <c r="GRL43" s="380" t="e">
        <f t="shared" si="85"/>
        <v>#N/A</v>
      </c>
      <c r="GRM43" s="380" t="e">
        <f t="shared" si="85"/>
        <v>#N/A</v>
      </c>
      <c r="GRN43" s="380" t="e">
        <f t="shared" si="85"/>
        <v>#N/A</v>
      </c>
      <c r="GRO43" s="380" t="e">
        <f t="shared" si="85"/>
        <v>#N/A</v>
      </c>
      <c r="GRP43" s="380" t="e">
        <f t="shared" si="85"/>
        <v>#N/A</v>
      </c>
      <c r="GRQ43" s="380" t="e">
        <f t="shared" si="85"/>
        <v>#N/A</v>
      </c>
      <c r="GRR43" s="380" t="e">
        <f t="shared" si="85"/>
        <v>#N/A</v>
      </c>
      <c r="GRS43" s="380" t="e">
        <f t="shared" si="85"/>
        <v>#N/A</v>
      </c>
      <c r="GRT43" s="380" t="e">
        <f t="shared" si="85"/>
        <v>#N/A</v>
      </c>
      <c r="GRU43" s="380" t="e">
        <f t="shared" si="85"/>
        <v>#N/A</v>
      </c>
      <c r="GRV43" s="380" t="e">
        <f t="shared" si="85"/>
        <v>#N/A</v>
      </c>
      <c r="GRW43" s="380" t="e">
        <f t="shared" si="85"/>
        <v>#N/A</v>
      </c>
      <c r="GRX43" s="380" t="e">
        <f t="shared" si="85"/>
        <v>#N/A</v>
      </c>
      <c r="GRY43" s="380" t="e">
        <f t="shared" si="85"/>
        <v>#N/A</v>
      </c>
      <c r="GRZ43" s="380" t="e">
        <f t="shared" si="85"/>
        <v>#N/A</v>
      </c>
      <c r="GSA43" s="380" t="e">
        <f t="shared" si="85"/>
        <v>#N/A</v>
      </c>
      <c r="GSB43" s="380" t="e">
        <f t="shared" si="85"/>
        <v>#N/A</v>
      </c>
      <c r="GSC43" s="380" t="e">
        <f t="shared" si="85"/>
        <v>#N/A</v>
      </c>
      <c r="GSD43" s="380" t="e">
        <f t="shared" si="85"/>
        <v>#N/A</v>
      </c>
      <c r="GSE43" s="380" t="e">
        <f t="shared" si="85"/>
        <v>#N/A</v>
      </c>
      <c r="GSF43" s="380" t="e">
        <f t="shared" si="85"/>
        <v>#N/A</v>
      </c>
      <c r="GSG43" s="380" t="e">
        <f t="shared" si="85"/>
        <v>#N/A</v>
      </c>
      <c r="GSH43" s="380" t="e">
        <f t="shared" si="85"/>
        <v>#N/A</v>
      </c>
      <c r="GSI43" s="380" t="e">
        <f t="shared" si="85"/>
        <v>#N/A</v>
      </c>
      <c r="GSJ43" s="380" t="e">
        <f t="shared" si="85"/>
        <v>#N/A</v>
      </c>
      <c r="GSK43" s="380" t="e">
        <f t="shared" si="85"/>
        <v>#N/A</v>
      </c>
      <c r="GSL43" s="380" t="e">
        <f t="shared" si="85"/>
        <v>#N/A</v>
      </c>
      <c r="GSM43" s="380" t="e">
        <f t="shared" si="85"/>
        <v>#N/A</v>
      </c>
      <c r="GSN43" s="380" t="e">
        <f t="shared" si="85"/>
        <v>#N/A</v>
      </c>
      <c r="GSO43" s="380" t="e">
        <f t="shared" si="85"/>
        <v>#N/A</v>
      </c>
      <c r="GSP43" s="380" t="e">
        <f t="shared" si="85"/>
        <v>#N/A</v>
      </c>
      <c r="GSQ43" s="380" t="e">
        <f t="shared" si="85"/>
        <v>#N/A</v>
      </c>
      <c r="GSR43" s="380" t="e">
        <f t="shared" si="85"/>
        <v>#N/A</v>
      </c>
      <c r="GSS43" s="380" t="e">
        <f t="shared" si="85"/>
        <v>#N/A</v>
      </c>
      <c r="GST43" s="380" t="e">
        <f t="shared" si="85"/>
        <v>#N/A</v>
      </c>
      <c r="GSU43" s="380" t="e">
        <f t="shared" si="85"/>
        <v>#N/A</v>
      </c>
      <c r="GSV43" s="380" t="e">
        <f t="shared" si="85"/>
        <v>#N/A</v>
      </c>
      <c r="GSW43" s="380" t="e">
        <f t="shared" si="85"/>
        <v>#N/A</v>
      </c>
      <c r="GSX43" s="380" t="e">
        <f t="shared" si="85"/>
        <v>#N/A</v>
      </c>
      <c r="GSY43" s="380" t="e">
        <f t="shared" si="85"/>
        <v>#N/A</v>
      </c>
      <c r="GSZ43" s="380" t="e">
        <f t="shared" si="85"/>
        <v>#N/A</v>
      </c>
      <c r="GTA43" s="380" t="e">
        <f t="shared" si="85"/>
        <v>#N/A</v>
      </c>
      <c r="GTB43" s="380" t="e">
        <f t="shared" si="85"/>
        <v>#N/A</v>
      </c>
      <c r="GTC43" s="380" t="e">
        <f t="shared" si="85"/>
        <v>#N/A</v>
      </c>
      <c r="GTD43" s="380" t="e">
        <f t="shared" ref="GTD43:GVO43" si="86">INDEX(GTD7:GTD40,MATCH($E$43,$E$7:$E$40,0))</f>
        <v>#N/A</v>
      </c>
      <c r="GTE43" s="380" t="e">
        <f t="shared" si="86"/>
        <v>#N/A</v>
      </c>
      <c r="GTF43" s="380" t="e">
        <f t="shared" si="86"/>
        <v>#N/A</v>
      </c>
      <c r="GTG43" s="380" t="e">
        <f t="shared" si="86"/>
        <v>#N/A</v>
      </c>
      <c r="GTH43" s="380" t="e">
        <f t="shared" si="86"/>
        <v>#N/A</v>
      </c>
      <c r="GTI43" s="380" t="e">
        <f t="shared" si="86"/>
        <v>#N/A</v>
      </c>
      <c r="GTJ43" s="380" t="e">
        <f t="shared" si="86"/>
        <v>#N/A</v>
      </c>
      <c r="GTK43" s="380" t="e">
        <f t="shared" si="86"/>
        <v>#N/A</v>
      </c>
      <c r="GTL43" s="380" t="e">
        <f t="shared" si="86"/>
        <v>#N/A</v>
      </c>
      <c r="GTM43" s="380" t="e">
        <f t="shared" si="86"/>
        <v>#N/A</v>
      </c>
      <c r="GTN43" s="380" t="e">
        <f t="shared" si="86"/>
        <v>#N/A</v>
      </c>
      <c r="GTO43" s="380" t="e">
        <f t="shared" si="86"/>
        <v>#N/A</v>
      </c>
      <c r="GTP43" s="380" t="e">
        <f t="shared" si="86"/>
        <v>#N/A</v>
      </c>
      <c r="GTQ43" s="380" t="e">
        <f t="shared" si="86"/>
        <v>#N/A</v>
      </c>
      <c r="GTR43" s="380" t="e">
        <f t="shared" si="86"/>
        <v>#N/A</v>
      </c>
      <c r="GTS43" s="380" t="e">
        <f t="shared" si="86"/>
        <v>#N/A</v>
      </c>
      <c r="GTT43" s="380" t="e">
        <f t="shared" si="86"/>
        <v>#N/A</v>
      </c>
      <c r="GTU43" s="380" t="e">
        <f t="shared" si="86"/>
        <v>#N/A</v>
      </c>
      <c r="GTV43" s="380" t="e">
        <f t="shared" si="86"/>
        <v>#N/A</v>
      </c>
      <c r="GTW43" s="380" t="e">
        <f t="shared" si="86"/>
        <v>#N/A</v>
      </c>
      <c r="GTX43" s="380" t="e">
        <f t="shared" si="86"/>
        <v>#N/A</v>
      </c>
      <c r="GTY43" s="380" t="e">
        <f t="shared" si="86"/>
        <v>#N/A</v>
      </c>
      <c r="GTZ43" s="380" t="e">
        <f t="shared" si="86"/>
        <v>#N/A</v>
      </c>
      <c r="GUA43" s="380" t="e">
        <f t="shared" si="86"/>
        <v>#N/A</v>
      </c>
      <c r="GUB43" s="380" t="e">
        <f t="shared" si="86"/>
        <v>#N/A</v>
      </c>
      <c r="GUC43" s="380" t="e">
        <f t="shared" si="86"/>
        <v>#N/A</v>
      </c>
      <c r="GUD43" s="380" t="e">
        <f t="shared" si="86"/>
        <v>#N/A</v>
      </c>
      <c r="GUE43" s="380" t="e">
        <f t="shared" si="86"/>
        <v>#N/A</v>
      </c>
      <c r="GUF43" s="380" t="e">
        <f t="shared" si="86"/>
        <v>#N/A</v>
      </c>
      <c r="GUG43" s="380" t="e">
        <f t="shared" si="86"/>
        <v>#N/A</v>
      </c>
      <c r="GUH43" s="380" t="e">
        <f t="shared" si="86"/>
        <v>#N/A</v>
      </c>
      <c r="GUI43" s="380" t="e">
        <f t="shared" si="86"/>
        <v>#N/A</v>
      </c>
      <c r="GUJ43" s="380" t="e">
        <f t="shared" si="86"/>
        <v>#N/A</v>
      </c>
      <c r="GUK43" s="380" t="e">
        <f t="shared" si="86"/>
        <v>#N/A</v>
      </c>
      <c r="GUL43" s="380" t="e">
        <f t="shared" si="86"/>
        <v>#N/A</v>
      </c>
      <c r="GUM43" s="380" t="e">
        <f t="shared" si="86"/>
        <v>#N/A</v>
      </c>
      <c r="GUN43" s="380" t="e">
        <f t="shared" si="86"/>
        <v>#N/A</v>
      </c>
      <c r="GUO43" s="380" t="e">
        <f t="shared" si="86"/>
        <v>#N/A</v>
      </c>
      <c r="GUP43" s="380" t="e">
        <f t="shared" si="86"/>
        <v>#N/A</v>
      </c>
      <c r="GUQ43" s="380" t="e">
        <f t="shared" si="86"/>
        <v>#N/A</v>
      </c>
      <c r="GUR43" s="380" t="e">
        <f t="shared" si="86"/>
        <v>#N/A</v>
      </c>
      <c r="GUS43" s="380" t="e">
        <f t="shared" si="86"/>
        <v>#N/A</v>
      </c>
      <c r="GUT43" s="380" t="e">
        <f t="shared" si="86"/>
        <v>#N/A</v>
      </c>
      <c r="GUU43" s="380" t="e">
        <f t="shared" si="86"/>
        <v>#N/A</v>
      </c>
      <c r="GUV43" s="380" t="e">
        <f t="shared" si="86"/>
        <v>#N/A</v>
      </c>
      <c r="GUW43" s="380" t="e">
        <f t="shared" si="86"/>
        <v>#N/A</v>
      </c>
      <c r="GUX43" s="380" t="e">
        <f t="shared" si="86"/>
        <v>#N/A</v>
      </c>
      <c r="GUY43" s="380" t="e">
        <f t="shared" si="86"/>
        <v>#N/A</v>
      </c>
      <c r="GUZ43" s="380" t="e">
        <f t="shared" si="86"/>
        <v>#N/A</v>
      </c>
      <c r="GVA43" s="380" t="e">
        <f t="shared" si="86"/>
        <v>#N/A</v>
      </c>
      <c r="GVB43" s="380" t="e">
        <f t="shared" si="86"/>
        <v>#N/A</v>
      </c>
      <c r="GVC43" s="380" t="e">
        <f t="shared" si="86"/>
        <v>#N/A</v>
      </c>
      <c r="GVD43" s="380" t="e">
        <f t="shared" si="86"/>
        <v>#N/A</v>
      </c>
      <c r="GVE43" s="380" t="e">
        <f t="shared" si="86"/>
        <v>#N/A</v>
      </c>
      <c r="GVF43" s="380" t="e">
        <f t="shared" si="86"/>
        <v>#N/A</v>
      </c>
      <c r="GVG43" s="380" t="e">
        <f t="shared" si="86"/>
        <v>#N/A</v>
      </c>
      <c r="GVH43" s="380" t="e">
        <f t="shared" si="86"/>
        <v>#N/A</v>
      </c>
      <c r="GVI43" s="380" t="e">
        <f t="shared" si="86"/>
        <v>#N/A</v>
      </c>
      <c r="GVJ43" s="380" t="e">
        <f t="shared" si="86"/>
        <v>#N/A</v>
      </c>
      <c r="GVK43" s="380" t="e">
        <f t="shared" si="86"/>
        <v>#N/A</v>
      </c>
      <c r="GVL43" s="380" t="e">
        <f t="shared" si="86"/>
        <v>#N/A</v>
      </c>
      <c r="GVM43" s="380" t="e">
        <f t="shared" si="86"/>
        <v>#N/A</v>
      </c>
      <c r="GVN43" s="380" t="e">
        <f t="shared" si="86"/>
        <v>#N/A</v>
      </c>
      <c r="GVO43" s="380" t="e">
        <f t="shared" si="86"/>
        <v>#N/A</v>
      </c>
      <c r="GVP43" s="380" t="e">
        <f t="shared" ref="GVP43:GYA43" si="87">INDEX(GVP7:GVP40,MATCH($E$43,$E$7:$E$40,0))</f>
        <v>#N/A</v>
      </c>
      <c r="GVQ43" s="380" t="e">
        <f t="shared" si="87"/>
        <v>#N/A</v>
      </c>
      <c r="GVR43" s="380" t="e">
        <f t="shared" si="87"/>
        <v>#N/A</v>
      </c>
      <c r="GVS43" s="380" t="e">
        <f t="shared" si="87"/>
        <v>#N/A</v>
      </c>
      <c r="GVT43" s="380" t="e">
        <f t="shared" si="87"/>
        <v>#N/A</v>
      </c>
      <c r="GVU43" s="380" t="e">
        <f t="shared" si="87"/>
        <v>#N/A</v>
      </c>
      <c r="GVV43" s="380" t="e">
        <f t="shared" si="87"/>
        <v>#N/A</v>
      </c>
      <c r="GVW43" s="380" t="e">
        <f t="shared" si="87"/>
        <v>#N/A</v>
      </c>
      <c r="GVX43" s="380" t="e">
        <f t="shared" si="87"/>
        <v>#N/A</v>
      </c>
      <c r="GVY43" s="380" t="e">
        <f t="shared" si="87"/>
        <v>#N/A</v>
      </c>
      <c r="GVZ43" s="380" t="e">
        <f t="shared" si="87"/>
        <v>#N/A</v>
      </c>
      <c r="GWA43" s="380" t="e">
        <f t="shared" si="87"/>
        <v>#N/A</v>
      </c>
      <c r="GWB43" s="380" t="e">
        <f t="shared" si="87"/>
        <v>#N/A</v>
      </c>
      <c r="GWC43" s="380" t="e">
        <f t="shared" si="87"/>
        <v>#N/A</v>
      </c>
      <c r="GWD43" s="380" t="e">
        <f t="shared" si="87"/>
        <v>#N/A</v>
      </c>
      <c r="GWE43" s="380" t="e">
        <f t="shared" si="87"/>
        <v>#N/A</v>
      </c>
      <c r="GWF43" s="380" t="e">
        <f t="shared" si="87"/>
        <v>#N/A</v>
      </c>
      <c r="GWG43" s="380" t="e">
        <f t="shared" si="87"/>
        <v>#N/A</v>
      </c>
      <c r="GWH43" s="380" t="e">
        <f t="shared" si="87"/>
        <v>#N/A</v>
      </c>
      <c r="GWI43" s="380" t="e">
        <f t="shared" si="87"/>
        <v>#N/A</v>
      </c>
      <c r="GWJ43" s="380" t="e">
        <f t="shared" si="87"/>
        <v>#N/A</v>
      </c>
      <c r="GWK43" s="380" t="e">
        <f t="shared" si="87"/>
        <v>#N/A</v>
      </c>
      <c r="GWL43" s="380" t="e">
        <f t="shared" si="87"/>
        <v>#N/A</v>
      </c>
      <c r="GWM43" s="380" t="e">
        <f t="shared" si="87"/>
        <v>#N/A</v>
      </c>
      <c r="GWN43" s="380" t="e">
        <f t="shared" si="87"/>
        <v>#N/A</v>
      </c>
      <c r="GWO43" s="380" t="e">
        <f t="shared" si="87"/>
        <v>#N/A</v>
      </c>
      <c r="GWP43" s="380" t="e">
        <f t="shared" si="87"/>
        <v>#N/A</v>
      </c>
      <c r="GWQ43" s="380" t="e">
        <f t="shared" si="87"/>
        <v>#N/A</v>
      </c>
      <c r="GWR43" s="380" t="e">
        <f t="shared" si="87"/>
        <v>#N/A</v>
      </c>
      <c r="GWS43" s="380" t="e">
        <f t="shared" si="87"/>
        <v>#N/A</v>
      </c>
      <c r="GWT43" s="380" t="e">
        <f t="shared" si="87"/>
        <v>#N/A</v>
      </c>
      <c r="GWU43" s="380" t="e">
        <f t="shared" si="87"/>
        <v>#N/A</v>
      </c>
      <c r="GWV43" s="380" t="e">
        <f t="shared" si="87"/>
        <v>#N/A</v>
      </c>
      <c r="GWW43" s="380" t="e">
        <f t="shared" si="87"/>
        <v>#N/A</v>
      </c>
      <c r="GWX43" s="380" t="e">
        <f t="shared" si="87"/>
        <v>#N/A</v>
      </c>
      <c r="GWY43" s="380" t="e">
        <f t="shared" si="87"/>
        <v>#N/A</v>
      </c>
      <c r="GWZ43" s="380" t="e">
        <f t="shared" si="87"/>
        <v>#N/A</v>
      </c>
      <c r="GXA43" s="380" t="e">
        <f t="shared" si="87"/>
        <v>#N/A</v>
      </c>
      <c r="GXB43" s="380" t="e">
        <f t="shared" si="87"/>
        <v>#N/A</v>
      </c>
      <c r="GXC43" s="380" t="e">
        <f t="shared" si="87"/>
        <v>#N/A</v>
      </c>
      <c r="GXD43" s="380" t="e">
        <f t="shared" si="87"/>
        <v>#N/A</v>
      </c>
      <c r="GXE43" s="380" t="e">
        <f t="shared" si="87"/>
        <v>#N/A</v>
      </c>
      <c r="GXF43" s="380" t="e">
        <f t="shared" si="87"/>
        <v>#N/A</v>
      </c>
      <c r="GXG43" s="380" t="e">
        <f t="shared" si="87"/>
        <v>#N/A</v>
      </c>
      <c r="GXH43" s="380" t="e">
        <f t="shared" si="87"/>
        <v>#N/A</v>
      </c>
      <c r="GXI43" s="380" t="e">
        <f t="shared" si="87"/>
        <v>#N/A</v>
      </c>
      <c r="GXJ43" s="380" t="e">
        <f t="shared" si="87"/>
        <v>#N/A</v>
      </c>
      <c r="GXK43" s="380" t="e">
        <f t="shared" si="87"/>
        <v>#N/A</v>
      </c>
      <c r="GXL43" s="380" t="e">
        <f t="shared" si="87"/>
        <v>#N/A</v>
      </c>
      <c r="GXM43" s="380" t="e">
        <f t="shared" si="87"/>
        <v>#N/A</v>
      </c>
      <c r="GXN43" s="380" t="e">
        <f t="shared" si="87"/>
        <v>#N/A</v>
      </c>
      <c r="GXO43" s="380" t="e">
        <f t="shared" si="87"/>
        <v>#N/A</v>
      </c>
      <c r="GXP43" s="380" t="e">
        <f t="shared" si="87"/>
        <v>#N/A</v>
      </c>
      <c r="GXQ43" s="380" t="e">
        <f t="shared" si="87"/>
        <v>#N/A</v>
      </c>
      <c r="GXR43" s="380" t="e">
        <f t="shared" si="87"/>
        <v>#N/A</v>
      </c>
      <c r="GXS43" s="380" t="e">
        <f t="shared" si="87"/>
        <v>#N/A</v>
      </c>
      <c r="GXT43" s="380" t="e">
        <f t="shared" si="87"/>
        <v>#N/A</v>
      </c>
      <c r="GXU43" s="380" t="e">
        <f t="shared" si="87"/>
        <v>#N/A</v>
      </c>
      <c r="GXV43" s="380" t="e">
        <f t="shared" si="87"/>
        <v>#N/A</v>
      </c>
      <c r="GXW43" s="380" t="e">
        <f t="shared" si="87"/>
        <v>#N/A</v>
      </c>
      <c r="GXX43" s="380" t="e">
        <f t="shared" si="87"/>
        <v>#N/A</v>
      </c>
      <c r="GXY43" s="380" t="e">
        <f t="shared" si="87"/>
        <v>#N/A</v>
      </c>
      <c r="GXZ43" s="380" t="e">
        <f t="shared" si="87"/>
        <v>#N/A</v>
      </c>
      <c r="GYA43" s="380" t="e">
        <f t="shared" si="87"/>
        <v>#N/A</v>
      </c>
      <c r="GYB43" s="380" t="e">
        <f t="shared" ref="GYB43:HAM43" si="88">INDEX(GYB7:GYB40,MATCH($E$43,$E$7:$E$40,0))</f>
        <v>#N/A</v>
      </c>
      <c r="GYC43" s="380" t="e">
        <f t="shared" si="88"/>
        <v>#N/A</v>
      </c>
      <c r="GYD43" s="380" t="e">
        <f t="shared" si="88"/>
        <v>#N/A</v>
      </c>
      <c r="GYE43" s="380" t="e">
        <f t="shared" si="88"/>
        <v>#N/A</v>
      </c>
      <c r="GYF43" s="380" t="e">
        <f t="shared" si="88"/>
        <v>#N/A</v>
      </c>
      <c r="GYG43" s="380" t="e">
        <f t="shared" si="88"/>
        <v>#N/A</v>
      </c>
      <c r="GYH43" s="380" t="e">
        <f t="shared" si="88"/>
        <v>#N/A</v>
      </c>
      <c r="GYI43" s="380" t="e">
        <f t="shared" si="88"/>
        <v>#N/A</v>
      </c>
      <c r="GYJ43" s="380" t="e">
        <f t="shared" si="88"/>
        <v>#N/A</v>
      </c>
      <c r="GYK43" s="380" t="e">
        <f t="shared" si="88"/>
        <v>#N/A</v>
      </c>
      <c r="GYL43" s="380" t="e">
        <f t="shared" si="88"/>
        <v>#N/A</v>
      </c>
      <c r="GYM43" s="380" t="e">
        <f t="shared" si="88"/>
        <v>#N/A</v>
      </c>
      <c r="GYN43" s="380" t="e">
        <f t="shared" si="88"/>
        <v>#N/A</v>
      </c>
      <c r="GYO43" s="380" t="e">
        <f t="shared" si="88"/>
        <v>#N/A</v>
      </c>
      <c r="GYP43" s="380" t="e">
        <f t="shared" si="88"/>
        <v>#N/A</v>
      </c>
      <c r="GYQ43" s="380" t="e">
        <f t="shared" si="88"/>
        <v>#N/A</v>
      </c>
      <c r="GYR43" s="380" t="e">
        <f t="shared" si="88"/>
        <v>#N/A</v>
      </c>
      <c r="GYS43" s="380" t="e">
        <f t="shared" si="88"/>
        <v>#N/A</v>
      </c>
      <c r="GYT43" s="380" t="e">
        <f t="shared" si="88"/>
        <v>#N/A</v>
      </c>
      <c r="GYU43" s="380" t="e">
        <f t="shared" si="88"/>
        <v>#N/A</v>
      </c>
      <c r="GYV43" s="380" t="e">
        <f t="shared" si="88"/>
        <v>#N/A</v>
      </c>
      <c r="GYW43" s="380" t="e">
        <f t="shared" si="88"/>
        <v>#N/A</v>
      </c>
      <c r="GYX43" s="380" t="e">
        <f t="shared" si="88"/>
        <v>#N/A</v>
      </c>
      <c r="GYY43" s="380" t="e">
        <f t="shared" si="88"/>
        <v>#N/A</v>
      </c>
      <c r="GYZ43" s="380" t="e">
        <f t="shared" si="88"/>
        <v>#N/A</v>
      </c>
      <c r="GZA43" s="380" t="e">
        <f t="shared" si="88"/>
        <v>#N/A</v>
      </c>
      <c r="GZB43" s="380" t="e">
        <f t="shared" si="88"/>
        <v>#N/A</v>
      </c>
      <c r="GZC43" s="380" t="e">
        <f t="shared" si="88"/>
        <v>#N/A</v>
      </c>
      <c r="GZD43" s="380" t="e">
        <f t="shared" si="88"/>
        <v>#N/A</v>
      </c>
      <c r="GZE43" s="380" t="e">
        <f t="shared" si="88"/>
        <v>#N/A</v>
      </c>
      <c r="GZF43" s="380" t="e">
        <f t="shared" si="88"/>
        <v>#N/A</v>
      </c>
      <c r="GZG43" s="380" t="e">
        <f t="shared" si="88"/>
        <v>#N/A</v>
      </c>
      <c r="GZH43" s="380" t="e">
        <f t="shared" si="88"/>
        <v>#N/A</v>
      </c>
      <c r="GZI43" s="380" t="e">
        <f t="shared" si="88"/>
        <v>#N/A</v>
      </c>
      <c r="GZJ43" s="380" t="e">
        <f t="shared" si="88"/>
        <v>#N/A</v>
      </c>
      <c r="GZK43" s="380" t="e">
        <f t="shared" si="88"/>
        <v>#N/A</v>
      </c>
      <c r="GZL43" s="380" t="e">
        <f t="shared" si="88"/>
        <v>#N/A</v>
      </c>
      <c r="GZM43" s="380" t="e">
        <f t="shared" si="88"/>
        <v>#N/A</v>
      </c>
      <c r="GZN43" s="380" t="e">
        <f t="shared" si="88"/>
        <v>#N/A</v>
      </c>
      <c r="GZO43" s="380" t="e">
        <f t="shared" si="88"/>
        <v>#N/A</v>
      </c>
      <c r="GZP43" s="380" t="e">
        <f t="shared" si="88"/>
        <v>#N/A</v>
      </c>
      <c r="GZQ43" s="380" t="e">
        <f t="shared" si="88"/>
        <v>#N/A</v>
      </c>
      <c r="GZR43" s="380" t="e">
        <f t="shared" si="88"/>
        <v>#N/A</v>
      </c>
      <c r="GZS43" s="380" t="e">
        <f t="shared" si="88"/>
        <v>#N/A</v>
      </c>
      <c r="GZT43" s="380" t="e">
        <f t="shared" si="88"/>
        <v>#N/A</v>
      </c>
      <c r="GZU43" s="380" t="e">
        <f t="shared" si="88"/>
        <v>#N/A</v>
      </c>
      <c r="GZV43" s="380" t="e">
        <f t="shared" si="88"/>
        <v>#N/A</v>
      </c>
      <c r="GZW43" s="380" t="e">
        <f t="shared" si="88"/>
        <v>#N/A</v>
      </c>
      <c r="GZX43" s="380" t="e">
        <f t="shared" si="88"/>
        <v>#N/A</v>
      </c>
      <c r="GZY43" s="380" t="e">
        <f t="shared" si="88"/>
        <v>#N/A</v>
      </c>
      <c r="GZZ43" s="380" t="e">
        <f t="shared" si="88"/>
        <v>#N/A</v>
      </c>
      <c r="HAA43" s="380" t="e">
        <f t="shared" si="88"/>
        <v>#N/A</v>
      </c>
      <c r="HAB43" s="380" t="e">
        <f t="shared" si="88"/>
        <v>#N/A</v>
      </c>
      <c r="HAC43" s="380" t="e">
        <f t="shared" si="88"/>
        <v>#N/A</v>
      </c>
      <c r="HAD43" s="380" t="e">
        <f t="shared" si="88"/>
        <v>#N/A</v>
      </c>
      <c r="HAE43" s="380" t="e">
        <f t="shared" si="88"/>
        <v>#N/A</v>
      </c>
      <c r="HAF43" s="380" t="e">
        <f t="shared" si="88"/>
        <v>#N/A</v>
      </c>
      <c r="HAG43" s="380" t="e">
        <f t="shared" si="88"/>
        <v>#N/A</v>
      </c>
      <c r="HAH43" s="380" t="e">
        <f t="shared" si="88"/>
        <v>#N/A</v>
      </c>
      <c r="HAI43" s="380" t="e">
        <f t="shared" si="88"/>
        <v>#N/A</v>
      </c>
      <c r="HAJ43" s="380" t="e">
        <f t="shared" si="88"/>
        <v>#N/A</v>
      </c>
      <c r="HAK43" s="380" t="e">
        <f t="shared" si="88"/>
        <v>#N/A</v>
      </c>
      <c r="HAL43" s="380" t="e">
        <f t="shared" si="88"/>
        <v>#N/A</v>
      </c>
      <c r="HAM43" s="380" t="e">
        <f t="shared" si="88"/>
        <v>#N/A</v>
      </c>
      <c r="HAN43" s="380" t="e">
        <f t="shared" ref="HAN43:HCY43" si="89">INDEX(HAN7:HAN40,MATCH($E$43,$E$7:$E$40,0))</f>
        <v>#N/A</v>
      </c>
      <c r="HAO43" s="380" t="e">
        <f t="shared" si="89"/>
        <v>#N/A</v>
      </c>
      <c r="HAP43" s="380" t="e">
        <f t="shared" si="89"/>
        <v>#N/A</v>
      </c>
      <c r="HAQ43" s="380" t="e">
        <f t="shared" si="89"/>
        <v>#N/A</v>
      </c>
      <c r="HAR43" s="380" t="e">
        <f t="shared" si="89"/>
        <v>#N/A</v>
      </c>
      <c r="HAS43" s="380" t="e">
        <f t="shared" si="89"/>
        <v>#N/A</v>
      </c>
      <c r="HAT43" s="380" t="e">
        <f t="shared" si="89"/>
        <v>#N/A</v>
      </c>
      <c r="HAU43" s="380" t="e">
        <f t="shared" si="89"/>
        <v>#N/A</v>
      </c>
      <c r="HAV43" s="380" t="e">
        <f t="shared" si="89"/>
        <v>#N/A</v>
      </c>
      <c r="HAW43" s="380" t="e">
        <f t="shared" si="89"/>
        <v>#N/A</v>
      </c>
      <c r="HAX43" s="380" t="e">
        <f t="shared" si="89"/>
        <v>#N/A</v>
      </c>
      <c r="HAY43" s="380" t="e">
        <f t="shared" si="89"/>
        <v>#N/A</v>
      </c>
      <c r="HAZ43" s="380" t="e">
        <f t="shared" si="89"/>
        <v>#N/A</v>
      </c>
      <c r="HBA43" s="380" t="e">
        <f t="shared" si="89"/>
        <v>#N/A</v>
      </c>
      <c r="HBB43" s="380" t="e">
        <f t="shared" si="89"/>
        <v>#N/A</v>
      </c>
      <c r="HBC43" s="380" t="e">
        <f t="shared" si="89"/>
        <v>#N/A</v>
      </c>
      <c r="HBD43" s="380" t="e">
        <f t="shared" si="89"/>
        <v>#N/A</v>
      </c>
      <c r="HBE43" s="380" t="e">
        <f t="shared" si="89"/>
        <v>#N/A</v>
      </c>
      <c r="HBF43" s="380" t="e">
        <f t="shared" si="89"/>
        <v>#N/A</v>
      </c>
      <c r="HBG43" s="380" t="e">
        <f t="shared" si="89"/>
        <v>#N/A</v>
      </c>
      <c r="HBH43" s="380" t="e">
        <f t="shared" si="89"/>
        <v>#N/A</v>
      </c>
      <c r="HBI43" s="380" t="e">
        <f t="shared" si="89"/>
        <v>#N/A</v>
      </c>
      <c r="HBJ43" s="380" t="e">
        <f t="shared" si="89"/>
        <v>#N/A</v>
      </c>
      <c r="HBK43" s="380" t="e">
        <f t="shared" si="89"/>
        <v>#N/A</v>
      </c>
      <c r="HBL43" s="380" t="e">
        <f t="shared" si="89"/>
        <v>#N/A</v>
      </c>
      <c r="HBM43" s="380" t="e">
        <f t="shared" si="89"/>
        <v>#N/A</v>
      </c>
      <c r="HBN43" s="380" t="e">
        <f t="shared" si="89"/>
        <v>#N/A</v>
      </c>
      <c r="HBO43" s="380" t="e">
        <f t="shared" si="89"/>
        <v>#N/A</v>
      </c>
      <c r="HBP43" s="380" t="e">
        <f t="shared" si="89"/>
        <v>#N/A</v>
      </c>
      <c r="HBQ43" s="380" t="e">
        <f t="shared" si="89"/>
        <v>#N/A</v>
      </c>
      <c r="HBR43" s="380" t="e">
        <f t="shared" si="89"/>
        <v>#N/A</v>
      </c>
      <c r="HBS43" s="380" t="e">
        <f t="shared" si="89"/>
        <v>#N/A</v>
      </c>
      <c r="HBT43" s="380" t="e">
        <f t="shared" si="89"/>
        <v>#N/A</v>
      </c>
      <c r="HBU43" s="380" t="e">
        <f t="shared" si="89"/>
        <v>#N/A</v>
      </c>
      <c r="HBV43" s="380" t="e">
        <f t="shared" si="89"/>
        <v>#N/A</v>
      </c>
      <c r="HBW43" s="380" t="e">
        <f t="shared" si="89"/>
        <v>#N/A</v>
      </c>
      <c r="HBX43" s="380" t="e">
        <f t="shared" si="89"/>
        <v>#N/A</v>
      </c>
      <c r="HBY43" s="380" t="e">
        <f t="shared" si="89"/>
        <v>#N/A</v>
      </c>
      <c r="HBZ43" s="380" t="e">
        <f t="shared" si="89"/>
        <v>#N/A</v>
      </c>
      <c r="HCA43" s="380" t="e">
        <f t="shared" si="89"/>
        <v>#N/A</v>
      </c>
      <c r="HCB43" s="380" t="e">
        <f t="shared" si="89"/>
        <v>#N/A</v>
      </c>
      <c r="HCC43" s="380" t="e">
        <f t="shared" si="89"/>
        <v>#N/A</v>
      </c>
      <c r="HCD43" s="380" t="e">
        <f t="shared" si="89"/>
        <v>#N/A</v>
      </c>
      <c r="HCE43" s="380" t="e">
        <f t="shared" si="89"/>
        <v>#N/A</v>
      </c>
      <c r="HCF43" s="380" t="e">
        <f t="shared" si="89"/>
        <v>#N/A</v>
      </c>
      <c r="HCG43" s="380" t="e">
        <f t="shared" si="89"/>
        <v>#N/A</v>
      </c>
      <c r="HCH43" s="380" t="e">
        <f t="shared" si="89"/>
        <v>#N/A</v>
      </c>
      <c r="HCI43" s="380" t="e">
        <f t="shared" si="89"/>
        <v>#N/A</v>
      </c>
      <c r="HCJ43" s="380" t="e">
        <f t="shared" si="89"/>
        <v>#N/A</v>
      </c>
      <c r="HCK43" s="380" t="e">
        <f t="shared" si="89"/>
        <v>#N/A</v>
      </c>
      <c r="HCL43" s="380" t="e">
        <f t="shared" si="89"/>
        <v>#N/A</v>
      </c>
      <c r="HCM43" s="380" t="e">
        <f t="shared" si="89"/>
        <v>#N/A</v>
      </c>
      <c r="HCN43" s="380" t="e">
        <f t="shared" si="89"/>
        <v>#N/A</v>
      </c>
      <c r="HCO43" s="380" t="e">
        <f t="shared" si="89"/>
        <v>#N/A</v>
      </c>
      <c r="HCP43" s="380" t="e">
        <f t="shared" si="89"/>
        <v>#N/A</v>
      </c>
      <c r="HCQ43" s="380" t="e">
        <f t="shared" si="89"/>
        <v>#N/A</v>
      </c>
      <c r="HCR43" s="380" t="e">
        <f t="shared" si="89"/>
        <v>#N/A</v>
      </c>
      <c r="HCS43" s="380" t="e">
        <f t="shared" si="89"/>
        <v>#N/A</v>
      </c>
      <c r="HCT43" s="380" t="e">
        <f t="shared" si="89"/>
        <v>#N/A</v>
      </c>
      <c r="HCU43" s="380" t="e">
        <f t="shared" si="89"/>
        <v>#N/A</v>
      </c>
      <c r="HCV43" s="380" t="e">
        <f t="shared" si="89"/>
        <v>#N/A</v>
      </c>
      <c r="HCW43" s="380" t="e">
        <f t="shared" si="89"/>
        <v>#N/A</v>
      </c>
      <c r="HCX43" s="380" t="e">
        <f t="shared" si="89"/>
        <v>#N/A</v>
      </c>
      <c r="HCY43" s="380" t="e">
        <f t="shared" si="89"/>
        <v>#N/A</v>
      </c>
      <c r="HCZ43" s="380" t="e">
        <f t="shared" ref="HCZ43:HFK43" si="90">INDEX(HCZ7:HCZ40,MATCH($E$43,$E$7:$E$40,0))</f>
        <v>#N/A</v>
      </c>
      <c r="HDA43" s="380" t="e">
        <f t="shared" si="90"/>
        <v>#N/A</v>
      </c>
      <c r="HDB43" s="380" t="e">
        <f t="shared" si="90"/>
        <v>#N/A</v>
      </c>
      <c r="HDC43" s="380" t="e">
        <f t="shared" si="90"/>
        <v>#N/A</v>
      </c>
      <c r="HDD43" s="380" t="e">
        <f t="shared" si="90"/>
        <v>#N/A</v>
      </c>
      <c r="HDE43" s="380" t="e">
        <f t="shared" si="90"/>
        <v>#N/A</v>
      </c>
      <c r="HDF43" s="380" t="e">
        <f t="shared" si="90"/>
        <v>#N/A</v>
      </c>
      <c r="HDG43" s="380" t="e">
        <f t="shared" si="90"/>
        <v>#N/A</v>
      </c>
      <c r="HDH43" s="380" t="e">
        <f t="shared" si="90"/>
        <v>#N/A</v>
      </c>
      <c r="HDI43" s="380" t="e">
        <f t="shared" si="90"/>
        <v>#N/A</v>
      </c>
      <c r="HDJ43" s="380" t="e">
        <f t="shared" si="90"/>
        <v>#N/A</v>
      </c>
      <c r="HDK43" s="380" t="e">
        <f t="shared" si="90"/>
        <v>#N/A</v>
      </c>
      <c r="HDL43" s="380" t="e">
        <f t="shared" si="90"/>
        <v>#N/A</v>
      </c>
      <c r="HDM43" s="380" t="e">
        <f t="shared" si="90"/>
        <v>#N/A</v>
      </c>
      <c r="HDN43" s="380" t="e">
        <f t="shared" si="90"/>
        <v>#N/A</v>
      </c>
      <c r="HDO43" s="380" t="e">
        <f t="shared" si="90"/>
        <v>#N/A</v>
      </c>
      <c r="HDP43" s="380" t="e">
        <f t="shared" si="90"/>
        <v>#N/A</v>
      </c>
      <c r="HDQ43" s="380" t="e">
        <f t="shared" si="90"/>
        <v>#N/A</v>
      </c>
      <c r="HDR43" s="380" t="e">
        <f t="shared" si="90"/>
        <v>#N/A</v>
      </c>
      <c r="HDS43" s="380" t="e">
        <f t="shared" si="90"/>
        <v>#N/A</v>
      </c>
      <c r="HDT43" s="380" t="e">
        <f t="shared" si="90"/>
        <v>#N/A</v>
      </c>
      <c r="HDU43" s="380" t="e">
        <f t="shared" si="90"/>
        <v>#N/A</v>
      </c>
      <c r="HDV43" s="380" t="e">
        <f t="shared" si="90"/>
        <v>#N/A</v>
      </c>
      <c r="HDW43" s="380" t="e">
        <f t="shared" si="90"/>
        <v>#N/A</v>
      </c>
      <c r="HDX43" s="380" t="e">
        <f t="shared" si="90"/>
        <v>#N/A</v>
      </c>
      <c r="HDY43" s="380" t="e">
        <f t="shared" si="90"/>
        <v>#N/A</v>
      </c>
      <c r="HDZ43" s="380" t="e">
        <f t="shared" si="90"/>
        <v>#N/A</v>
      </c>
      <c r="HEA43" s="380" t="e">
        <f t="shared" si="90"/>
        <v>#N/A</v>
      </c>
      <c r="HEB43" s="380" t="e">
        <f t="shared" si="90"/>
        <v>#N/A</v>
      </c>
      <c r="HEC43" s="380" t="e">
        <f t="shared" si="90"/>
        <v>#N/A</v>
      </c>
      <c r="HED43" s="380" t="e">
        <f t="shared" si="90"/>
        <v>#N/A</v>
      </c>
      <c r="HEE43" s="380" t="e">
        <f t="shared" si="90"/>
        <v>#N/A</v>
      </c>
      <c r="HEF43" s="380" t="e">
        <f t="shared" si="90"/>
        <v>#N/A</v>
      </c>
      <c r="HEG43" s="380" t="e">
        <f t="shared" si="90"/>
        <v>#N/A</v>
      </c>
      <c r="HEH43" s="380" t="e">
        <f t="shared" si="90"/>
        <v>#N/A</v>
      </c>
      <c r="HEI43" s="380" t="e">
        <f t="shared" si="90"/>
        <v>#N/A</v>
      </c>
      <c r="HEJ43" s="380" t="e">
        <f t="shared" si="90"/>
        <v>#N/A</v>
      </c>
      <c r="HEK43" s="380" t="e">
        <f t="shared" si="90"/>
        <v>#N/A</v>
      </c>
      <c r="HEL43" s="380" t="e">
        <f t="shared" si="90"/>
        <v>#N/A</v>
      </c>
      <c r="HEM43" s="380" t="e">
        <f t="shared" si="90"/>
        <v>#N/A</v>
      </c>
      <c r="HEN43" s="380" t="e">
        <f t="shared" si="90"/>
        <v>#N/A</v>
      </c>
      <c r="HEO43" s="380" t="e">
        <f t="shared" si="90"/>
        <v>#N/A</v>
      </c>
      <c r="HEP43" s="380" t="e">
        <f t="shared" si="90"/>
        <v>#N/A</v>
      </c>
      <c r="HEQ43" s="380" t="e">
        <f t="shared" si="90"/>
        <v>#N/A</v>
      </c>
      <c r="HER43" s="380" t="e">
        <f t="shared" si="90"/>
        <v>#N/A</v>
      </c>
      <c r="HES43" s="380" t="e">
        <f t="shared" si="90"/>
        <v>#N/A</v>
      </c>
      <c r="HET43" s="380" t="e">
        <f t="shared" si="90"/>
        <v>#N/A</v>
      </c>
      <c r="HEU43" s="380" t="e">
        <f t="shared" si="90"/>
        <v>#N/A</v>
      </c>
      <c r="HEV43" s="380" t="e">
        <f t="shared" si="90"/>
        <v>#N/A</v>
      </c>
      <c r="HEW43" s="380" t="e">
        <f t="shared" si="90"/>
        <v>#N/A</v>
      </c>
      <c r="HEX43" s="380" t="e">
        <f t="shared" si="90"/>
        <v>#N/A</v>
      </c>
      <c r="HEY43" s="380" t="e">
        <f t="shared" si="90"/>
        <v>#N/A</v>
      </c>
      <c r="HEZ43" s="380" t="e">
        <f t="shared" si="90"/>
        <v>#N/A</v>
      </c>
      <c r="HFA43" s="380" t="e">
        <f t="shared" si="90"/>
        <v>#N/A</v>
      </c>
      <c r="HFB43" s="380" t="e">
        <f t="shared" si="90"/>
        <v>#N/A</v>
      </c>
      <c r="HFC43" s="380" t="e">
        <f t="shared" si="90"/>
        <v>#N/A</v>
      </c>
      <c r="HFD43" s="380" t="e">
        <f t="shared" si="90"/>
        <v>#N/A</v>
      </c>
      <c r="HFE43" s="380" t="e">
        <f t="shared" si="90"/>
        <v>#N/A</v>
      </c>
      <c r="HFF43" s="380" t="e">
        <f t="shared" si="90"/>
        <v>#N/A</v>
      </c>
      <c r="HFG43" s="380" t="e">
        <f t="shared" si="90"/>
        <v>#N/A</v>
      </c>
      <c r="HFH43" s="380" t="e">
        <f t="shared" si="90"/>
        <v>#N/A</v>
      </c>
      <c r="HFI43" s="380" t="e">
        <f t="shared" si="90"/>
        <v>#N/A</v>
      </c>
      <c r="HFJ43" s="380" t="e">
        <f t="shared" si="90"/>
        <v>#N/A</v>
      </c>
      <c r="HFK43" s="380" t="e">
        <f t="shared" si="90"/>
        <v>#N/A</v>
      </c>
      <c r="HFL43" s="380" t="e">
        <f t="shared" ref="HFL43:HHW43" si="91">INDEX(HFL7:HFL40,MATCH($E$43,$E$7:$E$40,0))</f>
        <v>#N/A</v>
      </c>
      <c r="HFM43" s="380" t="e">
        <f t="shared" si="91"/>
        <v>#N/A</v>
      </c>
      <c r="HFN43" s="380" t="e">
        <f t="shared" si="91"/>
        <v>#N/A</v>
      </c>
      <c r="HFO43" s="380" t="e">
        <f t="shared" si="91"/>
        <v>#N/A</v>
      </c>
      <c r="HFP43" s="380" t="e">
        <f t="shared" si="91"/>
        <v>#N/A</v>
      </c>
      <c r="HFQ43" s="380" t="e">
        <f t="shared" si="91"/>
        <v>#N/A</v>
      </c>
      <c r="HFR43" s="380" t="e">
        <f t="shared" si="91"/>
        <v>#N/A</v>
      </c>
      <c r="HFS43" s="380" t="e">
        <f t="shared" si="91"/>
        <v>#N/A</v>
      </c>
      <c r="HFT43" s="380" t="e">
        <f t="shared" si="91"/>
        <v>#N/A</v>
      </c>
      <c r="HFU43" s="380" t="e">
        <f t="shared" si="91"/>
        <v>#N/A</v>
      </c>
      <c r="HFV43" s="380" t="e">
        <f t="shared" si="91"/>
        <v>#N/A</v>
      </c>
      <c r="HFW43" s="380" t="e">
        <f t="shared" si="91"/>
        <v>#N/A</v>
      </c>
      <c r="HFX43" s="380" t="e">
        <f t="shared" si="91"/>
        <v>#N/A</v>
      </c>
      <c r="HFY43" s="380" t="e">
        <f t="shared" si="91"/>
        <v>#N/A</v>
      </c>
      <c r="HFZ43" s="380" t="e">
        <f t="shared" si="91"/>
        <v>#N/A</v>
      </c>
      <c r="HGA43" s="380" t="e">
        <f t="shared" si="91"/>
        <v>#N/A</v>
      </c>
      <c r="HGB43" s="380" t="e">
        <f t="shared" si="91"/>
        <v>#N/A</v>
      </c>
      <c r="HGC43" s="380" t="e">
        <f t="shared" si="91"/>
        <v>#N/A</v>
      </c>
      <c r="HGD43" s="380" t="e">
        <f t="shared" si="91"/>
        <v>#N/A</v>
      </c>
      <c r="HGE43" s="380" t="e">
        <f t="shared" si="91"/>
        <v>#N/A</v>
      </c>
      <c r="HGF43" s="380" t="e">
        <f t="shared" si="91"/>
        <v>#N/A</v>
      </c>
      <c r="HGG43" s="380" t="e">
        <f t="shared" si="91"/>
        <v>#N/A</v>
      </c>
      <c r="HGH43" s="380" t="e">
        <f t="shared" si="91"/>
        <v>#N/A</v>
      </c>
      <c r="HGI43" s="380" t="e">
        <f t="shared" si="91"/>
        <v>#N/A</v>
      </c>
      <c r="HGJ43" s="380" t="e">
        <f t="shared" si="91"/>
        <v>#N/A</v>
      </c>
      <c r="HGK43" s="380" t="e">
        <f t="shared" si="91"/>
        <v>#N/A</v>
      </c>
      <c r="HGL43" s="380" t="e">
        <f t="shared" si="91"/>
        <v>#N/A</v>
      </c>
      <c r="HGM43" s="380" t="e">
        <f t="shared" si="91"/>
        <v>#N/A</v>
      </c>
      <c r="HGN43" s="380" t="e">
        <f t="shared" si="91"/>
        <v>#N/A</v>
      </c>
      <c r="HGO43" s="380" t="e">
        <f t="shared" si="91"/>
        <v>#N/A</v>
      </c>
      <c r="HGP43" s="380" t="e">
        <f t="shared" si="91"/>
        <v>#N/A</v>
      </c>
      <c r="HGQ43" s="380" t="e">
        <f t="shared" si="91"/>
        <v>#N/A</v>
      </c>
      <c r="HGR43" s="380" t="e">
        <f t="shared" si="91"/>
        <v>#N/A</v>
      </c>
      <c r="HGS43" s="380" t="e">
        <f t="shared" si="91"/>
        <v>#N/A</v>
      </c>
      <c r="HGT43" s="380" t="e">
        <f t="shared" si="91"/>
        <v>#N/A</v>
      </c>
      <c r="HGU43" s="380" t="e">
        <f t="shared" si="91"/>
        <v>#N/A</v>
      </c>
      <c r="HGV43" s="380" t="e">
        <f t="shared" si="91"/>
        <v>#N/A</v>
      </c>
      <c r="HGW43" s="380" t="e">
        <f t="shared" si="91"/>
        <v>#N/A</v>
      </c>
      <c r="HGX43" s="380" t="e">
        <f t="shared" si="91"/>
        <v>#N/A</v>
      </c>
      <c r="HGY43" s="380" t="e">
        <f t="shared" si="91"/>
        <v>#N/A</v>
      </c>
      <c r="HGZ43" s="380" t="e">
        <f t="shared" si="91"/>
        <v>#N/A</v>
      </c>
      <c r="HHA43" s="380" t="e">
        <f t="shared" si="91"/>
        <v>#N/A</v>
      </c>
      <c r="HHB43" s="380" t="e">
        <f t="shared" si="91"/>
        <v>#N/A</v>
      </c>
      <c r="HHC43" s="380" t="e">
        <f t="shared" si="91"/>
        <v>#N/A</v>
      </c>
      <c r="HHD43" s="380" t="e">
        <f t="shared" si="91"/>
        <v>#N/A</v>
      </c>
      <c r="HHE43" s="380" t="e">
        <f t="shared" si="91"/>
        <v>#N/A</v>
      </c>
      <c r="HHF43" s="380" t="e">
        <f t="shared" si="91"/>
        <v>#N/A</v>
      </c>
      <c r="HHG43" s="380" t="e">
        <f t="shared" si="91"/>
        <v>#N/A</v>
      </c>
      <c r="HHH43" s="380" t="e">
        <f t="shared" si="91"/>
        <v>#N/A</v>
      </c>
      <c r="HHI43" s="380" t="e">
        <f t="shared" si="91"/>
        <v>#N/A</v>
      </c>
      <c r="HHJ43" s="380" t="e">
        <f t="shared" si="91"/>
        <v>#N/A</v>
      </c>
      <c r="HHK43" s="380" t="e">
        <f t="shared" si="91"/>
        <v>#N/A</v>
      </c>
      <c r="HHL43" s="380" t="e">
        <f t="shared" si="91"/>
        <v>#N/A</v>
      </c>
      <c r="HHM43" s="380" t="e">
        <f t="shared" si="91"/>
        <v>#N/A</v>
      </c>
      <c r="HHN43" s="380" t="e">
        <f t="shared" si="91"/>
        <v>#N/A</v>
      </c>
      <c r="HHO43" s="380" t="e">
        <f t="shared" si="91"/>
        <v>#N/A</v>
      </c>
      <c r="HHP43" s="380" t="e">
        <f t="shared" si="91"/>
        <v>#N/A</v>
      </c>
      <c r="HHQ43" s="380" t="e">
        <f t="shared" si="91"/>
        <v>#N/A</v>
      </c>
      <c r="HHR43" s="380" t="e">
        <f t="shared" si="91"/>
        <v>#N/A</v>
      </c>
      <c r="HHS43" s="380" t="e">
        <f t="shared" si="91"/>
        <v>#N/A</v>
      </c>
      <c r="HHT43" s="380" t="e">
        <f t="shared" si="91"/>
        <v>#N/A</v>
      </c>
      <c r="HHU43" s="380" t="e">
        <f t="shared" si="91"/>
        <v>#N/A</v>
      </c>
      <c r="HHV43" s="380" t="e">
        <f t="shared" si="91"/>
        <v>#N/A</v>
      </c>
      <c r="HHW43" s="380" t="e">
        <f t="shared" si="91"/>
        <v>#N/A</v>
      </c>
      <c r="HHX43" s="380" t="e">
        <f t="shared" ref="HHX43:HKI43" si="92">INDEX(HHX7:HHX40,MATCH($E$43,$E$7:$E$40,0))</f>
        <v>#N/A</v>
      </c>
      <c r="HHY43" s="380" t="e">
        <f t="shared" si="92"/>
        <v>#N/A</v>
      </c>
      <c r="HHZ43" s="380" t="e">
        <f t="shared" si="92"/>
        <v>#N/A</v>
      </c>
      <c r="HIA43" s="380" t="e">
        <f t="shared" si="92"/>
        <v>#N/A</v>
      </c>
      <c r="HIB43" s="380" t="e">
        <f t="shared" si="92"/>
        <v>#N/A</v>
      </c>
      <c r="HIC43" s="380" t="e">
        <f t="shared" si="92"/>
        <v>#N/A</v>
      </c>
      <c r="HID43" s="380" t="e">
        <f t="shared" si="92"/>
        <v>#N/A</v>
      </c>
      <c r="HIE43" s="380" t="e">
        <f t="shared" si="92"/>
        <v>#N/A</v>
      </c>
      <c r="HIF43" s="380" t="e">
        <f t="shared" si="92"/>
        <v>#N/A</v>
      </c>
      <c r="HIG43" s="380" t="e">
        <f t="shared" si="92"/>
        <v>#N/A</v>
      </c>
      <c r="HIH43" s="380" t="e">
        <f t="shared" si="92"/>
        <v>#N/A</v>
      </c>
      <c r="HII43" s="380" t="e">
        <f t="shared" si="92"/>
        <v>#N/A</v>
      </c>
      <c r="HIJ43" s="380" t="e">
        <f t="shared" si="92"/>
        <v>#N/A</v>
      </c>
      <c r="HIK43" s="380" t="e">
        <f t="shared" si="92"/>
        <v>#N/A</v>
      </c>
      <c r="HIL43" s="380" t="e">
        <f t="shared" si="92"/>
        <v>#N/A</v>
      </c>
      <c r="HIM43" s="380" t="e">
        <f t="shared" si="92"/>
        <v>#N/A</v>
      </c>
      <c r="HIN43" s="380" t="e">
        <f t="shared" si="92"/>
        <v>#N/A</v>
      </c>
      <c r="HIO43" s="380" t="e">
        <f t="shared" si="92"/>
        <v>#N/A</v>
      </c>
      <c r="HIP43" s="380" t="e">
        <f t="shared" si="92"/>
        <v>#N/A</v>
      </c>
      <c r="HIQ43" s="380" t="e">
        <f t="shared" si="92"/>
        <v>#N/A</v>
      </c>
      <c r="HIR43" s="380" t="e">
        <f t="shared" si="92"/>
        <v>#N/A</v>
      </c>
      <c r="HIS43" s="380" t="e">
        <f t="shared" si="92"/>
        <v>#N/A</v>
      </c>
      <c r="HIT43" s="380" t="e">
        <f t="shared" si="92"/>
        <v>#N/A</v>
      </c>
      <c r="HIU43" s="380" t="e">
        <f t="shared" si="92"/>
        <v>#N/A</v>
      </c>
      <c r="HIV43" s="380" t="e">
        <f t="shared" si="92"/>
        <v>#N/A</v>
      </c>
      <c r="HIW43" s="380" t="e">
        <f t="shared" si="92"/>
        <v>#N/A</v>
      </c>
      <c r="HIX43" s="380" t="e">
        <f t="shared" si="92"/>
        <v>#N/A</v>
      </c>
      <c r="HIY43" s="380" t="e">
        <f t="shared" si="92"/>
        <v>#N/A</v>
      </c>
      <c r="HIZ43" s="380" t="e">
        <f t="shared" si="92"/>
        <v>#N/A</v>
      </c>
      <c r="HJA43" s="380" t="e">
        <f t="shared" si="92"/>
        <v>#N/A</v>
      </c>
      <c r="HJB43" s="380" t="e">
        <f t="shared" si="92"/>
        <v>#N/A</v>
      </c>
      <c r="HJC43" s="380" t="e">
        <f t="shared" si="92"/>
        <v>#N/A</v>
      </c>
      <c r="HJD43" s="380" t="e">
        <f t="shared" si="92"/>
        <v>#N/A</v>
      </c>
      <c r="HJE43" s="380" t="e">
        <f t="shared" si="92"/>
        <v>#N/A</v>
      </c>
      <c r="HJF43" s="380" t="e">
        <f t="shared" si="92"/>
        <v>#N/A</v>
      </c>
      <c r="HJG43" s="380" t="e">
        <f t="shared" si="92"/>
        <v>#N/A</v>
      </c>
      <c r="HJH43" s="380" t="e">
        <f t="shared" si="92"/>
        <v>#N/A</v>
      </c>
      <c r="HJI43" s="380" t="e">
        <f t="shared" si="92"/>
        <v>#N/A</v>
      </c>
      <c r="HJJ43" s="380" t="e">
        <f t="shared" si="92"/>
        <v>#N/A</v>
      </c>
      <c r="HJK43" s="380" t="e">
        <f t="shared" si="92"/>
        <v>#N/A</v>
      </c>
      <c r="HJL43" s="380" t="e">
        <f t="shared" si="92"/>
        <v>#N/A</v>
      </c>
      <c r="HJM43" s="380" t="e">
        <f t="shared" si="92"/>
        <v>#N/A</v>
      </c>
      <c r="HJN43" s="380" t="e">
        <f t="shared" si="92"/>
        <v>#N/A</v>
      </c>
      <c r="HJO43" s="380" t="e">
        <f t="shared" si="92"/>
        <v>#N/A</v>
      </c>
      <c r="HJP43" s="380" t="e">
        <f t="shared" si="92"/>
        <v>#N/A</v>
      </c>
      <c r="HJQ43" s="380" t="e">
        <f t="shared" si="92"/>
        <v>#N/A</v>
      </c>
      <c r="HJR43" s="380" t="e">
        <f t="shared" si="92"/>
        <v>#N/A</v>
      </c>
      <c r="HJS43" s="380" t="e">
        <f t="shared" si="92"/>
        <v>#N/A</v>
      </c>
      <c r="HJT43" s="380" t="e">
        <f t="shared" si="92"/>
        <v>#N/A</v>
      </c>
      <c r="HJU43" s="380" t="e">
        <f t="shared" si="92"/>
        <v>#N/A</v>
      </c>
      <c r="HJV43" s="380" t="e">
        <f t="shared" si="92"/>
        <v>#N/A</v>
      </c>
      <c r="HJW43" s="380" t="e">
        <f t="shared" si="92"/>
        <v>#N/A</v>
      </c>
      <c r="HJX43" s="380" t="e">
        <f t="shared" si="92"/>
        <v>#N/A</v>
      </c>
      <c r="HJY43" s="380" t="e">
        <f t="shared" si="92"/>
        <v>#N/A</v>
      </c>
      <c r="HJZ43" s="380" t="e">
        <f t="shared" si="92"/>
        <v>#N/A</v>
      </c>
      <c r="HKA43" s="380" t="e">
        <f t="shared" si="92"/>
        <v>#N/A</v>
      </c>
      <c r="HKB43" s="380" t="e">
        <f t="shared" si="92"/>
        <v>#N/A</v>
      </c>
      <c r="HKC43" s="380" t="e">
        <f t="shared" si="92"/>
        <v>#N/A</v>
      </c>
      <c r="HKD43" s="380" t="e">
        <f t="shared" si="92"/>
        <v>#N/A</v>
      </c>
      <c r="HKE43" s="380" t="e">
        <f t="shared" si="92"/>
        <v>#N/A</v>
      </c>
      <c r="HKF43" s="380" t="e">
        <f t="shared" si="92"/>
        <v>#N/A</v>
      </c>
      <c r="HKG43" s="380" t="e">
        <f t="shared" si="92"/>
        <v>#N/A</v>
      </c>
      <c r="HKH43" s="380" t="e">
        <f t="shared" si="92"/>
        <v>#N/A</v>
      </c>
      <c r="HKI43" s="380" t="e">
        <f t="shared" si="92"/>
        <v>#N/A</v>
      </c>
      <c r="HKJ43" s="380" t="e">
        <f t="shared" ref="HKJ43:HMU43" si="93">INDEX(HKJ7:HKJ40,MATCH($E$43,$E$7:$E$40,0))</f>
        <v>#N/A</v>
      </c>
      <c r="HKK43" s="380" t="e">
        <f t="shared" si="93"/>
        <v>#N/A</v>
      </c>
      <c r="HKL43" s="380" t="e">
        <f t="shared" si="93"/>
        <v>#N/A</v>
      </c>
      <c r="HKM43" s="380" t="e">
        <f t="shared" si="93"/>
        <v>#N/A</v>
      </c>
      <c r="HKN43" s="380" t="e">
        <f t="shared" si="93"/>
        <v>#N/A</v>
      </c>
      <c r="HKO43" s="380" t="e">
        <f t="shared" si="93"/>
        <v>#N/A</v>
      </c>
      <c r="HKP43" s="380" t="e">
        <f t="shared" si="93"/>
        <v>#N/A</v>
      </c>
      <c r="HKQ43" s="380" t="e">
        <f t="shared" si="93"/>
        <v>#N/A</v>
      </c>
      <c r="HKR43" s="380" t="e">
        <f t="shared" si="93"/>
        <v>#N/A</v>
      </c>
      <c r="HKS43" s="380" t="e">
        <f t="shared" si="93"/>
        <v>#N/A</v>
      </c>
      <c r="HKT43" s="380" t="e">
        <f t="shared" si="93"/>
        <v>#N/A</v>
      </c>
      <c r="HKU43" s="380" t="e">
        <f t="shared" si="93"/>
        <v>#N/A</v>
      </c>
      <c r="HKV43" s="380" t="e">
        <f t="shared" si="93"/>
        <v>#N/A</v>
      </c>
      <c r="HKW43" s="380" t="e">
        <f t="shared" si="93"/>
        <v>#N/A</v>
      </c>
      <c r="HKX43" s="380" t="e">
        <f t="shared" si="93"/>
        <v>#N/A</v>
      </c>
      <c r="HKY43" s="380" t="e">
        <f t="shared" si="93"/>
        <v>#N/A</v>
      </c>
      <c r="HKZ43" s="380" t="e">
        <f t="shared" si="93"/>
        <v>#N/A</v>
      </c>
      <c r="HLA43" s="380" t="e">
        <f t="shared" si="93"/>
        <v>#N/A</v>
      </c>
      <c r="HLB43" s="380" t="e">
        <f t="shared" si="93"/>
        <v>#N/A</v>
      </c>
      <c r="HLC43" s="380" t="e">
        <f t="shared" si="93"/>
        <v>#N/A</v>
      </c>
      <c r="HLD43" s="380" t="e">
        <f t="shared" si="93"/>
        <v>#N/A</v>
      </c>
      <c r="HLE43" s="380" t="e">
        <f t="shared" si="93"/>
        <v>#N/A</v>
      </c>
      <c r="HLF43" s="380" t="e">
        <f t="shared" si="93"/>
        <v>#N/A</v>
      </c>
      <c r="HLG43" s="380" t="e">
        <f t="shared" si="93"/>
        <v>#N/A</v>
      </c>
      <c r="HLH43" s="380" t="e">
        <f t="shared" si="93"/>
        <v>#N/A</v>
      </c>
      <c r="HLI43" s="380" t="e">
        <f t="shared" si="93"/>
        <v>#N/A</v>
      </c>
      <c r="HLJ43" s="380" t="e">
        <f t="shared" si="93"/>
        <v>#N/A</v>
      </c>
      <c r="HLK43" s="380" t="e">
        <f t="shared" si="93"/>
        <v>#N/A</v>
      </c>
      <c r="HLL43" s="380" t="e">
        <f t="shared" si="93"/>
        <v>#N/A</v>
      </c>
      <c r="HLM43" s="380" t="e">
        <f t="shared" si="93"/>
        <v>#N/A</v>
      </c>
      <c r="HLN43" s="380" t="e">
        <f t="shared" si="93"/>
        <v>#N/A</v>
      </c>
      <c r="HLO43" s="380" t="e">
        <f t="shared" si="93"/>
        <v>#N/A</v>
      </c>
      <c r="HLP43" s="380" t="e">
        <f t="shared" si="93"/>
        <v>#N/A</v>
      </c>
      <c r="HLQ43" s="380" t="e">
        <f t="shared" si="93"/>
        <v>#N/A</v>
      </c>
      <c r="HLR43" s="380" t="e">
        <f t="shared" si="93"/>
        <v>#N/A</v>
      </c>
      <c r="HLS43" s="380" t="e">
        <f t="shared" si="93"/>
        <v>#N/A</v>
      </c>
      <c r="HLT43" s="380" t="e">
        <f t="shared" si="93"/>
        <v>#N/A</v>
      </c>
      <c r="HLU43" s="380" t="e">
        <f t="shared" si="93"/>
        <v>#N/A</v>
      </c>
      <c r="HLV43" s="380" t="e">
        <f t="shared" si="93"/>
        <v>#N/A</v>
      </c>
      <c r="HLW43" s="380" t="e">
        <f t="shared" si="93"/>
        <v>#N/A</v>
      </c>
      <c r="HLX43" s="380" t="e">
        <f t="shared" si="93"/>
        <v>#N/A</v>
      </c>
      <c r="HLY43" s="380" t="e">
        <f t="shared" si="93"/>
        <v>#N/A</v>
      </c>
      <c r="HLZ43" s="380" t="e">
        <f t="shared" si="93"/>
        <v>#N/A</v>
      </c>
      <c r="HMA43" s="380" t="e">
        <f t="shared" si="93"/>
        <v>#N/A</v>
      </c>
      <c r="HMB43" s="380" t="e">
        <f t="shared" si="93"/>
        <v>#N/A</v>
      </c>
      <c r="HMC43" s="380" t="e">
        <f t="shared" si="93"/>
        <v>#N/A</v>
      </c>
      <c r="HMD43" s="380" t="e">
        <f t="shared" si="93"/>
        <v>#N/A</v>
      </c>
      <c r="HME43" s="380" t="e">
        <f t="shared" si="93"/>
        <v>#N/A</v>
      </c>
      <c r="HMF43" s="380" t="e">
        <f t="shared" si="93"/>
        <v>#N/A</v>
      </c>
      <c r="HMG43" s="380" t="e">
        <f t="shared" si="93"/>
        <v>#N/A</v>
      </c>
      <c r="HMH43" s="380" t="e">
        <f t="shared" si="93"/>
        <v>#N/A</v>
      </c>
      <c r="HMI43" s="380" t="e">
        <f t="shared" si="93"/>
        <v>#N/A</v>
      </c>
      <c r="HMJ43" s="380" t="e">
        <f t="shared" si="93"/>
        <v>#N/A</v>
      </c>
      <c r="HMK43" s="380" t="e">
        <f t="shared" si="93"/>
        <v>#N/A</v>
      </c>
      <c r="HML43" s="380" t="e">
        <f t="shared" si="93"/>
        <v>#N/A</v>
      </c>
      <c r="HMM43" s="380" t="e">
        <f t="shared" si="93"/>
        <v>#N/A</v>
      </c>
      <c r="HMN43" s="380" t="e">
        <f t="shared" si="93"/>
        <v>#N/A</v>
      </c>
      <c r="HMO43" s="380" t="e">
        <f t="shared" si="93"/>
        <v>#N/A</v>
      </c>
      <c r="HMP43" s="380" t="e">
        <f t="shared" si="93"/>
        <v>#N/A</v>
      </c>
      <c r="HMQ43" s="380" t="e">
        <f t="shared" si="93"/>
        <v>#N/A</v>
      </c>
      <c r="HMR43" s="380" t="e">
        <f t="shared" si="93"/>
        <v>#N/A</v>
      </c>
      <c r="HMS43" s="380" t="e">
        <f t="shared" si="93"/>
        <v>#N/A</v>
      </c>
      <c r="HMT43" s="380" t="e">
        <f t="shared" si="93"/>
        <v>#N/A</v>
      </c>
      <c r="HMU43" s="380" t="e">
        <f t="shared" si="93"/>
        <v>#N/A</v>
      </c>
      <c r="HMV43" s="380" t="e">
        <f t="shared" ref="HMV43:HPG43" si="94">INDEX(HMV7:HMV40,MATCH($E$43,$E$7:$E$40,0))</f>
        <v>#N/A</v>
      </c>
      <c r="HMW43" s="380" t="e">
        <f t="shared" si="94"/>
        <v>#N/A</v>
      </c>
      <c r="HMX43" s="380" t="e">
        <f t="shared" si="94"/>
        <v>#N/A</v>
      </c>
      <c r="HMY43" s="380" t="e">
        <f t="shared" si="94"/>
        <v>#N/A</v>
      </c>
      <c r="HMZ43" s="380" t="e">
        <f t="shared" si="94"/>
        <v>#N/A</v>
      </c>
      <c r="HNA43" s="380" t="e">
        <f t="shared" si="94"/>
        <v>#N/A</v>
      </c>
      <c r="HNB43" s="380" t="e">
        <f t="shared" si="94"/>
        <v>#N/A</v>
      </c>
      <c r="HNC43" s="380" t="e">
        <f t="shared" si="94"/>
        <v>#N/A</v>
      </c>
      <c r="HND43" s="380" t="e">
        <f t="shared" si="94"/>
        <v>#N/A</v>
      </c>
      <c r="HNE43" s="380" t="e">
        <f t="shared" si="94"/>
        <v>#N/A</v>
      </c>
      <c r="HNF43" s="380" t="e">
        <f t="shared" si="94"/>
        <v>#N/A</v>
      </c>
      <c r="HNG43" s="380" t="e">
        <f t="shared" si="94"/>
        <v>#N/A</v>
      </c>
      <c r="HNH43" s="380" t="e">
        <f t="shared" si="94"/>
        <v>#N/A</v>
      </c>
      <c r="HNI43" s="380" t="e">
        <f t="shared" si="94"/>
        <v>#N/A</v>
      </c>
      <c r="HNJ43" s="380" t="e">
        <f t="shared" si="94"/>
        <v>#N/A</v>
      </c>
      <c r="HNK43" s="380" t="e">
        <f t="shared" si="94"/>
        <v>#N/A</v>
      </c>
      <c r="HNL43" s="380" t="e">
        <f t="shared" si="94"/>
        <v>#N/A</v>
      </c>
      <c r="HNM43" s="380" t="e">
        <f t="shared" si="94"/>
        <v>#N/A</v>
      </c>
      <c r="HNN43" s="380" t="e">
        <f t="shared" si="94"/>
        <v>#N/A</v>
      </c>
      <c r="HNO43" s="380" t="e">
        <f t="shared" si="94"/>
        <v>#N/A</v>
      </c>
      <c r="HNP43" s="380" t="e">
        <f t="shared" si="94"/>
        <v>#N/A</v>
      </c>
      <c r="HNQ43" s="380" t="e">
        <f t="shared" si="94"/>
        <v>#N/A</v>
      </c>
      <c r="HNR43" s="380" t="e">
        <f t="shared" si="94"/>
        <v>#N/A</v>
      </c>
      <c r="HNS43" s="380" t="e">
        <f t="shared" si="94"/>
        <v>#N/A</v>
      </c>
      <c r="HNT43" s="380" t="e">
        <f t="shared" si="94"/>
        <v>#N/A</v>
      </c>
      <c r="HNU43" s="380" t="e">
        <f t="shared" si="94"/>
        <v>#N/A</v>
      </c>
      <c r="HNV43" s="380" t="e">
        <f t="shared" si="94"/>
        <v>#N/A</v>
      </c>
      <c r="HNW43" s="380" t="e">
        <f t="shared" si="94"/>
        <v>#N/A</v>
      </c>
      <c r="HNX43" s="380" t="e">
        <f t="shared" si="94"/>
        <v>#N/A</v>
      </c>
      <c r="HNY43" s="380" t="e">
        <f t="shared" si="94"/>
        <v>#N/A</v>
      </c>
      <c r="HNZ43" s="380" t="e">
        <f t="shared" si="94"/>
        <v>#N/A</v>
      </c>
      <c r="HOA43" s="380" t="e">
        <f t="shared" si="94"/>
        <v>#N/A</v>
      </c>
      <c r="HOB43" s="380" t="e">
        <f t="shared" si="94"/>
        <v>#N/A</v>
      </c>
      <c r="HOC43" s="380" t="e">
        <f t="shared" si="94"/>
        <v>#N/A</v>
      </c>
      <c r="HOD43" s="380" t="e">
        <f t="shared" si="94"/>
        <v>#N/A</v>
      </c>
      <c r="HOE43" s="380" t="e">
        <f t="shared" si="94"/>
        <v>#N/A</v>
      </c>
      <c r="HOF43" s="380" t="e">
        <f t="shared" si="94"/>
        <v>#N/A</v>
      </c>
      <c r="HOG43" s="380" t="e">
        <f t="shared" si="94"/>
        <v>#N/A</v>
      </c>
      <c r="HOH43" s="380" t="e">
        <f t="shared" si="94"/>
        <v>#N/A</v>
      </c>
      <c r="HOI43" s="380" t="e">
        <f t="shared" si="94"/>
        <v>#N/A</v>
      </c>
      <c r="HOJ43" s="380" t="e">
        <f t="shared" si="94"/>
        <v>#N/A</v>
      </c>
      <c r="HOK43" s="380" t="e">
        <f t="shared" si="94"/>
        <v>#N/A</v>
      </c>
      <c r="HOL43" s="380" t="e">
        <f t="shared" si="94"/>
        <v>#N/A</v>
      </c>
      <c r="HOM43" s="380" t="e">
        <f t="shared" si="94"/>
        <v>#N/A</v>
      </c>
      <c r="HON43" s="380" t="e">
        <f t="shared" si="94"/>
        <v>#N/A</v>
      </c>
      <c r="HOO43" s="380" t="e">
        <f t="shared" si="94"/>
        <v>#N/A</v>
      </c>
      <c r="HOP43" s="380" t="e">
        <f t="shared" si="94"/>
        <v>#N/A</v>
      </c>
      <c r="HOQ43" s="380" t="e">
        <f t="shared" si="94"/>
        <v>#N/A</v>
      </c>
      <c r="HOR43" s="380" t="e">
        <f t="shared" si="94"/>
        <v>#N/A</v>
      </c>
      <c r="HOS43" s="380" t="e">
        <f t="shared" si="94"/>
        <v>#N/A</v>
      </c>
      <c r="HOT43" s="380" t="e">
        <f t="shared" si="94"/>
        <v>#N/A</v>
      </c>
      <c r="HOU43" s="380" t="e">
        <f t="shared" si="94"/>
        <v>#N/A</v>
      </c>
      <c r="HOV43" s="380" t="e">
        <f t="shared" si="94"/>
        <v>#N/A</v>
      </c>
      <c r="HOW43" s="380" t="e">
        <f t="shared" si="94"/>
        <v>#N/A</v>
      </c>
      <c r="HOX43" s="380" t="e">
        <f t="shared" si="94"/>
        <v>#N/A</v>
      </c>
      <c r="HOY43" s="380" t="e">
        <f t="shared" si="94"/>
        <v>#N/A</v>
      </c>
      <c r="HOZ43" s="380" t="e">
        <f t="shared" si="94"/>
        <v>#N/A</v>
      </c>
      <c r="HPA43" s="380" t="e">
        <f t="shared" si="94"/>
        <v>#N/A</v>
      </c>
      <c r="HPB43" s="380" t="e">
        <f t="shared" si="94"/>
        <v>#N/A</v>
      </c>
      <c r="HPC43" s="380" t="e">
        <f t="shared" si="94"/>
        <v>#N/A</v>
      </c>
      <c r="HPD43" s="380" t="e">
        <f t="shared" si="94"/>
        <v>#N/A</v>
      </c>
      <c r="HPE43" s="380" t="e">
        <f t="shared" si="94"/>
        <v>#N/A</v>
      </c>
      <c r="HPF43" s="380" t="e">
        <f t="shared" si="94"/>
        <v>#N/A</v>
      </c>
      <c r="HPG43" s="380" t="e">
        <f t="shared" si="94"/>
        <v>#N/A</v>
      </c>
      <c r="HPH43" s="380" t="e">
        <f t="shared" ref="HPH43:HRS43" si="95">INDEX(HPH7:HPH40,MATCH($E$43,$E$7:$E$40,0))</f>
        <v>#N/A</v>
      </c>
      <c r="HPI43" s="380" t="e">
        <f t="shared" si="95"/>
        <v>#N/A</v>
      </c>
      <c r="HPJ43" s="380" t="e">
        <f t="shared" si="95"/>
        <v>#N/A</v>
      </c>
      <c r="HPK43" s="380" t="e">
        <f t="shared" si="95"/>
        <v>#N/A</v>
      </c>
      <c r="HPL43" s="380" t="e">
        <f t="shared" si="95"/>
        <v>#N/A</v>
      </c>
      <c r="HPM43" s="380" t="e">
        <f t="shared" si="95"/>
        <v>#N/A</v>
      </c>
      <c r="HPN43" s="380" t="e">
        <f t="shared" si="95"/>
        <v>#N/A</v>
      </c>
      <c r="HPO43" s="380" t="e">
        <f t="shared" si="95"/>
        <v>#N/A</v>
      </c>
      <c r="HPP43" s="380" t="e">
        <f t="shared" si="95"/>
        <v>#N/A</v>
      </c>
      <c r="HPQ43" s="380" t="e">
        <f t="shared" si="95"/>
        <v>#N/A</v>
      </c>
      <c r="HPR43" s="380" t="e">
        <f t="shared" si="95"/>
        <v>#N/A</v>
      </c>
      <c r="HPS43" s="380" t="e">
        <f t="shared" si="95"/>
        <v>#N/A</v>
      </c>
      <c r="HPT43" s="380" t="e">
        <f t="shared" si="95"/>
        <v>#N/A</v>
      </c>
      <c r="HPU43" s="380" t="e">
        <f t="shared" si="95"/>
        <v>#N/A</v>
      </c>
      <c r="HPV43" s="380" t="e">
        <f t="shared" si="95"/>
        <v>#N/A</v>
      </c>
      <c r="HPW43" s="380" t="e">
        <f t="shared" si="95"/>
        <v>#N/A</v>
      </c>
      <c r="HPX43" s="380" t="e">
        <f t="shared" si="95"/>
        <v>#N/A</v>
      </c>
      <c r="HPY43" s="380" t="e">
        <f t="shared" si="95"/>
        <v>#N/A</v>
      </c>
      <c r="HPZ43" s="380" t="e">
        <f t="shared" si="95"/>
        <v>#N/A</v>
      </c>
      <c r="HQA43" s="380" t="e">
        <f t="shared" si="95"/>
        <v>#N/A</v>
      </c>
      <c r="HQB43" s="380" t="e">
        <f t="shared" si="95"/>
        <v>#N/A</v>
      </c>
      <c r="HQC43" s="380" t="e">
        <f t="shared" si="95"/>
        <v>#N/A</v>
      </c>
      <c r="HQD43" s="380" t="e">
        <f t="shared" si="95"/>
        <v>#N/A</v>
      </c>
      <c r="HQE43" s="380" t="e">
        <f t="shared" si="95"/>
        <v>#N/A</v>
      </c>
      <c r="HQF43" s="380" t="e">
        <f t="shared" si="95"/>
        <v>#N/A</v>
      </c>
      <c r="HQG43" s="380" t="e">
        <f t="shared" si="95"/>
        <v>#N/A</v>
      </c>
      <c r="HQH43" s="380" t="e">
        <f t="shared" si="95"/>
        <v>#N/A</v>
      </c>
      <c r="HQI43" s="380" t="e">
        <f t="shared" si="95"/>
        <v>#N/A</v>
      </c>
      <c r="HQJ43" s="380" t="e">
        <f t="shared" si="95"/>
        <v>#N/A</v>
      </c>
      <c r="HQK43" s="380" t="e">
        <f t="shared" si="95"/>
        <v>#N/A</v>
      </c>
      <c r="HQL43" s="380" t="e">
        <f t="shared" si="95"/>
        <v>#N/A</v>
      </c>
      <c r="HQM43" s="380" t="e">
        <f t="shared" si="95"/>
        <v>#N/A</v>
      </c>
      <c r="HQN43" s="380" t="e">
        <f t="shared" si="95"/>
        <v>#N/A</v>
      </c>
      <c r="HQO43" s="380" t="e">
        <f t="shared" si="95"/>
        <v>#N/A</v>
      </c>
      <c r="HQP43" s="380" t="e">
        <f t="shared" si="95"/>
        <v>#N/A</v>
      </c>
      <c r="HQQ43" s="380" t="e">
        <f t="shared" si="95"/>
        <v>#N/A</v>
      </c>
      <c r="HQR43" s="380" t="e">
        <f t="shared" si="95"/>
        <v>#N/A</v>
      </c>
      <c r="HQS43" s="380" t="e">
        <f t="shared" si="95"/>
        <v>#N/A</v>
      </c>
      <c r="HQT43" s="380" t="e">
        <f t="shared" si="95"/>
        <v>#N/A</v>
      </c>
      <c r="HQU43" s="380" t="e">
        <f t="shared" si="95"/>
        <v>#N/A</v>
      </c>
      <c r="HQV43" s="380" t="e">
        <f t="shared" si="95"/>
        <v>#N/A</v>
      </c>
      <c r="HQW43" s="380" t="e">
        <f t="shared" si="95"/>
        <v>#N/A</v>
      </c>
      <c r="HQX43" s="380" t="e">
        <f t="shared" si="95"/>
        <v>#N/A</v>
      </c>
      <c r="HQY43" s="380" t="e">
        <f t="shared" si="95"/>
        <v>#N/A</v>
      </c>
      <c r="HQZ43" s="380" t="e">
        <f t="shared" si="95"/>
        <v>#N/A</v>
      </c>
      <c r="HRA43" s="380" t="e">
        <f t="shared" si="95"/>
        <v>#N/A</v>
      </c>
      <c r="HRB43" s="380" t="e">
        <f t="shared" si="95"/>
        <v>#N/A</v>
      </c>
      <c r="HRC43" s="380" t="e">
        <f t="shared" si="95"/>
        <v>#N/A</v>
      </c>
      <c r="HRD43" s="380" t="e">
        <f t="shared" si="95"/>
        <v>#N/A</v>
      </c>
      <c r="HRE43" s="380" t="e">
        <f t="shared" si="95"/>
        <v>#N/A</v>
      </c>
      <c r="HRF43" s="380" t="e">
        <f t="shared" si="95"/>
        <v>#N/A</v>
      </c>
      <c r="HRG43" s="380" t="e">
        <f t="shared" si="95"/>
        <v>#N/A</v>
      </c>
      <c r="HRH43" s="380" t="e">
        <f t="shared" si="95"/>
        <v>#N/A</v>
      </c>
      <c r="HRI43" s="380" t="e">
        <f t="shared" si="95"/>
        <v>#N/A</v>
      </c>
      <c r="HRJ43" s="380" t="e">
        <f t="shared" si="95"/>
        <v>#N/A</v>
      </c>
      <c r="HRK43" s="380" t="e">
        <f t="shared" si="95"/>
        <v>#N/A</v>
      </c>
      <c r="HRL43" s="380" t="e">
        <f t="shared" si="95"/>
        <v>#N/A</v>
      </c>
      <c r="HRM43" s="380" t="e">
        <f t="shared" si="95"/>
        <v>#N/A</v>
      </c>
      <c r="HRN43" s="380" t="e">
        <f t="shared" si="95"/>
        <v>#N/A</v>
      </c>
      <c r="HRO43" s="380" t="e">
        <f t="shared" si="95"/>
        <v>#N/A</v>
      </c>
      <c r="HRP43" s="380" t="e">
        <f t="shared" si="95"/>
        <v>#N/A</v>
      </c>
      <c r="HRQ43" s="380" t="e">
        <f t="shared" si="95"/>
        <v>#N/A</v>
      </c>
      <c r="HRR43" s="380" t="e">
        <f t="shared" si="95"/>
        <v>#N/A</v>
      </c>
      <c r="HRS43" s="380" t="e">
        <f t="shared" si="95"/>
        <v>#N/A</v>
      </c>
      <c r="HRT43" s="380" t="e">
        <f t="shared" ref="HRT43:HUE43" si="96">INDEX(HRT7:HRT40,MATCH($E$43,$E$7:$E$40,0))</f>
        <v>#N/A</v>
      </c>
      <c r="HRU43" s="380" t="e">
        <f t="shared" si="96"/>
        <v>#N/A</v>
      </c>
      <c r="HRV43" s="380" t="e">
        <f t="shared" si="96"/>
        <v>#N/A</v>
      </c>
      <c r="HRW43" s="380" t="e">
        <f t="shared" si="96"/>
        <v>#N/A</v>
      </c>
      <c r="HRX43" s="380" t="e">
        <f t="shared" si="96"/>
        <v>#N/A</v>
      </c>
      <c r="HRY43" s="380" t="e">
        <f t="shared" si="96"/>
        <v>#N/A</v>
      </c>
      <c r="HRZ43" s="380" t="e">
        <f t="shared" si="96"/>
        <v>#N/A</v>
      </c>
      <c r="HSA43" s="380" t="e">
        <f t="shared" si="96"/>
        <v>#N/A</v>
      </c>
      <c r="HSB43" s="380" t="e">
        <f t="shared" si="96"/>
        <v>#N/A</v>
      </c>
      <c r="HSC43" s="380" t="e">
        <f t="shared" si="96"/>
        <v>#N/A</v>
      </c>
      <c r="HSD43" s="380" t="e">
        <f t="shared" si="96"/>
        <v>#N/A</v>
      </c>
      <c r="HSE43" s="380" t="e">
        <f t="shared" si="96"/>
        <v>#N/A</v>
      </c>
      <c r="HSF43" s="380" t="e">
        <f t="shared" si="96"/>
        <v>#N/A</v>
      </c>
      <c r="HSG43" s="380" t="e">
        <f t="shared" si="96"/>
        <v>#N/A</v>
      </c>
      <c r="HSH43" s="380" t="e">
        <f t="shared" si="96"/>
        <v>#N/A</v>
      </c>
      <c r="HSI43" s="380" t="e">
        <f t="shared" si="96"/>
        <v>#N/A</v>
      </c>
      <c r="HSJ43" s="380" t="e">
        <f t="shared" si="96"/>
        <v>#N/A</v>
      </c>
      <c r="HSK43" s="380" t="e">
        <f t="shared" si="96"/>
        <v>#N/A</v>
      </c>
      <c r="HSL43" s="380" t="e">
        <f t="shared" si="96"/>
        <v>#N/A</v>
      </c>
      <c r="HSM43" s="380" t="e">
        <f t="shared" si="96"/>
        <v>#N/A</v>
      </c>
      <c r="HSN43" s="380" t="e">
        <f t="shared" si="96"/>
        <v>#N/A</v>
      </c>
      <c r="HSO43" s="380" t="e">
        <f t="shared" si="96"/>
        <v>#N/A</v>
      </c>
      <c r="HSP43" s="380" t="e">
        <f t="shared" si="96"/>
        <v>#N/A</v>
      </c>
      <c r="HSQ43" s="380" t="e">
        <f t="shared" si="96"/>
        <v>#N/A</v>
      </c>
      <c r="HSR43" s="380" t="e">
        <f t="shared" si="96"/>
        <v>#N/A</v>
      </c>
      <c r="HSS43" s="380" t="e">
        <f t="shared" si="96"/>
        <v>#N/A</v>
      </c>
      <c r="HST43" s="380" t="e">
        <f t="shared" si="96"/>
        <v>#N/A</v>
      </c>
      <c r="HSU43" s="380" t="e">
        <f t="shared" si="96"/>
        <v>#N/A</v>
      </c>
      <c r="HSV43" s="380" t="e">
        <f t="shared" si="96"/>
        <v>#N/A</v>
      </c>
      <c r="HSW43" s="380" t="e">
        <f t="shared" si="96"/>
        <v>#N/A</v>
      </c>
      <c r="HSX43" s="380" t="e">
        <f t="shared" si="96"/>
        <v>#N/A</v>
      </c>
      <c r="HSY43" s="380" t="e">
        <f t="shared" si="96"/>
        <v>#N/A</v>
      </c>
      <c r="HSZ43" s="380" t="e">
        <f t="shared" si="96"/>
        <v>#N/A</v>
      </c>
      <c r="HTA43" s="380" t="e">
        <f t="shared" si="96"/>
        <v>#N/A</v>
      </c>
      <c r="HTB43" s="380" t="e">
        <f t="shared" si="96"/>
        <v>#N/A</v>
      </c>
      <c r="HTC43" s="380" t="e">
        <f t="shared" si="96"/>
        <v>#N/A</v>
      </c>
      <c r="HTD43" s="380" t="e">
        <f t="shared" si="96"/>
        <v>#N/A</v>
      </c>
      <c r="HTE43" s="380" t="e">
        <f t="shared" si="96"/>
        <v>#N/A</v>
      </c>
      <c r="HTF43" s="380" t="e">
        <f t="shared" si="96"/>
        <v>#N/A</v>
      </c>
      <c r="HTG43" s="380" t="e">
        <f t="shared" si="96"/>
        <v>#N/A</v>
      </c>
      <c r="HTH43" s="380" t="e">
        <f t="shared" si="96"/>
        <v>#N/A</v>
      </c>
      <c r="HTI43" s="380" t="e">
        <f t="shared" si="96"/>
        <v>#N/A</v>
      </c>
      <c r="HTJ43" s="380" t="e">
        <f t="shared" si="96"/>
        <v>#N/A</v>
      </c>
      <c r="HTK43" s="380" t="e">
        <f t="shared" si="96"/>
        <v>#N/A</v>
      </c>
      <c r="HTL43" s="380" t="e">
        <f t="shared" si="96"/>
        <v>#N/A</v>
      </c>
      <c r="HTM43" s="380" t="e">
        <f t="shared" si="96"/>
        <v>#N/A</v>
      </c>
      <c r="HTN43" s="380" t="e">
        <f t="shared" si="96"/>
        <v>#N/A</v>
      </c>
      <c r="HTO43" s="380" t="e">
        <f t="shared" si="96"/>
        <v>#N/A</v>
      </c>
      <c r="HTP43" s="380" t="e">
        <f t="shared" si="96"/>
        <v>#N/A</v>
      </c>
      <c r="HTQ43" s="380" t="e">
        <f t="shared" si="96"/>
        <v>#N/A</v>
      </c>
      <c r="HTR43" s="380" t="e">
        <f t="shared" si="96"/>
        <v>#N/A</v>
      </c>
      <c r="HTS43" s="380" t="e">
        <f t="shared" si="96"/>
        <v>#N/A</v>
      </c>
      <c r="HTT43" s="380" t="e">
        <f t="shared" si="96"/>
        <v>#N/A</v>
      </c>
      <c r="HTU43" s="380" t="e">
        <f t="shared" si="96"/>
        <v>#N/A</v>
      </c>
      <c r="HTV43" s="380" t="e">
        <f t="shared" si="96"/>
        <v>#N/A</v>
      </c>
      <c r="HTW43" s="380" t="e">
        <f t="shared" si="96"/>
        <v>#N/A</v>
      </c>
      <c r="HTX43" s="380" t="e">
        <f t="shared" si="96"/>
        <v>#N/A</v>
      </c>
      <c r="HTY43" s="380" t="e">
        <f t="shared" si="96"/>
        <v>#N/A</v>
      </c>
      <c r="HTZ43" s="380" t="e">
        <f t="shared" si="96"/>
        <v>#N/A</v>
      </c>
      <c r="HUA43" s="380" t="e">
        <f t="shared" si="96"/>
        <v>#N/A</v>
      </c>
      <c r="HUB43" s="380" t="e">
        <f t="shared" si="96"/>
        <v>#N/A</v>
      </c>
      <c r="HUC43" s="380" t="e">
        <f t="shared" si="96"/>
        <v>#N/A</v>
      </c>
      <c r="HUD43" s="380" t="e">
        <f t="shared" si="96"/>
        <v>#N/A</v>
      </c>
      <c r="HUE43" s="380" t="e">
        <f t="shared" si="96"/>
        <v>#N/A</v>
      </c>
      <c r="HUF43" s="380" t="e">
        <f t="shared" ref="HUF43:HWQ43" si="97">INDEX(HUF7:HUF40,MATCH($E$43,$E$7:$E$40,0))</f>
        <v>#N/A</v>
      </c>
      <c r="HUG43" s="380" t="e">
        <f t="shared" si="97"/>
        <v>#N/A</v>
      </c>
      <c r="HUH43" s="380" t="e">
        <f t="shared" si="97"/>
        <v>#N/A</v>
      </c>
      <c r="HUI43" s="380" t="e">
        <f t="shared" si="97"/>
        <v>#N/A</v>
      </c>
      <c r="HUJ43" s="380" t="e">
        <f t="shared" si="97"/>
        <v>#N/A</v>
      </c>
      <c r="HUK43" s="380" t="e">
        <f t="shared" si="97"/>
        <v>#N/A</v>
      </c>
      <c r="HUL43" s="380" t="e">
        <f t="shared" si="97"/>
        <v>#N/A</v>
      </c>
      <c r="HUM43" s="380" t="e">
        <f t="shared" si="97"/>
        <v>#N/A</v>
      </c>
      <c r="HUN43" s="380" t="e">
        <f t="shared" si="97"/>
        <v>#N/A</v>
      </c>
      <c r="HUO43" s="380" t="e">
        <f t="shared" si="97"/>
        <v>#N/A</v>
      </c>
      <c r="HUP43" s="380" t="e">
        <f t="shared" si="97"/>
        <v>#N/A</v>
      </c>
      <c r="HUQ43" s="380" t="e">
        <f t="shared" si="97"/>
        <v>#N/A</v>
      </c>
      <c r="HUR43" s="380" t="e">
        <f t="shared" si="97"/>
        <v>#N/A</v>
      </c>
      <c r="HUS43" s="380" t="e">
        <f t="shared" si="97"/>
        <v>#N/A</v>
      </c>
      <c r="HUT43" s="380" t="e">
        <f t="shared" si="97"/>
        <v>#N/A</v>
      </c>
      <c r="HUU43" s="380" t="e">
        <f t="shared" si="97"/>
        <v>#N/A</v>
      </c>
      <c r="HUV43" s="380" t="e">
        <f t="shared" si="97"/>
        <v>#N/A</v>
      </c>
      <c r="HUW43" s="380" t="e">
        <f t="shared" si="97"/>
        <v>#N/A</v>
      </c>
      <c r="HUX43" s="380" t="e">
        <f t="shared" si="97"/>
        <v>#N/A</v>
      </c>
      <c r="HUY43" s="380" t="e">
        <f t="shared" si="97"/>
        <v>#N/A</v>
      </c>
      <c r="HUZ43" s="380" t="e">
        <f t="shared" si="97"/>
        <v>#N/A</v>
      </c>
      <c r="HVA43" s="380" t="e">
        <f t="shared" si="97"/>
        <v>#N/A</v>
      </c>
      <c r="HVB43" s="380" t="e">
        <f t="shared" si="97"/>
        <v>#N/A</v>
      </c>
      <c r="HVC43" s="380" t="e">
        <f t="shared" si="97"/>
        <v>#N/A</v>
      </c>
      <c r="HVD43" s="380" t="e">
        <f t="shared" si="97"/>
        <v>#N/A</v>
      </c>
      <c r="HVE43" s="380" t="e">
        <f t="shared" si="97"/>
        <v>#N/A</v>
      </c>
      <c r="HVF43" s="380" t="e">
        <f t="shared" si="97"/>
        <v>#N/A</v>
      </c>
      <c r="HVG43" s="380" t="e">
        <f t="shared" si="97"/>
        <v>#N/A</v>
      </c>
      <c r="HVH43" s="380" t="e">
        <f t="shared" si="97"/>
        <v>#N/A</v>
      </c>
      <c r="HVI43" s="380" t="e">
        <f t="shared" si="97"/>
        <v>#N/A</v>
      </c>
      <c r="HVJ43" s="380" t="e">
        <f t="shared" si="97"/>
        <v>#N/A</v>
      </c>
      <c r="HVK43" s="380" t="e">
        <f t="shared" si="97"/>
        <v>#N/A</v>
      </c>
      <c r="HVL43" s="380" t="e">
        <f t="shared" si="97"/>
        <v>#N/A</v>
      </c>
      <c r="HVM43" s="380" t="e">
        <f t="shared" si="97"/>
        <v>#N/A</v>
      </c>
      <c r="HVN43" s="380" t="e">
        <f t="shared" si="97"/>
        <v>#N/A</v>
      </c>
      <c r="HVO43" s="380" t="e">
        <f t="shared" si="97"/>
        <v>#N/A</v>
      </c>
      <c r="HVP43" s="380" t="e">
        <f t="shared" si="97"/>
        <v>#N/A</v>
      </c>
      <c r="HVQ43" s="380" t="e">
        <f t="shared" si="97"/>
        <v>#N/A</v>
      </c>
      <c r="HVR43" s="380" t="e">
        <f t="shared" si="97"/>
        <v>#N/A</v>
      </c>
      <c r="HVS43" s="380" t="e">
        <f t="shared" si="97"/>
        <v>#N/A</v>
      </c>
      <c r="HVT43" s="380" t="e">
        <f t="shared" si="97"/>
        <v>#N/A</v>
      </c>
      <c r="HVU43" s="380" t="e">
        <f t="shared" si="97"/>
        <v>#N/A</v>
      </c>
      <c r="HVV43" s="380" t="e">
        <f t="shared" si="97"/>
        <v>#N/A</v>
      </c>
      <c r="HVW43" s="380" t="e">
        <f t="shared" si="97"/>
        <v>#N/A</v>
      </c>
      <c r="HVX43" s="380" t="e">
        <f t="shared" si="97"/>
        <v>#N/A</v>
      </c>
      <c r="HVY43" s="380" t="e">
        <f t="shared" si="97"/>
        <v>#N/A</v>
      </c>
      <c r="HVZ43" s="380" t="e">
        <f t="shared" si="97"/>
        <v>#N/A</v>
      </c>
      <c r="HWA43" s="380" t="e">
        <f t="shared" si="97"/>
        <v>#N/A</v>
      </c>
      <c r="HWB43" s="380" t="e">
        <f t="shared" si="97"/>
        <v>#N/A</v>
      </c>
      <c r="HWC43" s="380" t="e">
        <f t="shared" si="97"/>
        <v>#N/A</v>
      </c>
      <c r="HWD43" s="380" t="e">
        <f t="shared" si="97"/>
        <v>#N/A</v>
      </c>
      <c r="HWE43" s="380" t="e">
        <f t="shared" si="97"/>
        <v>#N/A</v>
      </c>
      <c r="HWF43" s="380" t="e">
        <f t="shared" si="97"/>
        <v>#N/A</v>
      </c>
      <c r="HWG43" s="380" t="e">
        <f t="shared" si="97"/>
        <v>#N/A</v>
      </c>
      <c r="HWH43" s="380" t="e">
        <f t="shared" si="97"/>
        <v>#N/A</v>
      </c>
      <c r="HWI43" s="380" t="e">
        <f t="shared" si="97"/>
        <v>#N/A</v>
      </c>
      <c r="HWJ43" s="380" t="e">
        <f t="shared" si="97"/>
        <v>#N/A</v>
      </c>
      <c r="HWK43" s="380" t="e">
        <f t="shared" si="97"/>
        <v>#N/A</v>
      </c>
      <c r="HWL43" s="380" t="e">
        <f t="shared" si="97"/>
        <v>#N/A</v>
      </c>
      <c r="HWM43" s="380" t="e">
        <f t="shared" si="97"/>
        <v>#N/A</v>
      </c>
      <c r="HWN43" s="380" t="e">
        <f t="shared" si="97"/>
        <v>#N/A</v>
      </c>
      <c r="HWO43" s="380" t="e">
        <f t="shared" si="97"/>
        <v>#N/A</v>
      </c>
      <c r="HWP43" s="380" t="e">
        <f t="shared" si="97"/>
        <v>#N/A</v>
      </c>
      <c r="HWQ43" s="380" t="e">
        <f t="shared" si="97"/>
        <v>#N/A</v>
      </c>
      <c r="HWR43" s="380" t="e">
        <f t="shared" ref="HWR43:HZC43" si="98">INDEX(HWR7:HWR40,MATCH($E$43,$E$7:$E$40,0))</f>
        <v>#N/A</v>
      </c>
      <c r="HWS43" s="380" t="e">
        <f t="shared" si="98"/>
        <v>#N/A</v>
      </c>
      <c r="HWT43" s="380" t="e">
        <f t="shared" si="98"/>
        <v>#N/A</v>
      </c>
      <c r="HWU43" s="380" t="e">
        <f t="shared" si="98"/>
        <v>#N/A</v>
      </c>
      <c r="HWV43" s="380" t="e">
        <f t="shared" si="98"/>
        <v>#N/A</v>
      </c>
      <c r="HWW43" s="380" t="e">
        <f t="shared" si="98"/>
        <v>#N/A</v>
      </c>
      <c r="HWX43" s="380" t="e">
        <f t="shared" si="98"/>
        <v>#N/A</v>
      </c>
      <c r="HWY43" s="380" t="e">
        <f t="shared" si="98"/>
        <v>#N/A</v>
      </c>
      <c r="HWZ43" s="380" t="e">
        <f t="shared" si="98"/>
        <v>#N/A</v>
      </c>
      <c r="HXA43" s="380" t="e">
        <f t="shared" si="98"/>
        <v>#N/A</v>
      </c>
      <c r="HXB43" s="380" t="e">
        <f t="shared" si="98"/>
        <v>#N/A</v>
      </c>
      <c r="HXC43" s="380" t="e">
        <f t="shared" si="98"/>
        <v>#N/A</v>
      </c>
      <c r="HXD43" s="380" t="e">
        <f t="shared" si="98"/>
        <v>#N/A</v>
      </c>
      <c r="HXE43" s="380" t="e">
        <f t="shared" si="98"/>
        <v>#N/A</v>
      </c>
      <c r="HXF43" s="380" t="e">
        <f t="shared" si="98"/>
        <v>#N/A</v>
      </c>
      <c r="HXG43" s="380" t="e">
        <f t="shared" si="98"/>
        <v>#N/A</v>
      </c>
      <c r="HXH43" s="380" t="e">
        <f t="shared" si="98"/>
        <v>#N/A</v>
      </c>
      <c r="HXI43" s="380" t="e">
        <f t="shared" si="98"/>
        <v>#N/A</v>
      </c>
      <c r="HXJ43" s="380" t="e">
        <f t="shared" si="98"/>
        <v>#N/A</v>
      </c>
      <c r="HXK43" s="380" t="e">
        <f t="shared" si="98"/>
        <v>#N/A</v>
      </c>
      <c r="HXL43" s="380" t="e">
        <f t="shared" si="98"/>
        <v>#N/A</v>
      </c>
      <c r="HXM43" s="380" t="e">
        <f t="shared" si="98"/>
        <v>#N/A</v>
      </c>
      <c r="HXN43" s="380" t="e">
        <f t="shared" si="98"/>
        <v>#N/A</v>
      </c>
      <c r="HXO43" s="380" t="e">
        <f t="shared" si="98"/>
        <v>#N/A</v>
      </c>
      <c r="HXP43" s="380" t="e">
        <f t="shared" si="98"/>
        <v>#N/A</v>
      </c>
      <c r="HXQ43" s="380" t="e">
        <f t="shared" si="98"/>
        <v>#N/A</v>
      </c>
      <c r="HXR43" s="380" t="e">
        <f t="shared" si="98"/>
        <v>#N/A</v>
      </c>
      <c r="HXS43" s="380" t="e">
        <f t="shared" si="98"/>
        <v>#N/A</v>
      </c>
      <c r="HXT43" s="380" t="e">
        <f t="shared" si="98"/>
        <v>#N/A</v>
      </c>
      <c r="HXU43" s="380" t="e">
        <f t="shared" si="98"/>
        <v>#N/A</v>
      </c>
      <c r="HXV43" s="380" t="e">
        <f t="shared" si="98"/>
        <v>#N/A</v>
      </c>
      <c r="HXW43" s="380" t="e">
        <f t="shared" si="98"/>
        <v>#N/A</v>
      </c>
      <c r="HXX43" s="380" t="e">
        <f t="shared" si="98"/>
        <v>#N/A</v>
      </c>
      <c r="HXY43" s="380" t="e">
        <f t="shared" si="98"/>
        <v>#N/A</v>
      </c>
      <c r="HXZ43" s="380" t="e">
        <f t="shared" si="98"/>
        <v>#N/A</v>
      </c>
      <c r="HYA43" s="380" t="e">
        <f t="shared" si="98"/>
        <v>#N/A</v>
      </c>
      <c r="HYB43" s="380" t="e">
        <f t="shared" si="98"/>
        <v>#N/A</v>
      </c>
      <c r="HYC43" s="380" t="e">
        <f t="shared" si="98"/>
        <v>#N/A</v>
      </c>
      <c r="HYD43" s="380" t="e">
        <f t="shared" si="98"/>
        <v>#N/A</v>
      </c>
      <c r="HYE43" s="380" t="e">
        <f t="shared" si="98"/>
        <v>#N/A</v>
      </c>
      <c r="HYF43" s="380" t="e">
        <f t="shared" si="98"/>
        <v>#N/A</v>
      </c>
      <c r="HYG43" s="380" t="e">
        <f t="shared" si="98"/>
        <v>#N/A</v>
      </c>
      <c r="HYH43" s="380" t="e">
        <f t="shared" si="98"/>
        <v>#N/A</v>
      </c>
      <c r="HYI43" s="380" t="e">
        <f t="shared" si="98"/>
        <v>#N/A</v>
      </c>
      <c r="HYJ43" s="380" t="e">
        <f t="shared" si="98"/>
        <v>#N/A</v>
      </c>
      <c r="HYK43" s="380" t="e">
        <f t="shared" si="98"/>
        <v>#N/A</v>
      </c>
      <c r="HYL43" s="380" t="e">
        <f t="shared" si="98"/>
        <v>#N/A</v>
      </c>
      <c r="HYM43" s="380" t="e">
        <f t="shared" si="98"/>
        <v>#N/A</v>
      </c>
      <c r="HYN43" s="380" t="e">
        <f t="shared" si="98"/>
        <v>#N/A</v>
      </c>
      <c r="HYO43" s="380" t="e">
        <f t="shared" si="98"/>
        <v>#N/A</v>
      </c>
      <c r="HYP43" s="380" t="e">
        <f t="shared" si="98"/>
        <v>#N/A</v>
      </c>
      <c r="HYQ43" s="380" t="e">
        <f t="shared" si="98"/>
        <v>#N/A</v>
      </c>
      <c r="HYR43" s="380" t="e">
        <f t="shared" si="98"/>
        <v>#N/A</v>
      </c>
      <c r="HYS43" s="380" t="e">
        <f t="shared" si="98"/>
        <v>#N/A</v>
      </c>
      <c r="HYT43" s="380" t="e">
        <f t="shared" si="98"/>
        <v>#N/A</v>
      </c>
      <c r="HYU43" s="380" t="e">
        <f t="shared" si="98"/>
        <v>#N/A</v>
      </c>
      <c r="HYV43" s="380" t="e">
        <f t="shared" si="98"/>
        <v>#N/A</v>
      </c>
      <c r="HYW43" s="380" t="e">
        <f t="shared" si="98"/>
        <v>#N/A</v>
      </c>
      <c r="HYX43" s="380" t="e">
        <f t="shared" si="98"/>
        <v>#N/A</v>
      </c>
      <c r="HYY43" s="380" t="e">
        <f t="shared" si="98"/>
        <v>#N/A</v>
      </c>
      <c r="HYZ43" s="380" t="e">
        <f t="shared" si="98"/>
        <v>#N/A</v>
      </c>
      <c r="HZA43" s="380" t="e">
        <f t="shared" si="98"/>
        <v>#N/A</v>
      </c>
      <c r="HZB43" s="380" t="e">
        <f t="shared" si="98"/>
        <v>#N/A</v>
      </c>
      <c r="HZC43" s="380" t="e">
        <f t="shared" si="98"/>
        <v>#N/A</v>
      </c>
      <c r="HZD43" s="380" t="e">
        <f t="shared" ref="HZD43:IBO43" si="99">INDEX(HZD7:HZD40,MATCH($E$43,$E$7:$E$40,0))</f>
        <v>#N/A</v>
      </c>
      <c r="HZE43" s="380" t="e">
        <f t="shared" si="99"/>
        <v>#N/A</v>
      </c>
      <c r="HZF43" s="380" t="e">
        <f t="shared" si="99"/>
        <v>#N/A</v>
      </c>
      <c r="HZG43" s="380" t="e">
        <f t="shared" si="99"/>
        <v>#N/A</v>
      </c>
      <c r="HZH43" s="380" t="e">
        <f t="shared" si="99"/>
        <v>#N/A</v>
      </c>
      <c r="HZI43" s="380" t="e">
        <f t="shared" si="99"/>
        <v>#N/A</v>
      </c>
      <c r="HZJ43" s="380" t="e">
        <f t="shared" si="99"/>
        <v>#N/A</v>
      </c>
      <c r="HZK43" s="380" t="e">
        <f t="shared" si="99"/>
        <v>#N/A</v>
      </c>
      <c r="HZL43" s="380" t="e">
        <f t="shared" si="99"/>
        <v>#N/A</v>
      </c>
      <c r="HZM43" s="380" t="e">
        <f t="shared" si="99"/>
        <v>#N/A</v>
      </c>
      <c r="HZN43" s="380" t="e">
        <f t="shared" si="99"/>
        <v>#N/A</v>
      </c>
      <c r="HZO43" s="380" t="e">
        <f t="shared" si="99"/>
        <v>#N/A</v>
      </c>
      <c r="HZP43" s="380" t="e">
        <f t="shared" si="99"/>
        <v>#N/A</v>
      </c>
      <c r="HZQ43" s="380" t="e">
        <f t="shared" si="99"/>
        <v>#N/A</v>
      </c>
      <c r="HZR43" s="380" t="e">
        <f t="shared" si="99"/>
        <v>#N/A</v>
      </c>
      <c r="HZS43" s="380" t="e">
        <f t="shared" si="99"/>
        <v>#N/A</v>
      </c>
      <c r="HZT43" s="380" t="e">
        <f t="shared" si="99"/>
        <v>#N/A</v>
      </c>
      <c r="HZU43" s="380" t="e">
        <f t="shared" si="99"/>
        <v>#N/A</v>
      </c>
      <c r="HZV43" s="380" t="e">
        <f t="shared" si="99"/>
        <v>#N/A</v>
      </c>
      <c r="HZW43" s="380" t="e">
        <f t="shared" si="99"/>
        <v>#N/A</v>
      </c>
      <c r="HZX43" s="380" t="e">
        <f t="shared" si="99"/>
        <v>#N/A</v>
      </c>
      <c r="HZY43" s="380" t="e">
        <f t="shared" si="99"/>
        <v>#N/A</v>
      </c>
      <c r="HZZ43" s="380" t="e">
        <f t="shared" si="99"/>
        <v>#N/A</v>
      </c>
      <c r="IAA43" s="380" t="e">
        <f t="shared" si="99"/>
        <v>#N/A</v>
      </c>
      <c r="IAB43" s="380" t="e">
        <f t="shared" si="99"/>
        <v>#N/A</v>
      </c>
      <c r="IAC43" s="380" t="e">
        <f t="shared" si="99"/>
        <v>#N/A</v>
      </c>
      <c r="IAD43" s="380" t="e">
        <f t="shared" si="99"/>
        <v>#N/A</v>
      </c>
      <c r="IAE43" s="380" t="e">
        <f t="shared" si="99"/>
        <v>#N/A</v>
      </c>
      <c r="IAF43" s="380" t="e">
        <f t="shared" si="99"/>
        <v>#N/A</v>
      </c>
      <c r="IAG43" s="380" t="e">
        <f t="shared" si="99"/>
        <v>#N/A</v>
      </c>
      <c r="IAH43" s="380" t="e">
        <f t="shared" si="99"/>
        <v>#N/A</v>
      </c>
      <c r="IAI43" s="380" t="e">
        <f t="shared" si="99"/>
        <v>#N/A</v>
      </c>
      <c r="IAJ43" s="380" t="e">
        <f t="shared" si="99"/>
        <v>#N/A</v>
      </c>
      <c r="IAK43" s="380" t="e">
        <f t="shared" si="99"/>
        <v>#N/A</v>
      </c>
      <c r="IAL43" s="380" t="e">
        <f t="shared" si="99"/>
        <v>#N/A</v>
      </c>
      <c r="IAM43" s="380" t="e">
        <f t="shared" si="99"/>
        <v>#N/A</v>
      </c>
      <c r="IAN43" s="380" t="e">
        <f t="shared" si="99"/>
        <v>#N/A</v>
      </c>
      <c r="IAO43" s="380" t="e">
        <f t="shared" si="99"/>
        <v>#N/A</v>
      </c>
      <c r="IAP43" s="380" t="e">
        <f t="shared" si="99"/>
        <v>#N/A</v>
      </c>
      <c r="IAQ43" s="380" t="e">
        <f t="shared" si="99"/>
        <v>#N/A</v>
      </c>
      <c r="IAR43" s="380" t="e">
        <f t="shared" si="99"/>
        <v>#N/A</v>
      </c>
      <c r="IAS43" s="380" t="e">
        <f t="shared" si="99"/>
        <v>#N/A</v>
      </c>
      <c r="IAT43" s="380" t="e">
        <f t="shared" si="99"/>
        <v>#N/A</v>
      </c>
      <c r="IAU43" s="380" t="e">
        <f t="shared" si="99"/>
        <v>#N/A</v>
      </c>
      <c r="IAV43" s="380" t="e">
        <f t="shared" si="99"/>
        <v>#N/A</v>
      </c>
      <c r="IAW43" s="380" t="e">
        <f t="shared" si="99"/>
        <v>#N/A</v>
      </c>
      <c r="IAX43" s="380" t="e">
        <f t="shared" si="99"/>
        <v>#N/A</v>
      </c>
      <c r="IAY43" s="380" t="e">
        <f t="shared" si="99"/>
        <v>#N/A</v>
      </c>
      <c r="IAZ43" s="380" t="e">
        <f t="shared" si="99"/>
        <v>#N/A</v>
      </c>
      <c r="IBA43" s="380" t="e">
        <f t="shared" si="99"/>
        <v>#N/A</v>
      </c>
      <c r="IBB43" s="380" t="e">
        <f t="shared" si="99"/>
        <v>#N/A</v>
      </c>
      <c r="IBC43" s="380" t="e">
        <f t="shared" si="99"/>
        <v>#N/A</v>
      </c>
      <c r="IBD43" s="380" t="e">
        <f t="shared" si="99"/>
        <v>#N/A</v>
      </c>
      <c r="IBE43" s="380" t="e">
        <f t="shared" si="99"/>
        <v>#N/A</v>
      </c>
      <c r="IBF43" s="380" t="e">
        <f t="shared" si="99"/>
        <v>#N/A</v>
      </c>
      <c r="IBG43" s="380" t="e">
        <f t="shared" si="99"/>
        <v>#N/A</v>
      </c>
      <c r="IBH43" s="380" t="e">
        <f t="shared" si="99"/>
        <v>#N/A</v>
      </c>
      <c r="IBI43" s="380" t="e">
        <f t="shared" si="99"/>
        <v>#N/A</v>
      </c>
      <c r="IBJ43" s="380" t="e">
        <f t="shared" si="99"/>
        <v>#N/A</v>
      </c>
      <c r="IBK43" s="380" t="e">
        <f t="shared" si="99"/>
        <v>#N/A</v>
      </c>
      <c r="IBL43" s="380" t="e">
        <f t="shared" si="99"/>
        <v>#N/A</v>
      </c>
      <c r="IBM43" s="380" t="e">
        <f t="shared" si="99"/>
        <v>#N/A</v>
      </c>
      <c r="IBN43" s="380" t="e">
        <f t="shared" si="99"/>
        <v>#N/A</v>
      </c>
      <c r="IBO43" s="380" t="e">
        <f t="shared" si="99"/>
        <v>#N/A</v>
      </c>
      <c r="IBP43" s="380" t="e">
        <f t="shared" ref="IBP43:IEA43" si="100">INDEX(IBP7:IBP40,MATCH($E$43,$E$7:$E$40,0))</f>
        <v>#N/A</v>
      </c>
      <c r="IBQ43" s="380" t="e">
        <f t="shared" si="100"/>
        <v>#N/A</v>
      </c>
      <c r="IBR43" s="380" t="e">
        <f t="shared" si="100"/>
        <v>#N/A</v>
      </c>
      <c r="IBS43" s="380" t="e">
        <f t="shared" si="100"/>
        <v>#N/A</v>
      </c>
      <c r="IBT43" s="380" t="e">
        <f t="shared" si="100"/>
        <v>#N/A</v>
      </c>
      <c r="IBU43" s="380" t="e">
        <f t="shared" si="100"/>
        <v>#N/A</v>
      </c>
      <c r="IBV43" s="380" t="e">
        <f t="shared" si="100"/>
        <v>#N/A</v>
      </c>
      <c r="IBW43" s="380" t="e">
        <f t="shared" si="100"/>
        <v>#N/A</v>
      </c>
      <c r="IBX43" s="380" t="e">
        <f t="shared" si="100"/>
        <v>#N/A</v>
      </c>
      <c r="IBY43" s="380" t="e">
        <f t="shared" si="100"/>
        <v>#N/A</v>
      </c>
      <c r="IBZ43" s="380" t="e">
        <f t="shared" si="100"/>
        <v>#N/A</v>
      </c>
      <c r="ICA43" s="380" t="e">
        <f t="shared" si="100"/>
        <v>#N/A</v>
      </c>
      <c r="ICB43" s="380" t="e">
        <f t="shared" si="100"/>
        <v>#N/A</v>
      </c>
      <c r="ICC43" s="380" t="e">
        <f t="shared" si="100"/>
        <v>#N/A</v>
      </c>
      <c r="ICD43" s="380" t="e">
        <f t="shared" si="100"/>
        <v>#N/A</v>
      </c>
      <c r="ICE43" s="380" t="e">
        <f t="shared" si="100"/>
        <v>#N/A</v>
      </c>
      <c r="ICF43" s="380" t="e">
        <f t="shared" si="100"/>
        <v>#N/A</v>
      </c>
      <c r="ICG43" s="380" t="e">
        <f t="shared" si="100"/>
        <v>#N/A</v>
      </c>
      <c r="ICH43" s="380" t="e">
        <f t="shared" si="100"/>
        <v>#N/A</v>
      </c>
      <c r="ICI43" s="380" t="e">
        <f t="shared" si="100"/>
        <v>#N/A</v>
      </c>
      <c r="ICJ43" s="380" t="e">
        <f t="shared" si="100"/>
        <v>#N/A</v>
      </c>
      <c r="ICK43" s="380" t="e">
        <f t="shared" si="100"/>
        <v>#N/A</v>
      </c>
      <c r="ICL43" s="380" t="e">
        <f t="shared" si="100"/>
        <v>#N/A</v>
      </c>
      <c r="ICM43" s="380" t="e">
        <f t="shared" si="100"/>
        <v>#N/A</v>
      </c>
      <c r="ICN43" s="380" t="e">
        <f t="shared" si="100"/>
        <v>#N/A</v>
      </c>
      <c r="ICO43" s="380" t="e">
        <f t="shared" si="100"/>
        <v>#N/A</v>
      </c>
      <c r="ICP43" s="380" t="e">
        <f t="shared" si="100"/>
        <v>#N/A</v>
      </c>
      <c r="ICQ43" s="380" t="e">
        <f t="shared" si="100"/>
        <v>#N/A</v>
      </c>
      <c r="ICR43" s="380" t="e">
        <f t="shared" si="100"/>
        <v>#N/A</v>
      </c>
      <c r="ICS43" s="380" t="e">
        <f t="shared" si="100"/>
        <v>#N/A</v>
      </c>
      <c r="ICT43" s="380" t="e">
        <f t="shared" si="100"/>
        <v>#N/A</v>
      </c>
      <c r="ICU43" s="380" t="e">
        <f t="shared" si="100"/>
        <v>#N/A</v>
      </c>
      <c r="ICV43" s="380" t="e">
        <f t="shared" si="100"/>
        <v>#N/A</v>
      </c>
      <c r="ICW43" s="380" t="e">
        <f t="shared" si="100"/>
        <v>#N/A</v>
      </c>
      <c r="ICX43" s="380" t="e">
        <f t="shared" si="100"/>
        <v>#N/A</v>
      </c>
      <c r="ICY43" s="380" t="e">
        <f t="shared" si="100"/>
        <v>#N/A</v>
      </c>
      <c r="ICZ43" s="380" t="e">
        <f t="shared" si="100"/>
        <v>#N/A</v>
      </c>
      <c r="IDA43" s="380" t="e">
        <f t="shared" si="100"/>
        <v>#N/A</v>
      </c>
      <c r="IDB43" s="380" t="e">
        <f t="shared" si="100"/>
        <v>#N/A</v>
      </c>
      <c r="IDC43" s="380" t="e">
        <f t="shared" si="100"/>
        <v>#N/A</v>
      </c>
      <c r="IDD43" s="380" t="e">
        <f t="shared" si="100"/>
        <v>#N/A</v>
      </c>
      <c r="IDE43" s="380" t="e">
        <f t="shared" si="100"/>
        <v>#N/A</v>
      </c>
      <c r="IDF43" s="380" t="e">
        <f t="shared" si="100"/>
        <v>#N/A</v>
      </c>
      <c r="IDG43" s="380" t="e">
        <f t="shared" si="100"/>
        <v>#N/A</v>
      </c>
      <c r="IDH43" s="380" t="e">
        <f t="shared" si="100"/>
        <v>#N/A</v>
      </c>
      <c r="IDI43" s="380" t="e">
        <f t="shared" si="100"/>
        <v>#N/A</v>
      </c>
      <c r="IDJ43" s="380" t="e">
        <f t="shared" si="100"/>
        <v>#N/A</v>
      </c>
      <c r="IDK43" s="380" t="e">
        <f t="shared" si="100"/>
        <v>#N/A</v>
      </c>
      <c r="IDL43" s="380" t="e">
        <f t="shared" si="100"/>
        <v>#N/A</v>
      </c>
      <c r="IDM43" s="380" t="e">
        <f t="shared" si="100"/>
        <v>#N/A</v>
      </c>
      <c r="IDN43" s="380" t="e">
        <f t="shared" si="100"/>
        <v>#N/A</v>
      </c>
      <c r="IDO43" s="380" t="e">
        <f t="shared" si="100"/>
        <v>#N/A</v>
      </c>
      <c r="IDP43" s="380" t="e">
        <f t="shared" si="100"/>
        <v>#N/A</v>
      </c>
      <c r="IDQ43" s="380" t="e">
        <f t="shared" si="100"/>
        <v>#N/A</v>
      </c>
      <c r="IDR43" s="380" t="e">
        <f t="shared" si="100"/>
        <v>#N/A</v>
      </c>
      <c r="IDS43" s="380" t="e">
        <f t="shared" si="100"/>
        <v>#N/A</v>
      </c>
      <c r="IDT43" s="380" t="e">
        <f t="shared" si="100"/>
        <v>#N/A</v>
      </c>
      <c r="IDU43" s="380" t="e">
        <f t="shared" si="100"/>
        <v>#N/A</v>
      </c>
      <c r="IDV43" s="380" t="e">
        <f t="shared" si="100"/>
        <v>#N/A</v>
      </c>
      <c r="IDW43" s="380" t="e">
        <f t="shared" si="100"/>
        <v>#N/A</v>
      </c>
      <c r="IDX43" s="380" t="e">
        <f t="shared" si="100"/>
        <v>#N/A</v>
      </c>
      <c r="IDY43" s="380" t="e">
        <f t="shared" si="100"/>
        <v>#N/A</v>
      </c>
      <c r="IDZ43" s="380" t="e">
        <f t="shared" si="100"/>
        <v>#N/A</v>
      </c>
      <c r="IEA43" s="380" t="e">
        <f t="shared" si="100"/>
        <v>#N/A</v>
      </c>
      <c r="IEB43" s="380" t="e">
        <f t="shared" ref="IEB43:IGM43" si="101">INDEX(IEB7:IEB40,MATCH($E$43,$E$7:$E$40,0))</f>
        <v>#N/A</v>
      </c>
      <c r="IEC43" s="380" t="e">
        <f t="shared" si="101"/>
        <v>#N/A</v>
      </c>
      <c r="IED43" s="380" t="e">
        <f t="shared" si="101"/>
        <v>#N/A</v>
      </c>
      <c r="IEE43" s="380" t="e">
        <f t="shared" si="101"/>
        <v>#N/A</v>
      </c>
      <c r="IEF43" s="380" t="e">
        <f t="shared" si="101"/>
        <v>#N/A</v>
      </c>
      <c r="IEG43" s="380" t="e">
        <f t="shared" si="101"/>
        <v>#N/A</v>
      </c>
      <c r="IEH43" s="380" t="e">
        <f t="shared" si="101"/>
        <v>#N/A</v>
      </c>
      <c r="IEI43" s="380" t="e">
        <f t="shared" si="101"/>
        <v>#N/A</v>
      </c>
      <c r="IEJ43" s="380" t="e">
        <f t="shared" si="101"/>
        <v>#N/A</v>
      </c>
      <c r="IEK43" s="380" t="e">
        <f t="shared" si="101"/>
        <v>#N/A</v>
      </c>
      <c r="IEL43" s="380" t="e">
        <f t="shared" si="101"/>
        <v>#N/A</v>
      </c>
      <c r="IEM43" s="380" t="e">
        <f t="shared" si="101"/>
        <v>#N/A</v>
      </c>
      <c r="IEN43" s="380" t="e">
        <f t="shared" si="101"/>
        <v>#N/A</v>
      </c>
      <c r="IEO43" s="380" t="e">
        <f t="shared" si="101"/>
        <v>#N/A</v>
      </c>
      <c r="IEP43" s="380" t="e">
        <f t="shared" si="101"/>
        <v>#N/A</v>
      </c>
      <c r="IEQ43" s="380" t="e">
        <f t="shared" si="101"/>
        <v>#N/A</v>
      </c>
      <c r="IER43" s="380" t="e">
        <f t="shared" si="101"/>
        <v>#N/A</v>
      </c>
      <c r="IES43" s="380" t="e">
        <f t="shared" si="101"/>
        <v>#N/A</v>
      </c>
      <c r="IET43" s="380" t="e">
        <f t="shared" si="101"/>
        <v>#N/A</v>
      </c>
      <c r="IEU43" s="380" t="e">
        <f t="shared" si="101"/>
        <v>#N/A</v>
      </c>
      <c r="IEV43" s="380" t="e">
        <f t="shared" si="101"/>
        <v>#N/A</v>
      </c>
      <c r="IEW43" s="380" t="e">
        <f t="shared" si="101"/>
        <v>#N/A</v>
      </c>
      <c r="IEX43" s="380" t="e">
        <f t="shared" si="101"/>
        <v>#N/A</v>
      </c>
      <c r="IEY43" s="380" t="e">
        <f t="shared" si="101"/>
        <v>#N/A</v>
      </c>
      <c r="IEZ43" s="380" t="e">
        <f t="shared" si="101"/>
        <v>#N/A</v>
      </c>
      <c r="IFA43" s="380" t="e">
        <f t="shared" si="101"/>
        <v>#N/A</v>
      </c>
      <c r="IFB43" s="380" t="e">
        <f t="shared" si="101"/>
        <v>#N/A</v>
      </c>
      <c r="IFC43" s="380" t="e">
        <f t="shared" si="101"/>
        <v>#N/A</v>
      </c>
      <c r="IFD43" s="380" t="e">
        <f t="shared" si="101"/>
        <v>#N/A</v>
      </c>
      <c r="IFE43" s="380" t="e">
        <f t="shared" si="101"/>
        <v>#N/A</v>
      </c>
      <c r="IFF43" s="380" t="e">
        <f t="shared" si="101"/>
        <v>#N/A</v>
      </c>
      <c r="IFG43" s="380" t="e">
        <f t="shared" si="101"/>
        <v>#N/A</v>
      </c>
      <c r="IFH43" s="380" t="e">
        <f t="shared" si="101"/>
        <v>#N/A</v>
      </c>
      <c r="IFI43" s="380" t="e">
        <f t="shared" si="101"/>
        <v>#N/A</v>
      </c>
      <c r="IFJ43" s="380" t="e">
        <f t="shared" si="101"/>
        <v>#N/A</v>
      </c>
      <c r="IFK43" s="380" t="e">
        <f t="shared" si="101"/>
        <v>#N/A</v>
      </c>
      <c r="IFL43" s="380" t="e">
        <f t="shared" si="101"/>
        <v>#N/A</v>
      </c>
      <c r="IFM43" s="380" t="e">
        <f t="shared" si="101"/>
        <v>#N/A</v>
      </c>
      <c r="IFN43" s="380" t="e">
        <f t="shared" si="101"/>
        <v>#N/A</v>
      </c>
      <c r="IFO43" s="380" t="e">
        <f t="shared" si="101"/>
        <v>#N/A</v>
      </c>
      <c r="IFP43" s="380" t="e">
        <f t="shared" si="101"/>
        <v>#N/A</v>
      </c>
      <c r="IFQ43" s="380" t="e">
        <f t="shared" si="101"/>
        <v>#N/A</v>
      </c>
      <c r="IFR43" s="380" t="e">
        <f t="shared" si="101"/>
        <v>#N/A</v>
      </c>
      <c r="IFS43" s="380" t="e">
        <f t="shared" si="101"/>
        <v>#N/A</v>
      </c>
      <c r="IFT43" s="380" t="e">
        <f t="shared" si="101"/>
        <v>#N/A</v>
      </c>
      <c r="IFU43" s="380" t="e">
        <f t="shared" si="101"/>
        <v>#N/A</v>
      </c>
      <c r="IFV43" s="380" t="e">
        <f t="shared" si="101"/>
        <v>#N/A</v>
      </c>
      <c r="IFW43" s="380" t="e">
        <f t="shared" si="101"/>
        <v>#N/A</v>
      </c>
      <c r="IFX43" s="380" t="e">
        <f t="shared" si="101"/>
        <v>#N/A</v>
      </c>
      <c r="IFY43" s="380" t="e">
        <f t="shared" si="101"/>
        <v>#N/A</v>
      </c>
      <c r="IFZ43" s="380" t="e">
        <f t="shared" si="101"/>
        <v>#N/A</v>
      </c>
      <c r="IGA43" s="380" t="e">
        <f t="shared" si="101"/>
        <v>#N/A</v>
      </c>
      <c r="IGB43" s="380" t="e">
        <f t="shared" si="101"/>
        <v>#N/A</v>
      </c>
      <c r="IGC43" s="380" t="e">
        <f t="shared" si="101"/>
        <v>#N/A</v>
      </c>
      <c r="IGD43" s="380" t="e">
        <f t="shared" si="101"/>
        <v>#N/A</v>
      </c>
      <c r="IGE43" s="380" t="e">
        <f t="shared" si="101"/>
        <v>#N/A</v>
      </c>
      <c r="IGF43" s="380" t="e">
        <f t="shared" si="101"/>
        <v>#N/A</v>
      </c>
      <c r="IGG43" s="380" t="e">
        <f t="shared" si="101"/>
        <v>#N/A</v>
      </c>
      <c r="IGH43" s="380" t="e">
        <f t="shared" si="101"/>
        <v>#N/A</v>
      </c>
      <c r="IGI43" s="380" t="e">
        <f t="shared" si="101"/>
        <v>#N/A</v>
      </c>
      <c r="IGJ43" s="380" t="e">
        <f t="shared" si="101"/>
        <v>#N/A</v>
      </c>
      <c r="IGK43" s="380" t="e">
        <f t="shared" si="101"/>
        <v>#N/A</v>
      </c>
      <c r="IGL43" s="380" t="e">
        <f t="shared" si="101"/>
        <v>#N/A</v>
      </c>
      <c r="IGM43" s="380" t="e">
        <f t="shared" si="101"/>
        <v>#N/A</v>
      </c>
      <c r="IGN43" s="380" t="e">
        <f t="shared" ref="IGN43:IIY43" si="102">INDEX(IGN7:IGN40,MATCH($E$43,$E$7:$E$40,0))</f>
        <v>#N/A</v>
      </c>
      <c r="IGO43" s="380" t="e">
        <f t="shared" si="102"/>
        <v>#N/A</v>
      </c>
      <c r="IGP43" s="380" t="e">
        <f t="shared" si="102"/>
        <v>#N/A</v>
      </c>
      <c r="IGQ43" s="380" t="e">
        <f t="shared" si="102"/>
        <v>#N/A</v>
      </c>
      <c r="IGR43" s="380" t="e">
        <f t="shared" si="102"/>
        <v>#N/A</v>
      </c>
      <c r="IGS43" s="380" t="e">
        <f t="shared" si="102"/>
        <v>#N/A</v>
      </c>
      <c r="IGT43" s="380" t="e">
        <f t="shared" si="102"/>
        <v>#N/A</v>
      </c>
      <c r="IGU43" s="380" t="e">
        <f t="shared" si="102"/>
        <v>#N/A</v>
      </c>
      <c r="IGV43" s="380" t="e">
        <f t="shared" si="102"/>
        <v>#N/A</v>
      </c>
      <c r="IGW43" s="380" t="e">
        <f t="shared" si="102"/>
        <v>#N/A</v>
      </c>
      <c r="IGX43" s="380" t="e">
        <f t="shared" si="102"/>
        <v>#N/A</v>
      </c>
      <c r="IGY43" s="380" t="e">
        <f t="shared" si="102"/>
        <v>#N/A</v>
      </c>
      <c r="IGZ43" s="380" t="e">
        <f t="shared" si="102"/>
        <v>#N/A</v>
      </c>
      <c r="IHA43" s="380" t="e">
        <f t="shared" si="102"/>
        <v>#N/A</v>
      </c>
      <c r="IHB43" s="380" t="e">
        <f t="shared" si="102"/>
        <v>#N/A</v>
      </c>
      <c r="IHC43" s="380" t="e">
        <f t="shared" si="102"/>
        <v>#N/A</v>
      </c>
      <c r="IHD43" s="380" t="e">
        <f t="shared" si="102"/>
        <v>#N/A</v>
      </c>
      <c r="IHE43" s="380" t="e">
        <f t="shared" si="102"/>
        <v>#N/A</v>
      </c>
      <c r="IHF43" s="380" t="e">
        <f t="shared" si="102"/>
        <v>#N/A</v>
      </c>
      <c r="IHG43" s="380" t="e">
        <f t="shared" si="102"/>
        <v>#N/A</v>
      </c>
      <c r="IHH43" s="380" t="e">
        <f t="shared" si="102"/>
        <v>#N/A</v>
      </c>
      <c r="IHI43" s="380" t="e">
        <f t="shared" si="102"/>
        <v>#N/A</v>
      </c>
      <c r="IHJ43" s="380" t="e">
        <f t="shared" si="102"/>
        <v>#N/A</v>
      </c>
      <c r="IHK43" s="380" t="e">
        <f t="shared" si="102"/>
        <v>#N/A</v>
      </c>
      <c r="IHL43" s="380" t="e">
        <f t="shared" si="102"/>
        <v>#N/A</v>
      </c>
      <c r="IHM43" s="380" t="e">
        <f t="shared" si="102"/>
        <v>#N/A</v>
      </c>
      <c r="IHN43" s="380" t="e">
        <f t="shared" si="102"/>
        <v>#N/A</v>
      </c>
      <c r="IHO43" s="380" t="e">
        <f t="shared" si="102"/>
        <v>#N/A</v>
      </c>
      <c r="IHP43" s="380" t="e">
        <f t="shared" si="102"/>
        <v>#N/A</v>
      </c>
      <c r="IHQ43" s="380" t="e">
        <f t="shared" si="102"/>
        <v>#N/A</v>
      </c>
      <c r="IHR43" s="380" t="e">
        <f t="shared" si="102"/>
        <v>#N/A</v>
      </c>
      <c r="IHS43" s="380" t="e">
        <f t="shared" si="102"/>
        <v>#N/A</v>
      </c>
      <c r="IHT43" s="380" t="e">
        <f t="shared" si="102"/>
        <v>#N/A</v>
      </c>
      <c r="IHU43" s="380" t="e">
        <f t="shared" si="102"/>
        <v>#N/A</v>
      </c>
      <c r="IHV43" s="380" t="e">
        <f t="shared" si="102"/>
        <v>#N/A</v>
      </c>
      <c r="IHW43" s="380" t="e">
        <f t="shared" si="102"/>
        <v>#N/A</v>
      </c>
      <c r="IHX43" s="380" t="e">
        <f t="shared" si="102"/>
        <v>#N/A</v>
      </c>
      <c r="IHY43" s="380" t="e">
        <f t="shared" si="102"/>
        <v>#N/A</v>
      </c>
      <c r="IHZ43" s="380" t="e">
        <f t="shared" si="102"/>
        <v>#N/A</v>
      </c>
      <c r="IIA43" s="380" t="e">
        <f t="shared" si="102"/>
        <v>#N/A</v>
      </c>
      <c r="IIB43" s="380" t="e">
        <f t="shared" si="102"/>
        <v>#N/A</v>
      </c>
      <c r="IIC43" s="380" t="e">
        <f t="shared" si="102"/>
        <v>#N/A</v>
      </c>
      <c r="IID43" s="380" t="e">
        <f t="shared" si="102"/>
        <v>#N/A</v>
      </c>
      <c r="IIE43" s="380" t="e">
        <f t="shared" si="102"/>
        <v>#N/A</v>
      </c>
      <c r="IIF43" s="380" t="e">
        <f t="shared" si="102"/>
        <v>#N/A</v>
      </c>
      <c r="IIG43" s="380" t="e">
        <f t="shared" si="102"/>
        <v>#N/A</v>
      </c>
      <c r="IIH43" s="380" t="e">
        <f t="shared" si="102"/>
        <v>#N/A</v>
      </c>
      <c r="III43" s="380" t="e">
        <f t="shared" si="102"/>
        <v>#N/A</v>
      </c>
      <c r="IIJ43" s="380" t="e">
        <f t="shared" si="102"/>
        <v>#N/A</v>
      </c>
      <c r="IIK43" s="380" t="e">
        <f t="shared" si="102"/>
        <v>#N/A</v>
      </c>
      <c r="IIL43" s="380" t="e">
        <f t="shared" si="102"/>
        <v>#N/A</v>
      </c>
      <c r="IIM43" s="380" t="e">
        <f t="shared" si="102"/>
        <v>#N/A</v>
      </c>
      <c r="IIN43" s="380" t="e">
        <f t="shared" si="102"/>
        <v>#N/A</v>
      </c>
      <c r="IIO43" s="380" t="e">
        <f t="shared" si="102"/>
        <v>#N/A</v>
      </c>
      <c r="IIP43" s="380" t="e">
        <f t="shared" si="102"/>
        <v>#N/A</v>
      </c>
      <c r="IIQ43" s="380" t="e">
        <f t="shared" si="102"/>
        <v>#N/A</v>
      </c>
      <c r="IIR43" s="380" t="e">
        <f t="shared" si="102"/>
        <v>#N/A</v>
      </c>
      <c r="IIS43" s="380" t="e">
        <f t="shared" si="102"/>
        <v>#N/A</v>
      </c>
      <c r="IIT43" s="380" t="e">
        <f t="shared" si="102"/>
        <v>#N/A</v>
      </c>
      <c r="IIU43" s="380" t="e">
        <f t="shared" si="102"/>
        <v>#N/A</v>
      </c>
      <c r="IIV43" s="380" t="e">
        <f t="shared" si="102"/>
        <v>#N/A</v>
      </c>
      <c r="IIW43" s="380" t="e">
        <f t="shared" si="102"/>
        <v>#N/A</v>
      </c>
      <c r="IIX43" s="380" t="e">
        <f t="shared" si="102"/>
        <v>#N/A</v>
      </c>
      <c r="IIY43" s="380" t="e">
        <f t="shared" si="102"/>
        <v>#N/A</v>
      </c>
      <c r="IIZ43" s="380" t="e">
        <f t="shared" ref="IIZ43:ILK43" si="103">INDEX(IIZ7:IIZ40,MATCH($E$43,$E$7:$E$40,0))</f>
        <v>#N/A</v>
      </c>
      <c r="IJA43" s="380" t="e">
        <f t="shared" si="103"/>
        <v>#N/A</v>
      </c>
      <c r="IJB43" s="380" t="e">
        <f t="shared" si="103"/>
        <v>#N/A</v>
      </c>
      <c r="IJC43" s="380" t="e">
        <f t="shared" si="103"/>
        <v>#N/A</v>
      </c>
      <c r="IJD43" s="380" t="e">
        <f t="shared" si="103"/>
        <v>#N/A</v>
      </c>
      <c r="IJE43" s="380" t="e">
        <f t="shared" si="103"/>
        <v>#N/A</v>
      </c>
      <c r="IJF43" s="380" t="e">
        <f t="shared" si="103"/>
        <v>#N/A</v>
      </c>
      <c r="IJG43" s="380" t="e">
        <f t="shared" si="103"/>
        <v>#N/A</v>
      </c>
      <c r="IJH43" s="380" t="e">
        <f t="shared" si="103"/>
        <v>#N/A</v>
      </c>
      <c r="IJI43" s="380" t="e">
        <f t="shared" si="103"/>
        <v>#N/A</v>
      </c>
      <c r="IJJ43" s="380" t="e">
        <f t="shared" si="103"/>
        <v>#N/A</v>
      </c>
      <c r="IJK43" s="380" t="e">
        <f t="shared" si="103"/>
        <v>#N/A</v>
      </c>
      <c r="IJL43" s="380" t="e">
        <f t="shared" si="103"/>
        <v>#N/A</v>
      </c>
      <c r="IJM43" s="380" t="e">
        <f t="shared" si="103"/>
        <v>#N/A</v>
      </c>
      <c r="IJN43" s="380" t="e">
        <f t="shared" si="103"/>
        <v>#N/A</v>
      </c>
      <c r="IJO43" s="380" t="e">
        <f t="shared" si="103"/>
        <v>#N/A</v>
      </c>
      <c r="IJP43" s="380" t="e">
        <f t="shared" si="103"/>
        <v>#N/A</v>
      </c>
      <c r="IJQ43" s="380" t="e">
        <f t="shared" si="103"/>
        <v>#N/A</v>
      </c>
      <c r="IJR43" s="380" t="e">
        <f t="shared" si="103"/>
        <v>#N/A</v>
      </c>
      <c r="IJS43" s="380" t="e">
        <f t="shared" si="103"/>
        <v>#N/A</v>
      </c>
      <c r="IJT43" s="380" t="e">
        <f t="shared" si="103"/>
        <v>#N/A</v>
      </c>
      <c r="IJU43" s="380" t="e">
        <f t="shared" si="103"/>
        <v>#N/A</v>
      </c>
      <c r="IJV43" s="380" t="e">
        <f t="shared" si="103"/>
        <v>#N/A</v>
      </c>
      <c r="IJW43" s="380" t="e">
        <f t="shared" si="103"/>
        <v>#N/A</v>
      </c>
      <c r="IJX43" s="380" t="e">
        <f t="shared" si="103"/>
        <v>#N/A</v>
      </c>
      <c r="IJY43" s="380" t="e">
        <f t="shared" si="103"/>
        <v>#N/A</v>
      </c>
      <c r="IJZ43" s="380" t="e">
        <f t="shared" si="103"/>
        <v>#N/A</v>
      </c>
      <c r="IKA43" s="380" t="e">
        <f t="shared" si="103"/>
        <v>#N/A</v>
      </c>
      <c r="IKB43" s="380" t="e">
        <f t="shared" si="103"/>
        <v>#N/A</v>
      </c>
      <c r="IKC43" s="380" t="e">
        <f t="shared" si="103"/>
        <v>#N/A</v>
      </c>
      <c r="IKD43" s="380" t="e">
        <f t="shared" si="103"/>
        <v>#N/A</v>
      </c>
      <c r="IKE43" s="380" t="e">
        <f t="shared" si="103"/>
        <v>#N/A</v>
      </c>
      <c r="IKF43" s="380" t="e">
        <f t="shared" si="103"/>
        <v>#N/A</v>
      </c>
      <c r="IKG43" s="380" t="e">
        <f t="shared" si="103"/>
        <v>#N/A</v>
      </c>
      <c r="IKH43" s="380" t="e">
        <f t="shared" si="103"/>
        <v>#N/A</v>
      </c>
      <c r="IKI43" s="380" t="e">
        <f t="shared" si="103"/>
        <v>#N/A</v>
      </c>
      <c r="IKJ43" s="380" t="e">
        <f t="shared" si="103"/>
        <v>#N/A</v>
      </c>
      <c r="IKK43" s="380" t="e">
        <f t="shared" si="103"/>
        <v>#N/A</v>
      </c>
      <c r="IKL43" s="380" t="e">
        <f t="shared" si="103"/>
        <v>#N/A</v>
      </c>
      <c r="IKM43" s="380" t="e">
        <f t="shared" si="103"/>
        <v>#N/A</v>
      </c>
      <c r="IKN43" s="380" t="e">
        <f t="shared" si="103"/>
        <v>#N/A</v>
      </c>
      <c r="IKO43" s="380" t="e">
        <f t="shared" si="103"/>
        <v>#N/A</v>
      </c>
      <c r="IKP43" s="380" t="e">
        <f t="shared" si="103"/>
        <v>#N/A</v>
      </c>
      <c r="IKQ43" s="380" t="e">
        <f t="shared" si="103"/>
        <v>#N/A</v>
      </c>
      <c r="IKR43" s="380" t="e">
        <f t="shared" si="103"/>
        <v>#N/A</v>
      </c>
      <c r="IKS43" s="380" t="e">
        <f t="shared" si="103"/>
        <v>#N/A</v>
      </c>
      <c r="IKT43" s="380" t="e">
        <f t="shared" si="103"/>
        <v>#N/A</v>
      </c>
      <c r="IKU43" s="380" t="e">
        <f t="shared" si="103"/>
        <v>#N/A</v>
      </c>
      <c r="IKV43" s="380" t="e">
        <f t="shared" si="103"/>
        <v>#N/A</v>
      </c>
      <c r="IKW43" s="380" t="e">
        <f t="shared" si="103"/>
        <v>#N/A</v>
      </c>
      <c r="IKX43" s="380" t="e">
        <f t="shared" si="103"/>
        <v>#N/A</v>
      </c>
      <c r="IKY43" s="380" t="e">
        <f t="shared" si="103"/>
        <v>#N/A</v>
      </c>
      <c r="IKZ43" s="380" t="e">
        <f t="shared" si="103"/>
        <v>#N/A</v>
      </c>
      <c r="ILA43" s="380" t="e">
        <f t="shared" si="103"/>
        <v>#N/A</v>
      </c>
      <c r="ILB43" s="380" t="e">
        <f t="shared" si="103"/>
        <v>#N/A</v>
      </c>
      <c r="ILC43" s="380" t="e">
        <f t="shared" si="103"/>
        <v>#N/A</v>
      </c>
      <c r="ILD43" s="380" t="e">
        <f t="shared" si="103"/>
        <v>#N/A</v>
      </c>
      <c r="ILE43" s="380" t="e">
        <f t="shared" si="103"/>
        <v>#N/A</v>
      </c>
      <c r="ILF43" s="380" t="e">
        <f t="shared" si="103"/>
        <v>#N/A</v>
      </c>
      <c r="ILG43" s="380" t="e">
        <f t="shared" si="103"/>
        <v>#N/A</v>
      </c>
      <c r="ILH43" s="380" t="e">
        <f t="shared" si="103"/>
        <v>#N/A</v>
      </c>
      <c r="ILI43" s="380" t="e">
        <f t="shared" si="103"/>
        <v>#N/A</v>
      </c>
      <c r="ILJ43" s="380" t="e">
        <f t="shared" si="103"/>
        <v>#N/A</v>
      </c>
      <c r="ILK43" s="380" t="e">
        <f t="shared" si="103"/>
        <v>#N/A</v>
      </c>
      <c r="ILL43" s="380" t="e">
        <f t="shared" ref="ILL43:INW43" si="104">INDEX(ILL7:ILL40,MATCH($E$43,$E$7:$E$40,0))</f>
        <v>#N/A</v>
      </c>
      <c r="ILM43" s="380" t="e">
        <f t="shared" si="104"/>
        <v>#N/A</v>
      </c>
      <c r="ILN43" s="380" t="e">
        <f t="shared" si="104"/>
        <v>#N/A</v>
      </c>
      <c r="ILO43" s="380" t="e">
        <f t="shared" si="104"/>
        <v>#N/A</v>
      </c>
      <c r="ILP43" s="380" t="e">
        <f t="shared" si="104"/>
        <v>#N/A</v>
      </c>
      <c r="ILQ43" s="380" t="e">
        <f t="shared" si="104"/>
        <v>#N/A</v>
      </c>
      <c r="ILR43" s="380" t="e">
        <f t="shared" si="104"/>
        <v>#N/A</v>
      </c>
      <c r="ILS43" s="380" t="e">
        <f t="shared" si="104"/>
        <v>#N/A</v>
      </c>
      <c r="ILT43" s="380" t="e">
        <f t="shared" si="104"/>
        <v>#N/A</v>
      </c>
      <c r="ILU43" s="380" t="e">
        <f t="shared" si="104"/>
        <v>#N/A</v>
      </c>
      <c r="ILV43" s="380" t="e">
        <f t="shared" si="104"/>
        <v>#N/A</v>
      </c>
      <c r="ILW43" s="380" t="e">
        <f t="shared" si="104"/>
        <v>#N/A</v>
      </c>
      <c r="ILX43" s="380" t="e">
        <f t="shared" si="104"/>
        <v>#N/A</v>
      </c>
      <c r="ILY43" s="380" t="e">
        <f t="shared" si="104"/>
        <v>#N/A</v>
      </c>
      <c r="ILZ43" s="380" t="e">
        <f t="shared" si="104"/>
        <v>#N/A</v>
      </c>
      <c r="IMA43" s="380" t="e">
        <f t="shared" si="104"/>
        <v>#N/A</v>
      </c>
      <c r="IMB43" s="380" t="e">
        <f t="shared" si="104"/>
        <v>#N/A</v>
      </c>
      <c r="IMC43" s="380" t="e">
        <f t="shared" si="104"/>
        <v>#N/A</v>
      </c>
      <c r="IMD43" s="380" t="e">
        <f t="shared" si="104"/>
        <v>#N/A</v>
      </c>
      <c r="IME43" s="380" t="e">
        <f t="shared" si="104"/>
        <v>#N/A</v>
      </c>
      <c r="IMF43" s="380" t="e">
        <f t="shared" si="104"/>
        <v>#N/A</v>
      </c>
      <c r="IMG43" s="380" t="e">
        <f t="shared" si="104"/>
        <v>#N/A</v>
      </c>
      <c r="IMH43" s="380" t="e">
        <f t="shared" si="104"/>
        <v>#N/A</v>
      </c>
      <c r="IMI43" s="380" t="e">
        <f t="shared" si="104"/>
        <v>#N/A</v>
      </c>
      <c r="IMJ43" s="380" t="e">
        <f t="shared" si="104"/>
        <v>#N/A</v>
      </c>
      <c r="IMK43" s="380" t="e">
        <f t="shared" si="104"/>
        <v>#N/A</v>
      </c>
      <c r="IML43" s="380" t="e">
        <f t="shared" si="104"/>
        <v>#N/A</v>
      </c>
      <c r="IMM43" s="380" t="e">
        <f t="shared" si="104"/>
        <v>#N/A</v>
      </c>
      <c r="IMN43" s="380" t="e">
        <f t="shared" si="104"/>
        <v>#N/A</v>
      </c>
      <c r="IMO43" s="380" t="e">
        <f t="shared" si="104"/>
        <v>#N/A</v>
      </c>
      <c r="IMP43" s="380" t="e">
        <f t="shared" si="104"/>
        <v>#N/A</v>
      </c>
      <c r="IMQ43" s="380" t="e">
        <f t="shared" si="104"/>
        <v>#N/A</v>
      </c>
      <c r="IMR43" s="380" t="e">
        <f t="shared" si="104"/>
        <v>#N/A</v>
      </c>
      <c r="IMS43" s="380" t="e">
        <f t="shared" si="104"/>
        <v>#N/A</v>
      </c>
      <c r="IMT43" s="380" t="e">
        <f t="shared" si="104"/>
        <v>#N/A</v>
      </c>
      <c r="IMU43" s="380" t="e">
        <f t="shared" si="104"/>
        <v>#N/A</v>
      </c>
      <c r="IMV43" s="380" t="e">
        <f t="shared" si="104"/>
        <v>#N/A</v>
      </c>
      <c r="IMW43" s="380" t="e">
        <f t="shared" si="104"/>
        <v>#N/A</v>
      </c>
      <c r="IMX43" s="380" t="e">
        <f t="shared" si="104"/>
        <v>#N/A</v>
      </c>
      <c r="IMY43" s="380" t="e">
        <f t="shared" si="104"/>
        <v>#N/A</v>
      </c>
      <c r="IMZ43" s="380" t="e">
        <f t="shared" si="104"/>
        <v>#N/A</v>
      </c>
      <c r="INA43" s="380" t="e">
        <f t="shared" si="104"/>
        <v>#N/A</v>
      </c>
      <c r="INB43" s="380" t="e">
        <f t="shared" si="104"/>
        <v>#N/A</v>
      </c>
      <c r="INC43" s="380" t="e">
        <f t="shared" si="104"/>
        <v>#N/A</v>
      </c>
      <c r="IND43" s="380" t="e">
        <f t="shared" si="104"/>
        <v>#N/A</v>
      </c>
      <c r="INE43" s="380" t="e">
        <f t="shared" si="104"/>
        <v>#N/A</v>
      </c>
      <c r="INF43" s="380" t="e">
        <f t="shared" si="104"/>
        <v>#N/A</v>
      </c>
      <c r="ING43" s="380" t="e">
        <f t="shared" si="104"/>
        <v>#N/A</v>
      </c>
      <c r="INH43" s="380" t="e">
        <f t="shared" si="104"/>
        <v>#N/A</v>
      </c>
      <c r="INI43" s="380" t="e">
        <f t="shared" si="104"/>
        <v>#N/A</v>
      </c>
      <c r="INJ43" s="380" t="e">
        <f t="shared" si="104"/>
        <v>#N/A</v>
      </c>
      <c r="INK43" s="380" t="e">
        <f t="shared" si="104"/>
        <v>#N/A</v>
      </c>
      <c r="INL43" s="380" t="e">
        <f t="shared" si="104"/>
        <v>#N/A</v>
      </c>
      <c r="INM43" s="380" t="e">
        <f t="shared" si="104"/>
        <v>#N/A</v>
      </c>
      <c r="INN43" s="380" t="e">
        <f t="shared" si="104"/>
        <v>#N/A</v>
      </c>
      <c r="INO43" s="380" t="e">
        <f t="shared" si="104"/>
        <v>#N/A</v>
      </c>
      <c r="INP43" s="380" t="e">
        <f t="shared" si="104"/>
        <v>#N/A</v>
      </c>
      <c r="INQ43" s="380" t="e">
        <f t="shared" si="104"/>
        <v>#N/A</v>
      </c>
      <c r="INR43" s="380" t="e">
        <f t="shared" si="104"/>
        <v>#N/A</v>
      </c>
      <c r="INS43" s="380" t="e">
        <f t="shared" si="104"/>
        <v>#N/A</v>
      </c>
      <c r="INT43" s="380" t="e">
        <f t="shared" si="104"/>
        <v>#N/A</v>
      </c>
      <c r="INU43" s="380" t="e">
        <f t="shared" si="104"/>
        <v>#N/A</v>
      </c>
      <c r="INV43" s="380" t="e">
        <f t="shared" si="104"/>
        <v>#N/A</v>
      </c>
      <c r="INW43" s="380" t="e">
        <f t="shared" si="104"/>
        <v>#N/A</v>
      </c>
      <c r="INX43" s="380" t="e">
        <f t="shared" ref="INX43:IQI43" si="105">INDEX(INX7:INX40,MATCH($E$43,$E$7:$E$40,0))</f>
        <v>#N/A</v>
      </c>
      <c r="INY43" s="380" t="e">
        <f t="shared" si="105"/>
        <v>#N/A</v>
      </c>
      <c r="INZ43" s="380" t="e">
        <f t="shared" si="105"/>
        <v>#N/A</v>
      </c>
      <c r="IOA43" s="380" t="e">
        <f t="shared" si="105"/>
        <v>#N/A</v>
      </c>
      <c r="IOB43" s="380" t="e">
        <f t="shared" si="105"/>
        <v>#N/A</v>
      </c>
      <c r="IOC43" s="380" t="e">
        <f t="shared" si="105"/>
        <v>#N/A</v>
      </c>
      <c r="IOD43" s="380" t="e">
        <f t="shared" si="105"/>
        <v>#N/A</v>
      </c>
      <c r="IOE43" s="380" t="e">
        <f t="shared" si="105"/>
        <v>#N/A</v>
      </c>
      <c r="IOF43" s="380" t="e">
        <f t="shared" si="105"/>
        <v>#N/A</v>
      </c>
      <c r="IOG43" s="380" t="e">
        <f t="shared" si="105"/>
        <v>#N/A</v>
      </c>
      <c r="IOH43" s="380" t="e">
        <f t="shared" si="105"/>
        <v>#N/A</v>
      </c>
      <c r="IOI43" s="380" t="e">
        <f t="shared" si="105"/>
        <v>#N/A</v>
      </c>
      <c r="IOJ43" s="380" t="e">
        <f t="shared" si="105"/>
        <v>#N/A</v>
      </c>
      <c r="IOK43" s="380" t="e">
        <f t="shared" si="105"/>
        <v>#N/A</v>
      </c>
      <c r="IOL43" s="380" t="e">
        <f t="shared" si="105"/>
        <v>#N/A</v>
      </c>
      <c r="IOM43" s="380" t="e">
        <f t="shared" si="105"/>
        <v>#N/A</v>
      </c>
      <c r="ION43" s="380" t="e">
        <f t="shared" si="105"/>
        <v>#N/A</v>
      </c>
      <c r="IOO43" s="380" t="e">
        <f t="shared" si="105"/>
        <v>#N/A</v>
      </c>
      <c r="IOP43" s="380" t="e">
        <f t="shared" si="105"/>
        <v>#N/A</v>
      </c>
      <c r="IOQ43" s="380" t="e">
        <f t="shared" si="105"/>
        <v>#N/A</v>
      </c>
      <c r="IOR43" s="380" t="e">
        <f t="shared" si="105"/>
        <v>#N/A</v>
      </c>
      <c r="IOS43" s="380" t="e">
        <f t="shared" si="105"/>
        <v>#N/A</v>
      </c>
      <c r="IOT43" s="380" t="e">
        <f t="shared" si="105"/>
        <v>#N/A</v>
      </c>
      <c r="IOU43" s="380" t="e">
        <f t="shared" si="105"/>
        <v>#N/A</v>
      </c>
      <c r="IOV43" s="380" t="e">
        <f t="shared" si="105"/>
        <v>#N/A</v>
      </c>
      <c r="IOW43" s="380" t="e">
        <f t="shared" si="105"/>
        <v>#N/A</v>
      </c>
      <c r="IOX43" s="380" t="e">
        <f t="shared" si="105"/>
        <v>#N/A</v>
      </c>
      <c r="IOY43" s="380" t="e">
        <f t="shared" si="105"/>
        <v>#N/A</v>
      </c>
      <c r="IOZ43" s="380" t="e">
        <f t="shared" si="105"/>
        <v>#N/A</v>
      </c>
      <c r="IPA43" s="380" t="e">
        <f t="shared" si="105"/>
        <v>#N/A</v>
      </c>
      <c r="IPB43" s="380" t="e">
        <f t="shared" si="105"/>
        <v>#N/A</v>
      </c>
      <c r="IPC43" s="380" t="e">
        <f t="shared" si="105"/>
        <v>#N/A</v>
      </c>
      <c r="IPD43" s="380" t="e">
        <f t="shared" si="105"/>
        <v>#N/A</v>
      </c>
      <c r="IPE43" s="380" t="e">
        <f t="shared" si="105"/>
        <v>#N/A</v>
      </c>
      <c r="IPF43" s="380" t="e">
        <f t="shared" si="105"/>
        <v>#N/A</v>
      </c>
      <c r="IPG43" s="380" t="e">
        <f t="shared" si="105"/>
        <v>#N/A</v>
      </c>
      <c r="IPH43" s="380" t="e">
        <f t="shared" si="105"/>
        <v>#N/A</v>
      </c>
      <c r="IPI43" s="380" t="e">
        <f t="shared" si="105"/>
        <v>#N/A</v>
      </c>
      <c r="IPJ43" s="380" t="e">
        <f t="shared" si="105"/>
        <v>#N/A</v>
      </c>
      <c r="IPK43" s="380" t="e">
        <f t="shared" si="105"/>
        <v>#N/A</v>
      </c>
      <c r="IPL43" s="380" t="e">
        <f t="shared" si="105"/>
        <v>#N/A</v>
      </c>
      <c r="IPM43" s="380" t="e">
        <f t="shared" si="105"/>
        <v>#N/A</v>
      </c>
      <c r="IPN43" s="380" t="e">
        <f t="shared" si="105"/>
        <v>#N/A</v>
      </c>
      <c r="IPO43" s="380" t="e">
        <f t="shared" si="105"/>
        <v>#N/A</v>
      </c>
      <c r="IPP43" s="380" t="e">
        <f t="shared" si="105"/>
        <v>#N/A</v>
      </c>
      <c r="IPQ43" s="380" t="e">
        <f t="shared" si="105"/>
        <v>#N/A</v>
      </c>
      <c r="IPR43" s="380" t="e">
        <f t="shared" si="105"/>
        <v>#N/A</v>
      </c>
      <c r="IPS43" s="380" t="e">
        <f t="shared" si="105"/>
        <v>#N/A</v>
      </c>
      <c r="IPT43" s="380" t="e">
        <f t="shared" si="105"/>
        <v>#N/A</v>
      </c>
      <c r="IPU43" s="380" t="e">
        <f t="shared" si="105"/>
        <v>#N/A</v>
      </c>
      <c r="IPV43" s="380" t="e">
        <f t="shared" si="105"/>
        <v>#N/A</v>
      </c>
      <c r="IPW43" s="380" t="e">
        <f t="shared" si="105"/>
        <v>#N/A</v>
      </c>
      <c r="IPX43" s="380" t="e">
        <f t="shared" si="105"/>
        <v>#N/A</v>
      </c>
      <c r="IPY43" s="380" t="e">
        <f t="shared" si="105"/>
        <v>#N/A</v>
      </c>
      <c r="IPZ43" s="380" t="e">
        <f t="shared" si="105"/>
        <v>#N/A</v>
      </c>
      <c r="IQA43" s="380" t="e">
        <f t="shared" si="105"/>
        <v>#N/A</v>
      </c>
      <c r="IQB43" s="380" t="e">
        <f t="shared" si="105"/>
        <v>#N/A</v>
      </c>
      <c r="IQC43" s="380" t="e">
        <f t="shared" si="105"/>
        <v>#N/A</v>
      </c>
      <c r="IQD43" s="380" t="e">
        <f t="shared" si="105"/>
        <v>#N/A</v>
      </c>
      <c r="IQE43" s="380" t="e">
        <f t="shared" si="105"/>
        <v>#N/A</v>
      </c>
      <c r="IQF43" s="380" t="e">
        <f t="shared" si="105"/>
        <v>#N/A</v>
      </c>
      <c r="IQG43" s="380" t="e">
        <f t="shared" si="105"/>
        <v>#N/A</v>
      </c>
      <c r="IQH43" s="380" t="e">
        <f t="shared" si="105"/>
        <v>#N/A</v>
      </c>
      <c r="IQI43" s="380" t="e">
        <f t="shared" si="105"/>
        <v>#N/A</v>
      </c>
      <c r="IQJ43" s="380" t="e">
        <f t="shared" ref="IQJ43:ISU43" si="106">INDEX(IQJ7:IQJ40,MATCH($E$43,$E$7:$E$40,0))</f>
        <v>#N/A</v>
      </c>
      <c r="IQK43" s="380" t="e">
        <f t="shared" si="106"/>
        <v>#N/A</v>
      </c>
      <c r="IQL43" s="380" t="e">
        <f t="shared" si="106"/>
        <v>#N/A</v>
      </c>
      <c r="IQM43" s="380" t="e">
        <f t="shared" si="106"/>
        <v>#N/A</v>
      </c>
      <c r="IQN43" s="380" t="e">
        <f t="shared" si="106"/>
        <v>#N/A</v>
      </c>
      <c r="IQO43" s="380" t="e">
        <f t="shared" si="106"/>
        <v>#N/A</v>
      </c>
      <c r="IQP43" s="380" t="e">
        <f t="shared" si="106"/>
        <v>#N/A</v>
      </c>
      <c r="IQQ43" s="380" t="e">
        <f t="shared" si="106"/>
        <v>#N/A</v>
      </c>
      <c r="IQR43" s="380" t="e">
        <f t="shared" si="106"/>
        <v>#N/A</v>
      </c>
      <c r="IQS43" s="380" t="e">
        <f t="shared" si="106"/>
        <v>#N/A</v>
      </c>
      <c r="IQT43" s="380" t="e">
        <f t="shared" si="106"/>
        <v>#N/A</v>
      </c>
      <c r="IQU43" s="380" t="e">
        <f t="shared" si="106"/>
        <v>#N/A</v>
      </c>
      <c r="IQV43" s="380" t="e">
        <f t="shared" si="106"/>
        <v>#N/A</v>
      </c>
      <c r="IQW43" s="380" t="e">
        <f t="shared" si="106"/>
        <v>#N/A</v>
      </c>
      <c r="IQX43" s="380" t="e">
        <f t="shared" si="106"/>
        <v>#N/A</v>
      </c>
      <c r="IQY43" s="380" t="e">
        <f t="shared" si="106"/>
        <v>#N/A</v>
      </c>
      <c r="IQZ43" s="380" t="e">
        <f t="shared" si="106"/>
        <v>#N/A</v>
      </c>
      <c r="IRA43" s="380" t="e">
        <f t="shared" si="106"/>
        <v>#N/A</v>
      </c>
      <c r="IRB43" s="380" t="e">
        <f t="shared" si="106"/>
        <v>#N/A</v>
      </c>
      <c r="IRC43" s="380" t="e">
        <f t="shared" si="106"/>
        <v>#N/A</v>
      </c>
      <c r="IRD43" s="380" t="e">
        <f t="shared" si="106"/>
        <v>#N/A</v>
      </c>
      <c r="IRE43" s="380" t="e">
        <f t="shared" si="106"/>
        <v>#N/A</v>
      </c>
      <c r="IRF43" s="380" t="e">
        <f t="shared" si="106"/>
        <v>#N/A</v>
      </c>
      <c r="IRG43" s="380" t="e">
        <f t="shared" si="106"/>
        <v>#N/A</v>
      </c>
      <c r="IRH43" s="380" t="e">
        <f t="shared" si="106"/>
        <v>#N/A</v>
      </c>
      <c r="IRI43" s="380" t="e">
        <f t="shared" si="106"/>
        <v>#N/A</v>
      </c>
      <c r="IRJ43" s="380" t="e">
        <f t="shared" si="106"/>
        <v>#N/A</v>
      </c>
      <c r="IRK43" s="380" t="e">
        <f t="shared" si="106"/>
        <v>#N/A</v>
      </c>
      <c r="IRL43" s="380" t="e">
        <f t="shared" si="106"/>
        <v>#N/A</v>
      </c>
      <c r="IRM43" s="380" t="e">
        <f t="shared" si="106"/>
        <v>#N/A</v>
      </c>
      <c r="IRN43" s="380" t="e">
        <f t="shared" si="106"/>
        <v>#N/A</v>
      </c>
      <c r="IRO43" s="380" t="e">
        <f t="shared" si="106"/>
        <v>#N/A</v>
      </c>
      <c r="IRP43" s="380" t="e">
        <f t="shared" si="106"/>
        <v>#N/A</v>
      </c>
      <c r="IRQ43" s="380" t="e">
        <f t="shared" si="106"/>
        <v>#N/A</v>
      </c>
      <c r="IRR43" s="380" t="e">
        <f t="shared" si="106"/>
        <v>#N/A</v>
      </c>
      <c r="IRS43" s="380" t="e">
        <f t="shared" si="106"/>
        <v>#N/A</v>
      </c>
      <c r="IRT43" s="380" t="e">
        <f t="shared" si="106"/>
        <v>#N/A</v>
      </c>
      <c r="IRU43" s="380" t="e">
        <f t="shared" si="106"/>
        <v>#N/A</v>
      </c>
      <c r="IRV43" s="380" t="e">
        <f t="shared" si="106"/>
        <v>#N/A</v>
      </c>
      <c r="IRW43" s="380" t="e">
        <f t="shared" si="106"/>
        <v>#N/A</v>
      </c>
      <c r="IRX43" s="380" t="e">
        <f t="shared" si="106"/>
        <v>#N/A</v>
      </c>
      <c r="IRY43" s="380" t="e">
        <f t="shared" si="106"/>
        <v>#N/A</v>
      </c>
      <c r="IRZ43" s="380" t="e">
        <f t="shared" si="106"/>
        <v>#N/A</v>
      </c>
      <c r="ISA43" s="380" t="e">
        <f t="shared" si="106"/>
        <v>#N/A</v>
      </c>
      <c r="ISB43" s="380" t="e">
        <f t="shared" si="106"/>
        <v>#N/A</v>
      </c>
      <c r="ISC43" s="380" t="e">
        <f t="shared" si="106"/>
        <v>#N/A</v>
      </c>
      <c r="ISD43" s="380" t="e">
        <f t="shared" si="106"/>
        <v>#N/A</v>
      </c>
      <c r="ISE43" s="380" t="e">
        <f t="shared" si="106"/>
        <v>#N/A</v>
      </c>
      <c r="ISF43" s="380" t="e">
        <f t="shared" si="106"/>
        <v>#N/A</v>
      </c>
      <c r="ISG43" s="380" t="e">
        <f t="shared" si="106"/>
        <v>#N/A</v>
      </c>
      <c r="ISH43" s="380" t="e">
        <f t="shared" si="106"/>
        <v>#N/A</v>
      </c>
      <c r="ISI43" s="380" t="e">
        <f t="shared" si="106"/>
        <v>#N/A</v>
      </c>
      <c r="ISJ43" s="380" t="e">
        <f t="shared" si="106"/>
        <v>#N/A</v>
      </c>
      <c r="ISK43" s="380" t="e">
        <f t="shared" si="106"/>
        <v>#N/A</v>
      </c>
      <c r="ISL43" s="380" t="e">
        <f t="shared" si="106"/>
        <v>#N/A</v>
      </c>
      <c r="ISM43" s="380" t="e">
        <f t="shared" si="106"/>
        <v>#N/A</v>
      </c>
      <c r="ISN43" s="380" t="e">
        <f t="shared" si="106"/>
        <v>#N/A</v>
      </c>
      <c r="ISO43" s="380" t="e">
        <f t="shared" si="106"/>
        <v>#N/A</v>
      </c>
      <c r="ISP43" s="380" t="e">
        <f t="shared" si="106"/>
        <v>#N/A</v>
      </c>
      <c r="ISQ43" s="380" t="e">
        <f t="shared" si="106"/>
        <v>#N/A</v>
      </c>
      <c r="ISR43" s="380" t="e">
        <f t="shared" si="106"/>
        <v>#N/A</v>
      </c>
      <c r="ISS43" s="380" t="e">
        <f t="shared" si="106"/>
        <v>#N/A</v>
      </c>
      <c r="IST43" s="380" t="e">
        <f t="shared" si="106"/>
        <v>#N/A</v>
      </c>
      <c r="ISU43" s="380" t="e">
        <f t="shared" si="106"/>
        <v>#N/A</v>
      </c>
      <c r="ISV43" s="380" t="e">
        <f t="shared" ref="ISV43:IVG43" si="107">INDEX(ISV7:ISV40,MATCH($E$43,$E$7:$E$40,0))</f>
        <v>#N/A</v>
      </c>
      <c r="ISW43" s="380" t="e">
        <f t="shared" si="107"/>
        <v>#N/A</v>
      </c>
      <c r="ISX43" s="380" t="e">
        <f t="shared" si="107"/>
        <v>#N/A</v>
      </c>
      <c r="ISY43" s="380" t="e">
        <f t="shared" si="107"/>
        <v>#N/A</v>
      </c>
      <c r="ISZ43" s="380" t="e">
        <f t="shared" si="107"/>
        <v>#N/A</v>
      </c>
      <c r="ITA43" s="380" t="e">
        <f t="shared" si="107"/>
        <v>#N/A</v>
      </c>
      <c r="ITB43" s="380" t="e">
        <f t="shared" si="107"/>
        <v>#N/A</v>
      </c>
      <c r="ITC43" s="380" t="e">
        <f t="shared" si="107"/>
        <v>#N/A</v>
      </c>
      <c r="ITD43" s="380" t="e">
        <f t="shared" si="107"/>
        <v>#N/A</v>
      </c>
      <c r="ITE43" s="380" t="e">
        <f t="shared" si="107"/>
        <v>#N/A</v>
      </c>
      <c r="ITF43" s="380" t="e">
        <f t="shared" si="107"/>
        <v>#N/A</v>
      </c>
      <c r="ITG43" s="380" t="e">
        <f t="shared" si="107"/>
        <v>#N/A</v>
      </c>
      <c r="ITH43" s="380" t="e">
        <f t="shared" si="107"/>
        <v>#N/A</v>
      </c>
      <c r="ITI43" s="380" t="e">
        <f t="shared" si="107"/>
        <v>#N/A</v>
      </c>
      <c r="ITJ43" s="380" t="e">
        <f t="shared" si="107"/>
        <v>#N/A</v>
      </c>
      <c r="ITK43" s="380" t="e">
        <f t="shared" si="107"/>
        <v>#N/A</v>
      </c>
      <c r="ITL43" s="380" t="e">
        <f t="shared" si="107"/>
        <v>#N/A</v>
      </c>
      <c r="ITM43" s="380" t="e">
        <f t="shared" si="107"/>
        <v>#N/A</v>
      </c>
      <c r="ITN43" s="380" t="e">
        <f t="shared" si="107"/>
        <v>#N/A</v>
      </c>
      <c r="ITO43" s="380" t="e">
        <f t="shared" si="107"/>
        <v>#N/A</v>
      </c>
      <c r="ITP43" s="380" t="e">
        <f t="shared" si="107"/>
        <v>#N/A</v>
      </c>
      <c r="ITQ43" s="380" t="e">
        <f t="shared" si="107"/>
        <v>#N/A</v>
      </c>
      <c r="ITR43" s="380" t="e">
        <f t="shared" si="107"/>
        <v>#N/A</v>
      </c>
      <c r="ITS43" s="380" t="e">
        <f t="shared" si="107"/>
        <v>#N/A</v>
      </c>
      <c r="ITT43" s="380" t="e">
        <f t="shared" si="107"/>
        <v>#N/A</v>
      </c>
      <c r="ITU43" s="380" t="e">
        <f t="shared" si="107"/>
        <v>#N/A</v>
      </c>
      <c r="ITV43" s="380" t="e">
        <f t="shared" si="107"/>
        <v>#N/A</v>
      </c>
      <c r="ITW43" s="380" t="e">
        <f t="shared" si="107"/>
        <v>#N/A</v>
      </c>
      <c r="ITX43" s="380" t="e">
        <f t="shared" si="107"/>
        <v>#N/A</v>
      </c>
      <c r="ITY43" s="380" t="e">
        <f t="shared" si="107"/>
        <v>#N/A</v>
      </c>
      <c r="ITZ43" s="380" t="e">
        <f t="shared" si="107"/>
        <v>#N/A</v>
      </c>
      <c r="IUA43" s="380" t="e">
        <f t="shared" si="107"/>
        <v>#N/A</v>
      </c>
      <c r="IUB43" s="380" t="e">
        <f t="shared" si="107"/>
        <v>#N/A</v>
      </c>
      <c r="IUC43" s="380" t="e">
        <f t="shared" si="107"/>
        <v>#N/A</v>
      </c>
      <c r="IUD43" s="380" t="e">
        <f t="shared" si="107"/>
        <v>#N/A</v>
      </c>
      <c r="IUE43" s="380" t="e">
        <f t="shared" si="107"/>
        <v>#N/A</v>
      </c>
      <c r="IUF43" s="380" t="e">
        <f t="shared" si="107"/>
        <v>#N/A</v>
      </c>
      <c r="IUG43" s="380" t="e">
        <f t="shared" si="107"/>
        <v>#N/A</v>
      </c>
      <c r="IUH43" s="380" t="e">
        <f t="shared" si="107"/>
        <v>#N/A</v>
      </c>
      <c r="IUI43" s="380" t="e">
        <f t="shared" si="107"/>
        <v>#N/A</v>
      </c>
      <c r="IUJ43" s="380" t="e">
        <f t="shared" si="107"/>
        <v>#N/A</v>
      </c>
      <c r="IUK43" s="380" t="e">
        <f t="shared" si="107"/>
        <v>#N/A</v>
      </c>
      <c r="IUL43" s="380" t="e">
        <f t="shared" si="107"/>
        <v>#N/A</v>
      </c>
      <c r="IUM43" s="380" t="e">
        <f t="shared" si="107"/>
        <v>#N/A</v>
      </c>
      <c r="IUN43" s="380" t="e">
        <f t="shared" si="107"/>
        <v>#N/A</v>
      </c>
      <c r="IUO43" s="380" t="e">
        <f t="shared" si="107"/>
        <v>#N/A</v>
      </c>
      <c r="IUP43" s="380" t="e">
        <f t="shared" si="107"/>
        <v>#N/A</v>
      </c>
      <c r="IUQ43" s="380" t="e">
        <f t="shared" si="107"/>
        <v>#N/A</v>
      </c>
      <c r="IUR43" s="380" t="e">
        <f t="shared" si="107"/>
        <v>#N/A</v>
      </c>
      <c r="IUS43" s="380" t="e">
        <f t="shared" si="107"/>
        <v>#N/A</v>
      </c>
      <c r="IUT43" s="380" t="e">
        <f t="shared" si="107"/>
        <v>#N/A</v>
      </c>
      <c r="IUU43" s="380" t="e">
        <f t="shared" si="107"/>
        <v>#N/A</v>
      </c>
      <c r="IUV43" s="380" t="e">
        <f t="shared" si="107"/>
        <v>#N/A</v>
      </c>
      <c r="IUW43" s="380" t="e">
        <f t="shared" si="107"/>
        <v>#N/A</v>
      </c>
      <c r="IUX43" s="380" t="e">
        <f t="shared" si="107"/>
        <v>#N/A</v>
      </c>
      <c r="IUY43" s="380" t="e">
        <f t="shared" si="107"/>
        <v>#N/A</v>
      </c>
      <c r="IUZ43" s="380" t="e">
        <f t="shared" si="107"/>
        <v>#N/A</v>
      </c>
      <c r="IVA43" s="380" t="e">
        <f t="shared" si="107"/>
        <v>#N/A</v>
      </c>
      <c r="IVB43" s="380" t="e">
        <f t="shared" si="107"/>
        <v>#N/A</v>
      </c>
      <c r="IVC43" s="380" t="e">
        <f t="shared" si="107"/>
        <v>#N/A</v>
      </c>
      <c r="IVD43" s="380" t="e">
        <f t="shared" si="107"/>
        <v>#N/A</v>
      </c>
      <c r="IVE43" s="380" t="e">
        <f t="shared" si="107"/>
        <v>#N/A</v>
      </c>
      <c r="IVF43" s="380" t="e">
        <f t="shared" si="107"/>
        <v>#N/A</v>
      </c>
      <c r="IVG43" s="380" t="e">
        <f t="shared" si="107"/>
        <v>#N/A</v>
      </c>
      <c r="IVH43" s="380" t="e">
        <f t="shared" ref="IVH43:IXS43" si="108">INDEX(IVH7:IVH40,MATCH($E$43,$E$7:$E$40,0))</f>
        <v>#N/A</v>
      </c>
      <c r="IVI43" s="380" t="e">
        <f t="shared" si="108"/>
        <v>#N/A</v>
      </c>
      <c r="IVJ43" s="380" t="e">
        <f t="shared" si="108"/>
        <v>#N/A</v>
      </c>
      <c r="IVK43" s="380" t="e">
        <f t="shared" si="108"/>
        <v>#N/A</v>
      </c>
      <c r="IVL43" s="380" t="e">
        <f t="shared" si="108"/>
        <v>#N/A</v>
      </c>
      <c r="IVM43" s="380" t="e">
        <f t="shared" si="108"/>
        <v>#N/A</v>
      </c>
      <c r="IVN43" s="380" t="e">
        <f t="shared" si="108"/>
        <v>#N/A</v>
      </c>
      <c r="IVO43" s="380" t="e">
        <f t="shared" si="108"/>
        <v>#N/A</v>
      </c>
      <c r="IVP43" s="380" t="e">
        <f t="shared" si="108"/>
        <v>#N/A</v>
      </c>
      <c r="IVQ43" s="380" t="e">
        <f t="shared" si="108"/>
        <v>#N/A</v>
      </c>
      <c r="IVR43" s="380" t="e">
        <f t="shared" si="108"/>
        <v>#N/A</v>
      </c>
      <c r="IVS43" s="380" t="e">
        <f t="shared" si="108"/>
        <v>#N/A</v>
      </c>
      <c r="IVT43" s="380" t="e">
        <f t="shared" si="108"/>
        <v>#N/A</v>
      </c>
      <c r="IVU43" s="380" t="e">
        <f t="shared" si="108"/>
        <v>#N/A</v>
      </c>
      <c r="IVV43" s="380" t="e">
        <f t="shared" si="108"/>
        <v>#N/A</v>
      </c>
      <c r="IVW43" s="380" t="e">
        <f t="shared" si="108"/>
        <v>#N/A</v>
      </c>
      <c r="IVX43" s="380" t="e">
        <f t="shared" si="108"/>
        <v>#N/A</v>
      </c>
      <c r="IVY43" s="380" t="e">
        <f t="shared" si="108"/>
        <v>#N/A</v>
      </c>
      <c r="IVZ43" s="380" t="e">
        <f t="shared" si="108"/>
        <v>#N/A</v>
      </c>
      <c r="IWA43" s="380" t="e">
        <f t="shared" si="108"/>
        <v>#N/A</v>
      </c>
      <c r="IWB43" s="380" t="e">
        <f t="shared" si="108"/>
        <v>#N/A</v>
      </c>
      <c r="IWC43" s="380" t="e">
        <f t="shared" si="108"/>
        <v>#N/A</v>
      </c>
      <c r="IWD43" s="380" t="e">
        <f t="shared" si="108"/>
        <v>#N/A</v>
      </c>
      <c r="IWE43" s="380" t="e">
        <f t="shared" si="108"/>
        <v>#N/A</v>
      </c>
      <c r="IWF43" s="380" t="e">
        <f t="shared" si="108"/>
        <v>#N/A</v>
      </c>
      <c r="IWG43" s="380" t="e">
        <f t="shared" si="108"/>
        <v>#N/A</v>
      </c>
      <c r="IWH43" s="380" t="e">
        <f t="shared" si="108"/>
        <v>#N/A</v>
      </c>
      <c r="IWI43" s="380" t="e">
        <f t="shared" si="108"/>
        <v>#N/A</v>
      </c>
      <c r="IWJ43" s="380" t="e">
        <f t="shared" si="108"/>
        <v>#N/A</v>
      </c>
      <c r="IWK43" s="380" t="e">
        <f t="shared" si="108"/>
        <v>#N/A</v>
      </c>
      <c r="IWL43" s="380" t="e">
        <f t="shared" si="108"/>
        <v>#N/A</v>
      </c>
      <c r="IWM43" s="380" t="e">
        <f t="shared" si="108"/>
        <v>#N/A</v>
      </c>
      <c r="IWN43" s="380" t="e">
        <f t="shared" si="108"/>
        <v>#N/A</v>
      </c>
      <c r="IWO43" s="380" t="e">
        <f t="shared" si="108"/>
        <v>#N/A</v>
      </c>
      <c r="IWP43" s="380" t="e">
        <f t="shared" si="108"/>
        <v>#N/A</v>
      </c>
      <c r="IWQ43" s="380" t="e">
        <f t="shared" si="108"/>
        <v>#N/A</v>
      </c>
      <c r="IWR43" s="380" t="e">
        <f t="shared" si="108"/>
        <v>#N/A</v>
      </c>
      <c r="IWS43" s="380" t="e">
        <f t="shared" si="108"/>
        <v>#N/A</v>
      </c>
      <c r="IWT43" s="380" t="e">
        <f t="shared" si="108"/>
        <v>#N/A</v>
      </c>
      <c r="IWU43" s="380" t="e">
        <f t="shared" si="108"/>
        <v>#N/A</v>
      </c>
      <c r="IWV43" s="380" t="e">
        <f t="shared" si="108"/>
        <v>#N/A</v>
      </c>
      <c r="IWW43" s="380" t="e">
        <f t="shared" si="108"/>
        <v>#N/A</v>
      </c>
      <c r="IWX43" s="380" t="e">
        <f t="shared" si="108"/>
        <v>#N/A</v>
      </c>
      <c r="IWY43" s="380" t="e">
        <f t="shared" si="108"/>
        <v>#N/A</v>
      </c>
      <c r="IWZ43" s="380" t="e">
        <f t="shared" si="108"/>
        <v>#N/A</v>
      </c>
      <c r="IXA43" s="380" t="e">
        <f t="shared" si="108"/>
        <v>#N/A</v>
      </c>
      <c r="IXB43" s="380" t="e">
        <f t="shared" si="108"/>
        <v>#N/A</v>
      </c>
      <c r="IXC43" s="380" t="e">
        <f t="shared" si="108"/>
        <v>#N/A</v>
      </c>
      <c r="IXD43" s="380" t="e">
        <f t="shared" si="108"/>
        <v>#N/A</v>
      </c>
      <c r="IXE43" s="380" t="e">
        <f t="shared" si="108"/>
        <v>#N/A</v>
      </c>
      <c r="IXF43" s="380" t="e">
        <f t="shared" si="108"/>
        <v>#N/A</v>
      </c>
      <c r="IXG43" s="380" t="e">
        <f t="shared" si="108"/>
        <v>#N/A</v>
      </c>
      <c r="IXH43" s="380" t="e">
        <f t="shared" si="108"/>
        <v>#N/A</v>
      </c>
      <c r="IXI43" s="380" t="e">
        <f t="shared" si="108"/>
        <v>#N/A</v>
      </c>
      <c r="IXJ43" s="380" t="e">
        <f t="shared" si="108"/>
        <v>#N/A</v>
      </c>
      <c r="IXK43" s="380" t="e">
        <f t="shared" si="108"/>
        <v>#N/A</v>
      </c>
      <c r="IXL43" s="380" t="e">
        <f t="shared" si="108"/>
        <v>#N/A</v>
      </c>
      <c r="IXM43" s="380" t="e">
        <f t="shared" si="108"/>
        <v>#N/A</v>
      </c>
      <c r="IXN43" s="380" t="e">
        <f t="shared" si="108"/>
        <v>#N/A</v>
      </c>
      <c r="IXO43" s="380" t="e">
        <f t="shared" si="108"/>
        <v>#N/A</v>
      </c>
      <c r="IXP43" s="380" t="e">
        <f t="shared" si="108"/>
        <v>#N/A</v>
      </c>
      <c r="IXQ43" s="380" t="e">
        <f t="shared" si="108"/>
        <v>#N/A</v>
      </c>
      <c r="IXR43" s="380" t="e">
        <f t="shared" si="108"/>
        <v>#N/A</v>
      </c>
      <c r="IXS43" s="380" t="e">
        <f t="shared" si="108"/>
        <v>#N/A</v>
      </c>
      <c r="IXT43" s="380" t="e">
        <f t="shared" ref="IXT43:JAE43" si="109">INDEX(IXT7:IXT40,MATCH($E$43,$E$7:$E$40,0))</f>
        <v>#N/A</v>
      </c>
      <c r="IXU43" s="380" t="e">
        <f t="shared" si="109"/>
        <v>#N/A</v>
      </c>
      <c r="IXV43" s="380" t="e">
        <f t="shared" si="109"/>
        <v>#N/A</v>
      </c>
      <c r="IXW43" s="380" t="e">
        <f t="shared" si="109"/>
        <v>#N/A</v>
      </c>
      <c r="IXX43" s="380" t="e">
        <f t="shared" si="109"/>
        <v>#N/A</v>
      </c>
      <c r="IXY43" s="380" t="e">
        <f t="shared" si="109"/>
        <v>#N/A</v>
      </c>
      <c r="IXZ43" s="380" t="e">
        <f t="shared" si="109"/>
        <v>#N/A</v>
      </c>
      <c r="IYA43" s="380" t="e">
        <f t="shared" si="109"/>
        <v>#N/A</v>
      </c>
      <c r="IYB43" s="380" t="e">
        <f t="shared" si="109"/>
        <v>#N/A</v>
      </c>
      <c r="IYC43" s="380" t="e">
        <f t="shared" si="109"/>
        <v>#N/A</v>
      </c>
      <c r="IYD43" s="380" t="e">
        <f t="shared" si="109"/>
        <v>#N/A</v>
      </c>
      <c r="IYE43" s="380" t="e">
        <f t="shared" si="109"/>
        <v>#N/A</v>
      </c>
      <c r="IYF43" s="380" t="e">
        <f t="shared" si="109"/>
        <v>#N/A</v>
      </c>
      <c r="IYG43" s="380" t="e">
        <f t="shared" si="109"/>
        <v>#N/A</v>
      </c>
      <c r="IYH43" s="380" t="e">
        <f t="shared" si="109"/>
        <v>#N/A</v>
      </c>
      <c r="IYI43" s="380" t="e">
        <f t="shared" si="109"/>
        <v>#N/A</v>
      </c>
      <c r="IYJ43" s="380" t="e">
        <f t="shared" si="109"/>
        <v>#N/A</v>
      </c>
      <c r="IYK43" s="380" t="e">
        <f t="shared" si="109"/>
        <v>#N/A</v>
      </c>
      <c r="IYL43" s="380" t="e">
        <f t="shared" si="109"/>
        <v>#N/A</v>
      </c>
      <c r="IYM43" s="380" t="e">
        <f t="shared" si="109"/>
        <v>#N/A</v>
      </c>
      <c r="IYN43" s="380" t="e">
        <f t="shared" si="109"/>
        <v>#N/A</v>
      </c>
      <c r="IYO43" s="380" t="e">
        <f t="shared" si="109"/>
        <v>#N/A</v>
      </c>
      <c r="IYP43" s="380" t="e">
        <f t="shared" si="109"/>
        <v>#N/A</v>
      </c>
      <c r="IYQ43" s="380" t="e">
        <f t="shared" si="109"/>
        <v>#N/A</v>
      </c>
      <c r="IYR43" s="380" t="e">
        <f t="shared" si="109"/>
        <v>#N/A</v>
      </c>
      <c r="IYS43" s="380" t="e">
        <f t="shared" si="109"/>
        <v>#N/A</v>
      </c>
      <c r="IYT43" s="380" t="e">
        <f t="shared" si="109"/>
        <v>#N/A</v>
      </c>
      <c r="IYU43" s="380" t="e">
        <f t="shared" si="109"/>
        <v>#N/A</v>
      </c>
      <c r="IYV43" s="380" t="e">
        <f t="shared" si="109"/>
        <v>#N/A</v>
      </c>
      <c r="IYW43" s="380" t="e">
        <f t="shared" si="109"/>
        <v>#N/A</v>
      </c>
      <c r="IYX43" s="380" t="e">
        <f t="shared" si="109"/>
        <v>#N/A</v>
      </c>
      <c r="IYY43" s="380" t="e">
        <f t="shared" si="109"/>
        <v>#N/A</v>
      </c>
      <c r="IYZ43" s="380" t="e">
        <f t="shared" si="109"/>
        <v>#N/A</v>
      </c>
      <c r="IZA43" s="380" t="e">
        <f t="shared" si="109"/>
        <v>#N/A</v>
      </c>
      <c r="IZB43" s="380" t="e">
        <f t="shared" si="109"/>
        <v>#N/A</v>
      </c>
      <c r="IZC43" s="380" t="e">
        <f t="shared" si="109"/>
        <v>#N/A</v>
      </c>
      <c r="IZD43" s="380" t="e">
        <f t="shared" si="109"/>
        <v>#N/A</v>
      </c>
      <c r="IZE43" s="380" t="e">
        <f t="shared" si="109"/>
        <v>#N/A</v>
      </c>
      <c r="IZF43" s="380" t="e">
        <f t="shared" si="109"/>
        <v>#N/A</v>
      </c>
      <c r="IZG43" s="380" t="e">
        <f t="shared" si="109"/>
        <v>#N/A</v>
      </c>
      <c r="IZH43" s="380" t="e">
        <f t="shared" si="109"/>
        <v>#N/A</v>
      </c>
      <c r="IZI43" s="380" t="e">
        <f t="shared" si="109"/>
        <v>#N/A</v>
      </c>
      <c r="IZJ43" s="380" t="e">
        <f t="shared" si="109"/>
        <v>#N/A</v>
      </c>
      <c r="IZK43" s="380" t="e">
        <f t="shared" si="109"/>
        <v>#N/A</v>
      </c>
      <c r="IZL43" s="380" t="e">
        <f t="shared" si="109"/>
        <v>#N/A</v>
      </c>
      <c r="IZM43" s="380" t="e">
        <f t="shared" si="109"/>
        <v>#N/A</v>
      </c>
      <c r="IZN43" s="380" t="e">
        <f t="shared" si="109"/>
        <v>#N/A</v>
      </c>
      <c r="IZO43" s="380" t="e">
        <f t="shared" si="109"/>
        <v>#N/A</v>
      </c>
      <c r="IZP43" s="380" t="e">
        <f t="shared" si="109"/>
        <v>#N/A</v>
      </c>
      <c r="IZQ43" s="380" t="e">
        <f t="shared" si="109"/>
        <v>#N/A</v>
      </c>
      <c r="IZR43" s="380" t="e">
        <f t="shared" si="109"/>
        <v>#N/A</v>
      </c>
      <c r="IZS43" s="380" t="e">
        <f t="shared" si="109"/>
        <v>#N/A</v>
      </c>
      <c r="IZT43" s="380" t="e">
        <f t="shared" si="109"/>
        <v>#N/A</v>
      </c>
      <c r="IZU43" s="380" t="e">
        <f t="shared" si="109"/>
        <v>#N/A</v>
      </c>
      <c r="IZV43" s="380" t="e">
        <f t="shared" si="109"/>
        <v>#N/A</v>
      </c>
      <c r="IZW43" s="380" t="e">
        <f t="shared" si="109"/>
        <v>#N/A</v>
      </c>
      <c r="IZX43" s="380" t="e">
        <f t="shared" si="109"/>
        <v>#N/A</v>
      </c>
      <c r="IZY43" s="380" t="e">
        <f t="shared" si="109"/>
        <v>#N/A</v>
      </c>
      <c r="IZZ43" s="380" t="e">
        <f t="shared" si="109"/>
        <v>#N/A</v>
      </c>
      <c r="JAA43" s="380" t="e">
        <f t="shared" si="109"/>
        <v>#N/A</v>
      </c>
      <c r="JAB43" s="380" t="e">
        <f t="shared" si="109"/>
        <v>#N/A</v>
      </c>
      <c r="JAC43" s="380" t="e">
        <f t="shared" si="109"/>
        <v>#N/A</v>
      </c>
      <c r="JAD43" s="380" t="e">
        <f t="shared" si="109"/>
        <v>#N/A</v>
      </c>
      <c r="JAE43" s="380" t="e">
        <f t="shared" si="109"/>
        <v>#N/A</v>
      </c>
      <c r="JAF43" s="380" t="e">
        <f t="shared" ref="JAF43:JCQ43" si="110">INDEX(JAF7:JAF40,MATCH($E$43,$E$7:$E$40,0))</f>
        <v>#N/A</v>
      </c>
      <c r="JAG43" s="380" t="e">
        <f t="shared" si="110"/>
        <v>#N/A</v>
      </c>
      <c r="JAH43" s="380" t="e">
        <f t="shared" si="110"/>
        <v>#N/A</v>
      </c>
      <c r="JAI43" s="380" t="e">
        <f t="shared" si="110"/>
        <v>#N/A</v>
      </c>
      <c r="JAJ43" s="380" t="e">
        <f t="shared" si="110"/>
        <v>#N/A</v>
      </c>
      <c r="JAK43" s="380" t="e">
        <f t="shared" si="110"/>
        <v>#N/A</v>
      </c>
      <c r="JAL43" s="380" t="e">
        <f t="shared" si="110"/>
        <v>#N/A</v>
      </c>
      <c r="JAM43" s="380" t="e">
        <f t="shared" si="110"/>
        <v>#N/A</v>
      </c>
      <c r="JAN43" s="380" t="e">
        <f t="shared" si="110"/>
        <v>#N/A</v>
      </c>
      <c r="JAO43" s="380" t="e">
        <f t="shared" si="110"/>
        <v>#N/A</v>
      </c>
      <c r="JAP43" s="380" t="e">
        <f t="shared" si="110"/>
        <v>#N/A</v>
      </c>
      <c r="JAQ43" s="380" t="e">
        <f t="shared" si="110"/>
        <v>#N/A</v>
      </c>
      <c r="JAR43" s="380" t="e">
        <f t="shared" si="110"/>
        <v>#N/A</v>
      </c>
      <c r="JAS43" s="380" t="e">
        <f t="shared" si="110"/>
        <v>#N/A</v>
      </c>
      <c r="JAT43" s="380" t="e">
        <f t="shared" si="110"/>
        <v>#N/A</v>
      </c>
      <c r="JAU43" s="380" t="e">
        <f t="shared" si="110"/>
        <v>#N/A</v>
      </c>
      <c r="JAV43" s="380" t="e">
        <f t="shared" si="110"/>
        <v>#N/A</v>
      </c>
      <c r="JAW43" s="380" t="e">
        <f t="shared" si="110"/>
        <v>#N/A</v>
      </c>
      <c r="JAX43" s="380" t="e">
        <f t="shared" si="110"/>
        <v>#N/A</v>
      </c>
      <c r="JAY43" s="380" t="e">
        <f t="shared" si="110"/>
        <v>#N/A</v>
      </c>
      <c r="JAZ43" s="380" t="e">
        <f t="shared" si="110"/>
        <v>#N/A</v>
      </c>
      <c r="JBA43" s="380" t="e">
        <f t="shared" si="110"/>
        <v>#N/A</v>
      </c>
      <c r="JBB43" s="380" t="e">
        <f t="shared" si="110"/>
        <v>#N/A</v>
      </c>
      <c r="JBC43" s="380" t="e">
        <f t="shared" si="110"/>
        <v>#N/A</v>
      </c>
      <c r="JBD43" s="380" t="e">
        <f t="shared" si="110"/>
        <v>#N/A</v>
      </c>
      <c r="JBE43" s="380" t="e">
        <f t="shared" si="110"/>
        <v>#N/A</v>
      </c>
      <c r="JBF43" s="380" t="e">
        <f t="shared" si="110"/>
        <v>#N/A</v>
      </c>
      <c r="JBG43" s="380" t="e">
        <f t="shared" si="110"/>
        <v>#N/A</v>
      </c>
      <c r="JBH43" s="380" t="e">
        <f t="shared" si="110"/>
        <v>#N/A</v>
      </c>
      <c r="JBI43" s="380" t="e">
        <f t="shared" si="110"/>
        <v>#N/A</v>
      </c>
      <c r="JBJ43" s="380" t="e">
        <f t="shared" si="110"/>
        <v>#N/A</v>
      </c>
      <c r="JBK43" s="380" t="e">
        <f t="shared" si="110"/>
        <v>#N/A</v>
      </c>
      <c r="JBL43" s="380" t="e">
        <f t="shared" si="110"/>
        <v>#N/A</v>
      </c>
      <c r="JBM43" s="380" t="e">
        <f t="shared" si="110"/>
        <v>#N/A</v>
      </c>
      <c r="JBN43" s="380" t="e">
        <f t="shared" si="110"/>
        <v>#N/A</v>
      </c>
      <c r="JBO43" s="380" t="e">
        <f t="shared" si="110"/>
        <v>#N/A</v>
      </c>
      <c r="JBP43" s="380" t="e">
        <f t="shared" si="110"/>
        <v>#N/A</v>
      </c>
      <c r="JBQ43" s="380" t="e">
        <f t="shared" si="110"/>
        <v>#N/A</v>
      </c>
      <c r="JBR43" s="380" t="e">
        <f t="shared" si="110"/>
        <v>#N/A</v>
      </c>
      <c r="JBS43" s="380" t="e">
        <f t="shared" si="110"/>
        <v>#N/A</v>
      </c>
      <c r="JBT43" s="380" t="e">
        <f t="shared" si="110"/>
        <v>#N/A</v>
      </c>
      <c r="JBU43" s="380" t="e">
        <f t="shared" si="110"/>
        <v>#N/A</v>
      </c>
      <c r="JBV43" s="380" t="e">
        <f t="shared" si="110"/>
        <v>#N/A</v>
      </c>
      <c r="JBW43" s="380" t="e">
        <f t="shared" si="110"/>
        <v>#N/A</v>
      </c>
      <c r="JBX43" s="380" t="e">
        <f t="shared" si="110"/>
        <v>#N/A</v>
      </c>
      <c r="JBY43" s="380" t="e">
        <f t="shared" si="110"/>
        <v>#N/A</v>
      </c>
      <c r="JBZ43" s="380" t="e">
        <f t="shared" si="110"/>
        <v>#N/A</v>
      </c>
      <c r="JCA43" s="380" t="e">
        <f t="shared" si="110"/>
        <v>#N/A</v>
      </c>
      <c r="JCB43" s="380" t="e">
        <f t="shared" si="110"/>
        <v>#N/A</v>
      </c>
      <c r="JCC43" s="380" t="e">
        <f t="shared" si="110"/>
        <v>#N/A</v>
      </c>
      <c r="JCD43" s="380" t="e">
        <f t="shared" si="110"/>
        <v>#N/A</v>
      </c>
      <c r="JCE43" s="380" t="e">
        <f t="shared" si="110"/>
        <v>#N/A</v>
      </c>
      <c r="JCF43" s="380" t="e">
        <f t="shared" si="110"/>
        <v>#N/A</v>
      </c>
      <c r="JCG43" s="380" t="e">
        <f t="shared" si="110"/>
        <v>#N/A</v>
      </c>
      <c r="JCH43" s="380" t="e">
        <f t="shared" si="110"/>
        <v>#N/A</v>
      </c>
      <c r="JCI43" s="380" t="e">
        <f t="shared" si="110"/>
        <v>#N/A</v>
      </c>
      <c r="JCJ43" s="380" t="e">
        <f t="shared" si="110"/>
        <v>#N/A</v>
      </c>
      <c r="JCK43" s="380" t="e">
        <f t="shared" si="110"/>
        <v>#N/A</v>
      </c>
      <c r="JCL43" s="380" t="e">
        <f t="shared" si="110"/>
        <v>#N/A</v>
      </c>
      <c r="JCM43" s="380" t="e">
        <f t="shared" si="110"/>
        <v>#N/A</v>
      </c>
      <c r="JCN43" s="380" t="e">
        <f t="shared" si="110"/>
        <v>#N/A</v>
      </c>
      <c r="JCO43" s="380" t="e">
        <f t="shared" si="110"/>
        <v>#N/A</v>
      </c>
      <c r="JCP43" s="380" t="e">
        <f t="shared" si="110"/>
        <v>#N/A</v>
      </c>
      <c r="JCQ43" s="380" t="e">
        <f t="shared" si="110"/>
        <v>#N/A</v>
      </c>
      <c r="JCR43" s="380" t="e">
        <f t="shared" ref="JCR43:JFC43" si="111">INDEX(JCR7:JCR40,MATCH($E$43,$E$7:$E$40,0))</f>
        <v>#N/A</v>
      </c>
      <c r="JCS43" s="380" t="e">
        <f t="shared" si="111"/>
        <v>#N/A</v>
      </c>
      <c r="JCT43" s="380" t="e">
        <f t="shared" si="111"/>
        <v>#N/A</v>
      </c>
      <c r="JCU43" s="380" t="e">
        <f t="shared" si="111"/>
        <v>#N/A</v>
      </c>
      <c r="JCV43" s="380" t="e">
        <f t="shared" si="111"/>
        <v>#N/A</v>
      </c>
      <c r="JCW43" s="380" t="e">
        <f t="shared" si="111"/>
        <v>#N/A</v>
      </c>
      <c r="JCX43" s="380" t="e">
        <f t="shared" si="111"/>
        <v>#N/A</v>
      </c>
      <c r="JCY43" s="380" t="e">
        <f t="shared" si="111"/>
        <v>#N/A</v>
      </c>
      <c r="JCZ43" s="380" t="e">
        <f t="shared" si="111"/>
        <v>#N/A</v>
      </c>
      <c r="JDA43" s="380" t="e">
        <f t="shared" si="111"/>
        <v>#N/A</v>
      </c>
      <c r="JDB43" s="380" t="e">
        <f t="shared" si="111"/>
        <v>#N/A</v>
      </c>
      <c r="JDC43" s="380" t="e">
        <f t="shared" si="111"/>
        <v>#N/A</v>
      </c>
      <c r="JDD43" s="380" t="e">
        <f t="shared" si="111"/>
        <v>#N/A</v>
      </c>
      <c r="JDE43" s="380" t="e">
        <f t="shared" si="111"/>
        <v>#N/A</v>
      </c>
      <c r="JDF43" s="380" t="e">
        <f t="shared" si="111"/>
        <v>#N/A</v>
      </c>
      <c r="JDG43" s="380" t="e">
        <f t="shared" si="111"/>
        <v>#N/A</v>
      </c>
      <c r="JDH43" s="380" t="e">
        <f t="shared" si="111"/>
        <v>#N/A</v>
      </c>
      <c r="JDI43" s="380" t="e">
        <f t="shared" si="111"/>
        <v>#N/A</v>
      </c>
      <c r="JDJ43" s="380" t="e">
        <f t="shared" si="111"/>
        <v>#N/A</v>
      </c>
      <c r="JDK43" s="380" t="e">
        <f t="shared" si="111"/>
        <v>#N/A</v>
      </c>
      <c r="JDL43" s="380" t="e">
        <f t="shared" si="111"/>
        <v>#N/A</v>
      </c>
      <c r="JDM43" s="380" t="e">
        <f t="shared" si="111"/>
        <v>#N/A</v>
      </c>
      <c r="JDN43" s="380" t="e">
        <f t="shared" si="111"/>
        <v>#N/A</v>
      </c>
      <c r="JDO43" s="380" t="e">
        <f t="shared" si="111"/>
        <v>#N/A</v>
      </c>
      <c r="JDP43" s="380" t="e">
        <f t="shared" si="111"/>
        <v>#N/A</v>
      </c>
      <c r="JDQ43" s="380" t="e">
        <f t="shared" si="111"/>
        <v>#N/A</v>
      </c>
      <c r="JDR43" s="380" t="e">
        <f t="shared" si="111"/>
        <v>#N/A</v>
      </c>
      <c r="JDS43" s="380" t="e">
        <f t="shared" si="111"/>
        <v>#N/A</v>
      </c>
      <c r="JDT43" s="380" t="e">
        <f t="shared" si="111"/>
        <v>#N/A</v>
      </c>
      <c r="JDU43" s="380" t="e">
        <f t="shared" si="111"/>
        <v>#N/A</v>
      </c>
      <c r="JDV43" s="380" t="e">
        <f t="shared" si="111"/>
        <v>#N/A</v>
      </c>
      <c r="JDW43" s="380" t="e">
        <f t="shared" si="111"/>
        <v>#N/A</v>
      </c>
      <c r="JDX43" s="380" t="e">
        <f t="shared" si="111"/>
        <v>#N/A</v>
      </c>
      <c r="JDY43" s="380" t="e">
        <f t="shared" si="111"/>
        <v>#N/A</v>
      </c>
      <c r="JDZ43" s="380" t="e">
        <f t="shared" si="111"/>
        <v>#N/A</v>
      </c>
      <c r="JEA43" s="380" t="e">
        <f t="shared" si="111"/>
        <v>#N/A</v>
      </c>
      <c r="JEB43" s="380" t="e">
        <f t="shared" si="111"/>
        <v>#N/A</v>
      </c>
      <c r="JEC43" s="380" t="e">
        <f t="shared" si="111"/>
        <v>#N/A</v>
      </c>
      <c r="JED43" s="380" t="e">
        <f t="shared" si="111"/>
        <v>#N/A</v>
      </c>
      <c r="JEE43" s="380" t="e">
        <f t="shared" si="111"/>
        <v>#N/A</v>
      </c>
      <c r="JEF43" s="380" t="e">
        <f t="shared" si="111"/>
        <v>#N/A</v>
      </c>
      <c r="JEG43" s="380" t="e">
        <f t="shared" si="111"/>
        <v>#N/A</v>
      </c>
      <c r="JEH43" s="380" t="e">
        <f t="shared" si="111"/>
        <v>#N/A</v>
      </c>
      <c r="JEI43" s="380" t="e">
        <f t="shared" si="111"/>
        <v>#N/A</v>
      </c>
      <c r="JEJ43" s="380" t="e">
        <f t="shared" si="111"/>
        <v>#N/A</v>
      </c>
      <c r="JEK43" s="380" t="e">
        <f t="shared" si="111"/>
        <v>#N/A</v>
      </c>
      <c r="JEL43" s="380" t="e">
        <f t="shared" si="111"/>
        <v>#N/A</v>
      </c>
      <c r="JEM43" s="380" t="e">
        <f t="shared" si="111"/>
        <v>#N/A</v>
      </c>
      <c r="JEN43" s="380" t="e">
        <f t="shared" si="111"/>
        <v>#N/A</v>
      </c>
      <c r="JEO43" s="380" t="e">
        <f t="shared" si="111"/>
        <v>#N/A</v>
      </c>
      <c r="JEP43" s="380" t="e">
        <f t="shared" si="111"/>
        <v>#N/A</v>
      </c>
      <c r="JEQ43" s="380" t="e">
        <f t="shared" si="111"/>
        <v>#N/A</v>
      </c>
      <c r="JER43" s="380" t="e">
        <f t="shared" si="111"/>
        <v>#N/A</v>
      </c>
      <c r="JES43" s="380" t="e">
        <f t="shared" si="111"/>
        <v>#N/A</v>
      </c>
      <c r="JET43" s="380" t="e">
        <f t="shared" si="111"/>
        <v>#N/A</v>
      </c>
      <c r="JEU43" s="380" t="e">
        <f t="shared" si="111"/>
        <v>#N/A</v>
      </c>
      <c r="JEV43" s="380" t="e">
        <f t="shared" si="111"/>
        <v>#N/A</v>
      </c>
      <c r="JEW43" s="380" t="e">
        <f t="shared" si="111"/>
        <v>#N/A</v>
      </c>
      <c r="JEX43" s="380" t="e">
        <f t="shared" si="111"/>
        <v>#N/A</v>
      </c>
      <c r="JEY43" s="380" t="e">
        <f t="shared" si="111"/>
        <v>#N/A</v>
      </c>
      <c r="JEZ43" s="380" t="e">
        <f t="shared" si="111"/>
        <v>#N/A</v>
      </c>
      <c r="JFA43" s="380" t="e">
        <f t="shared" si="111"/>
        <v>#N/A</v>
      </c>
      <c r="JFB43" s="380" t="e">
        <f t="shared" si="111"/>
        <v>#N/A</v>
      </c>
      <c r="JFC43" s="380" t="e">
        <f t="shared" si="111"/>
        <v>#N/A</v>
      </c>
      <c r="JFD43" s="380" t="e">
        <f t="shared" ref="JFD43:JHO43" si="112">INDEX(JFD7:JFD40,MATCH($E$43,$E$7:$E$40,0))</f>
        <v>#N/A</v>
      </c>
      <c r="JFE43" s="380" t="e">
        <f t="shared" si="112"/>
        <v>#N/A</v>
      </c>
      <c r="JFF43" s="380" t="e">
        <f t="shared" si="112"/>
        <v>#N/A</v>
      </c>
      <c r="JFG43" s="380" t="e">
        <f t="shared" si="112"/>
        <v>#N/A</v>
      </c>
      <c r="JFH43" s="380" t="e">
        <f t="shared" si="112"/>
        <v>#N/A</v>
      </c>
      <c r="JFI43" s="380" t="e">
        <f t="shared" si="112"/>
        <v>#N/A</v>
      </c>
      <c r="JFJ43" s="380" t="e">
        <f t="shared" si="112"/>
        <v>#N/A</v>
      </c>
      <c r="JFK43" s="380" t="e">
        <f t="shared" si="112"/>
        <v>#N/A</v>
      </c>
      <c r="JFL43" s="380" t="e">
        <f t="shared" si="112"/>
        <v>#N/A</v>
      </c>
      <c r="JFM43" s="380" t="e">
        <f t="shared" si="112"/>
        <v>#N/A</v>
      </c>
      <c r="JFN43" s="380" t="e">
        <f t="shared" si="112"/>
        <v>#N/A</v>
      </c>
      <c r="JFO43" s="380" t="e">
        <f t="shared" si="112"/>
        <v>#N/A</v>
      </c>
      <c r="JFP43" s="380" t="e">
        <f t="shared" si="112"/>
        <v>#N/A</v>
      </c>
      <c r="JFQ43" s="380" t="e">
        <f t="shared" si="112"/>
        <v>#N/A</v>
      </c>
      <c r="JFR43" s="380" t="e">
        <f t="shared" si="112"/>
        <v>#N/A</v>
      </c>
      <c r="JFS43" s="380" t="e">
        <f t="shared" si="112"/>
        <v>#N/A</v>
      </c>
      <c r="JFT43" s="380" t="e">
        <f t="shared" si="112"/>
        <v>#N/A</v>
      </c>
      <c r="JFU43" s="380" t="e">
        <f t="shared" si="112"/>
        <v>#N/A</v>
      </c>
      <c r="JFV43" s="380" t="e">
        <f t="shared" si="112"/>
        <v>#N/A</v>
      </c>
      <c r="JFW43" s="380" t="e">
        <f t="shared" si="112"/>
        <v>#N/A</v>
      </c>
      <c r="JFX43" s="380" t="e">
        <f t="shared" si="112"/>
        <v>#N/A</v>
      </c>
      <c r="JFY43" s="380" t="e">
        <f t="shared" si="112"/>
        <v>#N/A</v>
      </c>
      <c r="JFZ43" s="380" t="e">
        <f t="shared" si="112"/>
        <v>#N/A</v>
      </c>
      <c r="JGA43" s="380" t="e">
        <f t="shared" si="112"/>
        <v>#N/A</v>
      </c>
      <c r="JGB43" s="380" t="e">
        <f t="shared" si="112"/>
        <v>#N/A</v>
      </c>
      <c r="JGC43" s="380" t="e">
        <f t="shared" si="112"/>
        <v>#N/A</v>
      </c>
      <c r="JGD43" s="380" t="e">
        <f t="shared" si="112"/>
        <v>#N/A</v>
      </c>
      <c r="JGE43" s="380" t="e">
        <f t="shared" si="112"/>
        <v>#N/A</v>
      </c>
      <c r="JGF43" s="380" t="e">
        <f t="shared" si="112"/>
        <v>#N/A</v>
      </c>
      <c r="JGG43" s="380" t="e">
        <f t="shared" si="112"/>
        <v>#N/A</v>
      </c>
      <c r="JGH43" s="380" t="e">
        <f t="shared" si="112"/>
        <v>#N/A</v>
      </c>
      <c r="JGI43" s="380" t="e">
        <f t="shared" si="112"/>
        <v>#N/A</v>
      </c>
      <c r="JGJ43" s="380" t="e">
        <f t="shared" si="112"/>
        <v>#N/A</v>
      </c>
      <c r="JGK43" s="380" t="e">
        <f t="shared" si="112"/>
        <v>#N/A</v>
      </c>
      <c r="JGL43" s="380" t="e">
        <f t="shared" si="112"/>
        <v>#N/A</v>
      </c>
      <c r="JGM43" s="380" t="e">
        <f t="shared" si="112"/>
        <v>#N/A</v>
      </c>
      <c r="JGN43" s="380" t="e">
        <f t="shared" si="112"/>
        <v>#N/A</v>
      </c>
      <c r="JGO43" s="380" t="e">
        <f t="shared" si="112"/>
        <v>#N/A</v>
      </c>
      <c r="JGP43" s="380" t="e">
        <f t="shared" si="112"/>
        <v>#N/A</v>
      </c>
      <c r="JGQ43" s="380" t="e">
        <f t="shared" si="112"/>
        <v>#N/A</v>
      </c>
      <c r="JGR43" s="380" t="e">
        <f t="shared" si="112"/>
        <v>#N/A</v>
      </c>
      <c r="JGS43" s="380" t="e">
        <f t="shared" si="112"/>
        <v>#N/A</v>
      </c>
      <c r="JGT43" s="380" t="e">
        <f t="shared" si="112"/>
        <v>#N/A</v>
      </c>
      <c r="JGU43" s="380" t="e">
        <f t="shared" si="112"/>
        <v>#N/A</v>
      </c>
      <c r="JGV43" s="380" t="e">
        <f t="shared" si="112"/>
        <v>#N/A</v>
      </c>
      <c r="JGW43" s="380" t="e">
        <f t="shared" si="112"/>
        <v>#N/A</v>
      </c>
      <c r="JGX43" s="380" t="e">
        <f t="shared" si="112"/>
        <v>#N/A</v>
      </c>
      <c r="JGY43" s="380" t="e">
        <f t="shared" si="112"/>
        <v>#N/A</v>
      </c>
      <c r="JGZ43" s="380" t="e">
        <f t="shared" si="112"/>
        <v>#N/A</v>
      </c>
      <c r="JHA43" s="380" t="e">
        <f t="shared" si="112"/>
        <v>#N/A</v>
      </c>
      <c r="JHB43" s="380" t="e">
        <f t="shared" si="112"/>
        <v>#N/A</v>
      </c>
      <c r="JHC43" s="380" t="e">
        <f t="shared" si="112"/>
        <v>#N/A</v>
      </c>
      <c r="JHD43" s="380" t="e">
        <f t="shared" si="112"/>
        <v>#N/A</v>
      </c>
      <c r="JHE43" s="380" t="e">
        <f t="shared" si="112"/>
        <v>#N/A</v>
      </c>
      <c r="JHF43" s="380" t="e">
        <f t="shared" si="112"/>
        <v>#N/A</v>
      </c>
      <c r="JHG43" s="380" t="e">
        <f t="shared" si="112"/>
        <v>#N/A</v>
      </c>
      <c r="JHH43" s="380" t="e">
        <f t="shared" si="112"/>
        <v>#N/A</v>
      </c>
      <c r="JHI43" s="380" t="e">
        <f t="shared" si="112"/>
        <v>#N/A</v>
      </c>
      <c r="JHJ43" s="380" t="e">
        <f t="shared" si="112"/>
        <v>#N/A</v>
      </c>
      <c r="JHK43" s="380" t="e">
        <f t="shared" si="112"/>
        <v>#N/A</v>
      </c>
      <c r="JHL43" s="380" t="e">
        <f t="shared" si="112"/>
        <v>#N/A</v>
      </c>
      <c r="JHM43" s="380" t="e">
        <f t="shared" si="112"/>
        <v>#N/A</v>
      </c>
      <c r="JHN43" s="380" t="e">
        <f t="shared" si="112"/>
        <v>#N/A</v>
      </c>
      <c r="JHO43" s="380" t="e">
        <f t="shared" si="112"/>
        <v>#N/A</v>
      </c>
      <c r="JHP43" s="380" t="e">
        <f t="shared" ref="JHP43:JKA43" si="113">INDEX(JHP7:JHP40,MATCH($E$43,$E$7:$E$40,0))</f>
        <v>#N/A</v>
      </c>
      <c r="JHQ43" s="380" t="e">
        <f t="shared" si="113"/>
        <v>#N/A</v>
      </c>
      <c r="JHR43" s="380" t="e">
        <f t="shared" si="113"/>
        <v>#N/A</v>
      </c>
      <c r="JHS43" s="380" t="e">
        <f t="shared" si="113"/>
        <v>#N/A</v>
      </c>
      <c r="JHT43" s="380" t="e">
        <f t="shared" si="113"/>
        <v>#N/A</v>
      </c>
      <c r="JHU43" s="380" t="e">
        <f t="shared" si="113"/>
        <v>#N/A</v>
      </c>
      <c r="JHV43" s="380" t="e">
        <f t="shared" si="113"/>
        <v>#N/A</v>
      </c>
      <c r="JHW43" s="380" t="e">
        <f t="shared" si="113"/>
        <v>#N/A</v>
      </c>
      <c r="JHX43" s="380" t="e">
        <f t="shared" si="113"/>
        <v>#N/A</v>
      </c>
      <c r="JHY43" s="380" t="e">
        <f t="shared" si="113"/>
        <v>#N/A</v>
      </c>
      <c r="JHZ43" s="380" t="e">
        <f t="shared" si="113"/>
        <v>#N/A</v>
      </c>
      <c r="JIA43" s="380" t="e">
        <f t="shared" si="113"/>
        <v>#N/A</v>
      </c>
      <c r="JIB43" s="380" t="e">
        <f t="shared" si="113"/>
        <v>#N/A</v>
      </c>
      <c r="JIC43" s="380" t="e">
        <f t="shared" si="113"/>
        <v>#N/A</v>
      </c>
      <c r="JID43" s="380" t="e">
        <f t="shared" si="113"/>
        <v>#N/A</v>
      </c>
      <c r="JIE43" s="380" t="e">
        <f t="shared" si="113"/>
        <v>#N/A</v>
      </c>
      <c r="JIF43" s="380" t="e">
        <f t="shared" si="113"/>
        <v>#N/A</v>
      </c>
      <c r="JIG43" s="380" t="e">
        <f t="shared" si="113"/>
        <v>#N/A</v>
      </c>
      <c r="JIH43" s="380" t="e">
        <f t="shared" si="113"/>
        <v>#N/A</v>
      </c>
      <c r="JII43" s="380" t="e">
        <f t="shared" si="113"/>
        <v>#N/A</v>
      </c>
      <c r="JIJ43" s="380" t="e">
        <f t="shared" si="113"/>
        <v>#N/A</v>
      </c>
      <c r="JIK43" s="380" t="e">
        <f t="shared" si="113"/>
        <v>#N/A</v>
      </c>
      <c r="JIL43" s="380" t="e">
        <f t="shared" si="113"/>
        <v>#N/A</v>
      </c>
      <c r="JIM43" s="380" t="e">
        <f t="shared" si="113"/>
        <v>#N/A</v>
      </c>
      <c r="JIN43" s="380" t="e">
        <f t="shared" si="113"/>
        <v>#N/A</v>
      </c>
      <c r="JIO43" s="380" t="e">
        <f t="shared" si="113"/>
        <v>#N/A</v>
      </c>
      <c r="JIP43" s="380" t="e">
        <f t="shared" si="113"/>
        <v>#N/A</v>
      </c>
      <c r="JIQ43" s="380" t="e">
        <f t="shared" si="113"/>
        <v>#N/A</v>
      </c>
      <c r="JIR43" s="380" t="e">
        <f t="shared" si="113"/>
        <v>#N/A</v>
      </c>
      <c r="JIS43" s="380" t="e">
        <f t="shared" si="113"/>
        <v>#N/A</v>
      </c>
      <c r="JIT43" s="380" t="e">
        <f t="shared" si="113"/>
        <v>#N/A</v>
      </c>
      <c r="JIU43" s="380" t="e">
        <f t="shared" si="113"/>
        <v>#N/A</v>
      </c>
      <c r="JIV43" s="380" t="e">
        <f t="shared" si="113"/>
        <v>#N/A</v>
      </c>
      <c r="JIW43" s="380" t="e">
        <f t="shared" si="113"/>
        <v>#N/A</v>
      </c>
      <c r="JIX43" s="380" t="e">
        <f t="shared" si="113"/>
        <v>#N/A</v>
      </c>
      <c r="JIY43" s="380" t="e">
        <f t="shared" si="113"/>
        <v>#N/A</v>
      </c>
      <c r="JIZ43" s="380" t="e">
        <f t="shared" si="113"/>
        <v>#N/A</v>
      </c>
      <c r="JJA43" s="380" t="e">
        <f t="shared" si="113"/>
        <v>#N/A</v>
      </c>
      <c r="JJB43" s="380" t="e">
        <f t="shared" si="113"/>
        <v>#N/A</v>
      </c>
      <c r="JJC43" s="380" t="e">
        <f t="shared" si="113"/>
        <v>#N/A</v>
      </c>
      <c r="JJD43" s="380" t="e">
        <f t="shared" si="113"/>
        <v>#N/A</v>
      </c>
      <c r="JJE43" s="380" t="e">
        <f t="shared" si="113"/>
        <v>#N/A</v>
      </c>
      <c r="JJF43" s="380" t="e">
        <f t="shared" si="113"/>
        <v>#N/A</v>
      </c>
      <c r="JJG43" s="380" t="e">
        <f t="shared" si="113"/>
        <v>#N/A</v>
      </c>
      <c r="JJH43" s="380" t="e">
        <f t="shared" si="113"/>
        <v>#N/A</v>
      </c>
      <c r="JJI43" s="380" t="e">
        <f t="shared" si="113"/>
        <v>#N/A</v>
      </c>
      <c r="JJJ43" s="380" t="e">
        <f t="shared" si="113"/>
        <v>#N/A</v>
      </c>
      <c r="JJK43" s="380" t="e">
        <f t="shared" si="113"/>
        <v>#N/A</v>
      </c>
      <c r="JJL43" s="380" t="e">
        <f t="shared" si="113"/>
        <v>#N/A</v>
      </c>
      <c r="JJM43" s="380" t="e">
        <f t="shared" si="113"/>
        <v>#N/A</v>
      </c>
      <c r="JJN43" s="380" t="e">
        <f t="shared" si="113"/>
        <v>#N/A</v>
      </c>
      <c r="JJO43" s="380" t="e">
        <f t="shared" si="113"/>
        <v>#N/A</v>
      </c>
      <c r="JJP43" s="380" t="e">
        <f t="shared" si="113"/>
        <v>#N/A</v>
      </c>
      <c r="JJQ43" s="380" t="e">
        <f t="shared" si="113"/>
        <v>#N/A</v>
      </c>
      <c r="JJR43" s="380" t="e">
        <f t="shared" si="113"/>
        <v>#N/A</v>
      </c>
      <c r="JJS43" s="380" t="e">
        <f t="shared" si="113"/>
        <v>#N/A</v>
      </c>
      <c r="JJT43" s="380" t="e">
        <f t="shared" si="113"/>
        <v>#N/A</v>
      </c>
      <c r="JJU43" s="380" t="e">
        <f t="shared" si="113"/>
        <v>#N/A</v>
      </c>
      <c r="JJV43" s="380" t="e">
        <f t="shared" si="113"/>
        <v>#N/A</v>
      </c>
      <c r="JJW43" s="380" t="e">
        <f t="shared" si="113"/>
        <v>#N/A</v>
      </c>
      <c r="JJX43" s="380" t="e">
        <f t="shared" si="113"/>
        <v>#N/A</v>
      </c>
      <c r="JJY43" s="380" t="e">
        <f t="shared" si="113"/>
        <v>#N/A</v>
      </c>
      <c r="JJZ43" s="380" t="e">
        <f t="shared" si="113"/>
        <v>#N/A</v>
      </c>
      <c r="JKA43" s="380" t="e">
        <f t="shared" si="113"/>
        <v>#N/A</v>
      </c>
      <c r="JKB43" s="380" t="e">
        <f t="shared" ref="JKB43:JMM43" si="114">INDEX(JKB7:JKB40,MATCH($E$43,$E$7:$E$40,0))</f>
        <v>#N/A</v>
      </c>
      <c r="JKC43" s="380" t="e">
        <f t="shared" si="114"/>
        <v>#N/A</v>
      </c>
      <c r="JKD43" s="380" t="e">
        <f t="shared" si="114"/>
        <v>#N/A</v>
      </c>
      <c r="JKE43" s="380" t="e">
        <f t="shared" si="114"/>
        <v>#N/A</v>
      </c>
      <c r="JKF43" s="380" t="e">
        <f t="shared" si="114"/>
        <v>#N/A</v>
      </c>
      <c r="JKG43" s="380" t="e">
        <f t="shared" si="114"/>
        <v>#N/A</v>
      </c>
      <c r="JKH43" s="380" t="e">
        <f t="shared" si="114"/>
        <v>#N/A</v>
      </c>
      <c r="JKI43" s="380" t="e">
        <f t="shared" si="114"/>
        <v>#N/A</v>
      </c>
      <c r="JKJ43" s="380" t="e">
        <f t="shared" si="114"/>
        <v>#N/A</v>
      </c>
      <c r="JKK43" s="380" t="e">
        <f t="shared" si="114"/>
        <v>#N/A</v>
      </c>
      <c r="JKL43" s="380" t="e">
        <f t="shared" si="114"/>
        <v>#N/A</v>
      </c>
      <c r="JKM43" s="380" t="e">
        <f t="shared" si="114"/>
        <v>#N/A</v>
      </c>
      <c r="JKN43" s="380" t="e">
        <f t="shared" si="114"/>
        <v>#N/A</v>
      </c>
      <c r="JKO43" s="380" t="e">
        <f t="shared" si="114"/>
        <v>#N/A</v>
      </c>
      <c r="JKP43" s="380" t="e">
        <f t="shared" si="114"/>
        <v>#N/A</v>
      </c>
      <c r="JKQ43" s="380" t="e">
        <f t="shared" si="114"/>
        <v>#N/A</v>
      </c>
      <c r="JKR43" s="380" t="e">
        <f t="shared" si="114"/>
        <v>#N/A</v>
      </c>
      <c r="JKS43" s="380" t="e">
        <f t="shared" si="114"/>
        <v>#N/A</v>
      </c>
      <c r="JKT43" s="380" t="e">
        <f t="shared" si="114"/>
        <v>#N/A</v>
      </c>
      <c r="JKU43" s="380" t="e">
        <f t="shared" si="114"/>
        <v>#N/A</v>
      </c>
      <c r="JKV43" s="380" t="e">
        <f t="shared" si="114"/>
        <v>#N/A</v>
      </c>
      <c r="JKW43" s="380" t="e">
        <f t="shared" si="114"/>
        <v>#N/A</v>
      </c>
      <c r="JKX43" s="380" t="e">
        <f t="shared" si="114"/>
        <v>#N/A</v>
      </c>
      <c r="JKY43" s="380" t="e">
        <f t="shared" si="114"/>
        <v>#N/A</v>
      </c>
      <c r="JKZ43" s="380" t="e">
        <f t="shared" si="114"/>
        <v>#N/A</v>
      </c>
      <c r="JLA43" s="380" t="e">
        <f t="shared" si="114"/>
        <v>#N/A</v>
      </c>
      <c r="JLB43" s="380" t="e">
        <f t="shared" si="114"/>
        <v>#N/A</v>
      </c>
      <c r="JLC43" s="380" t="e">
        <f t="shared" si="114"/>
        <v>#N/A</v>
      </c>
      <c r="JLD43" s="380" t="e">
        <f t="shared" si="114"/>
        <v>#N/A</v>
      </c>
      <c r="JLE43" s="380" t="e">
        <f t="shared" si="114"/>
        <v>#N/A</v>
      </c>
      <c r="JLF43" s="380" t="e">
        <f t="shared" si="114"/>
        <v>#N/A</v>
      </c>
      <c r="JLG43" s="380" t="e">
        <f t="shared" si="114"/>
        <v>#N/A</v>
      </c>
      <c r="JLH43" s="380" t="e">
        <f t="shared" si="114"/>
        <v>#N/A</v>
      </c>
      <c r="JLI43" s="380" t="e">
        <f t="shared" si="114"/>
        <v>#N/A</v>
      </c>
      <c r="JLJ43" s="380" t="e">
        <f t="shared" si="114"/>
        <v>#N/A</v>
      </c>
      <c r="JLK43" s="380" t="e">
        <f t="shared" si="114"/>
        <v>#N/A</v>
      </c>
      <c r="JLL43" s="380" t="e">
        <f t="shared" si="114"/>
        <v>#N/A</v>
      </c>
      <c r="JLM43" s="380" t="e">
        <f t="shared" si="114"/>
        <v>#N/A</v>
      </c>
      <c r="JLN43" s="380" t="e">
        <f t="shared" si="114"/>
        <v>#N/A</v>
      </c>
      <c r="JLO43" s="380" t="e">
        <f t="shared" si="114"/>
        <v>#N/A</v>
      </c>
      <c r="JLP43" s="380" t="e">
        <f t="shared" si="114"/>
        <v>#N/A</v>
      </c>
      <c r="JLQ43" s="380" t="e">
        <f t="shared" si="114"/>
        <v>#N/A</v>
      </c>
      <c r="JLR43" s="380" t="e">
        <f t="shared" si="114"/>
        <v>#N/A</v>
      </c>
      <c r="JLS43" s="380" t="e">
        <f t="shared" si="114"/>
        <v>#N/A</v>
      </c>
      <c r="JLT43" s="380" t="e">
        <f t="shared" si="114"/>
        <v>#N/A</v>
      </c>
      <c r="JLU43" s="380" t="e">
        <f t="shared" si="114"/>
        <v>#N/A</v>
      </c>
      <c r="JLV43" s="380" t="e">
        <f t="shared" si="114"/>
        <v>#N/A</v>
      </c>
      <c r="JLW43" s="380" t="e">
        <f t="shared" si="114"/>
        <v>#N/A</v>
      </c>
      <c r="JLX43" s="380" t="e">
        <f t="shared" si="114"/>
        <v>#N/A</v>
      </c>
      <c r="JLY43" s="380" t="e">
        <f t="shared" si="114"/>
        <v>#N/A</v>
      </c>
      <c r="JLZ43" s="380" t="e">
        <f t="shared" si="114"/>
        <v>#N/A</v>
      </c>
      <c r="JMA43" s="380" t="e">
        <f t="shared" si="114"/>
        <v>#N/A</v>
      </c>
      <c r="JMB43" s="380" t="e">
        <f t="shared" si="114"/>
        <v>#N/A</v>
      </c>
      <c r="JMC43" s="380" t="e">
        <f t="shared" si="114"/>
        <v>#N/A</v>
      </c>
      <c r="JMD43" s="380" t="e">
        <f t="shared" si="114"/>
        <v>#N/A</v>
      </c>
      <c r="JME43" s="380" t="e">
        <f t="shared" si="114"/>
        <v>#N/A</v>
      </c>
      <c r="JMF43" s="380" t="e">
        <f t="shared" si="114"/>
        <v>#N/A</v>
      </c>
      <c r="JMG43" s="380" t="e">
        <f t="shared" si="114"/>
        <v>#N/A</v>
      </c>
      <c r="JMH43" s="380" t="e">
        <f t="shared" si="114"/>
        <v>#N/A</v>
      </c>
      <c r="JMI43" s="380" t="e">
        <f t="shared" si="114"/>
        <v>#N/A</v>
      </c>
      <c r="JMJ43" s="380" t="e">
        <f t="shared" si="114"/>
        <v>#N/A</v>
      </c>
      <c r="JMK43" s="380" t="e">
        <f t="shared" si="114"/>
        <v>#N/A</v>
      </c>
      <c r="JML43" s="380" t="e">
        <f t="shared" si="114"/>
        <v>#N/A</v>
      </c>
      <c r="JMM43" s="380" t="e">
        <f t="shared" si="114"/>
        <v>#N/A</v>
      </c>
      <c r="JMN43" s="380" t="e">
        <f t="shared" ref="JMN43:JOY43" si="115">INDEX(JMN7:JMN40,MATCH($E$43,$E$7:$E$40,0))</f>
        <v>#N/A</v>
      </c>
      <c r="JMO43" s="380" t="e">
        <f t="shared" si="115"/>
        <v>#N/A</v>
      </c>
      <c r="JMP43" s="380" t="e">
        <f t="shared" si="115"/>
        <v>#N/A</v>
      </c>
      <c r="JMQ43" s="380" t="e">
        <f t="shared" si="115"/>
        <v>#N/A</v>
      </c>
      <c r="JMR43" s="380" t="e">
        <f t="shared" si="115"/>
        <v>#N/A</v>
      </c>
      <c r="JMS43" s="380" t="e">
        <f t="shared" si="115"/>
        <v>#N/A</v>
      </c>
      <c r="JMT43" s="380" t="e">
        <f t="shared" si="115"/>
        <v>#N/A</v>
      </c>
      <c r="JMU43" s="380" t="e">
        <f t="shared" si="115"/>
        <v>#N/A</v>
      </c>
      <c r="JMV43" s="380" t="e">
        <f t="shared" si="115"/>
        <v>#N/A</v>
      </c>
      <c r="JMW43" s="380" t="e">
        <f t="shared" si="115"/>
        <v>#N/A</v>
      </c>
      <c r="JMX43" s="380" t="e">
        <f t="shared" si="115"/>
        <v>#N/A</v>
      </c>
      <c r="JMY43" s="380" t="e">
        <f t="shared" si="115"/>
        <v>#N/A</v>
      </c>
      <c r="JMZ43" s="380" t="e">
        <f t="shared" si="115"/>
        <v>#N/A</v>
      </c>
      <c r="JNA43" s="380" t="e">
        <f t="shared" si="115"/>
        <v>#N/A</v>
      </c>
      <c r="JNB43" s="380" t="e">
        <f t="shared" si="115"/>
        <v>#N/A</v>
      </c>
      <c r="JNC43" s="380" t="e">
        <f t="shared" si="115"/>
        <v>#N/A</v>
      </c>
      <c r="JND43" s="380" t="e">
        <f t="shared" si="115"/>
        <v>#N/A</v>
      </c>
      <c r="JNE43" s="380" t="e">
        <f t="shared" si="115"/>
        <v>#N/A</v>
      </c>
      <c r="JNF43" s="380" t="e">
        <f t="shared" si="115"/>
        <v>#N/A</v>
      </c>
      <c r="JNG43" s="380" t="e">
        <f t="shared" si="115"/>
        <v>#N/A</v>
      </c>
      <c r="JNH43" s="380" t="e">
        <f t="shared" si="115"/>
        <v>#N/A</v>
      </c>
      <c r="JNI43" s="380" t="e">
        <f t="shared" si="115"/>
        <v>#N/A</v>
      </c>
      <c r="JNJ43" s="380" t="e">
        <f t="shared" si="115"/>
        <v>#N/A</v>
      </c>
      <c r="JNK43" s="380" t="e">
        <f t="shared" si="115"/>
        <v>#N/A</v>
      </c>
      <c r="JNL43" s="380" t="e">
        <f t="shared" si="115"/>
        <v>#N/A</v>
      </c>
      <c r="JNM43" s="380" t="e">
        <f t="shared" si="115"/>
        <v>#N/A</v>
      </c>
      <c r="JNN43" s="380" t="e">
        <f t="shared" si="115"/>
        <v>#N/A</v>
      </c>
      <c r="JNO43" s="380" t="e">
        <f t="shared" si="115"/>
        <v>#N/A</v>
      </c>
      <c r="JNP43" s="380" t="e">
        <f t="shared" si="115"/>
        <v>#N/A</v>
      </c>
      <c r="JNQ43" s="380" t="e">
        <f t="shared" si="115"/>
        <v>#N/A</v>
      </c>
      <c r="JNR43" s="380" t="e">
        <f t="shared" si="115"/>
        <v>#N/A</v>
      </c>
      <c r="JNS43" s="380" t="e">
        <f t="shared" si="115"/>
        <v>#N/A</v>
      </c>
      <c r="JNT43" s="380" t="e">
        <f t="shared" si="115"/>
        <v>#N/A</v>
      </c>
      <c r="JNU43" s="380" t="e">
        <f t="shared" si="115"/>
        <v>#N/A</v>
      </c>
      <c r="JNV43" s="380" t="e">
        <f t="shared" si="115"/>
        <v>#N/A</v>
      </c>
      <c r="JNW43" s="380" t="e">
        <f t="shared" si="115"/>
        <v>#N/A</v>
      </c>
      <c r="JNX43" s="380" t="e">
        <f t="shared" si="115"/>
        <v>#N/A</v>
      </c>
      <c r="JNY43" s="380" t="e">
        <f t="shared" si="115"/>
        <v>#N/A</v>
      </c>
      <c r="JNZ43" s="380" t="e">
        <f t="shared" si="115"/>
        <v>#N/A</v>
      </c>
      <c r="JOA43" s="380" t="e">
        <f t="shared" si="115"/>
        <v>#N/A</v>
      </c>
      <c r="JOB43" s="380" t="e">
        <f t="shared" si="115"/>
        <v>#N/A</v>
      </c>
      <c r="JOC43" s="380" t="e">
        <f t="shared" si="115"/>
        <v>#N/A</v>
      </c>
      <c r="JOD43" s="380" t="e">
        <f t="shared" si="115"/>
        <v>#N/A</v>
      </c>
      <c r="JOE43" s="380" t="e">
        <f t="shared" si="115"/>
        <v>#N/A</v>
      </c>
      <c r="JOF43" s="380" t="e">
        <f t="shared" si="115"/>
        <v>#N/A</v>
      </c>
      <c r="JOG43" s="380" t="e">
        <f t="shared" si="115"/>
        <v>#N/A</v>
      </c>
      <c r="JOH43" s="380" t="e">
        <f t="shared" si="115"/>
        <v>#N/A</v>
      </c>
      <c r="JOI43" s="380" t="e">
        <f t="shared" si="115"/>
        <v>#N/A</v>
      </c>
      <c r="JOJ43" s="380" t="e">
        <f t="shared" si="115"/>
        <v>#N/A</v>
      </c>
      <c r="JOK43" s="380" t="e">
        <f t="shared" si="115"/>
        <v>#N/A</v>
      </c>
      <c r="JOL43" s="380" t="e">
        <f t="shared" si="115"/>
        <v>#N/A</v>
      </c>
      <c r="JOM43" s="380" t="e">
        <f t="shared" si="115"/>
        <v>#N/A</v>
      </c>
      <c r="JON43" s="380" t="e">
        <f t="shared" si="115"/>
        <v>#N/A</v>
      </c>
      <c r="JOO43" s="380" t="e">
        <f t="shared" si="115"/>
        <v>#N/A</v>
      </c>
      <c r="JOP43" s="380" t="e">
        <f t="shared" si="115"/>
        <v>#N/A</v>
      </c>
      <c r="JOQ43" s="380" t="e">
        <f t="shared" si="115"/>
        <v>#N/A</v>
      </c>
      <c r="JOR43" s="380" t="e">
        <f t="shared" si="115"/>
        <v>#N/A</v>
      </c>
      <c r="JOS43" s="380" t="e">
        <f t="shared" si="115"/>
        <v>#N/A</v>
      </c>
      <c r="JOT43" s="380" t="e">
        <f t="shared" si="115"/>
        <v>#N/A</v>
      </c>
      <c r="JOU43" s="380" t="e">
        <f t="shared" si="115"/>
        <v>#N/A</v>
      </c>
      <c r="JOV43" s="380" t="e">
        <f t="shared" si="115"/>
        <v>#N/A</v>
      </c>
      <c r="JOW43" s="380" t="e">
        <f t="shared" si="115"/>
        <v>#N/A</v>
      </c>
      <c r="JOX43" s="380" t="e">
        <f t="shared" si="115"/>
        <v>#N/A</v>
      </c>
      <c r="JOY43" s="380" t="e">
        <f t="shared" si="115"/>
        <v>#N/A</v>
      </c>
      <c r="JOZ43" s="380" t="e">
        <f t="shared" ref="JOZ43:JRK43" si="116">INDEX(JOZ7:JOZ40,MATCH($E$43,$E$7:$E$40,0))</f>
        <v>#N/A</v>
      </c>
      <c r="JPA43" s="380" t="e">
        <f t="shared" si="116"/>
        <v>#N/A</v>
      </c>
      <c r="JPB43" s="380" t="e">
        <f t="shared" si="116"/>
        <v>#N/A</v>
      </c>
      <c r="JPC43" s="380" t="e">
        <f t="shared" si="116"/>
        <v>#N/A</v>
      </c>
      <c r="JPD43" s="380" t="e">
        <f t="shared" si="116"/>
        <v>#N/A</v>
      </c>
      <c r="JPE43" s="380" t="e">
        <f t="shared" si="116"/>
        <v>#N/A</v>
      </c>
      <c r="JPF43" s="380" t="e">
        <f t="shared" si="116"/>
        <v>#N/A</v>
      </c>
      <c r="JPG43" s="380" t="e">
        <f t="shared" si="116"/>
        <v>#N/A</v>
      </c>
      <c r="JPH43" s="380" t="e">
        <f t="shared" si="116"/>
        <v>#N/A</v>
      </c>
      <c r="JPI43" s="380" t="e">
        <f t="shared" si="116"/>
        <v>#N/A</v>
      </c>
      <c r="JPJ43" s="380" t="e">
        <f t="shared" si="116"/>
        <v>#N/A</v>
      </c>
      <c r="JPK43" s="380" t="e">
        <f t="shared" si="116"/>
        <v>#N/A</v>
      </c>
      <c r="JPL43" s="380" t="e">
        <f t="shared" si="116"/>
        <v>#N/A</v>
      </c>
      <c r="JPM43" s="380" t="e">
        <f t="shared" si="116"/>
        <v>#N/A</v>
      </c>
      <c r="JPN43" s="380" t="e">
        <f t="shared" si="116"/>
        <v>#N/A</v>
      </c>
      <c r="JPO43" s="380" t="e">
        <f t="shared" si="116"/>
        <v>#N/A</v>
      </c>
      <c r="JPP43" s="380" t="e">
        <f t="shared" si="116"/>
        <v>#N/A</v>
      </c>
      <c r="JPQ43" s="380" t="e">
        <f t="shared" si="116"/>
        <v>#N/A</v>
      </c>
      <c r="JPR43" s="380" t="e">
        <f t="shared" si="116"/>
        <v>#N/A</v>
      </c>
      <c r="JPS43" s="380" t="e">
        <f t="shared" si="116"/>
        <v>#N/A</v>
      </c>
      <c r="JPT43" s="380" t="e">
        <f t="shared" si="116"/>
        <v>#N/A</v>
      </c>
      <c r="JPU43" s="380" t="e">
        <f t="shared" si="116"/>
        <v>#N/A</v>
      </c>
      <c r="JPV43" s="380" t="e">
        <f t="shared" si="116"/>
        <v>#N/A</v>
      </c>
      <c r="JPW43" s="380" t="e">
        <f t="shared" si="116"/>
        <v>#N/A</v>
      </c>
      <c r="JPX43" s="380" t="e">
        <f t="shared" si="116"/>
        <v>#N/A</v>
      </c>
      <c r="JPY43" s="380" t="e">
        <f t="shared" si="116"/>
        <v>#N/A</v>
      </c>
      <c r="JPZ43" s="380" t="e">
        <f t="shared" si="116"/>
        <v>#N/A</v>
      </c>
      <c r="JQA43" s="380" t="e">
        <f t="shared" si="116"/>
        <v>#N/A</v>
      </c>
      <c r="JQB43" s="380" t="e">
        <f t="shared" si="116"/>
        <v>#N/A</v>
      </c>
      <c r="JQC43" s="380" t="e">
        <f t="shared" si="116"/>
        <v>#N/A</v>
      </c>
      <c r="JQD43" s="380" t="e">
        <f t="shared" si="116"/>
        <v>#N/A</v>
      </c>
      <c r="JQE43" s="380" t="e">
        <f t="shared" si="116"/>
        <v>#N/A</v>
      </c>
      <c r="JQF43" s="380" t="e">
        <f t="shared" si="116"/>
        <v>#N/A</v>
      </c>
      <c r="JQG43" s="380" t="e">
        <f t="shared" si="116"/>
        <v>#N/A</v>
      </c>
      <c r="JQH43" s="380" t="e">
        <f t="shared" si="116"/>
        <v>#N/A</v>
      </c>
      <c r="JQI43" s="380" t="e">
        <f t="shared" si="116"/>
        <v>#N/A</v>
      </c>
      <c r="JQJ43" s="380" t="e">
        <f t="shared" si="116"/>
        <v>#N/A</v>
      </c>
      <c r="JQK43" s="380" t="e">
        <f t="shared" si="116"/>
        <v>#N/A</v>
      </c>
      <c r="JQL43" s="380" t="e">
        <f t="shared" si="116"/>
        <v>#N/A</v>
      </c>
      <c r="JQM43" s="380" t="e">
        <f t="shared" si="116"/>
        <v>#N/A</v>
      </c>
      <c r="JQN43" s="380" t="e">
        <f t="shared" si="116"/>
        <v>#N/A</v>
      </c>
      <c r="JQO43" s="380" t="e">
        <f t="shared" si="116"/>
        <v>#N/A</v>
      </c>
      <c r="JQP43" s="380" t="e">
        <f t="shared" si="116"/>
        <v>#N/A</v>
      </c>
      <c r="JQQ43" s="380" t="e">
        <f t="shared" si="116"/>
        <v>#N/A</v>
      </c>
      <c r="JQR43" s="380" t="e">
        <f t="shared" si="116"/>
        <v>#N/A</v>
      </c>
      <c r="JQS43" s="380" t="e">
        <f t="shared" si="116"/>
        <v>#N/A</v>
      </c>
      <c r="JQT43" s="380" t="e">
        <f t="shared" si="116"/>
        <v>#N/A</v>
      </c>
      <c r="JQU43" s="380" t="e">
        <f t="shared" si="116"/>
        <v>#N/A</v>
      </c>
      <c r="JQV43" s="380" t="e">
        <f t="shared" si="116"/>
        <v>#N/A</v>
      </c>
      <c r="JQW43" s="380" t="e">
        <f t="shared" si="116"/>
        <v>#N/A</v>
      </c>
      <c r="JQX43" s="380" t="e">
        <f t="shared" si="116"/>
        <v>#N/A</v>
      </c>
      <c r="JQY43" s="380" t="e">
        <f t="shared" si="116"/>
        <v>#N/A</v>
      </c>
      <c r="JQZ43" s="380" t="e">
        <f t="shared" si="116"/>
        <v>#N/A</v>
      </c>
      <c r="JRA43" s="380" t="e">
        <f t="shared" si="116"/>
        <v>#N/A</v>
      </c>
      <c r="JRB43" s="380" t="e">
        <f t="shared" si="116"/>
        <v>#N/A</v>
      </c>
      <c r="JRC43" s="380" t="e">
        <f t="shared" si="116"/>
        <v>#N/A</v>
      </c>
      <c r="JRD43" s="380" t="e">
        <f t="shared" si="116"/>
        <v>#N/A</v>
      </c>
      <c r="JRE43" s="380" t="e">
        <f t="shared" si="116"/>
        <v>#N/A</v>
      </c>
      <c r="JRF43" s="380" t="e">
        <f t="shared" si="116"/>
        <v>#N/A</v>
      </c>
      <c r="JRG43" s="380" t="e">
        <f t="shared" si="116"/>
        <v>#N/A</v>
      </c>
      <c r="JRH43" s="380" t="e">
        <f t="shared" si="116"/>
        <v>#N/A</v>
      </c>
      <c r="JRI43" s="380" t="e">
        <f t="shared" si="116"/>
        <v>#N/A</v>
      </c>
      <c r="JRJ43" s="380" t="e">
        <f t="shared" si="116"/>
        <v>#N/A</v>
      </c>
      <c r="JRK43" s="380" t="e">
        <f t="shared" si="116"/>
        <v>#N/A</v>
      </c>
      <c r="JRL43" s="380" t="e">
        <f t="shared" ref="JRL43:JTW43" si="117">INDEX(JRL7:JRL40,MATCH($E$43,$E$7:$E$40,0))</f>
        <v>#N/A</v>
      </c>
      <c r="JRM43" s="380" t="e">
        <f t="shared" si="117"/>
        <v>#N/A</v>
      </c>
      <c r="JRN43" s="380" t="e">
        <f t="shared" si="117"/>
        <v>#N/A</v>
      </c>
      <c r="JRO43" s="380" t="e">
        <f t="shared" si="117"/>
        <v>#N/A</v>
      </c>
      <c r="JRP43" s="380" t="e">
        <f t="shared" si="117"/>
        <v>#N/A</v>
      </c>
      <c r="JRQ43" s="380" t="e">
        <f t="shared" si="117"/>
        <v>#N/A</v>
      </c>
      <c r="JRR43" s="380" t="e">
        <f t="shared" si="117"/>
        <v>#N/A</v>
      </c>
      <c r="JRS43" s="380" t="e">
        <f t="shared" si="117"/>
        <v>#N/A</v>
      </c>
      <c r="JRT43" s="380" t="e">
        <f t="shared" si="117"/>
        <v>#N/A</v>
      </c>
      <c r="JRU43" s="380" t="e">
        <f t="shared" si="117"/>
        <v>#N/A</v>
      </c>
      <c r="JRV43" s="380" t="e">
        <f t="shared" si="117"/>
        <v>#N/A</v>
      </c>
      <c r="JRW43" s="380" t="e">
        <f t="shared" si="117"/>
        <v>#N/A</v>
      </c>
      <c r="JRX43" s="380" t="e">
        <f t="shared" si="117"/>
        <v>#N/A</v>
      </c>
      <c r="JRY43" s="380" t="e">
        <f t="shared" si="117"/>
        <v>#N/A</v>
      </c>
      <c r="JRZ43" s="380" t="e">
        <f t="shared" si="117"/>
        <v>#N/A</v>
      </c>
      <c r="JSA43" s="380" t="e">
        <f t="shared" si="117"/>
        <v>#N/A</v>
      </c>
      <c r="JSB43" s="380" t="e">
        <f t="shared" si="117"/>
        <v>#N/A</v>
      </c>
      <c r="JSC43" s="380" t="e">
        <f t="shared" si="117"/>
        <v>#N/A</v>
      </c>
      <c r="JSD43" s="380" t="e">
        <f t="shared" si="117"/>
        <v>#N/A</v>
      </c>
      <c r="JSE43" s="380" t="e">
        <f t="shared" si="117"/>
        <v>#N/A</v>
      </c>
      <c r="JSF43" s="380" t="e">
        <f t="shared" si="117"/>
        <v>#N/A</v>
      </c>
      <c r="JSG43" s="380" t="e">
        <f t="shared" si="117"/>
        <v>#N/A</v>
      </c>
      <c r="JSH43" s="380" t="e">
        <f t="shared" si="117"/>
        <v>#N/A</v>
      </c>
      <c r="JSI43" s="380" t="e">
        <f t="shared" si="117"/>
        <v>#N/A</v>
      </c>
      <c r="JSJ43" s="380" t="e">
        <f t="shared" si="117"/>
        <v>#N/A</v>
      </c>
      <c r="JSK43" s="380" t="e">
        <f t="shared" si="117"/>
        <v>#N/A</v>
      </c>
      <c r="JSL43" s="380" t="e">
        <f t="shared" si="117"/>
        <v>#N/A</v>
      </c>
      <c r="JSM43" s="380" t="e">
        <f t="shared" si="117"/>
        <v>#N/A</v>
      </c>
      <c r="JSN43" s="380" t="e">
        <f t="shared" si="117"/>
        <v>#N/A</v>
      </c>
      <c r="JSO43" s="380" t="e">
        <f t="shared" si="117"/>
        <v>#N/A</v>
      </c>
      <c r="JSP43" s="380" t="e">
        <f t="shared" si="117"/>
        <v>#N/A</v>
      </c>
      <c r="JSQ43" s="380" t="e">
        <f t="shared" si="117"/>
        <v>#N/A</v>
      </c>
      <c r="JSR43" s="380" t="e">
        <f t="shared" si="117"/>
        <v>#N/A</v>
      </c>
      <c r="JSS43" s="380" t="e">
        <f t="shared" si="117"/>
        <v>#N/A</v>
      </c>
      <c r="JST43" s="380" t="e">
        <f t="shared" si="117"/>
        <v>#N/A</v>
      </c>
      <c r="JSU43" s="380" t="e">
        <f t="shared" si="117"/>
        <v>#N/A</v>
      </c>
      <c r="JSV43" s="380" t="e">
        <f t="shared" si="117"/>
        <v>#N/A</v>
      </c>
      <c r="JSW43" s="380" t="e">
        <f t="shared" si="117"/>
        <v>#N/A</v>
      </c>
      <c r="JSX43" s="380" t="e">
        <f t="shared" si="117"/>
        <v>#N/A</v>
      </c>
      <c r="JSY43" s="380" t="e">
        <f t="shared" si="117"/>
        <v>#N/A</v>
      </c>
      <c r="JSZ43" s="380" t="e">
        <f t="shared" si="117"/>
        <v>#N/A</v>
      </c>
      <c r="JTA43" s="380" t="e">
        <f t="shared" si="117"/>
        <v>#N/A</v>
      </c>
      <c r="JTB43" s="380" t="e">
        <f t="shared" si="117"/>
        <v>#N/A</v>
      </c>
      <c r="JTC43" s="380" t="e">
        <f t="shared" si="117"/>
        <v>#N/A</v>
      </c>
      <c r="JTD43" s="380" t="e">
        <f t="shared" si="117"/>
        <v>#N/A</v>
      </c>
      <c r="JTE43" s="380" t="e">
        <f t="shared" si="117"/>
        <v>#N/A</v>
      </c>
      <c r="JTF43" s="380" t="e">
        <f t="shared" si="117"/>
        <v>#N/A</v>
      </c>
      <c r="JTG43" s="380" t="e">
        <f t="shared" si="117"/>
        <v>#N/A</v>
      </c>
      <c r="JTH43" s="380" t="e">
        <f t="shared" si="117"/>
        <v>#N/A</v>
      </c>
      <c r="JTI43" s="380" t="e">
        <f t="shared" si="117"/>
        <v>#N/A</v>
      </c>
      <c r="JTJ43" s="380" t="e">
        <f t="shared" si="117"/>
        <v>#N/A</v>
      </c>
      <c r="JTK43" s="380" t="e">
        <f t="shared" si="117"/>
        <v>#N/A</v>
      </c>
      <c r="JTL43" s="380" t="e">
        <f t="shared" si="117"/>
        <v>#N/A</v>
      </c>
      <c r="JTM43" s="380" t="e">
        <f t="shared" si="117"/>
        <v>#N/A</v>
      </c>
      <c r="JTN43" s="380" t="e">
        <f t="shared" si="117"/>
        <v>#N/A</v>
      </c>
      <c r="JTO43" s="380" t="e">
        <f t="shared" si="117"/>
        <v>#N/A</v>
      </c>
      <c r="JTP43" s="380" t="e">
        <f t="shared" si="117"/>
        <v>#N/A</v>
      </c>
      <c r="JTQ43" s="380" t="e">
        <f t="shared" si="117"/>
        <v>#N/A</v>
      </c>
      <c r="JTR43" s="380" t="e">
        <f t="shared" si="117"/>
        <v>#N/A</v>
      </c>
      <c r="JTS43" s="380" t="e">
        <f t="shared" si="117"/>
        <v>#N/A</v>
      </c>
      <c r="JTT43" s="380" t="e">
        <f t="shared" si="117"/>
        <v>#N/A</v>
      </c>
      <c r="JTU43" s="380" t="e">
        <f t="shared" si="117"/>
        <v>#N/A</v>
      </c>
      <c r="JTV43" s="380" t="e">
        <f t="shared" si="117"/>
        <v>#N/A</v>
      </c>
      <c r="JTW43" s="380" t="e">
        <f t="shared" si="117"/>
        <v>#N/A</v>
      </c>
      <c r="JTX43" s="380" t="e">
        <f t="shared" ref="JTX43:JWI43" si="118">INDEX(JTX7:JTX40,MATCH($E$43,$E$7:$E$40,0))</f>
        <v>#N/A</v>
      </c>
      <c r="JTY43" s="380" t="e">
        <f t="shared" si="118"/>
        <v>#N/A</v>
      </c>
      <c r="JTZ43" s="380" t="e">
        <f t="shared" si="118"/>
        <v>#N/A</v>
      </c>
      <c r="JUA43" s="380" t="e">
        <f t="shared" si="118"/>
        <v>#N/A</v>
      </c>
      <c r="JUB43" s="380" t="e">
        <f t="shared" si="118"/>
        <v>#N/A</v>
      </c>
      <c r="JUC43" s="380" t="e">
        <f t="shared" si="118"/>
        <v>#N/A</v>
      </c>
      <c r="JUD43" s="380" t="e">
        <f t="shared" si="118"/>
        <v>#N/A</v>
      </c>
      <c r="JUE43" s="380" t="e">
        <f t="shared" si="118"/>
        <v>#N/A</v>
      </c>
      <c r="JUF43" s="380" t="e">
        <f t="shared" si="118"/>
        <v>#N/A</v>
      </c>
      <c r="JUG43" s="380" t="e">
        <f t="shared" si="118"/>
        <v>#N/A</v>
      </c>
      <c r="JUH43" s="380" t="e">
        <f t="shared" si="118"/>
        <v>#N/A</v>
      </c>
      <c r="JUI43" s="380" t="e">
        <f t="shared" si="118"/>
        <v>#N/A</v>
      </c>
      <c r="JUJ43" s="380" t="e">
        <f t="shared" si="118"/>
        <v>#N/A</v>
      </c>
      <c r="JUK43" s="380" t="e">
        <f t="shared" si="118"/>
        <v>#N/A</v>
      </c>
      <c r="JUL43" s="380" t="e">
        <f t="shared" si="118"/>
        <v>#N/A</v>
      </c>
      <c r="JUM43" s="380" t="e">
        <f t="shared" si="118"/>
        <v>#N/A</v>
      </c>
      <c r="JUN43" s="380" t="e">
        <f t="shared" si="118"/>
        <v>#N/A</v>
      </c>
      <c r="JUO43" s="380" t="e">
        <f t="shared" si="118"/>
        <v>#N/A</v>
      </c>
      <c r="JUP43" s="380" t="e">
        <f t="shared" si="118"/>
        <v>#N/A</v>
      </c>
      <c r="JUQ43" s="380" t="e">
        <f t="shared" si="118"/>
        <v>#N/A</v>
      </c>
      <c r="JUR43" s="380" t="e">
        <f t="shared" si="118"/>
        <v>#N/A</v>
      </c>
      <c r="JUS43" s="380" t="e">
        <f t="shared" si="118"/>
        <v>#N/A</v>
      </c>
      <c r="JUT43" s="380" t="e">
        <f t="shared" si="118"/>
        <v>#N/A</v>
      </c>
      <c r="JUU43" s="380" t="e">
        <f t="shared" si="118"/>
        <v>#N/A</v>
      </c>
      <c r="JUV43" s="380" t="e">
        <f t="shared" si="118"/>
        <v>#N/A</v>
      </c>
      <c r="JUW43" s="380" t="e">
        <f t="shared" si="118"/>
        <v>#N/A</v>
      </c>
      <c r="JUX43" s="380" t="e">
        <f t="shared" si="118"/>
        <v>#N/A</v>
      </c>
      <c r="JUY43" s="380" t="e">
        <f t="shared" si="118"/>
        <v>#N/A</v>
      </c>
      <c r="JUZ43" s="380" t="e">
        <f t="shared" si="118"/>
        <v>#N/A</v>
      </c>
      <c r="JVA43" s="380" t="e">
        <f t="shared" si="118"/>
        <v>#N/A</v>
      </c>
      <c r="JVB43" s="380" t="e">
        <f t="shared" si="118"/>
        <v>#N/A</v>
      </c>
      <c r="JVC43" s="380" t="e">
        <f t="shared" si="118"/>
        <v>#N/A</v>
      </c>
      <c r="JVD43" s="380" t="e">
        <f t="shared" si="118"/>
        <v>#N/A</v>
      </c>
      <c r="JVE43" s="380" t="e">
        <f t="shared" si="118"/>
        <v>#N/A</v>
      </c>
      <c r="JVF43" s="380" t="e">
        <f t="shared" si="118"/>
        <v>#N/A</v>
      </c>
      <c r="JVG43" s="380" t="e">
        <f t="shared" si="118"/>
        <v>#N/A</v>
      </c>
      <c r="JVH43" s="380" t="e">
        <f t="shared" si="118"/>
        <v>#N/A</v>
      </c>
      <c r="JVI43" s="380" t="e">
        <f t="shared" si="118"/>
        <v>#N/A</v>
      </c>
      <c r="JVJ43" s="380" t="e">
        <f t="shared" si="118"/>
        <v>#N/A</v>
      </c>
      <c r="JVK43" s="380" t="e">
        <f t="shared" si="118"/>
        <v>#N/A</v>
      </c>
      <c r="JVL43" s="380" t="e">
        <f t="shared" si="118"/>
        <v>#N/A</v>
      </c>
      <c r="JVM43" s="380" t="e">
        <f t="shared" si="118"/>
        <v>#N/A</v>
      </c>
      <c r="JVN43" s="380" t="e">
        <f t="shared" si="118"/>
        <v>#N/A</v>
      </c>
      <c r="JVO43" s="380" t="e">
        <f t="shared" si="118"/>
        <v>#N/A</v>
      </c>
      <c r="JVP43" s="380" t="e">
        <f t="shared" si="118"/>
        <v>#N/A</v>
      </c>
      <c r="JVQ43" s="380" t="e">
        <f t="shared" si="118"/>
        <v>#N/A</v>
      </c>
      <c r="JVR43" s="380" t="e">
        <f t="shared" si="118"/>
        <v>#N/A</v>
      </c>
      <c r="JVS43" s="380" t="e">
        <f t="shared" si="118"/>
        <v>#N/A</v>
      </c>
      <c r="JVT43" s="380" t="e">
        <f t="shared" si="118"/>
        <v>#N/A</v>
      </c>
      <c r="JVU43" s="380" t="e">
        <f t="shared" si="118"/>
        <v>#N/A</v>
      </c>
      <c r="JVV43" s="380" t="e">
        <f t="shared" si="118"/>
        <v>#N/A</v>
      </c>
      <c r="JVW43" s="380" t="e">
        <f t="shared" si="118"/>
        <v>#N/A</v>
      </c>
      <c r="JVX43" s="380" t="e">
        <f t="shared" si="118"/>
        <v>#N/A</v>
      </c>
      <c r="JVY43" s="380" t="e">
        <f t="shared" si="118"/>
        <v>#N/A</v>
      </c>
      <c r="JVZ43" s="380" t="e">
        <f t="shared" si="118"/>
        <v>#N/A</v>
      </c>
      <c r="JWA43" s="380" t="e">
        <f t="shared" si="118"/>
        <v>#N/A</v>
      </c>
      <c r="JWB43" s="380" t="e">
        <f t="shared" si="118"/>
        <v>#N/A</v>
      </c>
      <c r="JWC43" s="380" t="e">
        <f t="shared" si="118"/>
        <v>#N/A</v>
      </c>
      <c r="JWD43" s="380" t="e">
        <f t="shared" si="118"/>
        <v>#N/A</v>
      </c>
      <c r="JWE43" s="380" t="e">
        <f t="shared" si="118"/>
        <v>#N/A</v>
      </c>
      <c r="JWF43" s="380" t="e">
        <f t="shared" si="118"/>
        <v>#N/A</v>
      </c>
      <c r="JWG43" s="380" t="e">
        <f t="shared" si="118"/>
        <v>#N/A</v>
      </c>
      <c r="JWH43" s="380" t="e">
        <f t="shared" si="118"/>
        <v>#N/A</v>
      </c>
      <c r="JWI43" s="380" t="e">
        <f t="shared" si="118"/>
        <v>#N/A</v>
      </c>
      <c r="JWJ43" s="380" t="e">
        <f t="shared" ref="JWJ43:JYU43" si="119">INDEX(JWJ7:JWJ40,MATCH($E$43,$E$7:$E$40,0))</f>
        <v>#N/A</v>
      </c>
      <c r="JWK43" s="380" t="e">
        <f t="shared" si="119"/>
        <v>#N/A</v>
      </c>
      <c r="JWL43" s="380" t="e">
        <f t="shared" si="119"/>
        <v>#N/A</v>
      </c>
      <c r="JWM43" s="380" t="e">
        <f t="shared" si="119"/>
        <v>#N/A</v>
      </c>
      <c r="JWN43" s="380" t="e">
        <f t="shared" si="119"/>
        <v>#N/A</v>
      </c>
      <c r="JWO43" s="380" t="e">
        <f t="shared" si="119"/>
        <v>#N/A</v>
      </c>
      <c r="JWP43" s="380" t="e">
        <f t="shared" si="119"/>
        <v>#N/A</v>
      </c>
      <c r="JWQ43" s="380" t="e">
        <f t="shared" si="119"/>
        <v>#N/A</v>
      </c>
      <c r="JWR43" s="380" t="e">
        <f t="shared" si="119"/>
        <v>#N/A</v>
      </c>
      <c r="JWS43" s="380" t="e">
        <f t="shared" si="119"/>
        <v>#N/A</v>
      </c>
      <c r="JWT43" s="380" t="e">
        <f t="shared" si="119"/>
        <v>#N/A</v>
      </c>
      <c r="JWU43" s="380" t="e">
        <f t="shared" si="119"/>
        <v>#N/A</v>
      </c>
      <c r="JWV43" s="380" t="e">
        <f t="shared" si="119"/>
        <v>#N/A</v>
      </c>
      <c r="JWW43" s="380" t="e">
        <f t="shared" si="119"/>
        <v>#N/A</v>
      </c>
      <c r="JWX43" s="380" t="e">
        <f t="shared" si="119"/>
        <v>#N/A</v>
      </c>
      <c r="JWY43" s="380" t="e">
        <f t="shared" si="119"/>
        <v>#N/A</v>
      </c>
      <c r="JWZ43" s="380" t="e">
        <f t="shared" si="119"/>
        <v>#N/A</v>
      </c>
      <c r="JXA43" s="380" t="e">
        <f t="shared" si="119"/>
        <v>#N/A</v>
      </c>
      <c r="JXB43" s="380" t="e">
        <f t="shared" si="119"/>
        <v>#N/A</v>
      </c>
      <c r="JXC43" s="380" t="e">
        <f t="shared" si="119"/>
        <v>#N/A</v>
      </c>
      <c r="JXD43" s="380" t="e">
        <f t="shared" si="119"/>
        <v>#N/A</v>
      </c>
      <c r="JXE43" s="380" t="e">
        <f t="shared" si="119"/>
        <v>#N/A</v>
      </c>
      <c r="JXF43" s="380" t="e">
        <f t="shared" si="119"/>
        <v>#N/A</v>
      </c>
      <c r="JXG43" s="380" t="e">
        <f t="shared" si="119"/>
        <v>#N/A</v>
      </c>
      <c r="JXH43" s="380" t="e">
        <f t="shared" si="119"/>
        <v>#N/A</v>
      </c>
      <c r="JXI43" s="380" t="e">
        <f t="shared" si="119"/>
        <v>#N/A</v>
      </c>
      <c r="JXJ43" s="380" t="e">
        <f t="shared" si="119"/>
        <v>#N/A</v>
      </c>
      <c r="JXK43" s="380" t="e">
        <f t="shared" si="119"/>
        <v>#N/A</v>
      </c>
      <c r="JXL43" s="380" t="e">
        <f t="shared" si="119"/>
        <v>#N/A</v>
      </c>
      <c r="JXM43" s="380" t="e">
        <f t="shared" si="119"/>
        <v>#N/A</v>
      </c>
      <c r="JXN43" s="380" t="e">
        <f t="shared" si="119"/>
        <v>#N/A</v>
      </c>
      <c r="JXO43" s="380" t="e">
        <f t="shared" si="119"/>
        <v>#N/A</v>
      </c>
      <c r="JXP43" s="380" t="e">
        <f t="shared" si="119"/>
        <v>#N/A</v>
      </c>
      <c r="JXQ43" s="380" t="e">
        <f t="shared" si="119"/>
        <v>#N/A</v>
      </c>
      <c r="JXR43" s="380" t="e">
        <f t="shared" si="119"/>
        <v>#N/A</v>
      </c>
      <c r="JXS43" s="380" t="e">
        <f t="shared" si="119"/>
        <v>#N/A</v>
      </c>
      <c r="JXT43" s="380" t="e">
        <f t="shared" si="119"/>
        <v>#N/A</v>
      </c>
      <c r="JXU43" s="380" t="e">
        <f t="shared" si="119"/>
        <v>#N/A</v>
      </c>
      <c r="JXV43" s="380" t="e">
        <f t="shared" si="119"/>
        <v>#N/A</v>
      </c>
      <c r="JXW43" s="380" t="e">
        <f t="shared" si="119"/>
        <v>#N/A</v>
      </c>
      <c r="JXX43" s="380" t="e">
        <f t="shared" si="119"/>
        <v>#N/A</v>
      </c>
      <c r="JXY43" s="380" t="e">
        <f t="shared" si="119"/>
        <v>#N/A</v>
      </c>
      <c r="JXZ43" s="380" t="e">
        <f t="shared" si="119"/>
        <v>#N/A</v>
      </c>
      <c r="JYA43" s="380" t="e">
        <f t="shared" si="119"/>
        <v>#N/A</v>
      </c>
      <c r="JYB43" s="380" t="e">
        <f t="shared" si="119"/>
        <v>#N/A</v>
      </c>
      <c r="JYC43" s="380" t="e">
        <f t="shared" si="119"/>
        <v>#N/A</v>
      </c>
      <c r="JYD43" s="380" t="e">
        <f t="shared" si="119"/>
        <v>#N/A</v>
      </c>
      <c r="JYE43" s="380" t="e">
        <f t="shared" si="119"/>
        <v>#N/A</v>
      </c>
      <c r="JYF43" s="380" t="e">
        <f t="shared" si="119"/>
        <v>#N/A</v>
      </c>
      <c r="JYG43" s="380" t="e">
        <f t="shared" si="119"/>
        <v>#N/A</v>
      </c>
      <c r="JYH43" s="380" t="e">
        <f t="shared" si="119"/>
        <v>#N/A</v>
      </c>
      <c r="JYI43" s="380" t="e">
        <f t="shared" si="119"/>
        <v>#N/A</v>
      </c>
      <c r="JYJ43" s="380" t="e">
        <f t="shared" si="119"/>
        <v>#N/A</v>
      </c>
      <c r="JYK43" s="380" t="e">
        <f t="shared" si="119"/>
        <v>#N/A</v>
      </c>
      <c r="JYL43" s="380" t="e">
        <f t="shared" si="119"/>
        <v>#N/A</v>
      </c>
      <c r="JYM43" s="380" t="e">
        <f t="shared" si="119"/>
        <v>#N/A</v>
      </c>
      <c r="JYN43" s="380" t="e">
        <f t="shared" si="119"/>
        <v>#N/A</v>
      </c>
      <c r="JYO43" s="380" t="e">
        <f t="shared" si="119"/>
        <v>#N/A</v>
      </c>
      <c r="JYP43" s="380" t="e">
        <f t="shared" si="119"/>
        <v>#N/A</v>
      </c>
      <c r="JYQ43" s="380" t="e">
        <f t="shared" si="119"/>
        <v>#N/A</v>
      </c>
      <c r="JYR43" s="380" t="e">
        <f t="shared" si="119"/>
        <v>#N/A</v>
      </c>
      <c r="JYS43" s="380" t="e">
        <f t="shared" si="119"/>
        <v>#N/A</v>
      </c>
      <c r="JYT43" s="380" t="e">
        <f t="shared" si="119"/>
        <v>#N/A</v>
      </c>
      <c r="JYU43" s="380" t="e">
        <f t="shared" si="119"/>
        <v>#N/A</v>
      </c>
      <c r="JYV43" s="380" t="e">
        <f t="shared" ref="JYV43:KBG43" si="120">INDEX(JYV7:JYV40,MATCH($E$43,$E$7:$E$40,0))</f>
        <v>#N/A</v>
      </c>
      <c r="JYW43" s="380" t="e">
        <f t="shared" si="120"/>
        <v>#N/A</v>
      </c>
      <c r="JYX43" s="380" t="e">
        <f t="shared" si="120"/>
        <v>#N/A</v>
      </c>
      <c r="JYY43" s="380" t="e">
        <f t="shared" si="120"/>
        <v>#N/A</v>
      </c>
      <c r="JYZ43" s="380" t="e">
        <f t="shared" si="120"/>
        <v>#N/A</v>
      </c>
      <c r="JZA43" s="380" t="e">
        <f t="shared" si="120"/>
        <v>#N/A</v>
      </c>
      <c r="JZB43" s="380" t="e">
        <f t="shared" si="120"/>
        <v>#N/A</v>
      </c>
      <c r="JZC43" s="380" t="e">
        <f t="shared" si="120"/>
        <v>#N/A</v>
      </c>
      <c r="JZD43" s="380" t="e">
        <f t="shared" si="120"/>
        <v>#N/A</v>
      </c>
      <c r="JZE43" s="380" t="e">
        <f t="shared" si="120"/>
        <v>#N/A</v>
      </c>
      <c r="JZF43" s="380" t="e">
        <f t="shared" si="120"/>
        <v>#N/A</v>
      </c>
      <c r="JZG43" s="380" t="e">
        <f t="shared" si="120"/>
        <v>#N/A</v>
      </c>
      <c r="JZH43" s="380" t="e">
        <f t="shared" si="120"/>
        <v>#N/A</v>
      </c>
      <c r="JZI43" s="380" t="e">
        <f t="shared" si="120"/>
        <v>#N/A</v>
      </c>
      <c r="JZJ43" s="380" t="e">
        <f t="shared" si="120"/>
        <v>#N/A</v>
      </c>
      <c r="JZK43" s="380" t="e">
        <f t="shared" si="120"/>
        <v>#N/A</v>
      </c>
      <c r="JZL43" s="380" t="e">
        <f t="shared" si="120"/>
        <v>#N/A</v>
      </c>
      <c r="JZM43" s="380" t="e">
        <f t="shared" si="120"/>
        <v>#N/A</v>
      </c>
      <c r="JZN43" s="380" t="e">
        <f t="shared" si="120"/>
        <v>#N/A</v>
      </c>
      <c r="JZO43" s="380" t="e">
        <f t="shared" si="120"/>
        <v>#N/A</v>
      </c>
      <c r="JZP43" s="380" t="e">
        <f t="shared" si="120"/>
        <v>#N/A</v>
      </c>
      <c r="JZQ43" s="380" t="e">
        <f t="shared" si="120"/>
        <v>#N/A</v>
      </c>
      <c r="JZR43" s="380" t="e">
        <f t="shared" si="120"/>
        <v>#N/A</v>
      </c>
      <c r="JZS43" s="380" t="e">
        <f t="shared" si="120"/>
        <v>#N/A</v>
      </c>
      <c r="JZT43" s="380" t="e">
        <f t="shared" si="120"/>
        <v>#N/A</v>
      </c>
      <c r="JZU43" s="380" t="e">
        <f t="shared" si="120"/>
        <v>#N/A</v>
      </c>
      <c r="JZV43" s="380" t="e">
        <f t="shared" si="120"/>
        <v>#N/A</v>
      </c>
      <c r="JZW43" s="380" t="e">
        <f t="shared" si="120"/>
        <v>#N/A</v>
      </c>
      <c r="JZX43" s="380" t="e">
        <f t="shared" si="120"/>
        <v>#N/A</v>
      </c>
      <c r="JZY43" s="380" t="e">
        <f t="shared" si="120"/>
        <v>#N/A</v>
      </c>
      <c r="JZZ43" s="380" t="e">
        <f t="shared" si="120"/>
        <v>#N/A</v>
      </c>
      <c r="KAA43" s="380" t="e">
        <f t="shared" si="120"/>
        <v>#N/A</v>
      </c>
      <c r="KAB43" s="380" t="e">
        <f t="shared" si="120"/>
        <v>#N/A</v>
      </c>
      <c r="KAC43" s="380" t="e">
        <f t="shared" si="120"/>
        <v>#N/A</v>
      </c>
      <c r="KAD43" s="380" t="e">
        <f t="shared" si="120"/>
        <v>#N/A</v>
      </c>
      <c r="KAE43" s="380" t="e">
        <f t="shared" si="120"/>
        <v>#N/A</v>
      </c>
      <c r="KAF43" s="380" t="e">
        <f t="shared" si="120"/>
        <v>#N/A</v>
      </c>
      <c r="KAG43" s="380" t="e">
        <f t="shared" si="120"/>
        <v>#N/A</v>
      </c>
      <c r="KAH43" s="380" t="e">
        <f t="shared" si="120"/>
        <v>#N/A</v>
      </c>
      <c r="KAI43" s="380" t="e">
        <f t="shared" si="120"/>
        <v>#N/A</v>
      </c>
      <c r="KAJ43" s="380" t="e">
        <f t="shared" si="120"/>
        <v>#N/A</v>
      </c>
      <c r="KAK43" s="380" t="e">
        <f t="shared" si="120"/>
        <v>#N/A</v>
      </c>
      <c r="KAL43" s="380" t="e">
        <f t="shared" si="120"/>
        <v>#N/A</v>
      </c>
      <c r="KAM43" s="380" t="e">
        <f t="shared" si="120"/>
        <v>#N/A</v>
      </c>
      <c r="KAN43" s="380" t="e">
        <f t="shared" si="120"/>
        <v>#N/A</v>
      </c>
      <c r="KAO43" s="380" t="e">
        <f t="shared" si="120"/>
        <v>#N/A</v>
      </c>
      <c r="KAP43" s="380" t="e">
        <f t="shared" si="120"/>
        <v>#N/A</v>
      </c>
      <c r="KAQ43" s="380" t="e">
        <f t="shared" si="120"/>
        <v>#N/A</v>
      </c>
      <c r="KAR43" s="380" t="e">
        <f t="shared" si="120"/>
        <v>#N/A</v>
      </c>
      <c r="KAS43" s="380" t="e">
        <f t="shared" si="120"/>
        <v>#N/A</v>
      </c>
      <c r="KAT43" s="380" t="e">
        <f t="shared" si="120"/>
        <v>#N/A</v>
      </c>
      <c r="KAU43" s="380" t="e">
        <f t="shared" si="120"/>
        <v>#N/A</v>
      </c>
      <c r="KAV43" s="380" t="e">
        <f t="shared" si="120"/>
        <v>#N/A</v>
      </c>
      <c r="KAW43" s="380" t="e">
        <f t="shared" si="120"/>
        <v>#N/A</v>
      </c>
      <c r="KAX43" s="380" t="e">
        <f t="shared" si="120"/>
        <v>#N/A</v>
      </c>
      <c r="KAY43" s="380" t="e">
        <f t="shared" si="120"/>
        <v>#N/A</v>
      </c>
      <c r="KAZ43" s="380" t="e">
        <f t="shared" si="120"/>
        <v>#N/A</v>
      </c>
      <c r="KBA43" s="380" t="e">
        <f t="shared" si="120"/>
        <v>#N/A</v>
      </c>
      <c r="KBB43" s="380" t="e">
        <f t="shared" si="120"/>
        <v>#N/A</v>
      </c>
      <c r="KBC43" s="380" t="e">
        <f t="shared" si="120"/>
        <v>#N/A</v>
      </c>
      <c r="KBD43" s="380" t="e">
        <f t="shared" si="120"/>
        <v>#N/A</v>
      </c>
      <c r="KBE43" s="380" t="e">
        <f t="shared" si="120"/>
        <v>#N/A</v>
      </c>
      <c r="KBF43" s="380" t="e">
        <f t="shared" si="120"/>
        <v>#N/A</v>
      </c>
      <c r="KBG43" s="380" t="e">
        <f t="shared" si="120"/>
        <v>#N/A</v>
      </c>
      <c r="KBH43" s="380" t="e">
        <f t="shared" ref="KBH43:KDS43" si="121">INDEX(KBH7:KBH40,MATCH($E$43,$E$7:$E$40,0))</f>
        <v>#N/A</v>
      </c>
      <c r="KBI43" s="380" t="e">
        <f t="shared" si="121"/>
        <v>#N/A</v>
      </c>
      <c r="KBJ43" s="380" t="e">
        <f t="shared" si="121"/>
        <v>#N/A</v>
      </c>
      <c r="KBK43" s="380" t="e">
        <f t="shared" si="121"/>
        <v>#N/A</v>
      </c>
      <c r="KBL43" s="380" t="e">
        <f t="shared" si="121"/>
        <v>#N/A</v>
      </c>
      <c r="KBM43" s="380" t="e">
        <f t="shared" si="121"/>
        <v>#N/A</v>
      </c>
      <c r="KBN43" s="380" t="e">
        <f t="shared" si="121"/>
        <v>#N/A</v>
      </c>
      <c r="KBO43" s="380" t="e">
        <f t="shared" si="121"/>
        <v>#N/A</v>
      </c>
      <c r="KBP43" s="380" t="e">
        <f t="shared" si="121"/>
        <v>#N/A</v>
      </c>
      <c r="KBQ43" s="380" t="e">
        <f t="shared" si="121"/>
        <v>#N/A</v>
      </c>
      <c r="KBR43" s="380" t="e">
        <f t="shared" si="121"/>
        <v>#N/A</v>
      </c>
      <c r="KBS43" s="380" t="e">
        <f t="shared" si="121"/>
        <v>#N/A</v>
      </c>
      <c r="KBT43" s="380" t="e">
        <f t="shared" si="121"/>
        <v>#N/A</v>
      </c>
      <c r="KBU43" s="380" t="e">
        <f t="shared" si="121"/>
        <v>#N/A</v>
      </c>
      <c r="KBV43" s="380" t="e">
        <f t="shared" si="121"/>
        <v>#N/A</v>
      </c>
      <c r="KBW43" s="380" t="e">
        <f t="shared" si="121"/>
        <v>#N/A</v>
      </c>
      <c r="KBX43" s="380" t="e">
        <f t="shared" si="121"/>
        <v>#N/A</v>
      </c>
      <c r="KBY43" s="380" t="e">
        <f t="shared" si="121"/>
        <v>#N/A</v>
      </c>
      <c r="KBZ43" s="380" t="e">
        <f t="shared" si="121"/>
        <v>#N/A</v>
      </c>
      <c r="KCA43" s="380" t="e">
        <f t="shared" si="121"/>
        <v>#N/A</v>
      </c>
      <c r="KCB43" s="380" t="e">
        <f t="shared" si="121"/>
        <v>#N/A</v>
      </c>
      <c r="KCC43" s="380" t="e">
        <f t="shared" si="121"/>
        <v>#N/A</v>
      </c>
      <c r="KCD43" s="380" t="e">
        <f t="shared" si="121"/>
        <v>#N/A</v>
      </c>
      <c r="KCE43" s="380" t="e">
        <f t="shared" si="121"/>
        <v>#N/A</v>
      </c>
      <c r="KCF43" s="380" t="e">
        <f t="shared" si="121"/>
        <v>#N/A</v>
      </c>
      <c r="KCG43" s="380" t="e">
        <f t="shared" si="121"/>
        <v>#N/A</v>
      </c>
      <c r="KCH43" s="380" t="e">
        <f t="shared" si="121"/>
        <v>#N/A</v>
      </c>
      <c r="KCI43" s="380" t="e">
        <f t="shared" si="121"/>
        <v>#N/A</v>
      </c>
      <c r="KCJ43" s="380" t="e">
        <f t="shared" si="121"/>
        <v>#N/A</v>
      </c>
      <c r="KCK43" s="380" t="e">
        <f t="shared" si="121"/>
        <v>#N/A</v>
      </c>
      <c r="KCL43" s="380" t="e">
        <f t="shared" si="121"/>
        <v>#N/A</v>
      </c>
      <c r="KCM43" s="380" t="e">
        <f t="shared" si="121"/>
        <v>#N/A</v>
      </c>
      <c r="KCN43" s="380" t="e">
        <f t="shared" si="121"/>
        <v>#N/A</v>
      </c>
      <c r="KCO43" s="380" t="e">
        <f t="shared" si="121"/>
        <v>#N/A</v>
      </c>
      <c r="KCP43" s="380" t="e">
        <f t="shared" si="121"/>
        <v>#N/A</v>
      </c>
      <c r="KCQ43" s="380" t="e">
        <f t="shared" si="121"/>
        <v>#N/A</v>
      </c>
      <c r="KCR43" s="380" t="e">
        <f t="shared" si="121"/>
        <v>#N/A</v>
      </c>
      <c r="KCS43" s="380" t="e">
        <f t="shared" si="121"/>
        <v>#N/A</v>
      </c>
      <c r="KCT43" s="380" t="e">
        <f t="shared" si="121"/>
        <v>#N/A</v>
      </c>
      <c r="KCU43" s="380" t="e">
        <f t="shared" si="121"/>
        <v>#N/A</v>
      </c>
      <c r="KCV43" s="380" t="e">
        <f t="shared" si="121"/>
        <v>#N/A</v>
      </c>
      <c r="KCW43" s="380" t="e">
        <f t="shared" si="121"/>
        <v>#N/A</v>
      </c>
      <c r="KCX43" s="380" t="e">
        <f t="shared" si="121"/>
        <v>#N/A</v>
      </c>
      <c r="KCY43" s="380" t="e">
        <f t="shared" si="121"/>
        <v>#N/A</v>
      </c>
      <c r="KCZ43" s="380" t="e">
        <f t="shared" si="121"/>
        <v>#N/A</v>
      </c>
      <c r="KDA43" s="380" t="e">
        <f t="shared" si="121"/>
        <v>#N/A</v>
      </c>
      <c r="KDB43" s="380" t="e">
        <f t="shared" si="121"/>
        <v>#N/A</v>
      </c>
      <c r="KDC43" s="380" t="e">
        <f t="shared" si="121"/>
        <v>#N/A</v>
      </c>
      <c r="KDD43" s="380" t="e">
        <f t="shared" si="121"/>
        <v>#N/A</v>
      </c>
      <c r="KDE43" s="380" t="e">
        <f t="shared" si="121"/>
        <v>#N/A</v>
      </c>
      <c r="KDF43" s="380" t="e">
        <f t="shared" si="121"/>
        <v>#N/A</v>
      </c>
      <c r="KDG43" s="380" t="e">
        <f t="shared" si="121"/>
        <v>#N/A</v>
      </c>
      <c r="KDH43" s="380" t="e">
        <f t="shared" si="121"/>
        <v>#N/A</v>
      </c>
      <c r="KDI43" s="380" t="e">
        <f t="shared" si="121"/>
        <v>#N/A</v>
      </c>
      <c r="KDJ43" s="380" t="e">
        <f t="shared" si="121"/>
        <v>#N/A</v>
      </c>
      <c r="KDK43" s="380" t="e">
        <f t="shared" si="121"/>
        <v>#N/A</v>
      </c>
      <c r="KDL43" s="380" t="e">
        <f t="shared" si="121"/>
        <v>#N/A</v>
      </c>
      <c r="KDM43" s="380" t="e">
        <f t="shared" si="121"/>
        <v>#N/A</v>
      </c>
      <c r="KDN43" s="380" t="e">
        <f t="shared" si="121"/>
        <v>#N/A</v>
      </c>
      <c r="KDO43" s="380" t="e">
        <f t="shared" si="121"/>
        <v>#N/A</v>
      </c>
      <c r="KDP43" s="380" t="e">
        <f t="shared" si="121"/>
        <v>#N/A</v>
      </c>
      <c r="KDQ43" s="380" t="e">
        <f t="shared" si="121"/>
        <v>#N/A</v>
      </c>
      <c r="KDR43" s="380" t="e">
        <f t="shared" si="121"/>
        <v>#N/A</v>
      </c>
      <c r="KDS43" s="380" t="e">
        <f t="shared" si="121"/>
        <v>#N/A</v>
      </c>
      <c r="KDT43" s="380" t="e">
        <f t="shared" ref="KDT43:KGE43" si="122">INDEX(KDT7:KDT40,MATCH($E$43,$E$7:$E$40,0))</f>
        <v>#N/A</v>
      </c>
      <c r="KDU43" s="380" t="e">
        <f t="shared" si="122"/>
        <v>#N/A</v>
      </c>
      <c r="KDV43" s="380" t="e">
        <f t="shared" si="122"/>
        <v>#N/A</v>
      </c>
      <c r="KDW43" s="380" t="e">
        <f t="shared" si="122"/>
        <v>#N/A</v>
      </c>
      <c r="KDX43" s="380" t="e">
        <f t="shared" si="122"/>
        <v>#N/A</v>
      </c>
      <c r="KDY43" s="380" t="e">
        <f t="shared" si="122"/>
        <v>#N/A</v>
      </c>
      <c r="KDZ43" s="380" t="e">
        <f t="shared" si="122"/>
        <v>#N/A</v>
      </c>
      <c r="KEA43" s="380" t="e">
        <f t="shared" si="122"/>
        <v>#N/A</v>
      </c>
      <c r="KEB43" s="380" t="e">
        <f t="shared" si="122"/>
        <v>#N/A</v>
      </c>
      <c r="KEC43" s="380" t="e">
        <f t="shared" si="122"/>
        <v>#N/A</v>
      </c>
      <c r="KED43" s="380" t="e">
        <f t="shared" si="122"/>
        <v>#N/A</v>
      </c>
      <c r="KEE43" s="380" t="e">
        <f t="shared" si="122"/>
        <v>#N/A</v>
      </c>
      <c r="KEF43" s="380" t="e">
        <f t="shared" si="122"/>
        <v>#N/A</v>
      </c>
      <c r="KEG43" s="380" t="e">
        <f t="shared" si="122"/>
        <v>#N/A</v>
      </c>
      <c r="KEH43" s="380" t="e">
        <f t="shared" si="122"/>
        <v>#N/A</v>
      </c>
      <c r="KEI43" s="380" t="e">
        <f t="shared" si="122"/>
        <v>#N/A</v>
      </c>
      <c r="KEJ43" s="380" t="e">
        <f t="shared" si="122"/>
        <v>#N/A</v>
      </c>
      <c r="KEK43" s="380" t="e">
        <f t="shared" si="122"/>
        <v>#N/A</v>
      </c>
      <c r="KEL43" s="380" t="e">
        <f t="shared" si="122"/>
        <v>#N/A</v>
      </c>
      <c r="KEM43" s="380" t="e">
        <f t="shared" si="122"/>
        <v>#N/A</v>
      </c>
      <c r="KEN43" s="380" t="e">
        <f t="shared" si="122"/>
        <v>#N/A</v>
      </c>
      <c r="KEO43" s="380" t="e">
        <f t="shared" si="122"/>
        <v>#N/A</v>
      </c>
      <c r="KEP43" s="380" t="e">
        <f t="shared" si="122"/>
        <v>#N/A</v>
      </c>
      <c r="KEQ43" s="380" t="e">
        <f t="shared" si="122"/>
        <v>#N/A</v>
      </c>
      <c r="KER43" s="380" t="e">
        <f t="shared" si="122"/>
        <v>#N/A</v>
      </c>
      <c r="KES43" s="380" t="e">
        <f t="shared" si="122"/>
        <v>#N/A</v>
      </c>
      <c r="KET43" s="380" t="e">
        <f t="shared" si="122"/>
        <v>#N/A</v>
      </c>
      <c r="KEU43" s="380" t="e">
        <f t="shared" si="122"/>
        <v>#N/A</v>
      </c>
      <c r="KEV43" s="380" t="e">
        <f t="shared" si="122"/>
        <v>#N/A</v>
      </c>
      <c r="KEW43" s="380" t="e">
        <f t="shared" si="122"/>
        <v>#N/A</v>
      </c>
      <c r="KEX43" s="380" t="e">
        <f t="shared" si="122"/>
        <v>#N/A</v>
      </c>
      <c r="KEY43" s="380" t="e">
        <f t="shared" si="122"/>
        <v>#N/A</v>
      </c>
      <c r="KEZ43" s="380" t="e">
        <f t="shared" si="122"/>
        <v>#N/A</v>
      </c>
      <c r="KFA43" s="380" t="e">
        <f t="shared" si="122"/>
        <v>#N/A</v>
      </c>
      <c r="KFB43" s="380" t="e">
        <f t="shared" si="122"/>
        <v>#N/A</v>
      </c>
      <c r="KFC43" s="380" t="e">
        <f t="shared" si="122"/>
        <v>#N/A</v>
      </c>
      <c r="KFD43" s="380" t="e">
        <f t="shared" si="122"/>
        <v>#N/A</v>
      </c>
      <c r="KFE43" s="380" t="e">
        <f t="shared" si="122"/>
        <v>#N/A</v>
      </c>
      <c r="KFF43" s="380" t="e">
        <f t="shared" si="122"/>
        <v>#N/A</v>
      </c>
      <c r="KFG43" s="380" t="e">
        <f t="shared" si="122"/>
        <v>#N/A</v>
      </c>
      <c r="KFH43" s="380" t="e">
        <f t="shared" si="122"/>
        <v>#N/A</v>
      </c>
      <c r="KFI43" s="380" t="e">
        <f t="shared" si="122"/>
        <v>#N/A</v>
      </c>
      <c r="KFJ43" s="380" t="e">
        <f t="shared" si="122"/>
        <v>#N/A</v>
      </c>
      <c r="KFK43" s="380" t="e">
        <f t="shared" si="122"/>
        <v>#N/A</v>
      </c>
      <c r="KFL43" s="380" t="e">
        <f t="shared" si="122"/>
        <v>#N/A</v>
      </c>
      <c r="KFM43" s="380" t="e">
        <f t="shared" si="122"/>
        <v>#N/A</v>
      </c>
      <c r="KFN43" s="380" t="e">
        <f t="shared" si="122"/>
        <v>#N/A</v>
      </c>
      <c r="KFO43" s="380" t="e">
        <f t="shared" si="122"/>
        <v>#N/A</v>
      </c>
      <c r="KFP43" s="380" t="e">
        <f t="shared" si="122"/>
        <v>#N/A</v>
      </c>
      <c r="KFQ43" s="380" t="e">
        <f t="shared" si="122"/>
        <v>#N/A</v>
      </c>
      <c r="KFR43" s="380" t="e">
        <f t="shared" si="122"/>
        <v>#N/A</v>
      </c>
      <c r="KFS43" s="380" t="e">
        <f t="shared" si="122"/>
        <v>#N/A</v>
      </c>
      <c r="KFT43" s="380" t="e">
        <f t="shared" si="122"/>
        <v>#N/A</v>
      </c>
      <c r="KFU43" s="380" t="e">
        <f t="shared" si="122"/>
        <v>#N/A</v>
      </c>
      <c r="KFV43" s="380" t="e">
        <f t="shared" si="122"/>
        <v>#N/A</v>
      </c>
      <c r="KFW43" s="380" t="e">
        <f t="shared" si="122"/>
        <v>#N/A</v>
      </c>
      <c r="KFX43" s="380" t="e">
        <f t="shared" si="122"/>
        <v>#N/A</v>
      </c>
      <c r="KFY43" s="380" t="e">
        <f t="shared" si="122"/>
        <v>#N/A</v>
      </c>
      <c r="KFZ43" s="380" t="e">
        <f t="shared" si="122"/>
        <v>#N/A</v>
      </c>
      <c r="KGA43" s="380" t="e">
        <f t="shared" si="122"/>
        <v>#N/A</v>
      </c>
      <c r="KGB43" s="380" t="e">
        <f t="shared" si="122"/>
        <v>#N/A</v>
      </c>
      <c r="KGC43" s="380" t="e">
        <f t="shared" si="122"/>
        <v>#N/A</v>
      </c>
      <c r="KGD43" s="380" t="e">
        <f t="shared" si="122"/>
        <v>#N/A</v>
      </c>
      <c r="KGE43" s="380" t="e">
        <f t="shared" si="122"/>
        <v>#N/A</v>
      </c>
      <c r="KGF43" s="380" t="e">
        <f t="shared" ref="KGF43:KIQ43" si="123">INDEX(KGF7:KGF40,MATCH($E$43,$E$7:$E$40,0))</f>
        <v>#N/A</v>
      </c>
      <c r="KGG43" s="380" t="e">
        <f t="shared" si="123"/>
        <v>#N/A</v>
      </c>
      <c r="KGH43" s="380" t="e">
        <f t="shared" si="123"/>
        <v>#N/A</v>
      </c>
      <c r="KGI43" s="380" t="e">
        <f t="shared" si="123"/>
        <v>#N/A</v>
      </c>
      <c r="KGJ43" s="380" t="e">
        <f t="shared" si="123"/>
        <v>#N/A</v>
      </c>
      <c r="KGK43" s="380" t="e">
        <f t="shared" si="123"/>
        <v>#N/A</v>
      </c>
      <c r="KGL43" s="380" t="e">
        <f t="shared" si="123"/>
        <v>#N/A</v>
      </c>
      <c r="KGM43" s="380" t="e">
        <f t="shared" si="123"/>
        <v>#N/A</v>
      </c>
      <c r="KGN43" s="380" t="e">
        <f t="shared" si="123"/>
        <v>#N/A</v>
      </c>
      <c r="KGO43" s="380" t="e">
        <f t="shared" si="123"/>
        <v>#N/A</v>
      </c>
      <c r="KGP43" s="380" t="e">
        <f t="shared" si="123"/>
        <v>#N/A</v>
      </c>
      <c r="KGQ43" s="380" t="e">
        <f t="shared" si="123"/>
        <v>#N/A</v>
      </c>
      <c r="KGR43" s="380" t="e">
        <f t="shared" si="123"/>
        <v>#N/A</v>
      </c>
      <c r="KGS43" s="380" t="e">
        <f t="shared" si="123"/>
        <v>#N/A</v>
      </c>
      <c r="KGT43" s="380" t="e">
        <f t="shared" si="123"/>
        <v>#N/A</v>
      </c>
      <c r="KGU43" s="380" t="e">
        <f t="shared" si="123"/>
        <v>#N/A</v>
      </c>
      <c r="KGV43" s="380" t="e">
        <f t="shared" si="123"/>
        <v>#N/A</v>
      </c>
      <c r="KGW43" s="380" t="e">
        <f t="shared" si="123"/>
        <v>#N/A</v>
      </c>
      <c r="KGX43" s="380" t="e">
        <f t="shared" si="123"/>
        <v>#N/A</v>
      </c>
      <c r="KGY43" s="380" t="e">
        <f t="shared" si="123"/>
        <v>#N/A</v>
      </c>
      <c r="KGZ43" s="380" t="e">
        <f t="shared" si="123"/>
        <v>#N/A</v>
      </c>
      <c r="KHA43" s="380" t="e">
        <f t="shared" si="123"/>
        <v>#N/A</v>
      </c>
      <c r="KHB43" s="380" t="e">
        <f t="shared" si="123"/>
        <v>#N/A</v>
      </c>
      <c r="KHC43" s="380" t="e">
        <f t="shared" si="123"/>
        <v>#N/A</v>
      </c>
      <c r="KHD43" s="380" t="e">
        <f t="shared" si="123"/>
        <v>#N/A</v>
      </c>
      <c r="KHE43" s="380" t="e">
        <f t="shared" si="123"/>
        <v>#N/A</v>
      </c>
      <c r="KHF43" s="380" t="e">
        <f t="shared" si="123"/>
        <v>#N/A</v>
      </c>
      <c r="KHG43" s="380" t="e">
        <f t="shared" si="123"/>
        <v>#N/A</v>
      </c>
      <c r="KHH43" s="380" t="e">
        <f t="shared" si="123"/>
        <v>#N/A</v>
      </c>
      <c r="KHI43" s="380" t="e">
        <f t="shared" si="123"/>
        <v>#N/A</v>
      </c>
      <c r="KHJ43" s="380" t="e">
        <f t="shared" si="123"/>
        <v>#N/A</v>
      </c>
      <c r="KHK43" s="380" t="e">
        <f t="shared" si="123"/>
        <v>#N/A</v>
      </c>
      <c r="KHL43" s="380" t="e">
        <f t="shared" si="123"/>
        <v>#N/A</v>
      </c>
      <c r="KHM43" s="380" t="e">
        <f t="shared" si="123"/>
        <v>#N/A</v>
      </c>
      <c r="KHN43" s="380" t="e">
        <f t="shared" si="123"/>
        <v>#N/A</v>
      </c>
      <c r="KHO43" s="380" t="e">
        <f t="shared" si="123"/>
        <v>#N/A</v>
      </c>
      <c r="KHP43" s="380" t="e">
        <f t="shared" si="123"/>
        <v>#N/A</v>
      </c>
      <c r="KHQ43" s="380" t="e">
        <f t="shared" si="123"/>
        <v>#N/A</v>
      </c>
      <c r="KHR43" s="380" t="e">
        <f t="shared" si="123"/>
        <v>#N/A</v>
      </c>
      <c r="KHS43" s="380" t="e">
        <f t="shared" si="123"/>
        <v>#N/A</v>
      </c>
      <c r="KHT43" s="380" t="e">
        <f t="shared" si="123"/>
        <v>#N/A</v>
      </c>
      <c r="KHU43" s="380" t="e">
        <f t="shared" si="123"/>
        <v>#N/A</v>
      </c>
      <c r="KHV43" s="380" t="e">
        <f t="shared" si="123"/>
        <v>#N/A</v>
      </c>
      <c r="KHW43" s="380" t="e">
        <f t="shared" si="123"/>
        <v>#N/A</v>
      </c>
      <c r="KHX43" s="380" t="e">
        <f t="shared" si="123"/>
        <v>#N/A</v>
      </c>
      <c r="KHY43" s="380" t="e">
        <f t="shared" si="123"/>
        <v>#N/A</v>
      </c>
      <c r="KHZ43" s="380" t="e">
        <f t="shared" si="123"/>
        <v>#N/A</v>
      </c>
      <c r="KIA43" s="380" t="e">
        <f t="shared" si="123"/>
        <v>#N/A</v>
      </c>
      <c r="KIB43" s="380" t="e">
        <f t="shared" si="123"/>
        <v>#N/A</v>
      </c>
      <c r="KIC43" s="380" t="e">
        <f t="shared" si="123"/>
        <v>#N/A</v>
      </c>
      <c r="KID43" s="380" t="e">
        <f t="shared" si="123"/>
        <v>#N/A</v>
      </c>
      <c r="KIE43" s="380" t="e">
        <f t="shared" si="123"/>
        <v>#N/A</v>
      </c>
      <c r="KIF43" s="380" t="e">
        <f t="shared" si="123"/>
        <v>#N/A</v>
      </c>
      <c r="KIG43" s="380" t="e">
        <f t="shared" si="123"/>
        <v>#N/A</v>
      </c>
      <c r="KIH43" s="380" t="e">
        <f t="shared" si="123"/>
        <v>#N/A</v>
      </c>
      <c r="KII43" s="380" t="e">
        <f t="shared" si="123"/>
        <v>#N/A</v>
      </c>
      <c r="KIJ43" s="380" t="e">
        <f t="shared" si="123"/>
        <v>#N/A</v>
      </c>
      <c r="KIK43" s="380" t="e">
        <f t="shared" si="123"/>
        <v>#N/A</v>
      </c>
      <c r="KIL43" s="380" t="e">
        <f t="shared" si="123"/>
        <v>#N/A</v>
      </c>
      <c r="KIM43" s="380" t="e">
        <f t="shared" si="123"/>
        <v>#N/A</v>
      </c>
      <c r="KIN43" s="380" t="e">
        <f t="shared" si="123"/>
        <v>#N/A</v>
      </c>
      <c r="KIO43" s="380" t="e">
        <f t="shared" si="123"/>
        <v>#N/A</v>
      </c>
      <c r="KIP43" s="380" t="e">
        <f t="shared" si="123"/>
        <v>#N/A</v>
      </c>
      <c r="KIQ43" s="380" t="e">
        <f t="shared" si="123"/>
        <v>#N/A</v>
      </c>
      <c r="KIR43" s="380" t="e">
        <f t="shared" ref="KIR43:KLC43" si="124">INDEX(KIR7:KIR40,MATCH($E$43,$E$7:$E$40,0))</f>
        <v>#N/A</v>
      </c>
      <c r="KIS43" s="380" t="e">
        <f t="shared" si="124"/>
        <v>#N/A</v>
      </c>
      <c r="KIT43" s="380" t="e">
        <f t="shared" si="124"/>
        <v>#N/A</v>
      </c>
      <c r="KIU43" s="380" t="e">
        <f t="shared" si="124"/>
        <v>#N/A</v>
      </c>
      <c r="KIV43" s="380" t="e">
        <f t="shared" si="124"/>
        <v>#N/A</v>
      </c>
      <c r="KIW43" s="380" t="e">
        <f t="shared" si="124"/>
        <v>#N/A</v>
      </c>
      <c r="KIX43" s="380" t="e">
        <f t="shared" si="124"/>
        <v>#N/A</v>
      </c>
      <c r="KIY43" s="380" t="e">
        <f t="shared" si="124"/>
        <v>#N/A</v>
      </c>
      <c r="KIZ43" s="380" t="e">
        <f t="shared" si="124"/>
        <v>#N/A</v>
      </c>
      <c r="KJA43" s="380" t="e">
        <f t="shared" si="124"/>
        <v>#N/A</v>
      </c>
      <c r="KJB43" s="380" t="e">
        <f t="shared" si="124"/>
        <v>#N/A</v>
      </c>
      <c r="KJC43" s="380" t="e">
        <f t="shared" si="124"/>
        <v>#N/A</v>
      </c>
      <c r="KJD43" s="380" t="e">
        <f t="shared" si="124"/>
        <v>#N/A</v>
      </c>
      <c r="KJE43" s="380" t="e">
        <f t="shared" si="124"/>
        <v>#N/A</v>
      </c>
      <c r="KJF43" s="380" t="e">
        <f t="shared" si="124"/>
        <v>#N/A</v>
      </c>
      <c r="KJG43" s="380" t="e">
        <f t="shared" si="124"/>
        <v>#N/A</v>
      </c>
      <c r="KJH43" s="380" t="e">
        <f t="shared" si="124"/>
        <v>#N/A</v>
      </c>
      <c r="KJI43" s="380" t="e">
        <f t="shared" si="124"/>
        <v>#N/A</v>
      </c>
      <c r="KJJ43" s="380" t="e">
        <f t="shared" si="124"/>
        <v>#N/A</v>
      </c>
      <c r="KJK43" s="380" t="e">
        <f t="shared" si="124"/>
        <v>#N/A</v>
      </c>
      <c r="KJL43" s="380" t="e">
        <f t="shared" si="124"/>
        <v>#N/A</v>
      </c>
      <c r="KJM43" s="380" t="e">
        <f t="shared" si="124"/>
        <v>#N/A</v>
      </c>
      <c r="KJN43" s="380" t="e">
        <f t="shared" si="124"/>
        <v>#N/A</v>
      </c>
      <c r="KJO43" s="380" t="e">
        <f t="shared" si="124"/>
        <v>#N/A</v>
      </c>
      <c r="KJP43" s="380" t="e">
        <f t="shared" si="124"/>
        <v>#N/A</v>
      </c>
      <c r="KJQ43" s="380" t="e">
        <f t="shared" si="124"/>
        <v>#N/A</v>
      </c>
      <c r="KJR43" s="380" t="e">
        <f t="shared" si="124"/>
        <v>#N/A</v>
      </c>
      <c r="KJS43" s="380" t="e">
        <f t="shared" si="124"/>
        <v>#N/A</v>
      </c>
      <c r="KJT43" s="380" t="e">
        <f t="shared" si="124"/>
        <v>#N/A</v>
      </c>
      <c r="KJU43" s="380" t="e">
        <f t="shared" si="124"/>
        <v>#N/A</v>
      </c>
      <c r="KJV43" s="380" t="e">
        <f t="shared" si="124"/>
        <v>#N/A</v>
      </c>
      <c r="KJW43" s="380" t="e">
        <f t="shared" si="124"/>
        <v>#N/A</v>
      </c>
      <c r="KJX43" s="380" t="e">
        <f t="shared" si="124"/>
        <v>#N/A</v>
      </c>
      <c r="KJY43" s="380" t="e">
        <f t="shared" si="124"/>
        <v>#N/A</v>
      </c>
      <c r="KJZ43" s="380" t="e">
        <f t="shared" si="124"/>
        <v>#N/A</v>
      </c>
      <c r="KKA43" s="380" t="e">
        <f t="shared" si="124"/>
        <v>#N/A</v>
      </c>
      <c r="KKB43" s="380" t="e">
        <f t="shared" si="124"/>
        <v>#N/A</v>
      </c>
      <c r="KKC43" s="380" t="e">
        <f t="shared" si="124"/>
        <v>#N/A</v>
      </c>
      <c r="KKD43" s="380" t="e">
        <f t="shared" si="124"/>
        <v>#N/A</v>
      </c>
      <c r="KKE43" s="380" t="e">
        <f t="shared" si="124"/>
        <v>#N/A</v>
      </c>
      <c r="KKF43" s="380" t="e">
        <f t="shared" si="124"/>
        <v>#N/A</v>
      </c>
      <c r="KKG43" s="380" t="e">
        <f t="shared" si="124"/>
        <v>#N/A</v>
      </c>
      <c r="KKH43" s="380" t="e">
        <f t="shared" si="124"/>
        <v>#N/A</v>
      </c>
      <c r="KKI43" s="380" t="e">
        <f t="shared" si="124"/>
        <v>#N/A</v>
      </c>
      <c r="KKJ43" s="380" t="e">
        <f t="shared" si="124"/>
        <v>#N/A</v>
      </c>
      <c r="KKK43" s="380" t="e">
        <f t="shared" si="124"/>
        <v>#N/A</v>
      </c>
      <c r="KKL43" s="380" t="e">
        <f t="shared" si="124"/>
        <v>#N/A</v>
      </c>
      <c r="KKM43" s="380" t="e">
        <f t="shared" si="124"/>
        <v>#N/A</v>
      </c>
      <c r="KKN43" s="380" t="e">
        <f t="shared" si="124"/>
        <v>#N/A</v>
      </c>
      <c r="KKO43" s="380" t="e">
        <f t="shared" si="124"/>
        <v>#N/A</v>
      </c>
      <c r="KKP43" s="380" t="e">
        <f t="shared" si="124"/>
        <v>#N/A</v>
      </c>
      <c r="KKQ43" s="380" t="e">
        <f t="shared" si="124"/>
        <v>#N/A</v>
      </c>
      <c r="KKR43" s="380" t="e">
        <f t="shared" si="124"/>
        <v>#N/A</v>
      </c>
      <c r="KKS43" s="380" t="e">
        <f t="shared" si="124"/>
        <v>#N/A</v>
      </c>
      <c r="KKT43" s="380" t="e">
        <f t="shared" si="124"/>
        <v>#N/A</v>
      </c>
      <c r="KKU43" s="380" t="e">
        <f t="shared" si="124"/>
        <v>#N/A</v>
      </c>
      <c r="KKV43" s="380" t="e">
        <f t="shared" si="124"/>
        <v>#N/A</v>
      </c>
      <c r="KKW43" s="380" t="e">
        <f t="shared" si="124"/>
        <v>#N/A</v>
      </c>
      <c r="KKX43" s="380" t="e">
        <f t="shared" si="124"/>
        <v>#N/A</v>
      </c>
      <c r="KKY43" s="380" t="e">
        <f t="shared" si="124"/>
        <v>#N/A</v>
      </c>
      <c r="KKZ43" s="380" t="e">
        <f t="shared" si="124"/>
        <v>#N/A</v>
      </c>
      <c r="KLA43" s="380" t="e">
        <f t="shared" si="124"/>
        <v>#N/A</v>
      </c>
      <c r="KLB43" s="380" t="e">
        <f t="shared" si="124"/>
        <v>#N/A</v>
      </c>
      <c r="KLC43" s="380" t="e">
        <f t="shared" si="124"/>
        <v>#N/A</v>
      </c>
      <c r="KLD43" s="380" t="e">
        <f t="shared" ref="KLD43:KNO43" si="125">INDEX(KLD7:KLD40,MATCH($E$43,$E$7:$E$40,0))</f>
        <v>#N/A</v>
      </c>
      <c r="KLE43" s="380" t="e">
        <f t="shared" si="125"/>
        <v>#N/A</v>
      </c>
      <c r="KLF43" s="380" t="e">
        <f t="shared" si="125"/>
        <v>#N/A</v>
      </c>
      <c r="KLG43" s="380" t="e">
        <f t="shared" si="125"/>
        <v>#N/A</v>
      </c>
      <c r="KLH43" s="380" t="e">
        <f t="shared" si="125"/>
        <v>#N/A</v>
      </c>
      <c r="KLI43" s="380" t="e">
        <f t="shared" si="125"/>
        <v>#N/A</v>
      </c>
      <c r="KLJ43" s="380" t="e">
        <f t="shared" si="125"/>
        <v>#N/A</v>
      </c>
      <c r="KLK43" s="380" t="e">
        <f t="shared" si="125"/>
        <v>#N/A</v>
      </c>
      <c r="KLL43" s="380" t="e">
        <f t="shared" si="125"/>
        <v>#N/A</v>
      </c>
      <c r="KLM43" s="380" t="e">
        <f t="shared" si="125"/>
        <v>#N/A</v>
      </c>
      <c r="KLN43" s="380" t="e">
        <f t="shared" si="125"/>
        <v>#N/A</v>
      </c>
      <c r="KLO43" s="380" t="e">
        <f t="shared" si="125"/>
        <v>#N/A</v>
      </c>
      <c r="KLP43" s="380" t="e">
        <f t="shared" si="125"/>
        <v>#N/A</v>
      </c>
      <c r="KLQ43" s="380" t="e">
        <f t="shared" si="125"/>
        <v>#N/A</v>
      </c>
      <c r="KLR43" s="380" t="e">
        <f t="shared" si="125"/>
        <v>#N/A</v>
      </c>
      <c r="KLS43" s="380" t="e">
        <f t="shared" si="125"/>
        <v>#N/A</v>
      </c>
      <c r="KLT43" s="380" t="e">
        <f t="shared" si="125"/>
        <v>#N/A</v>
      </c>
      <c r="KLU43" s="380" t="e">
        <f t="shared" si="125"/>
        <v>#N/A</v>
      </c>
      <c r="KLV43" s="380" t="e">
        <f t="shared" si="125"/>
        <v>#N/A</v>
      </c>
      <c r="KLW43" s="380" t="e">
        <f t="shared" si="125"/>
        <v>#N/A</v>
      </c>
      <c r="KLX43" s="380" t="e">
        <f t="shared" si="125"/>
        <v>#N/A</v>
      </c>
      <c r="KLY43" s="380" t="e">
        <f t="shared" si="125"/>
        <v>#N/A</v>
      </c>
      <c r="KLZ43" s="380" t="e">
        <f t="shared" si="125"/>
        <v>#N/A</v>
      </c>
      <c r="KMA43" s="380" t="e">
        <f t="shared" si="125"/>
        <v>#N/A</v>
      </c>
      <c r="KMB43" s="380" t="e">
        <f t="shared" si="125"/>
        <v>#N/A</v>
      </c>
      <c r="KMC43" s="380" t="e">
        <f t="shared" si="125"/>
        <v>#N/A</v>
      </c>
      <c r="KMD43" s="380" t="e">
        <f t="shared" si="125"/>
        <v>#N/A</v>
      </c>
      <c r="KME43" s="380" t="e">
        <f t="shared" si="125"/>
        <v>#N/A</v>
      </c>
      <c r="KMF43" s="380" t="e">
        <f t="shared" si="125"/>
        <v>#N/A</v>
      </c>
      <c r="KMG43" s="380" t="e">
        <f t="shared" si="125"/>
        <v>#N/A</v>
      </c>
      <c r="KMH43" s="380" t="e">
        <f t="shared" si="125"/>
        <v>#N/A</v>
      </c>
      <c r="KMI43" s="380" t="e">
        <f t="shared" si="125"/>
        <v>#N/A</v>
      </c>
      <c r="KMJ43" s="380" t="e">
        <f t="shared" si="125"/>
        <v>#N/A</v>
      </c>
      <c r="KMK43" s="380" t="e">
        <f t="shared" si="125"/>
        <v>#N/A</v>
      </c>
      <c r="KML43" s="380" t="e">
        <f t="shared" si="125"/>
        <v>#N/A</v>
      </c>
      <c r="KMM43" s="380" t="e">
        <f t="shared" si="125"/>
        <v>#N/A</v>
      </c>
      <c r="KMN43" s="380" t="e">
        <f t="shared" si="125"/>
        <v>#N/A</v>
      </c>
      <c r="KMO43" s="380" t="e">
        <f t="shared" si="125"/>
        <v>#N/A</v>
      </c>
      <c r="KMP43" s="380" t="e">
        <f t="shared" si="125"/>
        <v>#N/A</v>
      </c>
      <c r="KMQ43" s="380" t="e">
        <f t="shared" si="125"/>
        <v>#N/A</v>
      </c>
      <c r="KMR43" s="380" t="e">
        <f t="shared" si="125"/>
        <v>#N/A</v>
      </c>
      <c r="KMS43" s="380" t="e">
        <f t="shared" si="125"/>
        <v>#N/A</v>
      </c>
      <c r="KMT43" s="380" t="e">
        <f t="shared" si="125"/>
        <v>#N/A</v>
      </c>
      <c r="KMU43" s="380" t="e">
        <f t="shared" si="125"/>
        <v>#N/A</v>
      </c>
      <c r="KMV43" s="380" t="e">
        <f t="shared" si="125"/>
        <v>#N/A</v>
      </c>
      <c r="KMW43" s="380" t="e">
        <f t="shared" si="125"/>
        <v>#N/A</v>
      </c>
      <c r="KMX43" s="380" t="e">
        <f t="shared" si="125"/>
        <v>#N/A</v>
      </c>
      <c r="KMY43" s="380" t="e">
        <f t="shared" si="125"/>
        <v>#N/A</v>
      </c>
      <c r="KMZ43" s="380" t="e">
        <f t="shared" si="125"/>
        <v>#N/A</v>
      </c>
      <c r="KNA43" s="380" t="e">
        <f t="shared" si="125"/>
        <v>#N/A</v>
      </c>
      <c r="KNB43" s="380" t="e">
        <f t="shared" si="125"/>
        <v>#N/A</v>
      </c>
      <c r="KNC43" s="380" t="e">
        <f t="shared" si="125"/>
        <v>#N/A</v>
      </c>
      <c r="KND43" s="380" t="e">
        <f t="shared" si="125"/>
        <v>#N/A</v>
      </c>
      <c r="KNE43" s="380" t="e">
        <f t="shared" si="125"/>
        <v>#N/A</v>
      </c>
      <c r="KNF43" s="380" t="e">
        <f t="shared" si="125"/>
        <v>#N/A</v>
      </c>
      <c r="KNG43" s="380" t="e">
        <f t="shared" si="125"/>
        <v>#N/A</v>
      </c>
      <c r="KNH43" s="380" t="e">
        <f t="shared" si="125"/>
        <v>#N/A</v>
      </c>
      <c r="KNI43" s="380" t="e">
        <f t="shared" si="125"/>
        <v>#N/A</v>
      </c>
      <c r="KNJ43" s="380" t="e">
        <f t="shared" si="125"/>
        <v>#N/A</v>
      </c>
      <c r="KNK43" s="380" t="e">
        <f t="shared" si="125"/>
        <v>#N/A</v>
      </c>
      <c r="KNL43" s="380" t="e">
        <f t="shared" si="125"/>
        <v>#N/A</v>
      </c>
      <c r="KNM43" s="380" t="e">
        <f t="shared" si="125"/>
        <v>#N/A</v>
      </c>
      <c r="KNN43" s="380" t="e">
        <f t="shared" si="125"/>
        <v>#N/A</v>
      </c>
      <c r="KNO43" s="380" t="e">
        <f t="shared" si="125"/>
        <v>#N/A</v>
      </c>
      <c r="KNP43" s="380" t="e">
        <f t="shared" ref="KNP43:KQA43" si="126">INDEX(KNP7:KNP40,MATCH($E$43,$E$7:$E$40,0))</f>
        <v>#N/A</v>
      </c>
      <c r="KNQ43" s="380" t="e">
        <f t="shared" si="126"/>
        <v>#N/A</v>
      </c>
      <c r="KNR43" s="380" t="e">
        <f t="shared" si="126"/>
        <v>#N/A</v>
      </c>
      <c r="KNS43" s="380" t="e">
        <f t="shared" si="126"/>
        <v>#N/A</v>
      </c>
      <c r="KNT43" s="380" t="e">
        <f t="shared" si="126"/>
        <v>#N/A</v>
      </c>
      <c r="KNU43" s="380" t="e">
        <f t="shared" si="126"/>
        <v>#N/A</v>
      </c>
      <c r="KNV43" s="380" t="e">
        <f t="shared" si="126"/>
        <v>#N/A</v>
      </c>
      <c r="KNW43" s="380" t="e">
        <f t="shared" si="126"/>
        <v>#N/A</v>
      </c>
      <c r="KNX43" s="380" t="e">
        <f t="shared" si="126"/>
        <v>#N/A</v>
      </c>
      <c r="KNY43" s="380" t="e">
        <f t="shared" si="126"/>
        <v>#N/A</v>
      </c>
      <c r="KNZ43" s="380" t="e">
        <f t="shared" si="126"/>
        <v>#N/A</v>
      </c>
      <c r="KOA43" s="380" t="e">
        <f t="shared" si="126"/>
        <v>#N/A</v>
      </c>
      <c r="KOB43" s="380" t="e">
        <f t="shared" si="126"/>
        <v>#N/A</v>
      </c>
      <c r="KOC43" s="380" t="e">
        <f t="shared" si="126"/>
        <v>#N/A</v>
      </c>
      <c r="KOD43" s="380" t="e">
        <f t="shared" si="126"/>
        <v>#N/A</v>
      </c>
      <c r="KOE43" s="380" t="e">
        <f t="shared" si="126"/>
        <v>#N/A</v>
      </c>
      <c r="KOF43" s="380" t="e">
        <f t="shared" si="126"/>
        <v>#N/A</v>
      </c>
      <c r="KOG43" s="380" t="e">
        <f t="shared" si="126"/>
        <v>#N/A</v>
      </c>
      <c r="KOH43" s="380" t="e">
        <f t="shared" si="126"/>
        <v>#N/A</v>
      </c>
      <c r="KOI43" s="380" t="e">
        <f t="shared" si="126"/>
        <v>#N/A</v>
      </c>
      <c r="KOJ43" s="380" t="e">
        <f t="shared" si="126"/>
        <v>#N/A</v>
      </c>
      <c r="KOK43" s="380" t="e">
        <f t="shared" si="126"/>
        <v>#N/A</v>
      </c>
      <c r="KOL43" s="380" t="e">
        <f t="shared" si="126"/>
        <v>#N/A</v>
      </c>
      <c r="KOM43" s="380" t="e">
        <f t="shared" si="126"/>
        <v>#N/A</v>
      </c>
      <c r="KON43" s="380" t="e">
        <f t="shared" si="126"/>
        <v>#N/A</v>
      </c>
      <c r="KOO43" s="380" t="e">
        <f t="shared" si="126"/>
        <v>#N/A</v>
      </c>
      <c r="KOP43" s="380" t="e">
        <f t="shared" si="126"/>
        <v>#N/A</v>
      </c>
      <c r="KOQ43" s="380" t="e">
        <f t="shared" si="126"/>
        <v>#N/A</v>
      </c>
      <c r="KOR43" s="380" t="e">
        <f t="shared" si="126"/>
        <v>#N/A</v>
      </c>
      <c r="KOS43" s="380" t="e">
        <f t="shared" si="126"/>
        <v>#N/A</v>
      </c>
      <c r="KOT43" s="380" t="e">
        <f t="shared" si="126"/>
        <v>#N/A</v>
      </c>
      <c r="KOU43" s="380" t="e">
        <f t="shared" si="126"/>
        <v>#N/A</v>
      </c>
      <c r="KOV43" s="380" t="e">
        <f t="shared" si="126"/>
        <v>#N/A</v>
      </c>
      <c r="KOW43" s="380" t="e">
        <f t="shared" si="126"/>
        <v>#N/A</v>
      </c>
      <c r="KOX43" s="380" t="e">
        <f t="shared" si="126"/>
        <v>#N/A</v>
      </c>
      <c r="KOY43" s="380" t="e">
        <f t="shared" si="126"/>
        <v>#N/A</v>
      </c>
      <c r="KOZ43" s="380" t="e">
        <f t="shared" si="126"/>
        <v>#N/A</v>
      </c>
      <c r="KPA43" s="380" t="e">
        <f t="shared" si="126"/>
        <v>#N/A</v>
      </c>
      <c r="KPB43" s="380" t="e">
        <f t="shared" si="126"/>
        <v>#N/A</v>
      </c>
      <c r="KPC43" s="380" t="e">
        <f t="shared" si="126"/>
        <v>#N/A</v>
      </c>
      <c r="KPD43" s="380" t="e">
        <f t="shared" si="126"/>
        <v>#N/A</v>
      </c>
      <c r="KPE43" s="380" t="e">
        <f t="shared" si="126"/>
        <v>#N/A</v>
      </c>
      <c r="KPF43" s="380" t="e">
        <f t="shared" si="126"/>
        <v>#N/A</v>
      </c>
      <c r="KPG43" s="380" t="e">
        <f t="shared" si="126"/>
        <v>#N/A</v>
      </c>
      <c r="KPH43" s="380" t="e">
        <f t="shared" si="126"/>
        <v>#N/A</v>
      </c>
      <c r="KPI43" s="380" t="e">
        <f t="shared" si="126"/>
        <v>#N/A</v>
      </c>
      <c r="KPJ43" s="380" t="e">
        <f t="shared" si="126"/>
        <v>#N/A</v>
      </c>
      <c r="KPK43" s="380" t="e">
        <f t="shared" si="126"/>
        <v>#N/A</v>
      </c>
      <c r="KPL43" s="380" t="e">
        <f t="shared" si="126"/>
        <v>#N/A</v>
      </c>
      <c r="KPM43" s="380" t="e">
        <f t="shared" si="126"/>
        <v>#N/A</v>
      </c>
      <c r="KPN43" s="380" t="e">
        <f t="shared" si="126"/>
        <v>#N/A</v>
      </c>
      <c r="KPO43" s="380" t="e">
        <f t="shared" si="126"/>
        <v>#N/A</v>
      </c>
      <c r="KPP43" s="380" t="e">
        <f t="shared" si="126"/>
        <v>#N/A</v>
      </c>
      <c r="KPQ43" s="380" t="e">
        <f t="shared" si="126"/>
        <v>#N/A</v>
      </c>
      <c r="KPR43" s="380" t="e">
        <f t="shared" si="126"/>
        <v>#N/A</v>
      </c>
      <c r="KPS43" s="380" t="e">
        <f t="shared" si="126"/>
        <v>#N/A</v>
      </c>
      <c r="KPT43" s="380" t="e">
        <f t="shared" si="126"/>
        <v>#N/A</v>
      </c>
      <c r="KPU43" s="380" t="e">
        <f t="shared" si="126"/>
        <v>#N/A</v>
      </c>
      <c r="KPV43" s="380" t="e">
        <f t="shared" si="126"/>
        <v>#N/A</v>
      </c>
      <c r="KPW43" s="380" t="e">
        <f t="shared" si="126"/>
        <v>#N/A</v>
      </c>
      <c r="KPX43" s="380" t="e">
        <f t="shared" si="126"/>
        <v>#N/A</v>
      </c>
      <c r="KPY43" s="380" t="e">
        <f t="shared" si="126"/>
        <v>#N/A</v>
      </c>
      <c r="KPZ43" s="380" t="e">
        <f t="shared" si="126"/>
        <v>#N/A</v>
      </c>
      <c r="KQA43" s="380" t="e">
        <f t="shared" si="126"/>
        <v>#N/A</v>
      </c>
      <c r="KQB43" s="380" t="e">
        <f t="shared" ref="KQB43:KSM43" si="127">INDEX(KQB7:KQB40,MATCH($E$43,$E$7:$E$40,0))</f>
        <v>#N/A</v>
      </c>
      <c r="KQC43" s="380" t="e">
        <f t="shared" si="127"/>
        <v>#N/A</v>
      </c>
      <c r="KQD43" s="380" t="e">
        <f t="shared" si="127"/>
        <v>#N/A</v>
      </c>
      <c r="KQE43" s="380" t="e">
        <f t="shared" si="127"/>
        <v>#N/A</v>
      </c>
      <c r="KQF43" s="380" t="e">
        <f t="shared" si="127"/>
        <v>#N/A</v>
      </c>
      <c r="KQG43" s="380" t="e">
        <f t="shared" si="127"/>
        <v>#N/A</v>
      </c>
      <c r="KQH43" s="380" t="e">
        <f t="shared" si="127"/>
        <v>#N/A</v>
      </c>
      <c r="KQI43" s="380" t="e">
        <f t="shared" si="127"/>
        <v>#N/A</v>
      </c>
      <c r="KQJ43" s="380" t="e">
        <f t="shared" si="127"/>
        <v>#N/A</v>
      </c>
      <c r="KQK43" s="380" t="e">
        <f t="shared" si="127"/>
        <v>#N/A</v>
      </c>
      <c r="KQL43" s="380" t="e">
        <f t="shared" si="127"/>
        <v>#N/A</v>
      </c>
      <c r="KQM43" s="380" t="e">
        <f t="shared" si="127"/>
        <v>#N/A</v>
      </c>
      <c r="KQN43" s="380" t="e">
        <f t="shared" si="127"/>
        <v>#N/A</v>
      </c>
      <c r="KQO43" s="380" t="e">
        <f t="shared" si="127"/>
        <v>#N/A</v>
      </c>
      <c r="KQP43" s="380" t="e">
        <f t="shared" si="127"/>
        <v>#N/A</v>
      </c>
      <c r="KQQ43" s="380" t="e">
        <f t="shared" si="127"/>
        <v>#N/A</v>
      </c>
      <c r="KQR43" s="380" t="e">
        <f t="shared" si="127"/>
        <v>#N/A</v>
      </c>
      <c r="KQS43" s="380" t="e">
        <f t="shared" si="127"/>
        <v>#N/A</v>
      </c>
      <c r="KQT43" s="380" t="e">
        <f t="shared" si="127"/>
        <v>#N/A</v>
      </c>
      <c r="KQU43" s="380" t="e">
        <f t="shared" si="127"/>
        <v>#N/A</v>
      </c>
      <c r="KQV43" s="380" t="e">
        <f t="shared" si="127"/>
        <v>#N/A</v>
      </c>
      <c r="KQW43" s="380" t="e">
        <f t="shared" si="127"/>
        <v>#N/A</v>
      </c>
      <c r="KQX43" s="380" t="e">
        <f t="shared" si="127"/>
        <v>#N/A</v>
      </c>
      <c r="KQY43" s="380" t="e">
        <f t="shared" si="127"/>
        <v>#N/A</v>
      </c>
      <c r="KQZ43" s="380" t="e">
        <f t="shared" si="127"/>
        <v>#N/A</v>
      </c>
      <c r="KRA43" s="380" t="e">
        <f t="shared" si="127"/>
        <v>#N/A</v>
      </c>
      <c r="KRB43" s="380" t="e">
        <f t="shared" si="127"/>
        <v>#N/A</v>
      </c>
      <c r="KRC43" s="380" t="e">
        <f t="shared" si="127"/>
        <v>#N/A</v>
      </c>
      <c r="KRD43" s="380" t="e">
        <f t="shared" si="127"/>
        <v>#N/A</v>
      </c>
      <c r="KRE43" s="380" t="e">
        <f t="shared" si="127"/>
        <v>#N/A</v>
      </c>
      <c r="KRF43" s="380" t="e">
        <f t="shared" si="127"/>
        <v>#N/A</v>
      </c>
      <c r="KRG43" s="380" t="e">
        <f t="shared" si="127"/>
        <v>#N/A</v>
      </c>
      <c r="KRH43" s="380" t="e">
        <f t="shared" si="127"/>
        <v>#N/A</v>
      </c>
      <c r="KRI43" s="380" t="e">
        <f t="shared" si="127"/>
        <v>#N/A</v>
      </c>
      <c r="KRJ43" s="380" t="e">
        <f t="shared" si="127"/>
        <v>#N/A</v>
      </c>
      <c r="KRK43" s="380" t="e">
        <f t="shared" si="127"/>
        <v>#N/A</v>
      </c>
      <c r="KRL43" s="380" t="e">
        <f t="shared" si="127"/>
        <v>#N/A</v>
      </c>
      <c r="KRM43" s="380" t="e">
        <f t="shared" si="127"/>
        <v>#N/A</v>
      </c>
      <c r="KRN43" s="380" t="e">
        <f t="shared" si="127"/>
        <v>#N/A</v>
      </c>
      <c r="KRO43" s="380" t="e">
        <f t="shared" si="127"/>
        <v>#N/A</v>
      </c>
      <c r="KRP43" s="380" t="e">
        <f t="shared" si="127"/>
        <v>#N/A</v>
      </c>
      <c r="KRQ43" s="380" t="e">
        <f t="shared" si="127"/>
        <v>#N/A</v>
      </c>
      <c r="KRR43" s="380" t="e">
        <f t="shared" si="127"/>
        <v>#N/A</v>
      </c>
      <c r="KRS43" s="380" t="e">
        <f t="shared" si="127"/>
        <v>#N/A</v>
      </c>
      <c r="KRT43" s="380" t="e">
        <f t="shared" si="127"/>
        <v>#N/A</v>
      </c>
      <c r="KRU43" s="380" t="e">
        <f t="shared" si="127"/>
        <v>#N/A</v>
      </c>
      <c r="KRV43" s="380" t="e">
        <f t="shared" si="127"/>
        <v>#N/A</v>
      </c>
      <c r="KRW43" s="380" t="e">
        <f t="shared" si="127"/>
        <v>#N/A</v>
      </c>
      <c r="KRX43" s="380" t="e">
        <f t="shared" si="127"/>
        <v>#N/A</v>
      </c>
      <c r="KRY43" s="380" t="e">
        <f t="shared" si="127"/>
        <v>#N/A</v>
      </c>
      <c r="KRZ43" s="380" t="e">
        <f t="shared" si="127"/>
        <v>#N/A</v>
      </c>
      <c r="KSA43" s="380" t="e">
        <f t="shared" si="127"/>
        <v>#N/A</v>
      </c>
      <c r="KSB43" s="380" t="e">
        <f t="shared" si="127"/>
        <v>#N/A</v>
      </c>
      <c r="KSC43" s="380" t="e">
        <f t="shared" si="127"/>
        <v>#N/A</v>
      </c>
      <c r="KSD43" s="380" t="e">
        <f t="shared" si="127"/>
        <v>#N/A</v>
      </c>
      <c r="KSE43" s="380" t="e">
        <f t="shared" si="127"/>
        <v>#N/A</v>
      </c>
      <c r="KSF43" s="380" t="e">
        <f t="shared" si="127"/>
        <v>#N/A</v>
      </c>
      <c r="KSG43" s="380" t="e">
        <f t="shared" si="127"/>
        <v>#N/A</v>
      </c>
      <c r="KSH43" s="380" t="e">
        <f t="shared" si="127"/>
        <v>#N/A</v>
      </c>
      <c r="KSI43" s="380" t="e">
        <f t="shared" si="127"/>
        <v>#N/A</v>
      </c>
      <c r="KSJ43" s="380" t="e">
        <f t="shared" si="127"/>
        <v>#N/A</v>
      </c>
      <c r="KSK43" s="380" t="e">
        <f t="shared" si="127"/>
        <v>#N/A</v>
      </c>
      <c r="KSL43" s="380" t="e">
        <f t="shared" si="127"/>
        <v>#N/A</v>
      </c>
      <c r="KSM43" s="380" t="e">
        <f t="shared" si="127"/>
        <v>#N/A</v>
      </c>
      <c r="KSN43" s="380" t="e">
        <f t="shared" ref="KSN43:KUY43" si="128">INDEX(KSN7:KSN40,MATCH($E$43,$E$7:$E$40,0))</f>
        <v>#N/A</v>
      </c>
      <c r="KSO43" s="380" t="e">
        <f t="shared" si="128"/>
        <v>#N/A</v>
      </c>
      <c r="KSP43" s="380" t="e">
        <f t="shared" si="128"/>
        <v>#N/A</v>
      </c>
      <c r="KSQ43" s="380" t="e">
        <f t="shared" si="128"/>
        <v>#N/A</v>
      </c>
      <c r="KSR43" s="380" t="e">
        <f t="shared" si="128"/>
        <v>#N/A</v>
      </c>
      <c r="KSS43" s="380" t="e">
        <f t="shared" si="128"/>
        <v>#N/A</v>
      </c>
      <c r="KST43" s="380" t="e">
        <f t="shared" si="128"/>
        <v>#N/A</v>
      </c>
      <c r="KSU43" s="380" t="e">
        <f t="shared" si="128"/>
        <v>#N/A</v>
      </c>
      <c r="KSV43" s="380" t="e">
        <f t="shared" si="128"/>
        <v>#N/A</v>
      </c>
      <c r="KSW43" s="380" t="e">
        <f t="shared" si="128"/>
        <v>#N/A</v>
      </c>
      <c r="KSX43" s="380" t="e">
        <f t="shared" si="128"/>
        <v>#N/A</v>
      </c>
      <c r="KSY43" s="380" t="e">
        <f t="shared" si="128"/>
        <v>#N/A</v>
      </c>
      <c r="KSZ43" s="380" t="e">
        <f t="shared" si="128"/>
        <v>#N/A</v>
      </c>
      <c r="KTA43" s="380" t="e">
        <f t="shared" si="128"/>
        <v>#N/A</v>
      </c>
      <c r="KTB43" s="380" t="e">
        <f t="shared" si="128"/>
        <v>#N/A</v>
      </c>
      <c r="KTC43" s="380" t="e">
        <f t="shared" si="128"/>
        <v>#N/A</v>
      </c>
      <c r="KTD43" s="380" t="e">
        <f t="shared" si="128"/>
        <v>#N/A</v>
      </c>
      <c r="KTE43" s="380" t="e">
        <f t="shared" si="128"/>
        <v>#N/A</v>
      </c>
      <c r="KTF43" s="380" t="e">
        <f t="shared" si="128"/>
        <v>#N/A</v>
      </c>
      <c r="KTG43" s="380" t="e">
        <f t="shared" si="128"/>
        <v>#N/A</v>
      </c>
      <c r="KTH43" s="380" t="e">
        <f t="shared" si="128"/>
        <v>#N/A</v>
      </c>
      <c r="KTI43" s="380" t="e">
        <f t="shared" si="128"/>
        <v>#N/A</v>
      </c>
      <c r="KTJ43" s="380" t="e">
        <f t="shared" si="128"/>
        <v>#N/A</v>
      </c>
      <c r="KTK43" s="380" t="e">
        <f t="shared" si="128"/>
        <v>#N/A</v>
      </c>
      <c r="KTL43" s="380" t="e">
        <f t="shared" si="128"/>
        <v>#N/A</v>
      </c>
      <c r="KTM43" s="380" t="e">
        <f t="shared" si="128"/>
        <v>#N/A</v>
      </c>
      <c r="KTN43" s="380" t="e">
        <f t="shared" si="128"/>
        <v>#N/A</v>
      </c>
      <c r="KTO43" s="380" t="e">
        <f t="shared" si="128"/>
        <v>#N/A</v>
      </c>
      <c r="KTP43" s="380" t="e">
        <f t="shared" si="128"/>
        <v>#N/A</v>
      </c>
      <c r="KTQ43" s="380" t="e">
        <f t="shared" si="128"/>
        <v>#N/A</v>
      </c>
      <c r="KTR43" s="380" t="e">
        <f t="shared" si="128"/>
        <v>#N/A</v>
      </c>
      <c r="KTS43" s="380" t="e">
        <f t="shared" si="128"/>
        <v>#N/A</v>
      </c>
      <c r="KTT43" s="380" t="e">
        <f t="shared" si="128"/>
        <v>#N/A</v>
      </c>
      <c r="KTU43" s="380" t="e">
        <f t="shared" si="128"/>
        <v>#N/A</v>
      </c>
      <c r="KTV43" s="380" t="e">
        <f t="shared" si="128"/>
        <v>#N/A</v>
      </c>
      <c r="KTW43" s="380" t="e">
        <f t="shared" si="128"/>
        <v>#N/A</v>
      </c>
      <c r="KTX43" s="380" t="e">
        <f t="shared" si="128"/>
        <v>#N/A</v>
      </c>
      <c r="KTY43" s="380" t="e">
        <f t="shared" si="128"/>
        <v>#N/A</v>
      </c>
      <c r="KTZ43" s="380" t="e">
        <f t="shared" si="128"/>
        <v>#N/A</v>
      </c>
      <c r="KUA43" s="380" t="e">
        <f t="shared" si="128"/>
        <v>#N/A</v>
      </c>
      <c r="KUB43" s="380" t="e">
        <f t="shared" si="128"/>
        <v>#N/A</v>
      </c>
      <c r="KUC43" s="380" t="e">
        <f t="shared" si="128"/>
        <v>#N/A</v>
      </c>
      <c r="KUD43" s="380" t="e">
        <f t="shared" si="128"/>
        <v>#N/A</v>
      </c>
      <c r="KUE43" s="380" t="e">
        <f t="shared" si="128"/>
        <v>#N/A</v>
      </c>
      <c r="KUF43" s="380" t="e">
        <f t="shared" si="128"/>
        <v>#N/A</v>
      </c>
      <c r="KUG43" s="380" t="e">
        <f t="shared" si="128"/>
        <v>#N/A</v>
      </c>
      <c r="KUH43" s="380" t="e">
        <f t="shared" si="128"/>
        <v>#N/A</v>
      </c>
      <c r="KUI43" s="380" t="e">
        <f t="shared" si="128"/>
        <v>#N/A</v>
      </c>
      <c r="KUJ43" s="380" t="e">
        <f t="shared" si="128"/>
        <v>#N/A</v>
      </c>
      <c r="KUK43" s="380" t="e">
        <f t="shared" si="128"/>
        <v>#N/A</v>
      </c>
      <c r="KUL43" s="380" t="e">
        <f t="shared" si="128"/>
        <v>#N/A</v>
      </c>
      <c r="KUM43" s="380" t="e">
        <f t="shared" si="128"/>
        <v>#N/A</v>
      </c>
      <c r="KUN43" s="380" t="e">
        <f t="shared" si="128"/>
        <v>#N/A</v>
      </c>
      <c r="KUO43" s="380" t="e">
        <f t="shared" si="128"/>
        <v>#N/A</v>
      </c>
      <c r="KUP43" s="380" t="e">
        <f t="shared" si="128"/>
        <v>#N/A</v>
      </c>
      <c r="KUQ43" s="380" t="e">
        <f t="shared" si="128"/>
        <v>#N/A</v>
      </c>
      <c r="KUR43" s="380" t="e">
        <f t="shared" si="128"/>
        <v>#N/A</v>
      </c>
      <c r="KUS43" s="380" t="e">
        <f t="shared" si="128"/>
        <v>#N/A</v>
      </c>
      <c r="KUT43" s="380" t="e">
        <f t="shared" si="128"/>
        <v>#N/A</v>
      </c>
      <c r="KUU43" s="380" t="e">
        <f t="shared" si="128"/>
        <v>#N/A</v>
      </c>
      <c r="KUV43" s="380" t="e">
        <f t="shared" si="128"/>
        <v>#N/A</v>
      </c>
      <c r="KUW43" s="380" t="e">
        <f t="shared" si="128"/>
        <v>#N/A</v>
      </c>
      <c r="KUX43" s="380" t="e">
        <f t="shared" si="128"/>
        <v>#N/A</v>
      </c>
      <c r="KUY43" s="380" t="e">
        <f t="shared" si="128"/>
        <v>#N/A</v>
      </c>
      <c r="KUZ43" s="380" t="e">
        <f t="shared" ref="KUZ43:KXK43" si="129">INDEX(KUZ7:KUZ40,MATCH($E$43,$E$7:$E$40,0))</f>
        <v>#N/A</v>
      </c>
      <c r="KVA43" s="380" t="e">
        <f t="shared" si="129"/>
        <v>#N/A</v>
      </c>
      <c r="KVB43" s="380" t="e">
        <f t="shared" si="129"/>
        <v>#N/A</v>
      </c>
      <c r="KVC43" s="380" t="e">
        <f t="shared" si="129"/>
        <v>#N/A</v>
      </c>
      <c r="KVD43" s="380" t="e">
        <f t="shared" si="129"/>
        <v>#N/A</v>
      </c>
      <c r="KVE43" s="380" t="e">
        <f t="shared" si="129"/>
        <v>#N/A</v>
      </c>
      <c r="KVF43" s="380" t="e">
        <f t="shared" si="129"/>
        <v>#N/A</v>
      </c>
      <c r="KVG43" s="380" t="e">
        <f t="shared" si="129"/>
        <v>#N/A</v>
      </c>
      <c r="KVH43" s="380" t="e">
        <f t="shared" si="129"/>
        <v>#N/A</v>
      </c>
      <c r="KVI43" s="380" t="e">
        <f t="shared" si="129"/>
        <v>#N/A</v>
      </c>
      <c r="KVJ43" s="380" t="e">
        <f t="shared" si="129"/>
        <v>#N/A</v>
      </c>
      <c r="KVK43" s="380" t="e">
        <f t="shared" si="129"/>
        <v>#N/A</v>
      </c>
      <c r="KVL43" s="380" t="e">
        <f t="shared" si="129"/>
        <v>#N/A</v>
      </c>
      <c r="KVM43" s="380" t="e">
        <f t="shared" si="129"/>
        <v>#N/A</v>
      </c>
      <c r="KVN43" s="380" t="e">
        <f t="shared" si="129"/>
        <v>#N/A</v>
      </c>
      <c r="KVO43" s="380" t="e">
        <f t="shared" si="129"/>
        <v>#N/A</v>
      </c>
      <c r="KVP43" s="380" t="e">
        <f t="shared" si="129"/>
        <v>#N/A</v>
      </c>
      <c r="KVQ43" s="380" t="e">
        <f t="shared" si="129"/>
        <v>#N/A</v>
      </c>
      <c r="KVR43" s="380" t="e">
        <f t="shared" si="129"/>
        <v>#N/A</v>
      </c>
      <c r="KVS43" s="380" t="e">
        <f t="shared" si="129"/>
        <v>#N/A</v>
      </c>
      <c r="KVT43" s="380" t="e">
        <f t="shared" si="129"/>
        <v>#N/A</v>
      </c>
      <c r="KVU43" s="380" t="e">
        <f t="shared" si="129"/>
        <v>#N/A</v>
      </c>
      <c r="KVV43" s="380" t="e">
        <f t="shared" si="129"/>
        <v>#N/A</v>
      </c>
      <c r="KVW43" s="380" t="e">
        <f t="shared" si="129"/>
        <v>#N/A</v>
      </c>
      <c r="KVX43" s="380" t="e">
        <f t="shared" si="129"/>
        <v>#N/A</v>
      </c>
      <c r="KVY43" s="380" t="e">
        <f t="shared" si="129"/>
        <v>#N/A</v>
      </c>
      <c r="KVZ43" s="380" t="e">
        <f t="shared" si="129"/>
        <v>#N/A</v>
      </c>
      <c r="KWA43" s="380" t="e">
        <f t="shared" si="129"/>
        <v>#N/A</v>
      </c>
      <c r="KWB43" s="380" t="e">
        <f t="shared" si="129"/>
        <v>#N/A</v>
      </c>
      <c r="KWC43" s="380" t="e">
        <f t="shared" si="129"/>
        <v>#N/A</v>
      </c>
      <c r="KWD43" s="380" t="e">
        <f t="shared" si="129"/>
        <v>#N/A</v>
      </c>
      <c r="KWE43" s="380" t="e">
        <f t="shared" si="129"/>
        <v>#N/A</v>
      </c>
      <c r="KWF43" s="380" t="e">
        <f t="shared" si="129"/>
        <v>#N/A</v>
      </c>
      <c r="KWG43" s="380" t="e">
        <f t="shared" si="129"/>
        <v>#N/A</v>
      </c>
      <c r="KWH43" s="380" t="e">
        <f t="shared" si="129"/>
        <v>#N/A</v>
      </c>
      <c r="KWI43" s="380" t="e">
        <f t="shared" si="129"/>
        <v>#N/A</v>
      </c>
      <c r="KWJ43" s="380" t="e">
        <f t="shared" si="129"/>
        <v>#N/A</v>
      </c>
      <c r="KWK43" s="380" t="e">
        <f t="shared" si="129"/>
        <v>#N/A</v>
      </c>
      <c r="KWL43" s="380" t="e">
        <f t="shared" si="129"/>
        <v>#N/A</v>
      </c>
      <c r="KWM43" s="380" t="e">
        <f t="shared" si="129"/>
        <v>#N/A</v>
      </c>
      <c r="KWN43" s="380" t="e">
        <f t="shared" si="129"/>
        <v>#N/A</v>
      </c>
      <c r="KWO43" s="380" t="e">
        <f t="shared" si="129"/>
        <v>#N/A</v>
      </c>
      <c r="KWP43" s="380" t="e">
        <f t="shared" si="129"/>
        <v>#N/A</v>
      </c>
      <c r="KWQ43" s="380" t="e">
        <f t="shared" si="129"/>
        <v>#N/A</v>
      </c>
      <c r="KWR43" s="380" t="e">
        <f t="shared" si="129"/>
        <v>#N/A</v>
      </c>
      <c r="KWS43" s="380" t="e">
        <f t="shared" si="129"/>
        <v>#N/A</v>
      </c>
      <c r="KWT43" s="380" t="e">
        <f t="shared" si="129"/>
        <v>#N/A</v>
      </c>
      <c r="KWU43" s="380" t="e">
        <f t="shared" si="129"/>
        <v>#N/A</v>
      </c>
      <c r="KWV43" s="380" t="e">
        <f t="shared" si="129"/>
        <v>#N/A</v>
      </c>
      <c r="KWW43" s="380" t="e">
        <f t="shared" si="129"/>
        <v>#N/A</v>
      </c>
      <c r="KWX43" s="380" t="e">
        <f t="shared" si="129"/>
        <v>#N/A</v>
      </c>
      <c r="KWY43" s="380" t="e">
        <f t="shared" si="129"/>
        <v>#N/A</v>
      </c>
      <c r="KWZ43" s="380" t="e">
        <f t="shared" si="129"/>
        <v>#N/A</v>
      </c>
      <c r="KXA43" s="380" t="e">
        <f t="shared" si="129"/>
        <v>#N/A</v>
      </c>
      <c r="KXB43" s="380" t="e">
        <f t="shared" si="129"/>
        <v>#N/A</v>
      </c>
      <c r="KXC43" s="380" t="e">
        <f t="shared" si="129"/>
        <v>#N/A</v>
      </c>
      <c r="KXD43" s="380" t="e">
        <f t="shared" si="129"/>
        <v>#N/A</v>
      </c>
      <c r="KXE43" s="380" t="e">
        <f t="shared" si="129"/>
        <v>#N/A</v>
      </c>
      <c r="KXF43" s="380" t="e">
        <f t="shared" si="129"/>
        <v>#N/A</v>
      </c>
      <c r="KXG43" s="380" t="e">
        <f t="shared" si="129"/>
        <v>#N/A</v>
      </c>
      <c r="KXH43" s="380" t="e">
        <f t="shared" si="129"/>
        <v>#N/A</v>
      </c>
      <c r="KXI43" s="380" t="e">
        <f t="shared" si="129"/>
        <v>#N/A</v>
      </c>
      <c r="KXJ43" s="380" t="e">
        <f t="shared" si="129"/>
        <v>#N/A</v>
      </c>
      <c r="KXK43" s="380" t="e">
        <f t="shared" si="129"/>
        <v>#N/A</v>
      </c>
      <c r="KXL43" s="380" t="e">
        <f t="shared" ref="KXL43:KZW43" si="130">INDEX(KXL7:KXL40,MATCH($E$43,$E$7:$E$40,0))</f>
        <v>#N/A</v>
      </c>
      <c r="KXM43" s="380" t="e">
        <f t="shared" si="130"/>
        <v>#N/A</v>
      </c>
      <c r="KXN43" s="380" t="e">
        <f t="shared" si="130"/>
        <v>#N/A</v>
      </c>
      <c r="KXO43" s="380" t="e">
        <f t="shared" si="130"/>
        <v>#N/A</v>
      </c>
      <c r="KXP43" s="380" t="e">
        <f t="shared" si="130"/>
        <v>#N/A</v>
      </c>
      <c r="KXQ43" s="380" t="e">
        <f t="shared" si="130"/>
        <v>#N/A</v>
      </c>
      <c r="KXR43" s="380" t="e">
        <f t="shared" si="130"/>
        <v>#N/A</v>
      </c>
      <c r="KXS43" s="380" t="e">
        <f t="shared" si="130"/>
        <v>#N/A</v>
      </c>
      <c r="KXT43" s="380" t="e">
        <f t="shared" si="130"/>
        <v>#N/A</v>
      </c>
      <c r="KXU43" s="380" t="e">
        <f t="shared" si="130"/>
        <v>#N/A</v>
      </c>
      <c r="KXV43" s="380" t="e">
        <f t="shared" si="130"/>
        <v>#N/A</v>
      </c>
      <c r="KXW43" s="380" t="e">
        <f t="shared" si="130"/>
        <v>#N/A</v>
      </c>
      <c r="KXX43" s="380" t="e">
        <f t="shared" si="130"/>
        <v>#N/A</v>
      </c>
      <c r="KXY43" s="380" t="e">
        <f t="shared" si="130"/>
        <v>#N/A</v>
      </c>
      <c r="KXZ43" s="380" t="e">
        <f t="shared" si="130"/>
        <v>#N/A</v>
      </c>
      <c r="KYA43" s="380" t="e">
        <f t="shared" si="130"/>
        <v>#N/A</v>
      </c>
      <c r="KYB43" s="380" t="e">
        <f t="shared" si="130"/>
        <v>#N/A</v>
      </c>
      <c r="KYC43" s="380" t="e">
        <f t="shared" si="130"/>
        <v>#N/A</v>
      </c>
      <c r="KYD43" s="380" t="e">
        <f t="shared" si="130"/>
        <v>#N/A</v>
      </c>
      <c r="KYE43" s="380" t="e">
        <f t="shared" si="130"/>
        <v>#N/A</v>
      </c>
      <c r="KYF43" s="380" t="e">
        <f t="shared" si="130"/>
        <v>#N/A</v>
      </c>
      <c r="KYG43" s="380" t="e">
        <f t="shared" si="130"/>
        <v>#N/A</v>
      </c>
      <c r="KYH43" s="380" t="e">
        <f t="shared" si="130"/>
        <v>#N/A</v>
      </c>
      <c r="KYI43" s="380" t="e">
        <f t="shared" si="130"/>
        <v>#N/A</v>
      </c>
      <c r="KYJ43" s="380" t="e">
        <f t="shared" si="130"/>
        <v>#N/A</v>
      </c>
      <c r="KYK43" s="380" t="e">
        <f t="shared" si="130"/>
        <v>#N/A</v>
      </c>
      <c r="KYL43" s="380" t="e">
        <f t="shared" si="130"/>
        <v>#N/A</v>
      </c>
      <c r="KYM43" s="380" t="e">
        <f t="shared" si="130"/>
        <v>#N/A</v>
      </c>
      <c r="KYN43" s="380" t="e">
        <f t="shared" si="130"/>
        <v>#N/A</v>
      </c>
      <c r="KYO43" s="380" t="e">
        <f t="shared" si="130"/>
        <v>#N/A</v>
      </c>
      <c r="KYP43" s="380" t="e">
        <f t="shared" si="130"/>
        <v>#N/A</v>
      </c>
      <c r="KYQ43" s="380" t="e">
        <f t="shared" si="130"/>
        <v>#N/A</v>
      </c>
      <c r="KYR43" s="380" t="e">
        <f t="shared" si="130"/>
        <v>#N/A</v>
      </c>
      <c r="KYS43" s="380" t="e">
        <f t="shared" si="130"/>
        <v>#N/A</v>
      </c>
      <c r="KYT43" s="380" t="e">
        <f t="shared" si="130"/>
        <v>#N/A</v>
      </c>
      <c r="KYU43" s="380" t="e">
        <f t="shared" si="130"/>
        <v>#N/A</v>
      </c>
      <c r="KYV43" s="380" t="e">
        <f t="shared" si="130"/>
        <v>#N/A</v>
      </c>
      <c r="KYW43" s="380" t="e">
        <f t="shared" si="130"/>
        <v>#N/A</v>
      </c>
      <c r="KYX43" s="380" t="e">
        <f t="shared" si="130"/>
        <v>#N/A</v>
      </c>
      <c r="KYY43" s="380" t="e">
        <f t="shared" si="130"/>
        <v>#N/A</v>
      </c>
      <c r="KYZ43" s="380" t="e">
        <f t="shared" si="130"/>
        <v>#N/A</v>
      </c>
      <c r="KZA43" s="380" t="e">
        <f t="shared" si="130"/>
        <v>#N/A</v>
      </c>
      <c r="KZB43" s="380" t="e">
        <f t="shared" si="130"/>
        <v>#N/A</v>
      </c>
      <c r="KZC43" s="380" t="e">
        <f t="shared" si="130"/>
        <v>#N/A</v>
      </c>
      <c r="KZD43" s="380" t="e">
        <f t="shared" si="130"/>
        <v>#N/A</v>
      </c>
      <c r="KZE43" s="380" t="e">
        <f t="shared" si="130"/>
        <v>#N/A</v>
      </c>
      <c r="KZF43" s="380" t="e">
        <f t="shared" si="130"/>
        <v>#N/A</v>
      </c>
      <c r="KZG43" s="380" t="e">
        <f t="shared" si="130"/>
        <v>#N/A</v>
      </c>
      <c r="KZH43" s="380" t="e">
        <f t="shared" si="130"/>
        <v>#N/A</v>
      </c>
      <c r="KZI43" s="380" t="e">
        <f t="shared" si="130"/>
        <v>#N/A</v>
      </c>
      <c r="KZJ43" s="380" t="e">
        <f t="shared" si="130"/>
        <v>#N/A</v>
      </c>
      <c r="KZK43" s="380" t="e">
        <f t="shared" si="130"/>
        <v>#N/A</v>
      </c>
      <c r="KZL43" s="380" t="e">
        <f t="shared" si="130"/>
        <v>#N/A</v>
      </c>
      <c r="KZM43" s="380" t="e">
        <f t="shared" si="130"/>
        <v>#N/A</v>
      </c>
      <c r="KZN43" s="380" t="e">
        <f t="shared" si="130"/>
        <v>#N/A</v>
      </c>
      <c r="KZO43" s="380" t="e">
        <f t="shared" si="130"/>
        <v>#N/A</v>
      </c>
      <c r="KZP43" s="380" t="e">
        <f t="shared" si="130"/>
        <v>#N/A</v>
      </c>
      <c r="KZQ43" s="380" t="e">
        <f t="shared" si="130"/>
        <v>#N/A</v>
      </c>
      <c r="KZR43" s="380" t="e">
        <f t="shared" si="130"/>
        <v>#N/A</v>
      </c>
      <c r="KZS43" s="380" t="e">
        <f t="shared" si="130"/>
        <v>#N/A</v>
      </c>
      <c r="KZT43" s="380" t="e">
        <f t="shared" si="130"/>
        <v>#N/A</v>
      </c>
      <c r="KZU43" s="380" t="e">
        <f t="shared" si="130"/>
        <v>#N/A</v>
      </c>
      <c r="KZV43" s="380" t="e">
        <f t="shared" si="130"/>
        <v>#N/A</v>
      </c>
      <c r="KZW43" s="380" t="e">
        <f t="shared" si="130"/>
        <v>#N/A</v>
      </c>
      <c r="KZX43" s="380" t="e">
        <f t="shared" ref="KZX43:LCI43" si="131">INDEX(KZX7:KZX40,MATCH($E$43,$E$7:$E$40,0))</f>
        <v>#N/A</v>
      </c>
      <c r="KZY43" s="380" t="e">
        <f t="shared" si="131"/>
        <v>#N/A</v>
      </c>
      <c r="KZZ43" s="380" t="e">
        <f t="shared" si="131"/>
        <v>#N/A</v>
      </c>
      <c r="LAA43" s="380" t="e">
        <f t="shared" si="131"/>
        <v>#N/A</v>
      </c>
      <c r="LAB43" s="380" t="e">
        <f t="shared" si="131"/>
        <v>#N/A</v>
      </c>
      <c r="LAC43" s="380" t="e">
        <f t="shared" si="131"/>
        <v>#N/A</v>
      </c>
      <c r="LAD43" s="380" t="e">
        <f t="shared" si="131"/>
        <v>#N/A</v>
      </c>
      <c r="LAE43" s="380" t="e">
        <f t="shared" si="131"/>
        <v>#N/A</v>
      </c>
      <c r="LAF43" s="380" t="e">
        <f t="shared" si="131"/>
        <v>#N/A</v>
      </c>
      <c r="LAG43" s="380" t="e">
        <f t="shared" si="131"/>
        <v>#N/A</v>
      </c>
      <c r="LAH43" s="380" t="e">
        <f t="shared" si="131"/>
        <v>#N/A</v>
      </c>
      <c r="LAI43" s="380" t="e">
        <f t="shared" si="131"/>
        <v>#N/A</v>
      </c>
      <c r="LAJ43" s="380" t="e">
        <f t="shared" si="131"/>
        <v>#N/A</v>
      </c>
      <c r="LAK43" s="380" t="e">
        <f t="shared" si="131"/>
        <v>#N/A</v>
      </c>
      <c r="LAL43" s="380" t="e">
        <f t="shared" si="131"/>
        <v>#N/A</v>
      </c>
      <c r="LAM43" s="380" t="e">
        <f t="shared" si="131"/>
        <v>#N/A</v>
      </c>
      <c r="LAN43" s="380" t="e">
        <f t="shared" si="131"/>
        <v>#N/A</v>
      </c>
      <c r="LAO43" s="380" t="e">
        <f t="shared" si="131"/>
        <v>#N/A</v>
      </c>
      <c r="LAP43" s="380" t="e">
        <f t="shared" si="131"/>
        <v>#N/A</v>
      </c>
      <c r="LAQ43" s="380" t="e">
        <f t="shared" si="131"/>
        <v>#N/A</v>
      </c>
      <c r="LAR43" s="380" t="e">
        <f t="shared" si="131"/>
        <v>#N/A</v>
      </c>
      <c r="LAS43" s="380" t="e">
        <f t="shared" si="131"/>
        <v>#N/A</v>
      </c>
      <c r="LAT43" s="380" t="e">
        <f t="shared" si="131"/>
        <v>#N/A</v>
      </c>
      <c r="LAU43" s="380" t="e">
        <f t="shared" si="131"/>
        <v>#N/A</v>
      </c>
      <c r="LAV43" s="380" t="e">
        <f t="shared" si="131"/>
        <v>#N/A</v>
      </c>
      <c r="LAW43" s="380" t="e">
        <f t="shared" si="131"/>
        <v>#N/A</v>
      </c>
      <c r="LAX43" s="380" t="e">
        <f t="shared" si="131"/>
        <v>#N/A</v>
      </c>
      <c r="LAY43" s="380" t="e">
        <f t="shared" si="131"/>
        <v>#N/A</v>
      </c>
      <c r="LAZ43" s="380" t="e">
        <f t="shared" si="131"/>
        <v>#N/A</v>
      </c>
      <c r="LBA43" s="380" t="e">
        <f t="shared" si="131"/>
        <v>#N/A</v>
      </c>
      <c r="LBB43" s="380" t="e">
        <f t="shared" si="131"/>
        <v>#N/A</v>
      </c>
      <c r="LBC43" s="380" t="e">
        <f t="shared" si="131"/>
        <v>#N/A</v>
      </c>
      <c r="LBD43" s="380" t="e">
        <f t="shared" si="131"/>
        <v>#N/A</v>
      </c>
      <c r="LBE43" s="380" t="e">
        <f t="shared" si="131"/>
        <v>#N/A</v>
      </c>
      <c r="LBF43" s="380" t="e">
        <f t="shared" si="131"/>
        <v>#N/A</v>
      </c>
      <c r="LBG43" s="380" t="e">
        <f t="shared" si="131"/>
        <v>#N/A</v>
      </c>
      <c r="LBH43" s="380" t="e">
        <f t="shared" si="131"/>
        <v>#N/A</v>
      </c>
      <c r="LBI43" s="380" t="e">
        <f t="shared" si="131"/>
        <v>#N/A</v>
      </c>
      <c r="LBJ43" s="380" t="e">
        <f t="shared" si="131"/>
        <v>#N/A</v>
      </c>
      <c r="LBK43" s="380" t="e">
        <f t="shared" si="131"/>
        <v>#N/A</v>
      </c>
      <c r="LBL43" s="380" t="e">
        <f t="shared" si="131"/>
        <v>#N/A</v>
      </c>
      <c r="LBM43" s="380" t="e">
        <f t="shared" si="131"/>
        <v>#N/A</v>
      </c>
      <c r="LBN43" s="380" t="e">
        <f t="shared" si="131"/>
        <v>#N/A</v>
      </c>
      <c r="LBO43" s="380" t="e">
        <f t="shared" si="131"/>
        <v>#N/A</v>
      </c>
      <c r="LBP43" s="380" t="e">
        <f t="shared" si="131"/>
        <v>#N/A</v>
      </c>
      <c r="LBQ43" s="380" t="e">
        <f t="shared" si="131"/>
        <v>#N/A</v>
      </c>
      <c r="LBR43" s="380" t="e">
        <f t="shared" si="131"/>
        <v>#N/A</v>
      </c>
      <c r="LBS43" s="380" t="e">
        <f t="shared" si="131"/>
        <v>#N/A</v>
      </c>
      <c r="LBT43" s="380" t="e">
        <f t="shared" si="131"/>
        <v>#N/A</v>
      </c>
      <c r="LBU43" s="380" t="e">
        <f t="shared" si="131"/>
        <v>#N/A</v>
      </c>
      <c r="LBV43" s="380" t="e">
        <f t="shared" si="131"/>
        <v>#N/A</v>
      </c>
      <c r="LBW43" s="380" t="e">
        <f t="shared" si="131"/>
        <v>#N/A</v>
      </c>
      <c r="LBX43" s="380" t="e">
        <f t="shared" si="131"/>
        <v>#N/A</v>
      </c>
      <c r="LBY43" s="380" t="e">
        <f t="shared" si="131"/>
        <v>#N/A</v>
      </c>
      <c r="LBZ43" s="380" t="e">
        <f t="shared" si="131"/>
        <v>#N/A</v>
      </c>
      <c r="LCA43" s="380" t="e">
        <f t="shared" si="131"/>
        <v>#N/A</v>
      </c>
      <c r="LCB43" s="380" t="e">
        <f t="shared" si="131"/>
        <v>#N/A</v>
      </c>
      <c r="LCC43" s="380" t="e">
        <f t="shared" si="131"/>
        <v>#N/A</v>
      </c>
      <c r="LCD43" s="380" t="e">
        <f t="shared" si="131"/>
        <v>#N/A</v>
      </c>
      <c r="LCE43" s="380" t="e">
        <f t="shared" si="131"/>
        <v>#N/A</v>
      </c>
      <c r="LCF43" s="380" t="e">
        <f t="shared" si="131"/>
        <v>#N/A</v>
      </c>
      <c r="LCG43" s="380" t="e">
        <f t="shared" si="131"/>
        <v>#N/A</v>
      </c>
      <c r="LCH43" s="380" t="e">
        <f t="shared" si="131"/>
        <v>#N/A</v>
      </c>
      <c r="LCI43" s="380" t="e">
        <f t="shared" si="131"/>
        <v>#N/A</v>
      </c>
      <c r="LCJ43" s="380" t="e">
        <f t="shared" ref="LCJ43:LEU43" si="132">INDEX(LCJ7:LCJ40,MATCH($E$43,$E$7:$E$40,0))</f>
        <v>#N/A</v>
      </c>
      <c r="LCK43" s="380" t="e">
        <f t="shared" si="132"/>
        <v>#N/A</v>
      </c>
      <c r="LCL43" s="380" t="e">
        <f t="shared" si="132"/>
        <v>#N/A</v>
      </c>
      <c r="LCM43" s="380" t="e">
        <f t="shared" si="132"/>
        <v>#N/A</v>
      </c>
      <c r="LCN43" s="380" t="e">
        <f t="shared" si="132"/>
        <v>#N/A</v>
      </c>
      <c r="LCO43" s="380" t="e">
        <f t="shared" si="132"/>
        <v>#N/A</v>
      </c>
      <c r="LCP43" s="380" t="e">
        <f t="shared" si="132"/>
        <v>#N/A</v>
      </c>
      <c r="LCQ43" s="380" t="e">
        <f t="shared" si="132"/>
        <v>#N/A</v>
      </c>
      <c r="LCR43" s="380" t="e">
        <f t="shared" si="132"/>
        <v>#N/A</v>
      </c>
      <c r="LCS43" s="380" t="e">
        <f t="shared" si="132"/>
        <v>#N/A</v>
      </c>
      <c r="LCT43" s="380" t="e">
        <f t="shared" si="132"/>
        <v>#N/A</v>
      </c>
      <c r="LCU43" s="380" t="e">
        <f t="shared" si="132"/>
        <v>#N/A</v>
      </c>
      <c r="LCV43" s="380" t="e">
        <f t="shared" si="132"/>
        <v>#N/A</v>
      </c>
      <c r="LCW43" s="380" t="e">
        <f t="shared" si="132"/>
        <v>#N/A</v>
      </c>
      <c r="LCX43" s="380" t="e">
        <f t="shared" si="132"/>
        <v>#N/A</v>
      </c>
      <c r="LCY43" s="380" t="e">
        <f t="shared" si="132"/>
        <v>#N/A</v>
      </c>
      <c r="LCZ43" s="380" t="e">
        <f t="shared" si="132"/>
        <v>#N/A</v>
      </c>
      <c r="LDA43" s="380" t="e">
        <f t="shared" si="132"/>
        <v>#N/A</v>
      </c>
      <c r="LDB43" s="380" t="e">
        <f t="shared" si="132"/>
        <v>#N/A</v>
      </c>
      <c r="LDC43" s="380" t="e">
        <f t="shared" si="132"/>
        <v>#N/A</v>
      </c>
      <c r="LDD43" s="380" t="e">
        <f t="shared" si="132"/>
        <v>#N/A</v>
      </c>
      <c r="LDE43" s="380" t="e">
        <f t="shared" si="132"/>
        <v>#N/A</v>
      </c>
      <c r="LDF43" s="380" t="e">
        <f t="shared" si="132"/>
        <v>#N/A</v>
      </c>
      <c r="LDG43" s="380" t="e">
        <f t="shared" si="132"/>
        <v>#N/A</v>
      </c>
      <c r="LDH43" s="380" t="e">
        <f t="shared" si="132"/>
        <v>#N/A</v>
      </c>
      <c r="LDI43" s="380" t="e">
        <f t="shared" si="132"/>
        <v>#N/A</v>
      </c>
      <c r="LDJ43" s="380" t="e">
        <f t="shared" si="132"/>
        <v>#N/A</v>
      </c>
      <c r="LDK43" s="380" t="e">
        <f t="shared" si="132"/>
        <v>#N/A</v>
      </c>
      <c r="LDL43" s="380" t="e">
        <f t="shared" si="132"/>
        <v>#N/A</v>
      </c>
      <c r="LDM43" s="380" t="e">
        <f t="shared" si="132"/>
        <v>#N/A</v>
      </c>
      <c r="LDN43" s="380" t="e">
        <f t="shared" si="132"/>
        <v>#N/A</v>
      </c>
      <c r="LDO43" s="380" t="e">
        <f t="shared" si="132"/>
        <v>#N/A</v>
      </c>
      <c r="LDP43" s="380" t="e">
        <f t="shared" si="132"/>
        <v>#N/A</v>
      </c>
      <c r="LDQ43" s="380" t="e">
        <f t="shared" si="132"/>
        <v>#N/A</v>
      </c>
      <c r="LDR43" s="380" t="e">
        <f t="shared" si="132"/>
        <v>#N/A</v>
      </c>
      <c r="LDS43" s="380" t="e">
        <f t="shared" si="132"/>
        <v>#N/A</v>
      </c>
      <c r="LDT43" s="380" t="e">
        <f t="shared" si="132"/>
        <v>#N/A</v>
      </c>
      <c r="LDU43" s="380" t="e">
        <f t="shared" si="132"/>
        <v>#N/A</v>
      </c>
      <c r="LDV43" s="380" t="e">
        <f t="shared" si="132"/>
        <v>#N/A</v>
      </c>
      <c r="LDW43" s="380" t="e">
        <f t="shared" si="132"/>
        <v>#N/A</v>
      </c>
      <c r="LDX43" s="380" t="e">
        <f t="shared" si="132"/>
        <v>#N/A</v>
      </c>
      <c r="LDY43" s="380" t="e">
        <f t="shared" si="132"/>
        <v>#N/A</v>
      </c>
      <c r="LDZ43" s="380" t="e">
        <f t="shared" si="132"/>
        <v>#N/A</v>
      </c>
      <c r="LEA43" s="380" t="e">
        <f t="shared" si="132"/>
        <v>#N/A</v>
      </c>
      <c r="LEB43" s="380" t="e">
        <f t="shared" si="132"/>
        <v>#N/A</v>
      </c>
      <c r="LEC43" s="380" t="e">
        <f t="shared" si="132"/>
        <v>#N/A</v>
      </c>
      <c r="LED43" s="380" t="e">
        <f t="shared" si="132"/>
        <v>#N/A</v>
      </c>
      <c r="LEE43" s="380" t="e">
        <f t="shared" si="132"/>
        <v>#N/A</v>
      </c>
      <c r="LEF43" s="380" t="e">
        <f t="shared" si="132"/>
        <v>#N/A</v>
      </c>
      <c r="LEG43" s="380" t="e">
        <f t="shared" si="132"/>
        <v>#N/A</v>
      </c>
      <c r="LEH43" s="380" t="e">
        <f t="shared" si="132"/>
        <v>#N/A</v>
      </c>
      <c r="LEI43" s="380" t="e">
        <f t="shared" si="132"/>
        <v>#N/A</v>
      </c>
      <c r="LEJ43" s="380" t="e">
        <f t="shared" si="132"/>
        <v>#N/A</v>
      </c>
      <c r="LEK43" s="380" t="e">
        <f t="shared" si="132"/>
        <v>#N/A</v>
      </c>
      <c r="LEL43" s="380" t="e">
        <f t="shared" si="132"/>
        <v>#N/A</v>
      </c>
      <c r="LEM43" s="380" t="e">
        <f t="shared" si="132"/>
        <v>#N/A</v>
      </c>
      <c r="LEN43" s="380" t="e">
        <f t="shared" si="132"/>
        <v>#N/A</v>
      </c>
      <c r="LEO43" s="380" t="e">
        <f t="shared" si="132"/>
        <v>#N/A</v>
      </c>
      <c r="LEP43" s="380" t="e">
        <f t="shared" si="132"/>
        <v>#N/A</v>
      </c>
      <c r="LEQ43" s="380" t="e">
        <f t="shared" si="132"/>
        <v>#N/A</v>
      </c>
      <c r="LER43" s="380" t="e">
        <f t="shared" si="132"/>
        <v>#N/A</v>
      </c>
      <c r="LES43" s="380" t="e">
        <f t="shared" si="132"/>
        <v>#N/A</v>
      </c>
      <c r="LET43" s="380" t="e">
        <f t="shared" si="132"/>
        <v>#N/A</v>
      </c>
      <c r="LEU43" s="380" t="e">
        <f t="shared" si="132"/>
        <v>#N/A</v>
      </c>
      <c r="LEV43" s="380" t="e">
        <f t="shared" ref="LEV43:LHG43" si="133">INDEX(LEV7:LEV40,MATCH($E$43,$E$7:$E$40,0))</f>
        <v>#N/A</v>
      </c>
      <c r="LEW43" s="380" t="e">
        <f t="shared" si="133"/>
        <v>#N/A</v>
      </c>
      <c r="LEX43" s="380" t="e">
        <f t="shared" si="133"/>
        <v>#N/A</v>
      </c>
      <c r="LEY43" s="380" t="e">
        <f t="shared" si="133"/>
        <v>#N/A</v>
      </c>
      <c r="LEZ43" s="380" t="e">
        <f t="shared" si="133"/>
        <v>#N/A</v>
      </c>
      <c r="LFA43" s="380" t="e">
        <f t="shared" si="133"/>
        <v>#N/A</v>
      </c>
      <c r="LFB43" s="380" t="e">
        <f t="shared" si="133"/>
        <v>#N/A</v>
      </c>
      <c r="LFC43" s="380" t="e">
        <f t="shared" si="133"/>
        <v>#N/A</v>
      </c>
      <c r="LFD43" s="380" t="e">
        <f t="shared" si="133"/>
        <v>#N/A</v>
      </c>
      <c r="LFE43" s="380" t="e">
        <f t="shared" si="133"/>
        <v>#N/A</v>
      </c>
      <c r="LFF43" s="380" t="e">
        <f t="shared" si="133"/>
        <v>#N/A</v>
      </c>
      <c r="LFG43" s="380" t="e">
        <f t="shared" si="133"/>
        <v>#N/A</v>
      </c>
      <c r="LFH43" s="380" t="e">
        <f t="shared" si="133"/>
        <v>#N/A</v>
      </c>
      <c r="LFI43" s="380" t="e">
        <f t="shared" si="133"/>
        <v>#N/A</v>
      </c>
      <c r="LFJ43" s="380" t="e">
        <f t="shared" si="133"/>
        <v>#N/A</v>
      </c>
      <c r="LFK43" s="380" t="e">
        <f t="shared" si="133"/>
        <v>#N/A</v>
      </c>
      <c r="LFL43" s="380" t="e">
        <f t="shared" si="133"/>
        <v>#N/A</v>
      </c>
      <c r="LFM43" s="380" t="e">
        <f t="shared" si="133"/>
        <v>#N/A</v>
      </c>
      <c r="LFN43" s="380" t="e">
        <f t="shared" si="133"/>
        <v>#N/A</v>
      </c>
      <c r="LFO43" s="380" t="e">
        <f t="shared" si="133"/>
        <v>#N/A</v>
      </c>
      <c r="LFP43" s="380" t="e">
        <f t="shared" si="133"/>
        <v>#N/A</v>
      </c>
      <c r="LFQ43" s="380" t="e">
        <f t="shared" si="133"/>
        <v>#N/A</v>
      </c>
      <c r="LFR43" s="380" t="e">
        <f t="shared" si="133"/>
        <v>#N/A</v>
      </c>
      <c r="LFS43" s="380" t="e">
        <f t="shared" si="133"/>
        <v>#N/A</v>
      </c>
      <c r="LFT43" s="380" t="e">
        <f t="shared" si="133"/>
        <v>#N/A</v>
      </c>
      <c r="LFU43" s="380" t="e">
        <f t="shared" si="133"/>
        <v>#N/A</v>
      </c>
      <c r="LFV43" s="380" t="e">
        <f t="shared" si="133"/>
        <v>#N/A</v>
      </c>
      <c r="LFW43" s="380" t="e">
        <f t="shared" si="133"/>
        <v>#N/A</v>
      </c>
      <c r="LFX43" s="380" t="e">
        <f t="shared" si="133"/>
        <v>#N/A</v>
      </c>
      <c r="LFY43" s="380" t="e">
        <f t="shared" si="133"/>
        <v>#N/A</v>
      </c>
      <c r="LFZ43" s="380" t="e">
        <f t="shared" si="133"/>
        <v>#N/A</v>
      </c>
      <c r="LGA43" s="380" t="e">
        <f t="shared" si="133"/>
        <v>#N/A</v>
      </c>
      <c r="LGB43" s="380" t="e">
        <f t="shared" si="133"/>
        <v>#N/A</v>
      </c>
      <c r="LGC43" s="380" t="e">
        <f t="shared" si="133"/>
        <v>#N/A</v>
      </c>
      <c r="LGD43" s="380" t="e">
        <f t="shared" si="133"/>
        <v>#N/A</v>
      </c>
      <c r="LGE43" s="380" t="e">
        <f t="shared" si="133"/>
        <v>#N/A</v>
      </c>
      <c r="LGF43" s="380" t="e">
        <f t="shared" si="133"/>
        <v>#N/A</v>
      </c>
      <c r="LGG43" s="380" t="e">
        <f t="shared" si="133"/>
        <v>#N/A</v>
      </c>
      <c r="LGH43" s="380" t="e">
        <f t="shared" si="133"/>
        <v>#N/A</v>
      </c>
      <c r="LGI43" s="380" t="e">
        <f t="shared" si="133"/>
        <v>#N/A</v>
      </c>
      <c r="LGJ43" s="380" t="e">
        <f t="shared" si="133"/>
        <v>#N/A</v>
      </c>
      <c r="LGK43" s="380" t="e">
        <f t="shared" si="133"/>
        <v>#N/A</v>
      </c>
      <c r="LGL43" s="380" t="e">
        <f t="shared" si="133"/>
        <v>#N/A</v>
      </c>
      <c r="LGM43" s="380" t="e">
        <f t="shared" si="133"/>
        <v>#N/A</v>
      </c>
      <c r="LGN43" s="380" t="e">
        <f t="shared" si="133"/>
        <v>#N/A</v>
      </c>
      <c r="LGO43" s="380" t="e">
        <f t="shared" si="133"/>
        <v>#N/A</v>
      </c>
      <c r="LGP43" s="380" t="e">
        <f t="shared" si="133"/>
        <v>#N/A</v>
      </c>
      <c r="LGQ43" s="380" t="e">
        <f t="shared" si="133"/>
        <v>#N/A</v>
      </c>
      <c r="LGR43" s="380" t="e">
        <f t="shared" si="133"/>
        <v>#N/A</v>
      </c>
      <c r="LGS43" s="380" t="e">
        <f t="shared" si="133"/>
        <v>#N/A</v>
      </c>
      <c r="LGT43" s="380" t="e">
        <f t="shared" si="133"/>
        <v>#N/A</v>
      </c>
      <c r="LGU43" s="380" t="e">
        <f t="shared" si="133"/>
        <v>#N/A</v>
      </c>
      <c r="LGV43" s="380" t="e">
        <f t="shared" si="133"/>
        <v>#N/A</v>
      </c>
      <c r="LGW43" s="380" t="e">
        <f t="shared" si="133"/>
        <v>#N/A</v>
      </c>
      <c r="LGX43" s="380" t="e">
        <f t="shared" si="133"/>
        <v>#N/A</v>
      </c>
      <c r="LGY43" s="380" t="e">
        <f t="shared" si="133"/>
        <v>#N/A</v>
      </c>
      <c r="LGZ43" s="380" t="e">
        <f t="shared" si="133"/>
        <v>#N/A</v>
      </c>
      <c r="LHA43" s="380" t="e">
        <f t="shared" si="133"/>
        <v>#N/A</v>
      </c>
      <c r="LHB43" s="380" t="e">
        <f t="shared" si="133"/>
        <v>#N/A</v>
      </c>
      <c r="LHC43" s="380" t="e">
        <f t="shared" si="133"/>
        <v>#N/A</v>
      </c>
      <c r="LHD43" s="380" t="e">
        <f t="shared" si="133"/>
        <v>#N/A</v>
      </c>
      <c r="LHE43" s="380" t="e">
        <f t="shared" si="133"/>
        <v>#N/A</v>
      </c>
      <c r="LHF43" s="380" t="e">
        <f t="shared" si="133"/>
        <v>#N/A</v>
      </c>
      <c r="LHG43" s="380" t="e">
        <f t="shared" si="133"/>
        <v>#N/A</v>
      </c>
      <c r="LHH43" s="380" t="e">
        <f t="shared" ref="LHH43:LJS43" si="134">INDEX(LHH7:LHH40,MATCH($E$43,$E$7:$E$40,0))</f>
        <v>#N/A</v>
      </c>
      <c r="LHI43" s="380" t="e">
        <f t="shared" si="134"/>
        <v>#N/A</v>
      </c>
      <c r="LHJ43" s="380" t="e">
        <f t="shared" si="134"/>
        <v>#N/A</v>
      </c>
      <c r="LHK43" s="380" t="e">
        <f t="shared" si="134"/>
        <v>#N/A</v>
      </c>
      <c r="LHL43" s="380" t="e">
        <f t="shared" si="134"/>
        <v>#N/A</v>
      </c>
      <c r="LHM43" s="380" t="e">
        <f t="shared" si="134"/>
        <v>#N/A</v>
      </c>
      <c r="LHN43" s="380" t="e">
        <f t="shared" si="134"/>
        <v>#N/A</v>
      </c>
      <c r="LHO43" s="380" t="e">
        <f t="shared" si="134"/>
        <v>#N/A</v>
      </c>
      <c r="LHP43" s="380" t="e">
        <f t="shared" si="134"/>
        <v>#N/A</v>
      </c>
      <c r="LHQ43" s="380" t="e">
        <f t="shared" si="134"/>
        <v>#N/A</v>
      </c>
      <c r="LHR43" s="380" t="e">
        <f t="shared" si="134"/>
        <v>#N/A</v>
      </c>
      <c r="LHS43" s="380" t="e">
        <f t="shared" si="134"/>
        <v>#N/A</v>
      </c>
      <c r="LHT43" s="380" t="e">
        <f t="shared" si="134"/>
        <v>#N/A</v>
      </c>
      <c r="LHU43" s="380" t="e">
        <f t="shared" si="134"/>
        <v>#N/A</v>
      </c>
      <c r="LHV43" s="380" t="e">
        <f t="shared" si="134"/>
        <v>#N/A</v>
      </c>
      <c r="LHW43" s="380" t="e">
        <f t="shared" si="134"/>
        <v>#N/A</v>
      </c>
      <c r="LHX43" s="380" t="e">
        <f t="shared" si="134"/>
        <v>#N/A</v>
      </c>
      <c r="LHY43" s="380" t="e">
        <f t="shared" si="134"/>
        <v>#N/A</v>
      </c>
      <c r="LHZ43" s="380" t="e">
        <f t="shared" si="134"/>
        <v>#N/A</v>
      </c>
      <c r="LIA43" s="380" t="e">
        <f t="shared" si="134"/>
        <v>#N/A</v>
      </c>
      <c r="LIB43" s="380" t="e">
        <f t="shared" si="134"/>
        <v>#N/A</v>
      </c>
      <c r="LIC43" s="380" t="e">
        <f t="shared" si="134"/>
        <v>#N/A</v>
      </c>
      <c r="LID43" s="380" t="e">
        <f t="shared" si="134"/>
        <v>#N/A</v>
      </c>
      <c r="LIE43" s="380" t="e">
        <f t="shared" si="134"/>
        <v>#N/A</v>
      </c>
      <c r="LIF43" s="380" t="e">
        <f t="shared" si="134"/>
        <v>#N/A</v>
      </c>
      <c r="LIG43" s="380" t="e">
        <f t="shared" si="134"/>
        <v>#N/A</v>
      </c>
      <c r="LIH43" s="380" t="e">
        <f t="shared" si="134"/>
        <v>#N/A</v>
      </c>
      <c r="LII43" s="380" t="e">
        <f t="shared" si="134"/>
        <v>#N/A</v>
      </c>
      <c r="LIJ43" s="380" t="e">
        <f t="shared" si="134"/>
        <v>#N/A</v>
      </c>
      <c r="LIK43" s="380" t="e">
        <f t="shared" si="134"/>
        <v>#N/A</v>
      </c>
      <c r="LIL43" s="380" t="e">
        <f t="shared" si="134"/>
        <v>#N/A</v>
      </c>
      <c r="LIM43" s="380" t="e">
        <f t="shared" si="134"/>
        <v>#N/A</v>
      </c>
      <c r="LIN43" s="380" t="e">
        <f t="shared" si="134"/>
        <v>#N/A</v>
      </c>
      <c r="LIO43" s="380" t="e">
        <f t="shared" si="134"/>
        <v>#N/A</v>
      </c>
      <c r="LIP43" s="380" t="e">
        <f t="shared" si="134"/>
        <v>#N/A</v>
      </c>
      <c r="LIQ43" s="380" t="e">
        <f t="shared" si="134"/>
        <v>#N/A</v>
      </c>
      <c r="LIR43" s="380" t="e">
        <f t="shared" si="134"/>
        <v>#N/A</v>
      </c>
      <c r="LIS43" s="380" t="e">
        <f t="shared" si="134"/>
        <v>#N/A</v>
      </c>
      <c r="LIT43" s="380" t="e">
        <f t="shared" si="134"/>
        <v>#N/A</v>
      </c>
      <c r="LIU43" s="380" t="e">
        <f t="shared" si="134"/>
        <v>#N/A</v>
      </c>
      <c r="LIV43" s="380" t="e">
        <f t="shared" si="134"/>
        <v>#N/A</v>
      </c>
      <c r="LIW43" s="380" t="e">
        <f t="shared" si="134"/>
        <v>#N/A</v>
      </c>
      <c r="LIX43" s="380" t="e">
        <f t="shared" si="134"/>
        <v>#N/A</v>
      </c>
      <c r="LIY43" s="380" t="e">
        <f t="shared" si="134"/>
        <v>#N/A</v>
      </c>
      <c r="LIZ43" s="380" t="e">
        <f t="shared" si="134"/>
        <v>#N/A</v>
      </c>
      <c r="LJA43" s="380" t="e">
        <f t="shared" si="134"/>
        <v>#N/A</v>
      </c>
      <c r="LJB43" s="380" t="e">
        <f t="shared" si="134"/>
        <v>#N/A</v>
      </c>
      <c r="LJC43" s="380" t="e">
        <f t="shared" si="134"/>
        <v>#N/A</v>
      </c>
      <c r="LJD43" s="380" t="e">
        <f t="shared" si="134"/>
        <v>#N/A</v>
      </c>
      <c r="LJE43" s="380" t="e">
        <f t="shared" si="134"/>
        <v>#N/A</v>
      </c>
      <c r="LJF43" s="380" t="e">
        <f t="shared" si="134"/>
        <v>#N/A</v>
      </c>
      <c r="LJG43" s="380" t="e">
        <f t="shared" si="134"/>
        <v>#N/A</v>
      </c>
      <c r="LJH43" s="380" t="e">
        <f t="shared" si="134"/>
        <v>#N/A</v>
      </c>
      <c r="LJI43" s="380" t="e">
        <f t="shared" si="134"/>
        <v>#N/A</v>
      </c>
      <c r="LJJ43" s="380" t="e">
        <f t="shared" si="134"/>
        <v>#N/A</v>
      </c>
      <c r="LJK43" s="380" t="e">
        <f t="shared" si="134"/>
        <v>#N/A</v>
      </c>
      <c r="LJL43" s="380" t="e">
        <f t="shared" si="134"/>
        <v>#N/A</v>
      </c>
      <c r="LJM43" s="380" t="e">
        <f t="shared" si="134"/>
        <v>#N/A</v>
      </c>
      <c r="LJN43" s="380" t="e">
        <f t="shared" si="134"/>
        <v>#N/A</v>
      </c>
      <c r="LJO43" s="380" t="e">
        <f t="shared" si="134"/>
        <v>#N/A</v>
      </c>
      <c r="LJP43" s="380" t="e">
        <f t="shared" si="134"/>
        <v>#N/A</v>
      </c>
      <c r="LJQ43" s="380" t="e">
        <f t="shared" si="134"/>
        <v>#N/A</v>
      </c>
      <c r="LJR43" s="380" t="e">
        <f t="shared" si="134"/>
        <v>#N/A</v>
      </c>
      <c r="LJS43" s="380" t="e">
        <f t="shared" si="134"/>
        <v>#N/A</v>
      </c>
      <c r="LJT43" s="380" t="e">
        <f t="shared" ref="LJT43:LME43" si="135">INDEX(LJT7:LJT40,MATCH($E$43,$E$7:$E$40,0))</f>
        <v>#N/A</v>
      </c>
      <c r="LJU43" s="380" t="e">
        <f t="shared" si="135"/>
        <v>#N/A</v>
      </c>
      <c r="LJV43" s="380" t="e">
        <f t="shared" si="135"/>
        <v>#N/A</v>
      </c>
      <c r="LJW43" s="380" t="e">
        <f t="shared" si="135"/>
        <v>#N/A</v>
      </c>
      <c r="LJX43" s="380" t="e">
        <f t="shared" si="135"/>
        <v>#N/A</v>
      </c>
      <c r="LJY43" s="380" t="e">
        <f t="shared" si="135"/>
        <v>#N/A</v>
      </c>
      <c r="LJZ43" s="380" t="e">
        <f t="shared" si="135"/>
        <v>#N/A</v>
      </c>
      <c r="LKA43" s="380" t="e">
        <f t="shared" si="135"/>
        <v>#N/A</v>
      </c>
      <c r="LKB43" s="380" t="e">
        <f t="shared" si="135"/>
        <v>#N/A</v>
      </c>
      <c r="LKC43" s="380" t="e">
        <f t="shared" si="135"/>
        <v>#N/A</v>
      </c>
      <c r="LKD43" s="380" t="e">
        <f t="shared" si="135"/>
        <v>#N/A</v>
      </c>
      <c r="LKE43" s="380" t="e">
        <f t="shared" si="135"/>
        <v>#N/A</v>
      </c>
      <c r="LKF43" s="380" t="e">
        <f t="shared" si="135"/>
        <v>#N/A</v>
      </c>
      <c r="LKG43" s="380" t="e">
        <f t="shared" si="135"/>
        <v>#N/A</v>
      </c>
      <c r="LKH43" s="380" t="e">
        <f t="shared" si="135"/>
        <v>#N/A</v>
      </c>
      <c r="LKI43" s="380" t="e">
        <f t="shared" si="135"/>
        <v>#N/A</v>
      </c>
      <c r="LKJ43" s="380" t="e">
        <f t="shared" si="135"/>
        <v>#N/A</v>
      </c>
      <c r="LKK43" s="380" t="e">
        <f t="shared" si="135"/>
        <v>#N/A</v>
      </c>
      <c r="LKL43" s="380" t="e">
        <f t="shared" si="135"/>
        <v>#N/A</v>
      </c>
      <c r="LKM43" s="380" t="e">
        <f t="shared" si="135"/>
        <v>#N/A</v>
      </c>
      <c r="LKN43" s="380" t="e">
        <f t="shared" si="135"/>
        <v>#N/A</v>
      </c>
      <c r="LKO43" s="380" t="e">
        <f t="shared" si="135"/>
        <v>#N/A</v>
      </c>
      <c r="LKP43" s="380" t="e">
        <f t="shared" si="135"/>
        <v>#N/A</v>
      </c>
      <c r="LKQ43" s="380" t="e">
        <f t="shared" si="135"/>
        <v>#N/A</v>
      </c>
      <c r="LKR43" s="380" t="e">
        <f t="shared" si="135"/>
        <v>#N/A</v>
      </c>
      <c r="LKS43" s="380" t="e">
        <f t="shared" si="135"/>
        <v>#N/A</v>
      </c>
      <c r="LKT43" s="380" t="e">
        <f t="shared" si="135"/>
        <v>#N/A</v>
      </c>
      <c r="LKU43" s="380" t="e">
        <f t="shared" si="135"/>
        <v>#N/A</v>
      </c>
      <c r="LKV43" s="380" t="e">
        <f t="shared" si="135"/>
        <v>#N/A</v>
      </c>
      <c r="LKW43" s="380" t="e">
        <f t="shared" si="135"/>
        <v>#N/A</v>
      </c>
      <c r="LKX43" s="380" t="e">
        <f t="shared" si="135"/>
        <v>#N/A</v>
      </c>
      <c r="LKY43" s="380" t="e">
        <f t="shared" si="135"/>
        <v>#N/A</v>
      </c>
      <c r="LKZ43" s="380" t="e">
        <f t="shared" si="135"/>
        <v>#N/A</v>
      </c>
      <c r="LLA43" s="380" t="e">
        <f t="shared" si="135"/>
        <v>#N/A</v>
      </c>
      <c r="LLB43" s="380" t="e">
        <f t="shared" si="135"/>
        <v>#N/A</v>
      </c>
      <c r="LLC43" s="380" t="e">
        <f t="shared" si="135"/>
        <v>#N/A</v>
      </c>
      <c r="LLD43" s="380" t="e">
        <f t="shared" si="135"/>
        <v>#N/A</v>
      </c>
      <c r="LLE43" s="380" t="e">
        <f t="shared" si="135"/>
        <v>#N/A</v>
      </c>
      <c r="LLF43" s="380" t="e">
        <f t="shared" si="135"/>
        <v>#N/A</v>
      </c>
      <c r="LLG43" s="380" t="e">
        <f t="shared" si="135"/>
        <v>#N/A</v>
      </c>
      <c r="LLH43" s="380" t="e">
        <f t="shared" si="135"/>
        <v>#N/A</v>
      </c>
      <c r="LLI43" s="380" t="e">
        <f t="shared" si="135"/>
        <v>#N/A</v>
      </c>
      <c r="LLJ43" s="380" t="e">
        <f t="shared" si="135"/>
        <v>#N/A</v>
      </c>
      <c r="LLK43" s="380" t="e">
        <f t="shared" si="135"/>
        <v>#N/A</v>
      </c>
      <c r="LLL43" s="380" t="e">
        <f t="shared" si="135"/>
        <v>#N/A</v>
      </c>
      <c r="LLM43" s="380" t="e">
        <f t="shared" si="135"/>
        <v>#N/A</v>
      </c>
      <c r="LLN43" s="380" t="e">
        <f t="shared" si="135"/>
        <v>#N/A</v>
      </c>
      <c r="LLO43" s="380" t="e">
        <f t="shared" si="135"/>
        <v>#N/A</v>
      </c>
      <c r="LLP43" s="380" t="e">
        <f t="shared" si="135"/>
        <v>#N/A</v>
      </c>
      <c r="LLQ43" s="380" t="e">
        <f t="shared" si="135"/>
        <v>#N/A</v>
      </c>
      <c r="LLR43" s="380" t="e">
        <f t="shared" si="135"/>
        <v>#N/A</v>
      </c>
      <c r="LLS43" s="380" t="e">
        <f t="shared" si="135"/>
        <v>#N/A</v>
      </c>
      <c r="LLT43" s="380" t="e">
        <f t="shared" si="135"/>
        <v>#N/A</v>
      </c>
      <c r="LLU43" s="380" t="e">
        <f t="shared" si="135"/>
        <v>#N/A</v>
      </c>
      <c r="LLV43" s="380" t="e">
        <f t="shared" si="135"/>
        <v>#N/A</v>
      </c>
      <c r="LLW43" s="380" t="e">
        <f t="shared" si="135"/>
        <v>#N/A</v>
      </c>
      <c r="LLX43" s="380" t="e">
        <f t="shared" si="135"/>
        <v>#N/A</v>
      </c>
      <c r="LLY43" s="380" t="e">
        <f t="shared" si="135"/>
        <v>#N/A</v>
      </c>
      <c r="LLZ43" s="380" t="e">
        <f t="shared" si="135"/>
        <v>#N/A</v>
      </c>
      <c r="LMA43" s="380" t="e">
        <f t="shared" si="135"/>
        <v>#N/A</v>
      </c>
      <c r="LMB43" s="380" t="e">
        <f t="shared" si="135"/>
        <v>#N/A</v>
      </c>
      <c r="LMC43" s="380" t="e">
        <f t="shared" si="135"/>
        <v>#N/A</v>
      </c>
      <c r="LMD43" s="380" t="e">
        <f t="shared" si="135"/>
        <v>#N/A</v>
      </c>
      <c r="LME43" s="380" t="e">
        <f t="shared" si="135"/>
        <v>#N/A</v>
      </c>
      <c r="LMF43" s="380" t="e">
        <f t="shared" ref="LMF43:LOQ43" si="136">INDEX(LMF7:LMF40,MATCH($E$43,$E$7:$E$40,0))</f>
        <v>#N/A</v>
      </c>
      <c r="LMG43" s="380" t="e">
        <f t="shared" si="136"/>
        <v>#N/A</v>
      </c>
      <c r="LMH43" s="380" t="e">
        <f t="shared" si="136"/>
        <v>#N/A</v>
      </c>
      <c r="LMI43" s="380" t="e">
        <f t="shared" si="136"/>
        <v>#N/A</v>
      </c>
      <c r="LMJ43" s="380" t="e">
        <f t="shared" si="136"/>
        <v>#N/A</v>
      </c>
      <c r="LMK43" s="380" t="e">
        <f t="shared" si="136"/>
        <v>#N/A</v>
      </c>
      <c r="LML43" s="380" t="e">
        <f t="shared" si="136"/>
        <v>#N/A</v>
      </c>
      <c r="LMM43" s="380" t="e">
        <f t="shared" si="136"/>
        <v>#N/A</v>
      </c>
      <c r="LMN43" s="380" t="e">
        <f t="shared" si="136"/>
        <v>#N/A</v>
      </c>
      <c r="LMO43" s="380" t="e">
        <f t="shared" si="136"/>
        <v>#N/A</v>
      </c>
      <c r="LMP43" s="380" t="e">
        <f t="shared" si="136"/>
        <v>#N/A</v>
      </c>
      <c r="LMQ43" s="380" t="e">
        <f t="shared" si="136"/>
        <v>#N/A</v>
      </c>
      <c r="LMR43" s="380" t="e">
        <f t="shared" si="136"/>
        <v>#N/A</v>
      </c>
      <c r="LMS43" s="380" t="e">
        <f t="shared" si="136"/>
        <v>#N/A</v>
      </c>
      <c r="LMT43" s="380" t="e">
        <f t="shared" si="136"/>
        <v>#N/A</v>
      </c>
      <c r="LMU43" s="380" t="e">
        <f t="shared" si="136"/>
        <v>#N/A</v>
      </c>
      <c r="LMV43" s="380" t="e">
        <f t="shared" si="136"/>
        <v>#N/A</v>
      </c>
      <c r="LMW43" s="380" t="e">
        <f t="shared" si="136"/>
        <v>#N/A</v>
      </c>
      <c r="LMX43" s="380" t="e">
        <f t="shared" si="136"/>
        <v>#N/A</v>
      </c>
      <c r="LMY43" s="380" t="e">
        <f t="shared" si="136"/>
        <v>#N/A</v>
      </c>
      <c r="LMZ43" s="380" t="e">
        <f t="shared" si="136"/>
        <v>#N/A</v>
      </c>
      <c r="LNA43" s="380" t="e">
        <f t="shared" si="136"/>
        <v>#N/A</v>
      </c>
      <c r="LNB43" s="380" t="e">
        <f t="shared" si="136"/>
        <v>#N/A</v>
      </c>
      <c r="LNC43" s="380" t="e">
        <f t="shared" si="136"/>
        <v>#N/A</v>
      </c>
      <c r="LND43" s="380" t="e">
        <f t="shared" si="136"/>
        <v>#N/A</v>
      </c>
      <c r="LNE43" s="380" t="e">
        <f t="shared" si="136"/>
        <v>#N/A</v>
      </c>
      <c r="LNF43" s="380" t="e">
        <f t="shared" si="136"/>
        <v>#N/A</v>
      </c>
      <c r="LNG43" s="380" t="e">
        <f t="shared" si="136"/>
        <v>#N/A</v>
      </c>
      <c r="LNH43" s="380" t="e">
        <f t="shared" si="136"/>
        <v>#N/A</v>
      </c>
      <c r="LNI43" s="380" t="e">
        <f t="shared" si="136"/>
        <v>#N/A</v>
      </c>
      <c r="LNJ43" s="380" t="e">
        <f t="shared" si="136"/>
        <v>#N/A</v>
      </c>
      <c r="LNK43" s="380" t="e">
        <f t="shared" si="136"/>
        <v>#N/A</v>
      </c>
      <c r="LNL43" s="380" t="e">
        <f t="shared" si="136"/>
        <v>#N/A</v>
      </c>
      <c r="LNM43" s="380" t="e">
        <f t="shared" si="136"/>
        <v>#N/A</v>
      </c>
      <c r="LNN43" s="380" t="e">
        <f t="shared" si="136"/>
        <v>#N/A</v>
      </c>
      <c r="LNO43" s="380" t="e">
        <f t="shared" si="136"/>
        <v>#N/A</v>
      </c>
      <c r="LNP43" s="380" t="e">
        <f t="shared" si="136"/>
        <v>#N/A</v>
      </c>
      <c r="LNQ43" s="380" t="e">
        <f t="shared" si="136"/>
        <v>#N/A</v>
      </c>
      <c r="LNR43" s="380" t="e">
        <f t="shared" si="136"/>
        <v>#N/A</v>
      </c>
      <c r="LNS43" s="380" t="e">
        <f t="shared" si="136"/>
        <v>#N/A</v>
      </c>
      <c r="LNT43" s="380" t="e">
        <f t="shared" si="136"/>
        <v>#N/A</v>
      </c>
      <c r="LNU43" s="380" t="e">
        <f t="shared" si="136"/>
        <v>#N/A</v>
      </c>
      <c r="LNV43" s="380" t="e">
        <f t="shared" si="136"/>
        <v>#N/A</v>
      </c>
      <c r="LNW43" s="380" t="e">
        <f t="shared" si="136"/>
        <v>#N/A</v>
      </c>
      <c r="LNX43" s="380" t="e">
        <f t="shared" si="136"/>
        <v>#N/A</v>
      </c>
      <c r="LNY43" s="380" t="e">
        <f t="shared" si="136"/>
        <v>#N/A</v>
      </c>
      <c r="LNZ43" s="380" t="e">
        <f t="shared" si="136"/>
        <v>#N/A</v>
      </c>
      <c r="LOA43" s="380" t="e">
        <f t="shared" si="136"/>
        <v>#N/A</v>
      </c>
      <c r="LOB43" s="380" t="e">
        <f t="shared" si="136"/>
        <v>#N/A</v>
      </c>
      <c r="LOC43" s="380" t="e">
        <f t="shared" si="136"/>
        <v>#N/A</v>
      </c>
      <c r="LOD43" s="380" t="e">
        <f t="shared" si="136"/>
        <v>#N/A</v>
      </c>
      <c r="LOE43" s="380" t="e">
        <f t="shared" si="136"/>
        <v>#N/A</v>
      </c>
      <c r="LOF43" s="380" t="e">
        <f t="shared" si="136"/>
        <v>#N/A</v>
      </c>
      <c r="LOG43" s="380" t="e">
        <f t="shared" si="136"/>
        <v>#N/A</v>
      </c>
      <c r="LOH43" s="380" t="e">
        <f t="shared" si="136"/>
        <v>#N/A</v>
      </c>
      <c r="LOI43" s="380" t="e">
        <f t="shared" si="136"/>
        <v>#N/A</v>
      </c>
      <c r="LOJ43" s="380" t="e">
        <f t="shared" si="136"/>
        <v>#N/A</v>
      </c>
      <c r="LOK43" s="380" t="e">
        <f t="shared" si="136"/>
        <v>#N/A</v>
      </c>
      <c r="LOL43" s="380" t="e">
        <f t="shared" si="136"/>
        <v>#N/A</v>
      </c>
      <c r="LOM43" s="380" t="e">
        <f t="shared" si="136"/>
        <v>#N/A</v>
      </c>
      <c r="LON43" s="380" t="e">
        <f t="shared" si="136"/>
        <v>#N/A</v>
      </c>
      <c r="LOO43" s="380" t="e">
        <f t="shared" si="136"/>
        <v>#N/A</v>
      </c>
      <c r="LOP43" s="380" t="e">
        <f t="shared" si="136"/>
        <v>#N/A</v>
      </c>
      <c r="LOQ43" s="380" t="e">
        <f t="shared" si="136"/>
        <v>#N/A</v>
      </c>
      <c r="LOR43" s="380" t="e">
        <f t="shared" ref="LOR43:LRC43" si="137">INDEX(LOR7:LOR40,MATCH($E$43,$E$7:$E$40,0))</f>
        <v>#N/A</v>
      </c>
      <c r="LOS43" s="380" t="e">
        <f t="shared" si="137"/>
        <v>#N/A</v>
      </c>
      <c r="LOT43" s="380" t="e">
        <f t="shared" si="137"/>
        <v>#N/A</v>
      </c>
      <c r="LOU43" s="380" t="e">
        <f t="shared" si="137"/>
        <v>#N/A</v>
      </c>
      <c r="LOV43" s="380" t="e">
        <f t="shared" si="137"/>
        <v>#N/A</v>
      </c>
      <c r="LOW43" s="380" t="e">
        <f t="shared" si="137"/>
        <v>#N/A</v>
      </c>
      <c r="LOX43" s="380" t="e">
        <f t="shared" si="137"/>
        <v>#N/A</v>
      </c>
      <c r="LOY43" s="380" t="e">
        <f t="shared" si="137"/>
        <v>#N/A</v>
      </c>
      <c r="LOZ43" s="380" t="e">
        <f t="shared" si="137"/>
        <v>#N/A</v>
      </c>
      <c r="LPA43" s="380" t="e">
        <f t="shared" si="137"/>
        <v>#N/A</v>
      </c>
      <c r="LPB43" s="380" t="e">
        <f t="shared" si="137"/>
        <v>#N/A</v>
      </c>
      <c r="LPC43" s="380" t="e">
        <f t="shared" si="137"/>
        <v>#N/A</v>
      </c>
      <c r="LPD43" s="380" t="e">
        <f t="shared" si="137"/>
        <v>#N/A</v>
      </c>
      <c r="LPE43" s="380" t="e">
        <f t="shared" si="137"/>
        <v>#N/A</v>
      </c>
      <c r="LPF43" s="380" t="e">
        <f t="shared" si="137"/>
        <v>#N/A</v>
      </c>
      <c r="LPG43" s="380" t="e">
        <f t="shared" si="137"/>
        <v>#N/A</v>
      </c>
      <c r="LPH43" s="380" t="e">
        <f t="shared" si="137"/>
        <v>#N/A</v>
      </c>
      <c r="LPI43" s="380" t="e">
        <f t="shared" si="137"/>
        <v>#N/A</v>
      </c>
      <c r="LPJ43" s="380" t="e">
        <f t="shared" si="137"/>
        <v>#N/A</v>
      </c>
      <c r="LPK43" s="380" t="e">
        <f t="shared" si="137"/>
        <v>#N/A</v>
      </c>
      <c r="LPL43" s="380" t="e">
        <f t="shared" si="137"/>
        <v>#N/A</v>
      </c>
      <c r="LPM43" s="380" t="e">
        <f t="shared" si="137"/>
        <v>#N/A</v>
      </c>
      <c r="LPN43" s="380" t="e">
        <f t="shared" si="137"/>
        <v>#N/A</v>
      </c>
      <c r="LPO43" s="380" t="e">
        <f t="shared" si="137"/>
        <v>#N/A</v>
      </c>
      <c r="LPP43" s="380" t="e">
        <f t="shared" si="137"/>
        <v>#N/A</v>
      </c>
      <c r="LPQ43" s="380" t="e">
        <f t="shared" si="137"/>
        <v>#N/A</v>
      </c>
      <c r="LPR43" s="380" t="e">
        <f t="shared" si="137"/>
        <v>#N/A</v>
      </c>
      <c r="LPS43" s="380" t="e">
        <f t="shared" si="137"/>
        <v>#N/A</v>
      </c>
      <c r="LPT43" s="380" t="e">
        <f t="shared" si="137"/>
        <v>#N/A</v>
      </c>
      <c r="LPU43" s="380" t="e">
        <f t="shared" si="137"/>
        <v>#N/A</v>
      </c>
      <c r="LPV43" s="380" t="e">
        <f t="shared" si="137"/>
        <v>#N/A</v>
      </c>
      <c r="LPW43" s="380" t="e">
        <f t="shared" si="137"/>
        <v>#N/A</v>
      </c>
      <c r="LPX43" s="380" t="e">
        <f t="shared" si="137"/>
        <v>#N/A</v>
      </c>
      <c r="LPY43" s="380" t="e">
        <f t="shared" si="137"/>
        <v>#N/A</v>
      </c>
      <c r="LPZ43" s="380" t="e">
        <f t="shared" si="137"/>
        <v>#N/A</v>
      </c>
      <c r="LQA43" s="380" t="e">
        <f t="shared" si="137"/>
        <v>#N/A</v>
      </c>
      <c r="LQB43" s="380" t="e">
        <f t="shared" si="137"/>
        <v>#N/A</v>
      </c>
      <c r="LQC43" s="380" t="e">
        <f t="shared" si="137"/>
        <v>#N/A</v>
      </c>
      <c r="LQD43" s="380" t="e">
        <f t="shared" si="137"/>
        <v>#N/A</v>
      </c>
      <c r="LQE43" s="380" t="e">
        <f t="shared" si="137"/>
        <v>#N/A</v>
      </c>
      <c r="LQF43" s="380" t="e">
        <f t="shared" si="137"/>
        <v>#N/A</v>
      </c>
      <c r="LQG43" s="380" t="e">
        <f t="shared" si="137"/>
        <v>#N/A</v>
      </c>
      <c r="LQH43" s="380" t="e">
        <f t="shared" si="137"/>
        <v>#N/A</v>
      </c>
      <c r="LQI43" s="380" t="e">
        <f t="shared" si="137"/>
        <v>#N/A</v>
      </c>
      <c r="LQJ43" s="380" t="e">
        <f t="shared" si="137"/>
        <v>#N/A</v>
      </c>
      <c r="LQK43" s="380" t="e">
        <f t="shared" si="137"/>
        <v>#N/A</v>
      </c>
      <c r="LQL43" s="380" t="e">
        <f t="shared" si="137"/>
        <v>#N/A</v>
      </c>
      <c r="LQM43" s="380" t="e">
        <f t="shared" si="137"/>
        <v>#N/A</v>
      </c>
      <c r="LQN43" s="380" t="e">
        <f t="shared" si="137"/>
        <v>#N/A</v>
      </c>
      <c r="LQO43" s="380" t="e">
        <f t="shared" si="137"/>
        <v>#N/A</v>
      </c>
      <c r="LQP43" s="380" t="e">
        <f t="shared" si="137"/>
        <v>#N/A</v>
      </c>
      <c r="LQQ43" s="380" t="e">
        <f t="shared" si="137"/>
        <v>#N/A</v>
      </c>
      <c r="LQR43" s="380" t="e">
        <f t="shared" si="137"/>
        <v>#N/A</v>
      </c>
      <c r="LQS43" s="380" t="e">
        <f t="shared" si="137"/>
        <v>#N/A</v>
      </c>
      <c r="LQT43" s="380" t="e">
        <f t="shared" si="137"/>
        <v>#N/A</v>
      </c>
      <c r="LQU43" s="380" t="e">
        <f t="shared" si="137"/>
        <v>#N/A</v>
      </c>
      <c r="LQV43" s="380" t="e">
        <f t="shared" si="137"/>
        <v>#N/A</v>
      </c>
      <c r="LQW43" s="380" t="e">
        <f t="shared" si="137"/>
        <v>#N/A</v>
      </c>
      <c r="LQX43" s="380" t="e">
        <f t="shared" si="137"/>
        <v>#N/A</v>
      </c>
      <c r="LQY43" s="380" t="e">
        <f t="shared" si="137"/>
        <v>#N/A</v>
      </c>
      <c r="LQZ43" s="380" t="e">
        <f t="shared" si="137"/>
        <v>#N/A</v>
      </c>
      <c r="LRA43" s="380" t="e">
        <f t="shared" si="137"/>
        <v>#N/A</v>
      </c>
      <c r="LRB43" s="380" t="e">
        <f t="shared" si="137"/>
        <v>#N/A</v>
      </c>
      <c r="LRC43" s="380" t="e">
        <f t="shared" si="137"/>
        <v>#N/A</v>
      </c>
      <c r="LRD43" s="380" t="e">
        <f t="shared" ref="LRD43:LTO43" si="138">INDEX(LRD7:LRD40,MATCH($E$43,$E$7:$E$40,0))</f>
        <v>#N/A</v>
      </c>
      <c r="LRE43" s="380" t="e">
        <f t="shared" si="138"/>
        <v>#N/A</v>
      </c>
      <c r="LRF43" s="380" t="e">
        <f t="shared" si="138"/>
        <v>#N/A</v>
      </c>
      <c r="LRG43" s="380" t="e">
        <f t="shared" si="138"/>
        <v>#N/A</v>
      </c>
      <c r="LRH43" s="380" t="e">
        <f t="shared" si="138"/>
        <v>#N/A</v>
      </c>
      <c r="LRI43" s="380" t="e">
        <f t="shared" si="138"/>
        <v>#N/A</v>
      </c>
      <c r="LRJ43" s="380" t="e">
        <f t="shared" si="138"/>
        <v>#N/A</v>
      </c>
      <c r="LRK43" s="380" t="e">
        <f t="shared" si="138"/>
        <v>#N/A</v>
      </c>
      <c r="LRL43" s="380" t="e">
        <f t="shared" si="138"/>
        <v>#N/A</v>
      </c>
      <c r="LRM43" s="380" t="e">
        <f t="shared" si="138"/>
        <v>#N/A</v>
      </c>
      <c r="LRN43" s="380" t="e">
        <f t="shared" si="138"/>
        <v>#N/A</v>
      </c>
      <c r="LRO43" s="380" t="e">
        <f t="shared" si="138"/>
        <v>#N/A</v>
      </c>
      <c r="LRP43" s="380" t="e">
        <f t="shared" si="138"/>
        <v>#N/A</v>
      </c>
      <c r="LRQ43" s="380" t="e">
        <f t="shared" si="138"/>
        <v>#N/A</v>
      </c>
      <c r="LRR43" s="380" t="e">
        <f t="shared" si="138"/>
        <v>#N/A</v>
      </c>
      <c r="LRS43" s="380" t="e">
        <f t="shared" si="138"/>
        <v>#N/A</v>
      </c>
      <c r="LRT43" s="380" t="e">
        <f t="shared" si="138"/>
        <v>#N/A</v>
      </c>
      <c r="LRU43" s="380" t="e">
        <f t="shared" si="138"/>
        <v>#N/A</v>
      </c>
      <c r="LRV43" s="380" t="e">
        <f t="shared" si="138"/>
        <v>#N/A</v>
      </c>
      <c r="LRW43" s="380" t="e">
        <f t="shared" si="138"/>
        <v>#N/A</v>
      </c>
      <c r="LRX43" s="380" t="e">
        <f t="shared" si="138"/>
        <v>#N/A</v>
      </c>
      <c r="LRY43" s="380" t="e">
        <f t="shared" si="138"/>
        <v>#N/A</v>
      </c>
      <c r="LRZ43" s="380" t="e">
        <f t="shared" si="138"/>
        <v>#N/A</v>
      </c>
      <c r="LSA43" s="380" t="e">
        <f t="shared" si="138"/>
        <v>#N/A</v>
      </c>
      <c r="LSB43" s="380" t="e">
        <f t="shared" si="138"/>
        <v>#N/A</v>
      </c>
      <c r="LSC43" s="380" t="e">
        <f t="shared" si="138"/>
        <v>#N/A</v>
      </c>
      <c r="LSD43" s="380" t="e">
        <f t="shared" si="138"/>
        <v>#N/A</v>
      </c>
      <c r="LSE43" s="380" t="e">
        <f t="shared" si="138"/>
        <v>#N/A</v>
      </c>
      <c r="LSF43" s="380" t="e">
        <f t="shared" si="138"/>
        <v>#N/A</v>
      </c>
      <c r="LSG43" s="380" t="e">
        <f t="shared" si="138"/>
        <v>#N/A</v>
      </c>
      <c r="LSH43" s="380" t="e">
        <f t="shared" si="138"/>
        <v>#N/A</v>
      </c>
      <c r="LSI43" s="380" t="e">
        <f t="shared" si="138"/>
        <v>#N/A</v>
      </c>
      <c r="LSJ43" s="380" t="e">
        <f t="shared" si="138"/>
        <v>#N/A</v>
      </c>
      <c r="LSK43" s="380" t="e">
        <f t="shared" si="138"/>
        <v>#N/A</v>
      </c>
      <c r="LSL43" s="380" t="e">
        <f t="shared" si="138"/>
        <v>#N/A</v>
      </c>
      <c r="LSM43" s="380" t="e">
        <f t="shared" si="138"/>
        <v>#N/A</v>
      </c>
      <c r="LSN43" s="380" t="e">
        <f t="shared" si="138"/>
        <v>#N/A</v>
      </c>
      <c r="LSO43" s="380" t="e">
        <f t="shared" si="138"/>
        <v>#N/A</v>
      </c>
      <c r="LSP43" s="380" t="e">
        <f t="shared" si="138"/>
        <v>#N/A</v>
      </c>
      <c r="LSQ43" s="380" t="e">
        <f t="shared" si="138"/>
        <v>#N/A</v>
      </c>
      <c r="LSR43" s="380" t="e">
        <f t="shared" si="138"/>
        <v>#N/A</v>
      </c>
      <c r="LSS43" s="380" t="e">
        <f t="shared" si="138"/>
        <v>#N/A</v>
      </c>
      <c r="LST43" s="380" t="e">
        <f t="shared" si="138"/>
        <v>#N/A</v>
      </c>
      <c r="LSU43" s="380" t="e">
        <f t="shared" si="138"/>
        <v>#N/A</v>
      </c>
      <c r="LSV43" s="380" t="e">
        <f t="shared" si="138"/>
        <v>#N/A</v>
      </c>
      <c r="LSW43" s="380" t="e">
        <f t="shared" si="138"/>
        <v>#N/A</v>
      </c>
      <c r="LSX43" s="380" t="e">
        <f t="shared" si="138"/>
        <v>#N/A</v>
      </c>
      <c r="LSY43" s="380" t="e">
        <f t="shared" si="138"/>
        <v>#N/A</v>
      </c>
      <c r="LSZ43" s="380" t="e">
        <f t="shared" si="138"/>
        <v>#N/A</v>
      </c>
      <c r="LTA43" s="380" t="e">
        <f t="shared" si="138"/>
        <v>#N/A</v>
      </c>
      <c r="LTB43" s="380" t="e">
        <f t="shared" si="138"/>
        <v>#N/A</v>
      </c>
      <c r="LTC43" s="380" t="e">
        <f t="shared" si="138"/>
        <v>#N/A</v>
      </c>
      <c r="LTD43" s="380" t="e">
        <f t="shared" si="138"/>
        <v>#N/A</v>
      </c>
      <c r="LTE43" s="380" t="e">
        <f t="shared" si="138"/>
        <v>#N/A</v>
      </c>
      <c r="LTF43" s="380" t="e">
        <f t="shared" si="138"/>
        <v>#N/A</v>
      </c>
      <c r="LTG43" s="380" t="e">
        <f t="shared" si="138"/>
        <v>#N/A</v>
      </c>
      <c r="LTH43" s="380" t="e">
        <f t="shared" si="138"/>
        <v>#N/A</v>
      </c>
      <c r="LTI43" s="380" t="e">
        <f t="shared" si="138"/>
        <v>#N/A</v>
      </c>
      <c r="LTJ43" s="380" t="e">
        <f t="shared" si="138"/>
        <v>#N/A</v>
      </c>
      <c r="LTK43" s="380" t="e">
        <f t="shared" si="138"/>
        <v>#N/A</v>
      </c>
      <c r="LTL43" s="380" t="e">
        <f t="shared" si="138"/>
        <v>#N/A</v>
      </c>
      <c r="LTM43" s="380" t="e">
        <f t="shared" si="138"/>
        <v>#N/A</v>
      </c>
      <c r="LTN43" s="380" t="e">
        <f t="shared" si="138"/>
        <v>#N/A</v>
      </c>
      <c r="LTO43" s="380" t="e">
        <f t="shared" si="138"/>
        <v>#N/A</v>
      </c>
      <c r="LTP43" s="380" t="e">
        <f t="shared" ref="LTP43:LWA43" si="139">INDEX(LTP7:LTP40,MATCH($E$43,$E$7:$E$40,0))</f>
        <v>#N/A</v>
      </c>
      <c r="LTQ43" s="380" t="e">
        <f t="shared" si="139"/>
        <v>#N/A</v>
      </c>
      <c r="LTR43" s="380" t="e">
        <f t="shared" si="139"/>
        <v>#N/A</v>
      </c>
      <c r="LTS43" s="380" t="e">
        <f t="shared" si="139"/>
        <v>#N/A</v>
      </c>
      <c r="LTT43" s="380" t="e">
        <f t="shared" si="139"/>
        <v>#N/A</v>
      </c>
      <c r="LTU43" s="380" t="e">
        <f t="shared" si="139"/>
        <v>#N/A</v>
      </c>
      <c r="LTV43" s="380" t="e">
        <f t="shared" si="139"/>
        <v>#N/A</v>
      </c>
      <c r="LTW43" s="380" t="e">
        <f t="shared" si="139"/>
        <v>#N/A</v>
      </c>
      <c r="LTX43" s="380" t="e">
        <f t="shared" si="139"/>
        <v>#N/A</v>
      </c>
      <c r="LTY43" s="380" t="e">
        <f t="shared" si="139"/>
        <v>#N/A</v>
      </c>
      <c r="LTZ43" s="380" t="e">
        <f t="shared" si="139"/>
        <v>#N/A</v>
      </c>
      <c r="LUA43" s="380" t="e">
        <f t="shared" si="139"/>
        <v>#N/A</v>
      </c>
      <c r="LUB43" s="380" t="e">
        <f t="shared" si="139"/>
        <v>#N/A</v>
      </c>
      <c r="LUC43" s="380" t="e">
        <f t="shared" si="139"/>
        <v>#N/A</v>
      </c>
      <c r="LUD43" s="380" t="e">
        <f t="shared" si="139"/>
        <v>#N/A</v>
      </c>
      <c r="LUE43" s="380" t="e">
        <f t="shared" si="139"/>
        <v>#N/A</v>
      </c>
      <c r="LUF43" s="380" t="e">
        <f t="shared" si="139"/>
        <v>#N/A</v>
      </c>
      <c r="LUG43" s="380" t="e">
        <f t="shared" si="139"/>
        <v>#N/A</v>
      </c>
      <c r="LUH43" s="380" t="e">
        <f t="shared" si="139"/>
        <v>#N/A</v>
      </c>
      <c r="LUI43" s="380" t="e">
        <f t="shared" si="139"/>
        <v>#N/A</v>
      </c>
      <c r="LUJ43" s="380" t="e">
        <f t="shared" si="139"/>
        <v>#N/A</v>
      </c>
      <c r="LUK43" s="380" t="e">
        <f t="shared" si="139"/>
        <v>#N/A</v>
      </c>
      <c r="LUL43" s="380" t="e">
        <f t="shared" si="139"/>
        <v>#N/A</v>
      </c>
      <c r="LUM43" s="380" t="e">
        <f t="shared" si="139"/>
        <v>#N/A</v>
      </c>
      <c r="LUN43" s="380" t="e">
        <f t="shared" si="139"/>
        <v>#N/A</v>
      </c>
      <c r="LUO43" s="380" t="e">
        <f t="shared" si="139"/>
        <v>#N/A</v>
      </c>
      <c r="LUP43" s="380" t="e">
        <f t="shared" si="139"/>
        <v>#N/A</v>
      </c>
      <c r="LUQ43" s="380" t="e">
        <f t="shared" si="139"/>
        <v>#N/A</v>
      </c>
      <c r="LUR43" s="380" t="e">
        <f t="shared" si="139"/>
        <v>#N/A</v>
      </c>
      <c r="LUS43" s="380" t="e">
        <f t="shared" si="139"/>
        <v>#N/A</v>
      </c>
      <c r="LUT43" s="380" t="e">
        <f t="shared" si="139"/>
        <v>#N/A</v>
      </c>
      <c r="LUU43" s="380" t="e">
        <f t="shared" si="139"/>
        <v>#N/A</v>
      </c>
      <c r="LUV43" s="380" t="e">
        <f t="shared" si="139"/>
        <v>#N/A</v>
      </c>
      <c r="LUW43" s="380" t="e">
        <f t="shared" si="139"/>
        <v>#N/A</v>
      </c>
      <c r="LUX43" s="380" t="e">
        <f t="shared" si="139"/>
        <v>#N/A</v>
      </c>
      <c r="LUY43" s="380" t="e">
        <f t="shared" si="139"/>
        <v>#N/A</v>
      </c>
      <c r="LUZ43" s="380" t="e">
        <f t="shared" si="139"/>
        <v>#N/A</v>
      </c>
      <c r="LVA43" s="380" t="e">
        <f t="shared" si="139"/>
        <v>#N/A</v>
      </c>
      <c r="LVB43" s="380" t="e">
        <f t="shared" si="139"/>
        <v>#N/A</v>
      </c>
      <c r="LVC43" s="380" t="e">
        <f t="shared" si="139"/>
        <v>#N/A</v>
      </c>
      <c r="LVD43" s="380" t="e">
        <f t="shared" si="139"/>
        <v>#N/A</v>
      </c>
      <c r="LVE43" s="380" t="e">
        <f t="shared" si="139"/>
        <v>#N/A</v>
      </c>
      <c r="LVF43" s="380" t="e">
        <f t="shared" si="139"/>
        <v>#N/A</v>
      </c>
      <c r="LVG43" s="380" t="e">
        <f t="shared" si="139"/>
        <v>#N/A</v>
      </c>
      <c r="LVH43" s="380" t="e">
        <f t="shared" si="139"/>
        <v>#N/A</v>
      </c>
      <c r="LVI43" s="380" t="e">
        <f t="shared" si="139"/>
        <v>#N/A</v>
      </c>
      <c r="LVJ43" s="380" t="e">
        <f t="shared" si="139"/>
        <v>#N/A</v>
      </c>
      <c r="LVK43" s="380" t="e">
        <f t="shared" si="139"/>
        <v>#N/A</v>
      </c>
      <c r="LVL43" s="380" t="e">
        <f t="shared" si="139"/>
        <v>#N/A</v>
      </c>
      <c r="LVM43" s="380" t="e">
        <f t="shared" si="139"/>
        <v>#N/A</v>
      </c>
      <c r="LVN43" s="380" t="e">
        <f t="shared" si="139"/>
        <v>#N/A</v>
      </c>
      <c r="LVO43" s="380" t="e">
        <f t="shared" si="139"/>
        <v>#N/A</v>
      </c>
      <c r="LVP43" s="380" t="e">
        <f t="shared" si="139"/>
        <v>#N/A</v>
      </c>
      <c r="LVQ43" s="380" t="e">
        <f t="shared" si="139"/>
        <v>#N/A</v>
      </c>
      <c r="LVR43" s="380" t="e">
        <f t="shared" si="139"/>
        <v>#N/A</v>
      </c>
      <c r="LVS43" s="380" t="e">
        <f t="shared" si="139"/>
        <v>#N/A</v>
      </c>
      <c r="LVT43" s="380" t="e">
        <f t="shared" si="139"/>
        <v>#N/A</v>
      </c>
      <c r="LVU43" s="380" t="e">
        <f t="shared" si="139"/>
        <v>#N/A</v>
      </c>
      <c r="LVV43" s="380" t="e">
        <f t="shared" si="139"/>
        <v>#N/A</v>
      </c>
      <c r="LVW43" s="380" t="e">
        <f t="shared" si="139"/>
        <v>#N/A</v>
      </c>
      <c r="LVX43" s="380" t="e">
        <f t="shared" si="139"/>
        <v>#N/A</v>
      </c>
      <c r="LVY43" s="380" t="e">
        <f t="shared" si="139"/>
        <v>#N/A</v>
      </c>
      <c r="LVZ43" s="380" t="e">
        <f t="shared" si="139"/>
        <v>#N/A</v>
      </c>
      <c r="LWA43" s="380" t="e">
        <f t="shared" si="139"/>
        <v>#N/A</v>
      </c>
      <c r="LWB43" s="380" t="e">
        <f t="shared" ref="LWB43:LYM43" si="140">INDEX(LWB7:LWB40,MATCH($E$43,$E$7:$E$40,0))</f>
        <v>#N/A</v>
      </c>
      <c r="LWC43" s="380" t="e">
        <f t="shared" si="140"/>
        <v>#N/A</v>
      </c>
      <c r="LWD43" s="380" t="e">
        <f t="shared" si="140"/>
        <v>#N/A</v>
      </c>
      <c r="LWE43" s="380" t="e">
        <f t="shared" si="140"/>
        <v>#N/A</v>
      </c>
      <c r="LWF43" s="380" t="e">
        <f t="shared" si="140"/>
        <v>#N/A</v>
      </c>
      <c r="LWG43" s="380" t="e">
        <f t="shared" si="140"/>
        <v>#N/A</v>
      </c>
      <c r="LWH43" s="380" t="e">
        <f t="shared" si="140"/>
        <v>#N/A</v>
      </c>
      <c r="LWI43" s="380" t="e">
        <f t="shared" si="140"/>
        <v>#N/A</v>
      </c>
      <c r="LWJ43" s="380" t="e">
        <f t="shared" si="140"/>
        <v>#N/A</v>
      </c>
      <c r="LWK43" s="380" t="e">
        <f t="shared" si="140"/>
        <v>#N/A</v>
      </c>
      <c r="LWL43" s="380" t="e">
        <f t="shared" si="140"/>
        <v>#N/A</v>
      </c>
      <c r="LWM43" s="380" t="e">
        <f t="shared" si="140"/>
        <v>#N/A</v>
      </c>
      <c r="LWN43" s="380" t="e">
        <f t="shared" si="140"/>
        <v>#N/A</v>
      </c>
      <c r="LWO43" s="380" t="e">
        <f t="shared" si="140"/>
        <v>#N/A</v>
      </c>
      <c r="LWP43" s="380" t="e">
        <f t="shared" si="140"/>
        <v>#N/A</v>
      </c>
      <c r="LWQ43" s="380" t="e">
        <f t="shared" si="140"/>
        <v>#N/A</v>
      </c>
      <c r="LWR43" s="380" t="e">
        <f t="shared" si="140"/>
        <v>#N/A</v>
      </c>
      <c r="LWS43" s="380" t="e">
        <f t="shared" si="140"/>
        <v>#N/A</v>
      </c>
      <c r="LWT43" s="380" t="e">
        <f t="shared" si="140"/>
        <v>#N/A</v>
      </c>
      <c r="LWU43" s="380" t="e">
        <f t="shared" si="140"/>
        <v>#N/A</v>
      </c>
      <c r="LWV43" s="380" t="e">
        <f t="shared" si="140"/>
        <v>#N/A</v>
      </c>
      <c r="LWW43" s="380" t="e">
        <f t="shared" si="140"/>
        <v>#N/A</v>
      </c>
      <c r="LWX43" s="380" t="e">
        <f t="shared" si="140"/>
        <v>#N/A</v>
      </c>
      <c r="LWY43" s="380" t="e">
        <f t="shared" si="140"/>
        <v>#N/A</v>
      </c>
      <c r="LWZ43" s="380" t="e">
        <f t="shared" si="140"/>
        <v>#N/A</v>
      </c>
      <c r="LXA43" s="380" t="e">
        <f t="shared" si="140"/>
        <v>#N/A</v>
      </c>
      <c r="LXB43" s="380" t="e">
        <f t="shared" si="140"/>
        <v>#N/A</v>
      </c>
      <c r="LXC43" s="380" t="e">
        <f t="shared" si="140"/>
        <v>#N/A</v>
      </c>
      <c r="LXD43" s="380" t="e">
        <f t="shared" si="140"/>
        <v>#N/A</v>
      </c>
      <c r="LXE43" s="380" t="e">
        <f t="shared" si="140"/>
        <v>#N/A</v>
      </c>
      <c r="LXF43" s="380" t="e">
        <f t="shared" si="140"/>
        <v>#N/A</v>
      </c>
      <c r="LXG43" s="380" t="e">
        <f t="shared" si="140"/>
        <v>#N/A</v>
      </c>
      <c r="LXH43" s="380" t="e">
        <f t="shared" si="140"/>
        <v>#N/A</v>
      </c>
      <c r="LXI43" s="380" t="e">
        <f t="shared" si="140"/>
        <v>#N/A</v>
      </c>
      <c r="LXJ43" s="380" t="e">
        <f t="shared" si="140"/>
        <v>#N/A</v>
      </c>
      <c r="LXK43" s="380" t="e">
        <f t="shared" si="140"/>
        <v>#N/A</v>
      </c>
      <c r="LXL43" s="380" t="e">
        <f t="shared" si="140"/>
        <v>#N/A</v>
      </c>
      <c r="LXM43" s="380" t="e">
        <f t="shared" si="140"/>
        <v>#N/A</v>
      </c>
      <c r="LXN43" s="380" t="e">
        <f t="shared" si="140"/>
        <v>#N/A</v>
      </c>
      <c r="LXO43" s="380" t="e">
        <f t="shared" si="140"/>
        <v>#N/A</v>
      </c>
      <c r="LXP43" s="380" t="e">
        <f t="shared" si="140"/>
        <v>#N/A</v>
      </c>
      <c r="LXQ43" s="380" t="e">
        <f t="shared" si="140"/>
        <v>#N/A</v>
      </c>
      <c r="LXR43" s="380" t="e">
        <f t="shared" si="140"/>
        <v>#N/A</v>
      </c>
      <c r="LXS43" s="380" t="e">
        <f t="shared" si="140"/>
        <v>#N/A</v>
      </c>
      <c r="LXT43" s="380" t="e">
        <f t="shared" si="140"/>
        <v>#N/A</v>
      </c>
      <c r="LXU43" s="380" t="e">
        <f t="shared" si="140"/>
        <v>#N/A</v>
      </c>
      <c r="LXV43" s="380" t="e">
        <f t="shared" si="140"/>
        <v>#N/A</v>
      </c>
      <c r="LXW43" s="380" t="e">
        <f t="shared" si="140"/>
        <v>#N/A</v>
      </c>
      <c r="LXX43" s="380" t="e">
        <f t="shared" si="140"/>
        <v>#N/A</v>
      </c>
      <c r="LXY43" s="380" t="e">
        <f t="shared" si="140"/>
        <v>#N/A</v>
      </c>
      <c r="LXZ43" s="380" t="e">
        <f t="shared" si="140"/>
        <v>#N/A</v>
      </c>
      <c r="LYA43" s="380" t="e">
        <f t="shared" si="140"/>
        <v>#N/A</v>
      </c>
      <c r="LYB43" s="380" t="e">
        <f t="shared" si="140"/>
        <v>#N/A</v>
      </c>
      <c r="LYC43" s="380" t="e">
        <f t="shared" si="140"/>
        <v>#N/A</v>
      </c>
      <c r="LYD43" s="380" t="e">
        <f t="shared" si="140"/>
        <v>#N/A</v>
      </c>
      <c r="LYE43" s="380" t="e">
        <f t="shared" si="140"/>
        <v>#N/A</v>
      </c>
      <c r="LYF43" s="380" t="e">
        <f t="shared" si="140"/>
        <v>#N/A</v>
      </c>
      <c r="LYG43" s="380" t="e">
        <f t="shared" si="140"/>
        <v>#N/A</v>
      </c>
      <c r="LYH43" s="380" t="e">
        <f t="shared" si="140"/>
        <v>#N/A</v>
      </c>
      <c r="LYI43" s="380" t="e">
        <f t="shared" si="140"/>
        <v>#N/A</v>
      </c>
      <c r="LYJ43" s="380" t="e">
        <f t="shared" si="140"/>
        <v>#N/A</v>
      </c>
      <c r="LYK43" s="380" t="e">
        <f t="shared" si="140"/>
        <v>#N/A</v>
      </c>
      <c r="LYL43" s="380" t="e">
        <f t="shared" si="140"/>
        <v>#N/A</v>
      </c>
      <c r="LYM43" s="380" t="e">
        <f t="shared" si="140"/>
        <v>#N/A</v>
      </c>
      <c r="LYN43" s="380" t="e">
        <f t="shared" ref="LYN43:MAY43" si="141">INDEX(LYN7:LYN40,MATCH($E$43,$E$7:$E$40,0))</f>
        <v>#N/A</v>
      </c>
      <c r="LYO43" s="380" t="e">
        <f t="shared" si="141"/>
        <v>#N/A</v>
      </c>
      <c r="LYP43" s="380" t="e">
        <f t="shared" si="141"/>
        <v>#N/A</v>
      </c>
      <c r="LYQ43" s="380" t="e">
        <f t="shared" si="141"/>
        <v>#N/A</v>
      </c>
      <c r="LYR43" s="380" t="e">
        <f t="shared" si="141"/>
        <v>#N/A</v>
      </c>
      <c r="LYS43" s="380" t="e">
        <f t="shared" si="141"/>
        <v>#N/A</v>
      </c>
      <c r="LYT43" s="380" t="e">
        <f t="shared" si="141"/>
        <v>#N/A</v>
      </c>
      <c r="LYU43" s="380" t="e">
        <f t="shared" si="141"/>
        <v>#N/A</v>
      </c>
      <c r="LYV43" s="380" t="e">
        <f t="shared" si="141"/>
        <v>#N/A</v>
      </c>
      <c r="LYW43" s="380" t="e">
        <f t="shared" si="141"/>
        <v>#N/A</v>
      </c>
      <c r="LYX43" s="380" t="e">
        <f t="shared" si="141"/>
        <v>#N/A</v>
      </c>
      <c r="LYY43" s="380" t="e">
        <f t="shared" si="141"/>
        <v>#N/A</v>
      </c>
      <c r="LYZ43" s="380" t="e">
        <f t="shared" si="141"/>
        <v>#N/A</v>
      </c>
      <c r="LZA43" s="380" t="e">
        <f t="shared" si="141"/>
        <v>#N/A</v>
      </c>
      <c r="LZB43" s="380" t="e">
        <f t="shared" si="141"/>
        <v>#N/A</v>
      </c>
      <c r="LZC43" s="380" t="e">
        <f t="shared" si="141"/>
        <v>#N/A</v>
      </c>
      <c r="LZD43" s="380" t="e">
        <f t="shared" si="141"/>
        <v>#N/A</v>
      </c>
      <c r="LZE43" s="380" t="e">
        <f t="shared" si="141"/>
        <v>#N/A</v>
      </c>
      <c r="LZF43" s="380" t="e">
        <f t="shared" si="141"/>
        <v>#N/A</v>
      </c>
      <c r="LZG43" s="380" t="e">
        <f t="shared" si="141"/>
        <v>#N/A</v>
      </c>
      <c r="LZH43" s="380" t="e">
        <f t="shared" si="141"/>
        <v>#N/A</v>
      </c>
      <c r="LZI43" s="380" t="e">
        <f t="shared" si="141"/>
        <v>#N/A</v>
      </c>
      <c r="LZJ43" s="380" t="e">
        <f t="shared" si="141"/>
        <v>#N/A</v>
      </c>
      <c r="LZK43" s="380" t="e">
        <f t="shared" si="141"/>
        <v>#N/A</v>
      </c>
      <c r="LZL43" s="380" t="e">
        <f t="shared" si="141"/>
        <v>#N/A</v>
      </c>
      <c r="LZM43" s="380" t="e">
        <f t="shared" si="141"/>
        <v>#N/A</v>
      </c>
      <c r="LZN43" s="380" t="e">
        <f t="shared" si="141"/>
        <v>#N/A</v>
      </c>
      <c r="LZO43" s="380" t="e">
        <f t="shared" si="141"/>
        <v>#N/A</v>
      </c>
      <c r="LZP43" s="380" t="e">
        <f t="shared" si="141"/>
        <v>#N/A</v>
      </c>
      <c r="LZQ43" s="380" t="e">
        <f t="shared" si="141"/>
        <v>#N/A</v>
      </c>
      <c r="LZR43" s="380" t="e">
        <f t="shared" si="141"/>
        <v>#N/A</v>
      </c>
      <c r="LZS43" s="380" t="e">
        <f t="shared" si="141"/>
        <v>#N/A</v>
      </c>
      <c r="LZT43" s="380" t="e">
        <f t="shared" si="141"/>
        <v>#N/A</v>
      </c>
      <c r="LZU43" s="380" t="e">
        <f t="shared" si="141"/>
        <v>#N/A</v>
      </c>
      <c r="LZV43" s="380" t="e">
        <f t="shared" si="141"/>
        <v>#N/A</v>
      </c>
      <c r="LZW43" s="380" t="e">
        <f t="shared" si="141"/>
        <v>#N/A</v>
      </c>
      <c r="LZX43" s="380" t="e">
        <f t="shared" si="141"/>
        <v>#N/A</v>
      </c>
      <c r="LZY43" s="380" t="e">
        <f t="shared" si="141"/>
        <v>#N/A</v>
      </c>
      <c r="LZZ43" s="380" t="e">
        <f t="shared" si="141"/>
        <v>#N/A</v>
      </c>
      <c r="MAA43" s="380" t="e">
        <f t="shared" si="141"/>
        <v>#N/A</v>
      </c>
      <c r="MAB43" s="380" t="e">
        <f t="shared" si="141"/>
        <v>#N/A</v>
      </c>
      <c r="MAC43" s="380" t="e">
        <f t="shared" si="141"/>
        <v>#N/A</v>
      </c>
      <c r="MAD43" s="380" t="e">
        <f t="shared" si="141"/>
        <v>#N/A</v>
      </c>
      <c r="MAE43" s="380" t="e">
        <f t="shared" si="141"/>
        <v>#N/A</v>
      </c>
      <c r="MAF43" s="380" t="e">
        <f t="shared" si="141"/>
        <v>#N/A</v>
      </c>
      <c r="MAG43" s="380" t="e">
        <f t="shared" si="141"/>
        <v>#N/A</v>
      </c>
      <c r="MAH43" s="380" t="e">
        <f t="shared" si="141"/>
        <v>#N/A</v>
      </c>
      <c r="MAI43" s="380" t="e">
        <f t="shared" si="141"/>
        <v>#N/A</v>
      </c>
      <c r="MAJ43" s="380" t="e">
        <f t="shared" si="141"/>
        <v>#N/A</v>
      </c>
      <c r="MAK43" s="380" t="e">
        <f t="shared" si="141"/>
        <v>#N/A</v>
      </c>
      <c r="MAL43" s="380" t="e">
        <f t="shared" si="141"/>
        <v>#N/A</v>
      </c>
      <c r="MAM43" s="380" t="e">
        <f t="shared" si="141"/>
        <v>#N/A</v>
      </c>
      <c r="MAN43" s="380" t="e">
        <f t="shared" si="141"/>
        <v>#N/A</v>
      </c>
      <c r="MAO43" s="380" t="e">
        <f t="shared" si="141"/>
        <v>#N/A</v>
      </c>
      <c r="MAP43" s="380" t="e">
        <f t="shared" si="141"/>
        <v>#N/A</v>
      </c>
      <c r="MAQ43" s="380" t="e">
        <f t="shared" si="141"/>
        <v>#N/A</v>
      </c>
      <c r="MAR43" s="380" t="e">
        <f t="shared" si="141"/>
        <v>#N/A</v>
      </c>
      <c r="MAS43" s="380" t="e">
        <f t="shared" si="141"/>
        <v>#N/A</v>
      </c>
      <c r="MAT43" s="380" t="e">
        <f t="shared" si="141"/>
        <v>#N/A</v>
      </c>
      <c r="MAU43" s="380" t="e">
        <f t="shared" si="141"/>
        <v>#N/A</v>
      </c>
      <c r="MAV43" s="380" t="e">
        <f t="shared" si="141"/>
        <v>#N/A</v>
      </c>
      <c r="MAW43" s="380" t="e">
        <f t="shared" si="141"/>
        <v>#N/A</v>
      </c>
      <c r="MAX43" s="380" t="e">
        <f t="shared" si="141"/>
        <v>#N/A</v>
      </c>
      <c r="MAY43" s="380" t="e">
        <f t="shared" si="141"/>
        <v>#N/A</v>
      </c>
      <c r="MAZ43" s="380" t="e">
        <f t="shared" ref="MAZ43:MDK43" si="142">INDEX(MAZ7:MAZ40,MATCH($E$43,$E$7:$E$40,0))</f>
        <v>#N/A</v>
      </c>
      <c r="MBA43" s="380" t="e">
        <f t="shared" si="142"/>
        <v>#N/A</v>
      </c>
      <c r="MBB43" s="380" t="e">
        <f t="shared" si="142"/>
        <v>#N/A</v>
      </c>
      <c r="MBC43" s="380" t="e">
        <f t="shared" si="142"/>
        <v>#N/A</v>
      </c>
      <c r="MBD43" s="380" t="e">
        <f t="shared" si="142"/>
        <v>#N/A</v>
      </c>
      <c r="MBE43" s="380" t="e">
        <f t="shared" si="142"/>
        <v>#N/A</v>
      </c>
      <c r="MBF43" s="380" t="e">
        <f t="shared" si="142"/>
        <v>#N/A</v>
      </c>
      <c r="MBG43" s="380" t="e">
        <f t="shared" si="142"/>
        <v>#N/A</v>
      </c>
      <c r="MBH43" s="380" t="e">
        <f t="shared" si="142"/>
        <v>#N/A</v>
      </c>
      <c r="MBI43" s="380" t="e">
        <f t="shared" si="142"/>
        <v>#N/A</v>
      </c>
      <c r="MBJ43" s="380" t="e">
        <f t="shared" si="142"/>
        <v>#N/A</v>
      </c>
      <c r="MBK43" s="380" t="e">
        <f t="shared" si="142"/>
        <v>#N/A</v>
      </c>
      <c r="MBL43" s="380" t="e">
        <f t="shared" si="142"/>
        <v>#N/A</v>
      </c>
      <c r="MBM43" s="380" t="e">
        <f t="shared" si="142"/>
        <v>#N/A</v>
      </c>
      <c r="MBN43" s="380" t="e">
        <f t="shared" si="142"/>
        <v>#N/A</v>
      </c>
      <c r="MBO43" s="380" t="e">
        <f t="shared" si="142"/>
        <v>#N/A</v>
      </c>
      <c r="MBP43" s="380" t="e">
        <f t="shared" si="142"/>
        <v>#N/A</v>
      </c>
      <c r="MBQ43" s="380" t="e">
        <f t="shared" si="142"/>
        <v>#N/A</v>
      </c>
      <c r="MBR43" s="380" t="e">
        <f t="shared" si="142"/>
        <v>#N/A</v>
      </c>
      <c r="MBS43" s="380" t="e">
        <f t="shared" si="142"/>
        <v>#N/A</v>
      </c>
      <c r="MBT43" s="380" t="e">
        <f t="shared" si="142"/>
        <v>#N/A</v>
      </c>
      <c r="MBU43" s="380" t="e">
        <f t="shared" si="142"/>
        <v>#N/A</v>
      </c>
      <c r="MBV43" s="380" t="e">
        <f t="shared" si="142"/>
        <v>#N/A</v>
      </c>
      <c r="MBW43" s="380" t="e">
        <f t="shared" si="142"/>
        <v>#N/A</v>
      </c>
      <c r="MBX43" s="380" t="e">
        <f t="shared" si="142"/>
        <v>#N/A</v>
      </c>
      <c r="MBY43" s="380" t="e">
        <f t="shared" si="142"/>
        <v>#N/A</v>
      </c>
      <c r="MBZ43" s="380" t="e">
        <f t="shared" si="142"/>
        <v>#N/A</v>
      </c>
      <c r="MCA43" s="380" t="e">
        <f t="shared" si="142"/>
        <v>#N/A</v>
      </c>
      <c r="MCB43" s="380" t="e">
        <f t="shared" si="142"/>
        <v>#N/A</v>
      </c>
      <c r="MCC43" s="380" t="e">
        <f t="shared" si="142"/>
        <v>#N/A</v>
      </c>
      <c r="MCD43" s="380" t="e">
        <f t="shared" si="142"/>
        <v>#N/A</v>
      </c>
      <c r="MCE43" s="380" t="e">
        <f t="shared" si="142"/>
        <v>#N/A</v>
      </c>
      <c r="MCF43" s="380" t="e">
        <f t="shared" si="142"/>
        <v>#N/A</v>
      </c>
      <c r="MCG43" s="380" t="e">
        <f t="shared" si="142"/>
        <v>#N/A</v>
      </c>
      <c r="MCH43" s="380" t="e">
        <f t="shared" si="142"/>
        <v>#N/A</v>
      </c>
      <c r="MCI43" s="380" t="e">
        <f t="shared" si="142"/>
        <v>#N/A</v>
      </c>
      <c r="MCJ43" s="380" t="e">
        <f t="shared" si="142"/>
        <v>#N/A</v>
      </c>
      <c r="MCK43" s="380" t="e">
        <f t="shared" si="142"/>
        <v>#N/A</v>
      </c>
      <c r="MCL43" s="380" t="e">
        <f t="shared" si="142"/>
        <v>#N/A</v>
      </c>
      <c r="MCM43" s="380" t="e">
        <f t="shared" si="142"/>
        <v>#N/A</v>
      </c>
      <c r="MCN43" s="380" t="e">
        <f t="shared" si="142"/>
        <v>#N/A</v>
      </c>
      <c r="MCO43" s="380" t="e">
        <f t="shared" si="142"/>
        <v>#N/A</v>
      </c>
      <c r="MCP43" s="380" t="e">
        <f t="shared" si="142"/>
        <v>#N/A</v>
      </c>
      <c r="MCQ43" s="380" t="e">
        <f t="shared" si="142"/>
        <v>#N/A</v>
      </c>
      <c r="MCR43" s="380" t="e">
        <f t="shared" si="142"/>
        <v>#N/A</v>
      </c>
      <c r="MCS43" s="380" t="e">
        <f t="shared" si="142"/>
        <v>#N/A</v>
      </c>
      <c r="MCT43" s="380" t="e">
        <f t="shared" si="142"/>
        <v>#N/A</v>
      </c>
      <c r="MCU43" s="380" t="e">
        <f t="shared" si="142"/>
        <v>#N/A</v>
      </c>
      <c r="MCV43" s="380" t="e">
        <f t="shared" si="142"/>
        <v>#N/A</v>
      </c>
      <c r="MCW43" s="380" t="e">
        <f t="shared" si="142"/>
        <v>#N/A</v>
      </c>
      <c r="MCX43" s="380" t="e">
        <f t="shared" si="142"/>
        <v>#N/A</v>
      </c>
      <c r="MCY43" s="380" t="e">
        <f t="shared" si="142"/>
        <v>#N/A</v>
      </c>
      <c r="MCZ43" s="380" t="e">
        <f t="shared" si="142"/>
        <v>#N/A</v>
      </c>
      <c r="MDA43" s="380" t="e">
        <f t="shared" si="142"/>
        <v>#N/A</v>
      </c>
      <c r="MDB43" s="380" t="e">
        <f t="shared" si="142"/>
        <v>#N/A</v>
      </c>
      <c r="MDC43" s="380" t="e">
        <f t="shared" si="142"/>
        <v>#N/A</v>
      </c>
      <c r="MDD43" s="380" t="e">
        <f t="shared" si="142"/>
        <v>#N/A</v>
      </c>
      <c r="MDE43" s="380" t="e">
        <f t="shared" si="142"/>
        <v>#N/A</v>
      </c>
      <c r="MDF43" s="380" t="e">
        <f t="shared" si="142"/>
        <v>#N/A</v>
      </c>
      <c r="MDG43" s="380" t="e">
        <f t="shared" si="142"/>
        <v>#N/A</v>
      </c>
      <c r="MDH43" s="380" t="e">
        <f t="shared" si="142"/>
        <v>#N/A</v>
      </c>
      <c r="MDI43" s="380" t="e">
        <f t="shared" si="142"/>
        <v>#N/A</v>
      </c>
      <c r="MDJ43" s="380" t="e">
        <f t="shared" si="142"/>
        <v>#N/A</v>
      </c>
      <c r="MDK43" s="380" t="e">
        <f t="shared" si="142"/>
        <v>#N/A</v>
      </c>
      <c r="MDL43" s="380" t="e">
        <f t="shared" ref="MDL43:MFW43" si="143">INDEX(MDL7:MDL40,MATCH($E$43,$E$7:$E$40,0))</f>
        <v>#N/A</v>
      </c>
      <c r="MDM43" s="380" t="e">
        <f t="shared" si="143"/>
        <v>#N/A</v>
      </c>
      <c r="MDN43" s="380" t="e">
        <f t="shared" si="143"/>
        <v>#N/A</v>
      </c>
      <c r="MDO43" s="380" t="e">
        <f t="shared" si="143"/>
        <v>#N/A</v>
      </c>
      <c r="MDP43" s="380" t="e">
        <f t="shared" si="143"/>
        <v>#N/A</v>
      </c>
      <c r="MDQ43" s="380" t="e">
        <f t="shared" si="143"/>
        <v>#N/A</v>
      </c>
      <c r="MDR43" s="380" t="e">
        <f t="shared" si="143"/>
        <v>#N/A</v>
      </c>
      <c r="MDS43" s="380" t="e">
        <f t="shared" si="143"/>
        <v>#N/A</v>
      </c>
      <c r="MDT43" s="380" t="e">
        <f t="shared" si="143"/>
        <v>#N/A</v>
      </c>
      <c r="MDU43" s="380" t="e">
        <f t="shared" si="143"/>
        <v>#N/A</v>
      </c>
      <c r="MDV43" s="380" t="e">
        <f t="shared" si="143"/>
        <v>#N/A</v>
      </c>
      <c r="MDW43" s="380" t="e">
        <f t="shared" si="143"/>
        <v>#N/A</v>
      </c>
      <c r="MDX43" s="380" t="e">
        <f t="shared" si="143"/>
        <v>#N/A</v>
      </c>
      <c r="MDY43" s="380" t="e">
        <f t="shared" si="143"/>
        <v>#N/A</v>
      </c>
      <c r="MDZ43" s="380" t="e">
        <f t="shared" si="143"/>
        <v>#N/A</v>
      </c>
      <c r="MEA43" s="380" t="e">
        <f t="shared" si="143"/>
        <v>#N/A</v>
      </c>
      <c r="MEB43" s="380" t="e">
        <f t="shared" si="143"/>
        <v>#N/A</v>
      </c>
      <c r="MEC43" s="380" t="e">
        <f t="shared" si="143"/>
        <v>#N/A</v>
      </c>
      <c r="MED43" s="380" t="e">
        <f t="shared" si="143"/>
        <v>#N/A</v>
      </c>
      <c r="MEE43" s="380" t="e">
        <f t="shared" si="143"/>
        <v>#N/A</v>
      </c>
      <c r="MEF43" s="380" t="e">
        <f t="shared" si="143"/>
        <v>#N/A</v>
      </c>
      <c r="MEG43" s="380" t="e">
        <f t="shared" si="143"/>
        <v>#N/A</v>
      </c>
      <c r="MEH43" s="380" t="e">
        <f t="shared" si="143"/>
        <v>#N/A</v>
      </c>
      <c r="MEI43" s="380" t="e">
        <f t="shared" si="143"/>
        <v>#N/A</v>
      </c>
      <c r="MEJ43" s="380" t="e">
        <f t="shared" si="143"/>
        <v>#N/A</v>
      </c>
      <c r="MEK43" s="380" t="e">
        <f t="shared" si="143"/>
        <v>#N/A</v>
      </c>
      <c r="MEL43" s="380" t="e">
        <f t="shared" si="143"/>
        <v>#N/A</v>
      </c>
      <c r="MEM43" s="380" t="e">
        <f t="shared" si="143"/>
        <v>#N/A</v>
      </c>
      <c r="MEN43" s="380" t="e">
        <f t="shared" si="143"/>
        <v>#N/A</v>
      </c>
      <c r="MEO43" s="380" t="e">
        <f t="shared" si="143"/>
        <v>#N/A</v>
      </c>
      <c r="MEP43" s="380" t="e">
        <f t="shared" si="143"/>
        <v>#N/A</v>
      </c>
      <c r="MEQ43" s="380" t="e">
        <f t="shared" si="143"/>
        <v>#N/A</v>
      </c>
      <c r="MER43" s="380" t="e">
        <f t="shared" si="143"/>
        <v>#N/A</v>
      </c>
      <c r="MES43" s="380" t="e">
        <f t="shared" si="143"/>
        <v>#N/A</v>
      </c>
      <c r="MET43" s="380" t="e">
        <f t="shared" si="143"/>
        <v>#N/A</v>
      </c>
      <c r="MEU43" s="380" t="e">
        <f t="shared" si="143"/>
        <v>#N/A</v>
      </c>
      <c r="MEV43" s="380" t="e">
        <f t="shared" si="143"/>
        <v>#N/A</v>
      </c>
      <c r="MEW43" s="380" t="e">
        <f t="shared" si="143"/>
        <v>#N/A</v>
      </c>
      <c r="MEX43" s="380" t="e">
        <f t="shared" si="143"/>
        <v>#N/A</v>
      </c>
      <c r="MEY43" s="380" t="e">
        <f t="shared" si="143"/>
        <v>#N/A</v>
      </c>
      <c r="MEZ43" s="380" t="e">
        <f t="shared" si="143"/>
        <v>#N/A</v>
      </c>
      <c r="MFA43" s="380" t="e">
        <f t="shared" si="143"/>
        <v>#N/A</v>
      </c>
      <c r="MFB43" s="380" t="e">
        <f t="shared" si="143"/>
        <v>#N/A</v>
      </c>
      <c r="MFC43" s="380" t="e">
        <f t="shared" si="143"/>
        <v>#N/A</v>
      </c>
      <c r="MFD43" s="380" t="e">
        <f t="shared" si="143"/>
        <v>#N/A</v>
      </c>
      <c r="MFE43" s="380" t="e">
        <f t="shared" si="143"/>
        <v>#N/A</v>
      </c>
      <c r="MFF43" s="380" t="e">
        <f t="shared" si="143"/>
        <v>#N/A</v>
      </c>
      <c r="MFG43" s="380" t="e">
        <f t="shared" si="143"/>
        <v>#N/A</v>
      </c>
      <c r="MFH43" s="380" t="e">
        <f t="shared" si="143"/>
        <v>#N/A</v>
      </c>
      <c r="MFI43" s="380" t="e">
        <f t="shared" si="143"/>
        <v>#N/A</v>
      </c>
      <c r="MFJ43" s="380" t="e">
        <f t="shared" si="143"/>
        <v>#N/A</v>
      </c>
      <c r="MFK43" s="380" t="e">
        <f t="shared" si="143"/>
        <v>#N/A</v>
      </c>
      <c r="MFL43" s="380" t="e">
        <f t="shared" si="143"/>
        <v>#N/A</v>
      </c>
      <c r="MFM43" s="380" t="e">
        <f t="shared" si="143"/>
        <v>#N/A</v>
      </c>
      <c r="MFN43" s="380" t="e">
        <f t="shared" si="143"/>
        <v>#N/A</v>
      </c>
      <c r="MFO43" s="380" t="e">
        <f t="shared" si="143"/>
        <v>#N/A</v>
      </c>
      <c r="MFP43" s="380" t="e">
        <f t="shared" si="143"/>
        <v>#N/A</v>
      </c>
      <c r="MFQ43" s="380" t="e">
        <f t="shared" si="143"/>
        <v>#N/A</v>
      </c>
      <c r="MFR43" s="380" t="e">
        <f t="shared" si="143"/>
        <v>#N/A</v>
      </c>
      <c r="MFS43" s="380" t="e">
        <f t="shared" si="143"/>
        <v>#N/A</v>
      </c>
      <c r="MFT43" s="380" t="e">
        <f t="shared" si="143"/>
        <v>#N/A</v>
      </c>
      <c r="MFU43" s="380" t="e">
        <f t="shared" si="143"/>
        <v>#N/A</v>
      </c>
      <c r="MFV43" s="380" t="e">
        <f t="shared" si="143"/>
        <v>#N/A</v>
      </c>
      <c r="MFW43" s="380" t="e">
        <f t="shared" si="143"/>
        <v>#N/A</v>
      </c>
      <c r="MFX43" s="380" t="e">
        <f t="shared" ref="MFX43:MII43" si="144">INDEX(MFX7:MFX40,MATCH($E$43,$E$7:$E$40,0))</f>
        <v>#N/A</v>
      </c>
      <c r="MFY43" s="380" t="e">
        <f t="shared" si="144"/>
        <v>#N/A</v>
      </c>
      <c r="MFZ43" s="380" t="e">
        <f t="shared" si="144"/>
        <v>#N/A</v>
      </c>
      <c r="MGA43" s="380" t="e">
        <f t="shared" si="144"/>
        <v>#N/A</v>
      </c>
      <c r="MGB43" s="380" t="e">
        <f t="shared" si="144"/>
        <v>#N/A</v>
      </c>
      <c r="MGC43" s="380" t="e">
        <f t="shared" si="144"/>
        <v>#N/A</v>
      </c>
      <c r="MGD43" s="380" t="e">
        <f t="shared" si="144"/>
        <v>#N/A</v>
      </c>
      <c r="MGE43" s="380" t="e">
        <f t="shared" si="144"/>
        <v>#N/A</v>
      </c>
      <c r="MGF43" s="380" t="e">
        <f t="shared" si="144"/>
        <v>#N/A</v>
      </c>
      <c r="MGG43" s="380" t="e">
        <f t="shared" si="144"/>
        <v>#N/A</v>
      </c>
      <c r="MGH43" s="380" t="e">
        <f t="shared" si="144"/>
        <v>#N/A</v>
      </c>
      <c r="MGI43" s="380" t="e">
        <f t="shared" si="144"/>
        <v>#N/A</v>
      </c>
      <c r="MGJ43" s="380" t="e">
        <f t="shared" si="144"/>
        <v>#N/A</v>
      </c>
      <c r="MGK43" s="380" t="e">
        <f t="shared" si="144"/>
        <v>#N/A</v>
      </c>
      <c r="MGL43" s="380" t="e">
        <f t="shared" si="144"/>
        <v>#N/A</v>
      </c>
      <c r="MGM43" s="380" t="e">
        <f t="shared" si="144"/>
        <v>#N/A</v>
      </c>
      <c r="MGN43" s="380" t="e">
        <f t="shared" si="144"/>
        <v>#N/A</v>
      </c>
      <c r="MGO43" s="380" t="e">
        <f t="shared" si="144"/>
        <v>#N/A</v>
      </c>
      <c r="MGP43" s="380" t="e">
        <f t="shared" si="144"/>
        <v>#N/A</v>
      </c>
      <c r="MGQ43" s="380" t="e">
        <f t="shared" si="144"/>
        <v>#N/A</v>
      </c>
      <c r="MGR43" s="380" t="e">
        <f t="shared" si="144"/>
        <v>#N/A</v>
      </c>
      <c r="MGS43" s="380" t="e">
        <f t="shared" si="144"/>
        <v>#N/A</v>
      </c>
      <c r="MGT43" s="380" t="e">
        <f t="shared" si="144"/>
        <v>#N/A</v>
      </c>
      <c r="MGU43" s="380" t="e">
        <f t="shared" si="144"/>
        <v>#N/A</v>
      </c>
      <c r="MGV43" s="380" t="e">
        <f t="shared" si="144"/>
        <v>#N/A</v>
      </c>
      <c r="MGW43" s="380" t="e">
        <f t="shared" si="144"/>
        <v>#N/A</v>
      </c>
      <c r="MGX43" s="380" t="e">
        <f t="shared" si="144"/>
        <v>#N/A</v>
      </c>
      <c r="MGY43" s="380" t="e">
        <f t="shared" si="144"/>
        <v>#N/A</v>
      </c>
      <c r="MGZ43" s="380" t="e">
        <f t="shared" si="144"/>
        <v>#N/A</v>
      </c>
      <c r="MHA43" s="380" t="e">
        <f t="shared" si="144"/>
        <v>#N/A</v>
      </c>
      <c r="MHB43" s="380" t="e">
        <f t="shared" si="144"/>
        <v>#N/A</v>
      </c>
      <c r="MHC43" s="380" t="e">
        <f t="shared" si="144"/>
        <v>#N/A</v>
      </c>
      <c r="MHD43" s="380" t="e">
        <f t="shared" si="144"/>
        <v>#N/A</v>
      </c>
      <c r="MHE43" s="380" t="e">
        <f t="shared" si="144"/>
        <v>#N/A</v>
      </c>
      <c r="MHF43" s="380" t="e">
        <f t="shared" si="144"/>
        <v>#N/A</v>
      </c>
      <c r="MHG43" s="380" t="e">
        <f t="shared" si="144"/>
        <v>#N/A</v>
      </c>
      <c r="MHH43" s="380" t="e">
        <f t="shared" si="144"/>
        <v>#N/A</v>
      </c>
      <c r="MHI43" s="380" t="e">
        <f t="shared" si="144"/>
        <v>#N/A</v>
      </c>
      <c r="MHJ43" s="380" t="e">
        <f t="shared" si="144"/>
        <v>#N/A</v>
      </c>
      <c r="MHK43" s="380" t="e">
        <f t="shared" si="144"/>
        <v>#N/A</v>
      </c>
      <c r="MHL43" s="380" t="e">
        <f t="shared" si="144"/>
        <v>#N/A</v>
      </c>
      <c r="MHM43" s="380" t="e">
        <f t="shared" si="144"/>
        <v>#N/A</v>
      </c>
      <c r="MHN43" s="380" t="e">
        <f t="shared" si="144"/>
        <v>#N/A</v>
      </c>
      <c r="MHO43" s="380" t="e">
        <f t="shared" si="144"/>
        <v>#N/A</v>
      </c>
      <c r="MHP43" s="380" t="e">
        <f t="shared" si="144"/>
        <v>#N/A</v>
      </c>
      <c r="MHQ43" s="380" t="e">
        <f t="shared" si="144"/>
        <v>#N/A</v>
      </c>
      <c r="MHR43" s="380" t="e">
        <f t="shared" si="144"/>
        <v>#N/A</v>
      </c>
      <c r="MHS43" s="380" t="e">
        <f t="shared" si="144"/>
        <v>#N/A</v>
      </c>
      <c r="MHT43" s="380" t="e">
        <f t="shared" si="144"/>
        <v>#N/A</v>
      </c>
      <c r="MHU43" s="380" t="e">
        <f t="shared" si="144"/>
        <v>#N/A</v>
      </c>
      <c r="MHV43" s="380" t="e">
        <f t="shared" si="144"/>
        <v>#N/A</v>
      </c>
      <c r="MHW43" s="380" t="e">
        <f t="shared" si="144"/>
        <v>#N/A</v>
      </c>
      <c r="MHX43" s="380" t="e">
        <f t="shared" si="144"/>
        <v>#N/A</v>
      </c>
      <c r="MHY43" s="380" t="e">
        <f t="shared" si="144"/>
        <v>#N/A</v>
      </c>
      <c r="MHZ43" s="380" t="e">
        <f t="shared" si="144"/>
        <v>#N/A</v>
      </c>
      <c r="MIA43" s="380" t="e">
        <f t="shared" si="144"/>
        <v>#N/A</v>
      </c>
      <c r="MIB43" s="380" t="e">
        <f t="shared" si="144"/>
        <v>#N/A</v>
      </c>
      <c r="MIC43" s="380" t="e">
        <f t="shared" si="144"/>
        <v>#N/A</v>
      </c>
      <c r="MID43" s="380" t="e">
        <f t="shared" si="144"/>
        <v>#N/A</v>
      </c>
      <c r="MIE43" s="380" t="e">
        <f t="shared" si="144"/>
        <v>#N/A</v>
      </c>
      <c r="MIF43" s="380" t="e">
        <f t="shared" si="144"/>
        <v>#N/A</v>
      </c>
      <c r="MIG43" s="380" t="e">
        <f t="shared" si="144"/>
        <v>#N/A</v>
      </c>
      <c r="MIH43" s="380" t="e">
        <f t="shared" si="144"/>
        <v>#N/A</v>
      </c>
      <c r="MII43" s="380" t="e">
        <f t="shared" si="144"/>
        <v>#N/A</v>
      </c>
      <c r="MIJ43" s="380" t="e">
        <f t="shared" ref="MIJ43:MKU43" si="145">INDEX(MIJ7:MIJ40,MATCH($E$43,$E$7:$E$40,0))</f>
        <v>#N/A</v>
      </c>
      <c r="MIK43" s="380" t="e">
        <f t="shared" si="145"/>
        <v>#N/A</v>
      </c>
      <c r="MIL43" s="380" t="e">
        <f t="shared" si="145"/>
        <v>#N/A</v>
      </c>
      <c r="MIM43" s="380" t="e">
        <f t="shared" si="145"/>
        <v>#N/A</v>
      </c>
      <c r="MIN43" s="380" t="e">
        <f t="shared" si="145"/>
        <v>#N/A</v>
      </c>
      <c r="MIO43" s="380" t="e">
        <f t="shared" si="145"/>
        <v>#N/A</v>
      </c>
      <c r="MIP43" s="380" t="e">
        <f t="shared" si="145"/>
        <v>#N/A</v>
      </c>
      <c r="MIQ43" s="380" t="e">
        <f t="shared" si="145"/>
        <v>#N/A</v>
      </c>
      <c r="MIR43" s="380" t="e">
        <f t="shared" si="145"/>
        <v>#N/A</v>
      </c>
      <c r="MIS43" s="380" t="e">
        <f t="shared" si="145"/>
        <v>#N/A</v>
      </c>
      <c r="MIT43" s="380" t="e">
        <f t="shared" si="145"/>
        <v>#N/A</v>
      </c>
      <c r="MIU43" s="380" t="e">
        <f t="shared" si="145"/>
        <v>#N/A</v>
      </c>
      <c r="MIV43" s="380" t="e">
        <f t="shared" si="145"/>
        <v>#N/A</v>
      </c>
      <c r="MIW43" s="380" t="e">
        <f t="shared" si="145"/>
        <v>#N/A</v>
      </c>
      <c r="MIX43" s="380" t="e">
        <f t="shared" si="145"/>
        <v>#N/A</v>
      </c>
      <c r="MIY43" s="380" t="e">
        <f t="shared" si="145"/>
        <v>#N/A</v>
      </c>
      <c r="MIZ43" s="380" t="e">
        <f t="shared" si="145"/>
        <v>#N/A</v>
      </c>
      <c r="MJA43" s="380" t="e">
        <f t="shared" si="145"/>
        <v>#N/A</v>
      </c>
      <c r="MJB43" s="380" t="e">
        <f t="shared" si="145"/>
        <v>#N/A</v>
      </c>
      <c r="MJC43" s="380" t="e">
        <f t="shared" si="145"/>
        <v>#N/A</v>
      </c>
      <c r="MJD43" s="380" t="e">
        <f t="shared" si="145"/>
        <v>#N/A</v>
      </c>
      <c r="MJE43" s="380" t="e">
        <f t="shared" si="145"/>
        <v>#N/A</v>
      </c>
      <c r="MJF43" s="380" t="e">
        <f t="shared" si="145"/>
        <v>#N/A</v>
      </c>
      <c r="MJG43" s="380" t="e">
        <f t="shared" si="145"/>
        <v>#N/A</v>
      </c>
      <c r="MJH43" s="380" t="e">
        <f t="shared" si="145"/>
        <v>#N/A</v>
      </c>
      <c r="MJI43" s="380" t="e">
        <f t="shared" si="145"/>
        <v>#N/A</v>
      </c>
      <c r="MJJ43" s="380" t="e">
        <f t="shared" si="145"/>
        <v>#N/A</v>
      </c>
      <c r="MJK43" s="380" t="e">
        <f t="shared" si="145"/>
        <v>#N/A</v>
      </c>
      <c r="MJL43" s="380" t="e">
        <f t="shared" si="145"/>
        <v>#N/A</v>
      </c>
      <c r="MJM43" s="380" t="e">
        <f t="shared" si="145"/>
        <v>#N/A</v>
      </c>
      <c r="MJN43" s="380" t="e">
        <f t="shared" si="145"/>
        <v>#N/A</v>
      </c>
      <c r="MJO43" s="380" t="e">
        <f t="shared" si="145"/>
        <v>#N/A</v>
      </c>
      <c r="MJP43" s="380" t="e">
        <f t="shared" si="145"/>
        <v>#N/A</v>
      </c>
      <c r="MJQ43" s="380" t="e">
        <f t="shared" si="145"/>
        <v>#N/A</v>
      </c>
      <c r="MJR43" s="380" t="e">
        <f t="shared" si="145"/>
        <v>#N/A</v>
      </c>
      <c r="MJS43" s="380" t="e">
        <f t="shared" si="145"/>
        <v>#N/A</v>
      </c>
      <c r="MJT43" s="380" t="e">
        <f t="shared" si="145"/>
        <v>#N/A</v>
      </c>
      <c r="MJU43" s="380" t="e">
        <f t="shared" si="145"/>
        <v>#N/A</v>
      </c>
      <c r="MJV43" s="380" t="e">
        <f t="shared" si="145"/>
        <v>#N/A</v>
      </c>
      <c r="MJW43" s="380" t="e">
        <f t="shared" si="145"/>
        <v>#N/A</v>
      </c>
      <c r="MJX43" s="380" t="e">
        <f t="shared" si="145"/>
        <v>#N/A</v>
      </c>
      <c r="MJY43" s="380" t="e">
        <f t="shared" si="145"/>
        <v>#N/A</v>
      </c>
      <c r="MJZ43" s="380" t="e">
        <f t="shared" si="145"/>
        <v>#N/A</v>
      </c>
      <c r="MKA43" s="380" t="e">
        <f t="shared" si="145"/>
        <v>#N/A</v>
      </c>
      <c r="MKB43" s="380" t="e">
        <f t="shared" si="145"/>
        <v>#N/A</v>
      </c>
      <c r="MKC43" s="380" t="e">
        <f t="shared" si="145"/>
        <v>#N/A</v>
      </c>
      <c r="MKD43" s="380" t="e">
        <f t="shared" si="145"/>
        <v>#N/A</v>
      </c>
      <c r="MKE43" s="380" t="e">
        <f t="shared" si="145"/>
        <v>#N/A</v>
      </c>
      <c r="MKF43" s="380" t="e">
        <f t="shared" si="145"/>
        <v>#N/A</v>
      </c>
      <c r="MKG43" s="380" t="e">
        <f t="shared" si="145"/>
        <v>#N/A</v>
      </c>
      <c r="MKH43" s="380" t="e">
        <f t="shared" si="145"/>
        <v>#N/A</v>
      </c>
      <c r="MKI43" s="380" t="e">
        <f t="shared" si="145"/>
        <v>#N/A</v>
      </c>
      <c r="MKJ43" s="380" t="e">
        <f t="shared" si="145"/>
        <v>#N/A</v>
      </c>
      <c r="MKK43" s="380" t="e">
        <f t="shared" si="145"/>
        <v>#N/A</v>
      </c>
      <c r="MKL43" s="380" t="e">
        <f t="shared" si="145"/>
        <v>#N/A</v>
      </c>
      <c r="MKM43" s="380" t="e">
        <f t="shared" si="145"/>
        <v>#N/A</v>
      </c>
      <c r="MKN43" s="380" t="e">
        <f t="shared" si="145"/>
        <v>#N/A</v>
      </c>
      <c r="MKO43" s="380" t="e">
        <f t="shared" si="145"/>
        <v>#N/A</v>
      </c>
      <c r="MKP43" s="380" t="e">
        <f t="shared" si="145"/>
        <v>#N/A</v>
      </c>
      <c r="MKQ43" s="380" t="e">
        <f t="shared" si="145"/>
        <v>#N/A</v>
      </c>
      <c r="MKR43" s="380" t="e">
        <f t="shared" si="145"/>
        <v>#N/A</v>
      </c>
      <c r="MKS43" s="380" t="e">
        <f t="shared" si="145"/>
        <v>#N/A</v>
      </c>
      <c r="MKT43" s="380" t="e">
        <f t="shared" si="145"/>
        <v>#N/A</v>
      </c>
      <c r="MKU43" s="380" t="e">
        <f t="shared" si="145"/>
        <v>#N/A</v>
      </c>
      <c r="MKV43" s="380" t="e">
        <f t="shared" ref="MKV43:MNG43" si="146">INDEX(MKV7:MKV40,MATCH($E$43,$E$7:$E$40,0))</f>
        <v>#N/A</v>
      </c>
      <c r="MKW43" s="380" t="e">
        <f t="shared" si="146"/>
        <v>#N/A</v>
      </c>
      <c r="MKX43" s="380" t="e">
        <f t="shared" si="146"/>
        <v>#N/A</v>
      </c>
      <c r="MKY43" s="380" t="e">
        <f t="shared" si="146"/>
        <v>#N/A</v>
      </c>
      <c r="MKZ43" s="380" t="e">
        <f t="shared" si="146"/>
        <v>#N/A</v>
      </c>
      <c r="MLA43" s="380" t="e">
        <f t="shared" si="146"/>
        <v>#N/A</v>
      </c>
      <c r="MLB43" s="380" t="e">
        <f t="shared" si="146"/>
        <v>#N/A</v>
      </c>
      <c r="MLC43" s="380" t="e">
        <f t="shared" si="146"/>
        <v>#N/A</v>
      </c>
      <c r="MLD43" s="380" t="e">
        <f t="shared" si="146"/>
        <v>#N/A</v>
      </c>
      <c r="MLE43" s="380" t="e">
        <f t="shared" si="146"/>
        <v>#N/A</v>
      </c>
      <c r="MLF43" s="380" t="e">
        <f t="shared" si="146"/>
        <v>#N/A</v>
      </c>
      <c r="MLG43" s="380" t="e">
        <f t="shared" si="146"/>
        <v>#N/A</v>
      </c>
      <c r="MLH43" s="380" t="e">
        <f t="shared" si="146"/>
        <v>#N/A</v>
      </c>
      <c r="MLI43" s="380" t="e">
        <f t="shared" si="146"/>
        <v>#N/A</v>
      </c>
      <c r="MLJ43" s="380" t="e">
        <f t="shared" si="146"/>
        <v>#N/A</v>
      </c>
      <c r="MLK43" s="380" t="e">
        <f t="shared" si="146"/>
        <v>#N/A</v>
      </c>
      <c r="MLL43" s="380" t="e">
        <f t="shared" si="146"/>
        <v>#N/A</v>
      </c>
      <c r="MLM43" s="380" t="e">
        <f t="shared" si="146"/>
        <v>#N/A</v>
      </c>
      <c r="MLN43" s="380" t="e">
        <f t="shared" si="146"/>
        <v>#N/A</v>
      </c>
      <c r="MLO43" s="380" t="e">
        <f t="shared" si="146"/>
        <v>#N/A</v>
      </c>
      <c r="MLP43" s="380" t="e">
        <f t="shared" si="146"/>
        <v>#N/A</v>
      </c>
      <c r="MLQ43" s="380" t="e">
        <f t="shared" si="146"/>
        <v>#N/A</v>
      </c>
      <c r="MLR43" s="380" t="e">
        <f t="shared" si="146"/>
        <v>#N/A</v>
      </c>
      <c r="MLS43" s="380" t="e">
        <f t="shared" si="146"/>
        <v>#N/A</v>
      </c>
      <c r="MLT43" s="380" t="e">
        <f t="shared" si="146"/>
        <v>#N/A</v>
      </c>
      <c r="MLU43" s="380" t="e">
        <f t="shared" si="146"/>
        <v>#N/A</v>
      </c>
      <c r="MLV43" s="380" t="e">
        <f t="shared" si="146"/>
        <v>#N/A</v>
      </c>
      <c r="MLW43" s="380" t="e">
        <f t="shared" si="146"/>
        <v>#N/A</v>
      </c>
      <c r="MLX43" s="380" t="e">
        <f t="shared" si="146"/>
        <v>#N/A</v>
      </c>
      <c r="MLY43" s="380" t="e">
        <f t="shared" si="146"/>
        <v>#N/A</v>
      </c>
      <c r="MLZ43" s="380" t="e">
        <f t="shared" si="146"/>
        <v>#N/A</v>
      </c>
      <c r="MMA43" s="380" t="e">
        <f t="shared" si="146"/>
        <v>#N/A</v>
      </c>
      <c r="MMB43" s="380" t="e">
        <f t="shared" si="146"/>
        <v>#N/A</v>
      </c>
      <c r="MMC43" s="380" t="e">
        <f t="shared" si="146"/>
        <v>#N/A</v>
      </c>
      <c r="MMD43" s="380" t="e">
        <f t="shared" si="146"/>
        <v>#N/A</v>
      </c>
      <c r="MME43" s="380" t="e">
        <f t="shared" si="146"/>
        <v>#N/A</v>
      </c>
      <c r="MMF43" s="380" t="e">
        <f t="shared" si="146"/>
        <v>#N/A</v>
      </c>
      <c r="MMG43" s="380" t="e">
        <f t="shared" si="146"/>
        <v>#N/A</v>
      </c>
      <c r="MMH43" s="380" t="e">
        <f t="shared" si="146"/>
        <v>#N/A</v>
      </c>
      <c r="MMI43" s="380" t="e">
        <f t="shared" si="146"/>
        <v>#N/A</v>
      </c>
      <c r="MMJ43" s="380" t="e">
        <f t="shared" si="146"/>
        <v>#N/A</v>
      </c>
      <c r="MMK43" s="380" t="e">
        <f t="shared" si="146"/>
        <v>#N/A</v>
      </c>
      <c r="MML43" s="380" t="e">
        <f t="shared" si="146"/>
        <v>#N/A</v>
      </c>
      <c r="MMM43" s="380" t="e">
        <f t="shared" si="146"/>
        <v>#N/A</v>
      </c>
      <c r="MMN43" s="380" t="e">
        <f t="shared" si="146"/>
        <v>#N/A</v>
      </c>
      <c r="MMO43" s="380" t="e">
        <f t="shared" si="146"/>
        <v>#N/A</v>
      </c>
      <c r="MMP43" s="380" t="e">
        <f t="shared" si="146"/>
        <v>#N/A</v>
      </c>
      <c r="MMQ43" s="380" t="e">
        <f t="shared" si="146"/>
        <v>#N/A</v>
      </c>
      <c r="MMR43" s="380" t="e">
        <f t="shared" si="146"/>
        <v>#N/A</v>
      </c>
      <c r="MMS43" s="380" t="e">
        <f t="shared" si="146"/>
        <v>#N/A</v>
      </c>
      <c r="MMT43" s="380" t="e">
        <f t="shared" si="146"/>
        <v>#N/A</v>
      </c>
      <c r="MMU43" s="380" t="e">
        <f t="shared" si="146"/>
        <v>#N/A</v>
      </c>
      <c r="MMV43" s="380" t="e">
        <f t="shared" si="146"/>
        <v>#N/A</v>
      </c>
      <c r="MMW43" s="380" t="e">
        <f t="shared" si="146"/>
        <v>#N/A</v>
      </c>
      <c r="MMX43" s="380" t="e">
        <f t="shared" si="146"/>
        <v>#N/A</v>
      </c>
      <c r="MMY43" s="380" t="e">
        <f t="shared" si="146"/>
        <v>#N/A</v>
      </c>
      <c r="MMZ43" s="380" t="e">
        <f t="shared" si="146"/>
        <v>#N/A</v>
      </c>
      <c r="MNA43" s="380" t="e">
        <f t="shared" si="146"/>
        <v>#N/A</v>
      </c>
      <c r="MNB43" s="380" t="e">
        <f t="shared" si="146"/>
        <v>#N/A</v>
      </c>
      <c r="MNC43" s="380" t="e">
        <f t="shared" si="146"/>
        <v>#N/A</v>
      </c>
      <c r="MND43" s="380" t="e">
        <f t="shared" si="146"/>
        <v>#N/A</v>
      </c>
      <c r="MNE43" s="380" t="e">
        <f t="shared" si="146"/>
        <v>#N/A</v>
      </c>
      <c r="MNF43" s="380" t="e">
        <f t="shared" si="146"/>
        <v>#N/A</v>
      </c>
      <c r="MNG43" s="380" t="e">
        <f t="shared" si="146"/>
        <v>#N/A</v>
      </c>
      <c r="MNH43" s="380" t="e">
        <f t="shared" ref="MNH43:MPS43" si="147">INDEX(MNH7:MNH40,MATCH($E$43,$E$7:$E$40,0))</f>
        <v>#N/A</v>
      </c>
      <c r="MNI43" s="380" t="e">
        <f t="shared" si="147"/>
        <v>#N/A</v>
      </c>
      <c r="MNJ43" s="380" t="e">
        <f t="shared" si="147"/>
        <v>#N/A</v>
      </c>
      <c r="MNK43" s="380" t="e">
        <f t="shared" si="147"/>
        <v>#N/A</v>
      </c>
      <c r="MNL43" s="380" t="e">
        <f t="shared" si="147"/>
        <v>#N/A</v>
      </c>
      <c r="MNM43" s="380" t="e">
        <f t="shared" si="147"/>
        <v>#N/A</v>
      </c>
      <c r="MNN43" s="380" t="e">
        <f t="shared" si="147"/>
        <v>#N/A</v>
      </c>
      <c r="MNO43" s="380" t="e">
        <f t="shared" si="147"/>
        <v>#N/A</v>
      </c>
      <c r="MNP43" s="380" t="e">
        <f t="shared" si="147"/>
        <v>#N/A</v>
      </c>
      <c r="MNQ43" s="380" t="e">
        <f t="shared" si="147"/>
        <v>#N/A</v>
      </c>
      <c r="MNR43" s="380" t="e">
        <f t="shared" si="147"/>
        <v>#N/A</v>
      </c>
      <c r="MNS43" s="380" t="e">
        <f t="shared" si="147"/>
        <v>#N/A</v>
      </c>
      <c r="MNT43" s="380" t="e">
        <f t="shared" si="147"/>
        <v>#N/A</v>
      </c>
      <c r="MNU43" s="380" t="e">
        <f t="shared" si="147"/>
        <v>#N/A</v>
      </c>
      <c r="MNV43" s="380" t="e">
        <f t="shared" si="147"/>
        <v>#N/A</v>
      </c>
      <c r="MNW43" s="380" t="e">
        <f t="shared" si="147"/>
        <v>#N/A</v>
      </c>
      <c r="MNX43" s="380" t="e">
        <f t="shared" si="147"/>
        <v>#N/A</v>
      </c>
      <c r="MNY43" s="380" t="e">
        <f t="shared" si="147"/>
        <v>#N/A</v>
      </c>
      <c r="MNZ43" s="380" t="e">
        <f t="shared" si="147"/>
        <v>#N/A</v>
      </c>
      <c r="MOA43" s="380" t="e">
        <f t="shared" si="147"/>
        <v>#N/A</v>
      </c>
      <c r="MOB43" s="380" t="e">
        <f t="shared" si="147"/>
        <v>#N/A</v>
      </c>
      <c r="MOC43" s="380" t="e">
        <f t="shared" si="147"/>
        <v>#N/A</v>
      </c>
      <c r="MOD43" s="380" t="e">
        <f t="shared" si="147"/>
        <v>#N/A</v>
      </c>
      <c r="MOE43" s="380" t="e">
        <f t="shared" si="147"/>
        <v>#N/A</v>
      </c>
      <c r="MOF43" s="380" t="e">
        <f t="shared" si="147"/>
        <v>#N/A</v>
      </c>
      <c r="MOG43" s="380" t="e">
        <f t="shared" si="147"/>
        <v>#N/A</v>
      </c>
      <c r="MOH43" s="380" t="e">
        <f t="shared" si="147"/>
        <v>#N/A</v>
      </c>
      <c r="MOI43" s="380" t="e">
        <f t="shared" si="147"/>
        <v>#N/A</v>
      </c>
      <c r="MOJ43" s="380" t="e">
        <f t="shared" si="147"/>
        <v>#N/A</v>
      </c>
      <c r="MOK43" s="380" t="e">
        <f t="shared" si="147"/>
        <v>#N/A</v>
      </c>
      <c r="MOL43" s="380" t="e">
        <f t="shared" si="147"/>
        <v>#N/A</v>
      </c>
      <c r="MOM43" s="380" t="e">
        <f t="shared" si="147"/>
        <v>#N/A</v>
      </c>
      <c r="MON43" s="380" t="e">
        <f t="shared" si="147"/>
        <v>#N/A</v>
      </c>
      <c r="MOO43" s="380" t="e">
        <f t="shared" si="147"/>
        <v>#N/A</v>
      </c>
      <c r="MOP43" s="380" t="e">
        <f t="shared" si="147"/>
        <v>#N/A</v>
      </c>
      <c r="MOQ43" s="380" t="e">
        <f t="shared" si="147"/>
        <v>#N/A</v>
      </c>
      <c r="MOR43" s="380" t="e">
        <f t="shared" si="147"/>
        <v>#N/A</v>
      </c>
      <c r="MOS43" s="380" t="e">
        <f t="shared" si="147"/>
        <v>#N/A</v>
      </c>
      <c r="MOT43" s="380" t="e">
        <f t="shared" si="147"/>
        <v>#N/A</v>
      </c>
      <c r="MOU43" s="380" t="e">
        <f t="shared" si="147"/>
        <v>#N/A</v>
      </c>
      <c r="MOV43" s="380" t="e">
        <f t="shared" si="147"/>
        <v>#N/A</v>
      </c>
      <c r="MOW43" s="380" t="e">
        <f t="shared" si="147"/>
        <v>#N/A</v>
      </c>
      <c r="MOX43" s="380" t="e">
        <f t="shared" si="147"/>
        <v>#N/A</v>
      </c>
      <c r="MOY43" s="380" t="e">
        <f t="shared" si="147"/>
        <v>#N/A</v>
      </c>
      <c r="MOZ43" s="380" t="e">
        <f t="shared" si="147"/>
        <v>#N/A</v>
      </c>
      <c r="MPA43" s="380" t="e">
        <f t="shared" si="147"/>
        <v>#N/A</v>
      </c>
      <c r="MPB43" s="380" t="e">
        <f t="shared" si="147"/>
        <v>#N/A</v>
      </c>
      <c r="MPC43" s="380" t="e">
        <f t="shared" si="147"/>
        <v>#N/A</v>
      </c>
      <c r="MPD43" s="380" t="e">
        <f t="shared" si="147"/>
        <v>#N/A</v>
      </c>
      <c r="MPE43" s="380" t="e">
        <f t="shared" si="147"/>
        <v>#N/A</v>
      </c>
      <c r="MPF43" s="380" t="e">
        <f t="shared" si="147"/>
        <v>#N/A</v>
      </c>
      <c r="MPG43" s="380" t="e">
        <f t="shared" si="147"/>
        <v>#N/A</v>
      </c>
      <c r="MPH43" s="380" t="e">
        <f t="shared" si="147"/>
        <v>#N/A</v>
      </c>
      <c r="MPI43" s="380" t="e">
        <f t="shared" si="147"/>
        <v>#N/A</v>
      </c>
      <c r="MPJ43" s="380" t="e">
        <f t="shared" si="147"/>
        <v>#N/A</v>
      </c>
      <c r="MPK43" s="380" t="e">
        <f t="shared" si="147"/>
        <v>#N/A</v>
      </c>
      <c r="MPL43" s="380" t="e">
        <f t="shared" si="147"/>
        <v>#N/A</v>
      </c>
      <c r="MPM43" s="380" t="e">
        <f t="shared" si="147"/>
        <v>#N/A</v>
      </c>
      <c r="MPN43" s="380" t="e">
        <f t="shared" si="147"/>
        <v>#N/A</v>
      </c>
      <c r="MPO43" s="380" t="e">
        <f t="shared" si="147"/>
        <v>#N/A</v>
      </c>
      <c r="MPP43" s="380" t="e">
        <f t="shared" si="147"/>
        <v>#N/A</v>
      </c>
      <c r="MPQ43" s="380" t="e">
        <f t="shared" si="147"/>
        <v>#N/A</v>
      </c>
      <c r="MPR43" s="380" t="e">
        <f t="shared" si="147"/>
        <v>#N/A</v>
      </c>
      <c r="MPS43" s="380" t="e">
        <f t="shared" si="147"/>
        <v>#N/A</v>
      </c>
      <c r="MPT43" s="380" t="e">
        <f t="shared" ref="MPT43:MSE43" si="148">INDEX(MPT7:MPT40,MATCH($E$43,$E$7:$E$40,0))</f>
        <v>#N/A</v>
      </c>
      <c r="MPU43" s="380" t="e">
        <f t="shared" si="148"/>
        <v>#N/A</v>
      </c>
      <c r="MPV43" s="380" t="e">
        <f t="shared" si="148"/>
        <v>#N/A</v>
      </c>
      <c r="MPW43" s="380" t="e">
        <f t="shared" si="148"/>
        <v>#N/A</v>
      </c>
      <c r="MPX43" s="380" t="e">
        <f t="shared" si="148"/>
        <v>#N/A</v>
      </c>
      <c r="MPY43" s="380" t="e">
        <f t="shared" si="148"/>
        <v>#N/A</v>
      </c>
      <c r="MPZ43" s="380" t="e">
        <f t="shared" si="148"/>
        <v>#N/A</v>
      </c>
      <c r="MQA43" s="380" t="e">
        <f t="shared" si="148"/>
        <v>#N/A</v>
      </c>
      <c r="MQB43" s="380" t="e">
        <f t="shared" si="148"/>
        <v>#N/A</v>
      </c>
      <c r="MQC43" s="380" t="e">
        <f t="shared" si="148"/>
        <v>#N/A</v>
      </c>
      <c r="MQD43" s="380" t="e">
        <f t="shared" si="148"/>
        <v>#N/A</v>
      </c>
      <c r="MQE43" s="380" t="e">
        <f t="shared" si="148"/>
        <v>#N/A</v>
      </c>
      <c r="MQF43" s="380" t="e">
        <f t="shared" si="148"/>
        <v>#N/A</v>
      </c>
      <c r="MQG43" s="380" t="e">
        <f t="shared" si="148"/>
        <v>#N/A</v>
      </c>
      <c r="MQH43" s="380" t="e">
        <f t="shared" si="148"/>
        <v>#N/A</v>
      </c>
      <c r="MQI43" s="380" t="e">
        <f t="shared" si="148"/>
        <v>#N/A</v>
      </c>
      <c r="MQJ43" s="380" t="e">
        <f t="shared" si="148"/>
        <v>#N/A</v>
      </c>
      <c r="MQK43" s="380" t="e">
        <f t="shared" si="148"/>
        <v>#N/A</v>
      </c>
      <c r="MQL43" s="380" t="e">
        <f t="shared" si="148"/>
        <v>#N/A</v>
      </c>
      <c r="MQM43" s="380" t="e">
        <f t="shared" si="148"/>
        <v>#N/A</v>
      </c>
      <c r="MQN43" s="380" t="e">
        <f t="shared" si="148"/>
        <v>#N/A</v>
      </c>
      <c r="MQO43" s="380" t="e">
        <f t="shared" si="148"/>
        <v>#N/A</v>
      </c>
      <c r="MQP43" s="380" t="e">
        <f t="shared" si="148"/>
        <v>#N/A</v>
      </c>
      <c r="MQQ43" s="380" t="e">
        <f t="shared" si="148"/>
        <v>#N/A</v>
      </c>
      <c r="MQR43" s="380" t="e">
        <f t="shared" si="148"/>
        <v>#N/A</v>
      </c>
      <c r="MQS43" s="380" t="e">
        <f t="shared" si="148"/>
        <v>#N/A</v>
      </c>
      <c r="MQT43" s="380" t="e">
        <f t="shared" si="148"/>
        <v>#N/A</v>
      </c>
      <c r="MQU43" s="380" t="e">
        <f t="shared" si="148"/>
        <v>#N/A</v>
      </c>
      <c r="MQV43" s="380" t="e">
        <f t="shared" si="148"/>
        <v>#N/A</v>
      </c>
      <c r="MQW43" s="380" t="e">
        <f t="shared" si="148"/>
        <v>#N/A</v>
      </c>
      <c r="MQX43" s="380" t="e">
        <f t="shared" si="148"/>
        <v>#N/A</v>
      </c>
      <c r="MQY43" s="380" t="e">
        <f t="shared" si="148"/>
        <v>#N/A</v>
      </c>
      <c r="MQZ43" s="380" t="e">
        <f t="shared" si="148"/>
        <v>#N/A</v>
      </c>
      <c r="MRA43" s="380" t="e">
        <f t="shared" si="148"/>
        <v>#N/A</v>
      </c>
      <c r="MRB43" s="380" t="e">
        <f t="shared" si="148"/>
        <v>#N/A</v>
      </c>
      <c r="MRC43" s="380" t="e">
        <f t="shared" si="148"/>
        <v>#N/A</v>
      </c>
      <c r="MRD43" s="380" t="e">
        <f t="shared" si="148"/>
        <v>#N/A</v>
      </c>
      <c r="MRE43" s="380" t="e">
        <f t="shared" si="148"/>
        <v>#N/A</v>
      </c>
      <c r="MRF43" s="380" t="e">
        <f t="shared" si="148"/>
        <v>#N/A</v>
      </c>
      <c r="MRG43" s="380" t="e">
        <f t="shared" si="148"/>
        <v>#N/A</v>
      </c>
      <c r="MRH43" s="380" t="e">
        <f t="shared" si="148"/>
        <v>#N/A</v>
      </c>
      <c r="MRI43" s="380" t="e">
        <f t="shared" si="148"/>
        <v>#N/A</v>
      </c>
      <c r="MRJ43" s="380" t="e">
        <f t="shared" si="148"/>
        <v>#N/A</v>
      </c>
      <c r="MRK43" s="380" t="e">
        <f t="shared" si="148"/>
        <v>#N/A</v>
      </c>
      <c r="MRL43" s="380" t="e">
        <f t="shared" si="148"/>
        <v>#N/A</v>
      </c>
      <c r="MRM43" s="380" t="e">
        <f t="shared" si="148"/>
        <v>#N/A</v>
      </c>
      <c r="MRN43" s="380" t="e">
        <f t="shared" si="148"/>
        <v>#N/A</v>
      </c>
      <c r="MRO43" s="380" t="e">
        <f t="shared" si="148"/>
        <v>#N/A</v>
      </c>
      <c r="MRP43" s="380" t="e">
        <f t="shared" si="148"/>
        <v>#N/A</v>
      </c>
      <c r="MRQ43" s="380" t="e">
        <f t="shared" si="148"/>
        <v>#N/A</v>
      </c>
      <c r="MRR43" s="380" t="e">
        <f t="shared" si="148"/>
        <v>#N/A</v>
      </c>
      <c r="MRS43" s="380" t="e">
        <f t="shared" si="148"/>
        <v>#N/A</v>
      </c>
      <c r="MRT43" s="380" t="e">
        <f t="shared" si="148"/>
        <v>#N/A</v>
      </c>
      <c r="MRU43" s="380" t="e">
        <f t="shared" si="148"/>
        <v>#N/A</v>
      </c>
      <c r="MRV43" s="380" t="e">
        <f t="shared" si="148"/>
        <v>#N/A</v>
      </c>
      <c r="MRW43" s="380" t="e">
        <f t="shared" si="148"/>
        <v>#N/A</v>
      </c>
      <c r="MRX43" s="380" t="e">
        <f t="shared" si="148"/>
        <v>#N/A</v>
      </c>
      <c r="MRY43" s="380" t="e">
        <f t="shared" si="148"/>
        <v>#N/A</v>
      </c>
      <c r="MRZ43" s="380" t="e">
        <f t="shared" si="148"/>
        <v>#N/A</v>
      </c>
      <c r="MSA43" s="380" t="e">
        <f t="shared" si="148"/>
        <v>#N/A</v>
      </c>
      <c r="MSB43" s="380" t="e">
        <f t="shared" si="148"/>
        <v>#N/A</v>
      </c>
      <c r="MSC43" s="380" t="e">
        <f t="shared" si="148"/>
        <v>#N/A</v>
      </c>
      <c r="MSD43" s="380" t="e">
        <f t="shared" si="148"/>
        <v>#N/A</v>
      </c>
      <c r="MSE43" s="380" t="e">
        <f t="shared" si="148"/>
        <v>#N/A</v>
      </c>
      <c r="MSF43" s="380" t="e">
        <f t="shared" ref="MSF43:MUQ43" si="149">INDEX(MSF7:MSF40,MATCH($E$43,$E$7:$E$40,0))</f>
        <v>#N/A</v>
      </c>
      <c r="MSG43" s="380" t="e">
        <f t="shared" si="149"/>
        <v>#N/A</v>
      </c>
      <c r="MSH43" s="380" t="e">
        <f t="shared" si="149"/>
        <v>#N/A</v>
      </c>
      <c r="MSI43" s="380" t="e">
        <f t="shared" si="149"/>
        <v>#N/A</v>
      </c>
      <c r="MSJ43" s="380" t="e">
        <f t="shared" si="149"/>
        <v>#N/A</v>
      </c>
      <c r="MSK43" s="380" t="e">
        <f t="shared" si="149"/>
        <v>#N/A</v>
      </c>
      <c r="MSL43" s="380" t="e">
        <f t="shared" si="149"/>
        <v>#N/A</v>
      </c>
      <c r="MSM43" s="380" t="e">
        <f t="shared" si="149"/>
        <v>#N/A</v>
      </c>
      <c r="MSN43" s="380" t="e">
        <f t="shared" si="149"/>
        <v>#N/A</v>
      </c>
      <c r="MSO43" s="380" t="e">
        <f t="shared" si="149"/>
        <v>#N/A</v>
      </c>
      <c r="MSP43" s="380" t="e">
        <f t="shared" si="149"/>
        <v>#N/A</v>
      </c>
      <c r="MSQ43" s="380" t="e">
        <f t="shared" si="149"/>
        <v>#N/A</v>
      </c>
      <c r="MSR43" s="380" t="e">
        <f t="shared" si="149"/>
        <v>#N/A</v>
      </c>
      <c r="MSS43" s="380" t="e">
        <f t="shared" si="149"/>
        <v>#N/A</v>
      </c>
      <c r="MST43" s="380" t="e">
        <f t="shared" si="149"/>
        <v>#N/A</v>
      </c>
      <c r="MSU43" s="380" t="e">
        <f t="shared" si="149"/>
        <v>#N/A</v>
      </c>
      <c r="MSV43" s="380" t="e">
        <f t="shared" si="149"/>
        <v>#N/A</v>
      </c>
      <c r="MSW43" s="380" t="e">
        <f t="shared" si="149"/>
        <v>#N/A</v>
      </c>
      <c r="MSX43" s="380" t="e">
        <f t="shared" si="149"/>
        <v>#N/A</v>
      </c>
      <c r="MSY43" s="380" t="e">
        <f t="shared" si="149"/>
        <v>#N/A</v>
      </c>
      <c r="MSZ43" s="380" t="e">
        <f t="shared" si="149"/>
        <v>#N/A</v>
      </c>
      <c r="MTA43" s="380" t="e">
        <f t="shared" si="149"/>
        <v>#N/A</v>
      </c>
      <c r="MTB43" s="380" t="e">
        <f t="shared" si="149"/>
        <v>#N/A</v>
      </c>
      <c r="MTC43" s="380" t="e">
        <f t="shared" si="149"/>
        <v>#N/A</v>
      </c>
      <c r="MTD43" s="380" t="e">
        <f t="shared" si="149"/>
        <v>#N/A</v>
      </c>
      <c r="MTE43" s="380" t="e">
        <f t="shared" si="149"/>
        <v>#N/A</v>
      </c>
      <c r="MTF43" s="380" t="e">
        <f t="shared" si="149"/>
        <v>#N/A</v>
      </c>
      <c r="MTG43" s="380" t="e">
        <f t="shared" si="149"/>
        <v>#N/A</v>
      </c>
      <c r="MTH43" s="380" t="e">
        <f t="shared" si="149"/>
        <v>#N/A</v>
      </c>
      <c r="MTI43" s="380" t="e">
        <f t="shared" si="149"/>
        <v>#N/A</v>
      </c>
      <c r="MTJ43" s="380" t="e">
        <f t="shared" si="149"/>
        <v>#N/A</v>
      </c>
      <c r="MTK43" s="380" t="e">
        <f t="shared" si="149"/>
        <v>#N/A</v>
      </c>
      <c r="MTL43" s="380" t="e">
        <f t="shared" si="149"/>
        <v>#N/A</v>
      </c>
      <c r="MTM43" s="380" t="e">
        <f t="shared" si="149"/>
        <v>#N/A</v>
      </c>
      <c r="MTN43" s="380" t="e">
        <f t="shared" si="149"/>
        <v>#N/A</v>
      </c>
      <c r="MTO43" s="380" t="e">
        <f t="shared" si="149"/>
        <v>#N/A</v>
      </c>
      <c r="MTP43" s="380" t="e">
        <f t="shared" si="149"/>
        <v>#N/A</v>
      </c>
      <c r="MTQ43" s="380" t="e">
        <f t="shared" si="149"/>
        <v>#N/A</v>
      </c>
      <c r="MTR43" s="380" t="e">
        <f t="shared" si="149"/>
        <v>#N/A</v>
      </c>
      <c r="MTS43" s="380" t="e">
        <f t="shared" si="149"/>
        <v>#N/A</v>
      </c>
      <c r="MTT43" s="380" t="e">
        <f t="shared" si="149"/>
        <v>#N/A</v>
      </c>
      <c r="MTU43" s="380" t="e">
        <f t="shared" si="149"/>
        <v>#N/A</v>
      </c>
      <c r="MTV43" s="380" t="e">
        <f t="shared" si="149"/>
        <v>#N/A</v>
      </c>
      <c r="MTW43" s="380" t="e">
        <f t="shared" si="149"/>
        <v>#N/A</v>
      </c>
      <c r="MTX43" s="380" t="e">
        <f t="shared" si="149"/>
        <v>#N/A</v>
      </c>
      <c r="MTY43" s="380" t="e">
        <f t="shared" si="149"/>
        <v>#N/A</v>
      </c>
      <c r="MTZ43" s="380" t="e">
        <f t="shared" si="149"/>
        <v>#N/A</v>
      </c>
      <c r="MUA43" s="380" t="e">
        <f t="shared" si="149"/>
        <v>#N/A</v>
      </c>
      <c r="MUB43" s="380" t="e">
        <f t="shared" si="149"/>
        <v>#N/A</v>
      </c>
      <c r="MUC43" s="380" t="e">
        <f t="shared" si="149"/>
        <v>#N/A</v>
      </c>
      <c r="MUD43" s="380" t="e">
        <f t="shared" si="149"/>
        <v>#N/A</v>
      </c>
      <c r="MUE43" s="380" t="e">
        <f t="shared" si="149"/>
        <v>#N/A</v>
      </c>
      <c r="MUF43" s="380" t="e">
        <f t="shared" si="149"/>
        <v>#N/A</v>
      </c>
      <c r="MUG43" s="380" t="e">
        <f t="shared" si="149"/>
        <v>#N/A</v>
      </c>
      <c r="MUH43" s="380" t="e">
        <f t="shared" si="149"/>
        <v>#N/A</v>
      </c>
      <c r="MUI43" s="380" t="e">
        <f t="shared" si="149"/>
        <v>#N/A</v>
      </c>
      <c r="MUJ43" s="380" t="e">
        <f t="shared" si="149"/>
        <v>#N/A</v>
      </c>
      <c r="MUK43" s="380" t="e">
        <f t="shared" si="149"/>
        <v>#N/A</v>
      </c>
      <c r="MUL43" s="380" t="e">
        <f t="shared" si="149"/>
        <v>#N/A</v>
      </c>
      <c r="MUM43" s="380" t="e">
        <f t="shared" si="149"/>
        <v>#N/A</v>
      </c>
      <c r="MUN43" s="380" t="e">
        <f t="shared" si="149"/>
        <v>#N/A</v>
      </c>
      <c r="MUO43" s="380" t="e">
        <f t="shared" si="149"/>
        <v>#N/A</v>
      </c>
      <c r="MUP43" s="380" t="e">
        <f t="shared" si="149"/>
        <v>#N/A</v>
      </c>
      <c r="MUQ43" s="380" t="e">
        <f t="shared" si="149"/>
        <v>#N/A</v>
      </c>
      <c r="MUR43" s="380" t="e">
        <f t="shared" ref="MUR43:MXC43" si="150">INDEX(MUR7:MUR40,MATCH($E$43,$E$7:$E$40,0))</f>
        <v>#N/A</v>
      </c>
      <c r="MUS43" s="380" t="e">
        <f t="shared" si="150"/>
        <v>#N/A</v>
      </c>
      <c r="MUT43" s="380" t="e">
        <f t="shared" si="150"/>
        <v>#N/A</v>
      </c>
      <c r="MUU43" s="380" t="e">
        <f t="shared" si="150"/>
        <v>#N/A</v>
      </c>
      <c r="MUV43" s="380" t="e">
        <f t="shared" si="150"/>
        <v>#N/A</v>
      </c>
      <c r="MUW43" s="380" t="e">
        <f t="shared" si="150"/>
        <v>#N/A</v>
      </c>
      <c r="MUX43" s="380" t="e">
        <f t="shared" si="150"/>
        <v>#N/A</v>
      </c>
      <c r="MUY43" s="380" t="e">
        <f t="shared" si="150"/>
        <v>#N/A</v>
      </c>
      <c r="MUZ43" s="380" t="e">
        <f t="shared" si="150"/>
        <v>#N/A</v>
      </c>
      <c r="MVA43" s="380" t="e">
        <f t="shared" si="150"/>
        <v>#N/A</v>
      </c>
      <c r="MVB43" s="380" t="e">
        <f t="shared" si="150"/>
        <v>#N/A</v>
      </c>
      <c r="MVC43" s="380" t="e">
        <f t="shared" si="150"/>
        <v>#N/A</v>
      </c>
      <c r="MVD43" s="380" t="e">
        <f t="shared" si="150"/>
        <v>#N/A</v>
      </c>
      <c r="MVE43" s="380" t="e">
        <f t="shared" si="150"/>
        <v>#N/A</v>
      </c>
      <c r="MVF43" s="380" t="e">
        <f t="shared" si="150"/>
        <v>#N/A</v>
      </c>
      <c r="MVG43" s="380" t="e">
        <f t="shared" si="150"/>
        <v>#N/A</v>
      </c>
      <c r="MVH43" s="380" t="e">
        <f t="shared" si="150"/>
        <v>#N/A</v>
      </c>
      <c r="MVI43" s="380" t="e">
        <f t="shared" si="150"/>
        <v>#N/A</v>
      </c>
      <c r="MVJ43" s="380" t="e">
        <f t="shared" si="150"/>
        <v>#N/A</v>
      </c>
      <c r="MVK43" s="380" t="e">
        <f t="shared" si="150"/>
        <v>#N/A</v>
      </c>
      <c r="MVL43" s="380" t="e">
        <f t="shared" si="150"/>
        <v>#N/A</v>
      </c>
      <c r="MVM43" s="380" t="e">
        <f t="shared" si="150"/>
        <v>#N/A</v>
      </c>
      <c r="MVN43" s="380" t="e">
        <f t="shared" si="150"/>
        <v>#N/A</v>
      </c>
      <c r="MVO43" s="380" t="e">
        <f t="shared" si="150"/>
        <v>#N/A</v>
      </c>
      <c r="MVP43" s="380" t="e">
        <f t="shared" si="150"/>
        <v>#N/A</v>
      </c>
      <c r="MVQ43" s="380" t="e">
        <f t="shared" si="150"/>
        <v>#N/A</v>
      </c>
      <c r="MVR43" s="380" t="e">
        <f t="shared" si="150"/>
        <v>#N/A</v>
      </c>
      <c r="MVS43" s="380" t="e">
        <f t="shared" si="150"/>
        <v>#N/A</v>
      </c>
      <c r="MVT43" s="380" t="e">
        <f t="shared" si="150"/>
        <v>#N/A</v>
      </c>
      <c r="MVU43" s="380" t="e">
        <f t="shared" si="150"/>
        <v>#N/A</v>
      </c>
      <c r="MVV43" s="380" t="e">
        <f t="shared" si="150"/>
        <v>#N/A</v>
      </c>
      <c r="MVW43" s="380" t="e">
        <f t="shared" si="150"/>
        <v>#N/A</v>
      </c>
      <c r="MVX43" s="380" t="e">
        <f t="shared" si="150"/>
        <v>#N/A</v>
      </c>
      <c r="MVY43" s="380" t="e">
        <f t="shared" si="150"/>
        <v>#N/A</v>
      </c>
      <c r="MVZ43" s="380" t="e">
        <f t="shared" si="150"/>
        <v>#N/A</v>
      </c>
      <c r="MWA43" s="380" t="e">
        <f t="shared" si="150"/>
        <v>#N/A</v>
      </c>
      <c r="MWB43" s="380" t="e">
        <f t="shared" si="150"/>
        <v>#N/A</v>
      </c>
      <c r="MWC43" s="380" t="e">
        <f t="shared" si="150"/>
        <v>#N/A</v>
      </c>
      <c r="MWD43" s="380" t="e">
        <f t="shared" si="150"/>
        <v>#N/A</v>
      </c>
      <c r="MWE43" s="380" t="e">
        <f t="shared" si="150"/>
        <v>#N/A</v>
      </c>
      <c r="MWF43" s="380" t="e">
        <f t="shared" si="150"/>
        <v>#N/A</v>
      </c>
      <c r="MWG43" s="380" t="e">
        <f t="shared" si="150"/>
        <v>#N/A</v>
      </c>
      <c r="MWH43" s="380" t="e">
        <f t="shared" si="150"/>
        <v>#N/A</v>
      </c>
      <c r="MWI43" s="380" t="e">
        <f t="shared" si="150"/>
        <v>#N/A</v>
      </c>
      <c r="MWJ43" s="380" t="e">
        <f t="shared" si="150"/>
        <v>#N/A</v>
      </c>
      <c r="MWK43" s="380" t="e">
        <f t="shared" si="150"/>
        <v>#N/A</v>
      </c>
      <c r="MWL43" s="380" t="e">
        <f t="shared" si="150"/>
        <v>#N/A</v>
      </c>
      <c r="MWM43" s="380" t="e">
        <f t="shared" si="150"/>
        <v>#N/A</v>
      </c>
      <c r="MWN43" s="380" t="e">
        <f t="shared" si="150"/>
        <v>#N/A</v>
      </c>
      <c r="MWO43" s="380" t="e">
        <f t="shared" si="150"/>
        <v>#N/A</v>
      </c>
      <c r="MWP43" s="380" t="e">
        <f t="shared" si="150"/>
        <v>#N/A</v>
      </c>
      <c r="MWQ43" s="380" t="e">
        <f t="shared" si="150"/>
        <v>#N/A</v>
      </c>
      <c r="MWR43" s="380" t="e">
        <f t="shared" si="150"/>
        <v>#N/A</v>
      </c>
      <c r="MWS43" s="380" t="e">
        <f t="shared" si="150"/>
        <v>#N/A</v>
      </c>
      <c r="MWT43" s="380" t="e">
        <f t="shared" si="150"/>
        <v>#N/A</v>
      </c>
      <c r="MWU43" s="380" t="e">
        <f t="shared" si="150"/>
        <v>#N/A</v>
      </c>
      <c r="MWV43" s="380" t="e">
        <f t="shared" si="150"/>
        <v>#N/A</v>
      </c>
      <c r="MWW43" s="380" t="e">
        <f t="shared" si="150"/>
        <v>#N/A</v>
      </c>
      <c r="MWX43" s="380" t="e">
        <f t="shared" si="150"/>
        <v>#N/A</v>
      </c>
      <c r="MWY43" s="380" t="e">
        <f t="shared" si="150"/>
        <v>#N/A</v>
      </c>
      <c r="MWZ43" s="380" t="e">
        <f t="shared" si="150"/>
        <v>#N/A</v>
      </c>
      <c r="MXA43" s="380" t="e">
        <f t="shared" si="150"/>
        <v>#N/A</v>
      </c>
      <c r="MXB43" s="380" t="e">
        <f t="shared" si="150"/>
        <v>#N/A</v>
      </c>
      <c r="MXC43" s="380" t="e">
        <f t="shared" si="150"/>
        <v>#N/A</v>
      </c>
      <c r="MXD43" s="380" t="e">
        <f t="shared" ref="MXD43:MZO43" si="151">INDEX(MXD7:MXD40,MATCH($E$43,$E$7:$E$40,0))</f>
        <v>#N/A</v>
      </c>
      <c r="MXE43" s="380" t="e">
        <f t="shared" si="151"/>
        <v>#N/A</v>
      </c>
      <c r="MXF43" s="380" t="e">
        <f t="shared" si="151"/>
        <v>#N/A</v>
      </c>
      <c r="MXG43" s="380" t="e">
        <f t="shared" si="151"/>
        <v>#N/A</v>
      </c>
      <c r="MXH43" s="380" t="e">
        <f t="shared" si="151"/>
        <v>#N/A</v>
      </c>
      <c r="MXI43" s="380" t="e">
        <f t="shared" si="151"/>
        <v>#N/A</v>
      </c>
      <c r="MXJ43" s="380" t="e">
        <f t="shared" si="151"/>
        <v>#N/A</v>
      </c>
      <c r="MXK43" s="380" t="e">
        <f t="shared" si="151"/>
        <v>#N/A</v>
      </c>
      <c r="MXL43" s="380" t="e">
        <f t="shared" si="151"/>
        <v>#N/A</v>
      </c>
      <c r="MXM43" s="380" t="e">
        <f t="shared" si="151"/>
        <v>#N/A</v>
      </c>
      <c r="MXN43" s="380" t="e">
        <f t="shared" si="151"/>
        <v>#N/A</v>
      </c>
      <c r="MXO43" s="380" t="e">
        <f t="shared" si="151"/>
        <v>#N/A</v>
      </c>
      <c r="MXP43" s="380" t="e">
        <f t="shared" si="151"/>
        <v>#N/A</v>
      </c>
      <c r="MXQ43" s="380" t="e">
        <f t="shared" si="151"/>
        <v>#N/A</v>
      </c>
      <c r="MXR43" s="380" t="e">
        <f t="shared" si="151"/>
        <v>#N/A</v>
      </c>
      <c r="MXS43" s="380" t="e">
        <f t="shared" si="151"/>
        <v>#N/A</v>
      </c>
      <c r="MXT43" s="380" t="e">
        <f t="shared" si="151"/>
        <v>#N/A</v>
      </c>
      <c r="MXU43" s="380" t="e">
        <f t="shared" si="151"/>
        <v>#N/A</v>
      </c>
      <c r="MXV43" s="380" t="e">
        <f t="shared" si="151"/>
        <v>#N/A</v>
      </c>
      <c r="MXW43" s="380" t="e">
        <f t="shared" si="151"/>
        <v>#N/A</v>
      </c>
      <c r="MXX43" s="380" t="e">
        <f t="shared" si="151"/>
        <v>#N/A</v>
      </c>
      <c r="MXY43" s="380" t="e">
        <f t="shared" si="151"/>
        <v>#N/A</v>
      </c>
      <c r="MXZ43" s="380" t="e">
        <f t="shared" si="151"/>
        <v>#N/A</v>
      </c>
      <c r="MYA43" s="380" t="e">
        <f t="shared" si="151"/>
        <v>#N/A</v>
      </c>
      <c r="MYB43" s="380" t="e">
        <f t="shared" si="151"/>
        <v>#N/A</v>
      </c>
      <c r="MYC43" s="380" t="e">
        <f t="shared" si="151"/>
        <v>#N/A</v>
      </c>
      <c r="MYD43" s="380" t="e">
        <f t="shared" si="151"/>
        <v>#N/A</v>
      </c>
      <c r="MYE43" s="380" t="e">
        <f t="shared" si="151"/>
        <v>#N/A</v>
      </c>
      <c r="MYF43" s="380" t="e">
        <f t="shared" si="151"/>
        <v>#N/A</v>
      </c>
      <c r="MYG43" s="380" t="e">
        <f t="shared" si="151"/>
        <v>#N/A</v>
      </c>
      <c r="MYH43" s="380" t="e">
        <f t="shared" si="151"/>
        <v>#N/A</v>
      </c>
      <c r="MYI43" s="380" t="e">
        <f t="shared" si="151"/>
        <v>#N/A</v>
      </c>
      <c r="MYJ43" s="380" t="e">
        <f t="shared" si="151"/>
        <v>#N/A</v>
      </c>
      <c r="MYK43" s="380" t="e">
        <f t="shared" si="151"/>
        <v>#N/A</v>
      </c>
      <c r="MYL43" s="380" t="e">
        <f t="shared" si="151"/>
        <v>#N/A</v>
      </c>
      <c r="MYM43" s="380" t="e">
        <f t="shared" si="151"/>
        <v>#N/A</v>
      </c>
      <c r="MYN43" s="380" t="e">
        <f t="shared" si="151"/>
        <v>#N/A</v>
      </c>
      <c r="MYO43" s="380" t="e">
        <f t="shared" si="151"/>
        <v>#N/A</v>
      </c>
      <c r="MYP43" s="380" t="e">
        <f t="shared" si="151"/>
        <v>#N/A</v>
      </c>
      <c r="MYQ43" s="380" t="e">
        <f t="shared" si="151"/>
        <v>#N/A</v>
      </c>
      <c r="MYR43" s="380" t="e">
        <f t="shared" si="151"/>
        <v>#N/A</v>
      </c>
      <c r="MYS43" s="380" t="e">
        <f t="shared" si="151"/>
        <v>#N/A</v>
      </c>
      <c r="MYT43" s="380" t="e">
        <f t="shared" si="151"/>
        <v>#N/A</v>
      </c>
      <c r="MYU43" s="380" t="e">
        <f t="shared" si="151"/>
        <v>#N/A</v>
      </c>
      <c r="MYV43" s="380" t="e">
        <f t="shared" si="151"/>
        <v>#N/A</v>
      </c>
      <c r="MYW43" s="380" t="e">
        <f t="shared" si="151"/>
        <v>#N/A</v>
      </c>
      <c r="MYX43" s="380" t="e">
        <f t="shared" si="151"/>
        <v>#N/A</v>
      </c>
      <c r="MYY43" s="380" t="e">
        <f t="shared" si="151"/>
        <v>#N/A</v>
      </c>
      <c r="MYZ43" s="380" t="e">
        <f t="shared" si="151"/>
        <v>#N/A</v>
      </c>
      <c r="MZA43" s="380" t="e">
        <f t="shared" si="151"/>
        <v>#N/A</v>
      </c>
      <c r="MZB43" s="380" t="e">
        <f t="shared" si="151"/>
        <v>#N/A</v>
      </c>
      <c r="MZC43" s="380" t="e">
        <f t="shared" si="151"/>
        <v>#N/A</v>
      </c>
      <c r="MZD43" s="380" t="e">
        <f t="shared" si="151"/>
        <v>#N/A</v>
      </c>
      <c r="MZE43" s="380" t="e">
        <f t="shared" si="151"/>
        <v>#N/A</v>
      </c>
      <c r="MZF43" s="380" t="e">
        <f t="shared" si="151"/>
        <v>#N/A</v>
      </c>
      <c r="MZG43" s="380" t="e">
        <f t="shared" si="151"/>
        <v>#N/A</v>
      </c>
      <c r="MZH43" s="380" t="e">
        <f t="shared" si="151"/>
        <v>#N/A</v>
      </c>
      <c r="MZI43" s="380" t="e">
        <f t="shared" si="151"/>
        <v>#N/A</v>
      </c>
      <c r="MZJ43" s="380" t="e">
        <f t="shared" si="151"/>
        <v>#N/A</v>
      </c>
      <c r="MZK43" s="380" t="e">
        <f t="shared" si="151"/>
        <v>#N/A</v>
      </c>
      <c r="MZL43" s="380" t="e">
        <f t="shared" si="151"/>
        <v>#N/A</v>
      </c>
      <c r="MZM43" s="380" t="e">
        <f t="shared" si="151"/>
        <v>#N/A</v>
      </c>
      <c r="MZN43" s="380" t="e">
        <f t="shared" si="151"/>
        <v>#N/A</v>
      </c>
      <c r="MZO43" s="380" t="e">
        <f t="shared" si="151"/>
        <v>#N/A</v>
      </c>
      <c r="MZP43" s="380" t="e">
        <f t="shared" ref="MZP43:NCA43" si="152">INDEX(MZP7:MZP40,MATCH($E$43,$E$7:$E$40,0))</f>
        <v>#N/A</v>
      </c>
      <c r="MZQ43" s="380" t="e">
        <f t="shared" si="152"/>
        <v>#N/A</v>
      </c>
      <c r="MZR43" s="380" t="e">
        <f t="shared" si="152"/>
        <v>#N/A</v>
      </c>
      <c r="MZS43" s="380" t="e">
        <f t="shared" si="152"/>
        <v>#N/A</v>
      </c>
      <c r="MZT43" s="380" t="e">
        <f t="shared" si="152"/>
        <v>#N/A</v>
      </c>
      <c r="MZU43" s="380" t="e">
        <f t="shared" si="152"/>
        <v>#N/A</v>
      </c>
      <c r="MZV43" s="380" t="e">
        <f t="shared" si="152"/>
        <v>#N/A</v>
      </c>
      <c r="MZW43" s="380" t="e">
        <f t="shared" si="152"/>
        <v>#N/A</v>
      </c>
      <c r="MZX43" s="380" t="e">
        <f t="shared" si="152"/>
        <v>#N/A</v>
      </c>
      <c r="MZY43" s="380" t="e">
        <f t="shared" si="152"/>
        <v>#N/A</v>
      </c>
      <c r="MZZ43" s="380" t="e">
        <f t="shared" si="152"/>
        <v>#N/A</v>
      </c>
      <c r="NAA43" s="380" t="e">
        <f t="shared" si="152"/>
        <v>#N/A</v>
      </c>
      <c r="NAB43" s="380" t="e">
        <f t="shared" si="152"/>
        <v>#N/A</v>
      </c>
      <c r="NAC43" s="380" t="e">
        <f t="shared" si="152"/>
        <v>#N/A</v>
      </c>
      <c r="NAD43" s="380" t="e">
        <f t="shared" si="152"/>
        <v>#N/A</v>
      </c>
      <c r="NAE43" s="380" t="e">
        <f t="shared" si="152"/>
        <v>#N/A</v>
      </c>
      <c r="NAF43" s="380" t="e">
        <f t="shared" si="152"/>
        <v>#N/A</v>
      </c>
      <c r="NAG43" s="380" t="e">
        <f t="shared" si="152"/>
        <v>#N/A</v>
      </c>
      <c r="NAH43" s="380" t="e">
        <f t="shared" si="152"/>
        <v>#N/A</v>
      </c>
      <c r="NAI43" s="380" t="e">
        <f t="shared" si="152"/>
        <v>#N/A</v>
      </c>
      <c r="NAJ43" s="380" t="e">
        <f t="shared" si="152"/>
        <v>#N/A</v>
      </c>
      <c r="NAK43" s="380" t="e">
        <f t="shared" si="152"/>
        <v>#N/A</v>
      </c>
      <c r="NAL43" s="380" t="e">
        <f t="shared" si="152"/>
        <v>#N/A</v>
      </c>
      <c r="NAM43" s="380" t="e">
        <f t="shared" si="152"/>
        <v>#N/A</v>
      </c>
      <c r="NAN43" s="380" t="e">
        <f t="shared" si="152"/>
        <v>#N/A</v>
      </c>
      <c r="NAO43" s="380" t="e">
        <f t="shared" si="152"/>
        <v>#N/A</v>
      </c>
      <c r="NAP43" s="380" t="e">
        <f t="shared" si="152"/>
        <v>#N/A</v>
      </c>
      <c r="NAQ43" s="380" t="e">
        <f t="shared" si="152"/>
        <v>#N/A</v>
      </c>
      <c r="NAR43" s="380" t="e">
        <f t="shared" si="152"/>
        <v>#N/A</v>
      </c>
      <c r="NAS43" s="380" t="e">
        <f t="shared" si="152"/>
        <v>#N/A</v>
      </c>
      <c r="NAT43" s="380" t="e">
        <f t="shared" si="152"/>
        <v>#N/A</v>
      </c>
      <c r="NAU43" s="380" t="e">
        <f t="shared" si="152"/>
        <v>#N/A</v>
      </c>
      <c r="NAV43" s="380" t="e">
        <f t="shared" si="152"/>
        <v>#N/A</v>
      </c>
      <c r="NAW43" s="380" t="e">
        <f t="shared" si="152"/>
        <v>#N/A</v>
      </c>
      <c r="NAX43" s="380" t="e">
        <f t="shared" si="152"/>
        <v>#N/A</v>
      </c>
      <c r="NAY43" s="380" t="e">
        <f t="shared" si="152"/>
        <v>#N/A</v>
      </c>
      <c r="NAZ43" s="380" t="e">
        <f t="shared" si="152"/>
        <v>#N/A</v>
      </c>
      <c r="NBA43" s="380" t="e">
        <f t="shared" si="152"/>
        <v>#N/A</v>
      </c>
      <c r="NBB43" s="380" t="e">
        <f t="shared" si="152"/>
        <v>#N/A</v>
      </c>
      <c r="NBC43" s="380" t="e">
        <f t="shared" si="152"/>
        <v>#N/A</v>
      </c>
      <c r="NBD43" s="380" t="e">
        <f t="shared" si="152"/>
        <v>#N/A</v>
      </c>
      <c r="NBE43" s="380" t="e">
        <f t="shared" si="152"/>
        <v>#N/A</v>
      </c>
      <c r="NBF43" s="380" t="e">
        <f t="shared" si="152"/>
        <v>#N/A</v>
      </c>
      <c r="NBG43" s="380" t="e">
        <f t="shared" si="152"/>
        <v>#N/A</v>
      </c>
      <c r="NBH43" s="380" t="e">
        <f t="shared" si="152"/>
        <v>#N/A</v>
      </c>
      <c r="NBI43" s="380" t="e">
        <f t="shared" si="152"/>
        <v>#N/A</v>
      </c>
      <c r="NBJ43" s="380" t="e">
        <f t="shared" si="152"/>
        <v>#N/A</v>
      </c>
      <c r="NBK43" s="380" t="e">
        <f t="shared" si="152"/>
        <v>#N/A</v>
      </c>
      <c r="NBL43" s="380" t="e">
        <f t="shared" si="152"/>
        <v>#N/A</v>
      </c>
      <c r="NBM43" s="380" t="e">
        <f t="shared" si="152"/>
        <v>#N/A</v>
      </c>
      <c r="NBN43" s="380" t="e">
        <f t="shared" si="152"/>
        <v>#N/A</v>
      </c>
      <c r="NBO43" s="380" t="e">
        <f t="shared" si="152"/>
        <v>#N/A</v>
      </c>
      <c r="NBP43" s="380" t="e">
        <f t="shared" si="152"/>
        <v>#N/A</v>
      </c>
      <c r="NBQ43" s="380" t="e">
        <f t="shared" si="152"/>
        <v>#N/A</v>
      </c>
      <c r="NBR43" s="380" t="e">
        <f t="shared" si="152"/>
        <v>#N/A</v>
      </c>
      <c r="NBS43" s="380" t="e">
        <f t="shared" si="152"/>
        <v>#N/A</v>
      </c>
      <c r="NBT43" s="380" t="e">
        <f t="shared" si="152"/>
        <v>#N/A</v>
      </c>
      <c r="NBU43" s="380" t="e">
        <f t="shared" si="152"/>
        <v>#N/A</v>
      </c>
      <c r="NBV43" s="380" t="e">
        <f t="shared" si="152"/>
        <v>#N/A</v>
      </c>
      <c r="NBW43" s="380" t="e">
        <f t="shared" si="152"/>
        <v>#N/A</v>
      </c>
      <c r="NBX43" s="380" t="e">
        <f t="shared" si="152"/>
        <v>#N/A</v>
      </c>
      <c r="NBY43" s="380" t="e">
        <f t="shared" si="152"/>
        <v>#N/A</v>
      </c>
      <c r="NBZ43" s="380" t="e">
        <f t="shared" si="152"/>
        <v>#N/A</v>
      </c>
      <c r="NCA43" s="380" t="e">
        <f t="shared" si="152"/>
        <v>#N/A</v>
      </c>
      <c r="NCB43" s="380" t="e">
        <f t="shared" ref="NCB43:NEM43" si="153">INDEX(NCB7:NCB40,MATCH($E$43,$E$7:$E$40,0))</f>
        <v>#N/A</v>
      </c>
      <c r="NCC43" s="380" t="e">
        <f t="shared" si="153"/>
        <v>#N/A</v>
      </c>
      <c r="NCD43" s="380" t="e">
        <f t="shared" si="153"/>
        <v>#N/A</v>
      </c>
      <c r="NCE43" s="380" t="e">
        <f t="shared" si="153"/>
        <v>#N/A</v>
      </c>
      <c r="NCF43" s="380" t="e">
        <f t="shared" si="153"/>
        <v>#N/A</v>
      </c>
      <c r="NCG43" s="380" t="e">
        <f t="shared" si="153"/>
        <v>#N/A</v>
      </c>
      <c r="NCH43" s="380" t="e">
        <f t="shared" si="153"/>
        <v>#N/A</v>
      </c>
      <c r="NCI43" s="380" t="e">
        <f t="shared" si="153"/>
        <v>#N/A</v>
      </c>
      <c r="NCJ43" s="380" t="e">
        <f t="shared" si="153"/>
        <v>#N/A</v>
      </c>
      <c r="NCK43" s="380" t="e">
        <f t="shared" si="153"/>
        <v>#N/A</v>
      </c>
      <c r="NCL43" s="380" t="e">
        <f t="shared" si="153"/>
        <v>#N/A</v>
      </c>
      <c r="NCM43" s="380" t="e">
        <f t="shared" si="153"/>
        <v>#N/A</v>
      </c>
      <c r="NCN43" s="380" t="e">
        <f t="shared" si="153"/>
        <v>#N/A</v>
      </c>
      <c r="NCO43" s="380" t="e">
        <f t="shared" si="153"/>
        <v>#N/A</v>
      </c>
      <c r="NCP43" s="380" t="e">
        <f t="shared" si="153"/>
        <v>#N/A</v>
      </c>
      <c r="NCQ43" s="380" t="e">
        <f t="shared" si="153"/>
        <v>#N/A</v>
      </c>
      <c r="NCR43" s="380" t="e">
        <f t="shared" si="153"/>
        <v>#N/A</v>
      </c>
      <c r="NCS43" s="380" t="e">
        <f t="shared" si="153"/>
        <v>#N/A</v>
      </c>
      <c r="NCT43" s="380" t="e">
        <f t="shared" si="153"/>
        <v>#N/A</v>
      </c>
      <c r="NCU43" s="380" t="e">
        <f t="shared" si="153"/>
        <v>#N/A</v>
      </c>
      <c r="NCV43" s="380" t="e">
        <f t="shared" si="153"/>
        <v>#N/A</v>
      </c>
      <c r="NCW43" s="380" t="e">
        <f t="shared" si="153"/>
        <v>#N/A</v>
      </c>
      <c r="NCX43" s="380" t="e">
        <f t="shared" si="153"/>
        <v>#N/A</v>
      </c>
      <c r="NCY43" s="380" t="e">
        <f t="shared" si="153"/>
        <v>#N/A</v>
      </c>
      <c r="NCZ43" s="380" t="e">
        <f t="shared" si="153"/>
        <v>#N/A</v>
      </c>
      <c r="NDA43" s="380" t="e">
        <f t="shared" si="153"/>
        <v>#N/A</v>
      </c>
      <c r="NDB43" s="380" t="e">
        <f t="shared" si="153"/>
        <v>#N/A</v>
      </c>
      <c r="NDC43" s="380" t="e">
        <f t="shared" si="153"/>
        <v>#N/A</v>
      </c>
      <c r="NDD43" s="380" t="e">
        <f t="shared" si="153"/>
        <v>#N/A</v>
      </c>
      <c r="NDE43" s="380" t="e">
        <f t="shared" si="153"/>
        <v>#N/A</v>
      </c>
      <c r="NDF43" s="380" t="e">
        <f t="shared" si="153"/>
        <v>#N/A</v>
      </c>
      <c r="NDG43" s="380" t="e">
        <f t="shared" si="153"/>
        <v>#N/A</v>
      </c>
      <c r="NDH43" s="380" t="e">
        <f t="shared" si="153"/>
        <v>#N/A</v>
      </c>
      <c r="NDI43" s="380" t="e">
        <f t="shared" si="153"/>
        <v>#N/A</v>
      </c>
      <c r="NDJ43" s="380" t="e">
        <f t="shared" si="153"/>
        <v>#N/A</v>
      </c>
      <c r="NDK43" s="380" t="e">
        <f t="shared" si="153"/>
        <v>#N/A</v>
      </c>
      <c r="NDL43" s="380" t="e">
        <f t="shared" si="153"/>
        <v>#N/A</v>
      </c>
      <c r="NDM43" s="380" t="e">
        <f t="shared" si="153"/>
        <v>#N/A</v>
      </c>
      <c r="NDN43" s="380" t="e">
        <f t="shared" si="153"/>
        <v>#N/A</v>
      </c>
      <c r="NDO43" s="380" t="e">
        <f t="shared" si="153"/>
        <v>#N/A</v>
      </c>
      <c r="NDP43" s="380" t="e">
        <f t="shared" si="153"/>
        <v>#N/A</v>
      </c>
      <c r="NDQ43" s="380" t="e">
        <f t="shared" si="153"/>
        <v>#N/A</v>
      </c>
      <c r="NDR43" s="380" t="e">
        <f t="shared" si="153"/>
        <v>#N/A</v>
      </c>
      <c r="NDS43" s="380" t="e">
        <f t="shared" si="153"/>
        <v>#N/A</v>
      </c>
      <c r="NDT43" s="380" t="e">
        <f t="shared" si="153"/>
        <v>#N/A</v>
      </c>
      <c r="NDU43" s="380" t="e">
        <f t="shared" si="153"/>
        <v>#N/A</v>
      </c>
      <c r="NDV43" s="380" t="e">
        <f t="shared" si="153"/>
        <v>#N/A</v>
      </c>
      <c r="NDW43" s="380" t="e">
        <f t="shared" si="153"/>
        <v>#N/A</v>
      </c>
      <c r="NDX43" s="380" t="e">
        <f t="shared" si="153"/>
        <v>#N/A</v>
      </c>
      <c r="NDY43" s="380" t="e">
        <f t="shared" si="153"/>
        <v>#N/A</v>
      </c>
      <c r="NDZ43" s="380" t="e">
        <f t="shared" si="153"/>
        <v>#N/A</v>
      </c>
      <c r="NEA43" s="380" t="e">
        <f t="shared" si="153"/>
        <v>#N/A</v>
      </c>
      <c r="NEB43" s="380" t="e">
        <f t="shared" si="153"/>
        <v>#N/A</v>
      </c>
      <c r="NEC43" s="380" t="e">
        <f t="shared" si="153"/>
        <v>#N/A</v>
      </c>
      <c r="NED43" s="380" t="e">
        <f t="shared" si="153"/>
        <v>#N/A</v>
      </c>
      <c r="NEE43" s="380" t="e">
        <f t="shared" si="153"/>
        <v>#N/A</v>
      </c>
      <c r="NEF43" s="380" t="e">
        <f t="shared" si="153"/>
        <v>#N/A</v>
      </c>
      <c r="NEG43" s="380" t="e">
        <f t="shared" si="153"/>
        <v>#N/A</v>
      </c>
      <c r="NEH43" s="380" t="e">
        <f t="shared" si="153"/>
        <v>#N/A</v>
      </c>
      <c r="NEI43" s="380" t="e">
        <f t="shared" si="153"/>
        <v>#N/A</v>
      </c>
      <c r="NEJ43" s="380" t="e">
        <f t="shared" si="153"/>
        <v>#N/A</v>
      </c>
      <c r="NEK43" s="380" t="e">
        <f t="shared" si="153"/>
        <v>#N/A</v>
      </c>
      <c r="NEL43" s="380" t="e">
        <f t="shared" si="153"/>
        <v>#N/A</v>
      </c>
      <c r="NEM43" s="380" t="e">
        <f t="shared" si="153"/>
        <v>#N/A</v>
      </c>
      <c r="NEN43" s="380" t="e">
        <f t="shared" ref="NEN43:NGY43" si="154">INDEX(NEN7:NEN40,MATCH($E$43,$E$7:$E$40,0))</f>
        <v>#N/A</v>
      </c>
      <c r="NEO43" s="380" t="e">
        <f t="shared" si="154"/>
        <v>#N/A</v>
      </c>
      <c r="NEP43" s="380" t="e">
        <f t="shared" si="154"/>
        <v>#N/A</v>
      </c>
      <c r="NEQ43" s="380" t="e">
        <f t="shared" si="154"/>
        <v>#N/A</v>
      </c>
      <c r="NER43" s="380" t="e">
        <f t="shared" si="154"/>
        <v>#N/A</v>
      </c>
      <c r="NES43" s="380" t="e">
        <f t="shared" si="154"/>
        <v>#N/A</v>
      </c>
      <c r="NET43" s="380" t="e">
        <f t="shared" si="154"/>
        <v>#N/A</v>
      </c>
      <c r="NEU43" s="380" t="e">
        <f t="shared" si="154"/>
        <v>#N/A</v>
      </c>
      <c r="NEV43" s="380" t="e">
        <f t="shared" si="154"/>
        <v>#N/A</v>
      </c>
      <c r="NEW43" s="380" t="e">
        <f t="shared" si="154"/>
        <v>#N/A</v>
      </c>
      <c r="NEX43" s="380" t="e">
        <f t="shared" si="154"/>
        <v>#N/A</v>
      </c>
      <c r="NEY43" s="380" t="e">
        <f t="shared" si="154"/>
        <v>#N/A</v>
      </c>
      <c r="NEZ43" s="380" t="e">
        <f t="shared" si="154"/>
        <v>#N/A</v>
      </c>
      <c r="NFA43" s="380" t="e">
        <f t="shared" si="154"/>
        <v>#N/A</v>
      </c>
      <c r="NFB43" s="380" t="e">
        <f t="shared" si="154"/>
        <v>#N/A</v>
      </c>
      <c r="NFC43" s="380" t="e">
        <f t="shared" si="154"/>
        <v>#N/A</v>
      </c>
      <c r="NFD43" s="380" t="e">
        <f t="shared" si="154"/>
        <v>#N/A</v>
      </c>
      <c r="NFE43" s="380" t="e">
        <f t="shared" si="154"/>
        <v>#N/A</v>
      </c>
      <c r="NFF43" s="380" t="e">
        <f t="shared" si="154"/>
        <v>#N/A</v>
      </c>
      <c r="NFG43" s="380" t="e">
        <f t="shared" si="154"/>
        <v>#N/A</v>
      </c>
      <c r="NFH43" s="380" t="e">
        <f t="shared" si="154"/>
        <v>#N/A</v>
      </c>
      <c r="NFI43" s="380" t="e">
        <f t="shared" si="154"/>
        <v>#N/A</v>
      </c>
      <c r="NFJ43" s="380" t="e">
        <f t="shared" si="154"/>
        <v>#N/A</v>
      </c>
      <c r="NFK43" s="380" t="e">
        <f t="shared" si="154"/>
        <v>#N/A</v>
      </c>
      <c r="NFL43" s="380" t="e">
        <f t="shared" si="154"/>
        <v>#N/A</v>
      </c>
      <c r="NFM43" s="380" t="e">
        <f t="shared" si="154"/>
        <v>#N/A</v>
      </c>
      <c r="NFN43" s="380" t="e">
        <f t="shared" si="154"/>
        <v>#N/A</v>
      </c>
      <c r="NFO43" s="380" t="e">
        <f t="shared" si="154"/>
        <v>#N/A</v>
      </c>
      <c r="NFP43" s="380" t="e">
        <f t="shared" si="154"/>
        <v>#N/A</v>
      </c>
      <c r="NFQ43" s="380" t="e">
        <f t="shared" si="154"/>
        <v>#N/A</v>
      </c>
      <c r="NFR43" s="380" t="e">
        <f t="shared" si="154"/>
        <v>#N/A</v>
      </c>
      <c r="NFS43" s="380" t="e">
        <f t="shared" si="154"/>
        <v>#N/A</v>
      </c>
      <c r="NFT43" s="380" t="e">
        <f t="shared" si="154"/>
        <v>#N/A</v>
      </c>
      <c r="NFU43" s="380" t="e">
        <f t="shared" si="154"/>
        <v>#N/A</v>
      </c>
      <c r="NFV43" s="380" t="e">
        <f t="shared" si="154"/>
        <v>#N/A</v>
      </c>
      <c r="NFW43" s="380" t="e">
        <f t="shared" si="154"/>
        <v>#N/A</v>
      </c>
      <c r="NFX43" s="380" t="e">
        <f t="shared" si="154"/>
        <v>#N/A</v>
      </c>
      <c r="NFY43" s="380" t="e">
        <f t="shared" si="154"/>
        <v>#N/A</v>
      </c>
      <c r="NFZ43" s="380" t="e">
        <f t="shared" si="154"/>
        <v>#N/A</v>
      </c>
      <c r="NGA43" s="380" t="e">
        <f t="shared" si="154"/>
        <v>#N/A</v>
      </c>
      <c r="NGB43" s="380" t="e">
        <f t="shared" si="154"/>
        <v>#N/A</v>
      </c>
      <c r="NGC43" s="380" t="e">
        <f t="shared" si="154"/>
        <v>#N/A</v>
      </c>
      <c r="NGD43" s="380" t="e">
        <f t="shared" si="154"/>
        <v>#N/A</v>
      </c>
      <c r="NGE43" s="380" t="e">
        <f t="shared" si="154"/>
        <v>#N/A</v>
      </c>
      <c r="NGF43" s="380" t="e">
        <f t="shared" si="154"/>
        <v>#N/A</v>
      </c>
      <c r="NGG43" s="380" t="e">
        <f t="shared" si="154"/>
        <v>#N/A</v>
      </c>
      <c r="NGH43" s="380" t="e">
        <f t="shared" si="154"/>
        <v>#N/A</v>
      </c>
      <c r="NGI43" s="380" t="e">
        <f t="shared" si="154"/>
        <v>#N/A</v>
      </c>
      <c r="NGJ43" s="380" t="e">
        <f t="shared" si="154"/>
        <v>#N/A</v>
      </c>
      <c r="NGK43" s="380" t="e">
        <f t="shared" si="154"/>
        <v>#N/A</v>
      </c>
      <c r="NGL43" s="380" t="e">
        <f t="shared" si="154"/>
        <v>#N/A</v>
      </c>
      <c r="NGM43" s="380" t="e">
        <f t="shared" si="154"/>
        <v>#N/A</v>
      </c>
      <c r="NGN43" s="380" t="e">
        <f t="shared" si="154"/>
        <v>#N/A</v>
      </c>
      <c r="NGO43" s="380" t="e">
        <f t="shared" si="154"/>
        <v>#N/A</v>
      </c>
      <c r="NGP43" s="380" t="e">
        <f t="shared" si="154"/>
        <v>#N/A</v>
      </c>
      <c r="NGQ43" s="380" t="e">
        <f t="shared" si="154"/>
        <v>#N/A</v>
      </c>
      <c r="NGR43" s="380" t="e">
        <f t="shared" si="154"/>
        <v>#N/A</v>
      </c>
      <c r="NGS43" s="380" t="e">
        <f t="shared" si="154"/>
        <v>#N/A</v>
      </c>
      <c r="NGT43" s="380" t="e">
        <f t="shared" si="154"/>
        <v>#N/A</v>
      </c>
      <c r="NGU43" s="380" t="e">
        <f t="shared" si="154"/>
        <v>#N/A</v>
      </c>
      <c r="NGV43" s="380" t="e">
        <f t="shared" si="154"/>
        <v>#N/A</v>
      </c>
      <c r="NGW43" s="380" t="e">
        <f t="shared" si="154"/>
        <v>#N/A</v>
      </c>
      <c r="NGX43" s="380" t="e">
        <f t="shared" si="154"/>
        <v>#N/A</v>
      </c>
      <c r="NGY43" s="380" t="e">
        <f t="shared" si="154"/>
        <v>#N/A</v>
      </c>
      <c r="NGZ43" s="380" t="e">
        <f t="shared" ref="NGZ43:NJK43" si="155">INDEX(NGZ7:NGZ40,MATCH($E$43,$E$7:$E$40,0))</f>
        <v>#N/A</v>
      </c>
      <c r="NHA43" s="380" t="e">
        <f t="shared" si="155"/>
        <v>#N/A</v>
      </c>
      <c r="NHB43" s="380" t="e">
        <f t="shared" si="155"/>
        <v>#N/A</v>
      </c>
      <c r="NHC43" s="380" t="e">
        <f t="shared" si="155"/>
        <v>#N/A</v>
      </c>
      <c r="NHD43" s="380" t="e">
        <f t="shared" si="155"/>
        <v>#N/A</v>
      </c>
      <c r="NHE43" s="380" t="e">
        <f t="shared" si="155"/>
        <v>#N/A</v>
      </c>
      <c r="NHF43" s="380" t="e">
        <f t="shared" si="155"/>
        <v>#N/A</v>
      </c>
      <c r="NHG43" s="380" t="e">
        <f t="shared" si="155"/>
        <v>#N/A</v>
      </c>
      <c r="NHH43" s="380" t="e">
        <f t="shared" si="155"/>
        <v>#N/A</v>
      </c>
      <c r="NHI43" s="380" t="e">
        <f t="shared" si="155"/>
        <v>#N/A</v>
      </c>
      <c r="NHJ43" s="380" t="e">
        <f t="shared" si="155"/>
        <v>#N/A</v>
      </c>
      <c r="NHK43" s="380" t="e">
        <f t="shared" si="155"/>
        <v>#N/A</v>
      </c>
      <c r="NHL43" s="380" t="e">
        <f t="shared" si="155"/>
        <v>#N/A</v>
      </c>
      <c r="NHM43" s="380" t="e">
        <f t="shared" si="155"/>
        <v>#N/A</v>
      </c>
      <c r="NHN43" s="380" t="e">
        <f t="shared" si="155"/>
        <v>#N/A</v>
      </c>
      <c r="NHO43" s="380" t="e">
        <f t="shared" si="155"/>
        <v>#N/A</v>
      </c>
      <c r="NHP43" s="380" t="e">
        <f t="shared" si="155"/>
        <v>#N/A</v>
      </c>
      <c r="NHQ43" s="380" t="e">
        <f t="shared" si="155"/>
        <v>#N/A</v>
      </c>
      <c r="NHR43" s="380" t="e">
        <f t="shared" si="155"/>
        <v>#N/A</v>
      </c>
      <c r="NHS43" s="380" t="e">
        <f t="shared" si="155"/>
        <v>#N/A</v>
      </c>
      <c r="NHT43" s="380" t="e">
        <f t="shared" si="155"/>
        <v>#N/A</v>
      </c>
      <c r="NHU43" s="380" t="e">
        <f t="shared" si="155"/>
        <v>#N/A</v>
      </c>
      <c r="NHV43" s="380" t="e">
        <f t="shared" si="155"/>
        <v>#N/A</v>
      </c>
      <c r="NHW43" s="380" t="e">
        <f t="shared" si="155"/>
        <v>#N/A</v>
      </c>
      <c r="NHX43" s="380" t="e">
        <f t="shared" si="155"/>
        <v>#N/A</v>
      </c>
      <c r="NHY43" s="380" t="e">
        <f t="shared" si="155"/>
        <v>#N/A</v>
      </c>
      <c r="NHZ43" s="380" t="e">
        <f t="shared" si="155"/>
        <v>#N/A</v>
      </c>
      <c r="NIA43" s="380" t="e">
        <f t="shared" si="155"/>
        <v>#N/A</v>
      </c>
      <c r="NIB43" s="380" t="e">
        <f t="shared" si="155"/>
        <v>#N/A</v>
      </c>
      <c r="NIC43" s="380" t="e">
        <f t="shared" si="155"/>
        <v>#N/A</v>
      </c>
      <c r="NID43" s="380" t="e">
        <f t="shared" si="155"/>
        <v>#N/A</v>
      </c>
      <c r="NIE43" s="380" t="e">
        <f t="shared" si="155"/>
        <v>#N/A</v>
      </c>
      <c r="NIF43" s="380" t="e">
        <f t="shared" si="155"/>
        <v>#N/A</v>
      </c>
      <c r="NIG43" s="380" t="e">
        <f t="shared" si="155"/>
        <v>#N/A</v>
      </c>
      <c r="NIH43" s="380" t="e">
        <f t="shared" si="155"/>
        <v>#N/A</v>
      </c>
      <c r="NII43" s="380" t="e">
        <f t="shared" si="155"/>
        <v>#N/A</v>
      </c>
      <c r="NIJ43" s="380" t="e">
        <f t="shared" si="155"/>
        <v>#N/A</v>
      </c>
      <c r="NIK43" s="380" t="e">
        <f t="shared" si="155"/>
        <v>#N/A</v>
      </c>
      <c r="NIL43" s="380" t="e">
        <f t="shared" si="155"/>
        <v>#N/A</v>
      </c>
      <c r="NIM43" s="380" t="e">
        <f t="shared" si="155"/>
        <v>#N/A</v>
      </c>
      <c r="NIN43" s="380" t="e">
        <f t="shared" si="155"/>
        <v>#N/A</v>
      </c>
      <c r="NIO43" s="380" t="e">
        <f t="shared" si="155"/>
        <v>#N/A</v>
      </c>
      <c r="NIP43" s="380" t="e">
        <f t="shared" si="155"/>
        <v>#N/A</v>
      </c>
      <c r="NIQ43" s="380" t="e">
        <f t="shared" si="155"/>
        <v>#N/A</v>
      </c>
      <c r="NIR43" s="380" t="e">
        <f t="shared" si="155"/>
        <v>#N/A</v>
      </c>
      <c r="NIS43" s="380" t="e">
        <f t="shared" si="155"/>
        <v>#N/A</v>
      </c>
      <c r="NIT43" s="380" t="e">
        <f t="shared" si="155"/>
        <v>#N/A</v>
      </c>
      <c r="NIU43" s="380" t="e">
        <f t="shared" si="155"/>
        <v>#N/A</v>
      </c>
      <c r="NIV43" s="380" t="e">
        <f t="shared" si="155"/>
        <v>#N/A</v>
      </c>
      <c r="NIW43" s="380" t="e">
        <f t="shared" si="155"/>
        <v>#N/A</v>
      </c>
      <c r="NIX43" s="380" t="e">
        <f t="shared" si="155"/>
        <v>#N/A</v>
      </c>
      <c r="NIY43" s="380" t="e">
        <f t="shared" si="155"/>
        <v>#N/A</v>
      </c>
      <c r="NIZ43" s="380" t="e">
        <f t="shared" si="155"/>
        <v>#N/A</v>
      </c>
      <c r="NJA43" s="380" t="e">
        <f t="shared" si="155"/>
        <v>#N/A</v>
      </c>
      <c r="NJB43" s="380" t="e">
        <f t="shared" si="155"/>
        <v>#N/A</v>
      </c>
      <c r="NJC43" s="380" t="e">
        <f t="shared" si="155"/>
        <v>#N/A</v>
      </c>
      <c r="NJD43" s="380" t="e">
        <f t="shared" si="155"/>
        <v>#N/A</v>
      </c>
      <c r="NJE43" s="380" t="e">
        <f t="shared" si="155"/>
        <v>#N/A</v>
      </c>
      <c r="NJF43" s="380" t="e">
        <f t="shared" si="155"/>
        <v>#N/A</v>
      </c>
      <c r="NJG43" s="380" t="e">
        <f t="shared" si="155"/>
        <v>#N/A</v>
      </c>
      <c r="NJH43" s="380" t="e">
        <f t="shared" si="155"/>
        <v>#N/A</v>
      </c>
      <c r="NJI43" s="380" t="e">
        <f t="shared" si="155"/>
        <v>#N/A</v>
      </c>
      <c r="NJJ43" s="380" t="e">
        <f t="shared" si="155"/>
        <v>#N/A</v>
      </c>
      <c r="NJK43" s="380" t="e">
        <f t="shared" si="155"/>
        <v>#N/A</v>
      </c>
      <c r="NJL43" s="380" t="e">
        <f t="shared" ref="NJL43:NLW43" si="156">INDEX(NJL7:NJL40,MATCH($E$43,$E$7:$E$40,0))</f>
        <v>#N/A</v>
      </c>
      <c r="NJM43" s="380" t="e">
        <f t="shared" si="156"/>
        <v>#N/A</v>
      </c>
      <c r="NJN43" s="380" t="e">
        <f t="shared" si="156"/>
        <v>#N/A</v>
      </c>
      <c r="NJO43" s="380" t="e">
        <f t="shared" si="156"/>
        <v>#N/A</v>
      </c>
      <c r="NJP43" s="380" t="e">
        <f t="shared" si="156"/>
        <v>#N/A</v>
      </c>
      <c r="NJQ43" s="380" t="e">
        <f t="shared" si="156"/>
        <v>#N/A</v>
      </c>
      <c r="NJR43" s="380" t="e">
        <f t="shared" si="156"/>
        <v>#N/A</v>
      </c>
      <c r="NJS43" s="380" t="e">
        <f t="shared" si="156"/>
        <v>#N/A</v>
      </c>
      <c r="NJT43" s="380" t="e">
        <f t="shared" si="156"/>
        <v>#N/A</v>
      </c>
      <c r="NJU43" s="380" t="e">
        <f t="shared" si="156"/>
        <v>#N/A</v>
      </c>
      <c r="NJV43" s="380" t="e">
        <f t="shared" si="156"/>
        <v>#N/A</v>
      </c>
      <c r="NJW43" s="380" t="e">
        <f t="shared" si="156"/>
        <v>#N/A</v>
      </c>
      <c r="NJX43" s="380" t="e">
        <f t="shared" si="156"/>
        <v>#N/A</v>
      </c>
      <c r="NJY43" s="380" t="e">
        <f t="shared" si="156"/>
        <v>#N/A</v>
      </c>
      <c r="NJZ43" s="380" t="e">
        <f t="shared" si="156"/>
        <v>#N/A</v>
      </c>
      <c r="NKA43" s="380" t="e">
        <f t="shared" si="156"/>
        <v>#N/A</v>
      </c>
      <c r="NKB43" s="380" t="e">
        <f t="shared" si="156"/>
        <v>#N/A</v>
      </c>
      <c r="NKC43" s="380" t="e">
        <f t="shared" si="156"/>
        <v>#N/A</v>
      </c>
      <c r="NKD43" s="380" t="e">
        <f t="shared" si="156"/>
        <v>#N/A</v>
      </c>
      <c r="NKE43" s="380" t="e">
        <f t="shared" si="156"/>
        <v>#N/A</v>
      </c>
      <c r="NKF43" s="380" t="e">
        <f t="shared" si="156"/>
        <v>#N/A</v>
      </c>
      <c r="NKG43" s="380" t="e">
        <f t="shared" si="156"/>
        <v>#N/A</v>
      </c>
      <c r="NKH43" s="380" t="e">
        <f t="shared" si="156"/>
        <v>#N/A</v>
      </c>
      <c r="NKI43" s="380" t="e">
        <f t="shared" si="156"/>
        <v>#N/A</v>
      </c>
      <c r="NKJ43" s="380" t="e">
        <f t="shared" si="156"/>
        <v>#N/A</v>
      </c>
      <c r="NKK43" s="380" t="e">
        <f t="shared" si="156"/>
        <v>#N/A</v>
      </c>
      <c r="NKL43" s="380" t="e">
        <f t="shared" si="156"/>
        <v>#N/A</v>
      </c>
      <c r="NKM43" s="380" t="e">
        <f t="shared" si="156"/>
        <v>#N/A</v>
      </c>
      <c r="NKN43" s="380" t="e">
        <f t="shared" si="156"/>
        <v>#N/A</v>
      </c>
      <c r="NKO43" s="380" t="e">
        <f t="shared" si="156"/>
        <v>#N/A</v>
      </c>
      <c r="NKP43" s="380" t="e">
        <f t="shared" si="156"/>
        <v>#N/A</v>
      </c>
      <c r="NKQ43" s="380" t="e">
        <f t="shared" si="156"/>
        <v>#N/A</v>
      </c>
      <c r="NKR43" s="380" t="e">
        <f t="shared" si="156"/>
        <v>#N/A</v>
      </c>
      <c r="NKS43" s="380" t="e">
        <f t="shared" si="156"/>
        <v>#N/A</v>
      </c>
      <c r="NKT43" s="380" t="e">
        <f t="shared" si="156"/>
        <v>#N/A</v>
      </c>
      <c r="NKU43" s="380" t="e">
        <f t="shared" si="156"/>
        <v>#N/A</v>
      </c>
      <c r="NKV43" s="380" t="e">
        <f t="shared" si="156"/>
        <v>#N/A</v>
      </c>
      <c r="NKW43" s="380" t="e">
        <f t="shared" si="156"/>
        <v>#N/A</v>
      </c>
      <c r="NKX43" s="380" t="e">
        <f t="shared" si="156"/>
        <v>#N/A</v>
      </c>
      <c r="NKY43" s="380" t="e">
        <f t="shared" si="156"/>
        <v>#N/A</v>
      </c>
      <c r="NKZ43" s="380" t="e">
        <f t="shared" si="156"/>
        <v>#N/A</v>
      </c>
      <c r="NLA43" s="380" t="e">
        <f t="shared" si="156"/>
        <v>#N/A</v>
      </c>
      <c r="NLB43" s="380" t="e">
        <f t="shared" si="156"/>
        <v>#N/A</v>
      </c>
      <c r="NLC43" s="380" t="e">
        <f t="shared" si="156"/>
        <v>#N/A</v>
      </c>
      <c r="NLD43" s="380" t="e">
        <f t="shared" si="156"/>
        <v>#N/A</v>
      </c>
      <c r="NLE43" s="380" t="e">
        <f t="shared" si="156"/>
        <v>#N/A</v>
      </c>
      <c r="NLF43" s="380" t="e">
        <f t="shared" si="156"/>
        <v>#N/A</v>
      </c>
      <c r="NLG43" s="380" t="e">
        <f t="shared" si="156"/>
        <v>#N/A</v>
      </c>
      <c r="NLH43" s="380" t="e">
        <f t="shared" si="156"/>
        <v>#N/A</v>
      </c>
      <c r="NLI43" s="380" t="e">
        <f t="shared" si="156"/>
        <v>#N/A</v>
      </c>
      <c r="NLJ43" s="380" t="e">
        <f t="shared" si="156"/>
        <v>#N/A</v>
      </c>
      <c r="NLK43" s="380" t="e">
        <f t="shared" si="156"/>
        <v>#N/A</v>
      </c>
      <c r="NLL43" s="380" t="e">
        <f t="shared" si="156"/>
        <v>#N/A</v>
      </c>
      <c r="NLM43" s="380" t="e">
        <f t="shared" si="156"/>
        <v>#N/A</v>
      </c>
      <c r="NLN43" s="380" t="e">
        <f t="shared" si="156"/>
        <v>#N/A</v>
      </c>
      <c r="NLO43" s="380" t="e">
        <f t="shared" si="156"/>
        <v>#N/A</v>
      </c>
      <c r="NLP43" s="380" t="e">
        <f t="shared" si="156"/>
        <v>#N/A</v>
      </c>
      <c r="NLQ43" s="380" t="e">
        <f t="shared" si="156"/>
        <v>#N/A</v>
      </c>
      <c r="NLR43" s="380" t="e">
        <f t="shared" si="156"/>
        <v>#N/A</v>
      </c>
      <c r="NLS43" s="380" t="e">
        <f t="shared" si="156"/>
        <v>#N/A</v>
      </c>
      <c r="NLT43" s="380" t="e">
        <f t="shared" si="156"/>
        <v>#N/A</v>
      </c>
      <c r="NLU43" s="380" t="e">
        <f t="shared" si="156"/>
        <v>#N/A</v>
      </c>
      <c r="NLV43" s="380" t="e">
        <f t="shared" si="156"/>
        <v>#N/A</v>
      </c>
      <c r="NLW43" s="380" t="e">
        <f t="shared" si="156"/>
        <v>#N/A</v>
      </c>
      <c r="NLX43" s="380" t="e">
        <f t="shared" ref="NLX43:NOI43" si="157">INDEX(NLX7:NLX40,MATCH($E$43,$E$7:$E$40,0))</f>
        <v>#N/A</v>
      </c>
      <c r="NLY43" s="380" t="e">
        <f t="shared" si="157"/>
        <v>#N/A</v>
      </c>
      <c r="NLZ43" s="380" t="e">
        <f t="shared" si="157"/>
        <v>#N/A</v>
      </c>
      <c r="NMA43" s="380" t="e">
        <f t="shared" si="157"/>
        <v>#N/A</v>
      </c>
      <c r="NMB43" s="380" t="e">
        <f t="shared" si="157"/>
        <v>#N/A</v>
      </c>
      <c r="NMC43" s="380" t="e">
        <f t="shared" si="157"/>
        <v>#N/A</v>
      </c>
      <c r="NMD43" s="380" t="e">
        <f t="shared" si="157"/>
        <v>#N/A</v>
      </c>
      <c r="NME43" s="380" t="e">
        <f t="shared" si="157"/>
        <v>#N/A</v>
      </c>
      <c r="NMF43" s="380" t="e">
        <f t="shared" si="157"/>
        <v>#N/A</v>
      </c>
      <c r="NMG43" s="380" t="e">
        <f t="shared" si="157"/>
        <v>#N/A</v>
      </c>
      <c r="NMH43" s="380" t="e">
        <f t="shared" si="157"/>
        <v>#N/A</v>
      </c>
      <c r="NMI43" s="380" t="e">
        <f t="shared" si="157"/>
        <v>#N/A</v>
      </c>
      <c r="NMJ43" s="380" t="e">
        <f t="shared" si="157"/>
        <v>#N/A</v>
      </c>
      <c r="NMK43" s="380" t="e">
        <f t="shared" si="157"/>
        <v>#N/A</v>
      </c>
      <c r="NML43" s="380" t="e">
        <f t="shared" si="157"/>
        <v>#N/A</v>
      </c>
      <c r="NMM43" s="380" t="e">
        <f t="shared" si="157"/>
        <v>#N/A</v>
      </c>
      <c r="NMN43" s="380" t="e">
        <f t="shared" si="157"/>
        <v>#N/A</v>
      </c>
      <c r="NMO43" s="380" t="e">
        <f t="shared" si="157"/>
        <v>#N/A</v>
      </c>
      <c r="NMP43" s="380" t="e">
        <f t="shared" si="157"/>
        <v>#N/A</v>
      </c>
      <c r="NMQ43" s="380" t="e">
        <f t="shared" si="157"/>
        <v>#N/A</v>
      </c>
      <c r="NMR43" s="380" t="e">
        <f t="shared" si="157"/>
        <v>#N/A</v>
      </c>
      <c r="NMS43" s="380" t="e">
        <f t="shared" si="157"/>
        <v>#N/A</v>
      </c>
      <c r="NMT43" s="380" t="e">
        <f t="shared" si="157"/>
        <v>#N/A</v>
      </c>
      <c r="NMU43" s="380" t="e">
        <f t="shared" si="157"/>
        <v>#N/A</v>
      </c>
      <c r="NMV43" s="380" t="e">
        <f t="shared" si="157"/>
        <v>#N/A</v>
      </c>
      <c r="NMW43" s="380" t="e">
        <f t="shared" si="157"/>
        <v>#N/A</v>
      </c>
      <c r="NMX43" s="380" t="e">
        <f t="shared" si="157"/>
        <v>#N/A</v>
      </c>
      <c r="NMY43" s="380" t="e">
        <f t="shared" si="157"/>
        <v>#N/A</v>
      </c>
      <c r="NMZ43" s="380" t="e">
        <f t="shared" si="157"/>
        <v>#N/A</v>
      </c>
      <c r="NNA43" s="380" t="e">
        <f t="shared" si="157"/>
        <v>#N/A</v>
      </c>
      <c r="NNB43" s="380" t="e">
        <f t="shared" si="157"/>
        <v>#N/A</v>
      </c>
      <c r="NNC43" s="380" t="e">
        <f t="shared" si="157"/>
        <v>#N/A</v>
      </c>
      <c r="NND43" s="380" t="e">
        <f t="shared" si="157"/>
        <v>#N/A</v>
      </c>
      <c r="NNE43" s="380" t="e">
        <f t="shared" si="157"/>
        <v>#N/A</v>
      </c>
      <c r="NNF43" s="380" t="e">
        <f t="shared" si="157"/>
        <v>#N/A</v>
      </c>
      <c r="NNG43" s="380" t="e">
        <f t="shared" si="157"/>
        <v>#N/A</v>
      </c>
      <c r="NNH43" s="380" t="e">
        <f t="shared" si="157"/>
        <v>#N/A</v>
      </c>
      <c r="NNI43" s="380" t="e">
        <f t="shared" si="157"/>
        <v>#N/A</v>
      </c>
      <c r="NNJ43" s="380" t="e">
        <f t="shared" si="157"/>
        <v>#N/A</v>
      </c>
      <c r="NNK43" s="380" t="e">
        <f t="shared" si="157"/>
        <v>#N/A</v>
      </c>
      <c r="NNL43" s="380" t="e">
        <f t="shared" si="157"/>
        <v>#N/A</v>
      </c>
      <c r="NNM43" s="380" t="e">
        <f t="shared" si="157"/>
        <v>#N/A</v>
      </c>
      <c r="NNN43" s="380" t="e">
        <f t="shared" si="157"/>
        <v>#N/A</v>
      </c>
      <c r="NNO43" s="380" t="e">
        <f t="shared" si="157"/>
        <v>#N/A</v>
      </c>
      <c r="NNP43" s="380" t="e">
        <f t="shared" si="157"/>
        <v>#N/A</v>
      </c>
      <c r="NNQ43" s="380" t="e">
        <f t="shared" si="157"/>
        <v>#N/A</v>
      </c>
      <c r="NNR43" s="380" t="e">
        <f t="shared" si="157"/>
        <v>#N/A</v>
      </c>
      <c r="NNS43" s="380" t="e">
        <f t="shared" si="157"/>
        <v>#N/A</v>
      </c>
      <c r="NNT43" s="380" t="e">
        <f t="shared" si="157"/>
        <v>#N/A</v>
      </c>
      <c r="NNU43" s="380" t="e">
        <f t="shared" si="157"/>
        <v>#N/A</v>
      </c>
      <c r="NNV43" s="380" t="e">
        <f t="shared" si="157"/>
        <v>#N/A</v>
      </c>
      <c r="NNW43" s="380" t="e">
        <f t="shared" si="157"/>
        <v>#N/A</v>
      </c>
      <c r="NNX43" s="380" t="e">
        <f t="shared" si="157"/>
        <v>#N/A</v>
      </c>
      <c r="NNY43" s="380" t="e">
        <f t="shared" si="157"/>
        <v>#N/A</v>
      </c>
      <c r="NNZ43" s="380" t="e">
        <f t="shared" si="157"/>
        <v>#N/A</v>
      </c>
      <c r="NOA43" s="380" t="e">
        <f t="shared" si="157"/>
        <v>#N/A</v>
      </c>
      <c r="NOB43" s="380" t="e">
        <f t="shared" si="157"/>
        <v>#N/A</v>
      </c>
      <c r="NOC43" s="380" t="e">
        <f t="shared" si="157"/>
        <v>#N/A</v>
      </c>
      <c r="NOD43" s="380" t="e">
        <f t="shared" si="157"/>
        <v>#N/A</v>
      </c>
      <c r="NOE43" s="380" t="e">
        <f t="shared" si="157"/>
        <v>#N/A</v>
      </c>
      <c r="NOF43" s="380" t="e">
        <f t="shared" si="157"/>
        <v>#N/A</v>
      </c>
      <c r="NOG43" s="380" t="e">
        <f t="shared" si="157"/>
        <v>#N/A</v>
      </c>
      <c r="NOH43" s="380" t="e">
        <f t="shared" si="157"/>
        <v>#N/A</v>
      </c>
      <c r="NOI43" s="380" t="e">
        <f t="shared" si="157"/>
        <v>#N/A</v>
      </c>
      <c r="NOJ43" s="380" t="e">
        <f t="shared" ref="NOJ43:NQU43" si="158">INDEX(NOJ7:NOJ40,MATCH($E$43,$E$7:$E$40,0))</f>
        <v>#N/A</v>
      </c>
      <c r="NOK43" s="380" t="e">
        <f t="shared" si="158"/>
        <v>#N/A</v>
      </c>
      <c r="NOL43" s="380" t="e">
        <f t="shared" si="158"/>
        <v>#N/A</v>
      </c>
      <c r="NOM43" s="380" t="e">
        <f t="shared" si="158"/>
        <v>#N/A</v>
      </c>
      <c r="NON43" s="380" t="e">
        <f t="shared" si="158"/>
        <v>#N/A</v>
      </c>
      <c r="NOO43" s="380" t="e">
        <f t="shared" si="158"/>
        <v>#N/A</v>
      </c>
      <c r="NOP43" s="380" t="e">
        <f t="shared" si="158"/>
        <v>#N/A</v>
      </c>
      <c r="NOQ43" s="380" t="e">
        <f t="shared" si="158"/>
        <v>#N/A</v>
      </c>
      <c r="NOR43" s="380" t="e">
        <f t="shared" si="158"/>
        <v>#N/A</v>
      </c>
      <c r="NOS43" s="380" t="e">
        <f t="shared" si="158"/>
        <v>#N/A</v>
      </c>
      <c r="NOT43" s="380" t="e">
        <f t="shared" si="158"/>
        <v>#N/A</v>
      </c>
      <c r="NOU43" s="380" t="e">
        <f t="shared" si="158"/>
        <v>#N/A</v>
      </c>
      <c r="NOV43" s="380" t="e">
        <f t="shared" si="158"/>
        <v>#N/A</v>
      </c>
      <c r="NOW43" s="380" t="e">
        <f t="shared" si="158"/>
        <v>#N/A</v>
      </c>
      <c r="NOX43" s="380" t="e">
        <f t="shared" si="158"/>
        <v>#N/A</v>
      </c>
      <c r="NOY43" s="380" t="e">
        <f t="shared" si="158"/>
        <v>#N/A</v>
      </c>
      <c r="NOZ43" s="380" t="e">
        <f t="shared" si="158"/>
        <v>#N/A</v>
      </c>
      <c r="NPA43" s="380" t="e">
        <f t="shared" si="158"/>
        <v>#N/A</v>
      </c>
      <c r="NPB43" s="380" t="e">
        <f t="shared" si="158"/>
        <v>#N/A</v>
      </c>
      <c r="NPC43" s="380" t="e">
        <f t="shared" si="158"/>
        <v>#N/A</v>
      </c>
      <c r="NPD43" s="380" t="e">
        <f t="shared" si="158"/>
        <v>#N/A</v>
      </c>
      <c r="NPE43" s="380" t="e">
        <f t="shared" si="158"/>
        <v>#N/A</v>
      </c>
      <c r="NPF43" s="380" t="e">
        <f t="shared" si="158"/>
        <v>#N/A</v>
      </c>
      <c r="NPG43" s="380" t="e">
        <f t="shared" si="158"/>
        <v>#N/A</v>
      </c>
      <c r="NPH43" s="380" t="e">
        <f t="shared" si="158"/>
        <v>#N/A</v>
      </c>
      <c r="NPI43" s="380" t="e">
        <f t="shared" si="158"/>
        <v>#N/A</v>
      </c>
      <c r="NPJ43" s="380" t="e">
        <f t="shared" si="158"/>
        <v>#N/A</v>
      </c>
      <c r="NPK43" s="380" t="e">
        <f t="shared" si="158"/>
        <v>#N/A</v>
      </c>
      <c r="NPL43" s="380" t="e">
        <f t="shared" si="158"/>
        <v>#N/A</v>
      </c>
      <c r="NPM43" s="380" t="e">
        <f t="shared" si="158"/>
        <v>#N/A</v>
      </c>
      <c r="NPN43" s="380" t="e">
        <f t="shared" si="158"/>
        <v>#N/A</v>
      </c>
      <c r="NPO43" s="380" t="e">
        <f t="shared" si="158"/>
        <v>#N/A</v>
      </c>
      <c r="NPP43" s="380" t="e">
        <f t="shared" si="158"/>
        <v>#N/A</v>
      </c>
      <c r="NPQ43" s="380" t="e">
        <f t="shared" si="158"/>
        <v>#N/A</v>
      </c>
      <c r="NPR43" s="380" t="e">
        <f t="shared" si="158"/>
        <v>#N/A</v>
      </c>
      <c r="NPS43" s="380" t="e">
        <f t="shared" si="158"/>
        <v>#N/A</v>
      </c>
      <c r="NPT43" s="380" t="e">
        <f t="shared" si="158"/>
        <v>#N/A</v>
      </c>
      <c r="NPU43" s="380" t="e">
        <f t="shared" si="158"/>
        <v>#N/A</v>
      </c>
      <c r="NPV43" s="380" t="e">
        <f t="shared" si="158"/>
        <v>#N/A</v>
      </c>
      <c r="NPW43" s="380" t="e">
        <f t="shared" si="158"/>
        <v>#N/A</v>
      </c>
      <c r="NPX43" s="380" t="e">
        <f t="shared" si="158"/>
        <v>#N/A</v>
      </c>
      <c r="NPY43" s="380" t="e">
        <f t="shared" si="158"/>
        <v>#N/A</v>
      </c>
      <c r="NPZ43" s="380" t="e">
        <f t="shared" si="158"/>
        <v>#N/A</v>
      </c>
      <c r="NQA43" s="380" t="e">
        <f t="shared" si="158"/>
        <v>#N/A</v>
      </c>
      <c r="NQB43" s="380" t="e">
        <f t="shared" si="158"/>
        <v>#N/A</v>
      </c>
      <c r="NQC43" s="380" t="e">
        <f t="shared" si="158"/>
        <v>#N/A</v>
      </c>
      <c r="NQD43" s="380" t="e">
        <f t="shared" si="158"/>
        <v>#N/A</v>
      </c>
      <c r="NQE43" s="380" t="e">
        <f t="shared" si="158"/>
        <v>#N/A</v>
      </c>
      <c r="NQF43" s="380" t="e">
        <f t="shared" si="158"/>
        <v>#N/A</v>
      </c>
      <c r="NQG43" s="380" t="e">
        <f t="shared" si="158"/>
        <v>#N/A</v>
      </c>
      <c r="NQH43" s="380" t="e">
        <f t="shared" si="158"/>
        <v>#N/A</v>
      </c>
      <c r="NQI43" s="380" t="e">
        <f t="shared" si="158"/>
        <v>#N/A</v>
      </c>
      <c r="NQJ43" s="380" t="e">
        <f t="shared" si="158"/>
        <v>#N/A</v>
      </c>
      <c r="NQK43" s="380" t="e">
        <f t="shared" si="158"/>
        <v>#N/A</v>
      </c>
      <c r="NQL43" s="380" t="e">
        <f t="shared" si="158"/>
        <v>#N/A</v>
      </c>
      <c r="NQM43" s="380" t="e">
        <f t="shared" si="158"/>
        <v>#N/A</v>
      </c>
      <c r="NQN43" s="380" t="e">
        <f t="shared" si="158"/>
        <v>#N/A</v>
      </c>
      <c r="NQO43" s="380" t="e">
        <f t="shared" si="158"/>
        <v>#N/A</v>
      </c>
      <c r="NQP43" s="380" t="e">
        <f t="shared" si="158"/>
        <v>#N/A</v>
      </c>
      <c r="NQQ43" s="380" t="e">
        <f t="shared" si="158"/>
        <v>#N/A</v>
      </c>
      <c r="NQR43" s="380" t="e">
        <f t="shared" si="158"/>
        <v>#N/A</v>
      </c>
      <c r="NQS43" s="380" t="e">
        <f t="shared" si="158"/>
        <v>#N/A</v>
      </c>
      <c r="NQT43" s="380" t="e">
        <f t="shared" si="158"/>
        <v>#N/A</v>
      </c>
      <c r="NQU43" s="380" t="e">
        <f t="shared" si="158"/>
        <v>#N/A</v>
      </c>
      <c r="NQV43" s="380" t="e">
        <f t="shared" ref="NQV43:NTG43" si="159">INDEX(NQV7:NQV40,MATCH($E$43,$E$7:$E$40,0))</f>
        <v>#N/A</v>
      </c>
      <c r="NQW43" s="380" t="e">
        <f t="shared" si="159"/>
        <v>#N/A</v>
      </c>
      <c r="NQX43" s="380" t="e">
        <f t="shared" si="159"/>
        <v>#N/A</v>
      </c>
      <c r="NQY43" s="380" t="e">
        <f t="shared" si="159"/>
        <v>#N/A</v>
      </c>
      <c r="NQZ43" s="380" t="e">
        <f t="shared" si="159"/>
        <v>#N/A</v>
      </c>
      <c r="NRA43" s="380" t="e">
        <f t="shared" si="159"/>
        <v>#N/A</v>
      </c>
      <c r="NRB43" s="380" t="e">
        <f t="shared" si="159"/>
        <v>#N/A</v>
      </c>
      <c r="NRC43" s="380" t="e">
        <f t="shared" si="159"/>
        <v>#N/A</v>
      </c>
      <c r="NRD43" s="380" t="e">
        <f t="shared" si="159"/>
        <v>#N/A</v>
      </c>
      <c r="NRE43" s="380" t="e">
        <f t="shared" si="159"/>
        <v>#N/A</v>
      </c>
      <c r="NRF43" s="380" t="e">
        <f t="shared" si="159"/>
        <v>#N/A</v>
      </c>
      <c r="NRG43" s="380" t="e">
        <f t="shared" si="159"/>
        <v>#N/A</v>
      </c>
      <c r="NRH43" s="380" t="e">
        <f t="shared" si="159"/>
        <v>#N/A</v>
      </c>
      <c r="NRI43" s="380" t="e">
        <f t="shared" si="159"/>
        <v>#N/A</v>
      </c>
      <c r="NRJ43" s="380" t="e">
        <f t="shared" si="159"/>
        <v>#N/A</v>
      </c>
      <c r="NRK43" s="380" t="e">
        <f t="shared" si="159"/>
        <v>#N/A</v>
      </c>
      <c r="NRL43" s="380" t="e">
        <f t="shared" si="159"/>
        <v>#N/A</v>
      </c>
      <c r="NRM43" s="380" t="e">
        <f t="shared" si="159"/>
        <v>#N/A</v>
      </c>
      <c r="NRN43" s="380" t="e">
        <f t="shared" si="159"/>
        <v>#N/A</v>
      </c>
      <c r="NRO43" s="380" t="e">
        <f t="shared" si="159"/>
        <v>#N/A</v>
      </c>
      <c r="NRP43" s="380" t="e">
        <f t="shared" si="159"/>
        <v>#N/A</v>
      </c>
      <c r="NRQ43" s="380" t="e">
        <f t="shared" si="159"/>
        <v>#N/A</v>
      </c>
      <c r="NRR43" s="380" t="e">
        <f t="shared" si="159"/>
        <v>#N/A</v>
      </c>
      <c r="NRS43" s="380" t="e">
        <f t="shared" si="159"/>
        <v>#N/A</v>
      </c>
      <c r="NRT43" s="380" t="e">
        <f t="shared" si="159"/>
        <v>#N/A</v>
      </c>
      <c r="NRU43" s="380" t="e">
        <f t="shared" si="159"/>
        <v>#N/A</v>
      </c>
      <c r="NRV43" s="380" t="e">
        <f t="shared" si="159"/>
        <v>#N/A</v>
      </c>
      <c r="NRW43" s="380" t="e">
        <f t="shared" si="159"/>
        <v>#N/A</v>
      </c>
      <c r="NRX43" s="380" t="e">
        <f t="shared" si="159"/>
        <v>#N/A</v>
      </c>
      <c r="NRY43" s="380" t="e">
        <f t="shared" si="159"/>
        <v>#N/A</v>
      </c>
      <c r="NRZ43" s="380" t="e">
        <f t="shared" si="159"/>
        <v>#N/A</v>
      </c>
      <c r="NSA43" s="380" t="e">
        <f t="shared" si="159"/>
        <v>#N/A</v>
      </c>
      <c r="NSB43" s="380" t="e">
        <f t="shared" si="159"/>
        <v>#N/A</v>
      </c>
      <c r="NSC43" s="380" t="e">
        <f t="shared" si="159"/>
        <v>#N/A</v>
      </c>
      <c r="NSD43" s="380" t="e">
        <f t="shared" si="159"/>
        <v>#N/A</v>
      </c>
      <c r="NSE43" s="380" t="e">
        <f t="shared" si="159"/>
        <v>#N/A</v>
      </c>
      <c r="NSF43" s="380" t="e">
        <f t="shared" si="159"/>
        <v>#N/A</v>
      </c>
      <c r="NSG43" s="380" t="e">
        <f t="shared" si="159"/>
        <v>#N/A</v>
      </c>
      <c r="NSH43" s="380" t="e">
        <f t="shared" si="159"/>
        <v>#N/A</v>
      </c>
      <c r="NSI43" s="380" t="e">
        <f t="shared" si="159"/>
        <v>#N/A</v>
      </c>
      <c r="NSJ43" s="380" t="e">
        <f t="shared" si="159"/>
        <v>#N/A</v>
      </c>
      <c r="NSK43" s="380" t="e">
        <f t="shared" si="159"/>
        <v>#N/A</v>
      </c>
      <c r="NSL43" s="380" t="e">
        <f t="shared" si="159"/>
        <v>#N/A</v>
      </c>
      <c r="NSM43" s="380" t="e">
        <f t="shared" si="159"/>
        <v>#N/A</v>
      </c>
      <c r="NSN43" s="380" t="e">
        <f t="shared" si="159"/>
        <v>#N/A</v>
      </c>
      <c r="NSO43" s="380" t="e">
        <f t="shared" si="159"/>
        <v>#N/A</v>
      </c>
      <c r="NSP43" s="380" t="e">
        <f t="shared" si="159"/>
        <v>#N/A</v>
      </c>
      <c r="NSQ43" s="380" t="e">
        <f t="shared" si="159"/>
        <v>#N/A</v>
      </c>
      <c r="NSR43" s="380" t="e">
        <f t="shared" si="159"/>
        <v>#N/A</v>
      </c>
      <c r="NSS43" s="380" t="e">
        <f t="shared" si="159"/>
        <v>#N/A</v>
      </c>
      <c r="NST43" s="380" t="e">
        <f t="shared" si="159"/>
        <v>#N/A</v>
      </c>
      <c r="NSU43" s="380" t="e">
        <f t="shared" si="159"/>
        <v>#N/A</v>
      </c>
      <c r="NSV43" s="380" t="e">
        <f t="shared" si="159"/>
        <v>#N/A</v>
      </c>
      <c r="NSW43" s="380" t="e">
        <f t="shared" si="159"/>
        <v>#N/A</v>
      </c>
      <c r="NSX43" s="380" t="e">
        <f t="shared" si="159"/>
        <v>#N/A</v>
      </c>
      <c r="NSY43" s="380" t="e">
        <f t="shared" si="159"/>
        <v>#N/A</v>
      </c>
      <c r="NSZ43" s="380" t="e">
        <f t="shared" si="159"/>
        <v>#N/A</v>
      </c>
      <c r="NTA43" s="380" t="e">
        <f t="shared" si="159"/>
        <v>#N/A</v>
      </c>
      <c r="NTB43" s="380" t="e">
        <f t="shared" si="159"/>
        <v>#N/A</v>
      </c>
      <c r="NTC43" s="380" t="e">
        <f t="shared" si="159"/>
        <v>#N/A</v>
      </c>
      <c r="NTD43" s="380" t="e">
        <f t="shared" si="159"/>
        <v>#N/A</v>
      </c>
      <c r="NTE43" s="380" t="e">
        <f t="shared" si="159"/>
        <v>#N/A</v>
      </c>
      <c r="NTF43" s="380" t="e">
        <f t="shared" si="159"/>
        <v>#N/A</v>
      </c>
      <c r="NTG43" s="380" t="e">
        <f t="shared" si="159"/>
        <v>#N/A</v>
      </c>
      <c r="NTH43" s="380" t="e">
        <f t="shared" ref="NTH43:NVS43" si="160">INDEX(NTH7:NTH40,MATCH($E$43,$E$7:$E$40,0))</f>
        <v>#N/A</v>
      </c>
      <c r="NTI43" s="380" t="e">
        <f t="shared" si="160"/>
        <v>#N/A</v>
      </c>
      <c r="NTJ43" s="380" t="e">
        <f t="shared" si="160"/>
        <v>#N/A</v>
      </c>
      <c r="NTK43" s="380" t="e">
        <f t="shared" si="160"/>
        <v>#N/A</v>
      </c>
      <c r="NTL43" s="380" t="e">
        <f t="shared" si="160"/>
        <v>#N/A</v>
      </c>
      <c r="NTM43" s="380" t="e">
        <f t="shared" si="160"/>
        <v>#N/A</v>
      </c>
      <c r="NTN43" s="380" t="e">
        <f t="shared" si="160"/>
        <v>#N/A</v>
      </c>
      <c r="NTO43" s="380" t="e">
        <f t="shared" si="160"/>
        <v>#N/A</v>
      </c>
      <c r="NTP43" s="380" t="e">
        <f t="shared" si="160"/>
        <v>#N/A</v>
      </c>
      <c r="NTQ43" s="380" t="e">
        <f t="shared" si="160"/>
        <v>#N/A</v>
      </c>
      <c r="NTR43" s="380" t="e">
        <f t="shared" si="160"/>
        <v>#N/A</v>
      </c>
      <c r="NTS43" s="380" t="e">
        <f t="shared" si="160"/>
        <v>#N/A</v>
      </c>
      <c r="NTT43" s="380" t="e">
        <f t="shared" si="160"/>
        <v>#N/A</v>
      </c>
      <c r="NTU43" s="380" t="e">
        <f t="shared" si="160"/>
        <v>#N/A</v>
      </c>
      <c r="NTV43" s="380" t="e">
        <f t="shared" si="160"/>
        <v>#N/A</v>
      </c>
      <c r="NTW43" s="380" t="e">
        <f t="shared" si="160"/>
        <v>#N/A</v>
      </c>
      <c r="NTX43" s="380" t="e">
        <f t="shared" si="160"/>
        <v>#N/A</v>
      </c>
      <c r="NTY43" s="380" t="e">
        <f t="shared" si="160"/>
        <v>#N/A</v>
      </c>
      <c r="NTZ43" s="380" t="e">
        <f t="shared" si="160"/>
        <v>#N/A</v>
      </c>
      <c r="NUA43" s="380" t="e">
        <f t="shared" si="160"/>
        <v>#N/A</v>
      </c>
      <c r="NUB43" s="380" t="e">
        <f t="shared" si="160"/>
        <v>#N/A</v>
      </c>
      <c r="NUC43" s="380" t="e">
        <f t="shared" si="160"/>
        <v>#N/A</v>
      </c>
      <c r="NUD43" s="380" t="e">
        <f t="shared" si="160"/>
        <v>#N/A</v>
      </c>
      <c r="NUE43" s="380" t="e">
        <f t="shared" si="160"/>
        <v>#N/A</v>
      </c>
      <c r="NUF43" s="380" t="e">
        <f t="shared" si="160"/>
        <v>#N/A</v>
      </c>
      <c r="NUG43" s="380" t="e">
        <f t="shared" si="160"/>
        <v>#N/A</v>
      </c>
      <c r="NUH43" s="380" t="e">
        <f t="shared" si="160"/>
        <v>#N/A</v>
      </c>
      <c r="NUI43" s="380" t="e">
        <f t="shared" si="160"/>
        <v>#N/A</v>
      </c>
      <c r="NUJ43" s="380" t="e">
        <f t="shared" si="160"/>
        <v>#N/A</v>
      </c>
      <c r="NUK43" s="380" t="e">
        <f t="shared" si="160"/>
        <v>#N/A</v>
      </c>
      <c r="NUL43" s="380" t="e">
        <f t="shared" si="160"/>
        <v>#N/A</v>
      </c>
      <c r="NUM43" s="380" t="e">
        <f t="shared" si="160"/>
        <v>#N/A</v>
      </c>
      <c r="NUN43" s="380" t="e">
        <f t="shared" si="160"/>
        <v>#N/A</v>
      </c>
      <c r="NUO43" s="380" t="e">
        <f t="shared" si="160"/>
        <v>#N/A</v>
      </c>
      <c r="NUP43" s="380" t="e">
        <f t="shared" si="160"/>
        <v>#N/A</v>
      </c>
      <c r="NUQ43" s="380" t="e">
        <f t="shared" si="160"/>
        <v>#N/A</v>
      </c>
      <c r="NUR43" s="380" t="e">
        <f t="shared" si="160"/>
        <v>#N/A</v>
      </c>
      <c r="NUS43" s="380" t="e">
        <f t="shared" si="160"/>
        <v>#N/A</v>
      </c>
      <c r="NUT43" s="380" t="e">
        <f t="shared" si="160"/>
        <v>#N/A</v>
      </c>
      <c r="NUU43" s="380" t="e">
        <f t="shared" si="160"/>
        <v>#N/A</v>
      </c>
      <c r="NUV43" s="380" t="e">
        <f t="shared" si="160"/>
        <v>#N/A</v>
      </c>
      <c r="NUW43" s="380" t="e">
        <f t="shared" si="160"/>
        <v>#N/A</v>
      </c>
      <c r="NUX43" s="380" t="e">
        <f t="shared" si="160"/>
        <v>#N/A</v>
      </c>
      <c r="NUY43" s="380" t="e">
        <f t="shared" si="160"/>
        <v>#N/A</v>
      </c>
      <c r="NUZ43" s="380" t="e">
        <f t="shared" si="160"/>
        <v>#N/A</v>
      </c>
      <c r="NVA43" s="380" t="e">
        <f t="shared" si="160"/>
        <v>#N/A</v>
      </c>
      <c r="NVB43" s="380" t="e">
        <f t="shared" si="160"/>
        <v>#N/A</v>
      </c>
      <c r="NVC43" s="380" t="e">
        <f t="shared" si="160"/>
        <v>#N/A</v>
      </c>
      <c r="NVD43" s="380" t="e">
        <f t="shared" si="160"/>
        <v>#N/A</v>
      </c>
      <c r="NVE43" s="380" t="e">
        <f t="shared" si="160"/>
        <v>#N/A</v>
      </c>
      <c r="NVF43" s="380" t="e">
        <f t="shared" si="160"/>
        <v>#N/A</v>
      </c>
      <c r="NVG43" s="380" t="e">
        <f t="shared" si="160"/>
        <v>#N/A</v>
      </c>
      <c r="NVH43" s="380" t="e">
        <f t="shared" si="160"/>
        <v>#N/A</v>
      </c>
      <c r="NVI43" s="380" t="e">
        <f t="shared" si="160"/>
        <v>#N/A</v>
      </c>
      <c r="NVJ43" s="380" t="e">
        <f t="shared" si="160"/>
        <v>#N/A</v>
      </c>
      <c r="NVK43" s="380" t="e">
        <f t="shared" si="160"/>
        <v>#N/A</v>
      </c>
      <c r="NVL43" s="380" t="e">
        <f t="shared" si="160"/>
        <v>#N/A</v>
      </c>
      <c r="NVM43" s="380" t="e">
        <f t="shared" si="160"/>
        <v>#N/A</v>
      </c>
      <c r="NVN43" s="380" t="e">
        <f t="shared" si="160"/>
        <v>#N/A</v>
      </c>
      <c r="NVO43" s="380" t="e">
        <f t="shared" si="160"/>
        <v>#N/A</v>
      </c>
      <c r="NVP43" s="380" t="e">
        <f t="shared" si="160"/>
        <v>#N/A</v>
      </c>
      <c r="NVQ43" s="380" t="e">
        <f t="shared" si="160"/>
        <v>#N/A</v>
      </c>
      <c r="NVR43" s="380" t="e">
        <f t="shared" si="160"/>
        <v>#N/A</v>
      </c>
      <c r="NVS43" s="380" t="e">
        <f t="shared" si="160"/>
        <v>#N/A</v>
      </c>
      <c r="NVT43" s="380" t="e">
        <f t="shared" ref="NVT43:NYE43" si="161">INDEX(NVT7:NVT40,MATCH($E$43,$E$7:$E$40,0))</f>
        <v>#N/A</v>
      </c>
      <c r="NVU43" s="380" t="e">
        <f t="shared" si="161"/>
        <v>#N/A</v>
      </c>
      <c r="NVV43" s="380" t="e">
        <f t="shared" si="161"/>
        <v>#N/A</v>
      </c>
      <c r="NVW43" s="380" t="e">
        <f t="shared" si="161"/>
        <v>#N/A</v>
      </c>
      <c r="NVX43" s="380" t="e">
        <f t="shared" si="161"/>
        <v>#N/A</v>
      </c>
      <c r="NVY43" s="380" t="e">
        <f t="shared" si="161"/>
        <v>#N/A</v>
      </c>
      <c r="NVZ43" s="380" t="e">
        <f t="shared" si="161"/>
        <v>#N/A</v>
      </c>
      <c r="NWA43" s="380" t="e">
        <f t="shared" si="161"/>
        <v>#N/A</v>
      </c>
      <c r="NWB43" s="380" t="e">
        <f t="shared" si="161"/>
        <v>#N/A</v>
      </c>
      <c r="NWC43" s="380" t="e">
        <f t="shared" si="161"/>
        <v>#N/A</v>
      </c>
      <c r="NWD43" s="380" t="e">
        <f t="shared" si="161"/>
        <v>#N/A</v>
      </c>
      <c r="NWE43" s="380" t="e">
        <f t="shared" si="161"/>
        <v>#N/A</v>
      </c>
      <c r="NWF43" s="380" t="e">
        <f t="shared" si="161"/>
        <v>#N/A</v>
      </c>
      <c r="NWG43" s="380" t="e">
        <f t="shared" si="161"/>
        <v>#N/A</v>
      </c>
      <c r="NWH43" s="380" t="e">
        <f t="shared" si="161"/>
        <v>#N/A</v>
      </c>
      <c r="NWI43" s="380" t="e">
        <f t="shared" si="161"/>
        <v>#N/A</v>
      </c>
      <c r="NWJ43" s="380" t="e">
        <f t="shared" si="161"/>
        <v>#N/A</v>
      </c>
      <c r="NWK43" s="380" t="e">
        <f t="shared" si="161"/>
        <v>#N/A</v>
      </c>
      <c r="NWL43" s="380" t="e">
        <f t="shared" si="161"/>
        <v>#N/A</v>
      </c>
      <c r="NWM43" s="380" t="e">
        <f t="shared" si="161"/>
        <v>#N/A</v>
      </c>
      <c r="NWN43" s="380" t="e">
        <f t="shared" si="161"/>
        <v>#N/A</v>
      </c>
      <c r="NWO43" s="380" t="e">
        <f t="shared" si="161"/>
        <v>#N/A</v>
      </c>
      <c r="NWP43" s="380" t="e">
        <f t="shared" si="161"/>
        <v>#N/A</v>
      </c>
      <c r="NWQ43" s="380" t="e">
        <f t="shared" si="161"/>
        <v>#N/A</v>
      </c>
      <c r="NWR43" s="380" t="e">
        <f t="shared" si="161"/>
        <v>#N/A</v>
      </c>
      <c r="NWS43" s="380" t="e">
        <f t="shared" si="161"/>
        <v>#N/A</v>
      </c>
      <c r="NWT43" s="380" t="e">
        <f t="shared" si="161"/>
        <v>#N/A</v>
      </c>
      <c r="NWU43" s="380" t="e">
        <f t="shared" si="161"/>
        <v>#N/A</v>
      </c>
      <c r="NWV43" s="380" t="e">
        <f t="shared" si="161"/>
        <v>#N/A</v>
      </c>
      <c r="NWW43" s="380" t="e">
        <f t="shared" si="161"/>
        <v>#N/A</v>
      </c>
      <c r="NWX43" s="380" t="e">
        <f t="shared" si="161"/>
        <v>#N/A</v>
      </c>
      <c r="NWY43" s="380" t="e">
        <f t="shared" si="161"/>
        <v>#N/A</v>
      </c>
      <c r="NWZ43" s="380" t="e">
        <f t="shared" si="161"/>
        <v>#N/A</v>
      </c>
      <c r="NXA43" s="380" t="e">
        <f t="shared" si="161"/>
        <v>#N/A</v>
      </c>
      <c r="NXB43" s="380" t="e">
        <f t="shared" si="161"/>
        <v>#N/A</v>
      </c>
      <c r="NXC43" s="380" t="e">
        <f t="shared" si="161"/>
        <v>#N/A</v>
      </c>
      <c r="NXD43" s="380" t="e">
        <f t="shared" si="161"/>
        <v>#N/A</v>
      </c>
      <c r="NXE43" s="380" t="e">
        <f t="shared" si="161"/>
        <v>#N/A</v>
      </c>
      <c r="NXF43" s="380" t="e">
        <f t="shared" si="161"/>
        <v>#N/A</v>
      </c>
      <c r="NXG43" s="380" t="e">
        <f t="shared" si="161"/>
        <v>#N/A</v>
      </c>
      <c r="NXH43" s="380" t="e">
        <f t="shared" si="161"/>
        <v>#N/A</v>
      </c>
      <c r="NXI43" s="380" t="e">
        <f t="shared" si="161"/>
        <v>#N/A</v>
      </c>
      <c r="NXJ43" s="380" t="e">
        <f t="shared" si="161"/>
        <v>#N/A</v>
      </c>
      <c r="NXK43" s="380" t="e">
        <f t="shared" si="161"/>
        <v>#N/A</v>
      </c>
      <c r="NXL43" s="380" t="e">
        <f t="shared" si="161"/>
        <v>#N/A</v>
      </c>
      <c r="NXM43" s="380" t="e">
        <f t="shared" si="161"/>
        <v>#N/A</v>
      </c>
      <c r="NXN43" s="380" t="e">
        <f t="shared" si="161"/>
        <v>#N/A</v>
      </c>
      <c r="NXO43" s="380" t="e">
        <f t="shared" si="161"/>
        <v>#N/A</v>
      </c>
      <c r="NXP43" s="380" t="e">
        <f t="shared" si="161"/>
        <v>#N/A</v>
      </c>
      <c r="NXQ43" s="380" t="e">
        <f t="shared" si="161"/>
        <v>#N/A</v>
      </c>
      <c r="NXR43" s="380" t="e">
        <f t="shared" si="161"/>
        <v>#N/A</v>
      </c>
      <c r="NXS43" s="380" t="e">
        <f t="shared" si="161"/>
        <v>#N/A</v>
      </c>
      <c r="NXT43" s="380" t="e">
        <f t="shared" si="161"/>
        <v>#N/A</v>
      </c>
      <c r="NXU43" s="380" t="e">
        <f t="shared" si="161"/>
        <v>#N/A</v>
      </c>
      <c r="NXV43" s="380" t="e">
        <f t="shared" si="161"/>
        <v>#N/A</v>
      </c>
      <c r="NXW43" s="380" t="e">
        <f t="shared" si="161"/>
        <v>#N/A</v>
      </c>
      <c r="NXX43" s="380" t="e">
        <f t="shared" si="161"/>
        <v>#N/A</v>
      </c>
      <c r="NXY43" s="380" t="e">
        <f t="shared" si="161"/>
        <v>#N/A</v>
      </c>
      <c r="NXZ43" s="380" t="e">
        <f t="shared" si="161"/>
        <v>#N/A</v>
      </c>
      <c r="NYA43" s="380" t="e">
        <f t="shared" si="161"/>
        <v>#N/A</v>
      </c>
      <c r="NYB43" s="380" t="e">
        <f t="shared" si="161"/>
        <v>#N/A</v>
      </c>
      <c r="NYC43" s="380" t="e">
        <f t="shared" si="161"/>
        <v>#N/A</v>
      </c>
      <c r="NYD43" s="380" t="e">
        <f t="shared" si="161"/>
        <v>#N/A</v>
      </c>
      <c r="NYE43" s="380" t="e">
        <f t="shared" si="161"/>
        <v>#N/A</v>
      </c>
      <c r="NYF43" s="380" t="e">
        <f t="shared" ref="NYF43:OAQ43" si="162">INDEX(NYF7:NYF40,MATCH($E$43,$E$7:$E$40,0))</f>
        <v>#N/A</v>
      </c>
      <c r="NYG43" s="380" t="e">
        <f t="shared" si="162"/>
        <v>#N/A</v>
      </c>
      <c r="NYH43" s="380" t="e">
        <f t="shared" si="162"/>
        <v>#N/A</v>
      </c>
      <c r="NYI43" s="380" t="e">
        <f t="shared" si="162"/>
        <v>#N/A</v>
      </c>
      <c r="NYJ43" s="380" t="e">
        <f t="shared" si="162"/>
        <v>#N/A</v>
      </c>
      <c r="NYK43" s="380" t="e">
        <f t="shared" si="162"/>
        <v>#N/A</v>
      </c>
      <c r="NYL43" s="380" t="e">
        <f t="shared" si="162"/>
        <v>#N/A</v>
      </c>
      <c r="NYM43" s="380" t="e">
        <f t="shared" si="162"/>
        <v>#N/A</v>
      </c>
      <c r="NYN43" s="380" t="e">
        <f t="shared" si="162"/>
        <v>#N/A</v>
      </c>
      <c r="NYO43" s="380" t="e">
        <f t="shared" si="162"/>
        <v>#N/A</v>
      </c>
      <c r="NYP43" s="380" t="e">
        <f t="shared" si="162"/>
        <v>#N/A</v>
      </c>
      <c r="NYQ43" s="380" t="e">
        <f t="shared" si="162"/>
        <v>#N/A</v>
      </c>
      <c r="NYR43" s="380" t="e">
        <f t="shared" si="162"/>
        <v>#N/A</v>
      </c>
      <c r="NYS43" s="380" t="e">
        <f t="shared" si="162"/>
        <v>#N/A</v>
      </c>
      <c r="NYT43" s="380" t="e">
        <f t="shared" si="162"/>
        <v>#N/A</v>
      </c>
      <c r="NYU43" s="380" t="e">
        <f t="shared" si="162"/>
        <v>#N/A</v>
      </c>
      <c r="NYV43" s="380" t="e">
        <f t="shared" si="162"/>
        <v>#N/A</v>
      </c>
      <c r="NYW43" s="380" t="e">
        <f t="shared" si="162"/>
        <v>#N/A</v>
      </c>
      <c r="NYX43" s="380" t="e">
        <f t="shared" si="162"/>
        <v>#N/A</v>
      </c>
      <c r="NYY43" s="380" t="e">
        <f t="shared" si="162"/>
        <v>#N/A</v>
      </c>
      <c r="NYZ43" s="380" t="e">
        <f t="shared" si="162"/>
        <v>#N/A</v>
      </c>
      <c r="NZA43" s="380" t="e">
        <f t="shared" si="162"/>
        <v>#N/A</v>
      </c>
      <c r="NZB43" s="380" t="e">
        <f t="shared" si="162"/>
        <v>#N/A</v>
      </c>
      <c r="NZC43" s="380" t="e">
        <f t="shared" si="162"/>
        <v>#N/A</v>
      </c>
      <c r="NZD43" s="380" t="e">
        <f t="shared" si="162"/>
        <v>#N/A</v>
      </c>
      <c r="NZE43" s="380" t="e">
        <f t="shared" si="162"/>
        <v>#N/A</v>
      </c>
      <c r="NZF43" s="380" t="e">
        <f t="shared" si="162"/>
        <v>#N/A</v>
      </c>
      <c r="NZG43" s="380" t="e">
        <f t="shared" si="162"/>
        <v>#N/A</v>
      </c>
      <c r="NZH43" s="380" t="e">
        <f t="shared" si="162"/>
        <v>#N/A</v>
      </c>
      <c r="NZI43" s="380" t="e">
        <f t="shared" si="162"/>
        <v>#N/A</v>
      </c>
      <c r="NZJ43" s="380" t="e">
        <f t="shared" si="162"/>
        <v>#N/A</v>
      </c>
      <c r="NZK43" s="380" t="e">
        <f t="shared" si="162"/>
        <v>#N/A</v>
      </c>
      <c r="NZL43" s="380" t="e">
        <f t="shared" si="162"/>
        <v>#N/A</v>
      </c>
      <c r="NZM43" s="380" t="e">
        <f t="shared" si="162"/>
        <v>#N/A</v>
      </c>
      <c r="NZN43" s="380" t="e">
        <f t="shared" si="162"/>
        <v>#N/A</v>
      </c>
      <c r="NZO43" s="380" t="e">
        <f t="shared" si="162"/>
        <v>#N/A</v>
      </c>
      <c r="NZP43" s="380" t="e">
        <f t="shared" si="162"/>
        <v>#N/A</v>
      </c>
      <c r="NZQ43" s="380" t="e">
        <f t="shared" si="162"/>
        <v>#N/A</v>
      </c>
      <c r="NZR43" s="380" t="e">
        <f t="shared" si="162"/>
        <v>#N/A</v>
      </c>
      <c r="NZS43" s="380" t="e">
        <f t="shared" si="162"/>
        <v>#N/A</v>
      </c>
      <c r="NZT43" s="380" t="e">
        <f t="shared" si="162"/>
        <v>#N/A</v>
      </c>
      <c r="NZU43" s="380" t="e">
        <f t="shared" si="162"/>
        <v>#N/A</v>
      </c>
      <c r="NZV43" s="380" t="e">
        <f t="shared" si="162"/>
        <v>#N/A</v>
      </c>
      <c r="NZW43" s="380" t="e">
        <f t="shared" si="162"/>
        <v>#N/A</v>
      </c>
      <c r="NZX43" s="380" t="e">
        <f t="shared" si="162"/>
        <v>#N/A</v>
      </c>
      <c r="NZY43" s="380" t="e">
        <f t="shared" si="162"/>
        <v>#N/A</v>
      </c>
      <c r="NZZ43" s="380" t="e">
        <f t="shared" si="162"/>
        <v>#N/A</v>
      </c>
      <c r="OAA43" s="380" t="e">
        <f t="shared" si="162"/>
        <v>#N/A</v>
      </c>
      <c r="OAB43" s="380" t="e">
        <f t="shared" si="162"/>
        <v>#N/A</v>
      </c>
      <c r="OAC43" s="380" t="e">
        <f t="shared" si="162"/>
        <v>#N/A</v>
      </c>
      <c r="OAD43" s="380" t="e">
        <f t="shared" si="162"/>
        <v>#N/A</v>
      </c>
      <c r="OAE43" s="380" t="e">
        <f t="shared" si="162"/>
        <v>#N/A</v>
      </c>
      <c r="OAF43" s="380" t="e">
        <f t="shared" si="162"/>
        <v>#N/A</v>
      </c>
      <c r="OAG43" s="380" t="e">
        <f t="shared" si="162"/>
        <v>#N/A</v>
      </c>
      <c r="OAH43" s="380" t="e">
        <f t="shared" si="162"/>
        <v>#N/A</v>
      </c>
      <c r="OAI43" s="380" t="e">
        <f t="shared" si="162"/>
        <v>#N/A</v>
      </c>
      <c r="OAJ43" s="380" t="e">
        <f t="shared" si="162"/>
        <v>#N/A</v>
      </c>
      <c r="OAK43" s="380" t="e">
        <f t="shared" si="162"/>
        <v>#N/A</v>
      </c>
      <c r="OAL43" s="380" t="e">
        <f t="shared" si="162"/>
        <v>#N/A</v>
      </c>
      <c r="OAM43" s="380" t="e">
        <f t="shared" si="162"/>
        <v>#N/A</v>
      </c>
      <c r="OAN43" s="380" t="e">
        <f t="shared" si="162"/>
        <v>#N/A</v>
      </c>
      <c r="OAO43" s="380" t="e">
        <f t="shared" si="162"/>
        <v>#N/A</v>
      </c>
      <c r="OAP43" s="380" t="e">
        <f t="shared" si="162"/>
        <v>#N/A</v>
      </c>
      <c r="OAQ43" s="380" t="e">
        <f t="shared" si="162"/>
        <v>#N/A</v>
      </c>
      <c r="OAR43" s="380" t="e">
        <f t="shared" ref="OAR43:ODC43" si="163">INDEX(OAR7:OAR40,MATCH($E$43,$E$7:$E$40,0))</f>
        <v>#N/A</v>
      </c>
      <c r="OAS43" s="380" t="e">
        <f t="shared" si="163"/>
        <v>#N/A</v>
      </c>
      <c r="OAT43" s="380" t="e">
        <f t="shared" si="163"/>
        <v>#N/A</v>
      </c>
      <c r="OAU43" s="380" t="e">
        <f t="shared" si="163"/>
        <v>#N/A</v>
      </c>
      <c r="OAV43" s="380" t="e">
        <f t="shared" si="163"/>
        <v>#N/A</v>
      </c>
      <c r="OAW43" s="380" t="e">
        <f t="shared" si="163"/>
        <v>#N/A</v>
      </c>
      <c r="OAX43" s="380" t="e">
        <f t="shared" si="163"/>
        <v>#N/A</v>
      </c>
      <c r="OAY43" s="380" t="e">
        <f t="shared" si="163"/>
        <v>#N/A</v>
      </c>
      <c r="OAZ43" s="380" t="e">
        <f t="shared" si="163"/>
        <v>#N/A</v>
      </c>
      <c r="OBA43" s="380" t="e">
        <f t="shared" si="163"/>
        <v>#N/A</v>
      </c>
      <c r="OBB43" s="380" t="e">
        <f t="shared" si="163"/>
        <v>#N/A</v>
      </c>
      <c r="OBC43" s="380" t="e">
        <f t="shared" si="163"/>
        <v>#N/A</v>
      </c>
      <c r="OBD43" s="380" t="e">
        <f t="shared" si="163"/>
        <v>#N/A</v>
      </c>
      <c r="OBE43" s="380" t="e">
        <f t="shared" si="163"/>
        <v>#N/A</v>
      </c>
      <c r="OBF43" s="380" t="e">
        <f t="shared" si="163"/>
        <v>#N/A</v>
      </c>
      <c r="OBG43" s="380" t="e">
        <f t="shared" si="163"/>
        <v>#N/A</v>
      </c>
      <c r="OBH43" s="380" t="e">
        <f t="shared" si="163"/>
        <v>#N/A</v>
      </c>
      <c r="OBI43" s="380" t="e">
        <f t="shared" si="163"/>
        <v>#N/A</v>
      </c>
      <c r="OBJ43" s="380" t="e">
        <f t="shared" si="163"/>
        <v>#N/A</v>
      </c>
      <c r="OBK43" s="380" t="e">
        <f t="shared" si="163"/>
        <v>#N/A</v>
      </c>
      <c r="OBL43" s="380" t="e">
        <f t="shared" si="163"/>
        <v>#N/A</v>
      </c>
      <c r="OBM43" s="380" t="e">
        <f t="shared" si="163"/>
        <v>#N/A</v>
      </c>
      <c r="OBN43" s="380" t="e">
        <f t="shared" si="163"/>
        <v>#N/A</v>
      </c>
      <c r="OBO43" s="380" t="e">
        <f t="shared" si="163"/>
        <v>#N/A</v>
      </c>
      <c r="OBP43" s="380" t="e">
        <f t="shared" si="163"/>
        <v>#N/A</v>
      </c>
      <c r="OBQ43" s="380" t="e">
        <f t="shared" si="163"/>
        <v>#N/A</v>
      </c>
      <c r="OBR43" s="380" t="e">
        <f t="shared" si="163"/>
        <v>#N/A</v>
      </c>
      <c r="OBS43" s="380" t="e">
        <f t="shared" si="163"/>
        <v>#N/A</v>
      </c>
      <c r="OBT43" s="380" t="e">
        <f t="shared" si="163"/>
        <v>#N/A</v>
      </c>
      <c r="OBU43" s="380" t="e">
        <f t="shared" si="163"/>
        <v>#N/A</v>
      </c>
      <c r="OBV43" s="380" t="e">
        <f t="shared" si="163"/>
        <v>#N/A</v>
      </c>
      <c r="OBW43" s="380" t="e">
        <f t="shared" si="163"/>
        <v>#N/A</v>
      </c>
      <c r="OBX43" s="380" t="e">
        <f t="shared" si="163"/>
        <v>#N/A</v>
      </c>
      <c r="OBY43" s="380" t="e">
        <f t="shared" si="163"/>
        <v>#N/A</v>
      </c>
      <c r="OBZ43" s="380" t="e">
        <f t="shared" si="163"/>
        <v>#N/A</v>
      </c>
      <c r="OCA43" s="380" t="e">
        <f t="shared" si="163"/>
        <v>#N/A</v>
      </c>
      <c r="OCB43" s="380" t="e">
        <f t="shared" si="163"/>
        <v>#N/A</v>
      </c>
      <c r="OCC43" s="380" t="e">
        <f t="shared" si="163"/>
        <v>#N/A</v>
      </c>
      <c r="OCD43" s="380" t="e">
        <f t="shared" si="163"/>
        <v>#N/A</v>
      </c>
      <c r="OCE43" s="380" t="e">
        <f t="shared" si="163"/>
        <v>#N/A</v>
      </c>
      <c r="OCF43" s="380" t="e">
        <f t="shared" si="163"/>
        <v>#N/A</v>
      </c>
      <c r="OCG43" s="380" t="e">
        <f t="shared" si="163"/>
        <v>#N/A</v>
      </c>
      <c r="OCH43" s="380" t="e">
        <f t="shared" si="163"/>
        <v>#N/A</v>
      </c>
      <c r="OCI43" s="380" t="e">
        <f t="shared" si="163"/>
        <v>#N/A</v>
      </c>
      <c r="OCJ43" s="380" t="e">
        <f t="shared" si="163"/>
        <v>#N/A</v>
      </c>
      <c r="OCK43" s="380" t="e">
        <f t="shared" si="163"/>
        <v>#N/A</v>
      </c>
      <c r="OCL43" s="380" t="e">
        <f t="shared" si="163"/>
        <v>#N/A</v>
      </c>
      <c r="OCM43" s="380" t="e">
        <f t="shared" si="163"/>
        <v>#N/A</v>
      </c>
      <c r="OCN43" s="380" t="e">
        <f t="shared" si="163"/>
        <v>#N/A</v>
      </c>
      <c r="OCO43" s="380" t="e">
        <f t="shared" si="163"/>
        <v>#N/A</v>
      </c>
      <c r="OCP43" s="380" t="e">
        <f t="shared" si="163"/>
        <v>#N/A</v>
      </c>
      <c r="OCQ43" s="380" t="e">
        <f t="shared" si="163"/>
        <v>#N/A</v>
      </c>
      <c r="OCR43" s="380" t="e">
        <f t="shared" si="163"/>
        <v>#N/A</v>
      </c>
      <c r="OCS43" s="380" t="e">
        <f t="shared" si="163"/>
        <v>#N/A</v>
      </c>
      <c r="OCT43" s="380" t="e">
        <f t="shared" si="163"/>
        <v>#N/A</v>
      </c>
      <c r="OCU43" s="380" t="e">
        <f t="shared" si="163"/>
        <v>#N/A</v>
      </c>
      <c r="OCV43" s="380" t="e">
        <f t="shared" si="163"/>
        <v>#N/A</v>
      </c>
      <c r="OCW43" s="380" t="e">
        <f t="shared" si="163"/>
        <v>#N/A</v>
      </c>
      <c r="OCX43" s="380" t="e">
        <f t="shared" si="163"/>
        <v>#N/A</v>
      </c>
      <c r="OCY43" s="380" t="e">
        <f t="shared" si="163"/>
        <v>#N/A</v>
      </c>
      <c r="OCZ43" s="380" t="e">
        <f t="shared" si="163"/>
        <v>#N/A</v>
      </c>
      <c r="ODA43" s="380" t="e">
        <f t="shared" si="163"/>
        <v>#N/A</v>
      </c>
      <c r="ODB43" s="380" t="e">
        <f t="shared" si="163"/>
        <v>#N/A</v>
      </c>
      <c r="ODC43" s="380" t="e">
        <f t="shared" si="163"/>
        <v>#N/A</v>
      </c>
      <c r="ODD43" s="380" t="e">
        <f t="shared" ref="ODD43:OFO43" si="164">INDEX(ODD7:ODD40,MATCH($E$43,$E$7:$E$40,0))</f>
        <v>#N/A</v>
      </c>
      <c r="ODE43" s="380" t="e">
        <f t="shared" si="164"/>
        <v>#N/A</v>
      </c>
      <c r="ODF43" s="380" t="e">
        <f t="shared" si="164"/>
        <v>#N/A</v>
      </c>
      <c r="ODG43" s="380" t="e">
        <f t="shared" si="164"/>
        <v>#N/A</v>
      </c>
      <c r="ODH43" s="380" t="e">
        <f t="shared" si="164"/>
        <v>#N/A</v>
      </c>
      <c r="ODI43" s="380" t="e">
        <f t="shared" si="164"/>
        <v>#N/A</v>
      </c>
      <c r="ODJ43" s="380" t="e">
        <f t="shared" si="164"/>
        <v>#N/A</v>
      </c>
      <c r="ODK43" s="380" t="e">
        <f t="shared" si="164"/>
        <v>#N/A</v>
      </c>
      <c r="ODL43" s="380" t="e">
        <f t="shared" si="164"/>
        <v>#N/A</v>
      </c>
      <c r="ODM43" s="380" t="e">
        <f t="shared" si="164"/>
        <v>#N/A</v>
      </c>
      <c r="ODN43" s="380" t="e">
        <f t="shared" si="164"/>
        <v>#N/A</v>
      </c>
      <c r="ODO43" s="380" t="e">
        <f t="shared" si="164"/>
        <v>#N/A</v>
      </c>
      <c r="ODP43" s="380" t="e">
        <f t="shared" si="164"/>
        <v>#N/A</v>
      </c>
      <c r="ODQ43" s="380" t="e">
        <f t="shared" si="164"/>
        <v>#N/A</v>
      </c>
      <c r="ODR43" s="380" t="e">
        <f t="shared" si="164"/>
        <v>#N/A</v>
      </c>
      <c r="ODS43" s="380" t="e">
        <f t="shared" si="164"/>
        <v>#N/A</v>
      </c>
      <c r="ODT43" s="380" t="e">
        <f t="shared" si="164"/>
        <v>#N/A</v>
      </c>
      <c r="ODU43" s="380" t="e">
        <f t="shared" si="164"/>
        <v>#N/A</v>
      </c>
      <c r="ODV43" s="380" t="e">
        <f t="shared" si="164"/>
        <v>#N/A</v>
      </c>
      <c r="ODW43" s="380" t="e">
        <f t="shared" si="164"/>
        <v>#N/A</v>
      </c>
      <c r="ODX43" s="380" t="e">
        <f t="shared" si="164"/>
        <v>#N/A</v>
      </c>
      <c r="ODY43" s="380" t="e">
        <f t="shared" si="164"/>
        <v>#N/A</v>
      </c>
      <c r="ODZ43" s="380" t="e">
        <f t="shared" si="164"/>
        <v>#N/A</v>
      </c>
      <c r="OEA43" s="380" t="e">
        <f t="shared" si="164"/>
        <v>#N/A</v>
      </c>
      <c r="OEB43" s="380" t="e">
        <f t="shared" si="164"/>
        <v>#N/A</v>
      </c>
      <c r="OEC43" s="380" t="e">
        <f t="shared" si="164"/>
        <v>#N/A</v>
      </c>
      <c r="OED43" s="380" t="e">
        <f t="shared" si="164"/>
        <v>#N/A</v>
      </c>
      <c r="OEE43" s="380" t="e">
        <f t="shared" si="164"/>
        <v>#N/A</v>
      </c>
      <c r="OEF43" s="380" t="e">
        <f t="shared" si="164"/>
        <v>#N/A</v>
      </c>
      <c r="OEG43" s="380" t="e">
        <f t="shared" si="164"/>
        <v>#N/A</v>
      </c>
      <c r="OEH43" s="380" t="e">
        <f t="shared" si="164"/>
        <v>#N/A</v>
      </c>
      <c r="OEI43" s="380" t="e">
        <f t="shared" si="164"/>
        <v>#N/A</v>
      </c>
      <c r="OEJ43" s="380" t="e">
        <f t="shared" si="164"/>
        <v>#N/A</v>
      </c>
      <c r="OEK43" s="380" t="e">
        <f t="shared" si="164"/>
        <v>#N/A</v>
      </c>
      <c r="OEL43" s="380" t="e">
        <f t="shared" si="164"/>
        <v>#N/A</v>
      </c>
      <c r="OEM43" s="380" t="e">
        <f t="shared" si="164"/>
        <v>#N/A</v>
      </c>
      <c r="OEN43" s="380" t="e">
        <f t="shared" si="164"/>
        <v>#N/A</v>
      </c>
      <c r="OEO43" s="380" t="e">
        <f t="shared" si="164"/>
        <v>#N/A</v>
      </c>
      <c r="OEP43" s="380" t="e">
        <f t="shared" si="164"/>
        <v>#N/A</v>
      </c>
      <c r="OEQ43" s="380" t="e">
        <f t="shared" si="164"/>
        <v>#N/A</v>
      </c>
      <c r="OER43" s="380" t="e">
        <f t="shared" si="164"/>
        <v>#N/A</v>
      </c>
      <c r="OES43" s="380" t="e">
        <f t="shared" si="164"/>
        <v>#N/A</v>
      </c>
      <c r="OET43" s="380" t="e">
        <f t="shared" si="164"/>
        <v>#N/A</v>
      </c>
      <c r="OEU43" s="380" t="e">
        <f t="shared" si="164"/>
        <v>#N/A</v>
      </c>
      <c r="OEV43" s="380" t="e">
        <f t="shared" si="164"/>
        <v>#N/A</v>
      </c>
      <c r="OEW43" s="380" t="e">
        <f t="shared" si="164"/>
        <v>#N/A</v>
      </c>
      <c r="OEX43" s="380" t="e">
        <f t="shared" si="164"/>
        <v>#N/A</v>
      </c>
      <c r="OEY43" s="380" t="e">
        <f t="shared" si="164"/>
        <v>#N/A</v>
      </c>
      <c r="OEZ43" s="380" t="e">
        <f t="shared" si="164"/>
        <v>#N/A</v>
      </c>
      <c r="OFA43" s="380" t="e">
        <f t="shared" si="164"/>
        <v>#N/A</v>
      </c>
      <c r="OFB43" s="380" t="e">
        <f t="shared" si="164"/>
        <v>#N/A</v>
      </c>
      <c r="OFC43" s="380" t="e">
        <f t="shared" si="164"/>
        <v>#N/A</v>
      </c>
      <c r="OFD43" s="380" t="e">
        <f t="shared" si="164"/>
        <v>#N/A</v>
      </c>
      <c r="OFE43" s="380" t="e">
        <f t="shared" si="164"/>
        <v>#N/A</v>
      </c>
      <c r="OFF43" s="380" t="e">
        <f t="shared" si="164"/>
        <v>#N/A</v>
      </c>
      <c r="OFG43" s="380" t="e">
        <f t="shared" si="164"/>
        <v>#N/A</v>
      </c>
      <c r="OFH43" s="380" t="e">
        <f t="shared" si="164"/>
        <v>#N/A</v>
      </c>
      <c r="OFI43" s="380" t="e">
        <f t="shared" si="164"/>
        <v>#N/A</v>
      </c>
      <c r="OFJ43" s="380" t="e">
        <f t="shared" si="164"/>
        <v>#N/A</v>
      </c>
      <c r="OFK43" s="380" t="e">
        <f t="shared" si="164"/>
        <v>#N/A</v>
      </c>
      <c r="OFL43" s="380" t="e">
        <f t="shared" si="164"/>
        <v>#N/A</v>
      </c>
      <c r="OFM43" s="380" t="e">
        <f t="shared" si="164"/>
        <v>#N/A</v>
      </c>
      <c r="OFN43" s="380" t="e">
        <f t="shared" si="164"/>
        <v>#N/A</v>
      </c>
      <c r="OFO43" s="380" t="e">
        <f t="shared" si="164"/>
        <v>#N/A</v>
      </c>
      <c r="OFP43" s="380" t="e">
        <f t="shared" ref="OFP43:OIA43" si="165">INDEX(OFP7:OFP40,MATCH($E$43,$E$7:$E$40,0))</f>
        <v>#N/A</v>
      </c>
      <c r="OFQ43" s="380" t="e">
        <f t="shared" si="165"/>
        <v>#N/A</v>
      </c>
      <c r="OFR43" s="380" t="e">
        <f t="shared" si="165"/>
        <v>#N/A</v>
      </c>
      <c r="OFS43" s="380" t="e">
        <f t="shared" si="165"/>
        <v>#N/A</v>
      </c>
      <c r="OFT43" s="380" t="e">
        <f t="shared" si="165"/>
        <v>#N/A</v>
      </c>
      <c r="OFU43" s="380" t="e">
        <f t="shared" si="165"/>
        <v>#N/A</v>
      </c>
      <c r="OFV43" s="380" t="e">
        <f t="shared" si="165"/>
        <v>#N/A</v>
      </c>
      <c r="OFW43" s="380" t="e">
        <f t="shared" si="165"/>
        <v>#N/A</v>
      </c>
      <c r="OFX43" s="380" t="e">
        <f t="shared" si="165"/>
        <v>#N/A</v>
      </c>
      <c r="OFY43" s="380" t="e">
        <f t="shared" si="165"/>
        <v>#N/A</v>
      </c>
      <c r="OFZ43" s="380" t="e">
        <f t="shared" si="165"/>
        <v>#N/A</v>
      </c>
      <c r="OGA43" s="380" t="e">
        <f t="shared" si="165"/>
        <v>#N/A</v>
      </c>
      <c r="OGB43" s="380" t="e">
        <f t="shared" si="165"/>
        <v>#N/A</v>
      </c>
      <c r="OGC43" s="380" t="e">
        <f t="shared" si="165"/>
        <v>#N/A</v>
      </c>
      <c r="OGD43" s="380" t="e">
        <f t="shared" si="165"/>
        <v>#N/A</v>
      </c>
      <c r="OGE43" s="380" t="e">
        <f t="shared" si="165"/>
        <v>#N/A</v>
      </c>
      <c r="OGF43" s="380" t="e">
        <f t="shared" si="165"/>
        <v>#N/A</v>
      </c>
      <c r="OGG43" s="380" t="e">
        <f t="shared" si="165"/>
        <v>#N/A</v>
      </c>
      <c r="OGH43" s="380" t="e">
        <f t="shared" si="165"/>
        <v>#N/A</v>
      </c>
      <c r="OGI43" s="380" t="e">
        <f t="shared" si="165"/>
        <v>#N/A</v>
      </c>
      <c r="OGJ43" s="380" t="e">
        <f t="shared" si="165"/>
        <v>#N/A</v>
      </c>
      <c r="OGK43" s="380" t="e">
        <f t="shared" si="165"/>
        <v>#N/A</v>
      </c>
      <c r="OGL43" s="380" t="e">
        <f t="shared" si="165"/>
        <v>#N/A</v>
      </c>
      <c r="OGM43" s="380" t="e">
        <f t="shared" si="165"/>
        <v>#N/A</v>
      </c>
      <c r="OGN43" s="380" t="e">
        <f t="shared" si="165"/>
        <v>#N/A</v>
      </c>
      <c r="OGO43" s="380" t="e">
        <f t="shared" si="165"/>
        <v>#N/A</v>
      </c>
      <c r="OGP43" s="380" t="e">
        <f t="shared" si="165"/>
        <v>#N/A</v>
      </c>
      <c r="OGQ43" s="380" t="e">
        <f t="shared" si="165"/>
        <v>#N/A</v>
      </c>
      <c r="OGR43" s="380" t="e">
        <f t="shared" si="165"/>
        <v>#N/A</v>
      </c>
      <c r="OGS43" s="380" t="e">
        <f t="shared" si="165"/>
        <v>#N/A</v>
      </c>
      <c r="OGT43" s="380" t="e">
        <f t="shared" si="165"/>
        <v>#N/A</v>
      </c>
      <c r="OGU43" s="380" t="e">
        <f t="shared" si="165"/>
        <v>#N/A</v>
      </c>
      <c r="OGV43" s="380" t="e">
        <f t="shared" si="165"/>
        <v>#N/A</v>
      </c>
      <c r="OGW43" s="380" t="e">
        <f t="shared" si="165"/>
        <v>#N/A</v>
      </c>
      <c r="OGX43" s="380" t="e">
        <f t="shared" si="165"/>
        <v>#N/A</v>
      </c>
      <c r="OGY43" s="380" t="e">
        <f t="shared" si="165"/>
        <v>#N/A</v>
      </c>
      <c r="OGZ43" s="380" t="e">
        <f t="shared" si="165"/>
        <v>#N/A</v>
      </c>
      <c r="OHA43" s="380" t="e">
        <f t="shared" si="165"/>
        <v>#N/A</v>
      </c>
      <c r="OHB43" s="380" t="e">
        <f t="shared" si="165"/>
        <v>#N/A</v>
      </c>
      <c r="OHC43" s="380" t="e">
        <f t="shared" si="165"/>
        <v>#N/A</v>
      </c>
      <c r="OHD43" s="380" t="e">
        <f t="shared" si="165"/>
        <v>#N/A</v>
      </c>
      <c r="OHE43" s="380" t="e">
        <f t="shared" si="165"/>
        <v>#N/A</v>
      </c>
      <c r="OHF43" s="380" t="e">
        <f t="shared" si="165"/>
        <v>#N/A</v>
      </c>
      <c r="OHG43" s="380" t="e">
        <f t="shared" si="165"/>
        <v>#N/A</v>
      </c>
      <c r="OHH43" s="380" t="e">
        <f t="shared" si="165"/>
        <v>#N/A</v>
      </c>
      <c r="OHI43" s="380" t="e">
        <f t="shared" si="165"/>
        <v>#N/A</v>
      </c>
      <c r="OHJ43" s="380" t="e">
        <f t="shared" si="165"/>
        <v>#N/A</v>
      </c>
      <c r="OHK43" s="380" t="e">
        <f t="shared" si="165"/>
        <v>#N/A</v>
      </c>
      <c r="OHL43" s="380" t="e">
        <f t="shared" si="165"/>
        <v>#N/A</v>
      </c>
      <c r="OHM43" s="380" t="e">
        <f t="shared" si="165"/>
        <v>#N/A</v>
      </c>
      <c r="OHN43" s="380" t="e">
        <f t="shared" si="165"/>
        <v>#N/A</v>
      </c>
      <c r="OHO43" s="380" t="e">
        <f t="shared" si="165"/>
        <v>#N/A</v>
      </c>
      <c r="OHP43" s="380" t="e">
        <f t="shared" si="165"/>
        <v>#N/A</v>
      </c>
      <c r="OHQ43" s="380" t="e">
        <f t="shared" si="165"/>
        <v>#N/A</v>
      </c>
      <c r="OHR43" s="380" t="e">
        <f t="shared" si="165"/>
        <v>#N/A</v>
      </c>
      <c r="OHS43" s="380" t="e">
        <f t="shared" si="165"/>
        <v>#N/A</v>
      </c>
      <c r="OHT43" s="380" t="e">
        <f t="shared" si="165"/>
        <v>#N/A</v>
      </c>
      <c r="OHU43" s="380" t="e">
        <f t="shared" si="165"/>
        <v>#N/A</v>
      </c>
      <c r="OHV43" s="380" t="e">
        <f t="shared" si="165"/>
        <v>#N/A</v>
      </c>
      <c r="OHW43" s="380" t="e">
        <f t="shared" si="165"/>
        <v>#N/A</v>
      </c>
      <c r="OHX43" s="380" t="e">
        <f t="shared" si="165"/>
        <v>#N/A</v>
      </c>
      <c r="OHY43" s="380" t="e">
        <f t="shared" si="165"/>
        <v>#N/A</v>
      </c>
      <c r="OHZ43" s="380" t="e">
        <f t="shared" si="165"/>
        <v>#N/A</v>
      </c>
      <c r="OIA43" s="380" t="e">
        <f t="shared" si="165"/>
        <v>#N/A</v>
      </c>
      <c r="OIB43" s="380" t="e">
        <f t="shared" ref="OIB43:OKM43" si="166">INDEX(OIB7:OIB40,MATCH($E$43,$E$7:$E$40,0))</f>
        <v>#N/A</v>
      </c>
      <c r="OIC43" s="380" t="e">
        <f t="shared" si="166"/>
        <v>#N/A</v>
      </c>
      <c r="OID43" s="380" t="e">
        <f t="shared" si="166"/>
        <v>#N/A</v>
      </c>
      <c r="OIE43" s="380" t="e">
        <f t="shared" si="166"/>
        <v>#N/A</v>
      </c>
      <c r="OIF43" s="380" t="e">
        <f t="shared" si="166"/>
        <v>#N/A</v>
      </c>
      <c r="OIG43" s="380" t="e">
        <f t="shared" si="166"/>
        <v>#N/A</v>
      </c>
      <c r="OIH43" s="380" t="e">
        <f t="shared" si="166"/>
        <v>#N/A</v>
      </c>
      <c r="OII43" s="380" t="e">
        <f t="shared" si="166"/>
        <v>#N/A</v>
      </c>
      <c r="OIJ43" s="380" t="e">
        <f t="shared" si="166"/>
        <v>#N/A</v>
      </c>
      <c r="OIK43" s="380" t="e">
        <f t="shared" si="166"/>
        <v>#N/A</v>
      </c>
      <c r="OIL43" s="380" t="e">
        <f t="shared" si="166"/>
        <v>#N/A</v>
      </c>
      <c r="OIM43" s="380" t="e">
        <f t="shared" si="166"/>
        <v>#N/A</v>
      </c>
      <c r="OIN43" s="380" t="e">
        <f t="shared" si="166"/>
        <v>#N/A</v>
      </c>
      <c r="OIO43" s="380" t="e">
        <f t="shared" si="166"/>
        <v>#N/A</v>
      </c>
      <c r="OIP43" s="380" t="e">
        <f t="shared" si="166"/>
        <v>#N/A</v>
      </c>
      <c r="OIQ43" s="380" t="e">
        <f t="shared" si="166"/>
        <v>#N/A</v>
      </c>
      <c r="OIR43" s="380" t="e">
        <f t="shared" si="166"/>
        <v>#N/A</v>
      </c>
      <c r="OIS43" s="380" t="e">
        <f t="shared" si="166"/>
        <v>#N/A</v>
      </c>
      <c r="OIT43" s="380" t="e">
        <f t="shared" si="166"/>
        <v>#N/A</v>
      </c>
      <c r="OIU43" s="380" t="e">
        <f t="shared" si="166"/>
        <v>#N/A</v>
      </c>
      <c r="OIV43" s="380" t="e">
        <f t="shared" si="166"/>
        <v>#N/A</v>
      </c>
      <c r="OIW43" s="380" t="e">
        <f t="shared" si="166"/>
        <v>#N/A</v>
      </c>
      <c r="OIX43" s="380" t="e">
        <f t="shared" si="166"/>
        <v>#N/A</v>
      </c>
      <c r="OIY43" s="380" t="e">
        <f t="shared" si="166"/>
        <v>#N/A</v>
      </c>
      <c r="OIZ43" s="380" t="e">
        <f t="shared" si="166"/>
        <v>#N/A</v>
      </c>
      <c r="OJA43" s="380" t="e">
        <f t="shared" si="166"/>
        <v>#N/A</v>
      </c>
      <c r="OJB43" s="380" t="e">
        <f t="shared" si="166"/>
        <v>#N/A</v>
      </c>
      <c r="OJC43" s="380" t="e">
        <f t="shared" si="166"/>
        <v>#N/A</v>
      </c>
      <c r="OJD43" s="380" t="e">
        <f t="shared" si="166"/>
        <v>#N/A</v>
      </c>
      <c r="OJE43" s="380" t="e">
        <f t="shared" si="166"/>
        <v>#N/A</v>
      </c>
      <c r="OJF43" s="380" t="e">
        <f t="shared" si="166"/>
        <v>#N/A</v>
      </c>
      <c r="OJG43" s="380" t="e">
        <f t="shared" si="166"/>
        <v>#N/A</v>
      </c>
      <c r="OJH43" s="380" t="e">
        <f t="shared" si="166"/>
        <v>#N/A</v>
      </c>
      <c r="OJI43" s="380" t="e">
        <f t="shared" si="166"/>
        <v>#N/A</v>
      </c>
      <c r="OJJ43" s="380" t="e">
        <f t="shared" si="166"/>
        <v>#N/A</v>
      </c>
      <c r="OJK43" s="380" t="e">
        <f t="shared" si="166"/>
        <v>#N/A</v>
      </c>
      <c r="OJL43" s="380" t="e">
        <f t="shared" si="166"/>
        <v>#N/A</v>
      </c>
      <c r="OJM43" s="380" t="e">
        <f t="shared" si="166"/>
        <v>#N/A</v>
      </c>
      <c r="OJN43" s="380" t="e">
        <f t="shared" si="166"/>
        <v>#N/A</v>
      </c>
      <c r="OJO43" s="380" t="e">
        <f t="shared" si="166"/>
        <v>#N/A</v>
      </c>
      <c r="OJP43" s="380" t="e">
        <f t="shared" si="166"/>
        <v>#N/A</v>
      </c>
      <c r="OJQ43" s="380" t="e">
        <f t="shared" si="166"/>
        <v>#N/A</v>
      </c>
      <c r="OJR43" s="380" t="e">
        <f t="shared" si="166"/>
        <v>#N/A</v>
      </c>
      <c r="OJS43" s="380" t="e">
        <f t="shared" si="166"/>
        <v>#N/A</v>
      </c>
      <c r="OJT43" s="380" t="e">
        <f t="shared" si="166"/>
        <v>#N/A</v>
      </c>
      <c r="OJU43" s="380" t="e">
        <f t="shared" si="166"/>
        <v>#N/A</v>
      </c>
      <c r="OJV43" s="380" t="e">
        <f t="shared" si="166"/>
        <v>#N/A</v>
      </c>
      <c r="OJW43" s="380" t="e">
        <f t="shared" si="166"/>
        <v>#N/A</v>
      </c>
      <c r="OJX43" s="380" t="e">
        <f t="shared" si="166"/>
        <v>#N/A</v>
      </c>
      <c r="OJY43" s="380" t="e">
        <f t="shared" si="166"/>
        <v>#N/A</v>
      </c>
      <c r="OJZ43" s="380" t="e">
        <f t="shared" si="166"/>
        <v>#N/A</v>
      </c>
      <c r="OKA43" s="380" t="e">
        <f t="shared" si="166"/>
        <v>#N/A</v>
      </c>
      <c r="OKB43" s="380" t="e">
        <f t="shared" si="166"/>
        <v>#N/A</v>
      </c>
      <c r="OKC43" s="380" t="e">
        <f t="shared" si="166"/>
        <v>#N/A</v>
      </c>
      <c r="OKD43" s="380" t="e">
        <f t="shared" si="166"/>
        <v>#N/A</v>
      </c>
      <c r="OKE43" s="380" t="e">
        <f t="shared" si="166"/>
        <v>#N/A</v>
      </c>
      <c r="OKF43" s="380" t="e">
        <f t="shared" si="166"/>
        <v>#N/A</v>
      </c>
      <c r="OKG43" s="380" t="e">
        <f t="shared" si="166"/>
        <v>#N/A</v>
      </c>
      <c r="OKH43" s="380" t="e">
        <f t="shared" si="166"/>
        <v>#N/A</v>
      </c>
      <c r="OKI43" s="380" t="e">
        <f t="shared" si="166"/>
        <v>#N/A</v>
      </c>
      <c r="OKJ43" s="380" t="e">
        <f t="shared" si="166"/>
        <v>#N/A</v>
      </c>
      <c r="OKK43" s="380" t="e">
        <f t="shared" si="166"/>
        <v>#N/A</v>
      </c>
      <c r="OKL43" s="380" t="e">
        <f t="shared" si="166"/>
        <v>#N/A</v>
      </c>
      <c r="OKM43" s="380" t="e">
        <f t="shared" si="166"/>
        <v>#N/A</v>
      </c>
      <c r="OKN43" s="380" t="e">
        <f t="shared" ref="OKN43:OMY43" si="167">INDEX(OKN7:OKN40,MATCH($E$43,$E$7:$E$40,0))</f>
        <v>#N/A</v>
      </c>
      <c r="OKO43" s="380" t="e">
        <f t="shared" si="167"/>
        <v>#N/A</v>
      </c>
      <c r="OKP43" s="380" t="e">
        <f t="shared" si="167"/>
        <v>#N/A</v>
      </c>
      <c r="OKQ43" s="380" t="e">
        <f t="shared" si="167"/>
        <v>#N/A</v>
      </c>
      <c r="OKR43" s="380" t="e">
        <f t="shared" si="167"/>
        <v>#N/A</v>
      </c>
      <c r="OKS43" s="380" t="e">
        <f t="shared" si="167"/>
        <v>#N/A</v>
      </c>
      <c r="OKT43" s="380" t="e">
        <f t="shared" si="167"/>
        <v>#N/A</v>
      </c>
      <c r="OKU43" s="380" t="e">
        <f t="shared" si="167"/>
        <v>#N/A</v>
      </c>
      <c r="OKV43" s="380" t="e">
        <f t="shared" si="167"/>
        <v>#N/A</v>
      </c>
      <c r="OKW43" s="380" t="e">
        <f t="shared" si="167"/>
        <v>#N/A</v>
      </c>
      <c r="OKX43" s="380" t="e">
        <f t="shared" si="167"/>
        <v>#N/A</v>
      </c>
      <c r="OKY43" s="380" t="e">
        <f t="shared" si="167"/>
        <v>#N/A</v>
      </c>
      <c r="OKZ43" s="380" t="e">
        <f t="shared" si="167"/>
        <v>#N/A</v>
      </c>
      <c r="OLA43" s="380" t="e">
        <f t="shared" si="167"/>
        <v>#N/A</v>
      </c>
      <c r="OLB43" s="380" t="e">
        <f t="shared" si="167"/>
        <v>#N/A</v>
      </c>
      <c r="OLC43" s="380" t="e">
        <f t="shared" si="167"/>
        <v>#N/A</v>
      </c>
      <c r="OLD43" s="380" t="e">
        <f t="shared" si="167"/>
        <v>#N/A</v>
      </c>
      <c r="OLE43" s="380" t="e">
        <f t="shared" si="167"/>
        <v>#N/A</v>
      </c>
      <c r="OLF43" s="380" t="e">
        <f t="shared" si="167"/>
        <v>#N/A</v>
      </c>
      <c r="OLG43" s="380" t="e">
        <f t="shared" si="167"/>
        <v>#N/A</v>
      </c>
      <c r="OLH43" s="380" t="e">
        <f t="shared" si="167"/>
        <v>#N/A</v>
      </c>
      <c r="OLI43" s="380" t="e">
        <f t="shared" si="167"/>
        <v>#N/A</v>
      </c>
      <c r="OLJ43" s="380" t="e">
        <f t="shared" si="167"/>
        <v>#N/A</v>
      </c>
      <c r="OLK43" s="380" t="e">
        <f t="shared" si="167"/>
        <v>#N/A</v>
      </c>
      <c r="OLL43" s="380" t="e">
        <f t="shared" si="167"/>
        <v>#N/A</v>
      </c>
      <c r="OLM43" s="380" t="e">
        <f t="shared" si="167"/>
        <v>#N/A</v>
      </c>
      <c r="OLN43" s="380" t="e">
        <f t="shared" si="167"/>
        <v>#N/A</v>
      </c>
      <c r="OLO43" s="380" t="e">
        <f t="shared" si="167"/>
        <v>#N/A</v>
      </c>
      <c r="OLP43" s="380" t="e">
        <f t="shared" si="167"/>
        <v>#N/A</v>
      </c>
      <c r="OLQ43" s="380" t="e">
        <f t="shared" si="167"/>
        <v>#N/A</v>
      </c>
      <c r="OLR43" s="380" t="e">
        <f t="shared" si="167"/>
        <v>#N/A</v>
      </c>
      <c r="OLS43" s="380" t="e">
        <f t="shared" si="167"/>
        <v>#N/A</v>
      </c>
      <c r="OLT43" s="380" t="e">
        <f t="shared" si="167"/>
        <v>#N/A</v>
      </c>
      <c r="OLU43" s="380" t="e">
        <f t="shared" si="167"/>
        <v>#N/A</v>
      </c>
      <c r="OLV43" s="380" t="e">
        <f t="shared" si="167"/>
        <v>#N/A</v>
      </c>
      <c r="OLW43" s="380" t="e">
        <f t="shared" si="167"/>
        <v>#N/A</v>
      </c>
      <c r="OLX43" s="380" t="e">
        <f t="shared" si="167"/>
        <v>#N/A</v>
      </c>
      <c r="OLY43" s="380" t="e">
        <f t="shared" si="167"/>
        <v>#N/A</v>
      </c>
      <c r="OLZ43" s="380" t="e">
        <f t="shared" si="167"/>
        <v>#N/A</v>
      </c>
      <c r="OMA43" s="380" t="e">
        <f t="shared" si="167"/>
        <v>#N/A</v>
      </c>
      <c r="OMB43" s="380" t="e">
        <f t="shared" si="167"/>
        <v>#N/A</v>
      </c>
      <c r="OMC43" s="380" t="e">
        <f t="shared" si="167"/>
        <v>#N/A</v>
      </c>
      <c r="OMD43" s="380" t="e">
        <f t="shared" si="167"/>
        <v>#N/A</v>
      </c>
      <c r="OME43" s="380" t="e">
        <f t="shared" si="167"/>
        <v>#N/A</v>
      </c>
      <c r="OMF43" s="380" t="e">
        <f t="shared" si="167"/>
        <v>#N/A</v>
      </c>
      <c r="OMG43" s="380" t="e">
        <f t="shared" si="167"/>
        <v>#N/A</v>
      </c>
      <c r="OMH43" s="380" t="e">
        <f t="shared" si="167"/>
        <v>#N/A</v>
      </c>
      <c r="OMI43" s="380" t="e">
        <f t="shared" si="167"/>
        <v>#N/A</v>
      </c>
      <c r="OMJ43" s="380" t="e">
        <f t="shared" si="167"/>
        <v>#N/A</v>
      </c>
      <c r="OMK43" s="380" t="e">
        <f t="shared" si="167"/>
        <v>#N/A</v>
      </c>
      <c r="OML43" s="380" t="e">
        <f t="shared" si="167"/>
        <v>#N/A</v>
      </c>
      <c r="OMM43" s="380" t="e">
        <f t="shared" si="167"/>
        <v>#N/A</v>
      </c>
      <c r="OMN43" s="380" t="e">
        <f t="shared" si="167"/>
        <v>#N/A</v>
      </c>
      <c r="OMO43" s="380" t="e">
        <f t="shared" si="167"/>
        <v>#N/A</v>
      </c>
      <c r="OMP43" s="380" t="e">
        <f t="shared" si="167"/>
        <v>#N/A</v>
      </c>
      <c r="OMQ43" s="380" t="e">
        <f t="shared" si="167"/>
        <v>#N/A</v>
      </c>
      <c r="OMR43" s="380" t="e">
        <f t="shared" si="167"/>
        <v>#N/A</v>
      </c>
      <c r="OMS43" s="380" t="e">
        <f t="shared" si="167"/>
        <v>#N/A</v>
      </c>
      <c r="OMT43" s="380" t="e">
        <f t="shared" si="167"/>
        <v>#N/A</v>
      </c>
      <c r="OMU43" s="380" t="e">
        <f t="shared" si="167"/>
        <v>#N/A</v>
      </c>
      <c r="OMV43" s="380" t="e">
        <f t="shared" si="167"/>
        <v>#N/A</v>
      </c>
      <c r="OMW43" s="380" t="e">
        <f t="shared" si="167"/>
        <v>#N/A</v>
      </c>
      <c r="OMX43" s="380" t="e">
        <f t="shared" si="167"/>
        <v>#N/A</v>
      </c>
      <c r="OMY43" s="380" t="e">
        <f t="shared" si="167"/>
        <v>#N/A</v>
      </c>
      <c r="OMZ43" s="380" t="e">
        <f t="shared" ref="OMZ43:OPK43" si="168">INDEX(OMZ7:OMZ40,MATCH($E$43,$E$7:$E$40,0))</f>
        <v>#N/A</v>
      </c>
      <c r="ONA43" s="380" t="e">
        <f t="shared" si="168"/>
        <v>#N/A</v>
      </c>
      <c r="ONB43" s="380" t="e">
        <f t="shared" si="168"/>
        <v>#N/A</v>
      </c>
      <c r="ONC43" s="380" t="e">
        <f t="shared" si="168"/>
        <v>#N/A</v>
      </c>
      <c r="OND43" s="380" t="e">
        <f t="shared" si="168"/>
        <v>#N/A</v>
      </c>
      <c r="ONE43" s="380" t="e">
        <f t="shared" si="168"/>
        <v>#N/A</v>
      </c>
      <c r="ONF43" s="380" t="e">
        <f t="shared" si="168"/>
        <v>#N/A</v>
      </c>
      <c r="ONG43" s="380" t="e">
        <f t="shared" si="168"/>
        <v>#N/A</v>
      </c>
      <c r="ONH43" s="380" t="e">
        <f t="shared" si="168"/>
        <v>#N/A</v>
      </c>
      <c r="ONI43" s="380" t="e">
        <f t="shared" si="168"/>
        <v>#N/A</v>
      </c>
      <c r="ONJ43" s="380" t="e">
        <f t="shared" si="168"/>
        <v>#N/A</v>
      </c>
      <c r="ONK43" s="380" t="e">
        <f t="shared" si="168"/>
        <v>#N/A</v>
      </c>
      <c r="ONL43" s="380" t="e">
        <f t="shared" si="168"/>
        <v>#N/A</v>
      </c>
      <c r="ONM43" s="380" t="e">
        <f t="shared" si="168"/>
        <v>#N/A</v>
      </c>
      <c r="ONN43" s="380" t="e">
        <f t="shared" si="168"/>
        <v>#N/A</v>
      </c>
      <c r="ONO43" s="380" t="e">
        <f t="shared" si="168"/>
        <v>#N/A</v>
      </c>
      <c r="ONP43" s="380" t="e">
        <f t="shared" si="168"/>
        <v>#N/A</v>
      </c>
      <c r="ONQ43" s="380" t="e">
        <f t="shared" si="168"/>
        <v>#N/A</v>
      </c>
      <c r="ONR43" s="380" t="e">
        <f t="shared" si="168"/>
        <v>#N/A</v>
      </c>
      <c r="ONS43" s="380" t="e">
        <f t="shared" si="168"/>
        <v>#N/A</v>
      </c>
      <c r="ONT43" s="380" t="e">
        <f t="shared" si="168"/>
        <v>#N/A</v>
      </c>
      <c r="ONU43" s="380" t="e">
        <f t="shared" si="168"/>
        <v>#N/A</v>
      </c>
      <c r="ONV43" s="380" t="e">
        <f t="shared" si="168"/>
        <v>#N/A</v>
      </c>
      <c r="ONW43" s="380" t="e">
        <f t="shared" si="168"/>
        <v>#N/A</v>
      </c>
      <c r="ONX43" s="380" t="e">
        <f t="shared" si="168"/>
        <v>#N/A</v>
      </c>
      <c r="ONY43" s="380" t="e">
        <f t="shared" si="168"/>
        <v>#N/A</v>
      </c>
      <c r="ONZ43" s="380" t="e">
        <f t="shared" si="168"/>
        <v>#N/A</v>
      </c>
      <c r="OOA43" s="380" t="e">
        <f t="shared" si="168"/>
        <v>#N/A</v>
      </c>
      <c r="OOB43" s="380" t="e">
        <f t="shared" si="168"/>
        <v>#N/A</v>
      </c>
      <c r="OOC43" s="380" t="e">
        <f t="shared" si="168"/>
        <v>#N/A</v>
      </c>
      <c r="OOD43" s="380" t="e">
        <f t="shared" si="168"/>
        <v>#N/A</v>
      </c>
      <c r="OOE43" s="380" t="e">
        <f t="shared" si="168"/>
        <v>#N/A</v>
      </c>
      <c r="OOF43" s="380" t="e">
        <f t="shared" si="168"/>
        <v>#N/A</v>
      </c>
      <c r="OOG43" s="380" t="e">
        <f t="shared" si="168"/>
        <v>#N/A</v>
      </c>
      <c r="OOH43" s="380" t="e">
        <f t="shared" si="168"/>
        <v>#N/A</v>
      </c>
      <c r="OOI43" s="380" t="e">
        <f t="shared" si="168"/>
        <v>#N/A</v>
      </c>
      <c r="OOJ43" s="380" t="e">
        <f t="shared" si="168"/>
        <v>#N/A</v>
      </c>
      <c r="OOK43" s="380" t="e">
        <f t="shared" si="168"/>
        <v>#N/A</v>
      </c>
      <c r="OOL43" s="380" t="e">
        <f t="shared" si="168"/>
        <v>#N/A</v>
      </c>
      <c r="OOM43" s="380" t="e">
        <f t="shared" si="168"/>
        <v>#N/A</v>
      </c>
      <c r="OON43" s="380" t="e">
        <f t="shared" si="168"/>
        <v>#N/A</v>
      </c>
      <c r="OOO43" s="380" t="e">
        <f t="shared" si="168"/>
        <v>#N/A</v>
      </c>
      <c r="OOP43" s="380" t="e">
        <f t="shared" si="168"/>
        <v>#N/A</v>
      </c>
      <c r="OOQ43" s="380" t="e">
        <f t="shared" si="168"/>
        <v>#N/A</v>
      </c>
      <c r="OOR43" s="380" t="e">
        <f t="shared" si="168"/>
        <v>#N/A</v>
      </c>
      <c r="OOS43" s="380" t="e">
        <f t="shared" si="168"/>
        <v>#N/A</v>
      </c>
      <c r="OOT43" s="380" t="e">
        <f t="shared" si="168"/>
        <v>#N/A</v>
      </c>
      <c r="OOU43" s="380" t="e">
        <f t="shared" si="168"/>
        <v>#N/A</v>
      </c>
      <c r="OOV43" s="380" t="e">
        <f t="shared" si="168"/>
        <v>#N/A</v>
      </c>
      <c r="OOW43" s="380" t="e">
        <f t="shared" si="168"/>
        <v>#N/A</v>
      </c>
      <c r="OOX43" s="380" t="e">
        <f t="shared" si="168"/>
        <v>#N/A</v>
      </c>
      <c r="OOY43" s="380" t="e">
        <f t="shared" si="168"/>
        <v>#N/A</v>
      </c>
      <c r="OOZ43" s="380" t="e">
        <f t="shared" si="168"/>
        <v>#N/A</v>
      </c>
      <c r="OPA43" s="380" t="e">
        <f t="shared" si="168"/>
        <v>#N/A</v>
      </c>
      <c r="OPB43" s="380" t="e">
        <f t="shared" si="168"/>
        <v>#N/A</v>
      </c>
      <c r="OPC43" s="380" t="e">
        <f t="shared" si="168"/>
        <v>#N/A</v>
      </c>
      <c r="OPD43" s="380" t="e">
        <f t="shared" si="168"/>
        <v>#N/A</v>
      </c>
      <c r="OPE43" s="380" t="e">
        <f t="shared" si="168"/>
        <v>#N/A</v>
      </c>
      <c r="OPF43" s="380" t="e">
        <f t="shared" si="168"/>
        <v>#N/A</v>
      </c>
      <c r="OPG43" s="380" t="e">
        <f t="shared" si="168"/>
        <v>#N/A</v>
      </c>
      <c r="OPH43" s="380" t="e">
        <f t="shared" si="168"/>
        <v>#N/A</v>
      </c>
      <c r="OPI43" s="380" t="e">
        <f t="shared" si="168"/>
        <v>#N/A</v>
      </c>
      <c r="OPJ43" s="380" t="e">
        <f t="shared" si="168"/>
        <v>#N/A</v>
      </c>
      <c r="OPK43" s="380" t="e">
        <f t="shared" si="168"/>
        <v>#N/A</v>
      </c>
      <c r="OPL43" s="380" t="e">
        <f t="shared" ref="OPL43:ORW43" si="169">INDEX(OPL7:OPL40,MATCH($E$43,$E$7:$E$40,0))</f>
        <v>#N/A</v>
      </c>
      <c r="OPM43" s="380" t="e">
        <f t="shared" si="169"/>
        <v>#N/A</v>
      </c>
      <c r="OPN43" s="380" t="e">
        <f t="shared" si="169"/>
        <v>#N/A</v>
      </c>
      <c r="OPO43" s="380" t="e">
        <f t="shared" si="169"/>
        <v>#N/A</v>
      </c>
      <c r="OPP43" s="380" t="e">
        <f t="shared" si="169"/>
        <v>#N/A</v>
      </c>
      <c r="OPQ43" s="380" t="e">
        <f t="shared" si="169"/>
        <v>#N/A</v>
      </c>
      <c r="OPR43" s="380" t="e">
        <f t="shared" si="169"/>
        <v>#N/A</v>
      </c>
      <c r="OPS43" s="380" t="e">
        <f t="shared" si="169"/>
        <v>#N/A</v>
      </c>
      <c r="OPT43" s="380" t="e">
        <f t="shared" si="169"/>
        <v>#N/A</v>
      </c>
      <c r="OPU43" s="380" t="e">
        <f t="shared" si="169"/>
        <v>#N/A</v>
      </c>
      <c r="OPV43" s="380" t="e">
        <f t="shared" si="169"/>
        <v>#N/A</v>
      </c>
      <c r="OPW43" s="380" t="e">
        <f t="shared" si="169"/>
        <v>#N/A</v>
      </c>
      <c r="OPX43" s="380" t="e">
        <f t="shared" si="169"/>
        <v>#N/A</v>
      </c>
      <c r="OPY43" s="380" t="e">
        <f t="shared" si="169"/>
        <v>#N/A</v>
      </c>
      <c r="OPZ43" s="380" t="e">
        <f t="shared" si="169"/>
        <v>#N/A</v>
      </c>
      <c r="OQA43" s="380" t="e">
        <f t="shared" si="169"/>
        <v>#N/A</v>
      </c>
      <c r="OQB43" s="380" t="e">
        <f t="shared" si="169"/>
        <v>#N/A</v>
      </c>
      <c r="OQC43" s="380" t="e">
        <f t="shared" si="169"/>
        <v>#N/A</v>
      </c>
      <c r="OQD43" s="380" t="e">
        <f t="shared" si="169"/>
        <v>#N/A</v>
      </c>
      <c r="OQE43" s="380" t="e">
        <f t="shared" si="169"/>
        <v>#N/A</v>
      </c>
      <c r="OQF43" s="380" t="e">
        <f t="shared" si="169"/>
        <v>#N/A</v>
      </c>
      <c r="OQG43" s="380" t="e">
        <f t="shared" si="169"/>
        <v>#N/A</v>
      </c>
      <c r="OQH43" s="380" t="e">
        <f t="shared" si="169"/>
        <v>#N/A</v>
      </c>
      <c r="OQI43" s="380" t="e">
        <f t="shared" si="169"/>
        <v>#N/A</v>
      </c>
      <c r="OQJ43" s="380" t="e">
        <f t="shared" si="169"/>
        <v>#N/A</v>
      </c>
      <c r="OQK43" s="380" t="e">
        <f t="shared" si="169"/>
        <v>#N/A</v>
      </c>
      <c r="OQL43" s="380" t="e">
        <f t="shared" si="169"/>
        <v>#N/A</v>
      </c>
      <c r="OQM43" s="380" t="e">
        <f t="shared" si="169"/>
        <v>#N/A</v>
      </c>
      <c r="OQN43" s="380" t="e">
        <f t="shared" si="169"/>
        <v>#N/A</v>
      </c>
      <c r="OQO43" s="380" t="e">
        <f t="shared" si="169"/>
        <v>#N/A</v>
      </c>
      <c r="OQP43" s="380" t="e">
        <f t="shared" si="169"/>
        <v>#N/A</v>
      </c>
      <c r="OQQ43" s="380" t="e">
        <f t="shared" si="169"/>
        <v>#N/A</v>
      </c>
      <c r="OQR43" s="380" t="e">
        <f t="shared" si="169"/>
        <v>#N/A</v>
      </c>
      <c r="OQS43" s="380" t="e">
        <f t="shared" si="169"/>
        <v>#N/A</v>
      </c>
      <c r="OQT43" s="380" t="e">
        <f t="shared" si="169"/>
        <v>#N/A</v>
      </c>
      <c r="OQU43" s="380" t="e">
        <f t="shared" si="169"/>
        <v>#N/A</v>
      </c>
      <c r="OQV43" s="380" t="e">
        <f t="shared" si="169"/>
        <v>#N/A</v>
      </c>
      <c r="OQW43" s="380" t="e">
        <f t="shared" si="169"/>
        <v>#N/A</v>
      </c>
      <c r="OQX43" s="380" t="e">
        <f t="shared" si="169"/>
        <v>#N/A</v>
      </c>
      <c r="OQY43" s="380" t="e">
        <f t="shared" si="169"/>
        <v>#N/A</v>
      </c>
      <c r="OQZ43" s="380" t="e">
        <f t="shared" si="169"/>
        <v>#N/A</v>
      </c>
      <c r="ORA43" s="380" t="e">
        <f t="shared" si="169"/>
        <v>#N/A</v>
      </c>
      <c r="ORB43" s="380" t="e">
        <f t="shared" si="169"/>
        <v>#N/A</v>
      </c>
      <c r="ORC43" s="380" t="e">
        <f t="shared" si="169"/>
        <v>#N/A</v>
      </c>
      <c r="ORD43" s="380" t="e">
        <f t="shared" si="169"/>
        <v>#N/A</v>
      </c>
      <c r="ORE43" s="380" t="e">
        <f t="shared" si="169"/>
        <v>#N/A</v>
      </c>
      <c r="ORF43" s="380" t="e">
        <f t="shared" si="169"/>
        <v>#N/A</v>
      </c>
      <c r="ORG43" s="380" t="e">
        <f t="shared" si="169"/>
        <v>#N/A</v>
      </c>
      <c r="ORH43" s="380" t="e">
        <f t="shared" si="169"/>
        <v>#N/A</v>
      </c>
      <c r="ORI43" s="380" t="e">
        <f t="shared" si="169"/>
        <v>#N/A</v>
      </c>
      <c r="ORJ43" s="380" t="e">
        <f t="shared" si="169"/>
        <v>#N/A</v>
      </c>
      <c r="ORK43" s="380" t="e">
        <f t="shared" si="169"/>
        <v>#N/A</v>
      </c>
      <c r="ORL43" s="380" t="e">
        <f t="shared" si="169"/>
        <v>#N/A</v>
      </c>
      <c r="ORM43" s="380" t="e">
        <f t="shared" si="169"/>
        <v>#N/A</v>
      </c>
      <c r="ORN43" s="380" t="e">
        <f t="shared" si="169"/>
        <v>#N/A</v>
      </c>
      <c r="ORO43" s="380" t="e">
        <f t="shared" si="169"/>
        <v>#N/A</v>
      </c>
      <c r="ORP43" s="380" t="e">
        <f t="shared" si="169"/>
        <v>#N/A</v>
      </c>
      <c r="ORQ43" s="380" t="e">
        <f t="shared" si="169"/>
        <v>#N/A</v>
      </c>
      <c r="ORR43" s="380" t="e">
        <f t="shared" si="169"/>
        <v>#N/A</v>
      </c>
      <c r="ORS43" s="380" t="e">
        <f t="shared" si="169"/>
        <v>#N/A</v>
      </c>
      <c r="ORT43" s="380" t="e">
        <f t="shared" si="169"/>
        <v>#N/A</v>
      </c>
      <c r="ORU43" s="380" t="e">
        <f t="shared" si="169"/>
        <v>#N/A</v>
      </c>
      <c r="ORV43" s="380" t="e">
        <f t="shared" si="169"/>
        <v>#N/A</v>
      </c>
      <c r="ORW43" s="380" t="e">
        <f t="shared" si="169"/>
        <v>#N/A</v>
      </c>
      <c r="ORX43" s="380" t="e">
        <f t="shared" ref="ORX43:OUI43" si="170">INDEX(ORX7:ORX40,MATCH($E$43,$E$7:$E$40,0))</f>
        <v>#N/A</v>
      </c>
      <c r="ORY43" s="380" t="e">
        <f t="shared" si="170"/>
        <v>#N/A</v>
      </c>
      <c r="ORZ43" s="380" t="e">
        <f t="shared" si="170"/>
        <v>#N/A</v>
      </c>
      <c r="OSA43" s="380" t="e">
        <f t="shared" si="170"/>
        <v>#N/A</v>
      </c>
      <c r="OSB43" s="380" t="e">
        <f t="shared" si="170"/>
        <v>#N/A</v>
      </c>
      <c r="OSC43" s="380" t="e">
        <f t="shared" si="170"/>
        <v>#N/A</v>
      </c>
      <c r="OSD43" s="380" t="e">
        <f t="shared" si="170"/>
        <v>#N/A</v>
      </c>
      <c r="OSE43" s="380" t="e">
        <f t="shared" si="170"/>
        <v>#N/A</v>
      </c>
      <c r="OSF43" s="380" t="e">
        <f t="shared" si="170"/>
        <v>#N/A</v>
      </c>
      <c r="OSG43" s="380" t="e">
        <f t="shared" si="170"/>
        <v>#N/A</v>
      </c>
      <c r="OSH43" s="380" t="e">
        <f t="shared" si="170"/>
        <v>#N/A</v>
      </c>
      <c r="OSI43" s="380" t="e">
        <f t="shared" si="170"/>
        <v>#N/A</v>
      </c>
      <c r="OSJ43" s="380" t="e">
        <f t="shared" si="170"/>
        <v>#N/A</v>
      </c>
      <c r="OSK43" s="380" t="e">
        <f t="shared" si="170"/>
        <v>#N/A</v>
      </c>
      <c r="OSL43" s="380" t="e">
        <f t="shared" si="170"/>
        <v>#N/A</v>
      </c>
      <c r="OSM43" s="380" t="e">
        <f t="shared" si="170"/>
        <v>#N/A</v>
      </c>
      <c r="OSN43" s="380" t="e">
        <f t="shared" si="170"/>
        <v>#N/A</v>
      </c>
      <c r="OSO43" s="380" t="e">
        <f t="shared" si="170"/>
        <v>#N/A</v>
      </c>
      <c r="OSP43" s="380" t="e">
        <f t="shared" si="170"/>
        <v>#N/A</v>
      </c>
      <c r="OSQ43" s="380" t="e">
        <f t="shared" si="170"/>
        <v>#N/A</v>
      </c>
      <c r="OSR43" s="380" t="e">
        <f t="shared" si="170"/>
        <v>#N/A</v>
      </c>
      <c r="OSS43" s="380" t="e">
        <f t="shared" si="170"/>
        <v>#N/A</v>
      </c>
      <c r="OST43" s="380" t="e">
        <f t="shared" si="170"/>
        <v>#N/A</v>
      </c>
      <c r="OSU43" s="380" t="e">
        <f t="shared" si="170"/>
        <v>#N/A</v>
      </c>
      <c r="OSV43" s="380" t="e">
        <f t="shared" si="170"/>
        <v>#N/A</v>
      </c>
      <c r="OSW43" s="380" t="e">
        <f t="shared" si="170"/>
        <v>#N/A</v>
      </c>
      <c r="OSX43" s="380" t="e">
        <f t="shared" si="170"/>
        <v>#N/A</v>
      </c>
      <c r="OSY43" s="380" t="e">
        <f t="shared" si="170"/>
        <v>#N/A</v>
      </c>
      <c r="OSZ43" s="380" t="e">
        <f t="shared" si="170"/>
        <v>#N/A</v>
      </c>
      <c r="OTA43" s="380" t="e">
        <f t="shared" si="170"/>
        <v>#N/A</v>
      </c>
      <c r="OTB43" s="380" t="e">
        <f t="shared" si="170"/>
        <v>#N/A</v>
      </c>
      <c r="OTC43" s="380" t="e">
        <f t="shared" si="170"/>
        <v>#N/A</v>
      </c>
      <c r="OTD43" s="380" t="e">
        <f t="shared" si="170"/>
        <v>#N/A</v>
      </c>
      <c r="OTE43" s="380" t="e">
        <f t="shared" si="170"/>
        <v>#N/A</v>
      </c>
      <c r="OTF43" s="380" t="e">
        <f t="shared" si="170"/>
        <v>#N/A</v>
      </c>
      <c r="OTG43" s="380" t="e">
        <f t="shared" si="170"/>
        <v>#N/A</v>
      </c>
      <c r="OTH43" s="380" t="e">
        <f t="shared" si="170"/>
        <v>#N/A</v>
      </c>
      <c r="OTI43" s="380" t="e">
        <f t="shared" si="170"/>
        <v>#N/A</v>
      </c>
      <c r="OTJ43" s="380" t="e">
        <f t="shared" si="170"/>
        <v>#N/A</v>
      </c>
      <c r="OTK43" s="380" t="e">
        <f t="shared" si="170"/>
        <v>#N/A</v>
      </c>
      <c r="OTL43" s="380" t="e">
        <f t="shared" si="170"/>
        <v>#N/A</v>
      </c>
      <c r="OTM43" s="380" t="e">
        <f t="shared" si="170"/>
        <v>#N/A</v>
      </c>
      <c r="OTN43" s="380" t="e">
        <f t="shared" si="170"/>
        <v>#N/A</v>
      </c>
      <c r="OTO43" s="380" t="e">
        <f t="shared" si="170"/>
        <v>#N/A</v>
      </c>
      <c r="OTP43" s="380" t="e">
        <f t="shared" si="170"/>
        <v>#N/A</v>
      </c>
      <c r="OTQ43" s="380" t="e">
        <f t="shared" si="170"/>
        <v>#N/A</v>
      </c>
      <c r="OTR43" s="380" t="e">
        <f t="shared" si="170"/>
        <v>#N/A</v>
      </c>
      <c r="OTS43" s="380" t="e">
        <f t="shared" si="170"/>
        <v>#N/A</v>
      </c>
      <c r="OTT43" s="380" t="e">
        <f t="shared" si="170"/>
        <v>#N/A</v>
      </c>
      <c r="OTU43" s="380" t="e">
        <f t="shared" si="170"/>
        <v>#N/A</v>
      </c>
      <c r="OTV43" s="380" t="e">
        <f t="shared" si="170"/>
        <v>#N/A</v>
      </c>
      <c r="OTW43" s="380" t="e">
        <f t="shared" si="170"/>
        <v>#N/A</v>
      </c>
      <c r="OTX43" s="380" t="e">
        <f t="shared" si="170"/>
        <v>#N/A</v>
      </c>
      <c r="OTY43" s="380" t="e">
        <f t="shared" si="170"/>
        <v>#N/A</v>
      </c>
      <c r="OTZ43" s="380" t="e">
        <f t="shared" si="170"/>
        <v>#N/A</v>
      </c>
      <c r="OUA43" s="380" t="e">
        <f t="shared" si="170"/>
        <v>#N/A</v>
      </c>
      <c r="OUB43" s="380" t="e">
        <f t="shared" si="170"/>
        <v>#N/A</v>
      </c>
      <c r="OUC43" s="380" t="e">
        <f t="shared" si="170"/>
        <v>#N/A</v>
      </c>
      <c r="OUD43" s="380" t="e">
        <f t="shared" si="170"/>
        <v>#N/A</v>
      </c>
      <c r="OUE43" s="380" t="e">
        <f t="shared" si="170"/>
        <v>#N/A</v>
      </c>
      <c r="OUF43" s="380" t="e">
        <f t="shared" si="170"/>
        <v>#N/A</v>
      </c>
      <c r="OUG43" s="380" t="e">
        <f t="shared" si="170"/>
        <v>#N/A</v>
      </c>
      <c r="OUH43" s="380" t="e">
        <f t="shared" si="170"/>
        <v>#N/A</v>
      </c>
      <c r="OUI43" s="380" t="e">
        <f t="shared" si="170"/>
        <v>#N/A</v>
      </c>
      <c r="OUJ43" s="380" t="e">
        <f t="shared" ref="OUJ43:OWU43" si="171">INDEX(OUJ7:OUJ40,MATCH($E$43,$E$7:$E$40,0))</f>
        <v>#N/A</v>
      </c>
      <c r="OUK43" s="380" t="e">
        <f t="shared" si="171"/>
        <v>#N/A</v>
      </c>
      <c r="OUL43" s="380" t="e">
        <f t="shared" si="171"/>
        <v>#N/A</v>
      </c>
      <c r="OUM43" s="380" t="e">
        <f t="shared" si="171"/>
        <v>#N/A</v>
      </c>
      <c r="OUN43" s="380" t="e">
        <f t="shared" si="171"/>
        <v>#N/A</v>
      </c>
      <c r="OUO43" s="380" t="e">
        <f t="shared" si="171"/>
        <v>#N/A</v>
      </c>
      <c r="OUP43" s="380" t="e">
        <f t="shared" si="171"/>
        <v>#N/A</v>
      </c>
      <c r="OUQ43" s="380" t="e">
        <f t="shared" si="171"/>
        <v>#N/A</v>
      </c>
      <c r="OUR43" s="380" t="e">
        <f t="shared" si="171"/>
        <v>#N/A</v>
      </c>
      <c r="OUS43" s="380" t="e">
        <f t="shared" si="171"/>
        <v>#N/A</v>
      </c>
      <c r="OUT43" s="380" t="e">
        <f t="shared" si="171"/>
        <v>#N/A</v>
      </c>
      <c r="OUU43" s="380" t="e">
        <f t="shared" si="171"/>
        <v>#N/A</v>
      </c>
      <c r="OUV43" s="380" t="e">
        <f t="shared" si="171"/>
        <v>#N/A</v>
      </c>
      <c r="OUW43" s="380" t="e">
        <f t="shared" si="171"/>
        <v>#N/A</v>
      </c>
      <c r="OUX43" s="380" t="e">
        <f t="shared" si="171"/>
        <v>#N/A</v>
      </c>
      <c r="OUY43" s="380" t="e">
        <f t="shared" si="171"/>
        <v>#N/A</v>
      </c>
      <c r="OUZ43" s="380" t="e">
        <f t="shared" si="171"/>
        <v>#N/A</v>
      </c>
      <c r="OVA43" s="380" t="e">
        <f t="shared" si="171"/>
        <v>#N/A</v>
      </c>
      <c r="OVB43" s="380" t="e">
        <f t="shared" si="171"/>
        <v>#N/A</v>
      </c>
      <c r="OVC43" s="380" t="e">
        <f t="shared" si="171"/>
        <v>#N/A</v>
      </c>
      <c r="OVD43" s="380" t="e">
        <f t="shared" si="171"/>
        <v>#N/A</v>
      </c>
      <c r="OVE43" s="380" t="e">
        <f t="shared" si="171"/>
        <v>#N/A</v>
      </c>
      <c r="OVF43" s="380" t="e">
        <f t="shared" si="171"/>
        <v>#N/A</v>
      </c>
      <c r="OVG43" s="380" t="e">
        <f t="shared" si="171"/>
        <v>#N/A</v>
      </c>
      <c r="OVH43" s="380" t="e">
        <f t="shared" si="171"/>
        <v>#N/A</v>
      </c>
      <c r="OVI43" s="380" t="e">
        <f t="shared" si="171"/>
        <v>#N/A</v>
      </c>
      <c r="OVJ43" s="380" t="e">
        <f t="shared" si="171"/>
        <v>#N/A</v>
      </c>
      <c r="OVK43" s="380" t="e">
        <f t="shared" si="171"/>
        <v>#N/A</v>
      </c>
      <c r="OVL43" s="380" t="e">
        <f t="shared" si="171"/>
        <v>#N/A</v>
      </c>
      <c r="OVM43" s="380" t="e">
        <f t="shared" si="171"/>
        <v>#N/A</v>
      </c>
      <c r="OVN43" s="380" t="e">
        <f t="shared" si="171"/>
        <v>#N/A</v>
      </c>
      <c r="OVO43" s="380" t="e">
        <f t="shared" si="171"/>
        <v>#N/A</v>
      </c>
      <c r="OVP43" s="380" t="e">
        <f t="shared" si="171"/>
        <v>#N/A</v>
      </c>
      <c r="OVQ43" s="380" t="e">
        <f t="shared" si="171"/>
        <v>#N/A</v>
      </c>
      <c r="OVR43" s="380" t="e">
        <f t="shared" si="171"/>
        <v>#N/A</v>
      </c>
      <c r="OVS43" s="380" t="e">
        <f t="shared" si="171"/>
        <v>#N/A</v>
      </c>
      <c r="OVT43" s="380" t="e">
        <f t="shared" si="171"/>
        <v>#N/A</v>
      </c>
      <c r="OVU43" s="380" t="e">
        <f t="shared" si="171"/>
        <v>#N/A</v>
      </c>
      <c r="OVV43" s="380" t="e">
        <f t="shared" si="171"/>
        <v>#N/A</v>
      </c>
      <c r="OVW43" s="380" t="e">
        <f t="shared" si="171"/>
        <v>#N/A</v>
      </c>
      <c r="OVX43" s="380" t="e">
        <f t="shared" si="171"/>
        <v>#N/A</v>
      </c>
      <c r="OVY43" s="380" t="e">
        <f t="shared" si="171"/>
        <v>#N/A</v>
      </c>
      <c r="OVZ43" s="380" t="e">
        <f t="shared" si="171"/>
        <v>#N/A</v>
      </c>
      <c r="OWA43" s="380" t="e">
        <f t="shared" si="171"/>
        <v>#N/A</v>
      </c>
      <c r="OWB43" s="380" t="e">
        <f t="shared" si="171"/>
        <v>#N/A</v>
      </c>
      <c r="OWC43" s="380" t="e">
        <f t="shared" si="171"/>
        <v>#N/A</v>
      </c>
      <c r="OWD43" s="380" t="e">
        <f t="shared" si="171"/>
        <v>#N/A</v>
      </c>
      <c r="OWE43" s="380" t="e">
        <f t="shared" si="171"/>
        <v>#N/A</v>
      </c>
      <c r="OWF43" s="380" t="e">
        <f t="shared" si="171"/>
        <v>#N/A</v>
      </c>
      <c r="OWG43" s="380" t="e">
        <f t="shared" si="171"/>
        <v>#N/A</v>
      </c>
      <c r="OWH43" s="380" t="e">
        <f t="shared" si="171"/>
        <v>#N/A</v>
      </c>
      <c r="OWI43" s="380" t="e">
        <f t="shared" si="171"/>
        <v>#N/A</v>
      </c>
      <c r="OWJ43" s="380" t="e">
        <f t="shared" si="171"/>
        <v>#N/A</v>
      </c>
      <c r="OWK43" s="380" t="e">
        <f t="shared" si="171"/>
        <v>#N/A</v>
      </c>
      <c r="OWL43" s="380" t="e">
        <f t="shared" si="171"/>
        <v>#N/A</v>
      </c>
      <c r="OWM43" s="380" t="e">
        <f t="shared" si="171"/>
        <v>#N/A</v>
      </c>
      <c r="OWN43" s="380" t="e">
        <f t="shared" si="171"/>
        <v>#N/A</v>
      </c>
      <c r="OWO43" s="380" t="e">
        <f t="shared" si="171"/>
        <v>#N/A</v>
      </c>
      <c r="OWP43" s="380" t="e">
        <f t="shared" si="171"/>
        <v>#N/A</v>
      </c>
      <c r="OWQ43" s="380" t="e">
        <f t="shared" si="171"/>
        <v>#N/A</v>
      </c>
      <c r="OWR43" s="380" t="e">
        <f t="shared" si="171"/>
        <v>#N/A</v>
      </c>
      <c r="OWS43" s="380" t="e">
        <f t="shared" si="171"/>
        <v>#N/A</v>
      </c>
      <c r="OWT43" s="380" t="e">
        <f t="shared" si="171"/>
        <v>#N/A</v>
      </c>
      <c r="OWU43" s="380" t="e">
        <f t="shared" si="171"/>
        <v>#N/A</v>
      </c>
      <c r="OWV43" s="380" t="e">
        <f t="shared" ref="OWV43:OZG43" si="172">INDEX(OWV7:OWV40,MATCH($E$43,$E$7:$E$40,0))</f>
        <v>#N/A</v>
      </c>
      <c r="OWW43" s="380" t="e">
        <f t="shared" si="172"/>
        <v>#N/A</v>
      </c>
      <c r="OWX43" s="380" t="e">
        <f t="shared" si="172"/>
        <v>#N/A</v>
      </c>
      <c r="OWY43" s="380" t="e">
        <f t="shared" si="172"/>
        <v>#N/A</v>
      </c>
      <c r="OWZ43" s="380" t="e">
        <f t="shared" si="172"/>
        <v>#N/A</v>
      </c>
      <c r="OXA43" s="380" t="e">
        <f t="shared" si="172"/>
        <v>#N/A</v>
      </c>
      <c r="OXB43" s="380" t="e">
        <f t="shared" si="172"/>
        <v>#N/A</v>
      </c>
      <c r="OXC43" s="380" t="e">
        <f t="shared" si="172"/>
        <v>#N/A</v>
      </c>
      <c r="OXD43" s="380" t="e">
        <f t="shared" si="172"/>
        <v>#N/A</v>
      </c>
      <c r="OXE43" s="380" t="e">
        <f t="shared" si="172"/>
        <v>#N/A</v>
      </c>
      <c r="OXF43" s="380" t="e">
        <f t="shared" si="172"/>
        <v>#N/A</v>
      </c>
      <c r="OXG43" s="380" t="e">
        <f t="shared" si="172"/>
        <v>#N/A</v>
      </c>
      <c r="OXH43" s="380" t="e">
        <f t="shared" si="172"/>
        <v>#N/A</v>
      </c>
      <c r="OXI43" s="380" t="e">
        <f t="shared" si="172"/>
        <v>#N/A</v>
      </c>
      <c r="OXJ43" s="380" t="e">
        <f t="shared" si="172"/>
        <v>#N/A</v>
      </c>
      <c r="OXK43" s="380" t="e">
        <f t="shared" si="172"/>
        <v>#N/A</v>
      </c>
      <c r="OXL43" s="380" t="e">
        <f t="shared" si="172"/>
        <v>#N/A</v>
      </c>
      <c r="OXM43" s="380" t="e">
        <f t="shared" si="172"/>
        <v>#N/A</v>
      </c>
      <c r="OXN43" s="380" t="e">
        <f t="shared" si="172"/>
        <v>#N/A</v>
      </c>
      <c r="OXO43" s="380" t="e">
        <f t="shared" si="172"/>
        <v>#N/A</v>
      </c>
      <c r="OXP43" s="380" t="e">
        <f t="shared" si="172"/>
        <v>#N/A</v>
      </c>
      <c r="OXQ43" s="380" t="e">
        <f t="shared" si="172"/>
        <v>#N/A</v>
      </c>
      <c r="OXR43" s="380" t="e">
        <f t="shared" si="172"/>
        <v>#N/A</v>
      </c>
      <c r="OXS43" s="380" t="e">
        <f t="shared" si="172"/>
        <v>#N/A</v>
      </c>
      <c r="OXT43" s="380" t="e">
        <f t="shared" si="172"/>
        <v>#N/A</v>
      </c>
      <c r="OXU43" s="380" t="e">
        <f t="shared" si="172"/>
        <v>#N/A</v>
      </c>
      <c r="OXV43" s="380" t="e">
        <f t="shared" si="172"/>
        <v>#N/A</v>
      </c>
      <c r="OXW43" s="380" t="e">
        <f t="shared" si="172"/>
        <v>#N/A</v>
      </c>
      <c r="OXX43" s="380" t="e">
        <f t="shared" si="172"/>
        <v>#N/A</v>
      </c>
      <c r="OXY43" s="380" t="e">
        <f t="shared" si="172"/>
        <v>#N/A</v>
      </c>
      <c r="OXZ43" s="380" t="e">
        <f t="shared" si="172"/>
        <v>#N/A</v>
      </c>
      <c r="OYA43" s="380" t="e">
        <f t="shared" si="172"/>
        <v>#N/A</v>
      </c>
      <c r="OYB43" s="380" t="e">
        <f t="shared" si="172"/>
        <v>#N/A</v>
      </c>
      <c r="OYC43" s="380" t="e">
        <f t="shared" si="172"/>
        <v>#N/A</v>
      </c>
      <c r="OYD43" s="380" t="e">
        <f t="shared" si="172"/>
        <v>#N/A</v>
      </c>
      <c r="OYE43" s="380" t="e">
        <f t="shared" si="172"/>
        <v>#N/A</v>
      </c>
      <c r="OYF43" s="380" t="e">
        <f t="shared" si="172"/>
        <v>#N/A</v>
      </c>
      <c r="OYG43" s="380" t="e">
        <f t="shared" si="172"/>
        <v>#N/A</v>
      </c>
      <c r="OYH43" s="380" t="e">
        <f t="shared" si="172"/>
        <v>#N/A</v>
      </c>
      <c r="OYI43" s="380" t="e">
        <f t="shared" si="172"/>
        <v>#N/A</v>
      </c>
      <c r="OYJ43" s="380" t="e">
        <f t="shared" si="172"/>
        <v>#N/A</v>
      </c>
      <c r="OYK43" s="380" t="e">
        <f t="shared" si="172"/>
        <v>#N/A</v>
      </c>
      <c r="OYL43" s="380" t="e">
        <f t="shared" si="172"/>
        <v>#N/A</v>
      </c>
      <c r="OYM43" s="380" t="e">
        <f t="shared" si="172"/>
        <v>#N/A</v>
      </c>
      <c r="OYN43" s="380" t="e">
        <f t="shared" si="172"/>
        <v>#N/A</v>
      </c>
      <c r="OYO43" s="380" t="e">
        <f t="shared" si="172"/>
        <v>#N/A</v>
      </c>
      <c r="OYP43" s="380" t="e">
        <f t="shared" si="172"/>
        <v>#N/A</v>
      </c>
      <c r="OYQ43" s="380" t="e">
        <f t="shared" si="172"/>
        <v>#N/A</v>
      </c>
      <c r="OYR43" s="380" t="e">
        <f t="shared" si="172"/>
        <v>#N/A</v>
      </c>
      <c r="OYS43" s="380" t="e">
        <f t="shared" si="172"/>
        <v>#N/A</v>
      </c>
      <c r="OYT43" s="380" t="e">
        <f t="shared" si="172"/>
        <v>#N/A</v>
      </c>
      <c r="OYU43" s="380" t="e">
        <f t="shared" si="172"/>
        <v>#N/A</v>
      </c>
      <c r="OYV43" s="380" t="e">
        <f t="shared" si="172"/>
        <v>#N/A</v>
      </c>
      <c r="OYW43" s="380" t="e">
        <f t="shared" si="172"/>
        <v>#N/A</v>
      </c>
      <c r="OYX43" s="380" t="e">
        <f t="shared" si="172"/>
        <v>#N/A</v>
      </c>
      <c r="OYY43" s="380" t="e">
        <f t="shared" si="172"/>
        <v>#N/A</v>
      </c>
      <c r="OYZ43" s="380" t="e">
        <f t="shared" si="172"/>
        <v>#N/A</v>
      </c>
      <c r="OZA43" s="380" t="e">
        <f t="shared" si="172"/>
        <v>#N/A</v>
      </c>
      <c r="OZB43" s="380" t="e">
        <f t="shared" si="172"/>
        <v>#N/A</v>
      </c>
      <c r="OZC43" s="380" t="e">
        <f t="shared" si="172"/>
        <v>#N/A</v>
      </c>
      <c r="OZD43" s="380" t="e">
        <f t="shared" si="172"/>
        <v>#N/A</v>
      </c>
      <c r="OZE43" s="380" t="e">
        <f t="shared" si="172"/>
        <v>#N/A</v>
      </c>
      <c r="OZF43" s="380" t="e">
        <f t="shared" si="172"/>
        <v>#N/A</v>
      </c>
      <c r="OZG43" s="380" t="e">
        <f t="shared" si="172"/>
        <v>#N/A</v>
      </c>
      <c r="OZH43" s="380" t="e">
        <f t="shared" ref="OZH43:PBS43" si="173">INDEX(OZH7:OZH40,MATCH($E$43,$E$7:$E$40,0))</f>
        <v>#N/A</v>
      </c>
      <c r="OZI43" s="380" t="e">
        <f t="shared" si="173"/>
        <v>#N/A</v>
      </c>
      <c r="OZJ43" s="380" t="e">
        <f t="shared" si="173"/>
        <v>#N/A</v>
      </c>
      <c r="OZK43" s="380" t="e">
        <f t="shared" si="173"/>
        <v>#N/A</v>
      </c>
      <c r="OZL43" s="380" t="e">
        <f t="shared" si="173"/>
        <v>#N/A</v>
      </c>
      <c r="OZM43" s="380" t="e">
        <f t="shared" si="173"/>
        <v>#N/A</v>
      </c>
      <c r="OZN43" s="380" t="e">
        <f t="shared" si="173"/>
        <v>#N/A</v>
      </c>
      <c r="OZO43" s="380" t="e">
        <f t="shared" si="173"/>
        <v>#N/A</v>
      </c>
      <c r="OZP43" s="380" t="e">
        <f t="shared" si="173"/>
        <v>#N/A</v>
      </c>
      <c r="OZQ43" s="380" t="e">
        <f t="shared" si="173"/>
        <v>#N/A</v>
      </c>
      <c r="OZR43" s="380" t="e">
        <f t="shared" si="173"/>
        <v>#N/A</v>
      </c>
      <c r="OZS43" s="380" t="e">
        <f t="shared" si="173"/>
        <v>#N/A</v>
      </c>
      <c r="OZT43" s="380" t="e">
        <f t="shared" si="173"/>
        <v>#N/A</v>
      </c>
      <c r="OZU43" s="380" t="e">
        <f t="shared" si="173"/>
        <v>#N/A</v>
      </c>
      <c r="OZV43" s="380" t="e">
        <f t="shared" si="173"/>
        <v>#N/A</v>
      </c>
      <c r="OZW43" s="380" t="e">
        <f t="shared" si="173"/>
        <v>#N/A</v>
      </c>
      <c r="OZX43" s="380" t="e">
        <f t="shared" si="173"/>
        <v>#N/A</v>
      </c>
      <c r="OZY43" s="380" t="e">
        <f t="shared" si="173"/>
        <v>#N/A</v>
      </c>
      <c r="OZZ43" s="380" t="e">
        <f t="shared" si="173"/>
        <v>#N/A</v>
      </c>
      <c r="PAA43" s="380" t="e">
        <f t="shared" si="173"/>
        <v>#N/A</v>
      </c>
      <c r="PAB43" s="380" t="e">
        <f t="shared" si="173"/>
        <v>#N/A</v>
      </c>
      <c r="PAC43" s="380" t="e">
        <f t="shared" si="173"/>
        <v>#N/A</v>
      </c>
      <c r="PAD43" s="380" t="e">
        <f t="shared" si="173"/>
        <v>#N/A</v>
      </c>
      <c r="PAE43" s="380" t="e">
        <f t="shared" si="173"/>
        <v>#N/A</v>
      </c>
      <c r="PAF43" s="380" t="e">
        <f t="shared" si="173"/>
        <v>#N/A</v>
      </c>
      <c r="PAG43" s="380" t="e">
        <f t="shared" si="173"/>
        <v>#N/A</v>
      </c>
      <c r="PAH43" s="380" t="e">
        <f t="shared" si="173"/>
        <v>#N/A</v>
      </c>
      <c r="PAI43" s="380" t="e">
        <f t="shared" si="173"/>
        <v>#N/A</v>
      </c>
      <c r="PAJ43" s="380" t="e">
        <f t="shared" si="173"/>
        <v>#N/A</v>
      </c>
      <c r="PAK43" s="380" t="e">
        <f t="shared" si="173"/>
        <v>#N/A</v>
      </c>
      <c r="PAL43" s="380" t="e">
        <f t="shared" si="173"/>
        <v>#N/A</v>
      </c>
      <c r="PAM43" s="380" t="e">
        <f t="shared" si="173"/>
        <v>#N/A</v>
      </c>
      <c r="PAN43" s="380" t="e">
        <f t="shared" si="173"/>
        <v>#N/A</v>
      </c>
      <c r="PAO43" s="380" t="e">
        <f t="shared" si="173"/>
        <v>#N/A</v>
      </c>
      <c r="PAP43" s="380" t="e">
        <f t="shared" si="173"/>
        <v>#N/A</v>
      </c>
      <c r="PAQ43" s="380" t="e">
        <f t="shared" si="173"/>
        <v>#N/A</v>
      </c>
      <c r="PAR43" s="380" t="e">
        <f t="shared" si="173"/>
        <v>#N/A</v>
      </c>
      <c r="PAS43" s="380" t="e">
        <f t="shared" si="173"/>
        <v>#N/A</v>
      </c>
      <c r="PAT43" s="380" t="e">
        <f t="shared" si="173"/>
        <v>#N/A</v>
      </c>
      <c r="PAU43" s="380" t="e">
        <f t="shared" si="173"/>
        <v>#N/A</v>
      </c>
      <c r="PAV43" s="380" t="e">
        <f t="shared" si="173"/>
        <v>#N/A</v>
      </c>
      <c r="PAW43" s="380" t="e">
        <f t="shared" si="173"/>
        <v>#N/A</v>
      </c>
      <c r="PAX43" s="380" t="e">
        <f t="shared" si="173"/>
        <v>#N/A</v>
      </c>
      <c r="PAY43" s="380" t="e">
        <f t="shared" si="173"/>
        <v>#N/A</v>
      </c>
      <c r="PAZ43" s="380" t="e">
        <f t="shared" si="173"/>
        <v>#N/A</v>
      </c>
      <c r="PBA43" s="380" t="e">
        <f t="shared" si="173"/>
        <v>#N/A</v>
      </c>
      <c r="PBB43" s="380" t="e">
        <f t="shared" si="173"/>
        <v>#N/A</v>
      </c>
      <c r="PBC43" s="380" t="e">
        <f t="shared" si="173"/>
        <v>#N/A</v>
      </c>
      <c r="PBD43" s="380" t="e">
        <f t="shared" si="173"/>
        <v>#N/A</v>
      </c>
      <c r="PBE43" s="380" t="e">
        <f t="shared" si="173"/>
        <v>#N/A</v>
      </c>
      <c r="PBF43" s="380" t="e">
        <f t="shared" si="173"/>
        <v>#N/A</v>
      </c>
      <c r="PBG43" s="380" t="e">
        <f t="shared" si="173"/>
        <v>#N/A</v>
      </c>
      <c r="PBH43" s="380" t="e">
        <f t="shared" si="173"/>
        <v>#N/A</v>
      </c>
      <c r="PBI43" s="380" t="e">
        <f t="shared" si="173"/>
        <v>#N/A</v>
      </c>
      <c r="PBJ43" s="380" t="e">
        <f t="shared" si="173"/>
        <v>#N/A</v>
      </c>
      <c r="PBK43" s="380" t="e">
        <f t="shared" si="173"/>
        <v>#N/A</v>
      </c>
      <c r="PBL43" s="380" t="e">
        <f t="shared" si="173"/>
        <v>#N/A</v>
      </c>
      <c r="PBM43" s="380" t="e">
        <f t="shared" si="173"/>
        <v>#N/A</v>
      </c>
      <c r="PBN43" s="380" t="e">
        <f t="shared" si="173"/>
        <v>#N/A</v>
      </c>
      <c r="PBO43" s="380" t="e">
        <f t="shared" si="173"/>
        <v>#N/A</v>
      </c>
      <c r="PBP43" s="380" t="e">
        <f t="shared" si="173"/>
        <v>#N/A</v>
      </c>
      <c r="PBQ43" s="380" t="e">
        <f t="shared" si="173"/>
        <v>#N/A</v>
      </c>
      <c r="PBR43" s="380" t="e">
        <f t="shared" si="173"/>
        <v>#N/A</v>
      </c>
      <c r="PBS43" s="380" t="e">
        <f t="shared" si="173"/>
        <v>#N/A</v>
      </c>
      <c r="PBT43" s="380" t="e">
        <f t="shared" ref="PBT43:PEE43" si="174">INDEX(PBT7:PBT40,MATCH($E$43,$E$7:$E$40,0))</f>
        <v>#N/A</v>
      </c>
      <c r="PBU43" s="380" t="e">
        <f t="shared" si="174"/>
        <v>#N/A</v>
      </c>
      <c r="PBV43" s="380" t="e">
        <f t="shared" si="174"/>
        <v>#N/A</v>
      </c>
      <c r="PBW43" s="380" t="e">
        <f t="shared" si="174"/>
        <v>#N/A</v>
      </c>
      <c r="PBX43" s="380" t="e">
        <f t="shared" si="174"/>
        <v>#N/A</v>
      </c>
      <c r="PBY43" s="380" t="e">
        <f t="shared" si="174"/>
        <v>#N/A</v>
      </c>
      <c r="PBZ43" s="380" t="e">
        <f t="shared" si="174"/>
        <v>#N/A</v>
      </c>
      <c r="PCA43" s="380" t="e">
        <f t="shared" si="174"/>
        <v>#N/A</v>
      </c>
      <c r="PCB43" s="380" t="e">
        <f t="shared" si="174"/>
        <v>#N/A</v>
      </c>
      <c r="PCC43" s="380" t="e">
        <f t="shared" si="174"/>
        <v>#N/A</v>
      </c>
      <c r="PCD43" s="380" t="e">
        <f t="shared" si="174"/>
        <v>#N/A</v>
      </c>
      <c r="PCE43" s="380" t="e">
        <f t="shared" si="174"/>
        <v>#N/A</v>
      </c>
      <c r="PCF43" s="380" t="e">
        <f t="shared" si="174"/>
        <v>#N/A</v>
      </c>
      <c r="PCG43" s="380" t="e">
        <f t="shared" si="174"/>
        <v>#N/A</v>
      </c>
      <c r="PCH43" s="380" t="e">
        <f t="shared" si="174"/>
        <v>#N/A</v>
      </c>
      <c r="PCI43" s="380" t="e">
        <f t="shared" si="174"/>
        <v>#N/A</v>
      </c>
      <c r="PCJ43" s="380" t="e">
        <f t="shared" si="174"/>
        <v>#N/A</v>
      </c>
      <c r="PCK43" s="380" t="e">
        <f t="shared" si="174"/>
        <v>#N/A</v>
      </c>
      <c r="PCL43" s="380" t="e">
        <f t="shared" si="174"/>
        <v>#N/A</v>
      </c>
      <c r="PCM43" s="380" t="e">
        <f t="shared" si="174"/>
        <v>#N/A</v>
      </c>
      <c r="PCN43" s="380" t="e">
        <f t="shared" si="174"/>
        <v>#N/A</v>
      </c>
      <c r="PCO43" s="380" t="e">
        <f t="shared" si="174"/>
        <v>#N/A</v>
      </c>
      <c r="PCP43" s="380" t="e">
        <f t="shared" si="174"/>
        <v>#N/A</v>
      </c>
      <c r="PCQ43" s="380" t="e">
        <f t="shared" si="174"/>
        <v>#N/A</v>
      </c>
      <c r="PCR43" s="380" t="e">
        <f t="shared" si="174"/>
        <v>#N/A</v>
      </c>
      <c r="PCS43" s="380" t="e">
        <f t="shared" si="174"/>
        <v>#N/A</v>
      </c>
      <c r="PCT43" s="380" t="e">
        <f t="shared" si="174"/>
        <v>#N/A</v>
      </c>
      <c r="PCU43" s="380" t="e">
        <f t="shared" si="174"/>
        <v>#N/A</v>
      </c>
      <c r="PCV43" s="380" t="e">
        <f t="shared" si="174"/>
        <v>#N/A</v>
      </c>
      <c r="PCW43" s="380" t="e">
        <f t="shared" si="174"/>
        <v>#N/A</v>
      </c>
      <c r="PCX43" s="380" t="e">
        <f t="shared" si="174"/>
        <v>#N/A</v>
      </c>
      <c r="PCY43" s="380" t="e">
        <f t="shared" si="174"/>
        <v>#N/A</v>
      </c>
      <c r="PCZ43" s="380" t="e">
        <f t="shared" si="174"/>
        <v>#N/A</v>
      </c>
      <c r="PDA43" s="380" t="e">
        <f t="shared" si="174"/>
        <v>#N/A</v>
      </c>
      <c r="PDB43" s="380" t="e">
        <f t="shared" si="174"/>
        <v>#N/A</v>
      </c>
      <c r="PDC43" s="380" t="e">
        <f t="shared" si="174"/>
        <v>#N/A</v>
      </c>
      <c r="PDD43" s="380" t="e">
        <f t="shared" si="174"/>
        <v>#N/A</v>
      </c>
      <c r="PDE43" s="380" t="e">
        <f t="shared" si="174"/>
        <v>#N/A</v>
      </c>
      <c r="PDF43" s="380" t="e">
        <f t="shared" si="174"/>
        <v>#N/A</v>
      </c>
      <c r="PDG43" s="380" t="e">
        <f t="shared" si="174"/>
        <v>#N/A</v>
      </c>
      <c r="PDH43" s="380" t="e">
        <f t="shared" si="174"/>
        <v>#N/A</v>
      </c>
      <c r="PDI43" s="380" t="e">
        <f t="shared" si="174"/>
        <v>#N/A</v>
      </c>
      <c r="PDJ43" s="380" t="e">
        <f t="shared" si="174"/>
        <v>#N/A</v>
      </c>
      <c r="PDK43" s="380" t="e">
        <f t="shared" si="174"/>
        <v>#N/A</v>
      </c>
      <c r="PDL43" s="380" t="e">
        <f t="shared" si="174"/>
        <v>#N/A</v>
      </c>
      <c r="PDM43" s="380" t="e">
        <f t="shared" si="174"/>
        <v>#N/A</v>
      </c>
      <c r="PDN43" s="380" t="e">
        <f t="shared" si="174"/>
        <v>#N/A</v>
      </c>
      <c r="PDO43" s="380" t="e">
        <f t="shared" si="174"/>
        <v>#N/A</v>
      </c>
      <c r="PDP43" s="380" t="e">
        <f t="shared" si="174"/>
        <v>#N/A</v>
      </c>
      <c r="PDQ43" s="380" t="e">
        <f t="shared" si="174"/>
        <v>#N/A</v>
      </c>
      <c r="PDR43" s="380" t="e">
        <f t="shared" si="174"/>
        <v>#N/A</v>
      </c>
      <c r="PDS43" s="380" t="e">
        <f t="shared" si="174"/>
        <v>#N/A</v>
      </c>
      <c r="PDT43" s="380" t="e">
        <f t="shared" si="174"/>
        <v>#N/A</v>
      </c>
      <c r="PDU43" s="380" t="e">
        <f t="shared" si="174"/>
        <v>#N/A</v>
      </c>
      <c r="PDV43" s="380" t="e">
        <f t="shared" si="174"/>
        <v>#N/A</v>
      </c>
      <c r="PDW43" s="380" t="e">
        <f t="shared" si="174"/>
        <v>#N/A</v>
      </c>
      <c r="PDX43" s="380" t="e">
        <f t="shared" si="174"/>
        <v>#N/A</v>
      </c>
      <c r="PDY43" s="380" t="e">
        <f t="shared" si="174"/>
        <v>#N/A</v>
      </c>
      <c r="PDZ43" s="380" t="e">
        <f t="shared" si="174"/>
        <v>#N/A</v>
      </c>
      <c r="PEA43" s="380" t="e">
        <f t="shared" si="174"/>
        <v>#N/A</v>
      </c>
      <c r="PEB43" s="380" t="e">
        <f t="shared" si="174"/>
        <v>#N/A</v>
      </c>
      <c r="PEC43" s="380" t="e">
        <f t="shared" si="174"/>
        <v>#N/A</v>
      </c>
      <c r="PED43" s="380" t="e">
        <f t="shared" si="174"/>
        <v>#N/A</v>
      </c>
      <c r="PEE43" s="380" t="e">
        <f t="shared" si="174"/>
        <v>#N/A</v>
      </c>
      <c r="PEF43" s="380" t="e">
        <f t="shared" ref="PEF43:PGQ43" si="175">INDEX(PEF7:PEF40,MATCH($E$43,$E$7:$E$40,0))</f>
        <v>#N/A</v>
      </c>
      <c r="PEG43" s="380" t="e">
        <f t="shared" si="175"/>
        <v>#N/A</v>
      </c>
      <c r="PEH43" s="380" t="e">
        <f t="shared" si="175"/>
        <v>#N/A</v>
      </c>
      <c r="PEI43" s="380" t="e">
        <f t="shared" si="175"/>
        <v>#N/A</v>
      </c>
      <c r="PEJ43" s="380" t="e">
        <f t="shared" si="175"/>
        <v>#N/A</v>
      </c>
      <c r="PEK43" s="380" t="e">
        <f t="shared" si="175"/>
        <v>#N/A</v>
      </c>
      <c r="PEL43" s="380" t="e">
        <f t="shared" si="175"/>
        <v>#N/A</v>
      </c>
      <c r="PEM43" s="380" t="e">
        <f t="shared" si="175"/>
        <v>#N/A</v>
      </c>
      <c r="PEN43" s="380" t="e">
        <f t="shared" si="175"/>
        <v>#N/A</v>
      </c>
      <c r="PEO43" s="380" t="e">
        <f t="shared" si="175"/>
        <v>#N/A</v>
      </c>
      <c r="PEP43" s="380" t="e">
        <f t="shared" si="175"/>
        <v>#N/A</v>
      </c>
      <c r="PEQ43" s="380" t="e">
        <f t="shared" si="175"/>
        <v>#N/A</v>
      </c>
      <c r="PER43" s="380" t="e">
        <f t="shared" si="175"/>
        <v>#N/A</v>
      </c>
      <c r="PES43" s="380" t="e">
        <f t="shared" si="175"/>
        <v>#N/A</v>
      </c>
      <c r="PET43" s="380" t="e">
        <f t="shared" si="175"/>
        <v>#N/A</v>
      </c>
      <c r="PEU43" s="380" t="e">
        <f t="shared" si="175"/>
        <v>#N/A</v>
      </c>
      <c r="PEV43" s="380" t="e">
        <f t="shared" si="175"/>
        <v>#N/A</v>
      </c>
      <c r="PEW43" s="380" t="e">
        <f t="shared" si="175"/>
        <v>#N/A</v>
      </c>
      <c r="PEX43" s="380" t="e">
        <f t="shared" si="175"/>
        <v>#N/A</v>
      </c>
      <c r="PEY43" s="380" t="e">
        <f t="shared" si="175"/>
        <v>#N/A</v>
      </c>
      <c r="PEZ43" s="380" t="e">
        <f t="shared" si="175"/>
        <v>#N/A</v>
      </c>
      <c r="PFA43" s="380" t="e">
        <f t="shared" si="175"/>
        <v>#N/A</v>
      </c>
      <c r="PFB43" s="380" t="e">
        <f t="shared" si="175"/>
        <v>#N/A</v>
      </c>
      <c r="PFC43" s="380" t="e">
        <f t="shared" si="175"/>
        <v>#N/A</v>
      </c>
      <c r="PFD43" s="380" t="e">
        <f t="shared" si="175"/>
        <v>#N/A</v>
      </c>
      <c r="PFE43" s="380" t="e">
        <f t="shared" si="175"/>
        <v>#N/A</v>
      </c>
      <c r="PFF43" s="380" t="e">
        <f t="shared" si="175"/>
        <v>#N/A</v>
      </c>
      <c r="PFG43" s="380" t="e">
        <f t="shared" si="175"/>
        <v>#N/A</v>
      </c>
      <c r="PFH43" s="380" t="e">
        <f t="shared" si="175"/>
        <v>#N/A</v>
      </c>
      <c r="PFI43" s="380" t="e">
        <f t="shared" si="175"/>
        <v>#N/A</v>
      </c>
      <c r="PFJ43" s="380" t="e">
        <f t="shared" si="175"/>
        <v>#N/A</v>
      </c>
      <c r="PFK43" s="380" t="e">
        <f t="shared" si="175"/>
        <v>#N/A</v>
      </c>
      <c r="PFL43" s="380" t="e">
        <f t="shared" si="175"/>
        <v>#N/A</v>
      </c>
      <c r="PFM43" s="380" t="e">
        <f t="shared" si="175"/>
        <v>#N/A</v>
      </c>
      <c r="PFN43" s="380" t="e">
        <f t="shared" si="175"/>
        <v>#N/A</v>
      </c>
      <c r="PFO43" s="380" t="e">
        <f t="shared" si="175"/>
        <v>#N/A</v>
      </c>
      <c r="PFP43" s="380" t="e">
        <f t="shared" si="175"/>
        <v>#N/A</v>
      </c>
      <c r="PFQ43" s="380" t="e">
        <f t="shared" si="175"/>
        <v>#N/A</v>
      </c>
      <c r="PFR43" s="380" t="e">
        <f t="shared" si="175"/>
        <v>#N/A</v>
      </c>
      <c r="PFS43" s="380" t="e">
        <f t="shared" si="175"/>
        <v>#N/A</v>
      </c>
      <c r="PFT43" s="380" t="e">
        <f t="shared" si="175"/>
        <v>#N/A</v>
      </c>
      <c r="PFU43" s="380" t="e">
        <f t="shared" si="175"/>
        <v>#N/A</v>
      </c>
      <c r="PFV43" s="380" t="e">
        <f t="shared" si="175"/>
        <v>#N/A</v>
      </c>
      <c r="PFW43" s="380" t="e">
        <f t="shared" si="175"/>
        <v>#N/A</v>
      </c>
      <c r="PFX43" s="380" t="e">
        <f t="shared" si="175"/>
        <v>#N/A</v>
      </c>
      <c r="PFY43" s="380" t="e">
        <f t="shared" si="175"/>
        <v>#N/A</v>
      </c>
      <c r="PFZ43" s="380" t="e">
        <f t="shared" si="175"/>
        <v>#N/A</v>
      </c>
      <c r="PGA43" s="380" t="e">
        <f t="shared" si="175"/>
        <v>#N/A</v>
      </c>
      <c r="PGB43" s="380" t="e">
        <f t="shared" si="175"/>
        <v>#N/A</v>
      </c>
      <c r="PGC43" s="380" t="e">
        <f t="shared" si="175"/>
        <v>#N/A</v>
      </c>
      <c r="PGD43" s="380" t="e">
        <f t="shared" si="175"/>
        <v>#N/A</v>
      </c>
      <c r="PGE43" s="380" t="e">
        <f t="shared" si="175"/>
        <v>#N/A</v>
      </c>
      <c r="PGF43" s="380" t="e">
        <f t="shared" si="175"/>
        <v>#N/A</v>
      </c>
      <c r="PGG43" s="380" t="e">
        <f t="shared" si="175"/>
        <v>#N/A</v>
      </c>
      <c r="PGH43" s="380" t="e">
        <f t="shared" si="175"/>
        <v>#N/A</v>
      </c>
      <c r="PGI43" s="380" t="e">
        <f t="shared" si="175"/>
        <v>#N/A</v>
      </c>
      <c r="PGJ43" s="380" t="e">
        <f t="shared" si="175"/>
        <v>#N/A</v>
      </c>
      <c r="PGK43" s="380" t="e">
        <f t="shared" si="175"/>
        <v>#N/A</v>
      </c>
      <c r="PGL43" s="380" t="e">
        <f t="shared" si="175"/>
        <v>#N/A</v>
      </c>
      <c r="PGM43" s="380" t="e">
        <f t="shared" si="175"/>
        <v>#N/A</v>
      </c>
      <c r="PGN43" s="380" t="e">
        <f t="shared" si="175"/>
        <v>#N/A</v>
      </c>
      <c r="PGO43" s="380" t="e">
        <f t="shared" si="175"/>
        <v>#N/A</v>
      </c>
      <c r="PGP43" s="380" t="e">
        <f t="shared" si="175"/>
        <v>#N/A</v>
      </c>
      <c r="PGQ43" s="380" t="e">
        <f t="shared" si="175"/>
        <v>#N/A</v>
      </c>
      <c r="PGR43" s="380" t="e">
        <f t="shared" ref="PGR43:PJC43" si="176">INDEX(PGR7:PGR40,MATCH($E$43,$E$7:$E$40,0))</f>
        <v>#N/A</v>
      </c>
      <c r="PGS43" s="380" t="e">
        <f t="shared" si="176"/>
        <v>#N/A</v>
      </c>
      <c r="PGT43" s="380" t="e">
        <f t="shared" si="176"/>
        <v>#N/A</v>
      </c>
      <c r="PGU43" s="380" t="e">
        <f t="shared" si="176"/>
        <v>#N/A</v>
      </c>
      <c r="PGV43" s="380" t="e">
        <f t="shared" si="176"/>
        <v>#N/A</v>
      </c>
      <c r="PGW43" s="380" t="e">
        <f t="shared" si="176"/>
        <v>#N/A</v>
      </c>
      <c r="PGX43" s="380" t="e">
        <f t="shared" si="176"/>
        <v>#N/A</v>
      </c>
      <c r="PGY43" s="380" t="e">
        <f t="shared" si="176"/>
        <v>#N/A</v>
      </c>
      <c r="PGZ43" s="380" t="e">
        <f t="shared" si="176"/>
        <v>#N/A</v>
      </c>
      <c r="PHA43" s="380" t="e">
        <f t="shared" si="176"/>
        <v>#N/A</v>
      </c>
      <c r="PHB43" s="380" t="e">
        <f t="shared" si="176"/>
        <v>#N/A</v>
      </c>
      <c r="PHC43" s="380" t="e">
        <f t="shared" si="176"/>
        <v>#N/A</v>
      </c>
      <c r="PHD43" s="380" t="e">
        <f t="shared" si="176"/>
        <v>#N/A</v>
      </c>
      <c r="PHE43" s="380" t="e">
        <f t="shared" si="176"/>
        <v>#N/A</v>
      </c>
      <c r="PHF43" s="380" t="e">
        <f t="shared" si="176"/>
        <v>#N/A</v>
      </c>
      <c r="PHG43" s="380" t="e">
        <f t="shared" si="176"/>
        <v>#N/A</v>
      </c>
      <c r="PHH43" s="380" t="e">
        <f t="shared" si="176"/>
        <v>#N/A</v>
      </c>
      <c r="PHI43" s="380" t="e">
        <f t="shared" si="176"/>
        <v>#N/A</v>
      </c>
      <c r="PHJ43" s="380" t="e">
        <f t="shared" si="176"/>
        <v>#N/A</v>
      </c>
      <c r="PHK43" s="380" t="e">
        <f t="shared" si="176"/>
        <v>#N/A</v>
      </c>
      <c r="PHL43" s="380" t="e">
        <f t="shared" si="176"/>
        <v>#N/A</v>
      </c>
      <c r="PHM43" s="380" t="e">
        <f t="shared" si="176"/>
        <v>#N/A</v>
      </c>
      <c r="PHN43" s="380" t="e">
        <f t="shared" si="176"/>
        <v>#N/A</v>
      </c>
      <c r="PHO43" s="380" t="e">
        <f t="shared" si="176"/>
        <v>#N/A</v>
      </c>
      <c r="PHP43" s="380" t="e">
        <f t="shared" si="176"/>
        <v>#N/A</v>
      </c>
      <c r="PHQ43" s="380" t="e">
        <f t="shared" si="176"/>
        <v>#N/A</v>
      </c>
      <c r="PHR43" s="380" t="e">
        <f t="shared" si="176"/>
        <v>#N/A</v>
      </c>
      <c r="PHS43" s="380" t="e">
        <f t="shared" si="176"/>
        <v>#N/A</v>
      </c>
      <c r="PHT43" s="380" t="e">
        <f t="shared" si="176"/>
        <v>#N/A</v>
      </c>
      <c r="PHU43" s="380" t="e">
        <f t="shared" si="176"/>
        <v>#N/A</v>
      </c>
      <c r="PHV43" s="380" t="e">
        <f t="shared" si="176"/>
        <v>#N/A</v>
      </c>
      <c r="PHW43" s="380" t="e">
        <f t="shared" si="176"/>
        <v>#N/A</v>
      </c>
      <c r="PHX43" s="380" t="e">
        <f t="shared" si="176"/>
        <v>#N/A</v>
      </c>
      <c r="PHY43" s="380" t="e">
        <f t="shared" si="176"/>
        <v>#N/A</v>
      </c>
      <c r="PHZ43" s="380" t="e">
        <f t="shared" si="176"/>
        <v>#N/A</v>
      </c>
      <c r="PIA43" s="380" t="e">
        <f t="shared" si="176"/>
        <v>#N/A</v>
      </c>
      <c r="PIB43" s="380" t="e">
        <f t="shared" si="176"/>
        <v>#N/A</v>
      </c>
      <c r="PIC43" s="380" t="e">
        <f t="shared" si="176"/>
        <v>#N/A</v>
      </c>
      <c r="PID43" s="380" t="e">
        <f t="shared" si="176"/>
        <v>#N/A</v>
      </c>
      <c r="PIE43" s="380" t="e">
        <f t="shared" si="176"/>
        <v>#N/A</v>
      </c>
      <c r="PIF43" s="380" t="e">
        <f t="shared" si="176"/>
        <v>#N/A</v>
      </c>
      <c r="PIG43" s="380" t="e">
        <f t="shared" si="176"/>
        <v>#N/A</v>
      </c>
      <c r="PIH43" s="380" t="e">
        <f t="shared" si="176"/>
        <v>#N/A</v>
      </c>
      <c r="PII43" s="380" t="e">
        <f t="shared" si="176"/>
        <v>#N/A</v>
      </c>
      <c r="PIJ43" s="380" t="e">
        <f t="shared" si="176"/>
        <v>#N/A</v>
      </c>
      <c r="PIK43" s="380" t="e">
        <f t="shared" si="176"/>
        <v>#N/A</v>
      </c>
      <c r="PIL43" s="380" t="e">
        <f t="shared" si="176"/>
        <v>#N/A</v>
      </c>
      <c r="PIM43" s="380" t="e">
        <f t="shared" si="176"/>
        <v>#N/A</v>
      </c>
      <c r="PIN43" s="380" t="e">
        <f t="shared" si="176"/>
        <v>#N/A</v>
      </c>
      <c r="PIO43" s="380" t="e">
        <f t="shared" si="176"/>
        <v>#N/A</v>
      </c>
      <c r="PIP43" s="380" t="e">
        <f t="shared" si="176"/>
        <v>#N/A</v>
      </c>
      <c r="PIQ43" s="380" t="e">
        <f t="shared" si="176"/>
        <v>#N/A</v>
      </c>
      <c r="PIR43" s="380" t="e">
        <f t="shared" si="176"/>
        <v>#N/A</v>
      </c>
      <c r="PIS43" s="380" t="e">
        <f t="shared" si="176"/>
        <v>#N/A</v>
      </c>
      <c r="PIT43" s="380" t="e">
        <f t="shared" si="176"/>
        <v>#N/A</v>
      </c>
      <c r="PIU43" s="380" t="e">
        <f t="shared" si="176"/>
        <v>#N/A</v>
      </c>
      <c r="PIV43" s="380" t="e">
        <f t="shared" si="176"/>
        <v>#N/A</v>
      </c>
      <c r="PIW43" s="380" t="e">
        <f t="shared" si="176"/>
        <v>#N/A</v>
      </c>
      <c r="PIX43" s="380" t="e">
        <f t="shared" si="176"/>
        <v>#N/A</v>
      </c>
      <c r="PIY43" s="380" t="e">
        <f t="shared" si="176"/>
        <v>#N/A</v>
      </c>
      <c r="PIZ43" s="380" t="e">
        <f t="shared" si="176"/>
        <v>#N/A</v>
      </c>
      <c r="PJA43" s="380" t="e">
        <f t="shared" si="176"/>
        <v>#N/A</v>
      </c>
      <c r="PJB43" s="380" t="e">
        <f t="shared" si="176"/>
        <v>#N/A</v>
      </c>
      <c r="PJC43" s="380" t="e">
        <f t="shared" si="176"/>
        <v>#N/A</v>
      </c>
      <c r="PJD43" s="380" t="e">
        <f t="shared" ref="PJD43:PLO43" si="177">INDEX(PJD7:PJD40,MATCH($E$43,$E$7:$E$40,0))</f>
        <v>#N/A</v>
      </c>
      <c r="PJE43" s="380" t="e">
        <f t="shared" si="177"/>
        <v>#N/A</v>
      </c>
      <c r="PJF43" s="380" t="e">
        <f t="shared" si="177"/>
        <v>#N/A</v>
      </c>
      <c r="PJG43" s="380" t="e">
        <f t="shared" si="177"/>
        <v>#N/A</v>
      </c>
      <c r="PJH43" s="380" t="e">
        <f t="shared" si="177"/>
        <v>#N/A</v>
      </c>
      <c r="PJI43" s="380" t="e">
        <f t="shared" si="177"/>
        <v>#N/A</v>
      </c>
      <c r="PJJ43" s="380" t="e">
        <f t="shared" si="177"/>
        <v>#N/A</v>
      </c>
      <c r="PJK43" s="380" t="e">
        <f t="shared" si="177"/>
        <v>#N/A</v>
      </c>
      <c r="PJL43" s="380" t="e">
        <f t="shared" si="177"/>
        <v>#N/A</v>
      </c>
      <c r="PJM43" s="380" t="e">
        <f t="shared" si="177"/>
        <v>#N/A</v>
      </c>
      <c r="PJN43" s="380" t="e">
        <f t="shared" si="177"/>
        <v>#N/A</v>
      </c>
      <c r="PJO43" s="380" t="e">
        <f t="shared" si="177"/>
        <v>#N/A</v>
      </c>
      <c r="PJP43" s="380" t="e">
        <f t="shared" si="177"/>
        <v>#N/A</v>
      </c>
      <c r="PJQ43" s="380" t="e">
        <f t="shared" si="177"/>
        <v>#N/A</v>
      </c>
      <c r="PJR43" s="380" t="e">
        <f t="shared" si="177"/>
        <v>#N/A</v>
      </c>
      <c r="PJS43" s="380" t="e">
        <f t="shared" si="177"/>
        <v>#N/A</v>
      </c>
      <c r="PJT43" s="380" t="e">
        <f t="shared" si="177"/>
        <v>#N/A</v>
      </c>
      <c r="PJU43" s="380" t="e">
        <f t="shared" si="177"/>
        <v>#N/A</v>
      </c>
      <c r="PJV43" s="380" t="e">
        <f t="shared" si="177"/>
        <v>#N/A</v>
      </c>
      <c r="PJW43" s="380" t="e">
        <f t="shared" si="177"/>
        <v>#N/A</v>
      </c>
      <c r="PJX43" s="380" t="e">
        <f t="shared" si="177"/>
        <v>#N/A</v>
      </c>
      <c r="PJY43" s="380" t="e">
        <f t="shared" si="177"/>
        <v>#N/A</v>
      </c>
      <c r="PJZ43" s="380" t="e">
        <f t="shared" si="177"/>
        <v>#N/A</v>
      </c>
      <c r="PKA43" s="380" t="e">
        <f t="shared" si="177"/>
        <v>#N/A</v>
      </c>
      <c r="PKB43" s="380" t="e">
        <f t="shared" si="177"/>
        <v>#N/A</v>
      </c>
      <c r="PKC43" s="380" t="e">
        <f t="shared" si="177"/>
        <v>#N/A</v>
      </c>
      <c r="PKD43" s="380" t="e">
        <f t="shared" si="177"/>
        <v>#N/A</v>
      </c>
      <c r="PKE43" s="380" t="e">
        <f t="shared" si="177"/>
        <v>#N/A</v>
      </c>
      <c r="PKF43" s="380" t="e">
        <f t="shared" si="177"/>
        <v>#N/A</v>
      </c>
      <c r="PKG43" s="380" t="e">
        <f t="shared" si="177"/>
        <v>#N/A</v>
      </c>
      <c r="PKH43" s="380" t="e">
        <f t="shared" si="177"/>
        <v>#N/A</v>
      </c>
      <c r="PKI43" s="380" t="e">
        <f t="shared" si="177"/>
        <v>#N/A</v>
      </c>
      <c r="PKJ43" s="380" t="e">
        <f t="shared" si="177"/>
        <v>#N/A</v>
      </c>
      <c r="PKK43" s="380" t="e">
        <f t="shared" si="177"/>
        <v>#N/A</v>
      </c>
      <c r="PKL43" s="380" t="e">
        <f t="shared" si="177"/>
        <v>#N/A</v>
      </c>
      <c r="PKM43" s="380" t="e">
        <f t="shared" si="177"/>
        <v>#N/A</v>
      </c>
      <c r="PKN43" s="380" t="e">
        <f t="shared" si="177"/>
        <v>#N/A</v>
      </c>
      <c r="PKO43" s="380" t="e">
        <f t="shared" si="177"/>
        <v>#N/A</v>
      </c>
      <c r="PKP43" s="380" t="e">
        <f t="shared" si="177"/>
        <v>#N/A</v>
      </c>
      <c r="PKQ43" s="380" t="e">
        <f t="shared" si="177"/>
        <v>#N/A</v>
      </c>
      <c r="PKR43" s="380" t="e">
        <f t="shared" si="177"/>
        <v>#N/A</v>
      </c>
      <c r="PKS43" s="380" t="e">
        <f t="shared" si="177"/>
        <v>#N/A</v>
      </c>
      <c r="PKT43" s="380" t="e">
        <f t="shared" si="177"/>
        <v>#N/A</v>
      </c>
      <c r="PKU43" s="380" t="e">
        <f t="shared" si="177"/>
        <v>#N/A</v>
      </c>
      <c r="PKV43" s="380" t="e">
        <f t="shared" si="177"/>
        <v>#N/A</v>
      </c>
      <c r="PKW43" s="380" t="e">
        <f t="shared" si="177"/>
        <v>#N/A</v>
      </c>
      <c r="PKX43" s="380" t="e">
        <f t="shared" si="177"/>
        <v>#N/A</v>
      </c>
      <c r="PKY43" s="380" t="e">
        <f t="shared" si="177"/>
        <v>#N/A</v>
      </c>
      <c r="PKZ43" s="380" t="e">
        <f t="shared" si="177"/>
        <v>#N/A</v>
      </c>
      <c r="PLA43" s="380" t="e">
        <f t="shared" si="177"/>
        <v>#N/A</v>
      </c>
      <c r="PLB43" s="380" t="e">
        <f t="shared" si="177"/>
        <v>#N/A</v>
      </c>
      <c r="PLC43" s="380" t="e">
        <f t="shared" si="177"/>
        <v>#N/A</v>
      </c>
      <c r="PLD43" s="380" t="e">
        <f t="shared" si="177"/>
        <v>#N/A</v>
      </c>
      <c r="PLE43" s="380" t="e">
        <f t="shared" si="177"/>
        <v>#N/A</v>
      </c>
      <c r="PLF43" s="380" t="e">
        <f t="shared" si="177"/>
        <v>#N/A</v>
      </c>
      <c r="PLG43" s="380" t="e">
        <f t="shared" si="177"/>
        <v>#N/A</v>
      </c>
      <c r="PLH43" s="380" t="e">
        <f t="shared" si="177"/>
        <v>#N/A</v>
      </c>
      <c r="PLI43" s="380" t="e">
        <f t="shared" si="177"/>
        <v>#N/A</v>
      </c>
      <c r="PLJ43" s="380" t="e">
        <f t="shared" si="177"/>
        <v>#N/A</v>
      </c>
      <c r="PLK43" s="380" t="e">
        <f t="shared" si="177"/>
        <v>#N/A</v>
      </c>
      <c r="PLL43" s="380" t="e">
        <f t="shared" si="177"/>
        <v>#N/A</v>
      </c>
      <c r="PLM43" s="380" t="e">
        <f t="shared" si="177"/>
        <v>#N/A</v>
      </c>
      <c r="PLN43" s="380" t="e">
        <f t="shared" si="177"/>
        <v>#N/A</v>
      </c>
      <c r="PLO43" s="380" t="e">
        <f t="shared" si="177"/>
        <v>#N/A</v>
      </c>
      <c r="PLP43" s="380" t="e">
        <f t="shared" ref="PLP43:POA43" si="178">INDEX(PLP7:PLP40,MATCH($E$43,$E$7:$E$40,0))</f>
        <v>#N/A</v>
      </c>
      <c r="PLQ43" s="380" t="e">
        <f t="shared" si="178"/>
        <v>#N/A</v>
      </c>
      <c r="PLR43" s="380" t="e">
        <f t="shared" si="178"/>
        <v>#N/A</v>
      </c>
      <c r="PLS43" s="380" t="e">
        <f t="shared" si="178"/>
        <v>#N/A</v>
      </c>
      <c r="PLT43" s="380" t="e">
        <f t="shared" si="178"/>
        <v>#N/A</v>
      </c>
      <c r="PLU43" s="380" t="e">
        <f t="shared" si="178"/>
        <v>#N/A</v>
      </c>
      <c r="PLV43" s="380" t="e">
        <f t="shared" si="178"/>
        <v>#N/A</v>
      </c>
      <c r="PLW43" s="380" t="e">
        <f t="shared" si="178"/>
        <v>#N/A</v>
      </c>
      <c r="PLX43" s="380" t="e">
        <f t="shared" si="178"/>
        <v>#N/A</v>
      </c>
      <c r="PLY43" s="380" t="e">
        <f t="shared" si="178"/>
        <v>#N/A</v>
      </c>
      <c r="PLZ43" s="380" t="e">
        <f t="shared" si="178"/>
        <v>#N/A</v>
      </c>
      <c r="PMA43" s="380" t="e">
        <f t="shared" si="178"/>
        <v>#N/A</v>
      </c>
      <c r="PMB43" s="380" t="e">
        <f t="shared" si="178"/>
        <v>#N/A</v>
      </c>
      <c r="PMC43" s="380" t="e">
        <f t="shared" si="178"/>
        <v>#N/A</v>
      </c>
      <c r="PMD43" s="380" t="e">
        <f t="shared" si="178"/>
        <v>#N/A</v>
      </c>
      <c r="PME43" s="380" t="e">
        <f t="shared" si="178"/>
        <v>#N/A</v>
      </c>
      <c r="PMF43" s="380" t="e">
        <f t="shared" si="178"/>
        <v>#N/A</v>
      </c>
      <c r="PMG43" s="380" t="e">
        <f t="shared" si="178"/>
        <v>#N/A</v>
      </c>
      <c r="PMH43" s="380" t="e">
        <f t="shared" si="178"/>
        <v>#N/A</v>
      </c>
      <c r="PMI43" s="380" t="e">
        <f t="shared" si="178"/>
        <v>#N/A</v>
      </c>
      <c r="PMJ43" s="380" t="e">
        <f t="shared" si="178"/>
        <v>#N/A</v>
      </c>
      <c r="PMK43" s="380" t="e">
        <f t="shared" si="178"/>
        <v>#N/A</v>
      </c>
      <c r="PML43" s="380" t="e">
        <f t="shared" si="178"/>
        <v>#N/A</v>
      </c>
      <c r="PMM43" s="380" t="e">
        <f t="shared" si="178"/>
        <v>#N/A</v>
      </c>
      <c r="PMN43" s="380" t="e">
        <f t="shared" si="178"/>
        <v>#N/A</v>
      </c>
      <c r="PMO43" s="380" t="e">
        <f t="shared" si="178"/>
        <v>#N/A</v>
      </c>
      <c r="PMP43" s="380" t="e">
        <f t="shared" si="178"/>
        <v>#N/A</v>
      </c>
      <c r="PMQ43" s="380" t="e">
        <f t="shared" si="178"/>
        <v>#N/A</v>
      </c>
      <c r="PMR43" s="380" t="e">
        <f t="shared" si="178"/>
        <v>#N/A</v>
      </c>
      <c r="PMS43" s="380" t="e">
        <f t="shared" si="178"/>
        <v>#N/A</v>
      </c>
      <c r="PMT43" s="380" t="e">
        <f t="shared" si="178"/>
        <v>#N/A</v>
      </c>
      <c r="PMU43" s="380" t="e">
        <f t="shared" si="178"/>
        <v>#N/A</v>
      </c>
      <c r="PMV43" s="380" t="e">
        <f t="shared" si="178"/>
        <v>#N/A</v>
      </c>
      <c r="PMW43" s="380" t="e">
        <f t="shared" si="178"/>
        <v>#N/A</v>
      </c>
      <c r="PMX43" s="380" t="e">
        <f t="shared" si="178"/>
        <v>#N/A</v>
      </c>
      <c r="PMY43" s="380" t="e">
        <f t="shared" si="178"/>
        <v>#N/A</v>
      </c>
      <c r="PMZ43" s="380" t="e">
        <f t="shared" si="178"/>
        <v>#N/A</v>
      </c>
      <c r="PNA43" s="380" t="e">
        <f t="shared" si="178"/>
        <v>#N/A</v>
      </c>
      <c r="PNB43" s="380" t="e">
        <f t="shared" si="178"/>
        <v>#N/A</v>
      </c>
      <c r="PNC43" s="380" t="e">
        <f t="shared" si="178"/>
        <v>#N/A</v>
      </c>
      <c r="PND43" s="380" t="e">
        <f t="shared" si="178"/>
        <v>#N/A</v>
      </c>
      <c r="PNE43" s="380" t="e">
        <f t="shared" si="178"/>
        <v>#N/A</v>
      </c>
      <c r="PNF43" s="380" t="e">
        <f t="shared" si="178"/>
        <v>#N/A</v>
      </c>
      <c r="PNG43" s="380" t="e">
        <f t="shared" si="178"/>
        <v>#N/A</v>
      </c>
      <c r="PNH43" s="380" t="e">
        <f t="shared" si="178"/>
        <v>#N/A</v>
      </c>
      <c r="PNI43" s="380" t="e">
        <f t="shared" si="178"/>
        <v>#N/A</v>
      </c>
      <c r="PNJ43" s="380" t="e">
        <f t="shared" si="178"/>
        <v>#N/A</v>
      </c>
      <c r="PNK43" s="380" t="e">
        <f t="shared" si="178"/>
        <v>#N/A</v>
      </c>
      <c r="PNL43" s="380" t="e">
        <f t="shared" si="178"/>
        <v>#N/A</v>
      </c>
      <c r="PNM43" s="380" t="e">
        <f t="shared" si="178"/>
        <v>#N/A</v>
      </c>
      <c r="PNN43" s="380" t="e">
        <f t="shared" si="178"/>
        <v>#N/A</v>
      </c>
      <c r="PNO43" s="380" t="e">
        <f t="shared" si="178"/>
        <v>#N/A</v>
      </c>
      <c r="PNP43" s="380" t="e">
        <f t="shared" si="178"/>
        <v>#N/A</v>
      </c>
      <c r="PNQ43" s="380" t="e">
        <f t="shared" si="178"/>
        <v>#N/A</v>
      </c>
      <c r="PNR43" s="380" t="e">
        <f t="shared" si="178"/>
        <v>#N/A</v>
      </c>
      <c r="PNS43" s="380" t="e">
        <f t="shared" si="178"/>
        <v>#N/A</v>
      </c>
      <c r="PNT43" s="380" t="e">
        <f t="shared" si="178"/>
        <v>#N/A</v>
      </c>
      <c r="PNU43" s="380" t="e">
        <f t="shared" si="178"/>
        <v>#N/A</v>
      </c>
      <c r="PNV43" s="380" t="e">
        <f t="shared" si="178"/>
        <v>#N/A</v>
      </c>
      <c r="PNW43" s="380" t="e">
        <f t="shared" si="178"/>
        <v>#N/A</v>
      </c>
      <c r="PNX43" s="380" t="e">
        <f t="shared" si="178"/>
        <v>#N/A</v>
      </c>
      <c r="PNY43" s="380" t="e">
        <f t="shared" si="178"/>
        <v>#N/A</v>
      </c>
      <c r="PNZ43" s="380" t="e">
        <f t="shared" si="178"/>
        <v>#N/A</v>
      </c>
      <c r="POA43" s="380" t="e">
        <f t="shared" si="178"/>
        <v>#N/A</v>
      </c>
      <c r="POB43" s="380" t="e">
        <f t="shared" ref="POB43:PQM43" si="179">INDEX(POB7:POB40,MATCH($E$43,$E$7:$E$40,0))</f>
        <v>#N/A</v>
      </c>
      <c r="POC43" s="380" t="e">
        <f t="shared" si="179"/>
        <v>#N/A</v>
      </c>
      <c r="POD43" s="380" t="e">
        <f t="shared" si="179"/>
        <v>#N/A</v>
      </c>
      <c r="POE43" s="380" t="e">
        <f t="shared" si="179"/>
        <v>#N/A</v>
      </c>
      <c r="POF43" s="380" t="e">
        <f t="shared" si="179"/>
        <v>#N/A</v>
      </c>
      <c r="POG43" s="380" t="e">
        <f t="shared" si="179"/>
        <v>#N/A</v>
      </c>
      <c r="POH43" s="380" t="e">
        <f t="shared" si="179"/>
        <v>#N/A</v>
      </c>
      <c r="POI43" s="380" t="e">
        <f t="shared" si="179"/>
        <v>#N/A</v>
      </c>
      <c r="POJ43" s="380" t="e">
        <f t="shared" si="179"/>
        <v>#N/A</v>
      </c>
      <c r="POK43" s="380" t="e">
        <f t="shared" si="179"/>
        <v>#N/A</v>
      </c>
      <c r="POL43" s="380" t="e">
        <f t="shared" si="179"/>
        <v>#N/A</v>
      </c>
      <c r="POM43" s="380" t="e">
        <f t="shared" si="179"/>
        <v>#N/A</v>
      </c>
      <c r="PON43" s="380" t="e">
        <f t="shared" si="179"/>
        <v>#N/A</v>
      </c>
      <c r="POO43" s="380" t="e">
        <f t="shared" si="179"/>
        <v>#N/A</v>
      </c>
      <c r="POP43" s="380" t="e">
        <f t="shared" si="179"/>
        <v>#N/A</v>
      </c>
      <c r="POQ43" s="380" t="e">
        <f t="shared" si="179"/>
        <v>#N/A</v>
      </c>
      <c r="POR43" s="380" t="e">
        <f t="shared" si="179"/>
        <v>#N/A</v>
      </c>
      <c r="POS43" s="380" t="e">
        <f t="shared" si="179"/>
        <v>#N/A</v>
      </c>
      <c r="POT43" s="380" t="e">
        <f t="shared" si="179"/>
        <v>#N/A</v>
      </c>
      <c r="POU43" s="380" t="e">
        <f t="shared" si="179"/>
        <v>#N/A</v>
      </c>
      <c r="POV43" s="380" t="e">
        <f t="shared" si="179"/>
        <v>#N/A</v>
      </c>
      <c r="POW43" s="380" t="e">
        <f t="shared" si="179"/>
        <v>#N/A</v>
      </c>
      <c r="POX43" s="380" t="e">
        <f t="shared" si="179"/>
        <v>#N/A</v>
      </c>
      <c r="POY43" s="380" t="e">
        <f t="shared" si="179"/>
        <v>#N/A</v>
      </c>
      <c r="POZ43" s="380" t="e">
        <f t="shared" si="179"/>
        <v>#N/A</v>
      </c>
      <c r="PPA43" s="380" t="e">
        <f t="shared" si="179"/>
        <v>#N/A</v>
      </c>
      <c r="PPB43" s="380" t="e">
        <f t="shared" si="179"/>
        <v>#N/A</v>
      </c>
      <c r="PPC43" s="380" t="e">
        <f t="shared" si="179"/>
        <v>#N/A</v>
      </c>
      <c r="PPD43" s="380" t="e">
        <f t="shared" si="179"/>
        <v>#N/A</v>
      </c>
      <c r="PPE43" s="380" t="e">
        <f t="shared" si="179"/>
        <v>#N/A</v>
      </c>
      <c r="PPF43" s="380" t="e">
        <f t="shared" si="179"/>
        <v>#N/A</v>
      </c>
      <c r="PPG43" s="380" t="e">
        <f t="shared" si="179"/>
        <v>#N/A</v>
      </c>
      <c r="PPH43" s="380" t="e">
        <f t="shared" si="179"/>
        <v>#N/A</v>
      </c>
      <c r="PPI43" s="380" t="e">
        <f t="shared" si="179"/>
        <v>#N/A</v>
      </c>
      <c r="PPJ43" s="380" t="e">
        <f t="shared" si="179"/>
        <v>#N/A</v>
      </c>
      <c r="PPK43" s="380" t="e">
        <f t="shared" si="179"/>
        <v>#N/A</v>
      </c>
      <c r="PPL43" s="380" t="e">
        <f t="shared" si="179"/>
        <v>#N/A</v>
      </c>
      <c r="PPM43" s="380" t="e">
        <f t="shared" si="179"/>
        <v>#N/A</v>
      </c>
      <c r="PPN43" s="380" t="e">
        <f t="shared" si="179"/>
        <v>#N/A</v>
      </c>
      <c r="PPO43" s="380" t="e">
        <f t="shared" si="179"/>
        <v>#N/A</v>
      </c>
      <c r="PPP43" s="380" t="e">
        <f t="shared" si="179"/>
        <v>#N/A</v>
      </c>
      <c r="PPQ43" s="380" t="e">
        <f t="shared" si="179"/>
        <v>#N/A</v>
      </c>
      <c r="PPR43" s="380" t="e">
        <f t="shared" si="179"/>
        <v>#N/A</v>
      </c>
      <c r="PPS43" s="380" t="e">
        <f t="shared" si="179"/>
        <v>#N/A</v>
      </c>
      <c r="PPT43" s="380" t="e">
        <f t="shared" si="179"/>
        <v>#N/A</v>
      </c>
      <c r="PPU43" s="380" t="e">
        <f t="shared" si="179"/>
        <v>#N/A</v>
      </c>
      <c r="PPV43" s="380" t="e">
        <f t="shared" si="179"/>
        <v>#N/A</v>
      </c>
      <c r="PPW43" s="380" t="e">
        <f t="shared" si="179"/>
        <v>#N/A</v>
      </c>
      <c r="PPX43" s="380" t="e">
        <f t="shared" si="179"/>
        <v>#N/A</v>
      </c>
      <c r="PPY43" s="380" t="e">
        <f t="shared" si="179"/>
        <v>#N/A</v>
      </c>
      <c r="PPZ43" s="380" t="e">
        <f t="shared" si="179"/>
        <v>#N/A</v>
      </c>
      <c r="PQA43" s="380" t="e">
        <f t="shared" si="179"/>
        <v>#N/A</v>
      </c>
      <c r="PQB43" s="380" t="e">
        <f t="shared" si="179"/>
        <v>#N/A</v>
      </c>
      <c r="PQC43" s="380" t="e">
        <f t="shared" si="179"/>
        <v>#N/A</v>
      </c>
      <c r="PQD43" s="380" t="e">
        <f t="shared" si="179"/>
        <v>#N/A</v>
      </c>
      <c r="PQE43" s="380" t="e">
        <f t="shared" si="179"/>
        <v>#N/A</v>
      </c>
      <c r="PQF43" s="380" t="e">
        <f t="shared" si="179"/>
        <v>#N/A</v>
      </c>
      <c r="PQG43" s="380" t="e">
        <f t="shared" si="179"/>
        <v>#N/A</v>
      </c>
      <c r="PQH43" s="380" t="e">
        <f t="shared" si="179"/>
        <v>#N/A</v>
      </c>
      <c r="PQI43" s="380" t="e">
        <f t="shared" si="179"/>
        <v>#N/A</v>
      </c>
      <c r="PQJ43" s="380" t="e">
        <f t="shared" si="179"/>
        <v>#N/A</v>
      </c>
      <c r="PQK43" s="380" t="e">
        <f t="shared" si="179"/>
        <v>#N/A</v>
      </c>
      <c r="PQL43" s="380" t="e">
        <f t="shared" si="179"/>
        <v>#N/A</v>
      </c>
      <c r="PQM43" s="380" t="e">
        <f t="shared" si="179"/>
        <v>#N/A</v>
      </c>
      <c r="PQN43" s="380" t="e">
        <f t="shared" ref="PQN43:PSY43" si="180">INDEX(PQN7:PQN40,MATCH($E$43,$E$7:$E$40,0))</f>
        <v>#N/A</v>
      </c>
      <c r="PQO43" s="380" t="e">
        <f t="shared" si="180"/>
        <v>#N/A</v>
      </c>
      <c r="PQP43" s="380" t="e">
        <f t="shared" si="180"/>
        <v>#N/A</v>
      </c>
      <c r="PQQ43" s="380" t="e">
        <f t="shared" si="180"/>
        <v>#N/A</v>
      </c>
      <c r="PQR43" s="380" t="e">
        <f t="shared" si="180"/>
        <v>#N/A</v>
      </c>
      <c r="PQS43" s="380" t="e">
        <f t="shared" si="180"/>
        <v>#N/A</v>
      </c>
      <c r="PQT43" s="380" t="e">
        <f t="shared" si="180"/>
        <v>#N/A</v>
      </c>
      <c r="PQU43" s="380" t="e">
        <f t="shared" si="180"/>
        <v>#N/A</v>
      </c>
      <c r="PQV43" s="380" t="e">
        <f t="shared" si="180"/>
        <v>#N/A</v>
      </c>
      <c r="PQW43" s="380" t="e">
        <f t="shared" si="180"/>
        <v>#N/A</v>
      </c>
      <c r="PQX43" s="380" t="e">
        <f t="shared" si="180"/>
        <v>#N/A</v>
      </c>
      <c r="PQY43" s="380" t="e">
        <f t="shared" si="180"/>
        <v>#N/A</v>
      </c>
      <c r="PQZ43" s="380" t="e">
        <f t="shared" si="180"/>
        <v>#N/A</v>
      </c>
      <c r="PRA43" s="380" t="e">
        <f t="shared" si="180"/>
        <v>#N/A</v>
      </c>
      <c r="PRB43" s="380" t="e">
        <f t="shared" si="180"/>
        <v>#N/A</v>
      </c>
      <c r="PRC43" s="380" t="e">
        <f t="shared" si="180"/>
        <v>#N/A</v>
      </c>
      <c r="PRD43" s="380" t="e">
        <f t="shared" si="180"/>
        <v>#N/A</v>
      </c>
      <c r="PRE43" s="380" t="e">
        <f t="shared" si="180"/>
        <v>#N/A</v>
      </c>
      <c r="PRF43" s="380" t="e">
        <f t="shared" si="180"/>
        <v>#N/A</v>
      </c>
      <c r="PRG43" s="380" t="e">
        <f t="shared" si="180"/>
        <v>#N/A</v>
      </c>
      <c r="PRH43" s="380" t="e">
        <f t="shared" si="180"/>
        <v>#N/A</v>
      </c>
      <c r="PRI43" s="380" t="e">
        <f t="shared" si="180"/>
        <v>#N/A</v>
      </c>
      <c r="PRJ43" s="380" t="e">
        <f t="shared" si="180"/>
        <v>#N/A</v>
      </c>
      <c r="PRK43" s="380" t="e">
        <f t="shared" si="180"/>
        <v>#N/A</v>
      </c>
      <c r="PRL43" s="380" t="e">
        <f t="shared" si="180"/>
        <v>#N/A</v>
      </c>
      <c r="PRM43" s="380" t="e">
        <f t="shared" si="180"/>
        <v>#N/A</v>
      </c>
      <c r="PRN43" s="380" t="e">
        <f t="shared" si="180"/>
        <v>#N/A</v>
      </c>
      <c r="PRO43" s="380" t="e">
        <f t="shared" si="180"/>
        <v>#N/A</v>
      </c>
      <c r="PRP43" s="380" t="e">
        <f t="shared" si="180"/>
        <v>#N/A</v>
      </c>
      <c r="PRQ43" s="380" t="e">
        <f t="shared" si="180"/>
        <v>#N/A</v>
      </c>
      <c r="PRR43" s="380" t="e">
        <f t="shared" si="180"/>
        <v>#N/A</v>
      </c>
      <c r="PRS43" s="380" t="e">
        <f t="shared" si="180"/>
        <v>#N/A</v>
      </c>
      <c r="PRT43" s="380" t="e">
        <f t="shared" si="180"/>
        <v>#N/A</v>
      </c>
      <c r="PRU43" s="380" t="e">
        <f t="shared" si="180"/>
        <v>#N/A</v>
      </c>
      <c r="PRV43" s="380" t="e">
        <f t="shared" si="180"/>
        <v>#N/A</v>
      </c>
      <c r="PRW43" s="380" t="e">
        <f t="shared" si="180"/>
        <v>#N/A</v>
      </c>
      <c r="PRX43" s="380" t="e">
        <f t="shared" si="180"/>
        <v>#N/A</v>
      </c>
      <c r="PRY43" s="380" t="e">
        <f t="shared" si="180"/>
        <v>#N/A</v>
      </c>
      <c r="PRZ43" s="380" t="e">
        <f t="shared" si="180"/>
        <v>#N/A</v>
      </c>
      <c r="PSA43" s="380" t="e">
        <f t="shared" si="180"/>
        <v>#N/A</v>
      </c>
      <c r="PSB43" s="380" t="e">
        <f t="shared" si="180"/>
        <v>#N/A</v>
      </c>
      <c r="PSC43" s="380" t="e">
        <f t="shared" si="180"/>
        <v>#N/A</v>
      </c>
      <c r="PSD43" s="380" t="e">
        <f t="shared" si="180"/>
        <v>#N/A</v>
      </c>
      <c r="PSE43" s="380" t="e">
        <f t="shared" si="180"/>
        <v>#N/A</v>
      </c>
      <c r="PSF43" s="380" t="e">
        <f t="shared" si="180"/>
        <v>#N/A</v>
      </c>
      <c r="PSG43" s="380" t="e">
        <f t="shared" si="180"/>
        <v>#N/A</v>
      </c>
      <c r="PSH43" s="380" t="e">
        <f t="shared" si="180"/>
        <v>#N/A</v>
      </c>
      <c r="PSI43" s="380" t="e">
        <f t="shared" si="180"/>
        <v>#N/A</v>
      </c>
      <c r="PSJ43" s="380" t="e">
        <f t="shared" si="180"/>
        <v>#N/A</v>
      </c>
      <c r="PSK43" s="380" t="e">
        <f t="shared" si="180"/>
        <v>#N/A</v>
      </c>
      <c r="PSL43" s="380" t="e">
        <f t="shared" si="180"/>
        <v>#N/A</v>
      </c>
      <c r="PSM43" s="380" t="e">
        <f t="shared" si="180"/>
        <v>#N/A</v>
      </c>
      <c r="PSN43" s="380" t="e">
        <f t="shared" si="180"/>
        <v>#N/A</v>
      </c>
      <c r="PSO43" s="380" t="e">
        <f t="shared" si="180"/>
        <v>#N/A</v>
      </c>
      <c r="PSP43" s="380" t="e">
        <f t="shared" si="180"/>
        <v>#N/A</v>
      </c>
      <c r="PSQ43" s="380" t="e">
        <f t="shared" si="180"/>
        <v>#N/A</v>
      </c>
      <c r="PSR43" s="380" t="e">
        <f t="shared" si="180"/>
        <v>#N/A</v>
      </c>
      <c r="PSS43" s="380" t="e">
        <f t="shared" si="180"/>
        <v>#N/A</v>
      </c>
      <c r="PST43" s="380" t="e">
        <f t="shared" si="180"/>
        <v>#N/A</v>
      </c>
      <c r="PSU43" s="380" t="e">
        <f t="shared" si="180"/>
        <v>#N/A</v>
      </c>
      <c r="PSV43" s="380" t="e">
        <f t="shared" si="180"/>
        <v>#N/A</v>
      </c>
      <c r="PSW43" s="380" t="e">
        <f t="shared" si="180"/>
        <v>#N/A</v>
      </c>
      <c r="PSX43" s="380" t="e">
        <f t="shared" si="180"/>
        <v>#N/A</v>
      </c>
      <c r="PSY43" s="380" t="e">
        <f t="shared" si="180"/>
        <v>#N/A</v>
      </c>
      <c r="PSZ43" s="380" t="e">
        <f t="shared" ref="PSZ43:PVK43" si="181">INDEX(PSZ7:PSZ40,MATCH($E$43,$E$7:$E$40,0))</f>
        <v>#N/A</v>
      </c>
      <c r="PTA43" s="380" t="e">
        <f t="shared" si="181"/>
        <v>#N/A</v>
      </c>
      <c r="PTB43" s="380" t="e">
        <f t="shared" si="181"/>
        <v>#N/A</v>
      </c>
      <c r="PTC43" s="380" t="e">
        <f t="shared" si="181"/>
        <v>#N/A</v>
      </c>
      <c r="PTD43" s="380" t="e">
        <f t="shared" si="181"/>
        <v>#N/A</v>
      </c>
      <c r="PTE43" s="380" t="e">
        <f t="shared" si="181"/>
        <v>#N/A</v>
      </c>
      <c r="PTF43" s="380" t="e">
        <f t="shared" si="181"/>
        <v>#N/A</v>
      </c>
      <c r="PTG43" s="380" t="e">
        <f t="shared" si="181"/>
        <v>#N/A</v>
      </c>
      <c r="PTH43" s="380" t="e">
        <f t="shared" si="181"/>
        <v>#N/A</v>
      </c>
      <c r="PTI43" s="380" t="e">
        <f t="shared" si="181"/>
        <v>#N/A</v>
      </c>
      <c r="PTJ43" s="380" t="e">
        <f t="shared" si="181"/>
        <v>#N/A</v>
      </c>
      <c r="PTK43" s="380" t="e">
        <f t="shared" si="181"/>
        <v>#N/A</v>
      </c>
      <c r="PTL43" s="380" t="e">
        <f t="shared" si="181"/>
        <v>#N/A</v>
      </c>
      <c r="PTM43" s="380" t="e">
        <f t="shared" si="181"/>
        <v>#N/A</v>
      </c>
      <c r="PTN43" s="380" t="e">
        <f t="shared" si="181"/>
        <v>#N/A</v>
      </c>
      <c r="PTO43" s="380" t="e">
        <f t="shared" si="181"/>
        <v>#N/A</v>
      </c>
      <c r="PTP43" s="380" t="e">
        <f t="shared" si="181"/>
        <v>#N/A</v>
      </c>
      <c r="PTQ43" s="380" t="e">
        <f t="shared" si="181"/>
        <v>#N/A</v>
      </c>
      <c r="PTR43" s="380" t="e">
        <f t="shared" si="181"/>
        <v>#N/A</v>
      </c>
      <c r="PTS43" s="380" t="e">
        <f t="shared" si="181"/>
        <v>#N/A</v>
      </c>
      <c r="PTT43" s="380" t="e">
        <f t="shared" si="181"/>
        <v>#N/A</v>
      </c>
      <c r="PTU43" s="380" t="e">
        <f t="shared" si="181"/>
        <v>#N/A</v>
      </c>
      <c r="PTV43" s="380" t="e">
        <f t="shared" si="181"/>
        <v>#N/A</v>
      </c>
      <c r="PTW43" s="380" t="e">
        <f t="shared" si="181"/>
        <v>#N/A</v>
      </c>
      <c r="PTX43" s="380" t="e">
        <f t="shared" si="181"/>
        <v>#N/A</v>
      </c>
      <c r="PTY43" s="380" t="e">
        <f t="shared" si="181"/>
        <v>#N/A</v>
      </c>
      <c r="PTZ43" s="380" t="e">
        <f t="shared" si="181"/>
        <v>#N/A</v>
      </c>
      <c r="PUA43" s="380" t="e">
        <f t="shared" si="181"/>
        <v>#N/A</v>
      </c>
      <c r="PUB43" s="380" t="e">
        <f t="shared" si="181"/>
        <v>#N/A</v>
      </c>
      <c r="PUC43" s="380" t="e">
        <f t="shared" si="181"/>
        <v>#N/A</v>
      </c>
      <c r="PUD43" s="380" t="e">
        <f t="shared" si="181"/>
        <v>#N/A</v>
      </c>
      <c r="PUE43" s="380" t="e">
        <f t="shared" si="181"/>
        <v>#N/A</v>
      </c>
      <c r="PUF43" s="380" t="e">
        <f t="shared" si="181"/>
        <v>#N/A</v>
      </c>
      <c r="PUG43" s="380" t="e">
        <f t="shared" si="181"/>
        <v>#N/A</v>
      </c>
      <c r="PUH43" s="380" t="e">
        <f t="shared" si="181"/>
        <v>#N/A</v>
      </c>
      <c r="PUI43" s="380" t="e">
        <f t="shared" si="181"/>
        <v>#N/A</v>
      </c>
      <c r="PUJ43" s="380" t="e">
        <f t="shared" si="181"/>
        <v>#N/A</v>
      </c>
      <c r="PUK43" s="380" t="e">
        <f t="shared" si="181"/>
        <v>#N/A</v>
      </c>
      <c r="PUL43" s="380" t="e">
        <f t="shared" si="181"/>
        <v>#N/A</v>
      </c>
      <c r="PUM43" s="380" t="e">
        <f t="shared" si="181"/>
        <v>#N/A</v>
      </c>
      <c r="PUN43" s="380" t="e">
        <f t="shared" si="181"/>
        <v>#N/A</v>
      </c>
      <c r="PUO43" s="380" t="e">
        <f t="shared" si="181"/>
        <v>#N/A</v>
      </c>
      <c r="PUP43" s="380" t="e">
        <f t="shared" si="181"/>
        <v>#N/A</v>
      </c>
      <c r="PUQ43" s="380" t="e">
        <f t="shared" si="181"/>
        <v>#N/A</v>
      </c>
      <c r="PUR43" s="380" t="e">
        <f t="shared" si="181"/>
        <v>#N/A</v>
      </c>
      <c r="PUS43" s="380" t="e">
        <f t="shared" si="181"/>
        <v>#N/A</v>
      </c>
      <c r="PUT43" s="380" t="e">
        <f t="shared" si="181"/>
        <v>#N/A</v>
      </c>
      <c r="PUU43" s="380" t="e">
        <f t="shared" si="181"/>
        <v>#N/A</v>
      </c>
      <c r="PUV43" s="380" t="e">
        <f t="shared" si="181"/>
        <v>#N/A</v>
      </c>
      <c r="PUW43" s="380" t="e">
        <f t="shared" si="181"/>
        <v>#N/A</v>
      </c>
      <c r="PUX43" s="380" t="e">
        <f t="shared" si="181"/>
        <v>#N/A</v>
      </c>
      <c r="PUY43" s="380" t="e">
        <f t="shared" si="181"/>
        <v>#N/A</v>
      </c>
      <c r="PUZ43" s="380" t="e">
        <f t="shared" si="181"/>
        <v>#N/A</v>
      </c>
      <c r="PVA43" s="380" t="e">
        <f t="shared" si="181"/>
        <v>#N/A</v>
      </c>
      <c r="PVB43" s="380" t="e">
        <f t="shared" si="181"/>
        <v>#N/A</v>
      </c>
      <c r="PVC43" s="380" t="e">
        <f t="shared" si="181"/>
        <v>#N/A</v>
      </c>
      <c r="PVD43" s="380" t="e">
        <f t="shared" si="181"/>
        <v>#N/A</v>
      </c>
      <c r="PVE43" s="380" t="e">
        <f t="shared" si="181"/>
        <v>#N/A</v>
      </c>
      <c r="PVF43" s="380" t="e">
        <f t="shared" si="181"/>
        <v>#N/A</v>
      </c>
      <c r="PVG43" s="380" t="e">
        <f t="shared" si="181"/>
        <v>#N/A</v>
      </c>
      <c r="PVH43" s="380" t="e">
        <f t="shared" si="181"/>
        <v>#N/A</v>
      </c>
      <c r="PVI43" s="380" t="e">
        <f t="shared" si="181"/>
        <v>#N/A</v>
      </c>
      <c r="PVJ43" s="380" t="e">
        <f t="shared" si="181"/>
        <v>#N/A</v>
      </c>
      <c r="PVK43" s="380" t="e">
        <f t="shared" si="181"/>
        <v>#N/A</v>
      </c>
      <c r="PVL43" s="380" t="e">
        <f t="shared" ref="PVL43:PXW43" si="182">INDEX(PVL7:PVL40,MATCH($E$43,$E$7:$E$40,0))</f>
        <v>#N/A</v>
      </c>
      <c r="PVM43" s="380" t="e">
        <f t="shared" si="182"/>
        <v>#N/A</v>
      </c>
      <c r="PVN43" s="380" t="e">
        <f t="shared" si="182"/>
        <v>#N/A</v>
      </c>
      <c r="PVO43" s="380" t="e">
        <f t="shared" si="182"/>
        <v>#N/A</v>
      </c>
      <c r="PVP43" s="380" t="e">
        <f t="shared" si="182"/>
        <v>#N/A</v>
      </c>
      <c r="PVQ43" s="380" t="e">
        <f t="shared" si="182"/>
        <v>#N/A</v>
      </c>
      <c r="PVR43" s="380" t="e">
        <f t="shared" si="182"/>
        <v>#N/A</v>
      </c>
      <c r="PVS43" s="380" t="e">
        <f t="shared" si="182"/>
        <v>#N/A</v>
      </c>
      <c r="PVT43" s="380" t="e">
        <f t="shared" si="182"/>
        <v>#N/A</v>
      </c>
      <c r="PVU43" s="380" t="e">
        <f t="shared" si="182"/>
        <v>#N/A</v>
      </c>
      <c r="PVV43" s="380" t="e">
        <f t="shared" si="182"/>
        <v>#N/A</v>
      </c>
      <c r="PVW43" s="380" t="e">
        <f t="shared" si="182"/>
        <v>#N/A</v>
      </c>
      <c r="PVX43" s="380" t="e">
        <f t="shared" si="182"/>
        <v>#N/A</v>
      </c>
      <c r="PVY43" s="380" t="e">
        <f t="shared" si="182"/>
        <v>#N/A</v>
      </c>
      <c r="PVZ43" s="380" t="e">
        <f t="shared" si="182"/>
        <v>#N/A</v>
      </c>
      <c r="PWA43" s="380" t="e">
        <f t="shared" si="182"/>
        <v>#N/A</v>
      </c>
      <c r="PWB43" s="380" t="e">
        <f t="shared" si="182"/>
        <v>#N/A</v>
      </c>
      <c r="PWC43" s="380" t="e">
        <f t="shared" si="182"/>
        <v>#N/A</v>
      </c>
      <c r="PWD43" s="380" t="e">
        <f t="shared" si="182"/>
        <v>#N/A</v>
      </c>
      <c r="PWE43" s="380" t="e">
        <f t="shared" si="182"/>
        <v>#N/A</v>
      </c>
      <c r="PWF43" s="380" t="e">
        <f t="shared" si="182"/>
        <v>#N/A</v>
      </c>
      <c r="PWG43" s="380" t="e">
        <f t="shared" si="182"/>
        <v>#N/A</v>
      </c>
      <c r="PWH43" s="380" t="e">
        <f t="shared" si="182"/>
        <v>#N/A</v>
      </c>
      <c r="PWI43" s="380" t="e">
        <f t="shared" si="182"/>
        <v>#N/A</v>
      </c>
      <c r="PWJ43" s="380" t="e">
        <f t="shared" si="182"/>
        <v>#N/A</v>
      </c>
      <c r="PWK43" s="380" t="e">
        <f t="shared" si="182"/>
        <v>#N/A</v>
      </c>
      <c r="PWL43" s="380" t="e">
        <f t="shared" si="182"/>
        <v>#N/A</v>
      </c>
      <c r="PWM43" s="380" t="e">
        <f t="shared" si="182"/>
        <v>#N/A</v>
      </c>
      <c r="PWN43" s="380" t="e">
        <f t="shared" si="182"/>
        <v>#N/A</v>
      </c>
      <c r="PWO43" s="380" t="e">
        <f t="shared" si="182"/>
        <v>#N/A</v>
      </c>
      <c r="PWP43" s="380" t="e">
        <f t="shared" si="182"/>
        <v>#N/A</v>
      </c>
      <c r="PWQ43" s="380" t="e">
        <f t="shared" si="182"/>
        <v>#N/A</v>
      </c>
      <c r="PWR43" s="380" t="e">
        <f t="shared" si="182"/>
        <v>#N/A</v>
      </c>
      <c r="PWS43" s="380" t="e">
        <f t="shared" si="182"/>
        <v>#N/A</v>
      </c>
      <c r="PWT43" s="380" t="e">
        <f t="shared" si="182"/>
        <v>#N/A</v>
      </c>
      <c r="PWU43" s="380" t="e">
        <f t="shared" si="182"/>
        <v>#N/A</v>
      </c>
      <c r="PWV43" s="380" t="e">
        <f t="shared" si="182"/>
        <v>#N/A</v>
      </c>
      <c r="PWW43" s="380" t="e">
        <f t="shared" si="182"/>
        <v>#N/A</v>
      </c>
      <c r="PWX43" s="380" t="e">
        <f t="shared" si="182"/>
        <v>#N/A</v>
      </c>
      <c r="PWY43" s="380" t="e">
        <f t="shared" si="182"/>
        <v>#N/A</v>
      </c>
      <c r="PWZ43" s="380" t="e">
        <f t="shared" si="182"/>
        <v>#N/A</v>
      </c>
      <c r="PXA43" s="380" t="e">
        <f t="shared" si="182"/>
        <v>#N/A</v>
      </c>
      <c r="PXB43" s="380" t="e">
        <f t="shared" si="182"/>
        <v>#N/A</v>
      </c>
      <c r="PXC43" s="380" t="e">
        <f t="shared" si="182"/>
        <v>#N/A</v>
      </c>
      <c r="PXD43" s="380" t="e">
        <f t="shared" si="182"/>
        <v>#N/A</v>
      </c>
      <c r="PXE43" s="380" t="e">
        <f t="shared" si="182"/>
        <v>#N/A</v>
      </c>
      <c r="PXF43" s="380" t="e">
        <f t="shared" si="182"/>
        <v>#N/A</v>
      </c>
      <c r="PXG43" s="380" t="e">
        <f t="shared" si="182"/>
        <v>#N/A</v>
      </c>
      <c r="PXH43" s="380" t="e">
        <f t="shared" si="182"/>
        <v>#N/A</v>
      </c>
      <c r="PXI43" s="380" t="e">
        <f t="shared" si="182"/>
        <v>#N/A</v>
      </c>
      <c r="PXJ43" s="380" t="e">
        <f t="shared" si="182"/>
        <v>#N/A</v>
      </c>
      <c r="PXK43" s="380" t="e">
        <f t="shared" si="182"/>
        <v>#N/A</v>
      </c>
      <c r="PXL43" s="380" t="e">
        <f t="shared" si="182"/>
        <v>#N/A</v>
      </c>
      <c r="PXM43" s="380" t="e">
        <f t="shared" si="182"/>
        <v>#N/A</v>
      </c>
      <c r="PXN43" s="380" t="e">
        <f t="shared" si="182"/>
        <v>#N/A</v>
      </c>
      <c r="PXO43" s="380" t="e">
        <f t="shared" si="182"/>
        <v>#N/A</v>
      </c>
      <c r="PXP43" s="380" t="e">
        <f t="shared" si="182"/>
        <v>#N/A</v>
      </c>
      <c r="PXQ43" s="380" t="e">
        <f t="shared" si="182"/>
        <v>#N/A</v>
      </c>
      <c r="PXR43" s="380" t="e">
        <f t="shared" si="182"/>
        <v>#N/A</v>
      </c>
      <c r="PXS43" s="380" t="e">
        <f t="shared" si="182"/>
        <v>#N/A</v>
      </c>
      <c r="PXT43" s="380" t="e">
        <f t="shared" si="182"/>
        <v>#N/A</v>
      </c>
      <c r="PXU43" s="380" t="e">
        <f t="shared" si="182"/>
        <v>#N/A</v>
      </c>
      <c r="PXV43" s="380" t="e">
        <f t="shared" si="182"/>
        <v>#N/A</v>
      </c>
      <c r="PXW43" s="380" t="e">
        <f t="shared" si="182"/>
        <v>#N/A</v>
      </c>
      <c r="PXX43" s="380" t="e">
        <f t="shared" ref="PXX43:QAI43" si="183">INDEX(PXX7:PXX40,MATCH($E$43,$E$7:$E$40,0))</f>
        <v>#N/A</v>
      </c>
      <c r="PXY43" s="380" t="e">
        <f t="shared" si="183"/>
        <v>#N/A</v>
      </c>
      <c r="PXZ43" s="380" t="e">
        <f t="shared" si="183"/>
        <v>#N/A</v>
      </c>
      <c r="PYA43" s="380" t="e">
        <f t="shared" si="183"/>
        <v>#N/A</v>
      </c>
      <c r="PYB43" s="380" t="e">
        <f t="shared" si="183"/>
        <v>#N/A</v>
      </c>
      <c r="PYC43" s="380" t="e">
        <f t="shared" si="183"/>
        <v>#N/A</v>
      </c>
      <c r="PYD43" s="380" t="e">
        <f t="shared" si="183"/>
        <v>#N/A</v>
      </c>
      <c r="PYE43" s="380" t="e">
        <f t="shared" si="183"/>
        <v>#N/A</v>
      </c>
      <c r="PYF43" s="380" t="e">
        <f t="shared" si="183"/>
        <v>#N/A</v>
      </c>
      <c r="PYG43" s="380" t="e">
        <f t="shared" si="183"/>
        <v>#N/A</v>
      </c>
      <c r="PYH43" s="380" t="e">
        <f t="shared" si="183"/>
        <v>#N/A</v>
      </c>
      <c r="PYI43" s="380" t="e">
        <f t="shared" si="183"/>
        <v>#N/A</v>
      </c>
      <c r="PYJ43" s="380" t="e">
        <f t="shared" si="183"/>
        <v>#N/A</v>
      </c>
      <c r="PYK43" s="380" t="e">
        <f t="shared" si="183"/>
        <v>#N/A</v>
      </c>
      <c r="PYL43" s="380" t="e">
        <f t="shared" si="183"/>
        <v>#N/A</v>
      </c>
      <c r="PYM43" s="380" t="e">
        <f t="shared" si="183"/>
        <v>#N/A</v>
      </c>
      <c r="PYN43" s="380" t="e">
        <f t="shared" si="183"/>
        <v>#N/A</v>
      </c>
      <c r="PYO43" s="380" t="e">
        <f t="shared" si="183"/>
        <v>#N/A</v>
      </c>
      <c r="PYP43" s="380" t="e">
        <f t="shared" si="183"/>
        <v>#N/A</v>
      </c>
      <c r="PYQ43" s="380" t="e">
        <f t="shared" si="183"/>
        <v>#N/A</v>
      </c>
      <c r="PYR43" s="380" t="e">
        <f t="shared" si="183"/>
        <v>#N/A</v>
      </c>
      <c r="PYS43" s="380" t="e">
        <f t="shared" si="183"/>
        <v>#N/A</v>
      </c>
      <c r="PYT43" s="380" t="e">
        <f t="shared" si="183"/>
        <v>#N/A</v>
      </c>
      <c r="PYU43" s="380" t="e">
        <f t="shared" si="183"/>
        <v>#N/A</v>
      </c>
      <c r="PYV43" s="380" t="e">
        <f t="shared" si="183"/>
        <v>#N/A</v>
      </c>
      <c r="PYW43" s="380" t="e">
        <f t="shared" si="183"/>
        <v>#N/A</v>
      </c>
      <c r="PYX43" s="380" t="e">
        <f t="shared" si="183"/>
        <v>#N/A</v>
      </c>
      <c r="PYY43" s="380" t="e">
        <f t="shared" si="183"/>
        <v>#N/A</v>
      </c>
      <c r="PYZ43" s="380" t="e">
        <f t="shared" si="183"/>
        <v>#N/A</v>
      </c>
      <c r="PZA43" s="380" t="e">
        <f t="shared" si="183"/>
        <v>#N/A</v>
      </c>
      <c r="PZB43" s="380" t="e">
        <f t="shared" si="183"/>
        <v>#N/A</v>
      </c>
      <c r="PZC43" s="380" t="e">
        <f t="shared" si="183"/>
        <v>#N/A</v>
      </c>
      <c r="PZD43" s="380" t="e">
        <f t="shared" si="183"/>
        <v>#N/A</v>
      </c>
      <c r="PZE43" s="380" t="e">
        <f t="shared" si="183"/>
        <v>#N/A</v>
      </c>
      <c r="PZF43" s="380" t="e">
        <f t="shared" si="183"/>
        <v>#N/A</v>
      </c>
      <c r="PZG43" s="380" t="e">
        <f t="shared" si="183"/>
        <v>#N/A</v>
      </c>
      <c r="PZH43" s="380" t="e">
        <f t="shared" si="183"/>
        <v>#N/A</v>
      </c>
      <c r="PZI43" s="380" t="e">
        <f t="shared" si="183"/>
        <v>#N/A</v>
      </c>
      <c r="PZJ43" s="380" t="e">
        <f t="shared" si="183"/>
        <v>#N/A</v>
      </c>
      <c r="PZK43" s="380" t="e">
        <f t="shared" si="183"/>
        <v>#N/A</v>
      </c>
      <c r="PZL43" s="380" t="e">
        <f t="shared" si="183"/>
        <v>#N/A</v>
      </c>
      <c r="PZM43" s="380" t="e">
        <f t="shared" si="183"/>
        <v>#N/A</v>
      </c>
      <c r="PZN43" s="380" t="e">
        <f t="shared" si="183"/>
        <v>#N/A</v>
      </c>
      <c r="PZO43" s="380" t="e">
        <f t="shared" si="183"/>
        <v>#N/A</v>
      </c>
      <c r="PZP43" s="380" t="e">
        <f t="shared" si="183"/>
        <v>#N/A</v>
      </c>
      <c r="PZQ43" s="380" t="e">
        <f t="shared" si="183"/>
        <v>#N/A</v>
      </c>
      <c r="PZR43" s="380" t="e">
        <f t="shared" si="183"/>
        <v>#N/A</v>
      </c>
      <c r="PZS43" s="380" t="e">
        <f t="shared" si="183"/>
        <v>#N/A</v>
      </c>
      <c r="PZT43" s="380" t="e">
        <f t="shared" si="183"/>
        <v>#N/A</v>
      </c>
      <c r="PZU43" s="380" t="e">
        <f t="shared" si="183"/>
        <v>#N/A</v>
      </c>
      <c r="PZV43" s="380" t="e">
        <f t="shared" si="183"/>
        <v>#N/A</v>
      </c>
      <c r="PZW43" s="380" t="e">
        <f t="shared" si="183"/>
        <v>#N/A</v>
      </c>
      <c r="PZX43" s="380" t="e">
        <f t="shared" si="183"/>
        <v>#N/A</v>
      </c>
      <c r="PZY43" s="380" t="e">
        <f t="shared" si="183"/>
        <v>#N/A</v>
      </c>
      <c r="PZZ43" s="380" t="e">
        <f t="shared" si="183"/>
        <v>#N/A</v>
      </c>
      <c r="QAA43" s="380" t="e">
        <f t="shared" si="183"/>
        <v>#N/A</v>
      </c>
      <c r="QAB43" s="380" t="e">
        <f t="shared" si="183"/>
        <v>#N/A</v>
      </c>
      <c r="QAC43" s="380" t="e">
        <f t="shared" si="183"/>
        <v>#N/A</v>
      </c>
      <c r="QAD43" s="380" t="e">
        <f t="shared" si="183"/>
        <v>#N/A</v>
      </c>
      <c r="QAE43" s="380" t="e">
        <f t="shared" si="183"/>
        <v>#N/A</v>
      </c>
      <c r="QAF43" s="380" t="e">
        <f t="shared" si="183"/>
        <v>#N/A</v>
      </c>
      <c r="QAG43" s="380" t="e">
        <f t="shared" si="183"/>
        <v>#N/A</v>
      </c>
      <c r="QAH43" s="380" t="e">
        <f t="shared" si="183"/>
        <v>#N/A</v>
      </c>
      <c r="QAI43" s="380" t="e">
        <f t="shared" si="183"/>
        <v>#N/A</v>
      </c>
      <c r="QAJ43" s="380" t="e">
        <f t="shared" ref="QAJ43:QCU43" si="184">INDEX(QAJ7:QAJ40,MATCH($E$43,$E$7:$E$40,0))</f>
        <v>#N/A</v>
      </c>
      <c r="QAK43" s="380" t="e">
        <f t="shared" si="184"/>
        <v>#N/A</v>
      </c>
      <c r="QAL43" s="380" t="e">
        <f t="shared" si="184"/>
        <v>#N/A</v>
      </c>
      <c r="QAM43" s="380" t="e">
        <f t="shared" si="184"/>
        <v>#N/A</v>
      </c>
      <c r="QAN43" s="380" t="e">
        <f t="shared" si="184"/>
        <v>#N/A</v>
      </c>
      <c r="QAO43" s="380" t="e">
        <f t="shared" si="184"/>
        <v>#N/A</v>
      </c>
      <c r="QAP43" s="380" t="e">
        <f t="shared" si="184"/>
        <v>#N/A</v>
      </c>
      <c r="QAQ43" s="380" t="e">
        <f t="shared" si="184"/>
        <v>#N/A</v>
      </c>
      <c r="QAR43" s="380" t="e">
        <f t="shared" si="184"/>
        <v>#N/A</v>
      </c>
      <c r="QAS43" s="380" t="e">
        <f t="shared" si="184"/>
        <v>#N/A</v>
      </c>
      <c r="QAT43" s="380" t="e">
        <f t="shared" si="184"/>
        <v>#N/A</v>
      </c>
      <c r="QAU43" s="380" t="e">
        <f t="shared" si="184"/>
        <v>#N/A</v>
      </c>
      <c r="QAV43" s="380" t="e">
        <f t="shared" si="184"/>
        <v>#N/A</v>
      </c>
      <c r="QAW43" s="380" t="e">
        <f t="shared" si="184"/>
        <v>#N/A</v>
      </c>
      <c r="QAX43" s="380" t="e">
        <f t="shared" si="184"/>
        <v>#N/A</v>
      </c>
      <c r="QAY43" s="380" t="e">
        <f t="shared" si="184"/>
        <v>#N/A</v>
      </c>
      <c r="QAZ43" s="380" t="e">
        <f t="shared" si="184"/>
        <v>#N/A</v>
      </c>
      <c r="QBA43" s="380" t="e">
        <f t="shared" si="184"/>
        <v>#N/A</v>
      </c>
      <c r="QBB43" s="380" t="e">
        <f t="shared" si="184"/>
        <v>#N/A</v>
      </c>
      <c r="QBC43" s="380" t="e">
        <f t="shared" si="184"/>
        <v>#N/A</v>
      </c>
      <c r="QBD43" s="380" t="e">
        <f t="shared" si="184"/>
        <v>#N/A</v>
      </c>
      <c r="QBE43" s="380" t="e">
        <f t="shared" si="184"/>
        <v>#N/A</v>
      </c>
      <c r="QBF43" s="380" t="e">
        <f t="shared" si="184"/>
        <v>#N/A</v>
      </c>
      <c r="QBG43" s="380" t="e">
        <f t="shared" si="184"/>
        <v>#N/A</v>
      </c>
      <c r="QBH43" s="380" t="e">
        <f t="shared" si="184"/>
        <v>#N/A</v>
      </c>
      <c r="QBI43" s="380" t="e">
        <f t="shared" si="184"/>
        <v>#N/A</v>
      </c>
      <c r="QBJ43" s="380" t="e">
        <f t="shared" si="184"/>
        <v>#N/A</v>
      </c>
      <c r="QBK43" s="380" t="e">
        <f t="shared" si="184"/>
        <v>#N/A</v>
      </c>
      <c r="QBL43" s="380" t="e">
        <f t="shared" si="184"/>
        <v>#N/A</v>
      </c>
      <c r="QBM43" s="380" t="e">
        <f t="shared" si="184"/>
        <v>#N/A</v>
      </c>
      <c r="QBN43" s="380" t="e">
        <f t="shared" si="184"/>
        <v>#N/A</v>
      </c>
      <c r="QBO43" s="380" t="e">
        <f t="shared" si="184"/>
        <v>#N/A</v>
      </c>
      <c r="QBP43" s="380" t="e">
        <f t="shared" si="184"/>
        <v>#N/A</v>
      </c>
      <c r="QBQ43" s="380" t="e">
        <f t="shared" si="184"/>
        <v>#N/A</v>
      </c>
      <c r="QBR43" s="380" t="e">
        <f t="shared" si="184"/>
        <v>#N/A</v>
      </c>
      <c r="QBS43" s="380" t="e">
        <f t="shared" si="184"/>
        <v>#N/A</v>
      </c>
      <c r="QBT43" s="380" t="e">
        <f t="shared" si="184"/>
        <v>#N/A</v>
      </c>
      <c r="QBU43" s="380" t="e">
        <f t="shared" si="184"/>
        <v>#N/A</v>
      </c>
      <c r="QBV43" s="380" t="e">
        <f t="shared" si="184"/>
        <v>#N/A</v>
      </c>
      <c r="QBW43" s="380" t="e">
        <f t="shared" si="184"/>
        <v>#N/A</v>
      </c>
      <c r="QBX43" s="380" t="e">
        <f t="shared" si="184"/>
        <v>#N/A</v>
      </c>
      <c r="QBY43" s="380" t="e">
        <f t="shared" si="184"/>
        <v>#N/A</v>
      </c>
      <c r="QBZ43" s="380" t="e">
        <f t="shared" si="184"/>
        <v>#N/A</v>
      </c>
      <c r="QCA43" s="380" t="e">
        <f t="shared" si="184"/>
        <v>#N/A</v>
      </c>
      <c r="QCB43" s="380" t="e">
        <f t="shared" si="184"/>
        <v>#N/A</v>
      </c>
      <c r="QCC43" s="380" t="e">
        <f t="shared" si="184"/>
        <v>#N/A</v>
      </c>
      <c r="QCD43" s="380" t="e">
        <f t="shared" si="184"/>
        <v>#N/A</v>
      </c>
      <c r="QCE43" s="380" t="e">
        <f t="shared" si="184"/>
        <v>#N/A</v>
      </c>
      <c r="QCF43" s="380" t="e">
        <f t="shared" si="184"/>
        <v>#N/A</v>
      </c>
      <c r="QCG43" s="380" t="e">
        <f t="shared" si="184"/>
        <v>#N/A</v>
      </c>
      <c r="QCH43" s="380" t="e">
        <f t="shared" si="184"/>
        <v>#N/A</v>
      </c>
      <c r="QCI43" s="380" t="e">
        <f t="shared" si="184"/>
        <v>#N/A</v>
      </c>
      <c r="QCJ43" s="380" t="e">
        <f t="shared" si="184"/>
        <v>#N/A</v>
      </c>
      <c r="QCK43" s="380" t="e">
        <f t="shared" si="184"/>
        <v>#N/A</v>
      </c>
      <c r="QCL43" s="380" t="e">
        <f t="shared" si="184"/>
        <v>#N/A</v>
      </c>
      <c r="QCM43" s="380" t="e">
        <f t="shared" si="184"/>
        <v>#N/A</v>
      </c>
      <c r="QCN43" s="380" t="e">
        <f t="shared" si="184"/>
        <v>#N/A</v>
      </c>
      <c r="QCO43" s="380" t="e">
        <f t="shared" si="184"/>
        <v>#N/A</v>
      </c>
      <c r="QCP43" s="380" t="e">
        <f t="shared" si="184"/>
        <v>#N/A</v>
      </c>
      <c r="QCQ43" s="380" t="e">
        <f t="shared" si="184"/>
        <v>#N/A</v>
      </c>
      <c r="QCR43" s="380" t="e">
        <f t="shared" si="184"/>
        <v>#N/A</v>
      </c>
      <c r="QCS43" s="380" t="e">
        <f t="shared" si="184"/>
        <v>#N/A</v>
      </c>
      <c r="QCT43" s="380" t="e">
        <f t="shared" si="184"/>
        <v>#N/A</v>
      </c>
      <c r="QCU43" s="380" t="e">
        <f t="shared" si="184"/>
        <v>#N/A</v>
      </c>
      <c r="QCV43" s="380" t="e">
        <f t="shared" ref="QCV43:QFG43" si="185">INDEX(QCV7:QCV40,MATCH($E$43,$E$7:$E$40,0))</f>
        <v>#N/A</v>
      </c>
      <c r="QCW43" s="380" t="e">
        <f t="shared" si="185"/>
        <v>#N/A</v>
      </c>
      <c r="QCX43" s="380" t="e">
        <f t="shared" si="185"/>
        <v>#N/A</v>
      </c>
      <c r="QCY43" s="380" t="e">
        <f t="shared" si="185"/>
        <v>#N/A</v>
      </c>
      <c r="QCZ43" s="380" t="e">
        <f t="shared" si="185"/>
        <v>#N/A</v>
      </c>
      <c r="QDA43" s="380" t="e">
        <f t="shared" si="185"/>
        <v>#N/A</v>
      </c>
      <c r="QDB43" s="380" t="e">
        <f t="shared" si="185"/>
        <v>#N/A</v>
      </c>
      <c r="QDC43" s="380" t="e">
        <f t="shared" si="185"/>
        <v>#N/A</v>
      </c>
      <c r="QDD43" s="380" t="e">
        <f t="shared" si="185"/>
        <v>#N/A</v>
      </c>
      <c r="QDE43" s="380" t="e">
        <f t="shared" si="185"/>
        <v>#N/A</v>
      </c>
      <c r="QDF43" s="380" t="e">
        <f t="shared" si="185"/>
        <v>#N/A</v>
      </c>
      <c r="QDG43" s="380" t="e">
        <f t="shared" si="185"/>
        <v>#N/A</v>
      </c>
      <c r="QDH43" s="380" t="e">
        <f t="shared" si="185"/>
        <v>#N/A</v>
      </c>
      <c r="QDI43" s="380" t="e">
        <f t="shared" si="185"/>
        <v>#N/A</v>
      </c>
      <c r="QDJ43" s="380" t="e">
        <f t="shared" si="185"/>
        <v>#N/A</v>
      </c>
      <c r="QDK43" s="380" t="e">
        <f t="shared" si="185"/>
        <v>#N/A</v>
      </c>
      <c r="QDL43" s="380" t="e">
        <f t="shared" si="185"/>
        <v>#N/A</v>
      </c>
      <c r="QDM43" s="380" t="e">
        <f t="shared" si="185"/>
        <v>#N/A</v>
      </c>
      <c r="QDN43" s="380" t="e">
        <f t="shared" si="185"/>
        <v>#N/A</v>
      </c>
      <c r="QDO43" s="380" t="e">
        <f t="shared" si="185"/>
        <v>#N/A</v>
      </c>
      <c r="QDP43" s="380" t="e">
        <f t="shared" si="185"/>
        <v>#N/A</v>
      </c>
      <c r="QDQ43" s="380" t="e">
        <f t="shared" si="185"/>
        <v>#N/A</v>
      </c>
      <c r="QDR43" s="380" t="e">
        <f t="shared" si="185"/>
        <v>#N/A</v>
      </c>
      <c r="QDS43" s="380" t="e">
        <f t="shared" si="185"/>
        <v>#N/A</v>
      </c>
      <c r="QDT43" s="380" t="e">
        <f t="shared" si="185"/>
        <v>#N/A</v>
      </c>
      <c r="QDU43" s="380" t="e">
        <f t="shared" si="185"/>
        <v>#N/A</v>
      </c>
      <c r="QDV43" s="380" t="e">
        <f t="shared" si="185"/>
        <v>#N/A</v>
      </c>
      <c r="QDW43" s="380" t="e">
        <f t="shared" si="185"/>
        <v>#N/A</v>
      </c>
      <c r="QDX43" s="380" t="e">
        <f t="shared" si="185"/>
        <v>#N/A</v>
      </c>
      <c r="QDY43" s="380" t="e">
        <f t="shared" si="185"/>
        <v>#N/A</v>
      </c>
      <c r="QDZ43" s="380" t="e">
        <f t="shared" si="185"/>
        <v>#N/A</v>
      </c>
      <c r="QEA43" s="380" t="e">
        <f t="shared" si="185"/>
        <v>#N/A</v>
      </c>
      <c r="QEB43" s="380" t="e">
        <f t="shared" si="185"/>
        <v>#N/A</v>
      </c>
      <c r="QEC43" s="380" t="e">
        <f t="shared" si="185"/>
        <v>#N/A</v>
      </c>
      <c r="QED43" s="380" t="e">
        <f t="shared" si="185"/>
        <v>#N/A</v>
      </c>
      <c r="QEE43" s="380" t="e">
        <f t="shared" si="185"/>
        <v>#N/A</v>
      </c>
      <c r="QEF43" s="380" t="e">
        <f t="shared" si="185"/>
        <v>#N/A</v>
      </c>
      <c r="QEG43" s="380" t="e">
        <f t="shared" si="185"/>
        <v>#N/A</v>
      </c>
      <c r="QEH43" s="380" t="e">
        <f t="shared" si="185"/>
        <v>#N/A</v>
      </c>
      <c r="QEI43" s="380" t="e">
        <f t="shared" si="185"/>
        <v>#N/A</v>
      </c>
      <c r="QEJ43" s="380" t="e">
        <f t="shared" si="185"/>
        <v>#N/A</v>
      </c>
      <c r="QEK43" s="380" t="e">
        <f t="shared" si="185"/>
        <v>#N/A</v>
      </c>
      <c r="QEL43" s="380" t="e">
        <f t="shared" si="185"/>
        <v>#N/A</v>
      </c>
      <c r="QEM43" s="380" t="e">
        <f t="shared" si="185"/>
        <v>#N/A</v>
      </c>
      <c r="QEN43" s="380" t="e">
        <f t="shared" si="185"/>
        <v>#N/A</v>
      </c>
      <c r="QEO43" s="380" t="e">
        <f t="shared" si="185"/>
        <v>#N/A</v>
      </c>
      <c r="QEP43" s="380" t="e">
        <f t="shared" si="185"/>
        <v>#N/A</v>
      </c>
      <c r="QEQ43" s="380" t="e">
        <f t="shared" si="185"/>
        <v>#N/A</v>
      </c>
      <c r="QER43" s="380" t="e">
        <f t="shared" si="185"/>
        <v>#N/A</v>
      </c>
      <c r="QES43" s="380" t="e">
        <f t="shared" si="185"/>
        <v>#N/A</v>
      </c>
      <c r="QET43" s="380" t="e">
        <f t="shared" si="185"/>
        <v>#N/A</v>
      </c>
      <c r="QEU43" s="380" t="e">
        <f t="shared" si="185"/>
        <v>#N/A</v>
      </c>
      <c r="QEV43" s="380" t="e">
        <f t="shared" si="185"/>
        <v>#N/A</v>
      </c>
      <c r="QEW43" s="380" t="e">
        <f t="shared" si="185"/>
        <v>#N/A</v>
      </c>
      <c r="QEX43" s="380" t="e">
        <f t="shared" si="185"/>
        <v>#N/A</v>
      </c>
      <c r="QEY43" s="380" t="e">
        <f t="shared" si="185"/>
        <v>#N/A</v>
      </c>
      <c r="QEZ43" s="380" t="e">
        <f t="shared" si="185"/>
        <v>#N/A</v>
      </c>
      <c r="QFA43" s="380" t="e">
        <f t="shared" si="185"/>
        <v>#N/A</v>
      </c>
      <c r="QFB43" s="380" t="e">
        <f t="shared" si="185"/>
        <v>#N/A</v>
      </c>
      <c r="QFC43" s="380" t="e">
        <f t="shared" si="185"/>
        <v>#N/A</v>
      </c>
      <c r="QFD43" s="380" t="e">
        <f t="shared" si="185"/>
        <v>#N/A</v>
      </c>
      <c r="QFE43" s="380" t="e">
        <f t="shared" si="185"/>
        <v>#N/A</v>
      </c>
      <c r="QFF43" s="380" t="e">
        <f t="shared" si="185"/>
        <v>#N/A</v>
      </c>
      <c r="QFG43" s="380" t="e">
        <f t="shared" si="185"/>
        <v>#N/A</v>
      </c>
      <c r="QFH43" s="380" t="e">
        <f t="shared" ref="QFH43:QHS43" si="186">INDEX(QFH7:QFH40,MATCH($E$43,$E$7:$E$40,0))</f>
        <v>#N/A</v>
      </c>
      <c r="QFI43" s="380" t="e">
        <f t="shared" si="186"/>
        <v>#N/A</v>
      </c>
      <c r="QFJ43" s="380" t="e">
        <f t="shared" si="186"/>
        <v>#N/A</v>
      </c>
      <c r="QFK43" s="380" t="e">
        <f t="shared" si="186"/>
        <v>#N/A</v>
      </c>
      <c r="QFL43" s="380" t="e">
        <f t="shared" si="186"/>
        <v>#N/A</v>
      </c>
      <c r="QFM43" s="380" t="e">
        <f t="shared" si="186"/>
        <v>#N/A</v>
      </c>
      <c r="QFN43" s="380" t="e">
        <f t="shared" si="186"/>
        <v>#N/A</v>
      </c>
      <c r="QFO43" s="380" t="e">
        <f t="shared" si="186"/>
        <v>#N/A</v>
      </c>
      <c r="QFP43" s="380" t="e">
        <f t="shared" si="186"/>
        <v>#N/A</v>
      </c>
      <c r="QFQ43" s="380" t="e">
        <f t="shared" si="186"/>
        <v>#N/A</v>
      </c>
      <c r="QFR43" s="380" t="e">
        <f t="shared" si="186"/>
        <v>#N/A</v>
      </c>
      <c r="QFS43" s="380" t="e">
        <f t="shared" si="186"/>
        <v>#N/A</v>
      </c>
      <c r="QFT43" s="380" t="e">
        <f t="shared" si="186"/>
        <v>#N/A</v>
      </c>
      <c r="QFU43" s="380" t="e">
        <f t="shared" si="186"/>
        <v>#N/A</v>
      </c>
      <c r="QFV43" s="380" t="e">
        <f t="shared" si="186"/>
        <v>#N/A</v>
      </c>
      <c r="QFW43" s="380" t="e">
        <f t="shared" si="186"/>
        <v>#N/A</v>
      </c>
      <c r="QFX43" s="380" t="e">
        <f t="shared" si="186"/>
        <v>#N/A</v>
      </c>
      <c r="QFY43" s="380" t="e">
        <f t="shared" si="186"/>
        <v>#N/A</v>
      </c>
      <c r="QFZ43" s="380" t="e">
        <f t="shared" si="186"/>
        <v>#N/A</v>
      </c>
      <c r="QGA43" s="380" t="e">
        <f t="shared" si="186"/>
        <v>#N/A</v>
      </c>
      <c r="QGB43" s="380" t="e">
        <f t="shared" si="186"/>
        <v>#N/A</v>
      </c>
      <c r="QGC43" s="380" t="e">
        <f t="shared" si="186"/>
        <v>#N/A</v>
      </c>
      <c r="QGD43" s="380" t="e">
        <f t="shared" si="186"/>
        <v>#N/A</v>
      </c>
      <c r="QGE43" s="380" t="e">
        <f t="shared" si="186"/>
        <v>#N/A</v>
      </c>
      <c r="QGF43" s="380" t="e">
        <f t="shared" si="186"/>
        <v>#N/A</v>
      </c>
      <c r="QGG43" s="380" t="e">
        <f t="shared" si="186"/>
        <v>#N/A</v>
      </c>
      <c r="QGH43" s="380" t="e">
        <f t="shared" si="186"/>
        <v>#N/A</v>
      </c>
      <c r="QGI43" s="380" t="e">
        <f t="shared" si="186"/>
        <v>#N/A</v>
      </c>
      <c r="QGJ43" s="380" t="e">
        <f t="shared" si="186"/>
        <v>#N/A</v>
      </c>
      <c r="QGK43" s="380" t="e">
        <f t="shared" si="186"/>
        <v>#N/A</v>
      </c>
      <c r="QGL43" s="380" t="e">
        <f t="shared" si="186"/>
        <v>#N/A</v>
      </c>
      <c r="QGM43" s="380" t="e">
        <f t="shared" si="186"/>
        <v>#N/A</v>
      </c>
      <c r="QGN43" s="380" t="e">
        <f t="shared" si="186"/>
        <v>#N/A</v>
      </c>
      <c r="QGO43" s="380" t="e">
        <f t="shared" si="186"/>
        <v>#N/A</v>
      </c>
      <c r="QGP43" s="380" t="e">
        <f t="shared" si="186"/>
        <v>#N/A</v>
      </c>
      <c r="QGQ43" s="380" t="e">
        <f t="shared" si="186"/>
        <v>#N/A</v>
      </c>
      <c r="QGR43" s="380" t="e">
        <f t="shared" si="186"/>
        <v>#N/A</v>
      </c>
      <c r="QGS43" s="380" t="e">
        <f t="shared" si="186"/>
        <v>#N/A</v>
      </c>
      <c r="QGT43" s="380" t="e">
        <f t="shared" si="186"/>
        <v>#N/A</v>
      </c>
      <c r="QGU43" s="380" t="e">
        <f t="shared" si="186"/>
        <v>#N/A</v>
      </c>
      <c r="QGV43" s="380" t="e">
        <f t="shared" si="186"/>
        <v>#N/A</v>
      </c>
      <c r="QGW43" s="380" t="e">
        <f t="shared" si="186"/>
        <v>#N/A</v>
      </c>
      <c r="QGX43" s="380" t="e">
        <f t="shared" si="186"/>
        <v>#N/A</v>
      </c>
      <c r="QGY43" s="380" t="e">
        <f t="shared" si="186"/>
        <v>#N/A</v>
      </c>
      <c r="QGZ43" s="380" t="e">
        <f t="shared" si="186"/>
        <v>#N/A</v>
      </c>
      <c r="QHA43" s="380" t="e">
        <f t="shared" si="186"/>
        <v>#N/A</v>
      </c>
      <c r="QHB43" s="380" t="e">
        <f t="shared" si="186"/>
        <v>#N/A</v>
      </c>
      <c r="QHC43" s="380" t="e">
        <f t="shared" si="186"/>
        <v>#N/A</v>
      </c>
      <c r="QHD43" s="380" t="e">
        <f t="shared" si="186"/>
        <v>#N/A</v>
      </c>
      <c r="QHE43" s="380" t="e">
        <f t="shared" si="186"/>
        <v>#N/A</v>
      </c>
      <c r="QHF43" s="380" t="e">
        <f t="shared" si="186"/>
        <v>#N/A</v>
      </c>
      <c r="QHG43" s="380" t="e">
        <f t="shared" si="186"/>
        <v>#N/A</v>
      </c>
      <c r="QHH43" s="380" t="e">
        <f t="shared" si="186"/>
        <v>#N/A</v>
      </c>
      <c r="QHI43" s="380" t="e">
        <f t="shared" si="186"/>
        <v>#N/A</v>
      </c>
      <c r="QHJ43" s="380" t="e">
        <f t="shared" si="186"/>
        <v>#N/A</v>
      </c>
      <c r="QHK43" s="380" t="e">
        <f t="shared" si="186"/>
        <v>#N/A</v>
      </c>
      <c r="QHL43" s="380" t="e">
        <f t="shared" si="186"/>
        <v>#N/A</v>
      </c>
      <c r="QHM43" s="380" t="e">
        <f t="shared" si="186"/>
        <v>#N/A</v>
      </c>
      <c r="QHN43" s="380" t="e">
        <f t="shared" si="186"/>
        <v>#N/A</v>
      </c>
      <c r="QHO43" s="380" t="e">
        <f t="shared" si="186"/>
        <v>#N/A</v>
      </c>
      <c r="QHP43" s="380" t="e">
        <f t="shared" si="186"/>
        <v>#N/A</v>
      </c>
      <c r="QHQ43" s="380" t="e">
        <f t="shared" si="186"/>
        <v>#N/A</v>
      </c>
      <c r="QHR43" s="380" t="e">
        <f t="shared" si="186"/>
        <v>#N/A</v>
      </c>
      <c r="QHS43" s="380" t="e">
        <f t="shared" si="186"/>
        <v>#N/A</v>
      </c>
      <c r="QHT43" s="380" t="e">
        <f t="shared" ref="QHT43:QKE43" si="187">INDEX(QHT7:QHT40,MATCH($E$43,$E$7:$E$40,0))</f>
        <v>#N/A</v>
      </c>
      <c r="QHU43" s="380" t="e">
        <f t="shared" si="187"/>
        <v>#N/A</v>
      </c>
      <c r="QHV43" s="380" t="e">
        <f t="shared" si="187"/>
        <v>#N/A</v>
      </c>
      <c r="QHW43" s="380" t="e">
        <f t="shared" si="187"/>
        <v>#N/A</v>
      </c>
      <c r="QHX43" s="380" t="e">
        <f t="shared" si="187"/>
        <v>#N/A</v>
      </c>
      <c r="QHY43" s="380" t="e">
        <f t="shared" si="187"/>
        <v>#N/A</v>
      </c>
      <c r="QHZ43" s="380" t="e">
        <f t="shared" si="187"/>
        <v>#N/A</v>
      </c>
      <c r="QIA43" s="380" t="e">
        <f t="shared" si="187"/>
        <v>#N/A</v>
      </c>
      <c r="QIB43" s="380" t="e">
        <f t="shared" si="187"/>
        <v>#N/A</v>
      </c>
      <c r="QIC43" s="380" t="e">
        <f t="shared" si="187"/>
        <v>#N/A</v>
      </c>
      <c r="QID43" s="380" t="e">
        <f t="shared" si="187"/>
        <v>#N/A</v>
      </c>
      <c r="QIE43" s="380" t="e">
        <f t="shared" si="187"/>
        <v>#N/A</v>
      </c>
      <c r="QIF43" s="380" t="e">
        <f t="shared" si="187"/>
        <v>#N/A</v>
      </c>
      <c r="QIG43" s="380" t="e">
        <f t="shared" si="187"/>
        <v>#N/A</v>
      </c>
      <c r="QIH43" s="380" t="e">
        <f t="shared" si="187"/>
        <v>#N/A</v>
      </c>
      <c r="QII43" s="380" t="e">
        <f t="shared" si="187"/>
        <v>#N/A</v>
      </c>
      <c r="QIJ43" s="380" t="e">
        <f t="shared" si="187"/>
        <v>#N/A</v>
      </c>
      <c r="QIK43" s="380" t="e">
        <f t="shared" si="187"/>
        <v>#N/A</v>
      </c>
      <c r="QIL43" s="380" t="e">
        <f t="shared" si="187"/>
        <v>#N/A</v>
      </c>
      <c r="QIM43" s="380" t="e">
        <f t="shared" si="187"/>
        <v>#N/A</v>
      </c>
      <c r="QIN43" s="380" t="e">
        <f t="shared" si="187"/>
        <v>#N/A</v>
      </c>
      <c r="QIO43" s="380" t="e">
        <f t="shared" si="187"/>
        <v>#N/A</v>
      </c>
      <c r="QIP43" s="380" t="e">
        <f t="shared" si="187"/>
        <v>#N/A</v>
      </c>
      <c r="QIQ43" s="380" t="e">
        <f t="shared" si="187"/>
        <v>#N/A</v>
      </c>
      <c r="QIR43" s="380" t="e">
        <f t="shared" si="187"/>
        <v>#N/A</v>
      </c>
      <c r="QIS43" s="380" t="e">
        <f t="shared" si="187"/>
        <v>#N/A</v>
      </c>
      <c r="QIT43" s="380" t="e">
        <f t="shared" si="187"/>
        <v>#N/A</v>
      </c>
      <c r="QIU43" s="380" t="e">
        <f t="shared" si="187"/>
        <v>#N/A</v>
      </c>
      <c r="QIV43" s="380" t="e">
        <f t="shared" si="187"/>
        <v>#N/A</v>
      </c>
      <c r="QIW43" s="380" t="e">
        <f t="shared" si="187"/>
        <v>#N/A</v>
      </c>
      <c r="QIX43" s="380" t="e">
        <f t="shared" si="187"/>
        <v>#N/A</v>
      </c>
      <c r="QIY43" s="380" t="e">
        <f t="shared" si="187"/>
        <v>#N/A</v>
      </c>
      <c r="QIZ43" s="380" t="e">
        <f t="shared" si="187"/>
        <v>#N/A</v>
      </c>
      <c r="QJA43" s="380" t="e">
        <f t="shared" si="187"/>
        <v>#N/A</v>
      </c>
      <c r="QJB43" s="380" t="e">
        <f t="shared" si="187"/>
        <v>#N/A</v>
      </c>
      <c r="QJC43" s="380" t="e">
        <f t="shared" si="187"/>
        <v>#N/A</v>
      </c>
      <c r="QJD43" s="380" t="e">
        <f t="shared" si="187"/>
        <v>#N/A</v>
      </c>
      <c r="QJE43" s="380" t="e">
        <f t="shared" si="187"/>
        <v>#N/A</v>
      </c>
      <c r="QJF43" s="380" t="e">
        <f t="shared" si="187"/>
        <v>#N/A</v>
      </c>
      <c r="QJG43" s="380" t="e">
        <f t="shared" si="187"/>
        <v>#N/A</v>
      </c>
      <c r="QJH43" s="380" t="e">
        <f t="shared" si="187"/>
        <v>#N/A</v>
      </c>
      <c r="QJI43" s="380" t="e">
        <f t="shared" si="187"/>
        <v>#N/A</v>
      </c>
      <c r="QJJ43" s="380" t="e">
        <f t="shared" si="187"/>
        <v>#N/A</v>
      </c>
      <c r="QJK43" s="380" t="e">
        <f t="shared" si="187"/>
        <v>#N/A</v>
      </c>
      <c r="QJL43" s="380" t="e">
        <f t="shared" si="187"/>
        <v>#N/A</v>
      </c>
      <c r="QJM43" s="380" t="e">
        <f t="shared" si="187"/>
        <v>#N/A</v>
      </c>
      <c r="QJN43" s="380" t="e">
        <f t="shared" si="187"/>
        <v>#N/A</v>
      </c>
      <c r="QJO43" s="380" t="e">
        <f t="shared" si="187"/>
        <v>#N/A</v>
      </c>
      <c r="QJP43" s="380" t="e">
        <f t="shared" si="187"/>
        <v>#N/A</v>
      </c>
      <c r="QJQ43" s="380" t="e">
        <f t="shared" si="187"/>
        <v>#N/A</v>
      </c>
      <c r="QJR43" s="380" t="e">
        <f t="shared" si="187"/>
        <v>#N/A</v>
      </c>
      <c r="QJS43" s="380" t="e">
        <f t="shared" si="187"/>
        <v>#N/A</v>
      </c>
      <c r="QJT43" s="380" t="e">
        <f t="shared" si="187"/>
        <v>#N/A</v>
      </c>
      <c r="QJU43" s="380" t="e">
        <f t="shared" si="187"/>
        <v>#N/A</v>
      </c>
      <c r="QJV43" s="380" t="e">
        <f t="shared" si="187"/>
        <v>#N/A</v>
      </c>
      <c r="QJW43" s="380" t="e">
        <f t="shared" si="187"/>
        <v>#N/A</v>
      </c>
      <c r="QJX43" s="380" t="e">
        <f t="shared" si="187"/>
        <v>#N/A</v>
      </c>
      <c r="QJY43" s="380" t="e">
        <f t="shared" si="187"/>
        <v>#N/A</v>
      </c>
      <c r="QJZ43" s="380" t="e">
        <f t="shared" si="187"/>
        <v>#N/A</v>
      </c>
      <c r="QKA43" s="380" t="e">
        <f t="shared" si="187"/>
        <v>#N/A</v>
      </c>
      <c r="QKB43" s="380" t="e">
        <f t="shared" si="187"/>
        <v>#N/A</v>
      </c>
      <c r="QKC43" s="380" t="e">
        <f t="shared" si="187"/>
        <v>#N/A</v>
      </c>
      <c r="QKD43" s="380" t="e">
        <f t="shared" si="187"/>
        <v>#N/A</v>
      </c>
      <c r="QKE43" s="380" t="e">
        <f t="shared" si="187"/>
        <v>#N/A</v>
      </c>
      <c r="QKF43" s="380" t="e">
        <f t="shared" ref="QKF43:QMQ43" si="188">INDEX(QKF7:QKF40,MATCH($E$43,$E$7:$E$40,0))</f>
        <v>#N/A</v>
      </c>
      <c r="QKG43" s="380" t="e">
        <f t="shared" si="188"/>
        <v>#N/A</v>
      </c>
      <c r="QKH43" s="380" t="e">
        <f t="shared" si="188"/>
        <v>#N/A</v>
      </c>
      <c r="QKI43" s="380" t="e">
        <f t="shared" si="188"/>
        <v>#N/A</v>
      </c>
      <c r="QKJ43" s="380" t="e">
        <f t="shared" si="188"/>
        <v>#N/A</v>
      </c>
      <c r="QKK43" s="380" t="e">
        <f t="shared" si="188"/>
        <v>#N/A</v>
      </c>
      <c r="QKL43" s="380" t="e">
        <f t="shared" si="188"/>
        <v>#N/A</v>
      </c>
      <c r="QKM43" s="380" t="e">
        <f t="shared" si="188"/>
        <v>#N/A</v>
      </c>
      <c r="QKN43" s="380" t="e">
        <f t="shared" si="188"/>
        <v>#N/A</v>
      </c>
      <c r="QKO43" s="380" t="e">
        <f t="shared" si="188"/>
        <v>#N/A</v>
      </c>
      <c r="QKP43" s="380" t="e">
        <f t="shared" si="188"/>
        <v>#N/A</v>
      </c>
      <c r="QKQ43" s="380" t="e">
        <f t="shared" si="188"/>
        <v>#N/A</v>
      </c>
      <c r="QKR43" s="380" t="e">
        <f t="shared" si="188"/>
        <v>#N/A</v>
      </c>
      <c r="QKS43" s="380" t="e">
        <f t="shared" si="188"/>
        <v>#N/A</v>
      </c>
      <c r="QKT43" s="380" t="e">
        <f t="shared" si="188"/>
        <v>#N/A</v>
      </c>
      <c r="QKU43" s="380" t="e">
        <f t="shared" si="188"/>
        <v>#N/A</v>
      </c>
      <c r="QKV43" s="380" t="e">
        <f t="shared" si="188"/>
        <v>#N/A</v>
      </c>
      <c r="QKW43" s="380" t="e">
        <f t="shared" si="188"/>
        <v>#N/A</v>
      </c>
      <c r="QKX43" s="380" t="e">
        <f t="shared" si="188"/>
        <v>#N/A</v>
      </c>
      <c r="QKY43" s="380" t="e">
        <f t="shared" si="188"/>
        <v>#N/A</v>
      </c>
      <c r="QKZ43" s="380" t="e">
        <f t="shared" si="188"/>
        <v>#N/A</v>
      </c>
      <c r="QLA43" s="380" t="e">
        <f t="shared" si="188"/>
        <v>#N/A</v>
      </c>
      <c r="QLB43" s="380" t="e">
        <f t="shared" si="188"/>
        <v>#N/A</v>
      </c>
      <c r="QLC43" s="380" t="e">
        <f t="shared" si="188"/>
        <v>#N/A</v>
      </c>
      <c r="QLD43" s="380" t="e">
        <f t="shared" si="188"/>
        <v>#N/A</v>
      </c>
      <c r="QLE43" s="380" t="e">
        <f t="shared" si="188"/>
        <v>#N/A</v>
      </c>
      <c r="QLF43" s="380" t="e">
        <f t="shared" si="188"/>
        <v>#N/A</v>
      </c>
      <c r="QLG43" s="380" t="e">
        <f t="shared" si="188"/>
        <v>#N/A</v>
      </c>
      <c r="QLH43" s="380" t="e">
        <f t="shared" si="188"/>
        <v>#N/A</v>
      </c>
      <c r="QLI43" s="380" t="e">
        <f t="shared" si="188"/>
        <v>#N/A</v>
      </c>
      <c r="QLJ43" s="380" t="e">
        <f t="shared" si="188"/>
        <v>#N/A</v>
      </c>
      <c r="QLK43" s="380" t="e">
        <f t="shared" si="188"/>
        <v>#N/A</v>
      </c>
      <c r="QLL43" s="380" t="e">
        <f t="shared" si="188"/>
        <v>#N/A</v>
      </c>
      <c r="QLM43" s="380" t="e">
        <f t="shared" si="188"/>
        <v>#N/A</v>
      </c>
      <c r="QLN43" s="380" t="e">
        <f t="shared" si="188"/>
        <v>#N/A</v>
      </c>
      <c r="QLO43" s="380" t="e">
        <f t="shared" si="188"/>
        <v>#N/A</v>
      </c>
      <c r="QLP43" s="380" t="e">
        <f t="shared" si="188"/>
        <v>#N/A</v>
      </c>
      <c r="QLQ43" s="380" t="e">
        <f t="shared" si="188"/>
        <v>#N/A</v>
      </c>
      <c r="QLR43" s="380" t="e">
        <f t="shared" si="188"/>
        <v>#N/A</v>
      </c>
      <c r="QLS43" s="380" t="e">
        <f t="shared" si="188"/>
        <v>#N/A</v>
      </c>
      <c r="QLT43" s="380" t="e">
        <f t="shared" si="188"/>
        <v>#N/A</v>
      </c>
      <c r="QLU43" s="380" t="e">
        <f t="shared" si="188"/>
        <v>#N/A</v>
      </c>
      <c r="QLV43" s="380" t="e">
        <f t="shared" si="188"/>
        <v>#N/A</v>
      </c>
      <c r="QLW43" s="380" t="e">
        <f t="shared" si="188"/>
        <v>#N/A</v>
      </c>
      <c r="QLX43" s="380" t="e">
        <f t="shared" si="188"/>
        <v>#N/A</v>
      </c>
      <c r="QLY43" s="380" t="e">
        <f t="shared" si="188"/>
        <v>#N/A</v>
      </c>
      <c r="QLZ43" s="380" t="e">
        <f t="shared" si="188"/>
        <v>#N/A</v>
      </c>
      <c r="QMA43" s="380" t="e">
        <f t="shared" si="188"/>
        <v>#N/A</v>
      </c>
      <c r="QMB43" s="380" t="e">
        <f t="shared" si="188"/>
        <v>#N/A</v>
      </c>
      <c r="QMC43" s="380" t="e">
        <f t="shared" si="188"/>
        <v>#N/A</v>
      </c>
      <c r="QMD43" s="380" t="e">
        <f t="shared" si="188"/>
        <v>#N/A</v>
      </c>
      <c r="QME43" s="380" t="e">
        <f t="shared" si="188"/>
        <v>#N/A</v>
      </c>
      <c r="QMF43" s="380" t="e">
        <f t="shared" si="188"/>
        <v>#N/A</v>
      </c>
      <c r="QMG43" s="380" t="e">
        <f t="shared" si="188"/>
        <v>#N/A</v>
      </c>
      <c r="QMH43" s="380" t="e">
        <f t="shared" si="188"/>
        <v>#N/A</v>
      </c>
      <c r="QMI43" s="380" t="e">
        <f t="shared" si="188"/>
        <v>#N/A</v>
      </c>
      <c r="QMJ43" s="380" t="e">
        <f t="shared" si="188"/>
        <v>#N/A</v>
      </c>
      <c r="QMK43" s="380" t="e">
        <f t="shared" si="188"/>
        <v>#N/A</v>
      </c>
      <c r="QML43" s="380" t="e">
        <f t="shared" si="188"/>
        <v>#N/A</v>
      </c>
      <c r="QMM43" s="380" t="e">
        <f t="shared" si="188"/>
        <v>#N/A</v>
      </c>
      <c r="QMN43" s="380" t="e">
        <f t="shared" si="188"/>
        <v>#N/A</v>
      </c>
      <c r="QMO43" s="380" t="e">
        <f t="shared" si="188"/>
        <v>#N/A</v>
      </c>
      <c r="QMP43" s="380" t="e">
        <f t="shared" si="188"/>
        <v>#N/A</v>
      </c>
      <c r="QMQ43" s="380" t="e">
        <f t="shared" si="188"/>
        <v>#N/A</v>
      </c>
      <c r="QMR43" s="380" t="e">
        <f t="shared" ref="QMR43:QPC43" si="189">INDEX(QMR7:QMR40,MATCH($E$43,$E$7:$E$40,0))</f>
        <v>#N/A</v>
      </c>
      <c r="QMS43" s="380" t="e">
        <f t="shared" si="189"/>
        <v>#N/A</v>
      </c>
      <c r="QMT43" s="380" t="e">
        <f t="shared" si="189"/>
        <v>#N/A</v>
      </c>
      <c r="QMU43" s="380" t="e">
        <f t="shared" si="189"/>
        <v>#N/A</v>
      </c>
      <c r="QMV43" s="380" t="e">
        <f t="shared" si="189"/>
        <v>#N/A</v>
      </c>
      <c r="QMW43" s="380" t="e">
        <f t="shared" si="189"/>
        <v>#N/A</v>
      </c>
      <c r="QMX43" s="380" t="e">
        <f t="shared" si="189"/>
        <v>#N/A</v>
      </c>
      <c r="QMY43" s="380" t="e">
        <f t="shared" si="189"/>
        <v>#N/A</v>
      </c>
      <c r="QMZ43" s="380" t="e">
        <f t="shared" si="189"/>
        <v>#N/A</v>
      </c>
      <c r="QNA43" s="380" t="e">
        <f t="shared" si="189"/>
        <v>#N/A</v>
      </c>
      <c r="QNB43" s="380" t="e">
        <f t="shared" si="189"/>
        <v>#N/A</v>
      </c>
      <c r="QNC43" s="380" t="e">
        <f t="shared" si="189"/>
        <v>#N/A</v>
      </c>
      <c r="QND43" s="380" t="e">
        <f t="shared" si="189"/>
        <v>#N/A</v>
      </c>
      <c r="QNE43" s="380" t="e">
        <f t="shared" si="189"/>
        <v>#N/A</v>
      </c>
      <c r="QNF43" s="380" t="e">
        <f t="shared" si="189"/>
        <v>#N/A</v>
      </c>
      <c r="QNG43" s="380" t="e">
        <f t="shared" si="189"/>
        <v>#N/A</v>
      </c>
      <c r="QNH43" s="380" t="e">
        <f t="shared" si="189"/>
        <v>#N/A</v>
      </c>
      <c r="QNI43" s="380" t="e">
        <f t="shared" si="189"/>
        <v>#N/A</v>
      </c>
      <c r="QNJ43" s="380" t="e">
        <f t="shared" si="189"/>
        <v>#N/A</v>
      </c>
      <c r="QNK43" s="380" t="e">
        <f t="shared" si="189"/>
        <v>#N/A</v>
      </c>
      <c r="QNL43" s="380" t="e">
        <f t="shared" si="189"/>
        <v>#N/A</v>
      </c>
      <c r="QNM43" s="380" t="e">
        <f t="shared" si="189"/>
        <v>#N/A</v>
      </c>
      <c r="QNN43" s="380" t="e">
        <f t="shared" si="189"/>
        <v>#N/A</v>
      </c>
      <c r="QNO43" s="380" t="e">
        <f t="shared" si="189"/>
        <v>#N/A</v>
      </c>
      <c r="QNP43" s="380" t="e">
        <f t="shared" si="189"/>
        <v>#N/A</v>
      </c>
      <c r="QNQ43" s="380" t="e">
        <f t="shared" si="189"/>
        <v>#N/A</v>
      </c>
      <c r="QNR43" s="380" t="e">
        <f t="shared" si="189"/>
        <v>#N/A</v>
      </c>
      <c r="QNS43" s="380" t="e">
        <f t="shared" si="189"/>
        <v>#N/A</v>
      </c>
      <c r="QNT43" s="380" t="e">
        <f t="shared" si="189"/>
        <v>#N/A</v>
      </c>
      <c r="QNU43" s="380" t="e">
        <f t="shared" si="189"/>
        <v>#N/A</v>
      </c>
      <c r="QNV43" s="380" t="e">
        <f t="shared" si="189"/>
        <v>#N/A</v>
      </c>
      <c r="QNW43" s="380" t="e">
        <f t="shared" si="189"/>
        <v>#N/A</v>
      </c>
      <c r="QNX43" s="380" t="e">
        <f t="shared" si="189"/>
        <v>#N/A</v>
      </c>
      <c r="QNY43" s="380" t="e">
        <f t="shared" si="189"/>
        <v>#N/A</v>
      </c>
      <c r="QNZ43" s="380" t="e">
        <f t="shared" si="189"/>
        <v>#N/A</v>
      </c>
      <c r="QOA43" s="380" t="e">
        <f t="shared" si="189"/>
        <v>#N/A</v>
      </c>
      <c r="QOB43" s="380" t="e">
        <f t="shared" si="189"/>
        <v>#N/A</v>
      </c>
      <c r="QOC43" s="380" t="e">
        <f t="shared" si="189"/>
        <v>#N/A</v>
      </c>
      <c r="QOD43" s="380" t="e">
        <f t="shared" si="189"/>
        <v>#N/A</v>
      </c>
      <c r="QOE43" s="380" t="e">
        <f t="shared" si="189"/>
        <v>#N/A</v>
      </c>
      <c r="QOF43" s="380" t="e">
        <f t="shared" si="189"/>
        <v>#N/A</v>
      </c>
      <c r="QOG43" s="380" t="e">
        <f t="shared" si="189"/>
        <v>#N/A</v>
      </c>
      <c r="QOH43" s="380" t="e">
        <f t="shared" si="189"/>
        <v>#N/A</v>
      </c>
      <c r="QOI43" s="380" t="e">
        <f t="shared" si="189"/>
        <v>#N/A</v>
      </c>
      <c r="QOJ43" s="380" t="e">
        <f t="shared" si="189"/>
        <v>#N/A</v>
      </c>
      <c r="QOK43" s="380" t="e">
        <f t="shared" si="189"/>
        <v>#N/A</v>
      </c>
      <c r="QOL43" s="380" t="e">
        <f t="shared" si="189"/>
        <v>#N/A</v>
      </c>
      <c r="QOM43" s="380" t="e">
        <f t="shared" si="189"/>
        <v>#N/A</v>
      </c>
      <c r="QON43" s="380" t="e">
        <f t="shared" si="189"/>
        <v>#N/A</v>
      </c>
      <c r="QOO43" s="380" t="e">
        <f t="shared" si="189"/>
        <v>#N/A</v>
      </c>
      <c r="QOP43" s="380" t="e">
        <f t="shared" si="189"/>
        <v>#N/A</v>
      </c>
      <c r="QOQ43" s="380" t="e">
        <f t="shared" si="189"/>
        <v>#N/A</v>
      </c>
      <c r="QOR43" s="380" t="e">
        <f t="shared" si="189"/>
        <v>#N/A</v>
      </c>
      <c r="QOS43" s="380" t="e">
        <f t="shared" si="189"/>
        <v>#N/A</v>
      </c>
      <c r="QOT43" s="380" t="e">
        <f t="shared" si="189"/>
        <v>#N/A</v>
      </c>
      <c r="QOU43" s="380" t="e">
        <f t="shared" si="189"/>
        <v>#N/A</v>
      </c>
      <c r="QOV43" s="380" t="e">
        <f t="shared" si="189"/>
        <v>#N/A</v>
      </c>
      <c r="QOW43" s="380" t="e">
        <f t="shared" si="189"/>
        <v>#N/A</v>
      </c>
      <c r="QOX43" s="380" t="e">
        <f t="shared" si="189"/>
        <v>#N/A</v>
      </c>
      <c r="QOY43" s="380" t="e">
        <f t="shared" si="189"/>
        <v>#N/A</v>
      </c>
      <c r="QOZ43" s="380" t="e">
        <f t="shared" si="189"/>
        <v>#N/A</v>
      </c>
      <c r="QPA43" s="380" t="e">
        <f t="shared" si="189"/>
        <v>#N/A</v>
      </c>
      <c r="QPB43" s="380" t="e">
        <f t="shared" si="189"/>
        <v>#N/A</v>
      </c>
      <c r="QPC43" s="380" t="e">
        <f t="shared" si="189"/>
        <v>#N/A</v>
      </c>
      <c r="QPD43" s="380" t="e">
        <f t="shared" ref="QPD43:QRO43" si="190">INDEX(QPD7:QPD40,MATCH($E$43,$E$7:$E$40,0))</f>
        <v>#N/A</v>
      </c>
      <c r="QPE43" s="380" t="e">
        <f t="shared" si="190"/>
        <v>#N/A</v>
      </c>
      <c r="QPF43" s="380" t="e">
        <f t="shared" si="190"/>
        <v>#N/A</v>
      </c>
      <c r="QPG43" s="380" t="e">
        <f t="shared" si="190"/>
        <v>#N/A</v>
      </c>
      <c r="QPH43" s="380" t="e">
        <f t="shared" si="190"/>
        <v>#N/A</v>
      </c>
      <c r="QPI43" s="380" t="e">
        <f t="shared" si="190"/>
        <v>#N/A</v>
      </c>
      <c r="QPJ43" s="380" t="e">
        <f t="shared" si="190"/>
        <v>#N/A</v>
      </c>
      <c r="QPK43" s="380" t="e">
        <f t="shared" si="190"/>
        <v>#N/A</v>
      </c>
      <c r="QPL43" s="380" t="e">
        <f t="shared" si="190"/>
        <v>#N/A</v>
      </c>
      <c r="QPM43" s="380" t="e">
        <f t="shared" si="190"/>
        <v>#N/A</v>
      </c>
      <c r="QPN43" s="380" t="e">
        <f t="shared" si="190"/>
        <v>#N/A</v>
      </c>
      <c r="QPO43" s="380" t="e">
        <f t="shared" si="190"/>
        <v>#N/A</v>
      </c>
      <c r="QPP43" s="380" t="e">
        <f t="shared" si="190"/>
        <v>#N/A</v>
      </c>
      <c r="QPQ43" s="380" t="e">
        <f t="shared" si="190"/>
        <v>#N/A</v>
      </c>
      <c r="QPR43" s="380" t="e">
        <f t="shared" si="190"/>
        <v>#N/A</v>
      </c>
      <c r="QPS43" s="380" t="e">
        <f t="shared" si="190"/>
        <v>#N/A</v>
      </c>
      <c r="QPT43" s="380" t="e">
        <f t="shared" si="190"/>
        <v>#N/A</v>
      </c>
      <c r="QPU43" s="380" t="e">
        <f t="shared" si="190"/>
        <v>#N/A</v>
      </c>
      <c r="QPV43" s="380" t="e">
        <f t="shared" si="190"/>
        <v>#N/A</v>
      </c>
      <c r="QPW43" s="380" t="e">
        <f t="shared" si="190"/>
        <v>#N/A</v>
      </c>
      <c r="QPX43" s="380" t="e">
        <f t="shared" si="190"/>
        <v>#N/A</v>
      </c>
      <c r="QPY43" s="380" t="e">
        <f t="shared" si="190"/>
        <v>#N/A</v>
      </c>
      <c r="QPZ43" s="380" t="e">
        <f t="shared" si="190"/>
        <v>#N/A</v>
      </c>
      <c r="QQA43" s="380" t="e">
        <f t="shared" si="190"/>
        <v>#N/A</v>
      </c>
      <c r="QQB43" s="380" t="e">
        <f t="shared" si="190"/>
        <v>#N/A</v>
      </c>
      <c r="QQC43" s="380" t="e">
        <f t="shared" si="190"/>
        <v>#N/A</v>
      </c>
      <c r="QQD43" s="380" t="e">
        <f t="shared" si="190"/>
        <v>#N/A</v>
      </c>
      <c r="QQE43" s="380" t="e">
        <f t="shared" si="190"/>
        <v>#N/A</v>
      </c>
      <c r="QQF43" s="380" t="e">
        <f t="shared" si="190"/>
        <v>#N/A</v>
      </c>
      <c r="QQG43" s="380" t="e">
        <f t="shared" si="190"/>
        <v>#N/A</v>
      </c>
      <c r="QQH43" s="380" t="e">
        <f t="shared" si="190"/>
        <v>#N/A</v>
      </c>
      <c r="QQI43" s="380" t="e">
        <f t="shared" si="190"/>
        <v>#N/A</v>
      </c>
      <c r="QQJ43" s="380" t="e">
        <f t="shared" si="190"/>
        <v>#N/A</v>
      </c>
      <c r="QQK43" s="380" t="e">
        <f t="shared" si="190"/>
        <v>#N/A</v>
      </c>
      <c r="QQL43" s="380" t="e">
        <f t="shared" si="190"/>
        <v>#N/A</v>
      </c>
      <c r="QQM43" s="380" t="e">
        <f t="shared" si="190"/>
        <v>#N/A</v>
      </c>
      <c r="QQN43" s="380" t="e">
        <f t="shared" si="190"/>
        <v>#N/A</v>
      </c>
      <c r="QQO43" s="380" t="e">
        <f t="shared" si="190"/>
        <v>#N/A</v>
      </c>
      <c r="QQP43" s="380" t="e">
        <f t="shared" si="190"/>
        <v>#N/A</v>
      </c>
      <c r="QQQ43" s="380" t="e">
        <f t="shared" si="190"/>
        <v>#N/A</v>
      </c>
      <c r="QQR43" s="380" t="e">
        <f t="shared" si="190"/>
        <v>#N/A</v>
      </c>
      <c r="QQS43" s="380" t="e">
        <f t="shared" si="190"/>
        <v>#N/A</v>
      </c>
      <c r="QQT43" s="380" t="e">
        <f t="shared" si="190"/>
        <v>#N/A</v>
      </c>
      <c r="QQU43" s="380" t="e">
        <f t="shared" si="190"/>
        <v>#N/A</v>
      </c>
      <c r="QQV43" s="380" t="e">
        <f t="shared" si="190"/>
        <v>#N/A</v>
      </c>
      <c r="QQW43" s="380" t="e">
        <f t="shared" si="190"/>
        <v>#N/A</v>
      </c>
      <c r="QQX43" s="380" t="e">
        <f t="shared" si="190"/>
        <v>#N/A</v>
      </c>
      <c r="QQY43" s="380" t="e">
        <f t="shared" si="190"/>
        <v>#N/A</v>
      </c>
      <c r="QQZ43" s="380" t="e">
        <f t="shared" si="190"/>
        <v>#N/A</v>
      </c>
      <c r="QRA43" s="380" t="e">
        <f t="shared" si="190"/>
        <v>#N/A</v>
      </c>
      <c r="QRB43" s="380" t="e">
        <f t="shared" si="190"/>
        <v>#N/A</v>
      </c>
      <c r="QRC43" s="380" t="e">
        <f t="shared" si="190"/>
        <v>#N/A</v>
      </c>
      <c r="QRD43" s="380" t="e">
        <f t="shared" si="190"/>
        <v>#N/A</v>
      </c>
      <c r="QRE43" s="380" t="e">
        <f t="shared" si="190"/>
        <v>#N/A</v>
      </c>
      <c r="QRF43" s="380" t="e">
        <f t="shared" si="190"/>
        <v>#N/A</v>
      </c>
      <c r="QRG43" s="380" t="e">
        <f t="shared" si="190"/>
        <v>#N/A</v>
      </c>
      <c r="QRH43" s="380" t="e">
        <f t="shared" si="190"/>
        <v>#N/A</v>
      </c>
      <c r="QRI43" s="380" t="e">
        <f t="shared" si="190"/>
        <v>#N/A</v>
      </c>
      <c r="QRJ43" s="380" t="e">
        <f t="shared" si="190"/>
        <v>#N/A</v>
      </c>
      <c r="QRK43" s="380" t="e">
        <f t="shared" si="190"/>
        <v>#N/A</v>
      </c>
      <c r="QRL43" s="380" t="e">
        <f t="shared" si="190"/>
        <v>#N/A</v>
      </c>
      <c r="QRM43" s="380" t="e">
        <f t="shared" si="190"/>
        <v>#N/A</v>
      </c>
      <c r="QRN43" s="380" t="e">
        <f t="shared" si="190"/>
        <v>#N/A</v>
      </c>
      <c r="QRO43" s="380" t="e">
        <f t="shared" si="190"/>
        <v>#N/A</v>
      </c>
      <c r="QRP43" s="380" t="e">
        <f t="shared" ref="QRP43:QUA43" si="191">INDEX(QRP7:QRP40,MATCH($E$43,$E$7:$E$40,0))</f>
        <v>#N/A</v>
      </c>
      <c r="QRQ43" s="380" t="e">
        <f t="shared" si="191"/>
        <v>#N/A</v>
      </c>
      <c r="QRR43" s="380" t="e">
        <f t="shared" si="191"/>
        <v>#N/A</v>
      </c>
      <c r="QRS43" s="380" t="e">
        <f t="shared" si="191"/>
        <v>#N/A</v>
      </c>
      <c r="QRT43" s="380" t="e">
        <f t="shared" si="191"/>
        <v>#N/A</v>
      </c>
      <c r="QRU43" s="380" t="e">
        <f t="shared" si="191"/>
        <v>#N/A</v>
      </c>
      <c r="QRV43" s="380" t="e">
        <f t="shared" si="191"/>
        <v>#N/A</v>
      </c>
      <c r="QRW43" s="380" t="e">
        <f t="shared" si="191"/>
        <v>#N/A</v>
      </c>
      <c r="QRX43" s="380" t="e">
        <f t="shared" si="191"/>
        <v>#N/A</v>
      </c>
      <c r="QRY43" s="380" t="e">
        <f t="shared" si="191"/>
        <v>#N/A</v>
      </c>
      <c r="QRZ43" s="380" t="e">
        <f t="shared" si="191"/>
        <v>#N/A</v>
      </c>
      <c r="QSA43" s="380" t="e">
        <f t="shared" si="191"/>
        <v>#N/A</v>
      </c>
      <c r="QSB43" s="380" t="e">
        <f t="shared" si="191"/>
        <v>#N/A</v>
      </c>
      <c r="QSC43" s="380" t="e">
        <f t="shared" si="191"/>
        <v>#N/A</v>
      </c>
      <c r="QSD43" s="380" t="e">
        <f t="shared" si="191"/>
        <v>#N/A</v>
      </c>
      <c r="QSE43" s="380" t="e">
        <f t="shared" si="191"/>
        <v>#N/A</v>
      </c>
      <c r="QSF43" s="380" t="e">
        <f t="shared" si="191"/>
        <v>#N/A</v>
      </c>
      <c r="QSG43" s="380" t="e">
        <f t="shared" si="191"/>
        <v>#N/A</v>
      </c>
      <c r="QSH43" s="380" t="e">
        <f t="shared" si="191"/>
        <v>#N/A</v>
      </c>
      <c r="QSI43" s="380" t="e">
        <f t="shared" si="191"/>
        <v>#N/A</v>
      </c>
      <c r="QSJ43" s="380" t="e">
        <f t="shared" si="191"/>
        <v>#N/A</v>
      </c>
      <c r="QSK43" s="380" t="e">
        <f t="shared" si="191"/>
        <v>#N/A</v>
      </c>
      <c r="QSL43" s="380" t="e">
        <f t="shared" si="191"/>
        <v>#N/A</v>
      </c>
      <c r="QSM43" s="380" t="e">
        <f t="shared" si="191"/>
        <v>#N/A</v>
      </c>
      <c r="QSN43" s="380" t="e">
        <f t="shared" si="191"/>
        <v>#N/A</v>
      </c>
      <c r="QSO43" s="380" t="e">
        <f t="shared" si="191"/>
        <v>#N/A</v>
      </c>
      <c r="QSP43" s="380" t="e">
        <f t="shared" si="191"/>
        <v>#N/A</v>
      </c>
      <c r="QSQ43" s="380" t="e">
        <f t="shared" si="191"/>
        <v>#N/A</v>
      </c>
      <c r="QSR43" s="380" t="e">
        <f t="shared" si="191"/>
        <v>#N/A</v>
      </c>
      <c r="QSS43" s="380" t="e">
        <f t="shared" si="191"/>
        <v>#N/A</v>
      </c>
      <c r="QST43" s="380" t="e">
        <f t="shared" si="191"/>
        <v>#N/A</v>
      </c>
      <c r="QSU43" s="380" t="e">
        <f t="shared" si="191"/>
        <v>#N/A</v>
      </c>
      <c r="QSV43" s="380" t="e">
        <f t="shared" si="191"/>
        <v>#N/A</v>
      </c>
      <c r="QSW43" s="380" t="e">
        <f t="shared" si="191"/>
        <v>#N/A</v>
      </c>
      <c r="QSX43" s="380" t="e">
        <f t="shared" si="191"/>
        <v>#N/A</v>
      </c>
      <c r="QSY43" s="380" t="e">
        <f t="shared" si="191"/>
        <v>#N/A</v>
      </c>
      <c r="QSZ43" s="380" t="e">
        <f t="shared" si="191"/>
        <v>#N/A</v>
      </c>
      <c r="QTA43" s="380" t="e">
        <f t="shared" si="191"/>
        <v>#N/A</v>
      </c>
      <c r="QTB43" s="380" t="e">
        <f t="shared" si="191"/>
        <v>#N/A</v>
      </c>
      <c r="QTC43" s="380" t="e">
        <f t="shared" si="191"/>
        <v>#N/A</v>
      </c>
      <c r="QTD43" s="380" t="e">
        <f t="shared" si="191"/>
        <v>#N/A</v>
      </c>
      <c r="QTE43" s="380" t="e">
        <f t="shared" si="191"/>
        <v>#N/A</v>
      </c>
      <c r="QTF43" s="380" t="e">
        <f t="shared" si="191"/>
        <v>#N/A</v>
      </c>
      <c r="QTG43" s="380" t="e">
        <f t="shared" si="191"/>
        <v>#N/A</v>
      </c>
      <c r="QTH43" s="380" t="e">
        <f t="shared" si="191"/>
        <v>#N/A</v>
      </c>
      <c r="QTI43" s="380" t="e">
        <f t="shared" si="191"/>
        <v>#N/A</v>
      </c>
      <c r="QTJ43" s="380" t="e">
        <f t="shared" si="191"/>
        <v>#N/A</v>
      </c>
      <c r="QTK43" s="380" t="e">
        <f t="shared" si="191"/>
        <v>#N/A</v>
      </c>
      <c r="QTL43" s="380" t="e">
        <f t="shared" si="191"/>
        <v>#N/A</v>
      </c>
      <c r="QTM43" s="380" t="e">
        <f t="shared" si="191"/>
        <v>#N/A</v>
      </c>
      <c r="QTN43" s="380" t="e">
        <f t="shared" si="191"/>
        <v>#N/A</v>
      </c>
      <c r="QTO43" s="380" t="e">
        <f t="shared" si="191"/>
        <v>#N/A</v>
      </c>
      <c r="QTP43" s="380" t="e">
        <f t="shared" si="191"/>
        <v>#N/A</v>
      </c>
      <c r="QTQ43" s="380" t="e">
        <f t="shared" si="191"/>
        <v>#N/A</v>
      </c>
      <c r="QTR43" s="380" t="e">
        <f t="shared" si="191"/>
        <v>#N/A</v>
      </c>
      <c r="QTS43" s="380" t="e">
        <f t="shared" si="191"/>
        <v>#N/A</v>
      </c>
      <c r="QTT43" s="380" t="e">
        <f t="shared" si="191"/>
        <v>#N/A</v>
      </c>
      <c r="QTU43" s="380" t="e">
        <f t="shared" si="191"/>
        <v>#N/A</v>
      </c>
      <c r="QTV43" s="380" t="e">
        <f t="shared" si="191"/>
        <v>#N/A</v>
      </c>
      <c r="QTW43" s="380" t="e">
        <f t="shared" si="191"/>
        <v>#N/A</v>
      </c>
      <c r="QTX43" s="380" t="e">
        <f t="shared" si="191"/>
        <v>#N/A</v>
      </c>
      <c r="QTY43" s="380" t="e">
        <f t="shared" si="191"/>
        <v>#N/A</v>
      </c>
      <c r="QTZ43" s="380" t="e">
        <f t="shared" si="191"/>
        <v>#N/A</v>
      </c>
      <c r="QUA43" s="380" t="e">
        <f t="shared" si="191"/>
        <v>#N/A</v>
      </c>
      <c r="QUB43" s="380" t="e">
        <f t="shared" ref="QUB43:QWM43" si="192">INDEX(QUB7:QUB40,MATCH($E$43,$E$7:$E$40,0))</f>
        <v>#N/A</v>
      </c>
      <c r="QUC43" s="380" t="e">
        <f t="shared" si="192"/>
        <v>#N/A</v>
      </c>
      <c r="QUD43" s="380" t="e">
        <f t="shared" si="192"/>
        <v>#N/A</v>
      </c>
      <c r="QUE43" s="380" t="e">
        <f t="shared" si="192"/>
        <v>#N/A</v>
      </c>
      <c r="QUF43" s="380" t="e">
        <f t="shared" si="192"/>
        <v>#N/A</v>
      </c>
      <c r="QUG43" s="380" t="e">
        <f t="shared" si="192"/>
        <v>#N/A</v>
      </c>
      <c r="QUH43" s="380" t="e">
        <f t="shared" si="192"/>
        <v>#N/A</v>
      </c>
      <c r="QUI43" s="380" t="e">
        <f t="shared" si="192"/>
        <v>#N/A</v>
      </c>
      <c r="QUJ43" s="380" t="e">
        <f t="shared" si="192"/>
        <v>#N/A</v>
      </c>
      <c r="QUK43" s="380" t="e">
        <f t="shared" si="192"/>
        <v>#N/A</v>
      </c>
      <c r="QUL43" s="380" t="e">
        <f t="shared" si="192"/>
        <v>#N/A</v>
      </c>
      <c r="QUM43" s="380" t="e">
        <f t="shared" si="192"/>
        <v>#N/A</v>
      </c>
      <c r="QUN43" s="380" t="e">
        <f t="shared" si="192"/>
        <v>#N/A</v>
      </c>
      <c r="QUO43" s="380" t="e">
        <f t="shared" si="192"/>
        <v>#N/A</v>
      </c>
      <c r="QUP43" s="380" t="e">
        <f t="shared" si="192"/>
        <v>#N/A</v>
      </c>
      <c r="QUQ43" s="380" t="e">
        <f t="shared" si="192"/>
        <v>#N/A</v>
      </c>
      <c r="QUR43" s="380" t="e">
        <f t="shared" si="192"/>
        <v>#N/A</v>
      </c>
      <c r="QUS43" s="380" t="e">
        <f t="shared" si="192"/>
        <v>#N/A</v>
      </c>
      <c r="QUT43" s="380" t="e">
        <f t="shared" si="192"/>
        <v>#N/A</v>
      </c>
      <c r="QUU43" s="380" t="e">
        <f t="shared" si="192"/>
        <v>#N/A</v>
      </c>
      <c r="QUV43" s="380" t="e">
        <f t="shared" si="192"/>
        <v>#N/A</v>
      </c>
      <c r="QUW43" s="380" t="e">
        <f t="shared" si="192"/>
        <v>#N/A</v>
      </c>
      <c r="QUX43" s="380" t="e">
        <f t="shared" si="192"/>
        <v>#N/A</v>
      </c>
      <c r="QUY43" s="380" t="e">
        <f t="shared" si="192"/>
        <v>#N/A</v>
      </c>
      <c r="QUZ43" s="380" t="e">
        <f t="shared" si="192"/>
        <v>#N/A</v>
      </c>
      <c r="QVA43" s="380" t="e">
        <f t="shared" si="192"/>
        <v>#N/A</v>
      </c>
      <c r="QVB43" s="380" t="e">
        <f t="shared" si="192"/>
        <v>#N/A</v>
      </c>
      <c r="QVC43" s="380" t="e">
        <f t="shared" si="192"/>
        <v>#N/A</v>
      </c>
      <c r="QVD43" s="380" t="e">
        <f t="shared" si="192"/>
        <v>#N/A</v>
      </c>
      <c r="QVE43" s="380" t="e">
        <f t="shared" si="192"/>
        <v>#N/A</v>
      </c>
      <c r="QVF43" s="380" t="e">
        <f t="shared" si="192"/>
        <v>#N/A</v>
      </c>
      <c r="QVG43" s="380" t="e">
        <f t="shared" si="192"/>
        <v>#N/A</v>
      </c>
      <c r="QVH43" s="380" t="e">
        <f t="shared" si="192"/>
        <v>#N/A</v>
      </c>
      <c r="QVI43" s="380" t="e">
        <f t="shared" si="192"/>
        <v>#N/A</v>
      </c>
      <c r="QVJ43" s="380" t="e">
        <f t="shared" si="192"/>
        <v>#N/A</v>
      </c>
      <c r="QVK43" s="380" t="e">
        <f t="shared" si="192"/>
        <v>#N/A</v>
      </c>
      <c r="QVL43" s="380" t="e">
        <f t="shared" si="192"/>
        <v>#N/A</v>
      </c>
      <c r="QVM43" s="380" t="e">
        <f t="shared" si="192"/>
        <v>#N/A</v>
      </c>
      <c r="QVN43" s="380" t="e">
        <f t="shared" si="192"/>
        <v>#N/A</v>
      </c>
      <c r="QVO43" s="380" t="e">
        <f t="shared" si="192"/>
        <v>#N/A</v>
      </c>
      <c r="QVP43" s="380" t="e">
        <f t="shared" si="192"/>
        <v>#N/A</v>
      </c>
      <c r="QVQ43" s="380" t="e">
        <f t="shared" si="192"/>
        <v>#N/A</v>
      </c>
      <c r="QVR43" s="380" t="e">
        <f t="shared" si="192"/>
        <v>#N/A</v>
      </c>
      <c r="QVS43" s="380" t="e">
        <f t="shared" si="192"/>
        <v>#N/A</v>
      </c>
      <c r="QVT43" s="380" t="e">
        <f t="shared" si="192"/>
        <v>#N/A</v>
      </c>
      <c r="QVU43" s="380" t="e">
        <f t="shared" si="192"/>
        <v>#N/A</v>
      </c>
      <c r="QVV43" s="380" t="e">
        <f t="shared" si="192"/>
        <v>#N/A</v>
      </c>
      <c r="QVW43" s="380" t="e">
        <f t="shared" si="192"/>
        <v>#N/A</v>
      </c>
      <c r="QVX43" s="380" t="e">
        <f t="shared" si="192"/>
        <v>#N/A</v>
      </c>
      <c r="QVY43" s="380" t="e">
        <f t="shared" si="192"/>
        <v>#N/A</v>
      </c>
      <c r="QVZ43" s="380" t="e">
        <f t="shared" si="192"/>
        <v>#N/A</v>
      </c>
      <c r="QWA43" s="380" t="e">
        <f t="shared" si="192"/>
        <v>#N/A</v>
      </c>
      <c r="QWB43" s="380" t="e">
        <f t="shared" si="192"/>
        <v>#N/A</v>
      </c>
      <c r="QWC43" s="380" t="e">
        <f t="shared" si="192"/>
        <v>#N/A</v>
      </c>
      <c r="QWD43" s="380" t="e">
        <f t="shared" si="192"/>
        <v>#N/A</v>
      </c>
      <c r="QWE43" s="380" t="e">
        <f t="shared" si="192"/>
        <v>#N/A</v>
      </c>
      <c r="QWF43" s="380" t="e">
        <f t="shared" si="192"/>
        <v>#N/A</v>
      </c>
      <c r="QWG43" s="380" t="e">
        <f t="shared" si="192"/>
        <v>#N/A</v>
      </c>
      <c r="QWH43" s="380" t="e">
        <f t="shared" si="192"/>
        <v>#N/A</v>
      </c>
      <c r="QWI43" s="380" t="e">
        <f t="shared" si="192"/>
        <v>#N/A</v>
      </c>
      <c r="QWJ43" s="380" t="e">
        <f t="shared" si="192"/>
        <v>#N/A</v>
      </c>
      <c r="QWK43" s="380" t="e">
        <f t="shared" si="192"/>
        <v>#N/A</v>
      </c>
      <c r="QWL43" s="380" t="e">
        <f t="shared" si="192"/>
        <v>#N/A</v>
      </c>
      <c r="QWM43" s="380" t="e">
        <f t="shared" si="192"/>
        <v>#N/A</v>
      </c>
      <c r="QWN43" s="380" t="e">
        <f t="shared" ref="QWN43:QYY43" si="193">INDEX(QWN7:QWN40,MATCH($E$43,$E$7:$E$40,0))</f>
        <v>#N/A</v>
      </c>
      <c r="QWO43" s="380" t="e">
        <f t="shared" si="193"/>
        <v>#N/A</v>
      </c>
      <c r="QWP43" s="380" t="e">
        <f t="shared" si="193"/>
        <v>#N/A</v>
      </c>
      <c r="QWQ43" s="380" t="e">
        <f t="shared" si="193"/>
        <v>#N/A</v>
      </c>
      <c r="QWR43" s="380" t="e">
        <f t="shared" si="193"/>
        <v>#N/A</v>
      </c>
      <c r="QWS43" s="380" t="e">
        <f t="shared" si="193"/>
        <v>#N/A</v>
      </c>
      <c r="QWT43" s="380" t="e">
        <f t="shared" si="193"/>
        <v>#N/A</v>
      </c>
      <c r="QWU43" s="380" t="e">
        <f t="shared" si="193"/>
        <v>#N/A</v>
      </c>
      <c r="QWV43" s="380" t="e">
        <f t="shared" si="193"/>
        <v>#N/A</v>
      </c>
      <c r="QWW43" s="380" t="e">
        <f t="shared" si="193"/>
        <v>#N/A</v>
      </c>
      <c r="QWX43" s="380" t="e">
        <f t="shared" si="193"/>
        <v>#N/A</v>
      </c>
      <c r="QWY43" s="380" t="e">
        <f t="shared" si="193"/>
        <v>#N/A</v>
      </c>
      <c r="QWZ43" s="380" t="e">
        <f t="shared" si="193"/>
        <v>#N/A</v>
      </c>
      <c r="QXA43" s="380" t="e">
        <f t="shared" si="193"/>
        <v>#N/A</v>
      </c>
      <c r="QXB43" s="380" t="e">
        <f t="shared" si="193"/>
        <v>#N/A</v>
      </c>
      <c r="QXC43" s="380" t="e">
        <f t="shared" si="193"/>
        <v>#N/A</v>
      </c>
      <c r="QXD43" s="380" t="e">
        <f t="shared" si="193"/>
        <v>#N/A</v>
      </c>
      <c r="QXE43" s="380" t="e">
        <f t="shared" si="193"/>
        <v>#N/A</v>
      </c>
      <c r="QXF43" s="380" t="e">
        <f t="shared" si="193"/>
        <v>#N/A</v>
      </c>
      <c r="QXG43" s="380" t="e">
        <f t="shared" si="193"/>
        <v>#N/A</v>
      </c>
      <c r="QXH43" s="380" t="e">
        <f t="shared" si="193"/>
        <v>#N/A</v>
      </c>
      <c r="QXI43" s="380" t="e">
        <f t="shared" si="193"/>
        <v>#N/A</v>
      </c>
      <c r="QXJ43" s="380" t="e">
        <f t="shared" si="193"/>
        <v>#N/A</v>
      </c>
      <c r="QXK43" s="380" t="e">
        <f t="shared" si="193"/>
        <v>#N/A</v>
      </c>
      <c r="QXL43" s="380" t="e">
        <f t="shared" si="193"/>
        <v>#N/A</v>
      </c>
      <c r="QXM43" s="380" t="e">
        <f t="shared" si="193"/>
        <v>#N/A</v>
      </c>
      <c r="QXN43" s="380" t="e">
        <f t="shared" si="193"/>
        <v>#N/A</v>
      </c>
      <c r="QXO43" s="380" t="e">
        <f t="shared" si="193"/>
        <v>#N/A</v>
      </c>
      <c r="QXP43" s="380" t="e">
        <f t="shared" si="193"/>
        <v>#N/A</v>
      </c>
      <c r="QXQ43" s="380" t="e">
        <f t="shared" si="193"/>
        <v>#N/A</v>
      </c>
      <c r="QXR43" s="380" t="e">
        <f t="shared" si="193"/>
        <v>#N/A</v>
      </c>
      <c r="QXS43" s="380" t="e">
        <f t="shared" si="193"/>
        <v>#N/A</v>
      </c>
      <c r="QXT43" s="380" t="e">
        <f t="shared" si="193"/>
        <v>#N/A</v>
      </c>
      <c r="QXU43" s="380" t="e">
        <f t="shared" si="193"/>
        <v>#N/A</v>
      </c>
      <c r="QXV43" s="380" t="e">
        <f t="shared" si="193"/>
        <v>#N/A</v>
      </c>
      <c r="QXW43" s="380" t="e">
        <f t="shared" si="193"/>
        <v>#N/A</v>
      </c>
      <c r="QXX43" s="380" t="e">
        <f t="shared" si="193"/>
        <v>#N/A</v>
      </c>
      <c r="QXY43" s="380" t="e">
        <f t="shared" si="193"/>
        <v>#N/A</v>
      </c>
      <c r="QXZ43" s="380" t="e">
        <f t="shared" si="193"/>
        <v>#N/A</v>
      </c>
      <c r="QYA43" s="380" t="e">
        <f t="shared" si="193"/>
        <v>#N/A</v>
      </c>
      <c r="QYB43" s="380" t="e">
        <f t="shared" si="193"/>
        <v>#N/A</v>
      </c>
      <c r="QYC43" s="380" t="e">
        <f t="shared" si="193"/>
        <v>#N/A</v>
      </c>
      <c r="QYD43" s="380" t="e">
        <f t="shared" si="193"/>
        <v>#N/A</v>
      </c>
      <c r="QYE43" s="380" t="e">
        <f t="shared" si="193"/>
        <v>#N/A</v>
      </c>
      <c r="QYF43" s="380" t="e">
        <f t="shared" si="193"/>
        <v>#N/A</v>
      </c>
      <c r="QYG43" s="380" t="e">
        <f t="shared" si="193"/>
        <v>#N/A</v>
      </c>
      <c r="QYH43" s="380" t="e">
        <f t="shared" si="193"/>
        <v>#N/A</v>
      </c>
      <c r="QYI43" s="380" t="e">
        <f t="shared" si="193"/>
        <v>#N/A</v>
      </c>
      <c r="QYJ43" s="380" t="e">
        <f t="shared" si="193"/>
        <v>#N/A</v>
      </c>
      <c r="QYK43" s="380" t="e">
        <f t="shared" si="193"/>
        <v>#N/A</v>
      </c>
      <c r="QYL43" s="380" t="e">
        <f t="shared" si="193"/>
        <v>#N/A</v>
      </c>
      <c r="QYM43" s="380" t="e">
        <f t="shared" si="193"/>
        <v>#N/A</v>
      </c>
      <c r="QYN43" s="380" t="e">
        <f t="shared" si="193"/>
        <v>#N/A</v>
      </c>
      <c r="QYO43" s="380" t="e">
        <f t="shared" si="193"/>
        <v>#N/A</v>
      </c>
      <c r="QYP43" s="380" t="e">
        <f t="shared" si="193"/>
        <v>#N/A</v>
      </c>
      <c r="QYQ43" s="380" t="e">
        <f t="shared" si="193"/>
        <v>#N/A</v>
      </c>
      <c r="QYR43" s="380" t="e">
        <f t="shared" si="193"/>
        <v>#N/A</v>
      </c>
      <c r="QYS43" s="380" t="e">
        <f t="shared" si="193"/>
        <v>#N/A</v>
      </c>
      <c r="QYT43" s="380" t="e">
        <f t="shared" si="193"/>
        <v>#N/A</v>
      </c>
      <c r="QYU43" s="380" t="e">
        <f t="shared" si="193"/>
        <v>#N/A</v>
      </c>
      <c r="QYV43" s="380" t="e">
        <f t="shared" si="193"/>
        <v>#N/A</v>
      </c>
      <c r="QYW43" s="380" t="e">
        <f t="shared" si="193"/>
        <v>#N/A</v>
      </c>
      <c r="QYX43" s="380" t="e">
        <f t="shared" si="193"/>
        <v>#N/A</v>
      </c>
      <c r="QYY43" s="380" t="e">
        <f t="shared" si="193"/>
        <v>#N/A</v>
      </c>
      <c r="QYZ43" s="380" t="e">
        <f t="shared" ref="QYZ43:RBK43" si="194">INDEX(QYZ7:QYZ40,MATCH($E$43,$E$7:$E$40,0))</f>
        <v>#N/A</v>
      </c>
      <c r="QZA43" s="380" t="e">
        <f t="shared" si="194"/>
        <v>#N/A</v>
      </c>
      <c r="QZB43" s="380" t="e">
        <f t="shared" si="194"/>
        <v>#N/A</v>
      </c>
      <c r="QZC43" s="380" t="e">
        <f t="shared" si="194"/>
        <v>#N/A</v>
      </c>
      <c r="QZD43" s="380" t="e">
        <f t="shared" si="194"/>
        <v>#N/A</v>
      </c>
      <c r="QZE43" s="380" t="e">
        <f t="shared" si="194"/>
        <v>#N/A</v>
      </c>
      <c r="QZF43" s="380" t="e">
        <f t="shared" si="194"/>
        <v>#N/A</v>
      </c>
      <c r="QZG43" s="380" t="e">
        <f t="shared" si="194"/>
        <v>#N/A</v>
      </c>
      <c r="QZH43" s="380" t="e">
        <f t="shared" si="194"/>
        <v>#N/A</v>
      </c>
      <c r="QZI43" s="380" t="e">
        <f t="shared" si="194"/>
        <v>#N/A</v>
      </c>
      <c r="QZJ43" s="380" t="e">
        <f t="shared" si="194"/>
        <v>#N/A</v>
      </c>
      <c r="QZK43" s="380" t="e">
        <f t="shared" si="194"/>
        <v>#N/A</v>
      </c>
      <c r="QZL43" s="380" t="e">
        <f t="shared" si="194"/>
        <v>#N/A</v>
      </c>
      <c r="QZM43" s="380" t="e">
        <f t="shared" si="194"/>
        <v>#N/A</v>
      </c>
      <c r="QZN43" s="380" t="e">
        <f t="shared" si="194"/>
        <v>#N/A</v>
      </c>
      <c r="QZO43" s="380" t="e">
        <f t="shared" si="194"/>
        <v>#N/A</v>
      </c>
      <c r="QZP43" s="380" t="e">
        <f t="shared" si="194"/>
        <v>#N/A</v>
      </c>
      <c r="QZQ43" s="380" t="e">
        <f t="shared" si="194"/>
        <v>#N/A</v>
      </c>
      <c r="QZR43" s="380" t="e">
        <f t="shared" si="194"/>
        <v>#N/A</v>
      </c>
      <c r="QZS43" s="380" t="e">
        <f t="shared" si="194"/>
        <v>#N/A</v>
      </c>
      <c r="QZT43" s="380" t="e">
        <f t="shared" si="194"/>
        <v>#N/A</v>
      </c>
      <c r="QZU43" s="380" t="e">
        <f t="shared" si="194"/>
        <v>#N/A</v>
      </c>
      <c r="QZV43" s="380" t="e">
        <f t="shared" si="194"/>
        <v>#N/A</v>
      </c>
      <c r="QZW43" s="380" t="e">
        <f t="shared" si="194"/>
        <v>#N/A</v>
      </c>
      <c r="QZX43" s="380" t="e">
        <f t="shared" si="194"/>
        <v>#N/A</v>
      </c>
      <c r="QZY43" s="380" t="e">
        <f t="shared" si="194"/>
        <v>#N/A</v>
      </c>
      <c r="QZZ43" s="380" t="e">
        <f t="shared" si="194"/>
        <v>#N/A</v>
      </c>
      <c r="RAA43" s="380" t="e">
        <f t="shared" si="194"/>
        <v>#N/A</v>
      </c>
      <c r="RAB43" s="380" t="e">
        <f t="shared" si="194"/>
        <v>#N/A</v>
      </c>
      <c r="RAC43" s="380" t="e">
        <f t="shared" si="194"/>
        <v>#N/A</v>
      </c>
      <c r="RAD43" s="380" t="e">
        <f t="shared" si="194"/>
        <v>#N/A</v>
      </c>
      <c r="RAE43" s="380" t="e">
        <f t="shared" si="194"/>
        <v>#N/A</v>
      </c>
      <c r="RAF43" s="380" t="e">
        <f t="shared" si="194"/>
        <v>#N/A</v>
      </c>
      <c r="RAG43" s="380" t="e">
        <f t="shared" si="194"/>
        <v>#N/A</v>
      </c>
      <c r="RAH43" s="380" t="e">
        <f t="shared" si="194"/>
        <v>#N/A</v>
      </c>
      <c r="RAI43" s="380" t="e">
        <f t="shared" si="194"/>
        <v>#N/A</v>
      </c>
      <c r="RAJ43" s="380" t="e">
        <f t="shared" si="194"/>
        <v>#N/A</v>
      </c>
      <c r="RAK43" s="380" t="e">
        <f t="shared" si="194"/>
        <v>#N/A</v>
      </c>
      <c r="RAL43" s="380" t="e">
        <f t="shared" si="194"/>
        <v>#N/A</v>
      </c>
      <c r="RAM43" s="380" t="e">
        <f t="shared" si="194"/>
        <v>#N/A</v>
      </c>
      <c r="RAN43" s="380" t="e">
        <f t="shared" si="194"/>
        <v>#N/A</v>
      </c>
      <c r="RAO43" s="380" t="e">
        <f t="shared" si="194"/>
        <v>#N/A</v>
      </c>
      <c r="RAP43" s="380" t="e">
        <f t="shared" si="194"/>
        <v>#N/A</v>
      </c>
      <c r="RAQ43" s="380" t="e">
        <f t="shared" si="194"/>
        <v>#N/A</v>
      </c>
      <c r="RAR43" s="380" t="e">
        <f t="shared" si="194"/>
        <v>#N/A</v>
      </c>
      <c r="RAS43" s="380" t="e">
        <f t="shared" si="194"/>
        <v>#N/A</v>
      </c>
      <c r="RAT43" s="380" t="e">
        <f t="shared" si="194"/>
        <v>#N/A</v>
      </c>
      <c r="RAU43" s="380" t="e">
        <f t="shared" si="194"/>
        <v>#N/A</v>
      </c>
      <c r="RAV43" s="380" t="e">
        <f t="shared" si="194"/>
        <v>#N/A</v>
      </c>
      <c r="RAW43" s="380" t="e">
        <f t="shared" si="194"/>
        <v>#N/A</v>
      </c>
      <c r="RAX43" s="380" t="e">
        <f t="shared" si="194"/>
        <v>#N/A</v>
      </c>
      <c r="RAY43" s="380" t="e">
        <f t="shared" si="194"/>
        <v>#N/A</v>
      </c>
      <c r="RAZ43" s="380" t="e">
        <f t="shared" si="194"/>
        <v>#N/A</v>
      </c>
      <c r="RBA43" s="380" t="e">
        <f t="shared" si="194"/>
        <v>#N/A</v>
      </c>
      <c r="RBB43" s="380" t="e">
        <f t="shared" si="194"/>
        <v>#N/A</v>
      </c>
      <c r="RBC43" s="380" t="e">
        <f t="shared" si="194"/>
        <v>#N/A</v>
      </c>
      <c r="RBD43" s="380" t="e">
        <f t="shared" si="194"/>
        <v>#N/A</v>
      </c>
      <c r="RBE43" s="380" t="e">
        <f t="shared" si="194"/>
        <v>#N/A</v>
      </c>
      <c r="RBF43" s="380" t="e">
        <f t="shared" si="194"/>
        <v>#N/A</v>
      </c>
      <c r="RBG43" s="380" t="e">
        <f t="shared" si="194"/>
        <v>#N/A</v>
      </c>
      <c r="RBH43" s="380" t="e">
        <f t="shared" si="194"/>
        <v>#N/A</v>
      </c>
      <c r="RBI43" s="380" t="e">
        <f t="shared" si="194"/>
        <v>#N/A</v>
      </c>
      <c r="RBJ43" s="380" t="e">
        <f t="shared" si="194"/>
        <v>#N/A</v>
      </c>
      <c r="RBK43" s="380" t="e">
        <f t="shared" si="194"/>
        <v>#N/A</v>
      </c>
      <c r="RBL43" s="380" t="e">
        <f t="shared" ref="RBL43:RDW43" si="195">INDEX(RBL7:RBL40,MATCH($E$43,$E$7:$E$40,0))</f>
        <v>#N/A</v>
      </c>
      <c r="RBM43" s="380" t="e">
        <f t="shared" si="195"/>
        <v>#N/A</v>
      </c>
      <c r="RBN43" s="380" t="e">
        <f t="shared" si="195"/>
        <v>#N/A</v>
      </c>
      <c r="RBO43" s="380" t="e">
        <f t="shared" si="195"/>
        <v>#N/A</v>
      </c>
      <c r="RBP43" s="380" t="e">
        <f t="shared" si="195"/>
        <v>#N/A</v>
      </c>
      <c r="RBQ43" s="380" t="e">
        <f t="shared" si="195"/>
        <v>#N/A</v>
      </c>
      <c r="RBR43" s="380" t="e">
        <f t="shared" si="195"/>
        <v>#N/A</v>
      </c>
      <c r="RBS43" s="380" t="e">
        <f t="shared" si="195"/>
        <v>#N/A</v>
      </c>
      <c r="RBT43" s="380" t="e">
        <f t="shared" si="195"/>
        <v>#N/A</v>
      </c>
      <c r="RBU43" s="380" t="e">
        <f t="shared" si="195"/>
        <v>#N/A</v>
      </c>
      <c r="RBV43" s="380" t="e">
        <f t="shared" si="195"/>
        <v>#N/A</v>
      </c>
      <c r="RBW43" s="380" t="e">
        <f t="shared" si="195"/>
        <v>#N/A</v>
      </c>
      <c r="RBX43" s="380" t="e">
        <f t="shared" si="195"/>
        <v>#N/A</v>
      </c>
      <c r="RBY43" s="380" t="e">
        <f t="shared" si="195"/>
        <v>#N/A</v>
      </c>
      <c r="RBZ43" s="380" t="e">
        <f t="shared" si="195"/>
        <v>#N/A</v>
      </c>
      <c r="RCA43" s="380" t="e">
        <f t="shared" si="195"/>
        <v>#N/A</v>
      </c>
      <c r="RCB43" s="380" t="e">
        <f t="shared" si="195"/>
        <v>#N/A</v>
      </c>
      <c r="RCC43" s="380" t="e">
        <f t="shared" si="195"/>
        <v>#N/A</v>
      </c>
      <c r="RCD43" s="380" t="e">
        <f t="shared" si="195"/>
        <v>#N/A</v>
      </c>
      <c r="RCE43" s="380" t="e">
        <f t="shared" si="195"/>
        <v>#N/A</v>
      </c>
      <c r="RCF43" s="380" t="e">
        <f t="shared" si="195"/>
        <v>#N/A</v>
      </c>
      <c r="RCG43" s="380" t="e">
        <f t="shared" si="195"/>
        <v>#N/A</v>
      </c>
      <c r="RCH43" s="380" t="e">
        <f t="shared" si="195"/>
        <v>#N/A</v>
      </c>
      <c r="RCI43" s="380" t="e">
        <f t="shared" si="195"/>
        <v>#N/A</v>
      </c>
      <c r="RCJ43" s="380" t="e">
        <f t="shared" si="195"/>
        <v>#N/A</v>
      </c>
      <c r="RCK43" s="380" t="e">
        <f t="shared" si="195"/>
        <v>#N/A</v>
      </c>
      <c r="RCL43" s="380" t="e">
        <f t="shared" si="195"/>
        <v>#N/A</v>
      </c>
      <c r="RCM43" s="380" t="e">
        <f t="shared" si="195"/>
        <v>#N/A</v>
      </c>
      <c r="RCN43" s="380" t="e">
        <f t="shared" si="195"/>
        <v>#N/A</v>
      </c>
      <c r="RCO43" s="380" t="e">
        <f t="shared" si="195"/>
        <v>#N/A</v>
      </c>
      <c r="RCP43" s="380" t="e">
        <f t="shared" si="195"/>
        <v>#N/A</v>
      </c>
      <c r="RCQ43" s="380" t="e">
        <f t="shared" si="195"/>
        <v>#N/A</v>
      </c>
      <c r="RCR43" s="380" t="e">
        <f t="shared" si="195"/>
        <v>#N/A</v>
      </c>
      <c r="RCS43" s="380" t="e">
        <f t="shared" si="195"/>
        <v>#N/A</v>
      </c>
      <c r="RCT43" s="380" t="e">
        <f t="shared" si="195"/>
        <v>#N/A</v>
      </c>
      <c r="RCU43" s="380" t="e">
        <f t="shared" si="195"/>
        <v>#N/A</v>
      </c>
      <c r="RCV43" s="380" t="e">
        <f t="shared" si="195"/>
        <v>#N/A</v>
      </c>
      <c r="RCW43" s="380" t="e">
        <f t="shared" si="195"/>
        <v>#N/A</v>
      </c>
      <c r="RCX43" s="380" t="e">
        <f t="shared" si="195"/>
        <v>#N/A</v>
      </c>
      <c r="RCY43" s="380" t="e">
        <f t="shared" si="195"/>
        <v>#N/A</v>
      </c>
      <c r="RCZ43" s="380" t="e">
        <f t="shared" si="195"/>
        <v>#N/A</v>
      </c>
      <c r="RDA43" s="380" t="e">
        <f t="shared" si="195"/>
        <v>#N/A</v>
      </c>
      <c r="RDB43" s="380" t="e">
        <f t="shared" si="195"/>
        <v>#N/A</v>
      </c>
      <c r="RDC43" s="380" t="e">
        <f t="shared" si="195"/>
        <v>#N/A</v>
      </c>
      <c r="RDD43" s="380" t="e">
        <f t="shared" si="195"/>
        <v>#N/A</v>
      </c>
      <c r="RDE43" s="380" t="e">
        <f t="shared" si="195"/>
        <v>#N/A</v>
      </c>
      <c r="RDF43" s="380" t="e">
        <f t="shared" si="195"/>
        <v>#N/A</v>
      </c>
      <c r="RDG43" s="380" t="e">
        <f t="shared" si="195"/>
        <v>#N/A</v>
      </c>
      <c r="RDH43" s="380" t="e">
        <f t="shared" si="195"/>
        <v>#N/A</v>
      </c>
      <c r="RDI43" s="380" t="e">
        <f t="shared" si="195"/>
        <v>#N/A</v>
      </c>
      <c r="RDJ43" s="380" t="e">
        <f t="shared" si="195"/>
        <v>#N/A</v>
      </c>
      <c r="RDK43" s="380" t="e">
        <f t="shared" si="195"/>
        <v>#N/A</v>
      </c>
      <c r="RDL43" s="380" t="e">
        <f t="shared" si="195"/>
        <v>#N/A</v>
      </c>
      <c r="RDM43" s="380" t="e">
        <f t="shared" si="195"/>
        <v>#N/A</v>
      </c>
      <c r="RDN43" s="380" t="e">
        <f t="shared" si="195"/>
        <v>#N/A</v>
      </c>
      <c r="RDO43" s="380" t="e">
        <f t="shared" si="195"/>
        <v>#N/A</v>
      </c>
      <c r="RDP43" s="380" t="e">
        <f t="shared" si="195"/>
        <v>#N/A</v>
      </c>
      <c r="RDQ43" s="380" t="e">
        <f t="shared" si="195"/>
        <v>#N/A</v>
      </c>
      <c r="RDR43" s="380" t="e">
        <f t="shared" si="195"/>
        <v>#N/A</v>
      </c>
      <c r="RDS43" s="380" t="e">
        <f t="shared" si="195"/>
        <v>#N/A</v>
      </c>
      <c r="RDT43" s="380" t="e">
        <f t="shared" si="195"/>
        <v>#N/A</v>
      </c>
      <c r="RDU43" s="380" t="e">
        <f t="shared" si="195"/>
        <v>#N/A</v>
      </c>
      <c r="RDV43" s="380" t="e">
        <f t="shared" si="195"/>
        <v>#N/A</v>
      </c>
      <c r="RDW43" s="380" t="e">
        <f t="shared" si="195"/>
        <v>#N/A</v>
      </c>
      <c r="RDX43" s="380" t="e">
        <f t="shared" ref="RDX43:RGI43" si="196">INDEX(RDX7:RDX40,MATCH($E$43,$E$7:$E$40,0))</f>
        <v>#N/A</v>
      </c>
      <c r="RDY43" s="380" t="e">
        <f t="shared" si="196"/>
        <v>#N/A</v>
      </c>
      <c r="RDZ43" s="380" t="e">
        <f t="shared" si="196"/>
        <v>#N/A</v>
      </c>
      <c r="REA43" s="380" t="e">
        <f t="shared" si="196"/>
        <v>#N/A</v>
      </c>
      <c r="REB43" s="380" t="e">
        <f t="shared" si="196"/>
        <v>#N/A</v>
      </c>
      <c r="REC43" s="380" t="e">
        <f t="shared" si="196"/>
        <v>#N/A</v>
      </c>
      <c r="RED43" s="380" t="e">
        <f t="shared" si="196"/>
        <v>#N/A</v>
      </c>
      <c r="REE43" s="380" t="e">
        <f t="shared" si="196"/>
        <v>#N/A</v>
      </c>
      <c r="REF43" s="380" t="e">
        <f t="shared" si="196"/>
        <v>#N/A</v>
      </c>
      <c r="REG43" s="380" t="e">
        <f t="shared" si="196"/>
        <v>#N/A</v>
      </c>
      <c r="REH43" s="380" t="e">
        <f t="shared" si="196"/>
        <v>#N/A</v>
      </c>
      <c r="REI43" s="380" t="e">
        <f t="shared" si="196"/>
        <v>#N/A</v>
      </c>
      <c r="REJ43" s="380" t="e">
        <f t="shared" si="196"/>
        <v>#N/A</v>
      </c>
      <c r="REK43" s="380" t="e">
        <f t="shared" si="196"/>
        <v>#N/A</v>
      </c>
      <c r="REL43" s="380" t="e">
        <f t="shared" si="196"/>
        <v>#N/A</v>
      </c>
      <c r="REM43" s="380" t="e">
        <f t="shared" si="196"/>
        <v>#N/A</v>
      </c>
      <c r="REN43" s="380" t="e">
        <f t="shared" si="196"/>
        <v>#N/A</v>
      </c>
      <c r="REO43" s="380" t="e">
        <f t="shared" si="196"/>
        <v>#N/A</v>
      </c>
      <c r="REP43" s="380" t="e">
        <f t="shared" si="196"/>
        <v>#N/A</v>
      </c>
      <c r="REQ43" s="380" t="e">
        <f t="shared" si="196"/>
        <v>#N/A</v>
      </c>
      <c r="RER43" s="380" t="e">
        <f t="shared" si="196"/>
        <v>#N/A</v>
      </c>
      <c r="RES43" s="380" t="e">
        <f t="shared" si="196"/>
        <v>#N/A</v>
      </c>
      <c r="RET43" s="380" t="e">
        <f t="shared" si="196"/>
        <v>#N/A</v>
      </c>
      <c r="REU43" s="380" t="e">
        <f t="shared" si="196"/>
        <v>#N/A</v>
      </c>
      <c r="REV43" s="380" t="e">
        <f t="shared" si="196"/>
        <v>#N/A</v>
      </c>
      <c r="REW43" s="380" t="e">
        <f t="shared" si="196"/>
        <v>#N/A</v>
      </c>
      <c r="REX43" s="380" t="e">
        <f t="shared" si="196"/>
        <v>#N/A</v>
      </c>
      <c r="REY43" s="380" t="e">
        <f t="shared" si="196"/>
        <v>#N/A</v>
      </c>
      <c r="REZ43" s="380" t="e">
        <f t="shared" si="196"/>
        <v>#N/A</v>
      </c>
      <c r="RFA43" s="380" t="e">
        <f t="shared" si="196"/>
        <v>#N/A</v>
      </c>
      <c r="RFB43" s="380" t="e">
        <f t="shared" si="196"/>
        <v>#N/A</v>
      </c>
      <c r="RFC43" s="380" t="e">
        <f t="shared" si="196"/>
        <v>#N/A</v>
      </c>
      <c r="RFD43" s="380" t="e">
        <f t="shared" si="196"/>
        <v>#N/A</v>
      </c>
      <c r="RFE43" s="380" t="e">
        <f t="shared" si="196"/>
        <v>#N/A</v>
      </c>
      <c r="RFF43" s="380" t="e">
        <f t="shared" si="196"/>
        <v>#N/A</v>
      </c>
      <c r="RFG43" s="380" t="e">
        <f t="shared" si="196"/>
        <v>#N/A</v>
      </c>
      <c r="RFH43" s="380" t="e">
        <f t="shared" si="196"/>
        <v>#N/A</v>
      </c>
      <c r="RFI43" s="380" t="e">
        <f t="shared" si="196"/>
        <v>#N/A</v>
      </c>
      <c r="RFJ43" s="380" t="e">
        <f t="shared" si="196"/>
        <v>#N/A</v>
      </c>
      <c r="RFK43" s="380" t="e">
        <f t="shared" si="196"/>
        <v>#N/A</v>
      </c>
      <c r="RFL43" s="380" t="e">
        <f t="shared" si="196"/>
        <v>#N/A</v>
      </c>
      <c r="RFM43" s="380" t="e">
        <f t="shared" si="196"/>
        <v>#N/A</v>
      </c>
      <c r="RFN43" s="380" t="e">
        <f t="shared" si="196"/>
        <v>#N/A</v>
      </c>
      <c r="RFO43" s="380" t="e">
        <f t="shared" si="196"/>
        <v>#N/A</v>
      </c>
      <c r="RFP43" s="380" t="e">
        <f t="shared" si="196"/>
        <v>#N/A</v>
      </c>
      <c r="RFQ43" s="380" t="e">
        <f t="shared" si="196"/>
        <v>#N/A</v>
      </c>
      <c r="RFR43" s="380" t="e">
        <f t="shared" si="196"/>
        <v>#N/A</v>
      </c>
      <c r="RFS43" s="380" t="e">
        <f t="shared" si="196"/>
        <v>#N/A</v>
      </c>
      <c r="RFT43" s="380" t="e">
        <f t="shared" si="196"/>
        <v>#N/A</v>
      </c>
      <c r="RFU43" s="380" t="e">
        <f t="shared" si="196"/>
        <v>#N/A</v>
      </c>
      <c r="RFV43" s="380" t="e">
        <f t="shared" si="196"/>
        <v>#N/A</v>
      </c>
      <c r="RFW43" s="380" t="e">
        <f t="shared" si="196"/>
        <v>#N/A</v>
      </c>
      <c r="RFX43" s="380" t="e">
        <f t="shared" si="196"/>
        <v>#N/A</v>
      </c>
      <c r="RFY43" s="380" t="e">
        <f t="shared" si="196"/>
        <v>#N/A</v>
      </c>
      <c r="RFZ43" s="380" t="e">
        <f t="shared" si="196"/>
        <v>#N/A</v>
      </c>
      <c r="RGA43" s="380" t="e">
        <f t="shared" si="196"/>
        <v>#N/A</v>
      </c>
      <c r="RGB43" s="380" t="e">
        <f t="shared" si="196"/>
        <v>#N/A</v>
      </c>
      <c r="RGC43" s="380" t="e">
        <f t="shared" si="196"/>
        <v>#N/A</v>
      </c>
      <c r="RGD43" s="380" t="e">
        <f t="shared" si="196"/>
        <v>#N/A</v>
      </c>
      <c r="RGE43" s="380" t="e">
        <f t="shared" si="196"/>
        <v>#N/A</v>
      </c>
      <c r="RGF43" s="380" t="e">
        <f t="shared" si="196"/>
        <v>#N/A</v>
      </c>
      <c r="RGG43" s="380" t="e">
        <f t="shared" si="196"/>
        <v>#N/A</v>
      </c>
      <c r="RGH43" s="380" t="e">
        <f t="shared" si="196"/>
        <v>#N/A</v>
      </c>
      <c r="RGI43" s="380" t="e">
        <f t="shared" si="196"/>
        <v>#N/A</v>
      </c>
      <c r="RGJ43" s="380" t="e">
        <f t="shared" ref="RGJ43:RIU43" si="197">INDEX(RGJ7:RGJ40,MATCH($E$43,$E$7:$E$40,0))</f>
        <v>#N/A</v>
      </c>
      <c r="RGK43" s="380" t="e">
        <f t="shared" si="197"/>
        <v>#N/A</v>
      </c>
      <c r="RGL43" s="380" t="e">
        <f t="shared" si="197"/>
        <v>#N/A</v>
      </c>
      <c r="RGM43" s="380" t="e">
        <f t="shared" si="197"/>
        <v>#N/A</v>
      </c>
      <c r="RGN43" s="380" t="e">
        <f t="shared" si="197"/>
        <v>#N/A</v>
      </c>
      <c r="RGO43" s="380" t="e">
        <f t="shared" si="197"/>
        <v>#N/A</v>
      </c>
      <c r="RGP43" s="380" t="e">
        <f t="shared" si="197"/>
        <v>#N/A</v>
      </c>
      <c r="RGQ43" s="380" t="e">
        <f t="shared" si="197"/>
        <v>#N/A</v>
      </c>
      <c r="RGR43" s="380" t="e">
        <f t="shared" si="197"/>
        <v>#N/A</v>
      </c>
      <c r="RGS43" s="380" t="e">
        <f t="shared" si="197"/>
        <v>#N/A</v>
      </c>
      <c r="RGT43" s="380" t="e">
        <f t="shared" si="197"/>
        <v>#N/A</v>
      </c>
      <c r="RGU43" s="380" t="e">
        <f t="shared" si="197"/>
        <v>#N/A</v>
      </c>
      <c r="RGV43" s="380" t="e">
        <f t="shared" si="197"/>
        <v>#N/A</v>
      </c>
      <c r="RGW43" s="380" t="e">
        <f t="shared" si="197"/>
        <v>#N/A</v>
      </c>
      <c r="RGX43" s="380" t="e">
        <f t="shared" si="197"/>
        <v>#N/A</v>
      </c>
      <c r="RGY43" s="380" t="e">
        <f t="shared" si="197"/>
        <v>#N/A</v>
      </c>
      <c r="RGZ43" s="380" t="e">
        <f t="shared" si="197"/>
        <v>#N/A</v>
      </c>
      <c r="RHA43" s="380" t="e">
        <f t="shared" si="197"/>
        <v>#N/A</v>
      </c>
      <c r="RHB43" s="380" t="e">
        <f t="shared" si="197"/>
        <v>#N/A</v>
      </c>
      <c r="RHC43" s="380" t="e">
        <f t="shared" si="197"/>
        <v>#N/A</v>
      </c>
      <c r="RHD43" s="380" t="e">
        <f t="shared" si="197"/>
        <v>#N/A</v>
      </c>
      <c r="RHE43" s="380" t="e">
        <f t="shared" si="197"/>
        <v>#N/A</v>
      </c>
      <c r="RHF43" s="380" t="e">
        <f t="shared" si="197"/>
        <v>#N/A</v>
      </c>
      <c r="RHG43" s="380" t="e">
        <f t="shared" si="197"/>
        <v>#N/A</v>
      </c>
      <c r="RHH43" s="380" t="e">
        <f t="shared" si="197"/>
        <v>#N/A</v>
      </c>
      <c r="RHI43" s="380" t="e">
        <f t="shared" si="197"/>
        <v>#N/A</v>
      </c>
      <c r="RHJ43" s="380" t="e">
        <f t="shared" si="197"/>
        <v>#N/A</v>
      </c>
      <c r="RHK43" s="380" t="e">
        <f t="shared" si="197"/>
        <v>#N/A</v>
      </c>
      <c r="RHL43" s="380" t="e">
        <f t="shared" si="197"/>
        <v>#N/A</v>
      </c>
      <c r="RHM43" s="380" t="e">
        <f t="shared" si="197"/>
        <v>#N/A</v>
      </c>
      <c r="RHN43" s="380" t="e">
        <f t="shared" si="197"/>
        <v>#N/A</v>
      </c>
      <c r="RHO43" s="380" t="e">
        <f t="shared" si="197"/>
        <v>#N/A</v>
      </c>
      <c r="RHP43" s="380" t="e">
        <f t="shared" si="197"/>
        <v>#N/A</v>
      </c>
      <c r="RHQ43" s="380" t="e">
        <f t="shared" si="197"/>
        <v>#N/A</v>
      </c>
      <c r="RHR43" s="380" t="e">
        <f t="shared" si="197"/>
        <v>#N/A</v>
      </c>
      <c r="RHS43" s="380" t="e">
        <f t="shared" si="197"/>
        <v>#N/A</v>
      </c>
      <c r="RHT43" s="380" t="e">
        <f t="shared" si="197"/>
        <v>#N/A</v>
      </c>
      <c r="RHU43" s="380" t="e">
        <f t="shared" si="197"/>
        <v>#N/A</v>
      </c>
      <c r="RHV43" s="380" t="e">
        <f t="shared" si="197"/>
        <v>#N/A</v>
      </c>
      <c r="RHW43" s="380" t="e">
        <f t="shared" si="197"/>
        <v>#N/A</v>
      </c>
      <c r="RHX43" s="380" t="e">
        <f t="shared" si="197"/>
        <v>#N/A</v>
      </c>
      <c r="RHY43" s="380" t="e">
        <f t="shared" si="197"/>
        <v>#N/A</v>
      </c>
      <c r="RHZ43" s="380" t="e">
        <f t="shared" si="197"/>
        <v>#N/A</v>
      </c>
      <c r="RIA43" s="380" t="e">
        <f t="shared" si="197"/>
        <v>#N/A</v>
      </c>
      <c r="RIB43" s="380" t="e">
        <f t="shared" si="197"/>
        <v>#N/A</v>
      </c>
      <c r="RIC43" s="380" t="e">
        <f t="shared" si="197"/>
        <v>#N/A</v>
      </c>
      <c r="RID43" s="380" t="e">
        <f t="shared" si="197"/>
        <v>#N/A</v>
      </c>
      <c r="RIE43" s="380" t="e">
        <f t="shared" si="197"/>
        <v>#N/A</v>
      </c>
      <c r="RIF43" s="380" t="e">
        <f t="shared" si="197"/>
        <v>#N/A</v>
      </c>
      <c r="RIG43" s="380" t="e">
        <f t="shared" si="197"/>
        <v>#N/A</v>
      </c>
      <c r="RIH43" s="380" t="e">
        <f t="shared" si="197"/>
        <v>#N/A</v>
      </c>
      <c r="RII43" s="380" t="e">
        <f t="shared" si="197"/>
        <v>#N/A</v>
      </c>
      <c r="RIJ43" s="380" t="e">
        <f t="shared" si="197"/>
        <v>#N/A</v>
      </c>
      <c r="RIK43" s="380" t="e">
        <f t="shared" si="197"/>
        <v>#N/A</v>
      </c>
      <c r="RIL43" s="380" t="e">
        <f t="shared" si="197"/>
        <v>#N/A</v>
      </c>
      <c r="RIM43" s="380" t="e">
        <f t="shared" si="197"/>
        <v>#N/A</v>
      </c>
      <c r="RIN43" s="380" t="e">
        <f t="shared" si="197"/>
        <v>#N/A</v>
      </c>
      <c r="RIO43" s="380" t="e">
        <f t="shared" si="197"/>
        <v>#N/A</v>
      </c>
      <c r="RIP43" s="380" t="e">
        <f t="shared" si="197"/>
        <v>#N/A</v>
      </c>
      <c r="RIQ43" s="380" t="e">
        <f t="shared" si="197"/>
        <v>#N/A</v>
      </c>
      <c r="RIR43" s="380" t="e">
        <f t="shared" si="197"/>
        <v>#N/A</v>
      </c>
      <c r="RIS43" s="380" t="e">
        <f t="shared" si="197"/>
        <v>#N/A</v>
      </c>
      <c r="RIT43" s="380" t="e">
        <f t="shared" si="197"/>
        <v>#N/A</v>
      </c>
      <c r="RIU43" s="380" t="e">
        <f t="shared" si="197"/>
        <v>#N/A</v>
      </c>
      <c r="RIV43" s="380" t="e">
        <f t="shared" ref="RIV43:RLG43" si="198">INDEX(RIV7:RIV40,MATCH($E$43,$E$7:$E$40,0))</f>
        <v>#N/A</v>
      </c>
      <c r="RIW43" s="380" t="e">
        <f t="shared" si="198"/>
        <v>#N/A</v>
      </c>
      <c r="RIX43" s="380" t="e">
        <f t="shared" si="198"/>
        <v>#N/A</v>
      </c>
      <c r="RIY43" s="380" t="e">
        <f t="shared" si="198"/>
        <v>#N/A</v>
      </c>
      <c r="RIZ43" s="380" t="e">
        <f t="shared" si="198"/>
        <v>#N/A</v>
      </c>
      <c r="RJA43" s="380" t="e">
        <f t="shared" si="198"/>
        <v>#N/A</v>
      </c>
      <c r="RJB43" s="380" t="e">
        <f t="shared" si="198"/>
        <v>#N/A</v>
      </c>
      <c r="RJC43" s="380" t="e">
        <f t="shared" si="198"/>
        <v>#N/A</v>
      </c>
      <c r="RJD43" s="380" t="e">
        <f t="shared" si="198"/>
        <v>#N/A</v>
      </c>
      <c r="RJE43" s="380" t="e">
        <f t="shared" si="198"/>
        <v>#N/A</v>
      </c>
      <c r="RJF43" s="380" t="e">
        <f t="shared" si="198"/>
        <v>#N/A</v>
      </c>
      <c r="RJG43" s="380" t="e">
        <f t="shared" si="198"/>
        <v>#N/A</v>
      </c>
      <c r="RJH43" s="380" t="e">
        <f t="shared" si="198"/>
        <v>#N/A</v>
      </c>
      <c r="RJI43" s="380" t="e">
        <f t="shared" si="198"/>
        <v>#N/A</v>
      </c>
      <c r="RJJ43" s="380" t="e">
        <f t="shared" si="198"/>
        <v>#N/A</v>
      </c>
      <c r="RJK43" s="380" t="e">
        <f t="shared" si="198"/>
        <v>#N/A</v>
      </c>
      <c r="RJL43" s="380" t="e">
        <f t="shared" si="198"/>
        <v>#N/A</v>
      </c>
      <c r="RJM43" s="380" t="e">
        <f t="shared" si="198"/>
        <v>#N/A</v>
      </c>
      <c r="RJN43" s="380" t="e">
        <f t="shared" si="198"/>
        <v>#N/A</v>
      </c>
      <c r="RJO43" s="380" t="e">
        <f t="shared" si="198"/>
        <v>#N/A</v>
      </c>
      <c r="RJP43" s="380" t="e">
        <f t="shared" si="198"/>
        <v>#N/A</v>
      </c>
      <c r="RJQ43" s="380" t="e">
        <f t="shared" si="198"/>
        <v>#N/A</v>
      </c>
      <c r="RJR43" s="380" t="e">
        <f t="shared" si="198"/>
        <v>#N/A</v>
      </c>
      <c r="RJS43" s="380" t="e">
        <f t="shared" si="198"/>
        <v>#N/A</v>
      </c>
      <c r="RJT43" s="380" t="e">
        <f t="shared" si="198"/>
        <v>#N/A</v>
      </c>
      <c r="RJU43" s="380" t="e">
        <f t="shared" si="198"/>
        <v>#N/A</v>
      </c>
      <c r="RJV43" s="380" t="e">
        <f t="shared" si="198"/>
        <v>#N/A</v>
      </c>
      <c r="RJW43" s="380" t="e">
        <f t="shared" si="198"/>
        <v>#N/A</v>
      </c>
      <c r="RJX43" s="380" t="e">
        <f t="shared" si="198"/>
        <v>#N/A</v>
      </c>
      <c r="RJY43" s="380" t="e">
        <f t="shared" si="198"/>
        <v>#N/A</v>
      </c>
      <c r="RJZ43" s="380" t="e">
        <f t="shared" si="198"/>
        <v>#N/A</v>
      </c>
      <c r="RKA43" s="380" t="e">
        <f t="shared" si="198"/>
        <v>#N/A</v>
      </c>
      <c r="RKB43" s="380" t="e">
        <f t="shared" si="198"/>
        <v>#N/A</v>
      </c>
      <c r="RKC43" s="380" t="e">
        <f t="shared" si="198"/>
        <v>#N/A</v>
      </c>
      <c r="RKD43" s="380" t="e">
        <f t="shared" si="198"/>
        <v>#N/A</v>
      </c>
      <c r="RKE43" s="380" t="e">
        <f t="shared" si="198"/>
        <v>#N/A</v>
      </c>
      <c r="RKF43" s="380" t="e">
        <f t="shared" si="198"/>
        <v>#N/A</v>
      </c>
      <c r="RKG43" s="380" t="e">
        <f t="shared" si="198"/>
        <v>#N/A</v>
      </c>
      <c r="RKH43" s="380" t="e">
        <f t="shared" si="198"/>
        <v>#N/A</v>
      </c>
      <c r="RKI43" s="380" t="e">
        <f t="shared" si="198"/>
        <v>#N/A</v>
      </c>
      <c r="RKJ43" s="380" t="e">
        <f t="shared" si="198"/>
        <v>#N/A</v>
      </c>
      <c r="RKK43" s="380" t="e">
        <f t="shared" si="198"/>
        <v>#N/A</v>
      </c>
      <c r="RKL43" s="380" t="e">
        <f t="shared" si="198"/>
        <v>#N/A</v>
      </c>
      <c r="RKM43" s="380" t="e">
        <f t="shared" si="198"/>
        <v>#N/A</v>
      </c>
      <c r="RKN43" s="380" t="e">
        <f t="shared" si="198"/>
        <v>#N/A</v>
      </c>
      <c r="RKO43" s="380" t="e">
        <f t="shared" si="198"/>
        <v>#N/A</v>
      </c>
      <c r="RKP43" s="380" t="e">
        <f t="shared" si="198"/>
        <v>#N/A</v>
      </c>
      <c r="RKQ43" s="380" t="e">
        <f t="shared" si="198"/>
        <v>#N/A</v>
      </c>
      <c r="RKR43" s="380" t="e">
        <f t="shared" si="198"/>
        <v>#N/A</v>
      </c>
      <c r="RKS43" s="380" t="e">
        <f t="shared" si="198"/>
        <v>#N/A</v>
      </c>
      <c r="RKT43" s="380" t="e">
        <f t="shared" si="198"/>
        <v>#N/A</v>
      </c>
      <c r="RKU43" s="380" t="e">
        <f t="shared" si="198"/>
        <v>#N/A</v>
      </c>
      <c r="RKV43" s="380" t="e">
        <f t="shared" si="198"/>
        <v>#N/A</v>
      </c>
      <c r="RKW43" s="380" t="e">
        <f t="shared" si="198"/>
        <v>#N/A</v>
      </c>
      <c r="RKX43" s="380" t="e">
        <f t="shared" si="198"/>
        <v>#N/A</v>
      </c>
      <c r="RKY43" s="380" t="e">
        <f t="shared" si="198"/>
        <v>#N/A</v>
      </c>
      <c r="RKZ43" s="380" t="e">
        <f t="shared" si="198"/>
        <v>#N/A</v>
      </c>
      <c r="RLA43" s="380" t="e">
        <f t="shared" si="198"/>
        <v>#N/A</v>
      </c>
      <c r="RLB43" s="380" t="e">
        <f t="shared" si="198"/>
        <v>#N/A</v>
      </c>
      <c r="RLC43" s="380" t="e">
        <f t="shared" si="198"/>
        <v>#N/A</v>
      </c>
      <c r="RLD43" s="380" t="e">
        <f t="shared" si="198"/>
        <v>#N/A</v>
      </c>
      <c r="RLE43" s="380" t="e">
        <f t="shared" si="198"/>
        <v>#N/A</v>
      </c>
      <c r="RLF43" s="380" t="e">
        <f t="shared" si="198"/>
        <v>#N/A</v>
      </c>
      <c r="RLG43" s="380" t="e">
        <f t="shared" si="198"/>
        <v>#N/A</v>
      </c>
      <c r="RLH43" s="380" t="e">
        <f t="shared" ref="RLH43:RNS43" si="199">INDEX(RLH7:RLH40,MATCH($E$43,$E$7:$E$40,0))</f>
        <v>#N/A</v>
      </c>
      <c r="RLI43" s="380" t="e">
        <f t="shared" si="199"/>
        <v>#N/A</v>
      </c>
      <c r="RLJ43" s="380" t="e">
        <f t="shared" si="199"/>
        <v>#N/A</v>
      </c>
      <c r="RLK43" s="380" t="e">
        <f t="shared" si="199"/>
        <v>#N/A</v>
      </c>
      <c r="RLL43" s="380" t="e">
        <f t="shared" si="199"/>
        <v>#N/A</v>
      </c>
      <c r="RLM43" s="380" t="e">
        <f t="shared" si="199"/>
        <v>#N/A</v>
      </c>
      <c r="RLN43" s="380" t="e">
        <f t="shared" si="199"/>
        <v>#N/A</v>
      </c>
      <c r="RLO43" s="380" t="e">
        <f t="shared" si="199"/>
        <v>#N/A</v>
      </c>
      <c r="RLP43" s="380" t="e">
        <f t="shared" si="199"/>
        <v>#N/A</v>
      </c>
      <c r="RLQ43" s="380" t="e">
        <f t="shared" si="199"/>
        <v>#N/A</v>
      </c>
      <c r="RLR43" s="380" t="e">
        <f t="shared" si="199"/>
        <v>#N/A</v>
      </c>
      <c r="RLS43" s="380" t="e">
        <f t="shared" si="199"/>
        <v>#N/A</v>
      </c>
      <c r="RLT43" s="380" t="e">
        <f t="shared" si="199"/>
        <v>#N/A</v>
      </c>
      <c r="RLU43" s="380" t="e">
        <f t="shared" si="199"/>
        <v>#N/A</v>
      </c>
      <c r="RLV43" s="380" t="e">
        <f t="shared" si="199"/>
        <v>#N/A</v>
      </c>
      <c r="RLW43" s="380" t="e">
        <f t="shared" si="199"/>
        <v>#N/A</v>
      </c>
      <c r="RLX43" s="380" t="e">
        <f t="shared" si="199"/>
        <v>#N/A</v>
      </c>
      <c r="RLY43" s="380" t="e">
        <f t="shared" si="199"/>
        <v>#N/A</v>
      </c>
      <c r="RLZ43" s="380" t="e">
        <f t="shared" si="199"/>
        <v>#N/A</v>
      </c>
      <c r="RMA43" s="380" t="e">
        <f t="shared" si="199"/>
        <v>#N/A</v>
      </c>
      <c r="RMB43" s="380" t="e">
        <f t="shared" si="199"/>
        <v>#N/A</v>
      </c>
      <c r="RMC43" s="380" t="e">
        <f t="shared" si="199"/>
        <v>#N/A</v>
      </c>
      <c r="RMD43" s="380" t="e">
        <f t="shared" si="199"/>
        <v>#N/A</v>
      </c>
      <c r="RME43" s="380" t="e">
        <f t="shared" si="199"/>
        <v>#N/A</v>
      </c>
      <c r="RMF43" s="380" t="e">
        <f t="shared" si="199"/>
        <v>#N/A</v>
      </c>
      <c r="RMG43" s="380" t="e">
        <f t="shared" si="199"/>
        <v>#N/A</v>
      </c>
      <c r="RMH43" s="380" t="e">
        <f t="shared" si="199"/>
        <v>#N/A</v>
      </c>
      <c r="RMI43" s="380" t="e">
        <f t="shared" si="199"/>
        <v>#N/A</v>
      </c>
      <c r="RMJ43" s="380" t="e">
        <f t="shared" si="199"/>
        <v>#N/A</v>
      </c>
      <c r="RMK43" s="380" t="e">
        <f t="shared" si="199"/>
        <v>#N/A</v>
      </c>
      <c r="RML43" s="380" t="e">
        <f t="shared" si="199"/>
        <v>#N/A</v>
      </c>
      <c r="RMM43" s="380" t="e">
        <f t="shared" si="199"/>
        <v>#N/A</v>
      </c>
      <c r="RMN43" s="380" t="e">
        <f t="shared" si="199"/>
        <v>#N/A</v>
      </c>
      <c r="RMO43" s="380" t="e">
        <f t="shared" si="199"/>
        <v>#N/A</v>
      </c>
      <c r="RMP43" s="380" t="e">
        <f t="shared" si="199"/>
        <v>#N/A</v>
      </c>
      <c r="RMQ43" s="380" t="e">
        <f t="shared" si="199"/>
        <v>#N/A</v>
      </c>
      <c r="RMR43" s="380" t="e">
        <f t="shared" si="199"/>
        <v>#N/A</v>
      </c>
      <c r="RMS43" s="380" t="e">
        <f t="shared" si="199"/>
        <v>#N/A</v>
      </c>
      <c r="RMT43" s="380" t="e">
        <f t="shared" si="199"/>
        <v>#N/A</v>
      </c>
      <c r="RMU43" s="380" t="e">
        <f t="shared" si="199"/>
        <v>#N/A</v>
      </c>
      <c r="RMV43" s="380" t="e">
        <f t="shared" si="199"/>
        <v>#N/A</v>
      </c>
      <c r="RMW43" s="380" t="e">
        <f t="shared" si="199"/>
        <v>#N/A</v>
      </c>
      <c r="RMX43" s="380" t="e">
        <f t="shared" si="199"/>
        <v>#N/A</v>
      </c>
      <c r="RMY43" s="380" t="e">
        <f t="shared" si="199"/>
        <v>#N/A</v>
      </c>
      <c r="RMZ43" s="380" t="e">
        <f t="shared" si="199"/>
        <v>#N/A</v>
      </c>
      <c r="RNA43" s="380" t="e">
        <f t="shared" si="199"/>
        <v>#N/A</v>
      </c>
      <c r="RNB43" s="380" t="e">
        <f t="shared" si="199"/>
        <v>#N/A</v>
      </c>
      <c r="RNC43" s="380" t="e">
        <f t="shared" si="199"/>
        <v>#N/A</v>
      </c>
      <c r="RND43" s="380" t="e">
        <f t="shared" si="199"/>
        <v>#N/A</v>
      </c>
      <c r="RNE43" s="380" t="e">
        <f t="shared" si="199"/>
        <v>#N/A</v>
      </c>
      <c r="RNF43" s="380" t="e">
        <f t="shared" si="199"/>
        <v>#N/A</v>
      </c>
      <c r="RNG43" s="380" t="e">
        <f t="shared" si="199"/>
        <v>#N/A</v>
      </c>
      <c r="RNH43" s="380" t="e">
        <f t="shared" si="199"/>
        <v>#N/A</v>
      </c>
      <c r="RNI43" s="380" t="e">
        <f t="shared" si="199"/>
        <v>#N/A</v>
      </c>
      <c r="RNJ43" s="380" t="e">
        <f t="shared" si="199"/>
        <v>#N/A</v>
      </c>
      <c r="RNK43" s="380" t="e">
        <f t="shared" si="199"/>
        <v>#N/A</v>
      </c>
      <c r="RNL43" s="380" t="e">
        <f t="shared" si="199"/>
        <v>#N/A</v>
      </c>
      <c r="RNM43" s="380" t="e">
        <f t="shared" si="199"/>
        <v>#N/A</v>
      </c>
      <c r="RNN43" s="380" t="e">
        <f t="shared" si="199"/>
        <v>#N/A</v>
      </c>
      <c r="RNO43" s="380" t="e">
        <f t="shared" si="199"/>
        <v>#N/A</v>
      </c>
      <c r="RNP43" s="380" t="e">
        <f t="shared" si="199"/>
        <v>#N/A</v>
      </c>
      <c r="RNQ43" s="380" t="e">
        <f t="shared" si="199"/>
        <v>#N/A</v>
      </c>
      <c r="RNR43" s="380" t="e">
        <f t="shared" si="199"/>
        <v>#N/A</v>
      </c>
      <c r="RNS43" s="380" t="e">
        <f t="shared" si="199"/>
        <v>#N/A</v>
      </c>
      <c r="RNT43" s="380" t="e">
        <f t="shared" ref="RNT43:RQE43" si="200">INDEX(RNT7:RNT40,MATCH($E$43,$E$7:$E$40,0))</f>
        <v>#N/A</v>
      </c>
      <c r="RNU43" s="380" t="e">
        <f t="shared" si="200"/>
        <v>#N/A</v>
      </c>
      <c r="RNV43" s="380" t="e">
        <f t="shared" si="200"/>
        <v>#N/A</v>
      </c>
      <c r="RNW43" s="380" t="e">
        <f t="shared" si="200"/>
        <v>#N/A</v>
      </c>
      <c r="RNX43" s="380" t="e">
        <f t="shared" si="200"/>
        <v>#N/A</v>
      </c>
      <c r="RNY43" s="380" t="e">
        <f t="shared" si="200"/>
        <v>#N/A</v>
      </c>
      <c r="RNZ43" s="380" t="e">
        <f t="shared" si="200"/>
        <v>#N/A</v>
      </c>
      <c r="ROA43" s="380" t="e">
        <f t="shared" si="200"/>
        <v>#N/A</v>
      </c>
      <c r="ROB43" s="380" t="e">
        <f t="shared" si="200"/>
        <v>#N/A</v>
      </c>
      <c r="ROC43" s="380" t="e">
        <f t="shared" si="200"/>
        <v>#N/A</v>
      </c>
      <c r="ROD43" s="380" t="e">
        <f t="shared" si="200"/>
        <v>#N/A</v>
      </c>
      <c r="ROE43" s="380" t="e">
        <f t="shared" si="200"/>
        <v>#N/A</v>
      </c>
      <c r="ROF43" s="380" t="e">
        <f t="shared" si="200"/>
        <v>#N/A</v>
      </c>
      <c r="ROG43" s="380" t="e">
        <f t="shared" si="200"/>
        <v>#N/A</v>
      </c>
      <c r="ROH43" s="380" t="e">
        <f t="shared" si="200"/>
        <v>#N/A</v>
      </c>
      <c r="ROI43" s="380" t="e">
        <f t="shared" si="200"/>
        <v>#N/A</v>
      </c>
      <c r="ROJ43" s="380" t="e">
        <f t="shared" si="200"/>
        <v>#N/A</v>
      </c>
      <c r="ROK43" s="380" t="e">
        <f t="shared" si="200"/>
        <v>#N/A</v>
      </c>
      <c r="ROL43" s="380" t="e">
        <f t="shared" si="200"/>
        <v>#N/A</v>
      </c>
      <c r="ROM43" s="380" t="e">
        <f t="shared" si="200"/>
        <v>#N/A</v>
      </c>
      <c r="RON43" s="380" t="e">
        <f t="shared" si="200"/>
        <v>#N/A</v>
      </c>
      <c r="ROO43" s="380" t="e">
        <f t="shared" si="200"/>
        <v>#N/A</v>
      </c>
      <c r="ROP43" s="380" t="e">
        <f t="shared" si="200"/>
        <v>#N/A</v>
      </c>
      <c r="ROQ43" s="380" t="e">
        <f t="shared" si="200"/>
        <v>#N/A</v>
      </c>
      <c r="ROR43" s="380" t="e">
        <f t="shared" si="200"/>
        <v>#N/A</v>
      </c>
      <c r="ROS43" s="380" t="e">
        <f t="shared" si="200"/>
        <v>#N/A</v>
      </c>
      <c r="ROT43" s="380" t="e">
        <f t="shared" si="200"/>
        <v>#N/A</v>
      </c>
      <c r="ROU43" s="380" t="e">
        <f t="shared" si="200"/>
        <v>#N/A</v>
      </c>
      <c r="ROV43" s="380" t="e">
        <f t="shared" si="200"/>
        <v>#N/A</v>
      </c>
      <c r="ROW43" s="380" t="e">
        <f t="shared" si="200"/>
        <v>#N/A</v>
      </c>
      <c r="ROX43" s="380" t="e">
        <f t="shared" si="200"/>
        <v>#N/A</v>
      </c>
      <c r="ROY43" s="380" t="e">
        <f t="shared" si="200"/>
        <v>#N/A</v>
      </c>
      <c r="ROZ43" s="380" t="e">
        <f t="shared" si="200"/>
        <v>#N/A</v>
      </c>
      <c r="RPA43" s="380" t="e">
        <f t="shared" si="200"/>
        <v>#N/A</v>
      </c>
      <c r="RPB43" s="380" t="e">
        <f t="shared" si="200"/>
        <v>#N/A</v>
      </c>
      <c r="RPC43" s="380" t="e">
        <f t="shared" si="200"/>
        <v>#N/A</v>
      </c>
      <c r="RPD43" s="380" t="e">
        <f t="shared" si="200"/>
        <v>#N/A</v>
      </c>
      <c r="RPE43" s="380" t="e">
        <f t="shared" si="200"/>
        <v>#N/A</v>
      </c>
      <c r="RPF43" s="380" t="e">
        <f t="shared" si="200"/>
        <v>#N/A</v>
      </c>
      <c r="RPG43" s="380" t="e">
        <f t="shared" si="200"/>
        <v>#N/A</v>
      </c>
      <c r="RPH43" s="380" t="e">
        <f t="shared" si="200"/>
        <v>#N/A</v>
      </c>
      <c r="RPI43" s="380" t="e">
        <f t="shared" si="200"/>
        <v>#N/A</v>
      </c>
      <c r="RPJ43" s="380" t="e">
        <f t="shared" si="200"/>
        <v>#N/A</v>
      </c>
      <c r="RPK43" s="380" t="e">
        <f t="shared" si="200"/>
        <v>#N/A</v>
      </c>
      <c r="RPL43" s="380" t="e">
        <f t="shared" si="200"/>
        <v>#N/A</v>
      </c>
      <c r="RPM43" s="380" t="e">
        <f t="shared" si="200"/>
        <v>#N/A</v>
      </c>
      <c r="RPN43" s="380" t="e">
        <f t="shared" si="200"/>
        <v>#N/A</v>
      </c>
      <c r="RPO43" s="380" t="e">
        <f t="shared" si="200"/>
        <v>#N/A</v>
      </c>
      <c r="RPP43" s="380" t="e">
        <f t="shared" si="200"/>
        <v>#N/A</v>
      </c>
      <c r="RPQ43" s="380" t="e">
        <f t="shared" si="200"/>
        <v>#N/A</v>
      </c>
      <c r="RPR43" s="380" t="e">
        <f t="shared" si="200"/>
        <v>#N/A</v>
      </c>
      <c r="RPS43" s="380" t="e">
        <f t="shared" si="200"/>
        <v>#N/A</v>
      </c>
      <c r="RPT43" s="380" t="e">
        <f t="shared" si="200"/>
        <v>#N/A</v>
      </c>
      <c r="RPU43" s="380" t="e">
        <f t="shared" si="200"/>
        <v>#N/A</v>
      </c>
      <c r="RPV43" s="380" t="e">
        <f t="shared" si="200"/>
        <v>#N/A</v>
      </c>
      <c r="RPW43" s="380" t="e">
        <f t="shared" si="200"/>
        <v>#N/A</v>
      </c>
      <c r="RPX43" s="380" t="e">
        <f t="shared" si="200"/>
        <v>#N/A</v>
      </c>
      <c r="RPY43" s="380" t="e">
        <f t="shared" si="200"/>
        <v>#N/A</v>
      </c>
      <c r="RPZ43" s="380" t="e">
        <f t="shared" si="200"/>
        <v>#N/A</v>
      </c>
      <c r="RQA43" s="380" t="e">
        <f t="shared" si="200"/>
        <v>#N/A</v>
      </c>
      <c r="RQB43" s="380" t="e">
        <f t="shared" si="200"/>
        <v>#N/A</v>
      </c>
      <c r="RQC43" s="380" t="e">
        <f t="shared" si="200"/>
        <v>#N/A</v>
      </c>
      <c r="RQD43" s="380" t="e">
        <f t="shared" si="200"/>
        <v>#N/A</v>
      </c>
      <c r="RQE43" s="380" t="e">
        <f t="shared" si="200"/>
        <v>#N/A</v>
      </c>
      <c r="RQF43" s="380" t="e">
        <f t="shared" ref="RQF43:RSQ43" si="201">INDEX(RQF7:RQF40,MATCH($E$43,$E$7:$E$40,0))</f>
        <v>#N/A</v>
      </c>
      <c r="RQG43" s="380" t="e">
        <f t="shared" si="201"/>
        <v>#N/A</v>
      </c>
      <c r="RQH43" s="380" t="e">
        <f t="shared" si="201"/>
        <v>#N/A</v>
      </c>
      <c r="RQI43" s="380" t="e">
        <f t="shared" si="201"/>
        <v>#N/A</v>
      </c>
      <c r="RQJ43" s="380" t="e">
        <f t="shared" si="201"/>
        <v>#N/A</v>
      </c>
      <c r="RQK43" s="380" t="e">
        <f t="shared" si="201"/>
        <v>#N/A</v>
      </c>
      <c r="RQL43" s="380" t="e">
        <f t="shared" si="201"/>
        <v>#N/A</v>
      </c>
      <c r="RQM43" s="380" t="e">
        <f t="shared" si="201"/>
        <v>#N/A</v>
      </c>
      <c r="RQN43" s="380" t="e">
        <f t="shared" si="201"/>
        <v>#N/A</v>
      </c>
      <c r="RQO43" s="380" t="e">
        <f t="shared" si="201"/>
        <v>#N/A</v>
      </c>
      <c r="RQP43" s="380" t="e">
        <f t="shared" si="201"/>
        <v>#N/A</v>
      </c>
      <c r="RQQ43" s="380" t="e">
        <f t="shared" si="201"/>
        <v>#N/A</v>
      </c>
      <c r="RQR43" s="380" t="e">
        <f t="shared" si="201"/>
        <v>#N/A</v>
      </c>
      <c r="RQS43" s="380" t="e">
        <f t="shared" si="201"/>
        <v>#N/A</v>
      </c>
      <c r="RQT43" s="380" t="e">
        <f t="shared" si="201"/>
        <v>#N/A</v>
      </c>
      <c r="RQU43" s="380" t="e">
        <f t="shared" si="201"/>
        <v>#N/A</v>
      </c>
      <c r="RQV43" s="380" t="e">
        <f t="shared" si="201"/>
        <v>#N/A</v>
      </c>
      <c r="RQW43" s="380" t="e">
        <f t="shared" si="201"/>
        <v>#N/A</v>
      </c>
      <c r="RQX43" s="380" t="e">
        <f t="shared" si="201"/>
        <v>#N/A</v>
      </c>
      <c r="RQY43" s="380" t="e">
        <f t="shared" si="201"/>
        <v>#N/A</v>
      </c>
      <c r="RQZ43" s="380" t="e">
        <f t="shared" si="201"/>
        <v>#N/A</v>
      </c>
      <c r="RRA43" s="380" t="e">
        <f t="shared" si="201"/>
        <v>#N/A</v>
      </c>
      <c r="RRB43" s="380" t="e">
        <f t="shared" si="201"/>
        <v>#N/A</v>
      </c>
      <c r="RRC43" s="380" t="e">
        <f t="shared" si="201"/>
        <v>#N/A</v>
      </c>
      <c r="RRD43" s="380" t="e">
        <f t="shared" si="201"/>
        <v>#N/A</v>
      </c>
      <c r="RRE43" s="380" t="e">
        <f t="shared" si="201"/>
        <v>#N/A</v>
      </c>
      <c r="RRF43" s="380" t="e">
        <f t="shared" si="201"/>
        <v>#N/A</v>
      </c>
      <c r="RRG43" s="380" t="e">
        <f t="shared" si="201"/>
        <v>#N/A</v>
      </c>
      <c r="RRH43" s="380" t="e">
        <f t="shared" si="201"/>
        <v>#N/A</v>
      </c>
      <c r="RRI43" s="380" t="e">
        <f t="shared" si="201"/>
        <v>#N/A</v>
      </c>
      <c r="RRJ43" s="380" t="e">
        <f t="shared" si="201"/>
        <v>#N/A</v>
      </c>
      <c r="RRK43" s="380" t="e">
        <f t="shared" si="201"/>
        <v>#N/A</v>
      </c>
      <c r="RRL43" s="380" t="e">
        <f t="shared" si="201"/>
        <v>#N/A</v>
      </c>
      <c r="RRM43" s="380" t="e">
        <f t="shared" si="201"/>
        <v>#N/A</v>
      </c>
      <c r="RRN43" s="380" t="e">
        <f t="shared" si="201"/>
        <v>#N/A</v>
      </c>
      <c r="RRO43" s="380" t="e">
        <f t="shared" si="201"/>
        <v>#N/A</v>
      </c>
      <c r="RRP43" s="380" t="e">
        <f t="shared" si="201"/>
        <v>#N/A</v>
      </c>
      <c r="RRQ43" s="380" t="e">
        <f t="shared" si="201"/>
        <v>#N/A</v>
      </c>
      <c r="RRR43" s="380" t="e">
        <f t="shared" si="201"/>
        <v>#N/A</v>
      </c>
      <c r="RRS43" s="380" t="e">
        <f t="shared" si="201"/>
        <v>#N/A</v>
      </c>
      <c r="RRT43" s="380" t="e">
        <f t="shared" si="201"/>
        <v>#N/A</v>
      </c>
      <c r="RRU43" s="380" t="e">
        <f t="shared" si="201"/>
        <v>#N/A</v>
      </c>
      <c r="RRV43" s="380" t="e">
        <f t="shared" si="201"/>
        <v>#N/A</v>
      </c>
      <c r="RRW43" s="380" t="e">
        <f t="shared" si="201"/>
        <v>#N/A</v>
      </c>
      <c r="RRX43" s="380" t="e">
        <f t="shared" si="201"/>
        <v>#N/A</v>
      </c>
      <c r="RRY43" s="380" t="e">
        <f t="shared" si="201"/>
        <v>#N/A</v>
      </c>
      <c r="RRZ43" s="380" t="e">
        <f t="shared" si="201"/>
        <v>#N/A</v>
      </c>
      <c r="RSA43" s="380" t="e">
        <f t="shared" si="201"/>
        <v>#N/A</v>
      </c>
      <c r="RSB43" s="380" t="e">
        <f t="shared" si="201"/>
        <v>#N/A</v>
      </c>
      <c r="RSC43" s="380" t="e">
        <f t="shared" si="201"/>
        <v>#N/A</v>
      </c>
      <c r="RSD43" s="380" t="e">
        <f t="shared" si="201"/>
        <v>#N/A</v>
      </c>
      <c r="RSE43" s="380" t="e">
        <f t="shared" si="201"/>
        <v>#N/A</v>
      </c>
      <c r="RSF43" s="380" t="e">
        <f t="shared" si="201"/>
        <v>#N/A</v>
      </c>
      <c r="RSG43" s="380" t="e">
        <f t="shared" si="201"/>
        <v>#N/A</v>
      </c>
      <c r="RSH43" s="380" t="e">
        <f t="shared" si="201"/>
        <v>#N/A</v>
      </c>
      <c r="RSI43" s="380" t="e">
        <f t="shared" si="201"/>
        <v>#N/A</v>
      </c>
      <c r="RSJ43" s="380" t="e">
        <f t="shared" si="201"/>
        <v>#N/A</v>
      </c>
      <c r="RSK43" s="380" t="e">
        <f t="shared" si="201"/>
        <v>#N/A</v>
      </c>
      <c r="RSL43" s="380" t="e">
        <f t="shared" si="201"/>
        <v>#N/A</v>
      </c>
      <c r="RSM43" s="380" t="e">
        <f t="shared" si="201"/>
        <v>#N/A</v>
      </c>
      <c r="RSN43" s="380" t="e">
        <f t="shared" si="201"/>
        <v>#N/A</v>
      </c>
      <c r="RSO43" s="380" t="e">
        <f t="shared" si="201"/>
        <v>#N/A</v>
      </c>
      <c r="RSP43" s="380" t="e">
        <f t="shared" si="201"/>
        <v>#N/A</v>
      </c>
      <c r="RSQ43" s="380" t="e">
        <f t="shared" si="201"/>
        <v>#N/A</v>
      </c>
      <c r="RSR43" s="380" t="e">
        <f t="shared" ref="RSR43:RVC43" si="202">INDEX(RSR7:RSR40,MATCH($E$43,$E$7:$E$40,0))</f>
        <v>#N/A</v>
      </c>
      <c r="RSS43" s="380" t="e">
        <f t="shared" si="202"/>
        <v>#N/A</v>
      </c>
      <c r="RST43" s="380" t="e">
        <f t="shared" si="202"/>
        <v>#N/A</v>
      </c>
      <c r="RSU43" s="380" t="e">
        <f t="shared" si="202"/>
        <v>#N/A</v>
      </c>
      <c r="RSV43" s="380" t="e">
        <f t="shared" si="202"/>
        <v>#N/A</v>
      </c>
      <c r="RSW43" s="380" t="e">
        <f t="shared" si="202"/>
        <v>#N/A</v>
      </c>
      <c r="RSX43" s="380" t="e">
        <f t="shared" si="202"/>
        <v>#N/A</v>
      </c>
      <c r="RSY43" s="380" t="e">
        <f t="shared" si="202"/>
        <v>#N/A</v>
      </c>
      <c r="RSZ43" s="380" t="e">
        <f t="shared" si="202"/>
        <v>#N/A</v>
      </c>
      <c r="RTA43" s="380" t="e">
        <f t="shared" si="202"/>
        <v>#N/A</v>
      </c>
      <c r="RTB43" s="380" t="e">
        <f t="shared" si="202"/>
        <v>#N/A</v>
      </c>
      <c r="RTC43" s="380" t="e">
        <f t="shared" si="202"/>
        <v>#N/A</v>
      </c>
      <c r="RTD43" s="380" t="e">
        <f t="shared" si="202"/>
        <v>#N/A</v>
      </c>
      <c r="RTE43" s="380" t="e">
        <f t="shared" si="202"/>
        <v>#N/A</v>
      </c>
      <c r="RTF43" s="380" t="e">
        <f t="shared" si="202"/>
        <v>#N/A</v>
      </c>
      <c r="RTG43" s="380" t="e">
        <f t="shared" si="202"/>
        <v>#N/A</v>
      </c>
      <c r="RTH43" s="380" t="e">
        <f t="shared" si="202"/>
        <v>#N/A</v>
      </c>
      <c r="RTI43" s="380" t="e">
        <f t="shared" si="202"/>
        <v>#N/A</v>
      </c>
      <c r="RTJ43" s="380" t="e">
        <f t="shared" si="202"/>
        <v>#N/A</v>
      </c>
      <c r="RTK43" s="380" t="e">
        <f t="shared" si="202"/>
        <v>#N/A</v>
      </c>
      <c r="RTL43" s="380" t="e">
        <f t="shared" si="202"/>
        <v>#N/A</v>
      </c>
      <c r="RTM43" s="380" t="e">
        <f t="shared" si="202"/>
        <v>#N/A</v>
      </c>
      <c r="RTN43" s="380" t="e">
        <f t="shared" si="202"/>
        <v>#N/A</v>
      </c>
      <c r="RTO43" s="380" t="e">
        <f t="shared" si="202"/>
        <v>#N/A</v>
      </c>
      <c r="RTP43" s="380" t="e">
        <f t="shared" si="202"/>
        <v>#N/A</v>
      </c>
      <c r="RTQ43" s="380" t="e">
        <f t="shared" si="202"/>
        <v>#N/A</v>
      </c>
      <c r="RTR43" s="380" t="e">
        <f t="shared" si="202"/>
        <v>#N/A</v>
      </c>
      <c r="RTS43" s="380" t="e">
        <f t="shared" si="202"/>
        <v>#N/A</v>
      </c>
      <c r="RTT43" s="380" t="e">
        <f t="shared" si="202"/>
        <v>#N/A</v>
      </c>
      <c r="RTU43" s="380" t="e">
        <f t="shared" si="202"/>
        <v>#N/A</v>
      </c>
      <c r="RTV43" s="380" t="e">
        <f t="shared" si="202"/>
        <v>#N/A</v>
      </c>
      <c r="RTW43" s="380" t="e">
        <f t="shared" si="202"/>
        <v>#N/A</v>
      </c>
      <c r="RTX43" s="380" t="e">
        <f t="shared" si="202"/>
        <v>#N/A</v>
      </c>
      <c r="RTY43" s="380" t="e">
        <f t="shared" si="202"/>
        <v>#N/A</v>
      </c>
      <c r="RTZ43" s="380" t="e">
        <f t="shared" si="202"/>
        <v>#N/A</v>
      </c>
      <c r="RUA43" s="380" t="e">
        <f t="shared" si="202"/>
        <v>#N/A</v>
      </c>
      <c r="RUB43" s="380" t="e">
        <f t="shared" si="202"/>
        <v>#N/A</v>
      </c>
      <c r="RUC43" s="380" t="e">
        <f t="shared" si="202"/>
        <v>#N/A</v>
      </c>
      <c r="RUD43" s="380" t="e">
        <f t="shared" si="202"/>
        <v>#N/A</v>
      </c>
      <c r="RUE43" s="380" t="e">
        <f t="shared" si="202"/>
        <v>#N/A</v>
      </c>
      <c r="RUF43" s="380" t="e">
        <f t="shared" si="202"/>
        <v>#N/A</v>
      </c>
      <c r="RUG43" s="380" t="e">
        <f t="shared" si="202"/>
        <v>#N/A</v>
      </c>
      <c r="RUH43" s="380" t="e">
        <f t="shared" si="202"/>
        <v>#N/A</v>
      </c>
      <c r="RUI43" s="380" t="e">
        <f t="shared" si="202"/>
        <v>#N/A</v>
      </c>
      <c r="RUJ43" s="380" t="e">
        <f t="shared" si="202"/>
        <v>#N/A</v>
      </c>
      <c r="RUK43" s="380" t="e">
        <f t="shared" si="202"/>
        <v>#N/A</v>
      </c>
      <c r="RUL43" s="380" t="e">
        <f t="shared" si="202"/>
        <v>#N/A</v>
      </c>
      <c r="RUM43" s="380" t="e">
        <f t="shared" si="202"/>
        <v>#N/A</v>
      </c>
      <c r="RUN43" s="380" t="e">
        <f t="shared" si="202"/>
        <v>#N/A</v>
      </c>
      <c r="RUO43" s="380" t="e">
        <f t="shared" si="202"/>
        <v>#N/A</v>
      </c>
      <c r="RUP43" s="380" t="e">
        <f t="shared" si="202"/>
        <v>#N/A</v>
      </c>
      <c r="RUQ43" s="380" t="e">
        <f t="shared" si="202"/>
        <v>#N/A</v>
      </c>
      <c r="RUR43" s="380" t="e">
        <f t="shared" si="202"/>
        <v>#N/A</v>
      </c>
      <c r="RUS43" s="380" t="e">
        <f t="shared" si="202"/>
        <v>#N/A</v>
      </c>
      <c r="RUT43" s="380" t="e">
        <f t="shared" si="202"/>
        <v>#N/A</v>
      </c>
      <c r="RUU43" s="380" t="e">
        <f t="shared" si="202"/>
        <v>#N/A</v>
      </c>
      <c r="RUV43" s="380" t="e">
        <f t="shared" si="202"/>
        <v>#N/A</v>
      </c>
      <c r="RUW43" s="380" t="e">
        <f t="shared" si="202"/>
        <v>#N/A</v>
      </c>
      <c r="RUX43" s="380" t="e">
        <f t="shared" si="202"/>
        <v>#N/A</v>
      </c>
      <c r="RUY43" s="380" t="e">
        <f t="shared" si="202"/>
        <v>#N/A</v>
      </c>
      <c r="RUZ43" s="380" t="e">
        <f t="shared" si="202"/>
        <v>#N/A</v>
      </c>
      <c r="RVA43" s="380" t="e">
        <f t="shared" si="202"/>
        <v>#N/A</v>
      </c>
      <c r="RVB43" s="380" t="e">
        <f t="shared" si="202"/>
        <v>#N/A</v>
      </c>
      <c r="RVC43" s="380" t="e">
        <f t="shared" si="202"/>
        <v>#N/A</v>
      </c>
      <c r="RVD43" s="380" t="e">
        <f t="shared" ref="RVD43:RXO43" si="203">INDEX(RVD7:RVD40,MATCH($E$43,$E$7:$E$40,0))</f>
        <v>#N/A</v>
      </c>
      <c r="RVE43" s="380" t="e">
        <f t="shared" si="203"/>
        <v>#N/A</v>
      </c>
      <c r="RVF43" s="380" t="e">
        <f t="shared" si="203"/>
        <v>#N/A</v>
      </c>
      <c r="RVG43" s="380" t="e">
        <f t="shared" si="203"/>
        <v>#N/A</v>
      </c>
      <c r="RVH43" s="380" t="e">
        <f t="shared" si="203"/>
        <v>#N/A</v>
      </c>
      <c r="RVI43" s="380" t="e">
        <f t="shared" si="203"/>
        <v>#N/A</v>
      </c>
      <c r="RVJ43" s="380" t="e">
        <f t="shared" si="203"/>
        <v>#N/A</v>
      </c>
      <c r="RVK43" s="380" t="e">
        <f t="shared" si="203"/>
        <v>#N/A</v>
      </c>
      <c r="RVL43" s="380" t="e">
        <f t="shared" si="203"/>
        <v>#N/A</v>
      </c>
      <c r="RVM43" s="380" t="e">
        <f t="shared" si="203"/>
        <v>#N/A</v>
      </c>
      <c r="RVN43" s="380" t="e">
        <f t="shared" si="203"/>
        <v>#N/A</v>
      </c>
      <c r="RVO43" s="380" t="e">
        <f t="shared" si="203"/>
        <v>#N/A</v>
      </c>
      <c r="RVP43" s="380" t="e">
        <f t="shared" si="203"/>
        <v>#N/A</v>
      </c>
      <c r="RVQ43" s="380" t="e">
        <f t="shared" si="203"/>
        <v>#N/A</v>
      </c>
      <c r="RVR43" s="380" t="e">
        <f t="shared" si="203"/>
        <v>#N/A</v>
      </c>
      <c r="RVS43" s="380" t="e">
        <f t="shared" si="203"/>
        <v>#N/A</v>
      </c>
      <c r="RVT43" s="380" t="e">
        <f t="shared" si="203"/>
        <v>#N/A</v>
      </c>
      <c r="RVU43" s="380" t="e">
        <f t="shared" si="203"/>
        <v>#N/A</v>
      </c>
      <c r="RVV43" s="380" t="e">
        <f t="shared" si="203"/>
        <v>#N/A</v>
      </c>
      <c r="RVW43" s="380" t="e">
        <f t="shared" si="203"/>
        <v>#N/A</v>
      </c>
      <c r="RVX43" s="380" t="e">
        <f t="shared" si="203"/>
        <v>#N/A</v>
      </c>
      <c r="RVY43" s="380" t="e">
        <f t="shared" si="203"/>
        <v>#N/A</v>
      </c>
      <c r="RVZ43" s="380" t="e">
        <f t="shared" si="203"/>
        <v>#N/A</v>
      </c>
      <c r="RWA43" s="380" t="e">
        <f t="shared" si="203"/>
        <v>#N/A</v>
      </c>
      <c r="RWB43" s="380" t="e">
        <f t="shared" si="203"/>
        <v>#N/A</v>
      </c>
      <c r="RWC43" s="380" t="e">
        <f t="shared" si="203"/>
        <v>#N/A</v>
      </c>
      <c r="RWD43" s="380" t="e">
        <f t="shared" si="203"/>
        <v>#N/A</v>
      </c>
      <c r="RWE43" s="380" t="e">
        <f t="shared" si="203"/>
        <v>#N/A</v>
      </c>
      <c r="RWF43" s="380" t="e">
        <f t="shared" si="203"/>
        <v>#N/A</v>
      </c>
      <c r="RWG43" s="380" t="e">
        <f t="shared" si="203"/>
        <v>#N/A</v>
      </c>
      <c r="RWH43" s="380" t="e">
        <f t="shared" si="203"/>
        <v>#N/A</v>
      </c>
      <c r="RWI43" s="380" t="e">
        <f t="shared" si="203"/>
        <v>#N/A</v>
      </c>
      <c r="RWJ43" s="380" t="e">
        <f t="shared" si="203"/>
        <v>#N/A</v>
      </c>
      <c r="RWK43" s="380" t="e">
        <f t="shared" si="203"/>
        <v>#N/A</v>
      </c>
      <c r="RWL43" s="380" t="e">
        <f t="shared" si="203"/>
        <v>#N/A</v>
      </c>
      <c r="RWM43" s="380" t="e">
        <f t="shared" si="203"/>
        <v>#N/A</v>
      </c>
      <c r="RWN43" s="380" t="e">
        <f t="shared" si="203"/>
        <v>#N/A</v>
      </c>
      <c r="RWO43" s="380" t="e">
        <f t="shared" si="203"/>
        <v>#N/A</v>
      </c>
      <c r="RWP43" s="380" t="e">
        <f t="shared" si="203"/>
        <v>#N/A</v>
      </c>
      <c r="RWQ43" s="380" t="e">
        <f t="shared" si="203"/>
        <v>#N/A</v>
      </c>
      <c r="RWR43" s="380" t="e">
        <f t="shared" si="203"/>
        <v>#N/A</v>
      </c>
      <c r="RWS43" s="380" t="e">
        <f t="shared" si="203"/>
        <v>#N/A</v>
      </c>
      <c r="RWT43" s="380" t="e">
        <f t="shared" si="203"/>
        <v>#N/A</v>
      </c>
      <c r="RWU43" s="380" t="e">
        <f t="shared" si="203"/>
        <v>#N/A</v>
      </c>
      <c r="RWV43" s="380" t="e">
        <f t="shared" si="203"/>
        <v>#N/A</v>
      </c>
      <c r="RWW43" s="380" t="e">
        <f t="shared" si="203"/>
        <v>#N/A</v>
      </c>
      <c r="RWX43" s="380" t="e">
        <f t="shared" si="203"/>
        <v>#N/A</v>
      </c>
      <c r="RWY43" s="380" t="e">
        <f t="shared" si="203"/>
        <v>#N/A</v>
      </c>
      <c r="RWZ43" s="380" t="e">
        <f t="shared" si="203"/>
        <v>#N/A</v>
      </c>
      <c r="RXA43" s="380" t="e">
        <f t="shared" si="203"/>
        <v>#N/A</v>
      </c>
      <c r="RXB43" s="380" t="e">
        <f t="shared" si="203"/>
        <v>#N/A</v>
      </c>
      <c r="RXC43" s="380" t="e">
        <f t="shared" si="203"/>
        <v>#N/A</v>
      </c>
      <c r="RXD43" s="380" t="e">
        <f t="shared" si="203"/>
        <v>#N/A</v>
      </c>
      <c r="RXE43" s="380" t="e">
        <f t="shared" si="203"/>
        <v>#N/A</v>
      </c>
      <c r="RXF43" s="380" t="e">
        <f t="shared" si="203"/>
        <v>#N/A</v>
      </c>
      <c r="RXG43" s="380" t="e">
        <f t="shared" si="203"/>
        <v>#N/A</v>
      </c>
      <c r="RXH43" s="380" t="e">
        <f t="shared" si="203"/>
        <v>#N/A</v>
      </c>
      <c r="RXI43" s="380" t="e">
        <f t="shared" si="203"/>
        <v>#N/A</v>
      </c>
      <c r="RXJ43" s="380" t="e">
        <f t="shared" si="203"/>
        <v>#N/A</v>
      </c>
      <c r="RXK43" s="380" t="e">
        <f t="shared" si="203"/>
        <v>#N/A</v>
      </c>
      <c r="RXL43" s="380" t="e">
        <f t="shared" si="203"/>
        <v>#N/A</v>
      </c>
      <c r="RXM43" s="380" t="e">
        <f t="shared" si="203"/>
        <v>#N/A</v>
      </c>
      <c r="RXN43" s="380" t="e">
        <f t="shared" si="203"/>
        <v>#N/A</v>
      </c>
      <c r="RXO43" s="380" t="e">
        <f t="shared" si="203"/>
        <v>#N/A</v>
      </c>
      <c r="RXP43" s="380" t="e">
        <f t="shared" ref="RXP43:SAA43" si="204">INDEX(RXP7:RXP40,MATCH($E$43,$E$7:$E$40,0))</f>
        <v>#N/A</v>
      </c>
      <c r="RXQ43" s="380" t="e">
        <f t="shared" si="204"/>
        <v>#N/A</v>
      </c>
      <c r="RXR43" s="380" t="e">
        <f t="shared" si="204"/>
        <v>#N/A</v>
      </c>
      <c r="RXS43" s="380" t="e">
        <f t="shared" si="204"/>
        <v>#N/A</v>
      </c>
      <c r="RXT43" s="380" t="e">
        <f t="shared" si="204"/>
        <v>#N/A</v>
      </c>
      <c r="RXU43" s="380" t="e">
        <f t="shared" si="204"/>
        <v>#N/A</v>
      </c>
      <c r="RXV43" s="380" t="e">
        <f t="shared" si="204"/>
        <v>#N/A</v>
      </c>
      <c r="RXW43" s="380" t="e">
        <f t="shared" si="204"/>
        <v>#N/A</v>
      </c>
      <c r="RXX43" s="380" t="e">
        <f t="shared" si="204"/>
        <v>#N/A</v>
      </c>
      <c r="RXY43" s="380" t="e">
        <f t="shared" si="204"/>
        <v>#N/A</v>
      </c>
      <c r="RXZ43" s="380" t="e">
        <f t="shared" si="204"/>
        <v>#N/A</v>
      </c>
      <c r="RYA43" s="380" t="e">
        <f t="shared" si="204"/>
        <v>#N/A</v>
      </c>
      <c r="RYB43" s="380" t="e">
        <f t="shared" si="204"/>
        <v>#N/A</v>
      </c>
      <c r="RYC43" s="380" t="e">
        <f t="shared" si="204"/>
        <v>#N/A</v>
      </c>
      <c r="RYD43" s="380" t="e">
        <f t="shared" si="204"/>
        <v>#N/A</v>
      </c>
      <c r="RYE43" s="380" t="e">
        <f t="shared" si="204"/>
        <v>#N/A</v>
      </c>
      <c r="RYF43" s="380" t="e">
        <f t="shared" si="204"/>
        <v>#N/A</v>
      </c>
      <c r="RYG43" s="380" t="e">
        <f t="shared" si="204"/>
        <v>#N/A</v>
      </c>
      <c r="RYH43" s="380" t="e">
        <f t="shared" si="204"/>
        <v>#N/A</v>
      </c>
      <c r="RYI43" s="380" t="e">
        <f t="shared" si="204"/>
        <v>#N/A</v>
      </c>
      <c r="RYJ43" s="380" t="e">
        <f t="shared" si="204"/>
        <v>#N/A</v>
      </c>
      <c r="RYK43" s="380" t="e">
        <f t="shared" si="204"/>
        <v>#N/A</v>
      </c>
      <c r="RYL43" s="380" t="e">
        <f t="shared" si="204"/>
        <v>#N/A</v>
      </c>
      <c r="RYM43" s="380" t="e">
        <f t="shared" si="204"/>
        <v>#N/A</v>
      </c>
      <c r="RYN43" s="380" t="e">
        <f t="shared" si="204"/>
        <v>#N/A</v>
      </c>
      <c r="RYO43" s="380" t="e">
        <f t="shared" si="204"/>
        <v>#N/A</v>
      </c>
      <c r="RYP43" s="380" t="e">
        <f t="shared" si="204"/>
        <v>#N/A</v>
      </c>
      <c r="RYQ43" s="380" t="e">
        <f t="shared" si="204"/>
        <v>#N/A</v>
      </c>
      <c r="RYR43" s="380" t="e">
        <f t="shared" si="204"/>
        <v>#N/A</v>
      </c>
      <c r="RYS43" s="380" t="e">
        <f t="shared" si="204"/>
        <v>#N/A</v>
      </c>
      <c r="RYT43" s="380" t="e">
        <f t="shared" si="204"/>
        <v>#N/A</v>
      </c>
      <c r="RYU43" s="380" t="e">
        <f t="shared" si="204"/>
        <v>#N/A</v>
      </c>
      <c r="RYV43" s="380" t="e">
        <f t="shared" si="204"/>
        <v>#N/A</v>
      </c>
      <c r="RYW43" s="380" t="e">
        <f t="shared" si="204"/>
        <v>#N/A</v>
      </c>
      <c r="RYX43" s="380" t="e">
        <f t="shared" si="204"/>
        <v>#N/A</v>
      </c>
      <c r="RYY43" s="380" t="e">
        <f t="shared" si="204"/>
        <v>#N/A</v>
      </c>
      <c r="RYZ43" s="380" t="e">
        <f t="shared" si="204"/>
        <v>#N/A</v>
      </c>
      <c r="RZA43" s="380" t="e">
        <f t="shared" si="204"/>
        <v>#N/A</v>
      </c>
      <c r="RZB43" s="380" t="e">
        <f t="shared" si="204"/>
        <v>#N/A</v>
      </c>
      <c r="RZC43" s="380" t="e">
        <f t="shared" si="204"/>
        <v>#N/A</v>
      </c>
      <c r="RZD43" s="380" t="e">
        <f t="shared" si="204"/>
        <v>#N/A</v>
      </c>
      <c r="RZE43" s="380" t="e">
        <f t="shared" si="204"/>
        <v>#N/A</v>
      </c>
      <c r="RZF43" s="380" t="e">
        <f t="shared" si="204"/>
        <v>#N/A</v>
      </c>
      <c r="RZG43" s="380" t="e">
        <f t="shared" si="204"/>
        <v>#N/A</v>
      </c>
      <c r="RZH43" s="380" t="e">
        <f t="shared" si="204"/>
        <v>#N/A</v>
      </c>
      <c r="RZI43" s="380" t="e">
        <f t="shared" si="204"/>
        <v>#N/A</v>
      </c>
      <c r="RZJ43" s="380" t="e">
        <f t="shared" si="204"/>
        <v>#N/A</v>
      </c>
      <c r="RZK43" s="380" t="e">
        <f t="shared" si="204"/>
        <v>#N/A</v>
      </c>
      <c r="RZL43" s="380" t="e">
        <f t="shared" si="204"/>
        <v>#N/A</v>
      </c>
      <c r="RZM43" s="380" t="e">
        <f t="shared" si="204"/>
        <v>#N/A</v>
      </c>
      <c r="RZN43" s="380" t="e">
        <f t="shared" si="204"/>
        <v>#N/A</v>
      </c>
      <c r="RZO43" s="380" t="e">
        <f t="shared" si="204"/>
        <v>#N/A</v>
      </c>
      <c r="RZP43" s="380" t="e">
        <f t="shared" si="204"/>
        <v>#N/A</v>
      </c>
      <c r="RZQ43" s="380" t="e">
        <f t="shared" si="204"/>
        <v>#N/A</v>
      </c>
      <c r="RZR43" s="380" t="e">
        <f t="shared" si="204"/>
        <v>#N/A</v>
      </c>
      <c r="RZS43" s="380" t="e">
        <f t="shared" si="204"/>
        <v>#N/A</v>
      </c>
      <c r="RZT43" s="380" t="e">
        <f t="shared" si="204"/>
        <v>#N/A</v>
      </c>
      <c r="RZU43" s="380" t="e">
        <f t="shared" si="204"/>
        <v>#N/A</v>
      </c>
      <c r="RZV43" s="380" t="e">
        <f t="shared" si="204"/>
        <v>#N/A</v>
      </c>
      <c r="RZW43" s="380" t="e">
        <f t="shared" si="204"/>
        <v>#N/A</v>
      </c>
      <c r="RZX43" s="380" t="e">
        <f t="shared" si="204"/>
        <v>#N/A</v>
      </c>
      <c r="RZY43" s="380" t="e">
        <f t="shared" si="204"/>
        <v>#N/A</v>
      </c>
      <c r="RZZ43" s="380" t="e">
        <f t="shared" si="204"/>
        <v>#N/A</v>
      </c>
      <c r="SAA43" s="380" t="e">
        <f t="shared" si="204"/>
        <v>#N/A</v>
      </c>
      <c r="SAB43" s="380" t="e">
        <f t="shared" ref="SAB43:SCM43" si="205">INDEX(SAB7:SAB40,MATCH($E$43,$E$7:$E$40,0))</f>
        <v>#N/A</v>
      </c>
      <c r="SAC43" s="380" t="e">
        <f t="shared" si="205"/>
        <v>#N/A</v>
      </c>
      <c r="SAD43" s="380" t="e">
        <f t="shared" si="205"/>
        <v>#N/A</v>
      </c>
      <c r="SAE43" s="380" t="e">
        <f t="shared" si="205"/>
        <v>#N/A</v>
      </c>
      <c r="SAF43" s="380" t="e">
        <f t="shared" si="205"/>
        <v>#N/A</v>
      </c>
      <c r="SAG43" s="380" t="e">
        <f t="shared" si="205"/>
        <v>#N/A</v>
      </c>
      <c r="SAH43" s="380" t="e">
        <f t="shared" si="205"/>
        <v>#N/A</v>
      </c>
      <c r="SAI43" s="380" t="e">
        <f t="shared" si="205"/>
        <v>#N/A</v>
      </c>
      <c r="SAJ43" s="380" t="e">
        <f t="shared" si="205"/>
        <v>#N/A</v>
      </c>
      <c r="SAK43" s="380" t="e">
        <f t="shared" si="205"/>
        <v>#N/A</v>
      </c>
      <c r="SAL43" s="380" t="e">
        <f t="shared" si="205"/>
        <v>#N/A</v>
      </c>
      <c r="SAM43" s="380" t="e">
        <f t="shared" si="205"/>
        <v>#N/A</v>
      </c>
      <c r="SAN43" s="380" t="e">
        <f t="shared" si="205"/>
        <v>#N/A</v>
      </c>
      <c r="SAO43" s="380" t="e">
        <f t="shared" si="205"/>
        <v>#N/A</v>
      </c>
      <c r="SAP43" s="380" t="e">
        <f t="shared" si="205"/>
        <v>#N/A</v>
      </c>
      <c r="SAQ43" s="380" t="e">
        <f t="shared" si="205"/>
        <v>#N/A</v>
      </c>
      <c r="SAR43" s="380" t="e">
        <f t="shared" si="205"/>
        <v>#N/A</v>
      </c>
      <c r="SAS43" s="380" t="e">
        <f t="shared" si="205"/>
        <v>#N/A</v>
      </c>
      <c r="SAT43" s="380" t="e">
        <f t="shared" si="205"/>
        <v>#N/A</v>
      </c>
      <c r="SAU43" s="380" t="e">
        <f t="shared" si="205"/>
        <v>#N/A</v>
      </c>
      <c r="SAV43" s="380" t="e">
        <f t="shared" si="205"/>
        <v>#N/A</v>
      </c>
      <c r="SAW43" s="380" t="e">
        <f t="shared" si="205"/>
        <v>#N/A</v>
      </c>
      <c r="SAX43" s="380" t="e">
        <f t="shared" si="205"/>
        <v>#N/A</v>
      </c>
      <c r="SAY43" s="380" t="e">
        <f t="shared" si="205"/>
        <v>#N/A</v>
      </c>
      <c r="SAZ43" s="380" t="e">
        <f t="shared" si="205"/>
        <v>#N/A</v>
      </c>
      <c r="SBA43" s="380" t="e">
        <f t="shared" si="205"/>
        <v>#N/A</v>
      </c>
      <c r="SBB43" s="380" t="e">
        <f t="shared" si="205"/>
        <v>#N/A</v>
      </c>
      <c r="SBC43" s="380" t="e">
        <f t="shared" si="205"/>
        <v>#N/A</v>
      </c>
      <c r="SBD43" s="380" t="e">
        <f t="shared" si="205"/>
        <v>#N/A</v>
      </c>
      <c r="SBE43" s="380" t="e">
        <f t="shared" si="205"/>
        <v>#N/A</v>
      </c>
      <c r="SBF43" s="380" t="e">
        <f t="shared" si="205"/>
        <v>#N/A</v>
      </c>
      <c r="SBG43" s="380" t="e">
        <f t="shared" si="205"/>
        <v>#N/A</v>
      </c>
      <c r="SBH43" s="380" t="e">
        <f t="shared" si="205"/>
        <v>#N/A</v>
      </c>
      <c r="SBI43" s="380" t="e">
        <f t="shared" si="205"/>
        <v>#N/A</v>
      </c>
      <c r="SBJ43" s="380" t="e">
        <f t="shared" si="205"/>
        <v>#N/A</v>
      </c>
      <c r="SBK43" s="380" t="e">
        <f t="shared" si="205"/>
        <v>#N/A</v>
      </c>
      <c r="SBL43" s="380" t="e">
        <f t="shared" si="205"/>
        <v>#N/A</v>
      </c>
      <c r="SBM43" s="380" t="e">
        <f t="shared" si="205"/>
        <v>#N/A</v>
      </c>
      <c r="SBN43" s="380" t="e">
        <f t="shared" si="205"/>
        <v>#N/A</v>
      </c>
      <c r="SBO43" s="380" t="e">
        <f t="shared" si="205"/>
        <v>#N/A</v>
      </c>
      <c r="SBP43" s="380" t="e">
        <f t="shared" si="205"/>
        <v>#N/A</v>
      </c>
      <c r="SBQ43" s="380" t="e">
        <f t="shared" si="205"/>
        <v>#N/A</v>
      </c>
      <c r="SBR43" s="380" t="e">
        <f t="shared" si="205"/>
        <v>#N/A</v>
      </c>
      <c r="SBS43" s="380" t="e">
        <f t="shared" si="205"/>
        <v>#N/A</v>
      </c>
      <c r="SBT43" s="380" t="e">
        <f t="shared" si="205"/>
        <v>#N/A</v>
      </c>
      <c r="SBU43" s="380" t="e">
        <f t="shared" si="205"/>
        <v>#N/A</v>
      </c>
      <c r="SBV43" s="380" t="e">
        <f t="shared" si="205"/>
        <v>#N/A</v>
      </c>
      <c r="SBW43" s="380" t="e">
        <f t="shared" si="205"/>
        <v>#N/A</v>
      </c>
      <c r="SBX43" s="380" t="e">
        <f t="shared" si="205"/>
        <v>#N/A</v>
      </c>
      <c r="SBY43" s="380" t="e">
        <f t="shared" si="205"/>
        <v>#N/A</v>
      </c>
      <c r="SBZ43" s="380" t="e">
        <f t="shared" si="205"/>
        <v>#N/A</v>
      </c>
      <c r="SCA43" s="380" t="e">
        <f t="shared" si="205"/>
        <v>#N/A</v>
      </c>
      <c r="SCB43" s="380" t="e">
        <f t="shared" si="205"/>
        <v>#N/A</v>
      </c>
      <c r="SCC43" s="380" t="e">
        <f t="shared" si="205"/>
        <v>#N/A</v>
      </c>
      <c r="SCD43" s="380" t="e">
        <f t="shared" si="205"/>
        <v>#N/A</v>
      </c>
      <c r="SCE43" s="380" t="e">
        <f t="shared" si="205"/>
        <v>#N/A</v>
      </c>
      <c r="SCF43" s="380" t="e">
        <f t="shared" si="205"/>
        <v>#N/A</v>
      </c>
      <c r="SCG43" s="380" t="e">
        <f t="shared" si="205"/>
        <v>#N/A</v>
      </c>
      <c r="SCH43" s="380" t="e">
        <f t="shared" si="205"/>
        <v>#N/A</v>
      </c>
      <c r="SCI43" s="380" t="e">
        <f t="shared" si="205"/>
        <v>#N/A</v>
      </c>
      <c r="SCJ43" s="380" t="e">
        <f t="shared" si="205"/>
        <v>#N/A</v>
      </c>
      <c r="SCK43" s="380" t="e">
        <f t="shared" si="205"/>
        <v>#N/A</v>
      </c>
      <c r="SCL43" s="380" t="e">
        <f t="shared" si="205"/>
        <v>#N/A</v>
      </c>
      <c r="SCM43" s="380" t="e">
        <f t="shared" si="205"/>
        <v>#N/A</v>
      </c>
      <c r="SCN43" s="380" t="e">
        <f t="shared" ref="SCN43:SEY43" si="206">INDEX(SCN7:SCN40,MATCH($E$43,$E$7:$E$40,0))</f>
        <v>#N/A</v>
      </c>
      <c r="SCO43" s="380" t="e">
        <f t="shared" si="206"/>
        <v>#N/A</v>
      </c>
      <c r="SCP43" s="380" t="e">
        <f t="shared" si="206"/>
        <v>#N/A</v>
      </c>
      <c r="SCQ43" s="380" t="e">
        <f t="shared" si="206"/>
        <v>#N/A</v>
      </c>
      <c r="SCR43" s="380" t="e">
        <f t="shared" si="206"/>
        <v>#N/A</v>
      </c>
      <c r="SCS43" s="380" t="e">
        <f t="shared" si="206"/>
        <v>#N/A</v>
      </c>
      <c r="SCT43" s="380" t="e">
        <f t="shared" si="206"/>
        <v>#N/A</v>
      </c>
      <c r="SCU43" s="380" t="e">
        <f t="shared" si="206"/>
        <v>#N/A</v>
      </c>
      <c r="SCV43" s="380" t="e">
        <f t="shared" si="206"/>
        <v>#N/A</v>
      </c>
      <c r="SCW43" s="380" t="e">
        <f t="shared" si="206"/>
        <v>#N/A</v>
      </c>
      <c r="SCX43" s="380" t="e">
        <f t="shared" si="206"/>
        <v>#N/A</v>
      </c>
      <c r="SCY43" s="380" t="e">
        <f t="shared" si="206"/>
        <v>#N/A</v>
      </c>
      <c r="SCZ43" s="380" t="e">
        <f t="shared" si="206"/>
        <v>#N/A</v>
      </c>
      <c r="SDA43" s="380" t="e">
        <f t="shared" si="206"/>
        <v>#N/A</v>
      </c>
      <c r="SDB43" s="380" t="e">
        <f t="shared" si="206"/>
        <v>#N/A</v>
      </c>
      <c r="SDC43" s="380" t="e">
        <f t="shared" si="206"/>
        <v>#N/A</v>
      </c>
      <c r="SDD43" s="380" t="e">
        <f t="shared" si="206"/>
        <v>#N/A</v>
      </c>
      <c r="SDE43" s="380" t="e">
        <f t="shared" si="206"/>
        <v>#N/A</v>
      </c>
      <c r="SDF43" s="380" t="e">
        <f t="shared" si="206"/>
        <v>#N/A</v>
      </c>
      <c r="SDG43" s="380" t="e">
        <f t="shared" si="206"/>
        <v>#N/A</v>
      </c>
      <c r="SDH43" s="380" t="e">
        <f t="shared" si="206"/>
        <v>#N/A</v>
      </c>
      <c r="SDI43" s="380" t="e">
        <f t="shared" si="206"/>
        <v>#N/A</v>
      </c>
      <c r="SDJ43" s="380" t="e">
        <f t="shared" si="206"/>
        <v>#N/A</v>
      </c>
      <c r="SDK43" s="380" t="e">
        <f t="shared" si="206"/>
        <v>#N/A</v>
      </c>
      <c r="SDL43" s="380" t="e">
        <f t="shared" si="206"/>
        <v>#N/A</v>
      </c>
      <c r="SDM43" s="380" t="e">
        <f t="shared" si="206"/>
        <v>#N/A</v>
      </c>
      <c r="SDN43" s="380" t="e">
        <f t="shared" si="206"/>
        <v>#N/A</v>
      </c>
      <c r="SDO43" s="380" t="e">
        <f t="shared" si="206"/>
        <v>#N/A</v>
      </c>
      <c r="SDP43" s="380" t="e">
        <f t="shared" si="206"/>
        <v>#N/A</v>
      </c>
      <c r="SDQ43" s="380" t="e">
        <f t="shared" si="206"/>
        <v>#N/A</v>
      </c>
      <c r="SDR43" s="380" t="e">
        <f t="shared" si="206"/>
        <v>#N/A</v>
      </c>
      <c r="SDS43" s="380" t="e">
        <f t="shared" si="206"/>
        <v>#N/A</v>
      </c>
      <c r="SDT43" s="380" t="e">
        <f t="shared" si="206"/>
        <v>#N/A</v>
      </c>
      <c r="SDU43" s="380" t="e">
        <f t="shared" si="206"/>
        <v>#N/A</v>
      </c>
      <c r="SDV43" s="380" t="e">
        <f t="shared" si="206"/>
        <v>#N/A</v>
      </c>
      <c r="SDW43" s="380" t="e">
        <f t="shared" si="206"/>
        <v>#N/A</v>
      </c>
      <c r="SDX43" s="380" t="e">
        <f t="shared" si="206"/>
        <v>#N/A</v>
      </c>
      <c r="SDY43" s="380" t="e">
        <f t="shared" si="206"/>
        <v>#N/A</v>
      </c>
      <c r="SDZ43" s="380" t="e">
        <f t="shared" si="206"/>
        <v>#N/A</v>
      </c>
      <c r="SEA43" s="380" t="e">
        <f t="shared" si="206"/>
        <v>#N/A</v>
      </c>
      <c r="SEB43" s="380" t="e">
        <f t="shared" si="206"/>
        <v>#N/A</v>
      </c>
      <c r="SEC43" s="380" t="e">
        <f t="shared" si="206"/>
        <v>#N/A</v>
      </c>
      <c r="SED43" s="380" t="e">
        <f t="shared" si="206"/>
        <v>#N/A</v>
      </c>
      <c r="SEE43" s="380" t="e">
        <f t="shared" si="206"/>
        <v>#N/A</v>
      </c>
      <c r="SEF43" s="380" t="e">
        <f t="shared" si="206"/>
        <v>#N/A</v>
      </c>
      <c r="SEG43" s="380" t="e">
        <f t="shared" si="206"/>
        <v>#N/A</v>
      </c>
      <c r="SEH43" s="380" t="e">
        <f t="shared" si="206"/>
        <v>#N/A</v>
      </c>
      <c r="SEI43" s="380" t="e">
        <f t="shared" si="206"/>
        <v>#N/A</v>
      </c>
      <c r="SEJ43" s="380" t="e">
        <f t="shared" si="206"/>
        <v>#N/A</v>
      </c>
      <c r="SEK43" s="380" t="e">
        <f t="shared" si="206"/>
        <v>#N/A</v>
      </c>
      <c r="SEL43" s="380" t="e">
        <f t="shared" si="206"/>
        <v>#N/A</v>
      </c>
      <c r="SEM43" s="380" t="e">
        <f t="shared" si="206"/>
        <v>#N/A</v>
      </c>
      <c r="SEN43" s="380" t="e">
        <f t="shared" si="206"/>
        <v>#N/A</v>
      </c>
      <c r="SEO43" s="380" t="e">
        <f t="shared" si="206"/>
        <v>#N/A</v>
      </c>
      <c r="SEP43" s="380" t="e">
        <f t="shared" si="206"/>
        <v>#N/A</v>
      </c>
      <c r="SEQ43" s="380" t="e">
        <f t="shared" si="206"/>
        <v>#N/A</v>
      </c>
      <c r="SER43" s="380" t="e">
        <f t="shared" si="206"/>
        <v>#N/A</v>
      </c>
      <c r="SES43" s="380" t="e">
        <f t="shared" si="206"/>
        <v>#N/A</v>
      </c>
      <c r="SET43" s="380" t="e">
        <f t="shared" si="206"/>
        <v>#N/A</v>
      </c>
      <c r="SEU43" s="380" t="e">
        <f t="shared" si="206"/>
        <v>#N/A</v>
      </c>
      <c r="SEV43" s="380" t="e">
        <f t="shared" si="206"/>
        <v>#N/A</v>
      </c>
      <c r="SEW43" s="380" t="e">
        <f t="shared" si="206"/>
        <v>#N/A</v>
      </c>
      <c r="SEX43" s="380" t="e">
        <f t="shared" si="206"/>
        <v>#N/A</v>
      </c>
      <c r="SEY43" s="380" t="e">
        <f t="shared" si="206"/>
        <v>#N/A</v>
      </c>
      <c r="SEZ43" s="380" t="e">
        <f t="shared" ref="SEZ43:SHK43" si="207">INDEX(SEZ7:SEZ40,MATCH($E$43,$E$7:$E$40,0))</f>
        <v>#N/A</v>
      </c>
      <c r="SFA43" s="380" t="e">
        <f t="shared" si="207"/>
        <v>#N/A</v>
      </c>
      <c r="SFB43" s="380" t="e">
        <f t="shared" si="207"/>
        <v>#N/A</v>
      </c>
      <c r="SFC43" s="380" t="e">
        <f t="shared" si="207"/>
        <v>#N/A</v>
      </c>
      <c r="SFD43" s="380" t="e">
        <f t="shared" si="207"/>
        <v>#N/A</v>
      </c>
      <c r="SFE43" s="380" t="e">
        <f t="shared" si="207"/>
        <v>#N/A</v>
      </c>
      <c r="SFF43" s="380" t="e">
        <f t="shared" si="207"/>
        <v>#N/A</v>
      </c>
      <c r="SFG43" s="380" t="e">
        <f t="shared" si="207"/>
        <v>#N/A</v>
      </c>
      <c r="SFH43" s="380" t="e">
        <f t="shared" si="207"/>
        <v>#N/A</v>
      </c>
      <c r="SFI43" s="380" t="e">
        <f t="shared" si="207"/>
        <v>#N/A</v>
      </c>
      <c r="SFJ43" s="380" t="e">
        <f t="shared" si="207"/>
        <v>#N/A</v>
      </c>
      <c r="SFK43" s="380" t="e">
        <f t="shared" si="207"/>
        <v>#N/A</v>
      </c>
      <c r="SFL43" s="380" t="e">
        <f t="shared" si="207"/>
        <v>#N/A</v>
      </c>
      <c r="SFM43" s="380" t="e">
        <f t="shared" si="207"/>
        <v>#N/A</v>
      </c>
      <c r="SFN43" s="380" t="e">
        <f t="shared" si="207"/>
        <v>#N/A</v>
      </c>
      <c r="SFO43" s="380" t="e">
        <f t="shared" si="207"/>
        <v>#N/A</v>
      </c>
      <c r="SFP43" s="380" t="e">
        <f t="shared" si="207"/>
        <v>#N/A</v>
      </c>
      <c r="SFQ43" s="380" t="e">
        <f t="shared" si="207"/>
        <v>#N/A</v>
      </c>
      <c r="SFR43" s="380" t="e">
        <f t="shared" si="207"/>
        <v>#N/A</v>
      </c>
      <c r="SFS43" s="380" t="e">
        <f t="shared" si="207"/>
        <v>#N/A</v>
      </c>
      <c r="SFT43" s="380" t="e">
        <f t="shared" si="207"/>
        <v>#N/A</v>
      </c>
      <c r="SFU43" s="380" t="e">
        <f t="shared" si="207"/>
        <v>#N/A</v>
      </c>
      <c r="SFV43" s="380" t="e">
        <f t="shared" si="207"/>
        <v>#N/A</v>
      </c>
      <c r="SFW43" s="380" t="e">
        <f t="shared" si="207"/>
        <v>#N/A</v>
      </c>
      <c r="SFX43" s="380" t="e">
        <f t="shared" si="207"/>
        <v>#N/A</v>
      </c>
      <c r="SFY43" s="380" t="e">
        <f t="shared" si="207"/>
        <v>#N/A</v>
      </c>
      <c r="SFZ43" s="380" t="e">
        <f t="shared" si="207"/>
        <v>#N/A</v>
      </c>
      <c r="SGA43" s="380" t="e">
        <f t="shared" si="207"/>
        <v>#N/A</v>
      </c>
      <c r="SGB43" s="380" t="e">
        <f t="shared" si="207"/>
        <v>#N/A</v>
      </c>
      <c r="SGC43" s="380" t="e">
        <f t="shared" si="207"/>
        <v>#N/A</v>
      </c>
      <c r="SGD43" s="380" t="e">
        <f t="shared" si="207"/>
        <v>#N/A</v>
      </c>
      <c r="SGE43" s="380" t="e">
        <f t="shared" si="207"/>
        <v>#N/A</v>
      </c>
      <c r="SGF43" s="380" t="e">
        <f t="shared" si="207"/>
        <v>#N/A</v>
      </c>
      <c r="SGG43" s="380" t="e">
        <f t="shared" si="207"/>
        <v>#N/A</v>
      </c>
      <c r="SGH43" s="380" t="e">
        <f t="shared" si="207"/>
        <v>#N/A</v>
      </c>
      <c r="SGI43" s="380" t="e">
        <f t="shared" si="207"/>
        <v>#N/A</v>
      </c>
      <c r="SGJ43" s="380" t="e">
        <f t="shared" si="207"/>
        <v>#N/A</v>
      </c>
      <c r="SGK43" s="380" t="e">
        <f t="shared" si="207"/>
        <v>#N/A</v>
      </c>
      <c r="SGL43" s="380" t="e">
        <f t="shared" si="207"/>
        <v>#N/A</v>
      </c>
      <c r="SGM43" s="380" t="e">
        <f t="shared" si="207"/>
        <v>#N/A</v>
      </c>
      <c r="SGN43" s="380" t="e">
        <f t="shared" si="207"/>
        <v>#N/A</v>
      </c>
      <c r="SGO43" s="380" t="e">
        <f t="shared" si="207"/>
        <v>#N/A</v>
      </c>
      <c r="SGP43" s="380" t="e">
        <f t="shared" si="207"/>
        <v>#N/A</v>
      </c>
      <c r="SGQ43" s="380" t="e">
        <f t="shared" si="207"/>
        <v>#N/A</v>
      </c>
      <c r="SGR43" s="380" t="e">
        <f t="shared" si="207"/>
        <v>#N/A</v>
      </c>
      <c r="SGS43" s="380" t="e">
        <f t="shared" si="207"/>
        <v>#N/A</v>
      </c>
      <c r="SGT43" s="380" t="e">
        <f t="shared" si="207"/>
        <v>#N/A</v>
      </c>
      <c r="SGU43" s="380" t="e">
        <f t="shared" si="207"/>
        <v>#N/A</v>
      </c>
      <c r="SGV43" s="380" t="e">
        <f t="shared" si="207"/>
        <v>#N/A</v>
      </c>
      <c r="SGW43" s="380" t="e">
        <f t="shared" si="207"/>
        <v>#N/A</v>
      </c>
      <c r="SGX43" s="380" t="e">
        <f t="shared" si="207"/>
        <v>#N/A</v>
      </c>
      <c r="SGY43" s="380" t="e">
        <f t="shared" si="207"/>
        <v>#N/A</v>
      </c>
      <c r="SGZ43" s="380" t="e">
        <f t="shared" si="207"/>
        <v>#N/A</v>
      </c>
      <c r="SHA43" s="380" t="e">
        <f t="shared" si="207"/>
        <v>#N/A</v>
      </c>
      <c r="SHB43" s="380" t="e">
        <f t="shared" si="207"/>
        <v>#N/A</v>
      </c>
      <c r="SHC43" s="380" t="e">
        <f t="shared" si="207"/>
        <v>#N/A</v>
      </c>
      <c r="SHD43" s="380" t="e">
        <f t="shared" si="207"/>
        <v>#N/A</v>
      </c>
      <c r="SHE43" s="380" t="e">
        <f t="shared" si="207"/>
        <v>#N/A</v>
      </c>
      <c r="SHF43" s="380" t="e">
        <f t="shared" si="207"/>
        <v>#N/A</v>
      </c>
      <c r="SHG43" s="380" t="e">
        <f t="shared" si="207"/>
        <v>#N/A</v>
      </c>
      <c r="SHH43" s="380" t="e">
        <f t="shared" si="207"/>
        <v>#N/A</v>
      </c>
      <c r="SHI43" s="380" t="e">
        <f t="shared" si="207"/>
        <v>#N/A</v>
      </c>
      <c r="SHJ43" s="380" t="e">
        <f t="shared" si="207"/>
        <v>#N/A</v>
      </c>
      <c r="SHK43" s="380" t="e">
        <f t="shared" si="207"/>
        <v>#N/A</v>
      </c>
      <c r="SHL43" s="380" t="e">
        <f t="shared" ref="SHL43:SJW43" si="208">INDEX(SHL7:SHL40,MATCH($E$43,$E$7:$E$40,0))</f>
        <v>#N/A</v>
      </c>
      <c r="SHM43" s="380" t="e">
        <f t="shared" si="208"/>
        <v>#N/A</v>
      </c>
      <c r="SHN43" s="380" t="e">
        <f t="shared" si="208"/>
        <v>#N/A</v>
      </c>
      <c r="SHO43" s="380" t="e">
        <f t="shared" si="208"/>
        <v>#N/A</v>
      </c>
      <c r="SHP43" s="380" t="e">
        <f t="shared" si="208"/>
        <v>#N/A</v>
      </c>
      <c r="SHQ43" s="380" t="e">
        <f t="shared" si="208"/>
        <v>#N/A</v>
      </c>
      <c r="SHR43" s="380" t="e">
        <f t="shared" si="208"/>
        <v>#N/A</v>
      </c>
      <c r="SHS43" s="380" t="e">
        <f t="shared" si="208"/>
        <v>#N/A</v>
      </c>
      <c r="SHT43" s="380" t="e">
        <f t="shared" si="208"/>
        <v>#N/A</v>
      </c>
      <c r="SHU43" s="380" t="e">
        <f t="shared" si="208"/>
        <v>#N/A</v>
      </c>
      <c r="SHV43" s="380" t="e">
        <f t="shared" si="208"/>
        <v>#N/A</v>
      </c>
      <c r="SHW43" s="380" t="e">
        <f t="shared" si="208"/>
        <v>#N/A</v>
      </c>
      <c r="SHX43" s="380" t="e">
        <f t="shared" si="208"/>
        <v>#N/A</v>
      </c>
      <c r="SHY43" s="380" t="e">
        <f t="shared" si="208"/>
        <v>#N/A</v>
      </c>
      <c r="SHZ43" s="380" t="e">
        <f t="shared" si="208"/>
        <v>#N/A</v>
      </c>
      <c r="SIA43" s="380" t="e">
        <f t="shared" si="208"/>
        <v>#N/A</v>
      </c>
      <c r="SIB43" s="380" t="e">
        <f t="shared" si="208"/>
        <v>#N/A</v>
      </c>
      <c r="SIC43" s="380" t="e">
        <f t="shared" si="208"/>
        <v>#N/A</v>
      </c>
      <c r="SID43" s="380" t="e">
        <f t="shared" si="208"/>
        <v>#N/A</v>
      </c>
      <c r="SIE43" s="380" t="e">
        <f t="shared" si="208"/>
        <v>#N/A</v>
      </c>
      <c r="SIF43" s="380" t="e">
        <f t="shared" si="208"/>
        <v>#N/A</v>
      </c>
      <c r="SIG43" s="380" t="e">
        <f t="shared" si="208"/>
        <v>#N/A</v>
      </c>
      <c r="SIH43" s="380" t="e">
        <f t="shared" si="208"/>
        <v>#N/A</v>
      </c>
      <c r="SII43" s="380" t="e">
        <f t="shared" si="208"/>
        <v>#N/A</v>
      </c>
      <c r="SIJ43" s="380" t="e">
        <f t="shared" si="208"/>
        <v>#N/A</v>
      </c>
      <c r="SIK43" s="380" t="e">
        <f t="shared" si="208"/>
        <v>#N/A</v>
      </c>
      <c r="SIL43" s="380" t="e">
        <f t="shared" si="208"/>
        <v>#N/A</v>
      </c>
      <c r="SIM43" s="380" t="e">
        <f t="shared" si="208"/>
        <v>#N/A</v>
      </c>
      <c r="SIN43" s="380" t="e">
        <f t="shared" si="208"/>
        <v>#N/A</v>
      </c>
      <c r="SIO43" s="380" t="e">
        <f t="shared" si="208"/>
        <v>#N/A</v>
      </c>
      <c r="SIP43" s="380" t="e">
        <f t="shared" si="208"/>
        <v>#N/A</v>
      </c>
      <c r="SIQ43" s="380" t="e">
        <f t="shared" si="208"/>
        <v>#N/A</v>
      </c>
      <c r="SIR43" s="380" t="e">
        <f t="shared" si="208"/>
        <v>#N/A</v>
      </c>
      <c r="SIS43" s="380" t="e">
        <f t="shared" si="208"/>
        <v>#N/A</v>
      </c>
      <c r="SIT43" s="380" t="e">
        <f t="shared" si="208"/>
        <v>#N/A</v>
      </c>
      <c r="SIU43" s="380" t="e">
        <f t="shared" si="208"/>
        <v>#N/A</v>
      </c>
      <c r="SIV43" s="380" t="e">
        <f t="shared" si="208"/>
        <v>#N/A</v>
      </c>
      <c r="SIW43" s="380" t="e">
        <f t="shared" si="208"/>
        <v>#N/A</v>
      </c>
      <c r="SIX43" s="380" t="e">
        <f t="shared" si="208"/>
        <v>#N/A</v>
      </c>
      <c r="SIY43" s="380" t="e">
        <f t="shared" si="208"/>
        <v>#N/A</v>
      </c>
      <c r="SIZ43" s="380" t="e">
        <f t="shared" si="208"/>
        <v>#N/A</v>
      </c>
      <c r="SJA43" s="380" t="e">
        <f t="shared" si="208"/>
        <v>#N/A</v>
      </c>
      <c r="SJB43" s="380" t="e">
        <f t="shared" si="208"/>
        <v>#N/A</v>
      </c>
      <c r="SJC43" s="380" t="e">
        <f t="shared" si="208"/>
        <v>#N/A</v>
      </c>
      <c r="SJD43" s="380" t="e">
        <f t="shared" si="208"/>
        <v>#N/A</v>
      </c>
      <c r="SJE43" s="380" t="e">
        <f t="shared" si="208"/>
        <v>#N/A</v>
      </c>
      <c r="SJF43" s="380" t="e">
        <f t="shared" si="208"/>
        <v>#N/A</v>
      </c>
      <c r="SJG43" s="380" t="e">
        <f t="shared" si="208"/>
        <v>#N/A</v>
      </c>
      <c r="SJH43" s="380" t="e">
        <f t="shared" si="208"/>
        <v>#N/A</v>
      </c>
      <c r="SJI43" s="380" t="e">
        <f t="shared" si="208"/>
        <v>#N/A</v>
      </c>
      <c r="SJJ43" s="380" t="e">
        <f t="shared" si="208"/>
        <v>#N/A</v>
      </c>
      <c r="SJK43" s="380" t="e">
        <f t="shared" si="208"/>
        <v>#N/A</v>
      </c>
      <c r="SJL43" s="380" t="e">
        <f t="shared" si="208"/>
        <v>#N/A</v>
      </c>
      <c r="SJM43" s="380" t="e">
        <f t="shared" si="208"/>
        <v>#N/A</v>
      </c>
      <c r="SJN43" s="380" t="e">
        <f t="shared" si="208"/>
        <v>#N/A</v>
      </c>
      <c r="SJO43" s="380" t="e">
        <f t="shared" si="208"/>
        <v>#N/A</v>
      </c>
      <c r="SJP43" s="380" t="e">
        <f t="shared" si="208"/>
        <v>#N/A</v>
      </c>
      <c r="SJQ43" s="380" t="e">
        <f t="shared" si="208"/>
        <v>#N/A</v>
      </c>
      <c r="SJR43" s="380" t="e">
        <f t="shared" si="208"/>
        <v>#N/A</v>
      </c>
      <c r="SJS43" s="380" t="e">
        <f t="shared" si="208"/>
        <v>#N/A</v>
      </c>
      <c r="SJT43" s="380" t="e">
        <f t="shared" si="208"/>
        <v>#N/A</v>
      </c>
      <c r="SJU43" s="380" t="e">
        <f t="shared" si="208"/>
        <v>#N/A</v>
      </c>
      <c r="SJV43" s="380" t="e">
        <f t="shared" si="208"/>
        <v>#N/A</v>
      </c>
      <c r="SJW43" s="380" t="e">
        <f t="shared" si="208"/>
        <v>#N/A</v>
      </c>
      <c r="SJX43" s="380" t="e">
        <f t="shared" ref="SJX43:SMI43" si="209">INDEX(SJX7:SJX40,MATCH($E$43,$E$7:$E$40,0))</f>
        <v>#N/A</v>
      </c>
      <c r="SJY43" s="380" t="e">
        <f t="shared" si="209"/>
        <v>#N/A</v>
      </c>
      <c r="SJZ43" s="380" t="e">
        <f t="shared" si="209"/>
        <v>#N/A</v>
      </c>
      <c r="SKA43" s="380" t="e">
        <f t="shared" si="209"/>
        <v>#N/A</v>
      </c>
      <c r="SKB43" s="380" t="e">
        <f t="shared" si="209"/>
        <v>#N/A</v>
      </c>
      <c r="SKC43" s="380" t="e">
        <f t="shared" si="209"/>
        <v>#N/A</v>
      </c>
      <c r="SKD43" s="380" t="e">
        <f t="shared" si="209"/>
        <v>#N/A</v>
      </c>
      <c r="SKE43" s="380" t="e">
        <f t="shared" si="209"/>
        <v>#N/A</v>
      </c>
      <c r="SKF43" s="380" t="e">
        <f t="shared" si="209"/>
        <v>#N/A</v>
      </c>
      <c r="SKG43" s="380" t="e">
        <f t="shared" si="209"/>
        <v>#N/A</v>
      </c>
      <c r="SKH43" s="380" t="e">
        <f t="shared" si="209"/>
        <v>#N/A</v>
      </c>
      <c r="SKI43" s="380" t="e">
        <f t="shared" si="209"/>
        <v>#N/A</v>
      </c>
      <c r="SKJ43" s="380" t="e">
        <f t="shared" si="209"/>
        <v>#N/A</v>
      </c>
      <c r="SKK43" s="380" t="e">
        <f t="shared" si="209"/>
        <v>#N/A</v>
      </c>
      <c r="SKL43" s="380" t="e">
        <f t="shared" si="209"/>
        <v>#N/A</v>
      </c>
      <c r="SKM43" s="380" t="e">
        <f t="shared" si="209"/>
        <v>#N/A</v>
      </c>
      <c r="SKN43" s="380" t="e">
        <f t="shared" si="209"/>
        <v>#N/A</v>
      </c>
      <c r="SKO43" s="380" t="e">
        <f t="shared" si="209"/>
        <v>#N/A</v>
      </c>
      <c r="SKP43" s="380" t="e">
        <f t="shared" si="209"/>
        <v>#N/A</v>
      </c>
      <c r="SKQ43" s="380" t="e">
        <f t="shared" si="209"/>
        <v>#N/A</v>
      </c>
      <c r="SKR43" s="380" t="e">
        <f t="shared" si="209"/>
        <v>#N/A</v>
      </c>
      <c r="SKS43" s="380" t="e">
        <f t="shared" si="209"/>
        <v>#N/A</v>
      </c>
      <c r="SKT43" s="380" t="e">
        <f t="shared" si="209"/>
        <v>#N/A</v>
      </c>
      <c r="SKU43" s="380" t="e">
        <f t="shared" si="209"/>
        <v>#N/A</v>
      </c>
      <c r="SKV43" s="380" t="e">
        <f t="shared" si="209"/>
        <v>#N/A</v>
      </c>
      <c r="SKW43" s="380" t="e">
        <f t="shared" si="209"/>
        <v>#N/A</v>
      </c>
      <c r="SKX43" s="380" t="e">
        <f t="shared" si="209"/>
        <v>#N/A</v>
      </c>
      <c r="SKY43" s="380" t="e">
        <f t="shared" si="209"/>
        <v>#N/A</v>
      </c>
      <c r="SKZ43" s="380" t="e">
        <f t="shared" si="209"/>
        <v>#N/A</v>
      </c>
      <c r="SLA43" s="380" t="e">
        <f t="shared" si="209"/>
        <v>#N/A</v>
      </c>
      <c r="SLB43" s="380" t="e">
        <f t="shared" si="209"/>
        <v>#N/A</v>
      </c>
      <c r="SLC43" s="380" t="e">
        <f t="shared" si="209"/>
        <v>#N/A</v>
      </c>
      <c r="SLD43" s="380" t="e">
        <f t="shared" si="209"/>
        <v>#N/A</v>
      </c>
      <c r="SLE43" s="380" t="e">
        <f t="shared" si="209"/>
        <v>#N/A</v>
      </c>
      <c r="SLF43" s="380" t="e">
        <f t="shared" si="209"/>
        <v>#N/A</v>
      </c>
      <c r="SLG43" s="380" t="e">
        <f t="shared" si="209"/>
        <v>#N/A</v>
      </c>
      <c r="SLH43" s="380" t="e">
        <f t="shared" si="209"/>
        <v>#N/A</v>
      </c>
      <c r="SLI43" s="380" t="e">
        <f t="shared" si="209"/>
        <v>#N/A</v>
      </c>
      <c r="SLJ43" s="380" t="e">
        <f t="shared" si="209"/>
        <v>#N/A</v>
      </c>
      <c r="SLK43" s="380" t="e">
        <f t="shared" si="209"/>
        <v>#N/A</v>
      </c>
      <c r="SLL43" s="380" t="e">
        <f t="shared" si="209"/>
        <v>#N/A</v>
      </c>
      <c r="SLM43" s="380" t="e">
        <f t="shared" si="209"/>
        <v>#N/A</v>
      </c>
      <c r="SLN43" s="380" t="e">
        <f t="shared" si="209"/>
        <v>#N/A</v>
      </c>
      <c r="SLO43" s="380" t="e">
        <f t="shared" si="209"/>
        <v>#N/A</v>
      </c>
      <c r="SLP43" s="380" t="e">
        <f t="shared" si="209"/>
        <v>#N/A</v>
      </c>
      <c r="SLQ43" s="380" t="e">
        <f t="shared" si="209"/>
        <v>#N/A</v>
      </c>
      <c r="SLR43" s="380" t="e">
        <f t="shared" si="209"/>
        <v>#N/A</v>
      </c>
      <c r="SLS43" s="380" t="e">
        <f t="shared" si="209"/>
        <v>#N/A</v>
      </c>
      <c r="SLT43" s="380" t="e">
        <f t="shared" si="209"/>
        <v>#N/A</v>
      </c>
      <c r="SLU43" s="380" t="e">
        <f t="shared" si="209"/>
        <v>#N/A</v>
      </c>
      <c r="SLV43" s="380" t="e">
        <f t="shared" si="209"/>
        <v>#N/A</v>
      </c>
      <c r="SLW43" s="380" t="e">
        <f t="shared" si="209"/>
        <v>#N/A</v>
      </c>
      <c r="SLX43" s="380" t="e">
        <f t="shared" si="209"/>
        <v>#N/A</v>
      </c>
      <c r="SLY43" s="380" t="e">
        <f t="shared" si="209"/>
        <v>#N/A</v>
      </c>
      <c r="SLZ43" s="380" t="e">
        <f t="shared" si="209"/>
        <v>#N/A</v>
      </c>
      <c r="SMA43" s="380" t="e">
        <f t="shared" si="209"/>
        <v>#N/A</v>
      </c>
      <c r="SMB43" s="380" t="e">
        <f t="shared" si="209"/>
        <v>#N/A</v>
      </c>
      <c r="SMC43" s="380" t="e">
        <f t="shared" si="209"/>
        <v>#N/A</v>
      </c>
      <c r="SMD43" s="380" t="e">
        <f t="shared" si="209"/>
        <v>#N/A</v>
      </c>
      <c r="SME43" s="380" t="e">
        <f t="shared" si="209"/>
        <v>#N/A</v>
      </c>
      <c r="SMF43" s="380" t="e">
        <f t="shared" si="209"/>
        <v>#N/A</v>
      </c>
      <c r="SMG43" s="380" t="e">
        <f t="shared" si="209"/>
        <v>#N/A</v>
      </c>
      <c r="SMH43" s="380" t="e">
        <f t="shared" si="209"/>
        <v>#N/A</v>
      </c>
      <c r="SMI43" s="380" t="e">
        <f t="shared" si="209"/>
        <v>#N/A</v>
      </c>
      <c r="SMJ43" s="380" t="e">
        <f t="shared" ref="SMJ43:SOU43" si="210">INDEX(SMJ7:SMJ40,MATCH($E$43,$E$7:$E$40,0))</f>
        <v>#N/A</v>
      </c>
      <c r="SMK43" s="380" t="e">
        <f t="shared" si="210"/>
        <v>#N/A</v>
      </c>
      <c r="SML43" s="380" t="e">
        <f t="shared" si="210"/>
        <v>#N/A</v>
      </c>
      <c r="SMM43" s="380" t="e">
        <f t="shared" si="210"/>
        <v>#N/A</v>
      </c>
      <c r="SMN43" s="380" t="e">
        <f t="shared" si="210"/>
        <v>#N/A</v>
      </c>
      <c r="SMO43" s="380" t="e">
        <f t="shared" si="210"/>
        <v>#N/A</v>
      </c>
      <c r="SMP43" s="380" t="e">
        <f t="shared" si="210"/>
        <v>#N/A</v>
      </c>
      <c r="SMQ43" s="380" t="e">
        <f t="shared" si="210"/>
        <v>#N/A</v>
      </c>
      <c r="SMR43" s="380" t="e">
        <f t="shared" si="210"/>
        <v>#N/A</v>
      </c>
      <c r="SMS43" s="380" t="e">
        <f t="shared" si="210"/>
        <v>#N/A</v>
      </c>
      <c r="SMT43" s="380" t="e">
        <f t="shared" si="210"/>
        <v>#N/A</v>
      </c>
      <c r="SMU43" s="380" t="e">
        <f t="shared" si="210"/>
        <v>#N/A</v>
      </c>
      <c r="SMV43" s="380" t="e">
        <f t="shared" si="210"/>
        <v>#N/A</v>
      </c>
      <c r="SMW43" s="380" t="e">
        <f t="shared" si="210"/>
        <v>#N/A</v>
      </c>
      <c r="SMX43" s="380" t="e">
        <f t="shared" si="210"/>
        <v>#N/A</v>
      </c>
      <c r="SMY43" s="380" t="e">
        <f t="shared" si="210"/>
        <v>#N/A</v>
      </c>
      <c r="SMZ43" s="380" t="e">
        <f t="shared" si="210"/>
        <v>#N/A</v>
      </c>
      <c r="SNA43" s="380" t="e">
        <f t="shared" si="210"/>
        <v>#N/A</v>
      </c>
      <c r="SNB43" s="380" t="e">
        <f t="shared" si="210"/>
        <v>#N/A</v>
      </c>
      <c r="SNC43" s="380" t="e">
        <f t="shared" si="210"/>
        <v>#N/A</v>
      </c>
      <c r="SND43" s="380" t="e">
        <f t="shared" si="210"/>
        <v>#N/A</v>
      </c>
      <c r="SNE43" s="380" t="e">
        <f t="shared" si="210"/>
        <v>#N/A</v>
      </c>
      <c r="SNF43" s="380" t="e">
        <f t="shared" si="210"/>
        <v>#N/A</v>
      </c>
      <c r="SNG43" s="380" t="e">
        <f t="shared" si="210"/>
        <v>#N/A</v>
      </c>
      <c r="SNH43" s="380" t="e">
        <f t="shared" si="210"/>
        <v>#N/A</v>
      </c>
      <c r="SNI43" s="380" t="e">
        <f t="shared" si="210"/>
        <v>#N/A</v>
      </c>
      <c r="SNJ43" s="380" t="e">
        <f t="shared" si="210"/>
        <v>#N/A</v>
      </c>
      <c r="SNK43" s="380" t="e">
        <f t="shared" si="210"/>
        <v>#N/A</v>
      </c>
      <c r="SNL43" s="380" t="e">
        <f t="shared" si="210"/>
        <v>#N/A</v>
      </c>
      <c r="SNM43" s="380" t="e">
        <f t="shared" si="210"/>
        <v>#N/A</v>
      </c>
      <c r="SNN43" s="380" t="e">
        <f t="shared" si="210"/>
        <v>#N/A</v>
      </c>
      <c r="SNO43" s="380" t="e">
        <f t="shared" si="210"/>
        <v>#N/A</v>
      </c>
      <c r="SNP43" s="380" t="e">
        <f t="shared" si="210"/>
        <v>#N/A</v>
      </c>
      <c r="SNQ43" s="380" t="e">
        <f t="shared" si="210"/>
        <v>#N/A</v>
      </c>
      <c r="SNR43" s="380" t="e">
        <f t="shared" si="210"/>
        <v>#N/A</v>
      </c>
      <c r="SNS43" s="380" t="e">
        <f t="shared" si="210"/>
        <v>#N/A</v>
      </c>
      <c r="SNT43" s="380" t="e">
        <f t="shared" si="210"/>
        <v>#N/A</v>
      </c>
      <c r="SNU43" s="380" t="e">
        <f t="shared" si="210"/>
        <v>#N/A</v>
      </c>
      <c r="SNV43" s="380" t="e">
        <f t="shared" si="210"/>
        <v>#N/A</v>
      </c>
      <c r="SNW43" s="380" t="e">
        <f t="shared" si="210"/>
        <v>#N/A</v>
      </c>
      <c r="SNX43" s="380" t="e">
        <f t="shared" si="210"/>
        <v>#N/A</v>
      </c>
      <c r="SNY43" s="380" t="e">
        <f t="shared" si="210"/>
        <v>#N/A</v>
      </c>
      <c r="SNZ43" s="380" t="e">
        <f t="shared" si="210"/>
        <v>#N/A</v>
      </c>
      <c r="SOA43" s="380" t="e">
        <f t="shared" si="210"/>
        <v>#N/A</v>
      </c>
      <c r="SOB43" s="380" t="e">
        <f t="shared" si="210"/>
        <v>#N/A</v>
      </c>
      <c r="SOC43" s="380" t="e">
        <f t="shared" si="210"/>
        <v>#N/A</v>
      </c>
      <c r="SOD43" s="380" t="e">
        <f t="shared" si="210"/>
        <v>#N/A</v>
      </c>
      <c r="SOE43" s="380" t="e">
        <f t="shared" si="210"/>
        <v>#N/A</v>
      </c>
      <c r="SOF43" s="380" t="e">
        <f t="shared" si="210"/>
        <v>#N/A</v>
      </c>
      <c r="SOG43" s="380" t="e">
        <f t="shared" si="210"/>
        <v>#N/A</v>
      </c>
      <c r="SOH43" s="380" t="e">
        <f t="shared" si="210"/>
        <v>#N/A</v>
      </c>
      <c r="SOI43" s="380" t="e">
        <f t="shared" si="210"/>
        <v>#N/A</v>
      </c>
      <c r="SOJ43" s="380" t="e">
        <f t="shared" si="210"/>
        <v>#N/A</v>
      </c>
      <c r="SOK43" s="380" t="e">
        <f t="shared" si="210"/>
        <v>#N/A</v>
      </c>
      <c r="SOL43" s="380" t="e">
        <f t="shared" si="210"/>
        <v>#N/A</v>
      </c>
      <c r="SOM43" s="380" t="e">
        <f t="shared" si="210"/>
        <v>#N/A</v>
      </c>
      <c r="SON43" s="380" t="e">
        <f t="shared" si="210"/>
        <v>#N/A</v>
      </c>
      <c r="SOO43" s="380" t="e">
        <f t="shared" si="210"/>
        <v>#N/A</v>
      </c>
      <c r="SOP43" s="380" t="e">
        <f t="shared" si="210"/>
        <v>#N/A</v>
      </c>
      <c r="SOQ43" s="380" t="e">
        <f t="shared" si="210"/>
        <v>#N/A</v>
      </c>
      <c r="SOR43" s="380" t="e">
        <f t="shared" si="210"/>
        <v>#N/A</v>
      </c>
      <c r="SOS43" s="380" t="e">
        <f t="shared" si="210"/>
        <v>#N/A</v>
      </c>
      <c r="SOT43" s="380" t="e">
        <f t="shared" si="210"/>
        <v>#N/A</v>
      </c>
      <c r="SOU43" s="380" t="e">
        <f t="shared" si="210"/>
        <v>#N/A</v>
      </c>
      <c r="SOV43" s="380" t="e">
        <f t="shared" ref="SOV43:SRG43" si="211">INDEX(SOV7:SOV40,MATCH($E$43,$E$7:$E$40,0))</f>
        <v>#N/A</v>
      </c>
      <c r="SOW43" s="380" t="e">
        <f t="shared" si="211"/>
        <v>#N/A</v>
      </c>
      <c r="SOX43" s="380" t="e">
        <f t="shared" si="211"/>
        <v>#N/A</v>
      </c>
      <c r="SOY43" s="380" t="e">
        <f t="shared" si="211"/>
        <v>#N/A</v>
      </c>
      <c r="SOZ43" s="380" t="e">
        <f t="shared" si="211"/>
        <v>#N/A</v>
      </c>
      <c r="SPA43" s="380" t="e">
        <f t="shared" si="211"/>
        <v>#N/A</v>
      </c>
      <c r="SPB43" s="380" t="e">
        <f t="shared" si="211"/>
        <v>#N/A</v>
      </c>
      <c r="SPC43" s="380" t="e">
        <f t="shared" si="211"/>
        <v>#N/A</v>
      </c>
      <c r="SPD43" s="380" t="e">
        <f t="shared" si="211"/>
        <v>#N/A</v>
      </c>
      <c r="SPE43" s="380" t="e">
        <f t="shared" si="211"/>
        <v>#N/A</v>
      </c>
      <c r="SPF43" s="380" t="e">
        <f t="shared" si="211"/>
        <v>#N/A</v>
      </c>
      <c r="SPG43" s="380" t="e">
        <f t="shared" si="211"/>
        <v>#N/A</v>
      </c>
      <c r="SPH43" s="380" t="e">
        <f t="shared" si="211"/>
        <v>#N/A</v>
      </c>
      <c r="SPI43" s="380" t="e">
        <f t="shared" si="211"/>
        <v>#N/A</v>
      </c>
      <c r="SPJ43" s="380" t="e">
        <f t="shared" si="211"/>
        <v>#N/A</v>
      </c>
      <c r="SPK43" s="380" t="e">
        <f t="shared" si="211"/>
        <v>#N/A</v>
      </c>
      <c r="SPL43" s="380" t="e">
        <f t="shared" si="211"/>
        <v>#N/A</v>
      </c>
      <c r="SPM43" s="380" t="e">
        <f t="shared" si="211"/>
        <v>#N/A</v>
      </c>
      <c r="SPN43" s="380" t="e">
        <f t="shared" si="211"/>
        <v>#N/A</v>
      </c>
      <c r="SPO43" s="380" t="e">
        <f t="shared" si="211"/>
        <v>#N/A</v>
      </c>
      <c r="SPP43" s="380" t="e">
        <f t="shared" si="211"/>
        <v>#N/A</v>
      </c>
      <c r="SPQ43" s="380" t="e">
        <f t="shared" si="211"/>
        <v>#N/A</v>
      </c>
      <c r="SPR43" s="380" t="e">
        <f t="shared" si="211"/>
        <v>#N/A</v>
      </c>
      <c r="SPS43" s="380" t="e">
        <f t="shared" si="211"/>
        <v>#N/A</v>
      </c>
      <c r="SPT43" s="380" t="e">
        <f t="shared" si="211"/>
        <v>#N/A</v>
      </c>
      <c r="SPU43" s="380" t="e">
        <f t="shared" si="211"/>
        <v>#N/A</v>
      </c>
      <c r="SPV43" s="380" t="e">
        <f t="shared" si="211"/>
        <v>#N/A</v>
      </c>
      <c r="SPW43" s="380" t="e">
        <f t="shared" si="211"/>
        <v>#N/A</v>
      </c>
      <c r="SPX43" s="380" t="e">
        <f t="shared" si="211"/>
        <v>#N/A</v>
      </c>
      <c r="SPY43" s="380" t="e">
        <f t="shared" si="211"/>
        <v>#N/A</v>
      </c>
      <c r="SPZ43" s="380" t="e">
        <f t="shared" si="211"/>
        <v>#N/A</v>
      </c>
      <c r="SQA43" s="380" t="e">
        <f t="shared" si="211"/>
        <v>#N/A</v>
      </c>
      <c r="SQB43" s="380" t="e">
        <f t="shared" si="211"/>
        <v>#N/A</v>
      </c>
      <c r="SQC43" s="380" t="e">
        <f t="shared" si="211"/>
        <v>#N/A</v>
      </c>
      <c r="SQD43" s="380" t="e">
        <f t="shared" si="211"/>
        <v>#N/A</v>
      </c>
      <c r="SQE43" s="380" t="e">
        <f t="shared" si="211"/>
        <v>#N/A</v>
      </c>
      <c r="SQF43" s="380" t="e">
        <f t="shared" si="211"/>
        <v>#N/A</v>
      </c>
      <c r="SQG43" s="380" t="e">
        <f t="shared" si="211"/>
        <v>#N/A</v>
      </c>
      <c r="SQH43" s="380" t="e">
        <f t="shared" si="211"/>
        <v>#N/A</v>
      </c>
      <c r="SQI43" s="380" t="e">
        <f t="shared" si="211"/>
        <v>#N/A</v>
      </c>
      <c r="SQJ43" s="380" t="e">
        <f t="shared" si="211"/>
        <v>#N/A</v>
      </c>
      <c r="SQK43" s="380" t="e">
        <f t="shared" si="211"/>
        <v>#N/A</v>
      </c>
      <c r="SQL43" s="380" t="e">
        <f t="shared" si="211"/>
        <v>#N/A</v>
      </c>
      <c r="SQM43" s="380" t="e">
        <f t="shared" si="211"/>
        <v>#N/A</v>
      </c>
      <c r="SQN43" s="380" t="e">
        <f t="shared" si="211"/>
        <v>#N/A</v>
      </c>
      <c r="SQO43" s="380" t="e">
        <f t="shared" si="211"/>
        <v>#N/A</v>
      </c>
      <c r="SQP43" s="380" t="e">
        <f t="shared" si="211"/>
        <v>#N/A</v>
      </c>
      <c r="SQQ43" s="380" t="e">
        <f t="shared" si="211"/>
        <v>#N/A</v>
      </c>
      <c r="SQR43" s="380" t="e">
        <f t="shared" si="211"/>
        <v>#N/A</v>
      </c>
      <c r="SQS43" s="380" t="e">
        <f t="shared" si="211"/>
        <v>#N/A</v>
      </c>
      <c r="SQT43" s="380" t="e">
        <f t="shared" si="211"/>
        <v>#N/A</v>
      </c>
      <c r="SQU43" s="380" t="e">
        <f t="shared" si="211"/>
        <v>#N/A</v>
      </c>
      <c r="SQV43" s="380" t="e">
        <f t="shared" si="211"/>
        <v>#N/A</v>
      </c>
      <c r="SQW43" s="380" t="e">
        <f t="shared" si="211"/>
        <v>#N/A</v>
      </c>
      <c r="SQX43" s="380" t="e">
        <f t="shared" si="211"/>
        <v>#N/A</v>
      </c>
      <c r="SQY43" s="380" t="e">
        <f t="shared" si="211"/>
        <v>#N/A</v>
      </c>
      <c r="SQZ43" s="380" t="e">
        <f t="shared" si="211"/>
        <v>#N/A</v>
      </c>
      <c r="SRA43" s="380" t="e">
        <f t="shared" si="211"/>
        <v>#N/A</v>
      </c>
      <c r="SRB43" s="380" t="e">
        <f t="shared" si="211"/>
        <v>#N/A</v>
      </c>
      <c r="SRC43" s="380" t="e">
        <f t="shared" si="211"/>
        <v>#N/A</v>
      </c>
      <c r="SRD43" s="380" t="e">
        <f t="shared" si="211"/>
        <v>#N/A</v>
      </c>
      <c r="SRE43" s="380" t="e">
        <f t="shared" si="211"/>
        <v>#N/A</v>
      </c>
      <c r="SRF43" s="380" t="e">
        <f t="shared" si="211"/>
        <v>#N/A</v>
      </c>
      <c r="SRG43" s="380" t="e">
        <f t="shared" si="211"/>
        <v>#N/A</v>
      </c>
      <c r="SRH43" s="380" t="e">
        <f t="shared" ref="SRH43:STS43" si="212">INDEX(SRH7:SRH40,MATCH($E$43,$E$7:$E$40,0))</f>
        <v>#N/A</v>
      </c>
      <c r="SRI43" s="380" t="e">
        <f t="shared" si="212"/>
        <v>#N/A</v>
      </c>
      <c r="SRJ43" s="380" t="e">
        <f t="shared" si="212"/>
        <v>#N/A</v>
      </c>
      <c r="SRK43" s="380" t="e">
        <f t="shared" si="212"/>
        <v>#N/A</v>
      </c>
      <c r="SRL43" s="380" t="e">
        <f t="shared" si="212"/>
        <v>#N/A</v>
      </c>
      <c r="SRM43" s="380" t="e">
        <f t="shared" si="212"/>
        <v>#N/A</v>
      </c>
      <c r="SRN43" s="380" t="e">
        <f t="shared" si="212"/>
        <v>#N/A</v>
      </c>
      <c r="SRO43" s="380" t="e">
        <f t="shared" si="212"/>
        <v>#N/A</v>
      </c>
      <c r="SRP43" s="380" t="e">
        <f t="shared" si="212"/>
        <v>#N/A</v>
      </c>
      <c r="SRQ43" s="380" t="e">
        <f t="shared" si="212"/>
        <v>#N/A</v>
      </c>
      <c r="SRR43" s="380" t="e">
        <f t="shared" si="212"/>
        <v>#N/A</v>
      </c>
      <c r="SRS43" s="380" t="e">
        <f t="shared" si="212"/>
        <v>#N/A</v>
      </c>
      <c r="SRT43" s="380" t="e">
        <f t="shared" si="212"/>
        <v>#N/A</v>
      </c>
      <c r="SRU43" s="380" t="e">
        <f t="shared" si="212"/>
        <v>#N/A</v>
      </c>
      <c r="SRV43" s="380" t="e">
        <f t="shared" si="212"/>
        <v>#N/A</v>
      </c>
      <c r="SRW43" s="380" t="e">
        <f t="shared" si="212"/>
        <v>#N/A</v>
      </c>
      <c r="SRX43" s="380" t="e">
        <f t="shared" si="212"/>
        <v>#N/A</v>
      </c>
      <c r="SRY43" s="380" t="e">
        <f t="shared" si="212"/>
        <v>#N/A</v>
      </c>
      <c r="SRZ43" s="380" t="e">
        <f t="shared" si="212"/>
        <v>#N/A</v>
      </c>
      <c r="SSA43" s="380" t="e">
        <f t="shared" si="212"/>
        <v>#N/A</v>
      </c>
      <c r="SSB43" s="380" t="e">
        <f t="shared" si="212"/>
        <v>#N/A</v>
      </c>
      <c r="SSC43" s="380" t="e">
        <f t="shared" si="212"/>
        <v>#N/A</v>
      </c>
      <c r="SSD43" s="380" t="e">
        <f t="shared" si="212"/>
        <v>#N/A</v>
      </c>
      <c r="SSE43" s="380" t="e">
        <f t="shared" si="212"/>
        <v>#N/A</v>
      </c>
      <c r="SSF43" s="380" t="e">
        <f t="shared" si="212"/>
        <v>#N/A</v>
      </c>
      <c r="SSG43" s="380" t="e">
        <f t="shared" si="212"/>
        <v>#N/A</v>
      </c>
      <c r="SSH43" s="380" t="e">
        <f t="shared" si="212"/>
        <v>#N/A</v>
      </c>
      <c r="SSI43" s="380" t="e">
        <f t="shared" si="212"/>
        <v>#N/A</v>
      </c>
      <c r="SSJ43" s="380" t="e">
        <f t="shared" si="212"/>
        <v>#N/A</v>
      </c>
      <c r="SSK43" s="380" t="e">
        <f t="shared" si="212"/>
        <v>#N/A</v>
      </c>
      <c r="SSL43" s="380" t="e">
        <f t="shared" si="212"/>
        <v>#N/A</v>
      </c>
      <c r="SSM43" s="380" t="e">
        <f t="shared" si="212"/>
        <v>#N/A</v>
      </c>
      <c r="SSN43" s="380" t="e">
        <f t="shared" si="212"/>
        <v>#N/A</v>
      </c>
      <c r="SSO43" s="380" t="e">
        <f t="shared" si="212"/>
        <v>#N/A</v>
      </c>
      <c r="SSP43" s="380" t="e">
        <f t="shared" si="212"/>
        <v>#N/A</v>
      </c>
      <c r="SSQ43" s="380" t="e">
        <f t="shared" si="212"/>
        <v>#N/A</v>
      </c>
      <c r="SSR43" s="380" t="e">
        <f t="shared" si="212"/>
        <v>#N/A</v>
      </c>
      <c r="SSS43" s="380" t="e">
        <f t="shared" si="212"/>
        <v>#N/A</v>
      </c>
      <c r="SST43" s="380" t="e">
        <f t="shared" si="212"/>
        <v>#N/A</v>
      </c>
      <c r="SSU43" s="380" t="e">
        <f t="shared" si="212"/>
        <v>#N/A</v>
      </c>
      <c r="SSV43" s="380" t="e">
        <f t="shared" si="212"/>
        <v>#N/A</v>
      </c>
      <c r="SSW43" s="380" t="e">
        <f t="shared" si="212"/>
        <v>#N/A</v>
      </c>
      <c r="SSX43" s="380" t="e">
        <f t="shared" si="212"/>
        <v>#N/A</v>
      </c>
      <c r="SSY43" s="380" t="e">
        <f t="shared" si="212"/>
        <v>#N/A</v>
      </c>
      <c r="SSZ43" s="380" t="e">
        <f t="shared" si="212"/>
        <v>#N/A</v>
      </c>
      <c r="STA43" s="380" t="e">
        <f t="shared" si="212"/>
        <v>#N/A</v>
      </c>
      <c r="STB43" s="380" t="e">
        <f t="shared" si="212"/>
        <v>#N/A</v>
      </c>
      <c r="STC43" s="380" t="e">
        <f t="shared" si="212"/>
        <v>#N/A</v>
      </c>
      <c r="STD43" s="380" t="e">
        <f t="shared" si="212"/>
        <v>#N/A</v>
      </c>
      <c r="STE43" s="380" t="e">
        <f t="shared" si="212"/>
        <v>#N/A</v>
      </c>
      <c r="STF43" s="380" t="e">
        <f t="shared" si="212"/>
        <v>#N/A</v>
      </c>
      <c r="STG43" s="380" t="e">
        <f t="shared" si="212"/>
        <v>#N/A</v>
      </c>
      <c r="STH43" s="380" t="e">
        <f t="shared" si="212"/>
        <v>#N/A</v>
      </c>
      <c r="STI43" s="380" t="e">
        <f t="shared" si="212"/>
        <v>#N/A</v>
      </c>
      <c r="STJ43" s="380" t="e">
        <f t="shared" si="212"/>
        <v>#N/A</v>
      </c>
      <c r="STK43" s="380" t="e">
        <f t="shared" si="212"/>
        <v>#N/A</v>
      </c>
      <c r="STL43" s="380" t="e">
        <f t="shared" si="212"/>
        <v>#N/A</v>
      </c>
      <c r="STM43" s="380" t="e">
        <f t="shared" si="212"/>
        <v>#N/A</v>
      </c>
      <c r="STN43" s="380" t="e">
        <f t="shared" si="212"/>
        <v>#N/A</v>
      </c>
      <c r="STO43" s="380" t="e">
        <f t="shared" si="212"/>
        <v>#N/A</v>
      </c>
      <c r="STP43" s="380" t="e">
        <f t="shared" si="212"/>
        <v>#N/A</v>
      </c>
      <c r="STQ43" s="380" t="e">
        <f t="shared" si="212"/>
        <v>#N/A</v>
      </c>
      <c r="STR43" s="380" t="e">
        <f t="shared" si="212"/>
        <v>#N/A</v>
      </c>
      <c r="STS43" s="380" t="e">
        <f t="shared" si="212"/>
        <v>#N/A</v>
      </c>
      <c r="STT43" s="380" t="e">
        <f t="shared" ref="STT43:SWE43" si="213">INDEX(STT7:STT40,MATCH($E$43,$E$7:$E$40,0))</f>
        <v>#N/A</v>
      </c>
      <c r="STU43" s="380" t="e">
        <f t="shared" si="213"/>
        <v>#N/A</v>
      </c>
      <c r="STV43" s="380" t="e">
        <f t="shared" si="213"/>
        <v>#N/A</v>
      </c>
      <c r="STW43" s="380" t="e">
        <f t="shared" si="213"/>
        <v>#N/A</v>
      </c>
      <c r="STX43" s="380" t="e">
        <f t="shared" si="213"/>
        <v>#N/A</v>
      </c>
      <c r="STY43" s="380" t="e">
        <f t="shared" si="213"/>
        <v>#N/A</v>
      </c>
      <c r="STZ43" s="380" t="e">
        <f t="shared" si="213"/>
        <v>#N/A</v>
      </c>
      <c r="SUA43" s="380" t="e">
        <f t="shared" si="213"/>
        <v>#N/A</v>
      </c>
      <c r="SUB43" s="380" t="e">
        <f t="shared" si="213"/>
        <v>#N/A</v>
      </c>
      <c r="SUC43" s="380" t="e">
        <f t="shared" si="213"/>
        <v>#N/A</v>
      </c>
      <c r="SUD43" s="380" t="e">
        <f t="shared" si="213"/>
        <v>#N/A</v>
      </c>
      <c r="SUE43" s="380" t="e">
        <f t="shared" si="213"/>
        <v>#N/A</v>
      </c>
      <c r="SUF43" s="380" t="e">
        <f t="shared" si="213"/>
        <v>#N/A</v>
      </c>
      <c r="SUG43" s="380" t="e">
        <f t="shared" si="213"/>
        <v>#N/A</v>
      </c>
      <c r="SUH43" s="380" t="e">
        <f t="shared" si="213"/>
        <v>#N/A</v>
      </c>
      <c r="SUI43" s="380" t="e">
        <f t="shared" si="213"/>
        <v>#N/A</v>
      </c>
      <c r="SUJ43" s="380" t="e">
        <f t="shared" si="213"/>
        <v>#N/A</v>
      </c>
      <c r="SUK43" s="380" t="e">
        <f t="shared" si="213"/>
        <v>#N/A</v>
      </c>
      <c r="SUL43" s="380" t="e">
        <f t="shared" si="213"/>
        <v>#N/A</v>
      </c>
      <c r="SUM43" s="380" t="e">
        <f t="shared" si="213"/>
        <v>#N/A</v>
      </c>
      <c r="SUN43" s="380" t="e">
        <f t="shared" si="213"/>
        <v>#N/A</v>
      </c>
      <c r="SUO43" s="380" t="e">
        <f t="shared" si="213"/>
        <v>#N/A</v>
      </c>
      <c r="SUP43" s="380" t="e">
        <f t="shared" si="213"/>
        <v>#N/A</v>
      </c>
      <c r="SUQ43" s="380" t="e">
        <f t="shared" si="213"/>
        <v>#N/A</v>
      </c>
      <c r="SUR43" s="380" t="e">
        <f t="shared" si="213"/>
        <v>#N/A</v>
      </c>
      <c r="SUS43" s="380" t="e">
        <f t="shared" si="213"/>
        <v>#N/A</v>
      </c>
      <c r="SUT43" s="380" t="e">
        <f t="shared" si="213"/>
        <v>#N/A</v>
      </c>
      <c r="SUU43" s="380" t="e">
        <f t="shared" si="213"/>
        <v>#N/A</v>
      </c>
      <c r="SUV43" s="380" t="e">
        <f t="shared" si="213"/>
        <v>#N/A</v>
      </c>
      <c r="SUW43" s="380" t="e">
        <f t="shared" si="213"/>
        <v>#N/A</v>
      </c>
      <c r="SUX43" s="380" t="e">
        <f t="shared" si="213"/>
        <v>#N/A</v>
      </c>
      <c r="SUY43" s="380" t="e">
        <f t="shared" si="213"/>
        <v>#N/A</v>
      </c>
      <c r="SUZ43" s="380" t="e">
        <f t="shared" si="213"/>
        <v>#N/A</v>
      </c>
      <c r="SVA43" s="380" t="e">
        <f t="shared" si="213"/>
        <v>#N/A</v>
      </c>
      <c r="SVB43" s="380" t="e">
        <f t="shared" si="213"/>
        <v>#N/A</v>
      </c>
      <c r="SVC43" s="380" t="e">
        <f t="shared" si="213"/>
        <v>#N/A</v>
      </c>
      <c r="SVD43" s="380" t="e">
        <f t="shared" si="213"/>
        <v>#N/A</v>
      </c>
      <c r="SVE43" s="380" t="e">
        <f t="shared" si="213"/>
        <v>#N/A</v>
      </c>
      <c r="SVF43" s="380" t="e">
        <f t="shared" si="213"/>
        <v>#N/A</v>
      </c>
      <c r="SVG43" s="380" t="e">
        <f t="shared" si="213"/>
        <v>#N/A</v>
      </c>
      <c r="SVH43" s="380" t="e">
        <f t="shared" si="213"/>
        <v>#N/A</v>
      </c>
      <c r="SVI43" s="380" t="e">
        <f t="shared" si="213"/>
        <v>#N/A</v>
      </c>
      <c r="SVJ43" s="380" t="e">
        <f t="shared" si="213"/>
        <v>#N/A</v>
      </c>
      <c r="SVK43" s="380" t="e">
        <f t="shared" si="213"/>
        <v>#N/A</v>
      </c>
      <c r="SVL43" s="380" t="e">
        <f t="shared" si="213"/>
        <v>#N/A</v>
      </c>
      <c r="SVM43" s="380" t="e">
        <f t="shared" si="213"/>
        <v>#N/A</v>
      </c>
      <c r="SVN43" s="380" t="e">
        <f t="shared" si="213"/>
        <v>#N/A</v>
      </c>
      <c r="SVO43" s="380" t="e">
        <f t="shared" si="213"/>
        <v>#N/A</v>
      </c>
      <c r="SVP43" s="380" t="e">
        <f t="shared" si="213"/>
        <v>#N/A</v>
      </c>
      <c r="SVQ43" s="380" t="e">
        <f t="shared" si="213"/>
        <v>#N/A</v>
      </c>
      <c r="SVR43" s="380" t="e">
        <f t="shared" si="213"/>
        <v>#N/A</v>
      </c>
      <c r="SVS43" s="380" t="e">
        <f t="shared" si="213"/>
        <v>#N/A</v>
      </c>
      <c r="SVT43" s="380" t="e">
        <f t="shared" si="213"/>
        <v>#N/A</v>
      </c>
      <c r="SVU43" s="380" t="e">
        <f t="shared" si="213"/>
        <v>#N/A</v>
      </c>
      <c r="SVV43" s="380" t="e">
        <f t="shared" si="213"/>
        <v>#N/A</v>
      </c>
      <c r="SVW43" s="380" t="e">
        <f t="shared" si="213"/>
        <v>#N/A</v>
      </c>
      <c r="SVX43" s="380" t="e">
        <f t="shared" si="213"/>
        <v>#N/A</v>
      </c>
      <c r="SVY43" s="380" t="e">
        <f t="shared" si="213"/>
        <v>#N/A</v>
      </c>
      <c r="SVZ43" s="380" t="e">
        <f t="shared" si="213"/>
        <v>#N/A</v>
      </c>
      <c r="SWA43" s="380" t="e">
        <f t="shared" si="213"/>
        <v>#N/A</v>
      </c>
      <c r="SWB43" s="380" t="e">
        <f t="shared" si="213"/>
        <v>#N/A</v>
      </c>
      <c r="SWC43" s="380" t="e">
        <f t="shared" si="213"/>
        <v>#N/A</v>
      </c>
      <c r="SWD43" s="380" t="e">
        <f t="shared" si="213"/>
        <v>#N/A</v>
      </c>
      <c r="SWE43" s="380" t="e">
        <f t="shared" si="213"/>
        <v>#N/A</v>
      </c>
      <c r="SWF43" s="380" t="e">
        <f t="shared" ref="SWF43:SYQ43" si="214">INDEX(SWF7:SWF40,MATCH($E$43,$E$7:$E$40,0))</f>
        <v>#N/A</v>
      </c>
      <c r="SWG43" s="380" t="e">
        <f t="shared" si="214"/>
        <v>#N/A</v>
      </c>
      <c r="SWH43" s="380" t="e">
        <f t="shared" si="214"/>
        <v>#N/A</v>
      </c>
      <c r="SWI43" s="380" t="e">
        <f t="shared" si="214"/>
        <v>#N/A</v>
      </c>
      <c r="SWJ43" s="380" t="e">
        <f t="shared" si="214"/>
        <v>#N/A</v>
      </c>
      <c r="SWK43" s="380" t="e">
        <f t="shared" si="214"/>
        <v>#N/A</v>
      </c>
      <c r="SWL43" s="380" t="e">
        <f t="shared" si="214"/>
        <v>#N/A</v>
      </c>
      <c r="SWM43" s="380" t="e">
        <f t="shared" si="214"/>
        <v>#N/A</v>
      </c>
      <c r="SWN43" s="380" t="e">
        <f t="shared" si="214"/>
        <v>#N/A</v>
      </c>
      <c r="SWO43" s="380" t="e">
        <f t="shared" si="214"/>
        <v>#N/A</v>
      </c>
      <c r="SWP43" s="380" t="e">
        <f t="shared" si="214"/>
        <v>#N/A</v>
      </c>
      <c r="SWQ43" s="380" t="e">
        <f t="shared" si="214"/>
        <v>#N/A</v>
      </c>
      <c r="SWR43" s="380" t="e">
        <f t="shared" si="214"/>
        <v>#N/A</v>
      </c>
      <c r="SWS43" s="380" t="e">
        <f t="shared" si="214"/>
        <v>#N/A</v>
      </c>
      <c r="SWT43" s="380" t="e">
        <f t="shared" si="214"/>
        <v>#N/A</v>
      </c>
      <c r="SWU43" s="380" t="e">
        <f t="shared" si="214"/>
        <v>#N/A</v>
      </c>
      <c r="SWV43" s="380" t="e">
        <f t="shared" si="214"/>
        <v>#N/A</v>
      </c>
      <c r="SWW43" s="380" t="e">
        <f t="shared" si="214"/>
        <v>#N/A</v>
      </c>
      <c r="SWX43" s="380" t="e">
        <f t="shared" si="214"/>
        <v>#N/A</v>
      </c>
      <c r="SWY43" s="380" t="e">
        <f t="shared" si="214"/>
        <v>#N/A</v>
      </c>
      <c r="SWZ43" s="380" t="e">
        <f t="shared" si="214"/>
        <v>#N/A</v>
      </c>
      <c r="SXA43" s="380" t="e">
        <f t="shared" si="214"/>
        <v>#N/A</v>
      </c>
      <c r="SXB43" s="380" t="e">
        <f t="shared" si="214"/>
        <v>#N/A</v>
      </c>
      <c r="SXC43" s="380" t="e">
        <f t="shared" si="214"/>
        <v>#N/A</v>
      </c>
      <c r="SXD43" s="380" t="e">
        <f t="shared" si="214"/>
        <v>#N/A</v>
      </c>
      <c r="SXE43" s="380" t="e">
        <f t="shared" si="214"/>
        <v>#N/A</v>
      </c>
      <c r="SXF43" s="380" t="e">
        <f t="shared" si="214"/>
        <v>#N/A</v>
      </c>
      <c r="SXG43" s="380" t="e">
        <f t="shared" si="214"/>
        <v>#N/A</v>
      </c>
      <c r="SXH43" s="380" t="e">
        <f t="shared" si="214"/>
        <v>#N/A</v>
      </c>
      <c r="SXI43" s="380" t="e">
        <f t="shared" si="214"/>
        <v>#N/A</v>
      </c>
      <c r="SXJ43" s="380" t="e">
        <f t="shared" si="214"/>
        <v>#N/A</v>
      </c>
      <c r="SXK43" s="380" t="e">
        <f t="shared" si="214"/>
        <v>#N/A</v>
      </c>
      <c r="SXL43" s="380" t="e">
        <f t="shared" si="214"/>
        <v>#N/A</v>
      </c>
      <c r="SXM43" s="380" t="e">
        <f t="shared" si="214"/>
        <v>#N/A</v>
      </c>
      <c r="SXN43" s="380" t="e">
        <f t="shared" si="214"/>
        <v>#N/A</v>
      </c>
      <c r="SXO43" s="380" t="e">
        <f t="shared" si="214"/>
        <v>#N/A</v>
      </c>
      <c r="SXP43" s="380" t="e">
        <f t="shared" si="214"/>
        <v>#N/A</v>
      </c>
      <c r="SXQ43" s="380" t="e">
        <f t="shared" si="214"/>
        <v>#N/A</v>
      </c>
      <c r="SXR43" s="380" t="e">
        <f t="shared" si="214"/>
        <v>#N/A</v>
      </c>
      <c r="SXS43" s="380" t="e">
        <f t="shared" si="214"/>
        <v>#N/A</v>
      </c>
      <c r="SXT43" s="380" t="e">
        <f t="shared" si="214"/>
        <v>#N/A</v>
      </c>
      <c r="SXU43" s="380" t="e">
        <f t="shared" si="214"/>
        <v>#N/A</v>
      </c>
      <c r="SXV43" s="380" t="e">
        <f t="shared" si="214"/>
        <v>#N/A</v>
      </c>
      <c r="SXW43" s="380" t="e">
        <f t="shared" si="214"/>
        <v>#N/A</v>
      </c>
      <c r="SXX43" s="380" t="e">
        <f t="shared" si="214"/>
        <v>#N/A</v>
      </c>
      <c r="SXY43" s="380" t="e">
        <f t="shared" si="214"/>
        <v>#N/A</v>
      </c>
      <c r="SXZ43" s="380" t="e">
        <f t="shared" si="214"/>
        <v>#N/A</v>
      </c>
      <c r="SYA43" s="380" t="e">
        <f t="shared" si="214"/>
        <v>#N/A</v>
      </c>
      <c r="SYB43" s="380" t="e">
        <f t="shared" si="214"/>
        <v>#N/A</v>
      </c>
      <c r="SYC43" s="380" t="e">
        <f t="shared" si="214"/>
        <v>#N/A</v>
      </c>
      <c r="SYD43" s="380" t="e">
        <f t="shared" si="214"/>
        <v>#N/A</v>
      </c>
      <c r="SYE43" s="380" t="e">
        <f t="shared" si="214"/>
        <v>#N/A</v>
      </c>
      <c r="SYF43" s="380" t="e">
        <f t="shared" si="214"/>
        <v>#N/A</v>
      </c>
      <c r="SYG43" s="380" t="e">
        <f t="shared" si="214"/>
        <v>#N/A</v>
      </c>
      <c r="SYH43" s="380" t="e">
        <f t="shared" si="214"/>
        <v>#N/A</v>
      </c>
      <c r="SYI43" s="380" t="e">
        <f t="shared" si="214"/>
        <v>#N/A</v>
      </c>
      <c r="SYJ43" s="380" t="e">
        <f t="shared" si="214"/>
        <v>#N/A</v>
      </c>
      <c r="SYK43" s="380" t="e">
        <f t="shared" si="214"/>
        <v>#N/A</v>
      </c>
      <c r="SYL43" s="380" t="e">
        <f t="shared" si="214"/>
        <v>#N/A</v>
      </c>
      <c r="SYM43" s="380" t="e">
        <f t="shared" si="214"/>
        <v>#N/A</v>
      </c>
      <c r="SYN43" s="380" t="e">
        <f t="shared" si="214"/>
        <v>#N/A</v>
      </c>
      <c r="SYO43" s="380" t="e">
        <f t="shared" si="214"/>
        <v>#N/A</v>
      </c>
      <c r="SYP43" s="380" t="e">
        <f t="shared" si="214"/>
        <v>#N/A</v>
      </c>
      <c r="SYQ43" s="380" t="e">
        <f t="shared" si="214"/>
        <v>#N/A</v>
      </c>
      <c r="SYR43" s="380" t="e">
        <f t="shared" ref="SYR43:TBC43" si="215">INDEX(SYR7:SYR40,MATCH($E$43,$E$7:$E$40,0))</f>
        <v>#N/A</v>
      </c>
      <c r="SYS43" s="380" t="e">
        <f t="shared" si="215"/>
        <v>#N/A</v>
      </c>
      <c r="SYT43" s="380" t="e">
        <f t="shared" si="215"/>
        <v>#N/A</v>
      </c>
      <c r="SYU43" s="380" t="e">
        <f t="shared" si="215"/>
        <v>#N/A</v>
      </c>
      <c r="SYV43" s="380" t="e">
        <f t="shared" si="215"/>
        <v>#N/A</v>
      </c>
      <c r="SYW43" s="380" t="e">
        <f t="shared" si="215"/>
        <v>#N/A</v>
      </c>
      <c r="SYX43" s="380" t="e">
        <f t="shared" si="215"/>
        <v>#N/A</v>
      </c>
      <c r="SYY43" s="380" t="e">
        <f t="shared" si="215"/>
        <v>#N/A</v>
      </c>
      <c r="SYZ43" s="380" t="e">
        <f t="shared" si="215"/>
        <v>#N/A</v>
      </c>
      <c r="SZA43" s="380" t="e">
        <f t="shared" si="215"/>
        <v>#N/A</v>
      </c>
      <c r="SZB43" s="380" t="e">
        <f t="shared" si="215"/>
        <v>#N/A</v>
      </c>
      <c r="SZC43" s="380" t="e">
        <f t="shared" si="215"/>
        <v>#N/A</v>
      </c>
      <c r="SZD43" s="380" t="e">
        <f t="shared" si="215"/>
        <v>#N/A</v>
      </c>
      <c r="SZE43" s="380" t="e">
        <f t="shared" si="215"/>
        <v>#N/A</v>
      </c>
      <c r="SZF43" s="380" t="e">
        <f t="shared" si="215"/>
        <v>#N/A</v>
      </c>
      <c r="SZG43" s="380" t="e">
        <f t="shared" si="215"/>
        <v>#N/A</v>
      </c>
      <c r="SZH43" s="380" t="e">
        <f t="shared" si="215"/>
        <v>#N/A</v>
      </c>
      <c r="SZI43" s="380" t="e">
        <f t="shared" si="215"/>
        <v>#N/A</v>
      </c>
      <c r="SZJ43" s="380" t="e">
        <f t="shared" si="215"/>
        <v>#N/A</v>
      </c>
      <c r="SZK43" s="380" t="e">
        <f t="shared" si="215"/>
        <v>#N/A</v>
      </c>
      <c r="SZL43" s="380" t="e">
        <f t="shared" si="215"/>
        <v>#N/A</v>
      </c>
      <c r="SZM43" s="380" t="e">
        <f t="shared" si="215"/>
        <v>#N/A</v>
      </c>
      <c r="SZN43" s="380" t="e">
        <f t="shared" si="215"/>
        <v>#N/A</v>
      </c>
      <c r="SZO43" s="380" t="e">
        <f t="shared" si="215"/>
        <v>#N/A</v>
      </c>
      <c r="SZP43" s="380" t="e">
        <f t="shared" si="215"/>
        <v>#N/A</v>
      </c>
      <c r="SZQ43" s="380" t="e">
        <f t="shared" si="215"/>
        <v>#N/A</v>
      </c>
      <c r="SZR43" s="380" t="e">
        <f t="shared" si="215"/>
        <v>#N/A</v>
      </c>
      <c r="SZS43" s="380" t="e">
        <f t="shared" si="215"/>
        <v>#N/A</v>
      </c>
      <c r="SZT43" s="380" t="e">
        <f t="shared" si="215"/>
        <v>#N/A</v>
      </c>
      <c r="SZU43" s="380" t="e">
        <f t="shared" si="215"/>
        <v>#N/A</v>
      </c>
      <c r="SZV43" s="380" t="e">
        <f t="shared" si="215"/>
        <v>#N/A</v>
      </c>
      <c r="SZW43" s="380" t="e">
        <f t="shared" si="215"/>
        <v>#N/A</v>
      </c>
      <c r="SZX43" s="380" t="e">
        <f t="shared" si="215"/>
        <v>#N/A</v>
      </c>
      <c r="SZY43" s="380" t="e">
        <f t="shared" si="215"/>
        <v>#N/A</v>
      </c>
      <c r="SZZ43" s="380" t="e">
        <f t="shared" si="215"/>
        <v>#N/A</v>
      </c>
      <c r="TAA43" s="380" t="e">
        <f t="shared" si="215"/>
        <v>#N/A</v>
      </c>
      <c r="TAB43" s="380" t="e">
        <f t="shared" si="215"/>
        <v>#N/A</v>
      </c>
      <c r="TAC43" s="380" t="e">
        <f t="shared" si="215"/>
        <v>#N/A</v>
      </c>
      <c r="TAD43" s="380" t="e">
        <f t="shared" si="215"/>
        <v>#N/A</v>
      </c>
      <c r="TAE43" s="380" t="e">
        <f t="shared" si="215"/>
        <v>#N/A</v>
      </c>
      <c r="TAF43" s="380" t="e">
        <f t="shared" si="215"/>
        <v>#N/A</v>
      </c>
      <c r="TAG43" s="380" t="e">
        <f t="shared" si="215"/>
        <v>#N/A</v>
      </c>
      <c r="TAH43" s="380" t="e">
        <f t="shared" si="215"/>
        <v>#N/A</v>
      </c>
      <c r="TAI43" s="380" t="e">
        <f t="shared" si="215"/>
        <v>#N/A</v>
      </c>
      <c r="TAJ43" s="380" t="e">
        <f t="shared" si="215"/>
        <v>#N/A</v>
      </c>
      <c r="TAK43" s="380" t="e">
        <f t="shared" si="215"/>
        <v>#N/A</v>
      </c>
      <c r="TAL43" s="380" t="e">
        <f t="shared" si="215"/>
        <v>#N/A</v>
      </c>
      <c r="TAM43" s="380" t="e">
        <f t="shared" si="215"/>
        <v>#N/A</v>
      </c>
      <c r="TAN43" s="380" t="e">
        <f t="shared" si="215"/>
        <v>#N/A</v>
      </c>
      <c r="TAO43" s="380" t="e">
        <f t="shared" si="215"/>
        <v>#N/A</v>
      </c>
      <c r="TAP43" s="380" t="e">
        <f t="shared" si="215"/>
        <v>#N/A</v>
      </c>
      <c r="TAQ43" s="380" t="e">
        <f t="shared" si="215"/>
        <v>#N/A</v>
      </c>
      <c r="TAR43" s="380" t="e">
        <f t="shared" si="215"/>
        <v>#N/A</v>
      </c>
      <c r="TAS43" s="380" t="e">
        <f t="shared" si="215"/>
        <v>#N/A</v>
      </c>
      <c r="TAT43" s="380" t="e">
        <f t="shared" si="215"/>
        <v>#N/A</v>
      </c>
      <c r="TAU43" s="380" t="e">
        <f t="shared" si="215"/>
        <v>#N/A</v>
      </c>
      <c r="TAV43" s="380" t="e">
        <f t="shared" si="215"/>
        <v>#N/A</v>
      </c>
      <c r="TAW43" s="380" t="e">
        <f t="shared" si="215"/>
        <v>#N/A</v>
      </c>
      <c r="TAX43" s="380" t="e">
        <f t="shared" si="215"/>
        <v>#N/A</v>
      </c>
      <c r="TAY43" s="380" t="e">
        <f t="shared" si="215"/>
        <v>#N/A</v>
      </c>
      <c r="TAZ43" s="380" t="e">
        <f t="shared" si="215"/>
        <v>#N/A</v>
      </c>
      <c r="TBA43" s="380" t="e">
        <f t="shared" si="215"/>
        <v>#N/A</v>
      </c>
      <c r="TBB43" s="380" t="e">
        <f t="shared" si="215"/>
        <v>#N/A</v>
      </c>
      <c r="TBC43" s="380" t="e">
        <f t="shared" si="215"/>
        <v>#N/A</v>
      </c>
      <c r="TBD43" s="380" t="e">
        <f t="shared" ref="TBD43:TDO43" si="216">INDEX(TBD7:TBD40,MATCH($E$43,$E$7:$E$40,0))</f>
        <v>#N/A</v>
      </c>
      <c r="TBE43" s="380" t="e">
        <f t="shared" si="216"/>
        <v>#N/A</v>
      </c>
      <c r="TBF43" s="380" t="e">
        <f t="shared" si="216"/>
        <v>#N/A</v>
      </c>
      <c r="TBG43" s="380" t="e">
        <f t="shared" si="216"/>
        <v>#N/A</v>
      </c>
      <c r="TBH43" s="380" t="e">
        <f t="shared" si="216"/>
        <v>#N/A</v>
      </c>
      <c r="TBI43" s="380" t="e">
        <f t="shared" si="216"/>
        <v>#N/A</v>
      </c>
      <c r="TBJ43" s="380" t="e">
        <f t="shared" si="216"/>
        <v>#N/A</v>
      </c>
      <c r="TBK43" s="380" t="e">
        <f t="shared" si="216"/>
        <v>#N/A</v>
      </c>
      <c r="TBL43" s="380" t="e">
        <f t="shared" si="216"/>
        <v>#N/A</v>
      </c>
      <c r="TBM43" s="380" t="e">
        <f t="shared" si="216"/>
        <v>#N/A</v>
      </c>
      <c r="TBN43" s="380" t="e">
        <f t="shared" si="216"/>
        <v>#N/A</v>
      </c>
      <c r="TBO43" s="380" t="e">
        <f t="shared" si="216"/>
        <v>#N/A</v>
      </c>
      <c r="TBP43" s="380" t="e">
        <f t="shared" si="216"/>
        <v>#N/A</v>
      </c>
      <c r="TBQ43" s="380" t="e">
        <f t="shared" si="216"/>
        <v>#N/A</v>
      </c>
      <c r="TBR43" s="380" t="e">
        <f t="shared" si="216"/>
        <v>#N/A</v>
      </c>
      <c r="TBS43" s="380" t="e">
        <f t="shared" si="216"/>
        <v>#N/A</v>
      </c>
      <c r="TBT43" s="380" t="e">
        <f t="shared" si="216"/>
        <v>#N/A</v>
      </c>
      <c r="TBU43" s="380" t="e">
        <f t="shared" si="216"/>
        <v>#N/A</v>
      </c>
      <c r="TBV43" s="380" t="e">
        <f t="shared" si="216"/>
        <v>#N/A</v>
      </c>
      <c r="TBW43" s="380" t="e">
        <f t="shared" si="216"/>
        <v>#N/A</v>
      </c>
      <c r="TBX43" s="380" t="e">
        <f t="shared" si="216"/>
        <v>#N/A</v>
      </c>
      <c r="TBY43" s="380" t="e">
        <f t="shared" si="216"/>
        <v>#N/A</v>
      </c>
      <c r="TBZ43" s="380" t="e">
        <f t="shared" si="216"/>
        <v>#N/A</v>
      </c>
      <c r="TCA43" s="380" t="e">
        <f t="shared" si="216"/>
        <v>#N/A</v>
      </c>
      <c r="TCB43" s="380" t="e">
        <f t="shared" si="216"/>
        <v>#N/A</v>
      </c>
      <c r="TCC43" s="380" t="e">
        <f t="shared" si="216"/>
        <v>#N/A</v>
      </c>
      <c r="TCD43" s="380" t="e">
        <f t="shared" si="216"/>
        <v>#N/A</v>
      </c>
      <c r="TCE43" s="380" t="e">
        <f t="shared" si="216"/>
        <v>#N/A</v>
      </c>
      <c r="TCF43" s="380" t="e">
        <f t="shared" si="216"/>
        <v>#N/A</v>
      </c>
      <c r="TCG43" s="380" t="e">
        <f t="shared" si="216"/>
        <v>#N/A</v>
      </c>
      <c r="TCH43" s="380" t="e">
        <f t="shared" si="216"/>
        <v>#N/A</v>
      </c>
      <c r="TCI43" s="380" t="e">
        <f t="shared" si="216"/>
        <v>#N/A</v>
      </c>
      <c r="TCJ43" s="380" t="e">
        <f t="shared" si="216"/>
        <v>#N/A</v>
      </c>
      <c r="TCK43" s="380" t="e">
        <f t="shared" si="216"/>
        <v>#N/A</v>
      </c>
      <c r="TCL43" s="380" t="e">
        <f t="shared" si="216"/>
        <v>#N/A</v>
      </c>
      <c r="TCM43" s="380" t="e">
        <f t="shared" si="216"/>
        <v>#N/A</v>
      </c>
      <c r="TCN43" s="380" t="e">
        <f t="shared" si="216"/>
        <v>#N/A</v>
      </c>
      <c r="TCO43" s="380" t="e">
        <f t="shared" si="216"/>
        <v>#N/A</v>
      </c>
      <c r="TCP43" s="380" t="e">
        <f t="shared" si="216"/>
        <v>#N/A</v>
      </c>
      <c r="TCQ43" s="380" t="e">
        <f t="shared" si="216"/>
        <v>#N/A</v>
      </c>
      <c r="TCR43" s="380" t="e">
        <f t="shared" si="216"/>
        <v>#N/A</v>
      </c>
      <c r="TCS43" s="380" t="e">
        <f t="shared" si="216"/>
        <v>#N/A</v>
      </c>
      <c r="TCT43" s="380" t="e">
        <f t="shared" si="216"/>
        <v>#N/A</v>
      </c>
      <c r="TCU43" s="380" t="e">
        <f t="shared" si="216"/>
        <v>#N/A</v>
      </c>
      <c r="TCV43" s="380" t="e">
        <f t="shared" si="216"/>
        <v>#N/A</v>
      </c>
      <c r="TCW43" s="380" t="e">
        <f t="shared" si="216"/>
        <v>#N/A</v>
      </c>
      <c r="TCX43" s="380" t="e">
        <f t="shared" si="216"/>
        <v>#N/A</v>
      </c>
      <c r="TCY43" s="380" t="e">
        <f t="shared" si="216"/>
        <v>#N/A</v>
      </c>
      <c r="TCZ43" s="380" t="e">
        <f t="shared" si="216"/>
        <v>#N/A</v>
      </c>
      <c r="TDA43" s="380" t="e">
        <f t="shared" si="216"/>
        <v>#N/A</v>
      </c>
      <c r="TDB43" s="380" t="e">
        <f t="shared" si="216"/>
        <v>#N/A</v>
      </c>
      <c r="TDC43" s="380" t="e">
        <f t="shared" si="216"/>
        <v>#N/A</v>
      </c>
      <c r="TDD43" s="380" t="e">
        <f t="shared" si="216"/>
        <v>#N/A</v>
      </c>
      <c r="TDE43" s="380" t="e">
        <f t="shared" si="216"/>
        <v>#N/A</v>
      </c>
      <c r="TDF43" s="380" t="e">
        <f t="shared" si="216"/>
        <v>#N/A</v>
      </c>
      <c r="TDG43" s="380" t="e">
        <f t="shared" si="216"/>
        <v>#N/A</v>
      </c>
      <c r="TDH43" s="380" t="e">
        <f t="shared" si="216"/>
        <v>#N/A</v>
      </c>
      <c r="TDI43" s="380" t="e">
        <f t="shared" si="216"/>
        <v>#N/A</v>
      </c>
      <c r="TDJ43" s="380" t="e">
        <f t="shared" si="216"/>
        <v>#N/A</v>
      </c>
      <c r="TDK43" s="380" t="e">
        <f t="shared" si="216"/>
        <v>#N/A</v>
      </c>
      <c r="TDL43" s="380" t="e">
        <f t="shared" si="216"/>
        <v>#N/A</v>
      </c>
      <c r="TDM43" s="380" t="e">
        <f t="shared" si="216"/>
        <v>#N/A</v>
      </c>
      <c r="TDN43" s="380" t="e">
        <f t="shared" si="216"/>
        <v>#N/A</v>
      </c>
      <c r="TDO43" s="380" t="e">
        <f t="shared" si="216"/>
        <v>#N/A</v>
      </c>
      <c r="TDP43" s="380" t="e">
        <f t="shared" ref="TDP43:TGA43" si="217">INDEX(TDP7:TDP40,MATCH($E$43,$E$7:$E$40,0))</f>
        <v>#N/A</v>
      </c>
      <c r="TDQ43" s="380" t="e">
        <f t="shared" si="217"/>
        <v>#N/A</v>
      </c>
      <c r="TDR43" s="380" t="e">
        <f t="shared" si="217"/>
        <v>#N/A</v>
      </c>
      <c r="TDS43" s="380" t="e">
        <f t="shared" si="217"/>
        <v>#N/A</v>
      </c>
      <c r="TDT43" s="380" t="e">
        <f t="shared" si="217"/>
        <v>#N/A</v>
      </c>
      <c r="TDU43" s="380" t="e">
        <f t="shared" si="217"/>
        <v>#N/A</v>
      </c>
      <c r="TDV43" s="380" t="e">
        <f t="shared" si="217"/>
        <v>#N/A</v>
      </c>
      <c r="TDW43" s="380" t="e">
        <f t="shared" si="217"/>
        <v>#N/A</v>
      </c>
      <c r="TDX43" s="380" t="e">
        <f t="shared" si="217"/>
        <v>#N/A</v>
      </c>
      <c r="TDY43" s="380" t="e">
        <f t="shared" si="217"/>
        <v>#N/A</v>
      </c>
      <c r="TDZ43" s="380" t="e">
        <f t="shared" si="217"/>
        <v>#N/A</v>
      </c>
      <c r="TEA43" s="380" t="e">
        <f t="shared" si="217"/>
        <v>#N/A</v>
      </c>
      <c r="TEB43" s="380" t="e">
        <f t="shared" si="217"/>
        <v>#N/A</v>
      </c>
      <c r="TEC43" s="380" t="e">
        <f t="shared" si="217"/>
        <v>#N/A</v>
      </c>
      <c r="TED43" s="380" t="e">
        <f t="shared" si="217"/>
        <v>#N/A</v>
      </c>
      <c r="TEE43" s="380" t="e">
        <f t="shared" si="217"/>
        <v>#N/A</v>
      </c>
      <c r="TEF43" s="380" t="e">
        <f t="shared" si="217"/>
        <v>#N/A</v>
      </c>
      <c r="TEG43" s="380" t="e">
        <f t="shared" si="217"/>
        <v>#N/A</v>
      </c>
      <c r="TEH43" s="380" t="e">
        <f t="shared" si="217"/>
        <v>#N/A</v>
      </c>
      <c r="TEI43" s="380" t="e">
        <f t="shared" si="217"/>
        <v>#N/A</v>
      </c>
      <c r="TEJ43" s="380" t="e">
        <f t="shared" si="217"/>
        <v>#N/A</v>
      </c>
      <c r="TEK43" s="380" t="e">
        <f t="shared" si="217"/>
        <v>#N/A</v>
      </c>
      <c r="TEL43" s="380" t="e">
        <f t="shared" si="217"/>
        <v>#N/A</v>
      </c>
      <c r="TEM43" s="380" t="e">
        <f t="shared" si="217"/>
        <v>#N/A</v>
      </c>
      <c r="TEN43" s="380" t="e">
        <f t="shared" si="217"/>
        <v>#N/A</v>
      </c>
      <c r="TEO43" s="380" t="e">
        <f t="shared" si="217"/>
        <v>#N/A</v>
      </c>
      <c r="TEP43" s="380" t="e">
        <f t="shared" si="217"/>
        <v>#N/A</v>
      </c>
      <c r="TEQ43" s="380" t="e">
        <f t="shared" si="217"/>
        <v>#N/A</v>
      </c>
      <c r="TER43" s="380" t="e">
        <f t="shared" si="217"/>
        <v>#N/A</v>
      </c>
      <c r="TES43" s="380" t="e">
        <f t="shared" si="217"/>
        <v>#N/A</v>
      </c>
      <c r="TET43" s="380" t="e">
        <f t="shared" si="217"/>
        <v>#N/A</v>
      </c>
      <c r="TEU43" s="380" t="e">
        <f t="shared" si="217"/>
        <v>#N/A</v>
      </c>
      <c r="TEV43" s="380" t="e">
        <f t="shared" si="217"/>
        <v>#N/A</v>
      </c>
      <c r="TEW43" s="380" t="e">
        <f t="shared" si="217"/>
        <v>#N/A</v>
      </c>
      <c r="TEX43" s="380" t="e">
        <f t="shared" si="217"/>
        <v>#N/A</v>
      </c>
      <c r="TEY43" s="380" t="e">
        <f t="shared" si="217"/>
        <v>#N/A</v>
      </c>
      <c r="TEZ43" s="380" t="e">
        <f t="shared" si="217"/>
        <v>#N/A</v>
      </c>
      <c r="TFA43" s="380" t="e">
        <f t="shared" si="217"/>
        <v>#N/A</v>
      </c>
      <c r="TFB43" s="380" t="e">
        <f t="shared" si="217"/>
        <v>#N/A</v>
      </c>
      <c r="TFC43" s="380" t="e">
        <f t="shared" si="217"/>
        <v>#N/A</v>
      </c>
      <c r="TFD43" s="380" t="e">
        <f t="shared" si="217"/>
        <v>#N/A</v>
      </c>
      <c r="TFE43" s="380" t="e">
        <f t="shared" si="217"/>
        <v>#N/A</v>
      </c>
      <c r="TFF43" s="380" t="e">
        <f t="shared" si="217"/>
        <v>#N/A</v>
      </c>
      <c r="TFG43" s="380" t="e">
        <f t="shared" si="217"/>
        <v>#N/A</v>
      </c>
      <c r="TFH43" s="380" t="e">
        <f t="shared" si="217"/>
        <v>#N/A</v>
      </c>
      <c r="TFI43" s="380" t="e">
        <f t="shared" si="217"/>
        <v>#N/A</v>
      </c>
      <c r="TFJ43" s="380" t="e">
        <f t="shared" si="217"/>
        <v>#N/A</v>
      </c>
      <c r="TFK43" s="380" t="e">
        <f t="shared" si="217"/>
        <v>#N/A</v>
      </c>
      <c r="TFL43" s="380" t="e">
        <f t="shared" si="217"/>
        <v>#N/A</v>
      </c>
      <c r="TFM43" s="380" t="e">
        <f t="shared" si="217"/>
        <v>#N/A</v>
      </c>
      <c r="TFN43" s="380" t="e">
        <f t="shared" si="217"/>
        <v>#N/A</v>
      </c>
      <c r="TFO43" s="380" t="e">
        <f t="shared" si="217"/>
        <v>#N/A</v>
      </c>
      <c r="TFP43" s="380" t="e">
        <f t="shared" si="217"/>
        <v>#N/A</v>
      </c>
      <c r="TFQ43" s="380" t="e">
        <f t="shared" si="217"/>
        <v>#N/A</v>
      </c>
      <c r="TFR43" s="380" t="e">
        <f t="shared" si="217"/>
        <v>#N/A</v>
      </c>
      <c r="TFS43" s="380" t="e">
        <f t="shared" si="217"/>
        <v>#N/A</v>
      </c>
      <c r="TFT43" s="380" t="e">
        <f t="shared" si="217"/>
        <v>#N/A</v>
      </c>
      <c r="TFU43" s="380" t="e">
        <f t="shared" si="217"/>
        <v>#N/A</v>
      </c>
      <c r="TFV43" s="380" t="e">
        <f t="shared" si="217"/>
        <v>#N/A</v>
      </c>
      <c r="TFW43" s="380" t="e">
        <f t="shared" si="217"/>
        <v>#N/A</v>
      </c>
      <c r="TFX43" s="380" t="e">
        <f t="shared" si="217"/>
        <v>#N/A</v>
      </c>
      <c r="TFY43" s="380" t="e">
        <f t="shared" si="217"/>
        <v>#N/A</v>
      </c>
      <c r="TFZ43" s="380" t="e">
        <f t="shared" si="217"/>
        <v>#N/A</v>
      </c>
      <c r="TGA43" s="380" t="e">
        <f t="shared" si="217"/>
        <v>#N/A</v>
      </c>
      <c r="TGB43" s="380" t="e">
        <f t="shared" ref="TGB43:TIM43" si="218">INDEX(TGB7:TGB40,MATCH($E$43,$E$7:$E$40,0))</f>
        <v>#N/A</v>
      </c>
      <c r="TGC43" s="380" t="e">
        <f t="shared" si="218"/>
        <v>#N/A</v>
      </c>
      <c r="TGD43" s="380" t="e">
        <f t="shared" si="218"/>
        <v>#N/A</v>
      </c>
      <c r="TGE43" s="380" t="e">
        <f t="shared" si="218"/>
        <v>#N/A</v>
      </c>
      <c r="TGF43" s="380" t="e">
        <f t="shared" si="218"/>
        <v>#N/A</v>
      </c>
      <c r="TGG43" s="380" t="e">
        <f t="shared" si="218"/>
        <v>#N/A</v>
      </c>
      <c r="TGH43" s="380" t="e">
        <f t="shared" si="218"/>
        <v>#N/A</v>
      </c>
      <c r="TGI43" s="380" t="e">
        <f t="shared" si="218"/>
        <v>#N/A</v>
      </c>
      <c r="TGJ43" s="380" t="e">
        <f t="shared" si="218"/>
        <v>#N/A</v>
      </c>
      <c r="TGK43" s="380" t="e">
        <f t="shared" si="218"/>
        <v>#N/A</v>
      </c>
      <c r="TGL43" s="380" t="e">
        <f t="shared" si="218"/>
        <v>#N/A</v>
      </c>
      <c r="TGM43" s="380" t="e">
        <f t="shared" si="218"/>
        <v>#N/A</v>
      </c>
      <c r="TGN43" s="380" t="e">
        <f t="shared" si="218"/>
        <v>#N/A</v>
      </c>
      <c r="TGO43" s="380" t="e">
        <f t="shared" si="218"/>
        <v>#N/A</v>
      </c>
      <c r="TGP43" s="380" t="e">
        <f t="shared" si="218"/>
        <v>#N/A</v>
      </c>
      <c r="TGQ43" s="380" t="e">
        <f t="shared" si="218"/>
        <v>#N/A</v>
      </c>
      <c r="TGR43" s="380" t="e">
        <f t="shared" si="218"/>
        <v>#N/A</v>
      </c>
      <c r="TGS43" s="380" t="e">
        <f t="shared" si="218"/>
        <v>#N/A</v>
      </c>
      <c r="TGT43" s="380" t="e">
        <f t="shared" si="218"/>
        <v>#N/A</v>
      </c>
      <c r="TGU43" s="380" t="e">
        <f t="shared" si="218"/>
        <v>#N/A</v>
      </c>
      <c r="TGV43" s="380" t="e">
        <f t="shared" si="218"/>
        <v>#N/A</v>
      </c>
      <c r="TGW43" s="380" t="e">
        <f t="shared" si="218"/>
        <v>#N/A</v>
      </c>
      <c r="TGX43" s="380" t="e">
        <f t="shared" si="218"/>
        <v>#N/A</v>
      </c>
      <c r="TGY43" s="380" t="e">
        <f t="shared" si="218"/>
        <v>#N/A</v>
      </c>
      <c r="TGZ43" s="380" t="e">
        <f t="shared" si="218"/>
        <v>#N/A</v>
      </c>
      <c r="THA43" s="380" t="e">
        <f t="shared" si="218"/>
        <v>#N/A</v>
      </c>
      <c r="THB43" s="380" t="e">
        <f t="shared" si="218"/>
        <v>#N/A</v>
      </c>
      <c r="THC43" s="380" t="e">
        <f t="shared" si="218"/>
        <v>#N/A</v>
      </c>
      <c r="THD43" s="380" t="e">
        <f t="shared" si="218"/>
        <v>#N/A</v>
      </c>
      <c r="THE43" s="380" t="e">
        <f t="shared" si="218"/>
        <v>#N/A</v>
      </c>
      <c r="THF43" s="380" t="e">
        <f t="shared" si="218"/>
        <v>#N/A</v>
      </c>
      <c r="THG43" s="380" t="e">
        <f t="shared" si="218"/>
        <v>#N/A</v>
      </c>
      <c r="THH43" s="380" t="e">
        <f t="shared" si="218"/>
        <v>#N/A</v>
      </c>
      <c r="THI43" s="380" t="e">
        <f t="shared" si="218"/>
        <v>#N/A</v>
      </c>
      <c r="THJ43" s="380" t="e">
        <f t="shared" si="218"/>
        <v>#N/A</v>
      </c>
      <c r="THK43" s="380" t="e">
        <f t="shared" si="218"/>
        <v>#N/A</v>
      </c>
      <c r="THL43" s="380" t="e">
        <f t="shared" si="218"/>
        <v>#N/A</v>
      </c>
      <c r="THM43" s="380" t="e">
        <f t="shared" si="218"/>
        <v>#N/A</v>
      </c>
      <c r="THN43" s="380" t="e">
        <f t="shared" si="218"/>
        <v>#N/A</v>
      </c>
      <c r="THO43" s="380" t="e">
        <f t="shared" si="218"/>
        <v>#N/A</v>
      </c>
      <c r="THP43" s="380" t="e">
        <f t="shared" si="218"/>
        <v>#N/A</v>
      </c>
      <c r="THQ43" s="380" t="e">
        <f t="shared" si="218"/>
        <v>#N/A</v>
      </c>
      <c r="THR43" s="380" t="e">
        <f t="shared" si="218"/>
        <v>#N/A</v>
      </c>
      <c r="THS43" s="380" t="e">
        <f t="shared" si="218"/>
        <v>#N/A</v>
      </c>
      <c r="THT43" s="380" t="e">
        <f t="shared" si="218"/>
        <v>#N/A</v>
      </c>
      <c r="THU43" s="380" t="e">
        <f t="shared" si="218"/>
        <v>#N/A</v>
      </c>
      <c r="THV43" s="380" t="e">
        <f t="shared" si="218"/>
        <v>#N/A</v>
      </c>
      <c r="THW43" s="380" t="e">
        <f t="shared" si="218"/>
        <v>#N/A</v>
      </c>
      <c r="THX43" s="380" t="e">
        <f t="shared" si="218"/>
        <v>#N/A</v>
      </c>
      <c r="THY43" s="380" t="e">
        <f t="shared" si="218"/>
        <v>#N/A</v>
      </c>
      <c r="THZ43" s="380" t="e">
        <f t="shared" si="218"/>
        <v>#N/A</v>
      </c>
      <c r="TIA43" s="380" t="e">
        <f t="shared" si="218"/>
        <v>#N/A</v>
      </c>
      <c r="TIB43" s="380" t="e">
        <f t="shared" si="218"/>
        <v>#N/A</v>
      </c>
      <c r="TIC43" s="380" t="e">
        <f t="shared" si="218"/>
        <v>#N/A</v>
      </c>
      <c r="TID43" s="380" t="e">
        <f t="shared" si="218"/>
        <v>#N/A</v>
      </c>
      <c r="TIE43" s="380" t="e">
        <f t="shared" si="218"/>
        <v>#N/A</v>
      </c>
      <c r="TIF43" s="380" t="e">
        <f t="shared" si="218"/>
        <v>#N/A</v>
      </c>
      <c r="TIG43" s="380" t="e">
        <f t="shared" si="218"/>
        <v>#N/A</v>
      </c>
      <c r="TIH43" s="380" t="e">
        <f t="shared" si="218"/>
        <v>#N/A</v>
      </c>
      <c r="TII43" s="380" t="e">
        <f t="shared" si="218"/>
        <v>#N/A</v>
      </c>
      <c r="TIJ43" s="380" t="e">
        <f t="shared" si="218"/>
        <v>#N/A</v>
      </c>
      <c r="TIK43" s="380" t="e">
        <f t="shared" si="218"/>
        <v>#N/A</v>
      </c>
      <c r="TIL43" s="380" t="e">
        <f t="shared" si="218"/>
        <v>#N/A</v>
      </c>
      <c r="TIM43" s="380" t="e">
        <f t="shared" si="218"/>
        <v>#N/A</v>
      </c>
      <c r="TIN43" s="380" t="e">
        <f t="shared" ref="TIN43:TKY43" si="219">INDEX(TIN7:TIN40,MATCH($E$43,$E$7:$E$40,0))</f>
        <v>#N/A</v>
      </c>
      <c r="TIO43" s="380" t="e">
        <f t="shared" si="219"/>
        <v>#N/A</v>
      </c>
      <c r="TIP43" s="380" t="e">
        <f t="shared" si="219"/>
        <v>#N/A</v>
      </c>
      <c r="TIQ43" s="380" t="e">
        <f t="shared" si="219"/>
        <v>#N/A</v>
      </c>
      <c r="TIR43" s="380" t="e">
        <f t="shared" si="219"/>
        <v>#N/A</v>
      </c>
      <c r="TIS43" s="380" t="e">
        <f t="shared" si="219"/>
        <v>#N/A</v>
      </c>
      <c r="TIT43" s="380" t="e">
        <f t="shared" si="219"/>
        <v>#N/A</v>
      </c>
      <c r="TIU43" s="380" t="e">
        <f t="shared" si="219"/>
        <v>#N/A</v>
      </c>
      <c r="TIV43" s="380" t="e">
        <f t="shared" si="219"/>
        <v>#N/A</v>
      </c>
      <c r="TIW43" s="380" t="e">
        <f t="shared" si="219"/>
        <v>#N/A</v>
      </c>
      <c r="TIX43" s="380" t="e">
        <f t="shared" si="219"/>
        <v>#N/A</v>
      </c>
      <c r="TIY43" s="380" t="e">
        <f t="shared" si="219"/>
        <v>#N/A</v>
      </c>
      <c r="TIZ43" s="380" t="e">
        <f t="shared" si="219"/>
        <v>#N/A</v>
      </c>
      <c r="TJA43" s="380" t="e">
        <f t="shared" si="219"/>
        <v>#N/A</v>
      </c>
      <c r="TJB43" s="380" t="e">
        <f t="shared" si="219"/>
        <v>#N/A</v>
      </c>
      <c r="TJC43" s="380" t="e">
        <f t="shared" si="219"/>
        <v>#N/A</v>
      </c>
      <c r="TJD43" s="380" t="e">
        <f t="shared" si="219"/>
        <v>#N/A</v>
      </c>
      <c r="TJE43" s="380" t="e">
        <f t="shared" si="219"/>
        <v>#N/A</v>
      </c>
      <c r="TJF43" s="380" t="e">
        <f t="shared" si="219"/>
        <v>#N/A</v>
      </c>
      <c r="TJG43" s="380" t="e">
        <f t="shared" si="219"/>
        <v>#N/A</v>
      </c>
      <c r="TJH43" s="380" t="e">
        <f t="shared" si="219"/>
        <v>#N/A</v>
      </c>
      <c r="TJI43" s="380" t="e">
        <f t="shared" si="219"/>
        <v>#N/A</v>
      </c>
      <c r="TJJ43" s="380" t="e">
        <f t="shared" si="219"/>
        <v>#N/A</v>
      </c>
      <c r="TJK43" s="380" t="e">
        <f t="shared" si="219"/>
        <v>#N/A</v>
      </c>
      <c r="TJL43" s="380" t="e">
        <f t="shared" si="219"/>
        <v>#N/A</v>
      </c>
      <c r="TJM43" s="380" t="e">
        <f t="shared" si="219"/>
        <v>#N/A</v>
      </c>
      <c r="TJN43" s="380" t="e">
        <f t="shared" si="219"/>
        <v>#N/A</v>
      </c>
      <c r="TJO43" s="380" t="e">
        <f t="shared" si="219"/>
        <v>#N/A</v>
      </c>
      <c r="TJP43" s="380" t="e">
        <f t="shared" si="219"/>
        <v>#N/A</v>
      </c>
      <c r="TJQ43" s="380" t="e">
        <f t="shared" si="219"/>
        <v>#N/A</v>
      </c>
      <c r="TJR43" s="380" t="e">
        <f t="shared" si="219"/>
        <v>#N/A</v>
      </c>
      <c r="TJS43" s="380" t="e">
        <f t="shared" si="219"/>
        <v>#N/A</v>
      </c>
      <c r="TJT43" s="380" t="e">
        <f t="shared" si="219"/>
        <v>#N/A</v>
      </c>
      <c r="TJU43" s="380" t="e">
        <f t="shared" si="219"/>
        <v>#N/A</v>
      </c>
      <c r="TJV43" s="380" t="e">
        <f t="shared" si="219"/>
        <v>#N/A</v>
      </c>
      <c r="TJW43" s="380" t="e">
        <f t="shared" si="219"/>
        <v>#N/A</v>
      </c>
      <c r="TJX43" s="380" t="e">
        <f t="shared" si="219"/>
        <v>#N/A</v>
      </c>
      <c r="TJY43" s="380" t="e">
        <f t="shared" si="219"/>
        <v>#N/A</v>
      </c>
      <c r="TJZ43" s="380" t="e">
        <f t="shared" si="219"/>
        <v>#N/A</v>
      </c>
      <c r="TKA43" s="380" t="e">
        <f t="shared" si="219"/>
        <v>#N/A</v>
      </c>
      <c r="TKB43" s="380" t="e">
        <f t="shared" si="219"/>
        <v>#N/A</v>
      </c>
      <c r="TKC43" s="380" t="e">
        <f t="shared" si="219"/>
        <v>#N/A</v>
      </c>
      <c r="TKD43" s="380" t="e">
        <f t="shared" si="219"/>
        <v>#N/A</v>
      </c>
      <c r="TKE43" s="380" t="e">
        <f t="shared" si="219"/>
        <v>#N/A</v>
      </c>
      <c r="TKF43" s="380" t="e">
        <f t="shared" si="219"/>
        <v>#N/A</v>
      </c>
      <c r="TKG43" s="380" t="e">
        <f t="shared" si="219"/>
        <v>#N/A</v>
      </c>
      <c r="TKH43" s="380" t="e">
        <f t="shared" si="219"/>
        <v>#N/A</v>
      </c>
      <c r="TKI43" s="380" t="e">
        <f t="shared" si="219"/>
        <v>#N/A</v>
      </c>
      <c r="TKJ43" s="380" t="e">
        <f t="shared" si="219"/>
        <v>#N/A</v>
      </c>
      <c r="TKK43" s="380" t="e">
        <f t="shared" si="219"/>
        <v>#N/A</v>
      </c>
      <c r="TKL43" s="380" t="e">
        <f t="shared" si="219"/>
        <v>#N/A</v>
      </c>
      <c r="TKM43" s="380" t="e">
        <f t="shared" si="219"/>
        <v>#N/A</v>
      </c>
      <c r="TKN43" s="380" t="e">
        <f t="shared" si="219"/>
        <v>#N/A</v>
      </c>
      <c r="TKO43" s="380" t="e">
        <f t="shared" si="219"/>
        <v>#N/A</v>
      </c>
      <c r="TKP43" s="380" t="e">
        <f t="shared" si="219"/>
        <v>#N/A</v>
      </c>
      <c r="TKQ43" s="380" t="e">
        <f t="shared" si="219"/>
        <v>#N/A</v>
      </c>
      <c r="TKR43" s="380" t="e">
        <f t="shared" si="219"/>
        <v>#N/A</v>
      </c>
      <c r="TKS43" s="380" t="e">
        <f t="shared" si="219"/>
        <v>#N/A</v>
      </c>
      <c r="TKT43" s="380" t="e">
        <f t="shared" si="219"/>
        <v>#N/A</v>
      </c>
      <c r="TKU43" s="380" t="e">
        <f t="shared" si="219"/>
        <v>#N/A</v>
      </c>
      <c r="TKV43" s="380" t="e">
        <f t="shared" si="219"/>
        <v>#N/A</v>
      </c>
      <c r="TKW43" s="380" t="e">
        <f t="shared" si="219"/>
        <v>#N/A</v>
      </c>
      <c r="TKX43" s="380" t="e">
        <f t="shared" si="219"/>
        <v>#N/A</v>
      </c>
      <c r="TKY43" s="380" t="e">
        <f t="shared" si="219"/>
        <v>#N/A</v>
      </c>
      <c r="TKZ43" s="380" t="e">
        <f t="shared" ref="TKZ43:TNK43" si="220">INDEX(TKZ7:TKZ40,MATCH($E$43,$E$7:$E$40,0))</f>
        <v>#N/A</v>
      </c>
      <c r="TLA43" s="380" t="e">
        <f t="shared" si="220"/>
        <v>#N/A</v>
      </c>
      <c r="TLB43" s="380" t="e">
        <f t="shared" si="220"/>
        <v>#N/A</v>
      </c>
      <c r="TLC43" s="380" t="e">
        <f t="shared" si="220"/>
        <v>#N/A</v>
      </c>
      <c r="TLD43" s="380" t="e">
        <f t="shared" si="220"/>
        <v>#N/A</v>
      </c>
      <c r="TLE43" s="380" t="e">
        <f t="shared" si="220"/>
        <v>#N/A</v>
      </c>
      <c r="TLF43" s="380" t="e">
        <f t="shared" si="220"/>
        <v>#N/A</v>
      </c>
      <c r="TLG43" s="380" t="e">
        <f t="shared" si="220"/>
        <v>#N/A</v>
      </c>
      <c r="TLH43" s="380" t="e">
        <f t="shared" si="220"/>
        <v>#N/A</v>
      </c>
      <c r="TLI43" s="380" t="e">
        <f t="shared" si="220"/>
        <v>#N/A</v>
      </c>
      <c r="TLJ43" s="380" t="e">
        <f t="shared" si="220"/>
        <v>#N/A</v>
      </c>
      <c r="TLK43" s="380" t="e">
        <f t="shared" si="220"/>
        <v>#N/A</v>
      </c>
      <c r="TLL43" s="380" t="e">
        <f t="shared" si="220"/>
        <v>#N/A</v>
      </c>
      <c r="TLM43" s="380" t="e">
        <f t="shared" si="220"/>
        <v>#N/A</v>
      </c>
      <c r="TLN43" s="380" t="e">
        <f t="shared" si="220"/>
        <v>#N/A</v>
      </c>
      <c r="TLO43" s="380" t="e">
        <f t="shared" si="220"/>
        <v>#N/A</v>
      </c>
      <c r="TLP43" s="380" t="e">
        <f t="shared" si="220"/>
        <v>#N/A</v>
      </c>
      <c r="TLQ43" s="380" t="e">
        <f t="shared" si="220"/>
        <v>#N/A</v>
      </c>
      <c r="TLR43" s="380" t="e">
        <f t="shared" si="220"/>
        <v>#N/A</v>
      </c>
      <c r="TLS43" s="380" t="e">
        <f t="shared" si="220"/>
        <v>#N/A</v>
      </c>
      <c r="TLT43" s="380" t="e">
        <f t="shared" si="220"/>
        <v>#N/A</v>
      </c>
      <c r="TLU43" s="380" t="e">
        <f t="shared" si="220"/>
        <v>#N/A</v>
      </c>
      <c r="TLV43" s="380" t="e">
        <f t="shared" si="220"/>
        <v>#N/A</v>
      </c>
      <c r="TLW43" s="380" t="e">
        <f t="shared" si="220"/>
        <v>#N/A</v>
      </c>
      <c r="TLX43" s="380" t="e">
        <f t="shared" si="220"/>
        <v>#N/A</v>
      </c>
      <c r="TLY43" s="380" t="e">
        <f t="shared" si="220"/>
        <v>#N/A</v>
      </c>
      <c r="TLZ43" s="380" t="e">
        <f t="shared" si="220"/>
        <v>#N/A</v>
      </c>
      <c r="TMA43" s="380" t="e">
        <f t="shared" si="220"/>
        <v>#N/A</v>
      </c>
      <c r="TMB43" s="380" t="e">
        <f t="shared" si="220"/>
        <v>#N/A</v>
      </c>
      <c r="TMC43" s="380" t="e">
        <f t="shared" si="220"/>
        <v>#N/A</v>
      </c>
      <c r="TMD43" s="380" t="e">
        <f t="shared" si="220"/>
        <v>#N/A</v>
      </c>
      <c r="TME43" s="380" t="e">
        <f t="shared" si="220"/>
        <v>#N/A</v>
      </c>
      <c r="TMF43" s="380" t="e">
        <f t="shared" si="220"/>
        <v>#N/A</v>
      </c>
      <c r="TMG43" s="380" t="e">
        <f t="shared" si="220"/>
        <v>#N/A</v>
      </c>
      <c r="TMH43" s="380" t="e">
        <f t="shared" si="220"/>
        <v>#N/A</v>
      </c>
      <c r="TMI43" s="380" t="e">
        <f t="shared" si="220"/>
        <v>#N/A</v>
      </c>
      <c r="TMJ43" s="380" t="e">
        <f t="shared" si="220"/>
        <v>#N/A</v>
      </c>
      <c r="TMK43" s="380" t="e">
        <f t="shared" si="220"/>
        <v>#N/A</v>
      </c>
      <c r="TML43" s="380" t="e">
        <f t="shared" si="220"/>
        <v>#N/A</v>
      </c>
      <c r="TMM43" s="380" t="e">
        <f t="shared" si="220"/>
        <v>#N/A</v>
      </c>
      <c r="TMN43" s="380" t="e">
        <f t="shared" si="220"/>
        <v>#N/A</v>
      </c>
      <c r="TMO43" s="380" t="e">
        <f t="shared" si="220"/>
        <v>#N/A</v>
      </c>
      <c r="TMP43" s="380" t="e">
        <f t="shared" si="220"/>
        <v>#N/A</v>
      </c>
      <c r="TMQ43" s="380" t="e">
        <f t="shared" si="220"/>
        <v>#N/A</v>
      </c>
      <c r="TMR43" s="380" t="e">
        <f t="shared" si="220"/>
        <v>#N/A</v>
      </c>
      <c r="TMS43" s="380" t="e">
        <f t="shared" si="220"/>
        <v>#N/A</v>
      </c>
      <c r="TMT43" s="380" t="e">
        <f t="shared" si="220"/>
        <v>#N/A</v>
      </c>
      <c r="TMU43" s="380" t="e">
        <f t="shared" si="220"/>
        <v>#N/A</v>
      </c>
      <c r="TMV43" s="380" t="e">
        <f t="shared" si="220"/>
        <v>#N/A</v>
      </c>
      <c r="TMW43" s="380" t="e">
        <f t="shared" si="220"/>
        <v>#N/A</v>
      </c>
      <c r="TMX43" s="380" t="e">
        <f t="shared" si="220"/>
        <v>#N/A</v>
      </c>
      <c r="TMY43" s="380" t="e">
        <f t="shared" si="220"/>
        <v>#N/A</v>
      </c>
      <c r="TMZ43" s="380" t="e">
        <f t="shared" si="220"/>
        <v>#N/A</v>
      </c>
      <c r="TNA43" s="380" t="e">
        <f t="shared" si="220"/>
        <v>#N/A</v>
      </c>
      <c r="TNB43" s="380" t="e">
        <f t="shared" si="220"/>
        <v>#N/A</v>
      </c>
      <c r="TNC43" s="380" t="e">
        <f t="shared" si="220"/>
        <v>#N/A</v>
      </c>
      <c r="TND43" s="380" t="e">
        <f t="shared" si="220"/>
        <v>#N/A</v>
      </c>
      <c r="TNE43" s="380" t="e">
        <f t="shared" si="220"/>
        <v>#N/A</v>
      </c>
      <c r="TNF43" s="380" t="e">
        <f t="shared" si="220"/>
        <v>#N/A</v>
      </c>
      <c r="TNG43" s="380" t="e">
        <f t="shared" si="220"/>
        <v>#N/A</v>
      </c>
      <c r="TNH43" s="380" t="e">
        <f t="shared" si="220"/>
        <v>#N/A</v>
      </c>
      <c r="TNI43" s="380" t="e">
        <f t="shared" si="220"/>
        <v>#N/A</v>
      </c>
      <c r="TNJ43" s="380" t="e">
        <f t="shared" si="220"/>
        <v>#N/A</v>
      </c>
      <c r="TNK43" s="380" t="e">
        <f t="shared" si="220"/>
        <v>#N/A</v>
      </c>
      <c r="TNL43" s="380" t="e">
        <f t="shared" ref="TNL43:TPW43" si="221">INDEX(TNL7:TNL40,MATCH($E$43,$E$7:$E$40,0))</f>
        <v>#N/A</v>
      </c>
      <c r="TNM43" s="380" t="e">
        <f t="shared" si="221"/>
        <v>#N/A</v>
      </c>
      <c r="TNN43" s="380" t="e">
        <f t="shared" si="221"/>
        <v>#N/A</v>
      </c>
      <c r="TNO43" s="380" t="e">
        <f t="shared" si="221"/>
        <v>#N/A</v>
      </c>
      <c r="TNP43" s="380" t="e">
        <f t="shared" si="221"/>
        <v>#N/A</v>
      </c>
      <c r="TNQ43" s="380" t="e">
        <f t="shared" si="221"/>
        <v>#N/A</v>
      </c>
      <c r="TNR43" s="380" t="e">
        <f t="shared" si="221"/>
        <v>#N/A</v>
      </c>
      <c r="TNS43" s="380" t="e">
        <f t="shared" si="221"/>
        <v>#N/A</v>
      </c>
      <c r="TNT43" s="380" t="e">
        <f t="shared" si="221"/>
        <v>#N/A</v>
      </c>
      <c r="TNU43" s="380" t="e">
        <f t="shared" si="221"/>
        <v>#N/A</v>
      </c>
      <c r="TNV43" s="380" t="e">
        <f t="shared" si="221"/>
        <v>#N/A</v>
      </c>
      <c r="TNW43" s="380" t="e">
        <f t="shared" si="221"/>
        <v>#N/A</v>
      </c>
      <c r="TNX43" s="380" t="e">
        <f t="shared" si="221"/>
        <v>#N/A</v>
      </c>
      <c r="TNY43" s="380" t="e">
        <f t="shared" si="221"/>
        <v>#N/A</v>
      </c>
      <c r="TNZ43" s="380" t="e">
        <f t="shared" si="221"/>
        <v>#N/A</v>
      </c>
      <c r="TOA43" s="380" t="e">
        <f t="shared" si="221"/>
        <v>#N/A</v>
      </c>
      <c r="TOB43" s="380" t="e">
        <f t="shared" si="221"/>
        <v>#N/A</v>
      </c>
      <c r="TOC43" s="380" t="e">
        <f t="shared" si="221"/>
        <v>#N/A</v>
      </c>
      <c r="TOD43" s="380" t="e">
        <f t="shared" si="221"/>
        <v>#N/A</v>
      </c>
      <c r="TOE43" s="380" t="e">
        <f t="shared" si="221"/>
        <v>#N/A</v>
      </c>
      <c r="TOF43" s="380" t="e">
        <f t="shared" si="221"/>
        <v>#N/A</v>
      </c>
      <c r="TOG43" s="380" t="e">
        <f t="shared" si="221"/>
        <v>#N/A</v>
      </c>
      <c r="TOH43" s="380" t="e">
        <f t="shared" si="221"/>
        <v>#N/A</v>
      </c>
      <c r="TOI43" s="380" t="e">
        <f t="shared" si="221"/>
        <v>#N/A</v>
      </c>
      <c r="TOJ43" s="380" t="e">
        <f t="shared" si="221"/>
        <v>#N/A</v>
      </c>
      <c r="TOK43" s="380" t="e">
        <f t="shared" si="221"/>
        <v>#N/A</v>
      </c>
      <c r="TOL43" s="380" t="e">
        <f t="shared" si="221"/>
        <v>#N/A</v>
      </c>
      <c r="TOM43" s="380" t="e">
        <f t="shared" si="221"/>
        <v>#N/A</v>
      </c>
      <c r="TON43" s="380" t="e">
        <f t="shared" si="221"/>
        <v>#N/A</v>
      </c>
      <c r="TOO43" s="380" t="e">
        <f t="shared" si="221"/>
        <v>#N/A</v>
      </c>
      <c r="TOP43" s="380" t="e">
        <f t="shared" si="221"/>
        <v>#N/A</v>
      </c>
      <c r="TOQ43" s="380" t="e">
        <f t="shared" si="221"/>
        <v>#N/A</v>
      </c>
      <c r="TOR43" s="380" t="e">
        <f t="shared" si="221"/>
        <v>#N/A</v>
      </c>
      <c r="TOS43" s="380" t="e">
        <f t="shared" si="221"/>
        <v>#N/A</v>
      </c>
      <c r="TOT43" s="380" t="e">
        <f t="shared" si="221"/>
        <v>#N/A</v>
      </c>
      <c r="TOU43" s="380" t="e">
        <f t="shared" si="221"/>
        <v>#N/A</v>
      </c>
      <c r="TOV43" s="380" t="e">
        <f t="shared" si="221"/>
        <v>#N/A</v>
      </c>
      <c r="TOW43" s="380" t="e">
        <f t="shared" si="221"/>
        <v>#N/A</v>
      </c>
      <c r="TOX43" s="380" t="e">
        <f t="shared" si="221"/>
        <v>#N/A</v>
      </c>
      <c r="TOY43" s="380" t="e">
        <f t="shared" si="221"/>
        <v>#N/A</v>
      </c>
      <c r="TOZ43" s="380" t="e">
        <f t="shared" si="221"/>
        <v>#N/A</v>
      </c>
      <c r="TPA43" s="380" t="e">
        <f t="shared" si="221"/>
        <v>#N/A</v>
      </c>
      <c r="TPB43" s="380" t="e">
        <f t="shared" si="221"/>
        <v>#N/A</v>
      </c>
      <c r="TPC43" s="380" t="e">
        <f t="shared" si="221"/>
        <v>#N/A</v>
      </c>
      <c r="TPD43" s="380" t="e">
        <f t="shared" si="221"/>
        <v>#N/A</v>
      </c>
      <c r="TPE43" s="380" t="e">
        <f t="shared" si="221"/>
        <v>#N/A</v>
      </c>
      <c r="TPF43" s="380" t="e">
        <f t="shared" si="221"/>
        <v>#N/A</v>
      </c>
      <c r="TPG43" s="380" t="e">
        <f t="shared" si="221"/>
        <v>#N/A</v>
      </c>
      <c r="TPH43" s="380" t="e">
        <f t="shared" si="221"/>
        <v>#N/A</v>
      </c>
      <c r="TPI43" s="380" t="e">
        <f t="shared" si="221"/>
        <v>#N/A</v>
      </c>
      <c r="TPJ43" s="380" t="e">
        <f t="shared" si="221"/>
        <v>#N/A</v>
      </c>
      <c r="TPK43" s="380" t="e">
        <f t="shared" si="221"/>
        <v>#N/A</v>
      </c>
      <c r="TPL43" s="380" t="e">
        <f t="shared" si="221"/>
        <v>#N/A</v>
      </c>
      <c r="TPM43" s="380" t="e">
        <f t="shared" si="221"/>
        <v>#N/A</v>
      </c>
      <c r="TPN43" s="380" t="e">
        <f t="shared" si="221"/>
        <v>#N/A</v>
      </c>
      <c r="TPO43" s="380" t="e">
        <f t="shared" si="221"/>
        <v>#N/A</v>
      </c>
      <c r="TPP43" s="380" t="e">
        <f t="shared" si="221"/>
        <v>#N/A</v>
      </c>
      <c r="TPQ43" s="380" t="e">
        <f t="shared" si="221"/>
        <v>#N/A</v>
      </c>
      <c r="TPR43" s="380" t="e">
        <f t="shared" si="221"/>
        <v>#N/A</v>
      </c>
      <c r="TPS43" s="380" t="e">
        <f t="shared" si="221"/>
        <v>#N/A</v>
      </c>
      <c r="TPT43" s="380" t="e">
        <f t="shared" si="221"/>
        <v>#N/A</v>
      </c>
      <c r="TPU43" s="380" t="e">
        <f t="shared" si="221"/>
        <v>#N/A</v>
      </c>
      <c r="TPV43" s="380" t="e">
        <f t="shared" si="221"/>
        <v>#N/A</v>
      </c>
      <c r="TPW43" s="380" t="e">
        <f t="shared" si="221"/>
        <v>#N/A</v>
      </c>
      <c r="TPX43" s="380" t="e">
        <f t="shared" ref="TPX43:TSI43" si="222">INDEX(TPX7:TPX40,MATCH($E$43,$E$7:$E$40,0))</f>
        <v>#N/A</v>
      </c>
      <c r="TPY43" s="380" t="e">
        <f t="shared" si="222"/>
        <v>#N/A</v>
      </c>
      <c r="TPZ43" s="380" t="e">
        <f t="shared" si="222"/>
        <v>#N/A</v>
      </c>
      <c r="TQA43" s="380" t="e">
        <f t="shared" si="222"/>
        <v>#N/A</v>
      </c>
      <c r="TQB43" s="380" t="e">
        <f t="shared" si="222"/>
        <v>#N/A</v>
      </c>
      <c r="TQC43" s="380" t="e">
        <f t="shared" si="222"/>
        <v>#N/A</v>
      </c>
      <c r="TQD43" s="380" t="e">
        <f t="shared" si="222"/>
        <v>#N/A</v>
      </c>
      <c r="TQE43" s="380" t="e">
        <f t="shared" si="222"/>
        <v>#N/A</v>
      </c>
      <c r="TQF43" s="380" t="e">
        <f t="shared" si="222"/>
        <v>#N/A</v>
      </c>
      <c r="TQG43" s="380" t="e">
        <f t="shared" si="222"/>
        <v>#N/A</v>
      </c>
      <c r="TQH43" s="380" t="e">
        <f t="shared" si="222"/>
        <v>#N/A</v>
      </c>
      <c r="TQI43" s="380" t="e">
        <f t="shared" si="222"/>
        <v>#N/A</v>
      </c>
      <c r="TQJ43" s="380" t="e">
        <f t="shared" si="222"/>
        <v>#N/A</v>
      </c>
      <c r="TQK43" s="380" t="e">
        <f t="shared" si="222"/>
        <v>#N/A</v>
      </c>
      <c r="TQL43" s="380" t="e">
        <f t="shared" si="222"/>
        <v>#N/A</v>
      </c>
      <c r="TQM43" s="380" t="e">
        <f t="shared" si="222"/>
        <v>#N/A</v>
      </c>
      <c r="TQN43" s="380" t="e">
        <f t="shared" si="222"/>
        <v>#N/A</v>
      </c>
      <c r="TQO43" s="380" t="e">
        <f t="shared" si="222"/>
        <v>#N/A</v>
      </c>
      <c r="TQP43" s="380" t="e">
        <f t="shared" si="222"/>
        <v>#N/A</v>
      </c>
      <c r="TQQ43" s="380" t="e">
        <f t="shared" si="222"/>
        <v>#N/A</v>
      </c>
      <c r="TQR43" s="380" t="e">
        <f t="shared" si="222"/>
        <v>#N/A</v>
      </c>
      <c r="TQS43" s="380" t="e">
        <f t="shared" si="222"/>
        <v>#N/A</v>
      </c>
      <c r="TQT43" s="380" t="e">
        <f t="shared" si="222"/>
        <v>#N/A</v>
      </c>
      <c r="TQU43" s="380" t="e">
        <f t="shared" si="222"/>
        <v>#N/A</v>
      </c>
      <c r="TQV43" s="380" t="e">
        <f t="shared" si="222"/>
        <v>#N/A</v>
      </c>
      <c r="TQW43" s="380" t="e">
        <f t="shared" si="222"/>
        <v>#N/A</v>
      </c>
      <c r="TQX43" s="380" t="e">
        <f t="shared" si="222"/>
        <v>#N/A</v>
      </c>
      <c r="TQY43" s="380" t="e">
        <f t="shared" si="222"/>
        <v>#N/A</v>
      </c>
      <c r="TQZ43" s="380" t="e">
        <f t="shared" si="222"/>
        <v>#N/A</v>
      </c>
      <c r="TRA43" s="380" t="e">
        <f t="shared" si="222"/>
        <v>#N/A</v>
      </c>
      <c r="TRB43" s="380" t="e">
        <f t="shared" si="222"/>
        <v>#N/A</v>
      </c>
      <c r="TRC43" s="380" t="e">
        <f t="shared" si="222"/>
        <v>#N/A</v>
      </c>
      <c r="TRD43" s="380" t="e">
        <f t="shared" si="222"/>
        <v>#N/A</v>
      </c>
      <c r="TRE43" s="380" t="e">
        <f t="shared" si="222"/>
        <v>#N/A</v>
      </c>
      <c r="TRF43" s="380" t="e">
        <f t="shared" si="222"/>
        <v>#N/A</v>
      </c>
      <c r="TRG43" s="380" t="e">
        <f t="shared" si="222"/>
        <v>#N/A</v>
      </c>
      <c r="TRH43" s="380" t="e">
        <f t="shared" si="222"/>
        <v>#N/A</v>
      </c>
      <c r="TRI43" s="380" t="e">
        <f t="shared" si="222"/>
        <v>#N/A</v>
      </c>
      <c r="TRJ43" s="380" t="e">
        <f t="shared" si="222"/>
        <v>#N/A</v>
      </c>
      <c r="TRK43" s="380" t="e">
        <f t="shared" si="222"/>
        <v>#N/A</v>
      </c>
      <c r="TRL43" s="380" t="e">
        <f t="shared" si="222"/>
        <v>#N/A</v>
      </c>
      <c r="TRM43" s="380" t="e">
        <f t="shared" si="222"/>
        <v>#N/A</v>
      </c>
      <c r="TRN43" s="380" t="e">
        <f t="shared" si="222"/>
        <v>#N/A</v>
      </c>
      <c r="TRO43" s="380" t="e">
        <f t="shared" si="222"/>
        <v>#N/A</v>
      </c>
      <c r="TRP43" s="380" t="e">
        <f t="shared" si="222"/>
        <v>#N/A</v>
      </c>
      <c r="TRQ43" s="380" t="e">
        <f t="shared" si="222"/>
        <v>#N/A</v>
      </c>
      <c r="TRR43" s="380" t="e">
        <f t="shared" si="222"/>
        <v>#N/A</v>
      </c>
      <c r="TRS43" s="380" t="e">
        <f t="shared" si="222"/>
        <v>#N/A</v>
      </c>
      <c r="TRT43" s="380" t="e">
        <f t="shared" si="222"/>
        <v>#N/A</v>
      </c>
      <c r="TRU43" s="380" t="e">
        <f t="shared" si="222"/>
        <v>#N/A</v>
      </c>
      <c r="TRV43" s="380" t="e">
        <f t="shared" si="222"/>
        <v>#N/A</v>
      </c>
      <c r="TRW43" s="380" t="e">
        <f t="shared" si="222"/>
        <v>#N/A</v>
      </c>
      <c r="TRX43" s="380" t="e">
        <f t="shared" si="222"/>
        <v>#N/A</v>
      </c>
      <c r="TRY43" s="380" t="e">
        <f t="shared" si="222"/>
        <v>#N/A</v>
      </c>
      <c r="TRZ43" s="380" t="e">
        <f t="shared" si="222"/>
        <v>#N/A</v>
      </c>
      <c r="TSA43" s="380" t="e">
        <f t="shared" si="222"/>
        <v>#N/A</v>
      </c>
      <c r="TSB43" s="380" t="e">
        <f t="shared" si="222"/>
        <v>#N/A</v>
      </c>
      <c r="TSC43" s="380" t="e">
        <f t="shared" si="222"/>
        <v>#N/A</v>
      </c>
      <c r="TSD43" s="380" t="e">
        <f t="shared" si="222"/>
        <v>#N/A</v>
      </c>
      <c r="TSE43" s="380" t="e">
        <f t="shared" si="222"/>
        <v>#N/A</v>
      </c>
      <c r="TSF43" s="380" t="e">
        <f t="shared" si="222"/>
        <v>#N/A</v>
      </c>
      <c r="TSG43" s="380" t="e">
        <f t="shared" si="222"/>
        <v>#N/A</v>
      </c>
      <c r="TSH43" s="380" t="e">
        <f t="shared" si="222"/>
        <v>#N/A</v>
      </c>
      <c r="TSI43" s="380" t="e">
        <f t="shared" si="222"/>
        <v>#N/A</v>
      </c>
      <c r="TSJ43" s="380" t="e">
        <f t="shared" ref="TSJ43:TUU43" si="223">INDEX(TSJ7:TSJ40,MATCH($E$43,$E$7:$E$40,0))</f>
        <v>#N/A</v>
      </c>
      <c r="TSK43" s="380" t="e">
        <f t="shared" si="223"/>
        <v>#N/A</v>
      </c>
      <c r="TSL43" s="380" t="e">
        <f t="shared" si="223"/>
        <v>#N/A</v>
      </c>
      <c r="TSM43" s="380" t="e">
        <f t="shared" si="223"/>
        <v>#N/A</v>
      </c>
      <c r="TSN43" s="380" t="e">
        <f t="shared" si="223"/>
        <v>#N/A</v>
      </c>
      <c r="TSO43" s="380" t="e">
        <f t="shared" si="223"/>
        <v>#N/A</v>
      </c>
      <c r="TSP43" s="380" t="e">
        <f t="shared" si="223"/>
        <v>#N/A</v>
      </c>
      <c r="TSQ43" s="380" t="e">
        <f t="shared" si="223"/>
        <v>#N/A</v>
      </c>
      <c r="TSR43" s="380" t="e">
        <f t="shared" si="223"/>
        <v>#N/A</v>
      </c>
      <c r="TSS43" s="380" t="e">
        <f t="shared" si="223"/>
        <v>#N/A</v>
      </c>
      <c r="TST43" s="380" t="e">
        <f t="shared" si="223"/>
        <v>#N/A</v>
      </c>
      <c r="TSU43" s="380" t="e">
        <f t="shared" si="223"/>
        <v>#N/A</v>
      </c>
      <c r="TSV43" s="380" t="e">
        <f t="shared" si="223"/>
        <v>#N/A</v>
      </c>
      <c r="TSW43" s="380" t="e">
        <f t="shared" si="223"/>
        <v>#N/A</v>
      </c>
      <c r="TSX43" s="380" t="e">
        <f t="shared" si="223"/>
        <v>#N/A</v>
      </c>
      <c r="TSY43" s="380" t="e">
        <f t="shared" si="223"/>
        <v>#N/A</v>
      </c>
      <c r="TSZ43" s="380" t="e">
        <f t="shared" si="223"/>
        <v>#N/A</v>
      </c>
      <c r="TTA43" s="380" t="e">
        <f t="shared" si="223"/>
        <v>#N/A</v>
      </c>
      <c r="TTB43" s="380" t="e">
        <f t="shared" si="223"/>
        <v>#N/A</v>
      </c>
      <c r="TTC43" s="380" t="e">
        <f t="shared" si="223"/>
        <v>#N/A</v>
      </c>
      <c r="TTD43" s="380" t="e">
        <f t="shared" si="223"/>
        <v>#N/A</v>
      </c>
      <c r="TTE43" s="380" t="e">
        <f t="shared" si="223"/>
        <v>#N/A</v>
      </c>
      <c r="TTF43" s="380" t="e">
        <f t="shared" si="223"/>
        <v>#N/A</v>
      </c>
      <c r="TTG43" s="380" t="e">
        <f t="shared" si="223"/>
        <v>#N/A</v>
      </c>
      <c r="TTH43" s="380" t="e">
        <f t="shared" si="223"/>
        <v>#N/A</v>
      </c>
      <c r="TTI43" s="380" t="e">
        <f t="shared" si="223"/>
        <v>#N/A</v>
      </c>
      <c r="TTJ43" s="380" t="e">
        <f t="shared" si="223"/>
        <v>#N/A</v>
      </c>
      <c r="TTK43" s="380" t="e">
        <f t="shared" si="223"/>
        <v>#N/A</v>
      </c>
      <c r="TTL43" s="380" t="e">
        <f t="shared" si="223"/>
        <v>#N/A</v>
      </c>
      <c r="TTM43" s="380" t="e">
        <f t="shared" si="223"/>
        <v>#N/A</v>
      </c>
      <c r="TTN43" s="380" t="e">
        <f t="shared" si="223"/>
        <v>#N/A</v>
      </c>
      <c r="TTO43" s="380" t="e">
        <f t="shared" si="223"/>
        <v>#N/A</v>
      </c>
      <c r="TTP43" s="380" t="e">
        <f t="shared" si="223"/>
        <v>#N/A</v>
      </c>
      <c r="TTQ43" s="380" t="e">
        <f t="shared" si="223"/>
        <v>#N/A</v>
      </c>
      <c r="TTR43" s="380" t="e">
        <f t="shared" si="223"/>
        <v>#N/A</v>
      </c>
      <c r="TTS43" s="380" t="e">
        <f t="shared" si="223"/>
        <v>#N/A</v>
      </c>
      <c r="TTT43" s="380" t="e">
        <f t="shared" si="223"/>
        <v>#N/A</v>
      </c>
      <c r="TTU43" s="380" t="e">
        <f t="shared" si="223"/>
        <v>#N/A</v>
      </c>
      <c r="TTV43" s="380" t="e">
        <f t="shared" si="223"/>
        <v>#N/A</v>
      </c>
      <c r="TTW43" s="380" t="e">
        <f t="shared" si="223"/>
        <v>#N/A</v>
      </c>
      <c r="TTX43" s="380" t="e">
        <f t="shared" si="223"/>
        <v>#N/A</v>
      </c>
      <c r="TTY43" s="380" t="e">
        <f t="shared" si="223"/>
        <v>#N/A</v>
      </c>
      <c r="TTZ43" s="380" t="e">
        <f t="shared" si="223"/>
        <v>#N/A</v>
      </c>
      <c r="TUA43" s="380" t="e">
        <f t="shared" si="223"/>
        <v>#N/A</v>
      </c>
      <c r="TUB43" s="380" t="e">
        <f t="shared" si="223"/>
        <v>#N/A</v>
      </c>
      <c r="TUC43" s="380" t="e">
        <f t="shared" si="223"/>
        <v>#N/A</v>
      </c>
      <c r="TUD43" s="380" t="e">
        <f t="shared" si="223"/>
        <v>#N/A</v>
      </c>
      <c r="TUE43" s="380" t="e">
        <f t="shared" si="223"/>
        <v>#N/A</v>
      </c>
      <c r="TUF43" s="380" t="e">
        <f t="shared" si="223"/>
        <v>#N/A</v>
      </c>
      <c r="TUG43" s="380" t="e">
        <f t="shared" si="223"/>
        <v>#N/A</v>
      </c>
      <c r="TUH43" s="380" t="e">
        <f t="shared" si="223"/>
        <v>#N/A</v>
      </c>
      <c r="TUI43" s="380" t="e">
        <f t="shared" si="223"/>
        <v>#N/A</v>
      </c>
      <c r="TUJ43" s="380" t="e">
        <f t="shared" si="223"/>
        <v>#N/A</v>
      </c>
      <c r="TUK43" s="380" t="e">
        <f t="shared" si="223"/>
        <v>#N/A</v>
      </c>
      <c r="TUL43" s="380" t="e">
        <f t="shared" si="223"/>
        <v>#N/A</v>
      </c>
      <c r="TUM43" s="380" t="e">
        <f t="shared" si="223"/>
        <v>#N/A</v>
      </c>
      <c r="TUN43" s="380" t="e">
        <f t="shared" si="223"/>
        <v>#N/A</v>
      </c>
      <c r="TUO43" s="380" t="e">
        <f t="shared" si="223"/>
        <v>#N/A</v>
      </c>
      <c r="TUP43" s="380" t="e">
        <f t="shared" si="223"/>
        <v>#N/A</v>
      </c>
      <c r="TUQ43" s="380" t="e">
        <f t="shared" si="223"/>
        <v>#N/A</v>
      </c>
      <c r="TUR43" s="380" t="e">
        <f t="shared" si="223"/>
        <v>#N/A</v>
      </c>
      <c r="TUS43" s="380" t="e">
        <f t="shared" si="223"/>
        <v>#N/A</v>
      </c>
      <c r="TUT43" s="380" t="e">
        <f t="shared" si="223"/>
        <v>#N/A</v>
      </c>
      <c r="TUU43" s="380" t="e">
        <f t="shared" si="223"/>
        <v>#N/A</v>
      </c>
      <c r="TUV43" s="380" t="e">
        <f t="shared" ref="TUV43:TXG43" si="224">INDEX(TUV7:TUV40,MATCH($E$43,$E$7:$E$40,0))</f>
        <v>#N/A</v>
      </c>
      <c r="TUW43" s="380" t="e">
        <f t="shared" si="224"/>
        <v>#N/A</v>
      </c>
      <c r="TUX43" s="380" t="e">
        <f t="shared" si="224"/>
        <v>#N/A</v>
      </c>
      <c r="TUY43" s="380" t="e">
        <f t="shared" si="224"/>
        <v>#N/A</v>
      </c>
      <c r="TUZ43" s="380" t="e">
        <f t="shared" si="224"/>
        <v>#N/A</v>
      </c>
      <c r="TVA43" s="380" t="e">
        <f t="shared" si="224"/>
        <v>#N/A</v>
      </c>
      <c r="TVB43" s="380" t="e">
        <f t="shared" si="224"/>
        <v>#N/A</v>
      </c>
      <c r="TVC43" s="380" t="e">
        <f t="shared" si="224"/>
        <v>#N/A</v>
      </c>
      <c r="TVD43" s="380" t="e">
        <f t="shared" si="224"/>
        <v>#N/A</v>
      </c>
      <c r="TVE43" s="380" t="e">
        <f t="shared" si="224"/>
        <v>#N/A</v>
      </c>
      <c r="TVF43" s="380" t="e">
        <f t="shared" si="224"/>
        <v>#N/A</v>
      </c>
      <c r="TVG43" s="380" t="e">
        <f t="shared" si="224"/>
        <v>#N/A</v>
      </c>
      <c r="TVH43" s="380" t="e">
        <f t="shared" si="224"/>
        <v>#N/A</v>
      </c>
      <c r="TVI43" s="380" t="e">
        <f t="shared" si="224"/>
        <v>#N/A</v>
      </c>
      <c r="TVJ43" s="380" t="e">
        <f t="shared" si="224"/>
        <v>#N/A</v>
      </c>
      <c r="TVK43" s="380" t="e">
        <f t="shared" si="224"/>
        <v>#N/A</v>
      </c>
      <c r="TVL43" s="380" t="e">
        <f t="shared" si="224"/>
        <v>#N/A</v>
      </c>
      <c r="TVM43" s="380" t="e">
        <f t="shared" si="224"/>
        <v>#N/A</v>
      </c>
      <c r="TVN43" s="380" t="e">
        <f t="shared" si="224"/>
        <v>#N/A</v>
      </c>
      <c r="TVO43" s="380" t="e">
        <f t="shared" si="224"/>
        <v>#N/A</v>
      </c>
      <c r="TVP43" s="380" t="e">
        <f t="shared" si="224"/>
        <v>#N/A</v>
      </c>
      <c r="TVQ43" s="380" t="e">
        <f t="shared" si="224"/>
        <v>#N/A</v>
      </c>
      <c r="TVR43" s="380" t="e">
        <f t="shared" si="224"/>
        <v>#N/A</v>
      </c>
      <c r="TVS43" s="380" t="e">
        <f t="shared" si="224"/>
        <v>#N/A</v>
      </c>
      <c r="TVT43" s="380" t="e">
        <f t="shared" si="224"/>
        <v>#N/A</v>
      </c>
      <c r="TVU43" s="380" t="e">
        <f t="shared" si="224"/>
        <v>#N/A</v>
      </c>
      <c r="TVV43" s="380" t="e">
        <f t="shared" si="224"/>
        <v>#N/A</v>
      </c>
      <c r="TVW43" s="380" t="e">
        <f t="shared" si="224"/>
        <v>#N/A</v>
      </c>
      <c r="TVX43" s="380" t="e">
        <f t="shared" si="224"/>
        <v>#N/A</v>
      </c>
      <c r="TVY43" s="380" t="e">
        <f t="shared" si="224"/>
        <v>#N/A</v>
      </c>
      <c r="TVZ43" s="380" t="e">
        <f t="shared" si="224"/>
        <v>#N/A</v>
      </c>
      <c r="TWA43" s="380" t="e">
        <f t="shared" si="224"/>
        <v>#N/A</v>
      </c>
      <c r="TWB43" s="380" t="e">
        <f t="shared" si="224"/>
        <v>#N/A</v>
      </c>
      <c r="TWC43" s="380" t="e">
        <f t="shared" si="224"/>
        <v>#N/A</v>
      </c>
      <c r="TWD43" s="380" t="e">
        <f t="shared" si="224"/>
        <v>#N/A</v>
      </c>
      <c r="TWE43" s="380" t="e">
        <f t="shared" si="224"/>
        <v>#N/A</v>
      </c>
      <c r="TWF43" s="380" t="e">
        <f t="shared" si="224"/>
        <v>#N/A</v>
      </c>
      <c r="TWG43" s="380" t="e">
        <f t="shared" si="224"/>
        <v>#N/A</v>
      </c>
      <c r="TWH43" s="380" t="e">
        <f t="shared" si="224"/>
        <v>#N/A</v>
      </c>
      <c r="TWI43" s="380" t="e">
        <f t="shared" si="224"/>
        <v>#N/A</v>
      </c>
      <c r="TWJ43" s="380" t="e">
        <f t="shared" si="224"/>
        <v>#N/A</v>
      </c>
      <c r="TWK43" s="380" t="e">
        <f t="shared" si="224"/>
        <v>#N/A</v>
      </c>
      <c r="TWL43" s="380" t="e">
        <f t="shared" si="224"/>
        <v>#N/A</v>
      </c>
      <c r="TWM43" s="380" t="e">
        <f t="shared" si="224"/>
        <v>#N/A</v>
      </c>
      <c r="TWN43" s="380" t="e">
        <f t="shared" si="224"/>
        <v>#N/A</v>
      </c>
      <c r="TWO43" s="380" t="e">
        <f t="shared" si="224"/>
        <v>#N/A</v>
      </c>
      <c r="TWP43" s="380" t="e">
        <f t="shared" si="224"/>
        <v>#N/A</v>
      </c>
      <c r="TWQ43" s="380" t="e">
        <f t="shared" si="224"/>
        <v>#N/A</v>
      </c>
      <c r="TWR43" s="380" t="e">
        <f t="shared" si="224"/>
        <v>#N/A</v>
      </c>
      <c r="TWS43" s="380" t="e">
        <f t="shared" si="224"/>
        <v>#N/A</v>
      </c>
      <c r="TWT43" s="380" t="e">
        <f t="shared" si="224"/>
        <v>#N/A</v>
      </c>
      <c r="TWU43" s="380" t="e">
        <f t="shared" si="224"/>
        <v>#N/A</v>
      </c>
      <c r="TWV43" s="380" t="e">
        <f t="shared" si="224"/>
        <v>#N/A</v>
      </c>
      <c r="TWW43" s="380" t="e">
        <f t="shared" si="224"/>
        <v>#N/A</v>
      </c>
      <c r="TWX43" s="380" t="e">
        <f t="shared" si="224"/>
        <v>#N/A</v>
      </c>
      <c r="TWY43" s="380" t="e">
        <f t="shared" si="224"/>
        <v>#N/A</v>
      </c>
      <c r="TWZ43" s="380" t="e">
        <f t="shared" si="224"/>
        <v>#N/A</v>
      </c>
      <c r="TXA43" s="380" t="e">
        <f t="shared" si="224"/>
        <v>#N/A</v>
      </c>
      <c r="TXB43" s="380" t="e">
        <f t="shared" si="224"/>
        <v>#N/A</v>
      </c>
      <c r="TXC43" s="380" t="e">
        <f t="shared" si="224"/>
        <v>#N/A</v>
      </c>
      <c r="TXD43" s="380" t="e">
        <f t="shared" si="224"/>
        <v>#N/A</v>
      </c>
      <c r="TXE43" s="380" t="e">
        <f t="shared" si="224"/>
        <v>#N/A</v>
      </c>
      <c r="TXF43" s="380" t="e">
        <f t="shared" si="224"/>
        <v>#N/A</v>
      </c>
      <c r="TXG43" s="380" t="e">
        <f t="shared" si="224"/>
        <v>#N/A</v>
      </c>
      <c r="TXH43" s="380" t="e">
        <f t="shared" ref="TXH43:TZS43" si="225">INDEX(TXH7:TXH40,MATCH($E$43,$E$7:$E$40,0))</f>
        <v>#N/A</v>
      </c>
      <c r="TXI43" s="380" t="e">
        <f t="shared" si="225"/>
        <v>#N/A</v>
      </c>
      <c r="TXJ43" s="380" t="e">
        <f t="shared" si="225"/>
        <v>#N/A</v>
      </c>
      <c r="TXK43" s="380" t="e">
        <f t="shared" si="225"/>
        <v>#N/A</v>
      </c>
      <c r="TXL43" s="380" t="e">
        <f t="shared" si="225"/>
        <v>#N/A</v>
      </c>
      <c r="TXM43" s="380" t="e">
        <f t="shared" si="225"/>
        <v>#N/A</v>
      </c>
      <c r="TXN43" s="380" t="e">
        <f t="shared" si="225"/>
        <v>#N/A</v>
      </c>
      <c r="TXO43" s="380" t="e">
        <f t="shared" si="225"/>
        <v>#N/A</v>
      </c>
      <c r="TXP43" s="380" t="e">
        <f t="shared" si="225"/>
        <v>#N/A</v>
      </c>
      <c r="TXQ43" s="380" t="e">
        <f t="shared" si="225"/>
        <v>#N/A</v>
      </c>
      <c r="TXR43" s="380" t="e">
        <f t="shared" si="225"/>
        <v>#N/A</v>
      </c>
      <c r="TXS43" s="380" t="e">
        <f t="shared" si="225"/>
        <v>#N/A</v>
      </c>
      <c r="TXT43" s="380" t="e">
        <f t="shared" si="225"/>
        <v>#N/A</v>
      </c>
      <c r="TXU43" s="380" t="e">
        <f t="shared" si="225"/>
        <v>#N/A</v>
      </c>
      <c r="TXV43" s="380" t="e">
        <f t="shared" si="225"/>
        <v>#N/A</v>
      </c>
      <c r="TXW43" s="380" t="e">
        <f t="shared" si="225"/>
        <v>#N/A</v>
      </c>
      <c r="TXX43" s="380" t="e">
        <f t="shared" si="225"/>
        <v>#N/A</v>
      </c>
      <c r="TXY43" s="380" t="e">
        <f t="shared" si="225"/>
        <v>#N/A</v>
      </c>
      <c r="TXZ43" s="380" t="e">
        <f t="shared" si="225"/>
        <v>#N/A</v>
      </c>
      <c r="TYA43" s="380" t="e">
        <f t="shared" si="225"/>
        <v>#N/A</v>
      </c>
      <c r="TYB43" s="380" t="e">
        <f t="shared" si="225"/>
        <v>#N/A</v>
      </c>
      <c r="TYC43" s="380" t="e">
        <f t="shared" si="225"/>
        <v>#N/A</v>
      </c>
      <c r="TYD43" s="380" t="e">
        <f t="shared" si="225"/>
        <v>#N/A</v>
      </c>
      <c r="TYE43" s="380" t="e">
        <f t="shared" si="225"/>
        <v>#N/A</v>
      </c>
      <c r="TYF43" s="380" t="e">
        <f t="shared" si="225"/>
        <v>#N/A</v>
      </c>
      <c r="TYG43" s="380" t="e">
        <f t="shared" si="225"/>
        <v>#N/A</v>
      </c>
      <c r="TYH43" s="380" t="e">
        <f t="shared" si="225"/>
        <v>#N/A</v>
      </c>
      <c r="TYI43" s="380" t="e">
        <f t="shared" si="225"/>
        <v>#N/A</v>
      </c>
      <c r="TYJ43" s="380" t="e">
        <f t="shared" si="225"/>
        <v>#N/A</v>
      </c>
      <c r="TYK43" s="380" t="e">
        <f t="shared" si="225"/>
        <v>#N/A</v>
      </c>
      <c r="TYL43" s="380" t="e">
        <f t="shared" si="225"/>
        <v>#N/A</v>
      </c>
      <c r="TYM43" s="380" t="e">
        <f t="shared" si="225"/>
        <v>#N/A</v>
      </c>
      <c r="TYN43" s="380" t="e">
        <f t="shared" si="225"/>
        <v>#N/A</v>
      </c>
      <c r="TYO43" s="380" t="e">
        <f t="shared" si="225"/>
        <v>#N/A</v>
      </c>
      <c r="TYP43" s="380" t="e">
        <f t="shared" si="225"/>
        <v>#N/A</v>
      </c>
      <c r="TYQ43" s="380" t="e">
        <f t="shared" si="225"/>
        <v>#N/A</v>
      </c>
      <c r="TYR43" s="380" t="e">
        <f t="shared" si="225"/>
        <v>#N/A</v>
      </c>
      <c r="TYS43" s="380" t="e">
        <f t="shared" si="225"/>
        <v>#N/A</v>
      </c>
      <c r="TYT43" s="380" t="e">
        <f t="shared" si="225"/>
        <v>#N/A</v>
      </c>
      <c r="TYU43" s="380" t="e">
        <f t="shared" si="225"/>
        <v>#N/A</v>
      </c>
      <c r="TYV43" s="380" t="e">
        <f t="shared" si="225"/>
        <v>#N/A</v>
      </c>
      <c r="TYW43" s="380" t="e">
        <f t="shared" si="225"/>
        <v>#N/A</v>
      </c>
      <c r="TYX43" s="380" t="e">
        <f t="shared" si="225"/>
        <v>#N/A</v>
      </c>
      <c r="TYY43" s="380" t="e">
        <f t="shared" si="225"/>
        <v>#N/A</v>
      </c>
      <c r="TYZ43" s="380" t="e">
        <f t="shared" si="225"/>
        <v>#N/A</v>
      </c>
      <c r="TZA43" s="380" t="e">
        <f t="shared" si="225"/>
        <v>#N/A</v>
      </c>
      <c r="TZB43" s="380" t="e">
        <f t="shared" si="225"/>
        <v>#N/A</v>
      </c>
      <c r="TZC43" s="380" t="e">
        <f t="shared" si="225"/>
        <v>#N/A</v>
      </c>
      <c r="TZD43" s="380" t="e">
        <f t="shared" si="225"/>
        <v>#N/A</v>
      </c>
      <c r="TZE43" s="380" t="e">
        <f t="shared" si="225"/>
        <v>#N/A</v>
      </c>
      <c r="TZF43" s="380" t="e">
        <f t="shared" si="225"/>
        <v>#N/A</v>
      </c>
      <c r="TZG43" s="380" t="e">
        <f t="shared" si="225"/>
        <v>#N/A</v>
      </c>
      <c r="TZH43" s="380" t="e">
        <f t="shared" si="225"/>
        <v>#N/A</v>
      </c>
      <c r="TZI43" s="380" t="e">
        <f t="shared" si="225"/>
        <v>#N/A</v>
      </c>
      <c r="TZJ43" s="380" t="e">
        <f t="shared" si="225"/>
        <v>#N/A</v>
      </c>
      <c r="TZK43" s="380" t="e">
        <f t="shared" si="225"/>
        <v>#N/A</v>
      </c>
      <c r="TZL43" s="380" t="e">
        <f t="shared" si="225"/>
        <v>#N/A</v>
      </c>
      <c r="TZM43" s="380" t="e">
        <f t="shared" si="225"/>
        <v>#N/A</v>
      </c>
      <c r="TZN43" s="380" t="e">
        <f t="shared" si="225"/>
        <v>#N/A</v>
      </c>
      <c r="TZO43" s="380" t="e">
        <f t="shared" si="225"/>
        <v>#N/A</v>
      </c>
      <c r="TZP43" s="380" t="e">
        <f t="shared" si="225"/>
        <v>#N/A</v>
      </c>
      <c r="TZQ43" s="380" t="e">
        <f t="shared" si="225"/>
        <v>#N/A</v>
      </c>
      <c r="TZR43" s="380" t="e">
        <f t="shared" si="225"/>
        <v>#N/A</v>
      </c>
      <c r="TZS43" s="380" t="e">
        <f t="shared" si="225"/>
        <v>#N/A</v>
      </c>
      <c r="TZT43" s="380" t="e">
        <f t="shared" ref="TZT43:UCE43" si="226">INDEX(TZT7:TZT40,MATCH($E$43,$E$7:$E$40,0))</f>
        <v>#N/A</v>
      </c>
      <c r="TZU43" s="380" t="e">
        <f t="shared" si="226"/>
        <v>#N/A</v>
      </c>
      <c r="TZV43" s="380" t="e">
        <f t="shared" si="226"/>
        <v>#N/A</v>
      </c>
      <c r="TZW43" s="380" t="e">
        <f t="shared" si="226"/>
        <v>#N/A</v>
      </c>
      <c r="TZX43" s="380" t="e">
        <f t="shared" si="226"/>
        <v>#N/A</v>
      </c>
      <c r="TZY43" s="380" t="e">
        <f t="shared" si="226"/>
        <v>#N/A</v>
      </c>
      <c r="TZZ43" s="380" t="e">
        <f t="shared" si="226"/>
        <v>#N/A</v>
      </c>
      <c r="UAA43" s="380" t="e">
        <f t="shared" si="226"/>
        <v>#N/A</v>
      </c>
      <c r="UAB43" s="380" t="e">
        <f t="shared" si="226"/>
        <v>#N/A</v>
      </c>
      <c r="UAC43" s="380" t="e">
        <f t="shared" si="226"/>
        <v>#N/A</v>
      </c>
      <c r="UAD43" s="380" t="e">
        <f t="shared" si="226"/>
        <v>#N/A</v>
      </c>
      <c r="UAE43" s="380" t="e">
        <f t="shared" si="226"/>
        <v>#N/A</v>
      </c>
      <c r="UAF43" s="380" t="e">
        <f t="shared" si="226"/>
        <v>#N/A</v>
      </c>
      <c r="UAG43" s="380" t="e">
        <f t="shared" si="226"/>
        <v>#N/A</v>
      </c>
      <c r="UAH43" s="380" t="e">
        <f t="shared" si="226"/>
        <v>#N/A</v>
      </c>
      <c r="UAI43" s="380" t="e">
        <f t="shared" si="226"/>
        <v>#N/A</v>
      </c>
      <c r="UAJ43" s="380" t="e">
        <f t="shared" si="226"/>
        <v>#N/A</v>
      </c>
      <c r="UAK43" s="380" t="e">
        <f t="shared" si="226"/>
        <v>#N/A</v>
      </c>
      <c r="UAL43" s="380" t="e">
        <f t="shared" si="226"/>
        <v>#N/A</v>
      </c>
      <c r="UAM43" s="380" t="e">
        <f t="shared" si="226"/>
        <v>#N/A</v>
      </c>
      <c r="UAN43" s="380" t="e">
        <f t="shared" si="226"/>
        <v>#N/A</v>
      </c>
      <c r="UAO43" s="380" t="e">
        <f t="shared" si="226"/>
        <v>#N/A</v>
      </c>
      <c r="UAP43" s="380" t="e">
        <f t="shared" si="226"/>
        <v>#N/A</v>
      </c>
      <c r="UAQ43" s="380" t="e">
        <f t="shared" si="226"/>
        <v>#N/A</v>
      </c>
      <c r="UAR43" s="380" t="e">
        <f t="shared" si="226"/>
        <v>#N/A</v>
      </c>
      <c r="UAS43" s="380" t="e">
        <f t="shared" si="226"/>
        <v>#N/A</v>
      </c>
      <c r="UAT43" s="380" t="e">
        <f t="shared" si="226"/>
        <v>#N/A</v>
      </c>
      <c r="UAU43" s="380" t="e">
        <f t="shared" si="226"/>
        <v>#N/A</v>
      </c>
      <c r="UAV43" s="380" t="e">
        <f t="shared" si="226"/>
        <v>#N/A</v>
      </c>
      <c r="UAW43" s="380" t="e">
        <f t="shared" si="226"/>
        <v>#N/A</v>
      </c>
      <c r="UAX43" s="380" t="e">
        <f t="shared" si="226"/>
        <v>#N/A</v>
      </c>
      <c r="UAY43" s="380" t="e">
        <f t="shared" si="226"/>
        <v>#N/A</v>
      </c>
      <c r="UAZ43" s="380" t="e">
        <f t="shared" si="226"/>
        <v>#N/A</v>
      </c>
      <c r="UBA43" s="380" t="e">
        <f t="shared" si="226"/>
        <v>#N/A</v>
      </c>
      <c r="UBB43" s="380" t="e">
        <f t="shared" si="226"/>
        <v>#N/A</v>
      </c>
      <c r="UBC43" s="380" t="e">
        <f t="shared" si="226"/>
        <v>#N/A</v>
      </c>
      <c r="UBD43" s="380" t="e">
        <f t="shared" si="226"/>
        <v>#N/A</v>
      </c>
      <c r="UBE43" s="380" t="e">
        <f t="shared" si="226"/>
        <v>#N/A</v>
      </c>
      <c r="UBF43" s="380" t="e">
        <f t="shared" si="226"/>
        <v>#N/A</v>
      </c>
      <c r="UBG43" s="380" t="e">
        <f t="shared" si="226"/>
        <v>#N/A</v>
      </c>
      <c r="UBH43" s="380" t="e">
        <f t="shared" si="226"/>
        <v>#N/A</v>
      </c>
      <c r="UBI43" s="380" t="e">
        <f t="shared" si="226"/>
        <v>#N/A</v>
      </c>
      <c r="UBJ43" s="380" t="e">
        <f t="shared" si="226"/>
        <v>#N/A</v>
      </c>
      <c r="UBK43" s="380" t="e">
        <f t="shared" si="226"/>
        <v>#N/A</v>
      </c>
      <c r="UBL43" s="380" t="e">
        <f t="shared" si="226"/>
        <v>#N/A</v>
      </c>
      <c r="UBM43" s="380" t="e">
        <f t="shared" si="226"/>
        <v>#N/A</v>
      </c>
      <c r="UBN43" s="380" t="e">
        <f t="shared" si="226"/>
        <v>#N/A</v>
      </c>
      <c r="UBO43" s="380" t="e">
        <f t="shared" si="226"/>
        <v>#N/A</v>
      </c>
      <c r="UBP43" s="380" t="e">
        <f t="shared" si="226"/>
        <v>#N/A</v>
      </c>
      <c r="UBQ43" s="380" t="e">
        <f t="shared" si="226"/>
        <v>#N/A</v>
      </c>
      <c r="UBR43" s="380" t="e">
        <f t="shared" si="226"/>
        <v>#N/A</v>
      </c>
      <c r="UBS43" s="380" t="e">
        <f t="shared" si="226"/>
        <v>#N/A</v>
      </c>
      <c r="UBT43" s="380" t="e">
        <f t="shared" si="226"/>
        <v>#N/A</v>
      </c>
      <c r="UBU43" s="380" t="e">
        <f t="shared" si="226"/>
        <v>#N/A</v>
      </c>
      <c r="UBV43" s="380" t="e">
        <f t="shared" si="226"/>
        <v>#N/A</v>
      </c>
      <c r="UBW43" s="380" t="e">
        <f t="shared" si="226"/>
        <v>#N/A</v>
      </c>
      <c r="UBX43" s="380" t="e">
        <f t="shared" si="226"/>
        <v>#N/A</v>
      </c>
      <c r="UBY43" s="380" t="e">
        <f t="shared" si="226"/>
        <v>#N/A</v>
      </c>
      <c r="UBZ43" s="380" t="e">
        <f t="shared" si="226"/>
        <v>#N/A</v>
      </c>
      <c r="UCA43" s="380" t="e">
        <f t="shared" si="226"/>
        <v>#N/A</v>
      </c>
      <c r="UCB43" s="380" t="e">
        <f t="shared" si="226"/>
        <v>#N/A</v>
      </c>
      <c r="UCC43" s="380" t="e">
        <f t="shared" si="226"/>
        <v>#N/A</v>
      </c>
      <c r="UCD43" s="380" t="e">
        <f t="shared" si="226"/>
        <v>#N/A</v>
      </c>
      <c r="UCE43" s="380" t="e">
        <f t="shared" si="226"/>
        <v>#N/A</v>
      </c>
      <c r="UCF43" s="380" t="e">
        <f t="shared" ref="UCF43:UEQ43" si="227">INDEX(UCF7:UCF40,MATCH($E$43,$E$7:$E$40,0))</f>
        <v>#N/A</v>
      </c>
      <c r="UCG43" s="380" t="e">
        <f t="shared" si="227"/>
        <v>#N/A</v>
      </c>
      <c r="UCH43" s="380" t="e">
        <f t="shared" si="227"/>
        <v>#N/A</v>
      </c>
      <c r="UCI43" s="380" t="e">
        <f t="shared" si="227"/>
        <v>#N/A</v>
      </c>
      <c r="UCJ43" s="380" t="e">
        <f t="shared" si="227"/>
        <v>#N/A</v>
      </c>
      <c r="UCK43" s="380" t="e">
        <f t="shared" si="227"/>
        <v>#N/A</v>
      </c>
      <c r="UCL43" s="380" t="e">
        <f t="shared" si="227"/>
        <v>#N/A</v>
      </c>
      <c r="UCM43" s="380" t="e">
        <f t="shared" si="227"/>
        <v>#N/A</v>
      </c>
      <c r="UCN43" s="380" t="e">
        <f t="shared" si="227"/>
        <v>#N/A</v>
      </c>
      <c r="UCO43" s="380" t="e">
        <f t="shared" si="227"/>
        <v>#N/A</v>
      </c>
      <c r="UCP43" s="380" t="e">
        <f t="shared" si="227"/>
        <v>#N/A</v>
      </c>
      <c r="UCQ43" s="380" t="e">
        <f t="shared" si="227"/>
        <v>#N/A</v>
      </c>
      <c r="UCR43" s="380" t="e">
        <f t="shared" si="227"/>
        <v>#N/A</v>
      </c>
      <c r="UCS43" s="380" t="e">
        <f t="shared" si="227"/>
        <v>#N/A</v>
      </c>
      <c r="UCT43" s="380" t="e">
        <f t="shared" si="227"/>
        <v>#N/A</v>
      </c>
      <c r="UCU43" s="380" t="e">
        <f t="shared" si="227"/>
        <v>#N/A</v>
      </c>
      <c r="UCV43" s="380" t="e">
        <f t="shared" si="227"/>
        <v>#N/A</v>
      </c>
      <c r="UCW43" s="380" t="e">
        <f t="shared" si="227"/>
        <v>#N/A</v>
      </c>
      <c r="UCX43" s="380" t="e">
        <f t="shared" si="227"/>
        <v>#N/A</v>
      </c>
      <c r="UCY43" s="380" t="e">
        <f t="shared" si="227"/>
        <v>#N/A</v>
      </c>
      <c r="UCZ43" s="380" t="e">
        <f t="shared" si="227"/>
        <v>#N/A</v>
      </c>
      <c r="UDA43" s="380" t="e">
        <f t="shared" si="227"/>
        <v>#N/A</v>
      </c>
      <c r="UDB43" s="380" t="e">
        <f t="shared" si="227"/>
        <v>#N/A</v>
      </c>
      <c r="UDC43" s="380" t="e">
        <f t="shared" si="227"/>
        <v>#N/A</v>
      </c>
      <c r="UDD43" s="380" t="e">
        <f t="shared" si="227"/>
        <v>#N/A</v>
      </c>
      <c r="UDE43" s="380" t="e">
        <f t="shared" si="227"/>
        <v>#N/A</v>
      </c>
      <c r="UDF43" s="380" t="e">
        <f t="shared" si="227"/>
        <v>#N/A</v>
      </c>
      <c r="UDG43" s="380" t="e">
        <f t="shared" si="227"/>
        <v>#N/A</v>
      </c>
      <c r="UDH43" s="380" t="e">
        <f t="shared" si="227"/>
        <v>#N/A</v>
      </c>
      <c r="UDI43" s="380" t="e">
        <f t="shared" si="227"/>
        <v>#N/A</v>
      </c>
      <c r="UDJ43" s="380" t="e">
        <f t="shared" si="227"/>
        <v>#N/A</v>
      </c>
      <c r="UDK43" s="380" t="e">
        <f t="shared" si="227"/>
        <v>#N/A</v>
      </c>
      <c r="UDL43" s="380" t="e">
        <f t="shared" si="227"/>
        <v>#N/A</v>
      </c>
      <c r="UDM43" s="380" t="e">
        <f t="shared" si="227"/>
        <v>#N/A</v>
      </c>
      <c r="UDN43" s="380" t="e">
        <f t="shared" si="227"/>
        <v>#N/A</v>
      </c>
      <c r="UDO43" s="380" t="e">
        <f t="shared" si="227"/>
        <v>#N/A</v>
      </c>
      <c r="UDP43" s="380" t="e">
        <f t="shared" si="227"/>
        <v>#N/A</v>
      </c>
      <c r="UDQ43" s="380" t="e">
        <f t="shared" si="227"/>
        <v>#N/A</v>
      </c>
      <c r="UDR43" s="380" t="e">
        <f t="shared" si="227"/>
        <v>#N/A</v>
      </c>
      <c r="UDS43" s="380" t="e">
        <f t="shared" si="227"/>
        <v>#N/A</v>
      </c>
      <c r="UDT43" s="380" t="e">
        <f t="shared" si="227"/>
        <v>#N/A</v>
      </c>
      <c r="UDU43" s="380" t="e">
        <f t="shared" si="227"/>
        <v>#N/A</v>
      </c>
      <c r="UDV43" s="380" t="e">
        <f t="shared" si="227"/>
        <v>#N/A</v>
      </c>
      <c r="UDW43" s="380" t="e">
        <f t="shared" si="227"/>
        <v>#N/A</v>
      </c>
      <c r="UDX43" s="380" t="e">
        <f t="shared" si="227"/>
        <v>#N/A</v>
      </c>
      <c r="UDY43" s="380" t="e">
        <f t="shared" si="227"/>
        <v>#N/A</v>
      </c>
      <c r="UDZ43" s="380" t="e">
        <f t="shared" si="227"/>
        <v>#N/A</v>
      </c>
      <c r="UEA43" s="380" t="e">
        <f t="shared" si="227"/>
        <v>#N/A</v>
      </c>
      <c r="UEB43" s="380" t="e">
        <f t="shared" si="227"/>
        <v>#N/A</v>
      </c>
      <c r="UEC43" s="380" t="e">
        <f t="shared" si="227"/>
        <v>#N/A</v>
      </c>
      <c r="UED43" s="380" t="e">
        <f t="shared" si="227"/>
        <v>#N/A</v>
      </c>
      <c r="UEE43" s="380" t="e">
        <f t="shared" si="227"/>
        <v>#N/A</v>
      </c>
      <c r="UEF43" s="380" t="e">
        <f t="shared" si="227"/>
        <v>#N/A</v>
      </c>
      <c r="UEG43" s="380" t="e">
        <f t="shared" si="227"/>
        <v>#N/A</v>
      </c>
      <c r="UEH43" s="380" t="e">
        <f t="shared" si="227"/>
        <v>#N/A</v>
      </c>
      <c r="UEI43" s="380" t="e">
        <f t="shared" si="227"/>
        <v>#N/A</v>
      </c>
      <c r="UEJ43" s="380" t="e">
        <f t="shared" si="227"/>
        <v>#N/A</v>
      </c>
      <c r="UEK43" s="380" t="e">
        <f t="shared" si="227"/>
        <v>#N/A</v>
      </c>
      <c r="UEL43" s="380" t="e">
        <f t="shared" si="227"/>
        <v>#N/A</v>
      </c>
      <c r="UEM43" s="380" t="e">
        <f t="shared" si="227"/>
        <v>#N/A</v>
      </c>
      <c r="UEN43" s="380" t="e">
        <f t="shared" si="227"/>
        <v>#N/A</v>
      </c>
      <c r="UEO43" s="380" t="e">
        <f t="shared" si="227"/>
        <v>#N/A</v>
      </c>
      <c r="UEP43" s="380" t="e">
        <f t="shared" si="227"/>
        <v>#N/A</v>
      </c>
      <c r="UEQ43" s="380" t="e">
        <f t="shared" si="227"/>
        <v>#N/A</v>
      </c>
      <c r="UER43" s="380" t="e">
        <f t="shared" ref="UER43:UHC43" si="228">INDEX(UER7:UER40,MATCH($E$43,$E$7:$E$40,0))</f>
        <v>#N/A</v>
      </c>
      <c r="UES43" s="380" t="e">
        <f t="shared" si="228"/>
        <v>#N/A</v>
      </c>
      <c r="UET43" s="380" t="e">
        <f t="shared" si="228"/>
        <v>#N/A</v>
      </c>
      <c r="UEU43" s="380" t="e">
        <f t="shared" si="228"/>
        <v>#N/A</v>
      </c>
      <c r="UEV43" s="380" t="e">
        <f t="shared" si="228"/>
        <v>#N/A</v>
      </c>
      <c r="UEW43" s="380" t="e">
        <f t="shared" si="228"/>
        <v>#N/A</v>
      </c>
      <c r="UEX43" s="380" t="e">
        <f t="shared" si="228"/>
        <v>#N/A</v>
      </c>
      <c r="UEY43" s="380" t="e">
        <f t="shared" si="228"/>
        <v>#N/A</v>
      </c>
      <c r="UEZ43" s="380" t="e">
        <f t="shared" si="228"/>
        <v>#N/A</v>
      </c>
      <c r="UFA43" s="380" t="e">
        <f t="shared" si="228"/>
        <v>#N/A</v>
      </c>
      <c r="UFB43" s="380" t="e">
        <f t="shared" si="228"/>
        <v>#N/A</v>
      </c>
      <c r="UFC43" s="380" t="e">
        <f t="shared" si="228"/>
        <v>#N/A</v>
      </c>
      <c r="UFD43" s="380" t="e">
        <f t="shared" si="228"/>
        <v>#N/A</v>
      </c>
      <c r="UFE43" s="380" t="e">
        <f t="shared" si="228"/>
        <v>#N/A</v>
      </c>
      <c r="UFF43" s="380" t="e">
        <f t="shared" si="228"/>
        <v>#N/A</v>
      </c>
      <c r="UFG43" s="380" t="e">
        <f t="shared" si="228"/>
        <v>#N/A</v>
      </c>
      <c r="UFH43" s="380" t="e">
        <f t="shared" si="228"/>
        <v>#N/A</v>
      </c>
      <c r="UFI43" s="380" t="e">
        <f t="shared" si="228"/>
        <v>#N/A</v>
      </c>
      <c r="UFJ43" s="380" t="e">
        <f t="shared" si="228"/>
        <v>#N/A</v>
      </c>
      <c r="UFK43" s="380" t="e">
        <f t="shared" si="228"/>
        <v>#N/A</v>
      </c>
      <c r="UFL43" s="380" t="e">
        <f t="shared" si="228"/>
        <v>#N/A</v>
      </c>
      <c r="UFM43" s="380" t="e">
        <f t="shared" si="228"/>
        <v>#N/A</v>
      </c>
      <c r="UFN43" s="380" t="e">
        <f t="shared" si="228"/>
        <v>#N/A</v>
      </c>
      <c r="UFO43" s="380" t="e">
        <f t="shared" si="228"/>
        <v>#N/A</v>
      </c>
      <c r="UFP43" s="380" t="e">
        <f t="shared" si="228"/>
        <v>#N/A</v>
      </c>
      <c r="UFQ43" s="380" t="e">
        <f t="shared" si="228"/>
        <v>#N/A</v>
      </c>
      <c r="UFR43" s="380" t="e">
        <f t="shared" si="228"/>
        <v>#N/A</v>
      </c>
      <c r="UFS43" s="380" t="e">
        <f t="shared" si="228"/>
        <v>#N/A</v>
      </c>
      <c r="UFT43" s="380" t="e">
        <f t="shared" si="228"/>
        <v>#N/A</v>
      </c>
      <c r="UFU43" s="380" t="e">
        <f t="shared" si="228"/>
        <v>#N/A</v>
      </c>
      <c r="UFV43" s="380" t="e">
        <f t="shared" si="228"/>
        <v>#N/A</v>
      </c>
      <c r="UFW43" s="380" t="e">
        <f t="shared" si="228"/>
        <v>#N/A</v>
      </c>
      <c r="UFX43" s="380" t="e">
        <f t="shared" si="228"/>
        <v>#N/A</v>
      </c>
      <c r="UFY43" s="380" t="e">
        <f t="shared" si="228"/>
        <v>#N/A</v>
      </c>
      <c r="UFZ43" s="380" t="e">
        <f t="shared" si="228"/>
        <v>#N/A</v>
      </c>
      <c r="UGA43" s="380" t="e">
        <f t="shared" si="228"/>
        <v>#N/A</v>
      </c>
      <c r="UGB43" s="380" t="e">
        <f t="shared" si="228"/>
        <v>#N/A</v>
      </c>
      <c r="UGC43" s="380" t="e">
        <f t="shared" si="228"/>
        <v>#N/A</v>
      </c>
      <c r="UGD43" s="380" t="e">
        <f t="shared" si="228"/>
        <v>#N/A</v>
      </c>
      <c r="UGE43" s="380" t="e">
        <f t="shared" si="228"/>
        <v>#N/A</v>
      </c>
      <c r="UGF43" s="380" t="e">
        <f t="shared" si="228"/>
        <v>#N/A</v>
      </c>
      <c r="UGG43" s="380" t="e">
        <f t="shared" si="228"/>
        <v>#N/A</v>
      </c>
      <c r="UGH43" s="380" t="e">
        <f t="shared" si="228"/>
        <v>#N/A</v>
      </c>
      <c r="UGI43" s="380" t="e">
        <f t="shared" si="228"/>
        <v>#N/A</v>
      </c>
      <c r="UGJ43" s="380" t="e">
        <f t="shared" si="228"/>
        <v>#N/A</v>
      </c>
      <c r="UGK43" s="380" t="e">
        <f t="shared" si="228"/>
        <v>#N/A</v>
      </c>
      <c r="UGL43" s="380" t="e">
        <f t="shared" si="228"/>
        <v>#N/A</v>
      </c>
      <c r="UGM43" s="380" t="e">
        <f t="shared" si="228"/>
        <v>#N/A</v>
      </c>
      <c r="UGN43" s="380" t="e">
        <f t="shared" si="228"/>
        <v>#N/A</v>
      </c>
      <c r="UGO43" s="380" t="e">
        <f t="shared" si="228"/>
        <v>#N/A</v>
      </c>
      <c r="UGP43" s="380" t="e">
        <f t="shared" si="228"/>
        <v>#N/A</v>
      </c>
      <c r="UGQ43" s="380" t="e">
        <f t="shared" si="228"/>
        <v>#N/A</v>
      </c>
      <c r="UGR43" s="380" t="e">
        <f t="shared" si="228"/>
        <v>#N/A</v>
      </c>
      <c r="UGS43" s="380" t="e">
        <f t="shared" si="228"/>
        <v>#N/A</v>
      </c>
      <c r="UGT43" s="380" t="e">
        <f t="shared" si="228"/>
        <v>#N/A</v>
      </c>
      <c r="UGU43" s="380" t="e">
        <f t="shared" si="228"/>
        <v>#N/A</v>
      </c>
      <c r="UGV43" s="380" t="e">
        <f t="shared" si="228"/>
        <v>#N/A</v>
      </c>
      <c r="UGW43" s="380" t="e">
        <f t="shared" si="228"/>
        <v>#N/A</v>
      </c>
      <c r="UGX43" s="380" t="e">
        <f t="shared" si="228"/>
        <v>#N/A</v>
      </c>
      <c r="UGY43" s="380" t="e">
        <f t="shared" si="228"/>
        <v>#N/A</v>
      </c>
      <c r="UGZ43" s="380" t="e">
        <f t="shared" si="228"/>
        <v>#N/A</v>
      </c>
      <c r="UHA43" s="380" t="e">
        <f t="shared" si="228"/>
        <v>#N/A</v>
      </c>
      <c r="UHB43" s="380" t="e">
        <f t="shared" si="228"/>
        <v>#N/A</v>
      </c>
      <c r="UHC43" s="380" t="e">
        <f t="shared" si="228"/>
        <v>#N/A</v>
      </c>
      <c r="UHD43" s="380" t="e">
        <f t="shared" ref="UHD43:UJO43" si="229">INDEX(UHD7:UHD40,MATCH($E$43,$E$7:$E$40,0))</f>
        <v>#N/A</v>
      </c>
      <c r="UHE43" s="380" t="e">
        <f t="shared" si="229"/>
        <v>#N/A</v>
      </c>
      <c r="UHF43" s="380" t="e">
        <f t="shared" si="229"/>
        <v>#N/A</v>
      </c>
      <c r="UHG43" s="380" t="e">
        <f t="shared" si="229"/>
        <v>#N/A</v>
      </c>
      <c r="UHH43" s="380" t="e">
        <f t="shared" si="229"/>
        <v>#N/A</v>
      </c>
      <c r="UHI43" s="380" t="e">
        <f t="shared" si="229"/>
        <v>#N/A</v>
      </c>
      <c r="UHJ43" s="380" t="e">
        <f t="shared" si="229"/>
        <v>#N/A</v>
      </c>
      <c r="UHK43" s="380" t="e">
        <f t="shared" si="229"/>
        <v>#N/A</v>
      </c>
      <c r="UHL43" s="380" t="e">
        <f t="shared" si="229"/>
        <v>#N/A</v>
      </c>
      <c r="UHM43" s="380" t="e">
        <f t="shared" si="229"/>
        <v>#N/A</v>
      </c>
      <c r="UHN43" s="380" t="e">
        <f t="shared" si="229"/>
        <v>#N/A</v>
      </c>
      <c r="UHO43" s="380" t="e">
        <f t="shared" si="229"/>
        <v>#N/A</v>
      </c>
      <c r="UHP43" s="380" t="e">
        <f t="shared" si="229"/>
        <v>#N/A</v>
      </c>
      <c r="UHQ43" s="380" t="e">
        <f t="shared" si="229"/>
        <v>#N/A</v>
      </c>
      <c r="UHR43" s="380" t="e">
        <f t="shared" si="229"/>
        <v>#N/A</v>
      </c>
      <c r="UHS43" s="380" t="e">
        <f t="shared" si="229"/>
        <v>#N/A</v>
      </c>
      <c r="UHT43" s="380" t="e">
        <f t="shared" si="229"/>
        <v>#N/A</v>
      </c>
      <c r="UHU43" s="380" t="e">
        <f t="shared" si="229"/>
        <v>#N/A</v>
      </c>
      <c r="UHV43" s="380" t="e">
        <f t="shared" si="229"/>
        <v>#N/A</v>
      </c>
      <c r="UHW43" s="380" t="e">
        <f t="shared" si="229"/>
        <v>#N/A</v>
      </c>
      <c r="UHX43" s="380" t="e">
        <f t="shared" si="229"/>
        <v>#N/A</v>
      </c>
      <c r="UHY43" s="380" t="e">
        <f t="shared" si="229"/>
        <v>#N/A</v>
      </c>
      <c r="UHZ43" s="380" t="e">
        <f t="shared" si="229"/>
        <v>#N/A</v>
      </c>
      <c r="UIA43" s="380" t="e">
        <f t="shared" si="229"/>
        <v>#N/A</v>
      </c>
      <c r="UIB43" s="380" t="e">
        <f t="shared" si="229"/>
        <v>#N/A</v>
      </c>
      <c r="UIC43" s="380" t="e">
        <f t="shared" si="229"/>
        <v>#N/A</v>
      </c>
      <c r="UID43" s="380" t="e">
        <f t="shared" si="229"/>
        <v>#N/A</v>
      </c>
      <c r="UIE43" s="380" t="e">
        <f t="shared" si="229"/>
        <v>#N/A</v>
      </c>
      <c r="UIF43" s="380" t="e">
        <f t="shared" si="229"/>
        <v>#N/A</v>
      </c>
      <c r="UIG43" s="380" t="e">
        <f t="shared" si="229"/>
        <v>#N/A</v>
      </c>
      <c r="UIH43" s="380" t="e">
        <f t="shared" si="229"/>
        <v>#N/A</v>
      </c>
      <c r="UII43" s="380" t="e">
        <f t="shared" si="229"/>
        <v>#N/A</v>
      </c>
      <c r="UIJ43" s="380" t="e">
        <f t="shared" si="229"/>
        <v>#N/A</v>
      </c>
      <c r="UIK43" s="380" t="e">
        <f t="shared" si="229"/>
        <v>#N/A</v>
      </c>
      <c r="UIL43" s="380" t="e">
        <f t="shared" si="229"/>
        <v>#N/A</v>
      </c>
      <c r="UIM43" s="380" t="e">
        <f t="shared" si="229"/>
        <v>#N/A</v>
      </c>
      <c r="UIN43" s="380" t="e">
        <f t="shared" si="229"/>
        <v>#N/A</v>
      </c>
      <c r="UIO43" s="380" t="e">
        <f t="shared" si="229"/>
        <v>#N/A</v>
      </c>
      <c r="UIP43" s="380" t="e">
        <f t="shared" si="229"/>
        <v>#N/A</v>
      </c>
      <c r="UIQ43" s="380" t="e">
        <f t="shared" si="229"/>
        <v>#N/A</v>
      </c>
      <c r="UIR43" s="380" t="e">
        <f t="shared" si="229"/>
        <v>#N/A</v>
      </c>
      <c r="UIS43" s="380" t="e">
        <f t="shared" si="229"/>
        <v>#N/A</v>
      </c>
      <c r="UIT43" s="380" t="e">
        <f t="shared" si="229"/>
        <v>#N/A</v>
      </c>
      <c r="UIU43" s="380" t="e">
        <f t="shared" si="229"/>
        <v>#N/A</v>
      </c>
      <c r="UIV43" s="380" t="e">
        <f t="shared" si="229"/>
        <v>#N/A</v>
      </c>
      <c r="UIW43" s="380" t="e">
        <f t="shared" si="229"/>
        <v>#N/A</v>
      </c>
      <c r="UIX43" s="380" t="e">
        <f t="shared" si="229"/>
        <v>#N/A</v>
      </c>
      <c r="UIY43" s="380" t="e">
        <f t="shared" si="229"/>
        <v>#N/A</v>
      </c>
      <c r="UIZ43" s="380" t="e">
        <f t="shared" si="229"/>
        <v>#N/A</v>
      </c>
      <c r="UJA43" s="380" t="e">
        <f t="shared" si="229"/>
        <v>#N/A</v>
      </c>
      <c r="UJB43" s="380" t="e">
        <f t="shared" si="229"/>
        <v>#N/A</v>
      </c>
      <c r="UJC43" s="380" t="e">
        <f t="shared" si="229"/>
        <v>#N/A</v>
      </c>
      <c r="UJD43" s="380" t="e">
        <f t="shared" si="229"/>
        <v>#N/A</v>
      </c>
      <c r="UJE43" s="380" t="e">
        <f t="shared" si="229"/>
        <v>#N/A</v>
      </c>
      <c r="UJF43" s="380" t="e">
        <f t="shared" si="229"/>
        <v>#N/A</v>
      </c>
      <c r="UJG43" s="380" t="e">
        <f t="shared" si="229"/>
        <v>#N/A</v>
      </c>
      <c r="UJH43" s="380" t="e">
        <f t="shared" si="229"/>
        <v>#N/A</v>
      </c>
      <c r="UJI43" s="380" t="e">
        <f t="shared" si="229"/>
        <v>#N/A</v>
      </c>
      <c r="UJJ43" s="380" t="e">
        <f t="shared" si="229"/>
        <v>#N/A</v>
      </c>
      <c r="UJK43" s="380" t="e">
        <f t="shared" si="229"/>
        <v>#N/A</v>
      </c>
      <c r="UJL43" s="380" t="e">
        <f t="shared" si="229"/>
        <v>#N/A</v>
      </c>
      <c r="UJM43" s="380" t="e">
        <f t="shared" si="229"/>
        <v>#N/A</v>
      </c>
      <c r="UJN43" s="380" t="e">
        <f t="shared" si="229"/>
        <v>#N/A</v>
      </c>
      <c r="UJO43" s="380" t="e">
        <f t="shared" si="229"/>
        <v>#N/A</v>
      </c>
      <c r="UJP43" s="380" t="e">
        <f t="shared" ref="UJP43:UMA43" si="230">INDEX(UJP7:UJP40,MATCH($E$43,$E$7:$E$40,0))</f>
        <v>#N/A</v>
      </c>
      <c r="UJQ43" s="380" t="e">
        <f t="shared" si="230"/>
        <v>#N/A</v>
      </c>
      <c r="UJR43" s="380" t="e">
        <f t="shared" si="230"/>
        <v>#N/A</v>
      </c>
      <c r="UJS43" s="380" t="e">
        <f t="shared" si="230"/>
        <v>#N/A</v>
      </c>
      <c r="UJT43" s="380" t="e">
        <f t="shared" si="230"/>
        <v>#N/A</v>
      </c>
      <c r="UJU43" s="380" t="e">
        <f t="shared" si="230"/>
        <v>#N/A</v>
      </c>
      <c r="UJV43" s="380" t="e">
        <f t="shared" si="230"/>
        <v>#N/A</v>
      </c>
      <c r="UJW43" s="380" t="e">
        <f t="shared" si="230"/>
        <v>#N/A</v>
      </c>
      <c r="UJX43" s="380" t="e">
        <f t="shared" si="230"/>
        <v>#N/A</v>
      </c>
      <c r="UJY43" s="380" t="e">
        <f t="shared" si="230"/>
        <v>#N/A</v>
      </c>
      <c r="UJZ43" s="380" t="e">
        <f t="shared" si="230"/>
        <v>#N/A</v>
      </c>
      <c r="UKA43" s="380" t="e">
        <f t="shared" si="230"/>
        <v>#N/A</v>
      </c>
      <c r="UKB43" s="380" t="e">
        <f t="shared" si="230"/>
        <v>#N/A</v>
      </c>
      <c r="UKC43" s="380" t="e">
        <f t="shared" si="230"/>
        <v>#N/A</v>
      </c>
      <c r="UKD43" s="380" t="e">
        <f t="shared" si="230"/>
        <v>#N/A</v>
      </c>
      <c r="UKE43" s="380" t="e">
        <f t="shared" si="230"/>
        <v>#N/A</v>
      </c>
      <c r="UKF43" s="380" t="e">
        <f t="shared" si="230"/>
        <v>#N/A</v>
      </c>
      <c r="UKG43" s="380" t="e">
        <f t="shared" si="230"/>
        <v>#N/A</v>
      </c>
      <c r="UKH43" s="380" t="e">
        <f t="shared" si="230"/>
        <v>#N/A</v>
      </c>
      <c r="UKI43" s="380" t="e">
        <f t="shared" si="230"/>
        <v>#N/A</v>
      </c>
      <c r="UKJ43" s="380" t="e">
        <f t="shared" si="230"/>
        <v>#N/A</v>
      </c>
      <c r="UKK43" s="380" t="e">
        <f t="shared" si="230"/>
        <v>#N/A</v>
      </c>
      <c r="UKL43" s="380" t="e">
        <f t="shared" si="230"/>
        <v>#N/A</v>
      </c>
      <c r="UKM43" s="380" t="e">
        <f t="shared" si="230"/>
        <v>#N/A</v>
      </c>
      <c r="UKN43" s="380" t="e">
        <f t="shared" si="230"/>
        <v>#N/A</v>
      </c>
      <c r="UKO43" s="380" t="e">
        <f t="shared" si="230"/>
        <v>#N/A</v>
      </c>
      <c r="UKP43" s="380" t="e">
        <f t="shared" si="230"/>
        <v>#N/A</v>
      </c>
      <c r="UKQ43" s="380" t="e">
        <f t="shared" si="230"/>
        <v>#N/A</v>
      </c>
      <c r="UKR43" s="380" t="e">
        <f t="shared" si="230"/>
        <v>#N/A</v>
      </c>
      <c r="UKS43" s="380" t="e">
        <f t="shared" si="230"/>
        <v>#N/A</v>
      </c>
      <c r="UKT43" s="380" t="e">
        <f t="shared" si="230"/>
        <v>#N/A</v>
      </c>
      <c r="UKU43" s="380" t="e">
        <f t="shared" si="230"/>
        <v>#N/A</v>
      </c>
      <c r="UKV43" s="380" t="e">
        <f t="shared" si="230"/>
        <v>#N/A</v>
      </c>
      <c r="UKW43" s="380" t="e">
        <f t="shared" si="230"/>
        <v>#N/A</v>
      </c>
      <c r="UKX43" s="380" t="e">
        <f t="shared" si="230"/>
        <v>#N/A</v>
      </c>
      <c r="UKY43" s="380" t="e">
        <f t="shared" si="230"/>
        <v>#N/A</v>
      </c>
      <c r="UKZ43" s="380" t="e">
        <f t="shared" si="230"/>
        <v>#N/A</v>
      </c>
      <c r="ULA43" s="380" t="e">
        <f t="shared" si="230"/>
        <v>#N/A</v>
      </c>
      <c r="ULB43" s="380" t="e">
        <f t="shared" si="230"/>
        <v>#N/A</v>
      </c>
      <c r="ULC43" s="380" t="e">
        <f t="shared" si="230"/>
        <v>#N/A</v>
      </c>
      <c r="ULD43" s="380" t="e">
        <f t="shared" si="230"/>
        <v>#N/A</v>
      </c>
      <c r="ULE43" s="380" t="e">
        <f t="shared" si="230"/>
        <v>#N/A</v>
      </c>
      <c r="ULF43" s="380" t="e">
        <f t="shared" si="230"/>
        <v>#N/A</v>
      </c>
      <c r="ULG43" s="380" t="e">
        <f t="shared" si="230"/>
        <v>#N/A</v>
      </c>
      <c r="ULH43" s="380" t="e">
        <f t="shared" si="230"/>
        <v>#N/A</v>
      </c>
      <c r="ULI43" s="380" t="e">
        <f t="shared" si="230"/>
        <v>#N/A</v>
      </c>
      <c r="ULJ43" s="380" t="e">
        <f t="shared" si="230"/>
        <v>#N/A</v>
      </c>
      <c r="ULK43" s="380" t="e">
        <f t="shared" si="230"/>
        <v>#N/A</v>
      </c>
      <c r="ULL43" s="380" t="e">
        <f t="shared" si="230"/>
        <v>#N/A</v>
      </c>
      <c r="ULM43" s="380" t="e">
        <f t="shared" si="230"/>
        <v>#N/A</v>
      </c>
      <c r="ULN43" s="380" t="e">
        <f t="shared" si="230"/>
        <v>#N/A</v>
      </c>
      <c r="ULO43" s="380" t="e">
        <f t="shared" si="230"/>
        <v>#N/A</v>
      </c>
      <c r="ULP43" s="380" t="e">
        <f t="shared" si="230"/>
        <v>#N/A</v>
      </c>
      <c r="ULQ43" s="380" t="e">
        <f t="shared" si="230"/>
        <v>#N/A</v>
      </c>
      <c r="ULR43" s="380" t="e">
        <f t="shared" si="230"/>
        <v>#N/A</v>
      </c>
      <c r="ULS43" s="380" t="e">
        <f t="shared" si="230"/>
        <v>#N/A</v>
      </c>
      <c r="ULT43" s="380" t="e">
        <f t="shared" si="230"/>
        <v>#N/A</v>
      </c>
      <c r="ULU43" s="380" t="e">
        <f t="shared" si="230"/>
        <v>#N/A</v>
      </c>
      <c r="ULV43" s="380" t="e">
        <f t="shared" si="230"/>
        <v>#N/A</v>
      </c>
      <c r="ULW43" s="380" t="e">
        <f t="shared" si="230"/>
        <v>#N/A</v>
      </c>
      <c r="ULX43" s="380" t="e">
        <f t="shared" si="230"/>
        <v>#N/A</v>
      </c>
      <c r="ULY43" s="380" t="e">
        <f t="shared" si="230"/>
        <v>#N/A</v>
      </c>
      <c r="ULZ43" s="380" t="e">
        <f t="shared" si="230"/>
        <v>#N/A</v>
      </c>
      <c r="UMA43" s="380" t="e">
        <f t="shared" si="230"/>
        <v>#N/A</v>
      </c>
      <c r="UMB43" s="380" t="e">
        <f t="shared" ref="UMB43:UOM43" si="231">INDEX(UMB7:UMB40,MATCH($E$43,$E$7:$E$40,0))</f>
        <v>#N/A</v>
      </c>
      <c r="UMC43" s="380" t="e">
        <f t="shared" si="231"/>
        <v>#N/A</v>
      </c>
      <c r="UMD43" s="380" t="e">
        <f t="shared" si="231"/>
        <v>#N/A</v>
      </c>
      <c r="UME43" s="380" t="e">
        <f t="shared" si="231"/>
        <v>#N/A</v>
      </c>
      <c r="UMF43" s="380" t="e">
        <f t="shared" si="231"/>
        <v>#N/A</v>
      </c>
      <c r="UMG43" s="380" t="e">
        <f t="shared" si="231"/>
        <v>#N/A</v>
      </c>
      <c r="UMH43" s="380" t="e">
        <f t="shared" si="231"/>
        <v>#N/A</v>
      </c>
      <c r="UMI43" s="380" t="e">
        <f t="shared" si="231"/>
        <v>#N/A</v>
      </c>
      <c r="UMJ43" s="380" t="e">
        <f t="shared" si="231"/>
        <v>#N/A</v>
      </c>
      <c r="UMK43" s="380" t="e">
        <f t="shared" si="231"/>
        <v>#N/A</v>
      </c>
      <c r="UML43" s="380" t="e">
        <f t="shared" si="231"/>
        <v>#N/A</v>
      </c>
      <c r="UMM43" s="380" t="e">
        <f t="shared" si="231"/>
        <v>#N/A</v>
      </c>
      <c r="UMN43" s="380" t="e">
        <f t="shared" si="231"/>
        <v>#N/A</v>
      </c>
      <c r="UMO43" s="380" t="e">
        <f t="shared" si="231"/>
        <v>#N/A</v>
      </c>
      <c r="UMP43" s="380" t="e">
        <f t="shared" si="231"/>
        <v>#N/A</v>
      </c>
      <c r="UMQ43" s="380" t="e">
        <f t="shared" si="231"/>
        <v>#N/A</v>
      </c>
      <c r="UMR43" s="380" t="e">
        <f t="shared" si="231"/>
        <v>#N/A</v>
      </c>
      <c r="UMS43" s="380" t="e">
        <f t="shared" si="231"/>
        <v>#N/A</v>
      </c>
      <c r="UMT43" s="380" t="e">
        <f t="shared" si="231"/>
        <v>#N/A</v>
      </c>
      <c r="UMU43" s="380" t="e">
        <f t="shared" si="231"/>
        <v>#N/A</v>
      </c>
      <c r="UMV43" s="380" t="e">
        <f t="shared" si="231"/>
        <v>#N/A</v>
      </c>
      <c r="UMW43" s="380" t="e">
        <f t="shared" si="231"/>
        <v>#N/A</v>
      </c>
      <c r="UMX43" s="380" t="e">
        <f t="shared" si="231"/>
        <v>#N/A</v>
      </c>
      <c r="UMY43" s="380" t="e">
        <f t="shared" si="231"/>
        <v>#N/A</v>
      </c>
      <c r="UMZ43" s="380" t="e">
        <f t="shared" si="231"/>
        <v>#N/A</v>
      </c>
      <c r="UNA43" s="380" t="e">
        <f t="shared" si="231"/>
        <v>#N/A</v>
      </c>
      <c r="UNB43" s="380" t="e">
        <f t="shared" si="231"/>
        <v>#N/A</v>
      </c>
      <c r="UNC43" s="380" t="e">
        <f t="shared" si="231"/>
        <v>#N/A</v>
      </c>
      <c r="UND43" s="380" t="e">
        <f t="shared" si="231"/>
        <v>#N/A</v>
      </c>
      <c r="UNE43" s="380" t="e">
        <f t="shared" si="231"/>
        <v>#N/A</v>
      </c>
      <c r="UNF43" s="380" t="e">
        <f t="shared" si="231"/>
        <v>#N/A</v>
      </c>
      <c r="UNG43" s="380" t="e">
        <f t="shared" si="231"/>
        <v>#N/A</v>
      </c>
      <c r="UNH43" s="380" t="e">
        <f t="shared" si="231"/>
        <v>#N/A</v>
      </c>
      <c r="UNI43" s="380" t="e">
        <f t="shared" si="231"/>
        <v>#N/A</v>
      </c>
      <c r="UNJ43" s="380" t="e">
        <f t="shared" si="231"/>
        <v>#N/A</v>
      </c>
      <c r="UNK43" s="380" t="e">
        <f t="shared" si="231"/>
        <v>#N/A</v>
      </c>
      <c r="UNL43" s="380" t="e">
        <f t="shared" si="231"/>
        <v>#N/A</v>
      </c>
      <c r="UNM43" s="380" t="e">
        <f t="shared" si="231"/>
        <v>#N/A</v>
      </c>
      <c r="UNN43" s="380" t="e">
        <f t="shared" si="231"/>
        <v>#N/A</v>
      </c>
      <c r="UNO43" s="380" t="e">
        <f t="shared" si="231"/>
        <v>#N/A</v>
      </c>
      <c r="UNP43" s="380" t="e">
        <f t="shared" si="231"/>
        <v>#N/A</v>
      </c>
      <c r="UNQ43" s="380" t="e">
        <f t="shared" si="231"/>
        <v>#N/A</v>
      </c>
      <c r="UNR43" s="380" t="e">
        <f t="shared" si="231"/>
        <v>#N/A</v>
      </c>
      <c r="UNS43" s="380" t="e">
        <f t="shared" si="231"/>
        <v>#N/A</v>
      </c>
      <c r="UNT43" s="380" t="e">
        <f t="shared" si="231"/>
        <v>#N/A</v>
      </c>
      <c r="UNU43" s="380" t="e">
        <f t="shared" si="231"/>
        <v>#N/A</v>
      </c>
      <c r="UNV43" s="380" t="e">
        <f t="shared" si="231"/>
        <v>#N/A</v>
      </c>
      <c r="UNW43" s="380" t="e">
        <f t="shared" si="231"/>
        <v>#N/A</v>
      </c>
      <c r="UNX43" s="380" t="e">
        <f t="shared" si="231"/>
        <v>#N/A</v>
      </c>
      <c r="UNY43" s="380" t="e">
        <f t="shared" si="231"/>
        <v>#N/A</v>
      </c>
      <c r="UNZ43" s="380" t="e">
        <f t="shared" si="231"/>
        <v>#N/A</v>
      </c>
      <c r="UOA43" s="380" t="e">
        <f t="shared" si="231"/>
        <v>#N/A</v>
      </c>
      <c r="UOB43" s="380" t="e">
        <f t="shared" si="231"/>
        <v>#N/A</v>
      </c>
      <c r="UOC43" s="380" t="e">
        <f t="shared" si="231"/>
        <v>#N/A</v>
      </c>
      <c r="UOD43" s="380" t="e">
        <f t="shared" si="231"/>
        <v>#N/A</v>
      </c>
      <c r="UOE43" s="380" t="e">
        <f t="shared" si="231"/>
        <v>#N/A</v>
      </c>
      <c r="UOF43" s="380" t="e">
        <f t="shared" si="231"/>
        <v>#N/A</v>
      </c>
      <c r="UOG43" s="380" t="e">
        <f t="shared" si="231"/>
        <v>#N/A</v>
      </c>
      <c r="UOH43" s="380" t="e">
        <f t="shared" si="231"/>
        <v>#N/A</v>
      </c>
      <c r="UOI43" s="380" t="e">
        <f t="shared" si="231"/>
        <v>#N/A</v>
      </c>
      <c r="UOJ43" s="380" t="e">
        <f t="shared" si="231"/>
        <v>#N/A</v>
      </c>
      <c r="UOK43" s="380" t="e">
        <f t="shared" si="231"/>
        <v>#N/A</v>
      </c>
      <c r="UOL43" s="380" t="e">
        <f t="shared" si="231"/>
        <v>#N/A</v>
      </c>
      <c r="UOM43" s="380" t="e">
        <f t="shared" si="231"/>
        <v>#N/A</v>
      </c>
      <c r="UON43" s="380" t="e">
        <f t="shared" ref="UON43:UQY43" si="232">INDEX(UON7:UON40,MATCH($E$43,$E$7:$E$40,0))</f>
        <v>#N/A</v>
      </c>
      <c r="UOO43" s="380" t="e">
        <f t="shared" si="232"/>
        <v>#N/A</v>
      </c>
      <c r="UOP43" s="380" t="e">
        <f t="shared" si="232"/>
        <v>#N/A</v>
      </c>
      <c r="UOQ43" s="380" t="e">
        <f t="shared" si="232"/>
        <v>#N/A</v>
      </c>
      <c r="UOR43" s="380" t="e">
        <f t="shared" si="232"/>
        <v>#N/A</v>
      </c>
      <c r="UOS43" s="380" t="e">
        <f t="shared" si="232"/>
        <v>#N/A</v>
      </c>
      <c r="UOT43" s="380" t="e">
        <f t="shared" si="232"/>
        <v>#N/A</v>
      </c>
      <c r="UOU43" s="380" t="e">
        <f t="shared" si="232"/>
        <v>#N/A</v>
      </c>
      <c r="UOV43" s="380" t="e">
        <f t="shared" si="232"/>
        <v>#N/A</v>
      </c>
      <c r="UOW43" s="380" t="e">
        <f t="shared" si="232"/>
        <v>#N/A</v>
      </c>
      <c r="UOX43" s="380" t="e">
        <f t="shared" si="232"/>
        <v>#N/A</v>
      </c>
      <c r="UOY43" s="380" t="e">
        <f t="shared" si="232"/>
        <v>#N/A</v>
      </c>
      <c r="UOZ43" s="380" t="e">
        <f t="shared" si="232"/>
        <v>#N/A</v>
      </c>
      <c r="UPA43" s="380" t="e">
        <f t="shared" si="232"/>
        <v>#N/A</v>
      </c>
      <c r="UPB43" s="380" t="e">
        <f t="shared" si="232"/>
        <v>#N/A</v>
      </c>
      <c r="UPC43" s="380" t="e">
        <f t="shared" si="232"/>
        <v>#N/A</v>
      </c>
      <c r="UPD43" s="380" t="e">
        <f t="shared" si="232"/>
        <v>#N/A</v>
      </c>
      <c r="UPE43" s="380" t="e">
        <f t="shared" si="232"/>
        <v>#N/A</v>
      </c>
      <c r="UPF43" s="380" t="e">
        <f t="shared" si="232"/>
        <v>#N/A</v>
      </c>
      <c r="UPG43" s="380" t="e">
        <f t="shared" si="232"/>
        <v>#N/A</v>
      </c>
      <c r="UPH43" s="380" t="e">
        <f t="shared" si="232"/>
        <v>#N/A</v>
      </c>
      <c r="UPI43" s="380" t="e">
        <f t="shared" si="232"/>
        <v>#N/A</v>
      </c>
      <c r="UPJ43" s="380" t="e">
        <f t="shared" si="232"/>
        <v>#N/A</v>
      </c>
      <c r="UPK43" s="380" t="e">
        <f t="shared" si="232"/>
        <v>#N/A</v>
      </c>
      <c r="UPL43" s="380" t="e">
        <f t="shared" si="232"/>
        <v>#N/A</v>
      </c>
      <c r="UPM43" s="380" t="e">
        <f t="shared" si="232"/>
        <v>#N/A</v>
      </c>
      <c r="UPN43" s="380" t="e">
        <f t="shared" si="232"/>
        <v>#N/A</v>
      </c>
      <c r="UPO43" s="380" t="e">
        <f t="shared" si="232"/>
        <v>#N/A</v>
      </c>
      <c r="UPP43" s="380" t="e">
        <f t="shared" si="232"/>
        <v>#N/A</v>
      </c>
      <c r="UPQ43" s="380" t="e">
        <f t="shared" si="232"/>
        <v>#N/A</v>
      </c>
      <c r="UPR43" s="380" t="e">
        <f t="shared" si="232"/>
        <v>#N/A</v>
      </c>
      <c r="UPS43" s="380" t="e">
        <f t="shared" si="232"/>
        <v>#N/A</v>
      </c>
      <c r="UPT43" s="380" t="e">
        <f t="shared" si="232"/>
        <v>#N/A</v>
      </c>
      <c r="UPU43" s="380" t="e">
        <f t="shared" si="232"/>
        <v>#N/A</v>
      </c>
      <c r="UPV43" s="380" t="e">
        <f t="shared" si="232"/>
        <v>#N/A</v>
      </c>
      <c r="UPW43" s="380" t="e">
        <f t="shared" si="232"/>
        <v>#N/A</v>
      </c>
      <c r="UPX43" s="380" t="e">
        <f t="shared" si="232"/>
        <v>#N/A</v>
      </c>
      <c r="UPY43" s="380" t="e">
        <f t="shared" si="232"/>
        <v>#N/A</v>
      </c>
      <c r="UPZ43" s="380" t="e">
        <f t="shared" si="232"/>
        <v>#N/A</v>
      </c>
      <c r="UQA43" s="380" t="e">
        <f t="shared" si="232"/>
        <v>#N/A</v>
      </c>
      <c r="UQB43" s="380" t="e">
        <f t="shared" si="232"/>
        <v>#N/A</v>
      </c>
      <c r="UQC43" s="380" t="e">
        <f t="shared" si="232"/>
        <v>#N/A</v>
      </c>
      <c r="UQD43" s="380" t="e">
        <f t="shared" si="232"/>
        <v>#N/A</v>
      </c>
      <c r="UQE43" s="380" t="e">
        <f t="shared" si="232"/>
        <v>#N/A</v>
      </c>
      <c r="UQF43" s="380" t="e">
        <f t="shared" si="232"/>
        <v>#N/A</v>
      </c>
      <c r="UQG43" s="380" t="e">
        <f t="shared" si="232"/>
        <v>#N/A</v>
      </c>
      <c r="UQH43" s="380" t="e">
        <f t="shared" si="232"/>
        <v>#N/A</v>
      </c>
      <c r="UQI43" s="380" t="e">
        <f t="shared" si="232"/>
        <v>#N/A</v>
      </c>
      <c r="UQJ43" s="380" t="e">
        <f t="shared" si="232"/>
        <v>#N/A</v>
      </c>
      <c r="UQK43" s="380" t="e">
        <f t="shared" si="232"/>
        <v>#N/A</v>
      </c>
      <c r="UQL43" s="380" t="e">
        <f t="shared" si="232"/>
        <v>#N/A</v>
      </c>
      <c r="UQM43" s="380" t="e">
        <f t="shared" si="232"/>
        <v>#N/A</v>
      </c>
      <c r="UQN43" s="380" t="e">
        <f t="shared" si="232"/>
        <v>#N/A</v>
      </c>
      <c r="UQO43" s="380" t="e">
        <f t="shared" si="232"/>
        <v>#N/A</v>
      </c>
      <c r="UQP43" s="380" t="e">
        <f t="shared" si="232"/>
        <v>#N/A</v>
      </c>
      <c r="UQQ43" s="380" t="e">
        <f t="shared" si="232"/>
        <v>#N/A</v>
      </c>
      <c r="UQR43" s="380" t="e">
        <f t="shared" si="232"/>
        <v>#N/A</v>
      </c>
      <c r="UQS43" s="380" t="e">
        <f t="shared" si="232"/>
        <v>#N/A</v>
      </c>
      <c r="UQT43" s="380" t="e">
        <f t="shared" si="232"/>
        <v>#N/A</v>
      </c>
      <c r="UQU43" s="380" t="e">
        <f t="shared" si="232"/>
        <v>#N/A</v>
      </c>
      <c r="UQV43" s="380" t="e">
        <f t="shared" si="232"/>
        <v>#N/A</v>
      </c>
      <c r="UQW43" s="380" t="e">
        <f t="shared" si="232"/>
        <v>#N/A</v>
      </c>
      <c r="UQX43" s="380" t="e">
        <f t="shared" si="232"/>
        <v>#N/A</v>
      </c>
      <c r="UQY43" s="380" t="e">
        <f t="shared" si="232"/>
        <v>#N/A</v>
      </c>
      <c r="UQZ43" s="380" t="e">
        <f t="shared" ref="UQZ43:UTK43" si="233">INDEX(UQZ7:UQZ40,MATCH($E$43,$E$7:$E$40,0))</f>
        <v>#N/A</v>
      </c>
      <c r="URA43" s="380" t="e">
        <f t="shared" si="233"/>
        <v>#N/A</v>
      </c>
      <c r="URB43" s="380" t="e">
        <f t="shared" si="233"/>
        <v>#N/A</v>
      </c>
      <c r="URC43" s="380" t="e">
        <f t="shared" si="233"/>
        <v>#N/A</v>
      </c>
      <c r="URD43" s="380" t="e">
        <f t="shared" si="233"/>
        <v>#N/A</v>
      </c>
      <c r="URE43" s="380" t="e">
        <f t="shared" si="233"/>
        <v>#N/A</v>
      </c>
      <c r="URF43" s="380" t="e">
        <f t="shared" si="233"/>
        <v>#N/A</v>
      </c>
      <c r="URG43" s="380" t="e">
        <f t="shared" si="233"/>
        <v>#N/A</v>
      </c>
      <c r="URH43" s="380" t="e">
        <f t="shared" si="233"/>
        <v>#N/A</v>
      </c>
      <c r="URI43" s="380" t="e">
        <f t="shared" si="233"/>
        <v>#N/A</v>
      </c>
      <c r="URJ43" s="380" t="e">
        <f t="shared" si="233"/>
        <v>#N/A</v>
      </c>
      <c r="URK43" s="380" t="e">
        <f t="shared" si="233"/>
        <v>#N/A</v>
      </c>
      <c r="URL43" s="380" t="e">
        <f t="shared" si="233"/>
        <v>#N/A</v>
      </c>
      <c r="URM43" s="380" t="e">
        <f t="shared" si="233"/>
        <v>#N/A</v>
      </c>
      <c r="URN43" s="380" t="e">
        <f t="shared" si="233"/>
        <v>#N/A</v>
      </c>
      <c r="URO43" s="380" t="e">
        <f t="shared" si="233"/>
        <v>#N/A</v>
      </c>
      <c r="URP43" s="380" t="e">
        <f t="shared" si="233"/>
        <v>#N/A</v>
      </c>
      <c r="URQ43" s="380" t="e">
        <f t="shared" si="233"/>
        <v>#N/A</v>
      </c>
      <c r="URR43" s="380" t="e">
        <f t="shared" si="233"/>
        <v>#N/A</v>
      </c>
      <c r="URS43" s="380" t="e">
        <f t="shared" si="233"/>
        <v>#N/A</v>
      </c>
      <c r="URT43" s="380" t="e">
        <f t="shared" si="233"/>
        <v>#N/A</v>
      </c>
      <c r="URU43" s="380" t="e">
        <f t="shared" si="233"/>
        <v>#N/A</v>
      </c>
      <c r="URV43" s="380" t="e">
        <f t="shared" si="233"/>
        <v>#N/A</v>
      </c>
      <c r="URW43" s="380" t="e">
        <f t="shared" si="233"/>
        <v>#N/A</v>
      </c>
      <c r="URX43" s="380" t="e">
        <f t="shared" si="233"/>
        <v>#N/A</v>
      </c>
      <c r="URY43" s="380" t="e">
        <f t="shared" si="233"/>
        <v>#N/A</v>
      </c>
      <c r="URZ43" s="380" t="e">
        <f t="shared" si="233"/>
        <v>#N/A</v>
      </c>
      <c r="USA43" s="380" t="e">
        <f t="shared" si="233"/>
        <v>#N/A</v>
      </c>
      <c r="USB43" s="380" t="e">
        <f t="shared" si="233"/>
        <v>#N/A</v>
      </c>
      <c r="USC43" s="380" t="e">
        <f t="shared" si="233"/>
        <v>#N/A</v>
      </c>
      <c r="USD43" s="380" t="e">
        <f t="shared" si="233"/>
        <v>#N/A</v>
      </c>
      <c r="USE43" s="380" t="e">
        <f t="shared" si="233"/>
        <v>#N/A</v>
      </c>
      <c r="USF43" s="380" t="e">
        <f t="shared" si="233"/>
        <v>#N/A</v>
      </c>
      <c r="USG43" s="380" t="e">
        <f t="shared" si="233"/>
        <v>#N/A</v>
      </c>
      <c r="USH43" s="380" t="e">
        <f t="shared" si="233"/>
        <v>#N/A</v>
      </c>
      <c r="USI43" s="380" t="e">
        <f t="shared" si="233"/>
        <v>#N/A</v>
      </c>
      <c r="USJ43" s="380" t="e">
        <f t="shared" si="233"/>
        <v>#N/A</v>
      </c>
      <c r="USK43" s="380" t="e">
        <f t="shared" si="233"/>
        <v>#N/A</v>
      </c>
      <c r="USL43" s="380" t="e">
        <f t="shared" si="233"/>
        <v>#N/A</v>
      </c>
      <c r="USM43" s="380" t="e">
        <f t="shared" si="233"/>
        <v>#N/A</v>
      </c>
      <c r="USN43" s="380" t="e">
        <f t="shared" si="233"/>
        <v>#N/A</v>
      </c>
      <c r="USO43" s="380" t="e">
        <f t="shared" si="233"/>
        <v>#N/A</v>
      </c>
      <c r="USP43" s="380" t="e">
        <f t="shared" si="233"/>
        <v>#N/A</v>
      </c>
      <c r="USQ43" s="380" t="e">
        <f t="shared" si="233"/>
        <v>#N/A</v>
      </c>
      <c r="USR43" s="380" t="e">
        <f t="shared" si="233"/>
        <v>#N/A</v>
      </c>
      <c r="USS43" s="380" t="e">
        <f t="shared" si="233"/>
        <v>#N/A</v>
      </c>
      <c r="UST43" s="380" t="e">
        <f t="shared" si="233"/>
        <v>#N/A</v>
      </c>
      <c r="USU43" s="380" t="e">
        <f t="shared" si="233"/>
        <v>#N/A</v>
      </c>
      <c r="USV43" s="380" t="e">
        <f t="shared" si="233"/>
        <v>#N/A</v>
      </c>
      <c r="USW43" s="380" t="e">
        <f t="shared" si="233"/>
        <v>#N/A</v>
      </c>
      <c r="USX43" s="380" t="e">
        <f t="shared" si="233"/>
        <v>#N/A</v>
      </c>
      <c r="USY43" s="380" t="e">
        <f t="shared" si="233"/>
        <v>#N/A</v>
      </c>
      <c r="USZ43" s="380" t="e">
        <f t="shared" si="233"/>
        <v>#N/A</v>
      </c>
      <c r="UTA43" s="380" t="e">
        <f t="shared" si="233"/>
        <v>#N/A</v>
      </c>
      <c r="UTB43" s="380" t="e">
        <f t="shared" si="233"/>
        <v>#N/A</v>
      </c>
      <c r="UTC43" s="380" t="e">
        <f t="shared" si="233"/>
        <v>#N/A</v>
      </c>
      <c r="UTD43" s="380" t="e">
        <f t="shared" si="233"/>
        <v>#N/A</v>
      </c>
      <c r="UTE43" s="380" t="e">
        <f t="shared" si="233"/>
        <v>#N/A</v>
      </c>
      <c r="UTF43" s="380" t="e">
        <f t="shared" si="233"/>
        <v>#N/A</v>
      </c>
      <c r="UTG43" s="380" t="e">
        <f t="shared" si="233"/>
        <v>#N/A</v>
      </c>
      <c r="UTH43" s="380" t="e">
        <f t="shared" si="233"/>
        <v>#N/A</v>
      </c>
      <c r="UTI43" s="380" t="e">
        <f t="shared" si="233"/>
        <v>#N/A</v>
      </c>
      <c r="UTJ43" s="380" t="e">
        <f t="shared" si="233"/>
        <v>#N/A</v>
      </c>
      <c r="UTK43" s="380" t="e">
        <f t="shared" si="233"/>
        <v>#N/A</v>
      </c>
      <c r="UTL43" s="380" t="e">
        <f t="shared" ref="UTL43:UVW43" si="234">INDEX(UTL7:UTL40,MATCH($E$43,$E$7:$E$40,0))</f>
        <v>#N/A</v>
      </c>
      <c r="UTM43" s="380" t="e">
        <f t="shared" si="234"/>
        <v>#N/A</v>
      </c>
      <c r="UTN43" s="380" t="e">
        <f t="shared" si="234"/>
        <v>#N/A</v>
      </c>
      <c r="UTO43" s="380" t="e">
        <f t="shared" si="234"/>
        <v>#N/A</v>
      </c>
      <c r="UTP43" s="380" t="e">
        <f t="shared" si="234"/>
        <v>#N/A</v>
      </c>
      <c r="UTQ43" s="380" t="e">
        <f t="shared" si="234"/>
        <v>#N/A</v>
      </c>
      <c r="UTR43" s="380" t="e">
        <f t="shared" si="234"/>
        <v>#N/A</v>
      </c>
      <c r="UTS43" s="380" t="e">
        <f t="shared" si="234"/>
        <v>#N/A</v>
      </c>
      <c r="UTT43" s="380" t="e">
        <f t="shared" si="234"/>
        <v>#N/A</v>
      </c>
      <c r="UTU43" s="380" t="e">
        <f t="shared" si="234"/>
        <v>#N/A</v>
      </c>
      <c r="UTV43" s="380" t="e">
        <f t="shared" si="234"/>
        <v>#N/A</v>
      </c>
      <c r="UTW43" s="380" t="e">
        <f t="shared" si="234"/>
        <v>#N/A</v>
      </c>
      <c r="UTX43" s="380" t="e">
        <f t="shared" si="234"/>
        <v>#N/A</v>
      </c>
      <c r="UTY43" s="380" t="e">
        <f t="shared" si="234"/>
        <v>#N/A</v>
      </c>
      <c r="UTZ43" s="380" t="e">
        <f t="shared" si="234"/>
        <v>#N/A</v>
      </c>
      <c r="UUA43" s="380" t="e">
        <f t="shared" si="234"/>
        <v>#N/A</v>
      </c>
      <c r="UUB43" s="380" t="e">
        <f t="shared" si="234"/>
        <v>#N/A</v>
      </c>
      <c r="UUC43" s="380" t="e">
        <f t="shared" si="234"/>
        <v>#N/A</v>
      </c>
      <c r="UUD43" s="380" t="e">
        <f t="shared" si="234"/>
        <v>#N/A</v>
      </c>
      <c r="UUE43" s="380" t="e">
        <f t="shared" si="234"/>
        <v>#N/A</v>
      </c>
      <c r="UUF43" s="380" t="e">
        <f t="shared" si="234"/>
        <v>#N/A</v>
      </c>
      <c r="UUG43" s="380" t="e">
        <f t="shared" si="234"/>
        <v>#N/A</v>
      </c>
      <c r="UUH43" s="380" t="e">
        <f t="shared" si="234"/>
        <v>#N/A</v>
      </c>
      <c r="UUI43" s="380" t="e">
        <f t="shared" si="234"/>
        <v>#N/A</v>
      </c>
      <c r="UUJ43" s="380" t="e">
        <f t="shared" si="234"/>
        <v>#N/A</v>
      </c>
      <c r="UUK43" s="380" t="e">
        <f t="shared" si="234"/>
        <v>#N/A</v>
      </c>
      <c r="UUL43" s="380" t="e">
        <f t="shared" si="234"/>
        <v>#N/A</v>
      </c>
      <c r="UUM43" s="380" t="e">
        <f t="shared" si="234"/>
        <v>#N/A</v>
      </c>
      <c r="UUN43" s="380" t="e">
        <f t="shared" si="234"/>
        <v>#N/A</v>
      </c>
      <c r="UUO43" s="380" t="e">
        <f t="shared" si="234"/>
        <v>#N/A</v>
      </c>
      <c r="UUP43" s="380" t="e">
        <f t="shared" si="234"/>
        <v>#N/A</v>
      </c>
      <c r="UUQ43" s="380" t="e">
        <f t="shared" si="234"/>
        <v>#N/A</v>
      </c>
      <c r="UUR43" s="380" t="e">
        <f t="shared" si="234"/>
        <v>#N/A</v>
      </c>
      <c r="UUS43" s="380" t="e">
        <f t="shared" si="234"/>
        <v>#N/A</v>
      </c>
      <c r="UUT43" s="380" t="e">
        <f t="shared" si="234"/>
        <v>#N/A</v>
      </c>
      <c r="UUU43" s="380" t="e">
        <f t="shared" si="234"/>
        <v>#N/A</v>
      </c>
      <c r="UUV43" s="380" t="e">
        <f t="shared" si="234"/>
        <v>#N/A</v>
      </c>
      <c r="UUW43" s="380" t="e">
        <f t="shared" si="234"/>
        <v>#N/A</v>
      </c>
      <c r="UUX43" s="380" t="e">
        <f t="shared" si="234"/>
        <v>#N/A</v>
      </c>
      <c r="UUY43" s="380" t="e">
        <f t="shared" si="234"/>
        <v>#N/A</v>
      </c>
      <c r="UUZ43" s="380" t="e">
        <f t="shared" si="234"/>
        <v>#N/A</v>
      </c>
      <c r="UVA43" s="380" t="e">
        <f t="shared" si="234"/>
        <v>#N/A</v>
      </c>
      <c r="UVB43" s="380" t="e">
        <f t="shared" si="234"/>
        <v>#N/A</v>
      </c>
      <c r="UVC43" s="380" t="e">
        <f t="shared" si="234"/>
        <v>#N/A</v>
      </c>
      <c r="UVD43" s="380" t="e">
        <f t="shared" si="234"/>
        <v>#N/A</v>
      </c>
      <c r="UVE43" s="380" t="e">
        <f t="shared" si="234"/>
        <v>#N/A</v>
      </c>
      <c r="UVF43" s="380" t="e">
        <f t="shared" si="234"/>
        <v>#N/A</v>
      </c>
      <c r="UVG43" s="380" t="e">
        <f t="shared" si="234"/>
        <v>#N/A</v>
      </c>
      <c r="UVH43" s="380" t="e">
        <f t="shared" si="234"/>
        <v>#N/A</v>
      </c>
      <c r="UVI43" s="380" t="e">
        <f t="shared" si="234"/>
        <v>#N/A</v>
      </c>
      <c r="UVJ43" s="380" t="e">
        <f t="shared" si="234"/>
        <v>#N/A</v>
      </c>
      <c r="UVK43" s="380" t="e">
        <f t="shared" si="234"/>
        <v>#N/A</v>
      </c>
      <c r="UVL43" s="380" t="e">
        <f t="shared" si="234"/>
        <v>#N/A</v>
      </c>
      <c r="UVM43" s="380" t="e">
        <f t="shared" si="234"/>
        <v>#N/A</v>
      </c>
      <c r="UVN43" s="380" t="e">
        <f t="shared" si="234"/>
        <v>#N/A</v>
      </c>
      <c r="UVO43" s="380" t="e">
        <f t="shared" si="234"/>
        <v>#N/A</v>
      </c>
      <c r="UVP43" s="380" t="e">
        <f t="shared" si="234"/>
        <v>#N/A</v>
      </c>
      <c r="UVQ43" s="380" t="e">
        <f t="shared" si="234"/>
        <v>#N/A</v>
      </c>
      <c r="UVR43" s="380" t="e">
        <f t="shared" si="234"/>
        <v>#N/A</v>
      </c>
      <c r="UVS43" s="380" t="e">
        <f t="shared" si="234"/>
        <v>#N/A</v>
      </c>
      <c r="UVT43" s="380" t="e">
        <f t="shared" si="234"/>
        <v>#N/A</v>
      </c>
      <c r="UVU43" s="380" t="e">
        <f t="shared" si="234"/>
        <v>#N/A</v>
      </c>
      <c r="UVV43" s="380" t="e">
        <f t="shared" si="234"/>
        <v>#N/A</v>
      </c>
      <c r="UVW43" s="380" t="e">
        <f t="shared" si="234"/>
        <v>#N/A</v>
      </c>
      <c r="UVX43" s="380" t="e">
        <f t="shared" ref="UVX43:UYI43" si="235">INDEX(UVX7:UVX40,MATCH($E$43,$E$7:$E$40,0))</f>
        <v>#N/A</v>
      </c>
      <c r="UVY43" s="380" t="e">
        <f t="shared" si="235"/>
        <v>#N/A</v>
      </c>
      <c r="UVZ43" s="380" t="e">
        <f t="shared" si="235"/>
        <v>#N/A</v>
      </c>
      <c r="UWA43" s="380" t="e">
        <f t="shared" si="235"/>
        <v>#N/A</v>
      </c>
      <c r="UWB43" s="380" t="e">
        <f t="shared" si="235"/>
        <v>#N/A</v>
      </c>
      <c r="UWC43" s="380" t="e">
        <f t="shared" si="235"/>
        <v>#N/A</v>
      </c>
      <c r="UWD43" s="380" t="e">
        <f t="shared" si="235"/>
        <v>#N/A</v>
      </c>
      <c r="UWE43" s="380" t="e">
        <f t="shared" si="235"/>
        <v>#N/A</v>
      </c>
      <c r="UWF43" s="380" t="e">
        <f t="shared" si="235"/>
        <v>#N/A</v>
      </c>
      <c r="UWG43" s="380" t="e">
        <f t="shared" si="235"/>
        <v>#N/A</v>
      </c>
      <c r="UWH43" s="380" t="e">
        <f t="shared" si="235"/>
        <v>#N/A</v>
      </c>
      <c r="UWI43" s="380" t="e">
        <f t="shared" si="235"/>
        <v>#N/A</v>
      </c>
      <c r="UWJ43" s="380" t="e">
        <f t="shared" si="235"/>
        <v>#N/A</v>
      </c>
      <c r="UWK43" s="380" t="e">
        <f t="shared" si="235"/>
        <v>#N/A</v>
      </c>
      <c r="UWL43" s="380" t="e">
        <f t="shared" si="235"/>
        <v>#N/A</v>
      </c>
      <c r="UWM43" s="380" t="e">
        <f t="shared" si="235"/>
        <v>#N/A</v>
      </c>
      <c r="UWN43" s="380" t="e">
        <f t="shared" si="235"/>
        <v>#N/A</v>
      </c>
      <c r="UWO43" s="380" t="e">
        <f t="shared" si="235"/>
        <v>#N/A</v>
      </c>
      <c r="UWP43" s="380" t="e">
        <f t="shared" si="235"/>
        <v>#N/A</v>
      </c>
      <c r="UWQ43" s="380" t="e">
        <f t="shared" si="235"/>
        <v>#N/A</v>
      </c>
      <c r="UWR43" s="380" t="e">
        <f t="shared" si="235"/>
        <v>#N/A</v>
      </c>
      <c r="UWS43" s="380" t="e">
        <f t="shared" si="235"/>
        <v>#N/A</v>
      </c>
      <c r="UWT43" s="380" t="e">
        <f t="shared" si="235"/>
        <v>#N/A</v>
      </c>
      <c r="UWU43" s="380" t="e">
        <f t="shared" si="235"/>
        <v>#N/A</v>
      </c>
      <c r="UWV43" s="380" t="e">
        <f t="shared" si="235"/>
        <v>#N/A</v>
      </c>
      <c r="UWW43" s="380" t="e">
        <f t="shared" si="235"/>
        <v>#N/A</v>
      </c>
      <c r="UWX43" s="380" t="e">
        <f t="shared" si="235"/>
        <v>#N/A</v>
      </c>
      <c r="UWY43" s="380" t="e">
        <f t="shared" si="235"/>
        <v>#N/A</v>
      </c>
      <c r="UWZ43" s="380" t="e">
        <f t="shared" si="235"/>
        <v>#N/A</v>
      </c>
      <c r="UXA43" s="380" t="e">
        <f t="shared" si="235"/>
        <v>#N/A</v>
      </c>
      <c r="UXB43" s="380" t="e">
        <f t="shared" si="235"/>
        <v>#N/A</v>
      </c>
      <c r="UXC43" s="380" t="e">
        <f t="shared" si="235"/>
        <v>#N/A</v>
      </c>
      <c r="UXD43" s="380" t="e">
        <f t="shared" si="235"/>
        <v>#N/A</v>
      </c>
      <c r="UXE43" s="380" t="e">
        <f t="shared" si="235"/>
        <v>#N/A</v>
      </c>
      <c r="UXF43" s="380" t="e">
        <f t="shared" si="235"/>
        <v>#N/A</v>
      </c>
      <c r="UXG43" s="380" t="e">
        <f t="shared" si="235"/>
        <v>#N/A</v>
      </c>
      <c r="UXH43" s="380" t="e">
        <f t="shared" si="235"/>
        <v>#N/A</v>
      </c>
      <c r="UXI43" s="380" t="e">
        <f t="shared" si="235"/>
        <v>#N/A</v>
      </c>
      <c r="UXJ43" s="380" t="e">
        <f t="shared" si="235"/>
        <v>#N/A</v>
      </c>
      <c r="UXK43" s="380" t="e">
        <f t="shared" si="235"/>
        <v>#N/A</v>
      </c>
      <c r="UXL43" s="380" t="e">
        <f t="shared" si="235"/>
        <v>#N/A</v>
      </c>
      <c r="UXM43" s="380" t="e">
        <f t="shared" si="235"/>
        <v>#N/A</v>
      </c>
      <c r="UXN43" s="380" t="e">
        <f t="shared" si="235"/>
        <v>#N/A</v>
      </c>
      <c r="UXO43" s="380" t="e">
        <f t="shared" si="235"/>
        <v>#N/A</v>
      </c>
      <c r="UXP43" s="380" t="e">
        <f t="shared" si="235"/>
        <v>#N/A</v>
      </c>
      <c r="UXQ43" s="380" t="e">
        <f t="shared" si="235"/>
        <v>#N/A</v>
      </c>
      <c r="UXR43" s="380" t="e">
        <f t="shared" si="235"/>
        <v>#N/A</v>
      </c>
      <c r="UXS43" s="380" t="e">
        <f t="shared" si="235"/>
        <v>#N/A</v>
      </c>
      <c r="UXT43" s="380" t="e">
        <f t="shared" si="235"/>
        <v>#N/A</v>
      </c>
      <c r="UXU43" s="380" t="e">
        <f t="shared" si="235"/>
        <v>#N/A</v>
      </c>
      <c r="UXV43" s="380" t="e">
        <f t="shared" si="235"/>
        <v>#N/A</v>
      </c>
      <c r="UXW43" s="380" t="e">
        <f t="shared" si="235"/>
        <v>#N/A</v>
      </c>
      <c r="UXX43" s="380" t="e">
        <f t="shared" si="235"/>
        <v>#N/A</v>
      </c>
      <c r="UXY43" s="380" t="e">
        <f t="shared" si="235"/>
        <v>#N/A</v>
      </c>
      <c r="UXZ43" s="380" t="e">
        <f t="shared" si="235"/>
        <v>#N/A</v>
      </c>
      <c r="UYA43" s="380" t="e">
        <f t="shared" si="235"/>
        <v>#N/A</v>
      </c>
      <c r="UYB43" s="380" t="e">
        <f t="shared" si="235"/>
        <v>#N/A</v>
      </c>
      <c r="UYC43" s="380" t="e">
        <f t="shared" si="235"/>
        <v>#N/A</v>
      </c>
      <c r="UYD43" s="380" t="e">
        <f t="shared" si="235"/>
        <v>#N/A</v>
      </c>
      <c r="UYE43" s="380" t="e">
        <f t="shared" si="235"/>
        <v>#N/A</v>
      </c>
      <c r="UYF43" s="380" t="e">
        <f t="shared" si="235"/>
        <v>#N/A</v>
      </c>
      <c r="UYG43" s="380" t="e">
        <f t="shared" si="235"/>
        <v>#N/A</v>
      </c>
      <c r="UYH43" s="380" t="e">
        <f t="shared" si="235"/>
        <v>#N/A</v>
      </c>
      <c r="UYI43" s="380" t="e">
        <f t="shared" si="235"/>
        <v>#N/A</v>
      </c>
      <c r="UYJ43" s="380" t="e">
        <f t="shared" ref="UYJ43:VAU43" si="236">INDEX(UYJ7:UYJ40,MATCH($E$43,$E$7:$E$40,0))</f>
        <v>#N/A</v>
      </c>
      <c r="UYK43" s="380" t="e">
        <f t="shared" si="236"/>
        <v>#N/A</v>
      </c>
      <c r="UYL43" s="380" t="e">
        <f t="shared" si="236"/>
        <v>#N/A</v>
      </c>
      <c r="UYM43" s="380" t="e">
        <f t="shared" si="236"/>
        <v>#N/A</v>
      </c>
      <c r="UYN43" s="380" t="e">
        <f t="shared" si="236"/>
        <v>#N/A</v>
      </c>
      <c r="UYO43" s="380" t="e">
        <f t="shared" si="236"/>
        <v>#N/A</v>
      </c>
      <c r="UYP43" s="380" t="e">
        <f t="shared" si="236"/>
        <v>#N/A</v>
      </c>
      <c r="UYQ43" s="380" t="e">
        <f t="shared" si="236"/>
        <v>#N/A</v>
      </c>
      <c r="UYR43" s="380" t="e">
        <f t="shared" si="236"/>
        <v>#N/A</v>
      </c>
      <c r="UYS43" s="380" t="e">
        <f t="shared" si="236"/>
        <v>#N/A</v>
      </c>
      <c r="UYT43" s="380" t="e">
        <f t="shared" si="236"/>
        <v>#N/A</v>
      </c>
      <c r="UYU43" s="380" t="e">
        <f t="shared" si="236"/>
        <v>#N/A</v>
      </c>
      <c r="UYV43" s="380" t="e">
        <f t="shared" si="236"/>
        <v>#N/A</v>
      </c>
      <c r="UYW43" s="380" t="e">
        <f t="shared" si="236"/>
        <v>#N/A</v>
      </c>
      <c r="UYX43" s="380" t="e">
        <f t="shared" si="236"/>
        <v>#N/A</v>
      </c>
      <c r="UYY43" s="380" t="e">
        <f t="shared" si="236"/>
        <v>#N/A</v>
      </c>
      <c r="UYZ43" s="380" t="e">
        <f t="shared" si="236"/>
        <v>#N/A</v>
      </c>
      <c r="UZA43" s="380" t="e">
        <f t="shared" si="236"/>
        <v>#N/A</v>
      </c>
      <c r="UZB43" s="380" t="e">
        <f t="shared" si="236"/>
        <v>#N/A</v>
      </c>
      <c r="UZC43" s="380" t="e">
        <f t="shared" si="236"/>
        <v>#N/A</v>
      </c>
      <c r="UZD43" s="380" t="e">
        <f t="shared" si="236"/>
        <v>#N/A</v>
      </c>
      <c r="UZE43" s="380" t="e">
        <f t="shared" si="236"/>
        <v>#N/A</v>
      </c>
      <c r="UZF43" s="380" t="e">
        <f t="shared" si="236"/>
        <v>#N/A</v>
      </c>
      <c r="UZG43" s="380" t="e">
        <f t="shared" si="236"/>
        <v>#N/A</v>
      </c>
      <c r="UZH43" s="380" t="e">
        <f t="shared" si="236"/>
        <v>#N/A</v>
      </c>
      <c r="UZI43" s="380" t="e">
        <f t="shared" si="236"/>
        <v>#N/A</v>
      </c>
      <c r="UZJ43" s="380" t="e">
        <f t="shared" si="236"/>
        <v>#N/A</v>
      </c>
      <c r="UZK43" s="380" t="e">
        <f t="shared" si="236"/>
        <v>#N/A</v>
      </c>
      <c r="UZL43" s="380" t="e">
        <f t="shared" si="236"/>
        <v>#N/A</v>
      </c>
      <c r="UZM43" s="380" t="e">
        <f t="shared" si="236"/>
        <v>#N/A</v>
      </c>
      <c r="UZN43" s="380" t="e">
        <f t="shared" si="236"/>
        <v>#N/A</v>
      </c>
      <c r="UZO43" s="380" t="e">
        <f t="shared" si="236"/>
        <v>#N/A</v>
      </c>
      <c r="UZP43" s="380" t="e">
        <f t="shared" si="236"/>
        <v>#N/A</v>
      </c>
      <c r="UZQ43" s="380" t="e">
        <f t="shared" si="236"/>
        <v>#N/A</v>
      </c>
      <c r="UZR43" s="380" t="e">
        <f t="shared" si="236"/>
        <v>#N/A</v>
      </c>
      <c r="UZS43" s="380" t="e">
        <f t="shared" si="236"/>
        <v>#N/A</v>
      </c>
      <c r="UZT43" s="380" t="e">
        <f t="shared" si="236"/>
        <v>#N/A</v>
      </c>
      <c r="UZU43" s="380" t="e">
        <f t="shared" si="236"/>
        <v>#N/A</v>
      </c>
      <c r="UZV43" s="380" t="e">
        <f t="shared" si="236"/>
        <v>#N/A</v>
      </c>
      <c r="UZW43" s="380" t="e">
        <f t="shared" si="236"/>
        <v>#N/A</v>
      </c>
      <c r="UZX43" s="380" t="e">
        <f t="shared" si="236"/>
        <v>#N/A</v>
      </c>
      <c r="UZY43" s="380" t="e">
        <f t="shared" si="236"/>
        <v>#N/A</v>
      </c>
      <c r="UZZ43" s="380" t="e">
        <f t="shared" si="236"/>
        <v>#N/A</v>
      </c>
      <c r="VAA43" s="380" t="e">
        <f t="shared" si="236"/>
        <v>#N/A</v>
      </c>
      <c r="VAB43" s="380" t="e">
        <f t="shared" si="236"/>
        <v>#N/A</v>
      </c>
      <c r="VAC43" s="380" t="e">
        <f t="shared" si="236"/>
        <v>#N/A</v>
      </c>
      <c r="VAD43" s="380" t="e">
        <f t="shared" si="236"/>
        <v>#N/A</v>
      </c>
      <c r="VAE43" s="380" t="e">
        <f t="shared" si="236"/>
        <v>#N/A</v>
      </c>
      <c r="VAF43" s="380" t="e">
        <f t="shared" si="236"/>
        <v>#N/A</v>
      </c>
      <c r="VAG43" s="380" t="e">
        <f t="shared" si="236"/>
        <v>#N/A</v>
      </c>
      <c r="VAH43" s="380" t="e">
        <f t="shared" si="236"/>
        <v>#N/A</v>
      </c>
      <c r="VAI43" s="380" t="e">
        <f t="shared" si="236"/>
        <v>#N/A</v>
      </c>
      <c r="VAJ43" s="380" t="e">
        <f t="shared" si="236"/>
        <v>#N/A</v>
      </c>
      <c r="VAK43" s="380" t="e">
        <f t="shared" si="236"/>
        <v>#N/A</v>
      </c>
      <c r="VAL43" s="380" t="e">
        <f t="shared" si="236"/>
        <v>#N/A</v>
      </c>
      <c r="VAM43" s="380" t="e">
        <f t="shared" si="236"/>
        <v>#N/A</v>
      </c>
      <c r="VAN43" s="380" t="e">
        <f t="shared" si="236"/>
        <v>#N/A</v>
      </c>
      <c r="VAO43" s="380" t="e">
        <f t="shared" si="236"/>
        <v>#N/A</v>
      </c>
      <c r="VAP43" s="380" t="e">
        <f t="shared" si="236"/>
        <v>#N/A</v>
      </c>
      <c r="VAQ43" s="380" t="e">
        <f t="shared" si="236"/>
        <v>#N/A</v>
      </c>
      <c r="VAR43" s="380" t="e">
        <f t="shared" si="236"/>
        <v>#N/A</v>
      </c>
      <c r="VAS43" s="380" t="e">
        <f t="shared" si="236"/>
        <v>#N/A</v>
      </c>
      <c r="VAT43" s="380" t="e">
        <f t="shared" si="236"/>
        <v>#N/A</v>
      </c>
      <c r="VAU43" s="380" t="e">
        <f t="shared" si="236"/>
        <v>#N/A</v>
      </c>
      <c r="VAV43" s="380" t="e">
        <f t="shared" ref="VAV43:VDG43" si="237">INDEX(VAV7:VAV40,MATCH($E$43,$E$7:$E$40,0))</f>
        <v>#N/A</v>
      </c>
      <c r="VAW43" s="380" t="e">
        <f t="shared" si="237"/>
        <v>#N/A</v>
      </c>
      <c r="VAX43" s="380" t="e">
        <f t="shared" si="237"/>
        <v>#N/A</v>
      </c>
      <c r="VAY43" s="380" t="e">
        <f t="shared" si="237"/>
        <v>#N/A</v>
      </c>
      <c r="VAZ43" s="380" t="e">
        <f t="shared" si="237"/>
        <v>#N/A</v>
      </c>
      <c r="VBA43" s="380" t="e">
        <f t="shared" si="237"/>
        <v>#N/A</v>
      </c>
      <c r="VBB43" s="380" t="e">
        <f t="shared" si="237"/>
        <v>#N/A</v>
      </c>
      <c r="VBC43" s="380" t="e">
        <f t="shared" si="237"/>
        <v>#N/A</v>
      </c>
      <c r="VBD43" s="380" t="e">
        <f t="shared" si="237"/>
        <v>#N/A</v>
      </c>
      <c r="VBE43" s="380" t="e">
        <f t="shared" si="237"/>
        <v>#N/A</v>
      </c>
      <c r="VBF43" s="380" t="e">
        <f t="shared" si="237"/>
        <v>#N/A</v>
      </c>
      <c r="VBG43" s="380" t="e">
        <f t="shared" si="237"/>
        <v>#N/A</v>
      </c>
      <c r="VBH43" s="380" t="e">
        <f t="shared" si="237"/>
        <v>#N/A</v>
      </c>
      <c r="VBI43" s="380" t="e">
        <f t="shared" si="237"/>
        <v>#N/A</v>
      </c>
      <c r="VBJ43" s="380" t="e">
        <f t="shared" si="237"/>
        <v>#N/A</v>
      </c>
      <c r="VBK43" s="380" t="e">
        <f t="shared" si="237"/>
        <v>#N/A</v>
      </c>
      <c r="VBL43" s="380" t="e">
        <f t="shared" si="237"/>
        <v>#N/A</v>
      </c>
      <c r="VBM43" s="380" t="e">
        <f t="shared" si="237"/>
        <v>#N/A</v>
      </c>
      <c r="VBN43" s="380" t="e">
        <f t="shared" si="237"/>
        <v>#N/A</v>
      </c>
      <c r="VBO43" s="380" t="e">
        <f t="shared" si="237"/>
        <v>#N/A</v>
      </c>
      <c r="VBP43" s="380" t="e">
        <f t="shared" si="237"/>
        <v>#N/A</v>
      </c>
      <c r="VBQ43" s="380" t="e">
        <f t="shared" si="237"/>
        <v>#N/A</v>
      </c>
      <c r="VBR43" s="380" t="e">
        <f t="shared" si="237"/>
        <v>#N/A</v>
      </c>
      <c r="VBS43" s="380" t="e">
        <f t="shared" si="237"/>
        <v>#N/A</v>
      </c>
      <c r="VBT43" s="380" t="e">
        <f t="shared" si="237"/>
        <v>#N/A</v>
      </c>
      <c r="VBU43" s="380" t="e">
        <f t="shared" si="237"/>
        <v>#N/A</v>
      </c>
      <c r="VBV43" s="380" t="e">
        <f t="shared" si="237"/>
        <v>#N/A</v>
      </c>
      <c r="VBW43" s="380" t="e">
        <f t="shared" si="237"/>
        <v>#N/A</v>
      </c>
      <c r="VBX43" s="380" t="e">
        <f t="shared" si="237"/>
        <v>#N/A</v>
      </c>
      <c r="VBY43" s="380" t="e">
        <f t="shared" si="237"/>
        <v>#N/A</v>
      </c>
      <c r="VBZ43" s="380" t="e">
        <f t="shared" si="237"/>
        <v>#N/A</v>
      </c>
      <c r="VCA43" s="380" t="e">
        <f t="shared" si="237"/>
        <v>#N/A</v>
      </c>
      <c r="VCB43" s="380" t="e">
        <f t="shared" si="237"/>
        <v>#N/A</v>
      </c>
      <c r="VCC43" s="380" t="e">
        <f t="shared" si="237"/>
        <v>#N/A</v>
      </c>
      <c r="VCD43" s="380" t="e">
        <f t="shared" si="237"/>
        <v>#N/A</v>
      </c>
      <c r="VCE43" s="380" t="e">
        <f t="shared" si="237"/>
        <v>#N/A</v>
      </c>
      <c r="VCF43" s="380" t="e">
        <f t="shared" si="237"/>
        <v>#N/A</v>
      </c>
      <c r="VCG43" s="380" t="e">
        <f t="shared" si="237"/>
        <v>#N/A</v>
      </c>
      <c r="VCH43" s="380" t="e">
        <f t="shared" si="237"/>
        <v>#N/A</v>
      </c>
      <c r="VCI43" s="380" t="e">
        <f t="shared" si="237"/>
        <v>#N/A</v>
      </c>
      <c r="VCJ43" s="380" t="e">
        <f t="shared" si="237"/>
        <v>#N/A</v>
      </c>
      <c r="VCK43" s="380" t="e">
        <f t="shared" si="237"/>
        <v>#N/A</v>
      </c>
      <c r="VCL43" s="380" t="e">
        <f t="shared" si="237"/>
        <v>#N/A</v>
      </c>
      <c r="VCM43" s="380" t="e">
        <f t="shared" si="237"/>
        <v>#N/A</v>
      </c>
      <c r="VCN43" s="380" t="e">
        <f t="shared" si="237"/>
        <v>#N/A</v>
      </c>
      <c r="VCO43" s="380" t="e">
        <f t="shared" si="237"/>
        <v>#N/A</v>
      </c>
      <c r="VCP43" s="380" t="e">
        <f t="shared" si="237"/>
        <v>#N/A</v>
      </c>
      <c r="VCQ43" s="380" t="e">
        <f t="shared" si="237"/>
        <v>#N/A</v>
      </c>
      <c r="VCR43" s="380" t="e">
        <f t="shared" si="237"/>
        <v>#N/A</v>
      </c>
      <c r="VCS43" s="380" t="e">
        <f t="shared" si="237"/>
        <v>#N/A</v>
      </c>
      <c r="VCT43" s="380" t="e">
        <f t="shared" si="237"/>
        <v>#N/A</v>
      </c>
      <c r="VCU43" s="380" t="e">
        <f t="shared" si="237"/>
        <v>#N/A</v>
      </c>
      <c r="VCV43" s="380" t="e">
        <f t="shared" si="237"/>
        <v>#N/A</v>
      </c>
      <c r="VCW43" s="380" t="e">
        <f t="shared" si="237"/>
        <v>#N/A</v>
      </c>
      <c r="VCX43" s="380" t="e">
        <f t="shared" si="237"/>
        <v>#N/A</v>
      </c>
      <c r="VCY43" s="380" t="e">
        <f t="shared" si="237"/>
        <v>#N/A</v>
      </c>
      <c r="VCZ43" s="380" t="e">
        <f t="shared" si="237"/>
        <v>#N/A</v>
      </c>
      <c r="VDA43" s="380" t="e">
        <f t="shared" si="237"/>
        <v>#N/A</v>
      </c>
      <c r="VDB43" s="380" t="e">
        <f t="shared" si="237"/>
        <v>#N/A</v>
      </c>
      <c r="VDC43" s="380" t="e">
        <f t="shared" si="237"/>
        <v>#N/A</v>
      </c>
      <c r="VDD43" s="380" t="e">
        <f t="shared" si="237"/>
        <v>#N/A</v>
      </c>
      <c r="VDE43" s="380" t="e">
        <f t="shared" si="237"/>
        <v>#N/A</v>
      </c>
      <c r="VDF43" s="380" t="e">
        <f t="shared" si="237"/>
        <v>#N/A</v>
      </c>
      <c r="VDG43" s="380" t="e">
        <f t="shared" si="237"/>
        <v>#N/A</v>
      </c>
      <c r="VDH43" s="380" t="e">
        <f t="shared" ref="VDH43:VFS43" si="238">INDEX(VDH7:VDH40,MATCH($E$43,$E$7:$E$40,0))</f>
        <v>#N/A</v>
      </c>
      <c r="VDI43" s="380" t="e">
        <f t="shared" si="238"/>
        <v>#N/A</v>
      </c>
      <c r="VDJ43" s="380" t="e">
        <f t="shared" si="238"/>
        <v>#N/A</v>
      </c>
      <c r="VDK43" s="380" t="e">
        <f t="shared" si="238"/>
        <v>#N/A</v>
      </c>
      <c r="VDL43" s="380" t="e">
        <f t="shared" si="238"/>
        <v>#N/A</v>
      </c>
      <c r="VDM43" s="380" t="e">
        <f t="shared" si="238"/>
        <v>#N/A</v>
      </c>
      <c r="VDN43" s="380" t="e">
        <f t="shared" si="238"/>
        <v>#N/A</v>
      </c>
      <c r="VDO43" s="380" t="e">
        <f t="shared" si="238"/>
        <v>#N/A</v>
      </c>
      <c r="VDP43" s="380" t="e">
        <f t="shared" si="238"/>
        <v>#N/A</v>
      </c>
      <c r="VDQ43" s="380" t="e">
        <f t="shared" si="238"/>
        <v>#N/A</v>
      </c>
      <c r="VDR43" s="380" t="e">
        <f t="shared" si="238"/>
        <v>#N/A</v>
      </c>
      <c r="VDS43" s="380" t="e">
        <f t="shared" si="238"/>
        <v>#N/A</v>
      </c>
      <c r="VDT43" s="380" t="e">
        <f t="shared" si="238"/>
        <v>#N/A</v>
      </c>
      <c r="VDU43" s="380" t="e">
        <f t="shared" si="238"/>
        <v>#N/A</v>
      </c>
      <c r="VDV43" s="380" t="e">
        <f t="shared" si="238"/>
        <v>#N/A</v>
      </c>
      <c r="VDW43" s="380" t="e">
        <f t="shared" si="238"/>
        <v>#N/A</v>
      </c>
      <c r="VDX43" s="380" t="e">
        <f t="shared" si="238"/>
        <v>#N/A</v>
      </c>
      <c r="VDY43" s="380" t="e">
        <f t="shared" si="238"/>
        <v>#N/A</v>
      </c>
      <c r="VDZ43" s="380" t="e">
        <f t="shared" si="238"/>
        <v>#N/A</v>
      </c>
      <c r="VEA43" s="380" t="e">
        <f t="shared" si="238"/>
        <v>#N/A</v>
      </c>
      <c r="VEB43" s="380" t="e">
        <f t="shared" si="238"/>
        <v>#N/A</v>
      </c>
      <c r="VEC43" s="380" t="e">
        <f t="shared" si="238"/>
        <v>#N/A</v>
      </c>
      <c r="VED43" s="380" t="e">
        <f t="shared" si="238"/>
        <v>#N/A</v>
      </c>
      <c r="VEE43" s="380" t="e">
        <f t="shared" si="238"/>
        <v>#N/A</v>
      </c>
      <c r="VEF43" s="380" t="e">
        <f t="shared" si="238"/>
        <v>#N/A</v>
      </c>
      <c r="VEG43" s="380" t="e">
        <f t="shared" si="238"/>
        <v>#N/A</v>
      </c>
      <c r="VEH43" s="380" t="e">
        <f t="shared" si="238"/>
        <v>#N/A</v>
      </c>
      <c r="VEI43" s="380" t="e">
        <f t="shared" si="238"/>
        <v>#N/A</v>
      </c>
      <c r="VEJ43" s="380" t="e">
        <f t="shared" si="238"/>
        <v>#N/A</v>
      </c>
      <c r="VEK43" s="380" t="e">
        <f t="shared" si="238"/>
        <v>#N/A</v>
      </c>
      <c r="VEL43" s="380" t="e">
        <f t="shared" si="238"/>
        <v>#N/A</v>
      </c>
      <c r="VEM43" s="380" t="e">
        <f t="shared" si="238"/>
        <v>#N/A</v>
      </c>
      <c r="VEN43" s="380" t="e">
        <f t="shared" si="238"/>
        <v>#N/A</v>
      </c>
      <c r="VEO43" s="380" t="e">
        <f t="shared" si="238"/>
        <v>#N/A</v>
      </c>
      <c r="VEP43" s="380" t="e">
        <f t="shared" si="238"/>
        <v>#N/A</v>
      </c>
      <c r="VEQ43" s="380" t="e">
        <f t="shared" si="238"/>
        <v>#N/A</v>
      </c>
      <c r="VER43" s="380" t="e">
        <f t="shared" si="238"/>
        <v>#N/A</v>
      </c>
      <c r="VES43" s="380" t="e">
        <f t="shared" si="238"/>
        <v>#N/A</v>
      </c>
      <c r="VET43" s="380" t="e">
        <f t="shared" si="238"/>
        <v>#N/A</v>
      </c>
      <c r="VEU43" s="380" t="e">
        <f t="shared" si="238"/>
        <v>#N/A</v>
      </c>
      <c r="VEV43" s="380" t="e">
        <f t="shared" si="238"/>
        <v>#N/A</v>
      </c>
      <c r="VEW43" s="380" t="e">
        <f t="shared" si="238"/>
        <v>#N/A</v>
      </c>
      <c r="VEX43" s="380" t="e">
        <f t="shared" si="238"/>
        <v>#N/A</v>
      </c>
      <c r="VEY43" s="380" t="e">
        <f t="shared" si="238"/>
        <v>#N/A</v>
      </c>
      <c r="VEZ43" s="380" t="e">
        <f t="shared" si="238"/>
        <v>#N/A</v>
      </c>
      <c r="VFA43" s="380" t="e">
        <f t="shared" si="238"/>
        <v>#N/A</v>
      </c>
      <c r="VFB43" s="380" t="e">
        <f t="shared" si="238"/>
        <v>#N/A</v>
      </c>
      <c r="VFC43" s="380" t="e">
        <f t="shared" si="238"/>
        <v>#N/A</v>
      </c>
      <c r="VFD43" s="380" t="e">
        <f t="shared" si="238"/>
        <v>#N/A</v>
      </c>
      <c r="VFE43" s="380" t="e">
        <f t="shared" si="238"/>
        <v>#N/A</v>
      </c>
      <c r="VFF43" s="380" t="e">
        <f t="shared" si="238"/>
        <v>#N/A</v>
      </c>
      <c r="VFG43" s="380" t="e">
        <f t="shared" si="238"/>
        <v>#N/A</v>
      </c>
      <c r="VFH43" s="380" t="e">
        <f t="shared" si="238"/>
        <v>#N/A</v>
      </c>
      <c r="VFI43" s="380" t="e">
        <f t="shared" si="238"/>
        <v>#N/A</v>
      </c>
      <c r="VFJ43" s="380" t="e">
        <f t="shared" si="238"/>
        <v>#N/A</v>
      </c>
      <c r="VFK43" s="380" t="e">
        <f t="shared" si="238"/>
        <v>#N/A</v>
      </c>
      <c r="VFL43" s="380" t="e">
        <f t="shared" si="238"/>
        <v>#N/A</v>
      </c>
      <c r="VFM43" s="380" t="e">
        <f t="shared" si="238"/>
        <v>#N/A</v>
      </c>
      <c r="VFN43" s="380" t="e">
        <f t="shared" si="238"/>
        <v>#N/A</v>
      </c>
      <c r="VFO43" s="380" t="e">
        <f t="shared" si="238"/>
        <v>#N/A</v>
      </c>
      <c r="VFP43" s="380" t="e">
        <f t="shared" si="238"/>
        <v>#N/A</v>
      </c>
      <c r="VFQ43" s="380" t="e">
        <f t="shared" si="238"/>
        <v>#N/A</v>
      </c>
      <c r="VFR43" s="380" t="e">
        <f t="shared" si="238"/>
        <v>#N/A</v>
      </c>
      <c r="VFS43" s="380" t="e">
        <f t="shared" si="238"/>
        <v>#N/A</v>
      </c>
      <c r="VFT43" s="380" t="e">
        <f t="shared" ref="VFT43:VIE43" si="239">INDEX(VFT7:VFT40,MATCH($E$43,$E$7:$E$40,0))</f>
        <v>#N/A</v>
      </c>
      <c r="VFU43" s="380" t="e">
        <f t="shared" si="239"/>
        <v>#N/A</v>
      </c>
      <c r="VFV43" s="380" t="e">
        <f t="shared" si="239"/>
        <v>#N/A</v>
      </c>
      <c r="VFW43" s="380" t="e">
        <f t="shared" si="239"/>
        <v>#N/A</v>
      </c>
      <c r="VFX43" s="380" t="e">
        <f t="shared" si="239"/>
        <v>#N/A</v>
      </c>
      <c r="VFY43" s="380" t="e">
        <f t="shared" si="239"/>
        <v>#N/A</v>
      </c>
      <c r="VFZ43" s="380" t="e">
        <f t="shared" si="239"/>
        <v>#N/A</v>
      </c>
      <c r="VGA43" s="380" t="e">
        <f t="shared" si="239"/>
        <v>#N/A</v>
      </c>
      <c r="VGB43" s="380" t="e">
        <f t="shared" si="239"/>
        <v>#N/A</v>
      </c>
      <c r="VGC43" s="380" t="e">
        <f t="shared" si="239"/>
        <v>#N/A</v>
      </c>
      <c r="VGD43" s="380" t="e">
        <f t="shared" si="239"/>
        <v>#N/A</v>
      </c>
      <c r="VGE43" s="380" t="e">
        <f t="shared" si="239"/>
        <v>#N/A</v>
      </c>
      <c r="VGF43" s="380" t="e">
        <f t="shared" si="239"/>
        <v>#N/A</v>
      </c>
      <c r="VGG43" s="380" t="e">
        <f t="shared" si="239"/>
        <v>#N/A</v>
      </c>
      <c r="VGH43" s="380" t="e">
        <f t="shared" si="239"/>
        <v>#N/A</v>
      </c>
      <c r="VGI43" s="380" t="e">
        <f t="shared" si="239"/>
        <v>#N/A</v>
      </c>
      <c r="VGJ43" s="380" t="e">
        <f t="shared" si="239"/>
        <v>#N/A</v>
      </c>
      <c r="VGK43" s="380" t="e">
        <f t="shared" si="239"/>
        <v>#N/A</v>
      </c>
      <c r="VGL43" s="380" t="e">
        <f t="shared" si="239"/>
        <v>#N/A</v>
      </c>
      <c r="VGM43" s="380" t="e">
        <f t="shared" si="239"/>
        <v>#N/A</v>
      </c>
      <c r="VGN43" s="380" t="e">
        <f t="shared" si="239"/>
        <v>#N/A</v>
      </c>
      <c r="VGO43" s="380" t="e">
        <f t="shared" si="239"/>
        <v>#N/A</v>
      </c>
      <c r="VGP43" s="380" t="e">
        <f t="shared" si="239"/>
        <v>#N/A</v>
      </c>
      <c r="VGQ43" s="380" t="e">
        <f t="shared" si="239"/>
        <v>#N/A</v>
      </c>
      <c r="VGR43" s="380" t="e">
        <f t="shared" si="239"/>
        <v>#N/A</v>
      </c>
      <c r="VGS43" s="380" t="e">
        <f t="shared" si="239"/>
        <v>#N/A</v>
      </c>
      <c r="VGT43" s="380" t="e">
        <f t="shared" si="239"/>
        <v>#N/A</v>
      </c>
      <c r="VGU43" s="380" t="e">
        <f t="shared" si="239"/>
        <v>#N/A</v>
      </c>
      <c r="VGV43" s="380" t="e">
        <f t="shared" si="239"/>
        <v>#N/A</v>
      </c>
      <c r="VGW43" s="380" t="e">
        <f t="shared" si="239"/>
        <v>#N/A</v>
      </c>
      <c r="VGX43" s="380" t="e">
        <f t="shared" si="239"/>
        <v>#N/A</v>
      </c>
      <c r="VGY43" s="380" t="e">
        <f t="shared" si="239"/>
        <v>#N/A</v>
      </c>
      <c r="VGZ43" s="380" t="e">
        <f t="shared" si="239"/>
        <v>#N/A</v>
      </c>
      <c r="VHA43" s="380" t="e">
        <f t="shared" si="239"/>
        <v>#N/A</v>
      </c>
      <c r="VHB43" s="380" t="e">
        <f t="shared" si="239"/>
        <v>#N/A</v>
      </c>
      <c r="VHC43" s="380" t="e">
        <f t="shared" si="239"/>
        <v>#N/A</v>
      </c>
      <c r="VHD43" s="380" t="e">
        <f t="shared" si="239"/>
        <v>#N/A</v>
      </c>
      <c r="VHE43" s="380" t="e">
        <f t="shared" si="239"/>
        <v>#N/A</v>
      </c>
      <c r="VHF43" s="380" t="e">
        <f t="shared" si="239"/>
        <v>#N/A</v>
      </c>
      <c r="VHG43" s="380" t="e">
        <f t="shared" si="239"/>
        <v>#N/A</v>
      </c>
      <c r="VHH43" s="380" t="e">
        <f t="shared" si="239"/>
        <v>#N/A</v>
      </c>
      <c r="VHI43" s="380" t="e">
        <f t="shared" si="239"/>
        <v>#N/A</v>
      </c>
      <c r="VHJ43" s="380" t="e">
        <f t="shared" si="239"/>
        <v>#N/A</v>
      </c>
      <c r="VHK43" s="380" t="e">
        <f t="shared" si="239"/>
        <v>#N/A</v>
      </c>
      <c r="VHL43" s="380" t="e">
        <f t="shared" si="239"/>
        <v>#N/A</v>
      </c>
      <c r="VHM43" s="380" t="e">
        <f t="shared" si="239"/>
        <v>#N/A</v>
      </c>
      <c r="VHN43" s="380" t="e">
        <f t="shared" si="239"/>
        <v>#N/A</v>
      </c>
      <c r="VHO43" s="380" t="e">
        <f t="shared" si="239"/>
        <v>#N/A</v>
      </c>
      <c r="VHP43" s="380" t="e">
        <f t="shared" si="239"/>
        <v>#N/A</v>
      </c>
      <c r="VHQ43" s="380" t="e">
        <f t="shared" si="239"/>
        <v>#N/A</v>
      </c>
      <c r="VHR43" s="380" t="e">
        <f t="shared" si="239"/>
        <v>#N/A</v>
      </c>
      <c r="VHS43" s="380" t="e">
        <f t="shared" si="239"/>
        <v>#N/A</v>
      </c>
      <c r="VHT43" s="380" t="e">
        <f t="shared" si="239"/>
        <v>#N/A</v>
      </c>
      <c r="VHU43" s="380" t="e">
        <f t="shared" si="239"/>
        <v>#N/A</v>
      </c>
      <c r="VHV43" s="380" t="e">
        <f t="shared" si="239"/>
        <v>#N/A</v>
      </c>
      <c r="VHW43" s="380" t="e">
        <f t="shared" si="239"/>
        <v>#N/A</v>
      </c>
      <c r="VHX43" s="380" t="e">
        <f t="shared" si="239"/>
        <v>#N/A</v>
      </c>
      <c r="VHY43" s="380" t="e">
        <f t="shared" si="239"/>
        <v>#N/A</v>
      </c>
      <c r="VHZ43" s="380" t="e">
        <f t="shared" si="239"/>
        <v>#N/A</v>
      </c>
      <c r="VIA43" s="380" t="e">
        <f t="shared" si="239"/>
        <v>#N/A</v>
      </c>
      <c r="VIB43" s="380" t="e">
        <f t="shared" si="239"/>
        <v>#N/A</v>
      </c>
      <c r="VIC43" s="380" t="e">
        <f t="shared" si="239"/>
        <v>#N/A</v>
      </c>
      <c r="VID43" s="380" t="e">
        <f t="shared" si="239"/>
        <v>#N/A</v>
      </c>
      <c r="VIE43" s="380" t="e">
        <f t="shared" si="239"/>
        <v>#N/A</v>
      </c>
      <c r="VIF43" s="380" t="e">
        <f t="shared" ref="VIF43:VKQ43" si="240">INDEX(VIF7:VIF40,MATCH($E$43,$E$7:$E$40,0))</f>
        <v>#N/A</v>
      </c>
      <c r="VIG43" s="380" t="e">
        <f t="shared" si="240"/>
        <v>#N/A</v>
      </c>
      <c r="VIH43" s="380" t="e">
        <f t="shared" si="240"/>
        <v>#N/A</v>
      </c>
      <c r="VII43" s="380" t="e">
        <f t="shared" si="240"/>
        <v>#N/A</v>
      </c>
      <c r="VIJ43" s="380" t="e">
        <f t="shared" si="240"/>
        <v>#N/A</v>
      </c>
      <c r="VIK43" s="380" t="e">
        <f t="shared" si="240"/>
        <v>#N/A</v>
      </c>
      <c r="VIL43" s="380" t="e">
        <f t="shared" si="240"/>
        <v>#N/A</v>
      </c>
      <c r="VIM43" s="380" t="e">
        <f t="shared" si="240"/>
        <v>#N/A</v>
      </c>
      <c r="VIN43" s="380" t="e">
        <f t="shared" si="240"/>
        <v>#N/A</v>
      </c>
      <c r="VIO43" s="380" t="e">
        <f t="shared" si="240"/>
        <v>#N/A</v>
      </c>
      <c r="VIP43" s="380" t="e">
        <f t="shared" si="240"/>
        <v>#N/A</v>
      </c>
      <c r="VIQ43" s="380" t="e">
        <f t="shared" si="240"/>
        <v>#N/A</v>
      </c>
      <c r="VIR43" s="380" t="e">
        <f t="shared" si="240"/>
        <v>#N/A</v>
      </c>
      <c r="VIS43" s="380" t="e">
        <f t="shared" si="240"/>
        <v>#N/A</v>
      </c>
      <c r="VIT43" s="380" t="e">
        <f t="shared" si="240"/>
        <v>#N/A</v>
      </c>
      <c r="VIU43" s="380" t="e">
        <f t="shared" si="240"/>
        <v>#N/A</v>
      </c>
      <c r="VIV43" s="380" t="e">
        <f t="shared" si="240"/>
        <v>#N/A</v>
      </c>
      <c r="VIW43" s="380" t="e">
        <f t="shared" si="240"/>
        <v>#N/A</v>
      </c>
      <c r="VIX43" s="380" t="e">
        <f t="shared" si="240"/>
        <v>#N/A</v>
      </c>
      <c r="VIY43" s="380" t="e">
        <f t="shared" si="240"/>
        <v>#N/A</v>
      </c>
      <c r="VIZ43" s="380" t="e">
        <f t="shared" si="240"/>
        <v>#N/A</v>
      </c>
      <c r="VJA43" s="380" t="e">
        <f t="shared" si="240"/>
        <v>#N/A</v>
      </c>
      <c r="VJB43" s="380" t="e">
        <f t="shared" si="240"/>
        <v>#N/A</v>
      </c>
      <c r="VJC43" s="380" t="e">
        <f t="shared" si="240"/>
        <v>#N/A</v>
      </c>
      <c r="VJD43" s="380" t="e">
        <f t="shared" si="240"/>
        <v>#N/A</v>
      </c>
      <c r="VJE43" s="380" t="e">
        <f t="shared" si="240"/>
        <v>#N/A</v>
      </c>
      <c r="VJF43" s="380" t="e">
        <f t="shared" si="240"/>
        <v>#N/A</v>
      </c>
      <c r="VJG43" s="380" t="e">
        <f t="shared" si="240"/>
        <v>#N/A</v>
      </c>
      <c r="VJH43" s="380" t="e">
        <f t="shared" si="240"/>
        <v>#N/A</v>
      </c>
      <c r="VJI43" s="380" t="e">
        <f t="shared" si="240"/>
        <v>#N/A</v>
      </c>
      <c r="VJJ43" s="380" t="e">
        <f t="shared" si="240"/>
        <v>#N/A</v>
      </c>
      <c r="VJK43" s="380" t="e">
        <f t="shared" si="240"/>
        <v>#N/A</v>
      </c>
      <c r="VJL43" s="380" t="e">
        <f t="shared" si="240"/>
        <v>#N/A</v>
      </c>
      <c r="VJM43" s="380" t="e">
        <f t="shared" si="240"/>
        <v>#N/A</v>
      </c>
      <c r="VJN43" s="380" t="e">
        <f t="shared" si="240"/>
        <v>#N/A</v>
      </c>
      <c r="VJO43" s="380" t="e">
        <f t="shared" si="240"/>
        <v>#N/A</v>
      </c>
      <c r="VJP43" s="380" t="e">
        <f t="shared" si="240"/>
        <v>#N/A</v>
      </c>
      <c r="VJQ43" s="380" t="e">
        <f t="shared" si="240"/>
        <v>#N/A</v>
      </c>
      <c r="VJR43" s="380" t="e">
        <f t="shared" si="240"/>
        <v>#N/A</v>
      </c>
      <c r="VJS43" s="380" t="e">
        <f t="shared" si="240"/>
        <v>#N/A</v>
      </c>
      <c r="VJT43" s="380" t="e">
        <f t="shared" si="240"/>
        <v>#N/A</v>
      </c>
      <c r="VJU43" s="380" t="e">
        <f t="shared" si="240"/>
        <v>#N/A</v>
      </c>
      <c r="VJV43" s="380" t="e">
        <f t="shared" si="240"/>
        <v>#N/A</v>
      </c>
      <c r="VJW43" s="380" t="e">
        <f t="shared" si="240"/>
        <v>#N/A</v>
      </c>
      <c r="VJX43" s="380" t="e">
        <f t="shared" si="240"/>
        <v>#N/A</v>
      </c>
      <c r="VJY43" s="380" t="e">
        <f t="shared" si="240"/>
        <v>#N/A</v>
      </c>
      <c r="VJZ43" s="380" t="e">
        <f t="shared" si="240"/>
        <v>#N/A</v>
      </c>
      <c r="VKA43" s="380" t="e">
        <f t="shared" si="240"/>
        <v>#N/A</v>
      </c>
      <c r="VKB43" s="380" t="e">
        <f t="shared" si="240"/>
        <v>#N/A</v>
      </c>
      <c r="VKC43" s="380" t="e">
        <f t="shared" si="240"/>
        <v>#N/A</v>
      </c>
      <c r="VKD43" s="380" t="e">
        <f t="shared" si="240"/>
        <v>#N/A</v>
      </c>
      <c r="VKE43" s="380" t="e">
        <f t="shared" si="240"/>
        <v>#N/A</v>
      </c>
      <c r="VKF43" s="380" t="e">
        <f t="shared" si="240"/>
        <v>#N/A</v>
      </c>
      <c r="VKG43" s="380" t="e">
        <f t="shared" si="240"/>
        <v>#N/A</v>
      </c>
      <c r="VKH43" s="380" t="e">
        <f t="shared" si="240"/>
        <v>#N/A</v>
      </c>
      <c r="VKI43" s="380" t="e">
        <f t="shared" si="240"/>
        <v>#N/A</v>
      </c>
      <c r="VKJ43" s="380" t="e">
        <f t="shared" si="240"/>
        <v>#N/A</v>
      </c>
      <c r="VKK43" s="380" t="e">
        <f t="shared" si="240"/>
        <v>#N/A</v>
      </c>
      <c r="VKL43" s="380" t="e">
        <f t="shared" si="240"/>
        <v>#N/A</v>
      </c>
      <c r="VKM43" s="380" t="e">
        <f t="shared" si="240"/>
        <v>#N/A</v>
      </c>
      <c r="VKN43" s="380" t="e">
        <f t="shared" si="240"/>
        <v>#N/A</v>
      </c>
      <c r="VKO43" s="380" t="e">
        <f t="shared" si="240"/>
        <v>#N/A</v>
      </c>
      <c r="VKP43" s="380" t="e">
        <f t="shared" si="240"/>
        <v>#N/A</v>
      </c>
      <c r="VKQ43" s="380" t="e">
        <f t="shared" si="240"/>
        <v>#N/A</v>
      </c>
      <c r="VKR43" s="380" t="e">
        <f t="shared" ref="VKR43:VNC43" si="241">INDEX(VKR7:VKR40,MATCH($E$43,$E$7:$E$40,0))</f>
        <v>#N/A</v>
      </c>
      <c r="VKS43" s="380" t="e">
        <f t="shared" si="241"/>
        <v>#N/A</v>
      </c>
      <c r="VKT43" s="380" t="e">
        <f t="shared" si="241"/>
        <v>#N/A</v>
      </c>
      <c r="VKU43" s="380" t="e">
        <f t="shared" si="241"/>
        <v>#N/A</v>
      </c>
      <c r="VKV43" s="380" t="e">
        <f t="shared" si="241"/>
        <v>#N/A</v>
      </c>
      <c r="VKW43" s="380" t="e">
        <f t="shared" si="241"/>
        <v>#N/A</v>
      </c>
      <c r="VKX43" s="380" t="e">
        <f t="shared" si="241"/>
        <v>#N/A</v>
      </c>
      <c r="VKY43" s="380" t="e">
        <f t="shared" si="241"/>
        <v>#N/A</v>
      </c>
      <c r="VKZ43" s="380" t="e">
        <f t="shared" si="241"/>
        <v>#N/A</v>
      </c>
      <c r="VLA43" s="380" t="e">
        <f t="shared" si="241"/>
        <v>#N/A</v>
      </c>
      <c r="VLB43" s="380" t="e">
        <f t="shared" si="241"/>
        <v>#N/A</v>
      </c>
      <c r="VLC43" s="380" t="e">
        <f t="shared" si="241"/>
        <v>#N/A</v>
      </c>
      <c r="VLD43" s="380" t="e">
        <f t="shared" si="241"/>
        <v>#N/A</v>
      </c>
      <c r="VLE43" s="380" t="e">
        <f t="shared" si="241"/>
        <v>#N/A</v>
      </c>
      <c r="VLF43" s="380" t="e">
        <f t="shared" si="241"/>
        <v>#N/A</v>
      </c>
      <c r="VLG43" s="380" t="e">
        <f t="shared" si="241"/>
        <v>#N/A</v>
      </c>
      <c r="VLH43" s="380" t="e">
        <f t="shared" si="241"/>
        <v>#N/A</v>
      </c>
      <c r="VLI43" s="380" t="e">
        <f t="shared" si="241"/>
        <v>#N/A</v>
      </c>
      <c r="VLJ43" s="380" t="e">
        <f t="shared" si="241"/>
        <v>#N/A</v>
      </c>
      <c r="VLK43" s="380" t="e">
        <f t="shared" si="241"/>
        <v>#N/A</v>
      </c>
      <c r="VLL43" s="380" t="e">
        <f t="shared" si="241"/>
        <v>#N/A</v>
      </c>
      <c r="VLM43" s="380" t="e">
        <f t="shared" si="241"/>
        <v>#N/A</v>
      </c>
      <c r="VLN43" s="380" t="e">
        <f t="shared" si="241"/>
        <v>#N/A</v>
      </c>
      <c r="VLO43" s="380" t="e">
        <f t="shared" si="241"/>
        <v>#N/A</v>
      </c>
      <c r="VLP43" s="380" t="e">
        <f t="shared" si="241"/>
        <v>#N/A</v>
      </c>
      <c r="VLQ43" s="380" t="e">
        <f t="shared" si="241"/>
        <v>#N/A</v>
      </c>
      <c r="VLR43" s="380" t="e">
        <f t="shared" si="241"/>
        <v>#N/A</v>
      </c>
      <c r="VLS43" s="380" t="e">
        <f t="shared" si="241"/>
        <v>#N/A</v>
      </c>
      <c r="VLT43" s="380" t="e">
        <f t="shared" si="241"/>
        <v>#N/A</v>
      </c>
      <c r="VLU43" s="380" t="e">
        <f t="shared" si="241"/>
        <v>#N/A</v>
      </c>
      <c r="VLV43" s="380" t="e">
        <f t="shared" si="241"/>
        <v>#N/A</v>
      </c>
      <c r="VLW43" s="380" t="e">
        <f t="shared" si="241"/>
        <v>#N/A</v>
      </c>
      <c r="VLX43" s="380" t="e">
        <f t="shared" si="241"/>
        <v>#N/A</v>
      </c>
      <c r="VLY43" s="380" t="e">
        <f t="shared" si="241"/>
        <v>#N/A</v>
      </c>
      <c r="VLZ43" s="380" t="e">
        <f t="shared" si="241"/>
        <v>#N/A</v>
      </c>
      <c r="VMA43" s="380" t="e">
        <f t="shared" si="241"/>
        <v>#N/A</v>
      </c>
      <c r="VMB43" s="380" t="e">
        <f t="shared" si="241"/>
        <v>#N/A</v>
      </c>
      <c r="VMC43" s="380" t="e">
        <f t="shared" si="241"/>
        <v>#N/A</v>
      </c>
      <c r="VMD43" s="380" t="e">
        <f t="shared" si="241"/>
        <v>#N/A</v>
      </c>
      <c r="VME43" s="380" t="e">
        <f t="shared" si="241"/>
        <v>#N/A</v>
      </c>
      <c r="VMF43" s="380" t="e">
        <f t="shared" si="241"/>
        <v>#N/A</v>
      </c>
      <c r="VMG43" s="380" t="e">
        <f t="shared" si="241"/>
        <v>#N/A</v>
      </c>
      <c r="VMH43" s="380" t="e">
        <f t="shared" si="241"/>
        <v>#N/A</v>
      </c>
      <c r="VMI43" s="380" t="e">
        <f t="shared" si="241"/>
        <v>#N/A</v>
      </c>
      <c r="VMJ43" s="380" t="e">
        <f t="shared" si="241"/>
        <v>#N/A</v>
      </c>
      <c r="VMK43" s="380" t="e">
        <f t="shared" si="241"/>
        <v>#N/A</v>
      </c>
      <c r="VML43" s="380" t="e">
        <f t="shared" si="241"/>
        <v>#N/A</v>
      </c>
      <c r="VMM43" s="380" t="e">
        <f t="shared" si="241"/>
        <v>#N/A</v>
      </c>
      <c r="VMN43" s="380" t="e">
        <f t="shared" si="241"/>
        <v>#N/A</v>
      </c>
      <c r="VMO43" s="380" t="e">
        <f t="shared" si="241"/>
        <v>#N/A</v>
      </c>
      <c r="VMP43" s="380" t="e">
        <f t="shared" si="241"/>
        <v>#N/A</v>
      </c>
      <c r="VMQ43" s="380" t="e">
        <f t="shared" si="241"/>
        <v>#N/A</v>
      </c>
      <c r="VMR43" s="380" t="e">
        <f t="shared" si="241"/>
        <v>#N/A</v>
      </c>
      <c r="VMS43" s="380" t="e">
        <f t="shared" si="241"/>
        <v>#N/A</v>
      </c>
      <c r="VMT43" s="380" t="e">
        <f t="shared" si="241"/>
        <v>#N/A</v>
      </c>
      <c r="VMU43" s="380" t="e">
        <f t="shared" si="241"/>
        <v>#N/A</v>
      </c>
      <c r="VMV43" s="380" t="e">
        <f t="shared" si="241"/>
        <v>#N/A</v>
      </c>
      <c r="VMW43" s="380" t="e">
        <f t="shared" si="241"/>
        <v>#N/A</v>
      </c>
      <c r="VMX43" s="380" t="e">
        <f t="shared" si="241"/>
        <v>#N/A</v>
      </c>
      <c r="VMY43" s="380" t="e">
        <f t="shared" si="241"/>
        <v>#N/A</v>
      </c>
      <c r="VMZ43" s="380" t="e">
        <f t="shared" si="241"/>
        <v>#N/A</v>
      </c>
      <c r="VNA43" s="380" t="e">
        <f t="shared" si="241"/>
        <v>#N/A</v>
      </c>
      <c r="VNB43" s="380" t="e">
        <f t="shared" si="241"/>
        <v>#N/A</v>
      </c>
      <c r="VNC43" s="380" t="e">
        <f t="shared" si="241"/>
        <v>#N/A</v>
      </c>
      <c r="VND43" s="380" t="e">
        <f t="shared" ref="VND43:VPO43" si="242">INDEX(VND7:VND40,MATCH($E$43,$E$7:$E$40,0))</f>
        <v>#N/A</v>
      </c>
      <c r="VNE43" s="380" t="e">
        <f t="shared" si="242"/>
        <v>#N/A</v>
      </c>
      <c r="VNF43" s="380" t="e">
        <f t="shared" si="242"/>
        <v>#N/A</v>
      </c>
      <c r="VNG43" s="380" t="e">
        <f t="shared" si="242"/>
        <v>#N/A</v>
      </c>
      <c r="VNH43" s="380" t="e">
        <f t="shared" si="242"/>
        <v>#N/A</v>
      </c>
      <c r="VNI43" s="380" t="e">
        <f t="shared" si="242"/>
        <v>#N/A</v>
      </c>
      <c r="VNJ43" s="380" t="e">
        <f t="shared" si="242"/>
        <v>#N/A</v>
      </c>
      <c r="VNK43" s="380" t="e">
        <f t="shared" si="242"/>
        <v>#N/A</v>
      </c>
      <c r="VNL43" s="380" t="e">
        <f t="shared" si="242"/>
        <v>#N/A</v>
      </c>
      <c r="VNM43" s="380" t="e">
        <f t="shared" si="242"/>
        <v>#N/A</v>
      </c>
      <c r="VNN43" s="380" t="e">
        <f t="shared" si="242"/>
        <v>#N/A</v>
      </c>
      <c r="VNO43" s="380" t="e">
        <f t="shared" si="242"/>
        <v>#N/A</v>
      </c>
      <c r="VNP43" s="380" t="e">
        <f t="shared" si="242"/>
        <v>#N/A</v>
      </c>
      <c r="VNQ43" s="380" t="e">
        <f t="shared" si="242"/>
        <v>#N/A</v>
      </c>
      <c r="VNR43" s="380" t="e">
        <f t="shared" si="242"/>
        <v>#N/A</v>
      </c>
      <c r="VNS43" s="380" t="e">
        <f t="shared" si="242"/>
        <v>#N/A</v>
      </c>
      <c r="VNT43" s="380" t="e">
        <f t="shared" si="242"/>
        <v>#N/A</v>
      </c>
      <c r="VNU43" s="380" t="e">
        <f t="shared" si="242"/>
        <v>#N/A</v>
      </c>
      <c r="VNV43" s="380" t="e">
        <f t="shared" si="242"/>
        <v>#N/A</v>
      </c>
      <c r="VNW43" s="380" t="e">
        <f t="shared" si="242"/>
        <v>#N/A</v>
      </c>
      <c r="VNX43" s="380" t="e">
        <f t="shared" si="242"/>
        <v>#N/A</v>
      </c>
      <c r="VNY43" s="380" t="e">
        <f t="shared" si="242"/>
        <v>#N/A</v>
      </c>
      <c r="VNZ43" s="380" t="e">
        <f t="shared" si="242"/>
        <v>#N/A</v>
      </c>
      <c r="VOA43" s="380" t="e">
        <f t="shared" si="242"/>
        <v>#N/A</v>
      </c>
      <c r="VOB43" s="380" t="e">
        <f t="shared" si="242"/>
        <v>#N/A</v>
      </c>
      <c r="VOC43" s="380" t="e">
        <f t="shared" si="242"/>
        <v>#N/A</v>
      </c>
      <c r="VOD43" s="380" t="e">
        <f t="shared" si="242"/>
        <v>#N/A</v>
      </c>
      <c r="VOE43" s="380" t="e">
        <f t="shared" si="242"/>
        <v>#N/A</v>
      </c>
      <c r="VOF43" s="380" t="e">
        <f t="shared" si="242"/>
        <v>#N/A</v>
      </c>
      <c r="VOG43" s="380" t="e">
        <f t="shared" si="242"/>
        <v>#N/A</v>
      </c>
      <c r="VOH43" s="380" t="e">
        <f t="shared" si="242"/>
        <v>#N/A</v>
      </c>
      <c r="VOI43" s="380" t="e">
        <f t="shared" si="242"/>
        <v>#N/A</v>
      </c>
      <c r="VOJ43" s="380" t="e">
        <f t="shared" si="242"/>
        <v>#N/A</v>
      </c>
      <c r="VOK43" s="380" t="e">
        <f t="shared" si="242"/>
        <v>#N/A</v>
      </c>
      <c r="VOL43" s="380" t="e">
        <f t="shared" si="242"/>
        <v>#N/A</v>
      </c>
      <c r="VOM43" s="380" t="e">
        <f t="shared" si="242"/>
        <v>#N/A</v>
      </c>
      <c r="VON43" s="380" t="e">
        <f t="shared" si="242"/>
        <v>#N/A</v>
      </c>
      <c r="VOO43" s="380" t="e">
        <f t="shared" si="242"/>
        <v>#N/A</v>
      </c>
      <c r="VOP43" s="380" t="e">
        <f t="shared" si="242"/>
        <v>#N/A</v>
      </c>
      <c r="VOQ43" s="380" t="e">
        <f t="shared" si="242"/>
        <v>#N/A</v>
      </c>
      <c r="VOR43" s="380" t="e">
        <f t="shared" si="242"/>
        <v>#N/A</v>
      </c>
      <c r="VOS43" s="380" t="e">
        <f t="shared" si="242"/>
        <v>#N/A</v>
      </c>
      <c r="VOT43" s="380" t="e">
        <f t="shared" si="242"/>
        <v>#N/A</v>
      </c>
      <c r="VOU43" s="380" t="e">
        <f t="shared" si="242"/>
        <v>#N/A</v>
      </c>
      <c r="VOV43" s="380" t="e">
        <f t="shared" si="242"/>
        <v>#N/A</v>
      </c>
      <c r="VOW43" s="380" t="e">
        <f t="shared" si="242"/>
        <v>#N/A</v>
      </c>
      <c r="VOX43" s="380" t="e">
        <f t="shared" si="242"/>
        <v>#N/A</v>
      </c>
      <c r="VOY43" s="380" t="e">
        <f t="shared" si="242"/>
        <v>#N/A</v>
      </c>
      <c r="VOZ43" s="380" t="e">
        <f t="shared" si="242"/>
        <v>#N/A</v>
      </c>
      <c r="VPA43" s="380" t="e">
        <f t="shared" si="242"/>
        <v>#N/A</v>
      </c>
      <c r="VPB43" s="380" t="e">
        <f t="shared" si="242"/>
        <v>#N/A</v>
      </c>
      <c r="VPC43" s="380" t="e">
        <f t="shared" si="242"/>
        <v>#N/A</v>
      </c>
      <c r="VPD43" s="380" t="e">
        <f t="shared" si="242"/>
        <v>#N/A</v>
      </c>
      <c r="VPE43" s="380" t="e">
        <f t="shared" si="242"/>
        <v>#N/A</v>
      </c>
      <c r="VPF43" s="380" t="e">
        <f t="shared" si="242"/>
        <v>#N/A</v>
      </c>
      <c r="VPG43" s="380" t="e">
        <f t="shared" si="242"/>
        <v>#N/A</v>
      </c>
      <c r="VPH43" s="380" t="e">
        <f t="shared" si="242"/>
        <v>#N/A</v>
      </c>
      <c r="VPI43" s="380" t="e">
        <f t="shared" si="242"/>
        <v>#N/A</v>
      </c>
      <c r="VPJ43" s="380" t="e">
        <f t="shared" si="242"/>
        <v>#N/A</v>
      </c>
      <c r="VPK43" s="380" t="e">
        <f t="shared" si="242"/>
        <v>#N/A</v>
      </c>
      <c r="VPL43" s="380" t="e">
        <f t="shared" si="242"/>
        <v>#N/A</v>
      </c>
      <c r="VPM43" s="380" t="e">
        <f t="shared" si="242"/>
        <v>#N/A</v>
      </c>
      <c r="VPN43" s="380" t="e">
        <f t="shared" si="242"/>
        <v>#N/A</v>
      </c>
      <c r="VPO43" s="380" t="e">
        <f t="shared" si="242"/>
        <v>#N/A</v>
      </c>
      <c r="VPP43" s="380" t="e">
        <f t="shared" ref="VPP43:VSA43" si="243">INDEX(VPP7:VPP40,MATCH($E$43,$E$7:$E$40,0))</f>
        <v>#N/A</v>
      </c>
      <c r="VPQ43" s="380" t="e">
        <f t="shared" si="243"/>
        <v>#N/A</v>
      </c>
      <c r="VPR43" s="380" t="e">
        <f t="shared" si="243"/>
        <v>#N/A</v>
      </c>
      <c r="VPS43" s="380" t="e">
        <f t="shared" si="243"/>
        <v>#N/A</v>
      </c>
      <c r="VPT43" s="380" t="e">
        <f t="shared" si="243"/>
        <v>#N/A</v>
      </c>
      <c r="VPU43" s="380" t="e">
        <f t="shared" si="243"/>
        <v>#N/A</v>
      </c>
      <c r="VPV43" s="380" t="e">
        <f t="shared" si="243"/>
        <v>#N/A</v>
      </c>
      <c r="VPW43" s="380" t="e">
        <f t="shared" si="243"/>
        <v>#N/A</v>
      </c>
      <c r="VPX43" s="380" t="e">
        <f t="shared" si="243"/>
        <v>#N/A</v>
      </c>
      <c r="VPY43" s="380" t="e">
        <f t="shared" si="243"/>
        <v>#N/A</v>
      </c>
      <c r="VPZ43" s="380" t="e">
        <f t="shared" si="243"/>
        <v>#N/A</v>
      </c>
      <c r="VQA43" s="380" t="e">
        <f t="shared" si="243"/>
        <v>#N/A</v>
      </c>
      <c r="VQB43" s="380" t="e">
        <f t="shared" si="243"/>
        <v>#N/A</v>
      </c>
      <c r="VQC43" s="380" t="e">
        <f t="shared" si="243"/>
        <v>#N/A</v>
      </c>
      <c r="VQD43" s="380" t="e">
        <f t="shared" si="243"/>
        <v>#N/A</v>
      </c>
      <c r="VQE43" s="380" t="e">
        <f t="shared" si="243"/>
        <v>#N/A</v>
      </c>
      <c r="VQF43" s="380" t="e">
        <f t="shared" si="243"/>
        <v>#N/A</v>
      </c>
      <c r="VQG43" s="380" t="e">
        <f t="shared" si="243"/>
        <v>#N/A</v>
      </c>
      <c r="VQH43" s="380" t="e">
        <f t="shared" si="243"/>
        <v>#N/A</v>
      </c>
      <c r="VQI43" s="380" t="e">
        <f t="shared" si="243"/>
        <v>#N/A</v>
      </c>
      <c r="VQJ43" s="380" t="e">
        <f t="shared" si="243"/>
        <v>#N/A</v>
      </c>
      <c r="VQK43" s="380" t="e">
        <f t="shared" si="243"/>
        <v>#N/A</v>
      </c>
      <c r="VQL43" s="380" t="e">
        <f t="shared" si="243"/>
        <v>#N/A</v>
      </c>
      <c r="VQM43" s="380" t="e">
        <f t="shared" si="243"/>
        <v>#N/A</v>
      </c>
      <c r="VQN43" s="380" t="e">
        <f t="shared" si="243"/>
        <v>#N/A</v>
      </c>
      <c r="VQO43" s="380" t="e">
        <f t="shared" si="243"/>
        <v>#N/A</v>
      </c>
      <c r="VQP43" s="380" t="e">
        <f t="shared" si="243"/>
        <v>#N/A</v>
      </c>
      <c r="VQQ43" s="380" t="e">
        <f t="shared" si="243"/>
        <v>#N/A</v>
      </c>
      <c r="VQR43" s="380" t="e">
        <f t="shared" si="243"/>
        <v>#N/A</v>
      </c>
      <c r="VQS43" s="380" t="e">
        <f t="shared" si="243"/>
        <v>#N/A</v>
      </c>
      <c r="VQT43" s="380" t="e">
        <f t="shared" si="243"/>
        <v>#N/A</v>
      </c>
      <c r="VQU43" s="380" t="e">
        <f t="shared" si="243"/>
        <v>#N/A</v>
      </c>
      <c r="VQV43" s="380" t="e">
        <f t="shared" si="243"/>
        <v>#N/A</v>
      </c>
      <c r="VQW43" s="380" t="e">
        <f t="shared" si="243"/>
        <v>#N/A</v>
      </c>
      <c r="VQX43" s="380" t="e">
        <f t="shared" si="243"/>
        <v>#N/A</v>
      </c>
      <c r="VQY43" s="380" t="e">
        <f t="shared" si="243"/>
        <v>#N/A</v>
      </c>
      <c r="VQZ43" s="380" t="e">
        <f t="shared" si="243"/>
        <v>#N/A</v>
      </c>
      <c r="VRA43" s="380" t="e">
        <f t="shared" si="243"/>
        <v>#N/A</v>
      </c>
      <c r="VRB43" s="380" t="e">
        <f t="shared" si="243"/>
        <v>#N/A</v>
      </c>
      <c r="VRC43" s="380" t="e">
        <f t="shared" si="243"/>
        <v>#N/A</v>
      </c>
      <c r="VRD43" s="380" t="e">
        <f t="shared" si="243"/>
        <v>#N/A</v>
      </c>
      <c r="VRE43" s="380" t="e">
        <f t="shared" si="243"/>
        <v>#N/A</v>
      </c>
      <c r="VRF43" s="380" t="e">
        <f t="shared" si="243"/>
        <v>#N/A</v>
      </c>
      <c r="VRG43" s="380" t="e">
        <f t="shared" si="243"/>
        <v>#N/A</v>
      </c>
      <c r="VRH43" s="380" t="e">
        <f t="shared" si="243"/>
        <v>#N/A</v>
      </c>
      <c r="VRI43" s="380" t="e">
        <f t="shared" si="243"/>
        <v>#N/A</v>
      </c>
      <c r="VRJ43" s="380" t="e">
        <f t="shared" si="243"/>
        <v>#N/A</v>
      </c>
      <c r="VRK43" s="380" t="e">
        <f t="shared" si="243"/>
        <v>#N/A</v>
      </c>
      <c r="VRL43" s="380" t="e">
        <f t="shared" si="243"/>
        <v>#N/A</v>
      </c>
      <c r="VRM43" s="380" t="e">
        <f t="shared" si="243"/>
        <v>#N/A</v>
      </c>
      <c r="VRN43" s="380" t="e">
        <f t="shared" si="243"/>
        <v>#N/A</v>
      </c>
      <c r="VRO43" s="380" t="e">
        <f t="shared" si="243"/>
        <v>#N/A</v>
      </c>
      <c r="VRP43" s="380" t="e">
        <f t="shared" si="243"/>
        <v>#N/A</v>
      </c>
      <c r="VRQ43" s="380" t="e">
        <f t="shared" si="243"/>
        <v>#N/A</v>
      </c>
      <c r="VRR43" s="380" t="e">
        <f t="shared" si="243"/>
        <v>#N/A</v>
      </c>
      <c r="VRS43" s="380" t="e">
        <f t="shared" si="243"/>
        <v>#N/A</v>
      </c>
      <c r="VRT43" s="380" t="e">
        <f t="shared" si="243"/>
        <v>#N/A</v>
      </c>
      <c r="VRU43" s="380" t="e">
        <f t="shared" si="243"/>
        <v>#N/A</v>
      </c>
      <c r="VRV43" s="380" t="e">
        <f t="shared" si="243"/>
        <v>#N/A</v>
      </c>
      <c r="VRW43" s="380" t="e">
        <f t="shared" si="243"/>
        <v>#N/A</v>
      </c>
      <c r="VRX43" s="380" t="e">
        <f t="shared" si="243"/>
        <v>#N/A</v>
      </c>
      <c r="VRY43" s="380" t="e">
        <f t="shared" si="243"/>
        <v>#N/A</v>
      </c>
      <c r="VRZ43" s="380" t="e">
        <f t="shared" si="243"/>
        <v>#N/A</v>
      </c>
      <c r="VSA43" s="380" t="e">
        <f t="shared" si="243"/>
        <v>#N/A</v>
      </c>
      <c r="VSB43" s="380" t="e">
        <f t="shared" ref="VSB43:VUM43" si="244">INDEX(VSB7:VSB40,MATCH($E$43,$E$7:$E$40,0))</f>
        <v>#N/A</v>
      </c>
      <c r="VSC43" s="380" t="e">
        <f t="shared" si="244"/>
        <v>#N/A</v>
      </c>
      <c r="VSD43" s="380" t="e">
        <f t="shared" si="244"/>
        <v>#N/A</v>
      </c>
      <c r="VSE43" s="380" t="e">
        <f t="shared" si="244"/>
        <v>#N/A</v>
      </c>
      <c r="VSF43" s="380" t="e">
        <f t="shared" si="244"/>
        <v>#N/A</v>
      </c>
      <c r="VSG43" s="380" t="e">
        <f t="shared" si="244"/>
        <v>#N/A</v>
      </c>
      <c r="VSH43" s="380" t="e">
        <f t="shared" si="244"/>
        <v>#N/A</v>
      </c>
      <c r="VSI43" s="380" t="e">
        <f t="shared" si="244"/>
        <v>#N/A</v>
      </c>
      <c r="VSJ43" s="380" t="e">
        <f t="shared" si="244"/>
        <v>#N/A</v>
      </c>
      <c r="VSK43" s="380" t="e">
        <f t="shared" si="244"/>
        <v>#N/A</v>
      </c>
      <c r="VSL43" s="380" t="e">
        <f t="shared" si="244"/>
        <v>#N/A</v>
      </c>
      <c r="VSM43" s="380" t="e">
        <f t="shared" si="244"/>
        <v>#N/A</v>
      </c>
      <c r="VSN43" s="380" t="e">
        <f t="shared" si="244"/>
        <v>#N/A</v>
      </c>
      <c r="VSO43" s="380" t="e">
        <f t="shared" si="244"/>
        <v>#N/A</v>
      </c>
      <c r="VSP43" s="380" t="e">
        <f t="shared" si="244"/>
        <v>#N/A</v>
      </c>
      <c r="VSQ43" s="380" t="e">
        <f t="shared" si="244"/>
        <v>#N/A</v>
      </c>
      <c r="VSR43" s="380" t="e">
        <f t="shared" si="244"/>
        <v>#N/A</v>
      </c>
      <c r="VSS43" s="380" t="e">
        <f t="shared" si="244"/>
        <v>#N/A</v>
      </c>
      <c r="VST43" s="380" t="e">
        <f t="shared" si="244"/>
        <v>#N/A</v>
      </c>
      <c r="VSU43" s="380" t="e">
        <f t="shared" si="244"/>
        <v>#N/A</v>
      </c>
      <c r="VSV43" s="380" t="e">
        <f t="shared" si="244"/>
        <v>#N/A</v>
      </c>
      <c r="VSW43" s="380" t="e">
        <f t="shared" si="244"/>
        <v>#N/A</v>
      </c>
      <c r="VSX43" s="380" t="e">
        <f t="shared" si="244"/>
        <v>#N/A</v>
      </c>
      <c r="VSY43" s="380" t="e">
        <f t="shared" si="244"/>
        <v>#N/A</v>
      </c>
      <c r="VSZ43" s="380" t="e">
        <f t="shared" si="244"/>
        <v>#N/A</v>
      </c>
      <c r="VTA43" s="380" t="e">
        <f t="shared" si="244"/>
        <v>#N/A</v>
      </c>
      <c r="VTB43" s="380" t="e">
        <f t="shared" si="244"/>
        <v>#N/A</v>
      </c>
      <c r="VTC43" s="380" t="e">
        <f t="shared" si="244"/>
        <v>#N/A</v>
      </c>
      <c r="VTD43" s="380" t="e">
        <f t="shared" si="244"/>
        <v>#N/A</v>
      </c>
      <c r="VTE43" s="380" t="e">
        <f t="shared" si="244"/>
        <v>#N/A</v>
      </c>
      <c r="VTF43" s="380" t="e">
        <f t="shared" si="244"/>
        <v>#N/A</v>
      </c>
      <c r="VTG43" s="380" t="e">
        <f t="shared" si="244"/>
        <v>#N/A</v>
      </c>
      <c r="VTH43" s="380" t="e">
        <f t="shared" si="244"/>
        <v>#N/A</v>
      </c>
      <c r="VTI43" s="380" t="e">
        <f t="shared" si="244"/>
        <v>#N/A</v>
      </c>
      <c r="VTJ43" s="380" t="e">
        <f t="shared" si="244"/>
        <v>#N/A</v>
      </c>
      <c r="VTK43" s="380" t="e">
        <f t="shared" si="244"/>
        <v>#N/A</v>
      </c>
      <c r="VTL43" s="380" t="e">
        <f t="shared" si="244"/>
        <v>#N/A</v>
      </c>
      <c r="VTM43" s="380" t="e">
        <f t="shared" si="244"/>
        <v>#N/A</v>
      </c>
      <c r="VTN43" s="380" t="e">
        <f t="shared" si="244"/>
        <v>#N/A</v>
      </c>
      <c r="VTO43" s="380" t="e">
        <f t="shared" si="244"/>
        <v>#N/A</v>
      </c>
      <c r="VTP43" s="380" t="e">
        <f t="shared" si="244"/>
        <v>#N/A</v>
      </c>
      <c r="VTQ43" s="380" t="e">
        <f t="shared" si="244"/>
        <v>#N/A</v>
      </c>
      <c r="VTR43" s="380" t="e">
        <f t="shared" si="244"/>
        <v>#N/A</v>
      </c>
      <c r="VTS43" s="380" t="e">
        <f t="shared" si="244"/>
        <v>#N/A</v>
      </c>
      <c r="VTT43" s="380" t="e">
        <f t="shared" si="244"/>
        <v>#N/A</v>
      </c>
      <c r="VTU43" s="380" t="e">
        <f t="shared" si="244"/>
        <v>#N/A</v>
      </c>
      <c r="VTV43" s="380" t="e">
        <f t="shared" si="244"/>
        <v>#N/A</v>
      </c>
      <c r="VTW43" s="380" t="e">
        <f t="shared" si="244"/>
        <v>#N/A</v>
      </c>
      <c r="VTX43" s="380" t="e">
        <f t="shared" si="244"/>
        <v>#N/A</v>
      </c>
      <c r="VTY43" s="380" t="e">
        <f t="shared" si="244"/>
        <v>#N/A</v>
      </c>
      <c r="VTZ43" s="380" t="e">
        <f t="shared" si="244"/>
        <v>#N/A</v>
      </c>
      <c r="VUA43" s="380" t="e">
        <f t="shared" si="244"/>
        <v>#N/A</v>
      </c>
      <c r="VUB43" s="380" t="e">
        <f t="shared" si="244"/>
        <v>#N/A</v>
      </c>
      <c r="VUC43" s="380" t="e">
        <f t="shared" si="244"/>
        <v>#N/A</v>
      </c>
      <c r="VUD43" s="380" t="e">
        <f t="shared" si="244"/>
        <v>#N/A</v>
      </c>
      <c r="VUE43" s="380" t="e">
        <f t="shared" si="244"/>
        <v>#N/A</v>
      </c>
      <c r="VUF43" s="380" t="e">
        <f t="shared" si="244"/>
        <v>#N/A</v>
      </c>
      <c r="VUG43" s="380" t="e">
        <f t="shared" si="244"/>
        <v>#N/A</v>
      </c>
      <c r="VUH43" s="380" t="e">
        <f t="shared" si="244"/>
        <v>#N/A</v>
      </c>
      <c r="VUI43" s="380" t="e">
        <f t="shared" si="244"/>
        <v>#N/A</v>
      </c>
      <c r="VUJ43" s="380" t="e">
        <f t="shared" si="244"/>
        <v>#N/A</v>
      </c>
      <c r="VUK43" s="380" t="e">
        <f t="shared" si="244"/>
        <v>#N/A</v>
      </c>
      <c r="VUL43" s="380" t="e">
        <f t="shared" si="244"/>
        <v>#N/A</v>
      </c>
      <c r="VUM43" s="380" t="e">
        <f t="shared" si="244"/>
        <v>#N/A</v>
      </c>
      <c r="VUN43" s="380" t="e">
        <f t="shared" ref="VUN43:VWY43" si="245">INDEX(VUN7:VUN40,MATCH($E$43,$E$7:$E$40,0))</f>
        <v>#N/A</v>
      </c>
      <c r="VUO43" s="380" t="e">
        <f t="shared" si="245"/>
        <v>#N/A</v>
      </c>
      <c r="VUP43" s="380" t="e">
        <f t="shared" si="245"/>
        <v>#N/A</v>
      </c>
      <c r="VUQ43" s="380" t="e">
        <f t="shared" si="245"/>
        <v>#N/A</v>
      </c>
      <c r="VUR43" s="380" t="e">
        <f t="shared" si="245"/>
        <v>#N/A</v>
      </c>
      <c r="VUS43" s="380" t="e">
        <f t="shared" si="245"/>
        <v>#N/A</v>
      </c>
      <c r="VUT43" s="380" t="e">
        <f t="shared" si="245"/>
        <v>#N/A</v>
      </c>
      <c r="VUU43" s="380" t="e">
        <f t="shared" si="245"/>
        <v>#N/A</v>
      </c>
      <c r="VUV43" s="380" t="e">
        <f t="shared" si="245"/>
        <v>#N/A</v>
      </c>
      <c r="VUW43" s="380" t="e">
        <f t="shared" si="245"/>
        <v>#N/A</v>
      </c>
      <c r="VUX43" s="380" t="e">
        <f t="shared" si="245"/>
        <v>#N/A</v>
      </c>
      <c r="VUY43" s="380" t="e">
        <f t="shared" si="245"/>
        <v>#N/A</v>
      </c>
      <c r="VUZ43" s="380" t="e">
        <f t="shared" si="245"/>
        <v>#N/A</v>
      </c>
      <c r="VVA43" s="380" t="e">
        <f t="shared" si="245"/>
        <v>#N/A</v>
      </c>
      <c r="VVB43" s="380" t="e">
        <f t="shared" si="245"/>
        <v>#N/A</v>
      </c>
      <c r="VVC43" s="380" t="e">
        <f t="shared" si="245"/>
        <v>#N/A</v>
      </c>
      <c r="VVD43" s="380" t="e">
        <f t="shared" si="245"/>
        <v>#N/A</v>
      </c>
      <c r="VVE43" s="380" t="e">
        <f t="shared" si="245"/>
        <v>#N/A</v>
      </c>
      <c r="VVF43" s="380" t="e">
        <f t="shared" si="245"/>
        <v>#N/A</v>
      </c>
      <c r="VVG43" s="380" t="e">
        <f t="shared" si="245"/>
        <v>#N/A</v>
      </c>
      <c r="VVH43" s="380" t="e">
        <f t="shared" si="245"/>
        <v>#N/A</v>
      </c>
      <c r="VVI43" s="380" t="e">
        <f t="shared" si="245"/>
        <v>#N/A</v>
      </c>
      <c r="VVJ43" s="380" t="e">
        <f t="shared" si="245"/>
        <v>#N/A</v>
      </c>
      <c r="VVK43" s="380" t="e">
        <f t="shared" si="245"/>
        <v>#N/A</v>
      </c>
      <c r="VVL43" s="380" t="e">
        <f t="shared" si="245"/>
        <v>#N/A</v>
      </c>
      <c r="VVM43" s="380" t="e">
        <f t="shared" si="245"/>
        <v>#N/A</v>
      </c>
      <c r="VVN43" s="380" t="e">
        <f t="shared" si="245"/>
        <v>#N/A</v>
      </c>
      <c r="VVO43" s="380" t="e">
        <f t="shared" si="245"/>
        <v>#N/A</v>
      </c>
      <c r="VVP43" s="380" t="e">
        <f t="shared" si="245"/>
        <v>#N/A</v>
      </c>
      <c r="VVQ43" s="380" t="e">
        <f t="shared" si="245"/>
        <v>#N/A</v>
      </c>
      <c r="VVR43" s="380" t="e">
        <f t="shared" si="245"/>
        <v>#N/A</v>
      </c>
      <c r="VVS43" s="380" t="e">
        <f t="shared" si="245"/>
        <v>#N/A</v>
      </c>
      <c r="VVT43" s="380" t="e">
        <f t="shared" si="245"/>
        <v>#N/A</v>
      </c>
      <c r="VVU43" s="380" t="e">
        <f t="shared" si="245"/>
        <v>#N/A</v>
      </c>
      <c r="VVV43" s="380" t="e">
        <f t="shared" si="245"/>
        <v>#N/A</v>
      </c>
      <c r="VVW43" s="380" t="e">
        <f t="shared" si="245"/>
        <v>#N/A</v>
      </c>
      <c r="VVX43" s="380" t="e">
        <f t="shared" si="245"/>
        <v>#N/A</v>
      </c>
      <c r="VVY43" s="380" t="e">
        <f t="shared" si="245"/>
        <v>#N/A</v>
      </c>
      <c r="VVZ43" s="380" t="e">
        <f t="shared" si="245"/>
        <v>#N/A</v>
      </c>
      <c r="VWA43" s="380" t="e">
        <f t="shared" si="245"/>
        <v>#N/A</v>
      </c>
      <c r="VWB43" s="380" t="e">
        <f t="shared" si="245"/>
        <v>#N/A</v>
      </c>
      <c r="VWC43" s="380" t="e">
        <f t="shared" si="245"/>
        <v>#N/A</v>
      </c>
      <c r="VWD43" s="380" t="e">
        <f t="shared" si="245"/>
        <v>#N/A</v>
      </c>
      <c r="VWE43" s="380" t="e">
        <f t="shared" si="245"/>
        <v>#N/A</v>
      </c>
      <c r="VWF43" s="380" t="e">
        <f t="shared" si="245"/>
        <v>#N/A</v>
      </c>
      <c r="VWG43" s="380" t="e">
        <f t="shared" si="245"/>
        <v>#N/A</v>
      </c>
      <c r="VWH43" s="380" t="e">
        <f t="shared" si="245"/>
        <v>#N/A</v>
      </c>
      <c r="VWI43" s="380" t="e">
        <f t="shared" si="245"/>
        <v>#N/A</v>
      </c>
      <c r="VWJ43" s="380" t="e">
        <f t="shared" si="245"/>
        <v>#N/A</v>
      </c>
      <c r="VWK43" s="380" t="e">
        <f t="shared" si="245"/>
        <v>#N/A</v>
      </c>
      <c r="VWL43" s="380" t="e">
        <f t="shared" si="245"/>
        <v>#N/A</v>
      </c>
      <c r="VWM43" s="380" t="e">
        <f t="shared" si="245"/>
        <v>#N/A</v>
      </c>
      <c r="VWN43" s="380" t="e">
        <f t="shared" si="245"/>
        <v>#N/A</v>
      </c>
      <c r="VWO43" s="380" t="e">
        <f t="shared" si="245"/>
        <v>#N/A</v>
      </c>
      <c r="VWP43" s="380" t="e">
        <f t="shared" si="245"/>
        <v>#N/A</v>
      </c>
      <c r="VWQ43" s="380" t="e">
        <f t="shared" si="245"/>
        <v>#N/A</v>
      </c>
      <c r="VWR43" s="380" t="e">
        <f t="shared" si="245"/>
        <v>#N/A</v>
      </c>
      <c r="VWS43" s="380" t="e">
        <f t="shared" si="245"/>
        <v>#N/A</v>
      </c>
      <c r="VWT43" s="380" t="e">
        <f t="shared" si="245"/>
        <v>#N/A</v>
      </c>
      <c r="VWU43" s="380" t="e">
        <f t="shared" si="245"/>
        <v>#N/A</v>
      </c>
      <c r="VWV43" s="380" t="e">
        <f t="shared" si="245"/>
        <v>#N/A</v>
      </c>
      <c r="VWW43" s="380" t="e">
        <f t="shared" si="245"/>
        <v>#N/A</v>
      </c>
      <c r="VWX43" s="380" t="e">
        <f t="shared" si="245"/>
        <v>#N/A</v>
      </c>
      <c r="VWY43" s="380" t="e">
        <f t="shared" si="245"/>
        <v>#N/A</v>
      </c>
      <c r="VWZ43" s="380" t="e">
        <f t="shared" ref="VWZ43:VZK43" si="246">INDEX(VWZ7:VWZ40,MATCH($E$43,$E$7:$E$40,0))</f>
        <v>#N/A</v>
      </c>
      <c r="VXA43" s="380" t="e">
        <f t="shared" si="246"/>
        <v>#N/A</v>
      </c>
      <c r="VXB43" s="380" t="e">
        <f t="shared" si="246"/>
        <v>#N/A</v>
      </c>
      <c r="VXC43" s="380" t="e">
        <f t="shared" si="246"/>
        <v>#N/A</v>
      </c>
      <c r="VXD43" s="380" t="e">
        <f t="shared" si="246"/>
        <v>#N/A</v>
      </c>
      <c r="VXE43" s="380" t="e">
        <f t="shared" si="246"/>
        <v>#N/A</v>
      </c>
      <c r="VXF43" s="380" t="e">
        <f t="shared" si="246"/>
        <v>#N/A</v>
      </c>
      <c r="VXG43" s="380" t="e">
        <f t="shared" si="246"/>
        <v>#N/A</v>
      </c>
      <c r="VXH43" s="380" t="e">
        <f t="shared" si="246"/>
        <v>#N/A</v>
      </c>
      <c r="VXI43" s="380" t="e">
        <f t="shared" si="246"/>
        <v>#N/A</v>
      </c>
      <c r="VXJ43" s="380" t="e">
        <f t="shared" si="246"/>
        <v>#N/A</v>
      </c>
      <c r="VXK43" s="380" t="e">
        <f t="shared" si="246"/>
        <v>#N/A</v>
      </c>
      <c r="VXL43" s="380" t="e">
        <f t="shared" si="246"/>
        <v>#N/A</v>
      </c>
      <c r="VXM43" s="380" t="e">
        <f t="shared" si="246"/>
        <v>#N/A</v>
      </c>
      <c r="VXN43" s="380" t="e">
        <f t="shared" si="246"/>
        <v>#N/A</v>
      </c>
      <c r="VXO43" s="380" t="e">
        <f t="shared" si="246"/>
        <v>#N/A</v>
      </c>
      <c r="VXP43" s="380" t="e">
        <f t="shared" si="246"/>
        <v>#N/A</v>
      </c>
      <c r="VXQ43" s="380" t="e">
        <f t="shared" si="246"/>
        <v>#N/A</v>
      </c>
      <c r="VXR43" s="380" t="e">
        <f t="shared" si="246"/>
        <v>#N/A</v>
      </c>
      <c r="VXS43" s="380" t="e">
        <f t="shared" si="246"/>
        <v>#N/A</v>
      </c>
      <c r="VXT43" s="380" t="e">
        <f t="shared" si="246"/>
        <v>#N/A</v>
      </c>
      <c r="VXU43" s="380" t="e">
        <f t="shared" si="246"/>
        <v>#N/A</v>
      </c>
      <c r="VXV43" s="380" t="e">
        <f t="shared" si="246"/>
        <v>#N/A</v>
      </c>
      <c r="VXW43" s="380" t="e">
        <f t="shared" si="246"/>
        <v>#N/A</v>
      </c>
      <c r="VXX43" s="380" t="e">
        <f t="shared" si="246"/>
        <v>#N/A</v>
      </c>
      <c r="VXY43" s="380" t="e">
        <f t="shared" si="246"/>
        <v>#N/A</v>
      </c>
      <c r="VXZ43" s="380" t="e">
        <f t="shared" si="246"/>
        <v>#N/A</v>
      </c>
      <c r="VYA43" s="380" t="e">
        <f t="shared" si="246"/>
        <v>#N/A</v>
      </c>
      <c r="VYB43" s="380" t="e">
        <f t="shared" si="246"/>
        <v>#N/A</v>
      </c>
      <c r="VYC43" s="380" t="e">
        <f t="shared" si="246"/>
        <v>#N/A</v>
      </c>
      <c r="VYD43" s="380" t="e">
        <f t="shared" si="246"/>
        <v>#N/A</v>
      </c>
      <c r="VYE43" s="380" t="e">
        <f t="shared" si="246"/>
        <v>#N/A</v>
      </c>
      <c r="VYF43" s="380" t="e">
        <f t="shared" si="246"/>
        <v>#N/A</v>
      </c>
      <c r="VYG43" s="380" t="e">
        <f t="shared" si="246"/>
        <v>#N/A</v>
      </c>
      <c r="VYH43" s="380" t="e">
        <f t="shared" si="246"/>
        <v>#N/A</v>
      </c>
      <c r="VYI43" s="380" t="e">
        <f t="shared" si="246"/>
        <v>#N/A</v>
      </c>
      <c r="VYJ43" s="380" t="e">
        <f t="shared" si="246"/>
        <v>#N/A</v>
      </c>
      <c r="VYK43" s="380" t="e">
        <f t="shared" si="246"/>
        <v>#N/A</v>
      </c>
      <c r="VYL43" s="380" t="e">
        <f t="shared" si="246"/>
        <v>#N/A</v>
      </c>
      <c r="VYM43" s="380" t="e">
        <f t="shared" si="246"/>
        <v>#N/A</v>
      </c>
      <c r="VYN43" s="380" t="e">
        <f t="shared" si="246"/>
        <v>#N/A</v>
      </c>
      <c r="VYO43" s="380" t="e">
        <f t="shared" si="246"/>
        <v>#N/A</v>
      </c>
      <c r="VYP43" s="380" t="e">
        <f t="shared" si="246"/>
        <v>#N/A</v>
      </c>
      <c r="VYQ43" s="380" t="e">
        <f t="shared" si="246"/>
        <v>#N/A</v>
      </c>
      <c r="VYR43" s="380" t="e">
        <f t="shared" si="246"/>
        <v>#N/A</v>
      </c>
      <c r="VYS43" s="380" t="e">
        <f t="shared" si="246"/>
        <v>#N/A</v>
      </c>
      <c r="VYT43" s="380" t="e">
        <f t="shared" si="246"/>
        <v>#N/A</v>
      </c>
      <c r="VYU43" s="380" t="e">
        <f t="shared" si="246"/>
        <v>#N/A</v>
      </c>
      <c r="VYV43" s="380" t="e">
        <f t="shared" si="246"/>
        <v>#N/A</v>
      </c>
      <c r="VYW43" s="380" t="e">
        <f t="shared" si="246"/>
        <v>#N/A</v>
      </c>
      <c r="VYX43" s="380" t="e">
        <f t="shared" si="246"/>
        <v>#N/A</v>
      </c>
      <c r="VYY43" s="380" t="e">
        <f t="shared" si="246"/>
        <v>#N/A</v>
      </c>
      <c r="VYZ43" s="380" t="e">
        <f t="shared" si="246"/>
        <v>#N/A</v>
      </c>
      <c r="VZA43" s="380" t="e">
        <f t="shared" si="246"/>
        <v>#N/A</v>
      </c>
      <c r="VZB43" s="380" t="e">
        <f t="shared" si="246"/>
        <v>#N/A</v>
      </c>
      <c r="VZC43" s="380" t="e">
        <f t="shared" si="246"/>
        <v>#N/A</v>
      </c>
      <c r="VZD43" s="380" t="e">
        <f t="shared" si="246"/>
        <v>#N/A</v>
      </c>
      <c r="VZE43" s="380" t="e">
        <f t="shared" si="246"/>
        <v>#N/A</v>
      </c>
      <c r="VZF43" s="380" t="e">
        <f t="shared" si="246"/>
        <v>#N/A</v>
      </c>
      <c r="VZG43" s="380" t="e">
        <f t="shared" si="246"/>
        <v>#N/A</v>
      </c>
      <c r="VZH43" s="380" t="e">
        <f t="shared" si="246"/>
        <v>#N/A</v>
      </c>
      <c r="VZI43" s="380" t="e">
        <f t="shared" si="246"/>
        <v>#N/A</v>
      </c>
      <c r="VZJ43" s="380" t="e">
        <f t="shared" si="246"/>
        <v>#N/A</v>
      </c>
      <c r="VZK43" s="380" t="e">
        <f t="shared" si="246"/>
        <v>#N/A</v>
      </c>
      <c r="VZL43" s="380" t="e">
        <f t="shared" ref="VZL43:WBW43" si="247">INDEX(VZL7:VZL40,MATCH($E$43,$E$7:$E$40,0))</f>
        <v>#N/A</v>
      </c>
      <c r="VZM43" s="380" t="e">
        <f t="shared" si="247"/>
        <v>#N/A</v>
      </c>
      <c r="VZN43" s="380" t="e">
        <f t="shared" si="247"/>
        <v>#N/A</v>
      </c>
      <c r="VZO43" s="380" t="e">
        <f t="shared" si="247"/>
        <v>#N/A</v>
      </c>
      <c r="VZP43" s="380" t="e">
        <f t="shared" si="247"/>
        <v>#N/A</v>
      </c>
      <c r="VZQ43" s="380" t="e">
        <f t="shared" si="247"/>
        <v>#N/A</v>
      </c>
      <c r="VZR43" s="380" t="e">
        <f t="shared" si="247"/>
        <v>#N/A</v>
      </c>
      <c r="VZS43" s="380" t="e">
        <f t="shared" si="247"/>
        <v>#N/A</v>
      </c>
      <c r="VZT43" s="380" t="e">
        <f t="shared" si="247"/>
        <v>#N/A</v>
      </c>
      <c r="VZU43" s="380" t="e">
        <f t="shared" si="247"/>
        <v>#N/A</v>
      </c>
      <c r="VZV43" s="380" t="e">
        <f t="shared" si="247"/>
        <v>#N/A</v>
      </c>
      <c r="VZW43" s="380" t="e">
        <f t="shared" si="247"/>
        <v>#N/A</v>
      </c>
      <c r="VZX43" s="380" t="e">
        <f t="shared" si="247"/>
        <v>#N/A</v>
      </c>
      <c r="VZY43" s="380" t="e">
        <f t="shared" si="247"/>
        <v>#N/A</v>
      </c>
      <c r="VZZ43" s="380" t="e">
        <f t="shared" si="247"/>
        <v>#N/A</v>
      </c>
      <c r="WAA43" s="380" t="e">
        <f t="shared" si="247"/>
        <v>#N/A</v>
      </c>
      <c r="WAB43" s="380" t="e">
        <f t="shared" si="247"/>
        <v>#N/A</v>
      </c>
      <c r="WAC43" s="380" t="e">
        <f t="shared" si="247"/>
        <v>#N/A</v>
      </c>
      <c r="WAD43" s="380" t="e">
        <f t="shared" si="247"/>
        <v>#N/A</v>
      </c>
      <c r="WAE43" s="380" t="e">
        <f t="shared" si="247"/>
        <v>#N/A</v>
      </c>
      <c r="WAF43" s="380" t="e">
        <f t="shared" si="247"/>
        <v>#N/A</v>
      </c>
      <c r="WAG43" s="380" t="e">
        <f t="shared" si="247"/>
        <v>#N/A</v>
      </c>
      <c r="WAH43" s="380" t="e">
        <f t="shared" si="247"/>
        <v>#N/A</v>
      </c>
      <c r="WAI43" s="380" t="e">
        <f t="shared" si="247"/>
        <v>#N/A</v>
      </c>
      <c r="WAJ43" s="380" t="e">
        <f t="shared" si="247"/>
        <v>#N/A</v>
      </c>
      <c r="WAK43" s="380" t="e">
        <f t="shared" si="247"/>
        <v>#N/A</v>
      </c>
      <c r="WAL43" s="380" t="e">
        <f t="shared" si="247"/>
        <v>#N/A</v>
      </c>
      <c r="WAM43" s="380" t="e">
        <f t="shared" si="247"/>
        <v>#N/A</v>
      </c>
      <c r="WAN43" s="380" t="e">
        <f t="shared" si="247"/>
        <v>#N/A</v>
      </c>
      <c r="WAO43" s="380" t="e">
        <f t="shared" si="247"/>
        <v>#N/A</v>
      </c>
      <c r="WAP43" s="380" t="e">
        <f t="shared" si="247"/>
        <v>#N/A</v>
      </c>
      <c r="WAQ43" s="380" t="e">
        <f t="shared" si="247"/>
        <v>#N/A</v>
      </c>
      <c r="WAR43" s="380" t="e">
        <f t="shared" si="247"/>
        <v>#N/A</v>
      </c>
      <c r="WAS43" s="380" t="e">
        <f t="shared" si="247"/>
        <v>#N/A</v>
      </c>
      <c r="WAT43" s="380" t="e">
        <f t="shared" si="247"/>
        <v>#N/A</v>
      </c>
      <c r="WAU43" s="380" t="e">
        <f t="shared" si="247"/>
        <v>#N/A</v>
      </c>
      <c r="WAV43" s="380" t="e">
        <f t="shared" si="247"/>
        <v>#N/A</v>
      </c>
      <c r="WAW43" s="380" t="e">
        <f t="shared" si="247"/>
        <v>#N/A</v>
      </c>
      <c r="WAX43" s="380" t="e">
        <f t="shared" si="247"/>
        <v>#N/A</v>
      </c>
      <c r="WAY43" s="380" t="e">
        <f t="shared" si="247"/>
        <v>#N/A</v>
      </c>
      <c r="WAZ43" s="380" t="e">
        <f t="shared" si="247"/>
        <v>#N/A</v>
      </c>
      <c r="WBA43" s="380" t="e">
        <f t="shared" si="247"/>
        <v>#N/A</v>
      </c>
      <c r="WBB43" s="380" t="e">
        <f t="shared" si="247"/>
        <v>#N/A</v>
      </c>
      <c r="WBC43" s="380" t="e">
        <f t="shared" si="247"/>
        <v>#N/A</v>
      </c>
      <c r="WBD43" s="380" t="e">
        <f t="shared" si="247"/>
        <v>#N/A</v>
      </c>
      <c r="WBE43" s="380" t="e">
        <f t="shared" si="247"/>
        <v>#N/A</v>
      </c>
      <c r="WBF43" s="380" t="e">
        <f t="shared" si="247"/>
        <v>#N/A</v>
      </c>
      <c r="WBG43" s="380" t="e">
        <f t="shared" si="247"/>
        <v>#N/A</v>
      </c>
      <c r="WBH43" s="380" t="e">
        <f t="shared" si="247"/>
        <v>#N/A</v>
      </c>
      <c r="WBI43" s="380" t="e">
        <f t="shared" si="247"/>
        <v>#N/A</v>
      </c>
      <c r="WBJ43" s="380" t="e">
        <f t="shared" si="247"/>
        <v>#N/A</v>
      </c>
      <c r="WBK43" s="380" t="e">
        <f t="shared" si="247"/>
        <v>#N/A</v>
      </c>
      <c r="WBL43" s="380" t="e">
        <f t="shared" si="247"/>
        <v>#N/A</v>
      </c>
      <c r="WBM43" s="380" t="e">
        <f t="shared" si="247"/>
        <v>#N/A</v>
      </c>
      <c r="WBN43" s="380" t="e">
        <f t="shared" si="247"/>
        <v>#N/A</v>
      </c>
      <c r="WBO43" s="380" t="e">
        <f t="shared" si="247"/>
        <v>#N/A</v>
      </c>
      <c r="WBP43" s="380" t="e">
        <f t="shared" si="247"/>
        <v>#N/A</v>
      </c>
      <c r="WBQ43" s="380" t="e">
        <f t="shared" si="247"/>
        <v>#N/A</v>
      </c>
      <c r="WBR43" s="380" t="e">
        <f t="shared" si="247"/>
        <v>#N/A</v>
      </c>
      <c r="WBS43" s="380" t="e">
        <f t="shared" si="247"/>
        <v>#N/A</v>
      </c>
      <c r="WBT43" s="380" t="e">
        <f t="shared" si="247"/>
        <v>#N/A</v>
      </c>
      <c r="WBU43" s="380" t="e">
        <f t="shared" si="247"/>
        <v>#N/A</v>
      </c>
      <c r="WBV43" s="380" t="e">
        <f t="shared" si="247"/>
        <v>#N/A</v>
      </c>
      <c r="WBW43" s="380" t="e">
        <f t="shared" si="247"/>
        <v>#N/A</v>
      </c>
      <c r="WBX43" s="380" t="e">
        <f t="shared" ref="WBX43:WEI43" si="248">INDEX(WBX7:WBX40,MATCH($E$43,$E$7:$E$40,0))</f>
        <v>#N/A</v>
      </c>
      <c r="WBY43" s="380" t="e">
        <f t="shared" si="248"/>
        <v>#N/A</v>
      </c>
      <c r="WBZ43" s="380" t="e">
        <f t="shared" si="248"/>
        <v>#N/A</v>
      </c>
      <c r="WCA43" s="380" t="e">
        <f t="shared" si="248"/>
        <v>#N/A</v>
      </c>
      <c r="WCB43" s="380" t="e">
        <f t="shared" si="248"/>
        <v>#N/A</v>
      </c>
      <c r="WCC43" s="380" t="e">
        <f t="shared" si="248"/>
        <v>#N/A</v>
      </c>
      <c r="WCD43" s="380" t="e">
        <f t="shared" si="248"/>
        <v>#N/A</v>
      </c>
      <c r="WCE43" s="380" t="e">
        <f t="shared" si="248"/>
        <v>#N/A</v>
      </c>
      <c r="WCF43" s="380" t="e">
        <f t="shared" si="248"/>
        <v>#N/A</v>
      </c>
      <c r="WCG43" s="380" t="e">
        <f t="shared" si="248"/>
        <v>#N/A</v>
      </c>
      <c r="WCH43" s="380" t="e">
        <f t="shared" si="248"/>
        <v>#N/A</v>
      </c>
      <c r="WCI43" s="380" t="e">
        <f t="shared" si="248"/>
        <v>#N/A</v>
      </c>
      <c r="WCJ43" s="380" t="e">
        <f t="shared" si="248"/>
        <v>#N/A</v>
      </c>
      <c r="WCK43" s="380" t="e">
        <f t="shared" si="248"/>
        <v>#N/A</v>
      </c>
      <c r="WCL43" s="380" t="e">
        <f t="shared" si="248"/>
        <v>#N/A</v>
      </c>
      <c r="WCM43" s="380" t="e">
        <f t="shared" si="248"/>
        <v>#N/A</v>
      </c>
      <c r="WCN43" s="380" t="e">
        <f t="shared" si="248"/>
        <v>#N/A</v>
      </c>
      <c r="WCO43" s="380" t="e">
        <f t="shared" si="248"/>
        <v>#N/A</v>
      </c>
      <c r="WCP43" s="380" t="e">
        <f t="shared" si="248"/>
        <v>#N/A</v>
      </c>
      <c r="WCQ43" s="380" t="e">
        <f t="shared" si="248"/>
        <v>#N/A</v>
      </c>
      <c r="WCR43" s="380" t="e">
        <f t="shared" si="248"/>
        <v>#N/A</v>
      </c>
      <c r="WCS43" s="380" t="e">
        <f t="shared" si="248"/>
        <v>#N/A</v>
      </c>
      <c r="WCT43" s="380" t="e">
        <f t="shared" si="248"/>
        <v>#N/A</v>
      </c>
      <c r="WCU43" s="380" t="e">
        <f t="shared" si="248"/>
        <v>#N/A</v>
      </c>
      <c r="WCV43" s="380" t="e">
        <f t="shared" si="248"/>
        <v>#N/A</v>
      </c>
      <c r="WCW43" s="380" t="e">
        <f t="shared" si="248"/>
        <v>#N/A</v>
      </c>
      <c r="WCX43" s="380" t="e">
        <f t="shared" si="248"/>
        <v>#N/A</v>
      </c>
      <c r="WCY43" s="380" t="e">
        <f t="shared" si="248"/>
        <v>#N/A</v>
      </c>
      <c r="WCZ43" s="380" t="e">
        <f t="shared" si="248"/>
        <v>#N/A</v>
      </c>
      <c r="WDA43" s="380" t="e">
        <f t="shared" si="248"/>
        <v>#N/A</v>
      </c>
      <c r="WDB43" s="380" t="e">
        <f t="shared" si="248"/>
        <v>#N/A</v>
      </c>
      <c r="WDC43" s="380" t="e">
        <f t="shared" si="248"/>
        <v>#N/A</v>
      </c>
      <c r="WDD43" s="380" t="e">
        <f t="shared" si="248"/>
        <v>#N/A</v>
      </c>
      <c r="WDE43" s="380" t="e">
        <f t="shared" si="248"/>
        <v>#N/A</v>
      </c>
      <c r="WDF43" s="380" t="e">
        <f t="shared" si="248"/>
        <v>#N/A</v>
      </c>
      <c r="WDG43" s="380" t="e">
        <f t="shared" si="248"/>
        <v>#N/A</v>
      </c>
      <c r="WDH43" s="380" t="e">
        <f t="shared" si="248"/>
        <v>#N/A</v>
      </c>
      <c r="WDI43" s="380" t="e">
        <f t="shared" si="248"/>
        <v>#N/A</v>
      </c>
      <c r="WDJ43" s="380" t="e">
        <f t="shared" si="248"/>
        <v>#N/A</v>
      </c>
      <c r="WDK43" s="380" t="e">
        <f t="shared" si="248"/>
        <v>#N/A</v>
      </c>
      <c r="WDL43" s="380" t="e">
        <f t="shared" si="248"/>
        <v>#N/A</v>
      </c>
      <c r="WDM43" s="380" t="e">
        <f t="shared" si="248"/>
        <v>#N/A</v>
      </c>
      <c r="WDN43" s="380" t="e">
        <f t="shared" si="248"/>
        <v>#N/A</v>
      </c>
      <c r="WDO43" s="380" t="e">
        <f t="shared" si="248"/>
        <v>#N/A</v>
      </c>
      <c r="WDP43" s="380" t="e">
        <f t="shared" si="248"/>
        <v>#N/A</v>
      </c>
      <c r="WDQ43" s="380" t="e">
        <f t="shared" si="248"/>
        <v>#N/A</v>
      </c>
      <c r="WDR43" s="380" t="e">
        <f t="shared" si="248"/>
        <v>#N/A</v>
      </c>
      <c r="WDS43" s="380" t="e">
        <f t="shared" si="248"/>
        <v>#N/A</v>
      </c>
      <c r="WDT43" s="380" t="e">
        <f t="shared" si="248"/>
        <v>#N/A</v>
      </c>
      <c r="WDU43" s="380" t="e">
        <f t="shared" si="248"/>
        <v>#N/A</v>
      </c>
      <c r="WDV43" s="380" t="e">
        <f t="shared" si="248"/>
        <v>#N/A</v>
      </c>
      <c r="WDW43" s="380" t="e">
        <f t="shared" si="248"/>
        <v>#N/A</v>
      </c>
      <c r="WDX43" s="380" t="e">
        <f t="shared" si="248"/>
        <v>#N/A</v>
      </c>
      <c r="WDY43" s="380" t="e">
        <f t="shared" si="248"/>
        <v>#N/A</v>
      </c>
      <c r="WDZ43" s="380" t="e">
        <f t="shared" si="248"/>
        <v>#N/A</v>
      </c>
      <c r="WEA43" s="380" t="e">
        <f t="shared" si="248"/>
        <v>#N/A</v>
      </c>
      <c r="WEB43" s="380" t="e">
        <f t="shared" si="248"/>
        <v>#N/A</v>
      </c>
      <c r="WEC43" s="380" t="e">
        <f t="shared" si="248"/>
        <v>#N/A</v>
      </c>
      <c r="WED43" s="380" t="e">
        <f t="shared" si="248"/>
        <v>#N/A</v>
      </c>
      <c r="WEE43" s="380" t="e">
        <f t="shared" si="248"/>
        <v>#N/A</v>
      </c>
      <c r="WEF43" s="380" t="e">
        <f t="shared" si="248"/>
        <v>#N/A</v>
      </c>
      <c r="WEG43" s="380" t="e">
        <f t="shared" si="248"/>
        <v>#N/A</v>
      </c>
      <c r="WEH43" s="380" t="e">
        <f t="shared" si="248"/>
        <v>#N/A</v>
      </c>
      <c r="WEI43" s="380" t="e">
        <f t="shared" si="248"/>
        <v>#N/A</v>
      </c>
      <c r="WEJ43" s="380" t="e">
        <f t="shared" ref="WEJ43:WGU43" si="249">INDEX(WEJ7:WEJ40,MATCH($E$43,$E$7:$E$40,0))</f>
        <v>#N/A</v>
      </c>
      <c r="WEK43" s="380" t="e">
        <f t="shared" si="249"/>
        <v>#N/A</v>
      </c>
      <c r="WEL43" s="380" t="e">
        <f t="shared" si="249"/>
        <v>#N/A</v>
      </c>
      <c r="WEM43" s="380" t="e">
        <f t="shared" si="249"/>
        <v>#N/A</v>
      </c>
      <c r="WEN43" s="380" t="e">
        <f t="shared" si="249"/>
        <v>#N/A</v>
      </c>
      <c r="WEO43" s="380" t="e">
        <f t="shared" si="249"/>
        <v>#N/A</v>
      </c>
      <c r="WEP43" s="380" t="e">
        <f t="shared" si="249"/>
        <v>#N/A</v>
      </c>
      <c r="WEQ43" s="380" t="e">
        <f t="shared" si="249"/>
        <v>#N/A</v>
      </c>
      <c r="WER43" s="380" t="e">
        <f t="shared" si="249"/>
        <v>#N/A</v>
      </c>
      <c r="WES43" s="380" t="e">
        <f t="shared" si="249"/>
        <v>#N/A</v>
      </c>
      <c r="WET43" s="380" t="e">
        <f t="shared" si="249"/>
        <v>#N/A</v>
      </c>
      <c r="WEU43" s="380" t="e">
        <f t="shared" si="249"/>
        <v>#N/A</v>
      </c>
      <c r="WEV43" s="380" t="e">
        <f t="shared" si="249"/>
        <v>#N/A</v>
      </c>
      <c r="WEW43" s="380" t="e">
        <f t="shared" si="249"/>
        <v>#N/A</v>
      </c>
      <c r="WEX43" s="380" t="e">
        <f t="shared" si="249"/>
        <v>#N/A</v>
      </c>
      <c r="WEY43" s="380" t="e">
        <f t="shared" si="249"/>
        <v>#N/A</v>
      </c>
      <c r="WEZ43" s="380" t="e">
        <f t="shared" si="249"/>
        <v>#N/A</v>
      </c>
      <c r="WFA43" s="380" t="e">
        <f t="shared" si="249"/>
        <v>#N/A</v>
      </c>
      <c r="WFB43" s="380" t="e">
        <f t="shared" si="249"/>
        <v>#N/A</v>
      </c>
      <c r="WFC43" s="380" t="e">
        <f t="shared" si="249"/>
        <v>#N/A</v>
      </c>
      <c r="WFD43" s="380" t="e">
        <f t="shared" si="249"/>
        <v>#N/A</v>
      </c>
      <c r="WFE43" s="380" t="e">
        <f t="shared" si="249"/>
        <v>#N/A</v>
      </c>
      <c r="WFF43" s="380" t="e">
        <f t="shared" si="249"/>
        <v>#N/A</v>
      </c>
      <c r="WFG43" s="380" t="e">
        <f t="shared" si="249"/>
        <v>#N/A</v>
      </c>
      <c r="WFH43" s="380" t="e">
        <f t="shared" si="249"/>
        <v>#N/A</v>
      </c>
      <c r="WFI43" s="380" t="e">
        <f t="shared" si="249"/>
        <v>#N/A</v>
      </c>
      <c r="WFJ43" s="380" t="e">
        <f t="shared" si="249"/>
        <v>#N/A</v>
      </c>
      <c r="WFK43" s="380" t="e">
        <f t="shared" si="249"/>
        <v>#N/A</v>
      </c>
      <c r="WFL43" s="380" t="e">
        <f t="shared" si="249"/>
        <v>#N/A</v>
      </c>
      <c r="WFM43" s="380" t="e">
        <f t="shared" si="249"/>
        <v>#N/A</v>
      </c>
      <c r="WFN43" s="380" t="e">
        <f t="shared" si="249"/>
        <v>#N/A</v>
      </c>
      <c r="WFO43" s="380" t="e">
        <f t="shared" si="249"/>
        <v>#N/A</v>
      </c>
      <c r="WFP43" s="380" t="e">
        <f t="shared" si="249"/>
        <v>#N/A</v>
      </c>
      <c r="WFQ43" s="380" t="e">
        <f t="shared" si="249"/>
        <v>#N/A</v>
      </c>
      <c r="WFR43" s="380" t="e">
        <f t="shared" si="249"/>
        <v>#N/A</v>
      </c>
      <c r="WFS43" s="380" t="e">
        <f t="shared" si="249"/>
        <v>#N/A</v>
      </c>
      <c r="WFT43" s="380" t="e">
        <f t="shared" si="249"/>
        <v>#N/A</v>
      </c>
      <c r="WFU43" s="380" t="e">
        <f t="shared" si="249"/>
        <v>#N/A</v>
      </c>
      <c r="WFV43" s="380" t="e">
        <f t="shared" si="249"/>
        <v>#N/A</v>
      </c>
      <c r="WFW43" s="380" t="e">
        <f t="shared" si="249"/>
        <v>#N/A</v>
      </c>
      <c r="WFX43" s="380" t="e">
        <f t="shared" si="249"/>
        <v>#N/A</v>
      </c>
      <c r="WFY43" s="380" t="e">
        <f t="shared" si="249"/>
        <v>#N/A</v>
      </c>
      <c r="WFZ43" s="380" t="e">
        <f t="shared" si="249"/>
        <v>#N/A</v>
      </c>
      <c r="WGA43" s="380" t="e">
        <f t="shared" si="249"/>
        <v>#N/A</v>
      </c>
      <c r="WGB43" s="380" t="e">
        <f t="shared" si="249"/>
        <v>#N/A</v>
      </c>
      <c r="WGC43" s="380" t="e">
        <f t="shared" si="249"/>
        <v>#N/A</v>
      </c>
      <c r="WGD43" s="380" t="e">
        <f t="shared" si="249"/>
        <v>#N/A</v>
      </c>
      <c r="WGE43" s="380" t="e">
        <f t="shared" si="249"/>
        <v>#N/A</v>
      </c>
      <c r="WGF43" s="380" t="e">
        <f t="shared" si="249"/>
        <v>#N/A</v>
      </c>
      <c r="WGG43" s="380" t="e">
        <f t="shared" si="249"/>
        <v>#N/A</v>
      </c>
      <c r="WGH43" s="380" t="e">
        <f t="shared" si="249"/>
        <v>#N/A</v>
      </c>
      <c r="WGI43" s="380" t="e">
        <f t="shared" si="249"/>
        <v>#N/A</v>
      </c>
      <c r="WGJ43" s="380" t="e">
        <f t="shared" si="249"/>
        <v>#N/A</v>
      </c>
      <c r="WGK43" s="380" t="e">
        <f t="shared" si="249"/>
        <v>#N/A</v>
      </c>
      <c r="WGL43" s="380" t="e">
        <f t="shared" si="249"/>
        <v>#N/A</v>
      </c>
      <c r="WGM43" s="380" t="e">
        <f t="shared" si="249"/>
        <v>#N/A</v>
      </c>
      <c r="WGN43" s="380" t="e">
        <f t="shared" si="249"/>
        <v>#N/A</v>
      </c>
      <c r="WGO43" s="380" t="e">
        <f t="shared" si="249"/>
        <v>#N/A</v>
      </c>
      <c r="WGP43" s="380" t="e">
        <f t="shared" si="249"/>
        <v>#N/A</v>
      </c>
      <c r="WGQ43" s="380" t="e">
        <f t="shared" si="249"/>
        <v>#N/A</v>
      </c>
      <c r="WGR43" s="380" t="e">
        <f t="shared" si="249"/>
        <v>#N/A</v>
      </c>
      <c r="WGS43" s="380" t="e">
        <f t="shared" si="249"/>
        <v>#N/A</v>
      </c>
      <c r="WGT43" s="380" t="e">
        <f t="shared" si="249"/>
        <v>#N/A</v>
      </c>
      <c r="WGU43" s="380" t="e">
        <f t="shared" si="249"/>
        <v>#N/A</v>
      </c>
      <c r="WGV43" s="380" t="e">
        <f t="shared" ref="WGV43:WJG43" si="250">INDEX(WGV7:WGV40,MATCH($E$43,$E$7:$E$40,0))</f>
        <v>#N/A</v>
      </c>
      <c r="WGW43" s="380" t="e">
        <f t="shared" si="250"/>
        <v>#N/A</v>
      </c>
      <c r="WGX43" s="380" t="e">
        <f t="shared" si="250"/>
        <v>#N/A</v>
      </c>
      <c r="WGY43" s="380" t="e">
        <f t="shared" si="250"/>
        <v>#N/A</v>
      </c>
      <c r="WGZ43" s="380" t="e">
        <f t="shared" si="250"/>
        <v>#N/A</v>
      </c>
      <c r="WHA43" s="380" t="e">
        <f t="shared" si="250"/>
        <v>#N/A</v>
      </c>
      <c r="WHB43" s="380" t="e">
        <f t="shared" si="250"/>
        <v>#N/A</v>
      </c>
      <c r="WHC43" s="380" t="e">
        <f t="shared" si="250"/>
        <v>#N/A</v>
      </c>
      <c r="WHD43" s="380" t="e">
        <f t="shared" si="250"/>
        <v>#N/A</v>
      </c>
      <c r="WHE43" s="380" t="e">
        <f t="shared" si="250"/>
        <v>#N/A</v>
      </c>
      <c r="WHF43" s="380" t="e">
        <f t="shared" si="250"/>
        <v>#N/A</v>
      </c>
      <c r="WHG43" s="380" t="e">
        <f t="shared" si="250"/>
        <v>#N/A</v>
      </c>
      <c r="WHH43" s="380" t="e">
        <f t="shared" si="250"/>
        <v>#N/A</v>
      </c>
      <c r="WHI43" s="380" t="e">
        <f t="shared" si="250"/>
        <v>#N/A</v>
      </c>
      <c r="WHJ43" s="380" t="e">
        <f t="shared" si="250"/>
        <v>#N/A</v>
      </c>
      <c r="WHK43" s="380" t="e">
        <f t="shared" si="250"/>
        <v>#N/A</v>
      </c>
      <c r="WHL43" s="380" t="e">
        <f t="shared" si="250"/>
        <v>#N/A</v>
      </c>
      <c r="WHM43" s="380" t="e">
        <f t="shared" si="250"/>
        <v>#N/A</v>
      </c>
      <c r="WHN43" s="380" t="e">
        <f t="shared" si="250"/>
        <v>#N/A</v>
      </c>
      <c r="WHO43" s="380" t="e">
        <f t="shared" si="250"/>
        <v>#N/A</v>
      </c>
      <c r="WHP43" s="380" t="e">
        <f t="shared" si="250"/>
        <v>#N/A</v>
      </c>
      <c r="WHQ43" s="380" t="e">
        <f t="shared" si="250"/>
        <v>#N/A</v>
      </c>
      <c r="WHR43" s="380" t="e">
        <f t="shared" si="250"/>
        <v>#N/A</v>
      </c>
      <c r="WHS43" s="380" t="e">
        <f t="shared" si="250"/>
        <v>#N/A</v>
      </c>
      <c r="WHT43" s="380" t="e">
        <f t="shared" si="250"/>
        <v>#N/A</v>
      </c>
      <c r="WHU43" s="380" t="e">
        <f t="shared" si="250"/>
        <v>#N/A</v>
      </c>
      <c r="WHV43" s="380" t="e">
        <f t="shared" si="250"/>
        <v>#N/A</v>
      </c>
      <c r="WHW43" s="380" t="e">
        <f t="shared" si="250"/>
        <v>#N/A</v>
      </c>
      <c r="WHX43" s="380" t="e">
        <f t="shared" si="250"/>
        <v>#N/A</v>
      </c>
      <c r="WHY43" s="380" t="e">
        <f t="shared" si="250"/>
        <v>#N/A</v>
      </c>
      <c r="WHZ43" s="380" t="e">
        <f t="shared" si="250"/>
        <v>#N/A</v>
      </c>
      <c r="WIA43" s="380" t="e">
        <f t="shared" si="250"/>
        <v>#N/A</v>
      </c>
      <c r="WIB43" s="380" t="e">
        <f t="shared" si="250"/>
        <v>#N/A</v>
      </c>
      <c r="WIC43" s="380" t="e">
        <f t="shared" si="250"/>
        <v>#N/A</v>
      </c>
      <c r="WID43" s="380" t="e">
        <f t="shared" si="250"/>
        <v>#N/A</v>
      </c>
      <c r="WIE43" s="380" t="e">
        <f t="shared" si="250"/>
        <v>#N/A</v>
      </c>
      <c r="WIF43" s="380" t="e">
        <f t="shared" si="250"/>
        <v>#N/A</v>
      </c>
      <c r="WIG43" s="380" t="e">
        <f t="shared" si="250"/>
        <v>#N/A</v>
      </c>
      <c r="WIH43" s="380" t="e">
        <f t="shared" si="250"/>
        <v>#N/A</v>
      </c>
      <c r="WII43" s="380" t="e">
        <f t="shared" si="250"/>
        <v>#N/A</v>
      </c>
      <c r="WIJ43" s="380" t="e">
        <f t="shared" si="250"/>
        <v>#N/A</v>
      </c>
      <c r="WIK43" s="380" t="e">
        <f t="shared" si="250"/>
        <v>#N/A</v>
      </c>
      <c r="WIL43" s="380" t="e">
        <f t="shared" si="250"/>
        <v>#N/A</v>
      </c>
      <c r="WIM43" s="380" t="e">
        <f t="shared" si="250"/>
        <v>#N/A</v>
      </c>
      <c r="WIN43" s="380" t="e">
        <f t="shared" si="250"/>
        <v>#N/A</v>
      </c>
      <c r="WIO43" s="380" t="e">
        <f t="shared" si="250"/>
        <v>#N/A</v>
      </c>
      <c r="WIP43" s="380" t="e">
        <f t="shared" si="250"/>
        <v>#N/A</v>
      </c>
      <c r="WIQ43" s="380" t="e">
        <f t="shared" si="250"/>
        <v>#N/A</v>
      </c>
      <c r="WIR43" s="380" t="e">
        <f t="shared" si="250"/>
        <v>#N/A</v>
      </c>
      <c r="WIS43" s="380" t="e">
        <f t="shared" si="250"/>
        <v>#N/A</v>
      </c>
      <c r="WIT43" s="380" t="e">
        <f t="shared" si="250"/>
        <v>#N/A</v>
      </c>
      <c r="WIU43" s="380" t="e">
        <f t="shared" si="250"/>
        <v>#N/A</v>
      </c>
      <c r="WIV43" s="380" t="e">
        <f t="shared" si="250"/>
        <v>#N/A</v>
      </c>
      <c r="WIW43" s="380" t="e">
        <f t="shared" si="250"/>
        <v>#N/A</v>
      </c>
      <c r="WIX43" s="380" t="e">
        <f t="shared" si="250"/>
        <v>#N/A</v>
      </c>
      <c r="WIY43" s="380" t="e">
        <f t="shared" si="250"/>
        <v>#N/A</v>
      </c>
      <c r="WIZ43" s="380" t="e">
        <f t="shared" si="250"/>
        <v>#N/A</v>
      </c>
      <c r="WJA43" s="380" t="e">
        <f t="shared" si="250"/>
        <v>#N/A</v>
      </c>
      <c r="WJB43" s="380" t="e">
        <f t="shared" si="250"/>
        <v>#N/A</v>
      </c>
      <c r="WJC43" s="380" t="e">
        <f t="shared" si="250"/>
        <v>#N/A</v>
      </c>
      <c r="WJD43" s="380" t="e">
        <f t="shared" si="250"/>
        <v>#N/A</v>
      </c>
      <c r="WJE43" s="380" t="e">
        <f t="shared" si="250"/>
        <v>#N/A</v>
      </c>
      <c r="WJF43" s="380" t="e">
        <f t="shared" si="250"/>
        <v>#N/A</v>
      </c>
      <c r="WJG43" s="380" t="e">
        <f t="shared" si="250"/>
        <v>#N/A</v>
      </c>
      <c r="WJH43" s="380" t="e">
        <f t="shared" ref="WJH43:WLS43" si="251">INDEX(WJH7:WJH40,MATCH($E$43,$E$7:$E$40,0))</f>
        <v>#N/A</v>
      </c>
      <c r="WJI43" s="380" t="e">
        <f t="shared" si="251"/>
        <v>#N/A</v>
      </c>
      <c r="WJJ43" s="380" t="e">
        <f t="shared" si="251"/>
        <v>#N/A</v>
      </c>
      <c r="WJK43" s="380" t="e">
        <f t="shared" si="251"/>
        <v>#N/A</v>
      </c>
      <c r="WJL43" s="380" t="e">
        <f t="shared" si="251"/>
        <v>#N/A</v>
      </c>
      <c r="WJM43" s="380" t="e">
        <f t="shared" si="251"/>
        <v>#N/A</v>
      </c>
      <c r="WJN43" s="380" t="e">
        <f t="shared" si="251"/>
        <v>#N/A</v>
      </c>
      <c r="WJO43" s="380" t="e">
        <f t="shared" si="251"/>
        <v>#N/A</v>
      </c>
      <c r="WJP43" s="380" t="e">
        <f t="shared" si="251"/>
        <v>#N/A</v>
      </c>
      <c r="WJQ43" s="380" t="e">
        <f t="shared" si="251"/>
        <v>#N/A</v>
      </c>
      <c r="WJR43" s="380" t="e">
        <f t="shared" si="251"/>
        <v>#N/A</v>
      </c>
      <c r="WJS43" s="380" t="e">
        <f t="shared" si="251"/>
        <v>#N/A</v>
      </c>
      <c r="WJT43" s="380" t="e">
        <f t="shared" si="251"/>
        <v>#N/A</v>
      </c>
      <c r="WJU43" s="380" t="e">
        <f t="shared" si="251"/>
        <v>#N/A</v>
      </c>
      <c r="WJV43" s="380" t="e">
        <f t="shared" si="251"/>
        <v>#N/A</v>
      </c>
      <c r="WJW43" s="380" t="e">
        <f t="shared" si="251"/>
        <v>#N/A</v>
      </c>
      <c r="WJX43" s="380" t="e">
        <f t="shared" si="251"/>
        <v>#N/A</v>
      </c>
      <c r="WJY43" s="380" t="e">
        <f t="shared" si="251"/>
        <v>#N/A</v>
      </c>
      <c r="WJZ43" s="380" t="e">
        <f t="shared" si="251"/>
        <v>#N/A</v>
      </c>
      <c r="WKA43" s="380" t="e">
        <f t="shared" si="251"/>
        <v>#N/A</v>
      </c>
      <c r="WKB43" s="380" t="e">
        <f t="shared" si="251"/>
        <v>#N/A</v>
      </c>
      <c r="WKC43" s="380" t="e">
        <f t="shared" si="251"/>
        <v>#N/A</v>
      </c>
      <c r="WKD43" s="380" t="e">
        <f t="shared" si="251"/>
        <v>#N/A</v>
      </c>
      <c r="WKE43" s="380" t="e">
        <f t="shared" si="251"/>
        <v>#N/A</v>
      </c>
      <c r="WKF43" s="380" t="e">
        <f t="shared" si="251"/>
        <v>#N/A</v>
      </c>
      <c r="WKG43" s="380" t="e">
        <f t="shared" si="251"/>
        <v>#N/A</v>
      </c>
      <c r="WKH43" s="380" t="e">
        <f t="shared" si="251"/>
        <v>#N/A</v>
      </c>
      <c r="WKI43" s="380" t="e">
        <f t="shared" si="251"/>
        <v>#N/A</v>
      </c>
      <c r="WKJ43" s="380" t="e">
        <f t="shared" si="251"/>
        <v>#N/A</v>
      </c>
      <c r="WKK43" s="380" t="e">
        <f t="shared" si="251"/>
        <v>#N/A</v>
      </c>
      <c r="WKL43" s="380" t="e">
        <f t="shared" si="251"/>
        <v>#N/A</v>
      </c>
      <c r="WKM43" s="380" t="e">
        <f t="shared" si="251"/>
        <v>#N/A</v>
      </c>
      <c r="WKN43" s="380" t="e">
        <f t="shared" si="251"/>
        <v>#N/A</v>
      </c>
      <c r="WKO43" s="380" t="e">
        <f t="shared" si="251"/>
        <v>#N/A</v>
      </c>
      <c r="WKP43" s="380" t="e">
        <f t="shared" si="251"/>
        <v>#N/A</v>
      </c>
      <c r="WKQ43" s="380" t="e">
        <f t="shared" si="251"/>
        <v>#N/A</v>
      </c>
      <c r="WKR43" s="380" t="e">
        <f t="shared" si="251"/>
        <v>#N/A</v>
      </c>
      <c r="WKS43" s="380" t="e">
        <f t="shared" si="251"/>
        <v>#N/A</v>
      </c>
      <c r="WKT43" s="380" t="e">
        <f t="shared" si="251"/>
        <v>#N/A</v>
      </c>
      <c r="WKU43" s="380" t="e">
        <f t="shared" si="251"/>
        <v>#N/A</v>
      </c>
      <c r="WKV43" s="380" t="e">
        <f t="shared" si="251"/>
        <v>#N/A</v>
      </c>
      <c r="WKW43" s="380" t="e">
        <f t="shared" si="251"/>
        <v>#N/A</v>
      </c>
      <c r="WKX43" s="380" t="e">
        <f t="shared" si="251"/>
        <v>#N/A</v>
      </c>
      <c r="WKY43" s="380" t="e">
        <f t="shared" si="251"/>
        <v>#N/A</v>
      </c>
      <c r="WKZ43" s="380" t="e">
        <f t="shared" si="251"/>
        <v>#N/A</v>
      </c>
      <c r="WLA43" s="380" t="e">
        <f t="shared" si="251"/>
        <v>#N/A</v>
      </c>
      <c r="WLB43" s="380" t="e">
        <f t="shared" si="251"/>
        <v>#N/A</v>
      </c>
      <c r="WLC43" s="380" t="e">
        <f t="shared" si="251"/>
        <v>#N/A</v>
      </c>
      <c r="WLD43" s="380" t="e">
        <f t="shared" si="251"/>
        <v>#N/A</v>
      </c>
      <c r="WLE43" s="380" t="e">
        <f t="shared" si="251"/>
        <v>#N/A</v>
      </c>
      <c r="WLF43" s="380" t="e">
        <f t="shared" si="251"/>
        <v>#N/A</v>
      </c>
      <c r="WLG43" s="380" t="e">
        <f t="shared" si="251"/>
        <v>#N/A</v>
      </c>
      <c r="WLH43" s="380" t="e">
        <f t="shared" si="251"/>
        <v>#N/A</v>
      </c>
      <c r="WLI43" s="380" t="e">
        <f t="shared" si="251"/>
        <v>#N/A</v>
      </c>
      <c r="WLJ43" s="380" t="e">
        <f t="shared" si="251"/>
        <v>#N/A</v>
      </c>
      <c r="WLK43" s="380" t="e">
        <f t="shared" si="251"/>
        <v>#N/A</v>
      </c>
      <c r="WLL43" s="380" t="e">
        <f t="shared" si="251"/>
        <v>#N/A</v>
      </c>
      <c r="WLM43" s="380" t="e">
        <f t="shared" si="251"/>
        <v>#N/A</v>
      </c>
      <c r="WLN43" s="380" t="e">
        <f t="shared" si="251"/>
        <v>#N/A</v>
      </c>
      <c r="WLO43" s="380" t="e">
        <f t="shared" si="251"/>
        <v>#N/A</v>
      </c>
      <c r="WLP43" s="380" t="e">
        <f t="shared" si="251"/>
        <v>#N/A</v>
      </c>
      <c r="WLQ43" s="380" t="e">
        <f t="shared" si="251"/>
        <v>#N/A</v>
      </c>
      <c r="WLR43" s="380" t="e">
        <f t="shared" si="251"/>
        <v>#N/A</v>
      </c>
      <c r="WLS43" s="380" t="e">
        <f t="shared" si="251"/>
        <v>#N/A</v>
      </c>
      <c r="WLT43" s="380" t="e">
        <f t="shared" ref="WLT43:WOE43" si="252">INDEX(WLT7:WLT40,MATCH($E$43,$E$7:$E$40,0))</f>
        <v>#N/A</v>
      </c>
      <c r="WLU43" s="380" t="e">
        <f t="shared" si="252"/>
        <v>#N/A</v>
      </c>
      <c r="WLV43" s="380" t="e">
        <f t="shared" si="252"/>
        <v>#N/A</v>
      </c>
      <c r="WLW43" s="380" t="e">
        <f t="shared" si="252"/>
        <v>#N/A</v>
      </c>
      <c r="WLX43" s="380" t="e">
        <f t="shared" si="252"/>
        <v>#N/A</v>
      </c>
      <c r="WLY43" s="380" t="e">
        <f t="shared" si="252"/>
        <v>#N/A</v>
      </c>
      <c r="WLZ43" s="380" t="e">
        <f t="shared" si="252"/>
        <v>#N/A</v>
      </c>
      <c r="WMA43" s="380" t="e">
        <f t="shared" si="252"/>
        <v>#N/A</v>
      </c>
      <c r="WMB43" s="380" t="e">
        <f t="shared" si="252"/>
        <v>#N/A</v>
      </c>
      <c r="WMC43" s="380" t="e">
        <f t="shared" si="252"/>
        <v>#N/A</v>
      </c>
      <c r="WMD43" s="380" t="e">
        <f t="shared" si="252"/>
        <v>#N/A</v>
      </c>
      <c r="WME43" s="380" t="e">
        <f t="shared" si="252"/>
        <v>#N/A</v>
      </c>
      <c r="WMF43" s="380" t="e">
        <f t="shared" si="252"/>
        <v>#N/A</v>
      </c>
      <c r="WMG43" s="380" t="e">
        <f t="shared" si="252"/>
        <v>#N/A</v>
      </c>
      <c r="WMH43" s="380" t="e">
        <f t="shared" si="252"/>
        <v>#N/A</v>
      </c>
      <c r="WMI43" s="380" t="e">
        <f t="shared" si="252"/>
        <v>#N/A</v>
      </c>
      <c r="WMJ43" s="380" t="e">
        <f t="shared" si="252"/>
        <v>#N/A</v>
      </c>
      <c r="WMK43" s="380" t="e">
        <f t="shared" si="252"/>
        <v>#N/A</v>
      </c>
      <c r="WML43" s="380" t="e">
        <f t="shared" si="252"/>
        <v>#N/A</v>
      </c>
      <c r="WMM43" s="380" t="e">
        <f t="shared" si="252"/>
        <v>#N/A</v>
      </c>
      <c r="WMN43" s="380" t="e">
        <f t="shared" si="252"/>
        <v>#N/A</v>
      </c>
      <c r="WMO43" s="380" t="e">
        <f t="shared" si="252"/>
        <v>#N/A</v>
      </c>
      <c r="WMP43" s="380" t="e">
        <f t="shared" si="252"/>
        <v>#N/A</v>
      </c>
      <c r="WMQ43" s="380" t="e">
        <f t="shared" si="252"/>
        <v>#N/A</v>
      </c>
      <c r="WMR43" s="380" t="e">
        <f t="shared" si="252"/>
        <v>#N/A</v>
      </c>
      <c r="WMS43" s="380" t="e">
        <f t="shared" si="252"/>
        <v>#N/A</v>
      </c>
      <c r="WMT43" s="380" t="e">
        <f t="shared" si="252"/>
        <v>#N/A</v>
      </c>
      <c r="WMU43" s="380" t="e">
        <f t="shared" si="252"/>
        <v>#N/A</v>
      </c>
      <c r="WMV43" s="380" t="e">
        <f t="shared" si="252"/>
        <v>#N/A</v>
      </c>
      <c r="WMW43" s="380" t="e">
        <f t="shared" si="252"/>
        <v>#N/A</v>
      </c>
      <c r="WMX43" s="380" t="e">
        <f t="shared" si="252"/>
        <v>#N/A</v>
      </c>
      <c r="WMY43" s="380" t="e">
        <f t="shared" si="252"/>
        <v>#N/A</v>
      </c>
      <c r="WMZ43" s="380" t="e">
        <f t="shared" si="252"/>
        <v>#N/A</v>
      </c>
      <c r="WNA43" s="380" t="e">
        <f t="shared" si="252"/>
        <v>#N/A</v>
      </c>
      <c r="WNB43" s="380" t="e">
        <f t="shared" si="252"/>
        <v>#N/A</v>
      </c>
      <c r="WNC43" s="380" t="e">
        <f t="shared" si="252"/>
        <v>#N/A</v>
      </c>
      <c r="WND43" s="380" t="e">
        <f t="shared" si="252"/>
        <v>#N/A</v>
      </c>
      <c r="WNE43" s="380" t="e">
        <f t="shared" si="252"/>
        <v>#N/A</v>
      </c>
      <c r="WNF43" s="380" t="e">
        <f t="shared" si="252"/>
        <v>#N/A</v>
      </c>
      <c r="WNG43" s="380" t="e">
        <f t="shared" si="252"/>
        <v>#N/A</v>
      </c>
      <c r="WNH43" s="380" t="e">
        <f t="shared" si="252"/>
        <v>#N/A</v>
      </c>
      <c r="WNI43" s="380" t="e">
        <f t="shared" si="252"/>
        <v>#N/A</v>
      </c>
      <c r="WNJ43" s="380" t="e">
        <f t="shared" si="252"/>
        <v>#N/A</v>
      </c>
      <c r="WNK43" s="380" t="e">
        <f t="shared" si="252"/>
        <v>#N/A</v>
      </c>
      <c r="WNL43" s="380" t="e">
        <f t="shared" si="252"/>
        <v>#N/A</v>
      </c>
      <c r="WNM43" s="380" t="e">
        <f t="shared" si="252"/>
        <v>#N/A</v>
      </c>
      <c r="WNN43" s="380" t="e">
        <f t="shared" si="252"/>
        <v>#N/A</v>
      </c>
      <c r="WNO43" s="380" t="e">
        <f t="shared" si="252"/>
        <v>#N/A</v>
      </c>
      <c r="WNP43" s="380" t="e">
        <f t="shared" si="252"/>
        <v>#N/A</v>
      </c>
      <c r="WNQ43" s="380" t="e">
        <f t="shared" si="252"/>
        <v>#N/A</v>
      </c>
      <c r="WNR43" s="380" t="e">
        <f t="shared" si="252"/>
        <v>#N/A</v>
      </c>
      <c r="WNS43" s="380" t="e">
        <f t="shared" si="252"/>
        <v>#N/A</v>
      </c>
      <c r="WNT43" s="380" t="e">
        <f t="shared" si="252"/>
        <v>#N/A</v>
      </c>
      <c r="WNU43" s="380" t="e">
        <f t="shared" si="252"/>
        <v>#N/A</v>
      </c>
      <c r="WNV43" s="380" t="e">
        <f t="shared" si="252"/>
        <v>#N/A</v>
      </c>
      <c r="WNW43" s="380" t="e">
        <f t="shared" si="252"/>
        <v>#N/A</v>
      </c>
      <c r="WNX43" s="380" t="e">
        <f t="shared" si="252"/>
        <v>#N/A</v>
      </c>
      <c r="WNY43" s="380" t="e">
        <f t="shared" si="252"/>
        <v>#N/A</v>
      </c>
      <c r="WNZ43" s="380" t="e">
        <f t="shared" si="252"/>
        <v>#N/A</v>
      </c>
      <c r="WOA43" s="380" t="e">
        <f t="shared" si="252"/>
        <v>#N/A</v>
      </c>
      <c r="WOB43" s="380" t="e">
        <f t="shared" si="252"/>
        <v>#N/A</v>
      </c>
      <c r="WOC43" s="380" t="e">
        <f t="shared" si="252"/>
        <v>#N/A</v>
      </c>
      <c r="WOD43" s="380" t="e">
        <f t="shared" si="252"/>
        <v>#N/A</v>
      </c>
      <c r="WOE43" s="380" t="e">
        <f t="shared" si="252"/>
        <v>#N/A</v>
      </c>
      <c r="WOF43" s="380" t="e">
        <f t="shared" ref="WOF43:WQQ43" si="253">INDEX(WOF7:WOF40,MATCH($E$43,$E$7:$E$40,0))</f>
        <v>#N/A</v>
      </c>
      <c r="WOG43" s="380" t="e">
        <f t="shared" si="253"/>
        <v>#N/A</v>
      </c>
      <c r="WOH43" s="380" t="e">
        <f t="shared" si="253"/>
        <v>#N/A</v>
      </c>
      <c r="WOI43" s="380" t="e">
        <f t="shared" si="253"/>
        <v>#N/A</v>
      </c>
      <c r="WOJ43" s="380" t="e">
        <f t="shared" si="253"/>
        <v>#N/A</v>
      </c>
      <c r="WOK43" s="380" t="e">
        <f t="shared" si="253"/>
        <v>#N/A</v>
      </c>
      <c r="WOL43" s="380" t="e">
        <f t="shared" si="253"/>
        <v>#N/A</v>
      </c>
      <c r="WOM43" s="380" t="e">
        <f t="shared" si="253"/>
        <v>#N/A</v>
      </c>
      <c r="WON43" s="380" t="e">
        <f t="shared" si="253"/>
        <v>#N/A</v>
      </c>
      <c r="WOO43" s="380" t="e">
        <f t="shared" si="253"/>
        <v>#N/A</v>
      </c>
      <c r="WOP43" s="380" t="e">
        <f t="shared" si="253"/>
        <v>#N/A</v>
      </c>
      <c r="WOQ43" s="380" t="e">
        <f t="shared" si="253"/>
        <v>#N/A</v>
      </c>
      <c r="WOR43" s="380" t="e">
        <f t="shared" si="253"/>
        <v>#N/A</v>
      </c>
      <c r="WOS43" s="380" t="e">
        <f t="shared" si="253"/>
        <v>#N/A</v>
      </c>
      <c r="WOT43" s="380" t="e">
        <f t="shared" si="253"/>
        <v>#N/A</v>
      </c>
      <c r="WOU43" s="380" t="e">
        <f t="shared" si="253"/>
        <v>#N/A</v>
      </c>
      <c r="WOV43" s="380" t="e">
        <f t="shared" si="253"/>
        <v>#N/A</v>
      </c>
      <c r="WOW43" s="380" t="e">
        <f t="shared" si="253"/>
        <v>#N/A</v>
      </c>
      <c r="WOX43" s="380" t="e">
        <f t="shared" si="253"/>
        <v>#N/A</v>
      </c>
      <c r="WOY43" s="380" t="e">
        <f t="shared" si="253"/>
        <v>#N/A</v>
      </c>
      <c r="WOZ43" s="380" t="e">
        <f t="shared" si="253"/>
        <v>#N/A</v>
      </c>
      <c r="WPA43" s="380" t="e">
        <f t="shared" si="253"/>
        <v>#N/A</v>
      </c>
      <c r="WPB43" s="380" t="e">
        <f t="shared" si="253"/>
        <v>#N/A</v>
      </c>
      <c r="WPC43" s="380" t="e">
        <f t="shared" si="253"/>
        <v>#N/A</v>
      </c>
      <c r="WPD43" s="380" t="e">
        <f t="shared" si="253"/>
        <v>#N/A</v>
      </c>
      <c r="WPE43" s="380" t="e">
        <f t="shared" si="253"/>
        <v>#N/A</v>
      </c>
      <c r="WPF43" s="380" t="e">
        <f t="shared" si="253"/>
        <v>#N/A</v>
      </c>
      <c r="WPG43" s="380" t="e">
        <f t="shared" si="253"/>
        <v>#N/A</v>
      </c>
      <c r="WPH43" s="380" t="e">
        <f t="shared" si="253"/>
        <v>#N/A</v>
      </c>
      <c r="WPI43" s="380" t="e">
        <f t="shared" si="253"/>
        <v>#N/A</v>
      </c>
      <c r="WPJ43" s="380" t="e">
        <f t="shared" si="253"/>
        <v>#N/A</v>
      </c>
      <c r="WPK43" s="380" t="e">
        <f t="shared" si="253"/>
        <v>#N/A</v>
      </c>
      <c r="WPL43" s="380" t="e">
        <f t="shared" si="253"/>
        <v>#N/A</v>
      </c>
      <c r="WPM43" s="380" t="e">
        <f t="shared" si="253"/>
        <v>#N/A</v>
      </c>
      <c r="WPN43" s="380" t="e">
        <f t="shared" si="253"/>
        <v>#N/A</v>
      </c>
      <c r="WPO43" s="380" t="e">
        <f t="shared" si="253"/>
        <v>#N/A</v>
      </c>
      <c r="WPP43" s="380" t="e">
        <f t="shared" si="253"/>
        <v>#N/A</v>
      </c>
      <c r="WPQ43" s="380" t="e">
        <f t="shared" si="253"/>
        <v>#N/A</v>
      </c>
      <c r="WPR43" s="380" t="e">
        <f t="shared" si="253"/>
        <v>#N/A</v>
      </c>
      <c r="WPS43" s="380" t="e">
        <f t="shared" si="253"/>
        <v>#N/A</v>
      </c>
      <c r="WPT43" s="380" t="e">
        <f t="shared" si="253"/>
        <v>#N/A</v>
      </c>
      <c r="WPU43" s="380" t="e">
        <f t="shared" si="253"/>
        <v>#N/A</v>
      </c>
      <c r="WPV43" s="380" t="e">
        <f t="shared" si="253"/>
        <v>#N/A</v>
      </c>
      <c r="WPW43" s="380" t="e">
        <f t="shared" si="253"/>
        <v>#N/A</v>
      </c>
      <c r="WPX43" s="380" t="e">
        <f t="shared" si="253"/>
        <v>#N/A</v>
      </c>
      <c r="WPY43" s="380" t="e">
        <f t="shared" si="253"/>
        <v>#N/A</v>
      </c>
      <c r="WPZ43" s="380" t="e">
        <f t="shared" si="253"/>
        <v>#N/A</v>
      </c>
      <c r="WQA43" s="380" t="e">
        <f t="shared" si="253"/>
        <v>#N/A</v>
      </c>
      <c r="WQB43" s="380" t="e">
        <f t="shared" si="253"/>
        <v>#N/A</v>
      </c>
      <c r="WQC43" s="380" t="e">
        <f t="shared" si="253"/>
        <v>#N/A</v>
      </c>
      <c r="WQD43" s="380" t="e">
        <f t="shared" si="253"/>
        <v>#N/A</v>
      </c>
      <c r="WQE43" s="380" t="e">
        <f t="shared" si="253"/>
        <v>#N/A</v>
      </c>
      <c r="WQF43" s="380" t="e">
        <f t="shared" si="253"/>
        <v>#N/A</v>
      </c>
      <c r="WQG43" s="380" t="e">
        <f t="shared" si="253"/>
        <v>#N/A</v>
      </c>
      <c r="WQH43" s="380" t="e">
        <f t="shared" si="253"/>
        <v>#N/A</v>
      </c>
      <c r="WQI43" s="380" t="e">
        <f t="shared" si="253"/>
        <v>#N/A</v>
      </c>
      <c r="WQJ43" s="380" t="e">
        <f t="shared" si="253"/>
        <v>#N/A</v>
      </c>
      <c r="WQK43" s="380" t="e">
        <f t="shared" si="253"/>
        <v>#N/A</v>
      </c>
      <c r="WQL43" s="380" t="e">
        <f t="shared" si="253"/>
        <v>#N/A</v>
      </c>
      <c r="WQM43" s="380" t="e">
        <f t="shared" si="253"/>
        <v>#N/A</v>
      </c>
      <c r="WQN43" s="380" t="e">
        <f t="shared" si="253"/>
        <v>#N/A</v>
      </c>
      <c r="WQO43" s="380" t="e">
        <f t="shared" si="253"/>
        <v>#N/A</v>
      </c>
      <c r="WQP43" s="380" t="e">
        <f t="shared" si="253"/>
        <v>#N/A</v>
      </c>
      <c r="WQQ43" s="380" t="e">
        <f t="shared" si="253"/>
        <v>#N/A</v>
      </c>
      <c r="WQR43" s="380" t="e">
        <f t="shared" ref="WQR43:WTC43" si="254">INDEX(WQR7:WQR40,MATCH($E$43,$E$7:$E$40,0))</f>
        <v>#N/A</v>
      </c>
      <c r="WQS43" s="380" t="e">
        <f t="shared" si="254"/>
        <v>#N/A</v>
      </c>
      <c r="WQT43" s="380" t="e">
        <f t="shared" si="254"/>
        <v>#N/A</v>
      </c>
      <c r="WQU43" s="380" t="e">
        <f t="shared" si="254"/>
        <v>#N/A</v>
      </c>
      <c r="WQV43" s="380" t="e">
        <f t="shared" si="254"/>
        <v>#N/A</v>
      </c>
      <c r="WQW43" s="380" t="e">
        <f t="shared" si="254"/>
        <v>#N/A</v>
      </c>
      <c r="WQX43" s="380" t="e">
        <f t="shared" si="254"/>
        <v>#N/A</v>
      </c>
      <c r="WQY43" s="380" t="e">
        <f t="shared" si="254"/>
        <v>#N/A</v>
      </c>
      <c r="WQZ43" s="380" t="e">
        <f t="shared" si="254"/>
        <v>#N/A</v>
      </c>
      <c r="WRA43" s="380" t="e">
        <f t="shared" si="254"/>
        <v>#N/A</v>
      </c>
      <c r="WRB43" s="380" t="e">
        <f t="shared" si="254"/>
        <v>#N/A</v>
      </c>
      <c r="WRC43" s="380" t="e">
        <f t="shared" si="254"/>
        <v>#N/A</v>
      </c>
      <c r="WRD43" s="380" t="e">
        <f t="shared" si="254"/>
        <v>#N/A</v>
      </c>
      <c r="WRE43" s="380" t="e">
        <f t="shared" si="254"/>
        <v>#N/A</v>
      </c>
      <c r="WRF43" s="380" t="e">
        <f t="shared" si="254"/>
        <v>#N/A</v>
      </c>
      <c r="WRG43" s="380" t="e">
        <f t="shared" si="254"/>
        <v>#N/A</v>
      </c>
      <c r="WRH43" s="380" t="e">
        <f t="shared" si="254"/>
        <v>#N/A</v>
      </c>
      <c r="WRI43" s="380" t="e">
        <f t="shared" si="254"/>
        <v>#N/A</v>
      </c>
      <c r="WRJ43" s="380" t="e">
        <f t="shared" si="254"/>
        <v>#N/A</v>
      </c>
      <c r="WRK43" s="380" t="e">
        <f t="shared" si="254"/>
        <v>#N/A</v>
      </c>
      <c r="WRL43" s="380" t="e">
        <f t="shared" si="254"/>
        <v>#N/A</v>
      </c>
      <c r="WRM43" s="380" t="e">
        <f t="shared" si="254"/>
        <v>#N/A</v>
      </c>
      <c r="WRN43" s="380" t="e">
        <f t="shared" si="254"/>
        <v>#N/A</v>
      </c>
      <c r="WRO43" s="380" t="e">
        <f t="shared" si="254"/>
        <v>#N/A</v>
      </c>
      <c r="WRP43" s="380" t="e">
        <f t="shared" si="254"/>
        <v>#N/A</v>
      </c>
      <c r="WRQ43" s="380" t="e">
        <f t="shared" si="254"/>
        <v>#N/A</v>
      </c>
      <c r="WRR43" s="380" t="e">
        <f t="shared" si="254"/>
        <v>#N/A</v>
      </c>
      <c r="WRS43" s="380" t="e">
        <f t="shared" si="254"/>
        <v>#N/A</v>
      </c>
      <c r="WRT43" s="380" t="e">
        <f t="shared" si="254"/>
        <v>#N/A</v>
      </c>
      <c r="WRU43" s="380" t="e">
        <f t="shared" si="254"/>
        <v>#N/A</v>
      </c>
      <c r="WRV43" s="380" t="e">
        <f t="shared" si="254"/>
        <v>#N/A</v>
      </c>
      <c r="WRW43" s="380" t="e">
        <f t="shared" si="254"/>
        <v>#N/A</v>
      </c>
      <c r="WRX43" s="380" t="e">
        <f t="shared" si="254"/>
        <v>#N/A</v>
      </c>
      <c r="WRY43" s="380" t="e">
        <f t="shared" si="254"/>
        <v>#N/A</v>
      </c>
      <c r="WRZ43" s="380" t="e">
        <f t="shared" si="254"/>
        <v>#N/A</v>
      </c>
      <c r="WSA43" s="380" t="e">
        <f t="shared" si="254"/>
        <v>#N/A</v>
      </c>
      <c r="WSB43" s="380" t="e">
        <f t="shared" si="254"/>
        <v>#N/A</v>
      </c>
      <c r="WSC43" s="380" t="e">
        <f t="shared" si="254"/>
        <v>#N/A</v>
      </c>
      <c r="WSD43" s="380" t="e">
        <f t="shared" si="254"/>
        <v>#N/A</v>
      </c>
      <c r="WSE43" s="380" t="e">
        <f t="shared" si="254"/>
        <v>#N/A</v>
      </c>
      <c r="WSF43" s="380" t="e">
        <f t="shared" si="254"/>
        <v>#N/A</v>
      </c>
      <c r="WSG43" s="380" t="e">
        <f t="shared" si="254"/>
        <v>#N/A</v>
      </c>
      <c r="WSH43" s="380" t="e">
        <f t="shared" si="254"/>
        <v>#N/A</v>
      </c>
      <c r="WSI43" s="380" t="e">
        <f t="shared" si="254"/>
        <v>#N/A</v>
      </c>
      <c r="WSJ43" s="380" t="e">
        <f t="shared" si="254"/>
        <v>#N/A</v>
      </c>
      <c r="WSK43" s="380" t="e">
        <f t="shared" si="254"/>
        <v>#N/A</v>
      </c>
      <c r="WSL43" s="380" t="e">
        <f t="shared" si="254"/>
        <v>#N/A</v>
      </c>
      <c r="WSM43" s="380" t="e">
        <f t="shared" si="254"/>
        <v>#N/A</v>
      </c>
      <c r="WSN43" s="380" t="e">
        <f t="shared" si="254"/>
        <v>#N/A</v>
      </c>
      <c r="WSO43" s="380" t="e">
        <f t="shared" si="254"/>
        <v>#N/A</v>
      </c>
      <c r="WSP43" s="380" t="e">
        <f t="shared" si="254"/>
        <v>#N/A</v>
      </c>
      <c r="WSQ43" s="380" t="e">
        <f t="shared" si="254"/>
        <v>#N/A</v>
      </c>
      <c r="WSR43" s="380" t="e">
        <f t="shared" si="254"/>
        <v>#N/A</v>
      </c>
      <c r="WSS43" s="380" t="e">
        <f t="shared" si="254"/>
        <v>#N/A</v>
      </c>
      <c r="WST43" s="380" t="e">
        <f t="shared" si="254"/>
        <v>#N/A</v>
      </c>
      <c r="WSU43" s="380" t="e">
        <f t="shared" si="254"/>
        <v>#N/A</v>
      </c>
      <c r="WSV43" s="380" t="e">
        <f t="shared" si="254"/>
        <v>#N/A</v>
      </c>
      <c r="WSW43" s="380" t="e">
        <f t="shared" si="254"/>
        <v>#N/A</v>
      </c>
      <c r="WSX43" s="380" t="e">
        <f t="shared" si="254"/>
        <v>#N/A</v>
      </c>
      <c r="WSY43" s="380" t="e">
        <f t="shared" si="254"/>
        <v>#N/A</v>
      </c>
      <c r="WSZ43" s="380" t="e">
        <f t="shared" si="254"/>
        <v>#N/A</v>
      </c>
      <c r="WTA43" s="380" t="e">
        <f t="shared" si="254"/>
        <v>#N/A</v>
      </c>
      <c r="WTB43" s="380" t="e">
        <f t="shared" si="254"/>
        <v>#N/A</v>
      </c>
      <c r="WTC43" s="380" t="e">
        <f t="shared" si="254"/>
        <v>#N/A</v>
      </c>
      <c r="WTD43" s="380" t="e">
        <f t="shared" ref="WTD43:WVO43" si="255">INDEX(WTD7:WTD40,MATCH($E$43,$E$7:$E$40,0))</f>
        <v>#N/A</v>
      </c>
      <c r="WTE43" s="380" t="e">
        <f t="shared" si="255"/>
        <v>#N/A</v>
      </c>
      <c r="WTF43" s="380" t="e">
        <f t="shared" si="255"/>
        <v>#N/A</v>
      </c>
      <c r="WTG43" s="380" t="e">
        <f t="shared" si="255"/>
        <v>#N/A</v>
      </c>
      <c r="WTH43" s="380" t="e">
        <f t="shared" si="255"/>
        <v>#N/A</v>
      </c>
      <c r="WTI43" s="380" t="e">
        <f t="shared" si="255"/>
        <v>#N/A</v>
      </c>
      <c r="WTJ43" s="380" t="e">
        <f t="shared" si="255"/>
        <v>#N/A</v>
      </c>
      <c r="WTK43" s="380" t="e">
        <f t="shared" si="255"/>
        <v>#N/A</v>
      </c>
      <c r="WTL43" s="380" t="e">
        <f t="shared" si="255"/>
        <v>#N/A</v>
      </c>
      <c r="WTM43" s="380" t="e">
        <f t="shared" si="255"/>
        <v>#N/A</v>
      </c>
      <c r="WTN43" s="380" t="e">
        <f t="shared" si="255"/>
        <v>#N/A</v>
      </c>
      <c r="WTO43" s="380" t="e">
        <f t="shared" si="255"/>
        <v>#N/A</v>
      </c>
      <c r="WTP43" s="380" t="e">
        <f t="shared" si="255"/>
        <v>#N/A</v>
      </c>
      <c r="WTQ43" s="380" t="e">
        <f t="shared" si="255"/>
        <v>#N/A</v>
      </c>
      <c r="WTR43" s="380" t="e">
        <f t="shared" si="255"/>
        <v>#N/A</v>
      </c>
      <c r="WTS43" s="380" t="e">
        <f t="shared" si="255"/>
        <v>#N/A</v>
      </c>
      <c r="WTT43" s="380" t="e">
        <f t="shared" si="255"/>
        <v>#N/A</v>
      </c>
      <c r="WTU43" s="380" t="e">
        <f t="shared" si="255"/>
        <v>#N/A</v>
      </c>
      <c r="WTV43" s="380" t="e">
        <f t="shared" si="255"/>
        <v>#N/A</v>
      </c>
      <c r="WTW43" s="380" t="e">
        <f t="shared" si="255"/>
        <v>#N/A</v>
      </c>
      <c r="WTX43" s="380" t="e">
        <f t="shared" si="255"/>
        <v>#N/A</v>
      </c>
      <c r="WTY43" s="380" t="e">
        <f t="shared" si="255"/>
        <v>#N/A</v>
      </c>
      <c r="WTZ43" s="380" t="e">
        <f t="shared" si="255"/>
        <v>#N/A</v>
      </c>
      <c r="WUA43" s="380" t="e">
        <f t="shared" si="255"/>
        <v>#N/A</v>
      </c>
      <c r="WUB43" s="380" t="e">
        <f t="shared" si="255"/>
        <v>#N/A</v>
      </c>
      <c r="WUC43" s="380" t="e">
        <f t="shared" si="255"/>
        <v>#N/A</v>
      </c>
      <c r="WUD43" s="380" t="e">
        <f t="shared" si="255"/>
        <v>#N/A</v>
      </c>
      <c r="WUE43" s="380" t="e">
        <f t="shared" si="255"/>
        <v>#N/A</v>
      </c>
      <c r="WUF43" s="380" t="e">
        <f t="shared" si="255"/>
        <v>#N/A</v>
      </c>
      <c r="WUG43" s="380" t="e">
        <f t="shared" si="255"/>
        <v>#N/A</v>
      </c>
      <c r="WUH43" s="380" t="e">
        <f t="shared" si="255"/>
        <v>#N/A</v>
      </c>
      <c r="WUI43" s="380" t="e">
        <f t="shared" si="255"/>
        <v>#N/A</v>
      </c>
      <c r="WUJ43" s="380" t="e">
        <f t="shared" si="255"/>
        <v>#N/A</v>
      </c>
      <c r="WUK43" s="380" t="e">
        <f t="shared" si="255"/>
        <v>#N/A</v>
      </c>
      <c r="WUL43" s="380" t="e">
        <f t="shared" si="255"/>
        <v>#N/A</v>
      </c>
      <c r="WUM43" s="380" t="e">
        <f t="shared" si="255"/>
        <v>#N/A</v>
      </c>
      <c r="WUN43" s="380" t="e">
        <f t="shared" si="255"/>
        <v>#N/A</v>
      </c>
      <c r="WUO43" s="380" t="e">
        <f t="shared" si="255"/>
        <v>#N/A</v>
      </c>
      <c r="WUP43" s="380" t="e">
        <f t="shared" si="255"/>
        <v>#N/A</v>
      </c>
      <c r="WUQ43" s="380" t="e">
        <f t="shared" si="255"/>
        <v>#N/A</v>
      </c>
      <c r="WUR43" s="380" t="e">
        <f t="shared" si="255"/>
        <v>#N/A</v>
      </c>
      <c r="WUS43" s="380" t="e">
        <f t="shared" si="255"/>
        <v>#N/A</v>
      </c>
      <c r="WUT43" s="380" t="e">
        <f t="shared" si="255"/>
        <v>#N/A</v>
      </c>
      <c r="WUU43" s="380" t="e">
        <f t="shared" si="255"/>
        <v>#N/A</v>
      </c>
      <c r="WUV43" s="380" t="e">
        <f t="shared" si="255"/>
        <v>#N/A</v>
      </c>
      <c r="WUW43" s="380" t="e">
        <f t="shared" si="255"/>
        <v>#N/A</v>
      </c>
      <c r="WUX43" s="380" t="e">
        <f t="shared" si="255"/>
        <v>#N/A</v>
      </c>
      <c r="WUY43" s="380" t="e">
        <f t="shared" si="255"/>
        <v>#N/A</v>
      </c>
      <c r="WUZ43" s="380" t="e">
        <f t="shared" si="255"/>
        <v>#N/A</v>
      </c>
      <c r="WVA43" s="380" t="e">
        <f t="shared" si="255"/>
        <v>#N/A</v>
      </c>
      <c r="WVB43" s="380" t="e">
        <f t="shared" si="255"/>
        <v>#N/A</v>
      </c>
      <c r="WVC43" s="380" t="e">
        <f t="shared" si="255"/>
        <v>#N/A</v>
      </c>
      <c r="WVD43" s="380" t="e">
        <f t="shared" si="255"/>
        <v>#N/A</v>
      </c>
      <c r="WVE43" s="380" t="e">
        <f t="shared" si="255"/>
        <v>#N/A</v>
      </c>
      <c r="WVF43" s="380" t="e">
        <f t="shared" si="255"/>
        <v>#N/A</v>
      </c>
      <c r="WVG43" s="380" t="e">
        <f t="shared" si="255"/>
        <v>#N/A</v>
      </c>
      <c r="WVH43" s="380" t="e">
        <f t="shared" si="255"/>
        <v>#N/A</v>
      </c>
      <c r="WVI43" s="380" t="e">
        <f t="shared" si="255"/>
        <v>#N/A</v>
      </c>
      <c r="WVJ43" s="380" t="e">
        <f t="shared" si="255"/>
        <v>#N/A</v>
      </c>
      <c r="WVK43" s="380" t="e">
        <f t="shared" si="255"/>
        <v>#N/A</v>
      </c>
      <c r="WVL43" s="380" t="e">
        <f t="shared" si="255"/>
        <v>#N/A</v>
      </c>
      <c r="WVM43" s="380" t="e">
        <f t="shared" si="255"/>
        <v>#N/A</v>
      </c>
      <c r="WVN43" s="380" t="e">
        <f t="shared" si="255"/>
        <v>#N/A</v>
      </c>
      <c r="WVO43" s="380" t="e">
        <f t="shared" si="255"/>
        <v>#N/A</v>
      </c>
      <c r="WVP43" s="380" t="e">
        <f t="shared" ref="WVP43:WYA43" si="256">INDEX(WVP7:WVP40,MATCH($E$43,$E$7:$E$40,0))</f>
        <v>#N/A</v>
      </c>
      <c r="WVQ43" s="380" t="e">
        <f t="shared" si="256"/>
        <v>#N/A</v>
      </c>
      <c r="WVR43" s="380" t="e">
        <f t="shared" si="256"/>
        <v>#N/A</v>
      </c>
      <c r="WVS43" s="380" t="e">
        <f t="shared" si="256"/>
        <v>#N/A</v>
      </c>
      <c r="WVT43" s="380" t="e">
        <f t="shared" si="256"/>
        <v>#N/A</v>
      </c>
      <c r="WVU43" s="380" t="e">
        <f t="shared" si="256"/>
        <v>#N/A</v>
      </c>
      <c r="WVV43" s="380" t="e">
        <f t="shared" si="256"/>
        <v>#N/A</v>
      </c>
      <c r="WVW43" s="380" t="e">
        <f t="shared" si="256"/>
        <v>#N/A</v>
      </c>
      <c r="WVX43" s="380" t="e">
        <f t="shared" si="256"/>
        <v>#N/A</v>
      </c>
      <c r="WVY43" s="380" t="e">
        <f t="shared" si="256"/>
        <v>#N/A</v>
      </c>
      <c r="WVZ43" s="380" t="e">
        <f t="shared" si="256"/>
        <v>#N/A</v>
      </c>
      <c r="WWA43" s="380" t="e">
        <f t="shared" si="256"/>
        <v>#N/A</v>
      </c>
      <c r="WWB43" s="380" t="e">
        <f t="shared" si="256"/>
        <v>#N/A</v>
      </c>
      <c r="WWC43" s="380" t="e">
        <f t="shared" si="256"/>
        <v>#N/A</v>
      </c>
      <c r="WWD43" s="380" t="e">
        <f t="shared" si="256"/>
        <v>#N/A</v>
      </c>
      <c r="WWE43" s="380" t="e">
        <f t="shared" si="256"/>
        <v>#N/A</v>
      </c>
      <c r="WWF43" s="380" t="e">
        <f t="shared" si="256"/>
        <v>#N/A</v>
      </c>
      <c r="WWG43" s="380" t="e">
        <f t="shared" si="256"/>
        <v>#N/A</v>
      </c>
      <c r="WWH43" s="380" t="e">
        <f t="shared" si="256"/>
        <v>#N/A</v>
      </c>
      <c r="WWI43" s="380" t="e">
        <f t="shared" si="256"/>
        <v>#N/A</v>
      </c>
      <c r="WWJ43" s="380" t="e">
        <f t="shared" si="256"/>
        <v>#N/A</v>
      </c>
      <c r="WWK43" s="380" t="e">
        <f t="shared" si="256"/>
        <v>#N/A</v>
      </c>
      <c r="WWL43" s="380" t="e">
        <f t="shared" si="256"/>
        <v>#N/A</v>
      </c>
      <c r="WWM43" s="380" t="e">
        <f t="shared" si="256"/>
        <v>#N/A</v>
      </c>
      <c r="WWN43" s="380" t="e">
        <f t="shared" si="256"/>
        <v>#N/A</v>
      </c>
      <c r="WWO43" s="380" t="e">
        <f t="shared" si="256"/>
        <v>#N/A</v>
      </c>
      <c r="WWP43" s="380" t="e">
        <f t="shared" si="256"/>
        <v>#N/A</v>
      </c>
      <c r="WWQ43" s="380" t="e">
        <f t="shared" si="256"/>
        <v>#N/A</v>
      </c>
      <c r="WWR43" s="380" t="e">
        <f t="shared" si="256"/>
        <v>#N/A</v>
      </c>
      <c r="WWS43" s="380" t="e">
        <f t="shared" si="256"/>
        <v>#N/A</v>
      </c>
      <c r="WWT43" s="380" t="e">
        <f t="shared" si="256"/>
        <v>#N/A</v>
      </c>
      <c r="WWU43" s="380" t="e">
        <f t="shared" si="256"/>
        <v>#N/A</v>
      </c>
      <c r="WWV43" s="380" t="e">
        <f t="shared" si="256"/>
        <v>#N/A</v>
      </c>
      <c r="WWW43" s="380" t="e">
        <f t="shared" si="256"/>
        <v>#N/A</v>
      </c>
      <c r="WWX43" s="380" t="e">
        <f t="shared" si="256"/>
        <v>#N/A</v>
      </c>
      <c r="WWY43" s="380" t="e">
        <f t="shared" si="256"/>
        <v>#N/A</v>
      </c>
      <c r="WWZ43" s="380" t="e">
        <f t="shared" si="256"/>
        <v>#N/A</v>
      </c>
      <c r="WXA43" s="380" t="e">
        <f t="shared" si="256"/>
        <v>#N/A</v>
      </c>
      <c r="WXB43" s="380" t="e">
        <f t="shared" si="256"/>
        <v>#N/A</v>
      </c>
      <c r="WXC43" s="380" t="e">
        <f t="shared" si="256"/>
        <v>#N/A</v>
      </c>
      <c r="WXD43" s="380" t="e">
        <f t="shared" si="256"/>
        <v>#N/A</v>
      </c>
      <c r="WXE43" s="380" t="e">
        <f t="shared" si="256"/>
        <v>#N/A</v>
      </c>
      <c r="WXF43" s="380" t="e">
        <f t="shared" si="256"/>
        <v>#N/A</v>
      </c>
      <c r="WXG43" s="380" t="e">
        <f t="shared" si="256"/>
        <v>#N/A</v>
      </c>
      <c r="WXH43" s="380" t="e">
        <f t="shared" si="256"/>
        <v>#N/A</v>
      </c>
      <c r="WXI43" s="380" t="e">
        <f t="shared" si="256"/>
        <v>#N/A</v>
      </c>
      <c r="WXJ43" s="380" t="e">
        <f t="shared" si="256"/>
        <v>#N/A</v>
      </c>
      <c r="WXK43" s="380" t="e">
        <f t="shared" si="256"/>
        <v>#N/A</v>
      </c>
      <c r="WXL43" s="380" t="e">
        <f t="shared" si="256"/>
        <v>#N/A</v>
      </c>
      <c r="WXM43" s="380" t="e">
        <f t="shared" si="256"/>
        <v>#N/A</v>
      </c>
      <c r="WXN43" s="380" t="e">
        <f t="shared" si="256"/>
        <v>#N/A</v>
      </c>
      <c r="WXO43" s="380" t="e">
        <f t="shared" si="256"/>
        <v>#N/A</v>
      </c>
      <c r="WXP43" s="380" t="e">
        <f t="shared" si="256"/>
        <v>#N/A</v>
      </c>
      <c r="WXQ43" s="380" t="e">
        <f t="shared" si="256"/>
        <v>#N/A</v>
      </c>
      <c r="WXR43" s="380" t="e">
        <f t="shared" si="256"/>
        <v>#N/A</v>
      </c>
      <c r="WXS43" s="380" t="e">
        <f t="shared" si="256"/>
        <v>#N/A</v>
      </c>
      <c r="WXT43" s="380" t="e">
        <f t="shared" si="256"/>
        <v>#N/A</v>
      </c>
      <c r="WXU43" s="380" t="e">
        <f t="shared" si="256"/>
        <v>#N/A</v>
      </c>
      <c r="WXV43" s="380" t="e">
        <f t="shared" si="256"/>
        <v>#N/A</v>
      </c>
      <c r="WXW43" s="380" t="e">
        <f t="shared" si="256"/>
        <v>#N/A</v>
      </c>
      <c r="WXX43" s="380" t="e">
        <f t="shared" si="256"/>
        <v>#N/A</v>
      </c>
      <c r="WXY43" s="380" t="e">
        <f t="shared" si="256"/>
        <v>#N/A</v>
      </c>
      <c r="WXZ43" s="380" t="e">
        <f t="shared" si="256"/>
        <v>#N/A</v>
      </c>
      <c r="WYA43" s="380" t="e">
        <f t="shared" si="256"/>
        <v>#N/A</v>
      </c>
      <c r="WYB43" s="380" t="e">
        <f t="shared" ref="WYB43:XAM43" si="257">INDEX(WYB7:WYB40,MATCH($E$43,$E$7:$E$40,0))</f>
        <v>#N/A</v>
      </c>
      <c r="WYC43" s="380" t="e">
        <f t="shared" si="257"/>
        <v>#N/A</v>
      </c>
      <c r="WYD43" s="380" t="e">
        <f t="shared" si="257"/>
        <v>#N/A</v>
      </c>
      <c r="WYE43" s="380" t="e">
        <f t="shared" si="257"/>
        <v>#N/A</v>
      </c>
      <c r="WYF43" s="380" t="e">
        <f t="shared" si="257"/>
        <v>#N/A</v>
      </c>
      <c r="WYG43" s="380" t="e">
        <f t="shared" si="257"/>
        <v>#N/A</v>
      </c>
      <c r="WYH43" s="380" t="e">
        <f t="shared" si="257"/>
        <v>#N/A</v>
      </c>
      <c r="WYI43" s="380" t="e">
        <f t="shared" si="257"/>
        <v>#N/A</v>
      </c>
      <c r="WYJ43" s="380" t="e">
        <f t="shared" si="257"/>
        <v>#N/A</v>
      </c>
      <c r="WYK43" s="380" t="e">
        <f t="shared" si="257"/>
        <v>#N/A</v>
      </c>
      <c r="WYL43" s="380" t="e">
        <f t="shared" si="257"/>
        <v>#N/A</v>
      </c>
      <c r="WYM43" s="380" t="e">
        <f t="shared" si="257"/>
        <v>#N/A</v>
      </c>
      <c r="WYN43" s="380" t="e">
        <f t="shared" si="257"/>
        <v>#N/A</v>
      </c>
      <c r="WYO43" s="380" t="e">
        <f t="shared" si="257"/>
        <v>#N/A</v>
      </c>
      <c r="WYP43" s="380" t="e">
        <f t="shared" si="257"/>
        <v>#N/A</v>
      </c>
      <c r="WYQ43" s="380" t="e">
        <f t="shared" si="257"/>
        <v>#N/A</v>
      </c>
      <c r="WYR43" s="380" t="e">
        <f t="shared" si="257"/>
        <v>#N/A</v>
      </c>
      <c r="WYS43" s="380" t="e">
        <f t="shared" si="257"/>
        <v>#N/A</v>
      </c>
      <c r="WYT43" s="380" t="e">
        <f t="shared" si="257"/>
        <v>#N/A</v>
      </c>
      <c r="WYU43" s="380" t="e">
        <f t="shared" si="257"/>
        <v>#N/A</v>
      </c>
      <c r="WYV43" s="380" t="e">
        <f t="shared" si="257"/>
        <v>#N/A</v>
      </c>
      <c r="WYW43" s="380" t="e">
        <f t="shared" si="257"/>
        <v>#N/A</v>
      </c>
      <c r="WYX43" s="380" t="e">
        <f t="shared" si="257"/>
        <v>#N/A</v>
      </c>
      <c r="WYY43" s="380" t="e">
        <f t="shared" si="257"/>
        <v>#N/A</v>
      </c>
      <c r="WYZ43" s="380" t="e">
        <f t="shared" si="257"/>
        <v>#N/A</v>
      </c>
      <c r="WZA43" s="380" t="e">
        <f t="shared" si="257"/>
        <v>#N/A</v>
      </c>
      <c r="WZB43" s="380" t="e">
        <f t="shared" si="257"/>
        <v>#N/A</v>
      </c>
      <c r="WZC43" s="380" t="e">
        <f t="shared" si="257"/>
        <v>#N/A</v>
      </c>
      <c r="WZD43" s="380" t="e">
        <f t="shared" si="257"/>
        <v>#N/A</v>
      </c>
      <c r="WZE43" s="380" t="e">
        <f t="shared" si="257"/>
        <v>#N/A</v>
      </c>
      <c r="WZF43" s="380" t="e">
        <f t="shared" si="257"/>
        <v>#N/A</v>
      </c>
      <c r="WZG43" s="380" t="e">
        <f t="shared" si="257"/>
        <v>#N/A</v>
      </c>
      <c r="WZH43" s="380" t="e">
        <f t="shared" si="257"/>
        <v>#N/A</v>
      </c>
      <c r="WZI43" s="380" t="e">
        <f t="shared" si="257"/>
        <v>#N/A</v>
      </c>
      <c r="WZJ43" s="380" t="e">
        <f t="shared" si="257"/>
        <v>#N/A</v>
      </c>
      <c r="WZK43" s="380" t="e">
        <f t="shared" si="257"/>
        <v>#N/A</v>
      </c>
      <c r="WZL43" s="380" t="e">
        <f t="shared" si="257"/>
        <v>#N/A</v>
      </c>
      <c r="WZM43" s="380" t="e">
        <f t="shared" si="257"/>
        <v>#N/A</v>
      </c>
      <c r="WZN43" s="380" t="e">
        <f t="shared" si="257"/>
        <v>#N/A</v>
      </c>
      <c r="WZO43" s="380" t="e">
        <f t="shared" si="257"/>
        <v>#N/A</v>
      </c>
      <c r="WZP43" s="380" t="e">
        <f t="shared" si="257"/>
        <v>#N/A</v>
      </c>
      <c r="WZQ43" s="380" t="e">
        <f t="shared" si="257"/>
        <v>#N/A</v>
      </c>
      <c r="WZR43" s="380" t="e">
        <f t="shared" si="257"/>
        <v>#N/A</v>
      </c>
      <c r="WZS43" s="380" t="e">
        <f t="shared" si="257"/>
        <v>#N/A</v>
      </c>
      <c r="WZT43" s="380" t="e">
        <f t="shared" si="257"/>
        <v>#N/A</v>
      </c>
      <c r="WZU43" s="380" t="e">
        <f t="shared" si="257"/>
        <v>#N/A</v>
      </c>
      <c r="WZV43" s="380" t="e">
        <f t="shared" si="257"/>
        <v>#N/A</v>
      </c>
      <c r="WZW43" s="380" t="e">
        <f t="shared" si="257"/>
        <v>#N/A</v>
      </c>
      <c r="WZX43" s="380" t="e">
        <f t="shared" si="257"/>
        <v>#N/A</v>
      </c>
      <c r="WZY43" s="380" t="e">
        <f t="shared" si="257"/>
        <v>#N/A</v>
      </c>
      <c r="WZZ43" s="380" t="e">
        <f t="shared" si="257"/>
        <v>#N/A</v>
      </c>
      <c r="XAA43" s="380" t="e">
        <f t="shared" si="257"/>
        <v>#N/A</v>
      </c>
      <c r="XAB43" s="380" t="e">
        <f t="shared" si="257"/>
        <v>#N/A</v>
      </c>
      <c r="XAC43" s="380" t="e">
        <f t="shared" si="257"/>
        <v>#N/A</v>
      </c>
      <c r="XAD43" s="380" t="e">
        <f t="shared" si="257"/>
        <v>#N/A</v>
      </c>
      <c r="XAE43" s="380" t="e">
        <f t="shared" si="257"/>
        <v>#N/A</v>
      </c>
      <c r="XAF43" s="380" t="e">
        <f t="shared" si="257"/>
        <v>#N/A</v>
      </c>
      <c r="XAG43" s="380" t="e">
        <f t="shared" si="257"/>
        <v>#N/A</v>
      </c>
      <c r="XAH43" s="380" t="e">
        <f t="shared" si="257"/>
        <v>#N/A</v>
      </c>
      <c r="XAI43" s="380" t="e">
        <f t="shared" si="257"/>
        <v>#N/A</v>
      </c>
      <c r="XAJ43" s="380" t="e">
        <f t="shared" si="257"/>
        <v>#N/A</v>
      </c>
      <c r="XAK43" s="380" t="e">
        <f t="shared" si="257"/>
        <v>#N/A</v>
      </c>
      <c r="XAL43" s="380" t="e">
        <f t="shared" si="257"/>
        <v>#N/A</v>
      </c>
      <c r="XAM43" s="380" t="e">
        <f t="shared" si="257"/>
        <v>#N/A</v>
      </c>
      <c r="XAN43" s="380" t="e">
        <f t="shared" ref="XAN43:XCY43" si="258">INDEX(XAN7:XAN40,MATCH($E$43,$E$7:$E$40,0))</f>
        <v>#N/A</v>
      </c>
      <c r="XAO43" s="380" t="e">
        <f t="shared" si="258"/>
        <v>#N/A</v>
      </c>
      <c r="XAP43" s="380" t="e">
        <f t="shared" si="258"/>
        <v>#N/A</v>
      </c>
      <c r="XAQ43" s="380" t="e">
        <f t="shared" si="258"/>
        <v>#N/A</v>
      </c>
      <c r="XAR43" s="380" t="e">
        <f t="shared" si="258"/>
        <v>#N/A</v>
      </c>
      <c r="XAS43" s="380" t="e">
        <f t="shared" si="258"/>
        <v>#N/A</v>
      </c>
      <c r="XAT43" s="380" t="e">
        <f t="shared" si="258"/>
        <v>#N/A</v>
      </c>
      <c r="XAU43" s="380" t="e">
        <f t="shared" si="258"/>
        <v>#N/A</v>
      </c>
      <c r="XAV43" s="380" t="e">
        <f t="shared" si="258"/>
        <v>#N/A</v>
      </c>
      <c r="XAW43" s="380" t="e">
        <f t="shared" si="258"/>
        <v>#N/A</v>
      </c>
      <c r="XAX43" s="380" t="e">
        <f t="shared" si="258"/>
        <v>#N/A</v>
      </c>
      <c r="XAY43" s="380" t="e">
        <f t="shared" si="258"/>
        <v>#N/A</v>
      </c>
      <c r="XAZ43" s="380" t="e">
        <f t="shared" si="258"/>
        <v>#N/A</v>
      </c>
      <c r="XBA43" s="380" t="e">
        <f t="shared" si="258"/>
        <v>#N/A</v>
      </c>
      <c r="XBB43" s="380" t="e">
        <f t="shared" si="258"/>
        <v>#N/A</v>
      </c>
      <c r="XBC43" s="380" t="e">
        <f t="shared" si="258"/>
        <v>#N/A</v>
      </c>
      <c r="XBD43" s="380" t="e">
        <f t="shared" si="258"/>
        <v>#N/A</v>
      </c>
      <c r="XBE43" s="380" t="e">
        <f t="shared" si="258"/>
        <v>#N/A</v>
      </c>
      <c r="XBF43" s="380" t="e">
        <f t="shared" si="258"/>
        <v>#N/A</v>
      </c>
      <c r="XBG43" s="380" t="e">
        <f t="shared" si="258"/>
        <v>#N/A</v>
      </c>
      <c r="XBH43" s="380" t="e">
        <f t="shared" si="258"/>
        <v>#N/A</v>
      </c>
      <c r="XBI43" s="380" t="e">
        <f t="shared" si="258"/>
        <v>#N/A</v>
      </c>
      <c r="XBJ43" s="380" t="e">
        <f t="shared" si="258"/>
        <v>#N/A</v>
      </c>
      <c r="XBK43" s="380" t="e">
        <f t="shared" si="258"/>
        <v>#N/A</v>
      </c>
      <c r="XBL43" s="380" t="e">
        <f t="shared" si="258"/>
        <v>#N/A</v>
      </c>
      <c r="XBM43" s="380" t="e">
        <f t="shared" si="258"/>
        <v>#N/A</v>
      </c>
      <c r="XBN43" s="380" t="e">
        <f t="shared" si="258"/>
        <v>#N/A</v>
      </c>
      <c r="XBO43" s="380" t="e">
        <f t="shared" si="258"/>
        <v>#N/A</v>
      </c>
      <c r="XBP43" s="380" t="e">
        <f t="shared" si="258"/>
        <v>#N/A</v>
      </c>
      <c r="XBQ43" s="380" t="e">
        <f t="shared" si="258"/>
        <v>#N/A</v>
      </c>
      <c r="XBR43" s="380" t="e">
        <f t="shared" si="258"/>
        <v>#N/A</v>
      </c>
      <c r="XBS43" s="380" t="e">
        <f t="shared" si="258"/>
        <v>#N/A</v>
      </c>
      <c r="XBT43" s="380" t="e">
        <f t="shared" si="258"/>
        <v>#N/A</v>
      </c>
      <c r="XBU43" s="380" t="e">
        <f t="shared" si="258"/>
        <v>#N/A</v>
      </c>
      <c r="XBV43" s="380" t="e">
        <f t="shared" si="258"/>
        <v>#N/A</v>
      </c>
      <c r="XBW43" s="380" t="e">
        <f t="shared" si="258"/>
        <v>#N/A</v>
      </c>
      <c r="XBX43" s="380" t="e">
        <f t="shared" si="258"/>
        <v>#N/A</v>
      </c>
      <c r="XBY43" s="380" t="e">
        <f t="shared" si="258"/>
        <v>#N/A</v>
      </c>
      <c r="XBZ43" s="380" t="e">
        <f t="shared" si="258"/>
        <v>#N/A</v>
      </c>
      <c r="XCA43" s="380" t="e">
        <f t="shared" si="258"/>
        <v>#N/A</v>
      </c>
      <c r="XCB43" s="380" t="e">
        <f t="shared" si="258"/>
        <v>#N/A</v>
      </c>
      <c r="XCC43" s="380" t="e">
        <f t="shared" si="258"/>
        <v>#N/A</v>
      </c>
      <c r="XCD43" s="380" t="e">
        <f t="shared" si="258"/>
        <v>#N/A</v>
      </c>
      <c r="XCE43" s="380" t="e">
        <f t="shared" si="258"/>
        <v>#N/A</v>
      </c>
      <c r="XCF43" s="380" t="e">
        <f t="shared" si="258"/>
        <v>#N/A</v>
      </c>
      <c r="XCG43" s="380" t="e">
        <f t="shared" si="258"/>
        <v>#N/A</v>
      </c>
      <c r="XCH43" s="380" t="e">
        <f t="shared" si="258"/>
        <v>#N/A</v>
      </c>
      <c r="XCI43" s="380" t="e">
        <f t="shared" si="258"/>
        <v>#N/A</v>
      </c>
      <c r="XCJ43" s="380" t="e">
        <f t="shared" si="258"/>
        <v>#N/A</v>
      </c>
      <c r="XCK43" s="380" t="e">
        <f t="shared" si="258"/>
        <v>#N/A</v>
      </c>
      <c r="XCL43" s="380" t="e">
        <f t="shared" si="258"/>
        <v>#N/A</v>
      </c>
      <c r="XCM43" s="380" t="e">
        <f t="shared" si="258"/>
        <v>#N/A</v>
      </c>
      <c r="XCN43" s="380" t="e">
        <f t="shared" si="258"/>
        <v>#N/A</v>
      </c>
      <c r="XCO43" s="380" t="e">
        <f t="shared" si="258"/>
        <v>#N/A</v>
      </c>
      <c r="XCP43" s="380" t="e">
        <f t="shared" si="258"/>
        <v>#N/A</v>
      </c>
      <c r="XCQ43" s="380" t="e">
        <f t="shared" si="258"/>
        <v>#N/A</v>
      </c>
      <c r="XCR43" s="380" t="e">
        <f t="shared" si="258"/>
        <v>#N/A</v>
      </c>
      <c r="XCS43" s="380" t="e">
        <f t="shared" si="258"/>
        <v>#N/A</v>
      </c>
      <c r="XCT43" s="380" t="e">
        <f t="shared" si="258"/>
        <v>#N/A</v>
      </c>
      <c r="XCU43" s="380" t="e">
        <f t="shared" si="258"/>
        <v>#N/A</v>
      </c>
      <c r="XCV43" s="380" t="e">
        <f t="shared" si="258"/>
        <v>#N/A</v>
      </c>
      <c r="XCW43" s="380" t="e">
        <f t="shared" si="258"/>
        <v>#N/A</v>
      </c>
      <c r="XCX43" s="380" t="e">
        <f t="shared" si="258"/>
        <v>#N/A</v>
      </c>
      <c r="XCY43" s="380" t="e">
        <f t="shared" si="258"/>
        <v>#N/A</v>
      </c>
      <c r="XCZ43" s="380" t="e">
        <f t="shared" ref="XCZ43:XFD43" si="259">INDEX(XCZ7:XCZ40,MATCH($E$43,$E$7:$E$40,0))</f>
        <v>#N/A</v>
      </c>
      <c r="XDA43" s="380" t="e">
        <f t="shared" si="259"/>
        <v>#N/A</v>
      </c>
      <c r="XDB43" s="380" t="e">
        <f t="shared" si="259"/>
        <v>#N/A</v>
      </c>
      <c r="XDC43" s="380" t="e">
        <f t="shared" si="259"/>
        <v>#N/A</v>
      </c>
      <c r="XDD43" s="380" t="e">
        <f t="shared" si="259"/>
        <v>#N/A</v>
      </c>
      <c r="XDE43" s="380" t="e">
        <f t="shared" si="259"/>
        <v>#N/A</v>
      </c>
      <c r="XDF43" s="380" t="e">
        <f t="shared" si="259"/>
        <v>#N/A</v>
      </c>
      <c r="XDG43" s="380" t="e">
        <f t="shared" si="259"/>
        <v>#N/A</v>
      </c>
      <c r="XDH43" s="380" t="e">
        <f t="shared" si="259"/>
        <v>#N/A</v>
      </c>
      <c r="XDI43" s="380" t="e">
        <f t="shared" si="259"/>
        <v>#N/A</v>
      </c>
      <c r="XDJ43" s="380" t="e">
        <f t="shared" si="259"/>
        <v>#N/A</v>
      </c>
      <c r="XDK43" s="380" t="e">
        <f t="shared" si="259"/>
        <v>#N/A</v>
      </c>
      <c r="XDL43" s="380" t="e">
        <f t="shared" si="259"/>
        <v>#N/A</v>
      </c>
      <c r="XDM43" s="380" t="e">
        <f t="shared" si="259"/>
        <v>#N/A</v>
      </c>
      <c r="XDN43" s="380" t="e">
        <f t="shared" si="259"/>
        <v>#N/A</v>
      </c>
      <c r="XDO43" s="380" t="e">
        <f t="shared" si="259"/>
        <v>#N/A</v>
      </c>
      <c r="XDP43" s="380" t="e">
        <f t="shared" si="259"/>
        <v>#N/A</v>
      </c>
      <c r="XDQ43" s="380" t="e">
        <f t="shared" si="259"/>
        <v>#N/A</v>
      </c>
      <c r="XDR43" s="380" t="e">
        <f t="shared" si="259"/>
        <v>#N/A</v>
      </c>
      <c r="XDS43" s="380" t="e">
        <f t="shared" si="259"/>
        <v>#N/A</v>
      </c>
      <c r="XDT43" s="380" t="e">
        <f t="shared" si="259"/>
        <v>#N/A</v>
      </c>
      <c r="XDU43" s="380" t="e">
        <f t="shared" si="259"/>
        <v>#N/A</v>
      </c>
      <c r="XDV43" s="380" t="e">
        <f t="shared" si="259"/>
        <v>#N/A</v>
      </c>
      <c r="XDW43" s="380" t="e">
        <f t="shared" si="259"/>
        <v>#N/A</v>
      </c>
      <c r="XDX43" s="380" t="e">
        <f t="shared" si="259"/>
        <v>#N/A</v>
      </c>
      <c r="XDY43" s="380" t="e">
        <f t="shared" si="259"/>
        <v>#N/A</v>
      </c>
      <c r="XDZ43" s="380" t="e">
        <f t="shared" si="259"/>
        <v>#N/A</v>
      </c>
      <c r="XEA43" s="380" t="e">
        <f t="shared" si="259"/>
        <v>#N/A</v>
      </c>
      <c r="XEB43" s="380" t="e">
        <f t="shared" si="259"/>
        <v>#N/A</v>
      </c>
      <c r="XEC43" s="380" t="e">
        <f t="shared" si="259"/>
        <v>#N/A</v>
      </c>
      <c r="XED43" s="380" t="e">
        <f t="shared" si="259"/>
        <v>#N/A</v>
      </c>
      <c r="XEE43" s="380" t="e">
        <f t="shared" si="259"/>
        <v>#N/A</v>
      </c>
      <c r="XEF43" s="380" t="e">
        <f t="shared" si="259"/>
        <v>#N/A</v>
      </c>
      <c r="XEG43" s="380" t="e">
        <f t="shared" si="259"/>
        <v>#N/A</v>
      </c>
      <c r="XEH43" s="380" t="e">
        <f t="shared" si="259"/>
        <v>#N/A</v>
      </c>
      <c r="XEI43" s="380" t="e">
        <f t="shared" si="259"/>
        <v>#N/A</v>
      </c>
      <c r="XEJ43" s="380" t="e">
        <f t="shared" si="259"/>
        <v>#N/A</v>
      </c>
      <c r="XEK43" s="380" t="e">
        <f t="shared" si="259"/>
        <v>#N/A</v>
      </c>
      <c r="XEL43" s="380" t="e">
        <f t="shared" si="259"/>
        <v>#N/A</v>
      </c>
      <c r="XEM43" s="380" t="e">
        <f t="shared" si="259"/>
        <v>#N/A</v>
      </c>
      <c r="XEN43" s="380" t="e">
        <f t="shared" si="259"/>
        <v>#N/A</v>
      </c>
      <c r="XEO43" s="380" t="e">
        <f t="shared" si="259"/>
        <v>#N/A</v>
      </c>
      <c r="XEP43" s="380" t="e">
        <f t="shared" si="259"/>
        <v>#N/A</v>
      </c>
      <c r="XEQ43" s="380" t="e">
        <f t="shared" si="259"/>
        <v>#N/A</v>
      </c>
      <c r="XER43" s="380" t="e">
        <f t="shared" si="259"/>
        <v>#N/A</v>
      </c>
      <c r="XES43" s="380" t="e">
        <f t="shared" si="259"/>
        <v>#N/A</v>
      </c>
      <c r="XET43" s="380" t="e">
        <f t="shared" si="259"/>
        <v>#N/A</v>
      </c>
      <c r="XEU43" s="380" t="e">
        <f t="shared" si="259"/>
        <v>#N/A</v>
      </c>
      <c r="XEV43" s="380" t="e">
        <f t="shared" si="259"/>
        <v>#N/A</v>
      </c>
      <c r="XEW43" s="380" t="e">
        <f t="shared" si="259"/>
        <v>#N/A</v>
      </c>
      <c r="XEX43" s="380" t="e">
        <f t="shared" si="259"/>
        <v>#N/A</v>
      </c>
      <c r="XEY43" s="380" t="e">
        <f t="shared" si="259"/>
        <v>#N/A</v>
      </c>
      <c r="XEZ43" s="380" t="e">
        <f t="shared" si="259"/>
        <v>#N/A</v>
      </c>
      <c r="XFA43" s="380" t="e">
        <f t="shared" si="259"/>
        <v>#N/A</v>
      </c>
      <c r="XFB43" s="380" t="e">
        <f t="shared" si="259"/>
        <v>#N/A</v>
      </c>
      <c r="XFC43" s="380" t="e">
        <f t="shared" si="259"/>
        <v>#N/A</v>
      </c>
      <c r="XFD43" s="380" t="e">
        <f t="shared" si="259"/>
        <v>#N/A</v>
      </c>
    </row>
    <row r="44" spans="4:16384" s="38" customFormat="1"/>
    <row r="45" spans="4:16384" s="38" customFormat="1">
      <c r="E45" s="38" t="s">
        <v>930</v>
      </c>
      <c r="K45" s="38">
        <f>'2.1 Building inputs'!E4</f>
        <v>34208540661.939991</v>
      </c>
      <c r="L45" s="38">
        <f>'2.1 Building inputs'!J4</f>
        <v>35215258280.251877</v>
      </c>
      <c r="M45" s="38">
        <f>'2.1 Building inputs'!O4</f>
        <v>27805929118.422932</v>
      </c>
      <c r="N45" s="38">
        <f>'2.1 Building inputs'!Y4</f>
        <v>23610016495.964741</v>
      </c>
      <c r="O45" s="38">
        <f>'2.1 Building inputs'!AD4</f>
        <v>23961479304.95911</v>
      </c>
      <c r="P45" s="38">
        <f>'2.1 Building inputs'!AN4</f>
        <v>24667324990.190495</v>
      </c>
      <c r="Y45" s="38">
        <v>8</v>
      </c>
      <c r="Z45" s="38">
        <v>7</v>
      </c>
      <c r="AA45" s="38">
        <v>6</v>
      </c>
      <c r="AB45" s="38">
        <v>5</v>
      </c>
      <c r="AC45" s="38">
        <v>4</v>
      </c>
      <c r="AD45" s="38">
        <v>3</v>
      </c>
      <c r="AE45" s="38">
        <v>2</v>
      </c>
      <c r="AF45" s="38">
        <v>1</v>
      </c>
      <c r="AI45" s="38">
        <v>6</v>
      </c>
      <c r="AJ45" s="38">
        <v>5</v>
      </c>
      <c r="AK45" s="38">
        <v>4</v>
      </c>
      <c r="AL45" s="38">
        <v>3</v>
      </c>
      <c r="AM45" s="38">
        <v>2</v>
      </c>
      <c r="AN45" s="38">
        <v>1</v>
      </c>
      <c r="AR45" s="38">
        <v>11</v>
      </c>
      <c r="AS45" s="38">
        <v>10</v>
      </c>
      <c r="AT45" s="38">
        <v>9</v>
      </c>
      <c r="AU45" s="38">
        <v>8</v>
      </c>
      <c r="AV45" s="38">
        <v>7</v>
      </c>
      <c r="AW45" s="38">
        <v>6</v>
      </c>
      <c r="AX45" s="38">
        <v>5</v>
      </c>
      <c r="AY45" s="38">
        <v>4</v>
      </c>
      <c r="AZ45" s="38">
        <v>3</v>
      </c>
      <c r="BA45" s="38">
        <v>2</v>
      </c>
      <c r="BB45" s="38">
        <v>1</v>
      </c>
    </row>
    <row r="46" spans="4:16384" s="38" customFormat="1">
      <c r="E46" s="38" t="s">
        <v>931</v>
      </c>
      <c r="K46" s="38">
        <f>'2.1 Building inputs'!E5</f>
        <v>18723008369.73642</v>
      </c>
      <c r="L46" s="38">
        <f>'2.1 Building inputs'!J5</f>
        <v>18829530506.10265</v>
      </c>
      <c r="M46" s="38">
        <f>'2.1 Building inputs'!O5</f>
        <v>16484742515.061838</v>
      </c>
      <c r="N46" s="38">
        <f>'2.1 Building inputs'!Y5</f>
        <v>10148703457.249748</v>
      </c>
      <c r="O46" s="38">
        <f>'2.1 Building inputs'!AD5</f>
        <v>10319356402.758945</v>
      </c>
      <c r="P46" s="38">
        <f>'2.1 Building inputs'!AN5</f>
        <v>10658462443.477726</v>
      </c>
      <c r="W46" s="38" t="s">
        <v>662</v>
      </c>
      <c r="Y46" s="38" t="e">
        <f>SMALL($Y$43:$AF$43,Y45)</f>
        <v>#N/A</v>
      </c>
      <c r="Z46" s="38" t="e">
        <f t="shared" ref="Z46:AF46" si="260">SMALL($Y$43:$AF$43,Z45)</f>
        <v>#N/A</v>
      </c>
      <c r="AA46" s="38" t="e">
        <f t="shared" si="260"/>
        <v>#N/A</v>
      </c>
      <c r="AB46" s="38" t="e">
        <f t="shared" si="260"/>
        <v>#N/A</v>
      </c>
      <c r="AC46" s="38" t="e">
        <f t="shared" si="260"/>
        <v>#N/A</v>
      </c>
      <c r="AD46" s="38" t="e">
        <f t="shared" si="260"/>
        <v>#N/A</v>
      </c>
      <c r="AE46" s="38" t="e">
        <f t="shared" si="260"/>
        <v>#N/A</v>
      </c>
      <c r="AF46" s="38" t="e">
        <f t="shared" si="260"/>
        <v>#N/A</v>
      </c>
      <c r="AH46" s="38" t="s">
        <v>662</v>
      </c>
      <c r="AI46" s="38" t="e">
        <f t="shared" ref="AI46:AN46" si="261">SMALL($AI$43:$AN$43,AI45)/$AH$43</f>
        <v>#N/A</v>
      </c>
      <c r="AJ46" s="38" t="e">
        <f t="shared" si="261"/>
        <v>#N/A</v>
      </c>
      <c r="AK46" s="38" t="e">
        <f t="shared" si="261"/>
        <v>#N/A</v>
      </c>
      <c r="AL46" s="38" t="e">
        <f t="shared" si="261"/>
        <v>#N/A</v>
      </c>
      <c r="AM46" s="38" t="e">
        <f t="shared" si="261"/>
        <v>#N/A</v>
      </c>
      <c r="AN46" s="38" t="e">
        <f t="shared" si="261"/>
        <v>#N/A</v>
      </c>
      <c r="AP46" s="38" t="s">
        <v>662</v>
      </c>
      <c r="AR46" s="38" t="e">
        <f>SMALL($AR$43:$BB$43,AR45)/$AP$43</f>
        <v>#N/A</v>
      </c>
      <c r="AS46" s="38" t="e">
        <f t="shared" ref="AS46:BB46" si="262">SMALL($AR$43:$BB$43,AS45)/$AP$43</f>
        <v>#N/A</v>
      </c>
      <c r="AT46" s="38" t="e">
        <f t="shared" si="262"/>
        <v>#N/A</v>
      </c>
      <c r="AU46" s="38" t="e">
        <f t="shared" si="262"/>
        <v>#N/A</v>
      </c>
      <c r="AV46" s="38" t="e">
        <f t="shared" si="262"/>
        <v>#N/A</v>
      </c>
      <c r="AW46" s="38" t="e">
        <f t="shared" si="262"/>
        <v>#N/A</v>
      </c>
      <c r="AX46" s="38" t="e">
        <f t="shared" si="262"/>
        <v>#N/A</v>
      </c>
      <c r="AY46" s="38" t="e">
        <f t="shared" si="262"/>
        <v>#N/A</v>
      </c>
      <c r="AZ46" s="38" t="e">
        <f t="shared" si="262"/>
        <v>#N/A</v>
      </c>
      <c r="BA46" s="38" t="e">
        <f t="shared" si="262"/>
        <v>#N/A</v>
      </c>
      <c r="BB46" s="38" t="e">
        <f t="shared" si="262"/>
        <v>#N/A</v>
      </c>
    </row>
    <row r="47" spans="4:16384" s="38" customFormat="1">
      <c r="K47" s="38">
        <v>2015</v>
      </c>
      <c r="L47" s="38">
        <v>2020</v>
      </c>
      <c r="M47" s="38">
        <v>2025</v>
      </c>
      <c r="N47" s="38">
        <v>2030</v>
      </c>
      <c r="O47" s="38">
        <v>2040</v>
      </c>
      <c r="P47" s="38">
        <v>2050</v>
      </c>
      <c r="W47" s="38" t="s">
        <v>932</v>
      </c>
      <c r="Y47" s="38">
        <f>SMALL($Y$40:$AF$40,Y45)</f>
        <v>0.27136009023404456</v>
      </c>
      <c r="Z47" s="38">
        <f t="shared" ref="Z47:AF47" si="263">SMALL($Y$40:$AF$40,Z45)</f>
        <v>0.23746170212049392</v>
      </c>
      <c r="AA47" s="38">
        <f t="shared" si="263"/>
        <v>0.21122518617354316</v>
      </c>
      <c r="AB47" s="38">
        <f t="shared" si="263"/>
        <v>0.13463065183626219</v>
      </c>
      <c r="AC47" s="38">
        <f t="shared" si="263"/>
        <v>0.10601581728830653</v>
      </c>
      <c r="AD47" s="38">
        <f t="shared" si="263"/>
        <v>1.3316502218345445E-2</v>
      </c>
      <c r="AE47" s="38">
        <f t="shared" si="263"/>
        <v>1.3097897753731966E-2</v>
      </c>
      <c r="AF47" s="38">
        <f t="shared" si="263"/>
        <v>1.2892152375272222E-2</v>
      </c>
      <c r="AH47" s="38" t="s">
        <v>932</v>
      </c>
      <c r="AI47" s="38">
        <f t="shared" ref="AI47:AN47" si="264">SMALL($AI$40:$AN$40,AI45)/$AH$40</f>
        <v>5.0698968453883872E-2</v>
      </c>
      <c r="AJ47" s="38">
        <f t="shared" si="264"/>
        <v>3.4678662113780657E-2</v>
      </c>
      <c r="AK47" s="38">
        <f t="shared" si="264"/>
        <v>2.9399406758992937E-2</v>
      </c>
      <c r="AL47" s="38">
        <f t="shared" si="264"/>
        <v>1.6874166024698625E-2</v>
      </c>
      <c r="AM47" s="38">
        <f t="shared" si="264"/>
        <v>9.7433924440237085E-3</v>
      </c>
      <c r="AN47" s="38">
        <f t="shared" si="264"/>
        <v>2.4695346830990628E-3</v>
      </c>
      <c r="AP47" s="38" t="s">
        <v>932</v>
      </c>
      <c r="AR47" s="38">
        <f>SMALL($AR$40:$BB$40,AR45)/$AP$40</f>
        <v>0.26659125696888447</v>
      </c>
      <c r="AS47" s="38">
        <f t="shared" ref="AS47:BB47" si="265">SMALL($AR$40:$BB$40,AS45)/$AP$40</f>
        <v>0.14650915411451071</v>
      </c>
      <c r="AT47" s="38">
        <f t="shared" si="265"/>
        <v>0.14220134851953181</v>
      </c>
      <c r="AU47" s="38">
        <f t="shared" si="265"/>
        <v>0.12910164478420183</v>
      </c>
      <c r="AV47" s="38">
        <f t="shared" si="265"/>
        <v>8.6958579963897234E-2</v>
      </c>
      <c r="AW47" s="38">
        <f t="shared" si="265"/>
        <v>6.7529577329625626E-2</v>
      </c>
      <c r="AX47" s="38">
        <f t="shared" si="265"/>
        <v>4.3205094584082678E-2</v>
      </c>
      <c r="AY47" s="38">
        <f t="shared" si="265"/>
        <v>4.088329304428763E-2</v>
      </c>
      <c r="AZ47" s="38">
        <f t="shared" si="265"/>
        <v>2.9409536296386596E-2</v>
      </c>
      <c r="BA47" s="38">
        <f t="shared" si="265"/>
        <v>2.6308444173232626E-2</v>
      </c>
      <c r="BB47" s="38">
        <f t="shared" si="265"/>
        <v>2.1302070221358764E-2</v>
      </c>
    </row>
    <row r="48" spans="4:16384" s="38" customFormat="1" ht="15.75">
      <c r="E48" s="38" t="s">
        <v>933</v>
      </c>
      <c r="K48" s="496" t="e">
        <f>K45/K$43</f>
        <v>#N/A</v>
      </c>
      <c r="L48" s="496" t="e">
        <f t="shared" ref="L48:P49" si="266">L45/L$43</f>
        <v>#N/A</v>
      </c>
      <c r="M48" s="496" t="e">
        <f t="shared" si="266"/>
        <v>#N/A</v>
      </c>
      <c r="N48" s="496" t="e">
        <f t="shared" si="266"/>
        <v>#N/A</v>
      </c>
      <c r="O48" s="496" t="e">
        <f t="shared" si="266"/>
        <v>#N/A</v>
      </c>
      <c r="P48" s="496" t="e">
        <f t="shared" si="266"/>
        <v>#N/A</v>
      </c>
      <c r="Q48" s="497" t="e">
        <f>(P48-K48)/K48</f>
        <v>#N/A</v>
      </c>
      <c r="Y48" s="38" t="e">
        <f t="shared" ref="Y48:AF48" si="267">INDEX($Y$6:$AF$6,MATCH(Y43,$Y$46:$AF$46,0))</f>
        <v>#N/A</v>
      </c>
      <c r="Z48" s="38" t="e">
        <f t="shared" si="267"/>
        <v>#N/A</v>
      </c>
      <c r="AA48" s="38" t="e">
        <f t="shared" si="267"/>
        <v>#N/A</v>
      </c>
      <c r="AB48" s="38" t="e">
        <f t="shared" si="267"/>
        <v>#N/A</v>
      </c>
      <c r="AC48" s="38" t="e">
        <f t="shared" si="267"/>
        <v>#N/A</v>
      </c>
      <c r="AD48" s="38" t="e">
        <f t="shared" si="267"/>
        <v>#N/A</v>
      </c>
      <c r="AE48" s="38" t="e">
        <f t="shared" si="267"/>
        <v>#N/A</v>
      </c>
      <c r="AF48" s="38" t="e">
        <f t="shared" si="267"/>
        <v>#N/A</v>
      </c>
      <c r="AI48" s="38" t="e">
        <f>INDEX($AI$6:$AN$6,MATCH(AI43/$AH$43,$AI$46:$AN$46,0))</f>
        <v>#N/A</v>
      </c>
      <c r="AJ48" s="38" t="e">
        <f>INDEX($AI$6:$AN$6,MATCH(AJ43/$AH$43,$AI$46:$AN$46,0))</f>
        <v>#N/A</v>
      </c>
      <c r="AK48" s="38" t="e">
        <f>INDEX($AI$6:$AN$6,MATCH(AK43/$AH$43,$AI$46:$AN$46,0))</f>
        <v>#N/A</v>
      </c>
      <c r="AL48" s="38" t="e">
        <f>INDEX($AI$6:$AN$6,MATCH(AL43/$AH$43,$AI$46:$AN$46,0))</f>
        <v>#N/A</v>
      </c>
      <c r="AM48" s="38" t="e">
        <f>INDEX($AI$6:$AN$6,MATCH(AM43/$AH$43,$AI$46:$AN$46,0))</f>
        <v>#N/A</v>
      </c>
      <c r="AN48" s="38" t="e">
        <f>INDEX($AI$6:$AN$6,MATCH(AN43/$AH$40,$AI$46:$AN$46,0))</f>
        <v>#N/A</v>
      </c>
      <c r="AR48" s="38" t="e">
        <f>INDEX($AR$6:$BB$6,MATCH(AR43/$AP$43,$AR$46:$BB$46,0))</f>
        <v>#N/A</v>
      </c>
      <c r="AS48" s="38" t="e">
        <f t="shared" ref="AS48:BB48" si="268">INDEX($AR$6:$BB$6,MATCH(AS43/$AP$43,$AR$46:$BB$46,0))</f>
        <v>#N/A</v>
      </c>
      <c r="AT48" s="38" t="e">
        <f t="shared" si="268"/>
        <v>#N/A</v>
      </c>
      <c r="AU48" s="38" t="e">
        <f t="shared" si="268"/>
        <v>#N/A</v>
      </c>
      <c r="AV48" s="38" t="e">
        <f t="shared" si="268"/>
        <v>#N/A</v>
      </c>
      <c r="AW48" s="38" t="e">
        <f t="shared" si="268"/>
        <v>#N/A</v>
      </c>
      <c r="AX48" s="38" t="e">
        <f t="shared" si="268"/>
        <v>#N/A</v>
      </c>
      <c r="AY48" s="38" t="e">
        <f t="shared" si="268"/>
        <v>#N/A</v>
      </c>
      <c r="AZ48" s="38" t="e">
        <f t="shared" si="268"/>
        <v>#N/A</v>
      </c>
      <c r="BA48" s="38" t="e">
        <f t="shared" si="268"/>
        <v>#N/A</v>
      </c>
      <c r="BB48" s="38" t="e">
        <f t="shared" si="268"/>
        <v>#N/A</v>
      </c>
    </row>
    <row r="49" spans="11:16" s="38" customFormat="1">
      <c r="K49" s="498" t="e">
        <f>K46/K$43</f>
        <v>#N/A</v>
      </c>
      <c r="L49" s="498" t="e">
        <f t="shared" si="266"/>
        <v>#N/A</v>
      </c>
      <c r="M49" s="498" t="e">
        <f t="shared" si="266"/>
        <v>#N/A</v>
      </c>
      <c r="N49" s="498" t="e">
        <f t="shared" si="266"/>
        <v>#N/A</v>
      </c>
      <c r="O49" s="498" t="e">
        <f t="shared" si="266"/>
        <v>#N/A</v>
      </c>
      <c r="P49" s="498" t="e">
        <f t="shared" si="266"/>
        <v>#N/A</v>
      </c>
    </row>
    <row r="50" spans="11:16" s="38" customFormat="1">
      <c r="K50" s="498" t="e">
        <f t="shared" ref="K50:P50" si="269">K49+K48</f>
        <v>#N/A</v>
      </c>
      <c r="L50" s="498" t="e">
        <f t="shared" si="269"/>
        <v>#N/A</v>
      </c>
      <c r="M50" s="498" t="e">
        <f t="shared" si="269"/>
        <v>#N/A</v>
      </c>
      <c r="N50" s="498" t="e">
        <f t="shared" si="269"/>
        <v>#N/A</v>
      </c>
      <c r="O50" s="498" t="e">
        <f t="shared" si="269"/>
        <v>#N/A</v>
      </c>
      <c r="P50" s="498" t="e">
        <f t="shared" si="269"/>
        <v>#N/A</v>
      </c>
    </row>
    <row r="51" spans="11:16" s="38" customFormat="1"/>
    <row r="52" spans="11:16" s="38" customFormat="1"/>
    <row r="53" spans="11:16" s="38" customFormat="1"/>
    <row r="54" spans="11:16" s="38" customFormat="1"/>
    <row r="55" spans="11:16" s="38" customFormat="1"/>
  </sheetData>
  <mergeCells count="3">
    <mergeCell ref="AR5:BB5"/>
    <mergeCell ref="BD5:BN5"/>
    <mergeCell ref="BP5:BZ5"/>
  </mergeCells>
  <conditionalFormatting sqref="G7:CG39">
    <cfRule type="cellIs" dxfId="231" priority="1" operator="lessThan">
      <formula>0</formula>
    </cfRule>
  </conditionalFormatting>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9" tint="0.79998168889431442"/>
  </sheetPr>
  <dimension ref="A2:AR191"/>
  <sheetViews>
    <sheetView zoomScale="90" zoomScaleNormal="90" workbookViewId="0">
      <pane xSplit="2" topLeftCell="C1" activePane="topRight" state="frozen"/>
      <selection activeCell="O35" sqref="O35"/>
      <selection pane="topRight" activeCell="B4" sqref="B4"/>
    </sheetView>
  </sheetViews>
  <sheetFormatPr defaultRowHeight="15"/>
  <cols>
    <col min="1" max="1" width="75" bestFit="1" customWidth="1"/>
    <col min="2" max="2" width="16.85546875" customWidth="1"/>
    <col min="3" max="8" width="16.140625" bestFit="1" customWidth="1"/>
    <col min="9" max="37" width="16" bestFit="1" customWidth="1"/>
  </cols>
  <sheetData>
    <row r="2" spans="1:38" s="462" customFormat="1">
      <c r="A2" s="462" t="s">
        <v>934</v>
      </c>
    </row>
    <row r="3" spans="1:38">
      <c r="B3" s="252">
        <v>2015</v>
      </c>
      <c r="C3" s="252">
        <v>2016</v>
      </c>
      <c r="D3" s="252">
        <v>2017</v>
      </c>
      <c r="E3" s="252">
        <v>2018</v>
      </c>
      <c r="F3" s="252">
        <v>2019</v>
      </c>
      <c r="G3" s="252">
        <v>2020</v>
      </c>
      <c r="H3" s="252">
        <v>2021</v>
      </c>
      <c r="I3" s="252">
        <v>2022</v>
      </c>
      <c r="J3" s="252">
        <v>2023</v>
      </c>
      <c r="K3" s="252">
        <v>2024</v>
      </c>
      <c r="L3" s="252">
        <v>2025</v>
      </c>
      <c r="M3" s="252">
        <v>2026</v>
      </c>
      <c r="N3" s="252">
        <v>2027</v>
      </c>
      <c r="O3" s="252">
        <v>2028</v>
      </c>
      <c r="P3" s="252">
        <v>2029</v>
      </c>
      <c r="Q3" s="252">
        <v>2030</v>
      </c>
      <c r="R3" s="252">
        <v>2031</v>
      </c>
      <c r="S3" s="252">
        <v>2032</v>
      </c>
      <c r="T3" s="252">
        <v>2033</v>
      </c>
      <c r="U3" s="252">
        <v>2034</v>
      </c>
      <c r="V3" s="252">
        <v>2035</v>
      </c>
      <c r="W3" s="252">
        <v>2036</v>
      </c>
      <c r="X3" s="252">
        <v>2037</v>
      </c>
      <c r="Y3" s="252">
        <v>2038</v>
      </c>
      <c r="Z3" s="252">
        <v>2039</v>
      </c>
      <c r="AA3" s="252">
        <v>2040</v>
      </c>
      <c r="AB3" s="252">
        <v>2041</v>
      </c>
      <c r="AC3" s="252">
        <v>2042</v>
      </c>
      <c r="AD3" s="252">
        <v>2043</v>
      </c>
      <c r="AE3" s="252">
        <v>2044</v>
      </c>
      <c r="AF3" s="252">
        <v>2045</v>
      </c>
      <c r="AG3" s="252">
        <v>2046</v>
      </c>
      <c r="AH3" s="252">
        <v>2047</v>
      </c>
      <c r="AI3" s="252">
        <v>2048</v>
      </c>
      <c r="AJ3" s="252">
        <v>2049</v>
      </c>
      <c r="AK3" s="252">
        <v>2050</v>
      </c>
    </row>
    <row r="4" spans="1:38">
      <c r="A4" t="s">
        <v>548</v>
      </c>
      <c r="B4" s="39">
        <f>'2.2 Energy Systems inputs'!F55*'3.1 Building Energy'!B26</f>
        <v>0.93</v>
      </c>
      <c r="C4" s="39">
        <f>'2.2 Energy Systems inputs'!G55*'3.1 Building Energy'!C26</f>
        <v>0.93</v>
      </c>
      <c r="D4" s="39">
        <f>'2.2 Energy Systems inputs'!H55*'3.1 Building Energy'!D26</f>
        <v>0.93</v>
      </c>
      <c r="E4" s="39">
        <f>'2.2 Energy Systems inputs'!I55*'3.1 Building Energy'!E26</f>
        <v>0.93</v>
      </c>
      <c r="F4" s="39">
        <f>'2.2 Energy Systems inputs'!J55*'3.1 Building Energy'!F26</f>
        <v>0.93</v>
      </c>
      <c r="G4" s="39">
        <f>'2.2 Energy Systems inputs'!K55*'3.1 Building Energy'!G26</f>
        <v>0.93</v>
      </c>
      <c r="H4" s="39">
        <f>'2.2 Energy Systems inputs'!L55*'3.1 Building Energy'!H26</f>
        <v>0.93</v>
      </c>
      <c r="I4" s="39">
        <f>'2.2 Energy Systems inputs'!M55*'3.1 Building Energy'!I26</f>
        <v>0.93</v>
      </c>
      <c r="J4" s="39">
        <f>'2.2 Energy Systems inputs'!N55*'3.1 Building Energy'!J26</f>
        <v>0.93</v>
      </c>
      <c r="K4" s="39">
        <f>'2.2 Energy Systems inputs'!O55*'3.1 Building Energy'!K26</f>
        <v>0.93</v>
      </c>
      <c r="L4" s="39">
        <f>'2.2 Energy Systems inputs'!P55*'3.1 Building Energy'!L26</f>
        <v>0.93</v>
      </c>
      <c r="M4" s="39">
        <f>'2.2 Energy Systems inputs'!Q55*'3.1 Building Energy'!M26</f>
        <v>0.93</v>
      </c>
      <c r="N4" s="39">
        <f>'2.2 Energy Systems inputs'!R55*'3.1 Building Energy'!N26</f>
        <v>0.92446650000000008</v>
      </c>
      <c r="O4" s="39">
        <f>'2.2 Energy Systems inputs'!S55*'3.1 Building Energy'!O26</f>
        <v>0.918933</v>
      </c>
      <c r="P4" s="39">
        <f>'2.2 Energy Systems inputs'!T55*'3.1 Building Energy'!P26</f>
        <v>0.91339950000000003</v>
      </c>
      <c r="Q4" s="39">
        <f>'2.2 Energy Systems inputs'!U55*'3.1 Building Energy'!Q26</f>
        <v>0.90786600000000006</v>
      </c>
      <c r="R4" s="39">
        <f>'2.2 Energy Systems inputs'!V55*'3.1 Building Energy'!R26</f>
        <v>0.8971245000000001</v>
      </c>
      <c r="S4" s="39">
        <f>'2.2 Energy Systems inputs'!W55*'3.1 Building Energy'!S26</f>
        <v>0.88638300000000003</v>
      </c>
      <c r="T4" s="39">
        <f>'2.2 Energy Systems inputs'!X55*'3.1 Building Energy'!T26</f>
        <v>0.87564150000000007</v>
      </c>
      <c r="U4" s="39">
        <f>'2.2 Energy Systems inputs'!Y55*'3.1 Building Energy'!U26</f>
        <v>0.8649</v>
      </c>
      <c r="V4" s="39">
        <f>'2.2 Energy Systems inputs'!Z55*'3.1 Building Energy'!V26</f>
        <v>0.8649</v>
      </c>
      <c r="W4" s="39">
        <f>'2.2 Energy Systems inputs'!AA55*'3.1 Building Energy'!W26</f>
        <v>0.80723999999999996</v>
      </c>
      <c r="X4" s="39">
        <f>'2.2 Energy Systems inputs'!AB55*'3.1 Building Energy'!X26</f>
        <v>0.74958000000000002</v>
      </c>
      <c r="Y4" s="39">
        <f>'2.2 Energy Systems inputs'!AC55*'3.1 Building Energy'!Y26</f>
        <v>0.69191999999999998</v>
      </c>
      <c r="Z4" s="39">
        <f>'2.2 Energy Systems inputs'!AD55*'3.1 Building Energy'!Z26</f>
        <v>0.63426000000000005</v>
      </c>
      <c r="AA4" s="39">
        <f>'2.2 Energy Systems inputs'!AE55*'3.1 Building Energy'!AA26</f>
        <v>0.57660000000000011</v>
      </c>
      <c r="AB4" s="39">
        <f>'2.2 Energy Systems inputs'!AF55*'3.1 Building Energy'!AB26</f>
        <v>0.51894000000000007</v>
      </c>
      <c r="AC4" s="39">
        <f>'2.2 Energy Systems inputs'!AG55*'3.1 Building Energy'!AC26</f>
        <v>0.46127999999999997</v>
      </c>
      <c r="AD4" s="39">
        <f>'2.2 Energy Systems inputs'!AH55*'3.1 Building Energy'!AD26</f>
        <v>0.40361999999999998</v>
      </c>
      <c r="AE4" s="39">
        <f>'2.2 Energy Systems inputs'!AI55*'3.1 Building Energy'!AE26</f>
        <v>0.34595999999999999</v>
      </c>
      <c r="AF4" s="39">
        <f>'2.2 Energy Systems inputs'!AJ55*'3.1 Building Energy'!AF26</f>
        <v>0.28830000000000006</v>
      </c>
      <c r="AG4" s="39">
        <f>'2.2 Energy Systems inputs'!AK55*'3.1 Building Energy'!AG26</f>
        <v>0.23063999999999998</v>
      </c>
      <c r="AH4" s="39">
        <f>'2.2 Energy Systems inputs'!AL55*'3.1 Building Energy'!AH26</f>
        <v>0.17298000000000005</v>
      </c>
      <c r="AI4" s="39">
        <f>'2.2 Energy Systems inputs'!AM55*'3.1 Building Energy'!AI26</f>
        <v>0.11532000000000009</v>
      </c>
      <c r="AJ4" s="39">
        <f>'2.2 Energy Systems inputs'!AN55*'3.1 Building Energy'!AJ26</f>
        <v>5.7659999999999947E-2</v>
      </c>
      <c r="AK4" s="39">
        <f>'2.2 Energy Systems inputs'!AO55*'3.1 Building Energy'!AK26</f>
        <v>0</v>
      </c>
    </row>
    <row r="5" spans="1:38">
      <c r="A5" t="s">
        <v>549</v>
      </c>
      <c r="B5" s="39">
        <f>'2.2 Energy Systems inputs'!F56*'3.1 Building Energy'!B27</f>
        <v>7.0000000000000007E-2</v>
      </c>
      <c r="C5" s="39">
        <f>'2.2 Energy Systems inputs'!G56*'3.1 Building Energy'!C27</f>
        <v>7.0000000000000007E-2</v>
      </c>
      <c r="D5" s="39">
        <f>'2.2 Energy Systems inputs'!H56*'3.1 Building Energy'!D27</f>
        <v>7.0000000000000007E-2</v>
      </c>
      <c r="E5" s="39">
        <f>'2.2 Energy Systems inputs'!I56*'3.1 Building Energy'!E27</f>
        <v>7.0000000000000007E-2</v>
      </c>
      <c r="F5" s="39">
        <f>'2.2 Energy Systems inputs'!J56*'3.1 Building Energy'!F27</f>
        <v>7.0000000000000007E-2</v>
      </c>
      <c r="G5" s="39">
        <f>'2.2 Energy Systems inputs'!K56*'3.1 Building Energy'!G27</f>
        <v>7.0000000000000007E-2</v>
      </c>
      <c r="H5" s="39">
        <f>'2.2 Energy Systems inputs'!L56*'3.1 Building Energy'!H27</f>
        <v>7.0000000000000007E-2</v>
      </c>
      <c r="I5" s="39">
        <f>'2.2 Energy Systems inputs'!M56*'3.1 Building Energy'!I27</f>
        <v>7.0000000000000007E-2</v>
      </c>
      <c r="J5" s="39">
        <f>'2.2 Energy Systems inputs'!N56*'3.1 Building Energy'!J27</f>
        <v>7.0000000000000007E-2</v>
      </c>
      <c r="K5" s="39">
        <f>'2.2 Energy Systems inputs'!O56*'3.1 Building Energy'!K27</f>
        <v>7.0000000000000007E-2</v>
      </c>
      <c r="L5" s="39">
        <f>'2.2 Energy Systems inputs'!P56*'3.1 Building Energy'!L27</f>
        <v>7.0000000000000007E-2</v>
      </c>
      <c r="M5" s="39">
        <f>'2.2 Energy Systems inputs'!Q56*'3.1 Building Energy'!M27</f>
        <v>7.0000000000000007E-2</v>
      </c>
      <c r="N5" s="39">
        <f>'2.2 Energy Systems inputs'!R56*'3.1 Building Energy'!N27</f>
        <v>7.0000000000000007E-2</v>
      </c>
      <c r="O5" s="39">
        <f>'2.2 Energy Systems inputs'!S56*'3.1 Building Energy'!O27</f>
        <v>7.0000000000000007E-2</v>
      </c>
      <c r="P5" s="39">
        <f>'2.2 Energy Systems inputs'!T56*'3.1 Building Energy'!P27</f>
        <v>7.0000000000000007E-2</v>
      </c>
      <c r="Q5" s="39">
        <f>'2.2 Energy Systems inputs'!U56*'3.1 Building Energy'!Q27</f>
        <v>7.0000000000000007E-2</v>
      </c>
      <c r="R5" s="39">
        <f>'2.2 Energy Systems inputs'!V56*'3.1 Building Energy'!R27</f>
        <v>7.0000000000000007E-2</v>
      </c>
      <c r="S5" s="39">
        <f>'2.2 Energy Systems inputs'!W56*'3.1 Building Energy'!S27</f>
        <v>7.0000000000000007E-2</v>
      </c>
      <c r="T5" s="39">
        <f>'2.2 Energy Systems inputs'!X56*'3.1 Building Energy'!T27</f>
        <v>7.0000000000000007E-2</v>
      </c>
      <c r="U5" s="39">
        <f>'2.2 Energy Systems inputs'!Y56*'3.1 Building Energy'!U27</f>
        <v>7.0000000000000007E-2</v>
      </c>
      <c r="V5" s="39">
        <f>'2.2 Energy Systems inputs'!Z56*'3.1 Building Energy'!V27</f>
        <v>7.0000000000000007E-2</v>
      </c>
      <c r="W5" s="39">
        <f>1-W4-W6</f>
        <v>0.13200000000000003</v>
      </c>
      <c r="X5" s="39">
        <f t="shared" ref="X5:AK5" si="0">1-X4-X6</f>
        <v>0.19399999999999995</v>
      </c>
      <c r="Y5" s="39">
        <f t="shared" si="0"/>
        <v>0.25600000000000001</v>
      </c>
      <c r="Z5" s="39">
        <f t="shared" si="0"/>
        <v>0.31799999999999995</v>
      </c>
      <c r="AA5" s="39">
        <f t="shared" si="0"/>
        <v>0.37999999999999989</v>
      </c>
      <c r="AB5" s="39">
        <f t="shared" si="0"/>
        <v>0.44199999999999995</v>
      </c>
      <c r="AC5" s="39">
        <f t="shared" si="0"/>
        <v>0.50400000000000011</v>
      </c>
      <c r="AD5" s="39">
        <f t="shared" si="0"/>
        <v>0.56600000000000006</v>
      </c>
      <c r="AE5" s="39">
        <f t="shared" si="0"/>
        <v>0.628</v>
      </c>
      <c r="AF5" s="39">
        <f t="shared" si="0"/>
        <v>0.69</v>
      </c>
      <c r="AG5" s="39">
        <f t="shared" si="0"/>
        <v>0.752</v>
      </c>
      <c r="AH5" s="39">
        <f t="shared" si="0"/>
        <v>0.81399999999999995</v>
      </c>
      <c r="AI5" s="39">
        <f t="shared" si="0"/>
        <v>0.87599999999999989</v>
      </c>
      <c r="AJ5" s="39">
        <f t="shared" si="0"/>
        <v>0.93800000000000006</v>
      </c>
      <c r="AK5" s="39">
        <f t="shared" si="0"/>
        <v>1</v>
      </c>
    </row>
    <row r="6" spans="1:38">
      <c r="A6" t="s">
        <v>550</v>
      </c>
      <c r="B6" s="39">
        <f>'2.2 Energy Systems inputs'!F57</f>
        <v>0</v>
      </c>
      <c r="C6" s="39">
        <f>'2.2 Energy Systems inputs'!G57</f>
        <v>0</v>
      </c>
      <c r="D6" s="39">
        <f>'2.2 Energy Systems inputs'!H57</f>
        <v>0</v>
      </c>
      <c r="E6" s="39">
        <f>'2.2 Energy Systems inputs'!I57</f>
        <v>0</v>
      </c>
      <c r="F6" s="39">
        <f>'2.2 Energy Systems inputs'!J57</f>
        <v>0</v>
      </c>
      <c r="G6" s="39">
        <f>'2.2 Energy Systems inputs'!K57</f>
        <v>0</v>
      </c>
      <c r="H6" s="39">
        <f>'2.2 Energy Systems inputs'!L57</f>
        <v>0</v>
      </c>
      <c r="I6" s="39">
        <f>'2.2 Energy Systems inputs'!M57</f>
        <v>0</v>
      </c>
      <c r="J6" s="39">
        <f>'2.2 Energy Systems inputs'!N57</f>
        <v>0</v>
      </c>
      <c r="K6" s="39">
        <f>'2.2 Energy Systems inputs'!O57</f>
        <v>0</v>
      </c>
      <c r="L6" s="39">
        <f>'2.2 Energy Systems inputs'!P57</f>
        <v>0</v>
      </c>
      <c r="M6" s="39">
        <f>'2.2 Energy Systems inputs'!Q57</f>
        <v>0</v>
      </c>
      <c r="N6" s="39">
        <f>'2.2 Energy Systems inputs'!R57</f>
        <v>5.5335000000000011E-3</v>
      </c>
      <c r="O6" s="39">
        <f>'2.2 Energy Systems inputs'!S57</f>
        <v>1.1067000000000002E-2</v>
      </c>
      <c r="P6" s="39">
        <f>'2.2 Energy Systems inputs'!T57</f>
        <v>1.6600500000000001E-2</v>
      </c>
      <c r="Q6" s="39">
        <f>'2.2 Energy Systems inputs'!U57</f>
        <v>2.2134000000000004E-2</v>
      </c>
      <c r="R6" s="39">
        <f>'2.2 Energy Systems inputs'!V57</f>
        <v>3.2875500000000009E-2</v>
      </c>
      <c r="S6" s="39">
        <f>'2.2 Energy Systems inputs'!W57</f>
        <v>4.361700000000001E-2</v>
      </c>
      <c r="T6" s="39">
        <f>'2.2 Energy Systems inputs'!X57</f>
        <v>5.4358500000000018E-2</v>
      </c>
      <c r="U6" s="39">
        <f>'2.2 Energy Systems inputs'!Y57</f>
        <v>6.5100000000000005E-2</v>
      </c>
      <c r="V6" s="39">
        <f>'2.2 Energy Systems inputs'!Z57</f>
        <v>6.5100000000000005E-2</v>
      </c>
      <c r="W6" s="39">
        <f>'2.2 Energy Systems inputs'!AA57</f>
        <v>6.0760000000000008E-2</v>
      </c>
      <c r="X6" s="39">
        <f>'2.2 Energy Systems inputs'!AB57</f>
        <v>5.6420000000000012E-2</v>
      </c>
      <c r="Y6" s="39">
        <f>'2.2 Energy Systems inputs'!AC57</f>
        <v>5.2080000000000001E-2</v>
      </c>
      <c r="Z6" s="39">
        <f>'2.2 Energy Systems inputs'!AD57</f>
        <v>4.7740000000000005E-2</v>
      </c>
      <c r="AA6" s="39">
        <f>'2.2 Energy Systems inputs'!AE57</f>
        <v>4.3400000000000015E-2</v>
      </c>
      <c r="AB6" s="39">
        <f>'2.2 Energy Systems inputs'!AF57</f>
        <v>3.9060000000000004E-2</v>
      </c>
      <c r="AC6" s="39">
        <f>'2.2 Energy Systems inputs'!AG57</f>
        <v>3.4720000000000001E-2</v>
      </c>
      <c r="AD6" s="39">
        <f>'2.2 Energy Systems inputs'!AH57</f>
        <v>3.0380000000000004E-2</v>
      </c>
      <c r="AE6" s="39">
        <f>'2.2 Energy Systems inputs'!AI57</f>
        <v>2.6040000000000001E-2</v>
      </c>
      <c r="AF6" s="39">
        <f>'2.2 Energy Systems inputs'!AJ57</f>
        <v>2.1700000000000007E-2</v>
      </c>
      <c r="AG6" s="39">
        <f>'2.2 Energy Systems inputs'!AK57</f>
        <v>1.736E-2</v>
      </c>
      <c r="AH6" s="39">
        <f>'2.2 Energy Systems inputs'!AL57</f>
        <v>1.3020000000000006E-2</v>
      </c>
      <c r="AI6" s="39">
        <f>'2.2 Energy Systems inputs'!AM57</f>
        <v>8.6800000000000089E-3</v>
      </c>
      <c r="AJ6" s="39">
        <f>'2.2 Energy Systems inputs'!AN57</f>
        <v>4.3399999999999966E-3</v>
      </c>
      <c r="AK6" s="39">
        <f>'2.2 Energy Systems inputs'!AO57</f>
        <v>0</v>
      </c>
    </row>
    <row r="7" spans="1:38">
      <c r="A7" t="s">
        <v>935</v>
      </c>
      <c r="B7" s="39">
        <f>INDEX(B$118:B$153,MATCH($B$18,$A$118:$A$153,0),1)</f>
        <v>0</v>
      </c>
      <c r="C7" s="39">
        <f t="shared" ref="C7:AK7" si="1">INDEX(C$118:C$153,MATCH($B$18,$A$118:$A$153,0),1)</f>
        <v>0.38515167959591057</v>
      </c>
      <c r="D7" s="39">
        <f t="shared" si="1"/>
        <v>0.38515167959591057</v>
      </c>
      <c r="E7" s="39">
        <f t="shared" si="1"/>
        <v>0.38515167959591057</v>
      </c>
      <c r="F7" s="39">
        <f>INDEX(F$118:F$153,MATCH($B$18,$A$118:$A$153,0),1)</f>
        <v>0.38515167959591057</v>
      </c>
      <c r="G7" s="39">
        <f t="shared" si="1"/>
        <v>0.38515167959591057</v>
      </c>
      <c r="H7" s="39">
        <f t="shared" si="1"/>
        <v>0.38515167959591057</v>
      </c>
      <c r="I7" s="39">
        <f t="shared" si="1"/>
        <v>0.38515167959591057</v>
      </c>
      <c r="J7" s="39">
        <f t="shared" si="1"/>
        <v>0.38515167959591057</v>
      </c>
      <c r="K7" s="39">
        <f t="shared" si="1"/>
        <v>0.38515167959591057</v>
      </c>
      <c r="L7" s="39">
        <f t="shared" si="1"/>
        <v>0.38515167959591057</v>
      </c>
      <c r="M7" s="39">
        <f t="shared" si="1"/>
        <v>0.38515167959591057</v>
      </c>
      <c r="N7" s="39">
        <f t="shared" si="1"/>
        <v>0.38515167959591057</v>
      </c>
      <c r="O7" s="39">
        <f t="shared" si="1"/>
        <v>0.38515167959591057</v>
      </c>
      <c r="P7" s="39">
        <f t="shared" si="1"/>
        <v>0.38515167959591057</v>
      </c>
      <c r="Q7" s="39">
        <f t="shared" si="1"/>
        <v>0.38515167959591057</v>
      </c>
      <c r="R7" s="39">
        <f t="shared" si="1"/>
        <v>0.38515167959591057</v>
      </c>
      <c r="S7" s="39">
        <f t="shared" si="1"/>
        <v>0.38515167959591057</v>
      </c>
      <c r="T7" s="39">
        <f t="shared" si="1"/>
        <v>0.38515167959591057</v>
      </c>
      <c r="U7" s="39">
        <f t="shared" si="1"/>
        <v>0.38515167959591057</v>
      </c>
      <c r="V7" s="39">
        <f t="shared" si="1"/>
        <v>0.38515167959591057</v>
      </c>
      <c r="W7" s="39">
        <f t="shared" si="1"/>
        <v>0.38515167959591057</v>
      </c>
      <c r="X7" s="39">
        <f t="shared" si="1"/>
        <v>0.38515167959591057</v>
      </c>
      <c r="Y7" s="39">
        <f t="shared" si="1"/>
        <v>0.38515167959591057</v>
      </c>
      <c r="Z7" s="39">
        <f t="shared" si="1"/>
        <v>0.38515167959591057</v>
      </c>
      <c r="AA7" s="39">
        <f t="shared" si="1"/>
        <v>0.38515167959591057</v>
      </c>
      <c r="AB7" s="39">
        <f t="shared" si="1"/>
        <v>0.38515167959591057</v>
      </c>
      <c r="AC7" s="39">
        <f t="shared" si="1"/>
        <v>0.38515167959591057</v>
      </c>
      <c r="AD7" s="39">
        <f t="shared" si="1"/>
        <v>0.38515167959591057</v>
      </c>
      <c r="AE7" s="39">
        <f t="shared" si="1"/>
        <v>0.38515167959591057</v>
      </c>
      <c r="AF7" s="39">
        <f t="shared" si="1"/>
        <v>0.38515167959591057</v>
      </c>
      <c r="AG7" s="39">
        <f t="shared" si="1"/>
        <v>0.38515167959591057</v>
      </c>
      <c r="AH7" s="39">
        <f t="shared" si="1"/>
        <v>0.38515167959591057</v>
      </c>
      <c r="AI7" s="39">
        <f t="shared" si="1"/>
        <v>0.38515167959591057</v>
      </c>
      <c r="AJ7" s="39">
        <f t="shared" si="1"/>
        <v>0.38515167959591057</v>
      </c>
      <c r="AK7" s="39">
        <f t="shared" si="1"/>
        <v>0.38515167959591057</v>
      </c>
    </row>
    <row r="8" spans="1:38">
      <c r="A8" t="s">
        <v>936</v>
      </c>
      <c r="B8" s="39">
        <f>INDEX(B$156:B$191,MATCH($B$18,$A$156:$A$191,0),1)</f>
        <v>0</v>
      </c>
      <c r="C8" s="39">
        <f t="shared" ref="C8:AK8" si="2">INDEX(C$156:C$191,MATCH($B$18,$A$156:$A$191,0),1)</f>
        <v>0.60265695082561876</v>
      </c>
      <c r="D8" s="39">
        <f t="shared" si="2"/>
        <v>0.60265695082561876</v>
      </c>
      <c r="E8" s="39">
        <f t="shared" si="2"/>
        <v>0.60265695082561876</v>
      </c>
      <c r="F8" s="39">
        <f t="shared" si="2"/>
        <v>0.60265695082561876</v>
      </c>
      <c r="G8" s="39">
        <f t="shared" si="2"/>
        <v>0.60265695082561876</v>
      </c>
      <c r="H8" s="39">
        <f t="shared" si="2"/>
        <v>0.60265695082561876</v>
      </c>
      <c r="I8" s="39">
        <f t="shared" si="2"/>
        <v>0.60265695082561876</v>
      </c>
      <c r="J8" s="39">
        <f t="shared" si="2"/>
        <v>0.60265695082561876</v>
      </c>
      <c r="K8" s="39">
        <f t="shared" si="2"/>
        <v>0.60265695082561876</v>
      </c>
      <c r="L8" s="39">
        <f t="shared" si="2"/>
        <v>0.60265695082561876</v>
      </c>
      <c r="M8" s="39">
        <f t="shared" si="2"/>
        <v>0.60265695082561876</v>
      </c>
      <c r="N8" s="39">
        <f t="shared" si="2"/>
        <v>0.60265695082561876</v>
      </c>
      <c r="O8" s="39">
        <f t="shared" si="2"/>
        <v>0.60265695082561876</v>
      </c>
      <c r="P8" s="39">
        <f t="shared" si="2"/>
        <v>0.60265695082561876</v>
      </c>
      <c r="Q8" s="39">
        <f t="shared" si="2"/>
        <v>0.60265695082561876</v>
      </c>
      <c r="R8" s="39">
        <f t="shared" si="2"/>
        <v>0.60265695082561876</v>
      </c>
      <c r="S8" s="39">
        <f t="shared" si="2"/>
        <v>0.60265695082561876</v>
      </c>
      <c r="T8" s="39">
        <f t="shared" si="2"/>
        <v>0.60265695082561876</v>
      </c>
      <c r="U8" s="39">
        <f t="shared" si="2"/>
        <v>0.60265695082561876</v>
      </c>
      <c r="V8" s="39">
        <f t="shared" si="2"/>
        <v>0.60265695082561876</v>
      </c>
      <c r="W8" s="39">
        <f t="shared" si="2"/>
        <v>0.60265695082561876</v>
      </c>
      <c r="X8" s="39">
        <f t="shared" si="2"/>
        <v>0.60265695082561876</v>
      </c>
      <c r="Y8" s="39">
        <f t="shared" si="2"/>
        <v>0.60265695082561876</v>
      </c>
      <c r="Z8" s="39">
        <f t="shared" si="2"/>
        <v>0.60265695082561876</v>
      </c>
      <c r="AA8" s="39">
        <f t="shared" si="2"/>
        <v>0.60265695082561876</v>
      </c>
      <c r="AB8" s="39">
        <f t="shared" si="2"/>
        <v>0.60265695082561876</v>
      </c>
      <c r="AC8" s="39">
        <f t="shared" si="2"/>
        <v>0.60265695082561876</v>
      </c>
      <c r="AD8" s="39">
        <f t="shared" si="2"/>
        <v>0.60265695082561876</v>
      </c>
      <c r="AE8" s="39">
        <f t="shared" si="2"/>
        <v>0.60265695082561876</v>
      </c>
      <c r="AF8" s="39">
        <f t="shared" si="2"/>
        <v>0.60265695082561876</v>
      </c>
      <c r="AG8" s="39">
        <f t="shared" si="2"/>
        <v>0.60265695082561876</v>
      </c>
      <c r="AH8" s="39">
        <f t="shared" si="2"/>
        <v>0.60265695082561876</v>
      </c>
      <c r="AI8" s="39">
        <f t="shared" si="2"/>
        <v>0.60265695082561876</v>
      </c>
      <c r="AJ8" s="39">
        <f t="shared" si="2"/>
        <v>0.60265695082561876</v>
      </c>
      <c r="AK8" s="39">
        <f t="shared" si="2"/>
        <v>0.60265695082561876</v>
      </c>
      <c r="AL8" s="184"/>
    </row>
    <row r="18" spans="1:37">
      <c r="A18" t="str">
        <f>B45</f>
        <v>selected borough</v>
      </c>
      <c r="B18" s="251" t="str">
        <f>B46</f>
        <v>Inner London</v>
      </c>
    </row>
    <row r="19" spans="1:37">
      <c r="B19" s="252">
        <v>2015</v>
      </c>
      <c r="C19" s="252">
        <v>2016</v>
      </c>
      <c r="D19" s="252">
        <v>2017</v>
      </c>
      <c r="E19" s="252">
        <v>2018</v>
      </c>
      <c r="F19" s="252">
        <v>2019</v>
      </c>
      <c r="G19" s="252">
        <v>2020</v>
      </c>
      <c r="H19" s="252">
        <v>2021</v>
      </c>
      <c r="I19" s="252">
        <v>2022</v>
      </c>
      <c r="J19" s="252">
        <v>2023</v>
      </c>
      <c r="K19" s="252">
        <v>2024</v>
      </c>
      <c r="L19" s="252">
        <v>2025</v>
      </c>
      <c r="M19" s="252">
        <v>2026</v>
      </c>
      <c r="N19" s="252">
        <v>2027</v>
      </c>
      <c r="O19" s="252">
        <v>2028</v>
      </c>
      <c r="P19" s="252">
        <v>2029</v>
      </c>
      <c r="Q19" s="252">
        <v>2030</v>
      </c>
      <c r="R19" s="252">
        <v>2031</v>
      </c>
      <c r="S19" s="252">
        <v>2032</v>
      </c>
      <c r="T19" s="252">
        <v>2033</v>
      </c>
      <c r="U19" s="252">
        <v>2034</v>
      </c>
      <c r="V19" s="252">
        <v>2035</v>
      </c>
      <c r="W19" s="252">
        <v>2036</v>
      </c>
      <c r="X19" s="252">
        <v>2037</v>
      </c>
      <c r="Y19" s="252">
        <v>2038</v>
      </c>
      <c r="Z19" s="252">
        <v>2039</v>
      </c>
      <c r="AA19" s="252">
        <v>2040</v>
      </c>
      <c r="AB19" s="252">
        <v>2041</v>
      </c>
      <c r="AC19" s="252">
        <v>2042</v>
      </c>
      <c r="AD19" s="252">
        <v>2043</v>
      </c>
      <c r="AE19" s="252">
        <v>2044</v>
      </c>
      <c r="AF19" s="252">
        <v>2045</v>
      </c>
      <c r="AG19" s="252">
        <v>2046</v>
      </c>
      <c r="AH19" s="252">
        <v>2047</v>
      </c>
      <c r="AI19" s="252">
        <v>2048</v>
      </c>
      <c r="AJ19" s="252">
        <v>2049</v>
      </c>
      <c r="AK19" s="252">
        <v>2050</v>
      </c>
    </row>
    <row r="20" spans="1:37">
      <c r="A20" t="s">
        <v>368</v>
      </c>
      <c r="B20" s="184">
        <f>INDEX($AQ$47:$AQ$82,MATCH($B$18,$AP$47:$AP$82,0),1)</f>
        <v>0.28909053125417328</v>
      </c>
      <c r="C20" s="184">
        <f>INDEX($AQ$47:$AQ$82,MATCH($B$18,$AP$47:$AP$82,0),1)</f>
        <v>0.28909053125417328</v>
      </c>
      <c r="D20" s="184">
        <f t="shared" ref="D20:AK20" si="3">INDEX($AQ$47:$AQ$82,MATCH($B$18,$AP$47:$AP$82,0),1)</f>
        <v>0.28909053125417328</v>
      </c>
      <c r="E20" s="184">
        <f t="shared" si="3"/>
        <v>0.28909053125417328</v>
      </c>
      <c r="F20" s="184">
        <f t="shared" si="3"/>
        <v>0.28909053125417328</v>
      </c>
      <c r="G20" s="184">
        <f t="shared" si="3"/>
        <v>0.28909053125417328</v>
      </c>
      <c r="H20" s="184">
        <f t="shared" si="3"/>
        <v>0.28909053125417328</v>
      </c>
      <c r="I20" s="184">
        <f t="shared" si="3"/>
        <v>0.28909053125417328</v>
      </c>
      <c r="J20" s="184">
        <f t="shared" si="3"/>
        <v>0.28909053125417328</v>
      </c>
      <c r="K20" s="184">
        <f t="shared" si="3"/>
        <v>0.28909053125417328</v>
      </c>
      <c r="L20" s="184">
        <f t="shared" si="3"/>
        <v>0.28909053125417328</v>
      </c>
      <c r="M20" s="184">
        <f t="shared" si="3"/>
        <v>0.28909053125417328</v>
      </c>
      <c r="N20" s="184">
        <f t="shared" si="3"/>
        <v>0.28909053125417328</v>
      </c>
      <c r="O20" s="184">
        <f t="shared" si="3"/>
        <v>0.28909053125417328</v>
      </c>
      <c r="P20" s="184">
        <f t="shared" si="3"/>
        <v>0.28909053125417328</v>
      </c>
      <c r="Q20" s="184">
        <f t="shared" si="3"/>
        <v>0.28909053125417328</v>
      </c>
      <c r="R20" s="184">
        <f t="shared" si="3"/>
        <v>0.28909053125417328</v>
      </c>
      <c r="S20" s="184">
        <f t="shared" si="3"/>
        <v>0.28909053125417328</v>
      </c>
      <c r="T20" s="184">
        <f t="shared" si="3"/>
        <v>0.28909053125417328</v>
      </c>
      <c r="U20" s="184">
        <f t="shared" si="3"/>
        <v>0.28909053125417328</v>
      </c>
      <c r="V20" s="184">
        <f t="shared" si="3"/>
        <v>0.28909053125417328</v>
      </c>
      <c r="W20" s="184">
        <f t="shared" si="3"/>
        <v>0.28909053125417328</v>
      </c>
      <c r="X20" s="184">
        <f t="shared" si="3"/>
        <v>0.28909053125417328</v>
      </c>
      <c r="Y20" s="184">
        <f t="shared" si="3"/>
        <v>0.28909053125417328</v>
      </c>
      <c r="Z20" s="184">
        <f t="shared" si="3"/>
        <v>0.28909053125417328</v>
      </c>
      <c r="AA20" s="184">
        <f t="shared" si="3"/>
        <v>0.28909053125417328</v>
      </c>
      <c r="AB20" s="184">
        <f t="shared" si="3"/>
        <v>0.28909053125417328</v>
      </c>
      <c r="AC20" s="184">
        <f t="shared" si="3"/>
        <v>0.28909053125417328</v>
      </c>
      <c r="AD20" s="184">
        <f t="shared" si="3"/>
        <v>0.28909053125417328</v>
      </c>
      <c r="AE20" s="184">
        <f t="shared" si="3"/>
        <v>0.28909053125417328</v>
      </c>
      <c r="AF20" s="184">
        <f t="shared" si="3"/>
        <v>0.28909053125417328</v>
      </c>
      <c r="AG20" s="184">
        <f t="shared" si="3"/>
        <v>0.28909053125417328</v>
      </c>
      <c r="AH20" s="184">
        <f t="shared" si="3"/>
        <v>0.28909053125417328</v>
      </c>
      <c r="AI20" s="184">
        <f t="shared" si="3"/>
        <v>0.28909053125417328</v>
      </c>
      <c r="AJ20" s="184">
        <f t="shared" si="3"/>
        <v>0.28909053125417328</v>
      </c>
      <c r="AK20" s="184">
        <f t="shared" si="3"/>
        <v>0.28909053125417328</v>
      </c>
    </row>
    <row r="21" spans="1:37">
      <c r="A21" t="s">
        <v>937</v>
      </c>
      <c r="B21" s="184">
        <f t="shared" ref="B21:AK21" si="4">INDEX($AR$47:$AR$82,MATCH($B$18,$AP$47:$AP$82,0),1)</f>
        <v>0.57393452752298657</v>
      </c>
      <c r="C21" s="184">
        <f t="shared" si="4"/>
        <v>0.57393452752298657</v>
      </c>
      <c r="D21" s="184">
        <f t="shared" si="4"/>
        <v>0.57393452752298657</v>
      </c>
      <c r="E21" s="184">
        <f t="shared" si="4"/>
        <v>0.57393452752298657</v>
      </c>
      <c r="F21" s="184">
        <f t="shared" si="4"/>
        <v>0.57393452752298657</v>
      </c>
      <c r="G21" s="184">
        <f t="shared" si="4"/>
        <v>0.57393452752298657</v>
      </c>
      <c r="H21" s="184">
        <f t="shared" si="4"/>
        <v>0.57393452752298657</v>
      </c>
      <c r="I21" s="184">
        <f t="shared" si="4"/>
        <v>0.57393452752298657</v>
      </c>
      <c r="J21" s="184">
        <f t="shared" si="4"/>
        <v>0.57393452752298657</v>
      </c>
      <c r="K21" s="184">
        <f t="shared" si="4"/>
        <v>0.57393452752298657</v>
      </c>
      <c r="L21" s="184">
        <f t="shared" si="4"/>
        <v>0.57393452752298657</v>
      </c>
      <c r="M21" s="184">
        <f t="shared" si="4"/>
        <v>0.57393452752298657</v>
      </c>
      <c r="N21" s="184">
        <f t="shared" si="4"/>
        <v>0.57393452752298657</v>
      </c>
      <c r="O21" s="184">
        <f t="shared" si="4"/>
        <v>0.57393452752298657</v>
      </c>
      <c r="P21" s="184">
        <f t="shared" si="4"/>
        <v>0.57393452752298657</v>
      </c>
      <c r="Q21" s="184">
        <f t="shared" si="4"/>
        <v>0.57393452752298657</v>
      </c>
      <c r="R21" s="184">
        <f t="shared" si="4"/>
        <v>0.57393452752298657</v>
      </c>
      <c r="S21" s="184">
        <f t="shared" si="4"/>
        <v>0.57393452752298657</v>
      </c>
      <c r="T21" s="184">
        <f t="shared" si="4"/>
        <v>0.57393452752298657</v>
      </c>
      <c r="U21" s="184">
        <f t="shared" si="4"/>
        <v>0.57393452752298657</v>
      </c>
      <c r="V21" s="184">
        <f t="shared" si="4"/>
        <v>0.57393452752298657</v>
      </c>
      <c r="W21" s="184">
        <f t="shared" si="4"/>
        <v>0.57393452752298657</v>
      </c>
      <c r="X21" s="184">
        <f t="shared" si="4"/>
        <v>0.57393452752298657</v>
      </c>
      <c r="Y21" s="184">
        <f t="shared" si="4"/>
        <v>0.57393452752298657</v>
      </c>
      <c r="Z21" s="184">
        <f t="shared" si="4"/>
        <v>0.57393452752298657</v>
      </c>
      <c r="AA21" s="184">
        <f t="shared" si="4"/>
        <v>0.57393452752298657</v>
      </c>
      <c r="AB21" s="184">
        <f t="shared" si="4"/>
        <v>0.57393452752298657</v>
      </c>
      <c r="AC21" s="184">
        <f t="shared" si="4"/>
        <v>0.57393452752298657</v>
      </c>
      <c r="AD21" s="184">
        <f t="shared" si="4"/>
        <v>0.57393452752298657</v>
      </c>
      <c r="AE21" s="184">
        <f t="shared" si="4"/>
        <v>0.57393452752298657</v>
      </c>
      <c r="AF21" s="184">
        <f t="shared" si="4"/>
        <v>0.57393452752298657</v>
      </c>
      <c r="AG21" s="184">
        <f t="shared" si="4"/>
        <v>0.57393452752298657</v>
      </c>
      <c r="AH21" s="184">
        <f t="shared" si="4"/>
        <v>0.57393452752298657</v>
      </c>
      <c r="AI21" s="184">
        <f t="shared" si="4"/>
        <v>0.57393452752298657</v>
      </c>
      <c r="AJ21" s="184">
        <f t="shared" si="4"/>
        <v>0.57393452752298657</v>
      </c>
      <c r="AK21" s="184">
        <f t="shared" si="4"/>
        <v>0.57393452752298657</v>
      </c>
    </row>
    <row r="22" spans="1:37">
      <c r="A22" t="s">
        <v>938</v>
      </c>
      <c r="B22" s="184">
        <f t="shared" ref="B22:AK22" si="5">INDEX($AQ$47:$AQ$82,MATCH($B$18,$AP$47:$AP$82,0),1)</f>
        <v>0.28909053125417328</v>
      </c>
      <c r="C22" s="184">
        <f t="shared" si="5"/>
        <v>0.28909053125417328</v>
      </c>
      <c r="D22" s="184">
        <f t="shared" si="5"/>
        <v>0.28909053125417328</v>
      </c>
      <c r="E22" s="184">
        <f t="shared" si="5"/>
        <v>0.28909053125417328</v>
      </c>
      <c r="F22" s="184">
        <f t="shared" si="5"/>
        <v>0.28909053125417328</v>
      </c>
      <c r="G22" s="184">
        <f t="shared" si="5"/>
        <v>0.28909053125417328</v>
      </c>
      <c r="H22" s="184">
        <f t="shared" si="5"/>
        <v>0.28909053125417328</v>
      </c>
      <c r="I22" s="184">
        <f t="shared" si="5"/>
        <v>0.28909053125417328</v>
      </c>
      <c r="J22" s="184">
        <f t="shared" si="5"/>
        <v>0.28909053125417328</v>
      </c>
      <c r="K22" s="184">
        <f t="shared" si="5"/>
        <v>0.28909053125417328</v>
      </c>
      <c r="L22" s="184">
        <f t="shared" si="5"/>
        <v>0.28909053125417328</v>
      </c>
      <c r="M22" s="184">
        <f t="shared" si="5"/>
        <v>0.28909053125417328</v>
      </c>
      <c r="N22" s="184">
        <f t="shared" si="5"/>
        <v>0.28909053125417328</v>
      </c>
      <c r="O22" s="184">
        <f t="shared" si="5"/>
        <v>0.28909053125417328</v>
      </c>
      <c r="P22" s="184">
        <f t="shared" si="5"/>
        <v>0.28909053125417328</v>
      </c>
      <c r="Q22" s="184">
        <f t="shared" si="5"/>
        <v>0.28909053125417328</v>
      </c>
      <c r="R22" s="184">
        <f t="shared" si="5"/>
        <v>0.28909053125417328</v>
      </c>
      <c r="S22" s="184">
        <f t="shared" si="5"/>
        <v>0.28909053125417328</v>
      </c>
      <c r="T22" s="184">
        <f t="shared" si="5"/>
        <v>0.28909053125417328</v>
      </c>
      <c r="U22" s="184">
        <f t="shared" si="5"/>
        <v>0.28909053125417328</v>
      </c>
      <c r="V22" s="184">
        <f t="shared" si="5"/>
        <v>0.28909053125417328</v>
      </c>
      <c r="W22" s="184">
        <f t="shared" si="5"/>
        <v>0.28909053125417328</v>
      </c>
      <c r="X22" s="184">
        <f t="shared" si="5"/>
        <v>0.28909053125417328</v>
      </c>
      <c r="Y22" s="184">
        <f t="shared" si="5"/>
        <v>0.28909053125417328</v>
      </c>
      <c r="Z22" s="184">
        <f t="shared" si="5"/>
        <v>0.28909053125417328</v>
      </c>
      <c r="AA22" s="184">
        <f t="shared" si="5"/>
        <v>0.28909053125417328</v>
      </c>
      <c r="AB22" s="184">
        <f t="shared" si="5"/>
        <v>0.28909053125417328</v>
      </c>
      <c r="AC22" s="184">
        <f t="shared" si="5"/>
        <v>0.28909053125417328</v>
      </c>
      <c r="AD22" s="184">
        <f t="shared" si="5"/>
        <v>0.28909053125417328</v>
      </c>
      <c r="AE22" s="184">
        <f t="shared" si="5"/>
        <v>0.28909053125417328</v>
      </c>
      <c r="AF22" s="184">
        <f t="shared" si="5"/>
        <v>0.28909053125417328</v>
      </c>
      <c r="AG22" s="184">
        <f t="shared" si="5"/>
        <v>0.28909053125417328</v>
      </c>
      <c r="AH22" s="184">
        <f t="shared" si="5"/>
        <v>0.28909053125417328</v>
      </c>
      <c r="AI22" s="184">
        <f t="shared" si="5"/>
        <v>0.28909053125417328</v>
      </c>
      <c r="AJ22" s="184">
        <f t="shared" si="5"/>
        <v>0.28909053125417328</v>
      </c>
      <c r="AK22" s="184">
        <f t="shared" si="5"/>
        <v>0.28909053125417328</v>
      </c>
    </row>
    <row r="23" spans="1:37">
      <c r="A23" t="s">
        <v>939</v>
      </c>
      <c r="B23" s="184">
        <f t="shared" ref="B23:AK23" si="6">INDEX($AR$47:$AR$82,MATCH($B$18,$AP$47:$AP$82,0),1)</f>
        <v>0.57393452752298657</v>
      </c>
      <c r="C23" s="184">
        <f t="shared" si="6"/>
        <v>0.57393452752298657</v>
      </c>
      <c r="D23" s="184">
        <f t="shared" si="6"/>
        <v>0.57393452752298657</v>
      </c>
      <c r="E23" s="184">
        <f t="shared" si="6"/>
        <v>0.57393452752298657</v>
      </c>
      <c r="F23" s="184">
        <f t="shared" si="6"/>
        <v>0.57393452752298657</v>
      </c>
      <c r="G23" s="184">
        <f t="shared" si="6"/>
        <v>0.57393452752298657</v>
      </c>
      <c r="H23" s="184">
        <f t="shared" si="6"/>
        <v>0.57393452752298657</v>
      </c>
      <c r="I23" s="184">
        <f t="shared" si="6"/>
        <v>0.57393452752298657</v>
      </c>
      <c r="J23" s="184">
        <f t="shared" si="6"/>
        <v>0.57393452752298657</v>
      </c>
      <c r="K23" s="184">
        <f t="shared" si="6"/>
        <v>0.57393452752298657</v>
      </c>
      <c r="L23" s="184">
        <f t="shared" si="6"/>
        <v>0.57393452752298657</v>
      </c>
      <c r="M23" s="184">
        <f t="shared" si="6"/>
        <v>0.57393452752298657</v>
      </c>
      <c r="N23" s="184">
        <f t="shared" si="6"/>
        <v>0.57393452752298657</v>
      </c>
      <c r="O23" s="184">
        <f t="shared" si="6"/>
        <v>0.57393452752298657</v>
      </c>
      <c r="P23" s="184">
        <f t="shared" si="6"/>
        <v>0.57393452752298657</v>
      </c>
      <c r="Q23" s="184">
        <f t="shared" si="6"/>
        <v>0.57393452752298657</v>
      </c>
      <c r="R23" s="184">
        <f t="shared" si="6"/>
        <v>0.57393452752298657</v>
      </c>
      <c r="S23" s="184">
        <f t="shared" si="6"/>
        <v>0.57393452752298657</v>
      </c>
      <c r="T23" s="184">
        <f t="shared" si="6"/>
        <v>0.57393452752298657</v>
      </c>
      <c r="U23" s="184">
        <f t="shared" si="6"/>
        <v>0.57393452752298657</v>
      </c>
      <c r="V23" s="184">
        <f t="shared" si="6"/>
        <v>0.57393452752298657</v>
      </c>
      <c r="W23" s="184">
        <f t="shared" si="6"/>
        <v>0.57393452752298657</v>
      </c>
      <c r="X23" s="184">
        <f t="shared" si="6"/>
        <v>0.57393452752298657</v>
      </c>
      <c r="Y23" s="184">
        <f t="shared" si="6"/>
        <v>0.57393452752298657</v>
      </c>
      <c r="Z23" s="184">
        <f t="shared" si="6"/>
        <v>0.57393452752298657</v>
      </c>
      <c r="AA23" s="184">
        <f t="shared" si="6"/>
        <v>0.57393452752298657</v>
      </c>
      <c r="AB23" s="184">
        <f t="shared" si="6"/>
        <v>0.57393452752298657</v>
      </c>
      <c r="AC23" s="184">
        <f t="shared" si="6"/>
        <v>0.57393452752298657</v>
      </c>
      <c r="AD23" s="184">
        <f t="shared" si="6"/>
        <v>0.57393452752298657</v>
      </c>
      <c r="AE23" s="184">
        <f t="shared" si="6"/>
        <v>0.57393452752298657</v>
      </c>
      <c r="AF23" s="184">
        <f t="shared" si="6"/>
        <v>0.57393452752298657</v>
      </c>
      <c r="AG23" s="184">
        <f t="shared" si="6"/>
        <v>0.57393452752298657</v>
      </c>
      <c r="AH23" s="184">
        <f t="shared" si="6"/>
        <v>0.57393452752298657</v>
      </c>
      <c r="AI23" s="184">
        <f t="shared" si="6"/>
        <v>0.57393452752298657</v>
      </c>
      <c r="AJ23" s="184">
        <f t="shared" si="6"/>
        <v>0.57393452752298657</v>
      </c>
      <c r="AK23" s="184">
        <f t="shared" si="6"/>
        <v>0.57393452752298657</v>
      </c>
    </row>
    <row r="24" spans="1:37">
      <c r="A24" t="s">
        <v>940</v>
      </c>
      <c r="B24" s="184">
        <f>B59</f>
        <v>0</v>
      </c>
      <c r="C24" s="253">
        <f t="shared" ref="C24:K24" si="7">B24+( $L24 - $B24 )/(COLUMN($L24)-COLUMN($B24))</f>
        <v>3.5105363903469203E-2</v>
      </c>
      <c r="D24" s="253">
        <f t="shared" si="7"/>
        <v>7.0210727806938406E-2</v>
      </c>
      <c r="E24" s="253">
        <f t="shared" si="7"/>
        <v>0.10531609171040761</v>
      </c>
      <c r="F24" s="253">
        <f t="shared" si="7"/>
        <v>0.14042145561387681</v>
      </c>
      <c r="G24" s="253">
        <f t="shared" si="7"/>
        <v>0.175526819517346</v>
      </c>
      <c r="H24" s="253">
        <f t="shared" si="7"/>
        <v>0.21063218342081519</v>
      </c>
      <c r="I24" s="253">
        <f t="shared" si="7"/>
        <v>0.24573754732428438</v>
      </c>
      <c r="J24" s="253">
        <f t="shared" si="7"/>
        <v>0.28084291122775357</v>
      </c>
      <c r="K24" s="253">
        <f t="shared" si="7"/>
        <v>0.31594827513122276</v>
      </c>
      <c r="L24" s="184">
        <f>B60</f>
        <v>0.351053639034692</v>
      </c>
      <c r="M24" s="253">
        <f t="shared" ref="M24:AJ24" si="8">L24+( $AK24 - $L24 )/(COLUMN($AK24)-COLUMN($L24))</f>
        <v>0.35108505879593926</v>
      </c>
      <c r="N24" s="253">
        <f t="shared" si="8"/>
        <v>0.35111647855718653</v>
      </c>
      <c r="O24" s="253">
        <f t="shared" si="8"/>
        <v>0.35114789831843379</v>
      </c>
      <c r="P24" s="253">
        <f t="shared" si="8"/>
        <v>0.35117931807968106</v>
      </c>
      <c r="Q24" s="253">
        <f t="shared" si="8"/>
        <v>0.35121073784092832</v>
      </c>
      <c r="R24" s="253">
        <f t="shared" si="8"/>
        <v>0.35124215760217559</v>
      </c>
      <c r="S24" s="253">
        <f t="shared" si="8"/>
        <v>0.35127357736342285</v>
      </c>
      <c r="T24" s="253">
        <f t="shared" si="8"/>
        <v>0.35130499712467012</v>
      </c>
      <c r="U24" s="253">
        <f t="shared" si="8"/>
        <v>0.35133641688591738</v>
      </c>
      <c r="V24" s="253">
        <f t="shared" si="8"/>
        <v>0.35136783664716464</v>
      </c>
      <c r="W24" s="253">
        <f t="shared" si="8"/>
        <v>0.35139925640841191</v>
      </c>
      <c r="X24" s="253">
        <f t="shared" si="8"/>
        <v>0.35143067616965917</v>
      </c>
      <c r="Y24" s="253">
        <f t="shared" si="8"/>
        <v>0.35146209593090644</v>
      </c>
      <c r="Z24" s="253">
        <f t="shared" si="8"/>
        <v>0.3514935156921537</v>
      </c>
      <c r="AA24" s="253">
        <f t="shared" si="8"/>
        <v>0.35152493545340097</v>
      </c>
      <c r="AB24" s="253">
        <f t="shared" si="8"/>
        <v>0.35155635521464823</v>
      </c>
      <c r="AC24" s="253">
        <f t="shared" si="8"/>
        <v>0.3515877749758955</v>
      </c>
      <c r="AD24" s="253">
        <f t="shared" si="8"/>
        <v>0.35161919473714276</v>
      </c>
      <c r="AE24" s="253">
        <f t="shared" si="8"/>
        <v>0.35165061449839002</v>
      </c>
      <c r="AF24" s="253">
        <f t="shared" si="8"/>
        <v>0.35168203425963729</v>
      </c>
      <c r="AG24" s="253">
        <f t="shared" si="8"/>
        <v>0.35171345402088455</v>
      </c>
      <c r="AH24" s="253">
        <f t="shared" si="8"/>
        <v>0.35174487378213182</v>
      </c>
      <c r="AI24" s="253">
        <f t="shared" si="8"/>
        <v>0.35177629354337908</v>
      </c>
      <c r="AJ24" s="253">
        <f t="shared" si="8"/>
        <v>0.35180771330462635</v>
      </c>
      <c r="AK24" s="184">
        <f>B61</f>
        <v>0.35183913306587422</v>
      </c>
    </row>
    <row r="25" spans="1:37">
      <c r="A25" t="s">
        <v>941</v>
      </c>
      <c r="B25" s="184">
        <f>B62</f>
        <v>0.66777218141867412</v>
      </c>
      <c r="C25" s="253">
        <f t="shared" ref="C25:K25" si="9">B25+( $L25 - $B25 )/(COLUMN($L25)-COLUMN($B25))</f>
        <v>0.66957618729550894</v>
      </c>
      <c r="D25" s="253">
        <f t="shared" si="9"/>
        <v>0.67138019317234376</v>
      </c>
      <c r="E25" s="253">
        <f t="shared" si="9"/>
        <v>0.67318419904917859</v>
      </c>
      <c r="F25" s="253">
        <f t="shared" si="9"/>
        <v>0.67498820492601341</v>
      </c>
      <c r="G25" s="253">
        <f t="shared" si="9"/>
        <v>0.67679221080284824</v>
      </c>
      <c r="H25" s="253">
        <f t="shared" si="9"/>
        <v>0.67859621667968306</v>
      </c>
      <c r="I25" s="253">
        <f t="shared" si="9"/>
        <v>0.68040022255651789</v>
      </c>
      <c r="J25" s="253">
        <f t="shared" si="9"/>
        <v>0.68220422843335271</v>
      </c>
      <c r="K25" s="253">
        <f t="shared" si="9"/>
        <v>0.68400823431018754</v>
      </c>
      <c r="L25" s="184">
        <f>B63</f>
        <v>0.6858122401870228</v>
      </c>
      <c r="M25" s="253">
        <f t="shared" ref="M25:AJ25" si="10">L25+( $AK25 - $L25 )/(COLUMN($AK25)-COLUMN($L25))</f>
        <v>0.68679719493168168</v>
      </c>
      <c r="N25" s="253">
        <f t="shared" si="10"/>
        <v>0.68778214967634055</v>
      </c>
      <c r="O25" s="253">
        <f t="shared" si="10"/>
        <v>0.68876710442099942</v>
      </c>
      <c r="P25" s="253">
        <f t="shared" si="10"/>
        <v>0.68975205916565829</v>
      </c>
      <c r="Q25" s="253">
        <f t="shared" si="10"/>
        <v>0.69073701391031717</v>
      </c>
      <c r="R25" s="253">
        <f t="shared" si="10"/>
        <v>0.69172196865497604</v>
      </c>
      <c r="S25" s="253">
        <f t="shared" si="10"/>
        <v>0.69270692339963491</v>
      </c>
      <c r="T25" s="253">
        <f t="shared" si="10"/>
        <v>0.69369187814429378</v>
      </c>
      <c r="U25" s="253">
        <f t="shared" si="10"/>
        <v>0.69467683288895266</v>
      </c>
      <c r="V25" s="253">
        <f t="shared" si="10"/>
        <v>0.69566178763361153</v>
      </c>
      <c r="W25" s="253">
        <f t="shared" si="10"/>
        <v>0.6966467423782704</v>
      </c>
      <c r="X25" s="253">
        <f t="shared" si="10"/>
        <v>0.69763169712292927</v>
      </c>
      <c r="Y25" s="253">
        <f t="shared" si="10"/>
        <v>0.69861665186758815</v>
      </c>
      <c r="Z25" s="253">
        <f t="shared" si="10"/>
        <v>0.69960160661224702</v>
      </c>
      <c r="AA25" s="253">
        <f t="shared" si="10"/>
        <v>0.70058656135690589</v>
      </c>
      <c r="AB25" s="253">
        <f t="shared" si="10"/>
        <v>0.70157151610156476</v>
      </c>
      <c r="AC25" s="253">
        <f t="shared" si="10"/>
        <v>0.70255647084622364</v>
      </c>
      <c r="AD25" s="253">
        <f t="shared" si="10"/>
        <v>0.70354142559088251</v>
      </c>
      <c r="AE25" s="253">
        <f t="shared" si="10"/>
        <v>0.70452638033554138</v>
      </c>
      <c r="AF25" s="253">
        <f t="shared" si="10"/>
        <v>0.70551133508020025</v>
      </c>
      <c r="AG25" s="253">
        <f t="shared" si="10"/>
        <v>0.70649628982485912</v>
      </c>
      <c r="AH25" s="253">
        <f t="shared" si="10"/>
        <v>0.707481244569518</v>
      </c>
      <c r="AI25" s="253">
        <f t="shared" si="10"/>
        <v>0.70846619931417687</v>
      </c>
      <c r="AJ25" s="253">
        <f t="shared" si="10"/>
        <v>0.70945115405883574</v>
      </c>
      <c r="AK25" s="184">
        <f>B64</f>
        <v>0.71043610880349584</v>
      </c>
    </row>
    <row r="26" spans="1:37">
      <c r="A26" t="s">
        <v>942</v>
      </c>
      <c r="B26" s="184">
        <f>B65</f>
        <v>1</v>
      </c>
      <c r="C26" s="253">
        <f>B26+( $L26 - $B26 )/(COLUMN($L26)-COLUMN($B26))</f>
        <v>1</v>
      </c>
      <c r="D26" s="253">
        <f t="shared" ref="D26:K26" si="11">C26+( $L26 - $B26 )/(COLUMN($L26)-COLUMN($B26))</f>
        <v>1</v>
      </c>
      <c r="E26" s="253">
        <f t="shared" si="11"/>
        <v>1</v>
      </c>
      <c r="F26" s="253">
        <f t="shared" si="11"/>
        <v>1</v>
      </c>
      <c r="G26" s="253">
        <f t="shared" si="11"/>
        <v>1</v>
      </c>
      <c r="H26" s="253">
        <f t="shared" si="11"/>
        <v>1</v>
      </c>
      <c r="I26" s="253">
        <f t="shared" si="11"/>
        <v>1</v>
      </c>
      <c r="J26" s="253">
        <f t="shared" si="11"/>
        <v>1</v>
      </c>
      <c r="K26" s="253">
        <f t="shared" si="11"/>
        <v>1</v>
      </c>
      <c r="L26" s="558">
        <f>B26</f>
        <v>1</v>
      </c>
      <c r="M26" s="253">
        <f t="shared" ref="M26:AJ26" si="12">L26+( $AK26 - $L26 )/(COLUMN($AK26)-COLUMN($L26))</f>
        <v>1</v>
      </c>
      <c r="N26" s="253">
        <f t="shared" si="12"/>
        <v>1</v>
      </c>
      <c r="O26" s="253">
        <f t="shared" si="12"/>
        <v>1</v>
      </c>
      <c r="P26" s="253">
        <f t="shared" si="12"/>
        <v>1</v>
      </c>
      <c r="Q26" s="253">
        <f t="shared" si="12"/>
        <v>1</v>
      </c>
      <c r="R26" s="253">
        <f t="shared" si="12"/>
        <v>1</v>
      </c>
      <c r="S26" s="253">
        <f t="shared" si="12"/>
        <v>1</v>
      </c>
      <c r="T26" s="253">
        <f t="shared" si="12"/>
        <v>1</v>
      </c>
      <c r="U26" s="253">
        <f t="shared" si="12"/>
        <v>1</v>
      </c>
      <c r="V26" s="253">
        <f t="shared" si="12"/>
        <v>1</v>
      </c>
      <c r="W26" s="253">
        <f t="shared" si="12"/>
        <v>1</v>
      </c>
      <c r="X26" s="253">
        <f t="shared" si="12"/>
        <v>1</v>
      </c>
      <c r="Y26" s="253">
        <f t="shared" si="12"/>
        <v>1</v>
      </c>
      <c r="Z26" s="253">
        <f t="shared" si="12"/>
        <v>1</v>
      </c>
      <c r="AA26" s="253">
        <f t="shared" si="12"/>
        <v>1</v>
      </c>
      <c r="AB26" s="253">
        <f t="shared" si="12"/>
        <v>1</v>
      </c>
      <c r="AC26" s="253">
        <f t="shared" si="12"/>
        <v>1</v>
      </c>
      <c r="AD26" s="253">
        <f t="shared" si="12"/>
        <v>1</v>
      </c>
      <c r="AE26" s="253">
        <f t="shared" si="12"/>
        <v>1</v>
      </c>
      <c r="AF26" s="253">
        <f t="shared" si="12"/>
        <v>1</v>
      </c>
      <c r="AG26" s="253">
        <f t="shared" si="12"/>
        <v>1</v>
      </c>
      <c r="AH26" s="253">
        <f t="shared" si="12"/>
        <v>1</v>
      </c>
      <c r="AI26" s="253">
        <f t="shared" si="12"/>
        <v>1</v>
      </c>
      <c r="AJ26" s="253">
        <f t="shared" si="12"/>
        <v>1</v>
      </c>
      <c r="AK26" s="558">
        <f>B26</f>
        <v>1</v>
      </c>
    </row>
    <row r="27" spans="1:37">
      <c r="A27" t="s">
        <v>943</v>
      </c>
      <c r="B27" s="184">
        <f>B66</f>
        <v>1</v>
      </c>
      <c r="C27" s="253">
        <f t="shared" ref="C27:K27" si="13">B27+( $L27 - $B27 )/(COLUMN($L27)-COLUMN($B27))</f>
        <v>1</v>
      </c>
      <c r="D27" s="253">
        <f t="shared" si="13"/>
        <v>1</v>
      </c>
      <c r="E27" s="253">
        <f t="shared" si="13"/>
        <v>1</v>
      </c>
      <c r="F27" s="253">
        <f t="shared" si="13"/>
        <v>1</v>
      </c>
      <c r="G27" s="253">
        <f t="shared" si="13"/>
        <v>1</v>
      </c>
      <c r="H27" s="253">
        <f t="shared" si="13"/>
        <v>1</v>
      </c>
      <c r="I27" s="253">
        <f t="shared" si="13"/>
        <v>1</v>
      </c>
      <c r="J27" s="253">
        <f t="shared" si="13"/>
        <v>1</v>
      </c>
      <c r="K27" s="253">
        <f t="shared" si="13"/>
        <v>1</v>
      </c>
      <c r="L27" s="558">
        <f>B27</f>
        <v>1</v>
      </c>
      <c r="M27" s="253">
        <f t="shared" ref="M27:AJ27" si="14">L27+( $AK27 - $L27 )/(COLUMN($AK27)-COLUMN($L27))</f>
        <v>1</v>
      </c>
      <c r="N27" s="253">
        <f t="shared" si="14"/>
        <v>1</v>
      </c>
      <c r="O27" s="253">
        <f t="shared" si="14"/>
        <v>1</v>
      </c>
      <c r="P27" s="253">
        <f t="shared" si="14"/>
        <v>1</v>
      </c>
      <c r="Q27" s="253">
        <f t="shared" si="14"/>
        <v>1</v>
      </c>
      <c r="R27" s="253">
        <f t="shared" si="14"/>
        <v>1</v>
      </c>
      <c r="S27" s="253">
        <f t="shared" si="14"/>
        <v>1</v>
      </c>
      <c r="T27" s="253">
        <f t="shared" si="14"/>
        <v>1</v>
      </c>
      <c r="U27" s="253">
        <f t="shared" si="14"/>
        <v>1</v>
      </c>
      <c r="V27" s="253">
        <f t="shared" si="14"/>
        <v>1</v>
      </c>
      <c r="W27" s="253">
        <f t="shared" si="14"/>
        <v>1</v>
      </c>
      <c r="X27" s="253">
        <f t="shared" si="14"/>
        <v>1</v>
      </c>
      <c r="Y27" s="253">
        <f t="shared" si="14"/>
        <v>1</v>
      </c>
      <c r="Z27" s="253">
        <f t="shared" si="14"/>
        <v>1</v>
      </c>
      <c r="AA27" s="253">
        <f t="shared" si="14"/>
        <v>1</v>
      </c>
      <c r="AB27" s="253">
        <f t="shared" si="14"/>
        <v>1</v>
      </c>
      <c r="AC27" s="253">
        <f t="shared" si="14"/>
        <v>1</v>
      </c>
      <c r="AD27" s="253">
        <f t="shared" si="14"/>
        <v>1</v>
      </c>
      <c r="AE27" s="253">
        <f t="shared" si="14"/>
        <v>1</v>
      </c>
      <c r="AF27" s="253">
        <f t="shared" si="14"/>
        <v>1</v>
      </c>
      <c r="AG27" s="253">
        <f t="shared" si="14"/>
        <v>1</v>
      </c>
      <c r="AH27" s="253">
        <f t="shared" si="14"/>
        <v>1</v>
      </c>
      <c r="AI27" s="253">
        <f t="shared" si="14"/>
        <v>1</v>
      </c>
      <c r="AJ27" s="253">
        <f t="shared" si="14"/>
        <v>1</v>
      </c>
      <c r="AK27" s="558">
        <f>B27</f>
        <v>1</v>
      </c>
    </row>
    <row r="28" spans="1:37">
      <c r="A28" t="s">
        <v>944</v>
      </c>
      <c r="B28" s="184">
        <f>B67</f>
        <v>1</v>
      </c>
      <c r="C28" s="253">
        <f t="shared" ref="C28:K28" si="15">B28+( $L28 - $B28 )/(COLUMN($L28)-COLUMN($B28))</f>
        <v>1</v>
      </c>
      <c r="D28" s="253">
        <f t="shared" si="15"/>
        <v>1</v>
      </c>
      <c r="E28" s="253">
        <f t="shared" si="15"/>
        <v>1</v>
      </c>
      <c r="F28" s="253">
        <f t="shared" si="15"/>
        <v>1</v>
      </c>
      <c r="G28" s="253">
        <f t="shared" si="15"/>
        <v>1</v>
      </c>
      <c r="H28" s="253">
        <f t="shared" si="15"/>
        <v>1</v>
      </c>
      <c r="I28" s="253">
        <f t="shared" si="15"/>
        <v>1</v>
      </c>
      <c r="J28" s="253">
        <f t="shared" si="15"/>
        <v>1</v>
      </c>
      <c r="K28" s="253">
        <f t="shared" si="15"/>
        <v>1</v>
      </c>
      <c r="L28" s="184">
        <f>B72</f>
        <v>1</v>
      </c>
      <c r="M28" s="253">
        <f t="shared" ref="M28:AJ28" si="16">L28+( $AK28 - $L28 )/(COLUMN($AK28)-COLUMN($L28))</f>
        <v>1</v>
      </c>
      <c r="N28" s="253">
        <f t="shared" si="16"/>
        <v>1</v>
      </c>
      <c r="O28" s="253">
        <f t="shared" si="16"/>
        <v>1</v>
      </c>
      <c r="P28" s="253">
        <f t="shared" si="16"/>
        <v>1</v>
      </c>
      <c r="Q28" s="253">
        <f t="shared" si="16"/>
        <v>1</v>
      </c>
      <c r="R28" s="253">
        <f t="shared" si="16"/>
        <v>1</v>
      </c>
      <c r="S28" s="253">
        <f t="shared" si="16"/>
        <v>1</v>
      </c>
      <c r="T28" s="253">
        <f t="shared" si="16"/>
        <v>1</v>
      </c>
      <c r="U28" s="253">
        <f t="shared" si="16"/>
        <v>1</v>
      </c>
      <c r="V28" s="253">
        <f t="shared" si="16"/>
        <v>1</v>
      </c>
      <c r="W28" s="253">
        <f t="shared" si="16"/>
        <v>1</v>
      </c>
      <c r="X28" s="253">
        <f t="shared" si="16"/>
        <v>1</v>
      </c>
      <c r="Y28" s="253">
        <f t="shared" si="16"/>
        <v>1</v>
      </c>
      <c r="Z28" s="253">
        <f t="shared" si="16"/>
        <v>1</v>
      </c>
      <c r="AA28" s="253">
        <f t="shared" si="16"/>
        <v>1</v>
      </c>
      <c r="AB28" s="253">
        <f t="shared" si="16"/>
        <v>1</v>
      </c>
      <c r="AC28" s="253">
        <f t="shared" si="16"/>
        <v>1</v>
      </c>
      <c r="AD28" s="253">
        <f t="shared" si="16"/>
        <v>1</v>
      </c>
      <c r="AE28" s="253">
        <f t="shared" si="16"/>
        <v>1</v>
      </c>
      <c r="AF28" s="253">
        <f t="shared" si="16"/>
        <v>1</v>
      </c>
      <c r="AG28" s="253">
        <f t="shared" si="16"/>
        <v>1</v>
      </c>
      <c r="AH28" s="253">
        <f t="shared" si="16"/>
        <v>1</v>
      </c>
      <c r="AI28" s="253">
        <f t="shared" si="16"/>
        <v>1</v>
      </c>
      <c r="AJ28" s="253">
        <f t="shared" si="16"/>
        <v>1</v>
      </c>
      <c r="AK28" s="184">
        <f>B77</f>
        <v>1</v>
      </c>
    </row>
    <row r="29" spans="1:37">
      <c r="A29" t="s">
        <v>945</v>
      </c>
      <c r="B29" s="184">
        <f>B68</f>
        <v>1</v>
      </c>
      <c r="C29" s="253">
        <f t="shared" ref="C29:K29" si="17">B29+( $L29 - $B29 )/(COLUMN($L29)-COLUMN($B29))</f>
        <v>1</v>
      </c>
      <c r="D29" s="253">
        <f t="shared" si="17"/>
        <v>1</v>
      </c>
      <c r="E29" s="253">
        <f t="shared" si="17"/>
        <v>1</v>
      </c>
      <c r="F29" s="253">
        <f t="shared" si="17"/>
        <v>1</v>
      </c>
      <c r="G29" s="253">
        <f t="shared" si="17"/>
        <v>1</v>
      </c>
      <c r="H29" s="253">
        <f t="shared" si="17"/>
        <v>1</v>
      </c>
      <c r="I29" s="253">
        <f t="shared" si="17"/>
        <v>1</v>
      </c>
      <c r="J29" s="253">
        <f t="shared" si="17"/>
        <v>1</v>
      </c>
      <c r="K29" s="253">
        <f t="shared" si="17"/>
        <v>1</v>
      </c>
      <c r="L29" s="184">
        <f>B73</f>
        <v>1</v>
      </c>
      <c r="M29" s="253">
        <f t="shared" ref="M29:AJ29" si="18">L29+( $AK29 - $L29 )/(COLUMN($AK29)-COLUMN($L29))</f>
        <v>1</v>
      </c>
      <c r="N29" s="253">
        <f t="shared" si="18"/>
        <v>1</v>
      </c>
      <c r="O29" s="253">
        <f t="shared" si="18"/>
        <v>1</v>
      </c>
      <c r="P29" s="253">
        <f t="shared" si="18"/>
        <v>1</v>
      </c>
      <c r="Q29" s="253">
        <f t="shared" si="18"/>
        <v>1</v>
      </c>
      <c r="R29" s="253">
        <f t="shared" si="18"/>
        <v>1</v>
      </c>
      <c r="S29" s="253">
        <f t="shared" si="18"/>
        <v>1</v>
      </c>
      <c r="T29" s="253">
        <f t="shared" si="18"/>
        <v>1</v>
      </c>
      <c r="U29" s="253">
        <f t="shared" si="18"/>
        <v>1</v>
      </c>
      <c r="V29" s="253">
        <f t="shared" si="18"/>
        <v>1</v>
      </c>
      <c r="W29" s="253">
        <f t="shared" si="18"/>
        <v>1</v>
      </c>
      <c r="X29" s="253">
        <f t="shared" si="18"/>
        <v>1</v>
      </c>
      <c r="Y29" s="253">
        <f t="shared" si="18"/>
        <v>1</v>
      </c>
      <c r="Z29" s="253">
        <f t="shared" si="18"/>
        <v>1</v>
      </c>
      <c r="AA29" s="253">
        <f t="shared" si="18"/>
        <v>1</v>
      </c>
      <c r="AB29" s="253">
        <f t="shared" si="18"/>
        <v>1</v>
      </c>
      <c r="AC29" s="253">
        <f t="shared" si="18"/>
        <v>1</v>
      </c>
      <c r="AD29" s="253">
        <f t="shared" si="18"/>
        <v>1</v>
      </c>
      <c r="AE29" s="253">
        <f t="shared" si="18"/>
        <v>1</v>
      </c>
      <c r="AF29" s="253">
        <f t="shared" si="18"/>
        <v>1</v>
      </c>
      <c r="AG29" s="253">
        <f t="shared" si="18"/>
        <v>1</v>
      </c>
      <c r="AH29" s="253">
        <f t="shared" si="18"/>
        <v>1</v>
      </c>
      <c r="AI29" s="253">
        <f t="shared" si="18"/>
        <v>1</v>
      </c>
      <c r="AJ29" s="253">
        <f t="shared" si="18"/>
        <v>1</v>
      </c>
      <c r="AK29" s="184">
        <f>B78</f>
        <v>1</v>
      </c>
    </row>
    <row r="30" spans="1:37">
      <c r="A30" t="s">
        <v>946</v>
      </c>
      <c r="B30" s="184">
        <f>B69</f>
        <v>1</v>
      </c>
      <c r="C30" s="253">
        <f t="shared" ref="C30:K30" si="19">B30+( $L30 - $B30 )/(COLUMN($L30)-COLUMN($B30))</f>
        <v>1</v>
      </c>
      <c r="D30" s="253">
        <f t="shared" si="19"/>
        <v>1</v>
      </c>
      <c r="E30" s="253">
        <f t="shared" si="19"/>
        <v>1</v>
      </c>
      <c r="F30" s="253">
        <f t="shared" si="19"/>
        <v>1</v>
      </c>
      <c r="G30" s="253">
        <f t="shared" si="19"/>
        <v>1</v>
      </c>
      <c r="H30" s="253">
        <f t="shared" si="19"/>
        <v>1</v>
      </c>
      <c r="I30" s="253">
        <f t="shared" si="19"/>
        <v>1</v>
      </c>
      <c r="J30" s="253">
        <f t="shared" si="19"/>
        <v>1</v>
      </c>
      <c r="K30" s="253">
        <f t="shared" si="19"/>
        <v>1</v>
      </c>
      <c r="L30" s="184">
        <f>B74</f>
        <v>1</v>
      </c>
      <c r="M30" s="253">
        <f t="shared" ref="M30:AJ30" si="20">L30+( $AK30 - $L30 )/(COLUMN($AK30)-COLUMN($L30))</f>
        <v>1</v>
      </c>
      <c r="N30" s="253">
        <f t="shared" si="20"/>
        <v>1</v>
      </c>
      <c r="O30" s="253">
        <f t="shared" si="20"/>
        <v>1</v>
      </c>
      <c r="P30" s="253">
        <f t="shared" si="20"/>
        <v>1</v>
      </c>
      <c r="Q30" s="253">
        <f t="shared" si="20"/>
        <v>1</v>
      </c>
      <c r="R30" s="253">
        <f t="shared" si="20"/>
        <v>1</v>
      </c>
      <c r="S30" s="253">
        <f t="shared" si="20"/>
        <v>1</v>
      </c>
      <c r="T30" s="253">
        <f t="shared" si="20"/>
        <v>1</v>
      </c>
      <c r="U30" s="253">
        <f t="shared" si="20"/>
        <v>1</v>
      </c>
      <c r="V30" s="253">
        <f t="shared" si="20"/>
        <v>1</v>
      </c>
      <c r="W30" s="253">
        <f t="shared" si="20"/>
        <v>1</v>
      </c>
      <c r="X30" s="253">
        <f t="shared" si="20"/>
        <v>1</v>
      </c>
      <c r="Y30" s="253">
        <f t="shared" si="20"/>
        <v>1</v>
      </c>
      <c r="Z30" s="253">
        <f t="shared" si="20"/>
        <v>1</v>
      </c>
      <c r="AA30" s="253">
        <f t="shared" si="20"/>
        <v>1</v>
      </c>
      <c r="AB30" s="253">
        <f t="shared" si="20"/>
        <v>1</v>
      </c>
      <c r="AC30" s="253">
        <f t="shared" si="20"/>
        <v>1</v>
      </c>
      <c r="AD30" s="253">
        <f t="shared" si="20"/>
        <v>1</v>
      </c>
      <c r="AE30" s="253">
        <f t="shared" si="20"/>
        <v>1</v>
      </c>
      <c r="AF30" s="253">
        <f t="shared" si="20"/>
        <v>1</v>
      </c>
      <c r="AG30" s="253">
        <f t="shared" si="20"/>
        <v>1</v>
      </c>
      <c r="AH30" s="253">
        <f t="shared" si="20"/>
        <v>1</v>
      </c>
      <c r="AI30" s="253">
        <f t="shared" si="20"/>
        <v>1</v>
      </c>
      <c r="AJ30" s="253">
        <f t="shared" si="20"/>
        <v>1</v>
      </c>
      <c r="AK30" s="184">
        <f>B79</f>
        <v>1</v>
      </c>
    </row>
    <row r="31" spans="1:37">
      <c r="A31" t="s">
        <v>947</v>
      </c>
      <c r="B31" s="184">
        <f>B80</f>
        <v>1</v>
      </c>
      <c r="C31" s="253">
        <f t="shared" ref="C31:K31" si="21">B31+( $L31 - $B31 )/(COLUMN($L31)-COLUMN($B31))</f>
        <v>1</v>
      </c>
      <c r="D31" s="253">
        <f t="shared" si="21"/>
        <v>1</v>
      </c>
      <c r="E31" s="253">
        <f t="shared" si="21"/>
        <v>1</v>
      </c>
      <c r="F31" s="253">
        <f t="shared" si="21"/>
        <v>1</v>
      </c>
      <c r="G31" s="253">
        <f t="shared" si="21"/>
        <v>1</v>
      </c>
      <c r="H31" s="253">
        <f t="shared" si="21"/>
        <v>1</v>
      </c>
      <c r="I31" s="253">
        <f t="shared" si="21"/>
        <v>1</v>
      </c>
      <c r="J31" s="253">
        <f t="shared" si="21"/>
        <v>1</v>
      </c>
      <c r="K31" s="253">
        <f t="shared" si="21"/>
        <v>1</v>
      </c>
      <c r="L31" s="184">
        <f>B85</f>
        <v>1</v>
      </c>
      <c r="M31" s="253">
        <f t="shared" ref="M31:AJ31" si="22">L31+( $AK31 - $L31 )/(COLUMN($AK31)-COLUMN($L31))</f>
        <v>1</v>
      </c>
      <c r="N31" s="253">
        <f t="shared" si="22"/>
        <v>1</v>
      </c>
      <c r="O31" s="253">
        <f t="shared" si="22"/>
        <v>1</v>
      </c>
      <c r="P31" s="253">
        <f t="shared" si="22"/>
        <v>1</v>
      </c>
      <c r="Q31" s="253">
        <f t="shared" si="22"/>
        <v>1</v>
      </c>
      <c r="R31" s="253">
        <f t="shared" si="22"/>
        <v>1</v>
      </c>
      <c r="S31" s="253">
        <f t="shared" si="22"/>
        <v>1</v>
      </c>
      <c r="T31" s="253">
        <f t="shared" si="22"/>
        <v>1</v>
      </c>
      <c r="U31" s="253">
        <f t="shared" si="22"/>
        <v>1</v>
      </c>
      <c r="V31" s="253">
        <f t="shared" si="22"/>
        <v>1</v>
      </c>
      <c r="W31" s="253">
        <f t="shared" si="22"/>
        <v>1</v>
      </c>
      <c r="X31" s="253">
        <f t="shared" si="22"/>
        <v>1</v>
      </c>
      <c r="Y31" s="253">
        <f t="shared" si="22"/>
        <v>1</v>
      </c>
      <c r="Z31" s="253">
        <f t="shared" si="22"/>
        <v>1</v>
      </c>
      <c r="AA31" s="253">
        <f t="shared" si="22"/>
        <v>1</v>
      </c>
      <c r="AB31" s="253">
        <f t="shared" si="22"/>
        <v>1</v>
      </c>
      <c r="AC31" s="253">
        <f t="shared" si="22"/>
        <v>1</v>
      </c>
      <c r="AD31" s="253">
        <f t="shared" si="22"/>
        <v>1</v>
      </c>
      <c r="AE31" s="253">
        <f t="shared" si="22"/>
        <v>1</v>
      </c>
      <c r="AF31" s="253">
        <f t="shared" si="22"/>
        <v>1</v>
      </c>
      <c r="AG31" s="253">
        <f t="shared" si="22"/>
        <v>1</v>
      </c>
      <c r="AH31" s="253">
        <f t="shared" si="22"/>
        <v>1</v>
      </c>
      <c r="AI31" s="253">
        <f t="shared" si="22"/>
        <v>1</v>
      </c>
      <c r="AJ31" s="253">
        <f t="shared" si="22"/>
        <v>1</v>
      </c>
      <c r="AK31" s="184">
        <f>B90</f>
        <v>1</v>
      </c>
    </row>
    <row r="32" spans="1:37">
      <c r="A32" t="s">
        <v>948</v>
      </c>
      <c r="B32" s="184">
        <f>B81</f>
        <v>1</v>
      </c>
      <c r="C32" s="253">
        <f t="shared" ref="C32:K32" si="23">B32+( $L32 - $B32 )/(COLUMN($L32)-COLUMN($B32))</f>
        <v>1</v>
      </c>
      <c r="D32" s="253">
        <f t="shared" si="23"/>
        <v>1</v>
      </c>
      <c r="E32" s="253">
        <f t="shared" si="23"/>
        <v>1</v>
      </c>
      <c r="F32" s="253">
        <f t="shared" si="23"/>
        <v>1</v>
      </c>
      <c r="G32" s="253">
        <f t="shared" si="23"/>
        <v>1</v>
      </c>
      <c r="H32" s="253">
        <f t="shared" si="23"/>
        <v>1</v>
      </c>
      <c r="I32" s="253">
        <f t="shared" si="23"/>
        <v>1</v>
      </c>
      <c r="J32" s="253">
        <f t="shared" si="23"/>
        <v>1</v>
      </c>
      <c r="K32" s="253">
        <f t="shared" si="23"/>
        <v>1</v>
      </c>
      <c r="L32" s="184">
        <f>B86</f>
        <v>1</v>
      </c>
      <c r="M32" s="253">
        <f t="shared" ref="M32:AJ32" si="24">L32+( $AK32 - $L32 )/(COLUMN($AK32)-COLUMN($L32))</f>
        <v>1</v>
      </c>
      <c r="N32" s="253">
        <f t="shared" si="24"/>
        <v>1</v>
      </c>
      <c r="O32" s="253">
        <f t="shared" si="24"/>
        <v>1</v>
      </c>
      <c r="P32" s="253">
        <f t="shared" si="24"/>
        <v>1</v>
      </c>
      <c r="Q32" s="253">
        <f t="shared" si="24"/>
        <v>1</v>
      </c>
      <c r="R32" s="253">
        <f t="shared" si="24"/>
        <v>1</v>
      </c>
      <c r="S32" s="253">
        <f t="shared" si="24"/>
        <v>1</v>
      </c>
      <c r="T32" s="253">
        <f t="shared" si="24"/>
        <v>1</v>
      </c>
      <c r="U32" s="253">
        <f t="shared" si="24"/>
        <v>1</v>
      </c>
      <c r="V32" s="253">
        <f t="shared" si="24"/>
        <v>1</v>
      </c>
      <c r="W32" s="253">
        <f t="shared" si="24"/>
        <v>1</v>
      </c>
      <c r="X32" s="253">
        <f t="shared" si="24"/>
        <v>1</v>
      </c>
      <c r="Y32" s="253">
        <f t="shared" si="24"/>
        <v>1</v>
      </c>
      <c r="Z32" s="253">
        <f t="shared" si="24"/>
        <v>1</v>
      </c>
      <c r="AA32" s="253">
        <f t="shared" si="24"/>
        <v>1</v>
      </c>
      <c r="AB32" s="253">
        <f t="shared" si="24"/>
        <v>1</v>
      </c>
      <c r="AC32" s="253">
        <f t="shared" si="24"/>
        <v>1</v>
      </c>
      <c r="AD32" s="253">
        <f t="shared" si="24"/>
        <v>1</v>
      </c>
      <c r="AE32" s="253">
        <f t="shared" si="24"/>
        <v>1</v>
      </c>
      <c r="AF32" s="253">
        <f t="shared" si="24"/>
        <v>1</v>
      </c>
      <c r="AG32" s="253">
        <f t="shared" si="24"/>
        <v>1</v>
      </c>
      <c r="AH32" s="253">
        <f t="shared" si="24"/>
        <v>1</v>
      </c>
      <c r="AI32" s="253">
        <f t="shared" si="24"/>
        <v>1</v>
      </c>
      <c r="AJ32" s="253">
        <f t="shared" si="24"/>
        <v>1</v>
      </c>
      <c r="AK32" s="184">
        <f>B91</f>
        <v>1</v>
      </c>
    </row>
    <row r="33" spans="1:44">
      <c r="A33" t="s">
        <v>949</v>
      </c>
      <c r="B33" s="184">
        <f>B82</f>
        <v>1</v>
      </c>
      <c r="C33" s="253">
        <f t="shared" ref="C33:K33" si="25">B33+( $L33 - $B33 )/(COLUMN($L33)-COLUMN($B33))</f>
        <v>1</v>
      </c>
      <c r="D33" s="253">
        <f t="shared" si="25"/>
        <v>1</v>
      </c>
      <c r="E33" s="253">
        <f t="shared" si="25"/>
        <v>1</v>
      </c>
      <c r="F33" s="253">
        <f t="shared" si="25"/>
        <v>1</v>
      </c>
      <c r="G33" s="253">
        <f t="shared" si="25"/>
        <v>1</v>
      </c>
      <c r="H33" s="253">
        <f t="shared" si="25"/>
        <v>1</v>
      </c>
      <c r="I33" s="253">
        <f t="shared" si="25"/>
        <v>1</v>
      </c>
      <c r="J33" s="253">
        <f t="shared" si="25"/>
        <v>1</v>
      </c>
      <c r="K33" s="253">
        <f t="shared" si="25"/>
        <v>1</v>
      </c>
      <c r="L33" s="184">
        <f>B87</f>
        <v>1</v>
      </c>
      <c r="M33" s="253">
        <f t="shared" ref="M33:AJ33" si="26">L33+( $AK33 - $L33 )/(COLUMN($AK33)-COLUMN($L33))</f>
        <v>1</v>
      </c>
      <c r="N33" s="253">
        <f t="shared" si="26"/>
        <v>1</v>
      </c>
      <c r="O33" s="253">
        <f t="shared" si="26"/>
        <v>1</v>
      </c>
      <c r="P33" s="253">
        <f t="shared" si="26"/>
        <v>1</v>
      </c>
      <c r="Q33" s="253">
        <f t="shared" si="26"/>
        <v>1</v>
      </c>
      <c r="R33" s="253">
        <f t="shared" si="26"/>
        <v>1</v>
      </c>
      <c r="S33" s="253">
        <f t="shared" si="26"/>
        <v>1</v>
      </c>
      <c r="T33" s="253">
        <f t="shared" si="26"/>
        <v>1</v>
      </c>
      <c r="U33" s="253">
        <f t="shared" si="26"/>
        <v>1</v>
      </c>
      <c r="V33" s="253">
        <f t="shared" si="26"/>
        <v>1</v>
      </c>
      <c r="W33" s="253">
        <f t="shared" si="26"/>
        <v>1</v>
      </c>
      <c r="X33" s="253">
        <f t="shared" si="26"/>
        <v>1</v>
      </c>
      <c r="Y33" s="253">
        <f t="shared" si="26"/>
        <v>1</v>
      </c>
      <c r="Z33" s="253">
        <f t="shared" si="26"/>
        <v>1</v>
      </c>
      <c r="AA33" s="253">
        <f t="shared" si="26"/>
        <v>1</v>
      </c>
      <c r="AB33" s="253">
        <f t="shared" si="26"/>
        <v>1</v>
      </c>
      <c r="AC33" s="253">
        <f t="shared" si="26"/>
        <v>1</v>
      </c>
      <c r="AD33" s="253">
        <f t="shared" si="26"/>
        <v>1</v>
      </c>
      <c r="AE33" s="253">
        <f t="shared" si="26"/>
        <v>1</v>
      </c>
      <c r="AF33" s="253">
        <f t="shared" si="26"/>
        <v>1</v>
      </c>
      <c r="AG33" s="253">
        <f t="shared" si="26"/>
        <v>1</v>
      </c>
      <c r="AH33" s="253">
        <f t="shared" si="26"/>
        <v>1</v>
      </c>
      <c r="AI33" s="253">
        <f t="shared" si="26"/>
        <v>1</v>
      </c>
      <c r="AJ33" s="253">
        <f t="shared" si="26"/>
        <v>1</v>
      </c>
      <c r="AK33" s="184">
        <f>B92</f>
        <v>1</v>
      </c>
    </row>
    <row r="34" spans="1:44">
      <c r="A34" t="s">
        <v>950</v>
      </c>
      <c r="B34" s="184">
        <f>B83</f>
        <v>1</v>
      </c>
      <c r="C34" s="253">
        <f t="shared" ref="C34:K34" si="27">B34+( $L34 - $B34 )/(COLUMN($L34)-COLUMN($B34))</f>
        <v>1</v>
      </c>
      <c r="D34" s="253">
        <f t="shared" si="27"/>
        <v>1</v>
      </c>
      <c r="E34" s="253">
        <f t="shared" si="27"/>
        <v>1</v>
      </c>
      <c r="F34" s="253">
        <f t="shared" si="27"/>
        <v>1</v>
      </c>
      <c r="G34" s="253">
        <f t="shared" si="27"/>
        <v>1</v>
      </c>
      <c r="H34" s="253">
        <f t="shared" si="27"/>
        <v>1</v>
      </c>
      <c r="I34" s="253">
        <f t="shared" si="27"/>
        <v>1</v>
      </c>
      <c r="J34" s="253">
        <f t="shared" si="27"/>
        <v>1</v>
      </c>
      <c r="K34" s="253">
        <f t="shared" si="27"/>
        <v>1</v>
      </c>
      <c r="L34" s="184">
        <f>B88</f>
        <v>1</v>
      </c>
      <c r="M34" s="253">
        <f t="shared" ref="M34:AJ34" si="28">L34+( $AK34 - $L34 )/(COLUMN($AK34)-COLUMN($L34))</f>
        <v>1</v>
      </c>
      <c r="N34" s="253">
        <f t="shared" si="28"/>
        <v>1</v>
      </c>
      <c r="O34" s="253">
        <f t="shared" si="28"/>
        <v>1</v>
      </c>
      <c r="P34" s="253">
        <f t="shared" si="28"/>
        <v>1</v>
      </c>
      <c r="Q34" s="253">
        <f t="shared" si="28"/>
        <v>1</v>
      </c>
      <c r="R34" s="253">
        <f t="shared" si="28"/>
        <v>1</v>
      </c>
      <c r="S34" s="253">
        <f t="shared" si="28"/>
        <v>1</v>
      </c>
      <c r="T34" s="253">
        <f t="shared" si="28"/>
        <v>1</v>
      </c>
      <c r="U34" s="253">
        <f t="shared" si="28"/>
        <v>1</v>
      </c>
      <c r="V34" s="253">
        <f t="shared" si="28"/>
        <v>1</v>
      </c>
      <c r="W34" s="253">
        <f t="shared" si="28"/>
        <v>1</v>
      </c>
      <c r="X34" s="253">
        <f t="shared" si="28"/>
        <v>1</v>
      </c>
      <c r="Y34" s="253">
        <f t="shared" si="28"/>
        <v>1</v>
      </c>
      <c r="Z34" s="253">
        <f t="shared" si="28"/>
        <v>1</v>
      </c>
      <c r="AA34" s="253">
        <f t="shared" si="28"/>
        <v>1</v>
      </c>
      <c r="AB34" s="253">
        <f t="shared" si="28"/>
        <v>1</v>
      </c>
      <c r="AC34" s="253">
        <f t="shared" si="28"/>
        <v>1</v>
      </c>
      <c r="AD34" s="253">
        <f t="shared" si="28"/>
        <v>1</v>
      </c>
      <c r="AE34" s="253">
        <f t="shared" si="28"/>
        <v>1</v>
      </c>
      <c r="AF34" s="253">
        <f t="shared" si="28"/>
        <v>1</v>
      </c>
      <c r="AG34" s="253">
        <f t="shared" si="28"/>
        <v>1</v>
      </c>
      <c r="AH34" s="253">
        <f t="shared" si="28"/>
        <v>1</v>
      </c>
      <c r="AI34" s="253">
        <f t="shared" si="28"/>
        <v>1</v>
      </c>
      <c r="AJ34" s="253">
        <f t="shared" si="28"/>
        <v>1</v>
      </c>
      <c r="AK34" s="184">
        <f>B93</f>
        <v>1</v>
      </c>
    </row>
    <row r="35" spans="1:44">
      <c r="A35" t="s">
        <v>951</v>
      </c>
      <c r="B35" s="184">
        <f>B84</f>
        <v>1</v>
      </c>
      <c r="C35" s="253">
        <f t="shared" ref="C35:K35" si="29">B35+( $L35 - $B35 )/(COLUMN($L35)-COLUMN($B35))</f>
        <v>1</v>
      </c>
      <c r="D35" s="253">
        <f t="shared" si="29"/>
        <v>1</v>
      </c>
      <c r="E35" s="253">
        <f t="shared" si="29"/>
        <v>1</v>
      </c>
      <c r="F35" s="253">
        <f t="shared" si="29"/>
        <v>1</v>
      </c>
      <c r="G35" s="253">
        <f t="shared" si="29"/>
        <v>1</v>
      </c>
      <c r="H35" s="253">
        <f t="shared" si="29"/>
        <v>1</v>
      </c>
      <c r="I35" s="253">
        <f t="shared" si="29"/>
        <v>1</v>
      </c>
      <c r="J35" s="253">
        <f t="shared" si="29"/>
        <v>1</v>
      </c>
      <c r="K35" s="253">
        <f t="shared" si="29"/>
        <v>1</v>
      </c>
      <c r="L35" s="184">
        <f>B89</f>
        <v>1</v>
      </c>
      <c r="M35" s="253">
        <f t="shared" ref="M35:AJ35" si="30">L35+( $AK35 - $L35 )/(COLUMN($AK35)-COLUMN($L35))</f>
        <v>1</v>
      </c>
      <c r="N35" s="253">
        <f t="shared" si="30"/>
        <v>1</v>
      </c>
      <c r="O35" s="253">
        <f t="shared" si="30"/>
        <v>1</v>
      </c>
      <c r="P35" s="253">
        <f t="shared" si="30"/>
        <v>1</v>
      </c>
      <c r="Q35" s="253">
        <f t="shared" si="30"/>
        <v>1</v>
      </c>
      <c r="R35" s="253">
        <f t="shared" si="30"/>
        <v>1</v>
      </c>
      <c r="S35" s="253">
        <f t="shared" si="30"/>
        <v>1</v>
      </c>
      <c r="T35" s="253">
        <f t="shared" si="30"/>
        <v>1</v>
      </c>
      <c r="U35" s="253">
        <f t="shared" si="30"/>
        <v>1</v>
      </c>
      <c r="V35" s="253">
        <f t="shared" si="30"/>
        <v>1</v>
      </c>
      <c r="W35" s="253">
        <f t="shared" si="30"/>
        <v>1</v>
      </c>
      <c r="X35" s="253">
        <f t="shared" si="30"/>
        <v>1</v>
      </c>
      <c r="Y35" s="253">
        <f t="shared" si="30"/>
        <v>1</v>
      </c>
      <c r="Z35" s="253">
        <f t="shared" si="30"/>
        <v>1</v>
      </c>
      <c r="AA35" s="253">
        <f t="shared" si="30"/>
        <v>1</v>
      </c>
      <c r="AB35" s="253">
        <f t="shared" si="30"/>
        <v>1</v>
      </c>
      <c r="AC35" s="253">
        <f t="shared" si="30"/>
        <v>1</v>
      </c>
      <c r="AD35" s="253">
        <f t="shared" si="30"/>
        <v>1</v>
      </c>
      <c r="AE35" s="253">
        <f t="shared" si="30"/>
        <v>1</v>
      </c>
      <c r="AF35" s="253">
        <f t="shared" si="30"/>
        <v>1</v>
      </c>
      <c r="AG35" s="253">
        <f t="shared" si="30"/>
        <v>1</v>
      </c>
      <c r="AH35" s="253">
        <f t="shared" si="30"/>
        <v>1</v>
      </c>
      <c r="AI35" s="253">
        <f t="shared" si="30"/>
        <v>1</v>
      </c>
      <c r="AJ35" s="253">
        <f t="shared" si="30"/>
        <v>1</v>
      </c>
      <c r="AK35" s="184">
        <f>B94</f>
        <v>1</v>
      </c>
    </row>
    <row r="36" spans="1:44">
      <c r="A36" t="s">
        <v>952</v>
      </c>
      <c r="B36" s="184">
        <f>B95</f>
        <v>1</v>
      </c>
      <c r="C36" s="253">
        <f t="shared" ref="C36:K36" si="31">B36+( $L36 - $B36 )/(COLUMN($L36)-COLUMN($B36))</f>
        <v>1</v>
      </c>
      <c r="D36" s="253">
        <f t="shared" si="31"/>
        <v>1</v>
      </c>
      <c r="E36" s="253">
        <f t="shared" si="31"/>
        <v>1</v>
      </c>
      <c r="F36" s="253">
        <f t="shared" si="31"/>
        <v>1</v>
      </c>
      <c r="G36" s="253">
        <f t="shared" si="31"/>
        <v>1</v>
      </c>
      <c r="H36" s="253">
        <f t="shared" si="31"/>
        <v>1</v>
      </c>
      <c r="I36" s="253">
        <f t="shared" si="31"/>
        <v>1</v>
      </c>
      <c r="J36" s="253">
        <f t="shared" si="31"/>
        <v>1</v>
      </c>
      <c r="K36" s="253">
        <f t="shared" si="31"/>
        <v>1</v>
      </c>
      <c r="L36" s="184">
        <f>B98</f>
        <v>1</v>
      </c>
      <c r="M36" s="253">
        <f t="shared" ref="M36:AJ36" si="32">L36+( $AK36 - $L36 )/(COLUMN($AK36)-COLUMN($L36))</f>
        <v>1</v>
      </c>
      <c r="N36" s="253">
        <f t="shared" si="32"/>
        <v>1</v>
      </c>
      <c r="O36" s="253">
        <f t="shared" si="32"/>
        <v>1</v>
      </c>
      <c r="P36" s="253">
        <f t="shared" si="32"/>
        <v>1</v>
      </c>
      <c r="Q36" s="253">
        <f t="shared" si="32"/>
        <v>1</v>
      </c>
      <c r="R36" s="253">
        <f t="shared" si="32"/>
        <v>1</v>
      </c>
      <c r="S36" s="253">
        <f t="shared" si="32"/>
        <v>1</v>
      </c>
      <c r="T36" s="253">
        <f t="shared" si="32"/>
        <v>1</v>
      </c>
      <c r="U36" s="253">
        <f t="shared" si="32"/>
        <v>1</v>
      </c>
      <c r="V36" s="253">
        <f t="shared" si="32"/>
        <v>1</v>
      </c>
      <c r="W36" s="253">
        <f t="shared" si="32"/>
        <v>1</v>
      </c>
      <c r="X36" s="253">
        <f t="shared" si="32"/>
        <v>1</v>
      </c>
      <c r="Y36" s="253">
        <f t="shared" si="32"/>
        <v>1</v>
      </c>
      <c r="Z36" s="253">
        <f t="shared" si="32"/>
        <v>1</v>
      </c>
      <c r="AA36" s="253">
        <f t="shared" si="32"/>
        <v>1</v>
      </c>
      <c r="AB36" s="253">
        <f t="shared" si="32"/>
        <v>1</v>
      </c>
      <c r="AC36" s="253">
        <f t="shared" si="32"/>
        <v>1</v>
      </c>
      <c r="AD36" s="253">
        <f t="shared" si="32"/>
        <v>1</v>
      </c>
      <c r="AE36" s="253">
        <f t="shared" si="32"/>
        <v>1</v>
      </c>
      <c r="AF36" s="253">
        <f t="shared" si="32"/>
        <v>1</v>
      </c>
      <c r="AG36" s="253">
        <f t="shared" si="32"/>
        <v>1</v>
      </c>
      <c r="AH36" s="253">
        <f t="shared" si="32"/>
        <v>1</v>
      </c>
      <c r="AI36" s="253">
        <f t="shared" si="32"/>
        <v>1</v>
      </c>
      <c r="AJ36" s="253">
        <f t="shared" si="32"/>
        <v>1</v>
      </c>
      <c r="AK36" s="184">
        <f>B101</f>
        <v>1</v>
      </c>
    </row>
    <row r="37" spans="1:44">
      <c r="A37" t="s">
        <v>953</v>
      </c>
      <c r="B37" s="184">
        <f>B96</f>
        <v>1</v>
      </c>
      <c r="C37" s="253">
        <f t="shared" ref="C37:K37" si="33">B37+( $L37 - $B37 )/(COLUMN($L37)-COLUMN($B37))</f>
        <v>1</v>
      </c>
      <c r="D37" s="253">
        <f t="shared" si="33"/>
        <v>1</v>
      </c>
      <c r="E37" s="253">
        <f t="shared" si="33"/>
        <v>1</v>
      </c>
      <c r="F37" s="253">
        <f t="shared" si="33"/>
        <v>1</v>
      </c>
      <c r="G37" s="253">
        <f t="shared" si="33"/>
        <v>1</v>
      </c>
      <c r="H37" s="253">
        <f t="shared" si="33"/>
        <v>1</v>
      </c>
      <c r="I37" s="253">
        <f t="shared" si="33"/>
        <v>1</v>
      </c>
      <c r="J37" s="253">
        <f t="shared" si="33"/>
        <v>1</v>
      </c>
      <c r="K37" s="253">
        <f t="shared" si="33"/>
        <v>1</v>
      </c>
      <c r="L37" s="184">
        <f>B99</f>
        <v>1</v>
      </c>
      <c r="M37" s="253">
        <f t="shared" ref="M37:AJ37" si="34">L37+( $AK37 - $L37 )/(COLUMN($AK37)-COLUMN($L37))</f>
        <v>1</v>
      </c>
      <c r="N37" s="253">
        <f t="shared" si="34"/>
        <v>1</v>
      </c>
      <c r="O37" s="253">
        <f t="shared" si="34"/>
        <v>1</v>
      </c>
      <c r="P37" s="253">
        <f t="shared" si="34"/>
        <v>1</v>
      </c>
      <c r="Q37" s="253">
        <f t="shared" si="34"/>
        <v>1</v>
      </c>
      <c r="R37" s="253">
        <f t="shared" si="34"/>
        <v>1</v>
      </c>
      <c r="S37" s="253">
        <f t="shared" si="34"/>
        <v>1</v>
      </c>
      <c r="T37" s="253">
        <f t="shared" si="34"/>
        <v>1</v>
      </c>
      <c r="U37" s="253">
        <f t="shared" si="34"/>
        <v>1</v>
      </c>
      <c r="V37" s="253">
        <f t="shared" si="34"/>
        <v>1</v>
      </c>
      <c r="W37" s="253">
        <f t="shared" si="34"/>
        <v>1</v>
      </c>
      <c r="X37" s="253">
        <f t="shared" si="34"/>
        <v>1</v>
      </c>
      <c r="Y37" s="253">
        <f t="shared" si="34"/>
        <v>1</v>
      </c>
      <c r="Z37" s="253">
        <f t="shared" si="34"/>
        <v>1</v>
      </c>
      <c r="AA37" s="253">
        <f t="shared" si="34"/>
        <v>1</v>
      </c>
      <c r="AB37" s="253">
        <f t="shared" si="34"/>
        <v>1</v>
      </c>
      <c r="AC37" s="253">
        <f t="shared" si="34"/>
        <v>1</v>
      </c>
      <c r="AD37" s="253">
        <f t="shared" si="34"/>
        <v>1</v>
      </c>
      <c r="AE37" s="253">
        <f t="shared" si="34"/>
        <v>1</v>
      </c>
      <c r="AF37" s="253">
        <f t="shared" si="34"/>
        <v>1</v>
      </c>
      <c r="AG37" s="253">
        <f t="shared" si="34"/>
        <v>1</v>
      </c>
      <c r="AH37" s="253">
        <f t="shared" si="34"/>
        <v>1</v>
      </c>
      <c r="AI37" s="253">
        <f t="shared" si="34"/>
        <v>1</v>
      </c>
      <c r="AJ37" s="253">
        <f t="shared" si="34"/>
        <v>1</v>
      </c>
      <c r="AK37" s="184">
        <f>B102</f>
        <v>1</v>
      </c>
    </row>
    <row r="38" spans="1:44">
      <c r="A38" t="s">
        <v>954</v>
      </c>
      <c r="B38" s="184">
        <f>B97</f>
        <v>1</v>
      </c>
      <c r="C38" s="253">
        <f t="shared" ref="C38:K38" si="35">B38+( $L38 - $B38 )/(COLUMN($L38)-COLUMN($B38))</f>
        <v>1</v>
      </c>
      <c r="D38" s="253">
        <f t="shared" si="35"/>
        <v>1</v>
      </c>
      <c r="E38" s="253">
        <f t="shared" si="35"/>
        <v>1</v>
      </c>
      <c r="F38" s="253">
        <f t="shared" si="35"/>
        <v>1</v>
      </c>
      <c r="G38" s="253">
        <f t="shared" si="35"/>
        <v>1</v>
      </c>
      <c r="H38" s="253">
        <f t="shared" si="35"/>
        <v>1</v>
      </c>
      <c r="I38" s="253">
        <f t="shared" si="35"/>
        <v>1</v>
      </c>
      <c r="J38" s="253">
        <f t="shared" si="35"/>
        <v>1</v>
      </c>
      <c r="K38" s="253">
        <f t="shared" si="35"/>
        <v>1</v>
      </c>
      <c r="L38" s="184">
        <f>B100</f>
        <v>1</v>
      </c>
      <c r="M38" s="253">
        <f t="shared" ref="M38:AJ38" si="36">L38+( $AK38 - $L38 )/(COLUMN($AK38)-COLUMN($L38))</f>
        <v>1</v>
      </c>
      <c r="N38" s="253">
        <f t="shared" si="36"/>
        <v>1</v>
      </c>
      <c r="O38" s="253">
        <f t="shared" si="36"/>
        <v>1</v>
      </c>
      <c r="P38" s="253">
        <f t="shared" si="36"/>
        <v>1</v>
      </c>
      <c r="Q38" s="253">
        <f t="shared" si="36"/>
        <v>1</v>
      </c>
      <c r="R38" s="253">
        <f t="shared" si="36"/>
        <v>1</v>
      </c>
      <c r="S38" s="253">
        <f t="shared" si="36"/>
        <v>1</v>
      </c>
      <c r="T38" s="253">
        <f t="shared" si="36"/>
        <v>1</v>
      </c>
      <c r="U38" s="253">
        <f t="shared" si="36"/>
        <v>1</v>
      </c>
      <c r="V38" s="253">
        <f t="shared" si="36"/>
        <v>1</v>
      </c>
      <c r="W38" s="253">
        <f t="shared" si="36"/>
        <v>1</v>
      </c>
      <c r="X38" s="253">
        <f t="shared" si="36"/>
        <v>1</v>
      </c>
      <c r="Y38" s="253">
        <f t="shared" si="36"/>
        <v>1</v>
      </c>
      <c r="Z38" s="253">
        <f t="shared" si="36"/>
        <v>1</v>
      </c>
      <c r="AA38" s="253">
        <f t="shared" si="36"/>
        <v>1</v>
      </c>
      <c r="AB38" s="253">
        <f t="shared" si="36"/>
        <v>1</v>
      </c>
      <c r="AC38" s="253">
        <f t="shared" si="36"/>
        <v>1</v>
      </c>
      <c r="AD38" s="253">
        <f t="shared" si="36"/>
        <v>1</v>
      </c>
      <c r="AE38" s="253">
        <f t="shared" si="36"/>
        <v>1</v>
      </c>
      <c r="AF38" s="253">
        <f t="shared" si="36"/>
        <v>1</v>
      </c>
      <c r="AG38" s="253">
        <f t="shared" si="36"/>
        <v>1</v>
      </c>
      <c r="AH38" s="253">
        <f t="shared" si="36"/>
        <v>1</v>
      </c>
      <c r="AI38" s="253">
        <f t="shared" si="36"/>
        <v>1</v>
      </c>
      <c r="AJ38" s="253">
        <f t="shared" si="36"/>
        <v>1</v>
      </c>
      <c r="AK38" s="184">
        <f>B103</f>
        <v>1</v>
      </c>
    </row>
    <row r="39" spans="1:44">
      <c r="A39" t="s">
        <v>955</v>
      </c>
      <c r="B39" s="184">
        <f>B104</f>
        <v>1</v>
      </c>
      <c r="C39" s="253">
        <f t="shared" ref="C39:K39" si="37">B39+( $L39 - $B39 )/(COLUMN($L39)-COLUMN($B39))</f>
        <v>1</v>
      </c>
      <c r="D39" s="253">
        <f t="shared" si="37"/>
        <v>1</v>
      </c>
      <c r="E39" s="253">
        <f t="shared" si="37"/>
        <v>1</v>
      </c>
      <c r="F39" s="253">
        <f t="shared" si="37"/>
        <v>1</v>
      </c>
      <c r="G39" s="253">
        <f t="shared" si="37"/>
        <v>1</v>
      </c>
      <c r="H39" s="253">
        <f t="shared" si="37"/>
        <v>1</v>
      </c>
      <c r="I39" s="253">
        <f t="shared" si="37"/>
        <v>1</v>
      </c>
      <c r="J39" s="253">
        <f t="shared" si="37"/>
        <v>1</v>
      </c>
      <c r="K39" s="253">
        <f t="shared" si="37"/>
        <v>1</v>
      </c>
      <c r="L39" s="184">
        <f>B107</f>
        <v>1</v>
      </c>
      <c r="M39" s="253">
        <f t="shared" ref="M39:AJ39" si="38">L39+( $AK39 - $L39 )/(COLUMN($AK39)-COLUMN($L39))</f>
        <v>1</v>
      </c>
      <c r="N39" s="253">
        <f t="shared" si="38"/>
        <v>1</v>
      </c>
      <c r="O39" s="253">
        <f t="shared" si="38"/>
        <v>1</v>
      </c>
      <c r="P39" s="253">
        <f t="shared" si="38"/>
        <v>1</v>
      </c>
      <c r="Q39" s="253">
        <f t="shared" si="38"/>
        <v>1</v>
      </c>
      <c r="R39" s="253">
        <f t="shared" si="38"/>
        <v>1</v>
      </c>
      <c r="S39" s="253">
        <f t="shared" si="38"/>
        <v>1</v>
      </c>
      <c r="T39" s="253">
        <f t="shared" si="38"/>
        <v>1</v>
      </c>
      <c r="U39" s="253">
        <f t="shared" si="38"/>
        <v>1</v>
      </c>
      <c r="V39" s="253">
        <f t="shared" si="38"/>
        <v>1</v>
      </c>
      <c r="W39" s="253">
        <f t="shared" si="38"/>
        <v>1</v>
      </c>
      <c r="X39" s="253">
        <f t="shared" si="38"/>
        <v>1</v>
      </c>
      <c r="Y39" s="253">
        <f t="shared" si="38"/>
        <v>1</v>
      </c>
      <c r="Z39" s="253">
        <f t="shared" si="38"/>
        <v>1</v>
      </c>
      <c r="AA39" s="253">
        <f t="shared" si="38"/>
        <v>1</v>
      </c>
      <c r="AB39" s="253">
        <f t="shared" si="38"/>
        <v>1</v>
      </c>
      <c r="AC39" s="253">
        <f t="shared" si="38"/>
        <v>1</v>
      </c>
      <c r="AD39" s="253">
        <f t="shared" si="38"/>
        <v>1</v>
      </c>
      <c r="AE39" s="253">
        <f t="shared" si="38"/>
        <v>1</v>
      </c>
      <c r="AF39" s="253">
        <f t="shared" si="38"/>
        <v>1</v>
      </c>
      <c r="AG39" s="253">
        <f t="shared" si="38"/>
        <v>1</v>
      </c>
      <c r="AH39" s="253">
        <f t="shared" si="38"/>
        <v>1</v>
      </c>
      <c r="AI39" s="253">
        <f t="shared" si="38"/>
        <v>1</v>
      </c>
      <c r="AJ39" s="253">
        <f t="shared" si="38"/>
        <v>1</v>
      </c>
      <c r="AK39" s="184">
        <f>B110</f>
        <v>1</v>
      </c>
    </row>
    <row r="40" spans="1:44">
      <c r="A40" t="s">
        <v>956</v>
      </c>
      <c r="B40" s="184">
        <f>B105</f>
        <v>1</v>
      </c>
      <c r="C40" s="253">
        <f t="shared" ref="C40:K40" si="39">B40+( $L40 - $B40 )/(COLUMN($L40)-COLUMN($B40))</f>
        <v>1</v>
      </c>
      <c r="D40" s="253">
        <f t="shared" si="39"/>
        <v>1</v>
      </c>
      <c r="E40" s="253">
        <f t="shared" si="39"/>
        <v>1</v>
      </c>
      <c r="F40" s="253">
        <f t="shared" si="39"/>
        <v>1</v>
      </c>
      <c r="G40" s="253">
        <f t="shared" si="39"/>
        <v>1</v>
      </c>
      <c r="H40" s="253">
        <f t="shared" si="39"/>
        <v>1</v>
      </c>
      <c r="I40" s="253">
        <f t="shared" si="39"/>
        <v>1</v>
      </c>
      <c r="J40" s="253">
        <f t="shared" si="39"/>
        <v>1</v>
      </c>
      <c r="K40" s="253">
        <f t="shared" si="39"/>
        <v>1</v>
      </c>
      <c r="L40" s="184">
        <f>B108</f>
        <v>1</v>
      </c>
      <c r="M40" s="253">
        <f t="shared" ref="M40:AJ40" si="40">L40+( $AK40 - $L40 )/(COLUMN($AK40)-COLUMN($L40))</f>
        <v>1</v>
      </c>
      <c r="N40" s="253">
        <f t="shared" si="40"/>
        <v>1</v>
      </c>
      <c r="O40" s="253">
        <f t="shared" si="40"/>
        <v>1</v>
      </c>
      <c r="P40" s="253">
        <f t="shared" si="40"/>
        <v>1</v>
      </c>
      <c r="Q40" s="253">
        <f t="shared" si="40"/>
        <v>1</v>
      </c>
      <c r="R40" s="253">
        <f t="shared" si="40"/>
        <v>1</v>
      </c>
      <c r="S40" s="253">
        <f t="shared" si="40"/>
        <v>1</v>
      </c>
      <c r="T40" s="253">
        <f t="shared" si="40"/>
        <v>1</v>
      </c>
      <c r="U40" s="253">
        <f t="shared" si="40"/>
        <v>1</v>
      </c>
      <c r="V40" s="253">
        <f t="shared" si="40"/>
        <v>1</v>
      </c>
      <c r="W40" s="253">
        <f t="shared" si="40"/>
        <v>1</v>
      </c>
      <c r="X40" s="253">
        <f t="shared" si="40"/>
        <v>1</v>
      </c>
      <c r="Y40" s="253">
        <f t="shared" si="40"/>
        <v>1</v>
      </c>
      <c r="Z40" s="253">
        <f t="shared" si="40"/>
        <v>1</v>
      </c>
      <c r="AA40" s="253">
        <f t="shared" si="40"/>
        <v>1</v>
      </c>
      <c r="AB40" s="253">
        <f t="shared" si="40"/>
        <v>1</v>
      </c>
      <c r="AC40" s="253">
        <f t="shared" si="40"/>
        <v>1</v>
      </c>
      <c r="AD40" s="253">
        <f t="shared" si="40"/>
        <v>1</v>
      </c>
      <c r="AE40" s="253">
        <f t="shared" si="40"/>
        <v>1</v>
      </c>
      <c r="AF40" s="253">
        <f t="shared" si="40"/>
        <v>1</v>
      </c>
      <c r="AG40" s="253">
        <f t="shared" si="40"/>
        <v>1</v>
      </c>
      <c r="AH40" s="253">
        <f t="shared" si="40"/>
        <v>1</v>
      </c>
      <c r="AI40" s="253">
        <f t="shared" si="40"/>
        <v>1</v>
      </c>
      <c r="AJ40" s="253">
        <f t="shared" si="40"/>
        <v>1</v>
      </c>
      <c r="AK40" s="184">
        <f>B111</f>
        <v>1</v>
      </c>
    </row>
    <row r="41" spans="1:44">
      <c r="A41" t="s">
        <v>957</v>
      </c>
      <c r="B41" s="184">
        <f>B106</f>
        <v>1</v>
      </c>
      <c r="C41" s="253">
        <f t="shared" ref="C41:K41" si="41">B41+( $L41 - $B41 )/(COLUMN($L41)-COLUMN($B41))</f>
        <v>1</v>
      </c>
      <c r="D41" s="253">
        <f t="shared" si="41"/>
        <v>1</v>
      </c>
      <c r="E41" s="253">
        <f t="shared" si="41"/>
        <v>1</v>
      </c>
      <c r="F41" s="253">
        <f t="shared" si="41"/>
        <v>1</v>
      </c>
      <c r="G41" s="253">
        <f t="shared" si="41"/>
        <v>1</v>
      </c>
      <c r="H41" s="253">
        <f t="shared" si="41"/>
        <v>1</v>
      </c>
      <c r="I41" s="253">
        <f t="shared" si="41"/>
        <v>1</v>
      </c>
      <c r="J41" s="253">
        <f t="shared" si="41"/>
        <v>1</v>
      </c>
      <c r="K41" s="253">
        <f t="shared" si="41"/>
        <v>1</v>
      </c>
      <c r="L41" s="184">
        <f>B109</f>
        <v>1</v>
      </c>
      <c r="M41" s="253">
        <f t="shared" ref="M41:AJ41" si="42">L41+( $AK41 - $L41 )/(COLUMN($AK41)-COLUMN($L41))</f>
        <v>1</v>
      </c>
      <c r="N41" s="253">
        <f t="shared" si="42"/>
        <v>1</v>
      </c>
      <c r="O41" s="253">
        <f t="shared" si="42"/>
        <v>1</v>
      </c>
      <c r="P41" s="253">
        <f t="shared" si="42"/>
        <v>1</v>
      </c>
      <c r="Q41" s="253">
        <f t="shared" si="42"/>
        <v>1</v>
      </c>
      <c r="R41" s="253">
        <f t="shared" si="42"/>
        <v>1</v>
      </c>
      <c r="S41" s="253">
        <f t="shared" si="42"/>
        <v>1</v>
      </c>
      <c r="T41" s="253">
        <f t="shared" si="42"/>
        <v>1</v>
      </c>
      <c r="U41" s="253">
        <f t="shared" si="42"/>
        <v>1</v>
      </c>
      <c r="V41" s="253">
        <f t="shared" si="42"/>
        <v>1</v>
      </c>
      <c r="W41" s="253">
        <f t="shared" si="42"/>
        <v>1</v>
      </c>
      <c r="X41" s="253">
        <f t="shared" si="42"/>
        <v>1</v>
      </c>
      <c r="Y41" s="253">
        <f t="shared" si="42"/>
        <v>1</v>
      </c>
      <c r="Z41" s="253">
        <f t="shared" si="42"/>
        <v>1</v>
      </c>
      <c r="AA41" s="253">
        <f t="shared" si="42"/>
        <v>1</v>
      </c>
      <c r="AB41" s="253">
        <f t="shared" si="42"/>
        <v>1</v>
      </c>
      <c r="AC41" s="253">
        <f t="shared" si="42"/>
        <v>1</v>
      </c>
      <c r="AD41" s="253">
        <f t="shared" si="42"/>
        <v>1</v>
      </c>
      <c r="AE41" s="253">
        <f t="shared" si="42"/>
        <v>1</v>
      </c>
      <c r="AF41" s="253">
        <f t="shared" si="42"/>
        <v>1</v>
      </c>
      <c r="AG41" s="253">
        <f t="shared" si="42"/>
        <v>1</v>
      </c>
      <c r="AH41" s="253">
        <f t="shared" si="42"/>
        <v>1</v>
      </c>
      <c r="AI41" s="253">
        <f t="shared" si="42"/>
        <v>1</v>
      </c>
      <c r="AJ41" s="253">
        <f t="shared" si="42"/>
        <v>1</v>
      </c>
      <c r="AK41" s="184">
        <f>B112</f>
        <v>1</v>
      </c>
    </row>
    <row r="42" spans="1:44">
      <c r="L42" s="184"/>
    </row>
    <row r="43" spans="1:44">
      <c r="L43" s="184"/>
    </row>
    <row r="44" spans="1:44" s="462" customFormat="1">
      <c r="A44" s="462" t="s">
        <v>958</v>
      </c>
    </row>
    <row r="45" spans="1:44">
      <c r="A45" s="53" t="s">
        <v>959</v>
      </c>
      <c r="B45" t="s">
        <v>960</v>
      </c>
    </row>
    <row r="46" spans="1:44">
      <c r="B46" t="str">
        <f>Dashboard!D5</f>
        <v>Inner London</v>
      </c>
      <c r="C46" t="s">
        <v>122</v>
      </c>
      <c r="D46" t="s">
        <v>626</v>
      </c>
      <c r="E46" t="s">
        <v>627</v>
      </c>
      <c r="F46" t="s">
        <v>628</v>
      </c>
      <c r="G46" t="s">
        <v>629</v>
      </c>
      <c r="H46" t="s">
        <v>630</v>
      </c>
      <c r="I46" t="s">
        <v>631</v>
      </c>
      <c r="J46" t="s">
        <v>632</v>
      </c>
      <c r="K46" t="s">
        <v>634</v>
      </c>
      <c r="L46" t="s">
        <v>635</v>
      </c>
      <c r="M46" t="s">
        <v>636</v>
      </c>
      <c r="N46" t="s">
        <v>637</v>
      </c>
      <c r="O46" t="s">
        <v>638</v>
      </c>
      <c r="P46" t="s">
        <v>639</v>
      </c>
      <c r="Q46" t="s">
        <v>640</v>
      </c>
      <c r="R46" t="s">
        <v>641</v>
      </c>
      <c r="S46" t="s">
        <v>642</v>
      </c>
      <c r="T46" t="s">
        <v>643</v>
      </c>
      <c r="U46" t="s">
        <v>644</v>
      </c>
      <c r="V46" t="s">
        <v>645</v>
      </c>
      <c r="W46" t="s">
        <v>646</v>
      </c>
      <c r="X46" t="s">
        <v>648</v>
      </c>
      <c r="Y46" t="s">
        <v>649</v>
      </c>
      <c r="Z46" t="s">
        <v>650</v>
      </c>
      <c r="AA46" t="s">
        <v>651</v>
      </c>
      <c r="AB46" t="s">
        <v>652</v>
      </c>
      <c r="AC46" t="s">
        <v>653</v>
      </c>
      <c r="AD46" t="s">
        <v>654</v>
      </c>
      <c r="AE46" t="s">
        <v>655</v>
      </c>
      <c r="AF46" t="s">
        <v>656</v>
      </c>
      <c r="AG46" t="s">
        <v>657</v>
      </c>
      <c r="AH46" t="s">
        <v>658</v>
      </c>
      <c r="AI46" t="s">
        <v>659</v>
      </c>
      <c r="AJ46" t="s">
        <v>633</v>
      </c>
      <c r="AK46" t="s">
        <v>660</v>
      </c>
      <c r="AL46" t="s">
        <v>661</v>
      </c>
      <c r="AQ46" t="s">
        <v>961</v>
      </c>
      <c r="AR46" t="s">
        <v>962</v>
      </c>
    </row>
    <row r="47" spans="1:44">
      <c r="A47" s="250" t="s">
        <v>963</v>
      </c>
      <c r="B47" s="251">
        <f>IFERROR(INDEX(C47:AL47,MATCH($B$46,$C$46:$AL$46,0)),0)</f>
        <v>0.28143521230741719</v>
      </c>
      <c r="C47" s="297">
        <v>1</v>
      </c>
      <c r="D47" s="297">
        <v>1.8899091800174316E-2</v>
      </c>
      <c r="E47" s="297">
        <v>5.3801752486556505E-2</v>
      </c>
      <c r="F47" s="297">
        <v>3.1282933320526826E-2</v>
      </c>
      <c r="G47" s="297">
        <v>3.7071315665649959E-2</v>
      </c>
      <c r="H47" s="297">
        <v>5.0173360171122366E-2</v>
      </c>
      <c r="I47" s="297">
        <v>2.386701573646427E-2</v>
      </c>
      <c r="J47" s="297">
        <v>1.0080231817186332E-3</v>
      </c>
      <c r="K47" s="297">
        <v>5.0369442248001564E-2</v>
      </c>
      <c r="L47" s="297">
        <v>4.0784027830577406E-2</v>
      </c>
      <c r="M47" s="297">
        <v>3.9194192903169674E-2</v>
      </c>
      <c r="N47" s="297">
        <v>2.8237879133345599E-2</v>
      </c>
      <c r="O47" s="297">
        <v>2.3790936990348815E-2</v>
      </c>
      <c r="P47" s="297">
        <v>2.128796178289534E-2</v>
      </c>
      <c r="Q47" s="297">
        <v>3.0361592880679713E-2</v>
      </c>
      <c r="R47" s="297">
        <v>3.4140886941119997E-2</v>
      </c>
      <c r="S47" s="297">
        <v>3.38632418116811E-2</v>
      </c>
      <c r="T47" s="297">
        <v>3.5992886890667312E-2</v>
      </c>
      <c r="U47" s="297">
        <v>2.9425419136921302E-2</v>
      </c>
      <c r="V47" s="297">
        <v>2.1826112719000076E-2</v>
      </c>
      <c r="W47" s="297">
        <v>2.2778118507900427E-2</v>
      </c>
      <c r="X47" s="297">
        <v>2.2451542813532108E-2</v>
      </c>
      <c r="Y47" s="297">
        <v>3.347460425793735E-2</v>
      </c>
      <c r="Z47" s="297">
        <v>3.2118891838681822E-2</v>
      </c>
      <c r="AA47" s="297">
        <v>2.6181871793101129E-2</v>
      </c>
      <c r="AB47" s="297">
        <v>2.7313029841098541E-2</v>
      </c>
      <c r="AC47" s="297">
        <v>3.5188254567645579E-2</v>
      </c>
      <c r="AD47" s="297">
        <v>2.9336585305918941E-2</v>
      </c>
      <c r="AE47" s="297">
        <v>2.6967361579571195E-2</v>
      </c>
      <c r="AF47" s="297">
        <v>2.6478902587264912E-2</v>
      </c>
      <c r="AG47" s="297">
        <v>1.9833019939808322E-2</v>
      </c>
      <c r="AH47" s="297">
        <v>2.9215776455262601E-2</v>
      </c>
      <c r="AI47" s="297">
        <v>3.7038680241910808E-2</v>
      </c>
      <c r="AJ47" s="297">
        <v>2.624528663974536E-2</v>
      </c>
      <c r="AK47" s="184">
        <f>SUM(I47,J47,N47,O47,P47,V47,W47,Y47,Z47,AE47,AG47,AJ47)</f>
        <v>0.28143521230741719</v>
      </c>
      <c r="AL47" s="184">
        <f>SUM(D47:H47,K47:M47,Q47:U47,X47,AA47:AD47,AF47,AH47:AI47)</f>
        <v>0.71856478769258281</v>
      </c>
      <c r="AP47" t="s">
        <v>632</v>
      </c>
      <c r="AQ47">
        <v>1.0584599413649694E-3</v>
      </c>
      <c r="AR47">
        <v>6.1927276817004148E-2</v>
      </c>
    </row>
    <row r="48" spans="1:44">
      <c r="A48" s="250" t="s">
        <v>964</v>
      </c>
      <c r="B48" s="251">
        <f t="shared" ref="B48:B111" si="43">IFERROR(INDEX(C48:AL48,MATCH($B$46,$C$46:$AL$46,0)),0)</f>
        <v>0.28986931541096644</v>
      </c>
      <c r="C48" s="297">
        <v>1</v>
      </c>
      <c r="D48" s="297">
        <v>1.9063991191922126E-2</v>
      </c>
      <c r="E48" s="297">
        <v>5.3398327412100023E-2</v>
      </c>
      <c r="F48" s="297">
        <v>3.0408041628462175E-2</v>
      </c>
      <c r="G48" s="297">
        <v>3.7031263971943056E-2</v>
      </c>
      <c r="H48" s="297">
        <v>4.848058360889837E-2</v>
      </c>
      <c r="I48" s="297">
        <v>2.4077122808320941E-2</v>
      </c>
      <c r="J48" s="297">
        <v>1.5111470216799285E-3</v>
      </c>
      <c r="K48" s="297">
        <v>4.958733211426631E-2</v>
      </c>
      <c r="L48" s="297">
        <v>4.1281563887203422E-2</v>
      </c>
      <c r="M48" s="297">
        <v>3.802064057014954E-2</v>
      </c>
      <c r="N48" s="297">
        <v>2.8743067569019586E-2</v>
      </c>
      <c r="O48" s="297">
        <v>2.4342981363668647E-2</v>
      </c>
      <c r="P48" s="297">
        <v>2.1958742940671051E-2</v>
      </c>
      <c r="Q48" s="297">
        <v>3.0123981837422431E-2</v>
      </c>
      <c r="R48" s="297">
        <v>3.3466072631111357E-2</v>
      </c>
      <c r="S48" s="297">
        <v>3.3212311067989921E-2</v>
      </c>
      <c r="T48" s="297">
        <v>3.5603392617401801E-2</v>
      </c>
      <c r="U48" s="297">
        <v>2.9402844765241121E-2</v>
      </c>
      <c r="V48" s="297">
        <v>2.2267915444176885E-2</v>
      </c>
      <c r="W48" s="297">
        <v>2.2945453650967982E-2</v>
      </c>
      <c r="X48" s="297">
        <v>2.1905951547973212E-2</v>
      </c>
      <c r="Y48" s="297">
        <v>3.3110866700422972E-2</v>
      </c>
      <c r="Z48" s="297">
        <v>3.1833546676422124E-2</v>
      </c>
      <c r="AA48" s="297">
        <v>2.560176403913934E-2</v>
      </c>
      <c r="AB48" s="297">
        <v>2.885319836507701E-2</v>
      </c>
      <c r="AC48" s="297">
        <v>3.4631525353016439E-2</v>
      </c>
      <c r="AD48" s="297">
        <v>2.8339257186508586E-2</v>
      </c>
      <c r="AE48" s="297">
        <v>2.7892080205017791E-2</v>
      </c>
      <c r="AF48" s="297">
        <v>2.5697831225360335E-2</v>
      </c>
      <c r="AG48" s="297">
        <v>2.3103989774974059E-2</v>
      </c>
      <c r="AH48" s="297">
        <v>2.8844428158142383E-2</v>
      </c>
      <c r="AI48" s="297">
        <v>3.7176381409704466E-2</v>
      </c>
      <c r="AJ48" s="297">
        <v>2.8082401255624487E-2</v>
      </c>
      <c r="AK48" s="184">
        <f t="shared" ref="AK48:AK64" si="44">SUM(I48,J48,N48,O48,P48,V48,W48,Y48,Z48,AE48,AG48,AJ48)</f>
        <v>0.28986931541096644</v>
      </c>
      <c r="AL48" s="184">
        <f t="shared" ref="AL48:AL64" si="45">SUM(D48:H48,K48:M48,Q48:U48,X48,AA48:AD48,AF48,AH48:AI48)</f>
        <v>0.71013068458903339</v>
      </c>
      <c r="AP48" t="s">
        <v>626</v>
      </c>
      <c r="AQ48">
        <v>1.8859515190917497E-2</v>
      </c>
      <c r="AR48">
        <v>9.4054675139224071E-3</v>
      </c>
    </row>
    <row r="49" spans="1:44">
      <c r="A49" s="250" t="s">
        <v>965</v>
      </c>
      <c r="B49" s="251">
        <f t="shared" si="43"/>
        <v>0.30144171314758877</v>
      </c>
      <c r="C49" s="297">
        <v>1</v>
      </c>
      <c r="D49" s="297">
        <v>2.2239505751465442E-2</v>
      </c>
      <c r="E49" s="297">
        <v>5.2239316317443225E-2</v>
      </c>
      <c r="F49" s="297">
        <v>2.9558475500947628E-2</v>
      </c>
      <c r="G49" s="297">
        <v>3.7715269901249883E-2</v>
      </c>
      <c r="H49" s="297">
        <v>4.5674584161123702E-2</v>
      </c>
      <c r="I49" s="297">
        <v>2.4675165868109236E-2</v>
      </c>
      <c r="J49" s="297">
        <v>1.7805752420420569E-3</v>
      </c>
      <c r="K49" s="297">
        <v>4.8881423397913619E-2</v>
      </c>
      <c r="L49" s="297">
        <v>4.1094558883783883E-2</v>
      </c>
      <c r="M49" s="297">
        <v>3.6269879731141957E-2</v>
      </c>
      <c r="N49" s="297">
        <v>3.1120849826345092E-2</v>
      </c>
      <c r="O49" s="297">
        <v>2.4960117976633823E-2</v>
      </c>
      <c r="P49" s="297">
        <v>2.440534463572919E-2</v>
      </c>
      <c r="Q49" s="297">
        <v>3.002781705982753E-2</v>
      </c>
      <c r="R49" s="297">
        <v>3.1932578534727918E-2</v>
      </c>
      <c r="S49" s="297">
        <v>3.1657323811911428E-2</v>
      </c>
      <c r="T49" s="297">
        <v>3.3549183121754103E-2</v>
      </c>
      <c r="U49" s="297">
        <v>2.8519598104918116E-2</v>
      </c>
      <c r="V49" s="297">
        <v>2.2319729346818588E-2</v>
      </c>
      <c r="W49" s="297">
        <v>2.2574564979552011E-2</v>
      </c>
      <c r="X49" s="297">
        <v>2.1728507617395636E-2</v>
      </c>
      <c r="Y49" s="297">
        <v>3.290546729603791E-2</v>
      </c>
      <c r="Z49" s="297">
        <v>3.1911618166977573E-2</v>
      </c>
      <c r="AA49" s="297">
        <v>2.4966840185344657E-2</v>
      </c>
      <c r="AB49" s="297">
        <v>3.1849074028626731E-2</v>
      </c>
      <c r="AC49" s="297">
        <v>3.3521274844645614E-2</v>
      </c>
      <c r="AD49" s="297">
        <v>2.6983020854857744E-2</v>
      </c>
      <c r="AE49" s="297">
        <v>3.0530777812943739E-2</v>
      </c>
      <c r="AF49" s="297">
        <v>2.4399935941693117E-2</v>
      </c>
      <c r="AG49" s="297">
        <v>2.6090528499120989E-2</v>
      </c>
      <c r="AH49" s="297">
        <v>2.828738332911963E-2</v>
      </c>
      <c r="AI49" s="297">
        <v>3.7462735772519698E-2</v>
      </c>
      <c r="AJ49" s="297">
        <v>2.8166973497278522E-2</v>
      </c>
      <c r="AK49" s="184">
        <f t="shared" si="44"/>
        <v>0.30144171314758877</v>
      </c>
      <c r="AL49" s="184">
        <f t="shared" si="45"/>
        <v>0.69855828685241117</v>
      </c>
      <c r="AP49" t="s">
        <v>627</v>
      </c>
      <c r="AQ49">
        <v>5.2708835725541948E-2</v>
      </c>
      <c r="AR49">
        <v>2.4619604681823982E-2</v>
      </c>
    </row>
    <row r="50" spans="1:44">
      <c r="A50" s="250" t="s">
        <v>966</v>
      </c>
      <c r="B50" s="251">
        <f t="shared" si="43"/>
        <v>0.55501617964341554</v>
      </c>
      <c r="C50" s="297">
        <v>1</v>
      </c>
      <c r="D50" s="297">
        <v>8.9563265460249047E-3</v>
      </c>
      <c r="E50" s="297">
        <v>2.2129208050027892E-2</v>
      </c>
      <c r="F50" s="297">
        <v>1.7916963338613371E-2</v>
      </c>
      <c r="G50" s="297">
        <v>2.5504830887763428E-2</v>
      </c>
      <c r="H50" s="297">
        <v>1.9209487815727337E-2</v>
      </c>
      <c r="I50" s="297">
        <v>6.4919307940156115E-2</v>
      </c>
      <c r="J50" s="297">
        <v>6.3156398780455189E-2</v>
      </c>
      <c r="K50" s="297">
        <v>2.2742063276230639E-2</v>
      </c>
      <c r="L50" s="297">
        <v>3.3268996424839034E-2</v>
      </c>
      <c r="M50" s="297">
        <v>2.3037769849923923E-2</v>
      </c>
      <c r="N50" s="297">
        <v>1.9603181165459491E-2</v>
      </c>
      <c r="O50" s="297">
        <v>1.5096657869066906E-2</v>
      </c>
      <c r="P50" s="297">
        <v>2.8991742020354122E-2</v>
      </c>
      <c r="Q50" s="297">
        <v>1.4716117028137906E-2</v>
      </c>
      <c r="R50" s="297">
        <v>1.4573184835898284E-2</v>
      </c>
      <c r="S50" s="297">
        <v>9.921502584504506E-3</v>
      </c>
      <c r="T50" s="297">
        <v>4.8795082251366521E-2</v>
      </c>
      <c r="U50" s="297">
        <v>3.3578383875613065E-2</v>
      </c>
      <c r="V50" s="297">
        <v>3.115400391013735E-2</v>
      </c>
      <c r="W50" s="297">
        <v>4.3447020522794234E-2</v>
      </c>
      <c r="X50" s="297">
        <v>1.2364611940403938E-2</v>
      </c>
      <c r="Y50" s="297">
        <v>3.4629656886155664E-2</v>
      </c>
      <c r="Z50" s="297">
        <v>1.283146081204738E-2</v>
      </c>
      <c r="AA50" s="297">
        <v>1.5508594091040002E-2</v>
      </c>
      <c r="AB50" s="297">
        <v>4.6354895386813165E-2</v>
      </c>
      <c r="AC50" s="297">
        <v>9.8073666723482427E-3</v>
      </c>
      <c r="AD50" s="297">
        <v>1.6096388577983945E-2</v>
      </c>
      <c r="AE50" s="297">
        <v>4.3834388046776321E-2</v>
      </c>
      <c r="AF50" s="297">
        <v>1.3783639220840204E-2</v>
      </c>
      <c r="AG50" s="297">
        <v>6.5182722424286271E-2</v>
      </c>
      <c r="AH50" s="297">
        <v>1.3265107938073872E-2</v>
      </c>
      <c r="AI50" s="297">
        <v>2.3453299764410369E-2</v>
      </c>
      <c r="AJ50" s="297">
        <v>0.13216963926572642</v>
      </c>
      <c r="AK50" s="184">
        <f t="shared" si="44"/>
        <v>0.55501617964341554</v>
      </c>
      <c r="AL50" s="184">
        <f t="shared" si="45"/>
        <v>0.44498382035658451</v>
      </c>
      <c r="AP50" t="s">
        <v>628</v>
      </c>
      <c r="AQ50">
        <v>3.0696135698115249E-2</v>
      </c>
      <c r="AR50">
        <v>3.1171295556797277E-2</v>
      </c>
    </row>
    <row r="51" spans="1:44">
      <c r="A51" s="250" t="s">
        <v>967</v>
      </c>
      <c r="B51" s="251">
        <f t="shared" si="43"/>
        <v>0.57371212848116604</v>
      </c>
      <c r="C51" s="297">
        <v>1</v>
      </c>
      <c r="D51" s="297">
        <v>8.3702455980107469E-3</v>
      </c>
      <c r="E51" s="297">
        <v>2.2580278479497038E-2</v>
      </c>
      <c r="F51" s="297">
        <v>1.6008912998304425E-2</v>
      </c>
      <c r="G51" s="297">
        <v>2.3885347219693567E-2</v>
      </c>
      <c r="H51" s="297">
        <v>1.8271943170226835E-2</v>
      </c>
      <c r="I51" s="297">
        <v>6.8487581138879303E-2</v>
      </c>
      <c r="J51" s="297">
        <v>6.3872206890336791E-2</v>
      </c>
      <c r="K51" s="297">
        <v>2.1825782544524809E-2</v>
      </c>
      <c r="L51" s="297">
        <v>3.0238727688644655E-2</v>
      </c>
      <c r="M51" s="297">
        <v>2.1226819448023827E-2</v>
      </c>
      <c r="N51" s="297">
        <v>1.9056719365620308E-2</v>
      </c>
      <c r="O51" s="297">
        <v>1.6077966215282721E-2</v>
      </c>
      <c r="P51" s="297">
        <v>3.2511334966300827E-2</v>
      </c>
      <c r="Q51" s="297">
        <v>1.4728180999393539E-2</v>
      </c>
      <c r="R51" s="297">
        <v>1.4103770604314326E-2</v>
      </c>
      <c r="S51" s="297">
        <v>9.5153820690764453E-3</v>
      </c>
      <c r="T51" s="297">
        <v>4.613031206146212E-2</v>
      </c>
      <c r="U51" s="297">
        <v>3.1634499191420015E-2</v>
      </c>
      <c r="V51" s="297">
        <v>3.2282797191336102E-2</v>
      </c>
      <c r="W51" s="297">
        <v>4.4619623297068658E-2</v>
      </c>
      <c r="X51" s="297">
        <v>1.2032538599525142E-2</v>
      </c>
      <c r="Y51" s="297">
        <v>3.6038699408588629E-2</v>
      </c>
      <c r="Z51" s="297">
        <v>1.2768204518113491E-2</v>
      </c>
      <c r="AA51" s="297">
        <v>1.4520038319526149E-2</v>
      </c>
      <c r="AB51" s="297">
        <v>4.7170341933414309E-2</v>
      </c>
      <c r="AC51" s="297">
        <v>9.6803168968151131E-3</v>
      </c>
      <c r="AD51" s="297">
        <v>1.5474144355124911E-2</v>
      </c>
      <c r="AE51" s="297">
        <v>4.5051757210093892E-2</v>
      </c>
      <c r="AF51" s="297">
        <v>1.3036390118217995E-2</v>
      </c>
      <c r="AG51" s="297">
        <v>6.7098131071882477E-2</v>
      </c>
      <c r="AH51" s="297">
        <v>1.2417760436135473E-2</v>
      </c>
      <c r="AI51" s="297">
        <v>2.3436138787482623E-2</v>
      </c>
      <c r="AJ51" s="297">
        <v>0.13584710720766277</v>
      </c>
      <c r="AK51" s="184">
        <f t="shared" si="44"/>
        <v>0.57371212848116604</v>
      </c>
      <c r="AL51" s="184">
        <f t="shared" si="45"/>
        <v>0.42628787151883402</v>
      </c>
      <c r="AP51" t="s">
        <v>629</v>
      </c>
      <c r="AQ51">
        <v>3.6882214816700308E-2</v>
      </c>
      <c r="AR51">
        <v>1.8599332576496368E-2</v>
      </c>
    </row>
    <row r="52" spans="1:44">
      <c r="A52" s="250" t="s">
        <v>968</v>
      </c>
      <c r="B52" s="251">
        <f t="shared" si="43"/>
        <v>0.60530094787090527</v>
      </c>
      <c r="C52" s="297">
        <v>1</v>
      </c>
      <c r="D52" s="297">
        <v>7.1695878164383742E-3</v>
      </c>
      <c r="E52" s="297">
        <v>2.305579625946045E-2</v>
      </c>
      <c r="F52" s="297">
        <v>1.3155350739735555E-2</v>
      </c>
      <c r="G52" s="297">
        <v>2.0353277654831834E-2</v>
      </c>
      <c r="H52" s="297">
        <v>1.7116262969014213E-2</v>
      </c>
      <c r="I52" s="297">
        <v>7.4331992872227901E-2</v>
      </c>
      <c r="J52" s="297">
        <v>6.1789060781027756E-2</v>
      </c>
      <c r="K52" s="297">
        <v>2.0536851766188E-2</v>
      </c>
      <c r="L52" s="297">
        <v>2.5396837666209943E-2</v>
      </c>
      <c r="M52" s="297">
        <v>1.7745567234437237E-2</v>
      </c>
      <c r="N52" s="297">
        <v>1.791156641629665E-2</v>
      </c>
      <c r="O52" s="297">
        <v>1.7365881233282164E-2</v>
      </c>
      <c r="P52" s="297">
        <v>3.4561960638519421E-2</v>
      </c>
      <c r="Q52" s="297">
        <v>1.5167868518600677E-2</v>
      </c>
      <c r="R52" s="297">
        <v>1.3083469963964407E-2</v>
      </c>
      <c r="S52" s="297">
        <v>8.7158490240531166E-3</v>
      </c>
      <c r="T52" s="297">
        <v>4.1809938741385763E-2</v>
      </c>
      <c r="U52" s="297">
        <v>2.8124887362464268E-2</v>
      </c>
      <c r="V52" s="297">
        <v>3.3442756526268241E-2</v>
      </c>
      <c r="W52" s="297">
        <v>5.03351049809787E-2</v>
      </c>
      <c r="X52" s="297">
        <v>1.1848802649269689E-2</v>
      </c>
      <c r="Y52" s="297">
        <v>3.8074605423108129E-2</v>
      </c>
      <c r="Z52" s="297">
        <v>1.2774492453973166E-2</v>
      </c>
      <c r="AA52" s="297">
        <v>1.2813450361417074E-2</v>
      </c>
      <c r="AB52" s="297">
        <v>4.7551390088601632E-2</v>
      </c>
      <c r="AC52" s="297">
        <v>9.3064995828517263E-3</v>
      </c>
      <c r="AD52" s="297">
        <v>1.4860302617553302E-2</v>
      </c>
      <c r="AE52" s="297">
        <v>4.6751251806633143E-2</v>
      </c>
      <c r="AF52" s="297">
        <v>1.1880350772150071E-2</v>
      </c>
      <c r="AG52" s="297">
        <v>6.7450377463331948E-2</v>
      </c>
      <c r="AH52" s="297">
        <v>1.0797753953418287E-2</v>
      </c>
      <c r="AI52" s="297">
        <v>2.4208956387049129E-2</v>
      </c>
      <c r="AJ52" s="297">
        <v>0.15051189727525807</v>
      </c>
      <c r="AK52" s="184">
        <f t="shared" si="44"/>
        <v>0.60530094787090527</v>
      </c>
      <c r="AL52" s="184">
        <f t="shared" si="45"/>
        <v>0.39469905212909473</v>
      </c>
      <c r="AP52" t="s">
        <v>630</v>
      </c>
      <c r="AQ52">
        <v>4.9487166408001118E-2</v>
      </c>
      <c r="AR52">
        <v>2.0259090335104656E-2</v>
      </c>
    </row>
    <row r="53" spans="1:44">
      <c r="A53" s="250" t="s">
        <v>969</v>
      </c>
      <c r="B53" s="251">
        <f t="shared" si="43"/>
        <v>0.32746877089252818</v>
      </c>
      <c r="C53" s="289">
        <v>1</v>
      </c>
      <c r="D53" s="289">
        <v>1.8340756928057936E-2</v>
      </c>
      <c r="E53" s="289">
        <v>4.8739056958403311E-2</v>
      </c>
      <c r="F53" s="289">
        <v>2.7267160953065247E-2</v>
      </c>
      <c r="G53" s="289">
        <v>3.5981757111644641E-2</v>
      </c>
      <c r="H53" s="289">
        <v>4.3475453337629824E-2</v>
      </c>
      <c r="I53" s="289">
        <v>2.8753275766817264E-2</v>
      </c>
      <c r="J53" s="289">
        <v>1.443853104808012E-3</v>
      </c>
      <c r="K53" s="289">
        <v>4.554718978638167E-2</v>
      </c>
      <c r="L53" s="289">
        <v>3.9540976891742761E-2</v>
      </c>
      <c r="M53" s="289">
        <v>3.7008233348530359E-2</v>
      </c>
      <c r="N53" s="289">
        <v>2.8527985623961832E-2</v>
      </c>
      <c r="O53" s="289">
        <v>2.8465084160016509E-2</v>
      </c>
      <c r="P53" s="289">
        <v>2.4456976188459989E-2</v>
      </c>
      <c r="Q53" s="289">
        <v>3.2099198401419518E-2</v>
      </c>
      <c r="R53" s="289">
        <v>2.9404712742298937E-2</v>
      </c>
      <c r="S53" s="289">
        <v>2.9187526520768142E-2</v>
      </c>
      <c r="T53" s="289">
        <v>3.1222384422525225E-2</v>
      </c>
      <c r="U53" s="289">
        <v>2.8255110063312976E-2</v>
      </c>
      <c r="V53" s="289">
        <v>2.6727669610699306E-2</v>
      </c>
      <c r="W53" s="289">
        <v>2.7219069804435437E-2</v>
      </c>
      <c r="X53" s="289">
        <v>1.9961423889067596E-2</v>
      </c>
      <c r="Y53" s="289">
        <v>3.7840169429096439E-2</v>
      </c>
      <c r="Z53" s="289">
        <v>3.3784845407941147E-2</v>
      </c>
      <c r="AA53" s="289">
        <v>2.5040260852818186E-2</v>
      </c>
      <c r="AB53" s="289">
        <v>2.7819312010815167E-2</v>
      </c>
      <c r="AC53" s="289">
        <v>3.2333528535681937E-2</v>
      </c>
      <c r="AD53" s="289">
        <v>2.7455706212987225E-2</v>
      </c>
      <c r="AE53" s="289">
        <v>3.1600984207798354E-2</v>
      </c>
      <c r="AF53" s="289">
        <v>2.3956789754206762E-2</v>
      </c>
      <c r="AG53" s="289">
        <v>2.5767673745707095E-2</v>
      </c>
      <c r="AH53" s="289">
        <v>2.8785660755763557E-2</v>
      </c>
      <c r="AI53" s="289">
        <v>4.1109029630350832E-2</v>
      </c>
      <c r="AJ53" s="289">
        <v>3.28811838427868E-2</v>
      </c>
      <c r="AK53" s="184">
        <f t="shared" si="44"/>
        <v>0.32746877089252818</v>
      </c>
      <c r="AL53" s="184">
        <f t="shared" si="45"/>
        <v>0.67253122910747176</v>
      </c>
      <c r="AP53" t="s">
        <v>631</v>
      </c>
      <c r="AQ53">
        <v>2.4500144705327891E-2</v>
      </c>
      <c r="AR53">
        <v>6.5254321602254847E-2</v>
      </c>
    </row>
    <row r="54" spans="1:44">
      <c r="A54" s="250" t="s">
        <v>970</v>
      </c>
      <c r="B54" s="251">
        <f t="shared" si="43"/>
        <v>0.34194091984756897</v>
      </c>
      <c r="C54" s="289">
        <v>1</v>
      </c>
      <c r="D54" s="289">
        <v>1.8940476649101218E-2</v>
      </c>
      <c r="E54" s="289">
        <v>4.8368272794866565E-2</v>
      </c>
      <c r="F54" s="289">
        <v>2.5672589620299651E-2</v>
      </c>
      <c r="G54" s="289">
        <v>3.605270094124588E-2</v>
      </c>
      <c r="H54" s="289">
        <v>4.0176521659525705E-2</v>
      </c>
      <c r="I54" s="289">
        <v>2.8455117709450129E-2</v>
      </c>
      <c r="J54" s="289">
        <v>2.6506859660041116E-3</v>
      </c>
      <c r="K54" s="289">
        <v>4.436061129170317E-2</v>
      </c>
      <c r="L54" s="289">
        <v>4.0966644578590589E-2</v>
      </c>
      <c r="M54" s="289">
        <v>3.431759756262534E-2</v>
      </c>
      <c r="N54" s="289">
        <v>2.9840698736283269E-2</v>
      </c>
      <c r="O54" s="289">
        <v>2.9160828579915483E-2</v>
      </c>
      <c r="P54" s="289">
        <v>2.5683038086480654E-2</v>
      </c>
      <c r="Q54" s="289">
        <v>3.1203174325854319E-2</v>
      </c>
      <c r="R54" s="289">
        <v>2.8421986174341225E-2</v>
      </c>
      <c r="S54" s="289">
        <v>2.8229478184200452E-2</v>
      </c>
      <c r="T54" s="289">
        <v>3.0898591355346103E-2</v>
      </c>
      <c r="U54" s="289">
        <v>2.8339378424755431E-2</v>
      </c>
      <c r="V54" s="289">
        <v>2.7090129180660207E-2</v>
      </c>
      <c r="W54" s="289">
        <v>2.6842444649121958E-2</v>
      </c>
      <c r="X54" s="289">
        <v>1.8954125119180931E-2</v>
      </c>
      <c r="Y54" s="289">
        <v>3.6267189454890582E-2</v>
      </c>
      <c r="Z54" s="289">
        <v>3.2856690160306949E-2</v>
      </c>
      <c r="AA54" s="289">
        <v>2.3738904436428444E-2</v>
      </c>
      <c r="AB54" s="289">
        <v>3.1744136496436905E-2</v>
      </c>
      <c r="AC54" s="289">
        <v>3.13648864229212E-2</v>
      </c>
      <c r="AD54" s="289">
        <v>2.5192081888753128E-2</v>
      </c>
      <c r="AE54" s="289">
        <v>3.3274858580796769E-2</v>
      </c>
      <c r="AF54" s="289">
        <v>2.2381781344617345E-2</v>
      </c>
      <c r="AG54" s="289">
        <v>3.3383231530141597E-2</v>
      </c>
      <c r="AH54" s="289">
        <v>2.7925112919275165E-2</v>
      </c>
      <c r="AI54" s="289">
        <v>4.0810027962362272E-2</v>
      </c>
      <c r="AJ54" s="289">
        <v>3.6436007213517245E-2</v>
      </c>
      <c r="AK54" s="184">
        <f t="shared" si="44"/>
        <v>0.34194091984756897</v>
      </c>
      <c r="AL54" s="184">
        <f t="shared" si="45"/>
        <v>0.65805908015243109</v>
      </c>
      <c r="AP54" t="s">
        <v>634</v>
      </c>
      <c r="AQ54">
        <v>5.0145873469724801E-2</v>
      </c>
      <c r="AR54">
        <v>2.3063085976784008E-2</v>
      </c>
    </row>
    <row r="55" spans="1:44">
      <c r="A55" s="250" t="s">
        <v>971</v>
      </c>
      <c r="B55" s="251">
        <f t="shared" si="43"/>
        <v>0.35123044181209673</v>
      </c>
      <c r="C55" s="289">
        <v>1</v>
      </c>
      <c r="D55" s="289">
        <v>2.5385509503413627E-2</v>
      </c>
      <c r="E55" s="289">
        <v>4.7447051829049215E-2</v>
      </c>
      <c r="F55" s="289">
        <v>2.5255188429924792E-2</v>
      </c>
      <c r="G55" s="289">
        <v>3.7744768303664106E-2</v>
      </c>
      <c r="H55" s="289">
        <v>3.6782467551864866E-2</v>
      </c>
      <c r="I55" s="289">
        <v>2.8494771969307074E-2</v>
      </c>
      <c r="J55" s="289">
        <v>2.8394793164334816E-3</v>
      </c>
      <c r="K55" s="289">
        <v>4.432350168349964E-2</v>
      </c>
      <c r="L55" s="289">
        <v>4.0544840412159056E-2</v>
      </c>
      <c r="M55" s="289">
        <v>3.2002556238603312E-2</v>
      </c>
      <c r="N55" s="289">
        <v>3.423336963949742E-2</v>
      </c>
      <c r="O55" s="289">
        <v>2.9284396313832433E-2</v>
      </c>
      <c r="P55" s="289">
        <v>2.9514964512261207E-2</v>
      </c>
      <c r="Q55" s="289">
        <v>3.0656093087654327E-2</v>
      </c>
      <c r="R55" s="289">
        <v>2.6701629231254957E-2</v>
      </c>
      <c r="S55" s="289">
        <v>2.6384856499346569E-2</v>
      </c>
      <c r="T55" s="289">
        <v>2.7894804707918865E-2</v>
      </c>
      <c r="U55" s="289">
        <v>2.6769079112170115E-2</v>
      </c>
      <c r="V55" s="289">
        <v>2.6058777693420156E-2</v>
      </c>
      <c r="W55" s="289">
        <v>2.485796008341146E-2</v>
      </c>
      <c r="X55" s="289">
        <v>1.9507533482598701E-2</v>
      </c>
      <c r="Y55" s="289">
        <v>3.530724790329285E-2</v>
      </c>
      <c r="Z55" s="289">
        <v>3.2805873368481689E-2</v>
      </c>
      <c r="AA55" s="289">
        <v>2.290878783216601E-2</v>
      </c>
      <c r="AB55" s="289">
        <v>3.6977697006405449E-2</v>
      </c>
      <c r="AC55" s="289">
        <v>3.0005725861690959E-2</v>
      </c>
      <c r="AD55" s="289">
        <v>2.3211823029570422E-2</v>
      </c>
      <c r="AE55" s="289">
        <v>3.7119036097584074E-2</v>
      </c>
      <c r="AF55" s="289">
        <v>2.0804560997431162E-2</v>
      </c>
      <c r="AG55" s="289">
        <v>3.6437497046912473E-2</v>
      </c>
      <c r="AH55" s="289">
        <v>2.7232743818562763E-2</v>
      </c>
      <c r="AI55" s="289">
        <v>4.0228339568954385E-2</v>
      </c>
      <c r="AJ55" s="289">
        <v>3.4277067867662381E-2</v>
      </c>
      <c r="AK55" s="184">
        <f t="shared" si="44"/>
        <v>0.35123044181209673</v>
      </c>
      <c r="AL55" s="184">
        <f t="shared" si="45"/>
        <v>0.64876955818790338</v>
      </c>
      <c r="AP55" t="s">
        <v>635</v>
      </c>
      <c r="AQ55">
        <v>4.0264079036033101E-2</v>
      </c>
      <c r="AR55">
        <v>3.0708780435304658E-2</v>
      </c>
    </row>
    <row r="56" spans="1:44">
      <c r="A56" s="250" t="s">
        <v>972</v>
      </c>
      <c r="B56" s="251">
        <f t="shared" si="43"/>
        <v>0.58397974646525963</v>
      </c>
      <c r="C56" s="289">
        <v>1</v>
      </c>
      <c r="D56" s="289">
        <v>7.853626749018348E-3</v>
      </c>
      <c r="E56" s="289">
        <v>2.0982705296212809E-2</v>
      </c>
      <c r="F56" s="289">
        <v>1.6367681227736693E-2</v>
      </c>
      <c r="G56" s="289">
        <v>2.2209364905872112E-2</v>
      </c>
      <c r="H56" s="289">
        <v>1.7703213761725158E-2</v>
      </c>
      <c r="I56" s="289">
        <v>6.2820171513409045E-2</v>
      </c>
      <c r="J56" s="289">
        <v>8.2097678601601318E-2</v>
      </c>
      <c r="K56" s="289">
        <v>2.194666645197418E-2</v>
      </c>
      <c r="L56" s="289">
        <v>3.2260973746847034E-2</v>
      </c>
      <c r="M56" s="289">
        <v>2.09024537558712E-2</v>
      </c>
      <c r="N56" s="289">
        <v>1.7873991437654467E-2</v>
      </c>
      <c r="O56" s="289">
        <v>1.5298556721863383E-2</v>
      </c>
      <c r="P56" s="289">
        <v>2.911269789683097E-2</v>
      </c>
      <c r="Q56" s="289">
        <v>1.3039808193117546E-2</v>
      </c>
      <c r="R56" s="289">
        <v>1.2730125452841098E-2</v>
      </c>
      <c r="S56" s="289">
        <v>8.7988476769995938E-3</v>
      </c>
      <c r="T56" s="289">
        <v>4.6032761742768498E-2</v>
      </c>
      <c r="U56" s="289">
        <v>3.4317614263519203E-2</v>
      </c>
      <c r="V56" s="289">
        <v>3.350492681961751E-2</v>
      </c>
      <c r="W56" s="289">
        <v>4.0231665712418263E-2</v>
      </c>
      <c r="X56" s="289">
        <v>1.1914742035516309E-2</v>
      </c>
      <c r="Y56" s="289">
        <v>3.1720197789270765E-2</v>
      </c>
      <c r="Z56" s="289">
        <v>1.1045227699628554E-2</v>
      </c>
      <c r="AA56" s="289">
        <v>1.4663573829668205E-2</v>
      </c>
      <c r="AB56" s="289">
        <v>4.3344899319758219E-2</v>
      </c>
      <c r="AC56" s="289">
        <v>8.4049165911336612E-3</v>
      </c>
      <c r="AD56" s="289">
        <v>1.5830749247513085E-2</v>
      </c>
      <c r="AE56" s="289">
        <v>4.5438742362999135E-2</v>
      </c>
      <c r="AF56" s="289">
        <v>1.2131285328337424E-2</v>
      </c>
      <c r="AG56" s="289">
        <v>7.1838250496597963E-2</v>
      </c>
      <c r="AH56" s="289">
        <v>1.2136836657332723E-2</v>
      </c>
      <c r="AI56" s="289">
        <v>2.2447407300977301E-2</v>
      </c>
      <c r="AJ56" s="289">
        <v>0.14299763941336824</v>
      </c>
      <c r="AK56" s="184">
        <f t="shared" si="44"/>
        <v>0.58397974646525963</v>
      </c>
      <c r="AL56" s="184">
        <f t="shared" si="45"/>
        <v>0.41602025353474037</v>
      </c>
      <c r="AP56" t="s">
        <v>636</v>
      </c>
      <c r="AQ56">
        <v>3.8556447345406676E-2</v>
      </c>
      <c r="AR56">
        <v>2.2627383735010831E-2</v>
      </c>
    </row>
    <row r="57" spans="1:44">
      <c r="A57" s="250" t="s">
        <v>973</v>
      </c>
      <c r="B57" s="251">
        <f t="shared" si="43"/>
        <v>0.5979849246689013</v>
      </c>
      <c r="C57" s="289">
        <v>1</v>
      </c>
      <c r="D57" s="289">
        <v>7.5314358316526473E-3</v>
      </c>
      <c r="E57" s="289">
        <v>2.1439064537151071E-2</v>
      </c>
      <c r="F57" s="289">
        <v>1.5075373041500192E-2</v>
      </c>
      <c r="G57" s="289">
        <v>2.1323071317078796E-2</v>
      </c>
      <c r="H57" s="289">
        <v>1.7119584121354506E-2</v>
      </c>
      <c r="I57" s="289">
        <v>6.5329629327568597E-2</v>
      </c>
      <c r="J57" s="289">
        <v>8.5272295271499016E-2</v>
      </c>
      <c r="K57" s="289">
        <v>2.1092816360958756E-2</v>
      </c>
      <c r="L57" s="289">
        <v>3.0080096366335202E-2</v>
      </c>
      <c r="M57" s="289">
        <v>1.9563138913440772E-2</v>
      </c>
      <c r="N57" s="289">
        <v>1.7390485414925157E-2</v>
      </c>
      <c r="O57" s="289">
        <v>1.5749604442498986E-2</v>
      </c>
      <c r="P57" s="289">
        <v>3.1781993860159459E-2</v>
      </c>
      <c r="Q57" s="289">
        <v>1.2712592539310459E-2</v>
      </c>
      <c r="R57" s="289">
        <v>1.2469010715006017E-2</v>
      </c>
      <c r="S57" s="289">
        <v>8.5426312026476523E-3</v>
      </c>
      <c r="T57" s="289">
        <v>4.4522033339154866E-2</v>
      </c>
      <c r="U57" s="289">
        <v>3.3138405903890077E-2</v>
      </c>
      <c r="V57" s="289">
        <v>3.4707190128213411E-2</v>
      </c>
      <c r="W57" s="289">
        <v>4.0415338867139314E-2</v>
      </c>
      <c r="X57" s="289">
        <v>1.166855210631661E-2</v>
      </c>
      <c r="Y57" s="289">
        <v>3.2254384992137182E-2</v>
      </c>
      <c r="Z57" s="289">
        <v>1.0796207627860453E-2</v>
      </c>
      <c r="AA57" s="289">
        <v>1.4083638734038171E-2</v>
      </c>
      <c r="AB57" s="289">
        <v>4.2748590754731607E-2</v>
      </c>
      <c r="AC57" s="289">
        <v>8.3413442817221583E-3</v>
      </c>
      <c r="AD57" s="289">
        <v>1.5494088899406568E-2</v>
      </c>
      <c r="AE57" s="289">
        <v>4.6257210966909296E-2</v>
      </c>
      <c r="AF57" s="289">
        <v>1.1694629247775944E-2</v>
      </c>
      <c r="AG57" s="289">
        <v>7.417490357054024E-2</v>
      </c>
      <c r="AH57" s="289">
        <v>1.1518031169750644E-2</v>
      </c>
      <c r="AI57" s="289">
        <v>2.1856945947875885E-2</v>
      </c>
      <c r="AJ57" s="289">
        <v>0.14385568019945016</v>
      </c>
      <c r="AK57" s="184">
        <f t="shared" si="44"/>
        <v>0.5979849246689013</v>
      </c>
      <c r="AL57" s="184">
        <f t="shared" si="45"/>
        <v>0.40201507533109859</v>
      </c>
      <c r="AP57" t="s">
        <v>637</v>
      </c>
      <c r="AQ57">
        <v>2.8472383632151682E-2</v>
      </c>
      <c r="AR57">
        <v>2.0653640795976976E-2</v>
      </c>
    </row>
    <row r="58" spans="1:44">
      <c r="A58" s="250" t="s">
        <v>974</v>
      </c>
      <c r="B58" s="251">
        <f t="shared" si="43"/>
        <v>0.61648053820791293</v>
      </c>
      <c r="C58" s="289">
        <v>1</v>
      </c>
      <c r="D58" s="289">
        <v>6.9338254577269989E-3</v>
      </c>
      <c r="E58" s="289">
        <v>2.2497837806144828E-2</v>
      </c>
      <c r="F58" s="289">
        <v>1.3183990721188485E-2</v>
      </c>
      <c r="G58" s="289">
        <v>1.9445455072237321E-2</v>
      </c>
      <c r="H58" s="289">
        <v>1.6818742721690497E-2</v>
      </c>
      <c r="I58" s="289">
        <v>7.0204031565384212E-2</v>
      </c>
      <c r="J58" s="289">
        <v>8.4002927450208487E-2</v>
      </c>
      <c r="K58" s="289">
        <v>2.013690805073555E-2</v>
      </c>
      <c r="L58" s="289">
        <v>2.6915963267218661E-2</v>
      </c>
      <c r="M58" s="289">
        <v>1.7025042528122522E-2</v>
      </c>
      <c r="N58" s="289">
        <v>1.6786332179815632E-2</v>
      </c>
      <c r="O58" s="289">
        <v>1.6017616729043768E-2</v>
      </c>
      <c r="P58" s="289">
        <v>3.3018090860658898E-2</v>
      </c>
      <c r="Q58" s="289">
        <v>1.233309753607869E-2</v>
      </c>
      <c r="R58" s="289">
        <v>1.2143118753176385E-2</v>
      </c>
      <c r="S58" s="289">
        <v>8.1591015948725247E-3</v>
      </c>
      <c r="T58" s="289">
        <v>4.3322775796672201E-2</v>
      </c>
      <c r="U58" s="289">
        <v>3.1801057159083233E-2</v>
      </c>
      <c r="V58" s="289">
        <v>3.5677120008774675E-2</v>
      </c>
      <c r="W58" s="289">
        <v>4.4019966205785216E-2</v>
      </c>
      <c r="X58" s="289">
        <v>1.1925833995240996E-2</v>
      </c>
      <c r="Y58" s="289">
        <v>3.2799580578212216E-2</v>
      </c>
      <c r="Z58" s="289">
        <v>1.0302617340459473E-2</v>
      </c>
      <c r="AA58" s="289">
        <v>1.3019161292685846E-2</v>
      </c>
      <c r="AB58" s="289">
        <v>4.0689741893015982E-2</v>
      </c>
      <c r="AC58" s="289">
        <v>8.2907487170585017E-3</v>
      </c>
      <c r="AD58" s="289">
        <v>1.5794490643090346E-2</v>
      </c>
      <c r="AE58" s="289">
        <v>4.721129571755029E-2</v>
      </c>
      <c r="AF58" s="289">
        <v>1.1235499980759595E-2</v>
      </c>
      <c r="AG58" s="289">
        <v>7.4082176450171136E-2</v>
      </c>
      <c r="AH58" s="289">
        <v>1.0331856625539515E-2</v>
      </c>
      <c r="AI58" s="289">
        <v>2.1515212179748354E-2</v>
      </c>
      <c r="AJ58" s="289">
        <v>0.152358783121849</v>
      </c>
      <c r="AK58" s="184">
        <f t="shared" si="44"/>
        <v>0.61648053820791293</v>
      </c>
      <c r="AL58" s="184">
        <f t="shared" si="45"/>
        <v>0.38351946179208696</v>
      </c>
      <c r="AP58" t="s">
        <v>638</v>
      </c>
      <c r="AQ58">
        <v>2.468115258373799E-2</v>
      </c>
      <c r="AR58">
        <v>1.7781669675646573E-2</v>
      </c>
    </row>
    <row r="59" spans="1:44">
      <c r="A59" s="250" t="s">
        <v>975</v>
      </c>
      <c r="B59" s="251">
        <f t="shared" si="43"/>
        <v>0</v>
      </c>
      <c r="C59" s="288">
        <v>1</v>
      </c>
      <c r="D59" s="288">
        <v>0</v>
      </c>
      <c r="E59" s="288">
        <v>0</v>
      </c>
      <c r="F59" s="288">
        <v>0</v>
      </c>
      <c r="G59" s="288">
        <v>0</v>
      </c>
      <c r="H59" s="288">
        <v>0</v>
      </c>
      <c r="I59" s="288">
        <v>0</v>
      </c>
      <c r="J59" s="288">
        <v>0</v>
      </c>
      <c r="K59" s="288">
        <v>0</v>
      </c>
      <c r="L59" s="288">
        <v>0</v>
      </c>
      <c r="M59" s="288">
        <v>0</v>
      </c>
      <c r="N59" s="288">
        <v>0</v>
      </c>
      <c r="O59" s="288">
        <v>0</v>
      </c>
      <c r="P59" s="288">
        <v>0</v>
      </c>
      <c r="Q59" s="288">
        <v>0</v>
      </c>
      <c r="R59" s="288">
        <v>0</v>
      </c>
      <c r="S59" s="288">
        <v>0</v>
      </c>
      <c r="T59" s="288">
        <v>0</v>
      </c>
      <c r="U59" s="288">
        <v>0</v>
      </c>
      <c r="V59" s="288">
        <v>0</v>
      </c>
      <c r="W59" s="288">
        <v>0</v>
      </c>
      <c r="X59" s="288">
        <v>0</v>
      </c>
      <c r="Y59" s="288">
        <v>0</v>
      </c>
      <c r="Z59" s="288">
        <v>0</v>
      </c>
      <c r="AA59" s="288">
        <v>0</v>
      </c>
      <c r="AB59" s="288">
        <v>0</v>
      </c>
      <c r="AC59" s="288">
        <v>0</v>
      </c>
      <c r="AD59" s="288">
        <v>0</v>
      </c>
      <c r="AE59" s="288">
        <v>0</v>
      </c>
      <c r="AF59" s="288">
        <v>0</v>
      </c>
      <c r="AG59" s="288">
        <v>0</v>
      </c>
      <c r="AH59" s="288">
        <v>0</v>
      </c>
      <c r="AI59" s="288">
        <v>0</v>
      </c>
      <c r="AJ59" s="288">
        <v>0</v>
      </c>
      <c r="AK59" s="184">
        <f t="shared" si="44"/>
        <v>0</v>
      </c>
      <c r="AL59" s="184">
        <f t="shared" si="45"/>
        <v>0</v>
      </c>
      <c r="AP59" t="s">
        <v>639</v>
      </c>
      <c r="AQ59">
        <v>2.1870210902250518E-2</v>
      </c>
      <c r="AR59">
        <v>2.9634425193554064E-2</v>
      </c>
    </row>
    <row r="60" spans="1:44">
      <c r="A60" s="250" t="s">
        <v>976</v>
      </c>
      <c r="B60" s="251">
        <f t="shared" si="43"/>
        <v>0.351053639034692</v>
      </c>
      <c r="C60" s="288">
        <v>1</v>
      </c>
      <c r="D60" s="288">
        <v>1.9217036732680028E-2</v>
      </c>
      <c r="E60" s="288">
        <v>4.9289584871116295E-2</v>
      </c>
      <c r="F60" s="288">
        <v>2.4389984038223945E-2</v>
      </c>
      <c r="G60" s="288">
        <v>3.6589797454496205E-2</v>
      </c>
      <c r="H60" s="288">
        <v>3.9148226466186618E-2</v>
      </c>
      <c r="I60" s="288">
        <v>2.7745375887782586E-2</v>
      </c>
      <c r="J60" s="288">
        <v>3.9031177652941681E-3</v>
      </c>
      <c r="K60" s="288">
        <v>4.4316689587402855E-2</v>
      </c>
      <c r="L60" s="288">
        <v>4.2423783007995861E-2</v>
      </c>
      <c r="M60" s="288">
        <v>3.1802826535468329E-2</v>
      </c>
      <c r="N60" s="288">
        <v>3.1172691095711757E-2</v>
      </c>
      <c r="O60" s="288">
        <v>2.9543848625623533E-2</v>
      </c>
      <c r="P60" s="288">
        <v>2.6124796149838769E-2</v>
      </c>
      <c r="Q60" s="288">
        <v>2.929113847916438E-2</v>
      </c>
      <c r="R60" s="288">
        <v>2.8129975604605624E-2</v>
      </c>
      <c r="S60" s="288">
        <v>2.7933803905088657E-2</v>
      </c>
      <c r="T60" s="288">
        <v>3.1660854504957751E-2</v>
      </c>
      <c r="U60" s="288">
        <v>2.8484100644612591E-2</v>
      </c>
      <c r="V60" s="288">
        <v>2.7180726908724185E-2</v>
      </c>
      <c r="W60" s="288">
        <v>2.5811853142204709E-2</v>
      </c>
      <c r="X60" s="288">
        <v>1.8552426878384324E-2</v>
      </c>
      <c r="Y60" s="288">
        <v>3.3987521275610819E-2</v>
      </c>
      <c r="Z60" s="288">
        <v>3.0931162573964388E-2</v>
      </c>
      <c r="AA60" s="288">
        <v>2.2235398943702446E-2</v>
      </c>
      <c r="AB60" s="288">
        <v>3.463365905874282E-2</v>
      </c>
      <c r="AC60" s="288">
        <v>3.0228632899165574E-2</v>
      </c>
      <c r="AD60" s="288">
        <v>2.3192060215431951E-2</v>
      </c>
      <c r="AE60" s="288">
        <v>3.4611275454419922E-2</v>
      </c>
      <c r="AF60" s="288">
        <v>2.134032209846496E-2</v>
      </c>
      <c r="AG60" s="288">
        <v>4.0620032244752434E-2</v>
      </c>
      <c r="AH60" s="288">
        <v>2.6807530006519222E-2</v>
      </c>
      <c r="AI60" s="288">
        <v>3.9278529032897566E-2</v>
      </c>
      <c r="AJ60" s="288">
        <v>3.9421237910764746E-2</v>
      </c>
      <c r="AK60" s="184">
        <f t="shared" si="44"/>
        <v>0.351053639034692</v>
      </c>
      <c r="AL60" s="184">
        <f t="shared" si="45"/>
        <v>0.648946360965308</v>
      </c>
      <c r="AP60" t="s">
        <v>640</v>
      </c>
      <c r="AQ60">
        <v>3.0602745582036885E-2</v>
      </c>
      <c r="AR60">
        <v>1.5707266001556499E-2</v>
      </c>
    </row>
    <row r="61" spans="1:44">
      <c r="A61" s="250" t="s">
        <v>977</v>
      </c>
      <c r="B61" s="251">
        <f t="shared" si="43"/>
        <v>0.35183913306587422</v>
      </c>
      <c r="C61" s="288">
        <v>1</v>
      </c>
      <c r="D61" s="288">
        <v>2.8053720733581932E-2</v>
      </c>
      <c r="E61" s="288">
        <v>4.8511268581095626E-2</v>
      </c>
      <c r="F61" s="288">
        <v>2.507748002282726E-2</v>
      </c>
      <c r="G61" s="288">
        <v>3.8969770610408926E-2</v>
      </c>
      <c r="H61" s="288">
        <v>3.6422281838674832E-2</v>
      </c>
      <c r="I61" s="288">
        <v>2.7504294492671076E-2</v>
      </c>
      <c r="J61" s="288">
        <v>3.4108081425144668E-3</v>
      </c>
      <c r="K61" s="288">
        <v>4.5237343020370219E-2</v>
      </c>
      <c r="L61" s="288">
        <v>4.1224969392946682E-2</v>
      </c>
      <c r="M61" s="288">
        <v>3.0407930517809895E-2</v>
      </c>
      <c r="N61" s="288">
        <v>3.6594027862646053E-2</v>
      </c>
      <c r="O61" s="288">
        <v>2.8931353224520145E-2</v>
      </c>
      <c r="P61" s="288">
        <v>3.0541186454962257E-2</v>
      </c>
      <c r="Q61" s="288">
        <v>2.8964854163828428E-2</v>
      </c>
      <c r="R61" s="288">
        <v>2.6621678832474287E-2</v>
      </c>
      <c r="S61" s="288">
        <v>2.6234711104838753E-2</v>
      </c>
      <c r="T61" s="288">
        <v>2.7902315900531448E-2</v>
      </c>
      <c r="U61" s="288">
        <v>2.6421167883512727E-2</v>
      </c>
      <c r="V61" s="288">
        <v>2.5058055551070754E-2</v>
      </c>
      <c r="W61" s="288">
        <v>2.2659663306960967E-2</v>
      </c>
      <c r="X61" s="288">
        <v>2.0085912451214175E-2</v>
      </c>
      <c r="Y61" s="288">
        <v>3.3263433158653009E-2</v>
      </c>
      <c r="Z61" s="288">
        <v>3.1374566524312843E-2</v>
      </c>
      <c r="AA61" s="288">
        <v>2.1998515600460188E-2</v>
      </c>
      <c r="AB61" s="288">
        <v>3.9852694985384476E-2</v>
      </c>
      <c r="AC61" s="288">
        <v>2.9244013703457795E-2</v>
      </c>
      <c r="AD61" s="288">
        <v>2.1778672438712125E-2</v>
      </c>
      <c r="AE61" s="288">
        <v>3.8632682562949522E-2</v>
      </c>
      <c r="AF61" s="288">
        <v>2.0222818676720565E-2</v>
      </c>
      <c r="AG61" s="288">
        <v>4.0150311974116358E-2</v>
      </c>
      <c r="AH61" s="288">
        <v>2.654247006343698E-2</v>
      </c>
      <c r="AI61" s="288">
        <v>3.8386276411838276E-2</v>
      </c>
      <c r="AJ61" s="288">
        <v>3.3718749810496808E-2</v>
      </c>
      <c r="AK61" s="184">
        <f t="shared" si="44"/>
        <v>0.35183913306587422</v>
      </c>
      <c r="AL61" s="184">
        <f t="shared" si="45"/>
        <v>0.64816086693412556</v>
      </c>
      <c r="AP61" t="s">
        <v>641</v>
      </c>
      <c r="AQ61">
        <v>3.3413688776949703E-2</v>
      </c>
      <c r="AR61">
        <v>1.1285827616846773E-2</v>
      </c>
    </row>
    <row r="62" spans="1:44">
      <c r="A62" s="250" t="s">
        <v>978</v>
      </c>
      <c r="B62" s="251">
        <f t="shared" si="43"/>
        <v>0.66777218141867412</v>
      </c>
      <c r="C62" s="288">
        <v>1</v>
      </c>
      <c r="D62" s="288">
        <v>5.377860467013872E-3</v>
      </c>
      <c r="E62" s="288">
        <v>1.8092378788022556E-2</v>
      </c>
      <c r="F62" s="288">
        <v>1.1066400410034188E-2</v>
      </c>
      <c r="G62" s="288">
        <v>1.7419426704617668E-2</v>
      </c>
      <c r="H62" s="288">
        <v>1.6167235258045368E-2</v>
      </c>
      <c r="I62" s="288">
        <v>7.2500808803277528E-2</v>
      </c>
      <c r="J62" s="288">
        <v>0.11293191123011928</v>
      </c>
      <c r="K62" s="288">
        <v>1.7399752256282271E-2</v>
      </c>
      <c r="L62" s="288">
        <v>1.961223512472017E-2</v>
      </c>
      <c r="M62" s="288">
        <v>1.4641083350465919E-2</v>
      </c>
      <c r="N62" s="288">
        <v>1.387567124851863E-2</v>
      </c>
      <c r="O62" s="288">
        <v>1.5200272846774002E-2</v>
      </c>
      <c r="P62" s="288">
        <v>3.2851684725296225E-2</v>
      </c>
      <c r="Q62" s="288">
        <v>1.1970183971213163E-2</v>
      </c>
      <c r="R62" s="288">
        <v>1.1644244772076947E-2</v>
      </c>
      <c r="S62" s="288">
        <v>7.1180994512548912E-3</v>
      </c>
      <c r="T62" s="288">
        <v>3.440945952461303E-2</v>
      </c>
      <c r="U62" s="288">
        <v>2.5047269980168329E-2</v>
      </c>
      <c r="V62" s="288">
        <v>3.8432109938716104E-2</v>
      </c>
      <c r="W62" s="288">
        <v>4.2180152724539746E-2</v>
      </c>
      <c r="X62" s="288">
        <v>1.0499234730094781E-2</v>
      </c>
      <c r="Y62" s="288">
        <v>3.3132535332335226E-2</v>
      </c>
      <c r="Z62" s="288">
        <v>1.1134090110782303E-2</v>
      </c>
      <c r="AA62" s="288">
        <v>1.1257521463428318E-2</v>
      </c>
      <c r="AB62" s="288">
        <v>3.7422747233799548E-2</v>
      </c>
      <c r="AC62" s="288">
        <v>7.6481568126201922E-3</v>
      </c>
      <c r="AD62" s="288">
        <v>1.5096883353929835E-2</v>
      </c>
      <c r="AE62" s="288">
        <v>4.7423003784096363E-2</v>
      </c>
      <c r="AF62" s="288">
        <v>9.9955361674472602E-3</v>
      </c>
      <c r="AG62" s="288">
        <v>8.52510389099954E-2</v>
      </c>
      <c r="AH62" s="288">
        <v>9.099805284918239E-3</v>
      </c>
      <c r="AI62" s="288">
        <v>2.1242303476559456E-2</v>
      </c>
      <c r="AJ62" s="288">
        <v>0.16285890176422341</v>
      </c>
      <c r="AK62" s="184">
        <f t="shared" si="44"/>
        <v>0.66777218141867412</v>
      </c>
      <c r="AL62" s="184">
        <f t="shared" si="45"/>
        <v>0.332227818581326</v>
      </c>
      <c r="AP62" t="s">
        <v>642</v>
      </c>
      <c r="AQ62">
        <v>3.3018072165786637E-2</v>
      </c>
      <c r="AR62">
        <v>9.438557157509006E-3</v>
      </c>
    </row>
    <row r="63" spans="1:44">
      <c r="A63" s="250" t="s">
        <v>979</v>
      </c>
      <c r="B63" s="251">
        <f t="shared" si="43"/>
        <v>0.6858122401870228</v>
      </c>
      <c r="C63" s="288">
        <v>1</v>
      </c>
      <c r="D63" s="288">
        <v>5.0833389575496365E-3</v>
      </c>
      <c r="E63" s="288">
        <v>1.7633704605288014E-2</v>
      </c>
      <c r="F63" s="288">
        <v>9.9023354298162693E-3</v>
      </c>
      <c r="G63" s="288">
        <v>1.5713044457869967E-2</v>
      </c>
      <c r="H63" s="288">
        <v>1.4489078167327534E-2</v>
      </c>
      <c r="I63" s="288">
        <v>7.5874479733024441E-2</v>
      </c>
      <c r="J63" s="288">
        <v>0.11542794571301176</v>
      </c>
      <c r="K63" s="288">
        <v>1.610445221925676E-2</v>
      </c>
      <c r="L63" s="288">
        <v>1.8133950137729119E-2</v>
      </c>
      <c r="M63" s="288">
        <v>1.3360059926337958E-2</v>
      </c>
      <c r="N63" s="288">
        <v>1.3115043498659476E-2</v>
      </c>
      <c r="O63" s="288">
        <v>1.5684204683101173E-2</v>
      </c>
      <c r="P63" s="288">
        <v>3.5995059435363505E-2</v>
      </c>
      <c r="Q63" s="288">
        <v>1.1897782957025036E-2</v>
      </c>
      <c r="R63" s="288">
        <v>1.0846998548268724E-2</v>
      </c>
      <c r="S63" s="288">
        <v>6.6009265724498202E-3</v>
      </c>
      <c r="T63" s="288">
        <v>3.2489751980218723E-2</v>
      </c>
      <c r="U63" s="288">
        <v>2.3535886332746413E-2</v>
      </c>
      <c r="V63" s="288">
        <v>4.0124864711260963E-2</v>
      </c>
      <c r="W63" s="288">
        <v>4.2594258837225188E-2</v>
      </c>
      <c r="X63" s="288">
        <v>9.7112611350031221E-3</v>
      </c>
      <c r="Y63" s="288">
        <v>3.357571077435146E-2</v>
      </c>
      <c r="Z63" s="288">
        <v>1.1013568143082216E-2</v>
      </c>
      <c r="AA63" s="288">
        <v>1.0379602206158894E-2</v>
      </c>
      <c r="AB63" s="288">
        <v>3.8597994988306447E-2</v>
      </c>
      <c r="AC63" s="288">
        <v>7.1602401346681065E-3</v>
      </c>
      <c r="AD63" s="288">
        <v>1.3774514680244737E-2</v>
      </c>
      <c r="AE63" s="288">
        <v>4.9476882914273483E-2</v>
      </c>
      <c r="AF63" s="288">
        <v>9.0315357583477997E-3</v>
      </c>
      <c r="AG63" s="288">
        <v>8.9179277325277015E-2</v>
      </c>
      <c r="AH63" s="288">
        <v>8.3669054451863227E-3</v>
      </c>
      <c r="AI63" s="288">
        <v>2.137439517317782E-2</v>
      </c>
      <c r="AJ63" s="288">
        <v>0.16375094441839208</v>
      </c>
      <c r="AK63" s="184">
        <f t="shared" si="44"/>
        <v>0.6858122401870228</v>
      </c>
      <c r="AL63" s="184">
        <f t="shared" si="45"/>
        <v>0.3141877598129772</v>
      </c>
      <c r="AP63" t="s">
        <v>643</v>
      </c>
      <c r="AQ63">
        <v>3.4979686772112752E-2</v>
      </c>
      <c r="AR63">
        <v>3.3392231267711542E-2</v>
      </c>
    </row>
    <row r="64" spans="1:44">
      <c r="A64" s="250" t="s">
        <v>980</v>
      </c>
      <c r="B64" s="251">
        <f t="shared" si="43"/>
        <v>0.71043610880349584</v>
      </c>
      <c r="C64" s="288">
        <v>1</v>
      </c>
      <c r="D64" s="288">
        <v>4.5879591969894915E-3</v>
      </c>
      <c r="E64" s="288">
        <v>1.7047132144920062E-2</v>
      </c>
      <c r="F64" s="288">
        <v>8.2376134143433491E-3</v>
      </c>
      <c r="G64" s="288">
        <v>1.3557460639275853E-2</v>
      </c>
      <c r="H64" s="288">
        <v>1.3016048434425278E-2</v>
      </c>
      <c r="I64" s="288">
        <v>8.293927244780587E-2</v>
      </c>
      <c r="J64" s="288">
        <v>0.11605260125627484</v>
      </c>
      <c r="K64" s="288">
        <v>1.4423933510631671E-2</v>
      </c>
      <c r="L64" s="288">
        <v>1.6057115000688082E-2</v>
      </c>
      <c r="M64" s="288">
        <v>1.0945021181653174E-2</v>
      </c>
      <c r="N64" s="288">
        <v>1.2196022553841458E-2</v>
      </c>
      <c r="O64" s="288">
        <v>1.5855214914709006E-2</v>
      </c>
      <c r="P64" s="288">
        <v>3.6774147395829418E-2</v>
      </c>
      <c r="Q64" s="288">
        <v>1.1463737886689288E-2</v>
      </c>
      <c r="R64" s="288">
        <v>9.884522557491374E-3</v>
      </c>
      <c r="S64" s="288">
        <v>5.8742423578544006E-3</v>
      </c>
      <c r="T64" s="288">
        <v>3.0880422984282292E-2</v>
      </c>
      <c r="U64" s="288">
        <v>2.213285960063064E-2</v>
      </c>
      <c r="V64" s="288">
        <v>4.2015044632745149E-2</v>
      </c>
      <c r="W64" s="288">
        <v>4.4691730597224026E-2</v>
      </c>
      <c r="X64" s="288">
        <v>9.2126013955055649E-3</v>
      </c>
      <c r="Y64" s="288">
        <v>3.4142464708668663E-2</v>
      </c>
      <c r="Z64" s="288">
        <v>1.0388865674327428E-2</v>
      </c>
      <c r="AA64" s="288">
        <v>9.0256728816431632E-3</v>
      </c>
      <c r="AB64" s="288">
        <v>3.7038267725284339E-2</v>
      </c>
      <c r="AC64" s="288">
        <v>6.5367918307993322E-3</v>
      </c>
      <c r="AD64" s="288">
        <v>1.2937565629075094E-2</v>
      </c>
      <c r="AE64" s="288">
        <v>5.2537216652565041E-2</v>
      </c>
      <c r="AF64" s="288">
        <v>8.0711873647901552E-3</v>
      </c>
      <c r="AG64" s="288">
        <v>9.1864232113307104E-2</v>
      </c>
      <c r="AH64" s="288">
        <v>7.0467328330000734E-3</v>
      </c>
      <c r="AI64" s="288">
        <v>2.158700262653146E-2</v>
      </c>
      <c r="AJ64" s="288">
        <v>0.17097929585619778</v>
      </c>
      <c r="AK64" s="184">
        <f t="shared" si="44"/>
        <v>0.71043610880349584</v>
      </c>
      <c r="AL64" s="184">
        <f t="shared" si="45"/>
        <v>0.28956389119650416</v>
      </c>
      <c r="AP64" t="s">
        <v>644</v>
      </c>
      <c r="AQ64">
        <v>2.8927527102380907E-2</v>
      </c>
      <c r="AR64">
        <v>3.4015975763828199E-2</v>
      </c>
    </row>
    <row r="65" spans="1:44">
      <c r="A65" t="s">
        <v>981</v>
      </c>
      <c r="B65" s="251">
        <f t="shared" si="43"/>
        <v>1</v>
      </c>
      <c r="C65" s="287">
        <v>1</v>
      </c>
      <c r="D65" s="287">
        <v>1.0060081195864865</v>
      </c>
      <c r="E65" s="287">
        <v>1.0085549428945382</v>
      </c>
      <c r="F65" s="287">
        <v>1.0262437393027877</v>
      </c>
      <c r="G65" s="287">
        <v>1.0045464030772138</v>
      </c>
      <c r="H65" s="287">
        <v>1.0414645265937568</v>
      </c>
      <c r="I65" s="287">
        <v>0.91489493837247227</v>
      </c>
      <c r="J65" s="287">
        <v>0.81072276420367972</v>
      </c>
      <c r="K65" s="287">
        <v>1.0182998621365331</v>
      </c>
      <c r="L65" s="287">
        <v>1.0165930049489034</v>
      </c>
      <c r="M65" s="287">
        <v>0.98283090126403438</v>
      </c>
      <c r="N65" s="287">
        <v>0.99581204480125651</v>
      </c>
      <c r="O65" s="287">
        <v>0.97032802782293404</v>
      </c>
      <c r="P65" s="287">
        <v>1.0005664813629853</v>
      </c>
      <c r="Q65" s="287">
        <v>1.0128824294401446</v>
      </c>
      <c r="R65" s="287">
        <v>1.0366559247876208</v>
      </c>
      <c r="S65" s="287">
        <v>1.04028387982532</v>
      </c>
      <c r="T65" s="287">
        <v>1.0273305972401088</v>
      </c>
      <c r="U65" s="287">
        <v>0.96454255624598562</v>
      </c>
      <c r="V65" s="287">
        <v>1.0085186973710649</v>
      </c>
      <c r="W65" s="287">
        <v>0.97945786112785249</v>
      </c>
      <c r="X65" s="287">
        <v>1.0082818886040175</v>
      </c>
      <c r="Y65" s="287">
        <v>0.994981733359948</v>
      </c>
      <c r="Z65" s="287">
        <v>1.0121125350176097</v>
      </c>
      <c r="AA65" s="287">
        <v>1.0233073804344635</v>
      </c>
      <c r="AB65" s="287">
        <v>0.99013986738753113</v>
      </c>
      <c r="AC65" s="287">
        <v>1.0153506775472223</v>
      </c>
      <c r="AD65" s="287">
        <v>1.0337451478192528</v>
      </c>
      <c r="AE65" s="287">
        <v>0.93776700647193012</v>
      </c>
      <c r="AF65" s="287">
        <v>0.99242908977972155</v>
      </c>
      <c r="AG65" s="287">
        <v>0.83975803633563939</v>
      </c>
      <c r="AH65" s="287">
        <v>1.0176845029056281</v>
      </c>
      <c r="AI65" s="287">
        <v>0.9956975065985606</v>
      </c>
      <c r="AJ65" s="287">
        <v>0.93222217241805083</v>
      </c>
      <c r="AK65" s="184">
        <f>C65</f>
        <v>1</v>
      </c>
      <c r="AL65" s="184">
        <f>C65</f>
        <v>1</v>
      </c>
      <c r="AN65" s="184">
        <f>AVERAGE(L65:M65,Q65:S65,Y65:Z65,AB65,AH65,AJ65,AM65)</f>
        <v>1.003638695135479</v>
      </c>
      <c r="AO65" s="184">
        <f>AVERAGE(G65:K65,N65:P65,T65:X65,AA65,AD65:AG65,AI65,AK65,AL65)</f>
        <v>0.97940337220949636</v>
      </c>
      <c r="AP65" t="s">
        <v>645</v>
      </c>
      <c r="AQ65">
        <v>2.2883722383352848E-2</v>
      </c>
      <c r="AR65">
        <v>3.4400260587907884E-2</v>
      </c>
    </row>
    <row r="66" spans="1:44">
      <c r="A66" t="s">
        <v>982</v>
      </c>
      <c r="B66" s="251">
        <f t="shared" si="43"/>
        <v>1</v>
      </c>
      <c r="C66" s="287">
        <v>1</v>
      </c>
      <c r="D66" s="287">
        <v>0.91741290452431268</v>
      </c>
      <c r="E66" s="287">
        <v>0.88240449021530665</v>
      </c>
      <c r="F66" s="287">
        <v>0.63925581502850115</v>
      </c>
      <c r="G66" s="287">
        <v>0.93750553403541548</v>
      </c>
      <c r="H66" s="287">
        <v>0.43003218105794372</v>
      </c>
      <c r="I66" s="287">
        <v>2.1698468628862884</v>
      </c>
      <c r="J66" s="287">
        <v>3.6017886160661914</v>
      </c>
      <c r="K66" s="287">
        <v>0.74845166782946926</v>
      </c>
      <c r="L66" s="287">
        <v>0.77191398003697331</v>
      </c>
      <c r="M66" s="287">
        <v>1.2360049556483439</v>
      </c>
      <c r="N66" s="287">
        <v>1.0575672722334744</v>
      </c>
      <c r="O66" s="287">
        <v>1.407868379426235</v>
      </c>
      <c r="P66" s="287">
        <v>0.99221319586992074</v>
      </c>
      <c r="Q66" s="287">
        <v>0.82291923207969897</v>
      </c>
      <c r="R66" s="287">
        <v>0.49613080821595418</v>
      </c>
      <c r="S66" s="287">
        <v>0.44626125006770018</v>
      </c>
      <c r="T66" s="287">
        <v>0.62431595923070071</v>
      </c>
      <c r="U66" s="287">
        <v>1.4873949744980104</v>
      </c>
      <c r="V66" s="287">
        <v>0.88290271806589726</v>
      </c>
      <c r="W66" s="287">
        <v>1.2823704754686791</v>
      </c>
      <c r="X66" s="287">
        <v>0.88615787102549959</v>
      </c>
      <c r="Y66" s="287">
        <v>1.0689806619456468</v>
      </c>
      <c r="Z66" s="287">
        <v>0.8335021346442737</v>
      </c>
      <c r="AA66" s="287">
        <v>0.67961875167087527</v>
      </c>
      <c r="AB66" s="287">
        <v>1.1355365354745068</v>
      </c>
      <c r="AC66" s="287">
        <v>0.78899090573023933</v>
      </c>
      <c r="AD66" s="287">
        <v>0.53614209826013526</v>
      </c>
      <c r="AE66" s="287">
        <v>1.8554493805017875</v>
      </c>
      <c r="AF66" s="287">
        <v>1.1040690812157465</v>
      </c>
      <c r="AG66" s="287">
        <v>3.202672260739615</v>
      </c>
      <c r="AH66" s="287">
        <v>0.75691034293122794</v>
      </c>
      <c r="AI66" s="287">
        <v>1.0591417045238913</v>
      </c>
      <c r="AJ66" s="287">
        <v>1.9316681928627408</v>
      </c>
      <c r="AK66" s="184">
        <f t="shared" ref="AK66:AK112" si="46">C66</f>
        <v>1</v>
      </c>
      <c r="AL66" s="184">
        <f t="shared" ref="AL66:AL112" si="47">C66</f>
        <v>1</v>
      </c>
      <c r="AP66" t="s">
        <v>646</v>
      </c>
      <c r="AQ66">
        <v>2.3439732902683634E-2</v>
      </c>
      <c r="AR66">
        <v>5.1340085588175356E-2</v>
      </c>
    </row>
    <row r="67" spans="1:44">
      <c r="A67" t="s">
        <v>983</v>
      </c>
      <c r="B67" s="251">
        <f t="shared" si="43"/>
        <v>1</v>
      </c>
      <c r="C67" s="287">
        <v>1</v>
      </c>
      <c r="D67" s="287">
        <v>1</v>
      </c>
      <c r="E67" s="287">
        <v>1</v>
      </c>
      <c r="F67" s="287">
        <v>1</v>
      </c>
      <c r="G67" s="287">
        <v>1</v>
      </c>
      <c r="H67" s="287">
        <v>1</v>
      </c>
      <c r="I67" s="287">
        <v>1</v>
      </c>
      <c r="J67" s="287">
        <v>1</v>
      </c>
      <c r="K67" s="287">
        <v>1</v>
      </c>
      <c r="L67" s="287">
        <v>1</v>
      </c>
      <c r="M67" s="287">
        <v>1</v>
      </c>
      <c r="N67" s="287">
        <v>1</v>
      </c>
      <c r="O67" s="287">
        <v>1</v>
      </c>
      <c r="P67" s="287">
        <v>1</v>
      </c>
      <c r="Q67" s="287">
        <v>1</v>
      </c>
      <c r="R67" s="287">
        <v>1</v>
      </c>
      <c r="S67" s="287">
        <v>1</v>
      </c>
      <c r="T67" s="287">
        <v>1</v>
      </c>
      <c r="U67" s="287">
        <v>1</v>
      </c>
      <c r="V67" s="287">
        <v>1</v>
      </c>
      <c r="W67" s="287">
        <v>1</v>
      </c>
      <c r="X67" s="287">
        <v>1</v>
      </c>
      <c r="Y67" s="287">
        <v>1</v>
      </c>
      <c r="Z67" s="287">
        <v>1</v>
      </c>
      <c r="AA67" s="287">
        <v>1</v>
      </c>
      <c r="AB67" s="287">
        <v>1</v>
      </c>
      <c r="AC67" s="287">
        <v>1</v>
      </c>
      <c r="AD67" s="287">
        <v>1</v>
      </c>
      <c r="AE67" s="287">
        <v>1</v>
      </c>
      <c r="AF67" s="287">
        <v>1</v>
      </c>
      <c r="AG67" s="287">
        <v>1</v>
      </c>
      <c r="AH67" s="287">
        <v>1</v>
      </c>
      <c r="AI67" s="287">
        <v>1</v>
      </c>
      <c r="AJ67" s="287">
        <v>1</v>
      </c>
      <c r="AK67" s="184">
        <f t="shared" si="46"/>
        <v>1</v>
      </c>
      <c r="AL67" s="184">
        <f t="shared" si="47"/>
        <v>1</v>
      </c>
      <c r="AP67" t="s">
        <v>648</v>
      </c>
      <c r="AQ67">
        <v>2.1950593948493156E-2</v>
      </c>
      <c r="AR67">
        <v>1.3411441583658288E-2</v>
      </c>
    </row>
    <row r="68" spans="1:44">
      <c r="A68" t="s">
        <v>984</v>
      </c>
      <c r="B68" s="251">
        <f t="shared" si="43"/>
        <v>1</v>
      </c>
      <c r="C68" s="287">
        <v>1</v>
      </c>
      <c r="D68" s="287">
        <v>1</v>
      </c>
      <c r="E68" s="287">
        <v>1</v>
      </c>
      <c r="F68" s="287">
        <v>1</v>
      </c>
      <c r="G68" s="287">
        <v>1</v>
      </c>
      <c r="H68" s="287">
        <v>1</v>
      </c>
      <c r="I68" s="287">
        <v>1</v>
      </c>
      <c r="J68" s="287">
        <v>1</v>
      </c>
      <c r="K68" s="287">
        <v>1</v>
      </c>
      <c r="L68" s="287">
        <v>1</v>
      </c>
      <c r="M68" s="287">
        <v>1</v>
      </c>
      <c r="N68" s="287">
        <v>1</v>
      </c>
      <c r="O68" s="287">
        <v>1</v>
      </c>
      <c r="P68" s="287">
        <v>1</v>
      </c>
      <c r="Q68" s="287">
        <v>1</v>
      </c>
      <c r="R68" s="287">
        <v>1</v>
      </c>
      <c r="S68" s="287">
        <v>1</v>
      </c>
      <c r="T68" s="287">
        <v>1</v>
      </c>
      <c r="U68" s="287">
        <v>1</v>
      </c>
      <c r="V68" s="287">
        <v>1</v>
      </c>
      <c r="W68" s="287">
        <v>1</v>
      </c>
      <c r="X68" s="287">
        <v>1</v>
      </c>
      <c r="Y68" s="287">
        <v>1</v>
      </c>
      <c r="Z68" s="287">
        <v>1</v>
      </c>
      <c r="AA68" s="287">
        <v>1</v>
      </c>
      <c r="AB68" s="287">
        <v>1</v>
      </c>
      <c r="AC68" s="287">
        <v>1</v>
      </c>
      <c r="AD68" s="287">
        <v>1</v>
      </c>
      <c r="AE68" s="287">
        <v>1</v>
      </c>
      <c r="AF68" s="287">
        <v>1</v>
      </c>
      <c r="AG68" s="287">
        <v>1</v>
      </c>
      <c r="AH68" s="287">
        <v>1</v>
      </c>
      <c r="AI68" s="287">
        <v>1</v>
      </c>
      <c r="AJ68" s="287">
        <v>1</v>
      </c>
      <c r="AK68" s="184">
        <f t="shared" si="46"/>
        <v>1</v>
      </c>
      <c r="AL68" s="184">
        <f t="shared" si="47"/>
        <v>1</v>
      </c>
      <c r="AP68" t="s">
        <v>649</v>
      </c>
      <c r="AQ68">
        <v>3.4432365139657341E-2</v>
      </c>
      <c r="AR68">
        <v>3.4183712292508606E-2</v>
      </c>
    </row>
    <row r="69" spans="1:44">
      <c r="A69" t="s">
        <v>985</v>
      </c>
      <c r="B69" s="251">
        <f t="shared" si="43"/>
        <v>1</v>
      </c>
      <c r="C69" s="287">
        <v>1</v>
      </c>
      <c r="D69" s="287">
        <v>1</v>
      </c>
      <c r="E69" s="287">
        <v>1</v>
      </c>
      <c r="F69" s="287">
        <v>1</v>
      </c>
      <c r="G69" s="287">
        <v>1</v>
      </c>
      <c r="H69" s="287">
        <v>1</v>
      </c>
      <c r="I69" s="287">
        <v>1</v>
      </c>
      <c r="J69" s="287">
        <v>1</v>
      </c>
      <c r="K69" s="287">
        <v>1</v>
      </c>
      <c r="L69" s="287">
        <v>1</v>
      </c>
      <c r="M69" s="287">
        <v>1</v>
      </c>
      <c r="N69" s="287">
        <v>1</v>
      </c>
      <c r="O69" s="287">
        <v>1</v>
      </c>
      <c r="P69" s="287">
        <v>1</v>
      </c>
      <c r="Q69" s="287">
        <v>1</v>
      </c>
      <c r="R69" s="287">
        <v>1</v>
      </c>
      <c r="S69" s="287">
        <v>1</v>
      </c>
      <c r="T69" s="287">
        <v>1</v>
      </c>
      <c r="U69" s="287">
        <v>1</v>
      </c>
      <c r="V69" s="287">
        <v>1</v>
      </c>
      <c r="W69" s="287">
        <v>1</v>
      </c>
      <c r="X69" s="287">
        <v>1</v>
      </c>
      <c r="Y69" s="287">
        <v>1</v>
      </c>
      <c r="Z69" s="287">
        <v>1</v>
      </c>
      <c r="AA69" s="287">
        <v>1</v>
      </c>
      <c r="AB69" s="287">
        <v>1</v>
      </c>
      <c r="AC69" s="287">
        <v>1</v>
      </c>
      <c r="AD69" s="287">
        <v>1</v>
      </c>
      <c r="AE69" s="287">
        <v>1</v>
      </c>
      <c r="AF69" s="287">
        <v>1</v>
      </c>
      <c r="AG69" s="287">
        <v>1</v>
      </c>
      <c r="AH69" s="287">
        <v>1</v>
      </c>
      <c r="AI69" s="287">
        <v>1</v>
      </c>
      <c r="AJ69" s="287">
        <v>1</v>
      </c>
      <c r="AK69" s="184">
        <f t="shared" si="46"/>
        <v>1</v>
      </c>
      <c r="AL69" s="184">
        <f t="shared" si="47"/>
        <v>1</v>
      </c>
      <c r="AP69" t="s">
        <v>650</v>
      </c>
      <c r="AQ69">
        <v>3.2927765766897384E-2</v>
      </c>
      <c r="AR69">
        <v>1.5297059252472416E-2</v>
      </c>
    </row>
    <row r="70" spans="1:44">
      <c r="A70" t="s">
        <v>986</v>
      </c>
      <c r="B70" s="251">
        <f t="shared" si="43"/>
        <v>1</v>
      </c>
      <c r="C70" s="287">
        <v>1</v>
      </c>
      <c r="D70" s="287">
        <v>1.0001950624930032</v>
      </c>
      <c r="E70" s="287">
        <v>1.0105593098482213</v>
      </c>
      <c r="F70" s="287">
        <v>1.0321444362418504</v>
      </c>
      <c r="G70" s="287">
        <v>1.0093822961953673</v>
      </c>
      <c r="H70" s="287">
        <v>1.0428951588720625</v>
      </c>
      <c r="I70" s="287">
        <v>0.91701645388385689</v>
      </c>
      <c r="J70" s="287">
        <v>0.86579766300293259</v>
      </c>
      <c r="K70" s="287">
        <v>1.0188522725839508</v>
      </c>
      <c r="L70" s="287">
        <v>1.0173031976654991</v>
      </c>
      <c r="M70" s="287">
        <v>0.98706652267473738</v>
      </c>
      <c r="N70" s="287">
        <v>0.99230480334445204</v>
      </c>
      <c r="O70" s="287">
        <v>0.97427247047914645</v>
      </c>
      <c r="P70" s="287">
        <v>1.0058506221633994</v>
      </c>
      <c r="Q70" s="287">
        <v>1.0195010368138622</v>
      </c>
      <c r="R70" s="287">
        <v>1.0410641446627116</v>
      </c>
      <c r="S70" s="287">
        <v>1.0418718525161887</v>
      </c>
      <c r="T70" s="287">
        <v>1.0272772262915908</v>
      </c>
      <c r="U70" s="287">
        <v>0.96428597646518543</v>
      </c>
      <c r="V70" s="287">
        <v>1.0105140722233283</v>
      </c>
      <c r="W70" s="287">
        <v>0.98474000075582357</v>
      </c>
      <c r="X70" s="287">
        <v>1.0123354161185627</v>
      </c>
      <c r="Y70" s="287">
        <v>0.99835772133600675</v>
      </c>
      <c r="Z70" s="287">
        <v>1.0130970816399163</v>
      </c>
      <c r="AA70" s="287">
        <v>1.0282472797369864</v>
      </c>
      <c r="AB70" s="287">
        <v>0.97710580121691692</v>
      </c>
      <c r="AC70" s="287">
        <v>1.0194510380748423</v>
      </c>
      <c r="AD70" s="287">
        <v>1.0386419286654613</v>
      </c>
      <c r="AE70" s="287">
        <v>0.93684204042442976</v>
      </c>
      <c r="AF70" s="287">
        <v>0.99459526229797668</v>
      </c>
      <c r="AG70" s="287">
        <v>0.80883565049324058</v>
      </c>
      <c r="AH70" s="287">
        <v>1.0233161271097966</v>
      </c>
      <c r="AI70" s="287">
        <v>0.98984645878775546</v>
      </c>
      <c r="AJ70" s="287">
        <v>0.93558099149215823</v>
      </c>
      <c r="AK70" s="184">
        <f t="shared" si="46"/>
        <v>1</v>
      </c>
      <c r="AL70" s="184">
        <f t="shared" si="47"/>
        <v>1</v>
      </c>
      <c r="AP70" t="s">
        <v>651</v>
      </c>
      <c r="AQ70">
        <v>2.6232504342221418E-2</v>
      </c>
      <c r="AR70">
        <v>1.5379698454255783E-2</v>
      </c>
    </row>
    <row r="71" spans="1:44">
      <c r="A71" t="s">
        <v>987</v>
      </c>
      <c r="B71" s="251">
        <f t="shared" si="43"/>
        <v>1</v>
      </c>
      <c r="C71" s="287">
        <v>1</v>
      </c>
      <c r="D71" s="287">
        <v>1.0074644851828345</v>
      </c>
      <c r="E71" s="287">
        <v>0.85768568863804984</v>
      </c>
      <c r="F71" s="287">
        <v>0.60182219546499527</v>
      </c>
      <c r="G71" s="287">
        <v>0.90117311348957574</v>
      </c>
      <c r="H71" s="287">
        <v>0.40435245985001228</v>
      </c>
      <c r="I71" s="287">
        <v>2.0698517343974814</v>
      </c>
      <c r="J71" s="287">
        <v>2.6672019209371887</v>
      </c>
      <c r="K71" s="287">
        <v>0.73013948188239608</v>
      </c>
      <c r="L71" s="287">
        <v>0.78588612172041217</v>
      </c>
      <c r="M71" s="287">
        <v>1.1709455377526898</v>
      </c>
      <c r="N71" s="287">
        <v>1.1028598530211473</v>
      </c>
      <c r="O71" s="287">
        <v>1.3366135154422321</v>
      </c>
      <c r="P71" s="287">
        <v>0.93300361959654143</v>
      </c>
      <c r="Q71" s="287">
        <v>0.76893944940903958</v>
      </c>
      <c r="R71" s="287">
        <v>0.48027168587048918</v>
      </c>
      <c r="S71" s="287">
        <v>0.42885898145228329</v>
      </c>
      <c r="T71" s="287">
        <v>0.60526189324319157</v>
      </c>
      <c r="U71" s="287">
        <v>1.4603108026888463</v>
      </c>
      <c r="V71" s="287">
        <v>0.87048495716143148</v>
      </c>
      <c r="W71" s="287">
        <v>1.2084730345022066</v>
      </c>
      <c r="X71" s="287">
        <v>0.85176293648132362</v>
      </c>
      <c r="Y71" s="287">
        <v>1.0392875073995567</v>
      </c>
      <c r="Z71" s="287">
        <v>0.85444207606902622</v>
      </c>
      <c r="AA71" s="287">
        <v>0.64620950359017848</v>
      </c>
      <c r="AB71" s="287">
        <v>1.3012574565281319</v>
      </c>
      <c r="AC71" s="287">
        <v>0.75661305574333926</v>
      </c>
      <c r="AD71" s="287">
        <v>0.509443234197136</v>
      </c>
      <c r="AE71" s="287">
        <v>1.8110151188227661</v>
      </c>
      <c r="AF71" s="287">
        <v>1.0667569315000376</v>
      </c>
      <c r="AG71" s="287">
        <v>3.4378668310478195</v>
      </c>
      <c r="AH71" s="287">
        <v>0.71526564036362572</v>
      </c>
      <c r="AI71" s="287">
        <v>1.1467550240709239</v>
      </c>
      <c r="AJ71" s="287">
        <v>1.8254484237332504</v>
      </c>
      <c r="AK71" s="184">
        <f t="shared" si="46"/>
        <v>1</v>
      </c>
      <c r="AL71" s="184">
        <f t="shared" si="47"/>
        <v>1</v>
      </c>
      <c r="AP71" t="s">
        <v>652</v>
      </c>
      <c r="AQ71">
        <v>2.7502952701501149E-2</v>
      </c>
      <c r="AR71">
        <v>4.3896990679082537E-2</v>
      </c>
    </row>
    <row r="72" spans="1:44">
      <c r="A72" t="s">
        <v>988</v>
      </c>
      <c r="B72" s="251">
        <f t="shared" si="43"/>
        <v>1</v>
      </c>
      <c r="C72" s="287">
        <v>1</v>
      </c>
      <c r="D72" s="287">
        <v>0.97305924966646584</v>
      </c>
      <c r="E72" s="287">
        <v>1.0129232492469045</v>
      </c>
      <c r="F72" s="287">
        <v>0.96777318819259461</v>
      </c>
      <c r="G72" s="287">
        <v>0.95867178669959863</v>
      </c>
      <c r="H72" s="287">
        <v>1.0842763974084881</v>
      </c>
      <c r="I72" s="287">
        <v>1.0026104528837363</v>
      </c>
      <c r="J72" s="287">
        <v>1.1108693831346599</v>
      </c>
      <c r="K72" s="287">
        <v>1.0507722527256551</v>
      </c>
      <c r="L72" s="287">
        <v>0.98224830241731287</v>
      </c>
      <c r="M72" s="287">
        <v>0.98807734699338245</v>
      </c>
      <c r="N72" s="287">
        <v>0.98932258148428409</v>
      </c>
      <c r="O72" s="287">
        <v>0.99247818306215396</v>
      </c>
      <c r="P72" s="287">
        <v>0.98955023488556926</v>
      </c>
      <c r="Q72" s="287">
        <v>0.96426448138356047</v>
      </c>
      <c r="R72" s="287">
        <v>0.98379447355750416</v>
      </c>
      <c r="S72" s="287">
        <v>1.0591156388869385</v>
      </c>
      <c r="T72" s="287">
        <v>1.0817511755343654</v>
      </c>
      <c r="U72" s="287">
        <v>0.9953952079397983</v>
      </c>
      <c r="V72" s="287">
        <v>0.9960052514852259</v>
      </c>
      <c r="W72" s="287">
        <v>0.98672679173297806</v>
      </c>
      <c r="X72" s="287">
        <v>0.98065431217890175</v>
      </c>
      <c r="Y72" s="287">
        <v>0.96976993588751503</v>
      </c>
      <c r="Z72" s="287">
        <v>0.95612874028047912</v>
      </c>
      <c r="AA72" s="287">
        <v>0.97923094087174323</v>
      </c>
      <c r="AB72" s="287">
        <v>0.98092160917899296</v>
      </c>
      <c r="AC72" s="287">
        <v>0.98368740236563412</v>
      </c>
      <c r="AD72" s="287">
        <v>0.98976767864266213</v>
      </c>
      <c r="AE72" s="287">
        <v>1.0033854347962243</v>
      </c>
      <c r="AF72" s="287">
        <v>1.0034168215291364</v>
      </c>
      <c r="AG72" s="287">
        <v>1.0376836734299986</v>
      </c>
      <c r="AH72" s="287">
        <v>0.96714281370297017</v>
      </c>
      <c r="AI72" s="287">
        <v>0.97092002091141072</v>
      </c>
      <c r="AJ72" s="287">
        <v>1.0147353970011197</v>
      </c>
      <c r="AK72" s="184">
        <f t="shared" si="46"/>
        <v>1</v>
      </c>
      <c r="AL72" s="184">
        <f t="shared" si="47"/>
        <v>1</v>
      </c>
      <c r="AP72" t="s">
        <v>653</v>
      </c>
      <c r="AQ72">
        <v>3.4612184091302824E-2</v>
      </c>
      <c r="AR72">
        <v>9.9317401846393469E-3</v>
      </c>
    </row>
    <row r="73" spans="1:44">
      <c r="A73" t="s">
        <v>989</v>
      </c>
      <c r="B73" s="251">
        <f t="shared" si="43"/>
        <v>1</v>
      </c>
      <c r="C73" s="287">
        <v>1</v>
      </c>
      <c r="D73" s="287">
        <v>1.2224578657081056</v>
      </c>
      <c r="E73" s="287">
        <v>0.9930689726081372</v>
      </c>
      <c r="F73" s="287">
        <v>1.1134245429808984</v>
      </c>
      <c r="G73" s="287">
        <v>0.99942608604666483</v>
      </c>
      <c r="H73" s="287">
        <v>1.0164777751527958</v>
      </c>
      <c r="I73" s="287">
        <v>0.72795706762819434</v>
      </c>
      <c r="J73" s="287">
        <v>0.93214006072107991</v>
      </c>
      <c r="K73" s="287">
        <v>1.0533227497617479</v>
      </c>
      <c r="L73" s="287">
        <v>1.0604623285851125</v>
      </c>
      <c r="M73" s="287">
        <v>1.0786031599152084</v>
      </c>
      <c r="N73" s="287">
        <v>1.0857407211949501</v>
      </c>
      <c r="O73" s="287">
        <v>0.8862869662086853</v>
      </c>
      <c r="P73" s="287">
        <v>0.85710795182279054</v>
      </c>
      <c r="Q73" s="287">
        <v>0.96204181880183914</v>
      </c>
      <c r="R73" s="287">
        <v>1.0358417469999803</v>
      </c>
      <c r="S73" s="287">
        <v>1.1151124563409702</v>
      </c>
      <c r="T73" s="287">
        <v>1.0732330321362051</v>
      </c>
      <c r="U73" s="287">
        <v>1.0499133224594634</v>
      </c>
      <c r="V73" s="287">
        <v>0.81536152806381268</v>
      </c>
      <c r="W73" s="287">
        <v>0.70941296812517185</v>
      </c>
      <c r="X73" s="287">
        <v>0.99560786264922096</v>
      </c>
      <c r="Y73" s="287">
        <v>0.87659375773943948</v>
      </c>
      <c r="Z73" s="287">
        <v>1.0176076369052149</v>
      </c>
      <c r="AA73" s="287">
        <v>1.0955604455793995</v>
      </c>
      <c r="AB73" s="287">
        <v>1.1539419406625446</v>
      </c>
      <c r="AC73" s="287">
        <v>1.1096666512118731</v>
      </c>
      <c r="AD73" s="287">
        <v>0.97249643675019648</v>
      </c>
      <c r="AE73" s="287">
        <v>0.92637951895247783</v>
      </c>
      <c r="AF73" s="287">
        <v>1.0471809509818424</v>
      </c>
      <c r="AG73" s="287">
        <v>0.90931277342268479</v>
      </c>
      <c r="AH73" s="287">
        <v>1.129820912051456</v>
      </c>
      <c r="AI73" s="287">
        <v>0.94456216997431941</v>
      </c>
      <c r="AJ73" s="287">
        <v>0.70303609044068682</v>
      </c>
      <c r="AK73" s="184">
        <f t="shared" si="46"/>
        <v>1</v>
      </c>
      <c r="AL73" s="184">
        <f t="shared" si="47"/>
        <v>1</v>
      </c>
      <c r="AP73" t="s">
        <v>654</v>
      </c>
      <c r="AQ73">
        <v>2.8749256941931492E-2</v>
      </c>
      <c r="AR73">
        <v>1.6287079070458708E-2</v>
      </c>
    </row>
    <row r="74" spans="1:44">
      <c r="A74" t="s">
        <v>990</v>
      </c>
      <c r="B74" s="251">
        <f t="shared" si="43"/>
        <v>1</v>
      </c>
      <c r="C74" s="287">
        <v>1</v>
      </c>
      <c r="D74" s="287">
        <v>1</v>
      </c>
      <c r="E74" s="287">
        <v>1</v>
      </c>
      <c r="F74" s="287">
        <v>1</v>
      </c>
      <c r="G74" s="287">
        <v>1</v>
      </c>
      <c r="H74" s="287">
        <v>1</v>
      </c>
      <c r="I74" s="287">
        <v>1</v>
      </c>
      <c r="J74" s="287">
        <v>1</v>
      </c>
      <c r="K74" s="287">
        <v>1</v>
      </c>
      <c r="L74" s="287">
        <v>1</v>
      </c>
      <c r="M74" s="287">
        <v>1</v>
      </c>
      <c r="N74" s="287">
        <v>1</v>
      </c>
      <c r="O74" s="287">
        <v>1</v>
      </c>
      <c r="P74" s="287">
        <v>1</v>
      </c>
      <c r="Q74" s="287">
        <v>1</v>
      </c>
      <c r="R74" s="287">
        <v>1</v>
      </c>
      <c r="S74" s="287">
        <v>1</v>
      </c>
      <c r="T74" s="287">
        <v>1</v>
      </c>
      <c r="U74" s="287">
        <v>1</v>
      </c>
      <c r="V74" s="287">
        <v>1</v>
      </c>
      <c r="W74" s="287">
        <v>1</v>
      </c>
      <c r="X74" s="287">
        <v>1</v>
      </c>
      <c r="Y74" s="287">
        <v>1</v>
      </c>
      <c r="Z74" s="287">
        <v>1</v>
      </c>
      <c r="AA74" s="287">
        <v>1</v>
      </c>
      <c r="AB74" s="287">
        <v>1</v>
      </c>
      <c r="AC74" s="287">
        <v>1</v>
      </c>
      <c r="AD74" s="287">
        <v>1</v>
      </c>
      <c r="AE74" s="287">
        <v>1</v>
      </c>
      <c r="AF74" s="287">
        <v>1</v>
      </c>
      <c r="AG74" s="287">
        <v>1</v>
      </c>
      <c r="AH74" s="287">
        <v>1</v>
      </c>
      <c r="AI74" s="287">
        <v>1</v>
      </c>
      <c r="AJ74" s="287">
        <v>1</v>
      </c>
      <c r="AK74" s="184">
        <f t="shared" si="46"/>
        <v>1</v>
      </c>
      <c r="AL74" s="184">
        <f t="shared" si="47"/>
        <v>1</v>
      </c>
      <c r="AP74" t="s">
        <v>655</v>
      </c>
      <c r="AQ74">
        <v>2.7839105743461129E-2</v>
      </c>
      <c r="AR74">
        <v>4.8610127321328793E-2</v>
      </c>
    </row>
    <row r="75" spans="1:44">
      <c r="A75" t="s">
        <v>991</v>
      </c>
      <c r="B75" s="251">
        <f t="shared" si="43"/>
        <v>1</v>
      </c>
      <c r="C75" s="287">
        <v>1</v>
      </c>
      <c r="D75" s="287">
        <v>0.97667580724866576</v>
      </c>
      <c r="E75" s="287">
        <v>1.015240907929013</v>
      </c>
      <c r="F75" s="287">
        <v>1.0395848824958769</v>
      </c>
      <c r="G75" s="287">
        <v>1.0124287052664387</v>
      </c>
      <c r="H75" s="287">
        <v>1.0432935301672754</v>
      </c>
      <c r="I75" s="287">
        <v>0.91618320966307765</v>
      </c>
      <c r="J75" s="287">
        <v>0.86256291684534103</v>
      </c>
      <c r="K75" s="287">
        <v>1.0178183798924143</v>
      </c>
      <c r="L75" s="287">
        <v>1.0217871897295556</v>
      </c>
      <c r="M75" s="287">
        <v>0.99253075758145082</v>
      </c>
      <c r="N75" s="287">
        <v>0.98646194465839254</v>
      </c>
      <c r="O75" s="287">
        <v>0.97770704331849578</v>
      </c>
      <c r="P75" s="287">
        <v>1.0047697346862829</v>
      </c>
      <c r="Q75" s="287">
        <v>1.0281655323651959</v>
      </c>
      <c r="R75" s="287">
        <v>1.0494424093177734</v>
      </c>
      <c r="S75" s="287">
        <v>1.0427917188060762</v>
      </c>
      <c r="T75" s="287">
        <v>1.0272761202420029</v>
      </c>
      <c r="U75" s="287">
        <v>0.968132860854093</v>
      </c>
      <c r="V75" s="287">
        <v>1.014701692537366</v>
      </c>
      <c r="W75" s="287">
        <v>0.98919483745594072</v>
      </c>
      <c r="X75" s="287">
        <v>1.0151377018972276</v>
      </c>
      <c r="Y75" s="287">
        <v>1.0039013154263641</v>
      </c>
      <c r="Z75" s="287">
        <v>1.015858618830821</v>
      </c>
      <c r="AA75" s="287">
        <v>1.0354772503863947</v>
      </c>
      <c r="AB75" s="287">
        <v>0.95264311195840057</v>
      </c>
      <c r="AC75" s="287">
        <v>1.0257510911081782</v>
      </c>
      <c r="AD75" s="287">
        <v>1.046338888954097</v>
      </c>
      <c r="AE75" s="287">
        <v>0.93468503991312279</v>
      </c>
      <c r="AF75" s="287">
        <v>0.99838314599982014</v>
      </c>
      <c r="AG75" s="287">
        <v>0.79855330251981405</v>
      </c>
      <c r="AH75" s="287">
        <v>1.0306873569818025</v>
      </c>
      <c r="AI75" s="287">
        <v>0.9891438723429844</v>
      </c>
      <c r="AJ75" s="287">
        <v>0.93925743420771179</v>
      </c>
      <c r="AK75" s="184">
        <f t="shared" si="46"/>
        <v>1</v>
      </c>
      <c r="AL75" s="184">
        <f t="shared" si="47"/>
        <v>1</v>
      </c>
      <c r="AP75" t="s">
        <v>656</v>
      </c>
      <c r="AQ75">
        <v>2.603315671595775E-2</v>
      </c>
      <c r="AR75">
        <v>1.3620325706542787E-2</v>
      </c>
    </row>
    <row r="76" spans="1:44">
      <c r="A76" t="s">
        <v>992</v>
      </c>
      <c r="B76" s="251">
        <f t="shared" si="43"/>
        <v>1</v>
      </c>
      <c r="C76" s="287">
        <v>1</v>
      </c>
      <c r="D76" s="287">
        <v>1.248940284667027</v>
      </c>
      <c r="E76" s="287">
        <v>0.80993449738697842</v>
      </c>
      <c r="F76" s="287">
        <v>0.58327169972596149</v>
      </c>
      <c r="G76" s="287">
        <v>0.90209229932395518</v>
      </c>
      <c r="H76" s="287">
        <v>0.38017695135982804</v>
      </c>
      <c r="I76" s="287">
        <v>1.9993853250307672</v>
      </c>
      <c r="J76" s="287">
        <v>2.4553186133863876</v>
      </c>
      <c r="K76" s="287">
        <v>0.71897212263064014</v>
      </c>
      <c r="L76" s="287">
        <v>0.76517605308308889</v>
      </c>
      <c r="M76" s="287">
        <v>1.1234440546616888</v>
      </c>
      <c r="N76" s="287">
        <v>1.144060821896018</v>
      </c>
      <c r="O76" s="287">
        <v>1.2630122221207682</v>
      </c>
      <c r="P76" s="287">
        <v>0.91877270556464319</v>
      </c>
      <c r="Q76" s="287">
        <v>0.7147808998515548</v>
      </c>
      <c r="R76" s="287">
        <v>0.45276412038224118</v>
      </c>
      <c r="S76" s="287">
        <v>0.4172796217509428</v>
      </c>
      <c r="T76" s="287">
        <v>0.57527076824332668</v>
      </c>
      <c r="U76" s="287">
        <v>1.4027478939697025</v>
      </c>
      <c r="V76" s="287">
        <v>0.82455763763968171</v>
      </c>
      <c r="W76" s="287">
        <v>1.1657731416737438</v>
      </c>
      <c r="X76" s="287">
        <v>0.85234814855297281</v>
      </c>
      <c r="Y76" s="287">
        <v>0.99615815182876477</v>
      </c>
      <c r="Z76" s="287">
        <v>0.86803210225765137</v>
      </c>
      <c r="AA76" s="287">
        <v>0.61238823548671117</v>
      </c>
      <c r="AB76" s="287">
        <v>1.5496529304989579</v>
      </c>
      <c r="AC76" s="287">
        <v>0.72610569825326254</v>
      </c>
      <c r="AD76" s="287">
        <v>0.48440696450414172</v>
      </c>
      <c r="AE76" s="287">
        <v>1.7435955793371789</v>
      </c>
      <c r="AF76" s="287">
        <v>1.0353064990736853</v>
      </c>
      <c r="AG76" s="287">
        <v>3.3241734227532458</v>
      </c>
      <c r="AH76" s="287">
        <v>0.67896985814256594</v>
      </c>
      <c r="AI76" s="287">
        <v>1.1697778804674834</v>
      </c>
      <c r="AJ76" s="287">
        <v>1.7121091875330974</v>
      </c>
      <c r="AK76" s="184">
        <f t="shared" si="46"/>
        <v>1</v>
      </c>
      <c r="AL76" s="184">
        <f t="shared" si="47"/>
        <v>1</v>
      </c>
      <c r="AP76" t="s">
        <v>657</v>
      </c>
      <c r="AQ76">
        <v>2.0495619668466875E-2</v>
      </c>
      <c r="AR76">
        <v>6.7104857241382682E-2</v>
      </c>
    </row>
    <row r="77" spans="1:44">
      <c r="A77" t="s">
        <v>993</v>
      </c>
      <c r="B77" s="251">
        <f t="shared" si="43"/>
        <v>1</v>
      </c>
      <c r="C77" s="287">
        <v>1</v>
      </c>
      <c r="D77" s="287">
        <v>1.0071885877596161</v>
      </c>
      <c r="E77" s="287">
        <v>1.0034483384745132</v>
      </c>
      <c r="F77" s="287">
        <v>0.9651026439621595</v>
      </c>
      <c r="G77" s="287">
        <v>0.97255868828525027</v>
      </c>
      <c r="H77" s="287">
        <v>1.0511406953486397</v>
      </c>
      <c r="I77" s="287">
        <v>1.0137983618586357</v>
      </c>
      <c r="J77" s="287">
        <v>1.1057627671618422</v>
      </c>
      <c r="K77" s="287">
        <v>1.0325812717702623</v>
      </c>
      <c r="L77" s="287">
        <v>0.98401316325972021</v>
      </c>
      <c r="M77" s="287">
        <v>0.97995997246981081</v>
      </c>
      <c r="N77" s="287">
        <v>1.0060649291508921</v>
      </c>
      <c r="O77" s="287">
        <v>1.0065609176402501</v>
      </c>
      <c r="P77" s="287">
        <v>1.016015460038882</v>
      </c>
      <c r="Q77" s="287">
        <v>0.97375305907243226</v>
      </c>
      <c r="R77" s="287">
        <v>0.97435962768623974</v>
      </c>
      <c r="S77" s="287">
        <v>1.0315547473910547</v>
      </c>
      <c r="T77" s="287">
        <v>1.0481543980219732</v>
      </c>
      <c r="U77" s="287">
        <v>0.9883940980314132</v>
      </c>
      <c r="V77" s="287">
        <v>1.006192313646489</v>
      </c>
      <c r="W77" s="287">
        <v>0.99213932762208912</v>
      </c>
      <c r="X77" s="287">
        <v>0.98174862810087649</v>
      </c>
      <c r="Y77" s="287">
        <v>0.98212529617468736</v>
      </c>
      <c r="Z77" s="287">
        <v>0.96916040398386161</v>
      </c>
      <c r="AA77" s="287">
        <v>0.97675078728756692</v>
      </c>
      <c r="AB77" s="287">
        <v>1.004421930505663</v>
      </c>
      <c r="AC77" s="287">
        <v>0.97776615725270344</v>
      </c>
      <c r="AD77" s="287">
        <v>0.97982753035044035</v>
      </c>
      <c r="AE77" s="287">
        <v>1.023639386444136</v>
      </c>
      <c r="AF77" s="287">
        <v>0.99030542051930992</v>
      </c>
      <c r="AG77" s="287">
        <v>1.0539444453014417</v>
      </c>
      <c r="AH77" s="287">
        <v>0.97074892624582299</v>
      </c>
      <c r="AI77" s="287">
        <v>0.98202090837222977</v>
      </c>
      <c r="AJ77" s="287">
        <v>1.0205497508179149</v>
      </c>
      <c r="AK77" s="184">
        <f t="shared" si="46"/>
        <v>1</v>
      </c>
      <c r="AL77" s="184">
        <f t="shared" si="47"/>
        <v>1</v>
      </c>
      <c r="AP77" t="s">
        <v>658</v>
      </c>
      <c r="AQ77">
        <v>2.926055924330993E-2</v>
      </c>
      <c r="AR77">
        <v>1.3636926612959517E-2</v>
      </c>
    </row>
    <row r="78" spans="1:44">
      <c r="A78" t="s">
        <v>994</v>
      </c>
      <c r="B78" s="251">
        <f t="shared" si="43"/>
        <v>1</v>
      </c>
      <c r="C78" s="287">
        <v>1</v>
      </c>
      <c r="D78" s="287">
        <v>1.2558810168407877</v>
      </c>
      <c r="E78" s="287">
        <v>1.0024559303926781</v>
      </c>
      <c r="F78" s="287">
        <v>1.1176722360022295</v>
      </c>
      <c r="G78" s="287">
        <v>1.0204282812204346</v>
      </c>
      <c r="H78" s="287">
        <v>1.0094173866155682</v>
      </c>
      <c r="I78" s="287">
        <v>0.73498973144641266</v>
      </c>
      <c r="J78" s="287">
        <v>0.89994206498237594</v>
      </c>
      <c r="K78" s="287">
        <v>1.0572962598196805</v>
      </c>
      <c r="L78" s="287">
        <v>1.0538523160094537</v>
      </c>
      <c r="M78" s="287">
        <v>1.0728232468985379</v>
      </c>
      <c r="N78" s="287">
        <v>1.1017893440085391</v>
      </c>
      <c r="O78" s="287">
        <v>0.88915953666800596</v>
      </c>
      <c r="P78" s="287">
        <v>0.89818628128890854</v>
      </c>
      <c r="Q78" s="287">
        <v>0.95945707139164049</v>
      </c>
      <c r="R78" s="287">
        <v>1.032485867266046</v>
      </c>
      <c r="S78" s="287">
        <v>1.106842172345095</v>
      </c>
      <c r="T78" s="287">
        <v>1.0565616827170743</v>
      </c>
      <c r="U78" s="287">
        <v>1.0404264222112831</v>
      </c>
      <c r="V78" s="287">
        <v>0.80743749142043453</v>
      </c>
      <c r="W78" s="287">
        <v>0.69951405146268231</v>
      </c>
      <c r="X78" s="287">
        <v>1.0123931026161255</v>
      </c>
      <c r="Y78" s="287">
        <v>0.87535777290406303</v>
      </c>
      <c r="Z78" s="287">
        <v>1.0113787629649678</v>
      </c>
      <c r="AA78" s="287">
        <v>1.0857610290413668</v>
      </c>
      <c r="AB78" s="287">
        <v>1.1625939081622998</v>
      </c>
      <c r="AC78" s="287">
        <v>1.1041068617432108</v>
      </c>
      <c r="AD78" s="287">
        <v>0.96170014455020869</v>
      </c>
      <c r="AE78" s="287">
        <v>0.94340240569420675</v>
      </c>
      <c r="AF78" s="287">
        <v>1.0411359650359826</v>
      </c>
      <c r="AG78" s="287">
        <v>0.91011348473543119</v>
      </c>
      <c r="AH78" s="287">
        <v>1.1232967392672388</v>
      </c>
      <c r="AI78" s="287">
        <v>0.93362607943110576</v>
      </c>
      <c r="AJ78" s="287">
        <v>0.6889213521539912</v>
      </c>
      <c r="AK78" s="184">
        <f t="shared" si="46"/>
        <v>1</v>
      </c>
      <c r="AL78" s="184">
        <f t="shared" si="47"/>
        <v>1</v>
      </c>
      <c r="AP78" t="s">
        <v>659</v>
      </c>
      <c r="AQ78">
        <v>3.802627267140881E-2</v>
      </c>
      <c r="AR78">
        <v>2.5012839080642689E-2</v>
      </c>
    </row>
    <row r="79" spans="1:44">
      <c r="A79" t="s">
        <v>995</v>
      </c>
      <c r="B79" s="251">
        <f t="shared" si="43"/>
        <v>1</v>
      </c>
      <c r="C79" s="287">
        <v>1</v>
      </c>
      <c r="D79" s="287">
        <v>1</v>
      </c>
      <c r="E79" s="287">
        <v>1</v>
      </c>
      <c r="F79" s="287">
        <v>1</v>
      </c>
      <c r="G79" s="287">
        <v>1</v>
      </c>
      <c r="H79" s="287">
        <v>1</v>
      </c>
      <c r="I79" s="287">
        <v>1</v>
      </c>
      <c r="J79" s="287">
        <v>1</v>
      </c>
      <c r="K79" s="287">
        <v>1</v>
      </c>
      <c r="L79" s="287">
        <v>1</v>
      </c>
      <c r="M79" s="287">
        <v>1</v>
      </c>
      <c r="N79" s="287">
        <v>1</v>
      </c>
      <c r="O79" s="287">
        <v>1</v>
      </c>
      <c r="P79" s="287">
        <v>1</v>
      </c>
      <c r="Q79" s="287">
        <v>1</v>
      </c>
      <c r="R79" s="287">
        <v>1</v>
      </c>
      <c r="S79" s="287">
        <v>1</v>
      </c>
      <c r="T79" s="287">
        <v>1</v>
      </c>
      <c r="U79" s="287">
        <v>1</v>
      </c>
      <c r="V79" s="287">
        <v>1</v>
      </c>
      <c r="W79" s="287">
        <v>1</v>
      </c>
      <c r="X79" s="287">
        <v>1</v>
      </c>
      <c r="Y79" s="287">
        <v>1</v>
      </c>
      <c r="Z79" s="287">
        <v>1</v>
      </c>
      <c r="AA79" s="287">
        <v>1</v>
      </c>
      <c r="AB79" s="287">
        <v>1</v>
      </c>
      <c r="AC79" s="287">
        <v>1</v>
      </c>
      <c r="AD79" s="287">
        <v>1</v>
      </c>
      <c r="AE79" s="287">
        <v>1</v>
      </c>
      <c r="AF79" s="287">
        <v>1</v>
      </c>
      <c r="AG79" s="287">
        <v>1</v>
      </c>
      <c r="AH79" s="287">
        <v>1</v>
      </c>
      <c r="AI79" s="287">
        <v>1</v>
      </c>
      <c r="AJ79" s="287">
        <v>1</v>
      </c>
      <c r="AK79" s="184">
        <f t="shared" si="46"/>
        <v>1</v>
      </c>
      <c r="AL79" s="184">
        <f t="shared" si="47"/>
        <v>1</v>
      </c>
      <c r="AP79" t="s">
        <v>633</v>
      </c>
      <c r="AQ79">
        <v>2.648986788482106E-2</v>
      </c>
      <c r="AR79">
        <v>0.12774709115477426</v>
      </c>
    </row>
    <row r="80" spans="1:44">
      <c r="A80" t="s">
        <v>996</v>
      </c>
      <c r="B80" s="251">
        <f t="shared" si="43"/>
        <v>1</v>
      </c>
      <c r="C80" s="287">
        <v>1</v>
      </c>
      <c r="D80" s="287">
        <v>1.0177987481816215</v>
      </c>
      <c r="E80" s="287">
        <v>1.0115504823180632</v>
      </c>
      <c r="F80" s="287">
        <v>0.99945569162012105</v>
      </c>
      <c r="G80" s="287">
        <v>1.0278730949315493</v>
      </c>
      <c r="H80" s="287">
        <v>1.0272406979855515</v>
      </c>
      <c r="I80" s="287">
        <v>1.0188400933945232</v>
      </c>
      <c r="J80" s="287">
        <v>0.95904153945599335</v>
      </c>
      <c r="K80" s="287">
        <v>1.0054431799587251</v>
      </c>
      <c r="L80" s="287">
        <v>0.98606319180264379</v>
      </c>
      <c r="M80" s="287">
        <v>1.0173943940851633</v>
      </c>
      <c r="N80" s="287">
        <v>1.0304606993555294</v>
      </c>
      <c r="O80" s="287">
        <v>0.99895798118245061</v>
      </c>
      <c r="P80" s="287">
        <v>1.002467444827257</v>
      </c>
      <c r="Q80" s="287">
        <v>1.0097029466337673</v>
      </c>
      <c r="R80" s="287">
        <v>1.0488790318921111</v>
      </c>
      <c r="S80" s="287">
        <v>1.0135113723377158</v>
      </c>
      <c r="T80" s="287">
        <v>1.0196173530303101</v>
      </c>
      <c r="U80" s="287">
        <v>0.99704968276376404</v>
      </c>
      <c r="V80" s="287">
        <v>0.98584801798179666</v>
      </c>
      <c r="W80" s="287">
        <v>1.0082826282981654</v>
      </c>
      <c r="X80" s="287">
        <v>1.0281380220134348</v>
      </c>
      <c r="Y80" s="287">
        <v>1.0246093715076323</v>
      </c>
      <c r="Z80" s="287">
        <v>1.0272579372255639</v>
      </c>
      <c r="AA80" s="287">
        <v>0.99566354797761314</v>
      </c>
      <c r="AB80" s="287">
        <v>0.98683323894439667</v>
      </c>
      <c r="AC80" s="287">
        <v>1.0439373532567129</v>
      </c>
      <c r="AD80" s="287">
        <v>1.0363976238187751</v>
      </c>
      <c r="AE80" s="287">
        <v>0.99321753873753094</v>
      </c>
      <c r="AF80" s="287">
        <v>1.0245742521063057</v>
      </c>
      <c r="AG80" s="287">
        <v>0.98407185984449064</v>
      </c>
      <c r="AH80" s="287">
        <v>1.019045433315982</v>
      </c>
      <c r="AI80" s="287">
        <v>1.0008105005684604</v>
      </c>
      <c r="AJ80" s="287">
        <v>0.97034329645982553</v>
      </c>
      <c r="AK80" s="184">
        <f t="shared" si="46"/>
        <v>1</v>
      </c>
      <c r="AL80" s="184">
        <f t="shared" si="47"/>
        <v>1</v>
      </c>
      <c r="AP80" t="s">
        <v>660</v>
      </c>
      <c r="AQ80">
        <f>SUM(AQ47,AQ53,AQ57:AQ59,AQ65:AQ66,AQ68:AQ69,AQ74,AQ76,AQ79)</f>
        <v>0.28909053125417328</v>
      </c>
      <c r="AR80">
        <f>SUM(AR47,AR53,AR57:AR59,AR65:AR66,AR68:AR69,AR74,AR76,AR79)</f>
        <v>0.57393452752298657</v>
      </c>
    </row>
    <row r="81" spans="1:44">
      <c r="A81" t="s">
        <v>997</v>
      </c>
      <c r="B81" s="251">
        <f t="shared" si="43"/>
        <v>1</v>
      </c>
      <c r="C81" s="287">
        <v>1</v>
      </c>
      <c r="D81" s="287">
        <v>0.90804908288026942</v>
      </c>
      <c r="E81" s="287">
        <v>0.94032853145156503</v>
      </c>
      <c r="F81" s="287">
        <v>1.0028119761128762</v>
      </c>
      <c r="G81" s="287">
        <v>0.8560035449814537</v>
      </c>
      <c r="H81" s="287">
        <v>0.85927059941555384</v>
      </c>
      <c r="I81" s="287">
        <v>0.90266934232843221</v>
      </c>
      <c r="J81" s="287">
        <v>1.2115973534994202</v>
      </c>
      <c r="K81" s="287">
        <v>0.97187974209504535</v>
      </c>
      <c r="L81" s="287">
        <v>1.0719995744864761</v>
      </c>
      <c r="M81" s="287">
        <v>0.91013803484649969</v>
      </c>
      <c r="N81" s="287">
        <v>0.84263560486003941</v>
      </c>
      <c r="O81" s="287">
        <v>1.0053832204912383</v>
      </c>
      <c r="P81" s="287">
        <v>0.98725282179996943</v>
      </c>
      <c r="Q81" s="287">
        <v>0.9498731690209552</v>
      </c>
      <c r="R81" s="287">
        <v>0.74748382501163191</v>
      </c>
      <c r="S81" s="287">
        <v>0.93019828892899115</v>
      </c>
      <c r="T81" s="287">
        <v>0.89865390620778818</v>
      </c>
      <c r="U81" s="287">
        <v>1.0152417671679943</v>
      </c>
      <c r="V81" s="287">
        <v>1.0731111936838018</v>
      </c>
      <c r="W81" s="287">
        <v>0.95721073974378978</v>
      </c>
      <c r="X81" s="287">
        <v>0.85463489321444863</v>
      </c>
      <c r="Y81" s="287">
        <v>0.87286441401516501</v>
      </c>
      <c r="Z81" s="287">
        <v>0.85918153899886962</v>
      </c>
      <c r="AA81" s="287">
        <v>1.022402740711613</v>
      </c>
      <c r="AB81" s="287">
        <v>1.0680213991571161</v>
      </c>
      <c r="AC81" s="287">
        <v>0.77301325427256451</v>
      </c>
      <c r="AD81" s="287">
        <v>0.81196459116314956</v>
      </c>
      <c r="AE81" s="287">
        <v>1.0350391795562934</v>
      </c>
      <c r="AF81" s="287">
        <v>0.87304584594103385</v>
      </c>
      <c r="AG81" s="287">
        <v>1.0822870844828871</v>
      </c>
      <c r="AH81" s="287">
        <v>0.90160852648302969</v>
      </c>
      <c r="AI81" s="287">
        <v>0.99581283639525942</v>
      </c>
      <c r="AJ81" s="287">
        <v>1.1532108360341233</v>
      </c>
      <c r="AK81" s="184">
        <f t="shared" si="46"/>
        <v>1</v>
      </c>
      <c r="AL81" s="184">
        <f t="shared" si="47"/>
        <v>1</v>
      </c>
      <c r="AP81" t="s">
        <v>661</v>
      </c>
      <c r="AQ81">
        <f>SUM(AQ48:AQ52,AQ54:AQ56,AQ60:AQ64,AQ67,AQ70:AQ73,AQ75,AQ77:AQ78)</f>
        <v>0.71090946874583427</v>
      </c>
      <c r="AR81">
        <f>1-AR80</f>
        <v>0.42606547247701343</v>
      </c>
    </row>
    <row r="82" spans="1:44">
      <c r="A82" t="s">
        <v>998</v>
      </c>
      <c r="B82" s="251">
        <f t="shared" si="43"/>
        <v>1</v>
      </c>
      <c r="C82" s="287">
        <v>1</v>
      </c>
      <c r="D82" s="287">
        <v>1</v>
      </c>
      <c r="E82" s="287">
        <v>1</v>
      </c>
      <c r="F82" s="287">
        <v>1</v>
      </c>
      <c r="G82" s="287">
        <v>1</v>
      </c>
      <c r="H82" s="287">
        <v>1</v>
      </c>
      <c r="I82" s="287">
        <v>1</v>
      </c>
      <c r="J82" s="287">
        <v>1</v>
      </c>
      <c r="K82" s="287">
        <v>1</v>
      </c>
      <c r="L82" s="287">
        <v>1</v>
      </c>
      <c r="M82" s="287">
        <v>1</v>
      </c>
      <c r="N82" s="287">
        <v>1</v>
      </c>
      <c r="O82" s="287">
        <v>1</v>
      </c>
      <c r="P82" s="287">
        <v>1</v>
      </c>
      <c r="Q82" s="287">
        <v>1</v>
      </c>
      <c r="R82" s="287">
        <v>1</v>
      </c>
      <c r="S82" s="287">
        <v>1</v>
      </c>
      <c r="T82" s="287">
        <v>1</v>
      </c>
      <c r="U82" s="287">
        <v>1</v>
      </c>
      <c r="V82" s="287">
        <v>1</v>
      </c>
      <c r="W82" s="287">
        <v>1</v>
      </c>
      <c r="X82" s="287">
        <v>1</v>
      </c>
      <c r="Y82" s="287">
        <v>1</v>
      </c>
      <c r="Z82" s="287">
        <v>1</v>
      </c>
      <c r="AA82" s="287">
        <v>1</v>
      </c>
      <c r="AB82" s="287">
        <v>1</v>
      </c>
      <c r="AC82" s="287">
        <v>1</v>
      </c>
      <c r="AD82" s="287">
        <v>1</v>
      </c>
      <c r="AE82" s="287">
        <v>1</v>
      </c>
      <c r="AF82" s="287">
        <v>1</v>
      </c>
      <c r="AG82" s="287">
        <v>1</v>
      </c>
      <c r="AH82" s="287">
        <v>1</v>
      </c>
      <c r="AI82" s="287">
        <v>1</v>
      </c>
      <c r="AJ82" s="287">
        <v>1</v>
      </c>
      <c r="AK82" s="184">
        <f t="shared" si="46"/>
        <v>1</v>
      </c>
      <c r="AL82" s="184">
        <f t="shared" si="47"/>
        <v>1</v>
      </c>
      <c r="AP82" t="s">
        <v>122</v>
      </c>
      <c r="AQ82">
        <v>1</v>
      </c>
      <c r="AR82">
        <v>1</v>
      </c>
    </row>
    <row r="83" spans="1:44">
      <c r="A83" t="s">
        <v>999</v>
      </c>
      <c r="B83" s="251">
        <f t="shared" si="43"/>
        <v>1</v>
      </c>
      <c r="C83" s="287">
        <v>1</v>
      </c>
      <c r="D83" s="287">
        <v>1</v>
      </c>
      <c r="E83" s="287">
        <v>1</v>
      </c>
      <c r="F83" s="287">
        <v>1</v>
      </c>
      <c r="G83" s="287">
        <v>1</v>
      </c>
      <c r="H83" s="287">
        <v>1</v>
      </c>
      <c r="I83" s="287">
        <v>1</v>
      </c>
      <c r="J83" s="287">
        <v>1</v>
      </c>
      <c r="K83" s="287">
        <v>1</v>
      </c>
      <c r="L83" s="287">
        <v>1</v>
      </c>
      <c r="M83" s="287">
        <v>1</v>
      </c>
      <c r="N83" s="287">
        <v>1</v>
      </c>
      <c r="O83" s="287">
        <v>1</v>
      </c>
      <c r="P83" s="287">
        <v>1</v>
      </c>
      <c r="Q83" s="287">
        <v>1</v>
      </c>
      <c r="R83" s="287">
        <v>1</v>
      </c>
      <c r="S83" s="287">
        <v>1</v>
      </c>
      <c r="T83" s="287">
        <v>1</v>
      </c>
      <c r="U83" s="287">
        <v>1</v>
      </c>
      <c r="V83" s="287">
        <v>1</v>
      </c>
      <c r="W83" s="287">
        <v>1</v>
      </c>
      <c r="X83" s="287">
        <v>1</v>
      </c>
      <c r="Y83" s="287">
        <v>1</v>
      </c>
      <c r="Z83" s="287">
        <v>1</v>
      </c>
      <c r="AA83" s="287">
        <v>1</v>
      </c>
      <c r="AB83" s="287">
        <v>1</v>
      </c>
      <c r="AC83" s="287">
        <v>1</v>
      </c>
      <c r="AD83" s="287">
        <v>1</v>
      </c>
      <c r="AE83" s="287">
        <v>1</v>
      </c>
      <c r="AF83" s="287">
        <v>1</v>
      </c>
      <c r="AG83" s="287">
        <v>1</v>
      </c>
      <c r="AH83" s="287">
        <v>1</v>
      </c>
      <c r="AI83" s="287">
        <v>1</v>
      </c>
      <c r="AJ83" s="287">
        <v>1</v>
      </c>
      <c r="AK83" s="184">
        <f t="shared" si="46"/>
        <v>1</v>
      </c>
      <c r="AL83" s="184">
        <f t="shared" si="47"/>
        <v>1</v>
      </c>
    </row>
    <row r="84" spans="1:44">
      <c r="A84" t="s">
        <v>1000</v>
      </c>
      <c r="B84" s="251">
        <f t="shared" si="43"/>
        <v>1</v>
      </c>
      <c r="C84" s="287">
        <v>1</v>
      </c>
      <c r="D84" s="287">
        <v>1</v>
      </c>
      <c r="E84" s="287">
        <v>1</v>
      </c>
      <c r="F84" s="287">
        <v>1</v>
      </c>
      <c r="G84" s="287">
        <v>1</v>
      </c>
      <c r="H84" s="287">
        <v>1</v>
      </c>
      <c r="I84" s="287">
        <v>1</v>
      </c>
      <c r="J84" s="287">
        <v>1</v>
      </c>
      <c r="K84" s="287">
        <v>1</v>
      </c>
      <c r="L84" s="287">
        <v>1</v>
      </c>
      <c r="M84" s="287">
        <v>1</v>
      </c>
      <c r="N84" s="287">
        <v>1</v>
      </c>
      <c r="O84" s="287">
        <v>1</v>
      </c>
      <c r="P84" s="287">
        <v>1</v>
      </c>
      <c r="Q84" s="287">
        <v>1</v>
      </c>
      <c r="R84" s="287">
        <v>1</v>
      </c>
      <c r="S84" s="287">
        <v>1</v>
      </c>
      <c r="T84" s="287">
        <v>1</v>
      </c>
      <c r="U84" s="287">
        <v>1</v>
      </c>
      <c r="V84" s="287">
        <v>1</v>
      </c>
      <c r="W84" s="287">
        <v>1</v>
      </c>
      <c r="X84" s="287">
        <v>1</v>
      </c>
      <c r="Y84" s="287">
        <v>1</v>
      </c>
      <c r="Z84" s="287">
        <v>1</v>
      </c>
      <c r="AA84" s="287">
        <v>1</v>
      </c>
      <c r="AB84" s="287">
        <v>1</v>
      </c>
      <c r="AC84" s="287">
        <v>1</v>
      </c>
      <c r="AD84" s="287">
        <v>1</v>
      </c>
      <c r="AE84" s="287">
        <v>1</v>
      </c>
      <c r="AF84" s="287">
        <v>1</v>
      </c>
      <c r="AG84" s="287">
        <v>1</v>
      </c>
      <c r="AH84" s="287">
        <v>1</v>
      </c>
      <c r="AI84" s="287">
        <v>1</v>
      </c>
      <c r="AJ84" s="287">
        <v>1</v>
      </c>
      <c r="AK84" s="184">
        <f t="shared" si="46"/>
        <v>1</v>
      </c>
      <c r="AL84" s="184">
        <f t="shared" si="47"/>
        <v>1</v>
      </c>
    </row>
    <row r="85" spans="1:44">
      <c r="A85" t="s">
        <v>1001</v>
      </c>
      <c r="B85" s="251">
        <f t="shared" si="43"/>
        <v>1</v>
      </c>
      <c r="C85" s="287">
        <v>1</v>
      </c>
      <c r="D85" s="287">
        <v>1.0269661885876507</v>
      </c>
      <c r="E85" s="287">
        <v>1.0074304055526435</v>
      </c>
      <c r="F85" s="287">
        <v>0.99890213372978121</v>
      </c>
      <c r="G85" s="287">
        <v>1.0282493562520376</v>
      </c>
      <c r="H85" s="287">
        <v>1.0231857065075955</v>
      </c>
      <c r="I85" s="287">
        <v>1.0163263453174101</v>
      </c>
      <c r="J85" s="287">
        <v>0.96023104514095214</v>
      </c>
      <c r="K85" s="287">
        <v>1.0051623976624291</v>
      </c>
      <c r="L85" s="287">
        <v>0.99011712541402885</v>
      </c>
      <c r="M85" s="287">
        <v>1.0176829398700304</v>
      </c>
      <c r="N85" s="287">
        <v>1.038053231947939</v>
      </c>
      <c r="O85" s="287">
        <v>1.0050320270632147</v>
      </c>
      <c r="P85" s="287">
        <v>1.0077136371905813</v>
      </c>
      <c r="Q85" s="287">
        <v>1.0132056794617337</v>
      </c>
      <c r="R85" s="287">
        <v>1.044601034401053</v>
      </c>
      <c r="S85" s="287">
        <v>1.0132810858098973</v>
      </c>
      <c r="T85" s="287">
        <v>1.0170171229807292</v>
      </c>
      <c r="U85" s="287">
        <v>0.99767644609614514</v>
      </c>
      <c r="V85" s="287">
        <v>0.98399589355249162</v>
      </c>
      <c r="W85" s="287">
        <v>0.99865186196561895</v>
      </c>
      <c r="X85" s="287">
        <v>1.0261590352481824</v>
      </c>
      <c r="Y85" s="287">
        <v>1.0270462934572679</v>
      </c>
      <c r="Z85" s="287">
        <v>1.0283997141321313</v>
      </c>
      <c r="AA85" s="287">
        <v>0.99210961270869935</v>
      </c>
      <c r="AB85" s="287">
        <v>0.998011445690555</v>
      </c>
      <c r="AC85" s="287">
        <v>1.0408929602452526</v>
      </c>
      <c r="AD85" s="287">
        <v>1.0298986454561416</v>
      </c>
      <c r="AE85" s="287">
        <v>0.9976808399128938</v>
      </c>
      <c r="AF85" s="287">
        <v>1.0210173967298706</v>
      </c>
      <c r="AG85" s="287">
        <v>0.99026702636848296</v>
      </c>
      <c r="AH85" s="287">
        <v>1.0165099649512974</v>
      </c>
      <c r="AI85" s="287">
        <v>1.0068838725889016</v>
      </c>
      <c r="AJ85" s="287">
        <v>0.96637400771564752</v>
      </c>
      <c r="AK85" s="184">
        <f t="shared" si="46"/>
        <v>1</v>
      </c>
      <c r="AL85" s="184">
        <f t="shared" si="47"/>
        <v>1</v>
      </c>
    </row>
    <row r="86" spans="1:44">
      <c r="A86" t="s">
        <v>1002</v>
      </c>
      <c r="B86" s="251">
        <f t="shared" si="43"/>
        <v>1</v>
      </c>
      <c r="C86" s="287">
        <v>1</v>
      </c>
      <c r="D86" s="287">
        <v>0.88361781886901847</v>
      </c>
      <c r="E86" s="287">
        <v>0.95747599349376766</v>
      </c>
      <c r="F86" s="287">
        <v>1.0289227621586143</v>
      </c>
      <c r="G86" s="287">
        <v>0.86960864563933615</v>
      </c>
      <c r="H86" s="287">
        <v>0.87934024452969983</v>
      </c>
      <c r="I86" s="287">
        <v>0.90666478155918784</v>
      </c>
      <c r="J86" s="287">
        <v>1.2002657484062951</v>
      </c>
      <c r="K86" s="287">
        <v>0.97608636840487129</v>
      </c>
      <c r="L86" s="287">
        <v>1.0817984200054034</v>
      </c>
      <c r="M86" s="287">
        <v>0.92419641974085887</v>
      </c>
      <c r="N86" s="287">
        <v>0.80907356242640949</v>
      </c>
      <c r="O86" s="287">
        <v>0.96907784210937464</v>
      </c>
      <c r="P86" s="287">
        <v>0.95001939095783583</v>
      </c>
      <c r="Q86" s="287">
        <v>0.92877922481333219</v>
      </c>
      <c r="R86" s="287">
        <v>0.76426134239427801</v>
      </c>
      <c r="S86" s="287">
        <v>0.93963103516869328</v>
      </c>
      <c r="T86" s="287">
        <v>0.92310396102545944</v>
      </c>
      <c r="U86" s="287">
        <v>1.029960380471179</v>
      </c>
      <c r="V86" s="287">
        <v>1.0777383648744772</v>
      </c>
      <c r="W86" s="287">
        <v>0.99785897765510534</v>
      </c>
      <c r="X86" s="287">
        <v>0.86459017223065571</v>
      </c>
      <c r="Y86" s="287">
        <v>0.85295170836994161</v>
      </c>
      <c r="Z86" s="287">
        <v>0.8440964941218172</v>
      </c>
      <c r="AA86" s="287">
        <v>1.054627925332313</v>
      </c>
      <c r="AB86" s="287">
        <v>1.0095250688521562</v>
      </c>
      <c r="AC86" s="287">
        <v>0.78294814647837541</v>
      </c>
      <c r="AD86" s="287">
        <v>0.84216141897790653</v>
      </c>
      <c r="AE86" s="287">
        <v>1.009057474976059</v>
      </c>
      <c r="AF86" s="287">
        <v>0.8983627654724804</v>
      </c>
      <c r="AG86" s="287">
        <v>1.0461081473207885</v>
      </c>
      <c r="AH86" s="287">
        <v>0.92350812255048353</v>
      </c>
      <c r="AI86" s="287">
        <v>0.95948951966578155</v>
      </c>
      <c r="AJ86" s="287">
        <v>1.1684673569596982</v>
      </c>
      <c r="AK86" s="184">
        <f t="shared" si="46"/>
        <v>1</v>
      </c>
      <c r="AL86" s="184">
        <f t="shared" si="47"/>
        <v>1</v>
      </c>
    </row>
    <row r="87" spans="1:44">
      <c r="A87" t="s">
        <v>1003</v>
      </c>
      <c r="B87" s="251">
        <f t="shared" si="43"/>
        <v>1</v>
      </c>
      <c r="C87" s="287">
        <v>1</v>
      </c>
      <c r="D87" s="287">
        <v>0.7677841624531041</v>
      </c>
      <c r="E87" s="287">
        <v>0.97388552322255229</v>
      </c>
      <c r="F87" s="287">
        <v>0.79872831320121362</v>
      </c>
      <c r="G87" s="287">
        <v>0.81727593857691705</v>
      </c>
      <c r="H87" s="287">
        <v>0.93424533434822332</v>
      </c>
      <c r="I87" s="287">
        <v>1.0943682585802066</v>
      </c>
      <c r="J87" s="287">
        <v>1.05890937120238</v>
      </c>
      <c r="K87" s="287">
        <v>0.92699384800664408</v>
      </c>
      <c r="L87" s="287">
        <v>0.76172289226069623</v>
      </c>
      <c r="M87" s="287">
        <v>0.83568402541933029</v>
      </c>
      <c r="N87" s="287">
        <v>0.89066200475040547</v>
      </c>
      <c r="O87" s="287">
        <v>1.0478992891720726</v>
      </c>
      <c r="P87" s="287">
        <v>1.0939365571127255</v>
      </c>
      <c r="Q87" s="287">
        <v>1.0342330352428779</v>
      </c>
      <c r="R87" s="287">
        <v>0.94303085824442145</v>
      </c>
      <c r="S87" s="287">
        <v>0.88167798830201605</v>
      </c>
      <c r="T87" s="287">
        <v>0.85840588547283725</v>
      </c>
      <c r="U87" s="287">
        <v>0.82869589800176902</v>
      </c>
      <c r="V87" s="287">
        <v>1.0693922447876802</v>
      </c>
      <c r="W87" s="287">
        <v>1.1256224282179834</v>
      </c>
      <c r="X87" s="287">
        <v>0.93401940819124984</v>
      </c>
      <c r="Y87" s="287">
        <v>1.0537496398637467</v>
      </c>
      <c r="Z87" s="287">
        <v>1.0592818866102895</v>
      </c>
      <c r="AA87" s="287">
        <v>0.86720848610445356</v>
      </c>
      <c r="AB87" s="287">
        <v>1.0101157283003859</v>
      </c>
      <c r="AC87" s="287">
        <v>0.94978199061591562</v>
      </c>
      <c r="AD87" s="287">
        <v>0.97483228869815919</v>
      </c>
      <c r="AE87" s="287">
        <v>1.0313466299960874</v>
      </c>
      <c r="AF87" s="287">
        <v>0.88176849820193781</v>
      </c>
      <c r="AG87" s="287">
        <v>1.0350967353149876</v>
      </c>
      <c r="AH87" s="287">
        <v>0.87972067934966536</v>
      </c>
      <c r="AI87" s="287">
        <v>1.0429534823385238</v>
      </c>
      <c r="AJ87" s="287">
        <v>1.1167484858236514</v>
      </c>
      <c r="AK87" s="184">
        <f t="shared" si="46"/>
        <v>1</v>
      </c>
      <c r="AL87" s="184">
        <f t="shared" si="47"/>
        <v>1</v>
      </c>
    </row>
    <row r="88" spans="1:44">
      <c r="A88" t="s">
        <v>1004</v>
      </c>
      <c r="B88" s="251">
        <f t="shared" si="43"/>
        <v>1</v>
      </c>
      <c r="C88" s="287">
        <v>1</v>
      </c>
      <c r="D88" s="287">
        <v>0.8256662607163241</v>
      </c>
      <c r="E88" s="287">
        <v>1.1798013525539726</v>
      </c>
      <c r="F88" s="287">
        <v>0.8145968295803917</v>
      </c>
      <c r="G88" s="287">
        <v>0.92085160448656289</v>
      </c>
      <c r="H88" s="287">
        <v>1.1377257442993656</v>
      </c>
      <c r="I88" s="287">
        <v>0.97962614218539124</v>
      </c>
      <c r="J88" s="287">
        <v>1.1218914656580523</v>
      </c>
      <c r="K88" s="287">
        <v>1.0958641943674716</v>
      </c>
      <c r="L88" s="287">
        <v>0.70421678102418539</v>
      </c>
      <c r="M88" s="287">
        <v>0.90215563751408467</v>
      </c>
      <c r="N88" s="287">
        <v>1.0051556741334045</v>
      </c>
      <c r="O88" s="287">
        <v>1.0107689441539596</v>
      </c>
      <c r="P88" s="287">
        <v>1.0423855317335566</v>
      </c>
      <c r="Q88" s="287">
        <v>0.96269417077102049</v>
      </c>
      <c r="R88" s="287">
        <v>1.190959297333896</v>
      </c>
      <c r="S88" s="287">
        <v>1.021349914991351</v>
      </c>
      <c r="T88" s="287">
        <v>0.98575992679017266</v>
      </c>
      <c r="U88" s="287">
        <v>0.90428826010973662</v>
      </c>
      <c r="V88" s="287">
        <v>1.0152103911032551</v>
      </c>
      <c r="W88" s="287">
        <v>0.9507325806540553</v>
      </c>
      <c r="X88" s="287">
        <v>1.1102123327897246</v>
      </c>
      <c r="Y88" s="287">
        <v>1.0054512670114246</v>
      </c>
      <c r="Z88" s="287">
        <v>1.0453479518569435</v>
      </c>
      <c r="AA88" s="287">
        <v>0.94558031105419238</v>
      </c>
      <c r="AB88" s="287">
        <v>1.0020752391848933</v>
      </c>
      <c r="AC88" s="287">
        <v>1.1984646440862352</v>
      </c>
      <c r="AD88" s="287">
        <v>1.0866019963387135</v>
      </c>
      <c r="AE88" s="287">
        <v>1.014191618024205</v>
      </c>
      <c r="AF88" s="287">
        <v>1.03933765619181</v>
      </c>
      <c r="AG88" s="287">
        <v>1.0655241884152893</v>
      </c>
      <c r="AH88" s="287">
        <v>0.99944772579766017</v>
      </c>
      <c r="AI88" s="287">
        <v>1.0193943947171904</v>
      </c>
      <c r="AJ88" s="287">
        <v>0.94853414991708451</v>
      </c>
      <c r="AK88" s="184">
        <f t="shared" si="46"/>
        <v>1</v>
      </c>
      <c r="AL88" s="184">
        <f t="shared" si="47"/>
        <v>1</v>
      </c>
    </row>
    <row r="89" spans="1:44">
      <c r="A89" t="s">
        <v>1005</v>
      </c>
      <c r="B89" s="251">
        <f t="shared" si="43"/>
        <v>1</v>
      </c>
      <c r="C89" s="287">
        <v>1</v>
      </c>
      <c r="D89" s="287">
        <v>1</v>
      </c>
      <c r="E89" s="287">
        <v>1</v>
      </c>
      <c r="F89" s="287">
        <v>1</v>
      </c>
      <c r="G89" s="287">
        <v>1</v>
      </c>
      <c r="H89" s="287">
        <v>1</v>
      </c>
      <c r="I89" s="287">
        <v>1</v>
      </c>
      <c r="J89" s="287">
        <v>1</v>
      </c>
      <c r="K89" s="287">
        <v>1</v>
      </c>
      <c r="L89" s="287">
        <v>1</v>
      </c>
      <c r="M89" s="287">
        <v>1</v>
      </c>
      <c r="N89" s="287">
        <v>1</v>
      </c>
      <c r="O89" s="287">
        <v>1</v>
      </c>
      <c r="P89" s="287">
        <v>1</v>
      </c>
      <c r="Q89" s="287">
        <v>1</v>
      </c>
      <c r="R89" s="287">
        <v>1</v>
      </c>
      <c r="S89" s="287">
        <v>1</v>
      </c>
      <c r="T89" s="287">
        <v>1</v>
      </c>
      <c r="U89" s="287">
        <v>1</v>
      </c>
      <c r="V89" s="287">
        <v>1</v>
      </c>
      <c r="W89" s="287">
        <v>1</v>
      </c>
      <c r="X89" s="287">
        <v>1</v>
      </c>
      <c r="Y89" s="287">
        <v>1</v>
      </c>
      <c r="Z89" s="287">
        <v>1</v>
      </c>
      <c r="AA89" s="287">
        <v>1</v>
      </c>
      <c r="AB89" s="287">
        <v>1</v>
      </c>
      <c r="AC89" s="287">
        <v>1</v>
      </c>
      <c r="AD89" s="287">
        <v>1</v>
      </c>
      <c r="AE89" s="287">
        <v>1</v>
      </c>
      <c r="AF89" s="287">
        <v>1</v>
      </c>
      <c r="AG89" s="287">
        <v>1</v>
      </c>
      <c r="AH89" s="287">
        <v>1</v>
      </c>
      <c r="AI89" s="287">
        <v>1</v>
      </c>
      <c r="AJ89" s="287">
        <v>1</v>
      </c>
      <c r="AK89" s="184">
        <f t="shared" si="46"/>
        <v>1</v>
      </c>
      <c r="AL89" s="184">
        <f t="shared" si="47"/>
        <v>1</v>
      </c>
    </row>
    <row r="90" spans="1:44">
      <c r="A90" t="s">
        <v>1006</v>
      </c>
      <c r="B90" s="251">
        <f t="shared" si="43"/>
        <v>1</v>
      </c>
      <c r="C90" s="287">
        <v>1</v>
      </c>
      <c r="D90" s="287">
        <v>1.0613254290398753</v>
      </c>
      <c r="E90" s="287">
        <v>0.99947146714351198</v>
      </c>
      <c r="F90" s="287">
        <v>1.0141053271561562</v>
      </c>
      <c r="G90" s="287">
        <v>1.0453729087824031</v>
      </c>
      <c r="H90" s="287">
        <v>1.0155702194940537</v>
      </c>
      <c r="I90" s="287">
        <v>1.0145441571710661</v>
      </c>
      <c r="J90" s="287">
        <v>0.96216051518654144</v>
      </c>
      <c r="K90" s="287">
        <v>1.0042388484872993</v>
      </c>
      <c r="L90" s="287">
        <v>1.0144357123088297</v>
      </c>
      <c r="M90" s="287">
        <v>1.0306556860325142</v>
      </c>
      <c r="N90" s="287">
        <v>1.0508325241580232</v>
      </c>
      <c r="O90" s="287">
        <v>1.0132059820472294</v>
      </c>
      <c r="P90" s="287">
        <v>0.99674285235703353</v>
      </c>
      <c r="Q90" s="287">
        <v>1.0237482245225298</v>
      </c>
      <c r="R90" s="287">
        <v>1.0414121451205489</v>
      </c>
      <c r="S90" s="287">
        <v>1.0159381987505334</v>
      </c>
      <c r="T90" s="287">
        <v>1.0187033165417012</v>
      </c>
      <c r="U90" s="287">
        <v>1.0115213589003813</v>
      </c>
      <c r="V90" s="287">
        <v>0.98542608910364682</v>
      </c>
      <c r="W90" s="287">
        <v>0.97382255069448553</v>
      </c>
      <c r="X90" s="287">
        <v>1.0080520801204169</v>
      </c>
      <c r="Y90" s="287">
        <v>1.0380515230509544</v>
      </c>
      <c r="Z90" s="287">
        <v>1.0374631437748547</v>
      </c>
      <c r="AA90" s="287">
        <v>0.99873481317543078</v>
      </c>
      <c r="AB90" s="287">
        <v>1.01081398171884</v>
      </c>
      <c r="AC90" s="287">
        <v>1.0363765362178583</v>
      </c>
      <c r="AD90" s="287">
        <v>1.0192202842224614</v>
      </c>
      <c r="AE90" s="287">
        <v>1.0111809056965733</v>
      </c>
      <c r="AF90" s="287">
        <v>1.0240624489852832</v>
      </c>
      <c r="AG90" s="287">
        <v>1.0030642511316119</v>
      </c>
      <c r="AH90" s="287">
        <v>1.0277068191920533</v>
      </c>
      <c r="AI90" s="287">
        <v>1.0198415083811272</v>
      </c>
      <c r="AJ90" s="287">
        <v>0.94782699180997521</v>
      </c>
      <c r="AK90" s="184">
        <f t="shared" si="46"/>
        <v>1</v>
      </c>
      <c r="AL90" s="184">
        <f t="shared" si="47"/>
        <v>1</v>
      </c>
    </row>
    <row r="91" spans="1:44">
      <c r="A91" t="s">
        <v>1007</v>
      </c>
      <c r="B91" s="251">
        <f t="shared" si="43"/>
        <v>1</v>
      </c>
      <c r="C91" s="287">
        <v>1</v>
      </c>
      <c r="D91" s="287">
        <v>0.82212046497164937</v>
      </c>
      <c r="E91" s="287">
        <v>0.98226715470851966</v>
      </c>
      <c r="F91" s="287">
        <v>1.0562576010412201</v>
      </c>
      <c r="G91" s="287">
        <v>0.86737438248259235</v>
      </c>
      <c r="H91" s="287">
        <v>0.92427400915272928</v>
      </c>
      <c r="I91" s="287">
        <v>0.89389371189930533</v>
      </c>
      <c r="J91" s="287">
        <v>1.1662899925742605</v>
      </c>
      <c r="K91" s="287">
        <v>0.99454242257248204</v>
      </c>
      <c r="L91" s="287">
        <v>1.0958477804420457</v>
      </c>
      <c r="M91" s="287">
        <v>0.9399337147525626</v>
      </c>
      <c r="N91" s="287">
        <v>0.76302354898574676</v>
      </c>
      <c r="O91" s="287">
        <v>0.91648302149441274</v>
      </c>
      <c r="P91" s="287">
        <v>0.97594036557560804</v>
      </c>
      <c r="Q91" s="287">
        <v>0.87211616628183641</v>
      </c>
      <c r="R91" s="287">
        <v>0.77011906283728526</v>
      </c>
      <c r="S91" s="287">
        <v>0.96612054648271661</v>
      </c>
      <c r="T91" s="287">
        <v>0.96564937331365264</v>
      </c>
      <c r="U91" s="287">
        <v>1.0367676724158568</v>
      </c>
      <c r="V91" s="287">
        <v>1.0531637213549545</v>
      </c>
      <c r="W91" s="287">
        <v>1.0878850954866199</v>
      </c>
      <c r="X91" s="287">
        <v>0.9614944568197642</v>
      </c>
      <c r="Y91" s="287">
        <v>0.79024834527738341</v>
      </c>
      <c r="Z91" s="287">
        <v>0.77886475951767131</v>
      </c>
      <c r="AA91" s="287">
        <v>1.077853552652678</v>
      </c>
      <c r="AB91" s="287">
        <v>0.93926099152834386</v>
      </c>
      <c r="AC91" s="287">
        <v>0.79537132914357378</v>
      </c>
      <c r="AD91" s="287">
        <v>0.88601564997370152</v>
      </c>
      <c r="AE91" s="287">
        <v>0.93461682245242139</v>
      </c>
      <c r="AF91" s="287">
        <v>0.92617443848256087</v>
      </c>
      <c r="AG91" s="287">
        <v>0.96811501574705416</v>
      </c>
      <c r="AH91" s="287">
        <v>0.90655023056915274</v>
      </c>
      <c r="AI91" s="287">
        <v>0.8777389383404387</v>
      </c>
      <c r="AJ91" s="287">
        <v>1.2263922263757874</v>
      </c>
      <c r="AK91" s="184">
        <f t="shared" si="46"/>
        <v>1</v>
      </c>
      <c r="AL91" s="184">
        <f t="shared" si="47"/>
        <v>1</v>
      </c>
    </row>
    <row r="92" spans="1:44">
      <c r="A92" t="s">
        <v>1008</v>
      </c>
      <c r="B92" s="251">
        <f t="shared" si="43"/>
        <v>1</v>
      </c>
      <c r="C92" s="287">
        <v>1</v>
      </c>
      <c r="D92" s="287">
        <v>0.82607973750713826</v>
      </c>
      <c r="E92" s="287">
        <v>0.99370423062877122</v>
      </c>
      <c r="F92" s="287">
        <v>0.84558010469586709</v>
      </c>
      <c r="G92" s="287">
        <v>0.86622782541388033</v>
      </c>
      <c r="H92" s="287">
        <v>0.96547982307834446</v>
      </c>
      <c r="I92" s="287">
        <v>1.051528613969132</v>
      </c>
      <c r="J92" s="287">
        <v>1.02912338169533</v>
      </c>
      <c r="K92" s="287">
        <v>0.95723080388355575</v>
      </c>
      <c r="L92" s="287">
        <v>0.80984607992150803</v>
      </c>
      <c r="M92" s="287">
        <v>0.87625594402502827</v>
      </c>
      <c r="N92" s="287">
        <v>0.94899594368572471</v>
      </c>
      <c r="O92" s="287">
        <v>1.0220203096837766</v>
      </c>
      <c r="P92" s="287">
        <v>1.0544200907529031</v>
      </c>
      <c r="Q92" s="287">
        <v>1.0124147964299639</v>
      </c>
      <c r="R92" s="287">
        <v>0.98266532434079656</v>
      </c>
      <c r="S92" s="287">
        <v>0.92171664675357623</v>
      </c>
      <c r="T92" s="287">
        <v>0.9090424845892433</v>
      </c>
      <c r="U92" s="287">
        <v>0.87691317443645544</v>
      </c>
      <c r="V92" s="287">
        <v>1.0328692994094921</v>
      </c>
      <c r="W92" s="287">
        <v>1.0768596119836706</v>
      </c>
      <c r="X92" s="287">
        <v>0.9721548733658022</v>
      </c>
      <c r="Y92" s="287">
        <v>1.0211406942437735</v>
      </c>
      <c r="Z92" s="287">
        <v>1.0309587956445716</v>
      </c>
      <c r="AA92" s="287">
        <v>0.90541725745573387</v>
      </c>
      <c r="AB92" s="287">
        <v>1.0010328006300604</v>
      </c>
      <c r="AC92" s="287">
        <v>0.98363479209495031</v>
      </c>
      <c r="AD92" s="287">
        <v>1.0018281249051535</v>
      </c>
      <c r="AE92" s="287">
        <v>1.0089362426138786</v>
      </c>
      <c r="AF92" s="287">
        <v>0.91901296698775281</v>
      </c>
      <c r="AG92" s="287">
        <v>1.0141207323344812</v>
      </c>
      <c r="AH92" s="287">
        <v>0.92144732415814001</v>
      </c>
      <c r="AI92" s="287">
        <v>1.0215935726331062</v>
      </c>
      <c r="AJ92" s="287">
        <v>1.073174389804904</v>
      </c>
      <c r="AK92" s="184">
        <f t="shared" si="46"/>
        <v>1</v>
      </c>
      <c r="AL92" s="184">
        <f t="shared" si="47"/>
        <v>1</v>
      </c>
    </row>
    <row r="93" spans="1:44">
      <c r="A93" t="s">
        <v>1009</v>
      </c>
      <c r="B93" s="251">
        <f t="shared" si="43"/>
        <v>1</v>
      </c>
      <c r="C93" s="287">
        <v>1</v>
      </c>
      <c r="D93" s="287">
        <v>0.97335421374583653</v>
      </c>
      <c r="E93" s="287">
        <v>1.2128904960062601</v>
      </c>
      <c r="F93" s="287">
        <v>0.93061937490815883</v>
      </c>
      <c r="G93" s="287">
        <v>1.0222586339953956</v>
      </c>
      <c r="H93" s="287">
        <v>1.1861357511180675</v>
      </c>
      <c r="I93" s="287">
        <v>0.92030907431717801</v>
      </c>
      <c r="J93" s="287">
        <v>1.0559575855841128</v>
      </c>
      <c r="K93" s="287">
        <v>1.1427258995552458</v>
      </c>
      <c r="L93" s="287">
        <v>0.81907049880591754</v>
      </c>
      <c r="M93" s="287">
        <v>0.98647970811354624</v>
      </c>
      <c r="N93" s="287">
        <v>1.1167157366287135</v>
      </c>
      <c r="O93" s="287">
        <v>0.9827432525437606</v>
      </c>
      <c r="P93" s="287">
        <v>0.98561324192214061</v>
      </c>
      <c r="Q93" s="287">
        <v>0.96049941232202307</v>
      </c>
      <c r="R93" s="287">
        <v>1.2447148219068898</v>
      </c>
      <c r="S93" s="287">
        <v>1.106760741439091</v>
      </c>
      <c r="T93" s="287">
        <v>1.0740092107555752</v>
      </c>
      <c r="U93" s="287">
        <v>1.0003176865544765</v>
      </c>
      <c r="V93" s="287">
        <v>0.97060955650342629</v>
      </c>
      <c r="W93" s="287">
        <v>0.89396679730762663</v>
      </c>
      <c r="X93" s="287">
        <v>1.1563735808032487</v>
      </c>
      <c r="Y93" s="287">
        <v>0.96911883262821752</v>
      </c>
      <c r="Z93" s="287">
        <v>1.0255881655182408</v>
      </c>
      <c r="AA93" s="287">
        <v>1.0233094464709624</v>
      </c>
      <c r="AB93" s="287">
        <v>1.0333528045981613</v>
      </c>
      <c r="AC93" s="287">
        <v>1.2450688213095293</v>
      </c>
      <c r="AD93" s="287">
        <v>1.1098680602416693</v>
      </c>
      <c r="AE93" s="287">
        <v>1.0044757848773411</v>
      </c>
      <c r="AF93" s="287">
        <v>1.1070090629218443</v>
      </c>
      <c r="AG93" s="287">
        <v>1.0416552676112634</v>
      </c>
      <c r="AH93" s="287">
        <v>1.097467191324617</v>
      </c>
      <c r="AI93" s="287">
        <v>1.0225283392702207</v>
      </c>
      <c r="AJ93" s="287">
        <v>0.88456956837652256</v>
      </c>
      <c r="AK93" s="184">
        <f t="shared" si="46"/>
        <v>1</v>
      </c>
      <c r="AL93" s="184">
        <f t="shared" si="47"/>
        <v>1</v>
      </c>
    </row>
    <row r="94" spans="1:44">
      <c r="A94" t="s">
        <v>1010</v>
      </c>
      <c r="B94" s="251">
        <f t="shared" si="43"/>
        <v>1</v>
      </c>
      <c r="C94" s="287">
        <v>1</v>
      </c>
      <c r="D94" s="287">
        <v>1</v>
      </c>
      <c r="E94" s="287">
        <v>1</v>
      </c>
      <c r="F94" s="287">
        <v>1</v>
      </c>
      <c r="G94" s="287">
        <v>1</v>
      </c>
      <c r="H94" s="287">
        <v>1</v>
      </c>
      <c r="I94" s="287">
        <v>1</v>
      </c>
      <c r="J94" s="287">
        <v>1</v>
      </c>
      <c r="K94" s="287">
        <v>1</v>
      </c>
      <c r="L94" s="287">
        <v>1</v>
      </c>
      <c r="M94" s="287">
        <v>1</v>
      </c>
      <c r="N94" s="287">
        <v>1</v>
      </c>
      <c r="O94" s="287">
        <v>1</v>
      </c>
      <c r="P94" s="287">
        <v>1</v>
      </c>
      <c r="Q94" s="287">
        <v>1</v>
      </c>
      <c r="R94" s="287">
        <v>1</v>
      </c>
      <c r="S94" s="287">
        <v>1</v>
      </c>
      <c r="T94" s="287">
        <v>1</v>
      </c>
      <c r="U94" s="287">
        <v>1</v>
      </c>
      <c r="V94" s="287">
        <v>1</v>
      </c>
      <c r="W94" s="287">
        <v>1</v>
      </c>
      <c r="X94" s="287">
        <v>1</v>
      </c>
      <c r="Y94" s="287">
        <v>1</v>
      </c>
      <c r="Z94" s="287">
        <v>1</v>
      </c>
      <c r="AA94" s="287">
        <v>1</v>
      </c>
      <c r="AB94" s="287">
        <v>1</v>
      </c>
      <c r="AC94" s="287">
        <v>1</v>
      </c>
      <c r="AD94" s="287">
        <v>1</v>
      </c>
      <c r="AE94" s="287">
        <v>1</v>
      </c>
      <c r="AF94" s="287">
        <v>1</v>
      </c>
      <c r="AG94" s="287">
        <v>1</v>
      </c>
      <c r="AH94" s="287">
        <v>1</v>
      </c>
      <c r="AI94" s="287">
        <v>1</v>
      </c>
      <c r="AJ94" s="287">
        <v>1</v>
      </c>
      <c r="AK94" s="184">
        <f t="shared" si="46"/>
        <v>1</v>
      </c>
      <c r="AL94" s="184">
        <f t="shared" si="47"/>
        <v>1</v>
      </c>
    </row>
    <row r="95" spans="1:44">
      <c r="A95" t="s">
        <v>1011</v>
      </c>
      <c r="B95" s="251">
        <f t="shared" si="43"/>
        <v>1</v>
      </c>
      <c r="C95" s="286">
        <v>1</v>
      </c>
      <c r="D95" s="286">
        <v>1</v>
      </c>
      <c r="E95" s="286">
        <v>1</v>
      </c>
      <c r="F95" s="286">
        <v>1</v>
      </c>
      <c r="G95" s="286">
        <v>1</v>
      </c>
      <c r="H95" s="286">
        <v>1</v>
      </c>
      <c r="I95" s="286">
        <v>1</v>
      </c>
      <c r="J95" s="286">
        <v>1</v>
      </c>
      <c r="K95" s="286">
        <v>1</v>
      </c>
      <c r="L95" s="286">
        <v>1</v>
      </c>
      <c r="M95" s="286">
        <v>1</v>
      </c>
      <c r="N95" s="286">
        <v>1</v>
      </c>
      <c r="O95" s="286">
        <v>1</v>
      </c>
      <c r="P95" s="286">
        <v>1</v>
      </c>
      <c r="Q95" s="286">
        <v>1</v>
      </c>
      <c r="R95" s="286">
        <v>1</v>
      </c>
      <c r="S95" s="286">
        <v>1</v>
      </c>
      <c r="T95" s="286">
        <v>1</v>
      </c>
      <c r="U95" s="286">
        <v>1</v>
      </c>
      <c r="V95" s="286">
        <v>1</v>
      </c>
      <c r="W95" s="286">
        <v>1</v>
      </c>
      <c r="X95" s="286">
        <v>1</v>
      </c>
      <c r="Y95" s="286">
        <v>1</v>
      </c>
      <c r="Z95" s="286">
        <v>1</v>
      </c>
      <c r="AA95" s="286">
        <v>1</v>
      </c>
      <c r="AB95" s="286">
        <v>1</v>
      </c>
      <c r="AC95" s="286">
        <v>1</v>
      </c>
      <c r="AD95" s="286">
        <v>1</v>
      </c>
      <c r="AE95" s="286">
        <v>1</v>
      </c>
      <c r="AF95" s="286">
        <v>1</v>
      </c>
      <c r="AG95" s="286">
        <v>1</v>
      </c>
      <c r="AH95" s="286">
        <v>1</v>
      </c>
      <c r="AI95" s="286">
        <v>1</v>
      </c>
      <c r="AJ95" s="286">
        <v>1</v>
      </c>
      <c r="AK95" s="184">
        <f t="shared" si="46"/>
        <v>1</v>
      </c>
      <c r="AL95" s="184">
        <f t="shared" si="47"/>
        <v>1</v>
      </c>
    </row>
    <row r="96" spans="1:44">
      <c r="A96" t="s">
        <v>1012</v>
      </c>
      <c r="B96" s="251">
        <f t="shared" si="43"/>
        <v>1</v>
      </c>
      <c r="C96" s="286">
        <v>1</v>
      </c>
      <c r="D96" s="286">
        <v>1</v>
      </c>
      <c r="E96" s="286">
        <v>1</v>
      </c>
      <c r="F96" s="286">
        <v>1</v>
      </c>
      <c r="G96" s="286">
        <v>1</v>
      </c>
      <c r="H96" s="286">
        <v>1</v>
      </c>
      <c r="I96" s="286">
        <v>1</v>
      </c>
      <c r="J96" s="286">
        <v>1</v>
      </c>
      <c r="K96" s="286">
        <v>1</v>
      </c>
      <c r="L96" s="286">
        <v>1</v>
      </c>
      <c r="M96" s="286">
        <v>1</v>
      </c>
      <c r="N96" s="286">
        <v>1</v>
      </c>
      <c r="O96" s="286">
        <v>1</v>
      </c>
      <c r="P96" s="286">
        <v>1</v>
      </c>
      <c r="Q96" s="286">
        <v>1</v>
      </c>
      <c r="R96" s="286">
        <v>1</v>
      </c>
      <c r="S96" s="286">
        <v>1</v>
      </c>
      <c r="T96" s="286">
        <v>1</v>
      </c>
      <c r="U96" s="286">
        <v>1</v>
      </c>
      <c r="V96" s="286">
        <v>1</v>
      </c>
      <c r="W96" s="286">
        <v>1</v>
      </c>
      <c r="X96" s="286">
        <v>1</v>
      </c>
      <c r="Y96" s="286">
        <v>1</v>
      </c>
      <c r="Z96" s="286">
        <v>1</v>
      </c>
      <c r="AA96" s="286">
        <v>1</v>
      </c>
      <c r="AB96" s="286">
        <v>1</v>
      </c>
      <c r="AC96" s="286">
        <v>1</v>
      </c>
      <c r="AD96" s="286">
        <v>1</v>
      </c>
      <c r="AE96" s="286">
        <v>1</v>
      </c>
      <c r="AF96" s="286">
        <v>1</v>
      </c>
      <c r="AG96" s="286">
        <v>1</v>
      </c>
      <c r="AH96" s="286">
        <v>1</v>
      </c>
      <c r="AI96" s="286">
        <v>1</v>
      </c>
      <c r="AJ96" s="286">
        <v>1</v>
      </c>
      <c r="AK96" s="184">
        <f t="shared" si="46"/>
        <v>1</v>
      </c>
      <c r="AL96" s="184">
        <f t="shared" si="47"/>
        <v>1</v>
      </c>
    </row>
    <row r="97" spans="1:38">
      <c r="A97" t="s">
        <v>1013</v>
      </c>
      <c r="B97" s="251">
        <f t="shared" si="43"/>
        <v>1</v>
      </c>
      <c r="C97" s="286">
        <v>1</v>
      </c>
      <c r="D97" s="286">
        <v>1</v>
      </c>
      <c r="E97" s="286">
        <v>1</v>
      </c>
      <c r="F97" s="286">
        <v>1</v>
      </c>
      <c r="G97" s="286">
        <v>1</v>
      </c>
      <c r="H97" s="286">
        <v>1</v>
      </c>
      <c r="I97" s="286">
        <v>1</v>
      </c>
      <c r="J97" s="286">
        <v>1</v>
      </c>
      <c r="K97" s="286">
        <v>1</v>
      </c>
      <c r="L97" s="286">
        <v>1</v>
      </c>
      <c r="M97" s="286">
        <v>1</v>
      </c>
      <c r="N97" s="286">
        <v>1</v>
      </c>
      <c r="O97" s="286">
        <v>1</v>
      </c>
      <c r="P97" s="286">
        <v>1</v>
      </c>
      <c r="Q97" s="286">
        <v>1</v>
      </c>
      <c r="R97" s="286">
        <v>1</v>
      </c>
      <c r="S97" s="286">
        <v>1</v>
      </c>
      <c r="T97" s="286">
        <v>1</v>
      </c>
      <c r="U97" s="286">
        <v>1</v>
      </c>
      <c r="V97" s="286">
        <v>1</v>
      </c>
      <c r="W97" s="286">
        <v>1</v>
      </c>
      <c r="X97" s="286">
        <v>1</v>
      </c>
      <c r="Y97" s="286">
        <v>1</v>
      </c>
      <c r="Z97" s="286">
        <v>1</v>
      </c>
      <c r="AA97" s="286">
        <v>1</v>
      </c>
      <c r="AB97" s="286">
        <v>1</v>
      </c>
      <c r="AC97" s="286">
        <v>1</v>
      </c>
      <c r="AD97" s="286">
        <v>1</v>
      </c>
      <c r="AE97" s="286">
        <v>1</v>
      </c>
      <c r="AF97" s="286">
        <v>1</v>
      </c>
      <c r="AG97" s="286">
        <v>1</v>
      </c>
      <c r="AH97" s="286">
        <v>1</v>
      </c>
      <c r="AI97" s="286">
        <v>1</v>
      </c>
      <c r="AJ97" s="286">
        <v>1</v>
      </c>
      <c r="AK97" s="184">
        <f t="shared" si="46"/>
        <v>1</v>
      </c>
      <c r="AL97" s="184">
        <f t="shared" si="47"/>
        <v>1</v>
      </c>
    </row>
    <row r="98" spans="1:38">
      <c r="A98" t="s">
        <v>1014</v>
      </c>
      <c r="B98" s="251">
        <f t="shared" si="43"/>
        <v>1</v>
      </c>
      <c r="C98" s="286">
        <v>1</v>
      </c>
      <c r="D98" s="286">
        <v>0.99998780042314994</v>
      </c>
      <c r="E98" s="286">
        <v>1.0000224967556279</v>
      </c>
      <c r="F98" s="286">
        <v>0.99992623024371818</v>
      </c>
      <c r="G98" s="286">
        <v>0.99999083647704556</v>
      </c>
      <c r="H98" s="286">
        <v>1.0000072208220385</v>
      </c>
      <c r="I98" s="286">
        <v>1.0000858288469212</v>
      </c>
      <c r="J98" s="286">
        <v>1.0000300906340043</v>
      </c>
      <c r="K98" s="286">
        <v>1.0000317221488275</v>
      </c>
      <c r="L98" s="286">
        <v>0.9999406039211407</v>
      </c>
      <c r="M98" s="286">
        <v>0.99995131096388723</v>
      </c>
      <c r="N98" s="286">
        <v>0.99997765115492587</v>
      </c>
      <c r="O98" s="286">
        <v>1.0000253854200392</v>
      </c>
      <c r="P98" s="286">
        <v>0.99996776102559504</v>
      </c>
      <c r="Q98" s="286">
        <v>1.0000269251272194</v>
      </c>
      <c r="R98" s="286">
        <v>0.99997098538936247</v>
      </c>
      <c r="S98" s="286">
        <v>0.999941561077618</v>
      </c>
      <c r="T98" s="286">
        <v>0.99999109024885535</v>
      </c>
      <c r="U98" s="286">
        <v>0.99998305452280412</v>
      </c>
      <c r="V98" s="286">
        <v>1.0001107457540146</v>
      </c>
      <c r="W98" s="286">
        <v>1.0000291358489282</v>
      </c>
      <c r="X98" s="286">
        <v>0.99995509470266519</v>
      </c>
      <c r="Y98" s="286">
        <v>1.0000641138019515</v>
      </c>
      <c r="Z98" s="286">
        <v>1.0000043754276933</v>
      </c>
      <c r="AA98" s="286">
        <v>0.99998604467931107</v>
      </c>
      <c r="AB98" s="286">
        <v>1.0000084784285583</v>
      </c>
      <c r="AC98" s="286">
        <v>0.99993182481654441</v>
      </c>
      <c r="AD98" s="286">
        <v>1.0001474418447127</v>
      </c>
      <c r="AE98" s="286">
        <v>0.99996322995173659</v>
      </c>
      <c r="AF98" s="286">
        <v>1.0000672536048452</v>
      </c>
      <c r="AG98" s="286">
        <v>0.99991644200713958</v>
      </c>
      <c r="AH98" s="286">
        <v>1.0000742269006364</v>
      </c>
      <c r="AI98" s="286">
        <v>0.99992144802892213</v>
      </c>
      <c r="AJ98" s="286">
        <v>1.0000531784064042</v>
      </c>
      <c r="AK98" s="184">
        <f t="shared" si="46"/>
        <v>1</v>
      </c>
      <c r="AL98" s="184">
        <f t="shared" si="47"/>
        <v>1</v>
      </c>
    </row>
    <row r="99" spans="1:38">
      <c r="A99" t="s">
        <v>1015</v>
      </c>
      <c r="B99" s="251">
        <f t="shared" si="43"/>
        <v>1</v>
      </c>
      <c r="C99" s="286">
        <v>1</v>
      </c>
      <c r="D99" s="286">
        <v>1.0000060253105902</v>
      </c>
      <c r="E99" s="286">
        <v>1.0001351149411926</v>
      </c>
      <c r="F99" s="286">
        <v>1.0001392477383095</v>
      </c>
      <c r="G99" s="286">
        <v>0.99996297419873115</v>
      </c>
      <c r="H99" s="286">
        <v>0.99993366131731076</v>
      </c>
      <c r="I99" s="286">
        <v>0.99998307799057939</v>
      </c>
      <c r="J99" s="286">
        <v>1.0000547612324997</v>
      </c>
      <c r="K99" s="286">
        <v>1.0001533361065138</v>
      </c>
      <c r="L99" s="286">
        <v>0.99996455426031139</v>
      </c>
      <c r="M99" s="286">
        <v>1.0000526629101232</v>
      </c>
      <c r="N99" s="286">
        <v>0.9999034373592286</v>
      </c>
      <c r="O99" s="286">
        <v>1.0001005625795358</v>
      </c>
      <c r="P99" s="286">
        <v>0.99995699977638386</v>
      </c>
      <c r="Q99" s="286">
        <v>1.0000598473657114</v>
      </c>
      <c r="R99" s="286">
        <v>1.0001408366128428</v>
      </c>
      <c r="S99" s="286">
        <v>0.99993889489493015</v>
      </c>
      <c r="T99" s="286">
        <v>0.99970433107891632</v>
      </c>
      <c r="U99" s="286">
        <v>1.000221623766794</v>
      </c>
      <c r="V99" s="286">
        <v>0.9997965053781197</v>
      </c>
      <c r="W99" s="286">
        <v>0.99997259693219132</v>
      </c>
      <c r="X99" s="286">
        <v>0.99994491876151392</v>
      </c>
      <c r="Y99" s="286">
        <v>1.0000415834010732</v>
      </c>
      <c r="Z99" s="286">
        <v>1.0001333019645038</v>
      </c>
      <c r="AA99" s="286">
        <v>1.0002744726457409</v>
      </c>
      <c r="AB99" s="286">
        <v>0.99976103202713229</v>
      </c>
      <c r="AC99" s="286">
        <v>0.99984546035195931</v>
      </c>
      <c r="AD99" s="286">
        <v>0.99972118017933387</v>
      </c>
      <c r="AE99" s="286">
        <v>0.99984323993051127</v>
      </c>
      <c r="AF99" s="286">
        <v>1.0000485981800153</v>
      </c>
      <c r="AG99" s="286">
        <v>0.99996814441999904</v>
      </c>
      <c r="AH99" s="286">
        <v>0.99999237136701524</v>
      </c>
      <c r="AI99" s="286">
        <v>1.0002218558144247</v>
      </c>
      <c r="AJ99" s="286">
        <v>0.99998681796365263</v>
      </c>
      <c r="AK99" s="184">
        <f t="shared" si="46"/>
        <v>1</v>
      </c>
      <c r="AL99" s="184">
        <f t="shared" si="47"/>
        <v>1</v>
      </c>
    </row>
    <row r="100" spans="1:38">
      <c r="A100" t="s">
        <v>1016</v>
      </c>
      <c r="B100" s="251">
        <f t="shared" si="43"/>
        <v>1</v>
      </c>
      <c r="C100" s="286">
        <v>1</v>
      </c>
      <c r="D100" s="286">
        <v>1.0000109511397872</v>
      </c>
      <c r="E100" s="286">
        <v>0.99990970583825844</v>
      </c>
      <c r="F100" s="286">
        <v>1.0000169327076993</v>
      </c>
      <c r="G100" s="286">
        <v>1.0000281453030924</v>
      </c>
      <c r="H100" s="286">
        <v>1.0000236106966898</v>
      </c>
      <c r="I100" s="286">
        <v>0.99991074503220612</v>
      </c>
      <c r="J100" s="286">
        <v>0.99993961202153991</v>
      </c>
      <c r="K100" s="286">
        <v>0.99989050514401157</v>
      </c>
      <c r="L100" s="286">
        <v>1.0000843734033231</v>
      </c>
      <c r="M100" s="286">
        <v>1.0000299883559871</v>
      </c>
      <c r="N100" s="286">
        <v>1.0000716446930389</v>
      </c>
      <c r="O100" s="286">
        <v>0.99992299297042486</v>
      </c>
      <c r="P100" s="286">
        <v>1.0000571869945629</v>
      </c>
      <c r="Q100" s="286">
        <v>0.99994076483041527</v>
      </c>
      <c r="R100" s="286">
        <v>0.99996539920997751</v>
      </c>
      <c r="S100" s="286">
        <v>1.0000955884722562</v>
      </c>
      <c r="T100" s="286">
        <v>1.0001518489209609</v>
      </c>
      <c r="U100" s="286">
        <v>0.99991297882761132</v>
      </c>
      <c r="V100" s="286">
        <v>0.99997191988401324</v>
      </c>
      <c r="W100" s="286">
        <v>0.99998008409141348</v>
      </c>
      <c r="X100" s="286">
        <v>1.0000773476594247</v>
      </c>
      <c r="Y100" s="286">
        <v>0.99990733229922324</v>
      </c>
      <c r="Z100" s="286">
        <v>0.99993113243385434</v>
      </c>
      <c r="AA100" s="286">
        <v>0.9998842513467695</v>
      </c>
      <c r="AB100" s="286">
        <v>1.0001049411665617</v>
      </c>
      <c r="AC100" s="286">
        <v>1.0001514254227559</v>
      </c>
      <c r="AD100" s="286">
        <v>0.99996640087044941</v>
      </c>
      <c r="AE100" s="286">
        <v>1.0001168627910713</v>
      </c>
      <c r="AF100" s="286">
        <v>0.99990040756631571</v>
      </c>
      <c r="AG100" s="286">
        <v>1.0001100624294978</v>
      </c>
      <c r="AH100" s="286">
        <v>0.99991945151354611</v>
      </c>
      <c r="AI100" s="286">
        <v>0.99998275614859056</v>
      </c>
      <c r="AJ100" s="286">
        <v>0.99994599192057365</v>
      </c>
      <c r="AK100" s="184">
        <f t="shared" si="46"/>
        <v>1</v>
      </c>
      <c r="AL100" s="184">
        <f t="shared" si="47"/>
        <v>1</v>
      </c>
    </row>
    <row r="101" spans="1:38">
      <c r="A101" t="s">
        <v>1017</v>
      </c>
      <c r="B101" s="251">
        <f t="shared" si="43"/>
        <v>1</v>
      </c>
      <c r="C101" s="286">
        <v>1</v>
      </c>
      <c r="D101" s="286">
        <v>1.0002852978536187</v>
      </c>
      <c r="E101" s="286">
        <v>0.99973150368132135</v>
      </c>
      <c r="F101" s="286">
        <v>0.99973062011885905</v>
      </c>
      <c r="G101" s="286">
        <v>1.0000365903662549</v>
      </c>
      <c r="H101" s="286">
        <v>0.99974325207539194</v>
      </c>
      <c r="I101" s="286">
        <v>1.0005166827341954</v>
      </c>
      <c r="J101" s="286">
        <v>0.99974043197711171</v>
      </c>
      <c r="K101" s="286">
        <v>0.99972400609761225</v>
      </c>
      <c r="L101" s="286">
        <v>0.99973173384377101</v>
      </c>
      <c r="M101" s="286">
        <v>0.99976029993491022</v>
      </c>
      <c r="N101" s="286">
        <v>1.0003834062718813</v>
      </c>
      <c r="O101" s="286">
        <v>0.99994295543857914</v>
      </c>
      <c r="P101" s="286">
        <v>0.99973346348815173</v>
      </c>
      <c r="Q101" s="286">
        <v>0.99998565718477717</v>
      </c>
      <c r="R101" s="286">
        <v>0.99973167786230654</v>
      </c>
      <c r="S101" s="286">
        <v>0.99973799339869474</v>
      </c>
      <c r="T101" s="286">
        <v>0.99972664880539419</v>
      </c>
      <c r="U101" s="286">
        <v>0.99971757075791867</v>
      </c>
      <c r="V101" s="286">
        <v>1.0004429597924143</v>
      </c>
      <c r="W101" s="286">
        <v>1.0036155239891682</v>
      </c>
      <c r="X101" s="286">
        <v>0.99973977455920882</v>
      </c>
      <c r="Y101" s="286">
        <v>0.9998596995539305</v>
      </c>
      <c r="Z101" s="286">
        <v>1.0000329529927587</v>
      </c>
      <c r="AA101" s="286">
        <v>0.99973454393281969</v>
      </c>
      <c r="AB101" s="286">
        <v>0.99991278132651928</v>
      </c>
      <c r="AC101" s="286">
        <v>0.99971151913959611</v>
      </c>
      <c r="AD101" s="286">
        <v>0.99974255808094337</v>
      </c>
      <c r="AE101" s="286">
        <v>1.0005632104397506</v>
      </c>
      <c r="AF101" s="286">
        <v>0.99988625441726831</v>
      </c>
      <c r="AG101" s="286">
        <v>0.99972951695528345</v>
      </c>
      <c r="AH101" s="286">
        <v>0.99973704539727049</v>
      </c>
      <c r="AI101" s="286">
        <v>0.99973717859382594</v>
      </c>
      <c r="AJ101" s="286">
        <v>1.0003011389457466</v>
      </c>
      <c r="AK101" s="184">
        <f t="shared" si="46"/>
        <v>1</v>
      </c>
      <c r="AL101" s="184">
        <f t="shared" si="47"/>
        <v>1</v>
      </c>
    </row>
    <row r="102" spans="1:38">
      <c r="A102" t="s">
        <v>1018</v>
      </c>
      <c r="B102" s="251">
        <f t="shared" si="43"/>
        <v>1</v>
      </c>
      <c r="C102" s="286">
        <v>1</v>
      </c>
      <c r="D102" s="286">
        <v>0.99981416202853179</v>
      </c>
      <c r="E102" s="286">
        <v>1.0001746900757837</v>
      </c>
      <c r="F102" s="286">
        <v>1.0001752652877764</v>
      </c>
      <c r="G102" s="286">
        <v>0.99997607421403623</v>
      </c>
      <c r="H102" s="286">
        <v>1.0001670417006572</v>
      </c>
      <c r="I102" s="286">
        <v>0.99966352711157047</v>
      </c>
      <c r="J102" s="286">
        <v>1.0001688776255855</v>
      </c>
      <c r="K102" s="286">
        <v>1.0001795711116424</v>
      </c>
      <c r="L102" s="286">
        <v>1.0001745402366864</v>
      </c>
      <c r="M102" s="286">
        <v>1.0001559432965763</v>
      </c>
      <c r="N102" s="286">
        <v>0.99975029202370913</v>
      </c>
      <c r="O102" s="286">
        <v>1.000037031911531</v>
      </c>
      <c r="P102" s="286">
        <v>1.00017341421308</v>
      </c>
      <c r="Q102" s="286">
        <v>1.0000092324547274</v>
      </c>
      <c r="R102" s="286">
        <v>1.0001745766814327</v>
      </c>
      <c r="S102" s="286">
        <v>1.0001704651755428</v>
      </c>
      <c r="T102" s="286">
        <v>1.000177850670505</v>
      </c>
      <c r="U102" s="286">
        <v>1.0001837606112249</v>
      </c>
      <c r="V102" s="286">
        <v>0.99971152181712619</v>
      </c>
      <c r="W102" s="286">
        <v>0.9976507669889737</v>
      </c>
      <c r="X102" s="286">
        <v>1.0001693056141865</v>
      </c>
      <c r="Y102" s="286">
        <v>1.0000912327013123</v>
      </c>
      <c r="Z102" s="286">
        <v>0.99997844219699716</v>
      </c>
      <c r="AA102" s="286">
        <v>1.0001727108279137</v>
      </c>
      <c r="AB102" s="286">
        <v>1.0000566756966101</v>
      </c>
      <c r="AC102" s="286">
        <v>1.0001877003026223</v>
      </c>
      <c r="AD102" s="286">
        <v>1.0001674935011196</v>
      </c>
      <c r="AE102" s="286">
        <v>0.9996332368996721</v>
      </c>
      <c r="AF102" s="286">
        <v>1.0000739450997032</v>
      </c>
      <c r="AG102" s="286">
        <v>1.0001759834632815</v>
      </c>
      <c r="AH102" s="286">
        <v>1.0001710823382353</v>
      </c>
      <c r="AI102" s="286">
        <v>1.0001709956253431</v>
      </c>
      <c r="AJ102" s="286">
        <v>0.9998038492475444</v>
      </c>
      <c r="AK102" s="184">
        <f t="shared" si="46"/>
        <v>1</v>
      </c>
      <c r="AL102" s="184">
        <f t="shared" si="47"/>
        <v>1</v>
      </c>
    </row>
    <row r="103" spans="1:38">
      <c r="A103" t="s">
        <v>1019</v>
      </c>
      <c r="B103" s="251">
        <f t="shared" si="43"/>
        <v>1</v>
      </c>
      <c r="C103" s="286">
        <v>1</v>
      </c>
      <c r="D103" s="286">
        <v>0.99981434517084222</v>
      </c>
      <c r="E103" s="286">
        <v>1.0001748732841342</v>
      </c>
      <c r="F103" s="286">
        <v>1.0001754484962322</v>
      </c>
      <c r="G103" s="286">
        <v>0.99997625738600504</v>
      </c>
      <c r="H103" s="286">
        <v>1.0001672249076066</v>
      </c>
      <c r="I103" s="286">
        <v>0.99966371022628786</v>
      </c>
      <c r="J103" s="286">
        <v>1.0001690608328715</v>
      </c>
      <c r="K103" s="286">
        <v>1.0001797543208868</v>
      </c>
      <c r="L103" s="286">
        <v>1.0001747234450096</v>
      </c>
      <c r="M103" s="286">
        <v>1.0001561265014929</v>
      </c>
      <c r="N103" s="286">
        <v>0.99975047515432036</v>
      </c>
      <c r="O103" s="286">
        <v>1.0000372150946661</v>
      </c>
      <c r="P103" s="286">
        <v>1.0001735974211969</v>
      </c>
      <c r="Q103" s="286">
        <v>1.0000094156327699</v>
      </c>
      <c r="R103" s="286">
        <v>1.0001747598897628</v>
      </c>
      <c r="S103" s="286">
        <v>1.0001706483831194</v>
      </c>
      <c r="T103" s="286">
        <v>1.0001780338794344</v>
      </c>
      <c r="U103" s="286">
        <v>1.000183943821237</v>
      </c>
      <c r="V103" s="286">
        <v>0.99971170494063544</v>
      </c>
      <c r="W103" s="286">
        <v>0.99764286592772133</v>
      </c>
      <c r="X103" s="286">
        <v>1.0001694888215502</v>
      </c>
      <c r="Y103" s="286">
        <v>1.0000914158943754</v>
      </c>
      <c r="Z103" s="286">
        <v>0.99997862536939963</v>
      </c>
      <c r="AA103" s="286">
        <v>1.0001728940359016</v>
      </c>
      <c r="AB103" s="286">
        <v>1.0000568588833432</v>
      </c>
      <c r="AC103" s="286">
        <v>1.0001878835133555</v>
      </c>
      <c r="AD103" s="286">
        <v>1.0001676767081522</v>
      </c>
      <c r="AE103" s="286">
        <v>0.99963342000884114</v>
      </c>
      <c r="AF103" s="286">
        <v>1.0000741282896</v>
      </c>
      <c r="AG103" s="286">
        <v>1.0001761666718691</v>
      </c>
      <c r="AH103" s="286">
        <v>1.0001712655459249</v>
      </c>
      <c r="AI103" s="286">
        <v>1.000171178833017</v>
      </c>
      <c r="AJ103" s="286">
        <v>0.999804032387966</v>
      </c>
      <c r="AK103" s="184">
        <f t="shared" si="46"/>
        <v>1</v>
      </c>
      <c r="AL103" s="184">
        <f t="shared" si="47"/>
        <v>1</v>
      </c>
    </row>
    <row r="104" spans="1:38">
      <c r="A104" t="s">
        <v>1020</v>
      </c>
      <c r="B104" s="251">
        <f t="shared" si="43"/>
        <v>1</v>
      </c>
      <c r="C104" s="286">
        <v>1</v>
      </c>
      <c r="D104" s="286">
        <v>1.0000006868725979</v>
      </c>
      <c r="E104" s="286">
        <v>1.0000000785448611</v>
      </c>
      <c r="F104" s="286">
        <v>1.000000945978933</v>
      </c>
      <c r="G104" s="286">
        <v>1.000000954213377</v>
      </c>
      <c r="H104" s="286">
        <v>1.0000007156463819</v>
      </c>
      <c r="I104" s="286">
        <v>0.99999996533586899</v>
      </c>
      <c r="J104" s="286">
        <v>0.99999995439310208</v>
      </c>
      <c r="K104" s="286">
        <v>1.0000001463928339</v>
      </c>
      <c r="L104" s="286">
        <v>0.9999998543679498</v>
      </c>
      <c r="M104" s="286">
        <v>0.99999957191676603</v>
      </c>
      <c r="N104" s="286">
        <v>1.0000008009485843</v>
      </c>
      <c r="O104" s="286">
        <v>1.0000003814075404</v>
      </c>
      <c r="P104" s="286">
        <v>1.0000003155606274</v>
      </c>
      <c r="Q104" s="286">
        <v>1.0000009781793069</v>
      </c>
      <c r="R104" s="286">
        <v>0.99999973370489414</v>
      </c>
      <c r="S104" s="286">
        <v>1.0000003001168711</v>
      </c>
      <c r="T104" s="286">
        <v>0.99999986950333442</v>
      </c>
      <c r="U104" s="286">
        <v>1.0000006436089779</v>
      </c>
      <c r="V104" s="286">
        <v>1.0000002006071151</v>
      </c>
      <c r="W104" s="286">
        <v>0.9999996668423401</v>
      </c>
      <c r="X104" s="286">
        <v>0.99999987487151576</v>
      </c>
      <c r="Y104" s="286">
        <v>0.9999994015432393</v>
      </c>
      <c r="Z104" s="286">
        <v>1.0000004936409559</v>
      </c>
      <c r="AA104" s="286">
        <v>1.0000000454995412</v>
      </c>
      <c r="AB104" s="286">
        <v>0.99999964338218006</v>
      </c>
      <c r="AC104" s="286">
        <v>1.0000008103578968</v>
      </c>
      <c r="AD104" s="286">
        <v>0.99999999602514633</v>
      </c>
      <c r="AE104" s="286">
        <v>0.99999978236413478</v>
      </c>
      <c r="AF104" s="286">
        <v>0.9999998281561896</v>
      </c>
      <c r="AG104" s="286">
        <v>0.99999974940622804</v>
      </c>
      <c r="AH104" s="286">
        <v>0.99999926410012996</v>
      </c>
      <c r="AI104" s="286">
        <v>0.99999983711613871</v>
      </c>
      <c r="AJ104" s="286">
        <v>0.99999995735671765</v>
      </c>
      <c r="AK104" s="184">
        <f t="shared" si="46"/>
        <v>1</v>
      </c>
      <c r="AL104" s="184">
        <f t="shared" si="47"/>
        <v>1</v>
      </c>
    </row>
    <row r="105" spans="1:38">
      <c r="A105" t="s">
        <v>1021</v>
      </c>
      <c r="B105" s="251">
        <f t="shared" si="43"/>
        <v>1</v>
      </c>
      <c r="C105" s="286">
        <v>1</v>
      </c>
      <c r="D105" s="286">
        <v>0.99999938619076501</v>
      </c>
      <c r="E105" s="286">
        <v>0.99999992981003816</v>
      </c>
      <c r="F105" s="286">
        <v>0.99999915464584388</v>
      </c>
      <c r="G105" s="286">
        <v>0.99999914728730566</v>
      </c>
      <c r="H105" s="286">
        <v>0.99999936047767801</v>
      </c>
      <c r="I105" s="286">
        <v>1.0000000309768704</v>
      </c>
      <c r="J105" s="286">
        <v>1.000000040755644</v>
      </c>
      <c r="K105" s="286">
        <v>0.99999986917912587</v>
      </c>
      <c r="L105" s="286">
        <v>1.0000001301410151</v>
      </c>
      <c r="M105" s="286">
        <v>1.0000003825475676</v>
      </c>
      <c r="N105" s="286">
        <v>0.99999928424916085</v>
      </c>
      <c r="O105" s="286">
        <v>0.99999965916318145</v>
      </c>
      <c r="P105" s="286">
        <v>0.99999971800588916</v>
      </c>
      <c r="Q105" s="286">
        <v>0.99999912587065842</v>
      </c>
      <c r="R105" s="286">
        <v>1.0000002379690143</v>
      </c>
      <c r="S105" s="286">
        <v>0.99999973180687718</v>
      </c>
      <c r="T105" s="286">
        <v>1.0000001166155967</v>
      </c>
      <c r="U105" s="286">
        <v>0.99999942485238857</v>
      </c>
      <c r="V105" s="286">
        <v>0.99999982073167526</v>
      </c>
      <c r="W105" s="286">
        <v>1.0000002977193279</v>
      </c>
      <c r="X105" s="286">
        <v>1.000000111818435</v>
      </c>
      <c r="Y105" s="286">
        <v>1.0000005347982837</v>
      </c>
      <c r="Z105" s="286">
        <v>0.99999955886815362</v>
      </c>
      <c r="AA105" s="286">
        <v>0.99999995934029284</v>
      </c>
      <c r="AB105" s="286">
        <v>1.0000003186840061</v>
      </c>
      <c r="AC105" s="286">
        <v>0.99999927584072701</v>
      </c>
      <c r="AD105" s="286">
        <v>1.0000000035520442</v>
      </c>
      <c r="AE105" s="286">
        <v>1.0000001944857084</v>
      </c>
      <c r="AF105" s="286">
        <v>1.000000153564603</v>
      </c>
      <c r="AG105" s="286">
        <v>1.0000002239378476</v>
      </c>
      <c r="AH105" s="286">
        <v>1.0000006576214246</v>
      </c>
      <c r="AI105" s="286">
        <v>1.0000001455577323</v>
      </c>
      <c r="AJ105" s="286">
        <v>1.0000000381072705</v>
      </c>
      <c r="AK105" s="184">
        <f t="shared" si="46"/>
        <v>1</v>
      </c>
      <c r="AL105" s="184">
        <f t="shared" si="47"/>
        <v>1</v>
      </c>
    </row>
    <row r="106" spans="1:38">
      <c r="A106" t="s">
        <v>1022</v>
      </c>
      <c r="B106" s="251">
        <f t="shared" si="43"/>
        <v>1</v>
      </c>
      <c r="C106" s="286">
        <v>1</v>
      </c>
      <c r="D106" s="286">
        <v>1</v>
      </c>
      <c r="E106" s="286">
        <v>1</v>
      </c>
      <c r="F106" s="286">
        <v>1</v>
      </c>
      <c r="G106" s="286">
        <v>1</v>
      </c>
      <c r="H106" s="286">
        <v>1</v>
      </c>
      <c r="I106" s="286">
        <v>1</v>
      </c>
      <c r="J106" s="286">
        <v>1</v>
      </c>
      <c r="K106" s="286">
        <v>1</v>
      </c>
      <c r="L106" s="286">
        <v>1</v>
      </c>
      <c r="M106" s="286">
        <v>1</v>
      </c>
      <c r="N106" s="286">
        <v>1</v>
      </c>
      <c r="O106" s="286">
        <v>1</v>
      </c>
      <c r="P106" s="286">
        <v>1</v>
      </c>
      <c r="Q106" s="286">
        <v>1</v>
      </c>
      <c r="R106" s="286">
        <v>1</v>
      </c>
      <c r="S106" s="286">
        <v>1</v>
      </c>
      <c r="T106" s="286">
        <v>1</v>
      </c>
      <c r="U106" s="286">
        <v>1</v>
      </c>
      <c r="V106" s="286">
        <v>1</v>
      </c>
      <c r="W106" s="286">
        <v>1</v>
      </c>
      <c r="X106" s="286">
        <v>1</v>
      </c>
      <c r="Y106" s="286">
        <v>1</v>
      </c>
      <c r="Z106" s="286">
        <v>1</v>
      </c>
      <c r="AA106" s="286">
        <v>1</v>
      </c>
      <c r="AB106" s="286">
        <v>1</v>
      </c>
      <c r="AC106" s="286">
        <v>1</v>
      </c>
      <c r="AD106" s="286">
        <v>1</v>
      </c>
      <c r="AE106" s="286">
        <v>1</v>
      </c>
      <c r="AF106" s="286">
        <v>1</v>
      </c>
      <c r="AG106" s="286">
        <v>1</v>
      </c>
      <c r="AH106" s="286">
        <v>1</v>
      </c>
      <c r="AI106" s="286">
        <v>1</v>
      </c>
      <c r="AJ106" s="286">
        <v>1</v>
      </c>
      <c r="AK106" s="184">
        <f t="shared" si="46"/>
        <v>1</v>
      </c>
      <c r="AL106" s="184">
        <f t="shared" si="47"/>
        <v>1</v>
      </c>
    </row>
    <row r="107" spans="1:38">
      <c r="A107" t="s">
        <v>1023</v>
      </c>
      <c r="B107" s="251">
        <f t="shared" si="43"/>
        <v>1</v>
      </c>
      <c r="C107" s="286">
        <v>1</v>
      </c>
      <c r="D107" s="286">
        <v>1.0000044344563934</v>
      </c>
      <c r="E107" s="286">
        <v>0.99999503360718867</v>
      </c>
      <c r="F107" s="286">
        <v>1.0000010817293759</v>
      </c>
      <c r="G107" s="286">
        <v>1.0000011173006518</v>
      </c>
      <c r="H107" s="286">
        <v>0.99999775828583781</v>
      </c>
      <c r="I107" s="286">
        <v>0.99999966821732456</v>
      </c>
      <c r="J107" s="286">
        <v>1.0000000598678151</v>
      </c>
      <c r="K107" s="286">
        <v>1.000003227436886</v>
      </c>
      <c r="L107" s="286">
        <v>1.0000003861426112</v>
      </c>
      <c r="M107" s="286">
        <v>1.0000009081087391</v>
      </c>
      <c r="N107" s="286">
        <v>1.0000012493073165</v>
      </c>
      <c r="O107" s="286">
        <v>0.99999957548318985</v>
      </c>
      <c r="P107" s="286">
        <v>0.99999984144259046</v>
      </c>
      <c r="Q107" s="286">
        <v>0.99999913040377264</v>
      </c>
      <c r="R107" s="286">
        <v>0.99999910987316065</v>
      </c>
      <c r="S107" s="286">
        <v>0.99999474872161109</v>
      </c>
      <c r="T107" s="286">
        <v>1.0000018970918885</v>
      </c>
      <c r="U107" s="286">
        <v>1.0000005734748467</v>
      </c>
      <c r="V107" s="286">
        <v>0.99999902319995992</v>
      </c>
      <c r="W107" s="286">
        <v>0.99999884801143946</v>
      </c>
      <c r="X107" s="286">
        <v>0.99999950120502146</v>
      </c>
      <c r="Y107" s="286">
        <v>1.0000002050755028</v>
      </c>
      <c r="Z107" s="286">
        <v>0.9999987793817583</v>
      </c>
      <c r="AA107" s="286">
        <v>1.000003391234398</v>
      </c>
      <c r="AB107" s="286">
        <v>0.99999752694832156</v>
      </c>
      <c r="AC107" s="286">
        <v>1.0000008927238093</v>
      </c>
      <c r="AD107" s="286">
        <v>0.99999998236390275</v>
      </c>
      <c r="AE107" s="286">
        <v>1.0000001969876597</v>
      </c>
      <c r="AF107" s="286">
        <v>1.0000005669044756</v>
      </c>
      <c r="AG107" s="286">
        <v>1.0000009707296904</v>
      </c>
      <c r="AH107" s="286">
        <v>1.0000009297661081</v>
      </c>
      <c r="AI107" s="286">
        <v>0.99999922558930321</v>
      </c>
      <c r="AJ107" s="286">
        <v>1.0000003237797885</v>
      </c>
      <c r="AK107" s="184">
        <f t="shared" si="46"/>
        <v>1</v>
      </c>
      <c r="AL107" s="184">
        <f t="shared" si="47"/>
        <v>1</v>
      </c>
    </row>
    <row r="108" spans="1:38">
      <c r="A108" t="s">
        <v>1024</v>
      </c>
      <c r="B108" s="251">
        <f t="shared" si="43"/>
        <v>1</v>
      </c>
      <c r="C108" s="286">
        <v>1</v>
      </c>
      <c r="D108" s="286">
        <v>0.99999872280536295</v>
      </c>
      <c r="E108" s="286">
        <v>1.0000013843411011</v>
      </c>
      <c r="F108" s="286">
        <v>1.0000012216456822</v>
      </c>
      <c r="G108" s="286">
        <v>1.0000000185667941</v>
      </c>
      <c r="H108" s="286">
        <v>1.0000005204009934</v>
      </c>
      <c r="I108" s="286">
        <v>1.0000000561608011</v>
      </c>
      <c r="J108" s="286">
        <v>1.0000000314735786</v>
      </c>
      <c r="K108" s="286">
        <v>0.99999929739767635</v>
      </c>
      <c r="L108" s="286">
        <v>0.99999916599724414</v>
      </c>
      <c r="M108" s="286">
        <v>0.99999996311030326</v>
      </c>
      <c r="N108" s="286">
        <v>0.99999991338639671</v>
      </c>
      <c r="O108" s="286">
        <v>1.0000000442135824</v>
      </c>
      <c r="P108" s="286">
        <v>1.0000000652407417</v>
      </c>
      <c r="Q108" s="286">
        <v>1.0000006523499088</v>
      </c>
      <c r="R108" s="286">
        <v>1.0000008221846413</v>
      </c>
      <c r="S108" s="286">
        <v>1.0000010655995994</v>
      </c>
      <c r="T108" s="286">
        <v>0.99999942881623749</v>
      </c>
      <c r="U108" s="286">
        <v>0.99999972283433636</v>
      </c>
      <c r="V108" s="286">
        <v>1.000000084588617</v>
      </c>
      <c r="W108" s="286">
        <v>1.0000001994496732</v>
      </c>
      <c r="X108" s="286">
        <v>0.99999952115978263</v>
      </c>
      <c r="Y108" s="286">
        <v>0.99999935818721697</v>
      </c>
      <c r="Z108" s="286">
        <v>0.99999984949496412</v>
      </c>
      <c r="AA108" s="286">
        <v>0.99999865733491555</v>
      </c>
      <c r="AB108" s="286">
        <v>1.0000002365954652</v>
      </c>
      <c r="AC108" s="286">
        <v>0.99999977260496886</v>
      </c>
      <c r="AD108" s="286">
        <v>0.99999983611774845</v>
      </c>
      <c r="AE108" s="286">
        <v>1.0000001336840036</v>
      </c>
      <c r="AF108" s="286">
        <v>0.99999966052912403</v>
      </c>
      <c r="AG108" s="286">
        <v>0.99999995290811583</v>
      </c>
      <c r="AH108" s="286">
        <v>1.0000003163789877</v>
      </c>
      <c r="AI108" s="286">
        <v>1.0000002543862414</v>
      </c>
      <c r="AJ108" s="286">
        <v>0.99999998702582504</v>
      </c>
      <c r="AK108" s="184">
        <f t="shared" si="46"/>
        <v>1</v>
      </c>
      <c r="AL108" s="184">
        <f t="shared" si="47"/>
        <v>1</v>
      </c>
    </row>
    <row r="109" spans="1:38">
      <c r="A109" t="s">
        <v>1025</v>
      </c>
      <c r="B109" s="251">
        <f t="shared" si="43"/>
        <v>1</v>
      </c>
      <c r="C109" s="286">
        <v>1</v>
      </c>
      <c r="D109" s="286">
        <v>1.0000041671497972</v>
      </c>
      <c r="E109" s="286">
        <v>0.9999959126983774</v>
      </c>
      <c r="F109" s="286">
        <v>0.99998171926946555</v>
      </c>
      <c r="G109" s="286">
        <v>0.99999676600188547</v>
      </c>
      <c r="H109" s="286">
        <v>0.9999994698264042</v>
      </c>
      <c r="I109" s="286">
        <v>1.0000001840893142</v>
      </c>
      <c r="J109" s="286">
        <v>0.99999944310129574</v>
      </c>
      <c r="K109" s="286">
        <v>1.0000001764225377</v>
      </c>
      <c r="L109" s="286">
        <v>1.0000094600507845</v>
      </c>
      <c r="M109" s="286">
        <v>0.99999802573879848</v>
      </c>
      <c r="N109" s="286">
        <v>0.99999773534839431</v>
      </c>
      <c r="O109" s="286">
        <v>1.0000005834809991</v>
      </c>
      <c r="P109" s="286">
        <v>0.99999960464131821</v>
      </c>
      <c r="Q109" s="286">
        <v>0.9999941245060614</v>
      </c>
      <c r="R109" s="286">
        <v>0.99999204205480552</v>
      </c>
      <c r="S109" s="286">
        <v>1.0000006894683424</v>
      </c>
      <c r="T109" s="286">
        <v>1.0000020947599721</v>
      </c>
      <c r="U109" s="286">
        <v>1.0000019485120881</v>
      </c>
      <c r="V109" s="286">
        <v>1.0000015583688733</v>
      </c>
      <c r="W109" s="286">
        <v>1.0000005831363517</v>
      </c>
      <c r="X109" s="286">
        <v>1.0000073662281499</v>
      </c>
      <c r="Y109" s="286">
        <v>1.0000075273230142</v>
      </c>
      <c r="Z109" s="286">
        <v>1.0000051720469101</v>
      </c>
      <c r="AA109" s="286">
        <v>1.0000077925640287</v>
      </c>
      <c r="AB109" s="286">
        <v>1.0000036630896614</v>
      </c>
      <c r="AC109" s="286">
        <v>1.0000004648002234</v>
      </c>
      <c r="AD109" s="286">
        <v>1.0000021100217356</v>
      </c>
      <c r="AE109" s="286">
        <v>0.99999778844433551</v>
      </c>
      <c r="AF109" s="286">
        <v>1.000002750344684</v>
      </c>
      <c r="AG109" s="286">
        <v>0.99999798598868384</v>
      </c>
      <c r="AH109" s="286">
        <v>0.99999352125349394</v>
      </c>
      <c r="AI109" s="286">
        <v>0.99999887777285634</v>
      </c>
      <c r="AJ109" s="286">
        <v>0.9999992938433</v>
      </c>
      <c r="AK109" s="184">
        <f t="shared" si="46"/>
        <v>1</v>
      </c>
      <c r="AL109" s="184">
        <f t="shared" si="47"/>
        <v>1</v>
      </c>
    </row>
    <row r="110" spans="1:38">
      <c r="A110" t="s">
        <v>1026</v>
      </c>
      <c r="B110" s="251">
        <f t="shared" si="43"/>
        <v>1</v>
      </c>
      <c r="C110" s="286">
        <v>1</v>
      </c>
      <c r="D110" s="286">
        <v>1</v>
      </c>
      <c r="E110" s="286">
        <v>1</v>
      </c>
      <c r="F110" s="286">
        <v>1</v>
      </c>
      <c r="G110" s="286">
        <v>1</v>
      </c>
      <c r="H110" s="286">
        <v>1</v>
      </c>
      <c r="I110" s="286">
        <v>1</v>
      </c>
      <c r="J110" s="286">
        <v>1</v>
      </c>
      <c r="K110" s="286">
        <v>1</v>
      </c>
      <c r="L110" s="286">
        <v>1</v>
      </c>
      <c r="M110" s="286">
        <v>1</v>
      </c>
      <c r="N110" s="286">
        <v>1</v>
      </c>
      <c r="O110" s="286">
        <v>1</v>
      </c>
      <c r="P110" s="286">
        <v>1</v>
      </c>
      <c r="Q110" s="286">
        <v>1</v>
      </c>
      <c r="R110" s="286">
        <v>1</v>
      </c>
      <c r="S110" s="286">
        <v>1</v>
      </c>
      <c r="T110" s="286">
        <v>1</v>
      </c>
      <c r="U110" s="286">
        <v>1</v>
      </c>
      <c r="V110" s="286">
        <v>1</v>
      </c>
      <c r="W110" s="286">
        <v>1</v>
      </c>
      <c r="X110" s="286">
        <v>1</v>
      </c>
      <c r="Y110" s="286">
        <v>1</v>
      </c>
      <c r="Z110" s="286">
        <v>1</v>
      </c>
      <c r="AA110" s="286">
        <v>1</v>
      </c>
      <c r="AB110" s="286">
        <v>1</v>
      </c>
      <c r="AC110" s="286">
        <v>1</v>
      </c>
      <c r="AD110" s="286">
        <v>1</v>
      </c>
      <c r="AE110" s="286">
        <v>1</v>
      </c>
      <c r="AF110" s="286">
        <v>1</v>
      </c>
      <c r="AG110" s="286">
        <v>1</v>
      </c>
      <c r="AH110" s="286">
        <v>1</v>
      </c>
      <c r="AI110" s="286">
        <v>1</v>
      </c>
      <c r="AJ110" s="286">
        <v>1</v>
      </c>
      <c r="AK110" s="184">
        <f t="shared" si="46"/>
        <v>1</v>
      </c>
      <c r="AL110" s="184">
        <f t="shared" si="47"/>
        <v>1</v>
      </c>
    </row>
    <row r="111" spans="1:38">
      <c r="A111" t="s">
        <v>1027</v>
      </c>
      <c r="B111" s="251">
        <f t="shared" si="43"/>
        <v>1</v>
      </c>
      <c r="C111" s="286">
        <v>1</v>
      </c>
      <c r="D111" s="286">
        <v>1.0000000267481557</v>
      </c>
      <c r="E111" s="286">
        <v>1.0000006469033862</v>
      </c>
      <c r="F111" s="286">
        <v>0.9999993168981991</v>
      </c>
      <c r="G111" s="286">
        <v>1.0000000219285961</v>
      </c>
      <c r="H111" s="286">
        <v>1.000000380614797</v>
      </c>
      <c r="I111" s="286">
        <v>1.0000000287292854</v>
      </c>
      <c r="J111" s="286">
        <v>1.0000000066020245</v>
      </c>
      <c r="K111" s="286">
        <v>0.9999998373042237</v>
      </c>
      <c r="L111" s="286">
        <v>1.0000001091613349</v>
      </c>
      <c r="M111" s="286">
        <v>0.9999997896421553</v>
      </c>
      <c r="N111" s="286">
        <v>1.0000000638285751</v>
      </c>
      <c r="O111" s="286">
        <v>0.99999988233477632</v>
      </c>
      <c r="P111" s="286">
        <v>0.99999999639254666</v>
      </c>
      <c r="Q111" s="286">
        <v>0.99999965408325842</v>
      </c>
      <c r="R111" s="286">
        <v>0.99999976842548466</v>
      </c>
      <c r="S111" s="286">
        <v>0.99999938502361907</v>
      </c>
      <c r="T111" s="286">
        <v>0.9999996694891824</v>
      </c>
      <c r="U111" s="286">
        <v>0.99999988733748513</v>
      </c>
      <c r="V111" s="286">
        <v>1.0000001208474933</v>
      </c>
      <c r="W111" s="286">
        <v>1.0000000742688158</v>
      </c>
      <c r="X111" s="286">
        <v>0.99999987929312562</v>
      </c>
      <c r="Y111" s="286">
        <v>0.99999991203309813</v>
      </c>
      <c r="Z111" s="286">
        <v>0.99999965546852876</v>
      </c>
      <c r="AA111" s="286">
        <v>1.0000008221214529</v>
      </c>
      <c r="AB111" s="286">
        <v>0.99999977421194308</v>
      </c>
      <c r="AC111" s="286">
        <v>1.0000002513566333</v>
      </c>
      <c r="AD111" s="286">
        <v>1.0000003348752475</v>
      </c>
      <c r="AE111" s="286">
        <v>0.99999989340669604</v>
      </c>
      <c r="AF111" s="286">
        <v>1.0000007451766046</v>
      </c>
      <c r="AG111" s="286">
        <v>1.0000000427652278</v>
      </c>
      <c r="AH111" s="286">
        <v>1.0000001262733711</v>
      </c>
      <c r="AI111" s="286">
        <v>1.0000001270390484</v>
      </c>
      <c r="AJ111" s="286">
        <v>0.99999999443899157</v>
      </c>
      <c r="AK111" s="184">
        <f t="shared" si="46"/>
        <v>1</v>
      </c>
      <c r="AL111" s="184">
        <f t="shared" si="47"/>
        <v>1</v>
      </c>
    </row>
    <row r="112" spans="1:38">
      <c r="A112" t="s">
        <v>1028</v>
      </c>
      <c r="B112" s="251">
        <f t="shared" ref="B112" si="48">IFERROR(INDEX(C112:AL112,MATCH($B$46,$C$46:$AL$46,0)),0)</f>
        <v>1</v>
      </c>
      <c r="C112" s="286">
        <v>1</v>
      </c>
      <c r="D112" s="286">
        <v>0.99999980762330321</v>
      </c>
      <c r="E112" s="286">
        <v>0.99999534737506035</v>
      </c>
      <c r="F112" s="286">
        <v>1.0000049129692974</v>
      </c>
      <c r="G112" s="286">
        <v>0.99999984228629291</v>
      </c>
      <c r="H112" s="286">
        <v>0.99999726256202282</v>
      </c>
      <c r="I112" s="286">
        <v>0.99999979337472711</v>
      </c>
      <c r="J112" s="286">
        <v>0.99999995251726304</v>
      </c>
      <c r="K112" s="286">
        <v>1.0000011701321114</v>
      </c>
      <c r="L112" s="286">
        <v>0.99999921489551558</v>
      </c>
      <c r="M112" s="286">
        <v>1.0000015129247675</v>
      </c>
      <c r="N112" s="286">
        <v>0.9999995409354403</v>
      </c>
      <c r="O112" s="286">
        <v>1.0000008462657117</v>
      </c>
      <c r="P112" s="286">
        <v>1.000000025945339</v>
      </c>
      <c r="Q112" s="286">
        <v>1.0000024878844214</v>
      </c>
      <c r="R112" s="286">
        <v>1.0000016655182042</v>
      </c>
      <c r="S112" s="286">
        <v>1.00000442300119</v>
      </c>
      <c r="T112" s="286">
        <v>1.00000237708274</v>
      </c>
      <c r="U112" s="286">
        <v>1.0000008102854878</v>
      </c>
      <c r="V112" s="286">
        <v>0.99999913084693548</v>
      </c>
      <c r="W112" s="286">
        <v>0.99999946584767774</v>
      </c>
      <c r="X112" s="286">
        <v>1.0000008681417121</v>
      </c>
      <c r="Y112" s="286">
        <v>1.0000006326709823</v>
      </c>
      <c r="Z112" s="286">
        <v>1.0000024779213528</v>
      </c>
      <c r="AA112" s="286">
        <v>0.99999408718077998</v>
      </c>
      <c r="AB112" s="286">
        <v>1.0000016239011373</v>
      </c>
      <c r="AC112" s="286">
        <v>0.9999981922058756</v>
      </c>
      <c r="AD112" s="286">
        <v>0.9999975915276359</v>
      </c>
      <c r="AE112" s="286">
        <v>1.0000007666348256</v>
      </c>
      <c r="AF112" s="286">
        <v>0.99999464057952481</v>
      </c>
      <c r="AG112" s="286">
        <v>0.99999969242615006</v>
      </c>
      <c r="AH112" s="286">
        <v>0.999999091823219</v>
      </c>
      <c r="AI112" s="286">
        <v>0.9999990863163517</v>
      </c>
      <c r="AJ112" s="286">
        <v>1.0000000399955966</v>
      </c>
      <c r="AK112" s="184">
        <f t="shared" si="46"/>
        <v>1</v>
      </c>
      <c r="AL112" s="184">
        <f t="shared" si="47"/>
        <v>1</v>
      </c>
    </row>
    <row r="115" spans="1:37">
      <c r="A115" t="s">
        <v>1029</v>
      </c>
    </row>
    <row r="117" spans="1:37">
      <c r="A117" t="s">
        <v>1030</v>
      </c>
      <c r="B117">
        <v>2015</v>
      </c>
      <c r="C117">
        <v>2016</v>
      </c>
      <c r="D117">
        <v>2017</v>
      </c>
      <c r="E117">
        <v>2018</v>
      </c>
      <c r="F117">
        <v>2019</v>
      </c>
      <c r="G117">
        <v>2020</v>
      </c>
      <c r="H117">
        <v>2021</v>
      </c>
      <c r="I117">
        <v>2022</v>
      </c>
      <c r="J117">
        <v>2023</v>
      </c>
      <c r="K117">
        <v>2024</v>
      </c>
      <c r="L117" s="184">
        <v>2025</v>
      </c>
      <c r="M117">
        <v>2026</v>
      </c>
      <c r="N117">
        <v>2027</v>
      </c>
      <c r="O117">
        <v>2028</v>
      </c>
      <c r="P117">
        <v>2029</v>
      </c>
      <c r="Q117">
        <v>2030</v>
      </c>
      <c r="R117">
        <v>2031</v>
      </c>
      <c r="S117">
        <v>2032</v>
      </c>
      <c r="T117">
        <v>2033</v>
      </c>
      <c r="U117">
        <v>2034</v>
      </c>
      <c r="V117">
        <v>2035</v>
      </c>
      <c r="W117">
        <v>2036</v>
      </c>
      <c r="X117">
        <v>2037</v>
      </c>
      <c r="Y117">
        <v>2038</v>
      </c>
      <c r="Z117">
        <v>2039</v>
      </c>
      <c r="AA117">
        <v>2040</v>
      </c>
      <c r="AB117">
        <v>2041</v>
      </c>
      <c r="AC117">
        <v>2042</v>
      </c>
      <c r="AD117">
        <v>2043</v>
      </c>
      <c r="AE117">
        <v>2044</v>
      </c>
      <c r="AF117">
        <v>2045</v>
      </c>
      <c r="AG117">
        <v>2046</v>
      </c>
      <c r="AH117">
        <v>2047</v>
      </c>
      <c r="AI117">
        <v>2048</v>
      </c>
      <c r="AJ117">
        <v>2049</v>
      </c>
      <c r="AK117">
        <v>2050</v>
      </c>
    </row>
    <row r="118" spans="1:37">
      <c r="A118" t="s">
        <v>632</v>
      </c>
      <c r="B118">
        <v>0</v>
      </c>
      <c r="C118">
        <v>3.0503876294935943E-3</v>
      </c>
      <c r="D118">
        <v>3.0503876294935943E-3</v>
      </c>
      <c r="E118">
        <v>3.0503876294935943E-3</v>
      </c>
      <c r="F118">
        <v>3.0503876294935943E-3</v>
      </c>
      <c r="G118">
        <v>3.0503876294935943E-3</v>
      </c>
      <c r="H118">
        <v>3.0503876294935943E-3</v>
      </c>
      <c r="I118">
        <v>3.0503876294935943E-3</v>
      </c>
      <c r="J118">
        <v>3.0503876294935943E-3</v>
      </c>
      <c r="K118">
        <v>3.0503876294935943E-3</v>
      </c>
      <c r="L118" s="184">
        <v>3.0503876294935943E-3</v>
      </c>
      <c r="M118">
        <v>3.0503876294935943E-3</v>
      </c>
      <c r="N118">
        <v>3.0503876294935943E-3</v>
      </c>
      <c r="O118">
        <v>3.0503876294935943E-3</v>
      </c>
      <c r="P118">
        <v>3.0503876294935943E-3</v>
      </c>
      <c r="Q118">
        <v>3.0503876294935943E-3</v>
      </c>
      <c r="R118">
        <v>3.0503876294935943E-3</v>
      </c>
      <c r="S118">
        <v>3.0503876294935943E-3</v>
      </c>
      <c r="T118">
        <v>3.0503876294935943E-3</v>
      </c>
      <c r="U118">
        <v>3.0503876294935943E-3</v>
      </c>
      <c r="V118">
        <v>3.0503876294935943E-3</v>
      </c>
      <c r="W118">
        <v>3.0503876294935943E-3</v>
      </c>
      <c r="X118">
        <v>3.0503876294935943E-3</v>
      </c>
      <c r="Y118">
        <v>3.0503876294935943E-3</v>
      </c>
      <c r="Z118">
        <v>3.0503876294935943E-3</v>
      </c>
      <c r="AA118">
        <v>3.0503876294935943E-3</v>
      </c>
      <c r="AB118">
        <v>3.0503876294935943E-3</v>
      </c>
      <c r="AC118">
        <v>3.0503876294935943E-3</v>
      </c>
      <c r="AD118">
        <v>3.0503876294935943E-3</v>
      </c>
      <c r="AE118">
        <v>3.0503876294935943E-3</v>
      </c>
      <c r="AF118">
        <v>3.0503876294935943E-3</v>
      </c>
      <c r="AG118">
        <v>3.0503876294935943E-3</v>
      </c>
      <c r="AH118">
        <v>3.0503876294935943E-3</v>
      </c>
      <c r="AI118">
        <v>3.0503876294935943E-3</v>
      </c>
      <c r="AJ118">
        <v>3.0503876294935943E-3</v>
      </c>
      <c r="AK118">
        <v>3.0503876294935943E-3</v>
      </c>
    </row>
    <row r="119" spans="1:37">
      <c r="A119" t="s">
        <v>626</v>
      </c>
      <c r="B119">
        <v>0</v>
      </c>
      <c r="C119">
        <v>5.7039594571151313E-2</v>
      </c>
      <c r="D119">
        <v>5.7039594571151313E-2</v>
      </c>
      <c r="E119">
        <v>5.7039594571151313E-2</v>
      </c>
      <c r="F119">
        <v>5.7039594571151313E-2</v>
      </c>
      <c r="G119">
        <v>5.7039594571151313E-2</v>
      </c>
      <c r="H119">
        <v>5.7039594571151313E-2</v>
      </c>
      <c r="I119">
        <v>5.7039594571151313E-2</v>
      </c>
      <c r="J119">
        <v>5.7039594571151313E-2</v>
      </c>
      <c r="K119">
        <v>5.7039594571151313E-2</v>
      </c>
      <c r="L119" s="184">
        <v>5.7039594571151313E-2</v>
      </c>
      <c r="M119">
        <v>5.7039594571151313E-2</v>
      </c>
      <c r="N119">
        <v>5.7039594571151313E-2</v>
      </c>
      <c r="O119">
        <v>5.7039594571151313E-2</v>
      </c>
      <c r="P119">
        <v>5.7039594571151313E-2</v>
      </c>
      <c r="Q119">
        <v>5.7039594571151313E-2</v>
      </c>
      <c r="R119">
        <v>5.7039594571151313E-2</v>
      </c>
      <c r="S119">
        <v>5.7039594571151313E-2</v>
      </c>
      <c r="T119">
        <v>5.7039594571151313E-2</v>
      </c>
      <c r="U119">
        <v>5.7039594571151313E-2</v>
      </c>
      <c r="V119">
        <v>5.7039594571151313E-2</v>
      </c>
      <c r="W119">
        <v>5.7039594571151313E-2</v>
      </c>
      <c r="X119">
        <v>5.7039594571151313E-2</v>
      </c>
      <c r="Y119">
        <v>5.7039594571151313E-2</v>
      </c>
      <c r="Z119">
        <v>5.7039594571151313E-2</v>
      </c>
      <c r="AA119">
        <v>5.7039594571151313E-2</v>
      </c>
      <c r="AB119">
        <v>5.7039594571151313E-2</v>
      </c>
      <c r="AC119">
        <v>5.7039594571151313E-2</v>
      </c>
      <c r="AD119">
        <v>5.7039594571151313E-2</v>
      </c>
      <c r="AE119">
        <v>5.7039594571151313E-2</v>
      </c>
      <c r="AF119">
        <v>5.7039594571151313E-2</v>
      </c>
      <c r="AG119">
        <v>5.7039594571151313E-2</v>
      </c>
      <c r="AH119">
        <v>5.7039594571151313E-2</v>
      </c>
      <c r="AI119">
        <v>5.7039594571151313E-2</v>
      </c>
      <c r="AJ119">
        <v>5.7039594571151313E-2</v>
      </c>
      <c r="AK119">
        <v>5.7039594571151313E-2</v>
      </c>
    </row>
    <row r="120" spans="1:37">
      <c r="A120" t="s">
        <v>627</v>
      </c>
      <c r="B120">
        <v>0</v>
      </c>
      <c r="C120">
        <v>4.1430819433312942E-2</v>
      </c>
      <c r="D120">
        <v>4.1430819433312942E-2</v>
      </c>
      <c r="E120">
        <v>4.1430819433312942E-2</v>
      </c>
      <c r="F120">
        <v>4.1430819433312942E-2</v>
      </c>
      <c r="G120">
        <v>4.1430819433312942E-2</v>
      </c>
      <c r="H120">
        <v>4.1430819433312942E-2</v>
      </c>
      <c r="I120">
        <v>4.1430819433312942E-2</v>
      </c>
      <c r="J120">
        <v>4.1430819433312942E-2</v>
      </c>
      <c r="K120">
        <v>4.1430819433312942E-2</v>
      </c>
      <c r="L120" s="184">
        <v>4.1430819433312942E-2</v>
      </c>
      <c r="M120">
        <v>4.1430819433312942E-2</v>
      </c>
      <c r="N120">
        <v>4.1430819433312942E-2</v>
      </c>
      <c r="O120">
        <v>4.1430819433312942E-2</v>
      </c>
      <c r="P120">
        <v>4.1430819433312942E-2</v>
      </c>
      <c r="Q120">
        <v>4.1430819433312942E-2</v>
      </c>
      <c r="R120">
        <v>4.1430819433312942E-2</v>
      </c>
      <c r="S120">
        <v>4.1430819433312942E-2</v>
      </c>
      <c r="T120">
        <v>4.1430819433312942E-2</v>
      </c>
      <c r="U120">
        <v>4.1430819433312942E-2</v>
      </c>
      <c r="V120">
        <v>4.1430819433312942E-2</v>
      </c>
      <c r="W120">
        <v>4.1430819433312942E-2</v>
      </c>
      <c r="X120">
        <v>4.1430819433312942E-2</v>
      </c>
      <c r="Y120">
        <v>4.1430819433312942E-2</v>
      </c>
      <c r="Z120">
        <v>4.1430819433312942E-2</v>
      </c>
      <c r="AA120">
        <v>4.1430819433312942E-2</v>
      </c>
      <c r="AB120">
        <v>4.1430819433312942E-2</v>
      </c>
      <c r="AC120">
        <v>4.1430819433312942E-2</v>
      </c>
      <c r="AD120">
        <v>4.1430819433312942E-2</v>
      </c>
      <c r="AE120">
        <v>4.1430819433312942E-2</v>
      </c>
      <c r="AF120">
        <v>4.1430819433312942E-2</v>
      </c>
      <c r="AG120">
        <v>4.1430819433312942E-2</v>
      </c>
      <c r="AH120">
        <v>4.1430819433312942E-2</v>
      </c>
      <c r="AI120">
        <v>4.1430819433312942E-2</v>
      </c>
      <c r="AJ120">
        <v>4.1430819433312942E-2</v>
      </c>
      <c r="AK120">
        <v>4.1430819433312942E-2</v>
      </c>
    </row>
    <row r="121" spans="1:37">
      <c r="A121" t="s">
        <v>628</v>
      </c>
      <c r="B121">
        <v>0</v>
      </c>
      <c r="C121">
        <v>2.2128660729216355E-2</v>
      </c>
      <c r="D121">
        <v>2.2128660729216355E-2</v>
      </c>
      <c r="E121">
        <v>2.2128660729216355E-2</v>
      </c>
      <c r="F121">
        <v>2.2128660729216355E-2</v>
      </c>
      <c r="G121">
        <v>2.2128660729216355E-2</v>
      </c>
      <c r="H121">
        <v>2.2128660729216355E-2</v>
      </c>
      <c r="I121">
        <v>2.2128660729216355E-2</v>
      </c>
      <c r="J121">
        <v>2.2128660729216355E-2</v>
      </c>
      <c r="K121">
        <v>2.2128660729216355E-2</v>
      </c>
      <c r="L121">
        <v>2.2128660729216355E-2</v>
      </c>
      <c r="M121">
        <v>2.2128660729216355E-2</v>
      </c>
      <c r="N121">
        <v>2.2128660729216355E-2</v>
      </c>
      <c r="O121">
        <v>2.2128660729216355E-2</v>
      </c>
      <c r="P121">
        <v>2.2128660729216355E-2</v>
      </c>
      <c r="Q121">
        <v>2.2128660729216355E-2</v>
      </c>
      <c r="R121">
        <v>2.2128660729216355E-2</v>
      </c>
      <c r="S121">
        <v>2.2128660729216355E-2</v>
      </c>
      <c r="T121">
        <v>2.2128660729216355E-2</v>
      </c>
      <c r="U121">
        <v>2.2128660729216355E-2</v>
      </c>
      <c r="V121">
        <v>2.2128660729216355E-2</v>
      </c>
      <c r="W121">
        <v>2.2128660729216355E-2</v>
      </c>
      <c r="X121">
        <v>2.2128660729216355E-2</v>
      </c>
      <c r="Y121">
        <v>2.2128660729216355E-2</v>
      </c>
      <c r="Z121">
        <v>2.2128660729216355E-2</v>
      </c>
      <c r="AA121">
        <v>2.2128660729216355E-2</v>
      </c>
      <c r="AB121">
        <v>2.2128660729216355E-2</v>
      </c>
      <c r="AC121">
        <v>2.2128660729216355E-2</v>
      </c>
      <c r="AD121">
        <v>2.2128660729216355E-2</v>
      </c>
      <c r="AE121">
        <v>2.2128660729216355E-2</v>
      </c>
      <c r="AF121">
        <v>2.2128660729216355E-2</v>
      </c>
      <c r="AG121">
        <v>2.2128660729216355E-2</v>
      </c>
      <c r="AH121">
        <v>2.2128660729216355E-2</v>
      </c>
      <c r="AI121">
        <v>2.2128660729216355E-2</v>
      </c>
      <c r="AJ121">
        <v>2.2128660729216355E-2</v>
      </c>
      <c r="AK121">
        <v>2.2128660729216355E-2</v>
      </c>
    </row>
    <row r="122" spans="1:37">
      <c r="A122" t="s">
        <v>629</v>
      </c>
      <c r="B122">
        <v>0</v>
      </c>
      <c r="C122">
        <v>4.4256074466521952E-2</v>
      </c>
      <c r="D122">
        <v>4.4256074466521952E-2</v>
      </c>
      <c r="E122">
        <v>4.4256074466521952E-2</v>
      </c>
      <c r="F122">
        <v>4.4256074466521952E-2</v>
      </c>
      <c r="G122">
        <v>4.4256074466521952E-2</v>
      </c>
      <c r="H122">
        <v>4.4256074466521952E-2</v>
      </c>
      <c r="I122">
        <v>4.4256074466521952E-2</v>
      </c>
      <c r="J122">
        <v>4.4256074466521952E-2</v>
      </c>
      <c r="K122">
        <v>4.4256074466521952E-2</v>
      </c>
      <c r="L122">
        <v>4.4256074466521952E-2</v>
      </c>
      <c r="M122">
        <v>4.4256074466521952E-2</v>
      </c>
      <c r="N122">
        <v>4.4256074466521952E-2</v>
      </c>
      <c r="O122">
        <v>4.4256074466521952E-2</v>
      </c>
      <c r="P122">
        <v>4.4256074466521952E-2</v>
      </c>
      <c r="Q122">
        <v>4.4256074466521952E-2</v>
      </c>
      <c r="R122">
        <v>4.4256074466521952E-2</v>
      </c>
      <c r="S122">
        <v>4.4256074466521952E-2</v>
      </c>
      <c r="T122">
        <v>4.4256074466521952E-2</v>
      </c>
      <c r="U122">
        <v>4.4256074466521952E-2</v>
      </c>
      <c r="V122">
        <v>4.4256074466521952E-2</v>
      </c>
      <c r="W122">
        <v>4.4256074466521952E-2</v>
      </c>
      <c r="X122">
        <v>4.4256074466521952E-2</v>
      </c>
      <c r="Y122">
        <v>4.4256074466521952E-2</v>
      </c>
      <c r="Z122">
        <v>4.4256074466521952E-2</v>
      </c>
      <c r="AA122">
        <v>4.4256074466521952E-2</v>
      </c>
      <c r="AB122">
        <v>4.4256074466521952E-2</v>
      </c>
      <c r="AC122">
        <v>4.4256074466521952E-2</v>
      </c>
      <c r="AD122">
        <v>4.4256074466521952E-2</v>
      </c>
      <c r="AE122">
        <v>4.4256074466521952E-2</v>
      </c>
      <c r="AF122">
        <v>4.4256074466521952E-2</v>
      </c>
      <c r="AG122">
        <v>4.4256074466521952E-2</v>
      </c>
      <c r="AH122">
        <v>4.4256074466521952E-2</v>
      </c>
      <c r="AI122">
        <v>4.4256074466521952E-2</v>
      </c>
      <c r="AJ122">
        <v>4.4256074466521952E-2</v>
      </c>
      <c r="AK122">
        <v>4.4256074466521952E-2</v>
      </c>
    </row>
    <row r="123" spans="1:37">
      <c r="A123" t="s">
        <v>630</v>
      </c>
      <c r="B123">
        <v>0</v>
      </c>
      <c r="C123">
        <v>1.7113517888471517E-2</v>
      </c>
      <c r="D123">
        <v>1.7113517888471517E-2</v>
      </c>
      <c r="E123">
        <v>1.7113517888471517E-2</v>
      </c>
      <c r="F123">
        <v>1.7113517888471517E-2</v>
      </c>
      <c r="G123">
        <v>1.7113517888471517E-2</v>
      </c>
      <c r="H123">
        <v>1.7113517888471517E-2</v>
      </c>
      <c r="I123">
        <v>1.7113517888471517E-2</v>
      </c>
      <c r="J123">
        <v>1.7113517888471517E-2</v>
      </c>
      <c r="K123">
        <v>1.7113517888471517E-2</v>
      </c>
      <c r="L123">
        <v>1.7113517888471517E-2</v>
      </c>
      <c r="M123">
        <v>1.7113517888471517E-2</v>
      </c>
      <c r="N123">
        <v>1.7113517888471517E-2</v>
      </c>
      <c r="O123">
        <v>1.7113517888471517E-2</v>
      </c>
      <c r="P123">
        <v>1.7113517888471517E-2</v>
      </c>
      <c r="Q123">
        <v>1.7113517888471517E-2</v>
      </c>
      <c r="R123">
        <v>1.7113517888471517E-2</v>
      </c>
      <c r="S123">
        <v>1.7113517888471517E-2</v>
      </c>
      <c r="T123">
        <v>1.7113517888471517E-2</v>
      </c>
      <c r="U123">
        <v>1.7113517888471517E-2</v>
      </c>
      <c r="V123">
        <v>1.7113517888471517E-2</v>
      </c>
      <c r="W123">
        <v>1.7113517888471517E-2</v>
      </c>
      <c r="X123">
        <v>1.7113517888471517E-2</v>
      </c>
      <c r="Y123">
        <v>1.7113517888471517E-2</v>
      </c>
      <c r="Z123">
        <v>1.7113517888471517E-2</v>
      </c>
      <c r="AA123">
        <v>1.7113517888471517E-2</v>
      </c>
      <c r="AB123">
        <v>1.7113517888471517E-2</v>
      </c>
      <c r="AC123">
        <v>1.7113517888471517E-2</v>
      </c>
      <c r="AD123">
        <v>1.7113517888471517E-2</v>
      </c>
      <c r="AE123">
        <v>1.7113517888471517E-2</v>
      </c>
      <c r="AF123">
        <v>1.7113517888471517E-2</v>
      </c>
      <c r="AG123">
        <v>1.7113517888471517E-2</v>
      </c>
      <c r="AH123">
        <v>1.7113517888471517E-2</v>
      </c>
      <c r="AI123">
        <v>1.7113517888471517E-2</v>
      </c>
      <c r="AJ123">
        <v>1.7113517888471517E-2</v>
      </c>
      <c r="AK123">
        <v>1.7113517888471517E-2</v>
      </c>
    </row>
    <row r="124" spans="1:37">
      <c r="A124" t="s">
        <v>631</v>
      </c>
      <c r="B124">
        <v>0</v>
      </c>
      <c r="C124">
        <v>2.4427392122583033E-2</v>
      </c>
      <c r="D124">
        <v>2.4427392122583033E-2</v>
      </c>
      <c r="E124">
        <v>2.4427392122583033E-2</v>
      </c>
      <c r="F124">
        <v>2.4427392122583033E-2</v>
      </c>
      <c r="G124">
        <v>2.4427392122583033E-2</v>
      </c>
      <c r="H124">
        <v>2.4427392122583033E-2</v>
      </c>
      <c r="I124">
        <v>2.4427392122583033E-2</v>
      </c>
      <c r="J124">
        <v>2.4427392122583033E-2</v>
      </c>
      <c r="K124">
        <v>2.4427392122583033E-2</v>
      </c>
      <c r="L124">
        <v>2.4427392122583033E-2</v>
      </c>
      <c r="M124">
        <v>2.4427392122583033E-2</v>
      </c>
      <c r="N124">
        <v>2.4427392122583033E-2</v>
      </c>
      <c r="O124">
        <v>2.4427392122583033E-2</v>
      </c>
      <c r="P124">
        <v>2.4427392122583033E-2</v>
      </c>
      <c r="Q124">
        <v>2.4427392122583033E-2</v>
      </c>
      <c r="R124">
        <v>2.4427392122583033E-2</v>
      </c>
      <c r="S124">
        <v>2.4427392122583033E-2</v>
      </c>
      <c r="T124">
        <v>2.4427392122583033E-2</v>
      </c>
      <c r="U124">
        <v>2.4427392122583033E-2</v>
      </c>
      <c r="V124">
        <v>2.4427392122583033E-2</v>
      </c>
      <c r="W124">
        <v>2.4427392122583033E-2</v>
      </c>
      <c r="X124">
        <v>2.4427392122583033E-2</v>
      </c>
      <c r="Y124">
        <v>2.4427392122583033E-2</v>
      </c>
      <c r="Z124">
        <v>2.4427392122583033E-2</v>
      </c>
      <c r="AA124">
        <v>2.4427392122583033E-2</v>
      </c>
      <c r="AB124">
        <v>2.4427392122583033E-2</v>
      </c>
      <c r="AC124">
        <v>2.4427392122583033E-2</v>
      </c>
      <c r="AD124">
        <v>2.4427392122583033E-2</v>
      </c>
      <c r="AE124">
        <v>2.4427392122583033E-2</v>
      </c>
      <c r="AF124">
        <v>2.4427392122583033E-2</v>
      </c>
      <c r="AG124">
        <v>2.4427392122583033E-2</v>
      </c>
      <c r="AH124">
        <v>2.4427392122583033E-2</v>
      </c>
      <c r="AI124">
        <v>2.4427392122583033E-2</v>
      </c>
      <c r="AJ124">
        <v>2.4427392122583033E-2</v>
      </c>
      <c r="AK124">
        <v>2.4427392122583033E-2</v>
      </c>
    </row>
    <row r="125" spans="1:37">
      <c r="A125" t="s">
        <v>634</v>
      </c>
      <c r="B125">
        <v>0</v>
      </c>
      <c r="C125">
        <v>4.43894449945871E-2</v>
      </c>
      <c r="D125">
        <v>4.43894449945871E-2</v>
      </c>
      <c r="E125">
        <v>4.43894449945871E-2</v>
      </c>
      <c r="F125">
        <v>4.43894449945871E-2</v>
      </c>
      <c r="G125">
        <v>4.43894449945871E-2</v>
      </c>
      <c r="H125">
        <v>4.43894449945871E-2</v>
      </c>
      <c r="I125">
        <v>4.43894449945871E-2</v>
      </c>
      <c r="J125">
        <v>4.43894449945871E-2</v>
      </c>
      <c r="K125">
        <v>4.43894449945871E-2</v>
      </c>
      <c r="L125">
        <v>4.43894449945871E-2</v>
      </c>
      <c r="M125">
        <v>4.43894449945871E-2</v>
      </c>
      <c r="N125">
        <v>4.43894449945871E-2</v>
      </c>
      <c r="O125">
        <v>4.43894449945871E-2</v>
      </c>
      <c r="P125">
        <v>4.43894449945871E-2</v>
      </c>
      <c r="Q125">
        <v>4.43894449945871E-2</v>
      </c>
      <c r="R125">
        <v>4.43894449945871E-2</v>
      </c>
      <c r="S125">
        <v>4.43894449945871E-2</v>
      </c>
      <c r="T125">
        <v>4.43894449945871E-2</v>
      </c>
      <c r="U125">
        <v>4.43894449945871E-2</v>
      </c>
      <c r="V125">
        <v>4.43894449945871E-2</v>
      </c>
      <c r="W125">
        <v>4.43894449945871E-2</v>
      </c>
      <c r="X125">
        <v>4.43894449945871E-2</v>
      </c>
      <c r="Y125">
        <v>4.43894449945871E-2</v>
      </c>
      <c r="Z125">
        <v>4.43894449945871E-2</v>
      </c>
      <c r="AA125">
        <v>4.43894449945871E-2</v>
      </c>
      <c r="AB125">
        <v>4.43894449945871E-2</v>
      </c>
      <c r="AC125">
        <v>4.43894449945871E-2</v>
      </c>
      <c r="AD125">
        <v>4.43894449945871E-2</v>
      </c>
      <c r="AE125">
        <v>4.43894449945871E-2</v>
      </c>
      <c r="AF125">
        <v>4.43894449945871E-2</v>
      </c>
      <c r="AG125">
        <v>4.43894449945871E-2</v>
      </c>
      <c r="AH125">
        <v>4.43894449945871E-2</v>
      </c>
      <c r="AI125">
        <v>4.43894449945871E-2</v>
      </c>
      <c r="AJ125">
        <v>4.43894449945871E-2</v>
      </c>
      <c r="AK125">
        <v>4.43894449945871E-2</v>
      </c>
    </row>
    <row r="126" spans="1:37">
      <c r="A126" t="s">
        <v>635</v>
      </c>
      <c r="B126">
        <v>0</v>
      </c>
      <c r="C126">
        <v>4.1441786570909286E-2</v>
      </c>
      <c r="D126">
        <v>4.1441786570909286E-2</v>
      </c>
      <c r="E126">
        <v>4.1441786570909286E-2</v>
      </c>
      <c r="F126">
        <v>4.1441786570909286E-2</v>
      </c>
      <c r="G126">
        <v>4.1441786570909286E-2</v>
      </c>
      <c r="H126">
        <v>4.1441786570909286E-2</v>
      </c>
      <c r="I126">
        <v>4.1441786570909286E-2</v>
      </c>
      <c r="J126">
        <v>4.1441786570909286E-2</v>
      </c>
      <c r="K126">
        <v>4.1441786570909286E-2</v>
      </c>
      <c r="L126">
        <v>4.1441786570909286E-2</v>
      </c>
      <c r="M126">
        <v>4.1441786570909286E-2</v>
      </c>
      <c r="N126">
        <v>4.1441786570909286E-2</v>
      </c>
      <c r="O126">
        <v>4.1441786570909286E-2</v>
      </c>
      <c r="P126">
        <v>4.1441786570909286E-2</v>
      </c>
      <c r="Q126">
        <v>4.1441786570909286E-2</v>
      </c>
      <c r="R126">
        <v>4.1441786570909286E-2</v>
      </c>
      <c r="S126">
        <v>4.1441786570909286E-2</v>
      </c>
      <c r="T126">
        <v>4.1441786570909286E-2</v>
      </c>
      <c r="U126">
        <v>4.1441786570909286E-2</v>
      </c>
      <c r="V126">
        <v>4.1441786570909286E-2</v>
      </c>
      <c r="W126">
        <v>4.1441786570909286E-2</v>
      </c>
      <c r="X126">
        <v>4.1441786570909286E-2</v>
      </c>
      <c r="Y126">
        <v>4.1441786570909286E-2</v>
      </c>
      <c r="Z126">
        <v>4.1441786570909286E-2</v>
      </c>
      <c r="AA126">
        <v>4.1441786570909286E-2</v>
      </c>
      <c r="AB126">
        <v>4.1441786570909286E-2</v>
      </c>
      <c r="AC126">
        <v>4.1441786570909286E-2</v>
      </c>
      <c r="AD126">
        <v>4.1441786570909286E-2</v>
      </c>
      <c r="AE126">
        <v>4.1441786570909286E-2</v>
      </c>
      <c r="AF126">
        <v>4.1441786570909286E-2</v>
      </c>
      <c r="AG126">
        <v>4.1441786570909286E-2</v>
      </c>
      <c r="AH126">
        <v>4.1441786570909286E-2</v>
      </c>
      <c r="AI126">
        <v>4.1441786570909286E-2</v>
      </c>
      <c r="AJ126">
        <v>4.1441786570909286E-2</v>
      </c>
      <c r="AK126">
        <v>4.1441786570909286E-2</v>
      </c>
    </row>
    <row r="127" spans="1:37">
      <c r="A127" t="s">
        <v>636</v>
      </c>
      <c r="B127">
        <v>0</v>
      </c>
      <c r="C127">
        <v>2.1115240825438617E-2</v>
      </c>
      <c r="D127">
        <v>2.1115240825438617E-2</v>
      </c>
      <c r="E127">
        <v>2.1115240825438617E-2</v>
      </c>
      <c r="F127">
        <v>2.1115240825438617E-2</v>
      </c>
      <c r="G127">
        <v>2.1115240825438617E-2</v>
      </c>
      <c r="H127">
        <v>2.1115240825438617E-2</v>
      </c>
      <c r="I127">
        <v>2.1115240825438617E-2</v>
      </c>
      <c r="J127">
        <v>2.1115240825438617E-2</v>
      </c>
      <c r="K127">
        <v>2.1115240825438617E-2</v>
      </c>
      <c r="L127">
        <v>2.1115240825438617E-2</v>
      </c>
      <c r="M127">
        <v>2.1115240825438617E-2</v>
      </c>
      <c r="N127">
        <v>2.1115240825438617E-2</v>
      </c>
      <c r="O127">
        <v>2.1115240825438617E-2</v>
      </c>
      <c r="P127">
        <v>2.1115240825438617E-2</v>
      </c>
      <c r="Q127">
        <v>2.1115240825438617E-2</v>
      </c>
      <c r="R127">
        <v>2.1115240825438617E-2</v>
      </c>
      <c r="S127">
        <v>2.1115240825438617E-2</v>
      </c>
      <c r="T127">
        <v>2.1115240825438617E-2</v>
      </c>
      <c r="U127">
        <v>2.1115240825438617E-2</v>
      </c>
      <c r="V127">
        <v>2.1115240825438617E-2</v>
      </c>
      <c r="W127">
        <v>2.1115240825438617E-2</v>
      </c>
      <c r="X127">
        <v>2.1115240825438617E-2</v>
      </c>
      <c r="Y127">
        <v>2.1115240825438617E-2</v>
      </c>
      <c r="Z127">
        <v>2.1115240825438617E-2</v>
      </c>
      <c r="AA127">
        <v>2.1115240825438617E-2</v>
      </c>
      <c r="AB127">
        <v>2.1115240825438617E-2</v>
      </c>
      <c r="AC127">
        <v>2.1115240825438617E-2</v>
      </c>
      <c r="AD127">
        <v>2.1115240825438617E-2</v>
      </c>
      <c r="AE127">
        <v>2.1115240825438617E-2</v>
      </c>
      <c r="AF127">
        <v>2.1115240825438617E-2</v>
      </c>
      <c r="AG127">
        <v>2.1115240825438617E-2</v>
      </c>
      <c r="AH127">
        <v>2.1115240825438617E-2</v>
      </c>
      <c r="AI127">
        <v>2.1115240825438617E-2</v>
      </c>
      <c r="AJ127">
        <v>2.1115240825438617E-2</v>
      </c>
      <c r="AK127">
        <v>2.1115240825438617E-2</v>
      </c>
    </row>
    <row r="128" spans="1:37">
      <c r="A128" t="s">
        <v>637</v>
      </c>
      <c r="B128">
        <v>0</v>
      </c>
      <c r="C128">
        <v>5.6675098990331463E-2</v>
      </c>
      <c r="D128">
        <v>5.6675098990331463E-2</v>
      </c>
      <c r="E128">
        <v>5.6675098990331463E-2</v>
      </c>
      <c r="F128">
        <v>5.6675098990331463E-2</v>
      </c>
      <c r="G128">
        <v>5.6675098990331463E-2</v>
      </c>
      <c r="H128">
        <v>5.6675098990331463E-2</v>
      </c>
      <c r="I128">
        <v>5.6675098990331463E-2</v>
      </c>
      <c r="J128">
        <v>5.6675098990331463E-2</v>
      </c>
      <c r="K128">
        <v>5.6675098990331463E-2</v>
      </c>
      <c r="L128">
        <v>5.6675098990331463E-2</v>
      </c>
      <c r="M128">
        <v>5.6675098990331463E-2</v>
      </c>
      <c r="N128">
        <v>5.6675098990331463E-2</v>
      </c>
      <c r="O128">
        <v>5.6675098990331463E-2</v>
      </c>
      <c r="P128">
        <v>5.6675098990331463E-2</v>
      </c>
      <c r="Q128">
        <v>5.6675098990331463E-2</v>
      </c>
      <c r="R128">
        <v>5.6675098990331463E-2</v>
      </c>
      <c r="S128">
        <v>5.6675098990331463E-2</v>
      </c>
      <c r="T128">
        <v>5.6675098990331463E-2</v>
      </c>
      <c r="U128">
        <v>5.6675098990331463E-2</v>
      </c>
      <c r="V128">
        <v>5.6675098990331463E-2</v>
      </c>
      <c r="W128">
        <v>5.6675098990331463E-2</v>
      </c>
      <c r="X128">
        <v>5.6675098990331463E-2</v>
      </c>
      <c r="Y128">
        <v>5.6675098990331463E-2</v>
      </c>
      <c r="Z128">
        <v>5.6675098990331463E-2</v>
      </c>
      <c r="AA128">
        <v>5.6675098990331463E-2</v>
      </c>
      <c r="AB128">
        <v>5.6675098990331463E-2</v>
      </c>
      <c r="AC128">
        <v>5.6675098990331463E-2</v>
      </c>
      <c r="AD128">
        <v>5.6675098990331463E-2</v>
      </c>
      <c r="AE128">
        <v>5.6675098990331463E-2</v>
      </c>
      <c r="AF128">
        <v>5.6675098990331463E-2</v>
      </c>
      <c r="AG128">
        <v>5.6675098990331463E-2</v>
      </c>
      <c r="AH128">
        <v>5.6675098990331463E-2</v>
      </c>
      <c r="AI128">
        <v>5.6675098990331463E-2</v>
      </c>
      <c r="AJ128">
        <v>5.6675098990331463E-2</v>
      </c>
      <c r="AK128">
        <v>5.6675098990331463E-2</v>
      </c>
    </row>
    <row r="129" spans="1:37">
      <c r="A129" t="s">
        <v>638</v>
      </c>
      <c r="B129">
        <v>0</v>
      </c>
      <c r="C129">
        <v>2.9614154775077447E-2</v>
      </c>
      <c r="D129">
        <v>2.9614154775077447E-2</v>
      </c>
      <c r="E129">
        <v>2.9614154775077447E-2</v>
      </c>
      <c r="F129">
        <v>2.9614154775077447E-2</v>
      </c>
      <c r="G129">
        <v>2.9614154775077447E-2</v>
      </c>
      <c r="H129">
        <v>2.9614154775077447E-2</v>
      </c>
      <c r="I129">
        <v>2.9614154775077447E-2</v>
      </c>
      <c r="J129">
        <v>2.9614154775077447E-2</v>
      </c>
      <c r="K129">
        <v>2.9614154775077447E-2</v>
      </c>
      <c r="L129">
        <v>2.9614154775077447E-2</v>
      </c>
      <c r="M129">
        <v>2.9614154775077447E-2</v>
      </c>
      <c r="N129">
        <v>2.9614154775077447E-2</v>
      </c>
      <c r="O129">
        <v>2.9614154775077447E-2</v>
      </c>
      <c r="P129">
        <v>2.9614154775077447E-2</v>
      </c>
      <c r="Q129">
        <v>2.9614154775077447E-2</v>
      </c>
      <c r="R129">
        <v>2.9614154775077447E-2</v>
      </c>
      <c r="S129">
        <v>2.9614154775077447E-2</v>
      </c>
      <c r="T129">
        <v>2.9614154775077447E-2</v>
      </c>
      <c r="U129">
        <v>2.9614154775077447E-2</v>
      </c>
      <c r="V129">
        <v>2.9614154775077447E-2</v>
      </c>
      <c r="W129">
        <v>2.9614154775077447E-2</v>
      </c>
      <c r="X129">
        <v>2.9614154775077447E-2</v>
      </c>
      <c r="Y129">
        <v>2.9614154775077447E-2</v>
      </c>
      <c r="Z129">
        <v>2.9614154775077447E-2</v>
      </c>
      <c r="AA129">
        <v>2.9614154775077447E-2</v>
      </c>
      <c r="AB129">
        <v>2.9614154775077447E-2</v>
      </c>
      <c r="AC129">
        <v>2.9614154775077447E-2</v>
      </c>
      <c r="AD129">
        <v>2.9614154775077447E-2</v>
      </c>
      <c r="AE129">
        <v>2.9614154775077447E-2</v>
      </c>
      <c r="AF129">
        <v>2.9614154775077447E-2</v>
      </c>
      <c r="AG129">
        <v>2.9614154775077447E-2</v>
      </c>
      <c r="AH129">
        <v>2.9614154775077447E-2</v>
      </c>
      <c r="AI129">
        <v>2.9614154775077447E-2</v>
      </c>
      <c r="AJ129">
        <v>2.9614154775077447E-2</v>
      </c>
      <c r="AK129">
        <v>2.9614154775077447E-2</v>
      </c>
    </row>
    <row r="130" spans="1:37">
      <c r="A130" t="s">
        <v>639</v>
      </c>
      <c r="B130">
        <v>0</v>
      </c>
      <c r="C130">
        <v>4.3479298859107673E-2</v>
      </c>
      <c r="D130">
        <v>4.3479298859107673E-2</v>
      </c>
      <c r="E130">
        <v>4.3479298859107673E-2</v>
      </c>
      <c r="F130">
        <v>4.3479298859107673E-2</v>
      </c>
      <c r="G130">
        <v>4.3479298859107673E-2</v>
      </c>
      <c r="H130">
        <v>4.3479298859107673E-2</v>
      </c>
      <c r="I130">
        <v>4.3479298859107673E-2</v>
      </c>
      <c r="J130">
        <v>4.3479298859107673E-2</v>
      </c>
      <c r="K130">
        <v>4.3479298859107673E-2</v>
      </c>
      <c r="L130">
        <v>4.3479298859107673E-2</v>
      </c>
      <c r="M130">
        <v>4.3479298859107673E-2</v>
      </c>
      <c r="N130">
        <v>4.3479298859107673E-2</v>
      </c>
      <c r="O130">
        <v>4.3479298859107673E-2</v>
      </c>
      <c r="P130">
        <v>4.3479298859107673E-2</v>
      </c>
      <c r="Q130">
        <v>4.3479298859107673E-2</v>
      </c>
      <c r="R130">
        <v>4.3479298859107673E-2</v>
      </c>
      <c r="S130">
        <v>4.3479298859107673E-2</v>
      </c>
      <c r="T130">
        <v>4.3479298859107673E-2</v>
      </c>
      <c r="U130">
        <v>4.3479298859107673E-2</v>
      </c>
      <c r="V130">
        <v>4.3479298859107673E-2</v>
      </c>
      <c r="W130">
        <v>4.3479298859107673E-2</v>
      </c>
      <c r="X130">
        <v>4.3479298859107673E-2</v>
      </c>
      <c r="Y130">
        <v>4.3479298859107673E-2</v>
      </c>
      <c r="Z130">
        <v>4.3479298859107673E-2</v>
      </c>
      <c r="AA130">
        <v>4.3479298859107673E-2</v>
      </c>
      <c r="AB130">
        <v>4.3479298859107673E-2</v>
      </c>
      <c r="AC130">
        <v>4.3479298859107673E-2</v>
      </c>
      <c r="AD130">
        <v>4.3479298859107673E-2</v>
      </c>
      <c r="AE130">
        <v>4.3479298859107673E-2</v>
      </c>
      <c r="AF130">
        <v>4.3479298859107673E-2</v>
      </c>
      <c r="AG130">
        <v>4.3479298859107673E-2</v>
      </c>
      <c r="AH130">
        <v>4.3479298859107673E-2</v>
      </c>
      <c r="AI130">
        <v>4.3479298859107673E-2</v>
      </c>
      <c r="AJ130">
        <v>4.3479298859107673E-2</v>
      </c>
      <c r="AK130">
        <v>4.3479298859107673E-2</v>
      </c>
    </row>
    <row r="131" spans="1:37">
      <c r="A131" t="s">
        <v>640</v>
      </c>
      <c r="B131">
        <v>0</v>
      </c>
      <c r="C131">
        <v>2.6297977591050601E-2</v>
      </c>
      <c r="D131">
        <v>2.6297977591050601E-2</v>
      </c>
      <c r="E131">
        <v>2.6297977591050601E-2</v>
      </c>
      <c r="F131">
        <v>2.6297977591050601E-2</v>
      </c>
      <c r="G131">
        <v>2.6297977591050601E-2</v>
      </c>
      <c r="H131">
        <v>2.6297977591050601E-2</v>
      </c>
      <c r="I131">
        <v>2.6297977591050601E-2</v>
      </c>
      <c r="J131">
        <v>2.6297977591050601E-2</v>
      </c>
      <c r="K131">
        <v>2.6297977591050601E-2</v>
      </c>
      <c r="L131">
        <v>2.6297977591050601E-2</v>
      </c>
      <c r="M131">
        <v>2.6297977591050601E-2</v>
      </c>
      <c r="N131">
        <v>2.6297977591050601E-2</v>
      </c>
      <c r="O131">
        <v>2.6297977591050601E-2</v>
      </c>
      <c r="P131">
        <v>2.6297977591050601E-2</v>
      </c>
      <c r="Q131">
        <v>2.6297977591050601E-2</v>
      </c>
      <c r="R131">
        <v>2.6297977591050601E-2</v>
      </c>
      <c r="S131">
        <v>2.6297977591050601E-2</v>
      </c>
      <c r="T131">
        <v>2.6297977591050601E-2</v>
      </c>
      <c r="U131">
        <v>2.6297977591050601E-2</v>
      </c>
      <c r="V131">
        <v>2.6297977591050601E-2</v>
      </c>
      <c r="W131">
        <v>2.6297977591050601E-2</v>
      </c>
      <c r="X131">
        <v>2.6297977591050601E-2</v>
      </c>
      <c r="Y131">
        <v>2.6297977591050601E-2</v>
      </c>
      <c r="Z131">
        <v>2.6297977591050601E-2</v>
      </c>
      <c r="AA131">
        <v>2.6297977591050601E-2</v>
      </c>
      <c r="AB131">
        <v>2.6297977591050601E-2</v>
      </c>
      <c r="AC131">
        <v>2.6297977591050601E-2</v>
      </c>
      <c r="AD131">
        <v>2.6297977591050601E-2</v>
      </c>
      <c r="AE131">
        <v>2.6297977591050601E-2</v>
      </c>
      <c r="AF131">
        <v>2.6297977591050601E-2</v>
      </c>
      <c r="AG131">
        <v>2.6297977591050601E-2</v>
      </c>
      <c r="AH131">
        <v>2.6297977591050601E-2</v>
      </c>
      <c r="AI131">
        <v>2.6297977591050601E-2</v>
      </c>
      <c r="AJ131">
        <v>2.6297977591050601E-2</v>
      </c>
      <c r="AK131">
        <v>2.6297977591050601E-2</v>
      </c>
    </row>
    <row r="132" spans="1:37">
      <c r="A132" t="s">
        <v>641</v>
      </c>
      <c r="B132">
        <v>0</v>
      </c>
      <c r="C132">
        <v>1.8166964633188447E-2</v>
      </c>
      <c r="D132">
        <v>1.8166964633188447E-2</v>
      </c>
      <c r="E132">
        <v>1.8166964633188447E-2</v>
      </c>
      <c r="F132">
        <v>1.8166964633188447E-2</v>
      </c>
      <c r="G132">
        <v>1.8166964633188447E-2</v>
      </c>
      <c r="H132">
        <v>1.8166964633188447E-2</v>
      </c>
      <c r="I132">
        <v>1.8166964633188447E-2</v>
      </c>
      <c r="J132">
        <v>1.8166964633188447E-2</v>
      </c>
      <c r="K132">
        <v>1.8166964633188447E-2</v>
      </c>
      <c r="L132">
        <v>1.8166964633188447E-2</v>
      </c>
      <c r="M132">
        <v>1.8166964633188447E-2</v>
      </c>
      <c r="N132">
        <v>1.8166964633188447E-2</v>
      </c>
      <c r="O132">
        <v>1.8166964633188447E-2</v>
      </c>
      <c r="P132">
        <v>1.8166964633188447E-2</v>
      </c>
      <c r="Q132">
        <v>1.8166964633188447E-2</v>
      </c>
      <c r="R132">
        <v>1.8166964633188447E-2</v>
      </c>
      <c r="S132">
        <v>1.8166964633188447E-2</v>
      </c>
      <c r="T132">
        <v>1.8166964633188447E-2</v>
      </c>
      <c r="U132">
        <v>1.8166964633188447E-2</v>
      </c>
      <c r="V132">
        <v>1.8166964633188447E-2</v>
      </c>
      <c r="W132">
        <v>1.8166964633188447E-2</v>
      </c>
      <c r="X132">
        <v>1.8166964633188447E-2</v>
      </c>
      <c r="Y132">
        <v>1.8166964633188447E-2</v>
      </c>
      <c r="Z132">
        <v>1.8166964633188447E-2</v>
      </c>
      <c r="AA132">
        <v>1.8166964633188447E-2</v>
      </c>
      <c r="AB132">
        <v>1.8166964633188447E-2</v>
      </c>
      <c r="AC132">
        <v>1.8166964633188447E-2</v>
      </c>
      <c r="AD132">
        <v>1.8166964633188447E-2</v>
      </c>
      <c r="AE132">
        <v>1.8166964633188447E-2</v>
      </c>
      <c r="AF132">
        <v>1.8166964633188447E-2</v>
      </c>
      <c r="AG132">
        <v>1.8166964633188447E-2</v>
      </c>
      <c r="AH132">
        <v>1.8166964633188447E-2</v>
      </c>
      <c r="AI132">
        <v>1.8166964633188447E-2</v>
      </c>
      <c r="AJ132">
        <v>1.8166964633188447E-2</v>
      </c>
      <c r="AK132">
        <v>1.8166964633188447E-2</v>
      </c>
    </row>
    <row r="133" spans="1:37">
      <c r="A133" t="s">
        <v>642</v>
      </c>
      <c r="B133">
        <v>0</v>
      </c>
      <c r="C133">
        <v>2.0372454173610936E-2</v>
      </c>
      <c r="D133">
        <v>2.0372454173610936E-2</v>
      </c>
      <c r="E133">
        <v>2.0372454173610936E-2</v>
      </c>
      <c r="F133">
        <v>2.0372454173610936E-2</v>
      </c>
      <c r="G133">
        <v>2.0372454173610936E-2</v>
      </c>
      <c r="H133">
        <v>2.0372454173610936E-2</v>
      </c>
      <c r="I133">
        <v>2.0372454173610936E-2</v>
      </c>
      <c r="J133">
        <v>2.0372454173610936E-2</v>
      </c>
      <c r="K133">
        <v>2.0372454173610936E-2</v>
      </c>
      <c r="L133">
        <v>2.0372454173610936E-2</v>
      </c>
      <c r="M133">
        <v>2.0372454173610936E-2</v>
      </c>
      <c r="N133">
        <v>2.0372454173610936E-2</v>
      </c>
      <c r="O133">
        <v>2.0372454173610936E-2</v>
      </c>
      <c r="P133">
        <v>2.0372454173610936E-2</v>
      </c>
      <c r="Q133">
        <v>2.0372454173610936E-2</v>
      </c>
      <c r="R133">
        <v>2.0372454173610936E-2</v>
      </c>
      <c r="S133">
        <v>2.0372454173610936E-2</v>
      </c>
      <c r="T133">
        <v>2.0372454173610936E-2</v>
      </c>
      <c r="U133">
        <v>2.0372454173610936E-2</v>
      </c>
      <c r="V133">
        <v>2.0372454173610936E-2</v>
      </c>
      <c r="W133">
        <v>2.0372454173610936E-2</v>
      </c>
      <c r="X133">
        <v>2.0372454173610936E-2</v>
      </c>
      <c r="Y133">
        <v>2.0372454173610936E-2</v>
      </c>
      <c r="Z133">
        <v>2.0372454173610936E-2</v>
      </c>
      <c r="AA133">
        <v>2.0372454173610936E-2</v>
      </c>
      <c r="AB133">
        <v>2.0372454173610936E-2</v>
      </c>
      <c r="AC133">
        <v>2.0372454173610936E-2</v>
      </c>
      <c r="AD133">
        <v>2.0372454173610936E-2</v>
      </c>
      <c r="AE133">
        <v>2.0372454173610936E-2</v>
      </c>
      <c r="AF133">
        <v>2.0372454173610936E-2</v>
      </c>
      <c r="AG133">
        <v>2.0372454173610936E-2</v>
      </c>
      <c r="AH133">
        <v>2.0372454173610936E-2</v>
      </c>
      <c r="AI133">
        <v>2.0372454173610936E-2</v>
      </c>
      <c r="AJ133">
        <v>2.0372454173610936E-2</v>
      </c>
      <c r="AK133">
        <v>2.0372454173610936E-2</v>
      </c>
    </row>
    <row r="134" spans="1:37">
      <c r="A134" t="s">
        <v>643</v>
      </c>
      <c r="B134">
        <v>0</v>
      </c>
      <c r="C134">
        <v>1.716887171067678E-2</v>
      </c>
      <c r="D134">
        <v>1.716887171067678E-2</v>
      </c>
      <c r="E134">
        <v>1.716887171067678E-2</v>
      </c>
      <c r="F134">
        <v>1.716887171067678E-2</v>
      </c>
      <c r="G134">
        <v>1.716887171067678E-2</v>
      </c>
      <c r="H134">
        <v>1.716887171067678E-2</v>
      </c>
      <c r="I134">
        <v>1.716887171067678E-2</v>
      </c>
      <c r="J134">
        <v>1.716887171067678E-2</v>
      </c>
      <c r="K134">
        <v>1.716887171067678E-2</v>
      </c>
      <c r="L134">
        <v>1.716887171067678E-2</v>
      </c>
      <c r="M134">
        <v>1.716887171067678E-2</v>
      </c>
      <c r="N134">
        <v>1.716887171067678E-2</v>
      </c>
      <c r="O134">
        <v>1.716887171067678E-2</v>
      </c>
      <c r="P134">
        <v>1.716887171067678E-2</v>
      </c>
      <c r="Q134">
        <v>1.716887171067678E-2</v>
      </c>
      <c r="R134">
        <v>1.716887171067678E-2</v>
      </c>
      <c r="S134">
        <v>1.716887171067678E-2</v>
      </c>
      <c r="T134">
        <v>1.716887171067678E-2</v>
      </c>
      <c r="U134">
        <v>1.716887171067678E-2</v>
      </c>
      <c r="V134">
        <v>1.716887171067678E-2</v>
      </c>
      <c r="W134">
        <v>1.716887171067678E-2</v>
      </c>
      <c r="X134">
        <v>1.716887171067678E-2</v>
      </c>
      <c r="Y134">
        <v>1.716887171067678E-2</v>
      </c>
      <c r="Z134">
        <v>1.716887171067678E-2</v>
      </c>
      <c r="AA134">
        <v>1.716887171067678E-2</v>
      </c>
      <c r="AB134">
        <v>1.716887171067678E-2</v>
      </c>
      <c r="AC134">
        <v>1.716887171067678E-2</v>
      </c>
      <c r="AD134">
        <v>1.716887171067678E-2</v>
      </c>
      <c r="AE134">
        <v>1.716887171067678E-2</v>
      </c>
      <c r="AF134">
        <v>1.716887171067678E-2</v>
      </c>
      <c r="AG134">
        <v>1.716887171067678E-2</v>
      </c>
      <c r="AH134">
        <v>1.716887171067678E-2</v>
      </c>
      <c r="AI134">
        <v>1.716887171067678E-2</v>
      </c>
      <c r="AJ134">
        <v>1.716887171067678E-2</v>
      </c>
      <c r="AK134">
        <v>1.716887171067678E-2</v>
      </c>
    </row>
    <row r="135" spans="1:37">
      <c r="A135" t="s">
        <v>644</v>
      </c>
      <c r="B135">
        <v>0</v>
      </c>
      <c r="C135">
        <v>2.55908989242133E-2</v>
      </c>
      <c r="D135">
        <v>2.55908989242133E-2</v>
      </c>
      <c r="E135">
        <v>2.55908989242133E-2</v>
      </c>
      <c r="F135">
        <v>2.55908989242133E-2</v>
      </c>
      <c r="G135">
        <v>2.55908989242133E-2</v>
      </c>
      <c r="H135">
        <v>2.55908989242133E-2</v>
      </c>
      <c r="I135">
        <v>2.55908989242133E-2</v>
      </c>
      <c r="J135">
        <v>2.55908989242133E-2</v>
      </c>
      <c r="K135">
        <v>2.55908989242133E-2</v>
      </c>
      <c r="L135">
        <v>2.55908989242133E-2</v>
      </c>
      <c r="M135">
        <v>2.55908989242133E-2</v>
      </c>
      <c r="N135">
        <v>2.55908989242133E-2</v>
      </c>
      <c r="O135">
        <v>2.55908989242133E-2</v>
      </c>
      <c r="P135">
        <v>2.55908989242133E-2</v>
      </c>
      <c r="Q135">
        <v>2.55908989242133E-2</v>
      </c>
      <c r="R135">
        <v>2.55908989242133E-2</v>
      </c>
      <c r="S135">
        <v>2.55908989242133E-2</v>
      </c>
      <c r="T135">
        <v>2.55908989242133E-2</v>
      </c>
      <c r="U135">
        <v>2.55908989242133E-2</v>
      </c>
      <c r="V135">
        <v>2.55908989242133E-2</v>
      </c>
      <c r="W135">
        <v>2.55908989242133E-2</v>
      </c>
      <c r="X135">
        <v>2.55908989242133E-2</v>
      </c>
      <c r="Y135">
        <v>2.55908989242133E-2</v>
      </c>
      <c r="Z135">
        <v>2.55908989242133E-2</v>
      </c>
      <c r="AA135">
        <v>2.55908989242133E-2</v>
      </c>
      <c r="AB135">
        <v>2.55908989242133E-2</v>
      </c>
      <c r="AC135">
        <v>2.55908989242133E-2</v>
      </c>
      <c r="AD135">
        <v>2.55908989242133E-2</v>
      </c>
      <c r="AE135">
        <v>2.55908989242133E-2</v>
      </c>
      <c r="AF135">
        <v>2.55908989242133E-2</v>
      </c>
      <c r="AG135">
        <v>2.55908989242133E-2</v>
      </c>
      <c r="AH135">
        <v>2.55908989242133E-2</v>
      </c>
      <c r="AI135">
        <v>2.55908989242133E-2</v>
      </c>
      <c r="AJ135">
        <v>2.55908989242133E-2</v>
      </c>
      <c r="AK135">
        <v>2.55908989242133E-2</v>
      </c>
    </row>
    <row r="136" spans="1:37">
      <c r="A136" t="s">
        <v>645</v>
      </c>
      <c r="B136">
        <v>0</v>
      </c>
      <c r="C136">
        <v>1.7984138449025171E-2</v>
      </c>
      <c r="D136">
        <v>1.7984138449025171E-2</v>
      </c>
      <c r="E136">
        <v>1.7984138449025171E-2</v>
      </c>
      <c r="F136">
        <v>1.7984138449025171E-2</v>
      </c>
      <c r="G136">
        <v>1.7984138449025171E-2</v>
      </c>
      <c r="H136">
        <v>1.7984138449025171E-2</v>
      </c>
      <c r="I136">
        <v>1.7984138449025171E-2</v>
      </c>
      <c r="J136">
        <v>1.7984138449025171E-2</v>
      </c>
      <c r="K136">
        <v>1.7984138449025171E-2</v>
      </c>
      <c r="L136">
        <v>1.7984138449025171E-2</v>
      </c>
      <c r="M136">
        <v>1.7984138449025171E-2</v>
      </c>
      <c r="N136">
        <v>1.7984138449025171E-2</v>
      </c>
      <c r="O136">
        <v>1.7984138449025171E-2</v>
      </c>
      <c r="P136">
        <v>1.7984138449025171E-2</v>
      </c>
      <c r="Q136">
        <v>1.7984138449025171E-2</v>
      </c>
      <c r="R136">
        <v>1.7984138449025171E-2</v>
      </c>
      <c r="S136">
        <v>1.7984138449025171E-2</v>
      </c>
      <c r="T136">
        <v>1.7984138449025171E-2</v>
      </c>
      <c r="U136">
        <v>1.7984138449025171E-2</v>
      </c>
      <c r="V136">
        <v>1.7984138449025171E-2</v>
      </c>
      <c r="W136">
        <v>1.7984138449025171E-2</v>
      </c>
      <c r="X136">
        <v>1.7984138449025171E-2</v>
      </c>
      <c r="Y136">
        <v>1.7984138449025171E-2</v>
      </c>
      <c r="Z136">
        <v>1.7984138449025171E-2</v>
      </c>
      <c r="AA136">
        <v>1.7984138449025171E-2</v>
      </c>
      <c r="AB136">
        <v>1.7984138449025171E-2</v>
      </c>
      <c r="AC136">
        <v>1.7984138449025171E-2</v>
      </c>
      <c r="AD136">
        <v>1.7984138449025171E-2</v>
      </c>
      <c r="AE136">
        <v>1.7984138449025171E-2</v>
      </c>
      <c r="AF136">
        <v>1.7984138449025171E-2</v>
      </c>
      <c r="AG136">
        <v>1.7984138449025171E-2</v>
      </c>
      <c r="AH136">
        <v>1.7984138449025171E-2</v>
      </c>
      <c r="AI136">
        <v>1.7984138449025171E-2</v>
      </c>
      <c r="AJ136">
        <v>1.7984138449025171E-2</v>
      </c>
      <c r="AK136">
        <v>1.7984138449025171E-2</v>
      </c>
    </row>
    <row r="137" spans="1:37">
      <c r="A137" t="s">
        <v>646</v>
      </c>
      <c r="B137">
        <v>0</v>
      </c>
      <c r="C137">
        <v>1.0928644653063351E-2</v>
      </c>
      <c r="D137">
        <v>1.0928644653063351E-2</v>
      </c>
      <c r="E137">
        <v>1.0928644653063351E-2</v>
      </c>
      <c r="F137">
        <v>1.0928644653063351E-2</v>
      </c>
      <c r="G137">
        <v>1.0928644653063351E-2</v>
      </c>
      <c r="H137">
        <v>1.0928644653063351E-2</v>
      </c>
      <c r="I137">
        <v>1.0928644653063351E-2</v>
      </c>
      <c r="J137">
        <v>1.0928644653063351E-2</v>
      </c>
      <c r="K137">
        <v>1.0928644653063351E-2</v>
      </c>
      <c r="L137">
        <v>1.0928644653063351E-2</v>
      </c>
      <c r="M137">
        <v>1.0928644653063351E-2</v>
      </c>
      <c r="N137">
        <v>1.0928644653063351E-2</v>
      </c>
      <c r="O137">
        <v>1.0928644653063351E-2</v>
      </c>
      <c r="P137">
        <v>1.0928644653063351E-2</v>
      </c>
      <c r="Q137">
        <v>1.0928644653063351E-2</v>
      </c>
      <c r="R137">
        <v>1.0928644653063351E-2</v>
      </c>
      <c r="S137">
        <v>1.0928644653063351E-2</v>
      </c>
      <c r="T137">
        <v>1.0928644653063351E-2</v>
      </c>
      <c r="U137">
        <v>1.0928644653063351E-2</v>
      </c>
      <c r="V137">
        <v>1.0928644653063351E-2</v>
      </c>
      <c r="W137">
        <v>1.0928644653063351E-2</v>
      </c>
      <c r="X137">
        <v>1.0928644653063351E-2</v>
      </c>
      <c r="Y137">
        <v>1.0928644653063351E-2</v>
      </c>
      <c r="Z137">
        <v>1.0928644653063351E-2</v>
      </c>
      <c r="AA137">
        <v>1.0928644653063351E-2</v>
      </c>
      <c r="AB137">
        <v>1.0928644653063351E-2</v>
      </c>
      <c r="AC137">
        <v>1.0928644653063351E-2</v>
      </c>
      <c r="AD137">
        <v>1.0928644653063351E-2</v>
      </c>
      <c r="AE137">
        <v>1.0928644653063351E-2</v>
      </c>
      <c r="AF137">
        <v>1.0928644653063351E-2</v>
      </c>
      <c r="AG137">
        <v>1.0928644653063351E-2</v>
      </c>
      <c r="AH137">
        <v>1.0928644653063351E-2</v>
      </c>
      <c r="AI137">
        <v>1.0928644653063351E-2</v>
      </c>
      <c r="AJ137">
        <v>1.0928644653063351E-2</v>
      </c>
      <c r="AK137">
        <v>1.0928644653063351E-2</v>
      </c>
    </row>
    <row r="138" spans="1:37">
      <c r="A138" t="s">
        <v>648</v>
      </c>
      <c r="B138">
        <v>0</v>
      </c>
      <c r="C138">
        <v>1.9877808413358164E-2</v>
      </c>
      <c r="D138">
        <v>1.9877808413358164E-2</v>
      </c>
      <c r="E138">
        <v>1.9877808413358164E-2</v>
      </c>
      <c r="F138">
        <v>1.9877808413358164E-2</v>
      </c>
      <c r="G138">
        <v>1.9877808413358164E-2</v>
      </c>
      <c r="H138">
        <v>1.9877808413358164E-2</v>
      </c>
      <c r="I138">
        <v>1.9877808413358164E-2</v>
      </c>
      <c r="J138">
        <v>1.9877808413358164E-2</v>
      </c>
      <c r="K138">
        <v>1.9877808413358164E-2</v>
      </c>
      <c r="L138">
        <v>1.9877808413358164E-2</v>
      </c>
      <c r="M138">
        <v>1.9877808413358164E-2</v>
      </c>
      <c r="N138">
        <v>1.9877808413358164E-2</v>
      </c>
      <c r="O138">
        <v>1.9877808413358164E-2</v>
      </c>
      <c r="P138">
        <v>1.9877808413358164E-2</v>
      </c>
      <c r="Q138">
        <v>1.9877808413358164E-2</v>
      </c>
      <c r="R138">
        <v>1.9877808413358164E-2</v>
      </c>
      <c r="S138">
        <v>1.9877808413358164E-2</v>
      </c>
      <c r="T138">
        <v>1.9877808413358164E-2</v>
      </c>
      <c r="U138">
        <v>1.9877808413358164E-2</v>
      </c>
      <c r="V138">
        <v>1.9877808413358164E-2</v>
      </c>
      <c r="W138">
        <v>1.9877808413358164E-2</v>
      </c>
      <c r="X138">
        <v>1.9877808413358164E-2</v>
      </c>
      <c r="Y138">
        <v>1.9877808413358164E-2</v>
      </c>
      <c r="Z138">
        <v>1.9877808413358164E-2</v>
      </c>
      <c r="AA138">
        <v>1.9877808413358164E-2</v>
      </c>
      <c r="AB138">
        <v>1.9877808413358164E-2</v>
      </c>
      <c r="AC138">
        <v>1.9877808413358164E-2</v>
      </c>
      <c r="AD138">
        <v>1.9877808413358164E-2</v>
      </c>
      <c r="AE138">
        <v>1.9877808413358164E-2</v>
      </c>
      <c r="AF138">
        <v>1.9877808413358164E-2</v>
      </c>
      <c r="AG138">
        <v>1.9877808413358164E-2</v>
      </c>
      <c r="AH138">
        <v>1.9877808413358164E-2</v>
      </c>
      <c r="AI138">
        <v>1.9877808413358164E-2</v>
      </c>
      <c r="AJ138">
        <v>1.9877808413358164E-2</v>
      </c>
      <c r="AK138">
        <v>1.9877808413358164E-2</v>
      </c>
    </row>
    <row r="139" spans="1:37">
      <c r="A139" t="s">
        <v>649</v>
      </c>
      <c r="B139">
        <v>0</v>
      </c>
      <c r="C139">
        <v>2.7426305970029468E-2</v>
      </c>
      <c r="D139">
        <v>2.7426305970029468E-2</v>
      </c>
      <c r="E139">
        <v>2.7426305970029468E-2</v>
      </c>
      <c r="F139">
        <v>2.7426305970029468E-2</v>
      </c>
      <c r="G139">
        <v>2.7426305970029468E-2</v>
      </c>
      <c r="H139">
        <v>2.7426305970029468E-2</v>
      </c>
      <c r="I139">
        <v>2.7426305970029468E-2</v>
      </c>
      <c r="J139">
        <v>2.7426305970029468E-2</v>
      </c>
      <c r="K139">
        <v>2.7426305970029468E-2</v>
      </c>
      <c r="L139">
        <v>2.7426305970029468E-2</v>
      </c>
      <c r="M139">
        <v>2.7426305970029468E-2</v>
      </c>
      <c r="N139">
        <v>2.7426305970029468E-2</v>
      </c>
      <c r="O139">
        <v>2.7426305970029468E-2</v>
      </c>
      <c r="P139">
        <v>2.7426305970029468E-2</v>
      </c>
      <c r="Q139">
        <v>2.7426305970029468E-2</v>
      </c>
      <c r="R139">
        <v>2.7426305970029468E-2</v>
      </c>
      <c r="S139">
        <v>2.7426305970029468E-2</v>
      </c>
      <c r="T139">
        <v>2.7426305970029468E-2</v>
      </c>
      <c r="U139">
        <v>2.7426305970029468E-2</v>
      </c>
      <c r="V139">
        <v>2.7426305970029468E-2</v>
      </c>
      <c r="W139">
        <v>2.7426305970029468E-2</v>
      </c>
      <c r="X139">
        <v>2.7426305970029468E-2</v>
      </c>
      <c r="Y139">
        <v>2.7426305970029468E-2</v>
      </c>
      <c r="Z139">
        <v>2.7426305970029468E-2</v>
      </c>
      <c r="AA139">
        <v>2.7426305970029468E-2</v>
      </c>
      <c r="AB139">
        <v>2.7426305970029468E-2</v>
      </c>
      <c r="AC139">
        <v>2.7426305970029468E-2</v>
      </c>
      <c r="AD139">
        <v>2.7426305970029468E-2</v>
      </c>
      <c r="AE139">
        <v>2.7426305970029468E-2</v>
      </c>
      <c r="AF139">
        <v>2.7426305970029468E-2</v>
      </c>
      <c r="AG139">
        <v>2.7426305970029468E-2</v>
      </c>
      <c r="AH139">
        <v>2.7426305970029468E-2</v>
      </c>
      <c r="AI139">
        <v>2.7426305970029468E-2</v>
      </c>
      <c r="AJ139">
        <v>2.7426305970029468E-2</v>
      </c>
      <c r="AK139">
        <v>2.7426305970029468E-2</v>
      </c>
    </row>
    <row r="140" spans="1:37">
      <c r="A140" t="s">
        <v>650</v>
      </c>
      <c r="B140">
        <v>0</v>
      </c>
      <c r="C140">
        <v>3.1699830175406597E-2</v>
      </c>
      <c r="D140">
        <v>3.1699830175406597E-2</v>
      </c>
      <c r="E140">
        <v>3.1699830175406597E-2</v>
      </c>
      <c r="F140">
        <v>3.1699830175406597E-2</v>
      </c>
      <c r="G140">
        <v>3.1699830175406597E-2</v>
      </c>
      <c r="H140">
        <v>3.1699830175406597E-2</v>
      </c>
      <c r="I140">
        <v>3.1699830175406597E-2</v>
      </c>
      <c r="J140">
        <v>3.1699830175406597E-2</v>
      </c>
      <c r="K140">
        <v>3.1699830175406597E-2</v>
      </c>
      <c r="L140">
        <v>3.1699830175406597E-2</v>
      </c>
      <c r="M140">
        <v>3.1699830175406597E-2</v>
      </c>
      <c r="N140">
        <v>3.1699830175406597E-2</v>
      </c>
      <c r="O140">
        <v>3.1699830175406597E-2</v>
      </c>
      <c r="P140">
        <v>3.1699830175406597E-2</v>
      </c>
      <c r="Q140">
        <v>3.1699830175406597E-2</v>
      </c>
      <c r="R140">
        <v>3.1699830175406597E-2</v>
      </c>
      <c r="S140">
        <v>3.1699830175406597E-2</v>
      </c>
      <c r="T140">
        <v>3.1699830175406597E-2</v>
      </c>
      <c r="U140">
        <v>3.1699830175406597E-2</v>
      </c>
      <c r="V140">
        <v>3.1699830175406597E-2</v>
      </c>
      <c r="W140">
        <v>3.1699830175406597E-2</v>
      </c>
      <c r="X140">
        <v>3.1699830175406597E-2</v>
      </c>
      <c r="Y140">
        <v>3.1699830175406597E-2</v>
      </c>
      <c r="Z140">
        <v>3.1699830175406597E-2</v>
      </c>
      <c r="AA140">
        <v>3.1699830175406597E-2</v>
      </c>
      <c r="AB140">
        <v>3.1699830175406597E-2</v>
      </c>
      <c r="AC140">
        <v>3.1699830175406597E-2</v>
      </c>
      <c r="AD140">
        <v>3.1699830175406597E-2</v>
      </c>
      <c r="AE140">
        <v>3.1699830175406597E-2</v>
      </c>
      <c r="AF140">
        <v>3.1699830175406597E-2</v>
      </c>
      <c r="AG140">
        <v>3.1699830175406597E-2</v>
      </c>
      <c r="AH140">
        <v>3.1699830175406597E-2</v>
      </c>
      <c r="AI140">
        <v>3.1699830175406597E-2</v>
      </c>
      <c r="AJ140">
        <v>3.1699830175406597E-2</v>
      </c>
      <c r="AK140">
        <v>3.1699830175406597E-2</v>
      </c>
    </row>
    <row r="141" spans="1:37">
      <c r="A141" t="s">
        <v>651</v>
      </c>
      <c r="B141">
        <v>0</v>
      </c>
      <c r="C141">
        <v>1.6993407185496207E-2</v>
      </c>
      <c r="D141">
        <v>1.6993407185496207E-2</v>
      </c>
      <c r="E141">
        <v>1.6993407185496207E-2</v>
      </c>
      <c r="F141">
        <v>1.6993407185496207E-2</v>
      </c>
      <c r="G141">
        <v>1.6993407185496207E-2</v>
      </c>
      <c r="H141">
        <v>1.6993407185496207E-2</v>
      </c>
      <c r="I141">
        <v>1.6993407185496207E-2</v>
      </c>
      <c r="J141">
        <v>1.6993407185496207E-2</v>
      </c>
      <c r="K141">
        <v>1.6993407185496207E-2</v>
      </c>
      <c r="L141">
        <v>1.6993407185496207E-2</v>
      </c>
      <c r="M141">
        <v>1.6993407185496207E-2</v>
      </c>
      <c r="N141">
        <v>1.6993407185496207E-2</v>
      </c>
      <c r="O141">
        <v>1.6993407185496207E-2</v>
      </c>
      <c r="P141">
        <v>1.6993407185496207E-2</v>
      </c>
      <c r="Q141">
        <v>1.6993407185496207E-2</v>
      </c>
      <c r="R141">
        <v>1.6993407185496207E-2</v>
      </c>
      <c r="S141">
        <v>1.6993407185496207E-2</v>
      </c>
      <c r="T141">
        <v>1.6993407185496207E-2</v>
      </c>
      <c r="U141">
        <v>1.6993407185496207E-2</v>
      </c>
      <c r="V141">
        <v>1.6993407185496207E-2</v>
      </c>
      <c r="W141">
        <v>1.6993407185496207E-2</v>
      </c>
      <c r="X141">
        <v>1.6993407185496207E-2</v>
      </c>
      <c r="Y141">
        <v>1.6993407185496207E-2</v>
      </c>
      <c r="Z141">
        <v>1.6993407185496207E-2</v>
      </c>
      <c r="AA141">
        <v>1.6993407185496207E-2</v>
      </c>
      <c r="AB141">
        <v>1.6993407185496207E-2</v>
      </c>
      <c r="AC141">
        <v>1.6993407185496207E-2</v>
      </c>
      <c r="AD141">
        <v>1.6993407185496207E-2</v>
      </c>
      <c r="AE141">
        <v>1.6993407185496207E-2</v>
      </c>
      <c r="AF141">
        <v>1.6993407185496207E-2</v>
      </c>
      <c r="AG141">
        <v>1.6993407185496207E-2</v>
      </c>
      <c r="AH141">
        <v>1.6993407185496207E-2</v>
      </c>
      <c r="AI141">
        <v>1.6993407185496207E-2</v>
      </c>
      <c r="AJ141">
        <v>1.6993407185496207E-2</v>
      </c>
      <c r="AK141">
        <v>1.6993407185496207E-2</v>
      </c>
    </row>
    <row r="142" spans="1:37">
      <c r="A142" t="s">
        <v>652</v>
      </c>
      <c r="B142">
        <v>0</v>
      </c>
      <c r="C142">
        <v>7.0954199565282594E-2</v>
      </c>
      <c r="D142">
        <v>7.0954199565282594E-2</v>
      </c>
      <c r="E142">
        <v>7.0954199565282594E-2</v>
      </c>
      <c r="F142">
        <v>7.0954199565282594E-2</v>
      </c>
      <c r="G142">
        <v>7.0954199565282594E-2</v>
      </c>
      <c r="H142">
        <v>7.0954199565282594E-2</v>
      </c>
      <c r="I142">
        <v>7.0954199565282594E-2</v>
      </c>
      <c r="J142">
        <v>7.0954199565282594E-2</v>
      </c>
      <c r="K142">
        <v>7.0954199565282594E-2</v>
      </c>
      <c r="L142">
        <v>7.0954199565282594E-2</v>
      </c>
      <c r="M142">
        <v>7.0954199565282594E-2</v>
      </c>
      <c r="N142">
        <v>7.0954199565282594E-2</v>
      </c>
      <c r="O142">
        <v>7.0954199565282594E-2</v>
      </c>
      <c r="P142">
        <v>7.0954199565282594E-2</v>
      </c>
      <c r="Q142">
        <v>7.0954199565282594E-2</v>
      </c>
      <c r="R142">
        <v>7.0954199565282594E-2</v>
      </c>
      <c r="S142">
        <v>7.0954199565282594E-2</v>
      </c>
      <c r="T142">
        <v>7.0954199565282594E-2</v>
      </c>
      <c r="U142">
        <v>7.0954199565282594E-2</v>
      </c>
      <c r="V142">
        <v>7.0954199565282594E-2</v>
      </c>
      <c r="W142">
        <v>7.0954199565282594E-2</v>
      </c>
      <c r="X142">
        <v>7.0954199565282594E-2</v>
      </c>
      <c r="Y142">
        <v>7.0954199565282594E-2</v>
      </c>
      <c r="Z142">
        <v>7.0954199565282594E-2</v>
      </c>
      <c r="AA142">
        <v>7.0954199565282594E-2</v>
      </c>
      <c r="AB142">
        <v>7.0954199565282594E-2</v>
      </c>
      <c r="AC142">
        <v>7.0954199565282594E-2</v>
      </c>
      <c r="AD142">
        <v>7.0954199565282594E-2</v>
      </c>
      <c r="AE142">
        <v>7.0954199565282594E-2</v>
      </c>
      <c r="AF142">
        <v>7.0954199565282594E-2</v>
      </c>
      <c r="AG142">
        <v>7.0954199565282594E-2</v>
      </c>
      <c r="AH142">
        <v>7.0954199565282594E-2</v>
      </c>
      <c r="AI142">
        <v>7.0954199565282594E-2</v>
      </c>
      <c r="AJ142">
        <v>7.0954199565282594E-2</v>
      </c>
      <c r="AK142">
        <v>7.0954199565282594E-2</v>
      </c>
    </row>
    <row r="143" spans="1:37">
      <c r="A143" t="s">
        <v>653</v>
      </c>
      <c r="B143">
        <v>0</v>
      </c>
      <c r="C143">
        <v>2.5123477074558836E-2</v>
      </c>
      <c r="D143">
        <v>2.5123477074558836E-2</v>
      </c>
      <c r="E143">
        <v>2.5123477074558836E-2</v>
      </c>
      <c r="F143">
        <v>2.5123477074558836E-2</v>
      </c>
      <c r="G143">
        <v>2.5123477074558836E-2</v>
      </c>
      <c r="H143">
        <v>2.5123477074558836E-2</v>
      </c>
      <c r="I143">
        <v>2.5123477074558836E-2</v>
      </c>
      <c r="J143">
        <v>2.5123477074558836E-2</v>
      </c>
      <c r="K143">
        <v>2.5123477074558836E-2</v>
      </c>
      <c r="L143">
        <v>2.5123477074558836E-2</v>
      </c>
      <c r="M143">
        <v>2.5123477074558836E-2</v>
      </c>
      <c r="N143">
        <v>2.5123477074558836E-2</v>
      </c>
      <c r="O143">
        <v>2.5123477074558836E-2</v>
      </c>
      <c r="P143">
        <v>2.5123477074558836E-2</v>
      </c>
      <c r="Q143">
        <v>2.5123477074558836E-2</v>
      </c>
      <c r="R143">
        <v>2.5123477074558836E-2</v>
      </c>
      <c r="S143">
        <v>2.5123477074558836E-2</v>
      </c>
      <c r="T143">
        <v>2.5123477074558836E-2</v>
      </c>
      <c r="U143">
        <v>2.5123477074558836E-2</v>
      </c>
      <c r="V143">
        <v>2.5123477074558836E-2</v>
      </c>
      <c r="W143">
        <v>2.5123477074558836E-2</v>
      </c>
      <c r="X143">
        <v>2.5123477074558836E-2</v>
      </c>
      <c r="Y143">
        <v>2.5123477074558836E-2</v>
      </c>
      <c r="Z143">
        <v>2.5123477074558836E-2</v>
      </c>
      <c r="AA143">
        <v>2.5123477074558836E-2</v>
      </c>
      <c r="AB143">
        <v>2.5123477074558836E-2</v>
      </c>
      <c r="AC143">
        <v>2.5123477074558836E-2</v>
      </c>
      <c r="AD143">
        <v>2.5123477074558836E-2</v>
      </c>
      <c r="AE143">
        <v>2.5123477074558836E-2</v>
      </c>
      <c r="AF143">
        <v>2.5123477074558836E-2</v>
      </c>
      <c r="AG143">
        <v>2.5123477074558836E-2</v>
      </c>
      <c r="AH143">
        <v>2.5123477074558836E-2</v>
      </c>
      <c r="AI143">
        <v>2.5123477074558836E-2</v>
      </c>
      <c r="AJ143">
        <v>2.5123477074558836E-2</v>
      </c>
      <c r="AK143">
        <v>2.5123477074558836E-2</v>
      </c>
    </row>
    <row r="144" spans="1:37">
      <c r="A144" t="s">
        <v>654</v>
      </c>
      <c r="B144">
        <v>0</v>
      </c>
      <c r="C144">
        <v>1.0962077493403071E-2</v>
      </c>
      <c r="D144">
        <v>1.0962077493403071E-2</v>
      </c>
      <c r="E144">
        <v>1.0962077493403071E-2</v>
      </c>
      <c r="F144">
        <v>1.0962077493403071E-2</v>
      </c>
      <c r="G144">
        <v>1.0962077493403071E-2</v>
      </c>
      <c r="H144">
        <v>1.0962077493403071E-2</v>
      </c>
      <c r="I144">
        <v>1.0962077493403071E-2</v>
      </c>
      <c r="J144">
        <v>1.0962077493403071E-2</v>
      </c>
      <c r="K144">
        <v>1.0962077493403071E-2</v>
      </c>
      <c r="L144">
        <v>1.0962077493403071E-2</v>
      </c>
      <c r="M144">
        <v>1.0962077493403071E-2</v>
      </c>
      <c r="N144">
        <v>1.0962077493403071E-2</v>
      </c>
      <c r="O144">
        <v>1.0962077493403071E-2</v>
      </c>
      <c r="P144">
        <v>1.0962077493403071E-2</v>
      </c>
      <c r="Q144">
        <v>1.0962077493403071E-2</v>
      </c>
      <c r="R144">
        <v>1.0962077493403071E-2</v>
      </c>
      <c r="S144">
        <v>1.0962077493403071E-2</v>
      </c>
      <c r="T144">
        <v>1.0962077493403071E-2</v>
      </c>
      <c r="U144">
        <v>1.0962077493403071E-2</v>
      </c>
      <c r="V144">
        <v>1.0962077493403071E-2</v>
      </c>
      <c r="W144">
        <v>1.0962077493403071E-2</v>
      </c>
      <c r="X144">
        <v>1.0962077493403071E-2</v>
      </c>
      <c r="Y144">
        <v>1.0962077493403071E-2</v>
      </c>
      <c r="Z144">
        <v>1.0962077493403071E-2</v>
      </c>
      <c r="AA144">
        <v>1.0962077493403071E-2</v>
      </c>
      <c r="AB144">
        <v>1.0962077493403071E-2</v>
      </c>
      <c r="AC144">
        <v>1.0962077493403071E-2</v>
      </c>
      <c r="AD144">
        <v>1.0962077493403071E-2</v>
      </c>
      <c r="AE144">
        <v>1.0962077493403071E-2</v>
      </c>
      <c r="AF144">
        <v>1.0962077493403071E-2</v>
      </c>
      <c r="AG144">
        <v>1.0962077493403071E-2</v>
      </c>
      <c r="AH144">
        <v>1.0962077493403071E-2</v>
      </c>
      <c r="AI144">
        <v>1.0962077493403071E-2</v>
      </c>
      <c r="AJ144">
        <v>1.0962077493403071E-2</v>
      </c>
      <c r="AK144">
        <v>1.0962077493403071E-2</v>
      </c>
    </row>
    <row r="145" spans="1:37">
      <c r="A145" t="s">
        <v>655</v>
      </c>
      <c r="B145">
        <v>0</v>
      </c>
      <c r="C145">
        <v>5.5060431873361897E-2</v>
      </c>
      <c r="D145">
        <v>5.5060431873361897E-2</v>
      </c>
      <c r="E145">
        <v>5.5060431873361897E-2</v>
      </c>
      <c r="F145">
        <v>5.5060431873361897E-2</v>
      </c>
      <c r="G145">
        <v>5.5060431873361897E-2</v>
      </c>
      <c r="H145">
        <v>5.5060431873361897E-2</v>
      </c>
      <c r="I145">
        <v>5.5060431873361897E-2</v>
      </c>
      <c r="J145">
        <v>5.5060431873361897E-2</v>
      </c>
      <c r="K145">
        <v>5.5060431873361897E-2</v>
      </c>
      <c r="L145">
        <v>5.5060431873361897E-2</v>
      </c>
      <c r="M145">
        <v>5.5060431873361897E-2</v>
      </c>
      <c r="N145">
        <v>5.5060431873361897E-2</v>
      </c>
      <c r="O145">
        <v>5.5060431873361897E-2</v>
      </c>
      <c r="P145">
        <v>5.5060431873361897E-2</v>
      </c>
      <c r="Q145">
        <v>5.5060431873361897E-2</v>
      </c>
      <c r="R145">
        <v>5.5060431873361897E-2</v>
      </c>
      <c r="S145">
        <v>5.5060431873361897E-2</v>
      </c>
      <c r="T145">
        <v>5.5060431873361897E-2</v>
      </c>
      <c r="U145">
        <v>5.5060431873361897E-2</v>
      </c>
      <c r="V145">
        <v>5.5060431873361897E-2</v>
      </c>
      <c r="W145">
        <v>5.5060431873361897E-2</v>
      </c>
      <c r="X145">
        <v>5.5060431873361897E-2</v>
      </c>
      <c r="Y145">
        <v>5.5060431873361897E-2</v>
      </c>
      <c r="Z145">
        <v>5.5060431873361897E-2</v>
      </c>
      <c r="AA145">
        <v>5.5060431873361897E-2</v>
      </c>
      <c r="AB145">
        <v>5.5060431873361897E-2</v>
      </c>
      <c r="AC145">
        <v>5.5060431873361897E-2</v>
      </c>
      <c r="AD145">
        <v>5.5060431873361897E-2</v>
      </c>
      <c r="AE145">
        <v>5.5060431873361897E-2</v>
      </c>
      <c r="AF145">
        <v>5.5060431873361897E-2</v>
      </c>
      <c r="AG145">
        <v>5.5060431873361897E-2</v>
      </c>
      <c r="AH145">
        <v>5.5060431873361897E-2</v>
      </c>
      <c r="AI145">
        <v>5.5060431873361897E-2</v>
      </c>
      <c r="AJ145">
        <v>5.5060431873361897E-2</v>
      </c>
      <c r="AK145">
        <v>5.5060431873361897E-2</v>
      </c>
    </row>
    <row r="146" spans="1:37">
      <c r="A146" t="s">
        <v>656</v>
      </c>
      <c r="B146">
        <v>0</v>
      </c>
      <c r="C146">
        <v>1.355119060332045E-2</v>
      </c>
      <c r="D146">
        <v>1.355119060332045E-2</v>
      </c>
      <c r="E146">
        <v>1.355119060332045E-2</v>
      </c>
      <c r="F146">
        <v>1.355119060332045E-2</v>
      </c>
      <c r="G146">
        <v>1.355119060332045E-2</v>
      </c>
      <c r="H146">
        <v>1.355119060332045E-2</v>
      </c>
      <c r="I146">
        <v>1.355119060332045E-2</v>
      </c>
      <c r="J146">
        <v>1.355119060332045E-2</v>
      </c>
      <c r="K146">
        <v>1.355119060332045E-2</v>
      </c>
      <c r="L146">
        <v>1.355119060332045E-2</v>
      </c>
      <c r="M146">
        <v>1.355119060332045E-2</v>
      </c>
      <c r="N146">
        <v>1.355119060332045E-2</v>
      </c>
      <c r="O146">
        <v>1.355119060332045E-2</v>
      </c>
      <c r="P146">
        <v>1.355119060332045E-2</v>
      </c>
      <c r="Q146">
        <v>1.355119060332045E-2</v>
      </c>
      <c r="R146">
        <v>1.355119060332045E-2</v>
      </c>
      <c r="S146">
        <v>1.355119060332045E-2</v>
      </c>
      <c r="T146">
        <v>1.355119060332045E-2</v>
      </c>
      <c r="U146">
        <v>1.355119060332045E-2</v>
      </c>
      <c r="V146">
        <v>1.355119060332045E-2</v>
      </c>
      <c r="W146">
        <v>1.355119060332045E-2</v>
      </c>
      <c r="X146">
        <v>1.355119060332045E-2</v>
      </c>
      <c r="Y146">
        <v>1.355119060332045E-2</v>
      </c>
      <c r="Z146">
        <v>1.355119060332045E-2</v>
      </c>
      <c r="AA146">
        <v>1.355119060332045E-2</v>
      </c>
      <c r="AB146">
        <v>1.355119060332045E-2</v>
      </c>
      <c r="AC146">
        <v>1.355119060332045E-2</v>
      </c>
      <c r="AD146">
        <v>1.355119060332045E-2</v>
      </c>
      <c r="AE146">
        <v>1.355119060332045E-2</v>
      </c>
      <c r="AF146">
        <v>1.355119060332045E-2</v>
      </c>
      <c r="AG146">
        <v>1.355119060332045E-2</v>
      </c>
      <c r="AH146">
        <v>1.355119060332045E-2</v>
      </c>
      <c r="AI146">
        <v>1.355119060332045E-2</v>
      </c>
      <c r="AJ146">
        <v>1.355119060332045E-2</v>
      </c>
      <c r="AK146">
        <v>1.355119060332045E-2</v>
      </c>
    </row>
    <row r="147" spans="1:37">
      <c r="A147" t="s">
        <v>657</v>
      </c>
      <c r="B147">
        <v>0</v>
      </c>
      <c r="C147">
        <v>6.3866249239296166E-2</v>
      </c>
      <c r="D147">
        <v>6.3866249239296166E-2</v>
      </c>
      <c r="E147">
        <v>6.3866249239296166E-2</v>
      </c>
      <c r="F147">
        <v>6.3866249239296166E-2</v>
      </c>
      <c r="G147">
        <v>6.3866249239296166E-2</v>
      </c>
      <c r="H147">
        <v>6.3866249239296166E-2</v>
      </c>
      <c r="I147">
        <v>6.3866249239296166E-2</v>
      </c>
      <c r="J147">
        <v>6.3866249239296166E-2</v>
      </c>
      <c r="K147">
        <v>6.3866249239296166E-2</v>
      </c>
      <c r="L147">
        <v>6.3866249239296166E-2</v>
      </c>
      <c r="M147">
        <v>6.3866249239296166E-2</v>
      </c>
      <c r="N147">
        <v>6.3866249239296166E-2</v>
      </c>
      <c r="O147">
        <v>6.3866249239296166E-2</v>
      </c>
      <c r="P147">
        <v>6.3866249239296166E-2</v>
      </c>
      <c r="Q147">
        <v>6.3866249239296166E-2</v>
      </c>
      <c r="R147">
        <v>6.3866249239296166E-2</v>
      </c>
      <c r="S147">
        <v>6.3866249239296166E-2</v>
      </c>
      <c r="T147">
        <v>6.3866249239296166E-2</v>
      </c>
      <c r="U147">
        <v>6.3866249239296166E-2</v>
      </c>
      <c r="V147">
        <v>6.3866249239296166E-2</v>
      </c>
      <c r="W147">
        <v>6.3866249239296166E-2</v>
      </c>
      <c r="X147">
        <v>6.3866249239296166E-2</v>
      </c>
      <c r="Y147">
        <v>6.3866249239296166E-2</v>
      </c>
      <c r="Z147">
        <v>6.3866249239296166E-2</v>
      </c>
      <c r="AA147">
        <v>6.3866249239296166E-2</v>
      </c>
      <c r="AB147">
        <v>6.3866249239296166E-2</v>
      </c>
      <c r="AC147">
        <v>6.3866249239296166E-2</v>
      </c>
      <c r="AD147">
        <v>6.3866249239296166E-2</v>
      </c>
      <c r="AE147">
        <v>6.3866249239296166E-2</v>
      </c>
      <c r="AF147">
        <v>6.3866249239296166E-2</v>
      </c>
      <c r="AG147">
        <v>6.3866249239296166E-2</v>
      </c>
      <c r="AH147">
        <v>6.3866249239296166E-2</v>
      </c>
      <c r="AI147">
        <v>6.3866249239296166E-2</v>
      </c>
      <c r="AJ147">
        <v>6.3866249239296166E-2</v>
      </c>
      <c r="AK147">
        <v>6.3866249239296166E-2</v>
      </c>
    </row>
    <row r="148" spans="1:37">
      <c r="A148" t="s">
        <v>658</v>
      </c>
      <c r="B148">
        <v>0</v>
      </c>
      <c r="C148">
        <v>2.4342092719512133E-2</v>
      </c>
      <c r="D148">
        <v>2.4342092719512133E-2</v>
      </c>
      <c r="E148">
        <v>2.4342092719512133E-2</v>
      </c>
      <c r="F148">
        <v>2.4342092719512133E-2</v>
      </c>
      <c r="G148">
        <v>2.4342092719512133E-2</v>
      </c>
      <c r="H148">
        <v>2.4342092719512133E-2</v>
      </c>
      <c r="I148">
        <v>2.4342092719512133E-2</v>
      </c>
      <c r="J148">
        <v>2.4342092719512133E-2</v>
      </c>
      <c r="K148">
        <v>2.4342092719512133E-2</v>
      </c>
      <c r="L148">
        <v>2.4342092719512133E-2</v>
      </c>
      <c r="M148">
        <v>2.4342092719512133E-2</v>
      </c>
      <c r="N148">
        <v>2.4342092719512133E-2</v>
      </c>
      <c r="O148">
        <v>2.4342092719512133E-2</v>
      </c>
      <c r="P148">
        <v>2.4342092719512133E-2</v>
      </c>
      <c r="Q148">
        <v>2.4342092719512133E-2</v>
      </c>
      <c r="R148">
        <v>2.4342092719512133E-2</v>
      </c>
      <c r="S148">
        <v>2.4342092719512133E-2</v>
      </c>
      <c r="T148">
        <v>2.4342092719512133E-2</v>
      </c>
      <c r="U148">
        <v>2.4342092719512133E-2</v>
      </c>
      <c r="V148">
        <v>2.4342092719512133E-2</v>
      </c>
      <c r="W148">
        <v>2.4342092719512133E-2</v>
      </c>
      <c r="X148">
        <v>2.4342092719512133E-2</v>
      </c>
      <c r="Y148">
        <v>2.4342092719512133E-2</v>
      </c>
      <c r="Z148">
        <v>2.4342092719512133E-2</v>
      </c>
      <c r="AA148">
        <v>2.4342092719512133E-2</v>
      </c>
      <c r="AB148">
        <v>2.4342092719512133E-2</v>
      </c>
      <c r="AC148">
        <v>2.4342092719512133E-2</v>
      </c>
      <c r="AD148">
        <v>2.4342092719512133E-2</v>
      </c>
      <c r="AE148">
        <v>2.4342092719512133E-2</v>
      </c>
      <c r="AF148">
        <v>2.4342092719512133E-2</v>
      </c>
      <c r="AG148">
        <v>2.4342092719512133E-2</v>
      </c>
      <c r="AH148">
        <v>2.4342092719512133E-2</v>
      </c>
      <c r="AI148">
        <v>2.4342092719512133E-2</v>
      </c>
      <c r="AJ148">
        <v>2.4342092719512133E-2</v>
      </c>
      <c r="AK148">
        <v>2.4342092719512133E-2</v>
      </c>
    </row>
    <row r="149" spans="1:37">
      <c r="A149" t="s">
        <v>659</v>
      </c>
      <c r="B149">
        <v>0</v>
      </c>
      <c r="C149">
        <v>3.6531760836808709E-2</v>
      </c>
      <c r="D149">
        <v>3.6531760836808709E-2</v>
      </c>
      <c r="E149">
        <v>3.6531760836808709E-2</v>
      </c>
      <c r="F149">
        <v>3.6531760836808709E-2</v>
      </c>
      <c r="G149">
        <v>3.6531760836808709E-2</v>
      </c>
      <c r="H149">
        <v>3.6531760836808709E-2</v>
      </c>
      <c r="I149">
        <v>3.6531760836808709E-2</v>
      </c>
      <c r="J149">
        <v>3.6531760836808709E-2</v>
      </c>
      <c r="K149">
        <v>3.6531760836808709E-2</v>
      </c>
      <c r="L149">
        <v>3.6531760836808709E-2</v>
      </c>
      <c r="M149">
        <v>3.6531760836808709E-2</v>
      </c>
      <c r="N149">
        <v>3.6531760836808709E-2</v>
      </c>
      <c r="O149">
        <v>3.6531760836808709E-2</v>
      </c>
      <c r="P149">
        <v>3.6531760836808709E-2</v>
      </c>
      <c r="Q149">
        <v>3.6531760836808709E-2</v>
      </c>
      <c r="R149">
        <v>3.6531760836808709E-2</v>
      </c>
      <c r="S149">
        <v>3.6531760836808709E-2</v>
      </c>
      <c r="T149">
        <v>3.6531760836808709E-2</v>
      </c>
      <c r="U149">
        <v>3.6531760836808709E-2</v>
      </c>
      <c r="V149">
        <v>3.6531760836808709E-2</v>
      </c>
      <c r="W149">
        <v>3.6531760836808709E-2</v>
      </c>
      <c r="X149">
        <v>3.6531760836808709E-2</v>
      </c>
      <c r="Y149">
        <v>3.6531760836808709E-2</v>
      </c>
      <c r="Z149">
        <v>3.6531760836808709E-2</v>
      </c>
      <c r="AA149">
        <v>3.6531760836808709E-2</v>
      </c>
      <c r="AB149">
        <v>3.6531760836808709E-2</v>
      </c>
      <c r="AC149">
        <v>3.6531760836808709E-2</v>
      </c>
      <c r="AD149">
        <v>3.6531760836808709E-2</v>
      </c>
      <c r="AE149">
        <v>3.6531760836808709E-2</v>
      </c>
      <c r="AF149">
        <v>3.6531760836808709E-2</v>
      </c>
      <c r="AG149">
        <v>3.6531760836808709E-2</v>
      </c>
      <c r="AH149">
        <v>3.6531760836808709E-2</v>
      </c>
      <c r="AI149">
        <v>3.6531760836808709E-2</v>
      </c>
      <c r="AJ149">
        <v>3.6531760836808709E-2</v>
      </c>
      <c r="AK149">
        <v>3.6531760836808709E-2</v>
      </c>
    </row>
    <row r="150" spans="1:37">
      <c r="A150" t="s">
        <v>633</v>
      </c>
      <c r="B150">
        <v>0</v>
      </c>
      <c r="C150">
        <v>2.0939746859134734E-2</v>
      </c>
      <c r="D150">
        <v>2.0939746859134734E-2</v>
      </c>
      <c r="E150">
        <v>2.0939746859134734E-2</v>
      </c>
      <c r="F150">
        <v>2.0939746859134734E-2</v>
      </c>
      <c r="G150">
        <v>2.0939746859134734E-2</v>
      </c>
      <c r="H150">
        <v>2.0939746859134734E-2</v>
      </c>
      <c r="I150">
        <v>2.0939746859134734E-2</v>
      </c>
      <c r="J150">
        <v>2.0939746859134734E-2</v>
      </c>
      <c r="K150">
        <v>2.0939746859134734E-2</v>
      </c>
      <c r="L150">
        <v>2.0939746859134734E-2</v>
      </c>
      <c r="M150">
        <v>2.0939746859134734E-2</v>
      </c>
      <c r="N150">
        <v>2.0939746859134734E-2</v>
      </c>
      <c r="O150">
        <v>2.0939746859134734E-2</v>
      </c>
      <c r="P150">
        <v>2.0939746859134734E-2</v>
      </c>
      <c r="Q150">
        <v>2.0939746859134734E-2</v>
      </c>
      <c r="R150">
        <v>2.0939746859134734E-2</v>
      </c>
      <c r="S150">
        <v>2.0939746859134734E-2</v>
      </c>
      <c r="T150">
        <v>2.0939746859134734E-2</v>
      </c>
      <c r="U150">
        <v>2.0939746859134734E-2</v>
      </c>
      <c r="V150">
        <v>2.0939746859134734E-2</v>
      </c>
      <c r="W150">
        <v>2.0939746859134734E-2</v>
      </c>
      <c r="X150">
        <v>2.0939746859134734E-2</v>
      </c>
      <c r="Y150">
        <v>2.0939746859134734E-2</v>
      </c>
      <c r="Z150">
        <v>2.0939746859134734E-2</v>
      </c>
      <c r="AA150">
        <v>2.0939746859134734E-2</v>
      </c>
      <c r="AB150">
        <v>2.0939746859134734E-2</v>
      </c>
      <c r="AC150">
        <v>2.0939746859134734E-2</v>
      </c>
      <c r="AD150">
        <v>2.0939746859134734E-2</v>
      </c>
      <c r="AE150">
        <v>2.0939746859134734E-2</v>
      </c>
      <c r="AF150">
        <v>2.0939746859134734E-2</v>
      </c>
      <c r="AG150">
        <v>2.0939746859134734E-2</v>
      </c>
      <c r="AH150">
        <v>2.0939746859134734E-2</v>
      </c>
      <c r="AI150">
        <v>2.0939746859134734E-2</v>
      </c>
      <c r="AJ150">
        <v>2.0939746859134734E-2</v>
      </c>
      <c r="AK150">
        <v>2.0939746859134734E-2</v>
      </c>
    </row>
    <row r="151" spans="1:37">
      <c r="A151" t="s">
        <v>660</v>
      </c>
      <c r="B151">
        <f>SUM(B118,B124,B128:B130,B136:B137,B139:B140,B145,B147,B150)</f>
        <v>0</v>
      </c>
      <c r="C151">
        <f>SUM(C118,C124,C128:C130,C136:C137,C139:C140,C145,C147,C150)</f>
        <v>0.38515167959591057</v>
      </c>
      <c r="D151">
        <f t="shared" ref="D151:AK151" si="49">SUM(D118,D124,D128:D130,D136:D137,D139:D140,D145,D147,D150)</f>
        <v>0.38515167959591057</v>
      </c>
      <c r="E151">
        <f t="shared" si="49"/>
        <v>0.38515167959591057</v>
      </c>
      <c r="F151">
        <f t="shared" si="49"/>
        <v>0.38515167959591057</v>
      </c>
      <c r="G151">
        <f t="shared" si="49"/>
        <v>0.38515167959591057</v>
      </c>
      <c r="H151">
        <f t="shared" si="49"/>
        <v>0.38515167959591057</v>
      </c>
      <c r="I151">
        <f t="shared" si="49"/>
        <v>0.38515167959591057</v>
      </c>
      <c r="J151">
        <f t="shared" si="49"/>
        <v>0.38515167959591057</v>
      </c>
      <c r="K151">
        <f t="shared" si="49"/>
        <v>0.38515167959591057</v>
      </c>
      <c r="L151">
        <f t="shared" si="49"/>
        <v>0.38515167959591057</v>
      </c>
      <c r="M151">
        <f t="shared" si="49"/>
        <v>0.38515167959591057</v>
      </c>
      <c r="N151">
        <f t="shared" si="49"/>
        <v>0.38515167959591057</v>
      </c>
      <c r="O151">
        <f t="shared" si="49"/>
        <v>0.38515167959591057</v>
      </c>
      <c r="P151">
        <f t="shared" si="49"/>
        <v>0.38515167959591057</v>
      </c>
      <c r="Q151">
        <f t="shared" si="49"/>
        <v>0.38515167959591057</v>
      </c>
      <c r="R151">
        <f t="shared" si="49"/>
        <v>0.38515167959591057</v>
      </c>
      <c r="S151">
        <f t="shared" si="49"/>
        <v>0.38515167959591057</v>
      </c>
      <c r="T151">
        <f t="shared" si="49"/>
        <v>0.38515167959591057</v>
      </c>
      <c r="U151">
        <f t="shared" si="49"/>
        <v>0.38515167959591057</v>
      </c>
      <c r="V151">
        <f t="shared" si="49"/>
        <v>0.38515167959591057</v>
      </c>
      <c r="W151">
        <f t="shared" si="49"/>
        <v>0.38515167959591057</v>
      </c>
      <c r="X151">
        <f t="shared" si="49"/>
        <v>0.38515167959591057</v>
      </c>
      <c r="Y151">
        <f t="shared" si="49"/>
        <v>0.38515167959591057</v>
      </c>
      <c r="Z151">
        <f t="shared" si="49"/>
        <v>0.38515167959591057</v>
      </c>
      <c r="AA151">
        <f t="shared" si="49"/>
        <v>0.38515167959591057</v>
      </c>
      <c r="AB151">
        <f t="shared" si="49"/>
        <v>0.38515167959591057</v>
      </c>
      <c r="AC151">
        <f t="shared" si="49"/>
        <v>0.38515167959591057</v>
      </c>
      <c r="AD151">
        <f t="shared" si="49"/>
        <v>0.38515167959591057</v>
      </c>
      <c r="AE151">
        <f t="shared" si="49"/>
        <v>0.38515167959591057</v>
      </c>
      <c r="AF151">
        <f t="shared" si="49"/>
        <v>0.38515167959591057</v>
      </c>
      <c r="AG151">
        <f t="shared" si="49"/>
        <v>0.38515167959591057</v>
      </c>
      <c r="AH151">
        <f t="shared" si="49"/>
        <v>0.38515167959591057</v>
      </c>
      <c r="AI151">
        <f t="shared" si="49"/>
        <v>0.38515167959591057</v>
      </c>
      <c r="AJ151">
        <f t="shared" si="49"/>
        <v>0.38515167959591057</v>
      </c>
      <c r="AK151">
        <f t="shared" si="49"/>
        <v>0.38515167959591057</v>
      </c>
    </row>
    <row r="152" spans="1:37">
      <c r="A152" t="s">
        <v>661</v>
      </c>
      <c r="B152">
        <f>SUM(B119:B123,B125:B127,B131:B135,B138,B141:B144,B146,B148:B149)</f>
        <v>0</v>
      </c>
      <c r="C152">
        <f>SUM(C119:C123,C125:C127,C131:C135,C138,C141:C144,C146,C148:C149)</f>
        <v>0.61484832040408943</v>
      </c>
      <c r="D152">
        <f t="shared" ref="D152:AK152" si="50">SUM(D119:D123,D125:D127,D131:D135,D138,D141:D144,D146,D148:D149)</f>
        <v>0.61484832040408943</v>
      </c>
      <c r="E152">
        <f t="shared" si="50"/>
        <v>0.61484832040408943</v>
      </c>
      <c r="F152">
        <f t="shared" si="50"/>
        <v>0.61484832040408943</v>
      </c>
      <c r="G152">
        <f t="shared" si="50"/>
        <v>0.61484832040408943</v>
      </c>
      <c r="H152">
        <f t="shared" si="50"/>
        <v>0.61484832040408943</v>
      </c>
      <c r="I152">
        <f t="shared" si="50"/>
        <v>0.61484832040408943</v>
      </c>
      <c r="J152">
        <f t="shared" si="50"/>
        <v>0.61484832040408943</v>
      </c>
      <c r="K152">
        <f t="shared" si="50"/>
        <v>0.61484832040408943</v>
      </c>
      <c r="L152">
        <f t="shared" si="50"/>
        <v>0.61484832040408943</v>
      </c>
      <c r="M152">
        <f t="shared" si="50"/>
        <v>0.61484832040408943</v>
      </c>
      <c r="N152">
        <f t="shared" si="50"/>
        <v>0.61484832040408943</v>
      </c>
      <c r="O152">
        <f t="shared" si="50"/>
        <v>0.61484832040408943</v>
      </c>
      <c r="P152">
        <f t="shared" si="50"/>
        <v>0.61484832040408943</v>
      </c>
      <c r="Q152">
        <f t="shared" si="50"/>
        <v>0.61484832040408943</v>
      </c>
      <c r="R152">
        <f t="shared" si="50"/>
        <v>0.61484832040408943</v>
      </c>
      <c r="S152">
        <f t="shared" si="50"/>
        <v>0.61484832040408943</v>
      </c>
      <c r="T152">
        <f t="shared" si="50"/>
        <v>0.61484832040408943</v>
      </c>
      <c r="U152">
        <f t="shared" si="50"/>
        <v>0.61484832040408943</v>
      </c>
      <c r="V152">
        <f t="shared" si="50"/>
        <v>0.61484832040408943</v>
      </c>
      <c r="W152">
        <f t="shared" si="50"/>
        <v>0.61484832040408943</v>
      </c>
      <c r="X152">
        <f t="shared" si="50"/>
        <v>0.61484832040408943</v>
      </c>
      <c r="Y152">
        <f t="shared" si="50"/>
        <v>0.61484832040408943</v>
      </c>
      <c r="Z152">
        <f t="shared" si="50"/>
        <v>0.61484832040408943</v>
      </c>
      <c r="AA152">
        <f t="shared" si="50"/>
        <v>0.61484832040408943</v>
      </c>
      <c r="AB152">
        <f t="shared" si="50"/>
        <v>0.61484832040408943</v>
      </c>
      <c r="AC152">
        <f t="shared" si="50"/>
        <v>0.61484832040408943</v>
      </c>
      <c r="AD152">
        <f t="shared" si="50"/>
        <v>0.61484832040408943</v>
      </c>
      <c r="AE152">
        <f t="shared" si="50"/>
        <v>0.61484832040408943</v>
      </c>
      <c r="AF152">
        <f t="shared" si="50"/>
        <v>0.61484832040408943</v>
      </c>
      <c r="AG152">
        <f t="shared" si="50"/>
        <v>0.61484832040408943</v>
      </c>
      <c r="AH152">
        <f t="shared" si="50"/>
        <v>0.61484832040408943</v>
      </c>
      <c r="AI152">
        <f t="shared" si="50"/>
        <v>0.61484832040408943</v>
      </c>
      <c r="AJ152">
        <f t="shared" si="50"/>
        <v>0.61484832040408943</v>
      </c>
      <c r="AK152">
        <f t="shared" si="50"/>
        <v>0.61484832040408943</v>
      </c>
    </row>
    <row r="153" spans="1:37">
      <c r="A153" t="s">
        <v>122</v>
      </c>
      <c r="B153">
        <v>1</v>
      </c>
      <c r="C153">
        <v>1</v>
      </c>
      <c r="D153">
        <v>1</v>
      </c>
      <c r="E153">
        <v>1</v>
      </c>
      <c r="F153">
        <v>1</v>
      </c>
      <c r="G153">
        <v>1</v>
      </c>
      <c r="H153">
        <v>1</v>
      </c>
      <c r="I153">
        <v>1</v>
      </c>
      <c r="J153">
        <v>1</v>
      </c>
      <c r="K153">
        <v>1</v>
      </c>
      <c r="L153">
        <v>1</v>
      </c>
      <c r="M153">
        <v>1</v>
      </c>
      <c r="N153">
        <v>1</v>
      </c>
      <c r="O153">
        <v>1</v>
      </c>
      <c r="P153">
        <v>1</v>
      </c>
      <c r="Q153">
        <v>1</v>
      </c>
      <c r="R153">
        <v>1</v>
      </c>
      <c r="S153">
        <v>1</v>
      </c>
      <c r="T153">
        <v>1</v>
      </c>
      <c r="U153">
        <v>1</v>
      </c>
      <c r="V153">
        <v>1</v>
      </c>
      <c r="W153">
        <v>1</v>
      </c>
      <c r="X153">
        <v>1</v>
      </c>
      <c r="Y153">
        <v>1</v>
      </c>
      <c r="Z153">
        <v>1</v>
      </c>
      <c r="AA153">
        <v>1</v>
      </c>
      <c r="AB153">
        <v>1</v>
      </c>
      <c r="AC153">
        <v>1</v>
      </c>
      <c r="AD153">
        <v>1</v>
      </c>
      <c r="AE153">
        <v>1</v>
      </c>
      <c r="AF153">
        <v>1</v>
      </c>
      <c r="AG153">
        <v>1</v>
      </c>
      <c r="AH153">
        <v>1</v>
      </c>
      <c r="AI153">
        <v>1</v>
      </c>
      <c r="AJ153">
        <v>1</v>
      </c>
      <c r="AK153">
        <v>1</v>
      </c>
    </row>
    <row r="155" spans="1:37">
      <c r="A155" t="s">
        <v>1031</v>
      </c>
      <c r="B155">
        <v>2015</v>
      </c>
      <c r="C155">
        <v>2016</v>
      </c>
      <c r="D155">
        <v>2017</v>
      </c>
      <c r="E155">
        <v>2018</v>
      </c>
      <c r="F155">
        <v>2019</v>
      </c>
      <c r="G155">
        <v>2020</v>
      </c>
      <c r="H155">
        <v>2021</v>
      </c>
      <c r="I155">
        <v>2022</v>
      </c>
      <c r="J155">
        <v>2023</v>
      </c>
      <c r="K155">
        <v>2024</v>
      </c>
      <c r="L155">
        <v>2025</v>
      </c>
      <c r="M155">
        <v>2026</v>
      </c>
      <c r="N155">
        <v>2027</v>
      </c>
      <c r="O155">
        <v>2028</v>
      </c>
      <c r="P155">
        <v>2029</v>
      </c>
      <c r="Q155">
        <v>2030</v>
      </c>
      <c r="R155">
        <v>2031</v>
      </c>
      <c r="S155">
        <v>2032</v>
      </c>
      <c r="T155">
        <v>2033</v>
      </c>
      <c r="U155">
        <v>2034</v>
      </c>
      <c r="V155">
        <v>2035</v>
      </c>
      <c r="W155">
        <v>2036</v>
      </c>
      <c r="X155">
        <v>2037</v>
      </c>
      <c r="Y155">
        <v>2038</v>
      </c>
      <c r="Z155">
        <v>2039</v>
      </c>
      <c r="AA155">
        <v>2040</v>
      </c>
      <c r="AB155">
        <v>2041</v>
      </c>
      <c r="AC155">
        <v>2042</v>
      </c>
      <c r="AD155">
        <v>2043</v>
      </c>
      <c r="AE155">
        <v>2044</v>
      </c>
      <c r="AF155">
        <v>2045</v>
      </c>
      <c r="AG155">
        <v>2046</v>
      </c>
      <c r="AH155">
        <v>2047</v>
      </c>
      <c r="AI155">
        <v>2048</v>
      </c>
      <c r="AJ155">
        <v>2049</v>
      </c>
      <c r="AK155">
        <v>2050</v>
      </c>
    </row>
    <row r="156" spans="1:37">
      <c r="A156" t="s">
        <v>632</v>
      </c>
      <c r="B156">
        <v>0</v>
      </c>
      <c r="C156">
        <v>5.0042416871832127E-2</v>
      </c>
      <c r="D156">
        <v>5.0042416871832127E-2</v>
      </c>
      <c r="E156">
        <v>5.0042416871832127E-2</v>
      </c>
      <c r="F156">
        <v>5.0042416871832127E-2</v>
      </c>
      <c r="G156">
        <v>5.0042416871832127E-2</v>
      </c>
      <c r="H156">
        <v>5.0042416871832127E-2</v>
      </c>
      <c r="I156">
        <v>5.0042416871832127E-2</v>
      </c>
      <c r="J156">
        <v>5.0042416871832127E-2</v>
      </c>
      <c r="K156">
        <v>5.0042416871832127E-2</v>
      </c>
      <c r="L156">
        <v>5.0042416871832127E-2</v>
      </c>
      <c r="M156">
        <v>5.0042416871832127E-2</v>
      </c>
      <c r="N156">
        <v>5.0042416871832127E-2</v>
      </c>
      <c r="O156">
        <v>5.0042416871832127E-2</v>
      </c>
      <c r="P156">
        <v>5.0042416871832127E-2</v>
      </c>
      <c r="Q156">
        <v>5.0042416871832127E-2</v>
      </c>
      <c r="R156">
        <v>5.0042416871832127E-2</v>
      </c>
      <c r="S156">
        <v>5.0042416871832127E-2</v>
      </c>
      <c r="T156">
        <v>5.0042416871832127E-2</v>
      </c>
      <c r="U156">
        <v>5.0042416871832127E-2</v>
      </c>
      <c r="V156">
        <v>5.0042416871832127E-2</v>
      </c>
      <c r="W156">
        <v>5.0042416871832127E-2</v>
      </c>
      <c r="X156">
        <v>5.0042416871832127E-2</v>
      </c>
      <c r="Y156">
        <v>5.0042416871832127E-2</v>
      </c>
      <c r="Z156">
        <v>5.0042416871832127E-2</v>
      </c>
      <c r="AA156">
        <v>5.0042416871832127E-2</v>
      </c>
      <c r="AB156">
        <v>5.0042416871832127E-2</v>
      </c>
      <c r="AC156">
        <v>5.0042416871832127E-2</v>
      </c>
      <c r="AD156">
        <v>5.0042416871832127E-2</v>
      </c>
      <c r="AE156">
        <v>5.0042416871832127E-2</v>
      </c>
      <c r="AF156">
        <v>5.0042416871832127E-2</v>
      </c>
      <c r="AG156">
        <v>5.0042416871832127E-2</v>
      </c>
      <c r="AH156">
        <v>5.0042416871832127E-2</v>
      </c>
      <c r="AI156">
        <v>5.0042416871832127E-2</v>
      </c>
      <c r="AJ156">
        <v>5.0042416871832127E-2</v>
      </c>
      <c r="AK156">
        <v>5.0042416871832127E-2</v>
      </c>
    </row>
    <row r="157" spans="1:37">
      <c r="A157" t="s">
        <v>626</v>
      </c>
      <c r="B157">
        <v>0</v>
      </c>
      <c r="C157">
        <v>1.2365193762800802E-2</v>
      </c>
      <c r="D157">
        <v>1.2365193762800802E-2</v>
      </c>
      <c r="E157">
        <v>1.2365193762800802E-2</v>
      </c>
      <c r="F157">
        <v>1.2365193762800802E-2</v>
      </c>
      <c r="G157">
        <v>1.2365193762800802E-2</v>
      </c>
      <c r="H157">
        <v>1.2365193762800802E-2</v>
      </c>
      <c r="I157">
        <v>1.2365193762800802E-2</v>
      </c>
      <c r="J157">
        <v>1.2365193762800802E-2</v>
      </c>
      <c r="K157">
        <v>1.2365193762800802E-2</v>
      </c>
      <c r="L157">
        <v>1.2365193762800802E-2</v>
      </c>
      <c r="M157">
        <v>1.2365193762800802E-2</v>
      </c>
      <c r="N157">
        <v>1.2365193762800802E-2</v>
      </c>
      <c r="O157">
        <v>1.2365193762800802E-2</v>
      </c>
      <c r="P157">
        <v>1.2365193762800802E-2</v>
      </c>
      <c r="Q157">
        <v>1.2365193762800802E-2</v>
      </c>
      <c r="R157">
        <v>1.2365193762800802E-2</v>
      </c>
      <c r="S157">
        <v>1.2365193762800802E-2</v>
      </c>
      <c r="T157">
        <v>1.2365193762800802E-2</v>
      </c>
      <c r="U157">
        <v>1.2365193762800802E-2</v>
      </c>
      <c r="V157">
        <v>1.2365193762800802E-2</v>
      </c>
      <c r="W157">
        <v>1.2365193762800802E-2</v>
      </c>
      <c r="X157">
        <v>1.2365193762800802E-2</v>
      </c>
      <c r="Y157">
        <v>1.2365193762800802E-2</v>
      </c>
      <c r="Z157">
        <v>1.2365193762800802E-2</v>
      </c>
      <c r="AA157">
        <v>1.2365193762800802E-2</v>
      </c>
      <c r="AB157">
        <v>1.2365193762800802E-2</v>
      </c>
      <c r="AC157">
        <v>1.2365193762800802E-2</v>
      </c>
      <c r="AD157">
        <v>1.2365193762800802E-2</v>
      </c>
      <c r="AE157">
        <v>1.2365193762800802E-2</v>
      </c>
      <c r="AF157">
        <v>1.2365193762800802E-2</v>
      </c>
      <c r="AG157">
        <v>1.2365193762800802E-2</v>
      </c>
      <c r="AH157">
        <v>1.2365193762800802E-2</v>
      </c>
      <c r="AI157">
        <v>1.2365193762800802E-2</v>
      </c>
      <c r="AJ157">
        <v>1.2365193762800802E-2</v>
      </c>
      <c r="AK157">
        <v>1.2365193762800802E-2</v>
      </c>
    </row>
    <row r="158" spans="1:37">
      <c r="A158" t="s">
        <v>627</v>
      </c>
      <c r="B158">
        <v>0</v>
      </c>
      <c r="C158">
        <v>3.7024431246179983E-2</v>
      </c>
      <c r="D158">
        <v>3.7024431246179983E-2</v>
      </c>
      <c r="E158">
        <v>3.7024431246179983E-2</v>
      </c>
      <c r="F158">
        <v>3.7024431246179983E-2</v>
      </c>
      <c r="G158">
        <v>3.7024431246179983E-2</v>
      </c>
      <c r="H158">
        <v>3.7024431246179983E-2</v>
      </c>
      <c r="I158">
        <v>3.7024431246179983E-2</v>
      </c>
      <c r="J158">
        <v>3.7024431246179983E-2</v>
      </c>
      <c r="K158">
        <v>3.7024431246179983E-2</v>
      </c>
      <c r="L158">
        <v>3.7024431246179983E-2</v>
      </c>
      <c r="M158">
        <v>3.7024431246179983E-2</v>
      </c>
      <c r="N158">
        <v>3.7024431246179983E-2</v>
      </c>
      <c r="O158">
        <v>3.7024431246179983E-2</v>
      </c>
      <c r="P158">
        <v>3.7024431246179983E-2</v>
      </c>
      <c r="Q158">
        <v>3.7024431246179983E-2</v>
      </c>
      <c r="R158">
        <v>3.7024431246179983E-2</v>
      </c>
      <c r="S158">
        <v>3.7024431246179983E-2</v>
      </c>
      <c r="T158">
        <v>3.7024431246179983E-2</v>
      </c>
      <c r="U158">
        <v>3.7024431246179983E-2</v>
      </c>
      <c r="V158">
        <v>3.7024431246179983E-2</v>
      </c>
      <c r="W158">
        <v>3.7024431246179983E-2</v>
      </c>
      <c r="X158">
        <v>3.7024431246179983E-2</v>
      </c>
      <c r="Y158">
        <v>3.7024431246179983E-2</v>
      </c>
      <c r="Z158">
        <v>3.7024431246179983E-2</v>
      </c>
      <c r="AA158">
        <v>3.7024431246179983E-2</v>
      </c>
      <c r="AB158">
        <v>3.7024431246179983E-2</v>
      </c>
      <c r="AC158">
        <v>3.7024431246179983E-2</v>
      </c>
      <c r="AD158">
        <v>3.7024431246179983E-2</v>
      </c>
      <c r="AE158">
        <v>3.7024431246179983E-2</v>
      </c>
      <c r="AF158">
        <v>3.7024431246179983E-2</v>
      </c>
      <c r="AG158">
        <v>3.7024431246179983E-2</v>
      </c>
      <c r="AH158">
        <v>3.7024431246179983E-2</v>
      </c>
      <c r="AI158">
        <v>3.7024431246179983E-2</v>
      </c>
      <c r="AJ158">
        <v>3.7024431246179983E-2</v>
      </c>
      <c r="AK158">
        <v>3.7024431246179983E-2</v>
      </c>
    </row>
    <row r="159" spans="1:37">
      <c r="A159" t="s">
        <v>628</v>
      </c>
      <c r="B159">
        <v>0</v>
      </c>
      <c r="C159">
        <v>5.6577400620335316E-3</v>
      </c>
      <c r="D159">
        <v>5.6577400620335316E-3</v>
      </c>
      <c r="E159">
        <v>5.6577400620335316E-3</v>
      </c>
      <c r="F159">
        <v>5.6577400620335316E-3</v>
      </c>
      <c r="G159">
        <v>5.6577400620335316E-3</v>
      </c>
      <c r="H159">
        <v>5.6577400620335316E-3</v>
      </c>
      <c r="I159">
        <v>5.6577400620335316E-3</v>
      </c>
      <c r="J159">
        <v>5.6577400620335316E-3</v>
      </c>
      <c r="K159">
        <v>5.6577400620335316E-3</v>
      </c>
      <c r="L159">
        <v>5.6577400620335316E-3</v>
      </c>
      <c r="M159">
        <v>5.6577400620335316E-3</v>
      </c>
      <c r="N159">
        <v>5.6577400620335316E-3</v>
      </c>
      <c r="O159">
        <v>5.6577400620335316E-3</v>
      </c>
      <c r="P159">
        <v>5.6577400620335316E-3</v>
      </c>
      <c r="Q159">
        <v>5.6577400620335316E-3</v>
      </c>
      <c r="R159">
        <v>5.6577400620335316E-3</v>
      </c>
      <c r="S159">
        <v>5.6577400620335316E-3</v>
      </c>
      <c r="T159">
        <v>5.6577400620335316E-3</v>
      </c>
      <c r="U159">
        <v>5.6577400620335316E-3</v>
      </c>
      <c r="V159">
        <v>5.6577400620335316E-3</v>
      </c>
      <c r="W159">
        <v>5.6577400620335316E-3</v>
      </c>
      <c r="X159">
        <v>5.6577400620335316E-3</v>
      </c>
      <c r="Y159">
        <v>5.6577400620335316E-3</v>
      </c>
      <c r="Z159">
        <v>5.6577400620335316E-3</v>
      </c>
      <c r="AA159">
        <v>5.6577400620335316E-3</v>
      </c>
      <c r="AB159">
        <v>5.6577400620335316E-3</v>
      </c>
      <c r="AC159">
        <v>5.6577400620335316E-3</v>
      </c>
      <c r="AD159">
        <v>5.6577400620335316E-3</v>
      </c>
      <c r="AE159">
        <v>5.6577400620335316E-3</v>
      </c>
      <c r="AF159">
        <v>5.6577400620335316E-3</v>
      </c>
      <c r="AG159">
        <v>5.6577400620335316E-3</v>
      </c>
      <c r="AH159">
        <v>5.6577400620335316E-3</v>
      </c>
      <c r="AI159">
        <v>5.6577400620335316E-3</v>
      </c>
      <c r="AJ159">
        <v>5.6577400620335316E-3</v>
      </c>
      <c r="AK159">
        <v>5.6577400620335316E-3</v>
      </c>
    </row>
    <row r="160" spans="1:37">
      <c r="A160" t="s">
        <v>629</v>
      </c>
      <c r="B160">
        <v>0</v>
      </c>
      <c r="C160">
        <v>1.8186483468937011E-2</v>
      </c>
      <c r="D160">
        <v>1.8186483468937011E-2</v>
      </c>
      <c r="E160">
        <v>1.8186483468937011E-2</v>
      </c>
      <c r="F160">
        <v>1.8186483468937011E-2</v>
      </c>
      <c r="G160">
        <v>1.8186483468937011E-2</v>
      </c>
      <c r="H160">
        <v>1.8186483468937011E-2</v>
      </c>
      <c r="I160">
        <v>1.8186483468937011E-2</v>
      </c>
      <c r="J160">
        <v>1.8186483468937011E-2</v>
      </c>
      <c r="K160">
        <v>1.8186483468937011E-2</v>
      </c>
      <c r="L160">
        <v>1.8186483468937011E-2</v>
      </c>
      <c r="M160">
        <v>1.8186483468937011E-2</v>
      </c>
      <c r="N160">
        <v>1.8186483468937011E-2</v>
      </c>
      <c r="O160">
        <v>1.8186483468937011E-2</v>
      </c>
      <c r="P160">
        <v>1.8186483468937011E-2</v>
      </c>
      <c r="Q160">
        <v>1.8186483468937011E-2</v>
      </c>
      <c r="R160">
        <v>1.8186483468937011E-2</v>
      </c>
      <c r="S160">
        <v>1.8186483468937011E-2</v>
      </c>
      <c r="T160">
        <v>1.8186483468937011E-2</v>
      </c>
      <c r="U160">
        <v>1.8186483468937011E-2</v>
      </c>
      <c r="V160">
        <v>1.8186483468937011E-2</v>
      </c>
      <c r="W160">
        <v>1.8186483468937011E-2</v>
      </c>
      <c r="X160">
        <v>1.8186483468937011E-2</v>
      </c>
      <c r="Y160">
        <v>1.8186483468937011E-2</v>
      </c>
      <c r="Z160">
        <v>1.8186483468937011E-2</v>
      </c>
      <c r="AA160">
        <v>1.8186483468937011E-2</v>
      </c>
      <c r="AB160">
        <v>1.8186483468937011E-2</v>
      </c>
      <c r="AC160">
        <v>1.8186483468937011E-2</v>
      </c>
      <c r="AD160">
        <v>1.8186483468937011E-2</v>
      </c>
      <c r="AE160">
        <v>1.8186483468937011E-2</v>
      </c>
      <c r="AF160">
        <v>1.8186483468937011E-2</v>
      </c>
      <c r="AG160">
        <v>1.8186483468937011E-2</v>
      </c>
      <c r="AH160">
        <v>1.8186483468937011E-2</v>
      </c>
      <c r="AI160">
        <v>1.8186483468937011E-2</v>
      </c>
      <c r="AJ160">
        <v>1.8186483468937011E-2</v>
      </c>
      <c r="AK160">
        <v>1.8186483468937011E-2</v>
      </c>
    </row>
    <row r="161" spans="1:37">
      <c r="A161" t="s">
        <v>630</v>
      </c>
      <c r="B161">
        <v>0</v>
      </c>
      <c r="C161">
        <v>2.2651308047134607E-2</v>
      </c>
      <c r="D161">
        <v>2.2651308047134607E-2</v>
      </c>
      <c r="E161">
        <v>2.2651308047134607E-2</v>
      </c>
      <c r="F161">
        <v>2.2651308047134607E-2</v>
      </c>
      <c r="G161">
        <v>2.2651308047134607E-2</v>
      </c>
      <c r="H161">
        <v>2.2651308047134607E-2</v>
      </c>
      <c r="I161">
        <v>2.2651308047134607E-2</v>
      </c>
      <c r="J161">
        <v>2.2651308047134607E-2</v>
      </c>
      <c r="K161">
        <v>2.2651308047134607E-2</v>
      </c>
      <c r="L161">
        <v>2.2651308047134607E-2</v>
      </c>
      <c r="M161">
        <v>2.2651308047134607E-2</v>
      </c>
      <c r="N161">
        <v>2.2651308047134607E-2</v>
      </c>
      <c r="O161">
        <v>2.2651308047134607E-2</v>
      </c>
      <c r="P161">
        <v>2.2651308047134607E-2</v>
      </c>
      <c r="Q161">
        <v>2.2651308047134607E-2</v>
      </c>
      <c r="R161">
        <v>2.2651308047134607E-2</v>
      </c>
      <c r="S161">
        <v>2.2651308047134607E-2</v>
      </c>
      <c r="T161">
        <v>2.2651308047134607E-2</v>
      </c>
      <c r="U161">
        <v>2.2651308047134607E-2</v>
      </c>
      <c r="V161">
        <v>2.2651308047134607E-2</v>
      </c>
      <c r="W161">
        <v>2.2651308047134607E-2</v>
      </c>
      <c r="X161">
        <v>2.2651308047134607E-2</v>
      </c>
      <c r="Y161">
        <v>2.2651308047134607E-2</v>
      </c>
      <c r="Z161">
        <v>2.2651308047134607E-2</v>
      </c>
      <c r="AA161">
        <v>2.2651308047134607E-2</v>
      </c>
      <c r="AB161">
        <v>2.2651308047134607E-2</v>
      </c>
      <c r="AC161">
        <v>2.2651308047134607E-2</v>
      </c>
      <c r="AD161">
        <v>2.2651308047134607E-2</v>
      </c>
      <c r="AE161">
        <v>2.2651308047134607E-2</v>
      </c>
      <c r="AF161">
        <v>2.2651308047134607E-2</v>
      </c>
      <c r="AG161">
        <v>2.2651308047134607E-2</v>
      </c>
      <c r="AH161">
        <v>2.2651308047134607E-2</v>
      </c>
      <c r="AI161">
        <v>2.2651308047134607E-2</v>
      </c>
      <c r="AJ161">
        <v>2.2651308047134607E-2</v>
      </c>
      <c r="AK161">
        <v>2.2651308047134607E-2</v>
      </c>
    </row>
    <row r="162" spans="1:37">
      <c r="A162" t="s">
        <v>631</v>
      </c>
      <c r="B162">
        <v>0</v>
      </c>
      <c r="C162">
        <v>7.9908732002019547E-2</v>
      </c>
      <c r="D162">
        <v>7.9908732002019547E-2</v>
      </c>
      <c r="E162">
        <v>7.9908732002019547E-2</v>
      </c>
      <c r="F162">
        <v>7.9908732002019547E-2</v>
      </c>
      <c r="G162">
        <v>7.9908732002019547E-2</v>
      </c>
      <c r="H162">
        <v>7.9908732002019547E-2</v>
      </c>
      <c r="I162">
        <v>7.9908732002019547E-2</v>
      </c>
      <c r="J162">
        <v>7.9908732002019547E-2</v>
      </c>
      <c r="K162">
        <v>7.9908732002019547E-2</v>
      </c>
      <c r="L162">
        <v>7.9908732002019547E-2</v>
      </c>
      <c r="M162">
        <v>7.9908732002019547E-2</v>
      </c>
      <c r="N162">
        <v>7.9908732002019547E-2</v>
      </c>
      <c r="O162">
        <v>7.9908732002019547E-2</v>
      </c>
      <c r="P162">
        <v>7.9908732002019547E-2</v>
      </c>
      <c r="Q162">
        <v>7.9908732002019547E-2</v>
      </c>
      <c r="R162">
        <v>7.9908732002019547E-2</v>
      </c>
      <c r="S162">
        <v>7.9908732002019547E-2</v>
      </c>
      <c r="T162">
        <v>7.9908732002019547E-2</v>
      </c>
      <c r="U162">
        <v>7.9908732002019547E-2</v>
      </c>
      <c r="V162">
        <v>7.9908732002019547E-2</v>
      </c>
      <c r="W162">
        <v>7.9908732002019547E-2</v>
      </c>
      <c r="X162">
        <v>7.9908732002019547E-2</v>
      </c>
      <c r="Y162">
        <v>7.9908732002019547E-2</v>
      </c>
      <c r="Z162">
        <v>7.9908732002019547E-2</v>
      </c>
      <c r="AA162">
        <v>7.9908732002019547E-2</v>
      </c>
      <c r="AB162">
        <v>7.9908732002019547E-2</v>
      </c>
      <c r="AC162">
        <v>7.9908732002019547E-2</v>
      </c>
      <c r="AD162">
        <v>7.9908732002019547E-2</v>
      </c>
      <c r="AE162">
        <v>7.9908732002019547E-2</v>
      </c>
      <c r="AF162">
        <v>7.9908732002019547E-2</v>
      </c>
      <c r="AG162">
        <v>7.9908732002019547E-2</v>
      </c>
      <c r="AH162">
        <v>7.9908732002019547E-2</v>
      </c>
      <c r="AI162">
        <v>7.9908732002019547E-2</v>
      </c>
      <c r="AJ162">
        <v>7.9908732002019547E-2</v>
      </c>
      <c r="AK162">
        <v>7.9908732002019547E-2</v>
      </c>
    </row>
    <row r="163" spans="1:37">
      <c r="A163" t="s">
        <v>634</v>
      </c>
      <c r="B163">
        <v>0</v>
      </c>
      <c r="C163">
        <v>2.7240582466522133E-2</v>
      </c>
      <c r="D163">
        <v>2.7240582466522133E-2</v>
      </c>
      <c r="E163">
        <v>2.7240582466522133E-2</v>
      </c>
      <c r="F163">
        <v>2.7240582466522133E-2</v>
      </c>
      <c r="G163">
        <v>2.7240582466522133E-2</v>
      </c>
      <c r="H163">
        <v>2.7240582466522133E-2</v>
      </c>
      <c r="I163">
        <v>2.7240582466522133E-2</v>
      </c>
      <c r="J163">
        <v>2.7240582466522133E-2</v>
      </c>
      <c r="K163">
        <v>2.7240582466522133E-2</v>
      </c>
      <c r="L163">
        <v>2.7240582466522133E-2</v>
      </c>
      <c r="M163">
        <v>2.7240582466522133E-2</v>
      </c>
      <c r="N163">
        <v>2.7240582466522133E-2</v>
      </c>
      <c r="O163">
        <v>2.7240582466522133E-2</v>
      </c>
      <c r="P163">
        <v>2.7240582466522133E-2</v>
      </c>
      <c r="Q163">
        <v>2.7240582466522133E-2</v>
      </c>
      <c r="R163">
        <v>2.7240582466522133E-2</v>
      </c>
      <c r="S163">
        <v>2.7240582466522133E-2</v>
      </c>
      <c r="T163">
        <v>2.7240582466522133E-2</v>
      </c>
      <c r="U163">
        <v>2.7240582466522133E-2</v>
      </c>
      <c r="V163">
        <v>2.7240582466522133E-2</v>
      </c>
      <c r="W163">
        <v>2.7240582466522133E-2</v>
      </c>
      <c r="X163">
        <v>2.7240582466522133E-2</v>
      </c>
      <c r="Y163">
        <v>2.7240582466522133E-2</v>
      </c>
      <c r="Z163">
        <v>2.7240582466522133E-2</v>
      </c>
      <c r="AA163">
        <v>2.7240582466522133E-2</v>
      </c>
      <c r="AB163">
        <v>2.7240582466522133E-2</v>
      </c>
      <c r="AC163">
        <v>2.7240582466522133E-2</v>
      </c>
      <c r="AD163">
        <v>2.7240582466522133E-2</v>
      </c>
      <c r="AE163">
        <v>2.7240582466522133E-2</v>
      </c>
      <c r="AF163">
        <v>2.7240582466522133E-2</v>
      </c>
      <c r="AG163">
        <v>2.7240582466522133E-2</v>
      </c>
      <c r="AH163">
        <v>2.7240582466522133E-2</v>
      </c>
      <c r="AI163">
        <v>2.7240582466522133E-2</v>
      </c>
      <c r="AJ163">
        <v>2.7240582466522133E-2</v>
      </c>
      <c r="AK163">
        <v>2.7240582466522133E-2</v>
      </c>
    </row>
    <row r="164" spans="1:37">
      <c r="A164" t="s">
        <v>635</v>
      </c>
      <c r="B164">
        <v>0</v>
      </c>
      <c r="C164">
        <v>1.5305602640549946E-2</v>
      </c>
      <c r="D164">
        <v>1.5305602640549946E-2</v>
      </c>
      <c r="E164">
        <v>1.5305602640549946E-2</v>
      </c>
      <c r="F164">
        <v>1.5305602640549946E-2</v>
      </c>
      <c r="G164">
        <v>1.5305602640549946E-2</v>
      </c>
      <c r="H164">
        <v>1.5305602640549946E-2</v>
      </c>
      <c r="I164">
        <v>1.5305602640549946E-2</v>
      </c>
      <c r="J164">
        <v>1.5305602640549946E-2</v>
      </c>
      <c r="K164">
        <v>1.5305602640549946E-2</v>
      </c>
      <c r="L164">
        <v>1.5305602640549946E-2</v>
      </c>
      <c r="M164">
        <v>1.5305602640549946E-2</v>
      </c>
      <c r="N164">
        <v>1.5305602640549946E-2</v>
      </c>
      <c r="O164">
        <v>1.5305602640549946E-2</v>
      </c>
      <c r="P164">
        <v>1.5305602640549946E-2</v>
      </c>
      <c r="Q164">
        <v>1.5305602640549946E-2</v>
      </c>
      <c r="R164">
        <v>1.5305602640549946E-2</v>
      </c>
      <c r="S164">
        <v>1.5305602640549946E-2</v>
      </c>
      <c r="T164">
        <v>1.5305602640549946E-2</v>
      </c>
      <c r="U164">
        <v>1.5305602640549946E-2</v>
      </c>
      <c r="V164">
        <v>1.5305602640549946E-2</v>
      </c>
      <c r="W164">
        <v>1.5305602640549946E-2</v>
      </c>
      <c r="X164">
        <v>1.5305602640549946E-2</v>
      </c>
      <c r="Y164">
        <v>1.5305602640549946E-2</v>
      </c>
      <c r="Z164">
        <v>1.5305602640549946E-2</v>
      </c>
      <c r="AA164">
        <v>1.5305602640549946E-2</v>
      </c>
      <c r="AB164">
        <v>1.5305602640549946E-2</v>
      </c>
      <c r="AC164">
        <v>1.5305602640549946E-2</v>
      </c>
      <c r="AD164">
        <v>1.5305602640549946E-2</v>
      </c>
      <c r="AE164">
        <v>1.5305602640549946E-2</v>
      </c>
      <c r="AF164">
        <v>1.5305602640549946E-2</v>
      </c>
      <c r="AG164">
        <v>1.5305602640549946E-2</v>
      </c>
      <c r="AH164">
        <v>1.5305602640549946E-2</v>
      </c>
      <c r="AI164">
        <v>1.5305602640549946E-2</v>
      </c>
      <c r="AJ164">
        <v>1.5305602640549946E-2</v>
      </c>
      <c r="AK164">
        <v>1.5305602640549946E-2</v>
      </c>
    </row>
    <row r="165" spans="1:37">
      <c r="A165" t="s">
        <v>636</v>
      </c>
      <c r="B165">
        <v>0</v>
      </c>
      <c r="C165">
        <v>1.0661673770619209E-2</v>
      </c>
      <c r="D165">
        <v>1.0661673770619209E-2</v>
      </c>
      <c r="E165">
        <v>1.0661673770619209E-2</v>
      </c>
      <c r="F165">
        <v>1.0661673770619209E-2</v>
      </c>
      <c r="G165">
        <v>1.0661673770619209E-2</v>
      </c>
      <c r="H165">
        <v>1.0661673770619209E-2</v>
      </c>
      <c r="I165">
        <v>1.0661673770619209E-2</v>
      </c>
      <c r="J165">
        <v>1.0661673770619209E-2</v>
      </c>
      <c r="K165">
        <v>1.0661673770619209E-2</v>
      </c>
      <c r="L165">
        <v>1.0661673770619209E-2</v>
      </c>
      <c r="M165">
        <v>1.0661673770619209E-2</v>
      </c>
      <c r="N165">
        <v>1.0661673770619209E-2</v>
      </c>
      <c r="O165">
        <v>1.0661673770619209E-2</v>
      </c>
      <c r="P165">
        <v>1.0661673770619209E-2</v>
      </c>
      <c r="Q165">
        <v>1.0661673770619209E-2</v>
      </c>
      <c r="R165">
        <v>1.0661673770619209E-2</v>
      </c>
      <c r="S165">
        <v>1.0661673770619209E-2</v>
      </c>
      <c r="T165">
        <v>1.0661673770619209E-2</v>
      </c>
      <c r="U165">
        <v>1.0661673770619209E-2</v>
      </c>
      <c r="V165">
        <v>1.0661673770619209E-2</v>
      </c>
      <c r="W165">
        <v>1.0661673770619209E-2</v>
      </c>
      <c r="X165">
        <v>1.0661673770619209E-2</v>
      </c>
      <c r="Y165">
        <v>1.0661673770619209E-2</v>
      </c>
      <c r="Z165">
        <v>1.0661673770619209E-2</v>
      </c>
      <c r="AA165">
        <v>1.0661673770619209E-2</v>
      </c>
      <c r="AB165">
        <v>1.0661673770619209E-2</v>
      </c>
      <c r="AC165">
        <v>1.0661673770619209E-2</v>
      </c>
      <c r="AD165">
        <v>1.0661673770619209E-2</v>
      </c>
      <c r="AE165">
        <v>1.0661673770619209E-2</v>
      </c>
      <c r="AF165">
        <v>1.0661673770619209E-2</v>
      </c>
      <c r="AG165">
        <v>1.0661673770619209E-2</v>
      </c>
      <c r="AH165">
        <v>1.0661673770619209E-2</v>
      </c>
      <c r="AI165">
        <v>1.0661673770619209E-2</v>
      </c>
      <c r="AJ165">
        <v>1.0661673770619209E-2</v>
      </c>
      <c r="AK165">
        <v>1.0661673770619209E-2</v>
      </c>
    </row>
    <row r="166" spans="1:37">
      <c r="A166" t="s">
        <v>637</v>
      </c>
      <c r="B166">
        <v>0</v>
      </c>
      <c r="C166">
        <v>1.7919393132196336E-2</v>
      </c>
      <c r="D166">
        <v>1.7919393132196336E-2</v>
      </c>
      <c r="E166">
        <v>1.7919393132196336E-2</v>
      </c>
      <c r="F166">
        <v>1.7919393132196336E-2</v>
      </c>
      <c r="G166">
        <v>1.7919393132196336E-2</v>
      </c>
      <c r="H166">
        <v>1.7919393132196336E-2</v>
      </c>
      <c r="I166">
        <v>1.7919393132196336E-2</v>
      </c>
      <c r="J166">
        <v>1.7919393132196336E-2</v>
      </c>
      <c r="K166">
        <v>1.7919393132196336E-2</v>
      </c>
      <c r="L166">
        <v>1.7919393132196336E-2</v>
      </c>
      <c r="M166">
        <v>1.7919393132196336E-2</v>
      </c>
      <c r="N166">
        <v>1.7919393132196336E-2</v>
      </c>
      <c r="O166">
        <v>1.7919393132196336E-2</v>
      </c>
      <c r="P166">
        <v>1.7919393132196336E-2</v>
      </c>
      <c r="Q166">
        <v>1.7919393132196336E-2</v>
      </c>
      <c r="R166">
        <v>1.7919393132196336E-2</v>
      </c>
      <c r="S166">
        <v>1.7919393132196336E-2</v>
      </c>
      <c r="T166">
        <v>1.7919393132196336E-2</v>
      </c>
      <c r="U166">
        <v>1.7919393132196336E-2</v>
      </c>
      <c r="V166">
        <v>1.7919393132196336E-2</v>
      </c>
      <c r="W166">
        <v>1.7919393132196336E-2</v>
      </c>
      <c r="X166">
        <v>1.7919393132196336E-2</v>
      </c>
      <c r="Y166">
        <v>1.7919393132196336E-2</v>
      </c>
      <c r="Z166">
        <v>1.7919393132196336E-2</v>
      </c>
      <c r="AA166">
        <v>1.7919393132196336E-2</v>
      </c>
      <c r="AB166">
        <v>1.7919393132196336E-2</v>
      </c>
      <c r="AC166">
        <v>1.7919393132196336E-2</v>
      </c>
      <c r="AD166">
        <v>1.7919393132196336E-2</v>
      </c>
      <c r="AE166">
        <v>1.7919393132196336E-2</v>
      </c>
      <c r="AF166">
        <v>1.7919393132196336E-2</v>
      </c>
      <c r="AG166">
        <v>1.7919393132196336E-2</v>
      </c>
      <c r="AH166">
        <v>1.7919393132196336E-2</v>
      </c>
      <c r="AI166">
        <v>1.7919393132196336E-2</v>
      </c>
      <c r="AJ166">
        <v>1.7919393132196336E-2</v>
      </c>
      <c r="AK166">
        <v>1.7919393132196336E-2</v>
      </c>
    </row>
    <row r="167" spans="1:37">
      <c r="A167" t="s">
        <v>638</v>
      </c>
      <c r="B167">
        <v>0</v>
      </c>
      <c r="C167">
        <v>2.8652958901964006E-2</v>
      </c>
      <c r="D167">
        <v>2.8652958901964006E-2</v>
      </c>
      <c r="E167">
        <v>2.8652958901964006E-2</v>
      </c>
      <c r="F167">
        <v>2.8652958901964006E-2</v>
      </c>
      <c r="G167">
        <v>2.8652958901964006E-2</v>
      </c>
      <c r="H167">
        <v>2.8652958901964006E-2</v>
      </c>
      <c r="I167">
        <v>2.8652958901964006E-2</v>
      </c>
      <c r="J167">
        <v>2.8652958901964006E-2</v>
      </c>
      <c r="K167">
        <v>2.8652958901964006E-2</v>
      </c>
      <c r="L167">
        <v>2.8652958901964006E-2</v>
      </c>
      <c r="M167">
        <v>2.8652958901964006E-2</v>
      </c>
      <c r="N167">
        <v>2.8652958901964006E-2</v>
      </c>
      <c r="O167">
        <v>2.8652958901964006E-2</v>
      </c>
      <c r="P167">
        <v>2.8652958901964006E-2</v>
      </c>
      <c r="Q167">
        <v>2.8652958901964006E-2</v>
      </c>
      <c r="R167">
        <v>2.8652958901964006E-2</v>
      </c>
      <c r="S167">
        <v>2.8652958901964006E-2</v>
      </c>
      <c r="T167">
        <v>2.8652958901964006E-2</v>
      </c>
      <c r="U167">
        <v>2.8652958901964006E-2</v>
      </c>
      <c r="V167">
        <v>2.8652958901964006E-2</v>
      </c>
      <c r="W167">
        <v>2.8652958901964006E-2</v>
      </c>
      <c r="X167">
        <v>2.8652958901964006E-2</v>
      </c>
      <c r="Y167">
        <v>2.8652958901964006E-2</v>
      </c>
      <c r="Z167">
        <v>2.8652958901964006E-2</v>
      </c>
      <c r="AA167">
        <v>2.8652958901964006E-2</v>
      </c>
      <c r="AB167">
        <v>2.8652958901964006E-2</v>
      </c>
      <c r="AC167">
        <v>2.8652958901964006E-2</v>
      </c>
      <c r="AD167">
        <v>2.8652958901964006E-2</v>
      </c>
      <c r="AE167">
        <v>2.8652958901964006E-2</v>
      </c>
      <c r="AF167">
        <v>2.8652958901964006E-2</v>
      </c>
      <c r="AG167">
        <v>2.8652958901964006E-2</v>
      </c>
      <c r="AH167">
        <v>2.8652958901964006E-2</v>
      </c>
      <c r="AI167">
        <v>2.8652958901964006E-2</v>
      </c>
      <c r="AJ167">
        <v>2.8652958901964006E-2</v>
      </c>
      <c r="AK167">
        <v>2.8652958901964006E-2</v>
      </c>
    </row>
    <row r="168" spans="1:37">
      <c r="A168" t="s">
        <v>639</v>
      </c>
      <c r="B168">
        <v>0</v>
      </c>
      <c r="C168">
        <v>4.5888230209439405E-2</v>
      </c>
      <c r="D168">
        <v>4.5888230209439405E-2</v>
      </c>
      <c r="E168">
        <v>4.5888230209439405E-2</v>
      </c>
      <c r="F168">
        <v>4.5888230209439405E-2</v>
      </c>
      <c r="G168">
        <v>4.5888230209439405E-2</v>
      </c>
      <c r="H168">
        <v>4.5888230209439405E-2</v>
      </c>
      <c r="I168">
        <v>4.5888230209439405E-2</v>
      </c>
      <c r="J168">
        <v>4.5888230209439405E-2</v>
      </c>
      <c r="K168">
        <v>4.5888230209439405E-2</v>
      </c>
      <c r="L168">
        <v>4.5888230209439405E-2</v>
      </c>
      <c r="M168">
        <v>4.5888230209439405E-2</v>
      </c>
      <c r="N168">
        <v>4.5888230209439405E-2</v>
      </c>
      <c r="O168">
        <v>4.5888230209439405E-2</v>
      </c>
      <c r="P168">
        <v>4.5888230209439405E-2</v>
      </c>
      <c r="Q168">
        <v>4.5888230209439405E-2</v>
      </c>
      <c r="R168">
        <v>4.5888230209439405E-2</v>
      </c>
      <c r="S168">
        <v>4.5888230209439405E-2</v>
      </c>
      <c r="T168">
        <v>4.5888230209439405E-2</v>
      </c>
      <c r="U168">
        <v>4.5888230209439405E-2</v>
      </c>
      <c r="V168">
        <v>4.5888230209439405E-2</v>
      </c>
      <c r="W168">
        <v>4.5888230209439405E-2</v>
      </c>
      <c r="X168">
        <v>4.5888230209439405E-2</v>
      </c>
      <c r="Y168">
        <v>4.5888230209439405E-2</v>
      </c>
      <c r="Z168">
        <v>4.5888230209439405E-2</v>
      </c>
      <c r="AA168">
        <v>4.5888230209439405E-2</v>
      </c>
      <c r="AB168">
        <v>4.5888230209439405E-2</v>
      </c>
      <c r="AC168">
        <v>4.5888230209439405E-2</v>
      </c>
      <c r="AD168">
        <v>4.5888230209439405E-2</v>
      </c>
      <c r="AE168">
        <v>4.5888230209439405E-2</v>
      </c>
      <c r="AF168">
        <v>4.5888230209439405E-2</v>
      </c>
      <c r="AG168">
        <v>4.5888230209439405E-2</v>
      </c>
      <c r="AH168">
        <v>4.5888230209439405E-2</v>
      </c>
      <c r="AI168">
        <v>4.5888230209439405E-2</v>
      </c>
      <c r="AJ168">
        <v>4.5888230209439405E-2</v>
      </c>
      <c r="AK168">
        <v>4.5888230209439405E-2</v>
      </c>
    </row>
    <row r="169" spans="1:37">
      <c r="A169" t="s">
        <v>640</v>
      </c>
      <c r="B169">
        <v>0</v>
      </c>
      <c r="C169">
        <v>1.9595044419701394E-2</v>
      </c>
      <c r="D169">
        <v>1.9595044419701394E-2</v>
      </c>
      <c r="E169">
        <v>1.9595044419701394E-2</v>
      </c>
      <c r="F169">
        <v>1.9595044419701394E-2</v>
      </c>
      <c r="G169">
        <v>1.9595044419701394E-2</v>
      </c>
      <c r="H169">
        <v>1.9595044419701394E-2</v>
      </c>
      <c r="I169">
        <v>1.9595044419701394E-2</v>
      </c>
      <c r="J169">
        <v>1.9595044419701394E-2</v>
      </c>
      <c r="K169">
        <v>1.9595044419701394E-2</v>
      </c>
      <c r="L169">
        <v>1.9595044419701394E-2</v>
      </c>
      <c r="M169">
        <v>1.9595044419701394E-2</v>
      </c>
      <c r="N169">
        <v>1.9595044419701394E-2</v>
      </c>
      <c r="O169">
        <v>1.9595044419701394E-2</v>
      </c>
      <c r="P169">
        <v>1.9595044419701394E-2</v>
      </c>
      <c r="Q169">
        <v>1.9595044419701394E-2</v>
      </c>
      <c r="R169">
        <v>1.9595044419701394E-2</v>
      </c>
      <c r="S169">
        <v>1.9595044419701394E-2</v>
      </c>
      <c r="T169">
        <v>1.9595044419701394E-2</v>
      </c>
      <c r="U169">
        <v>1.9595044419701394E-2</v>
      </c>
      <c r="V169">
        <v>1.9595044419701394E-2</v>
      </c>
      <c r="W169">
        <v>1.9595044419701394E-2</v>
      </c>
      <c r="X169">
        <v>1.9595044419701394E-2</v>
      </c>
      <c r="Y169">
        <v>1.9595044419701394E-2</v>
      </c>
      <c r="Z169">
        <v>1.9595044419701394E-2</v>
      </c>
      <c r="AA169">
        <v>1.9595044419701394E-2</v>
      </c>
      <c r="AB169">
        <v>1.9595044419701394E-2</v>
      </c>
      <c r="AC169">
        <v>1.9595044419701394E-2</v>
      </c>
      <c r="AD169">
        <v>1.9595044419701394E-2</v>
      </c>
      <c r="AE169">
        <v>1.9595044419701394E-2</v>
      </c>
      <c r="AF169">
        <v>1.9595044419701394E-2</v>
      </c>
      <c r="AG169">
        <v>1.9595044419701394E-2</v>
      </c>
      <c r="AH169">
        <v>1.9595044419701394E-2</v>
      </c>
      <c r="AI169">
        <v>1.9595044419701394E-2</v>
      </c>
      <c r="AJ169">
        <v>1.9595044419701394E-2</v>
      </c>
      <c r="AK169">
        <v>1.9595044419701394E-2</v>
      </c>
    </row>
    <row r="170" spans="1:37">
      <c r="A170" t="s">
        <v>641</v>
      </c>
      <c r="B170">
        <v>0</v>
      </c>
      <c r="C170">
        <v>1.4467887766617315E-2</v>
      </c>
      <c r="D170">
        <v>1.4467887766617315E-2</v>
      </c>
      <c r="E170">
        <v>1.4467887766617315E-2</v>
      </c>
      <c r="F170">
        <v>1.4467887766617315E-2</v>
      </c>
      <c r="G170">
        <v>1.4467887766617315E-2</v>
      </c>
      <c r="H170">
        <v>1.4467887766617315E-2</v>
      </c>
      <c r="I170">
        <v>1.4467887766617315E-2</v>
      </c>
      <c r="J170">
        <v>1.4467887766617315E-2</v>
      </c>
      <c r="K170">
        <v>1.4467887766617315E-2</v>
      </c>
      <c r="L170">
        <v>1.4467887766617315E-2</v>
      </c>
      <c r="M170">
        <v>1.4467887766617315E-2</v>
      </c>
      <c r="N170">
        <v>1.4467887766617315E-2</v>
      </c>
      <c r="O170">
        <v>1.4467887766617315E-2</v>
      </c>
      <c r="P170">
        <v>1.4467887766617315E-2</v>
      </c>
      <c r="Q170">
        <v>1.4467887766617315E-2</v>
      </c>
      <c r="R170">
        <v>1.4467887766617315E-2</v>
      </c>
      <c r="S170">
        <v>1.4467887766617315E-2</v>
      </c>
      <c r="T170">
        <v>1.4467887766617315E-2</v>
      </c>
      <c r="U170">
        <v>1.4467887766617315E-2</v>
      </c>
      <c r="V170">
        <v>1.4467887766617315E-2</v>
      </c>
      <c r="W170">
        <v>1.4467887766617315E-2</v>
      </c>
      <c r="X170">
        <v>1.4467887766617315E-2</v>
      </c>
      <c r="Y170">
        <v>1.4467887766617315E-2</v>
      </c>
      <c r="Z170">
        <v>1.4467887766617315E-2</v>
      </c>
      <c r="AA170">
        <v>1.4467887766617315E-2</v>
      </c>
      <c r="AB170">
        <v>1.4467887766617315E-2</v>
      </c>
      <c r="AC170">
        <v>1.4467887766617315E-2</v>
      </c>
      <c r="AD170">
        <v>1.4467887766617315E-2</v>
      </c>
      <c r="AE170">
        <v>1.4467887766617315E-2</v>
      </c>
      <c r="AF170">
        <v>1.4467887766617315E-2</v>
      </c>
      <c r="AG170">
        <v>1.4467887766617315E-2</v>
      </c>
      <c r="AH170">
        <v>1.4467887766617315E-2</v>
      </c>
      <c r="AI170">
        <v>1.4467887766617315E-2</v>
      </c>
      <c r="AJ170">
        <v>1.4467887766617315E-2</v>
      </c>
      <c r="AK170">
        <v>1.4467887766617315E-2</v>
      </c>
    </row>
    <row r="171" spans="1:37">
      <c r="A171" t="s">
        <v>642</v>
      </c>
      <c r="B171">
        <v>0</v>
      </c>
      <c r="C171">
        <v>1.810477255806911E-2</v>
      </c>
      <c r="D171">
        <v>1.810477255806911E-2</v>
      </c>
      <c r="E171">
        <v>1.810477255806911E-2</v>
      </c>
      <c r="F171">
        <v>1.810477255806911E-2</v>
      </c>
      <c r="G171">
        <v>1.810477255806911E-2</v>
      </c>
      <c r="H171">
        <v>1.810477255806911E-2</v>
      </c>
      <c r="I171">
        <v>1.810477255806911E-2</v>
      </c>
      <c r="J171">
        <v>1.810477255806911E-2</v>
      </c>
      <c r="K171">
        <v>1.810477255806911E-2</v>
      </c>
      <c r="L171">
        <v>1.810477255806911E-2</v>
      </c>
      <c r="M171">
        <v>1.810477255806911E-2</v>
      </c>
      <c r="N171">
        <v>1.810477255806911E-2</v>
      </c>
      <c r="O171">
        <v>1.810477255806911E-2</v>
      </c>
      <c r="P171">
        <v>1.810477255806911E-2</v>
      </c>
      <c r="Q171">
        <v>1.810477255806911E-2</v>
      </c>
      <c r="R171">
        <v>1.810477255806911E-2</v>
      </c>
      <c r="S171">
        <v>1.810477255806911E-2</v>
      </c>
      <c r="T171">
        <v>1.810477255806911E-2</v>
      </c>
      <c r="U171">
        <v>1.810477255806911E-2</v>
      </c>
      <c r="V171">
        <v>1.810477255806911E-2</v>
      </c>
      <c r="W171">
        <v>1.810477255806911E-2</v>
      </c>
      <c r="X171">
        <v>1.810477255806911E-2</v>
      </c>
      <c r="Y171">
        <v>1.810477255806911E-2</v>
      </c>
      <c r="Z171">
        <v>1.810477255806911E-2</v>
      </c>
      <c r="AA171">
        <v>1.810477255806911E-2</v>
      </c>
      <c r="AB171">
        <v>1.810477255806911E-2</v>
      </c>
      <c r="AC171">
        <v>1.810477255806911E-2</v>
      </c>
      <c r="AD171">
        <v>1.810477255806911E-2</v>
      </c>
      <c r="AE171">
        <v>1.810477255806911E-2</v>
      </c>
      <c r="AF171">
        <v>1.810477255806911E-2</v>
      </c>
      <c r="AG171">
        <v>1.810477255806911E-2</v>
      </c>
      <c r="AH171">
        <v>1.810477255806911E-2</v>
      </c>
      <c r="AI171">
        <v>1.810477255806911E-2</v>
      </c>
      <c r="AJ171">
        <v>1.810477255806911E-2</v>
      </c>
      <c r="AK171">
        <v>1.810477255806911E-2</v>
      </c>
    </row>
    <row r="172" spans="1:37">
      <c r="A172" t="s">
        <v>643</v>
      </c>
      <c r="B172">
        <v>0</v>
      </c>
      <c r="C172">
        <v>2.8869987700814601E-2</v>
      </c>
      <c r="D172">
        <v>2.8869987700814601E-2</v>
      </c>
      <c r="E172">
        <v>2.8869987700814601E-2</v>
      </c>
      <c r="F172">
        <v>2.8869987700814601E-2</v>
      </c>
      <c r="G172">
        <v>2.8869987700814601E-2</v>
      </c>
      <c r="H172">
        <v>2.8869987700814601E-2</v>
      </c>
      <c r="I172">
        <v>2.8869987700814601E-2</v>
      </c>
      <c r="J172">
        <v>2.8869987700814601E-2</v>
      </c>
      <c r="K172">
        <v>2.8869987700814601E-2</v>
      </c>
      <c r="L172">
        <v>2.8869987700814601E-2</v>
      </c>
      <c r="M172">
        <v>2.8869987700814601E-2</v>
      </c>
      <c r="N172">
        <v>2.8869987700814601E-2</v>
      </c>
      <c r="O172">
        <v>2.8869987700814601E-2</v>
      </c>
      <c r="P172">
        <v>2.8869987700814601E-2</v>
      </c>
      <c r="Q172">
        <v>2.8869987700814601E-2</v>
      </c>
      <c r="R172">
        <v>2.8869987700814601E-2</v>
      </c>
      <c r="S172">
        <v>2.8869987700814601E-2</v>
      </c>
      <c r="T172">
        <v>2.8869987700814601E-2</v>
      </c>
      <c r="U172">
        <v>2.8869987700814601E-2</v>
      </c>
      <c r="V172">
        <v>2.8869987700814601E-2</v>
      </c>
      <c r="W172">
        <v>2.8869987700814601E-2</v>
      </c>
      <c r="X172">
        <v>2.8869987700814601E-2</v>
      </c>
      <c r="Y172">
        <v>2.8869987700814601E-2</v>
      </c>
      <c r="Z172">
        <v>2.8869987700814601E-2</v>
      </c>
      <c r="AA172">
        <v>2.8869987700814601E-2</v>
      </c>
      <c r="AB172">
        <v>2.8869987700814601E-2</v>
      </c>
      <c r="AC172">
        <v>2.8869987700814601E-2</v>
      </c>
      <c r="AD172">
        <v>2.8869987700814601E-2</v>
      </c>
      <c r="AE172">
        <v>2.8869987700814601E-2</v>
      </c>
      <c r="AF172">
        <v>2.8869987700814601E-2</v>
      </c>
      <c r="AG172">
        <v>2.8869987700814601E-2</v>
      </c>
      <c r="AH172">
        <v>2.8869987700814601E-2</v>
      </c>
      <c r="AI172">
        <v>2.8869987700814601E-2</v>
      </c>
      <c r="AJ172">
        <v>2.8869987700814601E-2</v>
      </c>
      <c r="AK172">
        <v>2.8869987700814601E-2</v>
      </c>
    </row>
    <row r="173" spans="1:37">
      <c r="A173" t="s">
        <v>644</v>
      </c>
      <c r="B173">
        <v>0</v>
      </c>
      <c r="C173">
        <v>2.3648030225665247E-2</v>
      </c>
      <c r="D173">
        <v>2.3648030225665247E-2</v>
      </c>
      <c r="E173">
        <v>2.3648030225665247E-2</v>
      </c>
      <c r="F173">
        <v>2.3648030225665247E-2</v>
      </c>
      <c r="G173">
        <v>2.3648030225665247E-2</v>
      </c>
      <c r="H173">
        <v>2.3648030225665247E-2</v>
      </c>
      <c r="I173">
        <v>2.3648030225665247E-2</v>
      </c>
      <c r="J173">
        <v>2.3648030225665247E-2</v>
      </c>
      <c r="K173">
        <v>2.3648030225665247E-2</v>
      </c>
      <c r="L173">
        <v>2.3648030225665247E-2</v>
      </c>
      <c r="M173">
        <v>2.3648030225665247E-2</v>
      </c>
      <c r="N173">
        <v>2.3648030225665247E-2</v>
      </c>
      <c r="O173">
        <v>2.3648030225665247E-2</v>
      </c>
      <c r="P173">
        <v>2.3648030225665247E-2</v>
      </c>
      <c r="Q173">
        <v>2.3648030225665247E-2</v>
      </c>
      <c r="R173">
        <v>2.3648030225665247E-2</v>
      </c>
      <c r="S173">
        <v>2.3648030225665247E-2</v>
      </c>
      <c r="T173">
        <v>2.3648030225665247E-2</v>
      </c>
      <c r="U173">
        <v>2.3648030225665247E-2</v>
      </c>
      <c r="V173">
        <v>2.3648030225665247E-2</v>
      </c>
      <c r="W173">
        <v>2.3648030225665247E-2</v>
      </c>
      <c r="X173">
        <v>2.3648030225665247E-2</v>
      </c>
      <c r="Y173">
        <v>2.3648030225665247E-2</v>
      </c>
      <c r="Z173">
        <v>2.3648030225665247E-2</v>
      </c>
      <c r="AA173">
        <v>2.3648030225665247E-2</v>
      </c>
      <c r="AB173">
        <v>2.3648030225665247E-2</v>
      </c>
      <c r="AC173">
        <v>2.3648030225665247E-2</v>
      </c>
      <c r="AD173">
        <v>2.3648030225665247E-2</v>
      </c>
      <c r="AE173">
        <v>2.3648030225665247E-2</v>
      </c>
      <c r="AF173">
        <v>2.3648030225665247E-2</v>
      </c>
      <c r="AG173">
        <v>2.3648030225665247E-2</v>
      </c>
      <c r="AH173">
        <v>2.3648030225665247E-2</v>
      </c>
      <c r="AI173">
        <v>2.3648030225665247E-2</v>
      </c>
      <c r="AJ173">
        <v>2.3648030225665247E-2</v>
      </c>
      <c r="AK173">
        <v>2.3648030225665247E-2</v>
      </c>
    </row>
    <row r="174" spans="1:37">
      <c r="A174" t="s">
        <v>645</v>
      </c>
      <c r="B174">
        <v>0</v>
      </c>
      <c r="C174">
        <v>3.8216568451090629E-2</v>
      </c>
      <c r="D174">
        <v>3.8216568451090629E-2</v>
      </c>
      <c r="E174">
        <v>3.8216568451090629E-2</v>
      </c>
      <c r="F174">
        <v>3.8216568451090629E-2</v>
      </c>
      <c r="G174">
        <v>3.8216568451090629E-2</v>
      </c>
      <c r="H174">
        <v>3.8216568451090629E-2</v>
      </c>
      <c r="I174">
        <v>3.8216568451090629E-2</v>
      </c>
      <c r="J174">
        <v>3.8216568451090629E-2</v>
      </c>
      <c r="K174">
        <v>3.8216568451090629E-2</v>
      </c>
      <c r="L174">
        <v>3.8216568451090629E-2</v>
      </c>
      <c r="M174">
        <v>3.8216568451090629E-2</v>
      </c>
      <c r="N174">
        <v>3.8216568451090629E-2</v>
      </c>
      <c r="O174">
        <v>3.8216568451090629E-2</v>
      </c>
      <c r="P174">
        <v>3.8216568451090629E-2</v>
      </c>
      <c r="Q174">
        <v>3.8216568451090629E-2</v>
      </c>
      <c r="R174">
        <v>3.8216568451090629E-2</v>
      </c>
      <c r="S174">
        <v>3.8216568451090629E-2</v>
      </c>
      <c r="T174">
        <v>3.8216568451090629E-2</v>
      </c>
      <c r="U174">
        <v>3.8216568451090629E-2</v>
      </c>
      <c r="V174">
        <v>3.8216568451090629E-2</v>
      </c>
      <c r="W174">
        <v>3.8216568451090629E-2</v>
      </c>
      <c r="X174">
        <v>3.8216568451090629E-2</v>
      </c>
      <c r="Y174">
        <v>3.8216568451090629E-2</v>
      </c>
      <c r="Z174">
        <v>3.8216568451090629E-2</v>
      </c>
      <c r="AA174">
        <v>3.8216568451090629E-2</v>
      </c>
      <c r="AB174">
        <v>3.8216568451090629E-2</v>
      </c>
      <c r="AC174">
        <v>3.8216568451090629E-2</v>
      </c>
      <c r="AD174">
        <v>3.8216568451090629E-2</v>
      </c>
      <c r="AE174">
        <v>3.8216568451090629E-2</v>
      </c>
      <c r="AF174">
        <v>3.8216568451090629E-2</v>
      </c>
      <c r="AG174">
        <v>3.8216568451090629E-2</v>
      </c>
      <c r="AH174">
        <v>3.8216568451090629E-2</v>
      </c>
      <c r="AI174">
        <v>3.8216568451090629E-2</v>
      </c>
      <c r="AJ174">
        <v>3.8216568451090629E-2</v>
      </c>
      <c r="AK174">
        <v>3.8216568451090629E-2</v>
      </c>
    </row>
    <row r="175" spans="1:37">
      <c r="A175" t="s">
        <v>646</v>
      </c>
      <c r="B175">
        <v>0</v>
      </c>
      <c r="C175">
        <v>4.9437324562203164E-2</v>
      </c>
      <c r="D175">
        <v>4.9437324562203164E-2</v>
      </c>
      <c r="E175">
        <v>4.9437324562203164E-2</v>
      </c>
      <c r="F175">
        <v>4.9437324562203164E-2</v>
      </c>
      <c r="G175">
        <v>4.9437324562203164E-2</v>
      </c>
      <c r="H175">
        <v>4.9437324562203164E-2</v>
      </c>
      <c r="I175">
        <v>4.9437324562203164E-2</v>
      </c>
      <c r="J175">
        <v>4.9437324562203164E-2</v>
      </c>
      <c r="K175">
        <v>4.9437324562203164E-2</v>
      </c>
      <c r="L175">
        <v>4.9437324562203164E-2</v>
      </c>
      <c r="M175">
        <v>4.9437324562203164E-2</v>
      </c>
      <c r="N175">
        <v>4.9437324562203164E-2</v>
      </c>
      <c r="O175">
        <v>4.9437324562203164E-2</v>
      </c>
      <c r="P175">
        <v>4.9437324562203164E-2</v>
      </c>
      <c r="Q175">
        <v>4.9437324562203164E-2</v>
      </c>
      <c r="R175">
        <v>4.9437324562203164E-2</v>
      </c>
      <c r="S175">
        <v>4.9437324562203164E-2</v>
      </c>
      <c r="T175">
        <v>4.9437324562203164E-2</v>
      </c>
      <c r="U175">
        <v>4.9437324562203164E-2</v>
      </c>
      <c r="V175">
        <v>4.9437324562203164E-2</v>
      </c>
      <c r="W175">
        <v>4.9437324562203164E-2</v>
      </c>
      <c r="X175">
        <v>4.9437324562203164E-2</v>
      </c>
      <c r="Y175">
        <v>4.9437324562203164E-2</v>
      </c>
      <c r="Z175">
        <v>4.9437324562203164E-2</v>
      </c>
      <c r="AA175">
        <v>4.9437324562203164E-2</v>
      </c>
      <c r="AB175">
        <v>4.9437324562203164E-2</v>
      </c>
      <c r="AC175">
        <v>4.9437324562203164E-2</v>
      </c>
      <c r="AD175">
        <v>4.9437324562203164E-2</v>
      </c>
      <c r="AE175">
        <v>4.9437324562203164E-2</v>
      </c>
      <c r="AF175">
        <v>4.9437324562203164E-2</v>
      </c>
      <c r="AG175">
        <v>4.9437324562203164E-2</v>
      </c>
      <c r="AH175">
        <v>4.9437324562203164E-2</v>
      </c>
      <c r="AI175">
        <v>4.9437324562203164E-2</v>
      </c>
      <c r="AJ175">
        <v>4.9437324562203164E-2</v>
      </c>
      <c r="AK175">
        <v>4.9437324562203164E-2</v>
      </c>
    </row>
    <row r="176" spans="1:37">
      <c r="A176" t="s">
        <v>648</v>
      </c>
      <c r="B176">
        <v>0</v>
      </c>
      <c r="C176">
        <v>2.2125473949481618E-2</v>
      </c>
      <c r="D176">
        <v>2.2125473949481618E-2</v>
      </c>
      <c r="E176">
        <v>2.2125473949481618E-2</v>
      </c>
      <c r="F176">
        <v>2.2125473949481618E-2</v>
      </c>
      <c r="G176">
        <v>2.2125473949481618E-2</v>
      </c>
      <c r="H176">
        <v>2.2125473949481618E-2</v>
      </c>
      <c r="I176">
        <v>2.2125473949481618E-2</v>
      </c>
      <c r="J176">
        <v>2.2125473949481618E-2</v>
      </c>
      <c r="K176">
        <v>2.2125473949481618E-2</v>
      </c>
      <c r="L176">
        <v>2.2125473949481618E-2</v>
      </c>
      <c r="M176">
        <v>2.2125473949481618E-2</v>
      </c>
      <c r="N176">
        <v>2.2125473949481618E-2</v>
      </c>
      <c r="O176">
        <v>2.2125473949481618E-2</v>
      </c>
      <c r="P176">
        <v>2.2125473949481618E-2</v>
      </c>
      <c r="Q176">
        <v>2.2125473949481618E-2</v>
      </c>
      <c r="R176">
        <v>2.2125473949481618E-2</v>
      </c>
      <c r="S176">
        <v>2.2125473949481618E-2</v>
      </c>
      <c r="T176">
        <v>2.2125473949481618E-2</v>
      </c>
      <c r="U176">
        <v>2.2125473949481618E-2</v>
      </c>
      <c r="V176">
        <v>2.2125473949481618E-2</v>
      </c>
      <c r="W176">
        <v>2.2125473949481618E-2</v>
      </c>
      <c r="X176">
        <v>2.2125473949481618E-2</v>
      </c>
      <c r="Y176">
        <v>2.2125473949481618E-2</v>
      </c>
      <c r="Z176">
        <v>2.2125473949481618E-2</v>
      </c>
      <c r="AA176">
        <v>2.2125473949481618E-2</v>
      </c>
      <c r="AB176">
        <v>2.2125473949481618E-2</v>
      </c>
      <c r="AC176">
        <v>2.2125473949481618E-2</v>
      </c>
      <c r="AD176">
        <v>2.2125473949481618E-2</v>
      </c>
      <c r="AE176">
        <v>2.2125473949481618E-2</v>
      </c>
      <c r="AF176">
        <v>2.2125473949481618E-2</v>
      </c>
      <c r="AG176">
        <v>2.2125473949481618E-2</v>
      </c>
      <c r="AH176">
        <v>2.2125473949481618E-2</v>
      </c>
      <c r="AI176">
        <v>2.2125473949481618E-2</v>
      </c>
      <c r="AJ176">
        <v>2.2125473949481618E-2</v>
      </c>
      <c r="AK176">
        <v>2.2125473949481618E-2</v>
      </c>
    </row>
    <row r="177" spans="1:37">
      <c r="A177" t="s">
        <v>649</v>
      </c>
      <c r="B177">
        <v>0</v>
      </c>
      <c r="C177">
        <v>3.401012418392995E-2</v>
      </c>
      <c r="D177">
        <v>3.401012418392995E-2</v>
      </c>
      <c r="E177">
        <v>3.401012418392995E-2</v>
      </c>
      <c r="F177">
        <v>3.401012418392995E-2</v>
      </c>
      <c r="G177">
        <v>3.401012418392995E-2</v>
      </c>
      <c r="H177">
        <v>3.401012418392995E-2</v>
      </c>
      <c r="I177">
        <v>3.401012418392995E-2</v>
      </c>
      <c r="J177">
        <v>3.401012418392995E-2</v>
      </c>
      <c r="K177">
        <v>3.401012418392995E-2</v>
      </c>
      <c r="L177">
        <v>3.401012418392995E-2</v>
      </c>
      <c r="M177">
        <v>3.401012418392995E-2</v>
      </c>
      <c r="N177">
        <v>3.401012418392995E-2</v>
      </c>
      <c r="O177">
        <v>3.401012418392995E-2</v>
      </c>
      <c r="P177">
        <v>3.401012418392995E-2</v>
      </c>
      <c r="Q177">
        <v>3.401012418392995E-2</v>
      </c>
      <c r="R177">
        <v>3.401012418392995E-2</v>
      </c>
      <c r="S177">
        <v>3.401012418392995E-2</v>
      </c>
      <c r="T177">
        <v>3.401012418392995E-2</v>
      </c>
      <c r="U177">
        <v>3.401012418392995E-2</v>
      </c>
      <c r="V177">
        <v>3.401012418392995E-2</v>
      </c>
      <c r="W177">
        <v>3.401012418392995E-2</v>
      </c>
      <c r="X177">
        <v>3.401012418392995E-2</v>
      </c>
      <c r="Y177">
        <v>3.401012418392995E-2</v>
      </c>
      <c r="Z177">
        <v>3.401012418392995E-2</v>
      </c>
      <c r="AA177">
        <v>3.401012418392995E-2</v>
      </c>
      <c r="AB177">
        <v>3.401012418392995E-2</v>
      </c>
      <c r="AC177">
        <v>3.401012418392995E-2</v>
      </c>
      <c r="AD177">
        <v>3.401012418392995E-2</v>
      </c>
      <c r="AE177">
        <v>3.401012418392995E-2</v>
      </c>
      <c r="AF177">
        <v>3.401012418392995E-2</v>
      </c>
      <c r="AG177">
        <v>3.401012418392995E-2</v>
      </c>
      <c r="AH177">
        <v>3.401012418392995E-2</v>
      </c>
      <c r="AI177">
        <v>3.401012418392995E-2</v>
      </c>
      <c r="AJ177">
        <v>3.401012418392995E-2</v>
      </c>
      <c r="AK177">
        <v>3.401012418392995E-2</v>
      </c>
    </row>
    <row r="178" spans="1:37">
      <c r="A178" t="s">
        <v>650</v>
      </c>
      <c r="B178">
        <v>0</v>
      </c>
      <c r="C178">
        <v>1.3943337483511689E-2</v>
      </c>
      <c r="D178">
        <v>1.3943337483511689E-2</v>
      </c>
      <c r="E178">
        <v>1.3943337483511689E-2</v>
      </c>
      <c r="F178">
        <v>1.3943337483511689E-2</v>
      </c>
      <c r="G178">
        <v>1.3943337483511689E-2</v>
      </c>
      <c r="H178">
        <v>1.3943337483511689E-2</v>
      </c>
      <c r="I178">
        <v>1.3943337483511689E-2</v>
      </c>
      <c r="J178">
        <v>1.3943337483511689E-2</v>
      </c>
      <c r="K178">
        <v>1.3943337483511689E-2</v>
      </c>
      <c r="L178">
        <v>1.3943337483511689E-2</v>
      </c>
      <c r="M178">
        <v>1.3943337483511689E-2</v>
      </c>
      <c r="N178">
        <v>1.3943337483511689E-2</v>
      </c>
      <c r="O178">
        <v>1.3943337483511689E-2</v>
      </c>
      <c r="P178">
        <v>1.3943337483511689E-2</v>
      </c>
      <c r="Q178">
        <v>1.3943337483511689E-2</v>
      </c>
      <c r="R178">
        <v>1.3943337483511689E-2</v>
      </c>
      <c r="S178">
        <v>1.3943337483511689E-2</v>
      </c>
      <c r="T178">
        <v>1.3943337483511689E-2</v>
      </c>
      <c r="U178">
        <v>1.3943337483511689E-2</v>
      </c>
      <c r="V178">
        <v>1.3943337483511689E-2</v>
      </c>
      <c r="W178">
        <v>1.3943337483511689E-2</v>
      </c>
      <c r="X178">
        <v>1.3943337483511689E-2</v>
      </c>
      <c r="Y178">
        <v>1.3943337483511689E-2</v>
      </c>
      <c r="Z178">
        <v>1.3943337483511689E-2</v>
      </c>
      <c r="AA178">
        <v>1.3943337483511689E-2</v>
      </c>
      <c r="AB178">
        <v>1.3943337483511689E-2</v>
      </c>
      <c r="AC178">
        <v>1.3943337483511689E-2</v>
      </c>
      <c r="AD178">
        <v>1.3943337483511689E-2</v>
      </c>
      <c r="AE178">
        <v>1.3943337483511689E-2</v>
      </c>
      <c r="AF178">
        <v>1.3943337483511689E-2</v>
      </c>
      <c r="AG178">
        <v>1.3943337483511689E-2</v>
      </c>
      <c r="AH178">
        <v>1.3943337483511689E-2</v>
      </c>
      <c r="AI178">
        <v>1.3943337483511689E-2</v>
      </c>
      <c r="AJ178">
        <v>1.3943337483511689E-2</v>
      </c>
      <c r="AK178">
        <v>1.3943337483511689E-2</v>
      </c>
    </row>
    <row r="179" spans="1:37">
      <c r="A179" t="s">
        <v>651</v>
      </c>
      <c r="B179">
        <v>0</v>
      </c>
      <c r="C179">
        <v>1.0426455347829664E-2</v>
      </c>
      <c r="D179">
        <v>1.0426455347829664E-2</v>
      </c>
      <c r="E179">
        <v>1.0426455347829664E-2</v>
      </c>
      <c r="F179">
        <v>1.0426455347829664E-2</v>
      </c>
      <c r="G179">
        <v>1.0426455347829664E-2</v>
      </c>
      <c r="H179">
        <v>1.0426455347829664E-2</v>
      </c>
      <c r="I179">
        <v>1.0426455347829664E-2</v>
      </c>
      <c r="J179">
        <v>1.0426455347829664E-2</v>
      </c>
      <c r="K179">
        <v>1.0426455347829664E-2</v>
      </c>
      <c r="L179">
        <v>1.0426455347829664E-2</v>
      </c>
      <c r="M179">
        <v>1.0426455347829664E-2</v>
      </c>
      <c r="N179">
        <v>1.0426455347829664E-2</v>
      </c>
      <c r="O179">
        <v>1.0426455347829664E-2</v>
      </c>
      <c r="P179">
        <v>1.0426455347829664E-2</v>
      </c>
      <c r="Q179">
        <v>1.0426455347829664E-2</v>
      </c>
      <c r="R179">
        <v>1.0426455347829664E-2</v>
      </c>
      <c r="S179">
        <v>1.0426455347829664E-2</v>
      </c>
      <c r="T179">
        <v>1.0426455347829664E-2</v>
      </c>
      <c r="U179">
        <v>1.0426455347829664E-2</v>
      </c>
      <c r="V179">
        <v>1.0426455347829664E-2</v>
      </c>
      <c r="W179">
        <v>1.0426455347829664E-2</v>
      </c>
      <c r="X179">
        <v>1.0426455347829664E-2</v>
      </c>
      <c r="Y179">
        <v>1.0426455347829664E-2</v>
      </c>
      <c r="Z179">
        <v>1.0426455347829664E-2</v>
      </c>
      <c r="AA179">
        <v>1.0426455347829664E-2</v>
      </c>
      <c r="AB179">
        <v>1.0426455347829664E-2</v>
      </c>
      <c r="AC179">
        <v>1.0426455347829664E-2</v>
      </c>
      <c r="AD179">
        <v>1.0426455347829664E-2</v>
      </c>
      <c r="AE179">
        <v>1.0426455347829664E-2</v>
      </c>
      <c r="AF179">
        <v>1.0426455347829664E-2</v>
      </c>
      <c r="AG179">
        <v>1.0426455347829664E-2</v>
      </c>
      <c r="AH179">
        <v>1.0426455347829664E-2</v>
      </c>
      <c r="AI179">
        <v>1.0426455347829664E-2</v>
      </c>
      <c r="AJ179">
        <v>1.0426455347829664E-2</v>
      </c>
      <c r="AK179">
        <v>1.0426455347829664E-2</v>
      </c>
    </row>
    <row r="180" spans="1:37">
      <c r="A180" t="s">
        <v>652</v>
      </c>
      <c r="B180">
        <v>0</v>
      </c>
      <c r="C180">
        <v>2.7142088271239626E-2</v>
      </c>
      <c r="D180">
        <v>2.7142088271239626E-2</v>
      </c>
      <c r="E180">
        <v>2.7142088271239626E-2</v>
      </c>
      <c r="F180">
        <v>2.7142088271239626E-2</v>
      </c>
      <c r="G180">
        <v>2.7142088271239626E-2</v>
      </c>
      <c r="H180">
        <v>2.7142088271239626E-2</v>
      </c>
      <c r="I180">
        <v>2.7142088271239626E-2</v>
      </c>
      <c r="J180">
        <v>2.7142088271239626E-2</v>
      </c>
      <c r="K180">
        <v>2.7142088271239626E-2</v>
      </c>
      <c r="L180">
        <v>2.7142088271239626E-2</v>
      </c>
      <c r="M180">
        <v>2.7142088271239626E-2</v>
      </c>
      <c r="N180">
        <v>2.7142088271239626E-2</v>
      </c>
      <c r="O180">
        <v>2.7142088271239626E-2</v>
      </c>
      <c r="P180">
        <v>2.7142088271239626E-2</v>
      </c>
      <c r="Q180">
        <v>2.7142088271239626E-2</v>
      </c>
      <c r="R180">
        <v>2.7142088271239626E-2</v>
      </c>
      <c r="S180">
        <v>2.7142088271239626E-2</v>
      </c>
      <c r="T180">
        <v>2.7142088271239626E-2</v>
      </c>
      <c r="U180">
        <v>2.7142088271239626E-2</v>
      </c>
      <c r="V180">
        <v>2.7142088271239626E-2</v>
      </c>
      <c r="W180">
        <v>2.7142088271239626E-2</v>
      </c>
      <c r="X180">
        <v>2.7142088271239626E-2</v>
      </c>
      <c r="Y180">
        <v>2.7142088271239626E-2</v>
      </c>
      <c r="Z180">
        <v>2.7142088271239626E-2</v>
      </c>
      <c r="AA180">
        <v>2.7142088271239626E-2</v>
      </c>
      <c r="AB180">
        <v>2.7142088271239626E-2</v>
      </c>
      <c r="AC180">
        <v>2.7142088271239626E-2</v>
      </c>
      <c r="AD180">
        <v>2.7142088271239626E-2</v>
      </c>
      <c r="AE180">
        <v>2.7142088271239626E-2</v>
      </c>
      <c r="AF180">
        <v>2.7142088271239626E-2</v>
      </c>
      <c r="AG180">
        <v>2.7142088271239626E-2</v>
      </c>
      <c r="AH180">
        <v>2.7142088271239626E-2</v>
      </c>
      <c r="AI180">
        <v>2.7142088271239626E-2</v>
      </c>
      <c r="AJ180">
        <v>2.7142088271239626E-2</v>
      </c>
      <c r="AK180">
        <v>2.7142088271239626E-2</v>
      </c>
    </row>
    <row r="181" spans="1:37">
      <c r="A181" t="s">
        <v>653</v>
      </c>
      <c r="B181">
        <v>0</v>
      </c>
      <c r="C181">
        <v>2.0113475597990108E-2</v>
      </c>
      <c r="D181">
        <v>2.0113475597990108E-2</v>
      </c>
      <c r="E181">
        <v>2.0113475597990108E-2</v>
      </c>
      <c r="F181">
        <v>2.0113475597990108E-2</v>
      </c>
      <c r="G181">
        <v>2.0113475597990108E-2</v>
      </c>
      <c r="H181">
        <v>2.0113475597990108E-2</v>
      </c>
      <c r="I181">
        <v>2.0113475597990108E-2</v>
      </c>
      <c r="J181">
        <v>2.0113475597990108E-2</v>
      </c>
      <c r="K181">
        <v>2.0113475597990108E-2</v>
      </c>
      <c r="L181">
        <v>2.0113475597990108E-2</v>
      </c>
      <c r="M181">
        <v>2.0113475597990108E-2</v>
      </c>
      <c r="N181">
        <v>2.0113475597990108E-2</v>
      </c>
      <c r="O181">
        <v>2.0113475597990108E-2</v>
      </c>
      <c r="P181">
        <v>2.0113475597990108E-2</v>
      </c>
      <c r="Q181">
        <v>2.0113475597990108E-2</v>
      </c>
      <c r="R181">
        <v>2.0113475597990108E-2</v>
      </c>
      <c r="S181">
        <v>2.0113475597990108E-2</v>
      </c>
      <c r="T181">
        <v>2.0113475597990108E-2</v>
      </c>
      <c r="U181">
        <v>2.0113475597990108E-2</v>
      </c>
      <c r="V181">
        <v>2.0113475597990108E-2</v>
      </c>
      <c r="W181">
        <v>2.0113475597990108E-2</v>
      </c>
      <c r="X181">
        <v>2.0113475597990108E-2</v>
      </c>
      <c r="Y181">
        <v>2.0113475597990108E-2</v>
      </c>
      <c r="Z181">
        <v>2.0113475597990108E-2</v>
      </c>
      <c r="AA181">
        <v>2.0113475597990108E-2</v>
      </c>
      <c r="AB181">
        <v>2.0113475597990108E-2</v>
      </c>
      <c r="AC181">
        <v>2.0113475597990108E-2</v>
      </c>
      <c r="AD181">
        <v>2.0113475597990108E-2</v>
      </c>
      <c r="AE181">
        <v>2.0113475597990108E-2</v>
      </c>
      <c r="AF181">
        <v>2.0113475597990108E-2</v>
      </c>
      <c r="AG181">
        <v>2.0113475597990108E-2</v>
      </c>
      <c r="AH181">
        <v>2.0113475597990108E-2</v>
      </c>
      <c r="AI181">
        <v>2.0113475597990108E-2</v>
      </c>
      <c r="AJ181">
        <v>2.0113475597990108E-2</v>
      </c>
      <c r="AK181">
        <v>2.0113475597990108E-2</v>
      </c>
    </row>
    <row r="182" spans="1:37">
      <c r="A182" t="s">
        <v>654</v>
      </c>
      <c r="B182">
        <v>0</v>
      </c>
      <c r="C182">
        <v>1.6675921839514989E-2</v>
      </c>
      <c r="D182">
        <v>1.6675921839514989E-2</v>
      </c>
      <c r="E182">
        <v>1.6675921839514989E-2</v>
      </c>
      <c r="F182">
        <v>1.6675921839514989E-2</v>
      </c>
      <c r="G182">
        <v>1.6675921839514989E-2</v>
      </c>
      <c r="H182">
        <v>1.6675921839514989E-2</v>
      </c>
      <c r="I182">
        <v>1.6675921839514989E-2</v>
      </c>
      <c r="J182">
        <v>1.6675921839514989E-2</v>
      </c>
      <c r="K182">
        <v>1.6675921839514989E-2</v>
      </c>
      <c r="L182">
        <v>1.6675921839514989E-2</v>
      </c>
      <c r="M182">
        <v>1.6675921839514989E-2</v>
      </c>
      <c r="N182">
        <v>1.6675921839514989E-2</v>
      </c>
      <c r="O182">
        <v>1.6675921839514989E-2</v>
      </c>
      <c r="P182">
        <v>1.6675921839514989E-2</v>
      </c>
      <c r="Q182">
        <v>1.6675921839514989E-2</v>
      </c>
      <c r="R182">
        <v>1.6675921839514989E-2</v>
      </c>
      <c r="S182">
        <v>1.6675921839514989E-2</v>
      </c>
      <c r="T182">
        <v>1.6675921839514989E-2</v>
      </c>
      <c r="U182">
        <v>1.6675921839514989E-2</v>
      </c>
      <c r="V182">
        <v>1.6675921839514989E-2</v>
      </c>
      <c r="W182">
        <v>1.6675921839514989E-2</v>
      </c>
      <c r="X182">
        <v>1.6675921839514989E-2</v>
      </c>
      <c r="Y182">
        <v>1.6675921839514989E-2</v>
      </c>
      <c r="Z182">
        <v>1.6675921839514989E-2</v>
      </c>
      <c r="AA182">
        <v>1.6675921839514989E-2</v>
      </c>
      <c r="AB182">
        <v>1.6675921839514989E-2</v>
      </c>
      <c r="AC182">
        <v>1.6675921839514989E-2</v>
      </c>
      <c r="AD182">
        <v>1.6675921839514989E-2</v>
      </c>
      <c r="AE182">
        <v>1.6675921839514989E-2</v>
      </c>
      <c r="AF182">
        <v>1.6675921839514989E-2</v>
      </c>
      <c r="AG182">
        <v>1.6675921839514989E-2</v>
      </c>
      <c r="AH182">
        <v>1.6675921839514989E-2</v>
      </c>
      <c r="AI182">
        <v>1.6675921839514989E-2</v>
      </c>
      <c r="AJ182">
        <v>1.6675921839514989E-2</v>
      </c>
      <c r="AK182">
        <v>1.6675921839514989E-2</v>
      </c>
    </row>
    <row r="183" spans="1:37">
      <c r="A183" t="s">
        <v>655</v>
      </c>
      <c r="B183">
        <v>0</v>
      </c>
      <c r="C183">
        <v>4.3246127718905659E-2</v>
      </c>
      <c r="D183">
        <v>4.3246127718905659E-2</v>
      </c>
      <c r="E183">
        <v>4.3246127718905659E-2</v>
      </c>
      <c r="F183">
        <v>4.3246127718905659E-2</v>
      </c>
      <c r="G183">
        <v>4.3246127718905659E-2</v>
      </c>
      <c r="H183">
        <v>4.3246127718905659E-2</v>
      </c>
      <c r="I183">
        <v>4.3246127718905659E-2</v>
      </c>
      <c r="J183">
        <v>4.3246127718905659E-2</v>
      </c>
      <c r="K183">
        <v>4.3246127718905659E-2</v>
      </c>
      <c r="L183">
        <v>4.3246127718905659E-2</v>
      </c>
      <c r="M183">
        <v>4.3246127718905659E-2</v>
      </c>
      <c r="N183">
        <v>4.3246127718905659E-2</v>
      </c>
      <c r="O183">
        <v>4.3246127718905659E-2</v>
      </c>
      <c r="P183">
        <v>4.3246127718905659E-2</v>
      </c>
      <c r="Q183">
        <v>4.3246127718905659E-2</v>
      </c>
      <c r="R183">
        <v>4.3246127718905659E-2</v>
      </c>
      <c r="S183">
        <v>4.3246127718905659E-2</v>
      </c>
      <c r="T183">
        <v>4.3246127718905659E-2</v>
      </c>
      <c r="U183">
        <v>4.3246127718905659E-2</v>
      </c>
      <c r="V183">
        <v>4.3246127718905659E-2</v>
      </c>
      <c r="W183">
        <v>4.3246127718905659E-2</v>
      </c>
      <c r="X183">
        <v>4.3246127718905659E-2</v>
      </c>
      <c r="Y183">
        <v>4.3246127718905659E-2</v>
      </c>
      <c r="Z183">
        <v>4.3246127718905659E-2</v>
      </c>
      <c r="AA183">
        <v>4.3246127718905659E-2</v>
      </c>
      <c r="AB183">
        <v>4.3246127718905659E-2</v>
      </c>
      <c r="AC183">
        <v>4.3246127718905659E-2</v>
      </c>
      <c r="AD183">
        <v>4.3246127718905659E-2</v>
      </c>
      <c r="AE183">
        <v>4.3246127718905659E-2</v>
      </c>
      <c r="AF183">
        <v>4.3246127718905659E-2</v>
      </c>
      <c r="AG183">
        <v>4.3246127718905659E-2</v>
      </c>
      <c r="AH183">
        <v>4.3246127718905659E-2</v>
      </c>
      <c r="AI183">
        <v>4.3246127718905659E-2</v>
      </c>
      <c r="AJ183">
        <v>4.3246127718905659E-2</v>
      </c>
      <c r="AK183">
        <v>4.3246127718905659E-2</v>
      </c>
    </row>
    <row r="184" spans="1:37">
      <c r="A184" t="s">
        <v>656</v>
      </c>
      <c r="B184">
        <v>0</v>
      </c>
      <c r="C184">
        <v>1.332638179860118E-2</v>
      </c>
      <c r="D184">
        <v>1.332638179860118E-2</v>
      </c>
      <c r="E184">
        <v>1.332638179860118E-2</v>
      </c>
      <c r="F184">
        <v>1.332638179860118E-2</v>
      </c>
      <c r="G184">
        <v>1.332638179860118E-2</v>
      </c>
      <c r="H184">
        <v>1.332638179860118E-2</v>
      </c>
      <c r="I184">
        <v>1.332638179860118E-2</v>
      </c>
      <c r="J184">
        <v>1.332638179860118E-2</v>
      </c>
      <c r="K184">
        <v>1.332638179860118E-2</v>
      </c>
      <c r="L184">
        <v>1.332638179860118E-2</v>
      </c>
      <c r="M184">
        <v>1.332638179860118E-2</v>
      </c>
      <c r="N184">
        <v>1.332638179860118E-2</v>
      </c>
      <c r="O184">
        <v>1.332638179860118E-2</v>
      </c>
      <c r="P184">
        <v>1.332638179860118E-2</v>
      </c>
      <c r="Q184">
        <v>1.332638179860118E-2</v>
      </c>
      <c r="R184">
        <v>1.332638179860118E-2</v>
      </c>
      <c r="S184">
        <v>1.332638179860118E-2</v>
      </c>
      <c r="T184">
        <v>1.332638179860118E-2</v>
      </c>
      <c r="U184">
        <v>1.332638179860118E-2</v>
      </c>
      <c r="V184">
        <v>1.332638179860118E-2</v>
      </c>
      <c r="W184">
        <v>1.332638179860118E-2</v>
      </c>
      <c r="X184">
        <v>1.332638179860118E-2</v>
      </c>
      <c r="Y184">
        <v>1.332638179860118E-2</v>
      </c>
      <c r="Z184">
        <v>1.332638179860118E-2</v>
      </c>
      <c r="AA184">
        <v>1.332638179860118E-2</v>
      </c>
      <c r="AB184">
        <v>1.332638179860118E-2</v>
      </c>
      <c r="AC184">
        <v>1.332638179860118E-2</v>
      </c>
      <c r="AD184">
        <v>1.332638179860118E-2</v>
      </c>
      <c r="AE184">
        <v>1.332638179860118E-2</v>
      </c>
      <c r="AF184">
        <v>1.332638179860118E-2</v>
      </c>
      <c r="AG184">
        <v>1.332638179860118E-2</v>
      </c>
      <c r="AH184">
        <v>1.332638179860118E-2</v>
      </c>
      <c r="AI184">
        <v>1.332638179860118E-2</v>
      </c>
      <c r="AJ184">
        <v>1.332638179860118E-2</v>
      </c>
      <c r="AK184">
        <v>1.332638179860118E-2</v>
      </c>
    </row>
    <row r="185" spans="1:37">
      <c r="A185" t="s">
        <v>657</v>
      </c>
      <c r="B185">
        <v>0</v>
      </c>
      <c r="C185">
        <v>5.1396453009471189E-2</v>
      </c>
      <c r="D185">
        <v>5.1396453009471189E-2</v>
      </c>
      <c r="E185">
        <v>5.1396453009471189E-2</v>
      </c>
      <c r="F185">
        <v>5.1396453009471189E-2</v>
      </c>
      <c r="G185">
        <v>5.1396453009471189E-2</v>
      </c>
      <c r="H185">
        <v>5.1396453009471189E-2</v>
      </c>
      <c r="I185">
        <v>5.1396453009471189E-2</v>
      </c>
      <c r="J185">
        <v>5.1396453009471189E-2</v>
      </c>
      <c r="K185">
        <v>5.1396453009471189E-2</v>
      </c>
      <c r="L185">
        <v>5.1396453009471189E-2</v>
      </c>
      <c r="M185">
        <v>5.1396453009471189E-2</v>
      </c>
      <c r="N185">
        <v>5.1396453009471189E-2</v>
      </c>
      <c r="O185">
        <v>5.1396453009471189E-2</v>
      </c>
      <c r="P185">
        <v>5.1396453009471189E-2</v>
      </c>
      <c r="Q185">
        <v>5.1396453009471189E-2</v>
      </c>
      <c r="R185">
        <v>5.1396453009471189E-2</v>
      </c>
      <c r="S185">
        <v>5.1396453009471189E-2</v>
      </c>
      <c r="T185">
        <v>5.1396453009471189E-2</v>
      </c>
      <c r="U185">
        <v>5.1396453009471189E-2</v>
      </c>
      <c r="V185">
        <v>5.1396453009471189E-2</v>
      </c>
      <c r="W185">
        <v>5.1396453009471189E-2</v>
      </c>
      <c r="X185">
        <v>5.1396453009471189E-2</v>
      </c>
      <c r="Y185">
        <v>5.1396453009471189E-2</v>
      </c>
      <c r="Z185">
        <v>5.1396453009471189E-2</v>
      </c>
      <c r="AA185">
        <v>5.1396453009471189E-2</v>
      </c>
      <c r="AB185">
        <v>5.1396453009471189E-2</v>
      </c>
      <c r="AC185">
        <v>5.1396453009471189E-2</v>
      </c>
      <c r="AD185">
        <v>5.1396453009471189E-2</v>
      </c>
      <c r="AE185">
        <v>5.1396453009471189E-2</v>
      </c>
      <c r="AF185">
        <v>5.1396453009471189E-2</v>
      </c>
      <c r="AG185">
        <v>5.1396453009471189E-2</v>
      </c>
      <c r="AH185">
        <v>5.1396453009471189E-2</v>
      </c>
      <c r="AI185">
        <v>5.1396453009471189E-2</v>
      </c>
      <c r="AJ185">
        <v>5.1396453009471189E-2</v>
      </c>
      <c r="AK185">
        <v>5.1396453009471189E-2</v>
      </c>
    </row>
    <row r="186" spans="1:37">
      <c r="A186" t="s">
        <v>658</v>
      </c>
      <c r="B186">
        <v>0</v>
      </c>
      <c r="C186">
        <v>8.4178413471475439E-3</v>
      </c>
      <c r="D186">
        <v>8.4178413471475439E-3</v>
      </c>
      <c r="E186">
        <v>8.4178413471475439E-3</v>
      </c>
      <c r="F186">
        <v>8.4178413471475439E-3</v>
      </c>
      <c r="G186">
        <v>8.4178413471475439E-3</v>
      </c>
      <c r="H186">
        <v>8.4178413471475439E-3</v>
      </c>
      <c r="I186">
        <v>8.4178413471475439E-3</v>
      </c>
      <c r="J186">
        <v>8.4178413471475439E-3</v>
      </c>
      <c r="K186">
        <v>8.4178413471475439E-3</v>
      </c>
      <c r="L186">
        <v>8.4178413471475439E-3</v>
      </c>
      <c r="M186">
        <v>8.4178413471475439E-3</v>
      </c>
      <c r="N186">
        <v>8.4178413471475439E-3</v>
      </c>
      <c r="O186">
        <v>8.4178413471475439E-3</v>
      </c>
      <c r="P186">
        <v>8.4178413471475439E-3</v>
      </c>
      <c r="Q186">
        <v>8.4178413471475439E-3</v>
      </c>
      <c r="R186">
        <v>8.4178413471475439E-3</v>
      </c>
      <c r="S186">
        <v>8.4178413471475439E-3</v>
      </c>
      <c r="T186">
        <v>8.4178413471475439E-3</v>
      </c>
      <c r="U186">
        <v>8.4178413471475439E-3</v>
      </c>
      <c r="V186">
        <v>8.4178413471475439E-3</v>
      </c>
      <c r="W186">
        <v>8.4178413471475439E-3</v>
      </c>
      <c r="X186">
        <v>8.4178413471475439E-3</v>
      </c>
      <c r="Y186">
        <v>8.4178413471475439E-3</v>
      </c>
      <c r="Z186">
        <v>8.4178413471475439E-3</v>
      </c>
      <c r="AA186">
        <v>8.4178413471475439E-3</v>
      </c>
      <c r="AB186">
        <v>8.4178413471475439E-3</v>
      </c>
      <c r="AC186">
        <v>8.4178413471475439E-3</v>
      </c>
      <c r="AD186">
        <v>8.4178413471475439E-3</v>
      </c>
      <c r="AE186">
        <v>8.4178413471475439E-3</v>
      </c>
      <c r="AF186">
        <v>8.4178413471475439E-3</v>
      </c>
      <c r="AG186">
        <v>8.4178413471475439E-3</v>
      </c>
      <c r="AH186">
        <v>8.4178413471475439E-3</v>
      </c>
      <c r="AI186">
        <v>8.4178413471475439E-3</v>
      </c>
      <c r="AJ186">
        <v>8.4178413471475439E-3</v>
      </c>
      <c r="AK186">
        <v>8.4178413471475439E-3</v>
      </c>
    </row>
    <row r="187" spans="1:37">
      <c r="A187" t="s">
        <v>659</v>
      </c>
      <c r="B187">
        <v>0</v>
      </c>
      <c r="C187">
        <v>2.5336672886931699E-2</v>
      </c>
      <c r="D187">
        <v>2.5336672886931699E-2</v>
      </c>
      <c r="E187">
        <v>2.5336672886931699E-2</v>
      </c>
      <c r="F187">
        <v>2.5336672886931699E-2</v>
      </c>
      <c r="G187">
        <v>2.5336672886931699E-2</v>
      </c>
      <c r="H187">
        <v>2.5336672886931699E-2</v>
      </c>
      <c r="I187">
        <v>2.5336672886931699E-2</v>
      </c>
      <c r="J187">
        <v>2.5336672886931699E-2</v>
      </c>
      <c r="K187">
        <v>2.5336672886931699E-2</v>
      </c>
      <c r="L187">
        <v>2.5336672886931699E-2</v>
      </c>
      <c r="M187">
        <v>2.5336672886931699E-2</v>
      </c>
      <c r="N187">
        <v>2.5336672886931699E-2</v>
      </c>
      <c r="O187">
        <v>2.5336672886931699E-2</v>
      </c>
      <c r="P187">
        <v>2.5336672886931699E-2</v>
      </c>
      <c r="Q187">
        <v>2.5336672886931699E-2</v>
      </c>
      <c r="R187">
        <v>2.5336672886931699E-2</v>
      </c>
      <c r="S187">
        <v>2.5336672886931699E-2</v>
      </c>
      <c r="T187">
        <v>2.5336672886931699E-2</v>
      </c>
      <c r="U187">
        <v>2.5336672886931699E-2</v>
      </c>
      <c r="V187">
        <v>2.5336672886931699E-2</v>
      </c>
      <c r="W187">
        <v>2.5336672886931699E-2</v>
      </c>
      <c r="X187">
        <v>2.5336672886931699E-2</v>
      </c>
      <c r="Y187">
        <v>2.5336672886931699E-2</v>
      </c>
      <c r="Z187">
        <v>2.5336672886931699E-2</v>
      </c>
      <c r="AA187">
        <v>2.5336672886931699E-2</v>
      </c>
      <c r="AB187">
        <v>2.5336672886931699E-2</v>
      </c>
      <c r="AC187">
        <v>2.5336672886931699E-2</v>
      </c>
      <c r="AD187">
        <v>2.5336672886931699E-2</v>
      </c>
      <c r="AE187">
        <v>2.5336672886931699E-2</v>
      </c>
      <c r="AF187">
        <v>2.5336672886931699E-2</v>
      </c>
      <c r="AG187">
        <v>2.5336672886931699E-2</v>
      </c>
      <c r="AH187">
        <v>2.5336672886931699E-2</v>
      </c>
      <c r="AI187">
        <v>2.5336672886931699E-2</v>
      </c>
      <c r="AJ187">
        <v>2.5336672886931699E-2</v>
      </c>
      <c r="AK187">
        <v>2.5336672886931699E-2</v>
      </c>
    </row>
    <row r="188" spans="1:37">
      <c r="A188" t="s">
        <v>633</v>
      </c>
      <c r="B188">
        <v>0</v>
      </c>
      <c r="C188">
        <v>0.14999528429905498</v>
      </c>
      <c r="D188">
        <v>0.14999528429905498</v>
      </c>
      <c r="E188">
        <v>0.14999528429905498</v>
      </c>
      <c r="F188">
        <v>0.14999528429905498</v>
      </c>
      <c r="G188">
        <v>0.14999528429905498</v>
      </c>
      <c r="H188">
        <v>0.14999528429905498</v>
      </c>
      <c r="I188">
        <v>0.14999528429905498</v>
      </c>
      <c r="J188">
        <v>0.14999528429905498</v>
      </c>
      <c r="K188">
        <v>0.14999528429905498</v>
      </c>
      <c r="L188">
        <v>0.14999528429905498</v>
      </c>
      <c r="M188">
        <v>0.14999528429905498</v>
      </c>
      <c r="N188">
        <v>0.14999528429905498</v>
      </c>
      <c r="O188">
        <v>0.14999528429905498</v>
      </c>
      <c r="P188">
        <v>0.14999528429905498</v>
      </c>
      <c r="Q188">
        <v>0.14999528429905498</v>
      </c>
      <c r="R188">
        <v>0.14999528429905498</v>
      </c>
      <c r="S188">
        <v>0.14999528429905498</v>
      </c>
      <c r="T188">
        <v>0.14999528429905498</v>
      </c>
      <c r="U188">
        <v>0.14999528429905498</v>
      </c>
      <c r="V188">
        <v>0.14999528429905498</v>
      </c>
      <c r="W188">
        <v>0.14999528429905498</v>
      </c>
      <c r="X188">
        <v>0.14999528429905498</v>
      </c>
      <c r="Y188">
        <v>0.14999528429905498</v>
      </c>
      <c r="Z188">
        <v>0.14999528429905498</v>
      </c>
      <c r="AA188">
        <v>0.14999528429905498</v>
      </c>
      <c r="AB188">
        <v>0.14999528429905498</v>
      </c>
      <c r="AC188">
        <v>0.14999528429905498</v>
      </c>
      <c r="AD188">
        <v>0.14999528429905498</v>
      </c>
      <c r="AE188">
        <v>0.14999528429905498</v>
      </c>
      <c r="AF188">
        <v>0.14999528429905498</v>
      </c>
      <c r="AG188">
        <v>0.14999528429905498</v>
      </c>
      <c r="AH188">
        <v>0.14999528429905498</v>
      </c>
      <c r="AI188">
        <v>0.14999528429905498</v>
      </c>
      <c r="AJ188">
        <v>0.14999528429905498</v>
      </c>
      <c r="AK188">
        <v>0.14999528429905498</v>
      </c>
    </row>
    <row r="189" spans="1:37">
      <c r="A189" t="s">
        <v>660</v>
      </c>
      <c r="B189">
        <f>SUM(B156,B162,B166:B168,B174:B175,B177:B178,B183,B185,B188)</f>
        <v>0</v>
      </c>
      <c r="C189">
        <f>SUM(C156,C162,C166:C168,C174:C175,C177:C178,C183,C185,C188)</f>
        <v>0.60265695082561876</v>
      </c>
      <c r="D189">
        <f t="shared" ref="D189" si="51">SUM(D156,D162,D166:D168,D174:D175,D177:D178,D183,D185,D188)</f>
        <v>0.60265695082561876</v>
      </c>
      <c r="E189">
        <f t="shared" ref="E189" si="52">SUM(E156,E162,E166:E168,E174:E175,E177:E178,E183,E185,E188)</f>
        <v>0.60265695082561876</v>
      </c>
      <c r="F189">
        <f t="shared" ref="F189" si="53">SUM(F156,F162,F166:F168,F174:F175,F177:F178,F183,F185,F188)</f>
        <v>0.60265695082561876</v>
      </c>
      <c r="G189">
        <f t="shared" ref="G189" si="54">SUM(G156,G162,G166:G168,G174:G175,G177:G178,G183,G185,G188)</f>
        <v>0.60265695082561876</v>
      </c>
      <c r="H189">
        <f t="shared" ref="H189" si="55">SUM(H156,H162,H166:H168,H174:H175,H177:H178,H183,H185,H188)</f>
        <v>0.60265695082561876</v>
      </c>
      <c r="I189">
        <f t="shared" ref="I189" si="56">SUM(I156,I162,I166:I168,I174:I175,I177:I178,I183,I185,I188)</f>
        <v>0.60265695082561876</v>
      </c>
      <c r="J189">
        <f t="shared" ref="J189" si="57">SUM(J156,J162,J166:J168,J174:J175,J177:J178,J183,J185,J188)</f>
        <v>0.60265695082561876</v>
      </c>
      <c r="K189">
        <f t="shared" ref="K189" si="58">SUM(K156,K162,K166:K168,K174:K175,K177:K178,K183,K185,K188)</f>
        <v>0.60265695082561876</v>
      </c>
      <c r="L189">
        <f t="shared" ref="L189" si="59">SUM(L156,L162,L166:L168,L174:L175,L177:L178,L183,L185,L188)</f>
        <v>0.60265695082561876</v>
      </c>
      <c r="M189">
        <f t="shared" ref="M189" si="60">SUM(M156,M162,M166:M168,M174:M175,M177:M178,M183,M185,M188)</f>
        <v>0.60265695082561876</v>
      </c>
      <c r="N189">
        <f t="shared" ref="N189" si="61">SUM(N156,N162,N166:N168,N174:N175,N177:N178,N183,N185,N188)</f>
        <v>0.60265695082561876</v>
      </c>
      <c r="O189">
        <f t="shared" ref="O189" si="62">SUM(O156,O162,O166:O168,O174:O175,O177:O178,O183,O185,O188)</f>
        <v>0.60265695082561876</v>
      </c>
      <c r="P189">
        <f t="shared" ref="P189" si="63">SUM(P156,P162,P166:P168,P174:P175,P177:P178,P183,P185,P188)</f>
        <v>0.60265695082561876</v>
      </c>
      <c r="Q189">
        <f t="shared" ref="Q189" si="64">SUM(Q156,Q162,Q166:Q168,Q174:Q175,Q177:Q178,Q183,Q185,Q188)</f>
        <v>0.60265695082561876</v>
      </c>
      <c r="R189">
        <f t="shared" ref="R189" si="65">SUM(R156,R162,R166:R168,R174:R175,R177:R178,R183,R185,R188)</f>
        <v>0.60265695082561876</v>
      </c>
      <c r="S189">
        <f t="shared" ref="S189" si="66">SUM(S156,S162,S166:S168,S174:S175,S177:S178,S183,S185,S188)</f>
        <v>0.60265695082561876</v>
      </c>
      <c r="T189">
        <f t="shared" ref="T189" si="67">SUM(T156,T162,T166:T168,T174:T175,T177:T178,T183,T185,T188)</f>
        <v>0.60265695082561876</v>
      </c>
      <c r="U189">
        <f t="shared" ref="U189" si="68">SUM(U156,U162,U166:U168,U174:U175,U177:U178,U183,U185,U188)</f>
        <v>0.60265695082561876</v>
      </c>
      <c r="V189">
        <f t="shared" ref="V189" si="69">SUM(V156,V162,V166:V168,V174:V175,V177:V178,V183,V185,V188)</f>
        <v>0.60265695082561876</v>
      </c>
      <c r="W189">
        <f t="shared" ref="W189" si="70">SUM(W156,W162,W166:W168,W174:W175,W177:W178,W183,W185,W188)</f>
        <v>0.60265695082561876</v>
      </c>
      <c r="X189">
        <f t="shared" ref="X189" si="71">SUM(X156,X162,X166:X168,X174:X175,X177:X178,X183,X185,X188)</f>
        <v>0.60265695082561876</v>
      </c>
      <c r="Y189">
        <f t="shared" ref="Y189" si="72">SUM(Y156,Y162,Y166:Y168,Y174:Y175,Y177:Y178,Y183,Y185,Y188)</f>
        <v>0.60265695082561876</v>
      </c>
      <c r="Z189">
        <f t="shared" ref="Z189" si="73">SUM(Z156,Z162,Z166:Z168,Z174:Z175,Z177:Z178,Z183,Z185,Z188)</f>
        <v>0.60265695082561876</v>
      </c>
      <c r="AA189">
        <f t="shared" ref="AA189" si="74">SUM(AA156,AA162,AA166:AA168,AA174:AA175,AA177:AA178,AA183,AA185,AA188)</f>
        <v>0.60265695082561876</v>
      </c>
      <c r="AB189">
        <f t="shared" ref="AB189" si="75">SUM(AB156,AB162,AB166:AB168,AB174:AB175,AB177:AB178,AB183,AB185,AB188)</f>
        <v>0.60265695082561876</v>
      </c>
      <c r="AC189">
        <f t="shared" ref="AC189" si="76">SUM(AC156,AC162,AC166:AC168,AC174:AC175,AC177:AC178,AC183,AC185,AC188)</f>
        <v>0.60265695082561876</v>
      </c>
      <c r="AD189">
        <f t="shared" ref="AD189" si="77">SUM(AD156,AD162,AD166:AD168,AD174:AD175,AD177:AD178,AD183,AD185,AD188)</f>
        <v>0.60265695082561876</v>
      </c>
      <c r="AE189">
        <f t="shared" ref="AE189" si="78">SUM(AE156,AE162,AE166:AE168,AE174:AE175,AE177:AE178,AE183,AE185,AE188)</f>
        <v>0.60265695082561876</v>
      </c>
      <c r="AF189">
        <f t="shared" ref="AF189" si="79">SUM(AF156,AF162,AF166:AF168,AF174:AF175,AF177:AF178,AF183,AF185,AF188)</f>
        <v>0.60265695082561876</v>
      </c>
      <c r="AG189">
        <f t="shared" ref="AG189" si="80">SUM(AG156,AG162,AG166:AG168,AG174:AG175,AG177:AG178,AG183,AG185,AG188)</f>
        <v>0.60265695082561876</v>
      </c>
      <c r="AH189">
        <f t="shared" ref="AH189" si="81">SUM(AH156,AH162,AH166:AH168,AH174:AH175,AH177:AH178,AH183,AH185,AH188)</f>
        <v>0.60265695082561876</v>
      </c>
      <c r="AI189">
        <f t="shared" ref="AI189" si="82">SUM(AI156,AI162,AI166:AI168,AI174:AI175,AI177:AI178,AI183,AI185,AI188)</f>
        <v>0.60265695082561876</v>
      </c>
      <c r="AJ189">
        <f t="shared" ref="AJ189" si="83">SUM(AJ156,AJ162,AJ166:AJ168,AJ174:AJ175,AJ177:AJ178,AJ183,AJ185,AJ188)</f>
        <v>0.60265695082561876</v>
      </c>
      <c r="AK189">
        <f t="shared" ref="AK189" si="84">SUM(AK156,AK162,AK166:AK168,AK174:AK175,AK177:AK178,AK183,AK185,AK188)</f>
        <v>0.60265695082561876</v>
      </c>
    </row>
    <row r="190" spans="1:37">
      <c r="A190" t="s">
        <v>661</v>
      </c>
      <c r="B190">
        <f>SUM(B157:B161,B163:B165,B169:B173,B176,B179:B182,B184,B186:B187)</f>
        <v>0</v>
      </c>
      <c r="C190">
        <f>SUM(C157:C161,C163:C165,C169:C173,C176,C179:C182,C184,C186:C187)</f>
        <v>0.39734304917438135</v>
      </c>
      <c r="D190">
        <f t="shared" ref="D190:AK190" si="85">SUM(D157:D161,D163:D165,D169:D173,D176,D179:D182,D184,D186:D187)</f>
        <v>0.39734304917438135</v>
      </c>
      <c r="E190">
        <f t="shared" si="85"/>
        <v>0.39734304917438135</v>
      </c>
      <c r="F190">
        <f t="shared" si="85"/>
        <v>0.39734304917438135</v>
      </c>
      <c r="G190">
        <f t="shared" si="85"/>
        <v>0.39734304917438135</v>
      </c>
      <c r="H190">
        <f t="shared" si="85"/>
        <v>0.39734304917438135</v>
      </c>
      <c r="I190">
        <f t="shared" si="85"/>
        <v>0.39734304917438135</v>
      </c>
      <c r="J190">
        <f t="shared" si="85"/>
        <v>0.39734304917438135</v>
      </c>
      <c r="K190">
        <f t="shared" si="85"/>
        <v>0.39734304917438135</v>
      </c>
      <c r="L190">
        <f t="shared" si="85"/>
        <v>0.39734304917438135</v>
      </c>
      <c r="M190">
        <f t="shared" si="85"/>
        <v>0.39734304917438135</v>
      </c>
      <c r="N190">
        <f t="shared" si="85"/>
        <v>0.39734304917438135</v>
      </c>
      <c r="O190">
        <f t="shared" si="85"/>
        <v>0.39734304917438135</v>
      </c>
      <c r="P190">
        <f t="shared" si="85"/>
        <v>0.39734304917438135</v>
      </c>
      <c r="Q190">
        <f t="shared" si="85"/>
        <v>0.39734304917438135</v>
      </c>
      <c r="R190">
        <f t="shared" si="85"/>
        <v>0.39734304917438135</v>
      </c>
      <c r="S190">
        <f t="shared" si="85"/>
        <v>0.39734304917438135</v>
      </c>
      <c r="T190">
        <f t="shared" si="85"/>
        <v>0.39734304917438135</v>
      </c>
      <c r="U190">
        <f t="shared" si="85"/>
        <v>0.39734304917438135</v>
      </c>
      <c r="V190">
        <f t="shared" si="85"/>
        <v>0.39734304917438135</v>
      </c>
      <c r="W190">
        <f t="shared" si="85"/>
        <v>0.39734304917438135</v>
      </c>
      <c r="X190">
        <f t="shared" si="85"/>
        <v>0.39734304917438135</v>
      </c>
      <c r="Y190">
        <f t="shared" si="85"/>
        <v>0.39734304917438135</v>
      </c>
      <c r="Z190">
        <f t="shared" si="85"/>
        <v>0.39734304917438135</v>
      </c>
      <c r="AA190">
        <f t="shared" si="85"/>
        <v>0.39734304917438135</v>
      </c>
      <c r="AB190">
        <f t="shared" si="85"/>
        <v>0.39734304917438135</v>
      </c>
      <c r="AC190">
        <f t="shared" si="85"/>
        <v>0.39734304917438135</v>
      </c>
      <c r="AD190">
        <f t="shared" si="85"/>
        <v>0.39734304917438135</v>
      </c>
      <c r="AE190">
        <f t="shared" si="85"/>
        <v>0.39734304917438135</v>
      </c>
      <c r="AF190">
        <f t="shared" si="85"/>
        <v>0.39734304917438135</v>
      </c>
      <c r="AG190">
        <f t="shared" si="85"/>
        <v>0.39734304917438135</v>
      </c>
      <c r="AH190">
        <f t="shared" si="85"/>
        <v>0.39734304917438135</v>
      </c>
      <c r="AI190">
        <f t="shared" si="85"/>
        <v>0.39734304917438135</v>
      </c>
      <c r="AJ190">
        <f t="shared" si="85"/>
        <v>0.39734304917438135</v>
      </c>
      <c r="AK190">
        <f t="shared" si="85"/>
        <v>0.39734304917438135</v>
      </c>
    </row>
    <row r="191" spans="1:37">
      <c r="A191" t="s">
        <v>122</v>
      </c>
      <c r="B191">
        <v>1</v>
      </c>
      <c r="C191">
        <v>1</v>
      </c>
      <c r="D191">
        <v>1</v>
      </c>
      <c r="E191">
        <v>1</v>
      </c>
      <c r="F191">
        <v>1</v>
      </c>
      <c r="G191">
        <v>1</v>
      </c>
      <c r="H191">
        <v>1</v>
      </c>
      <c r="I191">
        <v>1</v>
      </c>
      <c r="J191">
        <v>1</v>
      </c>
      <c r="K191">
        <v>1</v>
      </c>
      <c r="L191">
        <v>1</v>
      </c>
      <c r="M191">
        <v>1</v>
      </c>
      <c r="N191">
        <v>1</v>
      </c>
      <c r="O191">
        <v>1</v>
      </c>
      <c r="P191">
        <v>1</v>
      </c>
      <c r="Q191">
        <v>1</v>
      </c>
      <c r="R191">
        <v>1</v>
      </c>
      <c r="S191">
        <v>1</v>
      </c>
      <c r="T191">
        <v>1</v>
      </c>
      <c r="U191">
        <v>1</v>
      </c>
      <c r="V191">
        <v>1</v>
      </c>
      <c r="W191">
        <v>1</v>
      </c>
      <c r="X191">
        <v>1</v>
      </c>
      <c r="Y191">
        <v>1</v>
      </c>
      <c r="Z191">
        <v>1</v>
      </c>
      <c r="AA191">
        <v>1</v>
      </c>
      <c r="AB191">
        <v>1</v>
      </c>
      <c r="AC191">
        <v>1</v>
      </c>
      <c r="AD191">
        <v>1</v>
      </c>
      <c r="AE191">
        <v>1</v>
      </c>
      <c r="AF191">
        <v>1</v>
      </c>
      <c r="AG191">
        <v>1</v>
      </c>
      <c r="AH191">
        <v>1</v>
      </c>
      <c r="AI191">
        <v>1</v>
      </c>
      <c r="AJ191">
        <v>1</v>
      </c>
      <c r="AK191">
        <v>1</v>
      </c>
    </row>
  </sheetData>
  <pageMargins left="0.7" right="0.7" top="0.75" bottom="0.75" header="0.3" footer="0.3"/>
  <pageSetup paperSize="9"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theme="9" tint="0.79998168889431442"/>
    <pageSetUpPr autoPageBreaks="0"/>
  </sheetPr>
  <dimension ref="A1:CQ1206"/>
  <sheetViews>
    <sheetView zoomScale="70" zoomScaleNormal="70" workbookViewId="0">
      <pane xSplit="1" ySplit="47" topLeftCell="Y48" activePane="bottomRight" state="frozen"/>
      <selection pane="topRight" activeCell="O35" sqref="O35"/>
      <selection pane="bottomLeft" activeCell="O35" sqref="O35"/>
      <selection pane="bottomRight" activeCell="O35" sqref="O35"/>
    </sheetView>
  </sheetViews>
  <sheetFormatPr defaultColWidth="9.140625" defaultRowHeight="15" zeroHeight="1"/>
  <cols>
    <col min="1" max="1" width="28.140625" style="38" bestFit="1" customWidth="1"/>
    <col min="2" max="2" width="25.140625" style="38" bestFit="1" customWidth="1"/>
    <col min="3" max="3" width="10.42578125" style="38" customWidth="1"/>
    <col min="4" max="4" width="25.140625" style="38" bestFit="1" customWidth="1"/>
    <col min="5" max="5" width="13.85546875" style="38" bestFit="1" customWidth="1"/>
    <col min="6" max="6" width="14.140625" style="38" bestFit="1" customWidth="1"/>
    <col min="7" max="7" width="9.140625" style="38" bestFit="1" customWidth="1"/>
    <col min="8" max="8" width="12.5703125" style="38" bestFit="1" customWidth="1"/>
    <col min="9" max="9" width="14.140625" style="38" bestFit="1" customWidth="1"/>
    <col min="10" max="10" width="7.85546875" style="38" bestFit="1" customWidth="1"/>
    <col min="11" max="11" width="11.85546875" style="38" bestFit="1" customWidth="1"/>
    <col min="12" max="12" width="16.140625" style="38" bestFit="1" customWidth="1"/>
    <col min="13" max="13" width="13" style="38" customWidth="1"/>
    <col min="14" max="14" width="18.140625" style="38" customWidth="1"/>
    <col min="15" max="15" width="17.85546875" style="38" bestFit="1" customWidth="1"/>
    <col min="16" max="16" width="15.85546875" style="38" customWidth="1"/>
    <col min="17" max="17" width="25.140625" style="38" bestFit="1" customWidth="1"/>
    <col min="18" max="18" width="7.140625" style="38" bestFit="1" customWidth="1"/>
    <col min="19" max="19" width="14.140625" style="38" bestFit="1" customWidth="1"/>
    <col min="20" max="20" width="9.140625" style="38" bestFit="1" customWidth="1"/>
    <col min="21" max="21" width="12.5703125" style="38" bestFit="1" customWidth="1"/>
    <col min="22" max="22" width="14.140625" style="38" bestFit="1" customWidth="1"/>
    <col min="23" max="23" width="13.42578125" style="38" bestFit="1" customWidth="1"/>
    <col min="24" max="24" width="18.5703125" style="38" bestFit="1" customWidth="1"/>
    <col min="25" max="25" width="16.140625" style="38" bestFit="1" customWidth="1"/>
    <col min="26" max="26" width="11.85546875" style="38" bestFit="1" customWidth="1"/>
    <col min="27" max="27" width="11.85546875" style="38" customWidth="1"/>
    <col min="28" max="28" width="17.85546875" style="38" bestFit="1" customWidth="1"/>
    <col min="29" max="29" width="23.140625" style="38" customWidth="1"/>
    <col min="30" max="30" width="1.85546875" style="38" customWidth="1"/>
    <col min="31" max="31" width="25.140625" style="38" bestFit="1" customWidth="1"/>
    <col min="32" max="32" width="18.140625" style="38" bestFit="1" customWidth="1"/>
    <col min="33" max="33" width="14.140625" style="38" bestFit="1" customWidth="1"/>
    <col min="34" max="34" width="9.140625" style="38" bestFit="1" customWidth="1"/>
    <col min="35" max="35" width="12.5703125" style="38" bestFit="1" customWidth="1"/>
    <col min="36" max="36" width="14.140625" style="38" bestFit="1" customWidth="1"/>
    <col min="37" max="37" width="8.85546875" style="38" bestFit="1" customWidth="1"/>
    <col min="38" max="38" width="11.85546875" style="38" bestFit="1" customWidth="1"/>
    <col min="39" max="39" width="16.140625" style="38" bestFit="1" customWidth="1"/>
    <col min="40" max="40" width="8.85546875" style="38" bestFit="1" customWidth="1"/>
    <col min="41" max="41" width="14" style="38" customWidth="1"/>
    <col min="42" max="42" width="17.85546875" style="38" bestFit="1" customWidth="1"/>
    <col min="43" max="43" width="1.85546875" style="38" customWidth="1"/>
    <col min="44" max="44" width="25.140625" style="38" bestFit="1" customWidth="1"/>
    <col min="45" max="45" width="8.85546875" style="38" bestFit="1" customWidth="1"/>
    <col min="46" max="46" width="14.140625" style="38" bestFit="1" customWidth="1"/>
    <col min="47" max="47" width="9.140625" style="38" bestFit="1" customWidth="1"/>
    <col min="48" max="48" width="12.5703125" style="38" bestFit="1" customWidth="1"/>
    <col min="49" max="49" width="24" style="38" bestFit="1" customWidth="1"/>
    <col min="50" max="50" width="13.85546875" style="38" bestFit="1" customWidth="1"/>
    <col min="51" max="51" width="18.5703125" style="38" bestFit="1" customWidth="1"/>
    <col min="52" max="52" width="23.5703125" style="38" bestFit="1" customWidth="1"/>
    <col min="53" max="53" width="13.42578125" style="38" bestFit="1" customWidth="1"/>
    <col min="54" max="54" width="13.42578125" style="38" customWidth="1"/>
    <col min="55" max="55" width="17.85546875" style="38" bestFit="1" customWidth="1"/>
    <col min="56" max="56" width="23.140625" style="38" customWidth="1"/>
    <col min="57" max="57" width="6.85546875" style="38" bestFit="1" customWidth="1"/>
    <col min="58" max="58" width="25.140625" style="38" bestFit="1" customWidth="1"/>
    <col min="59" max="59" width="17.140625" style="38" bestFit="1" customWidth="1"/>
    <col min="60" max="60" width="14.140625" style="38" bestFit="1" customWidth="1"/>
    <col min="61" max="61" width="9.140625" style="38" bestFit="1" customWidth="1"/>
    <col min="62" max="62" width="12.5703125" style="38" bestFit="1" customWidth="1"/>
    <col min="63" max="63" width="14.140625" style="38" bestFit="1" customWidth="1"/>
    <col min="64" max="64" width="11.85546875" style="38" bestFit="1" customWidth="1"/>
    <col min="65" max="65" width="18.5703125" style="38" bestFit="1" customWidth="1"/>
    <col min="66" max="66" width="16.140625" style="38" bestFit="1" customWidth="1"/>
    <col min="67" max="67" width="7.140625" style="38" bestFit="1" customWidth="1"/>
    <col min="68" max="69" width="12.85546875" style="38" customWidth="1"/>
    <col min="70" max="70" width="1.85546875" style="38" customWidth="1"/>
    <col min="71" max="71" width="25.140625" style="38" bestFit="1" customWidth="1"/>
    <col min="72" max="72" width="7.140625" style="38" bestFit="1" customWidth="1"/>
    <col min="73" max="73" width="14.140625" style="38" bestFit="1" customWidth="1"/>
    <col min="74" max="74" width="9.140625" style="38" bestFit="1" customWidth="1"/>
    <col min="75" max="75" width="12.5703125" style="38" bestFit="1" customWidth="1"/>
    <col min="76" max="76" width="14.140625" style="38" bestFit="1" customWidth="1"/>
    <col min="77" max="77" width="11.85546875" style="38" bestFit="1" customWidth="1"/>
    <col min="78" max="78" width="18.5703125" style="38" bestFit="1" customWidth="1"/>
    <col min="79" max="79" width="16.140625" style="38" bestFit="1" customWidth="1"/>
    <col min="80" max="80" width="11.85546875" style="38" bestFit="1" customWidth="1"/>
    <col min="81" max="81" width="11.85546875" style="38" customWidth="1"/>
    <col min="82" max="82" width="17.85546875" style="38" bestFit="1" customWidth="1"/>
    <col min="83" max="83" width="23.140625" style="38" customWidth="1"/>
    <col min="84" max="85" width="1.85546875" style="38" customWidth="1"/>
    <col min="86" max="107" width="9.140625" style="38" customWidth="1"/>
    <col min="108" max="16384" width="9.140625" style="38"/>
  </cols>
  <sheetData>
    <row r="1" spans="1:85"/>
    <row r="2" spans="1:85" ht="3" customHeight="1">
      <c r="A2" s="38" t="s">
        <v>1032</v>
      </c>
      <c r="C2" s="60">
        <v>2015</v>
      </c>
      <c r="D2" s="60">
        <f>C2+1</f>
        <v>2016</v>
      </c>
      <c r="E2" s="60">
        <f t="shared" ref="E2:AL2" si="0">D2+1</f>
        <v>2017</v>
      </c>
      <c r="F2" s="60">
        <f t="shared" si="0"/>
        <v>2018</v>
      </c>
      <c r="G2" s="60">
        <f t="shared" si="0"/>
        <v>2019</v>
      </c>
      <c r="H2" s="60">
        <f t="shared" si="0"/>
        <v>2020</v>
      </c>
      <c r="I2" s="60">
        <f t="shared" si="0"/>
        <v>2021</v>
      </c>
      <c r="J2" s="60">
        <f t="shared" si="0"/>
        <v>2022</v>
      </c>
      <c r="K2" s="60">
        <f t="shared" si="0"/>
        <v>2023</v>
      </c>
      <c r="L2" s="60">
        <f t="shared" si="0"/>
        <v>2024</v>
      </c>
      <c r="M2" s="60">
        <f t="shared" si="0"/>
        <v>2025</v>
      </c>
      <c r="N2" s="60">
        <f t="shared" si="0"/>
        <v>2026</v>
      </c>
      <c r="O2" s="60">
        <f t="shared" si="0"/>
        <v>2027</v>
      </c>
      <c r="P2" s="60">
        <f t="shared" si="0"/>
        <v>2028</v>
      </c>
      <c r="Q2" s="60">
        <f t="shared" si="0"/>
        <v>2029</v>
      </c>
      <c r="R2" s="60">
        <f t="shared" si="0"/>
        <v>2030</v>
      </c>
      <c r="S2" s="60">
        <f t="shared" si="0"/>
        <v>2031</v>
      </c>
      <c r="T2" s="60">
        <f t="shared" si="0"/>
        <v>2032</v>
      </c>
      <c r="U2" s="60">
        <f t="shared" si="0"/>
        <v>2033</v>
      </c>
      <c r="V2" s="60">
        <f t="shared" si="0"/>
        <v>2034</v>
      </c>
      <c r="W2" s="60">
        <f t="shared" si="0"/>
        <v>2035</v>
      </c>
      <c r="X2" s="60">
        <f t="shared" si="0"/>
        <v>2036</v>
      </c>
      <c r="Y2" s="60">
        <f t="shared" si="0"/>
        <v>2037</v>
      </c>
      <c r="Z2" s="60">
        <f t="shared" si="0"/>
        <v>2038</v>
      </c>
      <c r="AA2" s="60">
        <f t="shared" si="0"/>
        <v>2039</v>
      </c>
      <c r="AB2" s="60">
        <f t="shared" si="0"/>
        <v>2040</v>
      </c>
      <c r="AC2" s="60">
        <f t="shared" si="0"/>
        <v>2041</v>
      </c>
      <c r="AD2" s="60">
        <f t="shared" si="0"/>
        <v>2042</v>
      </c>
      <c r="AE2" s="60">
        <f t="shared" si="0"/>
        <v>2043</v>
      </c>
      <c r="AF2" s="60">
        <f t="shared" si="0"/>
        <v>2044</v>
      </c>
      <c r="AG2" s="60">
        <f t="shared" si="0"/>
        <v>2045</v>
      </c>
      <c r="AH2" s="60">
        <f t="shared" si="0"/>
        <v>2046</v>
      </c>
      <c r="AI2" s="60">
        <f t="shared" si="0"/>
        <v>2047</v>
      </c>
      <c r="AJ2" s="60">
        <f t="shared" si="0"/>
        <v>2048</v>
      </c>
      <c r="AK2" s="60">
        <f t="shared" si="0"/>
        <v>2049</v>
      </c>
      <c r="AL2" s="60">
        <f t="shared" si="0"/>
        <v>2050</v>
      </c>
    </row>
    <row r="3" spans="1:85" ht="3" customHeight="1">
      <c r="A3" s="38" t="s">
        <v>661</v>
      </c>
      <c r="B3" s="142" t="s">
        <v>626</v>
      </c>
      <c r="C3" s="38">
        <f t="shared" ref="C3:C35" si="1">B96/$B$131</f>
        <v>1.821042184348903E-2</v>
      </c>
      <c r="BE3" s="36"/>
      <c r="BF3" s="311">
        <f>BF$83*BF51</f>
        <v>1069354416.7245195</v>
      </c>
      <c r="BG3" s="316">
        <f t="shared" ref="BG3:BQ3" si="2">BG$83*BG51</f>
        <v>88204707152.958282</v>
      </c>
      <c r="BH3" s="316">
        <f t="shared" si="2"/>
        <v>1740323971.6190226</v>
      </c>
      <c r="BI3" s="316">
        <f t="shared" si="2"/>
        <v>0</v>
      </c>
      <c r="BJ3" s="316">
        <f t="shared" si="2"/>
        <v>0</v>
      </c>
      <c r="BK3" s="316">
        <f t="shared" si="2"/>
        <v>0</v>
      </c>
      <c r="BL3" s="316">
        <f t="shared" si="2"/>
        <v>0</v>
      </c>
      <c r="BM3" s="316">
        <f t="shared" si="2"/>
        <v>0</v>
      </c>
      <c r="BN3" s="316">
        <f t="shared" si="2"/>
        <v>0</v>
      </c>
      <c r="BO3" s="316">
        <f t="shared" si="2"/>
        <v>0</v>
      </c>
      <c r="BP3" s="316">
        <f t="shared" si="2"/>
        <v>2446739207.5651965</v>
      </c>
      <c r="BQ3" s="316">
        <f t="shared" si="2"/>
        <v>14870313318.312557</v>
      </c>
      <c r="BR3" s="36">
        <v>0</v>
      </c>
      <c r="BS3" s="316">
        <f>BS$83*BS51</f>
        <v>24216131008.621056</v>
      </c>
      <c r="BT3" s="316">
        <f t="shared" ref="BT3:CD3" si="3">BT$83*BT51</f>
        <v>0</v>
      </c>
      <c r="BU3" s="316">
        <f t="shared" si="3"/>
        <v>5276501016.5795937</v>
      </c>
      <c r="BV3" s="316">
        <f t="shared" si="3"/>
        <v>0</v>
      </c>
      <c r="BW3" s="316">
        <f t="shared" si="3"/>
        <v>853819720.75928557</v>
      </c>
      <c r="BX3" s="316">
        <f t="shared" si="3"/>
        <v>18429361604.883331</v>
      </c>
      <c r="BY3" s="316">
        <f t="shared" si="3"/>
        <v>10220671421.934063</v>
      </c>
      <c r="BZ3" s="316">
        <f t="shared" si="3"/>
        <v>10897683.158932852</v>
      </c>
      <c r="CA3" s="316">
        <f t="shared" si="3"/>
        <v>239784777385.06989</v>
      </c>
      <c r="CB3" s="316">
        <f t="shared" si="3"/>
        <v>0</v>
      </c>
      <c r="CC3" s="316">
        <f t="shared" si="3"/>
        <v>0</v>
      </c>
      <c r="CD3" s="316">
        <f t="shared" si="3"/>
        <v>14870313318.312557</v>
      </c>
      <c r="CE3" s="316">
        <f t="shared" ref="CE3:CE38" si="4">BT3+BV3+CA3</f>
        <v>239784777385.06989</v>
      </c>
      <c r="CF3" s="36">
        <v>0</v>
      </c>
      <c r="CG3" s="36">
        <v>0</v>
      </c>
    </row>
    <row r="4" spans="1:85" ht="3" customHeight="1">
      <c r="A4" s="38" t="s">
        <v>661</v>
      </c>
      <c r="B4" s="143" t="s">
        <v>627</v>
      </c>
      <c r="C4" s="38">
        <f t="shared" si="1"/>
        <v>5.6554451027309084E-2</v>
      </c>
      <c r="BE4" s="36"/>
      <c r="BF4" s="316">
        <f t="shared" ref="BF4:BQ4" si="5">BF$83*BF52</f>
        <v>0</v>
      </c>
      <c r="BG4" s="316">
        <f t="shared" si="5"/>
        <v>33018728044.598808</v>
      </c>
      <c r="BH4" s="316">
        <f t="shared" si="5"/>
        <v>0</v>
      </c>
      <c r="BI4" s="316">
        <f t="shared" si="5"/>
        <v>0</v>
      </c>
      <c r="BJ4" s="316">
        <f t="shared" si="5"/>
        <v>0</v>
      </c>
      <c r="BK4" s="316">
        <f t="shared" si="5"/>
        <v>0</v>
      </c>
      <c r="BL4" s="316">
        <f t="shared" si="5"/>
        <v>0</v>
      </c>
      <c r="BM4" s="316">
        <f t="shared" si="5"/>
        <v>0</v>
      </c>
      <c r="BN4" s="316">
        <f t="shared" si="5"/>
        <v>0</v>
      </c>
      <c r="BO4" s="316">
        <f t="shared" si="5"/>
        <v>0</v>
      </c>
      <c r="BP4" s="316">
        <f t="shared" si="5"/>
        <v>0</v>
      </c>
      <c r="BQ4" s="316">
        <f t="shared" si="5"/>
        <v>1234223196.4871242</v>
      </c>
      <c r="BR4" s="36">
        <v>0</v>
      </c>
      <c r="BS4" s="316">
        <f t="shared" ref="BS4:CD4" si="6">BS$83*BS52</f>
        <v>0</v>
      </c>
      <c r="BT4" s="316">
        <f t="shared" si="6"/>
        <v>0</v>
      </c>
      <c r="BU4" s="316">
        <f t="shared" si="6"/>
        <v>0</v>
      </c>
      <c r="BV4" s="316">
        <f t="shared" si="6"/>
        <v>0</v>
      </c>
      <c r="BW4" s="316">
        <f t="shared" si="6"/>
        <v>178660491.56226629</v>
      </c>
      <c r="BX4" s="316">
        <f t="shared" si="6"/>
        <v>10784630288.814692</v>
      </c>
      <c r="BY4" s="316">
        <f t="shared" si="6"/>
        <v>0</v>
      </c>
      <c r="BZ4" s="316">
        <f t="shared" si="6"/>
        <v>6278453750.362093</v>
      </c>
      <c r="CA4" s="316">
        <f t="shared" si="6"/>
        <v>202817243493.30319</v>
      </c>
      <c r="CB4" s="316">
        <f t="shared" si="6"/>
        <v>0</v>
      </c>
      <c r="CC4" s="316">
        <f t="shared" si="6"/>
        <v>0</v>
      </c>
      <c r="CD4" s="316">
        <f t="shared" si="6"/>
        <v>1234223196.4871242</v>
      </c>
      <c r="CE4" s="316">
        <f t="shared" si="4"/>
        <v>202817243493.30319</v>
      </c>
      <c r="CF4" s="36">
        <v>0</v>
      </c>
      <c r="CG4" s="36">
        <v>0</v>
      </c>
    </row>
    <row r="5" spans="1:85" ht="3" customHeight="1">
      <c r="A5" s="38" t="s">
        <v>661</v>
      </c>
      <c r="B5" s="143" t="s">
        <v>628</v>
      </c>
      <c r="C5" s="38">
        <f t="shared" si="1"/>
        <v>4.6580554757544379E-3</v>
      </c>
      <c r="BE5" s="36"/>
      <c r="BF5" s="316">
        <f t="shared" ref="BF5:BQ5" si="7">BF$83*BF53</f>
        <v>97336346.329961017</v>
      </c>
      <c r="BG5" s="316">
        <f t="shared" si="7"/>
        <v>158802228115.34528</v>
      </c>
      <c r="BH5" s="316">
        <f t="shared" si="7"/>
        <v>1086934185.2511332</v>
      </c>
      <c r="BI5" s="316">
        <f t="shared" si="7"/>
        <v>0</v>
      </c>
      <c r="BJ5" s="316">
        <f t="shared" si="7"/>
        <v>0</v>
      </c>
      <c r="BK5" s="316">
        <f t="shared" si="7"/>
        <v>0</v>
      </c>
      <c r="BL5" s="316">
        <f t="shared" si="7"/>
        <v>0</v>
      </c>
      <c r="BM5" s="316">
        <f t="shared" si="7"/>
        <v>0</v>
      </c>
      <c r="BN5" s="316">
        <f t="shared" si="7"/>
        <v>0</v>
      </c>
      <c r="BO5" s="316">
        <f t="shared" si="7"/>
        <v>0</v>
      </c>
      <c r="BP5" s="316">
        <f t="shared" si="7"/>
        <v>66559737667.760315</v>
      </c>
      <c r="BQ5" s="316">
        <f t="shared" si="7"/>
        <v>51771891453.20153</v>
      </c>
      <c r="BR5" s="36">
        <v>0</v>
      </c>
      <c r="BS5" s="316">
        <f t="shared" ref="BS5:CD5" si="8">BS$83*BS53</f>
        <v>1657103210.1379271</v>
      </c>
      <c r="BT5" s="316">
        <f t="shared" si="8"/>
        <v>0</v>
      </c>
      <c r="BU5" s="316">
        <f t="shared" si="8"/>
        <v>4606110734.1434669</v>
      </c>
      <c r="BV5" s="316">
        <f t="shared" si="8"/>
        <v>0</v>
      </c>
      <c r="BW5" s="316">
        <f t="shared" si="8"/>
        <v>2613400694.3406496</v>
      </c>
      <c r="BX5" s="316">
        <f t="shared" si="8"/>
        <v>173926922170.29739</v>
      </c>
      <c r="BY5" s="316">
        <f t="shared" si="8"/>
        <v>140882948352.39346</v>
      </c>
      <c r="BZ5" s="316">
        <f t="shared" si="8"/>
        <v>107006541322.73262</v>
      </c>
      <c r="CA5" s="316">
        <f t="shared" si="8"/>
        <v>2470712241737.2759</v>
      </c>
      <c r="CB5" s="316">
        <f t="shared" si="8"/>
        <v>81885841393.636169</v>
      </c>
      <c r="CC5" s="316">
        <f t="shared" si="8"/>
        <v>0</v>
      </c>
      <c r="CD5" s="316">
        <f t="shared" si="8"/>
        <v>51771891453.20153</v>
      </c>
      <c r="CE5" s="316">
        <f t="shared" si="4"/>
        <v>2470712241737.2759</v>
      </c>
      <c r="CF5" s="36">
        <v>0</v>
      </c>
      <c r="CG5" s="36">
        <v>0</v>
      </c>
    </row>
    <row r="6" spans="1:85" ht="3" customHeight="1">
      <c r="A6" s="38" t="s">
        <v>661</v>
      </c>
      <c r="B6" s="143" t="s">
        <v>629</v>
      </c>
      <c r="C6" s="38">
        <f t="shared" si="1"/>
        <v>1.9812390593896185E-2</v>
      </c>
      <c r="BE6" s="36"/>
      <c r="BF6" s="316">
        <f t="shared" ref="BF6:BQ6" si="9">BF$83*BF54</f>
        <v>22121896.893172961</v>
      </c>
      <c r="BG6" s="316">
        <f t="shared" si="9"/>
        <v>0</v>
      </c>
      <c r="BH6" s="316">
        <f t="shared" si="9"/>
        <v>1106936939.9926901</v>
      </c>
      <c r="BI6" s="316">
        <f t="shared" si="9"/>
        <v>0</v>
      </c>
      <c r="BJ6" s="316">
        <f t="shared" si="9"/>
        <v>0</v>
      </c>
      <c r="BK6" s="316">
        <f t="shared" si="9"/>
        <v>0</v>
      </c>
      <c r="BL6" s="316">
        <f t="shared" si="9"/>
        <v>0</v>
      </c>
      <c r="BM6" s="316">
        <f t="shared" si="9"/>
        <v>0</v>
      </c>
      <c r="BN6" s="316">
        <f t="shared" si="9"/>
        <v>0</v>
      </c>
      <c r="BO6" s="316">
        <f t="shared" si="9"/>
        <v>0</v>
      </c>
      <c r="BP6" s="316">
        <f t="shared" si="9"/>
        <v>16366359844.089146</v>
      </c>
      <c r="BQ6" s="316">
        <f t="shared" si="9"/>
        <v>8183218694.8516836</v>
      </c>
      <c r="BR6" s="36">
        <v>0</v>
      </c>
      <c r="BS6" s="316">
        <f t="shared" ref="BS6:CD6" si="10">BS$83*BS54</f>
        <v>376614365.94043803</v>
      </c>
      <c r="BT6" s="316">
        <f t="shared" si="10"/>
        <v>0</v>
      </c>
      <c r="BU6" s="316">
        <f t="shared" si="10"/>
        <v>4690876587.1065292</v>
      </c>
      <c r="BV6" s="316">
        <f t="shared" si="10"/>
        <v>0</v>
      </c>
      <c r="BW6" s="316">
        <f t="shared" si="10"/>
        <v>3278635404.4300432</v>
      </c>
      <c r="BX6" s="316">
        <f t="shared" si="10"/>
        <v>35662860991.378906</v>
      </c>
      <c r="BY6" s="316">
        <f t="shared" si="10"/>
        <v>0</v>
      </c>
      <c r="BZ6" s="316">
        <f t="shared" si="10"/>
        <v>9222984582.0830517</v>
      </c>
      <c r="CA6" s="316">
        <f t="shared" si="10"/>
        <v>450089394961.44208</v>
      </c>
      <c r="CB6" s="316">
        <f t="shared" si="10"/>
        <v>12741425333.854162</v>
      </c>
      <c r="CC6" s="316">
        <f t="shared" si="10"/>
        <v>0</v>
      </c>
      <c r="CD6" s="316">
        <f t="shared" si="10"/>
        <v>8183218694.8516836</v>
      </c>
      <c r="CE6" s="316">
        <f t="shared" si="4"/>
        <v>450089394961.44208</v>
      </c>
      <c r="CF6" s="36">
        <v>0</v>
      </c>
      <c r="CG6" s="36">
        <v>0</v>
      </c>
    </row>
    <row r="7" spans="1:85" ht="3" customHeight="1">
      <c r="A7" s="38" t="s">
        <v>661</v>
      </c>
      <c r="B7" s="143" t="s">
        <v>630</v>
      </c>
      <c r="C7" s="38">
        <f t="shared" si="1"/>
        <v>1.6444113533732078E-3</v>
      </c>
      <c r="BE7" s="36"/>
      <c r="BF7" s="316">
        <f t="shared" ref="BF7:BQ7" si="11">BF$83*BF55</f>
        <v>2097013145.5484145</v>
      </c>
      <c r="BG7" s="316">
        <f t="shared" si="11"/>
        <v>34249917398.798538</v>
      </c>
      <c r="BH7" s="316">
        <f t="shared" si="11"/>
        <v>0</v>
      </c>
      <c r="BI7" s="316">
        <f t="shared" si="11"/>
        <v>0</v>
      </c>
      <c r="BJ7" s="316">
        <f t="shared" si="11"/>
        <v>0</v>
      </c>
      <c r="BK7" s="316">
        <f t="shared" si="11"/>
        <v>0</v>
      </c>
      <c r="BL7" s="316">
        <f t="shared" si="11"/>
        <v>0</v>
      </c>
      <c r="BM7" s="316">
        <f t="shared" si="11"/>
        <v>0</v>
      </c>
      <c r="BN7" s="316">
        <f t="shared" si="11"/>
        <v>0</v>
      </c>
      <c r="BO7" s="316">
        <f t="shared" si="11"/>
        <v>0</v>
      </c>
      <c r="BP7" s="316">
        <f t="shared" si="11"/>
        <v>0</v>
      </c>
      <c r="BQ7" s="316">
        <f t="shared" si="11"/>
        <v>17695934875.287079</v>
      </c>
      <c r="BR7" s="36">
        <v>0</v>
      </c>
      <c r="BS7" s="316">
        <f t="shared" ref="BS7:CD7" si="12">BS$83*BS55</f>
        <v>30761113076.705093</v>
      </c>
      <c r="BT7" s="316">
        <f t="shared" si="12"/>
        <v>0</v>
      </c>
      <c r="BU7" s="316">
        <f t="shared" si="12"/>
        <v>0</v>
      </c>
      <c r="BV7" s="316">
        <f t="shared" si="12"/>
        <v>0</v>
      </c>
      <c r="BW7" s="316">
        <f t="shared" si="12"/>
        <v>352467988.89536524</v>
      </c>
      <c r="BX7" s="316">
        <f t="shared" si="12"/>
        <v>4158758160.0790601</v>
      </c>
      <c r="BY7" s="316">
        <f t="shared" si="12"/>
        <v>0</v>
      </c>
      <c r="BZ7" s="316">
        <f t="shared" si="12"/>
        <v>0</v>
      </c>
      <c r="CA7" s="316">
        <f t="shared" si="12"/>
        <v>0</v>
      </c>
      <c r="CB7" s="316">
        <f t="shared" si="12"/>
        <v>0</v>
      </c>
      <c r="CC7" s="316">
        <f t="shared" si="12"/>
        <v>0</v>
      </c>
      <c r="CD7" s="316">
        <f t="shared" si="12"/>
        <v>17695934875.287079</v>
      </c>
      <c r="CE7" s="316">
        <f t="shared" si="4"/>
        <v>0</v>
      </c>
      <c r="CF7" s="36">
        <v>0</v>
      </c>
      <c r="CG7" s="36">
        <v>0</v>
      </c>
    </row>
    <row r="8" spans="1:85" ht="3" customHeight="1">
      <c r="A8" s="38" t="s">
        <v>660</v>
      </c>
      <c r="B8" s="143" t="s">
        <v>631</v>
      </c>
      <c r="C8" s="38">
        <f t="shared" si="1"/>
        <v>6.8978031148305419E-2</v>
      </c>
      <c r="BE8" s="36"/>
      <c r="BF8" s="316">
        <f t="shared" ref="BF8:BQ8" si="13">BF$83*BF56</f>
        <v>1601668434.3566902</v>
      </c>
      <c r="BG8" s="316">
        <f t="shared" si="13"/>
        <v>41516488955.193756</v>
      </c>
      <c r="BH8" s="316">
        <f t="shared" si="13"/>
        <v>0</v>
      </c>
      <c r="BI8" s="316">
        <f t="shared" si="13"/>
        <v>0</v>
      </c>
      <c r="BJ8" s="316">
        <f t="shared" si="13"/>
        <v>0</v>
      </c>
      <c r="BK8" s="316">
        <f t="shared" si="13"/>
        <v>0</v>
      </c>
      <c r="BL8" s="316">
        <f t="shared" si="13"/>
        <v>0</v>
      </c>
      <c r="BM8" s="316">
        <f t="shared" si="13"/>
        <v>0</v>
      </c>
      <c r="BN8" s="316">
        <f t="shared" si="13"/>
        <v>0</v>
      </c>
      <c r="BO8" s="316">
        <f t="shared" si="13"/>
        <v>0</v>
      </c>
      <c r="BP8" s="316">
        <f t="shared" si="13"/>
        <v>3048365335.040863</v>
      </c>
      <c r="BQ8" s="316">
        <f t="shared" si="13"/>
        <v>12580303979.636242</v>
      </c>
      <c r="BR8" s="36">
        <v>0</v>
      </c>
      <c r="BS8" s="316">
        <f t="shared" ref="BS8:CD8" si="14">BS$83*BS56</f>
        <v>18658542367.446285</v>
      </c>
      <c r="BT8" s="316">
        <f t="shared" si="14"/>
        <v>0</v>
      </c>
      <c r="BU8" s="316">
        <f t="shared" si="14"/>
        <v>0</v>
      </c>
      <c r="BV8" s="316">
        <f t="shared" si="14"/>
        <v>0</v>
      </c>
      <c r="BW8" s="316">
        <f t="shared" si="14"/>
        <v>59553497.187422097</v>
      </c>
      <c r="BX8" s="316">
        <f t="shared" si="14"/>
        <v>20475120194.275894</v>
      </c>
      <c r="BY8" s="316">
        <f t="shared" si="14"/>
        <v>11525811024.258612</v>
      </c>
      <c r="BZ8" s="316">
        <f t="shared" si="14"/>
        <v>0</v>
      </c>
      <c r="CA8" s="316">
        <f t="shared" si="14"/>
        <v>50914321438.505653</v>
      </c>
      <c r="CB8" s="316">
        <f t="shared" si="14"/>
        <v>0</v>
      </c>
      <c r="CC8" s="316">
        <f t="shared" si="14"/>
        <v>0</v>
      </c>
      <c r="CD8" s="316">
        <f t="shared" si="14"/>
        <v>12580303979.636242</v>
      </c>
      <c r="CE8" s="316">
        <f t="shared" si="4"/>
        <v>50914321438.505653</v>
      </c>
      <c r="CF8" s="36">
        <v>0</v>
      </c>
      <c r="CG8" s="36">
        <v>0</v>
      </c>
    </row>
    <row r="9" spans="1:85" ht="3" customHeight="1">
      <c r="A9" s="38" t="s">
        <v>660</v>
      </c>
      <c r="B9" s="143" t="s">
        <v>632</v>
      </c>
      <c r="C9" s="38">
        <f t="shared" si="1"/>
        <v>1.0902872160603063E-2</v>
      </c>
      <c r="BE9" s="36"/>
      <c r="BF9" s="316">
        <f t="shared" ref="BF9:BQ9" si="15">BF$83*BF57</f>
        <v>1268166977.5909398</v>
      </c>
      <c r="BG9" s="316">
        <f t="shared" si="15"/>
        <v>10340700788.878815</v>
      </c>
      <c r="BH9" s="316">
        <f t="shared" si="15"/>
        <v>0</v>
      </c>
      <c r="BI9" s="316">
        <f t="shared" si="15"/>
        <v>0</v>
      </c>
      <c r="BJ9" s="316">
        <f t="shared" si="15"/>
        <v>0</v>
      </c>
      <c r="BK9" s="316">
        <f t="shared" si="15"/>
        <v>0</v>
      </c>
      <c r="BL9" s="316">
        <f t="shared" si="15"/>
        <v>0</v>
      </c>
      <c r="BM9" s="316">
        <f t="shared" si="15"/>
        <v>0</v>
      </c>
      <c r="BN9" s="316">
        <f t="shared" si="15"/>
        <v>0</v>
      </c>
      <c r="BO9" s="316">
        <f t="shared" si="15"/>
        <v>0</v>
      </c>
      <c r="BP9" s="316">
        <f t="shared" si="15"/>
        <v>0</v>
      </c>
      <c r="BQ9" s="316">
        <f t="shared" si="15"/>
        <v>3737067876.7475605</v>
      </c>
      <c r="BR9" s="36">
        <v>0</v>
      </c>
      <c r="BS9" s="316">
        <f t="shared" ref="BS9:CD9" si="16">BS$83*BS57</f>
        <v>11149637622.146034</v>
      </c>
      <c r="BT9" s="316">
        <f t="shared" si="16"/>
        <v>0</v>
      </c>
      <c r="BU9" s="316">
        <f t="shared" si="16"/>
        <v>0</v>
      </c>
      <c r="BV9" s="316">
        <f t="shared" si="16"/>
        <v>0</v>
      </c>
      <c r="BW9" s="316">
        <f t="shared" si="16"/>
        <v>0</v>
      </c>
      <c r="BX9" s="316">
        <f t="shared" si="16"/>
        <v>1092573703.6092608</v>
      </c>
      <c r="BY9" s="316">
        <f t="shared" si="16"/>
        <v>2298948316.3527579</v>
      </c>
      <c r="BZ9" s="316">
        <f t="shared" si="16"/>
        <v>0</v>
      </c>
      <c r="CA9" s="316">
        <f t="shared" si="16"/>
        <v>74355384756.354507</v>
      </c>
      <c r="CB9" s="316">
        <f t="shared" si="16"/>
        <v>0</v>
      </c>
      <c r="CC9" s="316">
        <f t="shared" si="16"/>
        <v>0</v>
      </c>
      <c r="CD9" s="316">
        <f t="shared" si="16"/>
        <v>3737067876.7475605</v>
      </c>
      <c r="CE9" s="316">
        <f t="shared" si="4"/>
        <v>74355384756.354507</v>
      </c>
      <c r="CF9" s="36">
        <v>0</v>
      </c>
      <c r="CG9" s="36">
        <v>0</v>
      </c>
    </row>
    <row r="10" spans="1:85" ht="3" customHeight="1">
      <c r="A10" s="38" t="s">
        <v>661</v>
      </c>
      <c r="B10" s="143" t="s">
        <v>634</v>
      </c>
      <c r="C10" s="38">
        <f t="shared" si="1"/>
        <v>2.3577093916479917E-2</v>
      </c>
      <c r="BE10" s="36"/>
      <c r="BF10" s="316">
        <f t="shared" ref="BF10:BQ10" si="17">BF$83*BF58</f>
        <v>1994221318.4178274</v>
      </c>
      <c r="BG10" s="316">
        <f t="shared" si="17"/>
        <v>61623539403.069244</v>
      </c>
      <c r="BH10" s="316">
        <f t="shared" si="17"/>
        <v>234252493.3527976</v>
      </c>
      <c r="BI10" s="316">
        <f t="shared" si="17"/>
        <v>0</v>
      </c>
      <c r="BJ10" s="316">
        <f t="shared" si="17"/>
        <v>0</v>
      </c>
      <c r="BK10" s="316">
        <f t="shared" si="17"/>
        <v>0</v>
      </c>
      <c r="BL10" s="316">
        <f t="shared" si="17"/>
        <v>0</v>
      </c>
      <c r="BM10" s="316">
        <f t="shared" si="17"/>
        <v>0</v>
      </c>
      <c r="BN10" s="316">
        <f t="shared" si="17"/>
        <v>0</v>
      </c>
      <c r="BO10" s="316">
        <f t="shared" si="17"/>
        <v>0</v>
      </c>
      <c r="BP10" s="316">
        <f t="shared" si="17"/>
        <v>0</v>
      </c>
      <c r="BQ10" s="316">
        <f t="shared" si="17"/>
        <v>28653816626.718544</v>
      </c>
      <c r="BR10" s="36">
        <v>0</v>
      </c>
      <c r="BS10" s="316">
        <f t="shared" ref="BS10:CD10" si="18">BS$83*BS58</f>
        <v>45246376946.609749</v>
      </c>
      <c r="BT10" s="316">
        <f t="shared" si="18"/>
        <v>0</v>
      </c>
      <c r="BU10" s="316">
        <f t="shared" si="18"/>
        <v>992693889.63315535</v>
      </c>
      <c r="BV10" s="316">
        <f t="shared" si="18"/>
        <v>0</v>
      </c>
      <c r="BW10" s="316">
        <f t="shared" si="18"/>
        <v>267990737.34339941</v>
      </c>
      <c r="BX10" s="316">
        <f t="shared" si="18"/>
        <v>0</v>
      </c>
      <c r="BY10" s="316">
        <f t="shared" si="18"/>
        <v>6749938951.2228222</v>
      </c>
      <c r="BZ10" s="316">
        <f t="shared" si="18"/>
        <v>11504195500.791214</v>
      </c>
      <c r="CA10" s="316">
        <f t="shared" si="18"/>
        <v>0</v>
      </c>
      <c r="CB10" s="316">
        <f t="shared" si="18"/>
        <v>0</v>
      </c>
      <c r="CC10" s="316">
        <f t="shared" si="18"/>
        <v>0</v>
      </c>
      <c r="CD10" s="316">
        <f t="shared" si="18"/>
        <v>28653816626.718544</v>
      </c>
      <c r="CE10" s="316">
        <f t="shared" si="4"/>
        <v>0</v>
      </c>
      <c r="CF10" s="36">
        <v>0</v>
      </c>
      <c r="CG10" s="36">
        <v>0</v>
      </c>
    </row>
    <row r="11" spans="1:85" ht="3" customHeight="1">
      <c r="A11" s="38" t="s">
        <v>661</v>
      </c>
      <c r="B11" s="143" t="s">
        <v>635</v>
      </c>
      <c r="C11" s="38">
        <f t="shared" si="1"/>
        <v>1.676130764020671E-2</v>
      </c>
      <c r="BE11" s="36"/>
      <c r="BF11" s="316">
        <f t="shared" ref="BF11:BQ11" si="19">BF$83*BF59</f>
        <v>0</v>
      </c>
      <c r="BG11" s="316">
        <f t="shared" si="19"/>
        <v>179715220102.87805</v>
      </c>
      <c r="BH11" s="316">
        <f t="shared" si="19"/>
        <v>5284248572.9673958</v>
      </c>
      <c r="BI11" s="316">
        <f t="shared" si="19"/>
        <v>0</v>
      </c>
      <c r="BJ11" s="316">
        <f t="shared" si="19"/>
        <v>0</v>
      </c>
      <c r="BK11" s="316">
        <f t="shared" si="19"/>
        <v>0</v>
      </c>
      <c r="BL11" s="316">
        <f t="shared" si="19"/>
        <v>0</v>
      </c>
      <c r="BM11" s="316">
        <f t="shared" si="19"/>
        <v>0</v>
      </c>
      <c r="BN11" s="316">
        <f t="shared" si="19"/>
        <v>0</v>
      </c>
      <c r="BO11" s="316">
        <f t="shared" si="19"/>
        <v>0</v>
      </c>
      <c r="BP11" s="316">
        <f t="shared" si="19"/>
        <v>10327819385.798977</v>
      </c>
      <c r="BQ11" s="316">
        <f t="shared" si="19"/>
        <v>25246618838.551487</v>
      </c>
      <c r="BR11" s="36">
        <v>0</v>
      </c>
      <c r="BS11" s="316">
        <f t="shared" ref="BS11:CD11" si="20">BS$83*BS59</f>
        <v>0</v>
      </c>
      <c r="BT11" s="316">
        <f t="shared" si="20"/>
        <v>0</v>
      </c>
      <c r="BU11" s="316">
        <f t="shared" si="20"/>
        <v>15928193003.495321</v>
      </c>
      <c r="BV11" s="316">
        <f t="shared" si="20"/>
        <v>0</v>
      </c>
      <c r="BW11" s="316">
        <f t="shared" si="20"/>
        <v>799119217.80103099</v>
      </c>
      <c r="BX11" s="316">
        <f t="shared" si="20"/>
        <v>30710419419.980049</v>
      </c>
      <c r="BY11" s="316">
        <f t="shared" si="20"/>
        <v>61751229042.705505</v>
      </c>
      <c r="BZ11" s="316">
        <f t="shared" si="20"/>
        <v>79577989927.784271</v>
      </c>
      <c r="CA11" s="316">
        <f t="shared" si="20"/>
        <v>1049908288539.3209</v>
      </c>
      <c r="CB11" s="316">
        <f t="shared" si="20"/>
        <v>0</v>
      </c>
      <c r="CC11" s="316">
        <f t="shared" si="20"/>
        <v>0</v>
      </c>
      <c r="CD11" s="316">
        <f t="shared" si="20"/>
        <v>25246618838.551487</v>
      </c>
      <c r="CE11" s="316">
        <f t="shared" si="4"/>
        <v>1049908288539.3209</v>
      </c>
      <c r="CF11" s="36">
        <v>0</v>
      </c>
      <c r="CG11" s="36">
        <v>0</v>
      </c>
    </row>
    <row r="12" spans="1:85" ht="3" customHeight="1">
      <c r="A12" s="38" t="s">
        <v>661</v>
      </c>
      <c r="B12" s="143" t="s">
        <v>636</v>
      </c>
      <c r="C12" s="38">
        <f t="shared" si="1"/>
        <v>4.9790644531239004E-3</v>
      </c>
      <c r="BE12" s="36"/>
      <c r="BF12" s="316">
        <f t="shared" ref="BF12:BQ12" si="21">BF$83*BF60</f>
        <v>0</v>
      </c>
      <c r="BG12" s="316">
        <f t="shared" si="21"/>
        <v>50109418051.708176</v>
      </c>
      <c r="BH12" s="316">
        <f t="shared" si="21"/>
        <v>1874076731.1825926</v>
      </c>
      <c r="BI12" s="316">
        <f t="shared" si="21"/>
        <v>0</v>
      </c>
      <c r="BJ12" s="316">
        <f t="shared" si="21"/>
        <v>0</v>
      </c>
      <c r="BK12" s="316">
        <f t="shared" si="21"/>
        <v>0</v>
      </c>
      <c r="BL12" s="316">
        <f t="shared" si="21"/>
        <v>0</v>
      </c>
      <c r="BM12" s="316">
        <f t="shared" si="21"/>
        <v>0</v>
      </c>
      <c r="BN12" s="316">
        <f t="shared" si="21"/>
        <v>0</v>
      </c>
      <c r="BO12" s="316">
        <f t="shared" si="21"/>
        <v>0</v>
      </c>
      <c r="BP12" s="316">
        <f t="shared" si="21"/>
        <v>53065942321.283348</v>
      </c>
      <c r="BQ12" s="316">
        <f t="shared" si="21"/>
        <v>45782660584.084091</v>
      </c>
      <c r="BR12" s="36">
        <v>0</v>
      </c>
      <c r="BS12" s="316">
        <f t="shared" ref="BS12:CD12" si="22">BS$83*BS60</f>
        <v>5980191512.8287363</v>
      </c>
      <c r="BT12" s="316">
        <f t="shared" si="22"/>
        <v>0</v>
      </c>
      <c r="BU12" s="316">
        <f t="shared" si="22"/>
        <v>7549154133.5725975</v>
      </c>
      <c r="BV12" s="316">
        <f t="shared" si="22"/>
        <v>0</v>
      </c>
      <c r="BW12" s="316">
        <f t="shared" si="22"/>
        <v>948002960.76958621</v>
      </c>
      <c r="BX12" s="316">
        <f t="shared" si="22"/>
        <v>67183144222.744675</v>
      </c>
      <c r="BY12" s="316">
        <f t="shared" si="22"/>
        <v>43100324000.276878</v>
      </c>
      <c r="BZ12" s="316">
        <f t="shared" si="22"/>
        <v>106437024456.47829</v>
      </c>
      <c r="CA12" s="316">
        <f t="shared" si="22"/>
        <v>2218663853890.2202</v>
      </c>
      <c r="CB12" s="316">
        <f t="shared" si="22"/>
        <v>0</v>
      </c>
      <c r="CC12" s="316">
        <f t="shared" si="22"/>
        <v>0</v>
      </c>
      <c r="CD12" s="316">
        <f t="shared" si="22"/>
        <v>45782660584.084091</v>
      </c>
      <c r="CE12" s="316">
        <f t="shared" si="4"/>
        <v>2218663853890.2202</v>
      </c>
      <c r="CF12" s="36">
        <v>0</v>
      </c>
      <c r="CG12" s="36">
        <v>0</v>
      </c>
    </row>
    <row r="13" spans="1:85" ht="3" customHeight="1">
      <c r="A13" s="38" t="s">
        <v>660</v>
      </c>
      <c r="B13" s="143" t="s">
        <v>637</v>
      </c>
      <c r="C13" s="38">
        <f t="shared" si="1"/>
        <v>3.8176775086192057E-2</v>
      </c>
      <c r="BE13" s="36"/>
      <c r="BF13" s="316">
        <f t="shared" ref="BF13:BQ13" si="23">BF$83*BF61</f>
        <v>2319350843.9615479</v>
      </c>
      <c r="BG13" s="316">
        <f t="shared" si="23"/>
        <v>95480429572.598892</v>
      </c>
      <c r="BH13" s="316">
        <f t="shared" si="23"/>
        <v>0</v>
      </c>
      <c r="BI13" s="316">
        <f t="shared" si="23"/>
        <v>0</v>
      </c>
      <c r="BJ13" s="316">
        <f t="shared" si="23"/>
        <v>0</v>
      </c>
      <c r="BK13" s="316">
        <f t="shared" si="23"/>
        <v>0</v>
      </c>
      <c r="BL13" s="316">
        <f t="shared" si="23"/>
        <v>0</v>
      </c>
      <c r="BM13" s="316">
        <f t="shared" si="23"/>
        <v>0</v>
      </c>
      <c r="BN13" s="316">
        <f t="shared" si="23"/>
        <v>0</v>
      </c>
      <c r="BO13" s="316">
        <f t="shared" si="23"/>
        <v>0</v>
      </c>
      <c r="BP13" s="316">
        <f t="shared" si="23"/>
        <v>0</v>
      </c>
      <c r="BQ13" s="316">
        <f t="shared" si="23"/>
        <v>6805714784.5293713</v>
      </c>
      <c r="BR13" s="36">
        <v>0</v>
      </c>
      <c r="BS13" s="316">
        <f t="shared" ref="BS13:CD13" si="24">BS$83*BS61</f>
        <v>28245180127.923664</v>
      </c>
      <c r="BT13" s="316">
        <f t="shared" si="24"/>
        <v>0</v>
      </c>
      <c r="BU13" s="316">
        <f t="shared" si="24"/>
        <v>0</v>
      </c>
      <c r="BV13" s="316">
        <f t="shared" si="24"/>
        <v>0</v>
      </c>
      <c r="BW13" s="316">
        <f t="shared" si="24"/>
        <v>471574983.27020937</v>
      </c>
      <c r="BX13" s="316">
        <f t="shared" si="24"/>
        <v>26661977055.609596</v>
      </c>
      <c r="BY13" s="316">
        <f t="shared" si="24"/>
        <v>19015080367.460217</v>
      </c>
      <c r="BZ13" s="316">
        <f t="shared" si="24"/>
        <v>8171863042.3189821</v>
      </c>
      <c r="CA13" s="316">
        <f t="shared" si="24"/>
        <v>262439386195.95569</v>
      </c>
      <c r="CB13" s="316">
        <f t="shared" si="24"/>
        <v>0</v>
      </c>
      <c r="CC13" s="316">
        <f t="shared" si="24"/>
        <v>0</v>
      </c>
      <c r="CD13" s="316">
        <f t="shared" si="24"/>
        <v>6805714784.5293713</v>
      </c>
      <c r="CE13" s="316">
        <f t="shared" si="4"/>
        <v>262439386195.95569</v>
      </c>
      <c r="CF13" s="36">
        <v>0</v>
      </c>
      <c r="CG13" s="36">
        <v>0</v>
      </c>
    </row>
    <row r="14" spans="1:85" ht="3" customHeight="1">
      <c r="A14" s="38" t="s">
        <v>660</v>
      </c>
      <c r="B14" s="143" t="s">
        <v>638</v>
      </c>
      <c r="C14" s="38">
        <f t="shared" si="1"/>
        <v>3.3637211462694362E-2</v>
      </c>
      <c r="BE14" s="36"/>
      <c r="BF14" s="316">
        <f t="shared" ref="BF14:BQ14" si="25">BF$83*BF62</f>
        <v>0</v>
      </c>
      <c r="BG14" s="316">
        <f t="shared" si="25"/>
        <v>71722783727.521851</v>
      </c>
      <c r="BH14" s="316">
        <f t="shared" si="25"/>
        <v>0</v>
      </c>
      <c r="BI14" s="316">
        <f t="shared" si="25"/>
        <v>0</v>
      </c>
      <c r="BJ14" s="316">
        <f t="shared" si="25"/>
        <v>0</v>
      </c>
      <c r="BK14" s="316">
        <f t="shared" si="25"/>
        <v>0</v>
      </c>
      <c r="BL14" s="316">
        <f t="shared" si="25"/>
        <v>0</v>
      </c>
      <c r="BM14" s="316">
        <f t="shared" si="25"/>
        <v>0</v>
      </c>
      <c r="BN14" s="316">
        <f t="shared" si="25"/>
        <v>0</v>
      </c>
      <c r="BO14" s="316">
        <f t="shared" si="25"/>
        <v>0</v>
      </c>
      <c r="BP14" s="316">
        <f t="shared" si="25"/>
        <v>0</v>
      </c>
      <c r="BQ14" s="316">
        <f t="shared" si="25"/>
        <v>7492259722.0136204</v>
      </c>
      <c r="BR14" s="36">
        <v>0</v>
      </c>
      <c r="BS14" s="316">
        <f t="shared" ref="BS14:CD14" si="26">BS$83*BS62</f>
        <v>0</v>
      </c>
      <c r="BT14" s="316">
        <f t="shared" si="26"/>
        <v>0</v>
      </c>
      <c r="BU14" s="316">
        <f t="shared" si="26"/>
        <v>0</v>
      </c>
      <c r="BV14" s="316">
        <f t="shared" si="26"/>
        <v>0</v>
      </c>
      <c r="BW14" s="316">
        <f t="shared" si="26"/>
        <v>148883742.96855521</v>
      </c>
      <c r="BX14" s="316">
        <f t="shared" si="26"/>
        <v>25272091380.809582</v>
      </c>
      <c r="BY14" s="316">
        <f t="shared" si="26"/>
        <v>19890553704.755085</v>
      </c>
      <c r="BZ14" s="316">
        <f t="shared" si="26"/>
        <v>0</v>
      </c>
      <c r="CA14" s="316">
        <f t="shared" si="26"/>
        <v>215418878392.26685</v>
      </c>
      <c r="CB14" s="316">
        <f t="shared" si="26"/>
        <v>0</v>
      </c>
      <c r="CC14" s="316">
        <f t="shared" si="26"/>
        <v>0</v>
      </c>
      <c r="CD14" s="316">
        <f t="shared" si="26"/>
        <v>7492259722.0136204</v>
      </c>
      <c r="CE14" s="316">
        <f t="shared" si="4"/>
        <v>215418878392.26685</v>
      </c>
      <c r="CF14" s="36">
        <v>0</v>
      </c>
      <c r="CG14" s="36">
        <v>0</v>
      </c>
    </row>
    <row r="15" spans="1:85" ht="3" customHeight="1">
      <c r="A15" s="38" t="s">
        <v>660</v>
      </c>
      <c r="B15" s="143" t="s">
        <v>639</v>
      </c>
      <c r="C15" s="38">
        <f t="shared" si="1"/>
        <v>6.0998308139386302E-2</v>
      </c>
      <c r="BE15" s="36"/>
      <c r="BF15" s="316">
        <f t="shared" ref="BF15:BQ15" si="27">BF$83*BF63</f>
        <v>150408984.91252765</v>
      </c>
      <c r="BG15" s="316">
        <f t="shared" si="27"/>
        <v>12909669380.777292</v>
      </c>
      <c r="BH15" s="316">
        <f t="shared" si="27"/>
        <v>0</v>
      </c>
      <c r="BI15" s="316">
        <f t="shared" si="27"/>
        <v>0</v>
      </c>
      <c r="BJ15" s="316">
        <f t="shared" si="27"/>
        <v>0</v>
      </c>
      <c r="BK15" s="316">
        <f t="shared" si="27"/>
        <v>0</v>
      </c>
      <c r="BL15" s="316">
        <f t="shared" si="27"/>
        <v>0</v>
      </c>
      <c r="BM15" s="316">
        <f t="shared" si="27"/>
        <v>0</v>
      </c>
      <c r="BN15" s="316">
        <f t="shared" si="27"/>
        <v>0</v>
      </c>
      <c r="BO15" s="316">
        <f t="shared" si="27"/>
        <v>0</v>
      </c>
      <c r="BP15" s="316">
        <f t="shared" si="27"/>
        <v>0</v>
      </c>
      <c r="BQ15" s="316">
        <f t="shared" si="27"/>
        <v>3266472796.4699979</v>
      </c>
      <c r="BR15" s="36">
        <v>0</v>
      </c>
      <c r="BS15" s="316">
        <f t="shared" ref="BS15:CD15" si="28">BS$83*BS63</f>
        <v>2320272161.8738203</v>
      </c>
      <c r="BT15" s="316">
        <f t="shared" si="28"/>
        <v>0</v>
      </c>
      <c r="BU15" s="316">
        <f t="shared" si="28"/>
        <v>0</v>
      </c>
      <c r="BV15" s="316">
        <f t="shared" si="28"/>
        <v>0</v>
      </c>
      <c r="BW15" s="316">
        <f t="shared" si="28"/>
        <v>382244737.48907626</v>
      </c>
      <c r="BX15" s="316">
        <f t="shared" si="28"/>
        <v>5901033254.6342907</v>
      </c>
      <c r="BY15" s="316">
        <f t="shared" si="28"/>
        <v>3252679885.5160775</v>
      </c>
      <c r="BZ15" s="316">
        <f t="shared" si="28"/>
        <v>0</v>
      </c>
      <c r="CA15" s="316">
        <f t="shared" si="28"/>
        <v>27493334670.363743</v>
      </c>
      <c r="CB15" s="316">
        <f t="shared" si="28"/>
        <v>0</v>
      </c>
      <c r="CC15" s="316">
        <f t="shared" si="28"/>
        <v>0</v>
      </c>
      <c r="CD15" s="316">
        <f t="shared" si="28"/>
        <v>3266472796.4699979</v>
      </c>
      <c r="CE15" s="316">
        <f t="shared" si="4"/>
        <v>27493334670.363743</v>
      </c>
      <c r="CF15" s="36">
        <v>0</v>
      </c>
      <c r="CG15" s="36">
        <v>0</v>
      </c>
    </row>
    <row r="16" spans="1:85" ht="3" customHeight="1">
      <c r="A16" s="38" t="s">
        <v>661</v>
      </c>
      <c r="B16" s="143" t="s">
        <v>640</v>
      </c>
      <c r="C16" s="38">
        <f t="shared" si="1"/>
        <v>9.0675614356894342E-3</v>
      </c>
      <c r="BE16" s="36"/>
      <c r="BF16" s="316">
        <f t="shared" ref="BF16:BQ16" si="29">BF$83*BF64</f>
        <v>0</v>
      </c>
      <c r="BG16" s="316">
        <f t="shared" si="29"/>
        <v>64518533872.145317</v>
      </c>
      <c r="BH16" s="316">
        <f t="shared" si="29"/>
        <v>0</v>
      </c>
      <c r="BI16" s="316">
        <f t="shared" si="29"/>
        <v>0</v>
      </c>
      <c r="BJ16" s="316">
        <f t="shared" si="29"/>
        <v>0</v>
      </c>
      <c r="BK16" s="316">
        <f t="shared" si="29"/>
        <v>0</v>
      </c>
      <c r="BL16" s="316">
        <f t="shared" si="29"/>
        <v>0</v>
      </c>
      <c r="BM16" s="316">
        <f t="shared" si="29"/>
        <v>0</v>
      </c>
      <c r="BN16" s="316">
        <f t="shared" si="29"/>
        <v>0</v>
      </c>
      <c r="BO16" s="316">
        <f t="shared" si="29"/>
        <v>0</v>
      </c>
      <c r="BP16" s="316">
        <f t="shared" si="29"/>
        <v>0</v>
      </c>
      <c r="BQ16" s="316">
        <f t="shared" si="29"/>
        <v>9921711859.5854931</v>
      </c>
      <c r="BR16" s="36">
        <v>0</v>
      </c>
      <c r="BS16" s="316">
        <f t="shared" ref="BS16:CD16" si="30">BS$83*BS64</f>
        <v>5649215489.1065712</v>
      </c>
      <c r="BT16" s="316">
        <f t="shared" si="30"/>
        <v>0</v>
      </c>
      <c r="BU16" s="316">
        <f t="shared" si="30"/>
        <v>713498182.20985913</v>
      </c>
      <c r="BV16" s="316">
        <f t="shared" si="30"/>
        <v>0</v>
      </c>
      <c r="BW16" s="316">
        <f t="shared" si="30"/>
        <v>420302530.31625849</v>
      </c>
      <c r="BX16" s="316">
        <f t="shared" si="30"/>
        <v>27542512538.453075</v>
      </c>
      <c r="BY16" s="316">
        <f t="shared" si="30"/>
        <v>4496753857.515727</v>
      </c>
      <c r="BZ16" s="316">
        <f t="shared" si="30"/>
        <v>6418255777.5119362</v>
      </c>
      <c r="CA16" s="316">
        <f t="shared" si="30"/>
        <v>180676263569.10138</v>
      </c>
      <c r="CB16" s="316">
        <f t="shared" si="30"/>
        <v>0</v>
      </c>
      <c r="CC16" s="316">
        <f t="shared" si="30"/>
        <v>0</v>
      </c>
      <c r="CD16" s="316">
        <f t="shared" si="30"/>
        <v>9921711859.5854931</v>
      </c>
      <c r="CE16" s="316">
        <f t="shared" si="4"/>
        <v>180676263569.10138</v>
      </c>
      <c r="CF16" s="36">
        <v>0</v>
      </c>
      <c r="CG16" s="36">
        <v>0</v>
      </c>
    </row>
    <row r="17" spans="1:85" ht="3" customHeight="1">
      <c r="A17" s="38" t="s">
        <v>661</v>
      </c>
      <c r="B17" s="143" t="s">
        <v>641</v>
      </c>
      <c r="C17" s="38">
        <f t="shared" si="1"/>
        <v>9.9822762887348798E-3</v>
      </c>
      <c r="BE17" s="36"/>
      <c r="BF17" s="316">
        <f t="shared" ref="BF17:BQ17" si="31">BF$83*BF65</f>
        <v>1405839979.9598584</v>
      </c>
      <c r="BG17" s="316">
        <f t="shared" si="31"/>
        <v>81540059676.991409</v>
      </c>
      <c r="BH17" s="316">
        <f t="shared" si="31"/>
        <v>0</v>
      </c>
      <c r="BI17" s="316">
        <f t="shared" si="31"/>
        <v>0</v>
      </c>
      <c r="BJ17" s="316">
        <f t="shared" si="31"/>
        <v>0</v>
      </c>
      <c r="BK17" s="316">
        <f t="shared" si="31"/>
        <v>0</v>
      </c>
      <c r="BL17" s="316">
        <f t="shared" si="31"/>
        <v>0</v>
      </c>
      <c r="BM17" s="316">
        <f t="shared" si="31"/>
        <v>0</v>
      </c>
      <c r="BN17" s="316">
        <f t="shared" si="31"/>
        <v>0</v>
      </c>
      <c r="BO17" s="316">
        <f t="shared" si="31"/>
        <v>0</v>
      </c>
      <c r="BP17" s="316">
        <f t="shared" si="31"/>
        <v>0</v>
      </c>
      <c r="BQ17" s="316">
        <f t="shared" si="31"/>
        <v>7836927008.6006193</v>
      </c>
      <c r="BR17" s="36">
        <v>0</v>
      </c>
      <c r="BS17" s="316">
        <f t="shared" ref="BS17:CD17" si="32">BS$83*BS65</f>
        <v>24560854927.618729</v>
      </c>
      <c r="BT17" s="316">
        <f t="shared" si="32"/>
        <v>0</v>
      </c>
      <c r="BU17" s="316">
        <f t="shared" si="32"/>
        <v>0</v>
      </c>
      <c r="BV17" s="316">
        <f t="shared" si="32"/>
        <v>0</v>
      </c>
      <c r="BW17" s="316">
        <f t="shared" si="32"/>
        <v>352467988.89536524</v>
      </c>
      <c r="BX17" s="316">
        <f t="shared" si="32"/>
        <v>10718329002.733831</v>
      </c>
      <c r="BY17" s="316">
        <f t="shared" si="32"/>
        <v>0</v>
      </c>
      <c r="BZ17" s="316">
        <f t="shared" si="32"/>
        <v>9199545657.0148087</v>
      </c>
      <c r="CA17" s="316">
        <f t="shared" si="32"/>
        <v>252854006649.90402</v>
      </c>
      <c r="CB17" s="316">
        <f t="shared" si="32"/>
        <v>0</v>
      </c>
      <c r="CC17" s="316">
        <f t="shared" si="32"/>
        <v>0</v>
      </c>
      <c r="CD17" s="316">
        <f t="shared" si="32"/>
        <v>7836927008.6006193</v>
      </c>
      <c r="CE17" s="316">
        <f t="shared" si="4"/>
        <v>252854006649.90402</v>
      </c>
      <c r="CF17" s="36">
        <v>0</v>
      </c>
      <c r="CG17" s="36">
        <v>0</v>
      </c>
    </row>
    <row r="18" spans="1:85" ht="3" customHeight="1">
      <c r="A18" s="38" t="s">
        <v>661</v>
      </c>
      <c r="B18" s="143" t="s">
        <v>642</v>
      </c>
      <c r="C18" s="38">
        <f t="shared" si="1"/>
        <v>4.3520693560842759E-3</v>
      </c>
      <c r="BE18" s="36"/>
      <c r="BF18" s="316">
        <f t="shared" ref="BF18:BQ18" si="33">BF$83*BF66</f>
        <v>0</v>
      </c>
      <c r="BG18" s="316">
        <f t="shared" si="33"/>
        <v>163460227529.53613</v>
      </c>
      <c r="BH18" s="316">
        <f t="shared" si="33"/>
        <v>221758599.77692968</v>
      </c>
      <c r="BI18" s="316">
        <f t="shared" si="33"/>
        <v>0</v>
      </c>
      <c r="BJ18" s="316">
        <f t="shared" si="33"/>
        <v>0</v>
      </c>
      <c r="BK18" s="316">
        <f t="shared" si="33"/>
        <v>0</v>
      </c>
      <c r="BL18" s="316">
        <f t="shared" si="33"/>
        <v>0</v>
      </c>
      <c r="BM18" s="316">
        <f t="shared" si="33"/>
        <v>0</v>
      </c>
      <c r="BN18" s="316">
        <f t="shared" si="33"/>
        <v>0</v>
      </c>
      <c r="BO18" s="316">
        <f t="shared" si="33"/>
        <v>0</v>
      </c>
      <c r="BP18" s="316">
        <f t="shared" si="33"/>
        <v>41414336933.652786</v>
      </c>
      <c r="BQ18" s="316">
        <f t="shared" si="33"/>
        <v>28834800739.689732</v>
      </c>
      <c r="BR18" s="36">
        <v>0</v>
      </c>
      <c r="BS18" s="316">
        <f t="shared" ref="BS18:CD18" si="34">BS$83*BS66</f>
        <v>0</v>
      </c>
      <c r="BT18" s="316">
        <f t="shared" si="34"/>
        <v>0</v>
      </c>
      <c r="BU18" s="316">
        <f t="shared" si="34"/>
        <v>939748404.90009856</v>
      </c>
      <c r="BV18" s="316">
        <f t="shared" si="34"/>
        <v>0</v>
      </c>
      <c r="BW18" s="316">
        <f t="shared" si="34"/>
        <v>2119660927.6013587</v>
      </c>
      <c r="BX18" s="316">
        <f t="shared" si="34"/>
        <v>69058165615.885437</v>
      </c>
      <c r="BY18" s="316">
        <f t="shared" si="34"/>
        <v>46842871414.861679</v>
      </c>
      <c r="BZ18" s="316">
        <f t="shared" si="34"/>
        <v>118743409778.7941</v>
      </c>
      <c r="CA18" s="316">
        <f t="shared" si="34"/>
        <v>2695095756018.167</v>
      </c>
      <c r="CB18" s="316">
        <f t="shared" si="34"/>
        <v>167496220535.87451</v>
      </c>
      <c r="CC18" s="316">
        <f t="shared" si="34"/>
        <v>0</v>
      </c>
      <c r="CD18" s="316">
        <f t="shared" si="34"/>
        <v>28834800739.689732</v>
      </c>
      <c r="CE18" s="316">
        <f t="shared" si="4"/>
        <v>2695095756018.167</v>
      </c>
      <c r="CF18" s="36">
        <v>0</v>
      </c>
      <c r="CG18" s="36">
        <v>0</v>
      </c>
    </row>
    <row r="19" spans="1:85" ht="3" customHeight="1">
      <c r="A19" s="38" t="s">
        <v>661</v>
      </c>
      <c r="B19" s="143" t="s">
        <v>643</v>
      </c>
      <c r="C19" s="38">
        <f t="shared" si="1"/>
        <v>1.3219145186411341E-2</v>
      </c>
      <c r="BE19" s="36"/>
      <c r="BF19" s="316">
        <f t="shared" ref="BF19:BQ19" si="35">BF$83*BF67</f>
        <v>0</v>
      </c>
      <c r="BG19" s="316">
        <f t="shared" si="35"/>
        <v>0</v>
      </c>
      <c r="BH19" s="316">
        <f t="shared" si="35"/>
        <v>2829485656.3300371</v>
      </c>
      <c r="BI19" s="316">
        <f t="shared" si="35"/>
        <v>0</v>
      </c>
      <c r="BJ19" s="316">
        <f t="shared" si="35"/>
        <v>0</v>
      </c>
      <c r="BK19" s="316">
        <f t="shared" si="35"/>
        <v>0</v>
      </c>
      <c r="BL19" s="316">
        <f t="shared" si="35"/>
        <v>0</v>
      </c>
      <c r="BM19" s="316">
        <f t="shared" si="35"/>
        <v>0</v>
      </c>
      <c r="BN19" s="316">
        <f t="shared" si="35"/>
        <v>0</v>
      </c>
      <c r="BO19" s="316">
        <f t="shared" si="35"/>
        <v>0</v>
      </c>
      <c r="BP19" s="316">
        <f t="shared" si="35"/>
        <v>86648295506.865616</v>
      </c>
      <c r="BQ19" s="316">
        <f t="shared" si="35"/>
        <v>7078561947.3026209</v>
      </c>
      <c r="BR19" s="36">
        <v>0</v>
      </c>
      <c r="BS19" s="316">
        <f t="shared" ref="BS19:CD19" si="36">BS$83*BS67</f>
        <v>0</v>
      </c>
      <c r="BT19" s="316">
        <f t="shared" si="36"/>
        <v>0</v>
      </c>
      <c r="BU19" s="316">
        <f t="shared" si="36"/>
        <v>10679570987.667633</v>
      </c>
      <c r="BV19" s="316">
        <f t="shared" si="36"/>
        <v>0</v>
      </c>
      <c r="BW19" s="316">
        <f t="shared" si="36"/>
        <v>14913861778.563942</v>
      </c>
      <c r="BX19" s="316">
        <f t="shared" si="36"/>
        <v>95750677638.39679</v>
      </c>
      <c r="BY19" s="316">
        <f t="shared" si="36"/>
        <v>179339102484.46341</v>
      </c>
      <c r="BZ19" s="316">
        <f t="shared" si="36"/>
        <v>115734987357.19081</v>
      </c>
      <c r="CA19" s="316">
        <f t="shared" si="36"/>
        <v>2975342433330.001</v>
      </c>
      <c r="CB19" s="316">
        <f t="shared" si="36"/>
        <v>271086008400.88074</v>
      </c>
      <c r="CC19" s="316">
        <f t="shared" si="36"/>
        <v>0</v>
      </c>
      <c r="CD19" s="316">
        <f t="shared" si="36"/>
        <v>7078561947.3026209</v>
      </c>
      <c r="CE19" s="316">
        <f t="shared" si="4"/>
        <v>2975342433330.001</v>
      </c>
      <c r="CF19" s="36">
        <v>0</v>
      </c>
      <c r="CG19" s="36">
        <v>0</v>
      </c>
    </row>
    <row r="20" spans="1:85" ht="3" customHeight="1">
      <c r="A20" s="38" t="s">
        <v>661</v>
      </c>
      <c r="B20" s="143" t="s">
        <v>644</v>
      </c>
      <c r="C20" s="38">
        <f t="shared" si="1"/>
        <v>1.0441492094120134E-2</v>
      </c>
      <c r="BE20" s="36"/>
      <c r="BF20" s="316">
        <f t="shared" ref="BF20:BQ20" si="37">BF$83*BF68</f>
        <v>27047955.430393141</v>
      </c>
      <c r="BG20" s="316">
        <f t="shared" si="37"/>
        <v>41268245636.702408</v>
      </c>
      <c r="BH20" s="316">
        <f t="shared" si="37"/>
        <v>0</v>
      </c>
      <c r="BI20" s="316">
        <f t="shared" si="37"/>
        <v>0</v>
      </c>
      <c r="BJ20" s="316">
        <f t="shared" si="37"/>
        <v>0</v>
      </c>
      <c r="BK20" s="316">
        <f t="shared" si="37"/>
        <v>0</v>
      </c>
      <c r="BL20" s="316">
        <f t="shared" si="37"/>
        <v>0</v>
      </c>
      <c r="BM20" s="316">
        <f t="shared" si="37"/>
        <v>0</v>
      </c>
      <c r="BN20" s="316">
        <f t="shared" si="37"/>
        <v>0</v>
      </c>
      <c r="BO20" s="316">
        <f t="shared" si="37"/>
        <v>0</v>
      </c>
      <c r="BP20" s="316">
        <f t="shared" si="37"/>
        <v>0</v>
      </c>
      <c r="BQ20" s="316">
        <f t="shared" si="37"/>
        <v>1289691030.3493116</v>
      </c>
      <c r="BR20" s="36">
        <v>0</v>
      </c>
      <c r="BS20" s="316">
        <f t="shared" ref="BS20:CD20" si="38">BS$83*BS68</f>
        <v>2657707968.4044585</v>
      </c>
      <c r="BT20" s="316">
        <f t="shared" si="38"/>
        <v>0</v>
      </c>
      <c r="BU20" s="316">
        <f t="shared" si="38"/>
        <v>0</v>
      </c>
      <c r="BV20" s="316">
        <f t="shared" si="38"/>
        <v>0</v>
      </c>
      <c r="BW20" s="316">
        <f t="shared" si="38"/>
        <v>89330245.78113313</v>
      </c>
      <c r="BX20" s="316">
        <f t="shared" si="38"/>
        <v>10803744660.161978</v>
      </c>
      <c r="BY20" s="316">
        <f t="shared" si="38"/>
        <v>9294946150.1567192</v>
      </c>
      <c r="BZ20" s="316">
        <f t="shared" si="38"/>
        <v>16983462791.483137</v>
      </c>
      <c r="CA20" s="316">
        <f t="shared" si="38"/>
        <v>0</v>
      </c>
      <c r="CB20" s="316">
        <f t="shared" si="38"/>
        <v>0</v>
      </c>
      <c r="CC20" s="316">
        <f t="shared" si="38"/>
        <v>0</v>
      </c>
      <c r="CD20" s="316">
        <f t="shared" si="38"/>
        <v>1289691030.3493116</v>
      </c>
      <c r="CE20" s="316">
        <f t="shared" si="4"/>
        <v>0</v>
      </c>
      <c r="CF20" s="36">
        <v>0</v>
      </c>
      <c r="CG20" s="36">
        <v>0</v>
      </c>
    </row>
    <row r="21" spans="1:85" ht="3" customHeight="1">
      <c r="A21" s="38" t="s">
        <v>660</v>
      </c>
      <c r="B21" s="143" t="s">
        <v>645</v>
      </c>
      <c r="C21" s="38">
        <f t="shared" si="1"/>
        <v>3.8417908400650146E-2</v>
      </c>
      <c r="BE21" s="36"/>
      <c r="BF21" s="316">
        <f t="shared" ref="BF21:BQ21" si="39">BF$83*BF69</f>
        <v>0</v>
      </c>
      <c r="BG21" s="316">
        <f t="shared" si="39"/>
        <v>125317474157.79962</v>
      </c>
      <c r="BH21" s="316">
        <f t="shared" si="39"/>
        <v>0</v>
      </c>
      <c r="BI21" s="316">
        <f t="shared" si="39"/>
        <v>0</v>
      </c>
      <c r="BJ21" s="316">
        <f t="shared" si="39"/>
        <v>0</v>
      </c>
      <c r="BK21" s="316">
        <f t="shared" si="39"/>
        <v>0</v>
      </c>
      <c r="BL21" s="316">
        <f t="shared" si="39"/>
        <v>0</v>
      </c>
      <c r="BM21" s="316">
        <f t="shared" si="39"/>
        <v>0</v>
      </c>
      <c r="BN21" s="316">
        <f t="shared" si="39"/>
        <v>0</v>
      </c>
      <c r="BO21" s="316">
        <f t="shared" si="39"/>
        <v>0</v>
      </c>
      <c r="BP21" s="316">
        <f t="shared" si="39"/>
        <v>31674362593.931992</v>
      </c>
      <c r="BQ21" s="316">
        <f t="shared" si="39"/>
        <v>22996474433.497486</v>
      </c>
      <c r="BR21" s="36">
        <v>0</v>
      </c>
      <c r="BS21" s="316">
        <f t="shared" ref="BS21:CD21" si="40">BS$83*BS69</f>
        <v>0</v>
      </c>
      <c r="BT21" s="316">
        <f t="shared" si="40"/>
        <v>0</v>
      </c>
      <c r="BU21" s="316">
        <f t="shared" si="40"/>
        <v>0</v>
      </c>
      <c r="BV21" s="316">
        <f t="shared" si="40"/>
        <v>0</v>
      </c>
      <c r="BW21" s="316">
        <f t="shared" si="40"/>
        <v>1037333206.5507193</v>
      </c>
      <c r="BX21" s="316">
        <f t="shared" si="40"/>
        <v>82961207576.923676</v>
      </c>
      <c r="BY21" s="316">
        <f t="shared" si="40"/>
        <v>28776117026.246052</v>
      </c>
      <c r="BZ21" s="316">
        <f t="shared" si="40"/>
        <v>108774603146.91698</v>
      </c>
      <c r="CA21" s="316">
        <f t="shared" si="40"/>
        <v>1713694757841.6213</v>
      </c>
      <c r="CB21" s="316">
        <f t="shared" si="40"/>
        <v>116042125080.63898</v>
      </c>
      <c r="CC21" s="316">
        <f t="shared" si="40"/>
        <v>0</v>
      </c>
      <c r="CD21" s="316">
        <f t="shared" si="40"/>
        <v>22996474433.497486</v>
      </c>
      <c r="CE21" s="316">
        <f t="shared" si="4"/>
        <v>1713694757841.6213</v>
      </c>
      <c r="CF21" s="36">
        <v>0</v>
      </c>
      <c r="CG21" s="36">
        <v>0</v>
      </c>
    </row>
    <row r="22" spans="1:85" ht="3" customHeight="1">
      <c r="A22" s="38" t="s">
        <v>660</v>
      </c>
      <c r="B22" s="143" t="s">
        <v>646</v>
      </c>
      <c r="C22" s="38">
        <f t="shared" si="1"/>
        <v>9.4310880437430047E-3</v>
      </c>
      <c r="BE22" s="36"/>
      <c r="BF22" s="316">
        <f t="shared" ref="BF22:BQ22" si="41">BF$83*BF70</f>
        <v>637928213.82687187</v>
      </c>
      <c r="BG22" s="316">
        <f t="shared" si="41"/>
        <v>26218356886.060131</v>
      </c>
      <c r="BH22" s="316">
        <f t="shared" si="41"/>
        <v>0</v>
      </c>
      <c r="BI22" s="316">
        <f t="shared" si="41"/>
        <v>0</v>
      </c>
      <c r="BJ22" s="316">
        <f t="shared" si="41"/>
        <v>0</v>
      </c>
      <c r="BK22" s="316">
        <f t="shared" si="41"/>
        <v>0</v>
      </c>
      <c r="BL22" s="316">
        <f t="shared" si="41"/>
        <v>0</v>
      </c>
      <c r="BM22" s="316">
        <f t="shared" si="41"/>
        <v>0</v>
      </c>
      <c r="BN22" s="316">
        <f t="shared" si="41"/>
        <v>0</v>
      </c>
      <c r="BO22" s="316">
        <f t="shared" si="41"/>
        <v>0</v>
      </c>
      <c r="BP22" s="316">
        <f t="shared" si="41"/>
        <v>0</v>
      </c>
      <c r="BQ22" s="316">
        <f t="shared" si="41"/>
        <v>18002207851.414299</v>
      </c>
      <c r="BR22" s="36">
        <v>0</v>
      </c>
      <c r="BS22" s="316">
        <f t="shared" ref="BS22:CD22" si="42">BS$83*BS70</f>
        <v>9430558849.2233696</v>
      </c>
      <c r="BT22" s="316">
        <f t="shared" si="42"/>
        <v>0</v>
      </c>
      <c r="BU22" s="316">
        <f t="shared" si="42"/>
        <v>0</v>
      </c>
      <c r="BV22" s="316">
        <f t="shared" si="42"/>
        <v>0</v>
      </c>
      <c r="BW22" s="316">
        <f t="shared" si="42"/>
        <v>148883742.96855524</v>
      </c>
      <c r="BX22" s="316">
        <f t="shared" si="42"/>
        <v>9928610297.484087</v>
      </c>
      <c r="BY22" s="316">
        <f t="shared" si="42"/>
        <v>0</v>
      </c>
      <c r="BZ22" s="316">
        <f t="shared" si="42"/>
        <v>13076623511.258631</v>
      </c>
      <c r="CA22" s="316">
        <f t="shared" si="42"/>
        <v>8539333682.7859592</v>
      </c>
      <c r="CB22" s="316">
        <f t="shared" si="42"/>
        <v>0</v>
      </c>
      <c r="CC22" s="316">
        <f t="shared" si="42"/>
        <v>0</v>
      </c>
      <c r="CD22" s="316">
        <f t="shared" si="42"/>
        <v>18002207851.414299</v>
      </c>
      <c r="CE22" s="316">
        <f t="shared" si="4"/>
        <v>8539333682.7859592</v>
      </c>
      <c r="CF22" s="36">
        <v>0</v>
      </c>
      <c r="CG22" s="36">
        <v>0</v>
      </c>
    </row>
    <row r="23" spans="1:85" ht="3" customHeight="1">
      <c r="A23" s="38" t="s">
        <v>661</v>
      </c>
      <c r="B23" s="143" t="s">
        <v>648</v>
      </c>
      <c r="C23" s="38">
        <f t="shared" si="1"/>
        <v>1.7183136556550068E-3</v>
      </c>
      <c r="BE23" s="36"/>
      <c r="BF23" s="316">
        <f t="shared" ref="BF23:BQ23" si="43">BF$83*BF71</f>
        <v>0</v>
      </c>
      <c r="BG23" s="316">
        <f t="shared" si="43"/>
        <v>10710559151.298115</v>
      </c>
      <c r="BH23" s="316">
        <f t="shared" si="43"/>
        <v>0</v>
      </c>
      <c r="BI23" s="316">
        <f t="shared" si="43"/>
        <v>0</v>
      </c>
      <c r="BJ23" s="316">
        <f t="shared" si="43"/>
        <v>0</v>
      </c>
      <c r="BK23" s="316">
        <f t="shared" si="43"/>
        <v>0</v>
      </c>
      <c r="BL23" s="316">
        <f t="shared" si="43"/>
        <v>0</v>
      </c>
      <c r="BM23" s="316">
        <f t="shared" si="43"/>
        <v>0</v>
      </c>
      <c r="BN23" s="316">
        <f t="shared" si="43"/>
        <v>0</v>
      </c>
      <c r="BO23" s="316">
        <f t="shared" si="43"/>
        <v>0</v>
      </c>
      <c r="BP23" s="316">
        <f t="shared" si="43"/>
        <v>0</v>
      </c>
      <c r="BQ23" s="316">
        <f t="shared" si="43"/>
        <v>546040864.14149952</v>
      </c>
      <c r="BR23" s="36">
        <v>0</v>
      </c>
      <c r="BS23" s="316">
        <f t="shared" ref="BS23:CD23" si="44">BS$83*BS71</f>
        <v>3160324977.1314087</v>
      </c>
      <c r="BT23" s="316">
        <f t="shared" si="44"/>
        <v>0</v>
      </c>
      <c r="BU23" s="316">
        <f t="shared" si="44"/>
        <v>0</v>
      </c>
      <c r="BV23" s="316">
        <f t="shared" si="44"/>
        <v>0</v>
      </c>
      <c r="BW23" s="316">
        <f t="shared" si="44"/>
        <v>620458726.23876452</v>
      </c>
      <c r="BX23" s="316">
        <f t="shared" si="44"/>
        <v>1058367820.7825664</v>
      </c>
      <c r="BY23" s="316">
        <f t="shared" si="44"/>
        <v>0</v>
      </c>
      <c r="BZ23" s="316">
        <f t="shared" si="44"/>
        <v>0</v>
      </c>
      <c r="CA23" s="316">
        <f t="shared" si="44"/>
        <v>21687919682.198128</v>
      </c>
      <c r="CB23" s="316">
        <f t="shared" si="44"/>
        <v>0</v>
      </c>
      <c r="CC23" s="316">
        <f t="shared" si="44"/>
        <v>0</v>
      </c>
      <c r="CD23" s="316">
        <f t="shared" si="44"/>
        <v>546040864.14149952</v>
      </c>
      <c r="CE23" s="316">
        <f t="shared" si="4"/>
        <v>21687919682.198128</v>
      </c>
      <c r="CF23" s="36">
        <v>0</v>
      </c>
      <c r="CG23" s="36">
        <v>0</v>
      </c>
    </row>
    <row r="24" spans="1:85" ht="3" customHeight="1">
      <c r="A24" s="38" t="s">
        <v>660</v>
      </c>
      <c r="B24" s="143" t="s">
        <v>649</v>
      </c>
      <c r="C24" s="38">
        <f t="shared" si="1"/>
        <v>3.0639242362023193E-2</v>
      </c>
      <c r="BE24" s="36"/>
      <c r="BF24" s="316">
        <f t="shared" ref="BF24:BQ24" si="45">BF$83*BF72</f>
        <v>3123343747.3870325</v>
      </c>
      <c r="BG24" s="316">
        <f t="shared" si="45"/>
        <v>227735704440.28192</v>
      </c>
      <c r="BH24" s="316">
        <f t="shared" si="45"/>
        <v>679361449.8628974</v>
      </c>
      <c r="BI24" s="316">
        <f t="shared" si="45"/>
        <v>0</v>
      </c>
      <c r="BJ24" s="316">
        <f t="shared" si="45"/>
        <v>0</v>
      </c>
      <c r="BK24" s="316">
        <f t="shared" si="45"/>
        <v>0</v>
      </c>
      <c r="BL24" s="316">
        <f t="shared" si="45"/>
        <v>0</v>
      </c>
      <c r="BM24" s="316">
        <f t="shared" si="45"/>
        <v>0</v>
      </c>
      <c r="BN24" s="316">
        <f t="shared" si="45"/>
        <v>0</v>
      </c>
      <c r="BO24" s="316">
        <f t="shared" si="45"/>
        <v>0</v>
      </c>
      <c r="BP24" s="316">
        <f t="shared" si="45"/>
        <v>0</v>
      </c>
      <c r="BQ24" s="316">
        <f t="shared" si="45"/>
        <v>126522150698.31181</v>
      </c>
      <c r="BR24" s="36">
        <v>0</v>
      </c>
      <c r="BS24" s="316">
        <f t="shared" ref="BS24:CD24" si="46">BS$83*BS72</f>
        <v>41102022468.192619</v>
      </c>
      <c r="BT24" s="316">
        <f t="shared" si="46"/>
        <v>0</v>
      </c>
      <c r="BU24" s="316">
        <f t="shared" si="46"/>
        <v>2878936102.146574</v>
      </c>
      <c r="BV24" s="316">
        <f t="shared" si="46"/>
        <v>0</v>
      </c>
      <c r="BW24" s="316">
        <f t="shared" si="46"/>
        <v>769342469.20731974</v>
      </c>
      <c r="BX24" s="316">
        <f t="shared" si="46"/>
        <v>30639393571.233181</v>
      </c>
      <c r="BY24" s="316">
        <f t="shared" si="46"/>
        <v>7296874229.1356077</v>
      </c>
      <c r="BZ24" s="316">
        <f t="shared" si="46"/>
        <v>64778098613.938454</v>
      </c>
      <c r="CA24" s="316">
        <f t="shared" si="46"/>
        <v>1220799597087.9795</v>
      </c>
      <c r="CB24" s="316">
        <f t="shared" si="46"/>
        <v>52242164711.30368</v>
      </c>
      <c r="CC24" s="316">
        <f t="shared" si="46"/>
        <v>0</v>
      </c>
      <c r="CD24" s="316">
        <f t="shared" si="46"/>
        <v>126522150698.31181</v>
      </c>
      <c r="CE24" s="316">
        <f t="shared" si="4"/>
        <v>1220799597087.9795</v>
      </c>
      <c r="CF24" s="36">
        <v>0</v>
      </c>
      <c r="CG24" s="36">
        <v>0</v>
      </c>
    </row>
    <row r="25" spans="1:85" ht="3" customHeight="1">
      <c r="A25" s="38" t="s">
        <v>660</v>
      </c>
      <c r="B25" s="143" t="s">
        <v>650</v>
      </c>
      <c r="C25" s="38">
        <f t="shared" si="1"/>
        <v>2.3985155246560624E-2</v>
      </c>
      <c r="BE25" s="36"/>
      <c r="BF25" s="316">
        <f t="shared" ref="BF25:BQ25" si="47">BF$83*BF73</f>
        <v>0</v>
      </c>
      <c r="BG25" s="316">
        <f t="shared" si="47"/>
        <v>25297757593.616013</v>
      </c>
      <c r="BH25" s="316">
        <f t="shared" si="47"/>
        <v>0</v>
      </c>
      <c r="BI25" s="316">
        <f t="shared" si="47"/>
        <v>0</v>
      </c>
      <c r="BJ25" s="316">
        <f t="shared" si="47"/>
        <v>0</v>
      </c>
      <c r="BK25" s="316">
        <f t="shared" si="47"/>
        <v>0</v>
      </c>
      <c r="BL25" s="316">
        <f t="shared" si="47"/>
        <v>0</v>
      </c>
      <c r="BM25" s="316">
        <f t="shared" si="47"/>
        <v>0</v>
      </c>
      <c r="BN25" s="316">
        <f t="shared" si="47"/>
        <v>0</v>
      </c>
      <c r="BO25" s="316">
        <f t="shared" si="47"/>
        <v>0</v>
      </c>
      <c r="BP25" s="316">
        <f t="shared" si="47"/>
        <v>0</v>
      </c>
      <c r="BQ25" s="316">
        <f t="shared" si="47"/>
        <v>532504200.27431214</v>
      </c>
      <c r="BR25" s="36">
        <v>0</v>
      </c>
      <c r="BS25" s="316">
        <f t="shared" ref="BS25:CD25" si="48">BS$83*BS73</f>
        <v>0</v>
      </c>
      <c r="BT25" s="316">
        <f t="shared" si="48"/>
        <v>0</v>
      </c>
      <c r="BU25" s="316">
        <f t="shared" si="48"/>
        <v>858930126.69404757</v>
      </c>
      <c r="BV25" s="316">
        <f t="shared" si="48"/>
        <v>0</v>
      </c>
      <c r="BW25" s="316">
        <f t="shared" si="48"/>
        <v>29776748.593711048</v>
      </c>
      <c r="BX25" s="316">
        <f t="shared" si="48"/>
        <v>6719052571.8917904</v>
      </c>
      <c r="BY25" s="316">
        <f t="shared" si="48"/>
        <v>3943763079.889668</v>
      </c>
      <c r="BZ25" s="316">
        <f t="shared" si="48"/>
        <v>0</v>
      </c>
      <c r="CA25" s="316">
        <f t="shared" si="48"/>
        <v>133895775134.27388</v>
      </c>
      <c r="CB25" s="316">
        <f t="shared" si="48"/>
        <v>0</v>
      </c>
      <c r="CC25" s="316">
        <f t="shared" si="48"/>
        <v>0</v>
      </c>
      <c r="CD25" s="316">
        <f t="shared" si="48"/>
        <v>532504200.27431214</v>
      </c>
      <c r="CE25" s="316">
        <f t="shared" si="4"/>
        <v>133895775134.27388</v>
      </c>
      <c r="CF25" s="36">
        <v>0</v>
      </c>
      <c r="CG25" s="36">
        <v>0</v>
      </c>
    </row>
    <row r="26" spans="1:85" ht="3" customHeight="1">
      <c r="A26" s="38" t="s">
        <v>661</v>
      </c>
      <c r="B26" s="143" t="s">
        <v>651</v>
      </c>
      <c r="C26" s="38">
        <f t="shared" si="1"/>
        <v>7.2751492514131052E-4</v>
      </c>
      <c r="BE26" s="36"/>
      <c r="BF26" s="316">
        <f t="shared" ref="BF26:BQ26" si="49">BF$83*BF74</f>
        <v>192515813.88029832</v>
      </c>
      <c r="BG26" s="316">
        <f t="shared" si="49"/>
        <v>7443068167.6638746</v>
      </c>
      <c r="BH26" s="316">
        <f t="shared" si="49"/>
        <v>0</v>
      </c>
      <c r="BI26" s="316">
        <f t="shared" si="49"/>
        <v>0</v>
      </c>
      <c r="BJ26" s="316">
        <f t="shared" si="49"/>
        <v>0</v>
      </c>
      <c r="BK26" s="316">
        <f t="shared" si="49"/>
        <v>0</v>
      </c>
      <c r="BL26" s="316">
        <f t="shared" si="49"/>
        <v>0</v>
      </c>
      <c r="BM26" s="316">
        <f t="shared" si="49"/>
        <v>0</v>
      </c>
      <c r="BN26" s="316">
        <f t="shared" si="49"/>
        <v>0</v>
      </c>
      <c r="BO26" s="316">
        <f t="shared" si="49"/>
        <v>0</v>
      </c>
      <c r="BP26" s="316">
        <f t="shared" si="49"/>
        <v>0</v>
      </c>
      <c r="BQ26" s="316">
        <f t="shared" si="49"/>
        <v>795652614.11999953</v>
      </c>
      <c r="BR26" s="36">
        <v>0</v>
      </c>
      <c r="BS26" s="316">
        <f t="shared" ref="BS26:CD26" si="50">BS$83*BS74</f>
        <v>5508628262.5234842</v>
      </c>
      <c r="BT26" s="316">
        <f t="shared" si="50"/>
        <v>0</v>
      </c>
      <c r="BU26" s="316">
        <f t="shared" si="50"/>
        <v>0</v>
      </c>
      <c r="BV26" s="316">
        <f t="shared" si="50"/>
        <v>0</v>
      </c>
      <c r="BW26" s="316">
        <f t="shared" si="50"/>
        <v>0</v>
      </c>
      <c r="BX26" s="316">
        <f t="shared" si="50"/>
        <v>0</v>
      </c>
      <c r="BY26" s="316">
        <f t="shared" si="50"/>
        <v>0</v>
      </c>
      <c r="BZ26" s="316">
        <f t="shared" si="50"/>
        <v>0</v>
      </c>
      <c r="CA26" s="316">
        <f t="shared" si="50"/>
        <v>0</v>
      </c>
      <c r="CB26" s="316">
        <f t="shared" si="50"/>
        <v>0</v>
      </c>
      <c r="CC26" s="316">
        <f t="shared" si="50"/>
        <v>0</v>
      </c>
      <c r="CD26" s="316">
        <f t="shared" si="50"/>
        <v>795652614.11999953</v>
      </c>
      <c r="CE26" s="316">
        <f t="shared" si="4"/>
        <v>0</v>
      </c>
      <c r="CF26" s="36">
        <v>0</v>
      </c>
      <c r="CG26" s="36">
        <v>0</v>
      </c>
    </row>
    <row r="27" spans="1:85" ht="3" customHeight="1">
      <c r="A27" s="38" t="s">
        <v>661</v>
      </c>
      <c r="B27" s="143" t="s">
        <v>652</v>
      </c>
      <c r="C27" s="38">
        <f t="shared" si="1"/>
        <v>0.16857118036159868</v>
      </c>
      <c r="BE27" s="36"/>
      <c r="BF27" s="316">
        <f t="shared" ref="BF27:BQ27" si="51">BF$83*BF75</f>
        <v>1195559649.9652035</v>
      </c>
      <c r="BG27" s="316">
        <f t="shared" si="51"/>
        <v>48795796239.802773</v>
      </c>
      <c r="BH27" s="316">
        <f t="shared" si="51"/>
        <v>510971950.28808784</v>
      </c>
      <c r="BI27" s="316">
        <f t="shared" si="51"/>
        <v>0</v>
      </c>
      <c r="BJ27" s="316">
        <f t="shared" si="51"/>
        <v>0</v>
      </c>
      <c r="BK27" s="316">
        <f t="shared" si="51"/>
        <v>0</v>
      </c>
      <c r="BL27" s="316">
        <f t="shared" si="51"/>
        <v>0</v>
      </c>
      <c r="BM27" s="316">
        <f t="shared" si="51"/>
        <v>0</v>
      </c>
      <c r="BN27" s="316">
        <f t="shared" si="51"/>
        <v>0</v>
      </c>
      <c r="BO27" s="316">
        <f t="shared" si="51"/>
        <v>0</v>
      </c>
      <c r="BP27" s="316">
        <f t="shared" si="51"/>
        <v>39189183575.430794</v>
      </c>
      <c r="BQ27" s="316">
        <f t="shared" si="51"/>
        <v>29666917877.468597</v>
      </c>
      <c r="BR27" s="36">
        <v>0</v>
      </c>
      <c r="BS27" s="316">
        <f t="shared" ref="BS27:CD27" si="52">BS$83*BS75</f>
        <v>16989819511.109121</v>
      </c>
      <c r="BT27" s="316">
        <f t="shared" si="52"/>
        <v>0</v>
      </c>
      <c r="BU27" s="316">
        <f t="shared" si="52"/>
        <v>2165350411.2803216</v>
      </c>
      <c r="BV27" s="316">
        <f t="shared" si="52"/>
        <v>0</v>
      </c>
      <c r="BW27" s="316">
        <f t="shared" si="52"/>
        <v>893302457.81133151</v>
      </c>
      <c r="BX27" s="316">
        <f t="shared" si="52"/>
        <v>79563765211.960938</v>
      </c>
      <c r="BY27" s="316">
        <f t="shared" si="52"/>
        <v>25840380483.045486</v>
      </c>
      <c r="BZ27" s="316">
        <f t="shared" si="52"/>
        <v>109043740611.12054</v>
      </c>
      <c r="CA27" s="316">
        <f t="shared" si="52"/>
        <v>1357896456952.0723</v>
      </c>
      <c r="CB27" s="316">
        <f t="shared" si="52"/>
        <v>436987075078.72943</v>
      </c>
      <c r="CC27" s="316">
        <f t="shared" si="52"/>
        <v>0</v>
      </c>
      <c r="CD27" s="316">
        <f t="shared" si="52"/>
        <v>29666917877.468597</v>
      </c>
      <c r="CE27" s="316">
        <f t="shared" si="4"/>
        <v>1357896456952.0723</v>
      </c>
      <c r="CF27" s="36">
        <v>0</v>
      </c>
      <c r="CG27" s="36">
        <v>0</v>
      </c>
    </row>
    <row r="28" spans="1:85" ht="3" customHeight="1">
      <c r="A28" s="38" t="s">
        <v>661</v>
      </c>
      <c r="B28" s="143" t="s">
        <v>653</v>
      </c>
      <c r="C28" s="38">
        <f t="shared" si="1"/>
        <v>7.0947941599405382E-4</v>
      </c>
      <c r="BE28" s="36"/>
      <c r="BF28" s="316">
        <f t="shared" ref="BF28:BQ28" si="53">BF$83*BF76</f>
        <v>150607587.02798629</v>
      </c>
      <c r="BG28" s="316">
        <f t="shared" si="53"/>
        <v>13388323448.830721</v>
      </c>
      <c r="BH28" s="316">
        <f t="shared" si="53"/>
        <v>0</v>
      </c>
      <c r="BI28" s="316">
        <f t="shared" si="53"/>
        <v>0</v>
      </c>
      <c r="BJ28" s="316">
        <f t="shared" si="53"/>
        <v>0</v>
      </c>
      <c r="BK28" s="316">
        <f t="shared" si="53"/>
        <v>0</v>
      </c>
      <c r="BL28" s="316">
        <f t="shared" si="53"/>
        <v>0</v>
      </c>
      <c r="BM28" s="316">
        <f t="shared" si="53"/>
        <v>0</v>
      </c>
      <c r="BN28" s="316">
        <f t="shared" si="53"/>
        <v>0</v>
      </c>
      <c r="BO28" s="316">
        <f t="shared" si="53"/>
        <v>0</v>
      </c>
      <c r="BP28" s="316">
        <f t="shared" si="53"/>
        <v>0</v>
      </c>
      <c r="BQ28" s="316">
        <f t="shared" si="53"/>
        <v>4346819861.5798092</v>
      </c>
      <c r="BR28" s="36">
        <v>0</v>
      </c>
      <c r="BS28" s="316">
        <f t="shared" ref="BS28:CD28" si="54">BS$83*BS76</f>
        <v>4825681575.778965</v>
      </c>
      <c r="BT28" s="316">
        <f t="shared" si="54"/>
        <v>0</v>
      </c>
      <c r="BU28" s="316">
        <f t="shared" si="54"/>
        <v>0</v>
      </c>
      <c r="BV28" s="316">
        <f t="shared" si="54"/>
        <v>0</v>
      </c>
      <c r="BW28" s="316">
        <f t="shared" si="54"/>
        <v>352467988.89536524</v>
      </c>
      <c r="BX28" s="316">
        <f t="shared" si="54"/>
        <v>1021599343.5806724</v>
      </c>
      <c r="BY28" s="316">
        <f t="shared" si="54"/>
        <v>0</v>
      </c>
      <c r="BZ28" s="316">
        <f t="shared" si="54"/>
        <v>642256096.76912236</v>
      </c>
      <c r="CA28" s="316">
        <f t="shared" si="54"/>
        <v>80346242276.850769</v>
      </c>
      <c r="CB28" s="316">
        <f t="shared" si="54"/>
        <v>0</v>
      </c>
      <c r="CC28" s="316">
        <f t="shared" si="54"/>
        <v>0</v>
      </c>
      <c r="CD28" s="316">
        <f t="shared" si="54"/>
        <v>4346819861.5798092</v>
      </c>
      <c r="CE28" s="316">
        <f t="shared" si="4"/>
        <v>80346242276.850769</v>
      </c>
      <c r="CF28" s="36">
        <v>0</v>
      </c>
      <c r="CG28" s="36">
        <v>0</v>
      </c>
    </row>
    <row r="29" spans="1:85" ht="3" customHeight="1">
      <c r="A29" s="38" t="s">
        <v>661</v>
      </c>
      <c r="B29" s="143" t="s">
        <v>654</v>
      </c>
      <c r="C29" s="38">
        <f t="shared" si="1"/>
        <v>1.0600839424537978E-3</v>
      </c>
      <c r="BE29" s="36"/>
      <c r="BF29" s="316">
        <f t="shared" ref="BF29:BQ29" si="55">BF$83*BF77</f>
        <v>6337576016.1579695</v>
      </c>
      <c r="BG29" s="316">
        <f t="shared" si="55"/>
        <v>153128607324.17551</v>
      </c>
      <c r="BH29" s="316">
        <f t="shared" si="55"/>
        <v>1574884912.772856</v>
      </c>
      <c r="BI29" s="316">
        <f t="shared" si="55"/>
        <v>0</v>
      </c>
      <c r="BJ29" s="316">
        <f t="shared" si="55"/>
        <v>0</v>
      </c>
      <c r="BK29" s="316">
        <f t="shared" si="55"/>
        <v>0</v>
      </c>
      <c r="BL29" s="316">
        <f t="shared" si="55"/>
        <v>0</v>
      </c>
      <c r="BM29" s="316">
        <f t="shared" si="55"/>
        <v>0</v>
      </c>
      <c r="BN29" s="316">
        <f t="shared" si="55"/>
        <v>0</v>
      </c>
      <c r="BO29" s="316">
        <f t="shared" si="55"/>
        <v>0</v>
      </c>
      <c r="BP29" s="316">
        <f t="shared" si="55"/>
        <v>37340522745.498276</v>
      </c>
      <c r="BQ29" s="316">
        <f t="shared" si="55"/>
        <v>69684345808.510834</v>
      </c>
      <c r="BR29" s="36">
        <v>0</v>
      </c>
      <c r="BS29" s="316">
        <f t="shared" ref="BS29:CD29" si="56">BS$83*BS77</f>
        <v>74189129952.771591</v>
      </c>
      <c r="BT29" s="316">
        <f t="shared" si="56"/>
        <v>0</v>
      </c>
      <c r="BU29" s="316">
        <f t="shared" si="56"/>
        <v>4179423517.1671524</v>
      </c>
      <c r="BV29" s="316">
        <f t="shared" si="56"/>
        <v>0</v>
      </c>
      <c r="BW29" s="316">
        <f t="shared" si="56"/>
        <v>6685153630.0478096</v>
      </c>
      <c r="BX29" s="316">
        <f t="shared" si="56"/>
        <v>63013357234.881233</v>
      </c>
      <c r="BY29" s="316">
        <f t="shared" si="56"/>
        <v>11094881435.163948</v>
      </c>
      <c r="BZ29" s="316">
        <f t="shared" si="56"/>
        <v>97648239337.848007</v>
      </c>
      <c r="CA29" s="316">
        <f t="shared" si="56"/>
        <v>3251642699538.6582</v>
      </c>
      <c r="CB29" s="316">
        <f t="shared" si="56"/>
        <v>203595722632.5184</v>
      </c>
      <c r="CC29" s="316">
        <f t="shared" si="56"/>
        <v>0</v>
      </c>
      <c r="CD29" s="316">
        <f t="shared" si="56"/>
        <v>69684345808.510834</v>
      </c>
      <c r="CE29" s="316">
        <f t="shared" si="4"/>
        <v>3251642699538.6582</v>
      </c>
      <c r="CF29" s="36">
        <v>0</v>
      </c>
      <c r="CG29" s="36">
        <v>0</v>
      </c>
    </row>
    <row r="30" spans="1:85" ht="3" customHeight="1">
      <c r="A30" s="38" t="s">
        <v>660</v>
      </c>
      <c r="B30" s="143" t="s">
        <v>655</v>
      </c>
      <c r="C30" s="38">
        <f t="shared" si="1"/>
        <v>3.9526575676224446E-2</v>
      </c>
      <c r="BE30" s="36"/>
      <c r="BF30" s="316">
        <f t="shared" ref="BF30:BQ30" si="57">BF$83*BF78</f>
        <v>703410936.25081241</v>
      </c>
      <c r="BG30" s="316">
        <f t="shared" si="57"/>
        <v>25505754143.98349</v>
      </c>
      <c r="BH30" s="316">
        <f t="shared" si="57"/>
        <v>188368463.81099001</v>
      </c>
      <c r="BI30" s="316">
        <f t="shared" si="57"/>
        <v>0</v>
      </c>
      <c r="BJ30" s="316">
        <f t="shared" si="57"/>
        <v>0</v>
      </c>
      <c r="BK30" s="316">
        <f t="shared" si="57"/>
        <v>0</v>
      </c>
      <c r="BL30" s="316">
        <f t="shared" si="57"/>
        <v>0</v>
      </c>
      <c r="BM30" s="316">
        <f t="shared" si="57"/>
        <v>0</v>
      </c>
      <c r="BN30" s="316">
        <f t="shared" si="57"/>
        <v>0</v>
      </c>
      <c r="BO30" s="316">
        <f t="shared" si="57"/>
        <v>0</v>
      </c>
      <c r="BP30" s="316">
        <f t="shared" si="57"/>
        <v>0</v>
      </c>
      <c r="BQ30" s="316">
        <f t="shared" si="57"/>
        <v>6059114708.531621</v>
      </c>
      <c r="BR30" s="36">
        <v>0</v>
      </c>
      <c r="BS30" s="316">
        <f t="shared" ref="BS30:CD30" si="58">BS$83*BS78</f>
        <v>14094919576.563677</v>
      </c>
      <c r="BT30" s="316">
        <f t="shared" si="58"/>
        <v>0</v>
      </c>
      <c r="BU30" s="316">
        <f t="shared" si="58"/>
        <v>798250726.59155428</v>
      </c>
      <c r="BV30" s="316">
        <f t="shared" si="58"/>
        <v>0</v>
      </c>
      <c r="BW30" s="316">
        <f t="shared" si="58"/>
        <v>336285565.53074914</v>
      </c>
      <c r="BX30" s="316">
        <f t="shared" si="58"/>
        <v>0</v>
      </c>
      <c r="BY30" s="316">
        <f t="shared" si="58"/>
        <v>4050028653.1324596</v>
      </c>
      <c r="BZ30" s="316">
        <f t="shared" si="58"/>
        <v>0</v>
      </c>
      <c r="CA30" s="316">
        <f t="shared" si="58"/>
        <v>0</v>
      </c>
      <c r="CB30" s="316">
        <f t="shared" si="58"/>
        <v>0</v>
      </c>
      <c r="CC30" s="316">
        <f t="shared" si="58"/>
        <v>0</v>
      </c>
      <c r="CD30" s="316">
        <f t="shared" si="58"/>
        <v>6059114708.531621</v>
      </c>
      <c r="CE30" s="316">
        <f t="shared" si="4"/>
        <v>0</v>
      </c>
      <c r="CF30" s="36">
        <v>0</v>
      </c>
      <c r="CG30" s="36">
        <v>0</v>
      </c>
    </row>
    <row r="31" spans="1:85" ht="3" customHeight="1">
      <c r="A31" s="38" t="s">
        <v>661</v>
      </c>
      <c r="B31" s="143" t="s">
        <v>656</v>
      </c>
      <c r="C31" s="38">
        <f t="shared" si="1"/>
        <v>5.791464584197323E-3</v>
      </c>
      <c r="BE31" s="36"/>
      <c r="BF31" s="316">
        <f t="shared" ref="BF31:BQ31" si="59">BF$83*BF79</f>
        <v>0</v>
      </c>
      <c r="BG31" s="316">
        <f t="shared" si="59"/>
        <v>119042834945.11667</v>
      </c>
      <c r="BH31" s="316">
        <f t="shared" si="59"/>
        <v>0</v>
      </c>
      <c r="BI31" s="316">
        <f t="shared" si="59"/>
        <v>0</v>
      </c>
      <c r="BJ31" s="316">
        <f t="shared" si="59"/>
        <v>0</v>
      </c>
      <c r="BK31" s="316">
        <f t="shared" si="59"/>
        <v>0</v>
      </c>
      <c r="BL31" s="316">
        <f t="shared" si="59"/>
        <v>0</v>
      </c>
      <c r="BM31" s="316">
        <f t="shared" si="59"/>
        <v>0</v>
      </c>
      <c r="BN31" s="316">
        <f t="shared" si="59"/>
        <v>0</v>
      </c>
      <c r="BO31" s="316">
        <f t="shared" si="59"/>
        <v>0</v>
      </c>
      <c r="BP31" s="316">
        <f t="shared" si="59"/>
        <v>25360467272.596615</v>
      </c>
      <c r="BQ31" s="316">
        <f t="shared" si="59"/>
        <v>74402122240.840836</v>
      </c>
      <c r="BR31" s="36">
        <v>0</v>
      </c>
      <c r="BS31" s="316">
        <f t="shared" ref="BS31:CD31" si="60">BS$83*BS79</f>
        <v>0</v>
      </c>
      <c r="BT31" s="316">
        <f t="shared" si="60"/>
        <v>0</v>
      </c>
      <c r="BU31" s="316">
        <f t="shared" si="60"/>
        <v>505972521.295739</v>
      </c>
      <c r="BV31" s="316">
        <f t="shared" si="60"/>
        <v>0</v>
      </c>
      <c r="BW31" s="316">
        <f t="shared" si="60"/>
        <v>3257028481.9542608</v>
      </c>
      <c r="BX31" s="316">
        <f t="shared" si="60"/>
        <v>42290409396.763153</v>
      </c>
      <c r="BY31" s="316">
        <f t="shared" si="60"/>
        <v>94938912086.297821</v>
      </c>
      <c r="BZ31" s="316">
        <f t="shared" si="60"/>
        <v>70070550857.355835</v>
      </c>
      <c r="CA31" s="316">
        <f t="shared" si="60"/>
        <v>1140434440899.261</v>
      </c>
      <c r="CB31" s="316">
        <f t="shared" si="60"/>
        <v>0</v>
      </c>
      <c r="CC31" s="316">
        <f t="shared" si="60"/>
        <v>0</v>
      </c>
      <c r="CD31" s="316">
        <f t="shared" si="60"/>
        <v>74402122240.840836</v>
      </c>
      <c r="CE31" s="316">
        <f t="shared" si="4"/>
        <v>1140434440899.261</v>
      </c>
      <c r="CF31" s="36">
        <v>0</v>
      </c>
      <c r="CG31" s="36">
        <v>0</v>
      </c>
    </row>
    <row r="32" spans="1:85" ht="3" customHeight="1">
      <c r="A32" s="38" t="s">
        <v>660</v>
      </c>
      <c r="B32" s="143" t="s">
        <v>657</v>
      </c>
      <c r="C32" s="38">
        <f t="shared" si="1"/>
        <v>9.2843603755016074E-2</v>
      </c>
      <c r="BE32" s="36"/>
      <c r="BF32" s="316">
        <f t="shared" ref="BF32:BQ32" si="61">BF$83*BF80</f>
        <v>0</v>
      </c>
      <c r="BG32" s="316">
        <f t="shared" si="61"/>
        <v>0</v>
      </c>
      <c r="BH32" s="316">
        <f t="shared" si="61"/>
        <v>229296616.37532711</v>
      </c>
      <c r="BI32" s="316">
        <f t="shared" si="61"/>
        <v>0</v>
      </c>
      <c r="BJ32" s="316">
        <f t="shared" si="61"/>
        <v>0</v>
      </c>
      <c r="BK32" s="316">
        <f t="shared" si="61"/>
        <v>0</v>
      </c>
      <c r="BL32" s="316">
        <f t="shared" si="61"/>
        <v>0</v>
      </c>
      <c r="BM32" s="316">
        <f t="shared" si="61"/>
        <v>0</v>
      </c>
      <c r="BN32" s="316">
        <f t="shared" si="61"/>
        <v>0</v>
      </c>
      <c r="BO32" s="316">
        <f t="shared" si="61"/>
        <v>0</v>
      </c>
      <c r="BP32" s="316">
        <f t="shared" si="61"/>
        <v>132183528871.06096</v>
      </c>
      <c r="BQ32" s="316">
        <f t="shared" si="61"/>
        <v>55108321728.537155</v>
      </c>
      <c r="BR32" s="36">
        <v>0</v>
      </c>
      <c r="BS32" s="316">
        <f t="shared" ref="BS32:CD32" si="62">BS$83*BS80</f>
        <v>0</v>
      </c>
      <c r="BT32" s="316">
        <f t="shared" si="62"/>
        <v>0</v>
      </c>
      <c r="BU32" s="316">
        <f t="shared" si="62"/>
        <v>856838962.31539762</v>
      </c>
      <c r="BV32" s="316">
        <f t="shared" si="62"/>
        <v>0</v>
      </c>
      <c r="BW32" s="316">
        <f t="shared" si="62"/>
        <v>1628015184.1957726</v>
      </c>
      <c r="BX32" s="316">
        <f t="shared" si="62"/>
        <v>131690247128.95842</v>
      </c>
      <c r="BY32" s="316">
        <f t="shared" si="62"/>
        <v>76013420826.413483</v>
      </c>
      <c r="BZ32" s="316">
        <f t="shared" si="62"/>
        <v>144006326247.6199</v>
      </c>
      <c r="CA32" s="316">
        <f t="shared" si="62"/>
        <v>7086462418936.1934</v>
      </c>
      <c r="CB32" s="316">
        <f t="shared" si="62"/>
        <v>1938173155061.8135</v>
      </c>
      <c r="CC32" s="316">
        <f t="shared" si="62"/>
        <v>0</v>
      </c>
      <c r="CD32" s="316">
        <f t="shared" si="62"/>
        <v>55108321728.537155</v>
      </c>
      <c r="CE32" s="316">
        <f t="shared" si="4"/>
        <v>7086462418936.1934</v>
      </c>
      <c r="CF32" s="36">
        <v>0</v>
      </c>
      <c r="CG32" s="36">
        <v>0</v>
      </c>
    </row>
    <row r="33" spans="1:95" ht="3" customHeight="1">
      <c r="A33" s="38" t="s">
        <v>661</v>
      </c>
      <c r="B33" s="143" t="s">
        <v>658</v>
      </c>
      <c r="C33" s="38">
        <f t="shared" si="1"/>
        <v>8.0728324070223675E-3</v>
      </c>
      <c r="BE33" s="36"/>
      <c r="BF33" s="316">
        <f t="shared" ref="BF33:BQ33" si="63">BF$83*BF83</f>
        <v>26288720383.784794</v>
      </c>
      <c r="BG33" s="316">
        <f t="shared" si="63"/>
        <v>2041742762990.8076</v>
      </c>
      <c r="BH33" s="316">
        <f t="shared" si="63"/>
        <v>17560900543.582756</v>
      </c>
      <c r="BI33" s="316">
        <f t="shared" si="63"/>
        <v>0</v>
      </c>
      <c r="BJ33" s="316">
        <f t="shared" si="63"/>
        <v>0</v>
      </c>
      <c r="BK33" s="316">
        <f t="shared" si="63"/>
        <v>0</v>
      </c>
      <c r="BL33" s="316">
        <f t="shared" si="63"/>
        <v>0</v>
      </c>
      <c r="BM33" s="316">
        <f t="shared" si="63"/>
        <v>0</v>
      </c>
      <c r="BN33" s="316">
        <f t="shared" si="63"/>
        <v>0</v>
      </c>
      <c r="BO33" s="316">
        <f t="shared" si="63"/>
        <v>0</v>
      </c>
      <c r="BP33" s="316">
        <f t="shared" si="63"/>
        <v>545625661260.57483</v>
      </c>
      <c r="BQ33" s="316">
        <f t="shared" si="63"/>
        <v>750556236403.58728</v>
      </c>
      <c r="BR33" s="36">
        <v>0</v>
      </c>
      <c r="BS33" s="316">
        <f t="shared" ref="BS33:CD33" si="64">BS$83*BS83</f>
        <v>393773505681.86621</v>
      </c>
      <c r="BT33" s="316">
        <f t="shared" si="64"/>
        <v>0</v>
      </c>
      <c r="BU33" s="316">
        <f t="shared" si="64"/>
        <v>63620049306.799042</v>
      </c>
      <c r="BV33" s="316">
        <f t="shared" si="64"/>
        <v>0</v>
      </c>
      <c r="BW33" s="316">
        <f t="shared" si="64"/>
        <v>44305793335.906418</v>
      </c>
      <c r="BX33" s="316">
        <f t="shared" si="64"/>
        <v>1118000938004.1165</v>
      </c>
      <c r="BY33" s="316">
        <f t="shared" si="64"/>
        <v>810616236793.19751</v>
      </c>
      <c r="BZ33" s="316">
        <f t="shared" si="64"/>
        <v>1216877365261.4033</v>
      </c>
      <c r="CA33" s="316">
        <f t="shared" si="64"/>
        <v>29522247644063.227</v>
      </c>
      <c r="CB33" s="316">
        <f t="shared" si="64"/>
        <v>3280249738229.2495</v>
      </c>
      <c r="CC33" s="316">
        <f t="shared" si="64"/>
        <v>0</v>
      </c>
      <c r="CD33" s="316">
        <f t="shared" si="64"/>
        <v>750556236403.58728</v>
      </c>
      <c r="CE33" s="316">
        <f t="shared" si="4"/>
        <v>29522247644063.227</v>
      </c>
      <c r="CF33" s="36">
        <v>0</v>
      </c>
      <c r="CG33" s="36">
        <v>0</v>
      </c>
    </row>
    <row r="34" spans="1:95" ht="3" customHeight="1">
      <c r="A34" s="38" t="s">
        <v>661</v>
      </c>
      <c r="B34" s="143" t="s">
        <v>659</v>
      </c>
      <c r="C34" s="38">
        <f t="shared" si="1"/>
        <v>9.9129310546203359E-2</v>
      </c>
      <c r="BE34" s="36"/>
      <c r="BF34" s="316">
        <f t="shared" ref="BF34:BQ34" si="65">BF$83*BF84</f>
        <v>0</v>
      </c>
      <c r="BG34" s="316">
        <f t="shared" si="65"/>
        <v>0</v>
      </c>
      <c r="BH34" s="316">
        <f t="shared" si="65"/>
        <v>0</v>
      </c>
      <c r="BI34" s="316">
        <f t="shared" si="65"/>
        <v>0</v>
      </c>
      <c r="BJ34" s="316">
        <f t="shared" si="65"/>
        <v>0</v>
      </c>
      <c r="BK34" s="316">
        <f t="shared" si="65"/>
        <v>0</v>
      </c>
      <c r="BL34" s="316">
        <f t="shared" si="65"/>
        <v>0</v>
      </c>
      <c r="BM34" s="316">
        <f t="shared" si="65"/>
        <v>0</v>
      </c>
      <c r="BN34" s="316">
        <f t="shared" si="65"/>
        <v>0</v>
      </c>
      <c r="BO34" s="316">
        <f t="shared" si="65"/>
        <v>0</v>
      </c>
      <c r="BP34" s="316">
        <f t="shared" si="65"/>
        <v>0</v>
      </c>
      <c r="BQ34" s="316">
        <f t="shared" si="65"/>
        <v>0</v>
      </c>
      <c r="BR34" s="36">
        <v>0</v>
      </c>
      <c r="BS34" s="316">
        <f t="shared" ref="BS34:CD34" si="66">BS$83*BS84</f>
        <v>0</v>
      </c>
      <c r="BT34" s="316">
        <f t="shared" si="66"/>
        <v>0</v>
      </c>
      <c r="BU34" s="316">
        <f t="shared" si="66"/>
        <v>0</v>
      </c>
      <c r="BV34" s="316">
        <f t="shared" si="66"/>
        <v>0</v>
      </c>
      <c r="BW34" s="316">
        <f t="shared" si="66"/>
        <v>0</v>
      </c>
      <c r="BX34" s="316">
        <f t="shared" si="66"/>
        <v>0</v>
      </c>
      <c r="BY34" s="316">
        <f t="shared" si="66"/>
        <v>0</v>
      </c>
      <c r="BZ34" s="316">
        <f t="shared" si="66"/>
        <v>0</v>
      </c>
      <c r="CA34" s="316">
        <f t="shared" si="66"/>
        <v>0</v>
      </c>
      <c r="CB34" s="316">
        <f t="shared" si="66"/>
        <v>0</v>
      </c>
      <c r="CC34" s="316">
        <f t="shared" si="66"/>
        <v>0</v>
      </c>
      <c r="CD34" s="316">
        <f t="shared" si="66"/>
        <v>0</v>
      </c>
      <c r="CE34" s="316">
        <f t="shared" si="4"/>
        <v>0</v>
      </c>
      <c r="CF34" s="36">
        <v>0</v>
      </c>
      <c r="CG34" s="36">
        <v>0</v>
      </c>
    </row>
    <row r="35" spans="1:95" ht="3" customHeight="1">
      <c r="A35" s="38" t="s">
        <v>660</v>
      </c>
      <c r="B35" s="143" t="s">
        <v>633</v>
      </c>
      <c r="C35" s="38">
        <f t="shared" si="1"/>
        <v>7.3423308015662714E-2</v>
      </c>
      <c r="BE35" s="36"/>
      <c r="BF35" s="316">
        <f t="shared" ref="BF35:BQ35" si="67">BF$83*BF85</f>
        <v>10284743441.591007</v>
      </c>
      <c r="BG35" s="316">
        <f t="shared" si="67"/>
        <v>967170867810.37488</v>
      </c>
      <c r="BH35" s="316">
        <f t="shared" si="67"/>
        <v>14952846658.289846</v>
      </c>
      <c r="BI35" s="316">
        <f t="shared" si="67"/>
        <v>0</v>
      </c>
      <c r="BJ35" s="316">
        <f t="shared" si="67"/>
        <v>0</v>
      </c>
      <c r="BK35" s="316">
        <f t="shared" si="67"/>
        <v>0</v>
      </c>
      <c r="BL35" s="316">
        <f t="shared" si="67"/>
        <v>0</v>
      </c>
      <c r="BM35" s="316">
        <f t="shared" si="67"/>
        <v>0</v>
      </c>
      <c r="BN35" s="316">
        <f t="shared" si="67"/>
        <v>0</v>
      </c>
      <c r="BO35" s="316">
        <f t="shared" si="67"/>
        <v>0</v>
      </c>
      <c r="BP35" s="316">
        <f t="shared" si="67"/>
        <v>514770089445.37213</v>
      </c>
      <c r="BQ35" s="316">
        <f t="shared" si="67"/>
        <v>391009836583.828</v>
      </c>
      <c r="BR35" s="36">
        <v>0</v>
      </c>
      <c r="BS35" s="316">
        <f t="shared" ref="BS35:CD35" si="68">BS$83*BS85</f>
        <v>153869794348.62094</v>
      </c>
      <c r="BT35" s="316">
        <f t="shared" si="68"/>
        <v>0</v>
      </c>
      <c r="BU35" s="316">
        <f t="shared" si="68"/>
        <v>52587960631.28167</v>
      </c>
      <c r="BV35" s="316">
        <f t="shared" si="68"/>
        <v>0</v>
      </c>
      <c r="BW35" s="316">
        <f t="shared" si="68"/>
        <v>35333359942.424194</v>
      </c>
      <c r="BX35" s="316">
        <f t="shared" si="68"/>
        <v>839449377508.8916</v>
      </c>
      <c r="BY35" s="316">
        <f t="shared" si="68"/>
        <v>620391214016.79285</v>
      </c>
      <c r="BZ35" s="316">
        <f t="shared" si="68"/>
        <v>1020776665780.6185</v>
      </c>
      <c r="CA35" s="316">
        <f t="shared" si="68"/>
        <v>25278047635427.758</v>
      </c>
      <c r="CB35" s="316">
        <f t="shared" si="68"/>
        <v>3228007573517.9458</v>
      </c>
      <c r="CC35" s="316">
        <f t="shared" si="68"/>
        <v>0</v>
      </c>
      <c r="CD35" s="316">
        <f t="shared" si="68"/>
        <v>391009836583.828</v>
      </c>
      <c r="CE35" s="316">
        <f t="shared" si="4"/>
        <v>25278047635427.758</v>
      </c>
      <c r="CF35" s="36">
        <v>0</v>
      </c>
      <c r="CG35" s="36">
        <v>0</v>
      </c>
    </row>
    <row r="36" spans="1:95" ht="3" customHeight="1">
      <c r="B36" s="38" t="s">
        <v>660</v>
      </c>
      <c r="C36" s="38">
        <f>SUMIF($A$3:$A$35,$B36,C$3:C$35)</f>
        <v>0.52096007949706147</v>
      </c>
      <c r="BE36" s="36"/>
      <c r="BF36" s="316"/>
      <c r="BG36" s="316"/>
      <c r="BH36" s="316"/>
      <c r="BI36" s="316"/>
      <c r="BJ36" s="316"/>
      <c r="BK36" s="316"/>
      <c r="BL36" s="316"/>
      <c r="BM36" s="316"/>
      <c r="BN36" s="316"/>
      <c r="BO36" s="316"/>
      <c r="BP36" s="316"/>
      <c r="BQ36" s="316"/>
      <c r="BR36" s="36"/>
      <c r="BS36" s="316"/>
      <c r="BT36" s="316"/>
      <c r="BU36" s="316"/>
      <c r="BV36" s="316"/>
      <c r="BW36" s="316"/>
      <c r="BX36" s="316"/>
      <c r="BY36" s="316"/>
      <c r="BZ36" s="316"/>
      <c r="CA36" s="316"/>
      <c r="CB36" s="316"/>
      <c r="CC36" s="316"/>
      <c r="CD36" s="316"/>
      <c r="CE36" s="316"/>
      <c r="CF36" s="36"/>
      <c r="CG36" s="36"/>
    </row>
    <row r="37" spans="1:95" ht="3" customHeight="1">
      <c r="B37" s="38" t="s">
        <v>661</v>
      </c>
      <c r="C37" s="38">
        <f>SUMIF($A$3:$A$35,$B37,C$3:C$35)</f>
        <v>0.47903992050293842</v>
      </c>
      <c r="BE37" s="36"/>
      <c r="BF37" s="316"/>
      <c r="BG37" s="316"/>
      <c r="BH37" s="316"/>
      <c r="BI37" s="316"/>
      <c r="BJ37" s="316"/>
      <c r="BK37" s="316"/>
      <c r="BL37" s="316"/>
      <c r="BM37" s="316"/>
      <c r="BN37" s="316"/>
      <c r="BO37" s="316"/>
      <c r="BP37" s="316"/>
      <c r="BQ37" s="316"/>
      <c r="BR37" s="36"/>
      <c r="BS37" s="316"/>
      <c r="BT37" s="316"/>
      <c r="BU37" s="316"/>
      <c r="BV37" s="316"/>
      <c r="BW37" s="316"/>
      <c r="BX37" s="316"/>
      <c r="BY37" s="316"/>
      <c r="BZ37" s="316"/>
      <c r="CA37" s="316"/>
      <c r="CB37" s="316"/>
      <c r="CC37" s="316"/>
      <c r="CD37" s="316"/>
      <c r="CE37" s="316"/>
      <c r="CF37" s="36"/>
      <c r="CG37" s="36"/>
    </row>
    <row r="38" spans="1:95" s="318" customFormat="1" ht="3" customHeight="1">
      <c r="A38" s="38"/>
      <c r="B38" s="318" t="s">
        <v>122</v>
      </c>
      <c r="C38" s="38">
        <f>B131/$B$131</f>
        <v>1</v>
      </c>
      <c r="D38" s="38"/>
      <c r="E38" s="38"/>
      <c r="F38" s="38"/>
      <c r="G38" s="38"/>
      <c r="H38" s="38"/>
      <c r="I38" s="38"/>
      <c r="J38" s="38"/>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8"/>
      <c r="AT38" s="38"/>
      <c r="AU38" s="38"/>
      <c r="AV38" s="38"/>
      <c r="AW38" s="38"/>
      <c r="AX38" s="38"/>
      <c r="AY38" s="38"/>
      <c r="AZ38" s="38"/>
      <c r="BA38" s="38"/>
      <c r="BB38" s="38"/>
      <c r="BC38" s="38"/>
      <c r="BD38" s="38"/>
      <c r="BE38" s="482"/>
      <c r="BF38" s="482">
        <f>'2.2 Energy Systems inputs'!BJ256</f>
        <v>0</v>
      </c>
      <c r="BG38" s="482">
        <f>'2.2 Energy Systems inputs'!BK256</f>
        <v>0</v>
      </c>
      <c r="BH38" s="482">
        <f>'2.2 Energy Systems inputs'!BL256</f>
        <v>0</v>
      </c>
      <c r="BI38" s="482">
        <f>'2.2 Energy Systems inputs'!BM256</f>
        <v>0</v>
      </c>
      <c r="BJ38" s="482">
        <f>'2.2 Energy Systems inputs'!BN256</f>
        <v>0</v>
      </c>
      <c r="BK38" s="482">
        <f>'2.2 Energy Systems inputs'!BO256</f>
        <v>0</v>
      </c>
      <c r="BL38" s="482">
        <f>'2.2 Energy Systems inputs'!BP256</f>
        <v>0</v>
      </c>
      <c r="BM38" s="482">
        <f>'2.2 Energy Systems inputs'!BQ256</f>
        <v>0</v>
      </c>
      <c r="BN38" s="482">
        <f>'2.2 Energy Systems inputs'!BR256</f>
        <v>0</v>
      </c>
      <c r="BO38" s="482">
        <f>'2.2 Energy Systems inputs'!BS256</f>
        <v>0</v>
      </c>
      <c r="BP38" s="482">
        <f>'2.2 Energy Systems inputs'!BT256</f>
        <v>0</v>
      </c>
      <c r="BQ38" s="482">
        <f>'2.2 Energy Systems inputs'!BU256</f>
        <v>0</v>
      </c>
      <c r="BR38" s="482"/>
      <c r="BS38" s="482">
        <f>'2.2 Energy Systems inputs'!BW256</f>
        <v>0</v>
      </c>
      <c r="BT38" s="482">
        <f>'2.2 Energy Systems inputs'!BX256</f>
        <v>0</v>
      </c>
      <c r="BU38" s="482">
        <f>'2.2 Energy Systems inputs'!BY256</f>
        <v>0</v>
      </c>
      <c r="BV38" s="482">
        <f>'2.2 Energy Systems inputs'!BZ256</f>
        <v>0</v>
      </c>
      <c r="BW38" s="482">
        <f>'2.2 Energy Systems inputs'!CA256</f>
        <v>0</v>
      </c>
      <c r="BX38" s="482">
        <f>'2.2 Energy Systems inputs'!CB256</f>
        <v>0</v>
      </c>
      <c r="BY38" s="482">
        <f>'2.2 Energy Systems inputs'!CC256</f>
        <v>0</v>
      </c>
      <c r="BZ38" s="482">
        <f>'2.2 Energy Systems inputs'!CD256</f>
        <v>0</v>
      </c>
      <c r="CA38" s="482">
        <f>'2.2 Energy Systems inputs'!CE256</f>
        <v>0</v>
      </c>
      <c r="CB38" s="482">
        <f>'2.2 Energy Systems inputs'!CF256</f>
        <v>0</v>
      </c>
      <c r="CC38" s="482">
        <f>'2.2 Energy Systems inputs'!CG256</f>
        <v>0</v>
      </c>
      <c r="CD38" s="482">
        <f>'2.2 Energy Systems inputs'!CH256</f>
        <v>0</v>
      </c>
      <c r="CE38" s="316">
        <f t="shared" si="4"/>
        <v>0</v>
      </c>
      <c r="CF38" s="482">
        <v>0</v>
      </c>
      <c r="CG38" s="482">
        <v>0</v>
      </c>
    </row>
    <row r="39" spans="1:95"/>
    <row r="40" spans="1:95">
      <c r="A40" s="114" t="s">
        <v>1033</v>
      </c>
      <c r="B40" s="38" t="s">
        <v>1034</v>
      </c>
      <c r="Q40" s="115">
        <v>6511627.935584113</v>
      </c>
    </row>
    <row r="41" spans="1:95" s="60" customFormat="1">
      <c r="A41" s="38" t="s">
        <v>1035</v>
      </c>
      <c r="B41" s="336" t="s">
        <v>1036</v>
      </c>
      <c r="C41" s="336"/>
      <c r="D41" s="336" t="s">
        <v>1037</v>
      </c>
      <c r="E41" s="336"/>
      <c r="F41" s="336"/>
      <c r="G41" s="336"/>
      <c r="H41" s="336"/>
      <c r="I41" s="336"/>
      <c r="J41" s="336"/>
      <c r="K41" s="336"/>
      <c r="L41" s="336"/>
      <c r="M41" s="336"/>
      <c r="N41" s="336"/>
      <c r="O41" s="336"/>
      <c r="Q41" s="336" t="s">
        <v>1038</v>
      </c>
      <c r="R41" s="336"/>
      <c r="S41" s="336"/>
      <c r="T41" s="336"/>
      <c r="U41" s="336"/>
      <c r="V41" s="336"/>
      <c r="W41" s="336"/>
      <c r="X41" s="336"/>
      <c r="Y41" s="336"/>
      <c r="Z41" s="336"/>
      <c r="AA41" s="336"/>
      <c r="AB41" s="336"/>
      <c r="AC41" s="336"/>
      <c r="AE41" s="336" t="s">
        <v>1039</v>
      </c>
      <c r="AF41" s="336"/>
      <c r="AG41" s="336"/>
      <c r="AH41" s="336"/>
      <c r="AI41" s="336"/>
      <c r="AJ41" s="336"/>
      <c r="AK41" s="336"/>
      <c r="AL41" s="336"/>
      <c r="AM41" s="336"/>
      <c r="AN41" s="336"/>
      <c r="AO41" s="336"/>
      <c r="AP41" s="336"/>
      <c r="AR41" s="336" t="s">
        <v>1040</v>
      </c>
      <c r="AS41" s="336"/>
      <c r="AT41" s="336"/>
      <c r="AU41" s="336"/>
      <c r="AV41" s="336"/>
      <c r="AW41" s="336"/>
      <c r="AX41" s="336"/>
      <c r="AY41" s="336"/>
      <c r="AZ41" s="336"/>
      <c r="BA41" s="336"/>
      <c r="BB41" s="336"/>
      <c r="BC41" s="336"/>
      <c r="BD41" s="336"/>
      <c r="BF41" s="336" t="s">
        <v>1041</v>
      </c>
      <c r="BG41" s="336"/>
      <c r="BH41" s="336"/>
      <c r="BI41" s="336"/>
      <c r="BJ41" s="336"/>
      <c r="BK41" s="336"/>
      <c r="BL41" s="336"/>
      <c r="BM41" s="336"/>
      <c r="BN41" s="336"/>
      <c r="BO41" s="336"/>
      <c r="BP41" s="336"/>
      <c r="BQ41" s="336"/>
      <c r="BS41" s="336" t="s">
        <v>1042</v>
      </c>
      <c r="BT41" s="336"/>
      <c r="BU41" s="336"/>
      <c r="BV41" s="336"/>
      <c r="BW41" s="336"/>
      <c r="BX41" s="336"/>
      <c r="BY41" s="336"/>
      <c r="BZ41" s="336"/>
      <c r="CA41" s="336"/>
      <c r="CB41" s="336"/>
      <c r="CC41" s="336"/>
      <c r="CD41" s="336"/>
      <c r="CE41" s="336"/>
    </row>
    <row r="42" spans="1:95" ht="15" customHeight="1">
      <c r="A42" s="301" t="s">
        <v>1043</v>
      </c>
      <c r="B42" s="301"/>
      <c r="C42" s="301"/>
      <c r="D42" s="38" t="str">
        <f>D44&amp;D46&amp;D45</f>
        <v>Low uptakeLarge power &amp; industrial2025</v>
      </c>
      <c r="E42" s="38" t="str">
        <f>E44&amp;E46&amp;E45</f>
        <v>Low uptakeCHP2025</v>
      </c>
      <c r="F42" s="38" t="str">
        <f t="shared" ref="F42:O42" si="69">F44&amp;F46&amp;F45</f>
        <v>Low uptakeTransformers2025</v>
      </c>
      <c r="G42" s="38" t="str">
        <f t="shared" si="69"/>
        <v>Low uptakeFC CHP2025</v>
      </c>
      <c r="H42" s="38" t="str">
        <f t="shared" si="69"/>
        <v>Low uptakeCommercial2025</v>
      </c>
      <c r="I42" s="38" t="str">
        <f t="shared" si="69"/>
        <v>Low uptakeBuilding Heat Rejection2025</v>
      </c>
      <c r="J42" s="38" t="str">
        <f t="shared" si="69"/>
        <v>Low uptakeRivers2025</v>
      </c>
      <c r="K42" s="38" t="str">
        <f t="shared" si="69"/>
        <v>Low uptakeSewer heat mining2025</v>
      </c>
      <c r="L42" s="38" t="str">
        <f t="shared" si="69"/>
        <v>Low uptakeAir Source Heat Pumps2025</v>
      </c>
      <c r="M42" s="38" t="str">
        <f t="shared" si="69"/>
        <v>Low uptakeGSHP2025</v>
      </c>
      <c r="N42" s="38" t="str">
        <f t="shared" si="69"/>
        <v>Low uptakeGas boiler2025</v>
      </c>
      <c r="O42" s="38" t="str">
        <f t="shared" si="69"/>
        <v>Low uptake2015 Pre exisitng networks2025</v>
      </c>
      <c r="Q42" s="38" t="str">
        <f>Q44&amp;Q46&amp;Q45</f>
        <v>Low uptakeLarge power &amp; industrial2050</v>
      </c>
      <c r="R42" s="38" t="str">
        <f t="shared" ref="R42:AB42" si="70">R44&amp;R46&amp;R45</f>
        <v>Low uptakeCHP2050</v>
      </c>
      <c r="S42" s="38" t="str">
        <f t="shared" si="70"/>
        <v>Low uptakeTransformers2050</v>
      </c>
      <c r="T42" s="38" t="str">
        <f t="shared" si="70"/>
        <v>Low uptakeFC CHP2050</v>
      </c>
      <c r="U42" s="38" t="str">
        <f t="shared" si="70"/>
        <v>Low uptakeCommercial2050</v>
      </c>
      <c r="V42" s="38" t="str">
        <f t="shared" si="70"/>
        <v>Low uptakeBuilding Heat Rejection2050</v>
      </c>
      <c r="W42" s="38" t="str">
        <f t="shared" si="70"/>
        <v>Low uptakeRivers2050</v>
      </c>
      <c r="X42" s="38" t="str">
        <f t="shared" si="70"/>
        <v>Low uptakeSewer heat mining2050</v>
      </c>
      <c r="Y42" s="38" t="str">
        <f t="shared" si="70"/>
        <v>Low uptakeAir Source Heat Pumps2050</v>
      </c>
      <c r="Z42" s="38" t="str">
        <f t="shared" si="70"/>
        <v>Low uptakeGSHP2050</v>
      </c>
      <c r="AA42" s="38" t="str">
        <f t="shared" si="70"/>
        <v>Low uptakeGas boiler2050</v>
      </c>
      <c r="AB42" s="38" t="str">
        <f t="shared" si="70"/>
        <v>Low uptake2015 Pre exisitng networks2050</v>
      </c>
      <c r="AC42" s="38" t="str">
        <f>AC44&amp;AC46&amp;AC45</f>
        <v>Low uptakeNon constrained demand2050</v>
      </c>
      <c r="AE42" s="38" t="str">
        <f>AE44&amp;AE46&amp;AE45</f>
        <v>medium UptakeLarge power &amp; industrial2025</v>
      </c>
      <c r="AF42" s="38" t="str">
        <f t="shared" ref="AF42:AP42" si="71">AF44&amp;AF46&amp;AF45</f>
        <v>medium UptakeCHP2025</v>
      </c>
      <c r="AG42" s="38" t="str">
        <f t="shared" si="71"/>
        <v>medium UptakeTransformers2025</v>
      </c>
      <c r="AH42" s="38" t="str">
        <f t="shared" si="71"/>
        <v>medium UptakeFC CHP2025</v>
      </c>
      <c r="AI42" s="38" t="str">
        <f t="shared" si="71"/>
        <v>medium UptakeCommercial2025</v>
      </c>
      <c r="AJ42" s="38" t="str">
        <f t="shared" si="71"/>
        <v>medium UptakeBuilding Heat Rejection2025</v>
      </c>
      <c r="AK42" s="38" t="str">
        <f t="shared" si="71"/>
        <v>medium UptakeRivers2025</v>
      </c>
      <c r="AL42" s="38" t="str">
        <f t="shared" si="71"/>
        <v>medium UptakeSewer heat mining2025</v>
      </c>
      <c r="AM42" s="38" t="str">
        <f t="shared" si="71"/>
        <v>medium UptakeAir Source Heat Pumps2025</v>
      </c>
      <c r="AN42" s="38" t="str">
        <f t="shared" si="71"/>
        <v>medium UptakeGSHP2025</v>
      </c>
      <c r="AO42" s="38" t="str">
        <f t="shared" si="71"/>
        <v>medium UptakeGas boiler2025</v>
      </c>
      <c r="AP42" s="38" t="str">
        <f t="shared" si="71"/>
        <v>medium Uptake2015 Pre exisitng networks2025</v>
      </c>
      <c r="AR42" s="38" t="str">
        <f>AR44&amp;AR46&amp;AR45</f>
        <v>medium uptakeLarge power &amp; industrial2050</v>
      </c>
      <c r="AS42" s="38" t="str">
        <f t="shared" ref="AS42:BC42" si="72">AS44&amp;AS46&amp;AS45</f>
        <v>medium uptakeCHP2050</v>
      </c>
      <c r="AT42" s="38" t="str">
        <f t="shared" si="72"/>
        <v>medium uptakeTransformers2050</v>
      </c>
      <c r="AU42" s="38" t="str">
        <f t="shared" si="72"/>
        <v>medium uptakeFC CHP2050</v>
      </c>
      <c r="AV42" s="38" t="str">
        <f t="shared" si="72"/>
        <v>medium uptakeCommercial2050</v>
      </c>
      <c r="AW42" s="38" t="str">
        <f t="shared" si="72"/>
        <v>medium uptakeBuilding Heat Rejection2050</v>
      </c>
      <c r="AX42" s="38" t="str">
        <f t="shared" si="72"/>
        <v>medium uptakeRivers2050</v>
      </c>
      <c r="AY42" s="38" t="str">
        <f t="shared" si="72"/>
        <v>medium uptakeSewer heat mining2050</v>
      </c>
      <c r="AZ42" s="38" t="str">
        <f t="shared" si="72"/>
        <v>medium uptakeAir Source Heat Pumps2050</v>
      </c>
      <c r="BA42" s="38" t="str">
        <f t="shared" si="72"/>
        <v>medium uptakeGSHP2050</v>
      </c>
      <c r="BB42" s="38" t="str">
        <f t="shared" si="72"/>
        <v>medium uptakeGas boiler2050</v>
      </c>
      <c r="BC42" s="38" t="str">
        <f t="shared" si="72"/>
        <v>medium uptake2015 Pre exisitng networks2050</v>
      </c>
      <c r="BD42" s="69"/>
      <c r="BF42" s="38" t="str">
        <f>BF44&amp;BF46&amp;BF45</f>
        <v>high uptakeLarge power &amp; industrial2025</v>
      </c>
      <c r="BG42" s="38" t="str">
        <f t="shared" ref="BG42:BQ42" si="73">BG44&amp;BG46&amp;BG45</f>
        <v>high uptakeCHP2025</v>
      </c>
      <c r="BH42" s="38" t="str">
        <f t="shared" si="73"/>
        <v>high uptakeTransformers2025</v>
      </c>
      <c r="BI42" s="38" t="str">
        <f t="shared" si="73"/>
        <v>high uptakeFC CHP2025</v>
      </c>
      <c r="BJ42" s="38" t="str">
        <f t="shared" si="73"/>
        <v>high uptakeCommercial2025</v>
      </c>
      <c r="BK42" s="38" t="str">
        <f t="shared" si="73"/>
        <v>high uptakeBuilding Heat Rejection2025</v>
      </c>
      <c r="BL42" s="38" t="str">
        <f t="shared" si="73"/>
        <v>high uptakeRivers2025</v>
      </c>
      <c r="BM42" s="38" t="str">
        <f t="shared" si="73"/>
        <v>high uptakeSewer heat mining2025</v>
      </c>
      <c r="BN42" s="38" t="str">
        <f t="shared" si="73"/>
        <v>high uptakeAir Source Heat Pumps2025</v>
      </c>
      <c r="BO42" s="38" t="str">
        <f t="shared" si="73"/>
        <v>high uptakeGSHP2025</v>
      </c>
      <c r="BP42" s="38" t="str">
        <f t="shared" si="73"/>
        <v>high uptakeGas boiler2025</v>
      </c>
      <c r="BQ42" s="38" t="str">
        <f t="shared" si="73"/>
        <v>high uptake2015 Pre exisitng networks2025</v>
      </c>
      <c r="BS42" s="38" t="str">
        <f>BS44&amp;BS46&amp;BS45</f>
        <v>high uptakeLarge power &amp; industrial2050</v>
      </c>
      <c r="BT42" s="38" t="str">
        <f t="shared" ref="BT42:CD42" si="74">BT44&amp;BT46&amp;BT45</f>
        <v>high uptakeCHP2050</v>
      </c>
      <c r="BU42" s="38" t="str">
        <f t="shared" si="74"/>
        <v>high uptakeTransformers2050</v>
      </c>
      <c r="BV42" s="38" t="str">
        <f t="shared" si="74"/>
        <v>high uptakeFC CHP2050</v>
      </c>
      <c r="BW42" s="38" t="str">
        <f t="shared" si="74"/>
        <v>high uptakeCommercial2050</v>
      </c>
      <c r="BX42" s="38" t="str">
        <f t="shared" si="74"/>
        <v>high uptakeBuilding Heat Rejection2050</v>
      </c>
      <c r="BY42" s="38" t="str">
        <f t="shared" si="74"/>
        <v>high uptakeRivers2050</v>
      </c>
      <c r="BZ42" s="38" t="str">
        <f t="shared" si="74"/>
        <v>high uptakeSewer heat mining2050</v>
      </c>
      <c r="CA42" s="38" t="str">
        <f t="shared" si="74"/>
        <v>high uptakeAir Source Heat Pumps2050</v>
      </c>
      <c r="CB42" s="38" t="str">
        <f t="shared" si="74"/>
        <v>high uptakeGSHP2050</v>
      </c>
      <c r="CC42" s="38" t="str">
        <f t="shared" si="74"/>
        <v>high uptakeGas boiler2050</v>
      </c>
      <c r="CD42" s="38" t="str">
        <f t="shared" si="74"/>
        <v>high uptake2015 Pre exisitng networks2050</v>
      </c>
      <c r="CE42" s="69"/>
      <c r="CG42" s="38" t="str">
        <f t="shared" ref="CG42:CQ42" si="75">CG44&amp;CG46&amp;CG45</f>
        <v/>
      </c>
      <c r="CH42" s="38" t="str">
        <f t="shared" si="75"/>
        <v/>
      </c>
      <c r="CI42" s="38" t="str">
        <f t="shared" si="75"/>
        <v/>
      </c>
      <c r="CJ42" s="38" t="str">
        <f t="shared" si="75"/>
        <v/>
      </c>
      <c r="CK42" s="38" t="str">
        <f t="shared" si="75"/>
        <v/>
      </c>
      <c r="CL42" s="38" t="str">
        <f t="shared" si="75"/>
        <v/>
      </c>
      <c r="CM42" s="38" t="str">
        <f t="shared" si="75"/>
        <v/>
      </c>
      <c r="CN42" s="38" t="str">
        <f t="shared" si="75"/>
        <v/>
      </c>
      <c r="CO42" s="38" t="str">
        <f t="shared" si="75"/>
        <v/>
      </c>
      <c r="CP42" s="38" t="str">
        <f t="shared" si="75"/>
        <v/>
      </c>
      <c r="CQ42" s="38" t="str">
        <f t="shared" si="75"/>
        <v/>
      </c>
    </row>
    <row r="43" spans="1:95">
      <c r="B43" s="116" t="s">
        <v>602</v>
      </c>
      <c r="C43" s="116"/>
      <c r="D43" s="340" t="s">
        <v>602</v>
      </c>
      <c r="E43" s="341"/>
      <c r="F43" s="341"/>
      <c r="G43" s="341"/>
      <c r="H43" s="341"/>
      <c r="I43" s="341"/>
      <c r="J43" s="341"/>
      <c r="K43" s="341"/>
      <c r="L43" s="341"/>
      <c r="M43" s="341"/>
      <c r="N43" s="341"/>
      <c r="O43" s="342"/>
      <c r="Q43" s="340" t="s">
        <v>602</v>
      </c>
      <c r="R43" s="341"/>
      <c r="S43" s="341"/>
      <c r="T43" s="341"/>
      <c r="U43" s="341"/>
      <c r="V43" s="341"/>
      <c r="W43" s="341"/>
      <c r="X43" s="341"/>
      <c r="Y43" s="341"/>
      <c r="Z43" s="341"/>
      <c r="AA43" s="341"/>
      <c r="AB43" s="342"/>
      <c r="AC43" s="371"/>
      <c r="AE43" s="121" t="s">
        <v>602</v>
      </c>
      <c r="AF43" s="122"/>
      <c r="AG43" s="122"/>
      <c r="AH43" s="122"/>
      <c r="AI43" s="122"/>
      <c r="AJ43" s="122"/>
      <c r="AK43" s="122"/>
      <c r="AL43" s="122"/>
      <c r="AM43" s="122"/>
      <c r="AN43" s="122"/>
      <c r="AO43" s="122"/>
      <c r="AP43" s="123"/>
      <c r="AR43" s="121" t="s">
        <v>602</v>
      </c>
      <c r="AS43" s="122"/>
      <c r="AT43" s="122"/>
      <c r="AU43" s="122"/>
      <c r="AV43" s="122"/>
      <c r="AW43" s="122"/>
      <c r="AX43" s="122"/>
      <c r="AY43" s="122"/>
      <c r="AZ43" s="122"/>
      <c r="BA43" s="122"/>
      <c r="BB43" s="122"/>
      <c r="BC43" s="123"/>
      <c r="BD43" s="376"/>
      <c r="BF43" s="337" t="s">
        <v>602</v>
      </c>
      <c r="BG43" s="338"/>
      <c r="BH43" s="338"/>
      <c r="BI43" s="338"/>
      <c r="BJ43" s="338"/>
      <c r="BK43" s="338"/>
      <c r="BL43" s="338"/>
      <c r="BM43" s="338"/>
      <c r="BN43" s="338"/>
      <c r="BO43" s="338"/>
      <c r="BP43" s="338"/>
      <c r="BQ43" s="339"/>
      <c r="BS43" s="337" t="s">
        <v>602</v>
      </c>
      <c r="BT43" s="338"/>
      <c r="BU43" s="338"/>
      <c r="BV43" s="338"/>
      <c r="BW43" s="338"/>
      <c r="BX43" s="338"/>
      <c r="BY43" s="338"/>
      <c r="BZ43" s="338"/>
      <c r="CA43" s="338"/>
      <c r="CB43" s="338"/>
      <c r="CC43" s="338"/>
      <c r="CD43" s="339"/>
      <c r="CE43" s="374"/>
    </row>
    <row r="44" spans="1:95" ht="15" customHeight="1">
      <c r="B44" s="124"/>
      <c r="C44" s="124"/>
      <c r="D44" s="346" t="s">
        <v>1044</v>
      </c>
      <c r="E44" s="347" t="s">
        <v>1044</v>
      </c>
      <c r="F44" s="347" t="s">
        <v>1044</v>
      </c>
      <c r="G44" s="347" t="s">
        <v>1044</v>
      </c>
      <c r="H44" s="347" t="s">
        <v>1044</v>
      </c>
      <c r="I44" s="347" t="s">
        <v>1044</v>
      </c>
      <c r="J44" s="347" t="s">
        <v>1044</v>
      </c>
      <c r="K44" s="347" t="s">
        <v>1044</v>
      </c>
      <c r="L44" s="347" t="s">
        <v>1044</v>
      </c>
      <c r="M44" s="347" t="s">
        <v>1044</v>
      </c>
      <c r="N44" s="347" t="s">
        <v>1044</v>
      </c>
      <c r="O44" s="348" t="s">
        <v>1044</v>
      </c>
      <c r="Q44" s="346" t="s">
        <v>1044</v>
      </c>
      <c r="R44" s="347" t="s">
        <v>1044</v>
      </c>
      <c r="S44" s="347" t="s">
        <v>1044</v>
      </c>
      <c r="T44" s="347" t="s">
        <v>1044</v>
      </c>
      <c r="U44" s="347" t="s">
        <v>1044</v>
      </c>
      <c r="V44" s="347" t="s">
        <v>1044</v>
      </c>
      <c r="W44" s="347" t="s">
        <v>1044</v>
      </c>
      <c r="X44" s="347" t="s">
        <v>1044</v>
      </c>
      <c r="Y44" s="347" t="s">
        <v>1044</v>
      </c>
      <c r="Z44" s="347" t="s">
        <v>1044</v>
      </c>
      <c r="AA44" s="347" t="s">
        <v>1044</v>
      </c>
      <c r="AB44" s="348" t="s">
        <v>1044</v>
      </c>
      <c r="AC44" s="349" t="s">
        <v>1044</v>
      </c>
      <c r="AE44" s="126" t="s">
        <v>1045</v>
      </c>
      <c r="AF44" s="126" t="s">
        <v>1045</v>
      </c>
      <c r="AG44" s="126" t="s">
        <v>1045</v>
      </c>
      <c r="AH44" s="126" t="s">
        <v>1045</v>
      </c>
      <c r="AI44" s="126" t="s">
        <v>1045</v>
      </c>
      <c r="AJ44" s="126" t="s">
        <v>1045</v>
      </c>
      <c r="AK44" s="126" t="s">
        <v>1045</v>
      </c>
      <c r="AL44" s="126" t="s">
        <v>1045</v>
      </c>
      <c r="AM44" s="126" t="s">
        <v>1045</v>
      </c>
      <c r="AN44" s="126" t="s">
        <v>1045</v>
      </c>
      <c r="AO44" s="126" t="s">
        <v>1045</v>
      </c>
      <c r="AP44" s="126" t="s">
        <v>1045</v>
      </c>
      <c r="AR44" s="126" t="s">
        <v>1046</v>
      </c>
      <c r="AS44" s="126" t="s">
        <v>1046</v>
      </c>
      <c r="AT44" s="126" t="s">
        <v>1046</v>
      </c>
      <c r="AU44" s="126" t="s">
        <v>1046</v>
      </c>
      <c r="AV44" s="126" t="s">
        <v>1046</v>
      </c>
      <c r="AW44" s="126" t="s">
        <v>1046</v>
      </c>
      <c r="AX44" s="126" t="s">
        <v>1046</v>
      </c>
      <c r="AY44" s="126" t="s">
        <v>1046</v>
      </c>
      <c r="AZ44" s="126" t="s">
        <v>1046</v>
      </c>
      <c r="BA44" s="126" t="s">
        <v>1046</v>
      </c>
      <c r="BB44" s="126" t="s">
        <v>1046</v>
      </c>
      <c r="BC44" s="126" t="s">
        <v>1046</v>
      </c>
      <c r="BD44" s="377"/>
      <c r="BF44" s="343" t="s">
        <v>1047</v>
      </c>
      <c r="BG44" s="344" t="s">
        <v>1047</v>
      </c>
      <c r="BH44" s="344" t="s">
        <v>1047</v>
      </c>
      <c r="BI44" s="344" t="s">
        <v>1047</v>
      </c>
      <c r="BJ44" s="344" t="s">
        <v>1047</v>
      </c>
      <c r="BK44" s="344" t="s">
        <v>1047</v>
      </c>
      <c r="BL44" s="344" t="s">
        <v>1047</v>
      </c>
      <c r="BM44" s="344" t="s">
        <v>1047</v>
      </c>
      <c r="BN44" s="344" t="s">
        <v>1047</v>
      </c>
      <c r="BO44" s="344" t="s">
        <v>1047</v>
      </c>
      <c r="BP44" s="344" t="s">
        <v>1047</v>
      </c>
      <c r="BQ44" s="345" t="s">
        <v>1047</v>
      </c>
      <c r="BS44" s="343" t="s">
        <v>1047</v>
      </c>
      <c r="BT44" s="344" t="s">
        <v>1047</v>
      </c>
      <c r="BU44" s="344" t="s">
        <v>1047</v>
      </c>
      <c r="BV44" s="344" t="s">
        <v>1047</v>
      </c>
      <c r="BW44" s="344" t="s">
        <v>1047</v>
      </c>
      <c r="BX44" s="344" t="s">
        <v>1047</v>
      </c>
      <c r="BY44" s="344" t="s">
        <v>1047</v>
      </c>
      <c r="BZ44" s="344" t="s">
        <v>1047</v>
      </c>
      <c r="CA44" s="344" t="s">
        <v>1047</v>
      </c>
      <c r="CB44" s="344" t="s">
        <v>1047</v>
      </c>
      <c r="CC44" s="344" t="s">
        <v>1047</v>
      </c>
      <c r="CD44" s="345" t="s">
        <v>1047</v>
      </c>
      <c r="CE44" s="375"/>
    </row>
    <row r="45" spans="1:95">
      <c r="B45" s="129">
        <v>2015</v>
      </c>
      <c r="C45" s="129"/>
      <c r="D45" s="353">
        <v>2025</v>
      </c>
      <c r="E45" s="354">
        <v>2025</v>
      </c>
      <c r="F45" s="354">
        <v>2025</v>
      </c>
      <c r="G45" s="354">
        <v>2025</v>
      </c>
      <c r="H45" s="354">
        <v>2025</v>
      </c>
      <c r="I45" s="354">
        <v>2025</v>
      </c>
      <c r="J45" s="354">
        <v>2025</v>
      </c>
      <c r="K45" s="354">
        <v>2025</v>
      </c>
      <c r="L45" s="354">
        <v>2025</v>
      </c>
      <c r="M45" s="354">
        <v>2025</v>
      </c>
      <c r="N45" s="354">
        <v>2025</v>
      </c>
      <c r="O45" s="355">
        <v>2025</v>
      </c>
      <c r="Q45" s="353">
        <v>2050</v>
      </c>
      <c r="R45" s="354">
        <v>2050</v>
      </c>
      <c r="S45" s="354">
        <v>2050</v>
      </c>
      <c r="T45" s="354">
        <v>2050</v>
      </c>
      <c r="U45" s="354">
        <v>2050</v>
      </c>
      <c r="V45" s="354">
        <v>2050</v>
      </c>
      <c r="W45" s="354">
        <v>2050</v>
      </c>
      <c r="X45" s="354">
        <v>2050</v>
      </c>
      <c r="Y45" s="354">
        <v>2050</v>
      </c>
      <c r="Z45" s="354">
        <v>2050</v>
      </c>
      <c r="AA45" s="354">
        <v>2050</v>
      </c>
      <c r="AB45" s="355">
        <v>2050</v>
      </c>
      <c r="AC45" s="356">
        <v>2050</v>
      </c>
      <c r="AE45" s="130">
        <v>2025</v>
      </c>
      <c r="AF45" s="131">
        <v>2025</v>
      </c>
      <c r="AG45" s="131">
        <v>2025</v>
      </c>
      <c r="AH45" s="131">
        <v>2025</v>
      </c>
      <c r="AI45" s="131">
        <v>2025</v>
      </c>
      <c r="AJ45" s="131">
        <v>2025</v>
      </c>
      <c r="AK45" s="131">
        <v>2025</v>
      </c>
      <c r="AL45" s="131">
        <v>2025</v>
      </c>
      <c r="AM45" s="131">
        <v>2025</v>
      </c>
      <c r="AN45" s="131">
        <v>2025</v>
      </c>
      <c r="AO45" s="131">
        <v>2025</v>
      </c>
      <c r="AP45" s="132">
        <v>2025</v>
      </c>
      <c r="AR45" s="130">
        <v>2050</v>
      </c>
      <c r="AS45" s="131">
        <v>2050</v>
      </c>
      <c r="AT45" s="131">
        <v>2050</v>
      </c>
      <c r="AU45" s="131">
        <v>2050</v>
      </c>
      <c r="AV45" s="131">
        <v>2050</v>
      </c>
      <c r="AW45" s="131">
        <v>2050</v>
      </c>
      <c r="AX45" s="131">
        <v>2050</v>
      </c>
      <c r="AY45" s="131">
        <v>2050</v>
      </c>
      <c r="AZ45" s="131">
        <v>2050</v>
      </c>
      <c r="BA45" s="131">
        <v>2050</v>
      </c>
      <c r="BB45" s="131">
        <v>2050</v>
      </c>
      <c r="BC45" s="132">
        <v>2050</v>
      </c>
      <c r="BD45" s="377"/>
      <c r="BF45" s="350">
        <v>2025</v>
      </c>
      <c r="BG45" s="351">
        <v>2025</v>
      </c>
      <c r="BH45" s="351">
        <v>2025</v>
      </c>
      <c r="BI45" s="351">
        <v>2025</v>
      </c>
      <c r="BJ45" s="351">
        <v>2025</v>
      </c>
      <c r="BK45" s="351">
        <v>2025</v>
      </c>
      <c r="BL45" s="351">
        <v>2025</v>
      </c>
      <c r="BM45" s="351">
        <v>2025</v>
      </c>
      <c r="BN45" s="351">
        <v>2025</v>
      </c>
      <c r="BO45" s="351">
        <v>2025</v>
      </c>
      <c r="BP45" s="351">
        <v>2025</v>
      </c>
      <c r="BQ45" s="352">
        <v>2025</v>
      </c>
      <c r="BS45" s="350">
        <v>2050</v>
      </c>
      <c r="BT45" s="351">
        <v>2050</v>
      </c>
      <c r="BU45" s="351">
        <v>2050</v>
      </c>
      <c r="BV45" s="351">
        <v>2050</v>
      </c>
      <c r="BW45" s="351">
        <v>2050</v>
      </c>
      <c r="BX45" s="351">
        <v>2050</v>
      </c>
      <c r="BY45" s="351">
        <v>2050</v>
      </c>
      <c r="BZ45" s="351">
        <v>2050</v>
      </c>
      <c r="CA45" s="351">
        <v>2050</v>
      </c>
      <c r="CB45" s="351">
        <v>2050</v>
      </c>
      <c r="CC45" s="351">
        <v>2050</v>
      </c>
      <c r="CD45" s="352">
        <v>2050</v>
      </c>
      <c r="CE45" s="375"/>
    </row>
    <row r="46" spans="1:95" ht="43.5" customHeight="1">
      <c r="B46" s="133" t="s">
        <v>264</v>
      </c>
      <c r="C46" s="133"/>
      <c r="D46" s="360" t="s">
        <v>613</v>
      </c>
      <c r="E46" s="361" t="s">
        <v>264</v>
      </c>
      <c r="F46" s="361" t="s">
        <v>265</v>
      </c>
      <c r="G46" s="361" t="s">
        <v>266</v>
      </c>
      <c r="H46" s="361" t="s">
        <v>614</v>
      </c>
      <c r="I46" s="361" t="s">
        <v>615</v>
      </c>
      <c r="J46" s="361" t="s">
        <v>268</v>
      </c>
      <c r="K46" s="361" t="s">
        <v>616</v>
      </c>
      <c r="L46" s="361" t="s">
        <v>617</v>
      </c>
      <c r="M46" s="361" t="s">
        <v>271</v>
      </c>
      <c r="N46" s="361" t="s">
        <v>272</v>
      </c>
      <c r="O46" s="362" t="s">
        <v>619</v>
      </c>
      <c r="Q46" s="360" t="s">
        <v>613</v>
      </c>
      <c r="R46" s="361" t="s">
        <v>264</v>
      </c>
      <c r="S46" s="361" t="s">
        <v>265</v>
      </c>
      <c r="T46" s="361" t="s">
        <v>266</v>
      </c>
      <c r="U46" s="361" t="s">
        <v>614</v>
      </c>
      <c r="V46" s="361" t="s">
        <v>615</v>
      </c>
      <c r="W46" s="361" t="s">
        <v>268</v>
      </c>
      <c r="X46" s="361" t="s">
        <v>616</v>
      </c>
      <c r="Y46" s="361" t="s">
        <v>617</v>
      </c>
      <c r="Z46" s="361" t="s">
        <v>271</v>
      </c>
      <c r="AA46" s="361" t="s">
        <v>272</v>
      </c>
      <c r="AB46" s="362" t="s">
        <v>619</v>
      </c>
      <c r="AC46" s="737" t="s">
        <v>1048</v>
      </c>
      <c r="AE46" s="111" t="s">
        <v>613</v>
      </c>
      <c r="AF46" s="112" t="s">
        <v>264</v>
      </c>
      <c r="AG46" s="112" t="s">
        <v>265</v>
      </c>
      <c r="AH46" s="112" t="s">
        <v>266</v>
      </c>
      <c r="AI46" s="112" t="s">
        <v>614</v>
      </c>
      <c r="AJ46" s="112" t="s">
        <v>615</v>
      </c>
      <c r="AK46" s="112" t="s">
        <v>268</v>
      </c>
      <c r="AL46" s="112" t="s">
        <v>616</v>
      </c>
      <c r="AM46" s="112" t="s">
        <v>617</v>
      </c>
      <c r="AN46" s="112" t="s">
        <v>271</v>
      </c>
      <c r="AO46" s="112" t="s">
        <v>272</v>
      </c>
      <c r="AP46" s="113" t="s">
        <v>619</v>
      </c>
      <c r="AR46" s="111" t="s">
        <v>613</v>
      </c>
      <c r="AS46" s="112" t="s">
        <v>264</v>
      </c>
      <c r="AT46" s="112" t="s">
        <v>265</v>
      </c>
      <c r="AU46" s="112" t="s">
        <v>266</v>
      </c>
      <c r="AV46" s="112" t="s">
        <v>614</v>
      </c>
      <c r="AW46" s="112" t="s">
        <v>615</v>
      </c>
      <c r="AX46" s="112" t="s">
        <v>268</v>
      </c>
      <c r="AY46" s="112" t="s">
        <v>616</v>
      </c>
      <c r="AZ46" s="112" t="s">
        <v>617</v>
      </c>
      <c r="BA46" s="112" t="s">
        <v>271</v>
      </c>
      <c r="BB46" s="112" t="s">
        <v>272</v>
      </c>
      <c r="BC46" s="113" t="s">
        <v>619</v>
      </c>
      <c r="BD46" s="739" t="s">
        <v>1048</v>
      </c>
      <c r="BF46" s="357" t="s">
        <v>613</v>
      </c>
      <c r="BG46" s="358" t="s">
        <v>264</v>
      </c>
      <c r="BH46" s="358" t="s">
        <v>265</v>
      </c>
      <c r="BI46" s="358" t="s">
        <v>266</v>
      </c>
      <c r="BJ46" s="358" t="s">
        <v>614</v>
      </c>
      <c r="BK46" s="358" t="s">
        <v>615</v>
      </c>
      <c r="BL46" s="358" t="s">
        <v>268</v>
      </c>
      <c r="BM46" s="358" t="s">
        <v>616</v>
      </c>
      <c r="BN46" s="358" t="s">
        <v>617</v>
      </c>
      <c r="BO46" s="358" t="s">
        <v>271</v>
      </c>
      <c r="BP46" s="358" t="s">
        <v>272</v>
      </c>
      <c r="BQ46" s="359" t="s">
        <v>619</v>
      </c>
      <c r="BS46" s="357" t="s">
        <v>613</v>
      </c>
      <c r="BT46" s="358" t="s">
        <v>264</v>
      </c>
      <c r="BU46" s="358" t="s">
        <v>265</v>
      </c>
      <c r="BV46" s="358" t="s">
        <v>266</v>
      </c>
      <c r="BW46" s="358" t="s">
        <v>614</v>
      </c>
      <c r="BX46" s="358" t="s">
        <v>615</v>
      </c>
      <c r="BY46" s="358" t="s">
        <v>268</v>
      </c>
      <c r="BZ46" s="358" t="s">
        <v>616</v>
      </c>
      <c r="CA46" s="358" t="s">
        <v>617</v>
      </c>
      <c r="CB46" s="358" t="s">
        <v>271</v>
      </c>
      <c r="CC46" s="358" t="s">
        <v>272</v>
      </c>
      <c r="CD46" s="359" t="s">
        <v>619</v>
      </c>
      <c r="CE46" s="738" t="s">
        <v>1048</v>
      </c>
    </row>
    <row r="47" spans="1:95" s="60" customFormat="1">
      <c r="A47" s="137" t="s">
        <v>142</v>
      </c>
      <c r="B47" s="138"/>
      <c r="C47" s="138"/>
      <c r="D47" s="366"/>
      <c r="E47" s="367"/>
      <c r="F47" s="367"/>
      <c r="G47" s="367"/>
      <c r="H47" s="367"/>
      <c r="I47" s="367"/>
      <c r="J47" s="367"/>
      <c r="K47" s="367"/>
      <c r="L47" s="367"/>
      <c r="M47" s="367"/>
      <c r="N47" s="367"/>
      <c r="O47" s="368"/>
      <c r="P47" s="137"/>
      <c r="Q47" s="366"/>
      <c r="R47" s="367"/>
      <c r="S47" s="367"/>
      <c r="T47" s="367"/>
      <c r="U47" s="367"/>
      <c r="V47" s="367"/>
      <c r="W47" s="367"/>
      <c r="X47" s="367"/>
      <c r="Y47" s="367"/>
      <c r="Z47" s="367"/>
      <c r="AA47" s="367"/>
      <c r="AB47" s="368"/>
      <c r="AC47" s="737"/>
      <c r="AD47" s="137"/>
      <c r="AE47" s="139"/>
      <c r="AF47" s="140"/>
      <c r="AG47" s="140"/>
      <c r="AH47" s="140"/>
      <c r="AI47" s="140"/>
      <c r="AJ47" s="140"/>
      <c r="AK47" s="140"/>
      <c r="AL47" s="140"/>
      <c r="AM47" s="140"/>
      <c r="AN47" s="140"/>
      <c r="AO47" s="140"/>
      <c r="AP47" s="141"/>
      <c r="AQ47" s="137"/>
      <c r="AR47" s="139"/>
      <c r="AS47" s="140"/>
      <c r="AT47" s="140"/>
      <c r="AU47" s="140"/>
      <c r="AV47" s="140"/>
      <c r="AW47" s="140"/>
      <c r="AX47" s="140"/>
      <c r="AY47" s="140"/>
      <c r="AZ47" s="140"/>
      <c r="BA47" s="140"/>
      <c r="BB47" s="140"/>
      <c r="BC47" s="141"/>
      <c r="BD47" s="739"/>
      <c r="BE47" s="137"/>
      <c r="BF47" s="363"/>
      <c r="BG47" s="364"/>
      <c r="BH47" s="364"/>
      <c r="BI47" s="364"/>
      <c r="BJ47" s="364"/>
      <c r="BK47" s="364"/>
      <c r="BL47" s="364"/>
      <c r="BM47" s="364"/>
      <c r="BN47" s="364"/>
      <c r="BO47" s="364"/>
      <c r="BP47" s="364"/>
      <c r="BQ47" s="365"/>
      <c r="BR47" s="137"/>
      <c r="BS47" s="363"/>
      <c r="BT47" s="364"/>
      <c r="BU47" s="364"/>
      <c r="BV47" s="364"/>
      <c r="BW47" s="364"/>
      <c r="BX47" s="364"/>
      <c r="BY47" s="364"/>
      <c r="BZ47" s="364"/>
      <c r="CA47" s="364"/>
      <c r="CB47" s="364"/>
      <c r="CC47" s="364"/>
      <c r="CD47" s="365"/>
      <c r="CE47" s="738"/>
      <c r="CF47" s="137"/>
      <c r="CG47" s="137"/>
    </row>
    <row r="48" spans="1:95">
      <c r="A48" s="142" t="s">
        <v>626</v>
      </c>
      <c r="B48" s="316">
        <v>15776.535</v>
      </c>
      <c r="C48" s="316"/>
      <c r="D48" s="316">
        <f t="shared" ref="D48:O48" si="76">D$83*D96</f>
        <v>0</v>
      </c>
      <c r="E48" s="316">
        <f t="shared" si="76"/>
        <v>0</v>
      </c>
      <c r="F48" s="316">
        <f t="shared" si="76"/>
        <v>0</v>
      </c>
      <c r="G48" s="316">
        <f t="shared" si="76"/>
        <v>0</v>
      </c>
      <c r="H48" s="316">
        <f t="shared" si="76"/>
        <v>0</v>
      </c>
      <c r="I48" s="316">
        <f t="shared" si="76"/>
        <v>0</v>
      </c>
      <c r="J48" s="316">
        <f t="shared" si="76"/>
        <v>0</v>
      </c>
      <c r="K48" s="316">
        <f t="shared" si="76"/>
        <v>0</v>
      </c>
      <c r="L48" s="316">
        <f t="shared" si="76"/>
        <v>0</v>
      </c>
      <c r="M48" s="316">
        <f t="shared" si="76"/>
        <v>0</v>
      </c>
      <c r="N48" s="316">
        <f>N$83*N96</f>
        <v>0</v>
      </c>
      <c r="O48" s="316">
        <f t="shared" si="76"/>
        <v>15776.534999999993</v>
      </c>
      <c r="P48" s="36">
        <v>0</v>
      </c>
      <c r="Q48" s="316">
        <f t="shared" ref="Q48:AB48" si="77">Q$83*Q96</f>
        <v>8448.7573219341139</v>
      </c>
      <c r="R48" s="316">
        <f t="shared" si="77"/>
        <v>0</v>
      </c>
      <c r="S48" s="316">
        <f t="shared" si="77"/>
        <v>0</v>
      </c>
      <c r="T48" s="316">
        <f t="shared" si="77"/>
        <v>0</v>
      </c>
      <c r="U48" s="316">
        <f t="shared" si="77"/>
        <v>285.05749372679225</v>
      </c>
      <c r="V48" s="316">
        <f t="shared" si="77"/>
        <v>0</v>
      </c>
      <c r="W48" s="316">
        <f t="shared" si="77"/>
        <v>0</v>
      </c>
      <c r="X48" s="316">
        <f t="shared" si="77"/>
        <v>0</v>
      </c>
      <c r="Y48" s="316">
        <f t="shared" si="77"/>
        <v>3555.2497677648553</v>
      </c>
      <c r="Z48" s="316">
        <f t="shared" si="77"/>
        <v>0</v>
      </c>
      <c r="AA48" s="316">
        <f t="shared" si="77"/>
        <v>0</v>
      </c>
      <c r="AB48" s="316">
        <f t="shared" si="77"/>
        <v>15776.534999999993</v>
      </c>
      <c r="AC48" s="316">
        <f>R48+T48+Y48</f>
        <v>3555.2497677648553</v>
      </c>
      <c r="AD48" s="36">
        <v>0</v>
      </c>
      <c r="AE48" s="311">
        <f>AE$83*AE96</f>
        <v>2595.7075496844618</v>
      </c>
      <c r="AF48" s="316">
        <f t="shared" ref="AF48:AP48" si="78">AF$83*AF96</f>
        <v>0</v>
      </c>
      <c r="AG48" s="316">
        <f t="shared" si="78"/>
        <v>0</v>
      </c>
      <c r="AH48" s="316">
        <f t="shared" si="78"/>
        <v>0</v>
      </c>
      <c r="AI48" s="316">
        <f t="shared" si="78"/>
        <v>0</v>
      </c>
      <c r="AJ48" s="316">
        <f t="shared" si="78"/>
        <v>0</v>
      </c>
      <c r="AK48" s="316">
        <f t="shared" si="78"/>
        <v>0</v>
      </c>
      <c r="AL48" s="316">
        <f t="shared" si="78"/>
        <v>0</v>
      </c>
      <c r="AM48" s="316">
        <f t="shared" si="78"/>
        <v>0</v>
      </c>
      <c r="AN48" s="316">
        <f t="shared" si="78"/>
        <v>0</v>
      </c>
      <c r="AO48" s="316">
        <f t="shared" si="78"/>
        <v>0</v>
      </c>
      <c r="AP48" s="316">
        <f t="shared" si="78"/>
        <v>15776.534999999993</v>
      </c>
      <c r="AQ48" s="36">
        <v>0</v>
      </c>
      <c r="AR48" s="316">
        <f>AR$83*AR96</f>
        <v>14983.905779183708</v>
      </c>
      <c r="AS48" s="316">
        <f t="shared" ref="AS48:BC48" si="79">AS$83*AS96</f>
        <v>0</v>
      </c>
      <c r="AT48" s="316">
        <f t="shared" si="79"/>
        <v>0</v>
      </c>
      <c r="AU48" s="316">
        <f t="shared" si="79"/>
        <v>0</v>
      </c>
      <c r="AV48" s="316">
        <f t="shared" si="79"/>
        <v>857.87043698518005</v>
      </c>
      <c r="AW48" s="316">
        <f t="shared" si="79"/>
        <v>0</v>
      </c>
      <c r="AX48" s="316">
        <f t="shared" si="79"/>
        <v>0</v>
      </c>
      <c r="AY48" s="316">
        <f t="shared" si="79"/>
        <v>0</v>
      </c>
      <c r="AZ48" s="316">
        <f t="shared" si="79"/>
        <v>5633.840372574773</v>
      </c>
      <c r="BA48" s="316">
        <f t="shared" si="79"/>
        <v>0</v>
      </c>
      <c r="BB48" s="316">
        <f t="shared" si="79"/>
        <v>0</v>
      </c>
      <c r="BC48" s="316">
        <f t="shared" si="79"/>
        <v>15776.534999999993</v>
      </c>
      <c r="BD48" s="316">
        <f t="shared" ref="BD48:BD83" si="80">AS48+AU48+AZ48</f>
        <v>5633.840372574773</v>
      </c>
      <c r="BE48" s="36"/>
      <c r="BF48" s="311">
        <f>BF$83*BF96</f>
        <v>6035.43886569611</v>
      </c>
      <c r="BG48" s="316">
        <f t="shared" ref="BG48:BQ48" si="81">BG$83*BG96</f>
        <v>8768.4357826990745</v>
      </c>
      <c r="BH48" s="316">
        <f t="shared" si="81"/>
        <v>0</v>
      </c>
      <c r="BI48" s="316">
        <f t="shared" si="81"/>
        <v>0</v>
      </c>
      <c r="BJ48" s="316">
        <f t="shared" si="81"/>
        <v>0</v>
      </c>
      <c r="BK48" s="316">
        <f t="shared" si="81"/>
        <v>0</v>
      </c>
      <c r="BL48" s="316">
        <f t="shared" si="81"/>
        <v>0</v>
      </c>
      <c r="BM48" s="316">
        <f t="shared" si="81"/>
        <v>0</v>
      </c>
      <c r="BN48" s="316">
        <f t="shared" si="81"/>
        <v>0</v>
      </c>
      <c r="BO48" s="316">
        <f t="shared" si="81"/>
        <v>0</v>
      </c>
      <c r="BP48" s="316">
        <f t="shared" si="81"/>
        <v>0</v>
      </c>
      <c r="BQ48" s="316">
        <f t="shared" si="81"/>
        <v>15776.534999999993</v>
      </c>
      <c r="BR48" s="36">
        <v>0</v>
      </c>
      <c r="BS48" s="316">
        <f>BS$83*BS96</f>
        <v>21983.852896956403</v>
      </c>
      <c r="BT48" s="316">
        <f t="shared" ref="BT48:CD48" si="82">BT$83*BT96</f>
        <v>0</v>
      </c>
      <c r="BU48" s="316">
        <f t="shared" si="82"/>
        <v>0</v>
      </c>
      <c r="BV48" s="316">
        <f t="shared" si="82"/>
        <v>0</v>
      </c>
      <c r="BW48" s="316">
        <f t="shared" si="82"/>
        <v>848.78611379343852</v>
      </c>
      <c r="BX48" s="316">
        <f t="shared" si="82"/>
        <v>3081.6312271110096</v>
      </c>
      <c r="BY48" s="316">
        <f t="shared" si="82"/>
        <v>0</v>
      </c>
      <c r="BZ48" s="316">
        <f t="shared" si="82"/>
        <v>5004.8344364959548</v>
      </c>
      <c r="CA48" s="316">
        <f t="shared" si="82"/>
        <v>9508.0062361855307</v>
      </c>
      <c r="CB48" s="316">
        <f t="shared" si="82"/>
        <v>0</v>
      </c>
      <c r="CC48" s="316">
        <f t="shared" si="82"/>
        <v>0</v>
      </c>
      <c r="CD48" s="316">
        <f t="shared" si="82"/>
        <v>15776.534999999993</v>
      </c>
      <c r="CE48" s="316">
        <f t="shared" ref="CE48:CE83" si="83">BT48+BV48+CA48</f>
        <v>9508.0062361855307</v>
      </c>
      <c r="CF48" s="36">
        <v>0</v>
      </c>
      <c r="CG48" s="36">
        <v>0</v>
      </c>
    </row>
    <row r="49" spans="1:85">
      <c r="A49" s="143" t="s">
        <v>627</v>
      </c>
      <c r="B49" s="316">
        <v>48995.75</v>
      </c>
      <c r="C49" s="316"/>
      <c r="D49" s="316">
        <f t="shared" ref="D49:O49" si="84">D$83*D97</f>
        <v>0</v>
      </c>
      <c r="E49" s="316">
        <f t="shared" si="84"/>
        <v>0</v>
      </c>
      <c r="F49" s="316">
        <f t="shared" si="84"/>
        <v>0</v>
      </c>
      <c r="G49" s="316">
        <f t="shared" si="84"/>
        <v>0</v>
      </c>
      <c r="H49" s="316">
        <f t="shared" si="84"/>
        <v>0</v>
      </c>
      <c r="I49" s="316">
        <f t="shared" si="84"/>
        <v>0</v>
      </c>
      <c r="J49" s="316">
        <f t="shared" si="84"/>
        <v>0</v>
      </c>
      <c r="K49" s="316">
        <f t="shared" si="84"/>
        <v>0</v>
      </c>
      <c r="L49" s="316">
        <f t="shared" si="84"/>
        <v>0</v>
      </c>
      <c r="M49" s="316">
        <f t="shared" si="84"/>
        <v>0</v>
      </c>
      <c r="N49" s="316">
        <f t="shared" si="84"/>
        <v>0</v>
      </c>
      <c r="O49" s="316">
        <f t="shared" si="84"/>
        <v>48995.749999999978</v>
      </c>
      <c r="P49" s="36">
        <v>0</v>
      </c>
      <c r="Q49" s="316">
        <f t="shared" ref="Q49:AB49" si="85">Q$83*Q97</f>
        <v>0</v>
      </c>
      <c r="R49" s="316">
        <f t="shared" si="85"/>
        <v>0</v>
      </c>
      <c r="S49" s="316">
        <f t="shared" si="85"/>
        <v>0</v>
      </c>
      <c r="T49" s="316">
        <f t="shared" si="85"/>
        <v>0</v>
      </c>
      <c r="U49" s="316">
        <f t="shared" si="85"/>
        <v>51.728092101394694</v>
      </c>
      <c r="V49" s="316">
        <f t="shared" si="85"/>
        <v>0</v>
      </c>
      <c r="W49" s="316">
        <f t="shared" si="85"/>
        <v>0</v>
      </c>
      <c r="X49" s="316">
        <f t="shared" si="85"/>
        <v>0</v>
      </c>
      <c r="Y49" s="316">
        <f t="shared" si="85"/>
        <v>17906.910219243709</v>
      </c>
      <c r="Z49" s="316">
        <f t="shared" si="85"/>
        <v>0</v>
      </c>
      <c r="AA49" s="316">
        <f t="shared" si="85"/>
        <v>0</v>
      </c>
      <c r="AB49" s="316">
        <f t="shared" si="85"/>
        <v>48995.749999999978</v>
      </c>
      <c r="AC49" s="316">
        <f t="shared" ref="AC49:AC83" si="86">R49+T49+Y49</f>
        <v>17906.910219243709</v>
      </c>
      <c r="AD49" s="36">
        <v>0</v>
      </c>
      <c r="AE49" s="316">
        <f t="shared" ref="AE49:AP49" si="87">AE$83*AE97</f>
        <v>0</v>
      </c>
      <c r="AF49" s="316">
        <f t="shared" si="87"/>
        <v>22499.000035835983</v>
      </c>
      <c r="AG49" s="316">
        <f t="shared" si="87"/>
        <v>0</v>
      </c>
      <c r="AH49" s="316">
        <f t="shared" si="87"/>
        <v>0</v>
      </c>
      <c r="AI49" s="316">
        <f t="shared" si="87"/>
        <v>0</v>
      </c>
      <c r="AJ49" s="316">
        <f t="shared" si="87"/>
        <v>0</v>
      </c>
      <c r="AK49" s="316">
        <f t="shared" si="87"/>
        <v>0</v>
      </c>
      <c r="AL49" s="316">
        <f t="shared" si="87"/>
        <v>0</v>
      </c>
      <c r="AM49" s="316">
        <f t="shared" si="87"/>
        <v>0</v>
      </c>
      <c r="AN49" s="316">
        <f t="shared" si="87"/>
        <v>0</v>
      </c>
      <c r="AO49" s="316">
        <f t="shared" si="87"/>
        <v>0</v>
      </c>
      <c r="AP49" s="316">
        <f t="shared" si="87"/>
        <v>48995.749999999978</v>
      </c>
      <c r="AQ49" s="36">
        <v>0</v>
      </c>
      <c r="AR49" s="316">
        <f t="shared" ref="AR49:BC49" si="88">AR$83*AR97</f>
        <v>0</v>
      </c>
      <c r="AS49" s="316">
        <f t="shared" si="88"/>
        <v>0</v>
      </c>
      <c r="AT49" s="316">
        <f t="shared" si="88"/>
        <v>0</v>
      </c>
      <c r="AU49" s="316">
        <f t="shared" si="88"/>
        <v>0</v>
      </c>
      <c r="AV49" s="316">
        <f t="shared" si="88"/>
        <v>285.95681232839337</v>
      </c>
      <c r="AW49" s="316">
        <f t="shared" si="88"/>
        <v>0</v>
      </c>
      <c r="AX49" s="316">
        <f t="shared" si="88"/>
        <v>0</v>
      </c>
      <c r="AY49" s="316">
        <f t="shared" si="88"/>
        <v>0</v>
      </c>
      <c r="AZ49" s="316">
        <f t="shared" si="88"/>
        <v>25440.17372606503</v>
      </c>
      <c r="BA49" s="316">
        <f t="shared" si="88"/>
        <v>0</v>
      </c>
      <c r="BB49" s="316">
        <f t="shared" si="88"/>
        <v>0</v>
      </c>
      <c r="BC49" s="316">
        <f t="shared" si="88"/>
        <v>48995.749999999978</v>
      </c>
      <c r="BD49" s="316">
        <f t="shared" si="80"/>
        <v>25440.17372606503</v>
      </c>
      <c r="BE49" s="36"/>
      <c r="BF49" s="316">
        <f t="shared" ref="BF49:BQ49" si="89">BF$83*BF97</f>
        <v>0</v>
      </c>
      <c r="BG49" s="316">
        <f t="shared" si="89"/>
        <v>35879.519850892044</v>
      </c>
      <c r="BH49" s="316">
        <f t="shared" si="89"/>
        <v>0</v>
      </c>
      <c r="BI49" s="316">
        <f t="shared" si="89"/>
        <v>0</v>
      </c>
      <c r="BJ49" s="316">
        <f t="shared" si="89"/>
        <v>0</v>
      </c>
      <c r="BK49" s="316">
        <f t="shared" si="89"/>
        <v>0</v>
      </c>
      <c r="BL49" s="316">
        <f t="shared" si="89"/>
        <v>0</v>
      </c>
      <c r="BM49" s="316">
        <f t="shared" si="89"/>
        <v>0</v>
      </c>
      <c r="BN49" s="316">
        <f t="shared" si="89"/>
        <v>0</v>
      </c>
      <c r="BO49" s="316">
        <f t="shared" si="89"/>
        <v>0</v>
      </c>
      <c r="BP49" s="316">
        <f t="shared" si="89"/>
        <v>0</v>
      </c>
      <c r="BQ49" s="316">
        <f t="shared" si="89"/>
        <v>48995.749999999978</v>
      </c>
      <c r="BR49" s="36">
        <v>0</v>
      </c>
      <c r="BS49" s="316">
        <f t="shared" ref="BS49:CD49" si="90">BS$83*BS97</f>
        <v>0</v>
      </c>
      <c r="BT49" s="316">
        <f t="shared" si="90"/>
        <v>0</v>
      </c>
      <c r="BU49" s="316">
        <f t="shared" si="90"/>
        <v>0</v>
      </c>
      <c r="BV49" s="316">
        <f t="shared" si="90"/>
        <v>0</v>
      </c>
      <c r="BW49" s="316">
        <f t="shared" si="90"/>
        <v>565.85740919562579</v>
      </c>
      <c r="BX49" s="316">
        <f t="shared" si="90"/>
        <v>30003.363832661122</v>
      </c>
      <c r="BY49" s="316">
        <f t="shared" si="90"/>
        <v>0</v>
      </c>
      <c r="BZ49" s="316">
        <f t="shared" si="90"/>
        <v>7276.0552218691946</v>
      </c>
      <c r="CA49" s="316">
        <f t="shared" si="90"/>
        <v>16310.35021461159</v>
      </c>
      <c r="CB49" s="316">
        <f t="shared" si="90"/>
        <v>0</v>
      </c>
      <c r="CC49" s="316">
        <f t="shared" si="90"/>
        <v>0</v>
      </c>
      <c r="CD49" s="316">
        <f t="shared" si="90"/>
        <v>48995.749999999978</v>
      </c>
      <c r="CE49" s="316">
        <f t="shared" si="83"/>
        <v>16310.35021461159</v>
      </c>
      <c r="CF49" s="36">
        <v>0</v>
      </c>
      <c r="CG49" s="36">
        <v>0</v>
      </c>
    </row>
    <row r="50" spans="1:85">
      <c r="A50" s="143" t="s">
        <v>628</v>
      </c>
      <c r="B50" s="316">
        <v>4035.49</v>
      </c>
      <c r="C50" s="316"/>
      <c r="D50" s="316">
        <f t="shared" ref="D50:O50" si="91">D$83*D98</f>
        <v>0</v>
      </c>
      <c r="E50" s="316">
        <f t="shared" si="91"/>
        <v>0</v>
      </c>
      <c r="F50" s="316">
        <f t="shared" si="91"/>
        <v>0</v>
      </c>
      <c r="G50" s="316">
        <f t="shared" si="91"/>
        <v>0</v>
      </c>
      <c r="H50" s="316">
        <f t="shared" si="91"/>
        <v>0</v>
      </c>
      <c r="I50" s="316">
        <f t="shared" si="91"/>
        <v>0</v>
      </c>
      <c r="J50" s="316">
        <f t="shared" si="91"/>
        <v>0</v>
      </c>
      <c r="K50" s="316">
        <f t="shared" si="91"/>
        <v>0</v>
      </c>
      <c r="L50" s="316">
        <f t="shared" si="91"/>
        <v>0</v>
      </c>
      <c r="M50" s="316">
        <f t="shared" si="91"/>
        <v>0</v>
      </c>
      <c r="N50" s="316">
        <f t="shared" si="91"/>
        <v>0</v>
      </c>
      <c r="O50" s="316">
        <f t="shared" si="91"/>
        <v>4035.489999999998</v>
      </c>
      <c r="P50" s="36">
        <v>0</v>
      </c>
      <c r="Q50" s="316">
        <f t="shared" ref="Q50:AB50" si="92">Q$83*Q98</f>
        <v>5819.9376834817358</v>
      </c>
      <c r="R50" s="316">
        <f t="shared" si="92"/>
        <v>0</v>
      </c>
      <c r="S50" s="316">
        <f t="shared" si="92"/>
        <v>0</v>
      </c>
      <c r="T50" s="316">
        <f t="shared" si="92"/>
        <v>0</v>
      </c>
      <c r="U50" s="316">
        <f t="shared" si="92"/>
        <v>0</v>
      </c>
      <c r="V50" s="316">
        <f t="shared" si="92"/>
        <v>0</v>
      </c>
      <c r="W50" s="316">
        <f t="shared" si="92"/>
        <v>0</v>
      </c>
      <c r="X50" s="316">
        <f t="shared" si="92"/>
        <v>0</v>
      </c>
      <c r="Y50" s="316">
        <f t="shared" si="92"/>
        <v>0</v>
      </c>
      <c r="Z50" s="316">
        <f t="shared" si="92"/>
        <v>0</v>
      </c>
      <c r="AA50" s="316">
        <f t="shared" si="92"/>
        <v>0</v>
      </c>
      <c r="AB50" s="316">
        <f t="shared" si="92"/>
        <v>4035.489999999998</v>
      </c>
      <c r="AC50" s="316">
        <f t="shared" si="86"/>
        <v>0</v>
      </c>
      <c r="AD50" s="36">
        <v>0</v>
      </c>
      <c r="AE50" s="316">
        <f t="shared" ref="AE50:AP50" si="93">AE$83*AE98</f>
        <v>6223.3327224956311</v>
      </c>
      <c r="AF50" s="316">
        <f t="shared" si="93"/>
        <v>0</v>
      </c>
      <c r="AG50" s="316">
        <f t="shared" si="93"/>
        <v>0</v>
      </c>
      <c r="AH50" s="316">
        <f t="shared" si="93"/>
        <v>0</v>
      </c>
      <c r="AI50" s="316">
        <f t="shared" si="93"/>
        <v>0</v>
      </c>
      <c r="AJ50" s="316">
        <f t="shared" si="93"/>
        <v>0</v>
      </c>
      <c r="AK50" s="316">
        <f t="shared" si="93"/>
        <v>0</v>
      </c>
      <c r="AL50" s="316">
        <f t="shared" si="93"/>
        <v>0</v>
      </c>
      <c r="AM50" s="316">
        <f t="shared" si="93"/>
        <v>0</v>
      </c>
      <c r="AN50" s="316">
        <f t="shared" si="93"/>
        <v>0</v>
      </c>
      <c r="AO50" s="316">
        <f t="shared" si="93"/>
        <v>0</v>
      </c>
      <c r="AP50" s="316">
        <f t="shared" si="93"/>
        <v>4035.489999999998</v>
      </c>
      <c r="AQ50" s="36">
        <v>0</v>
      </c>
      <c r="AR50" s="316">
        <f t="shared" ref="AR50:BC50" si="94">AR$83*AR98</f>
        <v>10401.238466968041</v>
      </c>
      <c r="AS50" s="316">
        <f t="shared" si="94"/>
        <v>0</v>
      </c>
      <c r="AT50" s="316">
        <f t="shared" si="94"/>
        <v>0</v>
      </c>
      <c r="AU50" s="316">
        <f t="shared" si="94"/>
        <v>0</v>
      </c>
      <c r="AV50" s="316">
        <f t="shared" si="94"/>
        <v>0</v>
      </c>
      <c r="AW50" s="316">
        <f t="shared" si="94"/>
        <v>0</v>
      </c>
      <c r="AX50" s="316">
        <f t="shared" si="94"/>
        <v>0</v>
      </c>
      <c r="AY50" s="316">
        <f t="shared" si="94"/>
        <v>0</v>
      </c>
      <c r="AZ50" s="316">
        <f t="shared" si="94"/>
        <v>0</v>
      </c>
      <c r="BA50" s="316">
        <f t="shared" si="94"/>
        <v>0</v>
      </c>
      <c r="BB50" s="316">
        <f t="shared" si="94"/>
        <v>0</v>
      </c>
      <c r="BC50" s="316">
        <f t="shared" si="94"/>
        <v>4035.489999999998</v>
      </c>
      <c r="BD50" s="316">
        <f t="shared" si="80"/>
        <v>0</v>
      </c>
      <c r="BE50" s="36"/>
      <c r="BF50" s="316">
        <f t="shared" ref="BF50:BQ50" si="95">BF$83*BF98</f>
        <v>5653.6685824610313</v>
      </c>
      <c r="BG50" s="316">
        <f t="shared" si="95"/>
        <v>4815.1590119405009</v>
      </c>
      <c r="BH50" s="316">
        <f t="shared" si="95"/>
        <v>0</v>
      </c>
      <c r="BI50" s="316">
        <f t="shared" si="95"/>
        <v>0</v>
      </c>
      <c r="BJ50" s="316">
        <f t="shared" si="95"/>
        <v>0</v>
      </c>
      <c r="BK50" s="316">
        <f t="shared" si="95"/>
        <v>0</v>
      </c>
      <c r="BL50" s="316">
        <f t="shared" si="95"/>
        <v>0</v>
      </c>
      <c r="BM50" s="316">
        <f t="shared" si="95"/>
        <v>0</v>
      </c>
      <c r="BN50" s="316">
        <f t="shared" si="95"/>
        <v>0</v>
      </c>
      <c r="BO50" s="316">
        <f t="shared" si="95"/>
        <v>0</v>
      </c>
      <c r="BP50" s="316">
        <f t="shared" si="95"/>
        <v>0</v>
      </c>
      <c r="BQ50" s="316">
        <f t="shared" si="95"/>
        <v>4035.489999999998</v>
      </c>
      <c r="BR50" s="36">
        <v>0</v>
      </c>
      <c r="BS50" s="316">
        <f t="shared" ref="BS50:CD50" si="96">BS$83*BS98</f>
        <v>14658.339796537093</v>
      </c>
      <c r="BT50" s="316">
        <f t="shared" si="96"/>
        <v>0</v>
      </c>
      <c r="BU50" s="316">
        <f t="shared" si="96"/>
        <v>0</v>
      </c>
      <c r="BV50" s="316">
        <f t="shared" si="96"/>
        <v>0</v>
      </c>
      <c r="BW50" s="316">
        <f t="shared" si="96"/>
        <v>0</v>
      </c>
      <c r="BX50" s="316">
        <f t="shared" si="96"/>
        <v>0</v>
      </c>
      <c r="BY50" s="316">
        <f t="shared" si="96"/>
        <v>0</v>
      </c>
      <c r="BZ50" s="316">
        <f t="shared" si="96"/>
        <v>0</v>
      </c>
      <c r="CA50" s="316">
        <f t="shared" si="96"/>
        <v>0</v>
      </c>
      <c r="CB50" s="316">
        <f t="shared" si="96"/>
        <v>0</v>
      </c>
      <c r="CC50" s="316">
        <f t="shared" si="96"/>
        <v>0</v>
      </c>
      <c r="CD50" s="316">
        <f t="shared" si="96"/>
        <v>4035.489999999998</v>
      </c>
      <c r="CE50" s="316">
        <f t="shared" si="83"/>
        <v>0</v>
      </c>
      <c r="CF50" s="36">
        <v>0</v>
      </c>
      <c r="CG50" s="36">
        <v>0</v>
      </c>
    </row>
    <row r="51" spans="1:85">
      <c r="A51" s="143" t="s">
        <v>629</v>
      </c>
      <c r="B51" s="316">
        <v>17164.395</v>
      </c>
      <c r="C51" s="316"/>
      <c r="D51" s="311">
        <f t="shared" ref="D51:O51" si="97">D$83*D99</f>
        <v>8010.1884947404651</v>
      </c>
      <c r="E51" s="316">
        <f t="shared" si="97"/>
        <v>0</v>
      </c>
      <c r="F51" s="316">
        <f t="shared" si="97"/>
        <v>0</v>
      </c>
      <c r="G51" s="316">
        <f t="shared" si="97"/>
        <v>0</v>
      </c>
      <c r="H51" s="316">
        <f t="shared" si="97"/>
        <v>0</v>
      </c>
      <c r="I51" s="316">
        <f t="shared" si="97"/>
        <v>0</v>
      </c>
      <c r="J51" s="316">
        <f t="shared" si="97"/>
        <v>0</v>
      </c>
      <c r="K51" s="316">
        <f t="shared" si="97"/>
        <v>0</v>
      </c>
      <c r="L51" s="316">
        <f t="shared" si="97"/>
        <v>0</v>
      </c>
      <c r="M51" s="316">
        <f t="shared" si="97"/>
        <v>0</v>
      </c>
      <c r="N51" s="316">
        <f t="shared" si="97"/>
        <v>0</v>
      </c>
      <c r="O51" s="316">
        <f t="shared" si="97"/>
        <v>17164.394999999997</v>
      </c>
      <c r="P51" s="36">
        <v>0</v>
      </c>
      <c r="Q51" s="316">
        <f t="shared" ref="Q51:AB51" si="98">Q$83*Q99</f>
        <v>13576.050054948924</v>
      </c>
      <c r="R51" s="316">
        <f t="shared" si="98"/>
        <v>0</v>
      </c>
      <c r="S51" s="316">
        <f t="shared" si="98"/>
        <v>5278.0492545195475</v>
      </c>
      <c r="T51" s="316">
        <f t="shared" si="98"/>
        <v>0</v>
      </c>
      <c r="U51" s="316">
        <f t="shared" si="98"/>
        <v>2070.672167021211</v>
      </c>
      <c r="V51" s="316">
        <f t="shared" si="98"/>
        <v>0</v>
      </c>
      <c r="W51" s="316">
        <f t="shared" si="98"/>
        <v>0</v>
      </c>
      <c r="X51" s="316">
        <f t="shared" si="98"/>
        <v>0</v>
      </c>
      <c r="Y51" s="316">
        <f t="shared" si="98"/>
        <v>14913.144394469216</v>
      </c>
      <c r="Z51" s="316">
        <f t="shared" si="98"/>
        <v>0</v>
      </c>
      <c r="AA51" s="316">
        <f t="shared" si="98"/>
        <v>0</v>
      </c>
      <c r="AB51" s="316">
        <f t="shared" si="98"/>
        <v>17164.394999999997</v>
      </c>
      <c r="AC51" s="316">
        <f t="shared" si="86"/>
        <v>14913.144394469216</v>
      </c>
      <c r="AD51" s="36">
        <v>0</v>
      </c>
      <c r="AE51" s="316">
        <f t="shared" ref="AE51:AP51" si="99">AE$83*AE99</f>
        <v>15381.578618979895</v>
      </c>
      <c r="AF51" s="316">
        <f t="shared" si="99"/>
        <v>36279.403491950259</v>
      </c>
      <c r="AG51" s="316">
        <f t="shared" si="99"/>
        <v>8915.7818385028058</v>
      </c>
      <c r="AH51" s="316">
        <f t="shared" si="99"/>
        <v>0</v>
      </c>
      <c r="AI51" s="316">
        <f t="shared" si="99"/>
        <v>0</v>
      </c>
      <c r="AJ51" s="316">
        <f t="shared" si="99"/>
        <v>0</v>
      </c>
      <c r="AK51" s="316">
        <f t="shared" si="99"/>
        <v>0</v>
      </c>
      <c r="AL51" s="316">
        <f t="shared" si="99"/>
        <v>0</v>
      </c>
      <c r="AM51" s="316">
        <f t="shared" si="99"/>
        <v>0</v>
      </c>
      <c r="AN51" s="316">
        <f t="shared" si="99"/>
        <v>0</v>
      </c>
      <c r="AO51" s="316">
        <f t="shared" si="99"/>
        <v>0</v>
      </c>
      <c r="AP51" s="316">
        <f t="shared" si="99"/>
        <v>17164.394999999997</v>
      </c>
      <c r="AQ51" s="36">
        <v>0</v>
      </c>
      <c r="AR51" s="316">
        <f t="shared" ref="AR51:BC51" si="100">AR$83*AR99</f>
        <v>26792.261987993475</v>
      </c>
      <c r="AS51" s="316">
        <f t="shared" si="100"/>
        <v>0</v>
      </c>
      <c r="AT51" s="316">
        <f t="shared" si="100"/>
        <v>10838.47111501451</v>
      </c>
      <c r="AU51" s="316">
        <f t="shared" si="100"/>
        <v>0</v>
      </c>
      <c r="AV51" s="316">
        <f t="shared" si="100"/>
        <v>3195.7891166843165</v>
      </c>
      <c r="AW51" s="316">
        <f t="shared" si="100"/>
        <v>0</v>
      </c>
      <c r="AX51" s="316">
        <f t="shared" si="100"/>
        <v>475.32083548524616</v>
      </c>
      <c r="AY51" s="316">
        <f t="shared" si="100"/>
        <v>0</v>
      </c>
      <c r="AZ51" s="316">
        <f t="shared" si="100"/>
        <v>19726.286929080921</v>
      </c>
      <c r="BA51" s="316">
        <f t="shared" si="100"/>
        <v>0</v>
      </c>
      <c r="BB51" s="316">
        <f t="shared" si="100"/>
        <v>0</v>
      </c>
      <c r="BC51" s="316">
        <f t="shared" si="100"/>
        <v>17164.394999999997</v>
      </c>
      <c r="BD51" s="316">
        <f t="shared" si="80"/>
        <v>19726.286929080921</v>
      </c>
      <c r="BE51" s="36"/>
      <c r="BF51" s="316">
        <f t="shared" ref="BF51:BQ51" si="101">BF$83*BF99</f>
        <v>6595.336278595606</v>
      </c>
      <c r="BG51" s="316">
        <f t="shared" si="101"/>
        <v>61729.285472933581</v>
      </c>
      <c r="BH51" s="316">
        <f t="shared" si="101"/>
        <v>13132.781258852794</v>
      </c>
      <c r="BI51" s="316">
        <f t="shared" si="101"/>
        <v>0</v>
      </c>
      <c r="BJ51" s="316">
        <f t="shared" si="101"/>
        <v>0</v>
      </c>
      <c r="BK51" s="316">
        <f t="shared" si="101"/>
        <v>0</v>
      </c>
      <c r="BL51" s="316">
        <f t="shared" si="101"/>
        <v>0</v>
      </c>
      <c r="BM51" s="316">
        <f t="shared" si="101"/>
        <v>0</v>
      </c>
      <c r="BN51" s="316">
        <f t="shared" si="101"/>
        <v>0</v>
      </c>
      <c r="BO51" s="316">
        <f t="shared" si="101"/>
        <v>0</v>
      </c>
      <c r="BP51" s="316">
        <f t="shared" si="101"/>
        <v>3312.381021454315</v>
      </c>
      <c r="BQ51" s="316">
        <f t="shared" si="101"/>
        <v>17164.394999999997</v>
      </c>
      <c r="BR51" s="36">
        <v>0</v>
      </c>
      <c r="BS51" s="316">
        <f t="shared" ref="BS51:CD51" si="102">BS$83*BS99</f>
        <v>38590.598264825174</v>
      </c>
      <c r="BT51" s="316">
        <f t="shared" si="102"/>
        <v>0</v>
      </c>
      <c r="BU51" s="316">
        <f t="shared" si="102"/>
        <v>20919.390429672447</v>
      </c>
      <c r="BV51" s="316">
        <f t="shared" si="102"/>
        <v>0</v>
      </c>
      <c r="BW51" s="316">
        <f t="shared" si="102"/>
        <v>4056.3546888647111</v>
      </c>
      <c r="BX51" s="316">
        <f t="shared" si="102"/>
        <v>17429.671722503423</v>
      </c>
      <c r="BY51" s="316">
        <f t="shared" si="102"/>
        <v>11351.984184670931</v>
      </c>
      <c r="BZ51" s="316">
        <f t="shared" si="102"/>
        <v>9.8789496164730028</v>
      </c>
      <c r="CA51" s="316">
        <f t="shared" si="102"/>
        <v>44131.318119479642</v>
      </c>
      <c r="CB51" s="316">
        <f t="shared" si="102"/>
        <v>0</v>
      </c>
      <c r="CC51" s="316">
        <f t="shared" si="102"/>
        <v>0</v>
      </c>
      <c r="CD51" s="316">
        <f t="shared" si="102"/>
        <v>17164.394999999997</v>
      </c>
      <c r="CE51" s="316">
        <f t="shared" si="83"/>
        <v>44131.318119479642</v>
      </c>
      <c r="CF51" s="36">
        <v>0</v>
      </c>
      <c r="CG51" s="36">
        <v>0</v>
      </c>
    </row>
    <row r="52" spans="1:85">
      <c r="A52" s="143" t="s">
        <v>630</v>
      </c>
      <c r="B52" s="316">
        <v>1424.63</v>
      </c>
      <c r="C52" s="316"/>
      <c r="D52" s="316">
        <f>D$83*D100</f>
        <v>0</v>
      </c>
      <c r="E52" s="316">
        <f t="shared" ref="E52:O52" si="103">E$83*E100</f>
        <v>0</v>
      </c>
      <c r="F52" s="316">
        <f t="shared" si="103"/>
        <v>0</v>
      </c>
      <c r="G52" s="316">
        <f t="shared" si="103"/>
        <v>0</v>
      </c>
      <c r="H52" s="316">
        <f t="shared" si="103"/>
        <v>0</v>
      </c>
      <c r="I52" s="316">
        <f t="shared" si="103"/>
        <v>0</v>
      </c>
      <c r="J52" s="316">
        <f t="shared" si="103"/>
        <v>0</v>
      </c>
      <c r="K52" s="316">
        <f t="shared" si="103"/>
        <v>0</v>
      </c>
      <c r="L52" s="316">
        <f t="shared" si="103"/>
        <v>0</v>
      </c>
      <c r="M52" s="316">
        <f t="shared" si="103"/>
        <v>0</v>
      </c>
      <c r="N52" s="316">
        <f t="shared" si="103"/>
        <v>0</v>
      </c>
      <c r="O52" s="316">
        <f t="shared" si="103"/>
        <v>1424.6299999999994</v>
      </c>
      <c r="P52" s="36">
        <v>0</v>
      </c>
      <c r="Q52" s="316">
        <f t="shared" ref="Q52:AB52" si="104">Q$83*Q100</f>
        <v>0</v>
      </c>
      <c r="R52" s="316">
        <f t="shared" si="104"/>
        <v>0</v>
      </c>
      <c r="S52" s="316">
        <f t="shared" si="104"/>
        <v>0</v>
      </c>
      <c r="T52" s="316">
        <f t="shared" si="104"/>
        <v>0</v>
      </c>
      <c r="U52" s="316">
        <f t="shared" si="104"/>
        <v>695.79690497603724</v>
      </c>
      <c r="V52" s="316">
        <f t="shared" si="104"/>
        <v>0</v>
      </c>
      <c r="W52" s="316">
        <f t="shared" si="104"/>
        <v>0</v>
      </c>
      <c r="X52" s="316">
        <f t="shared" si="104"/>
        <v>0</v>
      </c>
      <c r="Y52" s="316">
        <f t="shared" si="104"/>
        <v>21909.371036093238</v>
      </c>
      <c r="Z52" s="316">
        <f t="shared" si="104"/>
        <v>0</v>
      </c>
      <c r="AA52" s="316">
        <f t="shared" si="104"/>
        <v>0</v>
      </c>
      <c r="AB52" s="316">
        <f t="shared" si="104"/>
        <v>1424.6299999999994</v>
      </c>
      <c r="AC52" s="316">
        <f t="shared" si="86"/>
        <v>21909.371036093238</v>
      </c>
      <c r="AD52" s="36">
        <v>0</v>
      </c>
      <c r="AE52" s="316">
        <f t="shared" ref="AE52:AP52" si="105">AE$83*AE100</f>
        <v>0</v>
      </c>
      <c r="AF52" s="316">
        <f t="shared" si="105"/>
        <v>24722.94404402416</v>
      </c>
      <c r="AG52" s="316">
        <f t="shared" si="105"/>
        <v>0</v>
      </c>
      <c r="AH52" s="316">
        <f t="shared" si="105"/>
        <v>0</v>
      </c>
      <c r="AI52" s="316">
        <f t="shared" si="105"/>
        <v>0</v>
      </c>
      <c r="AJ52" s="316">
        <f t="shared" si="105"/>
        <v>0</v>
      </c>
      <c r="AK52" s="316">
        <f t="shared" si="105"/>
        <v>0</v>
      </c>
      <c r="AL52" s="316">
        <f t="shared" si="105"/>
        <v>0</v>
      </c>
      <c r="AM52" s="316">
        <f t="shared" si="105"/>
        <v>0</v>
      </c>
      <c r="AN52" s="316">
        <f t="shared" si="105"/>
        <v>0</v>
      </c>
      <c r="AO52" s="316">
        <f t="shared" si="105"/>
        <v>0</v>
      </c>
      <c r="AP52" s="316">
        <f t="shared" si="105"/>
        <v>1424.6299999999994</v>
      </c>
      <c r="AQ52" s="36">
        <v>0</v>
      </c>
      <c r="AR52" s="316">
        <f t="shared" ref="AR52:BC52" si="106">AR$83*AR100</f>
        <v>0</v>
      </c>
      <c r="AS52" s="316">
        <f t="shared" si="106"/>
        <v>0</v>
      </c>
      <c r="AT52" s="316">
        <f t="shared" si="106"/>
        <v>0</v>
      </c>
      <c r="AU52" s="316">
        <f t="shared" si="106"/>
        <v>0</v>
      </c>
      <c r="AV52" s="316">
        <f t="shared" si="106"/>
        <v>857.87043698518016</v>
      </c>
      <c r="AW52" s="316">
        <f t="shared" si="106"/>
        <v>0</v>
      </c>
      <c r="AX52" s="316">
        <f t="shared" si="106"/>
        <v>0</v>
      </c>
      <c r="AY52" s="316">
        <f t="shared" si="106"/>
        <v>0</v>
      </c>
      <c r="AZ52" s="316">
        <f t="shared" si="106"/>
        <v>28306.130205236459</v>
      </c>
      <c r="BA52" s="316">
        <f t="shared" si="106"/>
        <v>0</v>
      </c>
      <c r="BB52" s="316">
        <f t="shared" si="106"/>
        <v>0</v>
      </c>
      <c r="BC52" s="316">
        <f t="shared" si="106"/>
        <v>1424.6299999999994</v>
      </c>
      <c r="BD52" s="316">
        <f t="shared" si="80"/>
        <v>28306.130205236459</v>
      </c>
      <c r="BE52" s="36"/>
      <c r="BF52" s="316">
        <f t="shared" ref="BF52:BQ52" si="107">BF$83*BF100</f>
        <v>0</v>
      </c>
      <c r="BG52" s="316">
        <f t="shared" si="107"/>
        <v>23107.865273943469</v>
      </c>
      <c r="BH52" s="316">
        <f t="shared" si="107"/>
        <v>0</v>
      </c>
      <c r="BI52" s="316">
        <f t="shared" si="107"/>
        <v>0</v>
      </c>
      <c r="BJ52" s="316">
        <f t="shared" si="107"/>
        <v>0</v>
      </c>
      <c r="BK52" s="316">
        <f t="shared" si="107"/>
        <v>0</v>
      </c>
      <c r="BL52" s="316">
        <f t="shared" si="107"/>
        <v>0</v>
      </c>
      <c r="BM52" s="316">
        <f t="shared" si="107"/>
        <v>0</v>
      </c>
      <c r="BN52" s="316">
        <f t="shared" si="107"/>
        <v>0</v>
      </c>
      <c r="BO52" s="316">
        <f t="shared" si="107"/>
        <v>0</v>
      </c>
      <c r="BP52" s="316">
        <f t="shared" si="107"/>
        <v>0</v>
      </c>
      <c r="BQ52" s="316">
        <f t="shared" si="107"/>
        <v>1424.6299999999994</v>
      </c>
      <c r="BR52" s="36">
        <v>0</v>
      </c>
      <c r="BS52" s="316">
        <f t="shared" ref="BS52:CD52" si="108">BS$83*BS100</f>
        <v>0</v>
      </c>
      <c r="BT52" s="316">
        <f t="shared" si="108"/>
        <v>0</v>
      </c>
      <c r="BU52" s="316">
        <f t="shared" si="108"/>
        <v>0</v>
      </c>
      <c r="BV52" s="316">
        <f t="shared" si="108"/>
        <v>0</v>
      </c>
      <c r="BW52" s="316">
        <f t="shared" si="108"/>
        <v>848.78611379343863</v>
      </c>
      <c r="BX52" s="316">
        <f t="shared" si="108"/>
        <v>10199.624360987047</v>
      </c>
      <c r="BY52" s="316">
        <f t="shared" si="108"/>
        <v>0</v>
      </c>
      <c r="BZ52" s="316">
        <f t="shared" si="108"/>
        <v>5691.5334539104733</v>
      </c>
      <c r="CA52" s="316">
        <f t="shared" si="108"/>
        <v>37327.608492615807</v>
      </c>
      <c r="CB52" s="316">
        <f t="shared" si="108"/>
        <v>0</v>
      </c>
      <c r="CC52" s="316">
        <f t="shared" si="108"/>
        <v>0</v>
      </c>
      <c r="CD52" s="316">
        <f t="shared" si="108"/>
        <v>1424.6299999999994</v>
      </c>
      <c r="CE52" s="316">
        <f t="shared" si="83"/>
        <v>37327.608492615807</v>
      </c>
      <c r="CF52" s="36">
        <v>0</v>
      </c>
      <c r="CG52" s="36">
        <v>0</v>
      </c>
    </row>
    <row r="53" spans="1:85">
      <c r="A53" s="143" t="s">
        <v>631</v>
      </c>
      <c r="B53" s="316">
        <v>59758.875</v>
      </c>
      <c r="C53" s="316"/>
      <c r="D53" s="316">
        <f t="shared" ref="D53:O53" si="109">D$83*D101</f>
        <v>3550.575198900342</v>
      </c>
      <c r="E53" s="316">
        <f t="shared" si="109"/>
        <v>0</v>
      </c>
      <c r="F53" s="316">
        <f t="shared" si="109"/>
        <v>0</v>
      </c>
      <c r="G53" s="316">
        <f t="shared" si="109"/>
        <v>0</v>
      </c>
      <c r="H53" s="316">
        <f t="shared" si="109"/>
        <v>0</v>
      </c>
      <c r="I53" s="316">
        <f t="shared" si="109"/>
        <v>0</v>
      </c>
      <c r="J53" s="316">
        <f t="shared" si="109"/>
        <v>0</v>
      </c>
      <c r="K53" s="316">
        <f t="shared" si="109"/>
        <v>0</v>
      </c>
      <c r="L53" s="316">
        <f t="shared" si="109"/>
        <v>0</v>
      </c>
      <c r="M53" s="316">
        <f t="shared" si="109"/>
        <v>0</v>
      </c>
      <c r="N53" s="316">
        <f t="shared" si="109"/>
        <v>64737.108930925155</v>
      </c>
      <c r="O53" s="316">
        <f t="shared" si="109"/>
        <v>59758.874999999978</v>
      </c>
      <c r="P53" s="36">
        <v>0</v>
      </c>
      <c r="Q53" s="316">
        <f t="shared" ref="Q53:AB53" si="110">Q$83*Q101</f>
        <v>3514.0232635269945</v>
      </c>
      <c r="R53" s="316">
        <f t="shared" si="110"/>
        <v>0</v>
      </c>
      <c r="S53" s="316">
        <f t="shared" si="110"/>
        <v>11819.315733966921</v>
      </c>
      <c r="T53" s="316">
        <f t="shared" si="110"/>
        <v>0</v>
      </c>
      <c r="U53" s="316">
        <f t="shared" si="110"/>
        <v>1739.4922624400929</v>
      </c>
      <c r="V53" s="316">
        <f t="shared" si="110"/>
        <v>7468.0123988989999</v>
      </c>
      <c r="W53" s="316">
        <f t="shared" si="110"/>
        <v>0</v>
      </c>
      <c r="X53" s="316">
        <f t="shared" si="110"/>
        <v>0</v>
      </c>
      <c r="Y53" s="316">
        <f t="shared" si="110"/>
        <v>121662.84472519137</v>
      </c>
      <c r="Z53" s="316">
        <f t="shared" si="110"/>
        <v>0</v>
      </c>
      <c r="AA53" s="316">
        <f t="shared" si="110"/>
        <v>0</v>
      </c>
      <c r="AB53" s="316">
        <f t="shared" si="110"/>
        <v>59758.874999999978</v>
      </c>
      <c r="AC53" s="316">
        <f t="shared" si="86"/>
        <v>121662.84472519137</v>
      </c>
      <c r="AD53" s="36">
        <v>0</v>
      </c>
      <c r="AE53" s="316">
        <f t="shared" ref="AE53:AP53" si="111">AE$83*AE101</f>
        <v>1179.3257679665373</v>
      </c>
      <c r="AF53" s="316">
        <f t="shared" si="111"/>
        <v>205962.21055020642</v>
      </c>
      <c r="AG53" s="316">
        <f t="shared" si="111"/>
        <v>15323.08645738723</v>
      </c>
      <c r="AH53" s="316">
        <f t="shared" si="111"/>
        <v>0</v>
      </c>
      <c r="AI53" s="316">
        <f t="shared" si="111"/>
        <v>0</v>
      </c>
      <c r="AJ53" s="316">
        <f t="shared" si="111"/>
        <v>0</v>
      </c>
      <c r="AK53" s="316">
        <f t="shared" si="111"/>
        <v>0</v>
      </c>
      <c r="AL53" s="316">
        <f t="shared" si="111"/>
        <v>0</v>
      </c>
      <c r="AM53" s="316">
        <f t="shared" si="111"/>
        <v>0</v>
      </c>
      <c r="AN53" s="316">
        <f t="shared" si="111"/>
        <v>0</v>
      </c>
      <c r="AO53" s="316">
        <f t="shared" si="111"/>
        <v>96858.88672163822</v>
      </c>
      <c r="AP53" s="316">
        <f t="shared" si="111"/>
        <v>59758.874999999978</v>
      </c>
      <c r="AQ53" s="36">
        <v>0</v>
      </c>
      <c r="AR53" s="316">
        <f t="shared" ref="AR53:BC53" si="112">AR$83*AR101</f>
        <v>4271.3274373832428</v>
      </c>
      <c r="AS53" s="316">
        <f t="shared" si="112"/>
        <v>0</v>
      </c>
      <c r="AT53" s="316">
        <f t="shared" si="112"/>
        <v>22467.539483208584</v>
      </c>
      <c r="AU53" s="316">
        <f t="shared" si="112"/>
        <v>0</v>
      </c>
      <c r="AV53" s="316">
        <f t="shared" si="112"/>
        <v>12262.755978434441</v>
      </c>
      <c r="AW53" s="316">
        <f t="shared" si="112"/>
        <v>198587.06240526465</v>
      </c>
      <c r="AX53" s="316">
        <f t="shared" si="112"/>
        <v>94498.941048617664</v>
      </c>
      <c r="AY53" s="316">
        <f t="shared" si="112"/>
        <v>126796.52608628603</v>
      </c>
      <c r="AZ53" s="316">
        <f t="shared" si="112"/>
        <v>320298.75365255773</v>
      </c>
      <c r="BA53" s="316">
        <f t="shared" si="112"/>
        <v>0</v>
      </c>
      <c r="BB53" s="316">
        <f t="shared" si="112"/>
        <v>0</v>
      </c>
      <c r="BC53" s="316">
        <f t="shared" si="112"/>
        <v>59758.874999999978</v>
      </c>
      <c r="BD53" s="316">
        <f t="shared" si="80"/>
        <v>320298.75365255773</v>
      </c>
      <c r="BE53" s="36"/>
      <c r="BF53" s="316">
        <f t="shared" ref="BF53:BQ53" si="113">BF$83*BF101</f>
        <v>600.33037329411195</v>
      </c>
      <c r="BG53" s="316">
        <f t="shared" si="113"/>
        <v>111136.3371579574</v>
      </c>
      <c r="BH53" s="316">
        <f t="shared" si="113"/>
        <v>8202.1905866141587</v>
      </c>
      <c r="BI53" s="316">
        <f t="shared" si="113"/>
        <v>0</v>
      </c>
      <c r="BJ53" s="316">
        <f t="shared" si="113"/>
        <v>0</v>
      </c>
      <c r="BK53" s="316">
        <f t="shared" si="113"/>
        <v>0</v>
      </c>
      <c r="BL53" s="316">
        <f t="shared" si="113"/>
        <v>0</v>
      </c>
      <c r="BM53" s="316">
        <f t="shared" si="113"/>
        <v>0</v>
      </c>
      <c r="BN53" s="316">
        <f t="shared" si="113"/>
        <v>0</v>
      </c>
      <c r="BO53" s="316">
        <f t="shared" si="113"/>
        <v>0</v>
      </c>
      <c r="BP53" s="316">
        <f t="shared" si="113"/>
        <v>90108.177921856593</v>
      </c>
      <c r="BQ53" s="316">
        <f t="shared" si="113"/>
        <v>59758.874999999978</v>
      </c>
      <c r="BR53" s="36">
        <v>0</v>
      </c>
      <c r="BS53" s="316">
        <f t="shared" ref="BS53:CD53" si="114">BS$83*BS101</f>
        <v>2640.744066135871</v>
      </c>
      <c r="BT53" s="316">
        <f t="shared" si="114"/>
        <v>0</v>
      </c>
      <c r="BU53" s="316">
        <f t="shared" si="114"/>
        <v>18261.538945426804</v>
      </c>
      <c r="BV53" s="316">
        <f t="shared" si="114"/>
        <v>0</v>
      </c>
      <c r="BW53" s="316">
        <f t="shared" si="114"/>
        <v>12415.829598013765</v>
      </c>
      <c r="BX53" s="316">
        <f t="shared" si="114"/>
        <v>164492.35855952904</v>
      </c>
      <c r="BY53" s="316">
        <f t="shared" si="114"/>
        <v>156477.0977916386</v>
      </c>
      <c r="BZ53" s="316">
        <f t="shared" si="114"/>
        <v>97003.3919084714</v>
      </c>
      <c r="CA53" s="316">
        <f t="shared" si="114"/>
        <v>454723.56131557119</v>
      </c>
      <c r="CB53" s="316">
        <f t="shared" si="114"/>
        <v>45212.170957214636</v>
      </c>
      <c r="CC53" s="316">
        <f t="shared" si="114"/>
        <v>0</v>
      </c>
      <c r="CD53" s="316">
        <f t="shared" si="114"/>
        <v>59758.874999999978</v>
      </c>
      <c r="CE53" s="316">
        <f t="shared" si="83"/>
        <v>454723.56131557119</v>
      </c>
      <c r="CF53" s="36">
        <v>0</v>
      </c>
      <c r="CG53" s="36">
        <v>0</v>
      </c>
    </row>
    <row r="54" spans="1:85">
      <c r="A54" s="143" t="s">
        <v>632</v>
      </c>
      <c r="B54" s="316">
        <v>9445.6650000000009</v>
      </c>
      <c r="C54" s="316"/>
      <c r="D54" s="316">
        <f t="shared" ref="D54:O54" si="115">D$83*D102</f>
        <v>806.94890884098697</v>
      </c>
      <c r="E54" s="316">
        <f t="shared" si="115"/>
        <v>0</v>
      </c>
      <c r="F54" s="316">
        <f t="shared" si="115"/>
        <v>0</v>
      </c>
      <c r="G54" s="316">
        <f t="shared" si="115"/>
        <v>0</v>
      </c>
      <c r="H54" s="316">
        <f t="shared" si="115"/>
        <v>0</v>
      </c>
      <c r="I54" s="316">
        <f t="shared" si="115"/>
        <v>0</v>
      </c>
      <c r="J54" s="316">
        <f t="shared" si="115"/>
        <v>0</v>
      </c>
      <c r="K54" s="316">
        <f t="shared" si="115"/>
        <v>0</v>
      </c>
      <c r="L54" s="316">
        <f t="shared" si="115"/>
        <v>0</v>
      </c>
      <c r="M54" s="316">
        <f t="shared" si="115"/>
        <v>0</v>
      </c>
      <c r="N54" s="316">
        <f t="shared" si="115"/>
        <v>66297.197746680918</v>
      </c>
      <c r="O54" s="316">
        <f t="shared" si="115"/>
        <v>9445.6649999999972</v>
      </c>
      <c r="P54" s="36">
        <v>0</v>
      </c>
      <c r="Q54" s="316">
        <f t="shared" ref="Q54:AB54" si="116">Q$83*Q102</f>
        <v>798.64165080158978</v>
      </c>
      <c r="R54" s="316">
        <f t="shared" si="116"/>
        <v>0</v>
      </c>
      <c r="S54" s="316">
        <f t="shared" si="116"/>
        <v>17092.25321878857</v>
      </c>
      <c r="T54" s="316">
        <f t="shared" si="116"/>
        <v>0</v>
      </c>
      <c r="U54" s="316">
        <f t="shared" si="116"/>
        <v>12768.712024685225</v>
      </c>
      <c r="V54" s="316">
        <f t="shared" si="116"/>
        <v>22045.082150833387</v>
      </c>
      <c r="W54" s="316">
        <f t="shared" si="116"/>
        <v>0</v>
      </c>
      <c r="X54" s="316">
        <f t="shared" si="116"/>
        <v>0</v>
      </c>
      <c r="Y54" s="316">
        <f t="shared" si="116"/>
        <v>75011.592468794042</v>
      </c>
      <c r="Z54" s="316">
        <f t="shared" si="116"/>
        <v>23457.168915612852</v>
      </c>
      <c r="AA54" s="316">
        <f t="shared" si="116"/>
        <v>0</v>
      </c>
      <c r="AB54" s="316">
        <f t="shared" si="116"/>
        <v>9445.6649999999972</v>
      </c>
      <c r="AC54" s="316">
        <f t="shared" si="86"/>
        <v>75011.592468794042</v>
      </c>
      <c r="AD54" s="36">
        <v>0</v>
      </c>
      <c r="AE54" s="316">
        <f t="shared" ref="AE54:AP54" si="117">AE$83*AE102</f>
        <v>268.02858362875855</v>
      </c>
      <c r="AF54" s="316">
        <f t="shared" si="117"/>
        <v>0</v>
      </c>
      <c r="AG54" s="316">
        <f t="shared" si="117"/>
        <v>15605.075877215784</v>
      </c>
      <c r="AH54" s="316">
        <f t="shared" si="117"/>
        <v>0</v>
      </c>
      <c r="AI54" s="316">
        <f t="shared" si="117"/>
        <v>0</v>
      </c>
      <c r="AJ54" s="316">
        <f t="shared" si="117"/>
        <v>0</v>
      </c>
      <c r="AK54" s="316">
        <f t="shared" si="117"/>
        <v>0</v>
      </c>
      <c r="AL54" s="316">
        <f t="shared" si="117"/>
        <v>0</v>
      </c>
      <c r="AM54" s="316">
        <f t="shared" si="117"/>
        <v>0</v>
      </c>
      <c r="AN54" s="316">
        <f t="shared" si="117"/>
        <v>0</v>
      </c>
      <c r="AO54" s="316">
        <f t="shared" si="117"/>
        <v>47821.545487912161</v>
      </c>
      <c r="AP54" s="316">
        <f t="shared" si="117"/>
        <v>9445.6649999999972</v>
      </c>
      <c r="AQ54" s="36">
        <v>0</v>
      </c>
      <c r="AR54" s="316">
        <f t="shared" ref="AR54:BC54" si="118">AR$83*AR102</f>
        <v>970.75623576891894</v>
      </c>
      <c r="AS54" s="316">
        <f t="shared" si="118"/>
        <v>0</v>
      </c>
      <c r="AT54" s="316">
        <f t="shared" si="118"/>
        <v>22881.007647175687</v>
      </c>
      <c r="AU54" s="316">
        <f t="shared" si="118"/>
        <v>0</v>
      </c>
      <c r="AV54" s="316">
        <f t="shared" si="118"/>
        <v>15742.956724896445</v>
      </c>
      <c r="AW54" s="316">
        <f t="shared" si="118"/>
        <v>310197.49404998135</v>
      </c>
      <c r="AX54" s="316">
        <f t="shared" si="118"/>
        <v>0</v>
      </c>
      <c r="AY54" s="316">
        <f t="shared" si="118"/>
        <v>175885.36886547427</v>
      </c>
      <c r="AZ54" s="316">
        <f t="shared" si="118"/>
        <v>68302.955107284215</v>
      </c>
      <c r="BA54" s="316">
        <f t="shared" si="118"/>
        <v>11059.755976950704</v>
      </c>
      <c r="BB54" s="316">
        <f t="shared" si="118"/>
        <v>0</v>
      </c>
      <c r="BC54" s="316">
        <f t="shared" si="118"/>
        <v>9445.6649999999972</v>
      </c>
      <c r="BD54" s="316">
        <f t="shared" si="80"/>
        <v>68302.955107284215</v>
      </c>
      <c r="BE54" s="36"/>
      <c r="BF54" s="316">
        <f t="shared" ref="BF54:BQ54" si="119">BF$83*BF102</f>
        <v>136.43872120320728</v>
      </c>
      <c r="BG54" s="316">
        <f t="shared" si="119"/>
        <v>0</v>
      </c>
      <c r="BH54" s="316">
        <f t="shared" si="119"/>
        <v>8353.1347825680677</v>
      </c>
      <c r="BI54" s="316">
        <f t="shared" si="119"/>
        <v>0</v>
      </c>
      <c r="BJ54" s="316">
        <f t="shared" si="119"/>
        <v>0</v>
      </c>
      <c r="BK54" s="316">
        <f t="shared" si="119"/>
        <v>0</v>
      </c>
      <c r="BL54" s="316">
        <f t="shared" si="119"/>
        <v>0</v>
      </c>
      <c r="BM54" s="316">
        <f t="shared" si="119"/>
        <v>0</v>
      </c>
      <c r="BN54" s="316">
        <f t="shared" si="119"/>
        <v>0</v>
      </c>
      <c r="BO54" s="316">
        <f t="shared" si="119"/>
        <v>0</v>
      </c>
      <c r="BP54" s="316">
        <f t="shared" si="119"/>
        <v>22156.680846995561</v>
      </c>
      <c r="BQ54" s="316">
        <f t="shared" si="119"/>
        <v>9445.6649999999972</v>
      </c>
      <c r="BR54" s="36">
        <v>0</v>
      </c>
      <c r="BS54" s="316">
        <f t="shared" ref="BS54:CD54" si="120">BS$83*BS102</f>
        <v>600.16910593997079</v>
      </c>
      <c r="BT54" s="316">
        <f t="shared" si="120"/>
        <v>0</v>
      </c>
      <c r="BU54" s="316">
        <f t="shared" si="120"/>
        <v>18597.604449378512</v>
      </c>
      <c r="BV54" s="316">
        <f t="shared" si="120"/>
        <v>0</v>
      </c>
      <c r="BW54" s="316">
        <f t="shared" si="120"/>
        <v>15576.248442716727</v>
      </c>
      <c r="BX54" s="316">
        <f t="shared" si="120"/>
        <v>33728.350069396904</v>
      </c>
      <c r="BY54" s="316">
        <f t="shared" si="120"/>
        <v>0</v>
      </c>
      <c r="BZ54" s="316">
        <f t="shared" si="120"/>
        <v>8360.8046472905535</v>
      </c>
      <c r="CA54" s="316">
        <f t="shared" si="120"/>
        <v>82836.944395971834</v>
      </c>
      <c r="CB54" s="316">
        <f t="shared" si="120"/>
        <v>7035.0074033381006</v>
      </c>
      <c r="CC54" s="316">
        <f t="shared" si="120"/>
        <v>0</v>
      </c>
      <c r="CD54" s="316">
        <f t="shared" si="120"/>
        <v>9445.6649999999972</v>
      </c>
      <c r="CE54" s="316">
        <f t="shared" si="83"/>
        <v>82836.944395971834</v>
      </c>
      <c r="CF54" s="36">
        <v>0</v>
      </c>
      <c r="CG54" s="36">
        <v>0</v>
      </c>
    </row>
    <row r="55" spans="1:85">
      <c r="A55" s="143" t="s">
        <v>634</v>
      </c>
      <c r="B55" s="316">
        <v>20425.932499999999</v>
      </c>
      <c r="C55" s="316"/>
      <c r="D55" s="316">
        <f t="shared" ref="D55:O55" si="121">D$83*D103</f>
        <v>0</v>
      </c>
      <c r="E55" s="316">
        <f t="shared" si="121"/>
        <v>0</v>
      </c>
      <c r="F55" s="316">
        <f t="shared" si="121"/>
        <v>0</v>
      </c>
      <c r="G55" s="316">
        <f t="shared" si="121"/>
        <v>0</v>
      </c>
      <c r="H55" s="316">
        <f t="shared" si="121"/>
        <v>0</v>
      </c>
      <c r="I55" s="316">
        <f t="shared" si="121"/>
        <v>0</v>
      </c>
      <c r="J55" s="316">
        <f t="shared" si="121"/>
        <v>0</v>
      </c>
      <c r="K55" s="316">
        <f t="shared" si="121"/>
        <v>0</v>
      </c>
      <c r="L55" s="316">
        <f t="shared" si="121"/>
        <v>0</v>
      </c>
      <c r="M55" s="316">
        <f t="shared" si="121"/>
        <v>0</v>
      </c>
      <c r="N55" s="316">
        <f t="shared" si="121"/>
        <v>0</v>
      </c>
      <c r="O55" s="316">
        <f t="shared" si="121"/>
        <v>20425.932499999988</v>
      </c>
      <c r="P55" s="36">
        <v>0</v>
      </c>
      <c r="Q55" s="316">
        <f t="shared" ref="Q55:AB55" si="122">Q$83*Q103</f>
        <v>11006.711246779623</v>
      </c>
      <c r="R55" s="316">
        <f t="shared" si="122"/>
        <v>0</v>
      </c>
      <c r="S55" s="316">
        <f t="shared" si="122"/>
        <v>0</v>
      </c>
      <c r="T55" s="316">
        <f t="shared" si="122"/>
        <v>0</v>
      </c>
      <c r="U55" s="316">
        <f t="shared" si="122"/>
        <v>597.35130324222848</v>
      </c>
      <c r="V55" s="316">
        <f t="shared" si="122"/>
        <v>0</v>
      </c>
      <c r="W55" s="316">
        <f t="shared" si="122"/>
        <v>0</v>
      </c>
      <c r="X55" s="316">
        <f t="shared" si="122"/>
        <v>0</v>
      </c>
      <c r="Y55" s="316">
        <f t="shared" si="122"/>
        <v>0</v>
      </c>
      <c r="Z55" s="316">
        <f t="shared" si="122"/>
        <v>0</v>
      </c>
      <c r="AA55" s="316">
        <f t="shared" si="122"/>
        <v>0</v>
      </c>
      <c r="AB55" s="316">
        <f t="shared" si="122"/>
        <v>20425.932499999988</v>
      </c>
      <c r="AC55" s="316">
        <f t="shared" si="86"/>
        <v>0</v>
      </c>
      <c r="AD55" s="36">
        <v>0</v>
      </c>
      <c r="AE55" s="316">
        <f t="shared" ref="AE55:AP55" si="123">AE$83*AE103</f>
        <v>14396.043704405478</v>
      </c>
      <c r="AF55" s="316">
        <f t="shared" si="123"/>
        <v>0</v>
      </c>
      <c r="AG55" s="316">
        <f t="shared" si="123"/>
        <v>0</v>
      </c>
      <c r="AH55" s="316">
        <f t="shared" si="123"/>
        <v>0</v>
      </c>
      <c r="AI55" s="316">
        <f t="shared" si="123"/>
        <v>0</v>
      </c>
      <c r="AJ55" s="316">
        <f t="shared" si="123"/>
        <v>0</v>
      </c>
      <c r="AK55" s="316">
        <f t="shared" si="123"/>
        <v>0</v>
      </c>
      <c r="AL55" s="316">
        <f t="shared" si="123"/>
        <v>0</v>
      </c>
      <c r="AM55" s="316">
        <f t="shared" si="123"/>
        <v>0</v>
      </c>
      <c r="AN55" s="316">
        <f t="shared" si="123"/>
        <v>0</v>
      </c>
      <c r="AO55" s="316">
        <f t="shared" si="123"/>
        <v>0</v>
      </c>
      <c r="AP55" s="316">
        <f t="shared" si="123"/>
        <v>20425.932499999988</v>
      </c>
      <c r="AQ55" s="36">
        <v>0</v>
      </c>
      <c r="AR55" s="316">
        <f t="shared" ref="AR55:BC55" si="124">AR$83*AR103</f>
        <v>27920.317475706044</v>
      </c>
      <c r="AS55" s="316">
        <f t="shared" si="124"/>
        <v>0</v>
      </c>
      <c r="AT55" s="316">
        <f t="shared" si="124"/>
        <v>0</v>
      </c>
      <c r="AU55" s="316">
        <f t="shared" si="124"/>
        <v>0</v>
      </c>
      <c r="AV55" s="316">
        <f t="shared" si="124"/>
        <v>1655.7586883607185</v>
      </c>
      <c r="AW55" s="316">
        <f t="shared" si="124"/>
        <v>0</v>
      </c>
      <c r="AX55" s="316">
        <f t="shared" si="124"/>
        <v>0</v>
      </c>
      <c r="AY55" s="316">
        <f t="shared" si="124"/>
        <v>0</v>
      </c>
      <c r="AZ55" s="316">
        <f t="shared" si="124"/>
        <v>0</v>
      </c>
      <c r="BA55" s="316">
        <f t="shared" si="124"/>
        <v>0</v>
      </c>
      <c r="BB55" s="316">
        <f t="shared" si="124"/>
        <v>0</v>
      </c>
      <c r="BC55" s="316">
        <f t="shared" si="124"/>
        <v>20425.932499999988</v>
      </c>
      <c r="BD55" s="316">
        <f t="shared" si="80"/>
        <v>0</v>
      </c>
      <c r="BE55" s="36"/>
      <c r="BF55" s="316">
        <f t="shared" ref="BF55:BQ55" si="125">BF$83*BF103</f>
        <v>12933.510779233333</v>
      </c>
      <c r="BG55" s="316">
        <f t="shared" si="125"/>
        <v>23969.502272350339</v>
      </c>
      <c r="BH55" s="316">
        <f t="shared" si="125"/>
        <v>0</v>
      </c>
      <c r="BI55" s="316">
        <f t="shared" si="125"/>
        <v>0</v>
      </c>
      <c r="BJ55" s="316">
        <f t="shared" si="125"/>
        <v>0</v>
      </c>
      <c r="BK55" s="316">
        <f t="shared" si="125"/>
        <v>0</v>
      </c>
      <c r="BL55" s="316">
        <f t="shared" si="125"/>
        <v>0</v>
      </c>
      <c r="BM55" s="316">
        <f t="shared" si="125"/>
        <v>0</v>
      </c>
      <c r="BN55" s="316">
        <f t="shared" si="125"/>
        <v>0</v>
      </c>
      <c r="BO55" s="316">
        <f t="shared" si="125"/>
        <v>0</v>
      </c>
      <c r="BP55" s="316">
        <f t="shared" si="125"/>
        <v>0</v>
      </c>
      <c r="BQ55" s="316">
        <f t="shared" si="125"/>
        <v>20425.932499999988</v>
      </c>
      <c r="BR55" s="36">
        <v>0</v>
      </c>
      <c r="BS55" s="316">
        <f t="shared" ref="BS55:CD55" si="126">BS$83*BS103</f>
        <v>49020.62003626331</v>
      </c>
      <c r="BT55" s="316">
        <f t="shared" si="126"/>
        <v>0</v>
      </c>
      <c r="BU55" s="316">
        <f t="shared" si="126"/>
        <v>0</v>
      </c>
      <c r="BV55" s="316">
        <f t="shared" si="126"/>
        <v>0</v>
      </c>
      <c r="BW55" s="316">
        <f t="shared" si="126"/>
        <v>1674.5164636850898</v>
      </c>
      <c r="BX55" s="316">
        <f t="shared" si="126"/>
        <v>3933.168769354083</v>
      </c>
      <c r="BY55" s="316">
        <f t="shared" si="126"/>
        <v>0</v>
      </c>
      <c r="BZ55" s="316">
        <f t="shared" si="126"/>
        <v>0</v>
      </c>
      <c r="CA55" s="316">
        <f t="shared" si="126"/>
        <v>0</v>
      </c>
      <c r="CB55" s="316">
        <f t="shared" si="126"/>
        <v>0</v>
      </c>
      <c r="CC55" s="316">
        <f t="shared" si="126"/>
        <v>0</v>
      </c>
      <c r="CD55" s="316">
        <f t="shared" si="126"/>
        <v>20425.932499999988</v>
      </c>
      <c r="CE55" s="316">
        <f t="shared" si="83"/>
        <v>0</v>
      </c>
      <c r="CF55" s="36">
        <v>0</v>
      </c>
      <c r="CG55" s="36">
        <v>0</v>
      </c>
    </row>
    <row r="56" spans="1:85">
      <c r="A56" s="143" t="s">
        <v>635</v>
      </c>
      <c r="B56" s="316">
        <v>14521.099999999999</v>
      </c>
      <c r="C56" s="316"/>
      <c r="D56" s="316">
        <f t="shared" ref="D56:O56" si="127">D$83*D104</f>
        <v>3038.2241744687076</v>
      </c>
      <c r="E56" s="316">
        <f t="shared" si="127"/>
        <v>0</v>
      </c>
      <c r="F56" s="316">
        <f t="shared" si="127"/>
        <v>0</v>
      </c>
      <c r="G56" s="316">
        <f t="shared" si="127"/>
        <v>0</v>
      </c>
      <c r="H56" s="316">
        <f t="shared" si="127"/>
        <v>0</v>
      </c>
      <c r="I56" s="316">
        <f t="shared" si="127"/>
        <v>0</v>
      </c>
      <c r="J56" s="316">
        <f t="shared" si="127"/>
        <v>0</v>
      </c>
      <c r="K56" s="316">
        <f t="shared" si="127"/>
        <v>0</v>
      </c>
      <c r="L56" s="316">
        <f t="shared" si="127"/>
        <v>0</v>
      </c>
      <c r="M56" s="316">
        <f t="shared" si="127"/>
        <v>0</v>
      </c>
      <c r="N56" s="316">
        <f t="shared" si="127"/>
        <v>0</v>
      </c>
      <c r="O56" s="316">
        <f t="shared" si="127"/>
        <v>14521.099999999993</v>
      </c>
      <c r="P56" s="36">
        <v>0</v>
      </c>
      <c r="Q56" s="316">
        <f t="shared" ref="Q56:AB56" si="128">Q$83*Q104</f>
        <v>20797.96621841663</v>
      </c>
      <c r="R56" s="316">
        <f t="shared" si="128"/>
        <v>0</v>
      </c>
      <c r="S56" s="316">
        <f t="shared" si="128"/>
        <v>0</v>
      </c>
      <c r="T56" s="316">
        <f t="shared" si="128"/>
        <v>0</v>
      </c>
      <c r="U56" s="316">
        <f t="shared" si="128"/>
        <v>231.93230165867908</v>
      </c>
      <c r="V56" s="316">
        <f t="shared" si="128"/>
        <v>0</v>
      </c>
      <c r="W56" s="316">
        <f t="shared" si="128"/>
        <v>0</v>
      </c>
      <c r="X56" s="316">
        <f t="shared" si="128"/>
        <v>0</v>
      </c>
      <c r="Y56" s="316">
        <f t="shared" si="128"/>
        <v>1642.0378106706075</v>
      </c>
      <c r="Z56" s="316">
        <f t="shared" si="128"/>
        <v>0</v>
      </c>
      <c r="AA56" s="316">
        <f t="shared" si="128"/>
        <v>0</v>
      </c>
      <c r="AB56" s="316">
        <f t="shared" si="128"/>
        <v>14521.099999999993</v>
      </c>
      <c r="AC56" s="316">
        <f t="shared" si="86"/>
        <v>1642.0378106706075</v>
      </c>
      <c r="AD56" s="36">
        <v>0</v>
      </c>
      <c r="AE56" s="316">
        <f t="shared" ref="AE56:AP56" si="129">AE$83*AE104</f>
        <v>10844.279851979869</v>
      </c>
      <c r="AF56" s="316">
        <f t="shared" si="129"/>
        <v>54628.686828970305</v>
      </c>
      <c r="AG56" s="316">
        <f t="shared" si="129"/>
        <v>0</v>
      </c>
      <c r="AH56" s="316">
        <f t="shared" si="129"/>
        <v>0</v>
      </c>
      <c r="AI56" s="316">
        <f t="shared" si="129"/>
        <v>0</v>
      </c>
      <c r="AJ56" s="316">
        <f t="shared" si="129"/>
        <v>0</v>
      </c>
      <c r="AK56" s="316">
        <f t="shared" si="129"/>
        <v>0</v>
      </c>
      <c r="AL56" s="316">
        <f t="shared" si="129"/>
        <v>0</v>
      </c>
      <c r="AM56" s="316">
        <f t="shared" si="129"/>
        <v>0</v>
      </c>
      <c r="AN56" s="316">
        <f t="shared" si="129"/>
        <v>0</v>
      </c>
      <c r="AO56" s="316">
        <f t="shared" si="129"/>
        <v>2581.7025212057251</v>
      </c>
      <c r="AP56" s="316">
        <f t="shared" si="129"/>
        <v>14521.099999999993</v>
      </c>
      <c r="AQ56" s="36">
        <v>0</v>
      </c>
      <c r="AR56" s="316">
        <f t="shared" ref="AR56:BC56" si="130">AR$83*AR104</f>
        <v>32158.643729980133</v>
      </c>
      <c r="AS56" s="316">
        <f t="shared" si="130"/>
        <v>0</v>
      </c>
      <c r="AT56" s="316">
        <f t="shared" si="130"/>
        <v>0</v>
      </c>
      <c r="AU56" s="316">
        <f t="shared" si="130"/>
        <v>0</v>
      </c>
      <c r="AV56" s="316">
        <f t="shared" si="130"/>
        <v>285.95681232839337</v>
      </c>
      <c r="AW56" s="316">
        <f t="shared" si="130"/>
        <v>0</v>
      </c>
      <c r="AX56" s="316">
        <f t="shared" si="130"/>
        <v>2546.6983186310431</v>
      </c>
      <c r="AY56" s="316">
        <f t="shared" si="130"/>
        <v>0</v>
      </c>
      <c r="AZ56" s="316">
        <f t="shared" si="130"/>
        <v>9905.7296707135811</v>
      </c>
      <c r="BA56" s="316">
        <f t="shared" si="130"/>
        <v>0</v>
      </c>
      <c r="BB56" s="316">
        <f t="shared" si="130"/>
        <v>0</v>
      </c>
      <c r="BC56" s="316">
        <f t="shared" si="130"/>
        <v>14521.099999999993</v>
      </c>
      <c r="BD56" s="316">
        <f t="shared" si="80"/>
        <v>9905.7296707135811</v>
      </c>
      <c r="BE56" s="36"/>
      <c r="BF56" s="316">
        <f t="shared" ref="BF56:BQ56" si="131">BF$83*BF104</f>
        <v>9878.4292337340376</v>
      </c>
      <c r="BG56" s="316">
        <f t="shared" si="131"/>
        <v>29054.948213873147</v>
      </c>
      <c r="BH56" s="316">
        <f t="shared" si="131"/>
        <v>0</v>
      </c>
      <c r="BI56" s="316">
        <f t="shared" si="131"/>
        <v>0</v>
      </c>
      <c r="BJ56" s="316">
        <f t="shared" si="131"/>
        <v>0</v>
      </c>
      <c r="BK56" s="316">
        <f t="shared" si="131"/>
        <v>0</v>
      </c>
      <c r="BL56" s="316">
        <f t="shared" si="131"/>
        <v>0</v>
      </c>
      <c r="BM56" s="316">
        <f t="shared" si="131"/>
        <v>0</v>
      </c>
      <c r="BN56" s="316">
        <f t="shared" si="131"/>
        <v>0</v>
      </c>
      <c r="BO56" s="316">
        <f t="shared" si="131"/>
        <v>0</v>
      </c>
      <c r="BP56" s="316">
        <f t="shared" si="131"/>
        <v>4126.8589030772382</v>
      </c>
      <c r="BQ56" s="316">
        <f t="shared" si="131"/>
        <v>14521.099999999993</v>
      </c>
      <c r="BR56" s="36">
        <v>0</v>
      </c>
      <c r="BS56" s="316">
        <f t="shared" ref="BS56:CD56" si="132">BS$83*BS104</f>
        <v>29734.077357485407</v>
      </c>
      <c r="BT56" s="316">
        <f t="shared" si="132"/>
        <v>0</v>
      </c>
      <c r="BU56" s="316">
        <f t="shared" si="132"/>
        <v>0</v>
      </c>
      <c r="BV56" s="316">
        <f t="shared" si="132"/>
        <v>0</v>
      </c>
      <c r="BW56" s="316">
        <f t="shared" si="132"/>
        <v>282.9287045978129</v>
      </c>
      <c r="BX56" s="316">
        <f t="shared" si="132"/>
        <v>19364.459340277219</v>
      </c>
      <c r="BY56" s="316">
        <f t="shared" si="132"/>
        <v>12801.58798394583</v>
      </c>
      <c r="BZ56" s="316">
        <f t="shared" si="132"/>
        <v>0</v>
      </c>
      <c r="CA56" s="316">
        <f t="shared" si="132"/>
        <v>9370.5536303992194</v>
      </c>
      <c r="CB56" s="316">
        <f t="shared" si="132"/>
        <v>0</v>
      </c>
      <c r="CC56" s="316">
        <f t="shared" si="132"/>
        <v>0</v>
      </c>
      <c r="CD56" s="316">
        <f t="shared" si="132"/>
        <v>14521.099999999993</v>
      </c>
      <c r="CE56" s="316">
        <f t="shared" si="83"/>
        <v>9370.5536303992194</v>
      </c>
      <c r="CF56" s="36">
        <v>0</v>
      </c>
      <c r="CG56" s="36">
        <v>0</v>
      </c>
    </row>
    <row r="57" spans="1:85">
      <c r="A57" s="143" t="s">
        <v>636</v>
      </c>
      <c r="B57" s="316">
        <v>4313.5950000000003</v>
      </c>
      <c r="C57" s="316"/>
      <c r="D57" s="316">
        <f t="shared" ref="D57:O57" si="133">D$83*D105</f>
        <v>0</v>
      </c>
      <c r="E57" s="316">
        <f t="shared" si="133"/>
        <v>0</v>
      </c>
      <c r="F57" s="316">
        <f t="shared" si="133"/>
        <v>0</v>
      </c>
      <c r="G57" s="316">
        <f t="shared" si="133"/>
        <v>0</v>
      </c>
      <c r="H57" s="316">
        <f t="shared" si="133"/>
        <v>0</v>
      </c>
      <c r="I57" s="316">
        <f t="shared" si="133"/>
        <v>0</v>
      </c>
      <c r="J57" s="316">
        <f t="shared" si="133"/>
        <v>0</v>
      </c>
      <c r="K57" s="316">
        <f t="shared" si="133"/>
        <v>0</v>
      </c>
      <c r="L57" s="316">
        <f t="shared" si="133"/>
        <v>0</v>
      </c>
      <c r="M57" s="316">
        <f t="shared" si="133"/>
        <v>0</v>
      </c>
      <c r="N57" s="316">
        <f t="shared" si="133"/>
        <v>0</v>
      </c>
      <c r="O57" s="316">
        <f t="shared" si="133"/>
        <v>4313.5949999999984</v>
      </c>
      <c r="P57" s="36">
        <v>0</v>
      </c>
      <c r="Q57" s="316">
        <f t="shared" ref="Q57:AB57" si="134">Q$83*Q105</f>
        <v>4549.3093685917665</v>
      </c>
      <c r="R57" s="316">
        <f t="shared" si="134"/>
        <v>0</v>
      </c>
      <c r="S57" s="316">
        <f t="shared" si="134"/>
        <v>0</v>
      </c>
      <c r="T57" s="316">
        <f t="shared" si="134"/>
        <v>0</v>
      </c>
      <c r="U57" s="316">
        <f t="shared" si="134"/>
        <v>0</v>
      </c>
      <c r="V57" s="316">
        <f t="shared" si="134"/>
        <v>0</v>
      </c>
      <c r="W57" s="316">
        <f t="shared" si="134"/>
        <v>0</v>
      </c>
      <c r="X57" s="316">
        <f t="shared" si="134"/>
        <v>0</v>
      </c>
      <c r="Y57" s="316">
        <f t="shared" si="134"/>
        <v>4492.7983680343077</v>
      </c>
      <c r="Z57" s="316">
        <f t="shared" si="134"/>
        <v>0</v>
      </c>
      <c r="AA57" s="316">
        <f t="shared" si="134"/>
        <v>0</v>
      </c>
      <c r="AB57" s="316">
        <f t="shared" si="134"/>
        <v>4313.5949999999984</v>
      </c>
      <c r="AC57" s="316">
        <f t="shared" si="86"/>
        <v>4492.7983680343077</v>
      </c>
      <c r="AD57" s="36">
        <v>0</v>
      </c>
      <c r="AE57" s="316">
        <f t="shared" ref="AE57:AP57" si="135">AE$83*AE105</f>
        <v>4652.6378663662445</v>
      </c>
      <c r="AF57" s="316">
        <f t="shared" si="135"/>
        <v>0</v>
      </c>
      <c r="AG57" s="316">
        <f t="shared" si="135"/>
        <v>0</v>
      </c>
      <c r="AH57" s="316">
        <f t="shared" si="135"/>
        <v>0</v>
      </c>
      <c r="AI57" s="316">
        <f t="shared" si="135"/>
        <v>0</v>
      </c>
      <c r="AJ57" s="316">
        <f t="shared" si="135"/>
        <v>0</v>
      </c>
      <c r="AK57" s="316">
        <f t="shared" si="135"/>
        <v>0</v>
      </c>
      <c r="AL57" s="316">
        <f t="shared" si="135"/>
        <v>0</v>
      </c>
      <c r="AM57" s="316">
        <f t="shared" si="135"/>
        <v>0</v>
      </c>
      <c r="AN57" s="316">
        <f t="shared" si="135"/>
        <v>0</v>
      </c>
      <c r="AO57" s="316">
        <f t="shared" si="135"/>
        <v>0</v>
      </c>
      <c r="AP57" s="316">
        <f t="shared" si="135"/>
        <v>4313.5949999999984</v>
      </c>
      <c r="AQ57" s="36">
        <v>0</v>
      </c>
      <c r="AR57" s="316">
        <f t="shared" ref="AR57:BC57" si="136">AR$83*AR105</f>
        <v>12981.659848064612</v>
      </c>
      <c r="AS57" s="316">
        <f t="shared" si="136"/>
        <v>0</v>
      </c>
      <c r="AT57" s="316">
        <f t="shared" si="136"/>
        <v>0</v>
      </c>
      <c r="AU57" s="316">
        <f t="shared" si="136"/>
        <v>0</v>
      </c>
      <c r="AV57" s="316">
        <f t="shared" si="136"/>
        <v>0</v>
      </c>
      <c r="AW57" s="316">
        <f t="shared" si="136"/>
        <v>0</v>
      </c>
      <c r="AX57" s="316">
        <f t="shared" si="136"/>
        <v>563.14285804235124</v>
      </c>
      <c r="AY57" s="316">
        <f t="shared" si="136"/>
        <v>0</v>
      </c>
      <c r="AZ57" s="316">
        <f t="shared" si="136"/>
        <v>5947.644095630435</v>
      </c>
      <c r="BA57" s="316">
        <f t="shared" si="136"/>
        <v>0</v>
      </c>
      <c r="BB57" s="316">
        <f t="shared" si="136"/>
        <v>0</v>
      </c>
      <c r="BC57" s="316">
        <f t="shared" si="136"/>
        <v>4313.5949999999984</v>
      </c>
      <c r="BD57" s="316">
        <f t="shared" si="80"/>
        <v>5947.644095630435</v>
      </c>
      <c r="BE57" s="36"/>
      <c r="BF57" s="316">
        <f t="shared" ref="BF57:BQ57" si="137">BF$83*BF105</f>
        <v>7821.5300220498784</v>
      </c>
      <c r="BG57" s="316">
        <f t="shared" si="137"/>
        <v>7236.8481409949463</v>
      </c>
      <c r="BH57" s="316">
        <f t="shared" si="137"/>
        <v>0</v>
      </c>
      <c r="BI57" s="316">
        <f t="shared" si="137"/>
        <v>0</v>
      </c>
      <c r="BJ57" s="316">
        <f t="shared" si="137"/>
        <v>0</v>
      </c>
      <c r="BK57" s="316">
        <f t="shared" si="137"/>
        <v>0</v>
      </c>
      <c r="BL57" s="316">
        <f t="shared" si="137"/>
        <v>0</v>
      </c>
      <c r="BM57" s="316">
        <f t="shared" si="137"/>
        <v>0</v>
      </c>
      <c r="BN57" s="316">
        <f t="shared" si="137"/>
        <v>0</v>
      </c>
      <c r="BO57" s="316">
        <f t="shared" si="137"/>
        <v>0</v>
      </c>
      <c r="BP57" s="316">
        <f t="shared" si="137"/>
        <v>0</v>
      </c>
      <c r="BQ57" s="316">
        <f t="shared" si="137"/>
        <v>4313.5949999999984</v>
      </c>
      <c r="BR57" s="36">
        <v>0</v>
      </c>
      <c r="BS57" s="316">
        <f t="shared" ref="BS57:CD57" si="138">BS$83*BS105</f>
        <v>17767.957487570566</v>
      </c>
      <c r="BT57" s="316">
        <f t="shared" si="138"/>
        <v>0</v>
      </c>
      <c r="BU57" s="316">
        <f t="shared" si="138"/>
        <v>0</v>
      </c>
      <c r="BV57" s="316">
        <f t="shared" si="138"/>
        <v>0</v>
      </c>
      <c r="BW57" s="316">
        <f t="shared" si="138"/>
        <v>0</v>
      </c>
      <c r="BX57" s="316">
        <f t="shared" si="138"/>
        <v>1033.3076855740453</v>
      </c>
      <c r="BY57" s="316">
        <f t="shared" si="138"/>
        <v>2553.4159010929156</v>
      </c>
      <c r="BZ57" s="316">
        <f t="shared" si="138"/>
        <v>0</v>
      </c>
      <c r="CA57" s="316">
        <f t="shared" si="138"/>
        <v>13684.776716702883</v>
      </c>
      <c r="CB57" s="316">
        <f t="shared" si="138"/>
        <v>0</v>
      </c>
      <c r="CC57" s="316">
        <f t="shared" si="138"/>
        <v>0</v>
      </c>
      <c r="CD57" s="316">
        <f t="shared" si="138"/>
        <v>4313.5949999999984</v>
      </c>
      <c r="CE57" s="316">
        <f t="shared" si="83"/>
        <v>13684.776716702883</v>
      </c>
      <c r="CF57" s="36">
        <v>0</v>
      </c>
      <c r="CG57" s="36">
        <v>0</v>
      </c>
    </row>
    <row r="58" spans="1:85">
      <c r="A58" s="143" t="s">
        <v>637</v>
      </c>
      <c r="B58" s="316">
        <v>33074.315000000002</v>
      </c>
      <c r="C58" s="316"/>
      <c r="D58" s="316">
        <f t="shared" ref="D58:O58" si="139">D$83*D106</f>
        <v>0</v>
      </c>
      <c r="E58" s="316">
        <f t="shared" si="139"/>
        <v>0</v>
      </c>
      <c r="F58" s="316">
        <f t="shared" si="139"/>
        <v>0</v>
      </c>
      <c r="G58" s="316">
        <f t="shared" si="139"/>
        <v>0</v>
      </c>
      <c r="H58" s="316">
        <f t="shared" si="139"/>
        <v>0</v>
      </c>
      <c r="I58" s="316">
        <f t="shared" si="139"/>
        <v>0</v>
      </c>
      <c r="J58" s="316">
        <f t="shared" si="139"/>
        <v>0</v>
      </c>
      <c r="K58" s="316">
        <f t="shared" si="139"/>
        <v>0</v>
      </c>
      <c r="L58" s="316">
        <f t="shared" si="139"/>
        <v>0</v>
      </c>
      <c r="M58" s="316">
        <f t="shared" si="139"/>
        <v>0</v>
      </c>
      <c r="N58" s="316">
        <f t="shared" si="139"/>
        <v>0</v>
      </c>
      <c r="O58" s="316">
        <f t="shared" si="139"/>
        <v>33074.314999999988</v>
      </c>
      <c r="P58" s="36">
        <v>0</v>
      </c>
      <c r="Q58" s="316">
        <f t="shared" ref="Q58:AB58" si="140">Q$83*Q106</f>
        <v>18001.04156570026</v>
      </c>
      <c r="R58" s="316">
        <f t="shared" si="140"/>
        <v>0</v>
      </c>
      <c r="S58" s="316">
        <f t="shared" si="140"/>
        <v>0</v>
      </c>
      <c r="T58" s="316">
        <f t="shared" si="140"/>
        <v>0</v>
      </c>
      <c r="U58" s="316">
        <f t="shared" si="140"/>
        <v>463.86460331735816</v>
      </c>
      <c r="V58" s="316">
        <f t="shared" si="140"/>
        <v>0</v>
      </c>
      <c r="W58" s="316">
        <f t="shared" si="140"/>
        <v>0</v>
      </c>
      <c r="X58" s="316">
        <f t="shared" si="140"/>
        <v>0</v>
      </c>
      <c r="Y58" s="316">
        <f t="shared" si="140"/>
        <v>0</v>
      </c>
      <c r="Z58" s="316">
        <f t="shared" si="140"/>
        <v>0</v>
      </c>
      <c r="AA58" s="316">
        <f t="shared" si="140"/>
        <v>0</v>
      </c>
      <c r="AB58" s="316">
        <f t="shared" si="140"/>
        <v>33074.314999999988</v>
      </c>
      <c r="AC58" s="316">
        <f t="shared" si="86"/>
        <v>0</v>
      </c>
      <c r="AD58" s="36">
        <v>0</v>
      </c>
      <c r="AE58" s="316">
        <f t="shared" ref="AE58:AP58" si="141">AE$83*AE106</f>
        <v>13222.338821313198</v>
      </c>
      <c r="AF58" s="316">
        <f t="shared" si="141"/>
        <v>1623.7462574761537</v>
      </c>
      <c r="AG58" s="316">
        <f t="shared" si="141"/>
        <v>3302.3813743369451</v>
      </c>
      <c r="AH58" s="316">
        <f t="shared" si="141"/>
        <v>0</v>
      </c>
      <c r="AI58" s="316">
        <f t="shared" si="141"/>
        <v>0</v>
      </c>
      <c r="AJ58" s="316">
        <f t="shared" si="141"/>
        <v>0</v>
      </c>
      <c r="AK58" s="316">
        <f t="shared" si="141"/>
        <v>0</v>
      </c>
      <c r="AL58" s="316">
        <f t="shared" si="141"/>
        <v>0</v>
      </c>
      <c r="AM58" s="316">
        <f t="shared" si="141"/>
        <v>0</v>
      </c>
      <c r="AN58" s="316">
        <f t="shared" si="141"/>
        <v>0</v>
      </c>
      <c r="AO58" s="316">
        <f t="shared" si="141"/>
        <v>0</v>
      </c>
      <c r="AP58" s="316">
        <f t="shared" si="141"/>
        <v>33074.314999999988</v>
      </c>
      <c r="AQ58" s="36">
        <v>0</v>
      </c>
      <c r="AR58" s="316">
        <f t="shared" ref="AR58:BC58" si="142">AR$83*AR106</f>
        <v>50046.613581415666</v>
      </c>
      <c r="AS58" s="316">
        <f t="shared" si="142"/>
        <v>0</v>
      </c>
      <c r="AT58" s="316">
        <f t="shared" si="142"/>
        <v>0</v>
      </c>
      <c r="AU58" s="316">
        <f t="shared" si="142"/>
        <v>0</v>
      </c>
      <c r="AV58" s="316">
        <f t="shared" si="142"/>
        <v>571.91362465678674</v>
      </c>
      <c r="AW58" s="316">
        <f t="shared" si="142"/>
        <v>0</v>
      </c>
      <c r="AX58" s="316">
        <f t="shared" si="142"/>
        <v>2218.1733477777411</v>
      </c>
      <c r="AY58" s="316">
        <f t="shared" si="142"/>
        <v>0</v>
      </c>
      <c r="AZ58" s="316">
        <f t="shared" si="142"/>
        <v>0</v>
      </c>
      <c r="BA58" s="316">
        <f t="shared" si="142"/>
        <v>0</v>
      </c>
      <c r="BB58" s="316">
        <f t="shared" si="142"/>
        <v>0</v>
      </c>
      <c r="BC58" s="316">
        <f t="shared" si="142"/>
        <v>33074.314999999988</v>
      </c>
      <c r="BD58" s="316">
        <f t="shared" si="80"/>
        <v>0</v>
      </c>
      <c r="BE58" s="36"/>
      <c r="BF58" s="316">
        <f t="shared" ref="BF58:BQ58" si="143">BF$83*BF106</f>
        <v>12299.533254088703</v>
      </c>
      <c r="BG58" s="316">
        <f t="shared" si="143"/>
        <v>43126.689929008528</v>
      </c>
      <c r="BH58" s="316">
        <f t="shared" si="143"/>
        <v>1767.7092338624732</v>
      </c>
      <c r="BI58" s="316">
        <f t="shared" si="143"/>
        <v>0</v>
      </c>
      <c r="BJ58" s="316">
        <f t="shared" si="143"/>
        <v>0</v>
      </c>
      <c r="BK58" s="316">
        <f t="shared" si="143"/>
        <v>0</v>
      </c>
      <c r="BL58" s="316">
        <f t="shared" si="143"/>
        <v>0</v>
      </c>
      <c r="BM58" s="316">
        <f t="shared" si="143"/>
        <v>0</v>
      </c>
      <c r="BN58" s="316">
        <f t="shared" si="143"/>
        <v>0</v>
      </c>
      <c r="BO58" s="316">
        <f t="shared" si="143"/>
        <v>0</v>
      </c>
      <c r="BP58" s="316">
        <f t="shared" si="143"/>
        <v>0</v>
      </c>
      <c r="BQ58" s="316">
        <f t="shared" si="143"/>
        <v>33074.314999999988</v>
      </c>
      <c r="BR58" s="36">
        <v>0</v>
      </c>
      <c r="BS58" s="316">
        <f t="shared" ref="BS58:CD58" si="144">BS$83*BS106</f>
        <v>72104.200091412189</v>
      </c>
      <c r="BT58" s="316">
        <f t="shared" si="144"/>
        <v>0</v>
      </c>
      <c r="BU58" s="316">
        <f t="shared" si="144"/>
        <v>3935.6670242523196</v>
      </c>
      <c r="BV58" s="316">
        <f t="shared" si="144"/>
        <v>0</v>
      </c>
      <c r="BW58" s="316">
        <f t="shared" si="144"/>
        <v>1273.1791706901579</v>
      </c>
      <c r="BX58" s="316">
        <f t="shared" si="144"/>
        <v>0</v>
      </c>
      <c r="BY58" s="316">
        <f t="shared" si="144"/>
        <v>7497.0808725280349</v>
      </c>
      <c r="BZ58" s="316">
        <f t="shared" si="144"/>
        <v>10428.764176100423</v>
      </c>
      <c r="CA58" s="316">
        <f t="shared" si="144"/>
        <v>0</v>
      </c>
      <c r="CB58" s="316">
        <f t="shared" si="144"/>
        <v>0</v>
      </c>
      <c r="CC58" s="316">
        <f t="shared" si="144"/>
        <v>0</v>
      </c>
      <c r="CD58" s="316">
        <f t="shared" si="144"/>
        <v>33074.314999999988</v>
      </c>
      <c r="CE58" s="316">
        <f t="shared" si="83"/>
        <v>0</v>
      </c>
      <c r="CF58" s="36">
        <v>0</v>
      </c>
      <c r="CG58" s="36">
        <v>0</v>
      </c>
    </row>
    <row r="59" spans="1:85">
      <c r="A59" s="143" t="s">
        <v>638</v>
      </c>
      <c r="B59" s="316">
        <v>29141.480000000003</v>
      </c>
      <c r="C59" s="316"/>
      <c r="D59" s="316">
        <f t="shared" ref="D59:O59" si="145">D$83*D107</f>
        <v>0</v>
      </c>
      <c r="E59" s="316">
        <f t="shared" si="145"/>
        <v>0</v>
      </c>
      <c r="F59" s="316">
        <f t="shared" si="145"/>
        <v>0</v>
      </c>
      <c r="G59" s="316">
        <f t="shared" si="145"/>
        <v>0</v>
      </c>
      <c r="H59" s="316">
        <f t="shared" si="145"/>
        <v>0</v>
      </c>
      <c r="I59" s="316">
        <f t="shared" si="145"/>
        <v>0</v>
      </c>
      <c r="J59" s="316">
        <f t="shared" si="145"/>
        <v>0</v>
      </c>
      <c r="K59" s="316">
        <f t="shared" si="145"/>
        <v>0</v>
      </c>
      <c r="L59" s="316">
        <f t="shared" si="145"/>
        <v>0</v>
      </c>
      <c r="M59" s="316">
        <f t="shared" si="145"/>
        <v>0</v>
      </c>
      <c r="N59" s="316">
        <f t="shared" si="145"/>
        <v>0</v>
      </c>
      <c r="O59" s="316">
        <f t="shared" si="145"/>
        <v>29141.479999999992</v>
      </c>
      <c r="P59" s="36">
        <v>0</v>
      </c>
      <c r="Q59" s="316">
        <f t="shared" ref="Q59:AB59" si="146">Q$83*Q107</f>
        <v>0</v>
      </c>
      <c r="R59" s="316">
        <f t="shared" si="146"/>
        <v>0</v>
      </c>
      <c r="S59" s="316">
        <f t="shared" si="146"/>
        <v>13940.516339843382</v>
      </c>
      <c r="T59" s="316">
        <f t="shared" si="146"/>
        <v>0</v>
      </c>
      <c r="U59" s="316">
        <f t="shared" si="146"/>
        <v>248.2488771793021</v>
      </c>
      <c r="V59" s="316">
        <f t="shared" si="146"/>
        <v>0</v>
      </c>
      <c r="W59" s="316">
        <f t="shared" si="146"/>
        <v>0</v>
      </c>
      <c r="X59" s="316">
        <f t="shared" si="146"/>
        <v>0</v>
      </c>
      <c r="Y59" s="316">
        <f t="shared" si="146"/>
        <v>40990.062803580389</v>
      </c>
      <c r="Z59" s="316">
        <f t="shared" si="146"/>
        <v>0</v>
      </c>
      <c r="AA59" s="316">
        <f t="shared" si="146"/>
        <v>0</v>
      </c>
      <c r="AB59" s="316">
        <f t="shared" si="146"/>
        <v>29141.479999999992</v>
      </c>
      <c r="AC59" s="316">
        <f t="shared" si="86"/>
        <v>40990.062803580389</v>
      </c>
      <c r="AD59" s="36">
        <v>0</v>
      </c>
      <c r="AE59" s="316">
        <f t="shared" ref="AE59:AP59" si="147">AE$83*AE107</f>
        <v>0</v>
      </c>
      <c r="AF59" s="316">
        <f t="shared" si="147"/>
        <v>75702.082579072172</v>
      </c>
      <c r="AG59" s="316">
        <f t="shared" si="147"/>
        <v>29369.674837721584</v>
      </c>
      <c r="AH59" s="316">
        <f t="shared" si="147"/>
        <v>0</v>
      </c>
      <c r="AI59" s="316">
        <f t="shared" si="147"/>
        <v>0</v>
      </c>
      <c r="AJ59" s="316">
        <f t="shared" si="147"/>
        <v>0</v>
      </c>
      <c r="AK59" s="316">
        <f t="shared" si="147"/>
        <v>0</v>
      </c>
      <c r="AL59" s="316">
        <f t="shared" si="147"/>
        <v>0</v>
      </c>
      <c r="AM59" s="316">
        <f t="shared" si="147"/>
        <v>0</v>
      </c>
      <c r="AN59" s="316">
        <f t="shared" si="147"/>
        <v>0</v>
      </c>
      <c r="AO59" s="316">
        <f t="shared" si="147"/>
        <v>14139.710622380982</v>
      </c>
      <c r="AP59" s="316">
        <f t="shared" si="147"/>
        <v>29141.479999999992</v>
      </c>
      <c r="AQ59" s="36">
        <v>0</v>
      </c>
      <c r="AR59" s="316">
        <f t="shared" ref="AR59:BC59" si="148">AR$83*AR107</f>
        <v>0</v>
      </c>
      <c r="AS59" s="316">
        <f t="shared" si="148"/>
        <v>0</v>
      </c>
      <c r="AT59" s="316">
        <f t="shared" si="148"/>
        <v>36809.374556259405</v>
      </c>
      <c r="AU59" s="316">
        <f t="shared" si="148"/>
        <v>0</v>
      </c>
      <c r="AV59" s="316">
        <f t="shared" si="148"/>
        <v>1286.8056554777702</v>
      </c>
      <c r="AW59" s="316">
        <f t="shared" si="148"/>
        <v>0</v>
      </c>
      <c r="AX59" s="316">
        <f t="shared" si="148"/>
        <v>28616.487260133024</v>
      </c>
      <c r="AY59" s="316">
        <f t="shared" si="148"/>
        <v>0</v>
      </c>
      <c r="AZ59" s="316">
        <f t="shared" si="148"/>
        <v>54563.00866558437</v>
      </c>
      <c r="BA59" s="316">
        <f t="shared" si="148"/>
        <v>0</v>
      </c>
      <c r="BB59" s="316">
        <f t="shared" si="148"/>
        <v>0</v>
      </c>
      <c r="BC59" s="316">
        <f t="shared" si="148"/>
        <v>29141.479999999992</v>
      </c>
      <c r="BD59" s="316">
        <f t="shared" si="80"/>
        <v>54563.00866558437</v>
      </c>
      <c r="BE59" s="36"/>
      <c r="BF59" s="316">
        <f t="shared" ref="BF59:BQ59" si="149">BF$83*BF107</f>
        <v>0</v>
      </c>
      <c r="BG59" s="316">
        <f t="shared" si="149"/>
        <v>125772.10994333631</v>
      </c>
      <c r="BH59" s="316">
        <f t="shared" si="149"/>
        <v>39875.840221649043</v>
      </c>
      <c r="BI59" s="316">
        <f t="shared" si="149"/>
        <v>0</v>
      </c>
      <c r="BJ59" s="316">
        <f t="shared" si="149"/>
        <v>0</v>
      </c>
      <c r="BK59" s="316">
        <f t="shared" si="149"/>
        <v>0</v>
      </c>
      <c r="BL59" s="316">
        <f t="shared" si="149"/>
        <v>0</v>
      </c>
      <c r="BM59" s="316">
        <f t="shared" si="149"/>
        <v>0</v>
      </c>
      <c r="BN59" s="316">
        <f t="shared" si="149"/>
        <v>0</v>
      </c>
      <c r="BO59" s="316">
        <f t="shared" si="149"/>
        <v>0</v>
      </c>
      <c r="BP59" s="316">
        <f t="shared" si="149"/>
        <v>13981.740604292389</v>
      </c>
      <c r="BQ59" s="316">
        <f t="shared" si="149"/>
        <v>29141.479999999992</v>
      </c>
      <c r="BR59" s="36">
        <v>0</v>
      </c>
      <c r="BS59" s="316">
        <f t="shared" ref="BS59:CD59" si="150">BS$83*BS107</f>
        <v>0</v>
      </c>
      <c r="BT59" s="316">
        <f t="shared" si="150"/>
        <v>0</v>
      </c>
      <c r="BU59" s="316">
        <f t="shared" si="150"/>
        <v>63149.440743459272</v>
      </c>
      <c r="BV59" s="316">
        <f t="shared" si="150"/>
        <v>0</v>
      </c>
      <c r="BW59" s="316">
        <f t="shared" si="150"/>
        <v>3796.4817481686864</v>
      </c>
      <c r="BX59" s="316">
        <f t="shared" si="150"/>
        <v>29044.550778623397</v>
      </c>
      <c r="BY59" s="316">
        <f t="shared" si="150"/>
        <v>68586.391885410485</v>
      </c>
      <c r="BZ59" s="316">
        <f t="shared" si="150"/>
        <v>72138.907106357816</v>
      </c>
      <c r="CA59" s="316">
        <f t="shared" si="150"/>
        <v>193230.93477030771</v>
      </c>
      <c r="CB59" s="316">
        <f t="shared" si="150"/>
        <v>0</v>
      </c>
      <c r="CC59" s="316">
        <f t="shared" si="150"/>
        <v>0</v>
      </c>
      <c r="CD59" s="316">
        <f t="shared" si="150"/>
        <v>29141.479999999992</v>
      </c>
      <c r="CE59" s="316">
        <f t="shared" si="83"/>
        <v>193230.93477030771</v>
      </c>
      <c r="CF59" s="36">
        <v>0</v>
      </c>
      <c r="CG59" s="36">
        <v>0</v>
      </c>
    </row>
    <row r="60" spans="1:85">
      <c r="A60" s="143" t="s">
        <v>639</v>
      </c>
      <c r="B60" s="316">
        <v>52845.669999999991</v>
      </c>
      <c r="C60" s="316"/>
      <c r="D60" s="316">
        <f t="shared" ref="D60:O60" si="151">D$83*D108</f>
        <v>16495.956481218938</v>
      </c>
      <c r="E60" s="316">
        <f t="shared" si="151"/>
        <v>0</v>
      </c>
      <c r="F60" s="316">
        <f t="shared" si="151"/>
        <v>0</v>
      </c>
      <c r="G60" s="316">
        <f t="shared" si="151"/>
        <v>0</v>
      </c>
      <c r="H60" s="316">
        <f t="shared" si="151"/>
        <v>0</v>
      </c>
      <c r="I60" s="316">
        <f t="shared" si="151"/>
        <v>0</v>
      </c>
      <c r="J60" s="316">
        <f t="shared" si="151"/>
        <v>0</v>
      </c>
      <c r="K60" s="316">
        <f t="shared" si="151"/>
        <v>0</v>
      </c>
      <c r="L60" s="316">
        <f t="shared" si="151"/>
        <v>0</v>
      </c>
      <c r="M60" s="316">
        <f t="shared" si="151"/>
        <v>0</v>
      </c>
      <c r="N60" s="316">
        <f t="shared" si="151"/>
        <v>6551.6095980454102</v>
      </c>
      <c r="O60" s="316">
        <f t="shared" si="151"/>
        <v>52845.669999999969</v>
      </c>
      <c r="P60" s="36">
        <v>0</v>
      </c>
      <c r="Q60" s="316">
        <f t="shared" ref="Q60:AB60" si="152">Q$83*Q108</f>
        <v>2410.7124821154725</v>
      </c>
      <c r="R60" s="316">
        <f t="shared" si="152"/>
        <v>0</v>
      </c>
      <c r="S60" s="316">
        <f t="shared" si="152"/>
        <v>3579.2651005725847</v>
      </c>
      <c r="T60" s="316">
        <f t="shared" si="152"/>
        <v>0</v>
      </c>
      <c r="U60" s="316">
        <f t="shared" si="152"/>
        <v>231.93230165867908</v>
      </c>
      <c r="V60" s="316">
        <f t="shared" si="152"/>
        <v>0</v>
      </c>
      <c r="W60" s="316">
        <f t="shared" si="152"/>
        <v>0</v>
      </c>
      <c r="X60" s="316">
        <f t="shared" si="152"/>
        <v>0</v>
      </c>
      <c r="Y60" s="316">
        <f t="shared" si="152"/>
        <v>88300.426768813399</v>
      </c>
      <c r="Z60" s="316">
        <f t="shared" si="152"/>
        <v>0</v>
      </c>
      <c r="AA60" s="316">
        <f t="shared" si="152"/>
        <v>0</v>
      </c>
      <c r="AB60" s="316">
        <f t="shared" si="152"/>
        <v>52845.669999999969</v>
      </c>
      <c r="AC60" s="316">
        <f t="shared" si="86"/>
        <v>88300.426768813399</v>
      </c>
      <c r="AD60" s="36">
        <v>0</v>
      </c>
      <c r="AE60" s="316">
        <f t="shared" ref="AE60:AP60" si="153">AE$83*AE108</f>
        <v>0</v>
      </c>
      <c r="AF60" s="316">
        <f t="shared" si="153"/>
        <v>17533.804359768088</v>
      </c>
      <c r="AG60" s="316">
        <f t="shared" si="153"/>
        <v>23187.368224502043</v>
      </c>
      <c r="AH60" s="316">
        <f t="shared" si="153"/>
        <v>0</v>
      </c>
      <c r="AI60" s="316">
        <f t="shared" si="153"/>
        <v>0</v>
      </c>
      <c r="AJ60" s="316">
        <f t="shared" si="153"/>
        <v>0</v>
      </c>
      <c r="AK60" s="316">
        <f t="shared" si="153"/>
        <v>0</v>
      </c>
      <c r="AL60" s="316">
        <f t="shared" si="153"/>
        <v>0</v>
      </c>
      <c r="AM60" s="316">
        <f t="shared" si="153"/>
        <v>0</v>
      </c>
      <c r="AN60" s="316">
        <f t="shared" si="153"/>
        <v>0</v>
      </c>
      <c r="AO60" s="316">
        <f t="shared" si="153"/>
        <v>43583.078774425092</v>
      </c>
      <c r="AP60" s="316">
        <f t="shared" si="153"/>
        <v>52845.669999999969</v>
      </c>
      <c r="AQ60" s="36">
        <v>0</v>
      </c>
      <c r="AR60" s="316">
        <f t="shared" ref="AR60:BC60" si="154">AR$83*AR108</f>
        <v>8125.1422922184211</v>
      </c>
      <c r="AS60" s="316">
        <f t="shared" si="154"/>
        <v>0</v>
      </c>
      <c r="AT60" s="316">
        <f t="shared" si="154"/>
        <v>21959.517426821239</v>
      </c>
      <c r="AU60" s="316">
        <f t="shared" si="154"/>
        <v>0</v>
      </c>
      <c r="AV60" s="316">
        <f t="shared" si="154"/>
        <v>2550.3087875847741</v>
      </c>
      <c r="AW60" s="316">
        <f t="shared" si="154"/>
        <v>0</v>
      </c>
      <c r="AX60" s="316">
        <f t="shared" si="154"/>
        <v>17672.397050175787</v>
      </c>
      <c r="AY60" s="316">
        <f t="shared" si="154"/>
        <v>0</v>
      </c>
      <c r="AZ60" s="316">
        <f t="shared" si="154"/>
        <v>147787.01340734735</v>
      </c>
      <c r="BA60" s="316">
        <f t="shared" si="154"/>
        <v>0</v>
      </c>
      <c r="BB60" s="316">
        <f t="shared" si="154"/>
        <v>0</v>
      </c>
      <c r="BC60" s="316">
        <f t="shared" si="154"/>
        <v>52845.669999999969</v>
      </c>
      <c r="BD60" s="316">
        <f t="shared" si="80"/>
        <v>147787.01340734735</v>
      </c>
      <c r="BE60" s="36"/>
      <c r="BF60" s="316">
        <f t="shared" ref="BF60:BQ60" si="155">BF$83*BF108</f>
        <v>0</v>
      </c>
      <c r="BG60" s="316">
        <f t="shared" si="155"/>
        <v>35068.633768404528</v>
      </c>
      <c r="BH60" s="316">
        <f t="shared" si="155"/>
        <v>14142.10237535858</v>
      </c>
      <c r="BI60" s="316">
        <f t="shared" si="155"/>
        <v>0</v>
      </c>
      <c r="BJ60" s="316">
        <f t="shared" si="155"/>
        <v>0</v>
      </c>
      <c r="BK60" s="316">
        <f t="shared" si="155"/>
        <v>0</v>
      </c>
      <c r="BL60" s="316">
        <f t="shared" si="155"/>
        <v>0</v>
      </c>
      <c r="BM60" s="316">
        <f t="shared" si="155"/>
        <v>0</v>
      </c>
      <c r="BN60" s="316">
        <f t="shared" si="155"/>
        <v>0</v>
      </c>
      <c r="BO60" s="316">
        <f t="shared" si="155"/>
        <v>0</v>
      </c>
      <c r="BP60" s="316">
        <f t="shared" si="155"/>
        <v>71840.357847343053</v>
      </c>
      <c r="BQ60" s="316">
        <f t="shared" si="155"/>
        <v>52845.669999999969</v>
      </c>
      <c r="BR60" s="36">
        <v>0</v>
      </c>
      <c r="BS60" s="316">
        <f t="shared" ref="BS60:CD60" si="156">BS$83*BS108</f>
        <v>9529.9768627834237</v>
      </c>
      <c r="BT60" s="316">
        <f t="shared" si="156"/>
        <v>0</v>
      </c>
      <c r="BU60" s="316">
        <f t="shared" si="156"/>
        <v>29929.626136289895</v>
      </c>
      <c r="BV60" s="316">
        <f t="shared" si="156"/>
        <v>0</v>
      </c>
      <c r="BW60" s="316">
        <f t="shared" si="156"/>
        <v>4503.8035096632184</v>
      </c>
      <c r="BX60" s="316">
        <f t="shared" si="156"/>
        <v>63538.83407321939</v>
      </c>
      <c r="BY60" s="316">
        <f t="shared" si="156"/>
        <v>47871.042537903108</v>
      </c>
      <c r="BZ60" s="316">
        <f t="shared" si="156"/>
        <v>96487.114425872147</v>
      </c>
      <c r="CA60" s="316">
        <f t="shared" si="156"/>
        <v>408335.18042299419</v>
      </c>
      <c r="CB60" s="316">
        <f t="shared" si="156"/>
        <v>0</v>
      </c>
      <c r="CC60" s="316">
        <f t="shared" si="156"/>
        <v>0</v>
      </c>
      <c r="CD60" s="316">
        <f t="shared" si="156"/>
        <v>52845.669999999969</v>
      </c>
      <c r="CE60" s="316">
        <f t="shared" si="83"/>
        <v>408335.18042299419</v>
      </c>
      <c r="CF60" s="36">
        <v>0</v>
      </c>
      <c r="CG60" s="36">
        <v>0</v>
      </c>
    </row>
    <row r="61" spans="1:85">
      <c r="A61" s="143" t="s">
        <v>640</v>
      </c>
      <c r="B61" s="316">
        <v>7855.6500000000005</v>
      </c>
      <c r="C61" s="316"/>
      <c r="D61" s="316">
        <f t="shared" ref="D61:O61" si="157">D$83*D109</f>
        <v>0</v>
      </c>
      <c r="E61" s="316">
        <f t="shared" si="157"/>
        <v>0</v>
      </c>
      <c r="F61" s="316">
        <f t="shared" si="157"/>
        <v>0</v>
      </c>
      <c r="G61" s="316">
        <f t="shared" si="157"/>
        <v>0</v>
      </c>
      <c r="H61" s="316">
        <f t="shared" si="157"/>
        <v>0</v>
      </c>
      <c r="I61" s="316">
        <f t="shared" si="157"/>
        <v>0</v>
      </c>
      <c r="J61" s="316">
        <f t="shared" si="157"/>
        <v>0</v>
      </c>
      <c r="K61" s="316">
        <f t="shared" si="157"/>
        <v>0</v>
      </c>
      <c r="L61" s="316">
        <f t="shared" si="157"/>
        <v>0</v>
      </c>
      <c r="M61" s="316">
        <f t="shared" si="157"/>
        <v>0</v>
      </c>
      <c r="N61" s="316">
        <f t="shared" si="157"/>
        <v>0</v>
      </c>
      <c r="O61" s="316">
        <f t="shared" si="157"/>
        <v>7855.6499999999969</v>
      </c>
      <c r="P61" s="36">
        <v>0</v>
      </c>
      <c r="Q61" s="316">
        <f t="shared" ref="Q61:AB61" si="158">Q$83*Q109</f>
        <v>10449.583057867179</v>
      </c>
      <c r="R61" s="316">
        <f t="shared" si="158"/>
        <v>0</v>
      </c>
      <c r="S61" s="316">
        <f t="shared" si="158"/>
        <v>0</v>
      </c>
      <c r="T61" s="316">
        <f t="shared" si="158"/>
        <v>0</v>
      </c>
      <c r="U61" s="316">
        <f t="shared" si="158"/>
        <v>218.32940396124758</v>
      </c>
      <c r="V61" s="316">
        <f t="shared" si="158"/>
        <v>0</v>
      </c>
      <c r="W61" s="316">
        <f t="shared" si="158"/>
        <v>0</v>
      </c>
      <c r="X61" s="316">
        <f t="shared" si="158"/>
        <v>0</v>
      </c>
      <c r="Y61" s="316">
        <f t="shared" si="158"/>
        <v>10224.262851777059</v>
      </c>
      <c r="Z61" s="316">
        <f t="shared" si="158"/>
        <v>0</v>
      </c>
      <c r="AA61" s="316">
        <f t="shared" si="158"/>
        <v>0</v>
      </c>
      <c r="AB61" s="316">
        <f t="shared" si="158"/>
        <v>7855.6499999999969</v>
      </c>
      <c r="AC61" s="316">
        <f t="shared" si="86"/>
        <v>10224.262851777059</v>
      </c>
      <c r="AD61" s="36">
        <v>0</v>
      </c>
      <c r="AE61" s="316">
        <f t="shared" ref="AE61:AP61" si="159">AE$83*AE109</f>
        <v>7719.5157574717268</v>
      </c>
      <c r="AF61" s="316">
        <f t="shared" si="159"/>
        <v>73386.916977724351</v>
      </c>
      <c r="AG61" s="316">
        <f t="shared" si="159"/>
        <v>0</v>
      </c>
      <c r="AH61" s="316">
        <f t="shared" si="159"/>
        <v>0</v>
      </c>
      <c r="AI61" s="316">
        <f t="shared" si="159"/>
        <v>0</v>
      </c>
      <c r="AJ61" s="316">
        <f t="shared" si="159"/>
        <v>0</v>
      </c>
      <c r="AK61" s="316">
        <f t="shared" si="159"/>
        <v>0</v>
      </c>
      <c r="AL61" s="316">
        <f t="shared" si="159"/>
        <v>0</v>
      </c>
      <c r="AM61" s="316">
        <f t="shared" si="159"/>
        <v>0</v>
      </c>
      <c r="AN61" s="316">
        <f t="shared" si="159"/>
        <v>0</v>
      </c>
      <c r="AO61" s="316">
        <f t="shared" si="159"/>
        <v>0</v>
      </c>
      <c r="AP61" s="316">
        <f t="shared" si="159"/>
        <v>7855.6499999999969</v>
      </c>
      <c r="AQ61" s="36">
        <v>0</v>
      </c>
      <c r="AR61" s="316">
        <f t="shared" ref="AR61:BC61" si="160">AR$83*AR109</f>
        <v>37310.714049978262</v>
      </c>
      <c r="AS61" s="316">
        <f t="shared" si="160"/>
        <v>0</v>
      </c>
      <c r="AT61" s="316">
        <f t="shared" si="160"/>
        <v>0</v>
      </c>
      <c r="AU61" s="316">
        <f t="shared" si="160"/>
        <v>0</v>
      </c>
      <c r="AV61" s="316">
        <f t="shared" si="160"/>
        <v>428.93521849259002</v>
      </c>
      <c r="AW61" s="316">
        <f t="shared" si="160"/>
        <v>0</v>
      </c>
      <c r="AX61" s="316">
        <f t="shared" si="160"/>
        <v>4282.0358842975074</v>
      </c>
      <c r="AY61" s="316">
        <f t="shared" si="160"/>
        <v>0</v>
      </c>
      <c r="AZ61" s="316">
        <f t="shared" si="160"/>
        <v>15543.297567074285</v>
      </c>
      <c r="BA61" s="316">
        <f t="shared" si="160"/>
        <v>0</v>
      </c>
      <c r="BB61" s="316">
        <f t="shared" si="160"/>
        <v>0</v>
      </c>
      <c r="BC61" s="316">
        <f t="shared" si="160"/>
        <v>7855.6499999999969</v>
      </c>
      <c r="BD61" s="316">
        <f t="shared" si="80"/>
        <v>15543.297567074285</v>
      </c>
      <c r="BE61" s="36"/>
      <c r="BF61" s="316">
        <f t="shared" ref="BF61:BQ61" si="161">BF$83*BF109</f>
        <v>14304.797852545482</v>
      </c>
      <c r="BG61" s="316">
        <f t="shared" si="161"/>
        <v>66821.13556529858</v>
      </c>
      <c r="BH61" s="316">
        <f t="shared" si="161"/>
        <v>0</v>
      </c>
      <c r="BI61" s="316">
        <f t="shared" si="161"/>
        <v>0</v>
      </c>
      <c r="BJ61" s="316">
        <f t="shared" si="161"/>
        <v>0</v>
      </c>
      <c r="BK61" s="316">
        <f t="shared" si="161"/>
        <v>0</v>
      </c>
      <c r="BL61" s="316">
        <f t="shared" si="161"/>
        <v>0</v>
      </c>
      <c r="BM61" s="316">
        <f t="shared" si="161"/>
        <v>0</v>
      </c>
      <c r="BN61" s="316">
        <f t="shared" si="161"/>
        <v>0</v>
      </c>
      <c r="BO61" s="316">
        <f t="shared" si="161"/>
        <v>0</v>
      </c>
      <c r="BP61" s="316">
        <f t="shared" si="161"/>
        <v>0</v>
      </c>
      <c r="BQ61" s="316">
        <f t="shared" si="161"/>
        <v>7855.6499999999969</v>
      </c>
      <c r="BR61" s="36">
        <v>0</v>
      </c>
      <c r="BS61" s="316">
        <f t="shared" ref="BS61:CD61" si="162">BS$83*BS109</f>
        <v>45011.252988608336</v>
      </c>
      <c r="BT61" s="316">
        <f t="shared" si="162"/>
        <v>0</v>
      </c>
      <c r="BU61" s="316">
        <f t="shared" si="162"/>
        <v>0</v>
      </c>
      <c r="BV61" s="316">
        <f t="shared" si="162"/>
        <v>0</v>
      </c>
      <c r="BW61" s="316">
        <f t="shared" si="162"/>
        <v>2240.3738728807152</v>
      </c>
      <c r="BX61" s="316">
        <f t="shared" si="162"/>
        <v>25215.713789513848</v>
      </c>
      <c r="BY61" s="316">
        <f t="shared" si="162"/>
        <v>21119.834763341609</v>
      </c>
      <c r="BZ61" s="316">
        <f t="shared" si="162"/>
        <v>7407.9436968777127</v>
      </c>
      <c r="CA61" s="316">
        <f t="shared" si="162"/>
        <v>48300.797763719223</v>
      </c>
      <c r="CB61" s="316">
        <f t="shared" si="162"/>
        <v>0</v>
      </c>
      <c r="CC61" s="316">
        <f t="shared" si="162"/>
        <v>0</v>
      </c>
      <c r="CD61" s="316">
        <f t="shared" si="162"/>
        <v>7855.6499999999969</v>
      </c>
      <c r="CE61" s="316">
        <f t="shared" si="83"/>
        <v>48300.797763719223</v>
      </c>
      <c r="CF61" s="36">
        <v>0</v>
      </c>
      <c r="CG61" s="36">
        <v>0</v>
      </c>
    </row>
    <row r="62" spans="1:85">
      <c r="A62" s="143" t="s">
        <v>641</v>
      </c>
      <c r="B62" s="316">
        <v>8648.11</v>
      </c>
      <c r="C62" s="316"/>
      <c r="D62" s="316">
        <f t="shared" ref="D62:O62" si="163">D$83*D110</f>
        <v>0</v>
      </c>
      <c r="E62" s="316">
        <f t="shared" si="163"/>
        <v>0</v>
      </c>
      <c r="F62" s="316">
        <f t="shared" si="163"/>
        <v>0</v>
      </c>
      <c r="G62" s="316">
        <f t="shared" si="163"/>
        <v>0</v>
      </c>
      <c r="H62" s="316">
        <f t="shared" si="163"/>
        <v>0</v>
      </c>
      <c r="I62" s="316">
        <f t="shared" si="163"/>
        <v>0</v>
      </c>
      <c r="J62" s="316">
        <f t="shared" si="163"/>
        <v>0</v>
      </c>
      <c r="K62" s="316">
        <f t="shared" si="163"/>
        <v>0</v>
      </c>
      <c r="L62" s="316">
        <f t="shared" si="163"/>
        <v>0</v>
      </c>
      <c r="M62" s="316">
        <f t="shared" si="163"/>
        <v>0</v>
      </c>
      <c r="N62" s="316">
        <f t="shared" si="163"/>
        <v>0</v>
      </c>
      <c r="O62" s="316">
        <f t="shared" si="163"/>
        <v>8648.1099999999969</v>
      </c>
      <c r="P62" s="36">
        <v>0</v>
      </c>
      <c r="Q62" s="316">
        <f t="shared" ref="Q62:AB62" si="164">Q$83*Q110</f>
        <v>0</v>
      </c>
      <c r="R62" s="316">
        <f t="shared" si="164"/>
        <v>0</v>
      </c>
      <c r="S62" s="316">
        <f t="shared" si="164"/>
        <v>0</v>
      </c>
      <c r="T62" s="316">
        <f t="shared" si="164"/>
        <v>0</v>
      </c>
      <c r="U62" s="316">
        <f t="shared" si="164"/>
        <v>579.8307541466977</v>
      </c>
      <c r="V62" s="316">
        <f t="shared" si="164"/>
        <v>0</v>
      </c>
      <c r="W62" s="316">
        <f t="shared" si="164"/>
        <v>0</v>
      </c>
      <c r="X62" s="316">
        <f t="shared" si="164"/>
        <v>0</v>
      </c>
      <c r="Y62" s="316">
        <f t="shared" si="164"/>
        <v>19761.839330653791</v>
      </c>
      <c r="Z62" s="316">
        <f t="shared" si="164"/>
        <v>0</v>
      </c>
      <c r="AA62" s="316">
        <f t="shared" si="164"/>
        <v>0</v>
      </c>
      <c r="AB62" s="316">
        <f t="shared" si="164"/>
        <v>8648.1099999999969</v>
      </c>
      <c r="AC62" s="316">
        <f t="shared" si="86"/>
        <v>19761.839330653791</v>
      </c>
      <c r="AD62" s="36">
        <v>0</v>
      </c>
      <c r="AE62" s="316">
        <f t="shared" ref="AE62:AP62" si="165">AE$83*AE110</f>
        <v>0</v>
      </c>
      <c r="AF62" s="316">
        <f t="shared" si="165"/>
        <v>59211.157986876802</v>
      </c>
      <c r="AG62" s="316">
        <f t="shared" si="165"/>
        <v>0</v>
      </c>
      <c r="AH62" s="316">
        <f t="shared" si="165"/>
        <v>0</v>
      </c>
      <c r="AI62" s="316">
        <f t="shared" si="165"/>
        <v>0</v>
      </c>
      <c r="AJ62" s="316">
        <f t="shared" si="165"/>
        <v>0</v>
      </c>
      <c r="AK62" s="316">
        <f t="shared" si="165"/>
        <v>0</v>
      </c>
      <c r="AL62" s="316">
        <f t="shared" si="165"/>
        <v>0</v>
      </c>
      <c r="AM62" s="316">
        <f t="shared" si="165"/>
        <v>0</v>
      </c>
      <c r="AN62" s="316">
        <f t="shared" si="165"/>
        <v>0</v>
      </c>
      <c r="AO62" s="316">
        <f t="shared" si="165"/>
        <v>0</v>
      </c>
      <c r="AP62" s="316">
        <f t="shared" si="165"/>
        <v>8648.1099999999969</v>
      </c>
      <c r="AQ62" s="36">
        <v>0</v>
      </c>
      <c r="AR62" s="316">
        <f t="shared" ref="AR62:BC62" si="166">AR$83*AR110</f>
        <v>0</v>
      </c>
      <c r="AS62" s="316">
        <f t="shared" si="166"/>
        <v>0</v>
      </c>
      <c r="AT62" s="316">
        <f t="shared" si="166"/>
        <v>0</v>
      </c>
      <c r="AU62" s="316">
        <f t="shared" si="166"/>
        <v>0</v>
      </c>
      <c r="AV62" s="316">
        <f t="shared" si="166"/>
        <v>714.89203082098345</v>
      </c>
      <c r="AW62" s="316">
        <f t="shared" si="166"/>
        <v>0</v>
      </c>
      <c r="AX62" s="316">
        <f t="shared" si="166"/>
        <v>12797.763355673251</v>
      </c>
      <c r="AY62" s="316">
        <f t="shared" si="166"/>
        <v>0</v>
      </c>
      <c r="AZ62" s="316">
        <f t="shared" si="166"/>
        <v>30604.836072749702</v>
      </c>
      <c r="BA62" s="316">
        <f t="shared" si="166"/>
        <v>0</v>
      </c>
      <c r="BB62" s="316">
        <f t="shared" si="166"/>
        <v>0</v>
      </c>
      <c r="BC62" s="316">
        <f t="shared" si="166"/>
        <v>8648.1099999999969</v>
      </c>
      <c r="BD62" s="316">
        <f t="shared" si="80"/>
        <v>30604.836072749702</v>
      </c>
      <c r="BE62" s="36"/>
      <c r="BF62" s="316">
        <f t="shared" ref="BF62:BQ62" si="167">BF$83*BF110</f>
        <v>0</v>
      </c>
      <c r="BG62" s="316">
        <f t="shared" si="167"/>
        <v>50194.556895381989</v>
      </c>
      <c r="BH62" s="316">
        <f t="shared" si="167"/>
        <v>0</v>
      </c>
      <c r="BI62" s="316">
        <f t="shared" si="167"/>
        <v>0</v>
      </c>
      <c r="BJ62" s="316">
        <f t="shared" si="167"/>
        <v>0</v>
      </c>
      <c r="BK62" s="316">
        <f t="shared" si="167"/>
        <v>0</v>
      </c>
      <c r="BL62" s="316">
        <f t="shared" si="167"/>
        <v>0</v>
      </c>
      <c r="BM62" s="316">
        <f t="shared" si="167"/>
        <v>0</v>
      </c>
      <c r="BN62" s="316">
        <f t="shared" si="167"/>
        <v>0</v>
      </c>
      <c r="BO62" s="316">
        <f t="shared" si="167"/>
        <v>0</v>
      </c>
      <c r="BP62" s="316">
        <f t="shared" si="167"/>
        <v>0</v>
      </c>
      <c r="BQ62" s="316">
        <f t="shared" si="167"/>
        <v>8648.1099999999969</v>
      </c>
      <c r="BR62" s="36">
        <v>0</v>
      </c>
      <c r="BS62" s="316">
        <f t="shared" ref="BS62:CD62" si="168">BS$83*BS110</f>
        <v>0</v>
      </c>
      <c r="BT62" s="316">
        <f t="shared" si="168"/>
        <v>0</v>
      </c>
      <c r="BU62" s="316">
        <f t="shared" si="168"/>
        <v>0</v>
      </c>
      <c r="BV62" s="316">
        <f t="shared" si="168"/>
        <v>0</v>
      </c>
      <c r="BW62" s="316">
        <f t="shared" si="168"/>
        <v>707.3217614945321</v>
      </c>
      <c r="BX62" s="316">
        <f t="shared" si="168"/>
        <v>23901.22164578407</v>
      </c>
      <c r="BY62" s="316">
        <f t="shared" si="168"/>
        <v>22092.2131002231</v>
      </c>
      <c r="BZ62" s="316">
        <f t="shared" si="168"/>
        <v>0</v>
      </c>
      <c r="CA62" s="316">
        <f t="shared" si="168"/>
        <v>39646.883154737581</v>
      </c>
      <c r="CB62" s="316">
        <f t="shared" si="168"/>
        <v>0</v>
      </c>
      <c r="CC62" s="316">
        <f t="shared" si="168"/>
        <v>0</v>
      </c>
      <c r="CD62" s="316">
        <f t="shared" si="168"/>
        <v>8648.1099999999969</v>
      </c>
      <c r="CE62" s="316">
        <f t="shared" si="83"/>
        <v>39646.883154737581</v>
      </c>
      <c r="CF62" s="36">
        <v>0</v>
      </c>
      <c r="CG62" s="36">
        <v>0</v>
      </c>
    </row>
    <row r="63" spans="1:85">
      <c r="A63" s="143" t="s">
        <v>642</v>
      </c>
      <c r="B63" s="316">
        <v>3770.4</v>
      </c>
      <c r="C63" s="316"/>
      <c r="D63" s="316">
        <f t="shared" ref="D63:O63" si="169">D$83*D111</f>
        <v>0</v>
      </c>
      <c r="E63" s="316">
        <f t="shared" si="169"/>
        <v>0</v>
      </c>
      <c r="F63" s="316">
        <f t="shared" si="169"/>
        <v>0</v>
      </c>
      <c r="G63" s="316">
        <f t="shared" si="169"/>
        <v>0</v>
      </c>
      <c r="H63" s="316">
        <f t="shared" si="169"/>
        <v>0</v>
      </c>
      <c r="I63" s="316">
        <f t="shared" si="169"/>
        <v>0</v>
      </c>
      <c r="J63" s="316">
        <f t="shared" si="169"/>
        <v>0</v>
      </c>
      <c r="K63" s="316">
        <f t="shared" si="169"/>
        <v>0</v>
      </c>
      <c r="L63" s="316">
        <f t="shared" si="169"/>
        <v>0</v>
      </c>
      <c r="M63" s="316">
        <f t="shared" si="169"/>
        <v>0</v>
      </c>
      <c r="N63" s="316">
        <f t="shared" si="169"/>
        <v>0</v>
      </c>
      <c r="O63" s="316">
        <f t="shared" si="169"/>
        <v>3770.3999999999983</v>
      </c>
      <c r="P63" s="36">
        <v>0</v>
      </c>
      <c r="Q63" s="316">
        <f t="shared" ref="Q63:AB63" si="170">Q$83*Q111</f>
        <v>837.78520436543863</v>
      </c>
      <c r="R63" s="316">
        <f t="shared" si="170"/>
        <v>0</v>
      </c>
      <c r="S63" s="316">
        <f t="shared" si="170"/>
        <v>0</v>
      </c>
      <c r="T63" s="316">
        <f t="shared" si="170"/>
        <v>0</v>
      </c>
      <c r="U63" s="316">
        <f t="shared" si="170"/>
        <v>1488.6598764091264</v>
      </c>
      <c r="V63" s="316">
        <f t="shared" si="170"/>
        <v>0</v>
      </c>
      <c r="W63" s="316">
        <f t="shared" si="170"/>
        <v>0</v>
      </c>
      <c r="X63" s="316">
        <f t="shared" si="170"/>
        <v>0</v>
      </c>
      <c r="Y63" s="316">
        <f t="shared" si="170"/>
        <v>1194.7609673539077</v>
      </c>
      <c r="Z63" s="316">
        <f t="shared" si="170"/>
        <v>0</v>
      </c>
      <c r="AA63" s="316">
        <f t="shared" si="170"/>
        <v>0</v>
      </c>
      <c r="AB63" s="316">
        <f t="shared" si="170"/>
        <v>3770.3999999999983</v>
      </c>
      <c r="AC63" s="316">
        <f t="shared" si="86"/>
        <v>1194.7609673539077</v>
      </c>
      <c r="AD63" s="36">
        <v>0</v>
      </c>
      <c r="AE63" s="316">
        <f t="shared" ref="AE63:AP63" si="171">AE$83*AE111</f>
        <v>0</v>
      </c>
      <c r="AF63" s="316">
        <f t="shared" si="171"/>
        <v>0</v>
      </c>
      <c r="AG63" s="316">
        <f t="shared" si="171"/>
        <v>0</v>
      </c>
      <c r="AH63" s="316">
        <f t="shared" si="171"/>
        <v>0</v>
      </c>
      <c r="AI63" s="316">
        <f t="shared" si="171"/>
        <v>0</v>
      </c>
      <c r="AJ63" s="316">
        <f t="shared" si="171"/>
        <v>0</v>
      </c>
      <c r="AK63" s="316">
        <f t="shared" si="171"/>
        <v>0</v>
      </c>
      <c r="AL63" s="316">
        <f t="shared" si="171"/>
        <v>0</v>
      </c>
      <c r="AM63" s="316">
        <f t="shared" si="171"/>
        <v>0</v>
      </c>
      <c r="AN63" s="316">
        <f t="shared" si="171"/>
        <v>0</v>
      </c>
      <c r="AO63" s="316">
        <f t="shared" si="171"/>
        <v>0</v>
      </c>
      <c r="AP63" s="316">
        <f t="shared" si="171"/>
        <v>3770.3999999999983</v>
      </c>
      <c r="AQ63" s="36">
        <v>0</v>
      </c>
      <c r="AR63" s="316">
        <f t="shared" ref="AR63:BC63" si="172">AR$83*AR111</f>
        <v>2010.809067544136</v>
      </c>
      <c r="AS63" s="316">
        <f t="shared" si="172"/>
        <v>0</v>
      </c>
      <c r="AT63" s="316">
        <f t="shared" si="172"/>
        <v>0</v>
      </c>
      <c r="AU63" s="316">
        <f t="shared" si="172"/>
        <v>0</v>
      </c>
      <c r="AV63" s="316">
        <f t="shared" si="172"/>
        <v>1835.4167567637905</v>
      </c>
      <c r="AW63" s="316">
        <f t="shared" si="172"/>
        <v>0</v>
      </c>
      <c r="AX63" s="316">
        <f t="shared" si="172"/>
        <v>1717.0141812593802</v>
      </c>
      <c r="AY63" s="316">
        <f t="shared" si="172"/>
        <v>0</v>
      </c>
      <c r="AZ63" s="316">
        <f t="shared" si="172"/>
        <v>3962.9822771127187</v>
      </c>
      <c r="BA63" s="316">
        <f t="shared" si="172"/>
        <v>0</v>
      </c>
      <c r="BB63" s="316">
        <f t="shared" si="172"/>
        <v>0</v>
      </c>
      <c r="BC63" s="316">
        <f t="shared" si="172"/>
        <v>3770.3999999999983</v>
      </c>
      <c r="BD63" s="316">
        <f t="shared" si="80"/>
        <v>3962.9822771127187</v>
      </c>
      <c r="BE63" s="36"/>
      <c r="BF63" s="316">
        <f t="shared" ref="BF63:BQ63" si="173">BF$83*BF111</f>
        <v>927.66048309677024</v>
      </c>
      <c r="BG63" s="316">
        <f t="shared" si="173"/>
        <v>9034.7181266103653</v>
      </c>
      <c r="BH63" s="316">
        <f t="shared" si="173"/>
        <v>0</v>
      </c>
      <c r="BI63" s="316">
        <f t="shared" si="173"/>
        <v>0</v>
      </c>
      <c r="BJ63" s="316">
        <f t="shared" si="173"/>
        <v>0</v>
      </c>
      <c r="BK63" s="316">
        <f t="shared" si="173"/>
        <v>0</v>
      </c>
      <c r="BL63" s="316">
        <f t="shared" si="173"/>
        <v>0</v>
      </c>
      <c r="BM63" s="316">
        <f t="shared" si="173"/>
        <v>0</v>
      </c>
      <c r="BN63" s="316">
        <f t="shared" si="173"/>
        <v>0</v>
      </c>
      <c r="BO63" s="316">
        <f t="shared" si="173"/>
        <v>0</v>
      </c>
      <c r="BP63" s="316">
        <f t="shared" si="173"/>
        <v>0</v>
      </c>
      <c r="BQ63" s="316">
        <f t="shared" si="173"/>
        <v>3770.3999999999983</v>
      </c>
      <c r="BR63" s="36">
        <v>0</v>
      </c>
      <c r="BS63" s="316">
        <f t="shared" ref="BS63:CD63" si="174">BS$83*BS111</f>
        <v>3697.5638607196629</v>
      </c>
      <c r="BT63" s="316">
        <f t="shared" si="174"/>
        <v>0</v>
      </c>
      <c r="BU63" s="316">
        <f t="shared" si="174"/>
        <v>0</v>
      </c>
      <c r="BV63" s="316">
        <f t="shared" si="174"/>
        <v>0</v>
      </c>
      <c r="BW63" s="316">
        <f t="shared" si="174"/>
        <v>1815.9808159839961</v>
      </c>
      <c r="BX63" s="316">
        <f t="shared" si="174"/>
        <v>5580.9351759964429</v>
      </c>
      <c r="BY63" s="316">
        <f t="shared" si="174"/>
        <v>3612.7147712560504</v>
      </c>
      <c r="BZ63" s="316">
        <f t="shared" si="174"/>
        <v>0</v>
      </c>
      <c r="CA63" s="316">
        <f t="shared" si="174"/>
        <v>5060.0255434675819</v>
      </c>
      <c r="CB63" s="316">
        <f t="shared" si="174"/>
        <v>0</v>
      </c>
      <c r="CC63" s="316">
        <f t="shared" si="174"/>
        <v>0</v>
      </c>
      <c r="CD63" s="316">
        <f t="shared" si="174"/>
        <v>3770.3999999999983</v>
      </c>
      <c r="CE63" s="316">
        <f t="shared" si="83"/>
        <v>5060.0255434675819</v>
      </c>
      <c r="CF63" s="36">
        <v>0</v>
      </c>
      <c r="CG63" s="36">
        <v>0</v>
      </c>
    </row>
    <row r="64" spans="1:85">
      <c r="A64" s="143" t="s">
        <v>643</v>
      </c>
      <c r="B64" s="316">
        <v>11452.36</v>
      </c>
      <c r="C64" s="316"/>
      <c r="D64" s="316">
        <f t="shared" ref="D64:O64" si="175">D$83*D112</f>
        <v>0</v>
      </c>
      <c r="E64" s="316">
        <f t="shared" si="175"/>
        <v>0</v>
      </c>
      <c r="F64" s="316">
        <f t="shared" si="175"/>
        <v>0</v>
      </c>
      <c r="G64" s="316">
        <f t="shared" si="175"/>
        <v>0</v>
      </c>
      <c r="H64" s="316">
        <f t="shared" si="175"/>
        <v>0</v>
      </c>
      <c r="I64" s="316">
        <f t="shared" si="175"/>
        <v>0</v>
      </c>
      <c r="J64" s="316">
        <f t="shared" si="175"/>
        <v>0</v>
      </c>
      <c r="K64" s="316">
        <f t="shared" si="175"/>
        <v>0</v>
      </c>
      <c r="L64" s="316">
        <f t="shared" si="175"/>
        <v>0</v>
      </c>
      <c r="M64" s="316">
        <f t="shared" si="175"/>
        <v>0</v>
      </c>
      <c r="N64" s="316">
        <f t="shared" si="175"/>
        <v>0</v>
      </c>
      <c r="O64" s="316">
        <f t="shared" si="175"/>
        <v>11452.359999999995</v>
      </c>
      <c r="P64" s="36">
        <v>0</v>
      </c>
      <c r="Q64" s="316">
        <f t="shared" ref="Q64:AB64" si="176">Q$83*Q112</f>
        <v>7628.3126092514049</v>
      </c>
      <c r="R64" s="316">
        <f t="shared" si="176"/>
        <v>0</v>
      </c>
      <c r="S64" s="316">
        <f t="shared" si="176"/>
        <v>2565.0041688264496</v>
      </c>
      <c r="T64" s="316">
        <f t="shared" si="176"/>
        <v>0</v>
      </c>
      <c r="U64" s="316">
        <f t="shared" si="176"/>
        <v>790.09748589876256</v>
      </c>
      <c r="V64" s="316">
        <f t="shared" si="176"/>
        <v>0</v>
      </c>
      <c r="W64" s="316">
        <f t="shared" si="176"/>
        <v>0</v>
      </c>
      <c r="X64" s="316">
        <f t="shared" si="176"/>
        <v>0</v>
      </c>
      <c r="Y64" s="316">
        <f t="shared" si="176"/>
        <v>12236.603951748773</v>
      </c>
      <c r="Z64" s="316">
        <f t="shared" si="176"/>
        <v>0</v>
      </c>
      <c r="AA64" s="316">
        <f t="shared" si="176"/>
        <v>0</v>
      </c>
      <c r="AB64" s="316">
        <f t="shared" si="176"/>
        <v>11452.359999999995</v>
      </c>
      <c r="AC64" s="316">
        <f t="shared" si="86"/>
        <v>12236.603951748773</v>
      </c>
      <c r="AD64" s="36">
        <v>0</v>
      </c>
      <c r="AE64" s="316">
        <f t="shared" ref="AE64:AP64" si="177">AE$83*AE112</f>
        <v>533.99079080513366</v>
      </c>
      <c r="AF64" s="316">
        <f t="shared" si="177"/>
        <v>54174.958102826116</v>
      </c>
      <c r="AG64" s="316">
        <f t="shared" si="177"/>
        <v>2373.584779920267</v>
      </c>
      <c r="AH64" s="316">
        <f t="shared" si="177"/>
        <v>0</v>
      </c>
      <c r="AI64" s="316">
        <f t="shared" si="177"/>
        <v>0</v>
      </c>
      <c r="AJ64" s="316">
        <f t="shared" si="177"/>
        <v>0</v>
      </c>
      <c r="AK64" s="316">
        <f t="shared" si="177"/>
        <v>0</v>
      </c>
      <c r="AL64" s="316">
        <f t="shared" si="177"/>
        <v>0</v>
      </c>
      <c r="AM64" s="316">
        <f t="shared" si="177"/>
        <v>0</v>
      </c>
      <c r="AN64" s="316">
        <f t="shared" si="177"/>
        <v>0</v>
      </c>
      <c r="AO64" s="316">
        <f t="shared" si="177"/>
        <v>0</v>
      </c>
      <c r="AP64" s="316">
        <f t="shared" si="177"/>
        <v>11452.359999999995</v>
      </c>
      <c r="AQ64" s="36">
        <v>0</v>
      </c>
      <c r="AR64" s="316">
        <f t="shared" ref="AR64:BC64" si="178">AR$83*AR112</f>
        <v>8540.3181032241446</v>
      </c>
      <c r="AS64" s="316">
        <f t="shared" si="178"/>
        <v>0</v>
      </c>
      <c r="AT64" s="316">
        <f t="shared" si="178"/>
        <v>3480.2785919080907</v>
      </c>
      <c r="AU64" s="316">
        <f t="shared" si="178"/>
        <v>0</v>
      </c>
      <c r="AV64" s="316">
        <f t="shared" si="178"/>
        <v>1456.8227262294276</v>
      </c>
      <c r="AW64" s="316">
        <f t="shared" si="178"/>
        <v>0</v>
      </c>
      <c r="AX64" s="316">
        <f t="shared" si="178"/>
        <v>1157.3156643617974</v>
      </c>
      <c r="AY64" s="316">
        <f t="shared" si="178"/>
        <v>0</v>
      </c>
      <c r="AZ64" s="316">
        <f t="shared" si="178"/>
        <v>29255.813705790333</v>
      </c>
      <c r="BA64" s="316">
        <f t="shared" si="178"/>
        <v>0</v>
      </c>
      <c r="BB64" s="316">
        <f t="shared" si="178"/>
        <v>0</v>
      </c>
      <c r="BC64" s="316">
        <f t="shared" si="178"/>
        <v>11452.359999999995</v>
      </c>
      <c r="BD64" s="316">
        <f t="shared" si="80"/>
        <v>29255.813705790333</v>
      </c>
      <c r="BE64" s="36"/>
      <c r="BF64" s="316">
        <f t="shared" ref="BF64:BQ64" si="179">BF$83*BF112</f>
        <v>0</v>
      </c>
      <c r="BG64" s="316">
        <f t="shared" si="179"/>
        <v>45152.726246030266</v>
      </c>
      <c r="BH64" s="316">
        <f t="shared" si="179"/>
        <v>0</v>
      </c>
      <c r="BI64" s="316">
        <f t="shared" si="179"/>
        <v>0</v>
      </c>
      <c r="BJ64" s="316">
        <f t="shared" si="179"/>
        <v>0</v>
      </c>
      <c r="BK64" s="316">
        <f t="shared" si="179"/>
        <v>0</v>
      </c>
      <c r="BL64" s="316">
        <f t="shared" si="179"/>
        <v>0</v>
      </c>
      <c r="BM64" s="316">
        <f t="shared" si="179"/>
        <v>0</v>
      </c>
      <c r="BN64" s="316">
        <f t="shared" si="179"/>
        <v>0</v>
      </c>
      <c r="BO64" s="316">
        <f t="shared" si="179"/>
        <v>0</v>
      </c>
      <c r="BP64" s="316">
        <f t="shared" si="179"/>
        <v>0</v>
      </c>
      <c r="BQ64" s="316">
        <f t="shared" si="179"/>
        <v>11452.359999999995</v>
      </c>
      <c r="BR64" s="36">
        <v>0</v>
      </c>
      <c r="BS64" s="316">
        <f t="shared" ref="BS64:CD64" si="180">BS$83*BS112</f>
        <v>9002.5365890995618</v>
      </c>
      <c r="BT64" s="316">
        <f t="shared" si="180"/>
        <v>0</v>
      </c>
      <c r="BU64" s="316">
        <f t="shared" si="180"/>
        <v>2828.7584893113731</v>
      </c>
      <c r="BV64" s="316">
        <f t="shared" si="180"/>
        <v>0</v>
      </c>
      <c r="BW64" s="316">
        <f t="shared" si="180"/>
        <v>1996.7870244012704</v>
      </c>
      <c r="BX64" s="316">
        <f t="shared" si="180"/>
        <v>26048.485142912828</v>
      </c>
      <c r="BY64" s="316">
        <f t="shared" si="180"/>
        <v>4994.4936653894383</v>
      </c>
      <c r="BZ64" s="316">
        <f t="shared" si="180"/>
        <v>5818.2665550983165</v>
      </c>
      <c r="CA64" s="316">
        <f t="shared" si="180"/>
        <v>33252.659952647307</v>
      </c>
      <c r="CB64" s="316">
        <f t="shared" si="180"/>
        <v>0</v>
      </c>
      <c r="CC64" s="316">
        <f t="shared" si="180"/>
        <v>0</v>
      </c>
      <c r="CD64" s="316">
        <f t="shared" si="180"/>
        <v>11452.359999999995</v>
      </c>
      <c r="CE64" s="316">
        <f t="shared" si="83"/>
        <v>33252.659952647307</v>
      </c>
      <c r="CF64" s="36">
        <v>0</v>
      </c>
      <c r="CG64" s="36">
        <v>0</v>
      </c>
    </row>
    <row r="65" spans="1:85">
      <c r="A65" s="143" t="s">
        <v>644</v>
      </c>
      <c r="B65" s="316">
        <v>9045.9499999999989</v>
      </c>
      <c r="C65" s="316"/>
      <c r="D65" s="316">
        <f t="shared" ref="D65:O65" si="181">D$83*D113</f>
        <v>0</v>
      </c>
      <c r="E65" s="316">
        <f t="shared" si="181"/>
        <v>0</v>
      </c>
      <c r="F65" s="316">
        <f t="shared" si="181"/>
        <v>0</v>
      </c>
      <c r="G65" s="316">
        <f t="shared" si="181"/>
        <v>0</v>
      </c>
      <c r="H65" s="316">
        <f t="shared" si="181"/>
        <v>0</v>
      </c>
      <c r="I65" s="316">
        <f t="shared" si="181"/>
        <v>0</v>
      </c>
      <c r="J65" s="316">
        <f t="shared" si="181"/>
        <v>0</v>
      </c>
      <c r="K65" s="316">
        <f t="shared" si="181"/>
        <v>0</v>
      </c>
      <c r="L65" s="316">
        <f t="shared" si="181"/>
        <v>0</v>
      </c>
      <c r="M65" s="316">
        <f t="shared" si="181"/>
        <v>0</v>
      </c>
      <c r="N65" s="316">
        <f t="shared" si="181"/>
        <v>0</v>
      </c>
      <c r="O65" s="316">
        <f t="shared" si="181"/>
        <v>9045.9499999999953</v>
      </c>
      <c r="P65" s="36">
        <v>0</v>
      </c>
      <c r="Q65" s="316">
        <f t="shared" ref="Q65:AB65" si="182">Q$83*Q113</f>
        <v>14741.674429130604</v>
      </c>
      <c r="R65" s="316">
        <f t="shared" si="182"/>
        <v>0</v>
      </c>
      <c r="S65" s="316">
        <f t="shared" si="182"/>
        <v>0</v>
      </c>
      <c r="T65" s="316">
        <f t="shared" si="182"/>
        <v>0</v>
      </c>
      <c r="U65" s="316">
        <f t="shared" si="182"/>
        <v>0</v>
      </c>
      <c r="V65" s="316">
        <f t="shared" si="182"/>
        <v>0</v>
      </c>
      <c r="W65" s="316">
        <f t="shared" si="182"/>
        <v>0</v>
      </c>
      <c r="X65" s="316">
        <f t="shared" si="182"/>
        <v>0</v>
      </c>
      <c r="Y65" s="316">
        <f t="shared" si="182"/>
        <v>16884.135405034533</v>
      </c>
      <c r="Z65" s="316">
        <f t="shared" si="182"/>
        <v>0</v>
      </c>
      <c r="AA65" s="316">
        <f t="shared" si="182"/>
        <v>0</v>
      </c>
      <c r="AB65" s="316">
        <f t="shared" si="182"/>
        <v>9045.9499999999953</v>
      </c>
      <c r="AC65" s="316">
        <f t="shared" si="86"/>
        <v>16884.135405034533</v>
      </c>
      <c r="AD65" s="36">
        <v>0</v>
      </c>
      <c r="AE65" s="316">
        <f t="shared" ref="AE65:AP65" si="183">AE$83*AE113</f>
        <v>12112.839520840302</v>
      </c>
      <c r="AF65" s="316">
        <f t="shared" si="183"/>
        <v>40473.689049080414</v>
      </c>
      <c r="AG65" s="316">
        <f t="shared" si="183"/>
        <v>0</v>
      </c>
      <c r="AH65" s="316">
        <f t="shared" si="183"/>
        <v>0</v>
      </c>
      <c r="AI65" s="316">
        <f t="shared" si="183"/>
        <v>0</v>
      </c>
      <c r="AJ65" s="316">
        <f t="shared" si="183"/>
        <v>0</v>
      </c>
      <c r="AK65" s="316">
        <f t="shared" si="183"/>
        <v>0</v>
      </c>
      <c r="AL65" s="316">
        <f t="shared" si="183"/>
        <v>0</v>
      </c>
      <c r="AM65" s="316">
        <f t="shared" si="183"/>
        <v>0</v>
      </c>
      <c r="AN65" s="316">
        <f t="shared" si="183"/>
        <v>0</v>
      </c>
      <c r="AO65" s="316">
        <f t="shared" si="183"/>
        <v>0</v>
      </c>
      <c r="AP65" s="316">
        <f t="shared" si="183"/>
        <v>9045.9499999999953</v>
      </c>
      <c r="AQ65" s="36">
        <v>0</v>
      </c>
      <c r="AR65" s="316">
        <f t="shared" ref="AR65:BC65" si="184">AR$83*AR113</f>
        <v>33629.913561485009</v>
      </c>
      <c r="AS65" s="316">
        <f t="shared" si="184"/>
        <v>0</v>
      </c>
      <c r="AT65" s="316">
        <f t="shared" si="184"/>
        <v>0</v>
      </c>
      <c r="AU65" s="316">
        <f t="shared" si="184"/>
        <v>0</v>
      </c>
      <c r="AV65" s="316">
        <f t="shared" si="184"/>
        <v>1692.4383505995938</v>
      </c>
      <c r="AW65" s="316">
        <f t="shared" si="184"/>
        <v>0</v>
      </c>
      <c r="AX65" s="316">
        <f t="shared" si="184"/>
        <v>0</v>
      </c>
      <c r="AY65" s="316">
        <f t="shared" si="184"/>
        <v>0</v>
      </c>
      <c r="AZ65" s="316">
        <f t="shared" si="184"/>
        <v>23497.424943620055</v>
      </c>
      <c r="BA65" s="316">
        <f t="shared" si="184"/>
        <v>0</v>
      </c>
      <c r="BB65" s="316">
        <f t="shared" si="184"/>
        <v>0</v>
      </c>
      <c r="BC65" s="316">
        <f t="shared" si="184"/>
        <v>9045.9499999999953</v>
      </c>
      <c r="BD65" s="316">
        <f t="shared" si="80"/>
        <v>23497.424943620055</v>
      </c>
      <c r="BE65" s="36"/>
      <c r="BF65" s="316">
        <f t="shared" ref="BF65:BQ65" si="185">BF$83*BF113</f>
        <v>8670.6402262122665</v>
      </c>
      <c r="BG65" s="316">
        <f t="shared" si="185"/>
        <v>57065.090784241984</v>
      </c>
      <c r="BH65" s="316">
        <f t="shared" si="185"/>
        <v>0</v>
      </c>
      <c r="BI65" s="316">
        <f t="shared" si="185"/>
        <v>0</v>
      </c>
      <c r="BJ65" s="316">
        <f t="shared" si="185"/>
        <v>0</v>
      </c>
      <c r="BK65" s="316">
        <f t="shared" si="185"/>
        <v>0</v>
      </c>
      <c r="BL65" s="316">
        <f t="shared" si="185"/>
        <v>0</v>
      </c>
      <c r="BM65" s="316">
        <f t="shared" si="185"/>
        <v>0</v>
      </c>
      <c r="BN65" s="316">
        <f t="shared" si="185"/>
        <v>0</v>
      </c>
      <c r="BO65" s="316">
        <f t="shared" si="185"/>
        <v>0</v>
      </c>
      <c r="BP65" s="316">
        <f t="shared" si="185"/>
        <v>0</v>
      </c>
      <c r="BQ65" s="316">
        <f t="shared" si="185"/>
        <v>9045.9499999999953</v>
      </c>
      <c r="BR65" s="36">
        <v>0</v>
      </c>
      <c r="BS65" s="316">
        <f t="shared" ref="BS65:CD65" si="186">BS$83*BS113</f>
        <v>39139.947054917997</v>
      </c>
      <c r="BT65" s="316">
        <f t="shared" si="186"/>
        <v>0</v>
      </c>
      <c r="BU65" s="316">
        <f t="shared" si="186"/>
        <v>0</v>
      </c>
      <c r="BV65" s="316">
        <f t="shared" si="186"/>
        <v>0</v>
      </c>
      <c r="BW65" s="316">
        <f t="shared" si="186"/>
        <v>1674.5164636850898</v>
      </c>
      <c r="BX65" s="316">
        <f t="shared" si="186"/>
        <v>10136.919549179405</v>
      </c>
      <c r="BY65" s="316">
        <f t="shared" si="186"/>
        <v>0</v>
      </c>
      <c r="BZ65" s="316">
        <f t="shared" si="186"/>
        <v>8339.5568319121394</v>
      </c>
      <c r="CA65" s="316">
        <f t="shared" si="186"/>
        <v>46536.651437768596</v>
      </c>
      <c r="CB65" s="316">
        <f t="shared" si="186"/>
        <v>0</v>
      </c>
      <c r="CC65" s="316">
        <f t="shared" si="186"/>
        <v>0</v>
      </c>
      <c r="CD65" s="316">
        <f t="shared" si="186"/>
        <v>9045.9499999999953</v>
      </c>
      <c r="CE65" s="316">
        <f t="shared" si="83"/>
        <v>46536.651437768596</v>
      </c>
      <c r="CF65" s="36">
        <v>0</v>
      </c>
      <c r="CG65" s="36">
        <v>0</v>
      </c>
    </row>
    <row r="66" spans="1:85">
      <c r="A66" s="143" t="s">
        <v>645</v>
      </c>
      <c r="B66" s="316">
        <v>33283.22</v>
      </c>
      <c r="C66" s="316"/>
      <c r="D66" s="316">
        <f t="shared" ref="D66:O66" si="187">D$83*D114</f>
        <v>0</v>
      </c>
      <c r="E66" s="316">
        <f t="shared" si="187"/>
        <v>0</v>
      </c>
      <c r="F66" s="316">
        <f t="shared" si="187"/>
        <v>0</v>
      </c>
      <c r="G66" s="316">
        <f t="shared" si="187"/>
        <v>0</v>
      </c>
      <c r="H66" s="316">
        <f t="shared" si="187"/>
        <v>0</v>
      </c>
      <c r="I66" s="316">
        <f t="shared" si="187"/>
        <v>0</v>
      </c>
      <c r="J66" s="316">
        <f t="shared" si="187"/>
        <v>0</v>
      </c>
      <c r="K66" s="316">
        <f t="shared" si="187"/>
        <v>0</v>
      </c>
      <c r="L66" s="316">
        <f t="shared" si="187"/>
        <v>0</v>
      </c>
      <c r="M66" s="316">
        <f t="shared" si="187"/>
        <v>0</v>
      </c>
      <c r="N66" s="316">
        <f t="shared" si="187"/>
        <v>24737.457445229848</v>
      </c>
      <c r="O66" s="316">
        <f t="shared" si="187"/>
        <v>33283.219999999987</v>
      </c>
      <c r="P66" s="36">
        <v>0</v>
      </c>
      <c r="Q66" s="316">
        <f t="shared" ref="Q66:AB66" si="188">Q$83*Q114</f>
        <v>0</v>
      </c>
      <c r="R66" s="316">
        <f t="shared" si="188"/>
        <v>0</v>
      </c>
      <c r="S66" s="316">
        <f t="shared" si="188"/>
        <v>3424.1825382178527</v>
      </c>
      <c r="T66" s="316">
        <f t="shared" si="188"/>
        <v>0</v>
      </c>
      <c r="U66" s="316">
        <f t="shared" si="188"/>
        <v>347.89845248801856</v>
      </c>
      <c r="V66" s="316">
        <f t="shared" si="188"/>
        <v>0</v>
      </c>
      <c r="W66" s="316">
        <f t="shared" si="188"/>
        <v>0</v>
      </c>
      <c r="X66" s="316">
        <f t="shared" si="188"/>
        <v>0</v>
      </c>
      <c r="Y66" s="316">
        <f t="shared" si="188"/>
        <v>129608.3708371461</v>
      </c>
      <c r="Z66" s="316">
        <f t="shared" si="188"/>
        <v>0</v>
      </c>
      <c r="AA66" s="316">
        <f t="shared" si="188"/>
        <v>0</v>
      </c>
      <c r="AB66" s="316">
        <f t="shared" si="188"/>
        <v>33283.219999999987</v>
      </c>
      <c r="AC66" s="316">
        <f t="shared" si="86"/>
        <v>129608.3708371461</v>
      </c>
      <c r="AD66" s="36">
        <v>0</v>
      </c>
      <c r="AE66" s="316">
        <f t="shared" ref="AE66:AP66" si="189">AE$83*AE114</f>
        <v>0</v>
      </c>
      <c r="AF66" s="316">
        <f t="shared" si="189"/>
        <v>112448.90183946653</v>
      </c>
      <c r="AG66" s="316">
        <f t="shared" si="189"/>
        <v>3126.2483443428741</v>
      </c>
      <c r="AH66" s="316">
        <f t="shared" si="189"/>
        <v>0</v>
      </c>
      <c r="AI66" s="316">
        <f t="shared" si="189"/>
        <v>0</v>
      </c>
      <c r="AJ66" s="316">
        <f t="shared" si="189"/>
        <v>0</v>
      </c>
      <c r="AK66" s="316">
        <f t="shared" si="189"/>
        <v>0</v>
      </c>
      <c r="AL66" s="316">
        <f t="shared" si="189"/>
        <v>0</v>
      </c>
      <c r="AM66" s="316">
        <f t="shared" si="189"/>
        <v>0</v>
      </c>
      <c r="AN66" s="316">
        <f t="shared" si="189"/>
        <v>0</v>
      </c>
      <c r="AO66" s="316">
        <f t="shared" si="189"/>
        <v>39722.320787491066</v>
      </c>
      <c r="AP66" s="316">
        <f t="shared" si="189"/>
        <v>33283.219999999987</v>
      </c>
      <c r="AQ66" s="36">
        <v>0</v>
      </c>
      <c r="AR66" s="316">
        <f t="shared" ref="AR66:BC66" si="190">AR$83*AR114</f>
        <v>0</v>
      </c>
      <c r="AS66" s="316">
        <f t="shared" si="190"/>
        <v>0</v>
      </c>
      <c r="AT66" s="316">
        <f t="shared" si="190"/>
        <v>4583.874685179816</v>
      </c>
      <c r="AU66" s="316">
        <f t="shared" si="190"/>
        <v>0</v>
      </c>
      <c r="AV66" s="316">
        <f t="shared" si="190"/>
        <v>9463.0405961473462</v>
      </c>
      <c r="AW66" s="316">
        <f t="shared" si="190"/>
        <v>0</v>
      </c>
      <c r="AX66" s="316">
        <f t="shared" si="190"/>
        <v>17872.76962525526</v>
      </c>
      <c r="AY66" s="316">
        <f t="shared" si="190"/>
        <v>0</v>
      </c>
      <c r="AZ66" s="316">
        <f t="shared" si="190"/>
        <v>183872.55713634944</v>
      </c>
      <c r="BA66" s="316">
        <f t="shared" si="190"/>
        <v>0</v>
      </c>
      <c r="BB66" s="316">
        <f t="shared" si="190"/>
        <v>0</v>
      </c>
      <c r="BC66" s="316">
        <f t="shared" si="190"/>
        <v>33283.219999999987</v>
      </c>
      <c r="BD66" s="316">
        <f t="shared" si="80"/>
        <v>183872.55713634944</v>
      </c>
      <c r="BE66" s="36"/>
      <c r="BF66" s="316">
        <f t="shared" ref="BF66:BQ66" si="191">BF$83*BF114</f>
        <v>0</v>
      </c>
      <c r="BG66" s="316">
        <f t="shared" si="191"/>
        <v>114396.1969188738</v>
      </c>
      <c r="BH66" s="316">
        <f t="shared" si="191"/>
        <v>1673.4281838516431</v>
      </c>
      <c r="BI66" s="316">
        <f t="shared" si="191"/>
        <v>0</v>
      </c>
      <c r="BJ66" s="316">
        <f t="shared" si="191"/>
        <v>0</v>
      </c>
      <c r="BK66" s="316">
        <f t="shared" si="191"/>
        <v>0</v>
      </c>
      <c r="BL66" s="316">
        <f t="shared" si="191"/>
        <v>0</v>
      </c>
      <c r="BM66" s="316">
        <f t="shared" si="191"/>
        <v>0</v>
      </c>
      <c r="BN66" s="316">
        <f t="shared" si="191"/>
        <v>0</v>
      </c>
      <c r="BO66" s="316">
        <f t="shared" si="191"/>
        <v>0</v>
      </c>
      <c r="BP66" s="316">
        <f t="shared" si="191"/>
        <v>56066.483608466318</v>
      </c>
      <c r="BQ66" s="316">
        <f t="shared" si="191"/>
        <v>33283.219999999987</v>
      </c>
      <c r="BR66" s="36">
        <v>0</v>
      </c>
      <c r="BS66" s="316">
        <f t="shared" ref="BS66:CD66" si="192">BS$83*BS114</f>
        <v>0</v>
      </c>
      <c r="BT66" s="316">
        <f t="shared" si="192"/>
        <v>0</v>
      </c>
      <c r="BU66" s="316">
        <f t="shared" si="192"/>
        <v>3725.757604517752</v>
      </c>
      <c r="BV66" s="316">
        <f t="shared" si="192"/>
        <v>0</v>
      </c>
      <c r="BW66" s="316">
        <f t="shared" si="192"/>
        <v>10070.154546012325</v>
      </c>
      <c r="BX66" s="316">
        <f t="shared" si="192"/>
        <v>65312.146033545505</v>
      </c>
      <c r="BY66" s="316">
        <f t="shared" si="192"/>
        <v>52027.847634833633</v>
      </c>
      <c r="BZ66" s="316">
        <f t="shared" si="192"/>
        <v>107643.0783850928</v>
      </c>
      <c r="CA66" s="316">
        <f t="shared" si="192"/>
        <v>496020.34569648566</v>
      </c>
      <c r="CB66" s="316">
        <f t="shared" si="192"/>
        <v>92480.795564540836</v>
      </c>
      <c r="CC66" s="316">
        <f t="shared" si="192"/>
        <v>0</v>
      </c>
      <c r="CD66" s="316">
        <f t="shared" si="192"/>
        <v>33283.219999999987</v>
      </c>
      <c r="CE66" s="316">
        <f t="shared" si="83"/>
        <v>496020.34569648566</v>
      </c>
      <c r="CF66" s="36">
        <v>0</v>
      </c>
      <c r="CG66" s="36">
        <v>0</v>
      </c>
    </row>
    <row r="67" spans="1:85">
      <c r="A67" s="143" t="s">
        <v>646</v>
      </c>
      <c r="B67" s="316">
        <v>8170.59</v>
      </c>
      <c r="C67" s="316"/>
      <c r="D67" s="316">
        <f t="shared" ref="D67:O67" si="193">D$83*D115</f>
        <v>0</v>
      </c>
      <c r="E67" s="316">
        <f t="shared" si="193"/>
        <v>0</v>
      </c>
      <c r="F67" s="316">
        <f t="shared" si="193"/>
        <v>0</v>
      </c>
      <c r="G67" s="316">
        <f t="shared" si="193"/>
        <v>0</v>
      </c>
      <c r="H67" s="316">
        <f t="shared" si="193"/>
        <v>0</v>
      </c>
      <c r="I67" s="316">
        <f t="shared" si="193"/>
        <v>0</v>
      </c>
      <c r="J67" s="316">
        <f t="shared" si="193"/>
        <v>0</v>
      </c>
      <c r="K67" s="316">
        <f t="shared" si="193"/>
        <v>0</v>
      </c>
      <c r="L67" s="316">
        <f t="shared" si="193"/>
        <v>0</v>
      </c>
      <c r="M67" s="316">
        <f t="shared" si="193"/>
        <v>0</v>
      </c>
      <c r="N67" s="316">
        <f t="shared" si="193"/>
        <v>18944.100307730143</v>
      </c>
      <c r="O67" s="316">
        <f t="shared" si="193"/>
        <v>8170.5899999999965</v>
      </c>
      <c r="P67" s="36">
        <v>0</v>
      </c>
      <c r="Q67" s="316">
        <f t="shared" ref="Q67:AB67" si="194">Q$83*Q115</f>
        <v>0</v>
      </c>
      <c r="R67" s="316">
        <f t="shared" si="194"/>
        <v>0</v>
      </c>
      <c r="S67" s="316">
        <f t="shared" si="194"/>
        <v>11810.373906288503</v>
      </c>
      <c r="T67" s="316">
        <f t="shared" si="194"/>
        <v>0</v>
      </c>
      <c r="U67" s="316">
        <f t="shared" si="194"/>
        <v>115.96615082933954</v>
      </c>
      <c r="V67" s="316">
        <f t="shared" si="194"/>
        <v>0</v>
      </c>
      <c r="W67" s="316">
        <f t="shared" si="194"/>
        <v>0</v>
      </c>
      <c r="X67" s="316">
        <f t="shared" si="194"/>
        <v>0</v>
      </c>
      <c r="Y67" s="316">
        <f t="shared" si="194"/>
        <v>54010.76360656364</v>
      </c>
      <c r="Z67" s="316">
        <f t="shared" si="194"/>
        <v>0</v>
      </c>
      <c r="AA67" s="316">
        <f t="shared" si="194"/>
        <v>0</v>
      </c>
      <c r="AB67" s="316">
        <f t="shared" si="194"/>
        <v>8170.5899999999965</v>
      </c>
      <c r="AC67" s="316">
        <f t="shared" si="86"/>
        <v>54010.76360656364</v>
      </c>
      <c r="AD67" s="36">
        <v>0</v>
      </c>
      <c r="AE67" s="316">
        <f t="shared" ref="AE67:AP67" si="195">AE$83*AE115</f>
        <v>0</v>
      </c>
      <c r="AF67" s="316">
        <f t="shared" si="195"/>
        <v>0</v>
      </c>
      <c r="AG67" s="316">
        <f t="shared" si="195"/>
        <v>18043.830802639968</v>
      </c>
      <c r="AH67" s="316">
        <f t="shared" si="195"/>
        <v>0</v>
      </c>
      <c r="AI67" s="316">
        <f t="shared" si="195"/>
        <v>0</v>
      </c>
      <c r="AJ67" s="316">
        <f t="shared" si="195"/>
        <v>0</v>
      </c>
      <c r="AK67" s="316">
        <f t="shared" si="195"/>
        <v>0</v>
      </c>
      <c r="AL67" s="316">
        <f t="shared" si="195"/>
        <v>0</v>
      </c>
      <c r="AM67" s="316">
        <f t="shared" si="195"/>
        <v>0</v>
      </c>
      <c r="AN67" s="316">
        <f t="shared" si="195"/>
        <v>0</v>
      </c>
      <c r="AO67" s="316">
        <f t="shared" si="195"/>
        <v>95370.401627322251</v>
      </c>
      <c r="AP67" s="316">
        <f t="shared" si="195"/>
        <v>8170.5899999999965</v>
      </c>
      <c r="AQ67" s="36">
        <v>0</v>
      </c>
      <c r="AR67" s="316">
        <f t="shared" ref="AR67:BC67" si="196">AR$83*AR115</f>
        <v>0</v>
      </c>
      <c r="AS67" s="316">
        <f t="shared" si="196"/>
        <v>0</v>
      </c>
      <c r="AT67" s="316">
        <f t="shared" si="196"/>
        <v>31870.642532398448</v>
      </c>
      <c r="AU67" s="316">
        <f t="shared" si="196"/>
        <v>0</v>
      </c>
      <c r="AV67" s="316">
        <f t="shared" si="196"/>
        <v>41007.005172896061</v>
      </c>
      <c r="AW67" s="316">
        <f t="shared" si="196"/>
        <v>0</v>
      </c>
      <c r="AX67" s="316">
        <f t="shared" si="196"/>
        <v>163617.83550264454</v>
      </c>
      <c r="AY67" s="316">
        <f t="shared" si="196"/>
        <v>0</v>
      </c>
      <c r="AZ67" s="316">
        <f t="shared" si="196"/>
        <v>224819.43752269735</v>
      </c>
      <c r="BA67" s="316">
        <f t="shared" si="196"/>
        <v>0</v>
      </c>
      <c r="BB67" s="316">
        <f t="shared" si="196"/>
        <v>0</v>
      </c>
      <c r="BC67" s="316">
        <f t="shared" si="196"/>
        <v>8170.5899999999965</v>
      </c>
      <c r="BD67" s="316">
        <f t="shared" si="80"/>
        <v>224819.43752269735</v>
      </c>
      <c r="BE67" s="36"/>
      <c r="BF67" s="316">
        <f t="shared" ref="BF67:BQ67" si="197">BF$83*BF115</f>
        <v>0</v>
      </c>
      <c r="BG67" s="316">
        <f t="shared" si="197"/>
        <v>0</v>
      </c>
      <c r="BH67" s="316">
        <f t="shared" si="197"/>
        <v>21351.780935979921</v>
      </c>
      <c r="BI67" s="316">
        <f t="shared" si="197"/>
        <v>0</v>
      </c>
      <c r="BJ67" s="316">
        <f t="shared" si="197"/>
        <v>0</v>
      </c>
      <c r="BK67" s="316">
        <f t="shared" si="197"/>
        <v>0</v>
      </c>
      <c r="BL67" s="316">
        <f t="shared" si="197"/>
        <v>0</v>
      </c>
      <c r="BM67" s="316">
        <f t="shared" si="197"/>
        <v>0</v>
      </c>
      <c r="BN67" s="316">
        <f t="shared" si="197"/>
        <v>0</v>
      </c>
      <c r="BO67" s="316">
        <f t="shared" si="197"/>
        <v>0</v>
      </c>
      <c r="BP67" s="316">
        <f t="shared" si="197"/>
        <v>117303.94832881226</v>
      </c>
      <c r="BQ67" s="316">
        <f t="shared" si="197"/>
        <v>8170.5899999999965</v>
      </c>
      <c r="BR67" s="36">
        <v>0</v>
      </c>
      <c r="BS67" s="316">
        <f t="shared" ref="BS67:CD67" si="198">BS$83*BS115</f>
        <v>0</v>
      </c>
      <c r="BT67" s="316">
        <f t="shared" si="198"/>
        <v>0</v>
      </c>
      <c r="BU67" s="316">
        <f t="shared" si="198"/>
        <v>42340.580322155191</v>
      </c>
      <c r="BV67" s="316">
        <f t="shared" si="198"/>
        <v>0</v>
      </c>
      <c r="BW67" s="316">
        <f t="shared" si="198"/>
        <v>70853.262912175633</v>
      </c>
      <c r="BX67" s="316">
        <f t="shared" si="198"/>
        <v>90556.738438638422</v>
      </c>
      <c r="BY67" s="316">
        <f t="shared" si="198"/>
        <v>199189.91336788933</v>
      </c>
      <c r="BZ67" s="316">
        <f t="shared" si="198"/>
        <v>104915.88829389209</v>
      </c>
      <c r="CA67" s="316">
        <f t="shared" si="198"/>
        <v>547598.49591623258</v>
      </c>
      <c r="CB67" s="316">
        <f t="shared" si="198"/>
        <v>149676.50997211415</v>
      </c>
      <c r="CC67" s="316">
        <f t="shared" si="198"/>
        <v>0</v>
      </c>
      <c r="CD67" s="316">
        <f t="shared" si="198"/>
        <v>8170.5899999999965</v>
      </c>
      <c r="CE67" s="316">
        <f t="shared" si="83"/>
        <v>547598.49591623258</v>
      </c>
      <c r="CF67" s="36">
        <v>0</v>
      </c>
      <c r="CG67" s="36">
        <v>0</v>
      </c>
    </row>
    <row r="68" spans="1:85">
      <c r="A68" s="143" t="s">
        <v>648</v>
      </c>
      <c r="B68" s="316">
        <v>1488.655</v>
      </c>
      <c r="C68" s="316"/>
      <c r="D68" s="316">
        <f t="shared" ref="D68:O68" si="199">D$83*D116</f>
        <v>0</v>
      </c>
      <c r="E68" s="316">
        <f t="shared" si="199"/>
        <v>0</v>
      </c>
      <c r="F68" s="316">
        <f t="shared" si="199"/>
        <v>0</v>
      </c>
      <c r="G68" s="316">
        <f t="shared" si="199"/>
        <v>0</v>
      </c>
      <c r="H68" s="316">
        <f t="shared" si="199"/>
        <v>0</v>
      </c>
      <c r="I68" s="316">
        <f t="shared" si="199"/>
        <v>0</v>
      </c>
      <c r="J68" s="316">
        <f t="shared" si="199"/>
        <v>0</v>
      </c>
      <c r="K68" s="316">
        <f t="shared" si="199"/>
        <v>0</v>
      </c>
      <c r="L68" s="316">
        <f t="shared" si="199"/>
        <v>0</v>
      </c>
      <c r="M68" s="316">
        <f t="shared" si="199"/>
        <v>0</v>
      </c>
      <c r="N68" s="316">
        <f>N$83*N116</f>
        <v>0</v>
      </c>
      <c r="O68" s="316">
        <f t="shared" si="199"/>
        <v>1488.6549999999993</v>
      </c>
      <c r="P68" s="36">
        <v>0</v>
      </c>
      <c r="Q68" s="316">
        <f t="shared" ref="Q68:AB68" si="200">Q$83*Q116</f>
        <v>5635.8877174928593</v>
      </c>
      <c r="R68" s="316">
        <f t="shared" si="200"/>
        <v>0</v>
      </c>
      <c r="S68" s="316">
        <f t="shared" si="200"/>
        <v>0</v>
      </c>
      <c r="T68" s="316">
        <f t="shared" si="200"/>
        <v>0</v>
      </c>
      <c r="U68" s="316">
        <f t="shared" si="200"/>
        <v>347.89845248801856</v>
      </c>
      <c r="V68" s="316">
        <f t="shared" si="200"/>
        <v>0</v>
      </c>
      <c r="W68" s="316">
        <f t="shared" si="200"/>
        <v>0</v>
      </c>
      <c r="X68" s="316">
        <f t="shared" si="200"/>
        <v>0</v>
      </c>
      <c r="Y68" s="316">
        <f t="shared" si="200"/>
        <v>9378.3082881690516</v>
      </c>
      <c r="Z68" s="316">
        <f t="shared" si="200"/>
        <v>0</v>
      </c>
      <c r="AA68" s="316">
        <f t="shared" si="200"/>
        <v>0</v>
      </c>
      <c r="AB68" s="316">
        <f t="shared" si="200"/>
        <v>1488.6549999999993</v>
      </c>
      <c r="AC68" s="316">
        <f t="shared" si="86"/>
        <v>9378.3082881690516</v>
      </c>
      <c r="AD68" s="36">
        <v>0</v>
      </c>
      <c r="AE68" s="316">
        <f t="shared" ref="AE68:AP68" si="201">AE$83*AE116</f>
        <v>921.95395537397849</v>
      </c>
      <c r="AF68" s="316">
        <f t="shared" si="201"/>
        <v>38120.629034335921</v>
      </c>
      <c r="AG68" s="316">
        <f t="shared" si="201"/>
        <v>0</v>
      </c>
      <c r="AH68" s="316">
        <f t="shared" si="201"/>
        <v>0</v>
      </c>
      <c r="AI68" s="316">
        <f t="shared" si="201"/>
        <v>0</v>
      </c>
      <c r="AJ68" s="316">
        <f t="shared" si="201"/>
        <v>0</v>
      </c>
      <c r="AK68" s="316">
        <f t="shared" si="201"/>
        <v>0</v>
      </c>
      <c r="AL68" s="316">
        <f t="shared" si="201"/>
        <v>0</v>
      </c>
      <c r="AM68" s="316">
        <f t="shared" si="201"/>
        <v>0</v>
      </c>
      <c r="AN68" s="316">
        <f t="shared" si="201"/>
        <v>0</v>
      </c>
      <c r="AO68" s="316">
        <f t="shared" si="201"/>
        <v>0</v>
      </c>
      <c r="AP68" s="316">
        <f t="shared" si="201"/>
        <v>1488.6549999999993</v>
      </c>
      <c r="AQ68" s="36">
        <v>0</v>
      </c>
      <c r="AR68" s="316">
        <f t="shared" ref="AR68:BC68" si="202">AR$83*AR116</f>
        <v>6850.473100618261</v>
      </c>
      <c r="AS68" s="316">
        <f t="shared" si="202"/>
        <v>0</v>
      </c>
      <c r="AT68" s="316">
        <f t="shared" si="202"/>
        <v>0</v>
      </c>
      <c r="AU68" s="316">
        <f t="shared" si="202"/>
        <v>0</v>
      </c>
      <c r="AV68" s="316">
        <f t="shared" si="202"/>
        <v>428.93521849259002</v>
      </c>
      <c r="AW68" s="316">
        <f t="shared" si="202"/>
        <v>0</v>
      </c>
      <c r="AX68" s="316">
        <f t="shared" si="202"/>
        <v>5844.0935889591319</v>
      </c>
      <c r="AY68" s="316">
        <f t="shared" si="202"/>
        <v>0</v>
      </c>
      <c r="AZ68" s="316">
        <f t="shared" si="202"/>
        <v>16547.767484982109</v>
      </c>
      <c r="BA68" s="316">
        <f t="shared" si="202"/>
        <v>0</v>
      </c>
      <c r="BB68" s="316">
        <f t="shared" si="202"/>
        <v>0</v>
      </c>
      <c r="BC68" s="316">
        <f t="shared" si="202"/>
        <v>1488.6549999999993</v>
      </c>
      <c r="BD68" s="316">
        <f t="shared" si="80"/>
        <v>16547.767484982109</v>
      </c>
      <c r="BE68" s="36"/>
      <c r="BF68" s="316">
        <f t="shared" ref="BF68:BQ68" si="203">BF$83*BF116</f>
        <v>166.82061524403349</v>
      </c>
      <c r="BG68" s="316">
        <f t="shared" si="203"/>
        <v>28881.217319360603</v>
      </c>
      <c r="BH68" s="316">
        <f t="shared" si="203"/>
        <v>0</v>
      </c>
      <c r="BI68" s="316">
        <f t="shared" si="203"/>
        <v>0</v>
      </c>
      <c r="BJ68" s="316">
        <f t="shared" si="203"/>
        <v>0</v>
      </c>
      <c r="BK68" s="316">
        <f t="shared" si="203"/>
        <v>0</v>
      </c>
      <c r="BL68" s="316">
        <f t="shared" si="203"/>
        <v>0</v>
      </c>
      <c r="BM68" s="316">
        <f t="shared" si="203"/>
        <v>0</v>
      </c>
      <c r="BN68" s="316">
        <f t="shared" si="203"/>
        <v>0</v>
      </c>
      <c r="BO68" s="316">
        <f t="shared" si="203"/>
        <v>0</v>
      </c>
      <c r="BP68" s="316">
        <f t="shared" si="203"/>
        <v>0</v>
      </c>
      <c r="BQ68" s="316">
        <f t="shared" si="203"/>
        <v>1488.6549999999993</v>
      </c>
      <c r="BR68" s="36">
        <v>0</v>
      </c>
      <c r="BS68" s="316">
        <f t="shared" ref="BS68:CD68" si="204">BS$83*BS116</f>
        <v>4235.2983834374036</v>
      </c>
      <c r="BT68" s="316">
        <f t="shared" si="204"/>
        <v>0</v>
      </c>
      <c r="BU68" s="316">
        <f t="shared" si="204"/>
        <v>0</v>
      </c>
      <c r="BV68" s="316">
        <f t="shared" si="204"/>
        <v>0</v>
      </c>
      <c r="BW68" s="316">
        <f t="shared" si="204"/>
        <v>424.39305689671926</v>
      </c>
      <c r="BX68" s="316">
        <f t="shared" si="204"/>
        <v>10217.701884501315</v>
      </c>
      <c r="BY68" s="316">
        <f t="shared" si="204"/>
        <v>10323.791592351199</v>
      </c>
      <c r="BZ68" s="316">
        <f t="shared" si="204"/>
        <v>15395.820449484923</v>
      </c>
      <c r="CA68" s="316">
        <f t="shared" si="204"/>
        <v>0</v>
      </c>
      <c r="CB68" s="316">
        <f t="shared" si="204"/>
        <v>0</v>
      </c>
      <c r="CC68" s="316">
        <f t="shared" si="204"/>
        <v>0</v>
      </c>
      <c r="CD68" s="316">
        <f t="shared" si="204"/>
        <v>1488.6549999999993</v>
      </c>
      <c r="CE68" s="316">
        <f t="shared" si="83"/>
        <v>0</v>
      </c>
      <c r="CF68" s="36">
        <v>0</v>
      </c>
      <c r="CG68" s="36">
        <v>0</v>
      </c>
    </row>
    <row r="69" spans="1:85">
      <c r="A69" s="143" t="s">
        <v>649</v>
      </c>
      <c r="B69" s="316">
        <v>26544.2</v>
      </c>
      <c r="C69" s="316"/>
      <c r="D69" s="316">
        <f t="shared" ref="D69:O69" si="205">D$83*D117</f>
        <v>0</v>
      </c>
      <c r="E69" s="316">
        <f t="shared" si="205"/>
        <v>0</v>
      </c>
      <c r="F69" s="316">
        <f t="shared" si="205"/>
        <v>0</v>
      </c>
      <c r="G69" s="316">
        <f t="shared" si="205"/>
        <v>0</v>
      </c>
      <c r="H69" s="316">
        <f t="shared" si="205"/>
        <v>0</v>
      </c>
      <c r="I69" s="316">
        <f t="shared" si="205"/>
        <v>0</v>
      </c>
      <c r="J69" s="316">
        <f t="shared" si="205"/>
        <v>0</v>
      </c>
      <c r="K69" s="316">
        <f t="shared" si="205"/>
        <v>0</v>
      </c>
      <c r="L69" s="316">
        <f t="shared" si="205"/>
        <v>0</v>
      </c>
      <c r="M69" s="316">
        <f t="shared" si="205"/>
        <v>0</v>
      </c>
      <c r="N69" s="316">
        <f t="shared" si="205"/>
        <v>17847.975589941336</v>
      </c>
      <c r="O69" s="316">
        <f t="shared" si="205"/>
        <v>26544.19999999999</v>
      </c>
      <c r="P69" s="36">
        <v>0</v>
      </c>
      <c r="Q69" s="316">
        <f t="shared" ref="Q69:AB69" si="206">Q$83*Q117</f>
        <v>0</v>
      </c>
      <c r="R69" s="316">
        <f t="shared" si="206"/>
        <v>0</v>
      </c>
      <c r="S69" s="316">
        <f t="shared" si="206"/>
        <v>0</v>
      </c>
      <c r="T69" s="316">
        <f t="shared" si="206"/>
        <v>0</v>
      </c>
      <c r="U69" s="316">
        <f t="shared" si="206"/>
        <v>811.76305580537689</v>
      </c>
      <c r="V69" s="316">
        <f t="shared" si="206"/>
        <v>0</v>
      </c>
      <c r="W69" s="316">
        <f t="shared" si="206"/>
        <v>0</v>
      </c>
      <c r="X69" s="316">
        <f t="shared" si="206"/>
        <v>0</v>
      </c>
      <c r="Y69" s="316">
        <f t="shared" si="206"/>
        <v>111088.72176673933</v>
      </c>
      <c r="Z69" s="316">
        <f t="shared" si="206"/>
        <v>0</v>
      </c>
      <c r="AA69" s="316">
        <f t="shared" si="206"/>
        <v>0</v>
      </c>
      <c r="AB69" s="316">
        <f t="shared" si="206"/>
        <v>26544.19999999999</v>
      </c>
      <c r="AC69" s="316">
        <f t="shared" si="86"/>
        <v>111088.72176673933</v>
      </c>
      <c r="AD69" s="36">
        <v>0</v>
      </c>
      <c r="AE69" s="316">
        <f t="shared" ref="AE69:AP69" si="207">AE$83*AE117</f>
        <v>0</v>
      </c>
      <c r="AF69" s="316">
        <f t="shared" si="207"/>
        <v>97754.728489893241</v>
      </c>
      <c r="AG69" s="316">
        <f t="shared" si="207"/>
        <v>0</v>
      </c>
      <c r="AH69" s="316">
        <f t="shared" si="207"/>
        <v>0</v>
      </c>
      <c r="AI69" s="316">
        <f t="shared" si="207"/>
        <v>0</v>
      </c>
      <c r="AJ69" s="316">
        <f t="shared" si="207"/>
        <v>0</v>
      </c>
      <c r="AK69" s="316">
        <f t="shared" si="207"/>
        <v>0</v>
      </c>
      <c r="AL69" s="316">
        <f t="shared" si="207"/>
        <v>0</v>
      </c>
      <c r="AM69" s="316">
        <f t="shared" si="207"/>
        <v>0</v>
      </c>
      <c r="AN69" s="316">
        <f t="shared" si="207"/>
        <v>0</v>
      </c>
      <c r="AO69" s="316">
        <f t="shared" si="207"/>
        <v>35258.222506752056</v>
      </c>
      <c r="AP69" s="316">
        <f t="shared" si="207"/>
        <v>26544.19999999999</v>
      </c>
      <c r="AQ69" s="36">
        <v>0</v>
      </c>
      <c r="AR69" s="316">
        <f t="shared" ref="AR69:BC69" si="208">AR$83*AR117</f>
        <v>0</v>
      </c>
      <c r="AS69" s="316">
        <f t="shared" si="208"/>
        <v>0</v>
      </c>
      <c r="AT69" s="316">
        <f t="shared" si="208"/>
        <v>0</v>
      </c>
      <c r="AU69" s="316">
        <f t="shared" si="208"/>
        <v>0</v>
      </c>
      <c r="AV69" s="316">
        <f t="shared" si="208"/>
        <v>2001.6976862987542</v>
      </c>
      <c r="AW69" s="316">
        <f t="shared" si="208"/>
        <v>0</v>
      </c>
      <c r="AX69" s="316">
        <f t="shared" si="208"/>
        <v>8277.2015649090208</v>
      </c>
      <c r="AY69" s="316">
        <f t="shared" si="208"/>
        <v>0</v>
      </c>
      <c r="AZ69" s="316">
        <f t="shared" si="208"/>
        <v>191670.81131589113</v>
      </c>
      <c r="BA69" s="316">
        <f t="shared" si="208"/>
        <v>0</v>
      </c>
      <c r="BB69" s="316">
        <f t="shared" si="208"/>
        <v>0</v>
      </c>
      <c r="BC69" s="316">
        <f t="shared" si="208"/>
        <v>26544.19999999999</v>
      </c>
      <c r="BD69" s="316">
        <f t="shared" si="80"/>
        <v>191670.81131589113</v>
      </c>
      <c r="BE69" s="36"/>
      <c r="BF69" s="316">
        <f t="shared" ref="BF69:BQ69" si="209">BF$83*BF117</f>
        <v>0</v>
      </c>
      <c r="BG69" s="316">
        <f t="shared" si="209"/>
        <v>87702.327763743859</v>
      </c>
      <c r="BH69" s="316">
        <f t="shared" si="209"/>
        <v>0</v>
      </c>
      <c r="BI69" s="316">
        <f t="shared" si="209"/>
        <v>0</v>
      </c>
      <c r="BJ69" s="316">
        <f t="shared" si="209"/>
        <v>0</v>
      </c>
      <c r="BK69" s="316">
        <f t="shared" si="209"/>
        <v>0</v>
      </c>
      <c r="BL69" s="316">
        <f t="shared" si="209"/>
        <v>0</v>
      </c>
      <c r="BM69" s="316">
        <f t="shared" si="209"/>
        <v>0</v>
      </c>
      <c r="BN69" s="316">
        <f t="shared" si="209"/>
        <v>0</v>
      </c>
      <c r="BO69" s="316">
        <f t="shared" si="209"/>
        <v>0</v>
      </c>
      <c r="BP69" s="316">
        <f t="shared" si="209"/>
        <v>42880.564139571106</v>
      </c>
      <c r="BQ69" s="316">
        <f t="shared" si="209"/>
        <v>26544.19999999999</v>
      </c>
      <c r="BR69" s="36">
        <v>0</v>
      </c>
      <c r="BS69" s="316">
        <f t="shared" ref="BS69:CD69" si="210">BS$83*BS117</f>
        <v>0</v>
      </c>
      <c r="BT69" s="316">
        <f t="shared" si="210"/>
        <v>0</v>
      </c>
      <c r="BU69" s="316">
        <f t="shared" si="210"/>
        <v>0</v>
      </c>
      <c r="BV69" s="316">
        <f t="shared" si="210"/>
        <v>0</v>
      </c>
      <c r="BW69" s="316">
        <f t="shared" si="210"/>
        <v>4928.1965665599373</v>
      </c>
      <c r="BX69" s="316">
        <f t="shared" si="210"/>
        <v>78461.025659461375</v>
      </c>
      <c r="BY69" s="316">
        <f t="shared" si="210"/>
        <v>31961.307813608386</v>
      </c>
      <c r="BZ69" s="316">
        <f t="shared" si="210"/>
        <v>98606.172373382346</v>
      </c>
      <c r="CA69" s="316">
        <f t="shared" si="210"/>
        <v>315397.87196975813</v>
      </c>
      <c r="CB69" s="316">
        <f t="shared" si="210"/>
        <v>64071.105677031868</v>
      </c>
      <c r="CC69" s="316">
        <f t="shared" si="210"/>
        <v>0</v>
      </c>
      <c r="CD69" s="316">
        <f t="shared" si="210"/>
        <v>26544.19999999999</v>
      </c>
      <c r="CE69" s="316">
        <f t="shared" si="83"/>
        <v>315397.87196975813</v>
      </c>
      <c r="CF69" s="36">
        <v>0</v>
      </c>
      <c r="CG69" s="36">
        <v>0</v>
      </c>
    </row>
    <row r="70" spans="1:85">
      <c r="A70" s="143" t="s">
        <v>650</v>
      </c>
      <c r="B70" s="316">
        <v>20779.454999999998</v>
      </c>
      <c r="C70" s="316"/>
      <c r="D70" s="316">
        <f t="shared" ref="D70:O70" si="211">D$83*D118</f>
        <v>0</v>
      </c>
      <c r="E70" s="316">
        <f t="shared" si="211"/>
        <v>0</v>
      </c>
      <c r="F70" s="316">
        <f t="shared" si="211"/>
        <v>0</v>
      </c>
      <c r="G70" s="316">
        <f t="shared" si="211"/>
        <v>0</v>
      </c>
      <c r="H70" s="316">
        <f t="shared" si="211"/>
        <v>0</v>
      </c>
      <c r="I70" s="316">
        <f t="shared" si="211"/>
        <v>0</v>
      </c>
      <c r="J70" s="316">
        <f t="shared" si="211"/>
        <v>0</v>
      </c>
      <c r="K70" s="316">
        <f t="shared" si="211"/>
        <v>0</v>
      </c>
      <c r="L70" s="316">
        <f t="shared" si="211"/>
        <v>0</v>
      </c>
      <c r="M70" s="316">
        <f t="shared" si="211"/>
        <v>0</v>
      </c>
      <c r="N70" s="316">
        <f t="shared" si="211"/>
        <v>0</v>
      </c>
      <c r="O70" s="316">
        <f t="shared" si="211"/>
        <v>20779.454999999987</v>
      </c>
      <c r="P70" s="36">
        <v>0</v>
      </c>
      <c r="Q70" s="316">
        <f t="shared" ref="Q70:AB70" si="212">Q$83*Q118</f>
        <v>2496.63207235762</v>
      </c>
      <c r="R70" s="316">
        <f t="shared" si="212"/>
        <v>0</v>
      </c>
      <c r="S70" s="316">
        <f t="shared" si="212"/>
        <v>0</v>
      </c>
      <c r="T70" s="316">
        <f t="shared" si="212"/>
        <v>0</v>
      </c>
      <c r="U70" s="316">
        <f t="shared" si="212"/>
        <v>463.86460331735822</v>
      </c>
      <c r="V70" s="316">
        <f t="shared" si="212"/>
        <v>0</v>
      </c>
      <c r="W70" s="316">
        <f t="shared" si="212"/>
        <v>0</v>
      </c>
      <c r="X70" s="316">
        <f t="shared" si="212"/>
        <v>0</v>
      </c>
      <c r="Y70" s="316">
        <f t="shared" si="212"/>
        <v>9749.5344316310729</v>
      </c>
      <c r="Z70" s="316">
        <f t="shared" si="212"/>
        <v>0</v>
      </c>
      <c r="AA70" s="316">
        <f t="shared" si="212"/>
        <v>0</v>
      </c>
      <c r="AB70" s="316">
        <f t="shared" si="212"/>
        <v>20779.454999999987</v>
      </c>
      <c r="AC70" s="316">
        <f t="shared" si="86"/>
        <v>9749.5344316310729</v>
      </c>
      <c r="AD70" s="36">
        <v>0</v>
      </c>
      <c r="AE70" s="316">
        <f t="shared" ref="AE70:AP70" si="213">AE$83*AE118</f>
        <v>2276.4354095264621</v>
      </c>
      <c r="AF70" s="316">
        <f t="shared" si="213"/>
        <v>35972.561139777368</v>
      </c>
      <c r="AG70" s="316">
        <f t="shared" si="213"/>
        <v>0</v>
      </c>
      <c r="AH70" s="316">
        <f t="shared" si="213"/>
        <v>0</v>
      </c>
      <c r="AI70" s="316">
        <f t="shared" si="213"/>
        <v>0</v>
      </c>
      <c r="AJ70" s="316">
        <f t="shared" si="213"/>
        <v>0</v>
      </c>
      <c r="AK70" s="316">
        <f t="shared" si="213"/>
        <v>0</v>
      </c>
      <c r="AL70" s="316">
        <f t="shared" si="213"/>
        <v>0</v>
      </c>
      <c r="AM70" s="316">
        <f t="shared" si="213"/>
        <v>0</v>
      </c>
      <c r="AN70" s="316">
        <f t="shared" si="213"/>
        <v>0</v>
      </c>
      <c r="AO70" s="316">
        <f t="shared" si="213"/>
        <v>0</v>
      </c>
      <c r="AP70" s="316">
        <f t="shared" si="213"/>
        <v>20779.454999999987</v>
      </c>
      <c r="AQ70" s="36">
        <v>0</v>
      </c>
      <c r="AR70" s="316">
        <f t="shared" ref="AR70:BC70" si="214">AR$83*AR118</f>
        <v>7273.5675831103272</v>
      </c>
      <c r="AS70" s="316">
        <f t="shared" si="214"/>
        <v>0</v>
      </c>
      <c r="AT70" s="316">
        <f t="shared" si="214"/>
        <v>0</v>
      </c>
      <c r="AU70" s="316">
        <f t="shared" si="214"/>
        <v>0</v>
      </c>
      <c r="AV70" s="316">
        <f t="shared" si="214"/>
        <v>571.91362465678685</v>
      </c>
      <c r="AW70" s="316">
        <f t="shared" si="214"/>
        <v>0</v>
      </c>
      <c r="AX70" s="316">
        <f t="shared" si="214"/>
        <v>0</v>
      </c>
      <c r="AY70" s="316">
        <f t="shared" si="214"/>
        <v>0</v>
      </c>
      <c r="AZ70" s="316">
        <f t="shared" si="214"/>
        <v>12932.522552845359</v>
      </c>
      <c r="BA70" s="316">
        <f t="shared" si="214"/>
        <v>0</v>
      </c>
      <c r="BB70" s="316">
        <f t="shared" si="214"/>
        <v>0</v>
      </c>
      <c r="BC70" s="316">
        <f t="shared" si="214"/>
        <v>20779.454999999987</v>
      </c>
      <c r="BD70" s="316">
        <f t="shared" si="80"/>
        <v>12932.522552845359</v>
      </c>
      <c r="BE70" s="36"/>
      <c r="BF70" s="316">
        <f t="shared" ref="BF70:BQ70" si="215">BF$83*BF118</f>
        <v>3934.4776867143528</v>
      </c>
      <c r="BG70" s="316">
        <f t="shared" si="215"/>
        <v>18348.685564414111</v>
      </c>
      <c r="BH70" s="316">
        <f t="shared" si="215"/>
        <v>0</v>
      </c>
      <c r="BI70" s="316">
        <f t="shared" si="215"/>
        <v>0</v>
      </c>
      <c r="BJ70" s="316">
        <f t="shared" si="215"/>
        <v>0</v>
      </c>
      <c r="BK70" s="316">
        <f t="shared" si="215"/>
        <v>0</v>
      </c>
      <c r="BL70" s="316">
        <f t="shared" si="215"/>
        <v>0</v>
      </c>
      <c r="BM70" s="316">
        <f t="shared" si="215"/>
        <v>0</v>
      </c>
      <c r="BN70" s="316">
        <f t="shared" si="215"/>
        <v>0</v>
      </c>
      <c r="BO70" s="316">
        <f t="shared" si="215"/>
        <v>0</v>
      </c>
      <c r="BP70" s="316">
        <f t="shared" si="215"/>
        <v>0</v>
      </c>
      <c r="BQ70" s="316">
        <f t="shared" si="215"/>
        <v>20779.454999999987</v>
      </c>
      <c r="BR70" s="36">
        <v>0</v>
      </c>
      <c r="BS70" s="316">
        <f t="shared" ref="BS70:CD70" si="216">BS$83*BS118</f>
        <v>15028.449748376814</v>
      </c>
      <c r="BT70" s="316">
        <f t="shared" si="216"/>
        <v>0</v>
      </c>
      <c r="BU70" s="316">
        <f t="shared" si="216"/>
        <v>0</v>
      </c>
      <c r="BV70" s="316">
        <f t="shared" si="216"/>
        <v>0</v>
      </c>
      <c r="BW70" s="316">
        <f t="shared" si="216"/>
        <v>707.32176149453221</v>
      </c>
      <c r="BX70" s="316">
        <f t="shared" si="216"/>
        <v>9390.0386706808131</v>
      </c>
      <c r="BY70" s="316">
        <f t="shared" si="216"/>
        <v>0</v>
      </c>
      <c r="BZ70" s="316">
        <f t="shared" si="216"/>
        <v>11854.199001502306</v>
      </c>
      <c r="CA70" s="316">
        <f t="shared" si="216"/>
        <v>1571.6262533139411</v>
      </c>
      <c r="CB70" s="316">
        <f t="shared" si="216"/>
        <v>0</v>
      </c>
      <c r="CC70" s="316">
        <f t="shared" si="216"/>
        <v>0</v>
      </c>
      <c r="CD70" s="316">
        <f t="shared" si="216"/>
        <v>20779.454999999987</v>
      </c>
      <c r="CE70" s="316">
        <f t="shared" si="83"/>
        <v>1571.6262533139411</v>
      </c>
      <c r="CF70" s="36">
        <v>0</v>
      </c>
      <c r="CG70" s="36">
        <v>0</v>
      </c>
    </row>
    <row r="71" spans="1:85">
      <c r="A71" s="143" t="s">
        <v>651</v>
      </c>
      <c r="B71" s="316">
        <v>630.28</v>
      </c>
      <c r="C71" s="316"/>
      <c r="D71" s="316">
        <f t="shared" ref="D71:O71" si="217">D$83*D119</f>
        <v>0</v>
      </c>
      <c r="E71" s="316">
        <f t="shared" si="217"/>
        <v>0</v>
      </c>
      <c r="F71" s="316">
        <f t="shared" si="217"/>
        <v>0</v>
      </c>
      <c r="G71" s="316">
        <f t="shared" si="217"/>
        <v>0</v>
      </c>
      <c r="H71" s="316">
        <f t="shared" si="217"/>
        <v>0</v>
      </c>
      <c r="I71" s="316">
        <f t="shared" si="217"/>
        <v>0</v>
      </c>
      <c r="J71" s="316">
        <f t="shared" si="217"/>
        <v>0</v>
      </c>
      <c r="K71" s="316">
        <f t="shared" si="217"/>
        <v>0</v>
      </c>
      <c r="L71" s="316">
        <f t="shared" si="217"/>
        <v>0</v>
      </c>
      <c r="M71" s="316">
        <f t="shared" si="217"/>
        <v>0</v>
      </c>
      <c r="N71" s="316">
        <f t="shared" si="217"/>
        <v>0</v>
      </c>
      <c r="O71" s="316">
        <f t="shared" si="217"/>
        <v>630.27999999999963</v>
      </c>
      <c r="P71" s="36">
        <v>0</v>
      </c>
      <c r="Q71" s="316">
        <f t="shared" ref="Q71:AB71" si="218">Q$83*Q119</f>
        <v>3069.5842709907092</v>
      </c>
      <c r="R71" s="316">
        <f t="shared" si="218"/>
        <v>0</v>
      </c>
      <c r="S71" s="316">
        <f t="shared" si="218"/>
        <v>0</v>
      </c>
      <c r="T71" s="316">
        <f t="shared" si="218"/>
        <v>0</v>
      </c>
      <c r="U71" s="316">
        <f t="shared" si="218"/>
        <v>0</v>
      </c>
      <c r="V71" s="316">
        <f t="shared" si="218"/>
        <v>0</v>
      </c>
      <c r="W71" s="316">
        <f t="shared" si="218"/>
        <v>0</v>
      </c>
      <c r="X71" s="316">
        <f t="shared" si="218"/>
        <v>0</v>
      </c>
      <c r="Y71" s="316">
        <f t="shared" si="218"/>
        <v>0</v>
      </c>
      <c r="Z71" s="316">
        <f t="shared" si="218"/>
        <v>0</v>
      </c>
      <c r="AA71" s="316">
        <f t="shared" si="218"/>
        <v>0</v>
      </c>
      <c r="AB71" s="316">
        <f t="shared" si="218"/>
        <v>630.27999999999963</v>
      </c>
      <c r="AC71" s="316">
        <f t="shared" si="86"/>
        <v>0</v>
      </c>
      <c r="AD71" s="36">
        <v>0</v>
      </c>
      <c r="AE71" s="316">
        <f t="shared" ref="AE71:AP71" si="219">AE$83*AE119</f>
        <v>0</v>
      </c>
      <c r="AF71" s="316">
        <f t="shared" si="219"/>
        <v>0</v>
      </c>
      <c r="AG71" s="316">
        <f t="shared" si="219"/>
        <v>0</v>
      </c>
      <c r="AH71" s="316">
        <f t="shared" si="219"/>
        <v>0</v>
      </c>
      <c r="AI71" s="316">
        <f t="shared" si="219"/>
        <v>0</v>
      </c>
      <c r="AJ71" s="316">
        <f t="shared" si="219"/>
        <v>0</v>
      </c>
      <c r="AK71" s="316">
        <f t="shared" si="219"/>
        <v>0</v>
      </c>
      <c r="AL71" s="316">
        <f t="shared" si="219"/>
        <v>0</v>
      </c>
      <c r="AM71" s="316">
        <f t="shared" si="219"/>
        <v>0</v>
      </c>
      <c r="AN71" s="316">
        <f t="shared" si="219"/>
        <v>0</v>
      </c>
      <c r="AO71" s="316">
        <f t="shared" si="219"/>
        <v>0</v>
      </c>
      <c r="AP71" s="316">
        <f t="shared" si="219"/>
        <v>630.27999999999963</v>
      </c>
      <c r="AQ71" s="36">
        <v>0</v>
      </c>
      <c r="AR71" s="316">
        <f t="shared" ref="AR71:BC71" si="220">AR$83*AR119</f>
        <v>5241.3155915120851</v>
      </c>
      <c r="AS71" s="316">
        <f t="shared" si="220"/>
        <v>0</v>
      </c>
      <c r="AT71" s="316">
        <f t="shared" si="220"/>
        <v>0</v>
      </c>
      <c r="AU71" s="316">
        <f t="shared" si="220"/>
        <v>0</v>
      </c>
      <c r="AV71" s="316">
        <f t="shared" si="220"/>
        <v>0</v>
      </c>
      <c r="AW71" s="316">
        <f t="shared" si="220"/>
        <v>0</v>
      </c>
      <c r="AX71" s="316">
        <f t="shared" si="220"/>
        <v>0</v>
      </c>
      <c r="AY71" s="316">
        <f t="shared" si="220"/>
        <v>0</v>
      </c>
      <c r="AZ71" s="316">
        <f t="shared" si="220"/>
        <v>0</v>
      </c>
      <c r="BA71" s="316">
        <f t="shared" si="220"/>
        <v>0</v>
      </c>
      <c r="BB71" s="316">
        <f t="shared" si="220"/>
        <v>0</v>
      </c>
      <c r="BC71" s="316">
        <f t="shared" si="220"/>
        <v>630.27999999999963</v>
      </c>
      <c r="BD71" s="316">
        <f t="shared" si="80"/>
        <v>0</v>
      </c>
      <c r="BE71" s="36"/>
      <c r="BF71" s="316">
        <f t="shared" ref="BF71:BQ71" si="221">BF$83*BF119</f>
        <v>0</v>
      </c>
      <c r="BG71" s="316">
        <f t="shared" si="221"/>
        <v>7495.6902501665199</v>
      </c>
      <c r="BH71" s="316">
        <f t="shared" si="221"/>
        <v>0</v>
      </c>
      <c r="BI71" s="316">
        <f t="shared" si="221"/>
        <v>0</v>
      </c>
      <c r="BJ71" s="316">
        <f t="shared" si="221"/>
        <v>0</v>
      </c>
      <c r="BK71" s="316">
        <f t="shared" si="221"/>
        <v>0</v>
      </c>
      <c r="BL71" s="316">
        <f t="shared" si="221"/>
        <v>0</v>
      </c>
      <c r="BM71" s="316">
        <f t="shared" si="221"/>
        <v>0</v>
      </c>
      <c r="BN71" s="316">
        <f t="shared" si="221"/>
        <v>0</v>
      </c>
      <c r="BO71" s="316">
        <f t="shared" si="221"/>
        <v>0</v>
      </c>
      <c r="BP71" s="316">
        <f t="shared" si="221"/>
        <v>0</v>
      </c>
      <c r="BQ71" s="316">
        <f t="shared" si="221"/>
        <v>630.27999999999963</v>
      </c>
      <c r="BR71" s="36">
        <v>0</v>
      </c>
      <c r="BS71" s="316">
        <f t="shared" ref="BS71:CD71" si="222">BS$83*BS119</f>
        <v>5036.2641140053747</v>
      </c>
      <c r="BT71" s="316">
        <f t="shared" si="222"/>
        <v>0</v>
      </c>
      <c r="BU71" s="316">
        <f t="shared" si="222"/>
        <v>0</v>
      </c>
      <c r="BV71" s="316">
        <f t="shared" si="222"/>
        <v>0</v>
      </c>
      <c r="BW71" s="316">
        <f t="shared" si="222"/>
        <v>2947.6956343752472</v>
      </c>
      <c r="BX71" s="316">
        <f t="shared" si="222"/>
        <v>1000.9572807456045</v>
      </c>
      <c r="BY71" s="316">
        <f t="shared" si="222"/>
        <v>0</v>
      </c>
      <c r="BZ71" s="316">
        <f t="shared" si="222"/>
        <v>0</v>
      </c>
      <c r="CA71" s="316">
        <f t="shared" si="222"/>
        <v>3991.5648244332792</v>
      </c>
      <c r="CB71" s="316">
        <f t="shared" si="222"/>
        <v>0</v>
      </c>
      <c r="CC71" s="316">
        <f t="shared" si="222"/>
        <v>0</v>
      </c>
      <c r="CD71" s="316">
        <f t="shared" si="222"/>
        <v>630.27999999999963</v>
      </c>
      <c r="CE71" s="316">
        <f t="shared" si="83"/>
        <v>3991.5648244332792</v>
      </c>
      <c r="CF71" s="36">
        <v>0</v>
      </c>
      <c r="CG71" s="36">
        <v>0</v>
      </c>
    </row>
    <row r="72" spans="1:85">
      <c r="A72" s="143" t="s">
        <v>652</v>
      </c>
      <c r="B72" s="316">
        <v>146041.05000000002</v>
      </c>
      <c r="C72" s="316"/>
      <c r="D72" s="316">
        <f>D$83*D120</f>
        <v>22364.543037959083</v>
      </c>
      <c r="E72" s="316">
        <f t="shared" ref="E72:O72" si="223">E$83*E120</f>
        <v>0</v>
      </c>
      <c r="F72" s="316">
        <f t="shared" si="223"/>
        <v>0</v>
      </c>
      <c r="G72" s="316">
        <f t="shared" si="223"/>
        <v>0</v>
      </c>
      <c r="H72" s="316">
        <f t="shared" si="223"/>
        <v>0</v>
      </c>
      <c r="I72" s="316">
        <f t="shared" si="223"/>
        <v>0</v>
      </c>
      <c r="J72" s="316">
        <f t="shared" si="223"/>
        <v>0</v>
      </c>
      <c r="K72" s="316">
        <f t="shared" si="223"/>
        <v>0</v>
      </c>
      <c r="L72" s="316">
        <f t="shared" si="223"/>
        <v>0</v>
      </c>
      <c r="M72" s="316">
        <f t="shared" si="223"/>
        <v>0</v>
      </c>
      <c r="N72" s="316">
        <f t="shared" si="223"/>
        <v>0</v>
      </c>
      <c r="O72" s="316">
        <f t="shared" si="223"/>
        <v>146041.04999999996</v>
      </c>
      <c r="P72" s="36">
        <v>0</v>
      </c>
      <c r="Q72" s="316">
        <f t="shared" ref="Q72:AB72" si="224">Q$83*Q120</f>
        <v>30260.116770643825</v>
      </c>
      <c r="R72" s="316">
        <f t="shared" si="224"/>
        <v>0</v>
      </c>
      <c r="S72" s="316">
        <f t="shared" si="224"/>
        <v>0</v>
      </c>
      <c r="T72" s="316">
        <f t="shared" si="224"/>
        <v>0</v>
      </c>
      <c r="U72" s="316">
        <f t="shared" si="224"/>
        <v>0</v>
      </c>
      <c r="V72" s="316">
        <f t="shared" si="224"/>
        <v>0</v>
      </c>
      <c r="W72" s="316">
        <f t="shared" si="224"/>
        <v>0</v>
      </c>
      <c r="X72" s="316">
        <f t="shared" si="224"/>
        <v>0</v>
      </c>
      <c r="Y72" s="316">
        <f t="shared" si="224"/>
        <v>0</v>
      </c>
      <c r="Z72" s="316">
        <f t="shared" si="224"/>
        <v>0</v>
      </c>
      <c r="AA72" s="316">
        <f t="shared" si="224"/>
        <v>0</v>
      </c>
      <c r="AB72" s="316">
        <f t="shared" si="224"/>
        <v>146041.04999999996</v>
      </c>
      <c r="AC72" s="316">
        <f t="shared" si="86"/>
        <v>0</v>
      </c>
      <c r="AD72" s="36">
        <v>0</v>
      </c>
      <c r="AE72" s="316">
        <f t="shared" ref="AE72:AP72" si="225">AE$83*AE120</f>
        <v>13487.712912167359</v>
      </c>
      <c r="AF72" s="316">
        <f t="shared" si="225"/>
        <v>65483.7610426397</v>
      </c>
      <c r="AG72" s="316">
        <f t="shared" si="225"/>
        <v>0</v>
      </c>
      <c r="AH72" s="316">
        <f t="shared" si="225"/>
        <v>0</v>
      </c>
      <c r="AI72" s="316">
        <f t="shared" si="225"/>
        <v>0</v>
      </c>
      <c r="AJ72" s="316">
        <f t="shared" si="225"/>
        <v>0</v>
      </c>
      <c r="AK72" s="316">
        <f t="shared" si="225"/>
        <v>0</v>
      </c>
      <c r="AL72" s="316">
        <f t="shared" si="225"/>
        <v>0</v>
      </c>
      <c r="AM72" s="316">
        <f t="shared" si="225"/>
        <v>0</v>
      </c>
      <c r="AN72" s="316">
        <f t="shared" si="225"/>
        <v>0</v>
      </c>
      <c r="AO72" s="316">
        <f t="shared" si="225"/>
        <v>0</v>
      </c>
      <c r="AP72" s="316">
        <f t="shared" si="225"/>
        <v>146041.04999999996</v>
      </c>
      <c r="AQ72" s="36">
        <v>0</v>
      </c>
      <c r="AR72" s="316">
        <f t="shared" ref="AR72:BC72" si="226">AR$83*AR120</f>
        <v>84976.536147651728</v>
      </c>
      <c r="AS72" s="316">
        <f t="shared" si="226"/>
        <v>0</v>
      </c>
      <c r="AT72" s="316">
        <f t="shared" si="226"/>
        <v>5409.6068101207757</v>
      </c>
      <c r="AU72" s="316">
        <f t="shared" si="226"/>
        <v>0</v>
      </c>
      <c r="AV72" s="316">
        <f t="shared" si="226"/>
        <v>0</v>
      </c>
      <c r="AW72" s="316">
        <f t="shared" si="226"/>
        <v>0</v>
      </c>
      <c r="AX72" s="316">
        <f t="shared" si="226"/>
        <v>0</v>
      </c>
      <c r="AY72" s="316">
        <f t="shared" si="226"/>
        <v>0</v>
      </c>
      <c r="AZ72" s="316">
        <f t="shared" si="226"/>
        <v>0</v>
      </c>
      <c r="BA72" s="316">
        <f t="shared" si="226"/>
        <v>0</v>
      </c>
      <c r="BB72" s="316">
        <f t="shared" si="226"/>
        <v>0</v>
      </c>
      <c r="BC72" s="316">
        <f t="shared" si="226"/>
        <v>146041.04999999996</v>
      </c>
      <c r="BD72" s="316">
        <f t="shared" si="80"/>
        <v>0</v>
      </c>
      <c r="BE72" s="36"/>
      <c r="BF72" s="316">
        <f t="shared" ref="BF72:BQ72" si="227">BF$83*BF120</f>
        <v>19263.493941291836</v>
      </c>
      <c r="BG72" s="316">
        <f t="shared" si="227"/>
        <v>159378.82189660784</v>
      </c>
      <c r="BH72" s="316">
        <f t="shared" si="227"/>
        <v>5126.5772708092254</v>
      </c>
      <c r="BI72" s="316">
        <f t="shared" si="227"/>
        <v>0</v>
      </c>
      <c r="BJ72" s="316">
        <f t="shared" si="227"/>
        <v>0</v>
      </c>
      <c r="BK72" s="316">
        <f t="shared" si="227"/>
        <v>0</v>
      </c>
      <c r="BL72" s="316">
        <f t="shared" si="227"/>
        <v>0</v>
      </c>
      <c r="BM72" s="316">
        <f t="shared" si="227"/>
        <v>0</v>
      </c>
      <c r="BN72" s="316">
        <f t="shared" si="227"/>
        <v>0</v>
      </c>
      <c r="BO72" s="316">
        <f t="shared" si="227"/>
        <v>0</v>
      </c>
      <c r="BP72" s="316">
        <f t="shared" si="227"/>
        <v>0</v>
      </c>
      <c r="BQ72" s="316">
        <f t="shared" si="227"/>
        <v>146041.04999999996</v>
      </c>
      <c r="BR72" s="36">
        <v>0</v>
      </c>
      <c r="BS72" s="316">
        <f t="shared" ref="BS72:CD72" si="228">BS$83*BS120</f>
        <v>65499.795833494703</v>
      </c>
      <c r="BT72" s="316">
        <f t="shared" si="228"/>
        <v>0</v>
      </c>
      <c r="BU72" s="316">
        <f t="shared" si="228"/>
        <v>11413.925279962099</v>
      </c>
      <c r="BV72" s="316">
        <f t="shared" si="228"/>
        <v>0</v>
      </c>
      <c r="BW72" s="316">
        <f t="shared" si="228"/>
        <v>3655.0173958697792</v>
      </c>
      <c r="BX72" s="316">
        <f t="shared" si="228"/>
        <v>28977.377685273161</v>
      </c>
      <c r="BY72" s="316">
        <f t="shared" si="228"/>
        <v>8104.5557015867362</v>
      </c>
      <c r="BZ72" s="316">
        <f t="shared" si="228"/>
        <v>58722.534241918933</v>
      </c>
      <c r="CA72" s="316">
        <f t="shared" si="228"/>
        <v>224682.71742164704</v>
      </c>
      <c r="CB72" s="316">
        <f t="shared" si="228"/>
        <v>28844.811775799753</v>
      </c>
      <c r="CC72" s="316">
        <f t="shared" si="228"/>
        <v>0</v>
      </c>
      <c r="CD72" s="316">
        <f t="shared" si="228"/>
        <v>146041.04999999996</v>
      </c>
      <c r="CE72" s="316">
        <f t="shared" si="83"/>
        <v>224682.71742164704</v>
      </c>
      <c r="CF72" s="36">
        <v>0</v>
      </c>
      <c r="CG72" s="36">
        <v>0</v>
      </c>
    </row>
    <row r="73" spans="1:85">
      <c r="A73" s="143" t="s">
        <v>653</v>
      </c>
      <c r="B73" s="316">
        <v>614.65499999999997</v>
      </c>
      <c r="C73" s="316"/>
      <c r="D73" s="316">
        <f t="shared" ref="D73:O73" si="229">D$83*D121</f>
        <v>0</v>
      </c>
      <c r="E73" s="316">
        <f t="shared" si="229"/>
        <v>0</v>
      </c>
      <c r="F73" s="316">
        <f t="shared" si="229"/>
        <v>0</v>
      </c>
      <c r="G73" s="316">
        <f t="shared" si="229"/>
        <v>0</v>
      </c>
      <c r="H73" s="316">
        <f t="shared" si="229"/>
        <v>0</v>
      </c>
      <c r="I73" s="316">
        <f t="shared" si="229"/>
        <v>0</v>
      </c>
      <c r="J73" s="316">
        <f t="shared" si="229"/>
        <v>0</v>
      </c>
      <c r="K73" s="316">
        <f t="shared" si="229"/>
        <v>0</v>
      </c>
      <c r="L73" s="316">
        <f t="shared" si="229"/>
        <v>0</v>
      </c>
      <c r="M73" s="316">
        <f t="shared" si="229"/>
        <v>0</v>
      </c>
      <c r="N73" s="316">
        <f t="shared" si="229"/>
        <v>0</v>
      </c>
      <c r="O73" s="316">
        <f t="shared" si="229"/>
        <v>614.65499999999975</v>
      </c>
      <c r="P73" s="36">
        <v>0</v>
      </c>
      <c r="Q73" s="316">
        <f t="shared" ref="Q73:AB73" si="230">Q$83*Q121</f>
        <v>0</v>
      </c>
      <c r="R73" s="316">
        <f t="shared" si="230"/>
        <v>0</v>
      </c>
      <c r="S73" s="316">
        <f t="shared" si="230"/>
        <v>1097.7923740696222</v>
      </c>
      <c r="T73" s="316">
        <f t="shared" si="230"/>
        <v>0</v>
      </c>
      <c r="U73" s="316">
        <f t="shared" si="230"/>
        <v>115.96615082933954</v>
      </c>
      <c r="V73" s="316">
        <f t="shared" si="230"/>
        <v>0</v>
      </c>
      <c r="W73" s="316">
        <f t="shared" si="230"/>
        <v>0</v>
      </c>
      <c r="X73" s="316">
        <f t="shared" si="230"/>
        <v>0</v>
      </c>
      <c r="Y73" s="316">
        <f t="shared" si="230"/>
        <v>12774.260291406616</v>
      </c>
      <c r="Z73" s="316">
        <f t="shared" si="230"/>
        <v>0</v>
      </c>
      <c r="AA73" s="316">
        <f t="shared" si="230"/>
        <v>0</v>
      </c>
      <c r="AB73" s="316">
        <f t="shared" si="230"/>
        <v>614.65499999999975</v>
      </c>
      <c r="AC73" s="316">
        <f t="shared" si="86"/>
        <v>12774.260291406616</v>
      </c>
      <c r="AD73" s="36">
        <v>0</v>
      </c>
      <c r="AE73" s="316">
        <f t="shared" ref="AE73:AP73" si="231">AE$83*AE121</f>
        <v>0</v>
      </c>
      <c r="AF73" s="316">
        <f t="shared" si="231"/>
        <v>0</v>
      </c>
      <c r="AG73" s="316">
        <f t="shared" si="231"/>
        <v>1774.8273635702387</v>
      </c>
      <c r="AH73" s="316">
        <f t="shared" si="231"/>
        <v>0</v>
      </c>
      <c r="AI73" s="316">
        <f t="shared" si="231"/>
        <v>0</v>
      </c>
      <c r="AJ73" s="316">
        <f t="shared" si="231"/>
        <v>0</v>
      </c>
      <c r="AK73" s="316">
        <f t="shared" si="231"/>
        <v>0</v>
      </c>
      <c r="AL73" s="316">
        <f t="shared" si="231"/>
        <v>0</v>
      </c>
      <c r="AM73" s="316">
        <f t="shared" si="231"/>
        <v>0</v>
      </c>
      <c r="AN73" s="316">
        <f t="shared" si="231"/>
        <v>0</v>
      </c>
      <c r="AO73" s="316">
        <f t="shared" si="231"/>
        <v>0</v>
      </c>
      <c r="AP73" s="316">
        <f t="shared" si="231"/>
        <v>614.65499999999975</v>
      </c>
      <c r="AQ73" s="36">
        <v>0</v>
      </c>
      <c r="AR73" s="316">
        <f t="shared" ref="AR73:BC73" si="232">AR$83*AR121</f>
        <v>0</v>
      </c>
      <c r="AS73" s="316">
        <f t="shared" si="232"/>
        <v>0</v>
      </c>
      <c r="AT73" s="316">
        <f t="shared" si="232"/>
        <v>2013.6039677160393</v>
      </c>
      <c r="AU73" s="316">
        <f t="shared" si="232"/>
        <v>0</v>
      </c>
      <c r="AV73" s="316">
        <f t="shared" si="232"/>
        <v>142.97840616419668</v>
      </c>
      <c r="AW73" s="316">
        <f t="shared" si="232"/>
        <v>0</v>
      </c>
      <c r="AX73" s="316">
        <f t="shared" si="232"/>
        <v>2578.1967985929655</v>
      </c>
      <c r="AY73" s="316">
        <f t="shared" si="232"/>
        <v>0</v>
      </c>
      <c r="AZ73" s="316">
        <f t="shared" si="232"/>
        <v>15940.53814849943</v>
      </c>
      <c r="BA73" s="316">
        <f t="shared" si="232"/>
        <v>0</v>
      </c>
      <c r="BB73" s="316">
        <f t="shared" si="232"/>
        <v>0</v>
      </c>
      <c r="BC73" s="316">
        <f t="shared" si="232"/>
        <v>614.65499999999975</v>
      </c>
      <c r="BD73" s="316">
        <f t="shared" si="80"/>
        <v>15940.53814849943</v>
      </c>
      <c r="BE73" s="36"/>
      <c r="BF73" s="316">
        <f t="shared" ref="BF73:BQ73" si="233">BF$83*BF121</f>
        <v>0</v>
      </c>
      <c r="BG73" s="316">
        <f t="shared" si="233"/>
        <v>17704.412278285326</v>
      </c>
      <c r="BH73" s="316">
        <f t="shared" si="233"/>
        <v>0</v>
      </c>
      <c r="BI73" s="316">
        <f t="shared" si="233"/>
        <v>0</v>
      </c>
      <c r="BJ73" s="316">
        <f t="shared" si="233"/>
        <v>0</v>
      </c>
      <c r="BK73" s="316">
        <f t="shared" si="233"/>
        <v>0</v>
      </c>
      <c r="BL73" s="316">
        <f t="shared" si="233"/>
        <v>0</v>
      </c>
      <c r="BM73" s="316">
        <f t="shared" si="233"/>
        <v>0</v>
      </c>
      <c r="BN73" s="316">
        <f t="shared" si="233"/>
        <v>0</v>
      </c>
      <c r="BO73" s="316">
        <f t="shared" si="233"/>
        <v>0</v>
      </c>
      <c r="BP73" s="316">
        <f t="shared" si="233"/>
        <v>0</v>
      </c>
      <c r="BQ73" s="316">
        <f t="shared" si="233"/>
        <v>614.65499999999975</v>
      </c>
      <c r="BR73" s="36">
        <v>0</v>
      </c>
      <c r="BS73" s="316">
        <f t="shared" ref="BS73:CD73" si="234">BS$83*BS121</f>
        <v>0</v>
      </c>
      <c r="BT73" s="316">
        <f t="shared" si="234"/>
        <v>0</v>
      </c>
      <c r="BU73" s="316">
        <f t="shared" si="234"/>
        <v>3405.3427859980702</v>
      </c>
      <c r="BV73" s="316">
        <f t="shared" si="234"/>
        <v>0</v>
      </c>
      <c r="BW73" s="316">
        <f t="shared" si="234"/>
        <v>141.46435229890645</v>
      </c>
      <c r="BX73" s="316">
        <f t="shared" si="234"/>
        <v>6354.5815164473588</v>
      </c>
      <c r="BY73" s="316">
        <f t="shared" si="234"/>
        <v>4380.2930612678747</v>
      </c>
      <c r="BZ73" s="316">
        <f t="shared" si="234"/>
        <v>0</v>
      </c>
      <c r="CA73" s="316">
        <f t="shared" si="234"/>
        <v>24642.919837299374</v>
      </c>
      <c r="CB73" s="316">
        <f t="shared" si="234"/>
        <v>0</v>
      </c>
      <c r="CC73" s="316">
        <f t="shared" si="234"/>
        <v>0</v>
      </c>
      <c r="CD73" s="316">
        <f t="shared" si="234"/>
        <v>614.65499999999975</v>
      </c>
      <c r="CE73" s="316">
        <f t="shared" si="83"/>
        <v>24642.919837299374</v>
      </c>
      <c r="CF73" s="36">
        <v>0</v>
      </c>
      <c r="CG73" s="36">
        <v>0</v>
      </c>
    </row>
    <row r="74" spans="1:85">
      <c r="A74" s="143" t="s">
        <v>654</v>
      </c>
      <c r="B74" s="316">
        <v>918.4</v>
      </c>
      <c r="C74" s="316"/>
      <c r="D74" s="316">
        <f t="shared" ref="D74:O74" si="235">D$83*D122</f>
        <v>0</v>
      </c>
      <c r="E74" s="316">
        <f t="shared" si="235"/>
        <v>0</v>
      </c>
      <c r="F74" s="316">
        <f t="shared" si="235"/>
        <v>0</v>
      </c>
      <c r="G74" s="316">
        <f t="shared" si="235"/>
        <v>0</v>
      </c>
      <c r="H74" s="316">
        <f t="shared" si="235"/>
        <v>0</v>
      </c>
      <c r="I74" s="316">
        <f t="shared" si="235"/>
        <v>0</v>
      </c>
      <c r="J74" s="316">
        <f t="shared" si="235"/>
        <v>0</v>
      </c>
      <c r="K74" s="316">
        <f t="shared" si="235"/>
        <v>0</v>
      </c>
      <c r="L74" s="316">
        <f t="shared" si="235"/>
        <v>0</v>
      </c>
      <c r="M74" s="316">
        <f t="shared" si="235"/>
        <v>0</v>
      </c>
      <c r="N74" s="316">
        <f t="shared" si="235"/>
        <v>0</v>
      </c>
      <c r="O74" s="316">
        <f t="shared" si="235"/>
        <v>918.39999999999964</v>
      </c>
      <c r="P74" s="36">
        <v>0</v>
      </c>
      <c r="Q74" s="316">
        <f t="shared" ref="Q74:AB74" si="236">Q$83*Q122</f>
        <v>3781.5337651953005</v>
      </c>
      <c r="R74" s="316">
        <f t="shared" si="236"/>
        <v>0</v>
      </c>
      <c r="S74" s="316">
        <f t="shared" si="236"/>
        <v>0</v>
      </c>
      <c r="T74" s="316">
        <f t="shared" si="236"/>
        <v>0</v>
      </c>
      <c r="U74" s="316">
        <f t="shared" si="236"/>
        <v>0</v>
      </c>
      <c r="V74" s="316">
        <f t="shared" si="236"/>
        <v>0</v>
      </c>
      <c r="W74" s="316">
        <f t="shared" si="236"/>
        <v>0</v>
      </c>
      <c r="X74" s="316">
        <f t="shared" si="236"/>
        <v>0</v>
      </c>
      <c r="Y74" s="316">
        <f t="shared" si="236"/>
        <v>0</v>
      </c>
      <c r="Z74" s="316">
        <f t="shared" si="236"/>
        <v>0</v>
      </c>
      <c r="AA74" s="316">
        <f t="shared" si="236"/>
        <v>0</v>
      </c>
      <c r="AB74" s="316">
        <f t="shared" si="236"/>
        <v>918.39999999999964</v>
      </c>
      <c r="AC74" s="316">
        <f t="shared" si="86"/>
        <v>0</v>
      </c>
      <c r="AD74" s="36">
        <v>0</v>
      </c>
      <c r="AE74" s="316">
        <f t="shared" ref="AE74:AP74" si="237">AE$83*AE122</f>
        <v>1109.8709490263564</v>
      </c>
      <c r="AF74" s="316">
        <f t="shared" si="237"/>
        <v>11591.87926286461</v>
      </c>
      <c r="AG74" s="316">
        <f t="shared" si="237"/>
        <v>0</v>
      </c>
      <c r="AH74" s="316">
        <f t="shared" si="237"/>
        <v>0</v>
      </c>
      <c r="AI74" s="316">
        <f t="shared" si="237"/>
        <v>0</v>
      </c>
      <c r="AJ74" s="316">
        <f t="shared" si="237"/>
        <v>0</v>
      </c>
      <c r="AK74" s="316">
        <f t="shared" si="237"/>
        <v>0</v>
      </c>
      <c r="AL74" s="316">
        <f t="shared" si="237"/>
        <v>0</v>
      </c>
      <c r="AM74" s="316">
        <f t="shared" si="237"/>
        <v>0</v>
      </c>
      <c r="AN74" s="316">
        <f t="shared" si="237"/>
        <v>0</v>
      </c>
      <c r="AO74" s="316">
        <f t="shared" si="237"/>
        <v>0</v>
      </c>
      <c r="AP74" s="316">
        <f t="shared" si="237"/>
        <v>918.39999999999964</v>
      </c>
      <c r="AQ74" s="36">
        <v>0</v>
      </c>
      <c r="AR74" s="316">
        <f t="shared" ref="AR74:BC74" si="238">AR$83*AR122</f>
        <v>6516.9846704550528</v>
      </c>
      <c r="AS74" s="316">
        <f t="shared" si="238"/>
        <v>0</v>
      </c>
      <c r="AT74" s="316">
        <f t="shared" si="238"/>
        <v>0</v>
      </c>
      <c r="AU74" s="316">
        <f t="shared" si="238"/>
        <v>0</v>
      </c>
      <c r="AV74" s="316">
        <f t="shared" si="238"/>
        <v>0</v>
      </c>
      <c r="AW74" s="316">
        <f t="shared" si="238"/>
        <v>0</v>
      </c>
      <c r="AX74" s="316">
        <f t="shared" si="238"/>
        <v>0</v>
      </c>
      <c r="AY74" s="316">
        <f t="shared" si="238"/>
        <v>0</v>
      </c>
      <c r="AZ74" s="316">
        <f t="shared" si="238"/>
        <v>0</v>
      </c>
      <c r="BA74" s="316">
        <f t="shared" si="238"/>
        <v>0</v>
      </c>
      <c r="BB74" s="316">
        <f t="shared" si="238"/>
        <v>0</v>
      </c>
      <c r="BC74" s="316">
        <f t="shared" si="238"/>
        <v>918.39999999999964</v>
      </c>
      <c r="BD74" s="316">
        <f t="shared" si="80"/>
        <v>0</v>
      </c>
      <c r="BE74" s="36"/>
      <c r="BF74" s="316">
        <f t="shared" ref="BF74:BQ74" si="239">BF$83*BF122</f>
        <v>1187.3580093092608</v>
      </c>
      <c r="BG74" s="316">
        <f t="shared" si="239"/>
        <v>5208.9655364931214</v>
      </c>
      <c r="BH74" s="316">
        <f t="shared" si="239"/>
        <v>0</v>
      </c>
      <c r="BI74" s="316">
        <f t="shared" si="239"/>
        <v>0</v>
      </c>
      <c r="BJ74" s="316">
        <f t="shared" si="239"/>
        <v>0</v>
      </c>
      <c r="BK74" s="316">
        <f t="shared" si="239"/>
        <v>0</v>
      </c>
      <c r="BL74" s="316">
        <f t="shared" si="239"/>
        <v>0</v>
      </c>
      <c r="BM74" s="316">
        <f t="shared" si="239"/>
        <v>0</v>
      </c>
      <c r="BN74" s="316">
        <f t="shared" si="239"/>
        <v>0</v>
      </c>
      <c r="BO74" s="316">
        <f t="shared" si="239"/>
        <v>0</v>
      </c>
      <c r="BP74" s="316">
        <f t="shared" si="239"/>
        <v>0</v>
      </c>
      <c r="BQ74" s="316">
        <f t="shared" si="239"/>
        <v>918.39999999999964</v>
      </c>
      <c r="BR74" s="36">
        <v>0</v>
      </c>
      <c r="BS74" s="316">
        <f t="shared" ref="BS74:CD74" si="240">BS$83*BS122</f>
        <v>8778.4981091168429</v>
      </c>
      <c r="BT74" s="316">
        <f t="shared" si="240"/>
        <v>0</v>
      </c>
      <c r="BU74" s="316">
        <f t="shared" si="240"/>
        <v>0</v>
      </c>
      <c r="BV74" s="316">
        <f t="shared" si="240"/>
        <v>0</v>
      </c>
      <c r="BW74" s="316">
        <f t="shared" si="240"/>
        <v>0</v>
      </c>
      <c r="BX74" s="316">
        <f t="shared" si="240"/>
        <v>0</v>
      </c>
      <c r="BY74" s="316">
        <f t="shared" si="240"/>
        <v>0</v>
      </c>
      <c r="BZ74" s="316">
        <f t="shared" si="240"/>
        <v>0</v>
      </c>
      <c r="CA74" s="316">
        <f t="shared" si="240"/>
        <v>0</v>
      </c>
      <c r="CB74" s="316">
        <f t="shared" si="240"/>
        <v>0</v>
      </c>
      <c r="CC74" s="316">
        <f t="shared" si="240"/>
        <v>0</v>
      </c>
      <c r="CD74" s="316">
        <f t="shared" si="240"/>
        <v>918.39999999999964</v>
      </c>
      <c r="CE74" s="316">
        <f t="shared" si="83"/>
        <v>0</v>
      </c>
      <c r="CF74" s="36">
        <v>0</v>
      </c>
      <c r="CG74" s="36">
        <v>0</v>
      </c>
    </row>
    <row r="75" spans="1:85">
      <c r="A75" s="143" t="s">
        <v>655</v>
      </c>
      <c r="B75" s="316">
        <v>34243.709999999992</v>
      </c>
      <c r="C75" s="316"/>
      <c r="D75" s="316">
        <f t="shared" ref="D75:O75" si="241">D$83*D123</f>
        <v>0</v>
      </c>
      <c r="E75" s="316">
        <f t="shared" si="241"/>
        <v>0</v>
      </c>
      <c r="F75" s="316">
        <f t="shared" si="241"/>
        <v>0</v>
      </c>
      <c r="G75" s="316">
        <f t="shared" si="241"/>
        <v>0</v>
      </c>
      <c r="H75" s="316">
        <f t="shared" si="241"/>
        <v>0</v>
      </c>
      <c r="I75" s="316">
        <f t="shared" si="241"/>
        <v>0</v>
      </c>
      <c r="J75" s="316">
        <f t="shared" si="241"/>
        <v>0</v>
      </c>
      <c r="K75" s="316">
        <f t="shared" si="241"/>
        <v>0</v>
      </c>
      <c r="L75" s="316">
        <f t="shared" si="241"/>
        <v>0</v>
      </c>
      <c r="M75" s="316">
        <f t="shared" si="241"/>
        <v>0</v>
      </c>
      <c r="N75" s="316">
        <f t="shared" si="241"/>
        <v>43640.95677651641</v>
      </c>
      <c r="O75" s="316">
        <f t="shared" si="241"/>
        <v>34243.709999999977</v>
      </c>
      <c r="P75" s="36">
        <v>0</v>
      </c>
      <c r="Q75" s="316">
        <f t="shared" ref="Q75:AB75" si="242">Q$83*Q123</f>
        <v>3814.0981167324157</v>
      </c>
      <c r="R75" s="316">
        <f t="shared" si="242"/>
        <v>0</v>
      </c>
      <c r="S75" s="316">
        <f t="shared" si="242"/>
        <v>7889.9363156856216</v>
      </c>
      <c r="T75" s="316">
        <f t="shared" si="242"/>
        <v>0</v>
      </c>
      <c r="U75" s="316">
        <f t="shared" si="242"/>
        <v>1971.4245640987724</v>
      </c>
      <c r="V75" s="316">
        <f t="shared" si="242"/>
        <v>0</v>
      </c>
      <c r="W75" s="316">
        <f t="shared" si="242"/>
        <v>0</v>
      </c>
      <c r="X75" s="316">
        <f t="shared" si="242"/>
        <v>0</v>
      </c>
      <c r="Y75" s="316">
        <f t="shared" si="242"/>
        <v>107769.62370701201</v>
      </c>
      <c r="Z75" s="316">
        <f t="shared" si="242"/>
        <v>0</v>
      </c>
      <c r="AA75" s="316">
        <f t="shared" si="242"/>
        <v>0</v>
      </c>
      <c r="AB75" s="316">
        <f t="shared" si="242"/>
        <v>34243.709999999977</v>
      </c>
      <c r="AC75" s="316">
        <f t="shared" si="86"/>
        <v>107769.62370701201</v>
      </c>
      <c r="AD75" s="36">
        <v>0</v>
      </c>
      <c r="AE75" s="316">
        <f t="shared" ref="AE75:AP75" si="243">AE$83*AE123</f>
        <v>5731.1560508221992</v>
      </c>
      <c r="AF75" s="316">
        <f t="shared" si="243"/>
        <v>24487.425158067083</v>
      </c>
      <c r="AG75" s="316">
        <f t="shared" si="243"/>
        <v>7203.4420094673123</v>
      </c>
      <c r="AH75" s="316">
        <f t="shared" si="243"/>
        <v>0</v>
      </c>
      <c r="AI75" s="316">
        <f t="shared" si="243"/>
        <v>0</v>
      </c>
      <c r="AJ75" s="316">
        <f t="shared" si="243"/>
        <v>0</v>
      </c>
      <c r="AK75" s="316">
        <f t="shared" si="243"/>
        <v>0</v>
      </c>
      <c r="AL75" s="316">
        <f t="shared" si="243"/>
        <v>0</v>
      </c>
      <c r="AM75" s="316">
        <f t="shared" si="243"/>
        <v>0</v>
      </c>
      <c r="AN75" s="316">
        <f t="shared" si="243"/>
        <v>0</v>
      </c>
      <c r="AO75" s="316">
        <f t="shared" si="243"/>
        <v>48735.725066622501</v>
      </c>
      <c r="AP75" s="316">
        <f t="shared" si="243"/>
        <v>34243.709999999977</v>
      </c>
      <c r="AQ75" s="36">
        <v>0</v>
      </c>
      <c r="AR75" s="316">
        <f t="shared" ref="AR75:BC75" si="244">AR$83*AR123</f>
        <v>23124.06624064736</v>
      </c>
      <c r="AS75" s="316">
        <f t="shared" si="244"/>
        <v>0</v>
      </c>
      <c r="AT75" s="316">
        <f t="shared" si="244"/>
        <v>10562.076916604863</v>
      </c>
      <c r="AU75" s="316">
        <f t="shared" si="244"/>
        <v>0</v>
      </c>
      <c r="AV75" s="316">
        <f t="shared" si="244"/>
        <v>3145.5249356123277</v>
      </c>
      <c r="AW75" s="316">
        <f t="shared" si="244"/>
        <v>0</v>
      </c>
      <c r="AX75" s="316">
        <f t="shared" si="244"/>
        <v>31094.596103997093</v>
      </c>
      <c r="AY75" s="316">
        <f t="shared" si="244"/>
        <v>0</v>
      </c>
      <c r="AZ75" s="316">
        <f t="shared" si="244"/>
        <v>169521.20618478351</v>
      </c>
      <c r="BA75" s="316">
        <f t="shared" si="244"/>
        <v>0</v>
      </c>
      <c r="BB75" s="316">
        <f t="shared" si="244"/>
        <v>0</v>
      </c>
      <c r="BC75" s="316">
        <f t="shared" si="244"/>
        <v>34243.709999999977</v>
      </c>
      <c r="BD75" s="316">
        <f t="shared" si="80"/>
        <v>169521.20618478351</v>
      </c>
      <c r="BE75" s="36"/>
      <c r="BF75" s="316">
        <f t="shared" ref="BF75:BQ75" si="245">BF$83*BF123</f>
        <v>7373.7180202547261</v>
      </c>
      <c r="BG75" s="316">
        <f t="shared" si="245"/>
        <v>34149.30714233272</v>
      </c>
      <c r="BH75" s="316">
        <f t="shared" si="245"/>
        <v>3855.881411723647</v>
      </c>
      <c r="BI75" s="316">
        <f t="shared" si="245"/>
        <v>0</v>
      </c>
      <c r="BJ75" s="316">
        <f t="shared" si="245"/>
        <v>0</v>
      </c>
      <c r="BK75" s="316">
        <f t="shared" si="245"/>
        <v>0</v>
      </c>
      <c r="BL75" s="316">
        <f t="shared" si="245"/>
        <v>0</v>
      </c>
      <c r="BM75" s="316">
        <f t="shared" si="245"/>
        <v>0</v>
      </c>
      <c r="BN75" s="316">
        <f t="shared" si="245"/>
        <v>0</v>
      </c>
      <c r="BO75" s="316">
        <f t="shared" si="245"/>
        <v>0</v>
      </c>
      <c r="BP75" s="316">
        <f t="shared" si="245"/>
        <v>53054.084195071358</v>
      </c>
      <c r="BQ75" s="316">
        <f t="shared" si="245"/>
        <v>34243.709999999977</v>
      </c>
      <c r="BR75" s="36">
        <v>0</v>
      </c>
      <c r="BS75" s="316">
        <f t="shared" ref="BS75:CD75" si="246">BS$83*BS123</f>
        <v>27074.816332620889</v>
      </c>
      <c r="BT75" s="316">
        <f t="shared" si="246"/>
        <v>0</v>
      </c>
      <c r="BU75" s="316">
        <f t="shared" si="246"/>
        <v>8584.8198509375889</v>
      </c>
      <c r="BV75" s="316">
        <f t="shared" si="246"/>
        <v>0</v>
      </c>
      <c r="BW75" s="316">
        <f t="shared" si="246"/>
        <v>4243.9305689671937</v>
      </c>
      <c r="BX75" s="316">
        <f t="shared" si="246"/>
        <v>75247.875557629566</v>
      </c>
      <c r="BY75" s="316">
        <f t="shared" si="246"/>
        <v>28700.618429029095</v>
      </c>
      <c r="BZ75" s="316">
        <f t="shared" si="246"/>
        <v>98850.150419908037</v>
      </c>
      <c r="CA75" s="316">
        <f t="shared" si="246"/>
        <v>249914.78261704472</v>
      </c>
      <c r="CB75" s="316">
        <f t="shared" si="246"/>
        <v>241276.56269143673</v>
      </c>
      <c r="CC75" s="316">
        <f t="shared" si="246"/>
        <v>0</v>
      </c>
      <c r="CD75" s="316">
        <f t="shared" si="246"/>
        <v>34243.709999999977</v>
      </c>
      <c r="CE75" s="316">
        <f t="shared" si="83"/>
        <v>249914.78261704472</v>
      </c>
      <c r="CF75" s="36">
        <v>0</v>
      </c>
      <c r="CG75" s="36">
        <v>0</v>
      </c>
    </row>
    <row r="76" spans="1:85">
      <c r="A76" s="143" t="s">
        <v>656</v>
      </c>
      <c r="B76" s="316">
        <v>5017.415</v>
      </c>
      <c r="C76" s="316"/>
      <c r="D76" s="316">
        <f t="shared" ref="D76:O76" si="247">D$83*D124</f>
        <v>0</v>
      </c>
      <c r="E76" s="316">
        <f t="shared" si="247"/>
        <v>0</v>
      </c>
      <c r="F76" s="316">
        <f t="shared" si="247"/>
        <v>0</v>
      </c>
      <c r="G76" s="316">
        <f t="shared" si="247"/>
        <v>0</v>
      </c>
      <c r="H76" s="316">
        <f t="shared" si="247"/>
        <v>0</v>
      </c>
      <c r="I76" s="316">
        <f t="shared" si="247"/>
        <v>0</v>
      </c>
      <c r="J76" s="316">
        <f t="shared" si="247"/>
        <v>0</v>
      </c>
      <c r="K76" s="316">
        <f t="shared" si="247"/>
        <v>0</v>
      </c>
      <c r="L76" s="316">
        <f t="shared" si="247"/>
        <v>0</v>
      </c>
      <c r="M76" s="316">
        <f t="shared" si="247"/>
        <v>0</v>
      </c>
      <c r="N76" s="316">
        <f t="shared" si="247"/>
        <v>0</v>
      </c>
      <c r="O76" s="316">
        <f t="shared" si="247"/>
        <v>5017.4149999999972</v>
      </c>
      <c r="P76" s="36">
        <v>0</v>
      </c>
      <c r="Q76" s="316">
        <f t="shared" ref="Q76:AB76" si="248">Q$83*Q124</f>
        <v>5236.9228733274967</v>
      </c>
      <c r="R76" s="316">
        <f t="shared" si="248"/>
        <v>0</v>
      </c>
      <c r="S76" s="316">
        <f t="shared" si="248"/>
        <v>0</v>
      </c>
      <c r="T76" s="316">
        <f t="shared" si="248"/>
        <v>0</v>
      </c>
      <c r="U76" s="316">
        <f t="shared" si="248"/>
        <v>0</v>
      </c>
      <c r="V76" s="316">
        <f t="shared" si="248"/>
        <v>0</v>
      </c>
      <c r="W76" s="316">
        <f t="shared" si="248"/>
        <v>0</v>
      </c>
      <c r="X76" s="316">
        <f t="shared" si="248"/>
        <v>0</v>
      </c>
      <c r="Y76" s="316">
        <f t="shared" si="248"/>
        <v>0</v>
      </c>
      <c r="Z76" s="316">
        <f t="shared" si="248"/>
        <v>0</v>
      </c>
      <c r="AA76" s="316">
        <f t="shared" si="248"/>
        <v>0</v>
      </c>
      <c r="AB76" s="316">
        <f t="shared" si="248"/>
        <v>5017.4149999999972</v>
      </c>
      <c r="AC76" s="316">
        <f t="shared" si="86"/>
        <v>0</v>
      </c>
      <c r="AD76" s="36">
        <v>0</v>
      </c>
      <c r="AE76" s="316">
        <f t="shared" ref="AE76:AP76" si="249">AE$83*AE124</f>
        <v>2925.4034306200656</v>
      </c>
      <c r="AF76" s="316">
        <f t="shared" si="249"/>
        <v>0</v>
      </c>
      <c r="AG76" s="316">
        <f t="shared" si="249"/>
        <v>0</v>
      </c>
      <c r="AH76" s="316">
        <f t="shared" si="249"/>
        <v>0</v>
      </c>
      <c r="AI76" s="316">
        <f t="shared" si="249"/>
        <v>0</v>
      </c>
      <c r="AJ76" s="316">
        <f t="shared" si="249"/>
        <v>0</v>
      </c>
      <c r="AK76" s="316">
        <f t="shared" si="249"/>
        <v>0</v>
      </c>
      <c r="AL76" s="316">
        <f t="shared" si="249"/>
        <v>0</v>
      </c>
      <c r="AM76" s="316">
        <f t="shared" si="249"/>
        <v>0</v>
      </c>
      <c r="AN76" s="316">
        <f t="shared" si="249"/>
        <v>0</v>
      </c>
      <c r="AO76" s="316">
        <f t="shared" si="249"/>
        <v>0</v>
      </c>
      <c r="AP76" s="316">
        <f t="shared" si="249"/>
        <v>5017.4149999999972</v>
      </c>
      <c r="AQ76" s="36">
        <v>0</v>
      </c>
      <c r="AR76" s="316">
        <f t="shared" ref="AR76:BC76" si="250">AR$83*AR124</f>
        <v>9246.5177425555321</v>
      </c>
      <c r="AS76" s="316">
        <f t="shared" si="250"/>
        <v>0</v>
      </c>
      <c r="AT76" s="316">
        <f t="shared" si="250"/>
        <v>0</v>
      </c>
      <c r="AU76" s="316">
        <f t="shared" si="250"/>
        <v>0</v>
      </c>
      <c r="AV76" s="316">
        <f t="shared" si="250"/>
        <v>0</v>
      </c>
      <c r="AW76" s="316">
        <f t="shared" si="250"/>
        <v>0</v>
      </c>
      <c r="AX76" s="316">
        <f t="shared" si="250"/>
        <v>0</v>
      </c>
      <c r="AY76" s="316">
        <f t="shared" si="250"/>
        <v>0</v>
      </c>
      <c r="AZ76" s="316">
        <f t="shared" si="250"/>
        <v>0</v>
      </c>
      <c r="BA76" s="316">
        <f t="shared" si="250"/>
        <v>0</v>
      </c>
      <c r="BB76" s="316">
        <f t="shared" si="250"/>
        <v>0</v>
      </c>
      <c r="BC76" s="316">
        <f t="shared" si="250"/>
        <v>5017.4149999999972</v>
      </c>
      <c r="BD76" s="316">
        <f t="shared" si="80"/>
        <v>0</v>
      </c>
      <c r="BE76" s="36"/>
      <c r="BF76" s="316">
        <f t="shared" ref="BF76:BQ76" si="251">BF$83*BF124</f>
        <v>928.88537889988697</v>
      </c>
      <c r="BG76" s="316">
        <f t="shared" si="251"/>
        <v>9369.6999497279558</v>
      </c>
      <c r="BH76" s="316">
        <f t="shared" si="251"/>
        <v>0</v>
      </c>
      <c r="BI76" s="316">
        <f t="shared" si="251"/>
        <v>0</v>
      </c>
      <c r="BJ76" s="316">
        <f t="shared" si="251"/>
        <v>0</v>
      </c>
      <c r="BK76" s="316">
        <f t="shared" si="251"/>
        <v>0</v>
      </c>
      <c r="BL76" s="316">
        <f t="shared" si="251"/>
        <v>0</v>
      </c>
      <c r="BM76" s="316">
        <f t="shared" si="251"/>
        <v>0</v>
      </c>
      <c r="BN76" s="316">
        <f t="shared" si="251"/>
        <v>0</v>
      </c>
      <c r="BO76" s="316">
        <f t="shared" si="251"/>
        <v>0</v>
      </c>
      <c r="BP76" s="316">
        <f t="shared" si="251"/>
        <v>0</v>
      </c>
      <c r="BQ76" s="316">
        <f t="shared" si="251"/>
        <v>5017.4149999999972</v>
      </c>
      <c r="BR76" s="36">
        <v>0</v>
      </c>
      <c r="BS76" s="316">
        <f t="shared" ref="BS76:CD76" si="252">BS$83*BS124</f>
        <v>7690.1607023251254</v>
      </c>
      <c r="BT76" s="316">
        <f t="shared" si="252"/>
        <v>0</v>
      </c>
      <c r="BU76" s="316">
        <f t="shared" si="252"/>
        <v>0</v>
      </c>
      <c r="BV76" s="316">
        <f t="shared" si="252"/>
        <v>0</v>
      </c>
      <c r="BW76" s="316">
        <f t="shared" si="252"/>
        <v>1674.5164636850898</v>
      </c>
      <c r="BX76" s="316">
        <f t="shared" si="252"/>
        <v>966.18328796684489</v>
      </c>
      <c r="BY76" s="316">
        <f t="shared" si="252"/>
        <v>0</v>
      </c>
      <c r="BZ76" s="316">
        <f t="shared" si="252"/>
        <v>582.2169288940936</v>
      </c>
      <c r="CA76" s="316">
        <f t="shared" si="252"/>
        <v>14787.36730618356</v>
      </c>
      <c r="CB76" s="316">
        <f t="shared" si="252"/>
        <v>0</v>
      </c>
      <c r="CC76" s="316">
        <f t="shared" si="252"/>
        <v>0</v>
      </c>
      <c r="CD76" s="316">
        <f t="shared" si="252"/>
        <v>5017.4149999999972</v>
      </c>
      <c r="CE76" s="316">
        <f t="shared" si="83"/>
        <v>14787.36730618356</v>
      </c>
      <c r="CF76" s="36">
        <v>0</v>
      </c>
      <c r="CG76" s="36">
        <v>0</v>
      </c>
    </row>
    <row r="77" spans="1:85">
      <c r="A77" s="143" t="s">
        <v>657</v>
      </c>
      <c r="B77" s="316">
        <v>80434.73</v>
      </c>
      <c r="C77" s="316"/>
      <c r="D77" s="316">
        <f t="shared" ref="D77:O77" si="253">D$83*D125</f>
        <v>67178.841133887792</v>
      </c>
      <c r="E77" s="316">
        <f t="shared" si="253"/>
        <v>0</v>
      </c>
      <c r="F77" s="316">
        <f t="shared" si="253"/>
        <v>0</v>
      </c>
      <c r="G77" s="316">
        <f t="shared" si="253"/>
        <v>0</v>
      </c>
      <c r="H77" s="316">
        <f t="shared" si="253"/>
        <v>0</v>
      </c>
      <c r="I77" s="316">
        <f t="shared" si="253"/>
        <v>0</v>
      </c>
      <c r="J77" s="316">
        <f t="shared" si="253"/>
        <v>0</v>
      </c>
      <c r="K77" s="316">
        <f t="shared" si="253"/>
        <v>0</v>
      </c>
      <c r="L77" s="316">
        <f t="shared" si="253"/>
        <v>0</v>
      </c>
      <c r="M77" s="316">
        <f t="shared" si="253"/>
        <v>0</v>
      </c>
      <c r="N77" s="316">
        <f t="shared" si="253"/>
        <v>37352.15973768205</v>
      </c>
      <c r="O77" s="316">
        <f t="shared" si="253"/>
        <v>80434.729999999967</v>
      </c>
      <c r="P77" s="36">
        <v>0</v>
      </c>
      <c r="Q77" s="316">
        <f t="shared" ref="Q77:AB77" si="254">Q$83*Q125</f>
        <v>45333.266264409547</v>
      </c>
      <c r="R77" s="316">
        <f t="shared" si="254"/>
        <v>0</v>
      </c>
      <c r="S77" s="316">
        <f t="shared" si="254"/>
        <v>0</v>
      </c>
      <c r="T77" s="316">
        <f t="shared" si="254"/>
        <v>0</v>
      </c>
      <c r="U77" s="316">
        <f t="shared" si="254"/>
        <v>6489.5873254088292</v>
      </c>
      <c r="V77" s="316">
        <f t="shared" si="254"/>
        <v>0</v>
      </c>
      <c r="W77" s="316">
        <f t="shared" si="254"/>
        <v>0</v>
      </c>
      <c r="X77" s="316">
        <f t="shared" si="254"/>
        <v>0</v>
      </c>
      <c r="Y77" s="316">
        <f t="shared" si="254"/>
        <v>181687.45803255547</v>
      </c>
      <c r="Z77" s="316">
        <f t="shared" si="254"/>
        <v>0</v>
      </c>
      <c r="AA77" s="316">
        <f t="shared" si="254"/>
        <v>0</v>
      </c>
      <c r="AB77" s="316">
        <f t="shared" si="254"/>
        <v>80434.729999999967</v>
      </c>
      <c r="AC77" s="316">
        <f t="shared" si="86"/>
        <v>181687.45803255547</v>
      </c>
      <c r="AD77" s="36">
        <v>0</v>
      </c>
      <c r="AE77" s="316">
        <f t="shared" ref="AE77:AP77" si="255">AE$83*AE125</f>
        <v>36371.612887790725</v>
      </c>
      <c r="AF77" s="316">
        <f t="shared" si="255"/>
        <v>186806.21407423553</v>
      </c>
      <c r="AG77" s="316">
        <f t="shared" si="255"/>
        <v>0</v>
      </c>
      <c r="AH77" s="316">
        <f t="shared" si="255"/>
        <v>0</v>
      </c>
      <c r="AI77" s="316">
        <f t="shared" si="255"/>
        <v>0</v>
      </c>
      <c r="AJ77" s="316">
        <f t="shared" si="255"/>
        <v>0</v>
      </c>
      <c r="AK77" s="316">
        <f t="shared" si="255"/>
        <v>0</v>
      </c>
      <c r="AL77" s="316">
        <f t="shared" si="255"/>
        <v>0</v>
      </c>
      <c r="AM77" s="316">
        <f t="shared" si="255"/>
        <v>0</v>
      </c>
      <c r="AN77" s="316">
        <f t="shared" si="255"/>
        <v>0</v>
      </c>
      <c r="AO77" s="316">
        <f t="shared" si="255"/>
        <v>41686.503294273949</v>
      </c>
      <c r="AP77" s="316">
        <f t="shared" si="255"/>
        <v>80434.729999999967</v>
      </c>
      <c r="AQ77" s="36">
        <v>0</v>
      </c>
      <c r="AR77" s="316">
        <f t="shared" ref="AR77:BC77" si="256">AR$83*AR125</f>
        <v>79828.50341087165</v>
      </c>
      <c r="AS77" s="316">
        <f t="shared" si="256"/>
        <v>0</v>
      </c>
      <c r="AT77" s="316">
        <f t="shared" si="256"/>
        <v>2362.0027849974149</v>
      </c>
      <c r="AU77" s="316">
        <f t="shared" si="256"/>
        <v>0</v>
      </c>
      <c r="AV77" s="316">
        <f t="shared" si="256"/>
        <v>13646.88774795091</v>
      </c>
      <c r="AW77" s="316">
        <f t="shared" si="256"/>
        <v>0</v>
      </c>
      <c r="AX77" s="316">
        <f t="shared" si="256"/>
        <v>0</v>
      </c>
      <c r="AY77" s="316">
        <f t="shared" si="256"/>
        <v>0</v>
      </c>
      <c r="AZ77" s="316">
        <f t="shared" si="256"/>
        <v>292062.35502394917</v>
      </c>
      <c r="BA77" s="316">
        <f t="shared" si="256"/>
        <v>0</v>
      </c>
      <c r="BB77" s="316">
        <f t="shared" si="256"/>
        <v>0</v>
      </c>
      <c r="BC77" s="316">
        <f t="shared" si="256"/>
        <v>80434.729999999967</v>
      </c>
      <c r="BD77" s="316">
        <f t="shared" si="80"/>
        <v>292062.35502394917</v>
      </c>
      <c r="BE77" s="36"/>
      <c r="BF77" s="316">
        <f t="shared" ref="BF77:BQ77" si="257">BF$83*BF125</f>
        <v>39087.550735288103</v>
      </c>
      <c r="BG77" s="316">
        <f t="shared" si="257"/>
        <v>107165.70374407452</v>
      </c>
      <c r="BH77" s="316">
        <f t="shared" si="257"/>
        <v>11884.349928290851</v>
      </c>
      <c r="BI77" s="316">
        <f t="shared" si="257"/>
        <v>0</v>
      </c>
      <c r="BJ77" s="316">
        <f t="shared" si="257"/>
        <v>0</v>
      </c>
      <c r="BK77" s="316">
        <f t="shared" si="257"/>
        <v>0</v>
      </c>
      <c r="BL77" s="316">
        <f t="shared" si="257"/>
        <v>0</v>
      </c>
      <c r="BM77" s="316">
        <f t="shared" si="257"/>
        <v>0</v>
      </c>
      <c r="BN77" s="316">
        <f t="shared" si="257"/>
        <v>0</v>
      </c>
      <c r="BO77" s="316">
        <f t="shared" si="257"/>
        <v>0</v>
      </c>
      <c r="BP77" s="316">
        <f t="shared" si="257"/>
        <v>50551.378132553131</v>
      </c>
      <c r="BQ77" s="316">
        <f t="shared" si="257"/>
        <v>80434.729999999967</v>
      </c>
      <c r="BR77" s="36">
        <v>0</v>
      </c>
      <c r="BS77" s="316">
        <f t="shared" ref="BS77:CD77" si="258">BS$83*BS125</f>
        <v>118227.0986478011</v>
      </c>
      <c r="BT77" s="316">
        <f t="shared" si="258"/>
        <v>0</v>
      </c>
      <c r="BU77" s="316">
        <f t="shared" si="258"/>
        <v>16569.880694015334</v>
      </c>
      <c r="BV77" s="316">
        <f t="shared" si="258"/>
        <v>0</v>
      </c>
      <c r="BW77" s="316">
        <f t="shared" si="258"/>
        <v>31760.046780028024</v>
      </c>
      <c r="BX77" s="316">
        <f t="shared" si="258"/>
        <v>59595.234728358293</v>
      </c>
      <c r="BY77" s="316">
        <f t="shared" si="258"/>
        <v>12322.959361797672</v>
      </c>
      <c r="BZ77" s="316">
        <f t="shared" si="258"/>
        <v>88519.919554200125</v>
      </c>
      <c r="CA77" s="316">
        <f t="shared" si="258"/>
        <v>598450.32678525243</v>
      </c>
      <c r="CB77" s="316">
        <f t="shared" si="258"/>
        <v>112412.65231151975</v>
      </c>
      <c r="CC77" s="316">
        <f t="shared" si="258"/>
        <v>0</v>
      </c>
      <c r="CD77" s="316">
        <f t="shared" si="258"/>
        <v>80434.729999999967</v>
      </c>
      <c r="CE77" s="316">
        <f t="shared" si="83"/>
        <v>598450.32678525243</v>
      </c>
      <c r="CF77" s="36">
        <v>0</v>
      </c>
      <c r="CG77" s="36">
        <v>0</v>
      </c>
    </row>
    <row r="78" spans="1:85">
      <c r="A78" s="143" t="s">
        <v>658</v>
      </c>
      <c r="B78" s="316">
        <v>6993.87</v>
      </c>
      <c r="C78" s="316"/>
      <c r="D78" s="316">
        <f t="shared" ref="D78:O78" si="259">D$83*D126</f>
        <v>0</v>
      </c>
      <c r="E78" s="316">
        <f t="shared" si="259"/>
        <v>0</v>
      </c>
      <c r="F78" s="316">
        <f t="shared" si="259"/>
        <v>0</v>
      </c>
      <c r="G78" s="316">
        <f t="shared" si="259"/>
        <v>0</v>
      </c>
      <c r="H78" s="316">
        <f t="shared" si="259"/>
        <v>0</v>
      </c>
      <c r="I78" s="316">
        <f t="shared" si="259"/>
        <v>0</v>
      </c>
      <c r="J78" s="316">
        <f t="shared" si="259"/>
        <v>0</v>
      </c>
      <c r="K78" s="316">
        <f t="shared" si="259"/>
        <v>0</v>
      </c>
      <c r="L78" s="316">
        <f t="shared" si="259"/>
        <v>0</v>
      </c>
      <c r="M78" s="316">
        <f t="shared" si="259"/>
        <v>0</v>
      </c>
      <c r="N78" s="316">
        <f t="shared" si="259"/>
        <v>0</v>
      </c>
      <c r="O78" s="316">
        <f t="shared" si="259"/>
        <v>6993.8699999999972</v>
      </c>
      <c r="P78" s="36">
        <v>0</v>
      </c>
      <c r="Q78" s="316">
        <f t="shared" ref="Q78:AB78" si="260">Q$83*Q126</f>
        <v>9425.0205658720752</v>
      </c>
      <c r="R78" s="316">
        <f t="shared" si="260"/>
        <v>0</v>
      </c>
      <c r="S78" s="316">
        <f t="shared" si="260"/>
        <v>0</v>
      </c>
      <c r="T78" s="316">
        <f t="shared" si="260"/>
        <v>0</v>
      </c>
      <c r="U78" s="316">
        <f t="shared" si="260"/>
        <v>0</v>
      </c>
      <c r="V78" s="316">
        <f t="shared" si="260"/>
        <v>0</v>
      </c>
      <c r="W78" s="316">
        <f t="shared" si="260"/>
        <v>0</v>
      </c>
      <c r="X78" s="316">
        <f t="shared" si="260"/>
        <v>0</v>
      </c>
      <c r="Y78" s="316">
        <f t="shared" si="260"/>
        <v>0</v>
      </c>
      <c r="Z78" s="316">
        <f t="shared" si="260"/>
        <v>0</v>
      </c>
      <c r="AA78" s="316">
        <f t="shared" si="260"/>
        <v>0</v>
      </c>
      <c r="AB78" s="316">
        <f t="shared" si="260"/>
        <v>6993.8699999999972</v>
      </c>
      <c r="AC78" s="316">
        <f t="shared" si="86"/>
        <v>0</v>
      </c>
      <c r="AD78" s="36">
        <v>0</v>
      </c>
      <c r="AE78" s="316">
        <f t="shared" ref="AE78:AP78" si="261">AE$83*AE126</f>
        <v>3197.7953776954591</v>
      </c>
      <c r="AF78" s="316">
        <f t="shared" si="261"/>
        <v>32506.785101188761</v>
      </c>
      <c r="AG78" s="316">
        <f t="shared" si="261"/>
        <v>2655.5299262706744</v>
      </c>
      <c r="AH78" s="316">
        <f t="shared" si="261"/>
        <v>0</v>
      </c>
      <c r="AI78" s="316">
        <f t="shared" si="261"/>
        <v>0</v>
      </c>
      <c r="AJ78" s="316">
        <f t="shared" si="261"/>
        <v>0</v>
      </c>
      <c r="AK78" s="316">
        <f t="shared" si="261"/>
        <v>0</v>
      </c>
      <c r="AL78" s="316">
        <f t="shared" si="261"/>
        <v>0</v>
      </c>
      <c r="AM78" s="316">
        <f t="shared" si="261"/>
        <v>0</v>
      </c>
      <c r="AN78" s="316">
        <f t="shared" si="261"/>
        <v>0</v>
      </c>
      <c r="AO78" s="316">
        <f t="shared" si="261"/>
        <v>0</v>
      </c>
      <c r="AP78" s="316">
        <f t="shared" si="261"/>
        <v>6993.8699999999972</v>
      </c>
      <c r="AQ78" s="36">
        <v>0</v>
      </c>
      <c r="AR78" s="316">
        <f t="shared" ref="AR78:BC78" si="262">AR$83*AR126</f>
        <v>17120.01566531678</v>
      </c>
      <c r="AS78" s="316">
        <f t="shared" si="262"/>
        <v>0</v>
      </c>
      <c r="AT78" s="316">
        <f t="shared" si="262"/>
        <v>0</v>
      </c>
      <c r="AU78" s="316">
        <f t="shared" si="262"/>
        <v>0</v>
      </c>
      <c r="AV78" s="316">
        <f t="shared" si="262"/>
        <v>0</v>
      </c>
      <c r="AW78" s="316">
        <f t="shared" si="262"/>
        <v>0</v>
      </c>
      <c r="AX78" s="316">
        <f t="shared" si="262"/>
        <v>0</v>
      </c>
      <c r="AY78" s="316">
        <f t="shared" si="262"/>
        <v>0</v>
      </c>
      <c r="AZ78" s="316">
        <f t="shared" si="262"/>
        <v>0</v>
      </c>
      <c r="BA78" s="316">
        <f t="shared" si="262"/>
        <v>0</v>
      </c>
      <c r="BB78" s="316">
        <f t="shared" si="262"/>
        <v>0</v>
      </c>
      <c r="BC78" s="316">
        <f t="shared" si="262"/>
        <v>6993.8699999999972</v>
      </c>
      <c r="BD78" s="316">
        <f t="shared" si="80"/>
        <v>0</v>
      </c>
      <c r="BE78" s="36"/>
      <c r="BF78" s="316">
        <f t="shared" ref="BF78:BQ78" si="263">BF$83*BF126</f>
        <v>4338.3480668888606</v>
      </c>
      <c r="BG78" s="316">
        <f t="shared" si="263"/>
        <v>17849.976827496448</v>
      </c>
      <c r="BH78" s="316">
        <f t="shared" si="263"/>
        <v>1421.4605278317711</v>
      </c>
      <c r="BI78" s="316">
        <f t="shared" si="263"/>
        <v>0</v>
      </c>
      <c r="BJ78" s="316">
        <f t="shared" si="263"/>
        <v>0</v>
      </c>
      <c r="BK78" s="316">
        <f t="shared" si="263"/>
        <v>0</v>
      </c>
      <c r="BL78" s="316">
        <f t="shared" si="263"/>
        <v>0</v>
      </c>
      <c r="BM78" s="316">
        <f t="shared" si="263"/>
        <v>0</v>
      </c>
      <c r="BN78" s="316">
        <f t="shared" si="263"/>
        <v>0</v>
      </c>
      <c r="BO78" s="316">
        <f t="shared" si="263"/>
        <v>0</v>
      </c>
      <c r="BP78" s="316">
        <f t="shared" si="263"/>
        <v>0</v>
      </c>
      <c r="BQ78" s="316">
        <f t="shared" si="263"/>
        <v>6993.8699999999972</v>
      </c>
      <c r="BR78" s="36">
        <v>0</v>
      </c>
      <c r="BS78" s="316">
        <f t="shared" ref="BS78:CD78" si="264">BS$83*BS126</f>
        <v>22461.531066236243</v>
      </c>
      <c r="BT78" s="316">
        <f t="shared" si="264"/>
        <v>0</v>
      </c>
      <c r="BU78" s="316">
        <f t="shared" si="264"/>
        <v>3164.7712296212617</v>
      </c>
      <c r="BV78" s="316">
        <f t="shared" si="264"/>
        <v>0</v>
      </c>
      <c r="BW78" s="316">
        <f t="shared" si="264"/>
        <v>1597.6364768491328</v>
      </c>
      <c r="BX78" s="316">
        <f t="shared" si="264"/>
        <v>0</v>
      </c>
      <c r="BY78" s="316">
        <f t="shared" si="264"/>
        <v>4498.3210319389918</v>
      </c>
      <c r="BZ78" s="316">
        <f t="shared" si="264"/>
        <v>0</v>
      </c>
      <c r="CA78" s="316">
        <f t="shared" si="264"/>
        <v>0</v>
      </c>
      <c r="CB78" s="316">
        <f t="shared" si="264"/>
        <v>0</v>
      </c>
      <c r="CC78" s="316">
        <f t="shared" si="264"/>
        <v>0</v>
      </c>
      <c r="CD78" s="316">
        <f t="shared" si="264"/>
        <v>6993.8699999999972</v>
      </c>
      <c r="CE78" s="316">
        <f t="shared" si="83"/>
        <v>0</v>
      </c>
      <c r="CF78" s="36">
        <v>0</v>
      </c>
      <c r="CG78" s="36">
        <v>0</v>
      </c>
    </row>
    <row r="79" spans="1:85">
      <c r="A79" s="143" t="s">
        <v>659</v>
      </c>
      <c r="B79" s="316">
        <v>85880.33</v>
      </c>
      <c r="C79" s="316"/>
      <c r="D79" s="316">
        <f t="shared" ref="D79:O79" si="265">D$83*D127</f>
        <v>0</v>
      </c>
      <c r="E79" s="316">
        <f t="shared" si="265"/>
        <v>0</v>
      </c>
      <c r="F79" s="316">
        <f t="shared" si="265"/>
        <v>0</v>
      </c>
      <c r="G79" s="316">
        <f t="shared" si="265"/>
        <v>0</v>
      </c>
      <c r="H79" s="316">
        <f t="shared" si="265"/>
        <v>0</v>
      </c>
      <c r="I79" s="316">
        <f t="shared" si="265"/>
        <v>0</v>
      </c>
      <c r="J79" s="316">
        <f t="shared" si="265"/>
        <v>0</v>
      </c>
      <c r="K79" s="316">
        <f t="shared" si="265"/>
        <v>0</v>
      </c>
      <c r="L79" s="316">
        <f t="shared" si="265"/>
        <v>0</v>
      </c>
      <c r="M79" s="316">
        <f t="shared" si="265"/>
        <v>0</v>
      </c>
      <c r="N79" s="316">
        <f t="shared" si="265"/>
        <v>0</v>
      </c>
      <c r="O79" s="316">
        <f t="shared" si="265"/>
        <v>85880.329999999973</v>
      </c>
      <c r="P79" s="36">
        <v>0</v>
      </c>
      <c r="Q79" s="316">
        <f t="shared" ref="Q79:AB79" si="266">Q$83*Q127</f>
        <v>0</v>
      </c>
      <c r="R79" s="316">
        <f t="shared" si="266"/>
        <v>0</v>
      </c>
      <c r="S79" s="316">
        <f t="shared" si="266"/>
        <v>847.12889186408347</v>
      </c>
      <c r="T79" s="316">
        <f t="shared" si="266"/>
        <v>0</v>
      </c>
      <c r="U79" s="316">
        <f t="shared" si="266"/>
        <v>4121.9044899591136</v>
      </c>
      <c r="V79" s="316">
        <f t="shared" si="266"/>
        <v>0</v>
      </c>
      <c r="W79" s="316">
        <f t="shared" si="266"/>
        <v>0</v>
      </c>
      <c r="X79" s="316">
        <f t="shared" si="266"/>
        <v>0</v>
      </c>
      <c r="Y79" s="316">
        <f t="shared" si="266"/>
        <v>39216.354440714545</v>
      </c>
      <c r="Z79" s="316">
        <f t="shared" si="266"/>
        <v>0</v>
      </c>
      <c r="AA79" s="316">
        <f t="shared" si="266"/>
        <v>0</v>
      </c>
      <c r="AB79" s="316">
        <f t="shared" si="266"/>
        <v>85880.329999999973</v>
      </c>
      <c r="AC79" s="316">
        <f t="shared" si="86"/>
        <v>39216.354440714545</v>
      </c>
      <c r="AD79" s="36">
        <v>0</v>
      </c>
      <c r="AE79" s="316">
        <f t="shared" ref="AE79:AP79" si="267">AE$83*AE127</f>
        <v>0</v>
      </c>
      <c r="AF79" s="316">
        <f t="shared" si="267"/>
        <v>93754.933913423054</v>
      </c>
      <c r="AG79" s="316">
        <f t="shared" si="267"/>
        <v>0</v>
      </c>
      <c r="AH79" s="316">
        <f t="shared" si="267"/>
        <v>0</v>
      </c>
      <c r="AI79" s="316">
        <f t="shared" si="267"/>
        <v>0</v>
      </c>
      <c r="AJ79" s="316">
        <f t="shared" si="267"/>
        <v>0</v>
      </c>
      <c r="AK79" s="316">
        <f t="shared" si="267"/>
        <v>0</v>
      </c>
      <c r="AL79" s="316">
        <f t="shared" si="267"/>
        <v>0</v>
      </c>
      <c r="AM79" s="316">
        <f t="shared" si="267"/>
        <v>0</v>
      </c>
      <c r="AN79" s="316">
        <f t="shared" si="267"/>
        <v>0</v>
      </c>
      <c r="AO79" s="316">
        <f t="shared" si="267"/>
        <v>14992.917383763623</v>
      </c>
      <c r="AP79" s="316">
        <f t="shared" si="267"/>
        <v>85880.329999999973</v>
      </c>
      <c r="AQ79" s="36">
        <v>0</v>
      </c>
      <c r="AR79" s="316">
        <f t="shared" ref="AR79:BC79" si="268">AR$83*AR127</f>
        <v>667.2250092388183</v>
      </c>
      <c r="AS79" s="316">
        <f t="shared" si="268"/>
        <v>0</v>
      </c>
      <c r="AT79" s="316">
        <f t="shared" si="268"/>
        <v>1641.0580475864981</v>
      </c>
      <c r="AU79" s="316">
        <f t="shared" si="268"/>
        <v>0</v>
      </c>
      <c r="AV79" s="316">
        <f t="shared" si="268"/>
        <v>6569.0201091195186</v>
      </c>
      <c r="AW79" s="316">
        <f t="shared" si="268"/>
        <v>0</v>
      </c>
      <c r="AX79" s="316">
        <f t="shared" si="268"/>
        <v>33092.077510955838</v>
      </c>
      <c r="AY79" s="316">
        <f t="shared" si="268"/>
        <v>0</v>
      </c>
      <c r="AZ79" s="316">
        <f t="shared" si="268"/>
        <v>62183.975369434949</v>
      </c>
      <c r="BA79" s="316">
        <f t="shared" si="268"/>
        <v>0</v>
      </c>
      <c r="BB79" s="316">
        <f t="shared" si="268"/>
        <v>0</v>
      </c>
      <c r="BC79" s="316">
        <f t="shared" si="268"/>
        <v>85880.329999999973</v>
      </c>
      <c r="BD79" s="316">
        <f t="shared" si="80"/>
        <v>62183.975369434949</v>
      </c>
      <c r="BE79" s="36"/>
      <c r="BF79" s="316">
        <f t="shared" ref="BF79:BQ79" si="269">BF$83*BF127</f>
        <v>0</v>
      </c>
      <c r="BG79" s="316">
        <f t="shared" si="269"/>
        <v>83311.076914424775</v>
      </c>
      <c r="BH79" s="316">
        <f t="shared" si="269"/>
        <v>0</v>
      </c>
      <c r="BI79" s="316">
        <f t="shared" si="269"/>
        <v>0</v>
      </c>
      <c r="BJ79" s="316">
        <f t="shared" si="269"/>
        <v>0</v>
      </c>
      <c r="BK79" s="316">
        <f t="shared" si="269"/>
        <v>0</v>
      </c>
      <c r="BL79" s="316">
        <f t="shared" si="269"/>
        <v>0</v>
      </c>
      <c r="BM79" s="316">
        <f t="shared" si="269"/>
        <v>0</v>
      </c>
      <c r="BN79" s="316">
        <f t="shared" si="269"/>
        <v>0</v>
      </c>
      <c r="BO79" s="316">
        <f t="shared" si="269"/>
        <v>0</v>
      </c>
      <c r="BP79" s="316">
        <f t="shared" si="269"/>
        <v>34332.850117097703</v>
      </c>
      <c r="BQ79" s="316">
        <f t="shared" si="269"/>
        <v>85880.329999999973</v>
      </c>
      <c r="BR79" s="36">
        <v>0</v>
      </c>
      <c r="BS79" s="316">
        <f t="shared" ref="BS79:CD79" si="270">BS$83*BS127</f>
        <v>0</v>
      </c>
      <c r="BT79" s="316">
        <f t="shared" si="270"/>
        <v>0</v>
      </c>
      <c r="BU79" s="316">
        <f t="shared" si="270"/>
        <v>2005.9953909632034</v>
      </c>
      <c r="BV79" s="316">
        <f t="shared" si="270"/>
        <v>0</v>
      </c>
      <c r="BW79" s="316">
        <f t="shared" si="270"/>
        <v>15473.597567870882</v>
      </c>
      <c r="BX79" s="316">
        <f t="shared" si="270"/>
        <v>39996.391009037456</v>
      </c>
      <c r="BY79" s="316">
        <f t="shared" si="270"/>
        <v>105447.57619353881</v>
      </c>
      <c r="BZ79" s="316">
        <f t="shared" si="270"/>
        <v>63520.239249285805</v>
      </c>
      <c r="CA79" s="316">
        <f t="shared" si="270"/>
        <v>209891.86909439691</v>
      </c>
      <c r="CB79" s="316">
        <f t="shared" si="270"/>
        <v>0</v>
      </c>
      <c r="CC79" s="316">
        <f t="shared" si="270"/>
        <v>0</v>
      </c>
      <c r="CD79" s="316">
        <f t="shared" si="270"/>
        <v>85880.329999999973</v>
      </c>
      <c r="CE79" s="316">
        <f t="shared" si="83"/>
        <v>209891.86909439691</v>
      </c>
      <c r="CF79" s="36">
        <v>0</v>
      </c>
      <c r="CG79" s="36">
        <v>0</v>
      </c>
    </row>
    <row r="80" spans="1:85">
      <c r="A80" s="143" t="s">
        <v>633</v>
      </c>
      <c r="B80" s="316">
        <v>63610.025000000001</v>
      </c>
      <c r="C80" s="316"/>
      <c r="D80" s="316">
        <f t="shared" ref="D80:O80" si="271">D$83*D128</f>
        <v>0</v>
      </c>
      <c r="E80" s="316">
        <f t="shared" si="271"/>
        <v>0</v>
      </c>
      <c r="F80" s="316">
        <f t="shared" si="271"/>
        <v>0</v>
      </c>
      <c r="G80" s="316">
        <f t="shared" si="271"/>
        <v>0</v>
      </c>
      <c r="H80" s="316">
        <f t="shared" si="271"/>
        <v>0</v>
      </c>
      <c r="I80" s="316">
        <f t="shared" si="271"/>
        <v>0</v>
      </c>
      <c r="J80" s="316">
        <f t="shared" si="271"/>
        <v>0</v>
      </c>
      <c r="K80" s="316">
        <f t="shared" si="271"/>
        <v>0</v>
      </c>
      <c r="L80" s="316">
        <f t="shared" si="271"/>
        <v>0</v>
      </c>
      <c r="M80" s="316">
        <f t="shared" si="271"/>
        <v>0</v>
      </c>
      <c r="N80" s="316">
        <f t="shared" si="271"/>
        <v>186495.30788989045</v>
      </c>
      <c r="O80" s="316">
        <f t="shared" si="271"/>
        <v>63610.024999999972</v>
      </c>
      <c r="P80" s="36">
        <v>0</v>
      </c>
      <c r="Q80" s="316">
        <f t="shared" ref="Q80:AB80" si="272">Q$83*Q128</f>
        <v>0</v>
      </c>
      <c r="R80" s="316">
        <f t="shared" si="272"/>
        <v>0</v>
      </c>
      <c r="S80" s="316">
        <f t="shared" si="272"/>
        <v>0</v>
      </c>
      <c r="T80" s="316">
        <f t="shared" si="272"/>
        <v>0</v>
      </c>
      <c r="U80" s="316">
        <f t="shared" si="272"/>
        <v>2300.4229322145034</v>
      </c>
      <c r="V80" s="316">
        <f t="shared" si="272"/>
        <v>12606.332644140946</v>
      </c>
      <c r="W80" s="316">
        <f t="shared" si="272"/>
        <v>0</v>
      </c>
      <c r="X80" s="316">
        <f t="shared" si="272"/>
        <v>0</v>
      </c>
      <c r="Y80" s="316">
        <f t="shared" si="272"/>
        <v>521982.0735650768</v>
      </c>
      <c r="Z80" s="316">
        <f t="shared" si="272"/>
        <v>519193.33436313301</v>
      </c>
      <c r="AA80" s="316">
        <f t="shared" si="272"/>
        <v>0</v>
      </c>
      <c r="AB80" s="316">
        <f t="shared" si="272"/>
        <v>63610.024999999972</v>
      </c>
      <c r="AC80" s="316">
        <f t="shared" si="86"/>
        <v>521982.0735650768</v>
      </c>
      <c r="AD80" s="36">
        <v>0</v>
      </c>
      <c r="AE80" s="316">
        <f t="shared" ref="AE80:AP80" si="273">AE$83*AE128</f>
        <v>0</v>
      </c>
      <c r="AF80" s="316">
        <f t="shared" si="273"/>
        <v>0</v>
      </c>
      <c r="AG80" s="316">
        <f t="shared" si="273"/>
        <v>0</v>
      </c>
      <c r="AH80" s="316">
        <f t="shared" si="273"/>
        <v>0</v>
      </c>
      <c r="AI80" s="316">
        <f t="shared" si="273"/>
        <v>0</v>
      </c>
      <c r="AJ80" s="316">
        <f t="shared" si="273"/>
        <v>0</v>
      </c>
      <c r="AK80" s="316">
        <f t="shared" si="273"/>
        <v>0</v>
      </c>
      <c r="AL80" s="316">
        <f t="shared" si="273"/>
        <v>0</v>
      </c>
      <c r="AM80" s="316">
        <f t="shared" si="273"/>
        <v>0</v>
      </c>
      <c r="AN80" s="316">
        <f t="shared" si="273"/>
        <v>0</v>
      </c>
      <c r="AO80" s="316">
        <f t="shared" si="273"/>
        <v>226888.47592815809</v>
      </c>
      <c r="AP80" s="316">
        <f t="shared" si="273"/>
        <v>63610.024999999972</v>
      </c>
      <c r="AQ80" s="36">
        <v>0</v>
      </c>
      <c r="AR80" s="316">
        <f t="shared" ref="AR80:BC80" si="274">AR$83*AR128</f>
        <v>0</v>
      </c>
      <c r="AS80" s="316">
        <f t="shared" si="274"/>
        <v>0</v>
      </c>
      <c r="AT80" s="316">
        <f t="shared" si="274"/>
        <v>4179.4616603268696</v>
      </c>
      <c r="AU80" s="316">
        <f t="shared" si="274"/>
        <v>0</v>
      </c>
      <c r="AV80" s="316">
        <f t="shared" si="274"/>
        <v>6337.7437340085635</v>
      </c>
      <c r="AW80" s="316">
        <f t="shared" si="274"/>
        <v>246811.77485311558</v>
      </c>
      <c r="AX80" s="316">
        <f t="shared" si="274"/>
        <v>62189.192207994187</v>
      </c>
      <c r="AY80" s="316">
        <f t="shared" si="274"/>
        <v>632463.08350154385</v>
      </c>
      <c r="AZ80" s="316">
        <f t="shared" si="274"/>
        <v>777140.47298093606</v>
      </c>
      <c r="BA80" s="316">
        <f t="shared" si="274"/>
        <v>900762.7553959795</v>
      </c>
      <c r="BB80" s="316">
        <f t="shared" si="274"/>
        <v>0</v>
      </c>
      <c r="BC80" s="316">
        <f t="shared" si="274"/>
        <v>63610.024999999972</v>
      </c>
      <c r="BD80" s="316">
        <f t="shared" si="80"/>
        <v>777140.47298093606</v>
      </c>
      <c r="BE80" s="36"/>
      <c r="BF80" s="316">
        <f t="shared" ref="BF80:BQ80" si="275">BF$83*BF128</f>
        <v>0</v>
      </c>
      <c r="BG80" s="316">
        <f t="shared" si="275"/>
        <v>0</v>
      </c>
      <c r="BH80" s="316">
        <f t="shared" si="275"/>
        <v>1730.3113416583242</v>
      </c>
      <c r="BI80" s="316">
        <f t="shared" si="275"/>
        <v>0</v>
      </c>
      <c r="BJ80" s="316">
        <f t="shared" si="275"/>
        <v>0</v>
      </c>
      <c r="BK80" s="316">
        <f t="shared" si="275"/>
        <v>0</v>
      </c>
      <c r="BL80" s="316">
        <f t="shared" si="275"/>
        <v>0</v>
      </c>
      <c r="BM80" s="316">
        <f t="shared" si="275"/>
        <v>0</v>
      </c>
      <c r="BN80" s="316">
        <f t="shared" si="275"/>
        <v>0</v>
      </c>
      <c r="BO80" s="316">
        <f t="shared" si="275"/>
        <v>0</v>
      </c>
      <c r="BP80" s="316">
        <f t="shared" si="275"/>
        <v>178949.27707357382</v>
      </c>
      <c r="BQ80" s="316">
        <f t="shared" si="275"/>
        <v>63610.024999999972</v>
      </c>
      <c r="BR80" s="36">
        <v>0</v>
      </c>
      <c r="BS80" s="316">
        <f t="shared" ref="BS80:CD80" si="276">BS$83*BS128</f>
        <v>0</v>
      </c>
      <c r="BT80" s="316">
        <f t="shared" si="276"/>
        <v>0</v>
      </c>
      <c r="BU80" s="316">
        <f t="shared" si="276"/>
        <v>3397.0520865455078</v>
      </c>
      <c r="BV80" s="316">
        <f t="shared" si="276"/>
        <v>0</v>
      </c>
      <c r="BW80" s="316">
        <f t="shared" si="276"/>
        <v>7734.4278486362782</v>
      </c>
      <c r="BX80" s="316">
        <f t="shared" si="276"/>
        <v>124546.78711740569</v>
      </c>
      <c r="BY80" s="316">
        <f t="shared" si="276"/>
        <v>84427.247039010501</v>
      </c>
      <c r="BZ80" s="316">
        <f t="shared" si="276"/>
        <v>130544.37541501447</v>
      </c>
      <c r="CA80" s="316">
        <f t="shared" si="276"/>
        <v>1304231.7813594562</v>
      </c>
      <c r="CB80" s="316">
        <f t="shared" si="276"/>
        <v>1070136.3573965663</v>
      </c>
      <c r="CC80" s="316">
        <f t="shared" si="276"/>
        <v>0</v>
      </c>
      <c r="CD80" s="316">
        <f t="shared" si="276"/>
        <v>63610.024999999972</v>
      </c>
      <c r="CE80" s="316">
        <f t="shared" si="83"/>
        <v>1304231.7813594562</v>
      </c>
      <c r="CF80" s="36">
        <v>0</v>
      </c>
      <c r="CG80" s="36">
        <v>0</v>
      </c>
    </row>
    <row r="81" spans="1:85">
      <c r="A81" s="38" t="s">
        <v>660</v>
      </c>
      <c r="B81" s="316">
        <f>SUM(B53:B54,B58:B60,B66:B67,B69:B70,B75,B77,B80)</f>
        <v>451331.93500000006</v>
      </c>
      <c r="C81" s="316">
        <f t="shared" ref="C81:O81" si="277">SUM(C53:C54,C58:C60,C66:C67,C69:C70,C75,C77,C80)</f>
        <v>0</v>
      </c>
      <c r="D81" s="316">
        <f t="shared" si="277"/>
        <v>88032.321722848064</v>
      </c>
      <c r="E81" s="316">
        <f t="shared" si="277"/>
        <v>0</v>
      </c>
      <c r="F81" s="316">
        <f t="shared" si="277"/>
        <v>0</v>
      </c>
      <c r="G81" s="316">
        <f t="shared" si="277"/>
        <v>0</v>
      </c>
      <c r="H81" s="316">
        <f t="shared" si="277"/>
        <v>0</v>
      </c>
      <c r="I81" s="316">
        <f t="shared" si="277"/>
        <v>0</v>
      </c>
      <c r="J81" s="316">
        <f t="shared" si="277"/>
        <v>0</v>
      </c>
      <c r="K81" s="316">
        <f t="shared" si="277"/>
        <v>0</v>
      </c>
      <c r="L81" s="316">
        <f t="shared" si="277"/>
        <v>0</v>
      </c>
      <c r="M81" s="316">
        <f t="shared" si="277"/>
        <v>0</v>
      </c>
      <c r="N81" s="316">
        <f t="shared" si="277"/>
        <v>466603.87402264168</v>
      </c>
      <c r="O81" s="316">
        <f t="shared" si="277"/>
        <v>451331.93499999976</v>
      </c>
      <c r="P81" s="36"/>
      <c r="Q81" s="316">
        <f t="shared" ref="Q81:AC81" si="278">SUM(Q53:Q54,Q58:Q60,Q66:Q67,Q69:Q70,Q75,Q77,Q80)</f>
        <v>76368.415415643904</v>
      </c>
      <c r="R81" s="316">
        <f t="shared" si="278"/>
        <v>0</v>
      </c>
      <c r="S81" s="316">
        <f t="shared" si="278"/>
        <v>69555.843153363443</v>
      </c>
      <c r="T81" s="316">
        <f t="shared" si="278"/>
        <v>0</v>
      </c>
      <c r="U81" s="316">
        <f t="shared" si="278"/>
        <v>27953.177153442852</v>
      </c>
      <c r="V81" s="316">
        <f t="shared" si="278"/>
        <v>42119.427193873329</v>
      </c>
      <c r="W81" s="316">
        <f t="shared" si="278"/>
        <v>0</v>
      </c>
      <c r="X81" s="316">
        <f t="shared" si="278"/>
        <v>0</v>
      </c>
      <c r="Y81" s="316">
        <f t="shared" si="278"/>
        <v>1441861.4727131038</v>
      </c>
      <c r="Z81" s="316">
        <f t="shared" si="278"/>
        <v>542650.5032787458</v>
      </c>
      <c r="AA81" s="316">
        <f t="shared" si="278"/>
        <v>0</v>
      </c>
      <c r="AB81" s="316">
        <f t="shared" si="278"/>
        <v>451331.93499999976</v>
      </c>
      <c r="AC81" s="316">
        <f t="shared" si="278"/>
        <v>1441861.4727131038</v>
      </c>
      <c r="AD81" s="36"/>
      <c r="AE81" s="316">
        <f t="shared" ref="AE81:AP81" si="279">SUM(AE53:AE54,AE58:AE60,AE66:AE67,AE69:AE70,AE75,AE77,AE80)</f>
        <v>59048.897521047882</v>
      </c>
      <c r="AF81" s="316">
        <f t="shared" si="279"/>
        <v>758291.67444796266</v>
      </c>
      <c r="AG81" s="316">
        <f t="shared" si="279"/>
        <v>115161.10792761375</v>
      </c>
      <c r="AH81" s="316">
        <f t="shared" si="279"/>
        <v>0</v>
      </c>
      <c r="AI81" s="316">
        <f t="shared" si="279"/>
        <v>0</v>
      </c>
      <c r="AJ81" s="316">
        <f t="shared" si="279"/>
        <v>0</v>
      </c>
      <c r="AK81" s="316">
        <f t="shared" si="279"/>
        <v>0</v>
      </c>
      <c r="AL81" s="316">
        <f t="shared" si="279"/>
        <v>0</v>
      </c>
      <c r="AM81" s="316">
        <f t="shared" si="279"/>
        <v>0</v>
      </c>
      <c r="AN81" s="316">
        <f t="shared" si="279"/>
        <v>0</v>
      </c>
      <c r="AO81" s="316">
        <f t="shared" si="279"/>
        <v>690064.8708169763</v>
      </c>
      <c r="AP81" s="316">
        <f t="shared" si="279"/>
        <v>451331.93499999976</v>
      </c>
      <c r="AQ81" s="36"/>
      <c r="AR81" s="316">
        <f t="shared" ref="AR81:BD81" si="280">SUM(AR53:AR54,AR58:AR60,AR66:AR67,AR69:AR70,AR75,AR77,AR80)</f>
        <v>173639.97678141558</v>
      </c>
      <c r="AS81" s="316">
        <f t="shared" si="280"/>
        <v>0</v>
      </c>
      <c r="AT81" s="316">
        <f t="shared" si="280"/>
        <v>157675.49769297233</v>
      </c>
      <c r="AU81" s="316">
        <f t="shared" si="280"/>
        <v>0</v>
      </c>
      <c r="AV81" s="316">
        <f t="shared" si="280"/>
        <v>108588.55426862097</v>
      </c>
      <c r="AW81" s="316">
        <f t="shared" si="280"/>
        <v>755596.33130836161</v>
      </c>
      <c r="AX81" s="316">
        <f t="shared" si="280"/>
        <v>426057.59371150431</v>
      </c>
      <c r="AY81" s="316">
        <f t="shared" si="280"/>
        <v>935144.97845330415</v>
      </c>
      <c r="AZ81" s="316">
        <f t="shared" si="280"/>
        <v>2442971.0935502257</v>
      </c>
      <c r="BA81" s="316">
        <f t="shared" si="280"/>
        <v>911822.51137293025</v>
      </c>
      <c r="BB81" s="316">
        <f t="shared" si="280"/>
        <v>0</v>
      </c>
      <c r="BC81" s="316">
        <f t="shared" si="280"/>
        <v>451331.93499999976</v>
      </c>
      <c r="BD81" s="316">
        <f t="shared" si="280"/>
        <v>2442971.0935502257</v>
      </c>
      <c r="BE81" s="36"/>
      <c r="BF81" s="316">
        <f t="shared" ref="BF81:BQ81" si="281">SUM(BF53:BF54,BF58:BF60,BF66:BF67,BF69:BF70,BF75,BF77,BF80)</f>
        <v>63432.048790843204</v>
      </c>
      <c r="BG81" s="316">
        <f t="shared" si="281"/>
        <v>676865.99193214579</v>
      </c>
      <c r="BH81" s="316">
        <f t="shared" si="281"/>
        <v>112836.7290015567</v>
      </c>
      <c r="BI81" s="316">
        <f t="shared" si="281"/>
        <v>0</v>
      </c>
      <c r="BJ81" s="316">
        <f t="shared" si="281"/>
        <v>0</v>
      </c>
      <c r="BK81" s="316">
        <f t="shared" si="281"/>
        <v>0</v>
      </c>
      <c r="BL81" s="316">
        <f t="shared" si="281"/>
        <v>0</v>
      </c>
      <c r="BM81" s="316">
        <f t="shared" si="281"/>
        <v>0</v>
      </c>
      <c r="BN81" s="316">
        <f t="shared" si="281"/>
        <v>0</v>
      </c>
      <c r="BO81" s="316">
        <f t="shared" si="281"/>
        <v>0</v>
      </c>
      <c r="BP81" s="316">
        <f t="shared" si="281"/>
        <v>696892.69269853551</v>
      </c>
      <c r="BQ81" s="316">
        <f t="shared" si="281"/>
        <v>451331.93499999976</v>
      </c>
      <c r="BR81" s="36"/>
      <c r="BS81" s="316">
        <f t="shared" ref="BS81:CE81" si="282">SUM(BS53:BS54,BS58:BS60,BS66:BS67,BS69:BS70,BS75,BS77,BS80)</f>
        <v>245205.45485507027</v>
      </c>
      <c r="BT81" s="316">
        <f t="shared" si="282"/>
        <v>0</v>
      </c>
      <c r="BU81" s="316">
        <f t="shared" si="282"/>
        <v>208491.96785697815</v>
      </c>
      <c r="BV81" s="316">
        <f t="shared" si="282"/>
        <v>0</v>
      </c>
      <c r="BW81" s="316">
        <f t="shared" si="282"/>
        <v>167862.88345312647</v>
      </c>
      <c r="BX81" s="316">
        <f t="shared" si="282"/>
        <v>793913.93968648836</v>
      </c>
      <c r="BY81" s="316">
        <f t="shared" si="282"/>
        <v>689061.50673364894</v>
      </c>
      <c r="BZ81" s="316">
        <f t="shared" si="282"/>
        <v>925352.76570708456</v>
      </c>
      <c r="CA81" s="316">
        <f t="shared" si="282"/>
        <v>4652311.8515023887</v>
      </c>
      <c r="CB81" s="316">
        <f t="shared" si="282"/>
        <v>1782301.1619737623</v>
      </c>
      <c r="CC81" s="316">
        <f t="shared" si="282"/>
        <v>0</v>
      </c>
      <c r="CD81" s="316">
        <f t="shared" si="282"/>
        <v>451331.93499999976</v>
      </c>
      <c r="CE81" s="316">
        <f t="shared" si="282"/>
        <v>4652311.8515023887</v>
      </c>
      <c r="CF81" s="36"/>
      <c r="CG81" s="36"/>
    </row>
    <row r="82" spans="1:85">
      <c r="A82" s="38" t="s">
        <v>661</v>
      </c>
      <c r="B82" s="316">
        <f>SUM(B48:B52,B55:B57,B61:B65,B68,B71:B74,B76,B78:B79)</f>
        <v>415014.55250000011</v>
      </c>
      <c r="C82" s="316">
        <f t="shared" ref="C82:O82" si="283">SUM(C48:C52,C55:C57,C61:C65,C68,C71:C74,C76,C78:C79)</f>
        <v>0</v>
      </c>
      <c r="D82" s="316">
        <f t="shared" si="283"/>
        <v>33412.955707168258</v>
      </c>
      <c r="E82" s="316">
        <f t="shared" si="283"/>
        <v>0</v>
      </c>
      <c r="F82" s="316">
        <f t="shared" si="283"/>
        <v>0</v>
      </c>
      <c r="G82" s="316">
        <f t="shared" si="283"/>
        <v>0</v>
      </c>
      <c r="H82" s="316">
        <f t="shared" si="283"/>
        <v>0</v>
      </c>
      <c r="I82" s="316">
        <f t="shared" si="283"/>
        <v>0</v>
      </c>
      <c r="J82" s="316">
        <f t="shared" si="283"/>
        <v>0</v>
      </c>
      <c r="K82" s="316">
        <f t="shared" si="283"/>
        <v>0</v>
      </c>
      <c r="L82" s="316">
        <f t="shared" si="283"/>
        <v>0</v>
      </c>
      <c r="M82" s="316">
        <f t="shared" si="283"/>
        <v>0</v>
      </c>
      <c r="N82" s="316">
        <f t="shared" si="283"/>
        <v>0</v>
      </c>
      <c r="O82" s="316">
        <f t="shared" si="283"/>
        <v>415014.55249999982</v>
      </c>
      <c r="P82" s="36"/>
      <c r="Q82" s="316">
        <f t="shared" ref="Q82:AC82" si="284">SUM(Q48:Q52,Q55:Q57,Q61:Q65,Q68,Q71:Q74,Q76,Q78:Q79)</f>
        <v>155265.1531582897</v>
      </c>
      <c r="R82" s="316">
        <f t="shared" si="284"/>
        <v>0</v>
      </c>
      <c r="S82" s="316">
        <f t="shared" si="284"/>
        <v>9787.9746892797029</v>
      </c>
      <c r="T82" s="316">
        <f t="shared" si="284"/>
        <v>0</v>
      </c>
      <c r="U82" s="316">
        <f t="shared" si="284"/>
        <v>11595.224876418648</v>
      </c>
      <c r="V82" s="316">
        <f t="shared" si="284"/>
        <v>0</v>
      </c>
      <c r="W82" s="316">
        <f t="shared" si="284"/>
        <v>0</v>
      </c>
      <c r="X82" s="316">
        <f t="shared" si="284"/>
        <v>0</v>
      </c>
      <c r="Y82" s="316">
        <f t="shared" si="284"/>
        <v>186090.03712313424</v>
      </c>
      <c r="Z82" s="316">
        <f t="shared" si="284"/>
        <v>0</v>
      </c>
      <c r="AA82" s="316">
        <f t="shared" si="284"/>
        <v>0</v>
      </c>
      <c r="AB82" s="316">
        <f t="shared" si="284"/>
        <v>415014.55249999982</v>
      </c>
      <c r="AC82" s="316">
        <f t="shared" si="284"/>
        <v>186090.03712313424</v>
      </c>
      <c r="AD82" s="36"/>
      <c r="AE82" s="316">
        <f t="shared" ref="AE82:AP82" si="285">SUM(AE48:AE52,AE55:AE57,AE61:AE65,AE68,AE71:AE74,AE76,AE78:AE79)</f>
        <v>96102.66300791195</v>
      </c>
      <c r="AF82" s="316">
        <f t="shared" si="285"/>
        <v>606834.74487174046</v>
      </c>
      <c r="AG82" s="316">
        <f t="shared" si="285"/>
        <v>15719.723908263986</v>
      </c>
      <c r="AH82" s="316">
        <f t="shared" si="285"/>
        <v>0</v>
      </c>
      <c r="AI82" s="316">
        <f t="shared" si="285"/>
        <v>0</v>
      </c>
      <c r="AJ82" s="316">
        <f t="shared" si="285"/>
        <v>0</v>
      </c>
      <c r="AK82" s="316">
        <f t="shared" si="285"/>
        <v>0</v>
      </c>
      <c r="AL82" s="316">
        <f t="shared" si="285"/>
        <v>0</v>
      </c>
      <c r="AM82" s="316">
        <f t="shared" si="285"/>
        <v>0</v>
      </c>
      <c r="AN82" s="316">
        <f t="shared" si="285"/>
        <v>0</v>
      </c>
      <c r="AO82" s="316">
        <f t="shared" si="285"/>
        <v>17574.619904969346</v>
      </c>
      <c r="AP82" s="316">
        <f t="shared" si="285"/>
        <v>415014.55249999982</v>
      </c>
      <c r="AQ82" s="36"/>
      <c r="AR82" s="316">
        <f t="shared" ref="AR82:BD82" si="286">SUM(AR48:AR52,AR55:AR57,AR61:AR65,AR68,AR71:AR74,AR76,AR78:AR79)</f>
        <v>337348.8499974758</v>
      </c>
      <c r="AS82" s="316">
        <f t="shared" si="286"/>
        <v>0</v>
      </c>
      <c r="AT82" s="316">
        <f t="shared" si="286"/>
        <v>23383.018532345915</v>
      </c>
      <c r="AU82" s="316">
        <f t="shared" si="286"/>
        <v>0</v>
      </c>
      <c r="AV82" s="316">
        <f t="shared" si="286"/>
        <v>20408.641120354874</v>
      </c>
      <c r="AW82" s="316">
        <f t="shared" si="286"/>
        <v>0</v>
      </c>
      <c r="AX82" s="316">
        <f t="shared" si="286"/>
        <v>65053.658996258513</v>
      </c>
      <c r="AY82" s="316">
        <f t="shared" si="286"/>
        <v>0</v>
      </c>
      <c r="AZ82" s="316">
        <f t="shared" si="286"/>
        <v>292496.44056856481</v>
      </c>
      <c r="BA82" s="316">
        <f t="shared" si="286"/>
        <v>0</v>
      </c>
      <c r="BB82" s="316">
        <f t="shared" si="286"/>
        <v>0</v>
      </c>
      <c r="BC82" s="316">
        <f t="shared" si="286"/>
        <v>415014.55249999982</v>
      </c>
      <c r="BD82" s="316">
        <f t="shared" si="286"/>
        <v>292496.44056856481</v>
      </c>
      <c r="BE82" s="36"/>
      <c r="BF82" s="316">
        <f t="shared" ref="BF82:BQ82" si="287">SUM(BF48:BF52,BF55:BF57,BF61:BF65,BF68,BF71:BF74,BF76,BF78:BF79)</f>
        <v>98705.918335258393</v>
      </c>
      <c r="BG82" s="316">
        <f t="shared" si="287"/>
        <v>752029.65260975284</v>
      </c>
      <c r="BH82" s="316">
        <f t="shared" si="287"/>
        <v>19680.819057493791</v>
      </c>
      <c r="BI82" s="316">
        <f t="shared" si="287"/>
        <v>0</v>
      </c>
      <c r="BJ82" s="316">
        <f t="shared" si="287"/>
        <v>0</v>
      </c>
      <c r="BK82" s="316">
        <f t="shared" si="287"/>
        <v>0</v>
      </c>
      <c r="BL82" s="316">
        <f t="shared" si="287"/>
        <v>0</v>
      </c>
      <c r="BM82" s="316">
        <f t="shared" si="287"/>
        <v>0</v>
      </c>
      <c r="BN82" s="316">
        <f t="shared" si="287"/>
        <v>0</v>
      </c>
      <c r="BO82" s="316">
        <f t="shared" si="287"/>
        <v>0</v>
      </c>
      <c r="BP82" s="316">
        <f t="shared" si="287"/>
        <v>41772.090041629257</v>
      </c>
      <c r="BQ82" s="316">
        <f t="shared" si="287"/>
        <v>415014.55249999982</v>
      </c>
      <c r="BR82" s="36"/>
      <c r="BS82" s="316">
        <f t="shared" ref="BS82:CE82" si="288">SUM(BS48:BS52,BS55:BS57,BS61:BS65,BS68,BS71:BS74,BS76,BS78:BS79)</f>
        <v>382308.29454159917</v>
      </c>
      <c r="BT82" s="316">
        <f t="shared" si="288"/>
        <v>0</v>
      </c>
      <c r="BU82" s="316">
        <f t="shared" si="288"/>
        <v>43738.183605528458</v>
      </c>
      <c r="BV82" s="316">
        <f t="shared" si="288"/>
        <v>0</v>
      </c>
      <c r="BW82" s="316">
        <f t="shared" si="288"/>
        <v>42626.530380221477</v>
      </c>
      <c r="BX82" s="316">
        <f t="shared" si="288"/>
        <v>263441.6949058263</v>
      </c>
      <c r="BY82" s="316">
        <f t="shared" si="288"/>
        <v>211280.7819506035</v>
      </c>
      <c r="BZ82" s="316">
        <f t="shared" si="288"/>
        <v>177768.88001536403</v>
      </c>
      <c r="CA82" s="316">
        <f t="shared" si="288"/>
        <v>781126.06974629522</v>
      </c>
      <c r="CB82" s="316">
        <f t="shared" si="288"/>
        <v>28844.811775799753</v>
      </c>
      <c r="CC82" s="316">
        <f t="shared" si="288"/>
        <v>0</v>
      </c>
      <c r="CD82" s="316">
        <f t="shared" si="288"/>
        <v>415014.55249999982</v>
      </c>
      <c r="CE82" s="316">
        <f t="shared" si="288"/>
        <v>781126.06974629522</v>
      </c>
      <c r="CF82" s="36"/>
      <c r="CG82" s="36"/>
    </row>
    <row r="83" spans="1:85" s="318" customFormat="1">
      <c r="A83" s="318" t="s">
        <v>122</v>
      </c>
      <c r="B83" s="482">
        <v>866346.48749999981</v>
      </c>
      <c r="C83" s="482"/>
      <c r="D83" s="482">
        <f>'2.2 Energy Systems inputs'!H311</f>
        <v>121445.27743001631</v>
      </c>
      <c r="E83" s="482">
        <f>'2.2 Energy Systems inputs'!I311</f>
        <v>967297.09528948145</v>
      </c>
      <c r="F83" s="482">
        <f>'2.2 Energy Systems inputs'!J311</f>
        <v>0</v>
      </c>
      <c r="G83" s="482">
        <f>'2.2 Energy Systems inputs'!K311</f>
        <v>0</v>
      </c>
      <c r="H83" s="482">
        <f>'2.2 Energy Systems inputs'!L311</f>
        <v>0</v>
      </c>
      <c r="I83" s="482">
        <f>'2.2 Energy Systems inputs'!M311</f>
        <v>0</v>
      </c>
      <c r="J83" s="482">
        <f>'2.2 Energy Systems inputs'!N311</f>
        <v>0</v>
      </c>
      <c r="K83" s="482">
        <f>'2.2 Energy Systems inputs'!O311</f>
        <v>0</v>
      </c>
      <c r="L83" s="482">
        <f>'2.2 Energy Systems inputs'!P311</f>
        <v>0</v>
      </c>
      <c r="M83" s="482">
        <f>'2.2 Energy Systems inputs'!Q311</f>
        <v>0</v>
      </c>
      <c r="N83" s="482">
        <f>'2.2 Energy Systems inputs'!R311</f>
        <v>466603.87402264174</v>
      </c>
      <c r="O83" s="482">
        <f>'2.2 Energy Systems inputs'!S311</f>
        <v>866346.48749999981</v>
      </c>
      <c r="P83" s="482"/>
      <c r="Q83" s="482">
        <f>'2.2 Energy Systems inputs'!U311</f>
        <v>231633.56857393362</v>
      </c>
      <c r="R83" s="482">
        <f>'2.2 Energy Systems inputs'!V311</f>
        <v>0</v>
      </c>
      <c r="S83" s="482">
        <f>'2.2 Energy Systems inputs'!W311</f>
        <v>79343.817842643111</v>
      </c>
      <c r="T83" s="482">
        <f>'2.2 Energy Systems inputs'!X311</f>
        <v>0</v>
      </c>
      <c r="U83" s="482">
        <f>'2.2 Energy Systems inputs'!Y311</f>
        <v>39548.4020298615</v>
      </c>
      <c r="V83" s="482">
        <f>'2.2 Energy Systems inputs'!Z311</f>
        <v>42119.427193873329</v>
      </c>
      <c r="W83" s="482">
        <f>'2.2 Energy Systems inputs'!AA311</f>
        <v>0</v>
      </c>
      <c r="X83" s="482">
        <f>'2.2 Energy Systems inputs'!AB311</f>
        <v>0</v>
      </c>
      <c r="Y83" s="482">
        <f>'2.2 Energy Systems inputs'!AC311</f>
        <v>1627951.5098362376</v>
      </c>
      <c r="Z83" s="482">
        <f>'2.2 Energy Systems inputs'!AD311</f>
        <v>542650.5032787458</v>
      </c>
      <c r="AA83" s="482">
        <f>'2.2 Energy Systems inputs'!AE311</f>
        <v>0</v>
      </c>
      <c r="AB83" s="482">
        <f>'2.2 Energy Systems inputs'!AF311</f>
        <v>866346.48749999981</v>
      </c>
      <c r="AC83" s="316">
        <f t="shared" si="86"/>
        <v>1627951.5098362376</v>
      </c>
      <c r="AD83" s="482"/>
      <c r="AE83" s="482">
        <f>'2.2 Energy Systems inputs'!AI311</f>
        <v>155151.56052895982</v>
      </c>
      <c r="AF83" s="482">
        <f>'2.2 Energy Systems inputs'!AJ311</f>
        <v>1365126.419319703</v>
      </c>
      <c r="AG83" s="482">
        <f>'2.2 Energy Systems inputs'!AK311</f>
        <v>130880.83183587772</v>
      </c>
      <c r="AH83" s="482">
        <f>'2.2 Energy Systems inputs'!AL311</f>
        <v>0</v>
      </c>
      <c r="AI83" s="482">
        <f>'2.2 Energy Systems inputs'!AM311</f>
        <v>0</v>
      </c>
      <c r="AJ83" s="482">
        <f>'2.2 Energy Systems inputs'!AN311</f>
        <v>0</v>
      </c>
      <c r="AK83" s="482">
        <f>'2.2 Energy Systems inputs'!AO311</f>
        <v>0</v>
      </c>
      <c r="AL83" s="482">
        <f>'2.2 Energy Systems inputs'!AP311</f>
        <v>0</v>
      </c>
      <c r="AM83" s="482">
        <f>'2.2 Energy Systems inputs'!AQ311</f>
        <v>0</v>
      </c>
      <c r="AN83" s="482">
        <f>'2.2 Energy Systems inputs'!AR311</f>
        <v>0</v>
      </c>
      <c r="AO83" s="482">
        <f>'2.2 Energy Systems inputs'!AS311</f>
        <v>707639.49072194577</v>
      </c>
      <c r="AP83" s="482">
        <f>'2.2 Energy Systems inputs'!AT311</f>
        <v>866346.48749999981</v>
      </c>
      <c r="AQ83" s="482"/>
      <c r="AR83" s="482">
        <f>'2.2 Energy Systems inputs'!AV311</f>
        <v>510988.8267788915</v>
      </c>
      <c r="AS83" s="482">
        <f>'2.2 Energy Systems inputs'!AW311</f>
        <v>0</v>
      </c>
      <c r="AT83" s="482">
        <f>'2.2 Energy Systems inputs'!AX311</f>
        <v>181058.51622531825</v>
      </c>
      <c r="AU83" s="482">
        <f>'2.2 Energy Systems inputs'!AY311</f>
        <v>0</v>
      </c>
      <c r="AV83" s="482">
        <f>'2.2 Energy Systems inputs'!AZ311</f>
        <v>128997.19538897582</v>
      </c>
      <c r="AW83" s="482">
        <f>'2.2 Energy Systems inputs'!BA311</f>
        <v>755596.33130836161</v>
      </c>
      <c r="AX83" s="482">
        <f>'2.2 Energy Systems inputs'!BB311</f>
        <v>491111.25270776276</v>
      </c>
      <c r="AY83" s="482">
        <f>'2.2 Energy Systems inputs'!BC311</f>
        <v>935144.97845330415</v>
      </c>
      <c r="AZ83" s="482">
        <f>'2.2 Energy Systems inputs'!BD311</f>
        <v>2735467.5341187902</v>
      </c>
      <c r="BA83" s="482">
        <f>'2.2 Energy Systems inputs'!BE311</f>
        <v>911822.51137293014</v>
      </c>
      <c r="BB83" s="482">
        <f>'2.2 Energy Systems inputs'!BF311</f>
        <v>0</v>
      </c>
      <c r="BC83" s="482">
        <f>'2.2 Energy Systems inputs'!BG311</f>
        <v>866346.48749999981</v>
      </c>
      <c r="BD83" s="316">
        <f t="shared" si="80"/>
        <v>2735467.5341187902</v>
      </c>
      <c r="BE83" s="482"/>
      <c r="BF83" s="482">
        <f>'2.2 Energy Systems inputs'!BJ311</f>
        <v>162137.96712610158</v>
      </c>
      <c r="BG83" s="482">
        <f>'2.2 Energy Systems inputs'!BK311</f>
        <v>1428895.6445418985</v>
      </c>
      <c r="BH83" s="482">
        <f>'2.2 Energy Systems inputs'!BL311</f>
        <v>132517.54805905049</v>
      </c>
      <c r="BI83" s="482">
        <f>'2.2 Energy Systems inputs'!BM311</f>
        <v>0</v>
      </c>
      <c r="BJ83" s="482">
        <f>'2.2 Energy Systems inputs'!BN311</f>
        <v>0</v>
      </c>
      <c r="BK83" s="482">
        <f>'2.2 Energy Systems inputs'!BO311</f>
        <v>0</v>
      </c>
      <c r="BL83" s="482">
        <f>'2.2 Energy Systems inputs'!BP311</f>
        <v>0</v>
      </c>
      <c r="BM83" s="482">
        <f>'2.2 Energy Systems inputs'!BQ311</f>
        <v>0</v>
      </c>
      <c r="BN83" s="482">
        <f>'2.2 Energy Systems inputs'!BR311</f>
        <v>0</v>
      </c>
      <c r="BO83" s="482">
        <f>'2.2 Energy Systems inputs'!BS311</f>
        <v>0</v>
      </c>
      <c r="BP83" s="482">
        <f>'2.2 Energy Systems inputs'!BT311</f>
        <v>738664.78274016478</v>
      </c>
      <c r="BQ83" s="482">
        <f>'2.2 Energy Systems inputs'!BU311</f>
        <v>866346.48749999981</v>
      </c>
      <c r="BR83" s="482"/>
      <c r="BS83" s="482">
        <f>'2.2 Energy Systems inputs'!BW311</f>
        <v>627513.74939666956</v>
      </c>
      <c r="BT83" s="482">
        <f>'2.2 Energy Systems inputs'!BX311</f>
        <v>0</v>
      </c>
      <c r="BU83" s="482">
        <f>'2.2 Energy Systems inputs'!BY311</f>
        <v>252230.15146250665</v>
      </c>
      <c r="BV83" s="482">
        <f>'2.2 Energy Systems inputs'!BZ311</f>
        <v>0</v>
      </c>
      <c r="BW83" s="482">
        <f>'2.2 Energy Systems inputs'!CA311</f>
        <v>210489.41383334796</v>
      </c>
      <c r="BX83" s="482">
        <f>'2.2 Energy Systems inputs'!CB311</f>
        <v>1057355.6345923147</v>
      </c>
      <c r="BY83" s="482">
        <f>'2.2 Energy Systems inputs'!CC311</f>
        <v>900342.2886842523</v>
      </c>
      <c r="BZ83" s="482">
        <f>'2.2 Energy Systems inputs'!CD311</f>
        <v>1103121.6457224486</v>
      </c>
      <c r="CA83" s="482">
        <f>'2.2 Energy Systems inputs'!CE311</f>
        <v>5433437.9212486846</v>
      </c>
      <c r="CB83" s="482">
        <f>'2.2 Energy Systems inputs'!CF311</f>
        <v>1811145.9737495622</v>
      </c>
      <c r="CC83" s="482">
        <f>'2.2 Energy Systems inputs'!CG311</f>
        <v>0</v>
      </c>
      <c r="CD83" s="482">
        <f>'2.2 Energy Systems inputs'!CH311</f>
        <v>866346.48749999981</v>
      </c>
      <c r="CE83" s="316">
        <f t="shared" si="83"/>
        <v>5433437.9212486846</v>
      </c>
      <c r="CF83" s="482">
        <v>0</v>
      </c>
      <c r="CG83" s="482">
        <v>0</v>
      </c>
    </row>
    <row r="84" spans="1:85" customFormat="1">
      <c r="A84" s="38"/>
    </row>
    <row r="85" spans="1:85" customFormat="1">
      <c r="A85" t="str">
        <f xml:space="preserve"> "Selected Borough: "&amp;Dashboard!$D$5</f>
        <v>Selected Borough: Inner London</v>
      </c>
      <c r="B85" s="36">
        <f>INDEX(B48:B83,MATCH(Dashboard!$D$5,$A$96:$A$131,0))</f>
        <v>451331.93500000006</v>
      </c>
      <c r="C85" s="36"/>
      <c r="D85" s="36">
        <f>INDEX(D48:D83,MATCH(Dashboard!$D$5,$A$96:$A$131,0))</f>
        <v>88032.321722848064</v>
      </c>
      <c r="E85" s="36">
        <f>INDEX(E48:E83,MATCH(Dashboard!$D$5,$A$96:$A$131,0))</f>
        <v>0</v>
      </c>
      <c r="F85" s="36">
        <f>INDEX(F48:F83,MATCH(Dashboard!$D$5,$A$96:$A$131,0))</f>
        <v>0</v>
      </c>
      <c r="G85" s="36">
        <f>INDEX(G48:G83,MATCH(Dashboard!$D$5,$A$96:$A$131,0))</f>
        <v>0</v>
      </c>
      <c r="H85" s="36">
        <f>INDEX(H48:H83,MATCH(Dashboard!$D$5,$A$96:$A$131,0))</f>
        <v>0</v>
      </c>
      <c r="I85" s="36">
        <f>INDEX(I48:I83,MATCH(Dashboard!$D$5,$A$96:$A$131,0))</f>
        <v>0</v>
      </c>
      <c r="J85" s="36">
        <f>INDEX(J48:J83,MATCH(Dashboard!$D$5,$A$96:$A$131,0))</f>
        <v>0</v>
      </c>
      <c r="K85" s="36">
        <f>INDEX(K48:K83,MATCH(Dashboard!$D$5,$A$96:$A$131,0))</f>
        <v>0</v>
      </c>
      <c r="L85" s="36">
        <f>INDEX(L48:L83,MATCH(Dashboard!$D$5,$A$96:$A$131,0))</f>
        <v>0</v>
      </c>
      <c r="M85" s="36">
        <f>INDEX(M48:M83,MATCH(Dashboard!$D$5,$A$96:$A$131,0))</f>
        <v>0</v>
      </c>
      <c r="N85" s="36">
        <f>INDEX(N48:N83,MATCH(Dashboard!$D$5,$A$96:$A$131,0))</f>
        <v>466603.87402264168</v>
      </c>
      <c r="O85" s="36">
        <f>INDEX(O48:O83,MATCH(Dashboard!$D$5,$A$96:$A$131,0))</f>
        <v>451331.93499999976</v>
      </c>
      <c r="P85" s="36">
        <f>INDEX(P48:P83,MATCH(Dashboard!$D$5,$A$96:$A$131,0))</f>
        <v>0</v>
      </c>
      <c r="Q85" s="36">
        <f>INDEX(Q48:Q83,MATCH(Dashboard!$D$5,$A$96:$A$131,0))</f>
        <v>76368.415415643904</v>
      </c>
      <c r="R85" s="36">
        <f>INDEX(R48:R83,MATCH(Dashboard!$D$5,$A$96:$A$131,0))</f>
        <v>0</v>
      </c>
      <c r="S85" s="36">
        <f>INDEX(S48:S83,MATCH(Dashboard!$D$5,$A$96:$A$131,0))</f>
        <v>69555.843153363443</v>
      </c>
      <c r="T85" s="36">
        <f>INDEX(T48:T83,MATCH(Dashboard!$D$5,$A$96:$A$131,0))</f>
        <v>0</v>
      </c>
      <c r="U85" s="36">
        <f>INDEX(U48:U83,MATCH(Dashboard!$D$5,$A$96:$A$131,0))</f>
        <v>27953.177153442852</v>
      </c>
      <c r="V85" s="36">
        <f>INDEX(V48:V83,MATCH(Dashboard!$D$5,$A$96:$A$131,0))</f>
        <v>42119.427193873329</v>
      </c>
      <c r="W85" s="36">
        <f>INDEX(W48:W83,MATCH(Dashboard!$D$5,$A$96:$A$131,0))</f>
        <v>0</v>
      </c>
      <c r="X85" s="36">
        <f>INDEX(X48:X83,MATCH(Dashboard!$D$5,$A$96:$A$131,0))</f>
        <v>0</v>
      </c>
      <c r="Y85" s="36">
        <f>INDEX(Y48:Y83,MATCH(Dashboard!$D$5,$A$96:$A$131,0))</f>
        <v>1441861.4727131038</v>
      </c>
      <c r="Z85" s="36">
        <f>INDEX(Z48:Z83,MATCH(Dashboard!$D$5,$A$96:$A$131,0))</f>
        <v>542650.5032787458</v>
      </c>
      <c r="AA85" s="36">
        <f>INDEX(AA48:AA83,MATCH(Dashboard!$D$5,$A$96:$A$131,0))</f>
        <v>0</v>
      </c>
      <c r="AB85" s="36">
        <f>INDEX(AB48:AB83,MATCH(Dashboard!$D$5,$A$96:$A$131,0))</f>
        <v>451331.93499999976</v>
      </c>
      <c r="AC85" s="36">
        <f>INDEX(AC48:AC83,MATCH(Dashboard!$D$5,$A$96:$A$131,0))</f>
        <v>1441861.4727131038</v>
      </c>
      <c r="AD85" s="36">
        <f>INDEX(AD48:AD83,MATCH(Dashboard!$D$5,$A$96:$A$131,0))</f>
        <v>0</v>
      </c>
      <c r="AE85" s="36">
        <f>INDEX(AE48:AE83,MATCH(Dashboard!$D$5,$A$96:$A$131,0))</f>
        <v>59048.897521047882</v>
      </c>
      <c r="AF85" s="36">
        <f>INDEX(AF48:AF83,MATCH(Dashboard!$D$5,$A$96:$A$131,0))</f>
        <v>758291.67444796266</v>
      </c>
      <c r="AG85" s="36">
        <f>INDEX(AG48:AG83,MATCH(Dashboard!$D$5,$A$96:$A$131,0))</f>
        <v>115161.10792761375</v>
      </c>
      <c r="AH85" s="36">
        <f>INDEX(AH48:AH83,MATCH(Dashboard!$D$5,$A$96:$A$131,0))</f>
        <v>0</v>
      </c>
      <c r="AI85" s="36">
        <f>INDEX(AI48:AI83,MATCH(Dashboard!$D$5,$A$96:$A$131,0))</f>
        <v>0</v>
      </c>
      <c r="AJ85" s="36">
        <f>INDEX(AJ48:AJ83,MATCH(Dashboard!$D$5,$A$96:$A$131,0))</f>
        <v>0</v>
      </c>
      <c r="AK85" s="36">
        <f>INDEX(AK48:AK83,MATCH(Dashboard!$D$5,$A$96:$A$131,0))</f>
        <v>0</v>
      </c>
      <c r="AL85" s="36">
        <f>INDEX(AL48:AL83,MATCH(Dashboard!$D$5,$A$96:$A$131,0))</f>
        <v>0</v>
      </c>
      <c r="AM85" s="36">
        <f>INDEX(AM48:AM83,MATCH(Dashboard!$D$5,$A$96:$A$131,0))</f>
        <v>0</v>
      </c>
      <c r="AN85" s="36">
        <f>INDEX(AN48:AN83,MATCH(Dashboard!$D$5,$A$96:$A$131,0))</f>
        <v>0</v>
      </c>
      <c r="AO85" s="36">
        <f>INDEX(AO48:AO83,MATCH(Dashboard!$D$5,$A$96:$A$131,0))</f>
        <v>690064.8708169763</v>
      </c>
      <c r="AP85" s="36">
        <f>INDEX(AP48:AP83,MATCH(Dashboard!$D$5,$A$96:$A$131,0))</f>
        <v>451331.93499999976</v>
      </c>
      <c r="AQ85" s="36">
        <f>INDEX(AQ48:AQ83,MATCH(Dashboard!$D$5,$A$96:$A$131,0))</f>
        <v>0</v>
      </c>
      <c r="AR85" s="36">
        <f>INDEX(AR48:AR83,MATCH(Dashboard!$D$5,$A$96:$A$131,0))</f>
        <v>173639.97678141558</v>
      </c>
      <c r="AS85" s="36">
        <f>INDEX(AS48:AS83,MATCH(Dashboard!$D$5,$A$96:$A$131,0))</f>
        <v>0</v>
      </c>
      <c r="AT85" s="36">
        <f>INDEX(AT48:AT83,MATCH(Dashboard!$D$5,$A$96:$A$131,0))</f>
        <v>157675.49769297233</v>
      </c>
      <c r="AU85" s="36">
        <f>INDEX(AU48:AU83,MATCH(Dashboard!$D$5,$A$96:$A$131,0))</f>
        <v>0</v>
      </c>
      <c r="AV85" s="36">
        <f>INDEX(AV48:AV83,MATCH(Dashboard!$D$5,$A$96:$A$131,0))</f>
        <v>108588.55426862097</v>
      </c>
      <c r="AW85" s="36">
        <f>INDEX(AW48:AW83,MATCH(Dashboard!$D$5,$A$96:$A$131,0))</f>
        <v>755596.33130836161</v>
      </c>
      <c r="AX85" s="36">
        <f>INDEX(AX48:AX83,MATCH(Dashboard!$D$5,$A$96:$A$131,0))</f>
        <v>426057.59371150431</v>
      </c>
      <c r="AY85" s="36">
        <f>INDEX(AY48:AY83,MATCH(Dashboard!$D$5,$A$96:$A$131,0))</f>
        <v>935144.97845330415</v>
      </c>
      <c r="AZ85" s="36">
        <f>INDEX(AZ48:AZ83,MATCH(Dashboard!$D$5,$A$96:$A$131,0))</f>
        <v>2442971.0935502257</v>
      </c>
      <c r="BA85" s="36">
        <f>INDEX(BA48:BA83,MATCH(Dashboard!$D$5,$A$96:$A$131,0))</f>
        <v>911822.51137293025</v>
      </c>
      <c r="BB85" s="36">
        <f>INDEX(BB48:BB83,MATCH(Dashboard!$D$5,$A$96:$A$131,0))</f>
        <v>0</v>
      </c>
      <c r="BC85" s="36">
        <f>INDEX(BC48:BC83,MATCH(Dashboard!$D$5,$A$96:$A$131,0))</f>
        <v>451331.93499999976</v>
      </c>
      <c r="BD85" s="36">
        <f>INDEX(BD48:BD83,MATCH(Dashboard!$D$5,$A$96:$A$131,0))</f>
        <v>2442971.0935502257</v>
      </c>
      <c r="BE85" s="36">
        <f>INDEX(BE48:BE83,MATCH(Dashboard!$D$5,$A$96:$A$131,0))</f>
        <v>0</v>
      </c>
      <c r="BF85" s="36">
        <f>INDEX(BF48:BF83,MATCH(Dashboard!$D$5,$A$96:$A$131,0))</f>
        <v>63432.048790843204</v>
      </c>
      <c r="BG85" s="36">
        <f>INDEX(BG48:BG83,MATCH(Dashboard!$D$5,$A$96:$A$131,0))</f>
        <v>676865.99193214579</v>
      </c>
      <c r="BH85" s="36">
        <f>INDEX(BH48:BH83,MATCH(Dashboard!$D$5,$A$96:$A$131,0))</f>
        <v>112836.7290015567</v>
      </c>
      <c r="BI85" s="36">
        <f>INDEX(BI48:BI83,MATCH(Dashboard!$D$5,$A$96:$A$131,0))</f>
        <v>0</v>
      </c>
      <c r="BJ85" s="36">
        <f>INDEX(BJ48:BJ83,MATCH(Dashboard!$D$5,$A$96:$A$131,0))</f>
        <v>0</v>
      </c>
      <c r="BK85" s="36">
        <f>INDEX(BK48:BK83,MATCH(Dashboard!$D$5,$A$96:$A$131,0))</f>
        <v>0</v>
      </c>
      <c r="BL85" s="36">
        <f>INDEX(BL48:BL83,MATCH(Dashboard!$D$5,$A$96:$A$131,0))</f>
        <v>0</v>
      </c>
      <c r="BM85" s="36">
        <f>INDEX(BM48:BM83,MATCH(Dashboard!$D$5,$A$96:$A$131,0))</f>
        <v>0</v>
      </c>
      <c r="BN85" s="36">
        <f>INDEX(BN48:BN83,MATCH(Dashboard!$D$5,$A$96:$A$131,0))</f>
        <v>0</v>
      </c>
      <c r="BO85" s="36">
        <f>INDEX(BO48:BO83,MATCH(Dashboard!$D$5,$A$96:$A$131,0))</f>
        <v>0</v>
      </c>
      <c r="BP85" s="36">
        <f>INDEX(BP48:BP83,MATCH(Dashboard!$D$5,$A$96:$A$131,0))</f>
        <v>696892.69269853551</v>
      </c>
      <c r="BQ85" s="36">
        <f>INDEX(BQ48:BQ83,MATCH(Dashboard!$D$5,$A$96:$A$131,0))</f>
        <v>451331.93499999976</v>
      </c>
      <c r="BR85" s="36"/>
      <c r="BS85" s="36">
        <f>INDEX(BS48:BS83,MATCH(Dashboard!$D$5,$A$96:$A$131,0))</f>
        <v>245205.45485507027</v>
      </c>
      <c r="BT85" s="36">
        <f>INDEX(BT48:BT83,MATCH(Dashboard!$D$5,$A$96:$A$131,0))</f>
        <v>0</v>
      </c>
      <c r="BU85" s="36">
        <f>INDEX(BU48:BU83,MATCH(Dashboard!$D$5,$A$96:$A$131,0))</f>
        <v>208491.96785697815</v>
      </c>
      <c r="BV85" s="36">
        <f>INDEX(BV48:BV83,MATCH(Dashboard!$D$5,$A$96:$A$131,0))</f>
        <v>0</v>
      </c>
      <c r="BW85" s="36">
        <f>INDEX(BW48:BW83,MATCH(Dashboard!$D$5,$A$96:$A$131,0))</f>
        <v>167862.88345312647</v>
      </c>
      <c r="BX85" s="36">
        <f>INDEX(BX48:BX83,MATCH(Dashboard!$D$5,$A$96:$A$131,0))</f>
        <v>793913.93968648836</v>
      </c>
      <c r="BY85" s="36">
        <f>INDEX(BY48:BY83,MATCH(Dashboard!$D$5,$A$96:$A$131,0))</f>
        <v>689061.50673364894</v>
      </c>
      <c r="BZ85" s="36">
        <f>INDEX(BZ48:BZ83,MATCH(Dashboard!$D$5,$A$96:$A$131,0))</f>
        <v>925352.76570708456</v>
      </c>
      <c r="CA85" s="36">
        <f>INDEX(CA48:CA83,MATCH(Dashboard!$D$5,$A$96:$A$131,0))</f>
        <v>4652311.8515023887</v>
      </c>
      <c r="CB85" s="36">
        <f>INDEX(CB48:CB83,MATCH(Dashboard!$D$5,$A$96:$A$131,0))</f>
        <v>1782301.1619737623</v>
      </c>
      <c r="CC85" s="36">
        <f>INDEX(CC48:CC83,MATCH(Dashboard!$D$5,$A$96:$A$131,0))</f>
        <v>0</v>
      </c>
      <c r="CD85" s="36">
        <f>INDEX(CD48:CD83,MATCH(Dashboard!$D$5,$A$96:$A$131,0))</f>
        <v>451331.93499999976</v>
      </c>
      <c r="CE85" s="36">
        <f>INDEX(CE48:CE83,MATCH(Dashboard!$D$5,$A$96:$A$131,0))</f>
        <v>4652311.8515023887</v>
      </c>
      <c r="CF85" s="36">
        <f>INDEX(CF48:CF83,MATCH(Dashboard!$D$5,$A$96:$A$131,0))</f>
        <v>0</v>
      </c>
      <c r="CG85" s="36"/>
    </row>
    <row r="86" spans="1:85" s="465" customFormat="1" ht="15" customHeight="1">
      <c r="A86" s="465" t="s">
        <v>1049</v>
      </c>
      <c r="B86" s="469">
        <f>(B85-SUM('2.2 Energy Systems inputs'!F26:F27)*10^6*'3.1 Building Energy'!B20)/B85</f>
        <v>0.48618631568400561</v>
      </c>
      <c r="C86" s="469"/>
      <c r="Q86" s="468"/>
      <c r="R86" s="468"/>
      <c r="S86" s="468"/>
      <c r="T86" s="468"/>
      <c r="U86" s="468"/>
      <c r="V86" s="468"/>
      <c r="W86" s="468"/>
      <c r="X86" s="468"/>
      <c r="Y86" s="468"/>
      <c r="Z86" s="468"/>
      <c r="AA86" s="468"/>
      <c r="AB86" s="468"/>
      <c r="AC86" s="467"/>
      <c r="AE86" s="469"/>
      <c r="AF86" s="466"/>
      <c r="AR86" s="469"/>
      <c r="BD86" s="467"/>
      <c r="BG86" s="466"/>
      <c r="CE86" s="467"/>
    </row>
    <row r="87" spans="1:85" ht="15" customHeight="1">
      <c r="Q87" s="335"/>
      <c r="R87" s="335"/>
      <c r="S87" s="335"/>
      <c r="T87" s="335"/>
      <c r="U87" s="335"/>
      <c r="V87" s="335"/>
      <c r="W87" s="335"/>
      <c r="X87" s="335"/>
      <c r="Y87" s="335"/>
      <c r="Z87" s="335"/>
      <c r="AA87" s="335"/>
      <c r="AB87" s="335"/>
      <c r="AC87" s="69"/>
      <c r="BD87" s="69"/>
      <c r="CE87" s="69"/>
    </row>
    <row r="88" spans="1:85" s="301" customFormat="1" ht="15" customHeight="1">
      <c r="Q88" s="369"/>
      <c r="R88" s="369"/>
      <c r="S88" s="369"/>
      <c r="T88" s="369"/>
      <c r="U88" s="369"/>
      <c r="V88" s="369"/>
      <c r="W88" s="369"/>
      <c r="X88" s="369"/>
      <c r="Y88" s="369"/>
      <c r="Z88" s="369"/>
      <c r="AA88" s="369"/>
      <c r="AB88" s="369"/>
      <c r="AC88" s="370"/>
      <c r="BD88" s="370"/>
      <c r="CE88" s="370"/>
    </row>
    <row r="89" spans="1:85" s="60" customFormat="1">
      <c r="A89" s="38" t="s">
        <v>1035</v>
      </c>
      <c r="B89" s="336" t="s">
        <v>1036</v>
      </c>
      <c r="C89" s="336"/>
      <c r="D89" s="336" t="s">
        <v>1037</v>
      </c>
      <c r="E89" s="336"/>
      <c r="F89" s="336"/>
      <c r="G89" s="336"/>
      <c r="H89" s="336"/>
      <c r="I89" s="336"/>
      <c r="J89" s="336"/>
      <c r="K89" s="336"/>
      <c r="L89" s="336"/>
      <c r="M89" s="336"/>
      <c r="N89" s="336"/>
      <c r="O89" s="336"/>
      <c r="Q89" s="336" t="s">
        <v>1038</v>
      </c>
      <c r="R89" s="336"/>
      <c r="S89" s="336"/>
      <c r="T89" s="336"/>
      <c r="U89" s="336"/>
      <c r="V89" s="336"/>
      <c r="W89" s="336"/>
      <c r="X89" s="336"/>
      <c r="Y89" s="336"/>
      <c r="Z89" s="336"/>
      <c r="AA89" s="336"/>
      <c r="AB89" s="336"/>
      <c r="AC89" s="336"/>
      <c r="AE89" s="336" t="s">
        <v>1039</v>
      </c>
      <c r="AF89" s="336"/>
      <c r="AG89" s="336"/>
      <c r="AH89" s="336"/>
      <c r="AI89" s="336"/>
      <c r="AJ89" s="336"/>
      <c r="AK89" s="336"/>
      <c r="AL89" s="336"/>
      <c r="AM89" s="336"/>
      <c r="AN89" s="336"/>
      <c r="AO89" s="336"/>
      <c r="AP89" s="336"/>
      <c r="AR89" s="336" t="s">
        <v>1040</v>
      </c>
      <c r="AS89" s="336"/>
      <c r="AT89" s="336"/>
      <c r="AU89" s="336"/>
      <c r="AV89" s="336"/>
      <c r="AW89" s="336"/>
      <c r="AX89" s="336"/>
      <c r="AY89" s="336"/>
      <c r="AZ89" s="336"/>
      <c r="BA89" s="336"/>
      <c r="BB89" s="336"/>
      <c r="BC89" s="336"/>
      <c r="BD89" s="336"/>
      <c r="BF89" s="336" t="s">
        <v>1041</v>
      </c>
      <c r="BG89" s="336"/>
      <c r="BH89" s="336"/>
      <c r="BI89" s="336"/>
      <c r="BJ89" s="336"/>
      <c r="BK89" s="336"/>
      <c r="BL89" s="336"/>
      <c r="BM89" s="336"/>
      <c r="BN89" s="336"/>
      <c r="BO89" s="336"/>
      <c r="BP89" s="336"/>
      <c r="BQ89" s="336"/>
      <c r="BS89" s="336" t="s">
        <v>1042</v>
      </c>
      <c r="BT89" s="336"/>
      <c r="BU89" s="336"/>
      <c r="BV89" s="336"/>
      <c r="BW89" s="336"/>
      <c r="BX89" s="336"/>
      <c r="BY89" s="336"/>
      <c r="BZ89" s="336"/>
      <c r="CA89" s="336"/>
      <c r="CB89" s="336"/>
      <c r="CC89" s="336"/>
      <c r="CD89" s="336"/>
      <c r="CE89" s="336"/>
    </row>
    <row r="90" spans="1:85">
      <c r="Q90" s="115">
        <v>3481888.3851637477</v>
      </c>
    </row>
    <row r="91" spans="1:85">
      <c r="B91" s="116" t="s">
        <v>602</v>
      </c>
      <c r="C91" s="116"/>
      <c r="D91" s="340" t="s">
        <v>602</v>
      </c>
      <c r="E91" s="341"/>
      <c r="F91" s="341"/>
      <c r="G91" s="341"/>
      <c r="H91" s="341"/>
      <c r="I91" s="341"/>
      <c r="J91" s="341"/>
      <c r="K91" s="341"/>
      <c r="L91" s="341"/>
      <c r="M91" s="341"/>
      <c r="N91" s="341"/>
      <c r="O91" s="342"/>
      <c r="Q91" s="340" t="s">
        <v>602</v>
      </c>
      <c r="R91" s="341"/>
      <c r="S91" s="341"/>
      <c r="T91" s="341"/>
      <c r="U91" s="341"/>
      <c r="V91" s="341"/>
      <c r="W91" s="341"/>
      <c r="X91" s="341"/>
      <c r="Y91" s="341"/>
      <c r="Z91" s="341"/>
      <c r="AA91" s="341"/>
      <c r="AB91" s="342"/>
      <c r="AC91" s="371"/>
      <c r="AE91" s="121" t="s">
        <v>602</v>
      </c>
      <c r="AF91" s="122"/>
      <c r="AG91" s="122"/>
      <c r="AH91" s="122"/>
      <c r="AI91" s="122"/>
      <c r="AJ91" s="122"/>
      <c r="AK91" s="122"/>
      <c r="AL91" s="122"/>
      <c r="AM91" s="122"/>
      <c r="AN91" s="122"/>
      <c r="AO91" s="122"/>
      <c r="AP91" s="123"/>
      <c r="AR91" s="121" t="s">
        <v>602</v>
      </c>
      <c r="AS91" s="122"/>
      <c r="AT91" s="122"/>
      <c r="AU91" s="122"/>
      <c r="AV91" s="122"/>
      <c r="AW91" s="122"/>
      <c r="AX91" s="122"/>
      <c r="AY91" s="122"/>
      <c r="AZ91" s="122"/>
      <c r="BA91" s="122"/>
      <c r="BB91" s="122"/>
      <c r="BC91" s="123"/>
      <c r="BD91" s="123"/>
      <c r="BF91" s="337" t="s">
        <v>602</v>
      </c>
      <c r="BG91" s="338"/>
      <c r="BH91" s="338"/>
      <c r="BI91" s="338"/>
      <c r="BJ91" s="338"/>
      <c r="BK91" s="338"/>
      <c r="BL91" s="338"/>
      <c r="BM91" s="338"/>
      <c r="BN91" s="338"/>
      <c r="BO91" s="338"/>
      <c r="BP91" s="338"/>
      <c r="BQ91" s="339"/>
      <c r="BS91" s="337" t="s">
        <v>602</v>
      </c>
      <c r="BT91" s="338"/>
      <c r="BU91" s="338"/>
      <c r="BV91" s="338"/>
      <c r="BW91" s="338"/>
      <c r="BX91" s="338"/>
      <c r="BY91" s="338"/>
      <c r="BZ91" s="338"/>
      <c r="CA91" s="338"/>
      <c r="CB91" s="338"/>
      <c r="CC91" s="338"/>
      <c r="CD91" s="339"/>
      <c r="CE91" s="374"/>
    </row>
    <row r="92" spans="1:85" ht="15" customHeight="1">
      <c r="B92" s="124"/>
      <c r="C92" s="124"/>
      <c r="D92" s="346" t="s">
        <v>1044</v>
      </c>
      <c r="E92" s="347" t="s">
        <v>1044</v>
      </c>
      <c r="F92" s="347" t="s">
        <v>1044</v>
      </c>
      <c r="G92" s="347" t="s">
        <v>1044</v>
      </c>
      <c r="H92" s="347" t="s">
        <v>1044</v>
      </c>
      <c r="I92" s="347" t="s">
        <v>1044</v>
      </c>
      <c r="J92" s="347" t="s">
        <v>1044</v>
      </c>
      <c r="K92" s="347" t="s">
        <v>1044</v>
      </c>
      <c r="L92" s="347" t="s">
        <v>1044</v>
      </c>
      <c r="M92" s="347" t="s">
        <v>1044</v>
      </c>
      <c r="N92" s="347" t="s">
        <v>1044</v>
      </c>
      <c r="O92" s="348" t="s">
        <v>1044</v>
      </c>
      <c r="Q92" s="346" t="s">
        <v>1044</v>
      </c>
      <c r="R92" s="347" t="s">
        <v>1044</v>
      </c>
      <c r="S92" s="347" t="s">
        <v>1044</v>
      </c>
      <c r="T92" s="347" t="s">
        <v>1044</v>
      </c>
      <c r="U92" s="347" t="s">
        <v>1044</v>
      </c>
      <c r="V92" s="347" t="s">
        <v>1044</v>
      </c>
      <c r="W92" s="347" t="s">
        <v>1044</v>
      </c>
      <c r="X92" s="347" t="s">
        <v>1044</v>
      </c>
      <c r="Y92" s="347" t="s">
        <v>1044</v>
      </c>
      <c r="Z92" s="347" t="s">
        <v>1044</v>
      </c>
      <c r="AA92" s="347" t="s">
        <v>1044</v>
      </c>
      <c r="AB92" s="348" t="s">
        <v>1044</v>
      </c>
      <c r="AC92" s="372"/>
      <c r="AE92" s="126" t="s">
        <v>34</v>
      </c>
      <c r="AF92" s="127" t="s">
        <v>34</v>
      </c>
      <c r="AG92" s="127" t="s">
        <v>34</v>
      </c>
      <c r="AH92" s="127" t="s">
        <v>34</v>
      </c>
      <c r="AI92" s="127" t="s">
        <v>34</v>
      </c>
      <c r="AJ92" s="127" t="s">
        <v>34</v>
      </c>
      <c r="AK92" s="127" t="s">
        <v>34</v>
      </c>
      <c r="AL92" s="127" t="s">
        <v>34</v>
      </c>
      <c r="AM92" s="127" t="s">
        <v>34</v>
      </c>
      <c r="AN92" s="127" t="s">
        <v>34</v>
      </c>
      <c r="AO92" s="127" t="s">
        <v>34</v>
      </c>
      <c r="AP92" s="128" t="s">
        <v>34</v>
      </c>
      <c r="AR92" s="126" t="s">
        <v>34</v>
      </c>
      <c r="AS92" s="127" t="s">
        <v>34</v>
      </c>
      <c r="AT92" s="127" t="s">
        <v>34</v>
      </c>
      <c r="AU92" s="127" t="s">
        <v>34</v>
      </c>
      <c r="AV92" s="127" t="s">
        <v>34</v>
      </c>
      <c r="AW92" s="127" t="s">
        <v>34</v>
      </c>
      <c r="AX92" s="127" t="s">
        <v>34</v>
      </c>
      <c r="AY92" s="127" t="s">
        <v>34</v>
      </c>
      <c r="AZ92" s="127" t="s">
        <v>34</v>
      </c>
      <c r="BA92" s="127" t="s">
        <v>34</v>
      </c>
      <c r="BB92" s="127" t="s">
        <v>34</v>
      </c>
      <c r="BC92" s="128" t="s">
        <v>34</v>
      </c>
      <c r="BD92" s="128"/>
      <c r="BF92" s="343" t="s">
        <v>29</v>
      </c>
      <c r="BG92" s="344" t="s">
        <v>29</v>
      </c>
      <c r="BH92" s="344" t="s">
        <v>29</v>
      </c>
      <c r="BI92" s="344" t="s">
        <v>29</v>
      </c>
      <c r="BJ92" s="344" t="s">
        <v>29</v>
      </c>
      <c r="BK92" s="344" t="s">
        <v>29</v>
      </c>
      <c r="BL92" s="344" t="s">
        <v>29</v>
      </c>
      <c r="BM92" s="344" t="s">
        <v>29</v>
      </c>
      <c r="BN92" s="344" t="s">
        <v>29</v>
      </c>
      <c r="BO92" s="344" t="s">
        <v>29</v>
      </c>
      <c r="BP92" s="344" t="s">
        <v>29</v>
      </c>
      <c r="BQ92" s="345" t="s">
        <v>29</v>
      </c>
      <c r="BS92" s="343" t="s">
        <v>29</v>
      </c>
      <c r="BT92" s="344" t="s">
        <v>29</v>
      </c>
      <c r="BU92" s="344" t="s">
        <v>29</v>
      </c>
      <c r="BV92" s="344" t="s">
        <v>29</v>
      </c>
      <c r="BW92" s="344" t="s">
        <v>29</v>
      </c>
      <c r="BX92" s="344" t="s">
        <v>29</v>
      </c>
      <c r="BY92" s="344" t="s">
        <v>29</v>
      </c>
      <c r="BZ92" s="344" t="s">
        <v>29</v>
      </c>
      <c r="CA92" s="344" t="s">
        <v>29</v>
      </c>
      <c r="CB92" s="344" t="s">
        <v>29</v>
      </c>
      <c r="CC92" s="344" t="s">
        <v>29</v>
      </c>
      <c r="CD92" s="345" t="s">
        <v>29</v>
      </c>
      <c r="CE92" s="375"/>
    </row>
    <row r="93" spans="1:85">
      <c r="B93" s="129">
        <v>2015</v>
      </c>
      <c r="C93" s="129"/>
      <c r="D93" s="353">
        <v>2025</v>
      </c>
      <c r="E93" s="354">
        <v>2025</v>
      </c>
      <c r="F93" s="354">
        <v>2025</v>
      </c>
      <c r="G93" s="354">
        <v>2025</v>
      </c>
      <c r="H93" s="354">
        <v>2025</v>
      </c>
      <c r="I93" s="354">
        <v>2025</v>
      </c>
      <c r="J93" s="354">
        <v>2025</v>
      </c>
      <c r="K93" s="354">
        <v>2025</v>
      </c>
      <c r="L93" s="354">
        <v>2025</v>
      </c>
      <c r="M93" s="354">
        <v>2025</v>
      </c>
      <c r="N93" s="354">
        <v>2025</v>
      </c>
      <c r="O93" s="355">
        <v>2025</v>
      </c>
      <c r="Q93" s="353">
        <v>2050</v>
      </c>
      <c r="R93" s="354">
        <v>2050</v>
      </c>
      <c r="S93" s="354">
        <v>2050</v>
      </c>
      <c r="T93" s="354">
        <v>2050</v>
      </c>
      <c r="U93" s="354">
        <v>2050</v>
      </c>
      <c r="V93" s="354">
        <v>2050</v>
      </c>
      <c r="W93" s="354">
        <v>2050</v>
      </c>
      <c r="X93" s="354">
        <v>2050</v>
      </c>
      <c r="Y93" s="354">
        <v>2050</v>
      </c>
      <c r="Z93" s="354">
        <v>2050</v>
      </c>
      <c r="AA93" s="354">
        <v>2050</v>
      </c>
      <c r="AB93" s="355">
        <v>2050</v>
      </c>
      <c r="AC93" s="372"/>
      <c r="AE93" s="130">
        <v>2025</v>
      </c>
      <c r="AF93" s="131">
        <v>2025</v>
      </c>
      <c r="AG93" s="131">
        <v>2025</v>
      </c>
      <c r="AH93" s="131">
        <v>2025</v>
      </c>
      <c r="AI93" s="131">
        <v>2025</v>
      </c>
      <c r="AJ93" s="131">
        <v>2025</v>
      </c>
      <c r="AK93" s="131">
        <v>2025</v>
      </c>
      <c r="AL93" s="131">
        <v>2025</v>
      </c>
      <c r="AM93" s="131">
        <v>2025</v>
      </c>
      <c r="AN93" s="131">
        <v>2025</v>
      </c>
      <c r="AO93" s="131">
        <v>2025</v>
      </c>
      <c r="AP93" s="132">
        <v>2025</v>
      </c>
      <c r="AR93" s="130">
        <v>2050</v>
      </c>
      <c r="AS93" s="131">
        <v>2050</v>
      </c>
      <c r="AT93" s="131">
        <v>2050</v>
      </c>
      <c r="AU93" s="131">
        <v>2050</v>
      </c>
      <c r="AV93" s="131">
        <v>2050</v>
      </c>
      <c r="AW93" s="131">
        <v>2050</v>
      </c>
      <c r="AX93" s="131">
        <v>2050</v>
      </c>
      <c r="AY93" s="131">
        <v>2050</v>
      </c>
      <c r="AZ93" s="131">
        <v>2050</v>
      </c>
      <c r="BA93" s="131">
        <v>2050</v>
      </c>
      <c r="BB93" s="131">
        <v>2050</v>
      </c>
      <c r="BC93" s="132">
        <v>2050</v>
      </c>
      <c r="BD93" s="132"/>
      <c r="BF93" s="350">
        <v>2025</v>
      </c>
      <c r="BG93" s="351">
        <v>2025</v>
      </c>
      <c r="BH93" s="351">
        <v>2025</v>
      </c>
      <c r="BI93" s="351">
        <v>2025</v>
      </c>
      <c r="BJ93" s="351">
        <v>2025</v>
      </c>
      <c r="BK93" s="351">
        <v>2025</v>
      </c>
      <c r="BL93" s="351">
        <v>2025</v>
      </c>
      <c r="BM93" s="351">
        <v>2025</v>
      </c>
      <c r="BN93" s="351">
        <v>2025</v>
      </c>
      <c r="BO93" s="351">
        <v>2025</v>
      </c>
      <c r="BP93" s="351">
        <v>2025</v>
      </c>
      <c r="BQ93" s="352">
        <v>2025</v>
      </c>
      <c r="BS93" s="350">
        <v>2050</v>
      </c>
      <c r="BT93" s="351">
        <v>2050</v>
      </c>
      <c r="BU93" s="351">
        <v>2050</v>
      </c>
      <c r="BV93" s="351">
        <v>2050</v>
      </c>
      <c r="BW93" s="351">
        <v>2050</v>
      </c>
      <c r="BX93" s="351">
        <v>2050</v>
      </c>
      <c r="BY93" s="351">
        <v>2050</v>
      </c>
      <c r="BZ93" s="351">
        <v>2050</v>
      </c>
      <c r="CA93" s="351">
        <v>2050</v>
      </c>
      <c r="CB93" s="351">
        <v>2050</v>
      </c>
      <c r="CC93" s="351">
        <v>2050</v>
      </c>
      <c r="CD93" s="352">
        <v>2050</v>
      </c>
      <c r="CE93" s="375"/>
    </row>
    <row r="94" spans="1:85" ht="43.5" customHeight="1">
      <c r="B94" s="133" t="s">
        <v>264</v>
      </c>
      <c r="C94" s="133"/>
      <c r="D94" s="360" t="s">
        <v>613</v>
      </c>
      <c r="E94" s="361" t="s">
        <v>264</v>
      </c>
      <c r="F94" s="361" t="s">
        <v>265</v>
      </c>
      <c r="G94" s="361" t="s">
        <v>266</v>
      </c>
      <c r="H94" s="361" t="s">
        <v>614</v>
      </c>
      <c r="I94" s="361" t="s">
        <v>615</v>
      </c>
      <c r="J94" s="361" t="s">
        <v>268</v>
      </c>
      <c r="K94" s="361" t="s">
        <v>616</v>
      </c>
      <c r="L94" s="361" t="s">
        <v>617</v>
      </c>
      <c r="M94" s="361" t="s">
        <v>271</v>
      </c>
      <c r="N94" s="361" t="s">
        <v>272</v>
      </c>
      <c r="O94" s="362" t="s">
        <v>619</v>
      </c>
      <c r="Q94" s="360" t="s">
        <v>613</v>
      </c>
      <c r="R94" s="361" t="s">
        <v>264</v>
      </c>
      <c r="S94" s="361" t="s">
        <v>265</v>
      </c>
      <c r="T94" s="361" t="s">
        <v>266</v>
      </c>
      <c r="U94" s="361" t="s">
        <v>614</v>
      </c>
      <c r="V94" s="361" t="s">
        <v>615</v>
      </c>
      <c r="W94" s="361" t="s">
        <v>268</v>
      </c>
      <c r="X94" s="361" t="s">
        <v>616</v>
      </c>
      <c r="Y94" s="361" t="s">
        <v>617</v>
      </c>
      <c r="Z94" s="361" t="s">
        <v>271</v>
      </c>
      <c r="AA94" s="361" t="s">
        <v>272</v>
      </c>
      <c r="AB94" s="362" t="s">
        <v>619</v>
      </c>
      <c r="AC94" s="361"/>
      <c r="AE94" s="111" t="s">
        <v>613</v>
      </c>
      <c r="AF94" s="112" t="s">
        <v>264</v>
      </c>
      <c r="AG94" s="112" t="s">
        <v>265</v>
      </c>
      <c r="AH94" s="112" t="s">
        <v>266</v>
      </c>
      <c r="AI94" s="112" t="s">
        <v>614</v>
      </c>
      <c r="AJ94" s="112" t="s">
        <v>615</v>
      </c>
      <c r="AK94" s="112" t="s">
        <v>268</v>
      </c>
      <c r="AL94" s="112" t="s">
        <v>616</v>
      </c>
      <c r="AM94" s="112" t="s">
        <v>617</v>
      </c>
      <c r="AN94" s="112" t="s">
        <v>271</v>
      </c>
      <c r="AO94" s="112" t="s">
        <v>272</v>
      </c>
      <c r="AP94" s="113" t="s">
        <v>619</v>
      </c>
      <c r="AR94" s="111" t="s">
        <v>613</v>
      </c>
      <c r="AS94" s="112" t="s">
        <v>264</v>
      </c>
      <c r="AT94" s="112" t="s">
        <v>265</v>
      </c>
      <c r="AU94" s="112" t="s">
        <v>266</v>
      </c>
      <c r="AV94" s="112" t="s">
        <v>614</v>
      </c>
      <c r="AW94" s="112" t="s">
        <v>615</v>
      </c>
      <c r="AX94" s="112" t="s">
        <v>268</v>
      </c>
      <c r="AY94" s="112" t="s">
        <v>616</v>
      </c>
      <c r="AZ94" s="112" t="s">
        <v>617</v>
      </c>
      <c r="BA94" s="112" t="s">
        <v>271</v>
      </c>
      <c r="BB94" s="112" t="s">
        <v>272</v>
      </c>
      <c r="BC94" s="113" t="s">
        <v>619</v>
      </c>
      <c r="BD94" s="113"/>
      <c r="BF94" s="357" t="s">
        <v>613</v>
      </c>
      <c r="BG94" s="358" t="s">
        <v>264</v>
      </c>
      <c r="BH94" s="358" t="s">
        <v>265</v>
      </c>
      <c r="BI94" s="358" t="s">
        <v>266</v>
      </c>
      <c r="BJ94" s="358" t="s">
        <v>614</v>
      </c>
      <c r="BK94" s="358" t="s">
        <v>615</v>
      </c>
      <c r="BL94" s="358" t="s">
        <v>268</v>
      </c>
      <c r="BM94" s="358" t="s">
        <v>616</v>
      </c>
      <c r="BN94" s="358" t="s">
        <v>617</v>
      </c>
      <c r="BO94" s="358" t="s">
        <v>271</v>
      </c>
      <c r="BP94" s="358" t="s">
        <v>272</v>
      </c>
      <c r="BQ94" s="359" t="s">
        <v>619</v>
      </c>
      <c r="BS94" s="357" t="s">
        <v>613</v>
      </c>
      <c r="BT94" s="358" t="s">
        <v>264</v>
      </c>
      <c r="BU94" s="358" t="s">
        <v>265</v>
      </c>
      <c r="BV94" s="358" t="s">
        <v>266</v>
      </c>
      <c r="BW94" s="358" t="s">
        <v>614</v>
      </c>
      <c r="BX94" s="358" t="s">
        <v>615</v>
      </c>
      <c r="BY94" s="358" t="s">
        <v>268</v>
      </c>
      <c r="BZ94" s="358" t="s">
        <v>616</v>
      </c>
      <c r="CA94" s="358" t="s">
        <v>617</v>
      </c>
      <c r="CB94" s="358" t="s">
        <v>271</v>
      </c>
      <c r="CC94" s="358" t="s">
        <v>272</v>
      </c>
      <c r="CD94" s="359" t="s">
        <v>619</v>
      </c>
      <c r="CE94" s="738"/>
    </row>
    <row r="95" spans="1:85" s="60" customFormat="1">
      <c r="A95" s="137" t="s">
        <v>142</v>
      </c>
      <c r="B95" s="138"/>
      <c r="C95" s="138"/>
      <c r="D95" s="366"/>
      <c r="E95" s="367"/>
      <c r="F95" s="367"/>
      <c r="G95" s="367"/>
      <c r="H95" s="367"/>
      <c r="I95" s="367"/>
      <c r="J95" s="367"/>
      <c r="K95" s="367"/>
      <c r="L95" s="367"/>
      <c r="M95" s="367"/>
      <c r="N95" s="367"/>
      <c r="O95" s="368"/>
      <c r="P95" s="137"/>
      <c r="Q95" s="366"/>
      <c r="R95" s="367"/>
      <c r="S95" s="367"/>
      <c r="T95" s="367"/>
      <c r="U95" s="367"/>
      <c r="V95" s="367"/>
      <c r="W95" s="367"/>
      <c r="X95" s="367"/>
      <c r="Y95" s="367"/>
      <c r="Z95" s="367"/>
      <c r="AA95" s="367"/>
      <c r="AB95" s="368"/>
      <c r="AC95" s="373"/>
      <c r="AD95" s="137"/>
      <c r="AE95" s="139"/>
      <c r="AF95" s="140"/>
      <c r="AG95" s="140"/>
      <c r="AH95" s="140"/>
      <c r="AI95" s="140"/>
      <c r="AJ95" s="140"/>
      <c r="AK95" s="140"/>
      <c r="AL95" s="140"/>
      <c r="AM95" s="140"/>
      <c r="AN95" s="140"/>
      <c r="AO95" s="140"/>
      <c r="AP95" s="141"/>
      <c r="AQ95" s="137"/>
      <c r="AR95" s="139"/>
      <c r="AS95" s="140"/>
      <c r="AT95" s="140"/>
      <c r="AU95" s="140"/>
      <c r="AV95" s="140"/>
      <c r="AW95" s="140"/>
      <c r="AX95" s="140"/>
      <c r="AY95" s="140"/>
      <c r="AZ95" s="140"/>
      <c r="BA95" s="140"/>
      <c r="BB95" s="140"/>
      <c r="BC95" s="141"/>
      <c r="BD95" s="141"/>
      <c r="BE95" s="137"/>
      <c r="BF95" s="363"/>
      <c r="BG95" s="364"/>
      <c r="BH95" s="364"/>
      <c r="BI95" s="364"/>
      <c r="BJ95" s="364"/>
      <c r="BK95" s="364"/>
      <c r="BL95" s="364"/>
      <c r="BM95" s="364"/>
      <c r="BN95" s="364"/>
      <c r="BO95" s="364"/>
      <c r="BP95" s="364"/>
      <c r="BQ95" s="365"/>
      <c r="BR95" s="137"/>
      <c r="BS95" s="363"/>
      <c r="BT95" s="364"/>
      <c r="BU95" s="364"/>
      <c r="BV95" s="364"/>
      <c r="BW95" s="364"/>
      <c r="BX95" s="364"/>
      <c r="BY95" s="364"/>
      <c r="BZ95" s="364"/>
      <c r="CA95" s="364"/>
      <c r="CB95" s="364"/>
      <c r="CC95" s="364"/>
      <c r="CD95" s="365"/>
      <c r="CE95" s="738"/>
      <c r="CF95" s="137"/>
      <c r="CG95" s="137"/>
    </row>
    <row r="96" spans="1:85">
      <c r="A96" s="142" t="s">
        <v>626</v>
      </c>
      <c r="B96" s="36">
        <v>15776.535</v>
      </c>
      <c r="C96" s="36"/>
      <c r="D96" s="39">
        <v>0</v>
      </c>
      <c r="E96" s="39">
        <v>0</v>
      </c>
      <c r="F96" s="39">
        <v>0</v>
      </c>
      <c r="G96" s="39">
        <v>0</v>
      </c>
      <c r="H96" s="39">
        <v>0</v>
      </c>
      <c r="I96" s="39">
        <v>0</v>
      </c>
      <c r="J96" s="39">
        <v>0</v>
      </c>
      <c r="K96" s="39">
        <v>0</v>
      </c>
      <c r="L96" s="39">
        <v>0</v>
      </c>
      <c r="M96" s="39">
        <v>0</v>
      </c>
      <c r="N96" s="39">
        <v>0</v>
      </c>
      <c r="O96" s="39">
        <v>1.821042184348903E-2</v>
      </c>
      <c r="P96" s="39">
        <v>0</v>
      </c>
      <c r="Q96" s="39">
        <v>3.6474667182090276E-2</v>
      </c>
      <c r="R96" s="39">
        <v>0</v>
      </c>
      <c r="S96" s="39">
        <v>0</v>
      </c>
      <c r="T96" s="39">
        <v>0</v>
      </c>
      <c r="U96" s="39">
        <v>7.2078131882940847E-3</v>
      </c>
      <c r="V96" s="39">
        <v>0</v>
      </c>
      <c r="W96" s="39">
        <v>0</v>
      </c>
      <c r="X96" s="39">
        <v>0</v>
      </c>
      <c r="Y96" s="39">
        <v>2.1838794007583754E-3</v>
      </c>
      <c r="Z96" s="39">
        <v>0</v>
      </c>
      <c r="AA96" s="39">
        <v>0</v>
      </c>
      <c r="AB96" s="39">
        <v>1.821042184348903E-2</v>
      </c>
      <c r="AC96" s="39"/>
      <c r="AD96" s="36">
        <v>0</v>
      </c>
      <c r="AE96" s="39">
        <v>1.6730141423230867E-2</v>
      </c>
      <c r="AF96" s="39">
        <v>0</v>
      </c>
      <c r="AG96" s="39">
        <v>0</v>
      </c>
      <c r="AH96" s="39">
        <v>0</v>
      </c>
      <c r="AI96" s="39">
        <v>0</v>
      </c>
      <c r="AJ96" s="39">
        <v>0</v>
      </c>
      <c r="AK96" s="39">
        <v>0</v>
      </c>
      <c r="AL96" s="39">
        <v>0</v>
      </c>
      <c r="AM96" s="39">
        <v>0</v>
      </c>
      <c r="AN96" s="39">
        <v>0</v>
      </c>
      <c r="AO96" s="39">
        <v>0</v>
      </c>
      <c r="AP96" s="39">
        <v>1.821042184348903E-2</v>
      </c>
      <c r="AQ96" s="39">
        <v>0</v>
      </c>
      <c r="AR96" s="39">
        <v>2.9323353063583423E-2</v>
      </c>
      <c r="AS96" s="39">
        <v>0</v>
      </c>
      <c r="AT96" s="39">
        <v>0</v>
      </c>
      <c r="AU96" s="39">
        <v>0</v>
      </c>
      <c r="AV96" s="39">
        <v>6.6503030116148885E-3</v>
      </c>
      <c r="AW96" s="39">
        <v>0</v>
      </c>
      <c r="AX96" s="39">
        <v>0</v>
      </c>
      <c r="AY96" s="39">
        <v>0</v>
      </c>
      <c r="AZ96" s="39">
        <v>2.0595530022949702E-3</v>
      </c>
      <c r="BA96" s="39">
        <v>0</v>
      </c>
      <c r="BB96" s="39">
        <v>0</v>
      </c>
      <c r="BC96" s="39">
        <v>1.821042184348903E-2</v>
      </c>
      <c r="BD96" s="39"/>
      <c r="BE96" s="39">
        <v>0</v>
      </c>
      <c r="BF96" s="39">
        <v>3.7224093607896865E-2</v>
      </c>
      <c r="BG96" s="39">
        <v>6.1365123591724715E-3</v>
      </c>
      <c r="BH96" s="39">
        <v>0</v>
      </c>
      <c r="BI96" s="39">
        <v>0</v>
      </c>
      <c r="BJ96" s="39">
        <v>0</v>
      </c>
      <c r="BK96" s="39">
        <v>0</v>
      </c>
      <c r="BL96" s="39">
        <v>0</v>
      </c>
      <c r="BM96" s="39">
        <v>0</v>
      </c>
      <c r="BN96" s="39">
        <v>0</v>
      </c>
      <c r="BO96" s="39">
        <v>0</v>
      </c>
      <c r="BP96" s="39">
        <v>0</v>
      </c>
      <c r="BQ96" s="39">
        <v>1.821042184348903E-2</v>
      </c>
      <c r="BR96" s="39">
        <v>0</v>
      </c>
      <c r="BS96" s="39">
        <v>3.5033260893634656E-2</v>
      </c>
      <c r="BT96" s="39">
        <v>0</v>
      </c>
      <c r="BU96" s="39">
        <v>0</v>
      </c>
      <c r="BV96" s="39">
        <v>0</v>
      </c>
      <c r="BW96" s="39">
        <v>4.0324408640590968E-3</v>
      </c>
      <c r="BX96" s="39">
        <v>2.9144699534317006E-3</v>
      </c>
      <c r="BY96" s="39">
        <v>0</v>
      </c>
      <c r="BZ96" s="39">
        <v>4.5369741912898685E-3</v>
      </c>
      <c r="CA96" s="39">
        <v>1.7499061135864509E-3</v>
      </c>
      <c r="CB96" s="39">
        <v>0</v>
      </c>
      <c r="CC96" s="39">
        <v>0</v>
      </c>
      <c r="CD96" s="39">
        <v>1.821042184348903E-2</v>
      </c>
      <c r="CE96" s="39"/>
      <c r="CF96" s="39">
        <v>0</v>
      </c>
      <c r="CG96" s="39">
        <v>0</v>
      </c>
    </row>
    <row r="97" spans="1:85">
      <c r="A97" s="143" t="s">
        <v>627</v>
      </c>
      <c r="B97" s="36">
        <v>48995.75</v>
      </c>
      <c r="C97" s="36"/>
      <c r="D97" s="39">
        <v>0</v>
      </c>
      <c r="E97" s="39">
        <v>0</v>
      </c>
      <c r="F97" s="39">
        <v>0</v>
      </c>
      <c r="G97" s="39">
        <v>0</v>
      </c>
      <c r="H97" s="39">
        <v>0</v>
      </c>
      <c r="I97" s="39">
        <v>0</v>
      </c>
      <c r="J97" s="39">
        <v>0</v>
      </c>
      <c r="K97" s="39">
        <v>0</v>
      </c>
      <c r="L97" s="39">
        <v>0</v>
      </c>
      <c r="M97" s="39">
        <v>0</v>
      </c>
      <c r="N97" s="39">
        <v>0</v>
      </c>
      <c r="O97" s="39">
        <v>5.6554451027309084E-2</v>
      </c>
      <c r="P97" s="39">
        <v>0</v>
      </c>
      <c r="Q97" s="39">
        <v>0</v>
      </c>
      <c r="R97" s="39">
        <v>0</v>
      </c>
      <c r="S97" s="39">
        <v>0</v>
      </c>
      <c r="T97" s="39">
        <v>0</v>
      </c>
      <c r="U97" s="39">
        <v>1.307969208524197E-3</v>
      </c>
      <c r="V97" s="39">
        <v>0</v>
      </c>
      <c r="W97" s="39">
        <v>0</v>
      </c>
      <c r="X97" s="39">
        <v>0</v>
      </c>
      <c r="Y97" s="39">
        <v>1.0999658227562957E-2</v>
      </c>
      <c r="Z97" s="39">
        <v>0</v>
      </c>
      <c r="AA97" s="39">
        <v>0</v>
      </c>
      <c r="AB97" s="39">
        <v>5.6554451027309084E-2</v>
      </c>
      <c r="AC97" s="39"/>
      <c r="AD97" s="36">
        <v>0</v>
      </c>
      <c r="AE97" s="39">
        <v>0</v>
      </c>
      <c r="AF97" s="39">
        <v>1.6481257499249141E-2</v>
      </c>
      <c r="AG97" s="39">
        <v>0</v>
      </c>
      <c r="AH97" s="39">
        <v>0</v>
      </c>
      <c r="AI97" s="39">
        <v>0</v>
      </c>
      <c r="AJ97" s="39">
        <v>0</v>
      </c>
      <c r="AK97" s="39">
        <v>0</v>
      </c>
      <c r="AL97" s="39">
        <v>0</v>
      </c>
      <c r="AM97" s="39">
        <v>0</v>
      </c>
      <c r="AN97" s="39">
        <v>0</v>
      </c>
      <c r="AO97" s="39">
        <v>0</v>
      </c>
      <c r="AP97" s="39">
        <v>5.6554451027309084E-2</v>
      </c>
      <c r="AQ97" s="39">
        <v>0</v>
      </c>
      <c r="AR97" s="39">
        <v>0</v>
      </c>
      <c r="AS97" s="39">
        <v>0</v>
      </c>
      <c r="AT97" s="39">
        <v>0</v>
      </c>
      <c r="AU97" s="39">
        <v>0</v>
      </c>
      <c r="AV97" s="39">
        <v>2.2167676705382965E-3</v>
      </c>
      <c r="AW97" s="39">
        <v>0</v>
      </c>
      <c r="AX97" s="39">
        <v>0</v>
      </c>
      <c r="AY97" s="39">
        <v>0</v>
      </c>
      <c r="AZ97" s="39">
        <v>9.300119050493643E-3</v>
      </c>
      <c r="BA97" s="39">
        <v>0</v>
      </c>
      <c r="BB97" s="39">
        <v>0</v>
      </c>
      <c r="BC97" s="39">
        <v>5.6554451027309084E-2</v>
      </c>
      <c r="BD97" s="39"/>
      <c r="BE97" s="39">
        <v>0</v>
      </c>
      <c r="BF97" s="39">
        <v>0</v>
      </c>
      <c r="BG97" s="39">
        <v>2.5109965159418591E-2</v>
      </c>
      <c r="BH97" s="39">
        <v>0</v>
      </c>
      <c r="BI97" s="39">
        <v>0</v>
      </c>
      <c r="BJ97" s="39">
        <v>0</v>
      </c>
      <c r="BK97" s="39">
        <v>0</v>
      </c>
      <c r="BL97" s="39">
        <v>0</v>
      </c>
      <c r="BM97" s="39">
        <v>0</v>
      </c>
      <c r="BN97" s="39">
        <v>0</v>
      </c>
      <c r="BO97" s="39">
        <v>0</v>
      </c>
      <c r="BP97" s="39">
        <v>0</v>
      </c>
      <c r="BQ97" s="39">
        <v>5.6554451027309084E-2</v>
      </c>
      <c r="BR97" s="39">
        <v>0</v>
      </c>
      <c r="BS97" s="39">
        <v>0</v>
      </c>
      <c r="BT97" s="39">
        <v>0</v>
      </c>
      <c r="BU97" s="39">
        <v>0</v>
      </c>
      <c r="BV97" s="39">
        <v>0</v>
      </c>
      <c r="BW97" s="39">
        <v>2.6882939093727316E-3</v>
      </c>
      <c r="BX97" s="39">
        <v>2.8375849005835712E-2</v>
      </c>
      <c r="BY97" s="39">
        <v>0</v>
      </c>
      <c r="BZ97" s="39">
        <v>6.5958774810406448E-3</v>
      </c>
      <c r="CA97" s="39">
        <v>3.0018471639891727E-3</v>
      </c>
      <c r="CB97" s="39">
        <v>0</v>
      </c>
      <c r="CC97" s="39">
        <v>0</v>
      </c>
      <c r="CD97" s="39">
        <v>5.6554451027309084E-2</v>
      </c>
      <c r="CE97" s="39"/>
      <c r="CF97" s="39">
        <v>0</v>
      </c>
      <c r="CG97" s="39">
        <v>0</v>
      </c>
    </row>
    <row r="98" spans="1:85">
      <c r="A98" s="143" t="s">
        <v>628</v>
      </c>
      <c r="B98" s="36">
        <v>4035.49</v>
      </c>
      <c r="C98" s="36"/>
      <c r="D98" s="39">
        <v>0</v>
      </c>
      <c r="E98" s="39">
        <v>0</v>
      </c>
      <c r="F98" s="39">
        <v>0</v>
      </c>
      <c r="G98" s="39">
        <v>0</v>
      </c>
      <c r="H98" s="39">
        <v>0</v>
      </c>
      <c r="I98" s="39">
        <v>0</v>
      </c>
      <c r="J98" s="39">
        <v>0</v>
      </c>
      <c r="K98" s="39">
        <v>0</v>
      </c>
      <c r="L98" s="39">
        <v>0</v>
      </c>
      <c r="M98" s="39">
        <v>0</v>
      </c>
      <c r="N98" s="39">
        <v>0</v>
      </c>
      <c r="O98" s="39">
        <v>4.6580554757544379E-3</v>
      </c>
      <c r="P98" s="39">
        <v>0</v>
      </c>
      <c r="Q98" s="39">
        <v>2.5125622850403515E-2</v>
      </c>
      <c r="R98" s="39">
        <v>0</v>
      </c>
      <c r="S98" s="39">
        <v>0</v>
      </c>
      <c r="T98" s="39">
        <v>0</v>
      </c>
      <c r="U98" s="39">
        <v>0</v>
      </c>
      <c r="V98" s="39">
        <v>0</v>
      </c>
      <c r="W98" s="39">
        <v>0</v>
      </c>
      <c r="X98" s="39">
        <v>0</v>
      </c>
      <c r="Y98" s="39">
        <v>0</v>
      </c>
      <c r="Z98" s="39">
        <v>0</v>
      </c>
      <c r="AA98" s="39">
        <v>0</v>
      </c>
      <c r="AB98" s="39">
        <v>4.6580554757544379E-3</v>
      </c>
      <c r="AC98" s="39"/>
      <c r="AD98" s="36">
        <v>0</v>
      </c>
      <c r="AE98" s="39">
        <v>4.0111312456531913E-2</v>
      </c>
      <c r="AF98" s="39">
        <v>0</v>
      </c>
      <c r="AG98" s="39">
        <v>0</v>
      </c>
      <c r="AH98" s="39">
        <v>0</v>
      </c>
      <c r="AI98" s="39">
        <v>0</v>
      </c>
      <c r="AJ98" s="39">
        <v>0</v>
      </c>
      <c r="AK98" s="39">
        <v>0</v>
      </c>
      <c r="AL98" s="39">
        <v>0</v>
      </c>
      <c r="AM98" s="39">
        <v>0</v>
      </c>
      <c r="AN98" s="39">
        <v>0</v>
      </c>
      <c r="AO98" s="39">
        <v>0</v>
      </c>
      <c r="AP98" s="39">
        <v>4.6580554757544379E-3</v>
      </c>
      <c r="AQ98" s="39">
        <v>0</v>
      </c>
      <c r="AR98" s="39">
        <v>2.0355119176546557E-2</v>
      </c>
      <c r="AS98" s="39">
        <v>0</v>
      </c>
      <c r="AT98" s="39">
        <v>0</v>
      </c>
      <c r="AU98" s="39">
        <v>0</v>
      </c>
      <c r="AV98" s="39">
        <v>0</v>
      </c>
      <c r="AW98" s="39">
        <v>0</v>
      </c>
      <c r="AX98" s="39">
        <v>0</v>
      </c>
      <c r="AY98" s="39">
        <v>0</v>
      </c>
      <c r="AZ98" s="39">
        <v>0</v>
      </c>
      <c r="BA98" s="39">
        <v>0</v>
      </c>
      <c r="BB98" s="39">
        <v>0</v>
      </c>
      <c r="BC98" s="39">
        <v>4.6580554757544379E-3</v>
      </c>
      <c r="BD98" s="39"/>
      <c r="BE98" s="39">
        <v>0</v>
      </c>
      <c r="BF98" s="39">
        <v>3.486949221500929E-2</v>
      </c>
      <c r="BG98" s="39">
        <v>3.369846517716997E-3</v>
      </c>
      <c r="BH98" s="39">
        <v>0</v>
      </c>
      <c r="BI98" s="39">
        <v>0</v>
      </c>
      <c r="BJ98" s="39">
        <v>0</v>
      </c>
      <c r="BK98" s="39">
        <v>0</v>
      </c>
      <c r="BL98" s="39">
        <v>0</v>
      </c>
      <c r="BM98" s="39">
        <v>0</v>
      </c>
      <c r="BN98" s="39">
        <v>0</v>
      </c>
      <c r="BO98" s="39">
        <v>0</v>
      </c>
      <c r="BP98" s="39">
        <v>0</v>
      </c>
      <c r="BQ98" s="39">
        <v>4.6580554757544379E-3</v>
      </c>
      <c r="BR98" s="39">
        <v>0</v>
      </c>
      <c r="BS98" s="39">
        <v>2.3359392221493993E-2</v>
      </c>
      <c r="BT98" s="39">
        <v>0</v>
      </c>
      <c r="BU98" s="39">
        <v>0</v>
      </c>
      <c r="BV98" s="39">
        <v>0</v>
      </c>
      <c r="BW98" s="39">
        <v>0</v>
      </c>
      <c r="BX98" s="39">
        <v>0</v>
      </c>
      <c r="BY98" s="39">
        <v>0</v>
      </c>
      <c r="BZ98" s="39">
        <v>0</v>
      </c>
      <c r="CA98" s="39">
        <v>0</v>
      </c>
      <c r="CB98" s="39">
        <v>0</v>
      </c>
      <c r="CC98" s="39">
        <v>0</v>
      </c>
      <c r="CD98" s="39">
        <v>4.6580554757544379E-3</v>
      </c>
      <c r="CE98" s="39"/>
      <c r="CF98" s="39">
        <v>0</v>
      </c>
      <c r="CG98" s="39">
        <v>0</v>
      </c>
    </row>
    <row r="99" spans="1:85">
      <c r="A99" s="143" t="s">
        <v>629</v>
      </c>
      <c r="B99" s="36">
        <v>17164.395</v>
      </c>
      <c r="C99" s="36"/>
      <c r="D99" s="39">
        <v>6.5957183879434028E-2</v>
      </c>
      <c r="E99" s="39">
        <v>0</v>
      </c>
      <c r="F99" s="39">
        <v>0</v>
      </c>
      <c r="G99" s="39">
        <v>0</v>
      </c>
      <c r="H99" s="39">
        <v>0</v>
      </c>
      <c r="I99" s="39">
        <v>0</v>
      </c>
      <c r="J99" s="39">
        <v>0</v>
      </c>
      <c r="K99" s="39">
        <v>0</v>
      </c>
      <c r="L99" s="39">
        <v>0</v>
      </c>
      <c r="M99" s="39">
        <v>0</v>
      </c>
      <c r="N99" s="39">
        <v>0</v>
      </c>
      <c r="O99" s="39">
        <v>1.9812390593896185E-2</v>
      </c>
      <c r="P99" s="39">
        <v>0</v>
      </c>
      <c r="Q99" s="39">
        <v>5.8610028496865613E-2</v>
      </c>
      <c r="R99" s="39">
        <v>0</v>
      </c>
      <c r="S99" s="39">
        <v>6.6521241327044831E-2</v>
      </c>
      <c r="T99" s="39">
        <v>0</v>
      </c>
      <c r="U99" s="39">
        <v>5.2357922463156029E-2</v>
      </c>
      <c r="V99" s="39">
        <v>0</v>
      </c>
      <c r="W99" s="39">
        <v>0</v>
      </c>
      <c r="X99" s="39">
        <v>0</v>
      </c>
      <c r="Y99" s="39">
        <v>9.1606809566271361E-3</v>
      </c>
      <c r="Z99" s="39">
        <v>0</v>
      </c>
      <c r="AA99" s="39">
        <v>0</v>
      </c>
      <c r="AB99" s="39">
        <v>1.9812390593896185E-2</v>
      </c>
      <c r="AC99" s="39"/>
      <c r="AD99" s="36">
        <v>0</v>
      </c>
      <c r="AE99" s="39">
        <v>9.9139051947265758E-2</v>
      </c>
      <c r="AF99" s="39">
        <v>2.6575856256616681E-2</v>
      </c>
      <c r="AG99" s="39">
        <v>6.8121372040812214E-2</v>
      </c>
      <c r="AH99" s="39">
        <v>0</v>
      </c>
      <c r="AI99" s="39">
        <v>0</v>
      </c>
      <c r="AJ99" s="39">
        <v>0</v>
      </c>
      <c r="AK99" s="39">
        <v>0</v>
      </c>
      <c r="AL99" s="39">
        <v>0</v>
      </c>
      <c r="AM99" s="39">
        <v>0</v>
      </c>
      <c r="AN99" s="39">
        <v>0</v>
      </c>
      <c r="AO99" s="39">
        <v>0</v>
      </c>
      <c r="AP99" s="39">
        <v>1.9812390593896185E-2</v>
      </c>
      <c r="AQ99" s="39">
        <v>0</v>
      </c>
      <c r="AR99" s="39">
        <v>5.2432187523322654E-2</v>
      </c>
      <c r="AS99" s="39">
        <v>0</v>
      </c>
      <c r="AT99" s="39">
        <v>5.9861702950920991E-2</v>
      </c>
      <c r="AU99" s="39">
        <v>0</v>
      </c>
      <c r="AV99" s="39">
        <v>2.4774097661951423E-2</v>
      </c>
      <c r="AW99" s="39">
        <v>0</v>
      </c>
      <c r="AX99" s="39">
        <v>9.6784757601163594E-4</v>
      </c>
      <c r="AY99" s="39">
        <v>0</v>
      </c>
      <c r="AZ99" s="39">
        <v>7.2113036192314357E-3</v>
      </c>
      <c r="BA99" s="39">
        <v>0</v>
      </c>
      <c r="BB99" s="39">
        <v>0</v>
      </c>
      <c r="BC99" s="39">
        <v>1.9812390593896185E-2</v>
      </c>
      <c r="BD99" s="39"/>
      <c r="BE99" s="39">
        <v>0</v>
      </c>
      <c r="BF99" s="39">
        <v>4.0677309549996599E-2</v>
      </c>
      <c r="BG99" s="39">
        <v>4.3200695382288663E-2</v>
      </c>
      <c r="BH99" s="39">
        <v>9.9102205339633667E-2</v>
      </c>
      <c r="BI99" s="39">
        <v>0</v>
      </c>
      <c r="BJ99" s="39">
        <v>7.2199150258561674E-4</v>
      </c>
      <c r="BK99" s="39">
        <v>0</v>
      </c>
      <c r="BL99" s="39">
        <v>0</v>
      </c>
      <c r="BM99" s="39">
        <v>0</v>
      </c>
      <c r="BN99" s="39">
        <v>0</v>
      </c>
      <c r="BO99" s="39">
        <v>0</v>
      </c>
      <c r="BP99" s="39">
        <v>4.4842817728044972E-3</v>
      </c>
      <c r="BQ99" s="39">
        <v>1.9812390593896185E-2</v>
      </c>
      <c r="BR99" s="39">
        <v>0</v>
      </c>
      <c r="BS99" s="39">
        <v>6.1497613880060094E-2</v>
      </c>
      <c r="BT99" s="39">
        <v>0</v>
      </c>
      <c r="BU99" s="39">
        <v>8.2937707123337548E-2</v>
      </c>
      <c r="BV99" s="39">
        <v>0</v>
      </c>
      <c r="BW99" s="39">
        <v>1.9271062686678737E-2</v>
      </c>
      <c r="BX99" s="39">
        <v>1.6484209429898949E-2</v>
      </c>
      <c r="BY99" s="39">
        <v>1.2608520478651028E-2</v>
      </c>
      <c r="BZ99" s="39">
        <v>8.9554489795213401E-6</v>
      </c>
      <c r="CA99" s="39">
        <v>8.1221721420418128E-3</v>
      </c>
      <c r="CB99" s="39">
        <v>0</v>
      </c>
      <c r="CC99" s="39">
        <v>0</v>
      </c>
      <c r="CD99" s="39">
        <v>1.9812390593896185E-2</v>
      </c>
      <c r="CE99" s="39"/>
      <c r="CF99" s="39">
        <v>0</v>
      </c>
      <c r="CG99" s="39">
        <v>0</v>
      </c>
    </row>
    <row r="100" spans="1:85">
      <c r="A100" s="143" t="s">
        <v>630</v>
      </c>
      <c r="B100" s="36">
        <v>1424.63</v>
      </c>
      <c r="C100" s="36"/>
      <c r="D100" s="39">
        <v>0</v>
      </c>
      <c r="E100" s="39">
        <v>0</v>
      </c>
      <c r="F100" s="39">
        <v>0</v>
      </c>
      <c r="G100" s="39">
        <v>0</v>
      </c>
      <c r="H100" s="39">
        <v>0</v>
      </c>
      <c r="I100" s="39">
        <v>0</v>
      </c>
      <c r="J100" s="39">
        <v>0</v>
      </c>
      <c r="K100" s="39">
        <v>0</v>
      </c>
      <c r="L100" s="39">
        <v>0</v>
      </c>
      <c r="M100" s="39">
        <v>0</v>
      </c>
      <c r="N100" s="39">
        <v>0</v>
      </c>
      <c r="O100" s="39">
        <v>1.6444113533732078E-3</v>
      </c>
      <c r="P100" s="39">
        <v>0</v>
      </c>
      <c r="Q100" s="39">
        <v>0</v>
      </c>
      <c r="R100" s="39">
        <v>0</v>
      </c>
      <c r="S100" s="39">
        <v>0</v>
      </c>
      <c r="T100" s="39">
        <v>0</v>
      </c>
      <c r="U100" s="39">
        <v>1.7593552944330529E-2</v>
      </c>
      <c r="V100" s="39">
        <v>0</v>
      </c>
      <c r="W100" s="39">
        <v>0</v>
      </c>
      <c r="X100" s="39">
        <v>0</v>
      </c>
      <c r="Y100" s="39">
        <v>1.345824547212539E-2</v>
      </c>
      <c r="Z100" s="39">
        <v>0</v>
      </c>
      <c r="AA100" s="39">
        <v>0</v>
      </c>
      <c r="AB100" s="39">
        <v>1.6444113533732078E-3</v>
      </c>
      <c r="AC100" s="39"/>
      <c r="AD100" s="36">
        <v>0</v>
      </c>
      <c r="AE100" s="39">
        <v>0</v>
      </c>
      <c r="AF100" s="39">
        <v>1.8110369628876268E-2</v>
      </c>
      <c r="AG100" s="39">
        <v>0</v>
      </c>
      <c r="AH100" s="39">
        <v>0</v>
      </c>
      <c r="AI100" s="39">
        <v>0</v>
      </c>
      <c r="AJ100" s="39">
        <v>0</v>
      </c>
      <c r="AK100" s="39">
        <v>0</v>
      </c>
      <c r="AL100" s="39">
        <v>0</v>
      </c>
      <c r="AM100" s="39">
        <v>0</v>
      </c>
      <c r="AN100" s="39">
        <v>0</v>
      </c>
      <c r="AO100" s="39">
        <v>0</v>
      </c>
      <c r="AP100" s="39">
        <v>1.6444113533732078E-3</v>
      </c>
      <c r="AQ100" s="39">
        <v>0</v>
      </c>
      <c r="AR100" s="39">
        <v>0</v>
      </c>
      <c r="AS100" s="39">
        <v>0</v>
      </c>
      <c r="AT100" s="39">
        <v>0</v>
      </c>
      <c r="AU100" s="39">
        <v>0</v>
      </c>
      <c r="AV100" s="39">
        <v>6.6503030116148894E-3</v>
      </c>
      <c r="AW100" s="39">
        <v>0</v>
      </c>
      <c r="AX100" s="39">
        <v>0</v>
      </c>
      <c r="AY100" s="39">
        <v>0</v>
      </c>
      <c r="AZ100" s="39">
        <v>1.0347821661994267E-2</v>
      </c>
      <c r="BA100" s="39">
        <v>0</v>
      </c>
      <c r="BB100" s="39">
        <v>0</v>
      </c>
      <c r="BC100" s="39">
        <v>1.6444113533732078E-3</v>
      </c>
      <c r="BD100" s="39"/>
      <c r="BE100" s="39">
        <v>0</v>
      </c>
      <c r="BF100" s="39">
        <v>0</v>
      </c>
      <c r="BG100" s="39">
        <v>1.6171835474627548E-2</v>
      </c>
      <c r="BH100" s="39">
        <v>0</v>
      </c>
      <c r="BI100" s="39">
        <v>0</v>
      </c>
      <c r="BJ100" s="39">
        <v>0</v>
      </c>
      <c r="BK100" s="39">
        <v>0</v>
      </c>
      <c r="BL100" s="39">
        <v>0</v>
      </c>
      <c r="BM100" s="39">
        <v>0</v>
      </c>
      <c r="BN100" s="39">
        <v>0</v>
      </c>
      <c r="BO100" s="39">
        <v>0</v>
      </c>
      <c r="BP100" s="39">
        <v>0</v>
      </c>
      <c r="BQ100" s="39">
        <v>1.6444113533732078E-3</v>
      </c>
      <c r="BR100" s="39">
        <v>0</v>
      </c>
      <c r="BS100" s="39">
        <v>0</v>
      </c>
      <c r="BT100" s="39">
        <v>0</v>
      </c>
      <c r="BU100" s="39">
        <v>0</v>
      </c>
      <c r="BV100" s="39">
        <v>0</v>
      </c>
      <c r="BW100" s="39">
        <v>4.0324408640590977E-3</v>
      </c>
      <c r="BX100" s="39">
        <v>9.6463517356860946E-3</v>
      </c>
      <c r="BY100" s="39">
        <v>0</v>
      </c>
      <c r="BZ100" s="39">
        <v>5.1594794427073497E-3</v>
      </c>
      <c r="CA100" s="39">
        <v>6.8699797501390004E-3</v>
      </c>
      <c r="CB100" s="39">
        <v>0</v>
      </c>
      <c r="CC100" s="39">
        <v>0</v>
      </c>
      <c r="CD100" s="39">
        <v>1.6444113533732078E-3</v>
      </c>
      <c r="CE100" s="39"/>
      <c r="CF100" s="39">
        <v>0</v>
      </c>
      <c r="CG100" s="39">
        <v>0</v>
      </c>
    </row>
    <row r="101" spans="1:85">
      <c r="A101" s="143" t="s">
        <v>631</v>
      </c>
      <c r="B101" s="36">
        <v>59758.875</v>
      </c>
      <c r="C101" s="36"/>
      <c r="D101" s="39">
        <v>2.9236008793725104E-2</v>
      </c>
      <c r="E101" s="39">
        <v>0</v>
      </c>
      <c r="F101" s="39">
        <v>0</v>
      </c>
      <c r="G101" s="39">
        <v>0</v>
      </c>
      <c r="H101" s="39">
        <v>0</v>
      </c>
      <c r="I101" s="39">
        <v>0</v>
      </c>
      <c r="J101" s="39">
        <v>0</v>
      </c>
      <c r="K101" s="39">
        <v>0</v>
      </c>
      <c r="L101" s="39">
        <v>0</v>
      </c>
      <c r="M101" s="39">
        <v>0</v>
      </c>
      <c r="N101" s="39">
        <v>0.13874104467418935</v>
      </c>
      <c r="O101" s="39">
        <v>6.8978031148305419E-2</v>
      </c>
      <c r="P101" s="39">
        <v>0</v>
      </c>
      <c r="Q101" s="39">
        <v>1.517061315922945E-2</v>
      </c>
      <c r="R101" s="39">
        <v>0</v>
      </c>
      <c r="S101" s="39">
        <v>0.14896328479437831</v>
      </c>
      <c r="T101" s="39">
        <v>0</v>
      </c>
      <c r="U101" s="39">
        <v>4.3983882360826315E-2</v>
      </c>
      <c r="V101" s="39">
        <v>0.17730564958835179</v>
      </c>
      <c r="W101" s="39">
        <v>0.25442869675439211</v>
      </c>
      <c r="X101" s="39">
        <v>0</v>
      </c>
      <c r="Y101" s="39">
        <v>7.4733703055707076E-2</v>
      </c>
      <c r="Z101" s="39">
        <v>0</v>
      </c>
      <c r="AA101" s="39">
        <v>0</v>
      </c>
      <c r="AB101" s="39">
        <v>6.8978031148305419E-2</v>
      </c>
      <c r="AC101" s="39"/>
      <c r="AD101" s="36">
        <v>0</v>
      </c>
      <c r="AE101" s="39">
        <v>7.6011208907332279E-3</v>
      </c>
      <c r="AF101" s="39">
        <v>0.1508740931501755</v>
      </c>
      <c r="AG101" s="39">
        <v>0.11707662797102415</v>
      </c>
      <c r="AH101" s="39">
        <v>0</v>
      </c>
      <c r="AI101" s="39">
        <v>0.12907945536757032</v>
      </c>
      <c r="AJ101" s="39">
        <v>0</v>
      </c>
      <c r="AK101" s="39">
        <v>0</v>
      </c>
      <c r="AL101" s="39">
        <v>0</v>
      </c>
      <c r="AM101" s="39">
        <v>0</v>
      </c>
      <c r="AN101" s="39">
        <v>0</v>
      </c>
      <c r="AO101" s="39">
        <v>0.13687603361822154</v>
      </c>
      <c r="AP101" s="39">
        <v>6.8978031148305419E-2</v>
      </c>
      <c r="AQ101" s="39">
        <v>0</v>
      </c>
      <c r="AR101" s="39">
        <v>8.358944880083409E-3</v>
      </c>
      <c r="AS101" s="39">
        <v>0</v>
      </c>
      <c r="AT101" s="39">
        <v>0.12408993485425925</v>
      </c>
      <c r="AU101" s="39">
        <v>0</v>
      </c>
      <c r="AV101" s="39">
        <v>9.5062190627149282E-2</v>
      </c>
      <c r="AW101" s="39">
        <v>0.2628216339555261</v>
      </c>
      <c r="AX101" s="39">
        <v>0.19241860276585751</v>
      </c>
      <c r="AY101" s="39">
        <v>0.13559023360848591</v>
      </c>
      <c r="AZ101" s="39">
        <v>0.11709104555530377</v>
      </c>
      <c r="BA101" s="39">
        <v>0</v>
      </c>
      <c r="BB101" s="39">
        <v>0</v>
      </c>
      <c r="BC101" s="39">
        <v>6.8978031148305419E-2</v>
      </c>
      <c r="BD101" s="39"/>
      <c r="BE101" s="39">
        <v>0</v>
      </c>
      <c r="BF101" s="39">
        <v>3.7025897384491665E-3</v>
      </c>
      <c r="BG101" s="39">
        <v>7.7777784250708887E-2</v>
      </c>
      <c r="BH101" s="39">
        <v>6.1895127903809542E-2</v>
      </c>
      <c r="BI101" s="39">
        <v>0</v>
      </c>
      <c r="BJ101" s="39">
        <v>6.0478693657926672E-2</v>
      </c>
      <c r="BK101" s="39">
        <v>0</v>
      </c>
      <c r="BL101" s="39">
        <v>0</v>
      </c>
      <c r="BM101" s="39">
        <v>0</v>
      </c>
      <c r="BN101" s="39">
        <v>0</v>
      </c>
      <c r="BO101" s="39">
        <v>0</v>
      </c>
      <c r="BP101" s="39">
        <v>0.12198791661298594</v>
      </c>
      <c r="BQ101" s="39">
        <v>6.8978031148305419E-2</v>
      </c>
      <c r="BR101" s="39">
        <v>0</v>
      </c>
      <c r="BS101" s="39">
        <v>4.2082648685783305E-3</v>
      </c>
      <c r="BT101" s="39">
        <v>0</v>
      </c>
      <c r="BU101" s="39">
        <v>7.2400301231002245E-2</v>
      </c>
      <c r="BV101" s="39">
        <v>0</v>
      </c>
      <c r="BW101" s="39">
        <v>5.8985529827375656E-2</v>
      </c>
      <c r="BX101" s="39">
        <v>0.15556956730358037</v>
      </c>
      <c r="BY101" s="39">
        <v>0.17379734325298887</v>
      </c>
      <c r="BZ101" s="39">
        <v>8.7935353534779589E-2</v>
      </c>
      <c r="CA101" s="39">
        <v>8.3689842031188413E-2</v>
      </c>
      <c r="CB101" s="39">
        <v>2.4963294848958647E-2</v>
      </c>
      <c r="CC101" s="39">
        <v>0</v>
      </c>
      <c r="CD101" s="39">
        <v>6.8978031148305419E-2</v>
      </c>
      <c r="CE101" s="39"/>
      <c r="CF101" s="39">
        <v>0</v>
      </c>
      <c r="CG101" s="39">
        <v>0</v>
      </c>
    </row>
    <row r="102" spans="1:85">
      <c r="A102" s="143" t="s">
        <v>632</v>
      </c>
      <c r="B102" s="36">
        <v>9445.6650000000009</v>
      </c>
      <c r="C102" s="36"/>
      <c r="D102" s="39">
        <v>6.644547453119343E-3</v>
      </c>
      <c r="E102" s="39">
        <v>0</v>
      </c>
      <c r="F102" s="39">
        <v>0</v>
      </c>
      <c r="G102" s="39">
        <v>0</v>
      </c>
      <c r="H102" s="39">
        <v>0</v>
      </c>
      <c r="I102" s="39">
        <v>0</v>
      </c>
      <c r="J102" s="39">
        <v>0</v>
      </c>
      <c r="K102" s="39">
        <v>0</v>
      </c>
      <c r="L102" s="39">
        <v>0</v>
      </c>
      <c r="M102" s="39">
        <v>0</v>
      </c>
      <c r="N102" s="39">
        <v>0.14208454202303489</v>
      </c>
      <c r="O102" s="39">
        <v>1.0902872160603063E-2</v>
      </c>
      <c r="P102" s="39">
        <v>0</v>
      </c>
      <c r="Q102" s="39">
        <v>3.447866627097603E-3</v>
      </c>
      <c r="R102" s="39">
        <v>0</v>
      </c>
      <c r="S102" s="39">
        <v>0.2154201005639331</v>
      </c>
      <c r="T102" s="39">
        <v>0</v>
      </c>
      <c r="U102" s="39">
        <v>0.32286290644673971</v>
      </c>
      <c r="V102" s="39">
        <v>0.52339463329738856</v>
      </c>
      <c r="W102" s="39">
        <v>0</v>
      </c>
      <c r="X102" s="39">
        <v>0.34066776906091034</v>
      </c>
      <c r="Y102" s="39">
        <v>4.6077289167132364E-2</v>
      </c>
      <c r="Z102" s="39">
        <v>4.322702876691796E-2</v>
      </c>
      <c r="AA102" s="39">
        <v>0</v>
      </c>
      <c r="AB102" s="39">
        <v>1.0902872160603063E-2</v>
      </c>
      <c r="AC102" s="39"/>
      <c r="AD102" s="36">
        <v>0</v>
      </c>
      <c r="AE102" s="39">
        <v>1.727527475166643E-3</v>
      </c>
      <c r="AF102" s="39">
        <v>0</v>
      </c>
      <c r="AG102" s="39">
        <v>0.11923117891536843</v>
      </c>
      <c r="AH102" s="39">
        <v>0</v>
      </c>
      <c r="AI102" s="39">
        <v>0.17597126959092937</v>
      </c>
      <c r="AJ102" s="39">
        <v>0</v>
      </c>
      <c r="AK102" s="39">
        <v>0</v>
      </c>
      <c r="AL102" s="39">
        <v>0</v>
      </c>
      <c r="AM102" s="39">
        <v>0</v>
      </c>
      <c r="AN102" s="39">
        <v>0</v>
      </c>
      <c r="AO102" s="39">
        <v>6.7578966571133298E-2</v>
      </c>
      <c r="AP102" s="39">
        <v>1.0902872160603063E-2</v>
      </c>
      <c r="AQ102" s="39">
        <v>0</v>
      </c>
      <c r="AR102" s="39">
        <v>1.8997602000189568E-3</v>
      </c>
      <c r="AS102" s="39">
        <v>0</v>
      </c>
      <c r="AT102" s="39">
        <v>0.12637355107175086</v>
      </c>
      <c r="AU102" s="39">
        <v>0</v>
      </c>
      <c r="AV102" s="39">
        <v>0.12204107753990633</v>
      </c>
      <c r="AW102" s="39">
        <v>0.41053335120467732</v>
      </c>
      <c r="AX102" s="39">
        <v>0</v>
      </c>
      <c r="AY102" s="39">
        <v>0.18808353027397129</v>
      </c>
      <c r="AZ102" s="39">
        <v>2.4969389786337743E-2</v>
      </c>
      <c r="BA102" s="39">
        <v>1.2129285950944601E-2</v>
      </c>
      <c r="BB102" s="39">
        <v>0</v>
      </c>
      <c r="BC102" s="39">
        <v>1.0902872160603063E-2</v>
      </c>
      <c r="BD102" s="39"/>
      <c r="BE102" s="39">
        <v>0</v>
      </c>
      <c r="BF102" s="39">
        <v>8.4149766782935602E-4</v>
      </c>
      <c r="BG102" s="39">
        <v>0</v>
      </c>
      <c r="BH102" s="39">
        <v>6.3034178528913534E-2</v>
      </c>
      <c r="BI102" s="39">
        <v>0</v>
      </c>
      <c r="BJ102" s="39">
        <v>7.9496486818402934E-2</v>
      </c>
      <c r="BK102" s="39">
        <v>0</v>
      </c>
      <c r="BL102" s="39">
        <v>0</v>
      </c>
      <c r="BM102" s="39">
        <v>0</v>
      </c>
      <c r="BN102" s="39">
        <v>0</v>
      </c>
      <c r="BO102" s="39">
        <v>0</v>
      </c>
      <c r="BP102" s="39">
        <v>2.9995583063812413E-2</v>
      </c>
      <c r="BQ102" s="39">
        <v>1.0902872160603063E-2</v>
      </c>
      <c r="BR102" s="39">
        <v>0</v>
      </c>
      <c r="BS102" s="39">
        <v>9.5642383376780249E-4</v>
      </c>
      <c r="BT102" s="39">
        <v>0</v>
      </c>
      <c r="BU102" s="39">
        <v>7.373267764200267E-2</v>
      </c>
      <c r="BV102" s="39">
        <v>0</v>
      </c>
      <c r="BW102" s="39">
        <v>7.4000151166979847E-2</v>
      </c>
      <c r="BX102" s="39">
        <v>3.1898775554737142E-2</v>
      </c>
      <c r="BY102" s="39">
        <v>0</v>
      </c>
      <c r="BZ102" s="39">
        <v>7.5792227264427888E-3</v>
      </c>
      <c r="CA102" s="39">
        <v>1.5245769915216896E-2</v>
      </c>
      <c r="CB102" s="39">
        <v>3.8842851461462998E-3</v>
      </c>
      <c r="CC102" s="39">
        <v>0</v>
      </c>
      <c r="CD102" s="39">
        <v>1.0902872160603063E-2</v>
      </c>
      <c r="CE102" s="39"/>
      <c r="CF102" s="39">
        <v>0</v>
      </c>
      <c r="CG102" s="39">
        <v>0</v>
      </c>
    </row>
    <row r="103" spans="1:85">
      <c r="A103" s="143" t="s">
        <v>634</v>
      </c>
      <c r="B103" s="36">
        <v>20425.932499999999</v>
      </c>
      <c r="C103" s="36"/>
      <c r="D103" s="39">
        <v>0</v>
      </c>
      <c r="E103" s="39">
        <v>0</v>
      </c>
      <c r="F103" s="39">
        <v>0</v>
      </c>
      <c r="G103" s="39">
        <v>0</v>
      </c>
      <c r="H103" s="39">
        <v>0</v>
      </c>
      <c r="I103" s="39">
        <v>0</v>
      </c>
      <c r="J103" s="39">
        <v>0</v>
      </c>
      <c r="K103" s="39">
        <v>0</v>
      </c>
      <c r="L103" s="39">
        <v>0</v>
      </c>
      <c r="M103" s="39">
        <v>0</v>
      </c>
      <c r="N103" s="39">
        <v>0</v>
      </c>
      <c r="O103" s="39">
        <v>2.3577093916479917E-2</v>
      </c>
      <c r="P103" s="39">
        <v>0</v>
      </c>
      <c r="Q103" s="39">
        <v>4.7517772637805142E-2</v>
      </c>
      <c r="R103" s="39">
        <v>0</v>
      </c>
      <c r="S103" s="39">
        <v>0</v>
      </c>
      <c r="T103" s="39">
        <v>0</v>
      </c>
      <c r="U103" s="39">
        <v>1.5104309468463254E-2</v>
      </c>
      <c r="V103" s="39">
        <v>0</v>
      </c>
      <c r="W103" s="39">
        <v>0</v>
      </c>
      <c r="X103" s="39">
        <v>0</v>
      </c>
      <c r="Y103" s="39">
        <v>0</v>
      </c>
      <c r="Z103" s="39">
        <v>0</v>
      </c>
      <c r="AA103" s="39">
        <v>0</v>
      </c>
      <c r="AB103" s="39">
        <v>2.3577093916479917E-2</v>
      </c>
      <c r="AC103" s="39"/>
      <c r="AD103" s="36">
        <v>0</v>
      </c>
      <c r="AE103" s="39">
        <v>9.278697330097678E-2</v>
      </c>
      <c r="AF103" s="39">
        <v>0</v>
      </c>
      <c r="AG103" s="39">
        <v>0</v>
      </c>
      <c r="AH103" s="39">
        <v>0</v>
      </c>
      <c r="AI103" s="39">
        <v>0</v>
      </c>
      <c r="AJ103" s="39">
        <v>0</v>
      </c>
      <c r="AK103" s="39">
        <v>0</v>
      </c>
      <c r="AL103" s="39">
        <v>0</v>
      </c>
      <c r="AM103" s="39">
        <v>0</v>
      </c>
      <c r="AN103" s="39">
        <v>0</v>
      </c>
      <c r="AO103" s="39">
        <v>0</v>
      </c>
      <c r="AP103" s="39">
        <v>2.3577093916479917E-2</v>
      </c>
      <c r="AQ103" s="39">
        <v>0</v>
      </c>
      <c r="AR103" s="39">
        <v>5.4639780778978492E-2</v>
      </c>
      <c r="AS103" s="39">
        <v>0</v>
      </c>
      <c r="AT103" s="39">
        <v>0</v>
      </c>
      <c r="AU103" s="39">
        <v>0</v>
      </c>
      <c r="AV103" s="39">
        <v>1.2835617730819445E-2</v>
      </c>
      <c r="AW103" s="39">
        <v>0</v>
      </c>
      <c r="AX103" s="39">
        <v>0</v>
      </c>
      <c r="AY103" s="39">
        <v>0</v>
      </c>
      <c r="AZ103" s="39">
        <v>0</v>
      </c>
      <c r="BA103" s="39">
        <v>0</v>
      </c>
      <c r="BB103" s="39">
        <v>0</v>
      </c>
      <c r="BC103" s="39">
        <v>2.3577093916479917E-2</v>
      </c>
      <c r="BD103" s="39"/>
      <c r="BE103" s="39">
        <v>0</v>
      </c>
      <c r="BF103" s="39">
        <v>7.9768551490314379E-2</v>
      </c>
      <c r="BG103" s="39">
        <v>1.6774844519898385E-2</v>
      </c>
      <c r="BH103" s="39">
        <v>0</v>
      </c>
      <c r="BI103" s="39">
        <v>0</v>
      </c>
      <c r="BJ103" s="39">
        <v>0</v>
      </c>
      <c r="BK103" s="39">
        <v>0</v>
      </c>
      <c r="BL103" s="39">
        <v>0</v>
      </c>
      <c r="BM103" s="39">
        <v>0</v>
      </c>
      <c r="BN103" s="39">
        <v>0</v>
      </c>
      <c r="BO103" s="39">
        <v>0</v>
      </c>
      <c r="BP103" s="39">
        <v>0</v>
      </c>
      <c r="BQ103" s="39">
        <v>2.3577093916479917E-2</v>
      </c>
      <c r="BR103" s="39">
        <v>0</v>
      </c>
      <c r="BS103" s="39">
        <v>7.8118798326562183E-2</v>
      </c>
      <c r="BT103" s="39">
        <v>0</v>
      </c>
      <c r="BU103" s="39">
        <v>0</v>
      </c>
      <c r="BV103" s="39">
        <v>0</v>
      </c>
      <c r="BW103" s="39">
        <v>7.9553476499814122E-3</v>
      </c>
      <c r="BX103" s="39">
        <v>3.7198163424651321E-3</v>
      </c>
      <c r="BY103" s="39">
        <v>0</v>
      </c>
      <c r="BZ103" s="39">
        <v>0</v>
      </c>
      <c r="CA103" s="39">
        <v>0</v>
      </c>
      <c r="CB103" s="39">
        <v>0</v>
      </c>
      <c r="CC103" s="39">
        <v>0</v>
      </c>
      <c r="CD103" s="39">
        <v>2.3577093916479917E-2</v>
      </c>
      <c r="CE103" s="39"/>
      <c r="CF103" s="39">
        <v>0</v>
      </c>
      <c r="CG103" s="39">
        <v>0</v>
      </c>
    </row>
    <row r="104" spans="1:85">
      <c r="A104" s="143" t="s">
        <v>635</v>
      </c>
      <c r="B104" s="36">
        <v>14521.099999999999</v>
      </c>
      <c r="C104" s="36"/>
      <c r="D104" s="39">
        <v>2.5017227831024599E-2</v>
      </c>
      <c r="E104" s="39">
        <v>0</v>
      </c>
      <c r="F104" s="39">
        <v>0</v>
      </c>
      <c r="G104" s="39">
        <v>0</v>
      </c>
      <c r="H104" s="39">
        <v>0</v>
      </c>
      <c r="I104" s="39">
        <v>0</v>
      </c>
      <c r="J104" s="39">
        <v>0</v>
      </c>
      <c r="K104" s="39">
        <v>0</v>
      </c>
      <c r="L104" s="39">
        <v>0</v>
      </c>
      <c r="M104" s="39">
        <v>0</v>
      </c>
      <c r="N104" s="39">
        <v>0</v>
      </c>
      <c r="O104" s="39">
        <v>1.676130764020671E-2</v>
      </c>
      <c r="P104" s="39">
        <v>0</v>
      </c>
      <c r="Q104" s="39">
        <v>8.9788221743767951E-2</v>
      </c>
      <c r="R104" s="39">
        <v>0</v>
      </c>
      <c r="S104" s="39">
        <v>0</v>
      </c>
      <c r="T104" s="39">
        <v>0</v>
      </c>
      <c r="U104" s="39">
        <v>5.8645176481101763E-3</v>
      </c>
      <c r="V104" s="39">
        <v>0</v>
      </c>
      <c r="W104" s="39">
        <v>7.4909660909919396E-3</v>
      </c>
      <c r="X104" s="39">
        <v>0</v>
      </c>
      <c r="Y104" s="39">
        <v>1.0086527766639602E-3</v>
      </c>
      <c r="Z104" s="39">
        <v>0</v>
      </c>
      <c r="AA104" s="39">
        <v>0</v>
      </c>
      <c r="AB104" s="39">
        <v>1.676130764020671E-2</v>
      </c>
      <c r="AC104" s="39"/>
      <c r="AD104" s="36">
        <v>0</v>
      </c>
      <c r="AE104" s="39">
        <v>6.9894752041219269E-2</v>
      </c>
      <c r="AF104" s="39">
        <v>4.0017309793325927E-2</v>
      </c>
      <c r="AG104" s="39">
        <v>0</v>
      </c>
      <c r="AH104" s="39">
        <v>0</v>
      </c>
      <c r="AI104" s="39">
        <v>0</v>
      </c>
      <c r="AJ104" s="39">
        <v>0</v>
      </c>
      <c r="AK104" s="39">
        <v>0</v>
      </c>
      <c r="AL104" s="39">
        <v>0</v>
      </c>
      <c r="AM104" s="39">
        <v>0</v>
      </c>
      <c r="AN104" s="39">
        <v>0</v>
      </c>
      <c r="AO104" s="39">
        <v>3.6483301950429991E-3</v>
      </c>
      <c r="AP104" s="39">
        <v>1.676130764020671E-2</v>
      </c>
      <c r="AQ104" s="39">
        <v>0</v>
      </c>
      <c r="AR104" s="39">
        <v>6.2934142675286728E-2</v>
      </c>
      <c r="AS104" s="39">
        <v>0</v>
      </c>
      <c r="AT104" s="39">
        <v>0</v>
      </c>
      <c r="AU104" s="39">
        <v>0</v>
      </c>
      <c r="AV104" s="39">
        <v>2.2167676705382965E-3</v>
      </c>
      <c r="AW104" s="39">
        <v>0</v>
      </c>
      <c r="AX104" s="39">
        <v>5.185583316590108E-3</v>
      </c>
      <c r="AY104" s="39">
        <v>0</v>
      </c>
      <c r="AZ104" s="39">
        <v>3.6212199732447697E-3</v>
      </c>
      <c r="BA104" s="39">
        <v>0</v>
      </c>
      <c r="BB104" s="39">
        <v>0</v>
      </c>
      <c r="BC104" s="39">
        <v>1.676130764020671E-2</v>
      </c>
      <c r="BD104" s="39"/>
      <c r="BE104" s="39">
        <v>0</v>
      </c>
      <c r="BF104" s="39">
        <v>6.0926070610291809E-2</v>
      </c>
      <c r="BG104" s="39">
        <v>2.0333848958709728E-2</v>
      </c>
      <c r="BH104" s="39">
        <v>0</v>
      </c>
      <c r="BI104" s="39">
        <v>0</v>
      </c>
      <c r="BJ104" s="39">
        <v>2.1659745077568507E-3</v>
      </c>
      <c r="BK104" s="39">
        <v>0</v>
      </c>
      <c r="BL104" s="39">
        <v>0</v>
      </c>
      <c r="BM104" s="39">
        <v>0</v>
      </c>
      <c r="BN104" s="39">
        <v>0</v>
      </c>
      <c r="BO104" s="39">
        <v>0</v>
      </c>
      <c r="BP104" s="39">
        <v>5.5869170962343229E-3</v>
      </c>
      <c r="BQ104" s="39">
        <v>1.676130764020671E-2</v>
      </c>
      <c r="BR104" s="39">
        <v>0</v>
      </c>
      <c r="BS104" s="39">
        <v>4.7383945588560544E-2</v>
      </c>
      <c r="BT104" s="39">
        <v>0</v>
      </c>
      <c r="BU104" s="39">
        <v>0</v>
      </c>
      <c r="BV104" s="39">
        <v>0</v>
      </c>
      <c r="BW104" s="39">
        <v>1.3441469546863658E-3</v>
      </c>
      <c r="BX104" s="39">
        <v>1.8314045631150001E-2</v>
      </c>
      <c r="BY104" s="39">
        <v>1.4218579028042648E-2</v>
      </c>
      <c r="BZ104" s="39">
        <v>0</v>
      </c>
      <c r="CA104" s="39">
        <v>1.7246085749417612E-3</v>
      </c>
      <c r="CB104" s="39">
        <v>0</v>
      </c>
      <c r="CC104" s="39">
        <v>0</v>
      </c>
      <c r="CD104" s="39">
        <v>1.676130764020671E-2</v>
      </c>
      <c r="CE104" s="39"/>
      <c r="CF104" s="39">
        <v>0</v>
      </c>
      <c r="CG104" s="39">
        <v>0</v>
      </c>
    </row>
    <row r="105" spans="1:85">
      <c r="A105" s="143" t="s">
        <v>636</v>
      </c>
      <c r="B105" s="36">
        <v>4313.5950000000003</v>
      </c>
      <c r="C105" s="36"/>
      <c r="D105" s="39">
        <v>0</v>
      </c>
      <c r="E105" s="39">
        <v>0</v>
      </c>
      <c r="F105" s="39">
        <v>0</v>
      </c>
      <c r="G105" s="39">
        <v>0</v>
      </c>
      <c r="H105" s="39">
        <v>0</v>
      </c>
      <c r="I105" s="39">
        <v>0</v>
      </c>
      <c r="J105" s="39">
        <v>0</v>
      </c>
      <c r="K105" s="39">
        <v>0</v>
      </c>
      <c r="L105" s="39">
        <v>0</v>
      </c>
      <c r="M105" s="39">
        <v>0</v>
      </c>
      <c r="N105" s="39">
        <v>0</v>
      </c>
      <c r="O105" s="39">
        <v>4.9790644531239004E-3</v>
      </c>
      <c r="P105" s="39">
        <v>0</v>
      </c>
      <c r="Q105" s="39">
        <v>1.9640112599395118E-2</v>
      </c>
      <c r="R105" s="39">
        <v>0</v>
      </c>
      <c r="S105" s="39">
        <v>0</v>
      </c>
      <c r="T105" s="39">
        <v>0</v>
      </c>
      <c r="U105" s="39">
        <v>0</v>
      </c>
      <c r="V105" s="39">
        <v>0</v>
      </c>
      <c r="W105" s="39">
        <v>0</v>
      </c>
      <c r="X105" s="39">
        <v>0</v>
      </c>
      <c r="Y105" s="39">
        <v>2.7597863578174126E-3</v>
      </c>
      <c r="Z105" s="39">
        <v>0</v>
      </c>
      <c r="AA105" s="39">
        <v>0</v>
      </c>
      <c r="AB105" s="39">
        <v>4.9790644531239004E-3</v>
      </c>
      <c r="AC105" s="39"/>
      <c r="AD105" s="36">
        <v>0</v>
      </c>
      <c r="AE105" s="39">
        <v>2.9987696227507851E-2</v>
      </c>
      <c r="AF105" s="39">
        <v>0</v>
      </c>
      <c r="AG105" s="39">
        <v>0</v>
      </c>
      <c r="AH105" s="39">
        <v>0</v>
      </c>
      <c r="AI105" s="39">
        <v>0</v>
      </c>
      <c r="AJ105" s="39">
        <v>0</v>
      </c>
      <c r="AK105" s="39">
        <v>0</v>
      </c>
      <c r="AL105" s="39">
        <v>0</v>
      </c>
      <c r="AM105" s="39">
        <v>0</v>
      </c>
      <c r="AN105" s="39">
        <v>0</v>
      </c>
      <c r="AO105" s="39">
        <v>0</v>
      </c>
      <c r="AP105" s="39">
        <v>4.9790644531239004E-3</v>
      </c>
      <c r="AQ105" s="39">
        <v>0</v>
      </c>
      <c r="AR105" s="39">
        <v>2.5404977893346125E-2</v>
      </c>
      <c r="AS105" s="39">
        <v>0</v>
      </c>
      <c r="AT105" s="39">
        <v>0</v>
      </c>
      <c r="AU105" s="39">
        <v>0</v>
      </c>
      <c r="AV105" s="39">
        <v>0</v>
      </c>
      <c r="AW105" s="39">
        <v>0</v>
      </c>
      <c r="AX105" s="39">
        <v>1.1466706473073855E-3</v>
      </c>
      <c r="AY105" s="39">
        <v>0</v>
      </c>
      <c r="AZ105" s="39">
        <v>2.1742696710697475E-3</v>
      </c>
      <c r="BA105" s="39">
        <v>0</v>
      </c>
      <c r="BB105" s="39">
        <v>0</v>
      </c>
      <c r="BC105" s="39">
        <v>4.9790644531239004E-3</v>
      </c>
      <c r="BD105" s="39"/>
      <c r="BE105" s="39">
        <v>0</v>
      </c>
      <c r="BF105" s="39">
        <v>4.8239966003562527E-2</v>
      </c>
      <c r="BG105" s="39">
        <v>5.0646442717061169E-3</v>
      </c>
      <c r="BH105" s="39">
        <v>0</v>
      </c>
      <c r="BI105" s="39">
        <v>0</v>
      </c>
      <c r="BJ105" s="39">
        <v>0</v>
      </c>
      <c r="BK105" s="39">
        <v>0</v>
      </c>
      <c r="BL105" s="39">
        <v>0</v>
      </c>
      <c r="BM105" s="39">
        <v>0</v>
      </c>
      <c r="BN105" s="39">
        <v>0</v>
      </c>
      <c r="BO105" s="39">
        <v>0</v>
      </c>
      <c r="BP105" s="39">
        <v>0</v>
      </c>
      <c r="BQ105" s="39">
        <v>4.9790644531239004E-3</v>
      </c>
      <c r="BR105" s="39">
        <v>0</v>
      </c>
      <c r="BS105" s="39">
        <v>2.8314849682024936E-2</v>
      </c>
      <c r="BT105" s="39">
        <v>0</v>
      </c>
      <c r="BU105" s="39">
        <v>0</v>
      </c>
      <c r="BV105" s="39">
        <v>0</v>
      </c>
      <c r="BW105" s="39">
        <v>0</v>
      </c>
      <c r="BX105" s="39">
        <v>9.7725651783418972E-4</v>
      </c>
      <c r="BY105" s="39">
        <v>2.8360501702351915E-3</v>
      </c>
      <c r="BZ105" s="39">
        <v>0</v>
      </c>
      <c r="CA105" s="39">
        <v>2.5186220796202486E-3</v>
      </c>
      <c r="CB105" s="39">
        <v>0</v>
      </c>
      <c r="CC105" s="39">
        <v>0</v>
      </c>
      <c r="CD105" s="39">
        <v>4.9790644531239004E-3</v>
      </c>
      <c r="CE105" s="39"/>
      <c r="CF105" s="39">
        <v>0</v>
      </c>
      <c r="CG105" s="39">
        <v>0</v>
      </c>
    </row>
    <row r="106" spans="1:85">
      <c r="A106" s="143" t="s">
        <v>637</v>
      </c>
      <c r="B106" s="36">
        <v>33074.315000000002</v>
      </c>
      <c r="C106" s="36"/>
      <c r="D106" s="39">
        <v>0</v>
      </c>
      <c r="E106" s="39">
        <v>0</v>
      </c>
      <c r="F106" s="39">
        <v>0</v>
      </c>
      <c r="G106" s="39">
        <v>0</v>
      </c>
      <c r="H106" s="39">
        <v>0</v>
      </c>
      <c r="I106" s="39">
        <v>0</v>
      </c>
      <c r="J106" s="39">
        <v>0</v>
      </c>
      <c r="K106" s="39">
        <v>0</v>
      </c>
      <c r="L106" s="39">
        <v>0</v>
      </c>
      <c r="M106" s="39">
        <v>0</v>
      </c>
      <c r="N106" s="39">
        <v>0</v>
      </c>
      <c r="O106" s="39">
        <v>3.8176775086192057E-2</v>
      </c>
      <c r="P106" s="39">
        <v>0</v>
      </c>
      <c r="Q106" s="39">
        <v>7.7713440571350628E-2</v>
      </c>
      <c r="R106" s="39">
        <v>0</v>
      </c>
      <c r="S106" s="39">
        <v>0</v>
      </c>
      <c r="T106" s="39">
        <v>0</v>
      </c>
      <c r="U106" s="39">
        <v>1.1729035296220353E-2</v>
      </c>
      <c r="V106" s="39">
        <v>0</v>
      </c>
      <c r="W106" s="39">
        <v>2.1498973786431112E-3</v>
      </c>
      <c r="X106" s="39">
        <v>0</v>
      </c>
      <c r="Y106" s="39">
        <v>0</v>
      </c>
      <c r="Z106" s="39">
        <v>0</v>
      </c>
      <c r="AA106" s="39">
        <v>0</v>
      </c>
      <c r="AB106" s="39">
        <v>3.8176775086192057E-2</v>
      </c>
      <c r="AC106" s="39"/>
      <c r="AD106" s="36">
        <v>0</v>
      </c>
      <c r="AE106" s="39">
        <v>8.5222080759188898E-2</v>
      </c>
      <c r="AF106" s="39">
        <v>1.1894475372363912E-3</v>
      </c>
      <c r="AG106" s="39">
        <v>2.5231971160437565E-2</v>
      </c>
      <c r="AH106" s="39">
        <v>0</v>
      </c>
      <c r="AI106" s="39">
        <v>0</v>
      </c>
      <c r="AJ106" s="39">
        <v>0</v>
      </c>
      <c r="AK106" s="39">
        <v>0</v>
      </c>
      <c r="AL106" s="39">
        <v>0</v>
      </c>
      <c r="AM106" s="39">
        <v>0</v>
      </c>
      <c r="AN106" s="39">
        <v>0</v>
      </c>
      <c r="AO106" s="39">
        <v>0</v>
      </c>
      <c r="AP106" s="39">
        <v>3.8176775086192057E-2</v>
      </c>
      <c r="AQ106" s="39">
        <v>0</v>
      </c>
      <c r="AR106" s="39">
        <v>9.7940719950558114E-2</v>
      </c>
      <c r="AS106" s="39">
        <v>0</v>
      </c>
      <c r="AT106" s="39">
        <v>0</v>
      </c>
      <c r="AU106" s="39">
        <v>0</v>
      </c>
      <c r="AV106" s="39">
        <v>4.4335353410765929E-3</v>
      </c>
      <c r="AW106" s="39">
        <v>0</v>
      </c>
      <c r="AX106" s="39">
        <v>4.5166412611149674E-3</v>
      </c>
      <c r="AY106" s="39">
        <v>0</v>
      </c>
      <c r="AZ106" s="39">
        <v>0</v>
      </c>
      <c r="BA106" s="39">
        <v>0</v>
      </c>
      <c r="BB106" s="39">
        <v>0</v>
      </c>
      <c r="BC106" s="39">
        <v>3.8176775086192057E-2</v>
      </c>
      <c r="BD106" s="39"/>
      <c r="BE106" s="39">
        <v>0</v>
      </c>
      <c r="BF106" s="39">
        <v>7.5858440019312898E-2</v>
      </c>
      <c r="BG106" s="39">
        <v>3.0181833147678794E-2</v>
      </c>
      <c r="BH106" s="39">
        <v>1.3339435114470825E-2</v>
      </c>
      <c r="BI106" s="39">
        <v>0</v>
      </c>
      <c r="BJ106" s="39">
        <v>0</v>
      </c>
      <c r="BK106" s="39">
        <v>0</v>
      </c>
      <c r="BL106" s="39">
        <v>0</v>
      </c>
      <c r="BM106" s="39">
        <v>0</v>
      </c>
      <c r="BN106" s="39">
        <v>0</v>
      </c>
      <c r="BO106" s="39">
        <v>0</v>
      </c>
      <c r="BP106" s="39">
        <v>0</v>
      </c>
      <c r="BQ106" s="39">
        <v>3.8176775086192057E-2</v>
      </c>
      <c r="BR106" s="39">
        <v>0</v>
      </c>
      <c r="BS106" s="39">
        <v>0.11490457406030961</v>
      </c>
      <c r="BT106" s="39">
        <v>0</v>
      </c>
      <c r="BU106" s="39">
        <v>1.5603475640926085E-2</v>
      </c>
      <c r="BV106" s="39">
        <v>0</v>
      </c>
      <c r="BW106" s="39">
        <v>6.0486612960886461E-3</v>
      </c>
      <c r="BX106" s="39">
        <v>0</v>
      </c>
      <c r="BY106" s="39">
        <v>8.3269229566947968E-3</v>
      </c>
      <c r="BZ106" s="39">
        <v>9.4538659598783336E-3</v>
      </c>
      <c r="CA106" s="39">
        <v>0</v>
      </c>
      <c r="CB106" s="39">
        <v>0</v>
      </c>
      <c r="CC106" s="39">
        <v>0</v>
      </c>
      <c r="CD106" s="39">
        <v>3.8176775086192057E-2</v>
      </c>
      <c r="CE106" s="39"/>
      <c r="CF106" s="39">
        <v>0</v>
      </c>
      <c r="CG106" s="39">
        <v>0</v>
      </c>
    </row>
    <row r="107" spans="1:85">
      <c r="A107" s="143" t="s">
        <v>638</v>
      </c>
      <c r="B107" s="36">
        <v>29141.480000000003</v>
      </c>
      <c r="C107" s="36"/>
      <c r="D107" s="39">
        <v>0</v>
      </c>
      <c r="E107" s="39">
        <v>0</v>
      </c>
      <c r="F107" s="39">
        <v>0</v>
      </c>
      <c r="G107" s="39">
        <v>0</v>
      </c>
      <c r="H107" s="39">
        <v>0</v>
      </c>
      <c r="I107" s="39">
        <v>0</v>
      </c>
      <c r="J107" s="39">
        <v>0</v>
      </c>
      <c r="K107" s="39">
        <v>0</v>
      </c>
      <c r="L107" s="39">
        <v>0</v>
      </c>
      <c r="M107" s="39">
        <v>0</v>
      </c>
      <c r="N107" s="39">
        <v>0</v>
      </c>
      <c r="O107" s="39">
        <v>3.3637211462694362E-2</v>
      </c>
      <c r="P107" s="39">
        <v>0</v>
      </c>
      <c r="Q107" s="39">
        <v>0</v>
      </c>
      <c r="R107" s="39">
        <v>0</v>
      </c>
      <c r="S107" s="39">
        <v>0.17569757441582412</v>
      </c>
      <c r="T107" s="39">
        <v>0</v>
      </c>
      <c r="U107" s="39">
        <v>6.2770899565514375E-3</v>
      </c>
      <c r="V107" s="39">
        <v>0</v>
      </c>
      <c r="W107" s="39">
        <v>7.8648109897698909E-2</v>
      </c>
      <c r="X107" s="39">
        <v>0</v>
      </c>
      <c r="Y107" s="39">
        <v>2.5178921212280915E-2</v>
      </c>
      <c r="Z107" s="39">
        <v>0</v>
      </c>
      <c r="AA107" s="39">
        <v>0</v>
      </c>
      <c r="AB107" s="39">
        <v>3.3637211462694362E-2</v>
      </c>
      <c r="AC107" s="39"/>
      <c r="AD107" s="36">
        <v>0</v>
      </c>
      <c r="AE107" s="39">
        <v>0</v>
      </c>
      <c r="AF107" s="39">
        <v>5.545426526636086E-2</v>
      </c>
      <c r="AG107" s="39">
        <v>0.22440012357616007</v>
      </c>
      <c r="AH107" s="39">
        <v>0</v>
      </c>
      <c r="AI107" s="39">
        <v>0</v>
      </c>
      <c r="AJ107" s="39">
        <v>0</v>
      </c>
      <c r="AK107" s="39">
        <v>0</v>
      </c>
      <c r="AL107" s="39">
        <v>0</v>
      </c>
      <c r="AM107" s="39">
        <v>0</v>
      </c>
      <c r="AN107" s="39">
        <v>0</v>
      </c>
      <c r="AO107" s="39">
        <v>1.9981517153537333E-2</v>
      </c>
      <c r="AP107" s="39">
        <v>3.3637211462694362E-2</v>
      </c>
      <c r="AQ107" s="39">
        <v>0</v>
      </c>
      <c r="AR107" s="39">
        <v>0</v>
      </c>
      <c r="AS107" s="39">
        <v>0</v>
      </c>
      <c r="AT107" s="39">
        <v>0.2033009842544605</v>
      </c>
      <c r="AU107" s="39">
        <v>0</v>
      </c>
      <c r="AV107" s="39">
        <v>9.9754545174223341E-3</v>
      </c>
      <c r="AW107" s="39">
        <v>0</v>
      </c>
      <c r="AX107" s="39">
        <v>5.8268848661794666E-2</v>
      </c>
      <c r="AY107" s="39">
        <v>0</v>
      </c>
      <c r="AZ107" s="39">
        <v>1.9946502009266735E-2</v>
      </c>
      <c r="BA107" s="39">
        <v>0</v>
      </c>
      <c r="BB107" s="39">
        <v>0</v>
      </c>
      <c r="BC107" s="39">
        <v>3.3637211462694362E-2</v>
      </c>
      <c r="BD107" s="39"/>
      <c r="BE107" s="39">
        <v>0</v>
      </c>
      <c r="BF107" s="39">
        <v>0</v>
      </c>
      <c r="BG107" s="39">
        <v>8.8020500603918236E-2</v>
      </c>
      <c r="BH107" s="39">
        <v>0.30090988556383619</v>
      </c>
      <c r="BI107" s="39">
        <v>0</v>
      </c>
      <c r="BJ107" s="39">
        <v>0</v>
      </c>
      <c r="BK107" s="39">
        <v>0</v>
      </c>
      <c r="BL107" s="39">
        <v>0</v>
      </c>
      <c r="BM107" s="39">
        <v>0</v>
      </c>
      <c r="BN107" s="39">
        <v>0</v>
      </c>
      <c r="BO107" s="39">
        <v>0</v>
      </c>
      <c r="BP107" s="39">
        <v>1.8928397469316814E-2</v>
      </c>
      <c r="BQ107" s="39">
        <v>3.3637211462694362E-2</v>
      </c>
      <c r="BR107" s="39">
        <v>0</v>
      </c>
      <c r="BS107" s="39">
        <v>0</v>
      </c>
      <c r="BT107" s="39">
        <v>0</v>
      </c>
      <c r="BU107" s="39">
        <v>0.25036436118877831</v>
      </c>
      <c r="BV107" s="39">
        <v>0</v>
      </c>
      <c r="BW107" s="39">
        <v>1.8036449810129158E-2</v>
      </c>
      <c r="BX107" s="39">
        <v>2.7469046202058707E-2</v>
      </c>
      <c r="BY107" s="39">
        <v>7.6178129970593395E-2</v>
      </c>
      <c r="BZ107" s="39">
        <v>6.539524211685023E-2</v>
      </c>
      <c r="CA107" s="39">
        <v>3.5563291155795589E-2</v>
      </c>
      <c r="CB107" s="39">
        <v>0</v>
      </c>
      <c r="CC107" s="39">
        <v>0</v>
      </c>
      <c r="CD107" s="39">
        <v>3.3637211462694362E-2</v>
      </c>
      <c r="CE107" s="39"/>
      <c r="CF107" s="39">
        <v>0</v>
      </c>
      <c r="CG107" s="39">
        <v>0</v>
      </c>
    </row>
    <row r="108" spans="1:85">
      <c r="A108" s="143" t="s">
        <v>639</v>
      </c>
      <c r="B108" s="36">
        <v>52845.669999999991</v>
      </c>
      <c r="C108" s="36"/>
      <c r="D108" s="39">
        <v>0.13583036599117532</v>
      </c>
      <c r="E108" s="39">
        <v>0</v>
      </c>
      <c r="F108" s="39">
        <v>0</v>
      </c>
      <c r="G108" s="39">
        <v>0</v>
      </c>
      <c r="H108" s="39">
        <v>0</v>
      </c>
      <c r="I108" s="39">
        <v>0</v>
      </c>
      <c r="J108" s="39">
        <v>0</v>
      </c>
      <c r="K108" s="39">
        <v>0</v>
      </c>
      <c r="L108" s="39">
        <v>0</v>
      </c>
      <c r="M108" s="39">
        <v>0</v>
      </c>
      <c r="N108" s="39">
        <v>1.404105272758086E-2</v>
      </c>
      <c r="O108" s="39">
        <v>6.0998308139386302E-2</v>
      </c>
      <c r="P108" s="39">
        <v>0</v>
      </c>
      <c r="Q108" s="39">
        <v>1.0407440065605227E-2</v>
      </c>
      <c r="R108" s="39">
        <v>0</v>
      </c>
      <c r="S108" s="39">
        <v>4.5110825239983839E-2</v>
      </c>
      <c r="T108" s="39">
        <v>0</v>
      </c>
      <c r="U108" s="39">
        <v>5.8645176481101763E-3</v>
      </c>
      <c r="V108" s="39">
        <v>0</v>
      </c>
      <c r="W108" s="39">
        <v>5.5435148256295967E-2</v>
      </c>
      <c r="X108" s="39">
        <v>0</v>
      </c>
      <c r="Y108" s="39">
        <v>5.4240206932020904E-2</v>
      </c>
      <c r="Z108" s="39">
        <v>0</v>
      </c>
      <c r="AA108" s="39">
        <v>0</v>
      </c>
      <c r="AB108" s="39">
        <v>6.0998308139386302E-2</v>
      </c>
      <c r="AC108" s="39"/>
      <c r="AD108" s="36">
        <v>0</v>
      </c>
      <c r="AE108" s="39">
        <v>0</v>
      </c>
      <c r="AF108" s="39">
        <v>1.2844088365461333E-2</v>
      </c>
      <c r="AG108" s="39">
        <v>0.17716397351125182</v>
      </c>
      <c r="AH108" s="39">
        <v>0</v>
      </c>
      <c r="AI108" s="39">
        <v>2.6908603697897913E-2</v>
      </c>
      <c r="AJ108" s="39">
        <v>0</v>
      </c>
      <c r="AK108" s="39">
        <v>0</v>
      </c>
      <c r="AL108" s="39">
        <v>0</v>
      </c>
      <c r="AM108" s="39">
        <v>0</v>
      </c>
      <c r="AN108" s="39">
        <v>0</v>
      </c>
      <c r="AO108" s="39">
        <v>6.1589381805078315E-2</v>
      </c>
      <c r="AP108" s="39">
        <v>6.0998308139386302E-2</v>
      </c>
      <c r="AQ108" s="39">
        <v>0</v>
      </c>
      <c r="AR108" s="39">
        <v>1.5900821830952143E-2</v>
      </c>
      <c r="AS108" s="39">
        <v>0</v>
      </c>
      <c r="AT108" s="39">
        <v>0.12128409027440455</v>
      </c>
      <c r="AU108" s="39">
        <v>0</v>
      </c>
      <c r="AV108" s="39">
        <v>1.9770265391387921E-2</v>
      </c>
      <c r="AW108" s="39">
        <v>0</v>
      </c>
      <c r="AX108" s="39">
        <v>3.5984508505431861E-2</v>
      </c>
      <c r="AY108" s="39">
        <v>0</v>
      </c>
      <c r="AZ108" s="39">
        <v>5.402623557546838E-2</v>
      </c>
      <c r="BA108" s="39">
        <v>0</v>
      </c>
      <c r="BB108" s="39">
        <v>0</v>
      </c>
      <c r="BC108" s="39">
        <v>6.0998308139386302E-2</v>
      </c>
      <c r="BD108" s="39"/>
      <c r="BE108" s="39">
        <v>0</v>
      </c>
      <c r="BF108" s="39">
        <v>0</v>
      </c>
      <c r="BG108" s="39">
        <v>2.4542473694534543E-2</v>
      </c>
      <c r="BH108" s="39">
        <v>0.1067187144834342</v>
      </c>
      <c r="BI108" s="39">
        <v>0</v>
      </c>
      <c r="BJ108" s="39">
        <v>2.2264066896221742E-2</v>
      </c>
      <c r="BK108" s="39">
        <v>0</v>
      </c>
      <c r="BL108" s="39">
        <v>0</v>
      </c>
      <c r="BM108" s="39">
        <v>0</v>
      </c>
      <c r="BN108" s="39">
        <v>0</v>
      </c>
      <c r="BO108" s="39">
        <v>0</v>
      </c>
      <c r="BP108" s="39">
        <v>9.7257050188371927E-2</v>
      </c>
      <c r="BQ108" s="39">
        <v>6.0998308139386302E-2</v>
      </c>
      <c r="BR108" s="39">
        <v>0</v>
      </c>
      <c r="BS108" s="39">
        <v>1.5186881358290764E-2</v>
      </c>
      <c r="BT108" s="39">
        <v>0</v>
      </c>
      <c r="BU108" s="39">
        <v>0.11865998558359846</v>
      </c>
      <c r="BV108" s="39">
        <v>0</v>
      </c>
      <c r="BW108" s="39">
        <v>2.139681719684507E-2</v>
      </c>
      <c r="BX108" s="39">
        <v>6.0092207384621447E-2</v>
      </c>
      <c r="BY108" s="39">
        <v>5.3169825675811792E-2</v>
      </c>
      <c r="BZ108" s="39">
        <v>8.7467338529724423E-2</v>
      </c>
      <c r="CA108" s="39">
        <v>7.5152267559017716E-2</v>
      </c>
      <c r="CB108" s="39">
        <v>0</v>
      </c>
      <c r="CC108" s="39">
        <v>0</v>
      </c>
      <c r="CD108" s="39">
        <v>6.0998308139386302E-2</v>
      </c>
      <c r="CE108" s="39"/>
      <c r="CF108" s="39">
        <v>0</v>
      </c>
      <c r="CG108" s="39">
        <v>0</v>
      </c>
    </row>
    <row r="109" spans="1:85">
      <c r="A109" s="143" t="s">
        <v>640</v>
      </c>
      <c r="B109" s="36">
        <v>7855.6500000000005</v>
      </c>
      <c r="C109" s="36"/>
      <c r="D109" s="39">
        <v>0</v>
      </c>
      <c r="E109" s="39">
        <v>0</v>
      </c>
      <c r="F109" s="39">
        <v>0</v>
      </c>
      <c r="G109" s="39">
        <v>0</v>
      </c>
      <c r="H109" s="39">
        <v>0</v>
      </c>
      <c r="I109" s="39">
        <v>0</v>
      </c>
      <c r="J109" s="39">
        <v>0</v>
      </c>
      <c r="K109" s="39">
        <v>0</v>
      </c>
      <c r="L109" s="39">
        <v>0</v>
      </c>
      <c r="M109" s="39">
        <v>0</v>
      </c>
      <c r="N109" s="39">
        <v>0</v>
      </c>
      <c r="O109" s="39">
        <v>9.0675614356894342E-3</v>
      </c>
      <c r="P109" s="39">
        <v>0</v>
      </c>
      <c r="Q109" s="39">
        <v>4.5112559126039821E-2</v>
      </c>
      <c r="R109" s="39">
        <v>0</v>
      </c>
      <c r="S109" s="39">
        <v>0</v>
      </c>
      <c r="T109" s="39">
        <v>0</v>
      </c>
      <c r="U109" s="39">
        <v>5.5205619634491254E-3</v>
      </c>
      <c r="V109" s="39">
        <v>0</v>
      </c>
      <c r="W109" s="39">
        <v>1.2374863353085177E-2</v>
      </c>
      <c r="X109" s="39">
        <v>0</v>
      </c>
      <c r="Y109" s="39">
        <v>6.2804468007806695E-3</v>
      </c>
      <c r="Z109" s="39">
        <v>0</v>
      </c>
      <c r="AA109" s="39">
        <v>0</v>
      </c>
      <c r="AB109" s="39">
        <v>9.0675614356894342E-3</v>
      </c>
      <c r="AC109" s="39"/>
      <c r="AD109" s="36">
        <v>0</v>
      </c>
      <c r="AE109" s="39">
        <v>4.9754676853739029E-2</v>
      </c>
      <c r="AF109" s="39">
        <v>5.3758330319543579E-2</v>
      </c>
      <c r="AG109" s="39">
        <v>0</v>
      </c>
      <c r="AH109" s="39">
        <v>0</v>
      </c>
      <c r="AI109" s="39">
        <v>0</v>
      </c>
      <c r="AJ109" s="39">
        <v>0</v>
      </c>
      <c r="AK109" s="39">
        <v>0</v>
      </c>
      <c r="AL109" s="39">
        <v>0</v>
      </c>
      <c r="AM109" s="39">
        <v>0</v>
      </c>
      <c r="AN109" s="39">
        <v>0</v>
      </c>
      <c r="AO109" s="39">
        <v>0</v>
      </c>
      <c r="AP109" s="39">
        <v>9.0675614356894342E-3</v>
      </c>
      <c r="AQ109" s="39">
        <v>0</v>
      </c>
      <c r="AR109" s="39">
        <v>7.3016692527648697E-2</v>
      </c>
      <c r="AS109" s="39">
        <v>0</v>
      </c>
      <c r="AT109" s="39">
        <v>0</v>
      </c>
      <c r="AU109" s="39">
        <v>0</v>
      </c>
      <c r="AV109" s="39">
        <v>3.3251515058074443E-3</v>
      </c>
      <c r="AW109" s="39">
        <v>0</v>
      </c>
      <c r="AX109" s="39">
        <v>8.7190750785862067E-3</v>
      </c>
      <c r="AY109" s="39">
        <v>0</v>
      </c>
      <c r="AZ109" s="39">
        <v>5.6821356397788285E-3</v>
      </c>
      <c r="BA109" s="39">
        <v>0</v>
      </c>
      <c r="BB109" s="39">
        <v>0</v>
      </c>
      <c r="BC109" s="39">
        <v>9.0675614356894342E-3</v>
      </c>
      <c r="BD109" s="39"/>
      <c r="BE109" s="39">
        <v>0</v>
      </c>
      <c r="BF109" s="39">
        <v>8.8226083662563959E-2</v>
      </c>
      <c r="BG109" s="39">
        <v>4.6764181709519681E-2</v>
      </c>
      <c r="BH109" s="39">
        <v>0</v>
      </c>
      <c r="BI109" s="39">
        <v>0</v>
      </c>
      <c r="BJ109" s="39">
        <v>0</v>
      </c>
      <c r="BK109" s="39">
        <v>0</v>
      </c>
      <c r="BL109" s="39">
        <v>0</v>
      </c>
      <c r="BM109" s="39">
        <v>0</v>
      </c>
      <c r="BN109" s="39">
        <v>0</v>
      </c>
      <c r="BO109" s="39">
        <v>0</v>
      </c>
      <c r="BP109" s="39">
        <v>0</v>
      </c>
      <c r="BQ109" s="39">
        <v>9.0675614356894342E-3</v>
      </c>
      <c r="BR109" s="39">
        <v>0</v>
      </c>
      <c r="BS109" s="39">
        <v>7.1729508766756003E-2</v>
      </c>
      <c r="BT109" s="39">
        <v>0</v>
      </c>
      <c r="BU109" s="39">
        <v>0</v>
      </c>
      <c r="BV109" s="39">
        <v>0</v>
      </c>
      <c r="BW109" s="39">
        <v>1.0643641559354143E-2</v>
      </c>
      <c r="BX109" s="39">
        <v>2.3847902223773827E-2</v>
      </c>
      <c r="BY109" s="39">
        <v>2.3457561672689885E-2</v>
      </c>
      <c r="BZ109" s="39">
        <v>6.7154368021000574E-3</v>
      </c>
      <c r="CA109" s="39">
        <v>8.8895462621976524E-3</v>
      </c>
      <c r="CB109" s="39">
        <v>0</v>
      </c>
      <c r="CC109" s="39">
        <v>0</v>
      </c>
      <c r="CD109" s="39">
        <v>9.0675614356894342E-3</v>
      </c>
      <c r="CE109" s="39"/>
      <c r="CF109" s="39">
        <v>0</v>
      </c>
      <c r="CG109" s="39">
        <v>0</v>
      </c>
    </row>
    <row r="110" spans="1:85">
      <c r="A110" s="143" t="s">
        <v>641</v>
      </c>
      <c r="B110" s="36">
        <v>8648.11</v>
      </c>
      <c r="C110" s="36"/>
      <c r="D110" s="39">
        <v>0</v>
      </c>
      <c r="E110" s="39">
        <v>0</v>
      </c>
      <c r="F110" s="39">
        <v>0</v>
      </c>
      <c r="G110" s="39">
        <v>0</v>
      </c>
      <c r="H110" s="39">
        <v>0</v>
      </c>
      <c r="I110" s="39">
        <v>0</v>
      </c>
      <c r="J110" s="39">
        <v>0</v>
      </c>
      <c r="K110" s="39">
        <v>0</v>
      </c>
      <c r="L110" s="39">
        <v>0</v>
      </c>
      <c r="M110" s="39">
        <v>0</v>
      </c>
      <c r="N110" s="39">
        <v>0</v>
      </c>
      <c r="O110" s="39">
        <v>9.9822762887348798E-3</v>
      </c>
      <c r="P110" s="39">
        <v>0</v>
      </c>
      <c r="Q110" s="39">
        <v>0</v>
      </c>
      <c r="R110" s="39">
        <v>0</v>
      </c>
      <c r="S110" s="39">
        <v>0</v>
      </c>
      <c r="T110" s="39">
        <v>0</v>
      </c>
      <c r="U110" s="39">
        <v>1.4661294120275441E-2</v>
      </c>
      <c r="V110" s="39">
        <v>0</v>
      </c>
      <c r="W110" s="39">
        <v>3.7940739143680284E-2</v>
      </c>
      <c r="X110" s="39">
        <v>0</v>
      </c>
      <c r="Y110" s="39">
        <v>1.2139083511548644E-2</v>
      </c>
      <c r="Z110" s="39">
        <v>0</v>
      </c>
      <c r="AA110" s="39">
        <v>0</v>
      </c>
      <c r="AB110" s="39">
        <v>9.9822762887348798E-3</v>
      </c>
      <c r="AC110" s="39"/>
      <c r="AD110" s="36">
        <v>0</v>
      </c>
      <c r="AE110" s="39">
        <v>0</v>
      </c>
      <c r="AF110" s="39">
        <v>4.3374120630076216E-2</v>
      </c>
      <c r="AG110" s="39">
        <v>0</v>
      </c>
      <c r="AH110" s="39">
        <v>0</v>
      </c>
      <c r="AI110" s="39">
        <v>0</v>
      </c>
      <c r="AJ110" s="39">
        <v>0</v>
      </c>
      <c r="AK110" s="39">
        <v>0</v>
      </c>
      <c r="AL110" s="39">
        <v>0</v>
      </c>
      <c r="AM110" s="39">
        <v>0</v>
      </c>
      <c r="AN110" s="39">
        <v>0</v>
      </c>
      <c r="AO110" s="39">
        <v>0</v>
      </c>
      <c r="AP110" s="39">
        <v>9.9822762887348798E-3</v>
      </c>
      <c r="AQ110" s="39">
        <v>0</v>
      </c>
      <c r="AR110" s="39">
        <v>0</v>
      </c>
      <c r="AS110" s="39">
        <v>0</v>
      </c>
      <c r="AT110" s="39">
        <v>0</v>
      </c>
      <c r="AU110" s="39">
        <v>0</v>
      </c>
      <c r="AV110" s="39">
        <v>5.5419191763457411E-3</v>
      </c>
      <c r="AW110" s="39">
        <v>0</v>
      </c>
      <c r="AX110" s="39">
        <v>2.6058786649892949E-2</v>
      </c>
      <c r="AY110" s="39">
        <v>0</v>
      </c>
      <c r="AZ110" s="39">
        <v>1.1188155476540436E-2</v>
      </c>
      <c r="BA110" s="39">
        <v>0</v>
      </c>
      <c r="BB110" s="39">
        <v>0</v>
      </c>
      <c r="BC110" s="39">
        <v>9.9822762887348798E-3</v>
      </c>
      <c r="BD110" s="39"/>
      <c r="BE110" s="39">
        <v>0</v>
      </c>
      <c r="BF110" s="39">
        <v>0</v>
      </c>
      <c r="BG110" s="39">
        <v>3.5128217436392481E-2</v>
      </c>
      <c r="BH110" s="39">
        <v>0</v>
      </c>
      <c r="BI110" s="39">
        <v>0</v>
      </c>
      <c r="BJ110" s="39">
        <v>0</v>
      </c>
      <c r="BK110" s="39">
        <v>0</v>
      </c>
      <c r="BL110" s="39">
        <v>0</v>
      </c>
      <c r="BM110" s="39">
        <v>0</v>
      </c>
      <c r="BN110" s="39">
        <v>0</v>
      </c>
      <c r="BO110" s="39">
        <v>0</v>
      </c>
      <c r="BP110" s="39">
        <v>0</v>
      </c>
      <c r="BQ110" s="39">
        <v>9.9822762887348798E-3</v>
      </c>
      <c r="BR110" s="39">
        <v>0</v>
      </c>
      <c r="BS110" s="39">
        <v>0</v>
      </c>
      <c r="BT110" s="39">
        <v>0</v>
      </c>
      <c r="BU110" s="39">
        <v>0</v>
      </c>
      <c r="BV110" s="39">
        <v>0</v>
      </c>
      <c r="BW110" s="39">
        <v>3.3603673867159145E-3</v>
      </c>
      <c r="BX110" s="39">
        <v>2.2604713933358552E-2</v>
      </c>
      <c r="BY110" s="39">
        <v>2.4537571296921256E-2</v>
      </c>
      <c r="BZ110" s="39">
        <v>0</v>
      </c>
      <c r="CA110" s="39">
        <v>7.2968319007914867E-3</v>
      </c>
      <c r="CB110" s="39">
        <v>0</v>
      </c>
      <c r="CC110" s="39">
        <v>0</v>
      </c>
      <c r="CD110" s="39">
        <v>9.9822762887348798E-3</v>
      </c>
      <c r="CE110" s="39"/>
      <c r="CF110" s="39">
        <v>0</v>
      </c>
      <c r="CG110" s="39">
        <v>0</v>
      </c>
    </row>
    <row r="111" spans="1:85">
      <c r="A111" s="143" t="s">
        <v>642</v>
      </c>
      <c r="B111" s="36">
        <v>3770.4</v>
      </c>
      <c r="C111" s="36"/>
      <c r="D111" s="39">
        <v>0</v>
      </c>
      <c r="E111" s="39">
        <v>0</v>
      </c>
      <c r="F111" s="39">
        <v>0</v>
      </c>
      <c r="G111" s="39">
        <v>0</v>
      </c>
      <c r="H111" s="39">
        <v>0</v>
      </c>
      <c r="I111" s="39">
        <v>0</v>
      </c>
      <c r="J111" s="39">
        <v>0</v>
      </c>
      <c r="K111" s="39">
        <v>0</v>
      </c>
      <c r="L111" s="39">
        <v>0</v>
      </c>
      <c r="M111" s="39">
        <v>0</v>
      </c>
      <c r="N111" s="39">
        <v>0</v>
      </c>
      <c r="O111" s="39">
        <v>4.3520693560842759E-3</v>
      </c>
      <c r="P111" s="39">
        <v>0</v>
      </c>
      <c r="Q111" s="39">
        <v>3.6168557498954708E-3</v>
      </c>
      <c r="R111" s="39">
        <v>0</v>
      </c>
      <c r="S111" s="39">
        <v>0</v>
      </c>
      <c r="T111" s="39">
        <v>0</v>
      </c>
      <c r="U111" s="39">
        <v>3.7641467164339429E-2</v>
      </c>
      <c r="V111" s="39">
        <v>0</v>
      </c>
      <c r="W111" s="39">
        <v>4.3075157089679794E-3</v>
      </c>
      <c r="X111" s="39">
        <v>0</v>
      </c>
      <c r="Y111" s="39">
        <v>7.3390451750869026E-4</v>
      </c>
      <c r="Z111" s="39">
        <v>0</v>
      </c>
      <c r="AA111" s="39">
        <v>0</v>
      </c>
      <c r="AB111" s="39">
        <v>4.3520693560842759E-3</v>
      </c>
      <c r="AC111" s="39"/>
      <c r="AD111" s="36">
        <v>0</v>
      </c>
      <c r="AE111" s="39">
        <v>0</v>
      </c>
      <c r="AF111" s="39">
        <v>0</v>
      </c>
      <c r="AG111" s="39">
        <v>0</v>
      </c>
      <c r="AH111" s="39">
        <v>0</v>
      </c>
      <c r="AI111" s="39">
        <v>0</v>
      </c>
      <c r="AJ111" s="39">
        <v>0</v>
      </c>
      <c r="AK111" s="39">
        <v>0</v>
      </c>
      <c r="AL111" s="39">
        <v>0</v>
      </c>
      <c r="AM111" s="39">
        <v>0</v>
      </c>
      <c r="AN111" s="39">
        <v>0</v>
      </c>
      <c r="AO111" s="39">
        <v>0</v>
      </c>
      <c r="AP111" s="39">
        <v>4.3520693560842759E-3</v>
      </c>
      <c r="AQ111" s="39">
        <v>0</v>
      </c>
      <c r="AR111" s="39">
        <v>3.9351331421855675E-3</v>
      </c>
      <c r="AS111" s="39">
        <v>0</v>
      </c>
      <c r="AT111" s="39">
        <v>0</v>
      </c>
      <c r="AU111" s="39">
        <v>0</v>
      </c>
      <c r="AV111" s="39">
        <v>1.422834621504218E-2</v>
      </c>
      <c r="AW111" s="39">
        <v>0</v>
      </c>
      <c r="AX111" s="39">
        <v>3.4961817140058376E-3</v>
      </c>
      <c r="AY111" s="39">
        <v>0</v>
      </c>
      <c r="AZ111" s="39">
        <v>1.4487403808246487E-3</v>
      </c>
      <c r="BA111" s="39">
        <v>0</v>
      </c>
      <c r="BB111" s="39">
        <v>0</v>
      </c>
      <c r="BC111" s="39">
        <v>4.3520693560842759E-3</v>
      </c>
      <c r="BD111" s="39"/>
      <c r="BE111" s="39">
        <v>0</v>
      </c>
      <c r="BF111" s="39">
        <v>5.7214266315260345E-3</v>
      </c>
      <c r="BG111" s="39">
        <v>6.3228677063445603E-3</v>
      </c>
      <c r="BH111" s="39">
        <v>0</v>
      </c>
      <c r="BI111" s="39">
        <v>0</v>
      </c>
      <c r="BJ111" s="39">
        <v>0</v>
      </c>
      <c r="BK111" s="39">
        <v>0</v>
      </c>
      <c r="BL111" s="39">
        <v>0</v>
      </c>
      <c r="BM111" s="39">
        <v>0</v>
      </c>
      <c r="BN111" s="39">
        <v>0</v>
      </c>
      <c r="BO111" s="39">
        <v>0</v>
      </c>
      <c r="BP111" s="39">
        <v>0</v>
      </c>
      <c r="BQ111" s="39">
        <v>4.3520693560842759E-3</v>
      </c>
      <c r="BR111" s="39">
        <v>0</v>
      </c>
      <c r="BS111" s="39">
        <v>5.8924029382220371E-3</v>
      </c>
      <c r="BT111" s="39">
        <v>0</v>
      </c>
      <c r="BU111" s="39">
        <v>0</v>
      </c>
      <c r="BV111" s="39">
        <v>0</v>
      </c>
      <c r="BW111" s="39">
        <v>8.627421127324595E-3</v>
      </c>
      <c r="BX111" s="39">
        <v>5.2782006293921038E-3</v>
      </c>
      <c r="BY111" s="39">
        <v>4.0126014479844345E-3</v>
      </c>
      <c r="BZ111" s="39">
        <v>0</v>
      </c>
      <c r="CA111" s="39">
        <v>9.3127511840693168E-4</v>
      </c>
      <c r="CB111" s="39">
        <v>0</v>
      </c>
      <c r="CC111" s="39">
        <v>0</v>
      </c>
      <c r="CD111" s="39">
        <v>4.3520693560842759E-3</v>
      </c>
      <c r="CE111" s="39"/>
      <c r="CF111" s="39">
        <v>0</v>
      </c>
      <c r="CG111" s="39">
        <v>0</v>
      </c>
    </row>
    <row r="112" spans="1:85">
      <c r="A112" s="143" t="s">
        <v>643</v>
      </c>
      <c r="B112" s="36">
        <v>11452.36</v>
      </c>
      <c r="C112" s="36"/>
      <c r="D112" s="39">
        <v>0</v>
      </c>
      <c r="E112" s="39">
        <v>0</v>
      </c>
      <c r="F112" s="39">
        <v>0</v>
      </c>
      <c r="G112" s="39">
        <v>0</v>
      </c>
      <c r="H112" s="39">
        <v>0</v>
      </c>
      <c r="I112" s="39">
        <v>0</v>
      </c>
      <c r="J112" s="39">
        <v>0</v>
      </c>
      <c r="K112" s="39">
        <v>0</v>
      </c>
      <c r="L112" s="39">
        <v>0</v>
      </c>
      <c r="M112" s="39">
        <v>0</v>
      </c>
      <c r="N112" s="39">
        <v>0</v>
      </c>
      <c r="O112" s="39">
        <v>1.3219145186411341E-2</v>
      </c>
      <c r="P112" s="39">
        <v>0</v>
      </c>
      <c r="Q112" s="39">
        <v>3.2932673170886169E-2</v>
      </c>
      <c r="R112" s="39">
        <v>0</v>
      </c>
      <c r="S112" s="39">
        <v>3.2327712965784405E-2</v>
      </c>
      <c r="T112" s="39">
        <v>0</v>
      </c>
      <c r="U112" s="39">
        <v>1.9977987613815341E-2</v>
      </c>
      <c r="V112" s="39">
        <v>0</v>
      </c>
      <c r="W112" s="39">
        <v>0</v>
      </c>
      <c r="X112" s="39">
        <v>0</v>
      </c>
      <c r="Y112" s="39">
        <v>7.5165653754513265E-3</v>
      </c>
      <c r="Z112" s="39">
        <v>0</v>
      </c>
      <c r="AA112" s="39">
        <v>0</v>
      </c>
      <c r="AB112" s="39">
        <v>1.3219145186411341E-2</v>
      </c>
      <c r="AC112" s="39"/>
      <c r="AD112" s="36">
        <v>0</v>
      </c>
      <c r="AE112" s="39">
        <v>3.4417365122503011E-3</v>
      </c>
      <c r="AF112" s="39">
        <v>3.9684938578672925E-2</v>
      </c>
      <c r="AG112" s="39">
        <v>1.8135465267341066E-2</v>
      </c>
      <c r="AH112" s="39">
        <v>0</v>
      </c>
      <c r="AI112" s="39">
        <v>0</v>
      </c>
      <c r="AJ112" s="39">
        <v>0</v>
      </c>
      <c r="AK112" s="39">
        <v>0</v>
      </c>
      <c r="AL112" s="39">
        <v>0</v>
      </c>
      <c r="AM112" s="39">
        <v>0</v>
      </c>
      <c r="AN112" s="39">
        <v>0</v>
      </c>
      <c r="AO112" s="39">
        <v>0</v>
      </c>
      <c r="AP112" s="39">
        <v>1.3219145186411341E-2</v>
      </c>
      <c r="AQ112" s="39">
        <v>0</v>
      </c>
      <c r="AR112" s="39">
        <v>1.6713316721736465E-2</v>
      </c>
      <c r="AS112" s="39">
        <v>0</v>
      </c>
      <c r="AT112" s="39">
        <v>1.9221844210724991E-2</v>
      </c>
      <c r="AU112" s="39">
        <v>0</v>
      </c>
      <c r="AV112" s="39">
        <v>1.1293444960850123E-2</v>
      </c>
      <c r="AW112" s="39">
        <v>0</v>
      </c>
      <c r="AX112" s="39">
        <v>2.356524428998294E-3</v>
      </c>
      <c r="AY112" s="39">
        <v>0</v>
      </c>
      <c r="AZ112" s="39">
        <v>1.0694995769787071E-2</v>
      </c>
      <c r="BA112" s="39">
        <v>0</v>
      </c>
      <c r="BB112" s="39">
        <v>0</v>
      </c>
      <c r="BC112" s="39">
        <v>1.3219145186411341E-2</v>
      </c>
      <c r="BD112" s="39"/>
      <c r="BE112" s="39">
        <v>0</v>
      </c>
      <c r="BF112" s="39">
        <v>0</v>
      </c>
      <c r="BG112" s="39">
        <v>3.1599736774693687E-2</v>
      </c>
      <c r="BH112" s="39">
        <v>0</v>
      </c>
      <c r="BI112" s="39">
        <v>0</v>
      </c>
      <c r="BJ112" s="39">
        <v>0</v>
      </c>
      <c r="BK112" s="39">
        <v>0</v>
      </c>
      <c r="BL112" s="39">
        <v>0</v>
      </c>
      <c r="BM112" s="39">
        <v>0</v>
      </c>
      <c r="BN112" s="39">
        <v>0</v>
      </c>
      <c r="BO112" s="39">
        <v>0</v>
      </c>
      <c r="BP112" s="39">
        <v>0</v>
      </c>
      <c r="BQ112" s="39">
        <v>1.3219145186411341E-2</v>
      </c>
      <c r="BR112" s="39">
        <v>0</v>
      </c>
      <c r="BS112" s="39">
        <v>1.4346357506517037E-2</v>
      </c>
      <c r="BT112" s="39">
        <v>0</v>
      </c>
      <c r="BU112" s="39">
        <v>1.1214989456690156E-2</v>
      </c>
      <c r="BV112" s="39">
        <v>0</v>
      </c>
      <c r="BW112" s="39">
        <v>9.4864011830172058E-3</v>
      </c>
      <c r="BX112" s="39">
        <v>2.4635500384841056E-2</v>
      </c>
      <c r="BY112" s="39">
        <v>5.547327642121889E-3</v>
      </c>
      <c r="BZ112" s="39">
        <v>5.2743653228632444E-3</v>
      </c>
      <c r="CA112" s="39">
        <v>6.1200036578324159E-3</v>
      </c>
      <c r="CB112" s="39">
        <v>0</v>
      </c>
      <c r="CC112" s="39">
        <v>0</v>
      </c>
      <c r="CD112" s="39">
        <v>1.3219145186411341E-2</v>
      </c>
      <c r="CE112" s="39"/>
      <c r="CF112" s="39">
        <v>0</v>
      </c>
      <c r="CG112" s="39">
        <v>0</v>
      </c>
    </row>
    <row r="113" spans="1:85">
      <c r="A113" s="143" t="s">
        <v>644</v>
      </c>
      <c r="B113" s="36">
        <v>9045.9499999999989</v>
      </c>
      <c r="C113" s="36"/>
      <c r="D113" s="39">
        <v>0</v>
      </c>
      <c r="E113" s="39">
        <v>0</v>
      </c>
      <c r="F113" s="39">
        <v>0</v>
      </c>
      <c r="G113" s="39">
        <v>0</v>
      </c>
      <c r="H113" s="39">
        <v>0</v>
      </c>
      <c r="I113" s="39">
        <v>0</v>
      </c>
      <c r="J113" s="39">
        <v>0</v>
      </c>
      <c r="K113" s="39">
        <v>0</v>
      </c>
      <c r="L113" s="39">
        <v>0</v>
      </c>
      <c r="M113" s="39">
        <v>0</v>
      </c>
      <c r="N113" s="39">
        <v>0</v>
      </c>
      <c r="O113" s="39">
        <v>1.0441492094120134E-2</v>
      </c>
      <c r="P113" s="39">
        <v>0</v>
      </c>
      <c r="Q113" s="39">
        <v>6.3642219562080896E-2</v>
      </c>
      <c r="R113" s="39">
        <v>0</v>
      </c>
      <c r="S113" s="39">
        <v>0</v>
      </c>
      <c r="T113" s="39">
        <v>0</v>
      </c>
      <c r="U113" s="39">
        <v>0</v>
      </c>
      <c r="V113" s="39">
        <v>0</v>
      </c>
      <c r="W113" s="39">
        <v>0</v>
      </c>
      <c r="X113" s="39">
        <v>0</v>
      </c>
      <c r="Y113" s="39">
        <v>1.0371399456936515E-2</v>
      </c>
      <c r="Z113" s="39">
        <v>0</v>
      </c>
      <c r="AA113" s="39">
        <v>0</v>
      </c>
      <c r="AB113" s="39">
        <v>1.0441492094120134E-2</v>
      </c>
      <c r="AC113" s="39"/>
      <c r="AD113" s="36">
        <v>0</v>
      </c>
      <c r="AE113" s="39">
        <v>7.8071013140595377E-2</v>
      </c>
      <c r="AF113" s="39">
        <v>2.9648308373703639E-2</v>
      </c>
      <c r="AG113" s="39">
        <v>0</v>
      </c>
      <c r="AH113" s="39">
        <v>0</v>
      </c>
      <c r="AI113" s="39">
        <v>0</v>
      </c>
      <c r="AJ113" s="39">
        <v>0</v>
      </c>
      <c r="AK113" s="39">
        <v>0</v>
      </c>
      <c r="AL113" s="39">
        <v>0</v>
      </c>
      <c r="AM113" s="39">
        <v>0</v>
      </c>
      <c r="AN113" s="39">
        <v>0</v>
      </c>
      <c r="AO113" s="39">
        <v>0</v>
      </c>
      <c r="AP113" s="39">
        <v>1.0441492094120134E-2</v>
      </c>
      <c r="AQ113" s="39">
        <v>0</v>
      </c>
      <c r="AR113" s="39">
        <v>6.5813402953401393E-2</v>
      </c>
      <c r="AS113" s="39">
        <v>0</v>
      </c>
      <c r="AT113" s="39">
        <v>0</v>
      </c>
      <c r="AU113" s="39">
        <v>0</v>
      </c>
      <c r="AV113" s="39">
        <v>1.3119962379773031E-2</v>
      </c>
      <c r="AW113" s="39">
        <v>0</v>
      </c>
      <c r="AX113" s="39">
        <v>0</v>
      </c>
      <c r="AY113" s="39">
        <v>0</v>
      </c>
      <c r="AZ113" s="39">
        <v>8.5899118342815835E-3</v>
      </c>
      <c r="BA113" s="39">
        <v>0</v>
      </c>
      <c r="BB113" s="39">
        <v>0</v>
      </c>
      <c r="BC113" s="39">
        <v>1.0441492094120134E-2</v>
      </c>
      <c r="BD113" s="39"/>
      <c r="BE113" s="39">
        <v>0</v>
      </c>
      <c r="BF113" s="39">
        <v>5.3476926964729624E-2</v>
      </c>
      <c r="BG113" s="39">
        <v>3.9936499913215816E-2</v>
      </c>
      <c r="BH113" s="39">
        <v>0</v>
      </c>
      <c r="BI113" s="39">
        <v>0</v>
      </c>
      <c r="BJ113" s="39">
        <v>0</v>
      </c>
      <c r="BK113" s="39">
        <v>0</v>
      </c>
      <c r="BL113" s="39">
        <v>0</v>
      </c>
      <c r="BM113" s="39">
        <v>0</v>
      </c>
      <c r="BN113" s="39">
        <v>0</v>
      </c>
      <c r="BO113" s="39">
        <v>0</v>
      </c>
      <c r="BP113" s="39">
        <v>0</v>
      </c>
      <c r="BQ113" s="39">
        <v>1.0441492094120134E-2</v>
      </c>
      <c r="BR113" s="39">
        <v>0</v>
      </c>
      <c r="BS113" s="39">
        <v>6.237305093720983E-2</v>
      </c>
      <c r="BT113" s="39">
        <v>0</v>
      </c>
      <c r="BU113" s="39">
        <v>0</v>
      </c>
      <c r="BV113" s="39">
        <v>0</v>
      </c>
      <c r="BW113" s="39">
        <v>7.9553476499814122E-3</v>
      </c>
      <c r="BX113" s="39">
        <v>9.5870483095197231E-3</v>
      </c>
      <c r="BY113" s="39">
        <v>0</v>
      </c>
      <c r="BZ113" s="39">
        <v>7.5599611921770031E-3</v>
      </c>
      <c r="CA113" s="39">
        <v>8.5648630042825229E-3</v>
      </c>
      <c r="CB113" s="39">
        <v>0</v>
      </c>
      <c r="CC113" s="39">
        <v>0</v>
      </c>
      <c r="CD113" s="39">
        <v>1.0441492094120134E-2</v>
      </c>
      <c r="CE113" s="39"/>
      <c r="CF113" s="39">
        <v>0</v>
      </c>
      <c r="CG113" s="39">
        <v>0</v>
      </c>
    </row>
    <row r="114" spans="1:85">
      <c r="A114" s="143" t="s">
        <v>645</v>
      </c>
      <c r="B114" s="36">
        <v>33283.22</v>
      </c>
      <c r="C114" s="36"/>
      <c r="D114" s="39">
        <v>0</v>
      </c>
      <c r="E114" s="39">
        <v>0</v>
      </c>
      <c r="F114" s="39">
        <v>0</v>
      </c>
      <c r="G114" s="39">
        <v>0</v>
      </c>
      <c r="H114" s="39">
        <v>0</v>
      </c>
      <c r="I114" s="39">
        <v>0</v>
      </c>
      <c r="J114" s="39">
        <v>0</v>
      </c>
      <c r="K114" s="39">
        <v>0</v>
      </c>
      <c r="L114" s="39">
        <v>0</v>
      </c>
      <c r="M114" s="39">
        <v>0</v>
      </c>
      <c r="N114" s="39">
        <v>5.3015970981907176E-2</v>
      </c>
      <c r="O114" s="39">
        <v>3.8417908400650146E-2</v>
      </c>
      <c r="P114" s="39">
        <v>0</v>
      </c>
      <c r="Q114" s="39">
        <v>0</v>
      </c>
      <c r="R114" s="39">
        <v>0</v>
      </c>
      <c r="S114" s="39">
        <v>4.3156261336060077E-2</v>
      </c>
      <c r="T114" s="39">
        <v>0</v>
      </c>
      <c r="U114" s="39">
        <v>8.7967764721652627E-3</v>
      </c>
      <c r="V114" s="39">
        <v>0</v>
      </c>
      <c r="W114" s="39">
        <v>5.3475431824504989E-2</v>
      </c>
      <c r="X114" s="39">
        <v>0</v>
      </c>
      <c r="Y114" s="39">
        <v>7.9614392722412192E-2</v>
      </c>
      <c r="Z114" s="39">
        <v>0</v>
      </c>
      <c r="AA114" s="39">
        <v>0</v>
      </c>
      <c r="AB114" s="39">
        <v>3.8417908400650146E-2</v>
      </c>
      <c r="AC114" s="39"/>
      <c r="AD114" s="36">
        <v>0</v>
      </c>
      <c r="AE114" s="39">
        <v>0</v>
      </c>
      <c r="AF114" s="39">
        <v>8.2372518946270415E-2</v>
      </c>
      <c r="AG114" s="39">
        <v>2.3886220010147362E-2</v>
      </c>
      <c r="AH114" s="39">
        <v>0</v>
      </c>
      <c r="AI114" s="39">
        <v>6.392723322935198E-3</v>
      </c>
      <c r="AJ114" s="39">
        <v>0</v>
      </c>
      <c r="AK114" s="39">
        <v>0</v>
      </c>
      <c r="AL114" s="39">
        <v>0</v>
      </c>
      <c r="AM114" s="39">
        <v>0</v>
      </c>
      <c r="AN114" s="39">
        <v>0</v>
      </c>
      <c r="AO114" s="39">
        <v>5.6133555727600336E-2</v>
      </c>
      <c r="AP114" s="39">
        <v>3.8417908400650146E-2</v>
      </c>
      <c r="AQ114" s="39">
        <v>0</v>
      </c>
      <c r="AR114" s="39">
        <v>0</v>
      </c>
      <c r="AS114" s="39">
        <v>0</v>
      </c>
      <c r="AT114" s="39">
        <v>2.5317089638995018E-2</v>
      </c>
      <c r="AU114" s="39">
        <v>0</v>
      </c>
      <c r="AV114" s="39">
        <v>7.3358498745749193E-2</v>
      </c>
      <c r="AW114" s="39">
        <v>0</v>
      </c>
      <c r="AX114" s="39">
        <v>3.6392506843842376E-2</v>
      </c>
      <c r="AY114" s="39">
        <v>0</v>
      </c>
      <c r="AZ114" s="39">
        <v>6.7217963599623773E-2</v>
      </c>
      <c r="BA114" s="39">
        <v>0</v>
      </c>
      <c r="BB114" s="39">
        <v>0</v>
      </c>
      <c r="BC114" s="39">
        <v>3.8417908400650146E-2</v>
      </c>
      <c r="BD114" s="39"/>
      <c r="BE114" s="39">
        <v>0</v>
      </c>
      <c r="BF114" s="39">
        <v>0</v>
      </c>
      <c r="BG114" s="39">
        <v>8.0059168320545215E-2</v>
      </c>
      <c r="BH114" s="39">
        <v>1.2627974244633284E-2</v>
      </c>
      <c r="BI114" s="39">
        <v>0</v>
      </c>
      <c r="BJ114" s="39">
        <v>3.1414617061969997E-2</v>
      </c>
      <c r="BK114" s="39">
        <v>0</v>
      </c>
      <c r="BL114" s="39">
        <v>0</v>
      </c>
      <c r="BM114" s="39">
        <v>0</v>
      </c>
      <c r="BN114" s="39">
        <v>0</v>
      </c>
      <c r="BO114" s="39">
        <v>0</v>
      </c>
      <c r="BP114" s="39">
        <v>7.5902472838194665E-2</v>
      </c>
      <c r="BQ114" s="39">
        <v>3.8417908400650146E-2</v>
      </c>
      <c r="BR114" s="39">
        <v>0</v>
      </c>
      <c r="BS114" s="39">
        <v>0</v>
      </c>
      <c r="BT114" s="39">
        <v>0</v>
      </c>
      <c r="BU114" s="39">
        <v>1.4771261813525003E-2</v>
      </c>
      <c r="BV114" s="39">
        <v>0</v>
      </c>
      <c r="BW114" s="39">
        <v>4.7841619978025253E-2</v>
      </c>
      <c r="BX114" s="39">
        <v>6.1769327080503006E-2</v>
      </c>
      <c r="BY114" s="39">
        <v>5.7786742096571302E-2</v>
      </c>
      <c r="BZ114" s="39">
        <v>9.758042442780275E-2</v>
      </c>
      <c r="CA114" s="39">
        <v>9.1290330889156973E-2</v>
      </c>
      <c r="CB114" s="39">
        <v>5.1062033046999834E-2</v>
      </c>
      <c r="CC114" s="39">
        <v>0</v>
      </c>
      <c r="CD114" s="39">
        <v>3.8417908400650146E-2</v>
      </c>
      <c r="CE114" s="39"/>
      <c r="CF114" s="39">
        <v>0</v>
      </c>
      <c r="CG114" s="39">
        <v>0</v>
      </c>
    </row>
    <row r="115" spans="1:85">
      <c r="A115" s="143" t="s">
        <v>646</v>
      </c>
      <c r="B115" s="36">
        <v>8170.59</v>
      </c>
      <c r="C115" s="36"/>
      <c r="D115" s="39">
        <v>0</v>
      </c>
      <c r="E115" s="39">
        <v>0</v>
      </c>
      <c r="F115" s="39">
        <v>0</v>
      </c>
      <c r="G115" s="39">
        <v>0</v>
      </c>
      <c r="H115" s="39">
        <v>0</v>
      </c>
      <c r="I115" s="39">
        <v>0</v>
      </c>
      <c r="J115" s="39">
        <v>0</v>
      </c>
      <c r="K115" s="39">
        <v>0</v>
      </c>
      <c r="L115" s="39">
        <v>0</v>
      </c>
      <c r="M115" s="39">
        <v>0</v>
      </c>
      <c r="N115" s="39">
        <v>4.0599963614556034E-2</v>
      </c>
      <c r="O115" s="39">
        <v>9.4310880437430047E-3</v>
      </c>
      <c r="P115" s="39">
        <v>0</v>
      </c>
      <c r="Q115" s="39">
        <v>0</v>
      </c>
      <c r="R115" s="39">
        <v>0</v>
      </c>
      <c r="S115" s="39">
        <v>0.14885058757458797</v>
      </c>
      <c r="T115" s="39">
        <v>0</v>
      </c>
      <c r="U115" s="39">
        <v>2.9322588240550881E-3</v>
      </c>
      <c r="V115" s="39">
        <v>0</v>
      </c>
      <c r="W115" s="39">
        <v>0.12205576360765934</v>
      </c>
      <c r="X115" s="39">
        <v>0</v>
      </c>
      <c r="Y115" s="39">
        <v>3.3177132906124951E-2</v>
      </c>
      <c r="Z115" s="39">
        <v>0</v>
      </c>
      <c r="AA115" s="39">
        <v>0</v>
      </c>
      <c r="AB115" s="39">
        <v>9.4310880437430047E-3</v>
      </c>
      <c r="AC115" s="39"/>
      <c r="AD115" s="36">
        <v>0</v>
      </c>
      <c r="AE115" s="39">
        <v>0</v>
      </c>
      <c r="AF115" s="39">
        <v>0</v>
      </c>
      <c r="AG115" s="39">
        <v>0.13786457917127709</v>
      </c>
      <c r="AH115" s="39">
        <v>0</v>
      </c>
      <c r="AI115" s="39">
        <v>0.27878914361244678</v>
      </c>
      <c r="AJ115" s="39">
        <v>0</v>
      </c>
      <c r="AK115" s="39">
        <v>0</v>
      </c>
      <c r="AL115" s="39">
        <v>0</v>
      </c>
      <c r="AM115" s="39">
        <v>0</v>
      </c>
      <c r="AN115" s="39">
        <v>0</v>
      </c>
      <c r="AO115" s="39">
        <v>0.13477258247702337</v>
      </c>
      <c r="AP115" s="39">
        <v>9.4310880437430047E-3</v>
      </c>
      <c r="AQ115" s="39">
        <v>0</v>
      </c>
      <c r="AR115" s="39">
        <v>0</v>
      </c>
      <c r="AS115" s="39">
        <v>0</v>
      </c>
      <c r="AT115" s="39">
        <v>0.17602399045807396</v>
      </c>
      <c r="AU115" s="39">
        <v>0</v>
      </c>
      <c r="AV115" s="39">
        <v>0.31789067234558299</v>
      </c>
      <c r="AW115" s="39">
        <v>0</v>
      </c>
      <c r="AX115" s="39">
        <v>0.33315839252415952</v>
      </c>
      <c r="AY115" s="39">
        <v>0</v>
      </c>
      <c r="AZ115" s="39">
        <v>8.2186841817196418E-2</v>
      </c>
      <c r="BA115" s="39">
        <v>0</v>
      </c>
      <c r="BB115" s="39">
        <v>0</v>
      </c>
      <c r="BC115" s="39">
        <v>9.4310880437430047E-3</v>
      </c>
      <c r="BD115" s="39"/>
      <c r="BE115" s="39">
        <v>0</v>
      </c>
      <c r="BF115" s="39">
        <v>0</v>
      </c>
      <c r="BG115" s="39">
        <v>0</v>
      </c>
      <c r="BH115" s="39">
        <v>0.16112417750489513</v>
      </c>
      <c r="BI115" s="39">
        <v>0</v>
      </c>
      <c r="BJ115" s="39">
        <v>0.45799485431117382</v>
      </c>
      <c r="BK115" s="39">
        <v>0</v>
      </c>
      <c r="BL115" s="39">
        <v>0</v>
      </c>
      <c r="BM115" s="39">
        <v>0</v>
      </c>
      <c r="BN115" s="39">
        <v>0</v>
      </c>
      <c r="BO115" s="39">
        <v>0</v>
      </c>
      <c r="BP115" s="39">
        <v>0.1588053892235925</v>
      </c>
      <c r="BQ115" s="39">
        <v>9.4310880437430047E-3</v>
      </c>
      <c r="BR115" s="39">
        <v>0</v>
      </c>
      <c r="BS115" s="39">
        <v>0</v>
      </c>
      <c r="BT115" s="39">
        <v>0</v>
      </c>
      <c r="BU115" s="39">
        <v>0.16786486499195957</v>
      </c>
      <c r="BV115" s="39">
        <v>0</v>
      </c>
      <c r="BW115" s="39">
        <v>0.33661200162908289</v>
      </c>
      <c r="BX115" s="39">
        <v>8.564454141633665E-2</v>
      </c>
      <c r="BY115" s="39">
        <v>0.22123798456582849</v>
      </c>
      <c r="BZ115" s="39">
        <v>9.5108176601123001E-2</v>
      </c>
      <c r="CA115" s="39">
        <v>0.10078305924407917</v>
      </c>
      <c r="CB115" s="39">
        <v>8.2641880964593531E-2</v>
      </c>
      <c r="CC115" s="39">
        <v>0</v>
      </c>
      <c r="CD115" s="39">
        <v>9.4310880437430047E-3</v>
      </c>
      <c r="CE115" s="39"/>
      <c r="CF115" s="39">
        <v>0</v>
      </c>
      <c r="CG115" s="39">
        <v>0</v>
      </c>
    </row>
    <row r="116" spans="1:85">
      <c r="A116" s="143" t="s">
        <v>648</v>
      </c>
      <c r="B116" s="36">
        <v>1488.655</v>
      </c>
      <c r="C116" s="36"/>
      <c r="D116" s="39">
        <v>0</v>
      </c>
      <c r="E116" s="39">
        <v>0</v>
      </c>
      <c r="F116" s="39">
        <v>0</v>
      </c>
      <c r="G116" s="39">
        <v>0</v>
      </c>
      <c r="H116" s="39">
        <v>0</v>
      </c>
      <c r="I116" s="39">
        <v>0</v>
      </c>
      <c r="J116" s="39">
        <v>0</v>
      </c>
      <c r="K116" s="39">
        <v>0</v>
      </c>
      <c r="L116" s="39">
        <v>0</v>
      </c>
      <c r="M116" s="39">
        <v>0</v>
      </c>
      <c r="N116" s="39">
        <v>0</v>
      </c>
      <c r="O116" s="39">
        <v>1.7183136556550068E-3</v>
      </c>
      <c r="P116" s="39">
        <v>0</v>
      </c>
      <c r="Q116" s="39">
        <v>2.4331049045224967E-2</v>
      </c>
      <c r="R116" s="39">
        <v>0</v>
      </c>
      <c r="S116" s="39">
        <v>0</v>
      </c>
      <c r="T116" s="39">
        <v>0</v>
      </c>
      <c r="U116" s="39">
        <v>8.7967764721652627E-3</v>
      </c>
      <c r="V116" s="39">
        <v>0</v>
      </c>
      <c r="W116" s="39">
        <v>1.7041572299239062E-2</v>
      </c>
      <c r="X116" s="39">
        <v>0</v>
      </c>
      <c r="Y116" s="39">
        <v>5.7608032128134172E-3</v>
      </c>
      <c r="Z116" s="39">
        <v>0</v>
      </c>
      <c r="AA116" s="39">
        <v>0</v>
      </c>
      <c r="AB116" s="39">
        <v>1.7183136556550068E-3</v>
      </c>
      <c r="AC116" s="39"/>
      <c r="AD116" s="36">
        <v>0</v>
      </c>
      <c r="AE116" s="39">
        <v>5.9422796150470636E-3</v>
      </c>
      <c r="AF116" s="39">
        <v>2.7924614522758229E-2</v>
      </c>
      <c r="AG116" s="39">
        <v>0</v>
      </c>
      <c r="AH116" s="39">
        <v>0</v>
      </c>
      <c r="AI116" s="39">
        <v>0</v>
      </c>
      <c r="AJ116" s="39">
        <v>0</v>
      </c>
      <c r="AK116" s="39">
        <v>0</v>
      </c>
      <c r="AL116" s="39">
        <v>0</v>
      </c>
      <c r="AM116" s="39">
        <v>0</v>
      </c>
      <c r="AN116" s="39">
        <v>0</v>
      </c>
      <c r="AO116" s="39">
        <v>0</v>
      </c>
      <c r="AP116" s="39">
        <v>1.7183136556550068E-3</v>
      </c>
      <c r="AQ116" s="39">
        <v>0</v>
      </c>
      <c r="AR116" s="39">
        <v>1.3406307029845311E-2</v>
      </c>
      <c r="AS116" s="39">
        <v>0</v>
      </c>
      <c r="AT116" s="39">
        <v>0</v>
      </c>
      <c r="AU116" s="39">
        <v>0</v>
      </c>
      <c r="AV116" s="39">
        <v>3.3251515058074443E-3</v>
      </c>
      <c r="AW116" s="39">
        <v>0</v>
      </c>
      <c r="AX116" s="39">
        <v>1.1899734646146822E-2</v>
      </c>
      <c r="AY116" s="39">
        <v>0</v>
      </c>
      <c r="AZ116" s="39">
        <v>6.0493379206976571E-3</v>
      </c>
      <c r="BA116" s="39">
        <v>0</v>
      </c>
      <c r="BB116" s="39">
        <v>0</v>
      </c>
      <c r="BC116" s="39">
        <v>1.7183136556550068E-3</v>
      </c>
      <c r="BD116" s="39"/>
      <c r="BE116" s="39">
        <v>0</v>
      </c>
      <c r="BF116" s="39">
        <v>1.0288806391305623E-3</v>
      </c>
      <c r="BG116" s="39">
        <v>2.0212264926190514E-2</v>
      </c>
      <c r="BH116" s="39">
        <v>0</v>
      </c>
      <c r="BI116" s="39">
        <v>0</v>
      </c>
      <c r="BJ116" s="39">
        <v>0</v>
      </c>
      <c r="BK116" s="39">
        <v>0</v>
      </c>
      <c r="BL116" s="39">
        <v>0</v>
      </c>
      <c r="BM116" s="39">
        <v>0</v>
      </c>
      <c r="BN116" s="39">
        <v>0</v>
      </c>
      <c r="BO116" s="39">
        <v>0</v>
      </c>
      <c r="BP116" s="39">
        <v>0</v>
      </c>
      <c r="BQ116" s="39">
        <v>1.7183136556550068E-3</v>
      </c>
      <c r="BR116" s="39">
        <v>0</v>
      </c>
      <c r="BS116" s="39">
        <v>6.7493316082866406E-3</v>
      </c>
      <c r="BT116" s="39">
        <v>0</v>
      </c>
      <c r="BU116" s="39">
        <v>0</v>
      </c>
      <c r="BV116" s="39">
        <v>0</v>
      </c>
      <c r="BW116" s="39">
        <v>2.0162204320295484E-3</v>
      </c>
      <c r="BX116" s="39">
        <v>9.6634486545683004E-3</v>
      </c>
      <c r="BY116" s="39">
        <v>1.1466518591988214E-2</v>
      </c>
      <c r="BZ116" s="39">
        <v>1.3956593553562265E-2</v>
      </c>
      <c r="CA116" s="39">
        <v>0</v>
      </c>
      <c r="CB116" s="39">
        <v>0</v>
      </c>
      <c r="CC116" s="39">
        <v>0</v>
      </c>
      <c r="CD116" s="39">
        <v>1.7183136556550068E-3</v>
      </c>
      <c r="CE116" s="39"/>
      <c r="CF116" s="39">
        <v>0</v>
      </c>
      <c r="CG116" s="39">
        <v>0</v>
      </c>
    </row>
    <row r="117" spans="1:85">
      <c r="A117" s="143" t="s">
        <v>649</v>
      </c>
      <c r="B117" s="36">
        <v>26544.2</v>
      </c>
      <c r="C117" s="36"/>
      <c r="D117" s="39">
        <v>0</v>
      </c>
      <c r="E117" s="39">
        <v>0</v>
      </c>
      <c r="F117" s="39">
        <v>0</v>
      </c>
      <c r="G117" s="39">
        <v>0</v>
      </c>
      <c r="H117" s="39">
        <v>0</v>
      </c>
      <c r="I117" s="39">
        <v>0</v>
      </c>
      <c r="J117" s="39">
        <v>0</v>
      </c>
      <c r="K117" s="39">
        <v>0</v>
      </c>
      <c r="L117" s="39">
        <v>0</v>
      </c>
      <c r="M117" s="39">
        <v>0</v>
      </c>
      <c r="N117" s="39">
        <v>3.8250808841495537E-2</v>
      </c>
      <c r="O117" s="39">
        <v>3.0639242362023193E-2</v>
      </c>
      <c r="P117" s="39">
        <v>0</v>
      </c>
      <c r="Q117" s="39">
        <v>0</v>
      </c>
      <c r="R117" s="39">
        <v>0</v>
      </c>
      <c r="S117" s="39">
        <v>0</v>
      </c>
      <c r="T117" s="39">
        <v>0</v>
      </c>
      <c r="U117" s="39">
        <v>2.052581176838562E-2</v>
      </c>
      <c r="V117" s="39">
        <v>0</v>
      </c>
      <c r="W117" s="39">
        <v>2.4537826101046115E-2</v>
      </c>
      <c r="X117" s="39">
        <v>0</v>
      </c>
      <c r="Y117" s="39">
        <v>6.8238348068434915E-2</v>
      </c>
      <c r="Z117" s="39">
        <v>0</v>
      </c>
      <c r="AA117" s="39">
        <v>0</v>
      </c>
      <c r="AB117" s="39">
        <v>3.0639242362023193E-2</v>
      </c>
      <c r="AC117" s="39"/>
      <c r="AD117" s="36">
        <v>0</v>
      </c>
      <c r="AE117" s="39">
        <v>0</v>
      </c>
      <c r="AF117" s="39">
        <v>7.1608553688828555E-2</v>
      </c>
      <c r="AG117" s="39">
        <v>0</v>
      </c>
      <c r="AH117" s="39">
        <v>0</v>
      </c>
      <c r="AI117" s="39">
        <v>1.5981808307337995E-3</v>
      </c>
      <c r="AJ117" s="39">
        <v>0</v>
      </c>
      <c r="AK117" s="39">
        <v>0</v>
      </c>
      <c r="AL117" s="39">
        <v>0</v>
      </c>
      <c r="AM117" s="39">
        <v>0</v>
      </c>
      <c r="AN117" s="39">
        <v>0</v>
      </c>
      <c r="AO117" s="39">
        <v>4.9825119950246161E-2</v>
      </c>
      <c r="AP117" s="39">
        <v>3.0639242362023193E-2</v>
      </c>
      <c r="AQ117" s="39">
        <v>0</v>
      </c>
      <c r="AR117" s="39">
        <v>0</v>
      </c>
      <c r="AS117" s="39">
        <v>0</v>
      </c>
      <c r="AT117" s="39">
        <v>0</v>
      </c>
      <c r="AU117" s="39">
        <v>0</v>
      </c>
      <c r="AV117" s="39">
        <v>1.5517373693768079E-2</v>
      </c>
      <c r="AW117" s="39">
        <v>0</v>
      </c>
      <c r="AX117" s="39">
        <v>1.6854025476452268E-2</v>
      </c>
      <c r="AY117" s="39">
        <v>0</v>
      </c>
      <c r="AZ117" s="39">
        <v>7.006875750679907E-2</v>
      </c>
      <c r="BA117" s="39">
        <v>0</v>
      </c>
      <c r="BB117" s="39">
        <v>0</v>
      </c>
      <c r="BC117" s="39">
        <v>3.0639242362023193E-2</v>
      </c>
      <c r="BD117" s="39"/>
      <c r="BE117" s="39">
        <v>0</v>
      </c>
      <c r="BF117" s="39">
        <v>0</v>
      </c>
      <c r="BG117" s="39">
        <v>6.1377699693290814E-2</v>
      </c>
      <c r="BH117" s="39">
        <v>0</v>
      </c>
      <c r="BI117" s="39">
        <v>0</v>
      </c>
      <c r="BJ117" s="39">
        <v>1.5044151870365575E-2</v>
      </c>
      <c r="BK117" s="39">
        <v>0</v>
      </c>
      <c r="BL117" s="39">
        <v>0</v>
      </c>
      <c r="BM117" s="39">
        <v>0</v>
      </c>
      <c r="BN117" s="39">
        <v>0</v>
      </c>
      <c r="BO117" s="39">
        <v>0</v>
      </c>
      <c r="BP117" s="39">
        <v>5.8051453299967221E-2</v>
      </c>
      <c r="BQ117" s="39">
        <v>3.0639242362023193E-2</v>
      </c>
      <c r="BR117" s="39">
        <v>0</v>
      </c>
      <c r="BS117" s="39">
        <v>0</v>
      </c>
      <c r="BT117" s="39">
        <v>0</v>
      </c>
      <c r="BU117" s="39">
        <v>0</v>
      </c>
      <c r="BV117" s="39">
        <v>0</v>
      </c>
      <c r="BW117" s="39">
        <v>2.3413037628874617E-2</v>
      </c>
      <c r="BX117" s="39">
        <v>7.4204953463659976E-2</v>
      </c>
      <c r="BY117" s="39">
        <v>3.5499063206634665E-2</v>
      </c>
      <c r="BZ117" s="39">
        <v>8.9388303416713291E-2</v>
      </c>
      <c r="CA117" s="39">
        <v>5.8047570716934775E-2</v>
      </c>
      <c r="CB117" s="39">
        <v>3.5376003152516385E-2</v>
      </c>
      <c r="CC117" s="39">
        <v>0</v>
      </c>
      <c r="CD117" s="39">
        <v>3.0639242362023193E-2</v>
      </c>
      <c r="CE117" s="39"/>
      <c r="CF117" s="39">
        <v>0</v>
      </c>
      <c r="CG117" s="39">
        <v>0</v>
      </c>
    </row>
    <row r="118" spans="1:85">
      <c r="A118" s="143" t="s">
        <v>650</v>
      </c>
      <c r="B118" s="36">
        <v>20779.454999999998</v>
      </c>
      <c r="C118" s="36"/>
      <c r="D118" s="39">
        <v>0</v>
      </c>
      <c r="E118" s="39">
        <v>0</v>
      </c>
      <c r="F118" s="39">
        <v>0</v>
      </c>
      <c r="G118" s="39">
        <v>0</v>
      </c>
      <c r="H118" s="39">
        <v>0</v>
      </c>
      <c r="I118" s="39">
        <v>0</v>
      </c>
      <c r="J118" s="39">
        <v>0</v>
      </c>
      <c r="K118" s="39">
        <v>0</v>
      </c>
      <c r="L118" s="39">
        <v>0</v>
      </c>
      <c r="M118" s="39">
        <v>0</v>
      </c>
      <c r="N118" s="39">
        <v>0</v>
      </c>
      <c r="O118" s="39">
        <v>2.3985155246560624E-2</v>
      </c>
      <c r="P118" s="39">
        <v>0</v>
      </c>
      <c r="Q118" s="39">
        <v>1.0778368989124891E-2</v>
      </c>
      <c r="R118" s="39">
        <v>0</v>
      </c>
      <c r="S118" s="39">
        <v>0</v>
      </c>
      <c r="T118" s="39">
        <v>0</v>
      </c>
      <c r="U118" s="39">
        <v>1.1729035296220354E-2</v>
      </c>
      <c r="V118" s="39">
        <v>0</v>
      </c>
      <c r="W118" s="39">
        <v>0</v>
      </c>
      <c r="X118" s="39">
        <v>0</v>
      </c>
      <c r="Y118" s="39">
        <v>5.9888358914399233E-3</v>
      </c>
      <c r="Z118" s="39">
        <v>0</v>
      </c>
      <c r="AA118" s="39">
        <v>0</v>
      </c>
      <c r="AB118" s="39">
        <v>2.3985155246560624E-2</v>
      </c>
      <c r="AC118" s="39"/>
      <c r="AD118" s="36">
        <v>0</v>
      </c>
      <c r="AE118" s="39">
        <v>1.4672333309219627E-2</v>
      </c>
      <c r="AF118" s="39">
        <v>2.6351084141865728E-2</v>
      </c>
      <c r="AG118" s="39">
        <v>0</v>
      </c>
      <c r="AH118" s="39">
        <v>0</v>
      </c>
      <c r="AI118" s="39">
        <v>0</v>
      </c>
      <c r="AJ118" s="39">
        <v>0</v>
      </c>
      <c r="AK118" s="39">
        <v>0</v>
      </c>
      <c r="AL118" s="39">
        <v>0</v>
      </c>
      <c r="AM118" s="39">
        <v>0</v>
      </c>
      <c r="AN118" s="39">
        <v>0</v>
      </c>
      <c r="AO118" s="39">
        <v>0</v>
      </c>
      <c r="AP118" s="39">
        <v>2.3985155246560624E-2</v>
      </c>
      <c r="AQ118" s="39">
        <v>0</v>
      </c>
      <c r="AR118" s="39">
        <v>1.4234298681167937E-2</v>
      </c>
      <c r="AS118" s="39">
        <v>0</v>
      </c>
      <c r="AT118" s="39">
        <v>0</v>
      </c>
      <c r="AU118" s="39">
        <v>0</v>
      </c>
      <c r="AV118" s="39">
        <v>4.4335353410765938E-3</v>
      </c>
      <c r="AW118" s="39">
        <v>0</v>
      </c>
      <c r="AX118" s="39">
        <v>0</v>
      </c>
      <c r="AY118" s="39">
        <v>0</v>
      </c>
      <c r="AZ118" s="39">
        <v>4.727719262444645E-3</v>
      </c>
      <c r="BA118" s="39">
        <v>0</v>
      </c>
      <c r="BB118" s="39">
        <v>0</v>
      </c>
      <c r="BC118" s="39">
        <v>2.3985155246560624E-2</v>
      </c>
      <c r="BD118" s="39"/>
      <c r="BE118" s="39">
        <v>0</v>
      </c>
      <c r="BF118" s="39">
        <v>2.4266232989428951E-2</v>
      </c>
      <c r="BG118" s="39">
        <v>1.2841165577418124E-2</v>
      </c>
      <c r="BH118" s="39">
        <v>0</v>
      </c>
      <c r="BI118" s="39">
        <v>0</v>
      </c>
      <c r="BJ118" s="39">
        <v>0</v>
      </c>
      <c r="BK118" s="39">
        <v>0</v>
      </c>
      <c r="BL118" s="39">
        <v>0</v>
      </c>
      <c r="BM118" s="39">
        <v>0</v>
      </c>
      <c r="BN118" s="39">
        <v>0</v>
      </c>
      <c r="BO118" s="39">
        <v>0</v>
      </c>
      <c r="BP118" s="39">
        <v>0</v>
      </c>
      <c r="BQ118" s="39">
        <v>2.3985155246560624E-2</v>
      </c>
      <c r="BR118" s="39">
        <v>0</v>
      </c>
      <c r="BS118" s="39">
        <v>2.3949195954393179E-2</v>
      </c>
      <c r="BT118" s="39">
        <v>0</v>
      </c>
      <c r="BU118" s="39">
        <v>0</v>
      </c>
      <c r="BV118" s="39">
        <v>0</v>
      </c>
      <c r="BW118" s="39">
        <v>3.3603673867159149E-3</v>
      </c>
      <c r="BX118" s="39">
        <v>8.8806815450520916E-3</v>
      </c>
      <c r="BY118" s="39">
        <v>0</v>
      </c>
      <c r="BZ118" s="39">
        <v>1.0746048767576162E-2</v>
      </c>
      <c r="CA118" s="39">
        <v>2.8925079776245203E-4</v>
      </c>
      <c r="CB118" s="39">
        <v>0</v>
      </c>
      <c r="CC118" s="39">
        <v>0</v>
      </c>
      <c r="CD118" s="39">
        <v>2.3985155246560624E-2</v>
      </c>
      <c r="CE118" s="39"/>
      <c r="CF118" s="39">
        <v>0</v>
      </c>
      <c r="CG118" s="39">
        <v>0</v>
      </c>
    </row>
    <row r="119" spans="1:85">
      <c r="A119" s="143" t="s">
        <v>651</v>
      </c>
      <c r="B119" s="36">
        <v>630.28</v>
      </c>
      <c r="C119" s="36"/>
      <c r="D119" s="39">
        <v>0</v>
      </c>
      <c r="E119" s="39">
        <v>0</v>
      </c>
      <c r="F119" s="39">
        <v>0</v>
      </c>
      <c r="G119" s="39">
        <v>0</v>
      </c>
      <c r="H119" s="39">
        <v>0</v>
      </c>
      <c r="I119" s="39">
        <v>0</v>
      </c>
      <c r="J119" s="39">
        <v>0</v>
      </c>
      <c r="K119" s="39">
        <v>0</v>
      </c>
      <c r="L119" s="39">
        <v>0</v>
      </c>
      <c r="M119" s="39">
        <v>0</v>
      </c>
      <c r="N119" s="39">
        <v>0</v>
      </c>
      <c r="O119" s="39">
        <v>7.2751492514131052E-4</v>
      </c>
      <c r="P119" s="39">
        <v>0</v>
      </c>
      <c r="Q119" s="39">
        <v>1.3251897338925418E-2</v>
      </c>
      <c r="R119" s="39">
        <v>0</v>
      </c>
      <c r="S119" s="39">
        <v>0</v>
      </c>
      <c r="T119" s="39">
        <v>0</v>
      </c>
      <c r="U119" s="39">
        <v>0</v>
      </c>
      <c r="V119" s="39">
        <v>0</v>
      </c>
      <c r="W119" s="39">
        <v>0</v>
      </c>
      <c r="X119" s="39">
        <v>0</v>
      </c>
      <c r="Y119" s="39">
        <v>0</v>
      </c>
      <c r="Z119" s="39">
        <v>0</v>
      </c>
      <c r="AA119" s="39">
        <v>0</v>
      </c>
      <c r="AB119" s="39">
        <v>7.2751492514131052E-4</v>
      </c>
      <c r="AC119" s="39"/>
      <c r="AD119" s="36">
        <v>0</v>
      </c>
      <c r="AE119" s="39">
        <v>0</v>
      </c>
      <c r="AF119" s="39">
        <v>0</v>
      </c>
      <c r="AG119" s="39">
        <v>0</v>
      </c>
      <c r="AH119" s="39">
        <v>0</v>
      </c>
      <c r="AI119" s="39">
        <v>0</v>
      </c>
      <c r="AJ119" s="39">
        <v>0</v>
      </c>
      <c r="AK119" s="39">
        <v>0</v>
      </c>
      <c r="AL119" s="39">
        <v>0</v>
      </c>
      <c r="AM119" s="39">
        <v>0</v>
      </c>
      <c r="AN119" s="39">
        <v>0</v>
      </c>
      <c r="AO119" s="39">
        <v>0</v>
      </c>
      <c r="AP119" s="39">
        <v>7.2751492514131052E-4</v>
      </c>
      <c r="AQ119" s="39">
        <v>0</v>
      </c>
      <c r="AR119" s="39">
        <v>1.0257201952049804E-2</v>
      </c>
      <c r="AS119" s="39">
        <v>0</v>
      </c>
      <c r="AT119" s="39">
        <v>0</v>
      </c>
      <c r="AU119" s="39">
        <v>0</v>
      </c>
      <c r="AV119" s="39">
        <v>0</v>
      </c>
      <c r="AW119" s="39">
        <v>0</v>
      </c>
      <c r="AX119" s="39">
        <v>0</v>
      </c>
      <c r="AY119" s="39">
        <v>0</v>
      </c>
      <c r="AZ119" s="39">
        <v>0</v>
      </c>
      <c r="BA119" s="39">
        <v>0</v>
      </c>
      <c r="BB119" s="39">
        <v>0</v>
      </c>
      <c r="BC119" s="39">
        <v>7.2751492514131052E-4</v>
      </c>
      <c r="BD119" s="39"/>
      <c r="BE119" s="39">
        <v>0</v>
      </c>
      <c r="BF119" s="39">
        <v>0</v>
      </c>
      <c r="BG119" s="39">
        <v>5.2457926362912428E-3</v>
      </c>
      <c r="BH119" s="39">
        <v>0</v>
      </c>
      <c r="BI119" s="39">
        <v>0</v>
      </c>
      <c r="BJ119" s="39">
        <v>0</v>
      </c>
      <c r="BK119" s="39">
        <v>0</v>
      </c>
      <c r="BL119" s="39">
        <v>0</v>
      </c>
      <c r="BM119" s="39">
        <v>0</v>
      </c>
      <c r="BN119" s="39">
        <v>0</v>
      </c>
      <c r="BO119" s="39">
        <v>0</v>
      </c>
      <c r="BP119" s="39">
        <v>0</v>
      </c>
      <c r="BQ119" s="39">
        <v>7.2751492514131052E-4</v>
      </c>
      <c r="BR119" s="39">
        <v>0</v>
      </c>
      <c r="BS119" s="39">
        <v>8.0257430516025349E-3</v>
      </c>
      <c r="BT119" s="39">
        <v>0</v>
      </c>
      <c r="BU119" s="39">
        <v>0</v>
      </c>
      <c r="BV119" s="39">
        <v>0</v>
      </c>
      <c r="BW119" s="39">
        <v>1.4004008946070056E-2</v>
      </c>
      <c r="BX119" s="39">
        <v>9.466609416911504E-4</v>
      </c>
      <c r="BY119" s="39">
        <v>0</v>
      </c>
      <c r="BZ119" s="39">
        <v>0</v>
      </c>
      <c r="CA119" s="39">
        <v>7.3462969160342567E-4</v>
      </c>
      <c r="CB119" s="39">
        <v>0</v>
      </c>
      <c r="CC119" s="39">
        <v>0</v>
      </c>
      <c r="CD119" s="39">
        <v>7.2751492514131052E-4</v>
      </c>
      <c r="CE119" s="39"/>
      <c r="CF119" s="39">
        <v>0</v>
      </c>
      <c r="CG119" s="39">
        <v>0</v>
      </c>
    </row>
    <row r="120" spans="1:85">
      <c r="A120" s="143" t="s">
        <v>652</v>
      </c>
      <c r="B120" s="36">
        <v>146041.05000000002</v>
      </c>
      <c r="C120" s="36"/>
      <c r="D120" s="39">
        <v>0.18415325413412478</v>
      </c>
      <c r="E120" s="39">
        <v>0</v>
      </c>
      <c r="F120" s="39">
        <v>0</v>
      </c>
      <c r="G120" s="39">
        <v>0</v>
      </c>
      <c r="H120" s="39">
        <v>0</v>
      </c>
      <c r="I120" s="39">
        <v>0</v>
      </c>
      <c r="J120" s="39">
        <v>0</v>
      </c>
      <c r="K120" s="39">
        <v>0</v>
      </c>
      <c r="L120" s="39">
        <v>0</v>
      </c>
      <c r="M120" s="39">
        <v>0</v>
      </c>
      <c r="N120" s="39">
        <v>0</v>
      </c>
      <c r="O120" s="39">
        <v>0.16857118036159868</v>
      </c>
      <c r="P120" s="39">
        <v>0</v>
      </c>
      <c r="Q120" s="39">
        <v>0.13063787324497958</v>
      </c>
      <c r="R120" s="39">
        <v>0</v>
      </c>
      <c r="S120" s="39">
        <v>0</v>
      </c>
      <c r="T120" s="39">
        <v>0</v>
      </c>
      <c r="U120" s="39">
        <v>0</v>
      </c>
      <c r="V120" s="39">
        <v>0</v>
      </c>
      <c r="W120" s="39">
        <v>0</v>
      </c>
      <c r="X120" s="39">
        <v>0</v>
      </c>
      <c r="Y120" s="39">
        <v>0</v>
      </c>
      <c r="Z120" s="39">
        <v>0</v>
      </c>
      <c r="AA120" s="39">
        <v>0</v>
      </c>
      <c r="AB120" s="39">
        <v>0.16857118036159868</v>
      </c>
      <c r="AC120" s="39"/>
      <c r="AD120" s="36">
        <v>0</v>
      </c>
      <c r="AE120" s="39">
        <v>8.6932499203898173E-2</v>
      </c>
      <c r="AF120" s="39">
        <v>4.7969008669008745E-2</v>
      </c>
      <c r="AG120" s="39">
        <v>0</v>
      </c>
      <c r="AH120" s="39">
        <v>0</v>
      </c>
      <c r="AI120" s="39">
        <v>0</v>
      </c>
      <c r="AJ120" s="39">
        <v>0</v>
      </c>
      <c r="AK120" s="39">
        <v>0</v>
      </c>
      <c r="AL120" s="39">
        <v>0</v>
      </c>
      <c r="AM120" s="39">
        <v>0</v>
      </c>
      <c r="AN120" s="39">
        <v>0</v>
      </c>
      <c r="AO120" s="39">
        <v>0</v>
      </c>
      <c r="AP120" s="39">
        <v>0.16857118036159868</v>
      </c>
      <c r="AQ120" s="39">
        <v>0</v>
      </c>
      <c r="AR120" s="39">
        <v>0.16629822746480849</v>
      </c>
      <c r="AS120" s="39">
        <v>0</v>
      </c>
      <c r="AT120" s="39">
        <v>2.9877671168965017E-2</v>
      </c>
      <c r="AU120" s="39">
        <v>0</v>
      </c>
      <c r="AV120" s="39">
        <v>0</v>
      </c>
      <c r="AW120" s="39">
        <v>0</v>
      </c>
      <c r="AX120" s="39">
        <v>0</v>
      </c>
      <c r="AY120" s="39">
        <v>0</v>
      </c>
      <c r="AZ120" s="39">
        <v>0</v>
      </c>
      <c r="BA120" s="39">
        <v>0</v>
      </c>
      <c r="BB120" s="39">
        <v>0</v>
      </c>
      <c r="BC120" s="39">
        <v>0.16857118036159868</v>
      </c>
      <c r="BD120" s="39"/>
      <c r="BE120" s="39">
        <v>0</v>
      </c>
      <c r="BF120" s="39">
        <v>0.11880927263822051</v>
      </c>
      <c r="BG120" s="39">
        <v>0.11153986122457837</v>
      </c>
      <c r="BH120" s="39">
        <v>3.8686025706759955E-2</v>
      </c>
      <c r="BI120" s="39">
        <v>0</v>
      </c>
      <c r="BJ120" s="39">
        <v>0</v>
      </c>
      <c r="BK120" s="39">
        <v>0</v>
      </c>
      <c r="BL120" s="39">
        <v>0</v>
      </c>
      <c r="BM120" s="39">
        <v>0</v>
      </c>
      <c r="BN120" s="39">
        <v>0</v>
      </c>
      <c r="BO120" s="39">
        <v>0</v>
      </c>
      <c r="BP120" s="39">
        <v>0</v>
      </c>
      <c r="BQ120" s="39">
        <v>0.16857118036159868</v>
      </c>
      <c r="BR120" s="39">
        <v>0</v>
      </c>
      <c r="BS120" s="39">
        <v>0.10437985764689658</v>
      </c>
      <c r="BT120" s="39">
        <v>0</v>
      </c>
      <c r="BU120" s="39">
        <v>4.5252025635241111E-2</v>
      </c>
      <c r="BV120" s="39">
        <v>0</v>
      </c>
      <c r="BW120" s="39">
        <v>1.736437633278597E-2</v>
      </c>
      <c r="BX120" s="39">
        <v>2.7405516873654327E-2</v>
      </c>
      <c r="BY120" s="39">
        <v>9.0016383806992128E-3</v>
      </c>
      <c r="BZ120" s="39">
        <v>5.3233054096641162E-2</v>
      </c>
      <c r="CA120" s="39">
        <v>4.1351851383628513E-2</v>
      </c>
      <c r="CB120" s="39">
        <v>1.592627661926288E-2</v>
      </c>
      <c r="CC120" s="39">
        <v>0</v>
      </c>
      <c r="CD120" s="39">
        <v>0.16857118036159868</v>
      </c>
      <c r="CE120" s="39"/>
      <c r="CF120" s="39">
        <v>0</v>
      </c>
      <c r="CG120" s="39">
        <v>0</v>
      </c>
    </row>
    <row r="121" spans="1:85">
      <c r="A121" s="143" t="s">
        <v>653</v>
      </c>
      <c r="B121" s="36">
        <v>614.65499999999997</v>
      </c>
      <c r="C121" s="36"/>
      <c r="D121" s="39">
        <v>0</v>
      </c>
      <c r="E121" s="39">
        <v>0</v>
      </c>
      <c r="F121" s="39">
        <v>0</v>
      </c>
      <c r="G121" s="39">
        <v>0</v>
      </c>
      <c r="H121" s="39">
        <v>0</v>
      </c>
      <c r="I121" s="39">
        <v>0</v>
      </c>
      <c r="J121" s="39">
        <v>0</v>
      </c>
      <c r="K121" s="39">
        <v>0</v>
      </c>
      <c r="L121" s="39">
        <v>0</v>
      </c>
      <c r="M121" s="39">
        <v>0</v>
      </c>
      <c r="N121" s="39">
        <v>0</v>
      </c>
      <c r="O121" s="39">
        <v>7.0947941599405382E-4</v>
      </c>
      <c r="P121" s="39">
        <v>0</v>
      </c>
      <c r="Q121" s="39">
        <v>0</v>
      </c>
      <c r="R121" s="39">
        <v>0</v>
      </c>
      <c r="S121" s="39">
        <v>1.3835890481685605E-2</v>
      </c>
      <c r="T121" s="39">
        <v>0</v>
      </c>
      <c r="U121" s="39">
        <v>2.9322588240550881E-3</v>
      </c>
      <c r="V121" s="39">
        <v>0</v>
      </c>
      <c r="W121" s="39">
        <v>7.728294479780299E-3</v>
      </c>
      <c r="X121" s="39">
        <v>0</v>
      </c>
      <c r="Y121" s="39">
        <v>7.8468309493392903E-3</v>
      </c>
      <c r="Z121" s="39">
        <v>0</v>
      </c>
      <c r="AA121" s="39">
        <v>0</v>
      </c>
      <c r="AB121" s="39">
        <v>7.0947941599405382E-4</v>
      </c>
      <c r="AC121" s="39"/>
      <c r="AD121" s="36">
        <v>0</v>
      </c>
      <c r="AE121" s="39">
        <v>0</v>
      </c>
      <c r="AF121" s="39">
        <v>0</v>
      </c>
      <c r="AG121" s="39">
        <v>1.356063633363701E-2</v>
      </c>
      <c r="AH121" s="39">
        <v>0</v>
      </c>
      <c r="AI121" s="39">
        <v>0</v>
      </c>
      <c r="AJ121" s="39">
        <v>0</v>
      </c>
      <c r="AK121" s="39">
        <v>0</v>
      </c>
      <c r="AL121" s="39">
        <v>0</v>
      </c>
      <c r="AM121" s="39">
        <v>0</v>
      </c>
      <c r="AN121" s="39">
        <v>0</v>
      </c>
      <c r="AO121" s="39">
        <v>0</v>
      </c>
      <c r="AP121" s="39">
        <v>7.0947941599405382E-4</v>
      </c>
      <c r="AQ121" s="39">
        <v>0</v>
      </c>
      <c r="AR121" s="39">
        <v>0</v>
      </c>
      <c r="AS121" s="39">
        <v>0</v>
      </c>
      <c r="AT121" s="39">
        <v>1.1121288353043886E-2</v>
      </c>
      <c r="AU121" s="39">
        <v>0</v>
      </c>
      <c r="AV121" s="39">
        <v>1.1083838352691482E-3</v>
      </c>
      <c r="AW121" s="39">
        <v>0</v>
      </c>
      <c r="AX121" s="39">
        <v>5.2497204744912035E-3</v>
      </c>
      <c r="AY121" s="39">
        <v>0</v>
      </c>
      <c r="AZ121" s="39">
        <v>5.8273541724320086E-3</v>
      </c>
      <c r="BA121" s="39">
        <v>0</v>
      </c>
      <c r="BB121" s="39">
        <v>0</v>
      </c>
      <c r="BC121" s="39">
        <v>7.0947941599405382E-4</v>
      </c>
      <c r="BD121" s="39"/>
      <c r="BE121" s="39">
        <v>0</v>
      </c>
      <c r="BF121" s="39">
        <v>0</v>
      </c>
      <c r="BG121" s="39">
        <v>1.2390276606911577E-2</v>
      </c>
      <c r="BH121" s="39">
        <v>0</v>
      </c>
      <c r="BI121" s="39">
        <v>0</v>
      </c>
      <c r="BJ121" s="39">
        <v>0</v>
      </c>
      <c r="BK121" s="39">
        <v>0</v>
      </c>
      <c r="BL121" s="39">
        <v>0</v>
      </c>
      <c r="BM121" s="39">
        <v>0</v>
      </c>
      <c r="BN121" s="39">
        <v>0</v>
      </c>
      <c r="BO121" s="39">
        <v>0</v>
      </c>
      <c r="BP121" s="39">
        <v>0</v>
      </c>
      <c r="BQ121" s="39">
        <v>7.0947941599405382E-4</v>
      </c>
      <c r="BR121" s="39">
        <v>0</v>
      </c>
      <c r="BS121" s="39">
        <v>0</v>
      </c>
      <c r="BT121" s="39">
        <v>0</v>
      </c>
      <c r="BU121" s="39">
        <v>1.3500934627572729E-2</v>
      </c>
      <c r="BV121" s="39">
        <v>0</v>
      </c>
      <c r="BW121" s="39">
        <v>6.7207347734318291E-4</v>
      </c>
      <c r="BX121" s="39">
        <v>6.0098809790685975E-3</v>
      </c>
      <c r="BY121" s="39">
        <v>4.8651419758025298E-3</v>
      </c>
      <c r="BZ121" s="39">
        <v>0</v>
      </c>
      <c r="CA121" s="39">
        <v>4.5354194148289938E-3</v>
      </c>
      <c r="CB121" s="39">
        <v>0</v>
      </c>
      <c r="CC121" s="39">
        <v>0</v>
      </c>
      <c r="CD121" s="39">
        <v>7.0947941599405382E-4</v>
      </c>
      <c r="CE121" s="39"/>
      <c r="CF121" s="39">
        <v>0</v>
      </c>
      <c r="CG121" s="39">
        <v>0</v>
      </c>
    </row>
    <row r="122" spans="1:85">
      <c r="A122" s="143" t="s">
        <v>654</v>
      </c>
      <c r="B122" s="36">
        <v>918.4</v>
      </c>
      <c r="C122" s="36"/>
      <c r="D122" s="39">
        <v>0</v>
      </c>
      <c r="E122" s="39">
        <v>0</v>
      </c>
      <c r="F122" s="39">
        <v>0</v>
      </c>
      <c r="G122" s="39">
        <v>0</v>
      </c>
      <c r="H122" s="39">
        <v>0</v>
      </c>
      <c r="I122" s="39">
        <v>0</v>
      </c>
      <c r="J122" s="39">
        <v>0</v>
      </c>
      <c r="K122" s="39">
        <v>0</v>
      </c>
      <c r="L122" s="39">
        <v>0</v>
      </c>
      <c r="M122" s="39">
        <v>0</v>
      </c>
      <c r="N122" s="39">
        <v>0</v>
      </c>
      <c r="O122" s="39">
        <v>1.0600839424537978E-3</v>
      </c>
      <c r="P122" s="39">
        <v>0</v>
      </c>
      <c r="Q122" s="39">
        <v>1.6325499747193582E-2</v>
      </c>
      <c r="R122" s="39">
        <v>0</v>
      </c>
      <c r="S122" s="39">
        <v>0</v>
      </c>
      <c r="T122" s="39">
        <v>0</v>
      </c>
      <c r="U122" s="39">
        <v>0</v>
      </c>
      <c r="V122" s="39">
        <v>0</v>
      </c>
      <c r="W122" s="39">
        <v>0</v>
      </c>
      <c r="X122" s="39">
        <v>0</v>
      </c>
      <c r="Y122" s="39">
        <v>0</v>
      </c>
      <c r="Z122" s="39">
        <v>0</v>
      </c>
      <c r="AA122" s="39">
        <v>0</v>
      </c>
      <c r="AB122" s="39">
        <v>1.0600839424537978E-3</v>
      </c>
      <c r="AC122" s="39"/>
      <c r="AD122" s="36">
        <v>0</v>
      </c>
      <c r="AE122" s="39">
        <v>7.1534630089601543E-3</v>
      </c>
      <c r="AF122" s="39">
        <v>8.4914328071104984E-3</v>
      </c>
      <c r="AG122" s="39">
        <v>0</v>
      </c>
      <c r="AH122" s="39">
        <v>0</v>
      </c>
      <c r="AI122" s="39">
        <v>0</v>
      </c>
      <c r="AJ122" s="39">
        <v>0</v>
      </c>
      <c r="AK122" s="39">
        <v>0</v>
      </c>
      <c r="AL122" s="39">
        <v>0</v>
      </c>
      <c r="AM122" s="39">
        <v>0</v>
      </c>
      <c r="AN122" s="39">
        <v>0</v>
      </c>
      <c r="AO122" s="39">
        <v>0</v>
      </c>
      <c r="AP122" s="39">
        <v>1.0600839424537978E-3</v>
      </c>
      <c r="AQ122" s="39">
        <v>0</v>
      </c>
      <c r="AR122" s="39">
        <v>1.2753673522640445E-2</v>
      </c>
      <c r="AS122" s="39">
        <v>0</v>
      </c>
      <c r="AT122" s="39">
        <v>0</v>
      </c>
      <c r="AU122" s="39">
        <v>0</v>
      </c>
      <c r="AV122" s="39">
        <v>0</v>
      </c>
      <c r="AW122" s="39">
        <v>0</v>
      </c>
      <c r="AX122" s="39">
        <v>0</v>
      </c>
      <c r="AY122" s="39">
        <v>0</v>
      </c>
      <c r="AZ122" s="39">
        <v>0</v>
      </c>
      <c r="BA122" s="39">
        <v>0</v>
      </c>
      <c r="BB122" s="39">
        <v>0</v>
      </c>
      <c r="BC122" s="39">
        <v>1.0600839424537978E-3</v>
      </c>
      <c r="BD122" s="39"/>
      <c r="BE122" s="39">
        <v>0</v>
      </c>
      <c r="BF122" s="39">
        <v>7.3231336888897967E-3</v>
      </c>
      <c r="BG122" s="39">
        <v>3.6454485367005979E-3</v>
      </c>
      <c r="BH122" s="39">
        <v>0</v>
      </c>
      <c r="BI122" s="39">
        <v>0</v>
      </c>
      <c r="BJ122" s="39">
        <v>0</v>
      </c>
      <c r="BK122" s="39">
        <v>0</v>
      </c>
      <c r="BL122" s="39">
        <v>0</v>
      </c>
      <c r="BM122" s="39">
        <v>0</v>
      </c>
      <c r="BN122" s="39">
        <v>0</v>
      </c>
      <c r="BO122" s="39">
        <v>0</v>
      </c>
      <c r="BP122" s="39">
        <v>0</v>
      </c>
      <c r="BQ122" s="39">
        <v>1.0600839424537978E-3</v>
      </c>
      <c r="BR122" s="39">
        <v>0</v>
      </c>
      <c r="BS122" s="39">
        <v>1.3989331895208722E-2</v>
      </c>
      <c r="BT122" s="39">
        <v>0</v>
      </c>
      <c r="BU122" s="39">
        <v>0</v>
      </c>
      <c r="BV122" s="39">
        <v>0</v>
      </c>
      <c r="BW122" s="39">
        <v>0</v>
      </c>
      <c r="BX122" s="39">
        <v>0</v>
      </c>
      <c r="BY122" s="39">
        <v>0</v>
      </c>
      <c r="BZ122" s="39">
        <v>0</v>
      </c>
      <c r="CA122" s="39">
        <v>0</v>
      </c>
      <c r="CB122" s="39">
        <v>0</v>
      </c>
      <c r="CC122" s="39">
        <v>0</v>
      </c>
      <c r="CD122" s="39">
        <v>1.0600839424537978E-3</v>
      </c>
      <c r="CE122" s="39"/>
      <c r="CF122" s="39">
        <v>0</v>
      </c>
      <c r="CG122" s="39">
        <v>0</v>
      </c>
    </row>
    <row r="123" spans="1:85">
      <c r="A123" s="143" t="s">
        <v>655</v>
      </c>
      <c r="B123" s="36">
        <v>34243.709999999992</v>
      </c>
      <c r="C123" s="36"/>
      <c r="D123" s="39">
        <v>0</v>
      </c>
      <c r="E123" s="39">
        <v>0</v>
      </c>
      <c r="F123" s="39">
        <v>0</v>
      </c>
      <c r="G123" s="39">
        <v>0</v>
      </c>
      <c r="H123" s="39">
        <v>0</v>
      </c>
      <c r="I123" s="39">
        <v>0</v>
      </c>
      <c r="J123" s="39">
        <v>0</v>
      </c>
      <c r="K123" s="39">
        <v>0</v>
      </c>
      <c r="L123" s="39">
        <v>0</v>
      </c>
      <c r="M123" s="39">
        <v>0</v>
      </c>
      <c r="N123" s="39">
        <v>9.3528920795884249E-2</v>
      </c>
      <c r="O123" s="39">
        <v>3.9526575676224446E-2</v>
      </c>
      <c r="P123" s="39">
        <v>0</v>
      </c>
      <c r="Q123" s="39">
        <v>1.6466085378790934E-2</v>
      </c>
      <c r="R123" s="39">
        <v>0</v>
      </c>
      <c r="S123" s="39">
        <v>9.9439837030947581E-2</v>
      </c>
      <c r="T123" s="39">
        <v>0</v>
      </c>
      <c r="U123" s="39">
        <v>4.9848400008936505E-2</v>
      </c>
      <c r="V123" s="39">
        <v>0</v>
      </c>
      <c r="W123" s="39">
        <v>0.10124205746868339</v>
      </c>
      <c r="X123" s="39">
        <v>0</v>
      </c>
      <c r="Y123" s="39">
        <v>6.6199529320042833E-2</v>
      </c>
      <c r="Z123" s="39">
        <v>0</v>
      </c>
      <c r="AA123" s="39">
        <v>0</v>
      </c>
      <c r="AB123" s="39">
        <v>3.9526575676224446E-2</v>
      </c>
      <c r="AC123" s="39"/>
      <c r="AD123" s="36">
        <v>0</v>
      </c>
      <c r="AE123" s="39">
        <v>3.6939080930175047E-2</v>
      </c>
      <c r="AF123" s="39">
        <v>1.7937844298896614E-2</v>
      </c>
      <c r="AG123" s="39">
        <v>5.5038174104060582E-2</v>
      </c>
      <c r="AH123" s="39">
        <v>0</v>
      </c>
      <c r="AI123" s="39">
        <v>2.8767254953208397E-2</v>
      </c>
      <c r="AJ123" s="39">
        <v>0</v>
      </c>
      <c r="AK123" s="39">
        <v>0</v>
      </c>
      <c r="AL123" s="39">
        <v>0</v>
      </c>
      <c r="AM123" s="39">
        <v>0</v>
      </c>
      <c r="AN123" s="39">
        <v>0</v>
      </c>
      <c r="AO123" s="39">
        <v>6.8870838478646085E-2</v>
      </c>
      <c r="AP123" s="39">
        <v>3.9526575676224446E-2</v>
      </c>
      <c r="AQ123" s="39">
        <v>0</v>
      </c>
      <c r="AR123" s="39">
        <v>4.5253565300857952E-2</v>
      </c>
      <c r="AS123" s="39">
        <v>0</v>
      </c>
      <c r="AT123" s="39">
        <v>5.8335156704039742E-2</v>
      </c>
      <c r="AU123" s="39">
        <v>0</v>
      </c>
      <c r="AV123" s="39">
        <v>2.4384444375921265E-2</v>
      </c>
      <c r="AW123" s="39">
        <v>0</v>
      </c>
      <c r="AX123" s="39">
        <v>6.3314770192203329E-2</v>
      </c>
      <c r="AY123" s="39">
        <v>0</v>
      </c>
      <c r="AZ123" s="39">
        <v>6.1971565763581052E-2</v>
      </c>
      <c r="BA123" s="39">
        <v>0</v>
      </c>
      <c r="BB123" s="39">
        <v>0</v>
      </c>
      <c r="BC123" s="39">
        <v>3.9526575676224446E-2</v>
      </c>
      <c r="BD123" s="39"/>
      <c r="BE123" s="39">
        <v>0</v>
      </c>
      <c r="BF123" s="39">
        <v>4.5478046573261106E-2</v>
      </c>
      <c r="BG123" s="39">
        <v>2.389909107272906E-2</v>
      </c>
      <c r="BH123" s="39">
        <v>2.9097138214521194E-2</v>
      </c>
      <c r="BI123" s="39">
        <v>0</v>
      </c>
      <c r="BJ123" s="39">
        <v>2.021576207239727E-2</v>
      </c>
      <c r="BK123" s="39">
        <v>0</v>
      </c>
      <c r="BL123" s="39">
        <v>0</v>
      </c>
      <c r="BM123" s="39">
        <v>0</v>
      </c>
      <c r="BN123" s="39">
        <v>0</v>
      </c>
      <c r="BO123" s="39">
        <v>0</v>
      </c>
      <c r="BP123" s="39">
        <v>7.1824304386437554E-2</v>
      </c>
      <c r="BQ123" s="39">
        <v>3.9526575676224446E-2</v>
      </c>
      <c r="BR123" s="39">
        <v>0</v>
      </c>
      <c r="BS123" s="39">
        <v>4.314617226897783E-2</v>
      </c>
      <c r="BT123" s="39">
        <v>0</v>
      </c>
      <c r="BU123" s="39">
        <v>3.4035660689890598E-2</v>
      </c>
      <c r="BV123" s="39">
        <v>0</v>
      </c>
      <c r="BW123" s="39">
        <v>2.0162204320295491E-2</v>
      </c>
      <c r="BX123" s="39">
        <v>7.1166098799523528E-2</v>
      </c>
      <c r="BY123" s="39">
        <v>3.1877452375331364E-2</v>
      </c>
      <c r="BZ123" s="39">
        <v>8.9609473989760935E-2</v>
      </c>
      <c r="CA123" s="39">
        <v>4.5995700372262763E-2</v>
      </c>
      <c r="CB123" s="39">
        <v>0.13321762364185863</v>
      </c>
      <c r="CC123" s="39">
        <v>0</v>
      </c>
      <c r="CD123" s="39">
        <v>3.9526575676224446E-2</v>
      </c>
      <c r="CE123" s="39"/>
      <c r="CF123" s="39">
        <v>0</v>
      </c>
      <c r="CG123" s="39">
        <v>0</v>
      </c>
    </row>
    <row r="124" spans="1:85">
      <c r="A124" s="143" t="s">
        <v>656</v>
      </c>
      <c r="B124" s="36">
        <v>5017.415</v>
      </c>
      <c r="C124" s="36"/>
      <c r="D124" s="39">
        <v>0</v>
      </c>
      <c r="E124" s="39">
        <v>0</v>
      </c>
      <c r="F124" s="39">
        <v>0</v>
      </c>
      <c r="G124" s="39">
        <v>0</v>
      </c>
      <c r="H124" s="39">
        <v>0</v>
      </c>
      <c r="I124" s="39">
        <v>0</v>
      </c>
      <c r="J124" s="39">
        <v>0</v>
      </c>
      <c r="K124" s="39">
        <v>0</v>
      </c>
      <c r="L124" s="39">
        <v>0</v>
      </c>
      <c r="M124" s="39">
        <v>0</v>
      </c>
      <c r="N124" s="39">
        <v>0</v>
      </c>
      <c r="O124" s="39">
        <v>5.791464584197323E-3</v>
      </c>
      <c r="P124" s="39">
        <v>0</v>
      </c>
      <c r="Q124" s="39">
        <v>2.2608652560891479E-2</v>
      </c>
      <c r="R124" s="39">
        <v>0</v>
      </c>
      <c r="S124" s="39">
        <v>0</v>
      </c>
      <c r="T124" s="39">
        <v>0</v>
      </c>
      <c r="U124" s="39">
        <v>0</v>
      </c>
      <c r="V124" s="39">
        <v>0</v>
      </c>
      <c r="W124" s="39">
        <v>0</v>
      </c>
      <c r="X124" s="39">
        <v>0</v>
      </c>
      <c r="Y124" s="39">
        <v>0</v>
      </c>
      <c r="Z124" s="39">
        <v>0</v>
      </c>
      <c r="AA124" s="39">
        <v>0</v>
      </c>
      <c r="AB124" s="39">
        <v>5.791464584197323E-3</v>
      </c>
      <c r="AC124" s="39"/>
      <c r="AD124" s="36">
        <v>0</v>
      </c>
      <c r="AE124" s="39">
        <v>1.8855133784323262E-2</v>
      </c>
      <c r="AF124" s="39">
        <v>0</v>
      </c>
      <c r="AG124" s="39">
        <v>0</v>
      </c>
      <c r="AH124" s="39">
        <v>0</v>
      </c>
      <c r="AI124" s="39">
        <v>0</v>
      </c>
      <c r="AJ124" s="39">
        <v>0</v>
      </c>
      <c r="AK124" s="39">
        <v>0</v>
      </c>
      <c r="AL124" s="39">
        <v>0</v>
      </c>
      <c r="AM124" s="39">
        <v>0</v>
      </c>
      <c r="AN124" s="39">
        <v>0</v>
      </c>
      <c r="AO124" s="39">
        <v>0</v>
      </c>
      <c r="AP124" s="39">
        <v>5.791464584197323E-3</v>
      </c>
      <c r="AQ124" s="39">
        <v>0</v>
      </c>
      <c r="AR124" s="39">
        <v>1.8095342320579872E-2</v>
      </c>
      <c r="AS124" s="39">
        <v>0</v>
      </c>
      <c r="AT124" s="39">
        <v>0</v>
      </c>
      <c r="AU124" s="39">
        <v>0</v>
      </c>
      <c r="AV124" s="39">
        <v>0</v>
      </c>
      <c r="AW124" s="39">
        <v>0</v>
      </c>
      <c r="AX124" s="39">
        <v>0</v>
      </c>
      <c r="AY124" s="39">
        <v>0</v>
      </c>
      <c r="AZ124" s="39">
        <v>0</v>
      </c>
      <c r="BA124" s="39">
        <v>0</v>
      </c>
      <c r="BB124" s="39">
        <v>0</v>
      </c>
      <c r="BC124" s="39">
        <v>5.791464584197323E-3</v>
      </c>
      <c r="BD124" s="39"/>
      <c r="BE124" s="39">
        <v>0</v>
      </c>
      <c r="BF124" s="39">
        <v>5.7289812828197938E-3</v>
      </c>
      <c r="BG124" s="39">
        <v>6.5573017774379636E-3</v>
      </c>
      <c r="BH124" s="39">
        <v>0</v>
      </c>
      <c r="BI124" s="39">
        <v>0</v>
      </c>
      <c r="BJ124" s="39">
        <v>0</v>
      </c>
      <c r="BK124" s="39">
        <v>0</v>
      </c>
      <c r="BL124" s="39">
        <v>0</v>
      </c>
      <c r="BM124" s="39">
        <v>0</v>
      </c>
      <c r="BN124" s="39">
        <v>0</v>
      </c>
      <c r="BO124" s="39">
        <v>0</v>
      </c>
      <c r="BP124" s="39">
        <v>0</v>
      </c>
      <c r="BQ124" s="39">
        <v>5.791464584197323E-3</v>
      </c>
      <c r="BR124" s="39">
        <v>0</v>
      </c>
      <c r="BS124" s="39">
        <v>1.2254967655639291E-2</v>
      </c>
      <c r="BT124" s="39">
        <v>0</v>
      </c>
      <c r="BU124" s="39">
        <v>0</v>
      </c>
      <c r="BV124" s="39">
        <v>0</v>
      </c>
      <c r="BW124" s="39">
        <v>7.9553476499814122E-3</v>
      </c>
      <c r="BX124" s="39">
        <v>9.1377324370090179E-4</v>
      </c>
      <c r="BY124" s="39">
        <v>0</v>
      </c>
      <c r="BZ124" s="39">
        <v>5.2779032226567561E-4</v>
      </c>
      <c r="CA124" s="39">
        <v>2.7215489567579717E-3</v>
      </c>
      <c r="CB124" s="39">
        <v>0</v>
      </c>
      <c r="CC124" s="39">
        <v>0</v>
      </c>
      <c r="CD124" s="39">
        <v>5.791464584197323E-3</v>
      </c>
      <c r="CE124" s="39"/>
      <c r="CF124" s="39">
        <v>0</v>
      </c>
      <c r="CG124" s="39">
        <v>0</v>
      </c>
    </row>
    <row r="125" spans="1:85">
      <c r="A125" s="143" t="s">
        <v>657</v>
      </c>
      <c r="B125" s="36">
        <v>80434.73</v>
      </c>
      <c r="C125" s="36"/>
      <c r="D125" s="39">
        <v>0.55316141191739687</v>
      </c>
      <c r="E125" s="39">
        <v>0</v>
      </c>
      <c r="F125" s="39">
        <v>0</v>
      </c>
      <c r="G125" s="39">
        <v>0</v>
      </c>
      <c r="H125" s="39">
        <v>0</v>
      </c>
      <c r="I125" s="39">
        <v>0</v>
      </c>
      <c r="J125" s="39">
        <v>0</v>
      </c>
      <c r="K125" s="39">
        <v>0</v>
      </c>
      <c r="L125" s="39">
        <v>0</v>
      </c>
      <c r="M125" s="39">
        <v>0</v>
      </c>
      <c r="N125" s="39">
        <v>8.0051113625922349E-2</v>
      </c>
      <c r="O125" s="39">
        <v>9.2843603755016074E-2</v>
      </c>
      <c r="P125" s="39">
        <v>0</v>
      </c>
      <c r="Q125" s="39">
        <v>0.19571112487497647</v>
      </c>
      <c r="R125" s="39">
        <v>0</v>
      </c>
      <c r="S125" s="39">
        <v>0</v>
      </c>
      <c r="T125" s="39">
        <v>0</v>
      </c>
      <c r="U125" s="39">
        <v>0.16409227661104456</v>
      </c>
      <c r="V125" s="39">
        <v>0</v>
      </c>
      <c r="W125" s="39">
        <v>0</v>
      </c>
      <c r="X125" s="39">
        <v>0</v>
      </c>
      <c r="Y125" s="39">
        <v>0.11160495686436764</v>
      </c>
      <c r="Z125" s="39">
        <v>0</v>
      </c>
      <c r="AA125" s="39">
        <v>0</v>
      </c>
      <c r="AB125" s="39">
        <v>9.2843603755016074E-2</v>
      </c>
      <c r="AC125" s="39"/>
      <c r="AD125" s="36">
        <v>0</v>
      </c>
      <c r="AE125" s="39">
        <v>0.23442634262774159</v>
      </c>
      <c r="AF125" s="39">
        <v>0.13684169570707488</v>
      </c>
      <c r="AG125" s="39">
        <v>0</v>
      </c>
      <c r="AH125" s="39">
        <v>0</v>
      </c>
      <c r="AI125" s="39">
        <v>0.20274201435004202</v>
      </c>
      <c r="AJ125" s="39">
        <v>0</v>
      </c>
      <c r="AK125" s="39">
        <v>0</v>
      </c>
      <c r="AL125" s="39">
        <v>0</v>
      </c>
      <c r="AM125" s="39">
        <v>0</v>
      </c>
      <c r="AN125" s="39">
        <v>0</v>
      </c>
      <c r="AO125" s="39">
        <v>5.8909238165530689E-2</v>
      </c>
      <c r="AP125" s="39">
        <v>9.2843603755016074E-2</v>
      </c>
      <c r="AQ125" s="39">
        <v>0</v>
      </c>
      <c r="AR125" s="39">
        <v>0.15622357912223786</v>
      </c>
      <c r="AS125" s="39">
        <v>0</v>
      </c>
      <c r="AT125" s="39">
        <v>1.3045521603954939E-2</v>
      </c>
      <c r="AU125" s="39">
        <v>0</v>
      </c>
      <c r="AV125" s="39">
        <v>0.10579212754820236</v>
      </c>
      <c r="AW125" s="39">
        <v>0</v>
      </c>
      <c r="AX125" s="39">
        <v>0</v>
      </c>
      <c r="AY125" s="39">
        <v>0</v>
      </c>
      <c r="AZ125" s="39">
        <v>0.1067687155417236</v>
      </c>
      <c r="BA125" s="39">
        <v>0</v>
      </c>
      <c r="BB125" s="39">
        <v>0</v>
      </c>
      <c r="BC125" s="39">
        <v>9.2843603755016074E-2</v>
      </c>
      <c r="BD125" s="39"/>
      <c r="BE125" s="39">
        <v>0</v>
      </c>
      <c r="BF125" s="39">
        <v>0.24107586537635603</v>
      </c>
      <c r="BG125" s="39">
        <v>7.4998971515818191E-2</v>
      </c>
      <c r="BH125" s="39">
        <v>8.9681329773737772E-2</v>
      </c>
      <c r="BI125" s="39">
        <v>0</v>
      </c>
      <c r="BJ125" s="39">
        <v>0.19907239893903048</v>
      </c>
      <c r="BK125" s="39">
        <v>0</v>
      </c>
      <c r="BL125" s="39">
        <v>0</v>
      </c>
      <c r="BM125" s="39">
        <v>0</v>
      </c>
      <c r="BN125" s="39">
        <v>0</v>
      </c>
      <c r="BO125" s="39">
        <v>0</v>
      </c>
      <c r="BP125" s="39">
        <v>6.8436155768827625E-2</v>
      </c>
      <c r="BQ125" s="39">
        <v>9.2843603755016074E-2</v>
      </c>
      <c r="BR125" s="39">
        <v>0</v>
      </c>
      <c r="BS125" s="39">
        <v>0.18840559073242927</v>
      </c>
      <c r="BT125" s="39">
        <v>0</v>
      </c>
      <c r="BU125" s="39">
        <v>6.5693496982569918E-2</v>
      </c>
      <c r="BV125" s="39">
        <v>0</v>
      </c>
      <c r="BW125" s="39">
        <v>0.15088667026824254</v>
      </c>
      <c r="BX125" s="39">
        <v>5.6362526267083699E-2</v>
      </c>
      <c r="BY125" s="39">
        <v>1.3686971629208124E-2</v>
      </c>
      <c r="BZ125" s="39">
        <v>8.0244930282577578E-2</v>
      </c>
      <c r="CA125" s="39">
        <v>0.11014211176405962</v>
      </c>
      <c r="CB125" s="39">
        <v>6.2067140882518232E-2</v>
      </c>
      <c r="CC125" s="39">
        <v>0</v>
      </c>
      <c r="CD125" s="39">
        <v>9.2843603755016074E-2</v>
      </c>
      <c r="CE125" s="39"/>
      <c r="CF125" s="39">
        <v>0</v>
      </c>
      <c r="CG125" s="39">
        <v>0</v>
      </c>
    </row>
    <row r="126" spans="1:85">
      <c r="A126" s="143" t="s">
        <v>658</v>
      </c>
      <c r="B126" s="36">
        <v>6993.87</v>
      </c>
      <c r="C126" s="36"/>
      <c r="D126" s="39">
        <v>0</v>
      </c>
      <c r="E126" s="39">
        <v>0</v>
      </c>
      <c r="F126" s="39">
        <v>0</v>
      </c>
      <c r="G126" s="39">
        <v>0</v>
      </c>
      <c r="H126" s="39">
        <v>0</v>
      </c>
      <c r="I126" s="39">
        <v>0</v>
      </c>
      <c r="J126" s="39">
        <v>0</v>
      </c>
      <c r="K126" s="39">
        <v>0</v>
      </c>
      <c r="L126" s="39">
        <v>0</v>
      </c>
      <c r="M126" s="39">
        <v>0</v>
      </c>
      <c r="N126" s="39">
        <v>0</v>
      </c>
      <c r="O126" s="39">
        <v>8.0728324070223675E-3</v>
      </c>
      <c r="P126" s="39">
        <v>0</v>
      </c>
      <c r="Q126" s="39">
        <v>4.0689355277379685E-2</v>
      </c>
      <c r="R126" s="39">
        <v>0</v>
      </c>
      <c r="S126" s="39">
        <v>0</v>
      </c>
      <c r="T126" s="39">
        <v>0</v>
      </c>
      <c r="U126" s="39">
        <v>0</v>
      </c>
      <c r="V126" s="39">
        <v>0</v>
      </c>
      <c r="W126" s="39">
        <v>0</v>
      </c>
      <c r="X126" s="39">
        <v>0</v>
      </c>
      <c r="Y126" s="39">
        <v>0</v>
      </c>
      <c r="Z126" s="39">
        <v>0</v>
      </c>
      <c r="AA126" s="39">
        <v>0</v>
      </c>
      <c r="AB126" s="39">
        <v>8.0728324070223675E-3</v>
      </c>
      <c r="AC126" s="39"/>
      <c r="AD126" s="36">
        <v>0</v>
      </c>
      <c r="AE126" s="39">
        <v>2.0610784492229292E-2</v>
      </c>
      <c r="AF126" s="39">
        <v>2.3812289207169685E-2</v>
      </c>
      <c r="AG126" s="39">
        <v>2.0289677938482714E-2</v>
      </c>
      <c r="AH126" s="39">
        <v>0</v>
      </c>
      <c r="AI126" s="39">
        <v>0</v>
      </c>
      <c r="AJ126" s="39">
        <v>0</v>
      </c>
      <c r="AK126" s="39">
        <v>0</v>
      </c>
      <c r="AL126" s="39">
        <v>0</v>
      </c>
      <c r="AM126" s="39">
        <v>0</v>
      </c>
      <c r="AN126" s="39">
        <v>0</v>
      </c>
      <c r="AO126" s="39">
        <v>0</v>
      </c>
      <c r="AP126" s="39">
        <v>8.0728324070223675E-3</v>
      </c>
      <c r="AQ126" s="39">
        <v>0</v>
      </c>
      <c r="AR126" s="39">
        <v>3.3503698648825311E-2</v>
      </c>
      <c r="AS126" s="39">
        <v>0</v>
      </c>
      <c r="AT126" s="39">
        <v>0</v>
      </c>
      <c r="AU126" s="39">
        <v>0</v>
      </c>
      <c r="AV126" s="39">
        <v>0</v>
      </c>
      <c r="AW126" s="39">
        <v>0</v>
      </c>
      <c r="AX126" s="39">
        <v>0</v>
      </c>
      <c r="AY126" s="39">
        <v>0</v>
      </c>
      <c r="AZ126" s="39">
        <v>0</v>
      </c>
      <c r="BA126" s="39">
        <v>0</v>
      </c>
      <c r="BB126" s="39">
        <v>0</v>
      </c>
      <c r="BC126" s="39">
        <v>8.0728324070223675E-3</v>
      </c>
      <c r="BD126" s="39"/>
      <c r="BE126" s="39">
        <v>0</v>
      </c>
      <c r="BF126" s="39">
        <v>2.6757138650410874E-2</v>
      </c>
      <c r="BG126" s="39">
        <v>1.2492148671374194E-2</v>
      </c>
      <c r="BH126" s="39">
        <v>1.0726583374440048E-2</v>
      </c>
      <c r="BI126" s="39">
        <v>0</v>
      </c>
      <c r="BJ126" s="39">
        <v>0</v>
      </c>
      <c r="BK126" s="39">
        <v>0</v>
      </c>
      <c r="BL126" s="39">
        <v>0</v>
      </c>
      <c r="BM126" s="39">
        <v>0</v>
      </c>
      <c r="BN126" s="39">
        <v>0</v>
      </c>
      <c r="BO126" s="39">
        <v>0</v>
      </c>
      <c r="BP126" s="39">
        <v>0</v>
      </c>
      <c r="BQ126" s="39">
        <v>8.0728324070223675E-3</v>
      </c>
      <c r="BR126" s="39">
        <v>0</v>
      </c>
      <c r="BS126" s="39">
        <v>3.5794484324577977E-2</v>
      </c>
      <c r="BT126" s="39">
        <v>0</v>
      </c>
      <c r="BU126" s="39">
        <v>1.2547156679211274E-2</v>
      </c>
      <c r="BV126" s="39">
        <v>0</v>
      </c>
      <c r="BW126" s="39">
        <v>7.5901036909820042E-3</v>
      </c>
      <c r="BX126" s="39">
        <v>0</v>
      </c>
      <c r="BY126" s="39">
        <v>4.996234308301541E-3</v>
      </c>
      <c r="BZ126" s="39">
        <v>0</v>
      </c>
      <c r="CA126" s="39">
        <v>0</v>
      </c>
      <c r="CB126" s="39">
        <v>0</v>
      </c>
      <c r="CC126" s="39">
        <v>0</v>
      </c>
      <c r="CD126" s="39">
        <v>8.0728324070223675E-3</v>
      </c>
      <c r="CE126" s="39"/>
      <c r="CF126" s="39">
        <v>0</v>
      </c>
      <c r="CG126" s="39">
        <v>0</v>
      </c>
    </row>
    <row r="127" spans="1:85">
      <c r="A127" s="143" t="s">
        <v>659</v>
      </c>
      <c r="B127" s="36">
        <v>85880.33</v>
      </c>
      <c r="C127" s="36"/>
      <c r="D127" s="39">
        <v>0</v>
      </c>
      <c r="E127" s="39">
        <v>0</v>
      </c>
      <c r="F127" s="39">
        <v>0</v>
      </c>
      <c r="G127" s="39">
        <v>0</v>
      </c>
      <c r="H127" s="39">
        <v>0</v>
      </c>
      <c r="I127" s="39">
        <v>0</v>
      </c>
      <c r="J127" s="39">
        <v>0</v>
      </c>
      <c r="K127" s="39">
        <v>0</v>
      </c>
      <c r="L127" s="39">
        <v>0</v>
      </c>
      <c r="M127" s="39">
        <v>0</v>
      </c>
      <c r="N127" s="39">
        <v>0</v>
      </c>
      <c r="O127" s="39">
        <v>9.9129310546203359E-2</v>
      </c>
      <c r="P127" s="39">
        <v>0</v>
      </c>
      <c r="Q127" s="39">
        <v>0</v>
      </c>
      <c r="R127" s="39">
        <v>0</v>
      </c>
      <c r="S127" s="39">
        <v>1.0676684269770498E-2</v>
      </c>
      <c r="T127" s="39">
        <v>0</v>
      </c>
      <c r="U127" s="39">
        <v>0.10422429929904171</v>
      </c>
      <c r="V127" s="39">
        <v>0</v>
      </c>
      <c r="W127" s="39">
        <v>9.557702627329942E-2</v>
      </c>
      <c r="X127" s="39">
        <v>0</v>
      </c>
      <c r="Y127" s="39">
        <v>2.4089387308998827E-2</v>
      </c>
      <c r="Z127" s="39">
        <v>0</v>
      </c>
      <c r="AA127" s="39">
        <v>0</v>
      </c>
      <c r="AB127" s="39">
        <v>9.9129310546203359E-2</v>
      </c>
      <c r="AC127" s="39"/>
      <c r="AD127" s="36">
        <v>0</v>
      </c>
      <c r="AE127" s="39">
        <v>0</v>
      </c>
      <c r="AF127" s="39">
        <v>6.8678572611718169E-2</v>
      </c>
      <c r="AG127" s="39">
        <v>0</v>
      </c>
      <c r="AH127" s="39">
        <v>0</v>
      </c>
      <c r="AI127" s="39">
        <v>7.958343373008106E-2</v>
      </c>
      <c r="AJ127" s="39">
        <v>0</v>
      </c>
      <c r="AK127" s="39">
        <v>0</v>
      </c>
      <c r="AL127" s="39">
        <v>0</v>
      </c>
      <c r="AM127" s="39">
        <v>0</v>
      </c>
      <c r="AN127" s="39">
        <v>0</v>
      </c>
      <c r="AO127" s="39">
        <v>2.1187225388548617E-2</v>
      </c>
      <c r="AP127" s="39">
        <v>9.9129310546203359E-2</v>
      </c>
      <c r="AQ127" s="39">
        <v>0</v>
      </c>
      <c r="AR127" s="39">
        <v>1.3057526393381029E-3</v>
      </c>
      <c r="AS127" s="39">
        <v>0</v>
      </c>
      <c r="AT127" s="39">
        <v>9.0636888106620933E-3</v>
      </c>
      <c r="AU127" s="39">
        <v>0</v>
      </c>
      <c r="AV127" s="39">
        <v>5.092374364660731E-2</v>
      </c>
      <c r="AW127" s="39">
        <v>0</v>
      </c>
      <c r="AX127" s="39">
        <v>6.7382038852706522E-2</v>
      </c>
      <c r="AY127" s="39">
        <v>0</v>
      </c>
      <c r="AZ127" s="39">
        <v>2.2732485249351366E-2</v>
      </c>
      <c r="BA127" s="39">
        <v>0</v>
      </c>
      <c r="BB127" s="39">
        <v>0</v>
      </c>
      <c r="BC127" s="39">
        <v>9.9129310546203359E-2</v>
      </c>
      <c r="BD127" s="39"/>
      <c r="BE127" s="39">
        <v>0</v>
      </c>
      <c r="BF127" s="39">
        <v>0</v>
      </c>
      <c r="BG127" s="39">
        <v>5.8304521560169048E-2</v>
      </c>
      <c r="BH127" s="39">
        <v>0</v>
      </c>
      <c r="BI127" s="39">
        <v>0</v>
      </c>
      <c r="BJ127" s="39">
        <v>7.1656809087824833E-2</v>
      </c>
      <c r="BK127" s="39">
        <v>0</v>
      </c>
      <c r="BL127" s="39">
        <v>0</v>
      </c>
      <c r="BM127" s="39">
        <v>0</v>
      </c>
      <c r="BN127" s="39">
        <v>0</v>
      </c>
      <c r="BO127" s="39">
        <v>0</v>
      </c>
      <c r="BP127" s="39">
        <v>4.6479608774275004E-2</v>
      </c>
      <c r="BQ127" s="39">
        <v>9.9129310546203359E-2</v>
      </c>
      <c r="BR127" s="39">
        <v>0</v>
      </c>
      <c r="BS127" s="39">
        <v>0</v>
      </c>
      <c r="BT127" s="39">
        <v>0</v>
      </c>
      <c r="BU127" s="39">
        <v>7.9530356673531526E-3</v>
      </c>
      <c r="BV127" s="39">
        <v>0</v>
      </c>
      <c r="BW127" s="39">
        <v>7.3512474029320471E-2</v>
      </c>
      <c r="BX127" s="39">
        <v>3.7826810299695326E-2</v>
      </c>
      <c r="BY127" s="39">
        <v>0.11711943059748803</v>
      </c>
      <c r="BZ127" s="39">
        <v>5.758226166225356E-2</v>
      </c>
      <c r="CA127" s="39">
        <v>3.8629661760479016E-2</v>
      </c>
      <c r="CB127" s="39">
        <v>0</v>
      </c>
      <c r="CC127" s="39">
        <v>0</v>
      </c>
      <c r="CD127" s="39">
        <v>9.9129310546203359E-2</v>
      </c>
      <c r="CE127" s="39"/>
      <c r="CF127" s="39">
        <v>0</v>
      </c>
      <c r="CG127" s="39">
        <v>0</v>
      </c>
    </row>
    <row r="128" spans="1:85">
      <c r="A128" s="143" t="s">
        <v>633</v>
      </c>
      <c r="B128" s="36">
        <v>63610.025000000001</v>
      </c>
      <c r="C128" s="36"/>
      <c r="D128" s="39">
        <v>0</v>
      </c>
      <c r="E128" s="39">
        <v>0</v>
      </c>
      <c r="F128" s="39">
        <v>0</v>
      </c>
      <c r="G128" s="39">
        <v>0</v>
      </c>
      <c r="H128" s="39">
        <v>0</v>
      </c>
      <c r="I128" s="39">
        <v>0</v>
      </c>
      <c r="J128" s="39">
        <v>0</v>
      </c>
      <c r="K128" s="39">
        <v>0</v>
      </c>
      <c r="L128" s="39">
        <v>0</v>
      </c>
      <c r="M128" s="39">
        <v>0</v>
      </c>
      <c r="N128" s="39">
        <v>0.39968658271542951</v>
      </c>
      <c r="O128" s="39">
        <v>7.3423308015662714E-2</v>
      </c>
      <c r="P128" s="39">
        <v>0</v>
      </c>
      <c r="Q128" s="39">
        <v>0</v>
      </c>
      <c r="R128" s="39">
        <v>0</v>
      </c>
      <c r="S128" s="39">
        <v>0</v>
      </c>
      <c r="T128" s="39">
        <v>0</v>
      </c>
      <c r="U128" s="39">
        <v>5.8167278932725046E-2</v>
      </c>
      <c r="V128" s="39">
        <v>0.29929971711425973</v>
      </c>
      <c r="W128" s="39">
        <v>0.12556609136203173</v>
      </c>
      <c r="X128" s="39">
        <v>0.65933223093908966</v>
      </c>
      <c r="Y128" s="39">
        <v>0.32063735953510381</v>
      </c>
      <c r="Z128" s="39">
        <v>0.95677297123308214</v>
      </c>
      <c r="AA128" s="39">
        <v>0</v>
      </c>
      <c r="AB128" s="39">
        <v>7.3423308015662714E-2</v>
      </c>
      <c r="AC128" s="39"/>
      <c r="AD128" s="36">
        <v>0</v>
      </c>
      <c r="AE128" s="39">
        <v>0</v>
      </c>
      <c r="AF128" s="39">
        <v>0</v>
      </c>
      <c r="AG128" s="39">
        <v>0</v>
      </c>
      <c r="AH128" s="39">
        <v>0</v>
      </c>
      <c r="AI128" s="39">
        <v>7.0167920544155243E-2</v>
      </c>
      <c r="AJ128" s="39">
        <v>0</v>
      </c>
      <c r="AK128" s="39">
        <v>0</v>
      </c>
      <c r="AL128" s="39">
        <v>0</v>
      </c>
      <c r="AM128" s="39">
        <v>0</v>
      </c>
      <c r="AN128" s="39">
        <v>0</v>
      </c>
      <c r="AO128" s="39">
        <v>0.32062721046939119</v>
      </c>
      <c r="AP128" s="39">
        <v>7.3423308015662714E-2</v>
      </c>
      <c r="AQ128" s="39">
        <v>0</v>
      </c>
      <c r="AR128" s="39">
        <v>0</v>
      </c>
      <c r="AS128" s="39">
        <v>0</v>
      </c>
      <c r="AT128" s="39">
        <v>2.308348564574416E-2</v>
      </c>
      <c r="AU128" s="39">
        <v>0</v>
      </c>
      <c r="AV128" s="39">
        <v>4.9130864550177587E-2</v>
      </c>
      <c r="AW128" s="39">
        <v>0.32664501483979652</v>
      </c>
      <c r="AX128" s="39">
        <v>0.12662954038440666</v>
      </c>
      <c r="AY128" s="39">
        <v>0.67632623611754283</v>
      </c>
      <c r="AZ128" s="39">
        <v>0.28409786016023247</v>
      </c>
      <c r="BA128" s="39">
        <v>0.98787071404905547</v>
      </c>
      <c r="BB128" s="39">
        <v>0</v>
      </c>
      <c r="BC128" s="39">
        <v>7.3423308015662714E-2</v>
      </c>
      <c r="BD128" s="39"/>
      <c r="BE128" s="39">
        <v>0</v>
      </c>
      <c r="BF128" s="39">
        <v>0</v>
      </c>
      <c r="BG128" s="39">
        <v>0</v>
      </c>
      <c r="BH128" s="39">
        <v>1.3057224246914747E-2</v>
      </c>
      <c r="BI128" s="39">
        <v>0</v>
      </c>
      <c r="BJ128" s="39">
        <v>3.9474193274344163E-2</v>
      </c>
      <c r="BK128" s="39">
        <v>0</v>
      </c>
      <c r="BL128" s="39">
        <v>0</v>
      </c>
      <c r="BM128" s="39">
        <v>0</v>
      </c>
      <c r="BN128" s="39">
        <v>0</v>
      </c>
      <c r="BO128" s="39">
        <v>0</v>
      </c>
      <c r="BP128" s="39">
        <v>0.2422604695051796</v>
      </c>
      <c r="BQ128" s="39">
        <v>7.3423308015662714E-2</v>
      </c>
      <c r="BR128" s="39">
        <v>0</v>
      </c>
      <c r="BS128" s="39">
        <v>0</v>
      </c>
      <c r="BT128" s="39">
        <v>0</v>
      </c>
      <c r="BU128" s="39">
        <v>1.3468065046341102E-2</v>
      </c>
      <c r="BV128" s="39">
        <v>0</v>
      </c>
      <c r="BW128" s="39">
        <v>3.674497309760149E-2</v>
      </c>
      <c r="BX128" s="39">
        <v>0.11779081989327771</v>
      </c>
      <c r="BY128" s="39">
        <v>9.3772388679411373E-2</v>
      </c>
      <c r="BZ128" s="39">
        <v>0.11834087013089048</v>
      </c>
      <c r="CA128" s="39">
        <v>0.24003803857939809</v>
      </c>
      <c r="CB128" s="39">
        <v>0.5908614616971456</v>
      </c>
      <c r="CC128" s="39">
        <v>0</v>
      </c>
      <c r="CD128" s="39">
        <v>7.3423308015662714E-2</v>
      </c>
      <c r="CE128" s="39"/>
      <c r="CF128" s="39">
        <v>0</v>
      </c>
      <c r="CG128" s="39">
        <v>0</v>
      </c>
    </row>
    <row r="129" spans="1:85">
      <c r="A129" s="38" t="s">
        <v>660</v>
      </c>
      <c r="B129" s="36">
        <f>SUM(B101:B102,B106:B108,B114:B115,B117:B118,B123,B125,B128)</f>
        <v>451331.93500000006</v>
      </c>
      <c r="C129" s="36"/>
      <c r="D129" s="39">
        <f>SUM(D101:D102,D106:D108,D114:D115,D117:D118,D123,D125,D128)</f>
        <v>0.72487233415541663</v>
      </c>
      <c r="E129" s="39">
        <f t="shared" ref="E129:O129" si="289">SUM(E101:E102,E106:E108,E114:E115,E117:E118,E123,E125,E128)</f>
        <v>0</v>
      </c>
      <c r="F129" s="39">
        <f t="shared" si="289"/>
        <v>0</v>
      </c>
      <c r="G129" s="39">
        <f t="shared" si="289"/>
        <v>0</v>
      </c>
      <c r="H129" s="39">
        <f t="shared" si="289"/>
        <v>0</v>
      </c>
      <c r="I129" s="39">
        <f t="shared" si="289"/>
        <v>0</v>
      </c>
      <c r="J129" s="39">
        <f t="shared" si="289"/>
        <v>0</v>
      </c>
      <c r="K129" s="39">
        <f t="shared" si="289"/>
        <v>0</v>
      </c>
      <c r="L129" s="39">
        <f t="shared" si="289"/>
        <v>0</v>
      </c>
      <c r="M129" s="39">
        <f t="shared" si="289"/>
        <v>0</v>
      </c>
      <c r="N129" s="39">
        <f t="shared" si="289"/>
        <v>1</v>
      </c>
      <c r="O129" s="39">
        <f t="shared" si="289"/>
        <v>0.52096007949706147</v>
      </c>
      <c r="P129" s="39"/>
      <c r="Q129" s="39">
        <f>SUM(Q101:Q102,Q106:Q108,Q114:Q115,Q117:Q118,Q123,Q125,Q128)</f>
        <v>0.32969493966617525</v>
      </c>
      <c r="R129" s="39">
        <f t="shared" ref="R129" si="290">SUM(R101:R102,R106:R108,R114:R115,R117:R118,R123,R125,R128)</f>
        <v>0</v>
      </c>
      <c r="S129" s="39">
        <f t="shared" ref="S129" si="291">SUM(S101:S102,S106:S108,S114:S115,S117:S118,S123,S125,S128)</f>
        <v>0.87663847095571501</v>
      </c>
      <c r="T129" s="39">
        <f t="shared" ref="T129" si="292">SUM(T101:T102,T106:T108,T114:T115,T117:T118,T123,T125,T128)</f>
        <v>0</v>
      </c>
      <c r="U129" s="39">
        <f t="shared" ref="U129" si="293">SUM(U101:U102,U106:U108,U114:U115,U117:U118,U123,U125,U128)</f>
        <v>0.70680926962198043</v>
      </c>
      <c r="V129" s="39">
        <f t="shared" ref="V129" si="294">SUM(V101:V102,V106:V108,V114:V115,V117:V118,V123,V125,V128)</f>
        <v>1</v>
      </c>
      <c r="W129" s="39">
        <f t="shared" ref="W129" si="295">SUM(W101:W102,W106:W108,W114:W115,W117:W118,W123,W125,W128)</f>
        <v>0.81753902265095579</v>
      </c>
      <c r="X129" s="39">
        <f t="shared" ref="X129" si="296">SUM(X101:X102,X106:X108,X114:X115,X117:X118,X123,X125,X128)</f>
        <v>1</v>
      </c>
      <c r="Y129" s="39">
        <f t="shared" ref="Y129" si="297">SUM(Y101:Y102,Y106:Y108,Y114:Y115,Y117:Y118,Y123,Y125,Y128)</f>
        <v>0.88569067567506754</v>
      </c>
      <c r="Z129" s="39">
        <f t="shared" ref="Z129" si="298">SUM(Z101:Z102,Z106:Z108,Z114:Z115,Z117:Z118,Z123,Z125,Z128)</f>
        <v>1</v>
      </c>
      <c r="AA129" s="39">
        <f t="shared" ref="AA129" si="299">SUM(AA101:AA102,AA106:AA108,AA114:AA115,AA117:AA118,AA123,AA125,AA128)</f>
        <v>0</v>
      </c>
      <c r="AB129" s="39">
        <f t="shared" ref="AB129" si="300">SUM(AB101:AB102,AB106:AB108,AB114:AB115,AB117:AB118,AB123,AB125,AB128)</f>
        <v>0.52096007949706147</v>
      </c>
      <c r="AC129" s="39"/>
      <c r="AD129" s="36"/>
      <c r="AE129" s="39">
        <f>SUM(AE101:AE102,AE106:AE108,AE114:AE115,AE117:AE118,AE123,AE125,AE128)</f>
        <v>0.38058848599222506</v>
      </c>
      <c r="AF129" s="39">
        <f t="shared" ref="AF129" si="301">SUM(AF101:AF102,AF106:AF108,AF114:AF115,AF117:AF118,AF123,AF125,AF128)</f>
        <v>0.55547359110217021</v>
      </c>
      <c r="AG129" s="39">
        <f t="shared" ref="AG129" si="302">SUM(AG101:AG102,AG106:AG108,AG114:AG115,AG117:AG118,AG123,AG125,AG128)</f>
        <v>0.87989284841972715</v>
      </c>
      <c r="AH129" s="39">
        <f t="shared" ref="AH129" si="303">SUM(AH101:AH102,AH106:AH108,AH114:AH115,AH117:AH118,AH123,AH125,AH128)</f>
        <v>0</v>
      </c>
      <c r="AI129" s="39">
        <f t="shared" ref="AI129" si="304">SUM(AI101:AI102,AI106:AI108,AI114:AI115,AI117:AI118,AI123,AI125,AI128)</f>
        <v>0.92041656626991908</v>
      </c>
      <c r="AJ129" s="39">
        <f t="shared" ref="AJ129" si="305">SUM(AJ101:AJ102,AJ106:AJ108,AJ114:AJ115,AJ117:AJ118,AJ123,AJ125,AJ128)</f>
        <v>0</v>
      </c>
      <c r="AK129" s="39">
        <f t="shared" ref="AK129" si="306">SUM(AK101:AK102,AK106:AK108,AK114:AK115,AK117:AK118,AK123,AK125,AK128)</f>
        <v>0</v>
      </c>
      <c r="AL129" s="39">
        <f t="shared" ref="AL129" si="307">SUM(AL101:AL102,AL106:AL108,AL114:AL115,AL117:AL118,AL123,AL125,AL128)</f>
        <v>0</v>
      </c>
      <c r="AM129" s="39">
        <f t="shared" ref="AM129" si="308">SUM(AM101:AM102,AM106:AM108,AM114:AM115,AM117:AM118,AM123,AM125,AM128)</f>
        <v>0</v>
      </c>
      <c r="AN129" s="39">
        <f t="shared" ref="AN129" si="309">SUM(AN101:AN102,AN106:AN108,AN114:AN115,AN117:AN118,AN123,AN125,AN128)</f>
        <v>0</v>
      </c>
      <c r="AO129" s="39">
        <f t="shared" ref="AO129" si="310">SUM(AO101:AO102,AO106:AO108,AO114:AO115,AO117:AO118,AO123,AO125,AO128)</f>
        <v>0.97516444441640826</v>
      </c>
      <c r="AP129" s="39">
        <f t="shared" ref="AP129" si="311">SUM(AP101:AP102,AP106:AP108,AP114:AP115,AP117:AP118,AP123,AP125,AP128)</f>
        <v>0.52096007949706147</v>
      </c>
      <c r="AQ129" s="39"/>
      <c r="AR129" s="39">
        <f>SUM(AR101:AR102,AR106:AR108,AR114:AR115,AR117:AR118,AR123,AR125,AR128)</f>
        <v>0.33981168996587635</v>
      </c>
      <c r="AS129" s="39">
        <f t="shared" ref="AS129" si="312">SUM(AS101:AS102,AS106:AS108,AS114:AS115,AS117:AS118,AS123,AS125,AS128)</f>
        <v>0</v>
      </c>
      <c r="AT129" s="39">
        <f t="shared" ref="AT129" si="313">SUM(AT101:AT102,AT106:AT108,AT114:AT115,AT117:AT118,AT123,AT125,AT128)</f>
        <v>0.87085380450568295</v>
      </c>
      <c r="AU129" s="39">
        <f t="shared" ref="AU129" si="314">SUM(AU101:AU102,AU106:AU108,AU114:AU115,AU117:AU118,AU123,AU125,AU128)</f>
        <v>0</v>
      </c>
      <c r="AV129" s="39">
        <f t="shared" ref="AV129" si="315">SUM(AV101:AV102,AV106:AV108,AV114:AV115,AV117:AV118,AV123,AV125,AV128)</f>
        <v>0.84179004001742042</v>
      </c>
      <c r="AW129" s="39">
        <f t="shared" ref="AW129" si="316">SUM(AW101:AW102,AW106:AW108,AW114:AW115,AW117:AW118,AW123,AW125,AW128)</f>
        <v>1</v>
      </c>
      <c r="AX129" s="39">
        <f t="shared" ref="AX129" si="317">SUM(AX101:AX102,AX106:AX108,AX114:AX115,AX117:AX118,AX123,AX125,AX128)</f>
        <v>0.86753783661526318</v>
      </c>
      <c r="AY129" s="39">
        <f t="shared" ref="AY129" si="318">SUM(AY101:AY102,AY106:AY108,AY114:AY115,AY117:AY118,AY123,AY125,AY128)</f>
        <v>1</v>
      </c>
      <c r="AZ129" s="39">
        <f t="shared" ref="AZ129" si="319">SUM(AZ101:AZ102,AZ106:AZ108,AZ114:AZ115,AZ117:AZ118,AZ123,AZ125,AZ128)</f>
        <v>0.89307259657797777</v>
      </c>
      <c r="BA129" s="39">
        <f t="shared" ref="BA129" si="320">SUM(BA101:BA102,BA106:BA108,BA114:BA115,BA117:BA118,BA123,BA125,BA128)</f>
        <v>1</v>
      </c>
      <c r="BB129" s="39">
        <f t="shared" ref="BB129" si="321">SUM(BB101:BB102,BB106:BB108,BB114:BB115,BB117:BB118,BB123,BB125,BB128)</f>
        <v>0</v>
      </c>
      <c r="BC129" s="39">
        <f t="shared" ref="BC129" si="322">SUM(BC101:BC102,BC106:BC108,BC114:BC115,BC117:BC118,BC123,BC125,BC128)</f>
        <v>0.52096007949706147</v>
      </c>
      <c r="BD129" s="39"/>
      <c r="BE129" s="39"/>
      <c r="BF129" s="39">
        <f>SUM(BF101:BF102,BF106:BF108,BF114:BF115,BF117:BF118,BF123,BF125,BF128)</f>
        <v>0.39122267236463748</v>
      </c>
      <c r="BG129" s="39">
        <f t="shared" ref="BG129" si="323">SUM(BG101:BG102,BG106:BG108,BG114:BG115,BG117:BG118,BG123,BG125,BG128)</f>
        <v>0.47369868787664188</v>
      </c>
      <c r="BH129" s="39">
        <f t="shared" ref="BH129" si="324">SUM(BH101:BH102,BH106:BH108,BH114:BH115,BH117:BH118,BH123,BH125,BH128)</f>
        <v>0.85148518557916641</v>
      </c>
      <c r="BI129" s="39">
        <f t="shared" ref="BI129" si="325">SUM(BI101:BI102,BI106:BI108,BI114:BI115,BI117:BI118,BI123,BI125,BI128)</f>
        <v>0</v>
      </c>
      <c r="BJ129" s="39">
        <f t="shared" ref="BJ129" si="326">SUM(BJ101:BJ102,BJ106:BJ108,BJ114:BJ115,BJ117:BJ118,BJ123,BJ125,BJ128)</f>
        <v>0.92545522490183274</v>
      </c>
      <c r="BK129" s="39">
        <f t="shared" ref="BK129" si="327">SUM(BK101:BK102,BK106:BK108,BK114:BK115,BK117:BK118,BK123,BK125,BK128)</f>
        <v>0</v>
      </c>
      <c r="BL129" s="39">
        <f t="shared" ref="BL129" si="328">SUM(BL101:BL102,BL106:BL108,BL114:BL115,BL117:BL118,BL123,BL125,BL128)</f>
        <v>0</v>
      </c>
      <c r="BM129" s="39">
        <f t="shared" ref="BM129" si="329">SUM(BM101:BM102,BM106:BM108,BM114:BM115,BM117:BM118,BM123,BM125,BM128)</f>
        <v>0</v>
      </c>
      <c r="BN129" s="39">
        <f t="shared" ref="BN129" si="330">SUM(BN101:BN102,BN106:BN108,BN114:BN115,BN117:BN118,BN123,BN125,BN128)</f>
        <v>0</v>
      </c>
      <c r="BO129" s="39">
        <f t="shared" ref="BO129" si="331">SUM(BO101:BO102,BO106:BO108,BO114:BO115,BO117:BO118,BO123,BO125,BO128)</f>
        <v>0</v>
      </c>
      <c r="BP129" s="39">
        <f t="shared" ref="BP129" si="332">SUM(BP101:BP102,BP106:BP108,BP114:BP115,BP117:BP118,BP123,BP125,BP128)</f>
        <v>0.94344919235668634</v>
      </c>
      <c r="BQ129" s="39">
        <f t="shared" ref="BQ129" si="333">SUM(BQ101:BQ102,BQ106:BQ108,BQ114:BQ115,BQ117:BQ118,BQ123,BQ125,BQ128)</f>
        <v>0.52096007949706147</v>
      </c>
      <c r="BR129" s="39"/>
      <c r="BS129" s="39">
        <f>SUM(BS101:BS102,BS106:BS108,BS114:BS115,BS117:BS118,BS123,BS125,BS128)</f>
        <v>0.39075710307674683</v>
      </c>
      <c r="BT129" s="39">
        <f t="shared" ref="BT129" si="334">SUM(BT101:BT102,BT106:BT108,BT114:BT115,BT117:BT118,BT123,BT125,BT128)</f>
        <v>0</v>
      </c>
      <c r="BU129" s="39">
        <f t="shared" ref="BU129" si="335">SUM(BU101:BU102,BU106:BU108,BU114:BU115,BU117:BU118,BU123,BU125,BU128)</f>
        <v>0.82659415081059384</v>
      </c>
      <c r="BV129" s="39">
        <f t="shared" ref="BV129" si="336">SUM(BV101:BV102,BV106:BV108,BV114:BV115,BV117:BV118,BV123,BV125,BV128)</f>
        <v>0</v>
      </c>
      <c r="BW129" s="39">
        <f t="shared" ref="BW129" si="337">SUM(BW101:BW102,BW106:BW108,BW114:BW115,BW117:BW118,BW123,BW125,BW128)</f>
        <v>0.79748848360625657</v>
      </c>
      <c r="BX129" s="39">
        <f t="shared" ref="BX129" si="338">SUM(BX101:BX102,BX106:BX108,BX114:BX115,BX117:BX118,BX123,BX125,BX128)</f>
        <v>0.75084854491043429</v>
      </c>
      <c r="BY129" s="39">
        <f t="shared" ref="BY129" si="339">SUM(BY101:BY102,BY106:BY108,BY114:BY115,BY117:BY118,BY123,BY125,BY128)</f>
        <v>0.76533282440907424</v>
      </c>
      <c r="BZ129" s="39">
        <f t="shared" ref="BZ129" si="340">SUM(BZ101:BZ102,BZ106:BZ108,BZ114:BZ115,BZ117:BZ118,BZ123,BZ125,BZ128)</f>
        <v>0.83884925048411962</v>
      </c>
      <c r="CA129" s="39">
        <f t="shared" ref="CA129" si="341">SUM(CA101:CA102,CA106:CA108,CA114:CA115,CA117:CA118,CA123,CA125,CA128)</f>
        <v>0.85623723302487242</v>
      </c>
      <c r="CB129" s="39">
        <f t="shared" ref="CB129" si="342">SUM(CB101:CB102,CB106:CB108,CB114:CB115,CB117:CB118,CB123,CB125,CB128)</f>
        <v>0.98407372338073718</v>
      </c>
      <c r="CC129" s="39">
        <f t="shared" ref="CC129" si="343">SUM(CC101:CC102,CC106:CC108,CC114:CC115,CC117:CC118,CC123,CC125,CC128)</f>
        <v>0</v>
      </c>
      <c r="CD129" s="39">
        <f t="shared" ref="CD129" si="344">SUM(CD101:CD102,CD106:CD108,CD114:CD115,CD117:CD118,CD123,CD125,CD128)</f>
        <v>0.52096007949706147</v>
      </c>
      <c r="CE129" s="39"/>
      <c r="CF129" s="39"/>
      <c r="CG129" s="39"/>
    </row>
    <row r="130" spans="1:85">
      <c r="A130" s="38" t="s">
        <v>661</v>
      </c>
      <c r="B130" s="36">
        <f>SUM(B96:B100,B103:B105,B109:B113,B116,B119:B122,B124,B126:B127)</f>
        <v>415014.55250000011</v>
      </c>
      <c r="C130" s="36"/>
      <c r="D130" s="39">
        <f>SUM(D96:D100,D103:D105,D109:D113,D116,D119:D122,D124,D126:D127)</f>
        <v>0.27512766584458342</v>
      </c>
      <c r="E130" s="39">
        <f t="shared" ref="E130:O130" si="345">SUM(E96:E100,E103:E105,E109:E113,E116,E119:E122,E124,E126:E127)</f>
        <v>0</v>
      </c>
      <c r="F130" s="39">
        <f t="shared" si="345"/>
        <v>0</v>
      </c>
      <c r="G130" s="39">
        <f t="shared" si="345"/>
        <v>0</v>
      </c>
      <c r="H130" s="39">
        <f t="shared" si="345"/>
        <v>0</v>
      </c>
      <c r="I130" s="39">
        <f t="shared" si="345"/>
        <v>0</v>
      </c>
      <c r="J130" s="39">
        <f t="shared" si="345"/>
        <v>0</v>
      </c>
      <c r="K130" s="39">
        <f t="shared" si="345"/>
        <v>0</v>
      </c>
      <c r="L130" s="39">
        <f t="shared" si="345"/>
        <v>0</v>
      </c>
      <c r="M130" s="39">
        <f t="shared" si="345"/>
        <v>0</v>
      </c>
      <c r="N130" s="39">
        <f t="shared" si="345"/>
        <v>0</v>
      </c>
      <c r="O130" s="39">
        <f t="shared" si="345"/>
        <v>0.47903992050293842</v>
      </c>
      <c r="P130" s="39"/>
      <c r="Q130" s="39">
        <f>SUM(Q96:Q100,Q103:Q105,Q109:Q113,Q116,Q119:Q122,Q124,Q126:Q127)</f>
        <v>0.67030506033382464</v>
      </c>
      <c r="R130" s="39">
        <f t="shared" ref="R130:AB130" si="346">SUM(R96:R100,R103:R105,R109:R113,R116,R119:R122,R124,R126:R127)</f>
        <v>0</v>
      </c>
      <c r="S130" s="39">
        <f t="shared" si="346"/>
        <v>0.12336152904428535</v>
      </c>
      <c r="T130" s="39">
        <f t="shared" si="346"/>
        <v>0</v>
      </c>
      <c r="U130" s="39">
        <f t="shared" si="346"/>
        <v>0.29319073037801963</v>
      </c>
      <c r="V130" s="39">
        <f t="shared" si="346"/>
        <v>0</v>
      </c>
      <c r="W130" s="39">
        <f t="shared" si="346"/>
        <v>0.18246097734904415</v>
      </c>
      <c r="X130" s="39">
        <f t="shared" si="346"/>
        <v>0</v>
      </c>
      <c r="Y130" s="39">
        <f t="shared" si="346"/>
        <v>0.11430932432493263</v>
      </c>
      <c r="Z130" s="39">
        <f t="shared" si="346"/>
        <v>0</v>
      </c>
      <c r="AA130" s="39">
        <f t="shared" si="346"/>
        <v>0</v>
      </c>
      <c r="AB130" s="39">
        <f t="shared" si="346"/>
        <v>0.47903992050293842</v>
      </c>
      <c r="AC130" s="39"/>
      <c r="AD130" s="36"/>
      <c r="AE130" s="39">
        <f>SUM(AE96:AE100,AE103:AE105,AE109:AE113,AE116,AE119:AE122,AE124,AE126:AE127)</f>
        <v>0.61941151400777517</v>
      </c>
      <c r="AF130" s="39">
        <f t="shared" ref="AF130:AP130" si="347">SUM(AF96:AF100,AF103:AF105,AF109:AF113,AF116,AF119:AF122,AF124,AF126:AF127)</f>
        <v>0.44452640889782979</v>
      </c>
      <c r="AG130" s="39">
        <f t="shared" si="347"/>
        <v>0.12010715158027301</v>
      </c>
      <c r="AH130" s="39">
        <f t="shared" si="347"/>
        <v>0</v>
      </c>
      <c r="AI130" s="39">
        <f t="shared" si="347"/>
        <v>7.958343373008106E-2</v>
      </c>
      <c r="AJ130" s="39">
        <f t="shared" si="347"/>
        <v>0</v>
      </c>
      <c r="AK130" s="39">
        <f t="shared" si="347"/>
        <v>0</v>
      </c>
      <c r="AL130" s="39">
        <f t="shared" si="347"/>
        <v>0</v>
      </c>
      <c r="AM130" s="39">
        <f t="shared" si="347"/>
        <v>0</v>
      </c>
      <c r="AN130" s="39">
        <f t="shared" si="347"/>
        <v>0</v>
      </c>
      <c r="AO130" s="39">
        <f t="shared" si="347"/>
        <v>2.4835555583591615E-2</v>
      </c>
      <c r="AP130" s="39">
        <f t="shared" si="347"/>
        <v>0.47903992050293842</v>
      </c>
      <c r="AQ130" s="39"/>
      <c r="AR130" s="39">
        <f>SUM(AR96:AR100,AR103:AR105,AR109:AR113,AR116,AR119:AR122,AR124,AR126:AR127)</f>
        <v>0.66018831003412337</v>
      </c>
      <c r="AS130" s="39">
        <f t="shared" ref="AS130:BC130" si="348">SUM(AS96:AS100,AS103:AS105,AS109:AS113,AS116,AS119:AS122,AS124,AS126:AS127)</f>
        <v>0</v>
      </c>
      <c r="AT130" s="39">
        <f t="shared" si="348"/>
        <v>0.129146195494317</v>
      </c>
      <c r="AU130" s="39">
        <f t="shared" si="348"/>
        <v>0</v>
      </c>
      <c r="AV130" s="39">
        <f t="shared" si="348"/>
        <v>0.15820995998257967</v>
      </c>
      <c r="AW130" s="39">
        <f t="shared" si="348"/>
        <v>0</v>
      </c>
      <c r="AX130" s="39">
        <f t="shared" si="348"/>
        <v>0.13246216338473696</v>
      </c>
      <c r="AY130" s="39">
        <f t="shared" si="348"/>
        <v>0</v>
      </c>
      <c r="AZ130" s="39">
        <f t="shared" si="348"/>
        <v>0.10692740342202244</v>
      </c>
      <c r="BA130" s="39">
        <f t="shared" si="348"/>
        <v>0</v>
      </c>
      <c r="BB130" s="39">
        <f t="shared" si="348"/>
        <v>0</v>
      </c>
      <c r="BC130" s="39">
        <f t="shared" si="348"/>
        <v>0.47903992050293842</v>
      </c>
      <c r="BD130" s="39"/>
      <c r="BE130" s="39"/>
      <c r="BF130" s="39">
        <f>SUM(BF96:BF100,BF103:BF105,BF109:BF113,BF116,BF119:BF122,BF124,BF126:BF127)</f>
        <v>0.60877732763536263</v>
      </c>
      <c r="BG130" s="39">
        <f t="shared" ref="BG130:BQ130" si="349">SUM(BG96:BG100,BG103:BG105,BG109:BG113,BG116,BG119:BG122,BG124,BG126:BG127)</f>
        <v>0.52630131212335829</v>
      </c>
      <c r="BH130" s="39">
        <f t="shared" si="349"/>
        <v>0.14851481442083367</v>
      </c>
      <c r="BI130" s="39">
        <f t="shared" si="349"/>
        <v>0</v>
      </c>
      <c r="BJ130" s="39">
        <f t="shared" si="349"/>
        <v>7.4544775098167301E-2</v>
      </c>
      <c r="BK130" s="39">
        <f t="shared" si="349"/>
        <v>0</v>
      </c>
      <c r="BL130" s="39">
        <f t="shared" si="349"/>
        <v>0</v>
      </c>
      <c r="BM130" s="39">
        <f t="shared" si="349"/>
        <v>0</v>
      </c>
      <c r="BN130" s="39">
        <f t="shared" si="349"/>
        <v>0</v>
      </c>
      <c r="BO130" s="39">
        <f t="shared" si="349"/>
        <v>0</v>
      </c>
      <c r="BP130" s="39">
        <f t="shared" si="349"/>
        <v>5.6550807643313827E-2</v>
      </c>
      <c r="BQ130" s="39">
        <f t="shared" si="349"/>
        <v>0.47903992050293842</v>
      </c>
      <c r="BR130" s="39"/>
      <c r="BS130" s="39">
        <f>SUM(BS96:BS100,BS103:BS105,BS109:BS113,BS116,BS119:BS122,BS124,BS126:BS127)</f>
        <v>0.60924289692325295</v>
      </c>
      <c r="BT130" s="39">
        <f t="shared" ref="BT130:CD130" si="350">SUM(BT96:BT100,BT103:BT105,BT109:BT113,BT116,BT119:BT122,BT124,BT126:BT127)</f>
        <v>0</v>
      </c>
      <c r="BU130" s="39">
        <f t="shared" si="350"/>
        <v>0.17340584918940596</v>
      </c>
      <c r="BV130" s="39">
        <f t="shared" si="350"/>
        <v>0</v>
      </c>
      <c r="BW130" s="39">
        <f t="shared" si="350"/>
        <v>0.20251151639374337</v>
      </c>
      <c r="BX130" s="39">
        <f t="shared" si="350"/>
        <v>0.24915145508956565</v>
      </c>
      <c r="BY130" s="39">
        <f t="shared" si="350"/>
        <v>0.23466717559092587</v>
      </c>
      <c r="BZ130" s="39">
        <f t="shared" si="350"/>
        <v>0.16115074951588035</v>
      </c>
      <c r="CA130" s="39">
        <f t="shared" si="350"/>
        <v>0.14376276697512738</v>
      </c>
      <c r="CB130" s="39">
        <f t="shared" si="350"/>
        <v>1.592627661926288E-2</v>
      </c>
      <c r="CC130" s="39">
        <f t="shared" si="350"/>
        <v>0</v>
      </c>
      <c r="CD130" s="39">
        <f t="shared" si="350"/>
        <v>0.47903992050293842</v>
      </c>
      <c r="CE130" s="39"/>
      <c r="CF130" s="39"/>
      <c r="CG130" s="39"/>
    </row>
    <row r="131" spans="1:85" customFormat="1">
      <c r="A131" s="143" t="s">
        <v>122</v>
      </c>
      <c r="B131" s="159">
        <f>SUM(B96:B128)</f>
        <v>866346.48750000016</v>
      </c>
      <c r="C131" s="159"/>
      <c r="D131" s="39">
        <v>1</v>
      </c>
      <c r="E131" s="39">
        <v>0</v>
      </c>
      <c r="F131" s="39">
        <v>0</v>
      </c>
      <c r="G131" s="39">
        <v>0</v>
      </c>
      <c r="H131" s="39">
        <v>0</v>
      </c>
      <c r="I131" s="39">
        <v>0</v>
      </c>
      <c r="J131" s="39">
        <v>0</v>
      </c>
      <c r="K131" s="39">
        <v>0</v>
      </c>
      <c r="L131" s="39">
        <v>0</v>
      </c>
      <c r="M131" s="39">
        <v>0</v>
      </c>
      <c r="N131" s="39">
        <v>1</v>
      </c>
      <c r="O131" s="39">
        <v>1</v>
      </c>
      <c r="P131" s="39">
        <v>0</v>
      </c>
      <c r="Q131" s="39">
        <v>1</v>
      </c>
      <c r="R131" s="39">
        <v>0</v>
      </c>
      <c r="S131" s="39">
        <v>1</v>
      </c>
      <c r="T131" s="39">
        <v>0</v>
      </c>
      <c r="U131" s="39">
        <v>1</v>
      </c>
      <c r="V131" s="39">
        <v>1</v>
      </c>
      <c r="W131" s="39">
        <v>1</v>
      </c>
      <c r="X131" s="39">
        <v>1</v>
      </c>
      <c r="Y131" s="39">
        <v>1</v>
      </c>
      <c r="Z131" s="39">
        <v>1</v>
      </c>
      <c r="AA131" s="39">
        <v>0</v>
      </c>
      <c r="AB131" s="39">
        <v>1</v>
      </c>
      <c r="AC131" s="39"/>
      <c r="AD131" s="159">
        <f>SUM(AD96:AD128)</f>
        <v>0</v>
      </c>
      <c r="AE131" s="39">
        <v>1</v>
      </c>
      <c r="AF131" s="39">
        <v>1</v>
      </c>
      <c r="AG131" s="39">
        <v>1</v>
      </c>
      <c r="AH131" s="39">
        <v>0</v>
      </c>
      <c r="AI131" s="39">
        <v>1</v>
      </c>
      <c r="AJ131" s="39">
        <v>0</v>
      </c>
      <c r="AK131" s="39">
        <v>0</v>
      </c>
      <c r="AL131" s="39">
        <v>0</v>
      </c>
      <c r="AM131" s="39">
        <v>0</v>
      </c>
      <c r="AN131" s="39">
        <v>0</v>
      </c>
      <c r="AO131" s="39">
        <v>1</v>
      </c>
      <c r="AP131" s="39">
        <v>1</v>
      </c>
      <c r="AQ131" s="39">
        <v>0</v>
      </c>
      <c r="AR131" s="39">
        <v>1</v>
      </c>
      <c r="AS131" s="39">
        <v>0</v>
      </c>
      <c r="AT131" s="39">
        <v>1</v>
      </c>
      <c r="AU131" s="39">
        <v>0</v>
      </c>
      <c r="AV131" s="39">
        <v>1</v>
      </c>
      <c r="AW131" s="39">
        <v>1</v>
      </c>
      <c r="AX131" s="39">
        <v>1</v>
      </c>
      <c r="AY131" s="39">
        <v>1</v>
      </c>
      <c r="AZ131" s="39">
        <v>1</v>
      </c>
      <c r="BA131" s="39">
        <v>1</v>
      </c>
      <c r="BB131" s="39">
        <v>0</v>
      </c>
      <c r="BC131" s="39">
        <v>1</v>
      </c>
      <c r="BD131" s="39"/>
      <c r="BE131" s="39">
        <v>0</v>
      </c>
      <c r="BF131" s="39">
        <v>1</v>
      </c>
      <c r="BG131" s="39">
        <v>1</v>
      </c>
      <c r="BH131" s="39">
        <v>1</v>
      </c>
      <c r="BI131" s="39">
        <v>0</v>
      </c>
      <c r="BJ131" s="39">
        <v>1</v>
      </c>
      <c r="BK131" s="39">
        <v>0</v>
      </c>
      <c r="BL131" s="39">
        <v>0</v>
      </c>
      <c r="BM131" s="39">
        <v>0</v>
      </c>
      <c r="BN131" s="39">
        <v>0</v>
      </c>
      <c r="BO131" s="39">
        <v>0</v>
      </c>
      <c r="BP131" s="39">
        <v>1</v>
      </c>
      <c r="BQ131" s="39">
        <v>1</v>
      </c>
      <c r="BR131" s="39">
        <v>0</v>
      </c>
      <c r="BS131" s="39">
        <v>1</v>
      </c>
      <c r="BT131" s="39">
        <v>0</v>
      </c>
      <c r="BU131" s="39">
        <v>1</v>
      </c>
      <c r="BV131" s="39">
        <v>0</v>
      </c>
      <c r="BW131" s="39">
        <v>1</v>
      </c>
      <c r="BX131" s="39">
        <v>1</v>
      </c>
      <c r="BY131" s="39">
        <v>1</v>
      </c>
      <c r="BZ131" s="39">
        <v>1</v>
      </c>
      <c r="CA131" s="39">
        <v>1</v>
      </c>
      <c r="CB131" s="39">
        <v>1</v>
      </c>
      <c r="CC131" s="39">
        <v>0</v>
      </c>
      <c r="CD131" s="39">
        <v>1</v>
      </c>
      <c r="CE131" s="39"/>
      <c r="CF131" s="39">
        <v>0</v>
      </c>
      <c r="CG131" s="39">
        <v>0</v>
      </c>
    </row>
    <row r="132" spans="1:85" customFormat="1">
      <c r="A132" s="38"/>
    </row>
    <row r="133" spans="1:85" customFormat="1">
      <c r="A133" t="str">
        <f xml:space="preserve"> "Selected Borough: "&amp;Dashboard!D5</f>
        <v>Selected Borough: Inner London</v>
      </c>
      <c r="B133" s="36">
        <f>INDEX(B96:B131,MATCH(Dashboard!$D$5,$A$96:$A$131,0))</f>
        <v>451331.93500000006</v>
      </c>
      <c r="C133" s="36"/>
      <c r="D133" s="36">
        <f>INDEX(D96:D131,MATCH(Dashboard!$D$5,$A$96:$A$131,0))</f>
        <v>0.72487233415541663</v>
      </c>
      <c r="E133" s="36">
        <f>INDEX(E96:E131,MATCH(Dashboard!$D$5,$A$96:$A$131,0))</f>
        <v>0</v>
      </c>
      <c r="F133" s="36">
        <f>INDEX(F96:F131,MATCH(Dashboard!$D$5,$A$96:$A$131,0))</f>
        <v>0</v>
      </c>
      <c r="G133" s="36">
        <f>INDEX(G96:G131,MATCH(Dashboard!$D$5,$A$96:$A$131,0))</f>
        <v>0</v>
      </c>
      <c r="H133" s="36">
        <f>INDEX(H96:H131,MATCH(Dashboard!$D$5,$A$96:$A$131,0))</f>
        <v>0</v>
      </c>
      <c r="I133" s="36">
        <f>INDEX(I96:I131,MATCH(Dashboard!$D$5,$A$96:$A$131,0))</f>
        <v>0</v>
      </c>
      <c r="J133" s="36">
        <f>INDEX(J96:J131,MATCH(Dashboard!$D$5,$A$96:$A$131,0))</f>
        <v>0</v>
      </c>
      <c r="K133" s="36">
        <f>INDEX(K96:K131,MATCH(Dashboard!$D$5,$A$96:$A$131,0))</f>
        <v>0</v>
      </c>
      <c r="L133" s="36">
        <f>INDEX(L96:L131,MATCH(Dashboard!$D$5,$A$96:$A$131,0))</f>
        <v>0</v>
      </c>
      <c r="M133" s="36">
        <f>INDEX(M96:M131,MATCH(Dashboard!$D$5,$A$96:$A$131,0))</f>
        <v>0</v>
      </c>
      <c r="N133" s="36">
        <f>INDEX(N96:N131,MATCH(Dashboard!$D$5,$A$96:$A$131,0))</f>
        <v>1</v>
      </c>
      <c r="O133" s="36">
        <f>INDEX(O96:O131,MATCH(Dashboard!$D$5,$A$96:$A$131,0))</f>
        <v>0.52096007949706147</v>
      </c>
      <c r="P133" s="36"/>
      <c r="Q133" s="36">
        <f>INDEX(Q96:Q131,MATCH(Dashboard!$D$5,$A$96:$A$131,0))</f>
        <v>0.32969493966617525</v>
      </c>
      <c r="R133" s="36">
        <f>INDEX(R96:R131,MATCH(Dashboard!$D$5,$A$96:$A$131,0))</f>
        <v>0</v>
      </c>
      <c r="S133" s="36">
        <f>INDEX(S96:S131,MATCH(Dashboard!$D$5,$A$96:$A$131,0))</f>
        <v>0.87663847095571501</v>
      </c>
      <c r="T133" s="36">
        <f>INDEX(T96:T131,MATCH(Dashboard!$D$5,$A$96:$A$131,0))</f>
        <v>0</v>
      </c>
      <c r="U133" s="36">
        <f>INDEX(U96:U131,MATCH(Dashboard!$D$5,$A$96:$A$131,0))</f>
        <v>0.70680926962198043</v>
      </c>
      <c r="V133" s="36">
        <f>INDEX(V96:V131,MATCH(Dashboard!$D$5,$A$96:$A$131,0))</f>
        <v>1</v>
      </c>
      <c r="W133" s="36">
        <f>INDEX(W96:W131,MATCH(Dashboard!$D$5,$A$96:$A$131,0))</f>
        <v>0.81753902265095579</v>
      </c>
      <c r="X133" s="36">
        <f>INDEX(X96:X131,MATCH(Dashboard!$D$5,$A$96:$A$131,0))</f>
        <v>1</v>
      </c>
      <c r="Y133" s="36">
        <f>INDEX(Y96:Y131,MATCH(Dashboard!$D$5,$A$96:$A$131,0))</f>
        <v>0.88569067567506754</v>
      </c>
      <c r="Z133" s="36">
        <f>INDEX(Z96:Z131,MATCH(Dashboard!$D$5,$A$96:$A$131,0))</f>
        <v>1</v>
      </c>
      <c r="AA133" s="36">
        <f>INDEX(AA96:AA131,MATCH(Dashboard!$D$5,$A$96:$A$131,0))</f>
        <v>0</v>
      </c>
      <c r="AB133" s="36">
        <f>INDEX(AB96:AB131,MATCH(Dashboard!$D$5,$A$96:$A$131,0))</f>
        <v>0.52096007949706147</v>
      </c>
      <c r="AC133" s="36"/>
      <c r="AD133" s="36"/>
      <c r="AE133" s="36">
        <f>INDEX(AE96:AE131,MATCH(Dashboard!$D$5,$A$96:$A$131,0))</f>
        <v>0.38058848599222506</v>
      </c>
      <c r="AF133" s="36">
        <f>INDEX(AF96:AF131,MATCH(Dashboard!$D$5,$A$96:$A$131,0))</f>
        <v>0.55547359110217021</v>
      </c>
      <c r="AG133" s="36">
        <f>INDEX(AG96:AG131,MATCH(Dashboard!$D$5,$A$96:$A$131,0))</f>
        <v>0.87989284841972715</v>
      </c>
      <c r="AH133" s="36">
        <f>INDEX(AH96:AH131,MATCH(Dashboard!$D$5,$A$96:$A$131,0))</f>
        <v>0</v>
      </c>
      <c r="AI133" s="36">
        <f>INDEX(AI96:AI131,MATCH(Dashboard!$D$5,$A$96:$A$131,0))</f>
        <v>0.92041656626991908</v>
      </c>
      <c r="AJ133" s="36">
        <f>INDEX(AJ96:AJ131,MATCH(Dashboard!$D$5,$A$96:$A$131,0))</f>
        <v>0</v>
      </c>
      <c r="AK133" s="36">
        <f>INDEX(AK96:AK131,MATCH(Dashboard!$D$5,$A$96:$A$131,0))</f>
        <v>0</v>
      </c>
      <c r="AL133" s="36">
        <f>INDEX(AL96:AL131,MATCH(Dashboard!$D$5,$A$96:$A$131,0))</f>
        <v>0</v>
      </c>
      <c r="AM133" s="36">
        <f>INDEX(AM96:AM131,MATCH(Dashboard!$D$5,$A$96:$A$131,0))</f>
        <v>0</v>
      </c>
      <c r="AN133" s="36">
        <f>INDEX(AN96:AN131,MATCH(Dashboard!$D$5,$A$96:$A$131,0))</f>
        <v>0</v>
      </c>
      <c r="AO133" s="36">
        <f>INDEX(AO96:AO131,MATCH(Dashboard!$D$5,$A$96:$A$131,0))</f>
        <v>0.97516444441640826</v>
      </c>
      <c r="AP133" s="36">
        <f>INDEX(AP96:AP131,MATCH(Dashboard!$D$5,$A$96:$A$131,0))</f>
        <v>0.52096007949706147</v>
      </c>
      <c r="AQ133" s="36"/>
      <c r="AR133" s="36">
        <f>INDEX(AR96:AR131,MATCH(Dashboard!$D$5,$A$96:$A$131,0))</f>
        <v>0.33981168996587635</v>
      </c>
      <c r="AS133" s="36">
        <f>INDEX(AS96:AS131,MATCH(Dashboard!$D$5,$A$96:$A$131,0))</f>
        <v>0</v>
      </c>
      <c r="AT133" s="36">
        <f>INDEX(AT96:AT131,MATCH(Dashboard!$D$5,$A$96:$A$131,0))</f>
        <v>0.87085380450568295</v>
      </c>
      <c r="AU133" s="36">
        <f>INDEX(AU96:AU131,MATCH(Dashboard!$D$5,$A$96:$A$131,0))</f>
        <v>0</v>
      </c>
      <c r="AV133" s="36">
        <f>INDEX(AV96:AV131,MATCH(Dashboard!$D$5,$A$96:$A$131,0))</f>
        <v>0.84179004001742042</v>
      </c>
      <c r="AW133" s="36">
        <f>INDEX(AW96:AW131,MATCH(Dashboard!$D$5,$A$96:$A$131,0))</f>
        <v>1</v>
      </c>
      <c r="AX133" s="36">
        <f>INDEX(AX96:AX131,MATCH(Dashboard!$D$5,$A$96:$A$131,0))</f>
        <v>0.86753783661526318</v>
      </c>
      <c r="AY133" s="36">
        <f>INDEX(AY96:AY131,MATCH(Dashboard!$D$5,$A$96:$A$131,0))</f>
        <v>1</v>
      </c>
      <c r="AZ133" s="36">
        <f>INDEX(AZ96:AZ131,MATCH(Dashboard!$D$5,$A$96:$A$131,0))</f>
        <v>0.89307259657797777</v>
      </c>
      <c r="BA133" s="36">
        <f>INDEX(BA96:BA131,MATCH(Dashboard!$D$5,$A$96:$A$131,0))</f>
        <v>1</v>
      </c>
      <c r="BB133" s="36">
        <f>INDEX(BB96:BB131,MATCH(Dashboard!$D$5,$A$96:$A$131,0))</f>
        <v>0</v>
      </c>
      <c r="BC133" s="36">
        <f>INDEX(BC96:BC131,MATCH(Dashboard!$D$5,$A$96:$A$131,0))</f>
        <v>0.52096007949706147</v>
      </c>
      <c r="BD133" s="36"/>
      <c r="BE133" s="36">
        <f>INDEX(BE96:BE131,MATCH(Dashboard!$D$5,$A$96:$A$131,0))</f>
        <v>0</v>
      </c>
      <c r="BF133" s="36">
        <f>INDEX(BF96:BF131,MATCH(Dashboard!$D$5,$A$96:$A$131,0))</f>
        <v>0.39122267236463748</v>
      </c>
      <c r="BG133" s="36">
        <f>INDEX(BG96:BG131,MATCH(Dashboard!$D$5,$A$96:$A$131,0))</f>
        <v>0.47369868787664188</v>
      </c>
      <c r="BH133" s="36">
        <f>INDEX(BH96:BH131,MATCH(Dashboard!$D$5,$A$96:$A$131,0))</f>
        <v>0.85148518557916641</v>
      </c>
      <c r="BI133" s="36">
        <f>INDEX(BI96:BI131,MATCH(Dashboard!$D$5,$A$96:$A$131,0))</f>
        <v>0</v>
      </c>
      <c r="BJ133" s="36">
        <f>INDEX(BJ96:BJ131,MATCH(Dashboard!$D$5,$A$96:$A$131,0))</f>
        <v>0.92545522490183274</v>
      </c>
      <c r="BK133" s="36">
        <f>INDEX(BK96:BK131,MATCH(Dashboard!$D$5,$A$96:$A$131,0))</f>
        <v>0</v>
      </c>
      <c r="BL133" s="36">
        <f>INDEX(BL96:BL131,MATCH(Dashboard!$D$5,$A$96:$A$131,0))</f>
        <v>0</v>
      </c>
      <c r="BM133" s="36">
        <f>INDEX(BM96:BM131,MATCH(Dashboard!$D$5,$A$96:$A$131,0))</f>
        <v>0</v>
      </c>
      <c r="BN133" s="36">
        <f>INDEX(BN96:BN131,MATCH(Dashboard!$D$5,$A$96:$A$131,0))</f>
        <v>0</v>
      </c>
      <c r="BO133" s="36">
        <f>INDEX(BO96:BO131,MATCH(Dashboard!$D$5,$A$96:$A$131,0))</f>
        <v>0</v>
      </c>
      <c r="BP133" s="36">
        <f>INDEX(BP96:BP131,MATCH(Dashboard!$D$5,$A$96:$A$131,0))</f>
        <v>0.94344919235668634</v>
      </c>
      <c r="BQ133" s="36">
        <f>INDEX(BQ96:BQ131,MATCH(Dashboard!$D$5,$A$96:$A$131,0))</f>
        <v>0.52096007949706147</v>
      </c>
      <c r="BR133" s="36"/>
      <c r="BS133" s="36">
        <f>INDEX(BS96:BS131,MATCH(Dashboard!$D$5,$A$96:$A$131,0))</f>
        <v>0.39075710307674683</v>
      </c>
      <c r="BT133" s="36">
        <f>INDEX(BT96:BT131,MATCH(Dashboard!$D$5,$A$96:$A$131,0))</f>
        <v>0</v>
      </c>
      <c r="BU133" s="36">
        <f>INDEX(BU96:BU131,MATCH(Dashboard!$D$5,$A$96:$A$131,0))</f>
        <v>0.82659415081059384</v>
      </c>
      <c r="BV133" s="36">
        <f>INDEX(BV96:BV131,MATCH(Dashboard!$D$5,$A$96:$A$131,0))</f>
        <v>0</v>
      </c>
      <c r="BW133" s="36">
        <f>INDEX(BW96:BW131,MATCH(Dashboard!$D$5,$A$96:$A$131,0))</f>
        <v>0.79748848360625657</v>
      </c>
      <c r="BX133" s="36">
        <f>INDEX(BX96:BX131,MATCH(Dashboard!$D$5,$A$96:$A$131,0))</f>
        <v>0.75084854491043429</v>
      </c>
      <c r="BY133" s="36">
        <f>INDEX(BY96:BY131,MATCH(Dashboard!$D$5,$A$96:$A$131,0))</f>
        <v>0.76533282440907424</v>
      </c>
      <c r="BZ133" s="36">
        <f>INDEX(BZ96:BZ131,MATCH(Dashboard!$D$5,$A$96:$A$131,0))</f>
        <v>0.83884925048411962</v>
      </c>
      <c r="CA133" s="36">
        <f>INDEX(CA96:CA131,MATCH(Dashboard!$D$5,$A$96:$A$131,0))</f>
        <v>0.85623723302487242</v>
      </c>
      <c r="CB133" s="36">
        <f>INDEX(CB96:CB131,MATCH(Dashboard!$D$5,$A$96:$A$131,0))</f>
        <v>0.98407372338073718</v>
      </c>
      <c r="CC133" s="36">
        <f>INDEX(CC96:CC131,MATCH(Dashboard!$D$5,$A$96:$A$131,0))</f>
        <v>0</v>
      </c>
      <c r="CD133" s="36">
        <f>INDEX(CD96:CD131,MATCH(Dashboard!$D$5,$A$96:$A$131,0))</f>
        <v>0.52096007949706147</v>
      </c>
      <c r="CE133" s="36"/>
      <c r="CF133" s="36"/>
      <c r="CG133" s="36"/>
    </row>
    <row r="134" spans="1:85" customFormat="1">
      <c r="D134" s="159">
        <f>SUM(D133:O133)</f>
        <v>2.2458324136524781</v>
      </c>
      <c r="Q134" s="159">
        <f>SUM(Q133:AB133)</f>
        <v>7.1373324580669557</v>
      </c>
      <c r="AE134" s="159">
        <f>SUM(AE133:AP133)</f>
        <v>4.2324960156975102</v>
      </c>
      <c r="AR134" s="159">
        <f>SUM(AR133:BC133)</f>
        <v>7.3340260471792824</v>
      </c>
      <c r="BF134" s="159">
        <f>SUM(BF133:BQ133)</f>
        <v>4.1062710425760258</v>
      </c>
      <c r="BS134" s="159">
        <f>SUM(BS133:CD133)</f>
        <v>6.7311413931998967</v>
      </c>
    </row>
    <row r="135" spans="1:85">
      <c r="Q135" s="115">
        <v>3481888.3851637477</v>
      </c>
    </row>
    <row r="136" spans="1:85">
      <c r="B136" s="116" t="s">
        <v>602</v>
      </c>
      <c r="C136" s="116"/>
      <c r="D136" s="340" t="s">
        <v>602</v>
      </c>
      <c r="E136" s="341"/>
      <c r="F136" s="341"/>
      <c r="G136" s="341"/>
      <c r="H136" s="341"/>
      <c r="I136" s="341"/>
      <c r="J136" s="341"/>
      <c r="K136" s="341"/>
      <c r="L136" s="341"/>
      <c r="M136" s="341"/>
      <c r="N136" s="341"/>
      <c r="O136" s="342"/>
      <c r="Q136" s="340" t="s">
        <v>602</v>
      </c>
      <c r="R136" s="341"/>
      <c r="S136" s="341"/>
      <c r="T136" s="341"/>
      <c r="U136" s="341"/>
      <c r="V136" s="341"/>
      <c r="W136" s="341"/>
      <c r="X136" s="341"/>
      <c r="Y136" s="341"/>
      <c r="Z136" s="341"/>
      <c r="AA136" s="341"/>
      <c r="AB136" s="342"/>
      <c r="AC136" s="371"/>
      <c r="AE136" s="121" t="s">
        <v>602</v>
      </c>
      <c r="AF136" s="122"/>
      <c r="AG136" s="122"/>
      <c r="AH136" s="122"/>
      <c r="AI136" s="122"/>
      <c r="AJ136" s="122"/>
      <c r="AK136" s="122"/>
      <c r="AL136" s="122"/>
      <c r="AM136" s="122"/>
      <c r="AN136" s="122"/>
      <c r="AO136" s="122"/>
      <c r="AP136" s="123"/>
      <c r="AR136" s="121" t="s">
        <v>602</v>
      </c>
      <c r="AS136" s="122"/>
      <c r="AT136" s="122"/>
      <c r="AU136" s="122"/>
      <c r="AV136" s="122"/>
      <c r="AW136" s="122"/>
      <c r="AX136" s="122"/>
      <c r="AY136" s="122"/>
      <c r="AZ136" s="122"/>
      <c r="BA136" s="122"/>
      <c r="BB136" s="122"/>
      <c r="BC136" s="123"/>
      <c r="BD136" s="371"/>
      <c r="BF136" s="337" t="s">
        <v>602</v>
      </c>
      <c r="BG136" s="338"/>
      <c r="BH136" s="338"/>
      <c r="BI136" s="338"/>
      <c r="BJ136" s="338"/>
      <c r="BK136" s="338"/>
      <c r="BL136" s="338"/>
      <c r="BM136" s="338"/>
      <c r="BN136" s="338"/>
      <c r="BO136" s="338"/>
      <c r="BP136" s="338"/>
      <c r="BQ136" s="339"/>
      <c r="BS136" s="337" t="s">
        <v>602</v>
      </c>
      <c r="BT136" s="338"/>
      <c r="BU136" s="338"/>
      <c r="BV136" s="338"/>
      <c r="BW136" s="338"/>
      <c r="BX136" s="338"/>
      <c r="BY136" s="338"/>
      <c r="BZ136" s="338"/>
      <c r="CA136" s="338"/>
      <c r="CB136" s="338"/>
      <c r="CC136" s="338"/>
      <c r="CD136" s="339"/>
      <c r="CE136" s="371"/>
    </row>
    <row r="137" spans="1:85" ht="15" customHeight="1">
      <c r="B137" s="124"/>
      <c r="C137" s="124"/>
      <c r="D137" s="346" t="s">
        <v>605</v>
      </c>
      <c r="E137" s="347" t="s">
        <v>605</v>
      </c>
      <c r="F137" s="347" t="s">
        <v>605</v>
      </c>
      <c r="G137" s="347" t="s">
        <v>605</v>
      </c>
      <c r="H137" s="347" t="s">
        <v>605</v>
      </c>
      <c r="I137" s="347" t="s">
        <v>605</v>
      </c>
      <c r="J137" s="347" t="s">
        <v>605</v>
      </c>
      <c r="K137" s="347" t="s">
        <v>605</v>
      </c>
      <c r="L137" s="347" t="s">
        <v>605</v>
      </c>
      <c r="M137" s="347" t="s">
        <v>605</v>
      </c>
      <c r="N137" s="347" t="s">
        <v>605</v>
      </c>
      <c r="O137" s="348" t="s">
        <v>605</v>
      </c>
      <c r="Q137" s="346" t="s">
        <v>605</v>
      </c>
      <c r="R137" s="347" t="s">
        <v>605</v>
      </c>
      <c r="S137" s="347" t="s">
        <v>605</v>
      </c>
      <c r="T137" s="347" t="s">
        <v>605</v>
      </c>
      <c r="U137" s="347" t="s">
        <v>605</v>
      </c>
      <c r="V137" s="347" t="s">
        <v>605</v>
      </c>
      <c r="W137" s="347" t="s">
        <v>605</v>
      </c>
      <c r="X137" s="347" t="s">
        <v>605</v>
      </c>
      <c r="Y137" s="347" t="s">
        <v>605</v>
      </c>
      <c r="Z137" s="347" t="s">
        <v>605</v>
      </c>
      <c r="AA137" s="347" t="s">
        <v>605</v>
      </c>
      <c r="AB137" s="348" t="s">
        <v>605</v>
      </c>
      <c r="AC137" s="372"/>
      <c r="AE137" s="126" t="s">
        <v>607</v>
      </c>
      <c r="AF137" s="127" t="s">
        <v>607</v>
      </c>
      <c r="AG137" s="127" t="s">
        <v>607</v>
      </c>
      <c r="AH137" s="127" t="s">
        <v>607</v>
      </c>
      <c r="AI137" s="127" t="s">
        <v>607</v>
      </c>
      <c r="AJ137" s="127" t="s">
        <v>607</v>
      </c>
      <c r="AK137" s="127" t="s">
        <v>607</v>
      </c>
      <c r="AL137" s="127" t="s">
        <v>607</v>
      </c>
      <c r="AM137" s="127" t="s">
        <v>607</v>
      </c>
      <c r="AN137" s="127" t="s">
        <v>607</v>
      </c>
      <c r="AO137" s="127" t="s">
        <v>607</v>
      </c>
      <c r="AP137" s="128" t="s">
        <v>607</v>
      </c>
      <c r="AR137" s="126" t="s">
        <v>607</v>
      </c>
      <c r="AS137" s="127" t="s">
        <v>607</v>
      </c>
      <c r="AT137" s="127" t="s">
        <v>607</v>
      </c>
      <c r="AU137" s="127" t="s">
        <v>607</v>
      </c>
      <c r="AV137" s="127" t="s">
        <v>607</v>
      </c>
      <c r="AW137" s="127" t="s">
        <v>607</v>
      </c>
      <c r="AX137" s="127" t="s">
        <v>607</v>
      </c>
      <c r="AY137" s="127" t="s">
        <v>607</v>
      </c>
      <c r="AZ137" s="127" t="s">
        <v>607</v>
      </c>
      <c r="BA137" s="127" t="s">
        <v>607</v>
      </c>
      <c r="BB137" s="127" t="s">
        <v>607</v>
      </c>
      <c r="BC137" s="128" t="s">
        <v>607</v>
      </c>
      <c r="BD137" s="372"/>
      <c r="BF137" s="343" t="s">
        <v>608</v>
      </c>
      <c r="BG137" s="344" t="s">
        <v>608</v>
      </c>
      <c r="BH137" s="344" t="s">
        <v>608</v>
      </c>
      <c r="BI137" s="344" t="s">
        <v>608</v>
      </c>
      <c r="BJ137" s="344" t="s">
        <v>608</v>
      </c>
      <c r="BK137" s="344" t="s">
        <v>608</v>
      </c>
      <c r="BL137" s="344" t="s">
        <v>608</v>
      </c>
      <c r="BM137" s="344" t="s">
        <v>608</v>
      </c>
      <c r="BN137" s="344" t="s">
        <v>608</v>
      </c>
      <c r="BO137" s="344" t="s">
        <v>608</v>
      </c>
      <c r="BP137" s="344" t="s">
        <v>608</v>
      </c>
      <c r="BQ137" s="345" t="s">
        <v>608</v>
      </c>
      <c r="BS137" s="343" t="s">
        <v>608</v>
      </c>
      <c r="BT137" s="344" t="s">
        <v>608</v>
      </c>
      <c r="BU137" s="344" t="s">
        <v>608</v>
      </c>
      <c r="BV137" s="344" t="s">
        <v>608</v>
      </c>
      <c r="BW137" s="344" t="s">
        <v>608</v>
      </c>
      <c r="BX137" s="344" t="s">
        <v>608</v>
      </c>
      <c r="BY137" s="344" t="s">
        <v>608</v>
      </c>
      <c r="BZ137" s="344" t="s">
        <v>608</v>
      </c>
      <c r="CA137" s="344" t="s">
        <v>608</v>
      </c>
      <c r="CB137" s="344" t="s">
        <v>608</v>
      </c>
      <c r="CC137" s="344" t="s">
        <v>608</v>
      </c>
      <c r="CD137" s="345" t="s">
        <v>608</v>
      </c>
      <c r="CE137" s="372"/>
    </row>
    <row r="138" spans="1:85">
      <c r="B138" s="129">
        <v>2015</v>
      </c>
      <c r="C138" s="129"/>
      <c r="D138" s="353">
        <v>2025</v>
      </c>
      <c r="E138" s="354">
        <v>2025</v>
      </c>
      <c r="F138" s="354">
        <v>2025</v>
      </c>
      <c r="G138" s="354">
        <v>2025</v>
      </c>
      <c r="H138" s="354">
        <v>2025</v>
      </c>
      <c r="I138" s="354">
        <v>2025</v>
      </c>
      <c r="J138" s="354">
        <v>2025</v>
      </c>
      <c r="K138" s="354">
        <v>2025</v>
      </c>
      <c r="L138" s="354">
        <v>2025</v>
      </c>
      <c r="M138" s="354">
        <v>2025</v>
      </c>
      <c r="N138" s="354">
        <v>2025</v>
      </c>
      <c r="O138" s="355">
        <v>2025</v>
      </c>
      <c r="Q138" s="353">
        <v>2050</v>
      </c>
      <c r="R138" s="354">
        <v>2050</v>
      </c>
      <c r="S138" s="354">
        <v>2050</v>
      </c>
      <c r="T138" s="354">
        <v>2050</v>
      </c>
      <c r="U138" s="354">
        <v>2050</v>
      </c>
      <c r="V138" s="354">
        <v>2050</v>
      </c>
      <c r="W138" s="354">
        <v>2050</v>
      </c>
      <c r="X138" s="354">
        <v>2050</v>
      </c>
      <c r="Y138" s="354">
        <v>2050</v>
      </c>
      <c r="Z138" s="354">
        <v>2050</v>
      </c>
      <c r="AA138" s="354">
        <v>2050</v>
      </c>
      <c r="AB138" s="355">
        <v>2050</v>
      </c>
      <c r="AC138" s="372"/>
      <c r="AE138" s="130">
        <v>2025</v>
      </c>
      <c r="AF138" s="131">
        <v>2025</v>
      </c>
      <c r="AG138" s="131">
        <v>2025</v>
      </c>
      <c r="AH138" s="131">
        <v>2025</v>
      </c>
      <c r="AI138" s="131">
        <v>2025</v>
      </c>
      <c r="AJ138" s="131">
        <v>2025</v>
      </c>
      <c r="AK138" s="131">
        <v>2025</v>
      </c>
      <c r="AL138" s="131">
        <v>2025</v>
      </c>
      <c r="AM138" s="131">
        <v>2025</v>
      </c>
      <c r="AN138" s="131">
        <v>2025</v>
      </c>
      <c r="AO138" s="131">
        <v>2025</v>
      </c>
      <c r="AP138" s="132">
        <v>2025</v>
      </c>
      <c r="AR138" s="130">
        <v>2050</v>
      </c>
      <c r="AS138" s="131">
        <v>2050</v>
      </c>
      <c r="AT138" s="131">
        <v>2050</v>
      </c>
      <c r="AU138" s="131">
        <v>2050</v>
      </c>
      <c r="AV138" s="131">
        <v>2050</v>
      </c>
      <c r="AW138" s="131">
        <v>2050</v>
      </c>
      <c r="AX138" s="131">
        <v>2050</v>
      </c>
      <c r="AY138" s="131">
        <v>2050</v>
      </c>
      <c r="AZ138" s="131">
        <v>2050</v>
      </c>
      <c r="BA138" s="131">
        <v>2050</v>
      </c>
      <c r="BB138" s="131">
        <v>2050</v>
      </c>
      <c r="BC138" s="132">
        <v>2050</v>
      </c>
      <c r="BD138" s="372"/>
      <c r="BF138" s="350">
        <v>2025</v>
      </c>
      <c r="BG138" s="351">
        <v>2025</v>
      </c>
      <c r="BH138" s="351">
        <v>2025</v>
      </c>
      <c r="BI138" s="351">
        <v>2025</v>
      </c>
      <c r="BJ138" s="351">
        <v>2025</v>
      </c>
      <c r="BK138" s="351">
        <v>2025</v>
      </c>
      <c r="BL138" s="351">
        <v>2025</v>
      </c>
      <c r="BM138" s="351">
        <v>2025</v>
      </c>
      <c r="BN138" s="351">
        <v>2025</v>
      </c>
      <c r="BO138" s="351">
        <v>2025</v>
      </c>
      <c r="BP138" s="351">
        <v>2025</v>
      </c>
      <c r="BQ138" s="352">
        <v>2025</v>
      </c>
      <c r="BS138" s="350">
        <v>2050</v>
      </c>
      <c r="BT138" s="351">
        <v>2050</v>
      </c>
      <c r="BU138" s="351">
        <v>2050</v>
      </c>
      <c r="BV138" s="351">
        <v>2050</v>
      </c>
      <c r="BW138" s="351">
        <v>2050</v>
      </c>
      <c r="BX138" s="351">
        <v>2050</v>
      </c>
      <c r="BY138" s="351">
        <v>2050</v>
      </c>
      <c r="BZ138" s="351">
        <v>2050</v>
      </c>
      <c r="CA138" s="351">
        <v>2050</v>
      </c>
      <c r="CB138" s="351">
        <v>2050</v>
      </c>
      <c r="CC138" s="351">
        <v>2050</v>
      </c>
      <c r="CD138" s="352">
        <v>2050</v>
      </c>
      <c r="CE138" s="372"/>
    </row>
    <row r="139" spans="1:85" ht="43.5" customHeight="1">
      <c r="B139" s="133" t="s">
        <v>264</v>
      </c>
      <c r="C139" s="133"/>
      <c r="D139" s="360" t="s">
        <v>613</v>
      </c>
      <c r="E139" s="361" t="s">
        <v>264</v>
      </c>
      <c r="F139" s="361" t="s">
        <v>265</v>
      </c>
      <c r="G139" s="361" t="s">
        <v>266</v>
      </c>
      <c r="H139" s="361" t="s">
        <v>614</v>
      </c>
      <c r="I139" s="361" t="s">
        <v>615</v>
      </c>
      <c r="J139" s="361" t="s">
        <v>268</v>
      </c>
      <c r="K139" s="361" t="s">
        <v>616</v>
      </c>
      <c r="L139" s="361" t="s">
        <v>617</v>
      </c>
      <c r="M139" s="361" t="s">
        <v>271</v>
      </c>
      <c r="N139" s="361" t="s">
        <v>272</v>
      </c>
      <c r="O139" s="362" t="s">
        <v>619</v>
      </c>
      <c r="Q139" s="360" t="s">
        <v>613</v>
      </c>
      <c r="R139" s="361" t="s">
        <v>264</v>
      </c>
      <c r="S139" s="361" t="s">
        <v>265</v>
      </c>
      <c r="T139" s="361" t="s">
        <v>266</v>
      </c>
      <c r="U139" s="361" t="s">
        <v>614</v>
      </c>
      <c r="V139" s="361" t="s">
        <v>615</v>
      </c>
      <c r="W139" s="361" t="s">
        <v>268</v>
      </c>
      <c r="X139" s="361" t="s">
        <v>616</v>
      </c>
      <c r="Y139" s="361" t="s">
        <v>617</v>
      </c>
      <c r="Z139" s="361" t="s">
        <v>271</v>
      </c>
      <c r="AA139" s="361" t="s">
        <v>272</v>
      </c>
      <c r="AB139" s="362" t="s">
        <v>619</v>
      </c>
      <c r="AC139" s="361"/>
      <c r="AE139" s="111" t="s">
        <v>613</v>
      </c>
      <c r="AF139" s="112" t="s">
        <v>264</v>
      </c>
      <c r="AG139" s="112" t="s">
        <v>265</v>
      </c>
      <c r="AH139" s="112" t="s">
        <v>266</v>
      </c>
      <c r="AI139" s="112" t="s">
        <v>614</v>
      </c>
      <c r="AJ139" s="112" t="s">
        <v>615</v>
      </c>
      <c r="AK139" s="112" t="s">
        <v>268</v>
      </c>
      <c r="AL139" s="112" t="s">
        <v>616</v>
      </c>
      <c r="AM139" s="112" t="s">
        <v>617</v>
      </c>
      <c r="AN139" s="112" t="s">
        <v>271</v>
      </c>
      <c r="AO139" s="112" t="s">
        <v>272</v>
      </c>
      <c r="AP139" s="113" t="s">
        <v>619</v>
      </c>
      <c r="AR139" s="111" t="s">
        <v>613</v>
      </c>
      <c r="AS139" s="112" t="s">
        <v>264</v>
      </c>
      <c r="AT139" s="112" t="s">
        <v>265</v>
      </c>
      <c r="AU139" s="112" t="s">
        <v>266</v>
      </c>
      <c r="AV139" s="112" t="s">
        <v>614</v>
      </c>
      <c r="AW139" s="112" t="s">
        <v>615</v>
      </c>
      <c r="AX139" s="112" t="s">
        <v>268</v>
      </c>
      <c r="AY139" s="112" t="s">
        <v>616</v>
      </c>
      <c r="AZ139" s="112" t="s">
        <v>617</v>
      </c>
      <c r="BA139" s="112" t="s">
        <v>271</v>
      </c>
      <c r="BB139" s="112" t="s">
        <v>272</v>
      </c>
      <c r="BC139" s="113" t="s">
        <v>619</v>
      </c>
      <c r="BD139" s="361"/>
      <c r="BF139" s="357" t="s">
        <v>613</v>
      </c>
      <c r="BG139" s="358" t="s">
        <v>264</v>
      </c>
      <c r="BH139" s="358" t="s">
        <v>265</v>
      </c>
      <c r="BI139" s="358" t="s">
        <v>266</v>
      </c>
      <c r="BJ139" s="358" t="s">
        <v>614</v>
      </c>
      <c r="BK139" s="358" t="s">
        <v>615</v>
      </c>
      <c r="BL139" s="358" t="s">
        <v>268</v>
      </c>
      <c r="BM139" s="358" t="s">
        <v>616</v>
      </c>
      <c r="BN139" s="358" t="s">
        <v>617</v>
      </c>
      <c r="BO139" s="358" t="s">
        <v>271</v>
      </c>
      <c r="BP139" s="358" t="s">
        <v>272</v>
      </c>
      <c r="BQ139" s="359" t="s">
        <v>619</v>
      </c>
      <c r="BS139" s="357" t="s">
        <v>613</v>
      </c>
      <c r="BT139" s="358" t="s">
        <v>264</v>
      </c>
      <c r="BU139" s="358" t="s">
        <v>265</v>
      </c>
      <c r="BV139" s="358" t="s">
        <v>266</v>
      </c>
      <c r="BW139" s="358" t="s">
        <v>614</v>
      </c>
      <c r="BX139" s="358" t="s">
        <v>615</v>
      </c>
      <c r="BY139" s="358" t="s">
        <v>268</v>
      </c>
      <c r="BZ139" s="358" t="s">
        <v>616</v>
      </c>
      <c r="CA139" s="358" t="s">
        <v>617</v>
      </c>
      <c r="CB139" s="358" t="s">
        <v>271</v>
      </c>
      <c r="CC139" s="358" t="s">
        <v>272</v>
      </c>
      <c r="CD139" s="359" t="s">
        <v>619</v>
      </c>
      <c r="CE139" s="361"/>
    </row>
    <row r="140" spans="1:85" s="60" customFormat="1">
      <c r="A140" s="137" t="s">
        <v>142</v>
      </c>
      <c r="B140" s="138"/>
      <c r="C140" s="138"/>
      <c r="D140" s="366"/>
      <c r="E140" s="367"/>
      <c r="F140" s="367"/>
      <c r="G140" s="367"/>
      <c r="H140" s="367"/>
      <c r="I140" s="367"/>
      <c r="J140" s="367"/>
      <c r="K140" s="367"/>
      <c r="L140" s="367"/>
      <c r="M140" s="367"/>
      <c r="N140" s="367"/>
      <c r="O140" s="368"/>
      <c r="P140" s="137"/>
      <c r="Q140" s="366"/>
      <c r="R140" s="367"/>
      <c r="S140" s="367"/>
      <c r="T140" s="367"/>
      <c r="U140" s="367"/>
      <c r="V140" s="367"/>
      <c r="W140" s="367"/>
      <c r="X140" s="367"/>
      <c r="Y140" s="367"/>
      <c r="Z140" s="367"/>
      <c r="AA140" s="367"/>
      <c r="AB140" s="368"/>
      <c r="AC140" s="373"/>
      <c r="AD140" s="137"/>
      <c r="AE140" s="139"/>
      <c r="AF140" s="140"/>
      <c r="AG140" s="140"/>
      <c r="AH140" s="140"/>
      <c r="AI140" s="140"/>
      <c r="AJ140" s="140"/>
      <c r="AK140" s="140"/>
      <c r="AL140" s="140"/>
      <c r="AM140" s="140"/>
      <c r="AN140" s="140"/>
      <c r="AO140" s="140"/>
      <c r="AP140" s="141"/>
      <c r="AQ140" s="137"/>
      <c r="AR140" s="139"/>
      <c r="AS140" s="140"/>
      <c r="AT140" s="140"/>
      <c r="AU140" s="140"/>
      <c r="AV140" s="140"/>
      <c r="AW140" s="140"/>
      <c r="AX140" s="140"/>
      <c r="AY140" s="140"/>
      <c r="AZ140" s="140"/>
      <c r="BA140" s="140"/>
      <c r="BB140" s="140"/>
      <c r="BC140" s="141"/>
      <c r="BD140" s="373"/>
      <c r="BE140" s="137"/>
      <c r="BF140" s="363"/>
      <c r="BG140" s="364"/>
      <c r="BH140" s="364"/>
      <c r="BI140" s="364"/>
      <c r="BJ140" s="364"/>
      <c r="BK140" s="364"/>
      <c r="BL140" s="364"/>
      <c r="BM140" s="364"/>
      <c r="BN140" s="364"/>
      <c r="BO140" s="364"/>
      <c r="BP140" s="364"/>
      <c r="BQ140" s="365"/>
      <c r="BR140" s="137"/>
      <c r="BS140" s="363"/>
      <c r="BT140" s="364"/>
      <c r="BU140" s="364"/>
      <c r="BV140" s="364"/>
      <c r="BW140" s="364"/>
      <c r="BX140" s="364"/>
      <c r="BY140" s="364"/>
      <c r="BZ140" s="364"/>
      <c r="CA140" s="364"/>
      <c r="CB140" s="364"/>
      <c r="CC140" s="364"/>
      <c r="CD140" s="365"/>
      <c r="CE140" s="373"/>
      <c r="CF140" s="137"/>
      <c r="CG140" s="137"/>
    </row>
    <row r="141" spans="1:85">
      <c r="A141" s="142" t="s">
        <v>626</v>
      </c>
      <c r="B141" s="36">
        <v>15776.535</v>
      </c>
      <c r="C141" s="36"/>
      <c r="D141" s="36">
        <v>0</v>
      </c>
      <c r="E141" s="36">
        <v>0</v>
      </c>
      <c r="F141" s="36">
        <v>0</v>
      </c>
      <c r="G141" s="36">
        <v>0</v>
      </c>
      <c r="H141" s="36">
        <v>0</v>
      </c>
      <c r="I141" s="36">
        <v>0</v>
      </c>
      <c r="J141" s="36">
        <v>0</v>
      </c>
      <c r="K141" s="36">
        <v>0</v>
      </c>
      <c r="L141" s="36">
        <v>0</v>
      </c>
      <c r="M141" s="36">
        <v>0</v>
      </c>
      <c r="N141" s="36">
        <v>0</v>
      </c>
      <c r="O141" s="36">
        <v>15776.535</v>
      </c>
      <c r="P141" s="36">
        <v>0</v>
      </c>
      <c r="Q141" s="36">
        <v>8095.7597500623733</v>
      </c>
      <c r="R141" s="36">
        <v>0</v>
      </c>
      <c r="S141" s="36">
        <v>0</v>
      </c>
      <c r="T141" s="36">
        <v>0</v>
      </c>
      <c r="U141" s="36">
        <v>337.42451657214377</v>
      </c>
      <c r="V141" s="36">
        <v>0</v>
      </c>
      <c r="W141" s="36">
        <v>0</v>
      </c>
      <c r="X141" s="36">
        <v>0</v>
      </c>
      <c r="Y141" s="36">
        <v>1421.8801324250885</v>
      </c>
      <c r="Z141" s="36">
        <v>0</v>
      </c>
      <c r="AA141" s="36">
        <v>0</v>
      </c>
      <c r="AB141" s="36">
        <v>15776.535</v>
      </c>
      <c r="AC141" s="36"/>
      <c r="AD141" s="36">
        <v>0</v>
      </c>
      <c r="AE141" s="36">
        <v>7411.2485847612816</v>
      </c>
      <c r="AF141" s="36">
        <v>0</v>
      </c>
      <c r="AG141" s="36">
        <v>0</v>
      </c>
      <c r="AH141" s="36">
        <v>0</v>
      </c>
      <c r="AI141" s="36">
        <v>0</v>
      </c>
      <c r="AJ141" s="36">
        <v>0</v>
      </c>
      <c r="AK141" s="36">
        <v>0</v>
      </c>
      <c r="AL141" s="36">
        <v>0</v>
      </c>
      <c r="AM141" s="36">
        <v>0</v>
      </c>
      <c r="AN141" s="36">
        <v>0</v>
      </c>
      <c r="AO141" s="36">
        <v>0</v>
      </c>
      <c r="AP141" s="36">
        <v>15776.535</v>
      </c>
      <c r="AQ141" s="36">
        <v>0</v>
      </c>
      <c r="AR141" s="36">
        <v>11812.221333416499</v>
      </c>
      <c r="AS141" s="36">
        <v>0</v>
      </c>
      <c r="AT141" s="36">
        <v>0</v>
      </c>
      <c r="AU141" s="36">
        <v>0</v>
      </c>
      <c r="AV141" s="36">
        <v>823.61958363021472</v>
      </c>
      <c r="AW141" s="36">
        <v>0</v>
      </c>
      <c r="AX141" s="36">
        <v>0</v>
      </c>
      <c r="AY141" s="36">
        <v>0</v>
      </c>
      <c r="AZ141" s="36">
        <v>2474.4933936133384</v>
      </c>
      <c r="BA141" s="36">
        <v>0</v>
      </c>
      <c r="BB141" s="36">
        <v>0</v>
      </c>
      <c r="BC141" s="36">
        <v>15776.535</v>
      </c>
      <c r="BD141" s="36"/>
      <c r="BE141" s="36">
        <v>0</v>
      </c>
      <c r="BF141" s="36">
        <v>33852.281724717643</v>
      </c>
      <c r="BG141" s="36">
        <v>5570.7509358619209</v>
      </c>
      <c r="BH141" s="36">
        <v>0</v>
      </c>
      <c r="BI141" s="36">
        <v>0</v>
      </c>
      <c r="BJ141" s="36">
        <v>0</v>
      </c>
      <c r="BK141" s="36">
        <v>0</v>
      </c>
      <c r="BL141" s="36">
        <v>0</v>
      </c>
      <c r="BM141" s="36">
        <v>0</v>
      </c>
      <c r="BN141" s="36">
        <v>0</v>
      </c>
      <c r="BO141" s="36">
        <v>0</v>
      </c>
      <c r="BP141" s="36">
        <v>0</v>
      </c>
      <c r="BQ141" s="36">
        <v>15776.535</v>
      </c>
      <c r="BR141" s="36">
        <v>0</v>
      </c>
      <c r="BS141" s="36">
        <v>28031.536581636326</v>
      </c>
      <c r="BT141" s="36">
        <v>0</v>
      </c>
      <c r="BU141" s="36">
        <v>0</v>
      </c>
      <c r="BV141" s="36">
        <v>0</v>
      </c>
      <c r="BW141" s="36">
        <v>823.61958363021472</v>
      </c>
      <c r="BX141" s="36">
        <v>2738.3553859810745</v>
      </c>
      <c r="BY141" s="36">
        <v>0</v>
      </c>
      <c r="BZ141" s="36">
        <v>3984.8125911977609</v>
      </c>
      <c r="CA141" s="36">
        <v>3443.3933936780568</v>
      </c>
      <c r="CB141" s="36">
        <v>0</v>
      </c>
      <c r="CC141" s="36">
        <v>0</v>
      </c>
      <c r="CD141" s="36">
        <v>15776.535</v>
      </c>
      <c r="CE141" s="36"/>
      <c r="CF141" s="36">
        <v>0</v>
      </c>
      <c r="CG141" s="36">
        <v>0</v>
      </c>
    </row>
    <row r="142" spans="1:85">
      <c r="A142" s="143" t="s">
        <v>627</v>
      </c>
      <c r="B142" s="36">
        <v>48995.75</v>
      </c>
      <c r="C142" s="36"/>
      <c r="D142" s="36">
        <v>0</v>
      </c>
      <c r="E142" s="36">
        <v>0</v>
      </c>
      <c r="F142" s="36">
        <v>0</v>
      </c>
      <c r="G142" s="36">
        <v>0</v>
      </c>
      <c r="H142" s="36">
        <v>0</v>
      </c>
      <c r="I142" s="36">
        <v>0</v>
      </c>
      <c r="J142" s="36">
        <v>0</v>
      </c>
      <c r="K142" s="36">
        <v>0</v>
      </c>
      <c r="L142" s="36">
        <v>0</v>
      </c>
      <c r="M142" s="36">
        <v>0</v>
      </c>
      <c r="N142" s="36">
        <v>0</v>
      </c>
      <c r="O142" s="36">
        <v>48995.75</v>
      </c>
      <c r="P142" s="36">
        <v>0</v>
      </c>
      <c r="Q142" s="36">
        <v>0</v>
      </c>
      <c r="R142" s="36">
        <v>0</v>
      </c>
      <c r="S142" s="36">
        <v>0</v>
      </c>
      <c r="T142" s="36">
        <v>0</v>
      </c>
      <c r="U142" s="36">
        <v>61.230898519163951</v>
      </c>
      <c r="V142" s="36">
        <v>0</v>
      </c>
      <c r="W142" s="36">
        <v>0</v>
      </c>
      <c r="X142" s="36">
        <v>0</v>
      </c>
      <c r="Y142" s="36">
        <v>7161.6571372057942</v>
      </c>
      <c r="Z142" s="36">
        <v>0</v>
      </c>
      <c r="AA142" s="36">
        <v>0</v>
      </c>
      <c r="AB142" s="36">
        <v>48995.75</v>
      </c>
      <c r="AC142" s="36"/>
      <c r="AD142" s="36">
        <v>0</v>
      </c>
      <c r="AE142" s="36">
        <v>0</v>
      </c>
      <c r="AF142" s="36">
        <v>3211.6075632826091</v>
      </c>
      <c r="AG142" s="36">
        <v>0</v>
      </c>
      <c r="AH142" s="36">
        <v>0</v>
      </c>
      <c r="AI142" s="36">
        <v>0</v>
      </c>
      <c r="AJ142" s="36">
        <v>0</v>
      </c>
      <c r="AK142" s="36">
        <v>0</v>
      </c>
      <c r="AL142" s="36">
        <v>0</v>
      </c>
      <c r="AM142" s="36">
        <v>0</v>
      </c>
      <c r="AN142" s="36">
        <v>0</v>
      </c>
      <c r="AO142" s="36">
        <v>0</v>
      </c>
      <c r="AP142" s="36">
        <v>48995.75</v>
      </c>
      <c r="AQ142" s="36">
        <v>0</v>
      </c>
      <c r="AR142" s="36">
        <v>0</v>
      </c>
      <c r="AS142" s="36">
        <v>0</v>
      </c>
      <c r="AT142" s="36">
        <v>0</v>
      </c>
      <c r="AU142" s="36">
        <v>0</v>
      </c>
      <c r="AV142" s="36">
        <v>274.53986121007159</v>
      </c>
      <c r="AW142" s="36">
        <v>0</v>
      </c>
      <c r="AX142" s="36">
        <v>0</v>
      </c>
      <c r="AY142" s="36">
        <v>0</v>
      </c>
      <c r="AZ142" s="36">
        <v>11173.824186423208</v>
      </c>
      <c r="BA142" s="36">
        <v>0</v>
      </c>
      <c r="BB142" s="36">
        <v>0</v>
      </c>
      <c r="BC142" s="36">
        <v>48995.75</v>
      </c>
      <c r="BD142" s="36"/>
      <c r="BE142" s="36">
        <v>0</v>
      </c>
      <c r="BF142" s="36">
        <v>0</v>
      </c>
      <c r="BG142" s="36">
        <v>22794.928735408725</v>
      </c>
      <c r="BH142" s="36">
        <v>0</v>
      </c>
      <c r="BI142" s="36">
        <v>0</v>
      </c>
      <c r="BJ142" s="36">
        <v>0</v>
      </c>
      <c r="BK142" s="36">
        <v>0</v>
      </c>
      <c r="BL142" s="36">
        <v>0</v>
      </c>
      <c r="BM142" s="36">
        <v>0</v>
      </c>
      <c r="BN142" s="36">
        <v>0</v>
      </c>
      <c r="BO142" s="36">
        <v>0</v>
      </c>
      <c r="BP142" s="36">
        <v>0</v>
      </c>
      <c r="BQ142" s="36">
        <v>48995.75</v>
      </c>
      <c r="BR142" s="36">
        <v>0</v>
      </c>
      <c r="BS142" s="36">
        <v>0</v>
      </c>
      <c r="BT142" s="36">
        <v>0</v>
      </c>
      <c r="BU142" s="36">
        <v>0</v>
      </c>
      <c r="BV142" s="36">
        <v>0</v>
      </c>
      <c r="BW142" s="36">
        <v>549.07972242014318</v>
      </c>
      <c r="BX142" s="36">
        <v>26661.16316122004</v>
      </c>
      <c r="BY142" s="36">
        <v>0</v>
      </c>
      <c r="BZ142" s="36">
        <v>5793.1419770708771</v>
      </c>
      <c r="CA142" s="36">
        <v>5906.9115840316017</v>
      </c>
      <c r="CB142" s="36">
        <v>0</v>
      </c>
      <c r="CC142" s="36">
        <v>0</v>
      </c>
      <c r="CD142" s="36">
        <v>48995.75</v>
      </c>
      <c r="CE142" s="36"/>
      <c r="CF142" s="36">
        <v>0</v>
      </c>
      <c r="CG142" s="36">
        <v>0</v>
      </c>
    </row>
    <row r="143" spans="1:85">
      <c r="A143" s="143" t="s">
        <v>628</v>
      </c>
      <c r="B143" s="36">
        <v>4035.49</v>
      </c>
      <c r="C143" s="36"/>
      <c r="D143" s="36">
        <v>0</v>
      </c>
      <c r="E143" s="36">
        <v>0</v>
      </c>
      <c r="F143" s="36">
        <v>0</v>
      </c>
      <c r="G143" s="36">
        <v>0</v>
      </c>
      <c r="H143" s="36">
        <v>0</v>
      </c>
      <c r="I143" s="36">
        <v>0</v>
      </c>
      <c r="J143" s="36">
        <v>0</v>
      </c>
      <c r="K143" s="36">
        <v>0</v>
      </c>
      <c r="L143" s="36">
        <v>0</v>
      </c>
      <c r="M143" s="36">
        <v>0</v>
      </c>
      <c r="N143" s="36">
        <v>0</v>
      </c>
      <c r="O143" s="36">
        <v>4035.49</v>
      </c>
      <c r="P143" s="36">
        <v>0</v>
      </c>
      <c r="Q143" s="36">
        <v>5576.774838055896</v>
      </c>
      <c r="R143" s="36">
        <v>0</v>
      </c>
      <c r="S143" s="36">
        <v>0</v>
      </c>
      <c r="T143" s="36">
        <v>0</v>
      </c>
      <c r="U143" s="36">
        <v>0</v>
      </c>
      <c r="V143" s="36">
        <v>0</v>
      </c>
      <c r="W143" s="36">
        <v>0</v>
      </c>
      <c r="X143" s="36">
        <v>0</v>
      </c>
      <c r="Y143" s="36">
        <v>0</v>
      </c>
      <c r="Z143" s="36">
        <v>0</v>
      </c>
      <c r="AA143" s="36">
        <v>0</v>
      </c>
      <c r="AB143" s="36">
        <v>4035.49</v>
      </c>
      <c r="AC143" s="36"/>
      <c r="AD143" s="36">
        <v>0</v>
      </c>
      <c r="AE143" s="36">
        <v>17768.822160917571</v>
      </c>
      <c r="AF143" s="36">
        <v>0</v>
      </c>
      <c r="AG143" s="36">
        <v>0</v>
      </c>
      <c r="AH143" s="36">
        <v>0</v>
      </c>
      <c r="AI143" s="36">
        <v>0</v>
      </c>
      <c r="AJ143" s="36">
        <v>0</v>
      </c>
      <c r="AK143" s="36">
        <v>0</v>
      </c>
      <c r="AL143" s="36">
        <v>0</v>
      </c>
      <c r="AM143" s="36">
        <v>0</v>
      </c>
      <c r="AN143" s="36">
        <v>0</v>
      </c>
      <c r="AO143" s="36">
        <v>0</v>
      </c>
      <c r="AP143" s="36">
        <v>4035.49</v>
      </c>
      <c r="AQ143" s="36">
        <v>0</v>
      </c>
      <c r="AR143" s="36">
        <v>8199.579784074529</v>
      </c>
      <c r="AS143" s="36">
        <v>0</v>
      </c>
      <c r="AT143" s="36">
        <v>0</v>
      </c>
      <c r="AU143" s="36">
        <v>0</v>
      </c>
      <c r="AV143" s="36">
        <v>0</v>
      </c>
      <c r="AW143" s="36">
        <v>0</v>
      </c>
      <c r="AX143" s="36">
        <v>0</v>
      </c>
      <c r="AY143" s="36">
        <v>0</v>
      </c>
      <c r="AZ143" s="36">
        <v>0</v>
      </c>
      <c r="BA143" s="36">
        <v>0</v>
      </c>
      <c r="BB143" s="36">
        <v>0</v>
      </c>
      <c r="BC143" s="36">
        <v>4035.49</v>
      </c>
      <c r="BD143" s="36"/>
      <c r="BE143" s="36">
        <v>0</v>
      </c>
      <c r="BF143" s="36">
        <v>31710.963509126945</v>
      </c>
      <c r="BG143" s="36">
        <v>3059.1604063540972</v>
      </c>
      <c r="BH143" s="36">
        <v>0</v>
      </c>
      <c r="BI143" s="36">
        <v>0</v>
      </c>
      <c r="BJ143" s="36">
        <v>0</v>
      </c>
      <c r="BK143" s="36">
        <v>0</v>
      </c>
      <c r="BL143" s="36">
        <v>0</v>
      </c>
      <c r="BM143" s="36">
        <v>0</v>
      </c>
      <c r="BN143" s="36">
        <v>0</v>
      </c>
      <c r="BO143" s="36">
        <v>0</v>
      </c>
      <c r="BP143" s="36">
        <v>0</v>
      </c>
      <c r="BQ143" s="36">
        <v>4035.49</v>
      </c>
      <c r="BR143" s="36">
        <v>0</v>
      </c>
      <c r="BS143" s="36">
        <v>18690.799568149057</v>
      </c>
      <c r="BT143" s="36">
        <v>0</v>
      </c>
      <c r="BU143" s="36">
        <v>0</v>
      </c>
      <c r="BV143" s="36">
        <v>0</v>
      </c>
      <c r="BW143" s="36">
        <v>0</v>
      </c>
      <c r="BX143" s="36">
        <v>0</v>
      </c>
      <c r="BY143" s="36">
        <v>0</v>
      </c>
      <c r="BZ143" s="36">
        <v>0</v>
      </c>
      <c r="CA143" s="36">
        <v>0</v>
      </c>
      <c r="CB143" s="36">
        <v>0</v>
      </c>
      <c r="CC143" s="36">
        <v>0</v>
      </c>
      <c r="CD143" s="36">
        <v>4035.49</v>
      </c>
      <c r="CE143" s="36"/>
      <c r="CF143" s="36">
        <v>0</v>
      </c>
      <c r="CG143" s="36">
        <v>0</v>
      </c>
    </row>
    <row r="144" spans="1:85">
      <c r="A144" s="143" t="s">
        <v>629</v>
      </c>
      <c r="B144" s="36">
        <v>17164.395</v>
      </c>
      <c r="C144" s="36"/>
      <c r="D144" s="36">
        <v>7596.4980172698406</v>
      </c>
      <c r="E144" s="36">
        <v>0</v>
      </c>
      <c r="F144" s="36">
        <v>0</v>
      </c>
      <c r="G144" s="36">
        <v>0</v>
      </c>
      <c r="H144" s="36">
        <v>0</v>
      </c>
      <c r="I144" s="36">
        <v>0</v>
      </c>
      <c r="J144" s="36">
        <v>0</v>
      </c>
      <c r="K144" s="36">
        <v>0</v>
      </c>
      <c r="L144" s="36">
        <v>0</v>
      </c>
      <c r="M144" s="36">
        <v>0</v>
      </c>
      <c r="N144" s="36">
        <v>0</v>
      </c>
      <c r="O144" s="36">
        <v>17164.395</v>
      </c>
      <c r="P144" s="36">
        <v>0</v>
      </c>
      <c r="Q144" s="36">
        <v>13008.829039786766</v>
      </c>
      <c r="R144" s="36">
        <v>0</v>
      </c>
      <c r="S144" s="36">
        <v>5330.0629077795411</v>
      </c>
      <c r="T144" s="36">
        <v>0</v>
      </c>
      <c r="U144" s="36">
        <v>2451.068890706576</v>
      </c>
      <c r="V144" s="36">
        <v>0</v>
      </c>
      <c r="W144" s="36">
        <v>0</v>
      </c>
      <c r="X144" s="36">
        <v>0</v>
      </c>
      <c r="Y144" s="36">
        <v>5964.335872754591</v>
      </c>
      <c r="Z144" s="36">
        <v>0</v>
      </c>
      <c r="AA144" s="36">
        <v>0</v>
      </c>
      <c r="AB144" s="36">
        <v>17164.395</v>
      </c>
      <c r="AC144" s="36"/>
      <c r="AD144" s="36">
        <v>0</v>
      </c>
      <c r="AE144" s="36">
        <v>43917.390765060081</v>
      </c>
      <c r="AF144" s="36">
        <v>5178.6837841924407</v>
      </c>
      <c r="AG144" s="36">
        <v>9861.6994516401774</v>
      </c>
      <c r="AH144" s="36">
        <v>0</v>
      </c>
      <c r="AI144" s="36">
        <v>0</v>
      </c>
      <c r="AJ144" s="36">
        <v>0</v>
      </c>
      <c r="AK144" s="36">
        <v>0</v>
      </c>
      <c r="AL144" s="36">
        <v>0</v>
      </c>
      <c r="AM144" s="36">
        <v>0</v>
      </c>
      <c r="AN144" s="36">
        <v>0</v>
      </c>
      <c r="AO144" s="36">
        <v>0</v>
      </c>
      <c r="AP144" s="36">
        <v>17164.395</v>
      </c>
      <c r="AQ144" s="36">
        <v>0</v>
      </c>
      <c r="AR144" s="36">
        <v>21121.070386382358</v>
      </c>
      <c r="AS144" s="36">
        <v>0</v>
      </c>
      <c r="AT144" s="36">
        <v>8176.192210372722</v>
      </c>
      <c r="AU144" s="36">
        <v>0</v>
      </c>
      <c r="AV144" s="36">
        <v>3068.1958349136803</v>
      </c>
      <c r="AW144" s="36">
        <v>0</v>
      </c>
      <c r="AX144" s="36">
        <v>364.22935269508775</v>
      </c>
      <c r="AY144" s="36">
        <v>0</v>
      </c>
      <c r="AZ144" s="36">
        <v>8664.1728303394593</v>
      </c>
      <c r="BA144" s="36">
        <v>0</v>
      </c>
      <c r="BB144" s="36">
        <v>0</v>
      </c>
      <c r="BC144" s="36">
        <v>17164.395</v>
      </c>
      <c r="BD144" s="36"/>
      <c r="BE144" s="36">
        <v>0</v>
      </c>
      <c r="BF144" s="36">
        <v>36992.700405145821</v>
      </c>
      <c r="BG144" s="36">
        <v>39217.767380692472</v>
      </c>
      <c r="BH144" s="36">
        <v>27137.225024743351</v>
      </c>
      <c r="BI144" s="36">
        <v>0</v>
      </c>
      <c r="BJ144" s="36">
        <v>137.2699306050358</v>
      </c>
      <c r="BK144" s="36">
        <v>0</v>
      </c>
      <c r="BL144" s="36">
        <v>0</v>
      </c>
      <c r="BM144" s="36">
        <v>0</v>
      </c>
      <c r="BN144" s="36">
        <v>0</v>
      </c>
      <c r="BO144" s="36">
        <v>0</v>
      </c>
      <c r="BP144" s="36">
        <v>8193.0196587636019</v>
      </c>
      <c r="BQ144" s="36">
        <v>17164.395</v>
      </c>
      <c r="BR144" s="36">
        <v>0</v>
      </c>
      <c r="BS144" s="36">
        <v>49206.741513333349</v>
      </c>
      <c r="BT144" s="36">
        <v>0</v>
      </c>
      <c r="BU144" s="36">
        <v>19415.573942674448</v>
      </c>
      <c r="BV144" s="36">
        <v>0</v>
      </c>
      <c r="BW144" s="36">
        <v>3936.0836677310035</v>
      </c>
      <c r="BX144" s="36">
        <v>15488.107407953636</v>
      </c>
      <c r="BY144" s="36">
        <v>10397.739282372146</v>
      </c>
      <c r="BZ144" s="36">
        <v>7.8655474659599633</v>
      </c>
      <c r="CA144" s="36">
        <v>15982.476819229094</v>
      </c>
      <c r="CB144" s="36">
        <v>0</v>
      </c>
      <c r="CC144" s="36">
        <v>0</v>
      </c>
      <c r="CD144" s="36">
        <v>17164.395</v>
      </c>
      <c r="CE144" s="36"/>
      <c r="CF144" s="36">
        <v>0</v>
      </c>
      <c r="CG144" s="36">
        <v>0</v>
      </c>
    </row>
    <row r="145" spans="1:85">
      <c r="A145" s="143" t="s">
        <v>630</v>
      </c>
      <c r="B145" s="36">
        <v>1424.63</v>
      </c>
      <c r="C145" s="36"/>
      <c r="D145" s="36">
        <v>0</v>
      </c>
      <c r="E145" s="36">
        <v>0</v>
      </c>
      <c r="F145" s="36">
        <v>0</v>
      </c>
      <c r="G145" s="36">
        <v>0</v>
      </c>
      <c r="H145" s="36">
        <v>0</v>
      </c>
      <c r="I145" s="36">
        <v>0</v>
      </c>
      <c r="J145" s="36">
        <v>0</v>
      </c>
      <c r="K145" s="36">
        <v>0</v>
      </c>
      <c r="L145" s="36">
        <v>0</v>
      </c>
      <c r="M145" s="36">
        <v>0</v>
      </c>
      <c r="N145" s="36">
        <v>0</v>
      </c>
      <c r="O145" s="36">
        <v>1424.63</v>
      </c>
      <c r="P145" s="36">
        <v>0</v>
      </c>
      <c r="Q145" s="36">
        <v>0</v>
      </c>
      <c r="R145" s="36">
        <v>0</v>
      </c>
      <c r="S145" s="36">
        <v>0</v>
      </c>
      <c r="T145" s="36">
        <v>0</v>
      </c>
      <c r="U145" s="36">
        <v>823.61958363021483</v>
      </c>
      <c r="V145" s="36">
        <v>0</v>
      </c>
      <c r="W145" s="36">
        <v>0</v>
      </c>
      <c r="X145" s="36">
        <v>0</v>
      </c>
      <c r="Y145" s="36">
        <v>8762.3940440437382</v>
      </c>
      <c r="Z145" s="36">
        <v>0</v>
      </c>
      <c r="AA145" s="36">
        <v>0</v>
      </c>
      <c r="AB145" s="36">
        <v>1424.63</v>
      </c>
      <c r="AC145" s="36"/>
      <c r="AD145" s="36">
        <v>0</v>
      </c>
      <c r="AE145" s="36">
        <v>0</v>
      </c>
      <c r="AF145" s="36">
        <v>3529.0632451190399</v>
      </c>
      <c r="AG145" s="36">
        <v>0</v>
      </c>
      <c r="AH145" s="36">
        <v>0</v>
      </c>
      <c r="AI145" s="36">
        <v>0</v>
      </c>
      <c r="AJ145" s="36">
        <v>0</v>
      </c>
      <c r="AK145" s="36">
        <v>0</v>
      </c>
      <c r="AL145" s="36">
        <v>0</v>
      </c>
      <c r="AM145" s="36">
        <v>0</v>
      </c>
      <c r="AN145" s="36">
        <v>0</v>
      </c>
      <c r="AO145" s="36">
        <v>0</v>
      </c>
      <c r="AP145" s="36">
        <v>1424.63</v>
      </c>
      <c r="AQ145" s="36">
        <v>0</v>
      </c>
      <c r="AR145" s="36">
        <v>0</v>
      </c>
      <c r="AS145" s="36">
        <v>0</v>
      </c>
      <c r="AT145" s="36">
        <v>0</v>
      </c>
      <c r="AU145" s="36">
        <v>0</v>
      </c>
      <c r="AV145" s="36">
        <v>823.61958363021483</v>
      </c>
      <c r="AW145" s="36">
        <v>0</v>
      </c>
      <c r="AX145" s="36">
        <v>0</v>
      </c>
      <c r="AY145" s="36">
        <v>0</v>
      </c>
      <c r="AZ145" s="36">
        <v>12432.608586601724</v>
      </c>
      <c r="BA145" s="36">
        <v>0</v>
      </c>
      <c r="BB145" s="36">
        <v>0</v>
      </c>
      <c r="BC145" s="36">
        <v>1424.63</v>
      </c>
      <c r="BD145" s="36"/>
      <c r="BE145" s="36">
        <v>0</v>
      </c>
      <c r="BF145" s="36">
        <v>0</v>
      </c>
      <c r="BG145" s="36">
        <v>14680.858170231937</v>
      </c>
      <c r="BH145" s="36">
        <v>0</v>
      </c>
      <c r="BI145" s="36">
        <v>0</v>
      </c>
      <c r="BJ145" s="36">
        <v>0</v>
      </c>
      <c r="BK145" s="36">
        <v>0</v>
      </c>
      <c r="BL145" s="36">
        <v>0</v>
      </c>
      <c r="BM145" s="36">
        <v>0</v>
      </c>
      <c r="BN145" s="36">
        <v>0</v>
      </c>
      <c r="BO145" s="36">
        <v>0</v>
      </c>
      <c r="BP145" s="36">
        <v>0</v>
      </c>
      <c r="BQ145" s="36">
        <v>1424.63</v>
      </c>
      <c r="BR145" s="36">
        <v>0</v>
      </c>
      <c r="BS145" s="36">
        <v>0</v>
      </c>
      <c r="BT145" s="36">
        <v>0</v>
      </c>
      <c r="BU145" s="36">
        <v>0</v>
      </c>
      <c r="BV145" s="36">
        <v>0</v>
      </c>
      <c r="BW145" s="36">
        <v>823.61958363021483</v>
      </c>
      <c r="BX145" s="36">
        <v>9063.4453785947844</v>
      </c>
      <c r="BY145" s="36">
        <v>0</v>
      </c>
      <c r="BZ145" s="36">
        <v>4531.5573288463302</v>
      </c>
      <c r="CA145" s="36">
        <v>13518.464049392544</v>
      </c>
      <c r="CB145" s="36">
        <v>0</v>
      </c>
      <c r="CC145" s="36">
        <v>0</v>
      </c>
      <c r="CD145" s="36">
        <v>1424.63</v>
      </c>
      <c r="CE145" s="36"/>
      <c r="CF145" s="36">
        <v>0</v>
      </c>
      <c r="CG145" s="36">
        <v>0</v>
      </c>
    </row>
    <row r="146" spans="1:85">
      <c r="A146" s="143" t="s">
        <v>631</v>
      </c>
      <c r="B146" s="36">
        <v>59758.875</v>
      </c>
      <c r="C146" s="36"/>
      <c r="D146" s="36">
        <v>3367.2038400000001</v>
      </c>
      <c r="E146" s="36">
        <v>0</v>
      </c>
      <c r="F146" s="36">
        <v>0</v>
      </c>
      <c r="G146" s="36">
        <v>0</v>
      </c>
      <c r="H146" s="36">
        <v>0</v>
      </c>
      <c r="I146" s="36">
        <v>0</v>
      </c>
      <c r="J146" s="36">
        <v>0</v>
      </c>
      <c r="K146" s="36">
        <v>0</v>
      </c>
      <c r="L146" s="36">
        <v>0</v>
      </c>
      <c r="M146" s="36">
        <v>0</v>
      </c>
      <c r="N146" s="36">
        <v>53513.892240563575</v>
      </c>
      <c r="O146" s="36">
        <v>59758.875</v>
      </c>
      <c r="P146" s="36">
        <v>0</v>
      </c>
      <c r="Q146" s="36">
        <v>3367.2038400000001</v>
      </c>
      <c r="R146" s="36">
        <v>0</v>
      </c>
      <c r="S146" s="36">
        <v>11935.791681937759</v>
      </c>
      <c r="T146" s="36">
        <v>0</v>
      </c>
      <c r="U146" s="36">
        <v>2059.0489590755369</v>
      </c>
      <c r="V146" s="36">
        <v>10153.073959773341</v>
      </c>
      <c r="W146" s="36">
        <v>48279.940687389739</v>
      </c>
      <c r="X146" s="36">
        <v>0</v>
      </c>
      <c r="Y146" s="36">
        <v>48657.617064644357</v>
      </c>
      <c r="Z146" s="36">
        <v>0</v>
      </c>
      <c r="AA146" s="36">
        <v>0</v>
      </c>
      <c r="AB146" s="36">
        <v>59758.875</v>
      </c>
      <c r="AC146" s="36"/>
      <c r="AD146" s="36">
        <v>0</v>
      </c>
      <c r="AE146" s="36">
        <v>3367.2038400000001</v>
      </c>
      <c r="AF146" s="36">
        <v>29399.964091731697</v>
      </c>
      <c r="AG146" s="36">
        <v>16948.78542918972</v>
      </c>
      <c r="AH146" s="36">
        <v>0</v>
      </c>
      <c r="AI146" s="36">
        <v>11086.810416006991</v>
      </c>
      <c r="AJ146" s="36">
        <v>0</v>
      </c>
      <c r="AK146" s="36">
        <v>0</v>
      </c>
      <c r="AL146" s="36">
        <v>0</v>
      </c>
      <c r="AM146" s="36">
        <v>0</v>
      </c>
      <c r="AN146" s="36">
        <v>0</v>
      </c>
      <c r="AO146" s="36">
        <v>111000.33177177155</v>
      </c>
      <c r="AP146" s="36">
        <v>59758.875</v>
      </c>
      <c r="AQ146" s="36">
        <v>0</v>
      </c>
      <c r="AR146" s="36">
        <v>3367.2038400000001</v>
      </c>
      <c r="AS146" s="36">
        <v>0</v>
      </c>
      <c r="AT146" s="36">
        <v>16948.78542918972</v>
      </c>
      <c r="AU146" s="36">
        <v>0</v>
      </c>
      <c r="AV146" s="36">
        <v>11773.16006903217</v>
      </c>
      <c r="AW146" s="36">
        <v>19187.434381274255</v>
      </c>
      <c r="AX146" s="36">
        <v>72412.748524628129</v>
      </c>
      <c r="AY146" s="36">
        <v>4798.9243419585355</v>
      </c>
      <c r="AZ146" s="36">
        <v>140681.50630501751</v>
      </c>
      <c r="BA146" s="36">
        <v>0</v>
      </c>
      <c r="BB146" s="36">
        <v>0</v>
      </c>
      <c r="BC146" s="36">
        <v>59758.875</v>
      </c>
      <c r="BD146" s="36"/>
      <c r="BE146" s="36">
        <v>0</v>
      </c>
      <c r="BF146" s="36">
        <v>3367.2038400000001</v>
      </c>
      <c r="BG146" s="36">
        <v>70606.989612961916</v>
      </c>
      <c r="BH146" s="36">
        <v>16948.78542918972</v>
      </c>
      <c r="BI146" s="36">
        <v>0</v>
      </c>
      <c r="BJ146" s="36">
        <v>11498.620207822098</v>
      </c>
      <c r="BK146" s="36">
        <v>0</v>
      </c>
      <c r="BL146" s="36">
        <v>0</v>
      </c>
      <c r="BM146" s="36">
        <v>0</v>
      </c>
      <c r="BN146" s="36">
        <v>0</v>
      </c>
      <c r="BO146" s="36">
        <v>0</v>
      </c>
      <c r="BP146" s="36">
        <v>222878.36705603517</v>
      </c>
      <c r="BQ146" s="36">
        <v>59758.875</v>
      </c>
      <c r="BR146" s="36">
        <v>0</v>
      </c>
      <c r="BS146" s="36">
        <v>3367.2038400000001</v>
      </c>
      <c r="BT146" s="36">
        <v>0</v>
      </c>
      <c r="BU146" s="36">
        <v>16948.78542918972</v>
      </c>
      <c r="BV146" s="36">
        <v>0</v>
      </c>
      <c r="BW146" s="36">
        <v>12047.699930242243</v>
      </c>
      <c r="BX146" s="36">
        <v>146168.86409101484</v>
      </c>
      <c r="BY146" s="36">
        <v>143323.67276345636</v>
      </c>
      <c r="BZ146" s="36">
        <v>77233.391507831198</v>
      </c>
      <c r="CA146" s="36">
        <v>164681.4345813859</v>
      </c>
      <c r="CB146" s="36">
        <v>2525.4961865863283</v>
      </c>
      <c r="CC146" s="36">
        <v>0</v>
      </c>
      <c r="CD146" s="36">
        <v>59758.875</v>
      </c>
      <c r="CE146" s="36"/>
      <c r="CF146" s="36">
        <v>0</v>
      </c>
      <c r="CG146" s="36">
        <v>0</v>
      </c>
    </row>
    <row r="147" spans="1:85">
      <c r="A147" s="143" t="s">
        <v>632</v>
      </c>
      <c r="B147" s="36">
        <v>9445.6650000000009</v>
      </c>
      <c r="C147" s="36"/>
      <c r="D147" s="36">
        <v>765.2736000000001</v>
      </c>
      <c r="E147" s="36">
        <v>0</v>
      </c>
      <c r="F147" s="36">
        <v>0</v>
      </c>
      <c r="G147" s="36">
        <v>0</v>
      </c>
      <c r="H147" s="36">
        <v>0</v>
      </c>
      <c r="I147" s="36">
        <v>0</v>
      </c>
      <c r="J147" s="36">
        <v>0</v>
      </c>
      <c r="K147" s="36">
        <v>0</v>
      </c>
      <c r="L147" s="36">
        <v>0</v>
      </c>
      <c r="M147" s="36">
        <v>0</v>
      </c>
      <c r="N147" s="36">
        <v>54803.514624861622</v>
      </c>
      <c r="O147" s="36">
        <v>9445.6650000000009</v>
      </c>
      <c r="P147" s="36">
        <v>0</v>
      </c>
      <c r="Q147" s="36">
        <v>765.2736000000001</v>
      </c>
      <c r="R147" s="36">
        <v>0</v>
      </c>
      <c r="S147" s="36">
        <v>17260.692445003217</v>
      </c>
      <c r="T147" s="36">
        <v>0</v>
      </c>
      <c r="U147" s="36">
        <v>15114.412274696082</v>
      </c>
      <c r="V147" s="36">
        <v>29971.207541070613</v>
      </c>
      <c r="W147" s="36">
        <v>0</v>
      </c>
      <c r="X147" s="36">
        <v>6656.8115396828025</v>
      </c>
      <c r="Y147" s="36">
        <v>30000</v>
      </c>
      <c r="Z147" s="36">
        <v>392.96684927052473</v>
      </c>
      <c r="AA147" s="36">
        <v>0</v>
      </c>
      <c r="AB147" s="36">
        <v>9445.6650000000009</v>
      </c>
      <c r="AC147" s="36"/>
      <c r="AD147" s="36">
        <v>0</v>
      </c>
      <c r="AE147" s="36">
        <v>765.2736000000001</v>
      </c>
      <c r="AF147" s="36">
        <v>0</v>
      </c>
      <c r="AG147" s="36">
        <v>17260.692445003217</v>
      </c>
      <c r="AH147" s="36">
        <v>0</v>
      </c>
      <c r="AI147" s="36">
        <v>15114.412274696082</v>
      </c>
      <c r="AJ147" s="36">
        <v>0</v>
      </c>
      <c r="AK147" s="36">
        <v>0</v>
      </c>
      <c r="AL147" s="36">
        <v>0</v>
      </c>
      <c r="AM147" s="36">
        <v>0</v>
      </c>
      <c r="AN147" s="36">
        <v>0</v>
      </c>
      <c r="AO147" s="36">
        <v>54803.514624861622</v>
      </c>
      <c r="AP147" s="36">
        <v>9445.6650000000009</v>
      </c>
      <c r="AQ147" s="36">
        <v>0</v>
      </c>
      <c r="AR147" s="36">
        <v>765.2736000000001</v>
      </c>
      <c r="AS147" s="36">
        <v>0</v>
      </c>
      <c r="AT147" s="36">
        <v>17260.692445003217</v>
      </c>
      <c r="AU147" s="36">
        <v>0</v>
      </c>
      <c r="AV147" s="36">
        <v>15114.412274696082</v>
      </c>
      <c r="AW147" s="36">
        <v>29971.207541070613</v>
      </c>
      <c r="AX147" s="36">
        <v>0</v>
      </c>
      <c r="AY147" s="36">
        <v>6656.8115396828025</v>
      </c>
      <c r="AZ147" s="36">
        <v>30000</v>
      </c>
      <c r="BA147" s="36">
        <v>392.96684927052473</v>
      </c>
      <c r="BB147" s="36">
        <v>0</v>
      </c>
      <c r="BC147" s="36">
        <v>9445.6650000000009</v>
      </c>
      <c r="BD147" s="36"/>
      <c r="BE147" s="36">
        <v>0</v>
      </c>
      <c r="BF147" s="36">
        <v>765.2736000000001</v>
      </c>
      <c r="BG147" s="36">
        <v>0</v>
      </c>
      <c r="BH147" s="36">
        <v>17260.692445003217</v>
      </c>
      <c r="BI147" s="36">
        <v>0</v>
      </c>
      <c r="BJ147" s="36">
        <v>15114.412274696082</v>
      </c>
      <c r="BK147" s="36">
        <v>0</v>
      </c>
      <c r="BL147" s="36">
        <v>0</v>
      </c>
      <c r="BM147" s="36">
        <v>0</v>
      </c>
      <c r="BN147" s="36">
        <v>0</v>
      </c>
      <c r="BO147" s="36">
        <v>0</v>
      </c>
      <c r="BP147" s="36">
        <v>54803.514624861622</v>
      </c>
      <c r="BQ147" s="36">
        <v>9445.6650000000009</v>
      </c>
      <c r="BR147" s="36">
        <v>0</v>
      </c>
      <c r="BS147" s="36">
        <v>765.2736000000001</v>
      </c>
      <c r="BT147" s="36">
        <v>0</v>
      </c>
      <c r="BU147" s="36">
        <v>17260.692445003217</v>
      </c>
      <c r="BV147" s="36">
        <v>0</v>
      </c>
      <c r="BW147" s="36">
        <v>15114.412274696082</v>
      </c>
      <c r="BX147" s="36">
        <v>29971.207541070613</v>
      </c>
      <c r="BY147" s="36">
        <v>0</v>
      </c>
      <c r="BZ147" s="36">
        <v>6656.8115396828025</v>
      </c>
      <c r="CA147" s="36">
        <v>30000</v>
      </c>
      <c r="CB147" s="36">
        <v>392.96684927052473</v>
      </c>
      <c r="CC147" s="36">
        <v>0</v>
      </c>
      <c r="CD147" s="36">
        <v>9445.6650000000009</v>
      </c>
      <c r="CE147" s="36"/>
      <c r="CF147" s="36">
        <v>0</v>
      </c>
      <c r="CG147" s="36">
        <v>0</v>
      </c>
    </row>
    <row r="148" spans="1:85">
      <c r="A148" s="143" t="s">
        <v>634</v>
      </c>
      <c r="B148" s="36">
        <v>20425.932499999999</v>
      </c>
      <c r="C148" s="36"/>
      <c r="D148" s="36">
        <v>0</v>
      </c>
      <c r="E148" s="36">
        <v>0</v>
      </c>
      <c r="F148" s="36">
        <v>0</v>
      </c>
      <c r="G148" s="36">
        <v>0</v>
      </c>
      <c r="H148" s="36">
        <v>0</v>
      </c>
      <c r="I148" s="36">
        <v>0</v>
      </c>
      <c r="J148" s="36">
        <v>0</v>
      </c>
      <c r="K148" s="36">
        <v>0</v>
      </c>
      <c r="L148" s="36">
        <v>0</v>
      </c>
      <c r="M148" s="36">
        <v>0</v>
      </c>
      <c r="N148" s="36">
        <v>0</v>
      </c>
      <c r="O148" s="36">
        <v>20425.932499999999</v>
      </c>
      <c r="P148" s="36">
        <v>0</v>
      </c>
      <c r="Q148" s="36">
        <v>10546.839789196185</v>
      </c>
      <c r="R148" s="36">
        <v>0</v>
      </c>
      <c r="S148" s="36">
        <v>0</v>
      </c>
      <c r="T148" s="36">
        <v>0</v>
      </c>
      <c r="U148" s="36">
        <v>707.08884753414384</v>
      </c>
      <c r="V148" s="36">
        <v>0</v>
      </c>
      <c r="W148" s="36">
        <v>0</v>
      </c>
      <c r="X148" s="36">
        <v>0</v>
      </c>
      <c r="Y148" s="36">
        <v>0</v>
      </c>
      <c r="Z148" s="36">
        <v>0</v>
      </c>
      <c r="AA148" s="36">
        <v>0</v>
      </c>
      <c r="AB148" s="36">
        <v>20425.932499999999</v>
      </c>
      <c r="AC148" s="36"/>
      <c r="AD148" s="36">
        <v>0</v>
      </c>
      <c r="AE148" s="36">
        <v>41103.497404168804</v>
      </c>
      <c r="AF148" s="36">
        <v>0</v>
      </c>
      <c r="AG148" s="36">
        <v>0</v>
      </c>
      <c r="AH148" s="36">
        <v>0</v>
      </c>
      <c r="AI148" s="36">
        <v>0</v>
      </c>
      <c r="AJ148" s="36">
        <v>0</v>
      </c>
      <c r="AK148" s="36">
        <v>0</v>
      </c>
      <c r="AL148" s="36">
        <v>0</v>
      </c>
      <c r="AM148" s="36">
        <v>0</v>
      </c>
      <c r="AN148" s="36">
        <v>0</v>
      </c>
      <c r="AO148" s="36">
        <v>0</v>
      </c>
      <c r="AP148" s="36">
        <v>20425.932499999999</v>
      </c>
      <c r="AQ148" s="36">
        <v>0</v>
      </c>
      <c r="AR148" s="36">
        <v>22010.347274104613</v>
      </c>
      <c r="AS148" s="36">
        <v>0</v>
      </c>
      <c r="AT148" s="36">
        <v>0</v>
      </c>
      <c r="AU148" s="36">
        <v>0</v>
      </c>
      <c r="AV148" s="36">
        <v>1589.6517967121927</v>
      </c>
      <c r="AW148" s="36">
        <v>0</v>
      </c>
      <c r="AX148" s="36">
        <v>0</v>
      </c>
      <c r="AY148" s="36">
        <v>0</v>
      </c>
      <c r="AZ148" s="36">
        <v>0</v>
      </c>
      <c r="BA148" s="36">
        <v>0</v>
      </c>
      <c r="BB148" s="36">
        <v>0</v>
      </c>
      <c r="BC148" s="36">
        <v>20425.932499999999</v>
      </c>
      <c r="BD148" s="36"/>
      <c r="BE148" s="36">
        <v>0</v>
      </c>
      <c r="BF148" s="36">
        <v>72543.001483584958</v>
      </c>
      <c r="BG148" s="36">
        <v>15228.272239765192</v>
      </c>
      <c r="BH148" s="36">
        <v>0</v>
      </c>
      <c r="BI148" s="36">
        <v>0</v>
      </c>
      <c r="BJ148" s="36">
        <v>0</v>
      </c>
      <c r="BK148" s="36">
        <v>0</v>
      </c>
      <c r="BL148" s="36">
        <v>0</v>
      </c>
      <c r="BM148" s="36">
        <v>0</v>
      </c>
      <c r="BN148" s="36">
        <v>0</v>
      </c>
      <c r="BO148" s="36">
        <v>0</v>
      </c>
      <c r="BP148" s="36">
        <v>0</v>
      </c>
      <c r="BQ148" s="36">
        <v>20425.932499999999</v>
      </c>
      <c r="BR148" s="36">
        <v>0</v>
      </c>
      <c r="BS148" s="36">
        <v>62506.027048209224</v>
      </c>
      <c r="BT148" s="36">
        <v>0</v>
      </c>
      <c r="BU148" s="36">
        <v>0</v>
      </c>
      <c r="BV148" s="36">
        <v>0</v>
      </c>
      <c r="BW148" s="36">
        <v>1624.8670073529124</v>
      </c>
      <c r="BX148" s="36">
        <v>3495.0365860714733</v>
      </c>
      <c r="BY148" s="36">
        <v>0</v>
      </c>
      <c r="BZ148" s="36">
        <v>0</v>
      </c>
      <c r="CA148" s="36">
        <v>0</v>
      </c>
      <c r="CB148" s="36">
        <v>0</v>
      </c>
      <c r="CC148" s="36">
        <v>0</v>
      </c>
      <c r="CD148" s="36">
        <v>20425.932499999999</v>
      </c>
      <c r="CE148" s="36"/>
      <c r="CF148" s="36">
        <v>0</v>
      </c>
      <c r="CG148" s="36">
        <v>0</v>
      </c>
    </row>
    <row r="149" spans="1:85">
      <c r="A149" s="143" t="s">
        <v>635</v>
      </c>
      <c r="B149" s="36">
        <v>14521.099999999999</v>
      </c>
      <c r="C149" s="36"/>
      <c r="D149" s="36">
        <v>2881.3134587940349</v>
      </c>
      <c r="E149" s="36">
        <v>0</v>
      </c>
      <c r="F149" s="36">
        <v>0</v>
      </c>
      <c r="G149" s="36">
        <v>0</v>
      </c>
      <c r="H149" s="36">
        <v>0</v>
      </c>
      <c r="I149" s="36">
        <v>0</v>
      </c>
      <c r="J149" s="36">
        <v>0</v>
      </c>
      <c r="K149" s="36">
        <v>0</v>
      </c>
      <c r="L149" s="36">
        <v>0</v>
      </c>
      <c r="M149" s="36">
        <v>0</v>
      </c>
      <c r="N149" s="36">
        <v>0</v>
      </c>
      <c r="O149" s="36">
        <v>14521.099999999999</v>
      </c>
      <c r="P149" s="36">
        <v>0</v>
      </c>
      <c r="Q149" s="36">
        <v>19929.006287953045</v>
      </c>
      <c r="R149" s="36">
        <v>0</v>
      </c>
      <c r="S149" s="36">
        <v>0</v>
      </c>
      <c r="T149" s="36">
        <v>0</v>
      </c>
      <c r="U149" s="36">
        <v>274.53986121007159</v>
      </c>
      <c r="V149" s="36">
        <v>0</v>
      </c>
      <c r="W149" s="36">
        <v>1421.4725114654163</v>
      </c>
      <c r="X149" s="36">
        <v>0</v>
      </c>
      <c r="Y149" s="36">
        <v>656.71361850652079</v>
      </c>
      <c r="Z149" s="36">
        <v>0</v>
      </c>
      <c r="AA149" s="36">
        <v>0</v>
      </c>
      <c r="AB149" s="36">
        <v>14521.099999999999</v>
      </c>
      <c r="AC149" s="36"/>
      <c r="AD149" s="36">
        <v>0</v>
      </c>
      <c r="AE149" s="36">
        <v>30962.522613732403</v>
      </c>
      <c r="AF149" s="36">
        <v>7797.9422868870242</v>
      </c>
      <c r="AG149" s="36">
        <v>0</v>
      </c>
      <c r="AH149" s="36">
        <v>0</v>
      </c>
      <c r="AI149" s="36">
        <v>0</v>
      </c>
      <c r="AJ149" s="36">
        <v>0</v>
      </c>
      <c r="AK149" s="36">
        <v>0</v>
      </c>
      <c r="AL149" s="36">
        <v>0</v>
      </c>
      <c r="AM149" s="36">
        <v>0</v>
      </c>
      <c r="AN149" s="36">
        <v>0</v>
      </c>
      <c r="AO149" s="36">
        <v>2958.632357745601</v>
      </c>
      <c r="AP149" s="36">
        <v>14521.099999999999</v>
      </c>
      <c r="AQ149" s="36">
        <v>0</v>
      </c>
      <c r="AR149" s="36">
        <v>25351.53538196543</v>
      </c>
      <c r="AS149" s="36">
        <v>0</v>
      </c>
      <c r="AT149" s="36">
        <v>0</v>
      </c>
      <c r="AU149" s="36">
        <v>0</v>
      </c>
      <c r="AV149" s="36">
        <v>274.53986121007159</v>
      </c>
      <c r="AW149" s="36">
        <v>0</v>
      </c>
      <c r="AX149" s="36">
        <v>1951.4866819538884</v>
      </c>
      <c r="AY149" s="36">
        <v>0</v>
      </c>
      <c r="AZ149" s="36">
        <v>4350.7911137173533</v>
      </c>
      <c r="BA149" s="36">
        <v>0</v>
      </c>
      <c r="BB149" s="36">
        <v>0</v>
      </c>
      <c r="BC149" s="36">
        <v>14521.099999999999</v>
      </c>
      <c r="BD149" s="36"/>
      <c r="BE149" s="36">
        <v>0</v>
      </c>
      <c r="BF149" s="36">
        <v>55407.299594854179</v>
      </c>
      <c r="BG149" s="36">
        <v>18459.150978012964</v>
      </c>
      <c r="BH149" s="36">
        <v>0</v>
      </c>
      <c r="BI149" s="36">
        <v>0</v>
      </c>
      <c r="BJ149" s="36">
        <v>411.80979181510747</v>
      </c>
      <c r="BK149" s="36">
        <v>0</v>
      </c>
      <c r="BL149" s="36">
        <v>0</v>
      </c>
      <c r="BM149" s="36">
        <v>0</v>
      </c>
      <c r="BN149" s="36">
        <v>0</v>
      </c>
      <c r="BO149" s="36">
        <v>0</v>
      </c>
      <c r="BP149" s="36">
        <v>10207.592635888957</v>
      </c>
      <c r="BQ149" s="36">
        <v>14521.099999999999</v>
      </c>
      <c r="BR149" s="36">
        <v>0</v>
      </c>
      <c r="BS149" s="36">
        <v>37913.821615998488</v>
      </c>
      <c r="BT149" s="36">
        <v>0</v>
      </c>
      <c r="BU149" s="36">
        <v>0</v>
      </c>
      <c r="BV149" s="36">
        <v>0</v>
      </c>
      <c r="BW149" s="36">
        <v>274.53986121007159</v>
      </c>
      <c r="BX149" s="36">
        <v>17207.370909455502</v>
      </c>
      <c r="BY149" s="36">
        <v>11725.48975510005</v>
      </c>
      <c r="BZ149" s="36">
        <v>0</v>
      </c>
      <c r="CA149" s="36">
        <v>3393.6139359293729</v>
      </c>
      <c r="CB149" s="36">
        <v>0</v>
      </c>
      <c r="CC149" s="36">
        <v>0</v>
      </c>
      <c r="CD149" s="36">
        <v>14521.099999999999</v>
      </c>
      <c r="CE149" s="36"/>
      <c r="CF149" s="36">
        <v>0</v>
      </c>
      <c r="CG149" s="36">
        <v>0</v>
      </c>
    </row>
    <row r="150" spans="1:85">
      <c r="A150" s="143" t="s">
        <v>636</v>
      </c>
      <c r="B150" s="36">
        <v>4313.5950000000003</v>
      </c>
      <c r="C150" s="36"/>
      <c r="D150" s="36">
        <v>0</v>
      </c>
      <c r="E150" s="36">
        <v>0</v>
      </c>
      <c r="F150" s="36">
        <v>0</v>
      </c>
      <c r="G150" s="36">
        <v>0</v>
      </c>
      <c r="H150" s="36">
        <v>0</v>
      </c>
      <c r="I150" s="36">
        <v>0</v>
      </c>
      <c r="J150" s="36">
        <v>0</v>
      </c>
      <c r="K150" s="36">
        <v>0</v>
      </c>
      <c r="L150" s="36">
        <v>0</v>
      </c>
      <c r="M150" s="36">
        <v>0</v>
      </c>
      <c r="N150" s="36">
        <v>0</v>
      </c>
      <c r="O150" s="36">
        <v>4313.5950000000003</v>
      </c>
      <c r="P150" s="36">
        <v>0</v>
      </c>
      <c r="Q150" s="36">
        <v>4359.2346511375044</v>
      </c>
      <c r="R150" s="36">
        <v>0</v>
      </c>
      <c r="S150" s="36">
        <v>0</v>
      </c>
      <c r="T150" s="36">
        <v>0</v>
      </c>
      <c r="U150" s="36">
        <v>0</v>
      </c>
      <c r="V150" s="36">
        <v>0</v>
      </c>
      <c r="W150" s="36">
        <v>0</v>
      </c>
      <c r="X150" s="36">
        <v>0</v>
      </c>
      <c r="Y150" s="36">
        <v>1796.8416161422167</v>
      </c>
      <c r="Z150" s="36">
        <v>0</v>
      </c>
      <c r="AA150" s="36">
        <v>0</v>
      </c>
      <c r="AB150" s="36">
        <v>4313.5950000000003</v>
      </c>
      <c r="AC150" s="36"/>
      <c r="AD150" s="36">
        <v>0</v>
      </c>
      <c r="AE150" s="36">
        <v>13284.183654165987</v>
      </c>
      <c r="AF150" s="36">
        <v>0</v>
      </c>
      <c r="AG150" s="36">
        <v>0</v>
      </c>
      <c r="AH150" s="36">
        <v>0</v>
      </c>
      <c r="AI150" s="36">
        <v>0</v>
      </c>
      <c r="AJ150" s="36">
        <v>0</v>
      </c>
      <c r="AK150" s="36">
        <v>0</v>
      </c>
      <c r="AL150" s="36">
        <v>0</v>
      </c>
      <c r="AM150" s="36">
        <v>0</v>
      </c>
      <c r="AN150" s="36">
        <v>0</v>
      </c>
      <c r="AO150" s="36">
        <v>0</v>
      </c>
      <c r="AP150" s="36">
        <v>4313.5950000000003</v>
      </c>
      <c r="AQ150" s="36">
        <v>0</v>
      </c>
      <c r="AR150" s="36">
        <v>10233.796291851681</v>
      </c>
      <c r="AS150" s="36">
        <v>0</v>
      </c>
      <c r="AT150" s="36">
        <v>0</v>
      </c>
      <c r="AU150" s="36">
        <v>0</v>
      </c>
      <c r="AV150" s="36">
        <v>0</v>
      </c>
      <c r="AW150" s="36">
        <v>0</v>
      </c>
      <c r="AX150" s="36">
        <v>431.52570505400024</v>
      </c>
      <c r="AY150" s="36">
        <v>0</v>
      </c>
      <c r="AZ150" s="36">
        <v>2612.3221548562888</v>
      </c>
      <c r="BA150" s="36">
        <v>0</v>
      </c>
      <c r="BB150" s="36">
        <v>0</v>
      </c>
      <c r="BC150" s="36">
        <v>4313.5950000000003</v>
      </c>
      <c r="BD150" s="36"/>
      <c r="BE150" s="36">
        <v>0</v>
      </c>
      <c r="BF150" s="36">
        <v>43870.320571001415</v>
      </c>
      <c r="BG150" s="36">
        <v>4597.7047164652495</v>
      </c>
      <c r="BH150" s="36">
        <v>0</v>
      </c>
      <c r="BI150" s="36">
        <v>0</v>
      </c>
      <c r="BJ150" s="36">
        <v>0</v>
      </c>
      <c r="BK150" s="36">
        <v>0</v>
      </c>
      <c r="BL150" s="36">
        <v>0</v>
      </c>
      <c r="BM150" s="36">
        <v>0</v>
      </c>
      <c r="BN150" s="36">
        <v>0</v>
      </c>
      <c r="BO150" s="36">
        <v>0</v>
      </c>
      <c r="BP150" s="36">
        <v>0</v>
      </c>
      <c r="BQ150" s="36">
        <v>4313.5950000000003</v>
      </c>
      <c r="BR150" s="36">
        <v>0</v>
      </c>
      <c r="BS150" s="36">
        <v>22655.862583703361</v>
      </c>
      <c r="BT150" s="36">
        <v>0</v>
      </c>
      <c r="BU150" s="36">
        <v>0</v>
      </c>
      <c r="BV150" s="36">
        <v>0</v>
      </c>
      <c r="BW150" s="36">
        <v>0</v>
      </c>
      <c r="BX150" s="36">
        <v>918.20320396350803</v>
      </c>
      <c r="BY150" s="36">
        <v>2338.7764101080006</v>
      </c>
      <c r="BZ150" s="36">
        <v>0</v>
      </c>
      <c r="CA150" s="36">
        <v>4956.0411057490701</v>
      </c>
      <c r="CB150" s="36">
        <v>0</v>
      </c>
      <c r="CC150" s="36">
        <v>0</v>
      </c>
      <c r="CD150" s="36">
        <v>4313.5950000000003</v>
      </c>
      <c r="CE150" s="36"/>
      <c r="CF150" s="36">
        <v>0</v>
      </c>
      <c r="CG150" s="36">
        <v>0</v>
      </c>
    </row>
    <row r="151" spans="1:85">
      <c r="A151" s="143" t="s">
        <v>637</v>
      </c>
      <c r="B151" s="36">
        <v>33074.315000000002</v>
      </c>
      <c r="C151" s="36"/>
      <c r="D151" s="36">
        <v>0</v>
      </c>
      <c r="E151" s="36">
        <v>0</v>
      </c>
      <c r="F151" s="36">
        <v>0</v>
      </c>
      <c r="G151" s="36">
        <v>0</v>
      </c>
      <c r="H151" s="36">
        <v>0</v>
      </c>
      <c r="I151" s="36">
        <v>0</v>
      </c>
      <c r="J151" s="36">
        <v>0</v>
      </c>
      <c r="K151" s="36">
        <v>0</v>
      </c>
      <c r="L151" s="36">
        <v>0</v>
      </c>
      <c r="M151" s="36">
        <v>0</v>
      </c>
      <c r="N151" s="36">
        <v>0</v>
      </c>
      <c r="O151" s="36">
        <v>33074.315000000002</v>
      </c>
      <c r="P151" s="36">
        <v>0</v>
      </c>
      <c r="Q151" s="36">
        <v>17248.939958123276</v>
      </c>
      <c r="R151" s="36">
        <v>0</v>
      </c>
      <c r="S151" s="36">
        <v>0</v>
      </c>
      <c r="T151" s="36">
        <v>0</v>
      </c>
      <c r="U151" s="36">
        <v>549.07972242014318</v>
      </c>
      <c r="V151" s="36">
        <v>0</v>
      </c>
      <c r="W151" s="36">
        <v>407.96073418189326</v>
      </c>
      <c r="X151" s="36">
        <v>0</v>
      </c>
      <c r="Y151" s="36">
        <v>0</v>
      </c>
      <c r="Z151" s="36">
        <v>0</v>
      </c>
      <c r="AA151" s="36">
        <v>0</v>
      </c>
      <c r="AB151" s="36">
        <v>33074.315000000002</v>
      </c>
      <c r="AC151" s="36"/>
      <c r="AD151" s="36">
        <v>0</v>
      </c>
      <c r="AE151" s="36">
        <v>37752.342280856676</v>
      </c>
      <c r="AF151" s="36">
        <v>231.78077928157495</v>
      </c>
      <c r="AG151" s="36">
        <v>3652.7466887720825</v>
      </c>
      <c r="AH151" s="36">
        <v>0</v>
      </c>
      <c r="AI151" s="36">
        <v>0</v>
      </c>
      <c r="AJ151" s="36">
        <v>0</v>
      </c>
      <c r="AK151" s="36">
        <v>0</v>
      </c>
      <c r="AL151" s="36">
        <v>0</v>
      </c>
      <c r="AM151" s="36">
        <v>0</v>
      </c>
      <c r="AN151" s="36">
        <v>0</v>
      </c>
      <c r="AO151" s="36">
        <v>0</v>
      </c>
      <c r="AP151" s="36">
        <v>33074.315000000002</v>
      </c>
      <c r="AQ151" s="36">
        <v>0</v>
      </c>
      <c r="AR151" s="36">
        <v>39453.109577939118</v>
      </c>
      <c r="AS151" s="36">
        <v>0</v>
      </c>
      <c r="AT151" s="36">
        <v>0</v>
      </c>
      <c r="AU151" s="36">
        <v>0</v>
      </c>
      <c r="AV151" s="36">
        <v>549.07972242014318</v>
      </c>
      <c r="AW151" s="36">
        <v>0</v>
      </c>
      <c r="AX151" s="36">
        <v>1699.7442197159062</v>
      </c>
      <c r="AY151" s="36">
        <v>0</v>
      </c>
      <c r="AZ151" s="36">
        <v>0</v>
      </c>
      <c r="BA151" s="36">
        <v>0</v>
      </c>
      <c r="BB151" s="36">
        <v>0</v>
      </c>
      <c r="BC151" s="36">
        <v>33074.315000000002</v>
      </c>
      <c r="BD151" s="36"/>
      <c r="BE151" s="36">
        <v>0</v>
      </c>
      <c r="BF151" s="36">
        <v>68987.073527737797</v>
      </c>
      <c r="BG151" s="36">
        <v>27399.191171210092</v>
      </c>
      <c r="BH151" s="36">
        <v>3652.7466887720825</v>
      </c>
      <c r="BI151" s="36">
        <v>0</v>
      </c>
      <c r="BJ151" s="36">
        <v>0</v>
      </c>
      <c r="BK151" s="36">
        <v>0</v>
      </c>
      <c r="BL151" s="36">
        <v>0</v>
      </c>
      <c r="BM151" s="36">
        <v>0</v>
      </c>
      <c r="BN151" s="36">
        <v>0</v>
      </c>
      <c r="BO151" s="36">
        <v>0</v>
      </c>
      <c r="BP151" s="36">
        <v>0</v>
      </c>
      <c r="BQ151" s="36">
        <v>33074.315000000002</v>
      </c>
      <c r="BR151" s="36">
        <v>0</v>
      </c>
      <c r="BS151" s="36">
        <v>91939.822015087891</v>
      </c>
      <c r="BT151" s="36">
        <v>0</v>
      </c>
      <c r="BU151" s="36">
        <v>3652.7466887720825</v>
      </c>
      <c r="BV151" s="36">
        <v>0</v>
      </c>
      <c r="BW151" s="36">
        <v>1235.4293754453222</v>
      </c>
      <c r="BX151" s="36">
        <v>0</v>
      </c>
      <c r="BY151" s="36">
        <v>6866.8781618519552</v>
      </c>
      <c r="BZ151" s="36">
        <v>8303.3057989930767</v>
      </c>
      <c r="CA151" s="36">
        <v>0</v>
      </c>
      <c r="CB151" s="36">
        <v>0</v>
      </c>
      <c r="CC151" s="36">
        <v>0</v>
      </c>
      <c r="CD151" s="36">
        <v>33074.315000000002</v>
      </c>
      <c r="CE151" s="36"/>
      <c r="CF151" s="36">
        <v>0</v>
      </c>
      <c r="CG151" s="36">
        <v>0</v>
      </c>
    </row>
    <row r="152" spans="1:85">
      <c r="A152" s="143" t="s">
        <v>638</v>
      </c>
      <c r="B152" s="36">
        <v>29141.480000000003</v>
      </c>
      <c r="C152" s="36"/>
      <c r="D152" s="36">
        <v>0</v>
      </c>
      <c r="E152" s="36">
        <v>0</v>
      </c>
      <c r="F152" s="36">
        <v>0</v>
      </c>
      <c r="G152" s="36">
        <v>0</v>
      </c>
      <c r="H152" s="36">
        <v>0</v>
      </c>
      <c r="I152" s="36">
        <v>0</v>
      </c>
      <c r="J152" s="36">
        <v>0</v>
      </c>
      <c r="K152" s="36">
        <v>0</v>
      </c>
      <c r="L152" s="36">
        <v>0</v>
      </c>
      <c r="M152" s="36">
        <v>0</v>
      </c>
      <c r="N152" s="36">
        <v>0</v>
      </c>
      <c r="O152" s="36">
        <v>29141.480000000003</v>
      </c>
      <c r="P152" s="36">
        <v>0</v>
      </c>
      <c r="Q152" s="36">
        <v>0</v>
      </c>
      <c r="R152" s="36">
        <v>0</v>
      </c>
      <c r="S152" s="36">
        <v>14077.896108049408</v>
      </c>
      <c r="T152" s="36">
        <v>0</v>
      </c>
      <c r="U152" s="36">
        <v>293.85390391485959</v>
      </c>
      <c r="V152" s="36">
        <v>0</v>
      </c>
      <c r="W152" s="36">
        <v>14924.126600002577</v>
      </c>
      <c r="X152" s="36">
        <v>0</v>
      </c>
      <c r="Y152" s="36">
        <v>16393.491240957002</v>
      </c>
      <c r="Z152" s="36">
        <v>0</v>
      </c>
      <c r="AA152" s="36">
        <v>0</v>
      </c>
      <c r="AB152" s="36">
        <v>29141.480000000003</v>
      </c>
      <c r="AC152" s="36"/>
      <c r="AD152" s="36">
        <v>0</v>
      </c>
      <c r="AE152" s="36">
        <v>0</v>
      </c>
      <c r="AF152" s="36">
        <v>10806.052739230514</v>
      </c>
      <c r="AG152" s="36">
        <v>32485.64304155816</v>
      </c>
      <c r="AH152" s="36">
        <v>0</v>
      </c>
      <c r="AI152" s="36">
        <v>0</v>
      </c>
      <c r="AJ152" s="36">
        <v>0</v>
      </c>
      <c r="AK152" s="36">
        <v>0</v>
      </c>
      <c r="AL152" s="36">
        <v>0</v>
      </c>
      <c r="AM152" s="36">
        <v>0</v>
      </c>
      <c r="AN152" s="36">
        <v>0</v>
      </c>
      <c r="AO152" s="36">
        <v>16204.115320380854</v>
      </c>
      <c r="AP152" s="36">
        <v>29141.480000000003</v>
      </c>
      <c r="AQ152" s="36">
        <v>0</v>
      </c>
      <c r="AR152" s="36">
        <v>0</v>
      </c>
      <c r="AS152" s="36">
        <v>0</v>
      </c>
      <c r="AT152" s="36">
        <v>27767.802148649924</v>
      </c>
      <c r="AU152" s="36">
        <v>0</v>
      </c>
      <c r="AV152" s="36">
        <v>1235.4293754453222</v>
      </c>
      <c r="AW152" s="36">
        <v>0</v>
      </c>
      <c r="AX152" s="36">
        <v>21928.272133336774</v>
      </c>
      <c r="AY152" s="36">
        <v>0</v>
      </c>
      <c r="AZ152" s="36">
        <v>23965.14554013731</v>
      </c>
      <c r="BA152" s="36">
        <v>0</v>
      </c>
      <c r="BB152" s="36">
        <v>0</v>
      </c>
      <c r="BC152" s="36">
        <v>29141.480000000003</v>
      </c>
      <c r="BD152" s="36"/>
      <c r="BE152" s="36">
        <v>0</v>
      </c>
      <c r="BF152" s="36">
        <v>0</v>
      </c>
      <c r="BG152" s="36">
        <v>79905.369274027878</v>
      </c>
      <c r="BH152" s="36">
        <v>82398.360851106554</v>
      </c>
      <c r="BI152" s="36">
        <v>0</v>
      </c>
      <c r="BJ152" s="36">
        <v>0</v>
      </c>
      <c r="BK152" s="36">
        <v>0</v>
      </c>
      <c r="BL152" s="36">
        <v>0</v>
      </c>
      <c r="BM152" s="36">
        <v>0</v>
      </c>
      <c r="BN152" s="36">
        <v>0</v>
      </c>
      <c r="BO152" s="36">
        <v>0</v>
      </c>
      <c r="BP152" s="36">
        <v>34583.181974761465</v>
      </c>
      <c r="BQ152" s="36">
        <v>29141.480000000003</v>
      </c>
      <c r="BR152" s="36">
        <v>0</v>
      </c>
      <c r="BS152" s="36">
        <v>0</v>
      </c>
      <c r="BT152" s="36">
        <v>0</v>
      </c>
      <c r="BU152" s="36">
        <v>58609.864389455339</v>
      </c>
      <c r="BV152" s="36">
        <v>0</v>
      </c>
      <c r="BW152" s="36">
        <v>3683.9159664284498</v>
      </c>
      <c r="BX152" s="36">
        <v>25809.156319007903</v>
      </c>
      <c r="BY152" s="36">
        <v>62821.037233833616</v>
      </c>
      <c r="BZ152" s="36">
        <v>57436.470476717746</v>
      </c>
      <c r="CA152" s="36">
        <v>69979.983996019087</v>
      </c>
      <c r="CB152" s="36">
        <v>0</v>
      </c>
      <c r="CC152" s="36">
        <v>0</v>
      </c>
      <c r="CD152" s="36">
        <v>29141.480000000003</v>
      </c>
      <c r="CE152" s="36"/>
      <c r="CF152" s="36">
        <v>0</v>
      </c>
      <c r="CG152" s="36">
        <v>0</v>
      </c>
    </row>
    <row r="153" spans="1:85">
      <c r="A153" s="143" t="s">
        <v>639</v>
      </c>
      <c r="B153" s="36">
        <v>52845.669999999991</v>
      </c>
      <c r="C153" s="36"/>
      <c r="D153" s="36">
        <v>15644.013968563844</v>
      </c>
      <c r="E153" s="36">
        <v>0</v>
      </c>
      <c r="F153" s="36">
        <v>0</v>
      </c>
      <c r="G153" s="36">
        <v>0</v>
      </c>
      <c r="H153" s="36">
        <v>0</v>
      </c>
      <c r="I153" s="36">
        <v>0</v>
      </c>
      <c r="J153" s="36">
        <v>0</v>
      </c>
      <c r="K153" s="36">
        <v>0</v>
      </c>
      <c r="L153" s="36">
        <v>0</v>
      </c>
      <c r="M153" s="36">
        <v>0</v>
      </c>
      <c r="N153" s="36">
        <v>5415.7829384401221</v>
      </c>
      <c r="O153" s="36">
        <v>52845.669999999991</v>
      </c>
      <c r="P153" s="36">
        <v>0</v>
      </c>
      <c r="Q153" s="36">
        <v>2309.9904918579923</v>
      </c>
      <c r="R153" s="36">
        <v>0</v>
      </c>
      <c r="S153" s="36">
        <v>3614.5377259099405</v>
      </c>
      <c r="T153" s="36">
        <v>0</v>
      </c>
      <c r="U153" s="36">
        <v>274.53986121007159</v>
      </c>
      <c r="V153" s="36">
        <v>0</v>
      </c>
      <c r="W153" s="36">
        <v>10519.275946275207</v>
      </c>
      <c r="X153" s="36">
        <v>0</v>
      </c>
      <c r="Y153" s="36">
        <v>35314.712244863098</v>
      </c>
      <c r="Z153" s="36">
        <v>0</v>
      </c>
      <c r="AA153" s="36">
        <v>0</v>
      </c>
      <c r="AB153" s="36">
        <v>52845.669999999991</v>
      </c>
      <c r="AC153" s="36"/>
      <c r="AD153" s="36">
        <v>0</v>
      </c>
      <c r="AE153" s="36">
        <v>0</v>
      </c>
      <c r="AF153" s="36">
        <v>2502.8533981624323</v>
      </c>
      <c r="AG153" s="36">
        <v>25647.426176025623</v>
      </c>
      <c r="AH153" s="36">
        <v>0</v>
      </c>
      <c r="AI153" s="36">
        <v>2311.2166603780915</v>
      </c>
      <c r="AJ153" s="36">
        <v>0</v>
      </c>
      <c r="AK153" s="36">
        <v>0</v>
      </c>
      <c r="AL153" s="36">
        <v>0</v>
      </c>
      <c r="AM153" s="36">
        <v>0</v>
      </c>
      <c r="AN153" s="36">
        <v>0</v>
      </c>
      <c r="AO153" s="36">
        <v>49946.229688759086</v>
      </c>
      <c r="AP153" s="36">
        <v>52845.669999999991</v>
      </c>
      <c r="AQ153" s="36">
        <v>0</v>
      </c>
      <c r="AR153" s="36">
        <v>6405.2711312774718</v>
      </c>
      <c r="AS153" s="36">
        <v>0</v>
      </c>
      <c r="AT153" s="36">
        <v>16565.550013783424</v>
      </c>
      <c r="AU153" s="36">
        <v>0</v>
      </c>
      <c r="AV153" s="36">
        <v>2448.4865909831274</v>
      </c>
      <c r="AW153" s="36">
        <v>0</v>
      </c>
      <c r="AX153" s="36">
        <v>13542.02310863333</v>
      </c>
      <c r="AY153" s="36">
        <v>0</v>
      </c>
      <c r="AZ153" s="36">
        <v>64910.960225022471</v>
      </c>
      <c r="BA153" s="36">
        <v>0</v>
      </c>
      <c r="BB153" s="36">
        <v>0</v>
      </c>
      <c r="BC153" s="36">
        <v>52845.669999999991</v>
      </c>
      <c r="BD153" s="36"/>
      <c r="BE153" s="36">
        <v>0</v>
      </c>
      <c r="BF153" s="36">
        <v>0</v>
      </c>
      <c r="BG153" s="36">
        <v>22279.757670142135</v>
      </c>
      <c r="BH153" s="36">
        <v>29222.85896023428</v>
      </c>
      <c r="BI153" s="36">
        <v>0</v>
      </c>
      <c r="BJ153" s="36">
        <v>4232.9956888485931</v>
      </c>
      <c r="BK153" s="36">
        <v>0</v>
      </c>
      <c r="BL153" s="36">
        <v>0</v>
      </c>
      <c r="BM153" s="36">
        <v>0</v>
      </c>
      <c r="BN153" s="36">
        <v>0</v>
      </c>
      <c r="BO153" s="36">
        <v>0</v>
      </c>
      <c r="BP153" s="36">
        <v>177693.7678134235</v>
      </c>
      <c r="BQ153" s="36">
        <v>52845.669999999991</v>
      </c>
      <c r="BR153" s="36">
        <v>0</v>
      </c>
      <c r="BS153" s="36">
        <v>12151.641311621313</v>
      </c>
      <c r="BT153" s="36">
        <v>0</v>
      </c>
      <c r="BU153" s="36">
        <v>27778.097611367015</v>
      </c>
      <c r="BV153" s="36">
        <v>0</v>
      </c>
      <c r="BW153" s="36">
        <v>4370.2656194536285</v>
      </c>
      <c r="BX153" s="36">
        <v>56460.976567424441</v>
      </c>
      <c r="BY153" s="36">
        <v>43847.014881909112</v>
      </c>
      <c r="BZ153" s="36">
        <v>76822.33515035981</v>
      </c>
      <c r="CA153" s="36">
        <v>147881.54611465265</v>
      </c>
      <c r="CB153" s="36">
        <v>0</v>
      </c>
      <c r="CC153" s="36">
        <v>0</v>
      </c>
      <c r="CD153" s="36">
        <v>52845.669999999991</v>
      </c>
      <c r="CE153" s="36"/>
      <c r="CF153" s="36">
        <v>0</v>
      </c>
      <c r="CG153" s="36">
        <v>0</v>
      </c>
    </row>
    <row r="154" spans="1:85">
      <c r="A154" s="143" t="s">
        <v>640</v>
      </c>
      <c r="B154" s="36">
        <v>7855.6500000000005</v>
      </c>
      <c r="C154" s="36"/>
      <c r="D154" s="36">
        <v>0</v>
      </c>
      <c r="E154" s="36">
        <v>0</v>
      </c>
      <c r="F154" s="36">
        <v>0</v>
      </c>
      <c r="G154" s="36">
        <v>0</v>
      </c>
      <c r="H154" s="36">
        <v>0</v>
      </c>
      <c r="I154" s="36">
        <v>0</v>
      </c>
      <c r="J154" s="36">
        <v>0</v>
      </c>
      <c r="K154" s="36">
        <v>0</v>
      </c>
      <c r="L154" s="36">
        <v>0</v>
      </c>
      <c r="M154" s="36">
        <v>0</v>
      </c>
      <c r="N154" s="36">
        <v>0</v>
      </c>
      <c r="O154" s="36">
        <v>7855.6500000000005</v>
      </c>
      <c r="P154" s="36">
        <v>0</v>
      </c>
      <c r="Q154" s="36">
        <v>10012.98897592771</v>
      </c>
      <c r="R154" s="36">
        <v>0</v>
      </c>
      <c r="S154" s="36">
        <v>0</v>
      </c>
      <c r="T154" s="36">
        <v>0</v>
      </c>
      <c r="U154" s="36">
        <v>258.43801761519563</v>
      </c>
      <c r="V154" s="36">
        <v>0</v>
      </c>
      <c r="W154" s="36">
        <v>2348.2322407925926</v>
      </c>
      <c r="X154" s="36">
        <v>0</v>
      </c>
      <c r="Y154" s="36">
        <v>4089.0731080121409</v>
      </c>
      <c r="Z154" s="36">
        <v>0</v>
      </c>
      <c r="AA154" s="36">
        <v>0</v>
      </c>
      <c r="AB154" s="36">
        <v>7855.6500000000005</v>
      </c>
      <c r="AC154" s="36"/>
      <c r="AD154" s="36">
        <v>0</v>
      </c>
      <c r="AE154" s="36">
        <v>22040.714964041086</v>
      </c>
      <c r="AF154" s="36">
        <v>10475.575680530241</v>
      </c>
      <c r="AG154" s="36">
        <v>0</v>
      </c>
      <c r="AH154" s="36">
        <v>0</v>
      </c>
      <c r="AI154" s="36">
        <v>0</v>
      </c>
      <c r="AJ154" s="36">
        <v>0</v>
      </c>
      <c r="AK154" s="36">
        <v>0</v>
      </c>
      <c r="AL154" s="36">
        <v>0</v>
      </c>
      <c r="AM154" s="36">
        <v>0</v>
      </c>
      <c r="AN154" s="36">
        <v>0</v>
      </c>
      <c r="AO154" s="36">
        <v>0</v>
      </c>
      <c r="AP154" s="36">
        <v>7855.6500000000005</v>
      </c>
      <c r="AQ154" s="36">
        <v>0</v>
      </c>
      <c r="AR154" s="36">
        <v>29413.052842232006</v>
      </c>
      <c r="AS154" s="36">
        <v>0</v>
      </c>
      <c r="AT154" s="36">
        <v>0</v>
      </c>
      <c r="AU154" s="36">
        <v>0</v>
      </c>
      <c r="AV154" s="36">
        <v>411.80979181510736</v>
      </c>
      <c r="AW154" s="36">
        <v>0</v>
      </c>
      <c r="AX154" s="36">
        <v>3281.2429877234563</v>
      </c>
      <c r="AY154" s="36">
        <v>0</v>
      </c>
      <c r="AZ154" s="36">
        <v>6826.9217090213406</v>
      </c>
      <c r="BA154" s="36">
        <v>0</v>
      </c>
      <c r="BB154" s="36">
        <v>0</v>
      </c>
      <c r="BC154" s="36">
        <v>7855.6500000000005</v>
      </c>
      <c r="BD154" s="36"/>
      <c r="BE154" s="36">
        <v>0</v>
      </c>
      <c r="BF154" s="36">
        <v>80234.438239754018</v>
      </c>
      <c r="BG154" s="36">
        <v>42452.714795518565</v>
      </c>
      <c r="BH154" s="36">
        <v>0</v>
      </c>
      <c r="BI154" s="36">
        <v>0</v>
      </c>
      <c r="BJ154" s="36">
        <v>0</v>
      </c>
      <c r="BK154" s="36">
        <v>0</v>
      </c>
      <c r="BL154" s="36">
        <v>0</v>
      </c>
      <c r="BM154" s="36">
        <v>0</v>
      </c>
      <c r="BN154" s="36">
        <v>0</v>
      </c>
      <c r="BO154" s="36">
        <v>0</v>
      </c>
      <c r="BP154" s="36">
        <v>0</v>
      </c>
      <c r="BQ154" s="36">
        <v>7855.6500000000005</v>
      </c>
      <c r="BR154" s="36">
        <v>0</v>
      </c>
      <c r="BS154" s="36">
        <v>57393.696666799719</v>
      </c>
      <c r="BT154" s="36">
        <v>0</v>
      </c>
      <c r="BU154" s="36">
        <v>0</v>
      </c>
      <c r="BV154" s="36">
        <v>0</v>
      </c>
      <c r="BW154" s="36">
        <v>2173.9467297730557</v>
      </c>
      <c r="BX154" s="36">
        <v>22406.829558125166</v>
      </c>
      <c r="BY154" s="36">
        <v>19344.506826616194</v>
      </c>
      <c r="BZ154" s="36">
        <v>5898.150616720457</v>
      </c>
      <c r="CA154" s="36">
        <v>17492.484102081868</v>
      </c>
      <c r="CB154" s="36">
        <v>0</v>
      </c>
      <c r="CC154" s="36">
        <v>0</v>
      </c>
      <c r="CD154" s="36">
        <v>7855.6500000000005</v>
      </c>
      <c r="CE154" s="36"/>
      <c r="CF154" s="36">
        <v>0</v>
      </c>
      <c r="CG154" s="36">
        <v>0</v>
      </c>
    </row>
    <row r="155" spans="1:85">
      <c r="A155" s="143" t="s">
        <v>641</v>
      </c>
      <c r="B155" s="36">
        <v>8648.11</v>
      </c>
      <c r="C155" s="36"/>
      <c r="D155" s="36">
        <v>0</v>
      </c>
      <c r="E155" s="36">
        <v>0</v>
      </c>
      <c r="F155" s="36">
        <v>0</v>
      </c>
      <c r="G155" s="36">
        <v>0</v>
      </c>
      <c r="H155" s="36">
        <v>0</v>
      </c>
      <c r="I155" s="36">
        <v>0</v>
      </c>
      <c r="J155" s="36">
        <v>0</v>
      </c>
      <c r="K155" s="36">
        <v>0</v>
      </c>
      <c r="L155" s="36">
        <v>0</v>
      </c>
      <c r="M155" s="36">
        <v>0</v>
      </c>
      <c r="N155" s="36">
        <v>0</v>
      </c>
      <c r="O155" s="36">
        <v>8648.11</v>
      </c>
      <c r="P155" s="36">
        <v>0</v>
      </c>
      <c r="Q155" s="36">
        <v>0</v>
      </c>
      <c r="R155" s="36">
        <v>0</v>
      </c>
      <c r="S155" s="36">
        <v>0</v>
      </c>
      <c r="T155" s="36">
        <v>0</v>
      </c>
      <c r="U155" s="36">
        <v>686.34965302517901</v>
      </c>
      <c r="V155" s="36">
        <v>0</v>
      </c>
      <c r="W155" s="36">
        <v>7199.5677329624532</v>
      </c>
      <c r="X155" s="36">
        <v>0</v>
      </c>
      <c r="Y155" s="36">
        <v>7903.5141157181861</v>
      </c>
      <c r="Z155" s="36">
        <v>0</v>
      </c>
      <c r="AA155" s="36">
        <v>0</v>
      </c>
      <c r="AB155" s="36">
        <v>8648.11</v>
      </c>
      <c r="AC155" s="36"/>
      <c r="AD155" s="36">
        <v>0</v>
      </c>
      <c r="AE155" s="36">
        <v>0</v>
      </c>
      <c r="AF155" s="36">
        <v>8452.0646481393378</v>
      </c>
      <c r="AG155" s="36">
        <v>0</v>
      </c>
      <c r="AH155" s="36">
        <v>0</v>
      </c>
      <c r="AI155" s="36">
        <v>0</v>
      </c>
      <c r="AJ155" s="36">
        <v>0</v>
      </c>
      <c r="AK155" s="36">
        <v>0</v>
      </c>
      <c r="AL155" s="36">
        <v>0</v>
      </c>
      <c r="AM155" s="36">
        <v>0</v>
      </c>
      <c r="AN155" s="36">
        <v>0</v>
      </c>
      <c r="AO155" s="36">
        <v>0</v>
      </c>
      <c r="AP155" s="36">
        <v>8648.11</v>
      </c>
      <c r="AQ155" s="36">
        <v>0</v>
      </c>
      <c r="AR155" s="36">
        <v>0</v>
      </c>
      <c r="AS155" s="36">
        <v>0</v>
      </c>
      <c r="AT155" s="36">
        <v>0</v>
      </c>
      <c r="AU155" s="36">
        <v>0</v>
      </c>
      <c r="AV155" s="36">
        <v>686.34965302517901</v>
      </c>
      <c r="AW155" s="36">
        <v>0</v>
      </c>
      <c r="AX155" s="36">
        <v>9806.6836439499366</v>
      </c>
      <c r="AY155" s="36">
        <v>0</v>
      </c>
      <c r="AZ155" s="36">
        <v>13442.245371965979</v>
      </c>
      <c r="BA155" s="36">
        <v>0</v>
      </c>
      <c r="BB155" s="36">
        <v>0</v>
      </c>
      <c r="BC155" s="36">
        <v>8648.11</v>
      </c>
      <c r="BD155" s="36"/>
      <c r="BE155" s="36">
        <v>0</v>
      </c>
      <c r="BF155" s="36">
        <v>0</v>
      </c>
      <c r="BG155" s="36">
        <v>31889.538993014259</v>
      </c>
      <c r="BH155" s="36">
        <v>0</v>
      </c>
      <c r="BI155" s="36">
        <v>0</v>
      </c>
      <c r="BJ155" s="36">
        <v>0</v>
      </c>
      <c r="BK155" s="36">
        <v>0</v>
      </c>
      <c r="BL155" s="36">
        <v>0</v>
      </c>
      <c r="BM155" s="36">
        <v>0</v>
      </c>
      <c r="BN155" s="36">
        <v>0</v>
      </c>
      <c r="BO155" s="36">
        <v>0</v>
      </c>
      <c r="BP155" s="36">
        <v>0</v>
      </c>
      <c r="BQ155" s="36">
        <v>8648.11</v>
      </c>
      <c r="BR155" s="36">
        <v>0</v>
      </c>
      <c r="BS155" s="36">
        <v>0</v>
      </c>
      <c r="BT155" s="36">
        <v>0</v>
      </c>
      <c r="BU155" s="36">
        <v>0</v>
      </c>
      <c r="BV155" s="36">
        <v>0</v>
      </c>
      <c r="BW155" s="36">
        <v>686.34965302517901</v>
      </c>
      <c r="BX155" s="36">
        <v>21238.764213399678</v>
      </c>
      <c r="BY155" s="36">
        <v>20235.147287899876</v>
      </c>
      <c r="BZ155" s="36">
        <v>0</v>
      </c>
      <c r="CA155" s="36">
        <v>14358.406183557461</v>
      </c>
      <c r="CB155" s="36">
        <v>0</v>
      </c>
      <c r="CC155" s="36">
        <v>0</v>
      </c>
      <c r="CD155" s="36">
        <v>8648.11</v>
      </c>
      <c r="CE155" s="36"/>
      <c r="CF155" s="36">
        <v>0</v>
      </c>
      <c r="CG155" s="36">
        <v>0</v>
      </c>
    </row>
    <row r="156" spans="1:85">
      <c r="A156" s="143" t="s">
        <v>642</v>
      </c>
      <c r="B156" s="36">
        <v>3770.4</v>
      </c>
      <c r="C156" s="36"/>
      <c r="D156" s="36">
        <v>0</v>
      </c>
      <c r="E156" s="36">
        <v>0</v>
      </c>
      <c r="F156" s="36">
        <v>0</v>
      </c>
      <c r="G156" s="36">
        <v>0</v>
      </c>
      <c r="H156" s="36">
        <v>0</v>
      </c>
      <c r="I156" s="36">
        <v>0</v>
      </c>
      <c r="J156" s="36">
        <v>0</v>
      </c>
      <c r="K156" s="36">
        <v>0</v>
      </c>
      <c r="L156" s="36">
        <v>0</v>
      </c>
      <c r="M156" s="36">
        <v>0</v>
      </c>
      <c r="N156" s="36">
        <v>0</v>
      </c>
      <c r="O156" s="36">
        <v>3770.4</v>
      </c>
      <c r="P156" s="36">
        <v>0</v>
      </c>
      <c r="Q156" s="36">
        <v>802.78169655686429</v>
      </c>
      <c r="R156" s="36">
        <v>0</v>
      </c>
      <c r="S156" s="36">
        <v>0</v>
      </c>
      <c r="T156" s="36">
        <v>0</v>
      </c>
      <c r="U156" s="36">
        <v>1762.1369379579482</v>
      </c>
      <c r="V156" s="36">
        <v>0</v>
      </c>
      <c r="W156" s="36">
        <v>817.3865825352641</v>
      </c>
      <c r="X156" s="36">
        <v>0</v>
      </c>
      <c r="Y156" s="36">
        <v>477.83053046805253</v>
      </c>
      <c r="Z156" s="36">
        <v>0</v>
      </c>
      <c r="AA156" s="36">
        <v>0</v>
      </c>
      <c r="AB156" s="36">
        <v>3770.4</v>
      </c>
      <c r="AC156" s="36"/>
      <c r="AD156" s="36">
        <v>0</v>
      </c>
      <c r="AE156" s="36">
        <v>0</v>
      </c>
      <c r="AF156" s="36">
        <v>0</v>
      </c>
      <c r="AG156" s="36">
        <v>0</v>
      </c>
      <c r="AH156" s="36">
        <v>0</v>
      </c>
      <c r="AI156" s="36">
        <v>0</v>
      </c>
      <c r="AJ156" s="36">
        <v>0</v>
      </c>
      <c r="AK156" s="36">
        <v>0</v>
      </c>
      <c r="AL156" s="36">
        <v>0</v>
      </c>
      <c r="AM156" s="36">
        <v>0</v>
      </c>
      <c r="AN156" s="36">
        <v>0</v>
      </c>
      <c r="AO156" s="36">
        <v>0</v>
      </c>
      <c r="AP156" s="36">
        <v>3770.4</v>
      </c>
      <c r="AQ156" s="36">
        <v>0</v>
      </c>
      <c r="AR156" s="36">
        <v>1585.1755954091529</v>
      </c>
      <c r="AS156" s="36">
        <v>0</v>
      </c>
      <c r="AT156" s="36">
        <v>0</v>
      </c>
      <c r="AU156" s="36">
        <v>0</v>
      </c>
      <c r="AV156" s="36">
        <v>1762.1369379579482</v>
      </c>
      <c r="AW156" s="36">
        <v>0</v>
      </c>
      <c r="AX156" s="36">
        <v>1315.7154433803521</v>
      </c>
      <c r="AY156" s="36">
        <v>0</v>
      </c>
      <c r="AZ156" s="36">
        <v>1740.6196866100531</v>
      </c>
      <c r="BA156" s="36">
        <v>0</v>
      </c>
      <c r="BB156" s="36">
        <v>0</v>
      </c>
      <c r="BC156" s="36">
        <v>3770.4</v>
      </c>
      <c r="BD156" s="36"/>
      <c r="BE156" s="36">
        <v>0</v>
      </c>
      <c r="BF156" s="36">
        <v>5203.1715866046725</v>
      </c>
      <c r="BG156" s="36">
        <v>5739.9250797239538</v>
      </c>
      <c r="BH156" s="36">
        <v>0</v>
      </c>
      <c r="BI156" s="36">
        <v>0</v>
      </c>
      <c r="BJ156" s="36">
        <v>0</v>
      </c>
      <c r="BK156" s="36">
        <v>0</v>
      </c>
      <c r="BL156" s="36">
        <v>0</v>
      </c>
      <c r="BM156" s="36">
        <v>0</v>
      </c>
      <c r="BN156" s="36">
        <v>0</v>
      </c>
      <c r="BO156" s="36">
        <v>0</v>
      </c>
      <c r="BP156" s="36">
        <v>0</v>
      </c>
      <c r="BQ156" s="36">
        <v>3770.4</v>
      </c>
      <c r="BR156" s="36">
        <v>0</v>
      </c>
      <c r="BS156" s="36">
        <v>4714.751190818306</v>
      </c>
      <c r="BT156" s="36">
        <v>0</v>
      </c>
      <c r="BU156" s="36">
        <v>0</v>
      </c>
      <c r="BV156" s="36">
        <v>0</v>
      </c>
      <c r="BW156" s="36">
        <v>1762.1369379579482</v>
      </c>
      <c r="BX156" s="36">
        <v>4959.2513742562005</v>
      </c>
      <c r="BY156" s="36">
        <v>3309.0308867607041</v>
      </c>
      <c r="BZ156" s="36">
        <v>0</v>
      </c>
      <c r="CA156" s="36">
        <v>1832.5249369218545</v>
      </c>
      <c r="CB156" s="36">
        <v>0</v>
      </c>
      <c r="CC156" s="36">
        <v>0</v>
      </c>
      <c r="CD156" s="36">
        <v>3770.4</v>
      </c>
      <c r="CE156" s="36"/>
      <c r="CF156" s="36">
        <v>0</v>
      </c>
      <c r="CG156" s="36">
        <v>0</v>
      </c>
    </row>
    <row r="157" spans="1:85">
      <c r="A157" s="143" t="s">
        <v>643</v>
      </c>
      <c r="B157" s="36">
        <v>11452.36</v>
      </c>
      <c r="C157" s="36"/>
      <c r="D157" s="36">
        <v>0</v>
      </c>
      <c r="E157" s="36">
        <v>0</v>
      </c>
      <c r="F157" s="36">
        <v>0</v>
      </c>
      <c r="G157" s="36">
        <v>0</v>
      </c>
      <c r="H157" s="36">
        <v>0</v>
      </c>
      <c r="I157" s="36">
        <v>0</v>
      </c>
      <c r="J157" s="36">
        <v>0</v>
      </c>
      <c r="K157" s="36">
        <v>0</v>
      </c>
      <c r="L157" s="36">
        <v>0</v>
      </c>
      <c r="M157" s="36">
        <v>0</v>
      </c>
      <c r="N157" s="36">
        <v>0</v>
      </c>
      <c r="O157" s="36">
        <v>11452.36</v>
      </c>
      <c r="P157" s="36">
        <v>0</v>
      </c>
      <c r="Q157" s="36">
        <v>7309.5940420186207</v>
      </c>
      <c r="R157" s="36">
        <v>0</v>
      </c>
      <c r="S157" s="36">
        <v>2590.2815451854399</v>
      </c>
      <c r="T157" s="36">
        <v>0</v>
      </c>
      <c r="U157" s="36">
        <v>935.2438300737042</v>
      </c>
      <c r="V157" s="36">
        <v>0</v>
      </c>
      <c r="W157" s="36">
        <v>0</v>
      </c>
      <c r="X157" s="36">
        <v>0</v>
      </c>
      <c r="Y157" s="36">
        <v>4893.8851512208803</v>
      </c>
      <c r="Z157" s="36">
        <v>0</v>
      </c>
      <c r="AA157" s="36">
        <v>0</v>
      </c>
      <c r="AB157" s="36">
        <v>11452.36</v>
      </c>
      <c r="AC157" s="36"/>
      <c r="AD157" s="36">
        <v>0</v>
      </c>
      <c r="AE157" s="36">
        <v>1524.6472943807512</v>
      </c>
      <c r="AF157" s="36">
        <v>7733.1750258424327</v>
      </c>
      <c r="AG157" s="36">
        <v>2625.409655211115</v>
      </c>
      <c r="AH157" s="36">
        <v>0</v>
      </c>
      <c r="AI157" s="36">
        <v>0</v>
      </c>
      <c r="AJ157" s="36">
        <v>0</v>
      </c>
      <c r="AK157" s="36">
        <v>0</v>
      </c>
      <c r="AL157" s="36">
        <v>0</v>
      </c>
      <c r="AM157" s="36">
        <v>0</v>
      </c>
      <c r="AN157" s="36">
        <v>0</v>
      </c>
      <c r="AO157" s="36">
        <v>0</v>
      </c>
      <c r="AP157" s="36">
        <v>11452.36</v>
      </c>
      <c r="AQ157" s="36">
        <v>0</v>
      </c>
      <c r="AR157" s="36">
        <v>6732.5655393011375</v>
      </c>
      <c r="AS157" s="36">
        <v>0</v>
      </c>
      <c r="AT157" s="36">
        <v>2625.409655211115</v>
      </c>
      <c r="AU157" s="36">
        <v>0</v>
      </c>
      <c r="AV157" s="36">
        <v>1398.6584400982726</v>
      </c>
      <c r="AW157" s="36">
        <v>0</v>
      </c>
      <c r="AX157" s="36">
        <v>886.82907170280578</v>
      </c>
      <c r="AY157" s="36">
        <v>0</v>
      </c>
      <c r="AZ157" s="36">
        <v>12849.728240822627</v>
      </c>
      <c r="BA157" s="36">
        <v>0</v>
      </c>
      <c r="BB157" s="36">
        <v>0</v>
      </c>
      <c r="BC157" s="36">
        <v>11452.36</v>
      </c>
      <c r="BD157" s="36"/>
      <c r="BE157" s="36">
        <v>0</v>
      </c>
      <c r="BF157" s="36">
        <v>0</v>
      </c>
      <c r="BG157" s="36">
        <v>28686.369864062981</v>
      </c>
      <c r="BH157" s="36">
        <v>0</v>
      </c>
      <c r="BI157" s="36">
        <v>0</v>
      </c>
      <c r="BJ157" s="36">
        <v>0</v>
      </c>
      <c r="BK157" s="36">
        <v>0</v>
      </c>
      <c r="BL157" s="36">
        <v>0</v>
      </c>
      <c r="BM157" s="36">
        <v>0</v>
      </c>
      <c r="BN157" s="36">
        <v>0</v>
      </c>
      <c r="BO157" s="36">
        <v>0</v>
      </c>
      <c r="BP157" s="36">
        <v>0</v>
      </c>
      <c r="BQ157" s="36">
        <v>11452.36</v>
      </c>
      <c r="BR157" s="36">
        <v>0</v>
      </c>
      <c r="BS157" s="36">
        <v>11479.104000000001</v>
      </c>
      <c r="BT157" s="36">
        <v>0</v>
      </c>
      <c r="BU157" s="36">
        <v>2625.409655211115</v>
      </c>
      <c r="BV157" s="36">
        <v>0</v>
      </c>
      <c r="BW157" s="36">
        <v>1937.5822376328597</v>
      </c>
      <c r="BX157" s="36">
        <v>23146.835013939784</v>
      </c>
      <c r="BY157" s="36">
        <v>4574.6577986167258</v>
      </c>
      <c r="BZ157" s="36">
        <v>4632.4612975475256</v>
      </c>
      <c r="CA157" s="36">
        <v>12042.691891323906</v>
      </c>
      <c r="CB157" s="36">
        <v>0</v>
      </c>
      <c r="CC157" s="36">
        <v>0</v>
      </c>
      <c r="CD157" s="36">
        <v>11452.36</v>
      </c>
      <c r="CE157" s="36"/>
      <c r="CF157" s="36">
        <v>0</v>
      </c>
      <c r="CG157" s="36">
        <v>0</v>
      </c>
    </row>
    <row r="158" spans="1:85">
      <c r="A158" s="143" t="s">
        <v>644</v>
      </c>
      <c r="B158" s="36">
        <v>9045.9499999999989</v>
      </c>
      <c r="C158" s="36"/>
      <c r="D158" s="36">
        <v>0</v>
      </c>
      <c r="E158" s="36">
        <v>0</v>
      </c>
      <c r="F158" s="36">
        <v>0</v>
      </c>
      <c r="G158" s="36">
        <v>0</v>
      </c>
      <c r="H158" s="36">
        <v>0</v>
      </c>
      <c r="I158" s="36">
        <v>0</v>
      </c>
      <c r="J158" s="36">
        <v>0</v>
      </c>
      <c r="K158" s="36">
        <v>0</v>
      </c>
      <c r="L158" s="36">
        <v>0</v>
      </c>
      <c r="M158" s="36">
        <v>0</v>
      </c>
      <c r="N158" s="36">
        <v>0</v>
      </c>
      <c r="O158" s="36">
        <v>9045.9499999999989</v>
      </c>
      <c r="P158" s="36">
        <v>0</v>
      </c>
      <c r="Q158" s="36">
        <v>14125.752456168128</v>
      </c>
      <c r="R158" s="36">
        <v>0</v>
      </c>
      <c r="S158" s="36">
        <v>0</v>
      </c>
      <c r="T158" s="36">
        <v>0</v>
      </c>
      <c r="U158" s="36">
        <v>0</v>
      </c>
      <c r="V158" s="36">
        <v>0</v>
      </c>
      <c r="W158" s="36">
        <v>0</v>
      </c>
      <c r="X158" s="36">
        <v>0</v>
      </c>
      <c r="Y158" s="36">
        <v>6752.6104363369923</v>
      </c>
      <c r="Z158" s="36">
        <v>0</v>
      </c>
      <c r="AA158" s="36">
        <v>0</v>
      </c>
      <c r="AB158" s="36">
        <v>9045.9499999999989</v>
      </c>
      <c r="AC158" s="36"/>
      <c r="AD158" s="36">
        <v>0</v>
      </c>
      <c r="AE158" s="36">
        <v>34584.506550894352</v>
      </c>
      <c r="AF158" s="36">
        <v>5777.3948022995046</v>
      </c>
      <c r="AG158" s="36">
        <v>0</v>
      </c>
      <c r="AH158" s="36">
        <v>0</v>
      </c>
      <c r="AI158" s="36">
        <v>0</v>
      </c>
      <c r="AJ158" s="36">
        <v>0</v>
      </c>
      <c r="AK158" s="36">
        <v>0</v>
      </c>
      <c r="AL158" s="36">
        <v>0</v>
      </c>
      <c r="AM158" s="36">
        <v>0</v>
      </c>
      <c r="AN158" s="36">
        <v>0</v>
      </c>
      <c r="AO158" s="36">
        <v>0</v>
      </c>
      <c r="AP158" s="36">
        <v>9045.9499999999989</v>
      </c>
      <c r="AQ158" s="36">
        <v>0</v>
      </c>
      <c r="AR158" s="36">
        <v>26511.37749169477</v>
      </c>
      <c r="AS158" s="36">
        <v>0</v>
      </c>
      <c r="AT158" s="36">
        <v>0</v>
      </c>
      <c r="AU158" s="36">
        <v>0</v>
      </c>
      <c r="AV158" s="36">
        <v>1624.8670073529124</v>
      </c>
      <c r="AW158" s="36">
        <v>0</v>
      </c>
      <c r="AX158" s="36">
        <v>0</v>
      </c>
      <c r="AY158" s="36">
        <v>0</v>
      </c>
      <c r="AZ158" s="36">
        <v>10320.530747189076</v>
      </c>
      <c r="BA158" s="36">
        <v>0</v>
      </c>
      <c r="BB158" s="36">
        <v>0</v>
      </c>
      <c r="BC158" s="36">
        <v>9045.9499999999989</v>
      </c>
      <c r="BD158" s="36"/>
      <c r="BE158" s="36">
        <v>0</v>
      </c>
      <c r="BF158" s="36">
        <v>48632.910083756324</v>
      </c>
      <c r="BG158" s="36">
        <v>36254.517426996295</v>
      </c>
      <c r="BH158" s="36">
        <v>0</v>
      </c>
      <c r="BI158" s="36">
        <v>0</v>
      </c>
      <c r="BJ158" s="36">
        <v>0</v>
      </c>
      <c r="BK158" s="36">
        <v>0</v>
      </c>
      <c r="BL158" s="36">
        <v>0</v>
      </c>
      <c r="BM158" s="36">
        <v>0</v>
      </c>
      <c r="BN158" s="36">
        <v>0</v>
      </c>
      <c r="BO158" s="36">
        <v>0</v>
      </c>
      <c r="BP158" s="36">
        <v>0</v>
      </c>
      <c r="BQ158" s="36">
        <v>9045.9499999999989</v>
      </c>
      <c r="BR158" s="36">
        <v>0</v>
      </c>
      <c r="BS158" s="36">
        <v>49907.214300234889</v>
      </c>
      <c r="BT158" s="36">
        <v>0</v>
      </c>
      <c r="BU158" s="36">
        <v>0</v>
      </c>
      <c r="BV158" s="36">
        <v>0</v>
      </c>
      <c r="BW158" s="36">
        <v>1624.8670073529124</v>
      </c>
      <c r="BX158" s="36">
        <v>9007.7255190509932</v>
      </c>
      <c r="BY158" s="36">
        <v>0</v>
      </c>
      <c r="BZ158" s="36">
        <v>6639.8941844076853</v>
      </c>
      <c r="CA158" s="36">
        <v>16853.585719670111</v>
      </c>
      <c r="CB158" s="36">
        <v>0</v>
      </c>
      <c r="CC158" s="36">
        <v>0</v>
      </c>
      <c r="CD158" s="36">
        <v>9045.9499999999989</v>
      </c>
      <c r="CE158" s="36"/>
      <c r="CF158" s="36">
        <v>0</v>
      </c>
      <c r="CG158" s="36">
        <v>0</v>
      </c>
    </row>
    <row r="159" spans="1:85">
      <c r="A159" s="143" t="s">
        <v>645</v>
      </c>
      <c r="B159" s="36">
        <v>33283.22</v>
      </c>
      <c r="C159" s="36"/>
      <c r="D159" s="36">
        <v>0</v>
      </c>
      <c r="E159" s="36">
        <v>0</v>
      </c>
      <c r="F159" s="36">
        <v>0</v>
      </c>
      <c r="G159" s="36">
        <v>0</v>
      </c>
      <c r="H159" s="36">
        <v>0</v>
      </c>
      <c r="I159" s="36">
        <v>0</v>
      </c>
      <c r="J159" s="36">
        <v>0</v>
      </c>
      <c r="K159" s="36">
        <v>0</v>
      </c>
      <c r="L159" s="36">
        <v>0</v>
      </c>
      <c r="M159" s="36">
        <v>0</v>
      </c>
      <c r="N159" s="36">
        <v>20448.822227171997</v>
      </c>
      <c r="O159" s="36">
        <v>33283.22</v>
      </c>
      <c r="P159" s="36">
        <v>0</v>
      </c>
      <c r="Q159" s="36">
        <v>0</v>
      </c>
      <c r="R159" s="36">
        <v>0</v>
      </c>
      <c r="S159" s="36">
        <v>3457.9268696276586</v>
      </c>
      <c r="T159" s="36">
        <v>0</v>
      </c>
      <c r="U159" s="36">
        <v>411.80979181510736</v>
      </c>
      <c r="V159" s="36">
        <v>0</v>
      </c>
      <c r="W159" s="36">
        <v>10147.403613091399</v>
      </c>
      <c r="X159" s="36">
        <v>0</v>
      </c>
      <c r="Y159" s="36">
        <v>51835.336341272232</v>
      </c>
      <c r="Z159" s="36">
        <v>0</v>
      </c>
      <c r="AA159" s="36">
        <v>0</v>
      </c>
      <c r="AB159" s="36">
        <v>33283.22</v>
      </c>
      <c r="AC159" s="36"/>
      <c r="AD159" s="36">
        <v>0</v>
      </c>
      <c r="AE159" s="36">
        <v>0</v>
      </c>
      <c r="AF159" s="36">
        <v>16051.457533900824</v>
      </c>
      <c r="AG159" s="36">
        <v>3457.9268696276586</v>
      </c>
      <c r="AH159" s="36">
        <v>0</v>
      </c>
      <c r="AI159" s="36">
        <v>549.07972242014318</v>
      </c>
      <c r="AJ159" s="36">
        <v>0</v>
      </c>
      <c r="AK159" s="36">
        <v>0</v>
      </c>
      <c r="AL159" s="36">
        <v>0</v>
      </c>
      <c r="AM159" s="36">
        <v>0</v>
      </c>
      <c r="AN159" s="36">
        <v>0</v>
      </c>
      <c r="AO159" s="36">
        <v>45521.79913886245</v>
      </c>
      <c r="AP159" s="36">
        <v>33283.22</v>
      </c>
      <c r="AQ159" s="36">
        <v>0</v>
      </c>
      <c r="AR159" s="36">
        <v>0</v>
      </c>
      <c r="AS159" s="36">
        <v>0</v>
      </c>
      <c r="AT159" s="36">
        <v>3457.9268696276586</v>
      </c>
      <c r="AU159" s="36">
        <v>0</v>
      </c>
      <c r="AV159" s="36">
        <v>9085.224550999812</v>
      </c>
      <c r="AW159" s="36">
        <v>0</v>
      </c>
      <c r="AX159" s="36">
        <v>13695.564817455201</v>
      </c>
      <c r="AY159" s="36">
        <v>0</v>
      </c>
      <c r="AZ159" s="36">
        <v>80760.440092616249</v>
      </c>
      <c r="BA159" s="36">
        <v>0</v>
      </c>
      <c r="BB159" s="36">
        <v>0</v>
      </c>
      <c r="BC159" s="36">
        <v>33283.22</v>
      </c>
      <c r="BD159" s="36"/>
      <c r="BE159" s="36">
        <v>0</v>
      </c>
      <c r="BF159" s="36">
        <v>0</v>
      </c>
      <c r="BG159" s="36">
        <v>72678.039371886392</v>
      </c>
      <c r="BH159" s="36">
        <v>3457.9268696276586</v>
      </c>
      <c r="BI159" s="36">
        <v>0</v>
      </c>
      <c r="BJ159" s="36">
        <v>5972.7604668990234</v>
      </c>
      <c r="BK159" s="36">
        <v>0</v>
      </c>
      <c r="BL159" s="36">
        <v>0</v>
      </c>
      <c r="BM159" s="36">
        <v>0</v>
      </c>
      <c r="BN159" s="36">
        <v>0</v>
      </c>
      <c r="BO159" s="36">
        <v>0</v>
      </c>
      <c r="BP159" s="36">
        <v>138677.82704546186</v>
      </c>
      <c r="BQ159" s="36">
        <v>33283.22</v>
      </c>
      <c r="BR159" s="36">
        <v>0</v>
      </c>
      <c r="BS159" s="36">
        <v>0</v>
      </c>
      <c r="BT159" s="36">
        <v>0</v>
      </c>
      <c r="BU159" s="36">
        <v>3457.9268696276586</v>
      </c>
      <c r="BV159" s="36">
        <v>0</v>
      </c>
      <c r="BW159" s="36">
        <v>9771.5742040249916</v>
      </c>
      <c r="BX159" s="36">
        <v>58036.751862944169</v>
      </c>
      <c r="BY159" s="36">
        <v>47654.400000000001</v>
      </c>
      <c r="BZ159" s="36">
        <v>85704.632100581177</v>
      </c>
      <c r="CA159" s="36">
        <v>179637.36445616867</v>
      </c>
      <c r="CB159" s="36">
        <v>5165.8633413498555</v>
      </c>
      <c r="CC159" s="36">
        <v>0</v>
      </c>
      <c r="CD159" s="36">
        <v>33283.22</v>
      </c>
      <c r="CE159" s="36"/>
      <c r="CF159" s="36">
        <v>0</v>
      </c>
      <c r="CG159" s="36">
        <v>0</v>
      </c>
    </row>
    <row r="160" spans="1:85">
      <c r="A160" s="143" t="s">
        <v>646</v>
      </c>
      <c r="B160" s="36">
        <v>8170.59</v>
      </c>
      <c r="C160" s="36"/>
      <c r="D160" s="36">
        <v>0</v>
      </c>
      <c r="E160" s="36">
        <v>0</v>
      </c>
      <c r="F160" s="36">
        <v>0</v>
      </c>
      <c r="G160" s="36">
        <v>0</v>
      </c>
      <c r="H160" s="36">
        <v>0</v>
      </c>
      <c r="I160" s="36">
        <v>0</v>
      </c>
      <c r="J160" s="36">
        <v>0</v>
      </c>
      <c r="K160" s="36">
        <v>0</v>
      </c>
      <c r="L160" s="36">
        <v>0</v>
      </c>
      <c r="M160" s="36">
        <v>0</v>
      </c>
      <c r="N160" s="36">
        <v>15659.836517321137</v>
      </c>
      <c r="O160" s="36">
        <v>8170.59</v>
      </c>
      <c r="P160" s="36">
        <v>0</v>
      </c>
      <c r="Q160" s="36">
        <v>0</v>
      </c>
      <c r="R160" s="36">
        <v>0</v>
      </c>
      <c r="S160" s="36">
        <v>11926.761735126316</v>
      </c>
      <c r="T160" s="36">
        <v>0</v>
      </c>
      <c r="U160" s="36">
        <v>137.2699306050358</v>
      </c>
      <c r="V160" s="36">
        <v>0</v>
      </c>
      <c r="W160" s="36">
        <v>23161.086397500203</v>
      </c>
      <c r="X160" s="36">
        <v>0</v>
      </c>
      <c r="Y160" s="36">
        <v>21600.966662199415</v>
      </c>
      <c r="Z160" s="36">
        <v>0</v>
      </c>
      <c r="AA160" s="36">
        <v>0</v>
      </c>
      <c r="AB160" s="36">
        <v>8170.59</v>
      </c>
      <c r="AC160" s="36"/>
      <c r="AD160" s="36">
        <v>0</v>
      </c>
      <c r="AE160" s="36">
        <v>0</v>
      </c>
      <c r="AF160" s="36">
        <v>0</v>
      </c>
      <c r="AG160" s="36">
        <v>19958.186455778508</v>
      </c>
      <c r="AH160" s="36">
        <v>0</v>
      </c>
      <c r="AI160" s="36">
        <v>23945.579662313103</v>
      </c>
      <c r="AJ160" s="36">
        <v>0</v>
      </c>
      <c r="AK160" s="36">
        <v>0</v>
      </c>
      <c r="AL160" s="36">
        <v>0</v>
      </c>
      <c r="AM160" s="36">
        <v>0</v>
      </c>
      <c r="AN160" s="36">
        <v>0</v>
      </c>
      <c r="AO160" s="36">
        <v>109294.52712236195</v>
      </c>
      <c r="AP160" s="36">
        <v>8170.59</v>
      </c>
      <c r="AQ160" s="36">
        <v>0</v>
      </c>
      <c r="AR160" s="36">
        <v>0</v>
      </c>
      <c r="AS160" s="36">
        <v>0</v>
      </c>
      <c r="AT160" s="36">
        <v>24042.182374965061</v>
      </c>
      <c r="AU160" s="36">
        <v>0</v>
      </c>
      <c r="AV160" s="36">
        <v>39369.782510649879</v>
      </c>
      <c r="AW160" s="36">
        <v>0</v>
      </c>
      <c r="AX160" s="36">
        <v>125377.24809319737</v>
      </c>
      <c r="AY160" s="36">
        <v>0</v>
      </c>
      <c r="AZ160" s="36">
        <v>98745.114542806085</v>
      </c>
      <c r="BA160" s="36">
        <v>0</v>
      </c>
      <c r="BB160" s="36">
        <v>0</v>
      </c>
      <c r="BC160" s="36">
        <v>8170.59</v>
      </c>
      <c r="BD160" s="36"/>
      <c r="BE160" s="36">
        <v>0</v>
      </c>
      <c r="BF160" s="36">
        <v>0</v>
      </c>
      <c r="BG160" s="36">
        <v>0</v>
      </c>
      <c r="BH160" s="36">
        <v>44120.744305256776</v>
      </c>
      <c r="BI160" s="36">
        <v>0</v>
      </c>
      <c r="BJ160" s="36">
        <v>87077.09390430541</v>
      </c>
      <c r="BK160" s="36">
        <v>0</v>
      </c>
      <c r="BL160" s="36">
        <v>0</v>
      </c>
      <c r="BM160" s="36">
        <v>0</v>
      </c>
      <c r="BN160" s="36">
        <v>0</v>
      </c>
      <c r="BO160" s="36">
        <v>0</v>
      </c>
      <c r="BP160" s="36">
        <v>290145.83421522722</v>
      </c>
      <c r="BQ160" s="36">
        <v>8170.59</v>
      </c>
      <c r="BR160" s="36">
        <v>0</v>
      </c>
      <c r="BS160" s="36">
        <v>0</v>
      </c>
      <c r="BT160" s="36">
        <v>0</v>
      </c>
      <c r="BU160" s="36">
        <v>39296.874867563849</v>
      </c>
      <c r="BV160" s="36">
        <v>0</v>
      </c>
      <c r="BW160" s="36">
        <v>68752.461839602896</v>
      </c>
      <c r="BX160" s="36">
        <v>80469.243126407368</v>
      </c>
      <c r="BY160" s="36">
        <v>182446.05992971128</v>
      </c>
      <c r="BZ160" s="36">
        <v>83533.263286707894</v>
      </c>
      <c r="CA160" s="36">
        <v>198316.76551176398</v>
      </c>
      <c r="CB160" s="36">
        <v>8360.7455062010267</v>
      </c>
      <c r="CC160" s="36">
        <v>0</v>
      </c>
      <c r="CD160" s="36">
        <v>8170.59</v>
      </c>
      <c r="CE160" s="36"/>
      <c r="CF160" s="36">
        <v>0</v>
      </c>
      <c r="CG160" s="36">
        <v>0</v>
      </c>
    </row>
    <row r="161" spans="1:85">
      <c r="A161" s="143" t="s">
        <v>648</v>
      </c>
      <c r="B161" s="36">
        <v>1488.655</v>
      </c>
      <c r="C161" s="36"/>
      <c r="D161" s="36">
        <v>0</v>
      </c>
      <c r="E161" s="36">
        <v>0</v>
      </c>
      <c r="F161" s="36">
        <v>0</v>
      </c>
      <c r="G161" s="36">
        <v>0</v>
      </c>
      <c r="H161" s="36">
        <v>0</v>
      </c>
      <c r="I161" s="36">
        <v>0</v>
      </c>
      <c r="J161" s="36">
        <v>0</v>
      </c>
      <c r="K161" s="36">
        <v>0</v>
      </c>
      <c r="L161" s="36">
        <v>0</v>
      </c>
      <c r="M161" s="36">
        <v>0</v>
      </c>
      <c r="N161" s="36">
        <v>0</v>
      </c>
      <c r="O161" s="36">
        <v>1488.655</v>
      </c>
      <c r="P161" s="36">
        <v>0</v>
      </c>
      <c r="Q161" s="36">
        <v>5400.414664615384</v>
      </c>
      <c r="R161" s="36">
        <v>0</v>
      </c>
      <c r="S161" s="36">
        <v>0</v>
      </c>
      <c r="T161" s="36">
        <v>0</v>
      </c>
      <c r="U161" s="36">
        <v>411.80979181510736</v>
      </c>
      <c r="V161" s="36">
        <v>0</v>
      </c>
      <c r="W161" s="36">
        <v>3233.7786984043209</v>
      </c>
      <c r="X161" s="36">
        <v>0</v>
      </c>
      <c r="Y161" s="36">
        <v>3750.7435768960249</v>
      </c>
      <c r="Z161" s="36">
        <v>0</v>
      </c>
      <c r="AA161" s="36">
        <v>0</v>
      </c>
      <c r="AB161" s="36">
        <v>1488.655</v>
      </c>
      <c r="AC161" s="36"/>
      <c r="AD161" s="36">
        <v>0</v>
      </c>
      <c r="AE161" s="36">
        <v>2632.3573885706319</v>
      </c>
      <c r="AF161" s="36">
        <v>5441.5085261016957</v>
      </c>
      <c r="AG161" s="36">
        <v>0</v>
      </c>
      <c r="AH161" s="36">
        <v>0</v>
      </c>
      <c r="AI161" s="36">
        <v>0</v>
      </c>
      <c r="AJ161" s="36">
        <v>0</v>
      </c>
      <c r="AK161" s="36">
        <v>0</v>
      </c>
      <c r="AL161" s="36">
        <v>0</v>
      </c>
      <c r="AM161" s="36">
        <v>0</v>
      </c>
      <c r="AN161" s="36">
        <v>0</v>
      </c>
      <c r="AO161" s="36">
        <v>0</v>
      </c>
      <c r="AP161" s="36">
        <v>1488.655</v>
      </c>
      <c r="AQ161" s="36">
        <v>0</v>
      </c>
      <c r="AR161" s="36">
        <v>5400.414664615384</v>
      </c>
      <c r="AS161" s="36">
        <v>0</v>
      </c>
      <c r="AT161" s="36">
        <v>0</v>
      </c>
      <c r="AU161" s="36">
        <v>0</v>
      </c>
      <c r="AV161" s="36">
        <v>411.80979181510736</v>
      </c>
      <c r="AW161" s="36">
        <v>0</v>
      </c>
      <c r="AX161" s="36">
        <v>4478.2182182757851</v>
      </c>
      <c r="AY161" s="36">
        <v>0</v>
      </c>
      <c r="AZ161" s="36">
        <v>7268.104634268173</v>
      </c>
      <c r="BA161" s="36">
        <v>0</v>
      </c>
      <c r="BB161" s="36">
        <v>0</v>
      </c>
      <c r="BC161" s="36">
        <v>1488.655</v>
      </c>
      <c r="BD161" s="36"/>
      <c r="BE161" s="36">
        <v>0</v>
      </c>
      <c r="BF161" s="36">
        <v>935.68315252587854</v>
      </c>
      <c r="BG161" s="36">
        <v>18348.776497640596</v>
      </c>
      <c r="BH161" s="36">
        <v>0</v>
      </c>
      <c r="BI161" s="36">
        <v>0</v>
      </c>
      <c r="BJ161" s="36">
        <v>0</v>
      </c>
      <c r="BK161" s="36">
        <v>0</v>
      </c>
      <c r="BL161" s="36">
        <v>0</v>
      </c>
      <c r="BM161" s="36">
        <v>0</v>
      </c>
      <c r="BN161" s="36">
        <v>0</v>
      </c>
      <c r="BO161" s="36">
        <v>0</v>
      </c>
      <c r="BP161" s="36">
        <v>0</v>
      </c>
      <c r="BQ161" s="36">
        <v>1488.655</v>
      </c>
      <c r="BR161" s="36">
        <v>0</v>
      </c>
      <c r="BS161" s="36">
        <v>5400.4146646153849</v>
      </c>
      <c r="BT161" s="36">
        <v>0</v>
      </c>
      <c r="BU161" s="36">
        <v>0</v>
      </c>
      <c r="BV161" s="36">
        <v>0</v>
      </c>
      <c r="BW161" s="36">
        <v>411.80979181510736</v>
      </c>
      <c r="BX161" s="36">
        <v>9079.5091708633045</v>
      </c>
      <c r="BY161" s="36">
        <v>9455.9762977616429</v>
      </c>
      <c r="BZ161" s="36">
        <v>12258.039692893461</v>
      </c>
      <c r="CA161" s="36">
        <v>0</v>
      </c>
      <c r="CB161" s="36">
        <v>0</v>
      </c>
      <c r="CC161" s="36">
        <v>0</v>
      </c>
      <c r="CD161" s="36">
        <v>1488.655</v>
      </c>
      <c r="CE161" s="36"/>
      <c r="CF161" s="36">
        <v>0</v>
      </c>
      <c r="CG161" s="36">
        <v>0</v>
      </c>
    </row>
    <row r="162" spans="1:85">
      <c r="A162" s="143" t="s">
        <v>649</v>
      </c>
      <c r="B162" s="36">
        <v>26544.2</v>
      </c>
      <c r="C162" s="36"/>
      <c r="D162" s="36">
        <v>0</v>
      </c>
      <c r="E162" s="36">
        <v>0</v>
      </c>
      <c r="F162" s="36">
        <v>0</v>
      </c>
      <c r="G162" s="36">
        <v>0</v>
      </c>
      <c r="H162" s="36">
        <v>0</v>
      </c>
      <c r="I162" s="36">
        <v>0</v>
      </c>
      <c r="J162" s="36">
        <v>0</v>
      </c>
      <c r="K162" s="36">
        <v>0</v>
      </c>
      <c r="L162" s="36">
        <v>0</v>
      </c>
      <c r="M162" s="36">
        <v>0</v>
      </c>
      <c r="N162" s="36">
        <v>14753.742609226529</v>
      </c>
      <c r="O162" s="36">
        <v>26544.2</v>
      </c>
      <c r="P162" s="36">
        <v>0</v>
      </c>
      <c r="Q162" s="36">
        <v>0</v>
      </c>
      <c r="R162" s="36">
        <v>0</v>
      </c>
      <c r="S162" s="36">
        <v>0</v>
      </c>
      <c r="T162" s="36">
        <v>0</v>
      </c>
      <c r="U162" s="36">
        <v>960.88951423525077</v>
      </c>
      <c r="V162" s="36">
        <v>0</v>
      </c>
      <c r="W162" s="36">
        <v>4656.2545965465642</v>
      </c>
      <c r="X162" s="36">
        <v>0</v>
      </c>
      <c r="Y162" s="36">
        <v>44428.621541245338</v>
      </c>
      <c r="Z162" s="36">
        <v>0</v>
      </c>
      <c r="AA162" s="36">
        <v>0</v>
      </c>
      <c r="AB162" s="36">
        <v>26544.2</v>
      </c>
      <c r="AC162" s="36"/>
      <c r="AD162" s="36">
        <v>0</v>
      </c>
      <c r="AE162" s="36">
        <v>0</v>
      </c>
      <c r="AF162" s="36">
        <v>13953.945724908916</v>
      </c>
      <c r="AG162" s="36">
        <v>0</v>
      </c>
      <c r="AH162" s="36">
        <v>0</v>
      </c>
      <c r="AI162" s="36">
        <v>137.2699306050358</v>
      </c>
      <c r="AJ162" s="36">
        <v>0</v>
      </c>
      <c r="AK162" s="36">
        <v>0</v>
      </c>
      <c r="AL162" s="36">
        <v>0</v>
      </c>
      <c r="AM162" s="36">
        <v>0</v>
      </c>
      <c r="AN162" s="36">
        <v>0</v>
      </c>
      <c r="AO162" s="36">
        <v>40405.940315831736</v>
      </c>
      <c r="AP162" s="36">
        <v>26544.2</v>
      </c>
      <c r="AQ162" s="36">
        <v>0</v>
      </c>
      <c r="AR162" s="36">
        <v>0</v>
      </c>
      <c r="AS162" s="36">
        <v>0</v>
      </c>
      <c r="AT162" s="36">
        <v>0</v>
      </c>
      <c r="AU162" s="36">
        <v>0</v>
      </c>
      <c r="AV162" s="36">
        <v>1921.7790284705015</v>
      </c>
      <c r="AW162" s="36">
        <v>0</v>
      </c>
      <c r="AX162" s="36">
        <v>6342.662772263765</v>
      </c>
      <c r="AY162" s="36">
        <v>0</v>
      </c>
      <c r="AZ162" s="36">
        <v>84185.586559834046</v>
      </c>
      <c r="BA162" s="36">
        <v>0</v>
      </c>
      <c r="BB162" s="36">
        <v>0</v>
      </c>
      <c r="BC162" s="36">
        <v>26544.2</v>
      </c>
      <c r="BD162" s="36"/>
      <c r="BE162" s="36">
        <v>0</v>
      </c>
      <c r="BF162" s="36">
        <v>0</v>
      </c>
      <c r="BG162" s="36">
        <v>55718.925994888858</v>
      </c>
      <c r="BH162" s="36">
        <v>0</v>
      </c>
      <c r="BI162" s="36">
        <v>0</v>
      </c>
      <c r="BJ162" s="36">
        <v>2860.2963827982348</v>
      </c>
      <c r="BK162" s="36">
        <v>0</v>
      </c>
      <c r="BL162" s="36">
        <v>0</v>
      </c>
      <c r="BM162" s="36">
        <v>0</v>
      </c>
      <c r="BN162" s="36">
        <v>0</v>
      </c>
      <c r="BO162" s="36">
        <v>0</v>
      </c>
      <c r="BP162" s="36">
        <v>106063.0714579238</v>
      </c>
      <c r="BQ162" s="36">
        <v>26544.2</v>
      </c>
      <c r="BR162" s="36">
        <v>0</v>
      </c>
      <c r="BS162" s="36">
        <v>0</v>
      </c>
      <c r="BT162" s="36">
        <v>0</v>
      </c>
      <c r="BU162" s="36">
        <v>0</v>
      </c>
      <c r="BV162" s="36">
        <v>0</v>
      </c>
      <c r="BW162" s="36">
        <v>4782.0754112687355</v>
      </c>
      <c r="BX162" s="36">
        <v>69720.922579567836</v>
      </c>
      <c r="BY162" s="36">
        <v>29274.648410653783</v>
      </c>
      <c r="BZ162" s="36">
        <v>78509.513597091456</v>
      </c>
      <c r="CA162" s="36">
        <v>114223.62604133978</v>
      </c>
      <c r="CB162" s="36">
        <v>3578.9330534656165</v>
      </c>
      <c r="CC162" s="36">
        <v>0</v>
      </c>
      <c r="CD162" s="36">
        <v>26544.2</v>
      </c>
      <c r="CE162" s="36"/>
      <c r="CF162" s="36">
        <v>0</v>
      </c>
      <c r="CG162" s="36">
        <v>0</v>
      </c>
    </row>
    <row r="163" spans="1:85">
      <c r="A163" s="143" t="s">
        <v>650</v>
      </c>
      <c r="B163" s="36">
        <v>20779.454999999998</v>
      </c>
      <c r="C163" s="36"/>
      <c r="D163" s="36">
        <v>0</v>
      </c>
      <c r="E163" s="36">
        <v>0</v>
      </c>
      <c r="F163" s="36">
        <v>0</v>
      </c>
      <c r="G163" s="36">
        <v>0</v>
      </c>
      <c r="H163" s="36">
        <v>0</v>
      </c>
      <c r="I163" s="36">
        <v>0</v>
      </c>
      <c r="J163" s="36">
        <v>0</v>
      </c>
      <c r="K163" s="36">
        <v>0</v>
      </c>
      <c r="L163" s="36">
        <v>0</v>
      </c>
      <c r="M163" s="36">
        <v>0</v>
      </c>
      <c r="N163" s="36">
        <v>0</v>
      </c>
      <c r="O163" s="36">
        <v>20779.454999999998</v>
      </c>
      <c r="P163" s="36">
        <v>0</v>
      </c>
      <c r="Q163" s="36">
        <v>2392.3202752710395</v>
      </c>
      <c r="R163" s="36">
        <v>0</v>
      </c>
      <c r="S163" s="36">
        <v>0</v>
      </c>
      <c r="T163" s="36">
        <v>0</v>
      </c>
      <c r="U163" s="36">
        <v>549.0797224201433</v>
      </c>
      <c r="V163" s="36">
        <v>0</v>
      </c>
      <c r="W163" s="36">
        <v>0</v>
      </c>
      <c r="X163" s="36">
        <v>0</v>
      </c>
      <c r="Y163" s="36">
        <v>3899.2110862145846</v>
      </c>
      <c r="Z163" s="36">
        <v>0</v>
      </c>
      <c r="AA163" s="36">
        <v>0</v>
      </c>
      <c r="AB163" s="36">
        <v>20779.454999999998</v>
      </c>
      <c r="AC163" s="36"/>
      <c r="AD163" s="36">
        <v>0</v>
      </c>
      <c r="AE163" s="36">
        <v>6499.6646903478595</v>
      </c>
      <c r="AF163" s="36">
        <v>5134.883738972464</v>
      </c>
      <c r="AG163" s="36">
        <v>0</v>
      </c>
      <c r="AH163" s="36">
        <v>0</v>
      </c>
      <c r="AI163" s="36">
        <v>0</v>
      </c>
      <c r="AJ163" s="36">
        <v>0</v>
      </c>
      <c r="AK163" s="36">
        <v>0</v>
      </c>
      <c r="AL163" s="36">
        <v>0</v>
      </c>
      <c r="AM163" s="36">
        <v>0</v>
      </c>
      <c r="AN163" s="36">
        <v>0</v>
      </c>
      <c r="AO163" s="36">
        <v>0</v>
      </c>
      <c r="AP163" s="36">
        <v>20779.454999999998</v>
      </c>
      <c r="AQ163" s="36">
        <v>0</v>
      </c>
      <c r="AR163" s="36">
        <v>5733.9515772063987</v>
      </c>
      <c r="AS163" s="36">
        <v>0</v>
      </c>
      <c r="AT163" s="36">
        <v>0</v>
      </c>
      <c r="AU163" s="36">
        <v>0</v>
      </c>
      <c r="AV163" s="36">
        <v>549.0797224201433</v>
      </c>
      <c r="AW163" s="36">
        <v>0</v>
      </c>
      <c r="AX163" s="36">
        <v>0</v>
      </c>
      <c r="AY163" s="36">
        <v>0</v>
      </c>
      <c r="AZ163" s="36">
        <v>5680.218022426161</v>
      </c>
      <c r="BA163" s="36">
        <v>0</v>
      </c>
      <c r="BB163" s="36">
        <v>0</v>
      </c>
      <c r="BC163" s="36">
        <v>20779.454999999998</v>
      </c>
      <c r="BD163" s="36"/>
      <c r="BE163" s="36">
        <v>0</v>
      </c>
      <c r="BF163" s="36">
        <v>22068.162739132935</v>
      </c>
      <c r="BG163" s="36">
        <v>11657.262459682655</v>
      </c>
      <c r="BH163" s="36">
        <v>0</v>
      </c>
      <c r="BI163" s="36">
        <v>0</v>
      </c>
      <c r="BJ163" s="36">
        <v>0</v>
      </c>
      <c r="BK163" s="36">
        <v>0</v>
      </c>
      <c r="BL163" s="36">
        <v>0</v>
      </c>
      <c r="BM163" s="36">
        <v>0</v>
      </c>
      <c r="BN163" s="36">
        <v>0</v>
      </c>
      <c r="BO163" s="36">
        <v>0</v>
      </c>
      <c r="BP163" s="36">
        <v>0</v>
      </c>
      <c r="BQ163" s="36">
        <v>20779.454999999998</v>
      </c>
      <c r="BR163" s="36">
        <v>0</v>
      </c>
      <c r="BS163" s="36">
        <v>19162.725517747233</v>
      </c>
      <c r="BT163" s="36">
        <v>0</v>
      </c>
      <c r="BU163" s="36">
        <v>0</v>
      </c>
      <c r="BV163" s="36">
        <v>0</v>
      </c>
      <c r="BW163" s="36">
        <v>686.34965302517912</v>
      </c>
      <c r="BX163" s="36">
        <v>8344.042837512141</v>
      </c>
      <c r="BY163" s="36">
        <v>0</v>
      </c>
      <c r="BZ163" s="36">
        <v>9438.2265865366535</v>
      </c>
      <c r="CA163" s="36">
        <v>569.17584229134081</v>
      </c>
      <c r="CB163" s="36">
        <v>0</v>
      </c>
      <c r="CC163" s="36">
        <v>0</v>
      </c>
      <c r="CD163" s="36">
        <v>20779.454999999998</v>
      </c>
      <c r="CE163" s="36"/>
      <c r="CF163" s="36">
        <v>0</v>
      </c>
      <c r="CG163" s="36">
        <v>0</v>
      </c>
    </row>
    <row r="164" spans="1:85">
      <c r="A164" s="143" t="s">
        <v>651</v>
      </c>
      <c r="B164" s="36">
        <v>630.28</v>
      </c>
      <c r="C164" s="36"/>
      <c r="D164" s="36">
        <v>0</v>
      </c>
      <c r="E164" s="36">
        <v>0</v>
      </c>
      <c r="F164" s="36">
        <v>0</v>
      </c>
      <c r="G164" s="36">
        <v>0</v>
      </c>
      <c r="H164" s="36">
        <v>0</v>
      </c>
      <c r="I164" s="36">
        <v>0</v>
      </c>
      <c r="J164" s="36">
        <v>0</v>
      </c>
      <c r="K164" s="36">
        <v>0</v>
      </c>
      <c r="L164" s="36">
        <v>0</v>
      </c>
      <c r="M164" s="36">
        <v>0</v>
      </c>
      <c r="N164" s="36">
        <v>0</v>
      </c>
      <c r="O164" s="36">
        <v>630.28</v>
      </c>
      <c r="P164" s="36">
        <v>0</v>
      </c>
      <c r="Q164" s="36">
        <v>2941.3339552309758</v>
      </c>
      <c r="R164" s="36">
        <v>0</v>
      </c>
      <c r="S164" s="36">
        <v>0</v>
      </c>
      <c r="T164" s="36">
        <v>0</v>
      </c>
      <c r="U164" s="36">
        <v>0</v>
      </c>
      <c r="V164" s="36">
        <v>0</v>
      </c>
      <c r="W164" s="36">
        <v>0</v>
      </c>
      <c r="X164" s="36">
        <v>0</v>
      </c>
      <c r="Y164" s="36">
        <v>0</v>
      </c>
      <c r="Z164" s="36">
        <v>0</v>
      </c>
      <c r="AA164" s="36">
        <v>0</v>
      </c>
      <c r="AB164" s="36">
        <v>630.28</v>
      </c>
      <c r="AC164" s="36"/>
      <c r="AD164" s="36">
        <v>0</v>
      </c>
      <c r="AE164" s="36">
        <v>0</v>
      </c>
      <c r="AF164" s="36">
        <v>0</v>
      </c>
      <c r="AG164" s="36">
        <v>0</v>
      </c>
      <c r="AH164" s="36">
        <v>0</v>
      </c>
      <c r="AI164" s="36">
        <v>0</v>
      </c>
      <c r="AJ164" s="36">
        <v>0</v>
      </c>
      <c r="AK164" s="36">
        <v>0</v>
      </c>
      <c r="AL164" s="36">
        <v>0</v>
      </c>
      <c r="AM164" s="36">
        <v>0</v>
      </c>
      <c r="AN164" s="36">
        <v>0</v>
      </c>
      <c r="AO164" s="36">
        <v>0</v>
      </c>
      <c r="AP164" s="36">
        <v>630.28</v>
      </c>
      <c r="AQ164" s="36">
        <v>0</v>
      </c>
      <c r="AR164" s="36">
        <v>4131.8719403079685</v>
      </c>
      <c r="AS164" s="36">
        <v>0</v>
      </c>
      <c r="AT164" s="36">
        <v>0</v>
      </c>
      <c r="AU164" s="36">
        <v>0</v>
      </c>
      <c r="AV164" s="36">
        <v>0</v>
      </c>
      <c r="AW164" s="36">
        <v>0</v>
      </c>
      <c r="AX164" s="36">
        <v>0</v>
      </c>
      <c r="AY164" s="36">
        <v>0</v>
      </c>
      <c r="AZ164" s="36">
        <v>0</v>
      </c>
      <c r="BA164" s="36">
        <v>0</v>
      </c>
      <c r="BB164" s="36">
        <v>0</v>
      </c>
      <c r="BC164" s="36">
        <v>630.28</v>
      </c>
      <c r="BD164" s="36"/>
      <c r="BE164" s="36">
        <v>0</v>
      </c>
      <c r="BF164" s="36">
        <v>0</v>
      </c>
      <c r="BG164" s="36">
        <v>4762.1519403079683</v>
      </c>
      <c r="BH164" s="36">
        <v>0</v>
      </c>
      <c r="BI164" s="36">
        <v>0</v>
      </c>
      <c r="BJ164" s="36">
        <v>0</v>
      </c>
      <c r="BK164" s="36">
        <v>0</v>
      </c>
      <c r="BL164" s="36">
        <v>0</v>
      </c>
      <c r="BM164" s="36">
        <v>0</v>
      </c>
      <c r="BN164" s="36">
        <v>0</v>
      </c>
      <c r="BO164" s="36">
        <v>0</v>
      </c>
      <c r="BP164" s="36">
        <v>0</v>
      </c>
      <c r="BQ164" s="36">
        <v>630.28</v>
      </c>
      <c r="BR164" s="36">
        <v>0</v>
      </c>
      <c r="BS164" s="36">
        <v>6421.7233625170893</v>
      </c>
      <c r="BT164" s="36">
        <v>0</v>
      </c>
      <c r="BU164" s="36">
        <v>0</v>
      </c>
      <c r="BV164" s="36">
        <v>0</v>
      </c>
      <c r="BW164" s="36">
        <v>2860.2963827982344</v>
      </c>
      <c r="BX164" s="36">
        <v>889.45644655747071</v>
      </c>
      <c r="BY164" s="36">
        <v>0</v>
      </c>
      <c r="BZ164" s="36">
        <v>0</v>
      </c>
      <c r="CA164" s="36">
        <v>1445.5741409363404</v>
      </c>
      <c r="CB164" s="36">
        <v>0</v>
      </c>
      <c r="CC164" s="36">
        <v>0</v>
      </c>
      <c r="CD164" s="36">
        <v>630.28</v>
      </c>
      <c r="CE164" s="36"/>
      <c r="CF164" s="36">
        <v>0</v>
      </c>
      <c r="CG164" s="36">
        <v>0</v>
      </c>
    </row>
    <row r="165" spans="1:85">
      <c r="A165" s="143" t="s">
        <v>652</v>
      </c>
      <c r="B165" s="36">
        <v>146041.05000000002</v>
      </c>
      <c r="C165" s="36"/>
      <c r="D165" s="36">
        <v>21209.5142276058</v>
      </c>
      <c r="E165" s="36">
        <v>0</v>
      </c>
      <c r="F165" s="36">
        <v>0</v>
      </c>
      <c r="G165" s="36">
        <v>0</v>
      </c>
      <c r="H165" s="36">
        <v>0</v>
      </c>
      <c r="I165" s="36">
        <v>0</v>
      </c>
      <c r="J165" s="36">
        <v>0</v>
      </c>
      <c r="K165" s="36">
        <v>0</v>
      </c>
      <c r="L165" s="36">
        <v>0</v>
      </c>
      <c r="M165" s="36">
        <v>0</v>
      </c>
      <c r="N165" s="36">
        <v>0</v>
      </c>
      <c r="O165" s="36">
        <v>146041.05000000002</v>
      </c>
      <c r="P165" s="36">
        <v>0</v>
      </c>
      <c r="Q165" s="36">
        <v>28995.818680691431</v>
      </c>
      <c r="R165" s="36">
        <v>0</v>
      </c>
      <c r="S165" s="36">
        <v>0</v>
      </c>
      <c r="T165" s="36">
        <v>0</v>
      </c>
      <c r="U165" s="36">
        <v>0</v>
      </c>
      <c r="V165" s="36">
        <v>0</v>
      </c>
      <c r="W165" s="36">
        <v>0</v>
      </c>
      <c r="X165" s="36">
        <v>0</v>
      </c>
      <c r="Y165" s="36">
        <v>0</v>
      </c>
      <c r="Z165" s="36">
        <v>0</v>
      </c>
      <c r="AA165" s="36">
        <v>0</v>
      </c>
      <c r="AB165" s="36">
        <v>146041.05000000002</v>
      </c>
      <c r="AC165" s="36"/>
      <c r="AD165" s="36">
        <v>0</v>
      </c>
      <c r="AE165" s="36">
        <v>38510.036789051286</v>
      </c>
      <c r="AF165" s="36">
        <v>9347.4439709212802</v>
      </c>
      <c r="AG165" s="36">
        <v>0</v>
      </c>
      <c r="AH165" s="36">
        <v>0</v>
      </c>
      <c r="AI165" s="36">
        <v>0</v>
      </c>
      <c r="AJ165" s="36">
        <v>0</v>
      </c>
      <c r="AK165" s="36">
        <v>0</v>
      </c>
      <c r="AL165" s="36">
        <v>0</v>
      </c>
      <c r="AM165" s="36">
        <v>0</v>
      </c>
      <c r="AN165" s="36">
        <v>0</v>
      </c>
      <c r="AO165" s="36">
        <v>0</v>
      </c>
      <c r="AP165" s="36">
        <v>146041.05000000002</v>
      </c>
      <c r="AQ165" s="36">
        <v>0</v>
      </c>
      <c r="AR165" s="36">
        <v>66989.31960167551</v>
      </c>
      <c r="AS165" s="36">
        <v>0</v>
      </c>
      <c r="AT165" s="36">
        <v>4080.832489447429</v>
      </c>
      <c r="AU165" s="36">
        <v>0</v>
      </c>
      <c r="AV165" s="36">
        <v>0</v>
      </c>
      <c r="AW165" s="36">
        <v>0</v>
      </c>
      <c r="AX165" s="36">
        <v>0</v>
      </c>
      <c r="AY165" s="36">
        <v>0</v>
      </c>
      <c r="AZ165" s="36">
        <v>0</v>
      </c>
      <c r="BA165" s="36">
        <v>0</v>
      </c>
      <c r="BB165" s="36">
        <v>0</v>
      </c>
      <c r="BC165" s="36">
        <v>146041.05000000002</v>
      </c>
      <c r="BD165" s="36"/>
      <c r="BE165" s="36">
        <v>0</v>
      </c>
      <c r="BF165" s="36">
        <v>108047.35801557818</v>
      </c>
      <c r="BG165" s="36">
        <v>101256.34072486758</v>
      </c>
      <c r="BH165" s="36">
        <v>10593.421017418012</v>
      </c>
      <c r="BI165" s="36">
        <v>0</v>
      </c>
      <c r="BJ165" s="36">
        <v>0</v>
      </c>
      <c r="BK165" s="36">
        <v>0</v>
      </c>
      <c r="BL165" s="36">
        <v>0</v>
      </c>
      <c r="BM165" s="36">
        <v>0</v>
      </c>
      <c r="BN165" s="36">
        <v>0</v>
      </c>
      <c r="BO165" s="36">
        <v>0</v>
      </c>
      <c r="BP165" s="36">
        <v>0</v>
      </c>
      <c r="BQ165" s="36">
        <v>146041.05000000002</v>
      </c>
      <c r="BR165" s="36">
        <v>0</v>
      </c>
      <c r="BS165" s="36">
        <v>83518.568451234241</v>
      </c>
      <c r="BT165" s="36">
        <v>0</v>
      </c>
      <c r="BU165" s="36">
        <v>10593.421017418012</v>
      </c>
      <c r="BV165" s="36">
        <v>0</v>
      </c>
      <c r="BW165" s="36">
        <v>3546.6460358234135</v>
      </c>
      <c r="BX165" s="36">
        <v>25749.465918563372</v>
      </c>
      <c r="BY165" s="36">
        <v>7423.2888113386962</v>
      </c>
      <c r="BZ165" s="36">
        <v>46754.452480563959</v>
      </c>
      <c r="CA165" s="36">
        <v>81370.475115897512</v>
      </c>
      <c r="CB165" s="36">
        <v>1611.2356606702208</v>
      </c>
      <c r="CC165" s="36">
        <v>0</v>
      </c>
      <c r="CD165" s="36">
        <v>146041.05000000002</v>
      </c>
      <c r="CE165" s="36"/>
      <c r="CF165" s="36">
        <v>0</v>
      </c>
      <c r="CG165" s="36">
        <v>0</v>
      </c>
    </row>
    <row r="166" spans="1:85">
      <c r="A166" s="143" t="s">
        <v>653</v>
      </c>
      <c r="B166" s="36">
        <v>614.65499999999997</v>
      </c>
      <c r="C166" s="36"/>
      <c r="D166" s="36">
        <v>0</v>
      </c>
      <c r="E166" s="36">
        <v>0</v>
      </c>
      <c r="F166" s="36">
        <v>0</v>
      </c>
      <c r="G166" s="36">
        <v>0</v>
      </c>
      <c r="H166" s="36">
        <v>0</v>
      </c>
      <c r="I166" s="36">
        <v>0</v>
      </c>
      <c r="J166" s="36">
        <v>0</v>
      </c>
      <c r="K166" s="36">
        <v>0</v>
      </c>
      <c r="L166" s="36">
        <v>0</v>
      </c>
      <c r="M166" s="36">
        <v>0</v>
      </c>
      <c r="N166" s="36">
        <v>0</v>
      </c>
      <c r="O166" s="36">
        <v>614.65499999999997</v>
      </c>
      <c r="P166" s="36">
        <v>0</v>
      </c>
      <c r="Q166" s="36">
        <v>0</v>
      </c>
      <c r="R166" s="36">
        <v>0</v>
      </c>
      <c r="S166" s="36">
        <v>1108.6108013223479</v>
      </c>
      <c r="T166" s="36">
        <v>0</v>
      </c>
      <c r="U166" s="36">
        <v>137.2699306050358</v>
      </c>
      <c r="V166" s="36">
        <v>0</v>
      </c>
      <c r="W166" s="36">
        <v>1466.50752787788</v>
      </c>
      <c r="X166" s="36">
        <v>0</v>
      </c>
      <c r="Y166" s="36">
        <v>5108.9144508114123</v>
      </c>
      <c r="Z166" s="36">
        <v>0</v>
      </c>
      <c r="AA166" s="36">
        <v>0</v>
      </c>
      <c r="AB166" s="36">
        <v>614.65499999999997</v>
      </c>
      <c r="AC166" s="36"/>
      <c r="AD166" s="36">
        <v>0</v>
      </c>
      <c r="AE166" s="36">
        <v>0</v>
      </c>
      <c r="AF166" s="36">
        <v>0</v>
      </c>
      <c r="AG166" s="36">
        <v>1963.1272226167202</v>
      </c>
      <c r="AH166" s="36">
        <v>0</v>
      </c>
      <c r="AI166" s="36">
        <v>0</v>
      </c>
      <c r="AJ166" s="36">
        <v>0</v>
      </c>
      <c r="AK166" s="36">
        <v>0</v>
      </c>
      <c r="AL166" s="36">
        <v>0</v>
      </c>
      <c r="AM166" s="36">
        <v>0</v>
      </c>
      <c r="AN166" s="36">
        <v>0</v>
      </c>
      <c r="AO166" s="36">
        <v>0</v>
      </c>
      <c r="AP166" s="36">
        <v>614.65499999999997</v>
      </c>
      <c r="AQ166" s="36">
        <v>0</v>
      </c>
      <c r="AR166" s="36">
        <v>0</v>
      </c>
      <c r="AS166" s="36">
        <v>0</v>
      </c>
      <c r="AT166" s="36">
        <v>1518.9977350964639</v>
      </c>
      <c r="AU166" s="36">
        <v>0</v>
      </c>
      <c r="AV166" s="36">
        <v>137.2699306050358</v>
      </c>
      <c r="AW166" s="36">
        <v>0</v>
      </c>
      <c r="AX166" s="36">
        <v>1975.6233705038403</v>
      </c>
      <c r="AY166" s="36">
        <v>0</v>
      </c>
      <c r="AZ166" s="36">
        <v>7001.3975779502298</v>
      </c>
      <c r="BA166" s="36">
        <v>0</v>
      </c>
      <c r="BB166" s="36">
        <v>0</v>
      </c>
      <c r="BC166" s="36">
        <v>614.65499999999997</v>
      </c>
      <c r="BD166" s="36"/>
      <c r="BE166" s="36">
        <v>0</v>
      </c>
      <c r="BF166" s="36">
        <v>0</v>
      </c>
      <c r="BG166" s="36">
        <v>11247.943614155571</v>
      </c>
      <c r="BH166" s="36">
        <v>0</v>
      </c>
      <c r="BI166" s="36">
        <v>0</v>
      </c>
      <c r="BJ166" s="36">
        <v>0</v>
      </c>
      <c r="BK166" s="36">
        <v>0</v>
      </c>
      <c r="BL166" s="36">
        <v>0</v>
      </c>
      <c r="BM166" s="36">
        <v>0</v>
      </c>
      <c r="BN166" s="36">
        <v>0</v>
      </c>
      <c r="BO166" s="36">
        <v>0</v>
      </c>
      <c r="BP166" s="36">
        <v>0</v>
      </c>
      <c r="BQ166" s="36">
        <v>614.65499999999997</v>
      </c>
      <c r="BR166" s="36">
        <v>0</v>
      </c>
      <c r="BS166" s="36">
        <v>0</v>
      </c>
      <c r="BT166" s="36">
        <v>0</v>
      </c>
      <c r="BU166" s="36">
        <v>3160.545470192928</v>
      </c>
      <c r="BV166" s="36">
        <v>0</v>
      </c>
      <c r="BW166" s="36">
        <v>137.2699306050358</v>
      </c>
      <c r="BX166" s="36">
        <v>5646.7180005612554</v>
      </c>
      <c r="BY166" s="36">
        <v>4012.0867410076808</v>
      </c>
      <c r="BZ166" s="36">
        <v>0</v>
      </c>
      <c r="CA166" s="36">
        <v>8924.6120859442399</v>
      </c>
      <c r="CB166" s="36">
        <v>0</v>
      </c>
      <c r="CC166" s="36">
        <v>0</v>
      </c>
      <c r="CD166" s="36">
        <v>614.65499999999997</v>
      </c>
      <c r="CE166" s="36"/>
      <c r="CF166" s="36">
        <v>0</v>
      </c>
      <c r="CG166" s="36">
        <v>0</v>
      </c>
    </row>
    <row r="167" spans="1:85">
      <c r="A167" s="143" t="s">
        <v>654</v>
      </c>
      <c r="B167" s="36">
        <v>918.4</v>
      </c>
      <c r="C167" s="36"/>
      <c r="D167" s="36">
        <v>0</v>
      </c>
      <c r="E167" s="36">
        <v>0</v>
      </c>
      <c r="F167" s="36">
        <v>0</v>
      </c>
      <c r="G167" s="36">
        <v>0</v>
      </c>
      <c r="H167" s="36">
        <v>0</v>
      </c>
      <c r="I167" s="36">
        <v>0</v>
      </c>
      <c r="J167" s="36">
        <v>0</v>
      </c>
      <c r="K167" s="36">
        <v>0</v>
      </c>
      <c r="L167" s="36">
        <v>0</v>
      </c>
      <c r="M167" s="36">
        <v>0</v>
      </c>
      <c r="N167" s="36">
        <v>0</v>
      </c>
      <c r="O167" s="36">
        <v>918.4</v>
      </c>
      <c r="P167" s="36">
        <v>0</v>
      </c>
      <c r="Q167" s="36">
        <v>3623.5374840618092</v>
      </c>
      <c r="R167" s="36">
        <v>0</v>
      </c>
      <c r="S167" s="36">
        <v>0</v>
      </c>
      <c r="T167" s="36">
        <v>0</v>
      </c>
      <c r="U167" s="36">
        <v>0</v>
      </c>
      <c r="V167" s="36">
        <v>0</v>
      </c>
      <c r="W167" s="36">
        <v>0</v>
      </c>
      <c r="X167" s="36">
        <v>0</v>
      </c>
      <c r="Y167" s="36">
        <v>0</v>
      </c>
      <c r="Z167" s="36">
        <v>0</v>
      </c>
      <c r="AA167" s="36">
        <v>0</v>
      </c>
      <c r="AB167" s="36">
        <v>918.4</v>
      </c>
      <c r="AC167" s="36"/>
      <c r="AD167" s="36">
        <v>0</v>
      </c>
      <c r="AE167" s="36">
        <v>3168.896858676992</v>
      </c>
      <c r="AF167" s="36">
        <v>1654.6765213555204</v>
      </c>
      <c r="AG167" s="36">
        <v>0</v>
      </c>
      <c r="AH167" s="36">
        <v>0</v>
      </c>
      <c r="AI167" s="36">
        <v>0</v>
      </c>
      <c r="AJ167" s="36">
        <v>0</v>
      </c>
      <c r="AK167" s="36">
        <v>0</v>
      </c>
      <c r="AL167" s="36">
        <v>0</v>
      </c>
      <c r="AM167" s="36">
        <v>0</v>
      </c>
      <c r="AN167" s="36">
        <v>0</v>
      </c>
      <c r="AO167" s="36">
        <v>0</v>
      </c>
      <c r="AP167" s="36">
        <v>918.4</v>
      </c>
      <c r="AQ167" s="36">
        <v>0</v>
      </c>
      <c r="AR167" s="36">
        <v>5137.5166454157452</v>
      </c>
      <c r="AS167" s="36">
        <v>0</v>
      </c>
      <c r="AT167" s="36">
        <v>0</v>
      </c>
      <c r="AU167" s="36">
        <v>0</v>
      </c>
      <c r="AV167" s="36">
        <v>0</v>
      </c>
      <c r="AW167" s="36">
        <v>0</v>
      </c>
      <c r="AX167" s="36">
        <v>0</v>
      </c>
      <c r="AY167" s="36">
        <v>0</v>
      </c>
      <c r="AZ167" s="36">
        <v>0</v>
      </c>
      <c r="BA167" s="36">
        <v>0</v>
      </c>
      <c r="BB167" s="36">
        <v>0</v>
      </c>
      <c r="BC167" s="36">
        <v>918.4</v>
      </c>
      <c r="BD167" s="36"/>
      <c r="BE167" s="36">
        <v>0</v>
      </c>
      <c r="BF167" s="36">
        <v>6659.793717353984</v>
      </c>
      <c r="BG167" s="36">
        <v>3309.3530427110409</v>
      </c>
      <c r="BH167" s="36">
        <v>0</v>
      </c>
      <c r="BI167" s="36">
        <v>0</v>
      </c>
      <c r="BJ167" s="36">
        <v>0</v>
      </c>
      <c r="BK167" s="36">
        <v>0</v>
      </c>
      <c r="BL167" s="36">
        <v>0</v>
      </c>
      <c r="BM167" s="36">
        <v>0</v>
      </c>
      <c r="BN167" s="36">
        <v>0</v>
      </c>
      <c r="BO167" s="36">
        <v>0</v>
      </c>
      <c r="BP167" s="36">
        <v>0</v>
      </c>
      <c r="BQ167" s="36">
        <v>918.4</v>
      </c>
      <c r="BR167" s="36">
        <v>0</v>
      </c>
      <c r="BS167" s="36">
        <v>11193.43329083149</v>
      </c>
      <c r="BT167" s="36">
        <v>0</v>
      </c>
      <c r="BU167" s="36">
        <v>0</v>
      </c>
      <c r="BV167" s="36">
        <v>0</v>
      </c>
      <c r="BW167" s="36">
        <v>0</v>
      </c>
      <c r="BX167" s="36">
        <v>0</v>
      </c>
      <c r="BY167" s="36">
        <v>0</v>
      </c>
      <c r="BZ167" s="36">
        <v>0</v>
      </c>
      <c r="CA167" s="36">
        <v>0</v>
      </c>
      <c r="CB167" s="36">
        <v>0</v>
      </c>
      <c r="CC167" s="36">
        <v>0</v>
      </c>
      <c r="CD167" s="36">
        <v>918.4</v>
      </c>
      <c r="CE167" s="36"/>
      <c r="CF167" s="36">
        <v>0</v>
      </c>
      <c r="CG167" s="36">
        <v>0</v>
      </c>
    </row>
    <row r="168" spans="1:85">
      <c r="A168" s="143" t="s">
        <v>655</v>
      </c>
      <c r="B168" s="36">
        <v>34243.709999999992</v>
      </c>
      <c r="C168" s="36"/>
      <c r="D168" s="36">
        <v>0</v>
      </c>
      <c r="E168" s="36">
        <v>0</v>
      </c>
      <c r="F168" s="36">
        <v>0</v>
      </c>
      <c r="G168" s="36">
        <v>0</v>
      </c>
      <c r="H168" s="36">
        <v>0</v>
      </c>
      <c r="I168" s="36">
        <v>0</v>
      </c>
      <c r="J168" s="36">
        <v>0</v>
      </c>
      <c r="K168" s="36">
        <v>0</v>
      </c>
      <c r="L168" s="36">
        <v>0</v>
      </c>
      <c r="M168" s="36">
        <v>0</v>
      </c>
      <c r="N168" s="36">
        <v>36075.096598852964</v>
      </c>
      <c r="O168" s="36">
        <v>34243.709999999992</v>
      </c>
      <c r="P168" s="36">
        <v>0</v>
      </c>
      <c r="Q168" s="36">
        <v>3654.7412642646841</v>
      </c>
      <c r="R168" s="36">
        <v>0</v>
      </c>
      <c r="S168" s="36">
        <v>7967.6893626879955</v>
      </c>
      <c r="T168" s="36">
        <v>0</v>
      </c>
      <c r="U168" s="36">
        <v>2333.588820285609</v>
      </c>
      <c r="V168" s="36">
        <v>0</v>
      </c>
      <c r="W168" s="36">
        <v>19211.514235659655</v>
      </c>
      <c r="X168" s="36">
        <v>0</v>
      </c>
      <c r="Y168" s="36">
        <v>43101.187493858015</v>
      </c>
      <c r="Z168" s="36">
        <v>0</v>
      </c>
      <c r="AA168" s="36">
        <v>0</v>
      </c>
      <c r="AB168" s="36">
        <v>34243.709999999992</v>
      </c>
      <c r="AC168" s="36"/>
      <c r="AD168" s="36">
        <v>0</v>
      </c>
      <c r="AE168" s="36">
        <v>16363.562288003286</v>
      </c>
      <c r="AF168" s="36">
        <v>3495.4442294191922</v>
      </c>
      <c r="AG168" s="36">
        <v>7967.6893626879955</v>
      </c>
      <c r="AH168" s="36">
        <v>0</v>
      </c>
      <c r="AI168" s="36">
        <v>2470.8587508906448</v>
      </c>
      <c r="AJ168" s="36">
        <v>0</v>
      </c>
      <c r="AK168" s="36">
        <v>0</v>
      </c>
      <c r="AL168" s="36">
        <v>0</v>
      </c>
      <c r="AM168" s="36">
        <v>0</v>
      </c>
      <c r="AN168" s="36">
        <v>0</v>
      </c>
      <c r="AO168" s="36">
        <v>55851.164871219007</v>
      </c>
      <c r="AP168" s="36">
        <v>34243.709999999992</v>
      </c>
      <c r="AQ168" s="36">
        <v>0</v>
      </c>
      <c r="AR168" s="36">
        <v>18229.331696851572</v>
      </c>
      <c r="AS168" s="36">
        <v>0</v>
      </c>
      <c r="AT168" s="36">
        <v>7967.6893626879955</v>
      </c>
      <c r="AU168" s="36">
        <v>0</v>
      </c>
      <c r="AV168" s="36">
        <v>3019.9384733107881</v>
      </c>
      <c r="AW168" s="36">
        <v>0</v>
      </c>
      <c r="AX168" s="36">
        <v>23827.200000000001</v>
      </c>
      <c r="AY168" s="36">
        <v>0</v>
      </c>
      <c r="AZ168" s="36">
        <v>74457.044758245669</v>
      </c>
      <c r="BA168" s="36">
        <v>0</v>
      </c>
      <c r="BB168" s="36">
        <v>0</v>
      </c>
      <c r="BC168" s="36">
        <v>34243.709999999992</v>
      </c>
      <c r="BD168" s="36"/>
      <c r="BE168" s="36">
        <v>0</v>
      </c>
      <c r="BF168" s="36">
        <v>41358.579771066921</v>
      </c>
      <c r="BG168" s="36">
        <v>21695.692303243155</v>
      </c>
      <c r="BH168" s="36">
        <v>7967.6893626879955</v>
      </c>
      <c r="BI168" s="36">
        <v>0</v>
      </c>
      <c r="BJ168" s="36">
        <v>3843.5580569410031</v>
      </c>
      <c r="BK168" s="36">
        <v>0</v>
      </c>
      <c r="BL168" s="36">
        <v>0</v>
      </c>
      <c r="BM168" s="36">
        <v>0</v>
      </c>
      <c r="BN168" s="36">
        <v>0</v>
      </c>
      <c r="BO168" s="36">
        <v>0</v>
      </c>
      <c r="BP168" s="36">
        <v>131226.7978751653</v>
      </c>
      <c r="BQ168" s="36">
        <v>34243.709999999992</v>
      </c>
      <c r="BR168" s="36">
        <v>0</v>
      </c>
      <c r="BS168" s="36">
        <v>34523.006864461924</v>
      </c>
      <c r="BT168" s="36">
        <v>0</v>
      </c>
      <c r="BU168" s="36">
        <v>7967.6893626879955</v>
      </c>
      <c r="BV168" s="36">
        <v>0</v>
      </c>
      <c r="BW168" s="36">
        <v>4118.0979181510747</v>
      </c>
      <c r="BX168" s="36">
        <v>66865.698758525017</v>
      </c>
      <c r="BY168" s="36">
        <v>26288.051746130965</v>
      </c>
      <c r="BZ168" s="36">
        <v>78703.767134167923</v>
      </c>
      <c r="CA168" s="36">
        <v>90508.450464717112</v>
      </c>
      <c r="CB168" s="36">
        <v>13477.411636935474</v>
      </c>
      <c r="CC168" s="36">
        <v>0</v>
      </c>
      <c r="CD168" s="36">
        <v>34243.709999999992</v>
      </c>
      <c r="CE168" s="36"/>
      <c r="CF168" s="36">
        <v>0</v>
      </c>
      <c r="CG168" s="36">
        <v>0</v>
      </c>
    </row>
    <row r="169" spans="1:85">
      <c r="A169" s="143" t="s">
        <v>656</v>
      </c>
      <c r="B169" s="36">
        <v>5017.415</v>
      </c>
      <c r="C169" s="36"/>
      <c r="D169" s="36">
        <v>0</v>
      </c>
      <c r="E169" s="36">
        <v>0</v>
      </c>
      <c r="F169" s="36">
        <v>0</v>
      </c>
      <c r="G169" s="36">
        <v>0</v>
      </c>
      <c r="H169" s="36">
        <v>0</v>
      </c>
      <c r="I169" s="36">
        <v>0</v>
      </c>
      <c r="J169" s="36">
        <v>0</v>
      </c>
      <c r="K169" s="36">
        <v>0</v>
      </c>
      <c r="L169" s="36">
        <v>0</v>
      </c>
      <c r="M169" s="36">
        <v>0</v>
      </c>
      <c r="N169" s="36">
        <v>0</v>
      </c>
      <c r="O169" s="36">
        <v>5017.415</v>
      </c>
      <c r="P169" s="36">
        <v>0</v>
      </c>
      <c r="Q169" s="36">
        <v>5018.1189725970398</v>
      </c>
      <c r="R169" s="36">
        <v>0</v>
      </c>
      <c r="S169" s="36">
        <v>0</v>
      </c>
      <c r="T169" s="36">
        <v>0</v>
      </c>
      <c r="U169" s="36">
        <v>0</v>
      </c>
      <c r="V169" s="36">
        <v>0</v>
      </c>
      <c r="W169" s="36">
        <v>0</v>
      </c>
      <c r="X169" s="36">
        <v>0</v>
      </c>
      <c r="Y169" s="36">
        <v>0</v>
      </c>
      <c r="Z169" s="36">
        <v>0</v>
      </c>
      <c r="AA169" s="36">
        <v>0</v>
      </c>
      <c r="AB169" s="36">
        <v>5017.415</v>
      </c>
      <c r="AC169" s="36"/>
      <c r="AD169" s="36">
        <v>0</v>
      </c>
      <c r="AE169" s="36">
        <v>8352.5942811524819</v>
      </c>
      <c r="AF169" s="36">
        <v>0</v>
      </c>
      <c r="AG169" s="36">
        <v>0</v>
      </c>
      <c r="AH169" s="36">
        <v>0</v>
      </c>
      <c r="AI169" s="36">
        <v>0</v>
      </c>
      <c r="AJ169" s="36">
        <v>0</v>
      </c>
      <c r="AK169" s="36">
        <v>0</v>
      </c>
      <c r="AL169" s="36">
        <v>0</v>
      </c>
      <c r="AM169" s="36">
        <v>0</v>
      </c>
      <c r="AN169" s="36">
        <v>0</v>
      </c>
      <c r="AO169" s="36">
        <v>0</v>
      </c>
      <c r="AP169" s="36">
        <v>5017.415</v>
      </c>
      <c r="AQ169" s="36">
        <v>0</v>
      </c>
      <c r="AR169" s="36">
        <v>7289.2819634627213</v>
      </c>
      <c r="AS169" s="36">
        <v>0</v>
      </c>
      <c r="AT169" s="36">
        <v>0</v>
      </c>
      <c r="AU169" s="36">
        <v>0</v>
      </c>
      <c r="AV169" s="36">
        <v>0</v>
      </c>
      <c r="AW169" s="36">
        <v>0</v>
      </c>
      <c r="AX169" s="36">
        <v>0</v>
      </c>
      <c r="AY169" s="36">
        <v>0</v>
      </c>
      <c r="AZ169" s="36">
        <v>0</v>
      </c>
      <c r="BA169" s="36">
        <v>0</v>
      </c>
      <c r="BB169" s="36">
        <v>0</v>
      </c>
      <c r="BC169" s="36">
        <v>5017.415</v>
      </c>
      <c r="BD169" s="36"/>
      <c r="BE169" s="36">
        <v>0</v>
      </c>
      <c r="BF169" s="36">
        <v>5210.0419267295993</v>
      </c>
      <c r="BG169" s="36">
        <v>5952.7452851602566</v>
      </c>
      <c r="BH169" s="36">
        <v>0</v>
      </c>
      <c r="BI169" s="36">
        <v>0</v>
      </c>
      <c r="BJ169" s="36">
        <v>0</v>
      </c>
      <c r="BK169" s="36">
        <v>0</v>
      </c>
      <c r="BL169" s="36">
        <v>0</v>
      </c>
      <c r="BM169" s="36">
        <v>0</v>
      </c>
      <c r="BN169" s="36">
        <v>0</v>
      </c>
      <c r="BO169" s="36">
        <v>0</v>
      </c>
      <c r="BP169" s="36">
        <v>0</v>
      </c>
      <c r="BQ169" s="36">
        <v>5017.415</v>
      </c>
      <c r="BR169" s="36">
        <v>0</v>
      </c>
      <c r="BS169" s="36">
        <v>9805.6979391330187</v>
      </c>
      <c r="BT169" s="36">
        <v>0</v>
      </c>
      <c r="BU169" s="36">
        <v>0</v>
      </c>
      <c r="BV169" s="36">
        <v>0</v>
      </c>
      <c r="BW169" s="36">
        <v>1624.8670073529124</v>
      </c>
      <c r="BX169" s="36">
        <v>858.55607483873837</v>
      </c>
      <c r="BY169" s="36">
        <v>0</v>
      </c>
      <c r="BZ169" s="36">
        <v>463.55686257026309</v>
      </c>
      <c r="CA169" s="36">
        <v>5355.3522817661906</v>
      </c>
      <c r="CB169" s="36">
        <v>0</v>
      </c>
      <c r="CC169" s="36">
        <v>0</v>
      </c>
      <c r="CD169" s="36">
        <v>5017.415</v>
      </c>
      <c r="CE169" s="36"/>
      <c r="CF169" s="36">
        <v>0</v>
      </c>
      <c r="CG169" s="36">
        <v>0</v>
      </c>
    </row>
    <row r="170" spans="1:85">
      <c r="A170" s="143" t="s">
        <v>657</v>
      </c>
      <c r="B170" s="36">
        <v>80434.73</v>
      </c>
      <c r="C170" s="36"/>
      <c r="D170" s="36">
        <v>63709.353882389376</v>
      </c>
      <c r="E170" s="36">
        <v>0</v>
      </c>
      <c r="F170" s="36">
        <v>0</v>
      </c>
      <c r="G170" s="36">
        <v>0</v>
      </c>
      <c r="H170" s="36">
        <v>0</v>
      </c>
      <c r="I170" s="36">
        <v>0</v>
      </c>
      <c r="J170" s="36">
        <v>0</v>
      </c>
      <c r="K170" s="36">
        <v>0</v>
      </c>
      <c r="L170" s="36">
        <v>0</v>
      </c>
      <c r="M170" s="36">
        <v>0</v>
      </c>
      <c r="N170" s="36">
        <v>30876.563445047082</v>
      </c>
      <c r="O170" s="36">
        <v>80434.73</v>
      </c>
      <c r="P170" s="36">
        <v>0</v>
      </c>
      <c r="Q170" s="36">
        <v>43439.196840163335</v>
      </c>
      <c r="R170" s="36">
        <v>0</v>
      </c>
      <c r="S170" s="36">
        <v>0</v>
      </c>
      <c r="T170" s="36">
        <v>0</v>
      </c>
      <c r="U170" s="36">
        <v>7681.7691666352212</v>
      </c>
      <c r="V170" s="36">
        <v>0</v>
      </c>
      <c r="W170" s="36">
        <v>0</v>
      </c>
      <c r="X170" s="36">
        <v>0</v>
      </c>
      <c r="Y170" s="36">
        <v>72663.751849345223</v>
      </c>
      <c r="Z170" s="36">
        <v>0</v>
      </c>
      <c r="AA170" s="36">
        <v>0</v>
      </c>
      <c r="AB170" s="36">
        <v>80434.73</v>
      </c>
      <c r="AC170" s="36"/>
      <c r="AD170" s="36">
        <v>0</v>
      </c>
      <c r="AE170" s="36">
        <v>103848.01037115764</v>
      </c>
      <c r="AF170" s="36">
        <v>26665.551759341244</v>
      </c>
      <c r="AG170" s="36">
        <v>0</v>
      </c>
      <c r="AH170" s="36">
        <v>0</v>
      </c>
      <c r="AI170" s="36">
        <v>17413.788042856959</v>
      </c>
      <c r="AJ170" s="36">
        <v>0</v>
      </c>
      <c r="AK170" s="36">
        <v>0</v>
      </c>
      <c r="AL170" s="36">
        <v>0</v>
      </c>
      <c r="AM170" s="36">
        <v>0</v>
      </c>
      <c r="AN170" s="36">
        <v>0</v>
      </c>
      <c r="AO170" s="36">
        <v>47772.75325667912</v>
      </c>
      <c r="AP170" s="36">
        <v>80434.73</v>
      </c>
      <c r="AQ170" s="36">
        <v>0</v>
      </c>
      <c r="AR170" s="36">
        <v>62930.985078309808</v>
      </c>
      <c r="AS170" s="36">
        <v>0</v>
      </c>
      <c r="AT170" s="36">
        <v>1781.8185394083312</v>
      </c>
      <c r="AU170" s="36">
        <v>0</v>
      </c>
      <c r="AV170" s="36">
        <v>13102.029770737721</v>
      </c>
      <c r="AW170" s="36">
        <v>0</v>
      </c>
      <c r="AX170" s="36">
        <v>0</v>
      </c>
      <c r="AY170" s="36">
        <v>0</v>
      </c>
      <c r="AZ170" s="36">
        <v>128279.52519705931</v>
      </c>
      <c r="BA170" s="36">
        <v>0</v>
      </c>
      <c r="BB170" s="36">
        <v>0</v>
      </c>
      <c r="BC170" s="36">
        <v>80434.73</v>
      </c>
      <c r="BD170" s="36"/>
      <c r="BE170" s="36">
        <v>0</v>
      </c>
      <c r="BF170" s="36">
        <v>219238.86710888799</v>
      </c>
      <c r="BG170" s="36">
        <v>68084.372084075381</v>
      </c>
      <c r="BH170" s="36">
        <v>24557.500191318486</v>
      </c>
      <c r="BI170" s="36">
        <v>0</v>
      </c>
      <c r="BJ170" s="36">
        <v>37848.997238715019</v>
      </c>
      <c r="BK170" s="36">
        <v>0</v>
      </c>
      <c r="BL170" s="36">
        <v>0</v>
      </c>
      <c r="BM170" s="36">
        <v>0</v>
      </c>
      <c r="BN170" s="36">
        <v>0</v>
      </c>
      <c r="BO170" s="36">
        <v>0</v>
      </c>
      <c r="BP170" s="36">
        <v>125036.4713887166</v>
      </c>
      <c r="BQ170" s="36">
        <v>80434.73</v>
      </c>
      <c r="BR170" s="36">
        <v>0</v>
      </c>
      <c r="BS170" s="36">
        <v>150750.97419094306</v>
      </c>
      <c r="BT170" s="36">
        <v>0</v>
      </c>
      <c r="BU170" s="36">
        <v>15378.734142254158</v>
      </c>
      <c r="BV170" s="36">
        <v>0</v>
      </c>
      <c r="BW170" s="36">
        <v>30818.360573943966</v>
      </c>
      <c r="BX170" s="36">
        <v>52956.671311446182</v>
      </c>
      <c r="BY170" s="36">
        <v>11287.094533153058</v>
      </c>
      <c r="BZ170" s="36">
        <v>70478.912836595424</v>
      </c>
      <c r="CA170" s="36">
        <v>216733.12474851028</v>
      </c>
      <c r="CB170" s="36">
        <v>6279.2323112609911</v>
      </c>
      <c r="CC170" s="36">
        <v>0</v>
      </c>
      <c r="CD170" s="36">
        <v>80434.73</v>
      </c>
      <c r="CE170" s="36"/>
      <c r="CF170" s="36">
        <v>0</v>
      </c>
      <c r="CG170" s="36">
        <v>0</v>
      </c>
    </row>
    <row r="171" spans="1:85">
      <c r="A171" s="143" t="s">
        <v>658</v>
      </c>
      <c r="B171" s="36">
        <v>6993.87</v>
      </c>
      <c r="C171" s="36"/>
      <c r="D171" s="36">
        <v>0</v>
      </c>
      <c r="E171" s="36">
        <v>0</v>
      </c>
      <c r="F171" s="36">
        <v>0</v>
      </c>
      <c r="G171" s="36">
        <v>0</v>
      </c>
      <c r="H171" s="36">
        <v>0</v>
      </c>
      <c r="I171" s="36">
        <v>0</v>
      </c>
      <c r="J171" s="36">
        <v>0</v>
      </c>
      <c r="K171" s="36">
        <v>0</v>
      </c>
      <c r="L171" s="36">
        <v>0</v>
      </c>
      <c r="M171" s="36">
        <v>0</v>
      </c>
      <c r="N171" s="36">
        <v>0</v>
      </c>
      <c r="O171" s="36">
        <v>6993.87</v>
      </c>
      <c r="P171" s="36">
        <v>0</v>
      </c>
      <c r="Q171" s="36">
        <v>9031.2337345286414</v>
      </c>
      <c r="R171" s="36">
        <v>0</v>
      </c>
      <c r="S171" s="36">
        <v>0</v>
      </c>
      <c r="T171" s="36">
        <v>0</v>
      </c>
      <c r="U171" s="36">
        <v>0</v>
      </c>
      <c r="V171" s="36">
        <v>0</v>
      </c>
      <c r="W171" s="36">
        <v>0</v>
      </c>
      <c r="X171" s="36">
        <v>0</v>
      </c>
      <c r="Y171" s="36">
        <v>0</v>
      </c>
      <c r="Z171" s="36">
        <v>0</v>
      </c>
      <c r="AA171" s="36">
        <v>0</v>
      </c>
      <c r="AB171" s="36">
        <v>6993.87</v>
      </c>
      <c r="AC171" s="36"/>
      <c r="AD171" s="36">
        <v>0</v>
      </c>
      <c r="AE171" s="36">
        <v>9130.3261302231858</v>
      </c>
      <c r="AF171" s="36">
        <v>4640.1634171605601</v>
      </c>
      <c r="AG171" s="36">
        <v>2937.2677003630288</v>
      </c>
      <c r="AH171" s="36">
        <v>0</v>
      </c>
      <c r="AI171" s="36">
        <v>0</v>
      </c>
      <c r="AJ171" s="36">
        <v>0</v>
      </c>
      <c r="AK171" s="36">
        <v>0</v>
      </c>
      <c r="AL171" s="36">
        <v>0</v>
      </c>
      <c r="AM171" s="36">
        <v>0</v>
      </c>
      <c r="AN171" s="36">
        <v>0</v>
      </c>
      <c r="AO171" s="36">
        <v>0</v>
      </c>
      <c r="AP171" s="36">
        <v>6993.87</v>
      </c>
      <c r="AQ171" s="36">
        <v>0</v>
      </c>
      <c r="AR171" s="36">
        <v>13496.174979371524</v>
      </c>
      <c r="AS171" s="36">
        <v>0</v>
      </c>
      <c r="AT171" s="36">
        <v>0</v>
      </c>
      <c r="AU171" s="36">
        <v>0</v>
      </c>
      <c r="AV171" s="36">
        <v>0</v>
      </c>
      <c r="AW171" s="36">
        <v>0</v>
      </c>
      <c r="AX171" s="36">
        <v>0</v>
      </c>
      <c r="AY171" s="36">
        <v>0</v>
      </c>
      <c r="AZ171" s="36">
        <v>0</v>
      </c>
      <c r="BA171" s="36">
        <v>0</v>
      </c>
      <c r="BB171" s="36">
        <v>0</v>
      </c>
      <c r="BC171" s="36">
        <v>6993.87</v>
      </c>
      <c r="BD171" s="36"/>
      <c r="BE171" s="36">
        <v>0</v>
      </c>
      <c r="BF171" s="36">
        <v>24333.43858636983</v>
      </c>
      <c r="BG171" s="36">
        <v>11340.423489568033</v>
      </c>
      <c r="BH171" s="36">
        <v>2937.2677003630288</v>
      </c>
      <c r="BI171" s="36">
        <v>0</v>
      </c>
      <c r="BJ171" s="36">
        <v>0</v>
      </c>
      <c r="BK171" s="36">
        <v>0</v>
      </c>
      <c r="BL171" s="36">
        <v>0</v>
      </c>
      <c r="BM171" s="36">
        <v>0</v>
      </c>
      <c r="BN171" s="36">
        <v>0</v>
      </c>
      <c r="BO171" s="36">
        <v>0</v>
      </c>
      <c r="BP171" s="36">
        <v>0</v>
      </c>
      <c r="BQ171" s="36">
        <v>6993.87</v>
      </c>
      <c r="BR171" s="36">
        <v>0</v>
      </c>
      <c r="BS171" s="36">
        <v>28640.622401996356</v>
      </c>
      <c r="BT171" s="36">
        <v>0</v>
      </c>
      <c r="BU171" s="36">
        <v>2937.2677003630288</v>
      </c>
      <c r="BV171" s="36">
        <v>0</v>
      </c>
      <c r="BW171" s="36">
        <v>1550.2665141092912</v>
      </c>
      <c r="BX171" s="36">
        <v>0</v>
      </c>
      <c r="BY171" s="36">
        <v>4120.1933104938244</v>
      </c>
      <c r="BZ171" s="36">
        <v>0</v>
      </c>
      <c r="CA171" s="36">
        <v>0</v>
      </c>
      <c r="CB171" s="36">
        <v>0</v>
      </c>
      <c r="CC171" s="36">
        <v>0</v>
      </c>
      <c r="CD171" s="36">
        <v>6993.87</v>
      </c>
      <c r="CE171" s="36"/>
      <c r="CF171" s="36">
        <v>0</v>
      </c>
      <c r="CG171" s="36">
        <v>0</v>
      </c>
    </row>
    <row r="172" spans="1:85">
      <c r="A172" s="143" t="s">
        <v>659</v>
      </c>
      <c r="B172" s="36">
        <v>85880.33</v>
      </c>
      <c r="C172" s="36"/>
      <c r="D172" s="36">
        <v>0</v>
      </c>
      <c r="E172" s="36">
        <v>0</v>
      </c>
      <c r="F172" s="36">
        <v>0</v>
      </c>
      <c r="G172" s="36">
        <v>0</v>
      </c>
      <c r="H172" s="36">
        <v>0</v>
      </c>
      <c r="I172" s="36">
        <v>0</v>
      </c>
      <c r="J172" s="36">
        <v>0</v>
      </c>
      <c r="K172" s="36">
        <v>0</v>
      </c>
      <c r="L172" s="36">
        <v>0</v>
      </c>
      <c r="M172" s="36">
        <v>0</v>
      </c>
      <c r="N172" s="36">
        <v>0</v>
      </c>
      <c r="O172" s="36">
        <v>85880.33</v>
      </c>
      <c r="P172" s="36">
        <v>0</v>
      </c>
      <c r="Q172" s="36">
        <v>0</v>
      </c>
      <c r="R172" s="36">
        <v>0</v>
      </c>
      <c r="S172" s="36">
        <v>855.47710278883198</v>
      </c>
      <c r="T172" s="36">
        <v>0</v>
      </c>
      <c r="U172" s="36">
        <v>4879.1267042220543</v>
      </c>
      <c r="V172" s="36">
        <v>0</v>
      </c>
      <c r="W172" s="36">
        <v>18136.527909060747</v>
      </c>
      <c r="X172" s="36">
        <v>0</v>
      </c>
      <c r="Y172" s="36">
        <v>15684.117541043726</v>
      </c>
      <c r="Z172" s="36">
        <v>0</v>
      </c>
      <c r="AA172" s="36">
        <v>0</v>
      </c>
      <c r="AB172" s="36">
        <v>85880.33</v>
      </c>
      <c r="AC172" s="36"/>
      <c r="AD172" s="36">
        <v>0</v>
      </c>
      <c r="AE172" s="36">
        <v>0</v>
      </c>
      <c r="AF172" s="36">
        <v>13382.99721640152</v>
      </c>
      <c r="AG172" s="36">
        <v>0</v>
      </c>
      <c r="AH172" s="36">
        <v>0</v>
      </c>
      <c r="AI172" s="36">
        <v>6835.5296317894044</v>
      </c>
      <c r="AJ172" s="36">
        <v>0</v>
      </c>
      <c r="AK172" s="36">
        <v>0</v>
      </c>
      <c r="AL172" s="36">
        <v>0</v>
      </c>
      <c r="AM172" s="36">
        <v>0</v>
      </c>
      <c r="AN172" s="36">
        <v>0</v>
      </c>
      <c r="AO172" s="36">
        <v>17181.890688123487</v>
      </c>
      <c r="AP172" s="36">
        <v>85880.33</v>
      </c>
      <c r="AQ172" s="36">
        <v>0</v>
      </c>
      <c r="AR172" s="36">
        <v>525.99166095057717</v>
      </c>
      <c r="AS172" s="36">
        <v>0</v>
      </c>
      <c r="AT172" s="36">
        <v>1237.9611370517759</v>
      </c>
      <c r="AU172" s="36">
        <v>0</v>
      </c>
      <c r="AV172" s="36">
        <v>6306.7491008843226</v>
      </c>
      <c r="AW172" s="36">
        <v>0</v>
      </c>
      <c r="AX172" s="36">
        <v>25357.832165817694</v>
      </c>
      <c r="AY172" s="36">
        <v>0</v>
      </c>
      <c r="AZ172" s="36">
        <v>27312.423864426612</v>
      </c>
      <c r="BA172" s="36">
        <v>0</v>
      </c>
      <c r="BB172" s="36">
        <v>0</v>
      </c>
      <c r="BC172" s="36">
        <v>85880.33</v>
      </c>
      <c r="BD172" s="36"/>
      <c r="BE172" s="36">
        <v>0</v>
      </c>
      <c r="BF172" s="36">
        <v>0</v>
      </c>
      <c r="BG172" s="36">
        <v>52929.082357473424</v>
      </c>
      <c r="BH172" s="36">
        <v>0</v>
      </c>
      <c r="BI172" s="36">
        <v>0</v>
      </c>
      <c r="BJ172" s="36">
        <v>13623.879471763703</v>
      </c>
      <c r="BK172" s="36">
        <v>0</v>
      </c>
      <c r="BL172" s="36">
        <v>0</v>
      </c>
      <c r="BM172" s="36">
        <v>0</v>
      </c>
      <c r="BN172" s="36">
        <v>0</v>
      </c>
      <c r="BO172" s="36">
        <v>0</v>
      </c>
      <c r="BP172" s="36">
        <v>84920.70028443294</v>
      </c>
      <c r="BQ172" s="36">
        <v>85880.33</v>
      </c>
      <c r="BR172" s="36">
        <v>0</v>
      </c>
      <c r="BS172" s="36">
        <v>0</v>
      </c>
      <c r="BT172" s="36">
        <v>0</v>
      </c>
      <c r="BU172" s="36">
        <v>1861.7919089394829</v>
      </c>
      <c r="BV172" s="36">
        <v>0</v>
      </c>
      <c r="BW172" s="36">
        <v>15014.805000936665</v>
      </c>
      <c r="BX172" s="36">
        <v>35541.025083030596</v>
      </c>
      <c r="BY172" s="36">
        <v>96583.679767544643</v>
      </c>
      <c r="BZ172" s="36">
        <v>50574.350134479791</v>
      </c>
      <c r="CA172" s="36">
        <v>76013.86215711385</v>
      </c>
      <c r="CB172" s="36">
        <v>0</v>
      </c>
      <c r="CC172" s="36">
        <v>0</v>
      </c>
      <c r="CD172" s="36">
        <v>85880.33</v>
      </c>
      <c r="CE172" s="36"/>
      <c r="CF172" s="36">
        <v>0</v>
      </c>
      <c r="CG172" s="36">
        <v>0</v>
      </c>
    </row>
    <row r="173" spans="1:85">
      <c r="A173" s="143" t="s">
        <v>633</v>
      </c>
      <c r="B173" s="36">
        <v>63610.025000000001</v>
      </c>
      <c r="C173" s="36"/>
      <c r="D173" s="36">
        <v>0</v>
      </c>
      <c r="E173" s="36">
        <v>0</v>
      </c>
      <c r="F173" s="36">
        <v>0</v>
      </c>
      <c r="G173" s="36">
        <v>0</v>
      </c>
      <c r="H173" s="36">
        <v>0</v>
      </c>
      <c r="I173" s="36">
        <v>0</v>
      </c>
      <c r="J173" s="36">
        <v>0</v>
      </c>
      <c r="K173" s="36">
        <v>0</v>
      </c>
      <c r="L173" s="36">
        <v>0</v>
      </c>
      <c r="M173" s="36">
        <v>0</v>
      </c>
      <c r="N173" s="36">
        <v>154163.35351705516</v>
      </c>
      <c r="O173" s="36">
        <v>63610.025000000001</v>
      </c>
      <c r="P173" s="36">
        <v>0</v>
      </c>
      <c r="Q173" s="36">
        <v>0</v>
      </c>
      <c r="R173" s="36">
        <v>0</v>
      </c>
      <c r="S173" s="36">
        <v>0</v>
      </c>
      <c r="T173" s="36">
        <v>0</v>
      </c>
      <c r="U173" s="36">
        <v>2723.026452193199</v>
      </c>
      <c r="V173" s="36">
        <v>17138.834386019218</v>
      </c>
      <c r="W173" s="36">
        <v>23827.200000000001</v>
      </c>
      <c r="X173" s="36">
        <v>12883.667907589432</v>
      </c>
      <c r="Y173" s="36">
        <v>208760.56208867818</v>
      </c>
      <c r="Z173" s="36">
        <v>8697.8002119915218</v>
      </c>
      <c r="AA173" s="36">
        <v>0</v>
      </c>
      <c r="AB173" s="36">
        <v>63610.025000000001</v>
      </c>
      <c r="AC173" s="36"/>
      <c r="AD173" s="36">
        <v>0</v>
      </c>
      <c r="AE173" s="36">
        <v>0</v>
      </c>
      <c r="AF173" s="36">
        <v>0</v>
      </c>
      <c r="AG173" s="36">
        <v>0</v>
      </c>
      <c r="AH173" s="36">
        <v>0</v>
      </c>
      <c r="AI173" s="36">
        <v>6026.8183665883289</v>
      </c>
      <c r="AJ173" s="36">
        <v>0</v>
      </c>
      <c r="AK173" s="36">
        <v>0</v>
      </c>
      <c r="AL173" s="36">
        <v>0</v>
      </c>
      <c r="AM173" s="36">
        <v>0</v>
      </c>
      <c r="AN173" s="36">
        <v>0</v>
      </c>
      <c r="AO173" s="36">
        <v>260014.30488866963</v>
      </c>
      <c r="AP173" s="36">
        <v>63610.025000000001</v>
      </c>
      <c r="AQ173" s="36">
        <v>0</v>
      </c>
      <c r="AR173" s="36">
        <v>0</v>
      </c>
      <c r="AS173" s="36">
        <v>0</v>
      </c>
      <c r="AT173" s="36">
        <v>3152.8507580167361</v>
      </c>
      <c r="AU173" s="36">
        <v>0</v>
      </c>
      <c r="AV173" s="36">
        <v>6084.7065364595492</v>
      </c>
      <c r="AW173" s="36">
        <v>23846.894541678084</v>
      </c>
      <c r="AX173" s="36">
        <v>47654.400000000001</v>
      </c>
      <c r="AY173" s="36">
        <v>23937.110743399029</v>
      </c>
      <c r="AZ173" s="36">
        <v>341335.36613179016</v>
      </c>
      <c r="BA173" s="36">
        <v>32005.218077676589</v>
      </c>
      <c r="BB173" s="36">
        <v>0</v>
      </c>
      <c r="BC173" s="36">
        <v>63610.025000000001</v>
      </c>
      <c r="BD173" s="36"/>
      <c r="BE173" s="36">
        <v>0</v>
      </c>
      <c r="BF173" s="36">
        <v>0</v>
      </c>
      <c r="BG173" s="36">
        <v>0</v>
      </c>
      <c r="BH173" s="36">
        <v>3575.4686928783367</v>
      </c>
      <c r="BI173" s="36">
        <v>0</v>
      </c>
      <c r="BJ173" s="36">
        <v>7505.101863461934</v>
      </c>
      <c r="BK173" s="36">
        <v>0</v>
      </c>
      <c r="BL173" s="36">
        <v>0</v>
      </c>
      <c r="BM173" s="36">
        <v>0</v>
      </c>
      <c r="BN173" s="36">
        <v>0</v>
      </c>
      <c r="BO173" s="36">
        <v>0</v>
      </c>
      <c r="BP173" s="36">
        <v>442622.67398863798</v>
      </c>
      <c r="BQ173" s="36">
        <v>63610.025000000001</v>
      </c>
      <c r="BR173" s="36">
        <v>0</v>
      </c>
      <c r="BS173" s="36">
        <v>0</v>
      </c>
      <c r="BT173" s="36">
        <v>0</v>
      </c>
      <c r="BU173" s="36">
        <v>3152.8507580167361</v>
      </c>
      <c r="BV173" s="36">
        <v>0</v>
      </c>
      <c r="BW173" s="36">
        <v>7505.101863461934</v>
      </c>
      <c r="BX173" s="36">
        <v>110672.99756996537</v>
      </c>
      <c r="BY173" s="36">
        <v>77330.314133581924</v>
      </c>
      <c r="BZ173" s="36">
        <v>103938.47737908433</v>
      </c>
      <c r="CA173" s="36">
        <v>472336.99560128083</v>
      </c>
      <c r="CB173" s="36">
        <v>59776.498949585322</v>
      </c>
      <c r="CC173" s="36">
        <v>0</v>
      </c>
      <c r="CD173" s="36">
        <v>63610.025000000001</v>
      </c>
      <c r="CE173" s="36"/>
      <c r="CF173" s="36">
        <v>0</v>
      </c>
      <c r="CG173" s="36">
        <v>0</v>
      </c>
    </row>
    <row r="174" spans="1:85">
      <c r="A174" s="38" t="s">
        <v>660</v>
      </c>
      <c r="B174" s="36">
        <f>SUM(B146:B147,B151:B153,B159:B160,B162:B163,B168,B170,B173)</f>
        <v>451331.93500000006</v>
      </c>
      <c r="C174" s="36"/>
      <c r="D174" s="36">
        <f>SUM(D146:D147,D151:D153,D159:D160,D162:D163,D168,D170,D173)</f>
        <v>83485.845290953221</v>
      </c>
      <c r="E174" s="36">
        <f t="shared" ref="E174" si="351">SUM(E146:E147,E151:E153,E159:E160,E162:E163,E168,E170,E173)</f>
        <v>0</v>
      </c>
      <c r="F174" s="36">
        <f t="shared" ref="F174" si="352">SUM(F146:F147,F151:F153,F159:F160,F162:F163,F168,F170,F173)</f>
        <v>0</v>
      </c>
      <c r="G174" s="36">
        <f t="shared" ref="G174" si="353">SUM(G146:G147,G151:G153,G159:G160,G162:G163,G168,G170,G173)</f>
        <v>0</v>
      </c>
      <c r="H174" s="36">
        <f t="shared" ref="H174" si="354">SUM(H146:H147,H151:H153,H159:H160,H162:H163,H168,H170,H173)</f>
        <v>0</v>
      </c>
      <c r="I174" s="36">
        <f t="shared" ref="I174" si="355">SUM(I146:I147,I151:I153,I159:I160,I162:I163,I168,I170,I173)</f>
        <v>0</v>
      </c>
      <c r="J174" s="36">
        <f t="shared" ref="J174" si="356">SUM(J146:J147,J151:J153,J159:J160,J162:J163,J168,J170,J173)</f>
        <v>0</v>
      </c>
      <c r="K174" s="36">
        <f t="shared" ref="K174" si="357">SUM(K146:K147,K151:K153,K159:K160,K162:K163,K168,K170,K173)</f>
        <v>0</v>
      </c>
      <c r="L174" s="36">
        <f t="shared" ref="L174" si="358">SUM(L146:L147,L151:L153,L159:L160,L162:L163,L168,L170,L173)</f>
        <v>0</v>
      </c>
      <c r="M174" s="36">
        <f t="shared" ref="M174" si="359">SUM(M146:M147,M151:M153,M159:M160,M162:M163,M168,M170,M173)</f>
        <v>0</v>
      </c>
      <c r="N174" s="36">
        <f t="shared" ref="N174" si="360">SUM(N146:N147,N151:N153,N159:N160,N162:N163,N168,N170,N173)</f>
        <v>385710.60471854021</v>
      </c>
      <c r="O174" s="36">
        <f t="shared" ref="O174" si="361">SUM(O146:O147,O151:O153,O159:O160,O162:O163,O168,O170,O173)</f>
        <v>451331.93500000006</v>
      </c>
      <c r="P174" s="36"/>
      <c r="Q174" s="36">
        <f>SUM(Q146:Q147,Q151:Q153,Q159:Q160,Q162:Q163,Q168,Q170,Q173)</f>
        <v>73177.666269680325</v>
      </c>
      <c r="R174" s="36">
        <f t="shared" ref="R174" si="362">SUM(R146:R147,R151:R153,R159:R160,R162:R163,R168,R170,R173)</f>
        <v>0</v>
      </c>
      <c r="S174" s="36">
        <f t="shared" ref="S174" si="363">SUM(S146:S147,S151:S153,S159:S160,S162:S163,S168,S170,S173)</f>
        <v>70241.295928342297</v>
      </c>
      <c r="T174" s="36">
        <f t="shared" ref="T174" si="364">SUM(T146:T147,T151:T153,T159:T160,T162:T163,T168,T170,T173)</f>
        <v>0</v>
      </c>
      <c r="U174" s="36">
        <f t="shared" ref="U174" si="365">SUM(U146:U147,U151:U153,U159:U160,U162:U163,U168,U170,U173)</f>
        <v>33088.36811950626</v>
      </c>
      <c r="V174" s="36">
        <f t="shared" ref="V174" si="366">SUM(V146:V147,V151:V153,V159:V160,V162:V163,V168,V170,V173)</f>
        <v>57263.115886863168</v>
      </c>
      <c r="W174" s="36">
        <f t="shared" ref="W174" si="367">SUM(W146:W147,W151:W153,W159:W160,W162:W163,W168,W170,W173)</f>
        <v>155134.76281064725</v>
      </c>
      <c r="X174" s="36">
        <f t="shared" ref="X174" si="368">SUM(X146:X147,X151:X153,X159:X160,X162:X163,X168,X170,X173)</f>
        <v>19540.479447272235</v>
      </c>
      <c r="Y174" s="36">
        <f t="shared" ref="Y174" si="369">SUM(Y146:Y147,Y151:Y153,Y159:Y160,Y162:Y163,Y168,Y170,Y173)</f>
        <v>576655.45761327748</v>
      </c>
      <c r="Z174" s="36">
        <f t="shared" ref="Z174" si="370">SUM(Z146:Z147,Z151:Z153,Z159:Z160,Z162:Z163,Z168,Z170,Z173)</f>
        <v>9090.7670612620459</v>
      </c>
      <c r="AA174" s="36">
        <f t="shared" ref="AA174" si="371">SUM(AA146:AA147,AA151:AA153,AA159:AA160,AA162:AA163,AA168,AA170,AA173)</f>
        <v>0</v>
      </c>
      <c r="AB174" s="36">
        <f t="shared" ref="AB174" si="372">SUM(AB146:AB147,AB151:AB153,AB159:AB160,AB162:AB163,AB168,AB170,AB173)</f>
        <v>451331.93500000006</v>
      </c>
      <c r="AC174" s="36"/>
      <c r="AD174" s="36"/>
      <c r="AE174" s="36">
        <f>SUM(AE146:AE147,AE151:AE153,AE159:AE160,AE162:AE163,AE168,AE170,AE173)</f>
        <v>168596.05707036547</v>
      </c>
      <c r="AF174" s="36">
        <f t="shared" ref="AF174" si="373">SUM(AF146:AF147,AF151:AF153,AF159:AF160,AF162:AF163,AF168,AF170,AF173)</f>
        <v>108241.93399494886</v>
      </c>
      <c r="AG174" s="36">
        <f t="shared" ref="AG174" si="374">SUM(AG146:AG147,AG151:AG153,AG159:AG160,AG162:AG163,AG168,AG170,AG173)</f>
        <v>127379.09646864294</v>
      </c>
      <c r="AH174" s="36">
        <f t="shared" ref="AH174" si="375">SUM(AH146:AH147,AH151:AH153,AH159:AH160,AH162:AH163,AH168,AH170,AH173)</f>
        <v>0</v>
      </c>
      <c r="AI174" s="36">
        <f t="shared" ref="AI174" si="376">SUM(AI146:AI147,AI151:AI153,AI159:AI160,AI162:AI163,AI168,AI170,AI173)</f>
        <v>79055.833826755363</v>
      </c>
      <c r="AJ174" s="36">
        <f t="shared" ref="AJ174" si="377">SUM(AJ146:AJ147,AJ151:AJ153,AJ159:AJ160,AJ162:AJ163,AJ168,AJ170,AJ173)</f>
        <v>0</v>
      </c>
      <c r="AK174" s="36">
        <f t="shared" ref="AK174" si="378">SUM(AK146:AK147,AK151:AK153,AK159:AK160,AK162:AK163,AK168,AK170,AK173)</f>
        <v>0</v>
      </c>
      <c r="AL174" s="36">
        <f t="shared" ref="AL174" si="379">SUM(AL146:AL147,AL151:AL153,AL159:AL160,AL162:AL163,AL168,AL170,AL173)</f>
        <v>0</v>
      </c>
      <c r="AM174" s="36">
        <f t="shared" ref="AM174" si="380">SUM(AM146:AM147,AM151:AM153,AM159:AM160,AM162:AM163,AM168,AM170,AM173)</f>
        <v>0</v>
      </c>
      <c r="AN174" s="36">
        <f t="shared" ref="AN174" si="381">SUM(AN146:AN147,AN151:AN153,AN159:AN160,AN162:AN163,AN168,AN170,AN173)</f>
        <v>0</v>
      </c>
      <c r="AO174" s="36">
        <f t="shared" ref="AO174" si="382">SUM(AO146:AO147,AO151:AO153,AO159:AO160,AO162:AO163,AO168,AO170,AO173)</f>
        <v>790814.68099939707</v>
      </c>
      <c r="AP174" s="36">
        <f t="shared" ref="AP174" si="383">SUM(AP146:AP147,AP151:AP153,AP159:AP160,AP162:AP163,AP168,AP170,AP173)</f>
        <v>451331.93500000006</v>
      </c>
      <c r="AQ174" s="36"/>
      <c r="AR174" s="36">
        <f>SUM(AR146:AR147,AR151:AR153,AR159:AR160,AR162:AR163,AR168,AR170,AR173)</f>
        <v>136885.12650158437</v>
      </c>
      <c r="AS174" s="36">
        <f t="shared" ref="AS174" si="384">SUM(AS146:AS147,AS151:AS153,AS159:AS160,AS162:AS163,AS168,AS170,AS173)</f>
        <v>0</v>
      </c>
      <c r="AT174" s="36">
        <f t="shared" ref="AT174" si="385">SUM(AT146:AT147,AT151:AT153,AT159:AT160,AT162:AT163,AT168,AT170,AT173)</f>
        <v>118945.29794133206</v>
      </c>
      <c r="AU174" s="36">
        <f t="shared" ref="AU174" si="386">SUM(AU146:AU147,AU151:AU153,AU159:AU160,AU162:AU163,AU168,AU170,AU173)</f>
        <v>0</v>
      </c>
      <c r="AV174" s="36">
        <f t="shared" ref="AV174" si="387">SUM(AV146:AV147,AV151:AV153,AV159:AV160,AV162:AV163,AV168,AV170,AV173)</f>
        <v>104253.10862562522</v>
      </c>
      <c r="AW174" s="36">
        <f t="shared" ref="AW174" si="388">SUM(AW146:AW147,AW151:AW153,AW159:AW160,AW162:AW163,AW168,AW170,AW173)</f>
        <v>73005.536464022953</v>
      </c>
      <c r="AX174" s="36">
        <f t="shared" ref="AX174" si="389">SUM(AX146:AX147,AX151:AX153,AX159:AX160,AX162:AX163,AX168,AX170,AX173)</f>
        <v>326479.86366923049</v>
      </c>
      <c r="AY174" s="36">
        <f t="shared" ref="AY174" si="390">SUM(AY146:AY147,AY151:AY153,AY159:AY160,AY162:AY163,AY168,AY170,AY173)</f>
        <v>35392.846625040365</v>
      </c>
      <c r="AZ174" s="36">
        <f t="shared" ref="AZ174" si="391">SUM(AZ146:AZ147,AZ151:AZ153,AZ159:AZ160,AZ162:AZ163,AZ168,AZ170,AZ173)</f>
        <v>1073000.907374955</v>
      </c>
      <c r="BA174" s="36">
        <f t="shared" ref="BA174" si="392">SUM(BA146:BA147,BA151:BA153,BA159:BA160,BA162:BA163,BA168,BA170,BA173)</f>
        <v>32398.184926947113</v>
      </c>
      <c r="BB174" s="36">
        <f t="shared" ref="BB174" si="393">SUM(BB146:BB147,BB151:BB153,BB159:BB160,BB162:BB163,BB168,BB170,BB173)</f>
        <v>0</v>
      </c>
      <c r="BC174" s="36">
        <f t="shared" ref="BC174" si="394">SUM(BC146:BC147,BC151:BC153,BC159:BC160,BC162:BC163,BC168,BC170,BC173)</f>
        <v>451331.93500000006</v>
      </c>
      <c r="BD174" s="36"/>
      <c r="BE174" s="36"/>
      <c r="BF174" s="36">
        <f>SUM(BF146:BF147,BF151:BF153,BF159:BF160,BF162:BF163,BF168,BF170,BF173)</f>
        <v>355785.16058682569</v>
      </c>
      <c r="BG174" s="36">
        <f t="shared" ref="BG174" si="395">SUM(BG146:BG147,BG151:BG153,BG159:BG160,BG162:BG163,BG168,BG170,BG173)</f>
        <v>430025.59994211851</v>
      </c>
      <c r="BH174" s="36">
        <f t="shared" ref="BH174" si="396">SUM(BH146:BH147,BH151:BH153,BH159:BH160,BH162:BH163,BH168,BH170,BH173)</f>
        <v>233162.77379607511</v>
      </c>
      <c r="BI174" s="36">
        <f t="shared" ref="BI174" si="397">SUM(BI146:BI147,BI151:BI153,BI159:BI160,BI162:BI163,BI168,BI170,BI173)</f>
        <v>0</v>
      </c>
      <c r="BJ174" s="36">
        <f t="shared" ref="BJ174" si="398">SUM(BJ146:BJ147,BJ151:BJ153,BJ159:BJ160,BJ162:BJ163,BJ168,BJ170,BJ173)</f>
        <v>175953.83608448738</v>
      </c>
      <c r="BK174" s="36">
        <f t="shared" ref="BK174" si="399">SUM(BK146:BK147,BK151:BK153,BK159:BK160,BK162:BK163,BK168,BK170,BK173)</f>
        <v>0</v>
      </c>
      <c r="BL174" s="36">
        <f t="shared" ref="BL174" si="400">SUM(BL146:BL147,BL151:BL153,BL159:BL160,BL162:BL163,BL168,BL170,BL173)</f>
        <v>0</v>
      </c>
      <c r="BM174" s="36">
        <f t="shared" ref="BM174" si="401">SUM(BM146:BM147,BM151:BM153,BM159:BM160,BM162:BM163,BM168,BM170,BM173)</f>
        <v>0</v>
      </c>
      <c r="BN174" s="36">
        <f t="shared" ref="BN174" si="402">SUM(BN146:BN147,BN151:BN153,BN159:BN160,BN162:BN163,BN168,BN170,BN173)</f>
        <v>0</v>
      </c>
      <c r="BO174" s="36">
        <f t="shared" ref="BO174" si="403">SUM(BO146:BO147,BO151:BO153,BO159:BO160,BO162:BO163,BO168,BO170,BO173)</f>
        <v>0</v>
      </c>
      <c r="BP174" s="36">
        <f t="shared" ref="BP174" si="404">SUM(BP146:BP147,BP151:BP153,BP159:BP160,BP162:BP163,BP168,BP170,BP173)</f>
        <v>1723731.5074402145</v>
      </c>
      <c r="BQ174" s="36">
        <f t="shared" ref="BQ174" si="405">SUM(BQ146:BQ147,BQ151:BQ153,BQ159:BQ160,BQ162:BQ163,BQ168,BQ170,BQ173)</f>
        <v>451331.93500000006</v>
      </c>
      <c r="BR174" s="36"/>
      <c r="BS174" s="36">
        <f>SUM(BS146:BS147,BS151:BS153,BS159:BS160,BS162:BS163,BS168,BS170,BS173)</f>
        <v>312660.64733986143</v>
      </c>
      <c r="BT174" s="36">
        <f t="shared" ref="BT174" si="406">SUM(BT146:BT147,BT151:BT153,BT159:BT160,BT162:BT163,BT168,BT170,BT173)</f>
        <v>0</v>
      </c>
      <c r="BU174" s="36">
        <f t="shared" ref="BU174" si="407">SUM(BU146:BU147,BU151:BU153,BU159:BU160,BU162:BU163,BU168,BU170,BU173)</f>
        <v>193504.26256393778</v>
      </c>
      <c r="BV174" s="36">
        <f t="shared" ref="BV174" si="408">SUM(BV146:BV147,BV151:BV153,BV159:BV160,BV162:BV163,BV168,BV170,BV173)</f>
        <v>0</v>
      </c>
      <c r="BW174" s="36">
        <f t="shared" ref="BW174" si="409">SUM(BW146:BW147,BW151:BW153,BW159:BW160,BW162:BW163,BW168,BW170,BW173)</f>
        <v>162885.7446297445</v>
      </c>
      <c r="BX174" s="36">
        <f t="shared" ref="BX174" si="410">SUM(BX146:BX147,BX151:BX153,BX159:BX160,BX162:BX163,BX168,BX170,BX173)</f>
        <v>705476.53256488591</v>
      </c>
      <c r="BY174" s="36">
        <f t="shared" ref="BY174" si="411">SUM(BY146:BY147,BY151:BY153,BY159:BY160,BY162:BY163,BY168,BY170,BY173)</f>
        <v>631139.17179428216</v>
      </c>
      <c r="BZ174" s="36">
        <f t="shared" ref="BZ174" si="412">SUM(BZ146:BZ147,BZ151:BZ153,BZ159:BZ160,BZ162:BZ163,BZ168,BZ170,BZ173)</f>
        <v>736759.10739434953</v>
      </c>
      <c r="CA174" s="36">
        <f t="shared" ref="CA174" si="413">SUM(CA146:CA147,CA151:CA153,CA159:CA160,CA162:CA163,CA168,CA170,CA173)</f>
        <v>1684868.4673581296</v>
      </c>
      <c r="CB174" s="36">
        <f t="shared" ref="CB174" si="414">SUM(CB146:CB147,CB151:CB153,CB159:CB160,CB162:CB163,CB168,CB170,CB173)</f>
        <v>99557.14783465513</v>
      </c>
      <c r="CC174" s="36">
        <f t="shared" ref="CC174" si="415">SUM(CC146:CC147,CC151:CC153,CC159:CC160,CC162:CC163,CC168,CC170,CC173)</f>
        <v>0</v>
      </c>
      <c r="CD174" s="36">
        <f t="shared" ref="CD174" si="416">SUM(CD146:CD147,CD151:CD153,CD159:CD160,CD162:CD163,CD168,CD170,CD173)</f>
        <v>451331.93500000006</v>
      </c>
      <c r="CE174" s="39"/>
      <c r="CF174" s="39"/>
      <c r="CG174" s="39"/>
    </row>
    <row r="175" spans="1:85">
      <c r="A175" s="38" t="s">
        <v>661</v>
      </c>
      <c r="B175" s="36">
        <f>SUM(B141:B145,B148:B150,B154:B158,B161,B164:B167,B169,B171:B172)</f>
        <v>415014.55250000011</v>
      </c>
      <c r="C175" s="36"/>
      <c r="D175" s="36">
        <f>SUM(D141:D145,D148:D150,D154:D158,D161,D164:D167,D169,D171:D172)</f>
        <v>31687.325703669674</v>
      </c>
      <c r="E175" s="36">
        <f t="shared" ref="E175:O175" si="417">SUM(E141:E145,E148:E150,E154:E158,E161,E164:E167,E169,E171:E172)</f>
        <v>0</v>
      </c>
      <c r="F175" s="36">
        <f t="shared" si="417"/>
        <v>0</v>
      </c>
      <c r="G175" s="36">
        <f t="shared" si="417"/>
        <v>0</v>
      </c>
      <c r="H175" s="36">
        <f t="shared" si="417"/>
        <v>0</v>
      </c>
      <c r="I175" s="36">
        <f t="shared" si="417"/>
        <v>0</v>
      </c>
      <c r="J175" s="36">
        <f t="shared" si="417"/>
        <v>0</v>
      </c>
      <c r="K175" s="36">
        <f t="shared" si="417"/>
        <v>0</v>
      </c>
      <c r="L175" s="36">
        <f t="shared" si="417"/>
        <v>0</v>
      </c>
      <c r="M175" s="36">
        <f t="shared" si="417"/>
        <v>0</v>
      </c>
      <c r="N175" s="36">
        <f t="shared" si="417"/>
        <v>0</v>
      </c>
      <c r="O175" s="36">
        <f t="shared" si="417"/>
        <v>415014.55250000011</v>
      </c>
      <c r="P175" s="36"/>
      <c r="Q175" s="36">
        <f>SUM(Q141:Q145,Q148:Q150,Q154:Q158,Q161,Q164:Q167,Q169,Q171:Q172)</f>
        <v>148778.01901858841</v>
      </c>
      <c r="R175" s="36">
        <f t="shared" ref="R175:AB175" si="418">SUM(R141:R145,R148:R150,R154:R158,R161,R164:R167,R169,R171:R172)</f>
        <v>0</v>
      </c>
      <c r="S175" s="36">
        <f t="shared" si="418"/>
        <v>9884.4323570761608</v>
      </c>
      <c r="T175" s="36">
        <f t="shared" si="418"/>
        <v>0</v>
      </c>
      <c r="U175" s="36">
        <f t="shared" si="418"/>
        <v>13725.347463486538</v>
      </c>
      <c r="V175" s="36">
        <f t="shared" si="418"/>
        <v>0</v>
      </c>
      <c r="W175" s="36">
        <f t="shared" si="418"/>
        <v>34623.473203098678</v>
      </c>
      <c r="X175" s="36">
        <f t="shared" si="418"/>
        <v>0</v>
      </c>
      <c r="Y175" s="36">
        <f t="shared" si="418"/>
        <v>74424.511331585367</v>
      </c>
      <c r="Z175" s="36">
        <f t="shared" si="418"/>
        <v>0</v>
      </c>
      <c r="AA175" s="36">
        <f t="shared" si="418"/>
        <v>0</v>
      </c>
      <c r="AB175" s="36">
        <f t="shared" si="418"/>
        <v>415014.55250000011</v>
      </c>
      <c r="AC175" s="36"/>
      <c r="AD175" s="36"/>
      <c r="AE175" s="36">
        <f>SUM(AE141:AE145,AE148:AE150,AE154:AE158,AE161,AE164:AE167,AE169,AE171:AE172)</f>
        <v>274391.74543979694</v>
      </c>
      <c r="AF175" s="36">
        <f t="shared" ref="AF175:AP175" si="419">SUM(AF141:AF145,AF148:AF150,AF154:AF158,AF161,AF164:AF167,AF169,AF171:AF172)</f>
        <v>86622.296688233182</v>
      </c>
      <c r="AG175" s="36">
        <f t="shared" si="419"/>
        <v>17387.504029831041</v>
      </c>
      <c r="AH175" s="36">
        <f t="shared" si="419"/>
        <v>0</v>
      </c>
      <c r="AI175" s="36">
        <f t="shared" si="419"/>
        <v>6835.5296317894044</v>
      </c>
      <c r="AJ175" s="36">
        <f t="shared" si="419"/>
        <v>0</v>
      </c>
      <c r="AK175" s="36">
        <f t="shared" si="419"/>
        <v>0</v>
      </c>
      <c r="AL175" s="36">
        <f t="shared" si="419"/>
        <v>0</v>
      </c>
      <c r="AM175" s="36">
        <f t="shared" si="419"/>
        <v>0</v>
      </c>
      <c r="AN175" s="36">
        <f t="shared" si="419"/>
        <v>0</v>
      </c>
      <c r="AO175" s="36">
        <f t="shared" si="419"/>
        <v>20140.523045869089</v>
      </c>
      <c r="AP175" s="36">
        <f t="shared" si="419"/>
        <v>415014.55250000011</v>
      </c>
      <c r="AQ175" s="36"/>
      <c r="AR175" s="36">
        <f>SUM(AR141:AR145,AR148:AR150,AR154:AR158,AR161,AR164:AR167,AR169,AR171:AR172)</f>
        <v>265941.29337623162</v>
      </c>
      <c r="AS175" s="36">
        <f t="shared" ref="AS175:BC175" si="420">SUM(AS141:AS145,AS148:AS150,AS154:AS158,AS161,AS164:AS167,AS169,AS171:AS172)</f>
        <v>0</v>
      </c>
      <c r="AT175" s="36">
        <f t="shared" si="420"/>
        <v>17639.393227179506</v>
      </c>
      <c r="AU175" s="36">
        <f t="shared" si="420"/>
        <v>0</v>
      </c>
      <c r="AV175" s="36">
        <f t="shared" si="420"/>
        <v>19593.817174860327</v>
      </c>
      <c r="AW175" s="36">
        <f t="shared" si="420"/>
        <v>0</v>
      </c>
      <c r="AX175" s="36">
        <f t="shared" si="420"/>
        <v>49849.386641056844</v>
      </c>
      <c r="AY175" s="36">
        <f t="shared" si="420"/>
        <v>0</v>
      </c>
      <c r="AZ175" s="36">
        <f t="shared" si="420"/>
        <v>128470.18409780547</v>
      </c>
      <c r="BA175" s="36">
        <f t="shared" si="420"/>
        <v>0</v>
      </c>
      <c r="BB175" s="36">
        <f t="shared" si="420"/>
        <v>0</v>
      </c>
      <c r="BC175" s="36">
        <f t="shared" si="420"/>
        <v>415014.55250000011</v>
      </c>
      <c r="BD175" s="36"/>
      <c r="BE175" s="36"/>
      <c r="BF175" s="36">
        <f>SUM(BF141:BF145,BF148:BF150,BF154:BF158,BF161,BF164:BF167,BF169,BF171:BF172)</f>
        <v>553633.4025971035</v>
      </c>
      <c r="BG175" s="36">
        <f t="shared" ref="BG175:BQ175" si="421">SUM(BG141:BG145,BG148:BG150,BG154:BG158,BG161,BG164:BG167,BG169,BG171:BG172)</f>
        <v>477778.47667399317</v>
      </c>
      <c r="BH175" s="36">
        <f t="shared" si="421"/>
        <v>40667.91374252439</v>
      </c>
      <c r="BI175" s="36">
        <f t="shared" si="421"/>
        <v>0</v>
      </c>
      <c r="BJ175" s="36">
        <f t="shared" si="421"/>
        <v>14172.959194183846</v>
      </c>
      <c r="BK175" s="36">
        <f t="shared" si="421"/>
        <v>0</v>
      </c>
      <c r="BL175" s="36">
        <f t="shared" si="421"/>
        <v>0</v>
      </c>
      <c r="BM175" s="36">
        <f t="shared" si="421"/>
        <v>0</v>
      </c>
      <c r="BN175" s="36">
        <f t="shared" si="421"/>
        <v>0</v>
      </c>
      <c r="BO175" s="36">
        <f t="shared" si="421"/>
        <v>0</v>
      </c>
      <c r="BP175" s="36">
        <f t="shared" si="421"/>
        <v>103321.3125790855</v>
      </c>
      <c r="BQ175" s="36">
        <f t="shared" si="421"/>
        <v>415014.55250000011</v>
      </c>
      <c r="BR175" s="36"/>
      <c r="BS175" s="36">
        <f>SUM(BS141:BS145,BS148:BS150,BS154:BS158,BS161,BS164:BS167,BS169,BS171:BS172)</f>
        <v>487480.0151792104</v>
      </c>
      <c r="BT175" s="36">
        <f t="shared" ref="BT175:CD175" si="422">SUM(BT141:BT145,BT148:BT150,BT154:BT158,BT161,BT164:BT167,BT169,BT171:BT172)</f>
        <v>0</v>
      </c>
      <c r="BU175" s="36">
        <f t="shared" si="422"/>
        <v>40594.009694799017</v>
      </c>
      <c r="BV175" s="36">
        <f t="shared" si="422"/>
        <v>0</v>
      </c>
      <c r="BW175" s="36">
        <f t="shared" si="422"/>
        <v>41362.652655157181</v>
      </c>
      <c r="BX175" s="36">
        <f t="shared" si="422"/>
        <v>234095.81840642658</v>
      </c>
      <c r="BY175" s="36">
        <f t="shared" si="422"/>
        <v>193520.57317562017</v>
      </c>
      <c r="BZ175" s="36">
        <f t="shared" si="422"/>
        <v>141538.28271376406</v>
      </c>
      <c r="CA175" s="36">
        <f t="shared" si="422"/>
        <v>282890.46950322308</v>
      </c>
      <c r="CB175" s="36">
        <f t="shared" si="422"/>
        <v>1611.2356606702208</v>
      </c>
      <c r="CC175" s="36">
        <f t="shared" si="422"/>
        <v>0</v>
      </c>
      <c r="CD175" s="36">
        <f t="shared" si="422"/>
        <v>415014.55250000011</v>
      </c>
      <c r="CE175" s="39"/>
      <c r="CF175" s="39"/>
      <c r="CG175" s="39"/>
    </row>
    <row r="176" spans="1:85" customFormat="1">
      <c r="A176" s="143" t="s">
        <v>122</v>
      </c>
      <c r="B176" s="159">
        <f>SUM(B141:B173)</f>
        <v>866346.48750000016</v>
      </c>
      <c r="C176" s="159"/>
      <c r="D176" s="159">
        <f t="shared" ref="D176:O176" si="423">SUM(D141:D173)</f>
        <v>115173.17099462289</v>
      </c>
      <c r="E176" s="159">
        <f t="shared" si="423"/>
        <v>0</v>
      </c>
      <c r="F176" s="159">
        <f t="shared" si="423"/>
        <v>0</v>
      </c>
      <c r="G176" s="159">
        <f t="shared" si="423"/>
        <v>0</v>
      </c>
      <c r="H176" s="159">
        <f t="shared" si="423"/>
        <v>0</v>
      </c>
      <c r="I176" s="159">
        <f t="shared" si="423"/>
        <v>0</v>
      </c>
      <c r="J176" s="159">
        <f t="shared" si="423"/>
        <v>0</v>
      </c>
      <c r="K176" s="159">
        <f t="shared" si="423"/>
        <v>0</v>
      </c>
      <c r="L176" s="159">
        <f t="shared" si="423"/>
        <v>0</v>
      </c>
      <c r="M176" s="159">
        <f t="shared" si="423"/>
        <v>0</v>
      </c>
      <c r="N176" s="159">
        <f t="shared" si="423"/>
        <v>385710.60471854021</v>
      </c>
      <c r="O176" s="159">
        <f t="shared" si="423"/>
        <v>866346.48750000016</v>
      </c>
      <c r="P176" s="159">
        <f t="shared" ref="P176:AB176" si="424">SUM(P141:P173)</f>
        <v>0</v>
      </c>
      <c r="Q176" s="159">
        <f t="shared" si="424"/>
        <v>221955.68528826872</v>
      </c>
      <c r="R176" s="159">
        <f t="shared" si="424"/>
        <v>0</v>
      </c>
      <c r="S176" s="159">
        <f t="shared" si="424"/>
        <v>80125.72828541843</v>
      </c>
      <c r="T176" s="159">
        <f t="shared" si="424"/>
        <v>0</v>
      </c>
      <c r="U176" s="159">
        <f t="shared" si="424"/>
        <v>46813.715582992794</v>
      </c>
      <c r="V176" s="159">
        <f t="shared" si="424"/>
        <v>57263.115886863168</v>
      </c>
      <c r="W176" s="159">
        <f t="shared" si="424"/>
        <v>189758.23601374595</v>
      </c>
      <c r="X176" s="159">
        <f t="shared" si="424"/>
        <v>19540.479447272235</v>
      </c>
      <c r="Y176" s="159">
        <f t="shared" si="424"/>
        <v>651079.96894486272</v>
      </c>
      <c r="Z176" s="159">
        <f t="shared" si="424"/>
        <v>9090.7670612620459</v>
      </c>
      <c r="AA176" s="159">
        <f t="shared" si="424"/>
        <v>0</v>
      </c>
      <c r="AB176" s="159">
        <f t="shared" si="424"/>
        <v>866346.48750000016</v>
      </c>
      <c r="AC176" s="159"/>
      <c r="AD176" s="159">
        <f t="shared" ref="AD176:AP176" si="425">SUM(AD141:AD173)</f>
        <v>0</v>
      </c>
      <c r="AE176" s="159">
        <f t="shared" si="425"/>
        <v>442987.80251016229</v>
      </c>
      <c r="AF176" s="159">
        <f t="shared" si="425"/>
        <v>194864.23068318208</v>
      </c>
      <c r="AG176" s="159">
        <f t="shared" si="425"/>
        <v>144766.600498474</v>
      </c>
      <c r="AH176" s="159">
        <f t="shared" si="425"/>
        <v>0</v>
      </c>
      <c r="AI176" s="159">
        <f t="shared" si="425"/>
        <v>85891.363458544773</v>
      </c>
      <c r="AJ176" s="159">
        <f t="shared" si="425"/>
        <v>0</v>
      </c>
      <c r="AK176" s="159">
        <f t="shared" si="425"/>
        <v>0</v>
      </c>
      <c r="AL176" s="159">
        <f t="shared" si="425"/>
        <v>0</v>
      </c>
      <c r="AM176" s="159">
        <f t="shared" si="425"/>
        <v>0</v>
      </c>
      <c r="AN176" s="159">
        <f t="shared" si="425"/>
        <v>0</v>
      </c>
      <c r="AO176" s="159">
        <f t="shared" si="425"/>
        <v>810955.20404526615</v>
      </c>
      <c r="AP176" s="159">
        <f t="shared" si="425"/>
        <v>866346.48750000016</v>
      </c>
      <c r="AQ176" s="159">
        <f t="shared" ref="AQ176:BC176" si="426">SUM(AQ141:AQ173)</f>
        <v>0</v>
      </c>
      <c r="AR176" s="159">
        <f t="shared" si="426"/>
        <v>402826.41987781605</v>
      </c>
      <c r="AS176" s="159">
        <f t="shared" si="426"/>
        <v>0</v>
      </c>
      <c r="AT176" s="159">
        <f t="shared" si="426"/>
        <v>136584.69116851158</v>
      </c>
      <c r="AU176" s="159">
        <f t="shared" si="426"/>
        <v>0</v>
      </c>
      <c r="AV176" s="159">
        <f t="shared" si="426"/>
        <v>123846.92580048555</v>
      </c>
      <c r="AW176" s="159">
        <f t="shared" si="426"/>
        <v>73005.536464022953</v>
      </c>
      <c r="AX176" s="159">
        <f t="shared" si="426"/>
        <v>376329.25031028729</v>
      </c>
      <c r="AY176" s="159">
        <f t="shared" si="426"/>
        <v>35392.846625040365</v>
      </c>
      <c r="AZ176" s="159">
        <f t="shared" si="426"/>
        <v>1201471.0914727603</v>
      </c>
      <c r="BA176" s="159">
        <f t="shared" si="426"/>
        <v>32398.184926947113</v>
      </c>
      <c r="BB176" s="159">
        <f t="shared" si="426"/>
        <v>0</v>
      </c>
      <c r="BC176" s="159">
        <f t="shared" si="426"/>
        <v>866346.48750000016</v>
      </c>
      <c r="BD176" s="159"/>
      <c r="BE176" s="159">
        <f t="shared" ref="BE176:BQ176" si="427">SUM(BE141:BE173)</f>
        <v>0</v>
      </c>
      <c r="BF176" s="159">
        <f t="shared" si="427"/>
        <v>909418.56318392896</v>
      </c>
      <c r="BG176" s="159">
        <f t="shared" si="427"/>
        <v>907804.07661611144</v>
      </c>
      <c r="BH176" s="159">
        <f t="shared" si="427"/>
        <v>273830.68753859948</v>
      </c>
      <c r="BI176" s="159">
        <f t="shared" si="427"/>
        <v>0</v>
      </c>
      <c r="BJ176" s="159">
        <f t="shared" si="427"/>
        <v>190126.79527867126</v>
      </c>
      <c r="BK176" s="159">
        <f t="shared" si="427"/>
        <v>0</v>
      </c>
      <c r="BL176" s="159">
        <f t="shared" si="427"/>
        <v>0</v>
      </c>
      <c r="BM176" s="159">
        <f t="shared" si="427"/>
        <v>0</v>
      </c>
      <c r="BN176" s="159">
        <f t="shared" si="427"/>
        <v>0</v>
      </c>
      <c r="BO176" s="159">
        <f t="shared" si="427"/>
        <v>0</v>
      </c>
      <c r="BP176" s="159">
        <f t="shared" si="427"/>
        <v>1827052.8200192999</v>
      </c>
      <c r="BQ176" s="159">
        <f t="shared" si="427"/>
        <v>866346.48750000016</v>
      </c>
      <c r="BR176" s="159">
        <f t="shared" ref="BR176:CD176" si="428">SUM(BR141:BR173)</f>
        <v>0</v>
      </c>
      <c r="BS176" s="159">
        <f t="shared" si="428"/>
        <v>800140.66251907183</v>
      </c>
      <c r="BT176" s="159">
        <f t="shared" si="428"/>
        <v>0</v>
      </c>
      <c r="BU176" s="159">
        <f t="shared" si="428"/>
        <v>234098.2722587368</v>
      </c>
      <c r="BV176" s="159">
        <f t="shared" si="428"/>
        <v>0</v>
      </c>
      <c r="BW176" s="159">
        <f t="shared" si="428"/>
        <v>204248.3972849017</v>
      </c>
      <c r="BX176" s="159">
        <f t="shared" si="428"/>
        <v>939572.35097131249</v>
      </c>
      <c r="BY176" s="159">
        <f t="shared" si="428"/>
        <v>824659.74496990221</v>
      </c>
      <c r="BZ176" s="159">
        <f t="shared" si="428"/>
        <v>878297.39010811364</v>
      </c>
      <c r="CA176" s="159">
        <f t="shared" si="428"/>
        <v>1967758.936861353</v>
      </c>
      <c r="CB176" s="159">
        <f t="shared" si="428"/>
        <v>101168.38349532535</v>
      </c>
      <c r="CC176" s="159">
        <f t="shared" si="428"/>
        <v>0</v>
      </c>
      <c r="CD176" s="159">
        <f t="shared" si="428"/>
        <v>866346.48750000016</v>
      </c>
      <c r="CE176" s="159"/>
      <c r="CF176" s="159">
        <f t="shared" ref="CF176" si="429">SUM(CF141:CF173)</f>
        <v>0</v>
      </c>
      <c r="CG176" s="159">
        <f>SUM(CG141:CG173)</f>
        <v>0</v>
      </c>
    </row>
    <row r="177" spans="1:85" customFormat="1">
      <c r="A177" s="38"/>
    </row>
    <row r="178" spans="1:85" customFormat="1">
      <c r="A178" t="str">
        <f xml:space="preserve"> "Selected Borough: "&amp;Dashboard!D5</f>
        <v>Selected Borough: Inner London</v>
      </c>
      <c r="B178" s="36">
        <f>INDEX(B141:B176,MATCH(Dashboard!$D$5,$A$96:$A$131,0))</f>
        <v>451331.93500000006</v>
      </c>
      <c r="C178" s="36"/>
      <c r="D178" s="36">
        <f>INDEX(D141:D176,MATCH(Dashboard!$D$5,$A$96:$A$131,0))</f>
        <v>83485.845290953221</v>
      </c>
      <c r="E178" s="36">
        <f>INDEX(E141:E176,MATCH(Dashboard!$D$5,$A$96:$A$131,0))</f>
        <v>0</v>
      </c>
      <c r="F178" s="36">
        <f>INDEX(F141:F176,MATCH(Dashboard!$D$5,$A$96:$A$131,0))</f>
        <v>0</v>
      </c>
      <c r="G178" s="36">
        <f>INDEX(G141:G176,MATCH(Dashboard!$D$5,$A$96:$A$131,0))</f>
        <v>0</v>
      </c>
      <c r="H178" s="36">
        <f>INDEX(H141:H176,MATCH(Dashboard!$D$5,$A$96:$A$131,0))</f>
        <v>0</v>
      </c>
      <c r="I178" s="36">
        <f>INDEX(I141:I176,MATCH(Dashboard!$D$5,$A$96:$A$131,0))</f>
        <v>0</v>
      </c>
      <c r="J178" s="36">
        <f>INDEX(J141:J176,MATCH(Dashboard!$D$5,$A$96:$A$131,0))</f>
        <v>0</v>
      </c>
      <c r="K178" s="36">
        <f>INDEX(K141:K176,MATCH(Dashboard!$D$5,$A$96:$A$131,0))</f>
        <v>0</v>
      </c>
      <c r="L178" s="36">
        <f>INDEX(L141:L176,MATCH(Dashboard!$D$5,$A$96:$A$131,0))</f>
        <v>0</v>
      </c>
      <c r="M178" s="36">
        <f>INDEX(M141:M176,MATCH(Dashboard!$D$5,$A$96:$A$131,0))</f>
        <v>0</v>
      </c>
      <c r="N178" s="36">
        <f>INDEX(N141:N176,MATCH(Dashboard!$D$5,$A$96:$A$131,0))</f>
        <v>385710.60471854021</v>
      </c>
      <c r="O178" s="36">
        <f>INDEX(O141:O176,MATCH(Dashboard!$D$5,$A$96:$A$131,0))</f>
        <v>451331.93500000006</v>
      </c>
      <c r="P178" s="36"/>
      <c r="Q178" s="36">
        <f>INDEX(Q141:Q176,MATCH(Dashboard!$D$5,$A$96:$A$131,0))</f>
        <v>73177.666269680325</v>
      </c>
      <c r="R178" s="36">
        <f>INDEX(R141:R176,MATCH(Dashboard!$D$5,$A$96:$A$131,0))</f>
        <v>0</v>
      </c>
      <c r="S178" s="36">
        <f>INDEX(S141:S176,MATCH(Dashboard!$D$5,$A$96:$A$131,0))</f>
        <v>70241.295928342297</v>
      </c>
      <c r="T178" s="36">
        <f>INDEX(T141:T176,MATCH(Dashboard!$D$5,$A$96:$A$131,0))</f>
        <v>0</v>
      </c>
      <c r="U178" s="36">
        <f>INDEX(U141:U176,MATCH(Dashboard!$D$5,$A$96:$A$131,0))</f>
        <v>33088.36811950626</v>
      </c>
      <c r="V178" s="36">
        <f>INDEX(V141:V176,MATCH(Dashboard!$D$5,$A$96:$A$131,0))</f>
        <v>57263.115886863168</v>
      </c>
      <c r="W178" s="36">
        <f>INDEX(W141:W176,MATCH(Dashboard!$D$5,$A$96:$A$131,0))</f>
        <v>155134.76281064725</v>
      </c>
      <c r="X178" s="36">
        <f>INDEX(X141:X176,MATCH(Dashboard!$D$5,$A$96:$A$131,0))</f>
        <v>19540.479447272235</v>
      </c>
      <c r="Y178" s="36">
        <f>INDEX(Y141:Y176,MATCH(Dashboard!$D$5,$A$96:$A$131,0))</f>
        <v>576655.45761327748</v>
      </c>
      <c r="Z178" s="36">
        <f>INDEX(Z141:Z176,MATCH(Dashboard!$D$5,$A$96:$A$131,0))</f>
        <v>9090.7670612620459</v>
      </c>
      <c r="AA178" s="36">
        <f>INDEX(AA141:AA176,MATCH(Dashboard!$D$5,$A$96:$A$131,0))</f>
        <v>0</v>
      </c>
      <c r="AB178" s="36">
        <f>INDEX(AB141:AB176,MATCH(Dashboard!$D$5,$A$96:$A$131,0))</f>
        <v>451331.93500000006</v>
      </c>
      <c r="AC178" s="36"/>
      <c r="AD178" s="36"/>
      <c r="AE178" s="36">
        <f>INDEX(AE141:AE176,MATCH(Dashboard!$D$5,$A$96:$A$131,0))</f>
        <v>168596.05707036547</v>
      </c>
      <c r="AF178" s="36">
        <f>INDEX(AF141:AF176,MATCH(Dashboard!$D$5,$A$96:$A$131,0))</f>
        <v>108241.93399494886</v>
      </c>
      <c r="AG178" s="36">
        <f>INDEX(AG141:AG176,MATCH(Dashboard!$D$5,$A$96:$A$131,0))</f>
        <v>127379.09646864294</v>
      </c>
      <c r="AH178" s="36">
        <f>INDEX(AH141:AH176,MATCH(Dashboard!$D$5,$A$96:$A$131,0))</f>
        <v>0</v>
      </c>
      <c r="AI178" s="36">
        <f>INDEX(AI141:AI176,MATCH(Dashboard!$D$5,$A$96:$A$131,0))</f>
        <v>79055.833826755363</v>
      </c>
      <c r="AJ178" s="36">
        <f>INDEX(AJ141:AJ176,MATCH(Dashboard!$D$5,$A$96:$A$131,0))</f>
        <v>0</v>
      </c>
      <c r="AK178" s="36">
        <f>INDEX(AK141:AK176,MATCH(Dashboard!$D$5,$A$96:$A$131,0))</f>
        <v>0</v>
      </c>
      <c r="AL178" s="36">
        <f>INDEX(AL141:AL176,MATCH(Dashboard!$D$5,$A$96:$A$131,0))</f>
        <v>0</v>
      </c>
      <c r="AM178" s="36">
        <f>INDEX(AM141:AM176,MATCH(Dashboard!$D$5,$A$96:$A$131,0))</f>
        <v>0</v>
      </c>
      <c r="AN178" s="36">
        <f>INDEX(AN141:AN176,MATCH(Dashboard!$D$5,$A$96:$A$131,0))</f>
        <v>0</v>
      </c>
      <c r="AO178" s="36">
        <f>INDEX(AO141:AO176,MATCH(Dashboard!$D$5,$A$96:$A$131,0))</f>
        <v>790814.68099939707</v>
      </c>
      <c r="AP178" s="36">
        <f>INDEX(AP141:AP176,MATCH(Dashboard!$D$5,$A$96:$A$131,0))</f>
        <v>451331.93500000006</v>
      </c>
      <c r="AQ178" s="36"/>
      <c r="AR178" s="36">
        <f>INDEX(AR141:AR176,MATCH(Dashboard!$D$5,$A$96:$A$131,0))</f>
        <v>136885.12650158437</v>
      </c>
      <c r="AS178" s="36">
        <f>INDEX(AS141:AS176,MATCH(Dashboard!$D$5,$A$96:$A$131,0))</f>
        <v>0</v>
      </c>
      <c r="AT178" s="36">
        <f>INDEX(AT141:AT176,MATCH(Dashboard!$D$5,$A$96:$A$131,0))</f>
        <v>118945.29794133206</v>
      </c>
      <c r="AU178" s="36">
        <f>INDEX(AU141:AU176,MATCH(Dashboard!$D$5,$A$96:$A$131,0))</f>
        <v>0</v>
      </c>
      <c r="AV178" s="36">
        <f>INDEX(AV141:AV176,MATCH(Dashboard!$D$5,$A$96:$A$131,0))</f>
        <v>104253.10862562522</v>
      </c>
      <c r="AW178" s="36">
        <f>INDEX(AW141:AW176,MATCH(Dashboard!$D$5,$A$96:$A$131,0))</f>
        <v>73005.536464022953</v>
      </c>
      <c r="AX178" s="36">
        <f>INDEX(AX141:AX176,MATCH(Dashboard!$D$5,$A$96:$A$131,0))</f>
        <v>326479.86366923049</v>
      </c>
      <c r="AY178" s="36">
        <f>INDEX(AY141:AY176,MATCH(Dashboard!$D$5,$A$96:$A$131,0))</f>
        <v>35392.846625040365</v>
      </c>
      <c r="AZ178" s="36">
        <f>INDEX(AZ141:AZ176,MATCH(Dashboard!$D$5,$A$96:$A$131,0))</f>
        <v>1073000.907374955</v>
      </c>
      <c r="BA178" s="36">
        <f>INDEX(BA141:BA176,MATCH(Dashboard!$D$5,$A$96:$A$131,0))</f>
        <v>32398.184926947113</v>
      </c>
      <c r="BB178" s="36">
        <f>INDEX(BB141:BB176,MATCH(Dashboard!$D$5,$A$96:$A$131,0))</f>
        <v>0</v>
      </c>
      <c r="BC178" s="36">
        <f>INDEX(BC141:BC176,MATCH(Dashboard!$D$5,$A$96:$A$131,0))</f>
        <v>451331.93500000006</v>
      </c>
      <c r="BD178" s="36"/>
      <c r="BE178" s="36">
        <f>INDEX(BE141:BE176,MATCH(Dashboard!$D$5,$A$96:$A$131,0))</f>
        <v>0</v>
      </c>
      <c r="BF178" s="36">
        <f>INDEX(BF141:BF176,MATCH(Dashboard!$D$5,$A$96:$A$131,0))</f>
        <v>355785.16058682569</v>
      </c>
      <c r="BG178" s="36">
        <f>INDEX(BG141:BG176,MATCH(Dashboard!$D$5,$A$96:$A$131,0))</f>
        <v>430025.59994211851</v>
      </c>
      <c r="BH178" s="36">
        <f>INDEX(BH141:BH176,MATCH(Dashboard!$D$5,$A$96:$A$131,0))</f>
        <v>233162.77379607511</v>
      </c>
      <c r="BI178" s="36">
        <f>INDEX(BI141:BI176,MATCH(Dashboard!$D$5,$A$96:$A$131,0))</f>
        <v>0</v>
      </c>
      <c r="BJ178" s="36">
        <f>INDEX(BJ141:BJ176,MATCH(Dashboard!$D$5,$A$96:$A$131,0))</f>
        <v>175953.83608448738</v>
      </c>
      <c r="BK178" s="36">
        <f>INDEX(BK141:BK176,MATCH(Dashboard!$D$5,$A$96:$A$131,0))</f>
        <v>0</v>
      </c>
      <c r="BL178" s="36">
        <f>INDEX(BL141:BL176,MATCH(Dashboard!$D$5,$A$96:$A$131,0))</f>
        <v>0</v>
      </c>
      <c r="BM178" s="36">
        <f>INDEX(BM141:BM176,MATCH(Dashboard!$D$5,$A$96:$A$131,0))</f>
        <v>0</v>
      </c>
      <c r="BN178" s="36">
        <f>INDEX(BN141:BN176,MATCH(Dashboard!$D$5,$A$96:$A$131,0))</f>
        <v>0</v>
      </c>
      <c r="BO178" s="36">
        <f>INDEX(BO141:BO176,MATCH(Dashboard!$D$5,$A$96:$A$131,0))</f>
        <v>0</v>
      </c>
      <c r="BP178" s="36">
        <f>INDEX(BP141:BP176,MATCH(Dashboard!$D$5,$A$96:$A$131,0))</f>
        <v>1723731.5074402145</v>
      </c>
      <c r="BQ178" s="36">
        <f>INDEX(BQ141:BQ176,MATCH(Dashboard!$D$5,$A$96:$A$131,0))</f>
        <v>451331.93500000006</v>
      </c>
      <c r="BR178" s="36"/>
      <c r="BS178" s="36">
        <f>INDEX(BS141:BS176,MATCH(Dashboard!$D$5,$A$96:$A$131,0))</f>
        <v>312660.64733986143</v>
      </c>
      <c r="BT178" s="36">
        <f>INDEX(BT141:BT176,MATCH(Dashboard!$D$5,$A$96:$A$131,0))</f>
        <v>0</v>
      </c>
      <c r="BU178" s="36">
        <f>INDEX(BU141:BU176,MATCH(Dashboard!$D$5,$A$96:$A$131,0))</f>
        <v>193504.26256393778</v>
      </c>
      <c r="BV178" s="36">
        <f>INDEX(BV141:BV176,MATCH(Dashboard!$D$5,$A$96:$A$131,0))</f>
        <v>0</v>
      </c>
      <c r="BW178" s="36">
        <f>INDEX(BW141:BW176,MATCH(Dashboard!$D$5,$A$96:$A$131,0))</f>
        <v>162885.7446297445</v>
      </c>
      <c r="BX178" s="36">
        <f>INDEX(BX141:BX176,MATCH(Dashboard!$D$5,$A$96:$A$131,0))</f>
        <v>705476.53256488591</v>
      </c>
      <c r="BY178" s="36">
        <f>INDEX(BY141:BY176,MATCH(Dashboard!$D$5,$A$96:$A$131,0))</f>
        <v>631139.17179428216</v>
      </c>
      <c r="BZ178" s="36">
        <f>INDEX(BZ141:BZ176,MATCH(Dashboard!$D$5,$A$96:$A$131,0))</f>
        <v>736759.10739434953</v>
      </c>
      <c r="CA178" s="36">
        <f>INDEX(CA141:CA176,MATCH(Dashboard!$D$5,$A$96:$A$131,0))</f>
        <v>1684868.4673581296</v>
      </c>
      <c r="CB178" s="36">
        <f>INDEX(CB141:CB176,MATCH(Dashboard!$D$5,$A$96:$A$131,0))</f>
        <v>99557.14783465513</v>
      </c>
      <c r="CC178" s="36">
        <f>INDEX(CC141:CC176,MATCH(Dashboard!$D$5,$A$96:$A$131,0))</f>
        <v>0</v>
      </c>
      <c r="CD178" s="36">
        <f>INDEX(CD141:CD176,MATCH(Dashboard!$D$5,$A$96:$A$131,0))</f>
        <v>451331.93500000006</v>
      </c>
      <c r="CE178" s="36"/>
      <c r="CF178" s="36"/>
      <c r="CG178" s="36"/>
    </row>
    <row r="179" spans="1:85" customFormat="1">
      <c r="D179" s="159">
        <f>SUM(D178:O178)</f>
        <v>920528.38500949345</v>
      </c>
      <c r="Q179" s="159">
        <f>SUM(Q178:AB178)</f>
        <v>1445523.8481368511</v>
      </c>
      <c r="AE179" s="159">
        <f>SUM(AE178:AP178)</f>
        <v>1725419.5373601099</v>
      </c>
      <c r="AR179" s="159">
        <f>SUM(AR178:BC178)</f>
        <v>2351692.8071287377</v>
      </c>
      <c r="BF179" s="159">
        <f>SUM(BF178:BQ178)</f>
        <v>3369990.8128497214</v>
      </c>
      <c r="BS179" s="159">
        <f>SUM(BS178:CD178)</f>
        <v>4978183.0164798461</v>
      </c>
    </row>
    <row r="180" spans="1:85" customFormat="1"/>
    <row r="181" spans="1:85" customFormat="1"/>
    <row r="182" spans="1:85" customFormat="1"/>
    <row r="183" spans="1:85" customFormat="1"/>
    <row r="184" spans="1:85" customFormat="1"/>
    <row r="185" spans="1:85" customFormat="1"/>
    <row r="186" spans="1:85" customFormat="1"/>
    <row r="187" spans="1:85" customFormat="1"/>
    <row r="188" spans="1:85" customFormat="1"/>
    <row r="189" spans="1:85" customFormat="1"/>
    <row r="190" spans="1:85" customFormat="1"/>
    <row r="191" spans="1:85" customFormat="1"/>
    <row r="192" spans="1:85" customFormat="1"/>
    <row r="193" customFormat="1" ht="15.75" customHeigh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row r="1001" customFormat="1"/>
    <row r="1002" customFormat="1"/>
    <row r="1003" customFormat="1"/>
    <row r="1004" customFormat="1"/>
    <row r="1005" customFormat="1"/>
    <row r="1006" customFormat="1"/>
    <row r="1007" customFormat="1"/>
    <row r="1008" customFormat="1"/>
    <row r="1009" customFormat="1"/>
    <row r="1010" customFormat="1"/>
    <row r="1011" customFormat="1"/>
    <row r="1012" customFormat="1"/>
    <row r="1013" customFormat="1"/>
    <row r="1014" customFormat="1"/>
    <row r="1015" customFormat="1"/>
    <row r="1016" customFormat="1"/>
    <row r="1017" customFormat="1"/>
    <row r="1018" customFormat="1"/>
    <row r="1019" customFormat="1"/>
    <row r="1020" customFormat="1"/>
    <row r="1021" customFormat="1"/>
    <row r="1022" customFormat="1"/>
    <row r="1023" customFormat="1"/>
    <row r="1024" customFormat="1"/>
    <row r="1025" customFormat="1"/>
    <row r="1026" customFormat="1"/>
    <row r="1027" customFormat="1"/>
    <row r="1028" customFormat="1"/>
    <row r="1029" customFormat="1"/>
    <row r="1030" customFormat="1"/>
    <row r="1031" customFormat="1"/>
    <row r="1032" customFormat="1"/>
    <row r="1033" customFormat="1"/>
    <row r="1034" customFormat="1"/>
    <row r="1035" customFormat="1"/>
    <row r="1036" customFormat="1"/>
    <row r="1037" customFormat="1"/>
    <row r="1038" customFormat="1"/>
    <row r="1039" customFormat="1"/>
    <row r="1040" customFormat="1"/>
    <row r="1041" customFormat="1"/>
    <row r="1042" customFormat="1"/>
    <row r="1043" customFormat="1"/>
    <row r="1044" customFormat="1"/>
    <row r="1045" customFormat="1"/>
    <row r="1046" customFormat="1"/>
    <row r="1047" customFormat="1"/>
    <row r="1048" customFormat="1"/>
    <row r="1049" customFormat="1"/>
    <row r="1050" customFormat="1"/>
    <row r="1051" customFormat="1"/>
    <row r="1052" customFormat="1"/>
    <row r="1053" customFormat="1"/>
    <row r="1054" customFormat="1"/>
    <row r="1055" customFormat="1"/>
    <row r="1056" customFormat="1"/>
    <row r="1057" customFormat="1"/>
    <row r="1058" customFormat="1"/>
    <row r="1059" customFormat="1"/>
    <row r="1060" customFormat="1"/>
    <row r="1061" customFormat="1"/>
    <row r="1062" customFormat="1"/>
    <row r="1063" customFormat="1"/>
    <row r="1064" customFormat="1"/>
    <row r="1065" customFormat="1"/>
    <row r="1066" customFormat="1"/>
    <row r="1067" customFormat="1"/>
    <row r="1068" customFormat="1"/>
    <row r="1069" customFormat="1"/>
    <row r="1070" customFormat="1"/>
    <row r="1071" customFormat="1"/>
    <row r="1072" customFormat="1"/>
    <row r="1073" customFormat="1"/>
    <row r="1074" customFormat="1"/>
    <row r="1075" customFormat="1"/>
    <row r="1076" customFormat="1"/>
    <row r="1077" customFormat="1"/>
    <row r="1078" customFormat="1"/>
    <row r="1079" customFormat="1"/>
    <row r="1080" customFormat="1"/>
    <row r="1081" customFormat="1"/>
    <row r="1082" customFormat="1"/>
    <row r="1083" customFormat="1"/>
    <row r="1084" customFormat="1" hidden="1"/>
    <row r="1085" customFormat="1"/>
    <row r="1086" customFormat="1"/>
    <row r="1087" customFormat="1"/>
    <row r="1088" customFormat="1"/>
    <row r="1089" customFormat="1"/>
    <row r="1090" customFormat="1"/>
    <row r="1091" customFormat="1"/>
    <row r="1092" customFormat="1"/>
    <row r="1093" customFormat="1"/>
    <row r="1094" customFormat="1"/>
    <row r="1095" customFormat="1"/>
    <row r="1096" customFormat="1"/>
    <row r="1097" customFormat="1"/>
    <row r="1098" customFormat="1"/>
    <row r="1099" customFormat="1"/>
    <row r="1100" customFormat="1"/>
    <row r="1101" customFormat="1"/>
    <row r="1102" customFormat="1"/>
    <row r="1103" customFormat="1"/>
    <row r="1104" customFormat="1"/>
    <row r="1105" customFormat="1"/>
    <row r="1106" customFormat="1"/>
    <row r="1107" customFormat="1"/>
    <row r="1108" customFormat="1"/>
    <row r="1109" customFormat="1"/>
    <row r="1110" customFormat="1"/>
    <row r="1111" customFormat="1"/>
    <row r="1112" customFormat="1"/>
    <row r="1113" customFormat="1"/>
    <row r="1114" customFormat="1"/>
    <row r="1115" customFormat="1"/>
    <row r="1116" customFormat="1"/>
    <row r="1117" customFormat="1"/>
    <row r="1118" customFormat="1"/>
    <row r="1119" customFormat="1"/>
    <row r="1120" customFormat="1"/>
    <row r="1121" customFormat="1"/>
    <row r="1122" customFormat="1"/>
    <row r="1123" customFormat="1"/>
    <row r="1124" customFormat="1"/>
    <row r="1125" customFormat="1"/>
    <row r="1126" customFormat="1"/>
    <row r="1127" customFormat="1"/>
    <row r="1128" customFormat="1"/>
    <row r="1129" customFormat="1"/>
    <row r="1130" customFormat="1"/>
    <row r="1131" customFormat="1"/>
    <row r="1132" customFormat="1"/>
    <row r="1133" customFormat="1"/>
    <row r="1134" customFormat="1"/>
    <row r="1135" customFormat="1"/>
    <row r="1136" customFormat="1"/>
    <row r="1137" customFormat="1"/>
    <row r="1138" customFormat="1"/>
    <row r="1139" customFormat="1"/>
    <row r="1140" customFormat="1"/>
    <row r="1141" customFormat="1"/>
    <row r="1142" customFormat="1"/>
    <row r="1143" customFormat="1"/>
    <row r="1144" customFormat="1"/>
    <row r="1145" customFormat="1"/>
    <row r="1146" customFormat="1"/>
    <row r="1147" customFormat="1"/>
    <row r="1148" customFormat="1"/>
    <row r="1149" customFormat="1"/>
    <row r="1150" customFormat="1"/>
    <row r="1151" customFormat="1"/>
    <row r="1152" customFormat="1"/>
    <row r="1153" customFormat="1"/>
    <row r="1154" customFormat="1"/>
    <row r="1155" customFormat="1"/>
    <row r="1156" customFormat="1"/>
    <row r="1157" customFormat="1"/>
    <row r="1158" customFormat="1"/>
    <row r="1159" customFormat="1"/>
    <row r="1160" customFormat="1"/>
    <row r="1161" customFormat="1"/>
    <row r="1162" customFormat="1"/>
    <row r="1163" customFormat="1"/>
    <row r="1164" customFormat="1"/>
    <row r="1165" customFormat="1"/>
    <row r="1166" customFormat="1"/>
    <row r="1167" customFormat="1"/>
    <row r="1168" customFormat="1"/>
    <row r="1169" customFormat="1"/>
    <row r="1170" customFormat="1"/>
    <row r="1171" customFormat="1"/>
    <row r="1172" customFormat="1"/>
    <row r="1173" customFormat="1"/>
    <row r="1174" customFormat="1"/>
    <row r="1175" customFormat="1"/>
    <row r="1176" customFormat="1"/>
    <row r="1177" customFormat="1"/>
    <row r="1178" customFormat="1"/>
    <row r="1179" customFormat="1"/>
    <row r="1180" customFormat="1"/>
    <row r="1181" customFormat="1"/>
    <row r="1182" customFormat="1"/>
    <row r="1183" customFormat="1"/>
    <row r="1184" customFormat="1"/>
    <row r="1185" customFormat="1"/>
    <row r="1186" customFormat="1"/>
    <row r="1187" customFormat="1"/>
    <row r="1188" customFormat="1"/>
    <row r="1189" customFormat="1"/>
    <row r="1190" customFormat="1"/>
    <row r="1191" customFormat="1"/>
    <row r="1192" customFormat="1"/>
    <row r="1193" customFormat="1"/>
    <row r="1194" customFormat="1"/>
    <row r="1195" customFormat="1"/>
    <row r="1196" customFormat="1"/>
    <row r="1197" customFormat="1"/>
    <row r="1198" customFormat="1"/>
    <row r="1199" customFormat="1"/>
    <row r="1200" customFormat="1"/>
    <row r="1201" customFormat="1"/>
    <row r="1202" customFormat="1"/>
    <row r="1203" customFormat="1"/>
    <row r="1204" customFormat="1"/>
    <row r="1205" customFormat="1"/>
    <row r="1206" customFormat="1"/>
  </sheetData>
  <mergeCells count="4">
    <mergeCell ref="AC46:AC47"/>
    <mergeCell ref="CE46:CE47"/>
    <mergeCell ref="BD46:BD47"/>
    <mergeCell ref="CE94:CE95"/>
  </mergeCells>
  <conditionalFormatting sqref="AR40 BF40 BS40 D40 Q40 Q86:Q88 D86:D88 BS86:BS88 BF86:BF88 AR87:AR88">
    <cfRule type="containsText" dxfId="230" priority="28" operator="containsText" text="err">
      <formula>NOT(ISERROR(SEARCH("err",D40)))</formula>
    </cfRule>
    <cfRule type="containsText" dxfId="229" priority="29" operator="containsText" text="OK">
      <formula>NOT(ISERROR(SEARCH("OK",D40)))</formula>
    </cfRule>
  </conditionalFormatting>
  <conditionalFormatting sqref="Q90">
    <cfRule type="containsText" dxfId="228" priority="26" operator="containsText" text="err">
      <formula>NOT(ISERROR(SEARCH("err",Q90)))</formula>
    </cfRule>
    <cfRule type="containsText" dxfId="227" priority="27" operator="containsText" text="OK">
      <formula>NOT(ISERROR(SEARCH("OK",Q90)))</formula>
    </cfRule>
  </conditionalFormatting>
  <conditionalFormatting sqref="AE187:AP187 AR187:BC187 BF187:BQ187 BE141:CD173 BS187:CN187 B187:AC187 CF96:CG134 B180:C186 AD180:CF186 B188:CG1206 CF141:CG173 B141:BC173 CF48:CF85 CG84:CG85 B48:BC80 B83:BC85 B81:AQ82 BE48:CD80 BE83:CD85 BE81:BR82 B96:BC134 BE96:CD134 B176:BC179 D176:AC186 CG176:CG186 CF176:CF179 BE176:CD179">
    <cfRule type="cellIs" dxfId="226" priority="25" operator="lessThan">
      <formula>0</formula>
    </cfRule>
  </conditionalFormatting>
  <conditionalFormatting sqref="Q135">
    <cfRule type="containsText" dxfId="225" priority="23" operator="containsText" text="err">
      <formula>NOT(ISERROR(SEARCH("err",Q135)))</formula>
    </cfRule>
    <cfRule type="containsText" dxfId="224" priority="24" operator="containsText" text="OK">
      <formula>NOT(ISERROR(SEARCH("OK",Q135)))</formula>
    </cfRule>
  </conditionalFormatting>
  <conditionalFormatting sqref="CG48:CG83">
    <cfRule type="cellIs" dxfId="223" priority="21" operator="lessThan">
      <formula>0</formula>
    </cfRule>
  </conditionalFormatting>
  <conditionalFormatting sqref="CE96:CE134">
    <cfRule type="cellIs" dxfId="222" priority="20" operator="lessThan">
      <formula>0</formula>
    </cfRule>
  </conditionalFormatting>
  <conditionalFormatting sqref="CE141:CE173 CE176:CE179">
    <cfRule type="cellIs" dxfId="221" priority="19" operator="lessThan">
      <formula>0</formula>
    </cfRule>
  </conditionalFormatting>
  <conditionalFormatting sqref="CE84:CE85">
    <cfRule type="cellIs" dxfId="220" priority="18" operator="lessThan">
      <formula>0</formula>
    </cfRule>
  </conditionalFormatting>
  <conditionalFormatting sqref="BD96:BD134">
    <cfRule type="cellIs" dxfId="219" priority="17" operator="lessThan">
      <formula>0</formula>
    </cfRule>
  </conditionalFormatting>
  <conditionalFormatting sqref="BD141:BD173 BD176:BD179">
    <cfRule type="cellIs" dxfId="218" priority="16" operator="lessThan">
      <formula>0</formula>
    </cfRule>
  </conditionalFormatting>
  <conditionalFormatting sqref="BD84:BD85">
    <cfRule type="cellIs" dxfId="217" priority="15" operator="lessThan">
      <formula>0</formula>
    </cfRule>
  </conditionalFormatting>
  <conditionalFormatting sqref="CE48:CE80 CE83">
    <cfRule type="cellIs" dxfId="216" priority="14" operator="lessThan">
      <formula>0</formula>
    </cfRule>
  </conditionalFormatting>
  <conditionalFormatting sqref="BD48:BD80 BD83">
    <cfRule type="cellIs" dxfId="215" priority="11" operator="lessThan">
      <formula>0</formula>
    </cfRule>
  </conditionalFormatting>
  <conditionalFormatting sqref="AC48:AC83">
    <cfRule type="cellIs" dxfId="214" priority="12" operator="lessThan">
      <formula>0</formula>
    </cfRule>
  </conditionalFormatting>
  <conditionalFormatting sqref="CF3:CF38 BE3:CD38">
    <cfRule type="cellIs" dxfId="213" priority="10" operator="lessThan">
      <formula>0</formula>
    </cfRule>
  </conditionalFormatting>
  <conditionalFormatting sqref="CG3:CG38">
    <cfRule type="cellIs" dxfId="212" priority="9" operator="lessThan">
      <formula>0</formula>
    </cfRule>
  </conditionalFormatting>
  <conditionalFormatting sqref="CE3:CE38">
    <cfRule type="cellIs" dxfId="211" priority="8" operator="lessThan">
      <formula>0</formula>
    </cfRule>
  </conditionalFormatting>
  <conditionalFormatting sqref="AR81:BD82">
    <cfRule type="cellIs" dxfId="210" priority="5" operator="lessThan">
      <formula>0</formula>
    </cfRule>
  </conditionalFormatting>
  <conditionalFormatting sqref="BS81:CE82">
    <cfRule type="cellIs" dxfId="209" priority="4" operator="lessThan">
      <formula>0</formula>
    </cfRule>
  </conditionalFormatting>
  <conditionalFormatting sqref="CF174:CG175 B174:BC175 BE174:CD175">
    <cfRule type="cellIs" dxfId="208" priority="3" operator="lessThan">
      <formula>0</formula>
    </cfRule>
  </conditionalFormatting>
  <conditionalFormatting sqref="CE174:CE175">
    <cfRule type="cellIs" dxfId="207" priority="2" operator="lessThan">
      <formula>0</formula>
    </cfRule>
  </conditionalFormatting>
  <conditionalFormatting sqref="BD174:BD175">
    <cfRule type="cellIs" dxfId="206" priority="1" operator="lessThan">
      <formula>0</formula>
    </cfRule>
  </conditionalFormatting>
  <pageMargins left="0.7" right="0.7" top="0.75" bottom="0.75" header="0.3" footer="0.3"/>
  <pageSetup paperSize="9" orientation="portrait"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3">
    <tabColor rgb="FF717174"/>
  </sheetPr>
  <dimension ref="A1:E74"/>
  <sheetViews>
    <sheetView zoomScale="80" zoomScaleNormal="80" workbookViewId="0">
      <selection activeCell="A45" sqref="A45"/>
    </sheetView>
  </sheetViews>
  <sheetFormatPr defaultRowHeight="15"/>
  <cols>
    <col min="1" max="1" width="26.42578125" bestFit="1" customWidth="1"/>
    <col min="2" max="2" width="14" bestFit="1" customWidth="1"/>
    <col min="3" max="3" width="15.85546875" bestFit="1" customWidth="1"/>
    <col min="4" max="4" width="12.85546875" bestFit="1" customWidth="1"/>
    <col min="5" max="5" width="14.42578125" bestFit="1" customWidth="1"/>
  </cols>
  <sheetData>
    <row r="1" spans="1:5">
      <c r="A1" s="35" t="s">
        <v>1050</v>
      </c>
    </row>
    <row r="3" spans="1:5">
      <c r="B3" s="740" t="s">
        <v>1051</v>
      </c>
      <c r="C3" s="740"/>
      <c r="D3" s="740" t="s">
        <v>1052</v>
      </c>
      <c r="E3" s="740"/>
    </row>
    <row r="4" spans="1:5">
      <c r="B4" s="181" t="s">
        <v>1053</v>
      </c>
      <c r="C4" s="181" t="s">
        <v>1054</v>
      </c>
      <c r="D4" s="181" t="s">
        <v>1053</v>
      </c>
      <c r="E4" s="181" t="s">
        <v>1054</v>
      </c>
    </row>
    <row r="5" spans="1:5">
      <c r="A5" s="226" t="s">
        <v>626</v>
      </c>
      <c r="B5" s="224">
        <v>150000</v>
      </c>
      <c r="C5" s="221">
        <v>200000</v>
      </c>
      <c r="D5" s="221">
        <v>3470</v>
      </c>
      <c r="E5" s="221">
        <v>3270</v>
      </c>
    </row>
    <row r="6" spans="1:5">
      <c r="A6" s="227" t="s">
        <v>627</v>
      </c>
      <c r="B6" s="207">
        <v>0</v>
      </c>
      <c r="C6" s="222">
        <v>0</v>
      </c>
      <c r="D6" s="222">
        <v>12660</v>
      </c>
      <c r="E6" s="222">
        <v>22910</v>
      </c>
    </row>
    <row r="7" spans="1:5">
      <c r="A7" s="227" t="s">
        <v>628</v>
      </c>
      <c r="B7" s="207">
        <v>1000</v>
      </c>
      <c r="C7" s="222">
        <v>450000</v>
      </c>
      <c r="D7" s="222">
        <v>5640</v>
      </c>
      <c r="E7" s="222">
        <v>7150</v>
      </c>
    </row>
    <row r="8" spans="1:5">
      <c r="A8" s="227" t="s">
        <v>629</v>
      </c>
      <c r="B8" s="207">
        <v>50000</v>
      </c>
      <c r="C8" s="222">
        <v>100000</v>
      </c>
      <c r="D8" s="222">
        <v>6410</v>
      </c>
      <c r="E8" s="222">
        <v>8180</v>
      </c>
    </row>
    <row r="9" spans="1:5">
      <c r="A9" s="227" t="s">
        <v>630</v>
      </c>
      <c r="B9" s="207">
        <v>0</v>
      </c>
      <c r="C9" s="222">
        <v>0</v>
      </c>
      <c r="D9" s="222">
        <v>7710</v>
      </c>
      <c r="E9" s="222">
        <v>10210</v>
      </c>
    </row>
    <row r="10" spans="1:5">
      <c r="A10" s="227" t="s">
        <v>631</v>
      </c>
      <c r="B10" s="207">
        <v>0</v>
      </c>
      <c r="C10" s="222">
        <v>0</v>
      </c>
      <c r="D10" s="222">
        <v>8630</v>
      </c>
      <c r="E10" s="222">
        <v>11440</v>
      </c>
    </row>
    <row r="11" spans="1:5">
      <c r="A11" s="227" t="s">
        <v>632</v>
      </c>
      <c r="B11" s="207">
        <v>0</v>
      </c>
      <c r="C11" s="222">
        <v>0</v>
      </c>
      <c r="D11" s="222">
        <v>0</v>
      </c>
      <c r="E11" s="222">
        <v>0</v>
      </c>
    </row>
    <row r="12" spans="1:5">
      <c r="A12" s="227" t="s">
        <v>634</v>
      </c>
      <c r="B12" s="207">
        <v>0</v>
      </c>
      <c r="C12" s="222">
        <v>0</v>
      </c>
      <c r="D12" s="222">
        <v>8030</v>
      </c>
      <c r="E12" s="222">
        <v>11930</v>
      </c>
    </row>
    <row r="13" spans="1:5">
      <c r="A13" s="227" t="s">
        <v>635</v>
      </c>
      <c r="B13" s="207">
        <v>5000</v>
      </c>
      <c r="C13" s="222">
        <v>2000</v>
      </c>
      <c r="D13" s="222">
        <v>11640</v>
      </c>
      <c r="E13" s="222">
        <v>14810</v>
      </c>
    </row>
    <row r="14" spans="1:5">
      <c r="A14" s="227" t="s">
        <v>636</v>
      </c>
      <c r="B14" s="207">
        <v>45040</v>
      </c>
      <c r="C14" s="222">
        <v>120240</v>
      </c>
      <c r="D14" s="222">
        <v>8800</v>
      </c>
      <c r="E14" s="222">
        <v>12960</v>
      </c>
    </row>
    <row r="15" spans="1:5">
      <c r="A15" s="227" t="s">
        <v>637</v>
      </c>
      <c r="B15" s="207">
        <v>0</v>
      </c>
      <c r="C15" s="222">
        <v>0</v>
      </c>
      <c r="D15" s="222">
        <v>7880</v>
      </c>
      <c r="E15" s="222">
        <v>12440</v>
      </c>
    </row>
    <row r="16" spans="1:5">
      <c r="A16" s="227" t="s">
        <v>638</v>
      </c>
      <c r="B16" s="207">
        <v>0</v>
      </c>
      <c r="C16" s="222">
        <v>0</v>
      </c>
      <c r="D16" s="222">
        <v>5700</v>
      </c>
      <c r="E16" s="222">
        <v>7560</v>
      </c>
    </row>
    <row r="17" spans="1:5">
      <c r="A17" s="227" t="s">
        <v>639</v>
      </c>
      <c r="B17" s="207">
        <v>0</v>
      </c>
      <c r="C17" s="222">
        <v>0</v>
      </c>
      <c r="D17" s="222">
        <v>7810</v>
      </c>
      <c r="E17" s="222">
        <v>11330</v>
      </c>
    </row>
    <row r="18" spans="1:5">
      <c r="A18" s="227" t="s">
        <v>640</v>
      </c>
      <c r="B18" s="207">
        <v>0</v>
      </c>
      <c r="C18" s="222">
        <v>0</v>
      </c>
      <c r="D18" s="222">
        <v>7340</v>
      </c>
      <c r="E18" s="222">
        <v>9400</v>
      </c>
    </row>
    <row r="19" spans="1:5">
      <c r="A19" s="227" t="s">
        <v>641</v>
      </c>
      <c r="B19" s="207">
        <v>0</v>
      </c>
      <c r="C19" s="222">
        <v>0</v>
      </c>
      <c r="D19" s="222">
        <v>5090</v>
      </c>
      <c r="E19" s="222">
        <v>6740</v>
      </c>
    </row>
    <row r="20" spans="1:5">
      <c r="A20" s="227" t="s">
        <v>642</v>
      </c>
      <c r="B20" s="207">
        <v>10000</v>
      </c>
      <c r="C20" s="222">
        <v>10000</v>
      </c>
      <c r="D20" s="222">
        <v>2380</v>
      </c>
      <c r="E20" s="222">
        <v>3170</v>
      </c>
    </row>
    <row r="21" spans="1:5">
      <c r="A21" s="227" t="s">
        <v>643</v>
      </c>
      <c r="B21" s="207">
        <v>10000</v>
      </c>
      <c r="C21" s="222">
        <v>15000</v>
      </c>
      <c r="D21" s="222">
        <v>8220</v>
      </c>
      <c r="E21" s="222">
        <v>12250</v>
      </c>
    </row>
    <row r="22" spans="1:5">
      <c r="A22" s="227" t="s">
        <v>644</v>
      </c>
      <c r="B22" s="207">
        <v>15000</v>
      </c>
      <c r="C22" s="222">
        <v>20000</v>
      </c>
      <c r="D22" s="222">
        <v>170</v>
      </c>
      <c r="E22" s="222">
        <v>1520</v>
      </c>
    </row>
    <row r="23" spans="1:5">
      <c r="A23" s="227" t="s">
        <v>645</v>
      </c>
      <c r="B23" s="207">
        <v>0</v>
      </c>
      <c r="C23" s="222">
        <v>0</v>
      </c>
      <c r="D23" s="222">
        <v>6480</v>
      </c>
      <c r="E23" s="222">
        <v>8580</v>
      </c>
    </row>
    <row r="24" spans="1:5">
      <c r="A24" s="227" t="s">
        <v>646</v>
      </c>
      <c r="B24" s="207">
        <v>0</v>
      </c>
      <c r="C24" s="222">
        <v>0</v>
      </c>
      <c r="D24" s="222">
        <v>0</v>
      </c>
      <c r="E24" s="222">
        <v>0</v>
      </c>
    </row>
    <row r="25" spans="1:5">
      <c r="A25" s="227" t="s">
        <v>648</v>
      </c>
      <c r="B25" s="207">
        <v>0</v>
      </c>
      <c r="C25" s="222">
        <v>0</v>
      </c>
      <c r="D25" s="222">
        <v>0</v>
      </c>
      <c r="E25" s="222">
        <v>0</v>
      </c>
    </row>
    <row r="26" spans="1:5">
      <c r="A26" s="227" t="s">
        <v>649</v>
      </c>
      <c r="B26" s="207">
        <v>0</v>
      </c>
      <c r="C26" s="222">
        <v>0</v>
      </c>
      <c r="D26" s="222">
        <v>6430</v>
      </c>
      <c r="E26" s="222">
        <v>9490</v>
      </c>
    </row>
    <row r="27" spans="1:5">
      <c r="A27" s="227" t="s">
        <v>650</v>
      </c>
      <c r="B27" s="207">
        <v>0</v>
      </c>
      <c r="C27" s="222">
        <v>0</v>
      </c>
      <c r="D27" s="222">
        <v>170</v>
      </c>
      <c r="E27" s="222">
        <v>1520</v>
      </c>
    </row>
    <row r="28" spans="1:5">
      <c r="A28" s="227" t="s">
        <v>651</v>
      </c>
      <c r="B28" s="207">
        <v>0</v>
      </c>
      <c r="C28" s="222">
        <v>0</v>
      </c>
      <c r="D28" s="222">
        <v>5660</v>
      </c>
      <c r="E28" s="222">
        <v>8750</v>
      </c>
    </row>
    <row r="29" spans="1:5">
      <c r="A29" s="227" t="s">
        <v>652</v>
      </c>
      <c r="B29" s="207">
        <v>11000</v>
      </c>
      <c r="C29" s="222">
        <v>1030000</v>
      </c>
      <c r="D29" s="222">
        <v>5290</v>
      </c>
      <c r="E29" s="222">
        <v>365890</v>
      </c>
    </row>
    <row r="30" spans="1:5">
      <c r="A30" s="227" t="s">
        <v>653</v>
      </c>
      <c r="B30" s="207">
        <v>0</v>
      </c>
      <c r="C30" s="222">
        <v>0</v>
      </c>
      <c r="D30" s="222">
        <v>7040</v>
      </c>
      <c r="E30" s="222">
        <v>10300</v>
      </c>
    </row>
    <row r="31" spans="1:5">
      <c r="A31" s="227" t="s">
        <v>654</v>
      </c>
      <c r="B31" s="207">
        <v>5000</v>
      </c>
      <c r="C31" s="222">
        <v>20000</v>
      </c>
      <c r="D31" s="222">
        <v>0</v>
      </c>
      <c r="E31" s="222">
        <v>0</v>
      </c>
    </row>
    <row r="32" spans="1:5">
      <c r="A32" s="227" t="s">
        <v>655</v>
      </c>
      <c r="B32" s="207">
        <v>40</v>
      </c>
      <c r="C32" s="222">
        <v>240</v>
      </c>
      <c r="D32" s="222">
        <v>8500</v>
      </c>
      <c r="E32" s="222">
        <v>12550</v>
      </c>
    </row>
    <row r="33" spans="1:5">
      <c r="A33" s="227" t="s">
        <v>656</v>
      </c>
      <c r="B33" s="207">
        <v>0</v>
      </c>
      <c r="C33" s="222">
        <v>0</v>
      </c>
      <c r="D33" s="222">
        <v>3170</v>
      </c>
      <c r="E33" s="222">
        <v>3890</v>
      </c>
    </row>
    <row r="34" spans="1:5">
      <c r="A34" s="227" t="s">
        <v>657</v>
      </c>
      <c r="B34" s="207">
        <v>0</v>
      </c>
      <c r="C34" s="222">
        <v>0</v>
      </c>
      <c r="D34" s="222">
        <v>3080</v>
      </c>
      <c r="E34" s="222">
        <v>4090</v>
      </c>
    </row>
    <row r="35" spans="1:5">
      <c r="A35" s="227" t="s">
        <v>658</v>
      </c>
      <c r="B35" s="207">
        <v>0</v>
      </c>
      <c r="C35" s="222">
        <v>0</v>
      </c>
      <c r="D35" s="222">
        <v>10540</v>
      </c>
      <c r="E35" s="222">
        <v>11050</v>
      </c>
    </row>
    <row r="36" spans="1:5">
      <c r="A36" s="227" t="s">
        <v>659</v>
      </c>
      <c r="B36" s="207">
        <v>0</v>
      </c>
      <c r="C36" s="222">
        <v>0</v>
      </c>
      <c r="D36" s="222">
        <v>8970</v>
      </c>
      <c r="E36" s="222">
        <v>14470</v>
      </c>
    </row>
    <row r="37" spans="1:5">
      <c r="A37" s="227" t="s">
        <v>633</v>
      </c>
      <c r="B37" s="207">
        <v>0</v>
      </c>
      <c r="C37" s="222">
        <v>0</v>
      </c>
      <c r="D37" s="222">
        <v>10020</v>
      </c>
      <c r="E37" s="222">
        <v>13280</v>
      </c>
    </row>
    <row r="38" spans="1:5">
      <c r="A38" s="227" t="s">
        <v>660</v>
      </c>
      <c r="B38" s="207">
        <f>SUM(B10:B11,B15:B17,B23:B24,B26:B27,B32,B34,B37)</f>
        <v>40</v>
      </c>
      <c r="C38" s="207">
        <f>SUM(C10:C11,C15:C17,C23:C24,C26:C27,C32,C34,C37)</f>
        <v>240</v>
      </c>
      <c r="D38" s="207">
        <f>SUM(D10:D11,D15:D17,D23:D24,D26:D27,D32,D34,D37)</f>
        <v>64700</v>
      </c>
      <c r="E38" s="222">
        <f>SUM(E10:E11,E15:E17,E23:E24,E26:E27,E32,E34,E37)</f>
        <v>92280</v>
      </c>
    </row>
    <row r="39" spans="1:5">
      <c r="A39" s="227" t="s">
        <v>661</v>
      </c>
      <c r="B39" s="207">
        <f>SUM(B5:B9,B12:B14,B18:B22,B25,B28:B31,B33,B35:B36)</f>
        <v>302040</v>
      </c>
      <c r="C39" s="207">
        <f>SUM(C5:C9,C12:C14,C18:C22,C25,C28:C31,C33,C35:C36)</f>
        <v>1967240</v>
      </c>
      <c r="D39" s="207">
        <f>SUM(D5:D9,D12:D14,D18:D22,D25,D28:D31,D33,D35:D36)</f>
        <v>128230</v>
      </c>
      <c r="E39" s="222">
        <f>SUM(E5:E9,E12:E14,E18:E22,E25,E28:E31,E33,E35:E36)</f>
        <v>538850</v>
      </c>
    </row>
    <row r="40" spans="1:5">
      <c r="A40" s="228" t="s">
        <v>122</v>
      </c>
      <c r="B40" s="171">
        <f>SUM(B5:B37)</f>
        <v>302080</v>
      </c>
      <c r="C40" s="223">
        <f>SUM(C5:C37)</f>
        <v>1967480</v>
      </c>
      <c r="D40" s="223">
        <f>SUM(D5:D37)</f>
        <v>192930</v>
      </c>
      <c r="E40" s="223">
        <f>SUM(E5:E37)</f>
        <v>631130</v>
      </c>
    </row>
    <row r="41" spans="1:5">
      <c r="A41" s="158" t="s">
        <v>662</v>
      </c>
    </row>
    <row r="42" spans="1:5">
      <c r="A42" s="225" t="str">
        <f>Dashboard!D5</f>
        <v>Inner London</v>
      </c>
      <c r="B42" s="181">
        <f>INDEX(B5:B40,MATCH($A$42,$A$5:$A$40,0))</f>
        <v>40</v>
      </c>
      <c r="C42" s="181">
        <f>INDEX(C5:C40,MATCH($A$42,$A$5:$A$40,0))</f>
        <v>240</v>
      </c>
      <c r="D42" s="181">
        <f>INDEX(D5:D40,MATCH($A$42,$A$5:$A$40,0))</f>
        <v>64700</v>
      </c>
      <c r="E42" s="181">
        <f>INDEX(E5:E40,MATCH($A$42,$A$5:$A$40,0))</f>
        <v>92280</v>
      </c>
    </row>
    <row r="43" spans="1:5">
      <c r="A43" s="114"/>
    </row>
    <row r="44" spans="1:5">
      <c r="A44" s="114" t="s">
        <v>1055</v>
      </c>
    </row>
    <row r="45" spans="1:5">
      <c r="A45">
        <f>SUM(B42:E42)/SUM(B40:E40)</f>
        <v>5.0833651191807654E-2</v>
      </c>
    </row>
    <row r="46" spans="1:5">
      <c r="A46" s="114"/>
    </row>
    <row r="47" spans="1:5">
      <c r="A47" s="114"/>
    </row>
    <row r="48" spans="1:5">
      <c r="A48" s="114"/>
    </row>
    <row r="49" spans="1:1">
      <c r="A49" s="114"/>
    </row>
    <row r="50" spans="1:1">
      <c r="A50" s="114"/>
    </row>
    <row r="51" spans="1:1">
      <c r="A51" s="114"/>
    </row>
    <row r="52" spans="1:1">
      <c r="A52" s="114"/>
    </row>
    <row r="53" spans="1:1">
      <c r="A53" s="114"/>
    </row>
    <row r="54" spans="1:1">
      <c r="A54" s="114"/>
    </row>
    <row r="55" spans="1:1">
      <c r="A55" s="114"/>
    </row>
    <row r="56" spans="1:1">
      <c r="A56" s="114"/>
    </row>
    <row r="57" spans="1:1">
      <c r="A57" s="114"/>
    </row>
    <row r="58" spans="1:1">
      <c r="A58" s="114"/>
    </row>
    <row r="59" spans="1:1">
      <c r="A59" s="114"/>
    </row>
    <row r="60" spans="1:1">
      <c r="A60" s="114"/>
    </row>
    <row r="61" spans="1:1">
      <c r="A61" s="114"/>
    </row>
    <row r="62" spans="1:1">
      <c r="A62" s="114"/>
    </row>
    <row r="63" spans="1:1">
      <c r="A63" s="114"/>
    </row>
    <row r="64" spans="1:1">
      <c r="A64" s="114"/>
    </row>
    <row r="65" spans="1:1">
      <c r="A65" s="114"/>
    </row>
    <row r="66" spans="1:1">
      <c r="A66" s="114"/>
    </row>
    <row r="67" spans="1:1">
      <c r="A67" s="114"/>
    </row>
    <row r="68" spans="1:1">
      <c r="A68" s="114"/>
    </row>
    <row r="69" spans="1:1">
      <c r="A69" s="114"/>
    </row>
    <row r="70" spans="1:1">
      <c r="A70" s="114"/>
    </row>
    <row r="71" spans="1:1">
      <c r="A71" s="114"/>
    </row>
    <row r="72" spans="1:1">
      <c r="A72" s="114"/>
    </row>
    <row r="73" spans="1:1">
      <c r="A73" s="114"/>
    </row>
    <row r="74" spans="1:1">
      <c r="A74" s="114"/>
    </row>
  </sheetData>
  <mergeCells count="2">
    <mergeCell ref="B3:C3"/>
    <mergeCell ref="D3:E3"/>
  </mergeCells>
  <conditionalFormatting sqref="A5:A39">
    <cfRule type="duplicateValues" dxfId="205" priority="1"/>
  </conditionalFormatting>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0">
    <tabColor theme="9" tint="0.79998168889431442"/>
  </sheetPr>
  <dimension ref="A1:AX110"/>
  <sheetViews>
    <sheetView topLeftCell="A33" workbookViewId="0">
      <selection activeCell="K59" sqref="K59"/>
    </sheetView>
  </sheetViews>
  <sheetFormatPr defaultRowHeight="15"/>
  <cols>
    <col min="1" max="1" width="2.140625" customWidth="1"/>
    <col min="2" max="2" width="2.5703125" customWidth="1"/>
    <col min="3" max="4" width="2.140625" customWidth="1"/>
    <col min="5" max="5" width="18.85546875" customWidth="1"/>
    <col min="6" max="6" width="1.5703125" customWidth="1"/>
    <col min="7" max="7" width="11.140625" customWidth="1"/>
    <col min="8" max="8" width="1.42578125" customWidth="1"/>
    <col min="9" max="9" width="11.140625" customWidth="1"/>
    <col min="10" max="10" width="6.140625" customWidth="1"/>
    <col min="11" max="11" width="9.85546875" bestFit="1" customWidth="1"/>
    <col min="12" max="12" width="8.140625" customWidth="1"/>
    <col min="13" max="13" width="8.5703125" bestFit="1" customWidth="1"/>
    <col min="14" max="14" width="9" bestFit="1" customWidth="1"/>
    <col min="15" max="33" width="14.140625" bestFit="1" customWidth="1"/>
    <col min="34" max="35" width="14.42578125" bestFit="1" customWidth="1"/>
    <col min="36" max="36" width="39.140625" customWidth="1"/>
    <col min="37" max="50" width="14.42578125" bestFit="1" customWidth="1"/>
  </cols>
  <sheetData>
    <row r="1" spans="2:50" s="38" customFormat="1"/>
    <row r="2" spans="2:50" s="38" customFormat="1">
      <c r="E2" s="60" t="s">
        <v>178</v>
      </c>
      <c r="F2" s="60"/>
      <c r="G2" s="60" t="s">
        <v>179</v>
      </c>
      <c r="H2" s="60"/>
      <c r="I2" s="60" t="s">
        <v>180</v>
      </c>
      <c r="J2" s="60"/>
      <c r="K2" s="60" t="s">
        <v>718</v>
      </c>
      <c r="L2" s="60"/>
      <c r="M2" s="60" t="s">
        <v>719</v>
      </c>
      <c r="O2" s="82">
        <v>2015</v>
      </c>
      <c r="P2" s="82">
        <v>2016</v>
      </c>
      <c r="Q2" s="82">
        <v>2017</v>
      </c>
      <c r="R2" s="82">
        <v>2018</v>
      </c>
      <c r="S2" s="82">
        <v>2019</v>
      </c>
      <c r="T2" s="82">
        <v>2020</v>
      </c>
      <c r="U2" s="82">
        <v>2021</v>
      </c>
      <c r="V2" s="82">
        <v>2022</v>
      </c>
      <c r="W2" s="82">
        <v>2023</v>
      </c>
      <c r="X2" s="82">
        <v>2024</v>
      </c>
      <c r="Y2" s="82">
        <v>2025</v>
      </c>
      <c r="Z2" s="82">
        <v>2026</v>
      </c>
      <c r="AA2" s="82">
        <v>2027</v>
      </c>
      <c r="AB2" s="82">
        <v>2028</v>
      </c>
      <c r="AC2" s="82">
        <v>2029</v>
      </c>
      <c r="AD2" s="82">
        <v>2030</v>
      </c>
      <c r="AE2" s="82">
        <v>2031</v>
      </c>
      <c r="AF2" s="82">
        <v>2032</v>
      </c>
      <c r="AG2" s="82">
        <v>2033</v>
      </c>
      <c r="AH2" s="82">
        <v>2034</v>
      </c>
      <c r="AI2" s="82">
        <v>2035</v>
      </c>
      <c r="AJ2" s="82">
        <v>2036</v>
      </c>
      <c r="AK2" s="82">
        <v>2037</v>
      </c>
      <c r="AL2" s="82">
        <v>2038</v>
      </c>
      <c r="AM2" s="82">
        <v>2039</v>
      </c>
      <c r="AN2" s="82">
        <v>2040</v>
      </c>
      <c r="AO2" s="82">
        <v>2041</v>
      </c>
      <c r="AP2" s="82">
        <v>2042</v>
      </c>
      <c r="AQ2" s="82">
        <v>2043</v>
      </c>
      <c r="AR2" s="82">
        <v>2044</v>
      </c>
      <c r="AS2" s="82">
        <v>2045</v>
      </c>
      <c r="AT2" s="82">
        <v>2046</v>
      </c>
      <c r="AU2" s="82">
        <v>2047</v>
      </c>
      <c r="AV2" s="82">
        <v>2048</v>
      </c>
      <c r="AW2" s="82">
        <v>2049</v>
      </c>
      <c r="AX2" s="82">
        <v>2050</v>
      </c>
    </row>
    <row r="4" spans="2:50" s="67" customFormat="1">
      <c r="B4" s="67" t="s">
        <v>1056</v>
      </c>
      <c r="O4" s="68"/>
      <c r="P4" s="68"/>
      <c r="Q4" s="68"/>
      <c r="R4" s="68"/>
      <c r="S4" s="68"/>
      <c r="T4" s="68"/>
      <c r="U4" s="68"/>
      <c r="V4" s="68"/>
      <c r="W4" s="68"/>
      <c r="X4" s="68"/>
      <c r="Y4" s="68"/>
      <c r="Z4" s="68"/>
      <c r="AA4" s="68"/>
      <c r="AB4" s="68"/>
      <c r="AC4" s="68"/>
      <c r="AD4" s="68"/>
      <c r="AE4" s="68"/>
      <c r="AF4" s="68"/>
      <c r="AG4" s="68"/>
      <c r="AH4" s="68"/>
      <c r="AI4" s="68"/>
      <c r="AJ4" s="68"/>
      <c r="AK4" s="68"/>
      <c r="AL4" s="68"/>
      <c r="AM4" s="68"/>
      <c r="AN4" s="68"/>
      <c r="AO4" s="68"/>
      <c r="AP4" s="68"/>
      <c r="AQ4" s="68"/>
      <c r="AR4" s="68"/>
      <c r="AS4" s="68"/>
      <c r="AT4" s="68"/>
      <c r="AU4" s="68"/>
      <c r="AV4" s="68"/>
      <c r="AW4" s="68"/>
      <c r="AX4" s="68"/>
    </row>
    <row r="5" spans="2:50">
      <c r="E5" s="53" t="s">
        <v>662</v>
      </c>
    </row>
    <row r="6" spans="2:50">
      <c r="E6" t="str">
        <f>Dashboard!D5</f>
        <v>Inner London</v>
      </c>
      <c r="G6" s="39">
        <f>INDEX(G$9:G$44,MATCH($E6,$E$9:$E$44,0),1)</f>
        <v>0.35690762603289794</v>
      </c>
      <c r="I6" s="39">
        <f>INDEX(I$9:I$44,MATCH($E6,$E$9:$E$44,0),1)</f>
        <v>0.38515167959591057</v>
      </c>
      <c r="K6" s="39">
        <f>INDEX(K$9:K$44,MATCH($E6,$E$9:$E$44,0),1)</f>
        <v>0.47536412061501032</v>
      </c>
      <c r="M6" s="39">
        <f>INDEX(M$9:M$44,MATCH($E6,$E$9:$E$44,0),1)</f>
        <v>0.60265695082561876</v>
      </c>
      <c r="O6" s="36">
        <f>INDEX(O9:O44,MATCH($E$6,$E$9:$E$44,0))</f>
        <v>0</v>
      </c>
      <c r="P6" s="36">
        <f t="shared" ref="P6:AX6" si="0">INDEX(P9:P44,MATCH($E$6,$E$9:$E$44,0))</f>
        <v>0</v>
      </c>
      <c r="Q6" s="36">
        <f t="shared" si="0"/>
        <v>0</v>
      </c>
      <c r="R6" s="36">
        <f t="shared" si="0"/>
        <v>0</v>
      </c>
      <c r="S6" s="36">
        <f t="shared" si="0"/>
        <v>0</v>
      </c>
      <c r="T6" s="36">
        <f t="shared" si="0"/>
        <v>0</v>
      </c>
      <c r="U6" s="36">
        <f t="shared" si="0"/>
        <v>0</v>
      </c>
      <c r="V6" s="36">
        <f t="shared" si="0"/>
        <v>0</v>
      </c>
      <c r="W6" s="36">
        <f t="shared" si="0"/>
        <v>0</v>
      </c>
      <c r="X6" s="36">
        <f t="shared" si="0"/>
        <v>0</v>
      </c>
      <c r="Y6" s="36">
        <f t="shared" si="0"/>
        <v>0</v>
      </c>
      <c r="Z6" s="36">
        <f t="shared" si="0"/>
        <v>0</v>
      </c>
      <c r="AA6" s="36">
        <f t="shared" si="0"/>
        <v>0</v>
      </c>
      <c r="AB6" s="36">
        <f t="shared" si="0"/>
        <v>0</v>
      </c>
      <c r="AC6" s="36">
        <f t="shared" si="0"/>
        <v>0</v>
      </c>
      <c r="AD6" s="36">
        <f t="shared" si="0"/>
        <v>0</v>
      </c>
      <c r="AE6" s="36">
        <f t="shared" si="0"/>
        <v>0</v>
      </c>
      <c r="AF6" s="36">
        <f t="shared" si="0"/>
        <v>0</v>
      </c>
      <c r="AG6" s="36">
        <f t="shared" si="0"/>
        <v>0</v>
      </c>
      <c r="AH6" s="36">
        <f t="shared" si="0"/>
        <v>0</v>
      </c>
      <c r="AI6" s="36">
        <f t="shared" si="0"/>
        <v>0</v>
      </c>
      <c r="AJ6" s="36">
        <f t="shared" si="0"/>
        <v>0</v>
      </c>
      <c r="AK6" s="36">
        <f t="shared" si="0"/>
        <v>0</v>
      </c>
      <c r="AL6" s="36">
        <f t="shared" si="0"/>
        <v>0</v>
      </c>
      <c r="AM6" s="36">
        <f t="shared" si="0"/>
        <v>0</v>
      </c>
      <c r="AN6" s="36">
        <f t="shared" si="0"/>
        <v>0</v>
      </c>
      <c r="AO6" s="36">
        <f t="shared" si="0"/>
        <v>0</v>
      </c>
      <c r="AP6" s="36">
        <f t="shared" si="0"/>
        <v>0</v>
      </c>
      <c r="AQ6" s="36">
        <f t="shared" si="0"/>
        <v>0</v>
      </c>
      <c r="AR6" s="36">
        <f t="shared" si="0"/>
        <v>0</v>
      </c>
      <c r="AS6" s="36">
        <f t="shared" si="0"/>
        <v>0</v>
      </c>
      <c r="AT6" s="36">
        <f t="shared" si="0"/>
        <v>0</v>
      </c>
      <c r="AU6" s="36">
        <f t="shared" si="0"/>
        <v>0</v>
      </c>
      <c r="AV6" s="36">
        <f t="shared" si="0"/>
        <v>0</v>
      </c>
      <c r="AW6" s="36">
        <f t="shared" si="0"/>
        <v>0</v>
      </c>
      <c r="AX6" s="36">
        <f t="shared" si="0"/>
        <v>0</v>
      </c>
    </row>
    <row r="7" spans="2:50">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row>
    <row r="8" spans="2:50">
      <c r="E8" s="53"/>
      <c r="G8" t="s">
        <v>1057</v>
      </c>
      <c r="I8" t="s">
        <v>1058</v>
      </c>
      <c r="K8" t="s">
        <v>1059</v>
      </c>
      <c r="M8" t="s">
        <v>1031</v>
      </c>
      <c r="O8" s="82"/>
      <c r="P8" s="82"/>
      <c r="Q8" s="82"/>
      <c r="R8" s="82"/>
      <c r="S8" s="82"/>
      <c r="T8" s="82"/>
      <c r="U8" s="82"/>
      <c r="V8" s="82"/>
      <c r="W8" s="82"/>
      <c r="X8" s="82"/>
      <c r="Y8" s="82"/>
      <c r="Z8" s="82"/>
      <c r="AA8" s="82"/>
      <c r="AB8" s="82"/>
      <c r="AC8" s="82"/>
      <c r="AD8" s="82"/>
      <c r="AE8" s="82"/>
      <c r="AF8" s="82"/>
      <c r="AG8" s="82"/>
      <c r="AH8" s="82"/>
      <c r="AI8" s="82"/>
      <c r="AJ8" s="82"/>
      <c r="AK8" s="82"/>
      <c r="AL8" s="82"/>
      <c r="AM8" s="82"/>
      <c r="AN8" s="82"/>
      <c r="AO8" s="82"/>
      <c r="AP8" s="82"/>
      <c r="AQ8" s="82"/>
      <c r="AR8" s="82"/>
      <c r="AS8" s="82"/>
      <c r="AT8" s="82"/>
      <c r="AU8" s="82"/>
      <c r="AV8" s="82"/>
      <c r="AW8" s="82"/>
      <c r="AX8" s="82"/>
    </row>
    <row r="9" spans="2:50">
      <c r="E9" t="s">
        <v>632</v>
      </c>
      <c r="G9" s="39">
        <v>1.9146051700071941E-3</v>
      </c>
      <c r="I9" s="39">
        <v>3.0503876294935943E-3</v>
      </c>
      <c r="K9" s="39">
        <v>5.9235801992592929E-2</v>
      </c>
      <c r="M9" s="39">
        <v>5.0042416871832127E-2</v>
      </c>
      <c r="O9" s="82"/>
      <c r="P9" s="82"/>
      <c r="Q9" s="82"/>
      <c r="R9" s="82"/>
      <c r="S9" s="82"/>
      <c r="T9" s="82"/>
      <c r="U9" s="82"/>
      <c r="V9" s="82"/>
      <c r="W9" s="82"/>
      <c r="X9" s="82"/>
      <c r="Y9" s="82"/>
      <c r="Z9" s="82"/>
      <c r="AA9" s="82"/>
      <c r="AB9" s="82"/>
      <c r="AC9" s="82"/>
      <c r="AD9" s="82"/>
      <c r="AE9" s="82"/>
      <c r="AF9" s="82"/>
      <c r="AG9" s="82"/>
      <c r="AH9" s="82"/>
      <c r="AI9" s="82"/>
      <c r="AJ9" s="82"/>
      <c r="AK9" s="82"/>
      <c r="AL9" s="82"/>
      <c r="AM9" s="82"/>
      <c r="AN9" s="82"/>
      <c r="AO9" s="82"/>
      <c r="AP9" s="82"/>
      <c r="AQ9" s="82"/>
      <c r="AR9" s="82"/>
      <c r="AS9" s="82"/>
      <c r="AT9" s="82"/>
      <c r="AU9" s="82"/>
      <c r="AV9" s="82"/>
      <c r="AW9" s="82"/>
      <c r="AX9" s="82"/>
    </row>
    <row r="10" spans="2:50">
      <c r="E10" t="s">
        <v>626</v>
      </c>
      <c r="G10" s="39">
        <v>2.1037727466845516E-2</v>
      </c>
      <c r="I10" s="39">
        <v>5.7039594571151313E-2</v>
      </c>
      <c r="K10" s="39">
        <v>1.9624481051659006E-2</v>
      </c>
      <c r="M10" s="39">
        <v>1.2365193762800802E-2</v>
      </c>
      <c r="O10" s="82"/>
      <c r="P10" s="82"/>
      <c r="Q10" s="82"/>
      <c r="R10" s="82"/>
      <c r="S10" s="82"/>
      <c r="T10" s="82"/>
      <c r="U10" s="82"/>
      <c r="V10" s="82"/>
      <c r="W10" s="82"/>
      <c r="X10" s="82"/>
      <c r="Y10" s="82"/>
      <c r="Z10" s="82"/>
      <c r="AA10" s="82"/>
      <c r="AB10" s="82"/>
      <c r="AC10" s="82"/>
      <c r="AD10" s="82"/>
      <c r="AE10" s="82"/>
      <c r="AF10" s="82"/>
      <c r="AG10" s="82"/>
      <c r="AH10" s="82"/>
      <c r="AI10" s="82"/>
      <c r="AJ10" s="82"/>
      <c r="AK10" s="82"/>
      <c r="AL10" s="82"/>
      <c r="AM10" s="82"/>
      <c r="AN10" s="82"/>
      <c r="AO10" s="82"/>
      <c r="AP10" s="82"/>
      <c r="AQ10" s="82"/>
      <c r="AR10" s="82"/>
      <c r="AS10" s="82"/>
      <c r="AT10" s="82"/>
      <c r="AU10" s="82"/>
      <c r="AV10" s="82"/>
      <c r="AW10" s="82"/>
      <c r="AX10" s="82"/>
    </row>
    <row r="11" spans="2:50">
      <c r="E11" t="s">
        <v>627</v>
      </c>
      <c r="G11" s="39">
        <v>4.1278658171322771E-2</v>
      </c>
      <c r="I11" s="39">
        <v>4.1430819433312942E-2</v>
      </c>
      <c r="K11" s="39">
        <v>2.3977225763821275E-2</v>
      </c>
      <c r="M11" s="39">
        <v>3.7024431246179983E-2</v>
      </c>
      <c r="O11" s="82"/>
      <c r="P11" s="82"/>
      <c r="Q11" s="82"/>
      <c r="R11" s="82"/>
      <c r="S11" s="82"/>
      <c r="T11" s="82"/>
      <c r="U11" s="82"/>
      <c r="V11" s="82"/>
      <c r="W11" s="82"/>
      <c r="X11" s="82"/>
      <c r="Y11" s="82"/>
      <c r="Z11" s="82"/>
      <c r="AA11" s="82"/>
      <c r="AB11" s="82"/>
      <c r="AC11" s="82"/>
      <c r="AD11" s="82"/>
      <c r="AE11" s="82"/>
      <c r="AF11" s="82"/>
      <c r="AG11" s="82"/>
      <c r="AH11" s="82"/>
      <c r="AI11" s="82"/>
      <c r="AJ11" s="82"/>
      <c r="AK11" s="82"/>
      <c r="AL11" s="82"/>
      <c r="AM11" s="82"/>
      <c r="AN11" s="82"/>
      <c r="AO11" s="82"/>
      <c r="AP11" s="82"/>
      <c r="AQ11" s="82"/>
      <c r="AR11" s="82"/>
      <c r="AS11" s="82"/>
      <c r="AT11" s="82"/>
      <c r="AU11" s="82"/>
      <c r="AV11" s="82"/>
      <c r="AW11" s="82"/>
      <c r="AX11" s="82"/>
    </row>
    <row r="12" spans="2:50">
      <c r="E12" t="s">
        <v>628</v>
      </c>
      <c r="G12" s="39">
        <v>2.7649994124340421E-2</v>
      </c>
      <c r="I12" s="39">
        <v>2.2128660729216355E-2</v>
      </c>
      <c r="K12" s="39">
        <v>2.2083565498561199E-2</v>
      </c>
      <c r="M12" s="39">
        <v>5.6577400620335316E-3</v>
      </c>
      <c r="O12" s="82"/>
      <c r="P12" s="82"/>
      <c r="Q12" s="82"/>
      <c r="R12" s="82"/>
      <c r="S12" s="82"/>
      <c r="T12" s="82"/>
      <c r="U12" s="82"/>
      <c r="V12" s="82"/>
      <c r="W12" s="82"/>
      <c r="X12" s="82"/>
      <c r="Y12" s="82"/>
      <c r="Z12" s="82"/>
      <c r="AA12" s="82"/>
      <c r="AB12" s="82"/>
      <c r="AC12" s="82"/>
      <c r="AD12" s="82"/>
      <c r="AE12" s="82"/>
      <c r="AF12" s="82"/>
      <c r="AG12" s="82"/>
      <c r="AH12" s="82"/>
      <c r="AI12" s="82"/>
      <c r="AJ12" s="82"/>
      <c r="AK12" s="82"/>
      <c r="AL12" s="82"/>
      <c r="AM12" s="82"/>
      <c r="AN12" s="82"/>
      <c r="AO12" s="82"/>
      <c r="AP12" s="82"/>
      <c r="AQ12" s="82"/>
      <c r="AR12" s="82"/>
      <c r="AS12" s="82"/>
      <c r="AT12" s="82"/>
      <c r="AU12" s="82"/>
      <c r="AV12" s="82"/>
      <c r="AW12" s="82"/>
      <c r="AX12" s="82"/>
    </row>
    <row r="13" spans="2:50">
      <c r="E13" t="s">
        <v>629</v>
      </c>
      <c r="G13" s="39">
        <v>3.2938087745093825E-2</v>
      </c>
      <c r="I13" s="39">
        <v>4.4256074466521952E-2</v>
      </c>
      <c r="K13" s="39">
        <v>3.430354030828707E-2</v>
      </c>
      <c r="M13" s="39">
        <v>1.8186483468937011E-2</v>
      </c>
      <c r="O13" s="82"/>
      <c r="P13" s="82"/>
      <c r="Q13" s="82"/>
      <c r="R13" s="82"/>
      <c r="S13" s="82"/>
      <c r="T13" s="82"/>
      <c r="U13" s="82"/>
      <c r="V13" s="82"/>
      <c r="W13" s="82"/>
      <c r="X13" s="82"/>
      <c r="Y13" s="82"/>
      <c r="Z13" s="82"/>
      <c r="AA13" s="82"/>
      <c r="AB13" s="82"/>
      <c r="AC13" s="82"/>
      <c r="AD13" s="82"/>
      <c r="AE13" s="82"/>
      <c r="AF13" s="82"/>
      <c r="AG13" s="82"/>
      <c r="AH13" s="82"/>
      <c r="AI13" s="82"/>
      <c r="AJ13" s="82"/>
      <c r="AK13" s="82"/>
      <c r="AL13" s="82"/>
      <c r="AM13" s="82"/>
      <c r="AN13" s="82"/>
      <c r="AO13" s="82"/>
      <c r="AP13" s="82"/>
      <c r="AQ13" s="82"/>
      <c r="AR13" s="82"/>
      <c r="AS13" s="82"/>
      <c r="AT13" s="82"/>
      <c r="AU13" s="82"/>
      <c r="AV13" s="82"/>
      <c r="AW13" s="82"/>
      <c r="AX13" s="82"/>
    </row>
    <row r="14" spans="2:50">
      <c r="E14" t="s">
        <v>630</v>
      </c>
      <c r="G14" s="39">
        <v>3.9450038263441643E-2</v>
      </c>
      <c r="I14" s="39">
        <v>1.7113517888471517E-2</v>
      </c>
      <c r="K14" s="39">
        <v>2.6538087822529467E-2</v>
      </c>
      <c r="M14" s="39">
        <v>2.2651308047134607E-2</v>
      </c>
      <c r="O14" s="82"/>
      <c r="P14" s="82"/>
      <c r="Q14" s="82"/>
      <c r="R14" s="82"/>
      <c r="S14" s="82"/>
      <c r="T14" s="82"/>
      <c r="U14" s="82"/>
      <c r="V14" s="82"/>
      <c r="W14" s="82"/>
      <c r="X14" s="82"/>
      <c r="Y14" s="82"/>
      <c r="Z14" s="82"/>
      <c r="AA14" s="82"/>
      <c r="AB14" s="82"/>
      <c r="AC14" s="82"/>
      <c r="AD14" s="82"/>
      <c r="AE14" s="82"/>
      <c r="AF14" s="82"/>
      <c r="AG14" s="82"/>
      <c r="AH14" s="82"/>
      <c r="AI14" s="82"/>
      <c r="AJ14" s="82"/>
      <c r="AK14" s="82"/>
      <c r="AL14" s="82"/>
      <c r="AM14" s="82"/>
      <c r="AN14" s="82"/>
      <c r="AO14" s="82"/>
      <c r="AP14" s="82"/>
      <c r="AQ14" s="82"/>
      <c r="AR14" s="82"/>
      <c r="AS14" s="82"/>
      <c r="AT14" s="82"/>
      <c r="AU14" s="82"/>
      <c r="AV14" s="82"/>
      <c r="AW14" s="82"/>
      <c r="AX14" s="82"/>
    </row>
    <row r="15" spans="2:50">
      <c r="E15" t="s">
        <v>631</v>
      </c>
      <c r="G15" s="39">
        <v>3.0461712195862963E-2</v>
      </c>
      <c r="I15" s="39">
        <v>2.4427392122583033E-2</v>
      </c>
      <c r="K15" s="39">
        <v>5.1971323000241071E-2</v>
      </c>
      <c r="M15" s="39">
        <v>7.9908732002019547E-2</v>
      </c>
      <c r="O15" s="82"/>
      <c r="P15" s="82"/>
      <c r="Q15" s="82"/>
      <c r="R15" s="82"/>
      <c r="S15" s="82"/>
      <c r="T15" s="82"/>
      <c r="U15" s="82"/>
      <c r="V15" s="82"/>
      <c r="W15" s="82"/>
      <c r="X15" s="82"/>
      <c r="Y15" s="82"/>
      <c r="Z15" s="82"/>
      <c r="AA15" s="82"/>
      <c r="AB15" s="82"/>
      <c r="AC15" s="82"/>
      <c r="AD15" s="82"/>
      <c r="AE15" s="82"/>
      <c r="AF15" s="82"/>
      <c r="AG15" s="82"/>
      <c r="AH15" s="82"/>
      <c r="AI15" s="82"/>
      <c r="AJ15" s="82"/>
      <c r="AK15" s="82"/>
      <c r="AL15" s="82"/>
      <c r="AM15" s="82"/>
      <c r="AN15" s="82"/>
      <c r="AO15" s="82"/>
      <c r="AP15" s="82"/>
      <c r="AQ15" s="82"/>
      <c r="AR15" s="82"/>
      <c r="AS15" s="82"/>
      <c r="AT15" s="82"/>
      <c r="AU15" s="82"/>
      <c r="AV15" s="82"/>
      <c r="AW15" s="82"/>
      <c r="AX15" s="82"/>
    </row>
    <row r="16" spans="2:50">
      <c r="E16" t="s">
        <v>634</v>
      </c>
      <c r="G16" s="39">
        <v>4.3227657446180394E-2</v>
      </c>
      <c r="I16" s="39">
        <v>4.43894449945871E-2</v>
      </c>
      <c r="K16" s="39">
        <v>3.5079271815400867E-2</v>
      </c>
      <c r="M16" s="39">
        <v>2.7240582466522133E-2</v>
      </c>
      <c r="O16" s="82"/>
      <c r="P16" s="82"/>
      <c r="Q16" s="82"/>
      <c r="R16" s="82"/>
      <c r="S16" s="82"/>
      <c r="T16" s="82"/>
      <c r="U16" s="82"/>
      <c r="V16" s="82"/>
      <c r="W16" s="82"/>
      <c r="X16" s="82"/>
      <c r="Y16" s="82"/>
      <c r="Z16" s="82"/>
      <c r="AA16" s="82"/>
      <c r="AB16" s="82"/>
      <c r="AC16" s="82"/>
      <c r="AD16" s="82"/>
      <c r="AE16" s="82"/>
      <c r="AF16" s="82"/>
      <c r="AG16" s="82"/>
      <c r="AH16" s="82"/>
      <c r="AI16" s="82"/>
      <c r="AJ16" s="82"/>
      <c r="AK16" s="82"/>
      <c r="AL16" s="82"/>
      <c r="AM16" s="82"/>
      <c r="AN16" s="82"/>
      <c r="AO16" s="82"/>
      <c r="AP16" s="82"/>
      <c r="AQ16" s="82"/>
      <c r="AR16" s="82"/>
      <c r="AS16" s="82"/>
      <c r="AT16" s="82"/>
      <c r="AU16" s="82"/>
      <c r="AV16" s="82"/>
      <c r="AW16" s="82"/>
      <c r="AX16" s="82"/>
    </row>
    <row r="17" spans="5:50">
      <c r="E17" t="s">
        <v>635</v>
      </c>
      <c r="G17" s="39">
        <v>3.7922366773001773E-2</v>
      </c>
      <c r="I17" s="39">
        <v>4.1441786570909286E-2</v>
      </c>
      <c r="K17" s="39">
        <v>3.6427131309377442E-2</v>
      </c>
      <c r="M17" s="39">
        <v>1.5305602640549946E-2</v>
      </c>
      <c r="O17" s="82"/>
      <c r="P17" s="82"/>
      <c r="Q17" s="82"/>
      <c r="R17" s="82"/>
      <c r="S17" s="82"/>
      <c r="T17" s="82"/>
      <c r="U17" s="82"/>
      <c r="V17" s="82"/>
      <c r="W17" s="82"/>
      <c r="X17" s="82"/>
      <c r="Y17" s="82"/>
      <c r="Z17" s="82"/>
      <c r="AA17" s="82"/>
      <c r="AB17" s="82"/>
      <c r="AC17" s="82"/>
      <c r="AD17" s="82"/>
      <c r="AE17" s="82"/>
      <c r="AF17" s="82"/>
      <c r="AG17" s="82"/>
      <c r="AH17" s="82"/>
      <c r="AI17" s="82"/>
      <c r="AJ17" s="82"/>
      <c r="AK17" s="82"/>
      <c r="AL17" s="82"/>
      <c r="AM17" s="82"/>
      <c r="AN17" s="82"/>
      <c r="AO17" s="82"/>
      <c r="AP17" s="82"/>
      <c r="AQ17" s="82"/>
      <c r="AR17" s="82"/>
      <c r="AS17" s="82"/>
      <c r="AT17" s="82"/>
      <c r="AU17" s="82"/>
      <c r="AV17" s="82"/>
      <c r="AW17" s="82"/>
      <c r="AX17" s="82"/>
    </row>
    <row r="18" spans="5:50">
      <c r="E18" t="s">
        <v>636</v>
      </c>
      <c r="G18" s="39">
        <v>3.5274020699518772E-2</v>
      </c>
      <c r="I18" s="39">
        <v>2.1115240825438617E-2</v>
      </c>
      <c r="K18" s="39">
        <v>3.3568206301790103E-2</v>
      </c>
      <c r="M18" s="39">
        <v>1.0661673770619209E-2</v>
      </c>
      <c r="O18" s="82"/>
      <c r="P18" s="82"/>
      <c r="Q18" s="82"/>
      <c r="R18" s="82"/>
      <c r="S18" s="82"/>
      <c r="T18" s="82"/>
      <c r="U18" s="82"/>
      <c r="V18" s="82"/>
      <c r="W18" s="82"/>
      <c r="X18" s="82"/>
      <c r="Y18" s="82"/>
      <c r="Z18" s="82"/>
      <c r="AA18" s="82"/>
      <c r="AB18" s="82"/>
      <c r="AC18" s="82"/>
      <c r="AD18" s="82"/>
      <c r="AE18" s="82"/>
      <c r="AF18" s="82"/>
      <c r="AG18" s="82"/>
      <c r="AH18" s="82"/>
      <c r="AI18" s="82"/>
      <c r="AJ18" s="82"/>
      <c r="AK18" s="82"/>
      <c r="AL18" s="82"/>
      <c r="AM18" s="82"/>
      <c r="AN18" s="82"/>
      <c r="AO18" s="82"/>
      <c r="AP18" s="82"/>
      <c r="AQ18" s="82"/>
      <c r="AR18" s="82"/>
      <c r="AS18" s="82"/>
      <c r="AT18" s="82"/>
      <c r="AU18" s="82"/>
      <c r="AV18" s="82"/>
      <c r="AW18" s="82"/>
      <c r="AX18" s="82"/>
    </row>
    <row r="19" spans="5:50">
      <c r="E19" t="s">
        <v>637</v>
      </c>
      <c r="G19" s="39">
        <v>3.118972074853037E-2</v>
      </c>
      <c r="I19" s="39">
        <v>5.6675098990331463E-2</v>
      </c>
      <c r="K19" s="39">
        <v>2.0797401302637852E-2</v>
      </c>
      <c r="M19" s="39">
        <v>1.7919393132196336E-2</v>
      </c>
      <c r="O19" s="82"/>
      <c r="P19" s="82"/>
      <c r="Q19" s="82"/>
      <c r="R19" s="82"/>
      <c r="S19" s="82"/>
      <c r="T19" s="82"/>
      <c r="U19" s="82"/>
      <c r="V19" s="82"/>
      <c r="W19" s="82"/>
      <c r="X19" s="82"/>
      <c r="Y19" s="82"/>
      <c r="Z19" s="82"/>
      <c r="AA19" s="82"/>
      <c r="AB19" s="82"/>
      <c r="AC19" s="82"/>
      <c r="AD19" s="82"/>
      <c r="AE19" s="82"/>
      <c r="AF19" s="82"/>
      <c r="AG19" s="82"/>
      <c r="AH19" s="82"/>
      <c r="AI19" s="82"/>
      <c r="AJ19" s="82"/>
      <c r="AK19" s="82"/>
      <c r="AL19" s="82"/>
      <c r="AM19" s="82"/>
      <c r="AN19" s="82"/>
      <c r="AO19" s="82"/>
      <c r="AP19" s="82"/>
      <c r="AQ19" s="82"/>
      <c r="AR19" s="82"/>
      <c r="AS19" s="82"/>
      <c r="AT19" s="82"/>
      <c r="AU19" s="82"/>
      <c r="AV19" s="82"/>
      <c r="AW19" s="82"/>
      <c r="AX19" s="82"/>
    </row>
    <row r="20" spans="5:50">
      <c r="E20" t="s">
        <v>638</v>
      </c>
      <c r="G20" s="39">
        <v>3.1149594292871535E-2</v>
      </c>
      <c r="I20" s="39">
        <v>2.9614154775077447E-2</v>
      </c>
      <c r="K20" s="39">
        <v>2.2022266390537157E-2</v>
      </c>
      <c r="M20" s="39">
        <v>2.8652958901964006E-2</v>
      </c>
      <c r="O20" s="82"/>
      <c r="P20" s="82"/>
      <c r="Q20" s="82"/>
      <c r="R20" s="82"/>
      <c r="S20" s="82"/>
      <c r="T20" s="82"/>
      <c r="U20" s="82"/>
      <c r="V20" s="82"/>
      <c r="W20" s="82"/>
      <c r="X20" s="82"/>
      <c r="Y20" s="82"/>
      <c r="Z20" s="82"/>
      <c r="AA20" s="82"/>
      <c r="AB20" s="82"/>
      <c r="AC20" s="82"/>
      <c r="AD20" s="82"/>
      <c r="AE20" s="82"/>
      <c r="AF20" s="82"/>
      <c r="AG20" s="82"/>
      <c r="AH20" s="82"/>
      <c r="AI20" s="82"/>
      <c r="AJ20" s="82"/>
      <c r="AK20" s="82"/>
      <c r="AL20" s="82"/>
      <c r="AM20" s="82"/>
      <c r="AN20" s="82"/>
      <c r="AO20" s="82"/>
      <c r="AP20" s="82"/>
      <c r="AQ20" s="82"/>
      <c r="AR20" s="82"/>
      <c r="AS20" s="82"/>
      <c r="AT20" s="82"/>
      <c r="AU20" s="82"/>
      <c r="AV20" s="82"/>
      <c r="AW20" s="82"/>
      <c r="AX20" s="82"/>
    </row>
    <row r="21" spans="5:50">
      <c r="E21" t="s">
        <v>639</v>
      </c>
      <c r="G21" s="39">
        <v>2.4414082092995927E-2</v>
      </c>
      <c r="I21" s="39">
        <v>4.3479298859107673E-2</v>
      </c>
      <c r="K21" s="39">
        <v>2.7217853129852261E-2</v>
      </c>
      <c r="M21" s="39">
        <v>4.5888230209439405E-2</v>
      </c>
      <c r="O21" s="82"/>
      <c r="P21" s="82"/>
      <c r="Q21" s="82"/>
      <c r="R21" s="82"/>
      <c r="S21" s="82"/>
      <c r="T21" s="82"/>
      <c r="U21" s="82"/>
      <c r="V21" s="82"/>
      <c r="W21" s="82"/>
      <c r="X21" s="82"/>
      <c r="Y21" s="82"/>
      <c r="Z21" s="82"/>
      <c r="AA21" s="82"/>
      <c r="AB21" s="82"/>
      <c r="AC21" s="82"/>
      <c r="AD21" s="82"/>
      <c r="AE21" s="82"/>
      <c r="AF21" s="82"/>
      <c r="AG21" s="82"/>
      <c r="AH21" s="82"/>
      <c r="AI21" s="82"/>
      <c r="AJ21" s="82"/>
      <c r="AK21" s="82"/>
      <c r="AL21" s="82"/>
      <c r="AM21" s="82"/>
      <c r="AN21" s="82"/>
      <c r="AO21" s="82"/>
      <c r="AP21" s="82"/>
      <c r="AQ21" s="82"/>
      <c r="AR21" s="82"/>
      <c r="AS21" s="82"/>
      <c r="AT21" s="82"/>
      <c r="AU21" s="82"/>
      <c r="AV21" s="82"/>
      <c r="AW21" s="82"/>
      <c r="AX21" s="82"/>
    </row>
    <row r="22" spans="5:50">
      <c r="E22" t="s">
        <v>640</v>
      </c>
      <c r="G22" s="39">
        <v>3.0602154790668881E-2</v>
      </c>
      <c r="I22" s="39">
        <v>2.6297977591050601E-2</v>
      </c>
      <c r="K22" s="39">
        <v>2.2345327579289094E-2</v>
      </c>
      <c r="M22" s="39">
        <v>1.9595044419701394E-2</v>
      </c>
      <c r="O22" s="82"/>
      <c r="P22" s="82"/>
      <c r="Q22" s="82"/>
      <c r="R22" s="82"/>
      <c r="S22" s="82"/>
      <c r="T22" s="82"/>
      <c r="U22" s="82"/>
      <c r="V22" s="82"/>
      <c r="W22" s="82"/>
      <c r="X22" s="82"/>
      <c r="Y22" s="82"/>
      <c r="Z22" s="82"/>
      <c r="AA22" s="82"/>
      <c r="AB22" s="82"/>
      <c r="AC22" s="82"/>
      <c r="AD22" s="82"/>
      <c r="AE22" s="82"/>
      <c r="AF22" s="82"/>
      <c r="AG22" s="82"/>
      <c r="AH22" s="82"/>
      <c r="AI22" s="82"/>
      <c r="AJ22" s="82"/>
      <c r="AK22" s="82"/>
      <c r="AL22" s="82"/>
      <c r="AM22" s="82"/>
      <c r="AN22" s="82"/>
      <c r="AO22" s="82"/>
      <c r="AP22" s="82"/>
      <c r="AQ22" s="82"/>
      <c r="AR22" s="82"/>
      <c r="AS22" s="82"/>
      <c r="AT22" s="82"/>
      <c r="AU22" s="82"/>
      <c r="AV22" s="82"/>
      <c r="AW22" s="82"/>
      <c r="AX22" s="82"/>
    </row>
    <row r="23" spans="5:50">
      <c r="E23" t="s">
        <v>641</v>
      </c>
      <c r="G23" s="39">
        <v>2.5345589099361701E-2</v>
      </c>
      <c r="I23" s="39">
        <v>1.8166964633188447E-2</v>
      </c>
      <c r="K23" s="39">
        <v>1.8039432480222245E-2</v>
      </c>
      <c r="M23" s="39">
        <v>1.4467887766617315E-2</v>
      </c>
      <c r="O23" s="82"/>
      <c r="P23" s="82"/>
      <c r="Q23" s="82"/>
      <c r="R23" s="82"/>
      <c r="S23" s="8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c r="AX23" s="82"/>
    </row>
    <row r="24" spans="5:50">
      <c r="E24" t="s">
        <v>642</v>
      </c>
      <c r="G24" s="39">
        <v>2.9424156699541699E-2</v>
      </c>
      <c r="I24" s="39">
        <v>2.0372454173610936E-2</v>
      </c>
      <c r="K24" s="39">
        <v>2.2215325193154781E-2</v>
      </c>
      <c r="M24" s="39">
        <v>1.810477255806911E-2</v>
      </c>
      <c r="O24" s="82"/>
      <c r="P24" s="82"/>
      <c r="Q24" s="82"/>
      <c r="R24" s="82"/>
      <c r="S24" s="82"/>
      <c r="T24" s="82"/>
      <c r="U24" s="82"/>
      <c r="V24" s="82"/>
      <c r="W24" s="82"/>
      <c r="X24" s="82"/>
      <c r="Y24" s="82"/>
      <c r="Z24" s="82"/>
      <c r="AA24" s="82"/>
      <c r="AB24" s="82"/>
      <c r="AC24" s="82"/>
      <c r="AD24" s="82"/>
      <c r="AE24" s="82"/>
      <c r="AF24" s="82"/>
      <c r="AG24" s="82"/>
      <c r="AH24" s="82"/>
      <c r="AI24" s="82"/>
      <c r="AJ24" s="82"/>
      <c r="AK24" s="82"/>
      <c r="AL24" s="82"/>
      <c r="AM24" s="82"/>
      <c r="AN24" s="82"/>
      <c r="AO24" s="82"/>
      <c r="AP24" s="82"/>
      <c r="AQ24" s="82"/>
      <c r="AR24" s="82"/>
      <c r="AS24" s="82"/>
      <c r="AT24" s="82"/>
      <c r="AU24" s="82"/>
      <c r="AV24" s="82"/>
      <c r="AW24" s="82"/>
      <c r="AX24" s="82"/>
    </row>
    <row r="25" spans="5:50">
      <c r="E25" t="s">
        <v>643</v>
      </c>
      <c r="G25" s="39">
        <v>3.111806636342531E-2</v>
      </c>
      <c r="I25" s="39">
        <v>1.716887171067678E-2</v>
      </c>
      <c r="K25" s="39">
        <v>3.4596875737930743E-2</v>
      </c>
      <c r="M25" s="39">
        <v>2.8869987700814601E-2</v>
      </c>
      <c r="O25" s="82"/>
      <c r="P25" s="82"/>
      <c r="Q25" s="82"/>
      <c r="R25" s="82"/>
      <c r="S25" s="8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c r="AX25" s="82"/>
    </row>
    <row r="26" spans="5:50">
      <c r="E26" t="s">
        <v>644</v>
      </c>
      <c r="G26" s="39">
        <v>2.8420995308070865E-2</v>
      </c>
      <c r="I26" s="39">
        <v>2.55908989242133E-2</v>
      </c>
      <c r="K26" s="39">
        <v>3.2588022749688438E-2</v>
      </c>
      <c r="M26" s="39">
        <v>2.3648030225665247E-2</v>
      </c>
      <c r="O26" s="82"/>
      <c r="P26" s="82"/>
      <c r="Q26" s="82"/>
      <c r="R26" s="82"/>
      <c r="S26" s="82"/>
      <c r="T26" s="82"/>
      <c r="U26" s="82"/>
      <c r="V26" s="82"/>
      <c r="W26" s="82"/>
      <c r="X26" s="82"/>
      <c r="Y26" s="82"/>
      <c r="Z26" s="82"/>
      <c r="AA26" s="82"/>
      <c r="AB26" s="82"/>
      <c r="AC26" s="82"/>
      <c r="AD26" s="82"/>
      <c r="AE26" s="82"/>
      <c r="AF26" s="82"/>
      <c r="AG26" s="82"/>
      <c r="AH26" s="82"/>
      <c r="AI26" s="82"/>
      <c r="AJ26" s="82"/>
      <c r="AK26" s="82"/>
      <c r="AL26" s="82"/>
      <c r="AM26" s="82"/>
      <c r="AN26" s="82"/>
      <c r="AO26" s="82"/>
      <c r="AP26" s="82"/>
      <c r="AQ26" s="82"/>
      <c r="AR26" s="82"/>
      <c r="AS26" s="82"/>
      <c r="AT26" s="82"/>
      <c r="AU26" s="82"/>
      <c r="AV26" s="82"/>
      <c r="AW26" s="82"/>
      <c r="AX26" s="82"/>
    </row>
    <row r="27" spans="5:50">
      <c r="E27" t="s">
        <v>645</v>
      </c>
      <c r="G27" s="39">
        <v>3.0220953461909963E-2</v>
      </c>
      <c r="I27" s="39">
        <v>1.7984138449025171E-2</v>
      </c>
      <c r="K27" s="39">
        <v>2.9832101576022674E-2</v>
      </c>
      <c r="M27" s="39">
        <v>3.8216568451090629E-2</v>
      </c>
      <c r="O27" s="82"/>
      <c r="P27" s="82"/>
      <c r="Q27" s="82"/>
      <c r="R27" s="82"/>
      <c r="S27" s="82"/>
      <c r="T27" s="82"/>
      <c r="U27" s="82"/>
      <c r="V27" s="82"/>
      <c r="W27" s="82"/>
      <c r="X27" s="82"/>
      <c r="Y27" s="82"/>
      <c r="Z27" s="82"/>
      <c r="AA27" s="82"/>
      <c r="AB27" s="82"/>
      <c r="AC27" s="82"/>
      <c r="AD27" s="82"/>
      <c r="AE27" s="82"/>
      <c r="AF27" s="82"/>
      <c r="AG27" s="82"/>
      <c r="AH27" s="82"/>
      <c r="AI27" s="82"/>
      <c r="AJ27" s="82"/>
      <c r="AK27" s="82"/>
      <c r="AL27" s="82"/>
      <c r="AM27" s="82"/>
      <c r="AN27" s="82"/>
      <c r="AO27" s="82"/>
      <c r="AP27" s="82"/>
      <c r="AQ27" s="82"/>
      <c r="AR27" s="82"/>
      <c r="AS27" s="82"/>
      <c r="AT27" s="82"/>
      <c r="AU27" s="82"/>
      <c r="AV27" s="82"/>
      <c r="AW27" s="82"/>
      <c r="AX27" s="82"/>
    </row>
    <row r="28" spans="5:50">
      <c r="E28" t="s">
        <v>646</v>
      </c>
      <c r="G28" s="39">
        <v>2.5276800889660847E-2</v>
      </c>
      <c r="I28" s="39">
        <v>1.0928644653063351E-2</v>
      </c>
      <c r="K28" s="39">
        <v>2.906418105809238E-2</v>
      </c>
      <c r="M28" s="39">
        <v>4.9437324562203164E-2</v>
      </c>
      <c r="O28" s="82"/>
      <c r="P28" s="82"/>
      <c r="Q28" s="82"/>
      <c r="R28" s="82"/>
      <c r="S28" s="82"/>
      <c r="T28" s="82"/>
      <c r="U28" s="82"/>
      <c r="V28" s="82"/>
      <c r="W28" s="82"/>
      <c r="X28" s="82"/>
      <c r="Y28" s="82"/>
      <c r="Z28" s="82"/>
      <c r="AA28" s="82"/>
      <c r="AB28" s="82"/>
      <c r="AC28" s="82"/>
      <c r="AD28" s="82"/>
      <c r="AE28" s="82"/>
      <c r="AF28" s="82"/>
      <c r="AG28" s="82"/>
      <c r="AH28" s="82"/>
      <c r="AI28" s="82"/>
      <c r="AJ28" s="82"/>
      <c r="AK28" s="82"/>
      <c r="AL28" s="82"/>
      <c r="AM28" s="82"/>
      <c r="AN28" s="82"/>
      <c r="AO28" s="82"/>
      <c r="AP28" s="82"/>
      <c r="AQ28" s="82"/>
      <c r="AR28" s="82"/>
      <c r="AS28" s="82"/>
      <c r="AT28" s="82"/>
      <c r="AU28" s="82"/>
      <c r="AV28" s="82"/>
      <c r="AW28" s="82"/>
      <c r="AX28" s="82"/>
    </row>
    <row r="29" spans="5:50">
      <c r="E29" t="s">
        <v>648</v>
      </c>
      <c r="G29" s="39">
        <v>1.8925356193948358E-2</v>
      </c>
      <c r="I29" s="39">
        <v>1.9877808413358164E-2</v>
      </c>
      <c r="K29" s="39">
        <v>1.7813301811076206E-2</v>
      </c>
      <c r="M29" s="39">
        <v>2.2125473949481618E-2</v>
      </c>
      <c r="O29" s="82"/>
      <c r="P29" s="82"/>
      <c r="Q29" s="82"/>
      <c r="R29" s="82"/>
      <c r="S29" s="82"/>
      <c r="T29" s="82"/>
      <c r="U29" s="82"/>
      <c r="V29" s="82"/>
      <c r="W29" s="82"/>
      <c r="X29" s="82"/>
      <c r="Y29" s="82"/>
      <c r="Z29" s="82"/>
      <c r="AA29" s="82"/>
      <c r="AB29" s="82"/>
      <c r="AC29" s="82"/>
      <c r="AD29" s="82"/>
      <c r="AE29" s="82"/>
      <c r="AF29" s="82"/>
      <c r="AG29" s="82"/>
      <c r="AH29" s="82"/>
      <c r="AI29" s="82"/>
      <c r="AJ29" s="82"/>
      <c r="AK29" s="82"/>
      <c r="AL29" s="82"/>
      <c r="AM29" s="82"/>
      <c r="AN29" s="82"/>
      <c r="AO29" s="82"/>
      <c r="AP29" s="82"/>
      <c r="AQ29" s="82"/>
      <c r="AR29" s="82"/>
      <c r="AS29" s="82"/>
      <c r="AT29" s="82"/>
      <c r="AU29" s="82"/>
      <c r="AV29" s="82"/>
      <c r="AW29" s="82"/>
      <c r="AX29" s="82"/>
    </row>
    <row r="30" spans="5:50">
      <c r="E30" t="s">
        <v>649</v>
      </c>
      <c r="G30" s="39">
        <v>3.9581882332034954E-2</v>
      </c>
      <c r="I30" s="39">
        <v>2.7426305970029468E-2</v>
      </c>
      <c r="K30" s="39">
        <v>2.7686729619495292E-2</v>
      </c>
      <c r="M30" s="39">
        <v>3.401012418392995E-2</v>
      </c>
      <c r="O30" s="82"/>
      <c r="P30" s="82"/>
      <c r="Q30" s="82"/>
      <c r="R30" s="82"/>
      <c r="S30" s="82"/>
      <c r="T30" s="82"/>
      <c r="U30" s="82"/>
      <c r="V30" s="82"/>
      <c r="W30" s="82"/>
      <c r="X30" s="82"/>
      <c r="Y30" s="82"/>
      <c r="Z30" s="82"/>
      <c r="AA30" s="82"/>
      <c r="AB30" s="82"/>
      <c r="AC30" s="82"/>
      <c r="AD30" s="82"/>
      <c r="AE30" s="82"/>
      <c r="AF30" s="82"/>
      <c r="AG30" s="82"/>
      <c r="AH30" s="82"/>
      <c r="AI30" s="82"/>
      <c r="AJ30" s="82"/>
      <c r="AK30" s="82"/>
      <c r="AL30" s="82"/>
      <c r="AM30" s="82"/>
      <c r="AN30" s="82"/>
      <c r="AO30" s="82"/>
      <c r="AP30" s="82"/>
      <c r="AQ30" s="82"/>
      <c r="AR30" s="82"/>
      <c r="AS30" s="82"/>
      <c r="AT30" s="82"/>
      <c r="AU30" s="82"/>
      <c r="AV30" s="82"/>
      <c r="AW30" s="82"/>
      <c r="AX30" s="82"/>
    </row>
    <row r="31" spans="5:50">
      <c r="E31" t="s">
        <v>650</v>
      </c>
      <c r="G31" s="39">
        <v>3.5053325193395185E-2</v>
      </c>
      <c r="I31" s="39">
        <v>3.1699830175406597E-2</v>
      </c>
      <c r="K31" s="39">
        <v>1.8906446381932902E-2</v>
      </c>
      <c r="M31" s="39">
        <v>1.3943337483511689E-2</v>
      </c>
      <c r="O31" s="82"/>
      <c r="P31" s="82"/>
      <c r="Q31" s="82"/>
      <c r="R31" s="82"/>
      <c r="S31" s="82"/>
      <c r="T31" s="82"/>
      <c r="U31" s="82"/>
      <c r="V31" s="82"/>
      <c r="W31" s="82"/>
      <c r="X31" s="82"/>
      <c r="Y31" s="82"/>
      <c r="Z31" s="82"/>
      <c r="AA31" s="82"/>
      <c r="AB31" s="82"/>
      <c r="AC31" s="82"/>
      <c r="AD31" s="82"/>
      <c r="AE31" s="82"/>
      <c r="AF31" s="82"/>
      <c r="AG31" s="82"/>
      <c r="AH31" s="82"/>
      <c r="AI31" s="82"/>
      <c r="AJ31" s="82"/>
      <c r="AK31" s="82"/>
      <c r="AL31" s="82"/>
      <c r="AM31" s="82"/>
      <c r="AN31" s="82"/>
      <c r="AO31" s="82"/>
      <c r="AP31" s="82"/>
      <c r="AQ31" s="82"/>
      <c r="AR31" s="82"/>
      <c r="AS31" s="82"/>
      <c r="AT31" s="82"/>
      <c r="AU31" s="82"/>
      <c r="AV31" s="82"/>
      <c r="AW31" s="82"/>
      <c r="AX31" s="82"/>
    </row>
    <row r="32" spans="5:50">
      <c r="E32" t="s">
        <v>651</v>
      </c>
      <c r="G32" s="39">
        <v>2.3760594100837782E-2</v>
      </c>
      <c r="I32" s="39">
        <v>1.6993407185496207E-2</v>
      </c>
      <c r="K32" s="39">
        <v>1.8183006644862314E-2</v>
      </c>
      <c r="M32" s="39">
        <v>1.0426455347829664E-2</v>
      </c>
      <c r="O32" s="82"/>
      <c r="P32" s="82"/>
      <c r="Q32" s="82"/>
      <c r="R32" s="82"/>
      <c r="S32" s="82"/>
      <c r="T32" s="82"/>
      <c r="U32" s="82"/>
      <c r="V32" s="82"/>
      <c r="W32" s="82"/>
      <c r="X32" s="82"/>
      <c r="Y32" s="82"/>
      <c r="Z32" s="82"/>
      <c r="AA32" s="82"/>
      <c r="AB32" s="82"/>
      <c r="AC32" s="82"/>
      <c r="AD32" s="82"/>
      <c r="AE32" s="82"/>
      <c r="AF32" s="82"/>
      <c r="AG32" s="82"/>
      <c r="AH32" s="82"/>
      <c r="AI32" s="82"/>
      <c r="AJ32" s="82"/>
      <c r="AK32" s="82"/>
      <c r="AL32" s="82"/>
      <c r="AM32" s="82"/>
      <c r="AN32" s="82"/>
      <c r="AO32" s="82"/>
      <c r="AP32" s="82"/>
      <c r="AQ32" s="82"/>
      <c r="AR32" s="82"/>
      <c r="AS32" s="82"/>
      <c r="AT32" s="82"/>
      <c r="AU32" s="82"/>
      <c r="AV32" s="82"/>
      <c r="AW32" s="82"/>
      <c r="AX32" s="82"/>
    </row>
    <row r="33" spans="1:50">
      <c r="E33" t="s">
        <v>652</v>
      </c>
      <c r="G33" s="39">
        <v>3.1427613307079168E-2</v>
      </c>
      <c r="I33" s="39">
        <v>7.0954199565282594E-2</v>
      </c>
      <c r="K33" s="39">
        <v>3.0100501807710643E-2</v>
      </c>
      <c r="M33" s="39">
        <v>2.7142088271239626E-2</v>
      </c>
      <c r="O33" s="82"/>
      <c r="P33" s="82"/>
      <c r="Q33" s="82"/>
      <c r="R33" s="82"/>
      <c r="S33" s="82"/>
      <c r="T33" s="82"/>
      <c r="U33" s="82"/>
      <c r="V33" s="82"/>
      <c r="W33" s="82"/>
      <c r="X33" s="82"/>
      <c r="Y33" s="82"/>
      <c r="Z33" s="82"/>
      <c r="AA33" s="82"/>
      <c r="AB33" s="82"/>
      <c r="AC33" s="82"/>
      <c r="AD33" s="82"/>
      <c r="AE33" s="82"/>
      <c r="AF33" s="82"/>
      <c r="AG33" s="82"/>
      <c r="AH33" s="82"/>
      <c r="AI33" s="82"/>
      <c r="AJ33" s="82"/>
      <c r="AK33" s="82"/>
      <c r="AL33" s="82"/>
      <c r="AM33" s="82"/>
      <c r="AN33" s="82"/>
      <c r="AO33" s="82"/>
      <c r="AP33" s="82"/>
      <c r="AQ33" s="82"/>
      <c r="AR33" s="82"/>
      <c r="AS33" s="82"/>
      <c r="AT33" s="82"/>
      <c r="AU33" s="82"/>
      <c r="AV33" s="82"/>
      <c r="AW33" s="82"/>
      <c r="AX33" s="82"/>
    </row>
    <row r="34" spans="1:50">
      <c r="E34" t="s">
        <v>653</v>
      </c>
      <c r="G34" s="39">
        <v>2.9326706735798819E-2</v>
      </c>
      <c r="I34" s="39">
        <v>2.5123477074558836E-2</v>
      </c>
      <c r="K34" s="39">
        <v>1.9472320624682505E-2</v>
      </c>
      <c r="M34" s="39">
        <v>2.0113475597990108E-2</v>
      </c>
      <c r="O34" s="82"/>
      <c r="P34" s="82"/>
      <c r="Q34" s="82"/>
      <c r="R34" s="82"/>
      <c r="S34" s="82"/>
      <c r="T34" s="82"/>
      <c r="U34" s="82"/>
      <c r="V34" s="82"/>
      <c r="W34" s="82"/>
      <c r="X34" s="82"/>
      <c r="Y34" s="82"/>
      <c r="Z34" s="82"/>
      <c r="AA34" s="82"/>
      <c r="AB34" s="82"/>
      <c r="AC34" s="82"/>
      <c r="AD34" s="82"/>
      <c r="AE34" s="82"/>
      <c r="AF34" s="82"/>
      <c r="AG34" s="82"/>
      <c r="AH34" s="82"/>
      <c r="AI34" s="82"/>
      <c r="AJ34" s="82"/>
      <c r="AK34" s="82"/>
      <c r="AL34" s="82"/>
      <c r="AM34" s="82"/>
      <c r="AN34" s="82"/>
      <c r="AO34" s="82"/>
      <c r="AP34" s="82"/>
      <c r="AQ34" s="82"/>
      <c r="AR34" s="82"/>
      <c r="AS34" s="82"/>
      <c r="AT34" s="82"/>
      <c r="AU34" s="82"/>
      <c r="AV34" s="82"/>
      <c r="AW34" s="82"/>
      <c r="AX34" s="82"/>
    </row>
    <row r="35" spans="1:50">
      <c r="E35" t="s">
        <v>654</v>
      </c>
      <c r="G35" s="39">
        <v>2.3840847012155449E-2</v>
      </c>
      <c r="I35" s="39">
        <v>1.0962077493403071E-2</v>
      </c>
      <c r="K35" s="39">
        <v>1.6203452874884127E-2</v>
      </c>
      <c r="M35" s="39">
        <v>1.6675921839514989E-2</v>
      </c>
      <c r="O35" s="82"/>
      <c r="P35" s="82"/>
      <c r="Q35" s="82"/>
      <c r="R35" s="82"/>
      <c r="S35" s="82"/>
      <c r="T35" s="82"/>
      <c r="U35" s="82"/>
      <c r="V35" s="82"/>
      <c r="W35" s="82"/>
      <c r="X35" s="82"/>
      <c r="Y35" s="82"/>
      <c r="Z35" s="82"/>
      <c r="AA35" s="82"/>
      <c r="AB35" s="82"/>
      <c r="AC35" s="82"/>
      <c r="AD35" s="82"/>
      <c r="AE35" s="82"/>
      <c r="AF35" s="82"/>
      <c r="AG35" s="82"/>
      <c r="AH35" s="82"/>
      <c r="AI35" s="82"/>
      <c r="AJ35" s="82"/>
      <c r="AK35" s="82"/>
      <c r="AL35" s="82"/>
      <c r="AM35" s="82"/>
      <c r="AN35" s="82"/>
      <c r="AO35" s="82"/>
      <c r="AP35" s="82"/>
      <c r="AQ35" s="82"/>
      <c r="AR35" s="82"/>
      <c r="AS35" s="82"/>
      <c r="AT35" s="82"/>
      <c r="AU35" s="82"/>
      <c r="AV35" s="82"/>
      <c r="AW35" s="82"/>
      <c r="AX35" s="82"/>
    </row>
    <row r="36" spans="1:50">
      <c r="E36" t="s">
        <v>655</v>
      </c>
      <c r="G36" s="39">
        <v>3.8002619684319443E-2</v>
      </c>
      <c r="I36" s="39">
        <v>5.5060431873361897E-2</v>
      </c>
      <c r="K36" s="39">
        <v>3.6644108387128657E-2</v>
      </c>
      <c r="M36" s="39">
        <v>4.3246127718905659E-2</v>
      </c>
      <c r="O36" s="82"/>
      <c r="P36" s="82"/>
      <c r="Q36" s="82"/>
      <c r="R36" s="82"/>
      <c r="S36" s="82"/>
      <c r="T36" s="82"/>
      <c r="U36" s="82"/>
      <c r="V36" s="82"/>
      <c r="W36" s="82"/>
      <c r="X36" s="82"/>
      <c r="Y36" s="82"/>
      <c r="Z36" s="82"/>
      <c r="AA36" s="82"/>
      <c r="AB36" s="82"/>
      <c r="AC36" s="82"/>
      <c r="AD36" s="82"/>
      <c r="AE36" s="82"/>
      <c r="AF36" s="82"/>
      <c r="AG36" s="82"/>
      <c r="AH36" s="82"/>
      <c r="AI36" s="82"/>
      <c r="AJ36" s="82"/>
      <c r="AK36" s="82"/>
      <c r="AL36" s="82"/>
      <c r="AM36" s="82"/>
      <c r="AN36" s="82"/>
      <c r="AO36" s="82"/>
      <c r="AP36" s="82"/>
      <c r="AQ36" s="82"/>
      <c r="AR36" s="82"/>
      <c r="AS36" s="82"/>
      <c r="AT36" s="82"/>
      <c r="AU36" s="82"/>
      <c r="AV36" s="82"/>
      <c r="AW36" s="82"/>
      <c r="AX36" s="82"/>
    </row>
    <row r="37" spans="1:50">
      <c r="E37" t="s">
        <v>656</v>
      </c>
      <c r="G37" s="39">
        <v>2.3327801614803224E-2</v>
      </c>
      <c r="I37" s="39">
        <v>1.355119060332045E-2</v>
      </c>
      <c r="K37" s="39">
        <v>1.7038251233784576E-2</v>
      </c>
      <c r="M37" s="39">
        <v>1.332638179860118E-2</v>
      </c>
      <c r="O37" s="82"/>
      <c r="P37" s="82"/>
      <c r="Q37" s="82"/>
      <c r="R37" s="82"/>
      <c r="S37" s="82"/>
      <c r="T37" s="82"/>
      <c r="U37" s="82"/>
      <c r="V37" s="82"/>
      <c r="W37" s="82"/>
      <c r="X37" s="82"/>
      <c r="Y37" s="82"/>
      <c r="Z37" s="82"/>
      <c r="AA37" s="82"/>
      <c r="AB37" s="82"/>
      <c r="AC37" s="82"/>
      <c r="AD37" s="82"/>
      <c r="AE37" s="82"/>
      <c r="AF37" s="82"/>
      <c r="AG37" s="82"/>
      <c r="AH37" s="82"/>
      <c r="AI37" s="82"/>
      <c r="AJ37" s="82"/>
      <c r="AK37" s="82"/>
      <c r="AL37" s="82"/>
      <c r="AM37" s="82"/>
      <c r="AN37" s="82"/>
      <c r="AO37" s="82"/>
      <c r="AP37" s="82"/>
      <c r="AQ37" s="82"/>
      <c r="AR37" s="82"/>
      <c r="AS37" s="82"/>
      <c r="AT37" s="82"/>
      <c r="AU37" s="82"/>
      <c r="AV37" s="82"/>
      <c r="AW37" s="82"/>
      <c r="AX37" s="82"/>
    </row>
    <row r="38" spans="1:50">
      <c r="E38" t="s">
        <v>657</v>
      </c>
      <c r="G38" s="39">
        <v>3.4204937273751276E-2</v>
      </c>
      <c r="I38" s="39">
        <v>6.3866249239296166E-2</v>
      </c>
      <c r="K38" s="39">
        <v>4.7503549179983062E-2</v>
      </c>
      <c r="M38" s="39">
        <v>5.1396453009471189E-2</v>
      </c>
      <c r="O38" s="82"/>
      <c r="P38" s="82"/>
      <c r="Q38" s="82"/>
      <c r="R38" s="82"/>
      <c r="S38" s="82"/>
      <c r="T38" s="82"/>
      <c r="U38" s="82"/>
      <c r="V38" s="82"/>
      <c r="W38" s="82"/>
      <c r="X38" s="82"/>
      <c r="Y38" s="82"/>
      <c r="Z38" s="82"/>
      <c r="AA38" s="82"/>
      <c r="AB38" s="82"/>
      <c r="AC38" s="82"/>
      <c r="AD38" s="82"/>
      <c r="AE38" s="82"/>
      <c r="AF38" s="82"/>
      <c r="AG38" s="82"/>
      <c r="AH38" s="82"/>
      <c r="AI38" s="82"/>
      <c r="AJ38" s="82"/>
      <c r="AK38" s="82"/>
      <c r="AL38" s="82"/>
      <c r="AM38" s="82"/>
      <c r="AN38" s="82"/>
      <c r="AO38" s="82"/>
      <c r="AP38" s="82"/>
      <c r="AQ38" s="82"/>
      <c r="AR38" s="82"/>
      <c r="AS38" s="82"/>
      <c r="AT38" s="82"/>
      <c r="AU38" s="82"/>
      <c r="AV38" s="82"/>
      <c r="AW38" s="82"/>
      <c r="AX38" s="82"/>
    </row>
    <row r="39" spans="1:50">
      <c r="E39" t="s">
        <v>658</v>
      </c>
      <c r="G39" s="39">
        <v>2.8988498038102935E-2</v>
      </c>
      <c r="I39" s="39">
        <v>2.4342092719512133E-2</v>
      </c>
      <c r="K39" s="39">
        <v>1.8118088246113485E-2</v>
      </c>
      <c r="M39" s="39">
        <v>8.4178413471475439E-3</v>
      </c>
      <c r="O39" s="82"/>
      <c r="P39" s="82"/>
      <c r="Q39" s="82"/>
      <c r="R39" s="82"/>
      <c r="S39" s="82"/>
      <c r="T39" s="82"/>
      <c r="U39" s="82"/>
      <c r="V39" s="82"/>
      <c r="W39" s="82"/>
      <c r="X39" s="82"/>
      <c r="Y39" s="82"/>
      <c r="Z39" s="82"/>
      <c r="AA39" s="82"/>
      <c r="AB39" s="82"/>
      <c r="AC39" s="82"/>
      <c r="AD39" s="82"/>
      <c r="AE39" s="82"/>
      <c r="AF39" s="82"/>
      <c r="AG39" s="82"/>
      <c r="AH39" s="82"/>
      <c r="AI39" s="82"/>
      <c r="AJ39" s="82"/>
      <c r="AK39" s="82"/>
      <c r="AL39" s="82"/>
      <c r="AM39" s="82"/>
      <c r="AN39" s="82"/>
      <c r="AO39" s="82"/>
      <c r="AP39" s="82"/>
      <c r="AQ39" s="82"/>
      <c r="AR39" s="82"/>
      <c r="AS39" s="82"/>
      <c r="AT39" s="82"/>
      <c r="AU39" s="82"/>
      <c r="AV39" s="82"/>
      <c r="AW39" s="82"/>
      <c r="AX39" s="82"/>
    </row>
    <row r="40" spans="1:50">
      <c r="E40" t="s">
        <v>659</v>
      </c>
      <c r="G40" s="39">
        <v>3.9805444013562744E-2</v>
      </c>
      <c r="I40" s="39">
        <v>3.6531760836808709E-2</v>
      </c>
      <c r="K40" s="39">
        <v>2.6320462530164294E-2</v>
      </c>
      <c r="M40" s="39">
        <v>2.5336672886931699E-2</v>
      </c>
      <c r="O40" s="82"/>
      <c r="P40" s="82"/>
      <c r="Q40" s="82"/>
      <c r="R40" s="82"/>
      <c r="S40" s="82"/>
      <c r="T40" s="82"/>
      <c r="U40" s="82"/>
      <c r="V40" s="82"/>
      <c r="W40" s="82"/>
      <c r="X40" s="82"/>
      <c r="Y40" s="82"/>
      <c r="Z40" s="82"/>
      <c r="AA40" s="82"/>
      <c r="AB40" s="82"/>
      <c r="AC40" s="82"/>
      <c r="AD40" s="82"/>
      <c r="AE40" s="82"/>
      <c r="AF40" s="82"/>
      <c r="AG40" s="82"/>
      <c r="AH40" s="82"/>
      <c r="AI40" s="82"/>
      <c r="AJ40" s="82"/>
      <c r="AK40" s="82"/>
      <c r="AL40" s="82"/>
      <c r="AM40" s="82"/>
      <c r="AN40" s="82"/>
      <c r="AO40" s="82"/>
      <c r="AP40" s="82"/>
      <c r="AQ40" s="82"/>
      <c r="AR40" s="82"/>
      <c r="AS40" s="82"/>
      <c r="AT40" s="82"/>
      <c r="AU40" s="82"/>
      <c r="AV40" s="82"/>
      <c r="AW40" s="82"/>
      <c r="AX40" s="82"/>
    </row>
    <row r="41" spans="1:50">
      <c r="E41" t="s">
        <v>633</v>
      </c>
      <c r="G41" s="39">
        <v>3.5437392697558308E-2</v>
      </c>
      <c r="I41" s="39">
        <v>2.0939746859134734E-2</v>
      </c>
      <c r="K41" s="39">
        <v>0.10448235859649407</v>
      </c>
      <c r="M41" s="39">
        <v>0.14999528429905498</v>
      </c>
      <c r="O41" s="82"/>
      <c r="P41" s="82"/>
      <c r="Q41" s="82"/>
      <c r="R41" s="82"/>
      <c r="S41" s="82"/>
      <c r="T41" s="82"/>
      <c r="U41" s="82"/>
      <c r="V41" s="82"/>
      <c r="W41" s="82"/>
      <c r="X41" s="82"/>
      <c r="Y41" s="82"/>
      <c r="Z41" s="82"/>
      <c r="AA41" s="82"/>
      <c r="AB41" s="82"/>
      <c r="AC41" s="82"/>
      <c r="AD41" s="82"/>
      <c r="AE41" s="82"/>
      <c r="AF41" s="82"/>
      <c r="AG41" s="82"/>
      <c r="AH41" s="82"/>
      <c r="AI41" s="82"/>
      <c r="AJ41" s="82"/>
      <c r="AK41" s="82"/>
      <c r="AL41" s="82"/>
      <c r="AM41" s="82"/>
      <c r="AN41" s="82"/>
      <c r="AO41" s="82"/>
      <c r="AP41" s="82"/>
      <c r="AQ41" s="82"/>
      <c r="AR41" s="82"/>
      <c r="AS41" s="82"/>
      <c r="AT41" s="82"/>
      <c r="AU41" s="82"/>
      <c r="AV41" s="82"/>
      <c r="AW41" s="82"/>
      <c r="AX41" s="82"/>
    </row>
    <row r="42" spans="1:50">
      <c r="E42" t="s">
        <v>660</v>
      </c>
      <c r="G42" s="39">
        <f>SUM(G15,G9,G19:G21,G27:G28,G30,G31,G36,G38,G41)</f>
        <v>0.35690762603289794</v>
      </c>
      <c r="I42" s="39">
        <f>SUM(I15,I9,I19:I21,I27:I28,I30,I31,I36,I38,I41)</f>
        <v>0.38515167959591057</v>
      </c>
      <c r="K42" s="39">
        <f>SUM(K15,K9,K19:K21,K27:K28,K30,K31,K36,K38,K41)</f>
        <v>0.47536412061501032</v>
      </c>
      <c r="M42" s="39">
        <f>SUM(M15,M9,M19:M21,M27:M28,M30,M31,M36,M38,M41)</f>
        <v>0.60265695082561876</v>
      </c>
      <c r="O42" s="82"/>
      <c r="P42" s="82"/>
      <c r="Q42" s="82"/>
      <c r="R42" s="82"/>
      <c r="S42" s="82"/>
      <c r="T42" s="82"/>
      <c r="U42" s="82"/>
      <c r="V42" s="82"/>
      <c r="W42" s="82"/>
      <c r="X42" s="82"/>
      <c r="Y42" s="82"/>
      <c r="Z42" s="82"/>
      <c r="AA42" s="82"/>
      <c r="AB42" s="82"/>
      <c r="AC42" s="82"/>
      <c r="AD42" s="82"/>
      <c r="AE42" s="82"/>
      <c r="AF42" s="82"/>
      <c r="AG42" s="82"/>
      <c r="AH42" s="82"/>
      <c r="AI42" s="82"/>
      <c r="AJ42" s="82"/>
      <c r="AK42" s="82"/>
      <c r="AL42" s="82"/>
      <c r="AM42" s="82"/>
      <c r="AN42" s="82"/>
      <c r="AO42" s="82"/>
      <c r="AP42" s="82"/>
      <c r="AQ42" s="82"/>
      <c r="AR42" s="82"/>
      <c r="AS42" s="82"/>
      <c r="AT42" s="82"/>
      <c r="AU42" s="82"/>
      <c r="AV42" s="82"/>
      <c r="AW42" s="82"/>
      <c r="AX42" s="82"/>
    </row>
    <row r="43" spans="1:50">
      <c r="E43" t="s">
        <v>661</v>
      </c>
      <c r="G43" s="39">
        <f>SUM(G10:G14,G16:G18,G22:G26,G29,G32:G35,G37,G39:G40)</f>
        <v>0.64309237396710206</v>
      </c>
      <c r="I43" s="39">
        <f>SUM(I10:I14,I16:I18,I22:I26,I29,I32:I35,I37,I39:I40)</f>
        <v>0.61484832040408943</v>
      </c>
      <c r="K43" s="39">
        <f>SUM(K10:K14,K16:K18,K22:K26,K29,K32:K35,K37,K39:K40)</f>
        <v>0.5246358793849899</v>
      </c>
      <c r="M43" s="39">
        <f>SUM(M10:M14,M16:M18,M22:M26,M29,M32:M35,M37,M39:M40)</f>
        <v>0.39734304917438135</v>
      </c>
      <c r="O43" s="82"/>
      <c r="P43" s="82"/>
      <c r="Q43" s="82"/>
      <c r="R43" s="82"/>
      <c r="S43" s="82"/>
      <c r="T43" s="82"/>
      <c r="U43" s="82"/>
      <c r="V43" s="82"/>
      <c r="W43" s="82"/>
      <c r="X43" s="82"/>
      <c r="Y43" s="82"/>
      <c r="Z43" s="82"/>
      <c r="AA43" s="82"/>
      <c r="AB43" s="82"/>
      <c r="AC43" s="82"/>
      <c r="AD43" s="82"/>
      <c r="AE43" s="82"/>
      <c r="AF43" s="82"/>
      <c r="AG43" s="82"/>
      <c r="AH43" s="82"/>
      <c r="AI43" s="82"/>
      <c r="AJ43" s="82"/>
      <c r="AK43" s="82"/>
      <c r="AL43" s="82"/>
      <c r="AM43" s="82"/>
      <c r="AN43" s="82"/>
      <c r="AO43" s="82"/>
      <c r="AP43" s="82"/>
      <c r="AQ43" s="82"/>
      <c r="AR43" s="82"/>
      <c r="AS43" s="82"/>
      <c r="AT43" s="82"/>
      <c r="AU43" s="82"/>
      <c r="AV43" s="82"/>
      <c r="AW43" s="82"/>
      <c r="AX43" s="82"/>
    </row>
    <row r="44" spans="1:50">
      <c r="E44" t="s">
        <v>122</v>
      </c>
      <c r="G44" s="39">
        <v>1</v>
      </c>
      <c r="I44" s="39">
        <v>1</v>
      </c>
      <c r="K44" s="184">
        <v>1</v>
      </c>
      <c r="M44" s="39">
        <v>1</v>
      </c>
      <c r="O44" s="82"/>
      <c r="P44" s="82"/>
      <c r="Q44" s="82"/>
      <c r="R44" s="82"/>
      <c r="S44" s="82"/>
      <c r="T44" s="82"/>
      <c r="U44" s="82"/>
      <c r="V44" s="82"/>
      <c r="W44" s="82"/>
      <c r="X44" s="82"/>
      <c r="Y44" s="82"/>
      <c r="Z44" s="82"/>
      <c r="AA44" s="82"/>
      <c r="AB44" s="82"/>
      <c r="AC44" s="82"/>
      <c r="AD44" s="82"/>
      <c r="AE44" s="82"/>
      <c r="AF44" s="82"/>
      <c r="AG44" s="82"/>
      <c r="AH44" s="82"/>
      <c r="AI44" s="82"/>
      <c r="AJ44" s="82"/>
      <c r="AK44" s="82"/>
      <c r="AL44" s="82"/>
      <c r="AM44" s="82"/>
      <c r="AN44" s="82"/>
      <c r="AO44" s="82"/>
      <c r="AP44" s="82"/>
      <c r="AQ44" s="82"/>
      <c r="AR44" s="82"/>
      <c r="AS44" s="82"/>
      <c r="AT44" s="82"/>
      <c r="AU44" s="82"/>
      <c r="AV44" s="82"/>
      <c r="AW44" s="82"/>
      <c r="AX44" s="82"/>
    </row>
    <row r="47" spans="1:50">
      <c r="A47" s="229">
        <v>0</v>
      </c>
      <c r="B47" s="229" t="s">
        <v>1060</v>
      </c>
      <c r="C47" s="234" t="s">
        <v>1061</v>
      </c>
      <c r="D47" s="229"/>
      <c r="E47" s="229" t="s">
        <v>1062</v>
      </c>
      <c r="F47" s="313"/>
      <c r="G47" s="234"/>
      <c r="H47" s="234"/>
      <c r="I47" s="313"/>
      <c r="J47" s="313">
        <v>2015</v>
      </c>
      <c r="K47" s="313">
        <v>2016</v>
      </c>
      <c r="L47" s="313">
        <v>2017</v>
      </c>
      <c r="M47" s="313">
        <v>2018</v>
      </c>
      <c r="N47" s="313">
        <v>2019</v>
      </c>
      <c r="O47" s="313">
        <v>2020</v>
      </c>
      <c r="P47" s="313">
        <v>2021</v>
      </c>
      <c r="Q47" s="313">
        <v>2022</v>
      </c>
      <c r="R47" s="313">
        <v>2023</v>
      </c>
      <c r="S47" s="313">
        <v>2024</v>
      </c>
      <c r="T47" s="313">
        <v>2025</v>
      </c>
      <c r="U47" s="313">
        <v>2026</v>
      </c>
      <c r="V47" s="313">
        <v>2027</v>
      </c>
      <c r="W47" s="313">
        <v>2028</v>
      </c>
      <c r="X47" s="313">
        <v>2029</v>
      </c>
      <c r="Y47" s="313">
        <v>2030</v>
      </c>
      <c r="Z47" s="313">
        <v>2031</v>
      </c>
      <c r="AA47" s="313">
        <v>2032</v>
      </c>
      <c r="AB47" s="313">
        <v>2033</v>
      </c>
      <c r="AC47" s="313">
        <v>2034</v>
      </c>
      <c r="AD47" s="313">
        <v>2035</v>
      </c>
      <c r="AE47" s="313">
        <v>2036</v>
      </c>
      <c r="AF47" s="313">
        <v>2037</v>
      </c>
      <c r="AG47" s="313">
        <v>2038</v>
      </c>
      <c r="AH47" s="313">
        <v>2039</v>
      </c>
      <c r="AI47" s="313">
        <v>2040</v>
      </c>
      <c r="AJ47" s="313">
        <v>2041</v>
      </c>
      <c r="AK47" s="313">
        <v>2042</v>
      </c>
      <c r="AL47" s="313">
        <v>2043</v>
      </c>
      <c r="AM47" s="313">
        <v>2044</v>
      </c>
      <c r="AN47" s="313">
        <v>2045</v>
      </c>
      <c r="AO47" s="313">
        <v>2046</v>
      </c>
      <c r="AP47" s="313">
        <v>2047</v>
      </c>
      <c r="AQ47" s="313">
        <v>2048</v>
      </c>
      <c r="AR47" s="313">
        <v>2049</v>
      </c>
      <c r="AS47" s="313">
        <v>2050</v>
      </c>
    </row>
    <row r="48" spans="1:50">
      <c r="A48" s="229">
        <v>1</v>
      </c>
      <c r="B48" s="229" t="s">
        <v>1063</v>
      </c>
      <c r="C48" s="234" t="s">
        <v>1061</v>
      </c>
      <c r="D48" s="229"/>
      <c r="E48" t="s">
        <v>384</v>
      </c>
      <c r="F48" s="313"/>
      <c r="G48" s="234"/>
      <c r="H48" s="234"/>
      <c r="I48" s="313"/>
      <c r="J48" s="247">
        <f>'2.1 Building inputs'!E20*$G$6</f>
        <v>0</v>
      </c>
      <c r="K48" s="247">
        <f>'2.1 Building inputs'!F20*$G$6</f>
        <v>0</v>
      </c>
      <c r="L48" s="247">
        <f>'2.1 Building inputs'!G20*$G$6</f>
        <v>0</v>
      </c>
      <c r="M48" s="247">
        <f>'2.1 Building inputs'!H20*$G$6</f>
        <v>0</v>
      </c>
      <c r="N48" s="247">
        <f>'2.1 Building inputs'!I20*$G$6</f>
        <v>0</v>
      </c>
      <c r="O48" s="247">
        <f>'2.1 Building inputs'!J20*$G$6</f>
        <v>0</v>
      </c>
      <c r="P48" s="247">
        <f>'2.1 Building inputs'!K20*$G$6</f>
        <v>0</v>
      </c>
      <c r="Q48" s="247">
        <f>'2.1 Building inputs'!L20*$G$6</f>
        <v>0</v>
      </c>
      <c r="R48" s="247">
        <f>'2.1 Building inputs'!M20*$G$6</f>
        <v>0</v>
      </c>
      <c r="S48" s="247">
        <f>'2.1 Building inputs'!N20*$G$6</f>
        <v>0</v>
      </c>
      <c r="T48" s="247">
        <f>'2.1 Building inputs'!O20*$G$6</f>
        <v>0</v>
      </c>
      <c r="U48" s="247">
        <f>'2.1 Building inputs'!P20*$G$6</f>
        <v>0</v>
      </c>
      <c r="V48" s="247">
        <f>'2.1 Building inputs'!Q20*$G$6</f>
        <v>0</v>
      </c>
      <c r="W48" s="247">
        <f>'2.1 Building inputs'!R20*$G$6</f>
        <v>0</v>
      </c>
      <c r="X48" s="247">
        <f>'2.1 Building inputs'!S20*$G$6</f>
        <v>0</v>
      </c>
      <c r="Y48" s="247">
        <f>'2.1 Building inputs'!T20*$G$6</f>
        <v>0</v>
      </c>
      <c r="Z48" s="247">
        <f>'2.1 Building inputs'!U20*$G$6</f>
        <v>0</v>
      </c>
      <c r="AA48" s="247">
        <f>'2.1 Building inputs'!V20*$G$6</f>
        <v>0</v>
      </c>
      <c r="AB48" s="247">
        <f>'2.1 Building inputs'!W20*$G$6</f>
        <v>0</v>
      </c>
      <c r="AC48" s="247">
        <f>'2.1 Building inputs'!X20*$G$6</f>
        <v>0</v>
      </c>
      <c r="AD48" s="247">
        <f>'2.1 Building inputs'!Y20*$G$6</f>
        <v>0</v>
      </c>
      <c r="AE48" s="247">
        <f>'2.1 Building inputs'!Z20*$G$6</f>
        <v>0</v>
      </c>
      <c r="AF48" s="247">
        <f>'2.1 Building inputs'!AA20*$G$6</f>
        <v>0</v>
      </c>
      <c r="AG48" s="247">
        <f>'2.1 Building inputs'!AB20*$G$6</f>
        <v>0</v>
      </c>
      <c r="AH48" s="247">
        <f>'2.1 Building inputs'!AC20*$G$6</f>
        <v>0</v>
      </c>
      <c r="AI48" s="247">
        <f>'2.1 Building inputs'!AD20*$G$6</f>
        <v>0</v>
      </c>
      <c r="AJ48" s="247">
        <f>'2.1 Building inputs'!AE20*$G$6</f>
        <v>0</v>
      </c>
      <c r="AK48" s="247">
        <f>'2.1 Building inputs'!AF20*$G$6</f>
        <v>0</v>
      </c>
      <c r="AL48" s="247">
        <f>'2.1 Building inputs'!AG20*$G$6</f>
        <v>0</v>
      </c>
      <c r="AM48" s="247">
        <f>'2.1 Building inputs'!AH20*$G$6</f>
        <v>0</v>
      </c>
      <c r="AN48" s="247">
        <f>'2.1 Building inputs'!AI20*$G$6</f>
        <v>0</v>
      </c>
      <c r="AO48" s="247">
        <f>'2.1 Building inputs'!AJ20*$G$6</f>
        <v>0</v>
      </c>
      <c r="AP48" s="247">
        <f>'2.1 Building inputs'!AK20*$G$6</f>
        <v>0</v>
      </c>
      <c r="AQ48" s="247">
        <f>'2.1 Building inputs'!AL20*$G$6</f>
        <v>0</v>
      </c>
      <c r="AR48" s="247">
        <f>'2.1 Building inputs'!AM20*$G$6</f>
        <v>0</v>
      </c>
      <c r="AS48" s="247">
        <f>'2.1 Building inputs'!AN20*$G$6</f>
        <v>0</v>
      </c>
    </row>
    <row r="49" spans="1:45">
      <c r="A49" s="229">
        <v>2</v>
      </c>
      <c r="B49" s="229" t="s">
        <v>1064</v>
      </c>
      <c r="C49" s="234" t="s">
        <v>1061</v>
      </c>
      <c r="D49" s="229"/>
      <c r="E49" t="s">
        <v>385</v>
      </c>
      <c r="F49" s="313"/>
      <c r="G49" s="234"/>
      <c r="H49" s="234"/>
      <c r="I49" s="313"/>
      <c r="J49" s="247">
        <f>'2.1 Building inputs'!E21*$G$6</f>
        <v>0</v>
      </c>
      <c r="K49" s="247">
        <f>'2.1 Building inputs'!F21*$G$6</f>
        <v>0</v>
      </c>
      <c r="L49" s="247">
        <f>'2.1 Building inputs'!G21*$G$6</f>
        <v>0</v>
      </c>
      <c r="M49" s="247">
        <f>'2.1 Building inputs'!H21*$G$6</f>
        <v>0</v>
      </c>
      <c r="N49" s="247">
        <f>'2.1 Building inputs'!I21*$G$6</f>
        <v>460.71152315487313</v>
      </c>
      <c r="O49" s="247">
        <f>'2.1 Building inputs'!J21*$G$6</f>
        <v>921.42304630974627</v>
      </c>
      <c r="P49" s="247">
        <f>'2.1 Building inputs'!K21*$G$6</f>
        <v>1382.1345694646195</v>
      </c>
      <c r="Q49" s="247">
        <f>'2.1 Building inputs'!L21*$G$6</f>
        <v>1842.8460926194925</v>
      </c>
      <c r="R49" s="247">
        <f>'2.1 Building inputs'!M21*$G$6</f>
        <v>2303.5576157743658</v>
      </c>
      <c r="S49" s="247">
        <f>'2.1 Building inputs'!N21*$G$6</f>
        <v>2764.269138929239</v>
      </c>
      <c r="T49" s="247">
        <f>'2.1 Building inputs'!O21*$G$6</f>
        <v>3224.9806620841118</v>
      </c>
      <c r="U49" s="247">
        <f>'2.1 Building inputs'!P21*$G$6</f>
        <v>3685.6921852389851</v>
      </c>
      <c r="V49" s="247">
        <f>'2.1 Building inputs'!Q21*$G$6</f>
        <v>4146.4037083938583</v>
      </c>
      <c r="W49" s="247">
        <f>'2.1 Building inputs'!R21*$G$6</f>
        <v>4607.1152315487316</v>
      </c>
      <c r="X49" s="247">
        <f>'2.1 Building inputs'!S21*$G$6</f>
        <v>5067.8267547036048</v>
      </c>
      <c r="Y49" s="247">
        <f>'2.1 Building inputs'!T21*$G$6</f>
        <v>5067.8267547036048</v>
      </c>
      <c r="Z49" s="247">
        <f>'2.1 Building inputs'!U21*$G$6</f>
        <v>0</v>
      </c>
      <c r="AA49" s="247">
        <f>'2.1 Building inputs'!V21*$G$6</f>
        <v>0</v>
      </c>
      <c r="AB49" s="247">
        <f>'2.1 Building inputs'!W21*$G$6</f>
        <v>0</v>
      </c>
      <c r="AC49" s="247">
        <f>'2.1 Building inputs'!X21*$G$6</f>
        <v>0</v>
      </c>
      <c r="AD49" s="247">
        <f>'2.1 Building inputs'!Y21*$G$6</f>
        <v>0</v>
      </c>
      <c r="AE49" s="247">
        <f>'2.1 Building inputs'!Z21*$G$6</f>
        <v>0</v>
      </c>
      <c r="AF49" s="247">
        <f>'2.1 Building inputs'!AA21*$G$6</f>
        <v>0</v>
      </c>
      <c r="AG49" s="247">
        <f>'2.1 Building inputs'!AB21*$G$6</f>
        <v>0</v>
      </c>
      <c r="AH49" s="247">
        <f>'2.1 Building inputs'!AC21*$G$6</f>
        <v>0</v>
      </c>
      <c r="AI49" s="247">
        <f>'2.1 Building inputs'!AD21*$G$6</f>
        <v>0</v>
      </c>
      <c r="AJ49" s="247">
        <f>'2.1 Building inputs'!AE21*$G$6</f>
        <v>0</v>
      </c>
      <c r="AK49" s="247">
        <f>'2.1 Building inputs'!AF21*$G$6</f>
        <v>0</v>
      </c>
      <c r="AL49" s="247">
        <f>'2.1 Building inputs'!AG21*$G$6</f>
        <v>0</v>
      </c>
      <c r="AM49" s="247">
        <f>'2.1 Building inputs'!AH21*$G$6</f>
        <v>0</v>
      </c>
      <c r="AN49" s="247">
        <f>'2.1 Building inputs'!AI21*$G$6</f>
        <v>0</v>
      </c>
      <c r="AO49" s="247">
        <f>'2.1 Building inputs'!AJ21*$G$6</f>
        <v>0</v>
      </c>
      <c r="AP49" s="247">
        <f>'2.1 Building inputs'!AK21*$G$6</f>
        <v>0</v>
      </c>
      <c r="AQ49" s="247">
        <f>'2.1 Building inputs'!AL21*$G$6</f>
        <v>0</v>
      </c>
      <c r="AR49" s="247">
        <f>'2.1 Building inputs'!AM21*$G$6</f>
        <v>0</v>
      </c>
      <c r="AS49" s="247">
        <f>'2.1 Building inputs'!AN21*$G$6</f>
        <v>0</v>
      </c>
    </row>
    <row r="50" spans="1:45">
      <c r="A50" s="229">
        <v>3</v>
      </c>
      <c r="B50" s="229" t="s">
        <v>1065</v>
      </c>
      <c r="C50" s="234" t="s">
        <v>1061</v>
      </c>
      <c r="D50" s="229"/>
      <c r="E50" t="s">
        <v>386</v>
      </c>
      <c r="F50" s="313"/>
      <c r="G50" s="234"/>
      <c r="H50" s="234"/>
      <c r="I50" s="313"/>
      <c r="J50" s="247">
        <f>'2.1 Building inputs'!E22*$G$6</f>
        <v>0</v>
      </c>
      <c r="K50" s="247">
        <f>'2.1 Building inputs'!F22*$G$6</f>
        <v>0</v>
      </c>
      <c r="L50" s="247">
        <f>'2.1 Building inputs'!G22*$G$6</f>
        <v>0</v>
      </c>
      <c r="M50" s="247">
        <f>'2.1 Building inputs'!H22*$G$6</f>
        <v>0</v>
      </c>
      <c r="N50" s="247">
        <f>'2.1 Building inputs'!I22*$G$6</f>
        <v>0</v>
      </c>
      <c r="O50" s="247">
        <f>'2.1 Building inputs'!J22*$G$6</f>
        <v>0</v>
      </c>
      <c r="P50" s="247">
        <f>'2.1 Building inputs'!K22*$G$6</f>
        <v>1294.2197478546454</v>
      </c>
      <c r="Q50" s="247">
        <f>'2.1 Building inputs'!L22*$G$6</f>
        <v>2588.4394957092909</v>
      </c>
      <c r="R50" s="247">
        <f>'2.1 Building inputs'!M22*$G$6</f>
        <v>3882.6592435639363</v>
      </c>
      <c r="S50" s="247">
        <f>'2.1 Building inputs'!N22*$G$6</f>
        <v>5176.8789914185818</v>
      </c>
      <c r="T50" s="247">
        <f>'2.1 Building inputs'!O22*$G$6</f>
        <v>6471.0987392732259</v>
      </c>
      <c r="U50" s="247">
        <f>'2.1 Building inputs'!P22*$G$6</f>
        <v>7765.3184871278727</v>
      </c>
      <c r="V50" s="247">
        <f>'2.1 Building inputs'!Q22*$G$6</f>
        <v>9059.5382349825177</v>
      </c>
      <c r="W50" s="247">
        <f>'2.1 Building inputs'!R22*$G$6</f>
        <v>10353.757982837164</v>
      </c>
      <c r="X50" s="247">
        <f>'2.1 Building inputs'!S22*$G$6</f>
        <v>11647.977730691809</v>
      </c>
      <c r="Y50" s="247">
        <f>'2.1 Building inputs'!T22*$G$6</f>
        <v>11647.977730691809</v>
      </c>
      <c r="Z50" s="247">
        <f>'2.1 Building inputs'!U22*$G$6</f>
        <v>0</v>
      </c>
      <c r="AA50" s="247">
        <f>'2.1 Building inputs'!V22*$G$6</f>
        <v>0</v>
      </c>
      <c r="AB50" s="247">
        <f>'2.1 Building inputs'!W22*$G$6</f>
        <v>0</v>
      </c>
      <c r="AC50" s="247">
        <f>'2.1 Building inputs'!X22*$G$6</f>
        <v>0</v>
      </c>
      <c r="AD50" s="247">
        <f>'2.1 Building inputs'!Y22*$G$6</f>
        <v>0</v>
      </c>
      <c r="AE50" s="247">
        <f>'2.1 Building inputs'!Z22*$G$6</f>
        <v>0</v>
      </c>
      <c r="AF50" s="247">
        <f>'2.1 Building inputs'!AA22*$G$6</f>
        <v>0</v>
      </c>
      <c r="AG50" s="247">
        <f>'2.1 Building inputs'!AB22*$G$6</f>
        <v>0</v>
      </c>
      <c r="AH50" s="247">
        <f>'2.1 Building inputs'!AC22*$G$6</f>
        <v>0</v>
      </c>
      <c r="AI50" s="247">
        <f>'2.1 Building inputs'!AD22*$G$6</f>
        <v>0</v>
      </c>
      <c r="AJ50" s="247">
        <f>'2.1 Building inputs'!AE22*$G$6</f>
        <v>0</v>
      </c>
      <c r="AK50" s="247">
        <f>'2.1 Building inputs'!AF22*$G$6</f>
        <v>0</v>
      </c>
      <c r="AL50" s="247">
        <f>'2.1 Building inputs'!AG22*$G$6</f>
        <v>0</v>
      </c>
      <c r="AM50" s="247">
        <f>'2.1 Building inputs'!AH22*$G$6</f>
        <v>0</v>
      </c>
      <c r="AN50" s="247">
        <f>'2.1 Building inputs'!AI22*$G$6</f>
        <v>0</v>
      </c>
      <c r="AO50" s="247">
        <f>'2.1 Building inputs'!AJ22*$G$6</f>
        <v>0</v>
      </c>
      <c r="AP50" s="247">
        <f>'2.1 Building inputs'!AK22*$G$6</f>
        <v>0</v>
      </c>
      <c r="AQ50" s="247">
        <f>'2.1 Building inputs'!AL22*$G$6</f>
        <v>0</v>
      </c>
      <c r="AR50" s="247">
        <f>'2.1 Building inputs'!AM22*$G$6</f>
        <v>0</v>
      </c>
      <c r="AS50" s="247">
        <f>'2.1 Building inputs'!AN22*$G$6</f>
        <v>0</v>
      </c>
    </row>
    <row r="51" spans="1:45">
      <c r="A51" s="229">
        <v>4</v>
      </c>
      <c r="B51" s="229" t="s">
        <v>1066</v>
      </c>
      <c r="C51" s="234" t="s">
        <v>1061</v>
      </c>
      <c r="D51" s="229"/>
      <c r="E51" t="s">
        <v>387</v>
      </c>
      <c r="F51" s="313"/>
      <c r="G51" s="234"/>
      <c r="H51" s="234"/>
      <c r="I51" s="313"/>
      <c r="J51" s="247">
        <f>'2.1 Building inputs'!E23*$G$6</f>
        <v>0</v>
      </c>
      <c r="K51" s="247">
        <f>'2.1 Building inputs'!F23*$G$6</f>
        <v>0</v>
      </c>
      <c r="L51" s="247">
        <f>'2.1 Building inputs'!G23*$G$6</f>
        <v>0</v>
      </c>
      <c r="M51" s="247">
        <f>'2.1 Building inputs'!H23*$G$6</f>
        <v>0</v>
      </c>
      <c r="N51" s="247">
        <f>'2.1 Building inputs'!I23*$G$6</f>
        <v>0</v>
      </c>
      <c r="O51" s="247">
        <f>'2.1 Building inputs'!J23*$G$6</f>
        <v>0</v>
      </c>
      <c r="P51" s="247">
        <f>'2.1 Building inputs'!K23*$G$6</f>
        <v>0</v>
      </c>
      <c r="Q51" s="247">
        <f>'2.1 Building inputs'!L23*$G$6</f>
        <v>0</v>
      </c>
      <c r="R51" s="247">
        <f>'2.1 Building inputs'!M23*$G$6</f>
        <v>0</v>
      </c>
      <c r="S51" s="247">
        <f>'2.1 Building inputs'!N23*$G$6</f>
        <v>0</v>
      </c>
      <c r="T51" s="247">
        <f>'2.1 Building inputs'!O23*$G$6</f>
        <v>137.72895904192953</v>
      </c>
      <c r="U51" s="247">
        <f>'2.1 Building inputs'!P23*$G$6</f>
        <v>275.45791808385906</v>
      </c>
      <c r="V51" s="247">
        <f>'2.1 Building inputs'!Q23*$G$6</f>
        <v>413.18687712578856</v>
      </c>
      <c r="W51" s="247">
        <f>'2.1 Building inputs'!R23*$G$6</f>
        <v>550.91583616771811</v>
      </c>
      <c r="X51" s="247">
        <f>'2.1 Building inputs'!S23*$G$6</f>
        <v>688.64479520964767</v>
      </c>
      <c r="Y51" s="247">
        <f>'2.1 Building inputs'!T23*$G$6</f>
        <v>826.37375425157711</v>
      </c>
      <c r="Z51" s="247">
        <f>'2.1 Building inputs'!U23*$G$6</f>
        <v>964.10271329350667</v>
      </c>
      <c r="AA51" s="247">
        <f>'2.1 Building inputs'!V23*$G$6</f>
        <v>1101.8316723354362</v>
      </c>
      <c r="AB51" s="247">
        <f>'2.1 Building inputs'!W23*$G$6</f>
        <v>1239.5606313773658</v>
      </c>
      <c r="AC51" s="247">
        <f>'2.1 Building inputs'!X23*$G$6</f>
        <v>1377.2895904192953</v>
      </c>
      <c r="AD51" s="247">
        <f>'2.1 Building inputs'!Y23*$G$6</f>
        <v>1377.2895904192953</v>
      </c>
      <c r="AE51" s="247">
        <f>'2.1 Building inputs'!Z23*$G$6</f>
        <v>1377.2895904192953</v>
      </c>
      <c r="AF51" s="247">
        <f>'2.1 Building inputs'!AA23*$G$6</f>
        <v>1377.2895904192953</v>
      </c>
      <c r="AG51" s="247">
        <f>'2.1 Building inputs'!AB23*$G$6</f>
        <v>0</v>
      </c>
      <c r="AH51" s="247">
        <f>'2.1 Building inputs'!AC23*$G$6</f>
        <v>0</v>
      </c>
      <c r="AI51" s="247">
        <f>'2.1 Building inputs'!AD23*$G$6</f>
        <v>0</v>
      </c>
      <c r="AJ51" s="247">
        <f>'2.1 Building inputs'!AE23*$G$6</f>
        <v>0</v>
      </c>
      <c r="AK51" s="247">
        <f>'2.1 Building inputs'!AF23*$G$6</f>
        <v>0</v>
      </c>
      <c r="AL51" s="247">
        <f>'2.1 Building inputs'!AG23*$G$6</f>
        <v>0</v>
      </c>
      <c r="AM51" s="247">
        <f>'2.1 Building inputs'!AH23*$G$6</f>
        <v>0</v>
      </c>
      <c r="AN51" s="247">
        <f>'2.1 Building inputs'!AI23*$G$6</f>
        <v>0</v>
      </c>
      <c r="AO51" s="247">
        <f>'2.1 Building inputs'!AJ23*$G$6</f>
        <v>0</v>
      </c>
      <c r="AP51" s="247">
        <f>'2.1 Building inputs'!AK23*$G$6</f>
        <v>0</v>
      </c>
      <c r="AQ51" s="247">
        <f>'2.1 Building inputs'!AL23*$G$6</f>
        <v>0</v>
      </c>
      <c r="AR51" s="247">
        <f>'2.1 Building inputs'!AM23*$G$6</f>
        <v>0</v>
      </c>
      <c r="AS51" s="247">
        <f>'2.1 Building inputs'!AN23*$G$6</f>
        <v>0</v>
      </c>
    </row>
    <row r="52" spans="1:45">
      <c r="A52" s="229">
        <v>5</v>
      </c>
      <c r="B52" s="229" t="s">
        <v>1067</v>
      </c>
      <c r="C52" s="234" t="s">
        <v>1061</v>
      </c>
      <c r="D52" s="229"/>
      <c r="E52" t="s">
        <v>388</v>
      </c>
      <c r="F52" s="313"/>
      <c r="G52" s="234"/>
      <c r="H52" s="234"/>
      <c r="I52" s="313"/>
      <c r="J52" s="247">
        <f>'2.1 Building inputs'!E24*$G$6</f>
        <v>0</v>
      </c>
      <c r="K52" s="247">
        <f>'2.1 Building inputs'!F24*$G$6</f>
        <v>0</v>
      </c>
      <c r="L52" s="247">
        <f>'2.1 Building inputs'!G24*$G$6</f>
        <v>0</v>
      </c>
      <c r="M52" s="247">
        <f>'2.1 Building inputs'!H24*$G$6</f>
        <v>0</v>
      </c>
      <c r="N52" s="247">
        <f>'2.1 Building inputs'!I24*$G$6</f>
        <v>0</v>
      </c>
      <c r="O52" s="247">
        <f>'2.1 Building inputs'!J24*$G$6</f>
        <v>0</v>
      </c>
      <c r="P52" s="247">
        <f>'2.1 Building inputs'!K24*$G$6</f>
        <v>0</v>
      </c>
      <c r="Q52" s="247">
        <f>'2.1 Building inputs'!L24*$G$6</f>
        <v>0</v>
      </c>
      <c r="R52" s="247">
        <f>'2.1 Building inputs'!M24*$G$6</f>
        <v>0</v>
      </c>
      <c r="S52" s="247">
        <f>'2.1 Building inputs'!N24*$G$6</f>
        <v>0</v>
      </c>
      <c r="T52" s="247">
        <f>'2.1 Building inputs'!O24*$G$6</f>
        <v>0</v>
      </c>
      <c r="U52" s="247">
        <f>'2.1 Building inputs'!P24*$G$6</f>
        <v>0</v>
      </c>
      <c r="V52" s="247">
        <f>'2.1 Building inputs'!Q24*$G$6</f>
        <v>0</v>
      </c>
      <c r="W52" s="247">
        <f>'2.1 Building inputs'!R24*$G$6</f>
        <v>0</v>
      </c>
      <c r="X52" s="247">
        <f>'2.1 Building inputs'!S24*$G$6</f>
        <v>0</v>
      </c>
      <c r="Y52" s="247">
        <f>'2.1 Building inputs'!T24*$G$6</f>
        <v>0</v>
      </c>
      <c r="Z52" s="247">
        <f>'2.1 Building inputs'!U24*$G$6</f>
        <v>0</v>
      </c>
      <c r="AA52" s="247">
        <f>'2.1 Building inputs'!V24*$G$6</f>
        <v>0</v>
      </c>
      <c r="AB52" s="247">
        <f>'2.1 Building inputs'!W24*$G$6</f>
        <v>0</v>
      </c>
      <c r="AC52" s="247">
        <f>'2.1 Building inputs'!X24*$G$6</f>
        <v>0</v>
      </c>
      <c r="AD52" s="247">
        <f>'2.1 Building inputs'!Y24*$G$6</f>
        <v>0</v>
      </c>
      <c r="AE52" s="247">
        <f>'2.1 Building inputs'!Z24*$G$6</f>
        <v>0</v>
      </c>
      <c r="AF52" s="247">
        <f>'2.1 Building inputs'!AA24*$G$6</f>
        <v>0</v>
      </c>
      <c r="AG52" s="247">
        <f>'2.1 Building inputs'!AB24*$G$6</f>
        <v>0</v>
      </c>
      <c r="AH52" s="247">
        <f>'2.1 Building inputs'!AC24*$G$6</f>
        <v>0</v>
      </c>
      <c r="AI52" s="247">
        <f>'2.1 Building inputs'!AD24*$G$6</f>
        <v>0</v>
      </c>
      <c r="AJ52" s="247">
        <f>'2.1 Building inputs'!AE24*$G$6</f>
        <v>0</v>
      </c>
      <c r="AK52" s="247">
        <f>'2.1 Building inputs'!AF24*$G$6</f>
        <v>0</v>
      </c>
      <c r="AL52" s="247">
        <f>'2.1 Building inputs'!AG24*$G$6</f>
        <v>0</v>
      </c>
      <c r="AM52" s="247">
        <f>'2.1 Building inputs'!AH24*$G$6</f>
        <v>0</v>
      </c>
      <c r="AN52" s="247">
        <f>'2.1 Building inputs'!AI24*$G$6</f>
        <v>0</v>
      </c>
      <c r="AO52" s="247">
        <f>'2.1 Building inputs'!AJ24*$G$6</f>
        <v>0</v>
      </c>
      <c r="AP52" s="247">
        <f>'2.1 Building inputs'!AK24*$G$6</f>
        <v>0</v>
      </c>
      <c r="AQ52" s="247">
        <f>'2.1 Building inputs'!AL24*$G$6</f>
        <v>0</v>
      </c>
      <c r="AR52" s="247">
        <f>'2.1 Building inputs'!AM24*$G$6</f>
        <v>0</v>
      </c>
      <c r="AS52" s="247">
        <f>'2.1 Building inputs'!AN24*$G$6</f>
        <v>0</v>
      </c>
    </row>
    <row r="53" spans="1:45">
      <c r="A53" s="229">
        <v>6</v>
      </c>
      <c r="B53" s="229" t="s">
        <v>1068</v>
      </c>
      <c r="C53" s="234" t="s">
        <v>1061</v>
      </c>
      <c r="D53" s="229"/>
      <c r="E53" t="s">
        <v>389</v>
      </c>
      <c r="F53" s="313"/>
      <c r="G53" s="234"/>
      <c r="H53" s="234"/>
      <c r="I53" s="313"/>
      <c r="J53" s="247">
        <f>'2.1 Building inputs'!E25*$G$6</f>
        <v>0</v>
      </c>
      <c r="K53" s="247">
        <f>'2.1 Building inputs'!F25*$G$6</f>
        <v>0</v>
      </c>
      <c r="L53" s="247">
        <f>'2.1 Building inputs'!G25*$G$6</f>
        <v>0</v>
      </c>
      <c r="M53" s="247">
        <f>'2.1 Building inputs'!H25*$G$6</f>
        <v>0</v>
      </c>
      <c r="N53" s="247">
        <f>'2.1 Building inputs'!I25*$G$6</f>
        <v>0</v>
      </c>
      <c r="O53" s="247">
        <f>'2.1 Building inputs'!J25*$G$6</f>
        <v>0</v>
      </c>
      <c r="P53" s="247">
        <f>'2.1 Building inputs'!K25*$G$6</f>
        <v>1932.7106121598003</v>
      </c>
      <c r="Q53" s="247">
        <f>'2.1 Building inputs'!L25*$G$6</f>
        <v>3865.4212243196007</v>
      </c>
      <c r="R53" s="247">
        <f>'2.1 Building inputs'!M25*$G$6</f>
        <v>5798.1318364794006</v>
      </c>
      <c r="S53" s="247">
        <f>'2.1 Building inputs'!N25*$G$6</f>
        <v>7730.8424486392014</v>
      </c>
      <c r="T53" s="247">
        <f>'2.1 Building inputs'!O25*$G$6</f>
        <v>9663.5530607990022</v>
      </c>
      <c r="U53" s="247">
        <f>'2.1 Building inputs'!P25*$G$6</f>
        <v>11596.263672958801</v>
      </c>
      <c r="V53" s="247">
        <f>'2.1 Building inputs'!Q25*$G$6</f>
        <v>13528.974285118602</v>
      </c>
      <c r="W53" s="247">
        <f>'2.1 Building inputs'!R25*$G$6</f>
        <v>15461.684897278403</v>
      </c>
      <c r="X53" s="247">
        <f>'2.1 Building inputs'!S25*$G$6</f>
        <v>17394.395509438204</v>
      </c>
      <c r="Y53" s="247">
        <f>'2.1 Building inputs'!T25*$G$6</f>
        <v>17394.395509438204</v>
      </c>
      <c r="Z53" s="247">
        <f>'2.1 Building inputs'!U25*$G$6</f>
        <v>13915.51640755056</v>
      </c>
      <c r="AA53" s="247">
        <f>'2.1 Building inputs'!V25*$G$6</f>
        <v>10436.637305662922</v>
      </c>
      <c r="AB53" s="247">
        <f>'2.1 Building inputs'!W25*$G$6</f>
        <v>6957.7582037752827</v>
      </c>
      <c r="AC53" s="247">
        <f>'2.1 Building inputs'!X25*$G$6</f>
        <v>3478.8791018876414</v>
      </c>
      <c r="AD53" s="247">
        <f>'2.1 Building inputs'!Y25*$G$6</f>
        <v>1.2984223795970972E-12</v>
      </c>
      <c r="AE53" s="247">
        <f>'2.1 Building inputs'!Z25*$G$6</f>
        <v>0</v>
      </c>
      <c r="AF53" s="247">
        <f>'2.1 Building inputs'!AA25*$G$6</f>
        <v>0</v>
      </c>
      <c r="AG53" s="247">
        <f>'2.1 Building inputs'!AB25*$G$6</f>
        <v>0</v>
      </c>
      <c r="AH53" s="247">
        <f>'2.1 Building inputs'!AC25*$G$6</f>
        <v>0</v>
      </c>
      <c r="AI53" s="247">
        <f>'2.1 Building inputs'!AD25*$G$6</f>
        <v>0</v>
      </c>
      <c r="AJ53" s="247">
        <f>'2.1 Building inputs'!AE25*$G$6</f>
        <v>0</v>
      </c>
      <c r="AK53" s="247">
        <f>'2.1 Building inputs'!AF25*$G$6</f>
        <v>0</v>
      </c>
      <c r="AL53" s="247">
        <f>'2.1 Building inputs'!AG25*$G$6</f>
        <v>0</v>
      </c>
      <c r="AM53" s="247">
        <f>'2.1 Building inputs'!AH25*$G$6</f>
        <v>0</v>
      </c>
      <c r="AN53" s="247">
        <f>'2.1 Building inputs'!AI25*$G$6</f>
        <v>0</v>
      </c>
      <c r="AO53" s="247">
        <f>'2.1 Building inputs'!AJ25*$G$6</f>
        <v>0</v>
      </c>
      <c r="AP53" s="247">
        <f>'2.1 Building inputs'!AK25*$G$6</f>
        <v>0</v>
      </c>
      <c r="AQ53" s="247">
        <f>'2.1 Building inputs'!AL25*$G$6</f>
        <v>0</v>
      </c>
      <c r="AR53" s="247">
        <f>'2.1 Building inputs'!AM25*$G$6</f>
        <v>0</v>
      </c>
      <c r="AS53" s="247">
        <f>'2.1 Building inputs'!AN25*$G$6</f>
        <v>0</v>
      </c>
    </row>
    <row r="54" spans="1:45">
      <c r="A54" s="229">
        <v>7</v>
      </c>
      <c r="B54" s="229" t="s">
        <v>1069</v>
      </c>
      <c r="C54" s="234" t="s">
        <v>1061</v>
      </c>
      <c r="D54" s="229"/>
      <c r="E54" t="s">
        <v>390</v>
      </c>
      <c r="F54" s="313"/>
      <c r="G54" s="234"/>
      <c r="H54" s="234"/>
      <c r="I54" s="313"/>
      <c r="J54" s="247">
        <f>'2.1 Building inputs'!E26*$G$6</f>
        <v>0</v>
      </c>
      <c r="K54" s="247">
        <f>'2.1 Building inputs'!F26*$G$6</f>
        <v>0</v>
      </c>
      <c r="L54" s="247">
        <f>'2.1 Building inputs'!G26*$G$6</f>
        <v>0</v>
      </c>
      <c r="M54" s="247">
        <f>'2.1 Building inputs'!H26*$G$6</f>
        <v>0</v>
      </c>
      <c r="N54" s="247">
        <f>'2.1 Building inputs'!I26*$G$6</f>
        <v>0</v>
      </c>
      <c r="O54" s="247">
        <f>'2.1 Building inputs'!J26*$G$6</f>
        <v>0</v>
      </c>
      <c r="P54" s="247">
        <f>'2.1 Building inputs'!K26*$G$6</f>
        <v>0</v>
      </c>
      <c r="Q54" s="247">
        <f>'2.1 Building inputs'!L26*$G$6</f>
        <v>0</v>
      </c>
      <c r="R54" s="247">
        <f>'2.1 Building inputs'!M26*$G$6</f>
        <v>0</v>
      </c>
      <c r="S54" s="247">
        <f>'2.1 Building inputs'!N26*$G$6</f>
        <v>0</v>
      </c>
      <c r="T54" s="247">
        <f>'2.1 Building inputs'!O26*$G$6</f>
        <v>181.90217526209884</v>
      </c>
      <c r="U54" s="247">
        <f>'2.1 Building inputs'!P26*$G$6</f>
        <v>363.80435052419767</v>
      </c>
      <c r="V54" s="247">
        <f>'2.1 Building inputs'!Q26*$G$6</f>
        <v>545.70652578629654</v>
      </c>
      <c r="W54" s="247">
        <f>'2.1 Building inputs'!R26*$G$6</f>
        <v>727.60870104839535</v>
      </c>
      <c r="X54" s="247">
        <f>'2.1 Building inputs'!S26*$G$6</f>
        <v>909.51087631049427</v>
      </c>
      <c r="Y54" s="247">
        <f>'2.1 Building inputs'!T26*$G$6</f>
        <v>1091.4130515725931</v>
      </c>
      <c r="Z54" s="247">
        <f>'2.1 Building inputs'!U26*$G$6</f>
        <v>1273.3152268346919</v>
      </c>
      <c r="AA54" s="247">
        <f>'2.1 Building inputs'!V26*$G$6</f>
        <v>1455.2174020967907</v>
      </c>
      <c r="AB54" s="247">
        <f>'2.1 Building inputs'!W26*$G$6</f>
        <v>1637.1195773588897</v>
      </c>
      <c r="AC54" s="247">
        <f>'2.1 Building inputs'!X26*$G$6</f>
        <v>1819.0217526209885</v>
      </c>
      <c r="AD54" s="247">
        <f>'2.1 Building inputs'!Y26*$G$6</f>
        <v>1819.0217526209885</v>
      </c>
      <c r="AE54" s="247">
        <f>'2.1 Building inputs'!Z26*$G$6</f>
        <v>1819.0217526209885</v>
      </c>
      <c r="AF54" s="247">
        <f>'2.1 Building inputs'!AA26*$G$6</f>
        <v>1819.0217526209885</v>
      </c>
      <c r="AG54" s="247">
        <f>'2.1 Building inputs'!AB26*$G$6</f>
        <v>0</v>
      </c>
      <c r="AH54" s="247">
        <f>'2.1 Building inputs'!AC26*$G$6</f>
        <v>0</v>
      </c>
      <c r="AI54" s="247">
        <f>'2.1 Building inputs'!AD26*$G$6</f>
        <v>0</v>
      </c>
      <c r="AJ54" s="247">
        <f>'2.1 Building inputs'!AE26*$G$6</f>
        <v>0</v>
      </c>
      <c r="AK54" s="247">
        <f>'2.1 Building inputs'!AF26*$G$6</f>
        <v>0</v>
      </c>
      <c r="AL54" s="247">
        <f>'2.1 Building inputs'!AG26*$G$6</f>
        <v>0</v>
      </c>
      <c r="AM54" s="247">
        <f>'2.1 Building inputs'!AH26*$G$6</f>
        <v>0</v>
      </c>
      <c r="AN54" s="247">
        <f>'2.1 Building inputs'!AI26*$G$6</f>
        <v>0</v>
      </c>
      <c r="AO54" s="247">
        <f>'2.1 Building inputs'!AJ26*$G$6</f>
        <v>0</v>
      </c>
      <c r="AP54" s="247">
        <f>'2.1 Building inputs'!AK26*$G$6</f>
        <v>0</v>
      </c>
      <c r="AQ54" s="247">
        <f>'2.1 Building inputs'!AL26*$G$6</f>
        <v>0</v>
      </c>
      <c r="AR54" s="247">
        <f>'2.1 Building inputs'!AM26*$G$6</f>
        <v>0</v>
      </c>
      <c r="AS54" s="247">
        <f>'2.1 Building inputs'!AN26*$G$6</f>
        <v>0</v>
      </c>
    </row>
    <row r="55" spans="1:45">
      <c r="A55" s="229">
        <v>8</v>
      </c>
      <c r="B55" s="229" t="s">
        <v>1070</v>
      </c>
      <c r="C55" s="234" t="s">
        <v>1061</v>
      </c>
      <c r="D55" s="229"/>
      <c r="E55" t="s">
        <v>391</v>
      </c>
      <c r="F55" s="313"/>
      <c r="G55" s="234"/>
      <c r="H55" s="234"/>
      <c r="I55" s="313"/>
      <c r="J55" s="247">
        <f>'2.1 Building inputs'!E27*$G$6</f>
        <v>0</v>
      </c>
      <c r="K55" s="247">
        <f>'2.1 Building inputs'!F27*$G$6</f>
        <v>0</v>
      </c>
      <c r="L55" s="247">
        <f>'2.1 Building inputs'!G27*$G$6</f>
        <v>0</v>
      </c>
      <c r="M55" s="247">
        <f>'2.1 Building inputs'!H27*$G$6</f>
        <v>0</v>
      </c>
      <c r="N55" s="247">
        <f>'2.1 Building inputs'!I27*$G$6</f>
        <v>0</v>
      </c>
      <c r="O55" s="247">
        <f>'2.1 Building inputs'!J27*$G$6</f>
        <v>2872.0257906031661</v>
      </c>
      <c r="P55" s="247">
        <f>'2.1 Building inputs'!K27*$G$6</f>
        <v>2872.0257906031661</v>
      </c>
      <c r="Q55" s="247">
        <f>'2.1 Building inputs'!L27*$G$6</f>
        <v>2872.0257906031661</v>
      </c>
      <c r="R55" s="247">
        <f>'2.1 Building inputs'!M27*$G$6</f>
        <v>2872.0257906031661</v>
      </c>
      <c r="S55" s="247">
        <f>'2.1 Building inputs'!N27*$G$6</f>
        <v>2872.0257906031661</v>
      </c>
      <c r="T55" s="247">
        <f>'2.1 Building inputs'!O27*$G$6</f>
        <v>2872.0257906031661</v>
      </c>
      <c r="U55" s="247">
        <f>'2.1 Building inputs'!P27*$G$6</f>
        <v>2872.0257906031661</v>
      </c>
      <c r="V55" s="247">
        <f>'2.1 Building inputs'!Q27*$G$6</f>
        <v>2872.0257906031661</v>
      </c>
      <c r="W55" s="247">
        <f>'2.1 Building inputs'!R27*$G$6</f>
        <v>0</v>
      </c>
      <c r="X55" s="247">
        <f>'2.1 Building inputs'!S27*$G$6</f>
        <v>0</v>
      </c>
      <c r="Y55" s="247">
        <f>'2.1 Building inputs'!T27*$G$6</f>
        <v>0</v>
      </c>
      <c r="Z55" s="247">
        <f>'2.1 Building inputs'!U27*$G$6</f>
        <v>0</v>
      </c>
      <c r="AA55" s="247">
        <f>'2.1 Building inputs'!V27*$G$6</f>
        <v>0</v>
      </c>
      <c r="AB55" s="247">
        <f>'2.1 Building inputs'!W27*$G$6</f>
        <v>0</v>
      </c>
      <c r="AC55" s="247">
        <f>'2.1 Building inputs'!X27*$G$6</f>
        <v>0</v>
      </c>
      <c r="AD55" s="247">
        <f>'2.1 Building inputs'!Y27*$G$6</f>
        <v>0</v>
      </c>
      <c r="AE55" s="247">
        <f>'2.1 Building inputs'!Z27*$G$6</f>
        <v>0</v>
      </c>
      <c r="AF55" s="247">
        <f>'2.1 Building inputs'!AA27*$G$6</f>
        <v>0</v>
      </c>
      <c r="AG55" s="247">
        <f>'2.1 Building inputs'!AB27*$G$6</f>
        <v>0</v>
      </c>
      <c r="AH55" s="247">
        <f>'2.1 Building inputs'!AC27*$G$6</f>
        <v>0</v>
      </c>
      <c r="AI55" s="247">
        <f>'2.1 Building inputs'!AD27*$G$6</f>
        <v>0</v>
      </c>
      <c r="AJ55" s="247">
        <f>'2.1 Building inputs'!AE27*$G$6</f>
        <v>0</v>
      </c>
      <c r="AK55" s="247">
        <f>'2.1 Building inputs'!AF27*$G$6</f>
        <v>0</v>
      </c>
      <c r="AL55" s="247">
        <f>'2.1 Building inputs'!AG27*$G$6</f>
        <v>0</v>
      </c>
      <c r="AM55" s="247">
        <f>'2.1 Building inputs'!AH27*$G$6</f>
        <v>0</v>
      </c>
      <c r="AN55" s="247">
        <f>'2.1 Building inputs'!AI27*$G$6</f>
        <v>0</v>
      </c>
      <c r="AO55" s="247">
        <f>'2.1 Building inputs'!AJ27*$G$6</f>
        <v>0</v>
      </c>
      <c r="AP55" s="247">
        <f>'2.1 Building inputs'!AK27*$G$6</f>
        <v>0</v>
      </c>
      <c r="AQ55" s="247">
        <f>'2.1 Building inputs'!AL27*$G$6</f>
        <v>0</v>
      </c>
      <c r="AR55" s="247">
        <f>'2.1 Building inputs'!AM27*$G$6</f>
        <v>0</v>
      </c>
      <c r="AS55" s="247">
        <f>'2.1 Building inputs'!AN27*$G$6</f>
        <v>0</v>
      </c>
    </row>
    <row r="56" spans="1:45">
      <c r="A56" s="229">
        <v>9</v>
      </c>
      <c r="B56" s="229" t="s">
        <v>1071</v>
      </c>
      <c r="C56" s="234" t="s">
        <v>1061</v>
      </c>
      <c r="D56" s="229"/>
      <c r="E56" t="s">
        <v>392</v>
      </c>
      <c r="F56" s="313"/>
      <c r="G56" s="234"/>
      <c r="H56" s="234"/>
      <c r="I56" s="313"/>
      <c r="J56" s="247">
        <f>'2.1 Building inputs'!E28*$G$6</f>
        <v>0</v>
      </c>
      <c r="K56" s="247">
        <f>'2.1 Building inputs'!F28*$G$6</f>
        <v>0</v>
      </c>
      <c r="L56" s="247">
        <f>'2.1 Building inputs'!G28*$G$6</f>
        <v>0</v>
      </c>
      <c r="M56" s="247">
        <f>'2.1 Building inputs'!H28*$G$6</f>
        <v>0</v>
      </c>
      <c r="N56" s="247">
        <f>'2.1 Building inputs'!I28*$G$6</f>
        <v>0</v>
      </c>
      <c r="O56" s="247">
        <f>'2.1 Building inputs'!J28*$G$6</f>
        <v>0</v>
      </c>
      <c r="P56" s="247">
        <f>'2.1 Building inputs'!K28*$G$6</f>
        <v>0</v>
      </c>
      <c r="Q56" s="247">
        <f>'2.1 Building inputs'!L28*$G$6</f>
        <v>0</v>
      </c>
      <c r="R56" s="247">
        <f>'2.1 Building inputs'!M28*$G$6</f>
        <v>36709.734878365314</v>
      </c>
      <c r="S56" s="247">
        <f>'2.1 Building inputs'!N28*$G$6</f>
        <v>36709.734878365314</v>
      </c>
      <c r="T56" s="247">
        <f>'2.1 Building inputs'!O28*$G$6</f>
        <v>36709.734878365314</v>
      </c>
      <c r="U56" s="247">
        <f>'2.1 Building inputs'!P28*$G$6</f>
        <v>36709.734878365314</v>
      </c>
      <c r="V56" s="247">
        <f>'2.1 Building inputs'!Q28*$G$6</f>
        <v>36709.734878365314</v>
      </c>
      <c r="W56" s="247">
        <f>'2.1 Building inputs'!R28*$G$6</f>
        <v>0</v>
      </c>
      <c r="X56" s="247">
        <f>'2.1 Building inputs'!S28*$G$6</f>
        <v>0</v>
      </c>
      <c r="Y56" s="247">
        <f>'2.1 Building inputs'!T28*$G$6</f>
        <v>0</v>
      </c>
      <c r="Z56" s="247">
        <f>'2.1 Building inputs'!U28*$G$6</f>
        <v>0</v>
      </c>
      <c r="AA56" s="247">
        <f>'2.1 Building inputs'!V28*$G$6</f>
        <v>0</v>
      </c>
      <c r="AB56" s="247">
        <f>'2.1 Building inputs'!W28*$G$6</f>
        <v>0</v>
      </c>
      <c r="AC56" s="247">
        <f>'2.1 Building inputs'!X28*$G$6</f>
        <v>0</v>
      </c>
      <c r="AD56" s="247">
        <f>'2.1 Building inputs'!Y28*$G$6</f>
        <v>0</v>
      </c>
      <c r="AE56" s="247">
        <f>'2.1 Building inputs'!Z28*$G$6</f>
        <v>0</v>
      </c>
      <c r="AF56" s="247">
        <f>'2.1 Building inputs'!AA28*$G$6</f>
        <v>0</v>
      </c>
      <c r="AG56" s="247">
        <f>'2.1 Building inputs'!AB28*$G$6</f>
        <v>0</v>
      </c>
      <c r="AH56" s="247">
        <f>'2.1 Building inputs'!AC28*$G$6</f>
        <v>0</v>
      </c>
      <c r="AI56" s="247">
        <f>'2.1 Building inputs'!AD28*$G$6</f>
        <v>0</v>
      </c>
      <c r="AJ56" s="247">
        <f>'2.1 Building inputs'!AE28*$G$6</f>
        <v>0</v>
      </c>
      <c r="AK56" s="247">
        <f>'2.1 Building inputs'!AF28*$G$6</f>
        <v>0</v>
      </c>
      <c r="AL56" s="247">
        <f>'2.1 Building inputs'!AG28*$G$6</f>
        <v>0</v>
      </c>
      <c r="AM56" s="247">
        <f>'2.1 Building inputs'!AH28*$G$6</f>
        <v>0</v>
      </c>
      <c r="AN56" s="247">
        <f>'2.1 Building inputs'!AI28*$G$6</f>
        <v>0</v>
      </c>
      <c r="AO56" s="247">
        <f>'2.1 Building inputs'!AJ28*$G$6</f>
        <v>0</v>
      </c>
      <c r="AP56" s="247">
        <f>'2.1 Building inputs'!AK28*$G$6</f>
        <v>0</v>
      </c>
      <c r="AQ56" s="247">
        <f>'2.1 Building inputs'!AL28*$G$6</f>
        <v>0</v>
      </c>
      <c r="AR56" s="247">
        <f>'2.1 Building inputs'!AM28*$G$6</f>
        <v>0</v>
      </c>
      <c r="AS56" s="247">
        <f>'2.1 Building inputs'!AN28*$G$6</f>
        <v>0</v>
      </c>
    </row>
    <row r="57" spans="1:45">
      <c r="A57" s="229">
        <v>10</v>
      </c>
      <c r="B57" s="229" t="s">
        <v>1072</v>
      </c>
      <c r="C57" s="234" t="s">
        <v>1061</v>
      </c>
      <c r="D57" s="229"/>
      <c r="E57" t="s">
        <v>393</v>
      </c>
      <c r="F57" s="313"/>
      <c r="G57" s="234"/>
      <c r="H57" s="234"/>
      <c r="I57" s="313"/>
      <c r="J57" s="247">
        <f>'2.1 Building inputs'!E29*$G$6</f>
        <v>0</v>
      </c>
      <c r="K57" s="247">
        <f>'2.1 Building inputs'!F29*$G$6</f>
        <v>0</v>
      </c>
      <c r="L57" s="247">
        <f>'2.1 Building inputs'!G29*$G$6</f>
        <v>0</v>
      </c>
      <c r="M57" s="247">
        <f>'2.1 Building inputs'!H29*$G$6</f>
        <v>0</v>
      </c>
      <c r="N57" s="247">
        <f>'2.1 Building inputs'!I29*$G$6</f>
        <v>1505.999777676308</v>
      </c>
      <c r="O57" s="247">
        <f>'2.1 Building inputs'!J29*$G$6</f>
        <v>3011.999555352616</v>
      </c>
      <c r="P57" s="247">
        <f>'2.1 Building inputs'!K29*$G$6</f>
        <v>4517.9993330289244</v>
      </c>
      <c r="Q57" s="247">
        <f>'2.1 Building inputs'!L29*$G$6</f>
        <v>6023.9991107052319</v>
      </c>
      <c r="R57" s="247">
        <f>'2.1 Building inputs'!M29*$G$6</f>
        <v>7529.9988883815404</v>
      </c>
      <c r="S57" s="247">
        <f>'2.1 Building inputs'!N29*$G$6</f>
        <v>9035.9986660578488</v>
      </c>
      <c r="T57" s="247">
        <f>'2.1 Building inputs'!O29*$G$6</f>
        <v>10541.998443734155</v>
      </c>
      <c r="U57" s="247">
        <f>'2.1 Building inputs'!P29*$G$6</f>
        <v>12047.998221410464</v>
      </c>
      <c r="V57" s="247">
        <f>'2.1 Building inputs'!Q29*$G$6</f>
        <v>13553.997999086771</v>
      </c>
      <c r="W57" s="247">
        <f>'2.1 Building inputs'!R29*$G$6</f>
        <v>15059.997776763081</v>
      </c>
      <c r="X57" s="247">
        <f>'2.1 Building inputs'!S29*$G$6</f>
        <v>16565.997554439386</v>
      </c>
      <c r="Y57" s="247">
        <f>'2.1 Building inputs'!T29*$G$6</f>
        <v>16565.997554439386</v>
      </c>
      <c r="Z57" s="247">
        <f>'2.1 Building inputs'!U29*$G$6</f>
        <v>13252.798043551511</v>
      </c>
      <c r="AA57" s="247">
        <f>'2.1 Building inputs'!V29*$G$6</f>
        <v>9939.598532663631</v>
      </c>
      <c r="AB57" s="247">
        <f>'2.1 Building inputs'!W29*$G$6</f>
        <v>6626.3990217757537</v>
      </c>
      <c r="AC57" s="247">
        <f>'2.1 Building inputs'!X29*$G$6</f>
        <v>3313.1995108878764</v>
      </c>
      <c r="AD57" s="247">
        <f>'2.1 Building inputs'!Y29*$G$6</f>
        <v>-2.5968447591941945E-12</v>
      </c>
      <c r="AE57" s="247">
        <f>'2.1 Building inputs'!Z29*$G$6</f>
        <v>0</v>
      </c>
      <c r="AF57" s="247">
        <f>'2.1 Building inputs'!AA29*$G$6</f>
        <v>0</v>
      </c>
      <c r="AG57" s="247">
        <f>'2.1 Building inputs'!AB29*$G$6</f>
        <v>0</v>
      </c>
      <c r="AH57" s="247">
        <f>'2.1 Building inputs'!AC29*$G$6</f>
        <v>0</v>
      </c>
      <c r="AI57" s="247">
        <f>'2.1 Building inputs'!AD29*$G$6</f>
        <v>0</v>
      </c>
      <c r="AJ57" s="247">
        <f>'2.1 Building inputs'!AE29*$G$6</f>
        <v>0</v>
      </c>
      <c r="AK57" s="247">
        <f>'2.1 Building inputs'!AF29*$G$6</f>
        <v>0</v>
      </c>
      <c r="AL57" s="247">
        <f>'2.1 Building inputs'!AG29*$G$6</f>
        <v>0</v>
      </c>
      <c r="AM57" s="247">
        <f>'2.1 Building inputs'!AH29*$G$6</f>
        <v>0</v>
      </c>
      <c r="AN57" s="247">
        <f>'2.1 Building inputs'!AI29*$G$6</f>
        <v>0</v>
      </c>
      <c r="AO57" s="247">
        <f>'2.1 Building inputs'!AJ29*$G$6</f>
        <v>0</v>
      </c>
      <c r="AP57" s="247">
        <f>'2.1 Building inputs'!AK29*$G$6</f>
        <v>0</v>
      </c>
      <c r="AQ57" s="247">
        <f>'2.1 Building inputs'!AL29*$G$6</f>
        <v>0</v>
      </c>
      <c r="AR57" s="247">
        <f>'2.1 Building inputs'!AM29*$G$6</f>
        <v>0</v>
      </c>
      <c r="AS57" s="247">
        <f>'2.1 Building inputs'!AN29*$G$6</f>
        <v>0</v>
      </c>
    </row>
    <row r="58" spans="1:45">
      <c r="A58" s="229">
        <v>11</v>
      </c>
      <c r="B58" s="229" t="s">
        <v>1073</v>
      </c>
      <c r="C58" s="234" t="s">
        <v>1061</v>
      </c>
      <c r="D58" s="229"/>
      <c r="E58" t="s">
        <v>394</v>
      </c>
      <c r="F58" s="313"/>
      <c r="G58" s="234"/>
      <c r="H58" s="234"/>
      <c r="I58" s="313"/>
      <c r="J58" s="247">
        <f>'2.1 Building inputs'!E30*$G$6</f>
        <v>0</v>
      </c>
      <c r="K58" s="247">
        <f>'2.1 Building inputs'!F30*$G$6</f>
        <v>0</v>
      </c>
      <c r="L58" s="247">
        <f>'2.1 Building inputs'!G30*$G$6</f>
        <v>0</v>
      </c>
      <c r="M58" s="247">
        <f>'2.1 Building inputs'!H30*$G$6</f>
        <v>0</v>
      </c>
      <c r="N58" s="247">
        <f>'2.1 Building inputs'!I30*$G$6</f>
        <v>0</v>
      </c>
      <c r="O58" s="247">
        <f>'2.1 Building inputs'!J30*$G$6</f>
        <v>0</v>
      </c>
      <c r="P58" s="247">
        <f>'2.1 Building inputs'!K30*$G$6</f>
        <v>0</v>
      </c>
      <c r="Q58" s="247">
        <f>'2.1 Building inputs'!L30*$G$6</f>
        <v>0</v>
      </c>
      <c r="R58" s="247">
        <f>'2.1 Building inputs'!M30*$G$6</f>
        <v>0</v>
      </c>
      <c r="S58" s="247">
        <f>'2.1 Building inputs'!N30*$G$6</f>
        <v>0</v>
      </c>
      <c r="T58" s="247">
        <f>'2.1 Building inputs'!O30*$G$6</f>
        <v>11012.920463509594</v>
      </c>
      <c r="U58" s="247">
        <f>'2.1 Building inputs'!P30*$G$6</f>
        <v>11012.920463509594</v>
      </c>
      <c r="V58" s="247">
        <f>'2.1 Building inputs'!Q30*$G$6</f>
        <v>11012.920463509594</v>
      </c>
      <c r="W58" s="247">
        <f>'2.1 Building inputs'!R30*$G$6</f>
        <v>11012.920463509594</v>
      </c>
      <c r="X58" s="247">
        <f>'2.1 Building inputs'!S30*$G$6</f>
        <v>11012.920463509594</v>
      </c>
      <c r="Y58" s="247">
        <f>'2.1 Building inputs'!T30*$G$6</f>
        <v>11012.920463509594</v>
      </c>
      <c r="Z58" s="247">
        <f>'2.1 Building inputs'!U30*$G$6</f>
        <v>11012.920463509594</v>
      </c>
      <c r="AA58" s="247">
        <f>'2.1 Building inputs'!V30*$G$6</f>
        <v>11012.920463509594</v>
      </c>
      <c r="AB58" s="247">
        <f>'2.1 Building inputs'!W30*$G$6</f>
        <v>11012.920463509594</v>
      </c>
      <c r="AC58" s="247">
        <f>'2.1 Building inputs'!X30*$G$6</f>
        <v>11012.920463509594</v>
      </c>
      <c r="AD58" s="247">
        <f>'2.1 Building inputs'!Y30*$G$6</f>
        <v>11012.920463509594</v>
      </c>
      <c r="AE58" s="247">
        <f>'2.1 Building inputs'!Z30*$G$6</f>
        <v>0</v>
      </c>
      <c r="AF58" s="247">
        <f>'2.1 Building inputs'!AA30*$G$6</f>
        <v>0</v>
      </c>
      <c r="AG58" s="247">
        <f>'2.1 Building inputs'!AB30*$G$6</f>
        <v>0</v>
      </c>
      <c r="AH58" s="247">
        <f>'2.1 Building inputs'!AC30*$G$6</f>
        <v>0</v>
      </c>
      <c r="AI58" s="247">
        <f>'2.1 Building inputs'!AD30*$G$6</f>
        <v>0</v>
      </c>
      <c r="AJ58" s="247">
        <f>'2.1 Building inputs'!AE30*$G$6</f>
        <v>0</v>
      </c>
      <c r="AK58" s="247">
        <f>'2.1 Building inputs'!AF30*$G$6</f>
        <v>0</v>
      </c>
      <c r="AL58" s="247">
        <f>'2.1 Building inputs'!AG30*$G$6</f>
        <v>0</v>
      </c>
      <c r="AM58" s="247">
        <f>'2.1 Building inputs'!AH30*$G$6</f>
        <v>0</v>
      </c>
      <c r="AN58" s="247">
        <f>'2.1 Building inputs'!AI30*$G$6</f>
        <v>0</v>
      </c>
      <c r="AO58" s="247">
        <f>'2.1 Building inputs'!AJ30*$G$6</f>
        <v>0</v>
      </c>
      <c r="AP58" s="247">
        <f>'2.1 Building inputs'!AK30*$G$6</f>
        <v>0</v>
      </c>
      <c r="AQ58" s="247">
        <f>'2.1 Building inputs'!AL30*$G$6</f>
        <v>0</v>
      </c>
      <c r="AR58" s="247">
        <f>'2.1 Building inputs'!AM30*$G$6</f>
        <v>0</v>
      </c>
      <c r="AS58" s="247">
        <f>'2.1 Building inputs'!AN30*$G$6</f>
        <v>0</v>
      </c>
    </row>
    <row r="59" spans="1:45">
      <c r="A59" s="229">
        <v>12</v>
      </c>
      <c r="B59" s="229" t="s">
        <v>1074</v>
      </c>
      <c r="C59" s="234" t="s">
        <v>1061</v>
      </c>
      <c r="D59" s="229"/>
      <c r="E59" t="s">
        <v>395</v>
      </c>
      <c r="F59" s="313"/>
      <c r="G59" s="234"/>
      <c r="H59" s="234"/>
      <c r="I59" s="313"/>
      <c r="J59" s="247">
        <f>'2.1 Building inputs'!E31*$G$6</f>
        <v>0</v>
      </c>
      <c r="K59" s="247">
        <f>'2.1 Building inputs'!F31*$G$6</f>
        <v>0</v>
      </c>
      <c r="L59" s="247">
        <f>'2.1 Building inputs'!G31*$G$6</f>
        <v>0</v>
      </c>
      <c r="M59" s="247">
        <f>'2.1 Building inputs'!H31*$G$6</f>
        <v>0</v>
      </c>
      <c r="N59" s="247">
        <f>'2.1 Building inputs'!I31*$G$6</f>
        <v>0</v>
      </c>
      <c r="O59" s="247">
        <f>'2.1 Building inputs'!J31*$G$6</f>
        <v>0</v>
      </c>
      <c r="P59" s="247">
        <f>'2.1 Building inputs'!K31*$G$6</f>
        <v>0</v>
      </c>
      <c r="Q59" s="247">
        <f>'2.1 Building inputs'!L31*$G$6</f>
        <v>0</v>
      </c>
      <c r="R59" s="247">
        <f>'2.1 Building inputs'!M31*$G$6</f>
        <v>0</v>
      </c>
      <c r="S59" s="247">
        <f>'2.1 Building inputs'!N31*$G$6</f>
        <v>0</v>
      </c>
      <c r="T59" s="247">
        <f>'2.1 Building inputs'!O31*$G$6</f>
        <v>602.19325500747027</v>
      </c>
      <c r="U59" s="247">
        <f>'2.1 Building inputs'!P31*$G$6</f>
        <v>1204.3865100149405</v>
      </c>
      <c r="V59" s="247">
        <f>'2.1 Building inputs'!Q31*$G$6</f>
        <v>1806.5797650224108</v>
      </c>
      <c r="W59" s="247">
        <f>'2.1 Building inputs'!R31*$G$6</f>
        <v>2408.7730200298811</v>
      </c>
      <c r="X59" s="247">
        <f>'2.1 Building inputs'!S31*$G$6</f>
        <v>3010.9662750373509</v>
      </c>
      <c r="Y59" s="247">
        <f>'2.1 Building inputs'!T31*$G$6</f>
        <v>3613.1595300448216</v>
      </c>
      <c r="Z59" s="247">
        <f>'2.1 Building inputs'!U31*$G$6</f>
        <v>4215.3527850522914</v>
      </c>
      <c r="AA59" s="247">
        <f>'2.1 Building inputs'!V31*$G$6</f>
        <v>4817.5460400597622</v>
      </c>
      <c r="AB59" s="247">
        <f>'2.1 Building inputs'!W31*$G$6</f>
        <v>5419.739295067232</v>
      </c>
      <c r="AC59" s="247">
        <f>'2.1 Building inputs'!X31*$G$6</f>
        <v>6021.9325500747018</v>
      </c>
      <c r="AD59" s="247">
        <f>'2.1 Building inputs'!Y31*$G$6</f>
        <v>6021.9325500747018</v>
      </c>
      <c r="AE59" s="247">
        <f>'2.1 Building inputs'!Z31*$G$6</f>
        <v>6021.9325500747018</v>
      </c>
      <c r="AF59" s="247">
        <f>'2.1 Building inputs'!AA31*$G$6</f>
        <v>6021.9325500747018</v>
      </c>
      <c r="AG59" s="247">
        <f>'2.1 Building inputs'!AB31*$G$6</f>
        <v>0</v>
      </c>
      <c r="AH59" s="247">
        <f>'2.1 Building inputs'!AC31*$G$6</f>
        <v>0</v>
      </c>
      <c r="AI59" s="247">
        <f>'2.1 Building inputs'!AD31*$G$6</f>
        <v>0</v>
      </c>
      <c r="AJ59" s="247">
        <f>'2.1 Building inputs'!AE31*$G$6</f>
        <v>0</v>
      </c>
      <c r="AK59" s="247">
        <f>'2.1 Building inputs'!AF31*$G$6</f>
        <v>0</v>
      </c>
      <c r="AL59" s="247">
        <f>'2.1 Building inputs'!AG31*$G$6</f>
        <v>0</v>
      </c>
      <c r="AM59" s="247">
        <f>'2.1 Building inputs'!AH31*$G$6</f>
        <v>0</v>
      </c>
      <c r="AN59" s="247">
        <f>'2.1 Building inputs'!AI31*$G$6</f>
        <v>0</v>
      </c>
      <c r="AO59" s="247">
        <f>'2.1 Building inputs'!AJ31*$G$6</f>
        <v>0</v>
      </c>
      <c r="AP59" s="247">
        <f>'2.1 Building inputs'!AK31*$G$6</f>
        <v>0</v>
      </c>
      <c r="AQ59" s="247">
        <f>'2.1 Building inputs'!AL31*$G$6</f>
        <v>0</v>
      </c>
      <c r="AR59" s="247">
        <f>'2.1 Building inputs'!AM31*$G$6</f>
        <v>0</v>
      </c>
      <c r="AS59" s="247">
        <f>'2.1 Building inputs'!AN31*$G$6</f>
        <v>0</v>
      </c>
    </row>
    <row r="60" spans="1:45">
      <c r="A60" s="229">
        <v>13</v>
      </c>
      <c r="B60" s="229" t="s">
        <v>1075</v>
      </c>
      <c r="C60" s="234" t="s">
        <v>1061</v>
      </c>
      <c r="D60" s="229"/>
      <c r="E60" t="s">
        <v>396</v>
      </c>
      <c r="F60" s="313"/>
      <c r="G60" s="234"/>
      <c r="H60" s="234"/>
      <c r="I60" s="313"/>
      <c r="J60" s="247">
        <f>'2.1 Building inputs'!E32*$G$6</f>
        <v>0</v>
      </c>
      <c r="K60" s="247">
        <f>'2.1 Building inputs'!F32*$G$6</f>
        <v>0</v>
      </c>
      <c r="L60" s="247">
        <f>'2.1 Building inputs'!G32*$G$6</f>
        <v>0</v>
      </c>
      <c r="M60" s="247">
        <f>'2.1 Building inputs'!H32*$G$6</f>
        <v>0</v>
      </c>
      <c r="N60" s="247">
        <f>'2.1 Building inputs'!I32*$G$6</f>
        <v>0</v>
      </c>
      <c r="O60" s="247">
        <f>'2.1 Building inputs'!J32*$G$6</f>
        <v>0</v>
      </c>
      <c r="P60" s="247">
        <f>'2.1 Building inputs'!K32*$G$6</f>
        <v>1633.0767415155751</v>
      </c>
      <c r="Q60" s="247">
        <f>'2.1 Building inputs'!L32*$G$6</f>
        <v>3266.1534830311502</v>
      </c>
      <c r="R60" s="247">
        <f>'2.1 Building inputs'!M32*$G$6</f>
        <v>4899.2302245467254</v>
      </c>
      <c r="S60" s="247">
        <f>'2.1 Building inputs'!N32*$G$6</f>
        <v>6532.3069660623005</v>
      </c>
      <c r="T60" s="247">
        <f>'2.1 Building inputs'!O32*$G$6</f>
        <v>8165.3837075778765</v>
      </c>
      <c r="U60" s="247">
        <f>'2.1 Building inputs'!P32*$G$6</f>
        <v>9798.4604490934507</v>
      </c>
      <c r="V60" s="247">
        <f>'2.1 Building inputs'!Q32*$G$6</f>
        <v>11431.537190609028</v>
      </c>
      <c r="W60" s="247">
        <f>'2.1 Building inputs'!R32*$G$6</f>
        <v>13064.613932124601</v>
      </c>
      <c r="X60" s="247">
        <f>'2.1 Building inputs'!S32*$G$6</f>
        <v>14697.690673640178</v>
      </c>
      <c r="Y60" s="247">
        <f>'2.1 Building inputs'!T32*$G$6</f>
        <v>14697.690673640178</v>
      </c>
      <c r="Z60" s="247">
        <f>'2.1 Building inputs'!U32*$G$6</f>
        <v>14697.690673640178</v>
      </c>
      <c r="AA60" s="247">
        <f>'2.1 Building inputs'!V32*$G$6</f>
        <v>14697.690673640178</v>
      </c>
      <c r="AB60" s="247">
        <f>'2.1 Building inputs'!W32*$G$6</f>
        <v>14697.690673640178</v>
      </c>
      <c r="AC60" s="247">
        <f>'2.1 Building inputs'!X32*$G$6</f>
        <v>14697.690673640178</v>
      </c>
      <c r="AD60" s="247">
        <f>'2.1 Building inputs'!Y32*$G$6</f>
        <v>0</v>
      </c>
      <c r="AE60" s="247">
        <f>'2.1 Building inputs'!Z32*$G$6</f>
        <v>0</v>
      </c>
      <c r="AF60" s="247">
        <f>'2.1 Building inputs'!AA32*$G$6</f>
        <v>0</v>
      </c>
      <c r="AG60" s="247">
        <f>'2.1 Building inputs'!AB32*$G$6</f>
        <v>0</v>
      </c>
      <c r="AH60" s="247">
        <f>'2.1 Building inputs'!AC32*$G$6</f>
        <v>0</v>
      </c>
      <c r="AI60" s="247">
        <f>'2.1 Building inputs'!AD32*$G$6</f>
        <v>0</v>
      </c>
      <c r="AJ60" s="247">
        <f>'2.1 Building inputs'!AE32*$G$6</f>
        <v>0</v>
      </c>
      <c r="AK60" s="247">
        <f>'2.1 Building inputs'!AF32*$G$6</f>
        <v>0</v>
      </c>
      <c r="AL60" s="247">
        <f>'2.1 Building inputs'!AG32*$G$6</f>
        <v>0</v>
      </c>
      <c r="AM60" s="247">
        <f>'2.1 Building inputs'!AH32*$G$6</f>
        <v>0</v>
      </c>
      <c r="AN60" s="247">
        <f>'2.1 Building inputs'!AI32*$G$6</f>
        <v>0</v>
      </c>
      <c r="AO60" s="247">
        <f>'2.1 Building inputs'!AJ32*$G$6</f>
        <v>0</v>
      </c>
      <c r="AP60" s="247">
        <f>'2.1 Building inputs'!AK32*$G$6</f>
        <v>0</v>
      </c>
      <c r="AQ60" s="247">
        <f>'2.1 Building inputs'!AL32*$G$6</f>
        <v>0</v>
      </c>
      <c r="AR60" s="247">
        <f>'2.1 Building inputs'!AM32*$G$6</f>
        <v>0</v>
      </c>
      <c r="AS60" s="247">
        <f>'2.1 Building inputs'!AN32*$G$6</f>
        <v>0</v>
      </c>
    </row>
    <row r="61" spans="1:45">
      <c r="A61" s="229" t="s">
        <v>208</v>
      </c>
      <c r="B61" s="229" t="s">
        <v>1076</v>
      </c>
      <c r="C61" s="234" t="s">
        <v>1061</v>
      </c>
      <c r="D61" s="229"/>
      <c r="E61" s="299" t="s">
        <v>1077</v>
      </c>
      <c r="F61" s="313"/>
      <c r="G61" s="234"/>
      <c r="H61" s="234"/>
      <c r="I61" s="313"/>
      <c r="J61" s="313"/>
      <c r="K61" s="313"/>
      <c r="L61" s="313"/>
      <c r="M61" s="313"/>
      <c r="N61" s="313"/>
      <c r="O61" s="313"/>
      <c r="P61" s="313"/>
      <c r="Q61" s="313"/>
      <c r="R61" s="313"/>
      <c r="S61" s="313"/>
      <c r="T61" s="313"/>
      <c r="U61" s="313"/>
      <c r="V61" s="313"/>
      <c r="W61" s="313"/>
      <c r="X61" s="313"/>
      <c r="Y61" s="313"/>
      <c r="Z61" s="313"/>
      <c r="AA61" s="313"/>
      <c r="AB61" s="313"/>
      <c r="AC61" s="313"/>
      <c r="AD61" s="313"/>
      <c r="AE61" s="313"/>
      <c r="AF61" s="313"/>
      <c r="AG61" s="313"/>
      <c r="AH61" s="313"/>
      <c r="AI61" s="313"/>
      <c r="AJ61" s="313"/>
      <c r="AK61" s="313"/>
      <c r="AL61" s="313"/>
      <c r="AM61" s="313"/>
      <c r="AN61" s="313"/>
      <c r="AO61" s="313"/>
      <c r="AP61" s="313"/>
      <c r="AQ61" s="313"/>
      <c r="AR61" s="313"/>
      <c r="AS61" s="313"/>
    </row>
    <row r="62" spans="1:45">
      <c r="A62" s="240"/>
      <c r="B62" s="240"/>
      <c r="C62" s="240"/>
      <c r="D62" s="241" t="s">
        <v>1078</v>
      </c>
      <c r="E62" s="242"/>
      <c r="F62" s="240"/>
      <c r="G62" s="240"/>
      <c r="H62" s="240"/>
      <c r="I62" s="240"/>
      <c r="J62" s="240"/>
      <c r="K62" s="240"/>
      <c r="L62" s="240"/>
      <c r="M62" s="240"/>
      <c r="N62" s="240"/>
      <c r="O62" s="240"/>
      <c r="P62" s="240"/>
      <c r="Q62" s="240"/>
      <c r="R62" s="240"/>
      <c r="S62" s="240"/>
      <c r="T62" s="240"/>
      <c r="U62" s="240"/>
      <c r="V62" s="240"/>
      <c r="W62" s="240"/>
      <c r="X62" s="240"/>
      <c r="Y62" s="240"/>
      <c r="Z62" s="240"/>
      <c r="AA62" s="240"/>
      <c r="AB62" s="240"/>
      <c r="AC62" s="240"/>
      <c r="AD62" s="240"/>
      <c r="AE62" s="240"/>
      <c r="AF62" s="240"/>
      <c r="AG62" s="240"/>
      <c r="AH62" s="240"/>
      <c r="AI62" s="240"/>
      <c r="AJ62" s="240"/>
      <c r="AK62" s="240"/>
      <c r="AL62" s="240"/>
      <c r="AM62" s="240"/>
      <c r="AN62" s="240"/>
      <c r="AO62" s="240"/>
      <c r="AP62" s="240"/>
      <c r="AQ62" s="240"/>
      <c r="AR62" s="240"/>
      <c r="AS62" s="240"/>
    </row>
    <row r="63" spans="1:45">
      <c r="A63" s="229">
        <v>0</v>
      </c>
      <c r="B63" s="229" t="s">
        <v>1079</v>
      </c>
      <c r="C63" s="234" t="s">
        <v>1080</v>
      </c>
      <c r="D63" s="229"/>
      <c r="E63" s="229" t="s">
        <v>1081</v>
      </c>
      <c r="F63" s="313"/>
      <c r="G63" s="234"/>
      <c r="H63" s="234"/>
      <c r="I63" s="313"/>
      <c r="J63" s="229"/>
      <c r="K63" s="229"/>
      <c r="L63" s="229"/>
      <c r="M63" s="229"/>
      <c r="N63" s="229"/>
      <c r="O63" s="229"/>
      <c r="P63" s="229"/>
      <c r="Q63" s="229"/>
      <c r="R63" s="229"/>
      <c r="S63" s="229"/>
      <c r="T63" s="229"/>
      <c r="U63" s="229"/>
      <c r="V63" s="229"/>
      <c r="W63" s="229"/>
      <c r="X63" s="229"/>
      <c r="Y63" s="229"/>
      <c r="Z63" s="229"/>
      <c r="AA63" s="229"/>
      <c r="AB63" s="229"/>
      <c r="AC63" s="229"/>
      <c r="AD63" s="229"/>
      <c r="AE63" s="229"/>
      <c r="AF63" s="229"/>
      <c r="AG63" s="229"/>
      <c r="AH63" s="229"/>
      <c r="AI63" s="229"/>
      <c r="AJ63" s="229"/>
      <c r="AK63" s="229"/>
      <c r="AL63" s="229"/>
      <c r="AM63" s="229"/>
      <c r="AN63" s="229"/>
      <c r="AO63" s="229"/>
      <c r="AP63" s="229"/>
      <c r="AQ63" s="229"/>
      <c r="AR63" s="229"/>
      <c r="AS63" s="229"/>
    </row>
    <row r="64" spans="1:45">
      <c r="A64" s="229">
        <v>1</v>
      </c>
      <c r="B64" s="229" t="s">
        <v>1082</v>
      </c>
      <c r="C64" s="234" t="s">
        <v>1080</v>
      </c>
      <c r="D64" s="229"/>
      <c r="E64" t="s">
        <v>406</v>
      </c>
      <c r="F64" s="313"/>
      <c r="G64" s="234"/>
      <c r="H64" s="234"/>
      <c r="I64" s="313"/>
      <c r="J64" s="247">
        <f>'2.1 Building inputs'!E42*$K$6</f>
        <v>0</v>
      </c>
      <c r="K64" s="247">
        <f>'2.1 Building inputs'!F42*$K$6</f>
        <v>0</v>
      </c>
      <c r="L64" s="247">
        <f>'2.1 Building inputs'!G42*$K$6</f>
        <v>0</v>
      </c>
      <c r="M64" s="247">
        <f>'2.1 Building inputs'!H42*$K$6</f>
        <v>0</v>
      </c>
      <c r="N64" s="247">
        <f>'2.1 Building inputs'!I42*$K$6</f>
        <v>0</v>
      </c>
      <c r="O64" s="247">
        <f>'2.1 Building inputs'!J42*$K$6</f>
        <v>0</v>
      </c>
      <c r="P64" s="247">
        <f>'2.1 Building inputs'!K42*$K$6</f>
        <v>0</v>
      </c>
      <c r="Q64" s="247">
        <f>'2.1 Building inputs'!L42*$K$6</f>
        <v>0</v>
      </c>
      <c r="R64" s="247">
        <f>'2.1 Building inputs'!M42*$K$6</f>
        <v>0</v>
      </c>
      <c r="S64" s="247">
        <f>'2.1 Building inputs'!N42*$K$6</f>
        <v>0</v>
      </c>
      <c r="T64" s="247">
        <f>'2.1 Building inputs'!O42*$K$6</f>
        <v>0</v>
      </c>
      <c r="U64" s="247">
        <f>'2.1 Building inputs'!P42*$K$6</f>
        <v>0</v>
      </c>
      <c r="V64" s="247">
        <f>'2.1 Building inputs'!Q42*$K$6</f>
        <v>0</v>
      </c>
      <c r="W64" s="247">
        <f>'2.1 Building inputs'!R42*$K$6</f>
        <v>0</v>
      </c>
      <c r="X64" s="247">
        <f>'2.1 Building inputs'!S42*$K$6</f>
        <v>0</v>
      </c>
      <c r="Y64" s="247">
        <f>'2.1 Building inputs'!T42*$K$6</f>
        <v>0</v>
      </c>
      <c r="Z64" s="247">
        <f>'2.1 Building inputs'!U42*$K$6</f>
        <v>0</v>
      </c>
      <c r="AA64" s="247">
        <f>'2.1 Building inputs'!V42*$K$6</f>
        <v>0</v>
      </c>
      <c r="AB64" s="247">
        <f>'2.1 Building inputs'!W42*$K$6</f>
        <v>0</v>
      </c>
      <c r="AC64" s="247">
        <f>'2.1 Building inputs'!X42*$K$6</f>
        <v>0</v>
      </c>
      <c r="AD64" s="247">
        <f>'2.1 Building inputs'!Y42*$K$6</f>
        <v>0</v>
      </c>
      <c r="AE64" s="247">
        <f>'2.1 Building inputs'!Z42*$K$6</f>
        <v>0</v>
      </c>
      <c r="AF64" s="247">
        <f>'2.1 Building inputs'!AA42*$K$6</f>
        <v>0</v>
      </c>
      <c r="AG64" s="247">
        <f>'2.1 Building inputs'!AB42*$K$6</f>
        <v>0</v>
      </c>
      <c r="AH64" s="247">
        <f>'2.1 Building inputs'!AC42*$K$6</f>
        <v>0</v>
      </c>
      <c r="AI64" s="247">
        <f>'2.1 Building inputs'!AD42*$K$6</f>
        <v>0</v>
      </c>
      <c r="AJ64" s="247">
        <f>'2.1 Building inputs'!AE42*$K$6</f>
        <v>0</v>
      </c>
      <c r="AK64" s="247">
        <f>'2.1 Building inputs'!AF42*$K$6</f>
        <v>0</v>
      </c>
      <c r="AL64" s="247">
        <f>'2.1 Building inputs'!AG42*$K$6</f>
        <v>0</v>
      </c>
      <c r="AM64" s="247">
        <f>'2.1 Building inputs'!AH42*$K$6</f>
        <v>0</v>
      </c>
      <c r="AN64" s="247">
        <f>'2.1 Building inputs'!AI42*$K$6</f>
        <v>0</v>
      </c>
      <c r="AO64" s="247">
        <f>'2.1 Building inputs'!AJ42*$K$6</f>
        <v>0</v>
      </c>
      <c r="AP64" s="247">
        <f>'2.1 Building inputs'!AK42*$K$6</f>
        <v>0</v>
      </c>
      <c r="AQ64" s="247">
        <f>'2.1 Building inputs'!AL42*$K$6</f>
        <v>0</v>
      </c>
      <c r="AR64" s="247">
        <f>'2.1 Building inputs'!AM42*$K$6</f>
        <v>0</v>
      </c>
      <c r="AS64" s="247">
        <f>'2.1 Building inputs'!AN42*$K$6</f>
        <v>0</v>
      </c>
    </row>
    <row r="65" spans="1:45">
      <c r="A65" s="229">
        <v>2</v>
      </c>
      <c r="B65" s="229" t="s">
        <v>1083</v>
      </c>
      <c r="C65" s="234" t="s">
        <v>1080</v>
      </c>
      <c r="D65" s="229"/>
      <c r="E65" t="s">
        <v>407</v>
      </c>
      <c r="F65" s="313"/>
      <c r="G65" s="234"/>
      <c r="H65" s="234"/>
      <c r="I65" s="313"/>
      <c r="J65" s="247">
        <f>'2.1 Building inputs'!E43*$K$6</f>
        <v>0</v>
      </c>
      <c r="K65" s="247">
        <f>'2.1 Building inputs'!F43*$K$6</f>
        <v>0</v>
      </c>
      <c r="L65" s="247">
        <f>'2.1 Building inputs'!G43*$K$6</f>
        <v>0</v>
      </c>
      <c r="M65" s="247">
        <f>'2.1 Building inputs'!H43*$K$6</f>
        <v>0</v>
      </c>
      <c r="N65" s="247">
        <f>'2.1 Building inputs'!I43*$K$6</f>
        <v>304.85301880698097</v>
      </c>
      <c r="O65" s="247">
        <f>'2.1 Building inputs'!J43*$K$6</f>
        <v>609.70603761396194</v>
      </c>
      <c r="P65" s="247">
        <f>'2.1 Building inputs'!K43*$K$6</f>
        <v>914.55905642094297</v>
      </c>
      <c r="Q65" s="247">
        <f>'2.1 Building inputs'!L43*$K$6</f>
        <v>1219.4120752279239</v>
      </c>
      <c r="R65" s="247">
        <f>'2.1 Building inputs'!M43*$K$6</f>
        <v>1524.2650940349049</v>
      </c>
      <c r="S65" s="247">
        <f>'2.1 Building inputs'!N43*$K$6</f>
        <v>1829.1181128418859</v>
      </c>
      <c r="T65" s="247">
        <f>'2.1 Building inputs'!O43*$K$6</f>
        <v>2133.971131648867</v>
      </c>
      <c r="U65" s="247">
        <f>'2.1 Building inputs'!P43*$K$6</f>
        <v>2133.971131648867</v>
      </c>
      <c r="V65" s="247">
        <f>'2.1 Building inputs'!Q43*$K$6</f>
        <v>2133.971131648867</v>
      </c>
      <c r="W65" s="247">
        <f>'2.1 Building inputs'!R43*$K$6</f>
        <v>2133.971131648867</v>
      </c>
      <c r="X65" s="247">
        <f>'2.1 Building inputs'!S43*$K$6</f>
        <v>2133.971131648867</v>
      </c>
      <c r="Y65" s="247">
        <f>'2.1 Building inputs'!T43*$K$6</f>
        <v>2133.971131648867</v>
      </c>
      <c r="Z65" s="247">
        <f>'2.1 Building inputs'!U43*$K$6</f>
        <v>1707.1769053190935</v>
      </c>
      <c r="AA65" s="247">
        <f>'2.1 Building inputs'!V43*$K$6</f>
        <v>1280.3826789893201</v>
      </c>
      <c r="AB65" s="247">
        <f>'2.1 Building inputs'!W43*$K$6</f>
        <v>853.58845265954676</v>
      </c>
      <c r="AC65" s="247">
        <f>'2.1 Building inputs'!X43*$K$6</f>
        <v>426.79422632977338</v>
      </c>
      <c r="AD65" s="247">
        <f>'2.1 Building inputs'!Y43*$K$6</f>
        <v>0</v>
      </c>
      <c r="AE65" s="247">
        <f>'2.1 Building inputs'!Z43*$K$6</f>
        <v>0</v>
      </c>
      <c r="AF65" s="247">
        <f>'2.1 Building inputs'!AA43*$K$6</f>
        <v>0</v>
      </c>
      <c r="AG65" s="247">
        <f>'2.1 Building inputs'!AB43*$K$6</f>
        <v>0</v>
      </c>
      <c r="AH65" s="247">
        <f>'2.1 Building inputs'!AC43*$K$6</f>
        <v>0</v>
      </c>
      <c r="AI65" s="247">
        <f>'2.1 Building inputs'!AD43*$K$6</f>
        <v>0</v>
      </c>
      <c r="AJ65" s="247">
        <f>'2.1 Building inputs'!AE43*$K$6</f>
        <v>0</v>
      </c>
      <c r="AK65" s="247">
        <f>'2.1 Building inputs'!AF43*$K$6</f>
        <v>0</v>
      </c>
      <c r="AL65" s="247">
        <f>'2.1 Building inputs'!AG43*$K$6</f>
        <v>0</v>
      </c>
      <c r="AM65" s="247">
        <f>'2.1 Building inputs'!AH43*$K$6</f>
        <v>0</v>
      </c>
      <c r="AN65" s="247">
        <f>'2.1 Building inputs'!AI43*$K$6</f>
        <v>0</v>
      </c>
      <c r="AO65" s="247">
        <f>'2.1 Building inputs'!AJ43*$K$6</f>
        <v>0</v>
      </c>
      <c r="AP65" s="247">
        <f>'2.1 Building inputs'!AK43*$K$6</f>
        <v>0</v>
      </c>
      <c r="AQ65" s="247">
        <f>'2.1 Building inputs'!AL43*$K$6</f>
        <v>0</v>
      </c>
      <c r="AR65" s="247">
        <f>'2.1 Building inputs'!AM43*$K$6</f>
        <v>0</v>
      </c>
      <c r="AS65" s="247">
        <f>'2.1 Building inputs'!AN43*$K$6</f>
        <v>0</v>
      </c>
    </row>
    <row r="66" spans="1:45">
      <c r="A66" s="229">
        <v>3</v>
      </c>
      <c r="B66" s="229" t="s">
        <v>1084</v>
      </c>
      <c r="C66" s="234" t="s">
        <v>1080</v>
      </c>
      <c r="D66" s="229"/>
      <c r="E66" t="s">
        <v>408</v>
      </c>
      <c r="F66" s="313"/>
      <c r="G66" s="234"/>
      <c r="H66" s="234"/>
      <c r="I66" s="313"/>
      <c r="J66" s="247">
        <f>'2.1 Building inputs'!E44*$K$6</f>
        <v>0</v>
      </c>
      <c r="K66" s="247">
        <f>'2.1 Building inputs'!F44*$K$6</f>
        <v>0</v>
      </c>
      <c r="L66" s="247">
        <f>'2.1 Building inputs'!G44*$K$6</f>
        <v>0</v>
      </c>
      <c r="M66" s="247">
        <f>'2.1 Building inputs'!H44*$K$6</f>
        <v>0</v>
      </c>
      <c r="N66" s="247">
        <f>'2.1 Building inputs'!I44*$K$6</f>
        <v>0</v>
      </c>
      <c r="O66" s="247">
        <f>'2.1 Building inputs'!J44*$K$6</f>
        <v>0</v>
      </c>
      <c r="P66" s="247">
        <f>'2.1 Building inputs'!K44*$K$6</f>
        <v>0</v>
      </c>
      <c r="Q66" s="247">
        <f>'2.1 Building inputs'!L44*$K$6</f>
        <v>0</v>
      </c>
      <c r="R66" s="247">
        <f>'2.1 Building inputs'!M44*$K$6</f>
        <v>0</v>
      </c>
      <c r="S66" s="247">
        <f>'2.1 Building inputs'!N44*$K$6</f>
        <v>2886.4843430120482</v>
      </c>
      <c r="T66" s="247">
        <f>'2.1 Building inputs'!O44*$K$6</f>
        <v>2886.4843430120482</v>
      </c>
      <c r="U66" s="247">
        <f>'2.1 Building inputs'!P44*$K$6</f>
        <v>2886.4843430120482</v>
      </c>
      <c r="V66" s="247">
        <f>'2.1 Building inputs'!Q44*$K$6</f>
        <v>2886.4843430120482</v>
      </c>
      <c r="W66" s="247">
        <f>'2.1 Building inputs'!R44*$K$6</f>
        <v>0</v>
      </c>
      <c r="X66" s="247">
        <f>'2.1 Building inputs'!S44*$K$6</f>
        <v>0</v>
      </c>
      <c r="Y66" s="247">
        <f>'2.1 Building inputs'!T44*$K$6</f>
        <v>0</v>
      </c>
      <c r="Z66" s="247">
        <f>'2.1 Building inputs'!U44*$K$6</f>
        <v>0</v>
      </c>
      <c r="AA66" s="247">
        <f>'2.1 Building inputs'!V44*$K$6</f>
        <v>0</v>
      </c>
      <c r="AB66" s="247">
        <f>'2.1 Building inputs'!W44*$K$6</f>
        <v>0</v>
      </c>
      <c r="AC66" s="247">
        <f>'2.1 Building inputs'!X44*$K$6</f>
        <v>0</v>
      </c>
      <c r="AD66" s="247">
        <f>'2.1 Building inputs'!Y44*$K$6</f>
        <v>0</v>
      </c>
      <c r="AE66" s="247">
        <f>'2.1 Building inputs'!Z44*$K$6</f>
        <v>0</v>
      </c>
      <c r="AF66" s="247">
        <f>'2.1 Building inputs'!AA44*$K$6</f>
        <v>0</v>
      </c>
      <c r="AG66" s="247">
        <f>'2.1 Building inputs'!AB44*$K$6</f>
        <v>0</v>
      </c>
      <c r="AH66" s="247">
        <f>'2.1 Building inputs'!AC44*$K$6</f>
        <v>0</v>
      </c>
      <c r="AI66" s="247">
        <f>'2.1 Building inputs'!AD44*$K$6</f>
        <v>0</v>
      </c>
      <c r="AJ66" s="247">
        <f>'2.1 Building inputs'!AE44*$K$6</f>
        <v>0</v>
      </c>
      <c r="AK66" s="247">
        <f>'2.1 Building inputs'!AF44*$K$6</f>
        <v>0</v>
      </c>
      <c r="AL66" s="247">
        <f>'2.1 Building inputs'!AG44*$K$6</f>
        <v>0</v>
      </c>
      <c r="AM66" s="247">
        <f>'2.1 Building inputs'!AH44*$K$6</f>
        <v>0</v>
      </c>
      <c r="AN66" s="247">
        <f>'2.1 Building inputs'!AI44*$K$6</f>
        <v>0</v>
      </c>
      <c r="AO66" s="247">
        <f>'2.1 Building inputs'!AJ44*$K$6</f>
        <v>0</v>
      </c>
      <c r="AP66" s="247">
        <f>'2.1 Building inputs'!AK44*$K$6</f>
        <v>0</v>
      </c>
      <c r="AQ66" s="247">
        <f>'2.1 Building inputs'!AL44*$K$6</f>
        <v>0</v>
      </c>
      <c r="AR66" s="247">
        <f>'2.1 Building inputs'!AM44*$K$6</f>
        <v>0</v>
      </c>
      <c r="AS66" s="247">
        <f>'2.1 Building inputs'!AN44*$K$6</f>
        <v>0</v>
      </c>
    </row>
    <row r="67" spans="1:45">
      <c r="A67" s="229">
        <v>4</v>
      </c>
      <c r="B67" s="229" t="s">
        <v>1085</v>
      </c>
      <c r="C67" s="234" t="s">
        <v>1080</v>
      </c>
      <c r="D67" s="229"/>
      <c r="E67" t="s">
        <v>409</v>
      </c>
      <c r="F67" s="313"/>
      <c r="G67" s="234"/>
      <c r="H67" s="234"/>
      <c r="I67" s="313"/>
      <c r="J67" s="247">
        <f>'2.1 Building inputs'!E45*$K$6</f>
        <v>0</v>
      </c>
      <c r="K67" s="247">
        <f>'2.1 Building inputs'!F45*$K$6</f>
        <v>0</v>
      </c>
      <c r="L67" s="247">
        <f>'2.1 Building inputs'!G45*$K$6</f>
        <v>0</v>
      </c>
      <c r="M67" s="247">
        <f>'2.1 Building inputs'!H45*$K$6</f>
        <v>0</v>
      </c>
      <c r="N67" s="247">
        <f>'2.1 Building inputs'!I45*$K$6</f>
        <v>0</v>
      </c>
      <c r="O67" s="247">
        <f>'2.1 Building inputs'!J45*$K$6</f>
        <v>0</v>
      </c>
      <c r="P67" s="247">
        <f>'2.1 Building inputs'!K45*$K$6</f>
        <v>0</v>
      </c>
      <c r="Q67" s="247">
        <f>'2.1 Building inputs'!L45*$K$6</f>
        <v>0</v>
      </c>
      <c r="R67" s="247">
        <f>'2.1 Building inputs'!M45*$K$6</f>
        <v>0</v>
      </c>
      <c r="S67" s="247">
        <f>'2.1 Building inputs'!N45*$K$6</f>
        <v>0</v>
      </c>
      <c r="T67" s="247">
        <f>'2.1 Building inputs'!O45*$K$6</f>
        <v>0</v>
      </c>
      <c r="U67" s="247">
        <f>'2.1 Building inputs'!P45*$K$6</f>
        <v>326.09191620917596</v>
      </c>
      <c r="V67" s="247">
        <f>'2.1 Building inputs'!Q45*$K$6</f>
        <v>652.18383241835193</v>
      </c>
      <c r="W67" s="247">
        <f>'2.1 Building inputs'!R45*$K$6</f>
        <v>978.27574862752783</v>
      </c>
      <c r="X67" s="247">
        <f>'2.1 Building inputs'!S45*$K$6</f>
        <v>1304.3676648367039</v>
      </c>
      <c r="Y67" s="247">
        <f>'2.1 Building inputs'!T45*$K$6</f>
        <v>1304.3676648367039</v>
      </c>
      <c r="Z67" s="247">
        <f>'2.1 Building inputs'!U45*$K$6</f>
        <v>1304.3676648367039</v>
      </c>
      <c r="AA67" s="247">
        <f>'2.1 Building inputs'!V45*$K$6</f>
        <v>1304.3676648367039</v>
      </c>
      <c r="AB67" s="247">
        <f>'2.1 Building inputs'!W45*$K$6</f>
        <v>1304.3676648367039</v>
      </c>
      <c r="AC67" s="247">
        <f>'2.1 Building inputs'!X45*$K$6</f>
        <v>1304.3676648367039</v>
      </c>
      <c r="AD67" s="247">
        <f>'2.1 Building inputs'!Y45*$K$6</f>
        <v>0</v>
      </c>
      <c r="AE67" s="247">
        <f>'2.1 Building inputs'!Z45*$K$6</f>
        <v>0</v>
      </c>
      <c r="AF67" s="247">
        <f>'2.1 Building inputs'!AA45*$K$6</f>
        <v>0</v>
      </c>
      <c r="AG67" s="247">
        <f>'2.1 Building inputs'!AB45*$K$6</f>
        <v>0</v>
      </c>
      <c r="AH67" s="247">
        <f>'2.1 Building inputs'!AC45*$K$6</f>
        <v>0</v>
      </c>
      <c r="AI67" s="247">
        <f>'2.1 Building inputs'!AD45*$K$6</f>
        <v>0</v>
      </c>
      <c r="AJ67" s="247">
        <f>'2.1 Building inputs'!AE45*$K$6</f>
        <v>0</v>
      </c>
      <c r="AK67" s="247">
        <f>'2.1 Building inputs'!AF45*$K$6</f>
        <v>0</v>
      </c>
      <c r="AL67" s="247">
        <f>'2.1 Building inputs'!AG45*$K$6</f>
        <v>0</v>
      </c>
      <c r="AM67" s="247">
        <f>'2.1 Building inputs'!AH45*$K$6</f>
        <v>0</v>
      </c>
      <c r="AN67" s="247">
        <f>'2.1 Building inputs'!AI45*$K$6</f>
        <v>0</v>
      </c>
      <c r="AO67" s="247">
        <f>'2.1 Building inputs'!AJ45*$K$6</f>
        <v>0</v>
      </c>
      <c r="AP67" s="247">
        <f>'2.1 Building inputs'!AK45*$K$6</f>
        <v>0</v>
      </c>
      <c r="AQ67" s="247">
        <f>'2.1 Building inputs'!AL45*$K$6</f>
        <v>0</v>
      </c>
      <c r="AR67" s="247">
        <f>'2.1 Building inputs'!AM45*$K$6</f>
        <v>0</v>
      </c>
      <c r="AS67" s="247">
        <f>'2.1 Building inputs'!AN45*$K$6</f>
        <v>0</v>
      </c>
    </row>
    <row r="68" spans="1:45">
      <c r="A68" s="229">
        <v>5</v>
      </c>
      <c r="B68" s="229" t="s">
        <v>1086</v>
      </c>
      <c r="C68" s="234" t="s">
        <v>1080</v>
      </c>
      <c r="D68" s="229"/>
      <c r="E68" t="s">
        <v>410</v>
      </c>
      <c r="F68" s="313"/>
      <c r="G68" s="234"/>
      <c r="H68" s="234"/>
      <c r="I68" s="313"/>
      <c r="J68" s="247">
        <f>'2.1 Building inputs'!E46*$K$6</f>
        <v>0</v>
      </c>
      <c r="K68" s="247">
        <f>'2.1 Building inputs'!F46*$K$6</f>
        <v>0</v>
      </c>
      <c r="L68" s="247">
        <f>'2.1 Building inputs'!G46*$K$6</f>
        <v>0</v>
      </c>
      <c r="M68" s="247">
        <f>'2.1 Building inputs'!H46*$K$6</f>
        <v>0</v>
      </c>
      <c r="N68" s="247">
        <f>'2.1 Building inputs'!I46*$K$6</f>
        <v>242.46938916368453</v>
      </c>
      <c r="O68" s="247">
        <f>'2.1 Building inputs'!J46*$K$6</f>
        <v>484.93877832736905</v>
      </c>
      <c r="P68" s="247">
        <f>'2.1 Building inputs'!K46*$K$6</f>
        <v>727.40816749105352</v>
      </c>
      <c r="Q68" s="247">
        <f>'2.1 Building inputs'!L46*$K$6</f>
        <v>969.8775566547381</v>
      </c>
      <c r="R68" s="247">
        <f>'2.1 Building inputs'!M46*$K$6</f>
        <v>1212.3469458184225</v>
      </c>
      <c r="S68" s="247">
        <f>'2.1 Building inputs'!N46*$K$6</f>
        <v>1454.816334982107</v>
      </c>
      <c r="T68" s="247">
        <f>'2.1 Building inputs'!O46*$K$6</f>
        <v>1697.2857241457916</v>
      </c>
      <c r="U68" s="247">
        <f>'2.1 Building inputs'!P46*$K$6</f>
        <v>1697.2857241457916</v>
      </c>
      <c r="V68" s="247">
        <f>'2.1 Building inputs'!Q46*$K$6</f>
        <v>1697.2857241457916</v>
      </c>
      <c r="W68" s="247">
        <f>'2.1 Building inputs'!R46*$K$6</f>
        <v>1697.2857241457916</v>
      </c>
      <c r="X68" s="247">
        <f>'2.1 Building inputs'!S46*$K$6</f>
        <v>1697.2857241457916</v>
      </c>
      <c r="Y68" s="247">
        <f>'2.1 Building inputs'!T46*$K$6</f>
        <v>1697.2857241457916</v>
      </c>
      <c r="Z68" s="247">
        <f>'2.1 Building inputs'!U46*$K$6</f>
        <v>1357.8285793166333</v>
      </c>
      <c r="AA68" s="247">
        <f>'2.1 Building inputs'!V46*$K$6</f>
        <v>1018.3714344874749</v>
      </c>
      <c r="AB68" s="247">
        <f>'2.1 Building inputs'!W46*$K$6</f>
        <v>678.91428965831642</v>
      </c>
      <c r="AC68" s="247">
        <f>'2.1 Building inputs'!X46*$K$6</f>
        <v>339.45714482915821</v>
      </c>
      <c r="AD68" s="247">
        <f>'2.1 Building inputs'!Y46*$K$6</f>
        <v>0</v>
      </c>
      <c r="AE68" s="247">
        <f>'2.1 Building inputs'!Z46*$K$6</f>
        <v>0</v>
      </c>
      <c r="AF68" s="247">
        <f>'2.1 Building inputs'!AA46*$K$6</f>
        <v>0</v>
      </c>
      <c r="AG68" s="247">
        <f>'2.1 Building inputs'!AB46*$K$6</f>
        <v>0</v>
      </c>
      <c r="AH68" s="247">
        <f>'2.1 Building inputs'!AC46*$K$6</f>
        <v>0</v>
      </c>
      <c r="AI68" s="247">
        <f>'2.1 Building inputs'!AD46*$K$6</f>
        <v>0</v>
      </c>
      <c r="AJ68" s="247">
        <f>'2.1 Building inputs'!AE46*$K$6</f>
        <v>0</v>
      </c>
      <c r="AK68" s="247">
        <f>'2.1 Building inputs'!AF46*$K$6</f>
        <v>0</v>
      </c>
      <c r="AL68" s="247">
        <f>'2.1 Building inputs'!AG46*$K$6</f>
        <v>0</v>
      </c>
      <c r="AM68" s="247">
        <f>'2.1 Building inputs'!AH46*$K$6</f>
        <v>0</v>
      </c>
      <c r="AN68" s="247">
        <f>'2.1 Building inputs'!AI46*$K$6</f>
        <v>0</v>
      </c>
      <c r="AO68" s="247">
        <f>'2.1 Building inputs'!AJ46*$K$6</f>
        <v>0</v>
      </c>
      <c r="AP68" s="247">
        <f>'2.1 Building inputs'!AK46*$K$6</f>
        <v>0</v>
      </c>
      <c r="AQ68" s="247">
        <f>'2.1 Building inputs'!AL46*$K$6</f>
        <v>0</v>
      </c>
      <c r="AR68" s="247">
        <f>'2.1 Building inputs'!AM46*$K$6</f>
        <v>0</v>
      </c>
      <c r="AS68" s="247">
        <f>'2.1 Building inputs'!AN46*$K$6</f>
        <v>0</v>
      </c>
    </row>
    <row r="69" spans="1:45">
      <c r="A69" s="229">
        <v>6</v>
      </c>
      <c r="B69" s="229" t="s">
        <v>1087</v>
      </c>
      <c r="C69" s="234" t="s">
        <v>1080</v>
      </c>
      <c r="D69" s="229"/>
      <c r="E69" t="s">
        <v>411</v>
      </c>
      <c r="F69" s="313"/>
      <c r="G69" s="234"/>
      <c r="H69" s="234"/>
      <c r="I69" s="313"/>
      <c r="J69" s="247">
        <f>'2.1 Building inputs'!E47*$K$6</f>
        <v>0</v>
      </c>
      <c r="K69" s="247">
        <f>'2.1 Building inputs'!F47*$K$6</f>
        <v>0</v>
      </c>
      <c r="L69" s="247">
        <f>'2.1 Building inputs'!G47*$K$6</f>
        <v>0</v>
      </c>
      <c r="M69" s="247">
        <f>'2.1 Building inputs'!H47*$K$6</f>
        <v>0</v>
      </c>
      <c r="N69" s="247">
        <f>'2.1 Building inputs'!I47*$K$6</f>
        <v>0</v>
      </c>
      <c r="O69" s="247">
        <f>'2.1 Building inputs'!J47*$K$6</f>
        <v>0</v>
      </c>
      <c r="P69" s="247">
        <f>'2.1 Building inputs'!K47*$K$6</f>
        <v>0</v>
      </c>
      <c r="Q69" s="247">
        <f>'2.1 Building inputs'!L47*$K$6</f>
        <v>0</v>
      </c>
      <c r="R69" s="247">
        <f>'2.1 Building inputs'!M47*$K$6</f>
        <v>1939.8981740905367</v>
      </c>
      <c r="S69" s="247">
        <f>'2.1 Building inputs'!N47*$K$6</f>
        <v>1939.8981740905367</v>
      </c>
      <c r="T69" s="247">
        <f>'2.1 Building inputs'!O47*$K$6</f>
        <v>1939.8981740905367</v>
      </c>
      <c r="U69" s="247">
        <f>'2.1 Building inputs'!P47*$K$6</f>
        <v>1939.8981740905367</v>
      </c>
      <c r="V69" s="247">
        <f>'2.1 Building inputs'!Q47*$K$6</f>
        <v>1939.8981740905367</v>
      </c>
      <c r="W69" s="247">
        <f>'2.1 Building inputs'!R47*$K$6</f>
        <v>0</v>
      </c>
      <c r="X69" s="247">
        <f>'2.1 Building inputs'!S47*$K$6</f>
        <v>0</v>
      </c>
      <c r="Y69" s="247">
        <f>'2.1 Building inputs'!T47*$K$6</f>
        <v>0</v>
      </c>
      <c r="Z69" s="247">
        <f>'2.1 Building inputs'!U47*$K$6</f>
        <v>0</v>
      </c>
      <c r="AA69" s="247">
        <f>'2.1 Building inputs'!V47*$K$6</f>
        <v>0</v>
      </c>
      <c r="AB69" s="247">
        <f>'2.1 Building inputs'!W47*$K$6</f>
        <v>0</v>
      </c>
      <c r="AC69" s="247">
        <f>'2.1 Building inputs'!X47*$K$6</f>
        <v>0</v>
      </c>
      <c r="AD69" s="247">
        <f>'2.1 Building inputs'!Y47*$K$6</f>
        <v>0</v>
      </c>
      <c r="AE69" s="247">
        <f>'2.1 Building inputs'!Z47*$K$6</f>
        <v>0</v>
      </c>
      <c r="AF69" s="247">
        <f>'2.1 Building inputs'!AA47*$K$6</f>
        <v>0</v>
      </c>
      <c r="AG69" s="247">
        <f>'2.1 Building inputs'!AB47*$K$6</f>
        <v>0</v>
      </c>
      <c r="AH69" s="247">
        <f>'2.1 Building inputs'!AC47*$K$6</f>
        <v>0</v>
      </c>
      <c r="AI69" s="247">
        <f>'2.1 Building inputs'!AD47*$K$6</f>
        <v>0</v>
      </c>
      <c r="AJ69" s="247">
        <f>'2.1 Building inputs'!AE47*$K$6</f>
        <v>0</v>
      </c>
      <c r="AK69" s="247">
        <f>'2.1 Building inputs'!AF47*$K$6</f>
        <v>0</v>
      </c>
      <c r="AL69" s="247">
        <f>'2.1 Building inputs'!AG47*$K$6</f>
        <v>0</v>
      </c>
      <c r="AM69" s="247">
        <f>'2.1 Building inputs'!AH47*$K$6</f>
        <v>0</v>
      </c>
      <c r="AN69" s="247">
        <f>'2.1 Building inputs'!AI47*$K$6</f>
        <v>0</v>
      </c>
      <c r="AO69" s="247">
        <f>'2.1 Building inputs'!AJ47*$K$6</f>
        <v>0</v>
      </c>
      <c r="AP69" s="247">
        <f>'2.1 Building inputs'!AK47*$K$6</f>
        <v>0</v>
      </c>
      <c r="AQ69" s="247">
        <f>'2.1 Building inputs'!AL47*$K$6</f>
        <v>0</v>
      </c>
      <c r="AR69" s="247">
        <f>'2.1 Building inputs'!AM47*$K$6</f>
        <v>0</v>
      </c>
      <c r="AS69" s="247">
        <f>'2.1 Building inputs'!AN47*$K$6</f>
        <v>0</v>
      </c>
    </row>
    <row r="70" spans="1:45">
      <c r="A70" s="229">
        <v>7</v>
      </c>
      <c r="B70" s="229" t="s">
        <v>1088</v>
      </c>
      <c r="C70" s="234" t="s">
        <v>1080</v>
      </c>
      <c r="D70" s="229"/>
      <c r="E70" t="s">
        <v>412</v>
      </c>
      <c r="F70" s="313"/>
      <c r="G70" s="234"/>
      <c r="H70" s="234"/>
      <c r="I70" s="313"/>
      <c r="J70" s="247">
        <f>'2.1 Building inputs'!E48*$K$6</f>
        <v>0</v>
      </c>
      <c r="K70" s="247">
        <f>'2.1 Building inputs'!F48*$K$6</f>
        <v>0</v>
      </c>
      <c r="L70" s="247">
        <f>'2.1 Building inputs'!G48*$K$6</f>
        <v>0</v>
      </c>
      <c r="M70" s="247">
        <f>'2.1 Building inputs'!H48*$K$6</f>
        <v>0</v>
      </c>
      <c r="N70" s="247">
        <f>'2.1 Building inputs'!I48*$K$6</f>
        <v>0</v>
      </c>
      <c r="O70" s="247">
        <f>'2.1 Building inputs'!J48*$K$6</f>
        <v>0</v>
      </c>
      <c r="P70" s="247">
        <f>'2.1 Building inputs'!K48*$K$6</f>
        <v>0</v>
      </c>
      <c r="Q70" s="247">
        <f>'2.1 Building inputs'!L48*$K$6</f>
        <v>0</v>
      </c>
      <c r="R70" s="247">
        <f>'2.1 Building inputs'!M48*$K$6</f>
        <v>0</v>
      </c>
      <c r="S70" s="247">
        <f>'2.1 Building inputs'!N48*$K$6</f>
        <v>0</v>
      </c>
      <c r="T70" s="247">
        <f>'2.1 Building inputs'!O48*$K$6</f>
        <v>0</v>
      </c>
      <c r="U70" s="247">
        <f>'2.1 Building inputs'!P48*$K$6</f>
        <v>308.61902104267233</v>
      </c>
      <c r="V70" s="247">
        <f>'2.1 Building inputs'!Q48*$K$6</f>
        <v>617.23804208534466</v>
      </c>
      <c r="W70" s="247">
        <f>'2.1 Building inputs'!R48*$K$6</f>
        <v>925.85706312801699</v>
      </c>
      <c r="X70" s="247">
        <f>'2.1 Building inputs'!S48*$K$6</f>
        <v>1234.4760841706893</v>
      </c>
      <c r="Y70" s="247">
        <f>'2.1 Building inputs'!T48*$K$6</f>
        <v>1234.4760841706893</v>
      </c>
      <c r="Z70" s="247">
        <f>'2.1 Building inputs'!U48*$K$6</f>
        <v>1234.4760841706893</v>
      </c>
      <c r="AA70" s="247">
        <f>'2.1 Building inputs'!V48*$K$6</f>
        <v>1234.4760841706893</v>
      </c>
      <c r="AB70" s="247">
        <f>'2.1 Building inputs'!W48*$K$6</f>
        <v>1234.4760841706893</v>
      </c>
      <c r="AC70" s="247">
        <f>'2.1 Building inputs'!X48*$K$6</f>
        <v>1234.4760841706893</v>
      </c>
      <c r="AD70" s="247">
        <f>'2.1 Building inputs'!Y48*$K$6</f>
        <v>0</v>
      </c>
      <c r="AE70" s="247">
        <f>'2.1 Building inputs'!Z48*$K$6</f>
        <v>0</v>
      </c>
      <c r="AF70" s="247">
        <f>'2.1 Building inputs'!AA48*$K$6</f>
        <v>0</v>
      </c>
      <c r="AG70" s="247">
        <f>'2.1 Building inputs'!AB48*$K$6</f>
        <v>0</v>
      </c>
      <c r="AH70" s="247">
        <f>'2.1 Building inputs'!AC48*$K$6</f>
        <v>0</v>
      </c>
      <c r="AI70" s="247">
        <f>'2.1 Building inputs'!AD48*$K$6</f>
        <v>0</v>
      </c>
      <c r="AJ70" s="247">
        <f>'2.1 Building inputs'!AE48*$K$6</f>
        <v>0</v>
      </c>
      <c r="AK70" s="247">
        <f>'2.1 Building inputs'!AF48*$K$6</f>
        <v>0</v>
      </c>
      <c r="AL70" s="247">
        <f>'2.1 Building inputs'!AG48*$K$6</f>
        <v>0</v>
      </c>
      <c r="AM70" s="247">
        <f>'2.1 Building inputs'!AH48*$K$6</f>
        <v>0</v>
      </c>
      <c r="AN70" s="247">
        <f>'2.1 Building inputs'!AI48*$K$6</f>
        <v>0</v>
      </c>
      <c r="AO70" s="247">
        <f>'2.1 Building inputs'!AJ48*$K$6</f>
        <v>0</v>
      </c>
      <c r="AP70" s="247">
        <f>'2.1 Building inputs'!AK48*$K$6</f>
        <v>0</v>
      </c>
      <c r="AQ70" s="247">
        <f>'2.1 Building inputs'!AL48*$K$6</f>
        <v>0</v>
      </c>
      <c r="AR70" s="247">
        <f>'2.1 Building inputs'!AM48*$K$6</f>
        <v>0</v>
      </c>
      <c r="AS70" s="247">
        <f>'2.1 Building inputs'!AN48*$K$6</f>
        <v>0</v>
      </c>
    </row>
    <row r="71" spans="1:45">
      <c r="A71" s="229">
        <v>8</v>
      </c>
      <c r="B71" s="229" t="s">
        <v>1089</v>
      </c>
      <c r="C71" s="234" t="s">
        <v>1080</v>
      </c>
      <c r="D71" s="229"/>
      <c r="E71" t="s">
        <v>413</v>
      </c>
      <c r="F71" s="313"/>
      <c r="G71" s="234"/>
      <c r="H71" s="234"/>
      <c r="I71" s="313"/>
      <c r="J71" s="247">
        <f>'2.1 Building inputs'!E49*$K$6</f>
        <v>0</v>
      </c>
      <c r="K71" s="247">
        <f>'2.1 Building inputs'!F49*$K$6</f>
        <v>0</v>
      </c>
      <c r="L71" s="247">
        <f>'2.1 Building inputs'!G49*$K$6</f>
        <v>0</v>
      </c>
      <c r="M71" s="247">
        <f>'2.1 Building inputs'!H49*$K$6</f>
        <v>0</v>
      </c>
      <c r="N71" s="247">
        <f>'2.1 Building inputs'!I49*$K$6</f>
        <v>0</v>
      </c>
      <c r="O71" s="247">
        <f>'2.1 Building inputs'!J49*$K$6</f>
        <v>0</v>
      </c>
      <c r="P71" s="247">
        <f>'2.1 Building inputs'!K49*$K$6</f>
        <v>0</v>
      </c>
      <c r="Q71" s="247">
        <f>'2.1 Building inputs'!L49*$K$6</f>
        <v>0</v>
      </c>
      <c r="R71" s="247">
        <f>'2.1 Building inputs'!M49*$K$6</f>
        <v>0</v>
      </c>
      <c r="S71" s="247">
        <f>'2.1 Building inputs'!N49*$K$6</f>
        <v>0</v>
      </c>
      <c r="T71" s="247">
        <f>'2.1 Building inputs'!O49*$K$6</f>
        <v>0</v>
      </c>
      <c r="U71" s="247">
        <f>'2.1 Building inputs'!P49*$K$6</f>
        <v>0</v>
      </c>
      <c r="V71" s="247">
        <f>'2.1 Building inputs'!Q49*$K$6</f>
        <v>0</v>
      </c>
      <c r="W71" s="247">
        <f>'2.1 Building inputs'!R49*$K$6</f>
        <v>0</v>
      </c>
      <c r="X71" s="247">
        <f>'2.1 Building inputs'!S49*$K$6</f>
        <v>0</v>
      </c>
      <c r="Y71" s="247">
        <f>'2.1 Building inputs'!T49*$K$6</f>
        <v>0</v>
      </c>
      <c r="Z71" s="247">
        <f>'2.1 Building inputs'!U49*$K$6</f>
        <v>0</v>
      </c>
      <c r="AA71" s="247">
        <f>'2.1 Building inputs'!V49*$K$6</f>
        <v>0</v>
      </c>
      <c r="AB71" s="247">
        <f>'2.1 Building inputs'!W49*$K$6</f>
        <v>0</v>
      </c>
      <c r="AC71" s="247">
        <f>'2.1 Building inputs'!X49*$K$6</f>
        <v>0</v>
      </c>
      <c r="AD71" s="247">
        <f>'2.1 Building inputs'!Y49*$K$6</f>
        <v>0</v>
      </c>
      <c r="AE71" s="247">
        <f>'2.1 Building inputs'!Z49*$K$6</f>
        <v>0</v>
      </c>
      <c r="AF71" s="247">
        <f>'2.1 Building inputs'!AA49*$K$6</f>
        <v>0</v>
      </c>
      <c r="AG71" s="247">
        <f>'2.1 Building inputs'!AB49*$K$6</f>
        <v>0</v>
      </c>
      <c r="AH71" s="247">
        <f>'2.1 Building inputs'!AC49*$K$6</f>
        <v>0</v>
      </c>
      <c r="AI71" s="247">
        <f>'2.1 Building inputs'!AD49*$K$6</f>
        <v>0</v>
      </c>
      <c r="AJ71" s="247">
        <f>'2.1 Building inputs'!AE49*$K$6</f>
        <v>0</v>
      </c>
      <c r="AK71" s="247">
        <f>'2.1 Building inputs'!AF49*$K$6</f>
        <v>0</v>
      </c>
      <c r="AL71" s="247">
        <f>'2.1 Building inputs'!AG49*$K$6</f>
        <v>0</v>
      </c>
      <c r="AM71" s="247">
        <f>'2.1 Building inputs'!AH49*$K$6</f>
        <v>0</v>
      </c>
      <c r="AN71" s="247">
        <f>'2.1 Building inputs'!AI49*$K$6</f>
        <v>0</v>
      </c>
      <c r="AO71" s="247">
        <f>'2.1 Building inputs'!AJ49*$K$6</f>
        <v>0</v>
      </c>
      <c r="AP71" s="247">
        <f>'2.1 Building inputs'!AK49*$K$6</f>
        <v>0</v>
      </c>
      <c r="AQ71" s="247">
        <f>'2.1 Building inputs'!AL49*$K$6</f>
        <v>0</v>
      </c>
      <c r="AR71" s="247">
        <f>'2.1 Building inputs'!AM49*$K$6</f>
        <v>0</v>
      </c>
      <c r="AS71" s="247">
        <f>'2.1 Building inputs'!AN49*$K$6</f>
        <v>0</v>
      </c>
    </row>
    <row r="72" spans="1:45">
      <c r="A72" s="229">
        <v>9</v>
      </c>
      <c r="B72" s="229" t="s">
        <v>1090</v>
      </c>
      <c r="C72" s="234" t="s">
        <v>1080</v>
      </c>
      <c r="D72" s="229"/>
      <c r="E72" t="s">
        <v>414</v>
      </c>
      <c r="F72" s="313"/>
      <c r="G72" s="234"/>
      <c r="H72" s="234"/>
      <c r="I72" s="313"/>
      <c r="J72" s="247">
        <f>'2.1 Building inputs'!E50*$K$6</f>
        <v>0</v>
      </c>
      <c r="K72" s="247">
        <f>'2.1 Building inputs'!F50*$K$6</f>
        <v>0</v>
      </c>
      <c r="L72" s="247">
        <f>'2.1 Building inputs'!G50*$K$6</f>
        <v>0</v>
      </c>
      <c r="M72" s="247">
        <f>'2.1 Building inputs'!H50*$K$6</f>
        <v>0</v>
      </c>
      <c r="N72" s="247">
        <f>'2.1 Building inputs'!I50*$K$6</f>
        <v>0</v>
      </c>
      <c r="O72" s="247">
        <f>'2.1 Building inputs'!J50*$K$6</f>
        <v>0</v>
      </c>
      <c r="P72" s="247">
        <f>'2.1 Building inputs'!K50*$K$6</f>
        <v>223.07412497611324</v>
      </c>
      <c r="Q72" s="247">
        <f>'2.1 Building inputs'!L50*$K$6</f>
        <v>446.14824995222648</v>
      </c>
      <c r="R72" s="247">
        <f>'2.1 Building inputs'!M50*$K$6</f>
        <v>669.2223749283396</v>
      </c>
      <c r="S72" s="247">
        <f>'2.1 Building inputs'!N50*$K$6</f>
        <v>892.29649990445296</v>
      </c>
      <c r="T72" s="247">
        <f>'2.1 Building inputs'!O50*$K$6</f>
        <v>1115.3706248805661</v>
      </c>
      <c r="U72" s="247">
        <f>'2.1 Building inputs'!P50*$K$6</f>
        <v>1338.4447498566792</v>
      </c>
      <c r="V72" s="247">
        <f>'2.1 Building inputs'!Q50*$K$6</f>
        <v>1561.5188748327928</v>
      </c>
      <c r="W72" s="247">
        <f>'2.1 Building inputs'!R50*$K$6</f>
        <v>1784.5929998089059</v>
      </c>
      <c r="X72" s="247">
        <f>'2.1 Building inputs'!S50*$K$6</f>
        <v>2007.667124785019</v>
      </c>
      <c r="Y72" s="247">
        <f>'2.1 Building inputs'!T50*$K$6</f>
        <v>2007.667124785019</v>
      </c>
      <c r="Z72" s="247">
        <f>'2.1 Building inputs'!U50*$K$6</f>
        <v>1606.1336998280153</v>
      </c>
      <c r="AA72" s="247">
        <f>'2.1 Building inputs'!V50*$K$6</f>
        <v>1204.6002748710114</v>
      </c>
      <c r="AB72" s="247">
        <f>'2.1 Building inputs'!W50*$K$6</f>
        <v>803.06684991400778</v>
      </c>
      <c r="AC72" s="247">
        <f>'2.1 Building inputs'!X50*$K$6</f>
        <v>401.53342495700383</v>
      </c>
      <c r="AD72" s="247">
        <f>'2.1 Building inputs'!Y50*$K$6</f>
        <v>0</v>
      </c>
      <c r="AE72" s="247">
        <f>'2.1 Building inputs'!Z50*$K$6</f>
        <v>0</v>
      </c>
      <c r="AF72" s="247">
        <f>'2.1 Building inputs'!AA50*$K$6</f>
        <v>0</v>
      </c>
      <c r="AG72" s="247">
        <f>'2.1 Building inputs'!AB50*$K$6</f>
        <v>0</v>
      </c>
      <c r="AH72" s="247">
        <f>'2.1 Building inputs'!AC50*$K$6</f>
        <v>0</v>
      </c>
      <c r="AI72" s="247">
        <f>'2.1 Building inputs'!AD50*$K$6</f>
        <v>0</v>
      </c>
      <c r="AJ72" s="247">
        <f>'2.1 Building inputs'!AE50*$K$6</f>
        <v>0</v>
      </c>
      <c r="AK72" s="247">
        <f>'2.1 Building inputs'!AF50*$K$6</f>
        <v>0</v>
      </c>
      <c r="AL72" s="247">
        <f>'2.1 Building inputs'!AG50*$K$6</f>
        <v>0</v>
      </c>
      <c r="AM72" s="247">
        <f>'2.1 Building inputs'!AH50*$K$6</f>
        <v>0</v>
      </c>
      <c r="AN72" s="247">
        <f>'2.1 Building inputs'!AI50*$K$6</f>
        <v>0</v>
      </c>
      <c r="AO72" s="247">
        <f>'2.1 Building inputs'!AJ50*$K$6</f>
        <v>0</v>
      </c>
      <c r="AP72" s="247">
        <f>'2.1 Building inputs'!AK50*$K$6</f>
        <v>0</v>
      </c>
      <c r="AQ72" s="247">
        <f>'2.1 Building inputs'!AL50*$K$6</f>
        <v>0</v>
      </c>
      <c r="AR72" s="247">
        <f>'2.1 Building inputs'!AM50*$K$6</f>
        <v>0</v>
      </c>
      <c r="AS72" s="247">
        <f>'2.1 Building inputs'!AN50*$K$6</f>
        <v>0</v>
      </c>
    </row>
    <row r="73" spans="1:45">
      <c r="A73" s="229" t="s">
        <v>208</v>
      </c>
      <c r="B73" s="229" t="s">
        <v>1091</v>
      </c>
      <c r="C73" s="234" t="s">
        <v>1080</v>
      </c>
      <c r="D73" s="229"/>
      <c r="E73" s="299" t="s">
        <v>1077</v>
      </c>
      <c r="F73" s="313"/>
      <c r="G73" s="234"/>
      <c r="H73" s="234"/>
      <c r="I73" s="313"/>
      <c r="J73" s="313"/>
      <c r="K73" s="313"/>
      <c r="L73" s="313"/>
      <c r="M73" s="313"/>
      <c r="N73" s="313"/>
      <c r="O73" s="313"/>
      <c r="P73" s="313"/>
      <c r="Q73" s="313"/>
      <c r="R73" s="313"/>
      <c r="S73" s="313"/>
      <c r="T73" s="313"/>
      <c r="U73" s="313"/>
      <c r="V73" s="313"/>
      <c r="W73" s="313"/>
      <c r="X73" s="313"/>
      <c r="Y73" s="313"/>
      <c r="Z73" s="313"/>
      <c r="AA73" s="313"/>
      <c r="AB73" s="313"/>
      <c r="AC73" s="313"/>
      <c r="AD73" s="313"/>
      <c r="AE73" s="313"/>
      <c r="AF73" s="313"/>
      <c r="AG73" s="313"/>
      <c r="AH73" s="313"/>
      <c r="AI73" s="313"/>
      <c r="AJ73" s="313"/>
      <c r="AK73" s="313"/>
      <c r="AL73" s="313"/>
      <c r="AM73" s="313"/>
      <c r="AN73" s="313"/>
      <c r="AO73" s="313"/>
      <c r="AP73" s="313"/>
      <c r="AQ73" s="313"/>
      <c r="AR73" s="313"/>
      <c r="AS73" s="313"/>
    </row>
    <row r="74" spans="1:45">
      <c r="A74" s="240"/>
      <c r="B74" s="240"/>
      <c r="C74" s="240"/>
      <c r="D74" s="241" t="s">
        <v>1092</v>
      </c>
      <c r="E74" s="242"/>
      <c r="F74" s="240"/>
      <c r="G74" s="240"/>
      <c r="H74" s="240"/>
      <c r="I74" s="240"/>
      <c r="J74" s="240"/>
      <c r="K74" s="240"/>
      <c r="L74" s="240"/>
      <c r="M74" s="240"/>
      <c r="N74" s="240"/>
      <c r="O74" s="240"/>
      <c r="P74" s="240"/>
      <c r="Q74" s="240"/>
      <c r="R74" s="240"/>
      <c r="S74" s="240"/>
      <c r="T74" s="240"/>
      <c r="U74" s="240"/>
      <c r="V74" s="240"/>
      <c r="W74" s="240"/>
      <c r="X74" s="240"/>
      <c r="Y74" s="240"/>
      <c r="Z74" s="240"/>
      <c r="AA74" s="240"/>
      <c r="AB74" s="240"/>
      <c r="AC74" s="240"/>
      <c r="AD74" s="240"/>
      <c r="AE74" s="240"/>
      <c r="AF74" s="240"/>
      <c r="AG74" s="240"/>
      <c r="AH74" s="240"/>
      <c r="AI74" s="240"/>
      <c r="AJ74" s="240"/>
      <c r="AK74" s="240"/>
      <c r="AL74" s="240"/>
      <c r="AM74" s="240"/>
      <c r="AN74" s="240"/>
      <c r="AO74" s="240"/>
      <c r="AP74" s="240"/>
      <c r="AQ74" s="240"/>
      <c r="AR74" s="240"/>
      <c r="AS74" s="240"/>
    </row>
    <row r="75" spans="1:45">
      <c r="A75" s="229">
        <v>0</v>
      </c>
      <c r="B75" s="229" t="s">
        <v>1093</v>
      </c>
      <c r="C75" s="234" t="s">
        <v>1094</v>
      </c>
      <c r="D75" s="229"/>
      <c r="E75" s="229" t="s">
        <v>1081</v>
      </c>
      <c r="F75" s="313"/>
      <c r="G75" s="234"/>
      <c r="H75" s="234"/>
      <c r="I75" s="313"/>
      <c r="J75" s="313"/>
      <c r="K75" s="313"/>
      <c r="L75" s="313"/>
      <c r="M75" s="313"/>
      <c r="N75" s="313"/>
      <c r="O75" s="313"/>
      <c r="P75" s="313"/>
      <c r="Q75" s="313"/>
      <c r="R75" s="313"/>
      <c r="S75" s="313"/>
      <c r="T75" s="313"/>
      <c r="U75" s="313"/>
      <c r="V75" s="313"/>
      <c r="W75" s="313"/>
      <c r="X75" s="313"/>
      <c r="Y75" s="313"/>
      <c r="Z75" s="313"/>
      <c r="AA75" s="313"/>
      <c r="AB75" s="313"/>
      <c r="AC75" s="313"/>
      <c r="AD75" s="313"/>
      <c r="AE75" s="313"/>
      <c r="AF75" s="313"/>
      <c r="AG75" s="313"/>
      <c r="AH75" s="313"/>
      <c r="AI75" s="313"/>
      <c r="AJ75" s="313"/>
      <c r="AK75" s="313"/>
      <c r="AL75" s="313"/>
      <c r="AM75" s="313"/>
      <c r="AN75" s="313"/>
      <c r="AO75" s="313"/>
      <c r="AP75" s="313"/>
      <c r="AQ75" s="313"/>
      <c r="AR75" s="313"/>
      <c r="AS75" s="313"/>
    </row>
    <row r="76" spans="1:45">
      <c r="A76" s="229">
        <v>1</v>
      </c>
      <c r="B76" s="229" t="s">
        <v>1095</v>
      </c>
      <c r="C76" s="234" t="s">
        <v>1094</v>
      </c>
      <c r="D76" s="229"/>
      <c r="E76" t="s">
        <v>403</v>
      </c>
      <c r="F76" s="313"/>
      <c r="G76" s="234"/>
      <c r="H76" s="234"/>
      <c r="I76" s="313"/>
      <c r="J76" s="247">
        <f>'2.1 Building inputs'!E34*$G$6+'2.1 Building inputs'!E36*$I$6</f>
        <v>0</v>
      </c>
      <c r="K76" s="247">
        <f>'2.1 Building inputs'!F34*$G$6+'2.1 Building inputs'!F36*$I$6</f>
        <v>27722.108565214061</v>
      </c>
      <c r="L76" s="247">
        <f>'2.1 Building inputs'!G34*$G$6+'2.1 Building inputs'!G36*$I$6</f>
        <v>27722.108565214061</v>
      </c>
      <c r="M76" s="247">
        <f>'2.1 Building inputs'!H34*$G$6+'2.1 Building inputs'!H36*$I$6</f>
        <v>27722.108565214061</v>
      </c>
      <c r="N76" s="247">
        <f>'2.1 Building inputs'!I34*$G$6+'2.1 Building inputs'!I36*$I$6</f>
        <v>60069.960425806428</v>
      </c>
      <c r="O76" s="247">
        <f>'2.1 Building inputs'!J34*$G$6+'2.1 Building inputs'!J36*$I$6</f>
        <v>92417.812286398708</v>
      </c>
      <c r="P76" s="247">
        <f>'2.1 Building inputs'!K34*$G$6+'2.1 Building inputs'!K36*$I$6</f>
        <v>120505.40089849282</v>
      </c>
      <c r="Q76" s="247">
        <f>'2.1 Building inputs'!L34*$G$6+'2.1 Building inputs'!L36*$I$6</f>
        <v>152853.25275908521</v>
      </c>
      <c r="R76" s="247">
        <f>'2.1 Building inputs'!M34*$G$6+'2.1 Building inputs'!M36*$I$6</f>
        <v>185201.10461967756</v>
      </c>
      <c r="S76" s="247">
        <f>'2.1 Building inputs'!N34*$G$6+'2.1 Building inputs'!N36*$I$6</f>
        <v>217548.95648026993</v>
      </c>
      <c r="T76" s="247">
        <f>'2.1 Building inputs'!O34*$G$6+'2.1 Building inputs'!O36*$I$6</f>
        <v>249896.80834086251</v>
      </c>
      <c r="U76" s="247">
        <f>'2.1 Building inputs'!P34*$G$6+'2.1 Building inputs'!P36*$I$6</f>
        <v>245428.57444594105</v>
      </c>
      <c r="V76" s="247">
        <f>'2.1 Building inputs'!Q34*$G$6+'2.1 Building inputs'!Q36*$I$6</f>
        <v>18993.611421794485</v>
      </c>
      <c r="W76" s="247">
        <f>'2.1 Building inputs'!R34*$G$6+'2.1 Building inputs'!R36*$I$6</f>
        <v>18993.611421794485</v>
      </c>
      <c r="X76" s="247">
        <f>'2.1 Building inputs'!S34*$G$6+'2.1 Building inputs'!S36*$I$6</f>
        <v>18993.611421794485</v>
      </c>
      <c r="Y76" s="247">
        <f>'2.1 Building inputs'!T34*$G$6+'2.1 Building inputs'!T36*$I$6</f>
        <v>18993.611421794467</v>
      </c>
      <c r="Z76" s="247">
        <f>'2.1 Building inputs'!U34*$G$6+'2.1 Building inputs'!U36*$I$6</f>
        <v>8755.8243596863649</v>
      </c>
      <c r="AA76" s="247">
        <f>'2.1 Building inputs'!V34*$G$6+'2.1 Building inputs'!V36*$I$6</f>
        <v>8755.8243596863249</v>
      </c>
      <c r="AB76" s="247">
        <f>'2.1 Building inputs'!W34*$G$6+'2.1 Building inputs'!W36*$I$6</f>
        <v>8755.8243596863249</v>
      </c>
      <c r="AC76" s="247">
        <f>'2.1 Building inputs'!X34*$G$6+'2.1 Building inputs'!X36*$I$6</f>
        <v>8755.8243596863249</v>
      </c>
      <c r="AD76" s="247">
        <f>'2.1 Building inputs'!Y34*$G$6+'2.1 Building inputs'!Y36*$I$6</f>
        <v>8755.8243596863249</v>
      </c>
      <c r="AE76" s="247">
        <f>'2.1 Building inputs'!Z34*$G$6+'2.1 Building inputs'!Z36*$I$6</f>
        <v>8755.8243596863249</v>
      </c>
      <c r="AF76" s="247">
        <f>'2.1 Building inputs'!AA34*$G$6+'2.1 Building inputs'!AA36*$I$6</f>
        <v>8755.8243596863249</v>
      </c>
      <c r="AG76" s="247">
        <f>'2.1 Building inputs'!AB34*$G$6+'2.1 Building inputs'!AB36*$I$6</f>
        <v>8755.8243596863249</v>
      </c>
      <c r="AH76" s="247">
        <f>'2.1 Building inputs'!AC34*$G$6+'2.1 Building inputs'!AC36*$I$6</f>
        <v>8755.8243596863249</v>
      </c>
      <c r="AI76" s="247">
        <f>'2.1 Building inputs'!AD34*$G$6+'2.1 Building inputs'!AD36*$I$6</f>
        <v>8755.8243596870816</v>
      </c>
      <c r="AJ76" s="247">
        <f>'2.1 Building inputs'!AE34*$G$6+'2.1 Building inputs'!AE36*$I$6</f>
        <v>8755.8243596864868</v>
      </c>
      <c r="AK76" s="247">
        <f>'2.1 Building inputs'!AF34*$G$6+'2.1 Building inputs'!AF36*$I$6</f>
        <v>8755.824359686565</v>
      </c>
      <c r="AL76" s="247">
        <f>'2.1 Building inputs'!AG34*$G$6+'2.1 Building inputs'!AG36*$I$6</f>
        <v>8755.824359686565</v>
      </c>
      <c r="AM76" s="247">
        <f>'2.1 Building inputs'!AH34*$G$6+'2.1 Building inputs'!AH36*$I$6</f>
        <v>8755.824359686565</v>
      </c>
      <c r="AN76" s="247">
        <f>'2.1 Building inputs'!AI34*$G$6+'2.1 Building inputs'!AI36*$I$6</f>
        <v>8755.824359686565</v>
      </c>
      <c r="AO76" s="247">
        <f>'2.1 Building inputs'!AJ34*$G$6+'2.1 Building inputs'!AJ36*$I$6</f>
        <v>8755.824359686565</v>
      </c>
      <c r="AP76" s="247">
        <f>'2.1 Building inputs'!AK34*$G$6+'2.1 Building inputs'!AK36*$I$6</f>
        <v>8755.824359686565</v>
      </c>
      <c r="AQ76" s="247">
        <f>'2.1 Building inputs'!AL34*$G$6+'2.1 Building inputs'!AL36*$I$6</f>
        <v>8755.824359686565</v>
      </c>
      <c r="AR76" s="247">
        <f>'2.1 Building inputs'!AM34*$G$6+'2.1 Building inputs'!AM36*$I$6</f>
        <v>8755.824359686565</v>
      </c>
      <c r="AS76" s="247">
        <f>'2.1 Building inputs'!AN34*$G$6+'2.1 Building inputs'!AN36*$I$6</f>
        <v>8755.8243596857574</v>
      </c>
    </row>
    <row r="77" spans="1:45">
      <c r="A77" s="229">
        <v>2</v>
      </c>
      <c r="B77" s="229" t="s">
        <v>1096</v>
      </c>
      <c r="C77" s="234" t="s">
        <v>1094</v>
      </c>
      <c r="D77" s="229"/>
      <c r="E77" t="s">
        <v>404</v>
      </c>
      <c r="F77" s="313"/>
      <c r="G77" s="234"/>
      <c r="H77" s="234"/>
      <c r="I77" s="313"/>
      <c r="J77" s="247">
        <f>'2.1 Building inputs'!E35*$G$6+'2.1 Building inputs'!E37*$I$6</f>
        <v>0</v>
      </c>
      <c r="K77" s="247">
        <f>'2.1 Building inputs'!F35*$G$6+'2.1 Building inputs'!F37*$I$6</f>
        <v>27722.108565214061</v>
      </c>
      <c r="L77" s="247">
        <f>'2.1 Building inputs'!G35*$G$6+'2.1 Building inputs'!G37*$I$6</f>
        <v>27722.108565214061</v>
      </c>
      <c r="M77" s="247">
        <f>'2.1 Building inputs'!H35*$G$6+'2.1 Building inputs'!H37*$I$6</f>
        <v>27722.108565214061</v>
      </c>
      <c r="N77" s="247">
        <f>'2.1 Building inputs'!I35*$G$6+'2.1 Building inputs'!I37*$I$6</f>
        <v>34710.841991885252</v>
      </c>
      <c r="O77" s="247">
        <f>'2.1 Building inputs'!J35*$G$6+'2.1 Building inputs'!J37*$I$6</f>
        <v>41699.575418556356</v>
      </c>
      <c r="P77" s="247">
        <f>'2.1 Building inputs'!K35*$G$6+'2.1 Building inputs'!K37*$I$6</f>
        <v>44428.045596729309</v>
      </c>
      <c r="Q77" s="247">
        <f>'2.1 Building inputs'!L35*$G$6+'2.1 Building inputs'!L37*$I$6</f>
        <v>51416.779023400501</v>
      </c>
      <c r="R77" s="247">
        <f>'2.1 Building inputs'!M35*$G$6+'2.1 Building inputs'!M37*$I$6</f>
        <v>58405.512450071692</v>
      </c>
      <c r="S77" s="247">
        <f>'2.1 Building inputs'!N35*$G$6+'2.1 Building inputs'!N37*$I$6</f>
        <v>65394.245876742876</v>
      </c>
      <c r="T77" s="247">
        <f>'2.1 Building inputs'!O35*$G$6+'2.1 Building inputs'!O37*$I$6</f>
        <v>72382.979303414264</v>
      </c>
      <c r="U77" s="247">
        <f>'2.1 Building inputs'!P35*$G$6+'2.1 Building inputs'!P37*$I$6</f>
        <v>74903.478835164002</v>
      </c>
      <c r="V77" s="247">
        <f>'2.1 Building inputs'!Q35*$G$6+'2.1 Building inputs'!Q37*$I$6</f>
        <v>81892.212261835186</v>
      </c>
      <c r="W77" s="247">
        <f>'2.1 Building inputs'!R35*$G$6+'2.1 Building inputs'!R37*$I$6</f>
        <v>88880.945688506399</v>
      </c>
      <c r="X77" s="247">
        <f>'2.1 Building inputs'!S35*$G$6+'2.1 Building inputs'!S37*$I$6</f>
        <v>95869.679115177569</v>
      </c>
      <c r="Y77" s="247">
        <f>'2.1 Building inputs'!T35*$G$6+'2.1 Building inputs'!T37*$I$6</f>
        <v>102858.41254184874</v>
      </c>
      <c r="Z77" s="247">
        <f>'2.1 Building inputs'!U35*$G$6+'2.1 Building inputs'!U37*$I$6</f>
        <v>87029.638738403679</v>
      </c>
      <c r="AA77" s="247">
        <f>'2.1 Building inputs'!V35*$G$6+'2.1 Building inputs'!V37*$I$6</f>
        <v>81438.651997066685</v>
      </c>
      <c r="AB77" s="247">
        <f>'2.1 Building inputs'!W35*$G$6+'2.1 Building inputs'!W37*$I$6</f>
        <v>75847.665255729749</v>
      </c>
      <c r="AC77" s="247">
        <f>'2.1 Building inputs'!X35*$G$6+'2.1 Building inputs'!X37*$I$6</f>
        <v>70256.678514392785</v>
      </c>
      <c r="AD77" s="247">
        <f>'2.1 Building inputs'!Y35*$G$6+'2.1 Building inputs'!Y37*$I$6</f>
        <v>64665.691773055827</v>
      </c>
      <c r="AE77" s="247">
        <f>'2.1 Building inputs'!Z35*$G$6+'2.1 Building inputs'!Z37*$I$6</f>
        <v>59074.705031718884</v>
      </c>
      <c r="AF77" s="247">
        <f>'2.1 Building inputs'!AA35*$G$6+'2.1 Building inputs'!AA37*$I$6</f>
        <v>53483.718290381934</v>
      </c>
      <c r="AG77" s="247">
        <f>'2.1 Building inputs'!AB35*$G$6+'2.1 Building inputs'!AB37*$I$6</f>
        <v>47892.731549044976</v>
      </c>
      <c r="AH77" s="247">
        <f>'2.1 Building inputs'!AC35*$G$6+'2.1 Building inputs'!AC37*$I$6</f>
        <v>42301.744807708026</v>
      </c>
      <c r="AI77" s="247">
        <f>'2.1 Building inputs'!AD35*$G$6+'2.1 Building inputs'!AD37*$I$6</f>
        <v>36710.758066371833</v>
      </c>
      <c r="AJ77" s="247">
        <f>'2.1 Building inputs'!AE35*$G$6+'2.1 Building inputs'!AE37*$I$6</f>
        <v>31119.771325034289</v>
      </c>
      <c r="AK77" s="247">
        <f>'2.1 Building inputs'!AF35*$G$6+'2.1 Building inputs'!AF37*$I$6</f>
        <v>25528.784583697419</v>
      </c>
      <c r="AL77" s="247">
        <f>'2.1 Building inputs'!AG35*$G$6+'2.1 Building inputs'!AG37*$I$6</f>
        <v>19937.797842360465</v>
      </c>
      <c r="AM77" s="247">
        <f>'2.1 Building inputs'!AH35*$G$6+'2.1 Building inputs'!AH37*$I$6</f>
        <v>14346.811101023519</v>
      </c>
      <c r="AN77" s="247">
        <f>'2.1 Building inputs'!AI35*$G$6+'2.1 Building inputs'!AI37*$I$6</f>
        <v>8755.824359686565</v>
      </c>
      <c r="AO77" s="247">
        <f>'2.1 Building inputs'!AJ35*$G$6+'2.1 Building inputs'!AJ37*$I$6</f>
        <v>8755.824359686565</v>
      </c>
      <c r="AP77" s="247">
        <f>'2.1 Building inputs'!AK35*$G$6+'2.1 Building inputs'!AK37*$I$6</f>
        <v>8755.824359686565</v>
      </c>
      <c r="AQ77" s="247">
        <f>'2.1 Building inputs'!AL35*$G$6+'2.1 Building inputs'!AL37*$I$6</f>
        <v>8755.824359686565</v>
      </c>
      <c r="AR77" s="247">
        <f>'2.1 Building inputs'!AM35*$G$6+'2.1 Building inputs'!AM37*$I$6</f>
        <v>8755.824359686565</v>
      </c>
      <c r="AS77" s="247">
        <f>'2.1 Building inputs'!AN35*$G$6+'2.1 Building inputs'!AN37*$I$6</f>
        <v>8755.8243596857574</v>
      </c>
    </row>
    <row r="78" spans="1:45">
      <c r="A78" s="229">
        <v>3</v>
      </c>
      <c r="B78" s="229" t="s">
        <v>1097</v>
      </c>
      <c r="C78" s="234" t="s">
        <v>1094</v>
      </c>
      <c r="D78" s="229"/>
      <c r="E78" t="s">
        <v>405</v>
      </c>
      <c r="F78" s="313"/>
      <c r="G78" s="234"/>
      <c r="H78" s="234"/>
      <c r="I78" s="313"/>
      <c r="J78" s="247">
        <f>'2.1 Building inputs'!E38*$I$6</f>
        <v>0</v>
      </c>
      <c r="K78" s="247">
        <f>'2.1 Building inputs'!F38*$I$6</f>
        <v>17326.317853258788</v>
      </c>
      <c r="L78" s="247">
        <f>'2.1 Building inputs'!G38*$I$6</f>
        <v>17326.317853258788</v>
      </c>
      <c r="M78" s="247">
        <f>'2.1 Building inputs'!H38*$I$6</f>
        <v>17326.317853258788</v>
      </c>
      <c r="N78" s="247">
        <f>'2.1 Building inputs'!I38*$I$6</f>
        <v>17326.317853258788</v>
      </c>
      <c r="O78" s="247">
        <f>'2.1 Building inputs'!J38*$I$6</f>
        <v>17326.317853258737</v>
      </c>
      <c r="P78" s="247">
        <f>'2.1 Building inputs'!K38*$I$6</f>
        <v>14663.653322947339</v>
      </c>
      <c r="Q78" s="247">
        <f>'2.1 Building inputs'!L38*$I$6</f>
        <v>14663.653322947339</v>
      </c>
      <c r="R78" s="247">
        <f>'2.1 Building inputs'!M38*$I$6</f>
        <v>14663.653322947339</v>
      </c>
      <c r="S78" s="247">
        <f>'2.1 Building inputs'!N38*$I$6</f>
        <v>14663.653322947339</v>
      </c>
      <c r="T78" s="247">
        <f>'2.1 Building inputs'!O38*$I$6</f>
        <v>14663.653322947463</v>
      </c>
      <c r="U78" s="247">
        <f>'2.1 Building inputs'!P38*$I$6</f>
        <v>11871.007138621553</v>
      </c>
      <c r="V78" s="247">
        <f>'2.1 Building inputs'!Q38*$I$6</f>
        <v>11871.007138621553</v>
      </c>
      <c r="W78" s="247">
        <f>'2.1 Building inputs'!R38*$I$6</f>
        <v>11871.007138621553</v>
      </c>
      <c r="X78" s="247">
        <f>'2.1 Building inputs'!S38*$I$6</f>
        <v>11871.007138621553</v>
      </c>
      <c r="Y78" s="247">
        <f>'2.1 Building inputs'!T38*$I$6</f>
        <v>11871.00713862154</v>
      </c>
      <c r="Z78" s="247">
        <f>'2.1 Building inputs'!U38*$I$6</f>
        <v>5472.3902248039776</v>
      </c>
      <c r="AA78" s="247">
        <f>'2.1 Building inputs'!V38*$I$6</f>
        <v>5472.3902248039522</v>
      </c>
      <c r="AB78" s="247">
        <f>'2.1 Building inputs'!W38*$I$6</f>
        <v>5472.3902248039522</v>
      </c>
      <c r="AC78" s="247">
        <f>'2.1 Building inputs'!X38*$I$6</f>
        <v>5472.3902248039522</v>
      </c>
      <c r="AD78" s="247">
        <f>'2.1 Building inputs'!Y38*$I$6</f>
        <v>5472.3902248039522</v>
      </c>
      <c r="AE78" s="247">
        <f>'2.1 Building inputs'!Z38*$I$6</f>
        <v>5472.3902248039522</v>
      </c>
      <c r="AF78" s="247">
        <f>'2.1 Building inputs'!AA38*$I$6</f>
        <v>5472.3902248039522</v>
      </c>
      <c r="AG78" s="247">
        <f>'2.1 Building inputs'!AB38*$I$6</f>
        <v>5472.3902248039522</v>
      </c>
      <c r="AH78" s="247">
        <f>'2.1 Building inputs'!AC38*$I$6</f>
        <v>5472.3902248039522</v>
      </c>
      <c r="AI78" s="247">
        <f>'2.1 Building inputs'!AD38*$I$6</f>
        <v>5472.3902248044251</v>
      </c>
      <c r="AJ78" s="247">
        <f>'2.1 Building inputs'!AE38*$I$6</f>
        <v>5472.3902248040531</v>
      </c>
      <c r="AK78" s="247">
        <f>'2.1 Building inputs'!AF38*$I$6</f>
        <v>5472.3902248041031</v>
      </c>
      <c r="AL78" s="247">
        <f>'2.1 Building inputs'!AG38*$I$6</f>
        <v>5472.3902248041031</v>
      </c>
      <c r="AM78" s="247">
        <f>'2.1 Building inputs'!AH38*$I$6</f>
        <v>5472.3902248041031</v>
      </c>
      <c r="AN78" s="247">
        <f>'2.1 Building inputs'!AI38*$I$6</f>
        <v>5472.3902248041031</v>
      </c>
      <c r="AO78" s="247">
        <f>'2.1 Building inputs'!AJ38*$I$6</f>
        <v>5472.3902248041031</v>
      </c>
      <c r="AP78" s="247">
        <f>'2.1 Building inputs'!AK38*$I$6</f>
        <v>5472.3902248041031</v>
      </c>
      <c r="AQ78" s="247">
        <f>'2.1 Building inputs'!AL38*$I$6</f>
        <v>5472.3902248041031</v>
      </c>
      <c r="AR78" s="247">
        <f>'2.1 Building inputs'!AM38*$I$6</f>
        <v>5472.3902248041031</v>
      </c>
      <c r="AS78" s="247">
        <f>'2.1 Building inputs'!AN38*$I$6</f>
        <v>5472.3902248035993</v>
      </c>
    </row>
    <row r="79" spans="1:45">
      <c r="A79" s="229">
        <v>4</v>
      </c>
      <c r="B79" s="229" t="s">
        <v>1098</v>
      </c>
      <c r="C79" s="234" t="s">
        <v>1094</v>
      </c>
      <c r="D79" s="229"/>
      <c r="E79" t="s">
        <v>421</v>
      </c>
      <c r="F79" s="313"/>
      <c r="G79" s="234"/>
      <c r="H79" s="234"/>
      <c r="I79" s="313"/>
      <c r="J79" s="247">
        <f>'2.1 Building inputs'!E52*$K$6+'2.1 Building inputs'!E54*$M$6</f>
        <v>0</v>
      </c>
      <c r="K79" s="247">
        <f>'2.1 Building inputs'!F52*$K$6+'2.1 Building inputs'!F54*$M$6</f>
        <v>2092.7930170740001</v>
      </c>
      <c r="L79" s="247">
        <f>'2.1 Building inputs'!G52*$K$6+'2.1 Building inputs'!G54*$M$6</f>
        <v>2092.7930170740001</v>
      </c>
      <c r="M79" s="247">
        <f>'2.1 Building inputs'!H52*$K$6+'2.1 Building inputs'!H54*$M$6</f>
        <v>2092.7930170739996</v>
      </c>
      <c r="N79" s="247">
        <f>'2.1 Building inputs'!I52*$K$6+'2.1 Building inputs'!I54*$M$6</f>
        <v>6985.570316781098</v>
      </c>
      <c r="O79" s="247">
        <f>'2.1 Building inputs'!J52*$K$6+'2.1 Building inputs'!J54*$M$6</f>
        <v>11878.347616488194</v>
      </c>
      <c r="P79" s="247">
        <f>'2.1 Building inputs'!K52*$K$6+'2.1 Building inputs'!K54*$M$6</f>
        <v>16771.124916195291</v>
      </c>
      <c r="Q79" s="247">
        <f>'2.1 Building inputs'!L52*$K$6+'2.1 Building inputs'!L54*$M$6</f>
        <v>21663.902215902388</v>
      </c>
      <c r="R79" s="247">
        <f>'2.1 Building inputs'!M52*$K$6+'2.1 Building inputs'!M54*$M$6</f>
        <v>26556.679515609489</v>
      </c>
      <c r="S79" s="247">
        <f>'2.1 Building inputs'!N52*$K$6+'2.1 Building inputs'!N54*$M$6</f>
        <v>31449.456815316586</v>
      </c>
      <c r="T79" s="247">
        <f>'2.1 Building inputs'!O52*$K$6+'2.1 Building inputs'!O54*$M$6</f>
        <v>36342.234115023683</v>
      </c>
      <c r="U79" s="247">
        <f>'2.1 Building inputs'!P52*$K$6+'2.1 Building inputs'!P54*$M$6</f>
        <v>35785.917247948106</v>
      </c>
      <c r="V79" s="247">
        <f>'2.1 Building inputs'!Q52*$K$6+'2.1 Building inputs'!Q54*$M$6</f>
        <v>1536.4761499984249</v>
      </c>
      <c r="W79" s="247">
        <f>'2.1 Building inputs'!R52*$K$6+'2.1 Building inputs'!R54*$M$6</f>
        <v>1536.4761499984245</v>
      </c>
      <c r="X79" s="247">
        <f>'2.1 Building inputs'!S52*$K$6+'2.1 Building inputs'!S54*$M$6</f>
        <v>1536.4761499984249</v>
      </c>
      <c r="Y79" s="247">
        <f>'2.1 Building inputs'!T52*$K$6+'2.1 Building inputs'!T54*$M$6</f>
        <v>1536.4761499984249</v>
      </c>
      <c r="Z79" s="247">
        <f>'2.1 Building inputs'!U52*$K$6+'2.1 Building inputs'!U54*$M$6</f>
        <v>1536.4761499984249</v>
      </c>
      <c r="AA79" s="247">
        <f>'2.1 Building inputs'!V52*$K$6+'2.1 Building inputs'!V54*$M$6</f>
        <v>1536.4761499984252</v>
      </c>
      <c r="AB79" s="247">
        <f>'2.1 Building inputs'!W52*$K$6+'2.1 Building inputs'!W54*$M$6</f>
        <v>1536.4761499984252</v>
      </c>
      <c r="AC79" s="247">
        <f>'2.1 Building inputs'!X52*$K$6+'2.1 Building inputs'!X54*$M$6</f>
        <v>1536.4761499984252</v>
      </c>
      <c r="AD79" s="247">
        <f>'2.1 Building inputs'!Y52*$K$6+'2.1 Building inputs'!Y54*$M$6</f>
        <v>1536.4761499984252</v>
      </c>
      <c r="AE79" s="247">
        <f>'2.1 Building inputs'!Z52*$K$6+'2.1 Building inputs'!Z54*$M$6</f>
        <v>1536.4761499984252</v>
      </c>
      <c r="AF79" s="247">
        <f>'2.1 Building inputs'!AA52*$K$6+'2.1 Building inputs'!AA54*$M$6</f>
        <v>1536.4761499984252</v>
      </c>
      <c r="AG79" s="247">
        <f>'2.1 Building inputs'!AB52*$K$6+'2.1 Building inputs'!AB54*$M$6</f>
        <v>1536.4761499984252</v>
      </c>
      <c r="AH79" s="247">
        <f>'2.1 Building inputs'!AC52*$K$6+'2.1 Building inputs'!AC54*$M$6</f>
        <v>1536.4761499984245</v>
      </c>
      <c r="AI79" s="247">
        <f>'2.1 Building inputs'!AD52*$K$6+'2.1 Building inputs'!AD54*$M$6</f>
        <v>1536.4761499984245</v>
      </c>
      <c r="AJ79" s="247">
        <f>'2.1 Building inputs'!AE52*$K$6+'2.1 Building inputs'!AE54*$M$6</f>
        <v>1536.4761499984245</v>
      </c>
      <c r="AK79" s="247">
        <f>'2.1 Building inputs'!AF52*$K$6+'2.1 Building inputs'!AF54*$M$6</f>
        <v>1536.4761499984263</v>
      </c>
      <c r="AL79" s="247">
        <f>'2.1 Building inputs'!AG52*$K$6+'2.1 Building inputs'!AG54*$M$6</f>
        <v>1536.4761499984256</v>
      </c>
      <c r="AM79" s="247">
        <f>'2.1 Building inputs'!AH52*$K$6+'2.1 Building inputs'!AH54*$M$6</f>
        <v>1536.4761499984256</v>
      </c>
      <c r="AN79" s="247">
        <f>'2.1 Building inputs'!AI52*$K$6+'2.1 Building inputs'!AI54*$M$6</f>
        <v>1536.4761499984256</v>
      </c>
      <c r="AO79" s="247">
        <f>'2.1 Building inputs'!AJ52*$K$6+'2.1 Building inputs'!AJ54*$M$6</f>
        <v>1536.4761499984256</v>
      </c>
      <c r="AP79" s="247">
        <f>'2.1 Building inputs'!AK52*$K$6+'2.1 Building inputs'!AK54*$M$6</f>
        <v>1536.4761499984256</v>
      </c>
      <c r="AQ79" s="247">
        <f>'2.1 Building inputs'!AL52*$K$6+'2.1 Building inputs'!AL54*$M$6</f>
        <v>1536.4761499984256</v>
      </c>
      <c r="AR79" s="247">
        <f>'2.1 Building inputs'!AM52*$K$6+'2.1 Building inputs'!AM54*$M$6</f>
        <v>1536.4761499984256</v>
      </c>
      <c r="AS79" s="247">
        <f>'2.1 Building inputs'!AN52*$K$6+'2.1 Building inputs'!AN54*$M$6</f>
        <v>1536.476149998419</v>
      </c>
    </row>
    <row r="80" spans="1:45">
      <c r="A80" s="229">
        <v>5</v>
      </c>
      <c r="B80" s="229" t="s">
        <v>1099</v>
      </c>
      <c r="C80" s="234" t="s">
        <v>1094</v>
      </c>
      <c r="D80" s="229"/>
      <c r="E80" t="s">
        <v>422</v>
      </c>
      <c r="F80" s="313"/>
      <c r="G80" s="234"/>
      <c r="H80" s="234"/>
      <c r="I80" s="313"/>
      <c r="J80" s="247">
        <f>'2.1 Building inputs'!E53*$K$6+'2.1 Building inputs'!E55*$M$6</f>
        <v>0</v>
      </c>
      <c r="K80" s="247">
        <f>'2.1 Building inputs'!F53*$K$6+'2.1 Building inputs'!F55*$M$6</f>
        <v>2092.7930170740001</v>
      </c>
      <c r="L80" s="247">
        <f>'2.1 Building inputs'!G53*$K$6+'2.1 Building inputs'!G55*$M$6</f>
        <v>2092.7930170740001</v>
      </c>
      <c r="M80" s="247">
        <f>'2.1 Building inputs'!H53*$K$6+'2.1 Building inputs'!H55*$M$6</f>
        <v>2092.7930170739996</v>
      </c>
      <c r="N80" s="247">
        <f>'2.1 Building inputs'!I53*$K$6+'2.1 Building inputs'!I55*$M$6</f>
        <v>3149.8745324428178</v>
      </c>
      <c r="O80" s="247">
        <f>'2.1 Building inputs'!J53*$K$6+'2.1 Building inputs'!J55*$M$6</f>
        <v>4206.9560478116346</v>
      </c>
      <c r="P80" s="247">
        <f>'2.1 Building inputs'!K53*$K$6+'2.1 Building inputs'!K55*$M$6</f>
        <v>5264.0375631804518</v>
      </c>
      <c r="Q80" s="247">
        <f>'2.1 Building inputs'!L53*$K$6+'2.1 Building inputs'!L55*$M$6</f>
        <v>6321.1190785492699</v>
      </c>
      <c r="R80" s="247">
        <f>'2.1 Building inputs'!M53*$K$6+'2.1 Building inputs'!M55*$M$6</f>
        <v>7378.2005939180854</v>
      </c>
      <c r="S80" s="247">
        <f>'2.1 Building inputs'!N53*$K$6+'2.1 Building inputs'!N55*$M$6</f>
        <v>8435.2821092869035</v>
      </c>
      <c r="T80" s="247">
        <f>'2.1 Building inputs'!O53*$K$6+'2.1 Building inputs'!O55*$M$6</f>
        <v>9492.3636246557198</v>
      </c>
      <c r="U80" s="247">
        <f>'2.1 Building inputs'!P53*$K$6+'2.1 Building inputs'!P55*$M$6</f>
        <v>9993.1282729489631</v>
      </c>
      <c r="V80" s="247">
        <f>'2.1 Building inputs'!Q53*$K$6+'2.1 Building inputs'!Q55*$M$6</f>
        <v>11050.209788317781</v>
      </c>
      <c r="W80" s="247">
        <f>'2.1 Building inputs'!R53*$K$6+'2.1 Building inputs'!R55*$M$6</f>
        <v>12107.291303686596</v>
      </c>
      <c r="X80" s="247">
        <f>'2.1 Building inputs'!S53*$K$6+'2.1 Building inputs'!S55*$M$6</f>
        <v>13164.372819055416</v>
      </c>
      <c r="Y80" s="247">
        <f>'2.1 Building inputs'!T53*$K$6+'2.1 Building inputs'!T55*$M$6</f>
        <v>14221.454334424234</v>
      </c>
      <c r="Z80" s="247">
        <f>'2.1 Building inputs'!U53*$K$6+'2.1 Building inputs'!U55*$M$6</f>
        <v>13375.789122129177</v>
      </c>
      <c r="AA80" s="247">
        <f>'2.1 Building inputs'!V53*$K$6+'2.1 Building inputs'!V55*$M$6</f>
        <v>12530.123909834127</v>
      </c>
      <c r="AB80" s="247">
        <f>'2.1 Building inputs'!W53*$K$6+'2.1 Building inputs'!W55*$M$6</f>
        <v>11684.458697539072</v>
      </c>
      <c r="AC80" s="247">
        <f>'2.1 Building inputs'!X53*$K$6+'2.1 Building inputs'!X55*$M$6</f>
        <v>10838.793485244018</v>
      </c>
      <c r="AD80" s="247">
        <f>'2.1 Building inputs'!Y53*$K$6+'2.1 Building inputs'!Y55*$M$6</f>
        <v>9993.1282729489667</v>
      </c>
      <c r="AE80" s="247">
        <f>'2.1 Building inputs'!Z53*$K$6+'2.1 Building inputs'!Z55*$M$6</f>
        <v>9147.4630606539104</v>
      </c>
      <c r="AF80" s="247">
        <f>'2.1 Building inputs'!AA53*$K$6+'2.1 Building inputs'!AA55*$M$6</f>
        <v>8301.7978483588558</v>
      </c>
      <c r="AG80" s="247">
        <f>'2.1 Building inputs'!AB53*$K$6+'2.1 Building inputs'!AB55*$M$6</f>
        <v>7456.1326360638013</v>
      </c>
      <c r="AH80" s="247">
        <f>'2.1 Building inputs'!AC53*$K$6+'2.1 Building inputs'!AC55*$M$6</f>
        <v>6610.4674237687477</v>
      </c>
      <c r="AI80" s="247">
        <f>'2.1 Building inputs'!AD53*$K$6+'2.1 Building inputs'!AD55*$M$6</f>
        <v>5764.802211473695</v>
      </c>
      <c r="AJ80" s="247">
        <f>'2.1 Building inputs'!AE53*$K$6+'2.1 Building inputs'!AE55*$M$6</f>
        <v>4919.1369991786396</v>
      </c>
      <c r="AK80" s="247">
        <f>'2.1 Building inputs'!AF53*$K$6+'2.1 Building inputs'!AF55*$M$6</f>
        <v>4073.4717868835878</v>
      </c>
      <c r="AL80" s="247">
        <f>'2.1 Building inputs'!AG53*$K$6+'2.1 Building inputs'!AG55*$M$6</f>
        <v>3227.8065745885328</v>
      </c>
      <c r="AM80" s="247">
        <f>'2.1 Building inputs'!AH53*$K$6+'2.1 Building inputs'!AH55*$M$6</f>
        <v>2382.1413622934788</v>
      </c>
      <c r="AN80" s="247">
        <f>'2.1 Building inputs'!AI53*$K$6+'2.1 Building inputs'!AI55*$M$6</f>
        <v>1536.4761499984256</v>
      </c>
      <c r="AO80" s="247">
        <f>'2.1 Building inputs'!AJ53*$K$6+'2.1 Building inputs'!AJ55*$M$6</f>
        <v>1536.4761499984256</v>
      </c>
      <c r="AP80" s="247">
        <f>'2.1 Building inputs'!AK53*$K$6+'2.1 Building inputs'!AK55*$M$6</f>
        <v>1536.4761499984256</v>
      </c>
      <c r="AQ80" s="247">
        <f>'2.1 Building inputs'!AL53*$K$6+'2.1 Building inputs'!AL55*$M$6</f>
        <v>1536.4761499984256</v>
      </c>
      <c r="AR80" s="247">
        <f>'2.1 Building inputs'!AM53*$K$6+'2.1 Building inputs'!AM55*$M$6</f>
        <v>1536.4761499984256</v>
      </c>
      <c r="AS80" s="247">
        <f>'2.1 Building inputs'!AN53*$K$6+'2.1 Building inputs'!AN55*$M$6</f>
        <v>1536.476149998419</v>
      </c>
    </row>
    <row r="81" spans="1:45">
      <c r="A81" s="229">
        <v>6</v>
      </c>
      <c r="B81" s="229" t="s">
        <v>1100</v>
      </c>
      <c r="C81" s="234" t="s">
        <v>1094</v>
      </c>
      <c r="D81" s="229"/>
      <c r="E81" t="s">
        <v>423</v>
      </c>
      <c r="F81" s="313"/>
      <c r="G81" s="234"/>
      <c r="H81" s="234"/>
      <c r="I81" s="313"/>
      <c r="J81" s="247">
        <f>'2.1 Building inputs'!E56*$M$6</f>
        <v>0</v>
      </c>
      <c r="K81" s="247">
        <f>'2.1 Building inputs'!F56*$M$6</f>
        <v>1307.9956356712501</v>
      </c>
      <c r="L81" s="247">
        <f>'2.1 Building inputs'!G56*$M$6</f>
        <v>1307.9956356712501</v>
      </c>
      <c r="M81" s="247">
        <f>'2.1 Building inputs'!H56*$M$6</f>
        <v>1307.9956356712496</v>
      </c>
      <c r="N81" s="247">
        <f>'2.1 Building inputs'!I56*$M$6</f>
        <v>1307.9956356712496</v>
      </c>
      <c r="O81" s="247">
        <f>'2.1 Building inputs'!J56*$M$6</f>
        <v>1307.9956356712496</v>
      </c>
      <c r="P81" s="247">
        <f>'2.1 Building inputs'!K56*$M$6</f>
        <v>1307.9956356712501</v>
      </c>
      <c r="Q81" s="247">
        <f>'2.1 Building inputs'!L56*$M$6</f>
        <v>1307.9956356712503</v>
      </c>
      <c r="R81" s="247">
        <f>'2.1 Building inputs'!M56*$M$6</f>
        <v>1307.9956356712496</v>
      </c>
      <c r="S81" s="247">
        <f>'2.1 Building inputs'!N56*$M$6</f>
        <v>1307.9956356712496</v>
      </c>
      <c r="T81" s="247">
        <f>'2.1 Building inputs'!O56*$M$6</f>
        <v>1307.9956356712496</v>
      </c>
      <c r="U81" s="247">
        <f>'2.1 Building inputs'!P56*$M$6</f>
        <v>960.2975937490155</v>
      </c>
      <c r="V81" s="247">
        <f>'2.1 Building inputs'!Q56*$M$6</f>
        <v>960.2975937490155</v>
      </c>
      <c r="W81" s="247">
        <f>'2.1 Building inputs'!R56*$M$6</f>
        <v>960.29759374901516</v>
      </c>
      <c r="X81" s="247">
        <f>'2.1 Building inputs'!S56*$M$6</f>
        <v>960.29759374901573</v>
      </c>
      <c r="Y81" s="247">
        <f>'2.1 Building inputs'!T56*$M$6</f>
        <v>960.29759374901573</v>
      </c>
      <c r="Z81" s="247">
        <f>'2.1 Building inputs'!U56*$M$6</f>
        <v>960.29759374901573</v>
      </c>
      <c r="AA81" s="247">
        <f>'2.1 Building inputs'!V56*$M$6</f>
        <v>960.29759374901573</v>
      </c>
      <c r="AB81" s="247">
        <f>'2.1 Building inputs'!W56*$M$6</f>
        <v>960.29759374901573</v>
      </c>
      <c r="AC81" s="247">
        <f>'2.1 Building inputs'!X56*$M$6</f>
        <v>960.29759374901573</v>
      </c>
      <c r="AD81" s="247">
        <f>'2.1 Building inputs'!Y56*$M$6</f>
        <v>960.29759374901573</v>
      </c>
      <c r="AE81" s="247">
        <f>'2.1 Building inputs'!Z56*$M$6</f>
        <v>960.29759374901573</v>
      </c>
      <c r="AF81" s="247">
        <f>'2.1 Building inputs'!AA56*$M$6</f>
        <v>960.29759374901573</v>
      </c>
      <c r="AG81" s="247">
        <f>'2.1 Building inputs'!AB56*$M$6</f>
        <v>960.29759374901573</v>
      </c>
      <c r="AH81" s="247">
        <f>'2.1 Building inputs'!AC56*$M$6</f>
        <v>960.29759374901516</v>
      </c>
      <c r="AI81" s="247">
        <f>'2.1 Building inputs'!AD56*$M$6</f>
        <v>960.29759374901516</v>
      </c>
      <c r="AJ81" s="247">
        <f>'2.1 Building inputs'!AE56*$M$6</f>
        <v>960.29759374901516</v>
      </c>
      <c r="AK81" s="247">
        <f>'2.1 Building inputs'!AF56*$M$6</f>
        <v>960.29759374901641</v>
      </c>
      <c r="AL81" s="247">
        <f>'2.1 Building inputs'!AG56*$M$6</f>
        <v>960.29759374901573</v>
      </c>
      <c r="AM81" s="247">
        <f>'2.1 Building inputs'!AH56*$M$6</f>
        <v>960.29759374901573</v>
      </c>
      <c r="AN81" s="247">
        <f>'2.1 Building inputs'!AI56*$M$6</f>
        <v>960.29759374901573</v>
      </c>
      <c r="AO81" s="247">
        <f>'2.1 Building inputs'!AJ56*$M$6</f>
        <v>960.29759374901573</v>
      </c>
      <c r="AP81" s="247">
        <f>'2.1 Building inputs'!AK56*$M$6</f>
        <v>960.29759374901573</v>
      </c>
      <c r="AQ81" s="247">
        <f>'2.1 Building inputs'!AL56*$M$6</f>
        <v>960.29759374901573</v>
      </c>
      <c r="AR81" s="247">
        <f>'2.1 Building inputs'!AM56*$M$6</f>
        <v>960.29759374901573</v>
      </c>
      <c r="AS81" s="247">
        <f>'2.1 Building inputs'!AN56*$M$6</f>
        <v>960.29759374901175</v>
      </c>
    </row>
    <row r="82" spans="1:45">
      <c r="A82" s="229" t="s">
        <v>208</v>
      </c>
      <c r="B82" s="229" t="s">
        <v>1101</v>
      </c>
      <c r="C82" s="234" t="s">
        <v>1094</v>
      </c>
      <c r="D82" s="229"/>
      <c r="E82" s="299" t="s">
        <v>1077</v>
      </c>
      <c r="F82" s="313"/>
      <c r="G82" s="234"/>
      <c r="H82" s="234"/>
      <c r="I82" s="313"/>
      <c r="J82" s="313"/>
      <c r="K82" s="313"/>
      <c r="L82" s="313"/>
      <c r="M82" s="313"/>
      <c r="N82" s="313"/>
      <c r="O82" s="313"/>
      <c r="P82" s="313"/>
      <c r="Q82" s="313"/>
      <c r="R82" s="313"/>
      <c r="S82" s="313"/>
      <c r="T82" s="313"/>
      <c r="U82" s="313"/>
      <c r="V82" s="313"/>
      <c r="W82" s="313"/>
      <c r="X82" s="313"/>
      <c r="Y82" s="313"/>
      <c r="Z82" s="313"/>
      <c r="AA82" s="313"/>
      <c r="AB82" s="313"/>
      <c r="AC82" s="313"/>
      <c r="AD82" s="313"/>
      <c r="AE82" s="313"/>
      <c r="AF82" s="313"/>
      <c r="AG82" s="313"/>
      <c r="AH82" s="313"/>
      <c r="AI82" s="313"/>
      <c r="AJ82" s="313"/>
      <c r="AK82" s="313"/>
      <c r="AL82" s="313"/>
      <c r="AM82" s="313"/>
      <c r="AN82" s="313"/>
      <c r="AO82" s="313"/>
      <c r="AP82" s="313"/>
      <c r="AQ82" s="313"/>
      <c r="AR82" s="313"/>
      <c r="AS82" s="313"/>
    </row>
    <row r="83" spans="1:45">
      <c r="A83" s="229"/>
      <c r="B83" s="229"/>
      <c r="C83" s="234"/>
      <c r="D83" s="229"/>
      <c r="E83" s="299"/>
      <c r="F83" s="313"/>
      <c r="G83" s="234"/>
      <c r="H83" s="234"/>
      <c r="I83" s="313"/>
      <c r="J83" s="313"/>
      <c r="K83" s="313"/>
      <c r="L83" s="313"/>
      <c r="M83" s="313"/>
      <c r="N83" s="313"/>
      <c r="O83" s="313"/>
      <c r="P83" s="313"/>
      <c r="Q83" s="313"/>
      <c r="R83" s="313"/>
      <c r="S83" s="313"/>
      <c r="T83" s="313"/>
      <c r="U83" s="313"/>
      <c r="V83" s="313"/>
      <c r="W83" s="313"/>
      <c r="X83" s="313"/>
      <c r="Y83" s="313"/>
      <c r="Z83" s="313"/>
      <c r="AA83" s="313"/>
      <c r="AB83" s="313"/>
      <c r="AC83" s="313"/>
      <c r="AD83" s="313"/>
      <c r="AE83" s="313"/>
      <c r="AF83" s="313"/>
      <c r="AG83" s="313"/>
      <c r="AH83" s="313"/>
      <c r="AI83" s="313"/>
      <c r="AJ83" s="313"/>
      <c r="AK83" s="313"/>
      <c r="AL83" s="313"/>
      <c r="AM83" s="313"/>
      <c r="AN83" s="313"/>
      <c r="AO83" s="313"/>
      <c r="AP83" s="313"/>
      <c r="AQ83" s="313"/>
      <c r="AR83" s="313"/>
      <c r="AS83" s="313"/>
    </row>
    <row r="84" spans="1:45">
      <c r="A84" s="240"/>
      <c r="B84" s="240"/>
      <c r="C84" s="240"/>
      <c r="D84" s="241" t="s">
        <v>282</v>
      </c>
      <c r="E84" s="242"/>
      <c r="F84" s="240"/>
      <c r="G84" s="240"/>
      <c r="H84" s="240"/>
      <c r="I84" s="240"/>
      <c r="J84" s="240"/>
      <c r="K84" s="240"/>
      <c r="L84" s="240"/>
      <c r="M84" s="240"/>
      <c r="N84" s="240"/>
      <c r="O84" s="240"/>
      <c r="P84" s="240"/>
      <c r="Q84" s="240"/>
      <c r="R84" s="240"/>
      <c r="S84" s="240"/>
      <c r="T84" s="240"/>
      <c r="U84" s="240"/>
      <c r="V84" s="240"/>
      <c r="W84" s="240"/>
      <c r="X84" s="240"/>
      <c r="Y84" s="240"/>
      <c r="Z84" s="240"/>
      <c r="AA84" s="240"/>
      <c r="AB84" s="240"/>
      <c r="AC84" s="240"/>
      <c r="AD84" s="240"/>
      <c r="AE84" s="240"/>
      <c r="AF84" s="240"/>
      <c r="AG84" s="240"/>
      <c r="AH84" s="240"/>
      <c r="AI84" s="240"/>
      <c r="AJ84" s="240"/>
      <c r="AK84" s="240"/>
      <c r="AL84" s="240"/>
      <c r="AM84" s="240"/>
      <c r="AN84" s="240"/>
      <c r="AO84" s="240"/>
      <c r="AP84" s="240"/>
      <c r="AQ84" s="240"/>
      <c r="AR84" s="240"/>
      <c r="AS84" s="240"/>
    </row>
    <row r="85" spans="1:45">
      <c r="A85" s="229">
        <v>0</v>
      </c>
      <c r="B85" s="229" t="s">
        <v>1102</v>
      </c>
      <c r="C85" s="234" t="s">
        <v>1103</v>
      </c>
      <c r="D85" s="229"/>
      <c r="E85" s="313" t="s">
        <v>283</v>
      </c>
      <c r="F85" s="313"/>
      <c r="G85" s="313"/>
      <c r="H85" s="229"/>
      <c r="I85" s="229"/>
      <c r="J85" s="229"/>
      <c r="K85" s="229"/>
      <c r="L85" s="229"/>
      <c r="M85" s="229"/>
      <c r="N85" s="229"/>
      <c r="O85" s="229"/>
      <c r="P85" s="229"/>
      <c r="Q85" s="229"/>
      <c r="R85" s="229"/>
      <c r="S85" s="229"/>
      <c r="T85" s="229"/>
      <c r="U85" s="229"/>
      <c r="V85" s="229"/>
      <c r="W85" s="229"/>
      <c r="X85" s="229"/>
      <c r="Y85" s="229"/>
      <c r="Z85" s="229"/>
      <c r="AA85" s="229"/>
      <c r="AB85" s="229"/>
      <c r="AC85" s="229"/>
      <c r="AD85" s="229"/>
      <c r="AE85" s="229"/>
      <c r="AF85" s="229"/>
      <c r="AG85" s="229"/>
      <c r="AH85" s="229"/>
      <c r="AI85" s="229"/>
      <c r="AJ85" s="229"/>
      <c r="AK85" s="229"/>
      <c r="AL85" s="229"/>
      <c r="AM85" s="229"/>
      <c r="AN85" s="229"/>
      <c r="AO85" s="229"/>
      <c r="AP85" s="229"/>
      <c r="AQ85" s="229"/>
      <c r="AR85" s="229"/>
      <c r="AS85" s="229"/>
    </row>
    <row r="86" spans="1:45">
      <c r="A86" s="229">
        <v>1</v>
      </c>
      <c r="B86" s="229" t="s">
        <v>1104</v>
      </c>
      <c r="C86" s="234" t="s">
        <v>1103</v>
      </c>
      <c r="D86" s="229"/>
      <c r="E86" s="313" t="s">
        <v>284</v>
      </c>
      <c r="F86" s="313"/>
      <c r="G86" s="313"/>
      <c r="H86" s="313"/>
      <c r="I86" s="313"/>
      <c r="J86" s="302">
        <f>'2.2 Energy Systems inputs'!F17*$G$6</f>
        <v>0</v>
      </c>
      <c r="K86" s="302">
        <f>'2.2 Energy Systems inputs'!G17*$G$6</f>
        <v>0</v>
      </c>
      <c r="L86" s="302">
        <f>'2.2 Energy Systems inputs'!H17*$G$6</f>
        <v>0</v>
      </c>
      <c r="M86" s="302">
        <f>'2.2 Energy Systems inputs'!I17*$G$6</f>
        <v>0</v>
      </c>
      <c r="N86" s="302">
        <f>'2.2 Energy Systems inputs'!J17*$G$6</f>
        <v>0</v>
      </c>
      <c r="O86" s="302">
        <f>'2.2 Energy Systems inputs'!K17*$G$6</f>
        <v>0</v>
      </c>
      <c r="P86" s="302">
        <f>'2.2 Energy Systems inputs'!L17*$G$6</f>
        <v>3846.3824216201342</v>
      </c>
      <c r="Q86" s="302">
        <f>'2.2 Energy Systems inputs'!M17*$G$6</f>
        <v>11539.147264860401</v>
      </c>
      <c r="R86" s="302">
        <f>'2.2 Energy Systems inputs'!N17*$G$6</f>
        <v>19231.912108100671</v>
      </c>
      <c r="S86" s="302">
        <f>'2.2 Energy Systems inputs'!O17*$G$6</f>
        <v>30771.059372961074</v>
      </c>
      <c r="T86" s="302">
        <f>'2.2 Energy Systems inputs'!P17*$G$6</f>
        <v>38463.824216201341</v>
      </c>
      <c r="U86" s="302">
        <f>'2.2 Energy Systems inputs'!Q17*$G$6</f>
        <v>50002.971481061744</v>
      </c>
      <c r="V86" s="302">
        <f>'2.2 Energy Systems inputs'!R17*$G$6</f>
        <v>61542.118745922147</v>
      </c>
      <c r="W86" s="302">
        <f>'2.2 Energy Systems inputs'!S17*$G$6</f>
        <v>61542.118745922147</v>
      </c>
      <c r="X86" s="302">
        <f>'2.2 Energy Systems inputs'!T17*$G$6</f>
        <v>61542.118745922147</v>
      </c>
      <c r="Y86" s="302">
        <f>'2.2 Energy Systems inputs'!U17*$G$6</f>
        <v>61542.118745922147</v>
      </c>
      <c r="Z86" s="302">
        <f>'2.2 Energy Systems inputs'!V17*$G$6</f>
        <v>61542.118745922147</v>
      </c>
      <c r="AA86" s="302">
        <f>'2.2 Energy Systems inputs'!W17*$G$6</f>
        <v>61542.118745922147</v>
      </c>
      <c r="AB86" s="302">
        <f>'2.2 Energy Systems inputs'!X17*$G$6</f>
        <v>61542.118745922147</v>
      </c>
      <c r="AC86" s="302">
        <f>'2.2 Energy Systems inputs'!Y17*$G$6</f>
        <v>61542.118745922147</v>
      </c>
      <c r="AD86" s="302">
        <f>'2.2 Energy Systems inputs'!Z17*$G$6</f>
        <v>61542.118745922147</v>
      </c>
      <c r="AE86" s="302">
        <f>'2.2 Energy Systems inputs'!AA17*$G$6</f>
        <v>61542.118745922147</v>
      </c>
      <c r="AF86" s="302">
        <f>'2.2 Energy Systems inputs'!AB17*$G$6</f>
        <v>46156.589059441605</v>
      </c>
      <c r="AG86" s="302">
        <f>'2.2 Energy Systems inputs'!AC17*$G$6</f>
        <v>30771.059372961074</v>
      </c>
      <c r="AH86" s="302">
        <f>'2.2 Energy Systems inputs'!AD17*$G$6</f>
        <v>0</v>
      </c>
      <c r="AI86" s="302">
        <f>'2.2 Energy Systems inputs'!AE17*$G$6</f>
        <v>0</v>
      </c>
      <c r="AJ86" s="302">
        <f>'2.2 Energy Systems inputs'!AF17*$G$6</f>
        <v>0</v>
      </c>
      <c r="AK86" s="302">
        <f>'2.2 Energy Systems inputs'!AG17*$G$6</f>
        <v>0</v>
      </c>
      <c r="AL86" s="302">
        <f>'2.2 Energy Systems inputs'!AH17*$G$6</f>
        <v>0</v>
      </c>
      <c r="AM86" s="302">
        <f>'2.2 Energy Systems inputs'!AI17*$G$6</f>
        <v>0</v>
      </c>
      <c r="AN86" s="302">
        <f>'2.2 Energy Systems inputs'!AJ17*$G$6</f>
        <v>0</v>
      </c>
      <c r="AO86" s="302">
        <f>'2.2 Energy Systems inputs'!AK17*$G$6</f>
        <v>0</v>
      </c>
      <c r="AP86" s="302">
        <f>'2.2 Energy Systems inputs'!AL17*$G$6</f>
        <v>0</v>
      </c>
      <c r="AQ86" s="302">
        <f>'2.2 Energy Systems inputs'!AM17*$G$6</f>
        <v>0</v>
      </c>
      <c r="AR86" s="302">
        <f>'2.2 Energy Systems inputs'!AN17*$G$6</f>
        <v>0</v>
      </c>
      <c r="AS86" s="302">
        <f>'2.2 Energy Systems inputs'!AO17*$G$6</f>
        <v>0</v>
      </c>
    </row>
    <row r="87" spans="1:45">
      <c r="A87" s="229">
        <v>2</v>
      </c>
      <c r="B87" s="229" t="s">
        <v>1105</v>
      </c>
      <c r="C87" s="234" t="s">
        <v>1103</v>
      </c>
      <c r="D87" s="229"/>
      <c r="E87" s="313" t="s">
        <v>285</v>
      </c>
      <c r="F87" s="313"/>
      <c r="G87" s="313"/>
      <c r="H87" s="313"/>
      <c r="I87" s="313"/>
      <c r="J87" s="302">
        <f>'2.2 Energy Systems inputs'!F18*$I$6</f>
        <v>0</v>
      </c>
      <c r="K87" s="302">
        <f>'2.2 Energy Systems inputs'!G18*$I$6</f>
        <v>0</v>
      </c>
      <c r="L87" s="302">
        <f>'2.2 Energy Systems inputs'!H18*$I$6</f>
        <v>0</v>
      </c>
      <c r="M87" s="302">
        <f>'2.2 Energy Systems inputs'!I18*$I$6</f>
        <v>0</v>
      </c>
      <c r="N87" s="302">
        <f>'2.2 Energy Systems inputs'!J18*$I$6</f>
        <v>0</v>
      </c>
      <c r="O87" s="302">
        <f>'2.2 Energy Systems inputs'!K18*$I$6</f>
        <v>12320.937140095093</v>
      </c>
      <c r="P87" s="302">
        <f>'2.2 Energy Systems inputs'!L18*$I$6</f>
        <v>13034.358509286532</v>
      </c>
      <c r="Q87" s="302">
        <f>'2.2 Energy Systems inputs'!M18*$I$6</f>
        <v>20854.97361485842</v>
      </c>
      <c r="R87" s="302">
        <f>'2.2 Energy Systems inputs'!N18*$I$6</f>
        <v>20854.973614858452</v>
      </c>
      <c r="S87" s="302">
        <f>'2.2 Energy Systems inputs'!O18*$I$6</f>
        <v>20854.97361485842</v>
      </c>
      <c r="T87" s="302">
        <f>'2.2 Energy Systems inputs'!P18*$I$6</f>
        <v>20854.97361485862</v>
      </c>
      <c r="U87" s="302">
        <f>'2.2 Energy Systems inputs'!Q18*$I$6</f>
        <v>21104.012690882737</v>
      </c>
      <c r="V87" s="302">
        <f>'2.2 Energy Systems inputs'!R18*$I$6</f>
        <v>21104.012690882737</v>
      </c>
      <c r="W87" s="302">
        <f>'2.2 Energy Systems inputs'!S18*$I$6</f>
        <v>21104.012690882784</v>
      </c>
      <c r="X87" s="302">
        <f>'2.2 Energy Systems inputs'!T18*$I$6</f>
        <v>21104.012690882784</v>
      </c>
      <c r="Y87" s="302">
        <f>'2.2 Energy Systems inputs'!U18*$I$6</f>
        <v>21104.012690882693</v>
      </c>
      <c r="Z87" s="302">
        <f>'2.2 Energy Systems inputs'!V18*$I$6</f>
        <v>9728.6937329848461</v>
      </c>
      <c r="AA87" s="302">
        <f>'2.2 Energy Systems inputs'!W18*$I$6</f>
        <v>9728.6937329848461</v>
      </c>
      <c r="AB87" s="302">
        <f>'2.2 Energy Systems inputs'!X18*$I$6</f>
        <v>9728.6937329847569</v>
      </c>
      <c r="AC87" s="302">
        <f>'2.2 Energy Systems inputs'!Y18*$I$6</f>
        <v>6531.1663042148093</v>
      </c>
      <c r="AD87" s="302">
        <f>'2.2 Energy Systems inputs'!Z18*$I$6</f>
        <v>4432.4246350088806</v>
      </c>
      <c r="AE87" s="302">
        <f>'2.2 Energy Systems inputs'!AA18*$I$6</f>
        <v>4468.5632376358089</v>
      </c>
      <c r="AF87" s="302">
        <f>'2.2 Energy Systems inputs'!AB18*$I$6</f>
        <v>4498.3731545229784</v>
      </c>
      <c r="AG87" s="302">
        <f>'2.2 Energy Systems inputs'!AC18*$I$6</f>
        <v>4530.2981588299199</v>
      </c>
      <c r="AH87" s="302">
        <f>'2.2 Energy Systems inputs'!AD18*$I$6</f>
        <v>4554.5188629350359</v>
      </c>
      <c r="AI87" s="302">
        <f>'2.2 Energy Systems inputs'!AE18*$I$6</f>
        <v>4576.4918236226049</v>
      </c>
      <c r="AJ87" s="302">
        <f>'2.2 Energy Systems inputs'!AF18*$I$6</f>
        <v>4596.487220100732</v>
      </c>
      <c r="AK87" s="302">
        <f>'2.2 Energy Systems inputs'!AG18*$I$6</f>
        <v>4614.7358213902862</v>
      </c>
      <c r="AL87" s="302">
        <f>'2.2 Energy Systems inputs'!AH18*$I$6</f>
        <v>4631.4356891428197</v>
      </c>
      <c r="AM87" s="302">
        <f>'2.2 Energy Systems inputs'!AI18*$I$6</f>
        <v>4646.7575871169256</v>
      </c>
      <c r="AN87" s="302">
        <f>'2.2 Energy Systems inputs'!AJ18*$I$6</f>
        <v>4660.8493748712153</v>
      </c>
      <c r="AO87" s="302">
        <f>'2.2 Energy Systems inputs'!AK18*$I$6</f>
        <v>4673.8395979660054</v>
      </c>
      <c r="AP87" s="302">
        <f>'2.2 Energy Systems inputs'!AL18*$I$6</f>
        <v>4685.8404383272737</v>
      </c>
      <c r="AQ87" s="302">
        <f>'2.2 Energy Systems inputs'!AM18*$I$6</f>
        <v>4696.9501518620036</v>
      </c>
      <c r="AR87" s="302">
        <f>'2.2 Energy Systems inputs'!AN18*$I$6</f>
        <v>4707.2550926930371</v>
      </c>
      <c r="AS87" s="302">
        <f>'2.2 Energy Systems inputs'!AO18*$I$6</f>
        <v>4716.8314022419818</v>
      </c>
    </row>
    <row r="88" spans="1:45">
      <c r="A88" s="229">
        <v>3</v>
      </c>
      <c r="B88" s="229" t="s">
        <v>1106</v>
      </c>
      <c r="C88" s="234" t="s">
        <v>1103</v>
      </c>
      <c r="D88" s="229"/>
      <c r="E88" s="313" t="s">
        <v>286</v>
      </c>
      <c r="F88" s="313"/>
      <c r="G88" s="313"/>
      <c r="H88" s="313"/>
      <c r="I88" s="313"/>
      <c r="J88" s="302">
        <f>'2.2 Energy Systems inputs'!F21*$K$6</f>
        <v>0</v>
      </c>
      <c r="K88" s="302">
        <f>'2.2 Energy Systems inputs'!G21*$K$6</f>
        <v>0</v>
      </c>
      <c r="L88" s="302">
        <f>'2.2 Energy Systems inputs'!H21*$K$6</f>
        <v>0</v>
      </c>
      <c r="M88" s="302">
        <f>'2.2 Energy Systems inputs'!I21*$K$6</f>
        <v>0</v>
      </c>
      <c r="N88" s="302">
        <f>'2.2 Energy Systems inputs'!J21*$K$6</f>
        <v>0</v>
      </c>
      <c r="O88" s="302">
        <f>'2.2 Energy Systems inputs'!K21*$K$6</f>
        <v>0</v>
      </c>
      <c r="P88" s="302">
        <f>'2.2 Energy Systems inputs'!L21*$K$6</f>
        <v>332.10700486560756</v>
      </c>
      <c r="Q88" s="302">
        <f>'2.2 Energy Systems inputs'!M21*$K$6</f>
        <v>1062.1301561397906</v>
      </c>
      <c r="R88" s="302">
        <f>'2.2 Energy Systems inputs'!N21*$K$6</f>
        <v>1997.9167228519393</v>
      </c>
      <c r="S88" s="302">
        <f>'2.2 Energy Systems inputs'!O21*$K$6</f>
        <v>3545.4252796474675</v>
      </c>
      <c r="T88" s="302">
        <f>'2.2 Energy Systems inputs'!P21*$K$6</f>
        <v>4839.0202827512921</v>
      </c>
      <c r="U88" s="302">
        <f>'2.2 Energy Systems inputs'!Q21*$K$6</f>
        <v>6625.8869678626661</v>
      </c>
      <c r="V88" s="302">
        <f>'2.2 Energy Systems inputs'!R21*$K$6</f>
        <v>8461.1706748939996</v>
      </c>
      <c r="W88" s="302">
        <f>'2.2 Energy Systems inputs'!S21*$K$6</f>
        <v>8744.0530098924828</v>
      </c>
      <c r="X88" s="302">
        <f>'2.2 Energy Systems inputs'!T21*$K$6</f>
        <v>8617.6489326936462</v>
      </c>
      <c r="Y88" s="302">
        <f>'2.2 Energy Systems inputs'!U21*$K$6</f>
        <v>8314.3528842304859</v>
      </c>
      <c r="Z88" s="302">
        <f>'2.2 Energy Systems inputs'!V21*$K$6</f>
        <v>8083.032602435278</v>
      </c>
      <c r="AA88" s="302">
        <f>'2.2 Energy Systems inputs'!W21*$K$6</f>
        <v>8083.0326024352989</v>
      </c>
      <c r="AB88" s="302">
        <f>'2.2 Energy Systems inputs'!X21*$K$6</f>
        <v>8083.0326024352926</v>
      </c>
      <c r="AC88" s="302">
        <f>'2.2 Energy Systems inputs'!Y21*$K$6</f>
        <v>8083.0326024352926</v>
      </c>
      <c r="AD88" s="302">
        <f>'2.2 Energy Systems inputs'!Z21*$K$6</f>
        <v>8083.0326024352926</v>
      </c>
      <c r="AE88" s="302">
        <f>'2.2 Energy Systems inputs'!AA21*$K$6</f>
        <v>8083.0326024352926</v>
      </c>
      <c r="AF88" s="302">
        <f>'2.2 Energy Systems inputs'!AB21*$K$6</f>
        <v>6062.2744518264417</v>
      </c>
      <c r="AG88" s="302">
        <f>'2.2 Energy Systems inputs'!AC21*$K$6</f>
        <v>4041.5163012176599</v>
      </c>
      <c r="AH88" s="302">
        <f>'2.2 Energy Systems inputs'!AD21*$K$6</f>
        <v>0</v>
      </c>
      <c r="AI88" s="302">
        <f>'2.2 Energy Systems inputs'!AE21*$K$6</f>
        <v>0</v>
      </c>
      <c r="AJ88" s="302">
        <f>'2.2 Energy Systems inputs'!AF21*$K$6</f>
        <v>0</v>
      </c>
      <c r="AK88" s="302">
        <f>'2.2 Energy Systems inputs'!AG21*$K$6</f>
        <v>0</v>
      </c>
      <c r="AL88" s="302">
        <f>'2.2 Energy Systems inputs'!AH21*$K$6</f>
        <v>0</v>
      </c>
      <c r="AM88" s="302">
        <f>'2.2 Energy Systems inputs'!AI21*$K$6</f>
        <v>0</v>
      </c>
      <c r="AN88" s="302">
        <f>'2.2 Energy Systems inputs'!AJ21*$K$6</f>
        <v>0</v>
      </c>
      <c r="AO88" s="302">
        <f>'2.2 Energy Systems inputs'!AK21*$K$6</f>
        <v>0</v>
      </c>
      <c r="AP88" s="302">
        <f>'2.2 Energy Systems inputs'!AL21*$K$6</f>
        <v>0</v>
      </c>
      <c r="AQ88" s="302">
        <f>'2.2 Energy Systems inputs'!AM21*$K$6</f>
        <v>0</v>
      </c>
      <c r="AR88" s="302">
        <f>'2.2 Energy Systems inputs'!AN21*$K$6</f>
        <v>0</v>
      </c>
      <c r="AS88" s="302">
        <f>'2.2 Energy Systems inputs'!AO21*$K$6</f>
        <v>0</v>
      </c>
    </row>
    <row r="89" spans="1:45">
      <c r="A89" s="229">
        <v>4</v>
      </c>
      <c r="B89" s="229" t="s">
        <v>1107</v>
      </c>
      <c r="C89" s="234" t="s">
        <v>1103</v>
      </c>
      <c r="D89" s="229"/>
      <c r="E89" s="313" t="s">
        <v>287</v>
      </c>
      <c r="F89" s="313"/>
      <c r="G89" s="313"/>
      <c r="H89" s="313"/>
      <c r="I89" s="313"/>
      <c r="J89" s="302">
        <f>'2.2 Energy Systems inputs'!F22*$K$6</f>
        <v>0</v>
      </c>
      <c r="K89" s="302">
        <f>'2.2 Energy Systems inputs'!G22*$K$6</f>
        <v>0</v>
      </c>
      <c r="L89" s="302">
        <f>'2.2 Energy Systems inputs'!H22*$K$6</f>
        <v>0</v>
      </c>
      <c r="M89" s="302">
        <f>'2.2 Energy Systems inputs'!I22*$K$6</f>
        <v>0</v>
      </c>
      <c r="N89" s="302">
        <f>'2.2 Energy Systems inputs'!J22*$K$6</f>
        <v>0</v>
      </c>
      <c r="O89" s="302">
        <f>'2.2 Energy Systems inputs'!K22*$K$6</f>
        <v>733.66869517667226</v>
      </c>
      <c r="P89" s="302">
        <f>'2.2 Energy Systems inputs'!L22*$K$6</f>
        <v>815.83781231003616</v>
      </c>
      <c r="Q89" s="302">
        <f>'2.2 Energy Systems inputs'!M22*$K$6</f>
        <v>1328.5213385472432</v>
      </c>
      <c r="R89" s="302">
        <f>'2.2 Energy Systems inputs'!N22*$K$6</f>
        <v>1359.6882461181704</v>
      </c>
      <c r="S89" s="302">
        <f>'2.2 Energy Systems inputs'!O22*$K$6</f>
        <v>1381.4181792265163</v>
      </c>
      <c r="T89" s="302">
        <f>'2.2 Energy Systems inputs'!P22*$K$6</f>
        <v>1397.1717354745779</v>
      </c>
      <c r="U89" s="302">
        <f>'2.2 Energy Systems inputs'!Q22*$K$6</f>
        <v>1355.0326318546406</v>
      </c>
      <c r="V89" s="302">
        <f>'2.2 Energy Systems inputs'!R22*$K$6</f>
        <v>1353.9430953922795</v>
      </c>
      <c r="W89" s="302">
        <f>'2.2 Energy Systems inputs'!S22*$K$6</f>
        <v>1353.051969210557</v>
      </c>
      <c r="X89" s="302">
        <f>'2.2 Energy Systems inputs'!T22*$K$6</f>
        <v>1352.3138348887805</v>
      </c>
      <c r="Y89" s="302">
        <f>'2.2 Energy Systems inputs'!U22*$K$6</f>
        <v>1351.6955665363321</v>
      </c>
      <c r="Z89" s="302">
        <f>'2.2 Energy Systems inputs'!V22*$K$6</f>
        <v>1029.8481215335778</v>
      </c>
      <c r="AA89" s="302">
        <f>'2.2 Energy Systems inputs'!W22*$K$6</f>
        <v>1044.9048701270544</v>
      </c>
      <c r="AB89" s="302">
        <f>'2.2 Energy Systems inputs'!X22*$K$6</f>
        <v>1058.9129718136576</v>
      </c>
      <c r="AC89" s="302">
        <f>'2.2 Energy Systems inputs'!Y22*$K$6</f>
        <v>1071.9675963623931</v>
      </c>
      <c r="AD89" s="302">
        <f>'2.2 Energy Systems inputs'!Z22*$K$6</f>
        <v>705.50224929989008</v>
      </c>
      <c r="AE89" s="302">
        <f>'2.2 Energy Systems inputs'!AA22*$K$6</f>
        <v>401.75400656261161</v>
      </c>
      <c r="AF89" s="302">
        <f>'2.2 Energy Systems inputs'!AB22*$K$6</f>
        <v>402.01812003078072</v>
      </c>
      <c r="AG89" s="302">
        <f>'2.2 Energy Systems inputs'!AC22*$K$6</f>
        <v>402.25221686983235</v>
      </c>
      <c r="AH89" s="302">
        <f>'2.2 Energy Systems inputs'!AD22*$K$6</f>
        <v>402.46067683183941</v>
      </c>
      <c r="AI89" s="302">
        <f>'2.2 Energy Systems inputs'!AE22*$K$6</f>
        <v>402.6471094417696</v>
      </c>
      <c r="AJ89" s="302">
        <f>'2.2 Energy Systems inputs'!AF22*$K$6</f>
        <v>402.81451092295498</v>
      </c>
      <c r="AK89" s="302">
        <f>'2.2 Energy Systems inputs'!AG22*$K$6</f>
        <v>402.96538506803506</v>
      </c>
      <c r="AL89" s="302">
        <f>'2.2 Energy Systems inputs'!AH22*$K$6</f>
        <v>403.10183721691459</v>
      </c>
      <c r="AM89" s="302">
        <f>'2.2 Energy Systems inputs'!AI22*$K$6</f>
        <v>403.22564796630132</v>
      </c>
      <c r="AN89" s="302">
        <f>'2.2 Energy Systems inputs'!AJ22*$K$6</f>
        <v>403.33833145385194</v>
      </c>
      <c r="AO89" s="302">
        <f>'2.2 Energy Systems inputs'!AK22*$K$6</f>
        <v>403.44118179739763</v>
      </c>
      <c r="AP89" s="302">
        <f>'2.2 Energy Systems inputs'!AL22*$K$6</f>
        <v>403.53531036295874</v>
      </c>
      <c r="AQ89" s="302">
        <f>'2.2 Energy Systems inputs'!AM22*$K$6</f>
        <v>403.62167587220426</v>
      </c>
      <c r="AR89" s="302">
        <f>'2.2 Energy Systems inputs'!AN22*$K$6</f>
        <v>403.7011088800719</v>
      </c>
      <c r="AS89" s="302">
        <f>'2.2 Energy Systems inputs'!AO22*$K$6</f>
        <v>403.774331793827</v>
      </c>
    </row>
    <row r="90" spans="1:45">
      <c r="A90" s="229">
        <v>5</v>
      </c>
      <c r="B90" s="229" t="s">
        <v>1108</v>
      </c>
      <c r="C90" s="234" t="s">
        <v>1103</v>
      </c>
      <c r="D90" s="229"/>
      <c r="E90" s="313" t="s">
        <v>288</v>
      </c>
      <c r="F90" s="313"/>
      <c r="G90" s="313"/>
      <c r="H90" s="313"/>
      <c r="I90" s="313"/>
      <c r="J90" s="302">
        <f>'2.2 Energy Systems inputs'!F19*$G$6</f>
        <v>0</v>
      </c>
      <c r="K90" s="302">
        <f>'2.2 Energy Systems inputs'!G19*$G$6</f>
        <v>0</v>
      </c>
      <c r="L90" s="302">
        <f>'2.2 Energy Systems inputs'!H19*$G$6</f>
        <v>0</v>
      </c>
      <c r="M90" s="302">
        <f>'2.2 Energy Systems inputs'!I19*$G$6</f>
        <v>0</v>
      </c>
      <c r="N90" s="302">
        <f>'2.2 Energy Systems inputs'!J19*$G$6</f>
        <v>0</v>
      </c>
      <c r="O90" s="302">
        <f>'2.2 Energy Systems inputs'!K19*$G$6</f>
        <v>0</v>
      </c>
      <c r="P90" s="302">
        <f>'2.2 Energy Systems inputs'!L19*$G$6</f>
        <v>0</v>
      </c>
      <c r="Q90" s="302">
        <f>'2.2 Energy Systems inputs'!M19*$G$6</f>
        <v>0</v>
      </c>
      <c r="R90" s="302">
        <f>'2.2 Energy Systems inputs'!N19*$G$6</f>
        <v>0</v>
      </c>
      <c r="S90" s="302">
        <f>'2.2 Energy Systems inputs'!O19*$G$6</f>
        <v>0</v>
      </c>
      <c r="T90" s="302">
        <f>'2.2 Energy Systems inputs'!P19*$G$6</f>
        <v>0</v>
      </c>
      <c r="U90" s="302">
        <f>'2.2 Energy Systems inputs'!Q19*$G$6</f>
        <v>0</v>
      </c>
      <c r="V90" s="302">
        <f>'2.2 Energy Systems inputs'!R19*$G$6</f>
        <v>0</v>
      </c>
      <c r="W90" s="302">
        <f>'2.2 Energy Systems inputs'!S19*$G$6</f>
        <v>0</v>
      </c>
      <c r="X90" s="302">
        <f>'2.2 Energy Systems inputs'!T19*$G$6</f>
        <v>0</v>
      </c>
      <c r="Y90" s="302">
        <f>'2.2 Energy Systems inputs'!U19*$G$6</f>
        <v>0</v>
      </c>
      <c r="Z90" s="302">
        <f>'2.2 Energy Systems inputs'!V19*$G$6</f>
        <v>0</v>
      </c>
      <c r="AA90" s="302">
        <f>'2.2 Energy Systems inputs'!W19*$G$6</f>
        <v>0</v>
      </c>
      <c r="AB90" s="302">
        <f>'2.2 Energy Systems inputs'!X19*$G$6</f>
        <v>0</v>
      </c>
      <c r="AC90" s="302">
        <f>'2.2 Energy Systems inputs'!Y19*$G$6</f>
        <v>0</v>
      </c>
      <c r="AD90" s="302">
        <f>'2.2 Energy Systems inputs'!Z19*$G$6</f>
        <v>0</v>
      </c>
      <c r="AE90" s="302">
        <f>'2.2 Energy Systems inputs'!AA19*$G$6</f>
        <v>0</v>
      </c>
      <c r="AF90" s="302">
        <f>'2.2 Energy Systems inputs'!AB19*$G$6</f>
        <v>0</v>
      </c>
      <c r="AG90" s="302">
        <f>'2.2 Energy Systems inputs'!AC19*$G$6</f>
        <v>0</v>
      </c>
      <c r="AH90" s="302">
        <f>'2.2 Energy Systems inputs'!AD19*$G$6</f>
        <v>0</v>
      </c>
      <c r="AI90" s="302">
        <f>'2.2 Energy Systems inputs'!AE19*$G$6</f>
        <v>0</v>
      </c>
      <c r="AJ90" s="302">
        <f>'2.2 Energy Systems inputs'!AF19*$G$6</f>
        <v>0</v>
      </c>
      <c r="AK90" s="302">
        <f>'2.2 Energy Systems inputs'!AG19*$G$6</f>
        <v>0</v>
      </c>
      <c r="AL90" s="302">
        <f>'2.2 Energy Systems inputs'!AH19*$G$6</f>
        <v>0</v>
      </c>
      <c r="AM90" s="302">
        <f>'2.2 Energy Systems inputs'!AI19*$G$6</f>
        <v>0</v>
      </c>
      <c r="AN90" s="302">
        <f>'2.2 Energy Systems inputs'!AJ19*$G$6</f>
        <v>0</v>
      </c>
      <c r="AO90" s="302">
        <f>'2.2 Energy Systems inputs'!AK19*$G$6</f>
        <v>0</v>
      </c>
      <c r="AP90" s="302">
        <f>'2.2 Energy Systems inputs'!AL19*$G$6</f>
        <v>0</v>
      </c>
      <c r="AQ90" s="302">
        <f>'2.2 Energy Systems inputs'!AM19*$G$6</f>
        <v>0</v>
      </c>
      <c r="AR90" s="302">
        <f>'2.2 Energy Systems inputs'!AN19*$G$6</f>
        <v>0</v>
      </c>
      <c r="AS90" s="302">
        <f>'2.2 Energy Systems inputs'!AO19*$G$6</f>
        <v>0</v>
      </c>
    </row>
    <row r="91" spans="1:45">
      <c r="A91" s="229">
        <v>6</v>
      </c>
      <c r="B91" s="229" t="s">
        <v>1109</v>
      </c>
      <c r="C91" s="234" t="s">
        <v>1103</v>
      </c>
      <c r="D91" s="229"/>
      <c r="E91" s="313" t="s">
        <v>289</v>
      </c>
      <c r="F91" s="313"/>
      <c r="G91" s="313"/>
      <c r="H91" s="313"/>
      <c r="I91" s="313"/>
      <c r="J91" s="302">
        <f>'2.2 Energy Systems inputs'!F20*$K$6</f>
        <v>0</v>
      </c>
      <c r="K91" s="302">
        <f>'2.2 Energy Systems inputs'!G20*$K$6</f>
        <v>0</v>
      </c>
      <c r="L91" s="302">
        <f>'2.2 Energy Systems inputs'!H20*$K$6</f>
        <v>0</v>
      </c>
      <c r="M91" s="302">
        <f>'2.2 Energy Systems inputs'!I20*$K$6</f>
        <v>0</v>
      </c>
      <c r="N91" s="302">
        <f>'2.2 Energy Systems inputs'!J20*$K$6</f>
        <v>0</v>
      </c>
      <c r="O91" s="302">
        <f>'2.2 Energy Systems inputs'!K20*$K$6</f>
        <v>0</v>
      </c>
      <c r="P91" s="302">
        <f>'2.2 Energy Systems inputs'!L20*$K$6</f>
        <v>0</v>
      </c>
      <c r="Q91" s="302">
        <f>'2.2 Energy Systems inputs'!M20*$K$6</f>
        <v>0</v>
      </c>
      <c r="R91" s="302">
        <f>'2.2 Energy Systems inputs'!N20*$K$6</f>
        <v>0</v>
      </c>
      <c r="S91" s="302">
        <f>'2.2 Energy Systems inputs'!O20*$K$6</f>
        <v>0</v>
      </c>
      <c r="T91" s="302">
        <f>'2.2 Energy Systems inputs'!P20*$K$6</f>
        <v>0</v>
      </c>
      <c r="U91" s="302">
        <f>'2.2 Energy Systems inputs'!Q20*$K$6</f>
        <v>0</v>
      </c>
      <c r="V91" s="302">
        <f>'2.2 Energy Systems inputs'!R20*$K$6</f>
        <v>0</v>
      </c>
      <c r="W91" s="302">
        <f>'2.2 Energy Systems inputs'!S20*$K$6</f>
        <v>0</v>
      </c>
      <c r="X91" s="302">
        <f>'2.2 Energy Systems inputs'!T20*$K$6</f>
        <v>0</v>
      </c>
      <c r="Y91" s="302">
        <f>'2.2 Energy Systems inputs'!U20*$K$6</f>
        <v>0</v>
      </c>
      <c r="Z91" s="302">
        <f>'2.2 Energy Systems inputs'!V20*$K$6</f>
        <v>0</v>
      </c>
      <c r="AA91" s="302">
        <f>'2.2 Energy Systems inputs'!W20*$K$6</f>
        <v>0</v>
      </c>
      <c r="AB91" s="302">
        <f>'2.2 Energy Systems inputs'!X20*$K$6</f>
        <v>0</v>
      </c>
      <c r="AC91" s="302">
        <f>'2.2 Energy Systems inputs'!Y20*$K$6</f>
        <v>0</v>
      </c>
      <c r="AD91" s="302">
        <f>'2.2 Energy Systems inputs'!Z20*$K$6</f>
        <v>0</v>
      </c>
      <c r="AE91" s="302">
        <f>'2.2 Energy Systems inputs'!AA20*$K$6</f>
        <v>0</v>
      </c>
      <c r="AF91" s="302">
        <f>'2.2 Energy Systems inputs'!AB20*$K$6</f>
        <v>0</v>
      </c>
      <c r="AG91" s="302">
        <f>'2.2 Energy Systems inputs'!AC20*$K$6</f>
        <v>0</v>
      </c>
      <c r="AH91" s="302">
        <f>'2.2 Energy Systems inputs'!AD20*$K$6</f>
        <v>0</v>
      </c>
      <c r="AI91" s="302">
        <f>'2.2 Energy Systems inputs'!AE20*$K$6</f>
        <v>0</v>
      </c>
      <c r="AJ91" s="302">
        <f>'2.2 Energy Systems inputs'!AF20*$K$6</f>
        <v>0</v>
      </c>
      <c r="AK91" s="302">
        <f>'2.2 Energy Systems inputs'!AG20*$K$6</f>
        <v>0</v>
      </c>
      <c r="AL91" s="302">
        <f>'2.2 Energy Systems inputs'!AH20*$K$6</f>
        <v>0</v>
      </c>
      <c r="AM91" s="302">
        <f>'2.2 Energy Systems inputs'!AI20*$K$6</f>
        <v>0</v>
      </c>
      <c r="AN91" s="302">
        <f>'2.2 Energy Systems inputs'!AJ20*$K$6</f>
        <v>0</v>
      </c>
      <c r="AO91" s="302">
        <f>'2.2 Energy Systems inputs'!AK20*$K$6</f>
        <v>0</v>
      </c>
      <c r="AP91" s="302">
        <f>'2.2 Energy Systems inputs'!AL20*$K$6</f>
        <v>0</v>
      </c>
      <c r="AQ91" s="302">
        <f>'2.2 Energy Systems inputs'!AM20*$K$6</f>
        <v>0</v>
      </c>
      <c r="AR91" s="302">
        <f>'2.2 Energy Systems inputs'!AN20*$K$6</f>
        <v>0</v>
      </c>
      <c r="AS91" s="302">
        <f>'2.2 Energy Systems inputs'!AO20*$K$6</f>
        <v>0</v>
      </c>
    </row>
    <row r="93" spans="1:45">
      <c r="A93" s="240"/>
      <c r="B93" s="240"/>
      <c r="C93" s="240"/>
      <c r="D93" s="241" t="s">
        <v>282</v>
      </c>
      <c r="E93" s="242"/>
      <c r="F93" s="240"/>
      <c r="G93" s="240"/>
      <c r="H93" s="240"/>
      <c r="I93" s="240"/>
      <c r="J93" s="240"/>
      <c r="K93" s="240"/>
      <c r="L93" s="240"/>
      <c r="M93" s="240"/>
      <c r="N93" s="240"/>
      <c r="O93" s="240"/>
      <c r="P93" s="240"/>
      <c r="Q93" s="240"/>
      <c r="R93" s="240"/>
      <c r="S93" s="240"/>
      <c r="T93" s="240"/>
      <c r="U93" s="240"/>
      <c r="V93" s="240"/>
      <c r="W93" s="240"/>
      <c r="X93" s="240"/>
      <c r="Y93" s="240"/>
      <c r="Z93" s="240"/>
      <c r="AA93" s="240"/>
      <c r="AB93" s="240"/>
      <c r="AC93" s="240"/>
      <c r="AD93" s="240"/>
      <c r="AE93" s="240"/>
      <c r="AF93" s="240"/>
      <c r="AG93" s="240"/>
      <c r="AH93" s="240"/>
      <c r="AI93" s="240"/>
      <c r="AJ93" s="240"/>
      <c r="AK93" s="240"/>
      <c r="AL93" s="240"/>
      <c r="AM93" s="240"/>
      <c r="AN93" s="240"/>
      <c r="AO93" s="240"/>
      <c r="AP93" s="240"/>
      <c r="AQ93" s="240"/>
      <c r="AR93" s="240"/>
      <c r="AS93" s="240"/>
    </row>
    <row r="94" spans="1:45">
      <c r="A94" s="229">
        <v>0</v>
      </c>
      <c r="B94" s="229" t="s">
        <v>1102</v>
      </c>
      <c r="C94" s="234" t="s">
        <v>1103</v>
      </c>
      <c r="D94" s="229"/>
      <c r="E94" s="313" t="s">
        <v>283</v>
      </c>
      <c r="F94" s="313"/>
      <c r="G94" s="313"/>
      <c r="H94" s="229"/>
      <c r="I94" s="229"/>
      <c r="J94" s="229"/>
      <c r="K94" s="229"/>
      <c r="L94" s="229"/>
      <c r="M94" s="229"/>
      <c r="N94" s="229"/>
      <c r="O94" s="229"/>
      <c r="P94" s="229"/>
      <c r="Q94" s="229"/>
      <c r="R94" s="229"/>
      <c r="S94" s="229"/>
      <c r="T94" s="229"/>
      <c r="U94" s="229"/>
      <c r="V94" s="229"/>
      <c r="W94" s="229"/>
      <c r="X94" s="229"/>
      <c r="Y94" s="229"/>
      <c r="Z94" s="229"/>
      <c r="AA94" s="229"/>
      <c r="AB94" s="229"/>
      <c r="AC94" s="229"/>
      <c r="AD94" s="229"/>
      <c r="AE94" s="229"/>
      <c r="AF94" s="229"/>
      <c r="AG94" s="229"/>
      <c r="AH94" s="229"/>
      <c r="AI94" s="229"/>
      <c r="AJ94" s="229"/>
      <c r="AK94" s="229"/>
      <c r="AL94" s="229"/>
      <c r="AM94" s="229"/>
      <c r="AN94" s="229"/>
      <c r="AO94" s="229"/>
      <c r="AP94" s="229"/>
      <c r="AQ94" s="229"/>
      <c r="AR94" s="229"/>
      <c r="AS94" s="229"/>
    </row>
    <row r="95" spans="1:45">
      <c r="A95" s="229">
        <v>1</v>
      </c>
      <c r="B95" s="229" t="s">
        <v>1104</v>
      </c>
      <c r="C95" s="234" t="s">
        <v>1103</v>
      </c>
      <c r="D95" s="229"/>
      <c r="E95" s="313" t="s">
        <v>284</v>
      </c>
      <c r="F95" s="313"/>
      <c r="G95" s="313"/>
      <c r="H95" s="313"/>
      <c r="I95" s="313"/>
      <c r="J95" s="302">
        <f>'2.2 Energy Systems inputs'!F17</f>
        <v>0</v>
      </c>
      <c r="K95" s="302">
        <f>'2.2 Energy Systems inputs'!G17</f>
        <v>0</v>
      </c>
      <c r="L95" s="302">
        <f>'2.2 Energy Systems inputs'!H17</f>
        <v>0</v>
      </c>
      <c r="M95" s="302">
        <f>'2.2 Energy Systems inputs'!I17</f>
        <v>0</v>
      </c>
      <c r="N95" s="302">
        <f>'2.2 Energy Systems inputs'!J17</f>
        <v>0</v>
      </c>
      <c r="O95" s="302">
        <f>'2.2 Energy Systems inputs'!K17</f>
        <v>0</v>
      </c>
      <c r="P95" s="302">
        <f>'2.2 Energy Systems inputs'!L17</f>
        <v>10776.969000000001</v>
      </c>
      <c r="Q95" s="302">
        <f>'2.2 Energy Systems inputs'!M17</f>
        <v>32330.906999999999</v>
      </c>
      <c r="R95" s="302">
        <f>'2.2 Energy Systems inputs'!N17</f>
        <v>53884.845000000001</v>
      </c>
      <c r="S95" s="302">
        <f>'2.2 Energy Systems inputs'!O17</f>
        <v>86215.752000000008</v>
      </c>
      <c r="T95" s="302">
        <f>'2.2 Energy Systems inputs'!P17</f>
        <v>107769.69</v>
      </c>
      <c r="U95" s="302">
        <f>'2.2 Energy Systems inputs'!Q17</f>
        <v>140100.59700000001</v>
      </c>
      <c r="V95" s="302">
        <f>'2.2 Energy Systems inputs'!R17</f>
        <v>172431.50400000002</v>
      </c>
      <c r="W95" s="302">
        <f>'2.2 Energy Systems inputs'!S17</f>
        <v>172431.50400000002</v>
      </c>
      <c r="X95" s="302">
        <f>'2.2 Energy Systems inputs'!T17</f>
        <v>172431.50400000002</v>
      </c>
      <c r="Y95" s="302">
        <f>'2.2 Energy Systems inputs'!U17</f>
        <v>172431.50400000002</v>
      </c>
      <c r="Z95" s="302">
        <f>'2.2 Energy Systems inputs'!V17</f>
        <v>172431.50400000002</v>
      </c>
      <c r="AA95" s="302">
        <f>'2.2 Energy Systems inputs'!W17</f>
        <v>172431.50400000002</v>
      </c>
      <c r="AB95" s="302">
        <f>'2.2 Energy Systems inputs'!X17</f>
        <v>172431.50400000002</v>
      </c>
      <c r="AC95" s="302">
        <f>'2.2 Energy Systems inputs'!Y17</f>
        <v>172431.50400000002</v>
      </c>
      <c r="AD95" s="302">
        <f>'2.2 Energy Systems inputs'!Z17</f>
        <v>172431.50400000002</v>
      </c>
      <c r="AE95" s="302">
        <f>'2.2 Energy Systems inputs'!AA17</f>
        <v>172431.50400000002</v>
      </c>
      <c r="AF95" s="302">
        <f>'2.2 Energy Systems inputs'!AB17</f>
        <v>129323.628</v>
      </c>
      <c r="AG95" s="302">
        <f>'2.2 Energy Systems inputs'!AC17</f>
        <v>86215.752000000008</v>
      </c>
      <c r="AH95" s="302">
        <f>'2.2 Energy Systems inputs'!AD17</f>
        <v>0</v>
      </c>
      <c r="AI95" s="302">
        <f>'2.2 Energy Systems inputs'!AE17</f>
        <v>0</v>
      </c>
      <c r="AJ95" s="302">
        <f>'2.2 Energy Systems inputs'!AF17</f>
        <v>0</v>
      </c>
      <c r="AK95" s="302">
        <f>'2.2 Energy Systems inputs'!AG17</f>
        <v>0</v>
      </c>
      <c r="AL95" s="302">
        <f>'2.2 Energy Systems inputs'!AH17</f>
        <v>0</v>
      </c>
      <c r="AM95" s="302">
        <f>'2.2 Energy Systems inputs'!AI17</f>
        <v>0</v>
      </c>
      <c r="AN95" s="302">
        <f>'2.2 Energy Systems inputs'!AJ17</f>
        <v>0</v>
      </c>
      <c r="AO95" s="302">
        <f>'2.2 Energy Systems inputs'!AK17</f>
        <v>0</v>
      </c>
      <c r="AP95" s="302">
        <f>'2.2 Energy Systems inputs'!AL17</f>
        <v>0</v>
      </c>
      <c r="AQ95" s="302">
        <f>'2.2 Energy Systems inputs'!AM17</f>
        <v>0</v>
      </c>
      <c r="AR95" s="302">
        <f>'2.2 Energy Systems inputs'!AN17</f>
        <v>0</v>
      </c>
      <c r="AS95" s="302">
        <f>'2.2 Energy Systems inputs'!AO17</f>
        <v>0</v>
      </c>
    </row>
    <row r="96" spans="1:45">
      <c r="A96" s="229">
        <v>2</v>
      </c>
      <c r="B96" s="229" t="s">
        <v>1105</v>
      </c>
      <c r="C96" s="234" t="s">
        <v>1103</v>
      </c>
      <c r="D96" s="229"/>
      <c r="E96" s="313" t="s">
        <v>285</v>
      </c>
      <c r="F96" s="313"/>
      <c r="G96" s="313"/>
      <c r="H96" s="313"/>
      <c r="I96" s="313"/>
      <c r="J96" s="614">
        <f>'2.2 Energy Systems inputs'!F18</f>
        <v>0</v>
      </c>
      <c r="K96" s="614">
        <f>'2.2 Energy Systems inputs'!G18</f>
        <v>0</v>
      </c>
      <c r="L96" s="614">
        <f>'2.2 Energy Systems inputs'!H18</f>
        <v>0</v>
      </c>
      <c r="M96" s="614">
        <f>'2.2 Energy Systems inputs'!I18</f>
        <v>0</v>
      </c>
      <c r="N96" s="614">
        <f>'2.2 Energy Systems inputs'!J18</f>
        <v>0</v>
      </c>
      <c r="O96" s="614">
        <f>'2.2 Energy Systems inputs'!K18</f>
        <v>31989.831001183342</v>
      </c>
      <c r="P96" s="614">
        <f>'2.2 Energy Systems inputs'!L18</f>
        <v>33842.143757393933</v>
      </c>
      <c r="Q96" s="614">
        <f>'2.2 Energy Systems inputs'!M18</f>
        <v>54147.430011830205</v>
      </c>
      <c r="R96" s="614">
        <f>'2.2 Energy Systems inputs'!N18</f>
        <v>54147.430011830293</v>
      </c>
      <c r="S96" s="614">
        <f>'2.2 Energy Systems inputs'!O18</f>
        <v>54147.430011830205</v>
      </c>
      <c r="T96" s="614">
        <f>'2.2 Energy Systems inputs'!P18</f>
        <v>54147.430011830729</v>
      </c>
      <c r="U96" s="614">
        <f>'2.2 Energy Systems inputs'!Q18</f>
        <v>54794.030011823983</v>
      </c>
      <c r="V96" s="614">
        <f>'2.2 Energy Systems inputs'!R18</f>
        <v>54794.030011823983</v>
      </c>
      <c r="W96" s="614">
        <f>'2.2 Energy Systems inputs'!S18</f>
        <v>54794.030011824099</v>
      </c>
      <c r="X96" s="614">
        <f>'2.2 Energy Systems inputs'!T18</f>
        <v>54794.030011824099</v>
      </c>
      <c r="Y96" s="614">
        <f>'2.2 Energy Systems inputs'!U18</f>
        <v>54794.030011823867</v>
      </c>
      <c r="Z96" s="614">
        <f>'2.2 Energy Systems inputs'!V18</f>
        <v>25259.38285714318</v>
      </c>
      <c r="AA96" s="614">
        <f>'2.2 Energy Systems inputs'!W18</f>
        <v>25259.38285714318</v>
      </c>
      <c r="AB96" s="614">
        <f>'2.2 Energy Systems inputs'!X18</f>
        <v>25259.382857142948</v>
      </c>
      <c r="AC96" s="614">
        <f>'2.2 Energy Systems inputs'!Y18</f>
        <v>16957.387570183026</v>
      </c>
      <c r="AD96" s="614">
        <f>'2.2 Energy Systems inputs'!Z18</f>
        <v>11508.257317374926</v>
      </c>
      <c r="AE96" s="614">
        <f>'2.2 Energy Systems inputs'!AA18</f>
        <v>11602.086851403816</v>
      </c>
      <c r="AF96" s="614">
        <f>'2.2 Energy Systems inputs'!AB18</f>
        <v>11679.484714288497</v>
      </c>
      <c r="AG96" s="614">
        <f>'2.2 Energy Systems inputs'!AC18</f>
        <v>11762.374147200841</v>
      </c>
      <c r="AH96" s="614">
        <f>'2.2 Energy Systems inputs'!AD18</f>
        <v>11825.260291512939</v>
      </c>
      <c r="AI96" s="614">
        <f>'2.2 Energy Systems inputs'!AE18</f>
        <v>11882.310440458474</v>
      </c>
      <c r="AJ96" s="614">
        <f>'2.2 Energy Systems inputs'!AF18</f>
        <v>11934.226081847097</v>
      </c>
      <c r="AK96" s="614">
        <f>'2.2 Energy Systems inputs'!AG18</f>
        <v>11981.606379678589</v>
      </c>
      <c r="AL96" s="614">
        <f>'2.2 Energy Systems inputs'!AH18</f>
        <v>12024.965577203198</v>
      </c>
      <c r="AM96" s="614">
        <f>'2.2 Energy Systems inputs'!AI18</f>
        <v>12064.747041976196</v>
      </c>
      <c r="AN96" s="614">
        <f>'2.2 Energy Systems inputs'!AJ18</f>
        <v>12101.334673553123</v>
      </c>
      <c r="AO96" s="614">
        <f>'2.2 Energy Systems inputs'!AK18</f>
        <v>12135.062225016532</v>
      </c>
      <c r="AP96" s="614">
        <f>'2.2 Energy Systems inputs'!AL18</f>
        <v>12166.220963241067</v>
      </c>
      <c r="AQ96" s="614">
        <f>'2.2 Energy Systems inputs'!AM18</f>
        <v>12195.065997868427</v>
      </c>
      <c r="AR96" s="614">
        <f>'2.2 Energy Systems inputs'!AN18</f>
        <v>12221.82153698965</v>
      </c>
      <c r="AS96" s="614">
        <f>'2.2 Energy Systems inputs'!AO18</f>
        <v>12246.685272645671</v>
      </c>
    </row>
    <row r="97" spans="1:45">
      <c r="A97" s="229">
        <v>3</v>
      </c>
      <c r="B97" s="229" t="s">
        <v>1106</v>
      </c>
      <c r="C97" s="234" t="s">
        <v>1103</v>
      </c>
      <c r="D97" s="229"/>
      <c r="E97" s="313" t="s">
        <v>286</v>
      </c>
      <c r="F97" s="313"/>
      <c r="G97" s="313"/>
      <c r="H97" s="313"/>
      <c r="I97" s="313"/>
      <c r="J97" s="302">
        <f>'2.2 Energy Systems inputs'!F21</f>
        <v>0</v>
      </c>
      <c r="K97" s="302">
        <f>'2.2 Energy Systems inputs'!G21</f>
        <v>0</v>
      </c>
      <c r="L97" s="302">
        <f>'2.2 Energy Systems inputs'!H21</f>
        <v>0</v>
      </c>
      <c r="M97" s="302">
        <f>'2.2 Energy Systems inputs'!I21</f>
        <v>0</v>
      </c>
      <c r="N97" s="302">
        <f>'2.2 Energy Systems inputs'!J21</f>
        <v>0</v>
      </c>
      <c r="O97" s="302">
        <f>'2.2 Energy Systems inputs'!K21</f>
        <v>0</v>
      </c>
      <c r="P97" s="302">
        <f>'2.2 Energy Systems inputs'!L21</f>
        <v>698.63708778849048</v>
      </c>
      <c r="Q97" s="302">
        <f>'2.2 Energy Systems inputs'!M21</f>
        <v>2234.350701028176</v>
      </c>
      <c r="R97" s="302">
        <f>'2.2 Energy Systems inputs'!N21</f>
        <v>4202.91863901529</v>
      </c>
      <c r="S97" s="302">
        <f>'2.2 Energy Systems inputs'!O21</f>
        <v>7458.3358858899865</v>
      </c>
      <c r="T97" s="302">
        <f>'2.2 Energy Systems inputs'!P21</f>
        <v>10179.607742567377</v>
      </c>
      <c r="U97" s="302">
        <f>'2.2 Energy Systems inputs'!Q21</f>
        <v>13938.550850851581</v>
      </c>
      <c r="V97" s="302">
        <f>'2.2 Energy Systems inputs'!R21</f>
        <v>17799.346454560386</v>
      </c>
      <c r="W97" s="302">
        <f>'2.2 Energy Systems inputs'!S21</f>
        <v>18394.432037865452</v>
      </c>
      <c r="X97" s="302">
        <f>'2.2 Energy Systems inputs'!T21</f>
        <v>18128.522029690459</v>
      </c>
      <c r="Y97" s="302">
        <f>'2.2 Energy Systems inputs'!U21</f>
        <v>17490.493126560861</v>
      </c>
      <c r="Z97" s="302">
        <f>'2.2 Energy Systems inputs'!V21</f>
        <v>17003.876085510448</v>
      </c>
      <c r="AA97" s="302">
        <f>'2.2 Energy Systems inputs'!W21</f>
        <v>17003.876085510492</v>
      </c>
      <c r="AB97" s="302">
        <f>'2.2 Energy Systems inputs'!X21</f>
        <v>17003.876085510477</v>
      </c>
      <c r="AC97" s="302">
        <f>'2.2 Energy Systems inputs'!Y21</f>
        <v>17003.876085510477</v>
      </c>
      <c r="AD97" s="302">
        <f>'2.2 Energy Systems inputs'!Z21</f>
        <v>17003.876085510477</v>
      </c>
      <c r="AE97" s="302">
        <f>'2.2 Energy Systems inputs'!AA21</f>
        <v>17003.876085510477</v>
      </c>
      <c r="AF97" s="302">
        <f>'2.2 Energy Systems inputs'!AB21</f>
        <v>12752.9070641328</v>
      </c>
      <c r="AG97" s="302">
        <f>'2.2 Energy Systems inputs'!AC21</f>
        <v>8501.9380427552678</v>
      </c>
      <c r="AH97" s="302">
        <f>'2.2 Energy Systems inputs'!AD21</f>
        <v>0</v>
      </c>
      <c r="AI97" s="302">
        <f>'2.2 Energy Systems inputs'!AE21</f>
        <v>0</v>
      </c>
      <c r="AJ97" s="302">
        <f>'2.2 Energy Systems inputs'!AF21</f>
        <v>0</v>
      </c>
      <c r="AK97" s="302">
        <f>'2.2 Energy Systems inputs'!AG21</f>
        <v>0</v>
      </c>
      <c r="AL97" s="302">
        <f>'2.2 Energy Systems inputs'!AH21</f>
        <v>0</v>
      </c>
      <c r="AM97" s="302">
        <f>'2.2 Energy Systems inputs'!AI21</f>
        <v>0</v>
      </c>
      <c r="AN97" s="302">
        <f>'2.2 Energy Systems inputs'!AJ21</f>
        <v>0</v>
      </c>
      <c r="AO97" s="302">
        <f>'2.2 Energy Systems inputs'!AK21</f>
        <v>0</v>
      </c>
      <c r="AP97" s="302">
        <f>'2.2 Energy Systems inputs'!AL21</f>
        <v>0</v>
      </c>
      <c r="AQ97" s="302">
        <f>'2.2 Energy Systems inputs'!AM21</f>
        <v>0</v>
      </c>
      <c r="AR97" s="302">
        <f>'2.2 Energy Systems inputs'!AN21</f>
        <v>0</v>
      </c>
      <c r="AS97" s="302">
        <f>'2.2 Energy Systems inputs'!AO21</f>
        <v>0</v>
      </c>
    </row>
    <row r="98" spans="1:45">
      <c r="A98" s="229">
        <v>4</v>
      </c>
      <c r="B98" s="229" t="s">
        <v>1107</v>
      </c>
      <c r="C98" s="234" t="s">
        <v>1103</v>
      </c>
      <c r="D98" s="229"/>
      <c r="E98" s="313" t="s">
        <v>287</v>
      </c>
      <c r="F98" s="313"/>
      <c r="G98" s="313"/>
      <c r="H98" s="313"/>
      <c r="I98" s="313"/>
      <c r="J98" s="302">
        <f>'2.2 Energy Systems inputs'!F22</f>
        <v>0</v>
      </c>
      <c r="K98" s="302">
        <f>'2.2 Energy Systems inputs'!G22</f>
        <v>0</v>
      </c>
      <c r="L98" s="302">
        <f>'2.2 Energy Systems inputs'!H22</f>
        <v>0</v>
      </c>
      <c r="M98" s="302">
        <f>'2.2 Energy Systems inputs'!I22</f>
        <v>0</v>
      </c>
      <c r="N98" s="302">
        <f>'2.2 Energy Systems inputs'!J22</f>
        <v>0</v>
      </c>
      <c r="O98" s="302">
        <f>'2.2 Energy Systems inputs'!K22</f>
        <v>1543.3825637228911</v>
      </c>
      <c r="P98" s="302">
        <f>'2.2 Energy Systems inputs'!L22</f>
        <v>1716.237673248314</v>
      </c>
      <c r="Q98" s="302">
        <f>'2.2 Energy Systems inputs'!M22</f>
        <v>2794.7446618992749</v>
      </c>
      <c r="R98" s="302">
        <f>'2.2 Energy Systems inputs'!N22</f>
        <v>2860.3089445603318</v>
      </c>
      <c r="S98" s="302">
        <f>'2.2 Energy Systems inputs'!O22</f>
        <v>2906.0211305794037</v>
      </c>
      <c r="T98" s="302">
        <f>'2.2 Energy Systems inputs'!P22</f>
        <v>2939.1611080511575</v>
      </c>
      <c r="U98" s="302">
        <f>'2.2 Energy Systems inputs'!Q22</f>
        <v>2850.5151589933721</v>
      </c>
      <c r="V98" s="302">
        <f>'2.2 Energy Systems inputs'!R22</f>
        <v>2848.2231550008291</v>
      </c>
      <c r="W98" s="302">
        <f>'2.2 Energy Systems inputs'!S22</f>
        <v>2846.3485369068731</v>
      </c>
      <c r="X98" s="302">
        <f>'2.2 Energy Systems inputs'!T22</f>
        <v>2844.7957602252391</v>
      </c>
      <c r="Y98" s="302">
        <f>'2.2 Energy Systems inputs'!U22</f>
        <v>2843.4951396574761</v>
      </c>
      <c r="Z98" s="302">
        <f>'2.2 Energy Systems inputs'!V22</f>
        <v>2166.440580751434</v>
      </c>
      <c r="AA98" s="302">
        <f>'2.2 Energy Systems inputs'!W22</f>
        <v>2198.114718408262</v>
      </c>
      <c r="AB98" s="302">
        <f>'2.2 Energy Systems inputs'!X22</f>
        <v>2227.5828694089723</v>
      </c>
      <c r="AC98" s="302">
        <f>'2.2 Energy Systems inputs'!Y22</f>
        <v>2255.0452376917237</v>
      </c>
      <c r="AD98" s="302">
        <f>'2.2 Energy Systems inputs'!Z22</f>
        <v>1484.1302039942238</v>
      </c>
      <c r="AE98" s="302">
        <f>'2.2 Energy Systems inputs'!AA22</f>
        <v>845.15004212525673</v>
      </c>
      <c r="AF98" s="302">
        <f>'2.2 Energy Systems inputs'!AB22</f>
        <v>845.70564457128785</v>
      </c>
      <c r="AG98" s="302">
        <f>'2.2 Energy Systems inputs'!AC22</f>
        <v>846.19810251857416</v>
      </c>
      <c r="AH98" s="302">
        <f>'2.2 Energy Systems inputs'!AD22</f>
        <v>846.63662943503004</v>
      </c>
      <c r="AI98" s="302">
        <f>'2.2 Energy Systems inputs'!AE22</f>
        <v>847.02881849988626</v>
      </c>
      <c r="AJ98" s="302">
        <f>'2.2 Energy Systems inputs'!AF22</f>
        <v>847.38097272004234</v>
      </c>
      <c r="AK98" s="302">
        <f>'2.2 Energy Systems inputs'!AG22</f>
        <v>847.69835920029436</v>
      </c>
      <c r="AL98" s="302">
        <f>'2.2 Energy Systems inputs'!AH22</f>
        <v>847.98540684011823</v>
      </c>
      <c r="AM98" s="302">
        <f>'2.2 Energy Systems inputs'!AI22</f>
        <v>848.24586139278108</v>
      </c>
      <c r="AN98" s="302">
        <f>'2.2 Energy Systems inputs'!AJ22</f>
        <v>848.48290807481681</v>
      </c>
      <c r="AO98" s="302">
        <f>'2.2 Energy Systems inputs'!AK22</f>
        <v>848.6992692579297</v>
      </c>
      <c r="AP98" s="302">
        <f>'2.2 Energy Systems inputs'!AL22</f>
        <v>848.89728286787431</v>
      </c>
      <c r="AQ98" s="302">
        <f>'2.2 Energy Systems inputs'!AM22</f>
        <v>849.07896572002937</v>
      </c>
      <c r="AR98" s="302">
        <f>'2.2 Energy Systems inputs'!AN22</f>
        <v>849.24606501175731</v>
      </c>
      <c r="AS98" s="302">
        <f>'2.2 Energy Systems inputs'!AO22</f>
        <v>849.40010043550865</v>
      </c>
    </row>
    <row r="99" spans="1:45">
      <c r="A99" s="229">
        <v>5</v>
      </c>
      <c r="B99" s="229" t="s">
        <v>1108</v>
      </c>
      <c r="C99" s="234" t="s">
        <v>1103</v>
      </c>
      <c r="D99" s="229"/>
      <c r="E99" s="313" t="s">
        <v>288</v>
      </c>
      <c r="F99" s="313"/>
      <c r="G99" s="313"/>
      <c r="H99" s="313"/>
      <c r="I99" s="313"/>
      <c r="J99" s="302">
        <f>'2.2 Energy Systems inputs'!F19</f>
        <v>0</v>
      </c>
      <c r="K99" s="302">
        <f>'2.2 Energy Systems inputs'!G19</f>
        <v>0</v>
      </c>
      <c r="L99" s="302">
        <f>'2.2 Energy Systems inputs'!H19</f>
        <v>0</v>
      </c>
      <c r="M99" s="302">
        <f>'2.2 Energy Systems inputs'!I19</f>
        <v>0</v>
      </c>
      <c r="N99" s="302">
        <f>'2.2 Energy Systems inputs'!J19</f>
        <v>0</v>
      </c>
      <c r="O99" s="302">
        <f>'2.2 Energy Systems inputs'!K19</f>
        <v>0</v>
      </c>
      <c r="P99" s="302">
        <f>'2.2 Energy Systems inputs'!L19</f>
        <v>0</v>
      </c>
      <c r="Q99" s="302">
        <f>'2.2 Energy Systems inputs'!M19</f>
        <v>0</v>
      </c>
      <c r="R99" s="302">
        <f>'2.2 Energy Systems inputs'!N19</f>
        <v>0</v>
      </c>
      <c r="S99" s="302">
        <f>'2.2 Energy Systems inputs'!O19</f>
        <v>0</v>
      </c>
      <c r="T99" s="302">
        <f>'2.2 Energy Systems inputs'!P19</f>
        <v>0</v>
      </c>
      <c r="U99" s="302">
        <f>'2.2 Energy Systems inputs'!Q19</f>
        <v>0</v>
      </c>
      <c r="V99" s="302">
        <f>'2.2 Energy Systems inputs'!R19</f>
        <v>0</v>
      </c>
      <c r="W99" s="302">
        <f>'2.2 Energy Systems inputs'!S19</f>
        <v>0</v>
      </c>
      <c r="X99" s="302">
        <f>'2.2 Energy Systems inputs'!T19</f>
        <v>0</v>
      </c>
      <c r="Y99" s="302">
        <f>'2.2 Energy Systems inputs'!U19</f>
        <v>0</v>
      </c>
      <c r="Z99" s="302">
        <f>'2.2 Energy Systems inputs'!V19</f>
        <v>0</v>
      </c>
      <c r="AA99" s="302">
        <f>'2.2 Energy Systems inputs'!W19</f>
        <v>0</v>
      </c>
      <c r="AB99" s="302">
        <f>'2.2 Energy Systems inputs'!X19</f>
        <v>0</v>
      </c>
      <c r="AC99" s="302">
        <f>'2.2 Energy Systems inputs'!Y19</f>
        <v>0</v>
      </c>
      <c r="AD99" s="302">
        <f>'2.2 Energy Systems inputs'!Z19</f>
        <v>0</v>
      </c>
      <c r="AE99" s="302">
        <f>'2.2 Energy Systems inputs'!AA19</f>
        <v>0</v>
      </c>
      <c r="AF99" s="302">
        <f>'2.2 Energy Systems inputs'!AB19</f>
        <v>0</v>
      </c>
      <c r="AG99" s="302">
        <f>'2.2 Energy Systems inputs'!AC19</f>
        <v>0</v>
      </c>
      <c r="AH99" s="302">
        <f>'2.2 Energy Systems inputs'!AD19</f>
        <v>0</v>
      </c>
      <c r="AI99" s="302">
        <f>'2.2 Energy Systems inputs'!AE19</f>
        <v>0</v>
      </c>
      <c r="AJ99" s="302">
        <f>'2.2 Energy Systems inputs'!AF19</f>
        <v>0</v>
      </c>
      <c r="AK99" s="302">
        <f>'2.2 Energy Systems inputs'!AG19</f>
        <v>0</v>
      </c>
      <c r="AL99" s="302">
        <f>'2.2 Energy Systems inputs'!AH19</f>
        <v>0</v>
      </c>
      <c r="AM99" s="302">
        <f>'2.2 Energy Systems inputs'!AI19</f>
        <v>0</v>
      </c>
      <c r="AN99" s="302">
        <f>'2.2 Energy Systems inputs'!AJ19</f>
        <v>0</v>
      </c>
      <c r="AO99" s="302">
        <f>'2.2 Energy Systems inputs'!AK19</f>
        <v>0</v>
      </c>
      <c r="AP99" s="302">
        <f>'2.2 Energy Systems inputs'!AL19</f>
        <v>0</v>
      </c>
      <c r="AQ99" s="302">
        <f>'2.2 Energy Systems inputs'!AM19</f>
        <v>0</v>
      </c>
      <c r="AR99" s="302">
        <f>'2.2 Energy Systems inputs'!AN19</f>
        <v>0</v>
      </c>
      <c r="AS99" s="302">
        <f>'2.2 Energy Systems inputs'!AO19</f>
        <v>0</v>
      </c>
    </row>
    <row r="100" spans="1:45">
      <c r="A100" s="229">
        <v>6</v>
      </c>
      <c r="B100" s="229" t="s">
        <v>1109</v>
      </c>
      <c r="C100" s="234" t="s">
        <v>1103</v>
      </c>
      <c r="D100" s="229"/>
      <c r="E100" s="313" t="s">
        <v>289</v>
      </c>
      <c r="F100" s="313"/>
      <c r="G100" s="313"/>
      <c r="H100" s="313"/>
      <c r="I100" s="313"/>
      <c r="J100" s="302">
        <f>'2.2 Energy Systems inputs'!F20</f>
        <v>0</v>
      </c>
      <c r="K100" s="302">
        <f>'2.2 Energy Systems inputs'!G20</f>
        <v>0</v>
      </c>
      <c r="L100" s="302">
        <f>'2.2 Energy Systems inputs'!H20</f>
        <v>0</v>
      </c>
      <c r="M100" s="302">
        <f>'2.2 Energy Systems inputs'!I20</f>
        <v>0</v>
      </c>
      <c r="N100" s="302">
        <f>'2.2 Energy Systems inputs'!J20</f>
        <v>0</v>
      </c>
      <c r="O100" s="302">
        <f>'2.2 Energy Systems inputs'!K20</f>
        <v>0</v>
      </c>
      <c r="P100" s="302">
        <f>'2.2 Energy Systems inputs'!L20</f>
        <v>0</v>
      </c>
      <c r="Q100" s="302">
        <f>'2.2 Energy Systems inputs'!M20</f>
        <v>0</v>
      </c>
      <c r="R100" s="302">
        <f>'2.2 Energy Systems inputs'!N20</f>
        <v>0</v>
      </c>
      <c r="S100" s="302">
        <f>'2.2 Energy Systems inputs'!O20</f>
        <v>0</v>
      </c>
      <c r="T100" s="302">
        <f>'2.2 Energy Systems inputs'!P20</f>
        <v>0</v>
      </c>
      <c r="U100" s="302">
        <f>'2.2 Energy Systems inputs'!Q20</f>
        <v>0</v>
      </c>
      <c r="V100" s="302">
        <f>'2.2 Energy Systems inputs'!R20</f>
        <v>0</v>
      </c>
      <c r="W100" s="302">
        <f>'2.2 Energy Systems inputs'!S20</f>
        <v>0</v>
      </c>
      <c r="X100" s="302">
        <f>'2.2 Energy Systems inputs'!T20</f>
        <v>0</v>
      </c>
      <c r="Y100" s="302">
        <f>'2.2 Energy Systems inputs'!U20</f>
        <v>0</v>
      </c>
      <c r="Z100" s="302">
        <f>'2.2 Energy Systems inputs'!V20</f>
        <v>0</v>
      </c>
      <c r="AA100" s="302">
        <f>'2.2 Energy Systems inputs'!W20</f>
        <v>0</v>
      </c>
      <c r="AB100" s="302">
        <f>'2.2 Energy Systems inputs'!X20</f>
        <v>0</v>
      </c>
      <c r="AC100" s="302">
        <f>'2.2 Energy Systems inputs'!Y20</f>
        <v>0</v>
      </c>
      <c r="AD100" s="302">
        <f>'2.2 Energy Systems inputs'!Z20</f>
        <v>0</v>
      </c>
      <c r="AE100" s="302">
        <f>'2.2 Energy Systems inputs'!AA20</f>
        <v>0</v>
      </c>
      <c r="AF100" s="302">
        <f>'2.2 Energy Systems inputs'!AB20</f>
        <v>0</v>
      </c>
      <c r="AG100" s="302">
        <f>'2.2 Energy Systems inputs'!AC20</f>
        <v>0</v>
      </c>
      <c r="AH100" s="302">
        <f>'2.2 Energy Systems inputs'!AD20</f>
        <v>0</v>
      </c>
      <c r="AI100" s="302">
        <f>'2.2 Energy Systems inputs'!AE20</f>
        <v>0</v>
      </c>
      <c r="AJ100" s="302">
        <f>'2.2 Energy Systems inputs'!AF20</f>
        <v>0</v>
      </c>
      <c r="AK100" s="302">
        <f>'2.2 Energy Systems inputs'!AG20</f>
        <v>0</v>
      </c>
      <c r="AL100" s="302">
        <f>'2.2 Energy Systems inputs'!AH20</f>
        <v>0</v>
      </c>
      <c r="AM100" s="302">
        <f>'2.2 Energy Systems inputs'!AI20</f>
        <v>0</v>
      </c>
      <c r="AN100" s="302">
        <f>'2.2 Energy Systems inputs'!AJ20</f>
        <v>0</v>
      </c>
      <c r="AO100" s="302">
        <f>'2.2 Energy Systems inputs'!AK20</f>
        <v>0</v>
      </c>
      <c r="AP100" s="302">
        <f>'2.2 Energy Systems inputs'!AL20</f>
        <v>0</v>
      </c>
      <c r="AQ100" s="302">
        <f>'2.2 Energy Systems inputs'!AM20</f>
        <v>0</v>
      </c>
      <c r="AR100" s="302">
        <f>'2.2 Energy Systems inputs'!AN20</f>
        <v>0</v>
      </c>
      <c r="AS100" s="302">
        <f>'2.2 Energy Systems inputs'!AO20</f>
        <v>0</v>
      </c>
    </row>
    <row r="103" spans="1:45">
      <c r="A103" s="240"/>
      <c r="B103" s="240"/>
      <c r="C103" s="240"/>
      <c r="D103" s="241" t="s">
        <v>1110</v>
      </c>
      <c r="E103" s="242"/>
      <c r="F103" s="240"/>
      <c r="G103" s="240"/>
      <c r="H103" s="240"/>
      <c r="I103" s="240"/>
      <c r="J103" s="240"/>
      <c r="K103" s="240"/>
      <c r="L103" s="240"/>
      <c r="M103" s="240"/>
      <c r="N103" s="240"/>
      <c r="O103" s="240"/>
      <c r="P103" s="240"/>
      <c r="Q103" s="240"/>
      <c r="R103" s="240"/>
      <c r="S103" s="240"/>
      <c r="T103" s="240"/>
      <c r="U103" s="240"/>
      <c r="V103" s="240"/>
      <c r="W103" s="240"/>
      <c r="X103" s="240"/>
      <c r="Y103" s="240"/>
      <c r="Z103" s="240"/>
      <c r="AA103" s="240"/>
      <c r="AB103" s="240"/>
      <c r="AC103" s="240"/>
      <c r="AD103" s="240"/>
      <c r="AE103" s="240"/>
      <c r="AF103" s="240"/>
      <c r="AG103" s="240"/>
      <c r="AH103" s="240"/>
      <c r="AI103" s="240"/>
      <c r="AJ103" s="240"/>
      <c r="AK103" s="240"/>
      <c r="AL103" s="240"/>
      <c r="AM103" s="240"/>
      <c r="AN103" s="240"/>
      <c r="AO103" s="240"/>
      <c r="AP103" s="240"/>
      <c r="AQ103" s="240"/>
      <c r="AR103" s="240"/>
      <c r="AS103" s="240"/>
    </row>
    <row r="104" spans="1:45">
      <c r="A104" s="229"/>
      <c r="B104" s="229"/>
      <c r="C104" s="234"/>
      <c r="D104" s="229"/>
      <c r="E104" s="313" t="s">
        <v>283</v>
      </c>
      <c r="F104" s="313"/>
      <c r="G104" s="313"/>
      <c r="H104" s="229"/>
      <c r="I104" s="229"/>
      <c r="J104" s="229"/>
      <c r="K104" s="229"/>
      <c r="L104" s="229"/>
      <c r="M104" s="229"/>
      <c r="N104" s="229"/>
      <c r="O104" s="229"/>
      <c r="P104" s="229"/>
      <c r="Q104" s="229"/>
      <c r="R104" s="229"/>
      <c r="S104" s="229"/>
      <c r="T104" s="229"/>
      <c r="U104" s="229"/>
      <c r="V104" s="229"/>
      <c r="W104" s="229"/>
      <c r="X104" s="229"/>
      <c r="Y104" s="229"/>
      <c r="Z104" s="229"/>
      <c r="AA104" s="229"/>
      <c r="AB104" s="229"/>
      <c r="AC104" s="229"/>
      <c r="AD104" s="229"/>
      <c r="AE104" s="229"/>
      <c r="AF104" s="229"/>
      <c r="AG104" s="229"/>
      <c r="AH104" s="229"/>
      <c r="AI104" s="229"/>
      <c r="AJ104" s="229"/>
      <c r="AK104" s="229"/>
      <c r="AL104" s="229"/>
      <c r="AM104" s="229"/>
      <c r="AN104" s="229"/>
      <c r="AO104" s="229"/>
      <c r="AP104" s="229"/>
      <c r="AQ104" s="229"/>
      <c r="AR104" s="229"/>
      <c r="AS104" s="229"/>
    </row>
    <row r="105" spans="1:45">
      <c r="A105" s="229"/>
      <c r="B105" s="229"/>
      <c r="C105" s="234"/>
      <c r="D105" s="229"/>
      <c r="E105" s="313" t="s">
        <v>1111</v>
      </c>
      <c r="F105" s="313"/>
      <c r="G105" s="313"/>
      <c r="H105" s="313"/>
      <c r="I105" s="313"/>
      <c r="J105" s="313">
        <f>IFERROR((#REF!+#REF!)/(I95+I96),0)</f>
        <v>0</v>
      </c>
      <c r="K105" s="313">
        <f t="shared" ref="K105:AS105" si="1">IFERROR((J86+J87)/(J95+J96),0)</f>
        <v>0</v>
      </c>
      <c r="L105" s="313">
        <f t="shared" si="1"/>
        <v>0</v>
      </c>
      <c r="M105" s="313">
        <f t="shared" si="1"/>
        <v>0</v>
      </c>
      <c r="N105" s="313">
        <f t="shared" si="1"/>
        <v>0</v>
      </c>
      <c r="O105" s="313">
        <f t="shared" si="1"/>
        <v>0</v>
      </c>
      <c r="P105" s="313">
        <f t="shared" si="1"/>
        <v>0.38515167959591057</v>
      </c>
      <c r="Q105" s="313">
        <f t="shared" si="1"/>
        <v>0.37832982073605492</v>
      </c>
      <c r="R105" s="313">
        <f t="shared" si="1"/>
        <v>0.37459231986951042</v>
      </c>
      <c r="S105" s="313">
        <f t="shared" si="1"/>
        <v>0.37106397804331465</v>
      </c>
      <c r="T105" s="313">
        <f t="shared" si="1"/>
        <v>0.36780323905358814</v>
      </c>
      <c r="U105" s="313">
        <f t="shared" si="1"/>
        <v>0.36635284660896722</v>
      </c>
      <c r="V105" s="313">
        <f t="shared" si="1"/>
        <v>0.36484835555590006</v>
      </c>
      <c r="W105" s="313">
        <f t="shared" si="1"/>
        <v>0.36371850459598559</v>
      </c>
      <c r="X105" s="313">
        <f t="shared" si="1"/>
        <v>0.36371850459598559</v>
      </c>
      <c r="Y105" s="313">
        <f t="shared" si="1"/>
        <v>0.36371850459598559</v>
      </c>
      <c r="Z105" s="313">
        <f t="shared" si="1"/>
        <v>0.36371850459598554</v>
      </c>
      <c r="AA105" s="313">
        <f t="shared" si="1"/>
        <v>0.36051642851098759</v>
      </c>
      <c r="AB105" s="313">
        <f t="shared" si="1"/>
        <v>0.36051642851098759</v>
      </c>
      <c r="AC105" s="313">
        <f t="shared" si="1"/>
        <v>0.36051642851098759</v>
      </c>
      <c r="AD105" s="313">
        <f t="shared" si="1"/>
        <v>0.35943652495009509</v>
      </c>
      <c r="AE105" s="313">
        <f t="shared" si="1"/>
        <v>0.35867472540152245</v>
      </c>
      <c r="AF105" s="313">
        <f t="shared" si="1"/>
        <v>0.35868822467773098</v>
      </c>
      <c r="AG105" s="313">
        <f t="shared" si="1"/>
        <v>0.35924712042779944</v>
      </c>
      <c r="AH105" s="313">
        <f t="shared" si="1"/>
        <v>0.36029835351979245</v>
      </c>
      <c r="AI105" s="313">
        <f t="shared" si="1"/>
        <v>0.38515167959591062</v>
      </c>
      <c r="AJ105" s="313">
        <f t="shared" si="1"/>
        <v>0.38515167959591057</v>
      </c>
      <c r="AK105" s="313">
        <f t="shared" si="1"/>
        <v>0.38515167959591057</v>
      </c>
      <c r="AL105" s="313">
        <f t="shared" si="1"/>
        <v>0.38515167959591057</v>
      </c>
      <c r="AM105" s="313">
        <f t="shared" si="1"/>
        <v>0.38515167959591051</v>
      </c>
      <c r="AN105" s="313">
        <f t="shared" si="1"/>
        <v>0.38515167959591057</v>
      </c>
      <c r="AO105" s="313">
        <f t="shared" si="1"/>
        <v>0.38515167959591057</v>
      </c>
      <c r="AP105" s="313">
        <f t="shared" si="1"/>
        <v>0.38515167959591057</v>
      </c>
      <c r="AQ105" s="313">
        <f t="shared" si="1"/>
        <v>0.38515167959591057</v>
      </c>
      <c r="AR105" s="313">
        <f t="shared" si="1"/>
        <v>0.38515167959591057</v>
      </c>
      <c r="AS105" s="313">
        <f t="shared" si="1"/>
        <v>0.38515167959591057</v>
      </c>
    </row>
    <row r="106" spans="1:45">
      <c r="A106" s="229"/>
      <c r="B106" s="229"/>
      <c r="C106" s="234"/>
      <c r="D106" s="229"/>
      <c r="E106" s="313" t="s">
        <v>1112</v>
      </c>
      <c r="F106" s="313"/>
      <c r="G106" s="313"/>
      <c r="H106" s="313"/>
      <c r="I106" s="313"/>
      <c r="J106" s="313">
        <f>IFERROR((#REF!+#REF!)/(I97+I98),0)</f>
        <v>0</v>
      </c>
      <c r="K106" s="313">
        <f t="shared" ref="K106:AS106" si="2">IFERROR((J88+J89)/(J97+J98),0)</f>
        <v>0</v>
      </c>
      <c r="L106" s="313">
        <f t="shared" si="2"/>
        <v>0</v>
      </c>
      <c r="M106" s="313">
        <f t="shared" si="2"/>
        <v>0</v>
      </c>
      <c r="N106" s="313">
        <f t="shared" si="2"/>
        <v>0</v>
      </c>
      <c r="O106" s="313">
        <f t="shared" si="2"/>
        <v>0</v>
      </c>
      <c r="P106" s="313">
        <f t="shared" si="2"/>
        <v>0.47536412061501032</v>
      </c>
      <c r="Q106" s="313">
        <f t="shared" si="2"/>
        <v>0.47536412061501027</v>
      </c>
      <c r="R106" s="313">
        <f t="shared" si="2"/>
        <v>0.47536412061501032</v>
      </c>
      <c r="S106" s="313">
        <f t="shared" si="2"/>
        <v>0.47536412061501027</v>
      </c>
      <c r="T106" s="313">
        <f t="shared" si="2"/>
        <v>0.47536412061501032</v>
      </c>
      <c r="U106" s="313">
        <f t="shared" si="2"/>
        <v>0.47536412061501038</v>
      </c>
      <c r="V106" s="313">
        <f t="shared" si="2"/>
        <v>0.47536412061501038</v>
      </c>
      <c r="W106" s="313">
        <f t="shared" si="2"/>
        <v>0.47536412061501038</v>
      </c>
      <c r="X106" s="313">
        <f t="shared" si="2"/>
        <v>0.47536412061501032</v>
      </c>
      <c r="Y106" s="313">
        <f t="shared" si="2"/>
        <v>0.47536412061501027</v>
      </c>
      <c r="Z106" s="313">
        <f t="shared" si="2"/>
        <v>0.47536412061501038</v>
      </c>
      <c r="AA106" s="313">
        <f t="shared" si="2"/>
        <v>0.47536412061501032</v>
      </c>
      <c r="AB106" s="313">
        <f t="shared" si="2"/>
        <v>0.47536412061501027</v>
      </c>
      <c r="AC106" s="313">
        <f t="shared" si="2"/>
        <v>0.47536412061501032</v>
      </c>
      <c r="AD106" s="313">
        <f t="shared" si="2"/>
        <v>0.47536412061501038</v>
      </c>
      <c r="AE106" s="313">
        <f t="shared" si="2"/>
        <v>0.47536412061501038</v>
      </c>
      <c r="AF106" s="313">
        <f t="shared" si="2"/>
        <v>0.47536412061501032</v>
      </c>
      <c r="AG106" s="313">
        <f t="shared" si="2"/>
        <v>0.47536412061501032</v>
      </c>
      <c r="AH106" s="313">
        <f t="shared" si="2"/>
        <v>0.47536412061501032</v>
      </c>
      <c r="AI106" s="313">
        <f t="shared" si="2"/>
        <v>0.47536412061501032</v>
      </c>
      <c r="AJ106" s="313">
        <f t="shared" si="2"/>
        <v>0.47536412061501032</v>
      </c>
      <c r="AK106" s="313">
        <f t="shared" si="2"/>
        <v>0.47536412061501032</v>
      </c>
      <c r="AL106" s="313">
        <f t="shared" si="2"/>
        <v>0.47536412061501032</v>
      </c>
      <c r="AM106" s="313">
        <f t="shared" si="2"/>
        <v>0.47536412061501038</v>
      </c>
      <c r="AN106" s="313">
        <f t="shared" si="2"/>
        <v>0.47536412061501032</v>
      </c>
      <c r="AO106" s="313">
        <f t="shared" si="2"/>
        <v>0.47536412061501032</v>
      </c>
      <c r="AP106" s="313">
        <f t="shared" si="2"/>
        <v>0.47536412061501032</v>
      </c>
      <c r="AQ106" s="313">
        <f t="shared" si="2"/>
        <v>0.47536412061501032</v>
      </c>
      <c r="AR106" s="313">
        <f t="shared" si="2"/>
        <v>0.47536412061501032</v>
      </c>
      <c r="AS106" s="313">
        <f t="shared" si="2"/>
        <v>0.47536412061501032</v>
      </c>
    </row>
    <row r="107" spans="1:45">
      <c r="A107" s="229"/>
      <c r="B107" s="229"/>
      <c r="C107" s="234"/>
      <c r="D107" s="229"/>
      <c r="E107" s="313" t="s">
        <v>288</v>
      </c>
      <c r="F107" s="313"/>
      <c r="G107" s="313"/>
      <c r="H107" s="313"/>
      <c r="I107" s="313"/>
      <c r="J107" s="313">
        <f>IFERROR((#REF!)/(I99),0)</f>
        <v>0</v>
      </c>
      <c r="K107" s="313">
        <f t="shared" ref="K107:AS107" si="3">IFERROR((J90)/(J99),0)</f>
        <v>0</v>
      </c>
      <c r="L107" s="313">
        <f t="shared" si="3"/>
        <v>0</v>
      </c>
      <c r="M107" s="313">
        <f t="shared" si="3"/>
        <v>0</v>
      </c>
      <c r="N107" s="313">
        <f t="shared" si="3"/>
        <v>0</v>
      </c>
      <c r="O107" s="313">
        <f t="shared" si="3"/>
        <v>0</v>
      </c>
      <c r="P107" s="313">
        <f t="shared" si="3"/>
        <v>0</v>
      </c>
      <c r="Q107" s="313">
        <f t="shared" si="3"/>
        <v>0</v>
      </c>
      <c r="R107" s="313">
        <f t="shared" si="3"/>
        <v>0</v>
      </c>
      <c r="S107" s="313">
        <f t="shared" si="3"/>
        <v>0</v>
      </c>
      <c r="T107" s="313">
        <f t="shared" si="3"/>
        <v>0</v>
      </c>
      <c r="U107" s="313">
        <f t="shared" si="3"/>
        <v>0</v>
      </c>
      <c r="V107" s="313">
        <f t="shared" si="3"/>
        <v>0</v>
      </c>
      <c r="W107" s="313">
        <f t="shared" si="3"/>
        <v>0</v>
      </c>
      <c r="X107" s="313">
        <f t="shared" si="3"/>
        <v>0</v>
      </c>
      <c r="Y107" s="313">
        <f t="shared" si="3"/>
        <v>0</v>
      </c>
      <c r="Z107" s="313">
        <f t="shared" si="3"/>
        <v>0</v>
      </c>
      <c r="AA107" s="313">
        <f t="shared" si="3"/>
        <v>0</v>
      </c>
      <c r="AB107" s="313">
        <f t="shared" si="3"/>
        <v>0</v>
      </c>
      <c r="AC107" s="313">
        <f t="shared" si="3"/>
        <v>0</v>
      </c>
      <c r="AD107" s="313">
        <f t="shared" si="3"/>
        <v>0</v>
      </c>
      <c r="AE107" s="313">
        <f t="shared" si="3"/>
        <v>0</v>
      </c>
      <c r="AF107" s="313">
        <f t="shared" si="3"/>
        <v>0</v>
      </c>
      <c r="AG107" s="313">
        <f t="shared" si="3"/>
        <v>0</v>
      </c>
      <c r="AH107" s="313">
        <f t="shared" si="3"/>
        <v>0</v>
      </c>
      <c r="AI107" s="313">
        <f t="shared" si="3"/>
        <v>0</v>
      </c>
      <c r="AJ107" s="313">
        <f t="shared" si="3"/>
        <v>0</v>
      </c>
      <c r="AK107" s="313">
        <f t="shared" si="3"/>
        <v>0</v>
      </c>
      <c r="AL107" s="313">
        <f t="shared" si="3"/>
        <v>0</v>
      </c>
      <c r="AM107" s="313">
        <f t="shared" si="3"/>
        <v>0</v>
      </c>
      <c r="AN107" s="313">
        <f t="shared" si="3"/>
        <v>0</v>
      </c>
      <c r="AO107" s="313">
        <f t="shared" si="3"/>
        <v>0</v>
      </c>
      <c r="AP107" s="313">
        <f t="shared" si="3"/>
        <v>0</v>
      </c>
      <c r="AQ107" s="313">
        <f t="shared" si="3"/>
        <v>0</v>
      </c>
      <c r="AR107" s="313">
        <f t="shared" si="3"/>
        <v>0</v>
      </c>
      <c r="AS107" s="313">
        <f t="shared" si="3"/>
        <v>0</v>
      </c>
    </row>
    <row r="108" spans="1:45">
      <c r="A108" s="229"/>
      <c r="B108" s="229"/>
      <c r="C108" s="234"/>
      <c r="D108" s="229"/>
      <c r="E108" s="313" t="s">
        <v>289</v>
      </c>
      <c r="F108" s="313"/>
      <c r="G108" s="313"/>
      <c r="H108" s="313"/>
      <c r="I108" s="313"/>
      <c r="J108" s="313">
        <f>IFERROR((#REF!)/(I100),0)</f>
        <v>0</v>
      </c>
      <c r="K108" s="313">
        <f t="shared" ref="K108:AS108" si="4">IFERROR((J91)/(J100),0)</f>
        <v>0</v>
      </c>
      <c r="L108" s="313">
        <f t="shared" si="4"/>
        <v>0</v>
      </c>
      <c r="M108" s="313">
        <f t="shared" si="4"/>
        <v>0</v>
      </c>
      <c r="N108" s="313">
        <f t="shared" si="4"/>
        <v>0</v>
      </c>
      <c r="O108" s="313">
        <f t="shared" si="4"/>
        <v>0</v>
      </c>
      <c r="P108" s="313">
        <f t="shared" si="4"/>
        <v>0</v>
      </c>
      <c r="Q108" s="313">
        <f t="shared" si="4"/>
        <v>0</v>
      </c>
      <c r="R108" s="313">
        <f t="shared" si="4"/>
        <v>0</v>
      </c>
      <c r="S108" s="313">
        <f t="shared" si="4"/>
        <v>0</v>
      </c>
      <c r="T108" s="313">
        <f t="shared" si="4"/>
        <v>0</v>
      </c>
      <c r="U108" s="313">
        <f t="shared" si="4"/>
        <v>0</v>
      </c>
      <c r="V108" s="313">
        <f t="shared" si="4"/>
        <v>0</v>
      </c>
      <c r="W108" s="313">
        <f t="shared" si="4"/>
        <v>0</v>
      </c>
      <c r="X108" s="313">
        <f t="shared" si="4"/>
        <v>0</v>
      </c>
      <c r="Y108" s="313">
        <f t="shared" si="4"/>
        <v>0</v>
      </c>
      <c r="Z108" s="313">
        <f t="shared" si="4"/>
        <v>0</v>
      </c>
      <c r="AA108" s="313">
        <f t="shared" si="4"/>
        <v>0</v>
      </c>
      <c r="AB108" s="313">
        <f t="shared" si="4"/>
        <v>0</v>
      </c>
      <c r="AC108" s="313">
        <f t="shared" si="4"/>
        <v>0</v>
      </c>
      <c r="AD108" s="313">
        <f t="shared" si="4"/>
        <v>0</v>
      </c>
      <c r="AE108" s="313">
        <f t="shared" si="4"/>
        <v>0</v>
      </c>
      <c r="AF108" s="313">
        <f t="shared" si="4"/>
        <v>0</v>
      </c>
      <c r="AG108" s="313">
        <f t="shared" si="4"/>
        <v>0</v>
      </c>
      <c r="AH108" s="313">
        <f t="shared" si="4"/>
        <v>0</v>
      </c>
      <c r="AI108" s="313">
        <f t="shared" si="4"/>
        <v>0</v>
      </c>
      <c r="AJ108" s="313">
        <f t="shared" si="4"/>
        <v>0</v>
      </c>
      <c r="AK108" s="313">
        <f t="shared" si="4"/>
        <v>0</v>
      </c>
      <c r="AL108" s="313">
        <f t="shared" si="4"/>
        <v>0</v>
      </c>
      <c r="AM108" s="313">
        <f t="shared" si="4"/>
        <v>0</v>
      </c>
      <c r="AN108" s="313">
        <f t="shared" si="4"/>
        <v>0</v>
      </c>
      <c r="AO108" s="313">
        <f t="shared" si="4"/>
        <v>0</v>
      </c>
      <c r="AP108" s="313">
        <f t="shared" si="4"/>
        <v>0</v>
      </c>
      <c r="AQ108" s="313">
        <f t="shared" si="4"/>
        <v>0</v>
      </c>
      <c r="AR108" s="313">
        <f t="shared" si="4"/>
        <v>0</v>
      </c>
      <c r="AS108" s="313">
        <f t="shared" si="4"/>
        <v>0</v>
      </c>
    </row>
    <row r="109" spans="1:45">
      <c r="A109" s="229"/>
      <c r="B109" s="229"/>
      <c r="C109" s="234"/>
      <c r="D109" s="229"/>
      <c r="E109" s="313" t="s">
        <v>174</v>
      </c>
      <c r="F109" s="313"/>
      <c r="G109" s="313"/>
      <c r="H109" s="313"/>
      <c r="I109" s="313"/>
      <c r="J109" s="302">
        <f>IFERROR(SUM(#REF!)/SUM(I95:I100),0)</f>
        <v>0</v>
      </c>
      <c r="K109" s="302">
        <f t="shared" ref="K109:AS109" si="5">IFERROR(SUM(J86:J91)/SUM(J95:J100),0)</f>
        <v>0</v>
      </c>
      <c r="L109" s="302">
        <f t="shared" si="5"/>
        <v>0</v>
      </c>
      <c r="M109" s="302">
        <f t="shared" si="5"/>
        <v>0</v>
      </c>
      <c r="N109" s="302">
        <f t="shared" si="5"/>
        <v>0</v>
      </c>
      <c r="O109" s="302">
        <f t="shared" si="5"/>
        <v>0</v>
      </c>
      <c r="P109" s="302">
        <f t="shared" si="5"/>
        <v>0.38930375133905748</v>
      </c>
      <c r="Q109" s="302">
        <f t="shared" si="5"/>
        <v>0.38331187082570006</v>
      </c>
      <c r="R109" s="302">
        <f t="shared" si="5"/>
        <v>0.38013056941592482</v>
      </c>
      <c r="S109" s="302">
        <f t="shared" si="5"/>
        <v>0.37746471158520606</v>
      </c>
      <c r="T109" s="302">
        <f t="shared" si="5"/>
        <v>0.37519936178401669</v>
      </c>
      <c r="U109" s="302">
        <f t="shared" si="5"/>
        <v>0.37452313508575241</v>
      </c>
      <c r="V109" s="302">
        <f t="shared" si="5"/>
        <v>0.37361358658631294</v>
      </c>
      <c r="W109" s="302">
        <f t="shared" si="5"/>
        <v>0.37301846733771282</v>
      </c>
      <c r="X109" s="302">
        <f t="shared" si="5"/>
        <v>0.37326281661244964</v>
      </c>
      <c r="Y109" s="302">
        <f t="shared" si="5"/>
        <v>0.37315279072430485</v>
      </c>
      <c r="Z109" s="302">
        <f t="shared" si="5"/>
        <v>0.37288882705102661</v>
      </c>
      <c r="AA109" s="302">
        <f t="shared" si="5"/>
        <v>0.3706688513060859</v>
      </c>
      <c r="AB109" s="302">
        <f t="shared" si="5"/>
        <v>0.37068414056965165</v>
      </c>
      <c r="AC109" s="302">
        <f t="shared" si="5"/>
        <v>0.37069836098316961</v>
      </c>
      <c r="AD109" s="302">
        <f t="shared" si="5"/>
        <v>0.37013704662409624</v>
      </c>
      <c r="AE109" s="302">
        <f t="shared" si="5"/>
        <v>0.36933212827727369</v>
      </c>
      <c r="AF109" s="302">
        <f t="shared" si="5"/>
        <v>0.36900387813127239</v>
      </c>
      <c r="AG109" s="302">
        <f t="shared" si="5"/>
        <v>0.36946065530344302</v>
      </c>
      <c r="AH109" s="302">
        <f t="shared" si="5"/>
        <v>0.37032060188184962</v>
      </c>
      <c r="AI109" s="302">
        <f t="shared" si="5"/>
        <v>0.39117896639235361</v>
      </c>
      <c r="AJ109" s="302">
        <f t="shared" si="5"/>
        <v>0.39115454712704517</v>
      </c>
      <c r="AK109" s="302">
        <f t="shared" si="5"/>
        <v>0.39113248511558107</v>
      </c>
      <c r="AL109" s="302">
        <f t="shared" si="5"/>
        <v>0.3911124810413385</v>
      </c>
      <c r="AM109" s="302">
        <f t="shared" si="5"/>
        <v>0.39109428231337956</v>
      </c>
      <c r="AN109" s="302">
        <f t="shared" si="5"/>
        <v>0.39107767446892155</v>
      </c>
      <c r="AO109" s="302">
        <f t="shared" si="5"/>
        <v>0.39106247438648795</v>
      </c>
      <c r="AP109" s="302">
        <f t="shared" si="5"/>
        <v>0.39104852488259018</v>
      </c>
      <c r="AQ109" s="302">
        <f t="shared" si="5"/>
        <v>0.39103569037582697</v>
      </c>
      <c r="AR109" s="302">
        <f t="shared" si="5"/>
        <v>0.3910238533818805</v>
      </c>
      <c r="AS109" s="302">
        <f t="shared" si="5"/>
        <v>0.39101291166075319</v>
      </c>
    </row>
    <row r="110" spans="1:45">
      <c r="A110" s="229"/>
      <c r="B110" s="229"/>
      <c r="C110" s="234"/>
      <c r="D110" s="229"/>
      <c r="E110" s="313"/>
      <c r="F110" s="313"/>
      <c r="G110" s="313"/>
      <c r="H110" s="313"/>
      <c r="I110" s="313"/>
      <c r="J110" s="302"/>
      <c r="K110" s="302"/>
      <c r="L110" s="564"/>
      <c r="M110" s="302"/>
      <c r="N110" s="302"/>
      <c r="O110" s="302"/>
      <c r="P110" s="302"/>
      <c r="Q110" s="302"/>
      <c r="R110" s="302"/>
      <c r="S110" s="302"/>
      <c r="T110" s="302"/>
      <c r="U110" s="302"/>
      <c r="V110" s="302"/>
      <c r="W110" s="302"/>
      <c r="X110" s="302"/>
      <c r="Y110" s="302"/>
      <c r="Z110" s="302"/>
      <c r="AA110" s="302"/>
      <c r="AB110" s="302"/>
      <c r="AC110" s="302"/>
      <c r="AD110" s="302"/>
      <c r="AE110" s="302"/>
      <c r="AF110" s="302"/>
      <c r="AG110" s="302"/>
      <c r="AH110" s="302"/>
      <c r="AI110" s="302"/>
      <c r="AJ110" s="302"/>
      <c r="AK110" s="302"/>
      <c r="AL110" s="302"/>
      <c r="AM110" s="302"/>
      <c r="AN110" s="302"/>
      <c r="AO110" s="302"/>
      <c r="AP110" s="302"/>
      <c r="AQ110" s="302"/>
      <c r="AR110" s="302"/>
      <c r="AS110" s="302"/>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tabColor theme="9" tint="0.79998168889431442"/>
  </sheetPr>
  <dimension ref="A1:CG493"/>
  <sheetViews>
    <sheetView topLeftCell="A94" workbookViewId="0">
      <selection activeCell="V112" sqref="V112"/>
    </sheetView>
  </sheetViews>
  <sheetFormatPr defaultRowHeight="15"/>
  <cols>
    <col min="1" max="1" width="2.140625" customWidth="1"/>
    <col min="2" max="2" width="2.5703125" customWidth="1"/>
    <col min="3" max="4" width="2.140625" customWidth="1"/>
    <col min="5" max="5" width="18.85546875" customWidth="1"/>
    <col min="6" max="6" width="1.5703125" customWidth="1"/>
    <col min="7" max="7" width="11.140625" customWidth="1"/>
    <col min="8" max="8" width="1.42578125" customWidth="1"/>
    <col min="9" max="9" width="11.140625" customWidth="1"/>
    <col min="10" max="10" width="1.140625" customWidth="1"/>
    <col min="11" max="11" width="10.5703125" customWidth="1"/>
    <col min="12" max="12" width="9.140625" customWidth="1"/>
    <col min="13" max="13" width="11.140625" customWidth="1"/>
    <col min="14" max="14" width="1.140625" customWidth="1"/>
    <col min="15" max="33" width="14.140625" bestFit="1" customWidth="1"/>
    <col min="34" max="35" width="14.42578125" bestFit="1" customWidth="1"/>
    <col min="36" max="36" width="39.140625" customWidth="1"/>
    <col min="37" max="50" width="14.42578125" bestFit="1" customWidth="1"/>
  </cols>
  <sheetData>
    <row r="1" spans="2:50" s="38" customFormat="1"/>
    <row r="2" spans="2:50" s="38" customFormat="1">
      <c r="E2" s="60" t="s">
        <v>178</v>
      </c>
      <c r="F2" s="60"/>
      <c r="G2" s="60"/>
      <c r="H2" s="60"/>
      <c r="I2" s="60" t="s">
        <v>180</v>
      </c>
      <c r="J2" s="60"/>
      <c r="K2" s="60" t="s">
        <v>718</v>
      </c>
      <c r="L2" s="60"/>
      <c r="M2" s="60" t="s">
        <v>719</v>
      </c>
      <c r="O2" s="82">
        <v>2015</v>
      </c>
      <c r="P2" s="82">
        <v>2016</v>
      </c>
      <c r="Q2" s="82">
        <v>2017</v>
      </c>
      <c r="R2" s="82">
        <v>2018</v>
      </c>
      <c r="S2" s="82">
        <v>2019</v>
      </c>
      <c r="T2" s="82">
        <v>2020</v>
      </c>
      <c r="U2" s="82">
        <v>2021</v>
      </c>
      <c r="V2" s="82">
        <v>2022</v>
      </c>
      <c r="W2" s="82">
        <v>2023</v>
      </c>
      <c r="X2" s="82">
        <v>2024</v>
      </c>
      <c r="Y2" s="82">
        <v>2025</v>
      </c>
      <c r="Z2" s="82">
        <v>2026</v>
      </c>
      <c r="AA2" s="82">
        <v>2027</v>
      </c>
      <c r="AB2" s="82">
        <v>2028</v>
      </c>
      <c r="AC2" s="82">
        <v>2029</v>
      </c>
      <c r="AD2" s="82">
        <v>2030</v>
      </c>
      <c r="AE2" s="82">
        <v>2031</v>
      </c>
      <c r="AF2" s="82">
        <v>2032</v>
      </c>
      <c r="AG2" s="82">
        <v>2033</v>
      </c>
      <c r="AH2" s="82">
        <v>2034</v>
      </c>
      <c r="AI2" s="82">
        <v>2035</v>
      </c>
      <c r="AJ2" s="82">
        <v>2036</v>
      </c>
      <c r="AK2" s="82">
        <v>2037</v>
      </c>
      <c r="AL2" s="82">
        <v>2038</v>
      </c>
      <c r="AM2" s="82">
        <v>2039</v>
      </c>
      <c r="AN2" s="82">
        <v>2040</v>
      </c>
      <c r="AO2" s="82">
        <v>2041</v>
      </c>
      <c r="AP2" s="82">
        <v>2042</v>
      </c>
      <c r="AQ2" s="82">
        <v>2043</v>
      </c>
      <c r="AR2" s="82">
        <v>2044</v>
      </c>
      <c r="AS2" s="82">
        <v>2045</v>
      </c>
      <c r="AT2" s="82">
        <v>2046</v>
      </c>
      <c r="AU2" s="82">
        <v>2047</v>
      </c>
      <c r="AV2" s="82">
        <v>2048</v>
      </c>
      <c r="AW2" s="82">
        <v>2049</v>
      </c>
      <c r="AX2" s="82">
        <v>2050</v>
      </c>
    </row>
    <row r="4" spans="2:50" s="67" customFormat="1">
      <c r="B4" s="67" t="s">
        <v>1113</v>
      </c>
      <c r="O4" s="68"/>
      <c r="P4" s="68"/>
      <c r="Q4" s="68"/>
      <c r="R4" s="68"/>
      <c r="S4" s="68"/>
      <c r="T4" s="68"/>
      <c r="U4" s="68"/>
      <c r="V4" s="68"/>
      <c r="W4" s="68"/>
      <c r="X4" s="68"/>
      <c r="Y4" s="68"/>
      <c r="Z4" s="68"/>
      <c r="AA4" s="68"/>
      <c r="AB4" s="68"/>
      <c r="AC4" s="68"/>
      <c r="AD4" s="68"/>
      <c r="AE4" s="68"/>
      <c r="AF4" s="68"/>
      <c r="AG4" s="68"/>
      <c r="AH4" s="68"/>
      <c r="AI4" s="68"/>
      <c r="AJ4" s="68"/>
      <c r="AK4" s="68"/>
      <c r="AL4" s="68"/>
      <c r="AM4" s="68"/>
      <c r="AN4" s="68"/>
      <c r="AO4" s="68"/>
      <c r="AP4" s="68"/>
      <c r="AQ4" s="68"/>
      <c r="AR4" s="68"/>
      <c r="AS4" s="68"/>
      <c r="AT4" s="68"/>
      <c r="AU4" s="68"/>
      <c r="AV4" s="68"/>
      <c r="AW4" s="68"/>
      <c r="AX4" s="68"/>
    </row>
    <row r="5" spans="2:50">
      <c r="E5" s="53" t="s">
        <v>662</v>
      </c>
    </row>
    <row r="6" spans="2:50">
      <c r="E6" t="str">
        <f>Dashboard!D5</f>
        <v>Inner London</v>
      </c>
      <c r="G6" s="44"/>
      <c r="I6" s="44"/>
      <c r="K6" s="44"/>
      <c r="M6" s="44"/>
      <c r="O6" s="36">
        <f>INDEX(O9:O44,MATCH($E$6,$E$9:$E$44,0))</f>
        <v>2828758.412</v>
      </c>
      <c r="P6" s="36">
        <f t="shared" ref="P6:AX6" si="0">INDEX(P9:P44,MATCH($E$6,$E$9:$E$44,0))</f>
        <v>2859931.5879999995</v>
      </c>
      <c r="Q6" s="36">
        <f t="shared" si="0"/>
        <v>2902010.53</v>
      </c>
      <c r="R6" s="36">
        <f t="shared" si="0"/>
        <v>2943655.7769999998</v>
      </c>
      <c r="S6" s="36">
        <f t="shared" si="0"/>
        <v>2984127.301</v>
      </c>
      <c r="T6" s="36">
        <f t="shared" si="0"/>
        <v>3023725.6529999999</v>
      </c>
      <c r="U6" s="36">
        <f t="shared" si="0"/>
        <v>3058048.6980000003</v>
      </c>
      <c r="V6" s="36">
        <f t="shared" si="0"/>
        <v>3091107.2369999993</v>
      </c>
      <c r="W6" s="36">
        <f t="shared" si="0"/>
        <v>3123050.1030000006</v>
      </c>
      <c r="X6" s="36">
        <f t="shared" si="0"/>
        <v>3153942.6859999998</v>
      </c>
      <c r="Y6" s="36">
        <f t="shared" si="0"/>
        <v>3183544.645</v>
      </c>
      <c r="Z6" s="36">
        <f t="shared" si="0"/>
        <v>3210831.3130000001</v>
      </c>
      <c r="AA6" s="36">
        <f t="shared" si="0"/>
        <v>3239130.517</v>
      </c>
      <c r="AB6" s="36">
        <f t="shared" si="0"/>
        <v>3268145.9080000008</v>
      </c>
      <c r="AC6" s="36">
        <f t="shared" si="0"/>
        <v>3297770.5449999999</v>
      </c>
      <c r="AD6" s="36">
        <f t="shared" si="0"/>
        <v>3327317.426</v>
      </c>
      <c r="AE6" s="36">
        <f t="shared" si="0"/>
        <v>3356342.0010000002</v>
      </c>
      <c r="AF6" s="36">
        <f t="shared" si="0"/>
        <v>3385786.8160000001</v>
      </c>
      <c r="AG6" s="36">
        <f t="shared" si="0"/>
        <v>3415363.3669999996</v>
      </c>
      <c r="AH6" s="36">
        <f t="shared" si="0"/>
        <v>3444439.0769999996</v>
      </c>
      <c r="AI6" s="36">
        <f t="shared" si="0"/>
        <v>3472892.8869999996</v>
      </c>
      <c r="AJ6" s="36">
        <f t="shared" si="0"/>
        <v>3500216.71</v>
      </c>
      <c r="AK6" s="36">
        <f t="shared" si="0"/>
        <v>3527028.4519999996</v>
      </c>
      <c r="AL6" s="36">
        <f t="shared" si="0"/>
        <v>3553417.807</v>
      </c>
      <c r="AM6" s="36">
        <f t="shared" si="0"/>
        <v>3579068.1550000007</v>
      </c>
      <c r="AN6" s="36">
        <f t="shared" si="0"/>
        <v>3601970.1269999994</v>
      </c>
      <c r="AO6" s="36">
        <f t="shared" si="0"/>
        <v>3624058.0140000004</v>
      </c>
      <c r="AP6" s="36">
        <f t="shared" si="0"/>
        <v>3644141.372</v>
      </c>
      <c r="AQ6" s="36">
        <f t="shared" si="0"/>
        <v>3663661.9519999996</v>
      </c>
      <c r="AR6" s="36">
        <f t="shared" si="0"/>
        <v>3682493.963</v>
      </c>
      <c r="AS6" s="36">
        <f t="shared" si="0"/>
        <v>3699540.51</v>
      </c>
      <c r="AT6" s="36">
        <f t="shared" si="0"/>
        <v>3715867.3170000003</v>
      </c>
      <c r="AU6" s="36">
        <f t="shared" si="0"/>
        <v>3731513.1020000004</v>
      </c>
      <c r="AV6" s="36">
        <f t="shared" si="0"/>
        <v>3746474.9269999997</v>
      </c>
      <c r="AW6" s="36">
        <f t="shared" si="0"/>
        <v>3760759.3719999995</v>
      </c>
      <c r="AX6" s="36">
        <f t="shared" si="0"/>
        <v>3774348.7809999995</v>
      </c>
    </row>
    <row r="7" spans="2:50">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row>
    <row r="8" spans="2:50">
      <c r="E8" s="53"/>
      <c r="O8" s="82"/>
      <c r="P8" s="82"/>
      <c r="Q8" s="82"/>
      <c r="R8" s="82"/>
      <c r="S8" s="82"/>
      <c r="T8" s="82"/>
      <c r="U8" s="82"/>
      <c r="V8" s="82"/>
      <c r="W8" s="82"/>
      <c r="X8" s="82"/>
      <c r="Y8" s="82"/>
      <c r="Z8" s="82"/>
      <c r="AA8" s="82"/>
      <c r="AB8" s="82"/>
      <c r="AC8" s="82"/>
      <c r="AD8" s="82"/>
      <c r="AE8" s="82"/>
      <c r="AF8" s="82"/>
      <c r="AG8" s="82"/>
      <c r="AH8" s="82"/>
      <c r="AI8" s="82"/>
      <c r="AJ8" s="82"/>
      <c r="AK8" s="82"/>
      <c r="AL8" s="82"/>
      <c r="AM8" s="82"/>
      <c r="AN8" s="82"/>
      <c r="AO8" s="82"/>
      <c r="AP8" s="82"/>
      <c r="AQ8" s="82"/>
      <c r="AR8" s="82"/>
      <c r="AS8" s="82"/>
      <c r="AT8" s="82"/>
      <c r="AU8" s="82"/>
      <c r="AV8" s="82"/>
      <c r="AW8" s="82"/>
      <c r="AX8" s="82"/>
    </row>
    <row r="9" spans="2:50">
      <c r="D9" s="38" t="s">
        <v>660</v>
      </c>
      <c r="E9" t="s">
        <v>632</v>
      </c>
      <c r="G9" s="39"/>
      <c r="O9" s="105">
        <v>7160</v>
      </c>
      <c r="P9" s="105">
        <v>7235.9480000000003</v>
      </c>
      <c r="Q9" s="105">
        <v>7553.3980000000001</v>
      </c>
      <c r="R9" s="105">
        <v>7868.2129999999997</v>
      </c>
      <c r="S9" s="105">
        <v>8147.82</v>
      </c>
      <c r="T9" s="105">
        <v>8431.5040000000008</v>
      </c>
      <c r="U9" s="105">
        <v>8629.4240000000009</v>
      </c>
      <c r="V9" s="105">
        <v>8822.4860000000008</v>
      </c>
      <c r="W9" s="105">
        <v>9000.5390000000007</v>
      </c>
      <c r="X9" s="105">
        <v>9170.8269999999993</v>
      </c>
      <c r="Y9" s="105">
        <v>9343.7860000000001</v>
      </c>
      <c r="Z9" s="105">
        <v>9457.1589999999997</v>
      </c>
      <c r="AA9" s="105">
        <v>9561.3549999999996</v>
      </c>
      <c r="AB9" s="105">
        <v>9656.7139999999999</v>
      </c>
      <c r="AC9" s="105">
        <v>9754.3060000000005</v>
      </c>
      <c r="AD9" s="105">
        <v>9845.232</v>
      </c>
      <c r="AE9" s="105">
        <v>9932.6740000000009</v>
      </c>
      <c r="AF9" s="105">
        <v>10029.284</v>
      </c>
      <c r="AG9" s="105">
        <v>10110.643</v>
      </c>
      <c r="AH9" s="105">
        <v>10205.239</v>
      </c>
      <c r="AI9" s="105">
        <v>10290.895</v>
      </c>
      <c r="AJ9" s="105">
        <v>10370.828</v>
      </c>
      <c r="AK9" s="105">
        <v>10465.203</v>
      </c>
      <c r="AL9" s="105">
        <v>10547.169</v>
      </c>
      <c r="AM9" s="105">
        <v>10631.995999999999</v>
      </c>
      <c r="AN9" s="105">
        <v>10738.862999999999</v>
      </c>
      <c r="AO9" s="105">
        <v>10844.721</v>
      </c>
      <c r="AP9" s="105">
        <v>10886.083000000001</v>
      </c>
      <c r="AQ9" s="105">
        <v>10923.434999999999</v>
      </c>
      <c r="AR9" s="105">
        <v>10960.503000000001</v>
      </c>
      <c r="AS9" s="105">
        <v>11004.736999999999</v>
      </c>
      <c r="AT9" s="105">
        <v>11066.162</v>
      </c>
      <c r="AU9" s="105">
        <v>11166.803</v>
      </c>
      <c r="AV9" s="105">
        <v>11299.623</v>
      </c>
      <c r="AW9" s="105">
        <v>11458.054</v>
      </c>
      <c r="AX9" s="105">
        <v>11550.569</v>
      </c>
    </row>
    <row r="10" spans="2:50">
      <c r="D10" s="38" t="s">
        <v>661</v>
      </c>
      <c r="E10" t="s">
        <v>626</v>
      </c>
      <c r="G10" s="39"/>
      <c r="O10" s="105">
        <v>202367.53599999999</v>
      </c>
      <c r="P10" s="105">
        <v>205797.51500000001</v>
      </c>
      <c r="Q10" s="105">
        <v>209270.573</v>
      </c>
      <c r="R10" s="105">
        <v>212677.804</v>
      </c>
      <c r="S10" s="105">
        <v>216054.10500000001</v>
      </c>
      <c r="T10" s="105">
        <v>219388.35</v>
      </c>
      <c r="U10" s="105">
        <v>222820.81200000001</v>
      </c>
      <c r="V10" s="105">
        <v>226167.63099999999</v>
      </c>
      <c r="W10" s="105">
        <v>229494.177</v>
      </c>
      <c r="X10" s="105">
        <v>232796.334</v>
      </c>
      <c r="Y10" s="105">
        <v>236027.38399999999</v>
      </c>
      <c r="Z10" s="105">
        <v>238345.33499999999</v>
      </c>
      <c r="AA10" s="105">
        <v>240422.65700000001</v>
      </c>
      <c r="AB10" s="105">
        <v>242385.19</v>
      </c>
      <c r="AC10" s="105">
        <v>244293.709</v>
      </c>
      <c r="AD10" s="105">
        <v>246146.89300000001</v>
      </c>
      <c r="AE10" s="105">
        <v>250536.54199999999</v>
      </c>
      <c r="AF10" s="105">
        <v>254974.76500000001</v>
      </c>
      <c r="AG10" s="105">
        <v>259447.92600000001</v>
      </c>
      <c r="AH10" s="105">
        <v>263869.01</v>
      </c>
      <c r="AI10" s="105">
        <v>268258.86700000003</v>
      </c>
      <c r="AJ10" s="105">
        <v>272641.01400000002</v>
      </c>
      <c r="AK10" s="105">
        <v>277052.72100000002</v>
      </c>
      <c r="AL10" s="105">
        <v>281435.43099999998</v>
      </c>
      <c r="AM10" s="105">
        <v>285742.99900000001</v>
      </c>
      <c r="AN10" s="105">
        <v>289902.304</v>
      </c>
      <c r="AO10" s="105">
        <v>293916.69699999999</v>
      </c>
      <c r="AP10" s="105">
        <v>295588.53000000003</v>
      </c>
      <c r="AQ10" s="105">
        <v>296685.21299999999</v>
      </c>
      <c r="AR10" s="105">
        <v>297775.65399999998</v>
      </c>
      <c r="AS10" s="105">
        <v>299073.59899999999</v>
      </c>
      <c r="AT10" s="105">
        <v>300320.935</v>
      </c>
      <c r="AU10" s="105">
        <v>301515.95899999997</v>
      </c>
      <c r="AV10" s="105">
        <v>302661.62300000002</v>
      </c>
      <c r="AW10" s="105">
        <v>303758.348</v>
      </c>
      <c r="AX10" s="105">
        <v>304811.18599999999</v>
      </c>
    </row>
    <row r="11" spans="2:50">
      <c r="D11" s="38" t="s">
        <v>661</v>
      </c>
      <c r="E11" t="s">
        <v>627</v>
      </c>
      <c r="G11" s="39"/>
      <c r="O11" s="105">
        <v>379805.57400000002</v>
      </c>
      <c r="P11" s="105">
        <v>384846.73200000002</v>
      </c>
      <c r="Q11" s="105">
        <v>389691.08399999997</v>
      </c>
      <c r="R11" s="105">
        <v>394439.93800000002</v>
      </c>
      <c r="S11" s="105">
        <v>399136.489</v>
      </c>
      <c r="T11" s="105">
        <v>403750.49099999998</v>
      </c>
      <c r="U11" s="105">
        <v>409452.59899999999</v>
      </c>
      <c r="V11" s="105">
        <v>414897.11800000002</v>
      </c>
      <c r="W11" s="105">
        <v>420098.27500000002</v>
      </c>
      <c r="X11" s="105">
        <v>425004.19699999999</v>
      </c>
      <c r="Y11" s="105">
        <v>429595.55900000001</v>
      </c>
      <c r="Z11" s="105">
        <v>434875.848</v>
      </c>
      <c r="AA11" s="105">
        <v>440512.00900000002</v>
      </c>
      <c r="AB11" s="105">
        <v>446323.18400000001</v>
      </c>
      <c r="AC11" s="105">
        <v>452173.28600000002</v>
      </c>
      <c r="AD11" s="105">
        <v>457950.049</v>
      </c>
      <c r="AE11" s="105">
        <v>463785.26299999998</v>
      </c>
      <c r="AF11" s="105">
        <v>467006.48599999998</v>
      </c>
      <c r="AG11" s="105">
        <v>469808.3</v>
      </c>
      <c r="AH11" s="105">
        <v>472557.08799999999</v>
      </c>
      <c r="AI11" s="105">
        <v>475267.50599999999</v>
      </c>
      <c r="AJ11" s="105">
        <v>477957.82699999999</v>
      </c>
      <c r="AK11" s="105">
        <v>480686.804</v>
      </c>
      <c r="AL11" s="105">
        <v>483370.38400000002</v>
      </c>
      <c r="AM11" s="105">
        <v>485980.97200000001</v>
      </c>
      <c r="AN11" s="105">
        <v>488551.82400000002</v>
      </c>
      <c r="AO11" s="105">
        <v>491089.73800000001</v>
      </c>
      <c r="AP11" s="105">
        <v>493021.02100000001</v>
      </c>
      <c r="AQ11" s="105">
        <v>494788.663</v>
      </c>
      <c r="AR11" s="105">
        <v>496537.359</v>
      </c>
      <c r="AS11" s="105">
        <v>498586.27299999999</v>
      </c>
      <c r="AT11" s="105">
        <v>500550.06900000002</v>
      </c>
      <c r="AU11" s="105">
        <v>502421.41399999999</v>
      </c>
      <c r="AV11" s="105">
        <v>504204.51799999998</v>
      </c>
      <c r="AW11" s="105">
        <v>505899.97899999999</v>
      </c>
      <c r="AX11" s="105">
        <v>507506.88</v>
      </c>
    </row>
    <row r="12" spans="2:50">
      <c r="D12" s="38" t="s">
        <v>661</v>
      </c>
      <c r="E12" t="s">
        <v>628</v>
      </c>
      <c r="G12" s="39"/>
      <c r="O12" s="105">
        <v>242370.39499999999</v>
      </c>
      <c r="P12" s="105">
        <v>244472.33600000001</v>
      </c>
      <c r="Q12" s="105">
        <v>245672.204</v>
      </c>
      <c r="R12" s="105">
        <v>246793.16500000001</v>
      </c>
      <c r="S12" s="105">
        <v>247878.679</v>
      </c>
      <c r="T12" s="105">
        <v>248913.682</v>
      </c>
      <c r="U12" s="105">
        <v>250264.429</v>
      </c>
      <c r="V12" s="105">
        <v>251537.72</v>
      </c>
      <c r="W12" s="105">
        <v>252788.606</v>
      </c>
      <c r="X12" s="105">
        <v>254017.19500000001</v>
      </c>
      <c r="Y12" s="105">
        <v>255233.04500000001</v>
      </c>
      <c r="Z12" s="105">
        <v>256641.12599999999</v>
      </c>
      <c r="AA12" s="105">
        <v>257889.48</v>
      </c>
      <c r="AB12" s="105">
        <v>259026.617</v>
      </c>
      <c r="AC12" s="105">
        <v>260110.046</v>
      </c>
      <c r="AD12" s="105">
        <v>261135.29699999999</v>
      </c>
      <c r="AE12" s="105">
        <v>261857.772</v>
      </c>
      <c r="AF12" s="105">
        <v>262627.00799999997</v>
      </c>
      <c r="AG12" s="105">
        <v>263356.47100000002</v>
      </c>
      <c r="AH12" s="105">
        <v>264056.70799999998</v>
      </c>
      <c r="AI12" s="105">
        <v>264727.88799999998</v>
      </c>
      <c r="AJ12" s="105">
        <v>265393.908</v>
      </c>
      <c r="AK12" s="105">
        <v>266078.84299999999</v>
      </c>
      <c r="AL12" s="105">
        <v>266738.44300000003</v>
      </c>
      <c r="AM12" s="105">
        <v>267361.76699999999</v>
      </c>
      <c r="AN12" s="105">
        <v>267965.609</v>
      </c>
      <c r="AO12" s="105">
        <v>268548.109</v>
      </c>
      <c r="AP12" s="105">
        <v>269547</v>
      </c>
      <c r="AQ12" s="105">
        <v>270458.799</v>
      </c>
      <c r="AR12" s="105">
        <v>271363.679</v>
      </c>
      <c r="AS12" s="105">
        <v>272431.25300000003</v>
      </c>
      <c r="AT12" s="105">
        <v>273459.06400000001</v>
      </c>
      <c r="AU12" s="105">
        <v>274439.78100000002</v>
      </c>
      <c r="AV12" s="105">
        <v>275370.20500000002</v>
      </c>
      <c r="AW12" s="105">
        <v>276256.36099999998</v>
      </c>
      <c r="AX12" s="105">
        <v>277099.685</v>
      </c>
    </row>
    <row r="13" spans="2:50">
      <c r="D13" s="38" t="s">
        <v>661</v>
      </c>
      <c r="E13" t="s">
        <v>629</v>
      </c>
      <c r="G13" s="39"/>
      <c r="O13" s="105">
        <v>324850.87400000001</v>
      </c>
      <c r="P13" s="105">
        <v>328328.13400000002</v>
      </c>
      <c r="Q13" s="105">
        <v>332010.33500000002</v>
      </c>
      <c r="R13" s="105">
        <v>335785.11200000002</v>
      </c>
      <c r="S13" s="105">
        <v>339579.07</v>
      </c>
      <c r="T13" s="105">
        <v>343309.53200000001</v>
      </c>
      <c r="U13" s="105">
        <v>347036.68599999999</v>
      </c>
      <c r="V13" s="105">
        <v>350602.56900000002</v>
      </c>
      <c r="W13" s="105">
        <v>353984.28899999999</v>
      </c>
      <c r="X13" s="105">
        <v>357162.70699999999</v>
      </c>
      <c r="Y13" s="105">
        <v>360129.47</v>
      </c>
      <c r="Z13" s="105">
        <v>363765.03899999999</v>
      </c>
      <c r="AA13" s="105">
        <v>366623.04399999999</v>
      </c>
      <c r="AB13" s="105">
        <v>368971.28600000002</v>
      </c>
      <c r="AC13" s="105">
        <v>371239.79100000003</v>
      </c>
      <c r="AD13" s="105">
        <v>373427.81900000002</v>
      </c>
      <c r="AE13" s="105">
        <v>374480.24</v>
      </c>
      <c r="AF13" s="105">
        <v>375582.11099999998</v>
      </c>
      <c r="AG13" s="105">
        <v>376639.09299999999</v>
      </c>
      <c r="AH13" s="105">
        <v>377659.45500000002</v>
      </c>
      <c r="AI13" s="105">
        <v>378650.52</v>
      </c>
      <c r="AJ13" s="105">
        <v>379622.96399999998</v>
      </c>
      <c r="AK13" s="105">
        <v>380632.94300000003</v>
      </c>
      <c r="AL13" s="105">
        <v>381601.51199999999</v>
      </c>
      <c r="AM13" s="105">
        <v>382510.01500000001</v>
      </c>
      <c r="AN13" s="105">
        <v>383386.8</v>
      </c>
      <c r="AO13" s="105">
        <v>384225.41200000001</v>
      </c>
      <c r="AP13" s="105">
        <v>385793.32</v>
      </c>
      <c r="AQ13" s="105">
        <v>387226.84100000001</v>
      </c>
      <c r="AR13" s="105">
        <v>388653.95799999998</v>
      </c>
      <c r="AS13" s="105">
        <v>390345.15700000001</v>
      </c>
      <c r="AT13" s="105">
        <v>391961.91399999999</v>
      </c>
      <c r="AU13" s="105">
        <v>393507.723</v>
      </c>
      <c r="AV13" s="105">
        <v>394984.12400000001</v>
      </c>
      <c r="AW13" s="105">
        <v>396389.47600000002</v>
      </c>
      <c r="AX13" s="105">
        <v>397732.10700000002</v>
      </c>
    </row>
    <row r="14" spans="2:50">
      <c r="D14" s="38" t="s">
        <v>661</v>
      </c>
      <c r="E14" t="s">
        <v>630</v>
      </c>
      <c r="G14" s="39"/>
      <c r="O14" s="105">
        <v>325412.71600000001</v>
      </c>
      <c r="P14" s="105">
        <v>328739.24400000001</v>
      </c>
      <c r="Q14" s="105">
        <v>330456.93599999999</v>
      </c>
      <c r="R14" s="105">
        <v>332049.11300000001</v>
      </c>
      <c r="S14" s="105">
        <v>333587.86200000002</v>
      </c>
      <c r="T14" s="105">
        <v>335069.43900000001</v>
      </c>
      <c r="U14" s="105">
        <v>336820.41100000002</v>
      </c>
      <c r="V14" s="105">
        <v>338482.46100000001</v>
      </c>
      <c r="W14" s="105">
        <v>340117.19699999999</v>
      </c>
      <c r="X14" s="105">
        <v>341718.42200000002</v>
      </c>
      <c r="Y14" s="105">
        <v>343306.913</v>
      </c>
      <c r="Z14" s="105">
        <v>345076.18400000001</v>
      </c>
      <c r="AA14" s="105">
        <v>346652.87099999998</v>
      </c>
      <c r="AB14" s="105">
        <v>348090.429</v>
      </c>
      <c r="AC14" s="105">
        <v>349453.74599999998</v>
      </c>
      <c r="AD14" s="105">
        <v>350744.82500000001</v>
      </c>
      <c r="AE14" s="105">
        <v>351964.08600000001</v>
      </c>
      <c r="AF14" s="105">
        <v>353266.027</v>
      </c>
      <c r="AG14" s="105">
        <v>354501.78700000001</v>
      </c>
      <c r="AH14" s="105">
        <v>355694.565</v>
      </c>
      <c r="AI14" s="105">
        <v>356847.26500000001</v>
      </c>
      <c r="AJ14" s="105">
        <v>357986.62099999998</v>
      </c>
      <c r="AK14" s="105">
        <v>359148.837</v>
      </c>
      <c r="AL14" s="105">
        <v>360279.88799999998</v>
      </c>
      <c r="AM14" s="105">
        <v>361363.538</v>
      </c>
      <c r="AN14" s="105">
        <v>362422.489</v>
      </c>
      <c r="AO14" s="105">
        <v>363450.5</v>
      </c>
      <c r="AP14" s="105">
        <v>364763.32400000002</v>
      </c>
      <c r="AQ14" s="105">
        <v>365959.04599999997</v>
      </c>
      <c r="AR14" s="105">
        <v>367144.95199999999</v>
      </c>
      <c r="AS14" s="105">
        <v>368543.51799999998</v>
      </c>
      <c r="AT14" s="105">
        <v>369885.57699999999</v>
      </c>
      <c r="AU14" s="105">
        <v>371163.15</v>
      </c>
      <c r="AV14" s="105">
        <v>372375.092</v>
      </c>
      <c r="AW14" s="105">
        <v>373528.97200000001</v>
      </c>
      <c r="AX14" s="105">
        <v>374619.571</v>
      </c>
    </row>
    <row r="15" spans="2:50">
      <c r="D15" s="38" t="s">
        <v>660</v>
      </c>
      <c r="E15" t="s">
        <v>631</v>
      </c>
      <c r="G15" s="39"/>
      <c r="O15" s="105">
        <v>241058</v>
      </c>
      <c r="P15" s="105">
        <v>244002.75200000001</v>
      </c>
      <c r="Q15" s="105">
        <v>246237.34599999999</v>
      </c>
      <c r="R15" s="105">
        <v>248424.32199999999</v>
      </c>
      <c r="S15" s="105">
        <v>250579.74100000001</v>
      </c>
      <c r="T15" s="105">
        <v>252671.82800000001</v>
      </c>
      <c r="U15" s="105">
        <v>254291.59400000001</v>
      </c>
      <c r="V15" s="105">
        <v>255787.774</v>
      </c>
      <c r="W15" s="105">
        <v>257259.30600000001</v>
      </c>
      <c r="X15" s="105">
        <v>258705.36300000001</v>
      </c>
      <c r="Y15" s="105">
        <v>260141.424</v>
      </c>
      <c r="Z15" s="105">
        <v>262982.67499999999</v>
      </c>
      <c r="AA15" s="105">
        <v>265596.77600000001</v>
      </c>
      <c r="AB15" s="105">
        <v>268074.375</v>
      </c>
      <c r="AC15" s="105">
        <v>270490.69900000002</v>
      </c>
      <c r="AD15" s="105">
        <v>272840.40899999999</v>
      </c>
      <c r="AE15" s="105">
        <v>274398.71799999999</v>
      </c>
      <c r="AF15" s="105">
        <v>275991.75400000002</v>
      </c>
      <c r="AG15" s="105">
        <v>277546.46100000001</v>
      </c>
      <c r="AH15" s="105">
        <v>279072.27399999998</v>
      </c>
      <c r="AI15" s="105">
        <v>280568.30699999997</v>
      </c>
      <c r="AJ15" s="105">
        <v>282054.60399999999</v>
      </c>
      <c r="AK15" s="105">
        <v>283571.41399999999</v>
      </c>
      <c r="AL15" s="105">
        <v>285054.50900000002</v>
      </c>
      <c r="AM15" s="105">
        <v>286490.53100000002</v>
      </c>
      <c r="AN15" s="105">
        <v>287896.83500000002</v>
      </c>
      <c r="AO15" s="105">
        <v>289275.07699999999</v>
      </c>
      <c r="AP15" s="105">
        <v>290533.31800000003</v>
      </c>
      <c r="AQ15" s="105">
        <v>291678.86</v>
      </c>
      <c r="AR15" s="105">
        <v>292815.49599999998</v>
      </c>
      <c r="AS15" s="105">
        <v>294162.22899999999</v>
      </c>
      <c r="AT15" s="105">
        <v>295454.38299999997</v>
      </c>
      <c r="AU15" s="105">
        <v>296685.114</v>
      </c>
      <c r="AV15" s="105">
        <v>297856.51500000001</v>
      </c>
      <c r="AW15" s="105">
        <v>298969.26799999998</v>
      </c>
      <c r="AX15" s="105">
        <v>300028.77799999999</v>
      </c>
    </row>
    <row r="16" spans="2:50">
      <c r="D16" s="38" t="s">
        <v>661</v>
      </c>
      <c r="E16" t="s">
        <v>634</v>
      </c>
      <c r="G16" s="39"/>
      <c r="O16" s="105">
        <v>379031</v>
      </c>
      <c r="P16" s="105">
        <v>382793.34399999998</v>
      </c>
      <c r="Q16" s="105">
        <v>386259.85700000002</v>
      </c>
      <c r="R16" s="105">
        <v>389597.038</v>
      </c>
      <c r="S16" s="105">
        <v>392881.99400000001</v>
      </c>
      <c r="T16" s="105">
        <v>396087.451</v>
      </c>
      <c r="U16" s="105">
        <v>400211.27500000002</v>
      </c>
      <c r="V16" s="105">
        <v>404212.12</v>
      </c>
      <c r="W16" s="105">
        <v>408171.39500000002</v>
      </c>
      <c r="X16" s="105">
        <v>412082.99099999998</v>
      </c>
      <c r="Y16" s="105">
        <v>415979.19</v>
      </c>
      <c r="Z16" s="105">
        <v>419469.891</v>
      </c>
      <c r="AA16" s="105">
        <v>422694.2</v>
      </c>
      <c r="AB16" s="105">
        <v>425734.804</v>
      </c>
      <c r="AC16" s="105">
        <v>428686.56900000002</v>
      </c>
      <c r="AD16" s="105">
        <v>431543.61700000003</v>
      </c>
      <c r="AE16" s="105">
        <v>434448.13500000001</v>
      </c>
      <c r="AF16" s="105">
        <v>437444.576</v>
      </c>
      <c r="AG16" s="105">
        <v>440373.81199999998</v>
      </c>
      <c r="AH16" s="105">
        <v>443251.65</v>
      </c>
      <c r="AI16" s="105">
        <v>446092.72200000001</v>
      </c>
      <c r="AJ16" s="105">
        <v>448916.92099999997</v>
      </c>
      <c r="AK16" s="105">
        <v>451790.86900000001</v>
      </c>
      <c r="AL16" s="105">
        <v>454616.89500000002</v>
      </c>
      <c r="AM16" s="105">
        <v>457384.09899999999</v>
      </c>
      <c r="AN16" s="105">
        <v>460115.35100000002</v>
      </c>
      <c r="AO16" s="105">
        <v>462804.75300000003</v>
      </c>
      <c r="AP16" s="105">
        <v>464600.288</v>
      </c>
      <c r="AQ16" s="105">
        <v>466234.28399999999</v>
      </c>
      <c r="AR16" s="105">
        <v>467857.67499999999</v>
      </c>
      <c r="AS16" s="105">
        <v>469767.52</v>
      </c>
      <c r="AT16" s="105">
        <v>471600.24200000003</v>
      </c>
      <c r="AU16" s="105">
        <v>473358.37099999998</v>
      </c>
      <c r="AV16" s="105">
        <v>475035.31199999998</v>
      </c>
      <c r="AW16" s="105">
        <v>476628.45600000001</v>
      </c>
      <c r="AX16" s="105">
        <v>478140.81599999999</v>
      </c>
    </row>
    <row r="17" spans="4:50">
      <c r="D17" s="38" t="s">
        <v>661</v>
      </c>
      <c r="E17" t="s">
        <v>635</v>
      </c>
      <c r="G17" s="39"/>
      <c r="O17" s="105">
        <v>343410.21500000003</v>
      </c>
      <c r="P17" s="105">
        <v>346868.42499999999</v>
      </c>
      <c r="Q17" s="105">
        <v>350320.80300000001</v>
      </c>
      <c r="R17" s="105">
        <v>353669.15899999999</v>
      </c>
      <c r="S17" s="105">
        <v>356976.16</v>
      </c>
      <c r="T17" s="105">
        <v>360204.29100000003</v>
      </c>
      <c r="U17" s="105">
        <v>363603.66200000001</v>
      </c>
      <c r="V17" s="105">
        <v>366859.57199999999</v>
      </c>
      <c r="W17" s="105">
        <v>370084.44199999998</v>
      </c>
      <c r="X17" s="105">
        <v>373273.815</v>
      </c>
      <c r="Y17" s="105">
        <v>376206</v>
      </c>
      <c r="Z17" s="105">
        <v>379610.67599999998</v>
      </c>
      <c r="AA17" s="105">
        <v>382505.52500000002</v>
      </c>
      <c r="AB17" s="105">
        <v>385221.67700000003</v>
      </c>
      <c r="AC17" s="105">
        <v>387859.85</v>
      </c>
      <c r="AD17" s="105">
        <v>390403.49699999997</v>
      </c>
      <c r="AE17" s="105">
        <v>392438.984</v>
      </c>
      <c r="AF17" s="105">
        <v>394537.674</v>
      </c>
      <c r="AG17" s="105">
        <v>396585.27299999999</v>
      </c>
      <c r="AH17" s="105">
        <v>398593.56300000002</v>
      </c>
      <c r="AI17" s="105">
        <v>400560.33199999999</v>
      </c>
      <c r="AJ17" s="105">
        <v>402512.11599999998</v>
      </c>
      <c r="AK17" s="105">
        <v>404512.65899999999</v>
      </c>
      <c r="AL17" s="105">
        <v>406468.30800000002</v>
      </c>
      <c r="AM17" s="105">
        <v>408362.20500000002</v>
      </c>
      <c r="AN17" s="105">
        <v>410218.32500000001</v>
      </c>
      <c r="AO17" s="105">
        <v>412031.42099999997</v>
      </c>
      <c r="AP17" s="105">
        <v>413707.42</v>
      </c>
      <c r="AQ17" s="105">
        <v>415230.103</v>
      </c>
      <c r="AR17" s="105">
        <v>416741.88799999998</v>
      </c>
      <c r="AS17" s="105">
        <v>418532.505</v>
      </c>
      <c r="AT17" s="105">
        <v>420245.95199999999</v>
      </c>
      <c r="AU17" s="105">
        <v>421886.24699999997</v>
      </c>
      <c r="AV17" s="105">
        <v>423445.554</v>
      </c>
      <c r="AW17" s="105">
        <v>424932.70799999998</v>
      </c>
      <c r="AX17" s="105">
        <v>426351.88299999997</v>
      </c>
    </row>
    <row r="18" spans="4:50">
      <c r="D18" s="38" t="s">
        <v>661</v>
      </c>
      <c r="E18" t="s">
        <v>636</v>
      </c>
      <c r="G18" s="39"/>
      <c r="O18" s="105">
        <v>328509.36700000003</v>
      </c>
      <c r="P18" s="105">
        <v>332552.24699999997</v>
      </c>
      <c r="Q18" s="105">
        <v>334914.56699999998</v>
      </c>
      <c r="R18" s="105">
        <v>337171.283</v>
      </c>
      <c r="S18" s="105">
        <v>339383.51199999999</v>
      </c>
      <c r="T18" s="105">
        <v>341523.53499999997</v>
      </c>
      <c r="U18" s="105">
        <v>343696.24599999998</v>
      </c>
      <c r="V18" s="105">
        <v>345752.64</v>
      </c>
      <c r="W18" s="105">
        <v>347778.141</v>
      </c>
      <c r="X18" s="105">
        <v>349771.81599999999</v>
      </c>
      <c r="Y18" s="105">
        <v>351752.22899999999</v>
      </c>
      <c r="Z18" s="105">
        <v>353674.27100000001</v>
      </c>
      <c r="AA18" s="105">
        <v>355357.26799999998</v>
      </c>
      <c r="AB18" s="105">
        <v>356883.54700000002</v>
      </c>
      <c r="AC18" s="105">
        <v>358335.364</v>
      </c>
      <c r="AD18" s="105">
        <v>359701.17499999999</v>
      </c>
      <c r="AE18" s="105">
        <v>361102.13900000002</v>
      </c>
      <c r="AF18" s="105">
        <v>362562.43699999998</v>
      </c>
      <c r="AG18" s="105">
        <v>363969.80900000001</v>
      </c>
      <c r="AH18" s="105">
        <v>365341.28899999999</v>
      </c>
      <c r="AI18" s="105">
        <v>366678.38</v>
      </c>
      <c r="AJ18" s="105">
        <v>368002.64600000001</v>
      </c>
      <c r="AK18" s="105">
        <v>369364.45400000003</v>
      </c>
      <c r="AL18" s="105">
        <v>370685</v>
      </c>
      <c r="AM18" s="105">
        <v>371958.31900000002</v>
      </c>
      <c r="AN18" s="105">
        <v>373197.29399999999</v>
      </c>
      <c r="AO18" s="105">
        <v>374409.01199999999</v>
      </c>
      <c r="AP18" s="105">
        <v>375869.565</v>
      </c>
      <c r="AQ18" s="105">
        <v>377205.79599999997</v>
      </c>
      <c r="AR18" s="105">
        <v>378531.07500000001</v>
      </c>
      <c r="AS18" s="105">
        <v>380098.51299999998</v>
      </c>
      <c r="AT18" s="105">
        <v>381607.41700000002</v>
      </c>
      <c r="AU18" s="105">
        <v>383042.26699999999</v>
      </c>
      <c r="AV18" s="105">
        <v>384417.53399999999</v>
      </c>
      <c r="AW18" s="105">
        <v>385726.67800000001</v>
      </c>
      <c r="AX18" s="105">
        <v>386973.28499999997</v>
      </c>
    </row>
    <row r="19" spans="4:50">
      <c r="D19" s="38" t="s">
        <v>660</v>
      </c>
      <c r="E19" t="s">
        <v>637</v>
      </c>
      <c r="G19" s="39"/>
      <c r="O19" s="105">
        <v>274803</v>
      </c>
      <c r="P19" s="105">
        <v>277676.33600000001</v>
      </c>
      <c r="Q19" s="105">
        <v>283228.12699999998</v>
      </c>
      <c r="R19" s="105">
        <v>288505.07</v>
      </c>
      <c r="S19" s="105">
        <v>293697.277</v>
      </c>
      <c r="T19" s="105">
        <v>298844.473</v>
      </c>
      <c r="U19" s="105">
        <v>303384.33199999999</v>
      </c>
      <c r="V19" s="105">
        <v>307980.95699999999</v>
      </c>
      <c r="W19" s="105">
        <v>312434.701</v>
      </c>
      <c r="X19" s="105">
        <v>316837.81300000002</v>
      </c>
      <c r="Y19" s="105">
        <v>321164.185</v>
      </c>
      <c r="Z19" s="105">
        <v>324097.62599999999</v>
      </c>
      <c r="AA19" s="105">
        <v>327076.321</v>
      </c>
      <c r="AB19" s="105">
        <v>330263.71999999997</v>
      </c>
      <c r="AC19" s="105">
        <v>333584.41200000001</v>
      </c>
      <c r="AD19" s="105">
        <v>336937.59899999999</v>
      </c>
      <c r="AE19" s="105">
        <v>340395.75400000002</v>
      </c>
      <c r="AF19" s="105">
        <v>343975.22200000001</v>
      </c>
      <c r="AG19" s="105">
        <v>347641.15700000001</v>
      </c>
      <c r="AH19" s="105">
        <v>351354.12800000003</v>
      </c>
      <c r="AI19" s="105">
        <v>355082.505</v>
      </c>
      <c r="AJ19" s="105">
        <v>358822.995</v>
      </c>
      <c r="AK19" s="105">
        <v>362598.60700000002</v>
      </c>
      <c r="AL19" s="105">
        <v>366367.038</v>
      </c>
      <c r="AM19" s="105">
        <v>370044.14399999997</v>
      </c>
      <c r="AN19" s="105">
        <v>371615.26400000002</v>
      </c>
      <c r="AO19" s="105">
        <v>373151.95500000002</v>
      </c>
      <c r="AP19" s="105">
        <v>374684.95600000001</v>
      </c>
      <c r="AQ19" s="105">
        <v>376080.09700000001</v>
      </c>
      <c r="AR19" s="105">
        <v>377466.48800000001</v>
      </c>
      <c r="AS19" s="105">
        <v>379106.37400000001</v>
      </c>
      <c r="AT19" s="105">
        <v>380680.76500000001</v>
      </c>
      <c r="AU19" s="105">
        <v>382181.44099999999</v>
      </c>
      <c r="AV19" s="105">
        <v>383610.95400000003</v>
      </c>
      <c r="AW19" s="105">
        <v>384973.05099999998</v>
      </c>
      <c r="AX19" s="105">
        <v>386274.08500000002</v>
      </c>
    </row>
    <row r="20" spans="4:50">
      <c r="D20" s="38" t="s">
        <v>660</v>
      </c>
      <c r="E20" t="s">
        <v>638</v>
      </c>
      <c r="G20" s="39"/>
      <c r="O20" s="105">
        <v>269404.50699999998</v>
      </c>
      <c r="P20" s="105">
        <v>272584.375</v>
      </c>
      <c r="Q20" s="105">
        <v>275980.717</v>
      </c>
      <c r="R20" s="105">
        <v>279563.07699999999</v>
      </c>
      <c r="S20" s="105">
        <v>283242.07699999999</v>
      </c>
      <c r="T20" s="105">
        <v>286834.092</v>
      </c>
      <c r="U20" s="105">
        <v>290575.73700000002</v>
      </c>
      <c r="V20" s="105">
        <v>294183.68900000001</v>
      </c>
      <c r="W20" s="105">
        <v>297622.40600000002</v>
      </c>
      <c r="X20" s="105">
        <v>300864.00300000003</v>
      </c>
      <c r="Y20" s="105">
        <v>303895.50199999998</v>
      </c>
      <c r="Z20" s="105">
        <v>307530.64500000002</v>
      </c>
      <c r="AA20" s="105">
        <v>311447.28100000002</v>
      </c>
      <c r="AB20" s="105">
        <v>315490.53399999999</v>
      </c>
      <c r="AC20" s="105">
        <v>319588.45699999999</v>
      </c>
      <c r="AD20" s="105">
        <v>323666.94799999997</v>
      </c>
      <c r="AE20" s="105">
        <v>327123.33799999999</v>
      </c>
      <c r="AF20" s="105">
        <v>330128.27799999999</v>
      </c>
      <c r="AG20" s="105">
        <v>333088.902</v>
      </c>
      <c r="AH20" s="105">
        <v>336017.93900000001</v>
      </c>
      <c r="AI20" s="105">
        <v>338915.74</v>
      </c>
      <c r="AJ20" s="105">
        <v>341803.7</v>
      </c>
      <c r="AK20" s="105">
        <v>344733.07199999999</v>
      </c>
      <c r="AL20" s="105">
        <v>347618.397</v>
      </c>
      <c r="AM20" s="105">
        <v>350445.64</v>
      </c>
      <c r="AN20" s="105">
        <v>353239.22</v>
      </c>
      <c r="AO20" s="105">
        <v>355996.51799999998</v>
      </c>
      <c r="AP20" s="105">
        <v>357544.30099999998</v>
      </c>
      <c r="AQ20" s="105">
        <v>358944.60600000003</v>
      </c>
      <c r="AR20" s="105">
        <v>360338.43800000002</v>
      </c>
      <c r="AS20" s="105">
        <v>362006.36300000001</v>
      </c>
      <c r="AT20" s="105">
        <v>363600.27600000001</v>
      </c>
      <c r="AU20" s="105">
        <v>365127.45600000001</v>
      </c>
      <c r="AV20" s="105">
        <v>366586.288</v>
      </c>
      <c r="AW20" s="105">
        <v>367977.62199999997</v>
      </c>
      <c r="AX20" s="105">
        <v>369311.86300000001</v>
      </c>
    </row>
    <row r="21" spans="4:50">
      <c r="D21" s="38" t="s">
        <v>660</v>
      </c>
      <c r="E21" t="s">
        <v>639</v>
      </c>
      <c r="G21" s="39"/>
      <c r="O21" s="105">
        <v>179753.96599999999</v>
      </c>
      <c r="P21" s="105">
        <v>181434.549</v>
      </c>
      <c r="Q21" s="105">
        <v>183585.1</v>
      </c>
      <c r="R21" s="105">
        <v>185669.77799999999</v>
      </c>
      <c r="S21" s="105">
        <v>187637.26699999999</v>
      </c>
      <c r="T21" s="105">
        <v>189508.21</v>
      </c>
      <c r="U21" s="105">
        <v>190844.32800000001</v>
      </c>
      <c r="V21" s="105">
        <v>192112.99900000001</v>
      </c>
      <c r="W21" s="105">
        <v>193320.83900000001</v>
      </c>
      <c r="X21" s="105">
        <v>194527.386</v>
      </c>
      <c r="Y21" s="105">
        <v>195725.37299999999</v>
      </c>
      <c r="Z21" s="105">
        <v>197095.891</v>
      </c>
      <c r="AA21" s="105">
        <v>198685.49100000001</v>
      </c>
      <c r="AB21" s="105">
        <v>200376.85</v>
      </c>
      <c r="AC21" s="105">
        <v>202121.60200000001</v>
      </c>
      <c r="AD21" s="105">
        <v>203873.073</v>
      </c>
      <c r="AE21" s="105">
        <v>205693.30300000001</v>
      </c>
      <c r="AF21" s="105">
        <v>207593.20199999999</v>
      </c>
      <c r="AG21" s="105">
        <v>209531.576</v>
      </c>
      <c r="AH21" s="105">
        <v>211475.77799999999</v>
      </c>
      <c r="AI21" s="105">
        <v>213393.13699999999</v>
      </c>
      <c r="AJ21" s="105">
        <v>215258.27600000001</v>
      </c>
      <c r="AK21" s="105">
        <v>217095.89199999999</v>
      </c>
      <c r="AL21" s="105">
        <v>218882.77299999999</v>
      </c>
      <c r="AM21" s="105">
        <v>220580.87100000001</v>
      </c>
      <c r="AN21" s="105">
        <v>222128.09899999999</v>
      </c>
      <c r="AO21" s="105">
        <v>223570.82800000001</v>
      </c>
      <c r="AP21" s="105">
        <v>225168.52499999999</v>
      </c>
      <c r="AQ21" s="105">
        <v>226067.226</v>
      </c>
      <c r="AR21" s="105">
        <v>226958.43299999999</v>
      </c>
      <c r="AS21" s="105">
        <v>228023.05799999999</v>
      </c>
      <c r="AT21" s="105">
        <v>229040.478</v>
      </c>
      <c r="AU21" s="105">
        <v>230014.761</v>
      </c>
      <c r="AV21" s="105">
        <v>230943.76699999999</v>
      </c>
      <c r="AW21" s="105">
        <v>231830.35500000001</v>
      </c>
      <c r="AX21" s="105">
        <v>232677.11600000001</v>
      </c>
    </row>
    <row r="22" spans="4:50">
      <c r="D22" s="38" t="s">
        <v>661</v>
      </c>
      <c r="E22" t="s">
        <v>640</v>
      </c>
      <c r="G22" s="39"/>
      <c r="O22" s="105">
        <v>273762.20799999998</v>
      </c>
      <c r="P22" s="105">
        <v>276760.78000000003</v>
      </c>
      <c r="Q22" s="105">
        <v>279898.14500000002</v>
      </c>
      <c r="R22" s="105">
        <v>283118.87099999998</v>
      </c>
      <c r="S22" s="105">
        <v>286365.22399999999</v>
      </c>
      <c r="T22" s="105">
        <v>289561.49</v>
      </c>
      <c r="U22" s="105">
        <v>292767.93400000001</v>
      </c>
      <c r="V22" s="105">
        <v>295836.14</v>
      </c>
      <c r="W22" s="105">
        <v>298737.49699999997</v>
      </c>
      <c r="X22" s="105">
        <v>301457.07900000003</v>
      </c>
      <c r="Y22" s="105">
        <v>303990.337</v>
      </c>
      <c r="Z22" s="105">
        <v>307113.016</v>
      </c>
      <c r="AA22" s="105">
        <v>310543.74300000002</v>
      </c>
      <c r="AB22" s="105">
        <v>313659.04399999999</v>
      </c>
      <c r="AC22" s="105">
        <v>315503.23200000002</v>
      </c>
      <c r="AD22" s="105">
        <v>317270.28399999999</v>
      </c>
      <c r="AE22" s="105">
        <v>318760.35800000001</v>
      </c>
      <c r="AF22" s="105">
        <v>320299.27399999998</v>
      </c>
      <c r="AG22" s="105">
        <v>321795.10499999998</v>
      </c>
      <c r="AH22" s="105">
        <v>323260.01400000002</v>
      </c>
      <c r="AI22" s="105">
        <v>324697.16600000003</v>
      </c>
      <c r="AJ22" s="105">
        <v>326118.69900000002</v>
      </c>
      <c r="AK22" s="105">
        <v>327578.39199999999</v>
      </c>
      <c r="AL22" s="105">
        <v>328997.511</v>
      </c>
      <c r="AM22" s="105">
        <v>330364.69</v>
      </c>
      <c r="AN22" s="105">
        <v>331704.45699999999</v>
      </c>
      <c r="AO22" s="105">
        <v>333009.29200000002</v>
      </c>
      <c r="AP22" s="105">
        <v>334394.283</v>
      </c>
      <c r="AQ22" s="105">
        <v>335654.18599999999</v>
      </c>
      <c r="AR22" s="105">
        <v>336906.929</v>
      </c>
      <c r="AS22" s="105">
        <v>338402.15100000001</v>
      </c>
      <c r="AT22" s="105">
        <v>339828.49699999997</v>
      </c>
      <c r="AU22" s="105">
        <v>341192.266</v>
      </c>
      <c r="AV22" s="105">
        <v>342495.36599999998</v>
      </c>
      <c r="AW22" s="105">
        <v>343736.69300000003</v>
      </c>
      <c r="AX22" s="105">
        <v>344924.31099999999</v>
      </c>
    </row>
    <row r="23" spans="4:50">
      <c r="D23" s="38" t="s">
        <v>661</v>
      </c>
      <c r="E23" t="s">
        <v>641</v>
      </c>
      <c r="G23" s="39"/>
      <c r="O23" s="105">
        <v>247693.58499999999</v>
      </c>
      <c r="P23" s="105">
        <v>250499.62899999999</v>
      </c>
      <c r="Q23" s="105">
        <v>252296.95600000001</v>
      </c>
      <c r="R23" s="105">
        <v>254014.97</v>
      </c>
      <c r="S23" s="105">
        <v>255699.87400000001</v>
      </c>
      <c r="T23" s="105">
        <v>257333.967</v>
      </c>
      <c r="U23" s="105">
        <v>259012.63399999999</v>
      </c>
      <c r="V23" s="105">
        <v>260602.636</v>
      </c>
      <c r="W23" s="105">
        <v>262166.625</v>
      </c>
      <c r="X23" s="105">
        <v>263710.34999999998</v>
      </c>
      <c r="Y23" s="105">
        <v>265246.04599999997</v>
      </c>
      <c r="Z23" s="105">
        <v>266903.06300000002</v>
      </c>
      <c r="AA23" s="105">
        <v>268383.25300000003</v>
      </c>
      <c r="AB23" s="105">
        <v>269747.76500000001</v>
      </c>
      <c r="AC23" s="105">
        <v>271061.011</v>
      </c>
      <c r="AD23" s="105">
        <v>272316.75699999998</v>
      </c>
      <c r="AE23" s="105">
        <v>273703.62</v>
      </c>
      <c r="AF23" s="105">
        <v>275129.196</v>
      </c>
      <c r="AG23" s="105">
        <v>276520.07</v>
      </c>
      <c r="AH23" s="105">
        <v>277883.31400000001</v>
      </c>
      <c r="AI23" s="105">
        <v>279225.44</v>
      </c>
      <c r="AJ23" s="105">
        <v>280555.71000000002</v>
      </c>
      <c r="AK23" s="105">
        <v>281910.08299999998</v>
      </c>
      <c r="AL23" s="105">
        <v>283235.00699999998</v>
      </c>
      <c r="AM23" s="105">
        <v>284518.935</v>
      </c>
      <c r="AN23" s="105">
        <v>285783.45600000001</v>
      </c>
      <c r="AO23" s="105">
        <v>287021.3</v>
      </c>
      <c r="AP23" s="105">
        <v>288101.81599999999</v>
      </c>
      <c r="AQ23" s="105">
        <v>289082.21500000003</v>
      </c>
      <c r="AR23" s="105">
        <v>290053.84299999999</v>
      </c>
      <c r="AS23" s="105">
        <v>291201.27</v>
      </c>
      <c r="AT23" s="105">
        <v>292297.60800000001</v>
      </c>
      <c r="AU23" s="105">
        <v>293342.04100000003</v>
      </c>
      <c r="AV23" s="105">
        <v>294333.38799999998</v>
      </c>
      <c r="AW23" s="105">
        <v>295272.424</v>
      </c>
      <c r="AX23" s="105">
        <v>296162.41200000001</v>
      </c>
    </row>
    <row r="24" spans="4:50">
      <c r="D24" s="38" t="s">
        <v>661</v>
      </c>
      <c r="E24" t="s">
        <v>642</v>
      </c>
      <c r="G24" s="39"/>
      <c r="O24" s="105">
        <v>249438.54500000001</v>
      </c>
      <c r="P24" s="105">
        <v>252270.962</v>
      </c>
      <c r="Q24" s="105">
        <v>255407.12</v>
      </c>
      <c r="R24" s="105">
        <v>258447.57399999999</v>
      </c>
      <c r="S24" s="105">
        <v>261317.97399999999</v>
      </c>
      <c r="T24" s="105">
        <v>264099.41100000002</v>
      </c>
      <c r="U24" s="105">
        <v>267180.79999999999</v>
      </c>
      <c r="V24" s="105">
        <v>270224.43099999998</v>
      </c>
      <c r="W24" s="105">
        <v>273218.83</v>
      </c>
      <c r="X24" s="105">
        <v>276066.54800000001</v>
      </c>
      <c r="Y24" s="105">
        <v>278889.70299999998</v>
      </c>
      <c r="Z24" s="105">
        <v>280272.08100000001</v>
      </c>
      <c r="AA24" s="105">
        <v>281590.43300000002</v>
      </c>
      <c r="AB24" s="105">
        <v>282791.62400000001</v>
      </c>
      <c r="AC24" s="105">
        <v>283934.42</v>
      </c>
      <c r="AD24" s="105">
        <v>285016.33199999999</v>
      </c>
      <c r="AE24" s="105">
        <v>286149.90000000002</v>
      </c>
      <c r="AF24" s="105">
        <v>287350.011</v>
      </c>
      <c r="AG24" s="105">
        <v>288501.58799999999</v>
      </c>
      <c r="AH24" s="105">
        <v>289616.62</v>
      </c>
      <c r="AI24" s="105">
        <v>290700.51299999998</v>
      </c>
      <c r="AJ24" s="105">
        <v>291771.57199999999</v>
      </c>
      <c r="AK24" s="105">
        <v>292866.09899999999</v>
      </c>
      <c r="AL24" s="105">
        <v>293932.54399999999</v>
      </c>
      <c r="AM24" s="105">
        <v>294962.29599999997</v>
      </c>
      <c r="AN24" s="105">
        <v>295962.32299999997</v>
      </c>
      <c r="AO24" s="105">
        <v>296939.27500000002</v>
      </c>
      <c r="AP24" s="105">
        <v>298039.55</v>
      </c>
      <c r="AQ24" s="105">
        <v>299047.50799999997</v>
      </c>
      <c r="AR24" s="105">
        <v>300043.14500000002</v>
      </c>
      <c r="AS24" s="105">
        <v>301213.69900000002</v>
      </c>
      <c r="AT24" s="105">
        <v>302346.68</v>
      </c>
      <c r="AU24" s="105">
        <v>303415.87300000002</v>
      </c>
      <c r="AV24" s="105">
        <v>304436.06400000001</v>
      </c>
      <c r="AW24" s="105">
        <v>305405.55200000003</v>
      </c>
      <c r="AX24" s="105">
        <v>306326.05900000001</v>
      </c>
    </row>
    <row r="25" spans="4:50">
      <c r="D25" s="38" t="s">
        <v>661</v>
      </c>
      <c r="E25" t="s">
        <v>643</v>
      </c>
      <c r="G25" s="39"/>
      <c r="O25" s="105">
        <v>298369.848</v>
      </c>
      <c r="P25" s="105">
        <v>302018.13900000002</v>
      </c>
      <c r="Q25" s="105">
        <v>303869.58500000002</v>
      </c>
      <c r="R25" s="105">
        <v>305624.913</v>
      </c>
      <c r="S25" s="105">
        <v>307335.87099999998</v>
      </c>
      <c r="T25" s="105">
        <v>308983.53600000002</v>
      </c>
      <c r="U25" s="105">
        <v>310543.011</v>
      </c>
      <c r="V25" s="105">
        <v>311989.11800000002</v>
      </c>
      <c r="W25" s="105">
        <v>313401.62</v>
      </c>
      <c r="X25" s="105">
        <v>314778.56900000002</v>
      </c>
      <c r="Y25" s="105">
        <v>316147.19400000002</v>
      </c>
      <c r="Z25" s="105">
        <v>317801.51500000001</v>
      </c>
      <c r="AA25" s="105">
        <v>319235.67300000001</v>
      </c>
      <c r="AB25" s="105">
        <v>320521.98100000003</v>
      </c>
      <c r="AC25" s="105">
        <v>321737.78600000002</v>
      </c>
      <c r="AD25" s="105">
        <v>322884.30900000001</v>
      </c>
      <c r="AE25" s="105">
        <v>323696.74699999997</v>
      </c>
      <c r="AF25" s="105">
        <v>324568.97200000001</v>
      </c>
      <c r="AG25" s="105">
        <v>325389.75400000002</v>
      </c>
      <c r="AH25" s="105">
        <v>326172.364</v>
      </c>
      <c r="AI25" s="105">
        <v>326920.87900000002</v>
      </c>
      <c r="AJ25" s="105">
        <v>327654.41600000003</v>
      </c>
      <c r="AK25" s="105">
        <v>328417.94099999999</v>
      </c>
      <c r="AL25" s="105">
        <v>329148.16499999998</v>
      </c>
      <c r="AM25" s="105">
        <v>329830.82400000002</v>
      </c>
      <c r="AN25" s="105">
        <v>330484.26</v>
      </c>
      <c r="AO25" s="105">
        <v>331107.15500000003</v>
      </c>
      <c r="AP25" s="105">
        <v>332432.50599999999</v>
      </c>
      <c r="AQ25" s="105">
        <v>333643.83500000002</v>
      </c>
      <c r="AR25" s="105">
        <v>334843.33</v>
      </c>
      <c r="AS25" s="105">
        <v>336259.641</v>
      </c>
      <c r="AT25" s="105">
        <v>337622.96799999999</v>
      </c>
      <c r="AU25" s="105">
        <v>338928.45299999998</v>
      </c>
      <c r="AV25" s="105">
        <v>340170.16600000003</v>
      </c>
      <c r="AW25" s="105">
        <v>341351.49800000002</v>
      </c>
      <c r="AX25" s="105">
        <v>342477.90600000002</v>
      </c>
    </row>
    <row r="26" spans="4:50">
      <c r="D26" s="38" t="s">
        <v>661</v>
      </c>
      <c r="E26" t="s">
        <v>644</v>
      </c>
      <c r="G26" s="39"/>
      <c r="O26" s="105">
        <v>269177.29100000003</v>
      </c>
      <c r="P26" s="105">
        <v>272505.88699999999</v>
      </c>
      <c r="Q26" s="105">
        <v>274893.54200000002</v>
      </c>
      <c r="R26" s="105">
        <v>277201.326</v>
      </c>
      <c r="S26" s="105">
        <v>279464.93199999997</v>
      </c>
      <c r="T26" s="105">
        <v>281669.28700000001</v>
      </c>
      <c r="U26" s="105">
        <v>283925.81099999999</v>
      </c>
      <c r="V26" s="105">
        <v>286071.26899999997</v>
      </c>
      <c r="W26" s="105">
        <v>288190.43699999998</v>
      </c>
      <c r="X26" s="105">
        <v>290280.62400000001</v>
      </c>
      <c r="Y26" s="105">
        <v>292359.91800000001</v>
      </c>
      <c r="Z26" s="105">
        <v>294723.13500000001</v>
      </c>
      <c r="AA26" s="105">
        <v>296871.74</v>
      </c>
      <c r="AB26" s="105">
        <v>298880.853</v>
      </c>
      <c r="AC26" s="105">
        <v>300826.636</v>
      </c>
      <c r="AD26" s="105">
        <v>302703.39600000001</v>
      </c>
      <c r="AE26" s="105">
        <v>304110.66499999998</v>
      </c>
      <c r="AF26" s="105">
        <v>305562.32400000002</v>
      </c>
      <c r="AG26" s="105">
        <v>306976.14199999999</v>
      </c>
      <c r="AH26" s="105">
        <v>308358.87400000001</v>
      </c>
      <c r="AI26" s="105">
        <v>309710.35700000002</v>
      </c>
      <c r="AJ26" s="105">
        <v>311049.76899999997</v>
      </c>
      <c r="AK26" s="105">
        <v>312422.36300000001</v>
      </c>
      <c r="AL26" s="105">
        <v>313759.63900000002</v>
      </c>
      <c r="AM26" s="105">
        <v>315048.679</v>
      </c>
      <c r="AN26" s="105">
        <v>316308.39600000001</v>
      </c>
      <c r="AO26" s="105">
        <v>317535.71500000003</v>
      </c>
      <c r="AP26" s="105">
        <v>318815.48200000002</v>
      </c>
      <c r="AQ26" s="105">
        <v>319978.81800000003</v>
      </c>
      <c r="AR26" s="105">
        <v>321133.03200000001</v>
      </c>
      <c r="AS26" s="105">
        <v>322505.011</v>
      </c>
      <c r="AT26" s="105">
        <v>323819.29300000001</v>
      </c>
      <c r="AU26" s="105">
        <v>325075.78000000003</v>
      </c>
      <c r="AV26" s="105">
        <v>326273.19699999999</v>
      </c>
      <c r="AW26" s="105">
        <v>327413.42800000001</v>
      </c>
      <c r="AX26" s="105">
        <v>328505.13500000001</v>
      </c>
    </row>
    <row r="27" spans="4:50">
      <c r="D27" s="38" t="s">
        <v>660</v>
      </c>
      <c r="E27" t="s">
        <v>645</v>
      </c>
      <c r="G27" s="39"/>
      <c r="O27" s="105">
        <v>228045.288</v>
      </c>
      <c r="P27" s="105">
        <v>229891.73199999999</v>
      </c>
      <c r="Q27" s="105">
        <v>232405.59299999999</v>
      </c>
      <c r="R27" s="105">
        <v>234857.84</v>
      </c>
      <c r="S27" s="105">
        <v>237213.606</v>
      </c>
      <c r="T27" s="105">
        <v>239591.53099999999</v>
      </c>
      <c r="U27" s="105">
        <v>242032.69</v>
      </c>
      <c r="V27" s="105">
        <v>244368.68299999999</v>
      </c>
      <c r="W27" s="105">
        <v>246586.158</v>
      </c>
      <c r="X27" s="105">
        <v>248646.64499999999</v>
      </c>
      <c r="Y27" s="105">
        <v>250247.777</v>
      </c>
      <c r="Z27" s="105">
        <v>252374.24100000001</v>
      </c>
      <c r="AA27" s="105">
        <v>254257.905</v>
      </c>
      <c r="AB27" s="105">
        <v>256008.02799999999</v>
      </c>
      <c r="AC27" s="105">
        <v>257697.041</v>
      </c>
      <c r="AD27" s="105">
        <v>259317.13800000001</v>
      </c>
      <c r="AE27" s="105">
        <v>261242.02799999999</v>
      </c>
      <c r="AF27" s="105">
        <v>263205.13400000002</v>
      </c>
      <c r="AG27" s="105">
        <v>265133.07299999997</v>
      </c>
      <c r="AH27" s="105">
        <v>267034.98200000002</v>
      </c>
      <c r="AI27" s="105">
        <v>268906.14199999999</v>
      </c>
      <c r="AJ27" s="105">
        <v>270768.54200000002</v>
      </c>
      <c r="AK27" s="105">
        <v>272667.56900000002</v>
      </c>
      <c r="AL27" s="105">
        <v>274530.73200000002</v>
      </c>
      <c r="AM27" s="105">
        <v>276346.30200000003</v>
      </c>
      <c r="AN27" s="105">
        <v>278131.48</v>
      </c>
      <c r="AO27" s="105">
        <v>279889.91399999999</v>
      </c>
      <c r="AP27" s="105">
        <v>281172.02500000002</v>
      </c>
      <c r="AQ27" s="105">
        <v>282334.67</v>
      </c>
      <c r="AR27" s="105">
        <v>283491.571</v>
      </c>
      <c r="AS27" s="105">
        <v>284869.24200000003</v>
      </c>
      <c r="AT27" s="105">
        <v>286185.48100000003</v>
      </c>
      <c r="AU27" s="105">
        <v>287442.40500000003</v>
      </c>
      <c r="AV27" s="105">
        <v>288638.97700000001</v>
      </c>
      <c r="AW27" s="105">
        <v>289775.64500000002</v>
      </c>
      <c r="AX27" s="105">
        <v>290860.13099999999</v>
      </c>
    </row>
    <row r="28" spans="4:50">
      <c r="D28" s="38" t="s">
        <v>660</v>
      </c>
      <c r="E28" t="s">
        <v>646</v>
      </c>
      <c r="G28" s="39"/>
      <c r="O28" s="105">
        <v>158111.962</v>
      </c>
      <c r="P28" s="105">
        <v>158553.04199999999</v>
      </c>
      <c r="Q28" s="105">
        <v>159775.83199999999</v>
      </c>
      <c r="R28" s="105">
        <v>160852.43900000001</v>
      </c>
      <c r="S28" s="105">
        <v>161797.91800000001</v>
      </c>
      <c r="T28" s="105">
        <v>162735.30600000001</v>
      </c>
      <c r="U28" s="105">
        <v>164449.408</v>
      </c>
      <c r="V28" s="105">
        <v>166185.12899999999</v>
      </c>
      <c r="W28" s="105">
        <v>167809.40100000001</v>
      </c>
      <c r="X28" s="105">
        <v>169403.16</v>
      </c>
      <c r="Y28" s="105">
        <v>170998.014</v>
      </c>
      <c r="Z28" s="105">
        <v>171966.39199999999</v>
      </c>
      <c r="AA28" s="105">
        <v>172880.51500000001</v>
      </c>
      <c r="AB28" s="105">
        <v>173840.87700000001</v>
      </c>
      <c r="AC28" s="105">
        <v>174912.03599999999</v>
      </c>
      <c r="AD28" s="105">
        <v>176040.277</v>
      </c>
      <c r="AE28" s="105">
        <v>177248.995</v>
      </c>
      <c r="AF28" s="105">
        <v>178545.46100000001</v>
      </c>
      <c r="AG28" s="105">
        <v>179907.666</v>
      </c>
      <c r="AH28" s="105">
        <v>180783.68799999999</v>
      </c>
      <c r="AI28" s="105">
        <v>181229.99600000001</v>
      </c>
      <c r="AJ28" s="105">
        <v>181664.61900000001</v>
      </c>
      <c r="AK28" s="105">
        <v>182115.098</v>
      </c>
      <c r="AL28" s="105">
        <v>182546.57800000001</v>
      </c>
      <c r="AM28" s="105">
        <v>182951.05</v>
      </c>
      <c r="AN28" s="105">
        <v>183339.58</v>
      </c>
      <c r="AO28" s="105">
        <v>183709.64799999999</v>
      </c>
      <c r="AP28" s="105">
        <v>184452.603</v>
      </c>
      <c r="AQ28" s="105">
        <v>185136.53200000001</v>
      </c>
      <c r="AR28" s="105">
        <v>185815.65299999999</v>
      </c>
      <c r="AS28" s="105">
        <v>186614.185</v>
      </c>
      <c r="AT28" s="105">
        <v>187383.878</v>
      </c>
      <c r="AU28" s="105">
        <v>188119.79399999999</v>
      </c>
      <c r="AV28" s="105">
        <v>188822.478</v>
      </c>
      <c r="AW28" s="105">
        <v>189492.18100000001</v>
      </c>
      <c r="AX28" s="105">
        <v>190130.15299999999</v>
      </c>
    </row>
    <row r="29" spans="4:50">
      <c r="D29" s="38" t="s">
        <v>661</v>
      </c>
      <c r="E29" t="s">
        <v>648</v>
      </c>
      <c r="G29" s="39"/>
      <c r="O29" s="105">
        <v>173557.55900000001</v>
      </c>
      <c r="P29" s="105">
        <v>175878.57199999999</v>
      </c>
      <c r="Q29" s="105">
        <v>177719.33900000001</v>
      </c>
      <c r="R29" s="105">
        <v>179484.894</v>
      </c>
      <c r="S29" s="105">
        <v>181097.818</v>
      </c>
      <c r="T29" s="105">
        <v>182589.88099999999</v>
      </c>
      <c r="U29" s="105">
        <v>184035.06700000001</v>
      </c>
      <c r="V29" s="105">
        <v>185500.883</v>
      </c>
      <c r="W29" s="105">
        <v>186944.807</v>
      </c>
      <c r="X29" s="105">
        <v>188375.69099999999</v>
      </c>
      <c r="Y29" s="105">
        <v>189800.39</v>
      </c>
      <c r="Z29" s="105">
        <v>191066.23</v>
      </c>
      <c r="AA29" s="105">
        <v>192195.489</v>
      </c>
      <c r="AB29" s="105">
        <v>193240.28899999999</v>
      </c>
      <c r="AC29" s="105">
        <v>194242.448</v>
      </c>
      <c r="AD29" s="105">
        <v>195197.66</v>
      </c>
      <c r="AE29" s="105">
        <v>196341.16099999999</v>
      </c>
      <c r="AF29" s="105">
        <v>197522.33199999999</v>
      </c>
      <c r="AG29" s="105">
        <v>198672.35200000001</v>
      </c>
      <c r="AH29" s="105">
        <v>199805.149</v>
      </c>
      <c r="AI29" s="105">
        <v>200910.541</v>
      </c>
      <c r="AJ29" s="105">
        <v>202006.78400000001</v>
      </c>
      <c r="AK29" s="105">
        <v>203118.62</v>
      </c>
      <c r="AL29" s="105">
        <v>204210.93100000001</v>
      </c>
      <c r="AM29" s="105">
        <v>205275.552</v>
      </c>
      <c r="AN29" s="105">
        <v>206315.21799999999</v>
      </c>
      <c r="AO29" s="105">
        <v>207335.54</v>
      </c>
      <c r="AP29" s="105">
        <v>208175.82</v>
      </c>
      <c r="AQ29" s="105">
        <v>208937.84700000001</v>
      </c>
      <c r="AR29" s="105">
        <v>209695.54199999999</v>
      </c>
      <c r="AS29" s="105">
        <v>210582.36799999999</v>
      </c>
      <c r="AT29" s="105">
        <v>211437.09700000001</v>
      </c>
      <c r="AU29" s="105">
        <v>212250.84400000001</v>
      </c>
      <c r="AV29" s="105">
        <v>213024.04</v>
      </c>
      <c r="AW29" s="105">
        <v>213756.76199999999</v>
      </c>
      <c r="AX29" s="105">
        <v>214450.70199999999</v>
      </c>
    </row>
    <row r="30" spans="4:50">
      <c r="D30" s="38" t="s">
        <v>660</v>
      </c>
      <c r="E30" t="s">
        <v>649</v>
      </c>
      <c r="G30" s="39"/>
      <c r="O30" s="105">
        <v>324757.97899999999</v>
      </c>
      <c r="P30" s="105">
        <v>327582.10200000001</v>
      </c>
      <c r="Q30" s="105">
        <v>330614.66600000003</v>
      </c>
      <c r="R30" s="105">
        <v>333843.56699999998</v>
      </c>
      <c r="S30" s="105">
        <v>337171.83899999998</v>
      </c>
      <c r="T30" s="105">
        <v>340477.734</v>
      </c>
      <c r="U30" s="105">
        <v>343844.54</v>
      </c>
      <c r="V30" s="105">
        <v>347027.77899999998</v>
      </c>
      <c r="W30" s="105">
        <v>349986.99800000002</v>
      </c>
      <c r="X30" s="105">
        <v>352691.049</v>
      </c>
      <c r="Y30" s="105">
        <v>355153.99200000003</v>
      </c>
      <c r="Z30" s="105">
        <v>358386.43900000001</v>
      </c>
      <c r="AA30" s="105">
        <v>361997.07900000003</v>
      </c>
      <c r="AB30" s="105">
        <v>365789.81300000002</v>
      </c>
      <c r="AC30" s="105">
        <v>369698.837</v>
      </c>
      <c r="AD30" s="105">
        <v>373574.75599999999</v>
      </c>
      <c r="AE30" s="105">
        <v>377701.04700000002</v>
      </c>
      <c r="AF30" s="105">
        <v>381887.49</v>
      </c>
      <c r="AG30" s="105">
        <v>386027.64899999998</v>
      </c>
      <c r="AH30" s="105">
        <v>390128.97399999999</v>
      </c>
      <c r="AI30" s="105">
        <v>394194.35600000003</v>
      </c>
      <c r="AJ30" s="105">
        <v>398250.92800000001</v>
      </c>
      <c r="AK30" s="105">
        <v>402360.54399999999</v>
      </c>
      <c r="AL30" s="105">
        <v>406420.81900000002</v>
      </c>
      <c r="AM30" s="105">
        <v>410411.92700000003</v>
      </c>
      <c r="AN30" s="105">
        <v>414361.14399999997</v>
      </c>
      <c r="AO30" s="105">
        <v>418069.48</v>
      </c>
      <c r="AP30" s="105">
        <v>420172.60600000003</v>
      </c>
      <c r="AQ30" s="105">
        <v>421897.61900000001</v>
      </c>
      <c r="AR30" s="105">
        <v>423614.87</v>
      </c>
      <c r="AS30" s="105">
        <v>425666.391</v>
      </c>
      <c r="AT30" s="105">
        <v>427622.29</v>
      </c>
      <c r="AU30" s="105">
        <v>429494.67599999998</v>
      </c>
      <c r="AV30" s="105">
        <v>431281.48499999999</v>
      </c>
      <c r="AW30" s="105">
        <v>432986.93</v>
      </c>
      <c r="AX30" s="105">
        <v>434617.46299999999</v>
      </c>
    </row>
    <row r="31" spans="4:50">
      <c r="D31" s="38" t="s">
        <v>660</v>
      </c>
      <c r="E31" t="s">
        <v>650</v>
      </c>
      <c r="G31" s="39"/>
      <c r="O31" s="105">
        <v>297911.66800000001</v>
      </c>
      <c r="P31" s="105">
        <v>301927.69400000002</v>
      </c>
      <c r="Q31" s="105">
        <v>305837.21299999999</v>
      </c>
      <c r="R31" s="105">
        <v>309670.48499999999</v>
      </c>
      <c r="S31" s="105">
        <v>313458.68800000002</v>
      </c>
      <c r="T31" s="105">
        <v>317175.239</v>
      </c>
      <c r="U31" s="105">
        <v>319951.11800000002</v>
      </c>
      <c r="V31" s="105">
        <v>322593.58100000001</v>
      </c>
      <c r="W31" s="105">
        <v>325206.734</v>
      </c>
      <c r="X31" s="105">
        <v>327778.90000000002</v>
      </c>
      <c r="Y31" s="105">
        <v>330342.179</v>
      </c>
      <c r="Z31" s="105">
        <v>333276.114</v>
      </c>
      <c r="AA31" s="105">
        <v>335955.02899999998</v>
      </c>
      <c r="AB31" s="105">
        <v>338473.15899999999</v>
      </c>
      <c r="AC31" s="105">
        <v>340915.01799999998</v>
      </c>
      <c r="AD31" s="105">
        <v>343275.68099999998</v>
      </c>
      <c r="AE31" s="105">
        <v>344969.89299999998</v>
      </c>
      <c r="AF31" s="105">
        <v>346717.467</v>
      </c>
      <c r="AG31" s="105">
        <v>348420.11300000001</v>
      </c>
      <c r="AH31" s="105">
        <v>350086.527</v>
      </c>
      <c r="AI31" s="105">
        <v>351719.70600000001</v>
      </c>
      <c r="AJ31" s="105">
        <v>353347.14299999998</v>
      </c>
      <c r="AK31" s="105">
        <v>355014.12800000003</v>
      </c>
      <c r="AL31" s="105">
        <v>356639.79499999998</v>
      </c>
      <c r="AM31" s="105">
        <v>358211.53700000001</v>
      </c>
      <c r="AN31" s="105">
        <v>359749.20899999997</v>
      </c>
      <c r="AO31" s="105">
        <v>361254.18</v>
      </c>
      <c r="AP31" s="105">
        <v>362760.337</v>
      </c>
      <c r="AQ31" s="105">
        <v>364129.15899999999</v>
      </c>
      <c r="AR31" s="105">
        <v>365489.02</v>
      </c>
      <c r="AS31" s="105">
        <v>367103.93400000001</v>
      </c>
      <c r="AT31" s="105">
        <v>368652.78499999997</v>
      </c>
      <c r="AU31" s="105">
        <v>370136.08500000002</v>
      </c>
      <c r="AV31" s="105">
        <v>371552.005</v>
      </c>
      <c r="AW31" s="105">
        <v>372898.88199999998</v>
      </c>
      <c r="AX31" s="105">
        <v>374182.78899999999</v>
      </c>
    </row>
    <row r="32" spans="4:50">
      <c r="D32" s="38" t="s">
        <v>661</v>
      </c>
      <c r="E32" t="s">
        <v>651</v>
      </c>
      <c r="G32" s="39"/>
      <c r="O32" s="105">
        <v>205247.943</v>
      </c>
      <c r="P32" s="105">
        <v>207881.88399999999</v>
      </c>
      <c r="Q32" s="105">
        <v>209096.60399999999</v>
      </c>
      <c r="R32" s="105">
        <v>210244.61799999999</v>
      </c>
      <c r="S32" s="105">
        <v>211362.399</v>
      </c>
      <c r="T32" s="105">
        <v>212438.755</v>
      </c>
      <c r="U32" s="105">
        <v>213544.52600000001</v>
      </c>
      <c r="V32" s="105">
        <v>214567.02799999999</v>
      </c>
      <c r="W32" s="105">
        <v>215570.484</v>
      </c>
      <c r="X32" s="105">
        <v>216556.06400000001</v>
      </c>
      <c r="Y32" s="105">
        <v>217533.72700000001</v>
      </c>
      <c r="Z32" s="105">
        <v>218790.04800000001</v>
      </c>
      <c r="AA32" s="105">
        <v>219882.5</v>
      </c>
      <c r="AB32" s="105">
        <v>220876.18100000001</v>
      </c>
      <c r="AC32" s="105">
        <v>221823.30499999999</v>
      </c>
      <c r="AD32" s="105">
        <v>222721.58</v>
      </c>
      <c r="AE32" s="105">
        <v>223551.552</v>
      </c>
      <c r="AF32" s="105">
        <v>224418.87400000001</v>
      </c>
      <c r="AG32" s="105">
        <v>225256.712</v>
      </c>
      <c r="AH32" s="105">
        <v>226070.217</v>
      </c>
      <c r="AI32" s="105">
        <v>226860.65599999999</v>
      </c>
      <c r="AJ32" s="105">
        <v>227643.16699999999</v>
      </c>
      <c r="AK32" s="105">
        <v>228447.08600000001</v>
      </c>
      <c r="AL32" s="105">
        <v>229224.51699999999</v>
      </c>
      <c r="AM32" s="105">
        <v>229965.19099999999</v>
      </c>
      <c r="AN32" s="105">
        <v>230685.88500000001</v>
      </c>
      <c r="AO32" s="105">
        <v>231386.772</v>
      </c>
      <c r="AP32" s="105">
        <v>232322.845</v>
      </c>
      <c r="AQ32" s="105">
        <v>233172.54800000001</v>
      </c>
      <c r="AR32" s="105">
        <v>234017.277</v>
      </c>
      <c r="AS32" s="105">
        <v>235022.98499999999</v>
      </c>
      <c r="AT32" s="105">
        <v>235985.603</v>
      </c>
      <c r="AU32" s="105">
        <v>236907.807</v>
      </c>
      <c r="AV32" s="105">
        <v>237786.86199999999</v>
      </c>
      <c r="AW32" s="105">
        <v>238622.65700000001</v>
      </c>
      <c r="AX32" s="105">
        <v>239419.24299999999</v>
      </c>
    </row>
    <row r="33" spans="2:50">
      <c r="D33" s="38" t="s">
        <v>661</v>
      </c>
      <c r="E33" t="s">
        <v>652</v>
      </c>
      <c r="G33" s="39"/>
      <c r="O33" s="105">
        <v>334269.016</v>
      </c>
      <c r="P33" s="105">
        <v>338703.83399999997</v>
      </c>
      <c r="Q33" s="105">
        <v>343514.72499999998</v>
      </c>
      <c r="R33" s="105">
        <v>348221.89399999997</v>
      </c>
      <c r="S33" s="105">
        <v>352977.73599999998</v>
      </c>
      <c r="T33" s="105">
        <v>357666.72499999998</v>
      </c>
      <c r="U33" s="105">
        <v>362424.74699999997</v>
      </c>
      <c r="V33" s="105">
        <v>368187.76199999999</v>
      </c>
      <c r="W33" s="105">
        <v>373904.86800000002</v>
      </c>
      <c r="X33" s="105">
        <v>379541.908</v>
      </c>
      <c r="Y33" s="105">
        <v>385196.136</v>
      </c>
      <c r="Z33" s="105">
        <v>389293.12199999997</v>
      </c>
      <c r="AA33" s="105">
        <v>393782.95500000002</v>
      </c>
      <c r="AB33" s="105">
        <v>398440.946</v>
      </c>
      <c r="AC33" s="105">
        <v>403168.402</v>
      </c>
      <c r="AD33" s="105">
        <v>407865.11</v>
      </c>
      <c r="AE33" s="105">
        <v>412639.28899999999</v>
      </c>
      <c r="AF33" s="105">
        <v>417557.51699999999</v>
      </c>
      <c r="AG33" s="105">
        <v>422560.08399999997</v>
      </c>
      <c r="AH33" s="105">
        <v>427597.04</v>
      </c>
      <c r="AI33" s="105">
        <v>432621.60200000001</v>
      </c>
      <c r="AJ33" s="105">
        <v>437606.22200000001</v>
      </c>
      <c r="AK33" s="105">
        <v>442601.64899999998</v>
      </c>
      <c r="AL33" s="105">
        <v>447553.76</v>
      </c>
      <c r="AM33" s="105">
        <v>452368.53399999999</v>
      </c>
      <c r="AN33" s="105">
        <v>456923.43699999998</v>
      </c>
      <c r="AO33" s="105">
        <v>461252.99300000002</v>
      </c>
      <c r="AP33" s="105">
        <v>467410.26299999998</v>
      </c>
      <c r="AQ33" s="105">
        <v>475133.36499999999</v>
      </c>
      <c r="AR33" s="105">
        <v>481838.98599999998</v>
      </c>
      <c r="AS33" s="105">
        <v>484085.82199999999</v>
      </c>
      <c r="AT33" s="105">
        <v>486233.92700000003</v>
      </c>
      <c r="AU33" s="105">
        <v>488288.64600000001</v>
      </c>
      <c r="AV33" s="105">
        <v>490257.25599999999</v>
      </c>
      <c r="AW33" s="105">
        <v>492139.43300000002</v>
      </c>
      <c r="AX33" s="105">
        <v>493946.49800000002</v>
      </c>
    </row>
    <row r="34" spans="2:50">
      <c r="D34" s="38" t="s">
        <v>661</v>
      </c>
      <c r="E34" t="s">
        <v>653</v>
      </c>
      <c r="G34" s="39"/>
      <c r="O34" s="105">
        <v>296919.44400000002</v>
      </c>
      <c r="P34" s="105">
        <v>301415.73200000002</v>
      </c>
      <c r="Q34" s="105">
        <v>304890.54499999998</v>
      </c>
      <c r="R34" s="105">
        <v>308275.18800000002</v>
      </c>
      <c r="S34" s="105">
        <v>311621.18</v>
      </c>
      <c r="T34" s="105">
        <v>314900.23</v>
      </c>
      <c r="U34" s="105">
        <v>318052.72600000002</v>
      </c>
      <c r="V34" s="105">
        <v>321085.91899999999</v>
      </c>
      <c r="W34" s="105">
        <v>324098.07400000002</v>
      </c>
      <c r="X34" s="105">
        <v>327072.20500000002</v>
      </c>
      <c r="Y34" s="105">
        <v>330039.47399999999</v>
      </c>
      <c r="Z34" s="105">
        <v>332940.663</v>
      </c>
      <c r="AA34" s="105">
        <v>335609.36099999998</v>
      </c>
      <c r="AB34" s="105">
        <v>338136.52600000001</v>
      </c>
      <c r="AC34" s="105">
        <v>340589.56099999999</v>
      </c>
      <c r="AD34" s="105">
        <v>342968.96299999999</v>
      </c>
      <c r="AE34" s="105">
        <v>344631.52500000002</v>
      </c>
      <c r="AF34" s="105">
        <v>346356.212</v>
      </c>
      <c r="AG34" s="105">
        <v>348031.484</v>
      </c>
      <c r="AH34" s="105">
        <v>349669.42099999997</v>
      </c>
      <c r="AI34" s="105">
        <v>351279.13299999997</v>
      </c>
      <c r="AJ34" s="105">
        <v>352871.84</v>
      </c>
      <c r="AK34" s="105">
        <v>354498.65100000001</v>
      </c>
      <c r="AL34" s="105">
        <v>356085.55</v>
      </c>
      <c r="AM34" s="105">
        <v>357624.48</v>
      </c>
      <c r="AN34" s="105">
        <v>359129.61099999998</v>
      </c>
      <c r="AO34" s="105">
        <v>360597.93300000002</v>
      </c>
      <c r="AP34" s="105">
        <v>362018.87900000002</v>
      </c>
      <c r="AQ34" s="105">
        <v>363309.34</v>
      </c>
      <c r="AR34" s="105">
        <v>364588.12199999997</v>
      </c>
      <c r="AS34" s="105">
        <v>366106.40700000001</v>
      </c>
      <c r="AT34" s="105">
        <v>367557.68900000001</v>
      </c>
      <c r="AU34" s="105">
        <v>368945.68300000002</v>
      </c>
      <c r="AV34" s="105">
        <v>370268.39199999999</v>
      </c>
      <c r="AW34" s="105">
        <v>371530.07299999997</v>
      </c>
      <c r="AX34" s="105">
        <v>372734.82799999998</v>
      </c>
    </row>
    <row r="35" spans="2:50">
      <c r="D35" s="38" t="s">
        <v>661</v>
      </c>
      <c r="E35" t="s">
        <v>654</v>
      </c>
      <c r="G35" s="39"/>
      <c r="O35" s="105">
        <v>194730</v>
      </c>
      <c r="P35" s="105">
        <v>196944.06099999999</v>
      </c>
      <c r="Q35" s="105">
        <v>197869.408</v>
      </c>
      <c r="R35" s="105">
        <v>198686.345</v>
      </c>
      <c r="S35" s="105">
        <v>199495.32</v>
      </c>
      <c r="T35" s="105">
        <v>200267.321</v>
      </c>
      <c r="U35" s="105">
        <v>201094.902</v>
      </c>
      <c r="V35" s="105">
        <v>201859.96900000001</v>
      </c>
      <c r="W35" s="105">
        <v>202613.99</v>
      </c>
      <c r="X35" s="105">
        <v>203359.34899999999</v>
      </c>
      <c r="Y35" s="105">
        <v>204091.40700000001</v>
      </c>
      <c r="Z35" s="105">
        <v>205051.82399999999</v>
      </c>
      <c r="AA35" s="105">
        <v>205894.36900000001</v>
      </c>
      <c r="AB35" s="105">
        <v>206652.00399999999</v>
      </c>
      <c r="AC35" s="105">
        <v>207377.54800000001</v>
      </c>
      <c r="AD35" s="105">
        <v>208047.97099999999</v>
      </c>
      <c r="AE35" s="105">
        <v>208743.21400000001</v>
      </c>
      <c r="AF35" s="105">
        <v>209482.13699999999</v>
      </c>
      <c r="AG35" s="105">
        <v>210186.788</v>
      </c>
      <c r="AH35" s="105">
        <v>210865.00700000001</v>
      </c>
      <c r="AI35" s="105">
        <v>211516.728</v>
      </c>
      <c r="AJ35" s="105">
        <v>212162.37700000001</v>
      </c>
      <c r="AK35" s="105">
        <v>212825.32800000001</v>
      </c>
      <c r="AL35" s="105">
        <v>213462.785</v>
      </c>
      <c r="AM35" s="105">
        <v>214073.30900000001</v>
      </c>
      <c r="AN35" s="105">
        <v>214665.405</v>
      </c>
      <c r="AO35" s="105">
        <v>215239.04699999999</v>
      </c>
      <c r="AP35" s="105">
        <v>216032.86900000001</v>
      </c>
      <c r="AQ35" s="105">
        <v>216754.86300000001</v>
      </c>
      <c r="AR35" s="105">
        <v>217468.51500000001</v>
      </c>
      <c r="AS35" s="105">
        <v>218307.5</v>
      </c>
      <c r="AT35" s="105">
        <v>219116.179</v>
      </c>
      <c r="AU35" s="105">
        <v>219887.22399999999</v>
      </c>
      <c r="AV35" s="105">
        <v>220618.234</v>
      </c>
      <c r="AW35" s="105">
        <v>221311.791</v>
      </c>
      <c r="AX35" s="105">
        <v>221969.465</v>
      </c>
    </row>
    <row r="36" spans="2:50">
      <c r="D36" s="38" t="s">
        <v>660</v>
      </c>
      <c r="E36" t="s">
        <v>655</v>
      </c>
      <c r="G36" s="39"/>
      <c r="O36" s="105">
        <v>309544.516</v>
      </c>
      <c r="P36" s="105">
        <v>313424.92599999998</v>
      </c>
      <c r="Q36" s="105">
        <v>319236.19900000002</v>
      </c>
      <c r="R36" s="105">
        <v>324962.49599999998</v>
      </c>
      <c r="S36" s="105">
        <v>330359.24900000001</v>
      </c>
      <c r="T36" s="105">
        <v>335604.61200000002</v>
      </c>
      <c r="U36" s="105">
        <v>339402.49699999997</v>
      </c>
      <c r="V36" s="105">
        <v>343049.62400000001</v>
      </c>
      <c r="W36" s="105">
        <v>346634.10700000002</v>
      </c>
      <c r="X36" s="105">
        <v>350157.96</v>
      </c>
      <c r="Y36" s="105">
        <v>353558.93099999998</v>
      </c>
      <c r="Z36" s="105">
        <v>356866.93699999998</v>
      </c>
      <c r="AA36" s="105">
        <v>360613.36800000002</v>
      </c>
      <c r="AB36" s="105">
        <v>364562.79700000002</v>
      </c>
      <c r="AC36" s="105">
        <v>368629.96799999999</v>
      </c>
      <c r="AD36" s="105">
        <v>372708.12900000002</v>
      </c>
      <c r="AE36" s="105">
        <v>376903.53</v>
      </c>
      <c r="AF36" s="105">
        <v>381232.49200000003</v>
      </c>
      <c r="AG36" s="105">
        <v>385629.11</v>
      </c>
      <c r="AH36" s="105">
        <v>390054.06099999999</v>
      </c>
      <c r="AI36" s="105">
        <v>394463.96500000003</v>
      </c>
      <c r="AJ36" s="105">
        <v>397849.52600000001</v>
      </c>
      <c r="AK36" s="105">
        <v>400420.57900000003</v>
      </c>
      <c r="AL36" s="105">
        <v>402944.82299999997</v>
      </c>
      <c r="AM36" s="105">
        <v>405399.72600000002</v>
      </c>
      <c r="AN36" s="105">
        <v>407815.57</v>
      </c>
      <c r="AO36" s="105">
        <v>410190.39600000001</v>
      </c>
      <c r="AP36" s="105">
        <v>412001.64899999998</v>
      </c>
      <c r="AQ36" s="105">
        <v>413646.55300000001</v>
      </c>
      <c r="AR36" s="105">
        <v>415280.11599999998</v>
      </c>
      <c r="AS36" s="105">
        <v>417228.30099999998</v>
      </c>
      <c r="AT36" s="105">
        <v>419090.93099999998</v>
      </c>
      <c r="AU36" s="105">
        <v>420870.05800000002</v>
      </c>
      <c r="AV36" s="105">
        <v>422569.49099999998</v>
      </c>
      <c r="AW36" s="105">
        <v>424186.88299999997</v>
      </c>
      <c r="AX36" s="105">
        <v>425735.033</v>
      </c>
    </row>
    <row r="37" spans="2:50">
      <c r="D37" s="38" t="s">
        <v>661</v>
      </c>
      <c r="E37" t="s">
        <v>656</v>
      </c>
      <c r="G37" s="39"/>
      <c r="O37" s="105">
        <v>200537.40299999999</v>
      </c>
      <c r="P37" s="105">
        <v>202838.022</v>
      </c>
      <c r="Q37" s="105">
        <v>203852.33199999999</v>
      </c>
      <c r="R37" s="105">
        <v>204792.74400000001</v>
      </c>
      <c r="S37" s="105">
        <v>205702.84899999999</v>
      </c>
      <c r="T37" s="105">
        <v>206580.66399999999</v>
      </c>
      <c r="U37" s="105">
        <v>207573.133</v>
      </c>
      <c r="V37" s="105">
        <v>208505.68299999999</v>
      </c>
      <c r="W37" s="105">
        <v>209418.13699999999</v>
      </c>
      <c r="X37" s="105">
        <v>210312.016</v>
      </c>
      <c r="Y37" s="105">
        <v>211199.731</v>
      </c>
      <c r="Z37" s="105">
        <v>212266.26</v>
      </c>
      <c r="AA37" s="105">
        <v>213209.995</v>
      </c>
      <c r="AB37" s="105">
        <v>214062.39199999999</v>
      </c>
      <c r="AC37" s="105">
        <v>214873.245</v>
      </c>
      <c r="AD37" s="105">
        <v>215635.427</v>
      </c>
      <c r="AE37" s="105">
        <v>216372.64300000001</v>
      </c>
      <c r="AF37" s="105">
        <v>217152.19500000001</v>
      </c>
      <c r="AG37" s="105">
        <v>217893.924</v>
      </c>
      <c r="AH37" s="105">
        <v>218612.34599999999</v>
      </c>
      <c r="AI37" s="105">
        <v>219304.2</v>
      </c>
      <c r="AJ37" s="105">
        <v>219989.49600000001</v>
      </c>
      <c r="AK37" s="105">
        <v>220689.78400000001</v>
      </c>
      <c r="AL37" s="105">
        <v>221370.133</v>
      </c>
      <c r="AM37" s="105">
        <v>222024.09700000001</v>
      </c>
      <c r="AN37" s="105">
        <v>222659.27900000001</v>
      </c>
      <c r="AO37" s="105">
        <v>223275.897</v>
      </c>
      <c r="AP37" s="105">
        <v>224108.53</v>
      </c>
      <c r="AQ37" s="105">
        <v>224870.75599999999</v>
      </c>
      <c r="AR37" s="105">
        <v>225624.56099999999</v>
      </c>
      <c r="AS37" s="105">
        <v>226517.95699999999</v>
      </c>
      <c r="AT37" s="105">
        <v>227373.47700000001</v>
      </c>
      <c r="AU37" s="105">
        <v>228190.64600000001</v>
      </c>
      <c r="AV37" s="105">
        <v>228970.946</v>
      </c>
      <c r="AW37" s="105">
        <v>229709.73499999999</v>
      </c>
      <c r="AX37" s="105">
        <v>230413.09599999999</v>
      </c>
    </row>
    <row r="38" spans="2:50">
      <c r="D38" s="38" t="s">
        <v>660</v>
      </c>
      <c r="E38" t="s">
        <v>657</v>
      </c>
      <c r="G38" s="39"/>
      <c r="O38" s="105">
        <v>295908.52600000001</v>
      </c>
      <c r="P38" s="105">
        <v>300978.99400000001</v>
      </c>
      <c r="Q38" s="105">
        <v>310511.97700000001</v>
      </c>
      <c r="R38" s="105">
        <v>319985.93699999998</v>
      </c>
      <c r="S38" s="105">
        <v>329001.15399999998</v>
      </c>
      <c r="T38" s="105">
        <v>337747.47700000001</v>
      </c>
      <c r="U38" s="105">
        <v>344263.01500000001</v>
      </c>
      <c r="V38" s="105">
        <v>350427.40899999999</v>
      </c>
      <c r="W38" s="105">
        <v>356521.43300000002</v>
      </c>
      <c r="X38" s="105">
        <v>362511.07</v>
      </c>
      <c r="Y38" s="105">
        <v>368445.62300000002</v>
      </c>
      <c r="Z38" s="105">
        <v>370459.946</v>
      </c>
      <c r="AA38" s="105">
        <v>373188.71899999998</v>
      </c>
      <c r="AB38" s="105">
        <v>376338.446</v>
      </c>
      <c r="AC38" s="105">
        <v>379768.58399999997</v>
      </c>
      <c r="AD38" s="105">
        <v>383352.75300000003</v>
      </c>
      <c r="AE38" s="105">
        <v>387165.29300000001</v>
      </c>
      <c r="AF38" s="105">
        <v>391197.15700000001</v>
      </c>
      <c r="AG38" s="105">
        <v>395361.745</v>
      </c>
      <c r="AH38" s="105">
        <v>399606.18699999998</v>
      </c>
      <c r="AI38" s="105">
        <v>403881.15600000002</v>
      </c>
      <c r="AJ38" s="105">
        <v>408160.07500000001</v>
      </c>
      <c r="AK38" s="105">
        <v>412471.451</v>
      </c>
      <c r="AL38" s="105">
        <v>416735.73</v>
      </c>
      <c r="AM38" s="105">
        <v>420856.02399999998</v>
      </c>
      <c r="AN38" s="105">
        <v>424714.70199999999</v>
      </c>
      <c r="AO38" s="105">
        <v>428353.114</v>
      </c>
      <c r="AP38" s="105">
        <v>433796.147</v>
      </c>
      <c r="AQ38" s="105">
        <v>440747.82900000003</v>
      </c>
      <c r="AR38" s="105">
        <v>447089.30599999998</v>
      </c>
      <c r="AS38" s="105">
        <v>449275.82799999998</v>
      </c>
      <c r="AT38" s="105">
        <v>451358.815</v>
      </c>
      <c r="AU38" s="105">
        <v>453348.58199999999</v>
      </c>
      <c r="AV38" s="105">
        <v>455247.00199999998</v>
      </c>
      <c r="AW38" s="105">
        <v>457058.10700000002</v>
      </c>
      <c r="AX38" s="105">
        <v>458790.81099999999</v>
      </c>
    </row>
    <row r="39" spans="2:50">
      <c r="D39" s="38" t="s">
        <v>661</v>
      </c>
      <c r="E39" t="s">
        <v>658</v>
      </c>
      <c r="G39" s="39"/>
      <c r="O39" s="105">
        <v>271825.01799999998</v>
      </c>
      <c r="P39" s="105">
        <v>275252.283</v>
      </c>
      <c r="Q39" s="105">
        <v>277542.15500000003</v>
      </c>
      <c r="R39" s="105">
        <v>279754.429</v>
      </c>
      <c r="S39" s="105">
        <v>281923.81300000002</v>
      </c>
      <c r="T39" s="105">
        <v>284030.413</v>
      </c>
      <c r="U39" s="105">
        <v>286336.43800000002</v>
      </c>
      <c r="V39" s="105">
        <v>288528.51500000001</v>
      </c>
      <c r="W39" s="105">
        <v>290692.59100000001</v>
      </c>
      <c r="X39" s="105">
        <v>292822.30499999999</v>
      </c>
      <c r="Y39" s="105">
        <v>294941.45600000001</v>
      </c>
      <c r="Z39" s="105">
        <v>297443.69799999997</v>
      </c>
      <c r="AA39" s="105">
        <v>299724.24300000002</v>
      </c>
      <c r="AB39" s="105">
        <v>301864.41100000002</v>
      </c>
      <c r="AC39" s="105">
        <v>303937.24</v>
      </c>
      <c r="AD39" s="105">
        <v>305937.84700000001</v>
      </c>
      <c r="AE39" s="105">
        <v>307850.96000000002</v>
      </c>
      <c r="AF39" s="105">
        <v>309810.13299999997</v>
      </c>
      <c r="AG39" s="105">
        <v>311730.55699999997</v>
      </c>
      <c r="AH39" s="105">
        <v>313623.755</v>
      </c>
      <c r="AI39" s="105">
        <v>315483.071</v>
      </c>
      <c r="AJ39" s="105">
        <v>317332.038</v>
      </c>
      <c r="AK39" s="105">
        <v>319218.22499999998</v>
      </c>
      <c r="AL39" s="105">
        <v>321066.61800000002</v>
      </c>
      <c r="AM39" s="105">
        <v>322869.47399999999</v>
      </c>
      <c r="AN39" s="105">
        <v>324638.33899999998</v>
      </c>
      <c r="AO39" s="105">
        <v>326374.277</v>
      </c>
      <c r="AP39" s="105">
        <v>327720.82900000003</v>
      </c>
      <c r="AQ39" s="105">
        <v>328945.67700000003</v>
      </c>
      <c r="AR39" s="105">
        <v>330167.30699999997</v>
      </c>
      <c r="AS39" s="105">
        <v>331615.75900000002</v>
      </c>
      <c r="AT39" s="105">
        <v>333005.32799999998</v>
      </c>
      <c r="AU39" s="105">
        <v>334337.04800000001</v>
      </c>
      <c r="AV39" s="105">
        <v>335609.848</v>
      </c>
      <c r="AW39" s="105">
        <v>336827.65100000001</v>
      </c>
      <c r="AX39" s="105">
        <v>337992.38799999998</v>
      </c>
    </row>
    <row r="40" spans="2:50">
      <c r="D40" s="38" t="s">
        <v>661</v>
      </c>
      <c r="E40" t="s">
        <v>659</v>
      </c>
      <c r="G40" s="39"/>
      <c r="O40" s="105">
        <v>315134.04800000001</v>
      </c>
      <c r="P40" s="105">
        <v>318247.174</v>
      </c>
      <c r="Q40" s="105">
        <v>322389.96299999999</v>
      </c>
      <c r="R40" s="105">
        <v>326410.80300000001</v>
      </c>
      <c r="S40" s="105">
        <v>330189.61599999998</v>
      </c>
      <c r="T40" s="105">
        <v>333862.36599999998</v>
      </c>
      <c r="U40" s="105">
        <v>337163.41600000003</v>
      </c>
      <c r="V40" s="105">
        <v>340273.71100000001</v>
      </c>
      <c r="W40" s="105">
        <v>343263.64799999999</v>
      </c>
      <c r="X40" s="105">
        <v>346115.78600000002</v>
      </c>
      <c r="Y40" s="105">
        <v>348939.924</v>
      </c>
      <c r="Z40" s="105">
        <v>351876.20699999999</v>
      </c>
      <c r="AA40" s="105">
        <v>354806.18300000002</v>
      </c>
      <c r="AB40" s="105">
        <v>357921.11300000001</v>
      </c>
      <c r="AC40" s="105">
        <v>361151.10700000002</v>
      </c>
      <c r="AD40" s="105">
        <v>364442.07699999999</v>
      </c>
      <c r="AE40" s="105">
        <v>367892.03100000002</v>
      </c>
      <c r="AF40" s="105">
        <v>371534.08600000001</v>
      </c>
      <c r="AG40" s="105">
        <v>375316.62199999997</v>
      </c>
      <c r="AH40" s="105">
        <v>379198.34</v>
      </c>
      <c r="AI40" s="105">
        <v>383114.636</v>
      </c>
      <c r="AJ40" s="105">
        <v>387021.58500000002</v>
      </c>
      <c r="AK40" s="105">
        <v>389310.70799999998</v>
      </c>
      <c r="AL40" s="105">
        <v>391413.05499999999</v>
      </c>
      <c r="AM40" s="105">
        <v>393446.84</v>
      </c>
      <c r="AN40" s="105">
        <v>395436.641</v>
      </c>
      <c r="AO40" s="105">
        <v>397391.61900000001</v>
      </c>
      <c r="AP40" s="105">
        <v>399200.826</v>
      </c>
      <c r="AQ40" s="105">
        <v>400843.84100000001</v>
      </c>
      <c r="AR40" s="105">
        <v>402479.56900000002</v>
      </c>
      <c r="AS40" s="105">
        <v>404433.36900000001</v>
      </c>
      <c r="AT40" s="105">
        <v>406301.08600000001</v>
      </c>
      <c r="AU40" s="105">
        <v>408088.86700000003</v>
      </c>
      <c r="AV40" s="105">
        <v>409796.84299999999</v>
      </c>
      <c r="AW40" s="105">
        <v>411426.826</v>
      </c>
      <c r="AX40" s="105">
        <v>412982.391</v>
      </c>
    </row>
    <row r="41" spans="2:50">
      <c r="D41" s="38" t="s">
        <v>660</v>
      </c>
      <c r="E41" t="s">
        <v>633</v>
      </c>
      <c r="G41" s="39"/>
      <c r="O41" s="105">
        <v>242299</v>
      </c>
      <c r="P41" s="105">
        <v>244639.13800000001</v>
      </c>
      <c r="Q41" s="105">
        <v>247044.36199999999</v>
      </c>
      <c r="R41" s="105">
        <v>249452.55300000001</v>
      </c>
      <c r="S41" s="105">
        <v>251820.66500000001</v>
      </c>
      <c r="T41" s="105">
        <v>254103.647</v>
      </c>
      <c r="U41" s="105">
        <v>256380.01500000001</v>
      </c>
      <c r="V41" s="105">
        <v>258567.12700000001</v>
      </c>
      <c r="W41" s="105">
        <v>260667.481</v>
      </c>
      <c r="X41" s="105">
        <v>262648.51</v>
      </c>
      <c r="Y41" s="105">
        <v>264527.859</v>
      </c>
      <c r="Z41" s="105">
        <v>266337.24800000002</v>
      </c>
      <c r="AA41" s="105">
        <v>267870.67800000001</v>
      </c>
      <c r="AB41" s="105">
        <v>269270.59499999997</v>
      </c>
      <c r="AC41" s="105">
        <v>270609.58500000002</v>
      </c>
      <c r="AD41" s="105">
        <v>271885.43099999998</v>
      </c>
      <c r="AE41" s="105">
        <v>273567.42800000001</v>
      </c>
      <c r="AF41" s="105">
        <v>275283.875</v>
      </c>
      <c r="AG41" s="105">
        <v>276965.272</v>
      </c>
      <c r="AH41" s="105">
        <v>278619.3</v>
      </c>
      <c r="AI41" s="105">
        <v>280246.98200000002</v>
      </c>
      <c r="AJ41" s="105">
        <v>281865.47399999999</v>
      </c>
      <c r="AK41" s="105">
        <v>283514.89500000002</v>
      </c>
      <c r="AL41" s="105">
        <v>285129.44400000002</v>
      </c>
      <c r="AM41" s="105">
        <v>286698.40700000001</v>
      </c>
      <c r="AN41" s="105">
        <v>288240.16100000002</v>
      </c>
      <c r="AO41" s="105">
        <v>289752.18300000002</v>
      </c>
      <c r="AP41" s="105">
        <v>290968.82199999999</v>
      </c>
      <c r="AQ41" s="105">
        <v>292075.36599999998</v>
      </c>
      <c r="AR41" s="105">
        <v>293174.06900000002</v>
      </c>
      <c r="AS41" s="105">
        <v>294479.86800000002</v>
      </c>
      <c r="AT41" s="105">
        <v>295731.07299999997</v>
      </c>
      <c r="AU41" s="105">
        <v>296925.92700000003</v>
      </c>
      <c r="AV41" s="105">
        <v>298066.342</v>
      </c>
      <c r="AW41" s="105">
        <v>299152.39399999997</v>
      </c>
      <c r="AX41" s="105">
        <v>300189.99</v>
      </c>
    </row>
    <row r="42" spans="2:50">
      <c r="D42" s="38"/>
      <c r="E42" t="s">
        <v>660</v>
      </c>
      <c r="G42" s="39"/>
      <c r="O42" s="316">
        <f>SUMIF($D$9:$D$41,$E42,O$9:O$41)</f>
        <v>2828758.412</v>
      </c>
      <c r="P42" s="316">
        <f t="shared" ref="P42:AX43" si="1">SUMIF($D$9:$D$41,$E42,P$9:P$41)</f>
        <v>2859931.5879999995</v>
      </c>
      <c r="Q42" s="316">
        <f t="shared" si="1"/>
        <v>2902010.53</v>
      </c>
      <c r="R42" s="316">
        <f t="shared" si="1"/>
        <v>2943655.7769999998</v>
      </c>
      <c r="S42" s="316">
        <f t="shared" si="1"/>
        <v>2984127.301</v>
      </c>
      <c r="T42" s="316">
        <f t="shared" si="1"/>
        <v>3023725.6529999999</v>
      </c>
      <c r="U42" s="316">
        <f t="shared" si="1"/>
        <v>3058048.6980000003</v>
      </c>
      <c r="V42" s="316">
        <f t="shared" si="1"/>
        <v>3091107.2369999993</v>
      </c>
      <c r="W42" s="316">
        <f t="shared" si="1"/>
        <v>3123050.1030000006</v>
      </c>
      <c r="X42" s="316">
        <f t="shared" si="1"/>
        <v>3153942.6859999998</v>
      </c>
      <c r="Y42" s="316">
        <f t="shared" si="1"/>
        <v>3183544.645</v>
      </c>
      <c r="Z42" s="316">
        <f t="shared" si="1"/>
        <v>3210831.3130000001</v>
      </c>
      <c r="AA42" s="316">
        <f t="shared" si="1"/>
        <v>3239130.517</v>
      </c>
      <c r="AB42" s="316">
        <f t="shared" si="1"/>
        <v>3268145.9080000008</v>
      </c>
      <c r="AC42" s="316">
        <f t="shared" si="1"/>
        <v>3297770.5449999999</v>
      </c>
      <c r="AD42" s="316">
        <f t="shared" si="1"/>
        <v>3327317.426</v>
      </c>
      <c r="AE42" s="316">
        <f t="shared" si="1"/>
        <v>3356342.0010000002</v>
      </c>
      <c r="AF42" s="316">
        <f t="shared" si="1"/>
        <v>3385786.8160000001</v>
      </c>
      <c r="AG42" s="316">
        <f t="shared" si="1"/>
        <v>3415363.3669999996</v>
      </c>
      <c r="AH42" s="316">
        <f t="shared" si="1"/>
        <v>3444439.0769999996</v>
      </c>
      <c r="AI42" s="316">
        <f t="shared" si="1"/>
        <v>3472892.8869999996</v>
      </c>
      <c r="AJ42" s="316">
        <f t="shared" si="1"/>
        <v>3500216.71</v>
      </c>
      <c r="AK42" s="316">
        <f t="shared" si="1"/>
        <v>3527028.4519999996</v>
      </c>
      <c r="AL42" s="316">
        <f t="shared" si="1"/>
        <v>3553417.807</v>
      </c>
      <c r="AM42" s="316">
        <f t="shared" si="1"/>
        <v>3579068.1550000007</v>
      </c>
      <c r="AN42" s="316">
        <f t="shared" si="1"/>
        <v>3601970.1269999994</v>
      </c>
      <c r="AO42" s="316">
        <f t="shared" si="1"/>
        <v>3624058.0140000004</v>
      </c>
      <c r="AP42" s="316">
        <f t="shared" si="1"/>
        <v>3644141.372</v>
      </c>
      <c r="AQ42" s="316">
        <f t="shared" si="1"/>
        <v>3663661.9519999996</v>
      </c>
      <c r="AR42" s="316">
        <f t="shared" si="1"/>
        <v>3682493.963</v>
      </c>
      <c r="AS42" s="316">
        <f t="shared" si="1"/>
        <v>3699540.51</v>
      </c>
      <c r="AT42" s="316">
        <f t="shared" si="1"/>
        <v>3715867.3170000003</v>
      </c>
      <c r="AU42" s="316">
        <f t="shared" si="1"/>
        <v>3731513.1020000004</v>
      </c>
      <c r="AV42" s="316">
        <f t="shared" si="1"/>
        <v>3746474.9269999997</v>
      </c>
      <c r="AW42" s="316">
        <f t="shared" si="1"/>
        <v>3760759.3719999995</v>
      </c>
      <c r="AX42" s="316">
        <f t="shared" si="1"/>
        <v>3774348.7809999995</v>
      </c>
    </row>
    <row r="43" spans="2:50">
      <c r="E43" t="s">
        <v>661</v>
      </c>
      <c r="G43" s="39"/>
      <c r="O43" s="316">
        <f>SUMIF($D$9:$D$41,$E43,O$9:O$41)</f>
        <v>5856419.5850000009</v>
      </c>
      <c r="P43" s="316">
        <f t="shared" si="1"/>
        <v>5925614.9359999988</v>
      </c>
      <c r="Q43" s="316">
        <f t="shared" si="1"/>
        <v>5981836.7780000009</v>
      </c>
      <c r="R43" s="316">
        <f t="shared" si="1"/>
        <v>6036461.1810000008</v>
      </c>
      <c r="S43" s="316">
        <f t="shared" si="1"/>
        <v>6090032.4770000009</v>
      </c>
      <c r="T43" s="316">
        <f t="shared" si="1"/>
        <v>6142230.8169999998</v>
      </c>
      <c r="U43" s="316">
        <f t="shared" si="1"/>
        <v>6197561.2649999987</v>
      </c>
      <c r="V43" s="316">
        <f t="shared" si="1"/>
        <v>6251744.8949999996</v>
      </c>
      <c r="W43" s="316">
        <f t="shared" si="1"/>
        <v>6304738.1299999999</v>
      </c>
      <c r="X43" s="316">
        <f t="shared" si="1"/>
        <v>6356275.9709999999</v>
      </c>
      <c r="Y43" s="316">
        <f t="shared" si="1"/>
        <v>6406605.2329999981</v>
      </c>
      <c r="Z43" s="316">
        <f t="shared" si="1"/>
        <v>6456999.2319999998</v>
      </c>
      <c r="AA43" s="316">
        <f t="shared" si="1"/>
        <v>6504386.9910000004</v>
      </c>
      <c r="AB43" s="316">
        <f t="shared" si="1"/>
        <v>6549431.862999999</v>
      </c>
      <c r="AC43" s="316">
        <f t="shared" si="1"/>
        <v>6592378.3019999992</v>
      </c>
      <c r="AD43" s="316">
        <f t="shared" si="1"/>
        <v>6634060.8849999988</v>
      </c>
      <c r="AE43" s="316">
        <f t="shared" si="1"/>
        <v>6675056.8260000004</v>
      </c>
      <c r="AF43" s="316">
        <f t="shared" si="1"/>
        <v>6714744.347000001</v>
      </c>
      <c r="AG43" s="316">
        <f t="shared" si="1"/>
        <v>6753513.652999999</v>
      </c>
      <c r="AH43" s="316">
        <f t="shared" si="1"/>
        <v>6791755.7889999999</v>
      </c>
      <c r="AI43" s="316">
        <f t="shared" si="1"/>
        <v>6829428.4020000007</v>
      </c>
      <c r="AJ43" s="316">
        <f t="shared" si="1"/>
        <v>6866817.6920000007</v>
      </c>
      <c r="AK43" s="316">
        <f t="shared" si="1"/>
        <v>6903173.0589999985</v>
      </c>
      <c r="AL43" s="316">
        <f t="shared" si="1"/>
        <v>6938656.0760000004</v>
      </c>
      <c r="AM43" s="316">
        <f t="shared" si="1"/>
        <v>6973036.8149999995</v>
      </c>
      <c r="AN43" s="316">
        <f t="shared" si="1"/>
        <v>7006456.7029999988</v>
      </c>
      <c r="AO43" s="316">
        <f t="shared" si="1"/>
        <v>7038942.4569999995</v>
      </c>
      <c r="AP43" s="316">
        <f t="shared" si="1"/>
        <v>7071664.966</v>
      </c>
      <c r="AQ43" s="316">
        <f t="shared" si="1"/>
        <v>7103163.5440000007</v>
      </c>
      <c r="AR43" s="316">
        <f t="shared" si="1"/>
        <v>7133466.3979999982</v>
      </c>
      <c r="AS43" s="316">
        <f t="shared" si="1"/>
        <v>7163632.2769999998</v>
      </c>
      <c r="AT43" s="316">
        <f t="shared" si="1"/>
        <v>7192556.6020000009</v>
      </c>
      <c r="AU43" s="316">
        <f t="shared" si="1"/>
        <v>7220186.0899999999</v>
      </c>
      <c r="AV43" s="316">
        <f t="shared" si="1"/>
        <v>7246534.5640000002</v>
      </c>
      <c r="AW43" s="316">
        <f t="shared" si="1"/>
        <v>7271625.5010000011</v>
      </c>
      <c r="AX43" s="316">
        <f t="shared" si="1"/>
        <v>7295539.8469999991</v>
      </c>
    </row>
    <row r="44" spans="2:50">
      <c r="E44" t="s">
        <v>122</v>
      </c>
      <c r="G44" s="39"/>
      <c r="O44" s="105">
        <v>8685177.9969999995</v>
      </c>
      <c r="P44" s="105">
        <v>8785546.523</v>
      </c>
      <c r="Q44" s="105">
        <v>8883847.3059999999</v>
      </c>
      <c r="R44" s="105">
        <v>8980116.9590000007</v>
      </c>
      <c r="S44" s="105">
        <v>9074159.7789999992</v>
      </c>
      <c r="T44" s="105">
        <v>9165956.4710000008</v>
      </c>
      <c r="U44" s="105">
        <v>9255609.9639999997</v>
      </c>
      <c r="V44" s="105">
        <v>9342852.1329999994</v>
      </c>
      <c r="W44" s="105">
        <v>9427788.2310000006</v>
      </c>
      <c r="X44" s="105">
        <v>9510218.6559999995</v>
      </c>
      <c r="Y44" s="105">
        <v>9590149.8790000007</v>
      </c>
      <c r="Z44" s="105">
        <v>9667830.5480000004</v>
      </c>
      <c r="AA44" s="105">
        <v>9743517.5089999996</v>
      </c>
      <c r="AB44" s="105">
        <v>9817577.7689999994</v>
      </c>
      <c r="AC44" s="105">
        <v>9890148.8479999993</v>
      </c>
      <c r="AD44" s="105">
        <v>9961378.3110000007</v>
      </c>
      <c r="AE44" s="105">
        <v>10031398.823999999</v>
      </c>
      <c r="AF44" s="105">
        <v>10100531.161</v>
      </c>
      <c r="AG44" s="105">
        <v>10168877.02</v>
      </c>
      <c r="AH44" s="105">
        <v>10236194.868000001</v>
      </c>
      <c r="AI44" s="105">
        <v>10302321.287</v>
      </c>
      <c r="AJ44" s="105">
        <v>10367034.401000001</v>
      </c>
      <c r="AK44" s="105">
        <v>10430201.513</v>
      </c>
      <c r="AL44" s="105">
        <v>10492073.880000001</v>
      </c>
      <c r="AM44" s="105">
        <v>10552104.970000001</v>
      </c>
      <c r="AN44" s="105">
        <v>10608426.83</v>
      </c>
      <c r="AO44" s="105">
        <v>10663000.471999999</v>
      </c>
      <c r="AP44" s="105">
        <v>10715806.338</v>
      </c>
      <c r="AQ44" s="105">
        <v>10766825.492000001</v>
      </c>
      <c r="AR44" s="105">
        <v>10815960.361</v>
      </c>
      <c r="AS44" s="105">
        <v>10863172.786</v>
      </c>
      <c r="AT44" s="105">
        <v>10908423.92</v>
      </c>
      <c r="AU44" s="105">
        <v>10951699.191</v>
      </c>
      <c r="AV44" s="105">
        <v>10993009.489</v>
      </c>
      <c r="AW44" s="105">
        <v>11032384.874</v>
      </c>
      <c r="AX44" s="105">
        <v>11069888.627</v>
      </c>
    </row>
    <row r="46" spans="2:50" s="67" customFormat="1">
      <c r="B46" s="67" t="s">
        <v>1114</v>
      </c>
      <c r="O46" s="68"/>
      <c r="P46" s="68"/>
      <c r="Q46" s="68"/>
      <c r="R46" s="68"/>
      <c r="S46" s="68"/>
      <c r="T46" s="68"/>
      <c r="U46" s="68"/>
      <c r="V46" s="68"/>
      <c r="W46" s="68"/>
      <c r="X46" s="68"/>
      <c r="Y46" s="68"/>
      <c r="Z46" s="68"/>
      <c r="AA46" s="68"/>
      <c r="AB46" s="68"/>
      <c r="AC46" s="68"/>
      <c r="AD46" s="68"/>
      <c r="AE46" s="68"/>
      <c r="AF46" s="68"/>
      <c r="AG46" s="68"/>
      <c r="AH46" s="68"/>
      <c r="AI46" s="68"/>
      <c r="AJ46" s="68"/>
      <c r="AK46" s="68"/>
      <c r="AL46" s="68"/>
      <c r="AM46" s="68"/>
      <c r="AN46" s="68"/>
      <c r="AO46" s="68"/>
      <c r="AP46" s="68"/>
      <c r="AQ46" s="68"/>
      <c r="AR46" s="68"/>
      <c r="AS46" s="68"/>
      <c r="AT46" s="68"/>
      <c r="AU46" s="68"/>
      <c r="AV46" s="68"/>
      <c r="AW46" s="68"/>
      <c r="AX46" s="68"/>
    </row>
    <row r="48" spans="2:50">
      <c r="E48" s="35" t="s">
        <v>122</v>
      </c>
      <c r="Q48" s="35" t="s">
        <v>1115</v>
      </c>
      <c r="R48" t="str">
        <f>Dashboard!$D$5</f>
        <v>Inner London</v>
      </c>
    </row>
    <row r="49" spans="4:25">
      <c r="G49" t="s">
        <v>1116</v>
      </c>
      <c r="I49" t="s">
        <v>1117</v>
      </c>
      <c r="K49" s="60" t="s">
        <v>179</v>
      </c>
      <c r="L49" s="60"/>
      <c r="M49" s="60" t="s">
        <v>180</v>
      </c>
      <c r="P49" t="s">
        <v>1118</v>
      </c>
      <c r="Q49">
        <v>2005</v>
      </c>
      <c r="S49" t="s">
        <v>1116</v>
      </c>
      <c r="T49" t="s">
        <v>1119</v>
      </c>
      <c r="U49" t="s">
        <v>1120</v>
      </c>
      <c r="W49" s="60" t="s">
        <v>179</v>
      </c>
      <c r="X49" s="60"/>
      <c r="Y49" s="60" t="s">
        <v>180</v>
      </c>
    </row>
    <row r="50" spans="4:25">
      <c r="E50" t="s">
        <v>142</v>
      </c>
      <c r="G50" s="152">
        <v>45.05</v>
      </c>
      <c r="I50" t="str">
        <f>IF($E$6=$E$48,G50,"n/a")</f>
        <v>n/a</v>
      </c>
      <c r="K50" s="44" t="s">
        <v>1121</v>
      </c>
      <c r="M50" s="44" t="s">
        <v>1122</v>
      </c>
      <c r="P50" s="202">
        <v>0.96</v>
      </c>
      <c r="Q50" t="s">
        <v>142</v>
      </c>
      <c r="S50" s="316">
        <f>INDEX($AA$98:$AA$493,MATCH($R$48,$G$98:$G$493,0),1)</f>
        <v>18963.859827538843</v>
      </c>
      <c r="T50" s="563">
        <f>S50/INDEX($AA$98:$AA$493,MATCH("Greater London",$G$98:$G$493,0)+10,1)</f>
        <v>0.56903127237252416</v>
      </c>
      <c r="U50" s="202">
        <f>S50*$P$50</f>
        <v>18205.30543443729</v>
      </c>
      <c r="W50" s="44" t="s">
        <v>1123</v>
      </c>
      <c r="Y50" s="44"/>
    </row>
    <row r="51" spans="4:25">
      <c r="E51" t="s">
        <v>133</v>
      </c>
      <c r="G51" s="152">
        <v>15.84</v>
      </c>
      <c r="I51" t="str">
        <f>IF($E$6=$E$48,G51,"n/a")</f>
        <v>n/a</v>
      </c>
      <c r="K51" s="44" t="s">
        <v>1124</v>
      </c>
      <c r="M51" s="44" t="s">
        <v>1122</v>
      </c>
      <c r="Q51" t="s">
        <v>133</v>
      </c>
      <c r="S51" s="316">
        <f>INDEX($S$98:$S$493,MATCH($R$48,$G$98:$G$493,0),1)</f>
        <v>5130.089450702967</v>
      </c>
      <c r="T51" s="563">
        <f>S51/INDEX($S$98:$S$493,MATCH("Greater London",$G$98:$G$493,0)+10,1)</f>
        <v>0.42374596643206841</v>
      </c>
      <c r="U51" s="202">
        <f>S51*$P$50</f>
        <v>4924.8858726748485</v>
      </c>
      <c r="W51" s="44" t="s">
        <v>1123</v>
      </c>
      <c r="Y51" s="44"/>
    </row>
    <row r="52" spans="4:25">
      <c r="E52" t="s">
        <v>134</v>
      </c>
      <c r="G52" s="152">
        <v>9.4742967447756588</v>
      </c>
      <c r="I52" t="str">
        <f>IF($E$6=$E$48,G52,"n/a")</f>
        <v>n/a</v>
      </c>
      <c r="K52" s="44" t="s">
        <v>1125</v>
      </c>
      <c r="M52" s="44" t="s">
        <v>1122</v>
      </c>
      <c r="Q52" t="s">
        <v>134</v>
      </c>
      <c r="S52" s="316">
        <f>INDEX($O$98:$O$493,MATCH($R$48,$G$98:$G$493,0),1)</f>
        <v>10896.703829643791</v>
      </c>
      <c r="T52" s="563">
        <f>S52/INDEX($O$98:$O$493,MATCH("Greater London",$G$98:$G$493,0)+10,1)</f>
        <v>0.824533051814617</v>
      </c>
      <c r="U52" s="202">
        <f>S52*$P$50</f>
        <v>10460.835676458039</v>
      </c>
      <c r="W52" s="44" t="s">
        <v>1123</v>
      </c>
      <c r="Y52" s="44"/>
    </row>
    <row r="53" spans="4:25">
      <c r="E53" t="s">
        <v>137</v>
      </c>
      <c r="G53" s="152">
        <v>19.739999999999998</v>
      </c>
      <c r="I53" t="str">
        <f>IF($E$6=$E$48,G53,"n/a")</f>
        <v>n/a</v>
      </c>
      <c r="K53" s="44" t="s">
        <v>1126</v>
      </c>
      <c r="M53" s="44" t="s">
        <v>1122</v>
      </c>
      <c r="Q53" t="s">
        <v>137</v>
      </c>
      <c r="S53" s="316">
        <f>INDEX($Y$98:$Y$493,MATCH($R$48,$G$98:$G$493,0),1)</f>
        <v>2928.0147551626587</v>
      </c>
      <c r="T53" s="563">
        <f>S53/INDEX($Y$98:$Y$493,MATCH("Greater London",$G$98:$G$493,0)+10,1)</f>
        <v>0.36678911854665247</v>
      </c>
      <c r="U53" s="202">
        <f>S53*$P$50</f>
        <v>2810.8941649561521</v>
      </c>
      <c r="W53" s="44" t="s">
        <v>1123</v>
      </c>
      <c r="Y53" s="44"/>
    </row>
    <row r="56" spans="4:25" s="307" customFormat="1">
      <c r="E56" s="307" t="s">
        <v>1127</v>
      </c>
      <c r="I56" s="307" t="s">
        <v>1128</v>
      </c>
      <c r="M56" s="188" t="s">
        <v>1129</v>
      </c>
    </row>
    <row r="57" spans="4:25">
      <c r="E57" s="494" t="s">
        <v>885</v>
      </c>
      <c r="F57">
        <v>1990</v>
      </c>
      <c r="G57">
        <v>2000</v>
      </c>
      <c r="H57">
        <v>2001</v>
      </c>
      <c r="I57">
        <v>2002</v>
      </c>
      <c r="J57">
        <v>2003</v>
      </c>
      <c r="K57">
        <v>2004</v>
      </c>
      <c r="L57">
        <v>2005</v>
      </c>
      <c r="M57">
        <v>2006</v>
      </c>
      <c r="N57">
        <v>2007</v>
      </c>
      <c r="O57">
        <v>2008</v>
      </c>
      <c r="P57">
        <v>2009</v>
      </c>
      <c r="Q57">
        <v>2010</v>
      </c>
      <c r="R57">
        <v>2011</v>
      </c>
      <c r="S57">
        <v>2012</v>
      </c>
      <c r="T57">
        <v>2013</v>
      </c>
      <c r="U57">
        <v>2014</v>
      </c>
      <c r="V57">
        <v>2015</v>
      </c>
    </row>
    <row r="58" spans="4:25">
      <c r="D58" s="38" t="s">
        <v>660</v>
      </c>
      <c r="E58" t="s">
        <v>632</v>
      </c>
      <c r="F58" t="e">
        <v>#N/A</v>
      </c>
      <c r="L58">
        <v>1640.8799037556048</v>
      </c>
      <c r="M58">
        <v>1772.9873503151537</v>
      </c>
      <c r="N58">
        <v>1672.5621982259877</v>
      </c>
      <c r="O58">
        <v>1691.1768907956964</v>
      </c>
      <c r="P58">
        <v>1483.0090027219667</v>
      </c>
      <c r="Q58">
        <v>1636.9486789830244</v>
      </c>
      <c r="R58">
        <v>1394.9190934815747</v>
      </c>
      <c r="S58">
        <v>1539.2711715160424</v>
      </c>
      <c r="T58">
        <v>1419.190814796586</v>
      </c>
      <c r="U58">
        <v>1039.0300755383057</v>
      </c>
      <c r="V58">
        <v>860.08133334196327</v>
      </c>
    </row>
    <row r="59" spans="4:25">
      <c r="D59" s="38" t="s">
        <v>661</v>
      </c>
      <c r="E59" t="s">
        <v>626</v>
      </c>
      <c r="F59" t="e">
        <v>#N/A</v>
      </c>
      <c r="L59">
        <v>932.46657467057219</v>
      </c>
      <c r="M59">
        <v>937.73947689880549</v>
      </c>
      <c r="N59">
        <v>926.43705995515859</v>
      </c>
      <c r="O59">
        <v>904.49112881801568</v>
      </c>
      <c r="P59">
        <v>818.82893073129526</v>
      </c>
      <c r="Q59">
        <v>873.38846850122491</v>
      </c>
      <c r="R59">
        <v>785.08710849670308</v>
      </c>
      <c r="S59">
        <v>821.73156160709232</v>
      </c>
      <c r="T59">
        <v>787.2483966331979</v>
      </c>
      <c r="U59">
        <v>640.23657184966089</v>
      </c>
      <c r="V59">
        <v>645.22125298187257</v>
      </c>
    </row>
    <row r="60" spans="4:25">
      <c r="D60" s="38" t="s">
        <v>661</v>
      </c>
      <c r="E60" t="s">
        <v>627</v>
      </c>
      <c r="F60" t="e">
        <v>#N/A</v>
      </c>
      <c r="L60">
        <v>1765.9776482671305</v>
      </c>
      <c r="M60">
        <v>1778.7475246252968</v>
      </c>
      <c r="N60">
        <v>1719.8500966130412</v>
      </c>
      <c r="O60">
        <v>1734.1826495364999</v>
      </c>
      <c r="P60">
        <v>1584.6645414020318</v>
      </c>
      <c r="Q60">
        <v>1676.3645114437832</v>
      </c>
      <c r="R60">
        <v>1500.4166287349678</v>
      </c>
      <c r="S60">
        <v>1591.0222133816867</v>
      </c>
      <c r="T60">
        <v>1555.5475896680182</v>
      </c>
      <c r="U60">
        <v>1410.7890647615625</v>
      </c>
      <c r="V60">
        <v>1335.8639368413722</v>
      </c>
    </row>
    <row r="61" spans="4:25">
      <c r="D61" s="38" t="s">
        <v>661</v>
      </c>
      <c r="E61" t="s">
        <v>628</v>
      </c>
      <c r="F61" t="e">
        <v>#N/A</v>
      </c>
      <c r="L61">
        <v>1286.6036610275448</v>
      </c>
      <c r="M61">
        <v>1270.4839339927394</v>
      </c>
      <c r="N61">
        <v>1218.6533641803021</v>
      </c>
      <c r="O61">
        <v>1208.6259490966224</v>
      </c>
      <c r="P61">
        <v>1097.9505313659026</v>
      </c>
      <c r="Q61">
        <v>1153.3638985649804</v>
      </c>
      <c r="R61">
        <v>1039.0512947026525</v>
      </c>
      <c r="S61">
        <v>1100.2567708468746</v>
      </c>
      <c r="T61">
        <v>1063.3344331757112</v>
      </c>
      <c r="U61">
        <v>972.89787860372508</v>
      </c>
      <c r="V61">
        <v>1095.999184879521</v>
      </c>
    </row>
    <row r="62" spans="4:25">
      <c r="D62" s="38" t="s">
        <v>661</v>
      </c>
      <c r="E62" t="s">
        <v>629</v>
      </c>
      <c r="F62" t="e">
        <v>#N/A</v>
      </c>
      <c r="L62">
        <v>1429.3539826099172</v>
      </c>
      <c r="M62">
        <v>1398.444138109697</v>
      </c>
      <c r="N62">
        <v>1402.1145769319987</v>
      </c>
      <c r="O62">
        <v>1441.4027566386028</v>
      </c>
      <c r="P62">
        <v>1295.6280353290929</v>
      </c>
      <c r="Q62">
        <v>1289.9284493672053</v>
      </c>
      <c r="R62">
        <v>1147.4915798331251</v>
      </c>
      <c r="S62">
        <v>1348.587204729035</v>
      </c>
      <c r="T62">
        <v>1297.3950929004739</v>
      </c>
      <c r="U62">
        <v>1169.136668045403</v>
      </c>
      <c r="V62">
        <v>989.41619487145772</v>
      </c>
    </row>
    <row r="63" spans="4:25">
      <c r="D63" s="38" t="s">
        <v>661</v>
      </c>
      <c r="E63" t="s">
        <v>630</v>
      </c>
      <c r="F63" t="e">
        <v>#N/A</v>
      </c>
      <c r="L63">
        <v>1567.4288091199974</v>
      </c>
      <c r="M63">
        <v>1602.8543894835616</v>
      </c>
      <c r="N63">
        <v>1522.7384642292682</v>
      </c>
      <c r="O63">
        <v>1505.4160167723094</v>
      </c>
      <c r="P63">
        <v>1381.5025111155398</v>
      </c>
      <c r="Q63">
        <v>1438.7036933945133</v>
      </c>
      <c r="R63">
        <v>1298.7826924343626</v>
      </c>
      <c r="S63">
        <v>1379.3962813292299</v>
      </c>
      <c r="T63">
        <v>1342.1017415717197</v>
      </c>
      <c r="U63">
        <v>1176.1635872806844</v>
      </c>
      <c r="V63">
        <v>1151.5264881207497</v>
      </c>
    </row>
    <row r="64" spans="4:25">
      <c r="D64" s="38" t="s">
        <v>660</v>
      </c>
      <c r="E64" t="s">
        <v>631</v>
      </c>
      <c r="F64" t="e">
        <v>#N/A</v>
      </c>
      <c r="L64">
        <v>1694.0061734780584</v>
      </c>
      <c r="M64">
        <v>1811.9239875980641</v>
      </c>
      <c r="N64">
        <v>1759.3859444592156</v>
      </c>
      <c r="O64">
        <v>1732.4497490307276</v>
      </c>
      <c r="P64">
        <v>1564.655052485205</v>
      </c>
      <c r="Q64">
        <v>1644.2243696348969</v>
      </c>
      <c r="R64">
        <v>1493.2987408828719</v>
      </c>
      <c r="S64">
        <v>1603.5266547800063</v>
      </c>
      <c r="T64">
        <v>1542.5921008941787</v>
      </c>
      <c r="U64">
        <v>1290.7205359746401</v>
      </c>
      <c r="V64">
        <v>1145.9692727728263</v>
      </c>
    </row>
    <row r="65" spans="4:22">
      <c r="D65" s="38" t="s">
        <v>661</v>
      </c>
      <c r="E65" t="s">
        <v>634</v>
      </c>
      <c r="F65" t="e">
        <v>#N/A</v>
      </c>
      <c r="L65">
        <v>1763.9901132852908</v>
      </c>
      <c r="M65">
        <v>1731.5042928357022</v>
      </c>
      <c r="N65">
        <v>1678.44869796376</v>
      </c>
      <c r="O65">
        <v>1668.048696249424</v>
      </c>
      <c r="P65">
        <v>1507.3387026533017</v>
      </c>
      <c r="Q65">
        <v>1575.9507370251213</v>
      </c>
      <c r="R65">
        <v>1423.7285357520932</v>
      </c>
      <c r="S65">
        <v>1517.4305186058223</v>
      </c>
      <c r="T65">
        <v>1460.1637783452943</v>
      </c>
      <c r="U65">
        <v>1233.2539291443452</v>
      </c>
      <c r="V65">
        <v>1201.7288375680735</v>
      </c>
    </row>
    <row r="66" spans="4:22">
      <c r="D66" s="38" t="s">
        <v>661</v>
      </c>
      <c r="E66" t="s">
        <v>635</v>
      </c>
      <c r="F66" t="e">
        <v>#N/A</v>
      </c>
      <c r="L66">
        <v>1678.2590041937794</v>
      </c>
      <c r="M66">
        <v>1711.4855027568512</v>
      </c>
      <c r="N66">
        <v>1699.7421378628801</v>
      </c>
      <c r="O66">
        <v>1697.7217619930698</v>
      </c>
      <c r="P66">
        <v>1546.6767271891035</v>
      </c>
      <c r="Q66">
        <v>1606.3733424879879</v>
      </c>
      <c r="R66">
        <v>1487.5065935182076</v>
      </c>
      <c r="S66">
        <v>1593.0608217902543</v>
      </c>
      <c r="T66">
        <v>1573.215334775887</v>
      </c>
      <c r="U66">
        <v>1334.9647225570948</v>
      </c>
      <c r="V66">
        <v>1268.5959749221504</v>
      </c>
    </row>
    <row r="67" spans="4:22">
      <c r="D67" s="38" t="s">
        <v>661</v>
      </c>
      <c r="E67" t="s">
        <v>636</v>
      </c>
      <c r="F67" t="e">
        <v>#N/A</v>
      </c>
      <c r="L67">
        <v>1590.3557727439691</v>
      </c>
      <c r="M67">
        <v>1729.8080239822066</v>
      </c>
      <c r="N67">
        <v>1723.0517341479274</v>
      </c>
      <c r="O67">
        <v>1561.2905112485219</v>
      </c>
      <c r="P67">
        <v>1410.6405182624978</v>
      </c>
      <c r="Q67">
        <v>1475.9492532225186</v>
      </c>
      <c r="R67">
        <v>1315.5071719879463</v>
      </c>
      <c r="S67">
        <v>1416.123465623964</v>
      </c>
      <c r="T67">
        <v>1391.7847216209764</v>
      </c>
      <c r="U67">
        <v>1234.1476679920065</v>
      </c>
      <c r="V67">
        <v>1201.3076189417502</v>
      </c>
    </row>
    <row r="68" spans="4:22">
      <c r="D68" s="38" t="s">
        <v>660</v>
      </c>
      <c r="E68" t="s">
        <v>637</v>
      </c>
      <c r="F68" t="e">
        <v>#N/A</v>
      </c>
      <c r="L68">
        <v>1261.1877955496709</v>
      </c>
      <c r="M68">
        <v>1257.0694656531969</v>
      </c>
      <c r="N68">
        <v>1222.8074907148909</v>
      </c>
      <c r="O68">
        <v>1243.3196872797498</v>
      </c>
      <c r="P68">
        <v>1142.2137557578321</v>
      </c>
      <c r="Q68">
        <v>1205.8508660309383</v>
      </c>
      <c r="R68">
        <v>1071.9035412194082</v>
      </c>
      <c r="S68">
        <v>1095.5874928262574</v>
      </c>
      <c r="T68">
        <v>1007.34659507101</v>
      </c>
      <c r="U68">
        <v>1008.1569813135131</v>
      </c>
      <c r="V68">
        <v>855.97938039453334</v>
      </c>
    </row>
    <row r="69" spans="4:22">
      <c r="D69" s="38" t="s">
        <v>660</v>
      </c>
      <c r="E69" t="s">
        <v>638</v>
      </c>
      <c r="F69" t="e">
        <v>#N/A</v>
      </c>
      <c r="L69">
        <v>915.36634108501653</v>
      </c>
      <c r="M69">
        <v>928.51746007184568</v>
      </c>
      <c r="N69">
        <v>904.98550603145543</v>
      </c>
      <c r="O69">
        <v>907.26396007744745</v>
      </c>
      <c r="P69">
        <v>827.1223767732389</v>
      </c>
      <c r="Q69">
        <v>882.69586873786352</v>
      </c>
      <c r="R69">
        <v>814.54278628378222</v>
      </c>
      <c r="S69">
        <v>908.08879100461786</v>
      </c>
      <c r="T69">
        <v>881.41428719012583</v>
      </c>
      <c r="U69">
        <v>810.66108626426978</v>
      </c>
      <c r="V69">
        <v>741.58837641445973</v>
      </c>
    </row>
    <row r="70" spans="4:22">
      <c r="D70" s="38" t="s">
        <v>660</v>
      </c>
      <c r="E70" t="s">
        <v>639</v>
      </c>
      <c r="F70" t="e">
        <v>#N/A</v>
      </c>
      <c r="L70">
        <v>1097.1142605612554</v>
      </c>
      <c r="M70">
        <v>1120.408378071013</v>
      </c>
      <c r="N70">
        <v>1097.1042174112981</v>
      </c>
      <c r="O70">
        <v>1091.2013058924972</v>
      </c>
      <c r="P70">
        <v>1025.4328717243136</v>
      </c>
      <c r="Q70">
        <v>1076.6574106223291</v>
      </c>
      <c r="R70">
        <v>969.76410095411165</v>
      </c>
      <c r="S70">
        <v>1019.7126080569052</v>
      </c>
      <c r="T70">
        <v>977.65696553226326</v>
      </c>
      <c r="U70">
        <v>809.40398260067775</v>
      </c>
      <c r="V70">
        <v>784.2823508126678</v>
      </c>
    </row>
    <row r="71" spans="4:22">
      <c r="D71" s="38" t="s">
        <v>661</v>
      </c>
      <c r="E71" t="s">
        <v>640</v>
      </c>
      <c r="F71" t="e">
        <v>#N/A</v>
      </c>
      <c r="L71">
        <v>1051.7070128495416</v>
      </c>
      <c r="M71">
        <v>1060.3126190111134</v>
      </c>
      <c r="N71">
        <v>1006.3982053714817</v>
      </c>
      <c r="O71">
        <v>1036.8760277942431</v>
      </c>
      <c r="P71">
        <v>935.99340983446871</v>
      </c>
      <c r="Q71">
        <v>979.54853905904451</v>
      </c>
      <c r="R71">
        <v>877.33146520227342</v>
      </c>
      <c r="S71">
        <v>930.81203726643662</v>
      </c>
      <c r="T71">
        <v>900.55175446458304</v>
      </c>
      <c r="U71">
        <v>774.21962439442098</v>
      </c>
      <c r="V71">
        <v>750.66533257758317</v>
      </c>
    </row>
    <row r="72" spans="4:22">
      <c r="D72" s="38" t="s">
        <v>661</v>
      </c>
      <c r="E72" t="s">
        <v>641</v>
      </c>
      <c r="F72" t="e">
        <v>#N/A</v>
      </c>
      <c r="L72">
        <v>1010.0370331402506</v>
      </c>
      <c r="M72">
        <v>997.95457624834012</v>
      </c>
      <c r="N72">
        <v>976.22311878553251</v>
      </c>
      <c r="O72">
        <v>975.36938214035661</v>
      </c>
      <c r="P72">
        <v>874.28275113213442</v>
      </c>
      <c r="Q72">
        <v>915.83465867507368</v>
      </c>
      <c r="R72">
        <v>813.48204865589628</v>
      </c>
      <c r="S72">
        <v>873.23470329442807</v>
      </c>
      <c r="T72">
        <v>840.46350249861609</v>
      </c>
      <c r="U72">
        <v>745.55244622913142</v>
      </c>
      <c r="V72">
        <v>693.12125662623782</v>
      </c>
    </row>
    <row r="73" spans="4:22">
      <c r="D73" s="38" t="s">
        <v>661</v>
      </c>
      <c r="E73" t="s">
        <v>642</v>
      </c>
      <c r="F73" t="e">
        <v>#N/A</v>
      </c>
      <c r="L73">
        <v>1324.9080459945781</v>
      </c>
      <c r="M73">
        <v>1338.8083419437266</v>
      </c>
      <c r="N73">
        <v>1282.76916968211</v>
      </c>
      <c r="O73">
        <v>1264.6551581198555</v>
      </c>
      <c r="P73">
        <v>1169.7482115380308</v>
      </c>
      <c r="Q73">
        <v>1245.6670970863502</v>
      </c>
      <c r="R73">
        <v>1120.5075405810321</v>
      </c>
      <c r="S73">
        <v>1173.7107993777752</v>
      </c>
      <c r="T73">
        <v>1151.917072908037</v>
      </c>
      <c r="U73">
        <v>1030.5388796724544</v>
      </c>
      <c r="V73">
        <v>1009.2008097769643</v>
      </c>
    </row>
    <row r="74" spans="4:22">
      <c r="D74" s="38" t="s">
        <v>661</v>
      </c>
      <c r="E74" t="s">
        <v>643</v>
      </c>
      <c r="F74" t="e">
        <v>#N/A</v>
      </c>
      <c r="L74">
        <v>2326.7176839064759</v>
      </c>
      <c r="M74">
        <v>2321.1891727531556</v>
      </c>
      <c r="N74">
        <v>2218.5083964577389</v>
      </c>
      <c r="O74">
        <v>2334.002211036754</v>
      </c>
      <c r="P74">
        <v>2072.67231582667</v>
      </c>
      <c r="Q74">
        <v>2082.8700501422636</v>
      </c>
      <c r="R74">
        <v>1814.3088312990412</v>
      </c>
      <c r="S74">
        <v>2063.1113331736092</v>
      </c>
      <c r="T74">
        <v>2006.7729552209266</v>
      </c>
      <c r="U74">
        <v>1709.0544648977379</v>
      </c>
      <c r="V74">
        <v>1505.7301615565368</v>
      </c>
    </row>
    <row r="75" spans="4:22">
      <c r="D75" s="38" t="s">
        <v>661</v>
      </c>
      <c r="E75" t="s">
        <v>644</v>
      </c>
      <c r="F75" t="e">
        <v>#N/A</v>
      </c>
      <c r="L75">
        <v>1608.6238099391717</v>
      </c>
      <c r="M75">
        <v>1645.2890052884959</v>
      </c>
      <c r="N75">
        <v>1601.4409680322217</v>
      </c>
      <c r="O75">
        <v>1543.0148203147526</v>
      </c>
      <c r="P75">
        <v>1425.652218230452</v>
      </c>
      <c r="Q75">
        <v>1531.2885540770162</v>
      </c>
      <c r="R75">
        <v>1418.4479968069011</v>
      </c>
      <c r="S75">
        <v>1487.1056280346809</v>
      </c>
      <c r="T75">
        <v>1428.6173293598176</v>
      </c>
      <c r="U75">
        <v>1273.9432230395719</v>
      </c>
      <c r="V75">
        <v>1163.0918919651151</v>
      </c>
    </row>
    <row r="76" spans="4:22">
      <c r="D76" s="38" t="s">
        <v>660</v>
      </c>
      <c r="E76" t="s">
        <v>645</v>
      </c>
      <c r="F76" t="e">
        <v>#N/A</v>
      </c>
      <c r="L76">
        <v>1189.545017649046</v>
      </c>
      <c r="M76">
        <v>1230.1292303451598</v>
      </c>
      <c r="N76">
        <v>1198.8582080655851</v>
      </c>
      <c r="O76">
        <v>1224.2557250649759</v>
      </c>
      <c r="P76">
        <v>1106.0233080272715</v>
      </c>
      <c r="Q76">
        <v>1167.9174353501655</v>
      </c>
      <c r="R76">
        <v>1026.2163973691108</v>
      </c>
      <c r="S76">
        <v>1126.4252759262567</v>
      </c>
      <c r="T76">
        <v>1054.3136809920827</v>
      </c>
      <c r="U76">
        <v>877.34149765883978</v>
      </c>
      <c r="V76">
        <v>821.41040293038395</v>
      </c>
    </row>
    <row r="77" spans="4:22">
      <c r="D77" s="38" t="s">
        <v>660</v>
      </c>
      <c r="E77" t="s">
        <v>646</v>
      </c>
      <c r="F77" t="e">
        <v>#N/A</v>
      </c>
      <c r="L77">
        <v>1390.6893665466719</v>
      </c>
      <c r="M77">
        <v>1427.0119988549804</v>
      </c>
      <c r="N77">
        <v>1377.341122454764</v>
      </c>
      <c r="O77">
        <v>1389.071197688746</v>
      </c>
      <c r="P77">
        <v>1285.7790126641469</v>
      </c>
      <c r="Q77">
        <v>1425.6821684133738</v>
      </c>
      <c r="R77">
        <v>1321.8360749714377</v>
      </c>
      <c r="S77">
        <v>1365.0134551675419</v>
      </c>
      <c r="T77">
        <v>1239.5477048622347</v>
      </c>
      <c r="U77">
        <v>1154.9584241683176</v>
      </c>
      <c r="V77">
        <v>1041.1427166863009</v>
      </c>
    </row>
    <row r="78" spans="4:22">
      <c r="D78" s="38" t="s">
        <v>661</v>
      </c>
      <c r="E78" t="s">
        <v>648</v>
      </c>
      <c r="F78" t="e">
        <v>#N/A</v>
      </c>
      <c r="L78">
        <v>889.41077850693728</v>
      </c>
      <c r="M78">
        <v>877.68318546018986</v>
      </c>
      <c r="N78">
        <v>867.96996693814253</v>
      </c>
      <c r="O78">
        <v>849.6989108679121</v>
      </c>
      <c r="P78">
        <v>782.34967737679551</v>
      </c>
      <c r="Q78">
        <v>825.64455234429363</v>
      </c>
      <c r="R78">
        <v>742.38494487943888</v>
      </c>
      <c r="S78">
        <v>779.32782343699739</v>
      </c>
      <c r="T78">
        <v>759.57600375761695</v>
      </c>
      <c r="U78">
        <v>677.19983537631094</v>
      </c>
      <c r="V78">
        <v>647.51404470803118</v>
      </c>
    </row>
    <row r="79" spans="4:22">
      <c r="D79" s="38" t="s">
        <v>660</v>
      </c>
      <c r="E79" t="s">
        <v>649</v>
      </c>
      <c r="F79" t="e">
        <v>#N/A</v>
      </c>
      <c r="L79">
        <v>1422.685722963816</v>
      </c>
      <c r="M79">
        <v>1434.6550576622824</v>
      </c>
      <c r="N79">
        <v>1392.2407298543228</v>
      </c>
      <c r="O79">
        <v>1395.8686467774221</v>
      </c>
      <c r="P79">
        <v>1295.0472393609543</v>
      </c>
      <c r="Q79">
        <v>1347.62300368763</v>
      </c>
      <c r="R79">
        <v>1228.8564864400712</v>
      </c>
      <c r="S79">
        <v>1294.7239324109523</v>
      </c>
      <c r="T79">
        <v>1267.425577306054</v>
      </c>
      <c r="U79">
        <v>1095.2423857191773</v>
      </c>
      <c r="V79">
        <v>1039.2504587605333</v>
      </c>
    </row>
    <row r="80" spans="4:22">
      <c r="D80" s="38" t="s">
        <v>660</v>
      </c>
      <c r="E80" t="s">
        <v>650</v>
      </c>
      <c r="F80" t="e">
        <v>#N/A</v>
      </c>
      <c r="L80">
        <v>1178.6982119256331</v>
      </c>
      <c r="M80">
        <v>1165.2158046261318</v>
      </c>
      <c r="N80">
        <v>1136.8362769161427</v>
      </c>
      <c r="O80">
        <v>1087.0185394425262</v>
      </c>
      <c r="P80">
        <v>996.16598166804226</v>
      </c>
      <c r="Q80">
        <v>1037.8700496648305</v>
      </c>
      <c r="R80">
        <v>942.95308922693221</v>
      </c>
      <c r="S80">
        <v>983.03969468008631</v>
      </c>
      <c r="T80">
        <v>944.48214536085788</v>
      </c>
      <c r="U80">
        <v>831.35923526446675</v>
      </c>
      <c r="V80">
        <v>816.29268580461257</v>
      </c>
    </row>
    <row r="81" spans="1:85">
      <c r="D81" s="38" t="s">
        <v>661</v>
      </c>
      <c r="E81" t="s">
        <v>651</v>
      </c>
      <c r="F81" t="e">
        <v>#N/A</v>
      </c>
      <c r="L81">
        <v>909.1856708729706</v>
      </c>
      <c r="M81">
        <v>895.50524051078389</v>
      </c>
      <c r="N81">
        <v>867.02554212893881</v>
      </c>
      <c r="O81">
        <v>954.88260941533247</v>
      </c>
      <c r="P81">
        <v>864.48227723025389</v>
      </c>
      <c r="Q81">
        <v>910.58606303808961</v>
      </c>
      <c r="R81">
        <v>814.83696995924925</v>
      </c>
      <c r="S81">
        <v>859.94101212278304</v>
      </c>
      <c r="T81">
        <v>847.7364978689817</v>
      </c>
      <c r="U81">
        <v>687.62340353551576</v>
      </c>
      <c r="V81">
        <v>691.49559756803706</v>
      </c>
    </row>
    <row r="82" spans="1:85">
      <c r="D82" s="38" t="s">
        <v>661</v>
      </c>
      <c r="E82" t="s">
        <v>652</v>
      </c>
      <c r="F82" t="e">
        <v>#N/A</v>
      </c>
      <c r="L82">
        <v>1462.5290799363574</v>
      </c>
      <c r="M82">
        <v>1563.9342898584243</v>
      </c>
      <c r="N82">
        <v>1542.3381831826866</v>
      </c>
      <c r="O82">
        <v>1544.3721847098257</v>
      </c>
      <c r="P82">
        <v>1475.1610847517104</v>
      </c>
      <c r="Q82">
        <v>1561.5840069331095</v>
      </c>
      <c r="R82">
        <v>1445.7891660074356</v>
      </c>
      <c r="S82">
        <v>1478.3763190589527</v>
      </c>
      <c r="T82">
        <v>1456.6196863359551</v>
      </c>
      <c r="U82">
        <v>1261.2314993658067</v>
      </c>
      <c r="V82">
        <v>1181.4353052583447</v>
      </c>
    </row>
    <row r="83" spans="1:85">
      <c r="D83" s="38" t="s">
        <v>661</v>
      </c>
      <c r="E83" t="s">
        <v>653</v>
      </c>
      <c r="F83" t="e">
        <v>#N/A</v>
      </c>
      <c r="L83">
        <v>1111.719668578919</v>
      </c>
      <c r="M83">
        <v>1105.7487930058317</v>
      </c>
      <c r="N83">
        <v>1080.8862589211244</v>
      </c>
      <c r="O83">
        <v>1062.65835241422</v>
      </c>
      <c r="P83">
        <v>984.23190729500675</v>
      </c>
      <c r="Q83">
        <v>1025.7472117004802</v>
      </c>
      <c r="R83">
        <v>949.37063183944588</v>
      </c>
      <c r="S83">
        <v>1003.8887788507885</v>
      </c>
      <c r="T83">
        <v>967.05312807180667</v>
      </c>
      <c r="U83">
        <v>870.94140038343869</v>
      </c>
      <c r="V83">
        <v>835.2097418499693</v>
      </c>
    </row>
    <row r="84" spans="1:85">
      <c r="D84" s="38" t="s">
        <v>661</v>
      </c>
      <c r="E84" t="s">
        <v>654</v>
      </c>
      <c r="F84" t="e">
        <v>#N/A</v>
      </c>
      <c r="L84">
        <v>1051.7811464396182</v>
      </c>
      <c r="M84">
        <v>1049.8571274502297</v>
      </c>
      <c r="N84">
        <v>1025.5614398041489</v>
      </c>
      <c r="O84">
        <v>1008.475537971328</v>
      </c>
      <c r="P84">
        <v>910.73763507404487</v>
      </c>
      <c r="Q84">
        <v>948.492169033295</v>
      </c>
      <c r="R84">
        <v>842.63890397504974</v>
      </c>
      <c r="S84">
        <v>909.49245675079499</v>
      </c>
      <c r="T84">
        <v>885.54058856854999</v>
      </c>
      <c r="U84">
        <v>787.52039897357452</v>
      </c>
      <c r="V84">
        <v>733.00671163990603</v>
      </c>
    </row>
    <row r="85" spans="1:85">
      <c r="D85" s="38" t="s">
        <v>660</v>
      </c>
      <c r="E85" t="s">
        <v>655</v>
      </c>
      <c r="F85" t="e">
        <v>#N/A</v>
      </c>
      <c r="L85">
        <v>1741.0799600928719</v>
      </c>
      <c r="M85">
        <v>1752.2499959567858</v>
      </c>
      <c r="N85">
        <v>1714.2208033999686</v>
      </c>
      <c r="O85">
        <v>1697.0243215318849</v>
      </c>
      <c r="P85">
        <v>1508.6337221203796</v>
      </c>
      <c r="Q85">
        <v>1582.8449904638364</v>
      </c>
      <c r="R85">
        <v>1409.7359083779418</v>
      </c>
      <c r="S85">
        <v>1550.1245720147272</v>
      </c>
      <c r="T85">
        <v>1466.9644447220862</v>
      </c>
      <c r="U85">
        <v>1171.8859211248464</v>
      </c>
      <c r="V85">
        <v>1196.5095872094385</v>
      </c>
    </row>
    <row r="86" spans="1:85" s="499" customFormat="1">
      <c r="A86" s="534" t="s">
        <v>154</v>
      </c>
      <c r="B86" s="534"/>
      <c r="C86" s="535"/>
      <c r="D86" s="38" t="s">
        <v>661</v>
      </c>
      <c r="E86" t="s">
        <v>656</v>
      </c>
      <c r="F86" t="e">
        <v>#N/A</v>
      </c>
      <c r="G86"/>
      <c r="H86"/>
      <c r="I86"/>
      <c r="J86"/>
      <c r="K86"/>
      <c r="L86">
        <v>876.74867355924141</v>
      </c>
      <c r="M86">
        <v>877.51703876253941</v>
      </c>
      <c r="N86">
        <v>860.83025816750353</v>
      </c>
      <c r="O86">
        <v>863.30803137210557</v>
      </c>
      <c r="P86">
        <v>805.04173875815798</v>
      </c>
      <c r="Q86">
        <v>843.31319967531704</v>
      </c>
      <c r="R86">
        <v>749.15749013976256</v>
      </c>
      <c r="S86">
        <v>811.89852988199596</v>
      </c>
      <c r="T86">
        <v>779.82658954311978</v>
      </c>
      <c r="U86">
        <v>663.22395630113783</v>
      </c>
      <c r="V86">
        <v>649.88000300792055</v>
      </c>
      <c r="W86" s="534"/>
      <c r="X86" s="534"/>
      <c r="Y86" s="534"/>
      <c r="Z86" s="534"/>
      <c r="AA86" s="534"/>
      <c r="AB86" s="534"/>
      <c r="AC86" s="534"/>
      <c r="AD86" s="534"/>
      <c r="AE86" s="534"/>
      <c r="AF86" s="534"/>
      <c r="AG86" s="534"/>
      <c r="AH86" s="534"/>
      <c r="AI86" s="534"/>
      <c r="AJ86" s="534"/>
      <c r="AK86" s="534"/>
      <c r="AL86" s="534"/>
      <c r="AM86" s="534"/>
      <c r="AN86" s="534"/>
      <c r="AO86" s="534"/>
      <c r="AP86" s="534"/>
      <c r="AQ86" s="534"/>
      <c r="AR86" s="534"/>
      <c r="AS86" s="534"/>
      <c r="AT86" s="534"/>
      <c r="AU86" s="534"/>
      <c r="AV86" s="534"/>
      <c r="AW86" s="534"/>
      <c r="AX86" s="534"/>
      <c r="AY86" s="534"/>
      <c r="AZ86" s="534"/>
      <c r="BA86" s="534"/>
      <c r="BB86" s="534"/>
      <c r="BC86" s="534"/>
      <c r="BD86" s="534"/>
      <c r="BE86" s="534"/>
      <c r="BF86" s="534"/>
      <c r="BG86" s="534"/>
      <c r="BH86" s="534"/>
      <c r="BI86" s="534"/>
      <c r="BJ86" s="534"/>
      <c r="BK86" s="534"/>
      <c r="BL86" s="534"/>
      <c r="BM86" s="534"/>
      <c r="BN86" s="534"/>
      <c r="BO86" s="534"/>
      <c r="BP86" s="534"/>
      <c r="BQ86" s="534"/>
      <c r="BR86" s="534"/>
      <c r="BS86" s="534"/>
      <c r="BT86" s="534"/>
      <c r="BU86" s="534"/>
      <c r="BV86" s="534"/>
      <c r="BW86" s="534"/>
      <c r="BX86" s="534"/>
      <c r="BY86" s="534"/>
      <c r="BZ86" s="534"/>
      <c r="CA86" s="534"/>
      <c r="CB86" s="534"/>
      <c r="CC86" s="534"/>
      <c r="CD86" s="534"/>
      <c r="CE86" s="534"/>
      <c r="CF86" s="534"/>
      <c r="CG86" s="534"/>
    </row>
    <row r="87" spans="1:85">
      <c r="D87" s="38" t="s">
        <v>660</v>
      </c>
      <c r="E87" t="s">
        <v>657</v>
      </c>
      <c r="F87" t="e">
        <v>#N/A</v>
      </c>
      <c r="L87">
        <v>2017.1351012330981</v>
      </c>
      <c r="M87">
        <v>2362.4475671614532</v>
      </c>
      <c r="N87">
        <v>2345.640068424696</v>
      </c>
      <c r="O87">
        <v>2399.1949325065789</v>
      </c>
      <c r="P87">
        <v>2112.518116117637</v>
      </c>
      <c r="Q87">
        <v>2253.1480924145353</v>
      </c>
      <c r="R87">
        <v>1932.2067283165763</v>
      </c>
      <c r="S87">
        <v>2100.2022492518668</v>
      </c>
      <c r="T87">
        <v>1962.4406434587972</v>
      </c>
      <c r="U87">
        <v>1706.5773247412094</v>
      </c>
      <c r="V87">
        <v>1426.6624405549903</v>
      </c>
    </row>
    <row r="88" spans="1:85">
      <c r="D88" s="38" t="s">
        <v>661</v>
      </c>
      <c r="E88" t="s">
        <v>658</v>
      </c>
      <c r="F88" t="e">
        <v>#N/A</v>
      </c>
      <c r="L88">
        <v>995.47182139266351</v>
      </c>
      <c r="M88">
        <v>1004.419589550101</v>
      </c>
      <c r="N88">
        <v>959.52942011429525</v>
      </c>
      <c r="O88">
        <v>982.44696143369924</v>
      </c>
      <c r="P88">
        <v>878.96353192663275</v>
      </c>
      <c r="Q88">
        <v>932.57053576813576</v>
      </c>
      <c r="R88">
        <v>827.22723249785588</v>
      </c>
      <c r="S88">
        <v>878.57573008350414</v>
      </c>
      <c r="T88">
        <v>852.60282183806726</v>
      </c>
      <c r="U88">
        <v>778.00232684940818</v>
      </c>
      <c r="V88">
        <v>727.03373784736073</v>
      </c>
    </row>
    <row r="89" spans="1:85">
      <c r="D89" s="38" t="s">
        <v>661</v>
      </c>
      <c r="E89" t="s">
        <v>659</v>
      </c>
      <c r="F89" t="e">
        <v>#N/A</v>
      </c>
      <c r="L89">
        <v>1486.2647827793035</v>
      </c>
      <c r="M89">
        <v>1453.2317722401272</v>
      </c>
      <c r="N89">
        <v>1410.6367435358375</v>
      </c>
      <c r="O89">
        <v>1331.0522798181462</v>
      </c>
      <c r="P89">
        <v>1210.3267624410562</v>
      </c>
      <c r="Q89">
        <v>1278.6225313621733</v>
      </c>
      <c r="R89">
        <v>1139.5138294029132</v>
      </c>
      <c r="S89">
        <v>1211.8950172777631</v>
      </c>
      <c r="T89">
        <v>1171.4948488618259</v>
      </c>
      <c r="U89">
        <v>1037.3065253877394</v>
      </c>
      <c r="V89">
        <v>996.35184616229822</v>
      </c>
    </row>
    <row r="90" spans="1:85">
      <c r="D90" s="38" t="s">
        <v>660</v>
      </c>
      <c r="E90" t="s">
        <v>633</v>
      </c>
      <c r="F90" t="e">
        <v>#N/A</v>
      </c>
      <c r="L90">
        <v>3415.4719726981025</v>
      </c>
      <c r="M90">
        <v>3597.1381584665601</v>
      </c>
      <c r="N90">
        <v>3460.667057501546</v>
      </c>
      <c r="O90">
        <v>3513.6754794197591</v>
      </c>
      <c r="P90">
        <v>3118.0330276286131</v>
      </c>
      <c r="Q90">
        <v>3293.6655478821499</v>
      </c>
      <c r="R90">
        <v>2965.7234768077601</v>
      </c>
      <c r="S90">
        <v>3203.6240244175187</v>
      </c>
      <c r="T90">
        <v>3049.7941219927598</v>
      </c>
      <c r="U90">
        <v>2510.6060574251815</v>
      </c>
      <c r="V90">
        <v>2124.0038285572946</v>
      </c>
    </row>
    <row r="91" spans="1:85">
      <c r="E91" t="s">
        <v>660</v>
      </c>
      <c r="G91" s="316">
        <f>SUMIF($D$58:$D$90,$E91,G$58:G$90)</f>
        <v>0</v>
      </c>
      <c r="I91" s="316">
        <f>SUMIF($D$58:$D$90,$E91,I$58:I$90)</f>
        <v>0</v>
      </c>
      <c r="K91" s="316">
        <f t="shared" ref="K91:V92" si="2">SUMIF($D$58:$D$90,$E91,K$58:K$90)</f>
        <v>0</v>
      </c>
      <c r="L91" s="316">
        <f t="shared" si="2"/>
        <v>18963.859827538843</v>
      </c>
      <c r="M91" s="316">
        <f t="shared" si="2"/>
        <v>19859.754454782629</v>
      </c>
      <c r="N91" s="316">
        <f t="shared" si="2"/>
        <v>19282.649623459874</v>
      </c>
      <c r="O91" s="316">
        <f t="shared" si="2"/>
        <v>19371.52043550801</v>
      </c>
      <c r="P91" s="316">
        <f t="shared" si="2"/>
        <v>17464.6334670496</v>
      </c>
      <c r="Q91" s="316">
        <f t="shared" si="2"/>
        <v>18555.128481885571</v>
      </c>
      <c r="R91" s="316">
        <f t="shared" si="2"/>
        <v>16571.956424331576</v>
      </c>
      <c r="S91" s="316">
        <f t="shared" si="2"/>
        <v>17789.339922052779</v>
      </c>
      <c r="T91" s="316">
        <f t="shared" si="2"/>
        <v>16813.16908217904</v>
      </c>
      <c r="U91" s="316">
        <f t="shared" si="2"/>
        <v>14305.943507793443</v>
      </c>
      <c r="V91" s="316">
        <f t="shared" si="2"/>
        <v>12853.172834240006</v>
      </c>
    </row>
    <row r="92" spans="1:85">
      <c r="E92" t="s">
        <v>661</v>
      </c>
      <c r="G92" s="316">
        <f>SUMIF($D$58:$D$90,$E92,G$58:G$90)</f>
        <v>0</v>
      </c>
      <c r="I92" s="316">
        <f>SUMIF($D$58:$D$90,$E92,I$58:I$90)</f>
        <v>0</v>
      </c>
      <c r="K92" s="316">
        <f t="shared" si="2"/>
        <v>0</v>
      </c>
      <c r="L92" s="316">
        <f t="shared" si="2"/>
        <v>28119.540773814235</v>
      </c>
      <c r="M92" s="316">
        <f t="shared" si="2"/>
        <v>28352.51803476792</v>
      </c>
      <c r="N92" s="316">
        <f t="shared" si="2"/>
        <v>27591.153803006106</v>
      </c>
      <c r="O92" s="316">
        <f t="shared" si="2"/>
        <v>27471.991937761592</v>
      </c>
      <c r="P92" s="316">
        <f t="shared" si="2"/>
        <v>25032.874019464183</v>
      </c>
      <c r="Q92" s="316">
        <f t="shared" si="2"/>
        <v>26171.791522901975</v>
      </c>
      <c r="R92" s="316">
        <f t="shared" si="2"/>
        <v>23552.568656706349</v>
      </c>
      <c r="S92" s="316">
        <f t="shared" si="2"/>
        <v>25228.979006524471</v>
      </c>
      <c r="T92" s="316">
        <f t="shared" si="2"/>
        <v>24519.563867989182</v>
      </c>
      <c r="U92" s="316">
        <f t="shared" si="2"/>
        <v>21467.948074640732</v>
      </c>
      <c r="V92" s="316">
        <f t="shared" si="2"/>
        <v>20473.395929671256</v>
      </c>
    </row>
    <row r="93" spans="1:85">
      <c r="E93" s="38" t="s">
        <v>122</v>
      </c>
      <c r="F93">
        <v>45054.296744775653</v>
      </c>
      <c r="G93">
        <v>50313.96897172014</v>
      </c>
      <c r="H93">
        <v>48857.930276837775</v>
      </c>
      <c r="I93">
        <v>48934.258997473335</v>
      </c>
      <c r="J93">
        <v>49010.587718108894</v>
      </c>
      <c r="K93">
        <v>46557.374939467096</v>
      </c>
      <c r="L93">
        <v>46401.043305024243</v>
      </c>
      <c r="M93">
        <v>47638.076476822076</v>
      </c>
      <c r="N93">
        <v>46479.046476822092</v>
      </c>
      <c r="O93">
        <v>46672.647491352378</v>
      </c>
      <c r="P93">
        <v>42524.657491352373</v>
      </c>
      <c r="Q93">
        <v>42622.583103567973</v>
      </c>
      <c r="R93">
        <v>38640.371731036612</v>
      </c>
      <c r="S93">
        <v>42323.43326255642</v>
      </c>
      <c r="T93">
        <v>40874.983502373398</v>
      </c>
      <c r="U93">
        <v>37832.520166452639</v>
      </c>
      <c r="V93">
        <v>33909.294600698297</v>
      </c>
    </row>
    <row r="94" spans="1:85">
      <c r="L94" s="563">
        <f>L93/1000/(G50)</f>
        <v>1.0299898624866648</v>
      </c>
      <c r="V94" s="159"/>
      <c r="W94" s="202"/>
    </row>
    <row r="95" spans="1:85" s="462" customFormat="1">
      <c r="E95" s="462" t="s">
        <v>1130</v>
      </c>
    </row>
    <row r="96" spans="1:85">
      <c r="E96" t="s">
        <v>1131</v>
      </c>
      <c r="F96" t="s">
        <v>1132</v>
      </c>
    </row>
    <row r="97" spans="4:37">
      <c r="E97" t="s">
        <v>1133</v>
      </c>
      <c r="F97" t="s">
        <v>1134</v>
      </c>
      <c r="G97" t="s">
        <v>1135</v>
      </c>
      <c r="H97" t="s">
        <v>1136</v>
      </c>
      <c r="I97" t="s">
        <v>353</v>
      </c>
      <c r="J97" t="s">
        <v>1137</v>
      </c>
      <c r="K97" t="s">
        <v>1138</v>
      </c>
      <c r="L97" t="s">
        <v>1139</v>
      </c>
      <c r="M97" t="s">
        <v>1140</v>
      </c>
      <c r="N97" t="s">
        <v>1141</v>
      </c>
      <c r="O97" t="s">
        <v>1142</v>
      </c>
      <c r="P97" t="s">
        <v>1143</v>
      </c>
      <c r="Q97" t="s">
        <v>1144</v>
      </c>
      <c r="R97" t="s">
        <v>1145</v>
      </c>
      <c r="S97" t="s">
        <v>1146</v>
      </c>
      <c r="T97" t="s">
        <v>1147</v>
      </c>
      <c r="U97" t="s">
        <v>1148</v>
      </c>
      <c r="V97" t="s">
        <v>1149</v>
      </c>
      <c r="W97" t="s">
        <v>1150</v>
      </c>
      <c r="X97" t="s">
        <v>1151</v>
      </c>
      <c r="Y97" t="s">
        <v>1152</v>
      </c>
      <c r="Z97" t="s">
        <v>1153</v>
      </c>
      <c r="AA97" t="s">
        <v>1154</v>
      </c>
      <c r="AB97" t="s">
        <v>1155</v>
      </c>
      <c r="AC97" t="s">
        <v>1156</v>
      </c>
    </row>
    <row r="98" spans="4:37">
      <c r="D98" t="s">
        <v>661</v>
      </c>
      <c r="E98" t="s">
        <v>122</v>
      </c>
      <c r="F98" t="s">
        <v>626</v>
      </c>
      <c r="G98" t="s">
        <v>626</v>
      </c>
      <c r="H98" t="s">
        <v>1157</v>
      </c>
      <c r="I98">
        <v>2005</v>
      </c>
      <c r="J98">
        <v>249.97979516869623</v>
      </c>
      <c r="K98">
        <v>60.303007180846024</v>
      </c>
      <c r="L98">
        <v>64.536444621446336</v>
      </c>
      <c r="M98">
        <v>21.08718448122686</v>
      </c>
      <c r="N98">
        <v>0.20239406417883199</v>
      </c>
      <c r="O98">
        <v>396.10882551639423</v>
      </c>
      <c r="P98">
        <v>158.76939466453132</v>
      </c>
      <c r="Q98">
        <v>183.56221938922997</v>
      </c>
      <c r="R98">
        <v>2.9952256319275921</v>
      </c>
      <c r="S98">
        <v>345.32683968568892</v>
      </c>
      <c r="T98">
        <v>135.16511014891901</v>
      </c>
      <c r="U98">
        <v>0</v>
      </c>
      <c r="V98">
        <v>43.965753713994339</v>
      </c>
      <c r="W98">
        <v>10.2824357192377</v>
      </c>
      <c r="X98">
        <v>0.82847293309387104</v>
      </c>
      <c r="Y98">
        <v>190.24177251524492</v>
      </c>
      <c r="Z98">
        <v>0.78913695324417843</v>
      </c>
      <c r="AA98">
        <v>932.46657467057219</v>
      </c>
      <c r="AB98">
        <v>166.27499999999995</v>
      </c>
      <c r="AC98">
        <v>5.6079781967858819</v>
      </c>
    </row>
    <row r="99" spans="4:37">
      <c r="D99" t="s">
        <v>661</v>
      </c>
      <c r="E99" t="s">
        <v>122</v>
      </c>
      <c r="F99" t="s">
        <v>626</v>
      </c>
      <c r="G99" t="s">
        <v>626</v>
      </c>
      <c r="H99" t="s">
        <v>1157</v>
      </c>
      <c r="I99">
        <v>2006</v>
      </c>
      <c r="J99">
        <v>266.59070220766375</v>
      </c>
      <c r="K99">
        <v>47.073301109368963</v>
      </c>
      <c r="L99">
        <v>63.861009682863184</v>
      </c>
      <c r="M99">
        <v>20.150697222664583</v>
      </c>
      <c r="N99">
        <v>0.19301042624793924</v>
      </c>
      <c r="O99">
        <v>397.86872064880845</v>
      </c>
      <c r="P99">
        <v>166.75506722776726</v>
      </c>
      <c r="Q99">
        <v>174.59723633450059</v>
      </c>
      <c r="R99">
        <v>2.6328086033787379</v>
      </c>
      <c r="S99">
        <v>343.98511216564657</v>
      </c>
      <c r="T99">
        <v>141.19905110012542</v>
      </c>
      <c r="U99">
        <v>0</v>
      </c>
      <c r="V99">
        <v>42.702492432038063</v>
      </c>
      <c r="W99">
        <v>10.359493533636199</v>
      </c>
      <c r="X99">
        <v>0.88334292919049306</v>
      </c>
      <c r="Y99">
        <v>195.14437999499017</v>
      </c>
      <c r="Z99">
        <v>0.74126408936025923</v>
      </c>
      <c r="AA99">
        <v>937.73947689880549</v>
      </c>
      <c r="AB99">
        <v>167.15700000000007</v>
      </c>
      <c r="AC99">
        <v>5.6099324401538979</v>
      </c>
    </row>
    <row r="100" spans="4:37">
      <c r="D100" t="s">
        <v>661</v>
      </c>
      <c r="E100" t="s">
        <v>122</v>
      </c>
      <c r="F100" t="s">
        <v>626</v>
      </c>
      <c r="G100" t="s">
        <v>626</v>
      </c>
      <c r="H100" t="s">
        <v>1157</v>
      </c>
      <c r="I100">
        <v>2007</v>
      </c>
      <c r="J100">
        <v>268.39962092931347</v>
      </c>
      <c r="K100">
        <v>44.078579561844286</v>
      </c>
      <c r="L100">
        <v>67.373834823216569</v>
      </c>
      <c r="M100">
        <v>20.77233292645759</v>
      </c>
      <c r="N100">
        <v>0.18392949971579312</v>
      </c>
      <c r="O100">
        <v>400.80829774054769</v>
      </c>
      <c r="P100">
        <v>165.35942119982201</v>
      </c>
      <c r="Q100">
        <v>165.89121560524973</v>
      </c>
      <c r="R100">
        <v>2.499038089182517</v>
      </c>
      <c r="S100">
        <v>333.74967489425427</v>
      </c>
      <c r="T100">
        <v>137.41979284279722</v>
      </c>
      <c r="U100">
        <v>0</v>
      </c>
      <c r="V100">
        <v>43.131424915029584</v>
      </c>
      <c r="W100">
        <v>9.7954594074462005</v>
      </c>
      <c r="X100">
        <v>0.83183871426784106</v>
      </c>
      <c r="Y100">
        <v>191.17851587954084</v>
      </c>
      <c r="Z100">
        <v>0.70057144081584999</v>
      </c>
      <c r="AA100">
        <v>926.43705995515859</v>
      </c>
      <c r="AB100">
        <v>169.03099999999998</v>
      </c>
      <c r="AC100">
        <v>5.4808707275893696</v>
      </c>
    </row>
    <row r="101" spans="4:37">
      <c r="D101" t="s">
        <v>661</v>
      </c>
      <c r="E101" t="s">
        <v>122</v>
      </c>
      <c r="F101" t="s">
        <v>626</v>
      </c>
      <c r="G101" t="s">
        <v>626</v>
      </c>
      <c r="H101" t="s">
        <v>1157</v>
      </c>
      <c r="I101">
        <v>2008</v>
      </c>
      <c r="J101">
        <v>258.78813260529785</v>
      </c>
      <c r="K101">
        <v>42.97993939707262</v>
      </c>
      <c r="L101">
        <v>66.251258148673614</v>
      </c>
      <c r="M101">
        <v>30.905963711812692</v>
      </c>
      <c r="N101">
        <v>0.1671728018801269</v>
      </c>
      <c r="O101">
        <v>399.09246666473689</v>
      </c>
      <c r="P101">
        <v>157.84650201786724</v>
      </c>
      <c r="Q101">
        <v>171.61046866567796</v>
      </c>
      <c r="R101">
        <v>2.7180190668886497</v>
      </c>
      <c r="S101">
        <v>332.17498975043384</v>
      </c>
      <c r="T101">
        <v>120.10677716045717</v>
      </c>
      <c r="U101">
        <v>0</v>
      </c>
      <c r="V101">
        <v>41.696534642774367</v>
      </c>
      <c r="W101">
        <v>9.9434233351564512</v>
      </c>
      <c r="X101">
        <v>0.81717722580201302</v>
      </c>
      <c r="Y101">
        <v>172.56391236419</v>
      </c>
      <c r="Z101">
        <v>0.65976003865495614</v>
      </c>
      <c r="AA101">
        <v>904.49112881801568</v>
      </c>
      <c r="AB101">
        <v>172.45200000000014</v>
      </c>
      <c r="AC101">
        <v>5.2448862803447627</v>
      </c>
    </row>
    <row r="102" spans="4:37">
      <c r="D102" t="s">
        <v>661</v>
      </c>
      <c r="E102" t="s">
        <v>122</v>
      </c>
      <c r="F102" t="s">
        <v>626</v>
      </c>
      <c r="G102" t="s">
        <v>626</v>
      </c>
      <c r="H102" t="s">
        <v>1157</v>
      </c>
      <c r="I102">
        <v>2009</v>
      </c>
      <c r="J102">
        <v>220.84248402801782</v>
      </c>
      <c r="K102">
        <v>41.837539624435088</v>
      </c>
      <c r="L102">
        <v>57.214284962493053</v>
      </c>
      <c r="M102">
        <v>24.183423000897566</v>
      </c>
      <c r="N102">
        <v>0.17183774756995457</v>
      </c>
      <c r="O102">
        <v>344.24956936341351</v>
      </c>
      <c r="P102">
        <v>140.50621068579122</v>
      </c>
      <c r="Q102">
        <v>153.94303923546823</v>
      </c>
      <c r="R102">
        <v>2.3993557331453301</v>
      </c>
      <c r="S102">
        <v>296.84860565440482</v>
      </c>
      <c r="T102">
        <v>125.82158303023427</v>
      </c>
      <c r="U102">
        <v>0</v>
      </c>
      <c r="V102">
        <v>40.409147429037873</v>
      </c>
      <c r="W102">
        <v>10.0510877168891</v>
      </c>
      <c r="X102">
        <v>0.791821689580125</v>
      </c>
      <c r="Y102">
        <v>177.07363986574137</v>
      </c>
      <c r="Z102">
        <v>0.65711584773573439</v>
      </c>
      <c r="AA102">
        <v>818.82893073129526</v>
      </c>
      <c r="AB102">
        <v>177.57999999999996</v>
      </c>
      <c r="AC102">
        <v>4.6110425201672234</v>
      </c>
    </row>
    <row r="103" spans="4:37">
      <c r="D103" t="s">
        <v>661</v>
      </c>
      <c r="E103" t="s">
        <v>122</v>
      </c>
      <c r="F103" t="s">
        <v>626</v>
      </c>
      <c r="G103" t="s">
        <v>626</v>
      </c>
      <c r="H103" t="s">
        <v>1157</v>
      </c>
      <c r="I103">
        <v>2010</v>
      </c>
      <c r="J103">
        <v>241.88110758799047</v>
      </c>
      <c r="K103">
        <v>46.209619867264522</v>
      </c>
      <c r="L103">
        <v>66.545057114824274</v>
      </c>
      <c r="M103">
        <v>25.04364781747638</v>
      </c>
      <c r="N103">
        <v>0.17232852313816838</v>
      </c>
      <c r="O103">
        <v>379.85176091069377</v>
      </c>
      <c r="P103">
        <v>146.21678107966659</v>
      </c>
      <c r="Q103">
        <v>172.49378043962827</v>
      </c>
      <c r="R103">
        <v>2.5049316248622477</v>
      </c>
      <c r="S103">
        <v>321.21549314415711</v>
      </c>
      <c r="T103">
        <v>121.50123946811988</v>
      </c>
      <c r="U103">
        <v>0</v>
      </c>
      <c r="V103">
        <v>39.220021435276315</v>
      </c>
      <c r="W103">
        <v>10.1829267175127</v>
      </c>
      <c r="X103">
        <v>0.79305613281015996</v>
      </c>
      <c r="Y103">
        <v>171.69724375371905</v>
      </c>
      <c r="Z103">
        <v>0.6239706926550016</v>
      </c>
      <c r="AA103">
        <v>873.38846850122491</v>
      </c>
      <c r="AB103">
        <v>182.83799999999999</v>
      </c>
      <c r="AC103">
        <v>4.7768432628951585</v>
      </c>
    </row>
    <row r="104" spans="4:37">
      <c r="D104" t="s">
        <v>661</v>
      </c>
      <c r="E104" t="s">
        <v>122</v>
      </c>
      <c r="F104" t="s">
        <v>626</v>
      </c>
      <c r="G104" t="s">
        <v>626</v>
      </c>
      <c r="H104" t="s">
        <v>1157</v>
      </c>
      <c r="I104">
        <v>2011</v>
      </c>
      <c r="J104">
        <v>213.52039428506782</v>
      </c>
      <c r="K104">
        <v>43.691369094282727</v>
      </c>
      <c r="L104">
        <v>53.312155979895579</v>
      </c>
      <c r="M104">
        <v>20.02212120928742</v>
      </c>
      <c r="N104">
        <v>0.17561201399925425</v>
      </c>
      <c r="O104">
        <v>330.72165258253278</v>
      </c>
      <c r="P104">
        <v>139.14225269527839</v>
      </c>
      <c r="Q104">
        <v>140.42385487845348</v>
      </c>
      <c r="R104">
        <v>2.4328533228197626</v>
      </c>
      <c r="S104">
        <v>281.99896089655164</v>
      </c>
      <c r="T104">
        <v>122.55626468808043</v>
      </c>
      <c r="U104">
        <v>0</v>
      </c>
      <c r="V104">
        <v>38.547390711850056</v>
      </c>
      <c r="W104">
        <v>9.9283924231971703</v>
      </c>
      <c r="X104">
        <v>0.75440172590212295</v>
      </c>
      <c r="Y104">
        <v>171.78644954902978</v>
      </c>
      <c r="Z104">
        <v>0.58004546858904327</v>
      </c>
      <c r="AA104">
        <v>785.08710849670308</v>
      </c>
      <c r="AB104">
        <v>187.02900000000011</v>
      </c>
      <c r="AC104">
        <v>4.1976758069427875</v>
      </c>
    </row>
    <row r="105" spans="4:37">
      <c r="D105" t="s">
        <v>661</v>
      </c>
      <c r="E105" t="s">
        <v>122</v>
      </c>
      <c r="F105" t="s">
        <v>626</v>
      </c>
      <c r="G105" t="s">
        <v>626</v>
      </c>
      <c r="H105" t="s">
        <v>1157</v>
      </c>
      <c r="I105">
        <v>2012</v>
      </c>
      <c r="J105">
        <v>231.6679819823913</v>
      </c>
      <c r="K105">
        <v>44.054252212739371</v>
      </c>
      <c r="L105">
        <v>56.775900354725827</v>
      </c>
      <c r="M105">
        <v>22.474218687548891</v>
      </c>
      <c r="N105">
        <v>0.17500766122713318</v>
      </c>
      <c r="O105">
        <v>355.14736089863254</v>
      </c>
      <c r="P105">
        <v>145.3536886522773</v>
      </c>
      <c r="Q105">
        <v>153.36983443879154</v>
      </c>
      <c r="R105">
        <v>2.3236417377477259</v>
      </c>
      <c r="S105">
        <v>301.04716482881656</v>
      </c>
      <c r="T105">
        <v>116.17233222285984</v>
      </c>
      <c r="U105">
        <v>0</v>
      </c>
      <c r="V105">
        <v>38.189264727822035</v>
      </c>
      <c r="W105">
        <v>9.9521736083886303</v>
      </c>
      <c r="X105">
        <v>0.69803417032326898</v>
      </c>
      <c r="Y105">
        <v>165.01180472939376</v>
      </c>
      <c r="Z105">
        <v>0.52523115024943512</v>
      </c>
      <c r="AA105">
        <v>821.73156160709232</v>
      </c>
      <c r="AB105">
        <v>190.56000000000012</v>
      </c>
      <c r="AC105">
        <v>4.3121933333705487</v>
      </c>
    </row>
    <row r="106" spans="4:37">
      <c r="D106" t="s">
        <v>661</v>
      </c>
      <c r="E106" t="s">
        <v>122</v>
      </c>
      <c r="F106" t="s">
        <v>626</v>
      </c>
      <c r="G106" t="s">
        <v>626</v>
      </c>
      <c r="H106" t="s">
        <v>1157</v>
      </c>
      <c r="I106">
        <v>2013</v>
      </c>
      <c r="J106">
        <v>206.50992312858787</v>
      </c>
      <c r="K106">
        <v>43.924801081978302</v>
      </c>
      <c r="L106">
        <v>60.606536747227693</v>
      </c>
      <c r="M106">
        <v>18.073839696820691</v>
      </c>
      <c r="N106">
        <v>0.17559231411830514</v>
      </c>
      <c r="O106">
        <v>329.29069296873286</v>
      </c>
      <c r="P106">
        <v>131.8692543965241</v>
      </c>
      <c r="Q106">
        <v>156.50254479930544</v>
      </c>
      <c r="R106">
        <v>2.645736911800078</v>
      </c>
      <c r="S106">
        <v>291.01753610762967</v>
      </c>
      <c r="T106">
        <v>118.5449076995253</v>
      </c>
      <c r="U106">
        <v>0</v>
      </c>
      <c r="V106">
        <v>37.439539657450922</v>
      </c>
      <c r="W106">
        <v>9.7022823783251599</v>
      </c>
      <c r="X106">
        <v>0.734327618855663</v>
      </c>
      <c r="Y106">
        <v>166.42105735415703</v>
      </c>
      <c r="Z106">
        <v>0.51911020267839048</v>
      </c>
      <c r="AA106">
        <v>787.2483966331979</v>
      </c>
      <c r="AB106">
        <v>194.35199999999992</v>
      </c>
      <c r="AC106">
        <v>4.0506318259302621</v>
      </c>
    </row>
    <row r="107" spans="4:37">
      <c r="D107" t="s">
        <v>661</v>
      </c>
      <c r="E107" t="s">
        <v>122</v>
      </c>
      <c r="F107" t="s">
        <v>626</v>
      </c>
      <c r="G107" t="s">
        <v>626</v>
      </c>
      <c r="H107" t="s">
        <v>1157</v>
      </c>
      <c r="I107">
        <v>2014</v>
      </c>
      <c r="J107">
        <v>127.5034001322723</v>
      </c>
      <c r="K107">
        <v>38.999196668177568</v>
      </c>
      <c r="L107">
        <v>39.859083485554294</v>
      </c>
      <c r="M107">
        <v>19.755615168370408</v>
      </c>
      <c r="N107">
        <v>0.16769224231314495</v>
      </c>
      <c r="O107">
        <v>226.28498769668772</v>
      </c>
      <c r="P107">
        <v>110.78340879261145</v>
      </c>
      <c r="Q107">
        <v>129.30167045485325</v>
      </c>
      <c r="R107">
        <v>2.5506729596436899</v>
      </c>
      <c r="S107">
        <v>242.6357522071084</v>
      </c>
      <c r="T107">
        <v>122.03563694307849</v>
      </c>
      <c r="U107">
        <v>0</v>
      </c>
      <c r="V107">
        <v>38.144906100319204</v>
      </c>
      <c r="W107">
        <v>9.9321448497972789</v>
      </c>
      <c r="X107">
        <v>0.73565279642142201</v>
      </c>
      <c r="Y107">
        <v>170.84834068961638</v>
      </c>
      <c r="Z107">
        <v>0.46749125624843146</v>
      </c>
      <c r="AA107">
        <v>640.23657184966089</v>
      </c>
      <c r="AB107">
        <v>198.29399999999993</v>
      </c>
      <c r="AC107">
        <v>3.2287238738926094</v>
      </c>
    </row>
    <row r="108" spans="4:37">
      <c r="D108" t="s">
        <v>661</v>
      </c>
      <c r="E108" t="s">
        <v>122</v>
      </c>
      <c r="F108" t="s">
        <v>626</v>
      </c>
      <c r="G108" t="s">
        <v>626</v>
      </c>
      <c r="H108" t="s">
        <v>1157</v>
      </c>
      <c r="I108">
        <v>2015</v>
      </c>
      <c r="J108">
        <v>137.98290172327427</v>
      </c>
      <c r="K108">
        <v>41.627938434255526</v>
      </c>
      <c r="L108">
        <v>39.155201444608181</v>
      </c>
      <c r="M108">
        <v>20.274726809916519</v>
      </c>
      <c r="N108">
        <v>0.17176544854464701</v>
      </c>
      <c r="O108">
        <v>239.21253386059917</v>
      </c>
      <c r="P108">
        <v>92.354321144927866</v>
      </c>
      <c r="Q108">
        <v>137.6714020444704</v>
      </c>
      <c r="R108">
        <v>2.5250780000071851</v>
      </c>
      <c r="S108">
        <v>232.55080118940546</v>
      </c>
      <c r="T108">
        <v>124.83487756873623</v>
      </c>
      <c r="U108">
        <v>0</v>
      </c>
      <c r="V108">
        <v>37.655995751760699</v>
      </c>
      <c r="W108">
        <v>9.79506931906133</v>
      </c>
      <c r="X108">
        <v>0.71825177210240809</v>
      </c>
      <c r="Y108">
        <v>173.00419441166065</v>
      </c>
      <c r="Z108">
        <v>0.45372352020724238</v>
      </c>
      <c r="AA108">
        <v>645.22125298187257</v>
      </c>
      <c r="AB108">
        <v>201.97900000000004</v>
      </c>
      <c r="AC108">
        <v>3.1944967198662853</v>
      </c>
    </row>
    <row r="109" spans="4:37">
      <c r="D109" t="s">
        <v>661</v>
      </c>
      <c r="E109" t="s">
        <v>122</v>
      </c>
      <c r="F109" t="s">
        <v>627</v>
      </c>
      <c r="G109" t="s">
        <v>627</v>
      </c>
      <c r="H109" t="s">
        <v>1158</v>
      </c>
      <c r="I109">
        <v>2005</v>
      </c>
      <c r="J109">
        <v>289.44475694685536</v>
      </c>
      <c r="K109">
        <v>149.72288289532113</v>
      </c>
      <c r="L109">
        <v>0</v>
      </c>
      <c r="M109">
        <v>20.476086495651067</v>
      </c>
      <c r="N109">
        <v>0.52524924053730304</v>
      </c>
      <c r="O109">
        <v>460.16897557836489</v>
      </c>
      <c r="P109">
        <v>356.83177043698237</v>
      </c>
      <c r="Q109">
        <v>505.28720446046242</v>
      </c>
      <c r="R109">
        <v>4.3859594526200691</v>
      </c>
      <c r="S109">
        <v>866.5049343500649</v>
      </c>
      <c r="T109">
        <v>276.74400475514318</v>
      </c>
      <c r="U109">
        <v>61.242101775749617</v>
      </c>
      <c r="V109">
        <v>95.555024197896017</v>
      </c>
      <c r="W109">
        <v>0.780292368889553</v>
      </c>
      <c r="X109">
        <v>2.13598045318489</v>
      </c>
      <c r="Y109">
        <v>436.45740355086332</v>
      </c>
      <c r="Z109">
        <v>2.8463347878375078</v>
      </c>
      <c r="AA109">
        <v>1765.9776482671305</v>
      </c>
      <c r="AB109">
        <v>327.54100000000005</v>
      </c>
      <c r="AC109">
        <v>5.3916231808144026</v>
      </c>
    </row>
    <row r="110" spans="4:37">
      <c r="D110" t="s">
        <v>661</v>
      </c>
      <c r="E110" t="s">
        <v>122</v>
      </c>
      <c r="F110" t="s">
        <v>627</v>
      </c>
      <c r="G110" t="s">
        <v>627</v>
      </c>
      <c r="H110" t="s">
        <v>1158</v>
      </c>
      <c r="I110">
        <v>2006</v>
      </c>
      <c r="J110">
        <v>314.16822054795392</v>
      </c>
      <c r="K110">
        <v>137.3297134268106</v>
      </c>
      <c r="L110">
        <v>0</v>
      </c>
      <c r="M110">
        <v>19.689991622740237</v>
      </c>
      <c r="N110">
        <v>0.50036703957568207</v>
      </c>
      <c r="O110">
        <v>471.68829263708045</v>
      </c>
      <c r="P110">
        <v>376.24230551136151</v>
      </c>
      <c r="Q110">
        <v>488.83442401065031</v>
      </c>
      <c r="R110">
        <v>4.0498495141090132</v>
      </c>
      <c r="S110">
        <v>869.12657903612092</v>
      </c>
      <c r="T110">
        <v>276.88078557167506</v>
      </c>
      <c r="U110">
        <v>63.982577069628832</v>
      </c>
      <c r="V110">
        <v>91.436457044328051</v>
      </c>
      <c r="W110">
        <v>0.766302970956934</v>
      </c>
      <c r="X110">
        <v>2.2037842953099798</v>
      </c>
      <c r="Y110">
        <v>435.2699069518988</v>
      </c>
      <c r="Z110">
        <v>2.6627460001966274</v>
      </c>
      <c r="AA110">
        <v>1778.7475246252968</v>
      </c>
      <c r="AB110">
        <v>330.80100000000004</v>
      </c>
      <c r="AC110">
        <v>5.3770923444164209</v>
      </c>
    </row>
    <row r="111" spans="4:37">
      <c r="D111" t="s">
        <v>661</v>
      </c>
      <c r="E111" t="s">
        <v>122</v>
      </c>
      <c r="F111" t="s">
        <v>627</v>
      </c>
      <c r="G111" t="s">
        <v>627</v>
      </c>
      <c r="H111" t="s">
        <v>1158</v>
      </c>
      <c r="I111">
        <v>2007</v>
      </c>
      <c r="J111">
        <v>297.75006283123577</v>
      </c>
      <c r="K111">
        <v>124.05219722248165</v>
      </c>
      <c r="L111">
        <v>0</v>
      </c>
      <c r="M111">
        <v>19.714953547251632</v>
      </c>
      <c r="N111">
        <v>0.47611232597450437</v>
      </c>
      <c r="O111">
        <v>441.99332592694356</v>
      </c>
      <c r="P111">
        <v>374.78733435005131</v>
      </c>
      <c r="Q111">
        <v>467.56128600532929</v>
      </c>
      <c r="R111">
        <v>3.8631882144329905</v>
      </c>
      <c r="S111">
        <v>846.21180856981357</v>
      </c>
      <c r="T111">
        <v>275.31754613391001</v>
      </c>
      <c r="U111">
        <v>58.854959267160723</v>
      </c>
      <c r="V111">
        <v>91.992985906690762</v>
      </c>
      <c r="W111">
        <v>0.87969101816833406</v>
      </c>
      <c r="X111">
        <v>2.0966121659844097</v>
      </c>
      <c r="Y111">
        <v>429.14179449191425</v>
      </c>
      <c r="Z111">
        <v>2.5031676243697545</v>
      </c>
      <c r="AA111">
        <v>1719.8500966130412</v>
      </c>
      <c r="AB111">
        <v>334.8369999999997</v>
      </c>
      <c r="AC111">
        <v>5.1363800793013992</v>
      </c>
    </row>
    <row r="112" spans="4:37">
      <c r="D112" t="s">
        <v>661</v>
      </c>
      <c r="E112" t="s">
        <v>122</v>
      </c>
      <c r="F112" t="s">
        <v>627</v>
      </c>
      <c r="G112" t="s">
        <v>627</v>
      </c>
      <c r="H112" t="s">
        <v>1158</v>
      </c>
      <c r="I112">
        <v>2008</v>
      </c>
      <c r="J112">
        <v>309.71096049690954</v>
      </c>
      <c r="K112">
        <v>125.36923388430866</v>
      </c>
      <c r="L112">
        <v>0</v>
      </c>
      <c r="M112">
        <v>17.28490595456751</v>
      </c>
      <c r="N112">
        <v>0.47388202899244553</v>
      </c>
      <c r="O112">
        <v>452.83898236477813</v>
      </c>
      <c r="P112">
        <v>360.39653032690671</v>
      </c>
      <c r="Q112">
        <v>491.22552019665198</v>
      </c>
      <c r="R112">
        <v>4.0744736389489873</v>
      </c>
      <c r="S112">
        <v>855.69652416250779</v>
      </c>
      <c r="T112">
        <v>265.17445696758352</v>
      </c>
      <c r="U112">
        <v>65.83650565966721</v>
      </c>
      <c r="V112">
        <v>89.164696843203416</v>
      </c>
      <c r="W112">
        <v>0.88357831071881998</v>
      </c>
      <c r="X112">
        <v>2.2456420344672301</v>
      </c>
      <c r="Y112">
        <v>423.30487981564011</v>
      </c>
      <c r="Z112">
        <v>2.3422631935736584</v>
      </c>
      <c r="AA112">
        <v>1734.1826495364999</v>
      </c>
      <c r="AB112">
        <v>339.2119999999997</v>
      </c>
      <c r="AC112">
        <v>5.1123859106885998</v>
      </c>
      <c r="AJ112" t="s">
        <v>1133</v>
      </c>
      <c r="AK112" t="s">
        <v>122</v>
      </c>
    </row>
    <row r="113" spans="4:37">
      <c r="D113" t="s">
        <v>661</v>
      </c>
      <c r="E113" t="s">
        <v>122</v>
      </c>
      <c r="F113" t="s">
        <v>627</v>
      </c>
      <c r="G113" t="s">
        <v>627</v>
      </c>
      <c r="H113" t="s">
        <v>1158</v>
      </c>
      <c r="I113">
        <v>2009</v>
      </c>
      <c r="J113">
        <v>277.15190937876883</v>
      </c>
      <c r="K113">
        <v>111.58769975286526</v>
      </c>
      <c r="L113">
        <v>0</v>
      </c>
      <c r="M113">
        <v>13.56964932980395</v>
      </c>
      <c r="N113">
        <v>0.46822069735930616</v>
      </c>
      <c r="O113">
        <v>402.77747915879735</v>
      </c>
      <c r="P113">
        <v>321.90426696720493</v>
      </c>
      <c r="Q113">
        <v>448.147176930429</v>
      </c>
      <c r="R113">
        <v>3.7961076517491361</v>
      </c>
      <c r="S113">
        <v>773.84755154938307</v>
      </c>
      <c r="T113">
        <v>254.13604279311693</v>
      </c>
      <c r="U113">
        <v>61.977184500263704</v>
      </c>
      <c r="V113">
        <v>86.78738568845003</v>
      </c>
      <c r="W113">
        <v>0.8869376775648431</v>
      </c>
      <c r="X113">
        <v>2.0133390142561098</v>
      </c>
      <c r="Y113">
        <v>405.80088967365168</v>
      </c>
      <c r="Z113">
        <v>2.2386210201995267</v>
      </c>
      <c r="AA113">
        <v>1584.6645414020318</v>
      </c>
      <c r="AB113">
        <v>345.82899999999989</v>
      </c>
      <c r="AC113">
        <v>4.5822199451232608</v>
      </c>
      <c r="AJ113" t="s">
        <v>1134</v>
      </c>
      <c r="AK113" t="s">
        <v>628</v>
      </c>
    </row>
    <row r="114" spans="4:37">
      <c r="D114" t="s">
        <v>661</v>
      </c>
      <c r="E114" t="s">
        <v>122</v>
      </c>
      <c r="F114" t="s">
        <v>627</v>
      </c>
      <c r="G114" t="s">
        <v>627</v>
      </c>
      <c r="H114" t="s">
        <v>1158</v>
      </c>
      <c r="I114">
        <v>2010</v>
      </c>
      <c r="J114">
        <v>288.14922105853731</v>
      </c>
      <c r="K114">
        <v>123.09221412750297</v>
      </c>
      <c r="L114">
        <v>0</v>
      </c>
      <c r="M114">
        <v>14.51654393543595</v>
      </c>
      <c r="N114">
        <v>0.4724185001979318</v>
      </c>
      <c r="O114">
        <v>426.23039762167417</v>
      </c>
      <c r="P114">
        <v>333.82389438199903</v>
      </c>
      <c r="Q114">
        <v>498.9705018206464</v>
      </c>
      <c r="R114">
        <v>3.9656814260678308</v>
      </c>
      <c r="S114">
        <v>836.76007762871325</v>
      </c>
      <c r="T114">
        <v>262.08331354169741</v>
      </c>
      <c r="U114">
        <v>61.77744278310427</v>
      </c>
      <c r="V114">
        <v>84.445167300232342</v>
      </c>
      <c r="W114">
        <v>0.88717931490175705</v>
      </c>
      <c r="X114">
        <v>2.0841763906689899</v>
      </c>
      <c r="Y114">
        <v>411.27727933060476</v>
      </c>
      <c r="Z114">
        <v>2.0967568627908828</v>
      </c>
      <c r="AA114">
        <v>1676.3645114437832</v>
      </c>
      <c r="AB114">
        <v>351.43800000000005</v>
      </c>
      <c r="AC114">
        <v>4.7700149427318133</v>
      </c>
      <c r="AJ114" t="s">
        <v>1135</v>
      </c>
      <c r="AK114" t="s">
        <v>628</v>
      </c>
    </row>
    <row r="115" spans="4:37">
      <c r="D115" t="s">
        <v>661</v>
      </c>
      <c r="E115" t="s">
        <v>122</v>
      </c>
      <c r="F115" t="s">
        <v>627</v>
      </c>
      <c r="G115" t="s">
        <v>627</v>
      </c>
      <c r="H115" t="s">
        <v>1158</v>
      </c>
      <c r="I115">
        <v>2011</v>
      </c>
      <c r="J115">
        <v>270.64847774665475</v>
      </c>
      <c r="K115">
        <v>99.201435296145576</v>
      </c>
      <c r="L115">
        <v>0</v>
      </c>
      <c r="M115">
        <v>12.401814654314069</v>
      </c>
      <c r="N115">
        <v>0.47900787065995082</v>
      </c>
      <c r="O115">
        <v>382.73073556777433</v>
      </c>
      <c r="P115">
        <v>317.71566993631728</v>
      </c>
      <c r="Q115">
        <v>409.03584860644776</v>
      </c>
      <c r="R115">
        <v>3.7813738755795669</v>
      </c>
      <c r="S115">
        <v>730.53289241834466</v>
      </c>
      <c r="T115">
        <v>246.55353397328685</v>
      </c>
      <c r="U115">
        <v>52.921968972144874</v>
      </c>
      <c r="V115">
        <v>82.960487935429683</v>
      </c>
      <c r="W115">
        <v>0.87807948063181096</v>
      </c>
      <c r="X115">
        <v>1.8933099202785399</v>
      </c>
      <c r="Y115">
        <v>385.20738028177175</v>
      </c>
      <c r="Z115">
        <v>1.9456204670768589</v>
      </c>
      <c r="AA115">
        <v>1500.4166287349678</v>
      </c>
      <c r="AB115">
        <v>357.5380000000003</v>
      </c>
      <c r="AC115">
        <v>4.196523526827824</v>
      </c>
      <c r="AJ115" t="s">
        <v>1136</v>
      </c>
      <c r="AK115" t="s">
        <v>1159</v>
      </c>
    </row>
    <row r="116" spans="4:37">
      <c r="D116" t="s">
        <v>661</v>
      </c>
      <c r="E116" t="s">
        <v>122</v>
      </c>
      <c r="F116" t="s">
        <v>627</v>
      </c>
      <c r="G116" t="s">
        <v>627</v>
      </c>
      <c r="H116" t="s">
        <v>1158</v>
      </c>
      <c r="I116">
        <v>2012</v>
      </c>
      <c r="J116">
        <v>279.61134589649436</v>
      </c>
      <c r="K116">
        <v>109.45761268615726</v>
      </c>
      <c r="L116">
        <v>0</v>
      </c>
      <c r="M116">
        <v>13.177668644485319</v>
      </c>
      <c r="N116">
        <v>0.49092802454061041</v>
      </c>
      <c r="O116">
        <v>402.73755525167752</v>
      </c>
      <c r="P116">
        <v>337.88572607403728</v>
      </c>
      <c r="Q116">
        <v>450.75849760885751</v>
      </c>
      <c r="R116">
        <v>3.6847465436006908</v>
      </c>
      <c r="S116">
        <v>792.32897022649547</v>
      </c>
      <c r="T116">
        <v>255.59734478463287</v>
      </c>
      <c r="U116">
        <v>53.697876056917835</v>
      </c>
      <c r="V116">
        <v>82.098659124766954</v>
      </c>
      <c r="W116">
        <v>0.8873726943241349</v>
      </c>
      <c r="X116">
        <v>1.88327756082956</v>
      </c>
      <c r="Y116">
        <v>394.16453022147135</v>
      </c>
      <c r="Z116">
        <v>1.7911576820419401</v>
      </c>
      <c r="AA116">
        <v>1591.0222133816867</v>
      </c>
      <c r="AB116">
        <v>363.95600000000007</v>
      </c>
      <c r="AC116">
        <v>4.3714685659301846</v>
      </c>
      <c r="AJ116" t="s">
        <v>353</v>
      </c>
      <c r="AK116">
        <v>2015</v>
      </c>
    </row>
    <row r="117" spans="4:37">
      <c r="D117" t="s">
        <v>661</v>
      </c>
      <c r="E117" t="s">
        <v>122</v>
      </c>
      <c r="F117" t="s">
        <v>627</v>
      </c>
      <c r="G117" t="s">
        <v>627</v>
      </c>
      <c r="H117" t="s">
        <v>1158</v>
      </c>
      <c r="I117">
        <v>2013</v>
      </c>
      <c r="J117">
        <v>256.66163238780302</v>
      </c>
      <c r="K117">
        <v>114.50784882154215</v>
      </c>
      <c r="L117">
        <v>0</v>
      </c>
      <c r="M117">
        <v>10.806795631968829</v>
      </c>
      <c r="N117">
        <v>0.5002527184431953</v>
      </c>
      <c r="O117">
        <v>382.47652955975724</v>
      </c>
      <c r="P117">
        <v>308.95229610341272</v>
      </c>
      <c r="Q117">
        <v>464.68694689392709</v>
      </c>
      <c r="R117">
        <v>3.9643093535760623</v>
      </c>
      <c r="S117">
        <v>777.60355235091583</v>
      </c>
      <c r="T117">
        <v>254.31349560534866</v>
      </c>
      <c r="U117">
        <v>56.536877303709602</v>
      </c>
      <c r="V117">
        <v>80.093751636805905</v>
      </c>
      <c r="W117">
        <v>0.89698740586387204</v>
      </c>
      <c r="X117">
        <v>1.92521151936045</v>
      </c>
      <c r="Y117">
        <v>393.76632347108847</v>
      </c>
      <c r="Z117">
        <v>1.7011842862566087</v>
      </c>
      <c r="AA117">
        <v>1555.5475896680182</v>
      </c>
      <c r="AB117">
        <v>369.08799999999991</v>
      </c>
      <c r="AC117">
        <v>4.214571022813038</v>
      </c>
      <c r="AJ117" t="s">
        <v>1137</v>
      </c>
      <c r="AK117">
        <v>326.3885519840502</v>
      </c>
    </row>
    <row r="118" spans="4:37">
      <c r="D118" t="s">
        <v>661</v>
      </c>
      <c r="E118" t="s">
        <v>122</v>
      </c>
      <c r="F118" t="s">
        <v>627</v>
      </c>
      <c r="G118" t="s">
        <v>627</v>
      </c>
      <c r="H118" t="s">
        <v>1158</v>
      </c>
      <c r="I118">
        <v>2014</v>
      </c>
      <c r="J118">
        <v>261.06199664540281</v>
      </c>
      <c r="K118">
        <v>97.239805209898961</v>
      </c>
      <c r="L118">
        <v>0</v>
      </c>
      <c r="M118">
        <v>11.898972051833908</v>
      </c>
      <c r="N118">
        <v>0.47228425696034643</v>
      </c>
      <c r="O118">
        <v>370.67305816409606</v>
      </c>
      <c r="P118">
        <v>256.98937469660461</v>
      </c>
      <c r="Q118">
        <v>384.00167993508825</v>
      </c>
      <c r="R118">
        <v>3.8780504814783585</v>
      </c>
      <c r="S118">
        <v>644.86910511317114</v>
      </c>
      <c r="T118">
        <v>252.91890962018942</v>
      </c>
      <c r="U118">
        <v>56.749215002567787</v>
      </c>
      <c r="V118">
        <v>81.22168165631571</v>
      </c>
      <c r="W118">
        <v>0.91346883804104906</v>
      </c>
      <c r="X118">
        <v>1.8898995722574301</v>
      </c>
      <c r="Y118">
        <v>393.6931746893714</v>
      </c>
      <c r="Z118">
        <v>1.5537267949237241</v>
      </c>
      <c r="AA118">
        <v>1410.7890647615625</v>
      </c>
      <c r="AB118">
        <v>374.91500000000025</v>
      </c>
      <c r="AC118">
        <v>3.7629571096423495</v>
      </c>
      <c r="AJ118" t="s">
        <v>1138</v>
      </c>
      <c r="AK118">
        <v>131.48613642913355</v>
      </c>
    </row>
    <row r="119" spans="4:37">
      <c r="D119" t="s">
        <v>661</v>
      </c>
      <c r="E119" t="s">
        <v>122</v>
      </c>
      <c r="F119" t="s">
        <v>627</v>
      </c>
      <c r="G119" t="s">
        <v>627</v>
      </c>
      <c r="H119" t="s">
        <v>1158</v>
      </c>
      <c r="I119">
        <v>2015</v>
      </c>
      <c r="J119">
        <v>198.3396518804947</v>
      </c>
      <c r="K119">
        <v>100.56286276687374</v>
      </c>
      <c r="L119">
        <v>0</v>
      </c>
      <c r="M119">
        <v>12.215696814261372</v>
      </c>
      <c r="N119">
        <v>0.48265844794253571</v>
      </c>
      <c r="O119">
        <v>311.60086990957234</v>
      </c>
      <c r="P119">
        <v>216.14041938155694</v>
      </c>
      <c r="Q119">
        <v>407.67571404713067</v>
      </c>
      <c r="R119">
        <v>3.8610940324158385</v>
      </c>
      <c r="S119">
        <v>627.67722746110348</v>
      </c>
      <c r="T119">
        <v>254.95387594692832</v>
      </c>
      <c r="U119">
        <v>58.39234019901366</v>
      </c>
      <c r="V119">
        <v>79.053357583844573</v>
      </c>
      <c r="W119">
        <v>0.87832005827603699</v>
      </c>
      <c r="X119">
        <v>1.8461599289470101</v>
      </c>
      <c r="Y119">
        <v>395.12405371700959</v>
      </c>
      <c r="Z119">
        <v>1.4617857536865801</v>
      </c>
      <c r="AA119">
        <v>1335.8639368413722</v>
      </c>
      <c r="AB119">
        <v>379.69100000000009</v>
      </c>
      <c r="AC119">
        <v>3.5182923399326604</v>
      </c>
      <c r="AG119" t="s">
        <v>1160</v>
      </c>
      <c r="AH119" t="s">
        <v>1161</v>
      </c>
      <c r="AJ119" t="s">
        <v>1139</v>
      </c>
      <c r="AK119">
        <v>7.3301940365473461</v>
      </c>
    </row>
    <row r="120" spans="4:37">
      <c r="D120" t="s">
        <v>661</v>
      </c>
      <c r="E120" t="s">
        <v>122</v>
      </c>
      <c r="F120" t="s">
        <v>628</v>
      </c>
      <c r="G120" t="s">
        <v>628</v>
      </c>
      <c r="H120" t="s">
        <v>1159</v>
      </c>
      <c r="I120">
        <v>2005</v>
      </c>
      <c r="J120">
        <v>232.01719280086618</v>
      </c>
      <c r="K120">
        <v>165.87638843716971</v>
      </c>
      <c r="L120">
        <v>19.798071080797985</v>
      </c>
      <c r="M120">
        <v>67.660342689457863</v>
      </c>
      <c r="N120">
        <v>0.34135383920653345</v>
      </c>
      <c r="O120">
        <v>485.69334884749827</v>
      </c>
      <c r="P120">
        <v>221.46220210938478</v>
      </c>
      <c r="Q120">
        <v>305.19730402119785</v>
      </c>
      <c r="R120">
        <v>3.4177524542024549</v>
      </c>
      <c r="S120">
        <v>530.077258584785</v>
      </c>
      <c r="T120">
        <v>192.30377145726084</v>
      </c>
      <c r="U120">
        <v>0</v>
      </c>
      <c r="V120">
        <v>74.615263197446836</v>
      </c>
      <c r="W120">
        <v>0.48585623170617703</v>
      </c>
      <c r="X120">
        <v>1.31526499515099</v>
      </c>
      <c r="Y120">
        <v>268.72015588156484</v>
      </c>
      <c r="Z120">
        <v>2.1128977136967064</v>
      </c>
      <c r="AA120">
        <v>1286.6036610275448</v>
      </c>
      <c r="AB120">
        <v>222.39099999999991</v>
      </c>
      <c r="AC120">
        <v>5.7853225221683671</v>
      </c>
      <c r="AE120" t="s">
        <v>183</v>
      </c>
      <c r="AG120">
        <v>246.49587115456802</v>
      </c>
      <c r="AH120">
        <f>AK124</f>
        <v>233.57789530030257</v>
      </c>
      <c r="AJ120" t="s">
        <v>1140</v>
      </c>
      <c r="AK120">
        <v>40.371409947676966</v>
      </c>
    </row>
    <row r="121" spans="4:37">
      <c r="D121" t="s">
        <v>661</v>
      </c>
      <c r="E121" t="s">
        <v>122</v>
      </c>
      <c r="F121" t="s">
        <v>628</v>
      </c>
      <c r="G121" t="s">
        <v>628</v>
      </c>
      <c r="H121" t="s">
        <v>1159</v>
      </c>
      <c r="I121">
        <v>2006</v>
      </c>
      <c r="J121">
        <v>245.87592018882003</v>
      </c>
      <c r="K121">
        <v>164.71549179991524</v>
      </c>
      <c r="L121">
        <v>11.092916843243014</v>
      </c>
      <c r="M121">
        <v>60.59370597006486</v>
      </c>
      <c r="N121">
        <v>0.32203626832790488</v>
      </c>
      <c r="O121">
        <v>482.60007107037109</v>
      </c>
      <c r="P121">
        <v>230.14425895366654</v>
      </c>
      <c r="Q121">
        <v>292.55148595218435</v>
      </c>
      <c r="R121">
        <v>3.1225072469978001</v>
      </c>
      <c r="S121">
        <v>525.81825215284869</v>
      </c>
      <c r="T121">
        <v>187.17369640826502</v>
      </c>
      <c r="U121">
        <v>0</v>
      </c>
      <c r="V121">
        <v>71.149982532454885</v>
      </c>
      <c r="W121">
        <v>0.48735696939085604</v>
      </c>
      <c r="X121">
        <v>1.3141083608005599</v>
      </c>
      <c r="Y121">
        <v>260.12514427091133</v>
      </c>
      <c r="Z121">
        <v>1.9404664986081184</v>
      </c>
      <c r="AA121">
        <v>1270.4839339927394</v>
      </c>
      <c r="AB121">
        <v>223.27999999999994</v>
      </c>
      <c r="AC121">
        <v>5.6900928609492105</v>
      </c>
      <c r="AE121" t="s">
        <v>185</v>
      </c>
      <c r="AG121">
        <v>116.12538341099722</v>
      </c>
      <c r="AH121">
        <f>AK123</f>
        <v>132.9109663794685</v>
      </c>
      <c r="AI121" s="39">
        <f>(AH120+AH121)/SUM(AG120:AG121)</f>
        <v>1.0106656933798306</v>
      </c>
      <c r="AJ121" t="s">
        <v>1141</v>
      </c>
      <c r="AK121">
        <v>0.29890716661936045</v>
      </c>
    </row>
    <row r="122" spans="4:37">
      <c r="D122" t="s">
        <v>661</v>
      </c>
      <c r="E122" t="s">
        <v>122</v>
      </c>
      <c r="F122" t="s">
        <v>628</v>
      </c>
      <c r="G122" t="s">
        <v>628</v>
      </c>
      <c r="H122" t="s">
        <v>1159</v>
      </c>
      <c r="I122">
        <v>2007</v>
      </c>
      <c r="J122">
        <v>239.14996239969884</v>
      </c>
      <c r="K122">
        <v>144.37201283008326</v>
      </c>
      <c r="L122">
        <v>7.2095103224959729</v>
      </c>
      <c r="M122">
        <v>60.394356695318812</v>
      </c>
      <c r="N122">
        <v>0.30517496425594365</v>
      </c>
      <c r="O122">
        <v>451.43101721185292</v>
      </c>
      <c r="P122">
        <v>231.06509404001744</v>
      </c>
      <c r="Q122">
        <v>274.67405889637524</v>
      </c>
      <c r="R122">
        <v>2.9898120763953102</v>
      </c>
      <c r="S122">
        <v>508.72896501278797</v>
      </c>
      <c r="T122">
        <v>183.65469489014146</v>
      </c>
      <c r="U122">
        <v>0</v>
      </c>
      <c r="V122">
        <v>71.309156368042238</v>
      </c>
      <c r="W122">
        <v>0.464564561161527</v>
      </c>
      <c r="X122">
        <v>1.25090019996363</v>
      </c>
      <c r="Y122">
        <v>256.67931601930883</v>
      </c>
      <c r="Z122">
        <v>1.8140659363522396</v>
      </c>
      <c r="AA122">
        <v>1218.6533641803021</v>
      </c>
      <c r="AB122">
        <v>224.625</v>
      </c>
      <c r="AC122">
        <v>5.4252793063118627</v>
      </c>
      <c r="AE122" t="s">
        <v>186</v>
      </c>
      <c r="AG122">
        <v>81.100043986602657</v>
      </c>
      <c r="AH122">
        <f>AK118</f>
        <v>131.48613642913355</v>
      </c>
      <c r="AJ122" t="s">
        <v>1142</v>
      </c>
      <c r="AK122">
        <v>505.87519956402747</v>
      </c>
    </row>
    <row r="123" spans="4:37">
      <c r="D123" t="s">
        <v>661</v>
      </c>
      <c r="E123" t="s">
        <v>122</v>
      </c>
      <c r="F123" t="s">
        <v>628</v>
      </c>
      <c r="G123" t="s">
        <v>628</v>
      </c>
      <c r="H123" t="s">
        <v>1159</v>
      </c>
      <c r="I123">
        <v>2008</v>
      </c>
      <c r="J123">
        <v>238.0415828478003</v>
      </c>
      <c r="K123">
        <v>149.52075963633419</v>
      </c>
      <c r="L123">
        <v>8.7370643866086688</v>
      </c>
      <c r="M123">
        <v>53.913181549094475</v>
      </c>
      <c r="N123">
        <v>0.28365744039079194</v>
      </c>
      <c r="O123">
        <v>450.49624586022844</v>
      </c>
      <c r="P123">
        <v>222.74375423878635</v>
      </c>
      <c r="Q123">
        <v>287.24301730697192</v>
      </c>
      <c r="R123">
        <v>3.1722028993452112</v>
      </c>
      <c r="S123">
        <v>513.15897444510347</v>
      </c>
      <c r="T123">
        <v>172.52612005699203</v>
      </c>
      <c r="U123">
        <v>0</v>
      </c>
      <c r="V123">
        <v>69.015320023160101</v>
      </c>
      <c r="W123">
        <v>0.468135954964915</v>
      </c>
      <c r="X123">
        <v>1.2941997147134501</v>
      </c>
      <c r="Y123">
        <v>243.30377574983049</v>
      </c>
      <c r="Z123">
        <v>1.6669530414600577</v>
      </c>
      <c r="AA123">
        <v>1208.6259490966224</v>
      </c>
      <c r="AB123">
        <v>226.65200000000002</v>
      </c>
      <c r="AC123">
        <v>5.3325183501430491</v>
      </c>
      <c r="AE123" t="s">
        <v>187</v>
      </c>
      <c r="AG123">
        <v>117.53645324308465</v>
      </c>
      <c r="AH123">
        <f>AK117</f>
        <v>326.3885519840502</v>
      </c>
      <c r="AI123" s="39">
        <f>(AH122+AH123)/SUM(AG122:AG123,AG127,AG130)</f>
        <v>1.7798937116269273</v>
      </c>
      <c r="AJ123" t="s">
        <v>1143</v>
      </c>
      <c r="AK123">
        <v>132.9109663794685</v>
      </c>
    </row>
    <row r="124" spans="4:37">
      <c r="D124" t="s">
        <v>661</v>
      </c>
      <c r="E124" t="s">
        <v>122</v>
      </c>
      <c r="F124" t="s">
        <v>628</v>
      </c>
      <c r="G124" t="s">
        <v>628</v>
      </c>
      <c r="H124" t="s">
        <v>1159</v>
      </c>
      <c r="I124">
        <v>2009</v>
      </c>
      <c r="J124">
        <v>202.47771128030581</v>
      </c>
      <c r="K124">
        <v>135.35264789915706</v>
      </c>
      <c r="L124">
        <v>11.961334687623889</v>
      </c>
      <c r="M124">
        <v>47.068893184678316</v>
      </c>
      <c r="N124">
        <v>0.29142839598765347</v>
      </c>
      <c r="O124">
        <v>397.15201544775277</v>
      </c>
      <c r="P124">
        <v>201.11167176975891</v>
      </c>
      <c r="Q124">
        <v>258.19810097228708</v>
      </c>
      <c r="R124">
        <v>2.9253546314286529</v>
      </c>
      <c r="S124">
        <v>462.23512737347465</v>
      </c>
      <c r="T124">
        <v>168.31223069395961</v>
      </c>
      <c r="U124">
        <v>0</v>
      </c>
      <c r="V124">
        <v>66.960095536815317</v>
      </c>
      <c r="W124">
        <v>0.47176672480061804</v>
      </c>
      <c r="X124">
        <v>1.18545186556352</v>
      </c>
      <c r="Y124">
        <v>236.92954482113907</v>
      </c>
      <c r="Z124">
        <v>1.6338437235363696</v>
      </c>
      <c r="AA124">
        <v>1097.9505313659026</v>
      </c>
      <c r="AB124">
        <v>228.14599999999993</v>
      </c>
      <c r="AC124">
        <v>4.8124908232706378</v>
      </c>
      <c r="AE124" t="s">
        <v>188</v>
      </c>
      <c r="AG124">
        <v>0.63972536526740564</v>
      </c>
      <c r="AJ124" t="s">
        <v>1144</v>
      </c>
      <c r="AK124">
        <v>233.57789530030257</v>
      </c>
    </row>
    <row r="125" spans="4:37">
      <c r="D125" t="s">
        <v>661</v>
      </c>
      <c r="E125" t="s">
        <v>122</v>
      </c>
      <c r="F125" t="s">
        <v>628</v>
      </c>
      <c r="G125" t="s">
        <v>628</v>
      </c>
      <c r="H125" t="s">
        <v>1159</v>
      </c>
      <c r="I125">
        <v>2010</v>
      </c>
      <c r="J125">
        <v>207.26594614899494</v>
      </c>
      <c r="K125">
        <v>154.24674084235787</v>
      </c>
      <c r="L125">
        <v>12.255384342279212</v>
      </c>
      <c r="M125">
        <v>49.867089507207858</v>
      </c>
      <c r="N125">
        <v>0.29386045495125745</v>
      </c>
      <c r="O125">
        <v>423.92902129579113</v>
      </c>
      <c r="P125">
        <v>206.34295476720575</v>
      </c>
      <c r="Q125">
        <v>288.4154925862922</v>
      </c>
      <c r="R125">
        <v>3.0438924413232749</v>
      </c>
      <c r="S125">
        <v>497.80233979482125</v>
      </c>
      <c r="T125">
        <v>163.18565689954249</v>
      </c>
      <c r="U125">
        <v>0</v>
      </c>
      <c r="V125">
        <v>65.276020542096759</v>
      </c>
      <c r="W125">
        <v>0.47804311950755901</v>
      </c>
      <c r="X125">
        <v>1.1697461742192599</v>
      </c>
      <c r="Y125">
        <v>230.10946673536608</v>
      </c>
      <c r="Z125">
        <v>1.5230707390019431</v>
      </c>
      <c r="AA125">
        <v>1153.3638985649804</v>
      </c>
      <c r="AB125">
        <v>230.71100000000018</v>
      </c>
      <c r="AC125">
        <v>4.9991716847700349</v>
      </c>
      <c r="AE125" t="s">
        <v>189</v>
      </c>
      <c r="AG125">
        <v>86.519279999999995</v>
      </c>
      <c r="AH125">
        <f>AK119+AK120</f>
        <v>47.701603984224313</v>
      </c>
      <c r="AI125" s="39">
        <f>(AH125)/(AG125)</f>
        <v>0.55134074144195744</v>
      </c>
      <c r="AJ125" t="s">
        <v>1145</v>
      </c>
      <c r="AK125">
        <v>3.0193144230579154</v>
      </c>
    </row>
    <row r="126" spans="4:37">
      <c r="D126" t="s">
        <v>661</v>
      </c>
      <c r="E126" t="s">
        <v>122</v>
      </c>
      <c r="F126" t="s">
        <v>628</v>
      </c>
      <c r="G126" t="s">
        <v>628</v>
      </c>
      <c r="H126" t="s">
        <v>1159</v>
      </c>
      <c r="I126">
        <v>2011</v>
      </c>
      <c r="J126">
        <v>189.58557348725429</v>
      </c>
      <c r="K126">
        <v>139.74607247335297</v>
      </c>
      <c r="L126">
        <v>14.204229245400491</v>
      </c>
      <c r="M126">
        <v>40.716983584044208</v>
      </c>
      <c r="N126">
        <v>0.29683776357327696</v>
      </c>
      <c r="O126">
        <v>384.54969655362521</v>
      </c>
      <c r="P126">
        <v>196.00641132772481</v>
      </c>
      <c r="Q126">
        <v>233.1304424859793</v>
      </c>
      <c r="R126">
        <v>2.9386276081429537</v>
      </c>
      <c r="S126">
        <v>432.07548142184703</v>
      </c>
      <c r="T126">
        <v>155.27502479354177</v>
      </c>
      <c r="U126">
        <v>0</v>
      </c>
      <c r="V126">
        <v>64.211942789574636</v>
      </c>
      <c r="W126">
        <v>0.46711515413422</v>
      </c>
      <c r="X126">
        <v>1.09676505921578</v>
      </c>
      <c r="Y126">
        <v>221.05084779646643</v>
      </c>
      <c r="Z126">
        <v>1.3752689307139252</v>
      </c>
      <c r="AA126">
        <v>1039.0512947026525</v>
      </c>
      <c r="AB126">
        <v>232.77400000000009</v>
      </c>
      <c r="AC126">
        <v>4.463777289141623</v>
      </c>
      <c r="AE126" t="s">
        <v>190</v>
      </c>
      <c r="AG126">
        <v>8.3214124422169977</v>
      </c>
      <c r="AJ126" t="s">
        <v>1146</v>
      </c>
      <c r="AK126">
        <v>369.50817610282894</v>
      </c>
    </row>
    <row r="127" spans="4:37">
      <c r="D127" t="s">
        <v>661</v>
      </c>
      <c r="E127" t="s">
        <v>122</v>
      </c>
      <c r="F127" t="s">
        <v>628</v>
      </c>
      <c r="G127" t="s">
        <v>628</v>
      </c>
      <c r="H127" t="s">
        <v>1159</v>
      </c>
      <c r="I127">
        <v>2012</v>
      </c>
      <c r="J127">
        <v>212.31092825819039</v>
      </c>
      <c r="K127">
        <v>146.57047315330928</v>
      </c>
      <c r="L127">
        <v>9.7538421872521806</v>
      </c>
      <c r="M127">
        <v>40.431491661755558</v>
      </c>
      <c r="N127">
        <v>0.302489571371099</v>
      </c>
      <c r="O127">
        <v>409.36922483187851</v>
      </c>
      <c r="P127">
        <v>207.0969274865104</v>
      </c>
      <c r="Q127">
        <v>259.10188192884698</v>
      </c>
      <c r="R127">
        <v>2.8524185222295118</v>
      </c>
      <c r="S127">
        <v>469.05122793758687</v>
      </c>
      <c r="T127">
        <v>155.6501583114499</v>
      </c>
      <c r="U127">
        <v>0</v>
      </c>
      <c r="V127">
        <v>63.44219451197263</v>
      </c>
      <c r="W127">
        <v>0.47162960308408902</v>
      </c>
      <c r="X127">
        <v>1.06699297678776</v>
      </c>
      <c r="Y127">
        <v>220.63097540329437</v>
      </c>
      <c r="Z127">
        <v>1.2053426741146964</v>
      </c>
      <c r="AA127">
        <v>1100.2567708468746</v>
      </c>
      <c r="AB127">
        <v>234.27099999999993</v>
      </c>
      <c r="AC127">
        <v>4.6965128882656195</v>
      </c>
      <c r="AE127" t="s">
        <v>230</v>
      </c>
      <c r="AG127">
        <v>42.334490669600719</v>
      </c>
      <c r="AJ127" t="s">
        <v>1147</v>
      </c>
      <c r="AK127">
        <v>156.15467960452</v>
      </c>
    </row>
    <row r="128" spans="4:37">
      <c r="D128" t="s">
        <v>661</v>
      </c>
      <c r="E128" t="s">
        <v>122</v>
      </c>
      <c r="F128" t="s">
        <v>628</v>
      </c>
      <c r="G128" t="s">
        <v>628</v>
      </c>
      <c r="H128" t="s">
        <v>1159</v>
      </c>
      <c r="I128">
        <v>2013</v>
      </c>
      <c r="J128">
        <v>194.60355617719367</v>
      </c>
      <c r="K128">
        <v>152.59229249980501</v>
      </c>
      <c r="L128">
        <v>8.4230992873704835</v>
      </c>
      <c r="M128">
        <v>35.451920722191751</v>
      </c>
      <c r="N128">
        <v>0.29859211406293079</v>
      </c>
      <c r="O128">
        <v>391.36946080062387</v>
      </c>
      <c r="P128">
        <v>188.99986855298081</v>
      </c>
      <c r="Q128">
        <v>264.02314062663714</v>
      </c>
      <c r="R128">
        <v>3.1039485749858677</v>
      </c>
      <c r="S128">
        <v>456.12695775460378</v>
      </c>
      <c r="T128">
        <v>151.11409391105127</v>
      </c>
      <c r="U128">
        <v>0</v>
      </c>
      <c r="V128">
        <v>62.005137689388135</v>
      </c>
      <c r="W128">
        <v>0.45968960375967599</v>
      </c>
      <c r="X128">
        <v>1.0748469465183099</v>
      </c>
      <c r="Y128">
        <v>214.65376815071738</v>
      </c>
      <c r="Z128">
        <v>1.184246469765891</v>
      </c>
      <c r="AA128">
        <v>1063.3344331757112</v>
      </c>
      <c r="AB128">
        <v>236.68699999999993</v>
      </c>
      <c r="AC128">
        <v>4.4925764117831211</v>
      </c>
      <c r="AE128" t="s">
        <v>192</v>
      </c>
      <c r="AG128">
        <v>186.53018952887223</v>
      </c>
      <c r="AH128">
        <f>AK129+AK127</f>
        <v>218.15922865642301</v>
      </c>
      <c r="AJ128" t="s">
        <v>1148</v>
      </c>
      <c r="AK128">
        <v>0</v>
      </c>
    </row>
    <row r="129" spans="4:37">
      <c r="D129" t="s">
        <v>661</v>
      </c>
      <c r="E129" t="s">
        <v>122</v>
      </c>
      <c r="F129" t="s">
        <v>628</v>
      </c>
      <c r="G129" t="s">
        <v>628</v>
      </c>
      <c r="H129" t="s">
        <v>1159</v>
      </c>
      <c r="I129">
        <v>2014</v>
      </c>
      <c r="J129">
        <v>200.4866459777306</v>
      </c>
      <c r="K129">
        <v>129.99006140991952</v>
      </c>
      <c r="L129">
        <v>7.5576647759467255</v>
      </c>
      <c r="M129">
        <v>39.217625738053869</v>
      </c>
      <c r="N129">
        <v>0.29275025846665576</v>
      </c>
      <c r="O129">
        <v>377.54474816011731</v>
      </c>
      <c r="P129">
        <v>159.04828557793982</v>
      </c>
      <c r="Q129">
        <v>216.8261419298436</v>
      </c>
      <c r="R129">
        <v>3.0330775506045522</v>
      </c>
      <c r="S129">
        <v>378.90750505838798</v>
      </c>
      <c r="T129">
        <v>150.85006670587813</v>
      </c>
      <c r="U129">
        <v>0</v>
      </c>
      <c r="V129">
        <v>63.051077465224623</v>
      </c>
      <c r="W129">
        <v>0.46908874826862595</v>
      </c>
      <c r="X129">
        <v>1.05276473542694</v>
      </c>
      <c r="Y129">
        <v>215.42299765479834</v>
      </c>
      <c r="Z129">
        <v>1.0226277304214757</v>
      </c>
      <c r="AA129">
        <v>972.89787860372508</v>
      </c>
      <c r="AB129">
        <v>239.86499999999984</v>
      </c>
      <c r="AC129">
        <v>4.0560226736027589</v>
      </c>
      <c r="AE129" t="s">
        <v>193</v>
      </c>
      <c r="AG129">
        <v>12.890488608076613</v>
      </c>
      <c r="AJ129" t="s">
        <v>1149</v>
      </c>
      <c r="AK129">
        <v>62.004549051903027</v>
      </c>
    </row>
    <row r="130" spans="4:37">
      <c r="D130" t="s">
        <v>661</v>
      </c>
      <c r="E130" t="s">
        <v>122</v>
      </c>
      <c r="F130" t="s">
        <v>628</v>
      </c>
      <c r="G130" t="s">
        <v>628</v>
      </c>
      <c r="H130" t="s">
        <v>1159</v>
      </c>
      <c r="I130">
        <v>2015</v>
      </c>
      <c r="J130">
        <v>326.3885519840502</v>
      </c>
      <c r="K130">
        <v>131.48613642913355</v>
      </c>
      <c r="L130">
        <v>7.3301940365473461</v>
      </c>
      <c r="M130">
        <v>40.371409947676966</v>
      </c>
      <c r="N130">
        <v>0.29890716661936045</v>
      </c>
      <c r="O130">
        <v>505.87519956402747</v>
      </c>
      <c r="P130">
        <v>132.9109663794685</v>
      </c>
      <c r="Q130">
        <v>233.57789530030257</v>
      </c>
      <c r="R130">
        <v>3.0193144230579154</v>
      </c>
      <c r="S130">
        <v>369.50817610282894</v>
      </c>
      <c r="T130">
        <v>156.15467960452</v>
      </c>
      <c r="U130">
        <v>0</v>
      </c>
      <c r="V130">
        <v>62.004549051903027</v>
      </c>
      <c r="W130">
        <v>0.45523956058068898</v>
      </c>
      <c r="X130">
        <v>1.0266207028951901</v>
      </c>
      <c r="Y130">
        <v>219.64108891989889</v>
      </c>
      <c r="Z130">
        <v>0.97472029276563221</v>
      </c>
      <c r="AA130">
        <v>1095.999184879521</v>
      </c>
      <c r="AB130">
        <v>242.14199999999988</v>
      </c>
      <c r="AC130">
        <v>4.5262663432181176</v>
      </c>
      <c r="AE130" t="s">
        <v>194</v>
      </c>
      <c r="AG130">
        <v>16.277344078164404</v>
      </c>
      <c r="AJ130" t="s">
        <v>1150</v>
      </c>
      <c r="AK130">
        <v>0.45523956058068898</v>
      </c>
    </row>
    <row r="131" spans="4:37">
      <c r="D131" t="s">
        <v>661</v>
      </c>
      <c r="E131" t="s">
        <v>122</v>
      </c>
      <c r="F131" t="s">
        <v>629</v>
      </c>
      <c r="G131" t="s">
        <v>629</v>
      </c>
      <c r="H131" t="s">
        <v>1162</v>
      </c>
      <c r="I131">
        <v>2005</v>
      </c>
      <c r="J131">
        <v>395.34031328803098</v>
      </c>
      <c r="K131">
        <v>118.47272238835723</v>
      </c>
      <c r="L131">
        <v>7.9858467513980822E-3</v>
      </c>
      <c r="M131">
        <v>28.768665329408901</v>
      </c>
      <c r="N131">
        <v>0.16836691408521001</v>
      </c>
      <c r="O131">
        <v>542.75805376663368</v>
      </c>
      <c r="P131">
        <v>241.41058915167105</v>
      </c>
      <c r="Q131">
        <v>371.14415772100307</v>
      </c>
      <c r="R131">
        <v>2.7374852905952669</v>
      </c>
      <c r="S131">
        <v>615.29223216326932</v>
      </c>
      <c r="T131">
        <v>163.86467890368186</v>
      </c>
      <c r="U131">
        <v>0</v>
      </c>
      <c r="V131">
        <v>100.03403551616255</v>
      </c>
      <c r="W131">
        <v>5.0290411752156299</v>
      </c>
      <c r="X131">
        <v>1.29117601523669</v>
      </c>
      <c r="Y131">
        <v>270.21893161029675</v>
      </c>
      <c r="Z131">
        <v>1.0847650697176372</v>
      </c>
      <c r="AA131">
        <v>1429.3539826099172</v>
      </c>
      <c r="AB131">
        <v>270.93900000000014</v>
      </c>
      <c r="AC131">
        <v>5.2755564263908719</v>
      </c>
      <c r="AJ131" t="s">
        <v>1151</v>
      </c>
      <c r="AK131">
        <v>1.0266207028951901</v>
      </c>
    </row>
    <row r="132" spans="4:37">
      <c r="D132" t="s">
        <v>661</v>
      </c>
      <c r="E132" t="s">
        <v>122</v>
      </c>
      <c r="F132" t="s">
        <v>629</v>
      </c>
      <c r="G132" t="s">
        <v>629</v>
      </c>
      <c r="H132" t="s">
        <v>1162</v>
      </c>
      <c r="I132">
        <v>2006</v>
      </c>
      <c r="J132">
        <v>385.94393179837061</v>
      </c>
      <c r="K132">
        <v>107.0558171598736</v>
      </c>
      <c r="L132">
        <v>5.3234973219074295E-3</v>
      </c>
      <c r="M132">
        <v>28.036875626581789</v>
      </c>
      <c r="N132">
        <v>0.15899394980760498</v>
      </c>
      <c r="O132">
        <v>521.20094203195549</v>
      </c>
      <c r="P132">
        <v>252.63896274496889</v>
      </c>
      <c r="Q132">
        <v>357.93143650551718</v>
      </c>
      <c r="R132">
        <v>2.5237473631655676</v>
      </c>
      <c r="S132">
        <v>613.09414661365156</v>
      </c>
      <c r="T132">
        <v>161.25546828044352</v>
      </c>
      <c r="U132">
        <v>0</v>
      </c>
      <c r="V132">
        <v>95.692048280150601</v>
      </c>
      <c r="W132">
        <v>4.9179717669454801</v>
      </c>
      <c r="X132">
        <v>1.2986614604481599</v>
      </c>
      <c r="Y132">
        <v>263.16414978798775</v>
      </c>
      <c r="Z132">
        <v>0.98489967610226703</v>
      </c>
      <c r="AA132">
        <v>1398.444138109697</v>
      </c>
      <c r="AB132">
        <v>276.50399999999996</v>
      </c>
      <c r="AC132">
        <v>5.0575909864222472</v>
      </c>
      <c r="AJ132" t="s">
        <v>1152</v>
      </c>
      <c r="AK132">
        <v>219.64108891989889</v>
      </c>
    </row>
    <row r="133" spans="4:37">
      <c r="D133" t="s">
        <v>661</v>
      </c>
      <c r="E133" t="s">
        <v>122</v>
      </c>
      <c r="F133" t="s">
        <v>629</v>
      </c>
      <c r="G133" t="s">
        <v>629</v>
      </c>
      <c r="H133" t="s">
        <v>1162</v>
      </c>
      <c r="I133">
        <v>2007</v>
      </c>
      <c r="J133">
        <v>417.62060665963344</v>
      </c>
      <c r="K133">
        <v>98.95585771078656</v>
      </c>
      <c r="L133">
        <v>3.486552648649778E-2</v>
      </c>
      <c r="M133">
        <v>28.299432472731439</v>
      </c>
      <c r="N133">
        <v>0.15071065537994702</v>
      </c>
      <c r="O133">
        <v>545.0614730250179</v>
      </c>
      <c r="P133">
        <v>256.11337353713327</v>
      </c>
      <c r="Q133">
        <v>341.9531740971276</v>
      </c>
      <c r="R133">
        <v>2.3763833850265161</v>
      </c>
      <c r="S133">
        <v>600.44293101928736</v>
      </c>
      <c r="T133">
        <v>152.40792745880614</v>
      </c>
      <c r="U133">
        <v>0</v>
      </c>
      <c r="V133">
        <v>96.531003071018887</v>
      </c>
      <c r="W133">
        <v>5.5335760730716705</v>
      </c>
      <c r="X133">
        <v>1.2200465086099199</v>
      </c>
      <c r="Y133">
        <v>255.69255311150661</v>
      </c>
      <c r="Z133">
        <v>0.91761977618688562</v>
      </c>
      <c r="AA133">
        <v>1402.1145769319987</v>
      </c>
      <c r="AB133">
        <v>283.27300000000008</v>
      </c>
      <c r="AC133">
        <v>4.9496936768841309</v>
      </c>
      <c r="AJ133" t="s">
        <v>1153</v>
      </c>
      <c r="AK133">
        <v>0.97472029276563221</v>
      </c>
    </row>
    <row r="134" spans="4:37">
      <c r="D134" t="s">
        <v>661</v>
      </c>
      <c r="E134" t="s">
        <v>122</v>
      </c>
      <c r="F134" t="s">
        <v>629</v>
      </c>
      <c r="G134" t="s">
        <v>629</v>
      </c>
      <c r="H134" t="s">
        <v>1162</v>
      </c>
      <c r="I134">
        <v>2008</v>
      </c>
      <c r="J134">
        <v>462.79621391103433</v>
      </c>
      <c r="K134">
        <v>103.16604635194633</v>
      </c>
      <c r="L134">
        <v>3.1769110593894007E-2</v>
      </c>
      <c r="M134">
        <v>35.953156070260675</v>
      </c>
      <c r="N134">
        <v>0.14217601282123102</v>
      </c>
      <c r="O134">
        <v>602.08936145665643</v>
      </c>
      <c r="P134">
        <v>247.18496501699255</v>
      </c>
      <c r="Q134">
        <v>355.62743447763961</v>
      </c>
      <c r="R134">
        <v>2.5094375751576781</v>
      </c>
      <c r="S134">
        <v>605.32183706978981</v>
      </c>
      <c r="T134">
        <v>132.23504319630041</v>
      </c>
      <c r="U134">
        <v>0</v>
      </c>
      <c r="V134">
        <v>94.21915521165954</v>
      </c>
      <c r="W134">
        <v>5.4943014743707899</v>
      </c>
      <c r="X134">
        <v>1.2088646582396301</v>
      </c>
      <c r="Y134">
        <v>233.15736454057037</v>
      </c>
      <c r="Z134">
        <v>0.83419357158591279</v>
      </c>
      <c r="AA134">
        <v>1441.4027566386028</v>
      </c>
      <c r="AB134">
        <v>290.9009999999999</v>
      </c>
      <c r="AC134">
        <v>4.95495978576424</v>
      </c>
      <c r="AJ134" t="s">
        <v>1154</v>
      </c>
      <c r="AK134">
        <v>1095.999184879521</v>
      </c>
    </row>
    <row r="135" spans="4:37">
      <c r="D135" t="s">
        <v>661</v>
      </c>
      <c r="E135" t="s">
        <v>122</v>
      </c>
      <c r="F135" t="s">
        <v>629</v>
      </c>
      <c r="G135" t="s">
        <v>629</v>
      </c>
      <c r="H135" t="s">
        <v>1162</v>
      </c>
      <c r="I135">
        <v>2009</v>
      </c>
      <c r="J135">
        <v>400.82819898194793</v>
      </c>
      <c r="K135">
        <v>92.74337136175869</v>
      </c>
      <c r="L135">
        <v>1.808535922437827</v>
      </c>
      <c r="M135">
        <v>27.885912151813471</v>
      </c>
      <c r="N135">
        <v>0.144606879241857</v>
      </c>
      <c r="O135">
        <v>523.41062529719989</v>
      </c>
      <c r="P135">
        <v>222.73008566300948</v>
      </c>
      <c r="Q135">
        <v>321.55974133609209</v>
      </c>
      <c r="R135">
        <v>2.3316359201318462</v>
      </c>
      <c r="S135">
        <v>546.62146291923341</v>
      </c>
      <c r="T135">
        <v>126.67336974673593</v>
      </c>
      <c r="U135">
        <v>0</v>
      </c>
      <c r="V135">
        <v>91.543841394944678</v>
      </c>
      <c r="W135">
        <v>5.4906960438407992</v>
      </c>
      <c r="X135">
        <v>1.0879857498519701</v>
      </c>
      <c r="Y135">
        <v>224.79589293537336</v>
      </c>
      <c r="Z135">
        <v>0.80005417728617589</v>
      </c>
      <c r="AA135">
        <v>1295.6280353290929</v>
      </c>
      <c r="AB135">
        <v>298.11800000000022</v>
      </c>
      <c r="AC135">
        <v>4.3460241760950087</v>
      </c>
      <c r="AJ135" t="s">
        <v>1155</v>
      </c>
      <c r="AK135">
        <v>242.14199999999988</v>
      </c>
    </row>
    <row r="136" spans="4:37">
      <c r="D136" t="s">
        <v>661</v>
      </c>
      <c r="E136" t="s">
        <v>122</v>
      </c>
      <c r="F136" t="s">
        <v>629</v>
      </c>
      <c r="G136" t="s">
        <v>629</v>
      </c>
      <c r="H136" t="s">
        <v>1162</v>
      </c>
      <c r="I136">
        <v>2010</v>
      </c>
      <c r="J136">
        <v>327.57496975160376</v>
      </c>
      <c r="K136">
        <v>108.0972551823242</v>
      </c>
      <c r="L136">
        <v>7.7903719055018014E-2</v>
      </c>
      <c r="M136">
        <v>28.786179735619651</v>
      </c>
      <c r="N136">
        <v>0.145937463668113</v>
      </c>
      <c r="O136">
        <v>464.6822458522708</v>
      </c>
      <c r="P136">
        <v>229.05858697908153</v>
      </c>
      <c r="Q136">
        <v>355.38185655802351</v>
      </c>
      <c r="R136">
        <v>2.4608650173051831</v>
      </c>
      <c r="S136">
        <v>586.90130855441021</v>
      </c>
      <c r="T136">
        <v>140.58727703898592</v>
      </c>
      <c r="U136">
        <v>0</v>
      </c>
      <c r="V136">
        <v>90.341905623117427</v>
      </c>
      <c r="W136">
        <v>5.5056568901421095</v>
      </c>
      <c r="X136">
        <v>1.17505575659635</v>
      </c>
      <c r="Y136">
        <v>237.60989530884183</v>
      </c>
      <c r="Z136">
        <v>0.73499965168244963</v>
      </c>
      <c r="AA136">
        <v>1289.9284493672053</v>
      </c>
      <c r="AB136">
        <v>304.78499999999991</v>
      </c>
      <c r="AC136">
        <v>4.2322569987604561</v>
      </c>
      <c r="AJ136" t="s">
        <v>1156</v>
      </c>
      <c r="AK136">
        <v>4.5262663432181176</v>
      </c>
    </row>
    <row r="137" spans="4:37">
      <c r="D137" t="s">
        <v>661</v>
      </c>
      <c r="E137" t="s">
        <v>122</v>
      </c>
      <c r="F137" t="s">
        <v>629</v>
      </c>
      <c r="G137" t="s">
        <v>629</v>
      </c>
      <c r="H137" t="s">
        <v>1162</v>
      </c>
      <c r="I137">
        <v>2011</v>
      </c>
      <c r="J137">
        <v>292.57071024678947</v>
      </c>
      <c r="K137">
        <v>94.393806696280436</v>
      </c>
      <c r="L137">
        <v>0.13779340847244453</v>
      </c>
      <c r="M137">
        <v>24.246460033551664</v>
      </c>
      <c r="N137">
        <v>0.14739191780363101</v>
      </c>
      <c r="O137">
        <v>411.49616230289763</v>
      </c>
      <c r="P137">
        <v>216.45485315721842</v>
      </c>
      <c r="Q137">
        <v>289.83654386913815</v>
      </c>
      <c r="R137">
        <v>2.2945161865047847</v>
      </c>
      <c r="S137">
        <v>508.58591321286133</v>
      </c>
      <c r="T137">
        <v>131.56924786186784</v>
      </c>
      <c r="U137">
        <v>0</v>
      </c>
      <c r="V137">
        <v>88.640593534666891</v>
      </c>
      <c r="W137">
        <v>5.4577059705893296</v>
      </c>
      <c r="X137">
        <v>1.0814193868108499</v>
      </c>
      <c r="Y137">
        <v>226.74896675393489</v>
      </c>
      <c r="Z137">
        <v>0.66053756343113645</v>
      </c>
      <c r="AA137">
        <v>1147.4915798331251</v>
      </c>
      <c r="AB137">
        <v>312.245</v>
      </c>
      <c r="AC137">
        <v>3.674971832481305</v>
      </c>
    </row>
    <row r="138" spans="4:37">
      <c r="D138" t="s">
        <v>661</v>
      </c>
      <c r="E138" t="s">
        <v>122</v>
      </c>
      <c r="F138" t="s">
        <v>629</v>
      </c>
      <c r="G138" t="s">
        <v>629</v>
      </c>
      <c r="H138" t="s">
        <v>1162</v>
      </c>
      <c r="I138">
        <v>2012</v>
      </c>
      <c r="J138">
        <v>436.82209815586526</v>
      </c>
      <c r="K138">
        <v>106.54095772247582</v>
      </c>
      <c r="L138">
        <v>8.1419909528368486E-2</v>
      </c>
      <c r="M138">
        <v>27.72385776965578</v>
      </c>
      <c r="N138">
        <v>0.15084007495368998</v>
      </c>
      <c r="O138">
        <v>571.31917363247885</v>
      </c>
      <c r="P138">
        <v>231.55894640285319</v>
      </c>
      <c r="Q138">
        <v>316.2743567381246</v>
      </c>
      <c r="R138">
        <v>2.2349806820234659</v>
      </c>
      <c r="S138">
        <v>550.06828382300125</v>
      </c>
      <c r="T138">
        <v>132.26867542551716</v>
      </c>
      <c r="U138">
        <v>0</v>
      </c>
      <c r="V138">
        <v>87.683957629075664</v>
      </c>
      <c r="W138">
        <v>5.5811117324215402</v>
      </c>
      <c r="X138">
        <v>1.0613688993148001</v>
      </c>
      <c r="Y138">
        <v>226.59511368632914</v>
      </c>
      <c r="Z138">
        <v>0.6046335872257963</v>
      </c>
      <c r="AA138">
        <v>1348.587204729035</v>
      </c>
      <c r="AB138">
        <v>314.65999999999991</v>
      </c>
      <c r="AC138">
        <v>4.2858552238258287</v>
      </c>
    </row>
    <row r="139" spans="4:37">
      <c r="D139" t="s">
        <v>661</v>
      </c>
      <c r="E139" t="s">
        <v>122</v>
      </c>
      <c r="F139" t="s">
        <v>629</v>
      </c>
      <c r="G139" t="s">
        <v>629</v>
      </c>
      <c r="H139" t="s">
        <v>1162</v>
      </c>
      <c r="I139">
        <v>2013</v>
      </c>
      <c r="J139">
        <v>400.57410531070207</v>
      </c>
      <c r="K139">
        <v>117.7522011349472</v>
      </c>
      <c r="L139">
        <v>0.21342344518446482</v>
      </c>
      <c r="M139">
        <v>22.456154675193691</v>
      </c>
      <c r="N139">
        <v>0.14981348258834298</v>
      </c>
      <c r="O139">
        <v>541.14569804861583</v>
      </c>
      <c r="P139">
        <v>210.39905251760575</v>
      </c>
      <c r="Q139">
        <v>327.69973795122877</v>
      </c>
      <c r="R139">
        <v>2.3970742479553411</v>
      </c>
      <c r="S139">
        <v>540.49586471678981</v>
      </c>
      <c r="T139">
        <v>122.97068144595744</v>
      </c>
      <c r="U139">
        <v>0</v>
      </c>
      <c r="V139">
        <v>85.564705582429411</v>
      </c>
      <c r="W139">
        <v>5.6039486402356999</v>
      </c>
      <c r="X139">
        <v>1.04520498800258</v>
      </c>
      <c r="Y139">
        <v>215.18454065662513</v>
      </c>
      <c r="Z139">
        <v>0.56898947844300141</v>
      </c>
      <c r="AA139">
        <v>1297.3950929004739</v>
      </c>
      <c r="AB139">
        <v>317.26399999999995</v>
      </c>
      <c r="AC139">
        <v>4.0893233802148181</v>
      </c>
    </row>
    <row r="140" spans="4:37">
      <c r="D140" t="s">
        <v>661</v>
      </c>
      <c r="E140" t="s">
        <v>122</v>
      </c>
      <c r="F140" t="s">
        <v>629</v>
      </c>
      <c r="G140" t="s">
        <v>629</v>
      </c>
      <c r="H140" t="s">
        <v>1162</v>
      </c>
      <c r="I140">
        <v>2014</v>
      </c>
      <c r="J140">
        <v>373.73498985344958</v>
      </c>
      <c r="K140">
        <v>98.054221086895794</v>
      </c>
      <c r="L140">
        <v>0.2355833726982858</v>
      </c>
      <c r="M140">
        <v>24.548262234039548</v>
      </c>
      <c r="N140">
        <v>0.14594222012806699</v>
      </c>
      <c r="O140">
        <v>496.71899876721125</v>
      </c>
      <c r="P140">
        <v>176.83646726005708</v>
      </c>
      <c r="Q140">
        <v>270.28339246731736</v>
      </c>
      <c r="R140">
        <v>2.3387929166249037</v>
      </c>
      <c r="S140">
        <v>449.45865264399936</v>
      </c>
      <c r="T140">
        <v>128.82218660640314</v>
      </c>
      <c r="U140">
        <v>0</v>
      </c>
      <c r="V140">
        <v>86.920593114754695</v>
      </c>
      <c r="W140">
        <v>5.6799086052332592</v>
      </c>
      <c r="X140">
        <v>1.04961542881155</v>
      </c>
      <c r="Y140">
        <v>222.47230375520266</v>
      </c>
      <c r="Z140">
        <v>0.48671287898959475</v>
      </c>
      <c r="AA140">
        <v>1169.136668045403</v>
      </c>
      <c r="AB140">
        <v>320.762</v>
      </c>
      <c r="AC140">
        <v>3.6448727344429921</v>
      </c>
    </row>
    <row r="141" spans="4:37">
      <c r="D141" t="s">
        <v>661</v>
      </c>
      <c r="E141" t="s">
        <v>122</v>
      </c>
      <c r="F141" t="s">
        <v>629</v>
      </c>
      <c r="G141" t="s">
        <v>629</v>
      </c>
      <c r="H141" t="s">
        <v>1162</v>
      </c>
      <c r="I141">
        <v>2015</v>
      </c>
      <c r="J141">
        <v>207.05782952149764</v>
      </c>
      <c r="K141">
        <v>99.909256853164777</v>
      </c>
      <c r="L141">
        <v>0.27443908945539613</v>
      </c>
      <c r="M141">
        <v>25.11970804457993</v>
      </c>
      <c r="N141">
        <v>0.14898743477228299</v>
      </c>
      <c r="O141">
        <v>332.51022094346996</v>
      </c>
      <c r="P141">
        <v>147.48287929578484</v>
      </c>
      <c r="Q141">
        <v>287.31622750595329</v>
      </c>
      <c r="R141">
        <v>2.3223184099045104</v>
      </c>
      <c r="S141">
        <v>437.12142521164265</v>
      </c>
      <c r="T141">
        <v>128.13467481053362</v>
      </c>
      <c r="U141">
        <v>0</v>
      </c>
      <c r="V141">
        <v>84.847302624018383</v>
      </c>
      <c r="W141">
        <v>5.3260340026377895</v>
      </c>
      <c r="X141">
        <v>1.02313740282633</v>
      </c>
      <c r="Y141">
        <v>219.33114884001611</v>
      </c>
      <c r="Z141">
        <v>0.45339987632898959</v>
      </c>
      <c r="AA141">
        <v>989.41619487145772</v>
      </c>
      <c r="AB141">
        <v>324.012</v>
      </c>
      <c r="AC141">
        <v>3.0536405900752372</v>
      </c>
    </row>
    <row r="142" spans="4:37">
      <c r="D142" t="s">
        <v>661</v>
      </c>
      <c r="E142" t="s">
        <v>122</v>
      </c>
      <c r="F142" t="s">
        <v>630</v>
      </c>
      <c r="G142" t="s">
        <v>630</v>
      </c>
      <c r="H142" t="s">
        <v>1163</v>
      </c>
      <c r="I142">
        <v>2005</v>
      </c>
      <c r="J142">
        <v>249.41911770793155</v>
      </c>
      <c r="K142">
        <v>105.17744473655304</v>
      </c>
      <c r="L142">
        <v>2.349508302706527E-2</v>
      </c>
      <c r="M142">
        <v>22.23319544644129</v>
      </c>
      <c r="N142">
        <v>1.5751748723348113</v>
      </c>
      <c r="O142">
        <v>378.42842784628772</v>
      </c>
      <c r="P142">
        <v>320.54156295919512</v>
      </c>
      <c r="Q142">
        <v>482.76287948524032</v>
      </c>
      <c r="R142">
        <v>7.5526484109156566</v>
      </c>
      <c r="S142">
        <v>810.85709085535109</v>
      </c>
      <c r="T142">
        <v>192.69039043326518</v>
      </c>
      <c r="U142">
        <v>9.2355745230015773E-2</v>
      </c>
      <c r="V142">
        <v>164.71856847847289</v>
      </c>
      <c r="W142">
        <v>7.5929290679867201</v>
      </c>
      <c r="X142">
        <v>9.6171701234732101</v>
      </c>
      <c r="Y142">
        <v>374.71141384842804</v>
      </c>
      <c r="Z142">
        <v>3.4318765699306732</v>
      </c>
      <c r="AA142">
        <v>1567.4288091199974</v>
      </c>
      <c r="AB142">
        <v>299.42100000000011</v>
      </c>
      <c r="AC142">
        <v>5.2348659884243149</v>
      </c>
    </row>
    <row r="143" spans="4:37">
      <c r="D143" t="s">
        <v>661</v>
      </c>
      <c r="E143" t="s">
        <v>122</v>
      </c>
      <c r="F143" t="s">
        <v>630</v>
      </c>
      <c r="G143" t="s">
        <v>630</v>
      </c>
      <c r="H143" t="s">
        <v>1163</v>
      </c>
      <c r="I143">
        <v>2006</v>
      </c>
      <c r="J143">
        <v>289.67539515710831</v>
      </c>
      <c r="K143">
        <v>112.26194952311295</v>
      </c>
      <c r="L143">
        <v>1.5398328092976966E-2</v>
      </c>
      <c r="M143">
        <v>21.235536615771675</v>
      </c>
      <c r="N143">
        <v>1.5142444864158477</v>
      </c>
      <c r="O143">
        <v>424.70252411050177</v>
      </c>
      <c r="P143">
        <v>335.79297856564261</v>
      </c>
      <c r="Q143">
        <v>465.2442547332227</v>
      </c>
      <c r="R143">
        <v>7.0556075312067872</v>
      </c>
      <c r="S143">
        <v>808.09284083007208</v>
      </c>
      <c r="T143">
        <v>191.27590194433509</v>
      </c>
      <c r="U143">
        <v>9.2042582602028827E-2</v>
      </c>
      <c r="V143">
        <v>158.22616577954125</v>
      </c>
      <c r="W143">
        <v>7.6420384684538503</v>
      </c>
      <c r="X143">
        <v>9.7826352047584191</v>
      </c>
      <c r="Y143">
        <v>367.01878397969062</v>
      </c>
      <c r="Z143">
        <v>3.0402405632969867</v>
      </c>
      <c r="AA143">
        <v>1602.8543894835616</v>
      </c>
      <c r="AB143">
        <v>300.96299999999991</v>
      </c>
      <c r="AC143">
        <v>5.3257523000620077</v>
      </c>
    </row>
    <row r="144" spans="4:37">
      <c r="D144" t="s">
        <v>661</v>
      </c>
      <c r="E144" t="s">
        <v>122</v>
      </c>
      <c r="F144" t="s">
        <v>630</v>
      </c>
      <c r="G144" t="s">
        <v>630</v>
      </c>
      <c r="H144" t="s">
        <v>1163</v>
      </c>
      <c r="I144">
        <v>2007</v>
      </c>
      <c r="J144">
        <v>262.47402060266683</v>
      </c>
      <c r="K144">
        <v>89.921907509691522</v>
      </c>
      <c r="L144">
        <v>1.7683116110920702E-2</v>
      </c>
      <c r="M144">
        <v>21.343271797053784</v>
      </c>
      <c r="N144">
        <v>1.4491091880494429</v>
      </c>
      <c r="O144">
        <v>375.20599221357242</v>
      </c>
      <c r="P144">
        <v>336.44848584161878</v>
      </c>
      <c r="Q144">
        <v>441.27066316875329</v>
      </c>
      <c r="R144">
        <v>6.6771836574635577</v>
      </c>
      <c r="S144">
        <v>784.39633266783562</v>
      </c>
      <c r="T144">
        <v>183.54304507911769</v>
      </c>
      <c r="U144">
        <v>8.8043659548948494E-2</v>
      </c>
      <c r="V144">
        <v>159.67137722632503</v>
      </c>
      <c r="W144">
        <v>7.2504064055567801</v>
      </c>
      <c r="X144">
        <v>9.8680566284560705</v>
      </c>
      <c r="Y144">
        <v>360.42092899900456</v>
      </c>
      <c r="Z144">
        <v>2.7152103488556971</v>
      </c>
      <c r="AA144">
        <v>1522.7384642292682</v>
      </c>
      <c r="AB144">
        <v>302.625</v>
      </c>
      <c r="AC144">
        <v>5.0317669202123687</v>
      </c>
    </row>
    <row r="145" spans="4:29">
      <c r="D145" t="s">
        <v>661</v>
      </c>
      <c r="E145" t="s">
        <v>122</v>
      </c>
      <c r="F145" t="s">
        <v>630</v>
      </c>
      <c r="G145" t="s">
        <v>630</v>
      </c>
      <c r="H145" t="s">
        <v>1163</v>
      </c>
      <c r="I145">
        <v>2008</v>
      </c>
      <c r="J145">
        <v>254.66060663990186</v>
      </c>
      <c r="K145">
        <v>90.642709332865252</v>
      </c>
      <c r="L145">
        <v>4.5223935701295598E-2</v>
      </c>
      <c r="M145">
        <v>18.144145082810219</v>
      </c>
      <c r="N145">
        <v>1.4620853219361005</v>
      </c>
      <c r="O145">
        <v>364.95477031321474</v>
      </c>
      <c r="P145">
        <v>325.25418976617919</v>
      </c>
      <c r="Q145">
        <v>463.38255596582025</v>
      </c>
      <c r="R145">
        <v>7.0534681989632997</v>
      </c>
      <c r="S145">
        <v>795.69021393096273</v>
      </c>
      <c r="T145">
        <v>171.37531522061778</v>
      </c>
      <c r="U145">
        <v>8.509366109541415E-2</v>
      </c>
      <c r="V145">
        <v>153.84993753363315</v>
      </c>
      <c r="W145">
        <v>7.3494046958232699</v>
      </c>
      <c r="X145">
        <v>9.7140509989404098</v>
      </c>
      <c r="Y145">
        <v>342.37380211011003</v>
      </c>
      <c r="Z145">
        <v>2.3972304180216994</v>
      </c>
      <c r="AA145">
        <v>1505.4160167723094</v>
      </c>
      <c r="AB145">
        <v>304.96800000000002</v>
      </c>
      <c r="AC145">
        <v>4.9363081266634836</v>
      </c>
    </row>
    <row r="146" spans="4:29">
      <c r="D146" t="s">
        <v>661</v>
      </c>
      <c r="E146" t="s">
        <v>122</v>
      </c>
      <c r="F146" t="s">
        <v>630</v>
      </c>
      <c r="G146" t="s">
        <v>630</v>
      </c>
      <c r="H146" t="s">
        <v>1163</v>
      </c>
      <c r="I146">
        <v>2009</v>
      </c>
      <c r="J146">
        <v>235.72250074467638</v>
      </c>
      <c r="K146">
        <v>78.971084780196506</v>
      </c>
      <c r="L146">
        <v>2.2380204776872109E-2</v>
      </c>
      <c r="M146">
        <v>13.953629357454352</v>
      </c>
      <c r="N146">
        <v>1.5058648675146451</v>
      </c>
      <c r="O146">
        <v>330.17545995461876</v>
      </c>
      <c r="P146">
        <v>293.27595158207339</v>
      </c>
      <c r="Q146">
        <v>418.91395653867374</v>
      </c>
      <c r="R146">
        <v>6.563962937718423</v>
      </c>
      <c r="S146">
        <v>718.75387105846551</v>
      </c>
      <c r="T146">
        <v>164.43362098150629</v>
      </c>
      <c r="U146">
        <v>7.6841546189675508E-2</v>
      </c>
      <c r="V146">
        <v>149.1530350884137</v>
      </c>
      <c r="W146">
        <v>7.4243856943408799</v>
      </c>
      <c r="X146">
        <v>9.0914976176225295</v>
      </c>
      <c r="Y146">
        <v>330.17938092807304</v>
      </c>
      <c r="Z146">
        <v>2.393799174382762</v>
      </c>
      <c r="AA146">
        <v>1381.5025111155398</v>
      </c>
      <c r="AB146">
        <v>306.92399999999992</v>
      </c>
      <c r="AC146">
        <v>4.501122463917909</v>
      </c>
    </row>
    <row r="147" spans="4:29">
      <c r="D147" t="s">
        <v>661</v>
      </c>
      <c r="E147" t="s">
        <v>122</v>
      </c>
      <c r="F147" t="s">
        <v>630</v>
      </c>
      <c r="G147" t="s">
        <v>630</v>
      </c>
      <c r="H147" t="s">
        <v>1163</v>
      </c>
      <c r="I147">
        <v>2010</v>
      </c>
      <c r="J147">
        <v>236.06197450710638</v>
      </c>
      <c r="K147">
        <v>86.525184234945684</v>
      </c>
      <c r="L147">
        <v>2.5859871485684457E-2</v>
      </c>
      <c r="M147">
        <v>15.181034801174963</v>
      </c>
      <c r="N147">
        <v>1.5051901006236752</v>
      </c>
      <c r="O147">
        <v>339.2992435153364</v>
      </c>
      <c r="P147">
        <v>300.8578734438866</v>
      </c>
      <c r="Q147">
        <v>466.47874539904075</v>
      </c>
      <c r="R147">
        <v>6.9341839341843716</v>
      </c>
      <c r="S147">
        <v>774.27080277711173</v>
      </c>
      <c r="T147">
        <v>160.26247423863009</v>
      </c>
      <c r="U147">
        <v>7.6317952714212545E-2</v>
      </c>
      <c r="V147">
        <v>146.30185851417031</v>
      </c>
      <c r="W147">
        <v>7.5209947350344901</v>
      </c>
      <c r="X147">
        <v>8.8396251974209807</v>
      </c>
      <c r="Y147">
        <v>323.00127063797009</v>
      </c>
      <c r="Z147">
        <v>2.1323764640951084</v>
      </c>
      <c r="AA147">
        <v>1438.7036933945133</v>
      </c>
      <c r="AB147">
        <v>308.56000000000012</v>
      </c>
      <c r="AC147">
        <v>4.6626383633475266</v>
      </c>
    </row>
    <row r="148" spans="4:29">
      <c r="D148" t="s">
        <v>661</v>
      </c>
      <c r="E148" t="s">
        <v>122</v>
      </c>
      <c r="F148" t="s">
        <v>630</v>
      </c>
      <c r="G148" t="s">
        <v>630</v>
      </c>
      <c r="H148" t="s">
        <v>1163</v>
      </c>
      <c r="I148">
        <v>2011</v>
      </c>
      <c r="J148">
        <v>221.56330167280905</v>
      </c>
      <c r="K148">
        <v>71.256486427148388</v>
      </c>
      <c r="L148">
        <v>3.3796960049364999E-2</v>
      </c>
      <c r="M148">
        <v>12.545584047504768</v>
      </c>
      <c r="N148">
        <v>1.541765018812246</v>
      </c>
      <c r="O148">
        <v>306.94093412632384</v>
      </c>
      <c r="P148">
        <v>288.09556202237957</v>
      </c>
      <c r="Q148">
        <v>379.85911597613722</v>
      </c>
      <c r="R148">
        <v>6.4336081194186283</v>
      </c>
      <c r="S148">
        <v>674.38828611793542</v>
      </c>
      <c r="T148">
        <v>155.72956166173344</v>
      </c>
      <c r="U148">
        <v>7.5926145732053002E-2</v>
      </c>
      <c r="V148">
        <v>143.45582541384627</v>
      </c>
      <c r="W148">
        <v>7.3370415486014799</v>
      </c>
      <c r="X148">
        <v>9.0353777415842309</v>
      </c>
      <c r="Y148">
        <v>315.63373251149744</v>
      </c>
      <c r="Z148">
        <v>1.8197396786060911</v>
      </c>
      <c r="AA148">
        <v>1298.7826924343626</v>
      </c>
      <c r="AB148">
        <v>310.55400000000003</v>
      </c>
      <c r="AC148">
        <v>4.1821476858593432</v>
      </c>
    </row>
    <row r="149" spans="4:29">
      <c r="D149" t="s">
        <v>661</v>
      </c>
      <c r="E149" t="s">
        <v>122</v>
      </c>
      <c r="F149" t="s">
        <v>630</v>
      </c>
      <c r="G149" t="s">
        <v>630</v>
      </c>
      <c r="H149" t="s">
        <v>1163</v>
      </c>
      <c r="I149">
        <v>2012</v>
      </c>
      <c r="J149">
        <v>237.36682301593336</v>
      </c>
      <c r="K149">
        <v>81.056329972926321</v>
      </c>
      <c r="L149">
        <v>5.1616380338745542E-2</v>
      </c>
      <c r="M149">
        <v>13.757861426581503</v>
      </c>
      <c r="N149">
        <v>1.5152312442341325</v>
      </c>
      <c r="O149">
        <v>333.74786204001407</v>
      </c>
      <c r="P149">
        <v>304.91696611086763</v>
      </c>
      <c r="Q149">
        <v>422.76508844058935</v>
      </c>
      <c r="R149">
        <v>6.2634982943740471</v>
      </c>
      <c r="S149">
        <v>733.945552845831</v>
      </c>
      <c r="T149">
        <v>152.34513368843307</v>
      </c>
      <c r="U149">
        <v>7.6896902949780618E-2</v>
      </c>
      <c r="V149">
        <v>141.43041470320998</v>
      </c>
      <c r="W149">
        <v>7.3647971449385006</v>
      </c>
      <c r="X149">
        <v>8.9617993616275893</v>
      </c>
      <c r="Y149">
        <v>310.17904180115892</v>
      </c>
      <c r="Z149">
        <v>1.523824642225674</v>
      </c>
      <c r="AA149">
        <v>1379.3962813292299</v>
      </c>
      <c r="AB149">
        <v>314.036</v>
      </c>
      <c r="AC149">
        <v>4.3924781914469353</v>
      </c>
    </row>
    <row r="150" spans="4:29">
      <c r="D150" t="s">
        <v>661</v>
      </c>
      <c r="E150" t="s">
        <v>122</v>
      </c>
      <c r="F150" t="s">
        <v>630</v>
      </c>
      <c r="G150" t="s">
        <v>630</v>
      </c>
      <c r="H150" t="s">
        <v>1163</v>
      </c>
      <c r="I150">
        <v>2013</v>
      </c>
      <c r="J150">
        <v>214.84799905151701</v>
      </c>
      <c r="K150">
        <v>86.552514313994763</v>
      </c>
      <c r="L150">
        <v>4.5048843650411875E-2</v>
      </c>
      <c r="M150">
        <v>11.255760531955728</v>
      </c>
      <c r="N150">
        <v>1.5331121942816615</v>
      </c>
      <c r="O150">
        <v>314.23443493539958</v>
      </c>
      <c r="P150">
        <v>279.14803006713191</v>
      </c>
      <c r="Q150">
        <v>434.69273721396007</v>
      </c>
      <c r="R150">
        <v>6.8010559470975007</v>
      </c>
      <c r="S150">
        <v>720.64182322818954</v>
      </c>
      <c r="T150">
        <v>150.77563368517048</v>
      </c>
      <c r="U150">
        <v>7.6687954920023615E-2</v>
      </c>
      <c r="V150">
        <v>138.542171184463</v>
      </c>
      <c r="W150">
        <v>7.1824645863182406</v>
      </c>
      <c r="X150">
        <v>9.2289152820286411</v>
      </c>
      <c r="Y150">
        <v>305.80587269290038</v>
      </c>
      <c r="Z150">
        <v>1.4196107152301554</v>
      </c>
      <c r="AA150">
        <v>1342.1017415717197</v>
      </c>
      <c r="AB150">
        <v>317.89900000000006</v>
      </c>
      <c r="AC150">
        <v>4.2217866101237167</v>
      </c>
    </row>
    <row r="151" spans="4:29">
      <c r="D151" t="s">
        <v>661</v>
      </c>
      <c r="E151" t="s">
        <v>122</v>
      </c>
      <c r="F151" t="s">
        <v>630</v>
      </c>
      <c r="G151" t="s">
        <v>630</v>
      </c>
      <c r="H151" t="s">
        <v>1163</v>
      </c>
      <c r="I151">
        <v>2014</v>
      </c>
      <c r="J151">
        <v>188.69084333520357</v>
      </c>
      <c r="K151">
        <v>69.749761528030731</v>
      </c>
      <c r="L151">
        <v>6.2928643209340579E-2</v>
      </c>
      <c r="M151">
        <v>12.404857208900935</v>
      </c>
      <c r="N151">
        <v>1.4431734777400045</v>
      </c>
      <c r="O151">
        <v>272.35156419308453</v>
      </c>
      <c r="P151">
        <v>232.19230676027604</v>
      </c>
      <c r="Q151">
        <v>357.53530356193977</v>
      </c>
      <c r="R151">
        <v>6.5405483619031584</v>
      </c>
      <c r="S151">
        <v>596.26815868411893</v>
      </c>
      <c r="T151">
        <v>148.45786134546583</v>
      </c>
      <c r="U151">
        <v>7.7136419384567598E-2</v>
      </c>
      <c r="V151">
        <v>141.13395674233615</v>
      </c>
      <c r="W151">
        <v>7.3480112471473902</v>
      </c>
      <c r="X151">
        <v>9.5141677459620588</v>
      </c>
      <c r="Y151">
        <v>306.53113350029599</v>
      </c>
      <c r="Z151">
        <v>1.012730903184899</v>
      </c>
      <c r="AA151">
        <v>1176.1635872806844</v>
      </c>
      <c r="AB151">
        <v>321.27800000000019</v>
      </c>
      <c r="AC151">
        <v>3.6608905287031286</v>
      </c>
    </row>
    <row r="152" spans="4:29">
      <c r="D152" t="s">
        <v>661</v>
      </c>
      <c r="E152" t="s">
        <v>122</v>
      </c>
      <c r="F152" t="s">
        <v>630</v>
      </c>
      <c r="G152" t="s">
        <v>630</v>
      </c>
      <c r="H152" t="s">
        <v>1163</v>
      </c>
      <c r="I152">
        <v>2015</v>
      </c>
      <c r="J152">
        <v>166.15707301883245</v>
      </c>
      <c r="K152">
        <v>75.158242130596847</v>
      </c>
      <c r="L152">
        <v>3.4507178268255723E-2</v>
      </c>
      <c r="M152">
        <v>12.798968545959594</v>
      </c>
      <c r="N152">
        <v>1.4811372969795704</v>
      </c>
      <c r="O152">
        <v>255.6299281706367</v>
      </c>
      <c r="P152">
        <v>195.10785188756014</v>
      </c>
      <c r="Q152">
        <v>387.02700318647726</v>
      </c>
      <c r="R152">
        <v>6.4914105702568783</v>
      </c>
      <c r="S152">
        <v>588.62626564429434</v>
      </c>
      <c r="T152">
        <v>150.48893497828391</v>
      </c>
      <c r="U152">
        <v>8.2632460553804077E-2</v>
      </c>
      <c r="V152">
        <v>138.63053279871974</v>
      </c>
      <c r="W152">
        <v>7.2238635795276194</v>
      </c>
      <c r="X152">
        <v>9.9284952175803411</v>
      </c>
      <c r="Y152">
        <v>306.35445903466547</v>
      </c>
      <c r="Z152">
        <v>0.91583527115313956</v>
      </c>
      <c r="AA152">
        <v>1151.5264881207497</v>
      </c>
      <c r="AB152">
        <v>324.85700000000003</v>
      </c>
      <c r="AC152">
        <v>3.5447181009513407</v>
      </c>
    </row>
    <row r="153" spans="4:29">
      <c r="D153" t="s">
        <v>660</v>
      </c>
      <c r="E153" t="s">
        <v>122</v>
      </c>
      <c r="F153" t="s">
        <v>631</v>
      </c>
      <c r="G153" t="s">
        <v>631</v>
      </c>
      <c r="H153" t="s">
        <v>1164</v>
      </c>
      <c r="I153">
        <v>2005</v>
      </c>
      <c r="J153">
        <v>754.16269694399375</v>
      </c>
      <c r="K153">
        <v>298.87451131026472</v>
      </c>
      <c r="L153">
        <v>3.2314993561399366</v>
      </c>
      <c r="M153">
        <v>22.37378248125529</v>
      </c>
      <c r="N153">
        <v>4.2602804863832999E-2</v>
      </c>
      <c r="O153">
        <v>1078.6850928965177</v>
      </c>
      <c r="P153">
        <v>194.6115672726398</v>
      </c>
      <c r="Q153">
        <v>229.26907635339745</v>
      </c>
      <c r="R153">
        <v>4.4036900966648789</v>
      </c>
      <c r="S153">
        <v>428.28433372270212</v>
      </c>
      <c r="T153">
        <v>117.37765930976397</v>
      </c>
      <c r="U153">
        <v>0</v>
      </c>
      <c r="V153">
        <v>66.819928668163158</v>
      </c>
      <c r="W153">
        <v>1.3953323195432199</v>
      </c>
      <c r="X153">
        <v>0.73372585212839003</v>
      </c>
      <c r="Y153">
        <v>186.32664614959876</v>
      </c>
      <c r="Z153">
        <v>0.71010070923986934</v>
      </c>
      <c r="AA153">
        <v>1694.0061734780584</v>
      </c>
      <c r="AB153">
        <v>211.08799999999999</v>
      </c>
      <c r="AC153">
        <v>8.0251183083740347</v>
      </c>
    </row>
    <row r="154" spans="4:29">
      <c r="D154" t="s">
        <v>660</v>
      </c>
      <c r="E154" t="s">
        <v>122</v>
      </c>
      <c r="F154" t="s">
        <v>631</v>
      </c>
      <c r="G154" t="s">
        <v>631</v>
      </c>
      <c r="H154" t="s">
        <v>1164</v>
      </c>
      <c r="I154">
        <v>2006</v>
      </c>
      <c r="J154">
        <v>879.60040732945663</v>
      </c>
      <c r="K154">
        <v>297.13468762177177</v>
      </c>
      <c r="L154">
        <v>2.850406240655444</v>
      </c>
      <c r="M154">
        <v>19.813436295313402</v>
      </c>
      <c r="N154">
        <v>4.0260976299645278E-2</v>
      </c>
      <c r="O154">
        <v>1199.4391984634967</v>
      </c>
      <c r="P154">
        <v>203.16897373670014</v>
      </c>
      <c r="Q154">
        <v>219.16037572502015</v>
      </c>
      <c r="R154">
        <v>4.3053664668827736</v>
      </c>
      <c r="S154">
        <v>426.6347159286031</v>
      </c>
      <c r="T154">
        <v>120.10477941805061</v>
      </c>
      <c r="U154">
        <v>0</v>
      </c>
      <c r="V154">
        <v>62.957819237811307</v>
      </c>
      <c r="W154">
        <v>1.3699214886593198</v>
      </c>
      <c r="X154">
        <v>0.75147241582751301</v>
      </c>
      <c r="Y154">
        <v>185.18399256034874</v>
      </c>
      <c r="Z154">
        <v>0.66608064561538649</v>
      </c>
      <c r="AA154">
        <v>1811.9239875980641</v>
      </c>
      <c r="AB154">
        <v>211.0320000000001</v>
      </c>
      <c r="AC154">
        <v>8.586015332262706</v>
      </c>
    </row>
    <row r="155" spans="4:29">
      <c r="D155" t="s">
        <v>660</v>
      </c>
      <c r="E155" t="s">
        <v>122</v>
      </c>
      <c r="F155" t="s">
        <v>631</v>
      </c>
      <c r="G155" t="s">
        <v>631</v>
      </c>
      <c r="H155" t="s">
        <v>1164</v>
      </c>
      <c r="I155">
        <v>2007</v>
      </c>
      <c r="J155">
        <v>861.82268091426329</v>
      </c>
      <c r="K155">
        <v>274.95682675305352</v>
      </c>
      <c r="L155">
        <v>1.9309481371318049</v>
      </c>
      <c r="M155">
        <v>19.29641546812331</v>
      </c>
      <c r="N155">
        <v>3.8175745693065359E-2</v>
      </c>
      <c r="O155">
        <v>1158.045047018265</v>
      </c>
      <c r="P155">
        <v>204.78158611421676</v>
      </c>
      <c r="Q155">
        <v>209.02692355024476</v>
      </c>
      <c r="R155">
        <v>3.8633799989401281</v>
      </c>
      <c r="S155">
        <v>417.67188966340166</v>
      </c>
      <c r="T155">
        <v>117.10124430023643</v>
      </c>
      <c r="U155">
        <v>0</v>
      </c>
      <c r="V155">
        <v>63.644025460005111</v>
      </c>
      <c r="W155">
        <v>1.57050901445305</v>
      </c>
      <c r="X155">
        <v>0.72486046904768497</v>
      </c>
      <c r="Y155">
        <v>183.04063924374228</v>
      </c>
      <c r="Z155">
        <v>0.62836853380645008</v>
      </c>
      <c r="AA155">
        <v>1759.3859444592156</v>
      </c>
      <c r="AB155">
        <v>211.52000000000015</v>
      </c>
      <c r="AC155">
        <v>8.3178231110968905</v>
      </c>
    </row>
    <row r="156" spans="4:29">
      <c r="D156" t="s">
        <v>660</v>
      </c>
      <c r="E156" t="s">
        <v>122</v>
      </c>
      <c r="F156" t="s">
        <v>631</v>
      </c>
      <c r="G156" t="s">
        <v>631</v>
      </c>
      <c r="H156" t="s">
        <v>1164</v>
      </c>
      <c r="I156">
        <v>2008</v>
      </c>
      <c r="J156">
        <v>807.49422586435719</v>
      </c>
      <c r="K156">
        <v>306.05203230507044</v>
      </c>
      <c r="L156">
        <v>0.96069544037948407</v>
      </c>
      <c r="M156">
        <v>18.10918902655402</v>
      </c>
      <c r="N156">
        <v>4.8771639289661946E-2</v>
      </c>
      <c r="O156">
        <v>1132.664914275651</v>
      </c>
      <c r="P156">
        <v>200.77433042411909</v>
      </c>
      <c r="Q156">
        <v>219.66557346838141</v>
      </c>
      <c r="R156">
        <v>4.0089256820874661</v>
      </c>
      <c r="S156">
        <v>424.44882957458799</v>
      </c>
      <c r="T156">
        <v>109.37078259671812</v>
      </c>
      <c r="U156">
        <v>0</v>
      </c>
      <c r="V156">
        <v>63.052205003473283</v>
      </c>
      <c r="W156">
        <v>1.57624572880284</v>
      </c>
      <c r="X156">
        <v>0.74744786881272207</v>
      </c>
      <c r="Y156">
        <v>174.74668119780694</v>
      </c>
      <c r="Z156">
        <v>0.58932398268166974</v>
      </c>
      <c r="AA156">
        <v>1732.4497490307276</v>
      </c>
      <c r="AB156">
        <v>210.27300000000008</v>
      </c>
      <c r="AC156">
        <v>8.2390499447419643</v>
      </c>
    </row>
    <row r="157" spans="4:29">
      <c r="D157" t="s">
        <v>660</v>
      </c>
      <c r="E157" t="s">
        <v>122</v>
      </c>
      <c r="F157" t="s">
        <v>631</v>
      </c>
      <c r="G157" t="s">
        <v>631</v>
      </c>
      <c r="H157" t="s">
        <v>1164</v>
      </c>
      <c r="I157">
        <v>2009</v>
      </c>
      <c r="J157">
        <v>710.18279472165455</v>
      </c>
      <c r="K157">
        <v>278.2111705918083</v>
      </c>
      <c r="L157">
        <v>0.82706625783559118</v>
      </c>
      <c r="M157">
        <v>14.553829703669861</v>
      </c>
      <c r="N157">
        <v>4.9622645596255809E-2</v>
      </c>
      <c r="O157">
        <v>1003.8244839205645</v>
      </c>
      <c r="P157">
        <v>183.67507751482006</v>
      </c>
      <c r="Q157">
        <v>201.32868415875703</v>
      </c>
      <c r="R157">
        <v>3.8438110750189867</v>
      </c>
      <c r="S157">
        <v>388.84757274859606</v>
      </c>
      <c r="T157">
        <v>107.75903015837373</v>
      </c>
      <c r="U157">
        <v>0</v>
      </c>
      <c r="V157">
        <v>61.397980419703657</v>
      </c>
      <c r="W157">
        <v>1.5817761240169801</v>
      </c>
      <c r="X157">
        <v>0.682727134444015</v>
      </c>
      <c r="Y157">
        <v>171.4215138365384</v>
      </c>
      <c r="Z157">
        <v>0.56148197950623224</v>
      </c>
      <c r="AA157">
        <v>1564.655052485205</v>
      </c>
      <c r="AB157">
        <v>212.92400000000001</v>
      </c>
      <c r="AC157">
        <v>7.3484203400518728</v>
      </c>
    </row>
    <row r="158" spans="4:29">
      <c r="D158" t="s">
        <v>660</v>
      </c>
      <c r="E158" t="s">
        <v>122</v>
      </c>
      <c r="F158" t="s">
        <v>631</v>
      </c>
      <c r="G158" t="s">
        <v>631</v>
      </c>
      <c r="H158" t="s">
        <v>1164</v>
      </c>
      <c r="I158">
        <v>2010</v>
      </c>
      <c r="J158">
        <v>748.19714439943084</v>
      </c>
      <c r="K158">
        <v>299.785544270966</v>
      </c>
      <c r="L158">
        <v>1.8904563767028386</v>
      </c>
      <c r="M158">
        <v>14.045772444693659</v>
      </c>
      <c r="N158">
        <v>5.0076175839422796E-2</v>
      </c>
      <c r="O158">
        <v>1063.9689936676327</v>
      </c>
      <c r="P158">
        <v>188.18638616737877</v>
      </c>
      <c r="Q158">
        <v>223.68178823163277</v>
      </c>
      <c r="R158">
        <v>4.2357558044889068</v>
      </c>
      <c r="S158">
        <v>416.10393020350045</v>
      </c>
      <c r="T158">
        <v>102.06716244709295</v>
      </c>
      <c r="U158">
        <v>0</v>
      </c>
      <c r="V158">
        <v>59.307645419837193</v>
      </c>
      <c r="W158">
        <v>1.5824612999910201</v>
      </c>
      <c r="X158">
        <v>0.66685898341177008</v>
      </c>
      <c r="Y158">
        <v>163.62412815033295</v>
      </c>
      <c r="Z158">
        <v>0.52731761343094397</v>
      </c>
      <c r="AA158">
        <v>1644.2243696348969</v>
      </c>
      <c r="AB158">
        <v>214.72500000000008</v>
      </c>
      <c r="AC158">
        <v>7.6573494918379152</v>
      </c>
    </row>
    <row r="159" spans="4:29">
      <c r="D159" t="s">
        <v>660</v>
      </c>
      <c r="E159" t="s">
        <v>122</v>
      </c>
      <c r="F159" t="s">
        <v>631</v>
      </c>
      <c r="G159" t="s">
        <v>631</v>
      </c>
      <c r="H159" t="s">
        <v>1164</v>
      </c>
      <c r="I159">
        <v>2011</v>
      </c>
      <c r="J159">
        <v>690.38471325791591</v>
      </c>
      <c r="K159">
        <v>264.96749603493743</v>
      </c>
      <c r="L159">
        <v>1.3566565468314393</v>
      </c>
      <c r="M159">
        <v>13.469515060202902</v>
      </c>
      <c r="N159">
        <v>5.0578166437557144E-2</v>
      </c>
      <c r="O159">
        <v>970.22895906632516</v>
      </c>
      <c r="P159">
        <v>179.08136034172259</v>
      </c>
      <c r="Q159">
        <v>182.75215036970158</v>
      </c>
      <c r="R159">
        <v>3.4886214501516202</v>
      </c>
      <c r="S159">
        <v>365.32213216157584</v>
      </c>
      <c r="T159">
        <v>97.196762443137942</v>
      </c>
      <c r="U159">
        <v>0</v>
      </c>
      <c r="V159">
        <v>57.866587252204766</v>
      </c>
      <c r="W159">
        <v>1.5663908149875398</v>
      </c>
      <c r="X159">
        <v>0.62721606302429</v>
      </c>
      <c r="Y159">
        <v>157.25695657335453</v>
      </c>
      <c r="Z159">
        <v>0.49069308161645347</v>
      </c>
      <c r="AA159">
        <v>1493.2987408828719</v>
      </c>
      <c r="AB159">
        <v>220.08699999999985</v>
      </c>
      <c r="AC159">
        <v>6.7850383752010472</v>
      </c>
    </row>
    <row r="160" spans="4:29">
      <c r="D160" t="s">
        <v>660</v>
      </c>
      <c r="E160" t="s">
        <v>122</v>
      </c>
      <c r="F160" t="s">
        <v>631</v>
      </c>
      <c r="G160" t="s">
        <v>631</v>
      </c>
      <c r="H160" t="s">
        <v>1164</v>
      </c>
      <c r="I160">
        <v>2012</v>
      </c>
      <c r="J160">
        <v>750.9401277979681</v>
      </c>
      <c r="K160">
        <v>293.86011176826412</v>
      </c>
      <c r="L160">
        <v>1.3656770300598862</v>
      </c>
      <c r="M160">
        <v>12.224055573874832</v>
      </c>
      <c r="N160">
        <v>5.1747130649175861E-2</v>
      </c>
      <c r="O160">
        <v>1058.4417193008162</v>
      </c>
      <c r="P160">
        <v>190.67320300486065</v>
      </c>
      <c r="Q160">
        <v>199.53895550996538</v>
      </c>
      <c r="R160">
        <v>3.440738267843487</v>
      </c>
      <c r="S160">
        <v>393.65289678266947</v>
      </c>
      <c r="T160">
        <v>91.89034933389199</v>
      </c>
      <c r="U160">
        <v>0</v>
      </c>
      <c r="V160">
        <v>56.917052948113053</v>
      </c>
      <c r="W160">
        <v>1.58420826205556</v>
      </c>
      <c r="X160">
        <v>0.58823141404272594</v>
      </c>
      <c r="Y160">
        <v>150.97984195810335</v>
      </c>
      <c r="Z160">
        <v>0.45219673841741709</v>
      </c>
      <c r="AA160">
        <v>1603.5266547800063</v>
      </c>
      <c r="AB160">
        <v>224.96199999999985</v>
      </c>
      <c r="AC160">
        <v>7.1279889704928276</v>
      </c>
    </row>
    <row r="161" spans="4:29">
      <c r="D161" t="s">
        <v>660</v>
      </c>
      <c r="E161" t="s">
        <v>122</v>
      </c>
      <c r="F161" t="s">
        <v>631</v>
      </c>
      <c r="G161" t="s">
        <v>631</v>
      </c>
      <c r="H161" t="s">
        <v>1164</v>
      </c>
      <c r="I161">
        <v>2013</v>
      </c>
      <c r="J161">
        <v>684.01022254797772</v>
      </c>
      <c r="K161">
        <v>314.50114423455824</v>
      </c>
      <c r="L161">
        <v>2.3411178477898464</v>
      </c>
      <c r="M161">
        <v>9.3935337860540198</v>
      </c>
      <c r="N161">
        <v>5.1389158006104677E-2</v>
      </c>
      <c r="O161">
        <v>1010.2974075743861</v>
      </c>
      <c r="P161">
        <v>174.90453695794088</v>
      </c>
      <c r="Q161">
        <v>206.01248353017203</v>
      </c>
      <c r="R161">
        <v>3.7004806637535044</v>
      </c>
      <c r="S161">
        <v>384.61750115186646</v>
      </c>
      <c r="T161">
        <v>89.705800702274558</v>
      </c>
      <c r="U161">
        <v>0</v>
      </c>
      <c r="V161">
        <v>55.34652777816116</v>
      </c>
      <c r="W161">
        <v>1.60066261639217</v>
      </c>
      <c r="X161">
        <v>0.59350052001200504</v>
      </c>
      <c r="Y161">
        <v>147.2464916168399</v>
      </c>
      <c r="Z161">
        <v>0.43070055108663891</v>
      </c>
      <c r="AA161">
        <v>1542.5921008941787</v>
      </c>
      <c r="AB161">
        <v>229.71900000000002</v>
      </c>
      <c r="AC161">
        <v>6.7151263103799792</v>
      </c>
    </row>
    <row r="162" spans="4:29">
      <c r="D162" t="s">
        <v>660</v>
      </c>
      <c r="E162" t="s">
        <v>122</v>
      </c>
      <c r="F162" t="s">
        <v>631</v>
      </c>
      <c r="G162" t="s">
        <v>631</v>
      </c>
      <c r="H162" t="s">
        <v>1164</v>
      </c>
      <c r="I162">
        <v>2014</v>
      </c>
      <c r="J162">
        <v>583.64571519124456</v>
      </c>
      <c r="K162">
        <v>228.93895019086807</v>
      </c>
      <c r="L162">
        <v>0.80825731943514922</v>
      </c>
      <c r="M162">
        <v>10.85326052254713</v>
      </c>
      <c r="N162">
        <v>5.0064473685314921E-2</v>
      </c>
      <c r="O162">
        <v>824.29624769778025</v>
      </c>
      <c r="P162">
        <v>146.22190451818796</v>
      </c>
      <c r="Q162">
        <v>169.44170750686561</v>
      </c>
      <c r="R162">
        <v>3.4496847185553356</v>
      </c>
      <c r="S162">
        <v>319.11329674360888</v>
      </c>
      <c r="T162">
        <v>88.302427148702222</v>
      </c>
      <c r="U162">
        <v>0</v>
      </c>
      <c r="V162">
        <v>56.377300878842838</v>
      </c>
      <c r="W162">
        <v>1.62956357183351</v>
      </c>
      <c r="X162">
        <v>0.60492622496848503</v>
      </c>
      <c r="Y162">
        <v>146.91421782434705</v>
      </c>
      <c r="Z162">
        <v>0.39677370890395158</v>
      </c>
      <c r="AA162">
        <v>1290.7205359746401</v>
      </c>
      <c r="AB162">
        <v>234.84599999999986</v>
      </c>
      <c r="AC162">
        <v>5.4960294660102402</v>
      </c>
    </row>
    <row r="163" spans="4:29">
      <c r="D163" t="s">
        <v>660</v>
      </c>
      <c r="E163" t="s">
        <v>122</v>
      </c>
      <c r="F163" t="s">
        <v>631</v>
      </c>
      <c r="G163" t="s">
        <v>631</v>
      </c>
      <c r="H163" t="s">
        <v>1164</v>
      </c>
      <c r="I163">
        <v>2015</v>
      </c>
      <c r="J163">
        <v>446.86333080734062</v>
      </c>
      <c r="K163">
        <v>234.77311718395856</v>
      </c>
      <c r="L163">
        <v>0.95089103859084156</v>
      </c>
      <c r="M163">
        <v>11.70263141720336</v>
      </c>
      <c r="N163">
        <v>5.1110330116633657E-2</v>
      </c>
      <c r="O163">
        <v>694.3410807772101</v>
      </c>
      <c r="P163">
        <v>120.98873138937974</v>
      </c>
      <c r="Q163">
        <v>178.29445431003319</v>
      </c>
      <c r="R163">
        <v>3.3892567242058265</v>
      </c>
      <c r="S163">
        <v>302.67244242361875</v>
      </c>
      <c r="T163">
        <v>91.249635242082803</v>
      </c>
      <c r="U163">
        <v>0</v>
      </c>
      <c r="V163">
        <v>55.178064042227874</v>
      </c>
      <c r="W163">
        <v>1.5643055974651601</v>
      </c>
      <c r="X163">
        <v>0.59003936339155993</v>
      </c>
      <c r="Y163">
        <v>148.5820442451674</v>
      </c>
      <c r="Z163">
        <v>0.37370532683036495</v>
      </c>
      <c r="AA163">
        <v>1145.9692727728263</v>
      </c>
      <c r="AB163">
        <v>241.05900000000014</v>
      </c>
      <c r="AC163">
        <v>4.7538954064060075</v>
      </c>
    </row>
    <row r="164" spans="4:29">
      <c r="D164" t="s">
        <v>660</v>
      </c>
      <c r="E164" t="s">
        <v>122</v>
      </c>
      <c r="F164" t="s">
        <v>632</v>
      </c>
      <c r="G164" t="s">
        <v>632</v>
      </c>
      <c r="H164" t="s">
        <v>1165</v>
      </c>
      <c r="I164">
        <v>2005</v>
      </c>
      <c r="J164">
        <v>1351.5256491073887</v>
      </c>
      <c r="K164">
        <v>175.07937641708745</v>
      </c>
      <c r="L164">
        <v>0.72113248913284189</v>
      </c>
      <c r="M164">
        <v>19.193024474192587</v>
      </c>
      <c r="N164">
        <v>1.7579219652681801E-2</v>
      </c>
      <c r="O164">
        <v>1546.5367617074539</v>
      </c>
      <c r="P164">
        <v>13.391646369630102</v>
      </c>
      <c r="Q164">
        <v>6.8049874508994561</v>
      </c>
      <c r="R164">
        <v>0.13138534675055208</v>
      </c>
      <c r="S164">
        <v>20.328019167280111</v>
      </c>
      <c r="T164">
        <v>50.668803454834105</v>
      </c>
      <c r="U164">
        <v>0</v>
      </c>
      <c r="V164">
        <v>23.013330392157545</v>
      </c>
      <c r="W164">
        <v>2.3974107127967801E-2</v>
      </c>
      <c r="X164">
        <v>0.24410050536306499</v>
      </c>
      <c r="Y164">
        <v>73.950208459482681</v>
      </c>
      <c r="Z164">
        <v>6.4914421388161017E-2</v>
      </c>
      <c r="AA164">
        <v>1640.8799037556048</v>
      </c>
      <c r="AB164">
        <v>7.1310000000000002</v>
      </c>
      <c r="AC164">
        <v>230.10516109319937</v>
      </c>
    </row>
    <row r="165" spans="4:29">
      <c r="D165" t="s">
        <v>660</v>
      </c>
      <c r="E165" t="s">
        <v>122</v>
      </c>
      <c r="F165" t="s">
        <v>632</v>
      </c>
      <c r="G165" t="s">
        <v>632</v>
      </c>
      <c r="H165" t="s">
        <v>1165</v>
      </c>
      <c r="I165">
        <v>2006</v>
      </c>
      <c r="J165">
        <v>1499.3802177320342</v>
      </c>
      <c r="K165">
        <v>163.33093038792745</v>
      </c>
      <c r="L165">
        <v>5.0665466628504928E-2</v>
      </c>
      <c r="M165">
        <v>16.50907147781113</v>
      </c>
      <c r="N165">
        <v>2.0312498097454199E-2</v>
      </c>
      <c r="O165">
        <v>1679.2911975624988</v>
      </c>
      <c r="P165">
        <v>13.566547555026231</v>
      </c>
      <c r="Q165">
        <v>6.6775605180895754</v>
      </c>
      <c r="R165">
        <v>0.13141547375736209</v>
      </c>
      <c r="S165">
        <v>20.375523546873168</v>
      </c>
      <c r="T165">
        <v>51.127239967075397</v>
      </c>
      <c r="U165">
        <v>0</v>
      </c>
      <c r="V165">
        <v>21.857131231485972</v>
      </c>
      <c r="W165">
        <v>2.3583019263884602E-2</v>
      </c>
      <c r="X165">
        <v>0.25176239053392602</v>
      </c>
      <c r="Y165">
        <v>73.259716608359184</v>
      </c>
      <c r="Z165">
        <v>6.0912597422298917E-2</v>
      </c>
      <c r="AA165">
        <v>1772.9873503151537</v>
      </c>
      <c r="AB165">
        <v>7.2539999999999978</v>
      </c>
      <c r="AC165">
        <v>244.41512962712355</v>
      </c>
    </row>
    <row r="166" spans="4:29">
      <c r="D166" t="s">
        <v>660</v>
      </c>
      <c r="E166" t="s">
        <v>122</v>
      </c>
      <c r="F166" t="s">
        <v>632</v>
      </c>
      <c r="G166" t="s">
        <v>632</v>
      </c>
      <c r="H166" t="s">
        <v>1165</v>
      </c>
      <c r="I166">
        <v>2007</v>
      </c>
      <c r="J166">
        <v>1398.3372086738891</v>
      </c>
      <c r="K166">
        <v>165.20555609288627</v>
      </c>
      <c r="L166">
        <v>8.3769201061372617E-2</v>
      </c>
      <c r="M166">
        <v>16.239433635657182</v>
      </c>
      <c r="N166">
        <v>2.0708228188759802E-2</v>
      </c>
      <c r="O166">
        <v>1579.8866758316829</v>
      </c>
      <c r="P166">
        <v>13.860776123169282</v>
      </c>
      <c r="Q166">
        <v>6.5336273094642374</v>
      </c>
      <c r="R166">
        <v>0.11564898262188258</v>
      </c>
      <c r="S166">
        <v>20.510052415255402</v>
      </c>
      <c r="T166">
        <v>49.836669611485505</v>
      </c>
      <c r="U166">
        <v>0</v>
      </c>
      <c r="V166">
        <v>22.005215545230115</v>
      </c>
      <c r="W166">
        <v>2.7280201445294201E-2</v>
      </c>
      <c r="X166">
        <v>0.238820397266921</v>
      </c>
      <c r="Y166">
        <v>72.107985755427833</v>
      </c>
      <c r="Z166">
        <v>5.7484223621486488E-2</v>
      </c>
      <c r="AA166">
        <v>1672.5621982259877</v>
      </c>
      <c r="AB166">
        <v>7.6070000000000002</v>
      </c>
      <c r="AC166">
        <v>219.87146026370286</v>
      </c>
    </row>
    <row r="167" spans="4:29">
      <c r="D167" t="s">
        <v>660</v>
      </c>
      <c r="E167" t="s">
        <v>122</v>
      </c>
      <c r="F167" t="s">
        <v>632</v>
      </c>
      <c r="G167" t="s">
        <v>632</v>
      </c>
      <c r="H167" t="s">
        <v>1165</v>
      </c>
      <c r="I167">
        <v>2008</v>
      </c>
      <c r="J167">
        <v>1415.8631914203183</v>
      </c>
      <c r="K167">
        <v>173.85146191158969</v>
      </c>
      <c r="L167">
        <v>3.5441955878758293E-2</v>
      </c>
      <c r="M167">
        <v>13.84832365078749</v>
      </c>
      <c r="N167">
        <v>2.1099709079650898E-2</v>
      </c>
      <c r="O167">
        <v>1603.6195186476539</v>
      </c>
      <c r="P167">
        <v>14.060743246675612</v>
      </c>
      <c r="Q167">
        <v>7.2125857509300557</v>
      </c>
      <c r="R167">
        <v>0.11823472128646627</v>
      </c>
      <c r="S167">
        <v>21.391563718892133</v>
      </c>
      <c r="T167">
        <v>44.643880849246692</v>
      </c>
      <c r="U167">
        <v>0</v>
      </c>
      <c r="V167">
        <v>21.204982767363987</v>
      </c>
      <c r="W167">
        <v>2.7518804998030499E-2</v>
      </c>
      <c r="X167">
        <v>0.23549128856806498</v>
      </c>
      <c r="Y167">
        <v>66.111873710176781</v>
      </c>
      <c r="Z167">
        <v>5.3934718973779196E-2</v>
      </c>
      <c r="AA167">
        <v>1691.1768907956964</v>
      </c>
      <c r="AB167">
        <v>7.4290000000000012</v>
      </c>
      <c r="AC167">
        <v>227.64529422475383</v>
      </c>
    </row>
    <row r="168" spans="4:29">
      <c r="D168" t="s">
        <v>660</v>
      </c>
      <c r="E168" t="s">
        <v>122</v>
      </c>
      <c r="F168" t="s">
        <v>632</v>
      </c>
      <c r="G168" t="s">
        <v>632</v>
      </c>
      <c r="H168" t="s">
        <v>1165</v>
      </c>
      <c r="I168">
        <v>2009</v>
      </c>
      <c r="J168">
        <v>1221.4325420112164</v>
      </c>
      <c r="K168">
        <v>169.23903887134651</v>
      </c>
      <c r="L168">
        <v>8.960091869419597E-3</v>
      </c>
      <c r="M168">
        <v>10.94471509502976</v>
      </c>
      <c r="N168">
        <v>5.8021220575437101E-3</v>
      </c>
      <c r="O168">
        <v>1401.6310581915195</v>
      </c>
      <c r="P168">
        <v>12.866304118129378</v>
      </c>
      <c r="Q168">
        <v>6.6172613071643669</v>
      </c>
      <c r="R168">
        <v>0.11615270287039466</v>
      </c>
      <c r="S168">
        <v>19.599718128164138</v>
      </c>
      <c r="T168">
        <v>40.819931450973151</v>
      </c>
      <c r="U168">
        <v>0</v>
      </c>
      <c r="V168">
        <v>20.672856811091535</v>
      </c>
      <c r="W168">
        <v>2.7668808078429301E-2</v>
      </c>
      <c r="X168">
        <v>0.20636570436395998</v>
      </c>
      <c r="Y168">
        <v>61.726822774507077</v>
      </c>
      <c r="Z168">
        <v>5.1403627776012102E-2</v>
      </c>
      <c r="AA168">
        <v>1483.0090027219667</v>
      </c>
      <c r="AB168">
        <v>7.4720000000000013</v>
      </c>
      <c r="AC168">
        <v>198.47550892959936</v>
      </c>
    </row>
    <row r="169" spans="4:29">
      <c r="D169" t="s">
        <v>660</v>
      </c>
      <c r="E169" t="s">
        <v>122</v>
      </c>
      <c r="F169" t="s">
        <v>632</v>
      </c>
      <c r="G169" t="s">
        <v>632</v>
      </c>
      <c r="H169" t="s">
        <v>1165</v>
      </c>
      <c r="I169">
        <v>2010</v>
      </c>
      <c r="J169">
        <v>1362.1138550358928</v>
      </c>
      <c r="K169">
        <v>180.59204012910169</v>
      </c>
      <c r="L169">
        <v>1.9486130430042971E-2</v>
      </c>
      <c r="M169">
        <v>11.82696592721965</v>
      </c>
      <c r="N169">
        <v>6.2628281344339299E-3</v>
      </c>
      <c r="O169">
        <v>1554.5586100507785</v>
      </c>
      <c r="P169">
        <v>13.544390494893729</v>
      </c>
      <c r="Q169">
        <v>7.418063256715075</v>
      </c>
      <c r="R169">
        <v>0.1301758781235397</v>
      </c>
      <c r="S169">
        <v>21.092629629732347</v>
      </c>
      <c r="T169">
        <v>40.593612695173547</v>
      </c>
      <c r="U169">
        <v>0</v>
      </c>
      <c r="V169">
        <v>20.419937047574685</v>
      </c>
      <c r="W169">
        <v>2.7651402361450899E-2</v>
      </c>
      <c r="X169">
        <v>0.20794038108901799</v>
      </c>
      <c r="Y169">
        <v>61.249141526198699</v>
      </c>
      <c r="Z169">
        <v>4.8297776314622398E-2</v>
      </c>
      <c r="AA169">
        <v>1636.9486789830244</v>
      </c>
      <c r="AB169">
        <v>7.3379999999999956</v>
      </c>
      <c r="AC169">
        <v>223.07831547874426</v>
      </c>
    </row>
    <row r="170" spans="4:29">
      <c r="D170" t="s">
        <v>660</v>
      </c>
      <c r="E170" t="s">
        <v>122</v>
      </c>
      <c r="F170" t="s">
        <v>632</v>
      </c>
      <c r="G170" t="s">
        <v>632</v>
      </c>
      <c r="H170" t="s">
        <v>1165</v>
      </c>
      <c r="I170">
        <v>2011</v>
      </c>
      <c r="J170">
        <v>1162.2440226532103</v>
      </c>
      <c r="K170">
        <v>144.33443324499686</v>
      </c>
      <c r="L170">
        <v>1.2812200385269921E-2</v>
      </c>
      <c r="M170">
        <v>10.42286705174587</v>
      </c>
      <c r="N170">
        <v>7.5907342248838893E-3</v>
      </c>
      <c r="O170">
        <v>1317.0217258845632</v>
      </c>
      <c r="P170">
        <v>12.590042594105118</v>
      </c>
      <c r="Q170">
        <v>6.1101306586261419</v>
      </c>
      <c r="R170">
        <v>0.10199247113913636</v>
      </c>
      <c r="S170">
        <v>18.802165723870399</v>
      </c>
      <c r="T170">
        <v>39.111506954339553</v>
      </c>
      <c r="U170">
        <v>0</v>
      </c>
      <c r="V170">
        <v>19.71544326619312</v>
      </c>
      <c r="W170">
        <v>2.7351995992695697E-2</v>
      </c>
      <c r="X170">
        <v>0.19593138319361</v>
      </c>
      <c r="Y170">
        <v>59.050233599718979</v>
      </c>
      <c r="Z170">
        <v>4.4968273422395934E-2</v>
      </c>
      <c r="AA170">
        <v>1394.9190934815747</v>
      </c>
      <c r="AB170">
        <v>7.4120000000000044</v>
      </c>
      <c r="AC170">
        <v>188.19739523496679</v>
      </c>
    </row>
    <row r="171" spans="4:29">
      <c r="D171" t="s">
        <v>660</v>
      </c>
      <c r="E171" t="s">
        <v>122</v>
      </c>
      <c r="F171" t="s">
        <v>632</v>
      </c>
      <c r="G171" t="s">
        <v>632</v>
      </c>
      <c r="H171" t="s">
        <v>1165</v>
      </c>
      <c r="I171">
        <v>2012</v>
      </c>
      <c r="J171">
        <v>1297.7875207023078</v>
      </c>
      <c r="K171">
        <v>154.12610867749942</v>
      </c>
      <c r="L171">
        <v>9.0929809816696017E-2</v>
      </c>
      <c r="M171">
        <v>9.3886932410752699</v>
      </c>
      <c r="N171">
        <v>1.08088861091735E-2</v>
      </c>
      <c r="O171">
        <v>1461.4040613168083</v>
      </c>
      <c r="P171">
        <v>14.032176244891415</v>
      </c>
      <c r="Q171">
        <v>6.4046176305605211</v>
      </c>
      <c r="R171">
        <v>0.10170965375670234</v>
      </c>
      <c r="S171">
        <v>20.53850352920864</v>
      </c>
      <c r="T171">
        <v>37.766976206810959</v>
      </c>
      <c r="U171">
        <v>0</v>
      </c>
      <c r="V171">
        <v>19.305385596039997</v>
      </c>
      <c r="W171">
        <v>2.7519872784079601E-2</v>
      </c>
      <c r="X171">
        <v>0.18725638853144699</v>
      </c>
      <c r="Y171">
        <v>57.287138064166484</v>
      </c>
      <c r="Z171">
        <v>4.1468605858847186E-2</v>
      </c>
      <c r="AA171">
        <v>1539.2711715160424</v>
      </c>
      <c r="AB171">
        <v>7.6040000000000054</v>
      </c>
      <c r="AC171">
        <v>202.42913881063143</v>
      </c>
    </row>
    <row r="172" spans="4:29">
      <c r="D172" t="s">
        <v>660</v>
      </c>
      <c r="E172" t="s">
        <v>122</v>
      </c>
      <c r="F172" t="s">
        <v>632</v>
      </c>
      <c r="G172" t="s">
        <v>632</v>
      </c>
      <c r="H172" t="s">
        <v>1165</v>
      </c>
      <c r="I172">
        <v>2013</v>
      </c>
      <c r="J172">
        <v>1178.485975390071</v>
      </c>
      <c r="K172">
        <v>156.75763362902188</v>
      </c>
      <c r="L172">
        <v>0.52998177829261472</v>
      </c>
      <c r="M172">
        <v>7.3812242479176806</v>
      </c>
      <c r="N172">
        <v>2.3486147139852899E-2</v>
      </c>
      <c r="O172">
        <v>1343.1783011924433</v>
      </c>
      <c r="P172">
        <v>13.099529587255052</v>
      </c>
      <c r="Q172">
        <v>6.6943661897759785</v>
      </c>
      <c r="R172">
        <v>0.10509546738810359</v>
      </c>
      <c r="S172">
        <v>19.898991244419136</v>
      </c>
      <c r="T172">
        <v>37.097305897576277</v>
      </c>
      <c r="U172">
        <v>0</v>
      </c>
      <c r="V172">
        <v>18.760329024686616</v>
      </c>
      <c r="W172">
        <v>2.7887769524382201E-2</v>
      </c>
      <c r="X172">
        <v>0.18848526092566498</v>
      </c>
      <c r="Y172">
        <v>56.07400795271294</v>
      </c>
      <c r="Z172">
        <v>3.951440701059452E-2</v>
      </c>
      <c r="AA172">
        <v>1419.190814796586</v>
      </c>
      <c r="AB172">
        <v>7.647999999999997</v>
      </c>
      <c r="AC172">
        <v>185.56365256231518</v>
      </c>
    </row>
    <row r="173" spans="4:29">
      <c r="D173" t="s">
        <v>660</v>
      </c>
      <c r="E173" t="s">
        <v>122</v>
      </c>
      <c r="F173" t="s">
        <v>632</v>
      </c>
      <c r="G173" t="s">
        <v>632</v>
      </c>
      <c r="H173" t="s">
        <v>1165</v>
      </c>
      <c r="I173">
        <v>2014</v>
      </c>
      <c r="J173">
        <v>842.28629890391483</v>
      </c>
      <c r="K173">
        <v>114.20750341048596</v>
      </c>
      <c r="L173">
        <v>0.52325802887295936</v>
      </c>
      <c r="M173">
        <v>8.8897321510141101</v>
      </c>
      <c r="N173">
        <v>8.341584975209709E-3</v>
      </c>
      <c r="O173">
        <v>965.91513407926311</v>
      </c>
      <c r="P173">
        <v>11.33516757299631</v>
      </c>
      <c r="Q173">
        <v>5.0829434161034772</v>
      </c>
      <c r="R173">
        <v>9.8116516613028171E-2</v>
      </c>
      <c r="S173">
        <v>16.516227505712816</v>
      </c>
      <c r="T173">
        <v>37.230277187019539</v>
      </c>
      <c r="U173">
        <v>0</v>
      </c>
      <c r="V173">
        <v>19.097414821961998</v>
      </c>
      <c r="W173">
        <v>2.8450217699520698E-2</v>
      </c>
      <c r="X173">
        <v>0.20614157801827901</v>
      </c>
      <c r="Y173">
        <v>56.562283804699334</v>
      </c>
      <c r="Z173">
        <v>3.6430148630350323E-2</v>
      </c>
      <c r="AA173">
        <v>1039.0300755383057</v>
      </c>
      <c r="AB173">
        <v>8.072000000000001</v>
      </c>
      <c r="AC173">
        <v>128.72027694974054</v>
      </c>
    </row>
    <row r="174" spans="4:29">
      <c r="D174" t="s">
        <v>660</v>
      </c>
      <c r="E174" t="s">
        <v>122</v>
      </c>
      <c r="F174" t="s">
        <v>632</v>
      </c>
      <c r="G174" t="s">
        <v>632</v>
      </c>
      <c r="H174" t="s">
        <v>1165</v>
      </c>
      <c r="I174">
        <v>2015</v>
      </c>
      <c r="J174">
        <v>643.46522581343083</v>
      </c>
      <c r="K174">
        <v>133.18398046901618</v>
      </c>
      <c r="L174">
        <v>0.93268465907940667</v>
      </c>
      <c r="M174">
        <v>10.15364881877826</v>
      </c>
      <c r="N174">
        <v>8.7968405795019501E-3</v>
      </c>
      <c r="O174">
        <v>787.74433660088425</v>
      </c>
      <c r="P174">
        <v>9.4404026280384716</v>
      </c>
      <c r="Q174">
        <v>5.4029188042646847</v>
      </c>
      <c r="R174">
        <v>9.6140308308907324E-2</v>
      </c>
      <c r="S174">
        <v>14.939461740612064</v>
      </c>
      <c r="T174">
        <v>38.503772276577294</v>
      </c>
      <c r="U174">
        <v>0</v>
      </c>
      <c r="V174">
        <v>18.629895488665696</v>
      </c>
      <c r="W174">
        <v>2.76061820071405E-2</v>
      </c>
      <c r="X174">
        <v>0.20192803022945799</v>
      </c>
      <c r="Y174">
        <v>57.363201977479591</v>
      </c>
      <c r="Z174">
        <v>3.4333022987296881E-2</v>
      </c>
      <c r="AA174">
        <v>860.08133334196327</v>
      </c>
      <c r="AB174">
        <v>8.7599999999999962</v>
      </c>
      <c r="AC174">
        <v>98.182800609813199</v>
      </c>
    </row>
    <row r="175" spans="4:29">
      <c r="D175" t="s">
        <v>661</v>
      </c>
      <c r="E175" t="s">
        <v>122</v>
      </c>
      <c r="F175" t="s">
        <v>634</v>
      </c>
      <c r="G175" t="s">
        <v>634</v>
      </c>
      <c r="H175" t="s">
        <v>1166</v>
      </c>
      <c r="I175">
        <v>2005</v>
      </c>
      <c r="J175">
        <v>390.15302079504443</v>
      </c>
      <c r="K175">
        <v>165.78519907456734</v>
      </c>
      <c r="L175">
        <v>0</v>
      </c>
      <c r="M175">
        <v>16.190512580925226</v>
      </c>
      <c r="N175">
        <v>0.61873169886108326</v>
      </c>
      <c r="O175">
        <v>572.74746414939807</v>
      </c>
      <c r="P175">
        <v>334.32831060729455</v>
      </c>
      <c r="Q175">
        <v>488.34461572860278</v>
      </c>
      <c r="R175">
        <v>6.0202916846593801</v>
      </c>
      <c r="S175">
        <v>828.69321802055663</v>
      </c>
      <c r="T175">
        <v>180.50672932177923</v>
      </c>
      <c r="U175">
        <v>0</v>
      </c>
      <c r="V175">
        <v>176.06141223933272</v>
      </c>
      <c r="W175">
        <v>1.2406753982599701</v>
      </c>
      <c r="X175">
        <v>1.8058257896538701</v>
      </c>
      <c r="Y175">
        <v>359.61464274902573</v>
      </c>
      <c r="Z175">
        <v>2.9347883663101428</v>
      </c>
      <c r="AA175">
        <v>1763.9901132852908</v>
      </c>
      <c r="AB175">
        <v>339.05199999999985</v>
      </c>
      <c r="AC175">
        <v>5.2027126024482726</v>
      </c>
    </row>
    <row r="176" spans="4:29">
      <c r="D176" t="s">
        <v>661</v>
      </c>
      <c r="E176" t="s">
        <v>122</v>
      </c>
      <c r="F176" t="s">
        <v>634</v>
      </c>
      <c r="G176" t="s">
        <v>634</v>
      </c>
      <c r="H176" t="s">
        <v>1166</v>
      </c>
      <c r="I176">
        <v>2006</v>
      </c>
      <c r="J176">
        <v>418.30669476950055</v>
      </c>
      <c r="K176">
        <v>118.73241530179821</v>
      </c>
      <c r="L176">
        <v>0</v>
      </c>
      <c r="M176">
        <v>15.758268397917284</v>
      </c>
      <c r="N176">
        <v>0.58726508880498451</v>
      </c>
      <c r="O176">
        <v>553.38464355802103</v>
      </c>
      <c r="P176">
        <v>350.61785149219077</v>
      </c>
      <c r="Q176">
        <v>468.10149376869589</v>
      </c>
      <c r="R176">
        <v>5.4561789576053972</v>
      </c>
      <c r="S176">
        <v>824.17552421849211</v>
      </c>
      <c r="T176">
        <v>177.94015639602193</v>
      </c>
      <c r="U176">
        <v>0</v>
      </c>
      <c r="V176">
        <v>170.21388041260153</v>
      </c>
      <c r="W176">
        <v>1.2314700907746601</v>
      </c>
      <c r="X176">
        <v>1.8359986625543498</v>
      </c>
      <c r="Y176">
        <v>351.22150556195248</v>
      </c>
      <c r="Z176">
        <v>2.7226194972367508</v>
      </c>
      <c r="AA176">
        <v>1731.5042928357022</v>
      </c>
      <c r="AB176">
        <v>340.44899999999996</v>
      </c>
      <c r="AC176">
        <v>5.0859432479922173</v>
      </c>
    </row>
    <row r="177" spans="4:29">
      <c r="D177" t="s">
        <v>661</v>
      </c>
      <c r="E177" t="s">
        <v>122</v>
      </c>
      <c r="F177" t="s">
        <v>634</v>
      </c>
      <c r="G177" t="s">
        <v>634</v>
      </c>
      <c r="H177" t="s">
        <v>1166</v>
      </c>
      <c r="I177">
        <v>2007</v>
      </c>
      <c r="J177">
        <v>407.10893317217887</v>
      </c>
      <c r="K177">
        <v>98.807219766680902</v>
      </c>
      <c r="L177">
        <v>0</v>
      </c>
      <c r="M177">
        <v>15.78155103938203</v>
      </c>
      <c r="N177">
        <v>0.55789184911837086</v>
      </c>
      <c r="O177">
        <v>522.25559582736025</v>
      </c>
      <c r="P177">
        <v>353.02707479118237</v>
      </c>
      <c r="Q177">
        <v>445.08462141410183</v>
      </c>
      <c r="R177">
        <v>5.2085295460461483</v>
      </c>
      <c r="S177">
        <v>803.32022575133044</v>
      </c>
      <c r="T177">
        <v>175.54213711013014</v>
      </c>
      <c r="U177">
        <v>0</v>
      </c>
      <c r="V177">
        <v>171.71986796894922</v>
      </c>
      <c r="W177">
        <v>1.3092874117043101</v>
      </c>
      <c r="X177">
        <v>1.76884711503482</v>
      </c>
      <c r="Y177">
        <v>350.34013960581848</v>
      </c>
      <c r="Z177">
        <v>2.5327367792507776</v>
      </c>
      <c r="AA177">
        <v>1678.44869796376</v>
      </c>
      <c r="AB177">
        <v>344.02900000000028</v>
      </c>
      <c r="AC177">
        <v>4.878800037100822</v>
      </c>
    </row>
    <row r="178" spans="4:29">
      <c r="D178" t="s">
        <v>661</v>
      </c>
      <c r="E178" t="s">
        <v>122</v>
      </c>
      <c r="F178" t="s">
        <v>634</v>
      </c>
      <c r="G178" t="s">
        <v>634</v>
      </c>
      <c r="H178" t="s">
        <v>1166</v>
      </c>
      <c r="I178">
        <v>2008</v>
      </c>
      <c r="J178">
        <v>409.73186657696613</v>
      </c>
      <c r="K178">
        <v>99.35845157463001</v>
      </c>
      <c r="L178">
        <v>0</v>
      </c>
      <c r="M178">
        <v>16.154942714272291</v>
      </c>
      <c r="N178">
        <v>0.51398380499734264</v>
      </c>
      <c r="O178">
        <v>525.75924467086577</v>
      </c>
      <c r="P178">
        <v>345.87952190493075</v>
      </c>
      <c r="Q178">
        <v>464.76971512890935</v>
      </c>
      <c r="R178">
        <v>5.5684332600056425</v>
      </c>
      <c r="S178">
        <v>816.2176702938458</v>
      </c>
      <c r="T178">
        <v>154.76107338184943</v>
      </c>
      <c r="U178">
        <v>0</v>
      </c>
      <c r="V178">
        <v>165.86528460391662</v>
      </c>
      <c r="W178">
        <v>1.32033088491692</v>
      </c>
      <c r="X178">
        <v>1.7750846007951</v>
      </c>
      <c r="Y178">
        <v>323.72177347147806</v>
      </c>
      <c r="Z178">
        <v>2.3500078132347251</v>
      </c>
      <c r="AA178">
        <v>1668.048696249424</v>
      </c>
      <c r="AB178">
        <v>349.30800000000011</v>
      </c>
      <c r="AC178">
        <v>4.775294857974691</v>
      </c>
    </row>
    <row r="179" spans="4:29">
      <c r="D179" t="s">
        <v>661</v>
      </c>
      <c r="E179" t="s">
        <v>122</v>
      </c>
      <c r="F179" t="s">
        <v>634</v>
      </c>
      <c r="G179" t="s">
        <v>634</v>
      </c>
      <c r="H179" t="s">
        <v>1166</v>
      </c>
      <c r="I179">
        <v>2009</v>
      </c>
      <c r="J179">
        <v>360.5426165494892</v>
      </c>
      <c r="K179">
        <v>91.386426447175381</v>
      </c>
      <c r="L179">
        <v>0</v>
      </c>
      <c r="M179">
        <v>11.363953255661585</v>
      </c>
      <c r="N179">
        <v>0.51239126044464978</v>
      </c>
      <c r="O179">
        <v>463.80538751277078</v>
      </c>
      <c r="P179">
        <v>306.76477804063745</v>
      </c>
      <c r="Q179">
        <v>418.63541134936708</v>
      </c>
      <c r="R179">
        <v>5.0702699405826444</v>
      </c>
      <c r="S179">
        <v>730.47045933058712</v>
      </c>
      <c r="T179">
        <v>146.97458315998011</v>
      </c>
      <c r="U179">
        <v>0</v>
      </c>
      <c r="V179">
        <v>160.89315796434903</v>
      </c>
      <c r="W179">
        <v>1.3288477152104698</v>
      </c>
      <c r="X179">
        <v>1.5891811024708</v>
      </c>
      <c r="Y179">
        <v>310.7857699420104</v>
      </c>
      <c r="Z179">
        <v>2.2770858679332555</v>
      </c>
      <c r="AA179">
        <v>1507.3387026533017</v>
      </c>
      <c r="AB179">
        <v>352.76300000000009</v>
      </c>
      <c r="AC179">
        <v>4.2729501185025107</v>
      </c>
    </row>
    <row r="180" spans="4:29">
      <c r="D180" t="s">
        <v>661</v>
      </c>
      <c r="E180" t="s">
        <v>122</v>
      </c>
      <c r="F180" t="s">
        <v>634</v>
      </c>
      <c r="G180" t="s">
        <v>634</v>
      </c>
      <c r="H180" t="s">
        <v>1166</v>
      </c>
      <c r="I180">
        <v>2010</v>
      </c>
      <c r="J180">
        <v>370.07870999007861</v>
      </c>
      <c r="K180">
        <v>103.04035653192591</v>
      </c>
      <c r="L180">
        <v>0</v>
      </c>
      <c r="M180">
        <v>11.127917522804456</v>
      </c>
      <c r="N180">
        <v>0.51713068870512424</v>
      </c>
      <c r="O180">
        <v>484.76411473351413</v>
      </c>
      <c r="P180">
        <v>315.39399549217126</v>
      </c>
      <c r="Q180">
        <v>465.03878164018909</v>
      </c>
      <c r="R180">
        <v>5.295674619854374</v>
      </c>
      <c r="S180">
        <v>785.72845175221471</v>
      </c>
      <c r="T180">
        <v>143.49773779942103</v>
      </c>
      <c r="U180">
        <v>0</v>
      </c>
      <c r="V180">
        <v>156.92290554923545</v>
      </c>
      <c r="W180">
        <v>1.33563303095879</v>
      </c>
      <c r="X180">
        <v>1.58151327677687</v>
      </c>
      <c r="Y180">
        <v>303.33778965639215</v>
      </c>
      <c r="Z180">
        <v>2.1203808830003816</v>
      </c>
      <c r="AA180">
        <v>1575.9507370251213</v>
      </c>
      <c r="AB180">
        <v>357.95100000000014</v>
      </c>
      <c r="AC180">
        <v>4.402699634936404</v>
      </c>
    </row>
    <row r="181" spans="4:29">
      <c r="D181" t="s">
        <v>661</v>
      </c>
      <c r="E181" t="s">
        <v>122</v>
      </c>
      <c r="F181" t="s">
        <v>634</v>
      </c>
      <c r="G181" t="s">
        <v>634</v>
      </c>
      <c r="H181" t="s">
        <v>1166</v>
      </c>
      <c r="I181">
        <v>2011</v>
      </c>
      <c r="J181">
        <v>340.31832962801741</v>
      </c>
      <c r="K181">
        <v>83.541016849661801</v>
      </c>
      <c r="L181">
        <v>0</v>
      </c>
      <c r="M181">
        <v>9.7998482835379548</v>
      </c>
      <c r="N181">
        <v>0.52352601139952759</v>
      </c>
      <c r="O181">
        <v>434.18272077261668</v>
      </c>
      <c r="P181">
        <v>304.8151533875299</v>
      </c>
      <c r="Q181">
        <v>380.89716097224283</v>
      </c>
      <c r="R181">
        <v>5.0895506196999207</v>
      </c>
      <c r="S181">
        <v>690.80186497947273</v>
      </c>
      <c r="T181">
        <v>139.77037606906265</v>
      </c>
      <c r="U181">
        <v>0</v>
      </c>
      <c r="V181">
        <v>154.20817369106521</v>
      </c>
      <c r="W181">
        <v>1.3144498418206099</v>
      </c>
      <c r="X181">
        <v>1.5109271010798699</v>
      </c>
      <c r="Y181">
        <v>296.80392670302831</v>
      </c>
      <c r="Z181">
        <v>1.9400232969755484</v>
      </c>
      <c r="AA181">
        <v>1423.7285357520932</v>
      </c>
      <c r="AB181">
        <v>364.81499999999994</v>
      </c>
      <c r="AC181">
        <v>3.9026041575924602</v>
      </c>
    </row>
    <row r="182" spans="4:29">
      <c r="D182" t="s">
        <v>661</v>
      </c>
      <c r="E182" t="s">
        <v>122</v>
      </c>
      <c r="F182" t="s">
        <v>634</v>
      </c>
      <c r="G182" t="s">
        <v>634</v>
      </c>
      <c r="H182" t="s">
        <v>1166</v>
      </c>
      <c r="I182">
        <v>2012</v>
      </c>
      <c r="J182">
        <v>370.02704375604793</v>
      </c>
      <c r="K182">
        <v>92.175573835813836</v>
      </c>
      <c r="L182">
        <v>0</v>
      </c>
      <c r="M182">
        <v>11.133574866228221</v>
      </c>
      <c r="N182">
        <v>0.53676379740529423</v>
      </c>
      <c r="O182">
        <v>473.8729562554953</v>
      </c>
      <c r="P182">
        <v>324.5333604827506</v>
      </c>
      <c r="Q182">
        <v>419.65378308289013</v>
      </c>
      <c r="R182">
        <v>4.9164568762599492</v>
      </c>
      <c r="S182">
        <v>749.10360044190077</v>
      </c>
      <c r="T182">
        <v>137.52966428834736</v>
      </c>
      <c r="U182">
        <v>0</v>
      </c>
      <c r="V182">
        <v>152.40680911175542</v>
      </c>
      <c r="W182">
        <v>1.3242672759146998</v>
      </c>
      <c r="X182">
        <v>1.4595029879829402</v>
      </c>
      <c r="Y182">
        <v>292.72024366400041</v>
      </c>
      <c r="Z182">
        <v>1.7337182444259509</v>
      </c>
      <c r="AA182">
        <v>1517.4305186058223</v>
      </c>
      <c r="AB182">
        <v>368.88600000000025</v>
      </c>
      <c r="AC182">
        <v>4.1135486806379786</v>
      </c>
    </row>
    <row r="183" spans="4:29">
      <c r="D183" t="s">
        <v>661</v>
      </c>
      <c r="E183" t="s">
        <v>122</v>
      </c>
      <c r="F183" t="s">
        <v>634</v>
      </c>
      <c r="G183" t="s">
        <v>634</v>
      </c>
      <c r="H183" t="s">
        <v>1166</v>
      </c>
      <c r="I183">
        <v>2013</v>
      </c>
      <c r="J183">
        <v>330.87903540375811</v>
      </c>
      <c r="K183">
        <v>93.598155508492155</v>
      </c>
      <c r="L183">
        <v>1.7580184941059701E-4</v>
      </c>
      <c r="M183">
        <v>8.8529162550890703</v>
      </c>
      <c r="N183">
        <v>0.54232700405167655</v>
      </c>
      <c r="O183">
        <v>433.8726099732404</v>
      </c>
      <c r="P183">
        <v>297.25756948198432</v>
      </c>
      <c r="Q183">
        <v>432.05097788232456</v>
      </c>
      <c r="R183">
        <v>5.4158083356924767</v>
      </c>
      <c r="S183">
        <v>734.72435570000141</v>
      </c>
      <c r="T183">
        <v>138.28406304499765</v>
      </c>
      <c r="U183">
        <v>0</v>
      </c>
      <c r="V183">
        <v>148.81050455347713</v>
      </c>
      <c r="W183">
        <v>1.32081777745758</v>
      </c>
      <c r="X183">
        <v>1.48945799532089</v>
      </c>
      <c r="Y183">
        <v>289.90484337125326</v>
      </c>
      <c r="Z183">
        <v>1.6619693007994814</v>
      </c>
      <c r="AA183">
        <v>1460.1637783452943</v>
      </c>
      <c r="AB183">
        <v>372.75200000000024</v>
      </c>
      <c r="AC183">
        <v>3.9172526997716801</v>
      </c>
    </row>
    <row r="184" spans="4:29">
      <c r="D184" t="s">
        <v>661</v>
      </c>
      <c r="E184" t="s">
        <v>122</v>
      </c>
      <c r="F184" t="s">
        <v>634</v>
      </c>
      <c r="G184" t="s">
        <v>634</v>
      </c>
      <c r="H184" t="s">
        <v>1166</v>
      </c>
      <c r="I184">
        <v>2014</v>
      </c>
      <c r="J184">
        <v>248.97393349509252</v>
      </c>
      <c r="K184">
        <v>72.760768476673618</v>
      </c>
      <c r="L184">
        <v>0.16542415740276764</v>
      </c>
      <c r="M184">
        <v>9.7560223315750765</v>
      </c>
      <c r="N184">
        <v>0.51749050800623975</v>
      </c>
      <c r="O184">
        <v>332.1736389687502</v>
      </c>
      <c r="P184">
        <v>247.50965449405632</v>
      </c>
      <c r="Q184">
        <v>357.60433840115286</v>
      </c>
      <c r="R184">
        <v>5.253184143369741</v>
      </c>
      <c r="S184">
        <v>610.36717703857892</v>
      </c>
      <c r="T184">
        <v>135.24481408432646</v>
      </c>
      <c r="U184">
        <v>0</v>
      </c>
      <c r="V184">
        <v>151.20419796577261</v>
      </c>
      <c r="W184">
        <v>1.3476751461148599</v>
      </c>
      <c r="X184">
        <v>1.4467641466320098</v>
      </c>
      <c r="Y184">
        <v>289.24345134284596</v>
      </c>
      <c r="Z184">
        <v>1.4696617941701222</v>
      </c>
      <c r="AA184">
        <v>1233.2539291443452</v>
      </c>
      <c r="AB184">
        <v>376.04000000000025</v>
      </c>
      <c r="AC184">
        <v>3.2795817709401778</v>
      </c>
    </row>
    <row r="185" spans="4:29">
      <c r="D185" t="s">
        <v>661</v>
      </c>
      <c r="E185" t="s">
        <v>122</v>
      </c>
      <c r="F185" t="s">
        <v>634</v>
      </c>
      <c r="G185" t="s">
        <v>634</v>
      </c>
      <c r="H185" t="s">
        <v>1166</v>
      </c>
      <c r="I185">
        <v>2015</v>
      </c>
      <c r="J185">
        <v>227.35610693012723</v>
      </c>
      <c r="K185">
        <v>75.361827350533588</v>
      </c>
      <c r="L185">
        <v>0.41758788574982225</v>
      </c>
      <c r="M185">
        <v>10.082045314470019</v>
      </c>
      <c r="N185">
        <v>0.52861744582385972</v>
      </c>
      <c r="O185">
        <v>313.74618492670447</v>
      </c>
      <c r="P185">
        <v>207.28457221719884</v>
      </c>
      <c r="Q185">
        <v>386.94974701480442</v>
      </c>
      <c r="R185">
        <v>5.2178126193026495</v>
      </c>
      <c r="S185">
        <v>599.45213185130592</v>
      </c>
      <c r="T185">
        <v>135.91216473042383</v>
      </c>
      <c r="U185">
        <v>0</v>
      </c>
      <c r="V185">
        <v>148.51715805789135</v>
      </c>
      <c r="W185">
        <v>1.3081203974597999</v>
      </c>
      <c r="X185">
        <v>1.4083573464508099</v>
      </c>
      <c r="Y185">
        <v>287.14580053222579</v>
      </c>
      <c r="Z185">
        <v>1.3847202578371403</v>
      </c>
      <c r="AA185">
        <v>1201.7288375680735</v>
      </c>
      <c r="AB185">
        <v>379.03100000000023</v>
      </c>
      <c r="AC185">
        <v>3.1705291587444635</v>
      </c>
    </row>
    <row r="186" spans="4:29">
      <c r="D186" t="s">
        <v>661</v>
      </c>
      <c r="E186" t="s">
        <v>122</v>
      </c>
      <c r="F186" t="s">
        <v>635</v>
      </c>
      <c r="G186" t="s">
        <v>635</v>
      </c>
      <c r="H186" t="s">
        <v>1167</v>
      </c>
      <c r="I186">
        <v>2005</v>
      </c>
      <c r="J186">
        <v>418.95447784492751</v>
      </c>
      <c r="K186">
        <v>156.36280647200448</v>
      </c>
      <c r="L186">
        <v>0</v>
      </c>
      <c r="M186">
        <v>38.264718003558045</v>
      </c>
      <c r="N186">
        <v>0.26175769039291602</v>
      </c>
      <c r="O186">
        <v>613.84376001088299</v>
      </c>
      <c r="P186">
        <v>275.43013560342541</v>
      </c>
      <c r="Q186">
        <v>403.66740511416373</v>
      </c>
      <c r="R186">
        <v>5.0453696349392363</v>
      </c>
      <c r="S186">
        <v>684.14291035252836</v>
      </c>
      <c r="T186">
        <v>245.96069923051277</v>
      </c>
      <c r="U186">
        <v>0</v>
      </c>
      <c r="V186">
        <v>123.69160192224189</v>
      </c>
      <c r="W186">
        <v>7.5411180288716899</v>
      </c>
      <c r="X186">
        <v>1.7983771155070301</v>
      </c>
      <c r="Y186">
        <v>378.99179629713336</v>
      </c>
      <c r="Z186">
        <v>1.2805375332346105</v>
      </c>
      <c r="AA186">
        <v>1678.2590041937794</v>
      </c>
      <c r="AB186">
        <v>312.77400000000006</v>
      </c>
      <c r="AC186">
        <v>5.3657241464884518</v>
      </c>
    </row>
    <row r="187" spans="4:29">
      <c r="D187" t="s">
        <v>661</v>
      </c>
      <c r="E187" t="s">
        <v>122</v>
      </c>
      <c r="F187" t="s">
        <v>635</v>
      </c>
      <c r="G187" t="s">
        <v>635</v>
      </c>
      <c r="H187" t="s">
        <v>1167</v>
      </c>
      <c r="I187">
        <v>2006</v>
      </c>
      <c r="J187">
        <v>470.15822284582509</v>
      </c>
      <c r="K187">
        <v>152.67125010233485</v>
      </c>
      <c r="L187">
        <v>0</v>
      </c>
      <c r="M187">
        <v>36.836431780570926</v>
      </c>
      <c r="N187">
        <v>0.24670054797602201</v>
      </c>
      <c r="O187">
        <v>659.91260527670693</v>
      </c>
      <c r="P187">
        <v>284.47000104331215</v>
      </c>
      <c r="Q187">
        <v>389.84634973551761</v>
      </c>
      <c r="R187">
        <v>4.555435608385781</v>
      </c>
      <c r="S187">
        <v>678.87178638721548</v>
      </c>
      <c r="T187">
        <v>244.29315053424179</v>
      </c>
      <c r="U187">
        <v>0</v>
      </c>
      <c r="V187">
        <v>118.01707229418886</v>
      </c>
      <c r="W187">
        <v>7.4284070881883402</v>
      </c>
      <c r="X187">
        <v>1.8218367815216099</v>
      </c>
      <c r="Y187">
        <v>371.5604666981406</v>
      </c>
      <c r="Z187">
        <v>1.1406443947884068</v>
      </c>
      <c r="AA187">
        <v>1711.4855027568512</v>
      </c>
      <c r="AB187">
        <v>315.32899999999989</v>
      </c>
      <c r="AC187">
        <v>5.4276184643875185</v>
      </c>
    </row>
    <row r="188" spans="4:29">
      <c r="D188" t="s">
        <v>661</v>
      </c>
      <c r="E188" t="s">
        <v>122</v>
      </c>
      <c r="F188" t="s">
        <v>635</v>
      </c>
      <c r="G188" t="s">
        <v>635</v>
      </c>
      <c r="H188" t="s">
        <v>1167</v>
      </c>
      <c r="I188">
        <v>2007</v>
      </c>
      <c r="J188">
        <v>506.39197098807568</v>
      </c>
      <c r="K188">
        <v>137.59483321343083</v>
      </c>
      <c r="L188">
        <v>0</v>
      </c>
      <c r="M188">
        <v>37.19815293512967</v>
      </c>
      <c r="N188">
        <v>0.2336578737908</v>
      </c>
      <c r="O188">
        <v>681.41861501042695</v>
      </c>
      <c r="P188">
        <v>286.93411910720937</v>
      </c>
      <c r="Q188">
        <v>371.516477467632</v>
      </c>
      <c r="R188">
        <v>4.2937541217497612</v>
      </c>
      <c r="S188">
        <v>662.74435069659114</v>
      </c>
      <c r="T188">
        <v>225.13425361625616</v>
      </c>
      <c r="U188">
        <v>0</v>
      </c>
      <c r="V188">
        <v>119.13115774503052</v>
      </c>
      <c r="W188">
        <v>8.5777219479521598</v>
      </c>
      <c r="X188">
        <v>1.67992042247078</v>
      </c>
      <c r="Y188">
        <v>354.52305373170964</v>
      </c>
      <c r="Z188">
        <v>1.0561184241524624</v>
      </c>
      <c r="AA188">
        <v>1699.7421378628801</v>
      </c>
      <c r="AB188">
        <v>318.67100000000011</v>
      </c>
      <c r="AC188">
        <v>5.3338463112830459</v>
      </c>
    </row>
    <row r="189" spans="4:29">
      <c r="D189" t="s">
        <v>661</v>
      </c>
      <c r="E189" t="s">
        <v>122</v>
      </c>
      <c r="F189" t="s">
        <v>635</v>
      </c>
      <c r="G189" t="s">
        <v>635</v>
      </c>
      <c r="H189" t="s">
        <v>1167</v>
      </c>
      <c r="I189">
        <v>2008</v>
      </c>
      <c r="J189">
        <v>498.54717219585365</v>
      </c>
      <c r="K189">
        <v>142.95206677145069</v>
      </c>
      <c r="L189">
        <v>7.9779842683084981E-2</v>
      </c>
      <c r="M189">
        <v>43.459809835586228</v>
      </c>
      <c r="N189">
        <v>0.21666803711264898</v>
      </c>
      <c r="O189">
        <v>685.25549668268638</v>
      </c>
      <c r="P189">
        <v>278.49394272108509</v>
      </c>
      <c r="Q189">
        <v>388.19715938147044</v>
      </c>
      <c r="R189">
        <v>4.6070077976671309</v>
      </c>
      <c r="S189">
        <v>671.2981099002227</v>
      </c>
      <c r="T189">
        <v>214.44979069932731</v>
      </c>
      <c r="U189">
        <v>0</v>
      </c>
      <c r="V189">
        <v>115.33873695129483</v>
      </c>
      <c r="W189">
        <v>8.670243540950139</v>
      </c>
      <c r="X189">
        <v>1.7678432345622601</v>
      </c>
      <c r="Y189">
        <v>340.22661442613452</v>
      </c>
      <c r="Z189">
        <v>0.94154098402650843</v>
      </c>
      <c r="AA189">
        <v>1697.7217619930698</v>
      </c>
      <c r="AB189">
        <v>324.02200000000011</v>
      </c>
      <c r="AC189">
        <v>5.2395262111618015</v>
      </c>
    </row>
    <row r="190" spans="4:29">
      <c r="D190" t="s">
        <v>661</v>
      </c>
      <c r="E190" t="s">
        <v>122</v>
      </c>
      <c r="F190" t="s">
        <v>635</v>
      </c>
      <c r="G190" t="s">
        <v>635</v>
      </c>
      <c r="H190" t="s">
        <v>1167</v>
      </c>
      <c r="I190">
        <v>2009</v>
      </c>
      <c r="J190">
        <v>447.44041131683196</v>
      </c>
      <c r="K190">
        <v>130.88938290384849</v>
      </c>
      <c r="L190">
        <v>0.12782353281969597</v>
      </c>
      <c r="M190">
        <v>33.330378098675588</v>
      </c>
      <c r="N190">
        <v>0.22238597163152701</v>
      </c>
      <c r="O190">
        <v>612.01038182380728</v>
      </c>
      <c r="P190">
        <v>250.66971273482642</v>
      </c>
      <c r="Q190">
        <v>350.18215808626496</v>
      </c>
      <c r="R190">
        <v>4.1662335998554596</v>
      </c>
      <c r="S190">
        <v>605.01810442094677</v>
      </c>
      <c r="T190">
        <v>206.721209107639</v>
      </c>
      <c r="U190">
        <v>0</v>
      </c>
      <c r="V190">
        <v>111.683395701189</v>
      </c>
      <c r="W190">
        <v>8.7247974443360512</v>
      </c>
      <c r="X190">
        <v>1.60656615627974</v>
      </c>
      <c r="Y190">
        <v>328.73596840944379</v>
      </c>
      <c r="Z190">
        <v>0.91227253490548865</v>
      </c>
      <c r="AA190">
        <v>1546.6767271891035</v>
      </c>
      <c r="AB190">
        <v>329.96600000000018</v>
      </c>
      <c r="AC190">
        <v>4.6873821157001103</v>
      </c>
    </row>
    <row r="191" spans="4:29">
      <c r="D191" t="s">
        <v>661</v>
      </c>
      <c r="E191" t="s">
        <v>122</v>
      </c>
      <c r="F191" t="s">
        <v>635</v>
      </c>
      <c r="G191" t="s">
        <v>635</v>
      </c>
      <c r="H191" t="s">
        <v>1167</v>
      </c>
      <c r="I191">
        <v>2010</v>
      </c>
      <c r="J191">
        <v>440.35574248813231</v>
      </c>
      <c r="K191">
        <v>156.09609591621808</v>
      </c>
      <c r="L191">
        <v>9.572655692153885E-2</v>
      </c>
      <c r="M191">
        <v>32.139216420028404</v>
      </c>
      <c r="N191">
        <v>0.22437985667329499</v>
      </c>
      <c r="O191">
        <v>628.91116123797372</v>
      </c>
      <c r="P191">
        <v>258.12081313630415</v>
      </c>
      <c r="Q191">
        <v>388.88802706344092</v>
      </c>
      <c r="R191">
        <v>4.3854676849424887</v>
      </c>
      <c r="S191">
        <v>651.39430788468746</v>
      </c>
      <c r="T191">
        <v>205.98261620813776</v>
      </c>
      <c r="U191">
        <v>0</v>
      </c>
      <c r="V191">
        <v>108.93250870685235</v>
      </c>
      <c r="W191">
        <v>8.7186785820741406</v>
      </c>
      <c r="X191">
        <v>1.6056418557505101</v>
      </c>
      <c r="Y191">
        <v>325.2394453528147</v>
      </c>
      <c r="Z191">
        <v>0.82842801251169074</v>
      </c>
      <c r="AA191">
        <v>1606.3733424879879</v>
      </c>
      <c r="AB191">
        <v>334.07300000000015</v>
      </c>
      <c r="AC191">
        <v>4.8084500767436671</v>
      </c>
    </row>
    <row r="192" spans="4:29">
      <c r="D192" t="s">
        <v>661</v>
      </c>
      <c r="E192" t="s">
        <v>122</v>
      </c>
      <c r="F192" t="s">
        <v>635</v>
      </c>
      <c r="G192" t="s">
        <v>635</v>
      </c>
      <c r="H192" t="s">
        <v>1167</v>
      </c>
      <c r="I192">
        <v>2011</v>
      </c>
      <c r="J192">
        <v>433.95120416279127</v>
      </c>
      <c r="K192">
        <v>137.36628888075273</v>
      </c>
      <c r="L192">
        <v>0.22502659934430441</v>
      </c>
      <c r="M192">
        <v>27.212201629091357</v>
      </c>
      <c r="N192">
        <v>0.22645336650172498</v>
      </c>
      <c r="O192">
        <v>598.98117463848143</v>
      </c>
      <c r="P192">
        <v>245.11254532317793</v>
      </c>
      <c r="Q192">
        <v>316.26595519988638</v>
      </c>
      <c r="R192">
        <v>4.1415390958001339</v>
      </c>
      <c r="S192">
        <v>565.52003961886442</v>
      </c>
      <c r="T192">
        <v>205.06993375811126</v>
      </c>
      <c r="U192">
        <v>0</v>
      </c>
      <c r="V192">
        <v>107.0570728941864</v>
      </c>
      <c r="W192">
        <v>8.6192082202339702</v>
      </c>
      <c r="X192">
        <v>1.5329940213833999</v>
      </c>
      <c r="Y192">
        <v>322.27920889391504</v>
      </c>
      <c r="Z192">
        <v>0.72617036694645343</v>
      </c>
      <c r="AA192">
        <v>1487.5065935182076</v>
      </c>
      <c r="AB192">
        <v>339.31400000000014</v>
      </c>
      <c r="AC192">
        <v>4.3838644839829986</v>
      </c>
    </row>
    <row r="193" spans="4:29">
      <c r="D193" t="s">
        <v>661</v>
      </c>
      <c r="E193" t="s">
        <v>122</v>
      </c>
      <c r="F193" t="s">
        <v>635</v>
      </c>
      <c r="G193" t="s">
        <v>635</v>
      </c>
      <c r="H193" t="s">
        <v>1167</v>
      </c>
      <c r="I193">
        <v>2012</v>
      </c>
      <c r="J193">
        <v>488.87597658998436</v>
      </c>
      <c r="K193">
        <v>147.73027535591248</v>
      </c>
      <c r="L193">
        <v>0.21590362182064071</v>
      </c>
      <c r="M193">
        <v>31.498662326061162</v>
      </c>
      <c r="N193">
        <v>0.23136015200948098</v>
      </c>
      <c r="O193">
        <v>668.5521780457882</v>
      </c>
      <c r="P193">
        <v>261.21141719592424</v>
      </c>
      <c r="Q193">
        <v>346.91195813650302</v>
      </c>
      <c r="R193">
        <v>3.9913973014974049</v>
      </c>
      <c r="S193">
        <v>612.11477263392464</v>
      </c>
      <c r="T193">
        <v>196.07269487853893</v>
      </c>
      <c r="U193">
        <v>0</v>
      </c>
      <c r="V193">
        <v>105.56778923638882</v>
      </c>
      <c r="W193">
        <v>8.6547043599917597</v>
      </c>
      <c r="X193">
        <v>1.4433268444574201</v>
      </c>
      <c r="Y193">
        <v>311.73851531937692</v>
      </c>
      <c r="Z193">
        <v>0.65535579116421672</v>
      </c>
      <c r="AA193">
        <v>1593.0608217902543</v>
      </c>
      <c r="AB193">
        <v>340.67100000000011</v>
      </c>
      <c r="AC193">
        <v>4.6762442996035878</v>
      </c>
    </row>
    <row r="194" spans="4:29">
      <c r="D194" t="s">
        <v>661</v>
      </c>
      <c r="E194" t="s">
        <v>122</v>
      </c>
      <c r="F194" t="s">
        <v>635</v>
      </c>
      <c r="G194" t="s">
        <v>635</v>
      </c>
      <c r="H194" t="s">
        <v>1167</v>
      </c>
      <c r="I194">
        <v>2013</v>
      </c>
      <c r="J194">
        <v>467.59417245048547</v>
      </c>
      <c r="K194">
        <v>155.61568198018696</v>
      </c>
      <c r="L194">
        <v>0.14193231700759187</v>
      </c>
      <c r="M194">
        <v>25.468130484829722</v>
      </c>
      <c r="N194">
        <v>0.22814598328755201</v>
      </c>
      <c r="O194">
        <v>649.04806321579724</v>
      </c>
      <c r="P194">
        <v>238.73809932340779</v>
      </c>
      <c r="Q194">
        <v>358.22866777869922</v>
      </c>
      <c r="R194">
        <v>4.455548734793787</v>
      </c>
      <c r="S194">
        <v>601.42231583690079</v>
      </c>
      <c r="T194">
        <v>208.78155489851835</v>
      </c>
      <c r="U194">
        <v>0</v>
      </c>
      <c r="V194">
        <v>103.02848975011295</v>
      </c>
      <c r="W194">
        <v>8.7722869625980291</v>
      </c>
      <c r="X194">
        <v>1.5443002024080499</v>
      </c>
      <c r="Y194">
        <v>322.1266318136374</v>
      </c>
      <c r="Z194">
        <v>0.61832390955137795</v>
      </c>
      <c r="AA194">
        <v>1573.215334775887</v>
      </c>
      <c r="AB194">
        <v>342.49400000000003</v>
      </c>
      <c r="AC194">
        <v>4.5934099130959574</v>
      </c>
    </row>
    <row r="195" spans="4:29">
      <c r="D195" t="s">
        <v>661</v>
      </c>
      <c r="E195" t="s">
        <v>122</v>
      </c>
      <c r="F195" t="s">
        <v>635</v>
      </c>
      <c r="G195" t="s">
        <v>635</v>
      </c>
      <c r="H195" t="s">
        <v>1167</v>
      </c>
      <c r="I195">
        <v>2014</v>
      </c>
      <c r="J195">
        <v>362.72706151585794</v>
      </c>
      <c r="K195">
        <v>132.08249004230302</v>
      </c>
      <c r="L195">
        <v>0.63714723952587626</v>
      </c>
      <c r="M195">
        <v>27.773390204111049</v>
      </c>
      <c r="N195">
        <v>0.22411989818362302</v>
      </c>
      <c r="O195">
        <v>523.4442088999815</v>
      </c>
      <c r="P195">
        <v>198.47166011160962</v>
      </c>
      <c r="Q195">
        <v>294.89431013261247</v>
      </c>
      <c r="R195">
        <v>4.2882679414872058</v>
      </c>
      <c r="S195">
        <v>497.65423818570935</v>
      </c>
      <c r="T195">
        <v>198.18292576867751</v>
      </c>
      <c r="U195">
        <v>0</v>
      </c>
      <c r="V195">
        <v>104.77481712967993</v>
      </c>
      <c r="W195">
        <v>8.95676358097292</v>
      </c>
      <c r="X195">
        <v>1.4538216642328901</v>
      </c>
      <c r="Y195">
        <v>313.36832814356319</v>
      </c>
      <c r="Z195">
        <v>0.49794732784082746</v>
      </c>
      <c r="AA195">
        <v>1334.9647225570948</v>
      </c>
      <c r="AB195">
        <v>342.11800000000022</v>
      </c>
      <c r="AC195">
        <v>3.9020592969592185</v>
      </c>
    </row>
    <row r="196" spans="4:29">
      <c r="D196" t="s">
        <v>661</v>
      </c>
      <c r="E196" t="s">
        <v>122</v>
      </c>
      <c r="F196" t="s">
        <v>635</v>
      </c>
      <c r="G196" t="s">
        <v>635</v>
      </c>
      <c r="H196" t="s">
        <v>1167</v>
      </c>
      <c r="I196">
        <v>2015</v>
      </c>
      <c r="J196">
        <v>310.58919756504105</v>
      </c>
      <c r="K196">
        <v>131.062888622495</v>
      </c>
      <c r="L196">
        <v>0.16529521189744378</v>
      </c>
      <c r="M196">
        <v>28.367544110307708</v>
      </c>
      <c r="N196">
        <v>0.22876020148860102</v>
      </c>
      <c r="O196">
        <v>470.41368571122985</v>
      </c>
      <c r="P196">
        <v>165.48749236468535</v>
      </c>
      <c r="Q196">
        <v>311.21525077363907</v>
      </c>
      <c r="R196">
        <v>4.2466228173544396</v>
      </c>
      <c r="S196">
        <v>480.94936595567884</v>
      </c>
      <c r="T196">
        <v>204.06498677525124</v>
      </c>
      <c r="U196">
        <v>0</v>
      </c>
      <c r="V196">
        <v>102.55878653018286</v>
      </c>
      <c r="W196">
        <v>8.7285582042602492</v>
      </c>
      <c r="X196">
        <v>1.41791026036221</v>
      </c>
      <c r="Y196">
        <v>316.77024177005654</v>
      </c>
      <c r="Z196">
        <v>0.46268148518500829</v>
      </c>
      <c r="AA196">
        <v>1268.5959749221504</v>
      </c>
      <c r="AB196">
        <v>343.05899999999997</v>
      </c>
      <c r="AC196">
        <v>3.6978944581606967</v>
      </c>
    </row>
    <row r="197" spans="4:29">
      <c r="D197" t="s">
        <v>661</v>
      </c>
      <c r="E197" t="s">
        <v>122</v>
      </c>
      <c r="F197" t="s">
        <v>636</v>
      </c>
      <c r="G197" t="s">
        <v>636</v>
      </c>
      <c r="H197" t="s">
        <v>1168</v>
      </c>
      <c r="I197">
        <v>2005</v>
      </c>
      <c r="J197">
        <v>300.32534532420874</v>
      </c>
      <c r="K197">
        <v>135.16135682315075</v>
      </c>
      <c r="L197">
        <v>8.4347108514036915</v>
      </c>
      <c r="M197">
        <v>29.886344559704991</v>
      </c>
      <c r="N197">
        <v>0.78124146610360323</v>
      </c>
      <c r="O197">
        <v>474.58899902457176</v>
      </c>
      <c r="P197">
        <v>296.93690828153257</v>
      </c>
      <c r="Q197">
        <v>374.70154894966674</v>
      </c>
      <c r="R197">
        <v>4.5242309189678931</v>
      </c>
      <c r="S197">
        <v>676.16268815016713</v>
      </c>
      <c r="T197">
        <v>227.57778648368787</v>
      </c>
      <c r="U197">
        <v>132.04286768293471</v>
      </c>
      <c r="V197">
        <v>75.211184912100805</v>
      </c>
      <c r="W197">
        <v>0.26942979699610498</v>
      </c>
      <c r="X197">
        <v>1.8813370367381699</v>
      </c>
      <c r="Y197">
        <v>436.98260591245764</v>
      </c>
      <c r="Z197">
        <v>2.621479656772209</v>
      </c>
      <c r="AA197">
        <v>1590.3557727439691</v>
      </c>
      <c r="AB197">
        <v>284.77900000000022</v>
      </c>
      <c r="AC197">
        <v>5.5845261509590518</v>
      </c>
    </row>
    <row r="198" spans="4:29">
      <c r="D198" t="s">
        <v>661</v>
      </c>
      <c r="E198" t="s">
        <v>122</v>
      </c>
      <c r="F198" t="s">
        <v>636</v>
      </c>
      <c r="G198" t="s">
        <v>636</v>
      </c>
      <c r="H198" t="s">
        <v>1168</v>
      </c>
      <c r="I198">
        <v>2006</v>
      </c>
      <c r="J198">
        <v>453.46151124412341</v>
      </c>
      <c r="K198">
        <v>127.28003666842066</v>
      </c>
      <c r="L198">
        <v>8.2594959541072122</v>
      </c>
      <c r="M198">
        <v>28.114921808740569</v>
      </c>
      <c r="N198">
        <v>0.74886224872376117</v>
      </c>
      <c r="O198">
        <v>617.86482792411562</v>
      </c>
      <c r="P198">
        <v>308.40471150274175</v>
      </c>
      <c r="Q198">
        <v>359.7109639960355</v>
      </c>
      <c r="R198">
        <v>4.0961889444135346</v>
      </c>
      <c r="S198">
        <v>672.21186444319073</v>
      </c>
      <c r="T198">
        <v>224.10131938211541</v>
      </c>
      <c r="U198">
        <v>132.91011982237711</v>
      </c>
      <c r="V198">
        <v>78.004742829166815</v>
      </c>
      <c r="W198">
        <v>0.26481940778018204</v>
      </c>
      <c r="X198">
        <v>1.9929773506428501</v>
      </c>
      <c r="Y198">
        <v>437.27397879208235</v>
      </c>
      <c r="Z198">
        <v>2.4573528228176715</v>
      </c>
      <c r="AA198">
        <v>1729.8080239822066</v>
      </c>
      <c r="AB198">
        <v>287.42900000000003</v>
      </c>
      <c r="AC198">
        <v>6.0182097978360094</v>
      </c>
    </row>
    <row r="199" spans="4:29">
      <c r="D199" t="s">
        <v>661</v>
      </c>
      <c r="E199" t="s">
        <v>122</v>
      </c>
      <c r="F199" t="s">
        <v>636</v>
      </c>
      <c r="G199" t="s">
        <v>636</v>
      </c>
      <c r="H199" t="s">
        <v>1168</v>
      </c>
      <c r="I199">
        <v>2007</v>
      </c>
      <c r="J199">
        <v>467.54214869064202</v>
      </c>
      <c r="K199">
        <v>123.88015164953001</v>
      </c>
      <c r="L199">
        <v>9.8628468187876841</v>
      </c>
      <c r="M199">
        <v>28.16078707177045</v>
      </c>
      <c r="N199">
        <v>0.71534940641347644</v>
      </c>
      <c r="O199">
        <v>630.16128363714358</v>
      </c>
      <c r="P199">
        <v>310.25891410862977</v>
      </c>
      <c r="Q199">
        <v>342.71452376582079</v>
      </c>
      <c r="R199">
        <v>3.8682880872914751</v>
      </c>
      <c r="S199">
        <v>656.8417259617421</v>
      </c>
      <c r="T199">
        <v>219.43369164811782</v>
      </c>
      <c r="U199">
        <v>133.04987444966278</v>
      </c>
      <c r="V199">
        <v>79.055503313789586</v>
      </c>
      <c r="W199">
        <v>0.305184003079219</v>
      </c>
      <c r="X199">
        <v>1.9091483683564499</v>
      </c>
      <c r="Y199">
        <v>433.75340178300581</v>
      </c>
      <c r="Z199">
        <v>2.2953227660358131</v>
      </c>
      <c r="AA199">
        <v>1723.0517341479274</v>
      </c>
      <c r="AB199">
        <v>291.53399999999988</v>
      </c>
      <c r="AC199">
        <v>5.9102942852220606</v>
      </c>
    </row>
    <row r="200" spans="4:29">
      <c r="D200" t="s">
        <v>661</v>
      </c>
      <c r="E200" t="s">
        <v>122</v>
      </c>
      <c r="F200" t="s">
        <v>636</v>
      </c>
      <c r="G200" t="s">
        <v>636</v>
      </c>
      <c r="H200" t="s">
        <v>1168</v>
      </c>
      <c r="I200">
        <v>2008</v>
      </c>
      <c r="J200">
        <v>321.06889827076697</v>
      </c>
      <c r="K200">
        <v>125.55740757821464</v>
      </c>
      <c r="L200">
        <v>9.9721331708739385</v>
      </c>
      <c r="M200">
        <v>30.286773387702979</v>
      </c>
      <c r="N200">
        <v>0.69759320995142871</v>
      </c>
      <c r="O200">
        <v>487.58280561750991</v>
      </c>
      <c r="P200">
        <v>295.09036074048447</v>
      </c>
      <c r="Q200">
        <v>358.8748630145293</v>
      </c>
      <c r="R200">
        <v>4.1398172186111601</v>
      </c>
      <c r="S200">
        <v>658.10504097362491</v>
      </c>
      <c r="T200">
        <v>205.53643437718506</v>
      </c>
      <c r="U200">
        <v>129.33418280953711</v>
      </c>
      <c r="V200">
        <v>76.347626161722289</v>
      </c>
      <c r="W200">
        <v>0.30720336045838703</v>
      </c>
      <c r="X200">
        <v>1.9238111575611698</v>
      </c>
      <c r="Y200">
        <v>413.449257866464</v>
      </c>
      <c r="Z200">
        <v>2.1534067909228267</v>
      </c>
      <c r="AA200">
        <v>1561.2905112485219</v>
      </c>
      <c r="AB200">
        <v>297.4430000000001</v>
      </c>
      <c r="AC200">
        <v>5.2490410305454196</v>
      </c>
    </row>
    <row r="201" spans="4:29">
      <c r="D201" t="s">
        <v>661</v>
      </c>
      <c r="E201" t="s">
        <v>122</v>
      </c>
      <c r="F201" t="s">
        <v>636</v>
      </c>
      <c r="G201" t="s">
        <v>636</v>
      </c>
      <c r="H201" t="s">
        <v>1168</v>
      </c>
      <c r="I201">
        <v>2009</v>
      </c>
      <c r="J201">
        <v>269.66210424437236</v>
      </c>
      <c r="K201">
        <v>110.21604944360163</v>
      </c>
      <c r="L201">
        <v>10.96094841912508</v>
      </c>
      <c r="M201">
        <v>21.93367826919555</v>
      </c>
      <c r="N201">
        <v>0.71045496891447391</v>
      </c>
      <c r="O201">
        <v>413.48323534520904</v>
      </c>
      <c r="P201">
        <v>262.3201602716062</v>
      </c>
      <c r="Q201">
        <v>324.50618467712559</v>
      </c>
      <c r="R201">
        <v>3.7603777736169697</v>
      </c>
      <c r="S201">
        <v>590.58672272234867</v>
      </c>
      <c r="T201">
        <v>199.03037506067236</v>
      </c>
      <c r="U201">
        <v>129.32558949108656</v>
      </c>
      <c r="V201">
        <v>74.029906091329778</v>
      </c>
      <c r="W201">
        <v>0.30862917253715999</v>
      </c>
      <c r="X201">
        <v>1.79222252930088</v>
      </c>
      <c r="Y201">
        <v>404.48672234492676</v>
      </c>
      <c r="Z201">
        <v>2.0838378500131025</v>
      </c>
      <c r="AA201">
        <v>1410.6405182624978</v>
      </c>
      <c r="AB201">
        <v>301.97099999999978</v>
      </c>
      <c r="AC201">
        <v>4.6714436759241744</v>
      </c>
    </row>
    <row r="202" spans="4:29">
      <c r="D202" t="s">
        <v>661</v>
      </c>
      <c r="E202" t="s">
        <v>122</v>
      </c>
      <c r="F202" t="s">
        <v>636</v>
      </c>
      <c r="G202" t="s">
        <v>636</v>
      </c>
      <c r="H202" t="s">
        <v>1168</v>
      </c>
      <c r="I202">
        <v>2010</v>
      </c>
      <c r="J202">
        <v>279.48893138523749</v>
      </c>
      <c r="K202">
        <v>118.19450324896575</v>
      </c>
      <c r="L202">
        <v>15.92884599570062</v>
      </c>
      <c r="M202">
        <v>21.772853752863881</v>
      </c>
      <c r="N202">
        <v>0.71190514522372883</v>
      </c>
      <c r="O202">
        <v>436.09703952799151</v>
      </c>
      <c r="P202">
        <v>270.20770029342066</v>
      </c>
      <c r="Q202">
        <v>360.16103203672975</v>
      </c>
      <c r="R202">
        <v>3.9531232798118969</v>
      </c>
      <c r="S202">
        <v>634.3218556099622</v>
      </c>
      <c r="T202">
        <v>194.28065918672485</v>
      </c>
      <c r="U202">
        <v>134.97072262022655</v>
      </c>
      <c r="V202">
        <v>72.154679735561373</v>
      </c>
      <c r="W202">
        <v>0.30857152762563195</v>
      </c>
      <c r="X202">
        <v>1.86422652036099</v>
      </c>
      <c r="Y202">
        <v>403.57885959049941</v>
      </c>
      <c r="Z202">
        <v>1.9514984940657152</v>
      </c>
      <c r="AA202">
        <v>1475.9492532225186</v>
      </c>
      <c r="AB202">
        <v>307.64800000000002</v>
      </c>
      <c r="AC202">
        <v>4.7975259167051902</v>
      </c>
    </row>
    <row r="203" spans="4:29">
      <c r="D203" t="s">
        <v>661</v>
      </c>
      <c r="E203" t="s">
        <v>122</v>
      </c>
      <c r="F203" t="s">
        <v>636</v>
      </c>
      <c r="G203" t="s">
        <v>636</v>
      </c>
      <c r="H203" t="s">
        <v>1168</v>
      </c>
      <c r="I203">
        <v>2011</v>
      </c>
      <c r="J203">
        <v>244.60505251150758</v>
      </c>
      <c r="K203">
        <v>109.5377778869745</v>
      </c>
      <c r="L203">
        <v>9.9789373902289142</v>
      </c>
      <c r="M203">
        <v>18.36184325572</v>
      </c>
      <c r="N203">
        <v>0.72723182526188757</v>
      </c>
      <c r="O203">
        <v>383.21084286969284</v>
      </c>
      <c r="P203">
        <v>255.90455250713964</v>
      </c>
      <c r="Q203">
        <v>292.05996468847468</v>
      </c>
      <c r="R203">
        <v>3.7408222490133483</v>
      </c>
      <c r="S203">
        <v>551.70533944462773</v>
      </c>
      <c r="T203">
        <v>184.79050599031876</v>
      </c>
      <c r="U203">
        <v>121.07479354679728</v>
      </c>
      <c r="V203">
        <v>70.932326722776935</v>
      </c>
      <c r="W203">
        <v>0.30531680944475897</v>
      </c>
      <c r="X203">
        <v>1.6758486176501899</v>
      </c>
      <c r="Y203">
        <v>378.77879168698792</v>
      </c>
      <c r="Z203">
        <v>1.8121979866377971</v>
      </c>
      <c r="AA203">
        <v>1315.5071719879463</v>
      </c>
      <c r="AB203">
        <v>313.93500000000012</v>
      </c>
      <c r="AC203">
        <v>4.1903807220856093</v>
      </c>
    </row>
    <row r="204" spans="4:29">
      <c r="D204" t="s">
        <v>661</v>
      </c>
      <c r="E204" t="s">
        <v>122</v>
      </c>
      <c r="F204" t="s">
        <v>636</v>
      </c>
      <c r="G204" t="s">
        <v>636</v>
      </c>
      <c r="H204" t="s">
        <v>1168</v>
      </c>
      <c r="I204">
        <v>2012</v>
      </c>
      <c r="J204">
        <v>283.7271290867377</v>
      </c>
      <c r="K204">
        <v>102.87370124285665</v>
      </c>
      <c r="L204">
        <v>10.252444141078669</v>
      </c>
      <c r="M204">
        <v>19.64894100495852</v>
      </c>
      <c r="N204">
        <v>0.72289873169105145</v>
      </c>
      <c r="O204">
        <v>417.22511420732263</v>
      </c>
      <c r="P204">
        <v>271.32320129040932</v>
      </c>
      <c r="Q204">
        <v>322.575548254495</v>
      </c>
      <c r="R204">
        <v>3.6114005365594579</v>
      </c>
      <c r="S204">
        <v>597.51015008146385</v>
      </c>
      <c r="T204">
        <v>186.96245374839441</v>
      </c>
      <c r="U204">
        <v>140.70575118930549</v>
      </c>
      <c r="V204">
        <v>70.048512821320401</v>
      </c>
      <c r="W204">
        <v>0.30785720543374401</v>
      </c>
      <c r="X204">
        <v>1.70453789347582</v>
      </c>
      <c r="Y204">
        <v>399.72911285792986</v>
      </c>
      <c r="Z204">
        <v>1.659088477247769</v>
      </c>
      <c r="AA204">
        <v>1416.123465623964</v>
      </c>
      <c r="AB204">
        <v>317.28700000000009</v>
      </c>
      <c r="AC204">
        <v>4.4632256147398524</v>
      </c>
    </row>
    <row r="205" spans="4:29">
      <c r="D205" t="s">
        <v>661</v>
      </c>
      <c r="E205" t="s">
        <v>122</v>
      </c>
      <c r="F205" t="s">
        <v>636</v>
      </c>
      <c r="G205" t="s">
        <v>636</v>
      </c>
      <c r="H205" t="s">
        <v>1168</v>
      </c>
      <c r="I205">
        <v>2013</v>
      </c>
      <c r="J205">
        <v>269.25663394729565</v>
      </c>
      <c r="K205">
        <v>114.16703798010815</v>
      </c>
      <c r="L205">
        <v>17.385165038631108</v>
      </c>
      <c r="M205">
        <v>16.33901317098216</v>
      </c>
      <c r="N205">
        <v>0.73297266108769032</v>
      </c>
      <c r="O205">
        <v>417.88082279810476</v>
      </c>
      <c r="P205">
        <v>247.1994474279939</v>
      </c>
      <c r="Q205">
        <v>331.46502116999852</v>
      </c>
      <c r="R205">
        <v>4.0047666124692363</v>
      </c>
      <c r="S205">
        <v>582.66923521046169</v>
      </c>
      <c r="T205">
        <v>188.03055655785499</v>
      </c>
      <c r="U205">
        <v>131.28317808530602</v>
      </c>
      <c r="V205">
        <v>68.346784575233272</v>
      </c>
      <c r="W205">
        <v>0.31158897799848001</v>
      </c>
      <c r="X205">
        <v>1.6852502600960799</v>
      </c>
      <c r="Y205">
        <v>389.65735845648885</v>
      </c>
      <c r="Z205">
        <v>1.5773051559212345</v>
      </c>
      <c r="AA205">
        <v>1391.7847216209764</v>
      </c>
      <c r="AB205">
        <v>320.52400000000006</v>
      </c>
      <c r="AC205">
        <v>4.3422168749328476</v>
      </c>
    </row>
    <row r="206" spans="4:29">
      <c r="D206" t="s">
        <v>661</v>
      </c>
      <c r="E206" t="s">
        <v>122</v>
      </c>
      <c r="F206" t="s">
        <v>636</v>
      </c>
      <c r="G206" t="s">
        <v>636</v>
      </c>
      <c r="H206" t="s">
        <v>1168</v>
      </c>
      <c r="I206">
        <v>2014</v>
      </c>
      <c r="J206">
        <v>236.73173117369845</v>
      </c>
      <c r="K206">
        <v>93.227814817895492</v>
      </c>
      <c r="L206">
        <v>8.9823781640073364</v>
      </c>
      <c r="M206">
        <v>17.979684407333238</v>
      </c>
      <c r="N206">
        <v>0.69044443974588599</v>
      </c>
      <c r="O206">
        <v>357.6120530026804</v>
      </c>
      <c r="P206">
        <v>206.12350970277112</v>
      </c>
      <c r="Q206">
        <v>272.73563880973944</v>
      </c>
      <c r="R206">
        <v>3.8669401506986389</v>
      </c>
      <c r="S206">
        <v>482.72608866320923</v>
      </c>
      <c r="T206">
        <v>190.98788228609169</v>
      </c>
      <c r="U206">
        <v>129.83464388173212</v>
      </c>
      <c r="V206">
        <v>69.541125545196508</v>
      </c>
      <c r="W206">
        <v>0.31759845742971698</v>
      </c>
      <c r="X206">
        <v>1.7002545737955799</v>
      </c>
      <c r="Y206">
        <v>392.3815047442456</v>
      </c>
      <c r="Z206">
        <v>1.4280215818714663</v>
      </c>
      <c r="AA206">
        <v>1234.1476679920065</v>
      </c>
      <c r="AB206">
        <v>324.5739999999999</v>
      </c>
      <c r="AC206">
        <v>3.8023614583793122</v>
      </c>
    </row>
    <row r="207" spans="4:29">
      <c r="D207" t="s">
        <v>661</v>
      </c>
      <c r="E207" t="s">
        <v>122</v>
      </c>
      <c r="F207" t="s">
        <v>636</v>
      </c>
      <c r="G207" t="s">
        <v>636</v>
      </c>
      <c r="H207" t="s">
        <v>1168</v>
      </c>
      <c r="I207">
        <v>2015</v>
      </c>
      <c r="J207">
        <v>190.40359438133945</v>
      </c>
      <c r="K207">
        <v>96.534232165485847</v>
      </c>
      <c r="L207">
        <v>8.8303064710553976</v>
      </c>
      <c r="M207">
        <v>18.487051202074934</v>
      </c>
      <c r="N207">
        <v>0.70777777400931063</v>
      </c>
      <c r="O207">
        <v>314.96296199396494</v>
      </c>
      <c r="P207">
        <v>172.57947830706564</v>
      </c>
      <c r="Q207">
        <v>290.31453157446759</v>
      </c>
      <c r="R207">
        <v>3.8327876420465907</v>
      </c>
      <c r="S207">
        <v>466.72679752357982</v>
      </c>
      <c r="T207">
        <v>190.49279372282635</v>
      </c>
      <c r="U207">
        <v>157.54217577003871</v>
      </c>
      <c r="V207">
        <v>68.260161590038223</v>
      </c>
      <c r="W207">
        <v>0.306802136675977</v>
      </c>
      <c r="X207">
        <v>1.6675667158893901</v>
      </c>
      <c r="Y207">
        <v>418.26949993546862</v>
      </c>
      <c r="Z207">
        <v>1.3483594887367594</v>
      </c>
      <c r="AA207">
        <v>1201.3076189417502</v>
      </c>
      <c r="AB207">
        <v>328.43300000000016</v>
      </c>
      <c r="AC207">
        <v>3.6576946255149441</v>
      </c>
    </row>
    <row r="208" spans="4:29">
      <c r="D208" t="s">
        <v>660</v>
      </c>
      <c r="E208" t="s">
        <v>122</v>
      </c>
      <c r="F208" t="s">
        <v>637</v>
      </c>
      <c r="G208" t="s">
        <v>637</v>
      </c>
      <c r="H208" t="s">
        <v>1169</v>
      </c>
      <c r="I208">
        <v>2005</v>
      </c>
      <c r="J208">
        <v>220.29665110705366</v>
      </c>
      <c r="K208">
        <v>190.80365267902471</v>
      </c>
      <c r="L208">
        <v>2.5625265646495885</v>
      </c>
      <c r="M208">
        <v>18.997534335403053</v>
      </c>
      <c r="N208">
        <v>0.16578463683158309</v>
      </c>
      <c r="O208">
        <v>432.82614932296258</v>
      </c>
      <c r="P208">
        <v>208.64644465518549</v>
      </c>
      <c r="Q208">
        <v>283.57374550719982</v>
      </c>
      <c r="R208">
        <v>3.1725727015916521</v>
      </c>
      <c r="S208">
        <v>495.39276286397694</v>
      </c>
      <c r="T208">
        <v>222.12010424319067</v>
      </c>
      <c r="U208">
        <v>0</v>
      </c>
      <c r="V208">
        <v>107.69407106359233</v>
      </c>
      <c r="W208">
        <v>4.56894729741293E-2</v>
      </c>
      <c r="X208">
        <v>1.5704462716179401</v>
      </c>
      <c r="Y208">
        <v>331.43031105137504</v>
      </c>
      <c r="Z208">
        <v>1.5385723113562213</v>
      </c>
      <c r="AA208">
        <v>1261.1877955496709</v>
      </c>
      <c r="AB208">
        <v>230.49399999999991</v>
      </c>
      <c r="AC208">
        <v>5.4716729960418551</v>
      </c>
    </row>
    <row r="209" spans="4:29">
      <c r="D209" t="s">
        <v>660</v>
      </c>
      <c r="E209" t="s">
        <v>122</v>
      </c>
      <c r="F209" t="s">
        <v>637</v>
      </c>
      <c r="G209" t="s">
        <v>637</v>
      </c>
      <c r="H209" t="s">
        <v>1169</v>
      </c>
      <c r="I209">
        <v>2006</v>
      </c>
      <c r="J209">
        <v>240.8288677647227</v>
      </c>
      <c r="K209">
        <v>182.83036269612575</v>
      </c>
      <c r="L209">
        <v>0.54549262750700744</v>
      </c>
      <c r="M209">
        <v>18.919656298694107</v>
      </c>
      <c r="N209">
        <v>0.15676997396615777</v>
      </c>
      <c r="O209">
        <v>443.28114936101576</v>
      </c>
      <c r="P209">
        <v>217.48262290296566</v>
      </c>
      <c r="Q209">
        <v>271.83423821417716</v>
      </c>
      <c r="R209">
        <v>2.8770889577435588</v>
      </c>
      <c r="S209">
        <v>492.1939500748864</v>
      </c>
      <c r="T209">
        <v>214.6616343815457</v>
      </c>
      <c r="U209">
        <v>0</v>
      </c>
      <c r="V209">
        <v>103.90321384464931</v>
      </c>
      <c r="W209">
        <v>4.4008233218509704E-2</v>
      </c>
      <c r="X209">
        <v>1.5723114589196501</v>
      </c>
      <c r="Y209">
        <v>320.18116791833319</v>
      </c>
      <c r="Z209">
        <v>1.4131982989614598</v>
      </c>
      <c r="AA209">
        <v>1257.0694656531969</v>
      </c>
      <c r="AB209">
        <v>233.98999999999984</v>
      </c>
      <c r="AC209">
        <v>5.372321319941868</v>
      </c>
    </row>
    <row r="210" spans="4:29">
      <c r="D210" t="s">
        <v>660</v>
      </c>
      <c r="E210" t="s">
        <v>122</v>
      </c>
      <c r="F210" t="s">
        <v>637</v>
      </c>
      <c r="G210" t="s">
        <v>637</v>
      </c>
      <c r="H210" t="s">
        <v>1169</v>
      </c>
      <c r="I210">
        <v>2007</v>
      </c>
      <c r="J210">
        <v>233.78739083022839</v>
      </c>
      <c r="K210">
        <v>174.48529798232829</v>
      </c>
      <c r="L210">
        <v>0.41989577570364367</v>
      </c>
      <c r="M210">
        <v>18.72947969956471</v>
      </c>
      <c r="N210">
        <v>0.1486867979378588</v>
      </c>
      <c r="O210">
        <v>427.57075108576288</v>
      </c>
      <c r="P210">
        <v>218.63699755319294</v>
      </c>
      <c r="Q210">
        <v>256.20335381860224</v>
      </c>
      <c r="R210">
        <v>2.7245963381049996</v>
      </c>
      <c r="S210">
        <v>477.5649477099002</v>
      </c>
      <c r="T210">
        <v>210.0809630482841</v>
      </c>
      <c r="U210">
        <v>0</v>
      </c>
      <c r="V210">
        <v>104.71684284721024</v>
      </c>
      <c r="W210">
        <v>4.5897669533517302E-2</v>
      </c>
      <c r="X210">
        <v>1.5025725408188699</v>
      </c>
      <c r="Y210">
        <v>316.3462761058467</v>
      </c>
      <c r="Z210">
        <v>1.3255158133812051</v>
      </c>
      <c r="AA210">
        <v>1222.8074907148909</v>
      </c>
      <c r="AB210">
        <v>236.53499999999991</v>
      </c>
      <c r="AC210">
        <v>5.1696682973551118</v>
      </c>
    </row>
    <row r="211" spans="4:29">
      <c r="D211" t="s">
        <v>660</v>
      </c>
      <c r="E211" t="s">
        <v>122</v>
      </c>
      <c r="F211" t="s">
        <v>637</v>
      </c>
      <c r="G211" t="s">
        <v>637</v>
      </c>
      <c r="H211" t="s">
        <v>1169</v>
      </c>
      <c r="I211">
        <v>2008</v>
      </c>
      <c r="J211">
        <v>242.74580519076221</v>
      </c>
      <c r="K211">
        <v>202.97411340748533</v>
      </c>
      <c r="L211">
        <v>0.41875765604024112</v>
      </c>
      <c r="M211">
        <v>19.191011749125352</v>
      </c>
      <c r="N211">
        <v>0.14736560624920089</v>
      </c>
      <c r="O211">
        <v>465.47705360966233</v>
      </c>
      <c r="P211">
        <v>213.88378661387321</v>
      </c>
      <c r="Q211">
        <v>265.17602424221604</v>
      </c>
      <c r="R211">
        <v>2.9094059003796131</v>
      </c>
      <c r="S211">
        <v>481.96921675646888</v>
      </c>
      <c r="T211">
        <v>191.69058097574271</v>
      </c>
      <c r="U211">
        <v>0</v>
      </c>
      <c r="V211">
        <v>101.3942586690851</v>
      </c>
      <c r="W211">
        <v>4.3472665963632896E-2</v>
      </c>
      <c r="X211">
        <v>1.52763966053525</v>
      </c>
      <c r="Y211">
        <v>294.65595197132672</v>
      </c>
      <c r="Z211">
        <v>1.2174649422921233</v>
      </c>
      <c r="AA211">
        <v>1243.3196872797498</v>
      </c>
      <c r="AB211">
        <v>239.74799999999985</v>
      </c>
      <c r="AC211">
        <v>5.1859439381340016</v>
      </c>
    </row>
    <row r="212" spans="4:29">
      <c r="D212" t="s">
        <v>660</v>
      </c>
      <c r="E212" t="s">
        <v>122</v>
      </c>
      <c r="F212" t="s">
        <v>637</v>
      </c>
      <c r="G212" t="s">
        <v>637</v>
      </c>
      <c r="H212" t="s">
        <v>1169</v>
      </c>
      <c r="I212">
        <v>2009</v>
      </c>
      <c r="J212">
        <v>207.91943210932487</v>
      </c>
      <c r="K212">
        <v>196.3289696877483</v>
      </c>
      <c r="L212">
        <v>0.42033374207676388</v>
      </c>
      <c r="M212">
        <v>14.82134477145533</v>
      </c>
      <c r="N212">
        <v>0.14905418000297241</v>
      </c>
      <c r="O212">
        <v>419.63913449060817</v>
      </c>
      <c r="P212">
        <v>193.48873938689803</v>
      </c>
      <c r="Q212">
        <v>238.98052283188034</v>
      </c>
      <c r="R212">
        <v>2.6527081488965072</v>
      </c>
      <c r="S212">
        <v>435.12197036767486</v>
      </c>
      <c r="T212">
        <v>186.49685422335489</v>
      </c>
      <c r="U212">
        <v>0</v>
      </c>
      <c r="V212">
        <v>98.332254421607331</v>
      </c>
      <c r="W212">
        <v>4.2627893161180097E-2</v>
      </c>
      <c r="X212">
        <v>1.3983584464152801</v>
      </c>
      <c r="Y212">
        <v>286.27009498453867</v>
      </c>
      <c r="Z212">
        <v>1.1825559150102749</v>
      </c>
      <c r="AA212">
        <v>1142.2137557578321</v>
      </c>
      <c r="AB212">
        <v>243.67199999999983</v>
      </c>
      <c r="AC212">
        <v>4.6875051534761196</v>
      </c>
    </row>
    <row r="213" spans="4:29">
      <c r="D213" t="s">
        <v>660</v>
      </c>
      <c r="E213" t="s">
        <v>122</v>
      </c>
      <c r="F213" t="s">
        <v>637</v>
      </c>
      <c r="G213" t="s">
        <v>637</v>
      </c>
      <c r="H213" t="s">
        <v>1169</v>
      </c>
      <c r="I213">
        <v>2010</v>
      </c>
      <c r="J213">
        <v>214.14890496224305</v>
      </c>
      <c r="K213">
        <v>226.62553483353315</v>
      </c>
      <c r="L213">
        <v>0.42113444002056838</v>
      </c>
      <c r="M213">
        <v>14.821407143397019</v>
      </c>
      <c r="N213">
        <v>0.15044635799333372</v>
      </c>
      <c r="O213">
        <v>456.16742773718715</v>
      </c>
      <c r="P213">
        <v>199.29956701380226</v>
      </c>
      <c r="Q213">
        <v>265.76219880641759</v>
      </c>
      <c r="R213">
        <v>2.7828340867504333</v>
      </c>
      <c r="S213">
        <v>467.8445999069703</v>
      </c>
      <c r="T213">
        <v>183.7174878413602</v>
      </c>
      <c r="U213">
        <v>0</v>
      </c>
      <c r="V213">
        <v>95.581118376883254</v>
      </c>
      <c r="W213">
        <v>4.3194741962353497E-2</v>
      </c>
      <c r="X213">
        <v>1.39457884266734</v>
      </c>
      <c r="Y213">
        <v>280.7363798028731</v>
      </c>
      <c r="Z213">
        <v>1.1024585839073975</v>
      </c>
      <c r="AA213">
        <v>1205.8508660309383</v>
      </c>
      <c r="AB213">
        <v>249.17100000000008</v>
      </c>
      <c r="AC213">
        <v>4.839451083918024</v>
      </c>
    </row>
    <row r="214" spans="4:29">
      <c r="D214" t="s">
        <v>660</v>
      </c>
      <c r="E214" t="s">
        <v>122</v>
      </c>
      <c r="F214" t="s">
        <v>637</v>
      </c>
      <c r="G214" t="s">
        <v>637</v>
      </c>
      <c r="H214" t="s">
        <v>1169</v>
      </c>
      <c r="I214">
        <v>2011</v>
      </c>
      <c r="J214">
        <v>183.6625360871887</v>
      </c>
      <c r="K214">
        <v>185.48937976046929</v>
      </c>
      <c r="L214">
        <v>0.41970503021010086</v>
      </c>
      <c r="M214">
        <v>13.60886849471782</v>
      </c>
      <c r="N214">
        <v>0.15201446201837901</v>
      </c>
      <c r="O214">
        <v>383.33250383460421</v>
      </c>
      <c r="P214">
        <v>189.9106638794747</v>
      </c>
      <c r="Q214">
        <v>215.74833607290597</v>
      </c>
      <c r="R214">
        <v>2.644587879398439</v>
      </c>
      <c r="S214">
        <v>408.30358783177911</v>
      </c>
      <c r="T214">
        <v>183.62821820686196</v>
      </c>
      <c r="U214">
        <v>0</v>
      </c>
      <c r="V214">
        <v>94.245356036640132</v>
      </c>
      <c r="W214">
        <v>4.3103052839551799E-2</v>
      </c>
      <c r="X214">
        <v>1.35501411953316</v>
      </c>
      <c r="Y214">
        <v>279.27169141587484</v>
      </c>
      <c r="Z214">
        <v>0.99575813715033024</v>
      </c>
      <c r="AA214">
        <v>1071.9035412194082</v>
      </c>
      <c r="AB214">
        <v>255.48300000000012</v>
      </c>
      <c r="AC214">
        <v>4.195596345821083</v>
      </c>
    </row>
    <row r="215" spans="4:29">
      <c r="D215" t="s">
        <v>660</v>
      </c>
      <c r="E215" t="s">
        <v>122</v>
      </c>
      <c r="F215" t="s">
        <v>637</v>
      </c>
      <c r="G215" t="s">
        <v>637</v>
      </c>
      <c r="H215" t="s">
        <v>1169</v>
      </c>
      <c r="I215">
        <v>2012</v>
      </c>
      <c r="J215">
        <v>222.15975550535799</v>
      </c>
      <c r="K215">
        <v>146.93199390046806</v>
      </c>
      <c r="L215">
        <v>0.41624476206204297</v>
      </c>
      <c r="M215">
        <v>13.453023678657731</v>
      </c>
      <c r="N215">
        <v>0.1557281799751894</v>
      </c>
      <c r="O215">
        <v>383.11674602652101</v>
      </c>
      <c r="P215">
        <v>200.55696993802798</v>
      </c>
      <c r="Q215">
        <v>237.05840513959438</v>
      </c>
      <c r="R215">
        <v>2.5568192608488354</v>
      </c>
      <c r="S215">
        <v>440.17219433847123</v>
      </c>
      <c r="T215">
        <v>176.95383791561761</v>
      </c>
      <c r="U215">
        <v>0</v>
      </c>
      <c r="V215">
        <v>93.138364954775852</v>
      </c>
      <c r="W215">
        <v>4.6266094427621196E-2</v>
      </c>
      <c r="X215">
        <v>1.2855186526130602</v>
      </c>
      <c r="Y215">
        <v>271.42398761743414</v>
      </c>
      <c r="Z215">
        <v>0.87456484383123845</v>
      </c>
      <c r="AA215">
        <v>1095.5874928262574</v>
      </c>
      <c r="AB215">
        <v>260.06800000000015</v>
      </c>
      <c r="AC215">
        <v>4.2126962672310961</v>
      </c>
    </row>
    <row r="216" spans="4:29">
      <c r="D216" t="s">
        <v>660</v>
      </c>
      <c r="E216" t="s">
        <v>122</v>
      </c>
      <c r="F216" t="s">
        <v>637</v>
      </c>
      <c r="G216" t="s">
        <v>637</v>
      </c>
      <c r="H216" t="s">
        <v>1169</v>
      </c>
      <c r="I216">
        <v>2013</v>
      </c>
      <c r="J216">
        <v>215.66100899819045</v>
      </c>
      <c r="K216">
        <v>88.938116048050119</v>
      </c>
      <c r="L216">
        <v>0.41541700696103306</v>
      </c>
      <c r="M216">
        <v>10.767292324700929</v>
      </c>
      <c r="N216">
        <v>0.15534797495542316</v>
      </c>
      <c r="O216">
        <v>315.93718235285797</v>
      </c>
      <c r="P216">
        <v>182.95721731266846</v>
      </c>
      <c r="Q216">
        <v>241.29777096560113</v>
      </c>
      <c r="R216">
        <v>2.8169326433466879</v>
      </c>
      <c r="S216">
        <v>427.07192092161625</v>
      </c>
      <c r="T216">
        <v>171.70401948065268</v>
      </c>
      <c r="U216">
        <v>0</v>
      </c>
      <c r="V216">
        <v>90.442679318453798</v>
      </c>
      <c r="W216">
        <v>4.5215504403848597E-2</v>
      </c>
      <c r="X216">
        <v>1.2877582088470698</v>
      </c>
      <c r="Y216">
        <v>263.47967251235747</v>
      </c>
      <c r="Z216">
        <v>0.85781928417841957</v>
      </c>
      <c r="AA216">
        <v>1007.34659507101</v>
      </c>
      <c r="AB216">
        <v>264.00799999999987</v>
      </c>
      <c r="AC216">
        <v>3.8155911755363872</v>
      </c>
    </row>
    <row r="217" spans="4:29">
      <c r="D217" t="s">
        <v>660</v>
      </c>
      <c r="E217" t="s">
        <v>122</v>
      </c>
      <c r="F217" t="s">
        <v>637</v>
      </c>
      <c r="G217" t="s">
        <v>637</v>
      </c>
      <c r="H217" t="s">
        <v>1169</v>
      </c>
      <c r="I217">
        <v>2014</v>
      </c>
      <c r="J217">
        <v>199.93759053184141</v>
      </c>
      <c r="K217">
        <v>176.60829607025792</v>
      </c>
      <c r="L217">
        <v>0.82979554175777137</v>
      </c>
      <c r="M217">
        <v>11.84001242897884</v>
      </c>
      <c r="N217">
        <v>0.15055758741631661</v>
      </c>
      <c r="O217">
        <v>389.36625216025232</v>
      </c>
      <c r="P217">
        <v>154.80340092279081</v>
      </c>
      <c r="Q217">
        <v>198.6758465442494</v>
      </c>
      <c r="R217">
        <v>2.7306910600025263</v>
      </c>
      <c r="S217">
        <v>356.20993852704271</v>
      </c>
      <c r="T217">
        <v>168.41543125387693</v>
      </c>
      <c r="U217">
        <v>0</v>
      </c>
      <c r="V217">
        <v>92.100451800917853</v>
      </c>
      <c r="W217">
        <v>4.4932607270140604E-2</v>
      </c>
      <c r="X217">
        <v>1.2730690776112998</v>
      </c>
      <c r="Y217">
        <v>261.83388473967625</v>
      </c>
      <c r="Z217">
        <v>0.74690588654170453</v>
      </c>
      <c r="AA217">
        <v>1008.1569813135131</v>
      </c>
      <c r="AB217">
        <v>268.67799999999994</v>
      </c>
      <c r="AC217">
        <v>3.7522870548147349</v>
      </c>
    </row>
    <row r="218" spans="4:29">
      <c r="D218" t="s">
        <v>660</v>
      </c>
      <c r="E218" t="s">
        <v>122</v>
      </c>
      <c r="F218" t="s">
        <v>637</v>
      </c>
      <c r="G218" t="s">
        <v>637</v>
      </c>
      <c r="H218" t="s">
        <v>1169</v>
      </c>
      <c r="I218">
        <v>2015</v>
      </c>
      <c r="J218">
        <v>156.51110057406413</v>
      </c>
      <c r="K218">
        <v>75.089106402167786</v>
      </c>
      <c r="L218">
        <v>0.95257142720506116</v>
      </c>
      <c r="M218">
        <v>12.00300804678518</v>
      </c>
      <c r="N218">
        <v>0.15371457921341322</v>
      </c>
      <c r="O218">
        <v>244.70950102943556</v>
      </c>
      <c r="P218">
        <v>129.52234253241318</v>
      </c>
      <c r="Q218">
        <v>213.25560469655588</v>
      </c>
      <c r="R218">
        <v>2.709386335740307</v>
      </c>
      <c r="S218">
        <v>345.48733356470939</v>
      </c>
      <c r="T218">
        <v>174.16508330363231</v>
      </c>
      <c r="U218">
        <v>0</v>
      </c>
      <c r="V218">
        <v>89.628846743321091</v>
      </c>
      <c r="W218">
        <v>3.7623634409565704E-2</v>
      </c>
      <c r="X218">
        <v>1.2417841240143701</v>
      </c>
      <c r="Y218">
        <v>265.07333780537732</v>
      </c>
      <c r="Z218">
        <v>0.70920799501117959</v>
      </c>
      <c r="AA218">
        <v>855.97938039453334</v>
      </c>
      <c r="AB218">
        <v>274.80299999999994</v>
      </c>
      <c r="AC218">
        <v>3.1148836817448626</v>
      </c>
    </row>
    <row r="219" spans="4:29">
      <c r="D219" t="s">
        <v>660</v>
      </c>
      <c r="E219" t="s">
        <v>122</v>
      </c>
      <c r="F219" t="s">
        <v>638</v>
      </c>
      <c r="G219" t="s">
        <v>638</v>
      </c>
      <c r="H219" t="s">
        <v>1170</v>
      </c>
      <c r="I219">
        <v>2005</v>
      </c>
      <c r="J219">
        <v>223.39950883345759</v>
      </c>
      <c r="K219">
        <v>67.221939051920401</v>
      </c>
      <c r="L219">
        <v>0</v>
      </c>
      <c r="M219">
        <v>8.3510519527014893</v>
      </c>
      <c r="N219">
        <v>4.53623431461357E-2</v>
      </c>
      <c r="O219">
        <v>299.01786218122555</v>
      </c>
      <c r="P219">
        <v>181.03852428393859</v>
      </c>
      <c r="Q219">
        <v>245.2839695366055</v>
      </c>
      <c r="R219">
        <v>2.4810328143423082</v>
      </c>
      <c r="S219">
        <v>428.8035266348864</v>
      </c>
      <c r="T219">
        <v>116.8104143891367</v>
      </c>
      <c r="U219">
        <v>0</v>
      </c>
      <c r="V219">
        <v>69.115440180092236</v>
      </c>
      <c r="W219">
        <v>0.235599695814808</v>
      </c>
      <c r="X219">
        <v>0.80228082917149002</v>
      </c>
      <c r="Y219">
        <v>186.96373509421522</v>
      </c>
      <c r="Z219">
        <v>0.58121717468944001</v>
      </c>
      <c r="AA219">
        <v>915.36634108501653</v>
      </c>
      <c r="AB219">
        <v>216.51199999999994</v>
      </c>
      <c r="AC219">
        <v>4.2277857166578148</v>
      </c>
    </row>
    <row r="220" spans="4:29">
      <c r="D220" t="s">
        <v>660</v>
      </c>
      <c r="E220" t="s">
        <v>122</v>
      </c>
      <c r="F220" t="s">
        <v>638</v>
      </c>
      <c r="G220" t="s">
        <v>638</v>
      </c>
      <c r="H220" t="s">
        <v>1170</v>
      </c>
      <c r="I220">
        <v>2006</v>
      </c>
      <c r="J220">
        <v>241.88426873794617</v>
      </c>
      <c r="K220">
        <v>64.610285777404357</v>
      </c>
      <c r="L220">
        <v>0</v>
      </c>
      <c r="M220">
        <v>7.9333988938390396</v>
      </c>
      <c r="N220">
        <v>4.2856969240775401E-2</v>
      </c>
      <c r="O220">
        <v>314.47081037843031</v>
      </c>
      <c r="P220">
        <v>188.61372351324516</v>
      </c>
      <c r="Q220">
        <v>232.92181741811734</v>
      </c>
      <c r="R220">
        <v>2.2659505979605363</v>
      </c>
      <c r="S220">
        <v>423.80149152932302</v>
      </c>
      <c r="T220">
        <v>122.0436030158366</v>
      </c>
      <c r="U220">
        <v>0</v>
      </c>
      <c r="V220">
        <v>66.584055862950706</v>
      </c>
      <c r="W220">
        <v>0.23331408781020202</v>
      </c>
      <c r="X220">
        <v>0.838984438498103</v>
      </c>
      <c r="Y220">
        <v>189.69995740509563</v>
      </c>
      <c r="Z220">
        <v>0.54520075899668041</v>
      </c>
      <c r="AA220">
        <v>928.51746007184568</v>
      </c>
      <c r="AB220">
        <v>220.19300000000015</v>
      </c>
      <c r="AC220">
        <v>4.216834595431485</v>
      </c>
    </row>
    <row r="221" spans="4:29">
      <c r="D221" t="s">
        <v>660</v>
      </c>
      <c r="E221" t="s">
        <v>122</v>
      </c>
      <c r="F221" t="s">
        <v>638</v>
      </c>
      <c r="G221" t="s">
        <v>638</v>
      </c>
      <c r="H221" t="s">
        <v>1170</v>
      </c>
      <c r="I221">
        <v>2007</v>
      </c>
      <c r="J221">
        <v>238.26996732568054</v>
      </c>
      <c r="K221">
        <v>56.17088205639201</v>
      </c>
      <c r="L221">
        <v>0</v>
      </c>
      <c r="M221">
        <v>7.9569380337851703</v>
      </c>
      <c r="N221">
        <v>4.0632010733767598E-2</v>
      </c>
      <c r="O221">
        <v>302.43841942659145</v>
      </c>
      <c r="P221">
        <v>190.65723776845499</v>
      </c>
      <c r="Q221">
        <v>223.28362910771401</v>
      </c>
      <c r="R221">
        <v>2.0733254612111294</v>
      </c>
      <c r="S221">
        <v>416.01419233738017</v>
      </c>
      <c r="T221">
        <v>119.23133572654439</v>
      </c>
      <c r="U221">
        <v>0</v>
      </c>
      <c r="V221">
        <v>65.751649568673784</v>
      </c>
      <c r="W221">
        <v>0.23259240427552</v>
      </c>
      <c r="X221">
        <v>0.80297117320083999</v>
      </c>
      <c r="Y221">
        <v>186.01854887269451</v>
      </c>
      <c r="Z221">
        <v>0.51434539478936891</v>
      </c>
      <c r="AA221">
        <v>904.98550603145543</v>
      </c>
      <c r="AB221">
        <v>224.47999999999985</v>
      </c>
      <c r="AC221">
        <v>4.0314749912306489</v>
      </c>
    </row>
    <row r="222" spans="4:29">
      <c r="D222" t="s">
        <v>660</v>
      </c>
      <c r="E222" t="s">
        <v>122</v>
      </c>
      <c r="F222" t="s">
        <v>638</v>
      </c>
      <c r="G222" t="s">
        <v>638</v>
      </c>
      <c r="H222" t="s">
        <v>1170</v>
      </c>
      <c r="I222">
        <v>2008</v>
      </c>
      <c r="J222">
        <v>242.38958168650785</v>
      </c>
      <c r="K222">
        <v>54.677652557376263</v>
      </c>
      <c r="L222">
        <v>0</v>
      </c>
      <c r="M222">
        <v>8.0826529772378404</v>
      </c>
      <c r="N222">
        <v>5.2741832350599302E-2</v>
      </c>
      <c r="O222">
        <v>305.20262905347255</v>
      </c>
      <c r="P222">
        <v>189.19989830373183</v>
      </c>
      <c r="Q222">
        <v>230.94391792138603</v>
      </c>
      <c r="R222">
        <v>2.219755029283915</v>
      </c>
      <c r="S222">
        <v>422.36357125440179</v>
      </c>
      <c r="T222">
        <v>113.70212562628454</v>
      </c>
      <c r="U222">
        <v>0</v>
      </c>
      <c r="V222">
        <v>64.448207505299777</v>
      </c>
      <c r="W222">
        <v>0.230499804626001</v>
      </c>
      <c r="X222">
        <v>0.83452698040279494</v>
      </c>
      <c r="Y222">
        <v>179.2153599166131</v>
      </c>
      <c r="Z222">
        <v>0.48239985296000315</v>
      </c>
      <c r="AA222">
        <v>907.26396007744745</v>
      </c>
      <c r="AB222">
        <v>231.04100000000011</v>
      </c>
      <c r="AC222">
        <v>3.9268526368802377</v>
      </c>
    </row>
    <row r="223" spans="4:29">
      <c r="D223" t="s">
        <v>660</v>
      </c>
      <c r="E223" t="s">
        <v>122</v>
      </c>
      <c r="F223" t="s">
        <v>638</v>
      </c>
      <c r="G223" t="s">
        <v>638</v>
      </c>
      <c r="H223" t="s">
        <v>1170</v>
      </c>
      <c r="I223">
        <v>2009</v>
      </c>
      <c r="J223">
        <v>215.89273073616692</v>
      </c>
      <c r="K223">
        <v>49.149617922899857</v>
      </c>
      <c r="L223">
        <v>0</v>
      </c>
      <c r="M223">
        <v>6.2291043728566367</v>
      </c>
      <c r="N223">
        <v>5.3693304725841697E-2</v>
      </c>
      <c r="O223">
        <v>271.32514633664925</v>
      </c>
      <c r="P223">
        <v>172.35008179302864</v>
      </c>
      <c r="Q223">
        <v>207.8228254786633</v>
      </c>
      <c r="R223">
        <v>2.0138575991242149</v>
      </c>
      <c r="S223">
        <v>382.18676487081615</v>
      </c>
      <c r="T223">
        <v>109.5444307158243</v>
      </c>
      <c r="U223">
        <v>0</v>
      </c>
      <c r="V223">
        <v>62.628520503774396</v>
      </c>
      <c r="W223">
        <v>0.23056321760721998</v>
      </c>
      <c r="X223">
        <v>0.74733109638750606</v>
      </c>
      <c r="Y223">
        <v>173.15084553359344</v>
      </c>
      <c r="Z223">
        <v>0.45962003218009945</v>
      </c>
      <c r="AA223">
        <v>827.1223767732389</v>
      </c>
      <c r="AB223">
        <v>236.62200000000007</v>
      </c>
      <c r="AC223">
        <v>3.4955430043412643</v>
      </c>
    </row>
    <row r="224" spans="4:29">
      <c r="D224" t="s">
        <v>660</v>
      </c>
      <c r="E224" t="s">
        <v>122</v>
      </c>
      <c r="F224" t="s">
        <v>638</v>
      </c>
      <c r="G224" t="s">
        <v>638</v>
      </c>
      <c r="H224" t="s">
        <v>1170</v>
      </c>
      <c r="I224">
        <v>2010</v>
      </c>
      <c r="J224">
        <v>233.14749925968201</v>
      </c>
      <c r="K224">
        <v>57.268737457241762</v>
      </c>
      <c r="L224">
        <v>0</v>
      </c>
      <c r="M224">
        <v>5.7250027948241797</v>
      </c>
      <c r="N224">
        <v>5.4186064597353596E-2</v>
      </c>
      <c r="O224">
        <v>296.19542557634531</v>
      </c>
      <c r="P224">
        <v>179.91607973207277</v>
      </c>
      <c r="Q224">
        <v>230.61213631477537</v>
      </c>
      <c r="R224">
        <v>2.1737438904398378</v>
      </c>
      <c r="S224">
        <v>412.70195993728794</v>
      </c>
      <c r="T224">
        <v>111.43479624458294</v>
      </c>
      <c r="U224">
        <v>0</v>
      </c>
      <c r="V224">
        <v>60.943897816592667</v>
      </c>
      <c r="W224">
        <v>0.23325797005382601</v>
      </c>
      <c r="X224">
        <v>0.75486382397330398</v>
      </c>
      <c r="Y224">
        <v>173.36681585520273</v>
      </c>
      <c r="Z224">
        <v>0.43166736902759117</v>
      </c>
      <c r="AA224">
        <v>882.69586873786352</v>
      </c>
      <c r="AB224">
        <v>241.73899999999983</v>
      </c>
      <c r="AC224">
        <v>3.6514417149812983</v>
      </c>
    </row>
    <row r="225" spans="4:29">
      <c r="D225" t="s">
        <v>660</v>
      </c>
      <c r="E225" t="s">
        <v>122</v>
      </c>
      <c r="F225" t="s">
        <v>638</v>
      </c>
      <c r="G225" t="s">
        <v>638</v>
      </c>
      <c r="H225" t="s">
        <v>1170</v>
      </c>
      <c r="I225">
        <v>2011</v>
      </c>
      <c r="J225">
        <v>232.00789470075074</v>
      </c>
      <c r="K225">
        <v>50.267355150397492</v>
      </c>
      <c r="L225">
        <v>0</v>
      </c>
      <c r="M225">
        <v>4.9540366950938246</v>
      </c>
      <c r="N225">
        <v>5.47220804160677E-2</v>
      </c>
      <c r="O225">
        <v>287.28400862665814</v>
      </c>
      <c r="P225">
        <v>174.68463270022201</v>
      </c>
      <c r="Q225">
        <v>187.30768451781049</v>
      </c>
      <c r="R225">
        <v>1.9301277128824357</v>
      </c>
      <c r="S225">
        <v>363.92244493091493</v>
      </c>
      <c r="T225">
        <v>104.57426348053093</v>
      </c>
      <c r="U225">
        <v>0</v>
      </c>
      <c r="V225">
        <v>57.429138902809882</v>
      </c>
      <c r="W225">
        <v>0.229507364844386</v>
      </c>
      <c r="X225">
        <v>0.70172113502643296</v>
      </c>
      <c r="Y225">
        <v>162.93463088321164</v>
      </c>
      <c r="Z225">
        <v>0.40170184299755357</v>
      </c>
      <c r="AA225">
        <v>814.54278628378222</v>
      </c>
      <c r="AB225">
        <v>247.18199999999985</v>
      </c>
      <c r="AC225">
        <v>3.2953159464838975</v>
      </c>
    </row>
    <row r="226" spans="4:29">
      <c r="D226" t="s">
        <v>660</v>
      </c>
      <c r="E226" t="s">
        <v>122</v>
      </c>
      <c r="F226" t="s">
        <v>638</v>
      </c>
      <c r="G226" t="s">
        <v>638</v>
      </c>
      <c r="H226" t="s">
        <v>1170</v>
      </c>
      <c r="I226">
        <v>2012</v>
      </c>
      <c r="J226">
        <v>290.12519135824948</v>
      </c>
      <c r="K226">
        <v>62.43138913544405</v>
      </c>
      <c r="L226">
        <v>0</v>
      </c>
      <c r="M226">
        <v>5.4598852394929533</v>
      </c>
      <c r="N226">
        <v>5.59926213304765E-2</v>
      </c>
      <c r="O226">
        <v>358.07245835451698</v>
      </c>
      <c r="P226">
        <v>185.09543886678441</v>
      </c>
      <c r="Q226">
        <v>203.38846461968288</v>
      </c>
      <c r="R226">
        <v>1.8635556825910014</v>
      </c>
      <c r="S226">
        <v>390.34745916905831</v>
      </c>
      <c r="T226">
        <v>101.74175790593861</v>
      </c>
      <c r="U226">
        <v>0</v>
      </c>
      <c r="V226">
        <v>56.656620236048923</v>
      </c>
      <c r="W226">
        <v>0.23549671437407202</v>
      </c>
      <c r="X226">
        <v>0.66479378975540204</v>
      </c>
      <c r="Y226">
        <v>159.29866864611702</v>
      </c>
      <c r="Z226">
        <v>0.37020483492561451</v>
      </c>
      <c r="AA226">
        <v>908.08879100461786</v>
      </c>
      <c r="AB226">
        <v>252.11899999999991</v>
      </c>
      <c r="AC226">
        <v>3.6018260861125824</v>
      </c>
    </row>
    <row r="227" spans="4:29">
      <c r="D227" t="s">
        <v>660</v>
      </c>
      <c r="E227" t="s">
        <v>122</v>
      </c>
      <c r="F227" t="s">
        <v>638</v>
      </c>
      <c r="G227" t="s">
        <v>638</v>
      </c>
      <c r="H227" t="s">
        <v>1170</v>
      </c>
      <c r="I227">
        <v>2013</v>
      </c>
      <c r="J227">
        <v>271.07502669920638</v>
      </c>
      <c r="K227">
        <v>71.507891828555302</v>
      </c>
      <c r="L227">
        <v>0</v>
      </c>
      <c r="M227">
        <v>4.4058522626950811</v>
      </c>
      <c r="N227">
        <v>5.5571061684695701E-2</v>
      </c>
      <c r="O227">
        <v>347.04434185214143</v>
      </c>
      <c r="P227">
        <v>170.13514338652718</v>
      </c>
      <c r="Q227">
        <v>208.97220611928398</v>
      </c>
      <c r="R227">
        <v>2.0739881367944091</v>
      </c>
      <c r="S227">
        <v>381.18133764260557</v>
      </c>
      <c r="T227">
        <v>96.668496428401383</v>
      </c>
      <c r="U227">
        <v>0</v>
      </c>
      <c r="V227">
        <v>55.274932730580936</v>
      </c>
      <c r="W227">
        <v>0.230732668514845</v>
      </c>
      <c r="X227">
        <v>0.66182882259036901</v>
      </c>
      <c r="Y227">
        <v>152.83599065008752</v>
      </c>
      <c r="Z227">
        <v>0.35261704529134141</v>
      </c>
      <c r="AA227">
        <v>881.41428719012583</v>
      </c>
      <c r="AB227">
        <v>257.37899999999996</v>
      </c>
      <c r="AC227">
        <v>3.4245773244519793</v>
      </c>
    </row>
    <row r="228" spans="4:29">
      <c r="D228" t="s">
        <v>660</v>
      </c>
      <c r="E228" t="s">
        <v>122</v>
      </c>
      <c r="F228" t="s">
        <v>638</v>
      </c>
      <c r="G228" t="s">
        <v>638</v>
      </c>
      <c r="H228" t="s">
        <v>1170</v>
      </c>
      <c r="I228">
        <v>2014</v>
      </c>
      <c r="J228">
        <v>281.95300348123629</v>
      </c>
      <c r="K228">
        <v>55.08400388924133</v>
      </c>
      <c r="L228">
        <v>0</v>
      </c>
      <c r="M228">
        <v>4.83677213980961</v>
      </c>
      <c r="N228">
        <v>5.4181231355865E-2</v>
      </c>
      <c r="O228">
        <v>341.92796074164312</v>
      </c>
      <c r="P228">
        <v>143.65644546819368</v>
      </c>
      <c r="Q228">
        <v>172.28462975960929</v>
      </c>
      <c r="R228">
        <v>1.9678462375722117</v>
      </c>
      <c r="S228">
        <v>317.90892146537516</v>
      </c>
      <c r="T228">
        <v>93.015309386505209</v>
      </c>
      <c r="U228">
        <v>0</v>
      </c>
      <c r="V228">
        <v>56.599161881058279</v>
      </c>
      <c r="W228">
        <v>0.233744014161161</v>
      </c>
      <c r="X228">
        <v>0.65113005565780002</v>
      </c>
      <c r="Y228">
        <v>150.49934533738247</v>
      </c>
      <c r="Z228">
        <v>0.32485871986914305</v>
      </c>
      <c r="AA228">
        <v>810.66108626426978</v>
      </c>
      <c r="AB228">
        <v>263.14999999999986</v>
      </c>
      <c r="AC228">
        <v>3.0806045459406048</v>
      </c>
    </row>
    <row r="229" spans="4:29">
      <c r="D229" t="s">
        <v>660</v>
      </c>
      <c r="E229" t="s">
        <v>122</v>
      </c>
      <c r="F229" t="s">
        <v>638</v>
      </c>
      <c r="G229" t="s">
        <v>638</v>
      </c>
      <c r="H229" t="s">
        <v>1170</v>
      </c>
      <c r="I229">
        <v>2015</v>
      </c>
      <c r="J229">
        <v>223.69850876191069</v>
      </c>
      <c r="K229">
        <v>60.146933624479551</v>
      </c>
      <c r="L229">
        <v>0</v>
      </c>
      <c r="M229">
        <v>5.0047754501108201</v>
      </c>
      <c r="N229">
        <v>5.5310878294183095E-2</v>
      </c>
      <c r="O229">
        <v>288.9055287147952</v>
      </c>
      <c r="P229">
        <v>118.92141059189537</v>
      </c>
      <c r="Q229">
        <v>181.22799093958551</v>
      </c>
      <c r="R229">
        <v>1.9359481256305986</v>
      </c>
      <c r="S229">
        <v>302.08534965711146</v>
      </c>
      <c r="T229">
        <v>94.110191478867932</v>
      </c>
      <c r="U229">
        <v>0</v>
      </c>
      <c r="V229">
        <v>55.328224158200065</v>
      </c>
      <c r="W229">
        <v>0.218421563289525</v>
      </c>
      <c r="X229">
        <v>0.63467625311384701</v>
      </c>
      <c r="Y229">
        <v>150.29151345347137</v>
      </c>
      <c r="Z229">
        <v>0.30598458908166259</v>
      </c>
      <c r="AA229">
        <v>741.58837641445973</v>
      </c>
      <c r="AB229">
        <v>269.00900000000001</v>
      </c>
      <c r="AC229">
        <v>2.756741880065201</v>
      </c>
    </row>
    <row r="230" spans="4:29">
      <c r="D230" t="s">
        <v>660</v>
      </c>
      <c r="E230" t="s">
        <v>122</v>
      </c>
      <c r="F230" t="s">
        <v>639</v>
      </c>
      <c r="G230" t="s">
        <v>639</v>
      </c>
      <c r="H230" t="s">
        <v>1171</v>
      </c>
      <c r="I230">
        <v>2005</v>
      </c>
      <c r="J230">
        <v>360.15685872886849</v>
      </c>
      <c r="K230">
        <v>125.64053755111661</v>
      </c>
      <c r="L230">
        <v>11.110314094266093</v>
      </c>
      <c r="M230">
        <v>14.140368014957609</v>
      </c>
      <c r="N230">
        <v>4.7926124776143803E-2</v>
      </c>
      <c r="O230">
        <v>511.09600451398495</v>
      </c>
      <c r="P230">
        <v>158.26315222027674</v>
      </c>
      <c r="Q230">
        <v>219.09985844500235</v>
      </c>
      <c r="R230">
        <v>1.8292313984699762</v>
      </c>
      <c r="S230">
        <v>379.19224206374906</v>
      </c>
      <c r="T230">
        <v>152.84443398813519</v>
      </c>
      <c r="U230">
        <v>0</v>
      </c>
      <c r="V230">
        <v>50.839195455088941</v>
      </c>
      <c r="W230">
        <v>1.7068211285141002</v>
      </c>
      <c r="X230">
        <v>0.88590240538120202</v>
      </c>
      <c r="Y230">
        <v>206.27635297711942</v>
      </c>
      <c r="Z230">
        <v>0.54966100640184856</v>
      </c>
      <c r="AA230">
        <v>1097.1142605612554</v>
      </c>
      <c r="AB230">
        <v>173.29200000000003</v>
      </c>
      <c r="AC230">
        <v>6.3310150529814138</v>
      </c>
    </row>
    <row r="231" spans="4:29">
      <c r="D231" t="s">
        <v>660</v>
      </c>
      <c r="E231" t="s">
        <v>122</v>
      </c>
      <c r="F231" t="s">
        <v>639</v>
      </c>
      <c r="G231" t="s">
        <v>639</v>
      </c>
      <c r="H231" t="s">
        <v>1171</v>
      </c>
      <c r="I231">
        <v>2006</v>
      </c>
      <c r="J231">
        <v>401.11930227565335</v>
      </c>
      <c r="K231">
        <v>121.92787729937423</v>
      </c>
      <c r="L231">
        <v>0.80364821384508478</v>
      </c>
      <c r="M231">
        <v>13.625584252592271</v>
      </c>
      <c r="N231">
        <v>4.5273273923416998E-2</v>
      </c>
      <c r="O231">
        <v>537.52168531538837</v>
      </c>
      <c r="P231">
        <v>163.05885038736017</v>
      </c>
      <c r="Q231">
        <v>209.18421929650657</v>
      </c>
      <c r="R231">
        <v>1.7500015048965911</v>
      </c>
      <c r="S231">
        <v>373.99307118876334</v>
      </c>
      <c r="T231">
        <v>157.10769484417798</v>
      </c>
      <c r="U231">
        <v>0</v>
      </c>
      <c r="V231">
        <v>48.659896767501778</v>
      </c>
      <c r="W231">
        <v>1.6927963163267199</v>
      </c>
      <c r="X231">
        <v>0.92067466708661005</v>
      </c>
      <c r="Y231">
        <v>208.38106259509308</v>
      </c>
      <c r="Z231">
        <v>0.51255897176815424</v>
      </c>
      <c r="AA231">
        <v>1120.408378071013</v>
      </c>
      <c r="AB231">
        <v>174.6750000000001</v>
      </c>
      <c r="AC231">
        <v>6.4142457596737508</v>
      </c>
    </row>
    <row r="232" spans="4:29">
      <c r="D232" t="s">
        <v>660</v>
      </c>
      <c r="E232" t="s">
        <v>122</v>
      </c>
      <c r="F232" t="s">
        <v>639</v>
      </c>
      <c r="G232" t="s">
        <v>639</v>
      </c>
      <c r="H232" t="s">
        <v>1171</v>
      </c>
      <c r="I232">
        <v>2007</v>
      </c>
      <c r="J232">
        <v>404.44491630497669</v>
      </c>
      <c r="K232">
        <v>106.59231001521282</v>
      </c>
      <c r="L232">
        <v>2.2769004837738249</v>
      </c>
      <c r="M232">
        <v>13.576795570725729</v>
      </c>
      <c r="N232">
        <v>4.2920569146826598E-2</v>
      </c>
      <c r="O232">
        <v>526.93384294383588</v>
      </c>
      <c r="P232">
        <v>164.99420041529063</v>
      </c>
      <c r="Q232">
        <v>197.85500671195663</v>
      </c>
      <c r="R232">
        <v>1.5786356121315015</v>
      </c>
      <c r="S232">
        <v>364.42784273937878</v>
      </c>
      <c r="T232">
        <v>152.74334443928461</v>
      </c>
      <c r="U232">
        <v>0</v>
      </c>
      <c r="V232">
        <v>49.798364699460862</v>
      </c>
      <c r="W232">
        <v>1.83638320494851</v>
      </c>
      <c r="X232">
        <v>0.88419394862683309</v>
      </c>
      <c r="Y232">
        <v>205.26228629232082</v>
      </c>
      <c r="Z232">
        <v>0.48024543576254702</v>
      </c>
      <c r="AA232">
        <v>1097.1042174112981</v>
      </c>
      <c r="AB232">
        <v>176.47200000000004</v>
      </c>
      <c r="AC232">
        <v>6.2168741636707123</v>
      </c>
    </row>
    <row r="233" spans="4:29">
      <c r="D233" t="s">
        <v>660</v>
      </c>
      <c r="E233" t="s">
        <v>122</v>
      </c>
      <c r="F233" t="s">
        <v>639</v>
      </c>
      <c r="G233" t="s">
        <v>639</v>
      </c>
      <c r="H233" t="s">
        <v>1171</v>
      </c>
      <c r="I233">
        <v>2008</v>
      </c>
      <c r="J233">
        <v>395.12949989800944</v>
      </c>
      <c r="K233">
        <v>125.2534531781709</v>
      </c>
      <c r="L233">
        <v>0.87538415928821245</v>
      </c>
      <c r="M233">
        <v>9.3454788716335102</v>
      </c>
      <c r="N233">
        <v>2.46552349471078E-2</v>
      </c>
      <c r="O233">
        <v>530.62847134204912</v>
      </c>
      <c r="P233">
        <v>162.98246708598356</v>
      </c>
      <c r="Q233">
        <v>207.41248425899988</v>
      </c>
      <c r="R233">
        <v>1.6483351351970268</v>
      </c>
      <c r="S233">
        <v>372.04328648018048</v>
      </c>
      <c r="T233">
        <v>138.02577910742477</v>
      </c>
      <c r="U233">
        <v>0</v>
      </c>
      <c r="V233">
        <v>47.310291668668683</v>
      </c>
      <c r="W233">
        <v>1.8562938862182099</v>
      </c>
      <c r="X233">
        <v>0.88945603940839202</v>
      </c>
      <c r="Y233">
        <v>188.08182070172003</v>
      </c>
      <c r="Z233">
        <v>0.44772736854771367</v>
      </c>
      <c r="AA233">
        <v>1091.2013058924972</v>
      </c>
      <c r="AB233">
        <v>177.08800000000002</v>
      </c>
      <c r="AC233">
        <v>6.1619155780882782</v>
      </c>
    </row>
    <row r="234" spans="4:29">
      <c r="D234" t="s">
        <v>660</v>
      </c>
      <c r="E234" t="s">
        <v>122</v>
      </c>
      <c r="F234" t="s">
        <v>639</v>
      </c>
      <c r="G234" t="s">
        <v>639</v>
      </c>
      <c r="H234" t="s">
        <v>1171</v>
      </c>
      <c r="I234">
        <v>2009</v>
      </c>
      <c r="J234">
        <v>379.82301095291774</v>
      </c>
      <c r="K234">
        <v>111.20519562400951</v>
      </c>
      <c r="L234">
        <v>0.70483645645241699</v>
      </c>
      <c r="M234">
        <v>9.0599626467330108</v>
      </c>
      <c r="N234">
        <v>2.4865493588421599E-2</v>
      </c>
      <c r="O234">
        <v>500.81787117370112</v>
      </c>
      <c r="P234">
        <v>147.78804856606979</v>
      </c>
      <c r="Q234">
        <v>187.95566479346849</v>
      </c>
      <c r="R234">
        <v>1.5618812662401149</v>
      </c>
      <c r="S234">
        <v>337.30559462577838</v>
      </c>
      <c r="T234">
        <v>137.73523071164698</v>
      </c>
      <c r="U234">
        <v>0</v>
      </c>
      <c r="V234">
        <v>46.465879130273976</v>
      </c>
      <c r="W234">
        <v>1.86954318267827</v>
      </c>
      <c r="X234">
        <v>0.81153820742081306</v>
      </c>
      <c r="Y234">
        <v>186.88219123202003</v>
      </c>
      <c r="Z234">
        <v>0.42721469281392715</v>
      </c>
      <c r="AA234">
        <v>1025.4328717243136</v>
      </c>
      <c r="AB234">
        <v>180.11600000000001</v>
      </c>
      <c r="AC234">
        <v>5.6931803489102215</v>
      </c>
    </row>
    <row r="235" spans="4:29">
      <c r="D235" t="s">
        <v>660</v>
      </c>
      <c r="E235" t="s">
        <v>122</v>
      </c>
      <c r="F235" t="s">
        <v>639</v>
      </c>
      <c r="G235" t="s">
        <v>639</v>
      </c>
      <c r="H235" t="s">
        <v>1171</v>
      </c>
      <c r="I235">
        <v>2010</v>
      </c>
      <c r="J235">
        <v>385.89325562791981</v>
      </c>
      <c r="K235">
        <v>133.24658499843414</v>
      </c>
      <c r="L235">
        <v>0.82070711596138546</v>
      </c>
      <c r="M235">
        <v>12.17627830932121</v>
      </c>
      <c r="N235">
        <v>2.5099786880444997E-2</v>
      </c>
      <c r="O235">
        <v>532.16192583851694</v>
      </c>
      <c r="P235">
        <v>150.61149082095957</v>
      </c>
      <c r="Q235">
        <v>209.97489246305668</v>
      </c>
      <c r="R235">
        <v>1.7112381867595998</v>
      </c>
      <c r="S235">
        <v>362.29762147077588</v>
      </c>
      <c r="T235">
        <v>134.3034515589145</v>
      </c>
      <c r="U235">
        <v>0</v>
      </c>
      <c r="V235">
        <v>44.810154479459307</v>
      </c>
      <c r="W235">
        <v>1.8760219778188401</v>
      </c>
      <c r="X235">
        <v>0.80909661130921195</v>
      </c>
      <c r="Y235">
        <v>181.79872462750185</v>
      </c>
      <c r="Z235">
        <v>0.39913868553445075</v>
      </c>
      <c r="AA235">
        <v>1076.6574106223291</v>
      </c>
      <c r="AB235">
        <v>180.84199999999998</v>
      </c>
      <c r="AC235">
        <v>5.9535805323007329</v>
      </c>
    </row>
    <row r="236" spans="4:29">
      <c r="D236" t="s">
        <v>660</v>
      </c>
      <c r="E236" t="s">
        <v>122</v>
      </c>
      <c r="F236" t="s">
        <v>639</v>
      </c>
      <c r="G236" t="s">
        <v>639</v>
      </c>
      <c r="H236" t="s">
        <v>1171</v>
      </c>
      <c r="I236">
        <v>2011</v>
      </c>
      <c r="J236">
        <v>360.85259646468597</v>
      </c>
      <c r="K236">
        <v>111.50163347267697</v>
      </c>
      <c r="L236">
        <v>0.53232662728290925</v>
      </c>
      <c r="M236">
        <v>10.71866359551824</v>
      </c>
      <c r="N236">
        <v>2.5367014388066298E-2</v>
      </c>
      <c r="O236">
        <v>483.63058717455215</v>
      </c>
      <c r="P236">
        <v>143.37959305037791</v>
      </c>
      <c r="Q236">
        <v>169.23004168715278</v>
      </c>
      <c r="R236">
        <v>1.4417554616907609</v>
      </c>
      <c r="S236">
        <v>314.05139019922143</v>
      </c>
      <c r="T236">
        <v>125.28681710295166</v>
      </c>
      <c r="U236">
        <v>0</v>
      </c>
      <c r="V236">
        <v>43.839128036315046</v>
      </c>
      <c r="W236">
        <v>1.8475870092101501</v>
      </c>
      <c r="X236">
        <v>0.73997821676353204</v>
      </c>
      <c r="Y236">
        <v>171.71351036524038</v>
      </c>
      <c r="Z236">
        <v>0.36861321509772371</v>
      </c>
      <c r="AA236">
        <v>969.76410095411165</v>
      </c>
      <c r="AB236">
        <v>182.44499999999999</v>
      </c>
      <c r="AC236">
        <v>5.3153777903155017</v>
      </c>
    </row>
    <row r="237" spans="4:29">
      <c r="D237" t="s">
        <v>660</v>
      </c>
      <c r="E237" t="s">
        <v>122</v>
      </c>
      <c r="F237" t="s">
        <v>639</v>
      </c>
      <c r="G237" t="s">
        <v>639</v>
      </c>
      <c r="H237" t="s">
        <v>1171</v>
      </c>
      <c r="I237">
        <v>2012</v>
      </c>
      <c r="J237">
        <v>380.90738309764606</v>
      </c>
      <c r="K237">
        <v>124.27499883406686</v>
      </c>
      <c r="L237">
        <v>0.29516337100637069</v>
      </c>
      <c r="M237">
        <v>11.73263124424342</v>
      </c>
      <c r="N237">
        <v>2.6001490514432599E-2</v>
      </c>
      <c r="O237">
        <v>517.2361780374772</v>
      </c>
      <c r="P237">
        <v>153.32807628376813</v>
      </c>
      <c r="Q237">
        <v>184.6986197074516</v>
      </c>
      <c r="R237">
        <v>1.4161895051844946</v>
      </c>
      <c r="S237">
        <v>339.44288549640424</v>
      </c>
      <c r="T237">
        <v>117.09754954921706</v>
      </c>
      <c r="U237">
        <v>0</v>
      </c>
      <c r="V237">
        <v>43.061837294849632</v>
      </c>
      <c r="W237">
        <v>1.8564750281945801</v>
      </c>
      <c r="X237">
        <v>0.68185212477335999</v>
      </c>
      <c r="Y237">
        <v>162.69771399703464</v>
      </c>
      <c r="Z237">
        <v>0.33583052598894653</v>
      </c>
      <c r="AA237">
        <v>1019.7126080569052</v>
      </c>
      <c r="AB237">
        <v>179.85000000000002</v>
      </c>
      <c r="AC237">
        <v>5.6697948738221022</v>
      </c>
    </row>
    <row r="238" spans="4:29">
      <c r="D238" t="s">
        <v>660</v>
      </c>
      <c r="E238" t="s">
        <v>122</v>
      </c>
      <c r="F238" t="s">
        <v>639</v>
      </c>
      <c r="G238" t="s">
        <v>639</v>
      </c>
      <c r="H238" t="s">
        <v>1171</v>
      </c>
      <c r="I238">
        <v>2013</v>
      </c>
      <c r="J238">
        <v>348.98586427283954</v>
      </c>
      <c r="K238">
        <v>121.51197334921739</v>
      </c>
      <c r="L238">
        <v>0.20147478023990717</v>
      </c>
      <c r="M238">
        <v>9.2977284579893009</v>
      </c>
      <c r="N238">
        <v>2.5996582369642699E-2</v>
      </c>
      <c r="O238">
        <v>480.02303744265578</v>
      </c>
      <c r="P238">
        <v>139.97334047668923</v>
      </c>
      <c r="Q238">
        <v>190.45577753464832</v>
      </c>
      <c r="R238">
        <v>1.5100284792256582</v>
      </c>
      <c r="S238">
        <v>331.93914649056319</v>
      </c>
      <c r="T238">
        <v>121.25401155169294</v>
      </c>
      <c r="U238">
        <v>0</v>
      </c>
      <c r="V238">
        <v>41.549045819785007</v>
      </c>
      <c r="W238">
        <v>1.86007956683478</v>
      </c>
      <c r="X238">
        <v>0.71217597582790204</v>
      </c>
      <c r="Y238">
        <v>165.37531291414064</v>
      </c>
      <c r="Z238">
        <v>0.3194686849036929</v>
      </c>
      <c r="AA238">
        <v>977.65696553226326</v>
      </c>
      <c r="AB238">
        <v>178.68500000000006</v>
      </c>
      <c r="AC238">
        <v>5.4713991970913227</v>
      </c>
    </row>
    <row r="239" spans="4:29">
      <c r="D239" t="s">
        <v>660</v>
      </c>
      <c r="E239" t="s">
        <v>122</v>
      </c>
      <c r="F239" t="s">
        <v>639</v>
      </c>
      <c r="G239" t="s">
        <v>639</v>
      </c>
      <c r="H239" t="s">
        <v>1171</v>
      </c>
      <c r="I239">
        <v>2014</v>
      </c>
      <c r="J239">
        <v>270.26393643859819</v>
      </c>
      <c r="K239">
        <v>90.304883131325539</v>
      </c>
      <c r="L239">
        <v>1.4738163955716928</v>
      </c>
      <c r="M239">
        <v>10.363165185284021</v>
      </c>
      <c r="N239">
        <v>2.5128651961691697E-2</v>
      </c>
      <c r="O239">
        <v>372.4309298027411</v>
      </c>
      <c r="P239">
        <v>118.66964068057776</v>
      </c>
      <c r="Q239">
        <v>156.44099939567644</v>
      </c>
      <c r="R239">
        <v>1.4302989667115225</v>
      </c>
      <c r="S239">
        <v>276.5409390429657</v>
      </c>
      <c r="T239">
        <v>115.19299344756365</v>
      </c>
      <c r="U239">
        <v>0</v>
      </c>
      <c r="V239">
        <v>42.361896211224078</v>
      </c>
      <c r="W239">
        <v>1.89966064529832</v>
      </c>
      <c r="X239">
        <v>0.68745242649162297</v>
      </c>
      <c r="Y239">
        <v>160.14200273057767</v>
      </c>
      <c r="Z239">
        <v>0.29011102439311964</v>
      </c>
      <c r="AA239">
        <v>809.40398260067775</v>
      </c>
      <c r="AB239">
        <v>178.36499999999987</v>
      </c>
      <c r="AC239">
        <v>4.5379081243555541</v>
      </c>
    </row>
    <row r="240" spans="4:29">
      <c r="D240" t="s">
        <v>660</v>
      </c>
      <c r="E240" t="s">
        <v>122</v>
      </c>
      <c r="F240" t="s">
        <v>639</v>
      </c>
      <c r="G240" t="s">
        <v>639</v>
      </c>
      <c r="H240" t="s">
        <v>1171</v>
      </c>
      <c r="I240">
        <v>2015</v>
      </c>
      <c r="J240">
        <v>245.48197309700623</v>
      </c>
      <c r="K240">
        <v>100.1734790949572</v>
      </c>
      <c r="L240">
        <v>1.4427061831561323</v>
      </c>
      <c r="M240">
        <v>10.858875496425728</v>
      </c>
      <c r="N240">
        <v>2.5656778101216401E-2</v>
      </c>
      <c r="O240">
        <v>357.98269064964654</v>
      </c>
      <c r="P240">
        <v>98.910179887461027</v>
      </c>
      <c r="Q240">
        <v>164.11788161471824</v>
      </c>
      <c r="R240">
        <v>1.4071854767213403</v>
      </c>
      <c r="S240">
        <v>264.43524697890064</v>
      </c>
      <c r="T240">
        <v>118.22542423743761</v>
      </c>
      <c r="U240">
        <v>0</v>
      </c>
      <c r="V240">
        <v>40.843737182115888</v>
      </c>
      <c r="W240">
        <v>1.8528894829199201</v>
      </c>
      <c r="X240">
        <v>0.66996695637788295</v>
      </c>
      <c r="Y240">
        <v>161.59201785885131</v>
      </c>
      <c r="Z240">
        <v>0.27239532526941057</v>
      </c>
      <c r="AA240">
        <v>784.2823508126678</v>
      </c>
      <c r="AB240">
        <v>179.40999999999994</v>
      </c>
      <c r="AC240">
        <v>4.3714528220983668</v>
      </c>
    </row>
    <row r="241" spans="4:29">
      <c r="D241" t="s">
        <v>661</v>
      </c>
      <c r="E241" t="s">
        <v>122</v>
      </c>
      <c r="F241" t="s">
        <v>640</v>
      </c>
      <c r="G241" t="s">
        <v>640</v>
      </c>
      <c r="H241" t="s">
        <v>1172</v>
      </c>
      <c r="I241">
        <v>2005</v>
      </c>
      <c r="J241">
        <v>197.31061819868697</v>
      </c>
      <c r="K241">
        <v>82.64737259719908</v>
      </c>
      <c r="L241">
        <v>0</v>
      </c>
      <c r="M241">
        <v>15.25207469147195</v>
      </c>
      <c r="N241">
        <v>6.760750124723261E-2</v>
      </c>
      <c r="O241">
        <v>295.27767298860522</v>
      </c>
      <c r="P241">
        <v>219.66990994158206</v>
      </c>
      <c r="Q241">
        <v>318.39762805127259</v>
      </c>
      <c r="R241">
        <v>2.3028604218316695</v>
      </c>
      <c r="S241">
        <v>540.37039841468641</v>
      </c>
      <c r="T241">
        <v>120.97920186576968</v>
      </c>
      <c r="U241">
        <v>0</v>
      </c>
      <c r="V241">
        <v>92.10137041608742</v>
      </c>
      <c r="W241">
        <v>1.10919402323432</v>
      </c>
      <c r="X241">
        <v>0.93157920079933099</v>
      </c>
      <c r="Y241">
        <v>215.12134550589073</v>
      </c>
      <c r="Z241">
        <v>0.93759594035918192</v>
      </c>
      <c r="AA241">
        <v>1051.7070128495416</v>
      </c>
      <c r="AB241">
        <v>229.27099999999996</v>
      </c>
      <c r="AC241">
        <v>4.5871785478736591</v>
      </c>
    </row>
    <row r="242" spans="4:29">
      <c r="D242" t="s">
        <v>661</v>
      </c>
      <c r="E242" t="s">
        <v>122</v>
      </c>
      <c r="F242" t="s">
        <v>640</v>
      </c>
      <c r="G242" t="s">
        <v>640</v>
      </c>
      <c r="H242" t="s">
        <v>1172</v>
      </c>
      <c r="I242">
        <v>2006</v>
      </c>
      <c r="J242">
        <v>217.00413584592192</v>
      </c>
      <c r="K242">
        <v>78.861697277177043</v>
      </c>
      <c r="L242">
        <v>0</v>
      </c>
      <c r="M242">
        <v>14.956985959195571</v>
      </c>
      <c r="N242">
        <v>6.3718500801049599E-2</v>
      </c>
      <c r="O242">
        <v>310.88653758309556</v>
      </c>
      <c r="P242">
        <v>231.61635817779995</v>
      </c>
      <c r="Q242">
        <v>302.25748807309793</v>
      </c>
      <c r="R242">
        <v>2.0812597639613228</v>
      </c>
      <c r="S242">
        <v>535.95510601485921</v>
      </c>
      <c r="T242">
        <v>122.42639886664742</v>
      </c>
      <c r="U242">
        <v>0</v>
      </c>
      <c r="V242">
        <v>88.11411803856582</v>
      </c>
      <c r="W242">
        <v>1.0959357704850299</v>
      </c>
      <c r="X242">
        <v>0.95495324460627296</v>
      </c>
      <c r="Y242">
        <v>212.59140592030454</v>
      </c>
      <c r="Z242">
        <v>0.87956949285418218</v>
      </c>
      <c r="AA242">
        <v>1060.3126190111134</v>
      </c>
      <c r="AB242">
        <v>233.17400000000001</v>
      </c>
      <c r="AC242">
        <v>4.5473020963362698</v>
      </c>
    </row>
    <row r="243" spans="4:29">
      <c r="D243" t="s">
        <v>661</v>
      </c>
      <c r="E243" t="s">
        <v>122</v>
      </c>
      <c r="F243" t="s">
        <v>640</v>
      </c>
      <c r="G243" t="s">
        <v>640</v>
      </c>
      <c r="H243" t="s">
        <v>1172</v>
      </c>
      <c r="I243">
        <v>2007</v>
      </c>
      <c r="J243">
        <v>190.28536424272588</v>
      </c>
      <c r="K243">
        <v>70.833116121254761</v>
      </c>
      <c r="L243">
        <v>0</v>
      </c>
      <c r="M243">
        <v>15.002374395604031</v>
      </c>
      <c r="N243">
        <v>6.0349802789078803E-2</v>
      </c>
      <c r="O243">
        <v>276.18120456237375</v>
      </c>
      <c r="P243">
        <v>229.65188271792084</v>
      </c>
      <c r="Q243">
        <v>287.52506761310497</v>
      </c>
      <c r="R243">
        <v>1.9412066734330824</v>
      </c>
      <c r="S243">
        <v>519.11815700445891</v>
      </c>
      <c r="T243">
        <v>119.40630200460228</v>
      </c>
      <c r="U243">
        <v>0</v>
      </c>
      <c r="V243">
        <v>88.711363322902002</v>
      </c>
      <c r="W243">
        <v>1.2277050194414301</v>
      </c>
      <c r="X243">
        <v>0.923615384961048</v>
      </c>
      <c r="Y243">
        <v>210.26898573190675</v>
      </c>
      <c r="Z243">
        <v>0.82985807274240253</v>
      </c>
      <c r="AA243">
        <v>1006.3982053714817</v>
      </c>
      <c r="AB243">
        <v>236.79299999999992</v>
      </c>
      <c r="AC243">
        <v>4.2501180582681162</v>
      </c>
    </row>
    <row r="244" spans="4:29">
      <c r="D244" t="s">
        <v>661</v>
      </c>
      <c r="E244" t="s">
        <v>122</v>
      </c>
      <c r="F244" t="s">
        <v>640</v>
      </c>
      <c r="G244" t="s">
        <v>640</v>
      </c>
      <c r="H244" t="s">
        <v>1172</v>
      </c>
      <c r="I244">
        <v>2008</v>
      </c>
      <c r="J244">
        <v>233.67491680506612</v>
      </c>
      <c r="K244">
        <v>70.443826156626301</v>
      </c>
      <c r="L244">
        <v>0</v>
      </c>
      <c r="M244">
        <v>12.969751632834811</v>
      </c>
      <c r="N244">
        <v>5.2160823749341299E-2</v>
      </c>
      <c r="O244">
        <v>317.14065541827654</v>
      </c>
      <c r="P244">
        <v>219.78618866652212</v>
      </c>
      <c r="Q244">
        <v>298.60529391840402</v>
      </c>
      <c r="R244">
        <v>2.0779705703733553</v>
      </c>
      <c r="S244">
        <v>520.46945315529956</v>
      </c>
      <c r="T244">
        <v>110.80107046989914</v>
      </c>
      <c r="U244">
        <v>0</v>
      </c>
      <c r="V244">
        <v>85.513667434103581</v>
      </c>
      <c r="W244">
        <v>1.24028943087933</v>
      </c>
      <c r="X244">
        <v>0.93250163043434808</v>
      </c>
      <c r="Y244">
        <v>198.48752896531641</v>
      </c>
      <c r="Z244">
        <v>0.77839025535064599</v>
      </c>
      <c r="AA244">
        <v>1036.8760277942431</v>
      </c>
      <c r="AB244">
        <v>244.45899999999989</v>
      </c>
      <c r="AC244">
        <v>4.2415130054293098</v>
      </c>
    </row>
    <row r="245" spans="4:29">
      <c r="D245" t="s">
        <v>661</v>
      </c>
      <c r="E245" t="s">
        <v>122</v>
      </c>
      <c r="F245" t="s">
        <v>640</v>
      </c>
      <c r="G245" t="s">
        <v>640</v>
      </c>
      <c r="H245" t="s">
        <v>1172</v>
      </c>
      <c r="I245">
        <v>2009</v>
      </c>
      <c r="J245">
        <v>208.59759184844867</v>
      </c>
      <c r="K245">
        <v>64.118966319212362</v>
      </c>
      <c r="L245">
        <v>0</v>
      </c>
      <c r="M245">
        <v>8.7419459095910295</v>
      </c>
      <c r="N245">
        <v>5.3537363540923102E-2</v>
      </c>
      <c r="O245">
        <v>281.51204144079298</v>
      </c>
      <c r="P245">
        <v>192.46200259636464</v>
      </c>
      <c r="Q245">
        <v>270.94434432377562</v>
      </c>
      <c r="R245">
        <v>1.8851294827785157</v>
      </c>
      <c r="S245">
        <v>465.29147640291876</v>
      </c>
      <c r="T245">
        <v>103.58884680501743</v>
      </c>
      <c r="U245">
        <v>0</v>
      </c>
      <c r="V245">
        <v>82.790467731659845</v>
      </c>
      <c r="W245">
        <v>1.24831510236758</v>
      </c>
      <c r="X245">
        <v>0.820572918729078</v>
      </c>
      <c r="Y245">
        <v>188.44820255777393</v>
      </c>
      <c r="Z245">
        <v>0.74168943298302448</v>
      </c>
      <c r="AA245">
        <v>935.99340983446871</v>
      </c>
      <c r="AB245">
        <v>249.80500000000009</v>
      </c>
      <c r="AC245">
        <v>3.7468962183882164</v>
      </c>
    </row>
    <row r="246" spans="4:29">
      <c r="D246" t="s">
        <v>661</v>
      </c>
      <c r="E246" t="s">
        <v>122</v>
      </c>
      <c r="F246" t="s">
        <v>640</v>
      </c>
      <c r="G246" t="s">
        <v>640</v>
      </c>
      <c r="H246" t="s">
        <v>1172</v>
      </c>
      <c r="I246">
        <v>2010</v>
      </c>
      <c r="J246">
        <v>213.32310318764712</v>
      </c>
      <c r="K246">
        <v>70.114910638421932</v>
      </c>
      <c r="L246">
        <v>0</v>
      </c>
      <c r="M246">
        <v>9.9340162906133909</v>
      </c>
      <c r="N246">
        <v>5.4017372902830305E-2</v>
      </c>
      <c r="O246">
        <v>293.42604748958524</v>
      </c>
      <c r="P246">
        <v>199.10204864432265</v>
      </c>
      <c r="Q246">
        <v>299.78312565894174</v>
      </c>
      <c r="R246">
        <v>2.0014696611159506</v>
      </c>
      <c r="S246">
        <v>500.88664396438037</v>
      </c>
      <c r="T246">
        <v>101.7936798362532</v>
      </c>
      <c r="U246">
        <v>0</v>
      </c>
      <c r="V246">
        <v>80.674446748914519</v>
      </c>
      <c r="W246">
        <v>1.24999227293849</v>
      </c>
      <c r="X246">
        <v>0.82107416017977797</v>
      </c>
      <c r="Y246">
        <v>184.53919301828603</v>
      </c>
      <c r="Z246">
        <v>0.69665458679287307</v>
      </c>
      <c r="AA246">
        <v>979.54853905904451</v>
      </c>
      <c r="AB246">
        <v>252.74200000000013</v>
      </c>
      <c r="AC246">
        <v>3.8756856361785696</v>
      </c>
    </row>
    <row r="247" spans="4:29">
      <c r="D247" t="s">
        <v>661</v>
      </c>
      <c r="E247" t="s">
        <v>122</v>
      </c>
      <c r="F247" t="s">
        <v>640</v>
      </c>
      <c r="G247" t="s">
        <v>640</v>
      </c>
      <c r="H247" t="s">
        <v>1172</v>
      </c>
      <c r="I247">
        <v>2011</v>
      </c>
      <c r="J247">
        <v>194.64118193437039</v>
      </c>
      <c r="K247">
        <v>60.33967472748661</v>
      </c>
      <c r="L247">
        <v>0</v>
      </c>
      <c r="M247">
        <v>7.3256533775896004</v>
      </c>
      <c r="N247">
        <v>5.4516551194859701E-2</v>
      </c>
      <c r="O247">
        <v>262.36102659064147</v>
      </c>
      <c r="P247">
        <v>190.53579059502141</v>
      </c>
      <c r="Q247">
        <v>242.73688422101537</v>
      </c>
      <c r="R247">
        <v>1.8539613842135698</v>
      </c>
      <c r="S247">
        <v>435.12663620025035</v>
      </c>
      <c r="T247">
        <v>98.434461008762909</v>
      </c>
      <c r="U247">
        <v>0</v>
      </c>
      <c r="V247">
        <v>78.745057210567865</v>
      </c>
      <c r="W247">
        <v>1.23364910565199</v>
      </c>
      <c r="X247">
        <v>0.78225829154323701</v>
      </c>
      <c r="Y247">
        <v>179.19542561652597</v>
      </c>
      <c r="Z247">
        <v>0.6483767948555883</v>
      </c>
      <c r="AA247">
        <v>877.33146520227342</v>
      </c>
      <c r="AB247">
        <v>255.54</v>
      </c>
      <c r="AC247">
        <v>3.4332451483222721</v>
      </c>
    </row>
    <row r="248" spans="4:29">
      <c r="D248" t="s">
        <v>661</v>
      </c>
      <c r="E248" t="s">
        <v>122</v>
      </c>
      <c r="F248" t="s">
        <v>640</v>
      </c>
      <c r="G248" t="s">
        <v>640</v>
      </c>
      <c r="H248" t="s">
        <v>1172</v>
      </c>
      <c r="I248">
        <v>2012</v>
      </c>
      <c r="J248">
        <v>212.79178768827492</v>
      </c>
      <c r="K248">
        <v>66.640109191619885</v>
      </c>
      <c r="L248">
        <v>0</v>
      </c>
      <c r="M248">
        <v>8.9738596039312295</v>
      </c>
      <c r="N248">
        <v>5.5697814372652997E-2</v>
      </c>
      <c r="O248">
        <v>288.46145429819865</v>
      </c>
      <c r="P248">
        <v>199.17210446063211</v>
      </c>
      <c r="Q248">
        <v>264.46196917929723</v>
      </c>
      <c r="R248">
        <v>1.7901286641203167</v>
      </c>
      <c r="S248">
        <v>465.42420230404963</v>
      </c>
      <c r="T248">
        <v>96.871481223229779</v>
      </c>
      <c r="U248">
        <v>0</v>
      </c>
      <c r="V248">
        <v>77.464464733763165</v>
      </c>
      <c r="W248">
        <v>1.23983089233379</v>
      </c>
      <c r="X248">
        <v>0.75297219967746198</v>
      </c>
      <c r="Y248">
        <v>176.32874904900419</v>
      </c>
      <c r="Z248">
        <v>0.59763161518413233</v>
      </c>
      <c r="AA248">
        <v>930.81203726643662</v>
      </c>
      <c r="AB248">
        <v>258.91200000000009</v>
      </c>
      <c r="AC248">
        <v>3.5950903676401107</v>
      </c>
    </row>
    <row r="249" spans="4:29">
      <c r="D249" t="s">
        <v>661</v>
      </c>
      <c r="E249" t="s">
        <v>122</v>
      </c>
      <c r="F249" t="s">
        <v>640</v>
      </c>
      <c r="G249" t="s">
        <v>640</v>
      </c>
      <c r="H249" t="s">
        <v>1172</v>
      </c>
      <c r="I249">
        <v>2013</v>
      </c>
      <c r="J249">
        <v>193.81228011641554</v>
      </c>
      <c r="K249">
        <v>69.640775737757195</v>
      </c>
      <c r="L249">
        <v>0</v>
      </c>
      <c r="M249">
        <v>7.0622510768082698</v>
      </c>
      <c r="N249">
        <v>5.4924033013669896E-2</v>
      </c>
      <c r="O249">
        <v>270.57023096399462</v>
      </c>
      <c r="P249">
        <v>181.47489526749635</v>
      </c>
      <c r="Q249">
        <v>272.35260664316257</v>
      </c>
      <c r="R249">
        <v>1.9686931042791755</v>
      </c>
      <c r="S249">
        <v>455.79619501493812</v>
      </c>
      <c r="T249">
        <v>96.193517782823349</v>
      </c>
      <c r="U249">
        <v>0</v>
      </c>
      <c r="V249">
        <v>75.410080341250307</v>
      </c>
      <c r="W249">
        <v>1.24958603329384</v>
      </c>
      <c r="X249">
        <v>0.76284859639816005</v>
      </c>
      <c r="Y249">
        <v>173.61603275376564</v>
      </c>
      <c r="Z249">
        <v>0.56929573188446903</v>
      </c>
      <c r="AA249">
        <v>900.55175446458304</v>
      </c>
      <c r="AB249">
        <v>263.38600000000019</v>
      </c>
      <c r="AC249">
        <v>3.4191329625135065</v>
      </c>
    </row>
    <row r="250" spans="4:29">
      <c r="D250" t="s">
        <v>661</v>
      </c>
      <c r="E250" t="s">
        <v>122</v>
      </c>
      <c r="F250" t="s">
        <v>640</v>
      </c>
      <c r="G250" t="s">
        <v>640</v>
      </c>
      <c r="H250" t="s">
        <v>1172</v>
      </c>
      <c r="I250">
        <v>2014</v>
      </c>
      <c r="J250">
        <v>162.01574602427826</v>
      </c>
      <c r="K250">
        <v>55.156367686496438</v>
      </c>
      <c r="L250">
        <v>0</v>
      </c>
      <c r="M250">
        <v>7.7237536816653698</v>
      </c>
      <c r="N250">
        <v>5.39547903034647E-2</v>
      </c>
      <c r="O250">
        <v>224.9498221827435</v>
      </c>
      <c r="P250">
        <v>150.93543238911553</v>
      </c>
      <c r="Q250">
        <v>222.90221216232001</v>
      </c>
      <c r="R250">
        <v>1.9020060229267288</v>
      </c>
      <c r="S250">
        <v>375.73965057436232</v>
      </c>
      <c r="T250">
        <v>94.162030758905985</v>
      </c>
      <c r="U250">
        <v>0</v>
      </c>
      <c r="V250">
        <v>76.814345112158222</v>
      </c>
      <c r="W250">
        <v>1.27571654794798</v>
      </c>
      <c r="X250">
        <v>0.75348523293210301</v>
      </c>
      <c r="Y250">
        <v>173.00557765194426</v>
      </c>
      <c r="Z250">
        <v>0.52457398537092703</v>
      </c>
      <c r="AA250">
        <v>774.21962439442098</v>
      </c>
      <c r="AB250">
        <v>267.54100000000011</v>
      </c>
      <c r="AC250">
        <v>2.8938354285676611</v>
      </c>
    </row>
    <row r="251" spans="4:29">
      <c r="D251" t="s">
        <v>661</v>
      </c>
      <c r="E251" t="s">
        <v>122</v>
      </c>
      <c r="F251" t="s">
        <v>640</v>
      </c>
      <c r="G251" t="s">
        <v>640</v>
      </c>
      <c r="H251" t="s">
        <v>1172</v>
      </c>
      <c r="I251">
        <v>2015</v>
      </c>
      <c r="J251">
        <v>150.75465371566864</v>
      </c>
      <c r="K251">
        <v>54.089843928833254</v>
      </c>
      <c r="L251">
        <v>0</v>
      </c>
      <c r="M251">
        <v>7.8622817812654899</v>
      </c>
      <c r="N251">
        <v>5.5071900358366795E-2</v>
      </c>
      <c r="O251">
        <v>212.76185132612576</v>
      </c>
      <c r="P251">
        <v>127.02141587520842</v>
      </c>
      <c r="Q251">
        <v>235.86120562761926</v>
      </c>
      <c r="R251">
        <v>1.8807201495454438</v>
      </c>
      <c r="S251">
        <v>364.76334165237307</v>
      </c>
      <c r="T251">
        <v>95.52798497143408</v>
      </c>
      <c r="U251">
        <v>0</v>
      </c>
      <c r="V251">
        <v>75.142382748373592</v>
      </c>
      <c r="W251">
        <v>1.2422614108037802</v>
      </c>
      <c r="X251">
        <v>0.733344804926089</v>
      </c>
      <c r="Y251">
        <v>172.64597393553754</v>
      </c>
      <c r="Z251">
        <v>0.49416566354665264</v>
      </c>
      <c r="AA251">
        <v>750.66533257758317</v>
      </c>
      <c r="AB251">
        <v>272.86399999999981</v>
      </c>
      <c r="AC251">
        <v>2.7510603545267376</v>
      </c>
    </row>
    <row r="252" spans="4:29">
      <c r="D252" t="s">
        <v>661</v>
      </c>
      <c r="E252" t="s">
        <v>122</v>
      </c>
      <c r="F252" t="s">
        <v>641</v>
      </c>
      <c r="G252" t="s">
        <v>641</v>
      </c>
      <c r="H252" t="s">
        <v>1173</v>
      </c>
      <c r="I252">
        <v>2005</v>
      </c>
      <c r="J252">
        <v>153.0807632074021</v>
      </c>
      <c r="K252">
        <v>129.37122752658371</v>
      </c>
      <c r="L252">
        <v>0.71460420493987975</v>
      </c>
      <c r="M252">
        <v>15.572595657508192</v>
      </c>
      <c r="N252">
        <v>0.29738747258001202</v>
      </c>
      <c r="O252">
        <v>299.03657806901384</v>
      </c>
      <c r="P252">
        <v>206.45520460238046</v>
      </c>
      <c r="Q252">
        <v>325.05229411170842</v>
      </c>
      <c r="R252">
        <v>2.6991805921290242</v>
      </c>
      <c r="S252">
        <v>534.20667930621789</v>
      </c>
      <c r="T252">
        <v>89.242729739532095</v>
      </c>
      <c r="U252">
        <v>8.5033451369266064</v>
      </c>
      <c r="V252">
        <v>76.287505509802202</v>
      </c>
      <c r="W252">
        <v>0.77371567325908197</v>
      </c>
      <c r="X252">
        <v>0.91028135711259495</v>
      </c>
      <c r="Y252">
        <v>175.71757741663259</v>
      </c>
      <c r="Z252">
        <v>1.0761983483864119</v>
      </c>
      <c r="AA252">
        <v>1010.0370331402506</v>
      </c>
      <c r="AB252">
        <v>221.10900000000009</v>
      </c>
      <c r="AC252">
        <v>4.5680502970944206</v>
      </c>
    </row>
    <row r="253" spans="4:29">
      <c r="D253" t="s">
        <v>661</v>
      </c>
      <c r="E253" t="s">
        <v>122</v>
      </c>
      <c r="F253" t="s">
        <v>641</v>
      </c>
      <c r="G253" t="s">
        <v>641</v>
      </c>
      <c r="H253" t="s">
        <v>1173</v>
      </c>
      <c r="I253">
        <v>2006</v>
      </c>
      <c r="J253">
        <v>151.78457082307352</v>
      </c>
      <c r="K253">
        <v>122.99951758102249</v>
      </c>
      <c r="L253">
        <v>1.4776780000995038</v>
      </c>
      <c r="M253">
        <v>15.3619212209985</v>
      </c>
      <c r="N253">
        <v>0.28153354189034602</v>
      </c>
      <c r="O253">
        <v>291.90522116708433</v>
      </c>
      <c r="P253">
        <v>217.87053577548997</v>
      </c>
      <c r="Q253">
        <v>314.27259774225593</v>
      </c>
      <c r="R253">
        <v>2.4849783722546985</v>
      </c>
      <c r="S253">
        <v>534.62811189000058</v>
      </c>
      <c r="T253">
        <v>86.398560835586579</v>
      </c>
      <c r="U253">
        <v>7.9036534197638382</v>
      </c>
      <c r="V253">
        <v>74.508445951174963</v>
      </c>
      <c r="W253">
        <v>0.76104940750109307</v>
      </c>
      <c r="X253">
        <v>0.91592157760704407</v>
      </c>
      <c r="Y253">
        <v>170.48763119163351</v>
      </c>
      <c r="Z253">
        <v>0.93361199962169272</v>
      </c>
      <c r="AA253">
        <v>997.95457624834012</v>
      </c>
      <c r="AB253">
        <v>223.63199999999989</v>
      </c>
      <c r="AC253">
        <v>4.462485584569027</v>
      </c>
    </row>
    <row r="254" spans="4:29">
      <c r="D254" t="s">
        <v>661</v>
      </c>
      <c r="E254" t="s">
        <v>122</v>
      </c>
      <c r="F254" t="s">
        <v>641</v>
      </c>
      <c r="G254" t="s">
        <v>641</v>
      </c>
      <c r="H254" t="s">
        <v>1173</v>
      </c>
      <c r="I254">
        <v>2007</v>
      </c>
      <c r="J254">
        <v>149.54854694471814</v>
      </c>
      <c r="K254">
        <v>120.89447140979946</v>
      </c>
      <c r="L254">
        <v>3.4124489271377879E-2</v>
      </c>
      <c r="M254">
        <v>15.500840556766539</v>
      </c>
      <c r="N254">
        <v>0.26725736125605937</v>
      </c>
      <c r="O254">
        <v>286.2452407618116</v>
      </c>
      <c r="P254">
        <v>216.46003989076419</v>
      </c>
      <c r="Q254">
        <v>302.30602256634904</v>
      </c>
      <c r="R254">
        <v>2.3834672948289142</v>
      </c>
      <c r="S254">
        <v>521.14952975194217</v>
      </c>
      <c r="T254">
        <v>83.09364773794735</v>
      </c>
      <c r="U254">
        <v>8.0728907055263655</v>
      </c>
      <c r="V254">
        <v>75.059381907239128</v>
      </c>
      <c r="W254">
        <v>0.88012218758277005</v>
      </c>
      <c r="X254">
        <v>0.87048127709280199</v>
      </c>
      <c r="Y254">
        <v>167.97652381538842</v>
      </c>
      <c r="Z254">
        <v>0.85182445639036097</v>
      </c>
      <c r="AA254">
        <v>976.22311878553251</v>
      </c>
      <c r="AB254">
        <v>226.35499999999985</v>
      </c>
      <c r="AC254">
        <v>4.3127967961190752</v>
      </c>
    </row>
    <row r="255" spans="4:29">
      <c r="D255" t="s">
        <v>661</v>
      </c>
      <c r="E255" t="s">
        <v>122</v>
      </c>
      <c r="F255" t="s">
        <v>641</v>
      </c>
      <c r="G255" t="s">
        <v>641</v>
      </c>
      <c r="H255" t="s">
        <v>1173</v>
      </c>
      <c r="I255">
        <v>2008</v>
      </c>
      <c r="J255">
        <v>146.41740760152683</v>
      </c>
      <c r="K255">
        <v>133.00197955727035</v>
      </c>
      <c r="L255">
        <v>1.5700786454289926E-2</v>
      </c>
      <c r="M255">
        <v>9.5721397687624137</v>
      </c>
      <c r="N255">
        <v>0.25876264520016512</v>
      </c>
      <c r="O255">
        <v>289.26599035921413</v>
      </c>
      <c r="P255">
        <v>206.52112255092382</v>
      </c>
      <c r="Q255">
        <v>316.14047273322632</v>
      </c>
      <c r="R255">
        <v>2.5133559591243806</v>
      </c>
      <c r="S255">
        <v>525.17495124327456</v>
      </c>
      <c r="T255">
        <v>78.225378340105536</v>
      </c>
      <c r="U255">
        <v>7.7027807064455232</v>
      </c>
      <c r="V255">
        <v>72.479763148796238</v>
      </c>
      <c r="W255">
        <v>0.88768509969579201</v>
      </c>
      <c r="X255">
        <v>0.89530025031025007</v>
      </c>
      <c r="Y255">
        <v>160.19090754535333</v>
      </c>
      <c r="Z255">
        <v>0.73753299251468241</v>
      </c>
      <c r="AA255">
        <v>975.36938214035661</v>
      </c>
      <c r="AB255">
        <v>229.56700000000001</v>
      </c>
      <c r="AC255">
        <v>4.2487351498270947</v>
      </c>
    </row>
    <row r="256" spans="4:29">
      <c r="D256" t="s">
        <v>661</v>
      </c>
      <c r="E256" t="s">
        <v>122</v>
      </c>
      <c r="F256" t="s">
        <v>641</v>
      </c>
      <c r="G256" t="s">
        <v>641</v>
      </c>
      <c r="H256" t="s">
        <v>1173</v>
      </c>
      <c r="I256">
        <v>2009</v>
      </c>
      <c r="J256">
        <v>130.8181587605626</v>
      </c>
      <c r="K256">
        <v>108.24129930730211</v>
      </c>
      <c r="L256">
        <v>2.8942518975029932E-2</v>
      </c>
      <c r="M256">
        <v>7.3557533151153054</v>
      </c>
      <c r="N256">
        <v>0.26511327923916522</v>
      </c>
      <c r="O256">
        <v>246.70926718119421</v>
      </c>
      <c r="P256">
        <v>185.09992074463713</v>
      </c>
      <c r="Q256">
        <v>286.83611035683617</v>
      </c>
      <c r="R256">
        <v>2.3421273089246988</v>
      </c>
      <c r="S256">
        <v>474.27815841039802</v>
      </c>
      <c r="T256">
        <v>73.268654569506054</v>
      </c>
      <c r="U256">
        <v>7.5209723591009299</v>
      </c>
      <c r="V256">
        <v>70.102329630206157</v>
      </c>
      <c r="W256">
        <v>0.89247214609580106</v>
      </c>
      <c r="X256">
        <v>0.79444372105784999</v>
      </c>
      <c r="Y256">
        <v>152.57887242596681</v>
      </c>
      <c r="Z256">
        <v>0.71645311457548067</v>
      </c>
      <c r="AA256">
        <v>874.28275113213442</v>
      </c>
      <c r="AB256">
        <v>233.49499999999992</v>
      </c>
      <c r="AC256">
        <v>3.7443317892551651</v>
      </c>
    </row>
    <row r="257" spans="4:29">
      <c r="D257" t="s">
        <v>661</v>
      </c>
      <c r="E257" t="s">
        <v>122</v>
      </c>
      <c r="F257" t="s">
        <v>641</v>
      </c>
      <c r="G257" t="s">
        <v>641</v>
      </c>
      <c r="H257" t="s">
        <v>1173</v>
      </c>
      <c r="I257">
        <v>2010</v>
      </c>
      <c r="J257">
        <v>130.35610632637528</v>
      </c>
      <c r="K257">
        <v>113.95293353171515</v>
      </c>
      <c r="L257">
        <v>2.9211383825658581E-3</v>
      </c>
      <c r="M257">
        <v>7.5410046752213526</v>
      </c>
      <c r="N257">
        <v>0.26698964357687599</v>
      </c>
      <c r="O257">
        <v>252.11995531527123</v>
      </c>
      <c r="P257">
        <v>191.38497519796573</v>
      </c>
      <c r="Q257">
        <v>320.62959523203955</v>
      </c>
      <c r="R257">
        <v>2.4355225325865288</v>
      </c>
      <c r="S257">
        <v>514.45009296259184</v>
      </c>
      <c r="T257">
        <v>71.386236445763814</v>
      </c>
      <c r="U257">
        <v>7.4000923236532046</v>
      </c>
      <c r="V257">
        <v>68.165497951672194</v>
      </c>
      <c r="W257">
        <v>0.89193906835930292</v>
      </c>
      <c r="X257">
        <v>0.78687264588177908</v>
      </c>
      <c r="Y257">
        <v>148.6306384353303</v>
      </c>
      <c r="Z257">
        <v>0.63397196188046345</v>
      </c>
      <c r="AA257">
        <v>915.83465867507368</v>
      </c>
      <c r="AB257">
        <v>237.45099999999999</v>
      </c>
      <c r="AC257">
        <v>3.8569416792309728</v>
      </c>
    </row>
    <row r="258" spans="4:29">
      <c r="D258" t="s">
        <v>661</v>
      </c>
      <c r="E258" t="s">
        <v>122</v>
      </c>
      <c r="F258" t="s">
        <v>641</v>
      </c>
      <c r="G258" t="s">
        <v>641</v>
      </c>
      <c r="H258" t="s">
        <v>1173</v>
      </c>
      <c r="I258">
        <v>2011</v>
      </c>
      <c r="J258">
        <v>125.75753141956245</v>
      </c>
      <c r="K258">
        <v>86.182493384404395</v>
      </c>
      <c r="L258">
        <v>5.860374971778156E-3</v>
      </c>
      <c r="M258">
        <v>6.5617087691187184</v>
      </c>
      <c r="N258">
        <v>0.27033650219172667</v>
      </c>
      <c r="O258">
        <v>218.77793045024907</v>
      </c>
      <c r="P258">
        <v>181.26828649640916</v>
      </c>
      <c r="Q258">
        <v>263.24042807004992</v>
      </c>
      <c r="R258">
        <v>2.3490370498294428</v>
      </c>
      <c r="S258">
        <v>446.85775161628851</v>
      </c>
      <c r="T258">
        <v>71.591007465016418</v>
      </c>
      <c r="U258">
        <v>7.2284183308806504</v>
      </c>
      <c r="V258">
        <v>66.847059868079441</v>
      </c>
      <c r="W258">
        <v>0.88229920775816095</v>
      </c>
      <c r="X258">
        <v>0.76235437815308005</v>
      </c>
      <c r="Y258">
        <v>147.31113924988776</v>
      </c>
      <c r="Z258">
        <v>0.53522733947089063</v>
      </c>
      <c r="AA258">
        <v>813.48204865589628</v>
      </c>
      <c r="AB258">
        <v>240.49899999999985</v>
      </c>
      <c r="AC258">
        <v>3.3824758051214214</v>
      </c>
    </row>
    <row r="259" spans="4:29">
      <c r="D259" t="s">
        <v>661</v>
      </c>
      <c r="E259" t="s">
        <v>122</v>
      </c>
      <c r="F259" t="s">
        <v>641</v>
      </c>
      <c r="G259" t="s">
        <v>641</v>
      </c>
      <c r="H259" t="s">
        <v>1173</v>
      </c>
      <c r="I259">
        <v>2012</v>
      </c>
      <c r="J259">
        <v>132.24718341691465</v>
      </c>
      <c r="K259">
        <v>101.87835881745046</v>
      </c>
      <c r="L259">
        <v>3.9565867073371237E-2</v>
      </c>
      <c r="M259">
        <v>7.4337885169217159</v>
      </c>
      <c r="N259">
        <v>0.27414245690735328</v>
      </c>
      <c r="O259">
        <v>241.87303907526757</v>
      </c>
      <c r="P259">
        <v>191.25149425712618</v>
      </c>
      <c r="Q259">
        <v>289.80909332479888</v>
      </c>
      <c r="R259">
        <v>2.2891312987681633</v>
      </c>
      <c r="S259">
        <v>483.34971888069322</v>
      </c>
      <c r="T259">
        <v>72.163549739223072</v>
      </c>
      <c r="U259">
        <v>7.6695151953519325</v>
      </c>
      <c r="V259">
        <v>66.05586902531212</v>
      </c>
      <c r="W259">
        <v>0.887852874942196</v>
      </c>
      <c r="X259">
        <v>0.75209137255079395</v>
      </c>
      <c r="Y259">
        <v>147.52887820738013</v>
      </c>
      <c r="Z259">
        <v>0.48306713108710281</v>
      </c>
      <c r="AA259">
        <v>873.23470329442807</v>
      </c>
      <c r="AB259">
        <v>242.37700000000015</v>
      </c>
      <c r="AC259">
        <v>3.6027952458130414</v>
      </c>
    </row>
    <row r="260" spans="4:29">
      <c r="D260" t="s">
        <v>661</v>
      </c>
      <c r="E260" t="s">
        <v>122</v>
      </c>
      <c r="F260" t="s">
        <v>641</v>
      </c>
      <c r="G260" t="s">
        <v>641</v>
      </c>
      <c r="H260" t="s">
        <v>1173</v>
      </c>
      <c r="I260">
        <v>2013</v>
      </c>
      <c r="J260">
        <v>122.58590744040796</v>
      </c>
      <c r="K260">
        <v>87.944837298957466</v>
      </c>
      <c r="L260">
        <v>0.58566628112646291</v>
      </c>
      <c r="M260">
        <v>5.9513653381841003</v>
      </c>
      <c r="N260">
        <v>0.27230421491869838</v>
      </c>
      <c r="O260">
        <v>217.34008057359472</v>
      </c>
      <c r="P260">
        <v>175.96784011637919</v>
      </c>
      <c r="Q260">
        <v>300.98531269026449</v>
      </c>
      <c r="R260">
        <v>2.4534790591694495</v>
      </c>
      <c r="S260">
        <v>479.40663186581315</v>
      </c>
      <c r="T260">
        <v>69.439076987130917</v>
      </c>
      <c r="U260">
        <v>7.6538909106472737</v>
      </c>
      <c r="V260">
        <v>64.529541366221309</v>
      </c>
      <c r="W260">
        <v>0.89964233514638792</v>
      </c>
      <c r="X260">
        <v>0.75180259090485801</v>
      </c>
      <c r="Y260">
        <v>143.27395419005074</v>
      </c>
      <c r="Z260">
        <v>0.44283586915736572</v>
      </c>
      <c r="AA260">
        <v>840.46350249861609</v>
      </c>
      <c r="AB260">
        <v>243.37299999999985</v>
      </c>
      <c r="AC260">
        <v>3.4533966483488991</v>
      </c>
    </row>
    <row r="261" spans="4:29">
      <c r="D261" t="s">
        <v>661</v>
      </c>
      <c r="E261" t="s">
        <v>122</v>
      </c>
      <c r="F261" t="s">
        <v>641</v>
      </c>
      <c r="G261" t="s">
        <v>641</v>
      </c>
      <c r="H261" t="s">
        <v>1173</v>
      </c>
      <c r="I261">
        <v>2014</v>
      </c>
      <c r="J261">
        <v>132.61332086057848</v>
      </c>
      <c r="K261">
        <v>64.617067248870583</v>
      </c>
      <c r="L261">
        <v>2.1069858217413135E-3</v>
      </c>
      <c r="M261">
        <v>6.5166539909864714</v>
      </c>
      <c r="N261">
        <v>0.26457851453302689</v>
      </c>
      <c r="O261">
        <v>204.01372760079028</v>
      </c>
      <c r="P261">
        <v>146.75791523124749</v>
      </c>
      <c r="Q261">
        <v>250.24022176668277</v>
      </c>
      <c r="R261">
        <v>2.4123069552302678</v>
      </c>
      <c r="S261">
        <v>399.41044395316055</v>
      </c>
      <c r="T261">
        <v>66.927839835200871</v>
      </c>
      <c r="U261">
        <v>7.739076305196031</v>
      </c>
      <c r="V261">
        <v>65.499634893125744</v>
      </c>
      <c r="W261">
        <v>0.917729504799499</v>
      </c>
      <c r="X261">
        <v>0.72483224390193701</v>
      </c>
      <c r="Y261">
        <v>141.80911278222408</v>
      </c>
      <c r="Z261">
        <v>0.31916189295653763</v>
      </c>
      <c r="AA261">
        <v>745.55244622913142</v>
      </c>
      <c r="AB261">
        <v>246.01100000000017</v>
      </c>
      <c r="AC261">
        <v>3.0305654878405068</v>
      </c>
    </row>
    <row r="262" spans="4:29">
      <c r="D262" t="s">
        <v>661</v>
      </c>
      <c r="E262" t="s">
        <v>122</v>
      </c>
      <c r="F262" t="s">
        <v>641</v>
      </c>
      <c r="G262" t="s">
        <v>641</v>
      </c>
      <c r="H262" t="s">
        <v>1173</v>
      </c>
      <c r="I262">
        <v>2015</v>
      </c>
      <c r="J262">
        <v>91.557941203052835</v>
      </c>
      <c r="K262">
        <v>62.27570831408844</v>
      </c>
      <c r="L262">
        <v>3.4823724501517827E-3</v>
      </c>
      <c r="M262">
        <v>6.6820230233413245</v>
      </c>
      <c r="N262">
        <v>0.27036279927235585</v>
      </c>
      <c r="O262">
        <v>160.78951771220511</v>
      </c>
      <c r="P262">
        <v>122.73221985078854</v>
      </c>
      <c r="Q262">
        <v>266.2351107857134</v>
      </c>
      <c r="R262">
        <v>2.404845954878688</v>
      </c>
      <c r="S262">
        <v>391.37217659138065</v>
      </c>
      <c r="T262">
        <v>67.442715458572508</v>
      </c>
      <c r="U262">
        <v>7.7333637543059073</v>
      </c>
      <c r="V262">
        <v>63.899459517351183</v>
      </c>
      <c r="W262">
        <v>0.89021771761908497</v>
      </c>
      <c r="X262">
        <v>0.70528906061348795</v>
      </c>
      <c r="Y262">
        <v>140.67104550846219</v>
      </c>
      <c r="Z262">
        <v>0.28851681418994923</v>
      </c>
      <c r="AA262">
        <v>693.12125662623782</v>
      </c>
      <c r="AB262">
        <v>247.13000000000008</v>
      </c>
      <c r="AC262">
        <v>2.8046827848753191</v>
      </c>
    </row>
    <row r="263" spans="4:29">
      <c r="D263" t="s">
        <v>661</v>
      </c>
      <c r="E263" t="s">
        <v>122</v>
      </c>
      <c r="F263" t="s">
        <v>642</v>
      </c>
      <c r="G263" t="s">
        <v>642</v>
      </c>
      <c r="H263" t="s">
        <v>1174</v>
      </c>
      <c r="I263">
        <v>2005</v>
      </c>
      <c r="J263">
        <v>220.69164066052747</v>
      </c>
      <c r="K263">
        <v>64.516519519799303</v>
      </c>
      <c r="L263">
        <v>5.7404938705006971</v>
      </c>
      <c r="M263">
        <v>22.936705026150193</v>
      </c>
      <c r="N263">
        <v>1.2604698553788845</v>
      </c>
      <c r="O263">
        <v>315.14582893235655</v>
      </c>
      <c r="P263">
        <v>239.65177450988992</v>
      </c>
      <c r="Q263">
        <v>330.55827834511803</v>
      </c>
      <c r="R263">
        <v>7.6782754675073699</v>
      </c>
      <c r="S263">
        <v>577.88832832251524</v>
      </c>
      <c r="T263">
        <v>171.56633722765341</v>
      </c>
      <c r="U263">
        <v>138.77207961127476</v>
      </c>
      <c r="V263">
        <v>116.58197155431685</v>
      </c>
      <c r="W263">
        <v>0.61499338533527392</v>
      </c>
      <c r="X263">
        <v>1.81603413096286</v>
      </c>
      <c r="Y263">
        <v>429.35141590954316</v>
      </c>
      <c r="Z263">
        <v>2.5224728301631769</v>
      </c>
      <c r="AA263">
        <v>1324.9080459945781</v>
      </c>
      <c r="AB263">
        <v>226.98999999999987</v>
      </c>
      <c r="AC263">
        <v>5.8368564518021886</v>
      </c>
    </row>
    <row r="264" spans="4:29">
      <c r="D264" t="s">
        <v>661</v>
      </c>
      <c r="E264" t="s">
        <v>122</v>
      </c>
      <c r="F264" t="s">
        <v>642</v>
      </c>
      <c r="G264" t="s">
        <v>642</v>
      </c>
      <c r="H264" t="s">
        <v>1174</v>
      </c>
      <c r="I264">
        <v>2006</v>
      </c>
      <c r="J264">
        <v>238.0745189968921</v>
      </c>
      <c r="K264">
        <v>52.937176884166298</v>
      </c>
      <c r="L264">
        <v>5.0203818534563869</v>
      </c>
      <c r="M264">
        <v>21.809106421136512</v>
      </c>
      <c r="N264">
        <v>1.2139702835237693</v>
      </c>
      <c r="O264">
        <v>319.05515443917511</v>
      </c>
      <c r="P264">
        <v>252.47631675489109</v>
      </c>
      <c r="Q264">
        <v>316.55548446150601</v>
      </c>
      <c r="R264">
        <v>6.844439766230769</v>
      </c>
      <c r="S264">
        <v>575.87624098262779</v>
      </c>
      <c r="T264">
        <v>173.57923616257392</v>
      </c>
      <c r="U264">
        <v>152.26454774139319</v>
      </c>
      <c r="V264">
        <v>113.11834404488047</v>
      </c>
      <c r="W264">
        <v>0.61340515604166201</v>
      </c>
      <c r="X264">
        <v>1.92015514759172</v>
      </c>
      <c r="Y264">
        <v>441.49568825248099</v>
      </c>
      <c r="Z264">
        <v>2.3812582694427173</v>
      </c>
      <c r="AA264">
        <v>1338.8083419437266</v>
      </c>
      <c r="AB264">
        <v>228.19800000000009</v>
      </c>
      <c r="AC264">
        <v>5.8668714973125358</v>
      </c>
    </row>
    <row r="265" spans="4:29">
      <c r="D265" t="s">
        <v>661</v>
      </c>
      <c r="E265" t="s">
        <v>122</v>
      </c>
      <c r="F265" t="s">
        <v>642</v>
      </c>
      <c r="G265" t="s">
        <v>642</v>
      </c>
      <c r="H265" t="s">
        <v>1174</v>
      </c>
      <c r="I265">
        <v>2007</v>
      </c>
      <c r="J265">
        <v>225.20401484046275</v>
      </c>
      <c r="K265">
        <v>45.70885991795069</v>
      </c>
      <c r="L265">
        <v>1.9797048617093672E-2</v>
      </c>
      <c r="M265">
        <v>21.741953646447442</v>
      </c>
      <c r="N265">
        <v>1.1629395863552734</v>
      </c>
      <c r="O265">
        <v>293.83756503983318</v>
      </c>
      <c r="P265">
        <v>252.27375591238032</v>
      </c>
      <c r="Q265">
        <v>299.34366671835835</v>
      </c>
      <c r="R265">
        <v>6.4819096614721445</v>
      </c>
      <c r="S265">
        <v>558.09933229221087</v>
      </c>
      <c r="T265">
        <v>166.19973590692626</v>
      </c>
      <c r="U265">
        <v>146.05972972235281</v>
      </c>
      <c r="V265">
        <v>113.9423162776706</v>
      </c>
      <c r="W265">
        <v>0.6324703792140961</v>
      </c>
      <c r="X265">
        <v>1.8148776166801499</v>
      </c>
      <c r="Y265">
        <v>428.64912990284398</v>
      </c>
      <c r="Z265">
        <v>2.183142447222115</v>
      </c>
      <c r="AA265">
        <v>1282.76916968211</v>
      </c>
      <c r="AB265">
        <v>229.78899999999982</v>
      </c>
      <c r="AC265">
        <v>5.5823784849671263</v>
      </c>
    </row>
    <row r="266" spans="4:29">
      <c r="D266" t="s">
        <v>661</v>
      </c>
      <c r="E266" t="s">
        <v>122</v>
      </c>
      <c r="F266" t="s">
        <v>642</v>
      </c>
      <c r="G266" t="s">
        <v>642</v>
      </c>
      <c r="H266" t="s">
        <v>1174</v>
      </c>
      <c r="I266">
        <v>2008</v>
      </c>
      <c r="J266">
        <v>229.60376173770308</v>
      </c>
      <c r="K266">
        <v>43.069491459320759</v>
      </c>
      <c r="L266">
        <v>4.0510155569420732E-2</v>
      </c>
      <c r="M266">
        <v>20.999064817342664</v>
      </c>
      <c r="N266">
        <v>1.1400872002835902</v>
      </c>
      <c r="O266">
        <v>294.85291537021948</v>
      </c>
      <c r="P266">
        <v>240.53739132962264</v>
      </c>
      <c r="Q266">
        <v>313.60424856008854</v>
      </c>
      <c r="R266">
        <v>7.0144219378180939</v>
      </c>
      <c r="S266">
        <v>561.15606182752924</v>
      </c>
      <c r="T266">
        <v>152.99221995511164</v>
      </c>
      <c r="U266">
        <v>141.1093451879064</v>
      </c>
      <c r="V266">
        <v>109.95106126619257</v>
      </c>
      <c r="W266">
        <v>0.63983708358200497</v>
      </c>
      <c r="X266">
        <v>1.8806542943345501</v>
      </c>
      <c r="Y266">
        <v>406.5731177871271</v>
      </c>
      <c r="Z266">
        <v>2.0730631349797406</v>
      </c>
      <c r="AA266">
        <v>1264.6551581198555</v>
      </c>
      <c r="AB266">
        <v>231.79299999999992</v>
      </c>
      <c r="AC266">
        <v>5.4559678597708121</v>
      </c>
    </row>
    <row r="267" spans="4:29">
      <c r="D267" t="s">
        <v>661</v>
      </c>
      <c r="E267" t="s">
        <v>122</v>
      </c>
      <c r="F267" t="s">
        <v>642</v>
      </c>
      <c r="G267" t="s">
        <v>642</v>
      </c>
      <c r="H267" t="s">
        <v>1174</v>
      </c>
      <c r="I267">
        <v>2009</v>
      </c>
      <c r="J267">
        <v>203.32306381958372</v>
      </c>
      <c r="K267">
        <v>40.225157971176621</v>
      </c>
      <c r="L267">
        <v>5.1036612176373751E-2</v>
      </c>
      <c r="M267">
        <v>15.572188803353061</v>
      </c>
      <c r="N267">
        <v>1.1790442693590966</v>
      </c>
      <c r="O267">
        <v>260.35049147564888</v>
      </c>
      <c r="P267">
        <v>213.88333966923688</v>
      </c>
      <c r="Q267">
        <v>282.53030412518979</v>
      </c>
      <c r="R267">
        <v>6.25141415127601</v>
      </c>
      <c r="S267">
        <v>502.6650579457027</v>
      </c>
      <c r="T267">
        <v>156.33326337901264</v>
      </c>
      <c r="U267">
        <v>139.38024699985448</v>
      </c>
      <c r="V267">
        <v>106.42257455464113</v>
      </c>
      <c r="W267">
        <v>0.64506264070861097</v>
      </c>
      <c r="X267">
        <v>1.79869015696052</v>
      </c>
      <c r="Y267">
        <v>404.57983773117735</v>
      </c>
      <c r="Z267">
        <v>2.1528243855018454</v>
      </c>
      <c r="AA267">
        <v>1169.7482115380308</v>
      </c>
      <c r="AB267">
        <v>234.12700000000015</v>
      </c>
      <c r="AC267">
        <v>4.9962123614022733</v>
      </c>
    </row>
    <row r="268" spans="4:29">
      <c r="D268" t="s">
        <v>661</v>
      </c>
      <c r="E268" t="s">
        <v>122</v>
      </c>
      <c r="F268" t="s">
        <v>642</v>
      </c>
      <c r="G268" t="s">
        <v>642</v>
      </c>
      <c r="H268" t="s">
        <v>1174</v>
      </c>
      <c r="I268">
        <v>2010</v>
      </c>
      <c r="J268">
        <v>242.50060109230245</v>
      </c>
      <c r="K268">
        <v>48.501562965533353</v>
      </c>
      <c r="L268">
        <v>5.8548825280416772E-2</v>
      </c>
      <c r="M268">
        <v>16.914111502350799</v>
      </c>
      <c r="N268">
        <v>1.1766558428481388</v>
      </c>
      <c r="O268">
        <v>309.15148022831517</v>
      </c>
      <c r="P268">
        <v>221.24681460245949</v>
      </c>
      <c r="Q268">
        <v>315.47045896057983</v>
      </c>
      <c r="R268">
        <v>6.5486139502658745</v>
      </c>
      <c r="S268">
        <v>543.26588751330519</v>
      </c>
      <c r="T268">
        <v>155.90569752786877</v>
      </c>
      <c r="U268">
        <v>128.9218738160078</v>
      </c>
      <c r="V268">
        <v>103.95553864606433</v>
      </c>
      <c r="W268">
        <v>0.64955870676079808</v>
      </c>
      <c r="X268">
        <v>1.7863443613401901</v>
      </c>
      <c r="Y268">
        <v>391.21901305804187</v>
      </c>
      <c r="Z268">
        <v>2.0307162866877553</v>
      </c>
      <c r="AA268">
        <v>1245.6670970863502</v>
      </c>
      <c r="AB268">
        <v>236.23400000000012</v>
      </c>
      <c r="AC268">
        <v>5.2730220759346649</v>
      </c>
    </row>
    <row r="269" spans="4:29">
      <c r="D269" t="s">
        <v>661</v>
      </c>
      <c r="E269" t="s">
        <v>122</v>
      </c>
      <c r="F269" t="s">
        <v>642</v>
      </c>
      <c r="G269" t="s">
        <v>642</v>
      </c>
      <c r="H269" t="s">
        <v>1174</v>
      </c>
      <c r="I269">
        <v>2011</v>
      </c>
      <c r="J269">
        <v>197.27602620119552</v>
      </c>
      <c r="K269">
        <v>39.886963653811861</v>
      </c>
      <c r="L269">
        <v>5.9922415292551358E-2</v>
      </c>
      <c r="M269">
        <v>13.208497313243173</v>
      </c>
      <c r="N269">
        <v>1.2077311099683781</v>
      </c>
      <c r="O269">
        <v>251.63914069351148</v>
      </c>
      <c r="P269">
        <v>209.35183425908039</v>
      </c>
      <c r="Q269">
        <v>254.40751906207566</v>
      </c>
      <c r="R269">
        <v>6.2795563119199702</v>
      </c>
      <c r="S269">
        <v>470.038909633076</v>
      </c>
      <c r="T269">
        <v>154.48390841482581</v>
      </c>
      <c r="U269">
        <v>138.24521587192686</v>
      </c>
      <c r="V269">
        <v>101.86122359812977</v>
      </c>
      <c r="W269">
        <v>0.63752735791128001</v>
      </c>
      <c r="X269">
        <v>1.7068601158635299</v>
      </c>
      <c r="Y269">
        <v>396.93473535865724</v>
      </c>
      <c r="Z269">
        <v>1.8947548957876275</v>
      </c>
      <c r="AA269">
        <v>1120.5075405810321</v>
      </c>
      <c r="AB269">
        <v>237.92699999999991</v>
      </c>
      <c r="AC269">
        <v>4.7094593744343118</v>
      </c>
    </row>
    <row r="270" spans="4:29">
      <c r="D270" t="s">
        <v>661</v>
      </c>
      <c r="E270" t="s">
        <v>122</v>
      </c>
      <c r="F270" t="s">
        <v>642</v>
      </c>
      <c r="G270" t="s">
        <v>642</v>
      </c>
      <c r="H270" t="s">
        <v>1174</v>
      </c>
      <c r="I270">
        <v>2012</v>
      </c>
      <c r="J270">
        <v>211.53479236168801</v>
      </c>
      <c r="K270">
        <v>46.962570534365526</v>
      </c>
      <c r="L270">
        <v>4.6467264134985142E-2</v>
      </c>
      <c r="M270">
        <v>14.863856500747598</v>
      </c>
      <c r="N270">
        <v>1.1788247024037346</v>
      </c>
      <c r="O270">
        <v>274.58651136333987</v>
      </c>
      <c r="P270">
        <v>220.93136107847431</v>
      </c>
      <c r="Q270">
        <v>281.74922043840019</v>
      </c>
      <c r="R270">
        <v>6.0168627321293311</v>
      </c>
      <c r="S270">
        <v>508.69744424900381</v>
      </c>
      <c r="T270">
        <v>156.51123420962173</v>
      </c>
      <c r="U270">
        <v>129.5025907653303</v>
      </c>
      <c r="V270">
        <v>100.39354668747492</v>
      </c>
      <c r="W270">
        <v>0.64049275246086901</v>
      </c>
      <c r="X270">
        <v>1.6656218193743</v>
      </c>
      <c r="Y270">
        <v>388.71348623426212</v>
      </c>
      <c r="Z270">
        <v>1.713357531169329</v>
      </c>
      <c r="AA270">
        <v>1173.7107993777752</v>
      </c>
      <c r="AB270">
        <v>239.73300000000012</v>
      </c>
      <c r="AC270">
        <v>4.895908362126927</v>
      </c>
    </row>
    <row r="271" spans="4:29">
      <c r="D271" t="s">
        <v>661</v>
      </c>
      <c r="E271" t="s">
        <v>122</v>
      </c>
      <c r="F271" t="s">
        <v>642</v>
      </c>
      <c r="G271" t="s">
        <v>642</v>
      </c>
      <c r="H271" t="s">
        <v>1174</v>
      </c>
      <c r="I271">
        <v>2013</v>
      </c>
      <c r="J271">
        <v>201.1635717008337</v>
      </c>
      <c r="K271">
        <v>47.593986107417457</v>
      </c>
      <c r="L271">
        <v>0.18475684291366795</v>
      </c>
      <c r="M271">
        <v>12.044355209651572</v>
      </c>
      <c r="N271">
        <v>1.1944363180354407</v>
      </c>
      <c r="O271">
        <v>262.18110617885185</v>
      </c>
      <c r="P271">
        <v>203.5321715474079</v>
      </c>
      <c r="Q271">
        <v>286.22666437289485</v>
      </c>
      <c r="R271">
        <v>6.8485285372192255</v>
      </c>
      <c r="S271">
        <v>496.60736445752201</v>
      </c>
      <c r="T271">
        <v>153.86888919536065</v>
      </c>
      <c r="U271">
        <v>136.81284998513263</v>
      </c>
      <c r="V271">
        <v>98.417152173788395</v>
      </c>
      <c r="W271">
        <v>0.63546603065556306</v>
      </c>
      <c r="X271">
        <v>1.7290737210884299</v>
      </c>
      <c r="Y271">
        <v>391.46343110602567</v>
      </c>
      <c r="Z271">
        <v>1.6651711656375667</v>
      </c>
      <c r="AA271">
        <v>1151.917072908037</v>
      </c>
      <c r="AB271">
        <v>242.07999999999996</v>
      </c>
      <c r="AC271">
        <v>4.7584148748679658</v>
      </c>
    </row>
    <row r="272" spans="4:29">
      <c r="D272" t="s">
        <v>661</v>
      </c>
      <c r="E272" t="s">
        <v>122</v>
      </c>
      <c r="F272" t="s">
        <v>642</v>
      </c>
      <c r="G272" t="s">
        <v>642</v>
      </c>
      <c r="H272" t="s">
        <v>1174</v>
      </c>
      <c r="I272">
        <v>2014</v>
      </c>
      <c r="J272">
        <v>164.93023717464771</v>
      </c>
      <c r="K272">
        <v>38.545904254522569</v>
      </c>
      <c r="L272">
        <v>0.33812373464635104</v>
      </c>
      <c r="M272">
        <v>13.254059835198362</v>
      </c>
      <c r="N272">
        <v>1.1201909269911181</v>
      </c>
      <c r="O272">
        <v>218.18851592600615</v>
      </c>
      <c r="P272">
        <v>170.05111358595667</v>
      </c>
      <c r="Q272">
        <v>235.8453159145796</v>
      </c>
      <c r="R272">
        <v>6.563188601375292</v>
      </c>
      <c r="S272">
        <v>412.45961810191159</v>
      </c>
      <c r="T272">
        <v>153.98544674413372</v>
      </c>
      <c r="U272">
        <v>141.31087242839641</v>
      </c>
      <c r="V272">
        <v>100.79452876721734</v>
      </c>
      <c r="W272">
        <v>0.64933245632437497</v>
      </c>
      <c r="X272">
        <v>1.70379404860005</v>
      </c>
      <c r="Y272">
        <v>398.44397444467194</v>
      </c>
      <c r="Z272">
        <v>1.4467711998651009</v>
      </c>
      <c r="AA272">
        <v>1030.5388796724544</v>
      </c>
      <c r="AB272">
        <v>245.9740000000001</v>
      </c>
      <c r="AC272">
        <v>4.1896252436129586</v>
      </c>
    </row>
    <row r="273" spans="4:29">
      <c r="D273" t="s">
        <v>661</v>
      </c>
      <c r="E273" t="s">
        <v>122</v>
      </c>
      <c r="F273" t="s">
        <v>642</v>
      </c>
      <c r="G273" t="s">
        <v>642</v>
      </c>
      <c r="H273" t="s">
        <v>1174</v>
      </c>
      <c r="I273">
        <v>2015</v>
      </c>
      <c r="J273">
        <v>138.42124492361287</v>
      </c>
      <c r="K273">
        <v>42.052568371165229</v>
      </c>
      <c r="L273">
        <v>0.36279039937171503</v>
      </c>
      <c r="M273">
        <v>13.556118154107544</v>
      </c>
      <c r="N273">
        <v>1.1506319361186144</v>
      </c>
      <c r="O273">
        <v>195.54335378437594</v>
      </c>
      <c r="P273">
        <v>143.12180573376628</v>
      </c>
      <c r="Q273">
        <v>251.16059053065214</v>
      </c>
      <c r="R273">
        <v>6.4962404843298405</v>
      </c>
      <c r="S273">
        <v>400.77863674874828</v>
      </c>
      <c r="T273">
        <v>153.80797764816981</v>
      </c>
      <c r="U273">
        <v>156.07520092619023</v>
      </c>
      <c r="V273">
        <v>99.276799985085944</v>
      </c>
      <c r="W273">
        <v>0.63485298902790099</v>
      </c>
      <c r="X273">
        <v>1.67171998002446</v>
      </c>
      <c r="Y273">
        <v>411.46655152849837</v>
      </c>
      <c r="Z273">
        <v>1.4122677153416017</v>
      </c>
      <c r="AA273">
        <v>1009.2008097769643</v>
      </c>
      <c r="AB273">
        <v>249.08500000000001</v>
      </c>
      <c r="AC273">
        <v>4.0516322130074647</v>
      </c>
    </row>
    <row r="274" spans="4:29">
      <c r="D274" t="s">
        <v>661</v>
      </c>
      <c r="E274" t="s">
        <v>122</v>
      </c>
      <c r="F274" t="s">
        <v>643</v>
      </c>
      <c r="G274" t="s">
        <v>643</v>
      </c>
      <c r="H274" t="s">
        <v>1175</v>
      </c>
      <c r="I274">
        <v>2005</v>
      </c>
      <c r="J274">
        <v>689.36282841191735</v>
      </c>
      <c r="K274">
        <v>319.15793336910781</v>
      </c>
      <c r="L274">
        <v>14.686672343012852</v>
      </c>
      <c r="M274">
        <v>38.20029826597446</v>
      </c>
      <c r="N274">
        <v>1.2464026418541168</v>
      </c>
      <c r="O274">
        <v>1062.6541350318666</v>
      </c>
      <c r="P274">
        <v>242.85886910002685</v>
      </c>
      <c r="Q274">
        <v>337.35026409686225</v>
      </c>
      <c r="R274">
        <v>5.3968227803704147</v>
      </c>
      <c r="S274">
        <v>585.60595597725944</v>
      </c>
      <c r="T274">
        <v>234.75443769805125</v>
      </c>
      <c r="U274">
        <v>121.94865607917799</v>
      </c>
      <c r="V274">
        <v>225.25019947873687</v>
      </c>
      <c r="W274">
        <v>7.4071676574741092</v>
      </c>
      <c r="X274">
        <v>86.349808792432157</v>
      </c>
      <c r="Y274">
        <v>675.71026970587241</v>
      </c>
      <c r="Z274">
        <v>2.7473231914772116</v>
      </c>
      <c r="AA274">
        <v>2326.7176839064759</v>
      </c>
      <c r="AB274">
        <v>251.43000000000012</v>
      </c>
      <c r="AC274">
        <v>9.253938209070018</v>
      </c>
    </row>
    <row r="275" spans="4:29">
      <c r="D275" t="s">
        <v>661</v>
      </c>
      <c r="E275" t="s">
        <v>122</v>
      </c>
      <c r="F275" t="s">
        <v>643</v>
      </c>
      <c r="G275" t="s">
        <v>643</v>
      </c>
      <c r="H275" t="s">
        <v>1175</v>
      </c>
      <c r="I275">
        <v>2006</v>
      </c>
      <c r="J275">
        <v>732.28965559981316</v>
      </c>
      <c r="K275">
        <v>288.92641168047004</v>
      </c>
      <c r="L275">
        <v>11.691944722165733</v>
      </c>
      <c r="M275">
        <v>37.677916817242036</v>
      </c>
      <c r="N275">
        <v>1.1843885173303532</v>
      </c>
      <c r="O275">
        <v>1071.7703173370212</v>
      </c>
      <c r="P275">
        <v>254.09878060919883</v>
      </c>
      <c r="Q275">
        <v>327.43899681547185</v>
      </c>
      <c r="R275">
        <v>4.9484323556267009</v>
      </c>
      <c r="S275">
        <v>586.48620978029737</v>
      </c>
      <c r="T275">
        <v>224.81222178785023</v>
      </c>
      <c r="U275">
        <v>121.3567907786795</v>
      </c>
      <c r="V275">
        <v>219.17840771286097</v>
      </c>
      <c r="W275">
        <v>7.2583477743582394</v>
      </c>
      <c r="X275">
        <v>87.887804281341872</v>
      </c>
      <c r="Y275">
        <v>660.49357233509079</v>
      </c>
      <c r="Z275">
        <v>2.4390733007463115</v>
      </c>
      <c r="AA275">
        <v>2321.1891727531556</v>
      </c>
      <c r="AB275">
        <v>254.38699999999989</v>
      </c>
      <c r="AC275">
        <v>9.1246375512630618</v>
      </c>
    </row>
    <row r="276" spans="4:29">
      <c r="D276" t="s">
        <v>661</v>
      </c>
      <c r="E276" t="s">
        <v>122</v>
      </c>
      <c r="F276" t="s">
        <v>643</v>
      </c>
      <c r="G276" t="s">
        <v>643</v>
      </c>
      <c r="H276" t="s">
        <v>1175</v>
      </c>
      <c r="I276">
        <v>2007</v>
      </c>
      <c r="J276">
        <v>677.41640667187664</v>
      </c>
      <c r="K276">
        <v>263.42670802964068</v>
      </c>
      <c r="L276">
        <v>11.130523593753834</v>
      </c>
      <c r="M276">
        <v>37.358735347729819</v>
      </c>
      <c r="N276">
        <v>1.1262102785013282</v>
      </c>
      <c r="O276">
        <v>990.4585839215024</v>
      </c>
      <c r="P276">
        <v>253.48607864731463</v>
      </c>
      <c r="Q276">
        <v>312.4042484662408</v>
      </c>
      <c r="R276">
        <v>4.7297171754185712</v>
      </c>
      <c r="S276">
        <v>570.6200442889741</v>
      </c>
      <c r="T276">
        <v>209.67138162691964</v>
      </c>
      <c r="U276">
        <v>126.01911238521848</v>
      </c>
      <c r="V276">
        <v>221.51475983407522</v>
      </c>
      <c r="W276">
        <v>8.2464470126082308</v>
      </c>
      <c r="X276">
        <v>89.746275330265931</v>
      </c>
      <c r="Y276">
        <v>655.1979761890874</v>
      </c>
      <c r="Z276">
        <v>2.2317920581744546</v>
      </c>
      <c r="AA276">
        <v>2218.5083964577389</v>
      </c>
      <c r="AB276">
        <v>256.98099999999982</v>
      </c>
      <c r="AC276">
        <v>8.6329666257728803</v>
      </c>
    </row>
    <row r="277" spans="4:29">
      <c r="D277" t="s">
        <v>661</v>
      </c>
      <c r="E277" t="s">
        <v>122</v>
      </c>
      <c r="F277" t="s">
        <v>643</v>
      </c>
      <c r="G277" t="s">
        <v>643</v>
      </c>
      <c r="H277" t="s">
        <v>1175</v>
      </c>
      <c r="I277">
        <v>2008</v>
      </c>
      <c r="J277">
        <v>754.74274334430015</v>
      </c>
      <c r="K277">
        <v>307.92816868494492</v>
      </c>
      <c r="L277">
        <v>15.689084285265775</v>
      </c>
      <c r="M277">
        <v>40.131911966358885</v>
      </c>
      <c r="N277">
        <v>1.1218565420282487</v>
      </c>
      <c r="O277">
        <v>1119.6137648228982</v>
      </c>
      <c r="P277">
        <v>245.1171315374568</v>
      </c>
      <c r="Q277">
        <v>326.90462471629661</v>
      </c>
      <c r="R277">
        <v>5.0228260871727564</v>
      </c>
      <c r="S277">
        <v>577.04458234092624</v>
      </c>
      <c r="T277">
        <v>201.24702124110357</v>
      </c>
      <c r="U277">
        <v>126.31438046317444</v>
      </c>
      <c r="V277">
        <v>211.84814779848651</v>
      </c>
      <c r="W277">
        <v>8.2340523224525892</v>
      </c>
      <c r="X277">
        <v>87.715638729515121</v>
      </c>
      <c r="Y277">
        <v>635.35924055473231</v>
      </c>
      <c r="Z277">
        <v>1.9846233181975805</v>
      </c>
      <c r="AA277">
        <v>2334.002211036754</v>
      </c>
      <c r="AB277">
        <v>261.05100000000016</v>
      </c>
      <c r="AC277">
        <v>8.940790156087326</v>
      </c>
    </row>
    <row r="278" spans="4:29">
      <c r="D278" t="s">
        <v>661</v>
      </c>
      <c r="E278" t="s">
        <v>122</v>
      </c>
      <c r="F278" t="s">
        <v>643</v>
      </c>
      <c r="G278" t="s">
        <v>643</v>
      </c>
      <c r="H278" t="s">
        <v>1175</v>
      </c>
      <c r="I278">
        <v>2009</v>
      </c>
      <c r="J278">
        <v>602.93515095883413</v>
      </c>
      <c r="K278">
        <v>278.38911331254678</v>
      </c>
      <c r="L278">
        <v>13.68916713088494</v>
      </c>
      <c r="M278">
        <v>30.637537276293614</v>
      </c>
      <c r="N278">
        <v>1.1354028995564127</v>
      </c>
      <c r="O278">
        <v>926.7863715781159</v>
      </c>
      <c r="P278">
        <v>220.35638401883796</v>
      </c>
      <c r="Q278">
        <v>295.71096420029465</v>
      </c>
      <c r="R278">
        <v>4.627519238031196</v>
      </c>
      <c r="S278">
        <v>520.6948674571637</v>
      </c>
      <c r="T278">
        <v>202.07783186097492</v>
      </c>
      <c r="U278">
        <v>123.82434317411995</v>
      </c>
      <c r="V278">
        <v>206.32883595016375</v>
      </c>
      <c r="W278">
        <v>8.2465874396593897</v>
      </c>
      <c r="X278">
        <v>82.74936199878502</v>
      </c>
      <c r="Y278">
        <v>623.22696042370296</v>
      </c>
      <c r="Z278">
        <v>1.9641163676869946</v>
      </c>
      <c r="AA278">
        <v>2072.67231582667</v>
      </c>
      <c r="AB278">
        <v>265.66500000000002</v>
      </c>
      <c r="AC278">
        <v>7.8018267962534384</v>
      </c>
    </row>
    <row r="279" spans="4:29">
      <c r="D279" t="s">
        <v>661</v>
      </c>
      <c r="E279" t="s">
        <v>122</v>
      </c>
      <c r="F279" t="s">
        <v>643</v>
      </c>
      <c r="G279" t="s">
        <v>643</v>
      </c>
      <c r="H279" t="s">
        <v>1175</v>
      </c>
      <c r="I279">
        <v>2010</v>
      </c>
      <c r="J279">
        <v>584.55232997314681</v>
      </c>
      <c r="K279">
        <v>282.55031223327057</v>
      </c>
      <c r="L279">
        <v>10.18085426162428</v>
      </c>
      <c r="M279">
        <v>30.997427489453045</v>
      </c>
      <c r="N279">
        <v>1.1433037936672747</v>
      </c>
      <c r="O279">
        <v>909.42422775116199</v>
      </c>
      <c r="P279">
        <v>227.1368536007981</v>
      </c>
      <c r="Q279">
        <v>328.93876244674198</v>
      </c>
      <c r="R279">
        <v>4.8304532025959457</v>
      </c>
      <c r="S279">
        <v>560.90606925013594</v>
      </c>
      <c r="T279">
        <v>201.58580600050738</v>
      </c>
      <c r="U279">
        <v>119.98030126257663</v>
      </c>
      <c r="V279">
        <v>200.83023095849393</v>
      </c>
      <c r="W279">
        <v>8.2591525712611489</v>
      </c>
      <c r="X279">
        <v>80.108597577181442</v>
      </c>
      <c r="Y279">
        <v>610.76408837002043</v>
      </c>
      <c r="Z279">
        <v>1.7756647709454303</v>
      </c>
      <c r="AA279">
        <v>2082.8700501422636</v>
      </c>
      <c r="AB279">
        <v>269.46500000000009</v>
      </c>
      <c r="AC279">
        <v>7.7296496767382141</v>
      </c>
    </row>
    <row r="280" spans="4:29">
      <c r="D280" t="s">
        <v>661</v>
      </c>
      <c r="E280" t="s">
        <v>122</v>
      </c>
      <c r="F280" t="s">
        <v>643</v>
      </c>
      <c r="G280" t="s">
        <v>643</v>
      </c>
      <c r="H280" t="s">
        <v>1175</v>
      </c>
      <c r="I280">
        <v>2011</v>
      </c>
      <c r="J280">
        <v>517.16734122484183</v>
      </c>
      <c r="K280">
        <v>178.08921843771702</v>
      </c>
      <c r="L280">
        <v>9.3106298494837567</v>
      </c>
      <c r="M280">
        <v>27.029427869837971</v>
      </c>
      <c r="N280">
        <v>1.159588326976615</v>
      </c>
      <c r="O280">
        <v>732.75620570885724</v>
      </c>
      <c r="P280">
        <v>217.81361914709575</v>
      </c>
      <c r="Q280">
        <v>267.77238257416991</v>
      </c>
      <c r="R280">
        <v>4.6277829318528214</v>
      </c>
      <c r="S280">
        <v>490.21378465311852</v>
      </c>
      <c r="T280">
        <v>190.81370170647531</v>
      </c>
      <c r="U280">
        <v>110.5336308058862</v>
      </c>
      <c r="V280">
        <v>197.42999200376013</v>
      </c>
      <c r="W280">
        <v>8.1809677639241301</v>
      </c>
      <c r="X280">
        <v>82.830989467104658</v>
      </c>
      <c r="Y280">
        <v>589.78928174715043</v>
      </c>
      <c r="Z280">
        <v>1.5495591899150585</v>
      </c>
      <c r="AA280">
        <v>1814.3088312990412</v>
      </c>
      <c r="AB280">
        <v>275.49899999999985</v>
      </c>
      <c r="AC280">
        <v>6.5855369032157727</v>
      </c>
    </row>
    <row r="281" spans="4:29">
      <c r="D281" t="s">
        <v>661</v>
      </c>
      <c r="E281" t="s">
        <v>122</v>
      </c>
      <c r="F281" t="s">
        <v>643</v>
      </c>
      <c r="G281" t="s">
        <v>643</v>
      </c>
      <c r="H281" t="s">
        <v>1175</v>
      </c>
      <c r="I281">
        <v>2012</v>
      </c>
      <c r="J281">
        <v>691.42735381760963</v>
      </c>
      <c r="K281">
        <v>198.9590921491932</v>
      </c>
      <c r="L281">
        <v>9.8750869247224884</v>
      </c>
      <c r="M281">
        <v>29.12072129425886</v>
      </c>
      <c r="N281">
        <v>1.1764730501968403</v>
      </c>
      <c r="O281">
        <v>930.558727235981</v>
      </c>
      <c r="P281">
        <v>231.63649520424167</v>
      </c>
      <c r="Q281">
        <v>295.99316212675404</v>
      </c>
      <c r="R281">
        <v>4.4893516866611067</v>
      </c>
      <c r="S281">
        <v>532.11900901765682</v>
      </c>
      <c r="T281">
        <v>190.79335508736079</v>
      </c>
      <c r="U281">
        <v>122.09905874367695</v>
      </c>
      <c r="V281">
        <v>195.21087537461688</v>
      </c>
      <c r="W281">
        <v>8.3178555331381698</v>
      </c>
      <c r="X281">
        <v>82.62025084217602</v>
      </c>
      <c r="Y281">
        <v>599.04139558096881</v>
      </c>
      <c r="Z281">
        <v>1.3922013390024075</v>
      </c>
      <c r="AA281">
        <v>2063.1113331736092</v>
      </c>
      <c r="AB281">
        <v>281.75600000000009</v>
      </c>
      <c r="AC281">
        <v>7.3223332712474924</v>
      </c>
    </row>
    <row r="282" spans="4:29">
      <c r="D282" t="s">
        <v>661</v>
      </c>
      <c r="E282" t="s">
        <v>122</v>
      </c>
      <c r="F282" t="s">
        <v>643</v>
      </c>
      <c r="G282" t="s">
        <v>643</v>
      </c>
      <c r="H282" t="s">
        <v>1175</v>
      </c>
      <c r="I282">
        <v>2013</v>
      </c>
      <c r="J282">
        <v>639.43099806411988</v>
      </c>
      <c r="K282">
        <v>200.87945333133851</v>
      </c>
      <c r="L282">
        <v>16.127667681890273</v>
      </c>
      <c r="M282">
        <v>23.336875728608028</v>
      </c>
      <c r="N282">
        <v>1.1813681452592661</v>
      </c>
      <c r="O282">
        <v>880.95636295121585</v>
      </c>
      <c r="P282">
        <v>213.61679999097237</v>
      </c>
      <c r="Q282">
        <v>305.28170524672475</v>
      </c>
      <c r="R282">
        <v>4.9057348624856933</v>
      </c>
      <c r="S282">
        <v>523.80424010018282</v>
      </c>
      <c r="T282">
        <v>192.67743404459415</v>
      </c>
      <c r="U282">
        <v>123.13258443255398</v>
      </c>
      <c r="V282">
        <v>191.21133715874618</v>
      </c>
      <c r="W282">
        <v>8.3791397104593308</v>
      </c>
      <c r="X282">
        <v>85.30348049921578</v>
      </c>
      <c r="Y282">
        <v>600.7039758455694</v>
      </c>
      <c r="Z282">
        <v>1.3083763239584709</v>
      </c>
      <c r="AA282">
        <v>2006.7729552209266</v>
      </c>
      <c r="AB282">
        <v>286.80800000000005</v>
      </c>
      <c r="AC282">
        <v>6.9969211291907003</v>
      </c>
    </row>
    <row r="283" spans="4:29">
      <c r="D283" t="s">
        <v>661</v>
      </c>
      <c r="E283" t="s">
        <v>122</v>
      </c>
      <c r="F283" t="s">
        <v>643</v>
      </c>
      <c r="G283" t="s">
        <v>643</v>
      </c>
      <c r="H283" t="s">
        <v>1175</v>
      </c>
      <c r="I283">
        <v>2014</v>
      </c>
      <c r="J283">
        <v>479.37607652812534</v>
      </c>
      <c r="K283">
        <v>144.66214584762602</v>
      </c>
      <c r="L283">
        <v>17.557606838088375</v>
      </c>
      <c r="M283">
        <v>25.689189606307014</v>
      </c>
      <c r="N283">
        <v>1.1326238694312576</v>
      </c>
      <c r="O283">
        <v>668.41764268957809</v>
      </c>
      <c r="P283">
        <v>177.88907521547196</v>
      </c>
      <c r="Q283">
        <v>253.2705587449019</v>
      </c>
      <c r="R283">
        <v>4.7652714019953128</v>
      </c>
      <c r="S283">
        <v>435.9249053623692</v>
      </c>
      <c r="T283">
        <v>181.93053919428777</v>
      </c>
      <c r="U283">
        <v>129.03444540004412</v>
      </c>
      <c r="V283">
        <v>195.50429891042478</v>
      </c>
      <c r="W283">
        <v>8.5124029499290099</v>
      </c>
      <c r="X283">
        <v>88.714260722740249</v>
      </c>
      <c r="Y283">
        <v>603.69594717742598</v>
      </c>
      <c r="Z283">
        <v>1.0159696683647472</v>
      </c>
      <c r="AA283">
        <v>1709.0544648977379</v>
      </c>
      <c r="AB283">
        <v>292.68999999999983</v>
      </c>
      <c r="AC283">
        <v>5.8391283094664628</v>
      </c>
    </row>
    <row r="284" spans="4:29" s="462" customFormat="1">
      <c r="D284" t="s">
        <v>661</v>
      </c>
      <c r="E284" s="462" t="s">
        <v>122</v>
      </c>
      <c r="F284" s="462" t="s">
        <v>643</v>
      </c>
      <c r="G284" s="462" t="s">
        <v>643</v>
      </c>
      <c r="H284" s="462" t="s">
        <v>1175</v>
      </c>
      <c r="I284" s="462">
        <v>2015</v>
      </c>
      <c r="J284" s="462">
        <v>319.35835337540402</v>
      </c>
      <c r="K284" s="462">
        <v>121.70569835123798</v>
      </c>
      <c r="L284" s="462">
        <v>16.564179014446498</v>
      </c>
      <c r="M284" s="462">
        <v>26.320717565785408</v>
      </c>
      <c r="N284" s="462">
        <v>1.1579315076593071</v>
      </c>
      <c r="O284" s="462">
        <v>485.10687981453322</v>
      </c>
      <c r="P284" s="462">
        <v>149.11876895768788</v>
      </c>
      <c r="Q284" s="462">
        <v>267.44993491838619</v>
      </c>
      <c r="R284" s="462">
        <v>4.7390929289727568</v>
      </c>
      <c r="S284" s="462">
        <v>421.30779680504685</v>
      </c>
      <c r="T284" s="462">
        <v>183.31310298599493</v>
      </c>
      <c r="U284" s="462">
        <v>120.30411064595913</v>
      </c>
      <c r="V284" s="462">
        <v>193.14698290450349</v>
      </c>
      <c r="W284" s="462">
        <v>8.0811608234118708</v>
      </c>
      <c r="X284" s="462">
        <v>93.52200672282045</v>
      </c>
      <c r="Y284" s="462">
        <v>598.36736408268996</v>
      </c>
      <c r="Z284" s="462">
        <v>0.94812085426695036</v>
      </c>
      <c r="AA284" s="462">
        <v>1505.7301615565368</v>
      </c>
      <c r="AB284" s="462">
        <v>297.7349999999999</v>
      </c>
      <c r="AC284" s="462">
        <v>5.0572830253632839</v>
      </c>
    </row>
    <row r="285" spans="4:29">
      <c r="D285" t="s">
        <v>661</v>
      </c>
      <c r="E285" t="s">
        <v>122</v>
      </c>
      <c r="F285" t="s">
        <v>644</v>
      </c>
      <c r="G285" t="s">
        <v>644</v>
      </c>
      <c r="H285" t="s">
        <v>1176</v>
      </c>
      <c r="I285">
        <v>2005</v>
      </c>
      <c r="J285">
        <v>491.5567938218835</v>
      </c>
      <c r="K285">
        <v>162.63276932513068</v>
      </c>
      <c r="L285">
        <v>3.165010194557226</v>
      </c>
      <c r="M285">
        <v>20.287592727105618</v>
      </c>
      <c r="N285">
        <v>0.34395637813552693</v>
      </c>
      <c r="O285">
        <v>677.98612244681249</v>
      </c>
      <c r="P285">
        <v>209.58816869266013</v>
      </c>
      <c r="Q285">
        <v>276.63288238073494</v>
      </c>
      <c r="R285">
        <v>4.5047590006559233</v>
      </c>
      <c r="S285">
        <v>490.72581007405097</v>
      </c>
      <c r="T285">
        <v>225.74125328580124</v>
      </c>
      <c r="U285">
        <v>82.254823627826909</v>
      </c>
      <c r="V285">
        <v>127.35745083962527</v>
      </c>
      <c r="W285">
        <v>0.66126435238294501</v>
      </c>
      <c r="X285">
        <v>2.1201145912703101</v>
      </c>
      <c r="Y285">
        <v>438.13490669690663</v>
      </c>
      <c r="Z285">
        <v>1.7769707214012085</v>
      </c>
      <c r="AA285">
        <v>1608.6238099391717</v>
      </c>
      <c r="AB285">
        <v>223.7759999999999</v>
      </c>
      <c r="AC285">
        <v>7.1885448392105156</v>
      </c>
    </row>
    <row r="286" spans="4:29">
      <c r="D286" t="s">
        <v>661</v>
      </c>
      <c r="E286" t="s">
        <v>122</v>
      </c>
      <c r="F286" t="s">
        <v>644</v>
      </c>
      <c r="G286" t="s">
        <v>644</v>
      </c>
      <c r="H286" t="s">
        <v>1176</v>
      </c>
      <c r="I286">
        <v>2006</v>
      </c>
      <c r="J286">
        <v>539.72414723875738</v>
      </c>
      <c r="K286">
        <v>153.1459722745528</v>
      </c>
      <c r="L286">
        <v>5.2143986443296244</v>
      </c>
      <c r="M286">
        <v>19.73448680732999</v>
      </c>
      <c r="N286">
        <v>0.32772044744561157</v>
      </c>
      <c r="O286">
        <v>718.14672541241544</v>
      </c>
      <c r="P286">
        <v>220.32872392314741</v>
      </c>
      <c r="Q286">
        <v>266.81419286504035</v>
      </c>
      <c r="R286">
        <v>4.1328447832199311</v>
      </c>
      <c r="S286">
        <v>491.27576157140771</v>
      </c>
      <c r="T286">
        <v>221.64749576555005</v>
      </c>
      <c r="U286">
        <v>87.56480589610905</v>
      </c>
      <c r="V286">
        <v>122.16471624986215</v>
      </c>
      <c r="W286">
        <v>0.650769099247407</v>
      </c>
      <c r="X286">
        <v>2.1861704712090599</v>
      </c>
      <c r="Y286">
        <v>434.21395748197773</v>
      </c>
      <c r="Z286">
        <v>1.6525608226950792</v>
      </c>
      <c r="AA286">
        <v>1645.2890052884959</v>
      </c>
      <c r="AB286">
        <v>228.12600000000015</v>
      </c>
      <c r="AC286">
        <v>7.2121941615094061</v>
      </c>
    </row>
    <row r="287" spans="4:29">
      <c r="D287" t="s">
        <v>661</v>
      </c>
      <c r="E287" t="s">
        <v>122</v>
      </c>
      <c r="F287" t="s">
        <v>644</v>
      </c>
      <c r="G287" t="s">
        <v>644</v>
      </c>
      <c r="H287" t="s">
        <v>1176</v>
      </c>
      <c r="I287">
        <v>2007</v>
      </c>
      <c r="J287">
        <v>535.68126917494021</v>
      </c>
      <c r="K287">
        <v>138.97935574639402</v>
      </c>
      <c r="L287">
        <v>3.7314953484185098</v>
      </c>
      <c r="M287">
        <v>19.837637232376149</v>
      </c>
      <c r="N287">
        <v>0.31196074001543006</v>
      </c>
      <c r="O287">
        <v>698.54171824214438</v>
      </c>
      <c r="P287">
        <v>223.99729743336869</v>
      </c>
      <c r="Q287">
        <v>254.73408076139745</v>
      </c>
      <c r="R287">
        <v>3.8900425497073496</v>
      </c>
      <c r="S287">
        <v>482.62142074447348</v>
      </c>
      <c r="T287">
        <v>215.71187700348349</v>
      </c>
      <c r="U287">
        <v>77.191399418822499</v>
      </c>
      <c r="V287">
        <v>123.14200185021676</v>
      </c>
      <c r="W287">
        <v>0.640721928264393</v>
      </c>
      <c r="X287">
        <v>2.0319789950776301</v>
      </c>
      <c r="Y287">
        <v>418.71797919586476</v>
      </c>
      <c r="Z287">
        <v>1.5598498497387845</v>
      </c>
      <c r="AA287">
        <v>1601.4409680322217</v>
      </c>
      <c r="AB287">
        <v>233.45399999999995</v>
      </c>
      <c r="AC287">
        <v>6.8597709528738937</v>
      </c>
    </row>
    <row r="288" spans="4:29">
      <c r="D288" t="s">
        <v>661</v>
      </c>
      <c r="E288" t="s">
        <v>122</v>
      </c>
      <c r="F288" t="s">
        <v>644</v>
      </c>
      <c r="G288" t="s">
        <v>644</v>
      </c>
      <c r="H288" t="s">
        <v>1176</v>
      </c>
      <c r="I288">
        <v>2008</v>
      </c>
      <c r="J288">
        <v>492.6629085885881</v>
      </c>
      <c r="K288">
        <v>133.98861168774002</v>
      </c>
      <c r="L288">
        <v>3.332890646926673</v>
      </c>
      <c r="M288">
        <v>21.077740415096279</v>
      </c>
      <c r="N288">
        <v>0.31318082788265095</v>
      </c>
      <c r="O288">
        <v>651.37533216623376</v>
      </c>
      <c r="P288">
        <v>219.73651100028979</v>
      </c>
      <c r="Q288">
        <v>266.66723992179743</v>
      </c>
      <c r="R288">
        <v>4.1376484628783299</v>
      </c>
      <c r="S288">
        <v>490.54139938496553</v>
      </c>
      <c r="T288">
        <v>200.32232130395974</v>
      </c>
      <c r="U288">
        <v>76.984271176423306</v>
      </c>
      <c r="V288">
        <v>119.59263566806179</v>
      </c>
      <c r="W288">
        <v>0.62521856690094502</v>
      </c>
      <c r="X288">
        <v>2.1211483138854601</v>
      </c>
      <c r="Y288">
        <v>399.64559502923129</v>
      </c>
      <c r="Z288">
        <v>1.4524937343219075</v>
      </c>
      <c r="AA288">
        <v>1543.0148203147526</v>
      </c>
      <c r="AB288">
        <v>237.9070000000001</v>
      </c>
      <c r="AC288">
        <v>6.4857899108254564</v>
      </c>
    </row>
    <row r="289" spans="4:29">
      <c r="D289" t="s">
        <v>661</v>
      </c>
      <c r="E289" t="s">
        <v>122</v>
      </c>
      <c r="F289" t="s">
        <v>644</v>
      </c>
      <c r="G289" t="s">
        <v>644</v>
      </c>
      <c r="H289" t="s">
        <v>1176</v>
      </c>
      <c r="I289">
        <v>2009</v>
      </c>
      <c r="J289">
        <v>479.07319464749901</v>
      </c>
      <c r="K289">
        <v>100.0634250902112</v>
      </c>
      <c r="L289">
        <v>4.2535118837706181</v>
      </c>
      <c r="M289">
        <v>14.77706257070634</v>
      </c>
      <c r="N289">
        <v>0.3136009138017356</v>
      </c>
      <c r="O289">
        <v>598.48079510598893</v>
      </c>
      <c r="P289">
        <v>196.58826076480136</v>
      </c>
      <c r="Q289">
        <v>241.07496801940783</v>
      </c>
      <c r="R289">
        <v>3.7996792517920888</v>
      </c>
      <c r="S289">
        <v>441.46290803600129</v>
      </c>
      <c r="T289">
        <v>191.25471167625886</v>
      </c>
      <c r="U289">
        <v>74.637801317265172</v>
      </c>
      <c r="V289">
        <v>115.84889329911523</v>
      </c>
      <c r="W289">
        <v>0.62151056237282798</v>
      </c>
      <c r="X289">
        <v>1.9166170437566399</v>
      </c>
      <c r="Y289">
        <v>384.2795338987687</v>
      </c>
      <c r="Z289">
        <v>1.4289811896931368</v>
      </c>
      <c r="AA289">
        <v>1425.652218230452</v>
      </c>
      <c r="AB289">
        <v>243.36600000000001</v>
      </c>
      <c r="AC289">
        <v>5.8580583081878812</v>
      </c>
    </row>
    <row r="290" spans="4:29">
      <c r="D290" t="s">
        <v>661</v>
      </c>
      <c r="E290" t="s">
        <v>122</v>
      </c>
      <c r="F290" t="s">
        <v>644</v>
      </c>
      <c r="G290" t="s">
        <v>644</v>
      </c>
      <c r="H290" t="s">
        <v>1176</v>
      </c>
      <c r="I290">
        <v>2010</v>
      </c>
      <c r="J290">
        <v>514.48356589120635</v>
      </c>
      <c r="K290">
        <v>140.78222841714847</v>
      </c>
      <c r="L290">
        <v>6.8268827309852176</v>
      </c>
      <c r="M290">
        <v>15.432252981131281</v>
      </c>
      <c r="N290">
        <v>0.3158512742332813</v>
      </c>
      <c r="O290">
        <v>677.84078129470447</v>
      </c>
      <c r="P290">
        <v>204.07459294753033</v>
      </c>
      <c r="Q290">
        <v>267.97374933959719</v>
      </c>
      <c r="R290">
        <v>4.0097972437023603</v>
      </c>
      <c r="S290">
        <v>476.05813953082986</v>
      </c>
      <c r="T290">
        <v>187.86337777937871</v>
      </c>
      <c r="U290">
        <v>72.498487193534842</v>
      </c>
      <c r="V290">
        <v>113.1392840604781</v>
      </c>
      <c r="W290">
        <v>0.63046548347238296</v>
      </c>
      <c r="X290">
        <v>1.9102011285687099</v>
      </c>
      <c r="Y290">
        <v>376.04181564543279</v>
      </c>
      <c r="Z290">
        <v>1.3478176060491998</v>
      </c>
      <c r="AA290">
        <v>1531.2885540770162</v>
      </c>
      <c r="AB290">
        <v>249.2359999999999</v>
      </c>
      <c r="AC290">
        <v>6.1439300665915715</v>
      </c>
    </row>
    <row r="291" spans="4:29">
      <c r="D291" t="s">
        <v>661</v>
      </c>
      <c r="E291" t="s">
        <v>122</v>
      </c>
      <c r="F291" t="s">
        <v>644</v>
      </c>
      <c r="G291" t="s">
        <v>644</v>
      </c>
      <c r="H291" t="s">
        <v>1176</v>
      </c>
      <c r="I291">
        <v>2011</v>
      </c>
      <c r="J291">
        <v>490.28059806517564</v>
      </c>
      <c r="K291">
        <v>117.00017309980562</v>
      </c>
      <c r="L291">
        <v>12.162486184694176</v>
      </c>
      <c r="M291">
        <v>13.367479024674971</v>
      </c>
      <c r="N291">
        <v>0.32065084797510457</v>
      </c>
      <c r="O291">
        <v>633.13138722232554</v>
      </c>
      <c r="P291">
        <v>194.54952119931312</v>
      </c>
      <c r="Q291">
        <v>218.35325204121114</v>
      </c>
      <c r="R291">
        <v>3.7438839901125638</v>
      </c>
      <c r="S291">
        <v>416.64665723063683</v>
      </c>
      <c r="T291">
        <v>180.03929418621482</v>
      </c>
      <c r="U291">
        <v>73.813676787562528</v>
      </c>
      <c r="V291">
        <v>111.14439242036802</v>
      </c>
      <c r="W291">
        <v>0.62202995532703398</v>
      </c>
      <c r="X291">
        <v>1.8142081126461802</v>
      </c>
      <c r="Y291">
        <v>367.43360146211859</v>
      </c>
      <c r="Z291">
        <v>1.2363508918200754</v>
      </c>
      <c r="AA291">
        <v>1418.4479968069011</v>
      </c>
      <c r="AB291">
        <v>254.92699999999991</v>
      </c>
      <c r="AC291">
        <v>5.5641340336916123</v>
      </c>
    </row>
    <row r="292" spans="4:29">
      <c r="D292" t="s">
        <v>661</v>
      </c>
      <c r="E292" t="s">
        <v>122</v>
      </c>
      <c r="F292" t="s">
        <v>644</v>
      </c>
      <c r="G292" t="s">
        <v>644</v>
      </c>
      <c r="H292" t="s">
        <v>1176</v>
      </c>
      <c r="I292">
        <v>2012</v>
      </c>
      <c r="J292">
        <v>516.61473688567355</v>
      </c>
      <c r="K292">
        <v>129.06233560905852</v>
      </c>
      <c r="L292">
        <v>6.734644024093126</v>
      </c>
      <c r="M292">
        <v>14.923864365028638</v>
      </c>
      <c r="N292">
        <v>0.32591838193872485</v>
      </c>
      <c r="O292">
        <v>667.6614992657926</v>
      </c>
      <c r="P292">
        <v>207.27248835079297</v>
      </c>
      <c r="Q292">
        <v>239.75843488449925</v>
      </c>
      <c r="R292">
        <v>3.6288418083967287</v>
      </c>
      <c r="S292">
        <v>450.65976504368894</v>
      </c>
      <c r="T292">
        <v>181.02377130043763</v>
      </c>
      <c r="U292">
        <v>74.349413147320135</v>
      </c>
      <c r="V292">
        <v>109.89973722761141</v>
      </c>
      <c r="W292">
        <v>0.64836107253548303</v>
      </c>
      <c r="X292">
        <v>1.7638257827044699</v>
      </c>
      <c r="Y292">
        <v>367.68510853060911</v>
      </c>
      <c r="Z292">
        <v>1.0992551945900688</v>
      </c>
      <c r="AA292">
        <v>1487.1056280346809</v>
      </c>
      <c r="AB292">
        <v>259.05199999999991</v>
      </c>
      <c r="AC292">
        <v>5.7405680250863975</v>
      </c>
    </row>
    <row r="293" spans="4:29">
      <c r="D293" t="s">
        <v>661</v>
      </c>
      <c r="E293" t="s">
        <v>122</v>
      </c>
      <c r="F293" t="s">
        <v>644</v>
      </c>
      <c r="G293" t="s">
        <v>644</v>
      </c>
      <c r="H293" t="s">
        <v>1176</v>
      </c>
      <c r="I293">
        <v>2013</v>
      </c>
      <c r="J293">
        <v>476.44291464971332</v>
      </c>
      <c r="K293">
        <v>130.09299887343522</v>
      </c>
      <c r="L293">
        <v>6.0124960725896957</v>
      </c>
      <c r="M293">
        <v>11.803040083338969</v>
      </c>
      <c r="N293">
        <v>0.33009470747789377</v>
      </c>
      <c r="O293">
        <v>624.68154438655506</v>
      </c>
      <c r="P293">
        <v>189.27043994647468</v>
      </c>
      <c r="Q293">
        <v>247.60767567255667</v>
      </c>
      <c r="R293">
        <v>3.99600479287496</v>
      </c>
      <c r="S293">
        <v>440.87412041190629</v>
      </c>
      <c r="T293">
        <v>176.43979588343171</v>
      </c>
      <c r="U293">
        <v>75.833452788785138</v>
      </c>
      <c r="V293">
        <v>107.27239584943892</v>
      </c>
      <c r="W293">
        <v>0.63093143890886405</v>
      </c>
      <c r="X293">
        <v>1.7971663307501402</v>
      </c>
      <c r="Y293">
        <v>361.97374229131481</v>
      </c>
      <c r="Z293">
        <v>1.0879222700414346</v>
      </c>
      <c r="AA293">
        <v>1428.6173293598176</v>
      </c>
      <c r="AB293">
        <v>262.4070000000001</v>
      </c>
      <c r="AC293">
        <v>5.444280561722123</v>
      </c>
    </row>
    <row r="294" spans="4:29">
      <c r="D294" t="s">
        <v>661</v>
      </c>
      <c r="E294" t="s">
        <v>122</v>
      </c>
      <c r="F294" t="s">
        <v>644</v>
      </c>
      <c r="G294" t="s">
        <v>644</v>
      </c>
      <c r="H294" t="s">
        <v>1176</v>
      </c>
      <c r="I294">
        <v>2014</v>
      </c>
      <c r="J294">
        <v>413.64622815477685</v>
      </c>
      <c r="K294">
        <v>109.23468209366749</v>
      </c>
      <c r="L294">
        <v>8.1275600784834054</v>
      </c>
      <c r="M294">
        <v>13.006607182899469</v>
      </c>
      <c r="N294">
        <v>0.31329505978151484</v>
      </c>
      <c r="O294">
        <v>544.32837256960863</v>
      </c>
      <c r="P294">
        <v>158.15597641209794</v>
      </c>
      <c r="Q294">
        <v>205.02177573435787</v>
      </c>
      <c r="R294">
        <v>3.8496891530719619</v>
      </c>
      <c r="S294">
        <v>367.02744129952777</v>
      </c>
      <c r="T294">
        <v>172.94433604659164</v>
      </c>
      <c r="U294">
        <v>77.483287529826441</v>
      </c>
      <c r="V294">
        <v>108.77865319544793</v>
      </c>
      <c r="W294">
        <v>0.63498863272030703</v>
      </c>
      <c r="X294">
        <v>1.77856766163767</v>
      </c>
      <c r="Y294">
        <v>361.61983306622398</v>
      </c>
      <c r="Z294">
        <v>0.96757610421148965</v>
      </c>
      <c r="AA294">
        <v>1273.9432230395719</v>
      </c>
      <c r="AB294">
        <v>265.56800000000015</v>
      </c>
      <c r="AC294">
        <v>4.7970509362557658</v>
      </c>
    </row>
    <row r="295" spans="4:29">
      <c r="D295" t="s">
        <v>661</v>
      </c>
      <c r="E295" t="s">
        <v>122</v>
      </c>
      <c r="F295" t="s">
        <v>644</v>
      </c>
      <c r="G295" t="s">
        <v>644</v>
      </c>
      <c r="H295" t="s">
        <v>1176</v>
      </c>
      <c r="I295">
        <v>2015</v>
      </c>
      <c r="J295">
        <v>316.67175645042312</v>
      </c>
      <c r="K295">
        <v>112.43748040872161</v>
      </c>
      <c r="L295">
        <v>7.0411394286046027</v>
      </c>
      <c r="M295">
        <v>13.430062998589129</v>
      </c>
      <c r="N295">
        <v>0.32036478530356899</v>
      </c>
      <c r="O295">
        <v>449.90080407164203</v>
      </c>
      <c r="P295">
        <v>132.78147501217933</v>
      </c>
      <c r="Q295">
        <v>216.01073329562462</v>
      </c>
      <c r="R295">
        <v>3.8158058620470605</v>
      </c>
      <c r="S295">
        <v>352.608014169851</v>
      </c>
      <c r="T295">
        <v>175.93688474128197</v>
      </c>
      <c r="U295">
        <v>78.869091914055971</v>
      </c>
      <c r="V295">
        <v>102.53820097186039</v>
      </c>
      <c r="W295">
        <v>0.57236376585153403</v>
      </c>
      <c r="X295">
        <v>1.73621020828971</v>
      </c>
      <c r="Y295">
        <v>359.65275160133956</v>
      </c>
      <c r="Z295">
        <v>0.93032212228246569</v>
      </c>
      <c r="AA295">
        <v>1163.0918919651151</v>
      </c>
      <c r="AB295">
        <v>268.77000000000021</v>
      </c>
      <c r="AC295">
        <v>4.3274617403918381</v>
      </c>
    </row>
    <row r="296" spans="4:29">
      <c r="D296" t="s">
        <v>660</v>
      </c>
      <c r="E296" t="s">
        <v>122</v>
      </c>
      <c r="F296" t="s">
        <v>645</v>
      </c>
      <c r="G296" t="s">
        <v>645</v>
      </c>
      <c r="H296" t="s">
        <v>1177</v>
      </c>
      <c r="I296">
        <v>2005</v>
      </c>
      <c r="J296">
        <v>478.70722032692902</v>
      </c>
      <c r="K296">
        <v>132.30170233076689</v>
      </c>
      <c r="L296">
        <v>0</v>
      </c>
      <c r="M296">
        <v>18.623286436206552</v>
      </c>
      <c r="N296">
        <v>1.22770482071818E-2</v>
      </c>
      <c r="O296">
        <v>629.6444861421096</v>
      </c>
      <c r="P296">
        <v>169.40618981320372</v>
      </c>
      <c r="Q296">
        <v>232.24812992195999</v>
      </c>
      <c r="R296">
        <v>2.0548565859980408</v>
      </c>
      <c r="S296">
        <v>403.70917632116175</v>
      </c>
      <c r="T296">
        <v>94.393941359168338</v>
      </c>
      <c r="U296">
        <v>0</v>
      </c>
      <c r="V296">
        <v>60.181273892399673</v>
      </c>
      <c r="W296">
        <v>0.52085483621447992</v>
      </c>
      <c r="X296">
        <v>0.64088414827474294</v>
      </c>
      <c r="Y296">
        <v>155.73695423605724</v>
      </c>
      <c r="Z296">
        <v>0.4544009497171273</v>
      </c>
      <c r="AA296">
        <v>1189.545017649046</v>
      </c>
      <c r="AB296">
        <v>183.47699999999995</v>
      </c>
      <c r="AC296">
        <v>6.4833467826978115</v>
      </c>
    </row>
    <row r="297" spans="4:29">
      <c r="D297" t="s">
        <v>660</v>
      </c>
      <c r="E297" t="s">
        <v>122</v>
      </c>
      <c r="F297" t="s">
        <v>645</v>
      </c>
      <c r="G297" t="s">
        <v>645</v>
      </c>
      <c r="H297" t="s">
        <v>1177</v>
      </c>
      <c r="I297">
        <v>2006</v>
      </c>
      <c r="J297">
        <v>522.77737920957566</v>
      </c>
      <c r="K297">
        <v>136.9166519252033</v>
      </c>
      <c r="L297">
        <v>0</v>
      </c>
      <c r="M297">
        <v>16.923899505636541</v>
      </c>
      <c r="N297">
        <v>1.2610969542329301E-2</v>
      </c>
      <c r="O297">
        <v>676.63054160995785</v>
      </c>
      <c r="P297">
        <v>175.17699992699553</v>
      </c>
      <c r="Q297">
        <v>221.72012745345029</v>
      </c>
      <c r="R297">
        <v>1.9145678040029903</v>
      </c>
      <c r="S297">
        <v>398.81169518444881</v>
      </c>
      <c r="T297">
        <v>95.336912081196601</v>
      </c>
      <c r="U297">
        <v>0</v>
      </c>
      <c r="V297">
        <v>57.746860964446327</v>
      </c>
      <c r="W297">
        <v>0.51487146577101806</v>
      </c>
      <c r="X297">
        <v>0.66196085738328203</v>
      </c>
      <c r="Y297">
        <v>154.26060536879726</v>
      </c>
      <c r="Z297">
        <v>0.4263881819560924</v>
      </c>
      <c r="AA297">
        <v>1230.1292303451598</v>
      </c>
      <c r="AB297">
        <v>185.28299999999999</v>
      </c>
      <c r="AC297">
        <v>6.6391910231654272</v>
      </c>
    </row>
    <row r="298" spans="4:29">
      <c r="D298" t="s">
        <v>660</v>
      </c>
      <c r="E298" t="s">
        <v>122</v>
      </c>
      <c r="F298" t="s">
        <v>645</v>
      </c>
      <c r="G298" t="s">
        <v>645</v>
      </c>
      <c r="H298" t="s">
        <v>1177</v>
      </c>
      <c r="I298">
        <v>2007</v>
      </c>
      <c r="J298">
        <v>510.31049933465908</v>
      </c>
      <c r="K298">
        <v>127.52488814520761</v>
      </c>
      <c r="L298">
        <v>0</v>
      </c>
      <c r="M298">
        <v>16.810228816931485</v>
      </c>
      <c r="N298">
        <v>1.2352475052894401E-2</v>
      </c>
      <c r="O298">
        <v>654.65796877185107</v>
      </c>
      <c r="P298">
        <v>178.65203612429687</v>
      </c>
      <c r="Q298">
        <v>210.63053327600301</v>
      </c>
      <c r="R298">
        <v>1.7362642765075118</v>
      </c>
      <c r="S298">
        <v>391.01883367680733</v>
      </c>
      <c r="T298">
        <v>93.36511827938935</v>
      </c>
      <c r="U298">
        <v>0</v>
      </c>
      <c r="V298">
        <v>58.196969919154228</v>
      </c>
      <c r="W298">
        <v>0.57934008661931202</v>
      </c>
      <c r="X298">
        <v>0.63758776641320192</v>
      </c>
      <c r="Y298">
        <v>152.77901605157606</v>
      </c>
      <c r="Z298">
        <v>0.40238956535040554</v>
      </c>
      <c r="AA298">
        <v>1198.8582080655851</v>
      </c>
      <c r="AB298">
        <v>188.63600000000011</v>
      </c>
      <c r="AC298">
        <v>6.3554051616106388</v>
      </c>
    </row>
    <row r="299" spans="4:29">
      <c r="D299" t="s">
        <v>660</v>
      </c>
      <c r="E299" t="s">
        <v>122</v>
      </c>
      <c r="F299" t="s">
        <v>645</v>
      </c>
      <c r="G299" t="s">
        <v>645</v>
      </c>
      <c r="H299" t="s">
        <v>1177</v>
      </c>
      <c r="I299">
        <v>2008</v>
      </c>
      <c r="J299">
        <v>538.0864833811014</v>
      </c>
      <c r="K299">
        <v>126.99700602516494</v>
      </c>
      <c r="L299">
        <v>0</v>
      </c>
      <c r="M299">
        <v>15.348234904050702</v>
      </c>
      <c r="N299">
        <v>9.8224570702213996E-3</v>
      </c>
      <c r="O299">
        <v>680.44154676738731</v>
      </c>
      <c r="P299">
        <v>178.21248407728521</v>
      </c>
      <c r="Q299">
        <v>217.77780770672717</v>
      </c>
      <c r="R299">
        <v>1.8390846131672918</v>
      </c>
      <c r="S299">
        <v>397.82937639717966</v>
      </c>
      <c r="T299">
        <v>88.178196110692781</v>
      </c>
      <c r="U299">
        <v>0</v>
      </c>
      <c r="V299">
        <v>56.19008158821633</v>
      </c>
      <c r="W299">
        <v>0.58624960195062004</v>
      </c>
      <c r="X299">
        <v>0.65273156673258703</v>
      </c>
      <c r="Y299">
        <v>145.60725886759232</v>
      </c>
      <c r="Z299">
        <v>0.37754303281645429</v>
      </c>
      <c r="AA299">
        <v>1224.2557250649759</v>
      </c>
      <c r="AB299">
        <v>192.08899999999997</v>
      </c>
      <c r="AC299">
        <v>6.3733775753165256</v>
      </c>
    </row>
    <row r="300" spans="4:29">
      <c r="D300" t="s">
        <v>660</v>
      </c>
      <c r="E300" t="s">
        <v>122</v>
      </c>
      <c r="F300" t="s">
        <v>645</v>
      </c>
      <c r="G300" t="s">
        <v>645</v>
      </c>
      <c r="H300" t="s">
        <v>1177</v>
      </c>
      <c r="I300">
        <v>2009</v>
      </c>
      <c r="J300">
        <v>478.15148969659003</v>
      </c>
      <c r="K300">
        <v>114.80372347713693</v>
      </c>
      <c r="L300">
        <v>0</v>
      </c>
      <c r="M300">
        <v>11.854331666238405</v>
      </c>
      <c r="N300">
        <v>5.6776705831035794E-3</v>
      </c>
      <c r="O300">
        <v>604.81522251054844</v>
      </c>
      <c r="P300">
        <v>162.41572568127276</v>
      </c>
      <c r="Q300">
        <v>196.33273208538742</v>
      </c>
      <c r="R300">
        <v>1.699756983833776</v>
      </c>
      <c r="S300">
        <v>360.44821475049395</v>
      </c>
      <c r="T300">
        <v>84.747563160733421</v>
      </c>
      <c r="U300">
        <v>0</v>
      </c>
      <c r="V300">
        <v>54.481429210435053</v>
      </c>
      <c r="W300">
        <v>0.59040183839509497</v>
      </c>
      <c r="X300">
        <v>0.58065116223336399</v>
      </c>
      <c r="Y300">
        <v>140.40004537179692</v>
      </c>
      <c r="Z300">
        <v>0.35982539443208478</v>
      </c>
      <c r="AA300">
        <v>1106.0233080272715</v>
      </c>
      <c r="AB300">
        <v>196.70399999999998</v>
      </c>
      <c r="AC300">
        <v>5.6227799537745629</v>
      </c>
    </row>
    <row r="301" spans="4:29">
      <c r="D301" t="s">
        <v>660</v>
      </c>
      <c r="E301" t="s">
        <v>122</v>
      </c>
      <c r="F301" t="s">
        <v>645</v>
      </c>
      <c r="G301" t="s">
        <v>645</v>
      </c>
      <c r="H301" t="s">
        <v>1177</v>
      </c>
      <c r="I301">
        <v>2010</v>
      </c>
      <c r="J301">
        <v>504.28529049184311</v>
      </c>
      <c r="K301">
        <v>128.60743568053658</v>
      </c>
      <c r="L301">
        <v>0</v>
      </c>
      <c r="M301">
        <v>11.778245641941929</v>
      </c>
      <c r="N301">
        <v>5.8420994762207693E-3</v>
      </c>
      <c r="O301">
        <v>644.6768139137979</v>
      </c>
      <c r="P301">
        <v>168.10562921426074</v>
      </c>
      <c r="Q301">
        <v>216.22284455814486</v>
      </c>
      <c r="R301">
        <v>1.8508772318138584</v>
      </c>
      <c r="S301">
        <v>386.17935100421943</v>
      </c>
      <c r="T301">
        <v>82.750457920916944</v>
      </c>
      <c r="U301">
        <v>0</v>
      </c>
      <c r="V301">
        <v>52.806795723269559</v>
      </c>
      <c r="W301">
        <v>0.59092755955600107</v>
      </c>
      <c r="X301">
        <v>0.57500479420333706</v>
      </c>
      <c r="Y301">
        <v>136.72318599794585</v>
      </c>
      <c r="Z301">
        <v>0.33808443420235651</v>
      </c>
      <c r="AA301">
        <v>1167.9174353501655</v>
      </c>
      <c r="AB301">
        <v>200.12899999999993</v>
      </c>
      <c r="AC301">
        <v>5.8358230708701182</v>
      </c>
    </row>
    <row r="302" spans="4:29">
      <c r="D302" t="s">
        <v>660</v>
      </c>
      <c r="E302" t="s">
        <v>122</v>
      </c>
      <c r="F302" t="s">
        <v>645</v>
      </c>
      <c r="G302" t="s">
        <v>645</v>
      </c>
      <c r="H302" t="s">
        <v>1177</v>
      </c>
      <c r="I302">
        <v>2011</v>
      </c>
      <c r="J302">
        <v>442.33161585076721</v>
      </c>
      <c r="K302">
        <v>105.21929761737647</v>
      </c>
      <c r="L302">
        <v>0</v>
      </c>
      <c r="M302">
        <v>10.267137583760661</v>
      </c>
      <c r="N302">
        <v>6.2488730732227597E-3</v>
      </c>
      <c r="O302">
        <v>557.82429992497759</v>
      </c>
      <c r="P302">
        <v>159.40114432756801</v>
      </c>
      <c r="Q302">
        <v>174.7285644808581</v>
      </c>
      <c r="R302">
        <v>1.5980189825133508</v>
      </c>
      <c r="S302">
        <v>335.72772779093947</v>
      </c>
      <c r="T302">
        <v>79.727570830613971</v>
      </c>
      <c r="U302">
        <v>0</v>
      </c>
      <c r="V302">
        <v>51.493834970536156</v>
      </c>
      <c r="W302">
        <v>0.583129393912172</v>
      </c>
      <c r="X302">
        <v>0.54505654417462102</v>
      </c>
      <c r="Y302">
        <v>132.34959173923693</v>
      </c>
      <c r="Z302">
        <v>0.31477791395677146</v>
      </c>
      <c r="AA302">
        <v>1026.2163973691108</v>
      </c>
      <c r="AB302">
        <v>206.28499999999991</v>
      </c>
      <c r="AC302">
        <v>4.9747504538338285</v>
      </c>
    </row>
    <row r="303" spans="4:29">
      <c r="D303" t="s">
        <v>660</v>
      </c>
      <c r="E303" t="s">
        <v>122</v>
      </c>
      <c r="F303" t="s">
        <v>645</v>
      </c>
      <c r="G303" t="s">
        <v>645</v>
      </c>
      <c r="H303" t="s">
        <v>1177</v>
      </c>
      <c r="I303">
        <v>2012</v>
      </c>
      <c r="J303">
        <v>495.41267940025926</v>
      </c>
      <c r="K303">
        <v>126.99624959687922</v>
      </c>
      <c r="L303">
        <v>0</v>
      </c>
      <c r="M303">
        <v>10.3936141875418</v>
      </c>
      <c r="N303">
        <v>7.2325168376701698E-3</v>
      </c>
      <c r="O303">
        <v>632.80977570151788</v>
      </c>
      <c r="P303">
        <v>171.59571115865737</v>
      </c>
      <c r="Q303">
        <v>190.08703764916299</v>
      </c>
      <c r="R303">
        <v>1.5544467115699996</v>
      </c>
      <c r="S303">
        <v>363.23719551939035</v>
      </c>
      <c r="T303">
        <v>78.318785217128081</v>
      </c>
      <c r="U303">
        <v>0</v>
      </c>
      <c r="V303">
        <v>50.665004956670927</v>
      </c>
      <c r="W303">
        <v>0.58504596174733792</v>
      </c>
      <c r="X303">
        <v>0.51918832879029198</v>
      </c>
      <c r="Y303">
        <v>130.08802446433663</v>
      </c>
      <c r="Z303">
        <v>0.29028024101193023</v>
      </c>
      <c r="AA303">
        <v>1126.4252759262567</v>
      </c>
      <c r="AB303">
        <v>211.04699999999985</v>
      </c>
      <c r="AC303">
        <v>5.337319535109514</v>
      </c>
    </row>
    <row r="304" spans="4:29">
      <c r="D304" t="s">
        <v>660</v>
      </c>
      <c r="E304" t="s">
        <v>122</v>
      </c>
      <c r="F304" t="s">
        <v>645</v>
      </c>
      <c r="G304" t="s">
        <v>645</v>
      </c>
      <c r="H304" t="s">
        <v>1177</v>
      </c>
      <c r="I304">
        <v>2013</v>
      </c>
      <c r="J304">
        <v>438.83094386245978</v>
      </c>
      <c r="K304">
        <v>127.84506834970024</v>
      </c>
      <c r="L304">
        <v>0</v>
      </c>
      <c r="M304">
        <v>8.5896872177136103</v>
      </c>
      <c r="N304">
        <v>1.0695212326693999E-2</v>
      </c>
      <c r="O304">
        <v>575.27639464220033</v>
      </c>
      <c r="P304">
        <v>156.37465764193902</v>
      </c>
      <c r="Q304">
        <v>194.83561526278109</v>
      </c>
      <c r="R304">
        <v>1.6967488330684779</v>
      </c>
      <c r="S304">
        <v>352.90702173778857</v>
      </c>
      <c r="T304">
        <v>75.352088747790987</v>
      </c>
      <c r="U304">
        <v>0</v>
      </c>
      <c r="V304">
        <v>49.39460038539687</v>
      </c>
      <c r="W304">
        <v>0.590391569260731</v>
      </c>
      <c r="X304">
        <v>0.51658306057116199</v>
      </c>
      <c r="Y304">
        <v>125.85366376301975</v>
      </c>
      <c r="Z304">
        <v>0.27660084907416166</v>
      </c>
      <c r="AA304">
        <v>1054.3136809920827</v>
      </c>
      <c r="AB304">
        <v>215.67100000000005</v>
      </c>
      <c r="AC304">
        <v>4.8885278085235493</v>
      </c>
    </row>
    <row r="305" spans="4:29">
      <c r="D305" t="s">
        <v>660</v>
      </c>
      <c r="E305" t="s">
        <v>122</v>
      </c>
      <c r="F305" t="s">
        <v>645</v>
      </c>
      <c r="G305" t="s">
        <v>645</v>
      </c>
      <c r="H305" t="s">
        <v>1177</v>
      </c>
      <c r="I305">
        <v>2014</v>
      </c>
      <c r="J305">
        <v>339.80987652109167</v>
      </c>
      <c r="K305">
        <v>109.49832888934026</v>
      </c>
      <c r="L305">
        <v>0</v>
      </c>
      <c r="M305">
        <v>9.6568701020154606</v>
      </c>
      <c r="N305">
        <v>6.41477900888474E-3</v>
      </c>
      <c r="O305">
        <v>458.97149029145623</v>
      </c>
      <c r="P305">
        <v>132.16740612267247</v>
      </c>
      <c r="Q305">
        <v>159.72638422445965</v>
      </c>
      <c r="R305">
        <v>1.6077286695183057</v>
      </c>
      <c r="S305">
        <v>293.50151901665043</v>
      </c>
      <c r="T305">
        <v>73.096496981554651</v>
      </c>
      <c r="U305">
        <v>0</v>
      </c>
      <c r="V305">
        <v>50.395818124250383</v>
      </c>
      <c r="W305">
        <v>0.603144244115566</v>
      </c>
      <c r="X305">
        <v>0.51801796040012005</v>
      </c>
      <c r="Y305">
        <v>124.61347731032072</v>
      </c>
      <c r="Z305">
        <v>0.25501104041245215</v>
      </c>
      <c r="AA305">
        <v>877.34149765883978</v>
      </c>
      <c r="AB305">
        <v>221.02999999999997</v>
      </c>
      <c r="AC305">
        <v>3.9693322067540149</v>
      </c>
    </row>
    <row r="306" spans="4:29">
      <c r="D306" t="s">
        <v>660</v>
      </c>
      <c r="E306" t="s">
        <v>122</v>
      </c>
      <c r="F306" t="s">
        <v>645</v>
      </c>
      <c r="G306" t="s">
        <v>645</v>
      </c>
      <c r="H306" t="s">
        <v>1177</v>
      </c>
      <c r="I306">
        <v>2015</v>
      </c>
      <c r="J306">
        <v>301.60869073672183</v>
      </c>
      <c r="K306">
        <v>105.12193828012975</v>
      </c>
      <c r="L306">
        <v>0</v>
      </c>
      <c r="M306">
        <v>10.226376136295046</v>
      </c>
      <c r="N306">
        <v>6.6260793857294501E-3</v>
      </c>
      <c r="O306">
        <v>416.96363123253241</v>
      </c>
      <c r="P306">
        <v>109.68001523038454</v>
      </c>
      <c r="Q306">
        <v>168.34690410607189</v>
      </c>
      <c r="R306">
        <v>1.5806639478439481</v>
      </c>
      <c r="S306">
        <v>279.6075832843004</v>
      </c>
      <c r="T306">
        <v>75.335470761550326</v>
      </c>
      <c r="U306">
        <v>0</v>
      </c>
      <c r="V306">
        <v>48.168668012929849</v>
      </c>
      <c r="W306">
        <v>0.58936580301057306</v>
      </c>
      <c r="X306">
        <v>0.50535267514932702</v>
      </c>
      <c r="Y306">
        <v>124.59885725264007</v>
      </c>
      <c r="Z306">
        <v>0.24033116091107809</v>
      </c>
      <c r="AA306">
        <v>821.41040293038395</v>
      </c>
      <c r="AB306">
        <v>227.69200000000001</v>
      </c>
      <c r="AC306">
        <v>3.6075505636139344</v>
      </c>
    </row>
    <row r="307" spans="4:29">
      <c r="D307" t="s">
        <v>660</v>
      </c>
      <c r="E307" t="s">
        <v>122</v>
      </c>
      <c r="F307" t="s">
        <v>646</v>
      </c>
      <c r="G307" t="s">
        <v>646</v>
      </c>
      <c r="H307" t="s">
        <v>1178</v>
      </c>
      <c r="I307">
        <v>2005</v>
      </c>
      <c r="J307">
        <v>578.84362497832183</v>
      </c>
      <c r="K307">
        <v>198.64692042338015</v>
      </c>
      <c r="L307">
        <v>6.48032640584075E-2</v>
      </c>
      <c r="M307">
        <v>3.6298993071287198</v>
      </c>
      <c r="N307">
        <v>5.2746040361872602E-3</v>
      </c>
      <c r="O307">
        <v>781.19052257692533</v>
      </c>
      <c r="P307">
        <v>203.82179412020983</v>
      </c>
      <c r="Q307">
        <v>208.93793267717214</v>
      </c>
      <c r="R307">
        <v>3.8125400957461495</v>
      </c>
      <c r="S307">
        <v>416.57226689312813</v>
      </c>
      <c r="T307">
        <v>128.22069022546566</v>
      </c>
      <c r="U307">
        <v>0</v>
      </c>
      <c r="V307">
        <v>62.486768475365231</v>
      </c>
      <c r="W307">
        <v>1.0551947901192</v>
      </c>
      <c r="X307">
        <v>0.72193888150649399</v>
      </c>
      <c r="Y307">
        <v>192.4845923724566</v>
      </c>
      <c r="Z307">
        <v>0.44198470416207586</v>
      </c>
      <c r="AA307">
        <v>1390.6893665466719</v>
      </c>
      <c r="AB307">
        <v>168.375</v>
      </c>
      <c r="AC307">
        <v>8.2594765644939674</v>
      </c>
    </row>
    <row r="308" spans="4:29">
      <c r="D308" t="s">
        <v>660</v>
      </c>
      <c r="E308" t="s">
        <v>122</v>
      </c>
      <c r="F308" t="s">
        <v>646</v>
      </c>
      <c r="G308" t="s">
        <v>646</v>
      </c>
      <c r="H308" t="s">
        <v>1178</v>
      </c>
      <c r="I308">
        <v>2006</v>
      </c>
      <c r="J308">
        <v>624.24273719580708</v>
      </c>
      <c r="K308">
        <v>192.46054129630261</v>
      </c>
      <c r="L308">
        <v>6.187262467937113E-2</v>
      </c>
      <c r="M308">
        <v>3.4314035273654397</v>
      </c>
      <c r="N308">
        <v>5.2944950727899969E-3</v>
      </c>
      <c r="O308">
        <v>820.20184913922731</v>
      </c>
      <c r="P308">
        <v>210.62619243163417</v>
      </c>
      <c r="Q308">
        <v>200.55256592588037</v>
      </c>
      <c r="R308">
        <v>3.7302125777193043</v>
      </c>
      <c r="S308">
        <v>414.90897093523387</v>
      </c>
      <c r="T308">
        <v>130.5511400247272</v>
      </c>
      <c r="U308">
        <v>0</v>
      </c>
      <c r="V308">
        <v>59.147287031635805</v>
      </c>
      <c r="W308">
        <v>1.0412777933987098</v>
      </c>
      <c r="X308">
        <v>0.74875933594461397</v>
      </c>
      <c r="Y308">
        <v>191.48846418570633</v>
      </c>
      <c r="Z308">
        <v>0.4127145948126647</v>
      </c>
      <c r="AA308">
        <v>1427.0119988549804</v>
      </c>
      <c r="AB308">
        <v>165.24499999999992</v>
      </c>
      <c r="AC308">
        <v>8.6357348110682999</v>
      </c>
    </row>
    <row r="309" spans="4:29">
      <c r="D309" t="s">
        <v>660</v>
      </c>
      <c r="E309" t="s">
        <v>122</v>
      </c>
      <c r="F309" t="s">
        <v>646</v>
      </c>
      <c r="G309" t="s">
        <v>646</v>
      </c>
      <c r="H309" t="s">
        <v>1178</v>
      </c>
      <c r="I309">
        <v>2007</v>
      </c>
      <c r="J309">
        <v>610.38250586335187</v>
      </c>
      <c r="K309">
        <v>171.70914104537223</v>
      </c>
      <c r="L309">
        <v>6.170819469102564E-2</v>
      </c>
      <c r="M309">
        <v>3.4028034483087319</v>
      </c>
      <c r="N309">
        <v>5.1428652320064279E-3</v>
      </c>
      <c r="O309">
        <v>785.56130141695587</v>
      </c>
      <c r="P309">
        <v>211.99173399469638</v>
      </c>
      <c r="Q309">
        <v>190.2627928796912</v>
      </c>
      <c r="R309">
        <v>3.342032908648648</v>
      </c>
      <c r="S309">
        <v>405.59655978303624</v>
      </c>
      <c r="T309">
        <v>123.53912386548453</v>
      </c>
      <c r="U309">
        <v>0</v>
      </c>
      <c r="V309">
        <v>60.325784273715641</v>
      </c>
      <c r="W309">
        <v>1.22216708507403</v>
      </c>
      <c r="X309">
        <v>0.70811906053030205</v>
      </c>
      <c r="Y309">
        <v>185.7951942848045</v>
      </c>
      <c r="Z309">
        <v>0.38806696996712819</v>
      </c>
      <c r="AA309">
        <v>1377.341122454764</v>
      </c>
      <c r="AB309">
        <v>162.8829999999999</v>
      </c>
      <c r="AC309">
        <v>8.4560151916084845</v>
      </c>
    </row>
    <row r="310" spans="4:29">
      <c r="D310" t="s">
        <v>660</v>
      </c>
      <c r="E310" t="s">
        <v>122</v>
      </c>
      <c r="F310" t="s">
        <v>646</v>
      </c>
      <c r="G310" t="s">
        <v>646</v>
      </c>
      <c r="H310" t="s">
        <v>1178</v>
      </c>
      <c r="I310">
        <v>2008</v>
      </c>
      <c r="J310">
        <v>609.52489333745905</v>
      </c>
      <c r="K310">
        <v>185.38623520964723</v>
      </c>
      <c r="L310">
        <v>4.7030539709702168E-2</v>
      </c>
      <c r="M310">
        <v>3.4781988133911272</v>
      </c>
      <c r="N310">
        <v>5.8541975196746499E-3</v>
      </c>
      <c r="O310">
        <v>798.44221209772672</v>
      </c>
      <c r="P310">
        <v>211.12515368986672</v>
      </c>
      <c r="Q310">
        <v>200.67397920656902</v>
      </c>
      <c r="R310">
        <v>3.4689257377839695</v>
      </c>
      <c r="S310">
        <v>415.2680586342197</v>
      </c>
      <c r="T310">
        <v>114.87227148575101</v>
      </c>
      <c r="U310">
        <v>0</v>
      </c>
      <c r="V310">
        <v>58.163008130551304</v>
      </c>
      <c r="W310">
        <v>1.2428115047325501</v>
      </c>
      <c r="X310">
        <v>0.720589959203907</v>
      </c>
      <c r="Y310">
        <v>174.99868108023878</v>
      </c>
      <c r="Z310">
        <v>0.36224587656065999</v>
      </c>
      <c r="AA310">
        <v>1389.071197688746</v>
      </c>
      <c r="AB310">
        <v>162.57900000000004</v>
      </c>
      <c r="AC310">
        <v>8.5439767601519616</v>
      </c>
    </row>
    <row r="311" spans="4:29">
      <c r="D311" t="s">
        <v>660</v>
      </c>
      <c r="E311" t="s">
        <v>122</v>
      </c>
      <c r="F311" t="s">
        <v>646</v>
      </c>
      <c r="G311" t="s">
        <v>646</v>
      </c>
      <c r="H311" t="s">
        <v>1178</v>
      </c>
      <c r="I311">
        <v>2009</v>
      </c>
      <c r="J311">
        <v>558.06573077624842</v>
      </c>
      <c r="K311">
        <v>171.34435185659882</v>
      </c>
      <c r="L311">
        <v>6.4179917307395154E-2</v>
      </c>
      <c r="M311">
        <v>2.6593388600912737</v>
      </c>
      <c r="N311">
        <v>4.6975828958207427E-3</v>
      </c>
      <c r="O311">
        <v>732.13829899314158</v>
      </c>
      <c r="P311">
        <v>191.89001820048293</v>
      </c>
      <c r="Q311">
        <v>185.55363681791107</v>
      </c>
      <c r="R311">
        <v>3.3246758330784396</v>
      </c>
      <c r="S311">
        <v>380.76833085147246</v>
      </c>
      <c r="T311">
        <v>113.72471056981186</v>
      </c>
      <c r="U311">
        <v>0</v>
      </c>
      <c r="V311">
        <v>56.889088530596496</v>
      </c>
      <c r="W311">
        <v>1.25339591698025</v>
      </c>
      <c r="X311">
        <v>0.66040269213733704</v>
      </c>
      <c r="Y311">
        <v>172.52759770952593</v>
      </c>
      <c r="Z311">
        <v>0.34478511000694673</v>
      </c>
      <c r="AA311">
        <v>1285.7790126641469</v>
      </c>
      <c r="AB311">
        <v>161.893</v>
      </c>
      <c r="AC311">
        <v>7.9421532287631145</v>
      </c>
    </row>
    <row r="312" spans="4:29">
      <c r="D312" t="s">
        <v>660</v>
      </c>
      <c r="E312" t="s">
        <v>122</v>
      </c>
      <c r="F312" t="s">
        <v>646</v>
      </c>
      <c r="G312" t="s">
        <v>646</v>
      </c>
      <c r="H312" t="s">
        <v>1178</v>
      </c>
      <c r="I312">
        <v>2010</v>
      </c>
      <c r="J312">
        <v>644.66830144508106</v>
      </c>
      <c r="K312">
        <v>198.4145626278943</v>
      </c>
      <c r="L312">
        <v>9.373927132380706E-3</v>
      </c>
      <c r="M312">
        <v>2.4866290483064351</v>
      </c>
      <c r="N312">
        <v>4.767356882959024E-3</v>
      </c>
      <c r="O312">
        <v>845.58363440529718</v>
      </c>
      <c r="P312">
        <v>198.10958582941808</v>
      </c>
      <c r="Q312">
        <v>207.86572503136091</v>
      </c>
      <c r="R312">
        <v>3.6685185212872065</v>
      </c>
      <c r="S312">
        <v>409.6438293820662</v>
      </c>
      <c r="T312">
        <v>113.18561964453275</v>
      </c>
      <c r="U312">
        <v>0</v>
      </c>
      <c r="V312">
        <v>55.029000158217926</v>
      </c>
      <c r="W312">
        <v>1.2505165246122698</v>
      </c>
      <c r="X312">
        <v>0.66682830069577803</v>
      </c>
      <c r="Y312">
        <v>170.13196462805874</v>
      </c>
      <c r="Z312">
        <v>0.32273999795171837</v>
      </c>
      <c r="AA312">
        <v>1425.6821684133738</v>
      </c>
      <c r="AB312">
        <v>160.46300000000005</v>
      </c>
      <c r="AC312">
        <v>8.8848031534582628</v>
      </c>
    </row>
    <row r="313" spans="4:29">
      <c r="D313" t="s">
        <v>660</v>
      </c>
      <c r="E313" t="s">
        <v>122</v>
      </c>
      <c r="F313" t="s">
        <v>646</v>
      </c>
      <c r="G313" t="s">
        <v>646</v>
      </c>
      <c r="H313" t="s">
        <v>1178</v>
      </c>
      <c r="I313">
        <v>2011</v>
      </c>
      <c r="J313">
        <v>626.42238575527278</v>
      </c>
      <c r="K313">
        <v>165.13791810804915</v>
      </c>
      <c r="L313">
        <v>0.37287110977791549</v>
      </c>
      <c r="M313">
        <v>2.187059133331656</v>
      </c>
      <c r="N313">
        <v>4.9265116676661226E-3</v>
      </c>
      <c r="O313">
        <v>794.12516061809913</v>
      </c>
      <c r="P313">
        <v>189.30900923613996</v>
      </c>
      <c r="Q313">
        <v>169.86454029273767</v>
      </c>
      <c r="R313">
        <v>3.0105602854085749</v>
      </c>
      <c r="S313">
        <v>362.18410981428622</v>
      </c>
      <c r="T313">
        <v>110.07902437007891</v>
      </c>
      <c r="U313">
        <v>0</v>
      </c>
      <c r="V313">
        <v>53.277607340115054</v>
      </c>
      <c r="W313">
        <v>1.2356517130637601</v>
      </c>
      <c r="X313">
        <v>0.63589336868860591</v>
      </c>
      <c r="Y313">
        <v>165.22817679194634</v>
      </c>
      <c r="Z313">
        <v>0.29862774710589052</v>
      </c>
      <c r="AA313">
        <v>1321.8360749714377</v>
      </c>
      <c r="AB313">
        <v>158.25100000000012</v>
      </c>
      <c r="AC313">
        <v>8.3527818147843416</v>
      </c>
    </row>
    <row r="314" spans="4:29">
      <c r="D314" t="s">
        <v>660</v>
      </c>
      <c r="E314" t="s">
        <v>122</v>
      </c>
      <c r="F314" t="s">
        <v>646</v>
      </c>
      <c r="G314" t="s">
        <v>646</v>
      </c>
      <c r="H314" t="s">
        <v>1178</v>
      </c>
      <c r="I314">
        <v>2012</v>
      </c>
      <c r="J314">
        <v>588.73526168837066</v>
      </c>
      <c r="K314">
        <v>223.24330266329466</v>
      </c>
      <c r="L314">
        <v>5.1643853120887533E-2</v>
      </c>
      <c r="M314">
        <v>2.3566605706286952</v>
      </c>
      <c r="N314">
        <v>5.2601227173793234E-3</v>
      </c>
      <c r="O314">
        <v>814.39212889813234</v>
      </c>
      <c r="P314">
        <v>203.97250405042286</v>
      </c>
      <c r="Q314">
        <v>184.33305249299588</v>
      </c>
      <c r="R314">
        <v>2.9687912786412336</v>
      </c>
      <c r="S314">
        <v>391.27434782205995</v>
      </c>
      <c r="T314">
        <v>104.6850860717278</v>
      </c>
      <c r="U314">
        <v>0</v>
      </c>
      <c r="V314">
        <v>52.558260205454765</v>
      </c>
      <c r="W314">
        <v>1.23302709039972</v>
      </c>
      <c r="X314">
        <v>0.59765041673556907</v>
      </c>
      <c r="Y314">
        <v>159.07402378431786</v>
      </c>
      <c r="Z314">
        <v>0.27295466303176391</v>
      </c>
      <c r="AA314">
        <v>1365.0134551675419</v>
      </c>
      <c r="AB314">
        <v>155.92999999999998</v>
      </c>
      <c r="AC314">
        <v>8.754014334429181</v>
      </c>
    </row>
    <row r="315" spans="4:29">
      <c r="D315" t="s">
        <v>660</v>
      </c>
      <c r="E315" t="s">
        <v>122</v>
      </c>
      <c r="F315" t="s">
        <v>646</v>
      </c>
      <c r="G315" t="s">
        <v>646</v>
      </c>
      <c r="H315" t="s">
        <v>1178</v>
      </c>
      <c r="I315">
        <v>2013</v>
      </c>
      <c r="J315">
        <v>512.35923768184739</v>
      </c>
      <c r="K315">
        <v>191.63707102710657</v>
      </c>
      <c r="L315">
        <v>6.4038033570744571E-2</v>
      </c>
      <c r="M315">
        <v>1.882314682125755</v>
      </c>
      <c r="N315">
        <v>6.2667891939028322E-3</v>
      </c>
      <c r="O315">
        <v>705.9489282138444</v>
      </c>
      <c r="P315">
        <v>185.71013702625183</v>
      </c>
      <c r="Q315">
        <v>190.61392962188518</v>
      </c>
      <c r="R315">
        <v>3.200185191686574</v>
      </c>
      <c r="S315">
        <v>379.52425183982353</v>
      </c>
      <c r="T315">
        <v>101.32161634663194</v>
      </c>
      <c r="U315">
        <v>0</v>
      </c>
      <c r="V315">
        <v>50.642368952374078</v>
      </c>
      <c r="W315">
        <v>1.25538931549166</v>
      </c>
      <c r="X315">
        <v>0.59508739006384603</v>
      </c>
      <c r="Y315">
        <v>153.81446200456153</v>
      </c>
      <c r="Z315">
        <v>0.26006280400522441</v>
      </c>
      <c r="AA315">
        <v>1239.5477048622347</v>
      </c>
      <c r="AB315">
        <v>155.59400000000002</v>
      </c>
      <c r="AC315">
        <v>7.9665520833851851</v>
      </c>
    </row>
    <row r="316" spans="4:29">
      <c r="D316" t="s">
        <v>660</v>
      </c>
      <c r="E316" t="s">
        <v>122</v>
      </c>
      <c r="F316" t="s">
        <v>646</v>
      </c>
      <c r="G316" t="s">
        <v>646</v>
      </c>
      <c r="H316" t="s">
        <v>1178</v>
      </c>
      <c r="I316">
        <v>2014</v>
      </c>
      <c r="J316">
        <v>520.33413695254626</v>
      </c>
      <c r="K316">
        <v>163.06638836143748</v>
      </c>
      <c r="L316">
        <v>6.8428008618498667E-2</v>
      </c>
      <c r="M316">
        <v>2.0924793040313583</v>
      </c>
      <c r="N316">
        <v>4.9084239394911128E-3</v>
      </c>
      <c r="O316">
        <v>685.5663410505731</v>
      </c>
      <c r="P316">
        <v>155.28748749873765</v>
      </c>
      <c r="Q316">
        <v>156.22603909481009</v>
      </c>
      <c r="R316">
        <v>2.9762990310678212</v>
      </c>
      <c r="S316">
        <v>314.48982562461555</v>
      </c>
      <c r="T316">
        <v>101.0574468384402</v>
      </c>
      <c r="U316">
        <v>0</v>
      </c>
      <c r="V316">
        <v>51.678564332344465</v>
      </c>
      <c r="W316">
        <v>1.28491654542894</v>
      </c>
      <c r="X316">
        <v>0.64372782841244303</v>
      </c>
      <c r="Y316">
        <v>154.66465554462602</v>
      </c>
      <c r="Z316">
        <v>0.23760194850308194</v>
      </c>
      <c r="AA316">
        <v>1154.9584241683176</v>
      </c>
      <c r="AB316">
        <v>156.19</v>
      </c>
      <c r="AC316">
        <v>7.3945734308746891</v>
      </c>
    </row>
    <row r="317" spans="4:29">
      <c r="D317" t="s">
        <v>660</v>
      </c>
      <c r="E317" t="s">
        <v>122</v>
      </c>
      <c r="F317" t="s">
        <v>646</v>
      </c>
      <c r="G317" t="s">
        <v>646</v>
      </c>
      <c r="H317" t="s">
        <v>1178</v>
      </c>
      <c r="I317">
        <v>2015</v>
      </c>
      <c r="J317">
        <v>423.29310560116721</v>
      </c>
      <c r="K317">
        <v>165.25713024004557</v>
      </c>
      <c r="L317">
        <v>3.0571284724717769E-2</v>
      </c>
      <c r="M317">
        <v>2.1818006198461992</v>
      </c>
      <c r="N317">
        <v>5.0369814425762537E-3</v>
      </c>
      <c r="O317">
        <v>590.76764472722618</v>
      </c>
      <c r="P317">
        <v>128.80048809872457</v>
      </c>
      <c r="Q317">
        <v>163.4554101731585</v>
      </c>
      <c r="R317">
        <v>2.9225383281210067</v>
      </c>
      <c r="S317">
        <v>295.17843660000409</v>
      </c>
      <c r="T317">
        <v>103.53583601548058</v>
      </c>
      <c r="U317">
        <v>0</v>
      </c>
      <c r="V317">
        <v>49.540802397929468</v>
      </c>
      <c r="W317">
        <v>1.2678443563789201</v>
      </c>
      <c r="X317">
        <v>0.62887545765793695</v>
      </c>
      <c r="Y317">
        <v>154.97335822744691</v>
      </c>
      <c r="Z317">
        <v>0.22327713162391821</v>
      </c>
      <c r="AA317">
        <v>1041.1427166863009</v>
      </c>
      <c r="AB317">
        <v>157.71100000000015</v>
      </c>
      <c r="AC317">
        <v>6.6015859178262764</v>
      </c>
    </row>
    <row r="318" spans="4:29">
      <c r="D318" t="s">
        <v>661</v>
      </c>
      <c r="E318" t="s">
        <v>122</v>
      </c>
      <c r="F318" t="s">
        <v>648</v>
      </c>
      <c r="G318" t="s">
        <v>648</v>
      </c>
      <c r="H318" t="s">
        <v>1179</v>
      </c>
      <c r="I318">
        <v>2005</v>
      </c>
      <c r="J318">
        <v>181.15049062830991</v>
      </c>
      <c r="K318">
        <v>57.193935879735548</v>
      </c>
      <c r="L318">
        <v>1.3139507493071419E-2</v>
      </c>
      <c r="M318">
        <v>22.2093420815964</v>
      </c>
      <c r="N318">
        <v>0.38294143119754698</v>
      </c>
      <c r="O318">
        <v>260.94984952833244</v>
      </c>
      <c r="P318">
        <v>154.58031725767302</v>
      </c>
      <c r="Q318">
        <v>212.16625781926666</v>
      </c>
      <c r="R318">
        <v>2.6343501623968937</v>
      </c>
      <c r="S318">
        <v>369.38092523933659</v>
      </c>
      <c r="T318">
        <v>157.42014335709879</v>
      </c>
      <c r="U318">
        <v>0</v>
      </c>
      <c r="V318">
        <v>97.686262030461535</v>
      </c>
      <c r="W318">
        <v>0.51377514435382898</v>
      </c>
      <c r="X318">
        <v>2.2802515873308269</v>
      </c>
      <c r="Y318">
        <v>257.90043211924495</v>
      </c>
      <c r="Z318">
        <v>1.1795716200232989</v>
      </c>
      <c r="AA318">
        <v>889.41077850693728</v>
      </c>
      <c r="AB318">
        <v>152.48899999999998</v>
      </c>
      <c r="AC318">
        <v>5.8326225400319851</v>
      </c>
    </row>
    <row r="319" spans="4:29">
      <c r="D319" t="s">
        <v>661</v>
      </c>
      <c r="E319" t="s">
        <v>122</v>
      </c>
      <c r="F319" t="s">
        <v>648</v>
      </c>
      <c r="G319" t="s">
        <v>648</v>
      </c>
      <c r="H319" t="s">
        <v>1179</v>
      </c>
      <c r="I319">
        <v>2006</v>
      </c>
      <c r="J319">
        <v>191.54213751313938</v>
      </c>
      <c r="K319">
        <v>52.300463621442532</v>
      </c>
      <c r="L319">
        <v>0.11552294071597463</v>
      </c>
      <c r="M319">
        <v>20.452554178619398</v>
      </c>
      <c r="N319">
        <v>0.36735394538047145</v>
      </c>
      <c r="O319">
        <v>264.77803219929774</v>
      </c>
      <c r="P319">
        <v>160.31252074502368</v>
      </c>
      <c r="Q319">
        <v>203.8658977731036</v>
      </c>
      <c r="R319">
        <v>2.3639139336344628</v>
      </c>
      <c r="S319">
        <v>366.54233245176175</v>
      </c>
      <c r="T319">
        <v>150.08459975893851</v>
      </c>
      <c r="U319">
        <v>0</v>
      </c>
      <c r="V319">
        <v>92.388543567520713</v>
      </c>
      <c r="W319">
        <v>0.50663444243396294</v>
      </c>
      <c r="X319">
        <v>2.2858143466536331</v>
      </c>
      <c r="Y319">
        <v>245.26559211554681</v>
      </c>
      <c r="Z319">
        <v>1.0972286935834936</v>
      </c>
      <c r="AA319">
        <v>877.68318546018986</v>
      </c>
      <c r="AB319">
        <v>153.667</v>
      </c>
      <c r="AC319">
        <v>5.711591854205456</v>
      </c>
    </row>
    <row r="320" spans="4:29">
      <c r="D320" t="s">
        <v>661</v>
      </c>
      <c r="E320" t="s">
        <v>122</v>
      </c>
      <c r="F320" t="s">
        <v>648</v>
      </c>
      <c r="G320" t="s">
        <v>648</v>
      </c>
      <c r="H320" t="s">
        <v>1179</v>
      </c>
      <c r="I320">
        <v>2007</v>
      </c>
      <c r="J320">
        <v>187.99363934706193</v>
      </c>
      <c r="K320">
        <v>53.34228592082529</v>
      </c>
      <c r="L320">
        <v>0.29561440307010256</v>
      </c>
      <c r="M320">
        <v>20.467845383569802</v>
      </c>
      <c r="N320">
        <v>0.35124217591137491</v>
      </c>
      <c r="O320">
        <v>262.45062723043844</v>
      </c>
      <c r="P320">
        <v>162.76094020876155</v>
      </c>
      <c r="Q320">
        <v>192.54138637968126</v>
      </c>
      <c r="R320">
        <v>2.2500595004622386</v>
      </c>
      <c r="S320">
        <v>357.55238608890505</v>
      </c>
      <c r="T320">
        <v>149.6185202237381</v>
      </c>
      <c r="U320">
        <v>0</v>
      </c>
      <c r="V320">
        <v>94.441056864551229</v>
      </c>
      <c r="W320">
        <v>0.59270125612757096</v>
      </c>
      <c r="X320">
        <v>2.2831892430846201</v>
      </c>
      <c r="Y320">
        <v>246.93546758750153</v>
      </c>
      <c r="Z320">
        <v>1.0314860312974512</v>
      </c>
      <c r="AA320">
        <v>867.96996693814253</v>
      </c>
      <c r="AB320">
        <v>154.48500000000004</v>
      </c>
      <c r="AC320">
        <v>5.6184740715159549</v>
      </c>
    </row>
    <row r="321" spans="4:29">
      <c r="D321" t="s">
        <v>661</v>
      </c>
      <c r="E321" t="s">
        <v>122</v>
      </c>
      <c r="F321" t="s">
        <v>648</v>
      </c>
      <c r="G321" t="s">
        <v>648</v>
      </c>
      <c r="H321" t="s">
        <v>1179</v>
      </c>
      <c r="I321">
        <v>2008</v>
      </c>
      <c r="J321">
        <v>182.57835249645265</v>
      </c>
      <c r="K321">
        <v>55.866091369757221</v>
      </c>
      <c r="L321">
        <v>3.3148861333402654E-2</v>
      </c>
      <c r="M321">
        <v>14.00986797737904</v>
      </c>
      <c r="N321">
        <v>0.32093336885377044</v>
      </c>
      <c r="O321">
        <v>252.80839407377607</v>
      </c>
      <c r="P321">
        <v>157.33212154076404</v>
      </c>
      <c r="Q321">
        <v>201.85511666411574</v>
      </c>
      <c r="R321">
        <v>2.4174581859970479</v>
      </c>
      <c r="S321">
        <v>361.60469639087682</v>
      </c>
      <c r="T321">
        <v>141.69420971099612</v>
      </c>
      <c r="U321">
        <v>0</v>
      </c>
      <c r="V321">
        <v>89.696197361911885</v>
      </c>
      <c r="W321">
        <v>0.601631481864773</v>
      </c>
      <c r="X321">
        <v>2.3336002665638098</v>
      </c>
      <c r="Y321">
        <v>234.32563882133661</v>
      </c>
      <c r="Z321">
        <v>0.96018158192256187</v>
      </c>
      <c r="AA321">
        <v>849.6989108679121</v>
      </c>
      <c r="AB321">
        <v>156.02700000000002</v>
      </c>
      <c r="AC321">
        <v>5.4458453400239195</v>
      </c>
    </row>
    <row r="322" spans="4:29">
      <c r="D322" t="s">
        <v>661</v>
      </c>
      <c r="E322" t="s">
        <v>122</v>
      </c>
      <c r="F322" t="s">
        <v>648</v>
      </c>
      <c r="G322" t="s">
        <v>648</v>
      </c>
      <c r="H322" t="s">
        <v>1179</v>
      </c>
      <c r="I322">
        <v>2009</v>
      </c>
      <c r="J322">
        <v>164.93636840549979</v>
      </c>
      <c r="K322">
        <v>50.89657174587871</v>
      </c>
      <c r="L322">
        <v>1.7516691572994965E-2</v>
      </c>
      <c r="M322">
        <v>12.158890297563991</v>
      </c>
      <c r="N322">
        <v>0.334555880827201</v>
      </c>
      <c r="O322">
        <v>228.3439030213427</v>
      </c>
      <c r="P322">
        <v>141.23302759983119</v>
      </c>
      <c r="Q322">
        <v>182.67223377717769</v>
      </c>
      <c r="R322">
        <v>2.1810918596577036</v>
      </c>
      <c r="S322">
        <v>326.08635323666658</v>
      </c>
      <c r="T322">
        <v>135.81714745488964</v>
      </c>
      <c r="U322">
        <v>0</v>
      </c>
      <c r="V322">
        <v>88.322363578755898</v>
      </c>
      <c r="W322">
        <v>0.60634469163058102</v>
      </c>
      <c r="X322">
        <v>2.2385685156628501</v>
      </c>
      <c r="Y322">
        <v>226.98442424093895</v>
      </c>
      <c r="Z322">
        <v>0.93499687784718888</v>
      </c>
      <c r="AA322">
        <v>782.34967737679551</v>
      </c>
      <c r="AB322">
        <v>157.30699999999987</v>
      </c>
      <c r="AC322">
        <v>4.9733939200213353</v>
      </c>
    </row>
    <row r="323" spans="4:29">
      <c r="D323" t="s">
        <v>661</v>
      </c>
      <c r="E323" t="s">
        <v>122</v>
      </c>
      <c r="F323" t="s">
        <v>648</v>
      </c>
      <c r="G323" t="s">
        <v>648</v>
      </c>
      <c r="H323" t="s">
        <v>1179</v>
      </c>
      <c r="I323">
        <v>2010</v>
      </c>
      <c r="J323">
        <v>164.67393573573577</v>
      </c>
      <c r="K323">
        <v>58.256823137980064</v>
      </c>
      <c r="L323">
        <v>1.7550053316714376E-2</v>
      </c>
      <c r="M323">
        <v>12.89775730397267</v>
      </c>
      <c r="N323">
        <v>0.33397660298554693</v>
      </c>
      <c r="O323">
        <v>236.18004283399077</v>
      </c>
      <c r="P323">
        <v>145.13239883050818</v>
      </c>
      <c r="Q323">
        <v>203.90079992404929</v>
      </c>
      <c r="R323">
        <v>2.2764475792074519</v>
      </c>
      <c r="S323">
        <v>351.30964633376493</v>
      </c>
      <c r="T323">
        <v>148.32508371700965</v>
      </c>
      <c r="U323">
        <v>0</v>
      </c>
      <c r="V323">
        <v>86.008124651470951</v>
      </c>
      <c r="W323">
        <v>0.60517640098372105</v>
      </c>
      <c r="X323">
        <v>2.3383124126819101</v>
      </c>
      <c r="Y323">
        <v>237.27669718214622</v>
      </c>
      <c r="Z323">
        <v>0.87816599439163345</v>
      </c>
      <c r="AA323">
        <v>825.64455234429363</v>
      </c>
      <c r="AB323">
        <v>158.64800000000005</v>
      </c>
      <c r="AC323">
        <v>5.2042544018474439</v>
      </c>
    </row>
    <row r="324" spans="4:29">
      <c r="D324" t="s">
        <v>661</v>
      </c>
      <c r="E324" t="s">
        <v>122</v>
      </c>
      <c r="F324" t="s">
        <v>648</v>
      </c>
      <c r="G324" t="s">
        <v>648</v>
      </c>
      <c r="H324" t="s">
        <v>1179</v>
      </c>
      <c r="I324">
        <v>2011</v>
      </c>
      <c r="J324">
        <v>159.66558589795702</v>
      </c>
      <c r="K324">
        <v>44.820249595750241</v>
      </c>
      <c r="L324">
        <v>4.671295721901671E-3</v>
      </c>
      <c r="M324">
        <v>10.810142167208291</v>
      </c>
      <c r="N324">
        <v>0.34230208430679537</v>
      </c>
      <c r="O324">
        <v>215.64295104094424</v>
      </c>
      <c r="P324">
        <v>137.69892419216902</v>
      </c>
      <c r="Q324">
        <v>166.53330174762743</v>
      </c>
      <c r="R324">
        <v>2.1959378892918155</v>
      </c>
      <c r="S324">
        <v>306.42816382908825</v>
      </c>
      <c r="T324">
        <v>132.17827563654041</v>
      </c>
      <c r="U324">
        <v>0</v>
      </c>
      <c r="V324">
        <v>84.529074186057557</v>
      </c>
      <c r="W324">
        <v>0.59812523411012297</v>
      </c>
      <c r="X324">
        <v>2.20174722518591</v>
      </c>
      <c r="Y324">
        <v>219.50722228189397</v>
      </c>
      <c r="Z324">
        <v>0.80660772751235343</v>
      </c>
      <c r="AA324">
        <v>742.38494487943888</v>
      </c>
      <c r="AB324">
        <v>160.43600000000001</v>
      </c>
      <c r="AC324">
        <v>4.6272965224727542</v>
      </c>
    </row>
    <row r="325" spans="4:29">
      <c r="D325" t="s">
        <v>661</v>
      </c>
      <c r="E325" t="s">
        <v>122</v>
      </c>
      <c r="F325" t="s">
        <v>648</v>
      </c>
      <c r="G325" t="s">
        <v>648</v>
      </c>
      <c r="H325" t="s">
        <v>1179</v>
      </c>
      <c r="I325">
        <v>2012</v>
      </c>
      <c r="J325">
        <v>166.99425380869644</v>
      </c>
      <c r="K325">
        <v>50.891189414709459</v>
      </c>
      <c r="L325">
        <v>2.184283695955817E-2</v>
      </c>
      <c r="M325">
        <v>10.619279933170201</v>
      </c>
      <c r="N325">
        <v>0.33432400424386294</v>
      </c>
      <c r="O325">
        <v>228.86088999777951</v>
      </c>
      <c r="P325">
        <v>147.8275930217238</v>
      </c>
      <c r="Q325">
        <v>184.80576868397355</v>
      </c>
      <c r="R325">
        <v>2.1143445239860297</v>
      </c>
      <c r="S325">
        <v>334.74770622968333</v>
      </c>
      <c r="T325">
        <v>128.85041758031383</v>
      </c>
      <c r="U325">
        <v>0</v>
      </c>
      <c r="V325">
        <v>83.392530798993931</v>
      </c>
      <c r="W325">
        <v>0.59795459670635398</v>
      </c>
      <c r="X325">
        <v>2.1561494729840098</v>
      </c>
      <c r="Y325">
        <v>214.99705244899812</v>
      </c>
      <c r="Z325">
        <v>0.7221747605364317</v>
      </c>
      <c r="AA325">
        <v>779.32782343699739</v>
      </c>
      <c r="AB325">
        <v>163.90599999999998</v>
      </c>
      <c r="AC325">
        <v>4.7547241921406016</v>
      </c>
    </row>
    <row r="326" spans="4:29">
      <c r="D326" t="s">
        <v>661</v>
      </c>
      <c r="E326" t="s">
        <v>122</v>
      </c>
      <c r="F326" t="s">
        <v>648</v>
      </c>
      <c r="G326" t="s">
        <v>648</v>
      </c>
      <c r="H326" t="s">
        <v>1179</v>
      </c>
      <c r="I326">
        <v>2013</v>
      </c>
      <c r="J326">
        <v>158.11578599436288</v>
      </c>
      <c r="K326">
        <v>53.592726236044776</v>
      </c>
      <c r="L326">
        <v>5.55955989017264E-3</v>
      </c>
      <c r="M326">
        <v>9.2337155190554192</v>
      </c>
      <c r="N326">
        <v>0.33614787865900719</v>
      </c>
      <c r="O326">
        <v>221.28393518801224</v>
      </c>
      <c r="P326">
        <v>133.55500299215873</v>
      </c>
      <c r="Q326">
        <v>190.76123000750698</v>
      </c>
      <c r="R326">
        <v>2.359583877931156</v>
      </c>
      <c r="S326">
        <v>326.67581687759684</v>
      </c>
      <c r="T326">
        <v>126.72000047578342</v>
      </c>
      <c r="U326">
        <v>0</v>
      </c>
      <c r="V326">
        <v>81.398648870437896</v>
      </c>
      <c r="W326">
        <v>0.60816054452923296</v>
      </c>
      <c r="X326">
        <v>2.18501025460704</v>
      </c>
      <c r="Y326">
        <v>210.91182014535761</v>
      </c>
      <c r="Z326">
        <v>0.70443154665016483</v>
      </c>
      <c r="AA326">
        <v>759.57600375761695</v>
      </c>
      <c r="AB326">
        <v>166.79300000000001</v>
      </c>
      <c r="AC326">
        <v>4.5540040874474164</v>
      </c>
    </row>
    <row r="327" spans="4:29">
      <c r="D327" t="s">
        <v>661</v>
      </c>
      <c r="E327" t="s">
        <v>122</v>
      </c>
      <c r="F327" t="s">
        <v>648</v>
      </c>
      <c r="G327" t="s">
        <v>648</v>
      </c>
      <c r="H327" t="s">
        <v>1179</v>
      </c>
      <c r="I327">
        <v>2014</v>
      </c>
      <c r="J327">
        <v>146.05839035911109</v>
      </c>
      <c r="K327">
        <v>41.894506853390411</v>
      </c>
      <c r="L327">
        <v>3.0021476648192682E-2</v>
      </c>
      <c r="M327">
        <v>10.26104355045798</v>
      </c>
      <c r="N327">
        <v>0.31836849946175511</v>
      </c>
      <c r="O327">
        <v>198.56233073906944</v>
      </c>
      <c r="P327">
        <v>111.16051225812879</v>
      </c>
      <c r="Q327">
        <v>157.60893595969739</v>
      </c>
      <c r="R327">
        <v>2.2843208235168753</v>
      </c>
      <c r="S327">
        <v>271.053769041343</v>
      </c>
      <c r="T327">
        <v>121.35495858259506</v>
      </c>
      <c r="U327">
        <v>0</v>
      </c>
      <c r="V327">
        <v>82.792004380587528</v>
      </c>
      <c r="W327">
        <v>0.62200972554438394</v>
      </c>
      <c r="X327">
        <v>2.1853361153710602</v>
      </c>
      <c r="Y327">
        <v>206.95430880409805</v>
      </c>
      <c r="Z327">
        <v>0.62942679180037231</v>
      </c>
      <c r="AA327">
        <v>677.19983537631094</v>
      </c>
      <c r="AB327">
        <v>169.95799999999997</v>
      </c>
      <c r="AC327">
        <v>3.9845128524477285</v>
      </c>
    </row>
    <row r="328" spans="4:29">
      <c r="D328" t="s">
        <v>661</v>
      </c>
      <c r="E328" t="s">
        <v>122</v>
      </c>
      <c r="F328" t="s">
        <v>648</v>
      </c>
      <c r="G328" t="s">
        <v>648</v>
      </c>
      <c r="H328" t="s">
        <v>1179</v>
      </c>
      <c r="I328">
        <v>2015</v>
      </c>
      <c r="J328">
        <v>121.15979373356467</v>
      </c>
      <c r="K328">
        <v>45.073146614888778</v>
      </c>
      <c r="L328">
        <v>3.0602666986182345E-2</v>
      </c>
      <c r="M328">
        <v>10.63268010161651</v>
      </c>
      <c r="N328">
        <v>0.3268689225252881</v>
      </c>
      <c r="O328">
        <v>177.22309203958139</v>
      </c>
      <c r="P328">
        <v>92.774677340523596</v>
      </c>
      <c r="Q328">
        <v>168.26842990724455</v>
      </c>
      <c r="R328">
        <v>2.2666494705915761</v>
      </c>
      <c r="S328">
        <v>263.30975671835972</v>
      </c>
      <c r="T328">
        <v>122.33461935738592</v>
      </c>
      <c r="U328">
        <v>0</v>
      </c>
      <c r="V328">
        <v>81.236388062512788</v>
      </c>
      <c r="W328">
        <v>0.61147714124950803</v>
      </c>
      <c r="X328">
        <v>2.1988292769004403</v>
      </c>
      <c r="Y328">
        <v>206.38131383804864</v>
      </c>
      <c r="Z328">
        <v>0.59988211204134378</v>
      </c>
      <c r="AA328">
        <v>647.51404470803118</v>
      </c>
      <c r="AB328">
        <v>173.52499999999998</v>
      </c>
      <c r="AC328">
        <v>3.731531737259941</v>
      </c>
    </row>
    <row r="329" spans="4:29">
      <c r="D329" t="s">
        <v>660</v>
      </c>
      <c r="E329" t="s">
        <v>122</v>
      </c>
      <c r="F329" t="s">
        <v>649</v>
      </c>
      <c r="G329" t="s">
        <v>649</v>
      </c>
      <c r="H329" t="s">
        <v>1180</v>
      </c>
      <c r="I329">
        <v>2005</v>
      </c>
      <c r="J329">
        <v>351.31127142586917</v>
      </c>
      <c r="K329">
        <v>161.44075572563028</v>
      </c>
      <c r="L329">
        <v>0.28118913607403717</v>
      </c>
      <c r="M329">
        <v>5.8632666569057994</v>
      </c>
      <c r="N329">
        <v>3.6216858692224525E-2</v>
      </c>
      <c r="O329">
        <v>518.93269980317154</v>
      </c>
      <c r="P329">
        <v>246.40800472793077</v>
      </c>
      <c r="Q329">
        <v>351.86799897910606</v>
      </c>
      <c r="R329">
        <v>3.4956274679436414</v>
      </c>
      <c r="S329">
        <v>601.77163117498048</v>
      </c>
      <c r="T329">
        <v>179.13595774179618</v>
      </c>
      <c r="U329">
        <v>0</v>
      </c>
      <c r="V329">
        <v>120.1951586660534</v>
      </c>
      <c r="W329">
        <v>0.51552873628197304</v>
      </c>
      <c r="X329">
        <v>1.25377492442484</v>
      </c>
      <c r="Y329">
        <v>301.10042006855633</v>
      </c>
      <c r="Z329">
        <v>0.88097191710768075</v>
      </c>
      <c r="AA329">
        <v>1422.685722963816</v>
      </c>
      <c r="AB329">
        <v>277.61999999999995</v>
      </c>
      <c r="AC329">
        <v>5.1245793637483477</v>
      </c>
    </row>
    <row r="330" spans="4:29">
      <c r="D330" t="s">
        <v>660</v>
      </c>
      <c r="E330" t="s">
        <v>122</v>
      </c>
      <c r="F330" t="s">
        <v>649</v>
      </c>
      <c r="G330" t="s">
        <v>649</v>
      </c>
      <c r="H330" t="s">
        <v>1180</v>
      </c>
      <c r="I330">
        <v>2006</v>
      </c>
      <c r="J330">
        <v>382.83182290733168</v>
      </c>
      <c r="K330">
        <v>157.14162078409251</v>
      </c>
      <c r="L330">
        <v>0.20672726621879736</v>
      </c>
      <c r="M330">
        <v>5.5945124392719894</v>
      </c>
      <c r="N330">
        <v>3.4446791674027144E-2</v>
      </c>
      <c r="O330">
        <v>545.80913018858894</v>
      </c>
      <c r="P330">
        <v>254.5396585099808</v>
      </c>
      <c r="Q330">
        <v>335.80906111649023</v>
      </c>
      <c r="R330">
        <v>3.27095463258124</v>
      </c>
      <c r="S330">
        <v>593.61967425905232</v>
      </c>
      <c r="T330">
        <v>178.37429702290353</v>
      </c>
      <c r="U330">
        <v>0</v>
      </c>
      <c r="V330">
        <v>114.24688856879411</v>
      </c>
      <c r="W330">
        <v>0.50761667954206802</v>
      </c>
      <c r="X330">
        <v>1.2776729809688199</v>
      </c>
      <c r="Y330">
        <v>294.40647525220857</v>
      </c>
      <c r="Z330">
        <v>0.81977796243277834</v>
      </c>
      <c r="AA330">
        <v>1434.6550576622824</v>
      </c>
      <c r="AB330">
        <v>280.52400000000011</v>
      </c>
      <c r="AC330">
        <v>5.114197208304037</v>
      </c>
    </row>
    <row r="331" spans="4:29">
      <c r="D331" t="s">
        <v>660</v>
      </c>
      <c r="E331" t="s">
        <v>122</v>
      </c>
      <c r="F331" t="s">
        <v>649</v>
      </c>
      <c r="G331" t="s">
        <v>649</v>
      </c>
      <c r="H331" t="s">
        <v>1180</v>
      </c>
      <c r="I331">
        <v>2007</v>
      </c>
      <c r="J331">
        <v>374.967510007832</v>
      </c>
      <c r="K331">
        <v>143.22264367729744</v>
      </c>
      <c r="L331">
        <v>0.17821117208979584</v>
      </c>
      <c r="M331">
        <v>5.5199513353835385</v>
      </c>
      <c r="N331">
        <v>3.2748732189831369E-2</v>
      </c>
      <c r="O331">
        <v>523.92106492479263</v>
      </c>
      <c r="P331">
        <v>255.48441134989827</v>
      </c>
      <c r="Q331">
        <v>316.4440054530578</v>
      </c>
      <c r="R331">
        <v>3.0080132396643715</v>
      </c>
      <c r="S331">
        <v>574.93643004262037</v>
      </c>
      <c r="T331">
        <v>174.53455426524403</v>
      </c>
      <c r="U331">
        <v>0</v>
      </c>
      <c r="V331">
        <v>116.25148839071507</v>
      </c>
      <c r="W331">
        <v>0.58986159653287407</v>
      </c>
      <c r="X331">
        <v>1.23850972783319</v>
      </c>
      <c r="Y331">
        <v>292.6144139803252</v>
      </c>
      <c r="Z331">
        <v>0.76882090658460311</v>
      </c>
      <c r="AA331">
        <v>1392.2407298543228</v>
      </c>
      <c r="AB331">
        <v>284.964</v>
      </c>
      <c r="AC331">
        <v>4.8856723300287852</v>
      </c>
    </row>
    <row r="332" spans="4:29">
      <c r="D332" t="s">
        <v>660</v>
      </c>
      <c r="E332" t="s">
        <v>122</v>
      </c>
      <c r="F332" t="s">
        <v>649</v>
      </c>
      <c r="G332" t="s">
        <v>649</v>
      </c>
      <c r="H332" t="s">
        <v>1180</v>
      </c>
      <c r="I332">
        <v>2008</v>
      </c>
      <c r="J332">
        <v>381.44744373941802</v>
      </c>
      <c r="K332">
        <v>148.73967670432734</v>
      </c>
      <c r="L332">
        <v>0.27403720285455935</v>
      </c>
      <c r="M332">
        <v>4.122751550676357</v>
      </c>
      <c r="N332">
        <v>3.3852538764083166E-2</v>
      </c>
      <c r="O332">
        <v>534.61776173604039</v>
      </c>
      <c r="P332">
        <v>251.84232445450266</v>
      </c>
      <c r="Q332">
        <v>327.96161481721822</v>
      </c>
      <c r="R332">
        <v>3.1737434849226265</v>
      </c>
      <c r="S332">
        <v>582.9776827566435</v>
      </c>
      <c r="T332">
        <v>163.70048542676875</v>
      </c>
      <c r="U332">
        <v>0</v>
      </c>
      <c r="V332">
        <v>111.99993637463761</v>
      </c>
      <c r="W332">
        <v>0.59652389056289501</v>
      </c>
      <c r="X332">
        <v>1.26123071095401</v>
      </c>
      <c r="Y332">
        <v>277.55817640292327</v>
      </c>
      <c r="Z332">
        <v>0.71502588181499116</v>
      </c>
      <c r="AA332">
        <v>1395.8686467774221</v>
      </c>
      <c r="AB332">
        <v>289.12600000000015</v>
      </c>
      <c r="AC332">
        <v>4.827890424166009</v>
      </c>
    </row>
    <row r="333" spans="4:29">
      <c r="D333" t="s">
        <v>660</v>
      </c>
      <c r="E333" t="s">
        <v>122</v>
      </c>
      <c r="F333" t="s">
        <v>649</v>
      </c>
      <c r="G333" t="s">
        <v>649</v>
      </c>
      <c r="H333" t="s">
        <v>1180</v>
      </c>
      <c r="I333">
        <v>2009</v>
      </c>
      <c r="J333">
        <v>360.82239089218302</v>
      </c>
      <c r="K333">
        <v>140.93020701185597</v>
      </c>
      <c r="L333">
        <v>0.12433905264825529</v>
      </c>
      <c r="M333">
        <v>3.463319957910961</v>
      </c>
      <c r="N333">
        <v>3.3425793327176004E-2</v>
      </c>
      <c r="O333">
        <v>505.37368270792547</v>
      </c>
      <c r="P333">
        <v>226.95026374732967</v>
      </c>
      <c r="Q333">
        <v>294.41225965976588</v>
      </c>
      <c r="R333">
        <v>2.9545544600699634</v>
      </c>
      <c r="S333">
        <v>524.31707786716549</v>
      </c>
      <c r="T333">
        <v>154.09216550698346</v>
      </c>
      <c r="U333">
        <v>0</v>
      </c>
      <c r="V333">
        <v>108.86620447328258</v>
      </c>
      <c r="W333">
        <v>0.60035077952674398</v>
      </c>
      <c r="X333">
        <v>1.1178290942903499</v>
      </c>
      <c r="Y333">
        <v>264.67654985408319</v>
      </c>
      <c r="Z333">
        <v>0.67992893178040914</v>
      </c>
      <c r="AA333">
        <v>1295.0472393609543</v>
      </c>
      <c r="AB333">
        <v>294.05000000000007</v>
      </c>
      <c r="AC333">
        <v>4.4041735737492056</v>
      </c>
    </row>
    <row r="334" spans="4:29">
      <c r="D334" t="s">
        <v>660</v>
      </c>
      <c r="E334" t="s">
        <v>122</v>
      </c>
      <c r="F334" t="s">
        <v>649</v>
      </c>
      <c r="G334" t="s">
        <v>649</v>
      </c>
      <c r="H334" t="s">
        <v>1180</v>
      </c>
      <c r="I334">
        <v>2010</v>
      </c>
      <c r="J334">
        <v>357.12320425106003</v>
      </c>
      <c r="K334">
        <v>166.14395902305412</v>
      </c>
      <c r="L334">
        <v>0.10687771366043489</v>
      </c>
      <c r="M334">
        <v>3.71314037423253</v>
      </c>
      <c r="N334">
        <v>3.3758858774729721E-2</v>
      </c>
      <c r="O334">
        <v>527.1209402207819</v>
      </c>
      <c r="P334">
        <v>234.67021542923086</v>
      </c>
      <c r="Q334">
        <v>325.24586127376574</v>
      </c>
      <c r="R334">
        <v>3.1821013216567491</v>
      </c>
      <c r="S334">
        <v>563.09817802465341</v>
      </c>
      <c r="T334">
        <v>149.0650529890471</v>
      </c>
      <c r="U334">
        <v>0</v>
      </c>
      <c r="V334">
        <v>105.99697161367126</v>
      </c>
      <c r="W334">
        <v>0.59965739820019492</v>
      </c>
      <c r="X334">
        <v>1.10746477581286</v>
      </c>
      <c r="Y334">
        <v>256.76914677673142</v>
      </c>
      <c r="Z334">
        <v>0.63473866546322499</v>
      </c>
      <c r="AA334">
        <v>1347.62300368763</v>
      </c>
      <c r="AB334">
        <v>297.64999999999981</v>
      </c>
      <c r="AC334">
        <v>4.5275424279779299</v>
      </c>
    </row>
    <row r="335" spans="4:29">
      <c r="D335" t="s">
        <v>660</v>
      </c>
      <c r="E335" t="s">
        <v>122</v>
      </c>
      <c r="F335" t="s">
        <v>649</v>
      </c>
      <c r="G335" t="s">
        <v>649</v>
      </c>
      <c r="H335" t="s">
        <v>1180</v>
      </c>
      <c r="I335">
        <v>2011</v>
      </c>
      <c r="J335">
        <v>334.80712677653241</v>
      </c>
      <c r="K335">
        <v>149.34556363359363</v>
      </c>
      <c r="L335">
        <v>9.7941447584728114E-2</v>
      </c>
      <c r="M335">
        <v>2.8171751333762041</v>
      </c>
      <c r="N335">
        <v>3.4177651273426514E-2</v>
      </c>
      <c r="O335">
        <v>487.10198464236043</v>
      </c>
      <c r="P335">
        <v>224.37431825270428</v>
      </c>
      <c r="Q335">
        <v>265.9547345013433</v>
      </c>
      <c r="R335">
        <v>2.8150398648679289</v>
      </c>
      <c r="S335">
        <v>493.14409261891547</v>
      </c>
      <c r="T335">
        <v>142.4880916581032</v>
      </c>
      <c r="U335">
        <v>0</v>
      </c>
      <c r="V335">
        <v>103.89660905842126</v>
      </c>
      <c r="W335">
        <v>0.59296440299451791</v>
      </c>
      <c r="X335">
        <v>1.0480944041248299</v>
      </c>
      <c r="Y335">
        <v>248.02575952364381</v>
      </c>
      <c r="Z335">
        <v>0.58464965515146083</v>
      </c>
      <c r="AA335">
        <v>1228.8564864400712</v>
      </c>
      <c r="AB335">
        <v>304.48099999999982</v>
      </c>
      <c r="AC335">
        <v>4.0359053157342224</v>
      </c>
    </row>
    <row r="336" spans="4:29">
      <c r="D336" t="s">
        <v>660</v>
      </c>
      <c r="E336" t="s">
        <v>122</v>
      </c>
      <c r="F336" t="s">
        <v>649</v>
      </c>
      <c r="G336" t="s">
        <v>649</v>
      </c>
      <c r="H336" t="s">
        <v>1180</v>
      </c>
      <c r="I336">
        <v>2012</v>
      </c>
      <c r="J336">
        <v>357.139001262975</v>
      </c>
      <c r="K336">
        <v>163.68903388171603</v>
      </c>
      <c r="L336">
        <v>9.4279923602581736E-2</v>
      </c>
      <c r="M336">
        <v>3.3986926373040292</v>
      </c>
      <c r="N336">
        <v>3.5169738093482866E-2</v>
      </c>
      <c r="O336">
        <v>524.35617744369119</v>
      </c>
      <c r="P336">
        <v>239.45963236628103</v>
      </c>
      <c r="Q336">
        <v>290.74827061549536</v>
      </c>
      <c r="R336">
        <v>2.7444143660095448</v>
      </c>
      <c r="S336">
        <v>532.95231734778599</v>
      </c>
      <c r="T336">
        <v>133.25257309394152</v>
      </c>
      <c r="U336">
        <v>0</v>
      </c>
      <c r="V336">
        <v>102.05612976631907</v>
      </c>
      <c r="W336">
        <v>0.59506236280333602</v>
      </c>
      <c r="X336">
        <v>0.98079799692775493</v>
      </c>
      <c r="Y336">
        <v>236.88456321999169</v>
      </c>
      <c r="Z336">
        <v>0.53087439948346871</v>
      </c>
      <c r="AA336">
        <v>1294.7239324109523</v>
      </c>
      <c r="AB336">
        <v>310.2</v>
      </c>
      <c r="AC336">
        <v>4.1738360167986857</v>
      </c>
    </row>
    <row r="337" spans="4:29">
      <c r="D337" t="s">
        <v>660</v>
      </c>
      <c r="E337" t="s">
        <v>122</v>
      </c>
      <c r="F337" t="s">
        <v>649</v>
      </c>
      <c r="G337" t="s">
        <v>649</v>
      </c>
      <c r="H337" t="s">
        <v>1180</v>
      </c>
      <c r="I337">
        <v>2013</v>
      </c>
      <c r="J337">
        <v>333.96225755725214</v>
      </c>
      <c r="K337">
        <v>179.51898905176373</v>
      </c>
      <c r="L337">
        <v>0.11491211283409983</v>
      </c>
      <c r="M337">
        <v>2.5896613015586749</v>
      </c>
      <c r="N337">
        <v>3.5751246429027772E-2</v>
      </c>
      <c r="O337">
        <v>516.22157126983768</v>
      </c>
      <c r="P337">
        <v>218.91041886738685</v>
      </c>
      <c r="Q337">
        <v>298.13455540488224</v>
      </c>
      <c r="R337">
        <v>2.9813936285471012</v>
      </c>
      <c r="S337">
        <v>520.02636790081624</v>
      </c>
      <c r="T337">
        <v>129.82470998463128</v>
      </c>
      <c r="U337">
        <v>0</v>
      </c>
      <c r="V337">
        <v>99.264750356577963</v>
      </c>
      <c r="W337">
        <v>0.60390503564613296</v>
      </c>
      <c r="X337">
        <v>0.97847578699484705</v>
      </c>
      <c r="Y337">
        <v>230.67184116385022</v>
      </c>
      <c r="Z337">
        <v>0.50579697155037528</v>
      </c>
      <c r="AA337">
        <v>1267.425577306054</v>
      </c>
      <c r="AB337">
        <v>314.24200000000013</v>
      </c>
      <c r="AC337">
        <v>4.0332787383801447</v>
      </c>
    </row>
    <row r="338" spans="4:29">
      <c r="D338" t="s">
        <v>660</v>
      </c>
      <c r="E338" t="s">
        <v>122</v>
      </c>
      <c r="F338" t="s">
        <v>649</v>
      </c>
      <c r="G338" t="s">
        <v>649</v>
      </c>
      <c r="H338" t="s">
        <v>1180</v>
      </c>
      <c r="I338">
        <v>2014</v>
      </c>
      <c r="J338">
        <v>296.13071767116992</v>
      </c>
      <c r="K338">
        <v>136.43999208109207</v>
      </c>
      <c r="L338">
        <v>0.18737292813320933</v>
      </c>
      <c r="M338">
        <v>2.8999204239366012</v>
      </c>
      <c r="N338">
        <v>3.3890673739838957E-2</v>
      </c>
      <c r="O338">
        <v>435.69189377807163</v>
      </c>
      <c r="P338">
        <v>182.52943450008976</v>
      </c>
      <c r="Q338">
        <v>244.037360181005</v>
      </c>
      <c r="R338">
        <v>2.8450831151667222</v>
      </c>
      <c r="S338">
        <v>429.41187779626148</v>
      </c>
      <c r="T338">
        <v>126.9014973832961</v>
      </c>
      <c r="U338">
        <v>0</v>
      </c>
      <c r="V338">
        <v>101.19246679276411</v>
      </c>
      <c r="W338">
        <v>0.61672017197149298</v>
      </c>
      <c r="X338">
        <v>0.96895980140539995</v>
      </c>
      <c r="Y338">
        <v>229.67964414943708</v>
      </c>
      <c r="Z338">
        <v>0.45896999540684902</v>
      </c>
      <c r="AA338">
        <v>1095.2423857191773</v>
      </c>
      <c r="AB338">
        <v>318.21600000000018</v>
      </c>
      <c r="AC338">
        <v>3.4418206052466771</v>
      </c>
    </row>
    <row r="339" spans="4:29">
      <c r="D339" t="s">
        <v>660</v>
      </c>
      <c r="E339" t="s">
        <v>122</v>
      </c>
      <c r="F339" t="s">
        <v>649</v>
      </c>
      <c r="G339" t="s">
        <v>649</v>
      </c>
      <c r="H339" t="s">
        <v>1180</v>
      </c>
      <c r="I339">
        <v>2015</v>
      </c>
      <c r="J339">
        <v>243.09736935135157</v>
      </c>
      <c r="K339">
        <v>147.29112673814606</v>
      </c>
      <c r="L339">
        <v>0.3224887941716319</v>
      </c>
      <c r="M339">
        <v>3.0524361589743645</v>
      </c>
      <c r="N339">
        <v>3.4616271990486613E-2</v>
      </c>
      <c r="O339">
        <v>393.79803731463414</v>
      </c>
      <c r="P339">
        <v>152.18853245866674</v>
      </c>
      <c r="Q339">
        <v>260.33964116847142</v>
      </c>
      <c r="R339">
        <v>2.8083414099815638</v>
      </c>
      <c r="S339">
        <v>415.33651503711968</v>
      </c>
      <c r="T339">
        <v>129.04840838372564</v>
      </c>
      <c r="U339">
        <v>0</v>
      </c>
      <c r="V339">
        <v>99.091165474009969</v>
      </c>
      <c r="W339">
        <v>0.601601934686397</v>
      </c>
      <c r="X339">
        <v>0.94435240645767304</v>
      </c>
      <c r="Y339">
        <v>229.68552819887969</v>
      </c>
      <c r="Z339">
        <v>0.43037820989959569</v>
      </c>
      <c r="AA339">
        <v>1039.2504587605333</v>
      </c>
      <c r="AB339">
        <v>324.43099999999987</v>
      </c>
      <c r="AC339">
        <v>3.2033019617747187</v>
      </c>
    </row>
    <row r="340" spans="4:29">
      <c r="D340" t="s">
        <v>660</v>
      </c>
      <c r="E340" t="s">
        <v>122</v>
      </c>
      <c r="F340" t="s">
        <v>650</v>
      </c>
      <c r="G340" t="s">
        <v>650</v>
      </c>
      <c r="H340" t="s">
        <v>1181</v>
      </c>
      <c r="I340">
        <v>2005</v>
      </c>
      <c r="J340">
        <v>225.68330159067784</v>
      </c>
      <c r="K340">
        <v>78.045085834261158</v>
      </c>
      <c r="L340">
        <v>0</v>
      </c>
      <c r="M340">
        <v>6.8141825499899262</v>
      </c>
      <c r="N340">
        <v>9.6507420331621005E-2</v>
      </c>
      <c r="O340">
        <v>310.63907739526059</v>
      </c>
      <c r="P340">
        <v>235.05859196928006</v>
      </c>
      <c r="Q340">
        <v>335.73987551051317</v>
      </c>
      <c r="R340">
        <v>3.1529007516467478</v>
      </c>
      <c r="S340">
        <v>573.95136823143991</v>
      </c>
      <c r="T340">
        <v>139.39229719992653</v>
      </c>
      <c r="U340">
        <v>0</v>
      </c>
      <c r="V340">
        <v>151.47672893557456</v>
      </c>
      <c r="W340">
        <v>0.59271166422756505</v>
      </c>
      <c r="X340">
        <v>1.28778354658724</v>
      </c>
      <c r="Y340">
        <v>292.74952134631593</v>
      </c>
      <c r="Z340">
        <v>1.3582449526165405</v>
      </c>
      <c r="AA340">
        <v>1178.6982119256331</v>
      </c>
      <c r="AB340">
        <v>254.93000000000009</v>
      </c>
      <c r="AC340">
        <v>4.6236151568102333</v>
      </c>
    </row>
    <row r="341" spans="4:29">
      <c r="D341" t="s">
        <v>660</v>
      </c>
      <c r="E341" t="s">
        <v>122</v>
      </c>
      <c r="F341" t="s">
        <v>650</v>
      </c>
      <c r="G341" t="s">
        <v>650</v>
      </c>
      <c r="H341" t="s">
        <v>1181</v>
      </c>
      <c r="I341">
        <v>2006</v>
      </c>
      <c r="J341">
        <v>239.21904990642082</v>
      </c>
      <c r="K341">
        <v>66.833315817608238</v>
      </c>
      <c r="L341">
        <v>0</v>
      </c>
      <c r="M341">
        <v>6.687479124059263</v>
      </c>
      <c r="N341">
        <v>9.0956003790472001E-2</v>
      </c>
      <c r="O341">
        <v>312.83080085187885</v>
      </c>
      <c r="P341">
        <v>242.82030881931087</v>
      </c>
      <c r="Q341">
        <v>319.04429364729265</v>
      </c>
      <c r="R341">
        <v>2.819631512060043</v>
      </c>
      <c r="S341">
        <v>564.68423397866354</v>
      </c>
      <c r="T341">
        <v>140.25400411700952</v>
      </c>
      <c r="U341">
        <v>0</v>
      </c>
      <c r="V341">
        <v>144.29207976848789</v>
      </c>
      <c r="W341">
        <v>0.582541001947391</v>
      </c>
      <c r="X341">
        <v>1.3105422657916999</v>
      </c>
      <c r="Y341">
        <v>286.4391671532365</v>
      </c>
      <c r="Z341">
        <v>1.2616026423528184</v>
      </c>
      <c r="AA341">
        <v>1165.2158046261318</v>
      </c>
      <c r="AB341">
        <v>257.97599999999989</v>
      </c>
      <c r="AC341">
        <v>4.5167604917749413</v>
      </c>
    </row>
    <row r="342" spans="4:29">
      <c r="D342" t="s">
        <v>660</v>
      </c>
      <c r="E342" t="s">
        <v>122</v>
      </c>
      <c r="F342" t="s">
        <v>650</v>
      </c>
      <c r="G342" t="s">
        <v>650</v>
      </c>
      <c r="H342" t="s">
        <v>1181</v>
      </c>
      <c r="I342">
        <v>2007</v>
      </c>
      <c r="J342">
        <v>236.67977194158968</v>
      </c>
      <c r="K342">
        <v>58.455555608124186</v>
      </c>
      <c r="L342">
        <v>0</v>
      </c>
      <c r="M342">
        <v>6.7055172416311351</v>
      </c>
      <c r="N342">
        <v>8.6147301368196497E-2</v>
      </c>
      <c r="O342">
        <v>301.92699209271319</v>
      </c>
      <c r="P342">
        <v>244.34476842697552</v>
      </c>
      <c r="Q342">
        <v>301.55219222055831</v>
      </c>
      <c r="R342">
        <v>2.6761417204505014</v>
      </c>
      <c r="S342">
        <v>548.57310236798435</v>
      </c>
      <c r="T342">
        <v>137.18571189004922</v>
      </c>
      <c r="U342">
        <v>0</v>
      </c>
      <c r="V342">
        <v>146.02736277228391</v>
      </c>
      <c r="W342">
        <v>0.67118163645433804</v>
      </c>
      <c r="X342">
        <v>1.26920000937997</v>
      </c>
      <c r="Y342">
        <v>285.15345630816745</v>
      </c>
      <c r="Z342">
        <v>1.1827261472775579</v>
      </c>
      <c r="AA342">
        <v>1136.8362769161427</v>
      </c>
      <c r="AB342">
        <v>261.18800000000005</v>
      </c>
      <c r="AC342">
        <v>4.3525593707067038</v>
      </c>
    </row>
    <row r="343" spans="4:29">
      <c r="D343" t="s">
        <v>660</v>
      </c>
      <c r="E343" t="s">
        <v>122</v>
      </c>
      <c r="F343" t="s">
        <v>650</v>
      </c>
      <c r="G343" t="s">
        <v>650</v>
      </c>
      <c r="H343" t="s">
        <v>1181</v>
      </c>
      <c r="I343">
        <v>2008</v>
      </c>
      <c r="J343">
        <v>197.24487879379899</v>
      </c>
      <c r="K343">
        <v>57.460887802723811</v>
      </c>
      <c r="L343">
        <v>0</v>
      </c>
      <c r="M343">
        <v>4.9726805797783209</v>
      </c>
      <c r="N343">
        <v>7.22226790375496E-2</v>
      </c>
      <c r="O343">
        <v>259.75066985533869</v>
      </c>
      <c r="P343">
        <v>239.33128556434352</v>
      </c>
      <c r="Q343">
        <v>311.13497310486338</v>
      </c>
      <c r="R343">
        <v>2.8748344615788337</v>
      </c>
      <c r="S343">
        <v>553.34109313078579</v>
      </c>
      <c r="T343">
        <v>130.09780896912852</v>
      </c>
      <c r="U343">
        <v>0</v>
      </c>
      <c r="V343">
        <v>140.74889551362901</v>
      </c>
      <c r="W343">
        <v>0.67553662728924491</v>
      </c>
      <c r="X343">
        <v>1.3065354395595401</v>
      </c>
      <c r="Y343">
        <v>272.82877654960635</v>
      </c>
      <c r="Z343">
        <v>1.0979999067952602</v>
      </c>
      <c r="AA343">
        <v>1087.0185394425262</v>
      </c>
      <c r="AB343">
        <v>266.50799999999987</v>
      </c>
      <c r="AC343">
        <v>4.0787463770037924</v>
      </c>
    </row>
    <row r="344" spans="4:29">
      <c r="D344" t="s">
        <v>660</v>
      </c>
      <c r="E344" t="s">
        <v>122</v>
      </c>
      <c r="F344" t="s">
        <v>650</v>
      </c>
      <c r="G344" t="s">
        <v>650</v>
      </c>
      <c r="H344" t="s">
        <v>1181</v>
      </c>
      <c r="I344">
        <v>2009</v>
      </c>
      <c r="J344">
        <v>180.15566287639103</v>
      </c>
      <c r="K344">
        <v>50.930908838716029</v>
      </c>
      <c r="L344">
        <v>0</v>
      </c>
      <c r="M344">
        <v>3.7262111149649537</v>
      </c>
      <c r="N344">
        <v>7.4128657210508903E-2</v>
      </c>
      <c r="O344">
        <v>234.8869114872825</v>
      </c>
      <c r="P344">
        <v>215.56250765530697</v>
      </c>
      <c r="Q344">
        <v>279.29961503771472</v>
      </c>
      <c r="R344">
        <v>2.5928078953697504</v>
      </c>
      <c r="S344">
        <v>497.45493058839139</v>
      </c>
      <c r="T344">
        <v>123.96519171904956</v>
      </c>
      <c r="U344">
        <v>0</v>
      </c>
      <c r="V344">
        <v>136.96417091178779</v>
      </c>
      <c r="W344">
        <v>0.67863894234296196</v>
      </c>
      <c r="X344">
        <v>1.1700300395779399</v>
      </c>
      <c r="Y344">
        <v>262.77803161275824</v>
      </c>
      <c r="Z344">
        <v>1.0461079796100461</v>
      </c>
      <c r="AA344">
        <v>996.16598166804226</v>
      </c>
      <c r="AB344">
        <v>270.41799999999989</v>
      </c>
      <c r="AC344">
        <v>3.6838005667819549</v>
      </c>
    </row>
    <row r="345" spans="4:29">
      <c r="D345" t="s">
        <v>660</v>
      </c>
      <c r="E345" t="s">
        <v>122</v>
      </c>
      <c r="F345" t="s">
        <v>650</v>
      </c>
      <c r="G345" t="s">
        <v>650</v>
      </c>
      <c r="H345" t="s">
        <v>1181</v>
      </c>
      <c r="I345">
        <v>2010</v>
      </c>
      <c r="J345">
        <v>186.48932192066738</v>
      </c>
      <c r="K345">
        <v>56.947775246524536</v>
      </c>
      <c r="L345">
        <v>0</v>
      </c>
      <c r="M345">
        <v>3.318295206364819</v>
      </c>
      <c r="N345">
        <v>7.4793285557765002E-2</v>
      </c>
      <c r="O345">
        <v>246.83018565911451</v>
      </c>
      <c r="P345">
        <v>219.7260785441369</v>
      </c>
      <c r="Q345">
        <v>309.70578969372031</v>
      </c>
      <c r="R345">
        <v>2.711613257982334</v>
      </c>
      <c r="S345">
        <v>532.14348149583952</v>
      </c>
      <c r="T345">
        <v>122.92120426204814</v>
      </c>
      <c r="U345">
        <v>0</v>
      </c>
      <c r="V345">
        <v>133.14989586686818</v>
      </c>
      <c r="W345">
        <v>0.67853032923394796</v>
      </c>
      <c r="X345">
        <v>1.1707495463736599</v>
      </c>
      <c r="Y345">
        <v>257.92038000452391</v>
      </c>
      <c r="Z345">
        <v>0.97600250535272248</v>
      </c>
      <c r="AA345">
        <v>1037.8700496648305</v>
      </c>
      <c r="AB345">
        <v>272.52499999999986</v>
      </c>
      <c r="AC345">
        <v>3.8083480402342209</v>
      </c>
    </row>
    <row r="346" spans="4:29">
      <c r="D346" t="s">
        <v>660</v>
      </c>
      <c r="E346" t="s">
        <v>122</v>
      </c>
      <c r="F346" t="s">
        <v>650</v>
      </c>
      <c r="G346" t="s">
        <v>650</v>
      </c>
      <c r="H346" t="s">
        <v>1181</v>
      </c>
      <c r="I346">
        <v>2011</v>
      </c>
      <c r="J346">
        <v>164.75545527505662</v>
      </c>
      <c r="K346">
        <v>57.747911273945327</v>
      </c>
      <c r="L346">
        <v>0</v>
      </c>
      <c r="M346">
        <v>2.9066370502037411</v>
      </c>
      <c r="N346">
        <v>7.548445550057499E-2</v>
      </c>
      <c r="O346">
        <v>225.48548805470625</v>
      </c>
      <c r="P346">
        <v>211.54765575229632</v>
      </c>
      <c r="Q346">
        <v>251.8130971946797</v>
      </c>
      <c r="R346">
        <v>2.6080455935859095</v>
      </c>
      <c r="S346">
        <v>465.96879854056198</v>
      </c>
      <c r="T346">
        <v>118.39630809694552</v>
      </c>
      <c r="U346">
        <v>0</v>
      </c>
      <c r="V346">
        <v>130.41542778692991</v>
      </c>
      <c r="W346">
        <v>0.67138488396665696</v>
      </c>
      <c r="X346">
        <v>1.1190760599368501</v>
      </c>
      <c r="Y346">
        <v>250.60219682777893</v>
      </c>
      <c r="Z346">
        <v>0.89660580388508659</v>
      </c>
      <c r="AA346">
        <v>942.95308922693221</v>
      </c>
      <c r="AB346">
        <v>276.93800000000005</v>
      </c>
      <c r="AC346">
        <v>3.4049248901448412</v>
      </c>
    </row>
    <row r="347" spans="4:29">
      <c r="D347" t="s">
        <v>660</v>
      </c>
      <c r="E347" t="s">
        <v>122</v>
      </c>
      <c r="F347" t="s">
        <v>650</v>
      </c>
      <c r="G347" t="s">
        <v>650</v>
      </c>
      <c r="H347" t="s">
        <v>1181</v>
      </c>
      <c r="I347">
        <v>2012</v>
      </c>
      <c r="J347">
        <v>176.73763895250903</v>
      </c>
      <c r="K347">
        <v>54.890883950102541</v>
      </c>
      <c r="L347">
        <v>0</v>
      </c>
      <c r="M347">
        <v>3.2839800959746572</v>
      </c>
      <c r="N347">
        <v>7.7120050669827189E-2</v>
      </c>
      <c r="O347">
        <v>234.98962304925607</v>
      </c>
      <c r="P347">
        <v>225.4017099214424</v>
      </c>
      <c r="Q347">
        <v>275.48802364510891</v>
      </c>
      <c r="R347">
        <v>2.5118528045080719</v>
      </c>
      <c r="S347">
        <v>503.40158637105935</v>
      </c>
      <c r="T347">
        <v>113.63022808569588</v>
      </c>
      <c r="U347">
        <v>0</v>
      </c>
      <c r="V347">
        <v>128.45996366078367</v>
      </c>
      <c r="W347">
        <v>0.67705966616188196</v>
      </c>
      <c r="X347">
        <v>1.0704735636437899</v>
      </c>
      <c r="Y347">
        <v>243.83772497628522</v>
      </c>
      <c r="Z347">
        <v>0.81076028348556817</v>
      </c>
      <c r="AA347">
        <v>983.03969468008631</v>
      </c>
      <c r="AB347">
        <v>281.55599999999981</v>
      </c>
      <c r="AC347">
        <v>3.4914535462930534</v>
      </c>
    </row>
    <row r="348" spans="4:29">
      <c r="D348" t="s">
        <v>660</v>
      </c>
      <c r="E348" t="s">
        <v>122</v>
      </c>
      <c r="F348" t="s">
        <v>650</v>
      </c>
      <c r="G348" t="s">
        <v>650</v>
      </c>
      <c r="H348" t="s">
        <v>1181</v>
      </c>
      <c r="I348">
        <v>2013</v>
      </c>
      <c r="J348">
        <v>159.65222685021672</v>
      </c>
      <c r="K348">
        <v>56.483430134321694</v>
      </c>
      <c r="L348">
        <v>0</v>
      </c>
      <c r="M348">
        <v>2.6288713944426072</v>
      </c>
      <c r="N348">
        <v>7.6048661095850706E-2</v>
      </c>
      <c r="O348">
        <v>218.84057704007685</v>
      </c>
      <c r="P348">
        <v>204.87519240269802</v>
      </c>
      <c r="Q348">
        <v>282.0091484349245</v>
      </c>
      <c r="R348">
        <v>2.7796060211152152</v>
      </c>
      <c r="S348">
        <v>489.66394685873775</v>
      </c>
      <c r="T348">
        <v>108.39938472136942</v>
      </c>
      <c r="U348">
        <v>0</v>
      </c>
      <c r="V348">
        <v>125.05703277304366</v>
      </c>
      <c r="W348">
        <v>0.68521596719584998</v>
      </c>
      <c r="X348">
        <v>1.0614682190859601</v>
      </c>
      <c r="Y348">
        <v>235.20310168069489</v>
      </c>
      <c r="Z348">
        <v>0.77451978134834742</v>
      </c>
      <c r="AA348">
        <v>944.48214536085788</v>
      </c>
      <c r="AB348">
        <v>286.18000000000012</v>
      </c>
      <c r="AC348">
        <v>3.3003080067120605</v>
      </c>
    </row>
    <row r="349" spans="4:29">
      <c r="D349" t="s">
        <v>660</v>
      </c>
      <c r="E349" t="s">
        <v>122</v>
      </c>
      <c r="F349" t="s">
        <v>650</v>
      </c>
      <c r="G349" t="s">
        <v>650</v>
      </c>
      <c r="H349" t="s">
        <v>1181</v>
      </c>
      <c r="I349">
        <v>2014</v>
      </c>
      <c r="J349">
        <v>140.01746327558476</v>
      </c>
      <c r="K349">
        <v>46.790813491942878</v>
      </c>
      <c r="L349">
        <v>0</v>
      </c>
      <c r="M349">
        <v>2.8763882797014642</v>
      </c>
      <c r="N349">
        <v>7.47066327278742E-2</v>
      </c>
      <c r="O349">
        <v>189.75937167995698</v>
      </c>
      <c r="P349">
        <v>171.62941956359916</v>
      </c>
      <c r="Q349">
        <v>232.37868555682419</v>
      </c>
      <c r="R349">
        <v>2.7039324675296137</v>
      </c>
      <c r="S349">
        <v>406.71203758795298</v>
      </c>
      <c r="T349">
        <v>104.84108310191201</v>
      </c>
      <c r="U349">
        <v>0</v>
      </c>
      <c r="V349">
        <v>127.61439453423392</v>
      </c>
      <c r="W349">
        <v>0.69839497530961503</v>
      </c>
      <c r="X349">
        <v>1.0346967353887</v>
      </c>
      <c r="Y349">
        <v>234.18856934684425</v>
      </c>
      <c r="Z349">
        <v>0.69925664971249535</v>
      </c>
      <c r="AA349">
        <v>831.35923526446675</v>
      </c>
      <c r="AB349">
        <v>291.93299999999999</v>
      </c>
      <c r="AC349">
        <v>2.8477740963319214</v>
      </c>
    </row>
    <row r="350" spans="4:29">
      <c r="D350" t="s">
        <v>660</v>
      </c>
      <c r="E350" t="s">
        <v>122</v>
      </c>
      <c r="F350" t="s">
        <v>650</v>
      </c>
      <c r="G350" t="s">
        <v>650</v>
      </c>
      <c r="H350" t="s">
        <v>1181</v>
      </c>
      <c r="I350">
        <v>2015</v>
      </c>
      <c r="J350">
        <v>126.84687965701065</v>
      </c>
      <c r="K350">
        <v>56.134536498592169</v>
      </c>
      <c r="L350">
        <v>0</v>
      </c>
      <c r="M350">
        <v>2.9486902268223778</v>
      </c>
      <c r="N350">
        <v>7.6253400496200205E-2</v>
      </c>
      <c r="O350">
        <v>186.00635978292138</v>
      </c>
      <c r="P350">
        <v>142.83842161171412</v>
      </c>
      <c r="Q350">
        <v>250.4146680379398</v>
      </c>
      <c r="R350">
        <v>2.6824413557097588</v>
      </c>
      <c r="S350">
        <v>395.93553100536371</v>
      </c>
      <c r="T350">
        <v>107.08847020568551</v>
      </c>
      <c r="U350">
        <v>0</v>
      </c>
      <c r="V350">
        <v>124.9252182880652</v>
      </c>
      <c r="W350">
        <v>0.67447153542009508</v>
      </c>
      <c r="X350">
        <v>1.00644603950712</v>
      </c>
      <c r="Y350">
        <v>233.6946060686779</v>
      </c>
      <c r="Z350">
        <v>0.65618894764964408</v>
      </c>
      <c r="AA350">
        <v>816.29268580461257</v>
      </c>
      <c r="AB350">
        <v>297.32499999999987</v>
      </c>
      <c r="AC350">
        <v>2.7454559347670493</v>
      </c>
    </row>
    <row r="351" spans="4:29">
      <c r="D351" t="s">
        <v>661</v>
      </c>
      <c r="E351" t="s">
        <v>122</v>
      </c>
      <c r="F351" t="s">
        <v>651</v>
      </c>
      <c r="G351" t="s">
        <v>651</v>
      </c>
      <c r="H351" t="s">
        <v>1182</v>
      </c>
      <c r="I351">
        <v>2005</v>
      </c>
      <c r="J351">
        <v>191.21318273942089</v>
      </c>
      <c r="K351">
        <v>82.76436640071509</v>
      </c>
      <c r="L351">
        <v>0</v>
      </c>
      <c r="M351">
        <v>16.223952833319451</v>
      </c>
      <c r="N351">
        <v>0.24424388718510201</v>
      </c>
      <c r="O351">
        <v>290.44574586064056</v>
      </c>
      <c r="P351">
        <v>177.78131323191363</v>
      </c>
      <c r="Q351">
        <v>253.9188139221458</v>
      </c>
      <c r="R351">
        <v>2.3969941483081922</v>
      </c>
      <c r="S351">
        <v>434.09712130236761</v>
      </c>
      <c r="T351">
        <v>99.686477206112485</v>
      </c>
      <c r="U351">
        <v>0</v>
      </c>
      <c r="V351">
        <v>82.264642484862179</v>
      </c>
      <c r="W351">
        <v>0.48040268036497902</v>
      </c>
      <c r="X351">
        <v>0.909286018769214</v>
      </c>
      <c r="Y351">
        <v>183.34080839010889</v>
      </c>
      <c r="Z351">
        <v>1.3019953198536214</v>
      </c>
      <c r="AA351">
        <v>909.1856708729706</v>
      </c>
      <c r="AB351">
        <v>190.58299999999994</v>
      </c>
      <c r="AC351">
        <v>4.7705496863464782</v>
      </c>
    </row>
    <row r="352" spans="4:29">
      <c r="D352" t="s">
        <v>661</v>
      </c>
      <c r="E352" t="s">
        <v>122</v>
      </c>
      <c r="F352" t="s">
        <v>651</v>
      </c>
      <c r="G352" t="s">
        <v>651</v>
      </c>
      <c r="H352" t="s">
        <v>1182</v>
      </c>
      <c r="I352">
        <v>2006</v>
      </c>
      <c r="J352">
        <v>190.32479722299058</v>
      </c>
      <c r="K352">
        <v>79.566938325420224</v>
      </c>
      <c r="L352">
        <v>0</v>
      </c>
      <c r="M352">
        <v>16.158194952246809</v>
      </c>
      <c r="N352">
        <v>0.23019419493620799</v>
      </c>
      <c r="O352">
        <v>286.28012469559377</v>
      </c>
      <c r="P352">
        <v>184.76221113863048</v>
      </c>
      <c r="Q352">
        <v>244.16408662451542</v>
      </c>
      <c r="R352">
        <v>2.202679981000558</v>
      </c>
      <c r="S352">
        <v>431.12897774414648</v>
      </c>
      <c r="T352">
        <v>96.974483775716919</v>
      </c>
      <c r="U352">
        <v>0</v>
      </c>
      <c r="V352">
        <v>78.519046479261718</v>
      </c>
      <c r="W352">
        <v>0.47356242220684802</v>
      </c>
      <c r="X352">
        <v>0.91830601482128393</v>
      </c>
      <c r="Y352">
        <v>176.88539869200676</v>
      </c>
      <c r="Z352">
        <v>1.2107393790368324</v>
      </c>
      <c r="AA352">
        <v>895.50524051078389</v>
      </c>
      <c r="AB352">
        <v>192.52000000000012</v>
      </c>
      <c r="AC352">
        <v>4.6514920034842264</v>
      </c>
    </row>
    <row r="353" spans="4:29">
      <c r="D353" t="s">
        <v>661</v>
      </c>
      <c r="E353" t="s">
        <v>122</v>
      </c>
      <c r="F353" t="s">
        <v>651</v>
      </c>
      <c r="G353" t="s">
        <v>651</v>
      </c>
      <c r="H353" t="s">
        <v>1182</v>
      </c>
      <c r="I353">
        <v>2007</v>
      </c>
      <c r="J353">
        <v>182.25630641755632</v>
      </c>
      <c r="K353">
        <v>71.494521552915927</v>
      </c>
      <c r="L353">
        <v>0</v>
      </c>
      <c r="M353">
        <v>16.342754840574582</v>
      </c>
      <c r="N353">
        <v>0.21802418595765299</v>
      </c>
      <c r="O353">
        <v>270.31160699700445</v>
      </c>
      <c r="P353">
        <v>185.65545082786548</v>
      </c>
      <c r="Q353">
        <v>231.33043321574021</v>
      </c>
      <c r="R353">
        <v>2.0938203618891364</v>
      </c>
      <c r="S353">
        <v>419.07970440549479</v>
      </c>
      <c r="T353">
        <v>95.772869872648499</v>
      </c>
      <c r="U353">
        <v>0</v>
      </c>
      <c r="V353">
        <v>79.290992447004101</v>
      </c>
      <c r="W353">
        <v>0.55313853828425896</v>
      </c>
      <c r="X353">
        <v>0.88240657909367703</v>
      </c>
      <c r="Y353">
        <v>176.49940743703053</v>
      </c>
      <c r="Z353">
        <v>1.1348232894090216</v>
      </c>
      <c r="AA353">
        <v>867.02554212893881</v>
      </c>
      <c r="AB353">
        <v>194.26000000000013</v>
      </c>
      <c r="AC353">
        <v>4.463222187423753</v>
      </c>
    </row>
    <row r="354" spans="4:29">
      <c r="D354" t="s">
        <v>661</v>
      </c>
      <c r="E354" t="s">
        <v>122</v>
      </c>
      <c r="F354" t="s">
        <v>651</v>
      </c>
      <c r="G354" t="s">
        <v>651</v>
      </c>
      <c r="H354" t="s">
        <v>1182</v>
      </c>
      <c r="I354">
        <v>2008</v>
      </c>
      <c r="J354">
        <v>271.82173110353608</v>
      </c>
      <c r="K354">
        <v>73.446934823970849</v>
      </c>
      <c r="L354">
        <v>0</v>
      </c>
      <c r="M354">
        <v>15.354962935240602</v>
      </c>
      <c r="N354">
        <v>0.18055669759387399</v>
      </c>
      <c r="O354">
        <v>360.80418556034147</v>
      </c>
      <c r="P354">
        <v>181.04740610199335</v>
      </c>
      <c r="Q354">
        <v>243.17378035289192</v>
      </c>
      <c r="R354">
        <v>2.214766506725788</v>
      </c>
      <c r="S354">
        <v>426.43595296161101</v>
      </c>
      <c r="T354">
        <v>88.745015113743392</v>
      </c>
      <c r="U354">
        <v>0</v>
      </c>
      <c r="V354">
        <v>76.380930141960832</v>
      </c>
      <c r="W354">
        <v>0.560985978979338</v>
      </c>
      <c r="X354">
        <v>0.90091428930783601</v>
      </c>
      <c r="Y354">
        <v>166.5878455239914</v>
      </c>
      <c r="Z354">
        <v>1.0546253693884768</v>
      </c>
      <c r="AA354">
        <v>954.88260941533247</v>
      </c>
      <c r="AB354">
        <v>195.85900000000007</v>
      </c>
      <c r="AC354">
        <v>4.8753573203954481</v>
      </c>
    </row>
    <row r="355" spans="4:29">
      <c r="D355" t="s">
        <v>661</v>
      </c>
      <c r="E355" t="s">
        <v>122</v>
      </c>
      <c r="F355" t="s">
        <v>651</v>
      </c>
      <c r="G355" t="s">
        <v>651</v>
      </c>
      <c r="H355" t="s">
        <v>1182</v>
      </c>
      <c r="I355">
        <v>2009</v>
      </c>
      <c r="J355">
        <v>243.27126349562008</v>
      </c>
      <c r="K355">
        <v>64.9740831866566</v>
      </c>
      <c r="L355">
        <v>0</v>
      </c>
      <c r="M355">
        <v>10.240483397244063</v>
      </c>
      <c r="N355">
        <v>0.18532164302627199</v>
      </c>
      <c r="O355">
        <v>318.67115172254705</v>
      </c>
      <c r="P355">
        <v>163.41632204869413</v>
      </c>
      <c r="Q355">
        <v>219.60687056796075</v>
      </c>
      <c r="R355">
        <v>2.0527279409391155</v>
      </c>
      <c r="S355">
        <v>385.07592055759403</v>
      </c>
      <c r="T355">
        <v>84.023869786162322</v>
      </c>
      <c r="U355">
        <v>0</v>
      </c>
      <c r="V355">
        <v>74.333939802480387</v>
      </c>
      <c r="W355">
        <v>0.56519566179455505</v>
      </c>
      <c r="X355">
        <v>0.80973107879224493</v>
      </c>
      <c r="Y355">
        <v>159.73273632922951</v>
      </c>
      <c r="Z355">
        <v>1.002468620883445</v>
      </c>
      <c r="AA355">
        <v>864.48227723025389</v>
      </c>
      <c r="AB355">
        <v>198.13600000000011</v>
      </c>
      <c r="AC355">
        <v>4.363075247457572</v>
      </c>
    </row>
    <row r="356" spans="4:29">
      <c r="D356" t="s">
        <v>661</v>
      </c>
      <c r="E356" t="s">
        <v>122</v>
      </c>
      <c r="F356" t="s">
        <v>651</v>
      </c>
      <c r="G356" t="s">
        <v>651</v>
      </c>
      <c r="H356" t="s">
        <v>1182</v>
      </c>
      <c r="I356">
        <v>2010</v>
      </c>
      <c r="J356">
        <v>253.0411758248961</v>
      </c>
      <c r="K356">
        <v>73.281546625119702</v>
      </c>
      <c r="L356">
        <v>0</v>
      </c>
      <c r="M356">
        <v>10.108789926588432</v>
      </c>
      <c r="N356">
        <v>0.186983213894412</v>
      </c>
      <c r="O356">
        <v>336.61849559049864</v>
      </c>
      <c r="P356">
        <v>169.14115208626816</v>
      </c>
      <c r="Q356">
        <v>243.99376210535328</v>
      </c>
      <c r="R356">
        <v>2.1494924876197579</v>
      </c>
      <c r="S356">
        <v>415.28440667924116</v>
      </c>
      <c r="T356">
        <v>83.828604012644206</v>
      </c>
      <c r="U356">
        <v>0</v>
      </c>
      <c r="V356">
        <v>72.53932494197845</v>
      </c>
      <c r="W356">
        <v>0.56420800435037899</v>
      </c>
      <c r="X356">
        <v>0.815829421897447</v>
      </c>
      <c r="Y356">
        <v>157.74796638087045</v>
      </c>
      <c r="Z356">
        <v>0.93519438747927097</v>
      </c>
      <c r="AA356">
        <v>910.58606303808961</v>
      </c>
      <c r="AB356">
        <v>199.13600000000011</v>
      </c>
      <c r="AC356">
        <v>4.5726843114157614</v>
      </c>
    </row>
    <row r="357" spans="4:29">
      <c r="D357" t="s">
        <v>661</v>
      </c>
      <c r="E357" t="s">
        <v>122</v>
      </c>
      <c r="F357" t="s">
        <v>651</v>
      </c>
      <c r="G357" t="s">
        <v>651</v>
      </c>
      <c r="H357" t="s">
        <v>1182</v>
      </c>
      <c r="I357">
        <v>2011</v>
      </c>
      <c r="J357">
        <v>230.89144119443279</v>
      </c>
      <c r="K357">
        <v>60.279138660105161</v>
      </c>
      <c r="L357">
        <v>0</v>
      </c>
      <c r="M357">
        <v>8.3066659538942051</v>
      </c>
      <c r="N357">
        <v>0.188711138751438</v>
      </c>
      <c r="O357">
        <v>299.66595694718359</v>
      </c>
      <c r="P357">
        <v>160.96863944736734</v>
      </c>
      <c r="Q357">
        <v>200.1651341682898</v>
      </c>
      <c r="R357">
        <v>2.0421477563709609</v>
      </c>
      <c r="S357">
        <v>363.17592137202809</v>
      </c>
      <c r="T357">
        <v>78.121411370766054</v>
      </c>
      <c r="U357">
        <v>0</v>
      </c>
      <c r="V357">
        <v>71.693775612768221</v>
      </c>
      <c r="W357">
        <v>0.55769845361453807</v>
      </c>
      <c r="X357">
        <v>0.76166588116062595</v>
      </c>
      <c r="Y357">
        <v>151.13455131830943</v>
      </c>
      <c r="Z357">
        <v>0.86054032172805883</v>
      </c>
      <c r="AA357">
        <v>814.83696995924925</v>
      </c>
      <c r="AB357">
        <v>200.54299999999995</v>
      </c>
      <c r="AC357">
        <v>4.0631533883468851</v>
      </c>
    </row>
    <row r="358" spans="4:29">
      <c r="D358" t="s">
        <v>661</v>
      </c>
      <c r="E358" t="s">
        <v>122</v>
      </c>
      <c r="F358" t="s">
        <v>651</v>
      </c>
      <c r="G358" t="s">
        <v>651</v>
      </c>
      <c r="H358" t="s">
        <v>1182</v>
      </c>
      <c r="I358">
        <v>2012</v>
      </c>
      <c r="J358">
        <v>242.38449950087335</v>
      </c>
      <c r="K358">
        <v>64.153280113940326</v>
      </c>
      <c r="L358">
        <v>0</v>
      </c>
      <c r="M358">
        <v>9.8462519451902502</v>
      </c>
      <c r="N358">
        <v>0.192800126674568</v>
      </c>
      <c r="O358">
        <v>316.57683168667847</v>
      </c>
      <c r="P358">
        <v>171.47479914033411</v>
      </c>
      <c r="Q358">
        <v>220.33357188227964</v>
      </c>
      <c r="R358">
        <v>1.9864797208021709</v>
      </c>
      <c r="S358">
        <v>393.79485074341591</v>
      </c>
      <c r="T358">
        <v>76.630752829814199</v>
      </c>
      <c r="U358">
        <v>0</v>
      </c>
      <c r="V358">
        <v>70.862832326001012</v>
      </c>
      <c r="W358">
        <v>0.558035224976833</v>
      </c>
      <c r="X358">
        <v>0.73737484890961302</v>
      </c>
      <c r="Y358">
        <v>148.78899522970164</v>
      </c>
      <c r="Z358">
        <v>0.78033446298680631</v>
      </c>
      <c r="AA358">
        <v>859.94101212278304</v>
      </c>
      <c r="AB358">
        <v>202.22500000000005</v>
      </c>
      <c r="AC358">
        <v>4.2523971424046625</v>
      </c>
    </row>
    <row r="359" spans="4:29">
      <c r="D359" t="s">
        <v>661</v>
      </c>
      <c r="E359" t="s">
        <v>122</v>
      </c>
      <c r="F359" t="s">
        <v>651</v>
      </c>
      <c r="G359" t="s">
        <v>651</v>
      </c>
      <c r="H359" t="s">
        <v>1182</v>
      </c>
      <c r="I359">
        <v>2013</v>
      </c>
      <c r="J359">
        <v>238.31072996514291</v>
      </c>
      <c r="K359">
        <v>68.469695660814352</v>
      </c>
      <c r="L359">
        <v>0</v>
      </c>
      <c r="M359">
        <v>7.8652297286432997</v>
      </c>
      <c r="N359">
        <v>0.190121652739627</v>
      </c>
      <c r="O359">
        <v>314.83577700734014</v>
      </c>
      <c r="P359">
        <v>157.04613552037489</v>
      </c>
      <c r="Q359">
        <v>227.57806179152976</v>
      </c>
      <c r="R359">
        <v>2.1450795113333592</v>
      </c>
      <c r="S359">
        <v>386.76927682323799</v>
      </c>
      <c r="T359">
        <v>74.859117815685011</v>
      </c>
      <c r="U359">
        <v>0</v>
      </c>
      <c r="V359">
        <v>69.219456230574295</v>
      </c>
      <c r="W359">
        <v>0.56727244085556694</v>
      </c>
      <c r="X359">
        <v>0.74241776141989402</v>
      </c>
      <c r="Y359">
        <v>145.38826424853474</v>
      </c>
      <c r="Z359">
        <v>0.74317978986881561</v>
      </c>
      <c r="AA359">
        <v>847.7364978689817</v>
      </c>
      <c r="AB359">
        <v>203.22299999999998</v>
      </c>
      <c r="AC359">
        <v>4.1714594207790547</v>
      </c>
    </row>
    <row r="360" spans="4:29">
      <c r="D360" t="s">
        <v>661</v>
      </c>
      <c r="E360" t="s">
        <v>122</v>
      </c>
      <c r="F360" t="s">
        <v>651</v>
      </c>
      <c r="G360" t="s">
        <v>651</v>
      </c>
      <c r="H360" t="s">
        <v>1182</v>
      </c>
      <c r="I360">
        <v>2014</v>
      </c>
      <c r="J360">
        <v>157.63536124526647</v>
      </c>
      <c r="K360">
        <v>55.910101010297595</v>
      </c>
      <c r="L360">
        <v>0</v>
      </c>
      <c r="M360">
        <v>8.6032585434378248</v>
      </c>
      <c r="N360">
        <v>0.186766581819685</v>
      </c>
      <c r="O360">
        <v>222.33548738082158</v>
      </c>
      <c r="P360">
        <v>131.87926103788419</v>
      </c>
      <c r="Q360">
        <v>187.49668541726624</v>
      </c>
      <c r="R360">
        <v>2.0950821743762087</v>
      </c>
      <c r="S360">
        <v>321.47102862952664</v>
      </c>
      <c r="T360">
        <v>71.33671834042552</v>
      </c>
      <c r="U360">
        <v>0</v>
      </c>
      <c r="V360">
        <v>70.514669800074245</v>
      </c>
      <c r="W360">
        <v>0.57998553318026991</v>
      </c>
      <c r="X360">
        <v>0.71214820067205098</v>
      </c>
      <c r="Y360">
        <v>143.14352187435207</v>
      </c>
      <c r="Z360">
        <v>0.67336565081565281</v>
      </c>
      <c r="AA360">
        <v>687.62340353551576</v>
      </c>
      <c r="AB360">
        <v>203.51500000000004</v>
      </c>
      <c r="AC360">
        <v>3.3787357370980793</v>
      </c>
    </row>
    <row r="361" spans="4:29">
      <c r="D361" t="s">
        <v>661</v>
      </c>
      <c r="E361" t="s">
        <v>122</v>
      </c>
      <c r="F361" t="s">
        <v>651</v>
      </c>
      <c r="G361" t="s">
        <v>651</v>
      </c>
      <c r="H361" t="s">
        <v>1182</v>
      </c>
      <c r="I361">
        <v>2015</v>
      </c>
      <c r="J361">
        <v>168.92348639206816</v>
      </c>
      <c r="K361">
        <v>57.262698473558338</v>
      </c>
      <c r="L361">
        <v>0</v>
      </c>
      <c r="M361">
        <v>8.8209356779234493</v>
      </c>
      <c r="N361">
        <v>0.19063350124050099</v>
      </c>
      <c r="O361">
        <v>235.19775404479046</v>
      </c>
      <c r="P361">
        <v>110.38919123783251</v>
      </c>
      <c r="Q361">
        <v>201.35628926089382</v>
      </c>
      <c r="R361">
        <v>2.0836400444130825</v>
      </c>
      <c r="S361">
        <v>313.82912054313942</v>
      </c>
      <c r="T361">
        <v>72.022155859135538</v>
      </c>
      <c r="U361">
        <v>0</v>
      </c>
      <c r="V361">
        <v>68.553120916340163</v>
      </c>
      <c r="W361">
        <v>0.569141965786083</v>
      </c>
      <c r="X361">
        <v>0.69340105633690308</v>
      </c>
      <c r="Y361">
        <v>141.83781979759868</v>
      </c>
      <c r="Z361">
        <v>0.63090318250849131</v>
      </c>
      <c r="AA361">
        <v>691.49559756803706</v>
      </c>
      <c r="AB361">
        <v>204.56499999999991</v>
      </c>
      <c r="AC361">
        <v>3.3803221351063835</v>
      </c>
    </row>
    <row r="362" spans="4:29">
      <c r="D362" t="s">
        <v>661</v>
      </c>
      <c r="E362" t="s">
        <v>122</v>
      </c>
      <c r="F362" t="s">
        <v>652</v>
      </c>
      <c r="G362" t="s">
        <v>652</v>
      </c>
      <c r="H362" t="s">
        <v>1183</v>
      </c>
      <c r="I362">
        <v>2005</v>
      </c>
      <c r="J362">
        <v>368.56674751160193</v>
      </c>
      <c r="K362">
        <v>251.22755037552938</v>
      </c>
      <c r="L362">
        <v>2.6223149528597371</v>
      </c>
      <c r="M362">
        <v>30.371725782757597</v>
      </c>
      <c r="N362">
        <v>6.8038508357206096E-2</v>
      </c>
      <c r="O362">
        <v>652.85637713110577</v>
      </c>
      <c r="P362">
        <v>195.44326139317397</v>
      </c>
      <c r="Q362">
        <v>271.81368518732154</v>
      </c>
      <c r="R362">
        <v>2.6202303923329269</v>
      </c>
      <c r="S362">
        <v>469.87717697282847</v>
      </c>
      <c r="T362">
        <v>241.18202927020704</v>
      </c>
      <c r="U362">
        <v>0</v>
      </c>
      <c r="V362">
        <v>83.160004516779225</v>
      </c>
      <c r="W362">
        <v>0.74727786117522499</v>
      </c>
      <c r="X362">
        <v>13.79725453667286</v>
      </c>
      <c r="Y362">
        <v>338.88656618483435</v>
      </c>
      <c r="Z362">
        <v>0.90895964758898296</v>
      </c>
      <c r="AA362">
        <v>1462.5290799363574</v>
      </c>
      <c r="AB362">
        <v>253.79799999999983</v>
      </c>
      <c r="AC362">
        <v>5.7625713360087882</v>
      </c>
    </row>
    <row r="363" spans="4:29">
      <c r="D363" t="s">
        <v>661</v>
      </c>
      <c r="E363" t="s">
        <v>122</v>
      </c>
      <c r="F363" t="s">
        <v>652</v>
      </c>
      <c r="G363" t="s">
        <v>652</v>
      </c>
      <c r="H363" t="s">
        <v>1183</v>
      </c>
      <c r="I363">
        <v>2006</v>
      </c>
      <c r="J363">
        <v>479.72681852344306</v>
      </c>
      <c r="K363">
        <v>240.80944070537538</v>
      </c>
      <c r="L363">
        <v>3.7435993989786343</v>
      </c>
      <c r="M363">
        <v>27.572166492798203</v>
      </c>
      <c r="N363">
        <v>6.4128873782940743E-2</v>
      </c>
      <c r="O363">
        <v>751.91615399437819</v>
      </c>
      <c r="P363">
        <v>206.81970189920287</v>
      </c>
      <c r="Q363">
        <v>259.04384465242168</v>
      </c>
      <c r="R363">
        <v>2.2867231045208927</v>
      </c>
      <c r="S363">
        <v>468.15026965614544</v>
      </c>
      <c r="T363">
        <v>247.31292426213452</v>
      </c>
      <c r="U363">
        <v>0</v>
      </c>
      <c r="V363">
        <v>80.876110543562305</v>
      </c>
      <c r="W363">
        <v>0.729179281386237</v>
      </c>
      <c r="X363">
        <v>14.096871621854561</v>
      </c>
      <c r="Y363">
        <v>343.01508570893759</v>
      </c>
      <c r="Z363">
        <v>0.85278049896318764</v>
      </c>
      <c r="AA363">
        <v>1563.9342898584243</v>
      </c>
      <c r="AB363">
        <v>257.99399999999991</v>
      </c>
      <c r="AC363">
        <v>6.0619017878649304</v>
      </c>
    </row>
    <row r="364" spans="4:29">
      <c r="D364" t="s">
        <v>661</v>
      </c>
      <c r="E364" t="s">
        <v>122</v>
      </c>
      <c r="F364" t="s">
        <v>652</v>
      </c>
      <c r="G364" t="s">
        <v>652</v>
      </c>
      <c r="H364" t="s">
        <v>1183</v>
      </c>
      <c r="I364">
        <v>2007</v>
      </c>
      <c r="J364">
        <v>476.97430008243015</v>
      </c>
      <c r="K364">
        <v>229.60798977700074</v>
      </c>
      <c r="L364">
        <v>4.0898594055751145</v>
      </c>
      <c r="M364">
        <v>27.4817834234419</v>
      </c>
      <c r="N364">
        <v>6.0740626740039792E-2</v>
      </c>
      <c r="O364">
        <v>738.21467331518795</v>
      </c>
      <c r="P364">
        <v>209.96059350469184</v>
      </c>
      <c r="Q364">
        <v>247.58204007469624</v>
      </c>
      <c r="R364">
        <v>2.1374666411627561</v>
      </c>
      <c r="S364">
        <v>459.6801002205508</v>
      </c>
      <c r="T364">
        <v>246.75546086215303</v>
      </c>
      <c r="U364">
        <v>0</v>
      </c>
      <c r="V364">
        <v>81.700896476095267</v>
      </c>
      <c r="W364">
        <v>0.81186825633619297</v>
      </c>
      <c r="X364">
        <v>14.36546669767311</v>
      </c>
      <c r="Y364">
        <v>343.63369229225759</v>
      </c>
      <c r="Z364">
        <v>0.80971735469038741</v>
      </c>
      <c r="AA364">
        <v>1542.3381831826866</v>
      </c>
      <c r="AB364">
        <v>266.28499999999991</v>
      </c>
      <c r="AC364">
        <v>5.7920580700478324</v>
      </c>
    </row>
    <row r="365" spans="4:29">
      <c r="D365" t="s">
        <v>661</v>
      </c>
      <c r="E365" t="s">
        <v>122</v>
      </c>
      <c r="F365" t="s">
        <v>652</v>
      </c>
      <c r="G365" t="s">
        <v>652</v>
      </c>
      <c r="H365" t="s">
        <v>1183</v>
      </c>
      <c r="I365">
        <v>2008</v>
      </c>
      <c r="J365">
        <v>483.86777036736396</v>
      </c>
      <c r="K365">
        <v>241.57622414914783</v>
      </c>
      <c r="L365">
        <v>1.5378715677626689</v>
      </c>
      <c r="M365">
        <v>24.783936861915802</v>
      </c>
      <c r="N365">
        <v>4.8184936658848876E-2</v>
      </c>
      <c r="O365">
        <v>751.81398788284901</v>
      </c>
      <c r="P365">
        <v>207.08486119544224</v>
      </c>
      <c r="Q365">
        <v>255.89823281835535</v>
      </c>
      <c r="R365">
        <v>2.3334065973101126</v>
      </c>
      <c r="S365">
        <v>465.3165006111077</v>
      </c>
      <c r="T365">
        <v>232.83168872613578</v>
      </c>
      <c r="U365">
        <v>0</v>
      </c>
      <c r="V365">
        <v>78.753402813308995</v>
      </c>
      <c r="W365">
        <v>0.80112619037113797</v>
      </c>
      <c r="X365">
        <v>14.09491043468452</v>
      </c>
      <c r="Y365">
        <v>326.48112816450038</v>
      </c>
      <c r="Z365">
        <v>0.76056805136819716</v>
      </c>
      <c r="AA365">
        <v>1544.3721847098257</v>
      </c>
      <c r="AB365">
        <v>276.47800000000001</v>
      </c>
      <c r="AC365">
        <v>5.5858773020270167</v>
      </c>
    </row>
    <row r="366" spans="4:29">
      <c r="D366" t="s">
        <v>661</v>
      </c>
      <c r="E366" t="s">
        <v>122</v>
      </c>
      <c r="F366" t="s">
        <v>652</v>
      </c>
      <c r="G366" t="s">
        <v>652</v>
      </c>
      <c r="H366" t="s">
        <v>1183</v>
      </c>
      <c r="I366">
        <v>2009</v>
      </c>
      <c r="J366">
        <v>461.07806579817014</v>
      </c>
      <c r="K366">
        <v>242.4335078329257</v>
      </c>
      <c r="L366">
        <v>5.1431757208660134</v>
      </c>
      <c r="M366">
        <v>23.280690911896002</v>
      </c>
      <c r="N366">
        <v>4.9460278464752393E-2</v>
      </c>
      <c r="O366">
        <v>731.98490054232263</v>
      </c>
      <c r="P366">
        <v>189.78174553143501</v>
      </c>
      <c r="Q366">
        <v>229.34242679226807</v>
      </c>
      <c r="R366">
        <v>2.0441706961018795</v>
      </c>
      <c r="S366">
        <v>421.16834301980498</v>
      </c>
      <c r="T366">
        <v>230.96025346935193</v>
      </c>
      <c r="U366">
        <v>0</v>
      </c>
      <c r="V366">
        <v>76.211506463634521</v>
      </c>
      <c r="W366">
        <v>0.79866418481436008</v>
      </c>
      <c r="X366">
        <v>13.295841395925869</v>
      </c>
      <c r="Y366">
        <v>321.26626551372669</v>
      </c>
      <c r="Z366">
        <v>0.74157567585609196</v>
      </c>
      <c r="AA366">
        <v>1475.1610847517104</v>
      </c>
      <c r="AB366">
        <v>286.44700000000006</v>
      </c>
      <c r="AC366">
        <v>5.1498569883842737</v>
      </c>
    </row>
    <row r="367" spans="4:29">
      <c r="D367" t="s">
        <v>661</v>
      </c>
      <c r="E367" t="s">
        <v>122</v>
      </c>
      <c r="F367" t="s">
        <v>652</v>
      </c>
      <c r="G367" t="s">
        <v>652</v>
      </c>
      <c r="H367" t="s">
        <v>1183</v>
      </c>
      <c r="I367">
        <v>2010</v>
      </c>
      <c r="J367">
        <v>495.77342317349678</v>
      </c>
      <c r="K367">
        <v>275.08445447728866</v>
      </c>
      <c r="L367">
        <v>1.9105464266539895</v>
      </c>
      <c r="M367">
        <v>23.941913180533362</v>
      </c>
      <c r="N367">
        <v>4.990136948553682E-2</v>
      </c>
      <c r="O367">
        <v>796.76023862745831</v>
      </c>
      <c r="P367">
        <v>197.71784776369427</v>
      </c>
      <c r="Q367">
        <v>254.48275529701888</v>
      </c>
      <c r="R367">
        <v>2.1596652197548099</v>
      </c>
      <c r="S367">
        <v>454.36026828046795</v>
      </c>
      <c r="T367">
        <v>221.74995539234962</v>
      </c>
      <c r="U367">
        <v>0</v>
      </c>
      <c r="V367">
        <v>74.316721470818607</v>
      </c>
      <c r="W367">
        <v>0.80190950043920206</v>
      </c>
      <c r="X367">
        <v>12.892249892865589</v>
      </c>
      <c r="Y367">
        <v>309.76083625647306</v>
      </c>
      <c r="Z367">
        <v>0.70266376871021541</v>
      </c>
      <c r="AA367">
        <v>1561.5840069331095</v>
      </c>
      <c r="AB367">
        <v>299.17100000000011</v>
      </c>
      <c r="AC367">
        <v>5.2197038046238067</v>
      </c>
    </row>
    <row r="368" spans="4:29">
      <c r="D368" t="s">
        <v>661</v>
      </c>
      <c r="E368" t="s">
        <v>122</v>
      </c>
      <c r="F368" t="s">
        <v>652</v>
      </c>
      <c r="G368" t="s">
        <v>652</v>
      </c>
      <c r="H368" t="s">
        <v>1183</v>
      </c>
      <c r="I368">
        <v>2011</v>
      </c>
      <c r="J368">
        <v>479.48726631920897</v>
      </c>
      <c r="K368">
        <v>247.04982719935973</v>
      </c>
      <c r="L368">
        <v>0.91489297357915356</v>
      </c>
      <c r="M368">
        <v>19.732756586531519</v>
      </c>
      <c r="N368">
        <v>5.0365932187193756E-2</v>
      </c>
      <c r="O368">
        <v>747.23510901086661</v>
      </c>
      <c r="P368">
        <v>190.20688405143966</v>
      </c>
      <c r="Q368">
        <v>209.14744143738187</v>
      </c>
      <c r="R368">
        <v>2.0493375068667228</v>
      </c>
      <c r="S368">
        <v>401.40366299568825</v>
      </c>
      <c r="T368">
        <v>209.8918424324437</v>
      </c>
      <c r="U368">
        <v>0</v>
      </c>
      <c r="V368">
        <v>72.594489616885625</v>
      </c>
      <c r="W368">
        <v>0.79560027297389901</v>
      </c>
      <c r="X368">
        <v>13.215378314430092</v>
      </c>
      <c r="Y368">
        <v>296.49731063673335</v>
      </c>
      <c r="Z368">
        <v>0.6530833641472007</v>
      </c>
      <c r="AA368">
        <v>1445.7891660074356</v>
      </c>
      <c r="AB368">
        <v>310.45999999999992</v>
      </c>
      <c r="AC368">
        <v>4.6569257424706434</v>
      </c>
    </row>
    <row r="369" spans="4:29">
      <c r="D369" t="s">
        <v>661</v>
      </c>
      <c r="E369" t="s">
        <v>122</v>
      </c>
      <c r="F369" t="s">
        <v>652</v>
      </c>
      <c r="G369" t="s">
        <v>652</v>
      </c>
      <c r="H369" t="s">
        <v>1183</v>
      </c>
      <c r="I369">
        <v>2012</v>
      </c>
      <c r="J369">
        <v>525.60486706412735</v>
      </c>
      <c r="K369">
        <v>204.56261605262389</v>
      </c>
      <c r="L369">
        <v>2.2829373557512853</v>
      </c>
      <c r="M369">
        <v>20.48013350258649</v>
      </c>
      <c r="N369">
        <v>5.1447064553304243E-2</v>
      </c>
      <c r="O369">
        <v>752.98200103964223</v>
      </c>
      <c r="P369">
        <v>202.6360342419753</v>
      </c>
      <c r="Q369">
        <v>224.9890721550637</v>
      </c>
      <c r="R369">
        <v>1.9528630224039252</v>
      </c>
      <c r="S369">
        <v>429.57796941944287</v>
      </c>
      <c r="T369">
        <v>210.07725206242912</v>
      </c>
      <c r="U369">
        <v>0</v>
      </c>
      <c r="V369">
        <v>71.199997031850273</v>
      </c>
      <c r="W369">
        <v>0.81878120101299601</v>
      </c>
      <c r="X369">
        <v>13.125385929965391</v>
      </c>
      <c r="Y369">
        <v>295.22141622525777</v>
      </c>
      <c r="Z369">
        <v>0.59493237460977766</v>
      </c>
      <c r="AA369">
        <v>1478.3763190589527</v>
      </c>
      <c r="AB369">
        <v>314.084</v>
      </c>
      <c r="AC369">
        <v>4.7069456548533282</v>
      </c>
    </row>
    <row r="370" spans="4:29">
      <c r="D370" t="s">
        <v>661</v>
      </c>
      <c r="E370" t="s">
        <v>122</v>
      </c>
      <c r="F370" t="s">
        <v>652</v>
      </c>
      <c r="G370" t="s">
        <v>652</v>
      </c>
      <c r="H370" t="s">
        <v>1183</v>
      </c>
      <c r="I370">
        <v>2013</v>
      </c>
      <c r="J370">
        <v>526.05302035406589</v>
      </c>
      <c r="K370">
        <v>218.12055926589471</v>
      </c>
      <c r="L370">
        <v>0.88781644098909873</v>
      </c>
      <c r="M370">
        <v>18.552332595255738</v>
      </c>
      <c r="N370">
        <v>5.0736321373469798E-2</v>
      </c>
      <c r="O370">
        <v>763.66446497757897</v>
      </c>
      <c r="P370">
        <v>184.02229395127321</v>
      </c>
      <c r="Q370">
        <v>230.95502155093385</v>
      </c>
      <c r="R370">
        <v>2.216501839387282</v>
      </c>
      <c r="S370">
        <v>417.1938173415943</v>
      </c>
      <c r="T370">
        <v>191.41891174178008</v>
      </c>
      <c r="U370">
        <v>0</v>
      </c>
      <c r="V370">
        <v>69.471280109251452</v>
      </c>
      <c r="W370">
        <v>0.81919021167285699</v>
      </c>
      <c r="X370">
        <v>13.46897942609384</v>
      </c>
      <c r="Y370">
        <v>275.1783614887982</v>
      </c>
      <c r="Z370">
        <v>0.58304252798344713</v>
      </c>
      <c r="AA370">
        <v>1456.6196863359551</v>
      </c>
      <c r="AB370">
        <v>318.22700000000003</v>
      </c>
      <c r="AC370">
        <v>4.5772976093667568</v>
      </c>
    </row>
    <row r="371" spans="4:29">
      <c r="D371" t="s">
        <v>661</v>
      </c>
      <c r="E371" t="s">
        <v>122</v>
      </c>
      <c r="F371" t="s">
        <v>652</v>
      </c>
      <c r="G371" t="s">
        <v>652</v>
      </c>
      <c r="H371" t="s">
        <v>1183</v>
      </c>
      <c r="I371">
        <v>2014</v>
      </c>
      <c r="J371">
        <v>439.44572171585594</v>
      </c>
      <c r="K371">
        <v>163.50507325824023</v>
      </c>
      <c r="L371">
        <v>1.2779353038877648</v>
      </c>
      <c r="M371">
        <v>19.970179760592508</v>
      </c>
      <c r="N371">
        <v>4.9833495172979823E-2</v>
      </c>
      <c r="O371">
        <v>624.24874353374935</v>
      </c>
      <c r="P371">
        <v>156.60587368986018</v>
      </c>
      <c r="Q371">
        <v>191.06651248470718</v>
      </c>
      <c r="R371">
        <v>2.135325121947278</v>
      </c>
      <c r="S371">
        <v>349.80771129651464</v>
      </c>
      <c r="T371">
        <v>200.72957523185391</v>
      </c>
      <c r="U371">
        <v>0</v>
      </c>
      <c r="V371">
        <v>71.046551499027046</v>
      </c>
      <c r="W371">
        <v>0.82816913740070797</v>
      </c>
      <c r="X371">
        <v>14.038601274981771</v>
      </c>
      <c r="Y371">
        <v>286.64289714326344</v>
      </c>
      <c r="Z371">
        <v>0.5321473922792298</v>
      </c>
      <c r="AA371">
        <v>1261.2314993658067</v>
      </c>
      <c r="AB371">
        <v>324.32200000000006</v>
      </c>
      <c r="AC371">
        <v>3.8888249929570193</v>
      </c>
    </row>
    <row r="372" spans="4:29">
      <c r="D372" t="s">
        <v>661</v>
      </c>
      <c r="E372" t="s">
        <v>122</v>
      </c>
      <c r="F372" t="s">
        <v>652</v>
      </c>
      <c r="G372" t="s">
        <v>652</v>
      </c>
      <c r="H372" t="s">
        <v>1183</v>
      </c>
      <c r="I372">
        <v>2015</v>
      </c>
      <c r="J372">
        <v>351.87376453643435</v>
      </c>
      <c r="K372">
        <v>177.58050848955978</v>
      </c>
      <c r="L372">
        <v>1.1781176954511148</v>
      </c>
      <c r="M372">
        <v>20.221728796816908</v>
      </c>
      <c r="N372">
        <v>5.0866525681065124E-2</v>
      </c>
      <c r="O372">
        <v>550.90498604394315</v>
      </c>
      <c r="P372">
        <v>130.12578905495931</v>
      </c>
      <c r="Q372">
        <v>203.2638759613466</v>
      </c>
      <c r="R372">
        <v>2.1066342153367201</v>
      </c>
      <c r="S372">
        <v>335.49629923164264</v>
      </c>
      <c r="T372">
        <v>208.40910702810442</v>
      </c>
      <c r="U372">
        <v>0</v>
      </c>
      <c r="V372">
        <v>70.615309414982605</v>
      </c>
      <c r="W372">
        <v>0.76587429380059702</v>
      </c>
      <c r="X372">
        <v>14.732405020934911</v>
      </c>
      <c r="Y372">
        <v>294.52269575782253</v>
      </c>
      <c r="Z372">
        <v>0.51132422493621821</v>
      </c>
      <c r="AA372">
        <v>1181.4353052583447</v>
      </c>
      <c r="AB372">
        <v>332.81699999999984</v>
      </c>
      <c r="AC372">
        <v>3.5498045630431898</v>
      </c>
    </row>
    <row r="373" spans="4:29">
      <c r="D373" t="s">
        <v>661</v>
      </c>
      <c r="E373" t="s">
        <v>122</v>
      </c>
      <c r="F373" t="s">
        <v>653</v>
      </c>
      <c r="G373" t="s">
        <v>653</v>
      </c>
      <c r="H373" t="s">
        <v>1184</v>
      </c>
      <c r="I373">
        <v>2005</v>
      </c>
      <c r="J373">
        <v>164.40968390070876</v>
      </c>
      <c r="K373">
        <v>65.05279621537963</v>
      </c>
      <c r="L373">
        <v>2.9565575018132981</v>
      </c>
      <c r="M373">
        <v>11.944884098712119</v>
      </c>
      <c r="N373">
        <v>0.33663496351079941</v>
      </c>
      <c r="O373">
        <v>244.70055668012461</v>
      </c>
      <c r="P373">
        <v>227.12613534992946</v>
      </c>
      <c r="Q373">
        <v>339.69431567902905</v>
      </c>
      <c r="R373">
        <v>3.292173299043561</v>
      </c>
      <c r="S373">
        <v>570.11262432800208</v>
      </c>
      <c r="T373">
        <v>209.92565239463835</v>
      </c>
      <c r="U373">
        <v>21.280053386576991</v>
      </c>
      <c r="V373">
        <v>62.688566574657763</v>
      </c>
      <c r="W373">
        <v>0.155706797742758</v>
      </c>
      <c r="X373">
        <v>1.38170090605533</v>
      </c>
      <c r="Y373">
        <v>295.43168005967124</v>
      </c>
      <c r="Z373">
        <v>1.4748075111209826</v>
      </c>
      <c r="AA373">
        <v>1111.719668578919</v>
      </c>
      <c r="AB373">
        <v>251.56000000000014</v>
      </c>
      <c r="AC373">
        <v>4.4193022284103929</v>
      </c>
    </row>
    <row r="374" spans="4:29">
      <c r="D374" t="s">
        <v>661</v>
      </c>
      <c r="E374" t="s">
        <v>122</v>
      </c>
      <c r="F374" t="s">
        <v>653</v>
      </c>
      <c r="G374" t="s">
        <v>653</v>
      </c>
      <c r="H374" t="s">
        <v>1184</v>
      </c>
      <c r="I374">
        <v>2006</v>
      </c>
      <c r="J374">
        <v>169.08140435099864</v>
      </c>
      <c r="K374">
        <v>61.239052877242386</v>
      </c>
      <c r="L374">
        <v>7.020076360938568E-2</v>
      </c>
      <c r="M374">
        <v>11.199130843527097</v>
      </c>
      <c r="N374">
        <v>0.31885528668181051</v>
      </c>
      <c r="O374">
        <v>241.90864412205931</v>
      </c>
      <c r="P374">
        <v>235.82825305439542</v>
      </c>
      <c r="Q374">
        <v>327.30832515059768</v>
      </c>
      <c r="R374">
        <v>2.9789305265882771</v>
      </c>
      <c r="S374">
        <v>566.11550873158149</v>
      </c>
      <c r="T374">
        <v>212.56819255638368</v>
      </c>
      <c r="U374">
        <v>21.041010116874737</v>
      </c>
      <c r="V374">
        <v>61.14784822102547</v>
      </c>
      <c r="W374">
        <v>0.15318093113127501</v>
      </c>
      <c r="X374">
        <v>1.4287895671111601</v>
      </c>
      <c r="Y374">
        <v>296.33902139252632</v>
      </c>
      <c r="Z374">
        <v>1.3856187596645706</v>
      </c>
      <c r="AA374">
        <v>1105.7487930058317</v>
      </c>
      <c r="AB374">
        <v>255.59000000000009</v>
      </c>
      <c r="AC374">
        <v>4.3262599984578083</v>
      </c>
    </row>
    <row r="375" spans="4:29">
      <c r="D375" t="s">
        <v>661</v>
      </c>
      <c r="E375" t="s">
        <v>122</v>
      </c>
      <c r="F375" t="s">
        <v>653</v>
      </c>
      <c r="G375" t="s">
        <v>653</v>
      </c>
      <c r="H375" t="s">
        <v>1184</v>
      </c>
      <c r="I375">
        <v>2007</v>
      </c>
      <c r="J375">
        <v>165.08460919449317</v>
      </c>
      <c r="K375">
        <v>56.866389213536031</v>
      </c>
      <c r="L375">
        <v>9.8039668817540143E-3</v>
      </c>
      <c r="M375">
        <v>11.334815383211712</v>
      </c>
      <c r="N375">
        <v>0.30281163013131435</v>
      </c>
      <c r="O375">
        <v>233.59842938825398</v>
      </c>
      <c r="P375">
        <v>237.77945985330217</v>
      </c>
      <c r="Q375">
        <v>309.98941346910414</v>
      </c>
      <c r="R375">
        <v>2.8133375346132632</v>
      </c>
      <c r="S375">
        <v>550.58221085701962</v>
      </c>
      <c r="T375">
        <v>209.35642712223142</v>
      </c>
      <c r="U375">
        <v>22.595727219293877</v>
      </c>
      <c r="V375">
        <v>61.893484559751499</v>
      </c>
      <c r="W375">
        <v>0.17727141026933599</v>
      </c>
      <c r="X375">
        <v>1.3767564600577</v>
      </c>
      <c r="Y375">
        <v>295.39966677160385</v>
      </c>
      <c r="Z375">
        <v>1.305951904246909</v>
      </c>
      <c r="AA375">
        <v>1080.8862589211244</v>
      </c>
      <c r="AB375">
        <v>259.96500000000009</v>
      </c>
      <c r="AC375">
        <v>4.1578145478088357</v>
      </c>
    </row>
    <row r="376" spans="4:29">
      <c r="D376" t="s">
        <v>661</v>
      </c>
      <c r="E376" t="s">
        <v>122</v>
      </c>
      <c r="F376" t="s">
        <v>653</v>
      </c>
      <c r="G376" t="s">
        <v>653</v>
      </c>
      <c r="H376" t="s">
        <v>1184</v>
      </c>
      <c r="I376">
        <v>2008</v>
      </c>
      <c r="J376">
        <v>161.33741859313309</v>
      </c>
      <c r="K376">
        <v>56.553361439966004</v>
      </c>
      <c r="L376">
        <v>6.8048555287216123E-2</v>
      </c>
      <c r="M376">
        <v>11.317328836948949</v>
      </c>
      <c r="N376">
        <v>0.29867024913637885</v>
      </c>
      <c r="O376">
        <v>229.57482767447166</v>
      </c>
      <c r="P376">
        <v>232.08106366700858</v>
      </c>
      <c r="Q376">
        <v>329.0704684596904</v>
      </c>
      <c r="R376">
        <v>3.0067520542581869</v>
      </c>
      <c r="S376">
        <v>564.15828418095714</v>
      </c>
      <c r="T376">
        <v>184.92223981877225</v>
      </c>
      <c r="U376">
        <v>21.580261159366238</v>
      </c>
      <c r="V376">
        <v>59.625312496999655</v>
      </c>
      <c r="W376">
        <v>0.178864681283706</v>
      </c>
      <c r="X376">
        <v>1.38841684673447</v>
      </c>
      <c r="Y376">
        <v>267.69509500315633</v>
      </c>
      <c r="Z376">
        <v>1.2301455556345604</v>
      </c>
      <c r="AA376">
        <v>1062.65835241422</v>
      </c>
      <c r="AB376">
        <v>265.45200000000017</v>
      </c>
      <c r="AC376">
        <v>4.0032034130999925</v>
      </c>
    </row>
    <row r="377" spans="4:29">
      <c r="D377" t="s">
        <v>661</v>
      </c>
      <c r="E377" t="s">
        <v>122</v>
      </c>
      <c r="F377" t="s">
        <v>653</v>
      </c>
      <c r="G377" t="s">
        <v>653</v>
      </c>
      <c r="H377" t="s">
        <v>1184</v>
      </c>
      <c r="I377">
        <v>2009</v>
      </c>
      <c r="J377">
        <v>145.22425236494163</v>
      </c>
      <c r="K377">
        <v>53.740376624911704</v>
      </c>
      <c r="L377">
        <v>6.1675654593706157E-2</v>
      </c>
      <c r="M377">
        <v>9.3029911544335295</v>
      </c>
      <c r="N377">
        <v>0.30779555772373934</v>
      </c>
      <c r="O377">
        <v>208.63709135660432</v>
      </c>
      <c r="P377">
        <v>211.83530627686122</v>
      </c>
      <c r="Q377">
        <v>297.61490276935422</v>
      </c>
      <c r="R377">
        <v>2.736677011347791</v>
      </c>
      <c r="S377">
        <v>512.18688605756324</v>
      </c>
      <c r="T377">
        <v>181.91416088182791</v>
      </c>
      <c r="U377">
        <v>21.120775553971917</v>
      </c>
      <c r="V377">
        <v>57.693973968984338</v>
      </c>
      <c r="W377">
        <v>0.1798560346209</v>
      </c>
      <c r="X377">
        <v>1.2742223114886999</v>
      </c>
      <c r="Y377">
        <v>262.1829887508938</v>
      </c>
      <c r="Z377">
        <v>1.2249411299453217</v>
      </c>
      <c r="AA377">
        <v>984.23190729500675</v>
      </c>
      <c r="AB377">
        <v>270.43500000000017</v>
      </c>
      <c r="AC377">
        <v>3.6394398184221943</v>
      </c>
    </row>
    <row r="378" spans="4:29">
      <c r="D378" t="s">
        <v>661</v>
      </c>
      <c r="E378" t="s">
        <v>122</v>
      </c>
      <c r="F378" t="s">
        <v>653</v>
      </c>
      <c r="G378" t="s">
        <v>653</v>
      </c>
      <c r="H378" t="s">
        <v>1184</v>
      </c>
      <c r="I378">
        <v>2010</v>
      </c>
      <c r="J378">
        <v>147.47737603058596</v>
      </c>
      <c r="K378">
        <v>54.92222770423345</v>
      </c>
      <c r="L378">
        <v>0</v>
      </c>
      <c r="M378">
        <v>8.6659267648516192</v>
      </c>
      <c r="N378">
        <v>0.30967790218607411</v>
      </c>
      <c r="O378">
        <v>211.37520840185709</v>
      </c>
      <c r="P378">
        <v>218.22667104068969</v>
      </c>
      <c r="Q378">
        <v>331.64576432578946</v>
      </c>
      <c r="R378">
        <v>2.8766869746717183</v>
      </c>
      <c r="S378">
        <v>552.74912234115095</v>
      </c>
      <c r="T378">
        <v>181.81165859606909</v>
      </c>
      <c r="U378">
        <v>20.99005747528598</v>
      </c>
      <c r="V378">
        <v>56.172206249278432</v>
      </c>
      <c r="W378">
        <v>0.17973390552716897</v>
      </c>
      <c r="X378">
        <v>1.30788384358918</v>
      </c>
      <c r="Y378">
        <v>260.46154006974984</v>
      </c>
      <c r="Z378">
        <v>1.1613408877220877</v>
      </c>
      <c r="AA378">
        <v>1025.7472117004802</v>
      </c>
      <c r="AB378">
        <v>275.08799999999991</v>
      </c>
      <c r="AC378">
        <v>3.7287966458023636</v>
      </c>
    </row>
    <row r="379" spans="4:29">
      <c r="D379" t="s">
        <v>661</v>
      </c>
      <c r="E379" t="s">
        <v>122</v>
      </c>
      <c r="F379" t="s">
        <v>653</v>
      </c>
      <c r="G379" t="s">
        <v>653</v>
      </c>
      <c r="H379" t="s">
        <v>1184</v>
      </c>
      <c r="I379">
        <v>2011</v>
      </c>
      <c r="J379">
        <v>138.32701559363559</v>
      </c>
      <c r="K379">
        <v>43.36761005328119</v>
      </c>
      <c r="L379">
        <v>3.6875332356561194E-2</v>
      </c>
      <c r="M379">
        <v>7.2758630957262502</v>
      </c>
      <c r="N379">
        <v>0.31382640705657633</v>
      </c>
      <c r="O379">
        <v>189.32119048205618</v>
      </c>
      <c r="P379">
        <v>208.36945032878606</v>
      </c>
      <c r="Q379">
        <v>270.50605667352795</v>
      </c>
      <c r="R379">
        <v>2.7239242011274212</v>
      </c>
      <c r="S379">
        <v>481.59943120344144</v>
      </c>
      <c r="T379">
        <v>199.7276414497949</v>
      </c>
      <c r="U379">
        <v>20.919488766939864</v>
      </c>
      <c r="V379">
        <v>55.221473616709787</v>
      </c>
      <c r="W379">
        <v>0.177782074539624</v>
      </c>
      <c r="X379">
        <v>1.3237692826821998</v>
      </c>
      <c r="Y379">
        <v>277.37015519066631</v>
      </c>
      <c r="Z379">
        <v>1.07985496328202</v>
      </c>
      <c r="AA379">
        <v>949.37063183944588</v>
      </c>
      <c r="AB379">
        <v>281.39500000000021</v>
      </c>
      <c r="AC379">
        <v>3.3738006426533702</v>
      </c>
    </row>
    <row r="380" spans="4:29">
      <c r="D380" t="s">
        <v>661</v>
      </c>
      <c r="E380" t="s">
        <v>122</v>
      </c>
      <c r="F380" t="s">
        <v>653</v>
      </c>
      <c r="G380" t="s">
        <v>653</v>
      </c>
      <c r="H380" t="s">
        <v>1184</v>
      </c>
      <c r="I380">
        <v>2012</v>
      </c>
      <c r="J380">
        <v>146.60668095208666</v>
      </c>
      <c r="K380">
        <v>51.994505487355248</v>
      </c>
      <c r="L380">
        <v>3.5857800596956688E-2</v>
      </c>
      <c r="M380">
        <v>7.7872090513922405</v>
      </c>
      <c r="N380">
        <v>0.31685417321711051</v>
      </c>
      <c r="O380">
        <v>206.74110746464819</v>
      </c>
      <c r="P380">
        <v>220.94173195642924</v>
      </c>
      <c r="Q380">
        <v>298.02000541597795</v>
      </c>
      <c r="R380">
        <v>2.6322823422269099</v>
      </c>
      <c r="S380">
        <v>521.5940197146341</v>
      </c>
      <c r="T380">
        <v>196.81218302113578</v>
      </c>
      <c r="U380">
        <v>21.693224106263891</v>
      </c>
      <c r="V380">
        <v>54.617971489338238</v>
      </c>
      <c r="W380">
        <v>0.178829362520498</v>
      </c>
      <c r="X380">
        <v>1.27257467306588</v>
      </c>
      <c r="Y380">
        <v>274.5747826523243</v>
      </c>
      <c r="Z380">
        <v>0.97886901918210911</v>
      </c>
      <c r="AA380">
        <v>1003.8887788507885</v>
      </c>
      <c r="AB380">
        <v>284.61700000000013</v>
      </c>
      <c r="AC380">
        <v>3.5271567715589303</v>
      </c>
    </row>
    <row r="381" spans="4:29">
      <c r="D381" t="s">
        <v>661</v>
      </c>
      <c r="E381" t="s">
        <v>122</v>
      </c>
      <c r="F381" t="s">
        <v>653</v>
      </c>
      <c r="G381" t="s">
        <v>653</v>
      </c>
      <c r="H381" t="s">
        <v>1184</v>
      </c>
      <c r="I381">
        <v>2013</v>
      </c>
      <c r="J381">
        <v>134.38247001315676</v>
      </c>
      <c r="K381">
        <v>51.226812496435542</v>
      </c>
      <c r="L381">
        <v>1.8030976153538963E-2</v>
      </c>
      <c r="M381">
        <v>6.3166382071228906</v>
      </c>
      <c r="N381">
        <v>0.31405560387406134</v>
      </c>
      <c r="O381">
        <v>192.25800729674279</v>
      </c>
      <c r="P381">
        <v>200.90291074794581</v>
      </c>
      <c r="Q381">
        <v>306.07878402401121</v>
      </c>
      <c r="R381">
        <v>2.8964466544278169</v>
      </c>
      <c r="S381">
        <v>509.87814142638479</v>
      </c>
      <c r="T381">
        <v>188.36735453675306</v>
      </c>
      <c r="U381">
        <v>20.829347191322583</v>
      </c>
      <c r="V381">
        <v>53.290857914323745</v>
      </c>
      <c r="W381">
        <v>0.18124529080832399</v>
      </c>
      <c r="X381">
        <v>1.28500426059761</v>
      </c>
      <c r="Y381">
        <v>263.95380919380528</v>
      </c>
      <c r="Z381">
        <v>0.96317015487391267</v>
      </c>
      <c r="AA381">
        <v>967.05312807180667</v>
      </c>
      <c r="AB381">
        <v>288.27199999999999</v>
      </c>
      <c r="AC381">
        <v>3.3546550760108742</v>
      </c>
    </row>
    <row r="382" spans="4:29">
      <c r="D382" t="s">
        <v>661</v>
      </c>
      <c r="E382" t="s">
        <v>122</v>
      </c>
      <c r="F382" t="s">
        <v>653</v>
      </c>
      <c r="G382" t="s">
        <v>653</v>
      </c>
      <c r="H382" t="s">
        <v>1184</v>
      </c>
      <c r="I382">
        <v>2014</v>
      </c>
      <c r="J382">
        <v>133.32195165614297</v>
      </c>
      <c r="K382">
        <v>41.025170127227959</v>
      </c>
      <c r="L382">
        <v>3.087439859943885E-2</v>
      </c>
      <c r="M382">
        <v>6.938047439611676</v>
      </c>
      <c r="N382">
        <v>0.30558830023289607</v>
      </c>
      <c r="O382">
        <v>181.62163192181495</v>
      </c>
      <c r="P382">
        <v>168.76524260783694</v>
      </c>
      <c r="Q382">
        <v>252.92838107557066</v>
      </c>
      <c r="R382">
        <v>2.8091792575368828</v>
      </c>
      <c r="S382">
        <v>424.50280294094449</v>
      </c>
      <c r="T382">
        <v>187.48740897063817</v>
      </c>
      <c r="U382">
        <v>20.731322398271551</v>
      </c>
      <c r="V382">
        <v>54.275266623101132</v>
      </c>
      <c r="W382">
        <v>0.18491878161747102</v>
      </c>
      <c r="X382">
        <v>1.2718582267026699</v>
      </c>
      <c r="Y382">
        <v>263.95077500033096</v>
      </c>
      <c r="Z382">
        <v>0.86619052034816868</v>
      </c>
      <c r="AA382">
        <v>870.94140038343869</v>
      </c>
      <c r="AB382">
        <v>293.05500000000012</v>
      </c>
      <c r="AC382">
        <v>2.9719383746513053</v>
      </c>
    </row>
    <row r="383" spans="4:29">
      <c r="D383" t="s">
        <v>661</v>
      </c>
      <c r="E383" t="s">
        <v>122</v>
      </c>
      <c r="F383" t="s">
        <v>653</v>
      </c>
      <c r="G383" t="s">
        <v>653</v>
      </c>
      <c r="H383" t="s">
        <v>1184</v>
      </c>
      <c r="I383">
        <v>2015</v>
      </c>
      <c r="J383">
        <v>104.80063607438773</v>
      </c>
      <c r="K383">
        <v>43.532331038797281</v>
      </c>
      <c r="L383">
        <v>3.0013174471109627E-3</v>
      </c>
      <c r="M383">
        <v>7.1152590941545117</v>
      </c>
      <c r="N383">
        <v>0.31238392637822443</v>
      </c>
      <c r="O383">
        <v>155.76361145116488</v>
      </c>
      <c r="P383">
        <v>140.35646813399271</v>
      </c>
      <c r="Q383">
        <v>268.56761582113</v>
      </c>
      <c r="R383">
        <v>2.7856249797923645</v>
      </c>
      <c r="S383">
        <v>411.70970893491506</v>
      </c>
      <c r="T383">
        <v>191.77728048204287</v>
      </c>
      <c r="U383">
        <v>20.963353842243801</v>
      </c>
      <c r="V383">
        <v>52.735888267481528</v>
      </c>
      <c r="W383">
        <v>0.179523235110357</v>
      </c>
      <c r="X383">
        <v>1.2414044980877599</v>
      </c>
      <c r="Y383">
        <v>266.89745032496637</v>
      </c>
      <c r="Z383">
        <v>0.83897113892292541</v>
      </c>
      <c r="AA383">
        <v>835.2097418499693</v>
      </c>
      <c r="AB383">
        <v>296.79299999999984</v>
      </c>
      <c r="AC383">
        <v>2.8141153660968072</v>
      </c>
    </row>
    <row r="384" spans="4:29">
      <c r="D384" t="s">
        <v>661</v>
      </c>
      <c r="E384" t="s">
        <v>122</v>
      </c>
      <c r="F384" t="s">
        <v>654</v>
      </c>
      <c r="G384" t="s">
        <v>654</v>
      </c>
      <c r="H384" t="s">
        <v>1185</v>
      </c>
      <c r="I384">
        <v>2005</v>
      </c>
      <c r="J384">
        <v>221.17341348577267</v>
      </c>
      <c r="K384">
        <v>94.618679915956719</v>
      </c>
      <c r="L384">
        <v>6.1392041281451868E-4</v>
      </c>
      <c r="M384">
        <v>12.607418999490301</v>
      </c>
      <c r="N384">
        <v>0.31527985090231764</v>
      </c>
      <c r="O384">
        <v>328.71540617253481</v>
      </c>
      <c r="P384">
        <v>192.23374026763898</v>
      </c>
      <c r="Q384">
        <v>282.72973118028347</v>
      </c>
      <c r="R384">
        <v>3.9675763483419995</v>
      </c>
      <c r="S384">
        <v>478.93104779626441</v>
      </c>
      <c r="T384">
        <v>140.16927004781479</v>
      </c>
      <c r="U384">
        <v>0</v>
      </c>
      <c r="V384">
        <v>96.239276096106806</v>
      </c>
      <c r="W384">
        <v>3.9380551232061994E-2</v>
      </c>
      <c r="X384">
        <v>5.8923342189049093</v>
      </c>
      <c r="Y384">
        <v>242.34026091405858</v>
      </c>
      <c r="Z384">
        <v>1.7944315567603168</v>
      </c>
      <c r="AA384">
        <v>1051.7811464396182</v>
      </c>
      <c r="AB384">
        <v>181.5079999999999</v>
      </c>
      <c r="AC384">
        <v>5.7946820329661435</v>
      </c>
    </row>
    <row r="385" spans="4:29">
      <c r="D385" t="s">
        <v>661</v>
      </c>
      <c r="E385" t="s">
        <v>122</v>
      </c>
      <c r="F385" t="s">
        <v>654</v>
      </c>
      <c r="G385" t="s">
        <v>654</v>
      </c>
      <c r="H385" t="s">
        <v>1185</v>
      </c>
      <c r="I385">
        <v>2006</v>
      </c>
      <c r="J385">
        <v>233.50853057736347</v>
      </c>
      <c r="K385">
        <v>89.149719643409526</v>
      </c>
      <c r="L385">
        <v>6.7070793257375107E-4</v>
      </c>
      <c r="M385">
        <v>12.563998256702353</v>
      </c>
      <c r="N385">
        <v>0.29714807798978926</v>
      </c>
      <c r="O385">
        <v>335.52006726339766</v>
      </c>
      <c r="P385">
        <v>201.78244905312053</v>
      </c>
      <c r="Q385">
        <v>271.44561009194985</v>
      </c>
      <c r="R385">
        <v>3.6491918603385525</v>
      </c>
      <c r="S385">
        <v>476.87725100540888</v>
      </c>
      <c r="T385">
        <v>136.68675086921985</v>
      </c>
      <c r="U385">
        <v>0</v>
      </c>
      <c r="V385">
        <v>93.029906619021418</v>
      </c>
      <c r="W385">
        <v>3.7827145531948998E-2</v>
      </c>
      <c r="X385">
        <v>6.0382366710426307</v>
      </c>
      <c r="Y385">
        <v>235.79272130481581</v>
      </c>
      <c r="Z385">
        <v>1.6670878766074027</v>
      </c>
      <c r="AA385">
        <v>1049.8571274502297</v>
      </c>
      <c r="AB385">
        <v>182.5200000000001</v>
      </c>
      <c r="AC385">
        <v>5.7520114368300961</v>
      </c>
    </row>
    <row r="386" spans="4:29">
      <c r="D386" t="s">
        <v>661</v>
      </c>
      <c r="E386" t="s">
        <v>122</v>
      </c>
      <c r="F386" t="s">
        <v>654</v>
      </c>
      <c r="G386" t="s">
        <v>654</v>
      </c>
      <c r="H386" t="s">
        <v>1185</v>
      </c>
      <c r="I386">
        <v>2007</v>
      </c>
      <c r="J386">
        <v>232.93799403258697</v>
      </c>
      <c r="K386">
        <v>81.959579617756305</v>
      </c>
      <c r="L386">
        <v>0.14360583307478347</v>
      </c>
      <c r="M386">
        <v>12.717180568689566</v>
      </c>
      <c r="N386">
        <v>0.28144045633448256</v>
      </c>
      <c r="O386">
        <v>328.03980050844211</v>
      </c>
      <c r="P386">
        <v>201.10998528705952</v>
      </c>
      <c r="Q386">
        <v>258.33249696607197</v>
      </c>
      <c r="R386">
        <v>3.4402904519983957</v>
      </c>
      <c r="S386">
        <v>462.88277270512992</v>
      </c>
      <c r="T386">
        <v>133.082348135563</v>
      </c>
      <c r="U386">
        <v>0</v>
      </c>
      <c r="V386">
        <v>93.811399316031014</v>
      </c>
      <c r="W386">
        <v>3.8880933274399405E-2</v>
      </c>
      <c r="X386">
        <v>6.1310640092249997</v>
      </c>
      <c r="Y386">
        <v>233.06369239409344</v>
      </c>
      <c r="Z386">
        <v>1.5751741964834634</v>
      </c>
      <c r="AA386">
        <v>1025.5614398041489</v>
      </c>
      <c r="AB386">
        <v>182.42099999999999</v>
      </c>
      <c r="AC386">
        <v>5.6219483491711424</v>
      </c>
    </row>
    <row r="387" spans="4:29">
      <c r="D387" t="s">
        <v>661</v>
      </c>
      <c r="E387" t="s">
        <v>122</v>
      </c>
      <c r="F387" t="s">
        <v>654</v>
      </c>
      <c r="G387" t="s">
        <v>654</v>
      </c>
      <c r="H387" t="s">
        <v>1185</v>
      </c>
      <c r="I387">
        <v>2008</v>
      </c>
      <c r="J387">
        <v>224.42196779358193</v>
      </c>
      <c r="K387">
        <v>80.776370407312513</v>
      </c>
      <c r="L387">
        <v>0.1966276836042119</v>
      </c>
      <c r="M387">
        <v>11.083859512488488</v>
      </c>
      <c r="N387">
        <v>0.26485277342601282</v>
      </c>
      <c r="O387">
        <v>316.7436781704132</v>
      </c>
      <c r="P387">
        <v>195.93618667917696</v>
      </c>
      <c r="Q387">
        <v>271.84653673255787</v>
      </c>
      <c r="R387">
        <v>3.6540409807076877</v>
      </c>
      <c r="S387">
        <v>471.43676439244251</v>
      </c>
      <c r="T387">
        <v>122.2148057760763</v>
      </c>
      <c r="U387">
        <v>0</v>
      </c>
      <c r="V387">
        <v>90.314153150695788</v>
      </c>
      <c r="W387">
        <v>3.6469807890726298E-2</v>
      </c>
      <c r="X387">
        <v>6.2654395772861902</v>
      </c>
      <c r="Y387">
        <v>218.83086831194902</v>
      </c>
      <c r="Z387">
        <v>1.4642270965231816</v>
      </c>
      <c r="AA387">
        <v>1008.475537971328</v>
      </c>
      <c r="AB387">
        <v>182.92699999999996</v>
      </c>
      <c r="AC387">
        <v>5.5129944621150964</v>
      </c>
    </row>
    <row r="388" spans="4:29">
      <c r="D388" t="s">
        <v>661</v>
      </c>
      <c r="E388" t="s">
        <v>122</v>
      </c>
      <c r="F388" t="s">
        <v>654</v>
      </c>
      <c r="G388" t="s">
        <v>654</v>
      </c>
      <c r="H388" t="s">
        <v>1185</v>
      </c>
      <c r="I388">
        <v>2009</v>
      </c>
      <c r="J388">
        <v>192.06578750258262</v>
      </c>
      <c r="K388">
        <v>73.531354042443652</v>
      </c>
      <c r="L388">
        <v>0.16533802990076768</v>
      </c>
      <c r="M388">
        <v>8.0771360915970529</v>
      </c>
      <c r="N388">
        <v>0.27184602399815888</v>
      </c>
      <c r="O388">
        <v>274.11146169052222</v>
      </c>
      <c r="P388">
        <v>176.62665702544822</v>
      </c>
      <c r="Q388">
        <v>246.92283013962171</v>
      </c>
      <c r="R388">
        <v>3.3642760750785614</v>
      </c>
      <c r="S388">
        <v>426.91376324014851</v>
      </c>
      <c r="T388">
        <v>114.53428476828682</v>
      </c>
      <c r="U388">
        <v>0</v>
      </c>
      <c r="V388">
        <v>87.515534727635895</v>
      </c>
      <c r="W388">
        <v>3.5615662517409497E-2</v>
      </c>
      <c r="X388">
        <v>6.2017685298448297</v>
      </c>
      <c r="Y388">
        <v>208.28720368828496</v>
      </c>
      <c r="Z388">
        <v>1.4252064550891632</v>
      </c>
      <c r="AA388">
        <v>910.73763507404487</v>
      </c>
      <c r="AB388">
        <v>184.39400000000015</v>
      </c>
      <c r="AC388">
        <v>4.9390849760515207</v>
      </c>
    </row>
    <row r="389" spans="4:29">
      <c r="D389" t="s">
        <v>661</v>
      </c>
      <c r="E389" t="s">
        <v>122</v>
      </c>
      <c r="F389" t="s">
        <v>654</v>
      </c>
      <c r="G389" t="s">
        <v>654</v>
      </c>
      <c r="H389" t="s">
        <v>1185</v>
      </c>
      <c r="I389">
        <v>2010</v>
      </c>
      <c r="J389">
        <v>193.95311479565461</v>
      </c>
      <c r="K389">
        <v>77.800133850403725</v>
      </c>
      <c r="L389">
        <v>0.14527620614863263</v>
      </c>
      <c r="M389">
        <v>8.2740437694266795</v>
      </c>
      <c r="N389">
        <v>0.27428101101340951</v>
      </c>
      <c r="O389">
        <v>280.44684963264706</v>
      </c>
      <c r="P389">
        <v>182.39856803077777</v>
      </c>
      <c r="Q389">
        <v>276.25955440507084</v>
      </c>
      <c r="R389">
        <v>3.5465400509761582</v>
      </c>
      <c r="S389">
        <v>462.20466248682476</v>
      </c>
      <c r="T389">
        <v>112.96050204135918</v>
      </c>
      <c r="U389">
        <v>0</v>
      </c>
      <c r="V389">
        <v>85.221412376218865</v>
      </c>
      <c r="W389">
        <v>3.61711171823315E-2</v>
      </c>
      <c r="X389">
        <v>6.2809246200307802</v>
      </c>
      <c r="Y389">
        <v>204.49901015479116</v>
      </c>
      <c r="Z389">
        <v>1.3416467590320589</v>
      </c>
      <c r="AA389">
        <v>948.492169033295</v>
      </c>
      <c r="AB389">
        <v>186.30400000000006</v>
      </c>
      <c r="AC389">
        <v>5.0910993270852734</v>
      </c>
    </row>
    <row r="390" spans="4:29">
      <c r="D390" t="s">
        <v>661</v>
      </c>
      <c r="E390" t="s">
        <v>122</v>
      </c>
      <c r="F390" t="s">
        <v>654</v>
      </c>
      <c r="G390" t="s">
        <v>654</v>
      </c>
      <c r="H390" t="s">
        <v>1185</v>
      </c>
      <c r="I390">
        <v>2011</v>
      </c>
      <c r="J390">
        <v>170.2786600208475</v>
      </c>
      <c r="K390">
        <v>63.121579480765405</v>
      </c>
      <c r="L390">
        <v>0.15859914731180272</v>
      </c>
      <c r="M390">
        <v>6.4564071145012534</v>
      </c>
      <c r="N390">
        <v>0.27681906277122659</v>
      </c>
      <c r="O390">
        <v>240.29206482619719</v>
      </c>
      <c r="P390">
        <v>174.22949868324187</v>
      </c>
      <c r="Q390">
        <v>224.6278148370321</v>
      </c>
      <c r="R390">
        <v>3.3163471238055089</v>
      </c>
      <c r="S390">
        <v>402.17366064407946</v>
      </c>
      <c r="T390">
        <v>108.95688031147128</v>
      </c>
      <c r="U390">
        <v>0</v>
      </c>
      <c r="V390">
        <v>83.704584350937949</v>
      </c>
      <c r="W390">
        <v>3.6145468223172598E-2</v>
      </c>
      <c r="X390">
        <v>6.2457219688480654</v>
      </c>
      <c r="Y390">
        <v>198.94333209948047</v>
      </c>
      <c r="Z390">
        <v>1.2298464052926241</v>
      </c>
      <c r="AA390">
        <v>842.63890397504974</v>
      </c>
      <c r="AB390">
        <v>187.52700000000002</v>
      </c>
      <c r="AC390">
        <v>4.4934271010310498</v>
      </c>
    </row>
    <row r="391" spans="4:29">
      <c r="D391" t="s">
        <v>661</v>
      </c>
      <c r="E391" t="s">
        <v>122</v>
      </c>
      <c r="F391" t="s">
        <v>654</v>
      </c>
      <c r="G391" t="s">
        <v>654</v>
      </c>
      <c r="H391" t="s">
        <v>1185</v>
      </c>
      <c r="I391">
        <v>2012</v>
      </c>
      <c r="J391">
        <v>189.92085803449996</v>
      </c>
      <c r="K391">
        <v>71.134638477957239</v>
      </c>
      <c r="L391">
        <v>0.18065285520409383</v>
      </c>
      <c r="M391">
        <v>7.8934585108035558</v>
      </c>
      <c r="N391">
        <v>0.28280703151903996</v>
      </c>
      <c r="O391">
        <v>269.41241490998385</v>
      </c>
      <c r="P391">
        <v>186.07031566275978</v>
      </c>
      <c r="Q391">
        <v>248.85710279501907</v>
      </c>
      <c r="R391">
        <v>3.2172961962388795</v>
      </c>
      <c r="S391">
        <v>438.14471465401772</v>
      </c>
      <c r="T391">
        <v>112.00763607179003</v>
      </c>
      <c r="U391">
        <v>0</v>
      </c>
      <c r="V391">
        <v>82.538282698938531</v>
      </c>
      <c r="W391">
        <v>3.9188639126498601E-2</v>
      </c>
      <c r="X391">
        <v>6.2539982768409264</v>
      </c>
      <c r="Y391">
        <v>200.839105686696</v>
      </c>
      <c r="Z391">
        <v>1.096221500097537</v>
      </c>
      <c r="AA391">
        <v>909.49245675079499</v>
      </c>
      <c r="AB391">
        <v>189.14500000000012</v>
      </c>
      <c r="AC391">
        <v>4.8084403856871418</v>
      </c>
    </row>
    <row r="392" spans="4:29">
      <c r="D392" t="s">
        <v>661</v>
      </c>
      <c r="E392" t="s">
        <v>122</v>
      </c>
      <c r="F392" t="s">
        <v>654</v>
      </c>
      <c r="G392" t="s">
        <v>654</v>
      </c>
      <c r="H392" t="s">
        <v>1185</v>
      </c>
      <c r="I392">
        <v>2013</v>
      </c>
      <c r="J392">
        <v>172.75282785097505</v>
      </c>
      <c r="K392">
        <v>80.163506330997762</v>
      </c>
      <c r="L392">
        <v>0.14574596445899343</v>
      </c>
      <c r="M392">
        <v>6.2167031533092665</v>
      </c>
      <c r="N392">
        <v>0.2788821003068172</v>
      </c>
      <c r="O392">
        <v>259.55766540004788</v>
      </c>
      <c r="P392">
        <v>169.8703208719601</v>
      </c>
      <c r="Q392">
        <v>256.59966548316288</v>
      </c>
      <c r="R392">
        <v>3.5371534223743746</v>
      </c>
      <c r="S392">
        <v>430.00713977749734</v>
      </c>
      <c r="T392">
        <v>107.96106615634997</v>
      </c>
      <c r="U392">
        <v>0</v>
      </c>
      <c r="V392">
        <v>80.575307669280534</v>
      </c>
      <c r="W392">
        <v>3.80878716920195E-2</v>
      </c>
      <c r="X392">
        <v>6.3224129643154576</v>
      </c>
      <c r="Y392">
        <v>194.89687466163798</v>
      </c>
      <c r="Z392">
        <v>1.0789087293668786</v>
      </c>
      <c r="AA392">
        <v>885.54058856854999</v>
      </c>
      <c r="AB392">
        <v>191.36499999999987</v>
      </c>
      <c r="AC392">
        <v>4.6274950412486637</v>
      </c>
    </row>
    <row r="393" spans="4:29">
      <c r="D393" t="s">
        <v>661</v>
      </c>
      <c r="E393" t="s">
        <v>122</v>
      </c>
      <c r="F393" t="s">
        <v>654</v>
      </c>
      <c r="G393" t="s">
        <v>654</v>
      </c>
      <c r="H393" t="s">
        <v>1185</v>
      </c>
      <c r="I393">
        <v>2014</v>
      </c>
      <c r="J393">
        <v>167.37736841874462</v>
      </c>
      <c r="K393">
        <v>61.555191710874141</v>
      </c>
      <c r="L393">
        <v>0.14547867444578766</v>
      </c>
      <c r="M393">
        <v>6.8074927398619005</v>
      </c>
      <c r="N393">
        <v>0.27395323370523389</v>
      </c>
      <c r="O393">
        <v>236.15948477763172</v>
      </c>
      <c r="P393">
        <v>141.69469596160263</v>
      </c>
      <c r="Q393">
        <v>212.14568070087915</v>
      </c>
      <c r="R393">
        <v>3.4095151143008153</v>
      </c>
      <c r="S393">
        <v>357.24989177678259</v>
      </c>
      <c r="T393">
        <v>104.7026431662309</v>
      </c>
      <c r="U393">
        <v>0</v>
      </c>
      <c r="V393">
        <v>81.870754365863831</v>
      </c>
      <c r="W393">
        <v>3.7693032503841699E-2</v>
      </c>
      <c r="X393">
        <v>6.5350246640425178</v>
      </c>
      <c r="Y393">
        <v>193.14611522864109</v>
      </c>
      <c r="Z393">
        <v>0.96490719051908391</v>
      </c>
      <c r="AA393">
        <v>787.52039897357452</v>
      </c>
      <c r="AB393">
        <v>193.58500000000001</v>
      </c>
      <c r="AC393">
        <v>4.0680858484571347</v>
      </c>
    </row>
    <row r="394" spans="4:29">
      <c r="D394" t="s">
        <v>661</v>
      </c>
      <c r="E394" t="s">
        <v>122</v>
      </c>
      <c r="F394" t="s">
        <v>654</v>
      </c>
      <c r="G394" t="s">
        <v>654</v>
      </c>
      <c r="H394" t="s">
        <v>1185</v>
      </c>
      <c r="I394">
        <v>2015</v>
      </c>
      <c r="J394">
        <v>129.01521327053086</v>
      </c>
      <c r="K394">
        <v>58.98804193889476</v>
      </c>
      <c r="L394">
        <v>0.14213540066006949</v>
      </c>
      <c r="M394">
        <v>6.9782761866239955</v>
      </c>
      <c r="N394">
        <v>0.27962655734837838</v>
      </c>
      <c r="O394">
        <v>195.40329335405804</v>
      </c>
      <c r="P394">
        <v>118.68809904923502</v>
      </c>
      <c r="Q394">
        <v>221.92541155905261</v>
      </c>
      <c r="R394">
        <v>3.3812591790547617</v>
      </c>
      <c r="S394">
        <v>343.99476978734242</v>
      </c>
      <c r="T394">
        <v>105.74981080788582</v>
      </c>
      <c r="U394">
        <v>0</v>
      </c>
      <c r="V394">
        <v>80.18885439090829</v>
      </c>
      <c r="W394">
        <v>3.07579367380174E-2</v>
      </c>
      <c r="X394">
        <v>6.7168617342052341</v>
      </c>
      <c r="Y394">
        <v>192.68628486973736</v>
      </c>
      <c r="Z394">
        <v>0.92236362876818623</v>
      </c>
      <c r="AA394">
        <v>733.00671163990603</v>
      </c>
      <c r="AB394">
        <v>194.72999999999988</v>
      </c>
      <c r="AC394">
        <v>3.7642207756375829</v>
      </c>
    </row>
    <row r="395" spans="4:29">
      <c r="D395" t="s">
        <v>660</v>
      </c>
      <c r="E395" t="s">
        <v>122</v>
      </c>
      <c r="F395" t="s">
        <v>655</v>
      </c>
      <c r="G395" t="s">
        <v>655</v>
      </c>
      <c r="H395" t="s">
        <v>1186</v>
      </c>
      <c r="I395">
        <v>2005</v>
      </c>
      <c r="J395">
        <v>715.28224219569461</v>
      </c>
      <c r="K395">
        <v>208.85442799770794</v>
      </c>
      <c r="L395">
        <v>0.20284953104116271</v>
      </c>
      <c r="M395">
        <v>12.912653270257721</v>
      </c>
      <c r="N395">
        <v>0.11200987378808801</v>
      </c>
      <c r="O395">
        <v>937.36418286848948</v>
      </c>
      <c r="P395">
        <v>243.68385700729092</v>
      </c>
      <c r="Q395">
        <v>261.53088242700767</v>
      </c>
      <c r="R395">
        <v>4.1794104579246838</v>
      </c>
      <c r="S395">
        <v>509.39414989222331</v>
      </c>
      <c r="T395">
        <v>167.97909241163626</v>
      </c>
      <c r="U395">
        <v>0</v>
      </c>
      <c r="V395">
        <v>123.64591143967417</v>
      </c>
      <c r="W395">
        <v>0.40727792629526699</v>
      </c>
      <c r="X395">
        <v>1.2029896900177801</v>
      </c>
      <c r="Y395">
        <v>293.23527146762348</v>
      </c>
      <c r="Z395">
        <v>1.08635586453582</v>
      </c>
      <c r="AA395">
        <v>1741.0799600928719</v>
      </c>
      <c r="AB395">
        <v>261.81099999999986</v>
      </c>
      <c r="AC395">
        <v>6.6501405979614026</v>
      </c>
    </row>
    <row r="396" spans="4:29">
      <c r="D396" t="s">
        <v>660</v>
      </c>
      <c r="E396" t="s">
        <v>122</v>
      </c>
      <c r="F396" t="s">
        <v>655</v>
      </c>
      <c r="G396" t="s">
        <v>655</v>
      </c>
      <c r="H396" t="s">
        <v>1186</v>
      </c>
      <c r="I396">
        <v>2006</v>
      </c>
      <c r="J396">
        <v>758.94338509469605</v>
      </c>
      <c r="K396">
        <v>187.51173459071714</v>
      </c>
      <c r="L396">
        <v>0.40466045265282879</v>
      </c>
      <c r="M396">
        <v>11.7315545955868</v>
      </c>
      <c r="N396">
        <v>0.105774733681524</v>
      </c>
      <c r="O396">
        <v>958.69710946733426</v>
      </c>
      <c r="P396">
        <v>250.76305966959362</v>
      </c>
      <c r="Q396">
        <v>250.16516023112297</v>
      </c>
      <c r="R396">
        <v>4.0057912784160177</v>
      </c>
      <c r="S396">
        <v>504.93401117913265</v>
      </c>
      <c r="T396">
        <v>168.79382445165248</v>
      </c>
      <c r="U396">
        <v>0</v>
      </c>
      <c r="V396">
        <v>117.18745956641862</v>
      </c>
      <c r="W396">
        <v>0.40068484144713801</v>
      </c>
      <c r="X396">
        <v>1.2256118720208402</v>
      </c>
      <c r="Y396">
        <v>287.60758073153909</v>
      </c>
      <c r="Z396">
        <v>1.0112945787797278</v>
      </c>
      <c r="AA396">
        <v>1752.2499959567858</v>
      </c>
      <c r="AB396">
        <v>267.55299999999994</v>
      </c>
      <c r="AC396">
        <v>6.5491696821070446</v>
      </c>
    </row>
    <row r="397" spans="4:29">
      <c r="D397" t="s">
        <v>660</v>
      </c>
      <c r="E397" t="s">
        <v>122</v>
      </c>
      <c r="F397" t="s">
        <v>655</v>
      </c>
      <c r="G397" t="s">
        <v>655</v>
      </c>
      <c r="H397" t="s">
        <v>1186</v>
      </c>
      <c r="I397">
        <v>2007</v>
      </c>
      <c r="J397">
        <v>728.34283738766749</v>
      </c>
      <c r="K397">
        <v>183.4592244268336</v>
      </c>
      <c r="L397">
        <v>0.36864989253947789</v>
      </c>
      <c r="M397">
        <v>11.74081651667297</v>
      </c>
      <c r="N397">
        <v>0.100264233633396</v>
      </c>
      <c r="O397">
        <v>924.01179245734693</v>
      </c>
      <c r="P397">
        <v>257.10970317845857</v>
      </c>
      <c r="Q397">
        <v>237.29758852808271</v>
      </c>
      <c r="R397">
        <v>3.6395076942937381</v>
      </c>
      <c r="S397">
        <v>498.04679940083503</v>
      </c>
      <c r="T397">
        <v>161.82701170220133</v>
      </c>
      <c r="U397">
        <v>0</v>
      </c>
      <c r="V397">
        <v>127.71079746838372</v>
      </c>
      <c r="W397">
        <v>0.463773415913247</v>
      </c>
      <c r="X397">
        <v>1.21192695098187</v>
      </c>
      <c r="Y397">
        <v>291.21350953748015</v>
      </c>
      <c r="Z397">
        <v>0.94870200430611251</v>
      </c>
      <c r="AA397">
        <v>1714.2208033999686</v>
      </c>
      <c r="AB397">
        <v>272.62600000000015</v>
      </c>
      <c r="AC397">
        <v>6.2878111530080316</v>
      </c>
    </row>
    <row r="398" spans="4:29">
      <c r="D398" t="s">
        <v>660</v>
      </c>
      <c r="E398" t="s">
        <v>122</v>
      </c>
      <c r="F398" t="s">
        <v>655</v>
      </c>
      <c r="G398" t="s">
        <v>655</v>
      </c>
      <c r="H398" t="s">
        <v>1186</v>
      </c>
      <c r="I398">
        <v>2008</v>
      </c>
      <c r="J398">
        <v>716.47743949759149</v>
      </c>
      <c r="K398">
        <v>197.03044532268487</v>
      </c>
      <c r="L398">
        <v>1.3058974960847594</v>
      </c>
      <c r="M398">
        <v>8.41275514736936</v>
      </c>
      <c r="N398">
        <v>8.9434180470632105E-2</v>
      </c>
      <c r="O398">
        <v>923.31597164420111</v>
      </c>
      <c r="P398">
        <v>252.15243754413586</v>
      </c>
      <c r="Q398">
        <v>244.51650144137957</v>
      </c>
      <c r="R398">
        <v>3.802593227237955</v>
      </c>
      <c r="S398">
        <v>500.47153221275335</v>
      </c>
      <c r="T398">
        <v>147.79918017238032</v>
      </c>
      <c r="U398">
        <v>0</v>
      </c>
      <c r="V398">
        <v>122.86574012962365</v>
      </c>
      <c r="W398">
        <v>0.46798321043450697</v>
      </c>
      <c r="X398">
        <v>1.2212267330106199</v>
      </c>
      <c r="Y398">
        <v>272.35413024544908</v>
      </c>
      <c r="Z398">
        <v>0.88268742948116596</v>
      </c>
      <c r="AA398">
        <v>1697.0243215318849</v>
      </c>
      <c r="AB398">
        <v>276.97300000000001</v>
      </c>
      <c r="AC398">
        <v>6.1270388143677712</v>
      </c>
    </row>
    <row r="399" spans="4:29">
      <c r="D399" t="s">
        <v>660</v>
      </c>
      <c r="E399" t="s">
        <v>122</v>
      </c>
      <c r="F399" t="s">
        <v>655</v>
      </c>
      <c r="G399" t="s">
        <v>655</v>
      </c>
      <c r="H399" t="s">
        <v>1186</v>
      </c>
      <c r="I399">
        <v>2009</v>
      </c>
      <c r="J399">
        <v>596.13110193433431</v>
      </c>
      <c r="K399">
        <v>185.27659711143633</v>
      </c>
      <c r="L399">
        <v>0.46990704026289398</v>
      </c>
      <c r="M399">
        <v>6.8873162974930802</v>
      </c>
      <c r="N399">
        <v>9.0913574516014811E-2</v>
      </c>
      <c r="O399">
        <v>788.85583595804258</v>
      </c>
      <c r="P399">
        <v>229.17997142428794</v>
      </c>
      <c r="Q399">
        <v>221.3167675894922</v>
      </c>
      <c r="R399">
        <v>3.6017186809899036</v>
      </c>
      <c r="S399">
        <v>454.09845769477005</v>
      </c>
      <c r="T399">
        <v>143.8273861061507</v>
      </c>
      <c r="U399">
        <v>0</v>
      </c>
      <c r="V399">
        <v>119.43818757552225</v>
      </c>
      <c r="W399">
        <v>0.47059288146603701</v>
      </c>
      <c r="X399">
        <v>1.1038410835849999</v>
      </c>
      <c r="Y399">
        <v>264.84000764672396</v>
      </c>
      <c r="Z399">
        <v>0.83942082084286818</v>
      </c>
      <c r="AA399">
        <v>1508.6337221203796</v>
      </c>
      <c r="AB399">
        <v>281.11999999999995</v>
      </c>
      <c r="AC399">
        <v>5.3665115328698771</v>
      </c>
    </row>
    <row r="400" spans="4:29">
      <c r="D400" t="s">
        <v>660</v>
      </c>
      <c r="E400" t="s">
        <v>122</v>
      </c>
      <c r="F400" t="s">
        <v>655</v>
      </c>
      <c r="G400" t="s">
        <v>655</v>
      </c>
      <c r="H400" t="s">
        <v>1186</v>
      </c>
      <c r="I400">
        <v>2010</v>
      </c>
      <c r="J400">
        <v>621.01845809253462</v>
      </c>
      <c r="K400">
        <v>210.0133576121828</v>
      </c>
      <c r="L400">
        <v>0.34183127613832009</v>
      </c>
      <c r="M400">
        <v>6.8085748532224697</v>
      </c>
      <c r="N400">
        <v>9.1751399070759507E-2</v>
      </c>
      <c r="O400">
        <v>838.27397323314904</v>
      </c>
      <c r="P400">
        <v>237.6091692791754</v>
      </c>
      <c r="Q400">
        <v>244.24288290627581</v>
      </c>
      <c r="R400">
        <v>3.924103460183507</v>
      </c>
      <c r="S400">
        <v>485.77615564563473</v>
      </c>
      <c r="T400">
        <v>140.22826657024166</v>
      </c>
      <c r="U400">
        <v>0</v>
      </c>
      <c r="V400">
        <v>116.21721719008437</v>
      </c>
      <c r="W400">
        <v>0.470264614015523</v>
      </c>
      <c r="X400">
        <v>1.0952613977448</v>
      </c>
      <c r="Y400">
        <v>258.01100977208642</v>
      </c>
      <c r="Z400">
        <v>0.7838518129665446</v>
      </c>
      <c r="AA400">
        <v>1582.8449904638364</v>
      </c>
      <c r="AB400">
        <v>283.77699999999999</v>
      </c>
      <c r="AC400">
        <v>5.5777775875558504</v>
      </c>
    </row>
    <row r="401" spans="4:29">
      <c r="D401" t="s">
        <v>660</v>
      </c>
      <c r="E401" t="s">
        <v>122</v>
      </c>
      <c r="F401" t="s">
        <v>655</v>
      </c>
      <c r="G401" t="s">
        <v>655</v>
      </c>
      <c r="H401" t="s">
        <v>1186</v>
      </c>
      <c r="I401">
        <v>2011</v>
      </c>
      <c r="J401">
        <v>556.77094936946219</v>
      </c>
      <c r="K401">
        <v>165.61286047706</v>
      </c>
      <c r="L401">
        <v>0.28194443823997156</v>
      </c>
      <c r="M401">
        <v>5.7910997754528211</v>
      </c>
      <c r="N401">
        <v>9.2669837387563209E-2</v>
      </c>
      <c r="O401">
        <v>728.54952389760251</v>
      </c>
      <c r="P401">
        <v>227.65753140915581</v>
      </c>
      <c r="Q401">
        <v>199.6712440617749</v>
      </c>
      <c r="R401">
        <v>3.3477426942633604</v>
      </c>
      <c r="S401">
        <v>430.67651816519412</v>
      </c>
      <c r="T401">
        <v>134.93224776497152</v>
      </c>
      <c r="U401">
        <v>0</v>
      </c>
      <c r="V401">
        <v>113.34876811653993</v>
      </c>
      <c r="W401">
        <v>0.46515222611885598</v>
      </c>
      <c r="X401">
        <v>1.0413356175630399</v>
      </c>
      <c r="Y401">
        <v>249.78750372519335</v>
      </c>
      <c r="Z401">
        <v>0.72236258995161262</v>
      </c>
      <c r="AA401">
        <v>1409.7359083779418</v>
      </c>
      <c r="AB401">
        <v>288.71699999999987</v>
      </c>
      <c r="AC401">
        <v>4.8827603098464669</v>
      </c>
    </row>
    <row r="402" spans="4:29">
      <c r="D402" t="s">
        <v>660</v>
      </c>
      <c r="E402" t="s">
        <v>122</v>
      </c>
      <c r="F402" t="s">
        <v>655</v>
      </c>
      <c r="G402" t="s">
        <v>655</v>
      </c>
      <c r="H402" t="s">
        <v>1186</v>
      </c>
      <c r="I402">
        <v>2012</v>
      </c>
      <c r="J402">
        <v>645.95401913165153</v>
      </c>
      <c r="K402">
        <v>197.02483902576654</v>
      </c>
      <c r="L402">
        <v>0.25019580399382407</v>
      </c>
      <c r="M402">
        <v>6.0570134327203498</v>
      </c>
      <c r="N402">
        <v>9.484745362321359E-2</v>
      </c>
      <c r="O402">
        <v>849.38091484775543</v>
      </c>
      <c r="P402">
        <v>242.07330763413108</v>
      </c>
      <c r="Q402">
        <v>216.8435754425085</v>
      </c>
      <c r="R402">
        <v>3.2857365070969329</v>
      </c>
      <c r="S402">
        <v>462.20261958373652</v>
      </c>
      <c r="T402">
        <v>124.91164854302232</v>
      </c>
      <c r="U402">
        <v>0</v>
      </c>
      <c r="V402">
        <v>111.53525229027203</v>
      </c>
      <c r="W402">
        <v>0.46784980632963802</v>
      </c>
      <c r="X402">
        <v>0.96987018053881602</v>
      </c>
      <c r="Y402">
        <v>237.88462082016281</v>
      </c>
      <c r="Z402">
        <v>0.65641676307236829</v>
      </c>
      <c r="AA402">
        <v>1550.1245720147272</v>
      </c>
      <c r="AB402">
        <v>293.52999999999986</v>
      </c>
      <c r="AC402">
        <v>5.2809749327657407</v>
      </c>
    </row>
    <row r="403" spans="4:29">
      <c r="D403" t="s">
        <v>660</v>
      </c>
      <c r="E403" t="s">
        <v>122</v>
      </c>
      <c r="F403" t="s">
        <v>655</v>
      </c>
      <c r="G403" t="s">
        <v>655</v>
      </c>
      <c r="H403" t="s">
        <v>1186</v>
      </c>
      <c r="I403">
        <v>2013</v>
      </c>
      <c r="J403">
        <v>577.29130372259488</v>
      </c>
      <c r="K403">
        <v>208.61686657068597</v>
      </c>
      <c r="L403">
        <v>0.20250260123290006</v>
      </c>
      <c r="M403">
        <v>4.8136367126933601</v>
      </c>
      <c r="N403">
        <v>9.4242420903646804E-2</v>
      </c>
      <c r="O403">
        <v>791.01855202811078</v>
      </c>
      <c r="P403">
        <v>218.75906748656175</v>
      </c>
      <c r="Q403">
        <v>222.22778703281699</v>
      </c>
      <c r="R403">
        <v>3.5392288713108946</v>
      </c>
      <c r="S403">
        <v>444.52608339068968</v>
      </c>
      <c r="T403">
        <v>121.00984655769366</v>
      </c>
      <c r="U403">
        <v>0</v>
      </c>
      <c r="V403">
        <v>108.34653866552648</v>
      </c>
      <c r="W403">
        <v>0.47419482552122899</v>
      </c>
      <c r="X403">
        <v>0.96386083967186909</v>
      </c>
      <c r="Y403">
        <v>230.79444088841325</v>
      </c>
      <c r="Z403">
        <v>0.62536841487286143</v>
      </c>
      <c r="AA403">
        <v>1466.9644447220862</v>
      </c>
      <c r="AB403">
        <v>298.46500000000009</v>
      </c>
      <c r="AC403">
        <v>4.9150300528440045</v>
      </c>
    </row>
    <row r="404" spans="4:29">
      <c r="D404" t="s">
        <v>660</v>
      </c>
      <c r="E404" t="s">
        <v>122</v>
      </c>
      <c r="F404" t="s">
        <v>655</v>
      </c>
      <c r="G404" t="s">
        <v>655</v>
      </c>
      <c r="H404" t="s">
        <v>1186</v>
      </c>
      <c r="I404">
        <v>2014</v>
      </c>
      <c r="J404">
        <v>418.35623842722572</v>
      </c>
      <c r="K404">
        <v>147.79129331808144</v>
      </c>
      <c r="L404">
        <v>0.2152177695380614</v>
      </c>
      <c r="M404">
        <v>5.4585514922063503</v>
      </c>
      <c r="N404">
        <v>9.176098877220229E-2</v>
      </c>
      <c r="O404">
        <v>571.91306199582368</v>
      </c>
      <c r="P404">
        <v>183.97273808659048</v>
      </c>
      <c r="Q404">
        <v>182.27301515142483</v>
      </c>
      <c r="R404">
        <v>3.343194479172992</v>
      </c>
      <c r="S404">
        <v>369.58894771718832</v>
      </c>
      <c r="T404">
        <v>117.90796899651805</v>
      </c>
      <c r="U404">
        <v>0</v>
      </c>
      <c r="V404">
        <v>110.46632449001588</v>
      </c>
      <c r="W404">
        <v>0.48382338285050597</v>
      </c>
      <c r="X404">
        <v>0.95788483659306001</v>
      </c>
      <c r="Y404">
        <v>229.8160017059775</v>
      </c>
      <c r="Z404">
        <v>0.56790970585685785</v>
      </c>
      <c r="AA404">
        <v>1171.8859211248464</v>
      </c>
      <c r="AB404">
        <v>302.53800000000024</v>
      </c>
      <c r="AC404">
        <v>3.8735164545440424</v>
      </c>
    </row>
    <row r="405" spans="4:29">
      <c r="D405" t="s">
        <v>660</v>
      </c>
      <c r="E405" t="s">
        <v>122</v>
      </c>
      <c r="F405" t="s">
        <v>655</v>
      </c>
      <c r="G405" t="s">
        <v>655</v>
      </c>
      <c r="H405" t="s">
        <v>1186</v>
      </c>
      <c r="I405">
        <v>2015</v>
      </c>
      <c r="J405">
        <v>448.17446617818149</v>
      </c>
      <c r="K405">
        <v>164.91173670071868</v>
      </c>
      <c r="L405">
        <v>1.3171809976604414</v>
      </c>
      <c r="M405">
        <v>5.8672253322420502</v>
      </c>
      <c r="N405">
        <v>9.3676556478099499E-2</v>
      </c>
      <c r="O405">
        <v>620.36428576528067</v>
      </c>
      <c r="P405">
        <v>152.35295622241233</v>
      </c>
      <c r="Q405">
        <v>194.47360593154553</v>
      </c>
      <c r="R405">
        <v>3.2936398734085652</v>
      </c>
      <c r="S405">
        <v>350.12020202736642</v>
      </c>
      <c r="T405">
        <v>118.85380322766741</v>
      </c>
      <c r="U405">
        <v>0</v>
      </c>
      <c r="V405">
        <v>105.23499615161552</v>
      </c>
      <c r="W405">
        <v>0.46979417475970003</v>
      </c>
      <c r="X405">
        <v>0.93387560515650203</v>
      </c>
      <c r="Y405">
        <v>225.49246915919915</v>
      </c>
      <c r="Z405">
        <v>0.53263025759226312</v>
      </c>
      <c r="AA405">
        <v>1196.5095872094385</v>
      </c>
      <c r="AB405">
        <v>308.9009999999999</v>
      </c>
      <c r="AC405">
        <v>3.8734403165073563</v>
      </c>
    </row>
    <row r="406" spans="4:29">
      <c r="D406" t="s">
        <v>661</v>
      </c>
      <c r="E406" t="s">
        <v>122</v>
      </c>
      <c r="F406" t="s">
        <v>656</v>
      </c>
      <c r="G406" t="s">
        <v>656</v>
      </c>
      <c r="H406" t="s">
        <v>1187</v>
      </c>
      <c r="I406">
        <v>2005</v>
      </c>
      <c r="J406">
        <v>163.78771257325974</v>
      </c>
      <c r="K406">
        <v>68.929903644457767</v>
      </c>
      <c r="L406">
        <v>5.3013389451371663E-2</v>
      </c>
      <c r="M406">
        <v>13.787443367602853</v>
      </c>
      <c r="N406">
        <v>0.29142554713117924</v>
      </c>
      <c r="O406">
        <v>246.84949852190292</v>
      </c>
      <c r="P406">
        <v>189.36568308191471</v>
      </c>
      <c r="Q406">
        <v>245.63926280224422</v>
      </c>
      <c r="R406">
        <v>4.0400033638548543</v>
      </c>
      <c r="S406">
        <v>439.04494924801378</v>
      </c>
      <c r="T406">
        <v>73.054973928191075</v>
      </c>
      <c r="U406">
        <v>0</v>
      </c>
      <c r="V406">
        <v>115.14016797330791</v>
      </c>
      <c r="W406">
        <v>1.6576003697600299E-2</v>
      </c>
      <c r="X406">
        <v>0.97107668980172401</v>
      </c>
      <c r="Y406">
        <v>189.18279459499828</v>
      </c>
      <c r="Z406">
        <v>1.6714311943262667</v>
      </c>
      <c r="AA406">
        <v>876.74867355924141</v>
      </c>
      <c r="AB406">
        <v>182.10300000000004</v>
      </c>
      <c r="AC406">
        <v>4.814575671785974</v>
      </c>
    </row>
    <row r="407" spans="4:29">
      <c r="D407" t="s">
        <v>661</v>
      </c>
      <c r="E407" t="s">
        <v>122</v>
      </c>
      <c r="F407" t="s">
        <v>656</v>
      </c>
      <c r="G407" t="s">
        <v>656</v>
      </c>
      <c r="H407" t="s">
        <v>1187</v>
      </c>
      <c r="I407">
        <v>2006</v>
      </c>
      <c r="J407">
        <v>171.99294564898241</v>
      </c>
      <c r="K407">
        <v>67.420580412525439</v>
      </c>
      <c r="L407">
        <v>4.3596015617293565E-2</v>
      </c>
      <c r="M407">
        <v>13.642453453116875</v>
      </c>
      <c r="N407">
        <v>0.2806789836878974</v>
      </c>
      <c r="O407">
        <v>253.38025451392991</v>
      </c>
      <c r="P407">
        <v>199.11896054598918</v>
      </c>
      <c r="Q407">
        <v>237.38583268262454</v>
      </c>
      <c r="R407">
        <v>3.6276651211324431</v>
      </c>
      <c r="S407">
        <v>440.13245834974617</v>
      </c>
      <c r="T407">
        <v>70.592826431912158</v>
      </c>
      <c r="U407">
        <v>0</v>
      </c>
      <c r="V407">
        <v>110.87289473597805</v>
      </c>
      <c r="W407">
        <v>1.5922146455297902E-2</v>
      </c>
      <c r="X407">
        <v>0.96786460054032097</v>
      </c>
      <c r="Y407">
        <v>182.4495079148858</v>
      </c>
      <c r="Z407">
        <v>1.5548179839774494</v>
      </c>
      <c r="AA407">
        <v>877.51703876253941</v>
      </c>
      <c r="AB407">
        <v>182.88199999999995</v>
      </c>
      <c r="AC407">
        <v>4.7982690410348727</v>
      </c>
    </row>
    <row r="408" spans="4:29">
      <c r="D408" t="s">
        <v>661</v>
      </c>
      <c r="E408" t="s">
        <v>122</v>
      </c>
      <c r="F408" t="s">
        <v>656</v>
      </c>
      <c r="G408" t="s">
        <v>656</v>
      </c>
      <c r="H408" t="s">
        <v>1187</v>
      </c>
      <c r="I408">
        <v>2007</v>
      </c>
      <c r="J408">
        <v>170.71959699984433</v>
      </c>
      <c r="K408">
        <v>60.74363724702107</v>
      </c>
      <c r="L408">
        <v>3.7878962952231421E-2</v>
      </c>
      <c r="M408">
        <v>13.879777868087382</v>
      </c>
      <c r="N408">
        <v>0.26850858937412275</v>
      </c>
      <c r="O408">
        <v>245.64939966727914</v>
      </c>
      <c r="P408">
        <v>200.95278347039218</v>
      </c>
      <c r="Q408">
        <v>225.36266262611667</v>
      </c>
      <c r="R408">
        <v>3.4547891155243966</v>
      </c>
      <c r="S408">
        <v>429.77023521203324</v>
      </c>
      <c r="T408">
        <v>70.84911248095861</v>
      </c>
      <c r="U408">
        <v>0</v>
      </c>
      <c r="V408">
        <v>112.14464899805878</v>
      </c>
      <c r="W408">
        <v>1.6365705241776302E-2</v>
      </c>
      <c r="X408">
        <v>0.94713690569158493</v>
      </c>
      <c r="Y408">
        <v>183.95726408995077</v>
      </c>
      <c r="Z408">
        <v>1.453359198240417</v>
      </c>
      <c r="AA408">
        <v>860.83025816750353</v>
      </c>
      <c r="AB408">
        <v>184.17400000000001</v>
      </c>
      <c r="AC408">
        <v>4.67400533282387</v>
      </c>
    </row>
    <row r="409" spans="4:29">
      <c r="D409" t="s">
        <v>661</v>
      </c>
      <c r="E409" t="s">
        <v>122</v>
      </c>
      <c r="F409" t="s">
        <v>656</v>
      </c>
      <c r="G409" t="s">
        <v>656</v>
      </c>
      <c r="H409" t="s">
        <v>1187</v>
      </c>
      <c r="I409">
        <v>2008</v>
      </c>
      <c r="J409">
        <v>184.65644942581915</v>
      </c>
      <c r="K409">
        <v>58.650830516842895</v>
      </c>
      <c r="L409">
        <v>1.3326175410413104E-2</v>
      </c>
      <c r="M409">
        <v>14.724123442037945</v>
      </c>
      <c r="N409">
        <v>0.25818907061365143</v>
      </c>
      <c r="O409">
        <v>258.30291863072404</v>
      </c>
      <c r="P409">
        <v>194.83676119810886</v>
      </c>
      <c r="Q409">
        <v>237.30395533737513</v>
      </c>
      <c r="R409">
        <v>3.7126330058533541</v>
      </c>
      <c r="S409">
        <v>435.85334954133737</v>
      </c>
      <c r="T409">
        <v>58.122932751640228</v>
      </c>
      <c r="U409">
        <v>0</v>
      </c>
      <c r="V409">
        <v>108.72717990593172</v>
      </c>
      <c r="W409">
        <v>1.53508178919363E-2</v>
      </c>
      <c r="X409">
        <v>0.93487740713056799</v>
      </c>
      <c r="Y409">
        <v>167.80034088259444</v>
      </c>
      <c r="Z409">
        <v>1.3514223174497568</v>
      </c>
      <c r="AA409">
        <v>863.30803137210557</v>
      </c>
      <c r="AB409">
        <v>185.85999999999999</v>
      </c>
      <c r="AC409">
        <v>4.6449372181862998</v>
      </c>
    </row>
    <row r="410" spans="4:29">
      <c r="D410" t="s">
        <v>661</v>
      </c>
      <c r="E410" t="s">
        <v>122</v>
      </c>
      <c r="F410" t="s">
        <v>656</v>
      </c>
      <c r="G410" t="s">
        <v>656</v>
      </c>
      <c r="H410" t="s">
        <v>1187</v>
      </c>
      <c r="I410">
        <v>2009</v>
      </c>
      <c r="J410">
        <v>184.32195184791664</v>
      </c>
      <c r="K410">
        <v>51.465749011632404</v>
      </c>
      <c r="L410">
        <v>5.1105050738168907E-2</v>
      </c>
      <c r="M410">
        <v>10.545044147299215</v>
      </c>
      <c r="N410">
        <v>0.25225887577073369</v>
      </c>
      <c r="O410">
        <v>246.63610893335715</v>
      </c>
      <c r="P410">
        <v>174.50084251837177</v>
      </c>
      <c r="Q410">
        <v>214.87196637429858</v>
      </c>
      <c r="R410">
        <v>3.3488626375133226</v>
      </c>
      <c r="S410">
        <v>392.7216715301837</v>
      </c>
      <c r="T410">
        <v>59.495888906420177</v>
      </c>
      <c r="U410">
        <v>0</v>
      </c>
      <c r="V410">
        <v>104.03443688454924</v>
      </c>
      <c r="W410">
        <v>1.49912922778088E-2</v>
      </c>
      <c r="X410">
        <v>0.84966698368870097</v>
      </c>
      <c r="Y410">
        <v>164.39498406693593</v>
      </c>
      <c r="Z410">
        <v>1.2889742276810974</v>
      </c>
      <c r="AA410">
        <v>805.04173875815798</v>
      </c>
      <c r="AB410">
        <v>188.16700000000006</v>
      </c>
      <c r="AC410">
        <v>4.2783364711036356</v>
      </c>
    </row>
    <row r="411" spans="4:29">
      <c r="D411" t="s">
        <v>661</v>
      </c>
      <c r="E411" t="s">
        <v>122</v>
      </c>
      <c r="F411" t="s">
        <v>656</v>
      </c>
      <c r="G411" t="s">
        <v>656</v>
      </c>
      <c r="H411" t="s">
        <v>1187</v>
      </c>
      <c r="I411">
        <v>2010</v>
      </c>
      <c r="J411">
        <v>199.43736559877652</v>
      </c>
      <c r="K411">
        <v>54.113302208935792</v>
      </c>
      <c r="L411">
        <v>3.2954183136724463E-2</v>
      </c>
      <c r="M411">
        <v>10.050044484672513</v>
      </c>
      <c r="N411">
        <v>0.2534957550359373</v>
      </c>
      <c r="O411">
        <v>263.88716223055752</v>
      </c>
      <c r="P411">
        <v>177.69722699792678</v>
      </c>
      <c r="Q411">
        <v>238.24775174779879</v>
      </c>
      <c r="R411">
        <v>3.4939681363354378</v>
      </c>
      <c r="S411">
        <v>419.43894688206097</v>
      </c>
      <c r="T411">
        <v>57.159980158306617</v>
      </c>
      <c r="U411">
        <v>0</v>
      </c>
      <c r="V411">
        <v>100.77227280949101</v>
      </c>
      <c r="W411">
        <v>1.5225093438319201E-2</v>
      </c>
      <c r="X411">
        <v>0.83807536785376402</v>
      </c>
      <c r="Y411">
        <v>158.78555342908973</v>
      </c>
      <c r="Z411">
        <v>1.201537133608674</v>
      </c>
      <c r="AA411">
        <v>843.31319967531704</v>
      </c>
      <c r="AB411">
        <v>189.32099999999994</v>
      </c>
      <c r="AC411">
        <v>4.4544091763476708</v>
      </c>
    </row>
    <row r="412" spans="4:29">
      <c r="D412" t="s">
        <v>661</v>
      </c>
      <c r="E412" t="s">
        <v>122</v>
      </c>
      <c r="F412" t="s">
        <v>656</v>
      </c>
      <c r="G412" t="s">
        <v>656</v>
      </c>
      <c r="H412" t="s">
        <v>1187</v>
      </c>
      <c r="I412">
        <v>2011</v>
      </c>
      <c r="J412">
        <v>170.48456953663009</v>
      </c>
      <c r="K412">
        <v>45.312001857501933</v>
      </c>
      <c r="L412">
        <v>0.14977697730902093</v>
      </c>
      <c r="M412">
        <v>8.6002038103461445</v>
      </c>
      <c r="N412">
        <v>0.25907885771450556</v>
      </c>
      <c r="O412">
        <v>224.80563103950172</v>
      </c>
      <c r="P412">
        <v>170.69643812825382</v>
      </c>
      <c r="Q412">
        <v>194.73504032645889</v>
      </c>
      <c r="R412">
        <v>3.372110100158745</v>
      </c>
      <c r="S412">
        <v>368.80358855487145</v>
      </c>
      <c r="T412">
        <v>54.771382668729274</v>
      </c>
      <c r="U412">
        <v>0</v>
      </c>
      <c r="V412">
        <v>98.859701456050374</v>
      </c>
      <c r="W412">
        <v>1.52142973161585E-2</v>
      </c>
      <c r="X412">
        <v>0.79605327686039007</v>
      </c>
      <c r="Y412">
        <v>154.4423516989562</v>
      </c>
      <c r="Z412">
        <v>1.1059188464331535</v>
      </c>
      <c r="AA412">
        <v>749.15749013976256</v>
      </c>
      <c r="AB412">
        <v>191.12299999999991</v>
      </c>
      <c r="AC412">
        <v>3.9197662768989758</v>
      </c>
    </row>
    <row r="413" spans="4:29">
      <c r="D413" t="s">
        <v>661</v>
      </c>
      <c r="E413" t="s">
        <v>122</v>
      </c>
      <c r="F413" t="s">
        <v>656</v>
      </c>
      <c r="G413" t="s">
        <v>656</v>
      </c>
      <c r="H413" t="s">
        <v>1187</v>
      </c>
      <c r="I413">
        <v>2012</v>
      </c>
      <c r="J413">
        <v>199.46301485348746</v>
      </c>
      <c r="K413">
        <v>49.388283040321937</v>
      </c>
      <c r="L413">
        <v>5.6723994646596554E-2</v>
      </c>
      <c r="M413">
        <v>9.788403010688878</v>
      </c>
      <c r="N413">
        <v>0.26149087661570047</v>
      </c>
      <c r="O413">
        <v>258.95791577576057</v>
      </c>
      <c r="P413">
        <v>181.38558161606505</v>
      </c>
      <c r="Q413">
        <v>216.17067786247571</v>
      </c>
      <c r="R413">
        <v>3.2461885293085673</v>
      </c>
      <c r="S413">
        <v>400.80244800784931</v>
      </c>
      <c r="T413">
        <v>52.676035598138213</v>
      </c>
      <c r="U413">
        <v>0</v>
      </c>
      <c r="V413">
        <v>97.669184130721121</v>
      </c>
      <c r="W413">
        <v>1.6495224336420498E-2</v>
      </c>
      <c r="X413">
        <v>0.77376685473263607</v>
      </c>
      <c r="Y413">
        <v>151.13548180792836</v>
      </c>
      <c r="Z413">
        <v>1.0026842904574718</v>
      </c>
      <c r="AA413">
        <v>811.89852988199596</v>
      </c>
      <c r="AB413">
        <v>193.63000000000008</v>
      </c>
      <c r="AC413">
        <v>4.1930410054330194</v>
      </c>
    </row>
    <row r="414" spans="4:29">
      <c r="D414" t="s">
        <v>661</v>
      </c>
      <c r="E414" t="s">
        <v>122</v>
      </c>
      <c r="F414" t="s">
        <v>656</v>
      </c>
      <c r="G414" t="s">
        <v>656</v>
      </c>
      <c r="H414" t="s">
        <v>1187</v>
      </c>
      <c r="I414">
        <v>2013</v>
      </c>
      <c r="J414">
        <v>181.81846420833278</v>
      </c>
      <c r="K414">
        <v>50.34877361081768</v>
      </c>
      <c r="L414">
        <v>3.846544465103862E-2</v>
      </c>
      <c r="M414">
        <v>7.8502956603683645</v>
      </c>
      <c r="N414">
        <v>0.27234655140059838</v>
      </c>
      <c r="O414">
        <v>240.3283454755705</v>
      </c>
      <c r="P414">
        <v>164.66688742993324</v>
      </c>
      <c r="Q414">
        <v>222.38738956080019</v>
      </c>
      <c r="R414">
        <v>3.6319832981334654</v>
      </c>
      <c r="S414">
        <v>390.68626028886695</v>
      </c>
      <c r="T414">
        <v>51.526641550492513</v>
      </c>
      <c r="U414">
        <v>0</v>
      </c>
      <c r="V414">
        <v>95.536258191441064</v>
      </c>
      <c r="W414">
        <v>1.60318909270784E-2</v>
      </c>
      <c r="X414">
        <v>0.78000379402304898</v>
      </c>
      <c r="Y414">
        <v>147.8589354268837</v>
      </c>
      <c r="Z414">
        <v>0.95304835179848868</v>
      </c>
      <c r="AA414">
        <v>779.82658954311978</v>
      </c>
      <c r="AB414">
        <v>195.91399999999985</v>
      </c>
      <c r="AC414">
        <v>3.9804536150715131</v>
      </c>
    </row>
    <row r="415" spans="4:29">
      <c r="D415" t="s">
        <v>661</v>
      </c>
      <c r="E415" t="s">
        <v>122</v>
      </c>
      <c r="F415" t="s">
        <v>656</v>
      </c>
      <c r="G415" t="s">
        <v>656</v>
      </c>
      <c r="H415" t="s">
        <v>1187</v>
      </c>
      <c r="I415">
        <v>2014</v>
      </c>
      <c r="J415">
        <v>142.88172488677216</v>
      </c>
      <c r="K415">
        <v>37.881184316495236</v>
      </c>
      <c r="L415">
        <v>8.403361785711605E-2</v>
      </c>
      <c r="M415">
        <v>8.5776252264619401</v>
      </c>
      <c r="N415">
        <v>0.24916733514300582</v>
      </c>
      <c r="O415">
        <v>189.67373538272943</v>
      </c>
      <c r="P415">
        <v>137.19272453534376</v>
      </c>
      <c r="Q415">
        <v>183.36172992280481</v>
      </c>
      <c r="R415">
        <v>3.5110994625192053</v>
      </c>
      <c r="S415">
        <v>324.06555392066781</v>
      </c>
      <c r="T415">
        <v>50.59858288251634</v>
      </c>
      <c r="U415">
        <v>0</v>
      </c>
      <c r="V415">
        <v>97.2507191429861</v>
      </c>
      <c r="W415">
        <v>1.5865695796781102E-2</v>
      </c>
      <c r="X415">
        <v>0.75896641118944608</v>
      </c>
      <c r="Y415">
        <v>148.62413413248865</v>
      </c>
      <c r="Z415">
        <v>0.86053286525204076</v>
      </c>
      <c r="AA415">
        <v>663.22395630113783</v>
      </c>
      <c r="AB415">
        <v>198.13399999999999</v>
      </c>
      <c r="AC415">
        <v>3.3473505622514956</v>
      </c>
    </row>
    <row r="416" spans="4:29">
      <c r="D416" t="s">
        <v>661</v>
      </c>
      <c r="E416" t="s">
        <v>122</v>
      </c>
      <c r="F416" t="s">
        <v>656</v>
      </c>
      <c r="G416" t="s">
        <v>656</v>
      </c>
      <c r="H416" t="s">
        <v>1187</v>
      </c>
      <c r="I416">
        <v>2015</v>
      </c>
      <c r="J416">
        <v>136.31572931181103</v>
      </c>
      <c r="K416">
        <v>41.255537705430008</v>
      </c>
      <c r="L416">
        <v>3.9541633647900566E-2</v>
      </c>
      <c r="M416">
        <v>8.8024125781741791</v>
      </c>
      <c r="N416">
        <v>0.25533902559988503</v>
      </c>
      <c r="O416">
        <v>186.66856025466299</v>
      </c>
      <c r="P416">
        <v>114.77062356219572</v>
      </c>
      <c r="Q416">
        <v>196.97675547471667</v>
      </c>
      <c r="R416">
        <v>3.4838745751986622</v>
      </c>
      <c r="S416">
        <v>315.23125361211106</v>
      </c>
      <c r="T416">
        <v>50.93837023361084</v>
      </c>
      <c r="U416">
        <v>0</v>
      </c>
      <c r="V416">
        <v>95.484230488007213</v>
      </c>
      <c r="W416">
        <v>1.29465854882407E-2</v>
      </c>
      <c r="X416">
        <v>0.73830507529530098</v>
      </c>
      <c r="Y416">
        <v>147.17385238240158</v>
      </c>
      <c r="Z416">
        <v>0.80633675874479926</v>
      </c>
      <c r="AA416">
        <v>649.88000300792055</v>
      </c>
      <c r="AB416">
        <v>200.14500000000012</v>
      </c>
      <c r="AC416">
        <v>3.2470459067572017</v>
      </c>
    </row>
    <row r="417" spans="4:29">
      <c r="D417" t="s">
        <v>660</v>
      </c>
      <c r="E417" t="s">
        <v>122</v>
      </c>
      <c r="F417" t="s">
        <v>657</v>
      </c>
      <c r="G417" t="s">
        <v>657</v>
      </c>
      <c r="H417" t="s">
        <v>1188</v>
      </c>
      <c r="I417">
        <v>2005</v>
      </c>
      <c r="J417">
        <v>1160.3805228633576</v>
      </c>
      <c r="K417">
        <v>143.53892687953453</v>
      </c>
      <c r="L417">
        <v>0.26612028217507711</v>
      </c>
      <c r="M417">
        <v>17.549569017129301</v>
      </c>
      <c r="N417">
        <v>4.0558162249678502E-2</v>
      </c>
      <c r="O417">
        <v>1321.775697204446</v>
      </c>
      <c r="P417">
        <v>193.76391526384077</v>
      </c>
      <c r="Q417">
        <v>172.4814777970098</v>
      </c>
      <c r="R417">
        <v>2.9343647189772244</v>
      </c>
      <c r="S417">
        <v>369.17975777982781</v>
      </c>
      <c r="T417">
        <v>204.12987780034925</v>
      </c>
      <c r="U417">
        <v>0</v>
      </c>
      <c r="V417">
        <v>119.74807013247927</v>
      </c>
      <c r="W417">
        <v>0.24646173040824201</v>
      </c>
      <c r="X417">
        <v>1.3653086914541299</v>
      </c>
      <c r="Y417">
        <v>325.48971835469086</v>
      </c>
      <c r="Z417">
        <v>0.6899278941332917</v>
      </c>
      <c r="AA417">
        <v>2017.1351012330981</v>
      </c>
      <c r="AB417">
        <v>213.38199999999989</v>
      </c>
      <c r="AC417">
        <v>9.4531642839278813</v>
      </c>
    </row>
    <row r="418" spans="4:29">
      <c r="D418" t="s">
        <v>660</v>
      </c>
      <c r="E418" t="s">
        <v>122</v>
      </c>
      <c r="F418" t="s">
        <v>657</v>
      </c>
      <c r="G418" t="s">
        <v>657</v>
      </c>
      <c r="H418" t="s">
        <v>1188</v>
      </c>
      <c r="I418">
        <v>2006</v>
      </c>
      <c r="J418">
        <v>1497.2332961633076</v>
      </c>
      <c r="K418">
        <v>147.49819906621838</v>
      </c>
      <c r="L418">
        <v>0.31775062683571986</v>
      </c>
      <c r="M418">
        <v>15.895149008157851</v>
      </c>
      <c r="N418">
        <v>3.9473290451628402E-2</v>
      </c>
      <c r="O418">
        <v>1660.9838681549713</v>
      </c>
      <c r="P418">
        <v>201.68304184244548</v>
      </c>
      <c r="Q418">
        <v>168.6865183518432</v>
      </c>
      <c r="R418">
        <v>2.7387446100455057</v>
      </c>
      <c r="S418">
        <v>373.10830480433418</v>
      </c>
      <c r="T418">
        <v>209.20630801414978</v>
      </c>
      <c r="U418">
        <v>0</v>
      </c>
      <c r="V418">
        <v>116.82596383499727</v>
      </c>
      <c r="W418">
        <v>0.23995324736010099</v>
      </c>
      <c r="X418">
        <v>1.4366567575365099</v>
      </c>
      <c r="Y418">
        <v>327.70888185404368</v>
      </c>
      <c r="Z418">
        <v>0.64651234810403591</v>
      </c>
      <c r="AA418">
        <v>2362.4475671614532</v>
      </c>
      <c r="AB418">
        <v>218.39999999999992</v>
      </c>
      <c r="AC418">
        <v>10.817067615208122</v>
      </c>
    </row>
    <row r="419" spans="4:29">
      <c r="D419" t="s">
        <v>660</v>
      </c>
      <c r="E419" t="s">
        <v>122</v>
      </c>
      <c r="F419" t="s">
        <v>657</v>
      </c>
      <c r="G419" t="s">
        <v>657</v>
      </c>
      <c r="H419" t="s">
        <v>1188</v>
      </c>
      <c r="I419">
        <v>2007</v>
      </c>
      <c r="J419">
        <v>1499.3509138722636</v>
      </c>
      <c r="K419">
        <v>129.73951526593734</v>
      </c>
      <c r="L419">
        <v>0.36861012767737317</v>
      </c>
      <c r="M419">
        <v>15.616632466393138</v>
      </c>
      <c r="N419">
        <v>3.7876272415138405E-2</v>
      </c>
      <c r="O419">
        <v>1645.1135480046867</v>
      </c>
      <c r="P419">
        <v>208.67284081403105</v>
      </c>
      <c r="Q419">
        <v>160.93704696235608</v>
      </c>
      <c r="R419">
        <v>2.4898909613321716</v>
      </c>
      <c r="S419">
        <v>372.0997787377193</v>
      </c>
      <c r="T419">
        <v>208.63486365195917</v>
      </c>
      <c r="U419">
        <v>0</v>
      </c>
      <c r="V419">
        <v>117.51236732949096</v>
      </c>
      <c r="W419">
        <v>0.264253507095698</v>
      </c>
      <c r="X419">
        <v>1.40575556846566</v>
      </c>
      <c r="Y419">
        <v>327.81724005701147</v>
      </c>
      <c r="Z419">
        <v>0.60950162527825336</v>
      </c>
      <c r="AA419">
        <v>2345.640068424696</v>
      </c>
      <c r="AB419">
        <v>225.25100000000015</v>
      </c>
      <c r="AC419">
        <v>10.413450188566063</v>
      </c>
    </row>
    <row r="420" spans="4:29">
      <c r="D420" t="s">
        <v>660</v>
      </c>
      <c r="E420" t="s">
        <v>122</v>
      </c>
      <c r="F420" t="s">
        <v>657</v>
      </c>
      <c r="G420" t="s">
        <v>657</v>
      </c>
      <c r="H420" t="s">
        <v>1188</v>
      </c>
      <c r="I420">
        <v>2008</v>
      </c>
      <c r="J420">
        <v>1545.8974458651155</v>
      </c>
      <c r="K420">
        <v>145.91564592172637</v>
      </c>
      <c r="L420">
        <v>0.29449030905398954</v>
      </c>
      <c r="M420">
        <v>13.48674884384134</v>
      </c>
      <c r="N420">
        <v>3.50587006185872E-2</v>
      </c>
      <c r="O420">
        <v>1705.6293896403556</v>
      </c>
      <c r="P420">
        <v>211.87584795544805</v>
      </c>
      <c r="Q420">
        <v>166.95647982884722</v>
      </c>
      <c r="R420">
        <v>2.6370022959212864</v>
      </c>
      <c r="S420">
        <v>381.46933008021654</v>
      </c>
      <c r="T420">
        <v>196.55866752161114</v>
      </c>
      <c r="U420">
        <v>0</v>
      </c>
      <c r="V420">
        <v>113.2677605457815</v>
      </c>
      <c r="W420">
        <v>0.25905112185684998</v>
      </c>
      <c r="X420">
        <v>1.4396800473640501</v>
      </c>
      <c r="Y420">
        <v>311.52515923661349</v>
      </c>
      <c r="Z420">
        <v>0.57105354939316777</v>
      </c>
      <c r="AA420">
        <v>2399.1949325065789</v>
      </c>
      <c r="AB420">
        <v>231.893</v>
      </c>
      <c r="AC420">
        <v>10.346129173828356</v>
      </c>
    </row>
    <row r="421" spans="4:29">
      <c r="D421" t="s">
        <v>660</v>
      </c>
      <c r="E421" t="s">
        <v>122</v>
      </c>
      <c r="F421" t="s">
        <v>657</v>
      </c>
      <c r="G421" t="s">
        <v>657</v>
      </c>
      <c r="H421" t="s">
        <v>1188</v>
      </c>
      <c r="I421">
        <v>2009</v>
      </c>
      <c r="J421">
        <v>1319.9654003412754</v>
      </c>
      <c r="K421">
        <v>128.78820831281732</v>
      </c>
      <c r="L421">
        <v>0.29671415337423168</v>
      </c>
      <c r="M421">
        <v>10.27855894272766</v>
      </c>
      <c r="N421">
        <v>3.0699105356443799E-2</v>
      </c>
      <c r="O421">
        <v>1459.359580855551</v>
      </c>
      <c r="P421">
        <v>197.11592369550775</v>
      </c>
      <c r="Q421">
        <v>150.63733976519066</v>
      </c>
      <c r="R421">
        <v>2.438539306672149</v>
      </c>
      <c r="S421">
        <v>350.19180276737058</v>
      </c>
      <c r="T421">
        <v>190.76088056903836</v>
      </c>
      <c r="U421">
        <v>0</v>
      </c>
      <c r="V421">
        <v>110.09421398449406</v>
      </c>
      <c r="W421">
        <v>0.25758755843741604</v>
      </c>
      <c r="X421">
        <v>1.3100055796868701</v>
      </c>
      <c r="Y421">
        <v>302.42268769165668</v>
      </c>
      <c r="Z421">
        <v>0.54404480305880165</v>
      </c>
      <c r="AA421">
        <v>2112.518116117637</v>
      </c>
      <c r="AB421">
        <v>240.49499999999992</v>
      </c>
      <c r="AC421">
        <v>8.7840417310864574</v>
      </c>
    </row>
    <row r="422" spans="4:29">
      <c r="D422" t="s">
        <v>660</v>
      </c>
      <c r="E422" t="s">
        <v>122</v>
      </c>
      <c r="F422" t="s">
        <v>657</v>
      </c>
      <c r="G422" t="s">
        <v>657</v>
      </c>
      <c r="H422" t="s">
        <v>1188</v>
      </c>
      <c r="I422">
        <v>2010</v>
      </c>
      <c r="J422">
        <v>1415.9588693821067</v>
      </c>
      <c r="K422">
        <v>146.88478976084784</v>
      </c>
      <c r="L422">
        <v>0.9009151182875651</v>
      </c>
      <c r="M422">
        <v>9.7867134501813897</v>
      </c>
      <c r="N422">
        <v>3.1110578051189202E-2</v>
      </c>
      <c r="O422">
        <v>1573.5623982894745</v>
      </c>
      <c r="P422">
        <v>206.41036550987999</v>
      </c>
      <c r="Q422">
        <v>166.66267260487209</v>
      </c>
      <c r="R422">
        <v>2.6503459430591114</v>
      </c>
      <c r="S422">
        <v>375.72338405781119</v>
      </c>
      <c r="T422">
        <v>194.96427163395424</v>
      </c>
      <c r="U422">
        <v>0</v>
      </c>
      <c r="V422">
        <v>106.77089909595674</v>
      </c>
      <c r="W422">
        <v>0.25900368122010298</v>
      </c>
      <c r="X422">
        <v>1.35749818378558</v>
      </c>
      <c r="Y422">
        <v>303.35167259491669</v>
      </c>
      <c r="Z422">
        <v>0.51063747233298229</v>
      </c>
      <c r="AA422">
        <v>2253.1480924145353</v>
      </c>
      <c r="AB422">
        <v>248.52000000000018</v>
      </c>
      <c r="AC422">
        <v>9.0662646564241651</v>
      </c>
    </row>
    <row r="423" spans="4:29">
      <c r="D423" t="s">
        <v>660</v>
      </c>
      <c r="E423" t="s">
        <v>122</v>
      </c>
      <c r="F423" t="s">
        <v>657</v>
      </c>
      <c r="G423" t="s">
        <v>657</v>
      </c>
      <c r="H423" t="s">
        <v>1188</v>
      </c>
      <c r="I423">
        <v>2011</v>
      </c>
      <c r="J423">
        <v>1163.7603933938535</v>
      </c>
      <c r="K423">
        <v>134.37192605250664</v>
      </c>
      <c r="L423">
        <v>0.55429230243004901</v>
      </c>
      <c r="M423">
        <v>8.74200474522066</v>
      </c>
      <c r="N423">
        <v>3.1821416682497002E-2</v>
      </c>
      <c r="O423">
        <v>1307.4604379106934</v>
      </c>
      <c r="P423">
        <v>197.88997825177717</v>
      </c>
      <c r="Q423">
        <v>136.3985315722656</v>
      </c>
      <c r="R423">
        <v>2.2966810484615183</v>
      </c>
      <c r="S423">
        <v>336.58519087250426</v>
      </c>
      <c r="T423">
        <v>182.38616208569567</v>
      </c>
      <c r="U423">
        <v>0</v>
      </c>
      <c r="V423">
        <v>103.79643965937048</v>
      </c>
      <c r="W423">
        <v>0.25719880427826597</v>
      </c>
      <c r="X423">
        <v>1.2466800700892799</v>
      </c>
      <c r="Y423">
        <v>287.68648061943372</v>
      </c>
      <c r="Z423">
        <v>0.47461891394473832</v>
      </c>
      <c r="AA423">
        <v>1932.2067283165763</v>
      </c>
      <c r="AB423">
        <v>256.01199999999989</v>
      </c>
      <c r="AC423">
        <v>7.5473287514514054</v>
      </c>
    </row>
    <row r="424" spans="4:29">
      <c r="D424" t="s">
        <v>660</v>
      </c>
      <c r="E424" t="s">
        <v>122</v>
      </c>
      <c r="F424" t="s">
        <v>657</v>
      </c>
      <c r="G424" t="s">
        <v>657</v>
      </c>
      <c r="H424" t="s">
        <v>1188</v>
      </c>
      <c r="I424">
        <v>2012</v>
      </c>
      <c r="J424">
        <v>1301.9105563730122</v>
      </c>
      <c r="K424">
        <v>147.85872886130068</v>
      </c>
      <c r="L424">
        <v>0.32417130244700659</v>
      </c>
      <c r="M424">
        <v>8.6953077061316595</v>
      </c>
      <c r="N424">
        <v>3.3528814309926297E-2</v>
      </c>
      <c r="O424">
        <v>1458.8222930572015</v>
      </c>
      <c r="P424">
        <v>216.32254132995712</v>
      </c>
      <c r="Q424">
        <v>146.91097483454254</v>
      </c>
      <c r="R424">
        <v>2.2339595944893595</v>
      </c>
      <c r="S424">
        <v>365.467475758989</v>
      </c>
      <c r="T424">
        <v>172.23432297297779</v>
      </c>
      <c r="U424">
        <v>0</v>
      </c>
      <c r="V424">
        <v>101.81642988532266</v>
      </c>
      <c r="W424">
        <v>0.26648257772402201</v>
      </c>
      <c r="X424">
        <v>1.15862627151521</v>
      </c>
      <c r="Y424">
        <v>275.47586170753976</v>
      </c>
      <c r="Z424">
        <v>0.43661872813702229</v>
      </c>
      <c r="AA424">
        <v>2100.2022492518668</v>
      </c>
      <c r="AB424">
        <v>263.00299999999987</v>
      </c>
      <c r="AC424">
        <v>7.9854687940892983</v>
      </c>
    </row>
    <row r="425" spans="4:29">
      <c r="D425" t="s">
        <v>660</v>
      </c>
      <c r="E425" t="s">
        <v>122</v>
      </c>
      <c r="F425" t="s">
        <v>657</v>
      </c>
      <c r="G425" t="s">
        <v>657</v>
      </c>
      <c r="H425" t="s">
        <v>1188</v>
      </c>
      <c r="I425">
        <v>2013</v>
      </c>
      <c r="J425">
        <v>1180.1171313190953</v>
      </c>
      <c r="K425">
        <v>153.23301527289317</v>
      </c>
      <c r="L425">
        <v>0.49174904238431005</v>
      </c>
      <c r="M425">
        <v>6.7843339858597105</v>
      </c>
      <c r="N425">
        <v>3.7338823367362502E-2</v>
      </c>
      <c r="O425">
        <v>1340.6635684436001</v>
      </c>
      <c r="P425">
        <v>195.04797492354302</v>
      </c>
      <c r="Q425">
        <v>152.01573057224454</v>
      </c>
      <c r="R425">
        <v>2.448184632270253</v>
      </c>
      <c r="S425">
        <v>349.51189012805776</v>
      </c>
      <c r="T425">
        <v>171.05212498913195</v>
      </c>
      <c r="U425">
        <v>0</v>
      </c>
      <c r="V425">
        <v>99.352921134470364</v>
      </c>
      <c r="W425">
        <v>0.26560800189796696</v>
      </c>
      <c r="X425">
        <v>1.1785123641997499</v>
      </c>
      <c r="Y425">
        <v>271.84916648970011</v>
      </c>
      <c r="Z425">
        <v>0.41601839743912805</v>
      </c>
      <c r="AA425">
        <v>1962.4406434587972</v>
      </c>
      <c r="AB425">
        <v>272.8900000000001</v>
      </c>
      <c r="AC425">
        <v>7.1913248688438438</v>
      </c>
    </row>
    <row r="426" spans="4:29">
      <c r="D426" t="s">
        <v>660</v>
      </c>
      <c r="E426" t="s">
        <v>122</v>
      </c>
      <c r="F426" t="s">
        <v>657</v>
      </c>
      <c r="G426" t="s">
        <v>657</v>
      </c>
      <c r="H426" t="s">
        <v>1188</v>
      </c>
      <c r="I426">
        <v>2014</v>
      </c>
      <c r="J426">
        <v>1026.6697614245022</v>
      </c>
      <c r="K426">
        <v>109.84532700075358</v>
      </c>
      <c r="L426">
        <v>0.83809689517572183</v>
      </c>
      <c r="M426">
        <v>7.8249574812115599</v>
      </c>
      <c r="N426">
        <v>3.1769872022976701E-2</v>
      </c>
      <c r="O426">
        <v>1145.2099126736662</v>
      </c>
      <c r="P426">
        <v>166.83022317889467</v>
      </c>
      <c r="Q426">
        <v>121.84368596406031</v>
      </c>
      <c r="R426">
        <v>2.3158116529616768</v>
      </c>
      <c r="S426">
        <v>290.98972079591664</v>
      </c>
      <c r="T426">
        <v>167.43500180724445</v>
      </c>
      <c r="U426">
        <v>0</v>
      </c>
      <c r="V426">
        <v>101.14253399803037</v>
      </c>
      <c r="W426">
        <v>0.26778862773517803</v>
      </c>
      <c r="X426">
        <v>1.14976737246904</v>
      </c>
      <c r="Y426">
        <v>269.99509180547903</v>
      </c>
      <c r="Z426">
        <v>0.38259946614775409</v>
      </c>
      <c r="AA426">
        <v>1706.5773247412094</v>
      </c>
      <c r="AB426">
        <v>284.0150000000001</v>
      </c>
      <c r="AC426">
        <v>6.008757723152681</v>
      </c>
    </row>
    <row r="427" spans="4:29">
      <c r="D427" t="s">
        <v>660</v>
      </c>
      <c r="E427" t="s">
        <v>122</v>
      </c>
      <c r="F427" t="s">
        <v>657</v>
      </c>
      <c r="G427" t="s">
        <v>657</v>
      </c>
      <c r="H427" t="s">
        <v>1188</v>
      </c>
      <c r="I427">
        <v>2015</v>
      </c>
      <c r="J427">
        <v>768.69820952944508</v>
      </c>
      <c r="K427">
        <v>116.23019641102992</v>
      </c>
      <c r="L427">
        <v>1.4166872129099595</v>
      </c>
      <c r="M427">
        <v>8.509534925386161</v>
      </c>
      <c r="N427">
        <v>3.2521835422762102E-2</v>
      </c>
      <c r="O427">
        <v>894.88714991419397</v>
      </c>
      <c r="P427">
        <v>139.10806831949827</v>
      </c>
      <c r="Q427">
        <v>128.49132991556181</v>
      </c>
      <c r="R427">
        <v>2.2778935345382405</v>
      </c>
      <c r="S427">
        <v>269.87729176959834</v>
      </c>
      <c r="T427">
        <v>167.26304264545087</v>
      </c>
      <c r="U427">
        <v>0</v>
      </c>
      <c r="V427">
        <v>92.909728267605175</v>
      </c>
      <c r="W427">
        <v>0.24395798818424502</v>
      </c>
      <c r="X427">
        <v>1.1209875374328799</v>
      </c>
      <c r="Y427">
        <v>261.53771643867321</v>
      </c>
      <c r="Z427">
        <v>0.36028243252455777</v>
      </c>
      <c r="AA427">
        <v>1426.6624405549903</v>
      </c>
      <c r="AB427">
        <v>295.23599999999999</v>
      </c>
      <c r="AC427">
        <v>4.8322780438530204</v>
      </c>
    </row>
    <row r="428" spans="4:29">
      <c r="D428" t="s">
        <v>661</v>
      </c>
      <c r="E428" t="s">
        <v>122</v>
      </c>
      <c r="F428" t="s">
        <v>658</v>
      </c>
      <c r="G428" t="s">
        <v>658</v>
      </c>
      <c r="H428" t="s">
        <v>1189</v>
      </c>
      <c r="I428">
        <v>2005</v>
      </c>
      <c r="J428">
        <v>190.66515321608739</v>
      </c>
      <c r="K428">
        <v>77.793282277769094</v>
      </c>
      <c r="L428">
        <v>0</v>
      </c>
      <c r="M428">
        <v>17.382266485527321</v>
      </c>
      <c r="N428">
        <v>0.14565599674355786</v>
      </c>
      <c r="O428">
        <v>285.98635797612741</v>
      </c>
      <c r="P428">
        <v>203.34234594947168</v>
      </c>
      <c r="Q428">
        <v>291.13743698381376</v>
      </c>
      <c r="R428">
        <v>3.0483511972447852</v>
      </c>
      <c r="S428">
        <v>497.52813413053025</v>
      </c>
      <c r="T428">
        <v>159.08962551350078</v>
      </c>
      <c r="U428">
        <v>0</v>
      </c>
      <c r="V428">
        <v>49.633566473606749</v>
      </c>
      <c r="W428">
        <v>0.99981344293442198</v>
      </c>
      <c r="X428">
        <v>0.97503751292444096</v>
      </c>
      <c r="Y428">
        <v>210.6980429429664</v>
      </c>
      <c r="Z428">
        <v>1.2592863430395784</v>
      </c>
      <c r="AA428">
        <v>995.47182139266351</v>
      </c>
      <c r="AB428">
        <v>226.74700000000007</v>
      </c>
      <c r="AC428">
        <v>4.3902314976280312</v>
      </c>
    </row>
    <row r="429" spans="4:29">
      <c r="D429" t="s">
        <v>661</v>
      </c>
      <c r="E429" t="s">
        <v>122</v>
      </c>
      <c r="F429" t="s">
        <v>658</v>
      </c>
      <c r="G429" t="s">
        <v>658</v>
      </c>
      <c r="H429" t="s">
        <v>1189</v>
      </c>
      <c r="I429">
        <v>2006</v>
      </c>
      <c r="J429">
        <v>208.88656665858488</v>
      </c>
      <c r="K429">
        <v>80.928157207741236</v>
      </c>
      <c r="L429">
        <v>0</v>
      </c>
      <c r="M429">
        <v>16.67168097902201</v>
      </c>
      <c r="N429">
        <v>0.13728645793538222</v>
      </c>
      <c r="O429">
        <v>306.62369130328352</v>
      </c>
      <c r="P429">
        <v>210.21500518893686</v>
      </c>
      <c r="Q429">
        <v>279.75953818231181</v>
      </c>
      <c r="R429">
        <v>2.700956088579737</v>
      </c>
      <c r="S429">
        <v>492.67549945982842</v>
      </c>
      <c r="T429">
        <v>153.98272730473747</v>
      </c>
      <c r="U429">
        <v>0</v>
      </c>
      <c r="V429">
        <v>48.000837023440013</v>
      </c>
      <c r="W429">
        <v>0.97593278068231493</v>
      </c>
      <c r="X429">
        <v>0.97965090242410002</v>
      </c>
      <c r="Y429">
        <v>203.93914801128389</v>
      </c>
      <c r="Z429">
        <v>1.1812507757052688</v>
      </c>
      <c r="AA429">
        <v>1004.419589550101</v>
      </c>
      <c r="AB429">
        <v>230.73099999999982</v>
      </c>
      <c r="AC429">
        <v>4.3532060691892367</v>
      </c>
    </row>
    <row r="430" spans="4:29">
      <c r="D430" t="s">
        <v>661</v>
      </c>
      <c r="E430" t="s">
        <v>122</v>
      </c>
      <c r="F430" t="s">
        <v>658</v>
      </c>
      <c r="G430" t="s">
        <v>658</v>
      </c>
      <c r="H430" t="s">
        <v>1189</v>
      </c>
      <c r="I430">
        <v>2007</v>
      </c>
      <c r="J430">
        <v>198.97138220943188</v>
      </c>
      <c r="K430">
        <v>60.951751757318732</v>
      </c>
      <c r="L430">
        <v>0</v>
      </c>
      <c r="M430">
        <v>16.739284523018512</v>
      </c>
      <c r="N430">
        <v>0.1300330140354343</v>
      </c>
      <c r="O430">
        <v>276.79245150380456</v>
      </c>
      <c r="P430">
        <v>210.77981306943508</v>
      </c>
      <c r="Q430">
        <v>266.09715990192763</v>
      </c>
      <c r="R430">
        <v>2.5386515617283636</v>
      </c>
      <c r="S430">
        <v>479.41562453309109</v>
      </c>
      <c r="T430">
        <v>151.816790995904</v>
      </c>
      <c r="U430">
        <v>0</v>
      </c>
      <c r="V430">
        <v>48.368209107194289</v>
      </c>
      <c r="W430">
        <v>1.0884068679336398</v>
      </c>
      <c r="X430">
        <v>0.93353961977839195</v>
      </c>
      <c r="Y430">
        <v>202.2069465908103</v>
      </c>
      <c r="Z430">
        <v>1.1143974865894284</v>
      </c>
      <c r="AA430">
        <v>959.52942011429525</v>
      </c>
      <c r="AB430">
        <v>235.66499999999999</v>
      </c>
      <c r="AC430">
        <v>4.0715822040366421</v>
      </c>
    </row>
    <row r="431" spans="4:29">
      <c r="D431" t="s">
        <v>661</v>
      </c>
      <c r="E431" t="s">
        <v>122</v>
      </c>
      <c r="F431" t="s">
        <v>658</v>
      </c>
      <c r="G431" t="s">
        <v>658</v>
      </c>
      <c r="H431" t="s">
        <v>1189</v>
      </c>
      <c r="I431">
        <v>2008</v>
      </c>
      <c r="J431">
        <v>231.59080297081633</v>
      </c>
      <c r="K431">
        <v>59.711602781241702</v>
      </c>
      <c r="L431">
        <v>0</v>
      </c>
      <c r="M431">
        <v>17.05795597654804</v>
      </c>
      <c r="N431">
        <v>0.12446299776617932</v>
      </c>
      <c r="O431">
        <v>308.48482472637221</v>
      </c>
      <c r="P431">
        <v>205.81024963721055</v>
      </c>
      <c r="Q431">
        <v>277.94544302489334</v>
      </c>
      <c r="R431">
        <v>2.7497380830417293</v>
      </c>
      <c r="S431">
        <v>486.50543074514565</v>
      </c>
      <c r="T431">
        <v>137.71603031043497</v>
      </c>
      <c r="U431">
        <v>0</v>
      </c>
      <c r="V431">
        <v>46.678516037012287</v>
      </c>
      <c r="W431">
        <v>1.0750628189393001</v>
      </c>
      <c r="X431">
        <v>0.94191464983555706</v>
      </c>
      <c r="Y431">
        <v>186.41152381622211</v>
      </c>
      <c r="Z431">
        <v>1.0451821459591355</v>
      </c>
      <c r="AA431">
        <v>982.44696143369924</v>
      </c>
      <c r="AB431">
        <v>242.09799999999998</v>
      </c>
      <c r="AC431">
        <v>4.0580548432192716</v>
      </c>
    </row>
    <row r="432" spans="4:29">
      <c r="D432" t="s">
        <v>661</v>
      </c>
      <c r="E432" t="s">
        <v>122</v>
      </c>
      <c r="F432" t="s">
        <v>658</v>
      </c>
      <c r="G432" t="s">
        <v>658</v>
      </c>
      <c r="H432" t="s">
        <v>1189</v>
      </c>
      <c r="I432">
        <v>2009</v>
      </c>
      <c r="J432">
        <v>190.34889657219901</v>
      </c>
      <c r="K432">
        <v>55.230044591696242</v>
      </c>
      <c r="L432">
        <v>0</v>
      </c>
      <c r="M432">
        <v>12.17256565695148</v>
      </c>
      <c r="N432">
        <v>0.12775573410569524</v>
      </c>
      <c r="O432">
        <v>257.87926255495239</v>
      </c>
      <c r="P432">
        <v>184.67190314879664</v>
      </c>
      <c r="Q432">
        <v>250.09060901290596</v>
      </c>
      <c r="R432">
        <v>2.4441709672789922</v>
      </c>
      <c r="S432">
        <v>437.20668312898158</v>
      </c>
      <c r="T432">
        <v>135.62250832192399</v>
      </c>
      <c r="U432">
        <v>0</v>
      </c>
      <c r="V432">
        <v>45.321206415675306</v>
      </c>
      <c r="W432">
        <v>1.07217249498337</v>
      </c>
      <c r="X432">
        <v>0.86587314251347902</v>
      </c>
      <c r="Y432">
        <v>182.88176037509615</v>
      </c>
      <c r="Z432">
        <v>0.99582586760267888</v>
      </c>
      <c r="AA432">
        <v>878.96353192663275</v>
      </c>
      <c r="AB432">
        <v>248.14000000000007</v>
      </c>
      <c r="AC432">
        <v>3.542208156390072</v>
      </c>
    </row>
    <row r="433" spans="4:29">
      <c r="D433" t="s">
        <v>661</v>
      </c>
      <c r="E433" t="s">
        <v>122</v>
      </c>
      <c r="F433" t="s">
        <v>658</v>
      </c>
      <c r="G433" t="s">
        <v>658</v>
      </c>
      <c r="H433" t="s">
        <v>1189</v>
      </c>
      <c r="I433">
        <v>2010</v>
      </c>
      <c r="J433">
        <v>198.45160457064333</v>
      </c>
      <c r="K433">
        <v>69.486438975597849</v>
      </c>
      <c r="L433">
        <v>0</v>
      </c>
      <c r="M433">
        <v>12.208360520103099</v>
      </c>
      <c r="N433">
        <v>0.12889602589936247</v>
      </c>
      <c r="O433">
        <v>280.27530009224358</v>
      </c>
      <c r="P433">
        <v>189.26766527092204</v>
      </c>
      <c r="Q433">
        <v>277.34496377116244</v>
      </c>
      <c r="R433">
        <v>2.5742321188995945</v>
      </c>
      <c r="S433">
        <v>469.18686116098405</v>
      </c>
      <c r="T433">
        <v>136.0192031411697</v>
      </c>
      <c r="U433">
        <v>0</v>
      </c>
      <c r="V433">
        <v>44.188464791266327</v>
      </c>
      <c r="W433">
        <v>1.0763002995275499</v>
      </c>
      <c r="X433">
        <v>0.88914451883912604</v>
      </c>
      <c r="Y433">
        <v>182.17311275080272</v>
      </c>
      <c r="Z433">
        <v>0.93526176410557926</v>
      </c>
      <c r="AA433">
        <v>932.57053576813576</v>
      </c>
      <c r="AB433">
        <v>254.00899999999999</v>
      </c>
      <c r="AC433">
        <v>3.6714074531537695</v>
      </c>
    </row>
    <row r="434" spans="4:29">
      <c r="D434" t="s">
        <v>661</v>
      </c>
      <c r="E434" t="s">
        <v>122</v>
      </c>
      <c r="F434" t="s">
        <v>658</v>
      </c>
      <c r="G434" t="s">
        <v>658</v>
      </c>
      <c r="H434" t="s">
        <v>1189</v>
      </c>
      <c r="I434">
        <v>2011</v>
      </c>
      <c r="J434">
        <v>179.86527656911841</v>
      </c>
      <c r="K434">
        <v>53.50464201577919</v>
      </c>
      <c r="L434">
        <v>0</v>
      </c>
      <c r="M434">
        <v>9.5768104571352985</v>
      </c>
      <c r="N434">
        <v>0.13009461635247649</v>
      </c>
      <c r="O434">
        <v>243.07682365838536</v>
      </c>
      <c r="P434">
        <v>182.07434481537157</v>
      </c>
      <c r="Q434">
        <v>227.00875703976951</v>
      </c>
      <c r="R434">
        <v>2.4452041498722705</v>
      </c>
      <c r="S434">
        <v>411.52830600501335</v>
      </c>
      <c r="T434">
        <v>126.39207028294038</v>
      </c>
      <c r="U434">
        <v>0</v>
      </c>
      <c r="V434">
        <v>43.48350530907404</v>
      </c>
      <c r="W434">
        <v>1.0676879326061302</v>
      </c>
      <c r="X434">
        <v>0.80850285212930895</v>
      </c>
      <c r="Y434">
        <v>171.75176637674988</v>
      </c>
      <c r="Z434">
        <v>0.87033645770716073</v>
      </c>
      <c r="AA434">
        <v>827.22723249785588</v>
      </c>
      <c r="AB434">
        <v>259.74200000000013</v>
      </c>
      <c r="AC434">
        <v>3.184803506933247</v>
      </c>
    </row>
    <row r="435" spans="4:29">
      <c r="D435" t="s">
        <v>661</v>
      </c>
      <c r="E435" t="s">
        <v>122</v>
      </c>
      <c r="F435" t="s">
        <v>658</v>
      </c>
      <c r="G435" t="s">
        <v>658</v>
      </c>
      <c r="H435" t="s">
        <v>1189</v>
      </c>
      <c r="I435">
        <v>2012</v>
      </c>
      <c r="J435">
        <v>180.61740685466543</v>
      </c>
      <c r="K435">
        <v>64.697423870329402</v>
      </c>
      <c r="L435">
        <v>0</v>
      </c>
      <c r="M435">
        <v>11.33810595288776</v>
      </c>
      <c r="N435">
        <v>0.13289128845311857</v>
      </c>
      <c r="O435">
        <v>256.78582796633572</v>
      </c>
      <c r="P435">
        <v>192.7854868823112</v>
      </c>
      <c r="Q435">
        <v>249.42490685215168</v>
      </c>
      <c r="R435">
        <v>2.3421312892023911</v>
      </c>
      <c r="S435">
        <v>444.55252502366523</v>
      </c>
      <c r="T435">
        <v>131.57198722555907</v>
      </c>
      <c r="U435">
        <v>0</v>
      </c>
      <c r="V435">
        <v>42.96361694008084</v>
      </c>
      <c r="W435">
        <v>1.0976875181764101</v>
      </c>
      <c r="X435">
        <v>0.801992469468777</v>
      </c>
      <c r="Y435">
        <v>176.4352841532851</v>
      </c>
      <c r="Z435">
        <v>0.80209294021796163</v>
      </c>
      <c r="AA435">
        <v>878.57573008350414</v>
      </c>
      <c r="AB435">
        <v>262.56599999999986</v>
      </c>
      <c r="AC435">
        <v>3.3461138535968273</v>
      </c>
    </row>
    <row r="436" spans="4:29">
      <c r="D436" t="s">
        <v>661</v>
      </c>
      <c r="E436" t="s">
        <v>122</v>
      </c>
      <c r="F436" t="s">
        <v>658</v>
      </c>
      <c r="G436" t="s">
        <v>658</v>
      </c>
      <c r="H436" t="s">
        <v>1189</v>
      </c>
      <c r="I436">
        <v>2013</v>
      </c>
      <c r="J436">
        <v>167.27000156931982</v>
      </c>
      <c r="K436">
        <v>65.012773966122879</v>
      </c>
      <c r="L436">
        <v>4.0257300867883837E-2</v>
      </c>
      <c r="M436">
        <v>9.0161800256748101</v>
      </c>
      <c r="N436">
        <v>0.13105377970687451</v>
      </c>
      <c r="O436">
        <v>241.47026664169223</v>
      </c>
      <c r="P436">
        <v>175.46164350822724</v>
      </c>
      <c r="Q436">
        <v>256.13289358278939</v>
      </c>
      <c r="R436">
        <v>2.6398956868419412</v>
      </c>
      <c r="S436">
        <v>434.23443277785856</v>
      </c>
      <c r="T436">
        <v>132.25438245763382</v>
      </c>
      <c r="U436">
        <v>0</v>
      </c>
      <c r="V436">
        <v>41.944029953970983</v>
      </c>
      <c r="W436">
        <v>1.09886019647724</v>
      </c>
      <c r="X436">
        <v>0.83686374775744399</v>
      </c>
      <c r="Y436">
        <v>176.13413635583947</v>
      </c>
      <c r="Z436">
        <v>0.76398606267703406</v>
      </c>
      <c r="AA436">
        <v>852.60282183806726</v>
      </c>
      <c r="AB436">
        <v>265.79700000000025</v>
      </c>
      <c r="AC436">
        <v>3.2077217644972156</v>
      </c>
    </row>
    <row r="437" spans="4:29">
      <c r="D437" t="s">
        <v>661</v>
      </c>
      <c r="E437" t="s">
        <v>122</v>
      </c>
      <c r="F437" t="s">
        <v>658</v>
      </c>
      <c r="G437" t="s">
        <v>658</v>
      </c>
      <c r="H437" t="s">
        <v>1189</v>
      </c>
      <c r="I437">
        <v>2014</v>
      </c>
      <c r="J437">
        <v>166.49768582694057</v>
      </c>
      <c r="K437">
        <v>52.16115015958281</v>
      </c>
      <c r="L437">
        <v>6.4263067563110052E-2</v>
      </c>
      <c r="M437">
        <v>9.9143128304386785</v>
      </c>
      <c r="N437">
        <v>0.1287247710136509</v>
      </c>
      <c r="O437">
        <v>228.76613665553882</v>
      </c>
      <c r="P437">
        <v>147.00314501204377</v>
      </c>
      <c r="Q437">
        <v>211.877781988686</v>
      </c>
      <c r="R437">
        <v>2.5428701266426907</v>
      </c>
      <c r="S437">
        <v>361.4237971273725</v>
      </c>
      <c r="T437">
        <v>138.89322156982612</v>
      </c>
      <c r="U437">
        <v>0</v>
      </c>
      <c r="V437">
        <v>42.676151394041653</v>
      </c>
      <c r="W437">
        <v>1.1113571938114402</v>
      </c>
      <c r="X437">
        <v>0.87937252380257802</v>
      </c>
      <c r="Y437">
        <v>183.56010268148179</v>
      </c>
      <c r="Z437">
        <v>4.2522903850151303</v>
      </c>
      <c r="AA437">
        <v>778.00232684940818</v>
      </c>
      <c r="AB437">
        <v>268.02000000000021</v>
      </c>
      <c r="AC437">
        <v>2.9027771317416895</v>
      </c>
    </row>
    <row r="438" spans="4:29">
      <c r="D438" t="s">
        <v>661</v>
      </c>
      <c r="E438" t="s">
        <v>122</v>
      </c>
      <c r="F438" t="s">
        <v>658</v>
      </c>
      <c r="G438" t="s">
        <v>658</v>
      </c>
      <c r="H438" t="s">
        <v>1189</v>
      </c>
      <c r="I438">
        <v>2015</v>
      </c>
      <c r="J438">
        <v>132.81149963485817</v>
      </c>
      <c r="K438">
        <v>52.907756519888196</v>
      </c>
      <c r="L438">
        <v>5.5788310161017471E-2</v>
      </c>
      <c r="M438">
        <v>10.214815783737359</v>
      </c>
      <c r="N438">
        <v>0.13139268415388702</v>
      </c>
      <c r="O438">
        <v>196.1212529327986</v>
      </c>
      <c r="P438">
        <v>122.65552192464993</v>
      </c>
      <c r="Q438">
        <v>224.85896862998166</v>
      </c>
      <c r="R438">
        <v>2.5139021343161554</v>
      </c>
      <c r="S438">
        <v>350.02839268894775</v>
      </c>
      <c r="T438">
        <v>136.44961819227765</v>
      </c>
      <c r="U438">
        <v>0</v>
      </c>
      <c r="V438">
        <v>41.883635398400251</v>
      </c>
      <c r="W438">
        <v>1.03004570561116</v>
      </c>
      <c r="X438">
        <v>0.857843855102566</v>
      </c>
      <c r="Y438">
        <v>180.22114315139166</v>
      </c>
      <c r="Z438">
        <v>0.66294907422272908</v>
      </c>
      <c r="AA438">
        <v>727.03373784736073</v>
      </c>
      <c r="AB438">
        <v>271.17</v>
      </c>
      <c r="AC438">
        <v>2.6810994499662968</v>
      </c>
    </row>
    <row r="439" spans="4:29">
      <c r="D439" t="s">
        <v>661</v>
      </c>
      <c r="E439" t="s">
        <v>122</v>
      </c>
      <c r="F439" t="s">
        <v>659</v>
      </c>
      <c r="G439" t="s">
        <v>659</v>
      </c>
      <c r="H439" t="s">
        <v>1190</v>
      </c>
      <c r="I439">
        <v>2005</v>
      </c>
      <c r="J439">
        <v>347.63203050138316</v>
      </c>
      <c r="K439">
        <v>173.63074834527166</v>
      </c>
      <c r="L439">
        <v>0.10151500107709412</v>
      </c>
      <c r="M439">
        <v>9.3500963480103501</v>
      </c>
      <c r="N439">
        <v>9.8898477906888993E-2</v>
      </c>
      <c r="O439">
        <v>530.81328867364914</v>
      </c>
      <c r="P439">
        <v>269.09506869769939</v>
      </c>
      <c r="Q439">
        <v>371.04225689229611</v>
      </c>
      <c r="R439">
        <v>2.9882620544303244</v>
      </c>
      <c r="S439">
        <v>643.12558764442588</v>
      </c>
      <c r="T439">
        <v>188.91781808724483</v>
      </c>
      <c r="U439">
        <v>0</v>
      </c>
      <c r="V439">
        <v>119.7674367760558</v>
      </c>
      <c r="W439">
        <v>0.94287714388992194</v>
      </c>
      <c r="X439">
        <v>1.42909765919547</v>
      </c>
      <c r="Y439">
        <v>311.05722966638604</v>
      </c>
      <c r="Z439">
        <v>1.2686767948423019</v>
      </c>
      <c r="AA439">
        <v>1486.2647827793035</v>
      </c>
      <c r="AB439">
        <v>283.22900000000004</v>
      </c>
      <c r="AC439">
        <v>5.2475727513047863</v>
      </c>
    </row>
    <row r="440" spans="4:29">
      <c r="D440" t="s">
        <v>661</v>
      </c>
      <c r="E440" t="s">
        <v>122</v>
      </c>
      <c r="F440" t="s">
        <v>659</v>
      </c>
      <c r="G440" t="s">
        <v>659</v>
      </c>
      <c r="H440" t="s">
        <v>1190</v>
      </c>
      <c r="I440">
        <v>2006</v>
      </c>
      <c r="J440">
        <v>375.01104155067537</v>
      </c>
      <c r="K440">
        <v>153.87188414371289</v>
      </c>
      <c r="L440">
        <v>9.2720628790097098E-2</v>
      </c>
      <c r="M440">
        <v>8.8834083926689704</v>
      </c>
      <c r="N440">
        <v>9.3937615644673206E-2</v>
      </c>
      <c r="O440">
        <v>537.95299233149206</v>
      </c>
      <c r="P440">
        <v>280.60330961169655</v>
      </c>
      <c r="Q440">
        <v>355.47034887120299</v>
      </c>
      <c r="R440">
        <v>2.8101038904007289</v>
      </c>
      <c r="S440">
        <v>638.88376237330021</v>
      </c>
      <c r="T440">
        <v>187.34732334539723</v>
      </c>
      <c r="U440">
        <v>0</v>
      </c>
      <c r="V440">
        <v>85.636259606565858</v>
      </c>
      <c r="W440">
        <v>0.93066739543337096</v>
      </c>
      <c r="X440">
        <v>1.30087995713421</v>
      </c>
      <c r="Y440">
        <v>275.21513030453065</v>
      </c>
      <c r="Z440">
        <v>1.1798872308043451</v>
      </c>
      <c r="AA440">
        <v>1453.2317722401272</v>
      </c>
      <c r="AB440">
        <v>287.53800000000024</v>
      </c>
      <c r="AC440">
        <v>5.0540511940687001</v>
      </c>
    </row>
    <row r="441" spans="4:29">
      <c r="D441" t="s">
        <v>661</v>
      </c>
      <c r="E441" t="s">
        <v>122</v>
      </c>
      <c r="F441" t="s">
        <v>659</v>
      </c>
      <c r="G441" t="s">
        <v>659</v>
      </c>
      <c r="H441" t="s">
        <v>1190</v>
      </c>
      <c r="I441">
        <v>2007</v>
      </c>
      <c r="J441">
        <v>355.83371751137031</v>
      </c>
      <c r="K441">
        <v>131.57289113090479</v>
      </c>
      <c r="L441">
        <v>9.3001221164909456E-2</v>
      </c>
      <c r="M441">
        <v>8.8690798037959695</v>
      </c>
      <c r="N441">
        <v>8.9257039538264291E-2</v>
      </c>
      <c r="O441">
        <v>496.45794670677424</v>
      </c>
      <c r="P441">
        <v>285.51799436100202</v>
      </c>
      <c r="Q441">
        <v>336.19318150461896</v>
      </c>
      <c r="R441">
        <v>2.5852985633362864</v>
      </c>
      <c r="S441">
        <v>624.29647442895737</v>
      </c>
      <c r="T441">
        <v>191.00293151614875</v>
      </c>
      <c r="U441">
        <v>0</v>
      </c>
      <c r="V441">
        <v>95.369614924861821</v>
      </c>
      <c r="W441">
        <v>1.0672145218795999</v>
      </c>
      <c r="X441">
        <v>1.3365385098331102</v>
      </c>
      <c r="Y441">
        <v>288.77629947272328</v>
      </c>
      <c r="Z441">
        <v>1.1060229273826914</v>
      </c>
      <c r="AA441">
        <v>1410.6367435358375</v>
      </c>
      <c r="AB441">
        <v>291.43999999999983</v>
      </c>
      <c r="AC441">
        <v>4.8402303854509965</v>
      </c>
    </row>
    <row r="442" spans="4:29">
      <c r="D442" t="s">
        <v>661</v>
      </c>
      <c r="E442" t="s">
        <v>122</v>
      </c>
      <c r="F442" t="s">
        <v>659</v>
      </c>
      <c r="G442" t="s">
        <v>659</v>
      </c>
      <c r="H442" t="s">
        <v>1190</v>
      </c>
      <c r="I442">
        <v>2008</v>
      </c>
      <c r="J442">
        <v>273.82919744275915</v>
      </c>
      <c r="K442">
        <v>134.5484046341667</v>
      </c>
      <c r="L442">
        <v>9.5920109390271527E-2</v>
      </c>
      <c r="M442">
        <v>8.5428300110264406</v>
      </c>
      <c r="N442">
        <v>0.108388707707488</v>
      </c>
      <c r="O442">
        <v>417.12474090505009</v>
      </c>
      <c r="P442">
        <v>282.86152940522271</v>
      </c>
      <c r="Q442">
        <v>351.99397799950572</v>
      </c>
      <c r="R442">
        <v>2.7173099339447369</v>
      </c>
      <c r="S442">
        <v>637.57281733867319</v>
      </c>
      <c r="T442">
        <v>180.71526326970093</v>
      </c>
      <c r="U442">
        <v>0</v>
      </c>
      <c r="V442">
        <v>92.154507051001346</v>
      </c>
      <c r="W442">
        <v>1.0810306727427701</v>
      </c>
      <c r="X442">
        <v>1.3759280622638401</v>
      </c>
      <c r="Y442">
        <v>275.32672905570888</v>
      </c>
      <c r="Z442">
        <v>1.0279925187140535</v>
      </c>
      <c r="AA442">
        <v>1331.0522798181462</v>
      </c>
      <c r="AB442">
        <v>294.30500000000012</v>
      </c>
      <c r="AC442">
        <v>4.5226967935242204</v>
      </c>
    </row>
    <row r="443" spans="4:29">
      <c r="D443" t="s">
        <v>661</v>
      </c>
      <c r="E443" t="s">
        <v>122</v>
      </c>
      <c r="F443" t="s">
        <v>659</v>
      </c>
      <c r="G443" t="s">
        <v>659</v>
      </c>
      <c r="H443" t="s">
        <v>1190</v>
      </c>
      <c r="I443">
        <v>2009</v>
      </c>
      <c r="J443">
        <v>247.66522087417448</v>
      </c>
      <c r="K443">
        <v>123.73143346100763</v>
      </c>
      <c r="L443">
        <v>9.2509590492635116E-2</v>
      </c>
      <c r="M443">
        <v>6.2492783456448819</v>
      </c>
      <c r="N443">
        <v>0.10816631537627699</v>
      </c>
      <c r="O443">
        <v>377.84660858669588</v>
      </c>
      <c r="P443">
        <v>254.50860551234055</v>
      </c>
      <c r="Q443">
        <v>318.16962109293428</v>
      </c>
      <c r="R443">
        <v>2.5461125665289801</v>
      </c>
      <c r="S443">
        <v>575.22433917180388</v>
      </c>
      <c r="T443">
        <v>166.76012124513227</v>
      </c>
      <c r="U443">
        <v>0</v>
      </c>
      <c r="V443">
        <v>87.235570507104356</v>
      </c>
      <c r="W443">
        <v>1.0888615748522801</v>
      </c>
      <c r="X443">
        <v>1.19401594340717</v>
      </c>
      <c r="Y443">
        <v>256.27856927049606</v>
      </c>
      <c r="Z443">
        <v>0.9772454120605083</v>
      </c>
      <c r="AA443">
        <v>1210.3267624410562</v>
      </c>
      <c r="AB443">
        <v>299.34699999999981</v>
      </c>
      <c r="AC443">
        <v>4.0432232908332368</v>
      </c>
    </row>
    <row r="444" spans="4:29">
      <c r="D444" t="s">
        <v>661</v>
      </c>
      <c r="E444" t="s">
        <v>122</v>
      </c>
      <c r="F444" t="s">
        <v>659</v>
      </c>
      <c r="G444" t="s">
        <v>659</v>
      </c>
      <c r="H444" t="s">
        <v>1190</v>
      </c>
      <c r="I444">
        <v>2010</v>
      </c>
      <c r="J444">
        <v>255.14564210655493</v>
      </c>
      <c r="K444">
        <v>142.63458841421851</v>
      </c>
      <c r="L444">
        <v>9.7141828550820833E-2</v>
      </c>
      <c r="M444">
        <v>6.3353211998753602</v>
      </c>
      <c r="N444">
        <v>0.109215587667324</v>
      </c>
      <c r="O444">
        <v>404.32190913686696</v>
      </c>
      <c r="P444">
        <v>263.24476043096473</v>
      </c>
      <c r="Q444">
        <v>352.18974791085253</v>
      </c>
      <c r="R444">
        <v>2.7422842317812099</v>
      </c>
      <c r="S444">
        <v>618.1767925735985</v>
      </c>
      <c r="T444">
        <v>167.69059422872257</v>
      </c>
      <c r="U444">
        <v>0</v>
      </c>
      <c r="V444">
        <v>85.212094697743879</v>
      </c>
      <c r="W444">
        <v>1.08837362101038</v>
      </c>
      <c r="X444">
        <v>1.2209777030501801</v>
      </c>
      <c r="Y444">
        <v>255.21204025052702</v>
      </c>
      <c r="Z444">
        <v>0.91178940118077212</v>
      </c>
      <c r="AA444">
        <v>1278.6225313621733</v>
      </c>
      <c r="AB444">
        <v>302.62</v>
      </c>
      <c r="AC444">
        <v>4.2251752407711756</v>
      </c>
    </row>
    <row r="445" spans="4:29">
      <c r="D445" t="s">
        <v>661</v>
      </c>
      <c r="E445" t="s">
        <v>122</v>
      </c>
      <c r="F445" t="s">
        <v>659</v>
      </c>
      <c r="G445" t="s">
        <v>659</v>
      </c>
      <c r="H445" t="s">
        <v>1190</v>
      </c>
      <c r="I445">
        <v>2011</v>
      </c>
      <c r="J445">
        <v>234.10873250234118</v>
      </c>
      <c r="K445">
        <v>115.36716921847336</v>
      </c>
      <c r="L445">
        <v>9.5897044992733549E-2</v>
      </c>
      <c r="M445">
        <v>5.5377578375406298</v>
      </c>
      <c r="N445">
        <v>0.110471806938175</v>
      </c>
      <c r="O445">
        <v>355.22002841028609</v>
      </c>
      <c r="P445">
        <v>250.49076193262744</v>
      </c>
      <c r="Q445">
        <v>287.99102996453223</v>
      </c>
      <c r="R445">
        <v>2.4218412972751775</v>
      </c>
      <c r="S445">
        <v>540.90363319443475</v>
      </c>
      <c r="T445">
        <v>156.77795169983099</v>
      </c>
      <c r="U445">
        <v>0</v>
      </c>
      <c r="V445">
        <v>83.570277734479504</v>
      </c>
      <c r="W445">
        <v>1.0749690272644401</v>
      </c>
      <c r="X445">
        <v>1.1278163237349599</v>
      </c>
      <c r="Y445">
        <v>242.55101478530989</v>
      </c>
      <c r="Z445">
        <v>0.83915301288229571</v>
      </c>
      <c r="AA445">
        <v>1139.5138294029132</v>
      </c>
      <c r="AB445">
        <v>307.70999999999992</v>
      </c>
      <c r="AC445">
        <v>3.7032070111563273</v>
      </c>
    </row>
    <row r="446" spans="4:29">
      <c r="D446" t="s">
        <v>661</v>
      </c>
      <c r="E446" t="s">
        <v>122</v>
      </c>
      <c r="F446" t="s">
        <v>659</v>
      </c>
      <c r="G446" t="s">
        <v>659</v>
      </c>
      <c r="H446" t="s">
        <v>1190</v>
      </c>
      <c r="I446">
        <v>2012</v>
      </c>
      <c r="J446">
        <v>253.77503742023399</v>
      </c>
      <c r="K446">
        <v>121.19247203529454</v>
      </c>
      <c r="L446">
        <v>9.5127195991186381E-2</v>
      </c>
      <c r="M446">
        <v>6.3558103018765193</v>
      </c>
      <c r="N446">
        <v>0.11345927745007101</v>
      </c>
      <c r="O446">
        <v>381.5319062308464</v>
      </c>
      <c r="P446">
        <v>269.42786455382304</v>
      </c>
      <c r="Q446">
        <v>318.05113168080482</v>
      </c>
      <c r="R446">
        <v>2.3671403286318826</v>
      </c>
      <c r="S446">
        <v>589.84613656325973</v>
      </c>
      <c r="T446">
        <v>155.13983690594253</v>
      </c>
      <c r="U446">
        <v>0</v>
      </c>
      <c r="V446">
        <v>82.453345638150083</v>
      </c>
      <c r="W446">
        <v>1.0771718156971599</v>
      </c>
      <c r="X446">
        <v>1.08550524381431</v>
      </c>
      <c r="Y446">
        <v>239.75585960360408</v>
      </c>
      <c r="Z446">
        <v>0.76111488005296823</v>
      </c>
      <c r="AA446">
        <v>1211.8950172777631</v>
      </c>
      <c r="AB446">
        <v>308.31199999999995</v>
      </c>
      <c r="AC446">
        <v>3.9307422911782979</v>
      </c>
    </row>
    <row r="447" spans="4:29">
      <c r="D447" t="s">
        <v>661</v>
      </c>
      <c r="E447" t="s">
        <v>122</v>
      </c>
      <c r="F447" t="s">
        <v>659</v>
      </c>
      <c r="G447" t="s">
        <v>659</v>
      </c>
      <c r="H447" t="s">
        <v>1190</v>
      </c>
      <c r="I447">
        <v>2013</v>
      </c>
      <c r="J447">
        <v>227.86041870175356</v>
      </c>
      <c r="K447">
        <v>133.31703119069977</v>
      </c>
      <c r="L447">
        <v>0.12805406711067888</v>
      </c>
      <c r="M447">
        <v>5.2233215418298</v>
      </c>
      <c r="N447">
        <v>0.11437726672452</v>
      </c>
      <c r="O447">
        <v>366.64320276811833</v>
      </c>
      <c r="P447">
        <v>244.87062784280414</v>
      </c>
      <c r="Q447">
        <v>326.40963689361428</v>
      </c>
      <c r="R447">
        <v>2.5471683363295772</v>
      </c>
      <c r="S447">
        <v>573.82743307274802</v>
      </c>
      <c r="T447">
        <v>147.76557495209479</v>
      </c>
      <c r="U447">
        <v>0</v>
      </c>
      <c r="V447">
        <v>80.365457206769975</v>
      </c>
      <c r="W447">
        <v>1.0910594110596001</v>
      </c>
      <c r="X447">
        <v>1.07715706374564</v>
      </c>
      <c r="Y447">
        <v>230.29924863367</v>
      </c>
      <c r="Z447">
        <v>0.72496438728951773</v>
      </c>
      <c r="AA447">
        <v>1171.4948488618259</v>
      </c>
      <c r="AB447">
        <v>310.51599999999979</v>
      </c>
      <c r="AC447">
        <v>3.7727358617972233</v>
      </c>
    </row>
    <row r="448" spans="4:29">
      <c r="D448" t="s">
        <v>661</v>
      </c>
      <c r="E448" t="s">
        <v>122</v>
      </c>
      <c r="F448" t="s">
        <v>659</v>
      </c>
      <c r="G448" t="s">
        <v>659</v>
      </c>
      <c r="H448" t="s">
        <v>1190</v>
      </c>
      <c r="I448">
        <v>2014</v>
      </c>
      <c r="J448">
        <v>223.48799074618515</v>
      </c>
      <c r="K448">
        <v>105.60408379615252</v>
      </c>
      <c r="L448">
        <v>0.2571927359738897</v>
      </c>
      <c r="M448">
        <v>5.7372402729821603</v>
      </c>
      <c r="N448">
        <v>0.109494667973731</v>
      </c>
      <c r="O448">
        <v>335.19600221926743</v>
      </c>
      <c r="P448">
        <v>205.64345140941111</v>
      </c>
      <c r="Q448">
        <v>268.50349975454077</v>
      </c>
      <c r="R448">
        <v>2.4391012380454282</v>
      </c>
      <c r="S448">
        <v>476.58605240199734</v>
      </c>
      <c r="T448">
        <v>140.88926312526323</v>
      </c>
      <c r="U448">
        <v>0</v>
      </c>
      <c r="V448">
        <v>81.829958929693618</v>
      </c>
      <c r="W448">
        <v>1.1150179124447099</v>
      </c>
      <c r="X448">
        <v>1.0331936822137799</v>
      </c>
      <c r="Y448">
        <v>224.86743364961532</v>
      </c>
      <c r="Z448">
        <v>0.65703711685941346</v>
      </c>
      <c r="AA448">
        <v>1037.3065253877394</v>
      </c>
      <c r="AB448">
        <v>312.14500000000021</v>
      </c>
      <c r="AC448">
        <v>3.3231559864413613</v>
      </c>
    </row>
    <row r="449" spans="4:29">
      <c r="D449" t="s">
        <v>661</v>
      </c>
      <c r="E449" t="s">
        <v>122</v>
      </c>
      <c r="F449" t="s">
        <v>659</v>
      </c>
      <c r="G449" t="s">
        <v>659</v>
      </c>
      <c r="H449" t="s">
        <v>1190</v>
      </c>
      <c r="I449">
        <v>2015</v>
      </c>
      <c r="J449">
        <v>190.9473246165438</v>
      </c>
      <c r="K449">
        <v>111.79381312927602</v>
      </c>
      <c r="L449">
        <v>0.16888181315080672</v>
      </c>
      <c r="M449">
        <v>6.0483219213676502</v>
      </c>
      <c r="N449">
        <v>0.111816646267448</v>
      </c>
      <c r="O449">
        <v>309.07015812660569</v>
      </c>
      <c r="P449">
        <v>172.11890541980236</v>
      </c>
      <c r="Q449">
        <v>285.27863920099895</v>
      </c>
      <c r="R449">
        <v>2.409539011769092</v>
      </c>
      <c r="S449">
        <v>459.80708363257042</v>
      </c>
      <c r="T449">
        <v>144.45549751874387</v>
      </c>
      <c r="U449">
        <v>0</v>
      </c>
      <c r="V449">
        <v>80.307127031010594</v>
      </c>
      <c r="W449">
        <v>1.0916094008660899</v>
      </c>
      <c r="X449">
        <v>1.00464816967061</v>
      </c>
      <c r="Y449">
        <v>226.85888212029116</v>
      </c>
      <c r="Z449">
        <v>0.61572228283082397</v>
      </c>
      <c r="AA449">
        <v>996.35184616229822</v>
      </c>
      <c r="AB449">
        <v>314.54399999999993</v>
      </c>
      <c r="AC449">
        <v>3.167607222399087</v>
      </c>
    </row>
    <row r="450" spans="4:29">
      <c r="D450" t="s">
        <v>660</v>
      </c>
      <c r="E450" t="s">
        <v>122</v>
      </c>
      <c r="F450" t="s">
        <v>633</v>
      </c>
      <c r="G450" t="s">
        <v>633</v>
      </c>
      <c r="H450" t="s">
        <v>1191</v>
      </c>
      <c r="I450">
        <v>2005</v>
      </c>
      <c r="J450">
        <v>1850.4033332571448</v>
      </c>
      <c r="K450">
        <v>574.49136457791019</v>
      </c>
      <c r="L450">
        <v>0.40567871850390697</v>
      </c>
      <c r="M450">
        <v>103.63149008490662</v>
      </c>
      <c r="N450">
        <v>6.3426392779340202E-2</v>
      </c>
      <c r="O450">
        <v>2528.9952930312452</v>
      </c>
      <c r="P450">
        <v>264.79799272322185</v>
      </c>
      <c r="Q450">
        <v>233.00210769063165</v>
      </c>
      <c r="R450">
        <v>5.7101155437572721</v>
      </c>
      <c r="S450">
        <v>503.5102159576108</v>
      </c>
      <c r="T450">
        <v>268.69335335025005</v>
      </c>
      <c r="U450">
        <v>0</v>
      </c>
      <c r="V450">
        <v>110.45827282239682</v>
      </c>
      <c r="W450">
        <v>1.79341686099898</v>
      </c>
      <c r="X450">
        <v>1.3259805515216301</v>
      </c>
      <c r="Y450">
        <v>382.27102358516748</v>
      </c>
      <c r="Z450">
        <v>0.69544012407872269</v>
      </c>
      <c r="AA450">
        <v>3415.4719726981025</v>
      </c>
      <c r="AB450">
        <v>223.13199999999989</v>
      </c>
      <c r="AC450">
        <v>15.306957194387646</v>
      </c>
    </row>
    <row r="451" spans="4:29">
      <c r="D451" t="s">
        <v>660</v>
      </c>
      <c r="E451" t="s">
        <v>122</v>
      </c>
      <c r="F451" t="s">
        <v>633</v>
      </c>
      <c r="G451" t="s">
        <v>633</v>
      </c>
      <c r="H451" t="s">
        <v>1191</v>
      </c>
      <c r="I451">
        <v>2006</v>
      </c>
      <c r="J451">
        <v>2046.2961372445416</v>
      </c>
      <c r="K451">
        <v>572.54988860817537</v>
      </c>
      <c r="L451">
        <v>0.27036691269956775</v>
      </c>
      <c r="M451">
        <v>92.563653685170166</v>
      </c>
      <c r="N451">
        <v>6.3730421997201997E-2</v>
      </c>
      <c r="O451">
        <v>2711.743776872584</v>
      </c>
      <c r="P451">
        <v>276.14971059559724</v>
      </c>
      <c r="Q451">
        <v>225.01249495204101</v>
      </c>
      <c r="R451">
        <v>5.5663891533384628</v>
      </c>
      <c r="S451">
        <v>506.72859470097671</v>
      </c>
      <c r="T451">
        <v>271.87223650073787</v>
      </c>
      <c r="U451">
        <v>0</v>
      </c>
      <c r="V451">
        <v>103.00235954979659</v>
      </c>
      <c r="W451">
        <v>1.7712865196074299</v>
      </c>
      <c r="X451">
        <v>1.3692761391955601</v>
      </c>
      <c r="Y451">
        <v>378.01515870933747</v>
      </c>
      <c r="Z451">
        <v>0.65062818366176345</v>
      </c>
      <c r="AA451">
        <v>3597.1381584665601</v>
      </c>
      <c r="AB451">
        <v>222.82899999999995</v>
      </c>
      <c r="AC451">
        <v>16.143043133822623</v>
      </c>
    </row>
    <row r="452" spans="4:29">
      <c r="D452" t="s">
        <v>660</v>
      </c>
      <c r="E452" t="s">
        <v>122</v>
      </c>
      <c r="F452" t="s">
        <v>633</v>
      </c>
      <c r="G452" t="s">
        <v>633</v>
      </c>
      <c r="H452" t="s">
        <v>1191</v>
      </c>
      <c r="I452">
        <v>2007</v>
      </c>
      <c r="J452">
        <v>1997.4297220066785</v>
      </c>
      <c r="K452">
        <v>514.56204944102444</v>
      </c>
      <c r="L452">
        <v>0.21972604298732734</v>
      </c>
      <c r="M452">
        <v>90.114527929688194</v>
      </c>
      <c r="N452">
        <v>6.1912359566511595E-2</v>
      </c>
      <c r="O452">
        <v>2602.3879377799453</v>
      </c>
      <c r="P452">
        <v>279.09429838354254</v>
      </c>
      <c r="Q452">
        <v>213.3063878959567</v>
      </c>
      <c r="R452">
        <v>4.9916738694621623</v>
      </c>
      <c r="S452">
        <v>497.39236014896142</v>
      </c>
      <c r="T452">
        <v>258.34380687355508</v>
      </c>
      <c r="U452">
        <v>0</v>
      </c>
      <c r="V452">
        <v>98.652542088763852</v>
      </c>
      <c r="W452">
        <v>2.0313018521478798</v>
      </c>
      <c r="X452">
        <v>1.2465040952539099</v>
      </c>
      <c r="Y452">
        <v>360.27415490972072</v>
      </c>
      <c r="Z452">
        <v>0.61260466291872784</v>
      </c>
      <c r="AA452">
        <v>3460.667057501546</v>
      </c>
      <c r="AB452">
        <v>220.61899999999991</v>
      </c>
      <c r="AC452">
        <v>15.686169629549347</v>
      </c>
    </row>
    <row r="453" spans="4:29">
      <c r="D453" t="s">
        <v>660</v>
      </c>
      <c r="E453" t="s">
        <v>122</v>
      </c>
      <c r="F453" t="s">
        <v>633</v>
      </c>
      <c r="G453" t="s">
        <v>633</v>
      </c>
      <c r="H453" t="s">
        <v>1191</v>
      </c>
      <c r="I453">
        <v>2008</v>
      </c>
      <c r="J453">
        <v>2002.9170148432036</v>
      </c>
      <c r="K453">
        <v>595.32685859185403</v>
      </c>
      <c r="L453">
        <v>5.8960662322268383E-2</v>
      </c>
      <c r="M453">
        <v>76.882954126727057</v>
      </c>
      <c r="N453">
        <v>4.6152553193652898E-2</v>
      </c>
      <c r="O453">
        <v>2675.2319407773002</v>
      </c>
      <c r="P453">
        <v>274.58381508518767</v>
      </c>
      <c r="Q453">
        <v>223.19931467261029</v>
      </c>
      <c r="R453">
        <v>5.1901074731437138</v>
      </c>
      <c r="S453">
        <v>502.97323723094166</v>
      </c>
      <c r="T453">
        <v>237.49221832949956</v>
      </c>
      <c r="U453">
        <v>0</v>
      </c>
      <c r="V453">
        <v>94.099533388592036</v>
      </c>
      <c r="W453">
        <v>2.0597863849990099</v>
      </c>
      <c r="X453">
        <v>1.24578499847692</v>
      </c>
      <c r="Y453">
        <v>334.89732310156751</v>
      </c>
      <c r="Z453">
        <v>0.57297830994948362</v>
      </c>
      <c r="AA453">
        <v>3513.6754794197591</v>
      </c>
      <c r="AB453">
        <v>218.67299999999986</v>
      </c>
      <c r="AC453">
        <v>16.06817247405835</v>
      </c>
    </row>
    <row r="454" spans="4:29">
      <c r="D454" t="s">
        <v>660</v>
      </c>
      <c r="E454" t="s">
        <v>122</v>
      </c>
      <c r="F454" t="s">
        <v>633</v>
      </c>
      <c r="G454" t="s">
        <v>633</v>
      </c>
      <c r="H454" t="s">
        <v>1191</v>
      </c>
      <c r="I454">
        <v>2009</v>
      </c>
      <c r="J454">
        <v>1766.7225198558765</v>
      </c>
      <c r="K454">
        <v>502.92722712917072</v>
      </c>
      <c r="L454">
        <v>0.66759360733405093</v>
      </c>
      <c r="M454">
        <v>66.7844538250379</v>
      </c>
      <c r="N454">
        <v>3.06353174304114E-2</v>
      </c>
      <c r="O454">
        <v>2337.1324297348497</v>
      </c>
      <c r="P454">
        <v>252.19106116466008</v>
      </c>
      <c r="Q454">
        <v>205.74893738983576</v>
      </c>
      <c r="R454">
        <v>4.959379380617464</v>
      </c>
      <c r="S454">
        <v>462.89937793511331</v>
      </c>
      <c r="T454">
        <v>221.68470068088553</v>
      </c>
      <c r="U454">
        <v>0</v>
      </c>
      <c r="V454">
        <v>92.589070035255759</v>
      </c>
      <c r="W454">
        <v>2.0755887670471602</v>
      </c>
      <c r="X454">
        <v>1.10632320060459</v>
      </c>
      <c r="Y454">
        <v>317.45568268379304</v>
      </c>
      <c r="Z454">
        <v>0.54553727485730652</v>
      </c>
      <c r="AA454">
        <v>3118.0330276286131</v>
      </c>
      <c r="AB454">
        <v>216.97999999999985</v>
      </c>
      <c r="AC454">
        <v>14.370140232411353</v>
      </c>
    </row>
    <row r="455" spans="4:29">
      <c r="D455" t="s">
        <v>660</v>
      </c>
      <c r="E455" t="s">
        <v>122</v>
      </c>
      <c r="F455" t="s">
        <v>633</v>
      </c>
      <c r="G455" t="s">
        <v>633</v>
      </c>
      <c r="H455" t="s">
        <v>1191</v>
      </c>
      <c r="I455">
        <v>2010</v>
      </c>
      <c r="J455">
        <v>1821.2648468877462</v>
      </c>
      <c r="K455">
        <v>587.91511870647855</v>
      </c>
      <c r="L455">
        <v>1.9700474226076241</v>
      </c>
      <c r="M455">
        <v>69.615195090884939</v>
      </c>
      <c r="N455">
        <v>3.1341379577810198E-2</v>
      </c>
      <c r="O455">
        <v>2480.7965494872951</v>
      </c>
      <c r="P455">
        <v>261.83831540642058</v>
      </c>
      <c r="Q455">
        <v>229.5257083767026</v>
      </c>
      <c r="R455">
        <v>5.4669809813799501</v>
      </c>
      <c r="S455">
        <v>496.83100476450312</v>
      </c>
      <c r="T455">
        <v>223.357794133678</v>
      </c>
      <c r="U455">
        <v>0</v>
      </c>
      <c r="V455">
        <v>88.973719136949271</v>
      </c>
      <c r="W455">
        <v>2.0744449354864098</v>
      </c>
      <c r="X455">
        <v>1.1207013704886002</v>
      </c>
      <c r="Y455">
        <v>315.52665957660224</v>
      </c>
      <c r="Z455">
        <v>0.51133405375025986</v>
      </c>
      <c r="AA455">
        <v>3293.6655478821499</v>
      </c>
      <c r="AB455">
        <v>217.18699999999993</v>
      </c>
      <c r="AC455">
        <v>15.165113694107617</v>
      </c>
    </row>
    <row r="456" spans="4:29">
      <c r="D456" t="s">
        <v>660</v>
      </c>
      <c r="E456" t="s">
        <v>122</v>
      </c>
      <c r="F456" t="s">
        <v>633</v>
      </c>
      <c r="G456" t="s">
        <v>633</v>
      </c>
      <c r="H456" t="s">
        <v>1191</v>
      </c>
      <c r="I456">
        <v>2011</v>
      </c>
      <c r="J456">
        <v>1676.3877921155402</v>
      </c>
      <c r="K456">
        <v>485.60180309788939</v>
      </c>
      <c r="L456">
        <v>5.4256169839522498E-3</v>
      </c>
      <c r="M456">
        <v>62.540445133832556</v>
      </c>
      <c r="N456">
        <v>3.2971595572761206E-2</v>
      </c>
      <c r="O456">
        <v>2224.5684375598184</v>
      </c>
      <c r="P456">
        <v>246.71060359426099</v>
      </c>
      <c r="Q456">
        <v>187.9382390342081</v>
      </c>
      <c r="R456">
        <v>4.5032715776257648</v>
      </c>
      <c r="S456">
        <v>439.15211420609484</v>
      </c>
      <c r="T456">
        <v>211.68719630850308</v>
      </c>
      <c r="U456">
        <v>0</v>
      </c>
      <c r="V456">
        <v>86.746705516733726</v>
      </c>
      <c r="W456">
        <v>2.04838755666148</v>
      </c>
      <c r="X456">
        <v>1.0463789426068399</v>
      </c>
      <c r="Y456">
        <v>301.52866832450513</v>
      </c>
      <c r="Z456">
        <v>0.47425671734214991</v>
      </c>
      <c r="AA456">
        <v>2965.7234768077601</v>
      </c>
      <c r="AB456">
        <v>219.58200000000005</v>
      </c>
      <c r="AC456">
        <v>13.506223082073028</v>
      </c>
    </row>
    <row r="457" spans="4:29">
      <c r="D457" t="s">
        <v>660</v>
      </c>
      <c r="E457" t="s">
        <v>122</v>
      </c>
      <c r="F457" t="s">
        <v>633</v>
      </c>
      <c r="G457" t="s">
        <v>633</v>
      </c>
      <c r="H457" t="s">
        <v>1191</v>
      </c>
      <c r="I457">
        <v>2012</v>
      </c>
      <c r="J457">
        <v>1830.8956748979404</v>
      </c>
      <c r="K457">
        <v>544.30628959253409</v>
      </c>
      <c r="L457">
        <v>7.9944311791610868E-3</v>
      </c>
      <c r="M457">
        <v>55.196670854915823</v>
      </c>
      <c r="N457">
        <v>3.6909347953903299E-2</v>
      </c>
      <c r="O457">
        <v>2430.4435391245233</v>
      </c>
      <c r="P457">
        <v>266.18912999808919</v>
      </c>
      <c r="Q457">
        <v>203.75066610160397</v>
      </c>
      <c r="R457">
        <v>4.4355877851426007</v>
      </c>
      <c r="S457">
        <v>474.37538388483574</v>
      </c>
      <c r="T457">
        <v>210.2671694910033</v>
      </c>
      <c r="U457">
        <v>0</v>
      </c>
      <c r="V457">
        <v>85.031279712996081</v>
      </c>
      <c r="W457">
        <v>2.0503949914172699</v>
      </c>
      <c r="X457">
        <v>1.02125435759882</v>
      </c>
      <c r="Y457">
        <v>298.37009855301545</v>
      </c>
      <c r="Z457">
        <v>0.43500285514397952</v>
      </c>
      <c r="AA457">
        <v>3203.6240244175187</v>
      </c>
      <c r="AB457">
        <v>223.85800000000012</v>
      </c>
      <c r="AC457">
        <v>14.31096509580858</v>
      </c>
    </row>
    <row r="458" spans="4:29">
      <c r="D458" t="s">
        <v>660</v>
      </c>
      <c r="E458" t="s">
        <v>122</v>
      </c>
      <c r="F458" t="s">
        <v>633</v>
      </c>
      <c r="G458" t="s">
        <v>633</v>
      </c>
      <c r="H458" t="s">
        <v>1191</v>
      </c>
      <c r="I458">
        <v>2013</v>
      </c>
      <c r="J458">
        <v>1688.1238079763596</v>
      </c>
      <c r="K458">
        <v>568.62428981615483</v>
      </c>
      <c r="L458">
        <v>2.4963862616304779E-3</v>
      </c>
      <c r="M458">
        <v>45.525458762349288</v>
      </c>
      <c r="N458">
        <v>4.99366431975969E-2</v>
      </c>
      <c r="O458">
        <v>2302.325989584323</v>
      </c>
      <c r="P458">
        <v>240.80352265007508</v>
      </c>
      <c r="Q458">
        <v>210.28969021617073</v>
      </c>
      <c r="R458">
        <v>4.7908114274163376</v>
      </c>
      <c r="S458">
        <v>455.88402429366215</v>
      </c>
      <c r="T458">
        <v>205.87891046868489</v>
      </c>
      <c r="U458">
        <v>0</v>
      </c>
      <c r="V458">
        <v>82.175479972249406</v>
      </c>
      <c r="W458">
        <v>2.07743827632678</v>
      </c>
      <c r="X458">
        <v>1.0379581158589399</v>
      </c>
      <c r="Y458">
        <v>291.16978683312004</v>
      </c>
      <c r="Z458">
        <v>0.41432128165484294</v>
      </c>
      <c r="AA458">
        <v>3049.7941219927598</v>
      </c>
      <c r="AB458">
        <v>226.84100000000007</v>
      </c>
      <c r="AC458">
        <v>13.444633562683814</v>
      </c>
    </row>
    <row r="459" spans="4:29">
      <c r="D459" t="s">
        <v>660</v>
      </c>
      <c r="E459" t="s">
        <v>122</v>
      </c>
      <c r="F459" t="s">
        <v>633</v>
      </c>
      <c r="G459" t="s">
        <v>633</v>
      </c>
      <c r="H459" t="s">
        <v>1191</v>
      </c>
      <c r="I459">
        <v>2014</v>
      </c>
      <c r="J459">
        <v>1417.642291198345</v>
      </c>
      <c r="K459">
        <v>377.03572824196448</v>
      </c>
      <c r="L459">
        <v>4.4602117208981683E-2</v>
      </c>
      <c r="M459">
        <v>52.035202514993593</v>
      </c>
      <c r="N459">
        <v>3.3506970900502205E-2</v>
      </c>
      <c r="O459">
        <v>1846.7913310434128</v>
      </c>
      <c r="P459">
        <v>201.47046586648028</v>
      </c>
      <c r="Q459">
        <v>165.15202818251933</v>
      </c>
      <c r="R459">
        <v>4.4595074314699632</v>
      </c>
      <c r="S459">
        <v>371.08200148046956</v>
      </c>
      <c r="T459">
        <v>205.24943133101038</v>
      </c>
      <c r="U459">
        <v>0</v>
      </c>
      <c r="V459">
        <v>83.866078969396213</v>
      </c>
      <c r="W459">
        <v>2.1239926878283399</v>
      </c>
      <c r="X459">
        <v>1.1133537809996001</v>
      </c>
      <c r="Y459">
        <v>292.35285676923451</v>
      </c>
      <c r="Z459">
        <v>0.3798681320646598</v>
      </c>
      <c r="AA459">
        <v>2510.6060574251815</v>
      </c>
      <c r="AB459">
        <v>233.29200000000012</v>
      </c>
      <c r="AC459">
        <v>10.761646594933303</v>
      </c>
    </row>
    <row r="460" spans="4:29">
      <c r="D460" t="s">
        <v>660</v>
      </c>
      <c r="E460" t="s">
        <v>122</v>
      </c>
      <c r="F460" t="s">
        <v>633</v>
      </c>
      <c r="G460" t="s">
        <v>633</v>
      </c>
      <c r="H460" t="s">
        <v>1191</v>
      </c>
      <c r="I460">
        <v>2015</v>
      </c>
      <c r="J460">
        <v>1052.6802528555866</v>
      </c>
      <c r="K460">
        <v>376.50801537181559</v>
      </c>
      <c r="L460">
        <v>0.18064685958109777</v>
      </c>
      <c r="M460">
        <v>55.32549736693413</v>
      </c>
      <c r="N460">
        <v>3.44989617264186E-2</v>
      </c>
      <c r="O460">
        <v>1484.728911415644</v>
      </c>
      <c r="P460">
        <v>166.10751326755116</v>
      </c>
      <c r="Q460">
        <v>173.51045081290656</v>
      </c>
      <c r="R460">
        <v>4.379122023358609</v>
      </c>
      <c r="S460">
        <v>343.99708610381629</v>
      </c>
      <c r="T460">
        <v>209.91485947029588</v>
      </c>
      <c r="U460">
        <v>0</v>
      </c>
      <c r="V460">
        <v>81.831501153458518</v>
      </c>
      <c r="W460">
        <v>2.0840539377718703</v>
      </c>
      <c r="X460">
        <v>1.0901625922375799</v>
      </c>
      <c r="Y460">
        <v>294.92057715376387</v>
      </c>
      <c r="Z460">
        <v>0.35725388407032788</v>
      </c>
      <c r="AA460">
        <v>2124.0038285572946</v>
      </c>
      <c r="AB460">
        <v>242.29900000000001</v>
      </c>
      <c r="AC460">
        <v>8.7660445505647751</v>
      </c>
    </row>
    <row r="461" spans="4:29">
      <c r="E461" t="s">
        <v>122</v>
      </c>
      <c r="F461" t="s">
        <v>660</v>
      </c>
      <c r="G461" t="s">
        <v>660</v>
      </c>
      <c r="I461">
        <v>2005</v>
      </c>
      <c r="K461">
        <f>SUMIFS(K$98:K$460,$I$98:$I$460,$I461,$D$98:$D$460,$G461)</f>
        <v>2354.939200778605</v>
      </c>
      <c r="L461">
        <f>SUMIFS(L$98:L$460,$I$98:$I$460,$I461,$D$98:$D$460,$G461)</f>
        <v>18.846113436041051</v>
      </c>
      <c r="M461">
        <f>SUMIFS(M$98:M$460,$I$98:$I$460,$I461,$D$98:$D$460,$G461)</f>
        <v>252.08010858103466</v>
      </c>
      <c r="O461">
        <f t="shared" ref="O461:AC461" si="3">SUMIFS(O$98:O$460,$I$98:$I$460,$I461,$D$98:$D$460,$G461)</f>
        <v>10896.703829643791</v>
      </c>
      <c r="P461">
        <f t="shared" si="3"/>
        <v>2312.8916804266487</v>
      </c>
      <c r="Q461">
        <f t="shared" si="3"/>
        <v>2779.8400422965051</v>
      </c>
      <c r="R461">
        <f t="shared" si="3"/>
        <v>37.357727979813127</v>
      </c>
      <c r="S461">
        <f t="shared" si="3"/>
        <v>5130.089450702967</v>
      </c>
      <c r="T461">
        <f t="shared" si="3"/>
        <v>1841.7666254736528</v>
      </c>
      <c r="U461">
        <f t="shared" si="3"/>
        <v>0</v>
      </c>
      <c r="V461">
        <f t="shared" si="3"/>
        <v>1065.6741501230374</v>
      </c>
      <c r="W461">
        <f t="shared" si="3"/>
        <v>8.5388632685199326</v>
      </c>
      <c r="X461">
        <f t="shared" si="3"/>
        <v>12.035116297448944</v>
      </c>
      <c r="Y461">
        <f t="shared" si="3"/>
        <v>2928.0147551626587</v>
      </c>
      <c r="Z461">
        <f t="shared" si="3"/>
        <v>9.0517920294267977</v>
      </c>
      <c r="AA461">
        <f t="shared" si="3"/>
        <v>18963.859827538843</v>
      </c>
      <c r="AB461">
        <f t="shared" si="3"/>
        <v>2421.2439999999997</v>
      </c>
      <c r="AC461">
        <f t="shared" si="3"/>
        <v>310.06203311128178</v>
      </c>
    </row>
    <row r="462" spans="4:29">
      <c r="E462" t="s">
        <v>122</v>
      </c>
      <c r="F462" t="s">
        <v>660</v>
      </c>
      <c r="G462" t="s">
        <v>660</v>
      </c>
      <c r="I462">
        <v>2006</v>
      </c>
      <c r="K462">
        <f t="shared" ref="K462:X482" si="4">SUMIFS(K$98:K$460,$I$98:$I$460,$I462,$D$98:$D$460,$G462)</f>
        <v>2290.7460958709212</v>
      </c>
      <c r="L462">
        <f t="shared" si="4"/>
        <v>5.5115904317223263</v>
      </c>
      <c r="M462">
        <f t="shared" si="4"/>
        <v>229.62879910349801</v>
      </c>
      <c r="O462">
        <f t="shared" si="4"/>
        <v>11860.901117365374</v>
      </c>
      <c r="P462">
        <f t="shared" si="4"/>
        <v>2397.6496898908554</v>
      </c>
      <c r="Q462">
        <f t="shared" si="4"/>
        <v>2660.7684328500313</v>
      </c>
      <c r="R462">
        <f t="shared" si="4"/>
        <v>35.376114569404379</v>
      </c>
      <c r="S462">
        <f t="shared" si="4"/>
        <v>5093.7942373102915</v>
      </c>
      <c r="T462">
        <f t="shared" si="4"/>
        <v>1859.4336738390632</v>
      </c>
      <c r="U462">
        <f t="shared" si="4"/>
        <v>0</v>
      </c>
      <c r="V462">
        <f t="shared" si="4"/>
        <v>1016.4110162289758</v>
      </c>
      <c r="W462">
        <f t="shared" si="4"/>
        <v>8.4218546943524917</v>
      </c>
      <c r="X462">
        <f t="shared" si="4"/>
        <v>12.365685579707129</v>
      </c>
      <c r="Y462">
        <f t="shared" ref="Y462:AC482" si="5">SUMIFS(Y$98:Y$460,$I$98:$I$460,$I462,$D$98:$D$460,$G462)</f>
        <v>2896.6322303420984</v>
      </c>
      <c r="Z462">
        <f t="shared" si="5"/>
        <v>8.4268697648638611</v>
      </c>
      <c r="AA462">
        <f t="shared" si="5"/>
        <v>19859.754454782629</v>
      </c>
      <c r="AB462">
        <f t="shared" si="5"/>
        <v>2444.9539999999997</v>
      </c>
      <c r="AC462">
        <f t="shared" si="5"/>
        <v>327.4197105998839</v>
      </c>
    </row>
    <row r="463" spans="4:29">
      <c r="E463" t="s">
        <v>122</v>
      </c>
      <c r="F463" t="s">
        <v>660</v>
      </c>
      <c r="G463" t="s">
        <v>660</v>
      </c>
      <c r="I463">
        <v>2007</v>
      </c>
      <c r="K463">
        <f t="shared" si="4"/>
        <v>2106.0838905096693</v>
      </c>
      <c r="L463">
        <f t="shared" si="4"/>
        <v>5.9084190276556452</v>
      </c>
      <c r="M463">
        <f t="shared" si="4"/>
        <v>225.70954016286527</v>
      </c>
      <c r="O463">
        <f t="shared" si="4"/>
        <v>11432.45534175443</v>
      </c>
      <c r="P463">
        <f t="shared" si="4"/>
        <v>2428.2805902462237</v>
      </c>
      <c r="Q463">
        <f t="shared" si="4"/>
        <v>2523.3330877136873</v>
      </c>
      <c r="R463">
        <f t="shared" si="4"/>
        <v>32.239111063368746</v>
      </c>
      <c r="S463">
        <f t="shared" si="4"/>
        <v>4983.8527890232799</v>
      </c>
      <c r="T463">
        <f t="shared" si="4"/>
        <v>1806.4237476537178</v>
      </c>
      <c r="U463">
        <f t="shared" si="4"/>
        <v>0</v>
      </c>
      <c r="V463">
        <f t="shared" si="4"/>
        <v>1030.5934103630875</v>
      </c>
      <c r="W463">
        <f t="shared" si="4"/>
        <v>9.5345416744932709</v>
      </c>
      <c r="X463">
        <f t="shared" si="4"/>
        <v>11.871021707819251</v>
      </c>
      <c r="Y463">
        <f t="shared" si="5"/>
        <v>2858.422721399118</v>
      </c>
      <c r="Z463">
        <f t="shared" si="5"/>
        <v>7.9187712830438457</v>
      </c>
      <c r="AA463">
        <f t="shared" si="5"/>
        <v>19282.649623459874</v>
      </c>
      <c r="AB463">
        <f t="shared" si="5"/>
        <v>2472.7809999999999</v>
      </c>
      <c r="AC463">
        <f t="shared" si="5"/>
        <v>300.04438385213427</v>
      </c>
    </row>
    <row r="464" spans="4:29">
      <c r="E464" t="s">
        <v>122</v>
      </c>
      <c r="F464" t="s">
        <v>660</v>
      </c>
      <c r="G464" t="s">
        <v>660</v>
      </c>
      <c r="I464">
        <v>2008</v>
      </c>
      <c r="K464">
        <f t="shared" si="4"/>
        <v>2319.6654689378211</v>
      </c>
      <c r="L464">
        <f t="shared" si="4"/>
        <v>4.2706954216119746</v>
      </c>
      <c r="M464">
        <f t="shared" si="4"/>
        <v>195.2809802411725</v>
      </c>
      <c r="O464">
        <f t="shared" si="4"/>
        <v>11615.022079446841</v>
      </c>
      <c r="P464">
        <f t="shared" si="4"/>
        <v>2400.0245740451533</v>
      </c>
      <c r="Q464">
        <f t="shared" si="4"/>
        <v>2622.631256420128</v>
      </c>
      <c r="R464">
        <f t="shared" si="4"/>
        <v>33.890947761990162</v>
      </c>
      <c r="S464">
        <f t="shared" si="4"/>
        <v>5056.5467782272717</v>
      </c>
      <c r="T464">
        <f t="shared" si="4"/>
        <v>1676.131977171249</v>
      </c>
      <c r="U464">
        <f t="shared" si="4"/>
        <v>0</v>
      </c>
      <c r="V464">
        <f t="shared" si="4"/>
        <v>994.74490128492221</v>
      </c>
      <c r="W464">
        <f t="shared" si="4"/>
        <v>9.6219732324343923</v>
      </c>
      <c r="X464">
        <f t="shared" si="4"/>
        <v>12.082341293028856</v>
      </c>
      <c r="Y464">
        <f t="shared" si="5"/>
        <v>2692.5811929816341</v>
      </c>
      <c r="Z464">
        <f t="shared" si="5"/>
        <v>7.3703848522664721</v>
      </c>
      <c r="AA464">
        <f t="shared" si="5"/>
        <v>19371.52043550801</v>
      </c>
      <c r="AB464">
        <f t="shared" si="5"/>
        <v>2503.4199999999996</v>
      </c>
      <c r="AC464">
        <f t="shared" si="5"/>
        <v>307.52438792149104</v>
      </c>
    </row>
    <row r="465" spans="5:29">
      <c r="E465" t="s">
        <v>122</v>
      </c>
      <c r="F465" t="s">
        <v>660</v>
      </c>
      <c r="G465" t="s">
        <v>660</v>
      </c>
      <c r="I465">
        <v>2009</v>
      </c>
      <c r="K465">
        <f t="shared" si="4"/>
        <v>2099.1352164355449</v>
      </c>
      <c r="L465">
        <f t="shared" si="4"/>
        <v>3.5839303191610181</v>
      </c>
      <c r="M465">
        <f t="shared" si="4"/>
        <v>161.26248725420882</v>
      </c>
      <c r="O465">
        <f t="shared" si="4"/>
        <v>10259.799656360385</v>
      </c>
      <c r="P465">
        <f t="shared" si="4"/>
        <v>2185.4737229477937</v>
      </c>
      <c r="Q465">
        <f t="shared" si="4"/>
        <v>2376.0062469152313</v>
      </c>
      <c r="R465">
        <f t="shared" si="4"/>
        <v>31.759843332781664</v>
      </c>
      <c r="S465">
        <f t="shared" si="4"/>
        <v>4593.2398131958071</v>
      </c>
      <c r="T465">
        <f t="shared" si="4"/>
        <v>1615.158075572826</v>
      </c>
      <c r="U465">
        <f t="shared" si="4"/>
        <v>0</v>
      </c>
      <c r="V465">
        <f t="shared" si="4"/>
        <v>968.81985600782491</v>
      </c>
      <c r="W465">
        <f t="shared" si="4"/>
        <v>9.6787359097377443</v>
      </c>
      <c r="X465">
        <f t="shared" ref="X465:X482" si="6">SUMIFS(X$98:X$460,$I$98:$I$460,$I465,$D$98:$D$460,$G465)</f>
        <v>10.895403441147025</v>
      </c>
      <c r="Y465">
        <f t="shared" si="5"/>
        <v>2604.5520709315356</v>
      </c>
      <c r="Z465">
        <f t="shared" si="5"/>
        <v>7.0419265618750071</v>
      </c>
      <c r="AA465">
        <f t="shared" si="5"/>
        <v>17464.6334670496</v>
      </c>
      <c r="AB465">
        <f t="shared" si="5"/>
        <v>2542.4659999999999</v>
      </c>
      <c r="AC465">
        <f t="shared" si="5"/>
        <v>269.87375859581539</v>
      </c>
    </row>
    <row r="466" spans="5:29">
      <c r="E466" t="s">
        <v>122</v>
      </c>
      <c r="F466" t="s">
        <v>660</v>
      </c>
      <c r="G466" t="s">
        <v>660</v>
      </c>
      <c r="I466">
        <v>2010</v>
      </c>
      <c r="K466">
        <f t="shared" si="4"/>
        <v>2392.4454403467953</v>
      </c>
      <c r="L466">
        <f t="shared" si="4"/>
        <v>6.4808295209411604</v>
      </c>
      <c r="M466">
        <f t="shared" si="4"/>
        <v>166.10222028459023</v>
      </c>
      <c r="O466">
        <f t="shared" si="4"/>
        <v>11059.896878079369</v>
      </c>
      <c r="P466">
        <f t="shared" si="4"/>
        <v>2258.0272734416294</v>
      </c>
      <c r="Q466">
        <f t="shared" si="4"/>
        <v>2636.9205635174394</v>
      </c>
      <c r="R466">
        <f t="shared" si="4"/>
        <v>34.488288563925032</v>
      </c>
      <c r="S466">
        <f t="shared" si="4"/>
        <v>4929.4361255229942</v>
      </c>
      <c r="T466">
        <f t="shared" si="4"/>
        <v>1598.5891779415429</v>
      </c>
      <c r="U466">
        <f t="shared" si="4"/>
        <v>0</v>
      </c>
      <c r="V466">
        <f t="shared" si="4"/>
        <v>940.00725192536447</v>
      </c>
      <c r="W466">
        <f t="shared" si="4"/>
        <v>9.6859324345119404</v>
      </c>
      <c r="X466">
        <f t="shared" si="6"/>
        <v>10.926847011555259</v>
      </c>
      <c r="Y466">
        <f t="shared" si="5"/>
        <v>2559.209209312975</v>
      </c>
      <c r="Z466">
        <f t="shared" si="5"/>
        <v>6.5862689702348147</v>
      </c>
      <c r="AA466">
        <f t="shared" si="5"/>
        <v>18555.128481885571</v>
      </c>
      <c r="AB466">
        <f t="shared" si="5"/>
        <v>2574.0659999999993</v>
      </c>
      <c r="AC466">
        <f t="shared" si="5"/>
        <v>298.04581093241035</v>
      </c>
    </row>
    <row r="467" spans="5:29">
      <c r="E467" t="s">
        <v>122</v>
      </c>
      <c r="F467" t="s">
        <v>660</v>
      </c>
      <c r="G467" t="s">
        <v>660</v>
      </c>
      <c r="I467">
        <v>2011</v>
      </c>
      <c r="K467">
        <f t="shared" si="4"/>
        <v>2019.5975779238988</v>
      </c>
      <c r="L467">
        <f t="shared" si="4"/>
        <v>3.633975319726336</v>
      </c>
      <c r="M467">
        <f t="shared" si="4"/>
        <v>148.42550945245696</v>
      </c>
      <c r="O467">
        <f t="shared" si="4"/>
        <v>9766.6131171949601</v>
      </c>
      <c r="P467">
        <f t="shared" si="4"/>
        <v>2156.5365333898048</v>
      </c>
      <c r="Q467">
        <f t="shared" si="4"/>
        <v>2147.5172944440642</v>
      </c>
      <c r="R467">
        <f t="shared" si="4"/>
        <v>29.786445021988801</v>
      </c>
      <c r="S467">
        <f t="shared" si="4"/>
        <v>4333.8402728558585</v>
      </c>
      <c r="T467">
        <f t="shared" si="4"/>
        <v>1529.494169302734</v>
      </c>
      <c r="U467">
        <f t="shared" si="4"/>
        <v>0</v>
      </c>
      <c r="V467">
        <f t="shared" si="4"/>
        <v>916.07104594280963</v>
      </c>
      <c r="W467">
        <f t="shared" si="4"/>
        <v>9.5678092188700319</v>
      </c>
      <c r="X467">
        <f t="shared" si="6"/>
        <v>10.302375924725091</v>
      </c>
      <c r="Y467">
        <f t="shared" si="5"/>
        <v>2465.4354003891385</v>
      </c>
      <c r="Z467">
        <f t="shared" si="5"/>
        <v>6.067633891622167</v>
      </c>
      <c r="AA467">
        <f t="shared" si="5"/>
        <v>16571.956424331576</v>
      </c>
      <c r="AB467">
        <f t="shared" si="5"/>
        <v>2622.8749999999991</v>
      </c>
      <c r="AC467">
        <f t="shared" si="5"/>
        <v>254.49339831065649</v>
      </c>
    </row>
    <row r="468" spans="5:29">
      <c r="E468" t="s">
        <v>122</v>
      </c>
      <c r="F468" t="s">
        <v>660</v>
      </c>
      <c r="G468" t="s">
        <v>660</v>
      </c>
      <c r="I468">
        <v>2012</v>
      </c>
      <c r="K468">
        <f t="shared" si="4"/>
        <v>2239.6339298873363</v>
      </c>
      <c r="L468">
        <f t="shared" si="4"/>
        <v>2.8963002872884567</v>
      </c>
      <c r="M468">
        <f t="shared" si="4"/>
        <v>141.6402284625612</v>
      </c>
      <c r="O468">
        <f t="shared" si="4"/>
        <v>10723.465615158217</v>
      </c>
      <c r="P468">
        <f t="shared" si="4"/>
        <v>2308.7004007973137</v>
      </c>
      <c r="Q468">
        <f t="shared" si="4"/>
        <v>2339.2506633886733</v>
      </c>
      <c r="R468">
        <f t="shared" si="4"/>
        <v>29.113801417682261</v>
      </c>
      <c r="S468">
        <f t="shared" si="4"/>
        <v>4677.0648656036692</v>
      </c>
      <c r="T468">
        <f t="shared" si="4"/>
        <v>1462.7502843869729</v>
      </c>
      <c r="U468">
        <f t="shared" si="4"/>
        <v>0</v>
      </c>
      <c r="V468">
        <f t="shared" si="4"/>
        <v>901.20158150764678</v>
      </c>
      <c r="W468">
        <f t="shared" si="4"/>
        <v>9.6248884284191192</v>
      </c>
      <c r="X468">
        <f t="shared" si="6"/>
        <v>9.7255134854662479</v>
      </c>
      <c r="Y468">
        <f t="shared" si="5"/>
        <v>2383.3022678085049</v>
      </c>
      <c r="Z468">
        <f t="shared" si="5"/>
        <v>5.5071734823881648</v>
      </c>
      <c r="AA468">
        <f t="shared" si="5"/>
        <v>17789.339922052779</v>
      </c>
      <c r="AB468">
        <f t="shared" si="5"/>
        <v>2663.7269999999994</v>
      </c>
      <c r="AC468">
        <f t="shared" si="5"/>
        <v>272.37547726358406</v>
      </c>
    </row>
    <row r="469" spans="5:29">
      <c r="E469" t="s">
        <v>122</v>
      </c>
      <c r="F469" t="s">
        <v>660</v>
      </c>
      <c r="G469" t="s">
        <v>660</v>
      </c>
      <c r="I469">
        <v>2013</v>
      </c>
      <c r="K469">
        <f t="shared" si="4"/>
        <v>2239.1754893120292</v>
      </c>
      <c r="L469">
        <f t="shared" si="4"/>
        <v>4.3636895895670857</v>
      </c>
      <c r="M469">
        <f t="shared" si="4"/>
        <v>114.05959513610001</v>
      </c>
      <c r="O469">
        <f t="shared" si="4"/>
        <v>9946.7758516364775</v>
      </c>
      <c r="P469">
        <f t="shared" si="4"/>
        <v>2101.5507387195362</v>
      </c>
      <c r="Q469">
        <f t="shared" si="4"/>
        <v>2403.5590608851867</v>
      </c>
      <c r="R469">
        <f t="shared" si="4"/>
        <v>31.64268399592321</v>
      </c>
      <c r="S469">
        <f t="shared" si="4"/>
        <v>4536.752483600646</v>
      </c>
      <c r="T469">
        <f t="shared" si="4"/>
        <v>1429.2683158765319</v>
      </c>
      <c r="U469">
        <f t="shared" si="4"/>
        <v>0</v>
      </c>
      <c r="V469">
        <f t="shared" si="4"/>
        <v>875.60720691130632</v>
      </c>
      <c r="W469">
        <f t="shared" si="4"/>
        <v>9.7167211170103762</v>
      </c>
      <c r="X469">
        <f t="shared" si="6"/>
        <v>9.7756945646493847</v>
      </c>
      <c r="Y469">
        <f t="shared" si="5"/>
        <v>2324.3679384694988</v>
      </c>
      <c r="Z469">
        <f t="shared" si="5"/>
        <v>5.2728084724156288</v>
      </c>
      <c r="AA469">
        <f t="shared" si="5"/>
        <v>16813.16908217904</v>
      </c>
      <c r="AB469">
        <f t="shared" si="5"/>
        <v>2707.3220000000006</v>
      </c>
      <c r="AC469">
        <f t="shared" si="5"/>
        <v>250.73000169114746</v>
      </c>
    </row>
    <row r="470" spans="5:29">
      <c r="E470" t="s">
        <v>122</v>
      </c>
      <c r="F470" t="s">
        <v>660</v>
      </c>
      <c r="G470" t="s">
        <v>660</v>
      </c>
      <c r="I470">
        <v>2014</v>
      </c>
      <c r="K470">
        <f t="shared" si="4"/>
        <v>1755.6115080767909</v>
      </c>
      <c r="L470">
        <f t="shared" si="4"/>
        <v>4.9888450043120462</v>
      </c>
      <c r="M470">
        <f t="shared" si="4"/>
        <v>129.62731202573011</v>
      </c>
      <c r="O470">
        <f t="shared" si="4"/>
        <v>8227.8399269946403</v>
      </c>
      <c r="P470">
        <f t="shared" si="4"/>
        <v>1768.5737339798109</v>
      </c>
      <c r="Q470">
        <f t="shared" si="4"/>
        <v>1963.5633249776079</v>
      </c>
      <c r="R470">
        <f t="shared" si="4"/>
        <v>29.928194346341723</v>
      </c>
      <c r="S470">
        <f t="shared" si="4"/>
        <v>3762.0652533037601</v>
      </c>
      <c r="T470">
        <f t="shared" si="4"/>
        <v>1398.6453648636432</v>
      </c>
      <c r="U470">
        <f t="shared" si="4"/>
        <v>0</v>
      </c>
      <c r="V470">
        <f t="shared" si="4"/>
        <v>892.89240683504022</v>
      </c>
      <c r="W470">
        <f t="shared" si="4"/>
        <v>9.9151316915022907</v>
      </c>
      <c r="X470">
        <f t="shared" si="6"/>
        <v>9.8091276784158481</v>
      </c>
      <c r="Y470">
        <f t="shared" si="5"/>
        <v>2311.262031068602</v>
      </c>
      <c r="Z470">
        <f t="shared" si="5"/>
        <v>4.7762964264424195</v>
      </c>
      <c r="AA470">
        <f t="shared" si="5"/>
        <v>14305.943507793443</v>
      </c>
      <c r="AB470">
        <f t="shared" si="5"/>
        <v>2760.3250000000003</v>
      </c>
      <c r="AC470">
        <f t="shared" si="5"/>
        <v>183.88452725269903</v>
      </c>
    </row>
    <row r="471" spans="5:29">
      <c r="E471" t="s">
        <v>122</v>
      </c>
      <c r="F471" t="s">
        <v>660</v>
      </c>
      <c r="G471" t="s">
        <v>660</v>
      </c>
      <c r="I471">
        <v>2015</v>
      </c>
      <c r="K471">
        <f t="shared" si="4"/>
        <v>1734.8212970150571</v>
      </c>
      <c r="L471">
        <f t="shared" si="4"/>
        <v>7.5464284570792914</v>
      </c>
      <c r="M471">
        <f t="shared" si="4"/>
        <v>137.8344999958037</v>
      </c>
      <c r="O471">
        <f t="shared" si="4"/>
        <v>6961.1991579244041</v>
      </c>
      <c r="P471">
        <f t="shared" si="4"/>
        <v>1468.8590622381396</v>
      </c>
      <c r="Q471">
        <f t="shared" si="4"/>
        <v>2081.3308605108132</v>
      </c>
      <c r="R471">
        <f t="shared" si="4"/>
        <v>29.48255744356867</v>
      </c>
      <c r="S471">
        <f t="shared" si="4"/>
        <v>3579.6724801925211</v>
      </c>
      <c r="T471">
        <f t="shared" si="4"/>
        <v>1427.2939972484542</v>
      </c>
      <c r="U471">
        <f t="shared" si="4"/>
        <v>0</v>
      </c>
      <c r="V471">
        <f t="shared" si="4"/>
        <v>861.31084736014429</v>
      </c>
      <c r="W471">
        <f t="shared" si="4"/>
        <v>9.6319361903031115</v>
      </c>
      <c r="X471">
        <f t="shared" si="6"/>
        <v>9.5684470407261362</v>
      </c>
      <c r="Y471">
        <f t="shared" si="5"/>
        <v>2307.8052278396276</v>
      </c>
      <c r="Z471">
        <f t="shared" si="5"/>
        <v>4.4959682834513002</v>
      </c>
      <c r="AA471">
        <f t="shared" si="5"/>
        <v>12853.172834240006</v>
      </c>
      <c r="AB471">
        <f t="shared" si="5"/>
        <v>2826.636</v>
      </c>
      <c r="AC471">
        <f t="shared" si="5"/>
        <v>146.80943168903474</v>
      </c>
    </row>
    <row r="472" spans="5:29">
      <c r="E472" t="s">
        <v>122</v>
      </c>
      <c r="F472" t="s">
        <v>661</v>
      </c>
      <c r="G472" t="s">
        <v>661</v>
      </c>
      <c r="I472">
        <v>2005</v>
      </c>
      <c r="K472">
        <f t="shared" si="4"/>
        <v>2686.3988934006052</v>
      </c>
      <c r="L472">
        <f t="shared" si="4"/>
        <v>122.85464236954449</v>
      </c>
      <c r="M472">
        <f t="shared" si="4"/>
        <v>490.69344595160112</v>
      </c>
      <c r="O472">
        <f t="shared" si="4"/>
        <v>9415.755272753102</v>
      </c>
      <c r="P472">
        <f t="shared" si="4"/>
        <v>4932.9026658899711</v>
      </c>
      <c r="Q472">
        <f t="shared" si="4"/>
        <v>6970.8004423216635</v>
      </c>
      <c r="R472">
        <f t="shared" si="4"/>
        <v>84.248802707275473</v>
      </c>
      <c r="S472">
        <f t="shared" si="4"/>
        <v>11987.95191091891</v>
      </c>
      <c r="T472">
        <f t="shared" si="4"/>
        <v>3726.5431203558655</v>
      </c>
      <c r="U472">
        <f t="shared" si="4"/>
        <v>566.13628304569772</v>
      </c>
      <c r="V472">
        <f t="shared" si="4"/>
        <v>2198.0112649020548</v>
      </c>
      <c r="W472">
        <f t="shared" si="4"/>
        <v>47.683922504240094</v>
      </c>
      <c r="X472">
        <f t="shared" si="6"/>
        <v>140.43746166427073</v>
      </c>
      <c r="Y472">
        <f t="shared" si="5"/>
        <v>6678.8120524721289</v>
      </c>
      <c r="Z472">
        <f t="shared" si="5"/>
        <v>37.021537670086204</v>
      </c>
      <c r="AA472">
        <f t="shared" si="5"/>
        <v>28119.540773814235</v>
      </c>
      <c r="AB472">
        <f t="shared" si="5"/>
        <v>5097.7650000000003</v>
      </c>
      <c r="AC472">
        <f t="shared" si="5"/>
        <v>115.91498530401303</v>
      </c>
    </row>
    <row r="473" spans="5:29">
      <c r="E473" t="s">
        <v>122</v>
      </c>
      <c r="F473" t="s">
        <v>661</v>
      </c>
      <c r="G473" t="s">
        <v>661</v>
      </c>
      <c r="I473">
        <v>2006</v>
      </c>
      <c r="K473">
        <f t="shared" si="4"/>
        <v>2489.2769877258934</v>
      </c>
      <c r="L473">
        <f t="shared" si="4"/>
        <v>110.70485798132349</v>
      </c>
      <c r="M473">
        <f t="shared" si="4"/>
        <v>467.10043381965625</v>
      </c>
      <c r="O473">
        <f t="shared" si="4"/>
        <v>9819.3465436197839</v>
      </c>
      <c r="P473">
        <f t="shared" si="4"/>
        <v>5160.8992635191735</v>
      </c>
      <c r="Q473">
        <f t="shared" si="4"/>
        <v>6702.5998890224246</v>
      </c>
      <c r="R473">
        <f t="shared" si="4"/>
        <v>76.604443316751698</v>
      </c>
      <c r="S473">
        <f t="shared" si="4"/>
        <v>11940.103595858351</v>
      </c>
      <c r="T473">
        <f t="shared" si="4"/>
        <v>3688.533271339872</v>
      </c>
      <c r="U473">
        <f t="shared" si="4"/>
        <v>587.11554742742828</v>
      </c>
      <c r="V473">
        <f t="shared" si="4"/>
        <v>2092.9983203981897</v>
      </c>
      <c r="W473">
        <f t="shared" si="4"/>
        <v>47.300274049021176</v>
      </c>
      <c r="X473">
        <f t="shared" si="6"/>
        <v>143.01476344916429</v>
      </c>
      <c r="Y473">
        <f t="shared" si="5"/>
        <v>6558.9621766636737</v>
      </c>
      <c r="Z473">
        <f t="shared" si="5"/>
        <v>34.105718626109621</v>
      </c>
      <c r="AA473">
        <f t="shared" si="5"/>
        <v>28352.51803476792</v>
      </c>
      <c r="AB473">
        <f t="shared" si="5"/>
        <v>5152.8710000000001</v>
      </c>
      <c r="AC473">
        <f t="shared" si="5"/>
        <v>115.51450671834516</v>
      </c>
    </row>
    <row r="474" spans="5:29">
      <c r="E474" t="s">
        <v>122</v>
      </c>
      <c r="F474" t="s">
        <v>661</v>
      </c>
      <c r="G474" t="s">
        <v>661</v>
      </c>
      <c r="I474">
        <v>2007</v>
      </c>
      <c r="K474">
        <f t="shared" si="4"/>
        <v>2248.0443169068476</v>
      </c>
      <c r="L474">
        <f t="shared" si="4"/>
        <v>104.08444487987735</v>
      </c>
      <c r="M474">
        <f t="shared" si="4"/>
        <v>468.93890145840874</v>
      </c>
      <c r="O474">
        <f t="shared" si="4"/>
        <v>9445.1148484377154</v>
      </c>
      <c r="P474">
        <f t="shared" si="4"/>
        <v>5184.3798921599227</v>
      </c>
      <c r="Q474">
        <f t="shared" si="4"/>
        <v>6374.407880683797</v>
      </c>
      <c r="R474">
        <f t="shared" si="4"/>
        <v>72.516234263163142</v>
      </c>
      <c r="S474">
        <f t="shared" si="4"/>
        <v>11631.304007106883</v>
      </c>
      <c r="T474">
        <f t="shared" si="4"/>
        <v>3594.7904942685004</v>
      </c>
      <c r="U474">
        <f t="shared" si="4"/>
        <v>571.93173682758641</v>
      </c>
      <c r="V474">
        <f t="shared" si="4"/>
        <v>2121.9326024005272</v>
      </c>
      <c r="W474">
        <f t="shared" si="4"/>
        <v>50.089204844597887</v>
      </c>
      <c r="X474">
        <f t="shared" si="6"/>
        <v>144.26869675165867</v>
      </c>
      <c r="Y474">
        <f t="shared" si="5"/>
        <v>6483.0127350928733</v>
      </c>
      <c r="Z474">
        <f t="shared" si="5"/>
        <v>31.722212368627371</v>
      </c>
      <c r="AA474">
        <f t="shared" si="5"/>
        <v>27591.153803006106</v>
      </c>
      <c r="AB474">
        <f t="shared" si="5"/>
        <v>5220.6919999999991</v>
      </c>
      <c r="AC474">
        <f t="shared" si="5"/>
        <v>111.02429741018517</v>
      </c>
    </row>
    <row r="475" spans="5:29">
      <c r="E475" t="s">
        <v>122</v>
      </c>
      <c r="F475" t="s">
        <v>661</v>
      </c>
      <c r="G475" t="s">
        <v>661</v>
      </c>
      <c r="I475">
        <v>2008</v>
      </c>
      <c r="K475">
        <f t="shared" si="4"/>
        <v>2329.1085121951305</v>
      </c>
      <c r="L475">
        <f t="shared" si="4"/>
        <v>106.14035742213883</v>
      </c>
      <c r="M475">
        <f t="shared" si="4"/>
        <v>467.72835246008736</v>
      </c>
      <c r="O475">
        <f t="shared" si="4"/>
        <v>9535.9755893915171</v>
      </c>
      <c r="P475">
        <f t="shared" si="4"/>
        <v>5021.5782912429731</v>
      </c>
      <c r="Q475">
        <f t="shared" si="4"/>
        <v>6671.940125376871</v>
      </c>
      <c r="R475">
        <f t="shared" si="4"/>
        <v>77.415188020793309</v>
      </c>
      <c r="S475">
        <f t="shared" si="4"/>
        <v>11770.933604640641</v>
      </c>
      <c r="T475">
        <f t="shared" si="4"/>
        <v>3326.7152078479921</v>
      </c>
      <c r="U475">
        <f t="shared" si="4"/>
        <v>568.94682082361578</v>
      </c>
      <c r="V475">
        <f t="shared" si="4"/>
        <v>2047.2127662458274</v>
      </c>
      <c r="W475">
        <f t="shared" si="4"/>
        <v>50.414226510834041</v>
      </c>
      <c r="X475">
        <f t="shared" si="6"/>
        <v>142.52791837736777</v>
      </c>
      <c r="Y475">
        <f t="shared" si="5"/>
        <v>6135.816939805638</v>
      </c>
      <c r="Z475">
        <f t="shared" si="5"/>
        <v>29.265803923804825</v>
      </c>
      <c r="AA475">
        <f t="shared" si="5"/>
        <v>27471.991937761592</v>
      </c>
      <c r="AB475">
        <f t="shared" si="5"/>
        <v>5308.741</v>
      </c>
      <c r="AC475">
        <f t="shared" si="5"/>
        <v>108.86668332781731</v>
      </c>
    </row>
    <row r="476" spans="5:29">
      <c r="E476" t="s">
        <v>122</v>
      </c>
      <c r="F476" t="s">
        <v>661</v>
      </c>
      <c r="G476" t="s">
        <v>661</v>
      </c>
      <c r="I476">
        <v>2009</v>
      </c>
      <c r="K476">
        <f t="shared" si="4"/>
        <v>2100.0252847106399</v>
      </c>
      <c r="L476">
        <f t="shared" si="4"/>
        <v>105.64928661324764</v>
      </c>
      <c r="M476">
        <f t="shared" si="4"/>
        <v>362.40108452586992</v>
      </c>
      <c r="O476">
        <f t="shared" si="4"/>
        <v>8445.0136090936558</v>
      </c>
      <c r="P476">
        <f t="shared" si="4"/>
        <v>4504.2471551705639</v>
      </c>
      <c r="Q476">
        <f t="shared" si="4"/>
        <v>6030.473920677734</v>
      </c>
      <c r="R476">
        <f t="shared" si="4"/>
        <v>70.637257375477319</v>
      </c>
      <c r="S476">
        <f t="shared" si="4"/>
        <v>10605.358333223776</v>
      </c>
      <c r="T476">
        <f t="shared" si="4"/>
        <v>3227.754557698609</v>
      </c>
      <c r="U476">
        <f t="shared" si="4"/>
        <v>557.86375494185233</v>
      </c>
      <c r="V476">
        <f t="shared" si="4"/>
        <v>1983.6215984091355</v>
      </c>
      <c r="W476">
        <f t="shared" si="4"/>
        <v>50.702797678215383</v>
      </c>
      <c r="X476">
        <f t="shared" si="6"/>
        <v>133.96743946553866</v>
      </c>
      <c r="Y476">
        <f t="shared" si="5"/>
        <v>5953.9101481933503</v>
      </c>
      <c r="Z476">
        <f t="shared" si="5"/>
        <v>28.591928953398394</v>
      </c>
      <c r="AA476">
        <f t="shared" si="5"/>
        <v>25032.874019464183</v>
      </c>
      <c r="AB476">
        <f t="shared" si="5"/>
        <v>5400.1280000000006</v>
      </c>
      <c r="AC476">
        <f t="shared" si="5"/>
        <v>97.560620180851643</v>
      </c>
    </row>
    <row r="477" spans="5:29">
      <c r="E477" t="s">
        <v>122</v>
      </c>
      <c r="F477" t="s">
        <v>661</v>
      </c>
      <c r="G477" t="s">
        <v>661</v>
      </c>
      <c r="I477">
        <v>2010</v>
      </c>
      <c r="K477">
        <f t="shared" si="4"/>
        <v>2356.9834331313723</v>
      </c>
      <c r="L477">
        <f t="shared" si="4"/>
        <v>114.20145325434568</v>
      </c>
      <c r="M477">
        <f t="shared" si="4"/>
        <v>371.73545358140518</v>
      </c>
      <c r="O477">
        <f t="shared" si="4"/>
        <v>8835.592683320403</v>
      </c>
      <c r="P477">
        <f t="shared" si="4"/>
        <v>4645.7941750185628</v>
      </c>
      <c r="Q477">
        <f t="shared" si="4"/>
        <v>6706.6890086689873</v>
      </c>
      <c r="R477">
        <f t="shared" si="4"/>
        <v>74.188993417864481</v>
      </c>
      <c r="S477">
        <f t="shared" si="4"/>
        <v>11426.672177105416</v>
      </c>
      <c r="T477">
        <f t="shared" si="4"/>
        <v>3219.4613532586618</v>
      </c>
      <c r="U477">
        <f t="shared" si="4"/>
        <v>546.61529542710355</v>
      </c>
      <c r="V477">
        <f t="shared" si="4"/>
        <v>1934.7906877604321</v>
      </c>
      <c r="W477">
        <f t="shared" si="4"/>
        <v>50.985889963008368</v>
      </c>
      <c r="X477">
        <f t="shared" si="6"/>
        <v>131.109528958564</v>
      </c>
      <c r="Y477">
        <f t="shared" si="5"/>
        <v>5882.9627553677701</v>
      </c>
      <c r="Z477">
        <f t="shared" si="5"/>
        <v>26.563907108389188</v>
      </c>
      <c r="AA477">
        <f t="shared" si="5"/>
        <v>26171.791522901975</v>
      </c>
      <c r="AB477">
        <f t="shared" si="5"/>
        <v>5487.429000000001</v>
      </c>
      <c r="AC477">
        <f t="shared" si="5"/>
        <v>100.49636037661151</v>
      </c>
    </row>
    <row r="478" spans="5:29">
      <c r="E478" t="s">
        <v>122</v>
      </c>
      <c r="F478" t="s">
        <v>661</v>
      </c>
      <c r="G478" t="s">
        <v>661</v>
      </c>
      <c r="I478">
        <v>2011</v>
      </c>
      <c r="K478">
        <f t="shared" si="4"/>
        <v>1933.0549949888409</v>
      </c>
      <c r="L478">
        <f t="shared" si="4"/>
        <v>100.79155117910453</v>
      </c>
      <c r="M478">
        <f t="shared" si="4"/>
        <v>309.09623007439956</v>
      </c>
      <c r="O478">
        <f t="shared" si="4"/>
        <v>7846.739365494951</v>
      </c>
      <c r="P478">
        <f t="shared" si="4"/>
        <v>4431.5009936329425</v>
      </c>
      <c r="Q478">
        <f t="shared" si="4"/>
        <v>5468.7339288399016</v>
      </c>
      <c r="R478">
        <f t="shared" si="4"/>
        <v>70.273962769676075</v>
      </c>
      <c r="S478">
        <f t="shared" si="4"/>
        <v>9970.5088852425197</v>
      </c>
      <c r="T478">
        <f t="shared" si="4"/>
        <v>3103.4942774298156</v>
      </c>
      <c r="U478">
        <f t="shared" si="4"/>
        <v>524.8131192278704</v>
      </c>
      <c r="V478">
        <f t="shared" si="4"/>
        <v>1899.698420677264</v>
      </c>
      <c r="W478">
        <f t="shared" si="4"/>
        <v>50.187005599874027</v>
      </c>
      <c r="X478">
        <f t="shared" si="6"/>
        <v>132.95836906424725</v>
      </c>
      <c r="Y478">
        <f t="shared" si="5"/>
        <v>5711.1511919990726</v>
      </c>
      <c r="Z478">
        <f t="shared" si="5"/>
        <v>24.169213969810958</v>
      </c>
      <c r="AA478">
        <f t="shared" si="5"/>
        <v>23552.568656706349</v>
      </c>
      <c r="AB478">
        <f t="shared" si="5"/>
        <v>5581.5320000000011</v>
      </c>
      <c r="AC478">
        <f t="shared" si="5"/>
        <v>88.889176961662599</v>
      </c>
    </row>
    <row r="479" spans="5:29">
      <c r="E479" t="s">
        <v>122</v>
      </c>
      <c r="F479" t="s">
        <v>661</v>
      </c>
      <c r="G479" t="s">
        <v>661</v>
      </c>
      <c r="I479">
        <v>2012</v>
      </c>
      <c r="K479">
        <f t="shared" si="4"/>
        <v>2051.976050976411</v>
      </c>
      <c r="L479">
        <f t="shared" si="4"/>
        <v>96.500032713918102</v>
      </c>
      <c r="M479">
        <f t="shared" si="4"/>
        <v>339.27101887675894</v>
      </c>
      <c r="O479">
        <f t="shared" si="4"/>
        <v>8706.9615514735415</v>
      </c>
      <c r="P479">
        <f t="shared" si="4"/>
        <v>4706.6935841223185</v>
      </c>
      <c r="Q479">
        <f t="shared" si="4"/>
        <v>6023.8350659105954</v>
      </c>
      <c r="R479">
        <f t="shared" si="4"/>
        <v>67.951582637168642</v>
      </c>
      <c r="S479">
        <f t="shared" si="4"/>
        <v>10798.480232670081</v>
      </c>
      <c r="T479">
        <f t="shared" si="4"/>
        <v>3093.7279502031693</v>
      </c>
      <c r="U479">
        <f t="shared" si="4"/>
        <v>549.79432610711626</v>
      </c>
      <c r="V479">
        <f t="shared" si="4"/>
        <v>1875.5898559691643</v>
      </c>
      <c r="W479">
        <f t="shared" si="4"/>
        <v>50.662450332460786</v>
      </c>
      <c r="X479">
        <f t="shared" si="6"/>
        <v>132.04035048106374</v>
      </c>
      <c r="Y479">
        <f t="shared" si="5"/>
        <v>5701.8149330929746</v>
      </c>
      <c r="Z479">
        <f t="shared" si="5"/>
        <v>21.722289287869582</v>
      </c>
      <c r="AA479">
        <f t="shared" si="5"/>
        <v>25228.979006524471</v>
      </c>
      <c r="AB479">
        <f t="shared" si="5"/>
        <v>5644.6420000000016</v>
      </c>
      <c r="AC479">
        <f t="shared" si="5"/>
        <v>93.987783366587308</v>
      </c>
    </row>
    <row r="480" spans="5:29">
      <c r="E480" t="s">
        <v>122</v>
      </c>
      <c r="F480" t="s">
        <v>661</v>
      </c>
      <c r="G480" t="s">
        <v>661</v>
      </c>
      <c r="I480">
        <v>2013</v>
      </c>
      <c r="K480">
        <f t="shared" si="4"/>
        <v>2135.114463427788</v>
      </c>
      <c r="L480">
        <f t="shared" si="4"/>
        <v>110.98989811356267</v>
      </c>
      <c r="M480">
        <f t="shared" si="4"/>
        <v>279.17683503688221</v>
      </c>
      <c r="O480">
        <f t="shared" si="4"/>
        <v>8315.0893021095872</v>
      </c>
      <c r="P480">
        <f t="shared" si="4"/>
        <v>4296.8215876044496</v>
      </c>
      <c r="Q480">
        <f t="shared" si="4"/>
        <v>6198.7064218360338</v>
      </c>
      <c r="R480">
        <f t="shared" si="4"/>
        <v>74.934501701157828</v>
      </c>
      <c r="S480">
        <f t="shared" si="4"/>
        <v>10570.462511141641</v>
      </c>
      <c r="T480">
        <f t="shared" si="4"/>
        <v>3042.3067504283376</v>
      </c>
      <c r="U480">
        <f t="shared" si="4"/>
        <v>552.15886865237724</v>
      </c>
      <c r="V480">
        <f t="shared" si="4"/>
        <v>1832.472887664856</v>
      </c>
      <c r="W480">
        <f t="shared" si="4"/>
        <v>50.464739739042656</v>
      </c>
      <c r="X480">
        <f t="shared" si="6"/>
        <v>135.769735823508</v>
      </c>
      <c r="Y480">
        <f t="shared" si="5"/>
        <v>5613.1729823081223</v>
      </c>
      <c r="Z480">
        <f t="shared" si="5"/>
        <v>20.83907242983371</v>
      </c>
      <c r="AA480">
        <f t="shared" si="5"/>
        <v>24519.563867989182</v>
      </c>
      <c r="AB480">
        <f t="shared" si="5"/>
        <v>5709.2209999999995</v>
      </c>
      <c r="AC480">
        <f t="shared" si="5"/>
        <v>90.23973739152737</v>
      </c>
    </row>
    <row r="481" spans="5:29">
      <c r="E481" t="s">
        <v>122</v>
      </c>
      <c r="F481" t="s">
        <v>661</v>
      </c>
      <c r="G481" t="s">
        <v>661</v>
      </c>
      <c r="I481">
        <v>2014</v>
      </c>
      <c r="K481">
        <f t="shared" si="4"/>
        <v>1703.8567476032385</v>
      </c>
      <c r="L481">
        <f t="shared" si="4"/>
        <v>85.415406750359779</v>
      </c>
      <c r="M481">
        <f t="shared" si="4"/>
        <v>306.33389400511936</v>
      </c>
      <c r="O481">
        <f t="shared" si="4"/>
        <v>7033.2648914319561</v>
      </c>
      <c r="P481">
        <f t="shared" si="4"/>
        <v>3591.689086741927</v>
      </c>
      <c r="Q481">
        <f t="shared" si="4"/>
        <v>5115.4517673195414</v>
      </c>
      <c r="R481">
        <f t="shared" si="4"/>
        <v>72.468489959295212</v>
      </c>
      <c r="S481">
        <f t="shared" si="4"/>
        <v>8779.6093440207642</v>
      </c>
      <c r="T481">
        <f t="shared" si="4"/>
        <v>3013.4428478085802</v>
      </c>
      <c r="U481">
        <f t="shared" si="4"/>
        <v>562.95999936541909</v>
      </c>
      <c r="V481">
        <f t="shared" si="4"/>
        <v>1865.6398927333487</v>
      </c>
      <c r="W481">
        <f t="shared" si="4"/>
        <v>51.44984657702588</v>
      </c>
      <c r="X481">
        <f t="shared" si="6"/>
        <v>139.93238167232775</v>
      </c>
      <c r="Y481">
        <f t="shared" si="5"/>
        <v>5633.4249681567007</v>
      </c>
      <c r="Z481">
        <f t="shared" si="5"/>
        <v>21.648871031308435</v>
      </c>
      <c r="AA481">
        <f t="shared" si="5"/>
        <v>21467.948074640732</v>
      </c>
      <c r="AB481">
        <f t="shared" si="5"/>
        <v>5778.3640000000023</v>
      </c>
      <c r="AC481">
        <f t="shared" si="5"/>
        <v>77.953056338351701</v>
      </c>
    </row>
    <row r="482" spans="5:29">
      <c r="E482" t="s">
        <v>122</v>
      </c>
      <c r="F482" t="s">
        <v>661</v>
      </c>
      <c r="G482" t="s">
        <v>661</v>
      </c>
      <c r="I482">
        <v>2015</v>
      </c>
      <c r="K482">
        <f t="shared" si="4"/>
        <v>1732.6585180368788</v>
      </c>
      <c r="L482">
        <f t="shared" si="4"/>
        <v>81.797191369959037</v>
      </c>
      <c r="M482">
        <f t="shared" si="4"/>
        <v>314.4027844527505</v>
      </c>
      <c r="O482">
        <f t="shared" si="4"/>
        <v>6254.406700036694</v>
      </c>
      <c r="P482">
        <f t="shared" si="4"/>
        <v>3006.0029421310696</v>
      </c>
      <c r="Q482">
        <f t="shared" si="4"/>
        <v>5448.9613324206066</v>
      </c>
      <c r="R482">
        <f t="shared" si="4"/>
        <v>71.884267504592202</v>
      </c>
      <c r="S482">
        <f t="shared" si="4"/>
        <v>8526.8485420562665</v>
      </c>
      <c r="T482">
        <f t="shared" si="4"/>
        <v>3053.2021134221436</v>
      </c>
      <c r="U482">
        <f t="shared" si="4"/>
        <v>599.96226951236122</v>
      </c>
      <c r="V482">
        <f t="shared" si="4"/>
        <v>1826.5362240851771</v>
      </c>
      <c r="W482">
        <f t="shared" si="4"/>
        <v>49.734240229843721</v>
      </c>
      <c r="X482">
        <f t="shared" si="6"/>
        <v>145.5887688102616</v>
      </c>
      <c r="Y482">
        <f t="shared" si="5"/>
        <v>5675.0236160597879</v>
      </c>
      <c r="Z482">
        <f t="shared" si="5"/>
        <v>17.117071518503629</v>
      </c>
      <c r="AA482">
        <f t="shared" si="5"/>
        <v>20473.395929671256</v>
      </c>
      <c r="AB482">
        <f t="shared" si="5"/>
        <v>5847.0769999999993</v>
      </c>
      <c r="AC482">
        <f t="shared" si="5"/>
        <v>73.691399610894877</v>
      </c>
    </row>
    <row r="483" spans="5:29">
      <c r="E483" t="s">
        <v>122</v>
      </c>
      <c r="F483" t="s">
        <v>122</v>
      </c>
      <c r="G483" t="s">
        <v>122</v>
      </c>
      <c r="I483">
        <v>2005</v>
      </c>
      <c r="J483">
        <f>SUMIF($I$98:$I$460,$I483,J$98:J$460)</f>
        <v>14376.387960092281</v>
      </c>
      <c r="K483">
        <f t="shared" ref="K483:Z493" si="7">SUMIF($I$98:$I$460,$I483,K$98:K$460)</f>
        <v>5041.3380941792111</v>
      </c>
      <c r="L483">
        <f t="shared" si="7"/>
        <v>141.70075580558554</v>
      </c>
      <c r="M483">
        <f t="shared" si="7"/>
        <v>742.77355453263567</v>
      </c>
      <c r="N483">
        <f t="shared" si="7"/>
        <v>10.258737787185364</v>
      </c>
      <c r="O483">
        <f t="shared" si="7"/>
        <v>20312.459102396897</v>
      </c>
      <c r="P483">
        <f t="shared" si="7"/>
        <v>7245.7943463166202</v>
      </c>
      <c r="Q483">
        <f t="shared" si="7"/>
        <v>9750.6404846181704</v>
      </c>
      <c r="R483">
        <f t="shared" si="7"/>
        <v>121.60653068708861</v>
      </c>
      <c r="S483">
        <f t="shared" si="7"/>
        <v>17118.041361621876</v>
      </c>
      <c r="T483">
        <f t="shared" si="7"/>
        <v>5568.3097458295197</v>
      </c>
      <c r="U483">
        <f t="shared" si="7"/>
        <v>566.13628304569772</v>
      </c>
      <c r="V483">
        <f t="shared" si="7"/>
        <v>3263.6854150250924</v>
      </c>
      <c r="W483">
        <f t="shared" si="7"/>
        <v>56.222785772760034</v>
      </c>
      <c r="X483">
        <f t="shared" si="7"/>
        <v>152.47257796171965</v>
      </c>
      <c r="Y483">
        <f t="shared" si="7"/>
        <v>9606.8268076347904</v>
      </c>
      <c r="Z483">
        <f t="shared" si="7"/>
        <v>46.073329699513003</v>
      </c>
      <c r="AA483">
        <f t="shared" ref="AA483:AC493" si="8">SUMIF($I$98:$I$460,$I483,AA$98:AA$460)</f>
        <v>47083.400601353067</v>
      </c>
      <c r="AB483">
        <f t="shared" si="8"/>
        <v>7519.0089999999991</v>
      </c>
      <c r="AC483">
        <f t="shared" si="8"/>
        <v>425.97701841529476</v>
      </c>
    </row>
    <row r="484" spans="5:29">
      <c r="E484" t="s">
        <v>122</v>
      </c>
      <c r="F484" t="s">
        <v>122</v>
      </c>
      <c r="G484" t="s">
        <v>122</v>
      </c>
      <c r="I484">
        <v>2006</v>
      </c>
      <c r="J484">
        <f t="shared" ref="J484:J493" si="9">SUMIF($I$98:$I$460,$I484,J$98:J$460)</f>
        <v>16077.488740871493</v>
      </c>
      <c r="K484">
        <f t="shared" si="7"/>
        <v>4780.0230835968141</v>
      </c>
      <c r="L484">
        <f t="shared" si="7"/>
        <v>116.2164484130458</v>
      </c>
      <c r="M484">
        <f t="shared" si="7"/>
        <v>696.72923292315409</v>
      </c>
      <c r="N484">
        <f t="shared" si="7"/>
        <v>9.7901551806474725</v>
      </c>
      <c r="O484">
        <f t="shared" si="7"/>
        <v>21680.247660985151</v>
      </c>
      <c r="P484">
        <f t="shared" si="7"/>
        <v>7558.5489534100288</v>
      </c>
      <c r="Q484">
        <f t="shared" si="7"/>
        <v>9363.3683218724564</v>
      </c>
      <c r="R484">
        <f t="shared" si="7"/>
        <v>111.98055788615603</v>
      </c>
      <c r="S484">
        <f t="shared" si="7"/>
        <v>17033.897833168645</v>
      </c>
      <c r="T484">
        <f t="shared" si="7"/>
        <v>5547.9669451789359</v>
      </c>
      <c r="U484">
        <f t="shared" si="7"/>
        <v>587.11554742742828</v>
      </c>
      <c r="V484">
        <f t="shared" si="7"/>
        <v>3109.4093366271654</v>
      </c>
      <c r="W484">
        <f t="shared" si="7"/>
        <v>55.722128743373673</v>
      </c>
      <c r="X484">
        <f t="shared" si="7"/>
        <v>155.38044902887137</v>
      </c>
      <c r="Y484">
        <f t="shared" si="7"/>
        <v>9455.594407005774</v>
      </c>
      <c r="Z484">
        <f t="shared" si="7"/>
        <v>42.532588390973487</v>
      </c>
      <c r="AA484">
        <f t="shared" si="8"/>
        <v>48212.27248955056</v>
      </c>
      <c r="AB484">
        <f t="shared" si="8"/>
        <v>7597.8250000000007</v>
      </c>
      <c r="AC484">
        <f t="shared" si="8"/>
        <v>442.93421731822912</v>
      </c>
    </row>
    <row r="485" spans="5:29">
      <c r="E485" t="s">
        <v>122</v>
      </c>
      <c r="F485" t="s">
        <v>122</v>
      </c>
      <c r="G485" t="s">
        <v>122</v>
      </c>
      <c r="I485">
        <v>2007</v>
      </c>
      <c r="J485">
        <f t="shared" si="9"/>
        <v>15709.470398406023</v>
      </c>
      <c r="K485">
        <f t="shared" si="7"/>
        <v>4354.1282074165183</v>
      </c>
      <c r="L485">
        <f t="shared" si="7"/>
        <v>109.99286390753299</v>
      </c>
      <c r="M485">
        <f t="shared" si="7"/>
        <v>694.64844162127406</v>
      </c>
      <c r="N485">
        <f t="shared" si="7"/>
        <v>9.3302788407963888</v>
      </c>
      <c r="O485">
        <f t="shared" si="7"/>
        <v>20877.570190192146</v>
      </c>
      <c r="P485">
        <f t="shared" si="7"/>
        <v>7612.6604824061469</v>
      </c>
      <c r="Q485">
        <f t="shared" si="7"/>
        <v>8897.7409683974856</v>
      </c>
      <c r="R485">
        <f t="shared" si="7"/>
        <v>104.75534532653191</v>
      </c>
      <c r="S485">
        <f t="shared" si="7"/>
        <v>16615.156796130163</v>
      </c>
      <c r="T485">
        <f t="shared" si="7"/>
        <v>5401.2142419222191</v>
      </c>
      <c r="U485">
        <f t="shared" si="7"/>
        <v>571.93173682758641</v>
      </c>
      <c r="V485">
        <f t="shared" si="7"/>
        <v>3152.5260127636152</v>
      </c>
      <c r="W485">
        <f t="shared" si="7"/>
        <v>59.623746519091149</v>
      </c>
      <c r="X485">
        <f t="shared" si="7"/>
        <v>156.13971845947793</v>
      </c>
      <c r="Y485">
        <f t="shared" si="7"/>
        <v>9341.4354564919922</v>
      </c>
      <c r="Z485">
        <f t="shared" si="7"/>
        <v>39.640983651671213</v>
      </c>
      <c r="AA485">
        <f t="shared" si="8"/>
        <v>46873.80342646598</v>
      </c>
      <c r="AB485">
        <f t="shared" si="8"/>
        <v>7693.473</v>
      </c>
      <c r="AC485">
        <f t="shared" si="8"/>
        <v>411.06868126231933</v>
      </c>
    </row>
    <row r="486" spans="5:29">
      <c r="E486" t="s">
        <v>122</v>
      </c>
      <c r="F486" t="s">
        <v>122</v>
      </c>
      <c r="G486" t="s">
        <v>122</v>
      </c>
      <c r="I486">
        <v>2008</v>
      </c>
      <c r="J486">
        <f t="shared" si="9"/>
        <v>15719.768765332823</v>
      </c>
      <c r="K486">
        <f t="shared" si="7"/>
        <v>4648.773981132952</v>
      </c>
      <c r="L486">
        <f t="shared" si="7"/>
        <v>110.4110528437508</v>
      </c>
      <c r="M486">
        <f t="shared" si="7"/>
        <v>663.00933270125995</v>
      </c>
      <c r="N486">
        <f t="shared" si="7"/>
        <v>9.0345368275729427</v>
      </c>
      <c r="O486">
        <f t="shared" si="7"/>
        <v>21150.997668838358</v>
      </c>
      <c r="P486">
        <f t="shared" si="7"/>
        <v>7421.6028652881278</v>
      </c>
      <c r="Q486">
        <f t="shared" si="7"/>
        <v>9294.5713817969972</v>
      </c>
      <c r="R486">
        <f t="shared" si="7"/>
        <v>111.30613578278347</v>
      </c>
      <c r="S486">
        <f t="shared" si="7"/>
        <v>16827.480382867914</v>
      </c>
      <c r="T486">
        <f t="shared" si="7"/>
        <v>5002.8471850192391</v>
      </c>
      <c r="U486">
        <f t="shared" si="7"/>
        <v>568.94682082361578</v>
      </c>
      <c r="V486">
        <f t="shared" si="7"/>
        <v>3041.9576675307503</v>
      </c>
      <c r="W486">
        <f t="shared" si="7"/>
        <v>60.036199743268426</v>
      </c>
      <c r="X486">
        <f t="shared" si="7"/>
        <v>154.6102596703966</v>
      </c>
      <c r="Y486">
        <f t="shared" si="7"/>
        <v>8828.3981327872698</v>
      </c>
      <c r="Z486">
        <f t="shared" si="7"/>
        <v>36.636188776071315</v>
      </c>
      <c r="AA486">
        <f t="shared" si="8"/>
        <v>46843.512373269623</v>
      </c>
      <c r="AB486">
        <f t="shared" si="8"/>
        <v>7812.161000000001</v>
      </c>
      <c r="AC486">
        <f t="shared" si="8"/>
        <v>416.39107124930831</v>
      </c>
    </row>
    <row r="487" spans="5:29">
      <c r="E487" t="s">
        <v>122</v>
      </c>
      <c r="F487" t="s">
        <v>122</v>
      </c>
      <c r="G487" t="s">
        <v>122</v>
      </c>
      <c r="I487">
        <v>2009</v>
      </c>
      <c r="J487">
        <f t="shared" si="9"/>
        <v>13863.591710324623</v>
      </c>
      <c r="K487">
        <f t="shared" si="7"/>
        <v>4199.1605011461843</v>
      </c>
      <c r="L487">
        <f t="shared" si="7"/>
        <v>109.23321693240867</v>
      </c>
      <c r="M487">
        <f t="shared" si="7"/>
        <v>523.66357178007877</v>
      </c>
      <c r="N487">
        <f t="shared" si="7"/>
        <v>9.1642652707447443</v>
      </c>
      <c r="O487">
        <f t="shared" si="7"/>
        <v>18704.813265454035</v>
      </c>
      <c r="P487">
        <f t="shared" si="7"/>
        <v>6689.7208781183581</v>
      </c>
      <c r="Q487">
        <f t="shared" si="7"/>
        <v>8406.4801675929648</v>
      </c>
      <c r="R487">
        <f t="shared" si="7"/>
        <v>102.39710070825898</v>
      </c>
      <c r="S487">
        <f t="shared" si="7"/>
        <v>15198.598146419581</v>
      </c>
      <c r="T487">
        <f t="shared" si="7"/>
        <v>4842.9126332714368</v>
      </c>
      <c r="U487">
        <f t="shared" si="7"/>
        <v>557.86375494185233</v>
      </c>
      <c r="V487">
        <f t="shared" si="7"/>
        <v>2952.4414544169608</v>
      </c>
      <c r="W487">
        <f t="shared" si="7"/>
        <v>60.381533587953129</v>
      </c>
      <c r="X487">
        <f t="shared" si="7"/>
        <v>144.86284290668564</v>
      </c>
      <c r="Y487">
        <f t="shared" si="7"/>
        <v>8558.4622191248873</v>
      </c>
      <c r="Z487">
        <f t="shared" si="7"/>
        <v>35.633855515273396</v>
      </c>
      <c r="AA487">
        <f t="shared" si="8"/>
        <v>42497.507486513779</v>
      </c>
      <c r="AB487">
        <f t="shared" si="8"/>
        <v>7942.594000000001</v>
      </c>
      <c r="AC487">
        <f t="shared" si="8"/>
        <v>367.43437877666702</v>
      </c>
    </row>
    <row r="488" spans="5:29">
      <c r="E488" t="s">
        <v>122</v>
      </c>
      <c r="F488" t="s">
        <v>122</v>
      </c>
      <c r="G488" t="s">
        <v>122</v>
      </c>
      <c r="I488">
        <v>2010</v>
      </c>
      <c r="J488">
        <f t="shared" si="9"/>
        <v>14478.334898980911</v>
      </c>
      <c r="K488">
        <f t="shared" si="7"/>
        <v>4749.4288734781676</v>
      </c>
      <c r="L488">
        <f t="shared" si="7"/>
        <v>120.68228277528685</v>
      </c>
      <c r="M488">
        <f t="shared" si="7"/>
        <v>537.83767386599538</v>
      </c>
      <c r="N488">
        <f t="shared" si="7"/>
        <v>9.2058322994137178</v>
      </c>
      <c r="O488">
        <f t="shared" si="7"/>
        <v>19895.489561399776</v>
      </c>
      <c r="P488">
        <f t="shared" si="7"/>
        <v>6903.8214484601922</v>
      </c>
      <c r="Q488">
        <f t="shared" si="7"/>
        <v>9343.6095721864258</v>
      </c>
      <c r="R488">
        <f t="shared" si="7"/>
        <v>108.67728198178949</v>
      </c>
      <c r="S488">
        <f t="shared" si="7"/>
        <v>16356.108302628409</v>
      </c>
      <c r="T488">
        <f t="shared" si="7"/>
        <v>4818.0505312002051</v>
      </c>
      <c r="U488">
        <f t="shared" si="7"/>
        <v>546.61529542710355</v>
      </c>
      <c r="V488">
        <f t="shared" si="7"/>
        <v>2874.7979396857959</v>
      </c>
      <c r="W488">
        <f t="shared" si="7"/>
        <v>60.671822397520302</v>
      </c>
      <c r="X488">
        <f t="shared" si="7"/>
        <v>142.03637597011925</v>
      </c>
      <c r="Y488">
        <f t="shared" si="7"/>
        <v>8442.1719646807451</v>
      </c>
      <c r="Z488">
        <f t="shared" si="7"/>
        <v>33.150176078624</v>
      </c>
      <c r="AA488">
        <f t="shared" si="8"/>
        <v>44726.920004787549</v>
      </c>
      <c r="AB488">
        <f t="shared" si="8"/>
        <v>8061.4950000000008</v>
      </c>
      <c r="AC488">
        <f t="shared" si="8"/>
        <v>398.54217130902191</v>
      </c>
    </row>
    <row r="489" spans="5:29">
      <c r="E489" t="s">
        <v>122</v>
      </c>
      <c r="F489" t="s">
        <v>122</v>
      </c>
      <c r="G489" t="s">
        <v>122</v>
      </c>
      <c r="I489">
        <v>2011</v>
      </c>
      <c r="J489">
        <f t="shared" si="9"/>
        <v>13089.381751920444</v>
      </c>
      <c r="K489">
        <f t="shared" si="7"/>
        <v>3952.6525729127393</v>
      </c>
      <c r="L489">
        <f t="shared" si="7"/>
        <v>104.42552649883086</v>
      </c>
      <c r="M489">
        <f t="shared" si="7"/>
        <v>457.52173952685661</v>
      </c>
      <c r="N489">
        <f t="shared" si="7"/>
        <v>9.3708918310392377</v>
      </c>
      <c r="O489">
        <f t="shared" si="7"/>
        <v>17613.352482689908</v>
      </c>
      <c r="P489">
        <f t="shared" si="7"/>
        <v>6588.0375270227478</v>
      </c>
      <c r="Q489">
        <f t="shared" si="7"/>
        <v>7616.2512232839663</v>
      </c>
      <c r="R489">
        <f t="shared" si="7"/>
        <v>100.0604077916649</v>
      </c>
      <c r="S489">
        <f t="shared" si="7"/>
        <v>14304.349158098379</v>
      </c>
      <c r="T489">
        <f t="shared" si="7"/>
        <v>4632.9884467325492</v>
      </c>
      <c r="U489">
        <f t="shared" si="7"/>
        <v>524.8131192278704</v>
      </c>
      <c r="V489">
        <f t="shared" si="7"/>
        <v>2815.7694666200746</v>
      </c>
      <c r="W489">
        <f t="shared" si="7"/>
        <v>59.754814818744066</v>
      </c>
      <c r="X489">
        <f t="shared" si="7"/>
        <v>143.26074498897233</v>
      </c>
      <c r="Y489">
        <f t="shared" si="7"/>
        <v>8176.5865923882093</v>
      </c>
      <c r="Z489">
        <f t="shared" si="7"/>
        <v>30.236847861433123</v>
      </c>
      <c r="AA489">
        <f t="shared" si="8"/>
        <v>40124.525081037937</v>
      </c>
      <c r="AB489">
        <f t="shared" si="8"/>
        <v>8204.4069999999992</v>
      </c>
      <c r="AC489">
        <f t="shared" si="8"/>
        <v>343.38257527231912</v>
      </c>
    </row>
    <row r="490" spans="5:29">
      <c r="E490" t="s">
        <v>122</v>
      </c>
      <c r="F490" t="s">
        <v>122</v>
      </c>
      <c r="G490" t="s">
        <v>122</v>
      </c>
      <c r="I490">
        <v>2012</v>
      </c>
      <c r="J490">
        <f t="shared" si="9"/>
        <v>14549.09660956872</v>
      </c>
      <c r="K490">
        <f t="shared" si="7"/>
        <v>4291.6099808637464</v>
      </c>
      <c r="L490">
        <f t="shared" si="7"/>
        <v>99.396333001206571</v>
      </c>
      <c r="M490">
        <f t="shared" si="7"/>
        <v>480.91124733932008</v>
      </c>
      <c r="N490">
        <f t="shared" si="7"/>
        <v>9.4129958587624252</v>
      </c>
      <c r="O490">
        <f t="shared" si="7"/>
        <v>19430.427166631758</v>
      </c>
      <c r="P490">
        <f t="shared" si="7"/>
        <v>7015.3939849196322</v>
      </c>
      <c r="Q490">
        <f t="shared" si="7"/>
        <v>8363.0857292992678</v>
      </c>
      <c r="R490">
        <f t="shared" si="7"/>
        <v>97.065384054850909</v>
      </c>
      <c r="S490">
        <f t="shared" si="7"/>
        <v>15475.545098273749</v>
      </c>
      <c r="T490">
        <f t="shared" si="7"/>
        <v>4556.4782345901413</v>
      </c>
      <c r="U490">
        <f t="shared" si="7"/>
        <v>549.79432610711626</v>
      </c>
      <c r="V490">
        <f t="shared" si="7"/>
        <v>2776.7914374768111</v>
      </c>
      <c r="W490">
        <f t="shared" si="7"/>
        <v>60.287338760879912</v>
      </c>
      <c r="X490">
        <f t="shared" si="7"/>
        <v>141.76586396652999</v>
      </c>
      <c r="Y490">
        <f t="shared" si="7"/>
        <v>8085.1172009014808</v>
      </c>
      <c r="Z490">
        <f t="shared" si="7"/>
        <v>27.229462770257747</v>
      </c>
      <c r="AA490">
        <f t="shared" si="8"/>
        <v>43018.318928577246</v>
      </c>
      <c r="AB490">
        <f t="shared" si="8"/>
        <v>8308.3690000000006</v>
      </c>
      <c r="AC490">
        <f t="shared" si="8"/>
        <v>366.36326063017151</v>
      </c>
    </row>
    <row r="491" spans="5:29">
      <c r="E491" t="s">
        <v>122</v>
      </c>
      <c r="F491" t="s">
        <v>122</v>
      </c>
      <c r="G491" t="s">
        <v>122</v>
      </c>
      <c r="I491">
        <v>2013</v>
      </c>
      <c r="J491">
        <f t="shared" si="9"/>
        <v>13369.481455364055</v>
      </c>
      <c r="K491">
        <f t="shared" si="7"/>
        <v>4374.2899527398176</v>
      </c>
      <c r="L491">
        <f t="shared" si="7"/>
        <v>115.35358770312973</v>
      </c>
      <c r="M491">
        <f t="shared" si="7"/>
        <v>393.23643017298224</v>
      </c>
      <c r="N491">
        <f t="shared" si="7"/>
        <v>9.5037277660811004</v>
      </c>
      <c r="O491">
        <f t="shared" si="7"/>
        <v>18261.865153746065</v>
      </c>
      <c r="P491">
        <f t="shared" si="7"/>
        <v>6398.3723263239845</v>
      </c>
      <c r="Q491">
        <f t="shared" si="7"/>
        <v>8602.2654827212173</v>
      </c>
      <c r="R491">
        <f t="shared" si="7"/>
        <v>106.57718569708106</v>
      </c>
      <c r="S491">
        <f t="shared" si="7"/>
        <v>15107.214994742288</v>
      </c>
      <c r="T491">
        <f t="shared" si="7"/>
        <v>4471.5750663048693</v>
      </c>
      <c r="U491">
        <f t="shared" si="7"/>
        <v>552.15886865237724</v>
      </c>
      <c r="V491">
        <f t="shared" si="7"/>
        <v>2708.0800945761616</v>
      </c>
      <c r="W491">
        <f t="shared" si="7"/>
        <v>60.181460856053043</v>
      </c>
      <c r="X491">
        <f t="shared" si="7"/>
        <v>145.5454303881574</v>
      </c>
      <c r="Y491">
        <f t="shared" si="7"/>
        <v>7937.5409207776192</v>
      </c>
      <c r="Z491">
        <f t="shared" si="7"/>
        <v>26.111880902249336</v>
      </c>
      <c r="AA491">
        <f t="shared" si="8"/>
        <v>41332.732950168211</v>
      </c>
      <c r="AB491">
        <f t="shared" si="8"/>
        <v>8416.5429999999997</v>
      </c>
      <c r="AC491">
        <f t="shared" si="8"/>
        <v>340.96973908267483</v>
      </c>
    </row>
    <row r="492" spans="5:29">
      <c r="E492" t="s">
        <v>122</v>
      </c>
      <c r="F492" t="s">
        <v>122</v>
      </c>
      <c r="G492" t="s">
        <v>122</v>
      </c>
      <c r="I492">
        <v>2014</v>
      </c>
      <c r="J492">
        <f t="shared" si="9"/>
        <v>11266.245435743434</v>
      </c>
      <c r="K492">
        <f t="shared" si="7"/>
        <v>3459.4682556800303</v>
      </c>
      <c r="L492">
        <f t="shared" si="7"/>
        <v>90.404251754671819</v>
      </c>
      <c r="M492">
        <f t="shared" si="7"/>
        <v>435.96120603084955</v>
      </c>
      <c r="N492">
        <f t="shared" si="7"/>
        <v>9.025669217613455</v>
      </c>
      <c r="O492">
        <f t="shared" si="7"/>
        <v>15261.104818426598</v>
      </c>
      <c r="P492">
        <f t="shared" si="7"/>
        <v>5360.2628207217385</v>
      </c>
      <c r="Q492">
        <f t="shared" si="7"/>
        <v>7079.0150922971507</v>
      </c>
      <c r="R492">
        <f t="shared" si="7"/>
        <v>102.39668430563691</v>
      </c>
      <c r="S492">
        <f t="shared" si="7"/>
        <v>12541.674597324523</v>
      </c>
      <c r="T492">
        <f t="shared" si="7"/>
        <v>4412.0882126722227</v>
      </c>
      <c r="U492">
        <f t="shared" si="7"/>
        <v>562.95999936541909</v>
      </c>
      <c r="V492">
        <f t="shared" si="7"/>
        <v>2758.5322995683891</v>
      </c>
      <c r="W492">
        <f t="shared" si="7"/>
        <v>61.364978268528183</v>
      </c>
      <c r="X492">
        <f t="shared" si="7"/>
        <v>149.74150935074357</v>
      </c>
      <c r="Y492">
        <f t="shared" si="7"/>
        <v>7944.6869992253023</v>
      </c>
      <c r="Z492">
        <f t="shared" si="7"/>
        <v>26.425167457750856</v>
      </c>
      <c r="AA492">
        <f t="shared" si="8"/>
        <v>35773.891582434189</v>
      </c>
      <c r="AB492">
        <f t="shared" si="8"/>
        <v>8538.6890000000003</v>
      </c>
      <c r="AC492">
        <f t="shared" si="8"/>
        <v>261.83758359105076</v>
      </c>
    </row>
    <row r="493" spans="5:29">
      <c r="E493" t="s">
        <v>122</v>
      </c>
      <c r="F493" t="s">
        <v>122</v>
      </c>
      <c r="G493" t="s">
        <v>122</v>
      </c>
      <c r="I493">
        <v>2015</v>
      </c>
      <c r="J493">
        <f t="shared" si="9"/>
        <v>9197.3054172062348</v>
      </c>
      <c r="K493">
        <f t="shared" si="7"/>
        <v>3467.479815051935</v>
      </c>
      <c r="L493">
        <f t="shared" si="7"/>
        <v>89.343619827038324</v>
      </c>
      <c r="M493">
        <f t="shared" si="7"/>
        <v>452.23728444855419</v>
      </c>
      <c r="N493">
        <f t="shared" si="7"/>
        <v>9.2397214273342776</v>
      </c>
      <c r="O493">
        <f t="shared" si="7"/>
        <v>13215.605857961094</v>
      </c>
      <c r="P493">
        <f t="shared" si="7"/>
        <v>4474.8620043692099</v>
      </c>
      <c r="Q493">
        <f t="shared" si="7"/>
        <v>7530.2921929314189</v>
      </c>
      <c r="R493">
        <f t="shared" si="7"/>
        <v>101.36682494816088</v>
      </c>
      <c r="S493">
        <f t="shared" si="7"/>
        <v>12106.521022248791</v>
      </c>
      <c r="T493">
        <f t="shared" si="7"/>
        <v>4480.4961106705969</v>
      </c>
      <c r="U493">
        <f t="shared" si="7"/>
        <v>599.96226951236122</v>
      </c>
      <c r="V493">
        <f t="shared" si="7"/>
        <v>2687.8470714453215</v>
      </c>
      <c r="W493">
        <f t="shared" si="7"/>
        <v>59.366176420146836</v>
      </c>
      <c r="X493">
        <f t="shared" si="7"/>
        <v>155.15721585098777</v>
      </c>
      <c r="Y493">
        <f t="shared" si="7"/>
        <v>7982.8288438994141</v>
      </c>
      <c r="Z493">
        <f t="shared" si="7"/>
        <v>21.613039801954923</v>
      </c>
      <c r="AA493">
        <f t="shared" si="8"/>
        <v>33326.568763911258</v>
      </c>
      <c r="AB493">
        <f t="shared" si="8"/>
        <v>8673.7129999999997</v>
      </c>
      <c r="AC493">
        <f t="shared" si="8"/>
        <v>220.50083129992962</v>
      </c>
    </row>
  </sheetData>
  <conditionalFormatting sqref="G50">
    <cfRule type="cellIs" dxfId="204" priority="34" operator="lessThan">
      <formula>0</formula>
    </cfRule>
  </conditionalFormatting>
  <conditionalFormatting sqref="G51:G53">
    <cfRule type="cellIs" dxfId="203" priority="33" operator="lessThan">
      <formula>0</formula>
    </cfRule>
  </conditionalFormatting>
  <conditionalFormatting sqref="O9:AX44">
    <cfRule type="cellIs" dxfId="202" priority="32" operator="lessThan">
      <formula>0</formula>
    </cfRule>
  </conditionalFormatting>
  <conditionalFormatting sqref="S51:S53">
    <cfRule type="cellIs" dxfId="201" priority="30" operator="lessThan">
      <formula>0</formula>
    </cfRule>
  </conditionalFormatting>
  <conditionalFormatting sqref="S50">
    <cfRule type="cellIs" dxfId="200" priority="29" operator="lessThan">
      <formula>0</formula>
    </cfRule>
  </conditionalFormatting>
  <conditionalFormatting sqref="G91">
    <cfRule type="cellIs" dxfId="199" priority="28" operator="lessThan">
      <formula>0</formula>
    </cfRule>
  </conditionalFormatting>
  <conditionalFormatting sqref="G92">
    <cfRule type="cellIs" dxfId="198" priority="27" operator="lessThan">
      <formula>0</formula>
    </cfRule>
  </conditionalFormatting>
  <conditionalFormatting sqref="I91">
    <cfRule type="cellIs" dxfId="197" priority="26" operator="lessThan">
      <formula>0</formula>
    </cfRule>
  </conditionalFormatting>
  <conditionalFormatting sqref="I92">
    <cfRule type="cellIs" dxfId="196" priority="25" operator="lessThan">
      <formula>0</formula>
    </cfRule>
  </conditionalFormatting>
  <conditionalFormatting sqref="K91">
    <cfRule type="cellIs" dxfId="195" priority="24" operator="lessThan">
      <formula>0</formula>
    </cfRule>
  </conditionalFormatting>
  <conditionalFormatting sqref="K92">
    <cfRule type="cellIs" dxfId="194" priority="23" operator="lessThan">
      <formula>0</formula>
    </cfRule>
  </conditionalFormatting>
  <conditionalFormatting sqref="L91">
    <cfRule type="cellIs" dxfId="193" priority="22" operator="lessThan">
      <formula>0</formula>
    </cfRule>
  </conditionalFormatting>
  <conditionalFormatting sqref="L92">
    <cfRule type="cellIs" dxfId="192" priority="21" operator="lessThan">
      <formula>0</formula>
    </cfRule>
  </conditionalFormatting>
  <conditionalFormatting sqref="M91">
    <cfRule type="cellIs" dxfId="191" priority="20" operator="lessThan">
      <formula>0</formula>
    </cfRule>
  </conditionalFormatting>
  <conditionalFormatting sqref="M92">
    <cfRule type="cellIs" dxfId="190" priority="19" operator="lessThan">
      <formula>0</formula>
    </cfRule>
  </conditionalFormatting>
  <conditionalFormatting sqref="O91">
    <cfRule type="cellIs" dxfId="189" priority="18" operator="lessThan">
      <formula>0</formula>
    </cfRule>
  </conditionalFormatting>
  <conditionalFormatting sqref="O92">
    <cfRule type="cellIs" dxfId="188" priority="17" operator="lessThan">
      <formula>0</formula>
    </cfRule>
  </conditionalFormatting>
  <conditionalFormatting sqref="P91">
    <cfRule type="cellIs" dxfId="187" priority="16" operator="lessThan">
      <formula>0</formula>
    </cfRule>
  </conditionalFormatting>
  <conditionalFormatting sqref="P92">
    <cfRule type="cellIs" dxfId="186" priority="15" operator="lessThan">
      <formula>0</formula>
    </cfRule>
  </conditionalFormatting>
  <conditionalFormatting sqref="Q91">
    <cfRule type="cellIs" dxfId="185" priority="14" operator="lessThan">
      <formula>0</formula>
    </cfRule>
  </conditionalFormatting>
  <conditionalFormatting sqref="Q92">
    <cfRule type="cellIs" dxfId="184" priority="13" operator="lessThan">
      <formula>0</formula>
    </cfRule>
  </conditionalFormatting>
  <conditionalFormatting sqref="R91">
    <cfRule type="cellIs" dxfId="183" priority="12" operator="lessThan">
      <formula>0</formula>
    </cfRule>
  </conditionalFormatting>
  <conditionalFormatting sqref="R92">
    <cfRule type="cellIs" dxfId="182" priority="11" operator="lessThan">
      <formula>0</formula>
    </cfRule>
  </conditionalFormatting>
  <conditionalFormatting sqref="S91">
    <cfRule type="cellIs" dxfId="181" priority="10" operator="lessThan">
      <formula>0</formula>
    </cfRule>
  </conditionalFormatting>
  <conditionalFormatting sqref="S92">
    <cfRule type="cellIs" dxfId="180" priority="9" operator="lessThan">
      <formula>0</formula>
    </cfRule>
  </conditionalFormatting>
  <conditionalFormatting sqref="T91">
    <cfRule type="cellIs" dxfId="179" priority="8" operator="lessThan">
      <formula>0</formula>
    </cfRule>
  </conditionalFormatting>
  <conditionalFormatting sqref="T92">
    <cfRule type="cellIs" dxfId="178" priority="7" operator="lessThan">
      <formula>0</formula>
    </cfRule>
  </conditionalFormatting>
  <conditionalFormatting sqref="U91">
    <cfRule type="cellIs" dxfId="177" priority="6" operator="lessThan">
      <formula>0</formula>
    </cfRule>
  </conditionalFormatting>
  <conditionalFormatting sqref="U92">
    <cfRule type="cellIs" dxfId="176" priority="5" operator="lessThan">
      <formula>0</formula>
    </cfRule>
  </conditionalFormatting>
  <conditionalFormatting sqref="V91">
    <cfRule type="cellIs" dxfId="175" priority="4" operator="lessThan">
      <formula>0</formula>
    </cfRule>
  </conditionalFormatting>
  <conditionalFormatting sqref="V92">
    <cfRule type="cellIs" dxfId="174" priority="3" operator="lessThan">
      <formula>0</formula>
    </cfRule>
  </conditionalFormatting>
  <conditionalFormatting sqref="N91">
    <cfRule type="cellIs" dxfId="173" priority="2" operator="lessThan">
      <formula>0</formula>
    </cfRule>
  </conditionalFormatting>
  <conditionalFormatting sqref="N92">
    <cfRule type="cellIs" dxfId="172" priority="1" operator="lessThan">
      <formula>0</formula>
    </cfRule>
  </conditionalFormatting>
  <hyperlinks>
    <hyperlink ref="M56" r:id="rId1" xr:uid="{00000000-0004-0000-1A00-000000000000}"/>
  </hyperlinks>
  <pageMargins left="0.7" right="0.7" top="0.75" bottom="0.75" header="0.3" footer="0.3"/>
  <pageSetup paperSize="9" orientation="portrait"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9">
    <tabColor theme="9" tint="0.79998168889431442"/>
  </sheetPr>
  <dimension ref="B2:AP30"/>
  <sheetViews>
    <sheetView topLeftCell="B1" workbookViewId="0">
      <selection activeCell="O35" sqref="O35"/>
    </sheetView>
  </sheetViews>
  <sheetFormatPr defaultRowHeight="15"/>
  <sheetData>
    <row r="2" spans="2:42">
      <c r="B2" t="str">
        <f>Dashboard!$D$6</f>
        <v>High Electrification</v>
      </c>
      <c r="G2" s="524">
        <v>2015</v>
      </c>
      <c r="H2" s="524">
        <v>2016</v>
      </c>
      <c r="I2" s="524">
        <v>2017</v>
      </c>
      <c r="J2" s="524">
        <v>2018</v>
      </c>
      <c r="K2" s="524">
        <v>2019</v>
      </c>
      <c r="L2" s="524">
        <v>2020</v>
      </c>
      <c r="M2" s="524">
        <v>2021</v>
      </c>
      <c r="N2" s="524">
        <v>2022</v>
      </c>
      <c r="O2" s="524">
        <v>2023</v>
      </c>
      <c r="P2" s="524">
        <v>2024</v>
      </c>
      <c r="Q2" s="524">
        <v>2025</v>
      </c>
      <c r="R2" s="524">
        <v>2026</v>
      </c>
      <c r="S2" s="524">
        <v>2027</v>
      </c>
      <c r="T2" s="524">
        <v>2028</v>
      </c>
      <c r="U2" s="524">
        <v>2029</v>
      </c>
      <c r="V2" s="524">
        <v>2030</v>
      </c>
      <c r="W2" s="524">
        <v>2031</v>
      </c>
      <c r="X2" s="524">
        <v>2032</v>
      </c>
      <c r="Y2" s="524">
        <v>2033</v>
      </c>
      <c r="Z2" s="524">
        <v>2034</v>
      </c>
      <c r="AA2" s="524">
        <v>2035</v>
      </c>
      <c r="AB2" s="524">
        <v>2036</v>
      </c>
      <c r="AC2" s="524">
        <v>2037</v>
      </c>
      <c r="AD2" s="524">
        <v>2038</v>
      </c>
      <c r="AE2" s="524">
        <v>2039</v>
      </c>
      <c r="AF2" s="524">
        <v>2040</v>
      </c>
      <c r="AG2" s="524">
        <v>2041</v>
      </c>
      <c r="AH2" s="524">
        <v>2042</v>
      </c>
      <c r="AI2" s="524">
        <v>2043</v>
      </c>
      <c r="AJ2" s="524">
        <v>2044</v>
      </c>
      <c r="AK2" s="524">
        <v>2045</v>
      </c>
      <c r="AL2" s="524">
        <v>2046</v>
      </c>
      <c r="AM2" s="524">
        <v>2047</v>
      </c>
      <c r="AN2" s="524">
        <v>2048</v>
      </c>
      <c r="AO2" s="524">
        <v>2049</v>
      </c>
      <c r="AP2" s="524">
        <v>2050</v>
      </c>
    </row>
    <row r="4" spans="2:42">
      <c r="B4" t="s">
        <v>344</v>
      </c>
      <c r="G4" s="180">
        <f ca="1">'2.8 Costs'!J4*'3.3 Retrofits and Heat Pumps'!$G$6*'2.8 Costs'!$E$303/'2.8 Costs'!$E$309</f>
        <v>0</v>
      </c>
      <c r="H4" s="180">
        <f ca="1">'2.8 Costs'!K4*'3.3 Retrofits and Heat Pumps'!$G$6*'2.8 Costs'!$E$303/'2.8 Costs'!$E$309</f>
        <v>2.0264251355557659</v>
      </c>
      <c r="I4" s="180">
        <f ca="1">'2.8 Costs'!L4*'3.3 Retrofits and Heat Pumps'!$G$6*'2.8 Costs'!$E$303/'2.8 Costs'!$E$309</f>
        <v>1.994869504707693</v>
      </c>
      <c r="J4" s="180">
        <f ca="1">'2.8 Costs'!M4*'3.3 Retrofits and Heat Pumps'!$G$6*'2.8 Costs'!$E$303/'2.8 Costs'!$E$309</f>
        <v>1.9633138738596203</v>
      </c>
      <c r="K4" s="180">
        <f ca="1">'2.8 Costs'!N4*'3.3 Retrofits and Heat Pumps'!$G$6*'2.8 Costs'!$E$303/'2.8 Costs'!$E$309</f>
        <v>29.098219694063669</v>
      </c>
      <c r="L4" s="180">
        <f ca="1">'2.8 Costs'!O4*'3.3 Retrofits and Heat Pumps'!$G$6*'2.8 Costs'!$E$303/'2.8 Costs'!$E$309</f>
        <v>173.80766526253362</v>
      </c>
      <c r="M4" s="180">
        <f ca="1">'2.8 Costs'!P4*'3.3 Retrofits and Heat Pumps'!$G$6*'2.8 Costs'!$E$303/'2.8 Costs'!$E$309</f>
        <v>453.76047079191318</v>
      </c>
      <c r="N4" s="180">
        <f ca="1">'2.8 Costs'!Q4*'3.3 Retrofits and Heat Pumps'!$G$6*'2.8 Costs'!$E$303/'2.8 Costs'!$E$309</f>
        <v>1489.6687544736842</v>
      </c>
      <c r="O4" s="180">
        <f ca="1">'2.8 Costs'!R4*'3.3 Retrofits and Heat Pumps'!$G$6*'2.8 Costs'!$E$303/'2.8 Costs'!$E$309</f>
        <v>2630.8147418918115</v>
      </c>
      <c r="P4" s="180">
        <f ca="1">'2.8 Costs'!S4*'3.3 Retrofits and Heat Pumps'!$G$6*'2.8 Costs'!$E$303/'2.8 Costs'!$E$309</f>
        <v>3095.2849342367631</v>
      </c>
      <c r="Q4" s="180">
        <f ca="1">'2.8 Costs'!T4*'3.3 Retrofits and Heat Pumps'!$G$6*'2.8 Costs'!$E$303/'2.8 Costs'!$E$309</f>
        <v>2856.8181189004536</v>
      </c>
      <c r="R4" s="180">
        <f ca="1">'2.8 Costs'!U4*'3.3 Retrofits and Heat Pumps'!$G$6*'2.8 Costs'!$E$303/'2.8 Costs'!$E$309</f>
        <v>2530.3680032289035</v>
      </c>
      <c r="S4" s="180">
        <f ca="1">'2.8 Costs'!V4*'3.3 Retrofits and Heat Pumps'!$G$6*'2.8 Costs'!$E$303/'2.8 Costs'!$E$309</f>
        <v>2168.4773432585007</v>
      </c>
      <c r="T4" s="180">
        <f ca="1">'2.8 Costs'!W4*'3.3 Retrofits and Heat Pumps'!$G$6*'2.8 Costs'!$E$303/'2.8 Costs'!$E$309</f>
        <v>1492.9922030265118</v>
      </c>
      <c r="U4" s="180">
        <f ca="1">'2.8 Costs'!X4*'3.3 Retrofits and Heat Pumps'!$G$6*'2.8 Costs'!$E$303/'2.8 Costs'!$E$309</f>
        <v>948.55927430442625</v>
      </c>
      <c r="V4" s="180">
        <f ca="1">'2.8 Costs'!Y4*'3.3 Retrofits and Heat Pumps'!$G$6*'2.8 Costs'!$E$303/'2.8 Costs'!$E$309</f>
        <v>481.37475964349318</v>
      </c>
      <c r="W4" s="180">
        <f ca="1">'2.8 Costs'!Z4*'3.3 Retrofits and Heat Pumps'!$G$6*'2.8 Costs'!$E$303/'2.8 Costs'!$E$309</f>
        <v>242.80827324702463</v>
      </c>
      <c r="X4" s="180">
        <f ca="1">'2.8 Costs'!AA4*'3.3 Retrofits and Heat Pumps'!$G$6*'2.8 Costs'!$E$303/'2.8 Costs'!$E$309</f>
        <v>208.21803011121537</v>
      </c>
      <c r="Y4" s="180">
        <f ca="1">'2.8 Costs'!AB4*'3.3 Retrofits and Heat Pumps'!$G$6*'2.8 Costs'!$E$303/'2.8 Costs'!$E$309</f>
        <v>173.62782266614158</v>
      </c>
      <c r="Z4" s="180">
        <f ca="1">'2.8 Costs'!AC4*'3.3 Retrofits and Heat Pumps'!$G$6*'2.8 Costs'!$E$303/'2.8 Costs'!$E$309</f>
        <v>139.03757953031419</v>
      </c>
      <c r="AA4" s="180">
        <f ca="1">'2.8 Costs'!AD4*'3.3 Retrofits and Heat Pumps'!$G$6*'2.8 Costs'!$E$303/'2.8 Costs'!$E$309</f>
        <v>2.2868122425224442</v>
      </c>
      <c r="AB4" s="180">
        <f ca="1">'2.8 Costs'!AE4*'3.3 Retrofits and Heat Pumps'!$G$6*'2.8 Costs'!$E$303/'2.8 Costs'!$E$309</f>
        <v>1.9058592509641119</v>
      </c>
      <c r="AC4" s="180">
        <f ca="1">'2.8 Costs'!AF4*'3.3 Retrofits and Heat Pumps'!$G$6*'2.8 Costs'!$E$303/'2.8 Costs'!$E$309</f>
        <v>1.8992136875048742</v>
      </c>
      <c r="AD4" s="180">
        <f ca="1">'2.8 Costs'!AG4*'3.3 Retrofits and Heat Pumps'!$G$6*'2.8 Costs'!$E$303/'2.8 Costs'!$E$309</f>
        <v>1.2260915842482527</v>
      </c>
      <c r="AE4" s="180">
        <f ca="1">'2.8 Costs'!AH4*'3.3 Retrofits and Heat Pumps'!$G$6*'2.8 Costs'!$E$303/'2.8 Costs'!$E$309</f>
        <v>1.2194460207935629</v>
      </c>
      <c r="AF4" s="180">
        <f ca="1">'2.8 Costs'!AI4*'3.3 Retrofits and Heat Pumps'!$G$6*'2.8 Costs'!$E$303/'2.8 Costs'!$E$309</f>
        <v>1.2128004573434217</v>
      </c>
      <c r="AG4" s="180">
        <f ca="1">'2.8 Costs'!AJ4*'3.3 Retrofits and Heat Pumps'!$G$6*'2.8 Costs'!$E$303/'2.8 Costs'!$E$309</f>
        <v>1.206154893884184</v>
      </c>
      <c r="AH4" s="180">
        <f ca="1">'2.8 Costs'!AK4*'3.3 Retrofits and Heat Pumps'!$G$6*'2.8 Costs'!$E$303/'2.8 Costs'!$E$309</f>
        <v>1.1995093304340425</v>
      </c>
      <c r="AI4" s="180">
        <f ca="1">'2.8 Costs'!AL4*'3.3 Retrofits and Heat Pumps'!$G$6*'2.8 Costs'!$E$303/'2.8 Costs'!$E$309</f>
        <v>1.1928637669839011</v>
      </c>
      <c r="AJ4" s="180">
        <f ca="1">'2.8 Costs'!AM4*'3.3 Retrofits and Heat Pumps'!$G$6*'2.8 Costs'!$E$303/'2.8 Costs'!$E$309</f>
        <v>1.1862182035246633</v>
      </c>
      <c r="AK4" s="180">
        <f ca="1">'2.8 Costs'!AN4*'3.3 Retrofits and Heat Pumps'!$G$6*'2.8 Costs'!$E$303/'2.8 Costs'!$E$309</f>
        <v>1.17957264007907</v>
      </c>
      <c r="AL4" s="180">
        <f ca="1">'2.8 Costs'!AO4*'3.3 Retrofits and Heat Pumps'!$G$6*'2.8 Costs'!$E$303/'2.8 Costs'!$E$309</f>
        <v>1.1729270766243804</v>
      </c>
      <c r="AM4" s="180">
        <f ca="1">'2.8 Costs'!AP4*'3.3 Retrofits and Heat Pumps'!$G$6*'2.8 Costs'!$E$303/'2.8 Costs'!$E$309</f>
        <v>1.1662815131651427</v>
      </c>
      <c r="AN4" s="180">
        <f ca="1">'2.8 Costs'!AQ4*'3.3 Retrofits and Heat Pumps'!$G$6*'2.8 Costs'!$E$303/'2.8 Costs'!$E$309</f>
        <v>1.1596359497195494</v>
      </c>
      <c r="AO4" s="180">
        <f ca="1">'2.8 Costs'!AR4*'3.3 Retrofits and Heat Pumps'!$G$6*'2.8 Costs'!$E$303/'2.8 Costs'!$E$309</f>
        <v>1.1529903862603117</v>
      </c>
      <c r="AP4" s="180">
        <f ca="1">'2.8 Costs'!AS4*'3.3 Retrofits and Heat Pumps'!$G$6*'2.8 Costs'!$E$303/'2.8 Costs'!$E$309</f>
        <v>1.1463448228101702</v>
      </c>
    </row>
    <row r="5" spans="2:42">
      <c r="B5" s="180" t="s">
        <v>160</v>
      </c>
      <c r="G5" s="533">
        <f ca="1">'2.8 Costs'!J5*'DH calcs - old'!B63</f>
        <v>17.350253818456508</v>
      </c>
      <c r="H5" s="533">
        <f ca="1">'2.8 Costs'!K5*'DH calcs - old'!C63</f>
        <v>17.440609716451135</v>
      </c>
      <c r="I5" s="533">
        <f ca="1">'2.8 Costs'!L5*'DH calcs - old'!D63</f>
        <v>19.161346191586915</v>
      </c>
      <c r="J5" s="533">
        <f ca="1">'2.8 Costs'!M5*'DH calcs - old'!E63</f>
        <v>20.878117757189667</v>
      </c>
      <c r="K5" s="533">
        <f ca="1">'2.8 Costs'!N5*'DH calcs - old'!F63</f>
        <v>22.588867274268615</v>
      </c>
      <c r="L5" s="533">
        <f ca="1">'2.8 Costs'!O5*'DH calcs - old'!G63</f>
        <v>83.081151742492892</v>
      </c>
      <c r="M5" s="533">
        <f ca="1">'2.8 Costs'!P5*'DH calcs - old'!H63</f>
        <v>81.154182649747639</v>
      </c>
      <c r="N5" s="533">
        <f ca="1">'2.8 Costs'!Q5*'DH calcs - old'!I63</f>
        <v>95.982363366031962</v>
      </c>
      <c r="O5" s="533">
        <f ca="1">'2.8 Costs'!R5*'DH calcs - old'!J63</f>
        <v>99.887626426998096</v>
      </c>
      <c r="P5" s="533">
        <f ca="1">'2.8 Costs'!S5*'DH calcs - old'!K63</f>
        <v>103.7394826227097</v>
      </c>
      <c r="Q5" s="533">
        <f ca="1">'2.8 Costs'!T5*'DH calcs - old'!L63</f>
        <v>107.07446150538027</v>
      </c>
      <c r="R5" s="533">
        <f ca="1">'2.8 Costs'!U5*'DH calcs - old'!M63</f>
        <v>119.17425164655194</v>
      </c>
      <c r="S5" s="533">
        <f ca="1">'2.8 Costs'!V5*'DH calcs - old'!N63</f>
        <v>120.73757711229371</v>
      </c>
      <c r="T5" s="533">
        <f ca="1">'2.8 Costs'!W5*'DH calcs - old'!O63</f>
        <v>122.18133353385703</v>
      </c>
      <c r="U5" s="533">
        <f ca="1">'2.8 Costs'!X5*'DH calcs - old'!P63</f>
        <v>123.50071934895472</v>
      </c>
      <c r="V5" s="533">
        <f ca="1">'2.8 Costs'!Y5*'DH calcs - old'!Q63</f>
        <v>125.49129102937829</v>
      </c>
      <c r="W5" s="533">
        <f ca="1">'2.8 Costs'!Z5*'DH calcs - old'!R63</f>
        <v>109.64830505077374</v>
      </c>
      <c r="X5" s="533">
        <f ca="1">'2.8 Costs'!AA5*'DH calcs - old'!S63</f>
        <v>108.87017899534091</v>
      </c>
      <c r="Y5" s="533">
        <f ca="1">'2.8 Costs'!AB5*'DH calcs - old'!T63</f>
        <v>107.99312822768638</v>
      </c>
      <c r="Z5" s="533">
        <f ca="1">'2.8 Costs'!AC5*'DH calcs - old'!U63</f>
        <v>107.01739142530417</v>
      </c>
      <c r="AA5" s="533">
        <f ca="1">'2.8 Costs'!AD5*'DH calcs - old'!V63</f>
        <v>117.68433579513751</v>
      </c>
      <c r="AB5" s="533">
        <f ca="1">'2.8 Costs'!AE5*'DH calcs - old'!W63</f>
        <v>98.633490137434251</v>
      </c>
      <c r="AC5" s="533">
        <f ca="1">'2.8 Costs'!AF5*'DH calcs - old'!X63</f>
        <v>102.71388923422764</v>
      </c>
      <c r="AD5" s="533">
        <f ca="1">'2.8 Costs'!AG5*'DH calcs - old'!Y63</f>
        <v>102.23462688455831</v>
      </c>
      <c r="AE5" s="533">
        <f ca="1">'2.8 Costs'!AH5*'DH calcs - old'!Z63</f>
        <v>101.60470426687823</v>
      </c>
      <c r="AF5" s="533">
        <f ca="1">'2.8 Costs'!AI5*'DH calcs - old'!AA63</f>
        <v>100.7494876536642</v>
      </c>
      <c r="AG5" s="533">
        <f ca="1">'2.8 Costs'!AJ5*'DH calcs - old'!AB63</f>
        <v>99.252289824522862</v>
      </c>
      <c r="AH5" s="533">
        <f ca="1">'2.8 Costs'!AK5*'DH calcs - old'!AC63</f>
        <v>97.809790566304414</v>
      </c>
      <c r="AI5" s="533">
        <f ca="1">'2.8 Costs'!AL5*'DH calcs - old'!AD63</f>
        <v>96.242695780768045</v>
      </c>
      <c r="AJ5" s="533">
        <f ca="1">'2.8 Costs'!AM5*'DH calcs - old'!AE63</f>
        <v>94.55101784079136</v>
      </c>
      <c r="AK5" s="533">
        <f ca="1">'2.8 Costs'!AN5*'DH calcs - old'!AF63</f>
        <v>92.734769116372121</v>
      </c>
      <c r="AL5" s="533">
        <f ca="1">'2.8 Costs'!AO5*'DH calcs - old'!AG63</f>
        <v>51.426251459943416</v>
      </c>
      <c r="AM5" s="533">
        <f ca="1">'2.8 Costs'!AP5*'DH calcs - old'!AH63</f>
        <v>49.739154281049892</v>
      </c>
      <c r="AN5" s="533">
        <f ca="1">'2.8 Costs'!AQ5*'DH calcs - old'!AI63</f>
        <v>48.024050209933932</v>
      </c>
      <c r="AO5" s="533">
        <f ca="1">'2.8 Costs'!AR5*'DH calcs - old'!AJ63</f>
        <v>46.280939312643113</v>
      </c>
      <c r="AP5" s="533">
        <f ca="1">'2.8 Costs'!AS5*'DH calcs - old'!AK63</f>
        <v>44.509821655675303</v>
      </c>
    </row>
    <row r="6" spans="2:42">
      <c r="B6" s="180" t="s">
        <v>821</v>
      </c>
      <c r="G6" s="533">
        <f ca="1">'2.8 Costs'!J6*'3.3 Retrofits and Heat Pumps'!J109</f>
        <v>0</v>
      </c>
      <c r="H6" s="533">
        <f ca="1">'2.8 Costs'!K6*'3.3 Retrofits and Heat Pumps'!K109</f>
        <v>0</v>
      </c>
      <c r="I6" s="533">
        <f ca="1">'2.8 Costs'!L6*'3.3 Retrofits and Heat Pumps'!L109</f>
        <v>0</v>
      </c>
      <c r="J6" s="533">
        <f ca="1">'2.8 Costs'!M6*'3.3 Retrofits and Heat Pumps'!M109</f>
        <v>0</v>
      </c>
      <c r="K6" s="533">
        <f ca="1">'2.8 Costs'!N6*'3.3 Retrofits and Heat Pumps'!N109</f>
        <v>0</v>
      </c>
      <c r="L6" s="533">
        <f ca="1">'2.8 Costs'!O6*'3.3 Retrofits and Heat Pumps'!O109</f>
        <v>0</v>
      </c>
      <c r="M6" s="533">
        <f ca="1">'2.8 Costs'!P6*'3.3 Retrofits and Heat Pumps'!P109</f>
        <v>174.37566152854185</v>
      </c>
      <c r="N6" s="533">
        <f ca="1">'2.8 Costs'!Q6*'3.3 Retrofits and Heat Pumps'!Q109</f>
        <v>348.31182335172656</v>
      </c>
      <c r="O6" s="533">
        <f ca="1">'2.8 Costs'!R6*'3.3 Retrofits and Heat Pumps'!R109</f>
        <v>454.5950630220313</v>
      </c>
      <c r="P6" s="533">
        <f ca="1">'2.8 Costs'!S6*'3.3 Retrofits and Heat Pumps'!S109</f>
        <v>614.64540123677818</v>
      </c>
      <c r="Q6" s="533">
        <f ca="1">'2.8 Costs'!T6*'3.3 Retrofits and Heat Pumps'!T109</f>
        <v>720.39273527213879</v>
      </c>
      <c r="R6" s="533">
        <f ca="1">'2.8 Costs'!U6*'3.3 Retrofits and Heat Pumps'!U109</f>
        <v>880.31353655653845</v>
      </c>
      <c r="S6" s="533">
        <f ca="1">'2.8 Costs'!V6*'3.3 Retrofits and Heat Pumps'!V109</f>
        <v>1035.0817105349763</v>
      </c>
      <c r="T6" s="533">
        <f ca="1">'2.8 Costs'!W6*'3.3 Retrofits and Heat Pumps'!W109</f>
        <v>1031.8917159153705</v>
      </c>
      <c r="U6" s="533">
        <f ca="1">'2.8 Costs'!X6*'3.3 Retrofits and Heat Pumps'!X109</f>
        <v>1023.918673107706</v>
      </c>
      <c r="V6" s="533">
        <f ca="1">'2.8 Costs'!Y6*'3.3 Retrofits and Heat Pumps'!Y109</f>
        <v>1012.0125423287444</v>
      </c>
      <c r="W6" s="533">
        <f ca="1">'2.8 Costs'!Z6*'3.3 Retrofits and Heat Pumps'!Z109</f>
        <v>939.9132684634792</v>
      </c>
      <c r="X6" s="533">
        <f ca="1">'2.8 Costs'!AA6*'3.3 Retrofits and Heat Pumps'!AA109</f>
        <v>942.78549976321665</v>
      </c>
      <c r="Y6" s="533">
        <f ca="1">'2.8 Costs'!AB6*'3.3 Retrofits and Heat Pumps'!AB109</f>
        <v>951.28564352492378</v>
      </c>
      <c r="Z6" s="533">
        <f ca="1">'2.8 Costs'!AC6*'3.3 Retrofits and Heat Pumps'!AC109</f>
        <v>938.95911650128562</v>
      </c>
      <c r="AA6" s="533">
        <f ca="1">'2.8 Costs'!AD6*'3.3 Retrofits and Heat Pumps'!AD109</f>
        <v>1013.6152613429741</v>
      </c>
      <c r="AB6" s="533">
        <f ca="1">'2.8 Costs'!AE6*'3.3 Retrofits and Heat Pumps'!AE109</f>
        <v>1051.3143373716548</v>
      </c>
      <c r="AC6" s="533">
        <f ca="1">'2.8 Costs'!AF6*'3.3 Retrofits and Heat Pumps'!AF109</f>
        <v>973.51641305466671</v>
      </c>
      <c r="AD6" s="533">
        <f ca="1">'2.8 Costs'!AG6*'3.3 Retrofits and Heat Pumps'!AG109</f>
        <v>843.84730641007911</v>
      </c>
      <c r="AE6" s="533">
        <f ca="1">'2.8 Costs'!AH6*'3.3 Retrofits and Heat Pumps'!AH109</f>
        <v>546.00206841387148</v>
      </c>
      <c r="AF6" s="533">
        <f ca="1">'2.8 Costs'!AI6*'3.3 Retrofits and Heat Pumps'!AI109</f>
        <v>644.37101333909925</v>
      </c>
      <c r="AG6" s="533">
        <f ca="1">'2.8 Costs'!AJ6*'3.3 Retrofits and Heat Pumps'!AJ109</f>
        <v>745.28015287365929</v>
      </c>
      <c r="AH6" s="533">
        <f ca="1">'2.8 Costs'!AK6*'3.3 Retrofits and Heat Pumps'!AK109</f>
        <v>845.224322567542</v>
      </c>
      <c r="AI6" s="533">
        <f ca="1">'2.8 Costs'!AL6*'3.3 Retrofits and Heat Pumps'!AL109</f>
        <v>848.14122219109424</v>
      </c>
      <c r="AJ6" s="533">
        <f ca="1">'2.8 Costs'!AM6*'3.3 Retrofits and Heat Pumps'!AM109</f>
        <v>847.68357757250612</v>
      </c>
      <c r="AK6" s="533">
        <f ca="1">'2.8 Costs'!AN6*'3.3 Retrofits and Heat Pumps'!AN109</f>
        <v>845.76634587172964</v>
      </c>
      <c r="AL6" s="533">
        <f ca="1">'2.8 Costs'!AO6*'3.3 Retrofits and Heat Pumps'!AO109</f>
        <v>764.86259109570813</v>
      </c>
      <c r="AM6" s="533">
        <f ca="1">'2.8 Costs'!AP6*'3.3 Retrofits and Heat Pumps'!AP109</f>
        <v>765.56989518172725</v>
      </c>
      <c r="AN6" s="533">
        <f ca="1">'2.8 Costs'!AQ6*'3.3 Retrofits and Heat Pumps'!AQ109</f>
        <v>766.2657833248478</v>
      </c>
      <c r="AO6" s="533">
        <f ca="1">'2.8 Costs'!AR6*'3.3 Retrofits and Heat Pumps'!AR109</f>
        <v>745.32881958894029</v>
      </c>
      <c r="AP6" s="533">
        <f ca="1">'2.8 Costs'!AS6*'3.3 Retrofits and Heat Pumps'!AS109</f>
        <v>728.69511073696094</v>
      </c>
    </row>
    <row r="7" spans="2:42">
      <c r="B7" s="180" t="s">
        <v>822</v>
      </c>
      <c r="G7" s="533">
        <f ca="1">'2.8 Costs'!J7*('2.4 PV (by Borough)'!O209+'2.4 PV (by Borough)'!O416)/('2.4 PV (by Borough)'!O207+'2.4 PV (by Borough)'!O414)</f>
        <v>9.8661712669309463</v>
      </c>
      <c r="H7" s="533">
        <f ca="1">'2.8 Costs'!K7*('2.4 PV (by Borough)'!P209+'2.4 PV (by Borough)'!P416)/('2.4 PV (by Borough)'!P207+'2.4 PV (by Borough)'!P414)</f>
        <v>9.8408059262440961</v>
      </c>
      <c r="I7" s="533">
        <f ca="1">'2.8 Costs'!L7*('2.4 PV (by Borough)'!Q209+'2.4 PV (by Borough)'!Q416)/('2.4 PV (by Borough)'!Q207+'2.4 PV (by Borough)'!Q414)</f>
        <v>9.7432370559858317</v>
      </c>
      <c r="J7" s="533">
        <f ca="1">'2.8 Costs'!M7*('2.4 PV (by Borough)'!R209+'2.4 PV (by Borough)'!R416)/('2.4 PV (by Borough)'!R207+'2.4 PV (by Borough)'!R414)</f>
        <v>9.6209455478922745</v>
      </c>
      <c r="K7" s="533">
        <f ca="1">'2.8 Costs'!N7*('2.4 PV (by Borough)'!S209+'2.4 PV (by Borough)'!S416)/('2.4 PV (by Borough)'!S207+'2.4 PV (by Borough)'!S414)</f>
        <v>9.4858659917852233</v>
      </c>
      <c r="L7" s="533">
        <f ca="1">'2.8 Costs'!O7*('2.4 PV (by Borough)'!T209+'2.4 PV (by Borough)'!T416)/('2.4 PV (by Borough)'!T207+'2.4 PV (by Borough)'!T414)</f>
        <v>15.403611439993904</v>
      </c>
      <c r="M7" s="533">
        <f ca="1">'2.8 Costs'!P7*('2.4 PV (by Borough)'!U209+'2.4 PV (by Borough)'!U416)/('2.4 PV (by Borough)'!U207+'2.4 PV (by Borough)'!U414)</f>
        <v>17.660175943486266</v>
      </c>
      <c r="N7" s="533">
        <f ca="1">'2.8 Costs'!Q7*('2.4 PV (by Borough)'!V209+'2.4 PV (by Borough)'!V416)/('2.4 PV (by Borough)'!V207+'2.4 PV (by Borough)'!V414)</f>
        <v>17.118206824405895</v>
      </c>
      <c r="O7" s="533">
        <f ca="1">'2.8 Costs'!R7*('2.4 PV (by Borough)'!W209+'2.4 PV (by Borough)'!W416)/('2.4 PV (by Borough)'!W207+'2.4 PV (by Borough)'!W414)</f>
        <v>16.338605756277886</v>
      </c>
      <c r="P7" s="533">
        <f ca="1">'2.8 Costs'!S7*('2.4 PV (by Borough)'!X209+'2.4 PV (by Borough)'!X416)/('2.4 PV (by Borough)'!X207+'2.4 PV (by Borough)'!X414)</f>
        <v>15.734021536944672</v>
      </c>
      <c r="Q7" s="533">
        <f ca="1">'2.8 Costs'!T7*('2.4 PV (by Borough)'!Y209+'2.4 PV (by Borough)'!Y416)/('2.4 PV (by Borough)'!Y207+'2.4 PV (by Borough)'!Y414)</f>
        <v>15.469508138132863</v>
      </c>
      <c r="R7" s="533">
        <f ca="1">'2.8 Costs'!U7*('2.4 PV (by Borough)'!Z209+'2.4 PV (by Borough)'!Z416)/('2.4 PV (by Borough)'!Z207+'2.4 PV (by Borough)'!Z414)</f>
        <v>18.228009173729024</v>
      </c>
      <c r="S7" s="533">
        <f ca="1">'2.8 Costs'!V7*('2.4 PV (by Borough)'!AA209+'2.4 PV (by Borough)'!AA416)/('2.4 PV (by Borough)'!AA207+'2.4 PV (by Borough)'!AA414)</f>
        <v>16.997606322738292</v>
      </c>
      <c r="T7" s="533">
        <f ca="1">'2.8 Costs'!W7*('2.4 PV (by Borough)'!AB209+'2.4 PV (by Borough)'!AB416)/('2.4 PV (by Borough)'!AB207+'2.4 PV (by Borough)'!AB414)</f>
        <v>17.864416959003606</v>
      </c>
      <c r="U7" s="533">
        <f ca="1">'2.8 Costs'!X7*('2.4 PV (by Borough)'!AC209+'2.4 PV (by Borough)'!AC416)/('2.4 PV (by Borough)'!AC207+'2.4 PV (by Borough)'!AC414)</f>
        <v>18.860273107745808</v>
      </c>
      <c r="V7" s="533">
        <f ca="1">'2.8 Costs'!Y7*('2.4 PV (by Borough)'!AD209+'2.4 PV (by Borough)'!AD416)/('2.4 PV (by Borough)'!AD207+'2.4 PV (by Borough)'!AD414)</f>
        <v>19.818264059580422</v>
      </c>
      <c r="W7" s="533">
        <f ca="1">'2.8 Costs'!Z7*('2.4 PV (by Borough)'!AE209+'2.4 PV (by Borough)'!AE416)/('2.4 PV (by Borough)'!AE207+'2.4 PV (by Borough)'!AE414)</f>
        <v>22.398459252938576</v>
      </c>
      <c r="X7" s="533">
        <f ca="1">'2.8 Costs'!AA7*('2.4 PV (by Borough)'!AF209+'2.4 PV (by Borough)'!AF416)/('2.4 PV (by Borough)'!AF207+'2.4 PV (by Borough)'!AF414)</f>
        <v>25.884150809933558</v>
      </c>
      <c r="Y7" s="533">
        <f ca="1">'2.8 Costs'!AB7*('2.4 PV (by Borough)'!AG209+'2.4 PV (by Borough)'!AG416)/('2.4 PV (by Borough)'!AG207+'2.4 PV (by Borough)'!AG414)</f>
        <v>29.518670829571718</v>
      </c>
      <c r="Z7" s="533">
        <f ca="1">'2.8 Costs'!AC7*('2.4 PV (by Borough)'!AH209+'2.4 PV (by Borough)'!AH416)/('2.4 PV (by Borough)'!AH207+'2.4 PV (by Borough)'!AH414)</f>
        <v>33.427325140480384</v>
      </c>
      <c r="AA7" s="533">
        <f ca="1">'2.8 Costs'!AD7*('2.4 PV (by Borough)'!AI209+'2.4 PV (by Borough)'!AI416)/('2.4 PV (by Borough)'!AI207+'2.4 PV (by Borough)'!AI414)</f>
        <v>45.781326067652984</v>
      </c>
      <c r="AB7" s="533">
        <f ca="1">'2.8 Costs'!AE7*('2.4 PV (by Borough)'!AJ209+'2.4 PV (by Borough)'!AJ416)/('2.4 PV (by Borough)'!AJ207+'2.4 PV (by Borough)'!AJ414)</f>
        <v>49.036069193125044</v>
      </c>
      <c r="AC7" s="533">
        <f ca="1">'2.8 Costs'!AF7*('2.4 PV (by Borough)'!AK209+'2.4 PV (by Borough)'!AK416)/('2.4 PV (by Borough)'!AK207+'2.4 PV (by Borough)'!AK414)</f>
        <v>40.856000256618017</v>
      </c>
      <c r="AD7" s="533">
        <f ca="1">'2.8 Costs'!AG7*('2.4 PV (by Borough)'!AL209+'2.4 PV (by Borough)'!AL416)/('2.4 PV (by Borough)'!AL207+'2.4 PV (by Borough)'!AL414)</f>
        <v>42.413217649327791</v>
      </c>
      <c r="AE7" s="533">
        <f ca="1">'2.8 Costs'!AH7*('2.4 PV (by Borough)'!AM209+'2.4 PV (by Borough)'!AM416)/('2.4 PV (by Borough)'!AM207+'2.4 PV (by Borough)'!AM414)</f>
        <v>44.094884197786058</v>
      </c>
      <c r="AF7" s="533">
        <f ca="1">'2.8 Costs'!AI7*('2.4 PV (by Borough)'!AN209+'2.4 PV (by Borough)'!AN416)/('2.4 PV (by Borough)'!AN207+'2.4 PV (by Borough)'!AN414)</f>
        <v>50.236112975425819</v>
      </c>
      <c r="AG7" s="533">
        <f ca="1">'2.8 Costs'!AJ7*('2.4 PV (by Borough)'!AO209+'2.4 PV (by Borough)'!AO416)/('2.4 PV (by Borough)'!AO207+'2.4 PV (by Borough)'!AO414)</f>
        <v>52.130681655172332</v>
      </c>
      <c r="AH7" s="533">
        <f ca="1">'2.8 Costs'!AK7*('2.4 PV (by Borough)'!AP209+'2.4 PV (by Borough)'!AP416)/('2.4 PV (by Borough)'!AP207+'2.4 PV (by Borough)'!AP414)</f>
        <v>51.649023363359269</v>
      </c>
      <c r="AI7" s="533">
        <f ca="1">'2.8 Costs'!AL7*('2.4 PV (by Borough)'!AQ209+'2.4 PV (by Borough)'!AQ416)/('2.4 PV (by Borough)'!AQ207+'2.4 PV (by Borough)'!AQ414)</f>
        <v>51.061237852629048</v>
      </c>
      <c r="AJ7" s="533">
        <f ca="1">'2.8 Costs'!AM7*('2.4 PV (by Borough)'!AR209+'2.4 PV (by Borough)'!AR416)/('2.4 PV (by Borough)'!AR207+'2.4 PV (by Borough)'!AR414)</f>
        <v>50.346730552265846</v>
      </c>
      <c r="AK7" s="533">
        <f ca="1">'2.8 Costs'!AN7*('2.4 PV (by Borough)'!AS209+'2.4 PV (by Borough)'!AS416)/('2.4 PV (by Borough)'!AS207+'2.4 PV (by Borough)'!AS414)</f>
        <v>52.466838074057577</v>
      </c>
      <c r="AL7" s="533">
        <f ca="1">'2.8 Costs'!AO7*('2.4 PV (by Borough)'!AT209+'2.4 PV (by Borough)'!AT416)/('2.4 PV (by Borough)'!AT207+'2.4 PV (by Borough)'!AT414)</f>
        <v>55.019102387389509</v>
      </c>
      <c r="AM7" s="533">
        <f ca="1">'2.8 Costs'!AP7*('2.4 PV (by Borough)'!AU209+'2.4 PV (by Borough)'!AU416)/('2.4 PV (by Borough)'!AU207+'2.4 PV (by Borough)'!AU414)</f>
        <v>51.910407030907642</v>
      </c>
      <c r="AN7" s="533">
        <f ca="1">'2.8 Costs'!AQ7*('2.4 PV (by Borough)'!AV209+'2.4 PV (by Borough)'!AV416)/('2.4 PV (by Borough)'!AV207+'2.4 PV (by Borough)'!AV414)</f>
        <v>50.309088099860972</v>
      </c>
      <c r="AO7" s="533">
        <f ca="1">'2.8 Costs'!AR7*('2.4 PV (by Borough)'!AW209+'2.4 PV (by Borough)'!AW416)/('2.4 PV (by Borough)'!AW207+'2.4 PV (by Borough)'!AW414)</f>
        <v>48.962837019835654</v>
      </c>
      <c r="AP7" s="533">
        <f ca="1">'2.8 Costs'!AS7*('2.4 PV (by Borough)'!AX209+'2.4 PV (by Borough)'!AX416)/('2.4 PV (by Borough)'!AX207+'2.4 PV (by Borough)'!AX414)</f>
        <v>48.006292888413796</v>
      </c>
    </row>
    <row r="8" spans="2:42">
      <c r="B8" s="180" t="s">
        <v>823</v>
      </c>
      <c r="G8" s="533">
        <f ca="1">'2.8 Costs'!J8*'3.1 Building Energy'!B20</f>
        <v>0</v>
      </c>
      <c r="H8" s="533">
        <f ca="1">'2.8 Costs'!K8*'3.1 Building Energy'!C20</f>
        <v>0</v>
      </c>
      <c r="I8" s="533">
        <f ca="1">'2.8 Costs'!L8*'3.1 Building Energy'!D20</f>
        <v>0</v>
      </c>
      <c r="J8" s="533">
        <f ca="1">'2.8 Costs'!M8*'3.1 Building Energy'!E20</f>
        <v>0</v>
      </c>
      <c r="K8" s="533">
        <f ca="1">'2.8 Costs'!N8*'3.1 Building Energy'!F20</f>
        <v>0</v>
      </c>
      <c r="L8" s="533">
        <f ca="1">'2.8 Costs'!O8*'3.1 Building Energy'!G20</f>
        <v>0</v>
      </c>
      <c r="M8" s="533">
        <f ca="1">'2.8 Costs'!P8*'3.1 Building Energy'!H20</f>
        <v>0</v>
      </c>
      <c r="N8" s="533">
        <f ca="1">'2.8 Costs'!Q8*'3.1 Building Energy'!I20</f>
        <v>0</v>
      </c>
      <c r="O8" s="533">
        <f ca="1">'2.8 Costs'!R8*'3.1 Building Energy'!J20</f>
        <v>0</v>
      </c>
      <c r="P8" s="533">
        <f ca="1">'2.8 Costs'!S8*'3.1 Building Energy'!K20</f>
        <v>0</v>
      </c>
      <c r="Q8" s="533">
        <f ca="1">'2.8 Costs'!T8*'3.1 Building Energy'!L20</f>
        <v>0</v>
      </c>
      <c r="R8" s="533">
        <f ca="1">'2.8 Costs'!U8*'3.1 Building Energy'!M20</f>
        <v>0</v>
      </c>
      <c r="S8" s="533">
        <f ca="1">'2.8 Costs'!V8*'3.1 Building Energy'!N20</f>
        <v>0</v>
      </c>
      <c r="T8" s="533">
        <f ca="1">'2.8 Costs'!W8*'3.1 Building Energy'!O20</f>
        <v>0</v>
      </c>
      <c r="U8" s="533">
        <f ca="1">'2.8 Costs'!X8*'3.1 Building Energy'!P20</f>
        <v>0</v>
      </c>
      <c r="V8" s="533">
        <f ca="1">'2.8 Costs'!Y8*'3.1 Building Energy'!Q20</f>
        <v>0</v>
      </c>
      <c r="W8" s="533">
        <f ca="1">'2.8 Costs'!Z8*'3.1 Building Energy'!R20</f>
        <v>0</v>
      </c>
      <c r="X8" s="533">
        <f ca="1">'2.8 Costs'!AA8*'3.1 Building Energy'!S20</f>
        <v>0</v>
      </c>
      <c r="Y8" s="533">
        <f ca="1">'2.8 Costs'!AB8*'3.1 Building Energy'!T20</f>
        <v>0</v>
      </c>
      <c r="Z8" s="533">
        <f ca="1">'2.8 Costs'!AC8*'3.1 Building Energy'!U20</f>
        <v>0</v>
      </c>
      <c r="AA8" s="533">
        <f ca="1">'2.8 Costs'!AD8*'3.1 Building Energy'!V20</f>
        <v>0</v>
      </c>
      <c r="AB8" s="533">
        <f ca="1">'2.8 Costs'!AE8*'3.1 Building Energy'!W20</f>
        <v>0</v>
      </c>
      <c r="AC8" s="533">
        <f ca="1">'2.8 Costs'!AF8*'3.1 Building Energy'!X20</f>
        <v>0</v>
      </c>
      <c r="AD8" s="533">
        <f ca="1">'2.8 Costs'!AG8*'3.1 Building Energy'!Y20</f>
        <v>0</v>
      </c>
      <c r="AE8" s="533">
        <f ca="1">'2.8 Costs'!AH8*'3.1 Building Energy'!Z20</f>
        <v>0</v>
      </c>
      <c r="AF8" s="533">
        <f ca="1">'2.8 Costs'!AI8*'3.1 Building Energy'!AA20</f>
        <v>0</v>
      </c>
      <c r="AG8" s="533">
        <f ca="1">'2.8 Costs'!AJ8*'3.1 Building Energy'!AB20</f>
        <v>0</v>
      </c>
      <c r="AH8" s="533">
        <f ca="1">'2.8 Costs'!AK8*'3.1 Building Energy'!AC20</f>
        <v>0</v>
      </c>
      <c r="AI8" s="533">
        <f ca="1">'2.8 Costs'!AL8*'3.1 Building Energy'!AD20</f>
        <v>0</v>
      </c>
      <c r="AJ8" s="533">
        <f ca="1">'2.8 Costs'!AM8*'3.1 Building Energy'!AE20</f>
        <v>0</v>
      </c>
      <c r="AK8" s="533">
        <f ca="1">'2.8 Costs'!AN8*'3.1 Building Energy'!AF20</f>
        <v>0</v>
      </c>
      <c r="AL8" s="533">
        <f ca="1">'2.8 Costs'!AO8*'3.1 Building Energy'!AG20</f>
        <v>0</v>
      </c>
      <c r="AM8" s="533">
        <f ca="1">'2.8 Costs'!AP8*'3.1 Building Energy'!AH20</f>
        <v>0</v>
      </c>
      <c r="AN8" s="533">
        <f ca="1">'2.8 Costs'!AQ8*'3.1 Building Energy'!AI20</f>
        <v>0</v>
      </c>
      <c r="AO8" s="533">
        <f ca="1">'2.8 Costs'!AR8*'3.1 Building Energy'!AJ20</f>
        <v>0</v>
      </c>
      <c r="AP8" s="533">
        <f ca="1">'2.8 Costs'!AS8*'3.1 Building Energy'!AK20</f>
        <v>0</v>
      </c>
    </row>
    <row r="9" spans="2:42">
      <c r="B9" s="180" t="s">
        <v>774</v>
      </c>
      <c r="G9" s="533">
        <f ca="1">'2.8 Costs'!J9*'3.1 Building Energy'!B$20</f>
        <v>314.52959516653345</v>
      </c>
      <c r="H9" s="533">
        <f ca="1">'2.8 Costs'!K9*'3.1 Building Energy'!C$20</f>
        <v>317.09875875721252</v>
      </c>
      <c r="I9" s="533">
        <f ca="1">'2.8 Costs'!L9*'3.1 Building Energy'!D$20</f>
        <v>318.86244426300686</v>
      </c>
      <c r="J9" s="533">
        <f ca="1">'2.8 Costs'!M9*'3.1 Building Energy'!E$20</f>
        <v>320.59254518955424</v>
      </c>
      <c r="K9" s="533">
        <f ca="1">'2.8 Costs'!N9*'3.1 Building Energy'!F$20</f>
        <v>322.29705848129834</v>
      </c>
      <c r="L9" s="533">
        <f ca="1">'2.8 Costs'!O9*'3.1 Building Energy'!G$20</f>
        <v>291.71246620121099</v>
      </c>
      <c r="M9" s="533">
        <f ca="1">'2.8 Costs'!P9*'3.1 Building Energy'!H$20</f>
        <v>281.79231455477918</v>
      </c>
      <c r="N9" s="533">
        <f ca="1">'2.8 Costs'!Q9*'3.1 Building Energy'!I$20</f>
        <v>260.2160118700852</v>
      </c>
      <c r="O9" s="533">
        <f ca="1">'2.8 Costs'!R9*'3.1 Building Energy'!J$20</f>
        <v>255.474804437621</v>
      </c>
      <c r="P9" s="533">
        <f ca="1">'2.8 Costs'!S9*'3.1 Building Energy'!K$20</f>
        <v>247.4425733592993</v>
      </c>
      <c r="Q9" s="533">
        <f ca="1">'2.8 Costs'!T9*'3.1 Building Energy'!L$20</f>
        <v>236.86832520071926</v>
      </c>
      <c r="R9" s="533">
        <f ca="1">'2.8 Costs'!U9*'3.1 Building Energy'!M$20</f>
        <v>221.14332322683236</v>
      </c>
      <c r="S9" s="533">
        <f ca="1">'2.8 Costs'!V9*'3.1 Building Energy'!N$20</f>
        <v>202.63814481361737</v>
      </c>
      <c r="T9" s="533">
        <f ca="1">'2.8 Costs'!W9*'3.1 Building Energy'!O$20</f>
        <v>184.31877611526926</v>
      </c>
      <c r="U9" s="533">
        <f ca="1">'2.8 Costs'!X9*'3.1 Building Energy'!P$20</f>
        <v>166.79839912912223</v>
      </c>
      <c r="V9" s="533">
        <f ca="1">'2.8 Costs'!Y9*'3.1 Building Energy'!Q$20</f>
        <v>188.95753830072795</v>
      </c>
      <c r="W9" s="533">
        <f ca="1">'2.8 Costs'!Z9*'3.1 Building Energy'!R$20</f>
        <v>162.32541396826289</v>
      </c>
      <c r="X9" s="533">
        <f ca="1">'2.8 Costs'!AA9*'3.1 Building Energy'!S$20</f>
        <v>135.78156352847557</v>
      </c>
      <c r="Y9" s="533">
        <f ca="1">'2.8 Costs'!AB9*'3.1 Building Energy'!T$20</f>
        <v>108.93643958902706</v>
      </c>
      <c r="Z9" s="533">
        <f ca="1">'2.8 Costs'!AC9*'3.1 Building Energy'!U$20</f>
        <v>88.708686259960004</v>
      </c>
      <c r="AA9" s="533">
        <f ca="1">'2.8 Costs'!AD9*'3.1 Building Energy'!V$20</f>
        <v>74.615308199412809</v>
      </c>
      <c r="AB9" s="533">
        <f ca="1">'2.8 Costs'!AE9*'3.1 Building Energy'!W$20</f>
        <v>57.108921759217758</v>
      </c>
      <c r="AC9" s="533">
        <f ca="1">'2.8 Costs'!AF9*'3.1 Building Energy'!X$20</f>
        <v>44.132728958030015</v>
      </c>
      <c r="AD9" s="533">
        <f ca="1">'2.8 Costs'!AG9*'3.1 Building Energy'!Y$20</f>
        <v>35.062523680429898</v>
      </c>
      <c r="AE9" s="533">
        <f ca="1">'2.8 Costs'!AH9*'3.1 Building Energy'!Z$20</f>
        <v>31.568591547509335</v>
      </c>
      <c r="AF9" s="533">
        <f ca="1">'2.8 Costs'!AI9*'3.1 Building Energy'!AA$20</f>
        <v>28.190699893625972</v>
      </c>
      <c r="AG9" s="533">
        <f ca="1">'2.8 Costs'!AJ9*'3.1 Building Energy'!AB$20</f>
        <v>24.73022656590404</v>
      </c>
      <c r="AH9" s="533">
        <f ca="1">'2.8 Costs'!AK9*'3.1 Building Energy'!AC$20</f>
        <v>21.41580438073359</v>
      </c>
      <c r="AI9" s="533">
        <f ca="1">'2.8 Costs'!AL9*'3.1 Building Energy'!AD$20</f>
        <v>18.246056013769302</v>
      </c>
      <c r="AJ9" s="533">
        <f ca="1">'2.8 Costs'!AM9*'3.1 Building Energy'!AE$20</f>
        <v>15.2196265451492</v>
      </c>
      <c r="AK9" s="533">
        <f ca="1">'2.8 Costs'!AN9*'3.1 Building Energy'!AF$20</f>
        <v>12.335210071367545</v>
      </c>
      <c r="AL9" s="533">
        <f ca="1">'2.8 Costs'!AO9*'3.1 Building Energy'!AG$20</f>
        <v>9.8642406514019836</v>
      </c>
      <c r="AM9" s="533">
        <f ca="1">'2.8 Costs'!AP9*'3.1 Building Energy'!AH$20</f>
        <v>7.3970444962147512</v>
      </c>
      <c r="AN9" s="533">
        <f ca="1">'2.8 Costs'!AQ9*'3.1 Building Energy'!AI$20</f>
        <v>4.9318163332175864</v>
      </c>
      <c r="AO9" s="533">
        <f ca="1">'2.8 Costs'!AR9*'3.1 Building Energy'!AJ$20</f>
        <v>2.4667417837141503</v>
      </c>
      <c r="AP9" s="533">
        <f ca="1">'2.8 Costs'!AS9*'3.1 Building Energy'!AK$20</f>
        <v>0</v>
      </c>
    </row>
    <row r="10" spans="2:42">
      <c r="B10" s="180" t="s">
        <v>218</v>
      </c>
      <c r="G10" s="533">
        <f ca="1">'2.8 Costs'!J10*'3.1 Building Energy'!B$20</f>
        <v>12.79995359614284</v>
      </c>
      <c r="H10" s="533">
        <f ca="1">'2.8 Costs'!K10*'3.1 Building Energy'!C$20</f>
        <v>13.024033297291856</v>
      </c>
      <c r="I10" s="533">
        <f ca="1">'2.8 Costs'!L10*'3.1 Building Energy'!D$20</f>
        <v>13.221582562047457</v>
      </c>
      <c r="J10" s="533">
        <f ca="1">'2.8 Costs'!M10*'3.1 Building Energy'!E$20</f>
        <v>13.416305753670585</v>
      </c>
      <c r="K10" s="533">
        <f ca="1">'2.8 Costs'!N10*'3.1 Building Energy'!F$20</f>
        <v>13.608951429489894</v>
      </c>
      <c r="L10" s="533">
        <f ca="1">'2.8 Costs'!O10*'3.1 Building Energy'!G$20</f>
        <v>12.782195479149998</v>
      </c>
      <c r="M10" s="533">
        <f ca="1">'2.8 Costs'!P10*'3.1 Building Energy'!H$20</f>
        <v>12.575233412585071</v>
      </c>
      <c r="N10" s="533">
        <f ca="1">'2.8 Costs'!Q10*'3.1 Building Energy'!I$20</f>
        <v>11.904475168064851</v>
      </c>
      <c r="O10" s="533">
        <f ca="1">'2.8 Costs'!R10*'3.1 Building Energy'!J$20</f>
        <v>11.691013042281316</v>
      </c>
      <c r="P10" s="533">
        <f ca="1">'2.8 Costs'!S10*'3.1 Building Energy'!K$20</f>
        <v>11.309611753608293</v>
      </c>
      <c r="Q10" s="533">
        <f ca="1">'2.8 Costs'!T10*'3.1 Building Energy'!L$20</f>
        <v>10.804440807038505</v>
      </c>
      <c r="R10" s="533">
        <f ca="1">'2.8 Costs'!U10*'3.1 Building Energy'!M$20</f>
        <v>9.9854007612352529</v>
      </c>
      <c r="S10" s="533">
        <f ca="1">'2.8 Costs'!V10*'3.1 Building Energy'!N$20</f>
        <v>9.1692580359888609</v>
      </c>
      <c r="T10" s="533">
        <f ca="1">'2.8 Costs'!W10*'3.1 Building Energy'!O$20</f>
        <v>8.3693141600784617</v>
      </c>
      <c r="U10" s="533">
        <f ca="1">'2.8 Costs'!X10*'3.1 Building Energy'!P$20</f>
        <v>7.5991730209989914</v>
      </c>
      <c r="V10" s="533">
        <f ca="1">'2.8 Costs'!Y10*'3.1 Building Energy'!Q$20</f>
        <v>8.1223954675675873</v>
      </c>
      <c r="W10" s="533">
        <f ca="1">'2.8 Costs'!Z10*'3.1 Building Energy'!R$20</f>
        <v>7.2002687538749237</v>
      </c>
      <c r="X10" s="533">
        <f ca="1">'2.8 Costs'!AA10*'3.1 Building Energy'!S$20</f>
        <v>6.2398587888315662</v>
      </c>
      <c r="Y10" s="533">
        <f ca="1">'2.8 Costs'!AB10*'3.1 Building Energy'!T$20</f>
        <v>5.1687645561523707</v>
      </c>
      <c r="Z10" s="533">
        <f ca="1">'2.8 Costs'!AC10*'3.1 Building Energy'!U$20</f>
        <v>4.262531926143712</v>
      </c>
      <c r="AA10" s="533">
        <f ca="1">'2.8 Costs'!AD10*'3.1 Building Energy'!V$20</f>
        <v>3.5531706713219608</v>
      </c>
      <c r="AB10" s="533">
        <f ca="1">'2.8 Costs'!AE10*'3.1 Building Energy'!W$20</f>
        <v>15.425212054445177</v>
      </c>
      <c r="AC10" s="533">
        <f ca="1">'2.8 Costs'!AF10*'3.1 Building Energy'!X$20</f>
        <v>12.854933164908164</v>
      </c>
      <c r="AD10" s="533">
        <f ca="1">'2.8 Costs'!AG10*'3.1 Building Energy'!Y$20</f>
        <v>12.11584089157949</v>
      </c>
      <c r="AE10" s="533">
        <f ca="1">'2.8 Costs'!AH10*'3.1 Building Energy'!Z$20</f>
        <v>17.955369582108037</v>
      </c>
      <c r="AF10" s="533">
        <f ca="1">'2.8 Costs'!AI10*'3.1 Building Energy'!AA$20</f>
        <v>19.213835550516741</v>
      </c>
      <c r="AG10" s="533">
        <f ca="1">'2.8 Costs'!AJ10*'3.1 Building Energy'!AB$20</f>
        <v>19.735690957575635</v>
      </c>
      <c r="AH10" s="533">
        <f ca="1">'2.8 Costs'!AK10*'3.1 Building Energy'!AC$20</f>
        <v>20.589244495659333</v>
      </c>
      <c r="AI10" s="533">
        <f ca="1">'2.8 Costs'!AL10*'3.1 Building Energy'!AD$20</f>
        <v>21.360471683380659</v>
      </c>
      <c r="AJ10" s="533">
        <f ca="1">'2.8 Costs'!AM10*'3.1 Building Energy'!AE$20</f>
        <v>22.049894684866157</v>
      </c>
      <c r="AK10" s="533">
        <f ca="1">'2.8 Costs'!AN10*'3.1 Building Energy'!AF$20</f>
        <v>22.65820195243575</v>
      </c>
      <c r="AL10" s="533">
        <f ca="1">'2.8 Costs'!AO10*'3.1 Building Energy'!AG$20</f>
        <v>26.584469646544552</v>
      </c>
      <c r="AM10" s="533">
        <f ca="1">'2.8 Costs'!AP10*'3.1 Building Energy'!AH$20</f>
        <v>28.118478931393955</v>
      </c>
      <c r="AN10" s="533">
        <f ca="1">'2.8 Costs'!AQ10*'3.1 Building Energy'!AI$20</f>
        <v>29.663644643396953</v>
      </c>
      <c r="AO10" s="533">
        <f ca="1">'2.8 Costs'!AR10*'3.1 Building Energy'!AJ$20</f>
        <v>31.221094085206563</v>
      </c>
      <c r="AP10" s="533">
        <f ca="1">'2.8 Costs'!AS10*'3.1 Building Energy'!AK$20</f>
        <v>32.792168382569024</v>
      </c>
    </row>
    <row r="11" spans="2:42">
      <c r="B11" s="180" t="s">
        <v>824</v>
      </c>
      <c r="G11" s="533">
        <f ca="1">'2.8 Costs'!J11*'3.1 Building Energy'!B$22</f>
        <v>0</v>
      </c>
      <c r="H11" s="533">
        <f ca="1">'2.8 Costs'!K11*'3.1 Building Energy'!C22</f>
        <v>0</v>
      </c>
      <c r="I11" s="533">
        <f ca="1">'2.8 Costs'!L11*'3.1 Building Energy'!D22</f>
        <v>0</v>
      </c>
      <c r="J11" s="533">
        <f ca="1">'2.8 Costs'!M11*'3.1 Building Energy'!E22</f>
        <v>0</v>
      </c>
      <c r="K11" s="533">
        <f ca="1">'2.8 Costs'!N11*'3.1 Building Energy'!F22</f>
        <v>0</v>
      </c>
      <c r="L11" s="533">
        <f ca="1">'2.8 Costs'!O11*'3.1 Building Energy'!G22</f>
        <v>0</v>
      </c>
      <c r="M11" s="533">
        <f ca="1">'2.8 Costs'!P11*'3.1 Building Energy'!H22</f>
        <v>4.1641930656979014</v>
      </c>
      <c r="N11" s="533">
        <f ca="1">'2.8 Costs'!Q11*'3.1 Building Energy'!I22</f>
        <v>5.1102499732261988</v>
      </c>
      <c r="O11" s="533">
        <f ca="1">'2.8 Costs'!R11*'3.1 Building Energy'!J22</f>
        <v>6.0836767772027134</v>
      </c>
      <c r="P11" s="533">
        <f ca="1">'2.8 Costs'!S11*'3.1 Building Energy'!K22</f>
        <v>7.0688878947985705</v>
      </c>
      <c r="Q11" s="533">
        <f ca="1">'2.8 Costs'!T11*'3.1 Building Energy'!L22</f>
        <v>8.0396849230710679</v>
      </c>
      <c r="R11" s="533">
        <f ca="1">'2.8 Costs'!U11*'3.1 Building Energy'!M22</f>
        <v>4.7730473569582257</v>
      </c>
      <c r="S11" s="533">
        <f ca="1">'2.8 Costs'!V11*'3.1 Building Energy'!N22</f>
        <v>4.8108169712003663</v>
      </c>
      <c r="T11" s="533">
        <f ca="1">'2.8 Costs'!W11*'3.1 Building Energy'!O22</f>
        <v>4.8211421554388654</v>
      </c>
      <c r="U11" s="533">
        <f ca="1">'2.8 Costs'!X11*'3.1 Building Energy'!P22</f>
        <v>16.102153572338121</v>
      </c>
      <c r="V11" s="533">
        <f ca="1">'2.8 Costs'!Y11*'3.1 Building Energy'!Q22</f>
        <v>25.486079285899102</v>
      </c>
      <c r="W11" s="533">
        <f ca="1">'2.8 Costs'!Z11*'3.1 Building Energy'!R22</f>
        <v>27.29714686675689</v>
      </c>
      <c r="X11" s="533">
        <f ca="1">'2.8 Costs'!AA11*'3.1 Building Energy'!S22</f>
        <v>27.62362860262493</v>
      </c>
      <c r="Y11" s="533">
        <f ca="1">'2.8 Costs'!AB11*'3.1 Building Energy'!T22</f>
        <v>27.925663876685718</v>
      </c>
      <c r="Z11" s="533">
        <f ca="1">'2.8 Costs'!AC11*'3.1 Building Energy'!U22</f>
        <v>28.250590967290215</v>
      </c>
      <c r="AA11" s="533">
        <f ca="1">'2.8 Costs'!AD11*'3.1 Building Energy'!V22</f>
        <v>21.24663152162249</v>
      </c>
      <c r="AB11" s="533">
        <f ca="1">'2.8 Costs'!AE11*'3.1 Building Energy'!W22</f>
        <v>28.572457312050691</v>
      </c>
      <c r="AC11" s="533">
        <f ca="1">'2.8 Costs'!AF11*'3.1 Building Energy'!X22</f>
        <v>28.575732294070594</v>
      </c>
      <c r="AD11" s="533">
        <f ca="1">'2.8 Costs'!AG11*'3.1 Building Energy'!Y22</f>
        <v>28.521427514613311</v>
      </c>
      <c r="AE11" s="533">
        <f ca="1">'2.8 Costs'!AH11*'3.1 Building Energy'!Z22</f>
        <v>28.409571465215944</v>
      </c>
      <c r="AF11" s="533">
        <f ca="1">'2.8 Costs'!AI11*'3.1 Building Energy'!AA22</f>
        <v>27.604429705779953</v>
      </c>
      <c r="AG11" s="533">
        <f ca="1">'2.8 Costs'!AJ11*'3.1 Building Energy'!AB22</f>
        <v>26.980661879582534</v>
      </c>
      <c r="AH11" s="533">
        <f ca="1">'2.8 Costs'!AK11*'3.1 Building Energy'!AC22</f>
        <v>26.454339420083755</v>
      </c>
      <c r="AI11" s="533">
        <f ca="1">'2.8 Costs'!AL11*'3.1 Building Energy'!AD22</f>
        <v>25.895958541640773</v>
      </c>
      <c r="AJ11" s="533">
        <f ca="1">'2.8 Costs'!AM11*'3.1 Building Energy'!AE22</f>
        <v>23.531613483318434</v>
      </c>
      <c r="AK11" s="533">
        <f ca="1">'2.8 Costs'!AN11*'3.1 Building Energy'!AF22</f>
        <v>10.05388331541781</v>
      </c>
      <c r="AL11" s="533">
        <f ca="1">'2.8 Costs'!AO11*'3.1 Building Energy'!AG22</f>
        <v>9.2924583587461562</v>
      </c>
      <c r="AM11" s="533">
        <f ca="1">'2.8 Costs'!AP11*'3.1 Building Energy'!AH22</f>
        <v>8.5705965206328152</v>
      </c>
      <c r="AN11" s="533">
        <f ca="1">'2.8 Costs'!AQ11*'3.1 Building Energy'!AI22</f>
        <v>7.2920837721579854</v>
      </c>
      <c r="AO11" s="533">
        <f ca="1">'2.8 Costs'!AR11*'3.1 Building Energy'!AJ22</f>
        <v>6.3628638760519873</v>
      </c>
      <c r="AP11" s="533">
        <f ca="1">'2.8 Costs'!AS11*'3.1 Building Energy'!AK22</f>
        <v>5.5059767718764316</v>
      </c>
    </row>
    <row r="12" spans="2:42">
      <c r="B12" s="180" t="s">
        <v>825</v>
      </c>
      <c r="G12" s="533">
        <f ca="1">'2.8 Costs'!J12*'3.1 Building Energy'!B$22</f>
        <v>0</v>
      </c>
      <c r="H12" s="533">
        <f ca="1">'2.8 Costs'!K12*'3.1 Building Energy'!C$22</f>
        <v>1.0015569591829988E-2</v>
      </c>
      <c r="I12" s="533">
        <f ca="1">'2.8 Costs'!L12*'3.1 Building Energy'!D$22</f>
        <v>1.0015569591829988E-2</v>
      </c>
      <c r="J12" s="533">
        <f ca="1">'2.8 Costs'!M12*'3.1 Building Energy'!E$22</f>
        <v>1.0015569591829991E-2</v>
      </c>
      <c r="K12" s="533">
        <f ca="1">'2.8 Costs'!N12*'3.1 Building Energy'!F$22</f>
        <v>1.0015569591829983E-2</v>
      </c>
      <c r="L12" s="533">
        <f ca="1">'2.8 Costs'!O12*'3.1 Building Energy'!G$22</f>
        <v>0</v>
      </c>
      <c r="M12" s="533">
        <f ca="1">'2.8 Costs'!P12*'3.1 Building Energy'!H$22</f>
        <v>0</v>
      </c>
      <c r="N12" s="533">
        <f ca="1">'2.8 Costs'!Q12*'3.1 Building Energy'!I$22</f>
        <v>0</v>
      </c>
      <c r="O12" s="533">
        <f ca="1">'2.8 Costs'!R12*'3.1 Building Energy'!J$22</f>
        <v>0</v>
      </c>
      <c r="P12" s="533">
        <f ca="1">'2.8 Costs'!S12*'3.1 Building Energy'!K$22</f>
        <v>0</v>
      </c>
      <c r="Q12" s="533">
        <f ca="1">'2.8 Costs'!T12*'3.1 Building Energy'!L$22</f>
        <v>0</v>
      </c>
      <c r="R12" s="533">
        <f ca="1">'2.8 Costs'!U12*'3.1 Building Energy'!M$22</f>
        <v>0</v>
      </c>
      <c r="S12" s="533">
        <f ca="1">'2.8 Costs'!V12*'3.1 Building Energy'!N$22</f>
        <v>0</v>
      </c>
      <c r="T12" s="533">
        <f ca="1">'2.8 Costs'!W12*'3.1 Building Energy'!O$22</f>
        <v>0</v>
      </c>
      <c r="U12" s="533">
        <f ca="1">'2.8 Costs'!X12*'3.1 Building Energy'!P$22</f>
        <v>0</v>
      </c>
      <c r="V12" s="533">
        <f ca="1">'2.8 Costs'!Y12*'3.1 Building Energy'!Q$22</f>
        <v>0</v>
      </c>
      <c r="W12" s="533">
        <f ca="1">'2.8 Costs'!Z12*'3.1 Building Energy'!R$22</f>
        <v>0</v>
      </c>
      <c r="X12" s="533">
        <f ca="1">'2.8 Costs'!AA12*'3.1 Building Energy'!S$22</f>
        <v>0</v>
      </c>
      <c r="Y12" s="533">
        <f ca="1">'2.8 Costs'!AB12*'3.1 Building Energy'!T$22</f>
        <v>0.40642754090556998</v>
      </c>
      <c r="Z12" s="533">
        <f ca="1">'2.8 Costs'!AC12*'3.1 Building Energy'!U$22</f>
        <v>14.100364920970332</v>
      </c>
      <c r="AA12" s="533">
        <f ca="1">'2.8 Costs'!AD12*'3.1 Building Energy'!V$22</f>
        <v>30.589619591688251</v>
      </c>
      <c r="AB12" s="533">
        <f ca="1">'2.8 Costs'!AE12*'3.1 Building Energy'!W$22</f>
        <v>30.589619591688255</v>
      </c>
      <c r="AC12" s="533">
        <f ca="1">'2.8 Costs'!AF12*'3.1 Building Energy'!X$22</f>
        <v>30.589619591688123</v>
      </c>
      <c r="AD12" s="533">
        <f ca="1">'2.8 Costs'!AG12*'3.1 Building Energy'!Y$22</f>
        <v>30.589619591688258</v>
      </c>
      <c r="AE12" s="533">
        <f ca="1">'2.8 Costs'!AH12*'3.1 Building Energy'!Z$22</f>
        <v>30.589619591688251</v>
      </c>
      <c r="AF12" s="533">
        <f ca="1">'2.8 Costs'!AI12*'3.1 Building Energy'!AA$22</f>
        <v>23.585599486600632</v>
      </c>
      <c r="AG12" s="533">
        <f ca="1">'2.8 Costs'!AJ12*'3.1 Building Energy'!AB$22</f>
        <v>23.585599486600618</v>
      </c>
      <c r="AH12" s="533">
        <f ca="1">'2.8 Costs'!AK12*'3.1 Building Energy'!AC$22</f>
        <v>23.585599486600625</v>
      </c>
      <c r="AI12" s="533">
        <f ca="1">'2.8 Costs'!AL12*'3.1 Building Energy'!AD$22</f>
        <v>23.585599486600618</v>
      </c>
      <c r="AJ12" s="533">
        <f ca="1">'2.8 Costs'!AM12*'3.1 Building Energy'!AE$22</f>
        <v>23.585599486600632</v>
      </c>
      <c r="AK12" s="533">
        <f ca="1">'2.8 Costs'!AN12*'3.1 Building Energy'!AF$22</f>
        <v>25.571920061493508</v>
      </c>
      <c r="AL12" s="533">
        <f ca="1">'2.8 Costs'!AO12*'3.1 Building Energy'!AG$22</f>
        <v>25.571920061493508</v>
      </c>
      <c r="AM12" s="533">
        <f ca="1">'2.8 Costs'!AP12*'3.1 Building Energy'!AH$22</f>
        <v>25.571920061493405</v>
      </c>
      <c r="AN12" s="533">
        <f ca="1">'2.8 Costs'!AQ12*'3.1 Building Energy'!AI$22</f>
        <v>25.57192006149349</v>
      </c>
      <c r="AO12" s="533">
        <f ca="1">'2.8 Costs'!AR12*'3.1 Building Energy'!AJ$22</f>
        <v>25.571920061493515</v>
      </c>
      <c r="AP12" s="533">
        <f ca="1">'2.8 Costs'!AS12*'3.1 Building Energy'!AK$22</f>
        <v>0</v>
      </c>
    </row>
    <row r="13" spans="2:42">
      <c r="B13" s="180" t="s">
        <v>826</v>
      </c>
      <c r="G13" s="533">
        <f ca="1">'2.8 Costs'!J13*Transport!O$15</f>
        <v>0</v>
      </c>
      <c r="H13" s="533">
        <f ca="1">'2.8 Costs'!K13*Transport!P$15</f>
        <v>0</v>
      </c>
      <c r="I13" s="533">
        <f ca="1">'2.8 Costs'!L13*Transport!Q$15</f>
        <v>0</v>
      </c>
      <c r="J13" s="533">
        <f ca="1">'2.8 Costs'!M13*Transport!R$15</f>
        <v>10.344136072243892</v>
      </c>
      <c r="K13" s="533">
        <f ca="1">'2.8 Costs'!N13*Transport!S$15</f>
        <v>3.9545137064952383</v>
      </c>
      <c r="L13" s="533">
        <f ca="1">'2.8 Costs'!O13*Transport!T$15</f>
        <v>8.9887687406738976</v>
      </c>
      <c r="M13" s="533">
        <f ca="1">'2.8 Costs'!P13*Transport!U$15</f>
        <v>16.240594984755166</v>
      </c>
      <c r="N13" s="533">
        <f ca="1">'2.8 Costs'!Q13*Transport!V$15</f>
        <v>36.479253902064045</v>
      </c>
      <c r="O13" s="533">
        <f ca="1">'2.8 Costs'!R13*Transport!W$15</f>
        <v>43.010442116132424</v>
      </c>
      <c r="P13" s="533">
        <f ca="1">'2.8 Costs'!S13*Transport!X$15</f>
        <v>41.658928591469881</v>
      </c>
      <c r="Q13" s="533">
        <f ca="1">'2.8 Costs'!T13*Transport!Y$15</f>
        <v>47.846034924639326</v>
      </c>
      <c r="R13" s="533">
        <f ca="1">'2.8 Costs'!U13*Transport!Z$15</f>
        <v>48.244001510947584</v>
      </c>
      <c r="S13" s="533">
        <f ca="1">'2.8 Costs'!V13*Transport!AA$15</f>
        <v>50.807308675971193</v>
      </c>
      <c r="T13" s="533">
        <f ca="1">'2.8 Costs'!W13*Transport!AB$15</f>
        <v>48.776615149783119</v>
      </c>
      <c r="U13" s="533">
        <f ca="1">'2.8 Costs'!X13*Transport!AC$15</f>
        <v>46.699291028752782</v>
      </c>
      <c r="V13" s="533">
        <f ca="1">'2.8 Costs'!Y13*Transport!AD$15</f>
        <v>44.842076139000305</v>
      </c>
      <c r="W13" s="533">
        <f ca="1">'2.8 Costs'!Z13*Transport!AE$15</f>
        <v>39.762963299874997</v>
      </c>
      <c r="X13" s="533">
        <f ca="1">'2.8 Costs'!AA13*Transport!AF$15</f>
        <v>35.265346199286022</v>
      </c>
      <c r="Y13" s="533">
        <f ca="1">'2.8 Costs'!AB13*Transport!AG$15</f>
        <v>40.245249352918549</v>
      </c>
      <c r="Z13" s="533">
        <f ca="1">'2.8 Costs'!AC13*Transport!AH$15</f>
        <v>30.818871642062653</v>
      </c>
      <c r="AA13" s="533">
        <f ca="1">'2.8 Costs'!AD13*Transport!AI$15</f>
        <v>30.625262923554072</v>
      </c>
      <c r="AB13" s="533">
        <f ca="1">'2.8 Costs'!AE13*Transport!AJ$15</f>
        <v>27.488431203405625</v>
      </c>
      <c r="AC13" s="533">
        <f ca="1">'2.8 Costs'!AF13*Transport!AK$15</f>
        <v>46.865413077509679</v>
      </c>
      <c r="AD13" s="533">
        <f ca="1">'2.8 Costs'!AG13*Transport!AL$15</f>
        <v>49.281179193354347</v>
      </c>
      <c r="AE13" s="533">
        <f ca="1">'2.8 Costs'!AH13*Transport!AM$15</f>
        <v>47.04544738519327</v>
      </c>
      <c r="AF13" s="533">
        <f ca="1">'2.8 Costs'!AI13*Transport!AN$15</f>
        <v>50.36252313628944</v>
      </c>
      <c r="AG13" s="533">
        <f ca="1">'2.8 Costs'!AJ13*Transport!AO$15</f>
        <v>53.058731068923315</v>
      </c>
      <c r="AH13" s="533">
        <f ca="1">'2.8 Costs'!AK13*Transport!AP$15</f>
        <v>54.703670838154963</v>
      </c>
      <c r="AI13" s="533">
        <f ca="1">'2.8 Costs'!AL13*Transport!AQ$15</f>
        <v>52.701574757131986</v>
      </c>
      <c r="AJ13" s="533">
        <f ca="1">'2.8 Costs'!AM13*Transport!AR$15</f>
        <v>50.921109005943514</v>
      </c>
      <c r="AK13" s="533">
        <f ca="1">'2.8 Costs'!AN13*Transport!AS$15</f>
        <v>49.387950603027001</v>
      </c>
      <c r="AL13" s="533">
        <f ca="1">'2.8 Costs'!AO13*Transport!AT$15</f>
        <v>40.395792145792996</v>
      </c>
      <c r="AM13" s="533">
        <f ca="1">'2.8 Costs'!AP13*Transport!AU$15</f>
        <v>36.177378923120088</v>
      </c>
      <c r="AN13" s="533">
        <f ca="1">'2.8 Costs'!AQ13*Transport!AV$15</f>
        <v>33.657782156869857</v>
      </c>
      <c r="AO13" s="533">
        <f ca="1">'2.8 Costs'!AR13*Transport!AW$15</f>
        <v>29.430669211613619</v>
      </c>
      <c r="AP13" s="533">
        <f ca="1">'2.8 Costs'!AS13*Transport!AX$15</f>
        <v>26.356813042169765</v>
      </c>
    </row>
    <row r="14" spans="2:42">
      <c r="B14" s="180" t="s">
        <v>827</v>
      </c>
      <c r="G14" s="533">
        <f ca="1">'2.8 Costs'!J14*Transport!O$15</f>
        <v>0</v>
      </c>
      <c r="H14" s="533">
        <f ca="1">'2.8 Costs'!K14*Transport!P$15</f>
        <v>0</v>
      </c>
      <c r="I14" s="533">
        <f ca="1">'2.8 Costs'!L14*Transport!Q$15</f>
        <v>0</v>
      </c>
      <c r="J14" s="533">
        <f ca="1">'2.8 Costs'!M14*Transport!R$15</f>
        <v>0</v>
      </c>
      <c r="K14" s="533">
        <f ca="1">'2.8 Costs'!N14*Transport!S$15</f>
        <v>0</v>
      </c>
      <c r="L14" s="533">
        <f ca="1">'2.8 Costs'!O14*Transport!T$15</f>
        <v>0.24107485067850767</v>
      </c>
      <c r="M14" s="533">
        <f ca="1">'2.8 Costs'!P14*Transport!U$15</f>
        <v>0</v>
      </c>
      <c r="N14" s="533">
        <f ca="1">'2.8 Costs'!Q14*Transport!V$15</f>
        <v>0</v>
      </c>
      <c r="O14" s="533">
        <f ca="1">'2.8 Costs'!R14*Transport!W$15</f>
        <v>0</v>
      </c>
      <c r="P14" s="533">
        <f ca="1">'2.8 Costs'!S14*Transport!X$15</f>
        <v>0</v>
      </c>
      <c r="Q14" s="533">
        <f ca="1">'2.8 Costs'!T14*Transport!Y$15</f>
        <v>0.22393200191612911</v>
      </c>
      <c r="R14" s="533">
        <f ca="1">'2.8 Costs'!U14*Transport!Z$15</f>
        <v>1.4444640492725231</v>
      </c>
      <c r="S14" s="533">
        <f ca="1">'2.8 Costs'!V14*Transport!AA$15</f>
        <v>0.99402543952473921</v>
      </c>
      <c r="T14" s="533">
        <f ca="1">'2.8 Costs'!W14*Transport!AB$15</f>
        <v>0.21285877838125988</v>
      </c>
      <c r="U14" s="533">
        <f ca="1">'2.8 Costs'!X14*Transport!AC$15</f>
        <v>0.20917075363498941</v>
      </c>
      <c r="V14" s="533">
        <f ca="1">'2.8 Costs'!Y14*Transport!AD$15</f>
        <v>0</v>
      </c>
      <c r="W14" s="533">
        <f ca="1">'2.8 Costs'!Z14*Transport!AE$15</f>
        <v>0.21515413595156632</v>
      </c>
      <c r="X14" s="533">
        <f ca="1">'2.8 Costs'!AA14*Transport!AF$15</f>
        <v>1.4476569484531419</v>
      </c>
      <c r="Y14" s="533">
        <f ca="1">'2.8 Costs'!AB14*Transport!AG$15</f>
        <v>0.23449383356519027</v>
      </c>
      <c r="Z14" s="533">
        <f ca="1">'2.8 Costs'!AC14*Transport!AH$15</f>
        <v>0.24416368237200223</v>
      </c>
      <c r="AA14" s="533">
        <f ca="1">'2.8 Costs'!AD14*Transport!AI$15</f>
        <v>0.50766706235762837</v>
      </c>
      <c r="AB14" s="533">
        <f ca="1">'2.8 Costs'!AE14*Transport!AJ$15</f>
        <v>0.26350337998562617</v>
      </c>
      <c r="AC14" s="533">
        <f ca="1">'2.8 Costs'!AF14*Transport!AK$15</f>
        <v>0.81951968637731443</v>
      </c>
      <c r="AD14" s="533">
        <f ca="1">'2.8 Costs'!AG14*Transport!AL$15</f>
        <v>0.28284307759925009</v>
      </c>
      <c r="AE14" s="533">
        <f ca="1">'2.8 Costs'!AH14*Transport!AM$15</f>
        <v>0.58502585281212416</v>
      </c>
      <c r="AF14" s="533">
        <f ca="1">'2.8 Costs'!AI14*Transport!AN$15</f>
        <v>2.4315640645462597</v>
      </c>
      <c r="AG14" s="533">
        <f ca="1">'2.8 Costs'!AJ14*Transport!AO$15</f>
        <v>1.2087311008514963</v>
      </c>
      <c r="AH14" s="533">
        <f ca="1">'2.8 Costs'!AK14*Transport!AP$15</f>
        <v>1.5109138760643703</v>
      </c>
      <c r="AI14" s="533">
        <f ca="1">'2.8 Costs'!AL14*Transport!AQ$15</f>
        <v>1.2087311008514963</v>
      </c>
      <c r="AJ14" s="533">
        <f ca="1">'2.8 Costs'!AM14*Transport!AR$15</f>
        <v>1.5109138760643703</v>
      </c>
      <c r="AK14" s="533">
        <f ca="1">'2.8 Costs'!AN14*Transport!AS$15</f>
        <v>1.5109138760643703</v>
      </c>
      <c r="AL14" s="533">
        <f ca="1">'2.8 Costs'!AO14*Transport!AT$15</f>
        <v>3.0359296149720079</v>
      </c>
      <c r="AM14" s="533">
        <f ca="1">'2.8 Costs'!AP14*Transport!AU$15</f>
        <v>2.2019051553844755</v>
      </c>
      <c r="AN14" s="533">
        <f ca="1">'2.8 Costs'!AQ14*Transport!AV$15</f>
        <v>1.8130966512772442</v>
      </c>
      <c r="AO14" s="533">
        <f ca="1">'2.8 Costs'!AR14*Transport!AW$15</f>
        <v>1.2087311008514963</v>
      </c>
      <c r="AP14" s="533">
        <f ca="1">'2.8 Costs'!AS14*Transport!AX$15</f>
        <v>1.2087311008514963</v>
      </c>
    </row>
    <row r="15" spans="2:42">
      <c r="B15" s="180" t="s">
        <v>828</v>
      </c>
      <c r="G15" s="533">
        <f ca="1">'2.8 Costs'!J15*'3.1 Building Energy'!B20</f>
        <v>808.74728579924101</v>
      </c>
      <c r="H15" s="533">
        <f ca="1">'2.8 Costs'!K15*'3.1 Building Energy'!C20</f>
        <v>711.82590710974671</v>
      </c>
      <c r="I15" s="533">
        <f ca="1">'2.8 Costs'!L15*'3.1 Building Energy'!D20</f>
        <v>670.1906807325131</v>
      </c>
      <c r="J15" s="533">
        <f ca="1">'2.8 Costs'!M15*'3.1 Building Energy'!E20</f>
        <v>684.68116758467465</v>
      </c>
      <c r="K15" s="533">
        <f ca="1">'2.8 Costs'!N15*'3.1 Building Energy'!F20</f>
        <v>689.0534618584868</v>
      </c>
      <c r="L15" s="533">
        <f ca="1">'2.8 Costs'!O15*'3.1 Building Energy'!G20</f>
        <v>612.34857083685961</v>
      </c>
      <c r="M15" s="533">
        <f ca="1">'2.8 Costs'!P15*'3.1 Building Energy'!H20</f>
        <v>647.26198822933202</v>
      </c>
      <c r="N15" s="533">
        <f ca="1">'2.8 Costs'!Q15*'3.1 Building Energy'!I20</f>
        <v>646.7178237559292</v>
      </c>
      <c r="O15" s="533">
        <f ca="1">'2.8 Costs'!R15*'3.1 Building Energy'!J20</f>
        <v>614.84959960454614</v>
      </c>
      <c r="P15" s="533">
        <f ca="1">'2.8 Costs'!S15*'3.1 Building Energy'!K20</f>
        <v>571.46575220052785</v>
      </c>
      <c r="Q15" s="533">
        <f ca="1">'2.8 Costs'!T15*'3.1 Building Energy'!L20</f>
        <v>526.10973076689561</v>
      </c>
      <c r="R15" s="533">
        <f ca="1">'2.8 Costs'!U15*'3.1 Building Energy'!M20</f>
        <v>472.76428234028646</v>
      </c>
      <c r="S15" s="533">
        <f ca="1">'2.8 Costs'!V15*'3.1 Building Energy'!N20</f>
        <v>418.13556937149809</v>
      </c>
      <c r="T15" s="533">
        <f ca="1">'2.8 Costs'!W15*'3.1 Building Energy'!O20</f>
        <v>370.00116485613142</v>
      </c>
      <c r="U15" s="533">
        <f ca="1">'2.8 Costs'!X15*'3.1 Building Energy'!P20</f>
        <v>328.31142152693513</v>
      </c>
      <c r="V15" s="533">
        <f ca="1">'2.8 Costs'!Y15*'3.1 Building Energy'!Q20</f>
        <v>293.77356324555643</v>
      </c>
      <c r="W15" s="533">
        <f ca="1">'2.8 Costs'!Z15*'3.1 Building Energy'!R20</f>
        <v>261.51563860852315</v>
      </c>
      <c r="X15" s="533">
        <f ca="1">'2.8 Costs'!AA15*'3.1 Building Energy'!S20</f>
        <v>230.88727935885353</v>
      </c>
      <c r="Y15" s="533">
        <f ca="1">'2.8 Costs'!AB15*'3.1 Building Energy'!T20</f>
        <v>201.81617300172925</v>
      </c>
      <c r="Z15" s="533">
        <f ca="1">'2.8 Costs'!AC15*'3.1 Building Energy'!U20</f>
        <v>174.47382401081069</v>
      </c>
      <c r="AA15" s="533">
        <f ca="1">'2.8 Costs'!AD15*'3.1 Building Energy'!V20</f>
        <v>151.18222191869907</v>
      </c>
      <c r="AB15" s="533">
        <f ca="1">'2.8 Costs'!AE15*'3.1 Building Energy'!W20</f>
        <v>121.68437165590986</v>
      </c>
      <c r="AC15" s="533">
        <f ca="1">'2.8 Costs'!AF15*'3.1 Building Energy'!X20</f>
        <v>99.289663162168097</v>
      </c>
      <c r="AD15" s="533">
        <f ca="1">'2.8 Costs'!AG15*'3.1 Building Energy'!Y20</f>
        <v>83.723470923298677</v>
      </c>
      <c r="AE15" s="533">
        <f ca="1">'2.8 Costs'!AH15*'3.1 Building Energy'!Z20</f>
        <v>77.855246979263413</v>
      </c>
      <c r="AF15" s="533">
        <f ca="1">'2.8 Costs'!AI15*'3.1 Building Energy'!AA20</f>
        <v>72.18532591696254</v>
      </c>
      <c r="AG15" s="533">
        <f ca="1">'2.8 Costs'!AJ15*'3.1 Building Energy'!AB20</f>
        <v>66.431034127342059</v>
      </c>
      <c r="AH15" s="533">
        <f ca="1">'2.8 Costs'!AK15*'3.1 Building Energy'!AC20</f>
        <v>60.965772530441271</v>
      </c>
      <c r="AI15" s="533">
        <f ca="1">'2.8 Costs'!AL15*'3.1 Building Energy'!AD20</f>
        <v>55.786211558231564</v>
      </c>
      <c r="AJ15" s="533">
        <f ca="1">'2.8 Costs'!AM15*'3.1 Building Energy'!AE20</f>
        <v>50.889028306398558</v>
      </c>
      <c r="AK15" s="533">
        <f ca="1">'2.8 Costs'!AN15*'3.1 Building Energy'!AF20</f>
        <v>46.270965479274409</v>
      </c>
      <c r="AL15" s="533">
        <f ca="1">'2.8 Costs'!AO15*'3.1 Building Energy'!AG20</f>
        <v>42.450757337154926</v>
      </c>
      <c r="AM15" s="533">
        <f ca="1">'2.8 Costs'!AP15*'3.1 Building Energy'!AH20</f>
        <v>34.484143913365628</v>
      </c>
      <c r="AN15" s="533">
        <f ca="1">'2.8 Costs'!AQ15*'3.1 Building Energy'!AI20</f>
        <v>23.052873259766979</v>
      </c>
      <c r="AO15" s="533">
        <f ca="1">'2.8 Costs'!AR15*'3.1 Building Energy'!AJ20</f>
        <v>11.560744764245035</v>
      </c>
      <c r="AP15" s="533">
        <f ca="1">'2.8 Costs'!AS15*'3.1 Building Energy'!AK20</f>
        <v>0</v>
      </c>
    </row>
    <row r="16" spans="2:42">
      <c r="B16" s="180" t="s">
        <v>829</v>
      </c>
      <c r="G16" s="533">
        <f ca="1">'2.8 Costs'!J16*Transport!O$15</f>
        <v>797.55293905763608</v>
      </c>
      <c r="H16" s="533">
        <f ca="1">'2.8 Costs'!K16*Transport!P$15</f>
        <v>760.86967397812555</v>
      </c>
      <c r="I16" s="533">
        <f ca="1">'2.8 Costs'!L16*Transport!Q$15</f>
        <v>795.70842568132582</v>
      </c>
      <c r="J16" s="533">
        <f ca="1">'2.8 Costs'!M16*Transport!R$15</f>
        <v>820.47114442704174</v>
      </c>
      <c r="K16" s="533">
        <f ca="1">'2.8 Costs'!N16*Transport!S$15</f>
        <v>753.36120460029815</v>
      </c>
      <c r="L16" s="533">
        <f ca="1">'2.8 Costs'!O16*Transport!T$15</f>
        <v>695.64723417978848</v>
      </c>
      <c r="M16" s="533">
        <f ca="1">'2.8 Costs'!P16*Transport!U$15</f>
        <v>692.5962741879722</v>
      </c>
      <c r="N16" s="533">
        <f ca="1">'2.8 Costs'!Q16*Transport!V$15</f>
        <v>674.25606287241555</v>
      </c>
      <c r="O16" s="533">
        <f ca="1">'2.8 Costs'!R16*Transport!W$15</f>
        <v>654.23484303322039</v>
      </c>
      <c r="P16" s="533">
        <f ca="1">'2.8 Costs'!S16*Transport!X$15</f>
        <v>627.51303099094594</v>
      </c>
      <c r="Q16" s="533">
        <f ca="1">'2.8 Costs'!T16*Transport!Y$15</f>
        <v>595.79783550112427</v>
      </c>
      <c r="R16" s="533">
        <f ca="1">'2.8 Costs'!U16*Transport!Z$15</f>
        <v>564.12775484352528</v>
      </c>
      <c r="S16" s="533">
        <f ca="1">'2.8 Costs'!V16*Transport!AA$15</f>
        <v>524.09337433607345</v>
      </c>
      <c r="T16" s="533">
        <f ca="1">'2.8 Costs'!W16*Transport!AB$15</f>
        <v>483.80664617058937</v>
      </c>
      <c r="U16" s="533">
        <f ca="1">'2.8 Costs'!X16*Transport!AC$15</f>
        <v>442.8927948813153</v>
      </c>
      <c r="V16" s="533">
        <f ca="1">'2.8 Costs'!Y16*Transport!AD$15</f>
        <v>399.93435817930055</v>
      </c>
      <c r="W16" s="533">
        <f ca="1">'2.8 Costs'!Z16*Transport!AE$15</f>
        <v>360.03482039684508</v>
      </c>
      <c r="X16" s="533">
        <f ca="1">'2.8 Costs'!AA16*Transport!AF$15</f>
        <v>320.92477989237545</v>
      </c>
      <c r="Y16" s="533">
        <f ca="1">'2.8 Costs'!AB16*Transport!AG$15</f>
        <v>283.584906701237</v>
      </c>
      <c r="Z16" s="533">
        <f ca="1">'2.8 Costs'!AC16*Transport!AH$15</f>
        <v>249.68038854864699</v>
      </c>
      <c r="AA16" s="533">
        <f ca="1">'2.8 Costs'!AD16*Transport!AI$15</f>
        <v>217.36021004761429</v>
      </c>
      <c r="AB16" s="533">
        <f ca="1">'2.8 Costs'!AE16*Transport!AJ$15</f>
        <v>184.78095797701994</v>
      </c>
      <c r="AC16" s="533">
        <f ca="1">'2.8 Costs'!AF16*Transport!AK$15</f>
        <v>154.8631967982891</v>
      </c>
      <c r="AD16" s="533">
        <f ca="1">'2.8 Costs'!AG16*Transport!AL$15</f>
        <v>127.76172643365534</v>
      </c>
      <c r="AE16" s="533">
        <f ca="1">'2.8 Costs'!AH16*Transport!AM$15</f>
        <v>102.87305641714502</v>
      </c>
      <c r="AF16" s="533">
        <f ca="1">'2.8 Costs'!AI16*Transport!AN$15</f>
        <v>80.172844765040978</v>
      </c>
      <c r="AG16" s="533">
        <f ca="1">'2.8 Costs'!AJ16*Transport!AO$15</f>
        <v>65.890791613590864</v>
      </c>
      <c r="AH16" s="533">
        <f ca="1">'2.8 Costs'!AK16*Transport!AP$15</f>
        <v>52.962347069117705</v>
      </c>
      <c r="AI16" s="533">
        <f ca="1">'2.8 Costs'!AL16*Transport!AQ$15</f>
        <v>41.236371013034422</v>
      </c>
      <c r="AJ16" s="533">
        <f ca="1">'2.8 Costs'!AM16*Transport!AR$15</f>
        <v>30.525132813070101</v>
      </c>
      <c r="AK16" s="533">
        <f ca="1">'2.8 Costs'!AN16*Transport!AS$15</f>
        <v>20.579089537546476</v>
      </c>
      <c r="AL16" s="533">
        <f ca="1">'2.8 Costs'!AO16*Transport!AT$15</f>
        <v>16.18526809307243</v>
      </c>
      <c r="AM16" s="533">
        <f ca="1">'2.8 Costs'!AP16*Transport!AU$15</f>
        <v>12.276271576235761</v>
      </c>
      <c r="AN16" s="533">
        <f ca="1">'2.8 Costs'!AQ16*Transport!AV$15</f>
        <v>8.7164280238426031</v>
      </c>
      <c r="AO16" s="533">
        <f ca="1">'2.8 Costs'!AR16*Transport!AW$15</f>
        <v>5.4408645673467708</v>
      </c>
      <c r="AP16" s="533">
        <f ca="1">'2.8 Costs'!AS16*Transport!AX$15</f>
        <v>2.3744345169829191</v>
      </c>
    </row>
    <row r="17" spans="2:42">
      <c r="B17" s="180" t="s">
        <v>830</v>
      </c>
      <c r="G17" s="533">
        <f ca="1">'2.8 Costs'!J17*'3.1 Building Energy'!B22</f>
        <v>1535.1394857739504</v>
      </c>
      <c r="H17" s="533">
        <f ca="1">'2.8 Costs'!K17*'3.1 Building Energy'!C22</f>
        <v>1505.5119083059994</v>
      </c>
      <c r="I17" s="533">
        <f ca="1">'2.8 Costs'!L17*'3.1 Building Energy'!D22</f>
        <v>1568.5172045521449</v>
      </c>
      <c r="J17" s="533">
        <f ca="1">'2.8 Costs'!M17*'3.1 Building Energy'!E22</f>
        <v>1691.8314574336366</v>
      </c>
      <c r="K17" s="533">
        <f ca="1">'2.8 Costs'!N17*'3.1 Building Energy'!F22</f>
        <v>1785.6842635534854</v>
      </c>
      <c r="L17" s="533">
        <f ca="1">'2.8 Costs'!O17*'3.1 Building Energy'!G22</f>
        <v>1835.5705055356595</v>
      </c>
      <c r="M17" s="533">
        <f ca="1">'2.8 Costs'!P17*'3.1 Building Energy'!H22</f>
        <v>1950.904527304147</v>
      </c>
      <c r="N17" s="533">
        <f ca="1">'2.8 Costs'!Q17*'3.1 Building Energy'!I22</f>
        <v>1980.455624010247</v>
      </c>
      <c r="O17" s="533">
        <f ca="1">'2.8 Costs'!R17*'3.1 Building Energy'!J22</f>
        <v>1942.6744324336112</v>
      </c>
      <c r="P17" s="533">
        <f ca="1">'2.8 Costs'!S17*'3.1 Building Energy'!K22</f>
        <v>1913.8499887431149</v>
      </c>
      <c r="Q17" s="533">
        <f ca="1">'2.8 Costs'!T17*'3.1 Building Energy'!L22</f>
        <v>1912.7206502629865</v>
      </c>
      <c r="R17" s="533">
        <f ca="1">'2.8 Costs'!U17*'3.1 Building Energy'!M22</f>
        <v>1913.0310180269901</v>
      </c>
      <c r="S17" s="533">
        <f ca="1">'2.8 Costs'!V17*'3.1 Building Energy'!N22</f>
        <v>1889.9421756067582</v>
      </c>
      <c r="T17" s="533">
        <f ca="1">'2.8 Costs'!W17*'3.1 Building Energy'!O22</f>
        <v>1865.4319417760084</v>
      </c>
      <c r="U17" s="533">
        <f ca="1">'2.8 Costs'!X17*'3.1 Building Energy'!P22</f>
        <v>1845.6387871699221</v>
      </c>
      <c r="V17" s="533">
        <f ca="1">'2.8 Costs'!Y17*'3.1 Building Energy'!Q22</f>
        <v>1866.9123472058543</v>
      </c>
      <c r="W17" s="533">
        <f ca="1">'2.8 Costs'!Z17*'3.1 Building Energy'!R22</f>
        <v>1920.3045950926266</v>
      </c>
      <c r="X17" s="533">
        <f ca="1">'2.8 Costs'!AA17*'3.1 Building Energy'!S22</f>
        <v>1933.9517904981883</v>
      </c>
      <c r="Y17" s="533">
        <f ca="1">'2.8 Costs'!AB17*'3.1 Building Energy'!T22</f>
        <v>1936.8196532623256</v>
      </c>
      <c r="Z17" s="533">
        <f ca="1">'2.8 Costs'!AC17*'3.1 Building Energy'!U22</f>
        <v>1950.9017829832021</v>
      </c>
      <c r="AA17" s="533">
        <f ca="1">'2.8 Costs'!AD17*'3.1 Building Energy'!V22</f>
        <v>1975.8007270723756</v>
      </c>
      <c r="AB17" s="533">
        <f ca="1">'2.8 Costs'!AE17*'3.1 Building Energy'!W22</f>
        <v>2034.2369061001903</v>
      </c>
      <c r="AC17" s="533">
        <f ca="1">'2.8 Costs'!AF17*'3.1 Building Energy'!X22</f>
        <v>2075.1132827516381</v>
      </c>
      <c r="AD17" s="533">
        <f ca="1">'2.8 Costs'!AG17*'3.1 Building Energy'!Y22</f>
        <v>2117.6107242987755</v>
      </c>
      <c r="AE17" s="533">
        <f ca="1">'2.8 Costs'!AH17*'3.1 Building Energy'!Z22</f>
        <v>2168.9970229932351</v>
      </c>
      <c r="AF17" s="533">
        <f ca="1">'2.8 Costs'!AI17*'3.1 Building Energy'!AA22</f>
        <v>2177.7615247563886</v>
      </c>
      <c r="AG17" s="533">
        <f ca="1">'2.8 Costs'!AJ17*'3.1 Building Energy'!AB22</f>
        <v>2206.810979326428</v>
      </c>
      <c r="AH17" s="533">
        <f ca="1">'2.8 Costs'!AK17*'3.1 Building Energy'!AC22</f>
        <v>2234.4947724499102</v>
      </c>
      <c r="AI17" s="533">
        <f ca="1">'2.8 Costs'!AL17*'3.1 Building Energy'!AD22</f>
        <v>2260.8905629680689</v>
      </c>
      <c r="AJ17" s="533">
        <f ca="1">'2.8 Costs'!AM17*'3.1 Building Energy'!AE22</f>
        <v>2286.122363061289</v>
      </c>
      <c r="AK17" s="533">
        <f ca="1">'2.8 Costs'!AN17*'3.1 Building Energy'!AF22</f>
        <v>2310.2685598951925</v>
      </c>
      <c r="AL17" s="533">
        <f ca="1">'2.8 Costs'!AO17*'3.1 Building Energy'!AG22</f>
        <v>2335.2184877033569</v>
      </c>
      <c r="AM17" s="533">
        <f ca="1">'2.8 Costs'!AP17*'3.1 Building Energy'!AH22</f>
        <v>2357.4329937562998</v>
      </c>
      <c r="AN17" s="533">
        <f ca="1">'2.8 Costs'!AQ17*'3.1 Building Energy'!AI22</f>
        <v>2379.602653571973</v>
      </c>
      <c r="AO17" s="533">
        <f ca="1">'2.8 Costs'!AR17*'3.1 Building Energy'!AJ22</f>
        <v>2401.7362592574741</v>
      </c>
      <c r="AP17" s="533">
        <f ca="1">'2.8 Costs'!AS17*'3.1 Building Energy'!AK22</f>
        <v>2423.8826581163275</v>
      </c>
    </row>
    <row r="18" spans="2:42">
      <c r="B18" s="180" t="s">
        <v>831</v>
      </c>
      <c r="G18" s="533">
        <f ca="1">'2.8 Costs'!J18*Transport!O$15</f>
        <v>0</v>
      </c>
      <c r="H18" s="533">
        <f ca="1">'2.8 Costs'!K18*Transport!P$15</f>
        <v>0</v>
      </c>
      <c r="I18" s="533">
        <f ca="1">'2.8 Costs'!L18*Transport!Q$15</f>
        <v>0</v>
      </c>
      <c r="J18" s="533">
        <f ca="1">'2.8 Costs'!M18*Transport!R$15</f>
        <v>0</v>
      </c>
      <c r="K18" s="533">
        <f ca="1">'2.8 Costs'!N18*Transport!S$15</f>
        <v>0</v>
      </c>
      <c r="L18" s="533">
        <f ca="1">'2.8 Costs'!O18*Transport!T$15</f>
        <v>0</v>
      </c>
      <c r="M18" s="533">
        <f ca="1">'2.8 Costs'!P18*Transport!U$15</f>
        <v>6.9740765506505209E-2</v>
      </c>
      <c r="N18" s="533">
        <f ca="1">'2.8 Costs'!Q18*Transport!V$15</f>
        <v>7.226820636956531E-2</v>
      </c>
      <c r="O18" s="533">
        <f ca="1">'2.8 Costs'!R18*Transport!W$15</f>
        <v>8.8110107365783327E-2</v>
      </c>
      <c r="P18" s="533">
        <f ca="1">'2.8 Costs'!S18*Transport!X$15</f>
        <v>0.10740812837530621</v>
      </c>
      <c r="Q18" s="533">
        <f ca="1">'2.8 Costs'!T18*Transport!Y$15</f>
        <v>0.1385874700968841</v>
      </c>
      <c r="R18" s="533">
        <f ca="1">'2.8 Costs'!U18*Transport!Z$15</f>
        <v>0.29703610650029721</v>
      </c>
      <c r="S18" s="533">
        <f ca="1">'2.8 Costs'!V18*Transport!AA$15</f>
        <v>5.8644812130487853</v>
      </c>
      <c r="T18" s="533">
        <f ca="1">'2.8 Costs'!W18*Transport!AB$15</f>
        <v>10.313733224185919</v>
      </c>
      <c r="U18" s="533">
        <f ca="1">'2.8 Costs'!X18*Transport!AC$15</f>
        <v>13.909982582336761</v>
      </c>
      <c r="V18" s="533">
        <f ca="1">'2.8 Costs'!Y18*Transport!AD$15</f>
        <v>16.563187707353325</v>
      </c>
      <c r="W18" s="533">
        <f ca="1">'2.8 Costs'!Z18*Transport!AE$15</f>
        <v>23.182343049910077</v>
      </c>
      <c r="X18" s="533">
        <f ca="1">'2.8 Costs'!AA18*Transport!AF$15</f>
        <v>28.924277197223493</v>
      </c>
      <c r="Y18" s="533">
        <f ca="1">'2.8 Costs'!AB18*Transport!AG$15</f>
        <v>33.649845965155528</v>
      </c>
      <c r="Z18" s="533">
        <f ca="1">'2.8 Costs'!AC18*Transport!AH$15</f>
        <v>60.174696911586139</v>
      </c>
      <c r="AA18" s="533">
        <f ca="1">'2.8 Costs'!AD18*Transport!AI$15</f>
        <v>75.833382830432953</v>
      </c>
      <c r="AB18" s="533">
        <f ca="1">'2.8 Costs'!AE18*Transport!AJ$15</f>
        <v>80.301016205260055</v>
      </c>
      <c r="AC18" s="533">
        <f ca="1">'2.8 Costs'!AF18*Transport!AK$15</f>
        <v>81.674112870196339</v>
      </c>
      <c r="AD18" s="533">
        <f ca="1">'2.8 Costs'!AG18*Transport!AL$15</f>
        <v>81.97232025618365</v>
      </c>
      <c r="AE18" s="533">
        <f ca="1">'2.8 Costs'!AH18*Transport!AM$15</f>
        <v>76.773598431019394</v>
      </c>
      <c r="AF18" s="533">
        <f ca="1">'2.8 Costs'!AI18*Transport!AN$15</f>
        <v>84.816696799606902</v>
      </c>
      <c r="AG18" s="533">
        <f ca="1">'2.8 Costs'!AJ18*Transport!AO$15</f>
        <v>89.898085859015936</v>
      </c>
      <c r="AH18" s="533">
        <f ca="1">'2.8 Costs'!AK18*Transport!AP$15</f>
        <v>91.890663541372078</v>
      </c>
      <c r="AI18" s="533">
        <f ca="1">'2.8 Costs'!AL18*Transport!AQ$15</f>
        <v>90.811049060768966</v>
      </c>
      <c r="AJ18" s="533">
        <f ca="1">'2.8 Costs'!AM18*Transport!AR$15</f>
        <v>86.679748998486275</v>
      </c>
      <c r="AK18" s="533">
        <f ca="1">'2.8 Costs'!AN18*Transport!AS$15</f>
        <v>79.533371495942802</v>
      </c>
      <c r="AL18" s="533">
        <f ca="1">'2.8 Costs'!AO18*Transport!AT$15</f>
        <v>66.253270836486493</v>
      </c>
      <c r="AM18" s="533">
        <f ca="1">'2.8 Costs'!AP18*Transport!AU$15</f>
        <v>57.67311063784733</v>
      </c>
      <c r="AN18" s="533">
        <f ca="1">'2.8 Costs'!AQ18*Transport!AV$15</f>
        <v>48.913206860140917</v>
      </c>
      <c r="AO18" s="533">
        <f ca="1">'2.8 Costs'!AR18*Transport!AW$15</f>
        <v>39.960181496698269</v>
      </c>
      <c r="AP18" s="533">
        <f ca="1">'2.8 Costs'!AS18*Transport!AX$15</f>
        <v>30.805169910226724</v>
      </c>
    </row>
    <row r="21" spans="2:42">
      <c r="B21" s="462" t="s">
        <v>480</v>
      </c>
      <c r="C21" s="204" t="str">
        <f>Dashboard!$D$6</f>
        <v>High Electrification</v>
      </c>
      <c r="D21" s="462"/>
      <c r="G21" s="524">
        <v>2015</v>
      </c>
      <c r="H21" s="524">
        <v>2016</v>
      </c>
      <c r="I21" s="524">
        <v>2017</v>
      </c>
      <c r="J21" s="524">
        <v>2018</v>
      </c>
      <c r="K21" s="524">
        <v>2019</v>
      </c>
      <c r="L21" s="524">
        <v>2020</v>
      </c>
      <c r="M21" s="524">
        <v>2021</v>
      </c>
      <c r="N21" s="524">
        <v>2022</v>
      </c>
      <c r="O21" s="524">
        <v>2023</v>
      </c>
      <c r="P21" s="524">
        <v>2024</v>
      </c>
      <c r="Q21" s="524">
        <v>2025</v>
      </c>
      <c r="R21" s="524">
        <v>2026</v>
      </c>
      <c r="S21" s="524">
        <v>2027</v>
      </c>
      <c r="T21" s="524">
        <v>2028</v>
      </c>
      <c r="U21" s="524">
        <v>2029</v>
      </c>
      <c r="V21" s="524">
        <v>2030</v>
      </c>
      <c r="W21" s="524">
        <v>2031</v>
      </c>
      <c r="X21" s="524">
        <v>2032</v>
      </c>
      <c r="Y21" s="524">
        <v>2033</v>
      </c>
      <c r="Z21" s="524">
        <v>2034</v>
      </c>
      <c r="AA21" s="524">
        <v>2035</v>
      </c>
      <c r="AB21" s="524">
        <v>2036</v>
      </c>
      <c r="AC21" s="524">
        <v>2037</v>
      </c>
      <c r="AD21" s="524">
        <v>2038</v>
      </c>
      <c r="AE21" s="524">
        <v>2039</v>
      </c>
      <c r="AF21" s="524">
        <v>2040</v>
      </c>
      <c r="AG21" s="524">
        <v>2041</v>
      </c>
      <c r="AH21" s="524">
        <v>2042</v>
      </c>
      <c r="AI21" s="524">
        <v>2043</v>
      </c>
      <c r="AJ21" s="524">
        <v>2044</v>
      </c>
      <c r="AK21" s="524">
        <v>2045</v>
      </c>
      <c r="AL21" s="524">
        <v>2046</v>
      </c>
      <c r="AM21" s="524">
        <v>2047</v>
      </c>
      <c r="AN21" s="524">
        <v>2048</v>
      </c>
      <c r="AO21" s="524">
        <v>2049</v>
      </c>
      <c r="AP21" s="524">
        <v>2050</v>
      </c>
    </row>
    <row r="22" spans="2:42">
      <c r="B22" t="str">
        <f t="shared" ref="B22:B30" si="0">$B$1&amp;$B$2&amp;D22</f>
        <v>High ElectrificationDomestic heat</v>
      </c>
      <c r="D22" s="180" t="s">
        <v>806</v>
      </c>
      <c r="G22">
        <f>'2.7. Peak Demand'!D2*'3.1 Building Energy'!B20</f>
        <v>197.48036120749376</v>
      </c>
      <c r="H22">
        <f>'2.7. Peak Demand'!E2*'3.1 Building Energy'!C20</f>
        <v>198.68854943902755</v>
      </c>
      <c r="I22">
        <f>'2.7. Peak Demand'!F2*'3.1 Building Energy'!D20</f>
        <v>199.89673767056135</v>
      </c>
      <c r="J22">
        <f>'2.7. Peak Demand'!G2*'3.1 Building Energy'!E20</f>
        <v>201.10492590209515</v>
      </c>
      <c r="K22">
        <f>'2.7. Peak Demand'!H2*'3.1 Building Energy'!F20</f>
        <v>202.31311413362891</v>
      </c>
      <c r="L22">
        <f>'2.7. Peak Demand'!I2*'3.1 Building Energy'!G20</f>
        <v>203.52130236516265</v>
      </c>
      <c r="M22">
        <f>'2.7. Peak Demand'!J2*'3.1 Building Energy'!H20</f>
        <v>201.27143092709068</v>
      </c>
      <c r="N22">
        <f>'2.7. Peak Demand'!K2*'3.1 Building Energy'!I20</f>
        <v>199.0215594890187</v>
      </c>
      <c r="O22">
        <f>'2.7. Peak Demand'!L2*'3.1 Building Energy'!J20</f>
        <v>196.77168805094672</v>
      </c>
      <c r="P22">
        <f>'2.7. Peak Demand'!M2*'3.1 Building Energy'!K20</f>
        <v>194.52181661287474</v>
      </c>
      <c r="Q22">
        <f>'2.7. Peak Demand'!N2*'3.1 Building Energy'!L20</f>
        <v>192.27194517480271</v>
      </c>
      <c r="R22">
        <f>'2.7. Peak Demand'!O2*'3.1 Building Energy'!M20</f>
        <v>200.23823465706451</v>
      </c>
      <c r="S22">
        <f>'2.7. Peak Demand'!P2*'3.1 Building Energy'!N20</f>
        <v>208.20452413932634</v>
      </c>
      <c r="T22">
        <f>'2.7. Peak Demand'!Q2*'3.1 Building Energy'!O20</f>
        <v>216.17081362158814</v>
      </c>
      <c r="U22">
        <f>'2.7. Peak Demand'!R2*'3.1 Building Energy'!P20</f>
        <v>224.13710310384997</v>
      </c>
      <c r="V22">
        <f>'2.7. Peak Demand'!S2*'3.1 Building Energy'!Q20</f>
        <v>232.10339258611171</v>
      </c>
      <c r="W22">
        <f>'2.7. Peak Demand'!T2*'3.1 Building Energy'!R20</f>
        <v>246.45661002961165</v>
      </c>
      <c r="X22">
        <f>'2.7. Peak Demand'!U2*'3.1 Building Energy'!S20</f>
        <v>260.80982747311157</v>
      </c>
      <c r="Y22">
        <f>'2.7. Peak Demand'!V2*'3.1 Building Energy'!T20</f>
        <v>275.16304491661151</v>
      </c>
      <c r="Z22">
        <f>'2.7. Peak Demand'!W2*'3.1 Building Energy'!U20</f>
        <v>289.51626236011145</v>
      </c>
      <c r="AA22">
        <f>'2.7. Peak Demand'!X2*'3.1 Building Energy'!V20</f>
        <v>303.8694798036114</v>
      </c>
      <c r="AB22">
        <f>'2.7. Peak Demand'!Y2*'3.1 Building Energy'!W20</f>
        <v>328.84684455609988</v>
      </c>
      <c r="AC22">
        <f>'2.7. Peak Demand'!Z2*'3.1 Building Energy'!X20</f>
        <v>353.82420930858837</v>
      </c>
      <c r="AD22">
        <f>'2.7. Peak Demand'!AA2*'3.1 Building Energy'!Y20</f>
        <v>378.80157406107685</v>
      </c>
      <c r="AE22">
        <f>'2.7. Peak Demand'!AB2*'3.1 Building Energy'!Z20</f>
        <v>403.77893881356533</v>
      </c>
      <c r="AF22">
        <f>'2.7. Peak Demand'!AC2*'3.1 Building Energy'!AA20</f>
        <v>428.75630356605387</v>
      </c>
      <c r="AG22">
        <f>'2.7. Peak Demand'!AD2*'3.1 Building Energy'!AB20</f>
        <v>442.74573157012514</v>
      </c>
      <c r="AH22">
        <f>'2.7. Peak Demand'!AE2*'3.1 Building Energy'!AC20</f>
        <v>456.73515957419647</v>
      </c>
      <c r="AI22">
        <f>'2.7. Peak Demand'!AF2*'3.1 Building Energy'!AD20</f>
        <v>470.72458757826774</v>
      </c>
      <c r="AJ22">
        <f>'2.7. Peak Demand'!AG2*'3.1 Building Energy'!AE20</f>
        <v>484.71401558233902</v>
      </c>
      <c r="AK22">
        <f>'2.7. Peak Demand'!AH2*'3.1 Building Energy'!AF20</f>
        <v>498.70344358641046</v>
      </c>
      <c r="AL22">
        <f>'2.7. Peak Demand'!AI2*'3.1 Building Energy'!AG20</f>
        <v>516.1201134107796</v>
      </c>
      <c r="AM22">
        <f>'2.7. Peak Demand'!AJ2*'3.1 Building Energy'!AH20</f>
        <v>533.53678323514862</v>
      </c>
      <c r="AN22">
        <f>'2.7. Peak Demand'!AK2*'3.1 Building Energy'!AI20</f>
        <v>550.95345305951776</v>
      </c>
      <c r="AO22">
        <f>'2.7. Peak Demand'!AL2*'3.1 Building Energy'!AJ20</f>
        <v>568.37012288388689</v>
      </c>
      <c r="AP22">
        <f>'2.7. Peak Demand'!AM2*'3.1 Building Energy'!AK20</f>
        <v>585.78679270825614</v>
      </c>
    </row>
    <row r="23" spans="2:42">
      <c r="B23" t="str">
        <f t="shared" si="0"/>
        <v>High ElectrificationOther domestic</v>
      </c>
      <c r="D23" s="180" t="s">
        <v>807</v>
      </c>
      <c r="G23">
        <f>'2.7. Peak Demand'!D3*'3.1 Building Energy'!B22</f>
        <v>622.8163530202952</v>
      </c>
      <c r="H23">
        <f>'2.7. Peak Demand'!E3*'3.1 Building Energy'!C22</f>
        <v>624.13268249316639</v>
      </c>
      <c r="I23">
        <f>'2.7. Peak Demand'!F3*'3.1 Building Energy'!D22</f>
        <v>625.44901196603757</v>
      </c>
      <c r="J23">
        <f>'2.7. Peak Demand'!G3*'3.1 Building Energy'!E22</f>
        <v>626.76534143890876</v>
      </c>
      <c r="K23">
        <f>'2.7. Peak Demand'!H3*'3.1 Building Energy'!F22</f>
        <v>628.08167091177995</v>
      </c>
      <c r="L23">
        <f>'2.7. Peak Demand'!I3*'3.1 Building Energy'!G22</f>
        <v>629.39800038465103</v>
      </c>
      <c r="M23">
        <f>'2.7. Peak Demand'!J3*'3.1 Building Energy'!H22</f>
        <v>630.71432985752222</v>
      </c>
      <c r="N23">
        <f>'2.7. Peak Demand'!K3*'3.1 Building Energy'!I22</f>
        <v>632.03065933039352</v>
      </c>
      <c r="O23">
        <f>'2.7. Peak Demand'!L3*'3.1 Building Energy'!J22</f>
        <v>633.34698880326471</v>
      </c>
      <c r="P23">
        <f>'2.7. Peak Demand'!M3*'3.1 Building Energy'!K22</f>
        <v>634.6633182761359</v>
      </c>
      <c r="Q23">
        <f>'2.7. Peak Demand'!N3*'3.1 Building Energy'!L22</f>
        <v>635.97964774900697</v>
      </c>
      <c r="R23">
        <f>'2.7. Peak Demand'!O3*'3.1 Building Energy'!M22</f>
        <v>637.29597722187816</v>
      </c>
      <c r="S23">
        <f>'2.7. Peak Demand'!P3*'3.1 Building Energy'!N22</f>
        <v>638.61230669474935</v>
      </c>
      <c r="T23">
        <f>'2.7. Peak Demand'!Q3*'3.1 Building Energy'!O22</f>
        <v>639.92863616762054</v>
      </c>
      <c r="U23">
        <f>'2.7. Peak Demand'!R3*'3.1 Building Energy'!P22</f>
        <v>641.24496564049173</v>
      </c>
      <c r="V23">
        <f>'2.7. Peak Demand'!S3*'3.1 Building Energy'!Q22</f>
        <v>642.5612951133628</v>
      </c>
      <c r="W23">
        <f>'2.7. Peak Demand'!T3*'3.1 Building Energy'!R22</f>
        <v>643.05942454509602</v>
      </c>
      <c r="X23">
        <f>'2.7. Peak Demand'!U3*'3.1 Building Energy'!S22</f>
        <v>643.55755397682935</v>
      </c>
      <c r="Y23">
        <f>'2.7. Peak Demand'!V3*'3.1 Building Energy'!T22</f>
        <v>644.05568340856257</v>
      </c>
      <c r="Z23">
        <f>'2.7. Peak Demand'!W3*'3.1 Building Energy'!U22</f>
        <v>644.55381284029579</v>
      </c>
      <c r="AA23">
        <f>'2.7. Peak Demand'!X3*'3.1 Building Energy'!V22</f>
        <v>645.05194227202924</v>
      </c>
      <c r="AB23">
        <f>'2.7. Peak Demand'!Y3*'3.1 Building Energy'!W22</f>
        <v>644.72688347542203</v>
      </c>
      <c r="AC23">
        <f>'2.7. Peak Demand'!Z3*'3.1 Building Energy'!X22</f>
        <v>644.40182467881482</v>
      </c>
      <c r="AD23">
        <f>'2.7. Peak Demand'!AA3*'3.1 Building Energy'!Y22</f>
        <v>644.07676588220761</v>
      </c>
      <c r="AE23">
        <f>'2.7. Peak Demand'!AB3*'3.1 Building Energy'!Z22</f>
        <v>643.7517070856004</v>
      </c>
      <c r="AF23">
        <f>'2.7. Peak Demand'!AC3*'3.1 Building Energy'!AA22</f>
        <v>643.42664828899308</v>
      </c>
      <c r="AG23">
        <f>'2.7. Peak Demand'!AD3*'3.1 Building Energy'!AB22</f>
        <v>642.05443672920671</v>
      </c>
      <c r="AH23">
        <f>'2.7. Peak Demand'!AE3*'3.1 Building Energy'!AC22</f>
        <v>640.68222516942035</v>
      </c>
      <c r="AI23">
        <f>'2.7. Peak Demand'!AF3*'3.1 Building Energy'!AD22</f>
        <v>639.31001360963398</v>
      </c>
      <c r="AJ23">
        <f>'2.7. Peak Demand'!AG3*'3.1 Building Energy'!AE22</f>
        <v>637.93780204984751</v>
      </c>
      <c r="AK23">
        <f>'2.7. Peak Demand'!AH3*'3.1 Building Energy'!AF22</f>
        <v>636.56559049006091</v>
      </c>
      <c r="AL23">
        <f>'2.7. Peak Demand'!AI3*'3.1 Building Energy'!AG22</f>
        <v>634.3518174949545</v>
      </c>
      <c r="AM23">
        <f>'2.7. Peak Demand'!AJ3*'3.1 Building Energy'!AH22</f>
        <v>632.13804449984809</v>
      </c>
      <c r="AN23">
        <f>'2.7. Peak Demand'!AK3*'3.1 Building Energy'!AI22</f>
        <v>629.92427150474168</v>
      </c>
      <c r="AO23">
        <f>'2.7. Peak Demand'!AL3*'3.1 Building Energy'!AJ22</f>
        <v>627.71049850963527</v>
      </c>
      <c r="AP23">
        <f>'2.7. Peak Demand'!AM3*'3.1 Building Energy'!AK22</f>
        <v>625.49672551452863</v>
      </c>
    </row>
    <row r="24" spans="2:42">
      <c r="B24" t="str">
        <f t="shared" si="0"/>
        <v>High ElectrificationNon-domestic heat</v>
      </c>
      <c r="D24" s="180" t="s">
        <v>808</v>
      </c>
      <c r="G24">
        <f>'2.7. Peak Demand'!D4*'3.1 Building Energy'!B21</f>
        <v>406.53326314776808</v>
      </c>
      <c r="H24">
        <f>'2.7. Peak Demand'!E4*'3.1 Building Energy'!C21</f>
        <v>406.17052188147608</v>
      </c>
      <c r="I24">
        <f>'2.7. Peak Demand'!F4*'3.1 Building Energy'!D21</f>
        <v>405.80778061518413</v>
      </c>
      <c r="J24">
        <f>'2.7. Peak Demand'!G4*'3.1 Building Energy'!E21</f>
        <v>405.44503934889212</v>
      </c>
      <c r="K24">
        <f>'2.7. Peak Demand'!H4*'3.1 Building Energy'!F21</f>
        <v>405.08229808260018</v>
      </c>
      <c r="L24">
        <f>'2.7. Peak Demand'!I4*'3.1 Building Energy'!G21</f>
        <v>404.71955681630817</v>
      </c>
      <c r="M24">
        <f>'2.7. Peak Demand'!J4*'3.1 Building Energy'!H21</f>
        <v>401.33737494586802</v>
      </c>
      <c r="N24">
        <f>'2.7. Peak Demand'!K4*'3.1 Building Energy'!I21</f>
        <v>397.95519307542793</v>
      </c>
      <c r="O24">
        <f>'2.7. Peak Demand'!L4*'3.1 Building Energy'!J21</f>
        <v>394.57301120498784</v>
      </c>
      <c r="P24">
        <f>'2.7. Peak Demand'!M4*'3.1 Building Energy'!K21</f>
        <v>391.19082933454769</v>
      </c>
      <c r="Q24">
        <f>'2.7. Peak Demand'!N4*'3.1 Building Energy'!L21</f>
        <v>387.80864746410754</v>
      </c>
      <c r="R24">
        <f>'2.7. Peak Demand'!O4*'3.1 Building Energy'!M21</f>
        <v>383.11422047838954</v>
      </c>
      <c r="S24">
        <f>'2.7. Peak Demand'!P4*'3.1 Building Energy'!N21</f>
        <v>378.41979349267154</v>
      </c>
      <c r="T24">
        <f>'2.7. Peak Demand'!Q4*'3.1 Building Energy'!O21</f>
        <v>373.72536650695355</v>
      </c>
      <c r="U24">
        <f>'2.7. Peak Demand'!R4*'3.1 Building Energy'!P21</f>
        <v>369.03093952123561</v>
      </c>
      <c r="V24">
        <f>'2.7. Peak Demand'!S4*'3.1 Building Energy'!Q21</f>
        <v>364.33651253551744</v>
      </c>
      <c r="W24">
        <f>'2.7. Peak Demand'!T4*'3.1 Building Energy'!R21</f>
        <v>364.07060629359546</v>
      </c>
      <c r="X24">
        <f>'2.7. Peak Demand'!U4*'3.1 Building Energy'!S21</f>
        <v>363.80470005167342</v>
      </c>
      <c r="Y24">
        <f>'2.7. Peak Demand'!V4*'3.1 Building Energy'!T21</f>
        <v>363.53879380975138</v>
      </c>
      <c r="Z24">
        <f>'2.7. Peak Demand'!W4*'3.1 Building Energy'!U21</f>
        <v>363.27288756782934</v>
      </c>
      <c r="AA24">
        <f>'2.7. Peak Demand'!X4*'3.1 Building Energy'!V21</f>
        <v>363.00698132590719</v>
      </c>
      <c r="AB24">
        <f>'2.7. Peak Demand'!Y4*'3.1 Building Energy'!W21</f>
        <v>372.44527021526511</v>
      </c>
      <c r="AC24">
        <f>'2.7. Peak Demand'!Z4*'3.1 Building Energy'!X21</f>
        <v>381.88355910462309</v>
      </c>
      <c r="AD24">
        <f>'2.7. Peak Demand'!AA4*'3.1 Building Energy'!Y21</f>
        <v>391.32184799398107</v>
      </c>
      <c r="AE24">
        <f>'2.7. Peak Demand'!AB4*'3.1 Building Energy'!Z21</f>
        <v>400.76013688333899</v>
      </c>
      <c r="AF24">
        <f>'2.7. Peak Demand'!AC4*'3.1 Building Energy'!AA21</f>
        <v>410.19842577269685</v>
      </c>
      <c r="AG24">
        <f>'2.7. Peak Demand'!AD4*'3.1 Building Energy'!AB21</f>
        <v>410.98672343787661</v>
      </c>
      <c r="AH24">
        <f>'2.7. Peak Demand'!AE4*'3.1 Building Energy'!AC21</f>
        <v>411.77502110305642</v>
      </c>
      <c r="AI24">
        <f>'2.7. Peak Demand'!AF4*'3.1 Building Energy'!AD21</f>
        <v>412.56331876823617</v>
      </c>
      <c r="AJ24">
        <f>'2.7. Peak Demand'!AG4*'3.1 Building Energy'!AE21</f>
        <v>413.35161643341593</v>
      </c>
      <c r="AK24">
        <f>'2.7. Peak Demand'!AH4*'3.1 Building Energy'!AF21</f>
        <v>414.13991409859585</v>
      </c>
      <c r="AL24">
        <f>'2.7. Peak Demand'!AI4*'3.1 Building Energy'!AG21</f>
        <v>417.80426018579863</v>
      </c>
      <c r="AM24">
        <f>'2.7. Peak Demand'!AJ4*'3.1 Building Energy'!AH21</f>
        <v>421.46860627300134</v>
      </c>
      <c r="AN24">
        <f>'2.7. Peak Demand'!AK4*'3.1 Building Energy'!AI21</f>
        <v>425.13295236020411</v>
      </c>
      <c r="AO24">
        <f>'2.7. Peak Demand'!AL4*'3.1 Building Energy'!AJ21</f>
        <v>428.79729844740689</v>
      </c>
      <c r="AP24">
        <f>'2.7. Peak Demand'!AM4*'3.1 Building Energy'!AK21</f>
        <v>432.46164453460972</v>
      </c>
    </row>
    <row r="25" spans="2:42">
      <c r="B25" t="str">
        <f t="shared" si="0"/>
        <v>High ElectrificationOther non-domestic</v>
      </c>
      <c r="D25" s="180" t="s">
        <v>809</v>
      </c>
      <c r="G25">
        <f>'2.7. Peak Demand'!D5*'3.1 Building Energy'!B23</f>
        <v>2472.575358359245</v>
      </c>
      <c r="H25">
        <f>'2.7. Peak Demand'!E5*'3.1 Building Energy'!C23</f>
        <v>2474.6467734566786</v>
      </c>
      <c r="I25">
        <f>'2.7. Peak Demand'!F5*'3.1 Building Energy'!D23</f>
        <v>2476.7181885541122</v>
      </c>
      <c r="J25">
        <f>'2.7. Peak Demand'!G5*'3.1 Building Energy'!E23</f>
        <v>2478.7896036515458</v>
      </c>
      <c r="K25">
        <f>'2.7. Peak Demand'!H5*'3.1 Building Energy'!F23</f>
        <v>2480.8610187489794</v>
      </c>
      <c r="L25">
        <f>'2.7. Peak Demand'!I5*'3.1 Building Energy'!G23</f>
        <v>2482.9324338464135</v>
      </c>
      <c r="M25">
        <f>'2.7. Peak Demand'!J5*'3.1 Building Energy'!H23</f>
        <v>2485.0038489438475</v>
      </c>
      <c r="N25">
        <f>'2.7. Peak Demand'!K5*'3.1 Building Energy'!I23</f>
        <v>2487.0752640412816</v>
      </c>
      <c r="O25">
        <f>'2.7. Peak Demand'!L5*'3.1 Building Energy'!J23</f>
        <v>2489.1466791387156</v>
      </c>
      <c r="P25">
        <f>'2.7. Peak Demand'!M5*'3.1 Building Energy'!K23</f>
        <v>2491.2180942361497</v>
      </c>
      <c r="Q25">
        <f>'2.7. Peak Demand'!N5*'3.1 Building Energy'!L23</f>
        <v>2493.2895093335828</v>
      </c>
      <c r="R25">
        <f>'2.7. Peak Demand'!O5*'3.1 Building Energy'!M23</f>
        <v>2495.3609244310164</v>
      </c>
      <c r="S25">
        <f>'2.7. Peak Demand'!P5*'3.1 Building Energy'!N23</f>
        <v>2497.43233952845</v>
      </c>
      <c r="T25">
        <f>'2.7. Peak Demand'!Q5*'3.1 Building Energy'!O23</f>
        <v>2499.5037546258836</v>
      </c>
      <c r="U25">
        <f>'2.7. Peak Demand'!R5*'3.1 Building Energy'!P23</f>
        <v>2501.5751697233172</v>
      </c>
      <c r="V25">
        <f>'2.7. Peak Demand'!S5*'3.1 Building Energy'!Q23</f>
        <v>2503.6465848207508</v>
      </c>
      <c r="W25">
        <f>'2.7. Peak Demand'!T5*'3.1 Building Energy'!R23</f>
        <v>2504.4304877693476</v>
      </c>
      <c r="X25">
        <f>'2.7. Peak Demand'!U5*'3.1 Building Energy'!S23</f>
        <v>2505.2143907179438</v>
      </c>
      <c r="Y25">
        <f>'2.7. Peak Demand'!V5*'3.1 Building Energy'!T23</f>
        <v>2505.9982936665406</v>
      </c>
      <c r="Z25">
        <f>'2.7. Peak Demand'!W5*'3.1 Building Energy'!U23</f>
        <v>2506.7821966151373</v>
      </c>
      <c r="AA25">
        <f>'2.7. Peak Demand'!X5*'3.1 Building Energy'!V23</f>
        <v>2507.5660995637327</v>
      </c>
      <c r="AB25">
        <f>'2.7. Peak Demand'!Y5*'3.1 Building Energy'!W23</f>
        <v>2507.06273401423</v>
      </c>
      <c r="AC25">
        <f>'2.7. Peak Demand'!Z5*'3.1 Building Energy'!X23</f>
        <v>2506.5593684647274</v>
      </c>
      <c r="AD25">
        <f>'2.7. Peak Demand'!AA5*'3.1 Building Energy'!Y23</f>
        <v>2506.0560029152248</v>
      </c>
      <c r="AE25">
        <f>'2.7. Peak Demand'!AB5*'3.1 Building Energy'!Z23</f>
        <v>2505.5526373657217</v>
      </c>
      <c r="AF25">
        <f>'2.7. Peak Demand'!AC5*'3.1 Building Energy'!AA23</f>
        <v>2505.0492718162191</v>
      </c>
      <c r="AG25">
        <f>'2.7. Peak Demand'!AD5*'3.1 Building Energy'!AB23</f>
        <v>2503.2458436152579</v>
      </c>
      <c r="AH25">
        <f>'2.7. Peak Demand'!AE5*'3.1 Building Energy'!AC23</f>
        <v>2501.4424154142971</v>
      </c>
      <c r="AI25">
        <f>'2.7. Peak Demand'!AF5*'3.1 Building Energy'!AD23</f>
        <v>2499.6389872133359</v>
      </c>
      <c r="AJ25">
        <f>'2.7. Peak Demand'!AG5*'3.1 Building Energy'!AE23</f>
        <v>2497.8355590123747</v>
      </c>
      <c r="AK25">
        <f>'2.7. Peak Demand'!AH5*'3.1 Building Energy'!AF23</f>
        <v>2496.032130811413</v>
      </c>
      <c r="AL25">
        <f>'2.7. Peak Demand'!AI5*'3.1 Building Energy'!AG23</f>
        <v>2492.9300424032258</v>
      </c>
      <c r="AM25">
        <f>'2.7. Peak Demand'!AJ5*'3.1 Building Energy'!AH23</f>
        <v>2489.8279539950386</v>
      </c>
      <c r="AN25">
        <f>'2.7. Peak Demand'!AK5*'3.1 Building Energy'!AI23</f>
        <v>2486.7258655868513</v>
      </c>
      <c r="AO25">
        <f>'2.7. Peak Demand'!AL5*'3.1 Building Energy'!AJ23</f>
        <v>2483.6237771786641</v>
      </c>
      <c r="AP25">
        <f>'2.7. Peak Demand'!AM5*'3.1 Building Energy'!AK23</f>
        <v>2480.5216887704782</v>
      </c>
    </row>
    <row r="26" spans="2:42">
      <c r="B26" t="str">
        <f t="shared" si="0"/>
        <v>High ElectrificationElectric vehicles</v>
      </c>
      <c r="D26" s="180" t="s">
        <v>810</v>
      </c>
      <c r="G26">
        <f>'2.7. Peak Demand'!D6*Transport!O15</f>
        <v>1.8435979551475219</v>
      </c>
      <c r="H26">
        <f>'2.7. Peak Demand'!E6*Transport!P15</f>
        <v>2.2980227052964945</v>
      </c>
      <c r="I26">
        <f>'2.7. Peak Demand'!F6*Transport!Q15</f>
        <v>2.7489588383036545</v>
      </c>
      <c r="J26">
        <f>'2.7. Peak Demand'!G6*Transport!R15</f>
        <v>3.1962763130253156</v>
      </c>
      <c r="K26">
        <f>'2.7. Peak Demand'!H6*Transport!S15</f>
        <v>3.6398385438094847</v>
      </c>
      <c r="L26">
        <f>'2.7. Peak Demand'!I6*Transport!T15</f>
        <v>4.0795019835476989</v>
      </c>
      <c r="M26">
        <f>'2.7. Peak Demand'!J6*Transport!U15</f>
        <v>7.0132743570565665</v>
      </c>
      <c r="N26">
        <f>'2.7. Peak Demand'!K6*Transport!V15</f>
        <v>9.9519437065387439</v>
      </c>
      <c r="O26">
        <f>'2.7. Peak Demand'!L6*Transport!W15</f>
        <v>12.895634613275291</v>
      </c>
      <c r="P26">
        <f>'2.7. Peak Demand'!M6*Transport!X15</f>
        <v>15.844475920561894</v>
      </c>
      <c r="Q26">
        <f>'2.7. Peak Demand'!N6*Transport!Y15</f>
        <v>18.798600917539318</v>
      </c>
      <c r="R26">
        <f>'2.7. Peak Demand'!O6*Transport!Z15</f>
        <v>24.264171245605912</v>
      </c>
      <c r="S26">
        <f>'2.7. Peak Demand'!P6*Transport!AA15</f>
        <v>29.72662719281799</v>
      </c>
      <c r="T26">
        <f>'2.7. Peak Demand'!Q6*Transport!AB15</f>
        <v>35.185928217560388</v>
      </c>
      <c r="U26">
        <f>'2.7. Peak Demand'!R6*Transport!AC15</f>
        <v>40.642033071481187</v>
      </c>
      <c r="V26">
        <f>'2.7. Peak Demand'!S6*Transport!AD15</f>
        <v>46.094899784024101</v>
      </c>
      <c r="W26">
        <f>'2.7. Peak Demand'!T6*Transport!AE15</f>
        <v>50.953504791068355</v>
      </c>
      <c r="X26">
        <f>'2.7. Peak Demand'!U6*Transport!AF15</f>
        <v>55.812109798112608</v>
      </c>
      <c r="Y26">
        <f>'2.7. Peak Demand'!V6*Transport!AG15</f>
        <v>60.670714805156869</v>
      </c>
      <c r="Z26">
        <f>'2.7. Peak Demand'!W6*Transport!AH15</f>
        <v>65.529319812201123</v>
      </c>
      <c r="AA26">
        <f>'2.7. Peak Demand'!X6*Transport!AI15</f>
        <v>70.387924819245399</v>
      </c>
      <c r="AB26">
        <f>'2.7. Peak Demand'!Y6*Transport!AJ15</f>
        <v>73.532441754308792</v>
      </c>
      <c r="AC26">
        <f>'2.7. Peak Demand'!Z6*Transport!AK15</f>
        <v>76.676958689372171</v>
      </c>
      <c r="AD26">
        <f>'2.7. Peak Demand'!AA6*Transport!AL15</f>
        <v>79.821475624435564</v>
      </c>
      <c r="AE26">
        <f>'2.7. Peak Demand'!AB6*Transport!AM15</f>
        <v>82.965992559498957</v>
      </c>
      <c r="AF26">
        <f>'2.7. Peak Demand'!AC6*Transport!AN15</f>
        <v>86.110509494562351</v>
      </c>
      <c r="AG26">
        <f>'2.7. Peak Demand'!AD6*Transport!AO15</f>
        <v>87.711451774221473</v>
      </c>
      <c r="AH26">
        <f>'2.7. Peak Demand'!AE6*Transport!AP15</f>
        <v>89.312394053880581</v>
      </c>
      <c r="AI26">
        <f>'2.7. Peak Demand'!AF6*Transport!AQ15</f>
        <v>90.913336333539704</v>
      </c>
      <c r="AJ26">
        <f>'2.7. Peak Demand'!AG6*Transport!AR15</f>
        <v>92.514278613198826</v>
      </c>
      <c r="AK26">
        <f>'2.7. Peak Demand'!AH6*Transport!AS15</f>
        <v>94.115220892857934</v>
      </c>
      <c r="AL26">
        <f>'2.7. Peak Demand'!AI6*Transport!AT15</f>
        <v>94.572083983199079</v>
      </c>
      <c r="AM26">
        <f>'2.7. Peak Demand'!AJ6*Transport!AU15</f>
        <v>95.028947073540238</v>
      </c>
      <c r="AN26">
        <f>'2.7. Peak Demand'!AK6*Transport!AV15</f>
        <v>95.485810163881382</v>
      </c>
      <c r="AO26">
        <f>'2.7. Peak Demand'!AL6*Transport!AW15</f>
        <v>95.942673254222541</v>
      </c>
      <c r="AP26">
        <f>'2.7. Peak Demand'!AM6*Transport!AX15</f>
        <v>96.399536344563671</v>
      </c>
    </row>
    <row r="27" spans="2:42">
      <c r="B27" t="str">
        <f t="shared" si="0"/>
        <v>High ElectrificationHydrogen vehicles</v>
      </c>
      <c r="D27" s="180" t="s">
        <v>811</v>
      </c>
      <c r="G27">
        <f>'2.7. Peak Demand'!D7*Transport!O15</f>
        <v>0</v>
      </c>
      <c r="H27">
        <f>'2.7. Peak Demand'!E7*Transport!P15</f>
        <v>0</v>
      </c>
      <c r="I27">
        <f>'2.7. Peak Demand'!F7*Transport!Q15</f>
        <v>0</v>
      </c>
      <c r="J27">
        <f>'2.7. Peak Demand'!G7*Transport!R15</f>
        <v>0</v>
      </c>
      <c r="K27">
        <f>'2.7. Peak Demand'!H7*Transport!S15</f>
        <v>0</v>
      </c>
      <c r="L27">
        <f>'2.7. Peak Demand'!I7*Transport!T15</f>
        <v>0</v>
      </c>
      <c r="M27">
        <f>'2.7. Peak Demand'!J7*Transport!U15</f>
        <v>0</v>
      </c>
      <c r="N27">
        <f>'2.7. Peak Demand'!K7*Transport!V15</f>
        <v>0</v>
      </c>
      <c r="O27">
        <f>'2.7. Peak Demand'!L7*Transport!W15</f>
        <v>0</v>
      </c>
      <c r="P27">
        <f>'2.7. Peak Demand'!M7*Transport!X15</f>
        <v>0</v>
      </c>
      <c r="Q27">
        <f>'2.7. Peak Demand'!N7*Transport!Y15</f>
        <v>0</v>
      </c>
      <c r="R27">
        <f>'2.7. Peak Demand'!O7*Transport!Z15</f>
        <v>0</v>
      </c>
      <c r="S27">
        <f>'2.7. Peak Demand'!P7*Transport!AA15</f>
        <v>0</v>
      </c>
      <c r="T27">
        <f>'2.7. Peak Demand'!Q7*Transport!AB15</f>
        <v>0</v>
      </c>
      <c r="U27">
        <f>'2.7. Peak Demand'!R7*Transport!AC15</f>
        <v>0</v>
      </c>
      <c r="V27">
        <f>'2.7. Peak Demand'!S7*Transport!AD15</f>
        <v>0</v>
      </c>
      <c r="W27">
        <f>'2.7. Peak Demand'!T7*Transport!AE15</f>
        <v>0</v>
      </c>
      <c r="X27">
        <f>'2.7. Peak Demand'!U7*Transport!AF15</f>
        <v>0</v>
      </c>
      <c r="Y27">
        <f>'2.7. Peak Demand'!V7*Transport!AG15</f>
        <v>0</v>
      </c>
      <c r="Z27">
        <f>'2.7. Peak Demand'!W7*Transport!AH15</f>
        <v>0</v>
      </c>
      <c r="AA27">
        <f>'2.7. Peak Demand'!X7*Transport!AI15</f>
        <v>0</v>
      </c>
      <c r="AB27">
        <f>'2.7. Peak Demand'!Y7*Transport!AJ15</f>
        <v>0</v>
      </c>
      <c r="AC27">
        <f>'2.7. Peak Demand'!Z7*Transport!AK15</f>
        <v>0</v>
      </c>
      <c r="AD27">
        <f>'2.7. Peak Demand'!AA7*Transport!AL15</f>
        <v>0</v>
      </c>
      <c r="AE27">
        <f>'2.7. Peak Demand'!AB7*Transport!AM15</f>
        <v>0</v>
      </c>
      <c r="AF27">
        <f>'2.7. Peak Demand'!AC7*Transport!AN15</f>
        <v>0</v>
      </c>
      <c r="AG27">
        <f>'2.7. Peak Demand'!AD7*Transport!AO15</f>
        <v>0</v>
      </c>
      <c r="AH27">
        <f>'2.7. Peak Demand'!AE7*Transport!AP15</f>
        <v>0</v>
      </c>
      <c r="AI27">
        <f>'2.7. Peak Demand'!AF7*Transport!AQ15</f>
        <v>0</v>
      </c>
      <c r="AJ27">
        <f>'2.7. Peak Demand'!AG7*Transport!AR15</f>
        <v>0</v>
      </c>
      <c r="AK27">
        <f>'2.7. Peak Demand'!AH7*Transport!AS15</f>
        <v>0</v>
      </c>
      <c r="AL27">
        <f>'2.7. Peak Demand'!AI7*Transport!AT15</f>
        <v>0</v>
      </c>
      <c r="AM27">
        <f>'2.7. Peak Demand'!AJ7*Transport!AU15</f>
        <v>0</v>
      </c>
      <c r="AN27">
        <f>'2.7. Peak Demand'!AK7*Transport!AV15</f>
        <v>0</v>
      </c>
      <c r="AO27">
        <f>'2.7. Peak Demand'!AL7*Transport!AW15</f>
        <v>0</v>
      </c>
      <c r="AP27">
        <f>'2.7. Peak Demand'!AM7*Transport!AX15</f>
        <v>0</v>
      </c>
    </row>
    <row r="28" spans="2:42">
      <c r="B28" t="str">
        <f t="shared" si="0"/>
        <v>High ElectrificationUnderground, rail, DLR</v>
      </c>
      <c r="D28" s="180" t="s">
        <v>812</v>
      </c>
      <c r="G28">
        <f>'2.7. Peak Demand'!D8*'Industrial and Other Transport'!O110</f>
        <v>3.0643604544310379</v>
      </c>
      <c r="H28">
        <f>'2.7. Peak Demand'!E8*'Industrial and Other Transport'!P110</f>
        <v>3.1389588670805861</v>
      </c>
      <c r="I28">
        <f>'2.7. Peak Demand'!F8*'Industrial and Other Transport'!Q110</f>
        <v>3.2114755761515665</v>
      </c>
      <c r="J28">
        <f>'2.7. Peak Demand'!G8*'Industrial and Other Transport'!R110</f>
        <v>3.2817439789759542</v>
      </c>
      <c r="K28">
        <f>'2.7. Peak Demand'!H8*'Industrial and Other Transport'!S110</f>
        <v>3.3495792075820123</v>
      </c>
      <c r="L28">
        <f>'2.7. Peak Demand'!I8*'Industrial and Other Transport'!T110</f>
        <v>3.4147755550330676</v>
      </c>
      <c r="M28">
        <f>'2.7. Peak Demand'!J8*'Industrial and Other Transport'!U110</f>
        <v>3.4263796863935214</v>
      </c>
      <c r="N28">
        <f>'2.7. Peak Demand'!K8*'Industrial and Other Transport'!V110</f>
        <v>3.4379838177539752</v>
      </c>
      <c r="O28">
        <f>'2.7. Peak Demand'!L8*'Industrial and Other Transport'!W110</f>
        <v>3.4495879491144286</v>
      </c>
      <c r="P28">
        <f>'2.7. Peak Demand'!M8*'Industrial and Other Transport'!X110</f>
        <v>3.4611920804748824</v>
      </c>
      <c r="Q28">
        <f>'2.7. Peak Demand'!N8*'Industrial and Other Transport'!Y110</f>
        <v>3.4727962118353362</v>
      </c>
      <c r="R28">
        <f>'2.7. Peak Demand'!O8*'Industrial and Other Transport'!Z110</f>
        <v>3.4715152245955379</v>
      </c>
      <c r="S28">
        <f>'2.7. Peak Demand'!P8*'Industrial and Other Transport'!AA110</f>
        <v>3.4702342373557395</v>
      </c>
      <c r="T28">
        <f>'2.7. Peak Demand'!Q8*'Industrial and Other Transport'!AB110</f>
        <v>3.4689532501159417</v>
      </c>
      <c r="U28">
        <f>'2.7. Peak Demand'!R8*'Industrial and Other Transport'!AC110</f>
        <v>3.4676722628761434</v>
      </c>
      <c r="V28">
        <f>'2.7. Peak Demand'!S8*'Industrial and Other Transport'!AD110</f>
        <v>3.4663912756363446</v>
      </c>
      <c r="W28">
        <f>'2.7. Peak Demand'!T8*'Industrial and Other Transport'!AE110</f>
        <v>3.5700351220336923</v>
      </c>
      <c r="X28">
        <f>'2.7. Peak Demand'!U8*'Industrial and Other Transport'!AF110</f>
        <v>3.67367896843104</v>
      </c>
      <c r="Y28">
        <f>'2.7. Peak Demand'!V8*'Industrial and Other Transport'!AG110</f>
        <v>3.7773228148283877</v>
      </c>
      <c r="Z28">
        <f>'2.7. Peak Demand'!W8*'Industrial and Other Transport'!AH110</f>
        <v>3.8809666612257354</v>
      </c>
      <c r="AA28">
        <f>'2.7. Peak Demand'!X8*'Industrial and Other Transport'!AI110</f>
        <v>3.9846105076230822</v>
      </c>
      <c r="AB28">
        <f>'2.7. Peak Demand'!Y8*'Industrial and Other Transport'!AJ110</f>
        <v>4.0882543540204299</v>
      </c>
      <c r="AC28">
        <f>'2.7. Peak Demand'!Z8*'Industrial and Other Transport'!AK110</f>
        <v>4.1918982004177776</v>
      </c>
      <c r="AD28">
        <f>'2.7. Peak Demand'!AA8*'Industrial and Other Transport'!AL110</f>
        <v>4.2955420468151253</v>
      </c>
      <c r="AE28">
        <f>'2.7. Peak Demand'!AB8*'Industrial and Other Transport'!AM110</f>
        <v>4.399185893212473</v>
      </c>
      <c r="AF28">
        <f>'2.7. Peak Demand'!AC8*'Industrial and Other Transport'!AN110</f>
        <v>4.5028297396098207</v>
      </c>
      <c r="AG28">
        <f>'2.7. Peak Demand'!AD8*'Industrial and Other Transport'!AO110</f>
        <v>4.5028297396098207</v>
      </c>
      <c r="AH28">
        <f>'2.7. Peak Demand'!AE8*'Industrial and Other Transport'!AP110</f>
        <v>4.5028297396098207</v>
      </c>
      <c r="AI28">
        <f>'2.7. Peak Demand'!AF8*'Industrial and Other Transport'!AQ110</f>
        <v>4.5028297396098207</v>
      </c>
      <c r="AJ28">
        <f>'2.7. Peak Demand'!AG8*'Industrial and Other Transport'!AR110</f>
        <v>4.5028297396098207</v>
      </c>
      <c r="AK28">
        <f>'2.7. Peak Demand'!AH8*'Industrial and Other Transport'!AS110</f>
        <v>4.5028297396098207</v>
      </c>
      <c r="AL28">
        <f>'2.7. Peak Demand'!AI8*'Industrial and Other Transport'!AT110</f>
        <v>4.5028297396098207</v>
      </c>
      <c r="AM28">
        <f>'2.7. Peak Demand'!AJ8*'Industrial and Other Transport'!AU110</f>
        <v>4.5028297396098207</v>
      </c>
      <c r="AN28">
        <f>'2.7. Peak Demand'!AK8*'Industrial and Other Transport'!AV110</f>
        <v>4.5028297396098207</v>
      </c>
      <c r="AO28">
        <f>'2.7. Peak Demand'!AL8*'Industrial and Other Transport'!AW110</f>
        <v>4.5028297396098207</v>
      </c>
      <c r="AP28">
        <f>'2.7. Peak Demand'!AM8*'Industrial and Other Transport'!AX110</f>
        <v>4.5028297396098207</v>
      </c>
    </row>
    <row r="29" spans="2:42">
      <c r="B29" t="str">
        <f t="shared" si="0"/>
        <v>High ElectrificationDH baseload heat pumps</v>
      </c>
      <c r="D29" s="180" t="s">
        <v>813</v>
      </c>
      <c r="G29">
        <f>'2.7. Peak Demand'!D9*'DH calcs - old'!B63</f>
        <v>0</v>
      </c>
      <c r="H29">
        <f>'2.7. Peak Demand'!E9*'DH calcs - old'!C63</f>
        <v>0</v>
      </c>
      <c r="I29">
        <f>'2.7. Peak Demand'!F9*'DH calcs - old'!D63</f>
        <v>0</v>
      </c>
      <c r="J29">
        <f>'2.7. Peak Demand'!G9*'DH calcs - old'!E63</f>
        <v>0</v>
      </c>
      <c r="K29">
        <f>'2.7. Peak Demand'!H9*'DH calcs - old'!F63</f>
        <v>0</v>
      </c>
      <c r="L29">
        <f>'2.7. Peak Demand'!I9*'DH calcs - old'!G63</f>
        <v>0</v>
      </c>
      <c r="M29">
        <f>'2.7. Peak Demand'!J9*'DH calcs - old'!H63</f>
        <v>0</v>
      </c>
      <c r="N29">
        <f>'2.7. Peak Demand'!K9*'DH calcs - old'!I63</f>
        <v>0</v>
      </c>
      <c r="O29">
        <f>'2.7. Peak Demand'!L9*'DH calcs - old'!J63</f>
        <v>0</v>
      </c>
      <c r="P29">
        <f>'2.7. Peak Demand'!M9*'DH calcs - old'!K63</f>
        <v>0</v>
      </c>
      <c r="Q29">
        <f>'2.7. Peak Demand'!N9*'DH calcs - old'!L63</f>
        <v>0</v>
      </c>
      <c r="R29">
        <f>'2.7. Peak Demand'!O9*'DH calcs - old'!M63</f>
        <v>0</v>
      </c>
      <c r="S29">
        <f>'2.7. Peak Demand'!P9*'DH calcs - old'!N63</f>
        <v>0</v>
      </c>
      <c r="T29">
        <f>'2.7. Peak Demand'!Q9*'DH calcs - old'!O63</f>
        <v>0</v>
      </c>
      <c r="U29">
        <f>'2.7. Peak Demand'!R9*'DH calcs - old'!P63</f>
        <v>0</v>
      </c>
      <c r="V29">
        <f>'2.7. Peak Demand'!S9*'DH calcs - old'!Q63</f>
        <v>0</v>
      </c>
      <c r="W29">
        <f>'2.7. Peak Demand'!T9*'DH calcs - old'!R63</f>
        <v>0</v>
      </c>
      <c r="X29">
        <f>'2.7. Peak Demand'!U9*'DH calcs - old'!S63</f>
        <v>0</v>
      </c>
      <c r="Y29">
        <f>'2.7. Peak Demand'!V9*'DH calcs - old'!T63</f>
        <v>0</v>
      </c>
      <c r="Z29">
        <f>'2.7. Peak Demand'!W9*'DH calcs - old'!U63</f>
        <v>0</v>
      </c>
      <c r="AA29">
        <f>'2.7. Peak Demand'!X9*'DH calcs - old'!V63</f>
        <v>0</v>
      </c>
      <c r="AB29">
        <f>'2.7. Peak Demand'!Y9*'DH calcs - old'!W63</f>
        <v>0</v>
      </c>
      <c r="AC29">
        <f>'2.7. Peak Demand'!Z9*'DH calcs - old'!X63</f>
        <v>0</v>
      </c>
      <c r="AD29">
        <f>'2.7. Peak Demand'!AA9*'DH calcs - old'!Y63</f>
        <v>0</v>
      </c>
      <c r="AE29">
        <f>'2.7. Peak Demand'!AB9*'DH calcs - old'!Z63</f>
        <v>0</v>
      </c>
      <c r="AF29">
        <f>'2.7. Peak Demand'!AC9*'DH calcs - old'!AA63</f>
        <v>0</v>
      </c>
      <c r="AG29">
        <f>'2.7. Peak Demand'!AD9*'DH calcs - old'!AB63</f>
        <v>0</v>
      </c>
      <c r="AH29">
        <f>'2.7. Peak Demand'!AE9*'DH calcs - old'!AC63</f>
        <v>0</v>
      </c>
      <c r="AI29">
        <f>'2.7. Peak Demand'!AF9*'DH calcs - old'!AD63</f>
        <v>0</v>
      </c>
      <c r="AJ29">
        <f>'2.7. Peak Demand'!AG9*'DH calcs - old'!AE63</f>
        <v>0</v>
      </c>
      <c r="AK29">
        <f>'2.7. Peak Demand'!AH9*'DH calcs - old'!AF63</f>
        <v>0</v>
      </c>
      <c r="AL29">
        <f>'2.7. Peak Demand'!AI9*'DH calcs - old'!AG63</f>
        <v>0</v>
      </c>
      <c r="AM29">
        <f>'2.7. Peak Demand'!AJ9*'DH calcs - old'!AH63</f>
        <v>0</v>
      </c>
      <c r="AN29">
        <f>'2.7. Peak Demand'!AK9*'DH calcs - old'!AI63</f>
        <v>0</v>
      </c>
      <c r="AO29">
        <f>'2.7. Peak Demand'!AL9*'DH calcs - old'!AJ63</f>
        <v>0</v>
      </c>
      <c r="AP29">
        <f>'2.7. Peak Demand'!AM9*'DH calcs - old'!AK63</f>
        <v>0</v>
      </c>
    </row>
    <row r="30" spans="2:42">
      <c r="B30" t="str">
        <f t="shared" si="0"/>
        <v>High ElectrificationDH peaking heat pumps</v>
      </c>
      <c r="D30" s="180" t="s">
        <v>814</v>
      </c>
      <c r="G30">
        <f>'2.7. Peak Demand'!D10*'DH calcs - old'!B63</f>
        <v>0</v>
      </c>
      <c r="H30">
        <f>'2.7. Peak Demand'!E10*'DH calcs - old'!C63</f>
        <v>0</v>
      </c>
      <c r="I30">
        <f>'2.7. Peak Demand'!F10*'DH calcs - old'!D63</f>
        <v>0</v>
      </c>
      <c r="J30">
        <f>'2.7. Peak Demand'!G10*'DH calcs - old'!E63</f>
        <v>0</v>
      </c>
      <c r="K30">
        <f>'2.7. Peak Demand'!H10*'DH calcs - old'!F63</f>
        <v>0</v>
      </c>
      <c r="L30">
        <f>'2.7. Peak Demand'!I10*'DH calcs - old'!G63</f>
        <v>0</v>
      </c>
      <c r="M30">
        <f>'2.7. Peak Demand'!J10*'DH calcs - old'!H63</f>
        <v>0</v>
      </c>
      <c r="N30">
        <f>'2.7. Peak Demand'!K10*'DH calcs - old'!I63</f>
        <v>0</v>
      </c>
      <c r="O30">
        <f>'2.7. Peak Demand'!L10*'DH calcs - old'!J63</f>
        <v>0</v>
      </c>
      <c r="P30">
        <f>'2.7. Peak Demand'!M10*'DH calcs - old'!K63</f>
        <v>0</v>
      </c>
      <c r="Q30">
        <f>'2.7. Peak Demand'!N10*'DH calcs - old'!L63</f>
        <v>0</v>
      </c>
      <c r="R30">
        <f>'2.7. Peak Demand'!O10*'DH calcs - old'!M63</f>
        <v>2.402468723493203</v>
      </c>
      <c r="S30">
        <f>'2.7. Peak Demand'!P10*'DH calcs - old'!N63</f>
        <v>4.6989994052253534</v>
      </c>
      <c r="T30">
        <f>'2.7. Peak Demand'!Q10*'DH calcs - old'!O63</f>
        <v>6.8895920451964487</v>
      </c>
      <c r="U30">
        <f>'2.7. Peak Demand'!R10*'DH calcs - old'!P63</f>
        <v>8.9742466434064916</v>
      </c>
      <c r="V30">
        <f>'2.7. Peak Demand'!S10*'DH calcs - old'!Q63</f>
        <v>10.952963199855478</v>
      </c>
      <c r="W30">
        <f>'2.7. Peak Demand'!T10*'DH calcs - old'!R63</f>
        <v>13.23737194482891</v>
      </c>
      <c r="X30">
        <f>'2.7. Peak Demand'!U10*'DH calcs - old'!S63</f>
        <v>15.395442751569034</v>
      </c>
      <c r="Y30">
        <f>'2.7. Peak Demand'!V10*'DH calcs - old'!T63</f>
        <v>17.427175620075843</v>
      </c>
      <c r="Z30">
        <f>'2.7. Peak Demand'!W10*'DH calcs - old'!U63</f>
        <v>19.332570550349345</v>
      </c>
      <c r="AA30">
        <f>'2.7. Peak Demand'!X10*'DH calcs - old'!V63</f>
        <v>21.111627542389531</v>
      </c>
      <c r="AB30">
        <f>'2.7. Peak Demand'!Y10*'DH calcs - old'!W63</f>
        <v>23.009781694931018</v>
      </c>
      <c r="AC30">
        <f>'2.7. Peak Demand'!Z10*'DH calcs - old'!X63</f>
        <v>24.767714306060572</v>
      </c>
      <c r="AD30">
        <f>'2.7. Peak Demand'!AA10*'DH calcs - old'!Y63</f>
        <v>26.385425375778201</v>
      </c>
      <c r="AE30">
        <f>'2.7. Peak Demand'!AB10*'DH calcs - old'!Z63</f>
        <v>27.86291490408389</v>
      </c>
      <c r="AF30">
        <f>'2.7. Peak Demand'!AC10*'DH calcs - old'!AA63</f>
        <v>29.200182890977665</v>
      </c>
      <c r="AG30">
        <f>'2.7. Peak Demand'!AD10*'DH calcs - old'!AB63</f>
        <v>31.256231656896144</v>
      </c>
      <c r="AH30">
        <f>'2.7. Peak Demand'!AE10*'DH calcs - old'!AC63</f>
        <v>33.115463861289825</v>
      </c>
      <c r="AI30">
        <f>'2.7. Peak Demand'!AF10*'DH calcs - old'!AD63</f>
        <v>34.77787950415869</v>
      </c>
      <c r="AJ30">
        <f>'2.7. Peak Demand'!AG10*'DH calcs - old'!AE63</f>
        <v>36.243478585502757</v>
      </c>
      <c r="AK30">
        <f>'2.7. Peak Demand'!AH10*'DH calcs - old'!AF63</f>
        <v>37.512261105322004</v>
      </c>
      <c r="AL30">
        <f>'2.7. Peak Demand'!AI10*'DH calcs - old'!AG63</f>
        <v>37.191868092432905</v>
      </c>
      <c r="AM30">
        <f>'2.7. Peak Demand'!AJ10*'DH calcs - old'!AH63</f>
        <v>36.784482855100606</v>
      </c>
      <c r="AN30">
        <f>'2.7. Peak Demand'!AK10*'DH calcs - old'!AI63</f>
        <v>36.290105393325106</v>
      </c>
      <c r="AO30">
        <f>'2.7. Peak Demand'!AL10*'DH calcs - old'!AJ63</f>
        <v>35.708735707106399</v>
      </c>
      <c r="AP30">
        <f>'2.7. Peak Demand'!AM10*'DH calcs - old'!AK63</f>
        <v>35.040373796444527</v>
      </c>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tabColor theme="4"/>
  </sheetPr>
  <dimension ref="A1:X59"/>
  <sheetViews>
    <sheetView workbookViewId="0">
      <selection activeCell="O35" sqref="O35"/>
    </sheetView>
  </sheetViews>
  <sheetFormatPr defaultColWidth="0" defaultRowHeight="15" zeroHeight="1"/>
  <cols>
    <col min="1" max="24" width="9.140625" style="49" customWidth="1"/>
    <col min="25" max="16384" width="9.140625" style="49" hidden="1"/>
  </cols>
  <sheetData>
    <row r="1" spans="2:2"/>
    <row r="2" spans="2:2"/>
    <row r="3" spans="2:2" ht="46.5">
      <c r="B3" s="52" t="s">
        <v>1192</v>
      </c>
    </row>
    <row r="4" spans="2:2"/>
    <row r="5" spans="2:2"/>
    <row r="6" spans="2:2"/>
    <row r="7" spans="2:2"/>
    <row r="8" spans="2:2"/>
    <row r="9" spans="2:2"/>
    <row r="10" spans="2:2"/>
    <row r="11" spans="2:2"/>
    <row r="12" spans="2:2"/>
    <row r="13" spans="2:2"/>
    <row r="14" spans="2:2"/>
    <row r="15" spans="2:2"/>
    <row r="16" spans="2:2"/>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sheetData>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
    <tabColor theme="4"/>
    <pageSetUpPr autoPageBreaks="0"/>
  </sheetPr>
  <dimension ref="A1:AZ279"/>
  <sheetViews>
    <sheetView zoomScale="80" zoomScaleNormal="80" workbookViewId="0">
      <pane ySplit="2" topLeftCell="A3" activePane="bottomLeft" state="frozen"/>
      <selection activeCell="O35" sqref="O35"/>
      <selection pane="bottomLeft" activeCell="O84" sqref="O84"/>
    </sheetView>
  </sheetViews>
  <sheetFormatPr defaultColWidth="9.140625" defaultRowHeight="15"/>
  <cols>
    <col min="1" max="1" width="2.140625" customWidth="1"/>
    <col min="2" max="2" width="3.5703125" customWidth="1"/>
    <col min="3" max="3" width="2.85546875" customWidth="1"/>
    <col min="4" max="4" width="9.140625" hidden="1" customWidth="1"/>
    <col min="14" max="14" width="22.140625" customWidth="1"/>
    <col min="15" max="15" width="24.85546875" bestFit="1" customWidth="1"/>
    <col min="16" max="16" width="25.42578125" bestFit="1" customWidth="1"/>
    <col min="17" max="17" width="18.140625" bestFit="1" customWidth="1"/>
    <col min="18" max="18" width="18.85546875" bestFit="1" customWidth="1"/>
    <col min="19" max="19" width="18.140625" bestFit="1" customWidth="1"/>
    <col min="20" max="20" width="18.5703125" bestFit="1" customWidth="1"/>
    <col min="21" max="21" width="13.42578125" bestFit="1" customWidth="1"/>
    <col min="22" max="22" width="13.85546875" bestFit="1" customWidth="1"/>
    <col min="23" max="23" width="14.140625" bestFit="1" customWidth="1"/>
    <col min="24" max="24" width="14.42578125" bestFit="1" customWidth="1"/>
    <col min="25" max="25" width="13.85546875" bestFit="1" customWidth="1"/>
    <col min="26" max="26" width="14.85546875" bestFit="1" customWidth="1"/>
    <col min="27" max="27" width="14.140625" bestFit="1" customWidth="1"/>
    <col min="28" max="29" width="14.42578125" bestFit="1" customWidth="1"/>
    <col min="30" max="31" width="14.85546875" bestFit="1" customWidth="1"/>
    <col min="32" max="32" width="15.140625" bestFit="1" customWidth="1"/>
    <col min="33" max="34" width="14.85546875" bestFit="1" customWidth="1"/>
    <col min="35" max="35" width="15" bestFit="1" customWidth="1"/>
    <col min="36" max="36" width="14.85546875" bestFit="1" customWidth="1"/>
    <col min="37" max="37" width="15.42578125" bestFit="1" customWidth="1"/>
    <col min="38" max="38" width="15" bestFit="1" customWidth="1"/>
    <col min="39" max="39" width="15.140625" bestFit="1" customWidth="1"/>
    <col min="40" max="40" width="14.85546875" bestFit="1" customWidth="1"/>
    <col min="41" max="41" width="15.85546875" bestFit="1" customWidth="1"/>
    <col min="42" max="42" width="15" bestFit="1" customWidth="1"/>
    <col min="43" max="44" width="15.42578125" bestFit="1" customWidth="1"/>
    <col min="45" max="45" width="15.140625" bestFit="1" customWidth="1"/>
    <col min="46" max="48" width="15.42578125" bestFit="1" customWidth="1"/>
    <col min="49" max="49" width="15.140625" bestFit="1" customWidth="1"/>
    <col min="50" max="50" width="19.42578125" bestFit="1" customWidth="1"/>
    <col min="52" max="52" width="19.140625" bestFit="1" customWidth="1"/>
    <col min="53" max="53" width="13.85546875" bestFit="1" customWidth="1"/>
    <col min="54" max="54" width="14.140625" bestFit="1" customWidth="1"/>
  </cols>
  <sheetData>
    <row r="1" spans="1:50">
      <c r="A1" s="38"/>
      <c r="B1" s="38"/>
      <c r="C1" s="38"/>
      <c r="D1" s="38"/>
      <c r="E1" s="38"/>
      <c r="F1" s="38"/>
      <c r="G1" s="38"/>
      <c r="H1" s="38"/>
      <c r="I1" s="38"/>
      <c r="J1" s="38"/>
      <c r="K1" s="38"/>
      <c r="L1" s="38"/>
      <c r="M1" s="38"/>
      <c r="N1" s="38"/>
      <c r="O1" s="107"/>
      <c r="P1" s="107"/>
      <c r="Q1" s="107"/>
      <c r="R1" s="107"/>
      <c r="S1" s="107"/>
      <c r="T1" s="107"/>
      <c r="U1" s="107"/>
      <c r="V1" s="107"/>
      <c r="W1" s="107"/>
      <c r="X1" s="107"/>
      <c r="Y1" s="107"/>
      <c r="Z1" s="107"/>
      <c r="AA1" s="107"/>
      <c r="AB1" s="107"/>
      <c r="AC1" s="107"/>
      <c r="AD1" s="107"/>
      <c r="AE1" s="107"/>
      <c r="AF1" s="107"/>
      <c r="AG1" s="107"/>
      <c r="AH1" s="107"/>
      <c r="AI1" s="107"/>
      <c r="AJ1" s="107"/>
      <c r="AK1" s="107"/>
      <c r="AL1" s="107"/>
      <c r="AM1" s="107"/>
      <c r="AN1" s="107"/>
      <c r="AO1" s="107"/>
      <c r="AP1" s="107"/>
      <c r="AQ1" s="107"/>
      <c r="AR1" s="107"/>
      <c r="AS1" s="107"/>
      <c r="AT1" s="107"/>
      <c r="AU1" s="107"/>
      <c r="AV1" s="107"/>
      <c r="AW1" s="107"/>
      <c r="AX1" s="107"/>
    </row>
    <row r="2" spans="1:50">
      <c r="A2" s="38"/>
      <c r="B2" s="38"/>
      <c r="C2" s="38"/>
      <c r="D2" s="38"/>
      <c r="E2" s="60" t="s">
        <v>90</v>
      </c>
      <c r="F2" s="60"/>
      <c r="G2" s="60" t="s">
        <v>749</v>
      </c>
      <c r="H2" s="60"/>
      <c r="I2" s="60" t="s">
        <v>1193</v>
      </c>
      <c r="J2" s="60"/>
      <c r="K2" s="60" t="s">
        <v>179</v>
      </c>
      <c r="L2" s="60"/>
      <c r="M2" s="60" t="s">
        <v>719</v>
      </c>
      <c r="N2" s="38"/>
      <c r="O2" s="200">
        <v>2015</v>
      </c>
      <c r="P2" s="200">
        <v>2016</v>
      </c>
      <c r="Q2" s="200">
        <v>2017</v>
      </c>
      <c r="R2" s="200">
        <v>2018</v>
      </c>
      <c r="S2" s="200">
        <v>2019</v>
      </c>
      <c r="T2" s="200">
        <v>2020</v>
      </c>
      <c r="U2" s="200">
        <v>2021</v>
      </c>
      <c r="V2" s="200">
        <v>2022</v>
      </c>
      <c r="W2" s="200">
        <v>2023</v>
      </c>
      <c r="X2" s="200">
        <v>2024</v>
      </c>
      <c r="Y2" s="200">
        <v>2025</v>
      </c>
      <c r="Z2" s="200">
        <v>2026</v>
      </c>
      <c r="AA2" s="200">
        <v>2027</v>
      </c>
      <c r="AB2" s="200">
        <v>2028</v>
      </c>
      <c r="AC2" s="200">
        <v>2029</v>
      </c>
      <c r="AD2" s="200">
        <v>2030</v>
      </c>
      <c r="AE2" s="200">
        <v>2031</v>
      </c>
      <c r="AF2" s="200">
        <v>2032</v>
      </c>
      <c r="AG2" s="200">
        <v>2033</v>
      </c>
      <c r="AH2" s="200">
        <v>2034</v>
      </c>
      <c r="AI2" s="200">
        <v>2035</v>
      </c>
      <c r="AJ2" s="200">
        <v>2036</v>
      </c>
      <c r="AK2" s="200">
        <v>2037</v>
      </c>
      <c r="AL2" s="200">
        <v>2038</v>
      </c>
      <c r="AM2" s="200">
        <v>2039</v>
      </c>
      <c r="AN2" s="200">
        <v>2040</v>
      </c>
      <c r="AO2" s="200">
        <v>2041</v>
      </c>
      <c r="AP2" s="200">
        <v>2042</v>
      </c>
      <c r="AQ2" s="200">
        <v>2043</v>
      </c>
      <c r="AR2" s="200">
        <v>2044</v>
      </c>
      <c r="AS2" s="200">
        <v>2045</v>
      </c>
      <c r="AT2" s="200">
        <v>2046</v>
      </c>
      <c r="AU2" s="200">
        <v>2047</v>
      </c>
      <c r="AV2" s="200">
        <v>2048</v>
      </c>
      <c r="AW2" s="200">
        <v>2049</v>
      </c>
      <c r="AX2" s="200">
        <v>2050</v>
      </c>
    </row>
    <row r="3" spans="1:50">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row>
    <row r="4" spans="1:50">
      <c r="A4" s="42"/>
      <c r="B4" s="42" t="s">
        <v>1194</v>
      </c>
      <c r="C4" s="42"/>
      <c r="D4" s="42"/>
      <c r="E4" s="42"/>
      <c r="F4" s="42"/>
      <c r="G4" s="42"/>
      <c r="H4" s="42"/>
      <c r="I4" s="42"/>
      <c r="J4" s="42"/>
      <c r="K4" s="42"/>
      <c r="L4" s="42"/>
      <c r="M4" s="42"/>
      <c r="N4" s="42"/>
      <c r="O4" s="108"/>
      <c r="P4" s="108"/>
      <c r="Q4" s="108"/>
      <c r="R4" s="108"/>
      <c r="S4" s="108"/>
      <c r="T4" s="108"/>
      <c r="U4" s="108"/>
      <c r="V4" s="108"/>
      <c r="W4" s="108"/>
      <c r="X4" s="108"/>
      <c r="Y4" s="108"/>
      <c r="Z4" s="108"/>
      <c r="AA4" s="108"/>
      <c r="AB4" s="108"/>
      <c r="AC4" s="108"/>
      <c r="AD4" s="108"/>
      <c r="AE4" s="108"/>
      <c r="AF4" s="108"/>
      <c r="AG4" s="108"/>
      <c r="AH4" s="108"/>
      <c r="AI4" s="108"/>
      <c r="AJ4" s="108"/>
      <c r="AK4" s="108"/>
      <c r="AL4" s="108"/>
      <c r="AM4" s="108"/>
      <c r="AN4" s="108"/>
      <c r="AO4" s="108"/>
      <c r="AP4" s="108"/>
      <c r="AQ4" s="108"/>
      <c r="AR4" s="108"/>
      <c r="AS4" s="108"/>
      <c r="AT4" s="108"/>
      <c r="AU4" s="108"/>
      <c r="AV4" s="108"/>
      <c r="AW4" s="108"/>
      <c r="AX4" s="108"/>
    </row>
    <row r="5" spans="1:50">
      <c r="C5" s="35"/>
      <c r="E5" s="78"/>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row>
    <row r="6" spans="1:50">
      <c r="B6" s="741" t="s">
        <v>1195</v>
      </c>
      <c r="C6" s="742"/>
      <c r="D6" s="742"/>
      <c r="E6" s="742"/>
      <c r="F6" s="742"/>
      <c r="G6" s="742"/>
      <c r="H6" s="742"/>
      <c r="I6" s="742"/>
      <c r="J6" s="742"/>
      <c r="K6" s="742"/>
      <c r="L6" s="742"/>
      <c r="M6" s="742"/>
      <c r="N6" s="742"/>
      <c r="O6" s="742"/>
      <c r="P6" s="742"/>
      <c r="Q6" s="742"/>
      <c r="R6" s="742"/>
      <c r="S6" s="742"/>
      <c r="T6" s="742"/>
      <c r="U6" s="36"/>
      <c r="V6" s="741"/>
      <c r="W6" s="742"/>
      <c r="X6" s="742"/>
      <c r="Y6" s="742"/>
      <c r="Z6" s="742"/>
      <c r="AA6" s="742"/>
      <c r="AB6" s="742"/>
      <c r="AC6" s="742"/>
      <c r="AD6" s="742"/>
      <c r="AE6" s="742"/>
      <c r="AF6" s="742"/>
      <c r="AG6" s="742"/>
      <c r="AH6" s="742"/>
      <c r="AI6" s="742"/>
      <c r="AJ6" s="742"/>
      <c r="AK6" s="742"/>
      <c r="AL6" s="742"/>
      <c r="AM6" s="742"/>
      <c r="AN6" s="742"/>
      <c r="AO6" s="36"/>
      <c r="AP6" s="36"/>
      <c r="AQ6" s="36"/>
      <c r="AR6" s="36"/>
      <c r="AS6" s="36"/>
      <c r="AT6" s="36"/>
      <c r="AU6" s="36"/>
      <c r="AV6" s="36"/>
      <c r="AW6" s="36"/>
      <c r="AX6" s="36"/>
    </row>
    <row r="7" spans="1:50">
      <c r="B7" s="742"/>
      <c r="C7" s="742"/>
      <c r="D7" s="742"/>
      <c r="E7" s="742"/>
      <c r="F7" s="742"/>
      <c r="G7" s="742"/>
      <c r="H7" s="742"/>
      <c r="I7" s="742"/>
      <c r="J7" s="742"/>
      <c r="K7" s="742"/>
      <c r="L7" s="742"/>
      <c r="M7" s="742"/>
      <c r="N7" s="742"/>
      <c r="O7" s="742"/>
      <c r="P7" s="742"/>
      <c r="Q7" s="742"/>
      <c r="R7" s="742"/>
      <c r="S7" s="742"/>
      <c r="T7" s="742"/>
      <c r="U7" s="36"/>
      <c r="V7" s="742"/>
      <c r="W7" s="742"/>
      <c r="X7" s="742"/>
      <c r="Y7" s="742"/>
      <c r="Z7" s="742"/>
      <c r="AA7" s="742"/>
      <c r="AB7" s="742"/>
      <c r="AC7" s="742"/>
      <c r="AD7" s="742"/>
      <c r="AE7" s="742"/>
      <c r="AF7" s="742"/>
      <c r="AG7" s="742"/>
      <c r="AH7" s="742"/>
      <c r="AI7" s="742"/>
      <c r="AJ7" s="742"/>
      <c r="AK7" s="742"/>
      <c r="AL7" s="742"/>
      <c r="AM7" s="742"/>
      <c r="AN7" s="742"/>
      <c r="AO7" s="36"/>
      <c r="AP7" s="36"/>
      <c r="AQ7" s="36"/>
      <c r="AR7" s="36"/>
      <c r="AS7" s="36"/>
      <c r="AT7" s="36"/>
      <c r="AU7" s="36"/>
      <c r="AV7" s="36"/>
      <c r="AW7" s="36"/>
      <c r="AX7" s="36"/>
    </row>
    <row r="8" spans="1:50">
      <c r="B8" s="742"/>
      <c r="C8" s="742"/>
      <c r="D8" s="742"/>
      <c r="E8" s="742"/>
      <c r="F8" s="742"/>
      <c r="G8" s="742"/>
      <c r="H8" s="742"/>
      <c r="I8" s="742"/>
      <c r="J8" s="742"/>
      <c r="K8" s="742"/>
      <c r="L8" s="742"/>
      <c r="M8" s="742"/>
      <c r="N8" s="742"/>
      <c r="O8" s="742"/>
      <c r="P8" s="742"/>
      <c r="Q8" s="742"/>
      <c r="R8" s="742"/>
      <c r="S8" s="742"/>
      <c r="T8" s="742"/>
      <c r="U8" s="36"/>
      <c r="V8" s="742"/>
      <c r="W8" s="742"/>
      <c r="X8" s="742"/>
      <c r="Y8" s="742"/>
      <c r="Z8" s="742"/>
      <c r="AA8" s="742"/>
      <c r="AB8" s="742"/>
      <c r="AC8" s="742"/>
      <c r="AD8" s="742"/>
      <c r="AE8" s="742"/>
      <c r="AF8" s="742"/>
      <c r="AG8" s="742"/>
      <c r="AH8" s="742"/>
      <c r="AI8" s="742"/>
      <c r="AJ8" s="742"/>
      <c r="AK8" s="742"/>
      <c r="AL8" s="742"/>
      <c r="AM8" s="742"/>
      <c r="AN8" s="742"/>
      <c r="AO8" s="36"/>
      <c r="AP8" s="36"/>
      <c r="AQ8" s="36"/>
      <c r="AR8" s="36"/>
      <c r="AS8" s="36"/>
      <c r="AT8" s="36"/>
      <c r="AU8" s="36"/>
      <c r="AV8" s="36"/>
      <c r="AW8" s="36"/>
      <c r="AX8" s="36"/>
    </row>
    <row r="9" spans="1:50">
      <c r="B9" s="742"/>
      <c r="C9" s="742"/>
      <c r="D9" s="742"/>
      <c r="E9" s="742"/>
      <c r="F9" s="742"/>
      <c r="G9" s="742"/>
      <c r="H9" s="742"/>
      <c r="I9" s="742"/>
      <c r="J9" s="742"/>
      <c r="K9" s="742"/>
      <c r="L9" s="742"/>
      <c r="M9" s="742"/>
      <c r="N9" s="742"/>
      <c r="O9" s="742"/>
      <c r="P9" s="742"/>
      <c r="Q9" s="742"/>
      <c r="R9" s="742"/>
      <c r="S9" s="742"/>
      <c r="T9" s="742"/>
      <c r="U9" s="36"/>
      <c r="V9" s="742"/>
      <c r="W9" s="742"/>
      <c r="X9" s="742"/>
      <c r="Y9" s="742"/>
      <c r="Z9" s="742"/>
      <c r="AA9" s="742"/>
      <c r="AB9" s="742"/>
      <c r="AC9" s="742"/>
      <c r="AD9" s="742"/>
      <c r="AE9" s="742"/>
      <c r="AF9" s="742"/>
      <c r="AG9" s="742"/>
      <c r="AH9" s="742"/>
      <c r="AI9" s="742"/>
      <c r="AJ9" s="742"/>
      <c r="AK9" s="742"/>
      <c r="AL9" s="742"/>
      <c r="AM9" s="742"/>
      <c r="AN9" s="742"/>
      <c r="AO9" s="36"/>
      <c r="AP9" s="36"/>
      <c r="AQ9" s="36"/>
      <c r="AR9" s="36"/>
      <c r="AS9" s="36"/>
      <c r="AT9" s="36"/>
      <c r="AU9" s="36"/>
      <c r="AV9" s="36"/>
      <c r="AW9" s="36"/>
      <c r="AX9" s="36"/>
    </row>
    <row r="10" spans="1:50">
      <c r="B10" s="742"/>
      <c r="C10" s="742"/>
      <c r="D10" s="742"/>
      <c r="E10" s="742"/>
      <c r="F10" s="742"/>
      <c r="G10" s="742"/>
      <c r="H10" s="742"/>
      <c r="I10" s="742"/>
      <c r="J10" s="742"/>
      <c r="K10" s="742"/>
      <c r="L10" s="742"/>
      <c r="M10" s="742"/>
      <c r="N10" s="742"/>
      <c r="O10" s="742"/>
      <c r="P10" s="742"/>
      <c r="Q10" s="742"/>
      <c r="R10" s="742"/>
      <c r="S10" s="742"/>
      <c r="T10" s="742"/>
      <c r="U10" s="36"/>
      <c r="V10" s="742"/>
      <c r="W10" s="742"/>
      <c r="X10" s="742"/>
      <c r="Y10" s="742"/>
      <c r="Z10" s="742"/>
      <c r="AA10" s="742"/>
      <c r="AB10" s="742"/>
      <c r="AC10" s="742"/>
      <c r="AD10" s="742"/>
      <c r="AE10" s="742"/>
      <c r="AF10" s="742"/>
      <c r="AG10" s="742"/>
      <c r="AH10" s="742"/>
      <c r="AI10" s="742"/>
      <c r="AJ10" s="742"/>
      <c r="AK10" s="742"/>
      <c r="AL10" s="742"/>
      <c r="AM10" s="742"/>
      <c r="AN10" s="742"/>
      <c r="AO10" s="36"/>
      <c r="AP10" s="36"/>
      <c r="AQ10" s="36"/>
      <c r="AR10" s="36"/>
      <c r="AS10" s="36"/>
      <c r="AT10" s="36"/>
      <c r="AU10" s="36"/>
      <c r="AV10" s="36"/>
      <c r="AW10" s="36"/>
      <c r="AX10" s="36"/>
    </row>
    <row r="11" spans="1:50">
      <c r="B11" s="742"/>
      <c r="C11" s="742"/>
      <c r="D11" s="742"/>
      <c r="E11" s="742"/>
      <c r="F11" s="742"/>
      <c r="G11" s="742"/>
      <c r="H11" s="742"/>
      <c r="I11" s="742"/>
      <c r="J11" s="742"/>
      <c r="K11" s="742"/>
      <c r="L11" s="742"/>
      <c r="M11" s="742"/>
      <c r="N11" s="742"/>
      <c r="O11" s="742"/>
      <c r="P11" s="742"/>
      <c r="Q11" s="742"/>
      <c r="R11" s="742"/>
      <c r="S11" s="742"/>
      <c r="T11" s="742"/>
      <c r="U11" s="36"/>
      <c r="V11" s="742"/>
      <c r="W11" s="742"/>
      <c r="X11" s="742"/>
      <c r="Y11" s="742"/>
      <c r="Z11" s="742"/>
      <c r="AA11" s="742"/>
      <c r="AB11" s="742"/>
      <c r="AC11" s="742"/>
      <c r="AD11" s="742"/>
      <c r="AE11" s="742"/>
      <c r="AF11" s="742"/>
      <c r="AG11" s="742"/>
      <c r="AH11" s="742"/>
      <c r="AI11" s="742"/>
      <c r="AJ11" s="742"/>
      <c r="AK11" s="742"/>
      <c r="AL11" s="742"/>
      <c r="AM11" s="742"/>
      <c r="AN11" s="742"/>
      <c r="AO11" s="36"/>
      <c r="AP11" s="36"/>
      <c r="AQ11" s="36"/>
      <c r="AR11" s="36"/>
      <c r="AS11" s="36"/>
      <c r="AT11" s="36"/>
      <c r="AU11" s="36"/>
      <c r="AV11" s="36"/>
      <c r="AW11" s="36"/>
      <c r="AX11" s="36"/>
    </row>
    <row r="12" spans="1:50">
      <c r="C12" s="35"/>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row>
    <row r="13" spans="1:50">
      <c r="A13" s="244"/>
      <c r="B13" s="244"/>
      <c r="C13" s="243"/>
      <c r="D13" s="244" t="s">
        <v>22</v>
      </c>
      <c r="E13" s="244" t="str">
        <f>Dashboard!D6</f>
        <v>High Electrification</v>
      </c>
      <c r="F13" s="244"/>
      <c r="G13" s="244"/>
      <c r="H13" s="244"/>
      <c r="I13" s="244"/>
      <c r="J13" s="244"/>
      <c r="K13" s="244"/>
      <c r="L13" s="244"/>
      <c r="M13" s="244"/>
      <c r="N13" s="244"/>
      <c r="O13" s="245"/>
      <c r="P13" s="245"/>
      <c r="Q13" s="245"/>
      <c r="R13" s="245"/>
      <c r="S13" s="245"/>
      <c r="T13" s="245"/>
      <c r="U13" s="245"/>
      <c r="V13" s="245"/>
      <c r="W13" s="245"/>
      <c r="X13" s="245"/>
      <c r="Y13" s="245"/>
      <c r="Z13" s="245"/>
      <c r="AA13" s="245"/>
      <c r="AB13" s="245"/>
      <c r="AC13" s="245"/>
      <c r="AD13" s="245"/>
      <c r="AE13" s="245"/>
      <c r="AF13" s="245"/>
      <c r="AG13" s="245"/>
      <c r="AH13" s="245"/>
      <c r="AI13" s="245"/>
      <c r="AJ13" s="245"/>
      <c r="AK13" s="245"/>
      <c r="AL13" s="245"/>
      <c r="AM13" s="245"/>
      <c r="AN13" s="245"/>
      <c r="AO13" s="245"/>
      <c r="AP13" s="245"/>
      <c r="AQ13" s="245"/>
      <c r="AR13" s="245"/>
      <c r="AS13" s="245"/>
      <c r="AT13" s="245"/>
      <c r="AU13" s="245"/>
      <c r="AV13" s="245"/>
      <c r="AW13" s="245"/>
      <c r="AX13" s="245"/>
    </row>
    <row r="14" spans="1:50">
      <c r="A14" s="38"/>
      <c r="B14" s="38"/>
      <c r="C14" s="60"/>
      <c r="D14" s="38"/>
      <c r="E14" s="38"/>
      <c r="F14" s="38"/>
      <c r="G14" s="38"/>
      <c r="H14" s="38"/>
      <c r="I14" s="38"/>
      <c r="J14" s="38"/>
      <c r="K14" s="38"/>
      <c r="L14" s="38"/>
      <c r="M14" s="38"/>
      <c r="N14" s="38"/>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row>
    <row r="15" spans="1:50">
      <c r="A15" s="38"/>
      <c r="B15" s="38"/>
      <c r="C15" s="60"/>
      <c r="D15" s="38"/>
      <c r="E15" s="78" t="s">
        <v>1196</v>
      </c>
      <c r="G15" s="44" t="s">
        <v>452</v>
      </c>
      <c r="I15" s="45"/>
      <c r="K15" s="44"/>
      <c r="M15" s="44"/>
      <c r="O15" s="562">
        <f>LAEI!W44</f>
        <v>0.27289897130113028</v>
      </c>
      <c r="P15" s="562">
        <f>LAEI!X44</f>
        <v>0.27194023087454822</v>
      </c>
      <c r="Q15" s="562">
        <f>LAEI!Y44</f>
        <v>0.27095795761186753</v>
      </c>
      <c r="R15" s="562">
        <f>LAEI!Z44</f>
        <v>0.26995127430679261</v>
      </c>
      <c r="S15" s="562">
        <f>LAEI!AA44</f>
        <v>0.26891925960635421</v>
      </c>
      <c r="T15" s="562">
        <f>LAEI!AB44</f>
        <v>0.26786094519834186</v>
      </c>
      <c r="U15" s="562">
        <f>LAEI!AC44</f>
        <v>0.26807871960931817</v>
      </c>
      <c r="V15" s="562">
        <f>LAEI!AD44</f>
        <v>0.26830015648166977</v>
      </c>
      <c r="W15" s="562">
        <f>LAEI!AE44</f>
        <v>0.26852534899006864</v>
      </c>
      <c r="X15" s="562">
        <f>LAEI!AF44</f>
        <v>0.26875439349675884</v>
      </c>
      <c r="Y15" s="562">
        <f>LAEI!AG44</f>
        <v>0.26898738968904395</v>
      </c>
      <c r="Z15" s="562">
        <f>LAEI!AH44</f>
        <v>0.26891260342037104</v>
      </c>
      <c r="AA15" s="562">
        <f>LAEI!AI44</f>
        <v>0.26883717093299236</v>
      </c>
      <c r="AB15" s="562">
        <f>LAEI!AJ44</f>
        <v>0.26876108381472208</v>
      </c>
      <c r="AC15" s="562">
        <f>LAEI!AK44</f>
        <v>0.26868433350673016</v>
      </c>
      <c r="AD15" s="562">
        <f>LAEI!AL44</f>
        <v>0.26860691130033248</v>
      </c>
      <c r="AE15" s="562">
        <f>LAEI!AM44</f>
        <v>0.26860691130033248</v>
      </c>
      <c r="AF15" s="562">
        <f>LAEI!AN44</f>
        <v>0.26860691130033248</v>
      </c>
      <c r="AG15" s="562">
        <f>LAEI!AO44</f>
        <v>0.26860691130033248</v>
      </c>
      <c r="AH15" s="562">
        <f>LAEI!AP44</f>
        <v>0.26860691130033248</v>
      </c>
      <c r="AI15" s="562">
        <f>LAEI!AQ44</f>
        <v>0.26860691130033248</v>
      </c>
      <c r="AJ15" s="562">
        <f>LAEI!AR44</f>
        <v>0.26860691130033248</v>
      </c>
      <c r="AK15" s="562">
        <f>LAEI!AS44</f>
        <v>0.26860691130033248</v>
      </c>
      <c r="AL15" s="562">
        <f>LAEI!AT44</f>
        <v>0.26860691130033248</v>
      </c>
      <c r="AM15" s="562">
        <f>LAEI!AU44</f>
        <v>0.26860691130033248</v>
      </c>
      <c r="AN15" s="562">
        <f>LAEI!AV44</f>
        <v>0.26860691130033248</v>
      </c>
      <c r="AO15" s="562">
        <f>LAEI!AW44</f>
        <v>0.26860691130033248</v>
      </c>
      <c r="AP15" s="562">
        <f>LAEI!AX44</f>
        <v>0.26860691130033248</v>
      </c>
      <c r="AQ15" s="562">
        <f>LAEI!AY44</f>
        <v>0.26860691130033248</v>
      </c>
      <c r="AR15" s="562">
        <f>LAEI!AZ44</f>
        <v>0.26860691130033248</v>
      </c>
      <c r="AS15" s="562">
        <f>LAEI!BA44</f>
        <v>0.26860691130033248</v>
      </c>
      <c r="AT15" s="562">
        <f>LAEI!BB44</f>
        <v>0.26860691130033248</v>
      </c>
      <c r="AU15" s="562">
        <f>LAEI!BC44</f>
        <v>0.26860691130033248</v>
      </c>
      <c r="AV15" s="562">
        <f>LAEI!BD44</f>
        <v>0.26860691130033248</v>
      </c>
      <c r="AW15" s="562">
        <f>LAEI!BE44</f>
        <v>0.26860691130033248</v>
      </c>
      <c r="AX15" s="562">
        <f>LAEI!BF44</f>
        <v>0.26860691130033248</v>
      </c>
    </row>
    <row r="16" spans="1:50">
      <c r="A16" s="38"/>
      <c r="B16" s="38"/>
      <c r="C16" s="60"/>
      <c r="D16" s="38"/>
      <c r="E16" s="38"/>
      <c r="F16" s="38"/>
      <c r="G16" s="38"/>
      <c r="H16" s="38"/>
      <c r="I16" s="38"/>
      <c r="J16" s="38"/>
      <c r="K16" s="38"/>
      <c r="L16" s="38"/>
      <c r="M16" s="38"/>
      <c r="N16" s="38"/>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row>
    <row r="17" spans="1:50">
      <c r="A17" s="38"/>
      <c r="B17" s="38"/>
      <c r="C17" s="60"/>
      <c r="D17" s="38"/>
      <c r="E17" s="78" t="s">
        <v>233</v>
      </c>
      <c r="G17" s="44" t="s">
        <v>213</v>
      </c>
      <c r="I17" s="45" t="s">
        <v>1197</v>
      </c>
      <c r="K17" s="44" t="s">
        <v>1198</v>
      </c>
      <c r="M17" s="44" t="str">
        <f>I17&amp;K17&amp;$E$13</f>
        <v>Cars - Dieselkt CO2/yearHigh Electrification</v>
      </c>
      <c r="N17" s="38"/>
      <c r="O17" s="438">
        <f t="shared" ref="O17:X26" ca="1" si="0">INDEX(O$96:O$237,MATCH($M17,$M$96:$M$237,0),1)*O$15</f>
        <v>383.75868180833328</v>
      </c>
      <c r="P17" s="438">
        <f t="shared" ca="1" si="0"/>
        <v>393.33917355053444</v>
      </c>
      <c r="Q17" s="438">
        <f t="shared" ca="1" si="0"/>
        <v>393.64060248526056</v>
      </c>
      <c r="R17" s="438">
        <f t="shared" ca="1" si="0"/>
        <v>382.58474725063809</v>
      </c>
      <c r="S17" s="438">
        <f t="shared" ca="1" si="0"/>
        <v>356.46305525365608</v>
      </c>
      <c r="T17" s="438">
        <f t="shared" ca="1" si="0"/>
        <v>340.18847691990123</v>
      </c>
      <c r="U17" s="438">
        <f t="shared" ca="1" si="0"/>
        <v>328.153023853901</v>
      </c>
      <c r="V17" s="438">
        <f t="shared" ca="1" si="0"/>
        <v>303.72858093661466</v>
      </c>
      <c r="W17" s="438">
        <f t="shared" ca="1" si="0"/>
        <v>276.52157797684293</v>
      </c>
      <c r="X17" s="438">
        <f t="shared" ca="1" si="0"/>
        <v>248.96563620052444</v>
      </c>
      <c r="Y17" s="438">
        <f t="shared" ref="Y17:AH26" ca="1" si="1">INDEX(Y$96:Y$237,MATCH($M17,$M$96:$M$237,0),1)*Y$15</f>
        <v>219.34824862816919</v>
      </c>
      <c r="Z17" s="438">
        <f t="shared" ca="1" si="1"/>
        <v>192.80984345607155</v>
      </c>
      <c r="AA17" s="438">
        <f t="shared" ca="1" si="1"/>
        <v>166.16568740684687</v>
      </c>
      <c r="AB17" s="438">
        <f t="shared" ca="1" si="1"/>
        <v>140.62012583023855</v>
      </c>
      <c r="AC17" s="438">
        <f t="shared" ca="1" si="1"/>
        <v>117.03544494605899</v>
      </c>
      <c r="AD17" s="438">
        <f t="shared" ca="1" si="1"/>
        <v>95.757630329834768</v>
      </c>
      <c r="AE17" s="438">
        <f t="shared" ca="1" si="1"/>
        <v>77.128182519748506</v>
      </c>
      <c r="AF17" s="438">
        <f t="shared" ca="1" si="1"/>
        <v>61.356061786737122</v>
      </c>
      <c r="AG17" s="438">
        <f t="shared" ca="1" si="1"/>
        <v>47.705157837084599</v>
      </c>
      <c r="AH17" s="438">
        <f t="shared" ca="1" si="1"/>
        <v>36.517376818039281</v>
      </c>
      <c r="AI17" s="438">
        <f t="shared" ref="AI17:AR26" ca="1" si="2">INDEX(AI$96:AI$237,MATCH($M17,$M$96:$M$237,0),1)*AI$15</f>
        <v>27.480718846285352</v>
      </c>
      <c r="AJ17" s="438">
        <f t="shared" ca="1" si="2"/>
        <v>20.315095314079276</v>
      </c>
      <c r="AK17" s="438">
        <f t="shared" ca="1" si="2"/>
        <v>14.725506603108292</v>
      </c>
      <c r="AL17" s="438">
        <f t="shared" ca="1" si="2"/>
        <v>10.543836481637234</v>
      </c>
      <c r="AM17" s="438">
        <f t="shared" ca="1" si="2"/>
        <v>7.4014202964393325</v>
      </c>
      <c r="AN17" s="438">
        <f t="shared" ca="1" si="2"/>
        <v>5.1102220248522574</v>
      </c>
      <c r="AO17" s="438">
        <f t="shared" ca="1" si="2"/>
        <v>3.5798946504883786</v>
      </c>
      <c r="AP17" s="438">
        <f t="shared" ca="1" si="2"/>
        <v>2.4601306980388356</v>
      </c>
      <c r="AQ17" s="438">
        <f t="shared" ca="1" si="2"/>
        <v>1.6758835774624417</v>
      </c>
      <c r="AR17" s="438">
        <f t="shared" ca="1" si="2"/>
        <v>1.1220456036384707</v>
      </c>
      <c r="AS17" s="438">
        <f t="shared" ref="AS17:AX26" ca="1" si="3">INDEX(AS$96:AS$237,MATCH($M17,$M$96:$M$237,0),1)*AS$15</f>
        <v>0.75561491388790269</v>
      </c>
      <c r="AT17" s="438">
        <f t="shared" ca="1" si="3"/>
        <v>0.49641143911896685</v>
      </c>
      <c r="AU17" s="438">
        <f t="shared" ca="1" si="3"/>
        <v>0.32757028391500653</v>
      </c>
      <c r="AV17" s="438">
        <f t="shared" ca="1" si="3"/>
        <v>0.21951770470938986</v>
      </c>
      <c r="AW17" s="438">
        <f t="shared" ca="1" si="3"/>
        <v>0.14148553300844338</v>
      </c>
      <c r="AX17" s="438">
        <f t="shared" ca="1" si="3"/>
        <v>9.5075261350748896E-2</v>
      </c>
    </row>
    <row r="18" spans="1:50">
      <c r="A18" s="38"/>
      <c r="B18" s="38"/>
      <c r="C18" s="60"/>
      <c r="D18" s="38"/>
      <c r="E18" s="78" t="s">
        <v>233</v>
      </c>
      <c r="G18" s="44" t="s">
        <v>212</v>
      </c>
      <c r="I18" s="45" t="s">
        <v>1199</v>
      </c>
      <c r="K18" s="44" t="s">
        <v>1198</v>
      </c>
      <c r="M18" s="44" t="str">
        <f t="shared" ref="M18:M35" si="4">I18&amp;K18&amp;$E$13</f>
        <v>Cars - Petrolkt CO2/yearHigh Electrification</v>
      </c>
      <c r="N18" s="38"/>
      <c r="O18" s="438">
        <f t="shared" ca="1" si="0"/>
        <v>609.41564731021288</v>
      </c>
      <c r="P18" s="438">
        <f t="shared" ca="1" si="0"/>
        <v>584.51936630687032</v>
      </c>
      <c r="Q18" s="438">
        <f t="shared" ca="1" si="0"/>
        <v>559.91374233911642</v>
      </c>
      <c r="R18" s="438">
        <f t="shared" ca="1" si="0"/>
        <v>545.93053937184823</v>
      </c>
      <c r="S18" s="438">
        <f t="shared" ca="1" si="0"/>
        <v>542.16174935746881</v>
      </c>
      <c r="T18" s="438">
        <f t="shared" ca="1" si="0"/>
        <v>526.25916773701738</v>
      </c>
      <c r="U18" s="438">
        <f t="shared" ca="1" si="0"/>
        <v>504.65510217989589</v>
      </c>
      <c r="V18" s="438">
        <f t="shared" ca="1" si="0"/>
        <v>479.91364837201479</v>
      </c>
      <c r="W18" s="438">
        <f t="shared" ca="1" si="0"/>
        <v>450.22003739698789</v>
      </c>
      <c r="X18" s="438">
        <f t="shared" ca="1" si="0"/>
        <v>421.54401947521097</v>
      </c>
      <c r="Y18" s="438">
        <f t="shared" ca="1" si="1"/>
        <v>387.57771604812859</v>
      </c>
      <c r="Z18" s="438">
        <f t="shared" ca="1" si="1"/>
        <v>356.4998074992875</v>
      </c>
      <c r="AA18" s="438">
        <f t="shared" ca="1" si="1"/>
        <v>322.83196664515003</v>
      </c>
      <c r="AB18" s="438">
        <f t="shared" ca="1" si="1"/>
        <v>289.22379954308849</v>
      </c>
      <c r="AC18" s="438">
        <f t="shared" ca="1" si="1"/>
        <v>255.59796136897916</v>
      </c>
      <c r="AD18" s="438">
        <f t="shared" ca="1" si="1"/>
        <v>222.03713155641469</v>
      </c>
      <c r="AE18" s="438">
        <f t="shared" ca="1" si="1"/>
        <v>192.32412277008612</v>
      </c>
      <c r="AF18" s="438">
        <f t="shared" ca="1" si="1"/>
        <v>165.47190018493555</v>
      </c>
      <c r="AG18" s="438">
        <f t="shared" ca="1" si="1"/>
        <v>140.11640399938815</v>
      </c>
      <c r="AH18" s="438">
        <f t="shared" ca="1" si="1"/>
        <v>117.51622811137341</v>
      </c>
      <c r="AI18" s="438">
        <f t="shared" ca="1" si="2"/>
        <v>96.081853266925918</v>
      </c>
      <c r="AJ18" s="438">
        <f t="shared" ca="1" si="2"/>
        <v>77.475358270366698</v>
      </c>
      <c r="AK18" s="438">
        <f t="shared" ca="1" si="2"/>
        <v>61.51172202532549</v>
      </c>
      <c r="AL18" s="438">
        <f t="shared" ca="1" si="2"/>
        <v>48.541337910229444</v>
      </c>
      <c r="AM18" s="438">
        <f t="shared" ca="1" si="2"/>
        <v>37.654300928774667</v>
      </c>
      <c r="AN18" s="438">
        <f t="shared" ca="1" si="2"/>
        <v>28.977430211460842</v>
      </c>
      <c r="AO18" s="438">
        <f t="shared" ca="1" si="2"/>
        <v>22.638121971963326</v>
      </c>
      <c r="AP18" s="438">
        <f t="shared" ca="1" si="2"/>
        <v>17.474994206842997</v>
      </c>
      <c r="AQ18" s="438">
        <f t="shared" ca="1" si="2"/>
        <v>13.348916718505775</v>
      </c>
      <c r="AR18" s="438">
        <f t="shared" ca="1" si="2"/>
        <v>10.132174379282132</v>
      </c>
      <c r="AS18" s="438">
        <f t="shared" ca="1" si="3"/>
        <v>7.5534771422673357</v>
      </c>
      <c r="AT18" s="438">
        <f t="shared" ca="1" si="3"/>
        <v>5.552472367468158</v>
      </c>
      <c r="AU18" s="438">
        <f t="shared" ca="1" si="3"/>
        <v>4.0240095524553396</v>
      </c>
      <c r="AV18" s="438">
        <f t="shared" ca="1" si="3"/>
        <v>2.8431351513806491</v>
      </c>
      <c r="AW18" s="438">
        <f t="shared" ca="1" si="3"/>
        <v>1.9866847042965945</v>
      </c>
      <c r="AX18" s="438">
        <f t="shared" ca="1" si="3"/>
        <v>1.3705604969788368</v>
      </c>
    </row>
    <row r="19" spans="1:50">
      <c r="C19" s="35"/>
      <c r="E19" s="78" t="s">
        <v>233</v>
      </c>
      <c r="G19" s="44" t="s">
        <v>1200</v>
      </c>
      <c r="I19" s="45" t="s">
        <v>1201</v>
      </c>
      <c r="K19" s="44" t="s">
        <v>1202</v>
      </c>
      <c r="M19" s="44" t="str">
        <f t="shared" si="4"/>
        <v>Cars - ElectricGWh/yearHigh Electrification</v>
      </c>
      <c r="O19" s="438">
        <f t="shared" ca="1" si="0"/>
        <v>0.93886014954949093</v>
      </c>
      <c r="P19" s="438">
        <f t="shared" ca="1" si="0"/>
        <v>1.3124926015055365</v>
      </c>
      <c r="Q19" s="438">
        <f t="shared" ca="1" si="0"/>
        <v>1.9250193203507424</v>
      </c>
      <c r="R19" s="438">
        <f t="shared" ca="1" si="0"/>
        <v>3.4373994886697803</v>
      </c>
      <c r="S19" s="438">
        <f t="shared" ca="1" si="0"/>
        <v>4.8442915913410518</v>
      </c>
      <c r="T19" s="438">
        <f t="shared" ca="1" si="0"/>
        <v>7.1546346987661993</v>
      </c>
      <c r="U19" s="438">
        <f t="shared" ca="1" si="0"/>
        <v>18.647381978502278</v>
      </c>
      <c r="V19" s="438">
        <f t="shared" ca="1" si="0"/>
        <v>44.367005771544918</v>
      </c>
      <c r="W19" s="438">
        <f t="shared" ca="1" si="0"/>
        <v>78.233967867650122</v>
      </c>
      <c r="X19" s="438">
        <f t="shared" ca="1" si="0"/>
        <v>112.3356172570932</v>
      </c>
      <c r="Y19" s="438">
        <f t="shared" ca="1" si="1"/>
        <v>154.51125402140812</v>
      </c>
      <c r="Z19" s="438">
        <f t="shared" ca="1" si="1"/>
        <v>194.9677264274998</v>
      </c>
      <c r="AA19" s="438">
        <f t="shared" ca="1" si="1"/>
        <v>238.32973008066094</v>
      </c>
      <c r="AB19" s="438">
        <f t="shared" ca="1" si="1"/>
        <v>280.58896508981144</v>
      </c>
      <c r="AC19" s="438">
        <f t="shared" ca="1" si="1"/>
        <v>321.2102706736718</v>
      </c>
      <c r="AD19" s="438">
        <f t="shared" ca="1" si="1"/>
        <v>359.71044875862918</v>
      </c>
      <c r="AE19" s="438">
        <f t="shared" ca="1" si="1"/>
        <v>395.88796918127861</v>
      </c>
      <c r="AF19" s="438">
        <f t="shared" ca="1" si="1"/>
        <v>426.34751503800226</v>
      </c>
      <c r="AG19" s="438">
        <f t="shared" ca="1" si="1"/>
        <v>453.14881251815757</v>
      </c>
      <c r="AH19" s="438">
        <f t="shared" ca="1" si="1"/>
        <v>474.53364555211851</v>
      </c>
      <c r="AI19" s="438">
        <f t="shared" ca="1" si="2"/>
        <v>492.44418901658611</v>
      </c>
      <c r="AJ19" s="438">
        <f t="shared" ca="1" si="2"/>
        <v>505.57651367605945</v>
      </c>
      <c r="AK19" s="438">
        <f t="shared" ca="1" si="2"/>
        <v>514.41167012519168</v>
      </c>
      <c r="AL19" s="438">
        <f t="shared" ca="1" si="2"/>
        <v>518.80536350589557</v>
      </c>
      <c r="AM19" s="438">
        <f t="shared" ca="1" si="2"/>
        <v>519.94631664042777</v>
      </c>
      <c r="AN19" s="438">
        <f t="shared" ca="1" si="2"/>
        <v>517.94384210178396</v>
      </c>
      <c r="AO19" s="438">
        <f t="shared" ca="1" si="2"/>
        <v>523.13849109592013</v>
      </c>
      <c r="AP19" s="438">
        <f t="shared" ca="1" si="2"/>
        <v>526.75094205625078</v>
      </c>
      <c r="AQ19" s="438">
        <f t="shared" ca="1" si="2"/>
        <v>528.92189081312813</v>
      </c>
      <c r="AR19" s="438">
        <f t="shared" ca="1" si="2"/>
        <v>530.01227048681244</v>
      </c>
      <c r="AS19" s="438">
        <f t="shared" ca="1" si="3"/>
        <v>530.18452594789994</v>
      </c>
      <c r="AT19" s="438">
        <f t="shared" ca="1" si="3"/>
        <v>529.65924086152472</v>
      </c>
      <c r="AU19" s="438">
        <f t="shared" ca="1" si="3"/>
        <v>528.50220719345509</v>
      </c>
      <c r="AV19" s="438">
        <f t="shared" ca="1" si="3"/>
        <v>526.97462866556793</v>
      </c>
      <c r="AW19" s="438">
        <f t="shared" ca="1" si="3"/>
        <v>525.00059549342302</v>
      </c>
      <c r="AX19" s="438">
        <f t="shared" ca="1" si="3"/>
        <v>522.71485111538823</v>
      </c>
    </row>
    <row r="20" spans="1:50">
      <c r="C20" s="35"/>
      <c r="E20" s="78" t="s">
        <v>233</v>
      </c>
      <c r="G20" s="44" t="s">
        <v>1203</v>
      </c>
      <c r="I20" s="45" t="s">
        <v>1204</v>
      </c>
      <c r="K20" s="44" t="s">
        <v>1202</v>
      </c>
      <c r="M20" s="44" t="str">
        <f t="shared" si="4"/>
        <v>Cars - H2GWh/yearHigh Electrification</v>
      </c>
      <c r="O20" s="438">
        <f t="shared" ca="1" si="0"/>
        <v>0</v>
      </c>
      <c r="P20" s="438">
        <f t="shared" ca="1" si="0"/>
        <v>0</v>
      </c>
      <c r="Q20" s="438">
        <f t="shared" ca="1" si="0"/>
        <v>0</v>
      </c>
      <c r="R20" s="438">
        <f t="shared" ca="1" si="0"/>
        <v>0</v>
      </c>
      <c r="S20" s="438">
        <f t="shared" ca="1" si="0"/>
        <v>0</v>
      </c>
      <c r="T20" s="438">
        <f t="shared" ca="1" si="0"/>
        <v>0</v>
      </c>
      <c r="U20" s="438">
        <f t="shared" ca="1" si="0"/>
        <v>0</v>
      </c>
      <c r="V20" s="438">
        <f t="shared" ca="1" si="0"/>
        <v>0</v>
      </c>
      <c r="W20" s="438">
        <f t="shared" ca="1" si="0"/>
        <v>8.1071443969939677E-2</v>
      </c>
      <c r="X20" s="438">
        <f t="shared" ca="1" si="0"/>
        <v>0.19531998455295291</v>
      </c>
      <c r="Y20" s="438">
        <f t="shared" ca="1" si="1"/>
        <v>0.37544745576297744</v>
      </c>
      <c r="Z20" s="438">
        <f t="shared" ca="1" si="1"/>
        <v>0.57906086141428348</v>
      </c>
      <c r="AA20" s="438">
        <f t="shared" ca="1" si="1"/>
        <v>0.7631393424783609</v>
      </c>
      <c r="AB20" s="438">
        <f t="shared" ca="1" si="1"/>
        <v>1.2666622823473799</v>
      </c>
      <c r="AC20" s="438">
        <f t="shared" ca="1" si="1"/>
        <v>1.7298380082974569</v>
      </c>
      <c r="AD20" s="438">
        <f t="shared" ca="1" si="1"/>
        <v>2.2768427766523422</v>
      </c>
      <c r="AE20" s="438">
        <f t="shared" ca="1" si="1"/>
        <v>2.8298861984356227</v>
      </c>
      <c r="AF20" s="438">
        <f t="shared" ca="1" si="1"/>
        <v>3.4202285813193485</v>
      </c>
      <c r="AG20" s="438">
        <f t="shared" ca="1" si="1"/>
        <v>4.1211123476573501</v>
      </c>
      <c r="AH20" s="438">
        <f t="shared" ca="1" si="1"/>
        <v>5.1375457337173529</v>
      </c>
      <c r="AI20" s="438">
        <f t="shared" ca="1" si="2"/>
        <v>6.4097541408830585</v>
      </c>
      <c r="AJ20" s="438">
        <f t="shared" ca="1" si="2"/>
        <v>7.8288648829341732</v>
      </c>
      <c r="AK20" s="438">
        <f t="shared" ca="1" si="2"/>
        <v>9.3871949738304199</v>
      </c>
      <c r="AL20" s="438">
        <f t="shared" ca="1" si="2"/>
        <v>11.026735125740791</v>
      </c>
      <c r="AM20" s="438">
        <f t="shared" ca="1" si="2"/>
        <v>12.871620894888265</v>
      </c>
      <c r="AN20" s="438">
        <f t="shared" ca="1" si="2"/>
        <v>14.845365593217558</v>
      </c>
      <c r="AO20" s="438">
        <f t="shared" ca="1" si="2"/>
        <v>17.103548146616543</v>
      </c>
      <c r="AP20" s="438">
        <f t="shared" ca="1" si="2"/>
        <v>19.340474583947579</v>
      </c>
      <c r="AQ20" s="438">
        <f t="shared" ca="1" si="2"/>
        <v>21.663822362246073</v>
      </c>
      <c r="AR20" s="438">
        <f t="shared" ca="1" si="2"/>
        <v>23.879846694823396</v>
      </c>
      <c r="AS20" s="438">
        <f t="shared" ca="1" si="3"/>
        <v>26.210626695771285</v>
      </c>
      <c r="AT20" s="438">
        <f t="shared" ca="1" si="3"/>
        <v>28.535367938279155</v>
      </c>
      <c r="AU20" s="438">
        <f t="shared" ca="1" si="3"/>
        <v>30.934225497902798</v>
      </c>
      <c r="AV20" s="438">
        <f t="shared" ca="1" si="3"/>
        <v>33.249627196614895</v>
      </c>
      <c r="AW20" s="438">
        <f t="shared" ca="1" si="3"/>
        <v>35.668659775742221</v>
      </c>
      <c r="AX20" s="438">
        <f t="shared" ca="1" si="3"/>
        <v>38.11331999311853</v>
      </c>
    </row>
    <row r="21" spans="1:50">
      <c r="E21" t="s">
        <v>234</v>
      </c>
      <c r="G21" s="44" t="s">
        <v>213</v>
      </c>
      <c r="I21" s="45" t="s">
        <v>1205</v>
      </c>
      <c r="K21" s="44" t="s">
        <v>1198</v>
      </c>
      <c r="M21" s="44" t="str">
        <f t="shared" si="4"/>
        <v>LGVs - Dieselkt CO2/yearHigh Electrification</v>
      </c>
      <c r="O21" s="438">
        <f t="shared" ca="1" si="0"/>
        <v>5.4895406928145506E-2</v>
      </c>
      <c r="P21" s="438">
        <f t="shared" ca="1" si="0"/>
        <v>0.27981569970226061</v>
      </c>
      <c r="Q21" s="438">
        <f t="shared" ca="1" si="0"/>
        <v>0.5270422785797676</v>
      </c>
      <c r="R21" s="438">
        <f t="shared" ca="1" si="0"/>
        <v>0.72689454968333089</v>
      </c>
      <c r="S21" s="438">
        <f t="shared" ca="1" si="0"/>
        <v>0.88129156621122884</v>
      </c>
      <c r="T21" s="438">
        <f t="shared" ca="1" si="0"/>
        <v>0.62679695104032707</v>
      </c>
      <c r="U21" s="438">
        <f t="shared" ca="1" si="0"/>
        <v>0.66663257198893777</v>
      </c>
      <c r="V21" s="438">
        <f t="shared" ca="1" si="0"/>
        <v>0.77543558352050856</v>
      </c>
      <c r="W21" s="438">
        <f t="shared" ca="1" si="0"/>
        <v>0.98197630034548999</v>
      </c>
      <c r="X21" s="438">
        <f t="shared" ca="1" si="0"/>
        <v>1.3430426024297619</v>
      </c>
      <c r="Y21" s="438">
        <f t="shared" ca="1" si="1"/>
        <v>1.5125908288039247</v>
      </c>
      <c r="Z21" s="438">
        <f t="shared" ca="1" si="1"/>
        <v>1.5913674095348616</v>
      </c>
      <c r="AA21" s="438">
        <f t="shared" ca="1" si="1"/>
        <v>2.190408691856518</v>
      </c>
      <c r="AB21" s="438">
        <f t="shared" ca="1" si="1"/>
        <v>2.8360593899351274</v>
      </c>
      <c r="AC21" s="438">
        <f t="shared" ca="1" si="1"/>
        <v>3.4686393506555855</v>
      </c>
      <c r="AD21" s="438">
        <f t="shared" ca="1" si="1"/>
        <v>3.5854725046669085</v>
      </c>
      <c r="AE21" s="438">
        <f t="shared" ca="1" si="1"/>
        <v>3.4364042516055093</v>
      </c>
      <c r="AF21" s="438">
        <f t="shared" ca="1" si="1"/>
        <v>3.4368623658937203</v>
      </c>
      <c r="AG21" s="438">
        <f t="shared" ca="1" si="1"/>
        <v>3.3448688626765577</v>
      </c>
      <c r="AH21" s="438">
        <f t="shared" ca="1" si="1"/>
        <v>3.2989071677279558</v>
      </c>
      <c r="AI21" s="438">
        <f t="shared" ca="1" si="2"/>
        <v>3.1442196192234984</v>
      </c>
      <c r="AJ21" s="438">
        <f t="shared" ca="1" si="2"/>
        <v>2.7412182007132486</v>
      </c>
      <c r="AK21" s="438">
        <f t="shared" ca="1" si="2"/>
        <v>2.5394457165620348</v>
      </c>
      <c r="AL21" s="438">
        <f t="shared" ca="1" si="2"/>
        <v>2.5563086124123182</v>
      </c>
      <c r="AM21" s="438">
        <f t="shared" ca="1" si="2"/>
        <v>2.4704346400851751</v>
      </c>
      <c r="AN21" s="438">
        <f t="shared" ca="1" si="2"/>
        <v>2.2641106355417926</v>
      </c>
      <c r="AO21" s="438">
        <f t="shared" ca="1" si="2"/>
        <v>1.8872197363615815</v>
      </c>
      <c r="AP21" s="438">
        <f t="shared" ca="1" si="2"/>
        <v>1.7875698064769894</v>
      </c>
      <c r="AQ21" s="438">
        <f t="shared" ca="1" si="2"/>
        <v>1.7393880620008404</v>
      </c>
      <c r="AR21" s="438">
        <f t="shared" ca="1" si="2"/>
        <v>1.6180424188606137</v>
      </c>
      <c r="AS21" s="438">
        <f t="shared" ca="1" si="3"/>
        <v>1.3563177767498205</v>
      </c>
      <c r="AT21" s="438">
        <f t="shared" ca="1" si="3"/>
        <v>1.2134972237675481</v>
      </c>
      <c r="AU21" s="438">
        <f t="shared" ca="1" si="3"/>
        <v>1.1017726444357372</v>
      </c>
      <c r="AV21" s="438">
        <f t="shared" ca="1" si="3"/>
        <v>1.0297027449228908</v>
      </c>
      <c r="AW21" s="438">
        <f t="shared" ca="1" si="3"/>
        <v>0.9439290841675253</v>
      </c>
      <c r="AX21" s="438">
        <f t="shared" ca="1" si="3"/>
        <v>0.91450852556111695</v>
      </c>
    </row>
    <row r="22" spans="1:50">
      <c r="E22" t="s">
        <v>234</v>
      </c>
      <c r="G22" s="44" t="s">
        <v>212</v>
      </c>
      <c r="I22" s="45" t="s">
        <v>1206</v>
      </c>
      <c r="K22" s="44" t="s">
        <v>1198</v>
      </c>
      <c r="M22" s="44" t="str">
        <f t="shared" si="4"/>
        <v>LGVs - Petrolkt CO2/yearHigh Electrification</v>
      </c>
      <c r="O22" s="438">
        <f t="shared" ca="1" si="0"/>
        <v>246.15279118769089</v>
      </c>
      <c r="P22" s="438">
        <f t="shared" ca="1" si="0"/>
        <v>247.1288754597814</v>
      </c>
      <c r="Q22" s="438">
        <f t="shared" ca="1" si="0"/>
        <v>245.2606285829593</v>
      </c>
      <c r="R22" s="438">
        <f t="shared" ca="1" si="0"/>
        <v>243.19850583144066</v>
      </c>
      <c r="S22" s="438">
        <f t="shared" ca="1" si="0"/>
        <v>244.47369389057346</v>
      </c>
      <c r="T22" s="438">
        <f t="shared" ca="1" si="0"/>
        <v>212.48268966279554</v>
      </c>
      <c r="U22" s="438">
        <f t="shared" ca="1" si="0"/>
        <v>211.8226362483943</v>
      </c>
      <c r="V22" s="438">
        <f t="shared" ca="1" si="0"/>
        <v>210.95063560629845</v>
      </c>
      <c r="W22" s="438">
        <f t="shared" ca="1" si="0"/>
        <v>209.27420599877382</v>
      </c>
      <c r="X22" s="438">
        <f t="shared" ca="1" si="0"/>
        <v>207.48818772846681</v>
      </c>
      <c r="Y22" s="438">
        <f t="shared" ca="1" si="1"/>
        <v>204.33986111942673</v>
      </c>
      <c r="Z22" s="438">
        <f t="shared" ca="1" si="1"/>
        <v>198.26631113614519</v>
      </c>
      <c r="AA22" s="438">
        <f t="shared" ca="1" si="1"/>
        <v>184.36804463121084</v>
      </c>
      <c r="AB22" s="438">
        <f t="shared" ca="1" si="1"/>
        <v>170.21046470029879</v>
      </c>
      <c r="AC22" s="438">
        <f t="shared" ca="1" si="1"/>
        <v>154.91782112599594</v>
      </c>
      <c r="AD22" s="438">
        <f t="shared" ca="1" si="1"/>
        <v>134.28463826697919</v>
      </c>
      <c r="AE22" s="438">
        <f t="shared" ca="1" si="1"/>
        <v>116.76957703377403</v>
      </c>
      <c r="AF22" s="438">
        <f t="shared" ca="1" si="1"/>
        <v>100.07437429459898</v>
      </c>
      <c r="AG22" s="438">
        <f t="shared" ca="1" si="1"/>
        <v>84.525426765255489</v>
      </c>
      <c r="AH22" s="438">
        <f t="shared" ca="1" si="1"/>
        <v>71.648627050991522</v>
      </c>
      <c r="AI22" s="438">
        <f t="shared" ca="1" si="2"/>
        <v>59.743876873543762</v>
      </c>
      <c r="AJ22" s="438">
        <f t="shared" ca="1" si="2"/>
        <v>48.857530070351793</v>
      </c>
      <c r="AK22" s="438">
        <f t="shared" ca="1" si="2"/>
        <v>39.08091633191956</v>
      </c>
      <c r="AL22" s="438">
        <f t="shared" ca="1" si="2"/>
        <v>30.500794190532233</v>
      </c>
      <c r="AM22" s="438">
        <f t="shared" ca="1" si="2"/>
        <v>23.175938132505948</v>
      </c>
      <c r="AN22" s="438">
        <f t="shared" ca="1" si="2"/>
        <v>17.118817302209816</v>
      </c>
      <c r="AO22" s="438">
        <f t="shared" ca="1" si="2"/>
        <v>12.279877167428385</v>
      </c>
      <c r="AP22" s="438">
        <f t="shared" ca="1" si="2"/>
        <v>8.5543839866208735</v>
      </c>
      <c r="AQ22" s="438">
        <f t="shared" ca="1" si="2"/>
        <v>5.7923334908711785</v>
      </c>
      <c r="AR22" s="438">
        <f t="shared" ca="1" si="2"/>
        <v>3.8199586298289034</v>
      </c>
      <c r="AS22" s="438">
        <f t="shared" ca="1" si="3"/>
        <v>2.4603832110580384</v>
      </c>
      <c r="AT22" s="438">
        <f t="shared" ca="1" si="3"/>
        <v>1.5531270217293593</v>
      </c>
      <c r="AU22" s="438">
        <f t="shared" ca="1" si="3"/>
        <v>0.96443064152442048</v>
      </c>
      <c r="AV22" s="438">
        <f t="shared" ca="1" si="3"/>
        <v>0.59088030103833411</v>
      </c>
      <c r="AW22" s="438">
        <f t="shared" ca="1" si="3"/>
        <v>0.35821741148303393</v>
      </c>
      <c r="AX22" s="438">
        <f t="shared" ca="1" si="3"/>
        <v>0.21542609763432372</v>
      </c>
    </row>
    <row r="23" spans="1:50">
      <c r="E23" t="s">
        <v>234</v>
      </c>
      <c r="G23" s="44" t="s">
        <v>1200</v>
      </c>
      <c r="I23" s="45" t="s">
        <v>1207</v>
      </c>
      <c r="K23" s="44" t="s">
        <v>1202</v>
      </c>
      <c r="M23" s="44" t="str">
        <f t="shared" si="4"/>
        <v>LGVs - ElectricGWh/yearHigh Electrification</v>
      </c>
      <c r="O23" s="438">
        <f t="shared" ca="1" si="0"/>
        <v>0.15227753673384309</v>
      </c>
      <c r="P23" s="438">
        <f t="shared" ca="1" si="0"/>
        <v>0.97292899899431173</v>
      </c>
      <c r="Q23" s="438">
        <f t="shared" ca="1" si="0"/>
        <v>2.0509585562161567</v>
      </c>
      <c r="R23" s="438">
        <f t="shared" ca="1" si="0"/>
        <v>3.0442702166270785</v>
      </c>
      <c r="S23" s="438">
        <f t="shared" ca="1" si="0"/>
        <v>4.1396512431903787</v>
      </c>
      <c r="T23" s="438">
        <f t="shared" ca="1" si="0"/>
        <v>3.9319477762156105</v>
      </c>
      <c r="U23" s="438">
        <f t="shared" ca="1" si="0"/>
        <v>4.4826113907709333</v>
      </c>
      <c r="V23" s="438">
        <f t="shared" ca="1" si="0"/>
        <v>5.5807956957532685</v>
      </c>
      <c r="W23" s="438">
        <f t="shared" ca="1" si="0"/>
        <v>7.3675850020461287</v>
      </c>
      <c r="X23" s="438">
        <f t="shared" ca="1" si="0"/>
        <v>9.2353166443019923</v>
      </c>
      <c r="Y23" s="438">
        <f t="shared" ca="1" si="1"/>
        <v>12.29774533457903</v>
      </c>
      <c r="Z23" s="438">
        <f t="shared" ca="1" si="1"/>
        <v>17.5513050850548</v>
      </c>
      <c r="AA23" s="438">
        <f t="shared" ca="1" si="1"/>
        <v>29.190984861458503</v>
      </c>
      <c r="AB23" s="438">
        <f t="shared" ca="1" si="1"/>
        <v>40.873534254489051</v>
      </c>
      <c r="AC23" s="438">
        <f t="shared" ca="1" si="1"/>
        <v>53.39123362864153</v>
      </c>
      <c r="AD23" s="438">
        <f t="shared" ca="1" si="1"/>
        <v>69.537693109739209</v>
      </c>
      <c r="AE23" s="438">
        <f t="shared" ca="1" si="1"/>
        <v>84.157130141348702</v>
      </c>
      <c r="AF23" s="438">
        <f t="shared" ca="1" si="1"/>
        <v>97.380970049472594</v>
      </c>
      <c r="AG23" s="438">
        <f t="shared" ca="1" si="1"/>
        <v>109.13304059297026</v>
      </c>
      <c r="AH23" s="438">
        <f t="shared" ca="1" si="1"/>
        <v>118.56324257720779</v>
      </c>
      <c r="AI23" s="438">
        <f t="shared" ca="1" si="2"/>
        <v>126.67234173808957</v>
      </c>
      <c r="AJ23" s="438">
        <f t="shared" ca="1" si="2"/>
        <v>133.50245954794846</v>
      </c>
      <c r="AK23" s="438">
        <f t="shared" ca="1" si="2"/>
        <v>139.04551528713219</v>
      </c>
      <c r="AL23" s="438">
        <f t="shared" ca="1" si="2"/>
        <v>143.29154636836725</v>
      </c>
      <c r="AM23" s="438">
        <f t="shared" ca="1" si="2"/>
        <v>146.25334429817593</v>
      </c>
      <c r="AN23" s="438">
        <f t="shared" ca="1" si="2"/>
        <v>147.91945843262792</v>
      </c>
      <c r="AO23" s="438">
        <f t="shared" ca="1" si="2"/>
        <v>148.5250230020965</v>
      </c>
      <c r="AP23" s="438">
        <f t="shared" ca="1" si="2"/>
        <v>148.24054616689477</v>
      </c>
      <c r="AQ23" s="438">
        <f t="shared" ca="1" si="2"/>
        <v>147.25127569993987</v>
      </c>
      <c r="AR23" s="438">
        <f t="shared" ca="1" si="2"/>
        <v>145.73751243712232</v>
      </c>
      <c r="AS23" s="438">
        <f t="shared" ca="1" si="3"/>
        <v>143.85222675934352</v>
      </c>
      <c r="AT23" s="438">
        <f t="shared" ca="1" si="3"/>
        <v>141.75821750382133</v>
      </c>
      <c r="AU23" s="438">
        <f t="shared" ca="1" si="3"/>
        <v>139.58885098672869</v>
      </c>
      <c r="AV23" s="438">
        <f t="shared" ca="1" si="3"/>
        <v>137.45383251711277</v>
      </c>
      <c r="AW23" s="438">
        <f t="shared" ca="1" si="3"/>
        <v>135.4094111981855</v>
      </c>
      <c r="AX23" s="438">
        <f t="shared" ca="1" si="3"/>
        <v>133.48056329407734</v>
      </c>
    </row>
    <row r="24" spans="1:50">
      <c r="E24" t="s">
        <v>234</v>
      </c>
      <c r="G24" s="44" t="s">
        <v>1203</v>
      </c>
      <c r="I24" s="45" t="s">
        <v>1208</v>
      </c>
      <c r="K24" s="44" t="s">
        <v>1202</v>
      </c>
      <c r="M24" s="44" t="str">
        <f t="shared" si="4"/>
        <v>LGVs - H2GWh/yearHigh Electrification</v>
      </c>
      <c r="O24" s="438">
        <f t="shared" ca="1" si="0"/>
        <v>0</v>
      </c>
      <c r="P24" s="438">
        <f t="shared" ca="1" si="0"/>
        <v>0</v>
      </c>
      <c r="Q24" s="438">
        <f t="shared" ca="1" si="0"/>
        <v>0</v>
      </c>
      <c r="R24" s="438">
        <f t="shared" ca="1" si="0"/>
        <v>0</v>
      </c>
      <c r="S24" s="438">
        <f t="shared" ca="1" si="0"/>
        <v>0</v>
      </c>
      <c r="T24" s="438">
        <f t="shared" ca="1" si="0"/>
        <v>0</v>
      </c>
      <c r="U24" s="438">
        <f t="shared" ca="1" si="0"/>
        <v>0</v>
      </c>
      <c r="V24" s="438">
        <f t="shared" ca="1" si="0"/>
        <v>0</v>
      </c>
      <c r="W24" s="438">
        <f t="shared" ca="1" si="0"/>
        <v>0</v>
      </c>
      <c r="X24" s="438">
        <f t="shared" ca="1" si="0"/>
        <v>0</v>
      </c>
      <c r="Y24" s="438">
        <f t="shared" ca="1" si="1"/>
        <v>2.2742334800086661E-3</v>
      </c>
      <c r="Z24" s="438">
        <f t="shared" ca="1" si="1"/>
        <v>4.3712356643567936E-2</v>
      </c>
      <c r="AA24" s="438">
        <f t="shared" ca="1" si="1"/>
        <v>0.65494306407799086</v>
      </c>
      <c r="AB24" s="438">
        <f t="shared" ca="1" si="1"/>
        <v>0.76377259258860952</v>
      </c>
      <c r="AC24" s="438">
        <f t="shared" ca="1" si="1"/>
        <v>0.9021565478243545</v>
      </c>
      <c r="AD24" s="438">
        <f t="shared" ca="1" si="1"/>
        <v>3.0635844386183315</v>
      </c>
      <c r="AE24" s="438">
        <f t="shared" ca="1" si="1"/>
        <v>5.6385066374751238</v>
      </c>
      <c r="AF24" s="438">
        <f t="shared" ca="1" si="1"/>
        <v>9.1003864954479443</v>
      </c>
      <c r="AG24" s="438">
        <f t="shared" ca="1" si="1"/>
        <v>13.331321156833111</v>
      </c>
      <c r="AH24" s="438">
        <f t="shared" ca="1" si="1"/>
        <v>17.482562993189589</v>
      </c>
      <c r="AI24" s="438">
        <f t="shared" ca="1" si="2"/>
        <v>22.750074167570613</v>
      </c>
      <c r="AJ24" s="438">
        <f t="shared" ca="1" si="2"/>
        <v>28.581736253786804</v>
      </c>
      <c r="AK24" s="438">
        <f t="shared" ca="1" si="2"/>
        <v>34.858608278121238</v>
      </c>
      <c r="AL24" s="438">
        <f t="shared" ca="1" si="2"/>
        <v>41.47484858950483</v>
      </c>
      <c r="AM24" s="438">
        <f t="shared" ca="1" si="2"/>
        <v>48.261131933568187</v>
      </c>
      <c r="AN24" s="438">
        <f t="shared" ca="1" si="2"/>
        <v>55.27582187443376</v>
      </c>
      <c r="AO24" s="438">
        <f t="shared" ca="1" si="2"/>
        <v>62.209302921354748</v>
      </c>
      <c r="AP24" s="438">
        <f t="shared" ca="1" si="2"/>
        <v>68.925702523547642</v>
      </c>
      <c r="AQ24" s="438">
        <f t="shared" ca="1" si="2"/>
        <v>75.329507628215737</v>
      </c>
      <c r="AR24" s="438">
        <f t="shared" ca="1" si="2"/>
        <v>81.368339050781827</v>
      </c>
      <c r="AS24" s="438">
        <f t="shared" ca="1" si="3"/>
        <v>87.039865253409005</v>
      </c>
      <c r="AT24" s="438">
        <f t="shared" ca="1" si="3"/>
        <v>92.311304935646874</v>
      </c>
      <c r="AU24" s="438">
        <f t="shared" ca="1" si="3"/>
        <v>97.164394279403098</v>
      </c>
      <c r="AV24" s="438">
        <f t="shared" ca="1" si="3"/>
        <v>101.58098448053551</v>
      </c>
      <c r="AW24" s="438">
        <f t="shared" ca="1" si="3"/>
        <v>105.58640233077189</v>
      </c>
      <c r="AX24" s="438">
        <f t="shared" ca="1" si="3"/>
        <v>109.22300891446086</v>
      </c>
    </row>
    <row r="25" spans="1:50">
      <c r="E25" t="s">
        <v>235</v>
      </c>
      <c r="G25" s="44" t="s">
        <v>213</v>
      </c>
      <c r="I25" s="45" t="s">
        <v>1209</v>
      </c>
      <c r="K25" s="44" t="s">
        <v>1198</v>
      </c>
      <c r="M25" s="44" t="str">
        <f t="shared" si="4"/>
        <v>HGVs - Dieselkt CO2/yearHigh Electrification</v>
      </c>
      <c r="O25" s="438">
        <f t="shared" ca="1" si="0"/>
        <v>308.04365612309687</v>
      </c>
      <c r="P25" s="438">
        <f t="shared" ca="1" si="0"/>
        <v>309.95528864631029</v>
      </c>
      <c r="Q25" s="438">
        <f t="shared" ca="1" si="0"/>
        <v>308.93349802908688</v>
      </c>
      <c r="R25" s="438">
        <f t="shared" ca="1" si="0"/>
        <v>307.71539809269592</v>
      </c>
      <c r="S25" s="438">
        <f t="shared" ca="1" si="0"/>
        <v>306.46863953093373</v>
      </c>
      <c r="T25" s="438">
        <f t="shared" ca="1" si="0"/>
        <v>305.1924560290006</v>
      </c>
      <c r="U25" s="438">
        <f t="shared" ca="1" si="0"/>
        <v>306.49376374359036</v>
      </c>
      <c r="V25" s="438">
        <f t="shared" ca="1" si="0"/>
        <v>307.28154059646528</v>
      </c>
      <c r="W25" s="438">
        <f t="shared" ca="1" si="0"/>
        <v>308.56876165907227</v>
      </c>
      <c r="X25" s="438">
        <f t="shared" ca="1" si="0"/>
        <v>309.36734948990988</v>
      </c>
      <c r="Y25" s="438">
        <f t="shared" ca="1" si="1"/>
        <v>310.27079254414383</v>
      </c>
      <c r="Z25" s="438">
        <f t="shared" ca="1" si="1"/>
        <v>307.12358637947068</v>
      </c>
      <c r="AA25" s="438">
        <f t="shared" ca="1" si="1"/>
        <v>303.47230436666382</v>
      </c>
      <c r="AB25" s="438">
        <f t="shared" ca="1" si="1"/>
        <v>300.27776471948522</v>
      </c>
      <c r="AC25" s="438">
        <f t="shared" ca="1" si="1"/>
        <v>296.59810090991766</v>
      </c>
      <c r="AD25" s="438">
        <f t="shared" ca="1" si="1"/>
        <v>293.3564657437272</v>
      </c>
      <c r="AE25" s="438">
        <f t="shared" ca="1" si="1"/>
        <v>271.71929942555215</v>
      </c>
      <c r="AF25" s="438">
        <f t="shared" ca="1" si="1"/>
        <v>250.43996842022094</v>
      </c>
      <c r="AG25" s="438">
        <f t="shared" ca="1" si="1"/>
        <v>229.51908543872599</v>
      </c>
      <c r="AH25" s="438">
        <f t="shared" ca="1" si="1"/>
        <v>208.95726319205988</v>
      </c>
      <c r="AI25" s="438">
        <f t="shared" ca="1" si="2"/>
        <v>189.01204090392466</v>
      </c>
      <c r="AJ25" s="438">
        <f t="shared" ca="1" si="2"/>
        <v>165.32084245786027</v>
      </c>
      <c r="AK25" s="438">
        <f t="shared" ca="1" si="2"/>
        <v>142.06581123874943</v>
      </c>
      <c r="AL25" s="438">
        <f t="shared" ca="1" si="2"/>
        <v>119.24777204985135</v>
      </c>
      <c r="AM25" s="438">
        <f t="shared" ca="1" si="2"/>
        <v>96.867549694425264</v>
      </c>
      <c r="AN25" s="438">
        <f t="shared" ca="1" si="2"/>
        <v>74.99677743090767</v>
      </c>
      <c r="AO25" s="438">
        <f t="shared" ca="1" si="2"/>
        <v>63.109507584261678</v>
      </c>
      <c r="AP25" s="438">
        <f t="shared" ca="1" si="2"/>
        <v>51.446013273728155</v>
      </c>
      <c r="AQ25" s="438">
        <f t="shared" ca="1" si="2"/>
        <v>40.006331860491265</v>
      </c>
      <c r="AR25" s="438">
        <f t="shared" ca="1" si="2"/>
        <v>28.790500705735134</v>
      </c>
      <c r="AS25" s="438">
        <f t="shared" ca="1" si="3"/>
        <v>17.798557170643896</v>
      </c>
      <c r="AT25" s="438">
        <f t="shared" ca="1" si="3"/>
        <v>14.395927995374322</v>
      </c>
      <c r="AU25" s="438">
        <f t="shared" ca="1" si="3"/>
        <v>11.061274622762298</v>
      </c>
      <c r="AV25" s="438">
        <f t="shared" ca="1" si="3"/>
        <v>7.794611063251871</v>
      </c>
      <c r="AW25" s="438">
        <f t="shared" ca="1" si="3"/>
        <v>4.5959513272871018</v>
      </c>
      <c r="AX25" s="438">
        <f t="shared" ca="1" si="3"/>
        <v>1.4653094253120513</v>
      </c>
    </row>
    <row r="26" spans="1:50">
      <c r="E26" t="s">
        <v>235</v>
      </c>
      <c r="G26" s="44" t="s">
        <v>1200</v>
      </c>
      <c r="I26" s="45" t="s">
        <v>1210</v>
      </c>
      <c r="K26" s="44" t="s">
        <v>1202</v>
      </c>
      <c r="M26" s="44" t="str">
        <f t="shared" si="4"/>
        <v>HGVs - ElectricGWh/yearHigh Electrification</v>
      </c>
      <c r="O26" s="438">
        <f t="shared" ca="1" si="0"/>
        <v>0</v>
      </c>
      <c r="P26" s="438">
        <f t="shared" ca="1" si="0"/>
        <v>0</v>
      </c>
      <c r="Q26" s="438">
        <f t="shared" ca="1" si="0"/>
        <v>0</v>
      </c>
      <c r="R26" s="438">
        <f t="shared" ca="1" si="0"/>
        <v>0</v>
      </c>
      <c r="S26" s="438">
        <f t="shared" ca="1" si="0"/>
        <v>0</v>
      </c>
      <c r="T26" s="438">
        <f t="shared" ca="1" si="0"/>
        <v>0</v>
      </c>
      <c r="U26" s="438">
        <f t="shared" ca="1" si="0"/>
        <v>0</v>
      </c>
      <c r="V26" s="438">
        <f t="shared" ca="1" si="0"/>
        <v>0</v>
      </c>
      <c r="W26" s="438">
        <f t="shared" ca="1" si="0"/>
        <v>0</v>
      </c>
      <c r="X26" s="438">
        <f t="shared" ca="1" si="0"/>
        <v>0</v>
      </c>
      <c r="Y26" s="438">
        <f t="shared" ca="1" si="1"/>
        <v>0</v>
      </c>
      <c r="Z26" s="438">
        <f t="shared" ca="1" si="1"/>
        <v>8.6312357087521079</v>
      </c>
      <c r="AA26" s="438">
        <f t="shared" ca="1" si="1"/>
        <v>17.291601032114972</v>
      </c>
      <c r="AB26" s="438">
        <f t="shared" ca="1" si="1"/>
        <v>26.031039197315817</v>
      </c>
      <c r="AC26" s="438">
        <f t="shared" ca="1" si="1"/>
        <v>34.766045828087158</v>
      </c>
      <c r="AD26" s="438">
        <f t="shared" ca="1" si="1"/>
        <v>43.613235868666536</v>
      </c>
      <c r="AE26" s="438">
        <f t="shared" ca="1" si="1"/>
        <v>79.706069574524676</v>
      </c>
      <c r="AF26" s="438">
        <f t="shared" ca="1" si="1"/>
        <v>115.8405565398625</v>
      </c>
      <c r="AG26" s="438">
        <f t="shared" ca="1" si="1"/>
        <v>152.01669676467998</v>
      </c>
      <c r="AH26" s="438">
        <f t="shared" ca="1" si="1"/>
        <v>188.23449024897715</v>
      </c>
      <c r="AI26" s="438">
        <f t="shared" ca="1" si="2"/>
        <v>224.88684445422706</v>
      </c>
      <c r="AJ26" s="438">
        <f t="shared" ca="1" si="2"/>
        <v>269.54830346380544</v>
      </c>
      <c r="AK26" s="438">
        <f t="shared" ca="1" si="2"/>
        <v>314.26952584568073</v>
      </c>
      <c r="AL26" s="438">
        <f t="shared" ca="1" si="2"/>
        <v>359.050511599853</v>
      </c>
      <c r="AM26" s="438">
        <f t="shared" ca="1" si="2"/>
        <v>403.89126072632212</v>
      </c>
      <c r="AN26" s="438">
        <f t="shared" ca="1" si="2"/>
        <v>449.49424414105505</v>
      </c>
      <c r="AO26" s="438">
        <f t="shared" ca="1" si="2"/>
        <v>474.15323674200789</v>
      </c>
      <c r="AP26" s="438">
        <f t="shared" ca="1" si="2"/>
        <v>498.81541953593944</v>
      </c>
      <c r="AQ26" s="438">
        <f t="shared" ca="1" si="2"/>
        <v>523.48079252284958</v>
      </c>
      <c r="AR26" s="438">
        <f t="shared" ca="1" si="2"/>
        <v>548.14935570273883</v>
      </c>
      <c r="AS26" s="438">
        <f t="shared" ca="1" si="3"/>
        <v>572.82110907560627</v>
      </c>
      <c r="AT26" s="438">
        <f t="shared" ca="1" si="3"/>
        <v>581.84999939936881</v>
      </c>
      <c r="AU26" s="438">
        <f t="shared" ca="1" si="3"/>
        <v>590.88021897020531</v>
      </c>
      <c r="AV26" s="438">
        <f t="shared" ca="1" si="3"/>
        <v>599.91176778811655</v>
      </c>
      <c r="AW26" s="438">
        <f t="shared" ca="1" si="3"/>
        <v>608.94464585310232</v>
      </c>
      <c r="AX26" s="438">
        <f t="shared" ca="1" si="3"/>
        <v>617.97885316516249</v>
      </c>
    </row>
    <row r="27" spans="1:50">
      <c r="E27" t="s">
        <v>235</v>
      </c>
      <c r="G27" s="44" t="s">
        <v>1203</v>
      </c>
      <c r="I27" s="45" t="s">
        <v>1211</v>
      </c>
      <c r="K27" s="44" t="s">
        <v>1202</v>
      </c>
      <c r="M27" s="44" t="str">
        <f t="shared" si="4"/>
        <v>HGVs - H2GWh/yearHigh Electrification</v>
      </c>
      <c r="O27" s="438">
        <f t="shared" ref="O27:X35" ca="1" si="5">INDEX(O$96:O$237,MATCH($M27,$M$96:$M$237,0),1)*O$15</f>
        <v>0</v>
      </c>
      <c r="P27" s="438">
        <f t="shared" ca="1" si="5"/>
        <v>0</v>
      </c>
      <c r="Q27" s="438">
        <f t="shared" ca="1" si="5"/>
        <v>0</v>
      </c>
      <c r="R27" s="438">
        <f t="shared" ca="1" si="5"/>
        <v>0</v>
      </c>
      <c r="S27" s="438">
        <f t="shared" ca="1" si="5"/>
        <v>0</v>
      </c>
      <c r="T27" s="438">
        <f t="shared" ca="1" si="5"/>
        <v>0</v>
      </c>
      <c r="U27" s="438">
        <f t="shared" ca="1" si="5"/>
        <v>0</v>
      </c>
      <c r="V27" s="438">
        <f t="shared" ca="1" si="5"/>
        <v>0</v>
      </c>
      <c r="W27" s="438">
        <f t="shared" ca="1" si="5"/>
        <v>0</v>
      </c>
      <c r="X27" s="438">
        <f t="shared" ca="1" si="5"/>
        <v>0</v>
      </c>
      <c r="Y27" s="438">
        <f t="shared" ref="Y27:AH35" ca="1" si="6">INDEX(Y$96:Y$237,MATCH($M27,$M$96:$M$237,0),1)*Y$15</f>
        <v>0</v>
      </c>
      <c r="Z27" s="438">
        <f t="shared" ca="1" si="6"/>
        <v>2.2343178726611574</v>
      </c>
      <c r="AA27" s="438">
        <f t="shared" ca="1" si="6"/>
        <v>4.4042558051749401</v>
      </c>
      <c r="AB27" s="438">
        <f t="shared" ca="1" si="6"/>
        <v>6.5225426421544803</v>
      </c>
      <c r="AC27" s="438">
        <f t="shared" ca="1" si="6"/>
        <v>8.5668458303252653</v>
      </c>
      <c r="AD27" s="438">
        <f t="shared" ca="1" si="6"/>
        <v>10.566596064605605</v>
      </c>
      <c r="AE27" s="438">
        <f t="shared" ca="1" si="6"/>
        <v>18.158630747408328</v>
      </c>
      <c r="AF27" s="438">
        <f t="shared" ca="1" si="6"/>
        <v>25.671119061623447</v>
      </c>
      <c r="AG27" s="438">
        <f t="shared" ca="1" si="6"/>
        <v>33.103994603503949</v>
      </c>
      <c r="AH27" s="438">
        <f t="shared" ca="1" si="6"/>
        <v>40.457190969302864</v>
      </c>
      <c r="AI27" s="438">
        <f t="shared" ref="AI27:AR35" ca="1" si="7">INDEX(AI$96:AI$237,MATCH($M27,$M$96:$M$237,0),1)*AI$15</f>
        <v>47.852437590519962</v>
      </c>
      <c r="AJ27" s="438">
        <f t="shared" ca="1" si="7"/>
        <v>56.742884120142051</v>
      </c>
      <c r="AK27" s="438">
        <f t="shared" ca="1" si="7"/>
        <v>65.534104788031584</v>
      </c>
      <c r="AL27" s="438">
        <f t="shared" ca="1" si="7"/>
        <v>74.226033190441541</v>
      </c>
      <c r="AM27" s="438">
        <f t="shared" ca="1" si="7"/>
        <v>82.818602923624951</v>
      </c>
      <c r="AN27" s="438">
        <f t="shared" ca="1" si="7"/>
        <v>91.558299744657887</v>
      </c>
      <c r="AO27" s="438">
        <f t="shared" ca="1" si="7"/>
        <v>95.398459191481308</v>
      </c>
      <c r="AP27" s="438">
        <f t="shared" ca="1" si="7"/>
        <v>99.238618638304743</v>
      </c>
      <c r="AQ27" s="438">
        <f t="shared" ca="1" si="7"/>
        <v>103.07877808512818</v>
      </c>
      <c r="AR27" s="438">
        <f t="shared" ca="1" si="7"/>
        <v>106.91893753195157</v>
      </c>
      <c r="AS27" s="438">
        <f t="shared" ref="AS27:AX35" ca="1" si="8">INDEX(AS$96:AS$237,MATCH($M27,$M$96:$M$237,0),1)*AS$15</f>
        <v>110.75909697877499</v>
      </c>
      <c r="AT27" s="438">
        <f t="shared" ca="1" si="8"/>
        <v>110.38815193243046</v>
      </c>
      <c r="AU27" s="438">
        <f t="shared" ca="1" si="8"/>
        <v>110.01706005351556</v>
      </c>
      <c r="AV27" s="438">
        <f t="shared" ca="1" si="8"/>
        <v>109.64582134203032</v>
      </c>
      <c r="AW27" s="438">
        <f t="shared" ca="1" si="8"/>
        <v>109.27443579797473</v>
      </c>
      <c r="AX27" s="438">
        <f t="shared" ca="1" si="8"/>
        <v>108.90290342134877</v>
      </c>
    </row>
    <row r="28" spans="1:50">
      <c r="E28" t="s">
        <v>236</v>
      </c>
      <c r="G28" s="44" t="s">
        <v>213</v>
      </c>
      <c r="I28" s="45" t="s">
        <v>1212</v>
      </c>
      <c r="K28" s="44" t="s">
        <v>1198</v>
      </c>
      <c r="M28" s="44" t="str">
        <f t="shared" si="4"/>
        <v>Buses - Dieselkt CO2/yearHigh Electrification</v>
      </c>
      <c r="O28" s="438">
        <f t="shared" ca="1" si="5"/>
        <v>255.36868930765806</v>
      </c>
      <c r="P28" s="438">
        <f t="shared" ca="1" si="5"/>
        <v>253.96784955621203</v>
      </c>
      <c r="Q28" s="438">
        <f t="shared" ca="1" si="5"/>
        <v>250.15351570505157</v>
      </c>
      <c r="R28" s="438">
        <f t="shared" ca="1" si="5"/>
        <v>246.20044749932293</v>
      </c>
      <c r="S28" s="438">
        <f t="shared" ca="1" si="5"/>
        <v>242.24685691351047</v>
      </c>
      <c r="T28" s="438">
        <f t="shared" ca="1" si="5"/>
        <v>235.91664229982231</v>
      </c>
      <c r="U28" s="438">
        <f t="shared" ca="1" si="5"/>
        <v>233.1602895266812</v>
      </c>
      <c r="V28" s="438">
        <f t="shared" ca="1" si="5"/>
        <v>220.95265152472993</v>
      </c>
      <c r="W28" s="438">
        <f t="shared" ca="1" si="5"/>
        <v>205.74482242370371</v>
      </c>
      <c r="X28" s="438">
        <f t="shared" ca="1" si="5"/>
        <v>190.42703023798293</v>
      </c>
      <c r="Y28" s="438">
        <f t="shared" ca="1" si="6"/>
        <v>174.98812538373087</v>
      </c>
      <c r="Z28" s="438">
        <f t="shared" ca="1" si="6"/>
        <v>155.88909047282328</v>
      </c>
      <c r="AA28" s="438">
        <f t="shared" ca="1" si="6"/>
        <v>137.08126744651619</v>
      </c>
      <c r="AB28" s="438">
        <f t="shared" ca="1" si="6"/>
        <v>117.91132793552777</v>
      </c>
      <c r="AC28" s="438">
        <f t="shared" ca="1" si="6"/>
        <v>98.706040077546234</v>
      </c>
      <c r="AD28" s="438">
        <f t="shared" ca="1" si="6"/>
        <v>79.465571079427917</v>
      </c>
      <c r="AE28" s="438">
        <f t="shared" ca="1" si="6"/>
        <v>72.694463139723808</v>
      </c>
      <c r="AF28" s="438">
        <f t="shared" ca="1" si="6"/>
        <v>66.031692027423873</v>
      </c>
      <c r="AG28" s="438">
        <f t="shared" ca="1" si="6"/>
        <v>59.477637321546297</v>
      </c>
      <c r="AH28" s="438">
        <f t="shared" ca="1" si="6"/>
        <v>53.032678601109232</v>
      </c>
      <c r="AI28" s="438">
        <f t="shared" ca="1" si="7"/>
        <v>46.697195445130902</v>
      </c>
      <c r="AJ28" s="438">
        <f t="shared" ca="1" si="7"/>
        <v>41.049732681667024</v>
      </c>
      <c r="AK28" s="438">
        <f t="shared" ca="1" si="7"/>
        <v>35.501379947377202</v>
      </c>
      <c r="AL28" s="438">
        <f t="shared" ca="1" si="7"/>
        <v>30.052478863377814</v>
      </c>
      <c r="AM28" s="438">
        <f t="shared" ca="1" si="7"/>
        <v>24.703371050785204</v>
      </c>
      <c r="AN28" s="438">
        <f t="shared" ca="1" si="7"/>
        <v>19.454398130715763</v>
      </c>
      <c r="AO28" s="438">
        <f t="shared" ca="1" si="7"/>
        <v>16.510232584220287</v>
      </c>
      <c r="AP28" s="438">
        <f t="shared" ca="1" si="7"/>
        <v>13.62102557202739</v>
      </c>
      <c r="AQ28" s="438">
        <f t="shared" ca="1" si="7"/>
        <v>10.786795136262734</v>
      </c>
      <c r="AR28" s="438">
        <f t="shared" ca="1" si="7"/>
        <v>8.0075593190519996</v>
      </c>
      <c r="AS28" s="438">
        <f t="shared" ca="1" si="8"/>
        <v>5.2833361625208521</v>
      </c>
      <c r="AT28" s="438">
        <f t="shared" ca="1" si="8"/>
        <v>4.3569061813249341</v>
      </c>
      <c r="AU28" s="438">
        <f t="shared" ca="1" si="8"/>
        <v>3.4488177630501395</v>
      </c>
      <c r="AV28" s="438">
        <f t="shared" ca="1" si="8"/>
        <v>2.5590769217383591</v>
      </c>
      <c r="AW28" s="438">
        <f t="shared" ca="1" si="8"/>
        <v>1.6876896714314815</v>
      </c>
      <c r="AX28" s="438">
        <f t="shared" ca="1" si="8"/>
        <v>0.83466202617139751</v>
      </c>
    </row>
    <row r="29" spans="1:50">
      <c r="E29" t="s">
        <v>236</v>
      </c>
      <c r="G29" s="44" t="s">
        <v>1200</v>
      </c>
      <c r="I29" s="45" t="s">
        <v>1213</v>
      </c>
      <c r="K29" s="44" t="s">
        <v>1202</v>
      </c>
      <c r="M29" s="44" t="str">
        <f t="shared" si="4"/>
        <v>Buses - ElectricGWh/yearHigh Electrification</v>
      </c>
      <c r="O29" s="438">
        <f t="shared" ca="1" si="5"/>
        <v>3.2713595644756208</v>
      </c>
      <c r="P29" s="438">
        <f t="shared" ca="1" si="5"/>
        <v>3.2924160317544264</v>
      </c>
      <c r="Q29" s="438">
        <f t="shared" ca="1" si="5"/>
        <v>3.282315520939072</v>
      </c>
      <c r="R29" s="438">
        <f t="shared" ca="1" si="5"/>
        <v>3.0150212353514312</v>
      </c>
      <c r="S29" s="438">
        <f t="shared" ca="1" si="5"/>
        <v>2.749367222708011</v>
      </c>
      <c r="T29" s="438">
        <f t="shared" ca="1" si="5"/>
        <v>4.7001887328245626</v>
      </c>
      <c r="U29" s="438">
        <f t="shared" ca="1" si="5"/>
        <v>8.3320711230298201</v>
      </c>
      <c r="V29" s="438">
        <f t="shared" ca="1" si="5"/>
        <v>22.837763031515578</v>
      </c>
      <c r="W29" s="438">
        <f t="shared" ca="1" si="5"/>
        <v>37.371074927263301</v>
      </c>
      <c r="X29" s="438">
        <f t="shared" ca="1" si="5"/>
        <v>51.932642383729366</v>
      </c>
      <c r="Y29" s="438">
        <f t="shared" ca="1" si="6"/>
        <v>66.523122905360879</v>
      </c>
      <c r="Z29" s="438">
        <f t="shared" ca="1" si="6"/>
        <v>84.395430682452655</v>
      </c>
      <c r="AA29" s="438">
        <f t="shared" ca="1" si="6"/>
        <v>102.10440319842472</v>
      </c>
      <c r="AB29" s="438">
        <f t="shared" ca="1" si="6"/>
        <v>119.65003773980733</v>
      </c>
      <c r="AC29" s="438">
        <f t="shared" ca="1" si="6"/>
        <v>137.03233154582873</v>
      </c>
      <c r="AD29" s="438">
        <f t="shared" ca="1" si="6"/>
        <v>154.2512818073794</v>
      </c>
      <c r="AE29" s="438">
        <f t="shared" ca="1" si="6"/>
        <v>163.53096372680915</v>
      </c>
      <c r="AF29" s="438">
        <f t="shared" ca="1" si="6"/>
        <v>172.83030810949677</v>
      </c>
      <c r="AG29" s="438">
        <f t="shared" ca="1" si="6"/>
        <v>182.14931495544229</v>
      </c>
      <c r="AH29" s="438">
        <f t="shared" ca="1" si="6"/>
        <v>191.48798426464569</v>
      </c>
      <c r="AI29" s="438">
        <f t="shared" ca="1" si="7"/>
        <v>200.8463160371071</v>
      </c>
      <c r="AJ29" s="438">
        <f t="shared" ca="1" si="7"/>
        <v>210.22350742740903</v>
      </c>
      <c r="AK29" s="438">
        <f t="shared" ca="1" si="7"/>
        <v>219.62044579101303</v>
      </c>
      <c r="AL29" s="438">
        <f t="shared" ca="1" si="7"/>
        <v>229.0371311279192</v>
      </c>
      <c r="AM29" s="438">
        <f t="shared" ca="1" si="7"/>
        <v>238.47356343812726</v>
      </c>
      <c r="AN29" s="438">
        <f t="shared" ca="1" si="7"/>
        <v>247.92974272163741</v>
      </c>
      <c r="AO29" s="438">
        <f t="shared" ca="1" si="7"/>
        <v>253.22303199792944</v>
      </c>
      <c r="AP29" s="438">
        <f t="shared" ca="1" si="7"/>
        <v>258.51746355693712</v>
      </c>
      <c r="AQ29" s="438">
        <f t="shared" ca="1" si="7"/>
        <v>263.81303739866019</v>
      </c>
      <c r="AR29" s="438">
        <f t="shared" ca="1" si="7"/>
        <v>269.10975352309902</v>
      </c>
      <c r="AS29" s="438">
        <f t="shared" ca="1" si="8"/>
        <v>274.40761193025332</v>
      </c>
      <c r="AT29" s="438">
        <f t="shared" ca="1" si="8"/>
        <v>277.30564622973935</v>
      </c>
      <c r="AU29" s="438">
        <f t="shared" ca="1" si="8"/>
        <v>280.20430359252481</v>
      </c>
      <c r="AV29" s="438">
        <f t="shared" ca="1" si="8"/>
        <v>283.10358401860952</v>
      </c>
      <c r="AW29" s="438">
        <f t="shared" ca="1" si="8"/>
        <v>286.00348750799384</v>
      </c>
      <c r="AX29" s="438">
        <f t="shared" ca="1" si="8"/>
        <v>288.90401406067741</v>
      </c>
    </row>
    <row r="30" spans="1:50">
      <c r="C30" s="35"/>
      <c r="E30" s="78" t="s">
        <v>236</v>
      </c>
      <c r="G30" s="44" t="s">
        <v>1203</v>
      </c>
      <c r="I30" s="45" t="s">
        <v>1214</v>
      </c>
      <c r="K30" s="44" t="s">
        <v>1202</v>
      </c>
      <c r="M30" s="44" t="str">
        <f t="shared" si="4"/>
        <v>Buses - H2GWh/yearHigh Electrification</v>
      </c>
      <c r="O30" s="438">
        <f t="shared" ca="1" si="5"/>
        <v>0</v>
      </c>
      <c r="P30" s="438">
        <f t="shared" ca="1" si="5"/>
        <v>0</v>
      </c>
      <c r="Q30" s="438">
        <f t="shared" ca="1" si="5"/>
        <v>0</v>
      </c>
      <c r="R30" s="438">
        <f t="shared" ca="1" si="5"/>
        <v>0</v>
      </c>
      <c r="S30" s="438">
        <f t="shared" ca="1" si="5"/>
        <v>0</v>
      </c>
      <c r="T30" s="438">
        <f t="shared" ca="1" si="5"/>
        <v>0</v>
      </c>
      <c r="U30" s="438">
        <f t="shared" ca="1" si="5"/>
        <v>1.0469998357257853</v>
      </c>
      <c r="V30" s="438">
        <f t="shared" ca="1" si="5"/>
        <v>1.0444886150827202</v>
      </c>
      <c r="W30" s="438">
        <f t="shared" ca="1" si="5"/>
        <v>1.0419863950777288</v>
      </c>
      <c r="X30" s="438">
        <f t="shared" ca="1" si="5"/>
        <v>1.0394934066495052</v>
      </c>
      <c r="Y30" s="438">
        <f t="shared" ca="1" si="6"/>
        <v>1.0370098887054751</v>
      </c>
      <c r="Z30" s="438">
        <f t="shared" ca="1" si="6"/>
        <v>5.4520399681882719</v>
      </c>
      <c r="AA30" s="438">
        <f t="shared" ca="1" si="6"/>
        <v>8.8254893256329954</v>
      </c>
      <c r="AB30" s="438">
        <f t="shared" ca="1" si="6"/>
        <v>13.221621175372187</v>
      </c>
      <c r="AC30" s="438">
        <f t="shared" ca="1" si="6"/>
        <v>17.60660269770505</v>
      </c>
      <c r="AD30" s="438">
        <f t="shared" ca="1" si="6"/>
        <v>21.980377044417779</v>
      </c>
      <c r="AE30" s="438">
        <f t="shared" ca="1" si="6"/>
        <v>28.109058762462514</v>
      </c>
      <c r="AF30" s="438">
        <f t="shared" ca="1" si="6"/>
        <v>34.169983426001828</v>
      </c>
      <c r="AG30" s="438">
        <f t="shared" ca="1" si="6"/>
        <v>40.162901977167728</v>
      </c>
      <c r="AH30" s="438">
        <f t="shared" ca="1" si="6"/>
        <v>46.087565358092249</v>
      </c>
      <c r="AI30" s="438">
        <f t="shared" ca="1" si="7"/>
        <v>51.94372451090743</v>
      </c>
      <c r="AJ30" s="438">
        <f t="shared" ca="1" si="7"/>
        <v>56.515738159266405</v>
      </c>
      <c r="AK30" s="438">
        <f t="shared" ca="1" si="7"/>
        <v>61.032408799757263</v>
      </c>
      <c r="AL30" s="438">
        <f t="shared" ca="1" si="7"/>
        <v>65.493537186085618</v>
      </c>
      <c r="AM30" s="438">
        <f t="shared" ca="1" si="7"/>
        <v>69.898924071957111</v>
      </c>
      <c r="AN30" s="438">
        <f t="shared" ca="1" si="7"/>
        <v>74.248370211077358</v>
      </c>
      <c r="AO30" s="438">
        <f t="shared" ca="1" si="7"/>
        <v>76.632608607322894</v>
      </c>
      <c r="AP30" s="438">
        <f t="shared" ca="1" si="7"/>
        <v>79.017361146172533</v>
      </c>
      <c r="AQ30" s="438">
        <f t="shared" ca="1" si="7"/>
        <v>81.402627827626276</v>
      </c>
      <c r="AR30" s="438">
        <f t="shared" ca="1" si="7"/>
        <v>83.788408651684108</v>
      </c>
      <c r="AS30" s="438">
        <f t="shared" ca="1" si="8"/>
        <v>86.174703618346015</v>
      </c>
      <c r="AT30" s="438">
        <f t="shared" ca="1" si="8"/>
        <v>85.58964988440357</v>
      </c>
      <c r="AU30" s="438">
        <f t="shared" ca="1" si="8"/>
        <v>85.004467614810125</v>
      </c>
      <c r="AV30" s="438">
        <f t="shared" ca="1" si="8"/>
        <v>84.419156809565621</v>
      </c>
      <c r="AW30" s="438">
        <f t="shared" ca="1" si="8"/>
        <v>83.833717468670116</v>
      </c>
      <c r="AX30" s="438">
        <f t="shared" ca="1" si="8"/>
        <v>83.24814959212361</v>
      </c>
    </row>
    <row r="31" spans="1:50">
      <c r="A31" s="35"/>
      <c r="B31" s="35"/>
      <c r="C31" s="35"/>
      <c r="D31" s="35"/>
      <c r="E31" s="78" t="s">
        <v>237</v>
      </c>
      <c r="F31" s="35"/>
      <c r="G31" s="44" t="s">
        <v>213</v>
      </c>
      <c r="I31" s="45" t="s">
        <v>1215</v>
      </c>
      <c r="K31" s="44" t="s">
        <v>1198</v>
      </c>
      <c r="M31" s="44" t="str">
        <f t="shared" si="4"/>
        <v>Taxis - Dieselkt CO2/yearHigh Electrification</v>
      </c>
      <c r="O31" s="438">
        <f t="shared" ca="1" si="5"/>
        <v>30.322967255371534</v>
      </c>
      <c r="P31" s="438">
        <f t="shared" ca="1" si="5"/>
        <v>27.296388552572768</v>
      </c>
      <c r="Q31" s="438">
        <f t="shared" ca="1" si="5"/>
        <v>24.179899284928783</v>
      </c>
      <c r="R31" s="438">
        <f t="shared" ca="1" si="5"/>
        <v>21.247062014722214</v>
      </c>
      <c r="S31" s="438">
        <f t="shared" ca="1" si="5"/>
        <v>17.285632641579497</v>
      </c>
      <c r="T31" s="438">
        <f t="shared" ca="1" si="5"/>
        <v>17.274904319419132</v>
      </c>
      <c r="U31" s="438">
        <f t="shared" ca="1" si="5"/>
        <v>14.811678655908674</v>
      </c>
      <c r="V31" s="438">
        <f t="shared" ca="1" si="5"/>
        <v>12.437532846995749</v>
      </c>
      <c r="W31" s="438">
        <f t="shared" ca="1" si="5"/>
        <v>10.178981633172148</v>
      </c>
      <c r="X31" s="438">
        <f t="shared" ca="1" si="5"/>
        <v>8.4641118135182136</v>
      </c>
      <c r="Y31" s="438">
        <f t="shared" ca="1" si="6"/>
        <v>7.0449486730884745</v>
      </c>
      <c r="Z31" s="438">
        <f t="shared" ca="1" si="6"/>
        <v>6.0091598551734062</v>
      </c>
      <c r="AA31" s="438">
        <f t="shared" ca="1" si="6"/>
        <v>4.9778245305186744</v>
      </c>
      <c r="AB31" s="438">
        <f t="shared" ca="1" si="6"/>
        <v>4.0034832444794288</v>
      </c>
      <c r="AC31" s="438">
        <f t="shared" ca="1" si="6"/>
        <v>3.1835776925843633</v>
      </c>
      <c r="AD31" s="438">
        <f t="shared" ca="1" si="6"/>
        <v>2.5070084263581682</v>
      </c>
      <c r="AE31" s="438">
        <f t="shared" ca="1" si="6"/>
        <v>2.1969174308023951</v>
      </c>
      <c r="AF31" s="438">
        <f t="shared" ca="1" si="6"/>
        <v>1.8854553928761</v>
      </c>
      <c r="AG31" s="438">
        <f t="shared" ca="1" si="6"/>
        <v>1.7009137914430004</v>
      </c>
      <c r="AH31" s="438">
        <f t="shared" ca="1" si="6"/>
        <v>1.6204383572292971</v>
      </c>
      <c r="AI31" s="438">
        <f t="shared" ca="1" si="7"/>
        <v>1.5419566769040409</v>
      </c>
      <c r="AJ31" s="438">
        <f t="shared" ca="1" si="7"/>
        <v>1.4695426248732513</v>
      </c>
      <c r="AK31" s="438">
        <f t="shared" ca="1" si="7"/>
        <v>1.3977536115425613</v>
      </c>
      <c r="AL31" s="438">
        <f t="shared" ca="1" si="7"/>
        <v>1.3265778929698</v>
      </c>
      <c r="AM31" s="438">
        <f t="shared" ca="1" si="7"/>
        <v>1.2560040175930955</v>
      </c>
      <c r="AN31" s="438">
        <f t="shared" ca="1" si="7"/>
        <v>1.1860208171881925</v>
      </c>
      <c r="AO31" s="438">
        <f t="shared" ca="1" si="7"/>
        <v>1.065714743077101</v>
      </c>
      <c r="AP31" s="438">
        <f t="shared" ca="1" si="7"/>
        <v>0.94633993747020639</v>
      </c>
      <c r="AQ31" s="438">
        <f t="shared" ca="1" si="7"/>
        <v>0.82788502030432065</v>
      </c>
      <c r="AR31" s="438">
        <f t="shared" ca="1" si="7"/>
        <v>0.71033879618259588</v>
      </c>
      <c r="AS31" s="438">
        <f t="shared" ca="1" si="8"/>
        <v>0.59369025064389047</v>
      </c>
      <c r="AT31" s="438">
        <f t="shared" ca="1" si="8"/>
        <v>0.47410319101879905</v>
      </c>
      <c r="AU31" s="438">
        <f t="shared" ca="1" si="8"/>
        <v>0.3549431985447708</v>
      </c>
      <c r="AV31" s="438">
        <f t="shared" ca="1" si="8"/>
        <v>0.23620770052812431</v>
      </c>
      <c r="AW31" s="438">
        <f t="shared" ca="1" si="8"/>
        <v>0.11789414489797376</v>
      </c>
      <c r="AX31" s="438">
        <f t="shared" ca="1" si="8"/>
        <v>0</v>
      </c>
    </row>
    <row r="32" spans="1:50">
      <c r="C32" s="35"/>
      <c r="E32" s="78" t="s">
        <v>237</v>
      </c>
      <c r="G32" s="44" t="s">
        <v>1200</v>
      </c>
      <c r="I32" s="45" t="s">
        <v>1216</v>
      </c>
      <c r="K32" s="44" t="s">
        <v>1202</v>
      </c>
      <c r="M32" s="44" t="str">
        <f t="shared" si="4"/>
        <v>Taxis - ElectricGWh/yearHigh Electrification</v>
      </c>
      <c r="O32" s="438">
        <f t="shared" ca="1" si="5"/>
        <v>5.6678449897628669</v>
      </c>
      <c r="P32" s="438">
        <f t="shared" ca="1" si="5"/>
        <v>7.2283751432995658</v>
      </c>
      <c r="Q32" s="438">
        <f t="shared" ca="1" si="5"/>
        <v>8.7029186600369446</v>
      </c>
      <c r="R32" s="438">
        <f t="shared" ca="1" si="5"/>
        <v>10.139433531584984</v>
      </c>
      <c r="S32" s="438">
        <f t="shared" ca="1" si="5"/>
        <v>13.101021677468822</v>
      </c>
      <c r="T32" s="438">
        <f t="shared" ca="1" si="5"/>
        <v>12.99660686382394</v>
      </c>
      <c r="U32" s="438">
        <f t="shared" ca="1" si="5"/>
        <v>14.88949923602333</v>
      </c>
      <c r="V32" s="438">
        <f t="shared" ca="1" si="5"/>
        <v>16.255783539851983</v>
      </c>
      <c r="W32" s="438">
        <f t="shared" ca="1" si="5"/>
        <v>17.691151112059487</v>
      </c>
      <c r="X32" s="438">
        <f t="shared" ca="1" si="5"/>
        <v>18.703389541245674</v>
      </c>
      <c r="Y32" s="438">
        <f t="shared" ca="1" si="6"/>
        <v>19.496683872431674</v>
      </c>
      <c r="Z32" s="438">
        <f t="shared" ca="1" si="6"/>
        <v>20.18767976599305</v>
      </c>
      <c r="AA32" s="438">
        <f t="shared" ca="1" si="6"/>
        <v>20.950601863285748</v>
      </c>
      <c r="AB32" s="438">
        <f t="shared" ca="1" si="6"/>
        <v>21.667820931205934</v>
      </c>
      <c r="AC32" s="438">
        <f t="shared" ca="1" si="6"/>
        <v>22.245015631043795</v>
      </c>
      <c r="AD32" s="438">
        <f t="shared" ca="1" si="6"/>
        <v>22.685246631545162</v>
      </c>
      <c r="AE32" s="438">
        <f t="shared" ca="1" si="6"/>
        <v>22.996785307580886</v>
      </c>
      <c r="AF32" s="438">
        <f t="shared" ca="1" si="6"/>
        <v>23.306704541019059</v>
      </c>
      <c r="AG32" s="438">
        <f t="shared" ca="1" si="6"/>
        <v>25.52474744230264</v>
      </c>
      <c r="AH32" s="438">
        <f t="shared" ca="1" si="6"/>
        <v>25.47982118597734</v>
      </c>
      <c r="AI32" s="438">
        <f t="shared" ca="1" si="7"/>
        <v>25.424720640376577</v>
      </c>
      <c r="AJ32" s="438">
        <f t="shared" ca="1" si="7"/>
        <v>25.356259692753365</v>
      </c>
      <c r="AK32" s="438">
        <f t="shared" ca="1" si="7"/>
        <v>25.279890580103949</v>
      </c>
      <c r="AL32" s="438">
        <f t="shared" ca="1" si="7"/>
        <v>25.205225544677948</v>
      </c>
      <c r="AM32" s="438">
        <f t="shared" ca="1" si="7"/>
        <v>25.123126368072977</v>
      </c>
      <c r="AN32" s="438">
        <f t="shared" ca="1" si="7"/>
        <v>25.034527148623738</v>
      </c>
      <c r="AO32" s="438">
        <f t="shared" ca="1" si="7"/>
        <v>25.081875039832351</v>
      </c>
      <c r="AP32" s="438">
        <f t="shared" ca="1" si="7"/>
        <v>25.131011998023851</v>
      </c>
      <c r="AQ32" s="438">
        <f t="shared" ca="1" si="7"/>
        <v>25.173343739161883</v>
      </c>
      <c r="AR32" s="438">
        <f t="shared" ca="1" si="7"/>
        <v>25.209559472806625</v>
      </c>
      <c r="AS32" s="438">
        <f t="shared" ca="1" si="8"/>
        <v>25.246792138604452</v>
      </c>
      <c r="AT32" s="438">
        <f t="shared" ca="1" si="8"/>
        <v>25.285816800104399</v>
      </c>
      <c r="AU32" s="438">
        <f t="shared" ca="1" si="8"/>
        <v>25.327697232546114</v>
      </c>
      <c r="AV32" s="438">
        <f t="shared" ca="1" si="8"/>
        <v>25.363431449042924</v>
      </c>
      <c r="AW32" s="438">
        <f t="shared" ca="1" si="8"/>
        <v>25.401636930684418</v>
      </c>
      <c r="AX32" s="438">
        <f t="shared" ca="1" si="8"/>
        <v>25.442068195545534</v>
      </c>
    </row>
    <row r="33" spans="1:50">
      <c r="A33" s="38"/>
      <c r="B33" s="38"/>
      <c r="C33" s="60"/>
      <c r="D33" s="38"/>
      <c r="E33" s="38" t="s">
        <v>237</v>
      </c>
      <c r="F33" s="38"/>
      <c r="G33" s="44" t="s">
        <v>1203</v>
      </c>
      <c r="I33" s="45" t="s">
        <v>1217</v>
      </c>
      <c r="K33" s="44" t="s">
        <v>1202</v>
      </c>
      <c r="M33" s="44" t="str">
        <f t="shared" si="4"/>
        <v>Taxis - H2GWh/yearHigh Electrification</v>
      </c>
      <c r="O33" s="438">
        <f t="shared" ca="1" si="5"/>
        <v>0</v>
      </c>
      <c r="P33" s="438">
        <f t="shared" ca="1" si="5"/>
        <v>0</v>
      </c>
      <c r="Q33" s="438">
        <f t="shared" ca="1" si="5"/>
        <v>0</v>
      </c>
      <c r="R33" s="438">
        <f t="shared" ca="1" si="5"/>
        <v>0</v>
      </c>
      <c r="S33" s="438">
        <f t="shared" ca="1" si="5"/>
        <v>0</v>
      </c>
      <c r="T33" s="438">
        <f t="shared" ca="1" si="5"/>
        <v>0</v>
      </c>
      <c r="U33" s="438">
        <f t="shared" ca="1" si="5"/>
        <v>2.9053576551980289E-2</v>
      </c>
      <c r="V33" s="438">
        <f t="shared" ca="1" si="5"/>
        <v>6.4918243624296282E-2</v>
      </c>
      <c r="W33" s="438">
        <f t="shared" ca="1" si="5"/>
        <v>0.10800570066638007</v>
      </c>
      <c r="X33" s="438">
        <f t="shared" ca="1" si="5"/>
        <v>0.15477903875747426</v>
      </c>
      <c r="Y33" s="438">
        <f t="shared" ca="1" si="6"/>
        <v>0.20490221505932246</v>
      </c>
      <c r="Z33" s="438">
        <f t="shared" ca="1" si="6"/>
        <v>0.26279913138293204</v>
      </c>
      <c r="AA33" s="438">
        <f t="shared" ca="1" si="6"/>
        <v>0.32764274583936981</v>
      </c>
      <c r="AB33" s="438">
        <f t="shared" ca="1" si="6"/>
        <v>0.39892307547354977</v>
      </c>
      <c r="AC33" s="438">
        <f t="shared" ca="1" si="6"/>
        <v>0.47392430954385223</v>
      </c>
      <c r="AD33" s="438">
        <f t="shared" ca="1" si="6"/>
        <v>0.55160094405848747</v>
      </c>
      <c r="AE33" s="438">
        <f t="shared" ca="1" si="6"/>
        <v>0.63909275318532854</v>
      </c>
      <c r="AF33" s="438">
        <f t="shared" ca="1" si="6"/>
        <v>0.73213495759835756</v>
      </c>
      <c r="AG33" s="438">
        <f t="shared" ca="1" si="6"/>
        <v>0.898405595835436</v>
      </c>
      <c r="AH33" s="438">
        <f t="shared" ca="1" si="6"/>
        <v>0.99657598821005466</v>
      </c>
      <c r="AI33" s="438">
        <f t="shared" ca="1" si="7"/>
        <v>1.097594300945367</v>
      </c>
      <c r="AJ33" s="438">
        <f t="shared" ca="1" si="7"/>
        <v>1.1994164956082374</v>
      </c>
      <c r="AK33" s="438">
        <f t="shared" ca="1" si="7"/>
        <v>1.3040407429485517</v>
      </c>
      <c r="AL33" s="438">
        <f t="shared" ca="1" si="7"/>
        <v>1.4113412494570952</v>
      </c>
      <c r="AM33" s="438">
        <f t="shared" ca="1" si="7"/>
        <v>1.5211945132081663</v>
      </c>
      <c r="AN33" s="438">
        <f t="shared" ca="1" si="7"/>
        <v>1.633479252985869</v>
      </c>
      <c r="AO33" s="438">
        <f t="shared" ca="1" si="7"/>
        <v>1.6885699933950093</v>
      </c>
      <c r="AP33" s="438">
        <f t="shared" ca="1" si="7"/>
        <v>1.7423825569335745</v>
      </c>
      <c r="AQ33" s="438">
        <f t="shared" ca="1" si="7"/>
        <v>1.7949319770193388</v>
      </c>
      <c r="AR33" s="438">
        <f t="shared" ca="1" si="7"/>
        <v>1.8462330431200911</v>
      </c>
      <c r="AS33" s="438">
        <f t="shared" ca="1" si="8"/>
        <v>1.8963003056819219</v>
      </c>
      <c r="AT33" s="438">
        <f t="shared" ca="1" si="8"/>
        <v>1.9471330615175009</v>
      </c>
      <c r="AU33" s="438">
        <f t="shared" ca="1" si="8"/>
        <v>1.9969673154838499</v>
      </c>
      <c r="AV33" s="438">
        <f t="shared" ca="1" si="8"/>
        <v>2.0458085215203257</v>
      </c>
      <c r="AW33" s="438">
        <f t="shared" ca="1" si="8"/>
        <v>2.0936620898473319</v>
      </c>
      <c r="AX33" s="438">
        <f t="shared" ca="1" si="8"/>
        <v>2.1405333874035062</v>
      </c>
    </row>
    <row r="34" spans="1:50">
      <c r="C34" s="35"/>
      <c r="E34" s="78" t="s">
        <v>238</v>
      </c>
      <c r="G34" s="44" t="s">
        <v>212</v>
      </c>
      <c r="I34" s="45" t="s">
        <v>1218</v>
      </c>
      <c r="K34" s="44" t="s">
        <v>1198</v>
      </c>
      <c r="M34" s="44" t="str">
        <f t="shared" si="4"/>
        <v>Motorcycles - Dieselkt CO2/yearHigh Electrification</v>
      </c>
      <c r="O34" s="438">
        <f t="shared" ca="1" si="5"/>
        <v>19.341441874372425</v>
      </c>
      <c r="P34" s="438">
        <f t="shared" ca="1" si="5"/>
        <v>19.367030805618398</v>
      </c>
      <c r="Q34" s="438">
        <f t="shared" ca="1" si="5"/>
        <v>19.2090154350417</v>
      </c>
      <c r="R34" s="438">
        <f t="shared" ca="1" si="5"/>
        <v>18.836713143176723</v>
      </c>
      <c r="S34" s="438">
        <f t="shared" ca="1" si="5"/>
        <v>18.130483198942503</v>
      </c>
      <c r="T34" s="438">
        <f t="shared" ca="1" si="5"/>
        <v>17.440721019833745</v>
      </c>
      <c r="U34" s="438">
        <f t="shared" ca="1" si="5"/>
        <v>16.879550456835073</v>
      </c>
      <c r="V34" s="438">
        <f t="shared" ca="1" si="5"/>
        <v>16.328118046896677</v>
      </c>
      <c r="W34" s="438">
        <f t="shared" ca="1" si="5"/>
        <v>15.786391568485891</v>
      </c>
      <c r="X34" s="438">
        <f t="shared" ca="1" si="5"/>
        <v>15.254338942658176</v>
      </c>
      <c r="Y34" s="438">
        <f t="shared" ca="1" si="6"/>
        <v>14.731928239207246</v>
      </c>
      <c r="Z34" s="438">
        <f t="shared" ca="1" si="6"/>
        <v>13.937502375322111</v>
      </c>
      <c r="AA34" s="438">
        <f t="shared" ca="1" si="6"/>
        <v>13.163330961050391</v>
      </c>
      <c r="AB34" s="438">
        <f t="shared" ca="1" si="6"/>
        <v>12.40936420688967</v>
      </c>
      <c r="AC34" s="438">
        <f t="shared" ca="1" si="6"/>
        <v>11.675552165861863</v>
      </c>
      <c r="AD34" s="438">
        <f t="shared" ca="1" si="6"/>
        <v>10.961844730066739</v>
      </c>
      <c r="AE34" s="438">
        <f t="shared" ca="1" si="6"/>
        <v>10.174368094014595</v>
      </c>
      <c r="AF34" s="438">
        <f t="shared" ca="1" si="6"/>
        <v>9.4073330467569303</v>
      </c>
      <c r="AG34" s="438">
        <f t="shared" ca="1" si="6"/>
        <v>8.6607395882937386</v>
      </c>
      <c r="AH34" s="438">
        <f t="shared" ca="1" si="6"/>
        <v>7.934587718625032</v>
      </c>
      <c r="AI34" s="438">
        <f t="shared" ca="1" si="7"/>
        <v>7.2288774377507989</v>
      </c>
      <c r="AJ34" s="438">
        <f t="shared" ca="1" si="7"/>
        <v>6.5436087456710474</v>
      </c>
      <c r="AK34" s="438">
        <f t="shared" ca="1" si="7"/>
        <v>5.8787816423857748</v>
      </c>
      <c r="AL34" s="438">
        <f t="shared" ca="1" si="7"/>
        <v>5.2343961278949793</v>
      </c>
      <c r="AM34" s="438">
        <f t="shared" ca="1" si="7"/>
        <v>4.6104522021986636</v>
      </c>
      <c r="AN34" s="438">
        <f t="shared" ca="1" si="7"/>
        <v>4.006949865296825</v>
      </c>
      <c r="AO34" s="438">
        <f t="shared" ca="1" si="7"/>
        <v>3.5998380702958794</v>
      </c>
      <c r="AP34" s="438">
        <f t="shared" ca="1" si="7"/>
        <v>3.1941522327329936</v>
      </c>
      <c r="AQ34" s="438">
        <f t="shared" ca="1" si="7"/>
        <v>2.789892352608164</v>
      </c>
      <c r="AR34" s="438">
        <f t="shared" ca="1" si="7"/>
        <v>2.3870584299213937</v>
      </c>
      <c r="AS34" s="438">
        <f t="shared" ca="1" si="8"/>
        <v>1.9856504646726831</v>
      </c>
      <c r="AT34" s="438">
        <f t="shared" ca="1" si="8"/>
        <v>1.5856684568620292</v>
      </c>
      <c r="AU34" s="438">
        <f t="shared" ca="1" si="8"/>
        <v>1.1871124064894341</v>
      </c>
      <c r="AV34" s="438">
        <f t="shared" ca="1" si="8"/>
        <v>0.78998231355489745</v>
      </c>
      <c r="AW34" s="438">
        <f t="shared" ca="1" si="8"/>
        <v>0.39427817805841997</v>
      </c>
      <c r="AX34" s="438">
        <f t="shared" ca="1" si="8"/>
        <v>0</v>
      </c>
    </row>
    <row r="35" spans="1:50">
      <c r="E35" t="s">
        <v>238</v>
      </c>
      <c r="G35" s="44" t="s">
        <v>1200</v>
      </c>
      <c r="I35" s="45" t="s">
        <v>1219</v>
      </c>
      <c r="K35" s="44" t="s">
        <v>1202</v>
      </c>
      <c r="M35" s="44" t="str">
        <f t="shared" si="4"/>
        <v>Motorcycles - ElectricGWh/yearHigh Electrification</v>
      </c>
      <c r="O35" s="438">
        <f t="shared" ca="1" si="5"/>
        <v>0</v>
      </c>
      <c r="P35" s="438">
        <f t="shared" ca="1" si="5"/>
        <v>0</v>
      </c>
      <c r="Q35" s="438">
        <f t="shared" ca="1" si="5"/>
        <v>0</v>
      </c>
      <c r="R35" s="438">
        <f t="shared" ca="1" si="5"/>
        <v>0.15943525389913382</v>
      </c>
      <c r="S35" s="438">
        <f t="shared" ca="1" si="5"/>
        <v>0.3767669675646011</v>
      </c>
      <c r="T35" s="438">
        <f t="shared" ca="1" si="5"/>
        <v>0.58500137573082456</v>
      </c>
      <c r="U35" s="438">
        <f t="shared" ca="1" si="5"/>
        <v>0.78655323428696144</v>
      </c>
      <c r="V35" s="438">
        <f t="shared" ca="1" si="5"/>
        <v>0.98037747887367499</v>
      </c>
      <c r="W35" s="438">
        <f t="shared" ca="1" si="5"/>
        <v>1.1665218670347086</v>
      </c>
      <c r="X35" s="438">
        <f t="shared" ca="1" si="5"/>
        <v>1.3450339601351595</v>
      </c>
      <c r="Y35" s="438">
        <f t="shared" ca="1" si="6"/>
        <v>1.5159611148998473</v>
      </c>
      <c r="Z35" s="438">
        <f t="shared" ca="1" si="6"/>
        <v>1.8898187343493396</v>
      </c>
      <c r="AA35" s="438">
        <f t="shared" ca="1" si="6"/>
        <v>2.2465868673185518</v>
      </c>
      <c r="AB35" s="438">
        <f t="shared" ca="1" si="6"/>
        <v>2.5864050255308513</v>
      </c>
      <c r="AC35" s="438">
        <f t="shared" ca="1" si="6"/>
        <v>2.9094127758474611</v>
      </c>
      <c r="AD35" s="438">
        <f t="shared" ca="1" si="6"/>
        <v>3.2157497414741982</v>
      </c>
      <c r="AE35" s="438">
        <f t="shared" ca="1" si="6"/>
        <v>3.6226606672375063</v>
      </c>
      <c r="AF35" s="438">
        <f t="shared" ca="1" si="6"/>
        <v>4.0115574310268141</v>
      </c>
      <c r="AG35" s="438">
        <f t="shared" ca="1" si="6"/>
        <v>4.3825675307783607</v>
      </c>
      <c r="AH35" s="438">
        <f t="shared" ca="1" si="6"/>
        <v>4.7358184644283847</v>
      </c>
      <c r="AI35" s="438">
        <f t="shared" ca="1" si="7"/>
        <v>5.071437729913117</v>
      </c>
      <c r="AJ35" s="438">
        <f t="shared" ca="1" si="7"/>
        <v>5.3895528251687992</v>
      </c>
      <c r="AK35" s="438">
        <f t="shared" ca="1" si="7"/>
        <v>5.6902912481316648</v>
      </c>
      <c r="AL35" s="438">
        <f t="shared" ca="1" si="7"/>
        <v>5.9737804967379535</v>
      </c>
      <c r="AM35" s="438">
        <f t="shared" ca="1" si="7"/>
        <v>6.2401480689238991</v>
      </c>
      <c r="AN35" s="438">
        <f t="shared" ca="1" si="7"/>
        <v>6.4895214626257349</v>
      </c>
      <c r="AO35" s="438">
        <f t="shared" ca="1" si="7"/>
        <v>6.7614748159905913</v>
      </c>
      <c r="AP35" s="438">
        <f t="shared" ca="1" si="7"/>
        <v>7.0307572653021575</v>
      </c>
      <c r="AQ35" s="438">
        <f t="shared" ca="1" si="7"/>
        <v>7.2973777045183512</v>
      </c>
      <c r="AR35" s="438">
        <f t="shared" ca="1" si="7"/>
        <v>7.5613450275970902</v>
      </c>
      <c r="AS35" s="438">
        <f t="shared" ca="1" si="8"/>
        <v>7.8226681284962973</v>
      </c>
      <c r="AT35" s="438">
        <f t="shared" ca="1" si="8"/>
        <v>8.0813559011738825</v>
      </c>
      <c r="AU35" s="438">
        <f t="shared" ca="1" si="8"/>
        <v>8.337417239587765</v>
      </c>
      <c r="AV35" s="438">
        <f t="shared" ca="1" si="8"/>
        <v>8.5908610376958663</v>
      </c>
      <c r="AW35" s="438">
        <f t="shared" ca="1" si="8"/>
        <v>8.8416961894561066</v>
      </c>
      <c r="AX35" s="438">
        <f t="shared" ca="1" si="8"/>
        <v>9.1126304715145352</v>
      </c>
    </row>
    <row r="36" spans="1:50">
      <c r="G36" s="323"/>
      <c r="K36" s="323"/>
      <c r="M36" s="323"/>
      <c r="O36" s="195"/>
      <c r="P36" s="195"/>
      <c r="Q36" s="195"/>
      <c r="R36" s="195"/>
      <c r="S36" s="195"/>
      <c r="T36" s="195"/>
      <c r="U36" s="195"/>
      <c r="V36" s="195"/>
      <c r="W36" s="195"/>
      <c r="X36" s="195"/>
      <c r="Y36" s="195"/>
      <c r="Z36" s="195"/>
      <c r="AA36" s="195"/>
      <c r="AB36" s="195"/>
      <c r="AC36" s="195"/>
      <c r="AD36" s="195"/>
      <c r="AE36" s="195"/>
      <c r="AF36" s="195"/>
      <c r="AG36" s="195"/>
      <c r="AH36" s="195"/>
      <c r="AI36" s="195"/>
      <c r="AJ36" s="195"/>
      <c r="AK36" s="195"/>
      <c r="AL36" s="195"/>
      <c r="AM36" s="195"/>
      <c r="AN36" s="195"/>
      <c r="AO36" s="195"/>
      <c r="AP36" s="195"/>
      <c r="AQ36" s="195"/>
      <c r="AR36" s="195"/>
      <c r="AS36" s="195"/>
      <c r="AT36" s="195"/>
      <c r="AU36" s="195"/>
      <c r="AV36" s="195"/>
      <c r="AW36" s="195"/>
      <c r="AX36" s="195"/>
    </row>
    <row r="37" spans="1:50">
      <c r="A37" s="38"/>
      <c r="B37" s="38"/>
      <c r="C37" s="60"/>
      <c r="D37" s="38"/>
      <c r="E37" s="78" t="s">
        <v>233</v>
      </c>
      <c r="G37" s="44" t="s">
        <v>213</v>
      </c>
      <c r="I37" s="45" t="s">
        <v>1197</v>
      </c>
      <c r="K37" s="44" t="s">
        <v>1198</v>
      </c>
      <c r="M37" s="44" t="str">
        <f>I37&amp;K37&amp;$E$13</f>
        <v>Cars - Dieselkt CO2/yearHigh Electrification</v>
      </c>
      <c r="N37" s="38"/>
      <c r="O37" s="438">
        <f t="shared" ref="O37:X38" ca="1" si="9">INDEX(O$96:O$237,MATCH($M37,$M$96:$M$237,0),1)*O$15</f>
        <v>383.75868180833328</v>
      </c>
      <c r="P37" s="438">
        <f t="shared" ca="1" si="9"/>
        <v>393.33917355053444</v>
      </c>
      <c r="Q37" s="438">
        <f t="shared" ca="1" si="9"/>
        <v>393.64060248526056</v>
      </c>
      <c r="R37" s="438">
        <f t="shared" ca="1" si="9"/>
        <v>382.58474725063809</v>
      </c>
      <c r="S37" s="438">
        <f t="shared" ca="1" si="9"/>
        <v>356.46305525365608</v>
      </c>
      <c r="T37" s="438">
        <f t="shared" ca="1" si="9"/>
        <v>340.18847691990123</v>
      </c>
      <c r="U37" s="438">
        <f t="shared" ca="1" si="9"/>
        <v>328.153023853901</v>
      </c>
      <c r="V37" s="438">
        <f t="shared" ca="1" si="9"/>
        <v>303.72858093661466</v>
      </c>
      <c r="W37" s="438">
        <f t="shared" ca="1" si="9"/>
        <v>276.52157797684293</v>
      </c>
      <c r="X37" s="438">
        <f t="shared" ca="1" si="9"/>
        <v>248.96563620052444</v>
      </c>
      <c r="Y37" s="438">
        <f t="shared" ref="Y37:AH38" ca="1" si="10">INDEX(Y$96:Y$237,MATCH($M37,$M$96:$M$237,0),1)*Y$15</f>
        <v>219.34824862816919</v>
      </c>
      <c r="Z37" s="438">
        <f t="shared" ca="1" si="10"/>
        <v>192.80984345607155</v>
      </c>
      <c r="AA37" s="438">
        <f t="shared" ca="1" si="10"/>
        <v>166.16568740684687</v>
      </c>
      <c r="AB37" s="438">
        <f t="shared" ca="1" si="10"/>
        <v>140.62012583023855</v>
      </c>
      <c r="AC37" s="438">
        <f t="shared" ca="1" si="10"/>
        <v>117.03544494605899</v>
      </c>
      <c r="AD37" s="438">
        <f t="shared" ca="1" si="10"/>
        <v>95.757630329834768</v>
      </c>
      <c r="AE37" s="438">
        <f t="shared" ca="1" si="10"/>
        <v>77.128182519748506</v>
      </c>
      <c r="AF37" s="438">
        <f t="shared" ca="1" si="10"/>
        <v>61.356061786737122</v>
      </c>
      <c r="AG37" s="438">
        <f t="shared" ca="1" si="10"/>
        <v>47.705157837084599</v>
      </c>
      <c r="AH37" s="438">
        <f t="shared" ca="1" si="10"/>
        <v>36.517376818039281</v>
      </c>
      <c r="AI37" s="438">
        <f t="shared" ref="AI37:AR38" ca="1" si="11">INDEX(AI$96:AI$237,MATCH($M37,$M$96:$M$237,0),1)*AI$15</f>
        <v>27.480718846285352</v>
      </c>
      <c r="AJ37" s="438">
        <f t="shared" ca="1" si="11"/>
        <v>20.315095314079276</v>
      </c>
      <c r="AK37" s="438">
        <f t="shared" ca="1" si="11"/>
        <v>14.725506603108292</v>
      </c>
      <c r="AL37" s="438">
        <f t="shared" ca="1" si="11"/>
        <v>10.543836481637234</v>
      </c>
      <c r="AM37" s="438">
        <f t="shared" ca="1" si="11"/>
        <v>7.4014202964393325</v>
      </c>
      <c r="AN37" s="438">
        <f t="shared" ca="1" si="11"/>
        <v>5.1102220248522574</v>
      </c>
      <c r="AO37" s="438">
        <f t="shared" ca="1" si="11"/>
        <v>3.5798946504883786</v>
      </c>
      <c r="AP37" s="438">
        <f t="shared" ca="1" si="11"/>
        <v>2.4601306980388356</v>
      </c>
      <c r="AQ37" s="438">
        <f t="shared" ca="1" si="11"/>
        <v>1.6758835774624417</v>
      </c>
      <c r="AR37" s="438">
        <f t="shared" ca="1" si="11"/>
        <v>1.1220456036384707</v>
      </c>
      <c r="AS37" s="438">
        <f t="shared" ref="AS37:AX38" ca="1" si="12">INDEX(AS$96:AS$237,MATCH($M37,$M$96:$M$237,0),1)*AS$15</f>
        <v>0.75561491388790269</v>
      </c>
      <c r="AT37" s="438">
        <f t="shared" ca="1" si="12"/>
        <v>0.49641143911896685</v>
      </c>
      <c r="AU37" s="438">
        <f t="shared" ca="1" si="12"/>
        <v>0.32757028391500653</v>
      </c>
      <c r="AV37" s="438">
        <f t="shared" ca="1" si="12"/>
        <v>0.21951770470938986</v>
      </c>
      <c r="AW37" s="438">
        <f t="shared" ca="1" si="12"/>
        <v>0.14148553300844338</v>
      </c>
      <c r="AX37" s="438">
        <f t="shared" ca="1" si="12"/>
        <v>9.5075261350748896E-2</v>
      </c>
    </row>
    <row r="38" spans="1:50">
      <c r="A38" s="38"/>
      <c r="B38" s="38"/>
      <c r="C38" s="60"/>
      <c r="D38" s="38"/>
      <c r="E38" s="78" t="s">
        <v>233</v>
      </c>
      <c r="G38" s="44" t="s">
        <v>212</v>
      </c>
      <c r="I38" s="45" t="s">
        <v>1199</v>
      </c>
      <c r="K38" s="44" t="s">
        <v>1198</v>
      </c>
      <c r="M38" s="44" t="str">
        <f t="shared" ref="M38:M55" si="13">I38&amp;K38&amp;$E$13</f>
        <v>Cars - Petrolkt CO2/yearHigh Electrification</v>
      </c>
      <c r="N38" s="38"/>
      <c r="O38" s="438">
        <f t="shared" ca="1" si="9"/>
        <v>609.41564731021288</v>
      </c>
      <c r="P38" s="438">
        <f t="shared" ca="1" si="9"/>
        <v>584.51936630687032</v>
      </c>
      <c r="Q38" s="438">
        <f t="shared" ca="1" si="9"/>
        <v>559.91374233911642</v>
      </c>
      <c r="R38" s="438">
        <f t="shared" ca="1" si="9"/>
        <v>545.93053937184823</v>
      </c>
      <c r="S38" s="438">
        <f t="shared" ca="1" si="9"/>
        <v>542.16174935746881</v>
      </c>
      <c r="T38" s="438">
        <f t="shared" ca="1" si="9"/>
        <v>526.25916773701738</v>
      </c>
      <c r="U38" s="438">
        <f t="shared" ca="1" si="9"/>
        <v>504.65510217989589</v>
      </c>
      <c r="V38" s="438">
        <f t="shared" ca="1" si="9"/>
        <v>479.91364837201479</v>
      </c>
      <c r="W38" s="438">
        <f t="shared" ca="1" si="9"/>
        <v>450.22003739698789</v>
      </c>
      <c r="X38" s="438">
        <f t="shared" ca="1" si="9"/>
        <v>421.54401947521097</v>
      </c>
      <c r="Y38" s="438">
        <f t="shared" ca="1" si="10"/>
        <v>387.57771604812859</v>
      </c>
      <c r="Z38" s="438">
        <f t="shared" ca="1" si="10"/>
        <v>356.4998074992875</v>
      </c>
      <c r="AA38" s="438">
        <f t="shared" ca="1" si="10"/>
        <v>322.83196664515003</v>
      </c>
      <c r="AB38" s="438">
        <f t="shared" ca="1" si="10"/>
        <v>289.22379954308849</v>
      </c>
      <c r="AC38" s="438">
        <f t="shared" ca="1" si="10"/>
        <v>255.59796136897916</v>
      </c>
      <c r="AD38" s="438">
        <f t="shared" ca="1" si="10"/>
        <v>222.03713155641469</v>
      </c>
      <c r="AE38" s="438">
        <f t="shared" ca="1" si="10"/>
        <v>192.32412277008612</v>
      </c>
      <c r="AF38" s="438">
        <f t="shared" ca="1" si="10"/>
        <v>165.47190018493555</v>
      </c>
      <c r="AG38" s="438">
        <f t="shared" ca="1" si="10"/>
        <v>140.11640399938815</v>
      </c>
      <c r="AH38" s="438">
        <f t="shared" ca="1" si="10"/>
        <v>117.51622811137341</v>
      </c>
      <c r="AI38" s="438">
        <f t="shared" ca="1" si="11"/>
        <v>96.081853266925918</v>
      </c>
      <c r="AJ38" s="438">
        <f t="shared" ca="1" si="11"/>
        <v>77.475358270366698</v>
      </c>
      <c r="AK38" s="438">
        <f t="shared" ca="1" si="11"/>
        <v>61.51172202532549</v>
      </c>
      <c r="AL38" s="438">
        <f t="shared" ca="1" si="11"/>
        <v>48.541337910229444</v>
      </c>
      <c r="AM38" s="438">
        <f t="shared" ca="1" si="11"/>
        <v>37.654300928774667</v>
      </c>
      <c r="AN38" s="438">
        <f t="shared" ca="1" si="11"/>
        <v>28.977430211460842</v>
      </c>
      <c r="AO38" s="438">
        <f t="shared" ca="1" si="11"/>
        <v>22.638121971963326</v>
      </c>
      <c r="AP38" s="438">
        <f t="shared" ca="1" si="11"/>
        <v>17.474994206842997</v>
      </c>
      <c r="AQ38" s="438">
        <f t="shared" ca="1" si="11"/>
        <v>13.348916718505775</v>
      </c>
      <c r="AR38" s="438">
        <f t="shared" ca="1" si="11"/>
        <v>10.132174379282132</v>
      </c>
      <c r="AS38" s="438">
        <f t="shared" ca="1" si="12"/>
        <v>7.5534771422673357</v>
      </c>
      <c r="AT38" s="438">
        <f t="shared" ca="1" si="12"/>
        <v>5.552472367468158</v>
      </c>
      <c r="AU38" s="438">
        <f t="shared" ca="1" si="12"/>
        <v>4.0240095524553396</v>
      </c>
      <c r="AV38" s="438">
        <f t="shared" ca="1" si="12"/>
        <v>2.8431351513806491</v>
      </c>
      <c r="AW38" s="438">
        <f t="shared" ca="1" si="12"/>
        <v>1.9866847042965945</v>
      </c>
      <c r="AX38" s="438">
        <f t="shared" ca="1" si="12"/>
        <v>1.3705604969788368</v>
      </c>
    </row>
    <row r="39" spans="1:50">
      <c r="C39" s="35"/>
      <c r="E39" s="78" t="s">
        <v>233</v>
      </c>
      <c r="G39" s="44" t="s">
        <v>1200</v>
      </c>
      <c r="I39" s="45" t="s">
        <v>1201</v>
      </c>
      <c r="K39" s="44" t="s">
        <v>1198</v>
      </c>
      <c r="M39" s="44" t="str">
        <f t="shared" si="13"/>
        <v>Cars - Electrickt CO2/yearHigh Electrification</v>
      </c>
      <c r="O39" s="520">
        <f ca="1">O19*'2.5 Emission factors'!O$29</f>
        <v>0.34474546979965071</v>
      </c>
      <c r="P39" s="520">
        <f ca="1">P19*'2.5 Emission factors'!P$29</f>
        <v>0.38450961268142819</v>
      </c>
      <c r="Q39" s="520">
        <f ca="1">Q19*'2.5 Emission factors'!Q$29</f>
        <v>0.50388080750788089</v>
      </c>
      <c r="R39" s="520">
        <f ca="1">R19*'2.5 Emission factors'!R$29</f>
        <v>0.8360259070011371</v>
      </c>
      <c r="S39" s="520">
        <f ca="1">S19*'2.5 Emission factors'!S$29</f>
        <v>1.0504860511125911</v>
      </c>
      <c r="T39" s="520">
        <f ca="1">T19*'2.5 Emission factors'!T$29</f>
        <v>1.1617448404495736</v>
      </c>
      <c r="U39" s="520">
        <f ca="1">U19*'2.5 Emission factors'!U$29</f>
        <v>2.824733366886774</v>
      </c>
      <c r="V39" s="520">
        <f ca="1">V19*'2.5 Emission factors'!V$29</f>
        <v>6.2793382228540127</v>
      </c>
      <c r="W39" s="520">
        <f ca="1">W19*'2.5 Emission factors'!W$29</f>
        <v>10.621243418932638</v>
      </c>
      <c r="X39" s="520">
        <f ca="1">X19*'2.5 Emission factors'!X$29</f>
        <v>16.640241629593049</v>
      </c>
      <c r="Y39" s="520">
        <f ca="1">Y19*'2.5 Emission factors'!Y$29</f>
        <v>19.357988986386029</v>
      </c>
      <c r="Z39" s="520">
        <f ca="1">Z19*'2.5 Emission factors'!Z$29</f>
        <v>18.006442774884981</v>
      </c>
      <c r="AA39" s="520">
        <f ca="1">AA19*'2.5 Emission factors'!AA$29</f>
        <v>18.216241747693928</v>
      </c>
      <c r="AB39" s="520">
        <f ca="1">AB19*'2.5 Emission factors'!AB$29</f>
        <v>19.831148656974971</v>
      </c>
      <c r="AC39" s="520">
        <f ca="1">AC19*'2.5 Emission factors'!AC$29</f>
        <v>21.256060041244652</v>
      </c>
      <c r="AD39" s="520">
        <f ca="1">AD19*'2.5 Emission factors'!AD$29</f>
        <v>18.892234355114844</v>
      </c>
      <c r="AE39" s="520">
        <f ca="1">AE19*'2.5 Emission factors'!AE$29</f>
        <v>16.466063585785687</v>
      </c>
      <c r="AF39" s="520">
        <f ca="1">AF19*'2.5 Emission factors'!AF$29</f>
        <v>15.326956816154071</v>
      </c>
      <c r="AG39" s="520">
        <f ca="1">AG19*'2.5 Emission factors'!AG$29</f>
        <v>14.147113576063926</v>
      </c>
      <c r="AH39" s="520">
        <f ca="1">AH19*'2.5 Emission factors'!AH$29</f>
        <v>13.449037056329914</v>
      </c>
      <c r="AI39" s="520">
        <f ca="1">AI19*'2.5 Emission factors'!AI$29</f>
        <v>12.450656301243198</v>
      </c>
      <c r="AJ39" s="520">
        <f ca="1">AJ19*'2.5 Emission factors'!AJ$29</f>
        <v>10.574147989050893</v>
      </c>
      <c r="AK39" s="520">
        <f ca="1">AK19*'2.5 Emission factors'!AK$29</f>
        <v>9.5696689466786982</v>
      </c>
      <c r="AL39" s="520">
        <f ca="1">AL19*'2.5 Emission factors'!AL$29</f>
        <v>9.4276038383190262</v>
      </c>
      <c r="AM39" s="520">
        <f ca="1">AM19*'2.5 Emission factors'!AM$29</f>
        <v>8.9460273633688452</v>
      </c>
      <c r="AN39" s="520">
        <f ca="1">AN19*'2.5 Emission factors'!AN$29</f>
        <v>8.0753092758562417</v>
      </c>
      <c r="AO39" s="520">
        <f ca="1">AO19*'2.5 Emission factors'!AO$29</f>
        <v>6.7708574486147324</v>
      </c>
      <c r="AP39" s="520">
        <f ca="1">AP19*'2.5 Emission factors'!AP$29</f>
        <v>6.4700178471612819</v>
      </c>
      <c r="AQ39" s="520">
        <f ca="1">AQ19*'2.5 Emission factors'!AQ$29</f>
        <v>6.3640431333916583</v>
      </c>
      <c r="AR39" s="520">
        <f ca="1">AR19*'2.5 Emission factors'!AR$29</f>
        <v>5.9938880663667771</v>
      </c>
      <c r="AS39" s="520">
        <f ca="1">AS19*'2.5 Emission factors'!AS$29</f>
        <v>5.0918554568208929</v>
      </c>
      <c r="AT39" s="520">
        <f ca="1">AT19*'2.5 Emission factors'!AT$29</f>
        <v>4.6183968763447387</v>
      </c>
      <c r="AU39" s="520">
        <f ca="1">AU19*'2.5 Emission factors'!AU$29</f>
        <v>4.2490536218543786</v>
      </c>
      <c r="AV39" s="520">
        <f ca="1">AV19*'2.5 Emission factors'!AV$29</f>
        <v>4.02113706813007</v>
      </c>
      <c r="AW39" s="520">
        <f ca="1">AW19*'2.5 Emission factors'!AW$29</f>
        <v>3.7278159969478195</v>
      </c>
      <c r="AX39" s="520">
        <f ca="1">AX19*'2.5 Emission factors'!AX$29</f>
        <v>3.6478646897547788</v>
      </c>
    </row>
    <row r="40" spans="1:50">
      <c r="C40" s="35"/>
      <c r="E40" s="78" t="s">
        <v>233</v>
      </c>
      <c r="G40" s="44" t="s">
        <v>1203</v>
      </c>
      <c r="I40" s="45" t="s">
        <v>1204</v>
      </c>
      <c r="K40" s="44" t="s">
        <v>1198</v>
      </c>
      <c r="M40" s="44" t="str">
        <f t="shared" si="13"/>
        <v>Cars - H2kt CO2/yearHigh Electrification</v>
      </c>
      <c r="O40" s="439">
        <f ca="1">O20*'2.5 Emission factors'!O$87</f>
        <v>0</v>
      </c>
      <c r="P40" s="439">
        <f ca="1">P20*'2.5 Emission factors'!P$87</f>
        <v>0</v>
      </c>
      <c r="Q40" s="439">
        <f ca="1">Q20*'2.5 Emission factors'!Q$87</f>
        <v>0</v>
      </c>
      <c r="R40" s="439">
        <f ca="1">R20*'2.5 Emission factors'!R$87</f>
        <v>0</v>
      </c>
      <c r="S40" s="439">
        <f ca="1">S20*'2.5 Emission factors'!S$87</f>
        <v>0</v>
      </c>
      <c r="T40" s="439">
        <f ca="1">T20*'2.5 Emission factors'!T$87</f>
        <v>0</v>
      </c>
      <c r="U40" s="439">
        <f ca="1">U20*'2.5 Emission factors'!U$87</f>
        <v>0</v>
      </c>
      <c r="V40" s="439">
        <f ca="1">V20*'2.5 Emission factors'!V$87</f>
        <v>0</v>
      </c>
      <c r="W40" s="439">
        <f ca="1">W20*'2.5 Emission factors'!W$87</f>
        <v>1.9922438601268591E-2</v>
      </c>
      <c r="X40" s="439">
        <f ca="1">X20*'2.5 Emission factors'!X$87</f>
        <v>5.1488836383990058E-2</v>
      </c>
      <c r="Y40" s="439">
        <f ca="1">Y20*'2.5 Emission factors'!Y$87</f>
        <v>8.3471498366311472E-2</v>
      </c>
      <c r="Z40" s="439">
        <f ca="1">Z20*'2.5 Emission factors'!Z$87</f>
        <v>9.5350580585535333E-2</v>
      </c>
      <c r="AA40" s="439">
        <f ca="1">AA20*'2.5 Emission factors'!AA$87</f>
        <v>0.10411322616508412</v>
      </c>
      <c r="AB40" s="439">
        <f ca="1">AB20*'2.5 Emission factors'!AB$87</f>
        <v>0.15845134951179499</v>
      </c>
      <c r="AC40" s="439">
        <f ca="1">AC20*'2.5 Emission factors'!AC$87</f>
        <v>0.19915118247931204</v>
      </c>
      <c r="AD40" s="439">
        <f ca="1">AD20*'2.5 Emission factors'!AD$87</f>
        <v>0.20382886890341689</v>
      </c>
      <c r="AE40" s="439">
        <f ca="1">AE20*'2.5 Emission factors'!AE$87</f>
        <v>0.19561962599791494</v>
      </c>
      <c r="AF40" s="439">
        <f ca="1">AF20*'2.5 Emission factors'!AF$87</f>
        <v>0.15992470952228705</v>
      </c>
      <c r="AG40" s="439">
        <f ca="1">AG20*'2.5 Emission factors'!AG$87</f>
        <v>0.16602672483369335</v>
      </c>
      <c r="AH40" s="439">
        <f ca="1">AH20*'2.5 Emission factors'!AH$87</f>
        <v>0.18871755567014323</v>
      </c>
      <c r="AI40" s="439">
        <f ca="1">AI20*'2.5 Emission factors'!AI$87</f>
        <v>0.21200636152971861</v>
      </c>
      <c r="AJ40" s="439">
        <f ca="1">AJ20*'2.5 Emission factors'!AJ$87</f>
        <v>0.21792316383601251</v>
      </c>
      <c r="AK40" s="439">
        <f ca="1">AK20*'2.5 Emission factors'!AK$87</f>
        <v>0.22954323701996818</v>
      </c>
      <c r="AL40" s="439">
        <f ca="1">AL20*'2.5 Emission factors'!AL$87</f>
        <v>0.24912628948096457</v>
      </c>
      <c r="AM40" s="439">
        <f ca="1">AM20*'2.5 Emission factors'!AM$87</f>
        <v>0.26474997847215515</v>
      </c>
      <c r="AN40" s="439">
        <f ca="1">AN20*'2.5 Emission factors'!AN$87</f>
        <v>0.27390178569198576</v>
      </c>
      <c r="AO40" s="439">
        <f ca="1">AO20*'2.5 Emission factors'!AO$87</f>
        <v>0.28356640811721923</v>
      </c>
      <c r="AP40" s="439">
        <f ca="1">AP20*'2.5 Emission factors'!AP$87</f>
        <v>0.31249806326648011</v>
      </c>
      <c r="AQ40" s="439">
        <f ca="1">AQ20*'2.5 Emission factors'!AQ$87</f>
        <v>0.3465665574267307</v>
      </c>
      <c r="AR40" s="439">
        <f ca="1">AR20*'2.5 Emission factors'!AR$87</f>
        <v>0.37119609238960349</v>
      </c>
      <c r="AS40" s="439">
        <f ca="1">AS20*'2.5 Emission factors'!AS$87</f>
        <v>0.3798865289286118</v>
      </c>
      <c r="AT40" s="439">
        <f ca="1">AT20*'2.5 Emission factors'!AT$87</f>
        <v>0.39709939369846864</v>
      </c>
      <c r="AU40" s="439">
        <f ca="1">AU20*'2.5 Emission factors'!AU$87</f>
        <v>0.41559568074816045</v>
      </c>
      <c r="AV40" s="439">
        <f ca="1">AV20*'2.5 Emission factors'!AV$87</f>
        <v>0.43619698090531928</v>
      </c>
      <c r="AW40" s="439">
        <f ca="1">AW20*'2.5 Emission factors'!AW$87</f>
        <v>0.45235885005428833</v>
      </c>
      <c r="AX40" s="439">
        <f ca="1">AX20*'2.5 Emission factors'!AX$87</f>
        <v>0.47830897947609313</v>
      </c>
    </row>
    <row r="41" spans="1:50">
      <c r="E41" t="s">
        <v>234</v>
      </c>
      <c r="G41" s="44" t="s">
        <v>213</v>
      </c>
      <c r="I41" s="45" t="s">
        <v>1205</v>
      </c>
      <c r="K41" s="44" t="s">
        <v>1198</v>
      </c>
      <c r="M41" s="44" t="str">
        <f t="shared" si="13"/>
        <v>LGVs - Dieselkt CO2/yearHigh Electrification</v>
      </c>
      <c r="O41" s="438">
        <f t="shared" ref="O41:X42" ca="1" si="14">INDEX(O$96:O$237,MATCH($M41,$M$96:$M$237,0),1)*O$15</f>
        <v>5.4895406928145506E-2</v>
      </c>
      <c r="P41" s="438">
        <f t="shared" ca="1" si="14"/>
        <v>0.27981569970226061</v>
      </c>
      <c r="Q41" s="438">
        <f t="shared" ca="1" si="14"/>
        <v>0.5270422785797676</v>
      </c>
      <c r="R41" s="438">
        <f t="shared" ca="1" si="14"/>
        <v>0.72689454968333089</v>
      </c>
      <c r="S41" s="438">
        <f t="shared" ca="1" si="14"/>
        <v>0.88129156621122884</v>
      </c>
      <c r="T41" s="438">
        <f t="shared" ca="1" si="14"/>
        <v>0.62679695104032707</v>
      </c>
      <c r="U41" s="438">
        <f t="shared" ca="1" si="14"/>
        <v>0.66663257198893777</v>
      </c>
      <c r="V41" s="438">
        <f t="shared" ca="1" si="14"/>
        <v>0.77543558352050856</v>
      </c>
      <c r="W41" s="438">
        <f t="shared" ca="1" si="14"/>
        <v>0.98197630034548999</v>
      </c>
      <c r="X41" s="438">
        <f t="shared" ca="1" si="14"/>
        <v>1.3430426024297619</v>
      </c>
      <c r="Y41" s="438">
        <f t="shared" ref="Y41:AH42" ca="1" si="15">INDEX(Y$96:Y$237,MATCH($M41,$M$96:$M$237,0),1)*Y$15</f>
        <v>1.5125908288039247</v>
      </c>
      <c r="Z41" s="438">
        <f t="shared" ca="1" si="15"/>
        <v>1.5913674095348616</v>
      </c>
      <c r="AA41" s="438">
        <f t="shared" ca="1" si="15"/>
        <v>2.190408691856518</v>
      </c>
      <c r="AB41" s="438">
        <f t="shared" ca="1" si="15"/>
        <v>2.8360593899351274</v>
      </c>
      <c r="AC41" s="438">
        <f t="shared" ca="1" si="15"/>
        <v>3.4686393506555855</v>
      </c>
      <c r="AD41" s="438">
        <f t="shared" ca="1" si="15"/>
        <v>3.5854725046669085</v>
      </c>
      <c r="AE41" s="438">
        <f t="shared" ca="1" si="15"/>
        <v>3.4364042516055093</v>
      </c>
      <c r="AF41" s="438">
        <f t="shared" ca="1" si="15"/>
        <v>3.4368623658937203</v>
      </c>
      <c r="AG41" s="438">
        <f t="shared" ca="1" si="15"/>
        <v>3.3448688626765577</v>
      </c>
      <c r="AH41" s="438">
        <f t="shared" ca="1" si="15"/>
        <v>3.2989071677279558</v>
      </c>
      <c r="AI41" s="438">
        <f t="shared" ref="AI41:AR42" ca="1" si="16">INDEX(AI$96:AI$237,MATCH($M41,$M$96:$M$237,0),1)*AI$15</f>
        <v>3.1442196192234984</v>
      </c>
      <c r="AJ41" s="438">
        <f t="shared" ca="1" si="16"/>
        <v>2.7412182007132486</v>
      </c>
      <c r="AK41" s="438">
        <f t="shared" ca="1" si="16"/>
        <v>2.5394457165620348</v>
      </c>
      <c r="AL41" s="438">
        <f t="shared" ca="1" si="16"/>
        <v>2.5563086124123182</v>
      </c>
      <c r="AM41" s="438">
        <f t="shared" ca="1" si="16"/>
        <v>2.4704346400851751</v>
      </c>
      <c r="AN41" s="438">
        <f t="shared" ca="1" si="16"/>
        <v>2.2641106355417926</v>
      </c>
      <c r="AO41" s="438">
        <f t="shared" ca="1" si="16"/>
        <v>1.8872197363615815</v>
      </c>
      <c r="AP41" s="438">
        <f t="shared" ca="1" si="16"/>
        <v>1.7875698064769894</v>
      </c>
      <c r="AQ41" s="438">
        <f t="shared" ca="1" si="16"/>
        <v>1.7393880620008404</v>
      </c>
      <c r="AR41" s="438">
        <f t="shared" ca="1" si="16"/>
        <v>1.6180424188606137</v>
      </c>
      <c r="AS41" s="438">
        <f t="shared" ref="AS41:AX42" ca="1" si="17">INDEX(AS$96:AS$237,MATCH($M41,$M$96:$M$237,0),1)*AS$15</f>
        <v>1.3563177767498205</v>
      </c>
      <c r="AT41" s="438">
        <f t="shared" ca="1" si="17"/>
        <v>1.2134972237675481</v>
      </c>
      <c r="AU41" s="438">
        <f t="shared" ca="1" si="17"/>
        <v>1.1017726444357372</v>
      </c>
      <c r="AV41" s="438">
        <f t="shared" ca="1" si="17"/>
        <v>1.0297027449228908</v>
      </c>
      <c r="AW41" s="438">
        <f t="shared" ca="1" si="17"/>
        <v>0.9439290841675253</v>
      </c>
      <c r="AX41" s="438">
        <f t="shared" ca="1" si="17"/>
        <v>0.91450852556111695</v>
      </c>
    </row>
    <row r="42" spans="1:50">
      <c r="E42" t="s">
        <v>234</v>
      </c>
      <c r="G42" s="44" t="s">
        <v>212</v>
      </c>
      <c r="I42" s="45" t="s">
        <v>1206</v>
      </c>
      <c r="K42" s="44" t="s">
        <v>1198</v>
      </c>
      <c r="M42" s="44" t="str">
        <f t="shared" si="13"/>
        <v>LGVs - Petrolkt CO2/yearHigh Electrification</v>
      </c>
      <c r="O42" s="438">
        <f t="shared" ca="1" si="14"/>
        <v>246.15279118769089</v>
      </c>
      <c r="P42" s="438">
        <f t="shared" ca="1" si="14"/>
        <v>247.1288754597814</v>
      </c>
      <c r="Q42" s="438">
        <f t="shared" ca="1" si="14"/>
        <v>245.2606285829593</v>
      </c>
      <c r="R42" s="438">
        <f t="shared" ca="1" si="14"/>
        <v>243.19850583144066</v>
      </c>
      <c r="S42" s="438">
        <f t="shared" ca="1" si="14"/>
        <v>244.47369389057346</v>
      </c>
      <c r="T42" s="438">
        <f t="shared" ca="1" si="14"/>
        <v>212.48268966279554</v>
      </c>
      <c r="U42" s="438">
        <f t="shared" ca="1" si="14"/>
        <v>211.8226362483943</v>
      </c>
      <c r="V42" s="438">
        <f t="shared" ca="1" si="14"/>
        <v>210.95063560629845</v>
      </c>
      <c r="W42" s="438">
        <f t="shared" ca="1" si="14"/>
        <v>209.27420599877382</v>
      </c>
      <c r="X42" s="438">
        <f t="shared" ca="1" si="14"/>
        <v>207.48818772846681</v>
      </c>
      <c r="Y42" s="438">
        <f t="shared" ca="1" si="15"/>
        <v>204.33986111942673</v>
      </c>
      <c r="Z42" s="438">
        <f t="shared" ca="1" si="15"/>
        <v>198.26631113614519</v>
      </c>
      <c r="AA42" s="438">
        <f t="shared" ca="1" si="15"/>
        <v>184.36804463121084</v>
      </c>
      <c r="AB42" s="438">
        <f t="shared" ca="1" si="15"/>
        <v>170.21046470029879</v>
      </c>
      <c r="AC42" s="438">
        <f t="shared" ca="1" si="15"/>
        <v>154.91782112599594</v>
      </c>
      <c r="AD42" s="438">
        <f t="shared" ca="1" si="15"/>
        <v>134.28463826697919</v>
      </c>
      <c r="AE42" s="438">
        <f t="shared" ca="1" si="15"/>
        <v>116.76957703377403</v>
      </c>
      <c r="AF42" s="438">
        <f t="shared" ca="1" si="15"/>
        <v>100.07437429459898</v>
      </c>
      <c r="AG42" s="438">
        <f t="shared" ca="1" si="15"/>
        <v>84.525426765255489</v>
      </c>
      <c r="AH42" s="438">
        <f t="shared" ca="1" si="15"/>
        <v>71.648627050991522</v>
      </c>
      <c r="AI42" s="438">
        <f t="shared" ca="1" si="16"/>
        <v>59.743876873543762</v>
      </c>
      <c r="AJ42" s="438">
        <f t="shared" ca="1" si="16"/>
        <v>48.857530070351793</v>
      </c>
      <c r="AK42" s="438">
        <f t="shared" ca="1" si="16"/>
        <v>39.08091633191956</v>
      </c>
      <c r="AL42" s="438">
        <f t="shared" ca="1" si="16"/>
        <v>30.500794190532233</v>
      </c>
      <c r="AM42" s="438">
        <f t="shared" ca="1" si="16"/>
        <v>23.175938132505948</v>
      </c>
      <c r="AN42" s="438">
        <f t="shared" ca="1" si="16"/>
        <v>17.118817302209816</v>
      </c>
      <c r="AO42" s="438">
        <f t="shared" ca="1" si="16"/>
        <v>12.279877167428385</v>
      </c>
      <c r="AP42" s="438">
        <f t="shared" ca="1" si="16"/>
        <v>8.5543839866208735</v>
      </c>
      <c r="AQ42" s="438">
        <f t="shared" ca="1" si="16"/>
        <v>5.7923334908711785</v>
      </c>
      <c r="AR42" s="438">
        <f t="shared" ca="1" si="16"/>
        <v>3.8199586298289034</v>
      </c>
      <c r="AS42" s="438">
        <f t="shared" ca="1" si="17"/>
        <v>2.4603832110580384</v>
      </c>
      <c r="AT42" s="438">
        <f t="shared" ca="1" si="17"/>
        <v>1.5531270217293593</v>
      </c>
      <c r="AU42" s="438">
        <f t="shared" ca="1" si="17"/>
        <v>0.96443064152442048</v>
      </c>
      <c r="AV42" s="438">
        <f t="shared" ca="1" si="17"/>
        <v>0.59088030103833411</v>
      </c>
      <c r="AW42" s="438">
        <f t="shared" ca="1" si="17"/>
        <v>0.35821741148303393</v>
      </c>
      <c r="AX42" s="438">
        <f t="shared" ca="1" si="17"/>
        <v>0.21542609763432372</v>
      </c>
    </row>
    <row r="43" spans="1:50">
      <c r="E43" t="s">
        <v>234</v>
      </c>
      <c r="G43" s="44" t="s">
        <v>1200</v>
      </c>
      <c r="I43" s="45" t="s">
        <v>1207</v>
      </c>
      <c r="K43" s="44" t="s">
        <v>1198</v>
      </c>
      <c r="M43" s="44" t="str">
        <f t="shared" si="13"/>
        <v>LGVs - Electrickt CO2/yearHigh Electrification</v>
      </c>
      <c r="O43" s="520">
        <f ca="1">O23*'2.5 Emission factors'!O$29</f>
        <v>5.5915666424262246E-2</v>
      </c>
      <c r="P43" s="520">
        <f ca="1">P23*'2.5 Emission factors'!P$29</f>
        <v>0.28503059913687018</v>
      </c>
      <c r="Q43" s="520">
        <f ca="1">Q23*'2.5 Emission factors'!Q$29</f>
        <v>0.53684586047848082</v>
      </c>
      <c r="R43" s="520">
        <f ca="1">R23*'2.5 Emission factors'!R$29</f>
        <v>0.7404111094451552</v>
      </c>
      <c r="S43" s="520">
        <f ca="1">S23*'2.5 Emission factors'!S$29</f>
        <v>0.89768458513426264</v>
      </c>
      <c r="T43" s="520">
        <f ca="1">T23*'2.5 Emission factors'!T$29</f>
        <v>0.63845608256189346</v>
      </c>
      <c r="U43" s="520">
        <f ca="1">U23*'2.5 Emission factors'!U$29</f>
        <v>0.6790326910713278</v>
      </c>
      <c r="V43" s="520">
        <f ca="1">V23*'2.5 Emission factors'!V$29</f>
        <v>0.78985956155639814</v>
      </c>
      <c r="W43" s="520">
        <f ca="1">W23*'2.5 Emission factors'!W$29</f>
        <v>1.0002421690894061</v>
      </c>
      <c r="X43" s="520">
        <f ca="1">X23*'2.5 Emission factors'!X$29</f>
        <v>1.3680247123695215</v>
      </c>
      <c r="Y43" s="520">
        <f ca="1">Y23*'2.5 Emission factors'!Y$29</f>
        <v>1.540726727330664</v>
      </c>
      <c r="Z43" s="520">
        <f ca="1">Z23*'2.5 Emission factors'!Z$29</f>
        <v>1.6209686414746576</v>
      </c>
      <c r="AA43" s="520">
        <f ca="1">AA23*'2.5 Emission factors'!AA$29</f>
        <v>2.2311527685179477</v>
      </c>
      <c r="AB43" s="520">
        <f ca="1">AB23*'2.5 Emission factors'!AB$29</f>
        <v>2.888813299116316</v>
      </c>
      <c r="AC43" s="520">
        <f ca="1">AC23*'2.5 Emission factors'!AC$29</f>
        <v>3.5331599618727467</v>
      </c>
      <c r="AD43" s="520">
        <f ca="1">AD23*'2.5 Emission factors'!AD$29</f>
        <v>3.6521663445611336</v>
      </c>
      <c r="AE43" s="520">
        <f ca="1">AE23*'2.5 Emission factors'!AE$29</f>
        <v>3.5003252535571621</v>
      </c>
      <c r="AF43" s="520">
        <f ca="1">AF23*'2.5 Emission factors'!AF$29</f>
        <v>3.5007918892887684</v>
      </c>
      <c r="AG43" s="520">
        <f ca="1">AG23*'2.5 Emission factors'!AG$29</f>
        <v>3.4070872029662018</v>
      </c>
      <c r="AH43" s="520">
        <f ca="1">AH23*'2.5 Emission factors'!AH$29</f>
        <v>3.3602705685583842</v>
      </c>
      <c r="AI43" s="520">
        <f ca="1">AI23*'2.5 Emission factors'!AI$29</f>
        <v>3.2027056568667445</v>
      </c>
      <c r="AJ43" s="520">
        <f ca="1">AJ23*'2.5 Emission factors'!AJ$29</f>
        <v>2.7922079566116804</v>
      </c>
      <c r="AK43" s="520">
        <f ca="1">AK23*'2.5 Emission factors'!AK$29</f>
        <v>2.5866822762679078</v>
      </c>
      <c r="AL43" s="520">
        <f ca="1">AL23*'2.5 Emission factors'!AL$29</f>
        <v>2.6038588410347776</v>
      </c>
      <c r="AM43" s="520">
        <f ca="1">AM23*'2.5 Emission factors'!AM$29</f>
        <v>2.5163875157913851</v>
      </c>
      <c r="AN43" s="520">
        <f ca="1">AN23*'2.5 Emission factors'!AN$29</f>
        <v>2.3062256516332815</v>
      </c>
      <c r="AO43" s="520">
        <f ca="1">AO23*'2.5 Emission factors'!AO$29</f>
        <v>1.9223241558706679</v>
      </c>
      <c r="AP43" s="520">
        <f ca="1">AP23*'2.5 Emission factors'!AP$29</f>
        <v>1.8208206246934868</v>
      </c>
      <c r="AQ43" s="520">
        <f ca="1">AQ23*'2.5 Emission factors'!AQ$29</f>
        <v>1.7717426453284255</v>
      </c>
      <c r="AR43" s="520">
        <f ca="1">AR23*'2.5 Emission factors'!AR$29</f>
        <v>1.648139836114572</v>
      </c>
      <c r="AS43" s="520">
        <f ca="1">AS23*'2.5 Emission factors'!AS$29</f>
        <v>1.3815468199318561</v>
      </c>
      <c r="AT43" s="520">
        <f ca="1">AT23*'2.5 Emission factors'!AT$29</f>
        <v>1.2360696432879033</v>
      </c>
      <c r="AU43" s="520">
        <f ca="1">AU23*'2.5 Emission factors'!AU$29</f>
        <v>1.1222668605403618</v>
      </c>
      <c r="AV43" s="520">
        <f ca="1">AV23*'2.5 Emission factors'!AV$29</f>
        <v>1.0488563794631482</v>
      </c>
      <c r="AW43" s="520">
        <f ca="1">AW23*'2.5 Emission factors'!AW$29</f>
        <v>0.96148723170011108</v>
      </c>
      <c r="AX43" s="520">
        <f ca="1">AX23*'2.5 Emission factors'!AX$29</f>
        <v>0.93151941746066103</v>
      </c>
    </row>
    <row r="44" spans="1:50">
      <c r="E44" t="s">
        <v>234</v>
      </c>
      <c r="G44" s="44" t="s">
        <v>1203</v>
      </c>
      <c r="I44" s="45" t="s">
        <v>1208</v>
      </c>
      <c r="K44" s="44" t="s">
        <v>1198</v>
      </c>
      <c r="M44" s="44" t="str">
        <f t="shared" si="13"/>
        <v>LGVs - H2kt CO2/yearHigh Electrification</v>
      </c>
      <c r="O44" s="439">
        <f ca="1">O24*'2.5 Emission factors'!O$87</f>
        <v>0</v>
      </c>
      <c r="P44" s="439">
        <f ca="1">P24*'2.5 Emission factors'!P$87</f>
        <v>0</v>
      </c>
      <c r="Q44" s="439">
        <f ca="1">Q24*'2.5 Emission factors'!Q$87</f>
        <v>0</v>
      </c>
      <c r="R44" s="439">
        <f ca="1">R24*'2.5 Emission factors'!R$87</f>
        <v>0</v>
      </c>
      <c r="S44" s="439">
        <f ca="1">S24*'2.5 Emission factors'!S$87</f>
        <v>0</v>
      </c>
      <c r="T44" s="439">
        <f ca="1">T24*'2.5 Emission factors'!T$87</f>
        <v>0</v>
      </c>
      <c r="U44" s="439">
        <f ca="1">U24*'2.5 Emission factors'!U$87</f>
        <v>0</v>
      </c>
      <c r="V44" s="439">
        <f ca="1">V24*'2.5 Emission factors'!V$87</f>
        <v>0</v>
      </c>
      <c r="W44" s="439">
        <f ca="1">W24*'2.5 Emission factors'!W$87</f>
        <v>0</v>
      </c>
      <c r="X44" s="439">
        <f ca="1">X24*'2.5 Emission factors'!X$87</f>
        <v>0</v>
      </c>
      <c r="Y44" s="439">
        <f ca="1">Y24*'2.5 Emission factors'!Y$87</f>
        <v>5.0561982321967723E-4</v>
      </c>
      <c r="Z44" s="439">
        <f ca="1">Z24*'2.5 Emission factors'!Z$87</f>
        <v>7.1978592622308681E-3</v>
      </c>
      <c r="AA44" s="439">
        <f ca="1">AA24*'2.5 Emission factors'!AA$87</f>
        <v>8.9352273641348193E-2</v>
      </c>
      <c r="AB44" s="439">
        <f ca="1">AB24*'2.5 Emission factors'!AB$87</f>
        <v>9.5543065979285094E-2</v>
      </c>
      <c r="AC44" s="439">
        <f ca="1">AC24*'2.5 Emission factors'!AC$87</f>
        <v>0.10386264055875663</v>
      </c>
      <c r="AD44" s="439">
        <f ca="1">AD24*'2.5 Emission factors'!AD$87</f>
        <v>0.27426002239461283</v>
      </c>
      <c r="AE44" s="439">
        <f ca="1">AE24*'2.5 Emission factors'!AE$87</f>
        <v>0.38976922825355687</v>
      </c>
      <c r="AF44" s="439">
        <f ca="1">AF24*'2.5 Emission factors'!AF$87</f>
        <v>0.42552029264185809</v>
      </c>
      <c r="AG44" s="439">
        <f ca="1">AG24*'2.5 Emission factors'!AG$87</f>
        <v>0.53707722640303879</v>
      </c>
      <c r="AH44" s="439">
        <f ca="1">AH24*'2.5 Emission factors'!AH$87</f>
        <v>0.6421872866787709</v>
      </c>
      <c r="AI44" s="439">
        <f ca="1">AI24*'2.5 Emission factors'!AI$87</f>
        <v>0.75247198921945091</v>
      </c>
      <c r="AJ44" s="439">
        <f ca="1">AJ24*'2.5 Emission factors'!AJ$87</f>
        <v>0.79559712493304147</v>
      </c>
      <c r="AK44" s="439">
        <f ca="1">AK24*'2.5 Emission factors'!AK$87</f>
        <v>0.85239070930961958</v>
      </c>
      <c r="AL44" s="439">
        <f ca="1">AL24*'2.5 Emission factors'!AL$87</f>
        <v>0.93703848129697465</v>
      </c>
      <c r="AM44" s="439">
        <f ca="1">AM24*'2.5 Emission factors'!AM$87</f>
        <v>0.99265925750875927</v>
      </c>
      <c r="AN44" s="439">
        <f ca="1">AN24*'2.5 Emission factors'!AN$87</f>
        <v>1.0198567507099088</v>
      </c>
      <c r="AO44" s="439">
        <f ca="1">AO24*'2.5 Emission factors'!AO$87</f>
        <v>1.0313923420839595</v>
      </c>
      <c r="AP44" s="439">
        <f ca="1">AP24*'2.5 Emission factors'!AP$87</f>
        <v>1.1136825238904675</v>
      </c>
      <c r="AQ44" s="439">
        <f ca="1">AQ24*'2.5 Emission factors'!AQ$87</f>
        <v>1.2050822654850588</v>
      </c>
      <c r="AR44" s="439">
        <f ca="1">AR24*'2.5 Emission factors'!AR$87</f>
        <v>1.2648158878854965</v>
      </c>
      <c r="AS44" s="439">
        <f ca="1">AS24*'2.5 Emission factors'!AS$87</f>
        <v>1.2615216214905021</v>
      </c>
      <c r="AT44" s="439">
        <f ca="1">AT24*'2.5 Emission factors'!AT$87</f>
        <v>1.2846080450319379</v>
      </c>
      <c r="AU44" s="439">
        <f ca="1">AU24*'2.5 Emission factors'!AU$87</f>
        <v>1.3053859256236706</v>
      </c>
      <c r="AV44" s="439">
        <f ca="1">AV24*'2.5 Emission factors'!AV$87</f>
        <v>1.3326260317382073</v>
      </c>
      <c r="AW44" s="439">
        <f ca="1">AW24*'2.5 Emission factors'!AW$87</f>
        <v>1.3390731202129533</v>
      </c>
      <c r="AX44" s="439">
        <f ca="1">AX24*'2.5 Emission factors'!AX$87</f>
        <v>1.3707109729253841</v>
      </c>
    </row>
    <row r="45" spans="1:50">
      <c r="E45" t="s">
        <v>235</v>
      </c>
      <c r="G45" s="44" t="s">
        <v>213</v>
      </c>
      <c r="I45" s="45" t="s">
        <v>1209</v>
      </c>
      <c r="K45" s="44" t="s">
        <v>1198</v>
      </c>
      <c r="M45" s="44" t="str">
        <f t="shared" si="13"/>
        <v>HGVs - Dieselkt CO2/yearHigh Electrification</v>
      </c>
      <c r="O45" s="438">
        <f t="shared" ref="O45:AX45" ca="1" si="18">INDEX(O$96:O$237,MATCH($M45,$M$96:$M$237,0),1)*O$15</f>
        <v>308.04365612309687</v>
      </c>
      <c r="P45" s="438">
        <f t="shared" ca="1" si="18"/>
        <v>309.95528864631029</v>
      </c>
      <c r="Q45" s="438">
        <f t="shared" ca="1" si="18"/>
        <v>308.93349802908688</v>
      </c>
      <c r="R45" s="438">
        <f t="shared" ca="1" si="18"/>
        <v>307.71539809269592</v>
      </c>
      <c r="S45" s="438">
        <f t="shared" ca="1" si="18"/>
        <v>306.46863953093373</v>
      </c>
      <c r="T45" s="438">
        <f t="shared" ca="1" si="18"/>
        <v>305.1924560290006</v>
      </c>
      <c r="U45" s="438">
        <f t="shared" ca="1" si="18"/>
        <v>306.49376374359036</v>
      </c>
      <c r="V45" s="438">
        <f t="shared" ca="1" si="18"/>
        <v>307.28154059646528</v>
      </c>
      <c r="W45" s="438">
        <f t="shared" ca="1" si="18"/>
        <v>308.56876165907227</v>
      </c>
      <c r="X45" s="438">
        <f t="shared" ca="1" si="18"/>
        <v>309.36734948990988</v>
      </c>
      <c r="Y45" s="438">
        <f t="shared" ca="1" si="18"/>
        <v>310.27079254414383</v>
      </c>
      <c r="Z45" s="438">
        <f t="shared" ca="1" si="18"/>
        <v>307.12358637947068</v>
      </c>
      <c r="AA45" s="438">
        <f t="shared" ca="1" si="18"/>
        <v>303.47230436666382</v>
      </c>
      <c r="AB45" s="438">
        <f t="shared" ca="1" si="18"/>
        <v>300.27776471948522</v>
      </c>
      <c r="AC45" s="438">
        <f t="shared" ca="1" si="18"/>
        <v>296.59810090991766</v>
      </c>
      <c r="AD45" s="438">
        <f t="shared" ca="1" si="18"/>
        <v>293.3564657437272</v>
      </c>
      <c r="AE45" s="438">
        <f t="shared" ca="1" si="18"/>
        <v>271.71929942555215</v>
      </c>
      <c r="AF45" s="438">
        <f t="shared" ca="1" si="18"/>
        <v>250.43996842022094</v>
      </c>
      <c r="AG45" s="438">
        <f t="shared" ca="1" si="18"/>
        <v>229.51908543872599</v>
      </c>
      <c r="AH45" s="438">
        <f t="shared" ca="1" si="18"/>
        <v>208.95726319205988</v>
      </c>
      <c r="AI45" s="438">
        <f t="shared" ca="1" si="18"/>
        <v>189.01204090392466</v>
      </c>
      <c r="AJ45" s="438">
        <f t="shared" ca="1" si="18"/>
        <v>165.32084245786027</v>
      </c>
      <c r="AK45" s="438">
        <f t="shared" ca="1" si="18"/>
        <v>142.06581123874943</v>
      </c>
      <c r="AL45" s="438">
        <f t="shared" ca="1" si="18"/>
        <v>119.24777204985135</v>
      </c>
      <c r="AM45" s="438">
        <f t="shared" ca="1" si="18"/>
        <v>96.867549694425264</v>
      </c>
      <c r="AN45" s="438">
        <f t="shared" ca="1" si="18"/>
        <v>74.99677743090767</v>
      </c>
      <c r="AO45" s="438">
        <f t="shared" ca="1" si="18"/>
        <v>63.109507584261678</v>
      </c>
      <c r="AP45" s="438">
        <f t="shared" ca="1" si="18"/>
        <v>51.446013273728155</v>
      </c>
      <c r="AQ45" s="438">
        <f t="shared" ca="1" si="18"/>
        <v>40.006331860491265</v>
      </c>
      <c r="AR45" s="438">
        <f t="shared" ca="1" si="18"/>
        <v>28.790500705735134</v>
      </c>
      <c r="AS45" s="438">
        <f t="shared" ca="1" si="18"/>
        <v>17.798557170643896</v>
      </c>
      <c r="AT45" s="438">
        <f t="shared" ca="1" si="18"/>
        <v>14.395927995374322</v>
      </c>
      <c r="AU45" s="438">
        <f t="shared" ca="1" si="18"/>
        <v>11.061274622762298</v>
      </c>
      <c r="AV45" s="438">
        <f t="shared" ca="1" si="18"/>
        <v>7.794611063251871</v>
      </c>
      <c r="AW45" s="438">
        <f t="shared" ca="1" si="18"/>
        <v>4.5959513272871018</v>
      </c>
      <c r="AX45" s="438">
        <f t="shared" ca="1" si="18"/>
        <v>1.4653094253120513</v>
      </c>
    </row>
    <row r="46" spans="1:50">
      <c r="E46" t="s">
        <v>235</v>
      </c>
      <c r="G46" s="44" t="s">
        <v>1200</v>
      </c>
      <c r="I46" s="45" t="s">
        <v>1210</v>
      </c>
      <c r="K46" s="44" t="s">
        <v>1198</v>
      </c>
      <c r="M46" s="44" t="str">
        <f t="shared" si="13"/>
        <v>HGVs - Electrickt CO2/yearHigh Electrification</v>
      </c>
      <c r="O46" s="520">
        <f ca="1">O26*'2.5 Emission factors'!O$29</f>
        <v>0</v>
      </c>
      <c r="P46" s="520">
        <f ca="1">P26*'2.5 Emission factors'!P$29</f>
        <v>0</v>
      </c>
      <c r="Q46" s="520">
        <f ca="1">Q26*'2.5 Emission factors'!Q$29</f>
        <v>0</v>
      </c>
      <c r="R46" s="520">
        <f ca="1">R26*'2.5 Emission factors'!R$29</f>
        <v>0</v>
      </c>
      <c r="S46" s="520">
        <f ca="1">S26*'2.5 Emission factors'!S$29</f>
        <v>0</v>
      </c>
      <c r="T46" s="520">
        <f ca="1">T26*'2.5 Emission factors'!T$29</f>
        <v>0</v>
      </c>
      <c r="U46" s="520">
        <f ca="1">U26*'2.5 Emission factors'!U$29</f>
        <v>0</v>
      </c>
      <c r="V46" s="520">
        <f ca="1">V26*'2.5 Emission factors'!V$29</f>
        <v>0</v>
      </c>
      <c r="W46" s="520">
        <f ca="1">W26*'2.5 Emission factors'!W$29</f>
        <v>0</v>
      </c>
      <c r="X46" s="520">
        <f ca="1">X26*'2.5 Emission factors'!X$29</f>
        <v>0</v>
      </c>
      <c r="Y46" s="520">
        <f ca="1">Y26*'2.5 Emission factors'!Y$29</f>
        <v>0</v>
      </c>
      <c r="Z46" s="520">
        <f ca="1">Z26*'2.5 Emission factors'!Z$29</f>
        <v>0.79714655709431959</v>
      </c>
      <c r="AA46" s="520">
        <f ca="1">AA26*'2.5 Emission factors'!AA$29</f>
        <v>1.3216478888264371</v>
      </c>
      <c r="AB46" s="520">
        <f ca="1">AB26*'2.5 Emission factors'!AB$29</f>
        <v>1.8397922664288597</v>
      </c>
      <c r="AC46" s="520">
        <f ca="1">AC26*'2.5 Emission factors'!AC$29</f>
        <v>2.3006398767032188</v>
      </c>
      <c r="AD46" s="520">
        <f ca="1">AD26*'2.5 Emission factors'!AD$29</f>
        <v>2.2905964390504319</v>
      </c>
      <c r="AE46" s="520">
        <f ca="1">AE26*'2.5 Emission factors'!AE$29</f>
        <v>3.3151934687517812</v>
      </c>
      <c r="AF46" s="520">
        <f ca="1">AF26*'2.5 Emission factors'!AF$29</f>
        <v>4.1644037903855731</v>
      </c>
      <c r="AG46" s="520">
        <f ca="1">AG26*'2.5 Emission factors'!AG$29</f>
        <v>4.7458967455681531</v>
      </c>
      <c r="AH46" s="520">
        <f ca="1">AH26*'2.5 Emission factors'!AH$29</f>
        <v>5.3348643628680703</v>
      </c>
      <c r="AI46" s="520">
        <f ca="1">AI26*'2.5 Emission factors'!AI$29</f>
        <v>5.6859007973316018</v>
      </c>
      <c r="AJ46" s="520">
        <f ca="1">AJ26*'2.5 Emission factors'!AJ$29</f>
        <v>5.6376108737719743</v>
      </c>
      <c r="AK46" s="520">
        <f ca="1">AK26*'2.5 Emission factors'!AK$29</f>
        <v>5.8463979280270388</v>
      </c>
      <c r="AL46" s="520">
        <f ca="1">AL26*'2.5 Emission factors'!AL$29</f>
        <v>6.524577846371316</v>
      </c>
      <c r="AM46" s="520">
        <f ca="1">AM26*'2.5 Emission factors'!AM$29</f>
        <v>6.949221784336566</v>
      </c>
      <c r="AN46" s="520">
        <f ca="1">AN26*'2.5 Emission factors'!AN$29</f>
        <v>7.0081054046838913</v>
      </c>
      <c r="AO46" s="520">
        <f ca="1">AO26*'2.5 Emission factors'!AO$29</f>
        <v>6.136852916431188</v>
      </c>
      <c r="AP46" s="520">
        <f ca="1">AP26*'2.5 Emission factors'!AP$29</f>
        <v>6.1268892168248437</v>
      </c>
      <c r="AQ46" s="520">
        <f ca="1">AQ26*'2.5 Emission factors'!AQ$29</f>
        <v>6.2985752735548823</v>
      </c>
      <c r="AR46" s="520">
        <f ca="1">AR26*'2.5 Emission factors'!AR$29</f>
        <v>6.1989996546976807</v>
      </c>
      <c r="AS46" s="520">
        <f ca="1">AS26*'2.5 Emission factors'!AS$29</f>
        <v>5.5013342473813385</v>
      </c>
      <c r="AT46" s="520">
        <f ca="1">AT26*'2.5 Emission factors'!AT$29</f>
        <v>5.0734774595007668</v>
      </c>
      <c r="AU46" s="520">
        <f ca="1">AU26*'2.5 Emission factors'!AU$29</f>
        <v>4.7505605470034284</v>
      </c>
      <c r="AV46" s="520">
        <f ca="1">AV26*'2.5 Emission factors'!AV$29</f>
        <v>4.5776918201334533</v>
      </c>
      <c r="AW46" s="520">
        <f ca="1">AW26*'2.5 Emission factors'!AW$29</f>
        <v>4.3238686042506735</v>
      </c>
      <c r="AX46" s="520">
        <f ca="1">AX26*'2.5 Emission factors'!AX$29</f>
        <v>4.3126825891134226</v>
      </c>
    </row>
    <row r="47" spans="1:50">
      <c r="E47" t="s">
        <v>235</v>
      </c>
      <c r="G47" s="44" t="s">
        <v>1203</v>
      </c>
      <c r="I47" s="45" t="s">
        <v>1211</v>
      </c>
      <c r="K47" s="44" t="s">
        <v>1198</v>
      </c>
      <c r="M47" s="44" t="str">
        <f t="shared" si="13"/>
        <v>HGVs - H2kt CO2/yearHigh Electrification</v>
      </c>
      <c r="O47" s="439">
        <f ca="1">O27*'2.5 Emission factors'!O$87</f>
        <v>0</v>
      </c>
      <c r="P47" s="439">
        <f ca="1">P27*'2.5 Emission factors'!P$87</f>
        <v>0</v>
      </c>
      <c r="Q47" s="439">
        <f ca="1">Q27*'2.5 Emission factors'!Q$87</f>
        <v>0</v>
      </c>
      <c r="R47" s="439">
        <f ca="1">R27*'2.5 Emission factors'!R$87</f>
        <v>0</v>
      </c>
      <c r="S47" s="439">
        <f ca="1">S27*'2.5 Emission factors'!S$87</f>
        <v>0</v>
      </c>
      <c r="T47" s="439">
        <f ca="1">T27*'2.5 Emission factors'!T$87</f>
        <v>0</v>
      </c>
      <c r="U47" s="439">
        <f ca="1">U27*'2.5 Emission factors'!U$87</f>
        <v>0</v>
      </c>
      <c r="V47" s="439">
        <f ca="1">V27*'2.5 Emission factors'!V$87</f>
        <v>0</v>
      </c>
      <c r="W47" s="439">
        <f ca="1">W27*'2.5 Emission factors'!W$87</f>
        <v>0</v>
      </c>
      <c r="X47" s="439">
        <f ca="1">X27*'2.5 Emission factors'!X$87</f>
        <v>0</v>
      </c>
      <c r="Y47" s="439">
        <f ca="1">Y27*'2.5 Emission factors'!Y$87</f>
        <v>0</v>
      </c>
      <c r="Z47" s="439">
        <f ca="1">Z27*'2.5 Emission factors'!Z$87</f>
        <v>0.36791211523180406</v>
      </c>
      <c r="AA47" s="439">
        <f ca="1">AA27*'2.5 Emission factors'!AA$87</f>
        <v>0.60086180230717867</v>
      </c>
      <c r="AB47" s="439">
        <f ca="1">AB27*'2.5 Emission factors'!AB$87</f>
        <v>0.81592836409584446</v>
      </c>
      <c r="AC47" s="439">
        <f ca="1">AC27*'2.5 Emission factors'!AC$87</f>
        <v>0.98627586458596639</v>
      </c>
      <c r="AD47" s="439">
        <f ca="1">AD27*'2.5 Emission factors'!AD$87</f>
        <v>0.94594907742139767</v>
      </c>
      <c r="AE47" s="439">
        <f ca="1">AE27*'2.5 Emission factors'!AE$87</f>
        <v>1.2552393652458262</v>
      </c>
      <c r="AF47" s="439">
        <f ca="1">AF27*'2.5 Emission factors'!AF$87</f>
        <v>1.2003426558871997</v>
      </c>
      <c r="AG47" s="439">
        <f ca="1">AG27*'2.5 Emission factors'!AG$87</f>
        <v>1.3336563867413878</v>
      </c>
      <c r="AH47" s="439">
        <f ca="1">AH27*'2.5 Emission factors'!AH$87</f>
        <v>1.4861146906973841</v>
      </c>
      <c r="AI47" s="439">
        <f ca="1">AI27*'2.5 Emission factors'!AI$87</f>
        <v>1.582747319306137</v>
      </c>
      <c r="AJ47" s="439">
        <f ca="1">AJ27*'2.5 Emission factors'!AJ$87</f>
        <v>1.5794868116317651</v>
      </c>
      <c r="AK47" s="439">
        <f ca="1">AK27*'2.5 Emission factors'!AK$87</f>
        <v>1.6024926072364667</v>
      </c>
      <c r="AL47" s="439">
        <f ca="1">AL27*'2.5 Emission factors'!AL$87</f>
        <v>1.6769838053386024</v>
      </c>
      <c r="AM47" s="439">
        <f ca="1">AM27*'2.5 Emission factors'!AM$87</f>
        <v>1.703454717954852</v>
      </c>
      <c r="AN47" s="439">
        <f ca="1">AN27*'2.5 Emission factors'!AN$87</f>
        <v>1.6892801755209939</v>
      </c>
      <c r="AO47" s="439">
        <f ca="1">AO27*'2.5 Emission factors'!AO$87</f>
        <v>1.5816483329043578</v>
      </c>
      <c r="AP47" s="439">
        <f ca="1">AP27*'2.5 Emission factors'!AP$87</f>
        <v>1.6034702763421653</v>
      </c>
      <c r="AQ47" s="439">
        <f ca="1">AQ27*'2.5 Emission factors'!AQ$87</f>
        <v>1.6490006549801226</v>
      </c>
      <c r="AR47" s="439">
        <f ca="1">AR27*'2.5 Emission factors'!AR$87</f>
        <v>1.6619826886456506</v>
      </c>
      <c r="AS47" s="439">
        <f ca="1">AS27*'2.5 Emission factors'!AS$87</f>
        <v>1.6052988502301884</v>
      </c>
      <c r="AT47" s="439">
        <f ca="1">AT27*'2.5 Emission factors'!AT$87</f>
        <v>1.5361662165589052</v>
      </c>
      <c r="AU47" s="439">
        <f ca="1">AU27*'2.5 Emission factors'!AU$87</f>
        <v>1.4780591474627944</v>
      </c>
      <c r="AV47" s="439">
        <f ca="1">AV27*'2.5 Emission factors'!AV$87</f>
        <v>1.4384274432751196</v>
      </c>
      <c r="AW47" s="439">
        <f ca="1">AW27*'2.5 Emission factors'!AW$87</f>
        <v>1.3858456815784412</v>
      </c>
      <c r="AX47" s="439">
        <f ca="1">AX27*'2.5 Emission factors'!AX$87</f>
        <v>1.3666937597368511</v>
      </c>
    </row>
    <row r="48" spans="1:50">
      <c r="E48" t="s">
        <v>236</v>
      </c>
      <c r="G48" s="44" t="s">
        <v>213</v>
      </c>
      <c r="I48" s="45" t="s">
        <v>1212</v>
      </c>
      <c r="K48" s="44" t="s">
        <v>1198</v>
      </c>
      <c r="M48" s="44" t="str">
        <f t="shared" si="13"/>
        <v>Buses - Dieselkt CO2/yearHigh Electrification</v>
      </c>
      <c r="O48" s="438">
        <f t="shared" ref="O48:AX48" ca="1" si="19">INDEX(O$96:O$237,MATCH($M48,$M$96:$M$237,0),1)*O$15</f>
        <v>255.36868930765806</v>
      </c>
      <c r="P48" s="438">
        <f t="shared" ca="1" si="19"/>
        <v>253.96784955621203</v>
      </c>
      <c r="Q48" s="438">
        <f t="shared" ca="1" si="19"/>
        <v>250.15351570505157</v>
      </c>
      <c r="R48" s="438">
        <f t="shared" ca="1" si="19"/>
        <v>246.20044749932293</v>
      </c>
      <c r="S48" s="438">
        <f t="shared" ca="1" si="19"/>
        <v>242.24685691351047</v>
      </c>
      <c r="T48" s="438">
        <f t="shared" ca="1" si="19"/>
        <v>235.91664229982231</v>
      </c>
      <c r="U48" s="438">
        <f t="shared" ca="1" si="19"/>
        <v>233.1602895266812</v>
      </c>
      <c r="V48" s="438">
        <f t="shared" ca="1" si="19"/>
        <v>220.95265152472993</v>
      </c>
      <c r="W48" s="438">
        <f t="shared" ca="1" si="19"/>
        <v>205.74482242370371</v>
      </c>
      <c r="X48" s="438">
        <f t="shared" ca="1" si="19"/>
        <v>190.42703023798293</v>
      </c>
      <c r="Y48" s="438">
        <f t="shared" ca="1" si="19"/>
        <v>174.98812538373087</v>
      </c>
      <c r="Z48" s="438">
        <f t="shared" ca="1" si="19"/>
        <v>155.88909047282328</v>
      </c>
      <c r="AA48" s="438">
        <f t="shared" ca="1" si="19"/>
        <v>137.08126744651619</v>
      </c>
      <c r="AB48" s="438">
        <f t="shared" ca="1" si="19"/>
        <v>117.91132793552777</v>
      </c>
      <c r="AC48" s="438">
        <f t="shared" ca="1" si="19"/>
        <v>98.706040077546234</v>
      </c>
      <c r="AD48" s="438">
        <f t="shared" ca="1" si="19"/>
        <v>79.465571079427917</v>
      </c>
      <c r="AE48" s="438">
        <f t="shared" ca="1" si="19"/>
        <v>72.694463139723808</v>
      </c>
      <c r="AF48" s="438">
        <f t="shared" ca="1" si="19"/>
        <v>66.031692027423873</v>
      </c>
      <c r="AG48" s="438">
        <f t="shared" ca="1" si="19"/>
        <v>59.477637321546297</v>
      </c>
      <c r="AH48" s="438">
        <f t="shared" ca="1" si="19"/>
        <v>53.032678601109232</v>
      </c>
      <c r="AI48" s="438">
        <f t="shared" ca="1" si="19"/>
        <v>46.697195445130902</v>
      </c>
      <c r="AJ48" s="438">
        <f t="shared" ca="1" si="19"/>
        <v>41.049732681667024</v>
      </c>
      <c r="AK48" s="438">
        <f t="shared" ca="1" si="19"/>
        <v>35.501379947377202</v>
      </c>
      <c r="AL48" s="438">
        <f t="shared" ca="1" si="19"/>
        <v>30.052478863377814</v>
      </c>
      <c r="AM48" s="438">
        <f t="shared" ca="1" si="19"/>
        <v>24.703371050785204</v>
      </c>
      <c r="AN48" s="438">
        <f t="shared" ca="1" si="19"/>
        <v>19.454398130715763</v>
      </c>
      <c r="AO48" s="438">
        <f t="shared" ca="1" si="19"/>
        <v>16.510232584220287</v>
      </c>
      <c r="AP48" s="438">
        <f t="shared" ca="1" si="19"/>
        <v>13.62102557202739</v>
      </c>
      <c r="AQ48" s="438">
        <f t="shared" ca="1" si="19"/>
        <v>10.786795136262734</v>
      </c>
      <c r="AR48" s="438">
        <f t="shared" ca="1" si="19"/>
        <v>8.0075593190519996</v>
      </c>
      <c r="AS48" s="438">
        <f t="shared" ca="1" si="19"/>
        <v>5.2833361625208521</v>
      </c>
      <c r="AT48" s="438">
        <f t="shared" ca="1" si="19"/>
        <v>4.3569061813249341</v>
      </c>
      <c r="AU48" s="438">
        <f t="shared" ca="1" si="19"/>
        <v>3.4488177630501395</v>
      </c>
      <c r="AV48" s="438">
        <f t="shared" ca="1" si="19"/>
        <v>2.5590769217383591</v>
      </c>
      <c r="AW48" s="438">
        <f t="shared" ca="1" si="19"/>
        <v>1.6876896714314815</v>
      </c>
      <c r="AX48" s="438">
        <f t="shared" ca="1" si="19"/>
        <v>0.83466202617139751</v>
      </c>
    </row>
    <row r="49" spans="1:50">
      <c r="E49" t="s">
        <v>236</v>
      </c>
      <c r="G49" s="44" t="s">
        <v>1200</v>
      </c>
      <c r="I49" s="45" t="s">
        <v>1213</v>
      </c>
      <c r="K49" s="44" t="s">
        <v>1198</v>
      </c>
      <c r="M49" s="44" t="str">
        <f t="shared" si="13"/>
        <v>Buses - Electrickt CO2/yearHigh Electrification</v>
      </c>
      <c r="O49" s="520">
        <f ca="1">O29*'2.5 Emission factors'!O$29</f>
        <v>1.2012293742362941</v>
      </c>
      <c r="P49" s="520">
        <f ca="1">P29*'2.5 Emission factors'!P$29</f>
        <v>0.96455066619335839</v>
      </c>
      <c r="Q49" s="520">
        <f ca="1">Q29*'2.5 Emission factors'!Q$29</f>
        <v>0.8591580238712031</v>
      </c>
      <c r="R49" s="520">
        <f ca="1">R29*'2.5 Emission factors'!R$29</f>
        <v>0.73329732875704112</v>
      </c>
      <c r="S49" s="520">
        <f ca="1">S29*'2.5 Emission factors'!S$29</f>
        <v>0.5962010878955768</v>
      </c>
      <c r="T49" s="520">
        <f ca="1">T29*'2.5 Emission factors'!T$29</f>
        <v>0.76320039238897719</v>
      </c>
      <c r="U49" s="520">
        <f ca="1">U29*'2.5 Emission factors'!U$29</f>
        <v>1.262154620076402</v>
      </c>
      <c r="V49" s="520">
        <f ca="1">V29*'2.5 Emission factors'!V$29</f>
        <v>3.2322676690580852</v>
      </c>
      <c r="W49" s="520">
        <f ca="1">W29*'2.5 Emission factors'!W$29</f>
        <v>5.0735926407455549</v>
      </c>
      <c r="X49" s="520">
        <f ca="1">X29*'2.5 Emission factors'!X$29</f>
        <v>7.6927668964576359</v>
      </c>
      <c r="Y49" s="520">
        <f ca="1">Y29*'2.5 Emission factors'!Y$29</f>
        <v>8.3343694845914378</v>
      </c>
      <c r="Z49" s="520">
        <f ca="1">Z29*'2.5 Emission factors'!Z$29</f>
        <v>7.7944258821238979</v>
      </c>
      <c r="AA49" s="520">
        <f ca="1">AA29*'2.5 Emission factors'!AA$29</f>
        <v>7.8041396326720482</v>
      </c>
      <c r="AB49" s="520">
        <f ca="1">AB29*'2.5 Emission factors'!AB$29</f>
        <v>8.4564896715424833</v>
      </c>
      <c r="AC49" s="520">
        <f ca="1">AC29*'2.5 Emission factors'!AC$29</f>
        <v>9.0681019035317725</v>
      </c>
      <c r="AD49" s="520">
        <f ca="1">AD29*'2.5 Emission factors'!AD$29</f>
        <v>8.101380917731726</v>
      </c>
      <c r="AE49" s="520">
        <f ca="1">AE29*'2.5 Emission factors'!AE$29</f>
        <v>6.8017001186955737</v>
      </c>
      <c r="AF49" s="520">
        <f ca="1">AF29*'2.5 Emission factors'!AF$29</f>
        <v>6.2131537665482721</v>
      </c>
      <c r="AG49" s="520">
        <f ca="1">AG29*'2.5 Emission factors'!AG$29</f>
        <v>5.686624294913333</v>
      </c>
      <c r="AH49" s="520">
        <f ca="1">AH29*'2.5 Emission factors'!AH$29</f>
        <v>5.4270735496968854</v>
      </c>
      <c r="AI49" s="520">
        <f ca="1">AI29*'2.5 Emission factors'!AI$29</f>
        <v>5.0780748481218545</v>
      </c>
      <c r="AJ49" s="520">
        <f ca="1">AJ29*'2.5 Emission factors'!AJ$29</f>
        <v>4.3968309804420116</v>
      </c>
      <c r="AK49" s="520">
        <f ca="1">AK29*'2.5 Emission factors'!AK$29</f>
        <v>4.0856284610154798</v>
      </c>
      <c r="AL49" s="520">
        <f ca="1">AL29*'2.5 Emission factors'!AL$29</f>
        <v>4.1620065797847356</v>
      </c>
      <c r="AM49" s="520">
        <f ca="1">AM29*'2.5 Emission factors'!AM$29</f>
        <v>4.1030986386098842</v>
      </c>
      <c r="AN49" s="520">
        <f ca="1">AN29*'2.5 Emission factors'!AN$29</f>
        <v>3.8654950371381092</v>
      </c>
      <c r="AO49" s="520">
        <f ca="1">AO29*'2.5 Emission factors'!AO$29</f>
        <v>3.2774056613043565</v>
      </c>
      <c r="AP49" s="520">
        <f ca="1">AP29*'2.5 Emission factors'!AP$29</f>
        <v>3.1753386078190142</v>
      </c>
      <c r="AQ49" s="520">
        <f ca="1">AQ29*'2.5 Emission factors'!AQ$29</f>
        <v>3.1742258702416111</v>
      </c>
      <c r="AR49" s="520">
        <f ca="1">AR29*'2.5 Emission factors'!AR$29</f>
        <v>3.0433516920343497</v>
      </c>
      <c r="AS49" s="520">
        <f ca="1">AS29*'2.5 Emission factors'!AS$29</f>
        <v>2.6353916944334856</v>
      </c>
      <c r="AT49" s="520">
        <f ca="1">AT29*'2.5 Emission factors'!AT$29</f>
        <v>2.4179839253951929</v>
      </c>
      <c r="AU49" s="520">
        <f ca="1">AU29*'2.5 Emission factors'!AU$29</f>
        <v>2.2527873958399351</v>
      </c>
      <c r="AV49" s="520">
        <f ca="1">AV29*'2.5 Emission factors'!AV$29</f>
        <v>2.1602526077971094</v>
      </c>
      <c r="AW49" s="520">
        <f ca="1">AW29*'2.5 Emission factors'!AW$29</f>
        <v>2.0307946030292108</v>
      </c>
      <c r="AX49" s="520">
        <f ca="1">AX29*'2.5 Emission factors'!AX$29</f>
        <v>2.0161714352893347</v>
      </c>
    </row>
    <row r="50" spans="1:50">
      <c r="C50" s="35"/>
      <c r="E50" s="78" t="s">
        <v>236</v>
      </c>
      <c r="G50" s="44" t="s">
        <v>1203</v>
      </c>
      <c r="I50" s="45" t="s">
        <v>1214</v>
      </c>
      <c r="K50" s="44" t="s">
        <v>1198</v>
      </c>
      <c r="M50" s="44" t="str">
        <f t="shared" si="13"/>
        <v>Buses - H2kt CO2/yearHigh Electrification</v>
      </c>
      <c r="O50" s="439">
        <f ca="1">O30*'2.5 Emission factors'!O$87</f>
        <v>0</v>
      </c>
      <c r="P50" s="439">
        <f ca="1">P30*'2.5 Emission factors'!P$87</f>
        <v>0</v>
      </c>
      <c r="Q50" s="439">
        <f ca="1">Q30*'2.5 Emission factors'!Q$87</f>
        <v>0</v>
      </c>
      <c r="R50" s="439">
        <f ca="1">R30*'2.5 Emission factors'!R$87</f>
        <v>0</v>
      </c>
      <c r="S50" s="439">
        <f ca="1">S30*'2.5 Emission factors'!S$87</f>
        <v>0</v>
      </c>
      <c r="T50" s="439">
        <f ca="1">T30*'2.5 Emission factors'!T$87</f>
        <v>0</v>
      </c>
      <c r="U50" s="439">
        <f ca="1">U30*'2.5 Emission factors'!U$87</f>
        <v>0.29202027122895724</v>
      </c>
      <c r="V50" s="439">
        <f ca="1">V30*'2.5 Emission factors'!V$87</f>
        <v>0.27010476480267603</v>
      </c>
      <c r="W50" s="439">
        <f ca="1">W30*'2.5 Emission factors'!W$87</f>
        <v>0.25605699075731775</v>
      </c>
      <c r="X50" s="439">
        <f ca="1">X30*'2.5 Emission factors'!X$87</f>
        <v>0.27402370556046435</v>
      </c>
      <c r="Y50" s="439">
        <f ca="1">Y30*'2.5 Emission factors'!Y$87</f>
        <v>0.23055361782921313</v>
      </c>
      <c r="Z50" s="439">
        <f ca="1">Z30*'2.5 Emission factors'!Z$87</f>
        <v>0.8977556781727819</v>
      </c>
      <c r="AA50" s="439">
        <f ca="1">AA30*'2.5 Emission factors'!AA$87</f>
        <v>1.2040398326118511</v>
      </c>
      <c r="AB50" s="439">
        <f ca="1">AB30*'2.5 Emission factors'!AB$87</f>
        <v>1.653940238979108</v>
      </c>
      <c r="AC50" s="439">
        <f ca="1">AC30*'2.5 Emission factors'!AC$87</f>
        <v>2.0269965915146329</v>
      </c>
      <c r="AD50" s="439">
        <f ca="1">AD30*'2.5 Emission factors'!AD$87</f>
        <v>1.9677403450850597</v>
      </c>
      <c r="AE50" s="439">
        <f ca="1">AE30*'2.5 Emission factors'!AE$87</f>
        <v>1.9430758612505457</v>
      </c>
      <c r="AF50" s="439">
        <f ca="1">AF30*'2.5 Emission factors'!AF$87</f>
        <v>1.5977366845103473</v>
      </c>
      <c r="AG50" s="439">
        <f ca="1">AG30*'2.5 Emission factors'!AG$87</f>
        <v>1.6180376831697687</v>
      </c>
      <c r="AH50" s="439">
        <f ca="1">AH30*'2.5 Emission factors'!AH$87</f>
        <v>1.6929353298182517</v>
      </c>
      <c r="AI50" s="439">
        <f ca="1">AI30*'2.5 Emission factors'!AI$87</f>
        <v>1.7180690235245732</v>
      </c>
      <c r="AJ50" s="439">
        <f ca="1">AJ30*'2.5 Emission factors'!AJ$87</f>
        <v>1.5731640091327086</v>
      </c>
      <c r="AK50" s="439">
        <f ca="1">AK30*'2.5 Emission factors'!AK$87</f>
        <v>1.4924135184235661</v>
      </c>
      <c r="AL50" s="439">
        <f ca="1">AL30*'2.5 Emission factors'!AL$87</f>
        <v>1.4796911069410441</v>
      </c>
      <c r="AM50" s="439">
        <f ca="1">AM30*'2.5 Emission factors'!AM$87</f>
        <v>1.4377162592340391</v>
      </c>
      <c r="AN50" s="439">
        <f ca="1">AN30*'2.5 Emission factors'!AN$87</f>
        <v>1.3699063898315202</v>
      </c>
      <c r="AO50" s="439">
        <f ca="1">AO30*'2.5 Emission factors'!AO$87</f>
        <v>1.2705219631126661</v>
      </c>
      <c r="AP50" s="439">
        <f ca="1">AP30*'2.5 Emission factors'!AP$87</f>
        <v>1.2767407653533855</v>
      </c>
      <c r="AQ50" s="439">
        <f ca="1">AQ30*'2.5 Emission factors'!AQ$87</f>
        <v>1.3022368822998835</v>
      </c>
      <c r="AR50" s="439">
        <f ca="1">AR30*'2.5 Emission factors'!AR$87</f>
        <v>1.3024342357185472</v>
      </c>
      <c r="AS50" s="439">
        <f ca="1">AS30*'2.5 Emission factors'!AS$87</f>
        <v>1.2489823085499494</v>
      </c>
      <c r="AT50" s="439">
        <f ca="1">AT30*'2.5 Emission factors'!AT$87</f>
        <v>1.1910692074997828</v>
      </c>
      <c r="AU50" s="439">
        <f ca="1">AU30*'2.5 Emission factors'!AU$87</f>
        <v>1.1420195274456448</v>
      </c>
      <c r="AV50" s="439">
        <f ca="1">AV30*'2.5 Emission factors'!AV$87</f>
        <v>1.1074825324554074</v>
      </c>
      <c r="AW50" s="439">
        <f ca="1">AW30*'2.5 Emission factors'!AW$87</f>
        <v>1.0632001389548869</v>
      </c>
      <c r="AX50" s="439">
        <f ca="1">AX30*'2.5 Emission factors'!AX$87</f>
        <v>1.0447354752058098</v>
      </c>
    </row>
    <row r="51" spans="1:50">
      <c r="A51" s="35"/>
      <c r="B51" s="35"/>
      <c r="C51" s="35"/>
      <c r="D51" s="35"/>
      <c r="E51" s="78" t="s">
        <v>237</v>
      </c>
      <c r="F51" s="35"/>
      <c r="G51" s="44" t="s">
        <v>213</v>
      </c>
      <c r="I51" s="45" t="s">
        <v>1215</v>
      </c>
      <c r="K51" s="44" t="s">
        <v>1198</v>
      </c>
      <c r="M51" s="44" t="str">
        <f t="shared" si="13"/>
        <v>Taxis - Dieselkt CO2/yearHigh Electrification</v>
      </c>
      <c r="O51" s="438">
        <f t="shared" ref="O51:AX51" ca="1" si="20">INDEX(O$96:O$237,MATCH($M51,$M$96:$M$237,0),1)*O$15</f>
        <v>30.322967255371534</v>
      </c>
      <c r="P51" s="438">
        <f t="shared" ca="1" si="20"/>
        <v>27.296388552572768</v>
      </c>
      <c r="Q51" s="438">
        <f t="shared" ca="1" si="20"/>
        <v>24.179899284928783</v>
      </c>
      <c r="R51" s="438">
        <f t="shared" ca="1" si="20"/>
        <v>21.247062014722214</v>
      </c>
      <c r="S51" s="438">
        <f t="shared" ca="1" si="20"/>
        <v>17.285632641579497</v>
      </c>
      <c r="T51" s="438">
        <f t="shared" ca="1" si="20"/>
        <v>17.274904319419132</v>
      </c>
      <c r="U51" s="438">
        <f t="shared" ca="1" si="20"/>
        <v>14.811678655908674</v>
      </c>
      <c r="V51" s="438">
        <f t="shared" ca="1" si="20"/>
        <v>12.437532846995749</v>
      </c>
      <c r="W51" s="438">
        <f t="shared" ca="1" si="20"/>
        <v>10.178981633172148</v>
      </c>
      <c r="X51" s="438">
        <f t="shared" ca="1" si="20"/>
        <v>8.4641118135182136</v>
      </c>
      <c r="Y51" s="438">
        <f t="shared" ca="1" si="20"/>
        <v>7.0449486730884745</v>
      </c>
      <c r="Z51" s="438">
        <f t="shared" ca="1" si="20"/>
        <v>6.0091598551734062</v>
      </c>
      <c r="AA51" s="438">
        <f t="shared" ca="1" si="20"/>
        <v>4.9778245305186744</v>
      </c>
      <c r="AB51" s="438">
        <f t="shared" ca="1" si="20"/>
        <v>4.0034832444794288</v>
      </c>
      <c r="AC51" s="438">
        <f t="shared" ca="1" si="20"/>
        <v>3.1835776925843633</v>
      </c>
      <c r="AD51" s="438">
        <f t="shared" ca="1" si="20"/>
        <v>2.5070084263581682</v>
      </c>
      <c r="AE51" s="438">
        <f t="shared" ca="1" si="20"/>
        <v>2.1969174308023951</v>
      </c>
      <c r="AF51" s="438">
        <f t="shared" ca="1" si="20"/>
        <v>1.8854553928761</v>
      </c>
      <c r="AG51" s="438">
        <f t="shared" ca="1" si="20"/>
        <v>1.7009137914430004</v>
      </c>
      <c r="AH51" s="438">
        <f t="shared" ca="1" si="20"/>
        <v>1.6204383572292971</v>
      </c>
      <c r="AI51" s="438">
        <f t="shared" ca="1" si="20"/>
        <v>1.5419566769040409</v>
      </c>
      <c r="AJ51" s="438">
        <f t="shared" ca="1" si="20"/>
        <v>1.4695426248732513</v>
      </c>
      <c r="AK51" s="438">
        <f t="shared" ca="1" si="20"/>
        <v>1.3977536115425613</v>
      </c>
      <c r="AL51" s="438">
        <f t="shared" ca="1" si="20"/>
        <v>1.3265778929698</v>
      </c>
      <c r="AM51" s="438">
        <f t="shared" ca="1" si="20"/>
        <v>1.2560040175930955</v>
      </c>
      <c r="AN51" s="438">
        <f t="shared" ca="1" si="20"/>
        <v>1.1860208171881925</v>
      </c>
      <c r="AO51" s="438">
        <f t="shared" ca="1" si="20"/>
        <v>1.065714743077101</v>
      </c>
      <c r="AP51" s="438">
        <f t="shared" ca="1" si="20"/>
        <v>0.94633993747020639</v>
      </c>
      <c r="AQ51" s="438">
        <f t="shared" ca="1" si="20"/>
        <v>0.82788502030432065</v>
      </c>
      <c r="AR51" s="438">
        <f t="shared" ca="1" si="20"/>
        <v>0.71033879618259588</v>
      </c>
      <c r="AS51" s="438">
        <f t="shared" ca="1" si="20"/>
        <v>0.59369025064389047</v>
      </c>
      <c r="AT51" s="438">
        <f t="shared" ca="1" si="20"/>
        <v>0.47410319101879905</v>
      </c>
      <c r="AU51" s="438">
        <f t="shared" ca="1" si="20"/>
        <v>0.3549431985447708</v>
      </c>
      <c r="AV51" s="438">
        <f t="shared" ca="1" si="20"/>
        <v>0.23620770052812431</v>
      </c>
      <c r="AW51" s="438">
        <f t="shared" ca="1" si="20"/>
        <v>0.11789414489797376</v>
      </c>
      <c r="AX51" s="438">
        <f t="shared" ca="1" si="20"/>
        <v>0</v>
      </c>
    </row>
    <row r="52" spans="1:50">
      <c r="C52" s="35"/>
      <c r="E52" s="78" t="s">
        <v>237</v>
      </c>
      <c r="G52" s="44" t="s">
        <v>1200</v>
      </c>
      <c r="I52" s="45" t="s">
        <v>1216</v>
      </c>
      <c r="K52" s="44" t="s">
        <v>1198</v>
      </c>
      <c r="M52" s="44" t="str">
        <f t="shared" si="13"/>
        <v>Taxis - Electrickt CO2/yearHigh Electrification</v>
      </c>
      <c r="O52" s="520">
        <f ca="1">O32*'2.5 Emission factors'!O$29</f>
        <v>2.0812086706257573</v>
      </c>
      <c r="P52" s="520">
        <f ca="1">P32*'2.5 Emission factors'!P$29</f>
        <v>2.1176345858849053</v>
      </c>
      <c r="Q52" s="520">
        <f ca="1">Q32*'2.5 Emission factors'!Q$29</f>
        <v>2.2780206077598337</v>
      </c>
      <c r="R52" s="520">
        <f ca="1">R32*'2.5 Emission factors'!R$29</f>
        <v>2.4660587582741158</v>
      </c>
      <c r="S52" s="520">
        <f ca="1">S32*'2.5 Emission factors'!S$29</f>
        <v>2.8409603897718307</v>
      </c>
      <c r="T52" s="520">
        <f ca="1">T32*'2.5 Emission factors'!T$29</f>
        <v>2.1103440780844789</v>
      </c>
      <c r="U52" s="520">
        <f ca="1">U32*'2.5 Emission factors'!U$29</f>
        <v>2.2554836575299411</v>
      </c>
      <c r="V52" s="520">
        <f ca="1">V32*'2.5 Emission factors'!V$29</f>
        <v>2.3007088522007164</v>
      </c>
      <c r="W52" s="520">
        <f ca="1">W32*'2.5 Emission factors'!W$29</f>
        <v>2.401795887947062</v>
      </c>
      <c r="X52" s="520">
        <f ca="1">X32*'2.5 Emission factors'!X$29</f>
        <v>2.7705275393328517</v>
      </c>
      <c r="Y52" s="520">
        <f ca="1">Y32*'2.5 Emission factors'!Y$29</f>
        <v>2.4426479097845517</v>
      </c>
      <c r="Z52" s="520">
        <f ca="1">Z32*'2.5 Emission factors'!Z$29</f>
        <v>1.8644537079280687</v>
      </c>
      <c r="AA52" s="520">
        <f ca="1">AA32*'2.5 Emission factors'!AA$29</f>
        <v>1.6013160765639116</v>
      </c>
      <c r="AB52" s="520">
        <f ca="1">AB32*'2.5 Emission factors'!AB$29</f>
        <v>1.5314136741689761</v>
      </c>
      <c r="AC52" s="520">
        <f ca="1">AC32*'2.5 Emission factors'!AC$29</f>
        <v>1.4720618580477085</v>
      </c>
      <c r="AD52" s="520">
        <f ca="1">AD32*'2.5 Emission factors'!AD$29</f>
        <v>1.1914443888014792</v>
      </c>
      <c r="AE52" s="520">
        <f ca="1">AE32*'2.5 Emission factors'!AE$29</f>
        <v>0.95649920841594482</v>
      </c>
      <c r="AF52" s="520">
        <f ca="1">AF32*'2.5 Emission factors'!AF$29</f>
        <v>0.83786310797477137</v>
      </c>
      <c r="AG52" s="520">
        <f ca="1">AG32*'2.5 Emission factors'!AG$29</f>
        <v>0.79687178050838081</v>
      </c>
      <c r="AH52" s="520">
        <f ca="1">AH32*'2.5 Emission factors'!AH$29</f>
        <v>0.72213859339765707</v>
      </c>
      <c r="AI52" s="520">
        <f ca="1">AI32*'2.5 Emission factors'!AI$29</f>
        <v>0.64282301488949178</v>
      </c>
      <c r="AJ52" s="520">
        <f ca="1">AJ32*'2.5 Emission factors'!AJ$29</f>
        <v>0.5303269340786162</v>
      </c>
      <c r="AK52" s="520">
        <f ca="1">AK32*'2.5 Emission factors'!AK$29</f>
        <v>0.47028517801895958</v>
      </c>
      <c r="AL52" s="520">
        <f ca="1">AL32*'2.5 Emission factors'!AL$29</f>
        <v>0.45802317748783694</v>
      </c>
      <c r="AM52" s="520">
        <f ca="1">AM32*'2.5 Emission factors'!AM$29</f>
        <v>0.43226034832665822</v>
      </c>
      <c r="AN52" s="520">
        <f ca="1">AN32*'2.5 Emission factors'!AN$29</f>
        <v>0.39031557645245318</v>
      </c>
      <c r="AO52" s="520">
        <f ca="1">AO32*'2.5 Emission factors'!AO$29</f>
        <v>0.32462876146411174</v>
      </c>
      <c r="AP52" s="520">
        <f ca="1">AP32*'2.5 Emission factors'!AP$29</f>
        <v>0.3086811682001227</v>
      </c>
      <c r="AQ52" s="520">
        <f ca="1">AQ32*'2.5 Emission factors'!AQ$29</f>
        <v>0.30288828681572261</v>
      </c>
      <c r="AR52" s="520">
        <f ca="1">AR32*'2.5 Emission factors'!AR$29</f>
        <v>0.28509392347394508</v>
      </c>
      <c r="AS52" s="520">
        <f ca="1">AS32*'2.5 Emission factors'!AS$29</f>
        <v>0.24246844263955095</v>
      </c>
      <c r="AT52" s="520">
        <f ca="1">AT32*'2.5 Emission factors'!AT$29</f>
        <v>0.22048126099995427</v>
      </c>
      <c r="AU52" s="520">
        <f ca="1">AU32*'2.5 Emission factors'!AU$29</f>
        <v>0.20362969575979084</v>
      </c>
      <c r="AV52" s="520">
        <f ca="1">AV32*'2.5 Emission factors'!AV$29</f>
        <v>0.19353841499539806</v>
      </c>
      <c r="AW52" s="520">
        <f ca="1">AW32*'2.5 Emission factors'!AW$29</f>
        <v>0.18036670684129189</v>
      </c>
      <c r="AX52" s="520">
        <f ca="1">AX32*'2.5 Emission factors'!AX$29</f>
        <v>0.17755229645154313</v>
      </c>
    </row>
    <row r="53" spans="1:50">
      <c r="A53" s="38"/>
      <c r="B53" s="38"/>
      <c r="C53" s="60"/>
      <c r="D53" s="38"/>
      <c r="E53" s="38" t="s">
        <v>237</v>
      </c>
      <c r="F53" s="38"/>
      <c r="G53" s="44" t="s">
        <v>1203</v>
      </c>
      <c r="I53" s="45" t="s">
        <v>1217</v>
      </c>
      <c r="K53" s="44" t="s">
        <v>1198</v>
      </c>
      <c r="M53" s="44" t="str">
        <f t="shared" si="13"/>
        <v>Taxis - H2kt CO2/yearHigh Electrification</v>
      </c>
      <c r="O53" s="439">
        <f ca="1">O33*'2.5 Emission factors'!O$87</f>
        <v>0</v>
      </c>
      <c r="P53" s="439">
        <f ca="1">P33*'2.5 Emission factors'!P$87</f>
        <v>0</v>
      </c>
      <c r="Q53" s="439">
        <f ca="1">Q33*'2.5 Emission factors'!Q$87</f>
        <v>0</v>
      </c>
      <c r="R53" s="439">
        <f ca="1">R33*'2.5 Emission factors'!R$87</f>
        <v>0</v>
      </c>
      <c r="S53" s="439">
        <f ca="1">S33*'2.5 Emission factors'!S$87</f>
        <v>0</v>
      </c>
      <c r="T53" s="439">
        <f ca="1">T33*'2.5 Emission factors'!T$87</f>
        <v>0</v>
      </c>
      <c r="U53" s="439">
        <f ca="1">U33*'2.5 Emission factors'!U$87</f>
        <v>8.1033759656697988E-3</v>
      </c>
      <c r="V53" s="439">
        <f ca="1">V33*'2.5 Emission factors'!V$87</f>
        <v>1.6787858357034054E-2</v>
      </c>
      <c r="W53" s="439">
        <f ca="1">W33*'2.5 Emission factors'!W$87</f>
        <v>2.6541243559332548E-2</v>
      </c>
      <c r="X53" s="439">
        <f ca="1">X33*'2.5 Emission factors'!X$87</f>
        <v>4.0801726564207656E-2</v>
      </c>
      <c r="Y53" s="439">
        <f ca="1">Y33*'2.5 Emission factors'!Y$87</f>
        <v>4.5554962877083369E-2</v>
      </c>
      <c r="Z53" s="439">
        <f ca="1">Z33*'2.5 Emission factors'!Z$87</f>
        <v>4.3273602870578763E-2</v>
      </c>
      <c r="AA53" s="439">
        <f ca="1">AA33*'2.5 Emission factors'!AA$87</f>
        <v>4.4699495098944837E-2</v>
      </c>
      <c r="AB53" s="439">
        <f ca="1">AB33*'2.5 Emission factors'!AB$87</f>
        <v>4.9902725091836596E-2</v>
      </c>
      <c r="AC53" s="439">
        <f ca="1">AC33*'2.5 Emission factors'!AC$87</f>
        <v>5.4561517436099709E-2</v>
      </c>
      <c r="AD53" s="439">
        <f ca="1">AD33*'2.5 Emission factors'!AD$87</f>
        <v>4.9380746736851229E-2</v>
      </c>
      <c r="AE53" s="439">
        <f ca="1">AE33*'2.5 Emission factors'!AE$87</f>
        <v>4.4178131765582301E-2</v>
      </c>
      <c r="AF53" s="439">
        <f ca="1">AF33*'2.5 Emission factors'!AF$87</f>
        <v>3.4233522012105791E-2</v>
      </c>
      <c r="AG53" s="439">
        <f ca="1">AG33*'2.5 Emission factors'!AG$87</f>
        <v>3.6193951066053803E-2</v>
      </c>
      <c r="AH53" s="439">
        <f ca="1">AH33*'2.5 Emission factors'!AH$87</f>
        <v>3.6607242890366827E-2</v>
      </c>
      <c r="AI53" s="439">
        <f ca="1">AI33*'2.5 Emission factors'!AI$87</f>
        <v>3.630357250287982E-2</v>
      </c>
      <c r="AJ53" s="439">
        <f ca="1">AJ33*'2.5 Emission factors'!AJ$87</f>
        <v>3.3386786129087881E-2</v>
      </c>
      <c r="AK53" s="439">
        <f ca="1">AK33*'2.5 Emission factors'!AK$87</f>
        <v>3.1887452447383488E-2</v>
      </c>
      <c r="AL53" s="439">
        <f ca="1">AL33*'2.5 Emission factors'!AL$87</f>
        <v>3.1886338490882488E-2</v>
      </c>
      <c r="AM53" s="439">
        <f ca="1">AM33*'2.5 Emission factors'!AM$87</f>
        <v>3.128869455623589E-2</v>
      </c>
      <c r="AN53" s="439">
        <f ca="1">AN33*'2.5 Emission factors'!AN$87</f>
        <v>3.0138219330081789E-2</v>
      </c>
      <c r="AO53" s="439">
        <f ca="1">AO33*'2.5 Emission factors'!AO$87</f>
        <v>2.7995461747290187E-2</v>
      </c>
      <c r="AP53" s="439">
        <f ca="1">AP33*'2.5 Emission factors'!AP$87</f>
        <v>2.8152937620411982E-2</v>
      </c>
      <c r="AQ53" s="439">
        <f ca="1">AQ33*'2.5 Emission factors'!AQ$87</f>
        <v>2.8714387779269684E-2</v>
      </c>
      <c r="AR53" s="439">
        <f ca="1">AR33*'2.5 Emission factors'!AR$87</f>
        <v>2.8698446016209335E-2</v>
      </c>
      <c r="AS53" s="439">
        <f ca="1">AS33*'2.5 Emission factors'!AS$87</f>
        <v>2.748423184585639E-2</v>
      </c>
      <c r="AT53" s="439">
        <f ca="1">AT33*'2.5 Emission factors'!AT$87</f>
        <v>2.7096386486105749E-2</v>
      </c>
      <c r="AU53" s="439">
        <f ca="1">AU33*'2.5 Emission factors'!AU$87</f>
        <v>2.6828891868218994E-2</v>
      </c>
      <c r="AV53" s="439">
        <f ca="1">AV33*'2.5 Emission factors'!AV$87</f>
        <v>2.6838661838842894E-2</v>
      </c>
      <c r="AW53" s="439">
        <f ca="1">AW33*'2.5 Emission factors'!AW$87</f>
        <v>2.6552345429297516E-2</v>
      </c>
      <c r="AX53" s="439">
        <f ca="1">AX33*'2.5 Emission factors'!AX$87</f>
        <v>2.6862953430672853E-2</v>
      </c>
    </row>
    <row r="54" spans="1:50">
      <c r="C54" s="35"/>
      <c r="E54" s="78" t="s">
        <v>238</v>
      </c>
      <c r="G54" s="44" t="s">
        <v>212</v>
      </c>
      <c r="I54" s="45" t="s">
        <v>1218</v>
      </c>
      <c r="K54" s="44" t="s">
        <v>1198</v>
      </c>
      <c r="M54" s="44" t="str">
        <f t="shared" si="13"/>
        <v>Motorcycles - Dieselkt CO2/yearHigh Electrification</v>
      </c>
      <c r="O54" s="438">
        <f t="shared" ref="O54:AX54" ca="1" si="21">INDEX(O$96:O$237,MATCH($M54,$M$96:$M$237,0),1)*O$15</f>
        <v>19.341441874372425</v>
      </c>
      <c r="P54" s="438">
        <f t="shared" ca="1" si="21"/>
        <v>19.367030805618398</v>
      </c>
      <c r="Q54" s="438">
        <f t="shared" ca="1" si="21"/>
        <v>19.2090154350417</v>
      </c>
      <c r="R54" s="438">
        <f t="shared" ca="1" si="21"/>
        <v>18.836713143176723</v>
      </c>
      <c r="S54" s="438">
        <f t="shared" ca="1" si="21"/>
        <v>18.130483198942503</v>
      </c>
      <c r="T54" s="438">
        <f t="shared" ca="1" si="21"/>
        <v>17.440721019833745</v>
      </c>
      <c r="U54" s="438">
        <f t="shared" ca="1" si="21"/>
        <v>16.879550456835073</v>
      </c>
      <c r="V54" s="438">
        <f t="shared" ca="1" si="21"/>
        <v>16.328118046896677</v>
      </c>
      <c r="W54" s="438">
        <f t="shared" ca="1" si="21"/>
        <v>15.786391568485891</v>
      </c>
      <c r="X54" s="438">
        <f t="shared" ca="1" si="21"/>
        <v>15.254338942658176</v>
      </c>
      <c r="Y54" s="438">
        <f t="shared" ca="1" si="21"/>
        <v>14.731928239207246</v>
      </c>
      <c r="Z54" s="438">
        <f t="shared" ca="1" si="21"/>
        <v>13.937502375322111</v>
      </c>
      <c r="AA54" s="438">
        <f t="shared" ca="1" si="21"/>
        <v>13.163330961050391</v>
      </c>
      <c r="AB54" s="438">
        <f t="shared" ca="1" si="21"/>
        <v>12.40936420688967</v>
      </c>
      <c r="AC54" s="438">
        <f t="shared" ca="1" si="21"/>
        <v>11.675552165861863</v>
      </c>
      <c r="AD54" s="438">
        <f t="shared" ca="1" si="21"/>
        <v>10.961844730066739</v>
      </c>
      <c r="AE54" s="438">
        <f t="shared" ca="1" si="21"/>
        <v>10.174368094014595</v>
      </c>
      <c r="AF54" s="438">
        <f t="shared" ca="1" si="21"/>
        <v>9.4073330467569303</v>
      </c>
      <c r="AG54" s="438">
        <f t="shared" ca="1" si="21"/>
        <v>8.6607395882937386</v>
      </c>
      <c r="AH54" s="438">
        <f t="shared" ca="1" si="21"/>
        <v>7.934587718625032</v>
      </c>
      <c r="AI54" s="438">
        <f t="shared" ca="1" si="21"/>
        <v>7.2288774377507989</v>
      </c>
      <c r="AJ54" s="438">
        <f t="shared" ca="1" si="21"/>
        <v>6.5436087456710474</v>
      </c>
      <c r="AK54" s="438">
        <f t="shared" ca="1" si="21"/>
        <v>5.8787816423857748</v>
      </c>
      <c r="AL54" s="438">
        <f t="shared" ca="1" si="21"/>
        <v>5.2343961278949793</v>
      </c>
      <c r="AM54" s="438">
        <f t="shared" ca="1" si="21"/>
        <v>4.6104522021986636</v>
      </c>
      <c r="AN54" s="438">
        <f t="shared" ca="1" si="21"/>
        <v>4.006949865296825</v>
      </c>
      <c r="AO54" s="438">
        <f t="shared" ca="1" si="21"/>
        <v>3.5998380702958794</v>
      </c>
      <c r="AP54" s="438">
        <f t="shared" ca="1" si="21"/>
        <v>3.1941522327329936</v>
      </c>
      <c r="AQ54" s="438">
        <f t="shared" ca="1" si="21"/>
        <v>2.789892352608164</v>
      </c>
      <c r="AR54" s="438">
        <f t="shared" ca="1" si="21"/>
        <v>2.3870584299213937</v>
      </c>
      <c r="AS54" s="438">
        <f t="shared" ca="1" si="21"/>
        <v>1.9856504646726831</v>
      </c>
      <c r="AT54" s="438">
        <f t="shared" ca="1" si="21"/>
        <v>1.5856684568620292</v>
      </c>
      <c r="AU54" s="438">
        <f t="shared" ca="1" si="21"/>
        <v>1.1871124064894341</v>
      </c>
      <c r="AV54" s="438">
        <f t="shared" ca="1" si="21"/>
        <v>0.78998231355489745</v>
      </c>
      <c r="AW54" s="438">
        <f t="shared" ca="1" si="21"/>
        <v>0.39427817805841997</v>
      </c>
      <c r="AX54" s="438">
        <f t="shared" ca="1" si="21"/>
        <v>0</v>
      </c>
    </row>
    <row r="55" spans="1:50">
      <c r="E55" t="s">
        <v>238</v>
      </c>
      <c r="G55" s="44" t="s">
        <v>1200</v>
      </c>
      <c r="I55" s="45" t="s">
        <v>1219</v>
      </c>
      <c r="K55" s="44" t="s">
        <v>1198</v>
      </c>
      <c r="M55" s="44" t="str">
        <f t="shared" si="13"/>
        <v>Motorcycles - Electrickt CO2/yearHigh Electrification</v>
      </c>
      <c r="O55" s="520">
        <f ca="1">O35*'2.5 Emission factors'!O$29</f>
        <v>0</v>
      </c>
      <c r="P55" s="520">
        <f ca="1">P35*'2.5 Emission factors'!P$29</f>
        <v>0</v>
      </c>
      <c r="Q55" s="520">
        <f ca="1">Q35*'2.5 Emission factors'!Q$29</f>
        <v>0</v>
      </c>
      <c r="R55" s="520">
        <f ca="1">R35*'2.5 Emission factors'!R$29</f>
        <v>3.8776989171125362E-2</v>
      </c>
      <c r="S55" s="520">
        <f ca="1">S35*'2.5 Emission factors'!S$29</f>
        <v>8.1702027320993048E-2</v>
      </c>
      <c r="T55" s="520">
        <f ca="1">T35*'2.5 Emission factors'!T$29</f>
        <v>9.4990500357535687E-2</v>
      </c>
      <c r="U55" s="520">
        <f ca="1">U35*'2.5 Emission factors'!U$29</f>
        <v>0.11914826265073061</v>
      </c>
      <c r="V55" s="520">
        <f ca="1">V35*'2.5 Emission factors'!V$29</f>
        <v>0.13875450165864001</v>
      </c>
      <c r="W55" s="520">
        <f ca="1">W35*'2.5 Emission factors'!W$29</f>
        <v>0.1583699899287182</v>
      </c>
      <c r="X55" s="520">
        <f ca="1">X35*'2.5 Emission factors'!X$29</f>
        <v>0.19923948114723367</v>
      </c>
      <c r="Y55" s="520">
        <f ca="1">Y35*'2.5 Emission factors'!Y$29</f>
        <v>0.18992764476531099</v>
      </c>
      <c r="Z55" s="520">
        <f ca="1">Z35*'2.5 Emission factors'!Z$29</f>
        <v>0.17453613230506052</v>
      </c>
      <c r="AA55" s="520">
        <f ca="1">AA35*'2.5 Emission factors'!AA$29</f>
        <v>0.1717132372382521</v>
      </c>
      <c r="AB55" s="520">
        <f ca="1">AB35*'2.5 Emission factors'!AB$29</f>
        <v>0.18279900113688366</v>
      </c>
      <c r="AC55" s="520">
        <f ca="1">AC35*'2.5 Emission factors'!AC$29</f>
        <v>0.19253012214857199</v>
      </c>
      <c r="AD55" s="520">
        <f ca="1">AD35*'2.5 Emission factors'!AD$29</f>
        <v>0.16889333616243227</v>
      </c>
      <c r="AE55" s="520">
        <f ca="1">AE35*'2.5 Emission factors'!AE$29</f>
        <v>0.15067636690202926</v>
      </c>
      <c r="AF55" s="520">
        <f ca="1">AF35*'2.5 Emission factors'!AF$29</f>
        <v>0.14421326580357696</v>
      </c>
      <c r="AG55" s="520">
        <f ca="1">AG35*'2.5 Emission factors'!AG$29</f>
        <v>0.13682189801657518</v>
      </c>
      <c r="AH55" s="520">
        <f ca="1">AH35*'2.5 Emission factors'!AH$29</f>
        <v>0.13422061558152129</v>
      </c>
      <c r="AI55" s="520">
        <f ca="1">AI35*'2.5 Emission factors'!AI$29</f>
        <v>0.12822311550553911</v>
      </c>
      <c r="AJ55" s="520">
        <f ca="1">AJ35*'2.5 Emission factors'!AJ$29</f>
        <v>0.11272265943243094</v>
      </c>
      <c r="AK55" s="520">
        <f ca="1">AK35*'2.5 Emission factors'!AK$29</f>
        <v>0.10585724744843115</v>
      </c>
      <c r="AL55" s="520">
        <f ca="1">AL35*'2.5 Emission factors'!AL$29</f>
        <v>0.10855407422880678</v>
      </c>
      <c r="AM55" s="520">
        <f ca="1">AM35*'2.5 Emission factors'!AM$29</f>
        <v>0.10736595988749409</v>
      </c>
      <c r="AN55" s="520">
        <f ca="1">AN35*'2.5 Emission factors'!AN$29</f>
        <v>0.10117871592092681</v>
      </c>
      <c r="AO55" s="520">
        <f ca="1">AO35*'2.5 Emission factors'!AO$29</f>
        <v>8.7512165326555272E-2</v>
      </c>
      <c r="AP55" s="520">
        <f ca="1">AP35*'2.5 Emission factors'!AP$29</f>
        <v>8.6357937601383744E-2</v>
      </c>
      <c r="AQ55" s="520">
        <f ca="1">AQ35*'2.5 Emission factors'!AQ$29</f>
        <v>8.7802806574729705E-2</v>
      </c>
      <c r="AR55" s="520">
        <f ca="1">AR35*'2.5 Emission factors'!AR$29</f>
        <v>8.5510955595364188E-2</v>
      </c>
      <c r="AS55" s="520">
        <f ca="1">AS35*'2.5 Emission factors'!AS$29</f>
        <v>7.5128362763452181E-2</v>
      </c>
      <c r="AT55" s="520">
        <f ca="1">AT35*'2.5 Emission factors'!AT$29</f>
        <v>7.0465888199936766E-2</v>
      </c>
      <c r="AU55" s="520">
        <f ca="1">AU35*'2.5 Emission factors'!AU$29</f>
        <v>6.7031191992380848E-2</v>
      </c>
      <c r="AV55" s="520">
        <f ca="1">AV35*'2.5 Emission factors'!AV$29</f>
        <v>6.5553497050341678E-2</v>
      </c>
      <c r="AW55" s="520">
        <f ca="1">AW35*'2.5 Emission factors'!AW$29</f>
        <v>6.2781293541637445E-2</v>
      </c>
      <c r="AX55" s="520">
        <f ca="1">AX35*'2.5 Emission factors'!AX$29</f>
        <v>6.3594219404497637E-2</v>
      </c>
    </row>
    <row r="56" spans="1:50">
      <c r="G56" s="323"/>
      <c r="K56" s="323"/>
      <c r="M56" s="323"/>
      <c r="O56" s="195"/>
      <c r="P56" s="195"/>
      <c r="Q56" s="195"/>
      <c r="R56" s="195"/>
      <c r="S56" s="195"/>
      <c r="T56" s="195"/>
      <c r="U56" s="195"/>
      <c r="V56" s="195"/>
      <c r="W56" s="195"/>
      <c r="X56" s="195"/>
      <c r="Y56" s="195"/>
      <c r="Z56" s="195"/>
      <c r="AA56" s="195"/>
      <c r="AB56" s="195"/>
      <c r="AC56" s="195"/>
      <c r="AD56" s="195"/>
      <c r="AE56" s="195"/>
      <c r="AF56" s="195"/>
      <c r="AG56" s="195"/>
      <c r="AH56" s="195"/>
      <c r="AI56" s="195"/>
      <c r="AJ56" s="195"/>
      <c r="AK56" s="195"/>
      <c r="AL56" s="195"/>
      <c r="AM56" s="195"/>
      <c r="AN56" s="195"/>
      <c r="AO56" s="195"/>
      <c r="AP56" s="195"/>
      <c r="AQ56" s="195"/>
      <c r="AR56" s="195"/>
      <c r="AS56" s="195"/>
      <c r="AT56" s="195"/>
      <c r="AU56" s="195"/>
      <c r="AV56" s="195"/>
      <c r="AW56" s="195"/>
      <c r="AX56" s="195"/>
    </row>
    <row r="57" spans="1:50">
      <c r="E57" t="s">
        <v>174</v>
      </c>
      <c r="G57" s="44" t="s">
        <v>213</v>
      </c>
      <c r="I57" s="44"/>
      <c r="K57" s="44" t="s">
        <v>1198</v>
      </c>
      <c r="M57" s="44"/>
      <c r="O57" s="325">
        <f ca="1">SUMIF($G$17:$G$35,$G57,O$17:O$35)</f>
        <v>977.54888990138795</v>
      </c>
      <c r="P57" s="325">
        <f t="shared" ref="P57:AX60" ca="1" si="22">SUMIF($G$17:$G$35,$G57,P$17:P$35)</f>
        <v>984.83851600533194</v>
      </c>
      <c r="Q57" s="325">
        <f t="shared" ca="1" si="22"/>
        <v>977.43455778290763</v>
      </c>
      <c r="R57" s="325">
        <f t="shared" ca="1" si="22"/>
        <v>958.47454940706245</v>
      </c>
      <c r="S57" s="325">
        <f t="shared" ca="1" si="22"/>
        <v>923.34547590589102</v>
      </c>
      <c r="T57" s="325">
        <f t="shared" ca="1" si="22"/>
        <v>899.19927651918363</v>
      </c>
      <c r="U57" s="325">
        <f t="shared" ca="1" si="22"/>
        <v>883.28538835207007</v>
      </c>
      <c r="V57" s="325">
        <f t="shared" ca="1" si="22"/>
        <v>845.17574148832614</v>
      </c>
      <c r="W57" s="325">
        <f t="shared" ca="1" si="22"/>
        <v>801.99611999313652</v>
      </c>
      <c r="X57" s="325">
        <f t="shared" ca="1" si="22"/>
        <v>758.56717034436519</v>
      </c>
      <c r="Y57" s="325">
        <f t="shared" ca="1" si="22"/>
        <v>713.16470605793631</v>
      </c>
      <c r="Z57" s="325">
        <f t="shared" ca="1" si="22"/>
        <v>663.42304757307375</v>
      </c>
      <c r="AA57" s="325">
        <f t="shared" ca="1" si="22"/>
        <v>613.88749244240205</v>
      </c>
      <c r="AB57" s="325">
        <f t="shared" ca="1" si="22"/>
        <v>565.64876111966601</v>
      </c>
      <c r="AC57" s="325">
        <f t="shared" ca="1" si="22"/>
        <v>518.99180297676276</v>
      </c>
      <c r="AD57" s="325">
        <f t="shared" ca="1" si="22"/>
        <v>474.67214808401496</v>
      </c>
      <c r="AE57" s="325">
        <f t="shared" ca="1" si="22"/>
        <v>427.17526676743239</v>
      </c>
      <c r="AF57" s="325">
        <f t="shared" ca="1" si="22"/>
        <v>383.15003999315172</v>
      </c>
      <c r="AG57" s="325">
        <f t="shared" ca="1" si="22"/>
        <v>341.74766325147641</v>
      </c>
      <c r="AH57" s="325">
        <f t="shared" ca="1" si="22"/>
        <v>303.42666413616564</v>
      </c>
      <c r="AI57" s="325">
        <f t="shared" ca="1" si="22"/>
        <v>267.87613149146841</v>
      </c>
      <c r="AJ57" s="325">
        <f t="shared" ca="1" si="22"/>
        <v>230.89643127919305</v>
      </c>
      <c r="AK57" s="325">
        <f t="shared" ca="1" si="22"/>
        <v>196.22989711733953</v>
      </c>
      <c r="AL57" s="325">
        <f t="shared" ca="1" si="22"/>
        <v>163.72697390024851</v>
      </c>
      <c r="AM57" s="325">
        <f t="shared" ca="1" si="22"/>
        <v>132.69877969932804</v>
      </c>
      <c r="AN57" s="325">
        <f t="shared" ca="1" si="22"/>
        <v>103.01152903920567</v>
      </c>
      <c r="AO57" s="325">
        <f t="shared" ca="1" si="22"/>
        <v>86.15256929840902</v>
      </c>
      <c r="AP57" s="325">
        <f t="shared" ca="1" si="22"/>
        <v>70.26107928774158</v>
      </c>
      <c r="AQ57" s="325">
        <f t="shared" ca="1" si="22"/>
        <v>55.036283656521604</v>
      </c>
      <c r="AR57" s="325">
        <f t="shared" ca="1" si="22"/>
        <v>40.248486843468811</v>
      </c>
      <c r="AS57" s="325">
        <f t="shared" ca="1" si="22"/>
        <v>25.787516274446364</v>
      </c>
      <c r="AT57" s="325">
        <f t="shared" ca="1" si="22"/>
        <v>20.936846030604571</v>
      </c>
      <c r="AU57" s="325">
        <f t="shared" ca="1" si="22"/>
        <v>16.294378512707951</v>
      </c>
      <c r="AV57" s="325">
        <f t="shared" ca="1" si="22"/>
        <v>11.839116135150636</v>
      </c>
      <c r="AW57" s="325">
        <f t="shared" ca="1" si="22"/>
        <v>7.4869497607925259</v>
      </c>
      <c r="AX57" s="325">
        <f t="shared" ca="1" si="22"/>
        <v>3.3095552383953146</v>
      </c>
    </row>
    <row r="58" spans="1:50">
      <c r="G58" s="44" t="s">
        <v>212</v>
      </c>
      <c r="I58" s="44"/>
      <c r="K58" s="44" t="s">
        <v>1198</v>
      </c>
      <c r="M58" s="44"/>
      <c r="O58" s="325">
        <f ca="1">SUMIF($G$17:$G$35,$G58,O$17:O$35)</f>
        <v>874.90988037227623</v>
      </c>
      <c r="P58" s="325">
        <f t="shared" ca="1" si="22"/>
        <v>851.01527257227008</v>
      </c>
      <c r="Q58" s="325">
        <f t="shared" ca="1" si="22"/>
        <v>824.38338635711739</v>
      </c>
      <c r="R58" s="325">
        <f t="shared" ca="1" si="22"/>
        <v>807.96575834646569</v>
      </c>
      <c r="S58" s="325">
        <f t="shared" ca="1" si="22"/>
        <v>804.76592644698485</v>
      </c>
      <c r="T58" s="325">
        <f t="shared" ca="1" si="22"/>
        <v>756.18257841964669</v>
      </c>
      <c r="U58" s="325">
        <f t="shared" ca="1" si="22"/>
        <v>733.35728888512529</v>
      </c>
      <c r="V58" s="325">
        <f t="shared" ca="1" si="22"/>
        <v>707.19240202520984</v>
      </c>
      <c r="W58" s="325">
        <f t="shared" ca="1" si="22"/>
        <v>675.28063496424761</v>
      </c>
      <c r="X58" s="325">
        <f t="shared" ca="1" si="22"/>
        <v>644.28654614633592</v>
      </c>
      <c r="Y58" s="325">
        <f t="shared" ca="1" si="22"/>
        <v>606.64950540676261</v>
      </c>
      <c r="Z58" s="325">
        <f t="shared" ca="1" si="22"/>
        <v>568.70362101075477</v>
      </c>
      <c r="AA58" s="325">
        <f t="shared" ca="1" si="22"/>
        <v>520.3633422374113</v>
      </c>
      <c r="AB58" s="325">
        <f t="shared" ca="1" si="22"/>
        <v>471.84362845027692</v>
      </c>
      <c r="AC58" s="325">
        <f t="shared" ca="1" si="22"/>
        <v>422.19133466083696</v>
      </c>
      <c r="AD58" s="325">
        <f t="shared" ca="1" si="22"/>
        <v>367.28361455346061</v>
      </c>
      <c r="AE58" s="325">
        <f t="shared" ca="1" si="22"/>
        <v>319.26806789787474</v>
      </c>
      <c r="AF58" s="325">
        <f t="shared" ca="1" si="22"/>
        <v>274.95360752629148</v>
      </c>
      <c r="AG58" s="325">
        <f t="shared" ca="1" si="22"/>
        <v>233.30257035293741</v>
      </c>
      <c r="AH58" s="325">
        <f t="shared" ca="1" si="22"/>
        <v>197.09944288098995</v>
      </c>
      <c r="AI58" s="325">
        <f t="shared" ca="1" si="22"/>
        <v>163.0546075782205</v>
      </c>
      <c r="AJ58" s="325">
        <f t="shared" ca="1" si="22"/>
        <v>132.87649708638952</v>
      </c>
      <c r="AK58" s="325">
        <f t="shared" ca="1" si="22"/>
        <v>106.47141999963083</v>
      </c>
      <c r="AL58" s="325">
        <f t="shared" ca="1" si="22"/>
        <v>84.276528228656659</v>
      </c>
      <c r="AM58" s="325">
        <f t="shared" ca="1" si="22"/>
        <v>65.44069126347928</v>
      </c>
      <c r="AN58" s="325">
        <f t="shared" ca="1" si="22"/>
        <v>50.103197378967486</v>
      </c>
      <c r="AO58" s="325">
        <f t="shared" ca="1" si="22"/>
        <v>38.517837209687592</v>
      </c>
      <c r="AP58" s="325">
        <f t="shared" ca="1" si="22"/>
        <v>29.223530426196863</v>
      </c>
      <c r="AQ58" s="325">
        <f t="shared" ca="1" si="22"/>
        <v>21.931142561985116</v>
      </c>
      <c r="AR58" s="325">
        <f t="shared" ca="1" si="22"/>
        <v>16.33919143903243</v>
      </c>
      <c r="AS58" s="325">
        <f t="shared" ca="1" si="22"/>
        <v>11.999510817998058</v>
      </c>
      <c r="AT58" s="325">
        <f t="shared" ca="1" si="22"/>
        <v>8.6912678460595458</v>
      </c>
      <c r="AU58" s="325">
        <f t="shared" ca="1" si="22"/>
        <v>6.1755526004691941</v>
      </c>
      <c r="AV58" s="325">
        <f t="shared" ca="1" si="22"/>
        <v>4.2239977659738805</v>
      </c>
      <c r="AW58" s="325">
        <f t="shared" ca="1" si="22"/>
        <v>2.7391802938380483</v>
      </c>
      <c r="AX58" s="325">
        <f t="shared" ca="1" si="22"/>
        <v>1.5859865946131604</v>
      </c>
    </row>
    <row r="59" spans="1:50">
      <c r="G59" s="44" t="s">
        <v>1200</v>
      </c>
      <c r="I59" s="44"/>
      <c r="K59" s="44" t="s">
        <v>1202</v>
      </c>
      <c r="M59" s="44"/>
      <c r="O59" s="325">
        <f ca="1">SUMIF($G$17:$G$35,$G59,O$17:O$35)</f>
        <v>10.030342240521822</v>
      </c>
      <c r="P59" s="325">
        <f t="shared" ca="1" si="22"/>
        <v>12.80621277555384</v>
      </c>
      <c r="Q59" s="325">
        <f t="shared" ca="1" si="22"/>
        <v>15.961212057542916</v>
      </c>
      <c r="R59" s="325">
        <f t="shared" ca="1" si="22"/>
        <v>19.79555972613241</v>
      </c>
      <c r="S59" s="325">
        <f t="shared" ca="1" si="22"/>
        <v>25.211098702272867</v>
      </c>
      <c r="T59" s="325">
        <f t="shared" ca="1" si="22"/>
        <v>29.368379447361139</v>
      </c>
      <c r="U59" s="325">
        <f t="shared" ca="1" si="22"/>
        <v>47.138116962613324</v>
      </c>
      <c r="V59" s="325">
        <f t="shared" ca="1" si="22"/>
        <v>90.021725517539423</v>
      </c>
      <c r="W59" s="325">
        <f t="shared" ca="1" si="22"/>
        <v>141.83030077605375</v>
      </c>
      <c r="X59" s="325">
        <f t="shared" ca="1" si="22"/>
        <v>193.55199978650541</v>
      </c>
      <c r="Y59" s="325">
        <f t="shared" ca="1" si="22"/>
        <v>254.34476724867955</v>
      </c>
      <c r="Z59" s="325">
        <f t="shared" ca="1" si="22"/>
        <v>327.62319640410169</v>
      </c>
      <c r="AA59" s="325">
        <f t="shared" ca="1" si="22"/>
        <v>410.1139079032634</v>
      </c>
      <c r="AB59" s="325">
        <f t="shared" ca="1" si="22"/>
        <v>491.39780223816041</v>
      </c>
      <c r="AC59" s="325">
        <f t="shared" ca="1" si="22"/>
        <v>571.55431008312053</v>
      </c>
      <c r="AD59" s="325">
        <f t="shared" ca="1" si="22"/>
        <v>653.01365591743365</v>
      </c>
      <c r="AE59" s="325">
        <f t="shared" ca="1" si="22"/>
        <v>749.90157859877957</v>
      </c>
      <c r="AF59" s="325">
        <f t="shared" ca="1" si="22"/>
        <v>839.71761170887999</v>
      </c>
      <c r="AG59" s="325">
        <f t="shared" ca="1" si="22"/>
        <v>926.3551798043311</v>
      </c>
      <c r="AH59" s="325">
        <f t="shared" ca="1" si="22"/>
        <v>1003.0350022933549</v>
      </c>
      <c r="AI59" s="325">
        <f t="shared" ca="1" si="22"/>
        <v>1075.3458496162996</v>
      </c>
      <c r="AJ59" s="325">
        <f t="shared" ca="1" si="22"/>
        <v>1149.5965966331444</v>
      </c>
      <c r="AK59" s="325">
        <f t="shared" ca="1" si="22"/>
        <v>1218.3173388772532</v>
      </c>
      <c r="AL59" s="325">
        <f t="shared" ca="1" si="22"/>
        <v>1281.3635586434507</v>
      </c>
      <c r="AM59" s="325">
        <f t="shared" ca="1" si="22"/>
        <v>1339.9277595400499</v>
      </c>
      <c r="AN59" s="325">
        <f t="shared" ca="1" si="22"/>
        <v>1394.8113360083539</v>
      </c>
      <c r="AO59" s="325">
        <f t="shared" ca="1" si="22"/>
        <v>1430.8831326937768</v>
      </c>
      <c r="AP59" s="325">
        <f t="shared" ca="1" si="22"/>
        <v>1464.4861405793481</v>
      </c>
      <c r="AQ59" s="325">
        <f t="shared" ca="1" si="22"/>
        <v>1495.9377178782579</v>
      </c>
      <c r="AR59" s="325">
        <f t="shared" ca="1" si="22"/>
        <v>1525.7797966501762</v>
      </c>
      <c r="AS59" s="325">
        <f t="shared" ca="1" si="22"/>
        <v>1554.3349339802039</v>
      </c>
      <c r="AT59" s="325">
        <f t="shared" ca="1" si="22"/>
        <v>1563.9402766957326</v>
      </c>
      <c r="AU59" s="325">
        <f t="shared" ca="1" si="22"/>
        <v>1572.8406952150478</v>
      </c>
      <c r="AV59" s="325">
        <f t="shared" ca="1" si="22"/>
        <v>1581.3981054761459</v>
      </c>
      <c r="AW59" s="325">
        <f t="shared" ca="1" si="22"/>
        <v>1589.6014731728453</v>
      </c>
      <c r="AX59" s="325">
        <f ca="1">SUMIF($G$17:$G$35,$G59,AX$17:AX$35)</f>
        <v>1597.6329803023655</v>
      </c>
    </row>
    <row r="60" spans="1:50">
      <c r="G60" s="44" t="s">
        <v>1203</v>
      </c>
      <c r="I60" s="44"/>
      <c r="K60" s="44" t="s">
        <v>1202</v>
      </c>
      <c r="M60" s="44"/>
      <c r="O60" s="325">
        <f ca="1">SUMIF($G$17:$G$35,$G60,O$17:O$35)</f>
        <v>0</v>
      </c>
      <c r="P60" s="325">
        <f t="shared" ca="1" si="22"/>
        <v>0</v>
      </c>
      <c r="Q60" s="325">
        <f t="shared" ca="1" si="22"/>
        <v>0</v>
      </c>
      <c r="R60" s="325">
        <f t="shared" ca="1" si="22"/>
        <v>0</v>
      </c>
      <c r="S60" s="325">
        <f t="shared" ca="1" si="22"/>
        <v>0</v>
      </c>
      <c r="T60" s="325">
        <f t="shared" ca="1" si="22"/>
        <v>0</v>
      </c>
      <c r="U60" s="325">
        <f t="shared" ca="1" si="22"/>
        <v>1.0760534122777656</v>
      </c>
      <c r="V60" s="325">
        <f t="shared" ca="1" si="22"/>
        <v>1.1094068587070165</v>
      </c>
      <c r="W60" s="325">
        <f t="shared" ca="1" si="22"/>
        <v>1.2310635397140486</v>
      </c>
      <c r="X60" s="325">
        <f t="shared" ca="1" si="22"/>
        <v>1.3895924299599325</v>
      </c>
      <c r="Y60" s="325">
        <f t="shared" ca="1" si="22"/>
        <v>1.6196337930077838</v>
      </c>
      <c r="Z60" s="325">
        <f t="shared" ca="1" si="22"/>
        <v>8.5719301902902121</v>
      </c>
      <c r="AA60" s="325">
        <f t="shared" ca="1" si="22"/>
        <v>14.975470283203657</v>
      </c>
      <c r="AB60" s="325">
        <f t="shared" ca="1" si="22"/>
        <v>22.173521767936208</v>
      </c>
      <c r="AC60" s="325">
        <f t="shared" ca="1" si="22"/>
        <v>29.279367393695981</v>
      </c>
      <c r="AD60" s="325">
        <f t="shared" ca="1" si="22"/>
        <v>38.439001268352541</v>
      </c>
      <c r="AE60" s="325">
        <f t="shared" ca="1" si="22"/>
        <v>55.375175098966913</v>
      </c>
      <c r="AF60" s="325">
        <f t="shared" ca="1" si="22"/>
        <v>73.093852521990925</v>
      </c>
      <c r="AG60" s="325">
        <f t="shared" ca="1" si="22"/>
        <v>91.617735680997583</v>
      </c>
      <c r="AH60" s="325">
        <f t="shared" ca="1" si="22"/>
        <v>110.16144104251211</v>
      </c>
      <c r="AI60" s="325">
        <f t="shared" ca="1" si="22"/>
        <v>130.05358471082641</v>
      </c>
      <c r="AJ60" s="325">
        <f t="shared" ca="1" si="22"/>
        <v>150.86863991173769</v>
      </c>
      <c r="AK60" s="325">
        <f t="shared" ca="1" si="22"/>
        <v>172.11635758268906</v>
      </c>
      <c r="AL60" s="325">
        <f t="shared" ca="1" si="22"/>
        <v>193.63249534122991</v>
      </c>
      <c r="AM60" s="325">
        <f t="shared" ca="1" si="22"/>
        <v>215.3714743372467</v>
      </c>
      <c r="AN60" s="325">
        <f t="shared" ca="1" si="22"/>
        <v>237.56133667637243</v>
      </c>
      <c r="AO60" s="325">
        <f t="shared" ca="1" si="22"/>
        <v>253.0324888601705</v>
      </c>
      <c r="AP60" s="325">
        <f t="shared" ca="1" si="22"/>
        <v>268.26453944890608</v>
      </c>
      <c r="AQ60" s="325">
        <f t="shared" ca="1" si="22"/>
        <v>283.2696678802356</v>
      </c>
      <c r="AR60" s="325">
        <f t="shared" ca="1" si="22"/>
        <v>297.80176497236101</v>
      </c>
      <c r="AS60" s="325">
        <f t="shared" ca="1" si="22"/>
        <v>312.08059285198323</v>
      </c>
      <c r="AT60" s="325">
        <f t="shared" ca="1" si="22"/>
        <v>318.77160775227753</v>
      </c>
      <c r="AU60" s="325">
        <f t="shared" ca="1" si="22"/>
        <v>325.11711476111543</v>
      </c>
      <c r="AV60" s="325">
        <f t="shared" ca="1" si="22"/>
        <v>330.94139835026664</v>
      </c>
      <c r="AW60" s="325">
        <f t="shared" ca="1" si="22"/>
        <v>336.45687746300626</v>
      </c>
      <c r="AX60" s="325">
        <f ca="1">SUMIF($G$17:$G$35,$G60,AX$17:AX$35)</f>
        <v>341.62791530845527</v>
      </c>
    </row>
    <row r="61" spans="1:50">
      <c r="A61" s="72"/>
      <c r="B61" s="72"/>
      <c r="C61" s="72"/>
      <c r="D61" s="72"/>
      <c r="E61" s="72"/>
      <c r="F61" s="72"/>
      <c r="G61" s="72"/>
      <c r="H61" s="72"/>
      <c r="I61" s="72"/>
      <c r="J61" s="72"/>
      <c r="K61" s="72"/>
      <c r="L61" s="72"/>
      <c r="M61" s="72"/>
      <c r="N61" s="72"/>
      <c r="O61" s="326"/>
      <c r="P61" s="326"/>
      <c r="Q61" s="326"/>
      <c r="R61" s="326"/>
      <c r="S61" s="326"/>
      <c r="T61" s="326"/>
      <c r="U61" s="326"/>
      <c r="V61" s="326"/>
      <c r="W61" s="326"/>
      <c r="X61" s="326"/>
      <c r="Y61" s="326"/>
      <c r="Z61" s="326"/>
      <c r="AA61" s="326"/>
      <c r="AB61" s="326"/>
      <c r="AC61" s="326"/>
      <c r="AD61" s="326"/>
      <c r="AE61" s="326"/>
      <c r="AF61" s="326"/>
      <c r="AG61" s="326"/>
      <c r="AH61" s="326"/>
      <c r="AI61" s="326"/>
      <c r="AJ61" s="326"/>
      <c r="AK61" s="326"/>
      <c r="AL61" s="326"/>
      <c r="AM61" s="326"/>
      <c r="AN61" s="326"/>
      <c r="AO61" s="326"/>
      <c r="AP61" s="326"/>
      <c r="AQ61" s="326"/>
      <c r="AR61" s="326"/>
      <c r="AS61" s="326"/>
      <c r="AT61" s="326"/>
      <c r="AU61" s="326"/>
      <c r="AV61" s="326"/>
      <c r="AW61" s="326"/>
      <c r="AX61" s="326"/>
    </row>
    <row r="62" spans="1:50">
      <c r="E62" s="202"/>
      <c r="G62" s="44" t="s">
        <v>1200</v>
      </c>
      <c r="I62" s="44"/>
      <c r="K62" s="44" t="s">
        <v>1198</v>
      </c>
      <c r="M62" s="44"/>
      <c r="O62" s="327">
        <f ca="1">O59*'2.5 Emission factors'!O29</f>
        <v>3.6830991810859648</v>
      </c>
      <c r="P62" s="327">
        <f ca="1">P59*'2.5 Emission factors'!P29</f>
        <v>3.751725463896562</v>
      </c>
      <c r="Q62" s="327">
        <f ca="1">Q59*'2.5 Emission factors'!Q29</f>
        <v>4.1779052996173984</v>
      </c>
      <c r="R62" s="327">
        <f ca="1">R59*'2.5 Emission factors'!R29</f>
        <v>4.8145700926485748</v>
      </c>
      <c r="S62" s="327">
        <f ca="1">S59*'2.5 Emission factors'!S29</f>
        <v>5.4670341412352546</v>
      </c>
      <c r="T62" s="327">
        <f ca="1">T59*'2.5 Emission factors'!T29</f>
        <v>4.7687358938424591</v>
      </c>
      <c r="U62" s="327">
        <f ca="1">U59*'2.5 Emission factors'!U29</f>
        <v>7.1405525982151756</v>
      </c>
      <c r="V62" s="327">
        <f ca="1">V59*'2.5 Emission factors'!V29</f>
        <v>12.740928807327853</v>
      </c>
      <c r="W62" s="327">
        <f ca="1">W59*'2.5 Emission factors'!W29</f>
        <v>19.255244106643378</v>
      </c>
      <c r="X62" s="327">
        <f ca="1">X59*'2.5 Emission factors'!X29</f>
        <v>28.670800258900293</v>
      </c>
      <c r="Y62" s="327">
        <f ca="1">Y59*'2.5 Emission factors'!Y29</f>
        <v>31.865660752857991</v>
      </c>
      <c r="Z62" s="327">
        <f ca="1">Z59*'2.5 Emission factors'!Z29</f>
        <v>30.257973695810982</v>
      </c>
      <c r="AA62" s="327">
        <f ca="1">AA59*'2.5 Emission factors'!AA29</f>
        <v>31.346211351512522</v>
      </c>
      <c r="AB62" s="327">
        <f ca="1">AB59*'2.5 Emission factors'!AB29</f>
        <v>34.730456569368485</v>
      </c>
      <c r="AC62" s="327">
        <f ca="1">AC59*'2.5 Emission factors'!AC29</f>
        <v>37.822553763548676</v>
      </c>
      <c r="AD62" s="327">
        <f ca="1">AD59*'2.5 Emission factors'!AD29</f>
        <v>34.296715781422044</v>
      </c>
      <c r="AE62" s="327">
        <f ca="1">AE59*'2.5 Emission factors'!AE29</f>
        <v>31.19045800210818</v>
      </c>
      <c r="AF62" s="327">
        <f ca="1">AF59*'2.5 Emission factors'!AF29</f>
        <v>30.187382636155036</v>
      </c>
      <c r="AG62" s="327">
        <f ca="1">AG59*'2.5 Emission factors'!AG29</f>
        <v>28.920415498036572</v>
      </c>
      <c r="AH62" s="327">
        <f ca="1">AH59*'2.5 Emission factors'!AH29</f>
        <v>28.427604746432433</v>
      </c>
      <c r="AI62" s="327">
        <f ca="1">AI59*'2.5 Emission factors'!AI29</f>
        <v>27.188383733958428</v>
      </c>
      <c r="AJ62" s="327">
        <f ca="1">AJ59*'2.5 Emission factors'!AJ29</f>
        <v>24.043847393387601</v>
      </c>
      <c r="AK62" s="327">
        <f ca="1">AK59*'2.5 Emission factors'!AK29</f>
        <v>22.664520037456512</v>
      </c>
      <c r="AL62" s="327">
        <f ca="1">AL59*'2.5 Emission factors'!AL29</f>
        <v>23.284624357226495</v>
      </c>
      <c r="AM62" s="327">
        <f ca="1">AM59*'2.5 Emission factors'!AM29</f>
        <v>23.054361610320832</v>
      </c>
      <c r="AN62" s="327">
        <f ca="1">AN59*'2.5 Emission factors'!AN29</f>
        <v>21.746629661684906</v>
      </c>
      <c r="AO62" s="327">
        <f ca="1">AO59*'2.5 Emission factors'!AO29</f>
        <v>18.519581109011611</v>
      </c>
      <c r="AP62" s="327">
        <f ca="1">AP59*'2.5 Emission factors'!AP29</f>
        <v>17.988105402300132</v>
      </c>
      <c r="AQ62" s="327">
        <f ca="1">AQ59*'2.5 Emission factors'!AQ29</f>
        <v>17.999278015907027</v>
      </c>
      <c r="AR62" s="327">
        <f ca="1">AR59*'2.5 Emission factors'!AR29</f>
        <v>17.254984128282686</v>
      </c>
      <c r="AS62" s="327">
        <f ca="1">AS59*'2.5 Emission factors'!AS29</f>
        <v>14.927725023970577</v>
      </c>
      <c r="AT62" s="327">
        <f ca="1">AT59*'2.5 Emission factors'!AT29</f>
        <v>13.636875053728494</v>
      </c>
      <c r="AU62" s="327">
        <f ca="1">AU59*'2.5 Emission factors'!AU29</f>
        <v>12.645329312990278</v>
      </c>
      <c r="AV62" s="327">
        <f ca="1">AV59*'2.5 Emission factors'!AV29</f>
        <v>12.067029787569524</v>
      </c>
      <c r="AW62" s="327">
        <f ca="1">AW59*'2.5 Emission factors'!AW29</f>
        <v>11.287114436310747</v>
      </c>
      <c r="AX62" s="327">
        <f ca="1">AX59*'2.5 Emission factors'!AX29</f>
        <v>11.149384647474237</v>
      </c>
    </row>
    <row r="63" spans="1:50">
      <c r="G63" s="44" t="s">
        <v>1203</v>
      </c>
      <c r="I63" s="44"/>
      <c r="K63" s="44" t="s">
        <v>1198</v>
      </c>
      <c r="M63" s="44"/>
      <c r="O63" s="327">
        <f ca="1">O60*'2.5 Emission factors'!O62</f>
        <v>0</v>
      </c>
      <c r="P63" s="327">
        <f ca="1">P60*'2.5 Emission factors'!P62</f>
        <v>0</v>
      </c>
      <c r="Q63" s="327">
        <f ca="1">Q60*'2.5 Emission factors'!Q62</f>
        <v>0</v>
      </c>
      <c r="R63" s="327">
        <f ca="1">R60*'2.5 Emission factors'!R62</f>
        <v>0</v>
      </c>
      <c r="S63" s="327">
        <f ca="1">S60*'2.5 Emission factors'!S62</f>
        <v>0</v>
      </c>
      <c r="T63" s="327">
        <f ca="1">T60*'2.5 Emission factors'!T62</f>
        <v>0</v>
      </c>
      <c r="U63" s="327">
        <f ca="1">U60*'2.5 Emission factors'!U62</f>
        <v>0.28115123555993454</v>
      </c>
      <c r="V63" s="327">
        <f ca="1">V60*'2.5 Emission factors'!V62</f>
        <v>0.28986582404296923</v>
      </c>
      <c r="W63" s="327">
        <f ca="1">W60*'2.5 Emission factors'!W62</f>
        <v>0.32165228165648657</v>
      </c>
      <c r="X63" s="327">
        <f ca="1">X60*'2.5 Emission factors'!X62</f>
        <v>0.36307271009993108</v>
      </c>
      <c r="Y63" s="327">
        <f ca="1">Y60*'2.5 Emission factors'!Y62</f>
        <v>0.42317791743707367</v>
      </c>
      <c r="Z63" s="327">
        <f ca="1">Z60*'2.5 Emission factors'!Z62</f>
        <v>0.10554857657349676</v>
      </c>
      <c r="AA63" s="327">
        <f ca="1">AA60*'2.5 Emission factors'!AA62</f>
        <v>0.18169678192729879</v>
      </c>
      <c r="AB63" s="327">
        <f ca="1">AB60*'2.5 Emission factors'!AB62</f>
        <v>0.2650321232243053</v>
      </c>
      <c r="AC63" s="327">
        <f ca="1">AC60*'2.5 Emission factors'!AC62</f>
        <v>0.34468608235615533</v>
      </c>
      <c r="AD63" s="327">
        <f ca="1">AD60*'2.5 Emission factors'!AD62</f>
        <v>0.44558490270274304</v>
      </c>
      <c r="AE63" s="327">
        <f ca="1">AE60*'2.5 Emission factors'!AE62</f>
        <v>0.78149838153677564</v>
      </c>
      <c r="AF63" s="327">
        <f ca="1">AF60*'2.5 Emission factors'!AF62</f>
        <v>1.1644457080146939</v>
      </c>
      <c r="AG63" s="327">
        <f ca="1">AG60*'2.5 Emission factors'!AG62</f>
        <v>1.5755630284801165</v>
      </c>
      <c r="AH63" s="327">
        <f ca="1">AH60*'2.5 Emission factors'!AH62</f>
        <v>1.9957451914034359</v>
      </c>
      <c r="AI63" s="327">
        <f ca="1">AI60*'2.5 Emission factors'!AI62</f>
        <v>2.4033468658072232</v>
      </c>
      <c r="AJ63" s="327">
        <f ca="1">AJ60*'2.5 Emission factors'!AJ62</f>
        <v>2.577873356870918</v>
      </c>
      <c r="AK63" s="327">
        <f ca="1">AK60*'2.5 Emission factors'!AK62</f>
        <v>2.8156721028952743</v>
      </c>
      <c r="AL63" s="327">
        <f ca="1">AL60*'2.5 Emission factors'!AL62</f>
        <v>3.1719019262439478</v>
      </c>
      <c r="AM63" s="327">
        <f ca="1">AM60*'2.5 Emission factors'!AM62</f>
        <v>3.4678832599447622</v>
      </c>
      <c r="AN63" s="327">
        <f ca="1">AN60*'2.5 Emission factors'!AN62</f>
        <v>3.6645276712887322</v>
      </c>
      <c r="AO63" s="327">
        <f ca="1">AO60*'2.5 Emission factors'!AO62</f>
        <v>3.5925793340837329</v>
      </c>
      <c r="AP63" s="327">
        <f ca="1">AP60*'2.5 Emission factors'!AP62</f>
        <v>3.7453824036965813</v>
      </c>
      <c r="AQ63" s="327">
        <f ca="1">AQ60*'2.5 Emission factors'!AQ62</f>
        <v>3.9471574300146259</v>
      </c>
      <c r="AR63" s="327">
        <f ca="1">AR60*'2.5 Emission factors'!AR62</f>
        <v>4.0469793451631295</v>
      </c>
      <c r="AS63" s="327">
        <f ca="1">AS60*'2.5 Emission factors'!AS62</f>
        <v>3.9143232789802935</v>
      </c>
      <c r="AT63" s="327">
        <f ca="1">AT60*'2.5 Emission factors'!AT62</f>
        <v>3.8148373874103658</v>
      </c>
      <c r="AU63" s="327">
        <f ca="1">AU60*'2.5 Emission factors'!AU62</f>
        <v>3.7348863792402271</v>
      </c>
      <c r="AV63" s="327">
        <f ca="1">AV60*'2.5 Emission factors'!AV62</f>
        <v>3.6976278868564232</v>
      </c>
      <c r="AW63" s="327">
        <f ca="1">AW60*'2.5 Emission factors'!AW62</f>
        <v>3.612804972913386</v>
      </c>
      <c r="AX63" s="327">
        <f ca="1">AX60*'2.5 Emission factors'!AX62</f>
        <v>3.6232569677884863</v>
      </c>
    </row>
    <row r="65" spans="3:50">
      <c r="E65" t="s">
        <v>251</v>
      </c>
      <c r="G65" s="44" t="s">
        <v>1200</v>
      </c>
      <c r="I65" s="44"/>
      <c r="K65" s="44" t="s">
        <v>1198</v>
      </c>
      <c r="M65" s="44"/>
      <c r="O65" s="327">
        <f ca="1">SUM(O19,O23,O32,O35)*'2.5 Emission factors'!O29</f>
        <v>2.4818698068496703</v>
      </c>
      <c r="P65" s="327">
        <f ca="1">SUM(P19,P23,P32,P35)*'2.5 Emission factors'!P29</f>
        <v>2.7871747977032038</v>
      </c>
      <c r="Q65" s="327">
        <f ca="1">SUM(Q19,Q23,Q32,Q35)*'2.5 Emission factors'!Q29</f>
        <v>3.3187472757461953</v>
      </c>
      <c r="R65" s="327">
        <f ca="1">SUM(R19,R23,R32,R35)*'2.5 Emission factors'!R29</f>
        <v>4.0812727638915334</v>
      </c>
      <c r="S65" s="327">
        <f ca="1">SUM(S19,S23,S32,S35)*'2.5 Emission factors'!S29</f>
        <v>4.8708330533396778</v>
      </c>
      <c r="T65" s="327">
        <f ca="1">SUM(T19,T23,T32,T35)*'2.5 Emission factors'!T29</f>
        <v>4.0055355014534824</v>
      </c>
      <c r="U65" s="327">
        <f ca="1">SUM(U19,U23,U32,U35)*'2.5 Emission factors'!U29</f>
        <v>5.8783979781387732</v>
      </c>
      <c r="V65" s="327">
        <f ca="1">SUM(V19,V23,V32,V35)*'2.5 Emission factors'!V29</f>
        <v>9.5086611382697672</v>
      </c>
      <c r="W65" s="327">
        <f ca="1">SUM(W19,W23,W32,W35)*'2.5 Emission factors'!W29</f>
        <v>14.181651465897824</v>
      </c>
      <c r="X65" s="327">
        <f ca="1">SUM(X19,X23,X32,X35)*'2.5 Emission factors'!X29</f>
        <v>20.978033362442659</v>
      </c>
      <c r="Y65" s="327">
        <f ca="1">SUM(Y19,Y23,Y32,Y35)*'2.5 Emission factors'!Y29</f>
        <v>23.531291268266553</v>
      </c>
      <c r="Z65" s="327">
        <f ca="1">SUM(Z19,Z23,Z32,Z35)*'2.5 Emission factors'!Z29</f>
        <v>21.666401256592767</v>
      </c>
      <c r="AA65" s="327">
        <f ca="1">SUM(AA19,AA23,AA32,AA35)*'2.5 Emission factors'!AA29</f>
        <v>22.220423830014035</v>
      </c>
      <c r="AB65" s="327">
        <f ca="1">SUM(AB19,AB23,AB32,AB35)*'2.5 Emission factors'!AB29</f>
        <v>24.434174631397145</v>
      </c>
      <c r="AC65" s="327">
        <f ca="1">SUM(AC19,AC23,AC32,AC35)*'2.5 Emission factors'!AC29</f>
        <v>26.453811983313678</v>
      </c>
      <c r="AD65" s="327">
        <f ca="1">SUM(AD19,AD23,AD32,AD35)*'2.5 Emission factors'!AD29</f>
        <v>23.904738424639891</v>
      </c>
      <c r="AE65" s="327">
        <f ca="1">SUM(AE19,AE23,AE32,AE35)*'2.5 Emission factors'!AE29</f>
        <v>21.073564414660822</v>
      </c>
      <c r="AF65" s="327">
        <f ca="1">SUM(AF19,AF23,AF32,AF35)*'2.5 Emission factors'!AF29</f>
        <v>19.809825079221188</v>
      </c>
      <c r="AG65" s="327">
        <f ca="1">SUM(AG19,AG23,AG32,AG35)*'2.5 Emission factors'!AG29</f>
        <v>18.487894457555086</v>
      </c>
      <c r="AH65" s="327">
        <f ca="1">SUM(AH19,AH23,AH32,AH35)*'2.5 Emission factors'!AH29</f>
        <v>17.665666833867476</v>
      </c>
      <c r="AI65" s="327">
        <f ca="1">SUM(AI19,AI23,AI32,AI35)*'2.5 Emission factors'!AI29</f>
        <v>16.424408088504972</v>
      </c>
      <c r="AJ65" s="327">
        <f ca="1">SUM(AJ19,AJ23,AJ32,AJ35)*'2.5 Emission factors'!AJ29</f>
        <v>14.009405539173621</v>
      </c>
      <c r="AK65" s="327">
        <f ca="1">SUM(AK19,AK23,AK32,AK35)*'2.5 Emission factors'!AK29</f>
        <v>12.732493648413994</v>
      </c>
      <c r="AL65" s="327">
        <f ca="1">SUM(AL19,AL23,AL32,AL35)*'2.5 Emission factors'!AL29</f>
        <v>12.598039931070447</v>
      </c>
      <c r="AM65" s="327">
        <f ca="1">SUM(AM19,AM23,AM32,AM35)*'2.5 Emission factors'!AM29</f>
        <v>12.002041187374385</v>
      </c>
      <c r="AN65" s="327">
        <f ca="1">SUM(AN19,AN23,AN32,AN35)*'2.5 Emission factors'!AN29</f>
        <v>10.873029219862904</v>
      </c>
      <c r="AO65" s="327">
        <f ca="1">SUM(AO19,AO23,AO32,AO35)*'2.5 Emission factors'!AO29</f>
        <v>9.1053225312760677</v>
      </c>
      <c r="AP65" s="327">
        <f ca="1">SUM(AP19,AP23,AP32,AP35)*'2.5 Emission factors'!AP29</f>
        <v>8.6858775776562762</v>
      </c>
      <c r="AQ65" s="327">
        <f ca="1">SUM(AQ19,AQ23,AQ32,AQ35)*'2.5 Emission factors'!AQ29</f>
        <v>8.5264768721105355</v>
      </c>
      <c r="AR65" s="327">
        <f ca="1">SUM(AR19,AR23,AR32,AR35)*'2.5 Emission factors'!AR29</f>
        <v>8.0126327815506588</v>
      </c>
      <c r="AS65" s="327">
        <f ca="1">SUM(AS19,AS23,AS32,AS35)*'2.5 Emission factors'!AS29</f>
        <v>6.7909990821557518</v>
      </c>
      <c r="AT65" s="327">
        <f ca="1">SUM(AT19,AT23,AT32,AT35)*'2.5 Emission factors'!AT29</f>
        <v>6.1454136688325338</v>
      </c>
      <c r="AU65" s="327">
        <f ca="1">SUM(AU19,AU23,AU32,AU35)*'2.5 Emission factors'!AU29</f>
        <v>5.6419813701469135</v>
      </c>
      <c r="AV65" s="327">
        <f ca="1">SUM(AV19,AV23,AV32,AV35)*'2.5 Emission factors'!AV29</f>
        <v>5.3290853596389578</v>
      </c>
      <c r="AW65" s="327">
        <f ca="1">SUM(AW19,AW23,AW32,AW35)*'2.5 Emission factors'!AW29</f>
        <v>4.9324512290308595</v>
      </c>
      <c r="AX65" s="327">
        <f ca="1">SUM(AX19,AX23,AX32,AX35)*'2.5 Emission factors'!AX29</f>
        <v>4.8205306230714804</v>
      </c>
    </row>
    <row r="66" spans="3:50">
      <c r="E66" t="s">
        <v>253</v>
      </c>
      <c r="G66" s="44" t="s">
        <v>1203</v>
      </c>
      <c r="I66" s="44"/>
      <c r="K66" s="44" t="s">
        <v>1198</v>
      </c>
      <c r="M66" s="44"/>
      <c r="O66" s="327">
        <f ca="1">SUM(O20,O24,O33,O36)*'2.5 Emission factors'!O62</f>
        <v>0</v>
      </c>
      <c r="P66" s="327">
        <f ca="1">SUM(P20,P24,P33,P36)*'2.5 Emission factors'!P62</f>
        <v>0</v>
      </c>
      <c r="Q66" s="327">
        <f ca="1">SUM(Q20,Q24,Q33,Q36)*'2.5 Emission factors'!Q62</f>
        <v>0</v>
      </c>
      <c r="R66" s="327">
        <f ca="1">SUM(R20,R24,R33,R36)*'2.5 Emission factors'!R62</f>
        <v>0</v>
      </c>
      <c r="S66" s="327">
        <f ca="1">SUM(S20,S24,S33,S36)*'2.5 Emission factors'!S62</f>
        <v>0</v>
      </c>
      <c r="T66" s="327">
        <f ca="1">SUM(T20,T24,T33,T36)*'2.5 Emission factors'!T62</f>
        <v>0</v>
      </c>
      <c r="U66" s="327">
        <f ca="1">SUM(U20,U24,U33,U36)*'2.5 Emission factors'!U62</f>
        <v>7.5911184815014091E-3</v>
      </c>
      <c r="V66" s="327">
        <f ca="1">SUM(V20,V24,V33,V36)*'2.5 Emission factors'!V62</f>
        <v>1.6961838694156128E-2</v>
      </c>
      <c r="W66" s="327">
        <f ca="1">SUM(W20,W24,W33,W36)*'2.5 Emission factors'!W62</f>
        <v>4.9402076350577619E-2</v>
      </c>
      <c r="X66" s="327">
        <f ca="1">SUM(X20,X24,X33,X36)*'2.5 Emission factors'!X62</f>
        <v>9.1473872810548404E-2</v>
      </c>
      <c r="Y66" s="327">
        <f ca="1">SUM(Y20,Y24,Y33,Y36)*'2.5 Emission factors'!Y62</f>
        <v>0.15222797371610716</v>
      </c>
      <c r="Z66" s="327">
        <f ca="1">SUM(Z20,Z24,Z33,Z36)*'2.5 Emission factors'!Z62</f>
        <v>1.0904300298922221E-2</v>
      </c>
      <c r="AA66" s="327">
        <f ca="1">SUM(AA20,AA24,AA33,AA36)*'2.5 Emission factors'!AA62</f>
        <v>2.1180813445011212E-2</v>
      </c>
      <c r="AB66" s="327">
        <f ca="1">SUM(AB20,AB24,AB33,AB36)*'2.5 Emission factors'!AB62</f>
        <v>2.90372410123831E-2</v>
      </c>
      <c r="AC66" s="327">
        <f ca="1">SUM(AC20,AC24,AC33,AC36)*'2.5 Emission factors'!AC62</f>
        <v>3.6563870780653235E-2</v>
      </c>
      <c r="AD66" s="327">
        <f ca="1">SUM(AD20,AD24,AD33,AD36)*'2.5 Emission factors'!AD62</f>
        <v>6.8300390422943696E-2</v>
      </c>
      <c r="AE66" s="327">
        <f ca="1">SUM(AE20,AE24,AE33,AE36)*'2.5 Emission factors'!AE62</f>
        <v>0.12853205854478417</v>
      </c>
      <c r="AF66" s="327">
        <f ca="1">SUM(AF20,AF24,AF33,AF36)*'2.5 Emission factors'!AF62</f>
        <v>0.21112730228942012</v>
      </c>
      <c r="AG66" s="327">
        <f ca="1">SUM(AG20,AG24,AG33,AG36)*'2.5 Emission factors'!AG62</f>
        <v>0.31558194942442375</v>
      </c>
      <c r="AH66" s="327">
        <f ca="1">SUM(AH20,AH24,AH33,AH36)*'2.5 Emission factors'!AH62</f>
        <v>0.42785283590196355</v>
      </c>
      <c r="AI66" s="327">
        <f ca="1">SUM(AI20,AI24,AI33,AI36)*'2.5 Emission factors'!AI62</f>
        <v>0.55914707739424763</v>
      </c>
      <c r="AJ66" s="327">
        <f ca="1">SUM(AJ20,AJ24,AJ33,AJ36)*'2.5 Emission factors'!AJ62</f>
        <v>0.64263761151785825</v>
      </c>
      <c r="AK66" s="327">
        <f ca="1">SUM(AK20,AK24,AK33,AK36)*'2.5 Emission factors'!AK62</f>
        <v>0.74515535204755967</v>
      </c>
      <c r="AL66" s="327">
        <f ca="1">SUM(AL20,AL24,AL33,AL36)*'2.5 Emission factors'!AL62</f>
        <v>0.88314985686482439</v>
      </c>
      <c r="AM66" s="327">
        <f ca="1">SUM(AM20,AM24,AM33,AM36)*'2.5 Emission factors'!AM62</f>
        <v>1.0088456506333308</v>
      </c>
      <c r="AN66" s="327">
        <f ca="1">SUM(AN20,AN24,AN33,AN36)*'2.5 Emission factors'!AN62</f>
        <v>1.1068592449455941</v>
      </c>
      <c r="AO66" s="327">
        <f ca="1">SUM(AO20,AO24,AO33,AO36)*'2.5 Emission factors'!AO62</f>
        <v>1.1500658774980177</v>
      </c>
      <c r="AP66" s="327">
        <f ca="1">SUM(AP20,AP24,AP33,AP36)*'2.5 Emission factors'!AP62</f>
        <v>1.2566568665458411</v>
      </c>
      <c r="AQ66" s="327">
        <f ca="1">SUM(AQ20,AQ24,AQ33,AQ36)*'2.5 Emission factors'!AQ62</f>
        <v>1.3765428015682757</v>
      </c>
      <c r="AR66" s="327">
        <f ca="1">SUM(AR20,AR24,AR33,AR36)*'2.5 Emission factors'!AR62</f>
        <v>1.455360416888215</v>
      </c>
      <c r="AS66" s="327">
        <f ca="1">SUM(AS20,AS24,AS33,AS36)*'2.5 Emission factors'!AS62</f>
        <v>1.4442479915336737</v>
      </c>
      <c r="AT66" s="327">
        <f ca="1">SUM(AT20,AT24,AT33,AT36)*'2.5 Emission factors'!AT62</f>
        <v>1.4695110556677111</v>
      </c>
      <c r="AU66" s="327">
        <f ca="1">SUM(AU20,AU24,AU33,AU36)*'2.5 Emission factors'!AU62</f>
        <v>1.4945144816173013</v>
      </c>
      <c r="AV66" s="327">
        <f ca="1">SUM(AV20,AV24,AV33,AV36)*'2.5 Emission factors'!AV62</f>
        <v>1.5293283672053923</v>
      </c>
      <c r="AW66" s="327">
        <f ca="1">SUM(AW20,AW24,AW33,AW36)*'2.5 Emission factors'!AW62</f>
        <v>1.539249212387839</v>
      </c>
      <c r="AX66" s="327">
        <f ca="1">SUM(AX20,AX24,AX33,AX36)*'2.5 Emission factors'!AX62</f>
        <v>1.585330292299016</v>
      </c>
    </row>
    <row r="67" spans="3:50">
      <c r="E67" t="s">
        <v>254</v>
      </c>
      <c r="G67" s="44" t="s">
        <v>212</v>
      </c>
      <c r="I67" s="44"/>
      <c r="K67" s="44" t="s">
        <v>1198</v>
      </c>
      <c r="M67" s="44"/>
      <c r="O67" s="327">
        <f ca="1">O18+O22+O34</f>
        <v>874.90988037227623</v>
      </c>
      <c r="P67" s="327">
        <f t="shared" ref="P67:AX67" ca="1" si="23">P18+P22+P34</f>
        <v>851.01527257227008</v>
      </c>
      <c r="Q67" s="327">
        <f t="shared" ca="1" si="23"/>
        <v>824.38338635711739</v>
      </c>
      <c r="R67" s="327">
        <f t="shared" ca="1" si="23"/>
        <v>807.96575834646569</v>
      </c>
      <c r="S67" s="327">
        <f t="shared" ca="1" si="23"/>
        <v>804.76592644698485</v>
      </c>
      <c r="T67" s="327">
        <f t="shared" ca="1" si="23"/>
        <v>756.18257841964669</v>
      </c>
      <c r="U67" s="327">
        <f t="shared" ca="1" si="23"/>
        <v>733.35728888512529</v>
      </c>
      <c r="V67" s="327">
        <f t="shared" ca="1" si="23"/>
        <v>707.19240202520984</v>
      </c>
      <c r="W67" s="327">
        <f t="shared" ca="1" si="23"/>
        <v>675.28063496424761</v>
      </c>
      <c r="X67" s="327">
        <f t="shared" ca="1" si="23"/>
        <v>644.28654614633592</v>
      </c>
      <c r="Y67" s="327">
        <f t="shared" ca="1" si="23"/>
        <v>606.64950540676261</v>
      </c>
      <c r="Z67" s="327">
        <f t="shared" ca="1" si="23"/>
        <v>568.70362101075477</v>
      </c>
      <c r="AA67" s="327">
        <f t="shared" ca="1" si="23"/>
        <v>520.3633422374113</v>
      </c>
      <c r="AB67" s="327">
        <f t="shared" ca="1" si="23"/>
        <v>471.84362845027692</v>
      </c>
      <c r="AC67" s="327">
        <f t="shared" ca="1" si="23"/>
        <v>422.19133466083696</v>
      </c>
      <c r="AD67" s="327">
        <f t="shared" ca="1" si="23"/>
        <v>367.28361455346061</v>
      </c>
      <c r="AE67" s="327">
        <f t="shared" ca="1" si="23"/>
        <v>319.26806789787474</v>
      </c>
      <c r="AF67" s="327">
        <f t="shared" ca="1" si="23"/>
        <v>274.95360752629148</v>
      </c>
      <c r="AG67" s="327">
        <f t="shared" ca="1" si="23"/>
        <v>233.30257035293741</v>
      </c>
      <c r="AH67" s="327">
        <f t="shared" ca="1" si="23"/>
        <v>197.09944288098995</v>
      </c>
      <c r="AI67" s="327">
        <f t="shared" ca="1" si="23"/>
        <v>163.0546075782205</v>
      </c>
      <c r="AJ67" s="327">
        <f t="shared" ca="1" si="23"/>
        <v>132.87649708638952</v>
      </c>
      <c r="AK67" s="327">
        <f t="shared" ca="1" si="23"/>
        <v>106.47141999963083</v>
      </c>
      <c r="AL67" s="327">
        <f t="shared" ca="1" si="23"/>
        <v>84.276528228656659</v>
      </c>
      <c r="AM67" s="327">
        <f t="shared" ca="1" si="23"/>
        <v>65.44069126347928</v>
      </c>
      <c r="AN67" s="327">
        <f t="shared" ca="1" si="23"/>
        <v>50.103197378967486</v>
      </c>
      <c r="AO67" s="327">
        <f t="shared" ca="1" si="23"/>
        <v>38.517837209687592</v>
      </c>
      <c r="AP67" s="327">
        <f t="shared" ca="1" si="23"/>
        <v>29.223530426196863</v>
      </c>
      <c r="AQ67" s="327">
        <f t="shared" ca="1" si="23"/>
        <v>21.931142561985116</v>
      </c>
      <c r="AR67" s="327">
        <f t="shared" ca="1" si="23"/>
        <v>16.33919143903243</v>
      </c>
      <c r="AS67" s="327">
        <f t="shared" ca="1" si="23"/>
        <v>11.999510817998058</v>
      </c>
      <c r="AT67" s="327">
        <f t="shared" ca="1" si="23"/>
        <v>8.6912678460595458</v>
      </c>
      <c r="AU67" s="327">
        <f t="shared" ca="1" si="23"/>
        <v>6.1755526004691941</v>
      </c>
      <c r="AV67" s="327">
        <f t="shared" ca="1" si="23"/>
        <v>4.2239977659738805</v>
      </c>
      <c r="AW67" s="327">
        <f t="shared" ca="1" si="23"/>
        <v>2.7391802938380483</v>
      </c>
      <c r="AX67" s="327">
        <f t="shared" ca="1" si="23"/>
        <v>1.5859865946131604</v>
      </c>
    </row>
    <row r="68" spans="3:50">
      <c r="E68" t="s">
        <v>255</v>
      </c>
      <c r="G68" s="44" t="s">
        <v>213</v>
      </c>
      <c r="I68" s="44"/>
      <c r="K68" s="44" t="s">
        <v>1198</v>
      </c>
      <c r="M68" s="44"/>
      <c r="O68" s="327">
        <f ca="1">O17+O21+O31</f>
        <v>414.13654447063294</v>
      </c>
      <c r="P68" s="327">
        <f t="shared" ref="P68:AX68" ca="1" si="24">P17+P21+P31</f>
        <v>420.91537780280947</v>
      </c>
      <c r="Q68" s="327">
        <f t="shared" ca="1" si="24"/>
        <v>418.34754404876912</v>
      </c>
      <c r="R68" s="327">
        <f t="shared" ca="1" si="24"/>
        <v>404.5587038150436</v>
      </c>
      <c r="S68" s="327">
        <f t="shared" ca="1" si="24"/>
        <v>374.62997946144685</v>
      </c>
      <c r="T68" s="327">
        <f t="shared" ca="1" si="24"/>
        <v>358.09017819036069</v>
      </c>
      <c r="U68" s="327">
        <f t="shared" ca="1" si="24"/>
        <v>343.63133508179862</v>
      </c>
      <c r="V68" s="327">
        <f t="shared" ca="1" si="24"/>
        <v>316.9415493671309</v>
      </c>
      <c r="W68" s="327">
        <f t="shared" ca="1" si="24"/>
        <v>287.68253591036057</v>
      </c>
      <c r="X68" s="327">
        <f t="shared" ca="1" si="24"/>
        <v>258.77279061647243</v>
      </c>
      <c r="Y68" s="327">
        <f t="shared" ca="1" si="24"/>
        <v>227.90578813006158</v>
      </c>
      <c r="Z68" s="327">
        <f t="shared" ca="1" si="24"/>
        <v>200.41037072077981</v>
      </c>
      <c r="AA68" s="327">
        <f t="shared" ca="1" si="24"/>
        <v>173.33392062922206</v>
      </c>
      <c r="AB68" s="327">
        <f t="shared" ca="1" si="24"/>
        <v>147.45966846465311</v>
      </c>
      <c r="AC68" s="327">
        <f t="shared" ca="1" si="24"/>
        <v>123.68766198929893</v>
      </c>
      <c r="AD68" s="327">
        <f t="shared" ca="1" si="24"/>
        <v>101.85011126085985</v>
      </c>
      <c r="AE68" s="327">
        <f t="shared" ca="1" si="24"/>
        <v>82.761504202156416</v>
      </c>
      <c r="AF68" s="327">
        <f t="shared" ca="1" si="24"/>
        <v>66.678379545506942</v>
      </c>
      <c r="AG68" s="327">
        <f t="shared" ca="1" si="24"/>
        <v>52.750940491204155</v>
      </c>
      <c r="AH68" s="327">
        <f t="shared" ca="1" si="24"/>
        <v>41.436722342996532</v>
      </c>
      <c r="AI68" s="327">
        <f t="shared" ca="1" si="24"/>
        <v>32.166895142412891</v>
      </c>
      <c r="AJ68" s="327">
        <f t="shared" ca="1" si="24"/>
        <v>24.525856139665777</v>
      </c>
      <c r="AK68" s="327">
        <f t="shared" ca="1" si="24"/>
        <v>18.662705931212887</v>
      </c>
      <c r="AL68" s="327">
        <f t="shared" ca="1" si="24"/>
        <v>14.426722987019351</v>
      </c>
      <c r="AM68" s="327">
        <f t="shared" ca="1" si="24"/>
        <v>11.127858954117603</v>
      </c>
      <c r="AN68" s="327">
        <f t="shared" ca="1" si="24"/>
        <v>8.5603534775822414</v>
      </c>
      <c r="AO68" s="327">
        <f t="shared" ca="1" si="24"/>
        <v>6.5328291299270616</v>
      </c>
      <c r="AP68" s="327">
        <f t="shared" ca="1" si="24"/>
        <v>5.1940404419860311</v>
      </c>
      <c r="AQ68" s="327">
        <f t="shared" ca="1" si="24"/>
        <v>4.2431566597676031</v>
      </c>
      <c r="AR68" s="327">
        <f t="shared" ca="1" si="24"/>
        <v>3.4504268186816804</v>
      </c>
      <c r="AS68" s="327">
        <f t="shared" ca="1" si="24"/>
        <v>2.705622941281614</v>
      </c>
      <c r="AT68" s="327">
        <f t="shared" ca="1" si="24"/>
        <v>2.1840118539053139</v>
      </c>
      <c r="AU68" s="327">
        <f t="shared" ca="1" si="24"/>
        <v>1.7842861268955146</v>
      </c>
      <c r="AV68" s="327">
        <f t="shared" ca="1" si="24"/>
        <v>1.485428150160405</v>
      </c>
      <c r="AW68" s="327">
        <f t="shared" ca="1" si="24"/>
        <v>1.2033087620739424</v>
      </c>
      <c r="AX68" s="327">
        <f t="shared" ca="1" si="24"/>
        <v>1.0095837869118658</v>
      </c>
    </row>
    <row r="69" spans="3:50">
      <c r="E69" t="s">
        <v>256</v>
      </c>
      <c r="G69" s="44" t="s">
        <v>1203</v>
      </c>
      <c r="I69" s="44"/>
      <c r="K69" s="44" t="s">
        <v>1198</v>
      </c>
      <c r="M69" s="44"/>
      <c r="O69" s="327">
        <f ca="1">O27*'2.5 Emission factors'!O62</f>
        <v>0</v>
      </c>
      <c r="P69" s="327">
        <f ca="1">P27*'2.5 Emission factors'!P62</f>
        <v>0</v>
      </c>
      <c r="Q69" s="327">
        <f ca="1">Q27*'2.5 Emission factors'!Q62</f>
        <v>0</v>
      </c>
      <c r="R69" s="327">
        <f ca="1">R27*'2.5 Emission factors'!R62</f>
        <v>0</v>
      </c>
      <c r="S69" s="327">
        <f ca="1">S27*'2.5 Emission factors'!S62</f>
        <v>0</v>
      </c>
      <c r="T69" s="327">
        <f ca="1">T27*'2.5 Emission factors'!T62</f>
        <v>0</v>
      </c>
      <c r="U69" s="327">
        <f ca="1">U27*'2.5 Emission factors'!U62</f>
        <v>0</v>
      </c>
      <c r="V69" s="327">
        <f ca="1">V27*'2.5 Emission factors'!V62</f>
        <v>0</v>
      </c>
      <c r="W69" s="327">
        <f ca="1">W27*'2.5 Emission factors'!W62</f>
        <v>0</v>
      </c>
      <c r="X69" s="327">
        <f ca="1">X27*'2.5 Emission factors'!X62</f>
        <v>0</v>
      </c>
      <c r="Y69" s="327">
        <f ca="1">Y27*'2.5 Emission factors'!Y62</f>
        <v>0</v>
      </c>
      <c r="Z69" s="327">
        <f ca="1">Z27*'2.5 Emission factors'!Z62</f>
        <v>2.7511781575081204E-2</v>
      </c>
      <c r="AA69" s="327">
        <f ca="1">AA27*'2.5 Emission factors'!AA62</f>
        <v>5.343665951395539E-2</v>
      </c>
      <c r="AB69" s="327">
        <f ca="1">AB27*'2.5 Emission factors'!AB62</f>
        <v>7.7961604086321398E-2</v>
      </c>
      <c r="AC69" s="327">
        <f ca="1">AC27*'2.5 Emission factors'!AC62</f>
        <v>0.10085165050525481</v>
      </c>
      <c r="AD69" s="327">
        <f ca="1">AD27*'2.5 Emission factors'!AD62</f>
        <v>0.12248798158090828</v>
      </c>
      <c r="AE69" s="327">
        <f ca="1">AE27*'2.5 Emission factors'!AE62</f>
        <v>0.25626899625439353</v>
      </c>
      <c r="AF69" s="327">
        <f ca="1">AF27*'2.5 Emission factors'!AF62</f>
        <v>0.40896222294820433</v>
      </c>
      <c r="AG69" s="327">
        <f ca="1">AG27*'2.5 Emission factors'!AG62</f>
        <v>0.56929403029444303</v>
      </c>
      <c r="AH69" s="327">
        <f ca="1">AH27*'2.5 Emission factors'!AH62</f>
        <v>0.73294469980215371</v>
      </c>
      <c r="AI69" s="327">
        <f ca="1">AI27*'2.5 Emission factors'!AI62</f>
        <v>0.88429708539081997</v>
      </c>
      <c r="AJ69" s="327">
        <f ca="1">AJ27*'2.5 Emission factors'!AJ62</f>
        <v>0.9695584798199518</v>
      </c>
      <c r="AK69" s="327">
        <f ca="1">AK27*'2.5 Emission factors'!AK62</f>
        <v>1.072080267276321</v>
      </c>
      <c r="AL69" s="327">
        <f ca="1">AL27*'2.5 Emission factors'!AL62</f>
        <v>1.2158997240587504</v>
      </c>
      <c r="AM69" s="327">
        <f ca="1">AM27*'2.5 Emission factors'!AM62</f>
        <v>1.3335342926664524</v>
      </c>
      <c r="AN69" s="327">
        <f ca="1">AN27*'2.5 Emission factors'!AN62</f>
        <v>1.4123422929191538</v>
      </c>
      <c r="AO69" s="327">
        <f ca="1">AO27*'2.5 Emission factors'!AO62</f>
        <v>1.3544763936782118</v>
      </c>
      <c r="AP69" s="327">
        <f ca="1">AP27*'2.5 Emission factors'!AP62</f>
        <v>1.3855225770003565</v>
      </c>
      <c r="AQ69" s="327">
        <f ca="1">AQ27*'2.5 Emission factors'!AQ62</f>
        <v>1.436328032719562</v>
      </c>
      <c r="AR69" s="327">
        <f ca="1">AR27*'2.5 Emission factors'!AR62</f>
        <v>1.4529757130175291</v>
      </c>
      <c r="AS69" s="327">
        <f ca="1">AS27*'2.5 Emission factors'!AS62</f>
        <v>1.3892145862094087</v>
      </c>
      <c r="AT69" s="327">
        <f ca="1">AT27*'2.5 Emission factors'!AT62</f>
        <v>1.3210487975648855</v>
      </c>
      <c r="AU69" s="327">
        <f ca="1">AU27*'2.5 Emission factors'!AU62</f>
        <v>1.2638560088718955</v>
      </c>
      <c r="AV69" s="327">
        <f ca="1">AV27*'2.5 Emission factors'!AV62</f>
        <v>1.2250792699028366</v>
      </c>
      <c r="AW69" s="327">
        <f ca="1">AW27*'2.5 Emission factors'!AW62</f>
        <v>1.1733664891621507</v>
      </c>
      <c r="AX69" s="327">
        <f ca="1">AX27*'2.5 Emission factors'!AX62</f>
        <v>1.1550086686491354</v>
      </c>
    </row>
    <row r="70" spans="3:50">
      <c r="E70" t="s">
        <v>257</v>
      </c>
      <c r="G70" s="44" t="s">
        <v>213</v>
      </c>
      <c r="I70" s="44"/>
      <c r="K70" s="44" t="s">
        <v>1198</v>
      </c>
      <c r="M70" s="44"/>
      <c r="O70" s="327">
        <f ca="1">O25</f>
        <v>308.04365612309687</v>
      </c>
      <c r="P70" s="327">
        <f t="shared" ref="P70:AX70" ca="1" si="25">P25</f>
        <v>309.95528864631029</v>
      </c>
      <c r="Q70" s="327">
        <f t="shared" ca="1" si="25"/>
        <v>308.93349802908688</v>
      </c>
      <c r="R70" s="327">
        <f t="shared" ca="1" si="25"/>
        <v>307.71539809269592</v>
      </c>
      <c r="S70" s="327">
        <f t="shared" ca="1" si="25"/>
        <v>306.46863953093373</v>
      </c>
      <c r="T70" s="327">
        <f t="shared" ca="1" si="25"/>
        <v>305.1924560290006</v>
      </c>
      <c r="U70" s="327">
        <f t="shared" ca="1" si="25"/>
        <v>306.49376374359036</v>
      </c>
      <c r="V70" s="327">
        <f t="shared" ca="1" si="25"/>
        <v>307.28154059646528</v>
      </c>
      <c r="W70" s="327">
        <f t="shared" ca="1" si="25"/>
        <v>308.56876165907227</v>
      </c>
      <c r="X70" s="327">
        <f t="shared" ca="1" si="25"/>
        <v>309.36734948990988</v>
      </c>
      <c r="Y70" s="327">
        <f t="shared" ca="1" si="25"/>
        <v>310.27079254414383</v>
      </c>
      <c r="Z70" s="327">
        <f t="shared" ca="1" si="25"/>
        <v>307.12358637947068</v>
      </c>
      <c r="AA70" s="327">
        <f t="shared" ca="1" si="25"/>
        <v>303.47230436666382</v>
      </c>
      <c r="AB70" s="327">
        <f t="shared" ca="1" si="25"/>
        <v>300.27776471948522</v>
      </c>
      <c r="AC70" s="327">
        <f t="shared" ca="1" si="25"/>
        <v>296.59810090991766</v>
      </c>
      <c r="AD70" s="327">
        <f t="shared" ca="1" si="25"/>
        <v>293.3564657437272</v>
      </c>
      <c r="AE70" s="327">
        <f t="shared" ca="1" si="25"/>
        <v>271.71929942555215</v>
      </c>
      <c r="AF70" s="327">
        <f t="shared" ca="1" si="25"/>
        <v>250.43996842022094</v>
      </c>
      <c r="AG70" s="327">
        <f t="shared" ca="1" si="25"/>
        <v>229.51908543872599</v>
      </c>
      <c r="AH70" s="327">
        <f t="shared" ca="1" si="25"/>
        <v>208.95726319205988</v>
      </c>
      <c r="AI70" s="327">
        <f t="shared" ca="1" si="25"/>
        <v>189.01204090392466</v>
      </c>
      <c r="AJ70" s="327">
        <f t="shared" ca="1" si="25"/>
        <v>165.32084245786027</v>
      </c>
      <c r="AK70" s="327">
        <f t="shared" ca="1" si="25"/>
        <v>142.06581123874943</v>
      </c>
      <c r="AL70" s="327">
        <f t="shared" ca="1" si="25"/>
        <v>119.24777204985135</v>
      </c>
      <c r="AM70" s="327">
        <f t="shared" ca="1" si="25"/>
        <v>96.867549694425264</v>
      </c>
      <c r="AN70" s="327">
        <f t="shared" ca="1" si="25"/>
        <v>74.99677743090767</v>
      </c>
      <c r="AO70" s="327">
        <f t="shared" ca="1" si="25"/>
        <v>63.109507584261678</v>
      </c>
      <c r="AP70" s="327">
        <f t="shared" ca="1" si="25"/>
        <v>51.446013273728155</v>
      </c>
      <c r="AQ70" s="327">
        <f t="shared" ca="1" si="25"/>
        <v>40.006331860491265</v>
      </c>
      <c r="AR70" s="327">
        <f t="shared" ca="1" si="25"/>
        <v>28.790500705735134</v>
      </c>
      <c r="AS70" s="327">
        <f t="shared" ca="1" si="25"/>
        <v>17.798557170643896</v>
      </c>
      <c r="AT70" s="327">
        <f t="shared" ca="1" si="25"/>
        <v>14.395927995374322</v>
      </c>
      <c r="AU70" s="327">
        <f t="shared" ca="1" si="25"/>
        <v>11.061274622762298</v>
      </c>
      <c r="AV70" s="327">
        <f t="shared" ca="1" si="25"/>
        <v>7.794611063251871</v>
      </c>
      <c r="AW70" s="327">
        <f t="shared" ca="1" si="25"/>
        <v>4.5959513272871018</v>
      </c>
      <c r="AX70" s="327">
        <f t="shared" ca="1" si="25"/>
        <v>1.4653094253120513</v>
      </c>
    </row>
    <row r="71" spans="3:50">
      <c r="E71" t="s">
        <v>258</v>
      </c>
      <c r="G71" s="44" t="s">
        <v>1200</v>
      </c>
      <c r="I71" s="44"/>
      <c r="K71" s="44" t="s">
        <v>1198</v>
      </c>
      <c r="M71" s="44"/>
      <c r="O71" s="327">
        <f ca="1">O26*'2.5 Emission factors'!O29</f>
        <v>0</v>
      </c>
      <c r="P71" s="327">
        <f ca="1">P26*'2.5 Emission factors'!P29</f>
        <v>0</v>
      </c>
      <c r="Q71" s="327">
        <f ca="1">Q26*'2.5 Emission factors'!Q29</f>
        <v>0</v>
      </c>
      <c r="R71" s="327">
        <f ca="1">R26*'2.5 Emission factors'!R29</f>
        <v>0</v>
      </c>
      <c r="S71" s="327">
        <f ca="1">S26*'2.5 Emission factors'!S29</f>
        <v>0</v>
      </c>
      <c r="T71" s="327">
        <f ca="1">T26*'2.5 Emission factors'!T29</f>
        <v>0</v>
      </c>
      <c r="U71" s="327">
        <f ca="1">U26*'2.5 Emission factors'!U29</f>
        <v>0</v>
      </c>
      <c r="V71" s="327">
        <f ca="1">V26*'2.5 Emission factors'!V29</f>
        <v>0</v>
      </c>
      <c r="W71" s="327">
        <f ca="1">W26*'2.5 Emission factors'!W29</f>
        <v>0</v>
      </c>
      <c r="X71" s="327">
        <f ca="1">X26*'2.5 Emission factors'!X29</f>
        <v>0</v>
      </c>
      <c r="Y71" s="327">
        <f ca="1">Y26*'2.5 Emission factors'!Y29</f>
        <v>0</v>
      </c>
      <c r="Z71" s="327">
        <f ca="1">Z26*'2.5 Emission factors'!Z29</f>
        <v>0.79714655709431959</v>
      </c>
      <c r="AA71" s="327">
        <f ca="1">AA26*'2.5 Emission factors'!AA29</f>
        <v>1.3216478888264371</v>
      </c>
      <c r="AB71" s="327">
        <f ca="1">AB26*'2.5 Emission factors'!AB29</f>
        <v>1.8397922664288597</v>
      </c>
      <c r="AC71" s="327">
        <f ca="1">AC26*'2.5 Emission factors'!AC29</f>
        <v>2.3006398767032188</v>
      </c>
      <c r="AD71" s="327">
        <f ca="1">AD26*'2.5 Emission factors'!AD29</f>
        <v>2.2905964390504319</v>
      </c>
      <c r="AE71" s="327">
        <f ca="1">AE26*'2.5 Emission factors'!AE29</f>
        <v>3.3151934687517812</v>
      </c>
      <c r="AF71" s="327">
        <f ca="1">AF26*'2.5 Emission factors'!AF29</f>
        <v>4.1644037903855731</v>
      </c>
      <c r="AG71" s="327">
        <f ca="1">AG26*'2.5 Emission factors'!AG29</f>
        <v>4.7458967455681531</v>
      </c>
      <c r="AH71" s="327">
        <f ca="1">AH26*'2.5 Emission factors'!AH29</f>
        <v>5.3348643628680703</v>
      </c>
      <c r="AI71" s="327">
        <f ca="1">AI26*'2.5 Emission factors'!AI29</f>
        <v>5.6859007973316018</v>
      </c>
      <c r="AJ71" s="327">
        <f ca="1">AJ26*'2.5 Emission factors'!AJ29</f>
        <v>5.6376108737719743</v>
      </c>
      <c r="AK71" s="327">
        <f ca="1">AK26*'2.5 Emission factors'!AK29</f>
        <v>5.8463979280270388</v>
      </c>
      <c r="AL71" s="327">
        <f ca="1">AL26*'2.5 Emission factors'!AL29</f>
        <v>6.524577846371316</v>
      </c>
      <c r="AM71" s="327">
        <f ca="1">AM26*'2.5 Emission factors'!AM29</f>
        <v>6.949221784336566</v>
      </c>
      <c r="AN71" s="327">
        <f ca="1">AN26*'2.5 Emission factors'!AN29</f>
        <v>7.0081054046838913</v>
      </c>
      <c r="AO71" s="327">
        <f ca="1">AO26*'2.5 Emission factors'!AO29</f>
        <v>6.136852916431188</v>
      </c>
      <c r="AP71" s="327">
        <f ca="1">AP26*'2.5 Emission factors'!AP29</f>
        <v>6.1268892168248437</v>
      </c>
      <c r="AQ71" s="327">
        <f ca="1">AQ26*'2.5 Emission factors'!AQ29</f>
        <v>6.2985752735548823</v>
      </c>
      <c r="AR71" s="327">
        <f ca="1">AR26*'2.5 Emission factors'!AR29</f>
        <v>6.1989996546976807</v>
      </c>
      <c r="AS71" s="327">
        <f ca="1">AS26*'2.5 Emission factors'!AS29</f>
        <v>5.5013342473813385</v>
      </c>
      <c r="AT71" s="327">
        <f ca="1">AT26*'2.5 Emission factors'!AT29</f>
        <v>5.0734774595007668</v>
      </c>
      <c r="AU71" s="327">
        <f ca="1">AU26*'2.5 Emission factors'!AU29</f>
        <v>4.7505605470034284</v>
      </c>
      <c r="AV71" s="327">
        <f ca="1">AV26*'2.5 Emission factors'!AV29</f>
        <v>4.5776918201334533</v>
      </c>
      <c r="AW71" s="327">
        <f ca="1">AW26*'2.5 Emission factors'!AW29</f>
        <v>4.3238686042506735</v>
      </c>
      <c r="AX71" s="327">
        <f ca="1">AX26*'2.5 Emission factors'!AX29</f>
        <v>4.3126825891134226</v>
      </c>
    </row>
    <row r="72" spans="3:50">
      <c r="E72" t="s">
        <v>259</v>
      </c>
      <c r="G72" s="44" t="s">
        <v>1203</v>
      </c>
      <c r="I72" s="44"/>
      <c r="K72" s="44" t="s">
        <v>1198</v>
      </c>
      <c r="M72" s="44"/>
      <c r="O72" s="327">
        <f ca="1">O30*'2.5 Emission factors'!O62</f>
        <v>0</v>
      </c>
      <c r="P72" s="327">
        <f ca="1">P30*'2.5 Emission factors'!P62</f>
        <v>0</v>
      </c>
      <c r="Q72" s="327">
        <f ca="1">Q30*'2.5 Emission factors'!Q62</f>
        <v>0</v>
      </c>
      <c r="R72" s="327">
        <f ca="1">R30*'2.5 Emission factors'!R62</f>
        <v>0</v>
      </c>
      <c r="S72" s="327">
        <f ca="1">S30*'2.5 Emission factors'!S62</f>
        <v>0</v>
      </c>
      <c r="T72" s="327">
        <f ca="1">T30*'2.5 Emission factors'!T62</f>
        <v>0</v>
      </c>
      <c r="U72" s="327">
        <f ca="1">U30*'2.5 Emission factors'!U62</f>
        <v>0.27356011707843314</v>
      </c>
      <c r="V72" s="327">
        <f ca="1">V30*'2.5 Emission factors'!V62</f>
        <v>0.27290398534881311</v>
      </c>
      <c r="W72" s="327">
        <f ca="1">W30*'2.5 Emission factors'!W62</f>
        <v>0.27225020530590893</v>
      </c>
      <c r="X72" s="327">
        <f ca="1">X30*'2.5 Emission factors'!X62</f>
        <v>0.27159883728938267</v>
      </c>
      <c r="Y72" s="327">
        <f ca="1">Y30*'2.5 Emission factors'!Y62</f>
        <v>0.27094994372096648</v>
      </c>
      <c r="Z72" s="327">
        <f ca="1">Z30*'2.5 Emission factors'!Z62</f>
        <v>6.7132494699493353E-2</v>
      </c>
      <c r="AA72" s="327">
        <f ca="1">AA30*'2.5 Emission factors'!AA62</f>
        <v>0.1070793089683322</v>
      </c>
      <c r="AB72" s="327">
        <f ca="1">AB30*'2.5 Emission factors'!AB62</f>
        <v>0.15803327812560075</v>
      </c>
      <c r="AC72" s="327">
        <f ca="1">AC30*'2.5 Emission factors'!AC62</f>
        <v>0.20727056107024727</v>
      </c>
      <c r="AD72" s="327">
        <f ca="1">AD30*'2.5 Emission factors'!AD62</f>
        <v>0.25479653069889113</v>
      </c>
      <c r="AE72" s="327">
        <f ca="1">AE30*'2.5 Emission factors'!AE62</f>
        <v>0.39669732673759794</v>
      </c>
      <c r="AF72" s="327">
        <f ca="1">AF30*'2.5 Emission factors'!AF62</f>
        <v>0.54435618277706954</v>
      </c>
      <c r="AG72" s="327">
        <f ca="1">AG30*'2.5 Emission factors'!AG62</f>
        <v>0.69068704876124942</v>
      </c>
      <c r="AH72" s="327">
        <f ca="1">AH30*'2.5 Emission factors'!AH62</f>
        <v>0.8349476556993185</v>
      </c>
      <c r="AI72" s="327">
        <f ca="1">AI30*'2.5 Emission factors'!AI62</f>
        <v>0.95990270302215597</v>
      </c>
      <c r="AJ72" s="327">
        <f ca="1">AJ30*'2.5 Emission factors'!AJ62</f>
        <v>0.96567726553310773</v>
      </c>
      <c r="AK72" s="327">
        <f ca="1">AK30*'2.5 Emission factors'!AK62</f>
        <v>0.99843648357139325</v>
      </c>
      <c r="AL72" s="327">
        <f ca="1">AL30*'2.5 Emission factors'!AL62</f>
        <v>1.0728523453203724</v>
      </c>
      <c r="AM72" s="327">
        <f ca="1">AM30*'2.5 Emission factors'!AM62</f>
        <v>1.1255033166449786</v>
      </c>
      <c r="AN72" s="327">
        <f ca="1">AN30*'2.5 Emission factors'!AN62</f>
        <v>1.1453261334239844</v>
      </c>
      <c r="AO72" s="327">
        <f ca="1">AO30*'2.5 Emission factors'!AO62</f>
        <v>1.0880370629075031</v>
      </c>
      <c r="AP72" s="327">
        <f ca="1">AP30*'2.5 Emission factors'!AP62</f>
        <v>1.1032029601503834</v>
      </c>
      <c r="AQ72" s="327">
        <f ca="1">AQ30*'2.5 Emission factors'!AQ62</f>
        <v>1.1342865957267885</v>
      </c>
      <c r="AR72" s="327">
        <f ca="1">AR30*'2.5 Emission factors'!AR62</f>
        <v>1.1386432152573849</v>
      </c>
      <c r="AS72" s="327">
        <f ca="1">AS30*'2.5 Emission factors'!AS62</f>
        <v>1.0808607012372111</v>
      </c>
      <c r="AT72" s="327">
        <f ca="1">AT30*'2.5 Emission factors'!AT62</f>
        <v>1.0242775341777697</v>
      </c>
      <c r="AU72" s="327">
        <f ca="1">AU30*'2.5 Emission factors'!AU62</f>
        <v>0.97651588875103024</v>
      </c>
      <c r="AV72" s="327">
        <f ca="1">AV30*'2.5 Emission factors'!AV62</f>
        <v>0.94322024974819429</v>
      </c>
      <c r="AW72" s="327">
        <f ca="1">AW30*'2.5 Emission factors'!AW62</f>
        <v>0.90018927136339644</v>
      </c>
      <c r="AX72" s="327">
        <f ca="1">AX30*'2.5 Emission factors'!AX62</f>
        <v>0.88291800684033495</v>
      </c>
    </row>
    <row r="73" spans="3:50">
      <c r="E73" t="s">
        <v>260</v>
      </c>
      <c r="G73" s="44" t="s">
        <v>213</v>
      </c>
      <c r="I73" s="44"/>
      <c r="K73" s="44" t="s">
        <v>1198</v>
      </c>
      <c r="M73" s="44"/>
      <c r="O73" s="327">
        <f ca="1">O28</f>
        <v>255.36868930765806</v>
      </c>
      <c r="P73" s="327">
        <f t="shared" ref="P73:AX73" ca="1" si="26">P28</f>
        <v>253.96784955621203</v>
      </c>
      <c r="Q73" s="327">
        <f t="shared" ca="1" si="26"/>
        <v>250.15351570505157</v>
      </c>
      <c r="R73" s="327">
        <f t="shared" ca="1" si="26"/>
        <v>246.20044749932293</v>
      </c>
      <c r="S73" s="327">
        <f t="shared" ca="1" si="26"/>
        <v>242.24685691351047</v>
      </c>
      <c r="T73" s="327">
        <f t="shared" ca="1" si="26"/>
        <v>235.91664229982231</v>
      </c>
      <c r="U73" s="327">
        <f t="shared" ca="1" si="26"/>
        <v>233.1602895266812</v>
      </c>
      <c r="V73" s="327">
        <f t="shared" ca="1" si="26"/>
        <v>220.95265152472993</v>
      </c>
      <c r="W73" s="327">
        <f t="shared" ca="1" si="26"/>
        <v>205.74482242370371</v>
      </c>
      <c r="X73" s="327">
        <f t="shared" ca="1" si="26"/>
        <v>190.42703023798293</v>
      </c>
      <c r="Y73" s="327">
        <f t="shared" ca="1" si="26"/>
        <v>174.98812538373087</v>
      </c>
      <c r="Z73" s="327">
        <f t="shared" ca="1" si="26"/>
        <v>155.88909047282328</v>
      </c>
      <c r="AA73" s="327">
        <f t="shared" ca="1" si="26"/>
        <v>137.08126744651619</v>
      </c>
      <c r="AB73" s="327">
        <f t="shared" ca="1" si="26"/>
        <v>117.91132793552777</v>
      </c>
      <c r="AC73" s="327">
        <f t="shared" ca="1" si="26"/>
        <v>98.706040077546234</v>
      </c>
      <c r="AD73" s="327">
        <f t="shared" ca="1" si="26"/>
        <v>79.465571079427917</v>
      </c>
      <c r="AE73" s="327">
        <f t="shared" ca="1" si="26"/>
        <v>72.694463139723808</v>
      </c>
      <c r="AF73" s="327">
        <f t="shared" ca="1" si="26"/>
        <v>66.031692027423873</v>
      </c>
      <c r="AG73" s="327">
        <f t="shared" ca="1" si="26"/>
        <v>59.477637321546297</v>
      </c>
      <c r="AH73" s="327">
        <f t="shared" ca="1" si="26"/>
        <v>53.032678601109232</v>
      </c>
      <c r="AI73" s="327">
        <f t="shared" ca="1" si="26"/>
        <v>46.697195445130902</v>
      </c>
      <c r="AJ73" s="327">
        <f t="shared" ca="1" si="26"/>
        <v>41.049732681667024</v>
      </c>
      <c r="AK73" s="327">
        <f t="shared" ca="1" si="26"/>
        <v>35.501379947377202</v>
      </c>
      <c r="AL73" s="327">
        <f t="shared" ca="1" si="26"/>
        <v>30.052478863377814</v>
      </c>
      <c r="AM73" s="327">
        <f t="shared" ca="1" si="26"/>
        <v>24.703371050785204</v>
      </c>
      <c r="AN73" s="327">
        <f t="shared" ca="1" si="26"/>
        <v>19.454398130715763</v>
      </c>
      <c r="AO73" s="327">
        <f t="shared" ca="1" si="26"/>
        <v>16.510232584220287</v>
      </c>
      <c r="AP73" s="327">
        <f t="shared" ca="1" si="26"/>
        <v>13.62102557202739</v>
      </c>
      <c r="AQ73" s="327">
        <f t="shared" ca="1" si="26"/>
        <v>10.786795136262734</v>
      </c>
      <c r="AR73" s="327">
        <f t="shared" ca="1" si="26"/>
        <v>8.0075593190519996</v>
      </c>
      <c r="AS73" s="327">
        <f t="shared" ca="1" si="26"/>
        <v>5.2833361625208521</v>
      </c>
      <c r="AT73" s="327">
        <f t="shared" ca="1" si="26"/>
        <v>4.3569061813249341</v>
      </c>
      <c r="AU73" s="327">
        <f t="shared" ca="1" si="26"/>
        <v>3.4488177630501395</v>
      </c>
      <c r="AV73" s="327">
        <f t="shared" ca="1" si="26"/>
        <v>2.5590769217383591</v>
      </c>
      <c r="AW73" s="327">
        <f t="shared" ca="1" si="26"/>
        <v>1.6876896714314815</v>
      </c>
      <c r="AX73" s="327">
        <f t="shared" ca="1" si="26"/>
        <v>0.83466202617139751</v>
      </c>
    </row>
    <row r="74" spans="3:50">
      <c r="C74" s="35"/>
      <c r="E74" t="s">
        <v>261</v>
      </c>
      <c r="G74" s="44" t="s">
        <v>1200</v>
      </c>
      <c r="I74" s="44"/>
      <c r="K74" s="44" t="s">
        <v>1198</v>
      </c>
      <c r="M74" s="44"/>
      <c r="O74" s="327">
        <f ca="1">O29*'2.5 Emission factors'!O29</f>
        <v>1.2012293742362941</v>
      </c>
      <c r="P74" s="327">
        <f ca="1">P29*'2.5 Emission factors'!P29</f>
        <v>0.96455066619335839</v>
      </c>
      <c r="Q74" s="327">
        <f ca="1">Q29*'2.5 Emission factors'!Q29</f>
        <v>0.8591580238712031</v>
      </c>
      <c r="R74" s="327">
        <f ca="1">R29*'2.5 Emission factors'!R29</f>
        <v>0.73329732875704112</v>
      </c>
      <c r="S74" s="327">
        <f ca="1">S29*'2.5 Emission factors'!S29</f>
        <v>0.5962010878955768</v>
      </c>
      <c r="T74" s="327">
        <f ca="1">T29*'2.5 Emission factors'!T29</f>
        <v>0.76320039238897719</v>
      </c>
      <c r="U74" s="327">
        <f ca="1">U29*'2.5 Emission factors'!U29</f>
        <v>1.262154620076402</v>
      </c>
      <c r="V74" s="327">
        <f ca="1">V29*'2.5 Emission factors'!V29</f>
        <v>3.2322676690580852</v>
      </c>
      <c r="W74" s="327">
        <f ca="1">W29*'2.5 Emission factors'!W29</f>
        <v>5.0735926407455549</v>
      </c>
      <c r="X74" s="327">
        <f ca="1">X29*'2.5 Emission factors'!X29</f>
        <v>7.6927668964576359</v>
      </c>
      <c r="Y74" s="327">
        <f ca="1">Y29*'2.5 Emission factors'!Y29</f>
        <v>8.3343694845914378</v>
      </c>
      <c r="Z74" s="327">
        <f ca="1">Z29*'2.5 Emission factors'!Z29</f>
        <v>7.7944258821238979</v>
      </c>
      <c r="AA74" s="327">
        <f ca="1">AA29*'2.5 Emission factors'!AA29</f>
        <v>7.8041396326720482</v>
      </c>
      <c r="AB74" s="327">
        <f ca="1">AB29*'2.5 Emission factors'!AB29</f>
        <v>8.4564896715424833</v>
      </c>
      <c r="AC74" s="327">
        <f ca="1">AC29*'2.5 Emission factors'!AC29</f>
        <v>9.0681019035317725</v>
      </c>
      <c r="AD74" s="327">
        <f ca="1">AD29*'2.5 Emission factors'!AD29</f>
        <v>8.101380917731726</v>
      </c>
      <c r="AE74" s="327">
        <f ca="1">AE29*'2.5 Emission factors'!AE29</f>
        <v>6.8017001186955737</v>
      </c>
      <c r="AF74" s="327">
        <f ca="1">AF29*'2.5 Emission factors'!AF29</f>
        <v>6.2131537665482721</v>
      </c>
      <c r="AG74" s="327">
        <f ca="1">AG29*'2.5 Emission factors'!AG29</f>
        <v>5.686624294913333</v>
      </c>
      <c r="AH74" s="327">
        <f ca="1">AH29*'2.5 Emission factors'!AH29</f>
        <v>5.4270735496968854</v>
      </c>
      <c r="AI74" s="327">
        <f ca="1">AI29*'2.5 Emission factors'!AI29</f>
        <v>5.0780748481218545</v>
      </c>
      <c r="AJ74" s="327">
        <f ca="1">AJ29*'2.5 Emission factors'!AJ29</f>
        <v>4.3968309804420116</v>
      </c>
      <c r="AK74" s="327">
        <f ca="1">AK29*'2.5 Emission factors'!AK29</f>
        <v>4.0856284610154798</v>
      </c>
      <c r="AL74" s="327">
        <f ca="1">AL29*'2.5 Emission factors'!AL29</f>
        <v>4.1620065797847356</v>
      </c>
      <c r="AM74" s="327">
        <f ca="1">AM29*'2.5 Emission factors'!AM29</f>
        <v>4.1030986386098842</v>
      </c>
      <c r="AN74" s="327">
        <f ca="1">AN29*'2.5 Emission factors'!AN29</f>
        <v>3.8654950371381092</v>
      </c>
      <c r="AO74" s="327">
        <f ca="1">AO29*'2.5 Emission factors'!AO29</f>
        <v>3.2774056613043565</v>
      </c>
      <c r="AP74" s="327">
        <f ca="1">AP29*'2.5 Emission factors'!AP29</f>
        <v>3.1753386078190142</v>
      </c>
      <c r="AQ74" s="327">
        <f ca="1">AQ29*'2.5 Emission factors'!AQ29</f>
        <v>3.1742258702416111</v>
      </c>
      <c r="AR74" s="327">
        <f ca="1">AR29*'2.5 Emission factors'!AR29</f>
        <v>3.0433516920343497</v>
      </c>
      <c r="AS74" s="327">
        <f ca="1">AS29*'2.5 Emission factors'!AS29</f>
        <v>2.6353916944334856</v>
      </c>
      <c r="AT74" s="327">
        <f ca="1">AT29*'2.5 Emission factors'!AT29</f>
        <v>2.4179839253951929</v>
      </c>
      <c r="AU74" s="327">
        <f ca="1">AU29*'2.5 Emission factors'!AU29</f>
        <v>2.2527873958399351</v>
      </c>
      <c r="AV74" s="327">
        <f ca="1">AV29*'2.5 Emission factors'!AV29</f>
        <v>2.1602526077971094</v>
      </c>
      <c r="AW74" s="327">
        <f ca="1">AW29*'2.5 Emission factors'!AW29</f>
        <v>2.0307946030292108</v>
      </c>
      <c r="AX74" s="327">
        <f ca="1">AX29*'2.5 Emission factors'!AX29</f>
        <v>2.0161714352893347</v>
      </c>
    </row>
    <row r="76" spans="3:50">
      <c r="C76" s="35"/>
      <c r="E76" t="s">
        <v>251</v>
      </c>
      <c r="G76" s="44" t="s">
        <v>1200</v>
      </c>
      <c r="I76" s="44"/>
      <c r="K76" s="44" t="s">
        <v>252</v>
      </c>
      <c r="M76" s="44"/>
      <c r="O76" s="520">
        <f ca="1">O$15*SUM(SUMIFS(O$96:O$257,$B$96:$B$257,$E$13,$K$96:$K$257,"thousand km",$G$96:$G$257,$G76,$E$96:$E$257,"Cars"),
SUMIFS(O$96:O$257,$B$96:$B$257,$E$13,$K$96:$K$257,"thousand km",$G$96:$G$257,$G76,$E$96:$E$257,"LGVs"),
SUMIFS(O$96:O$257,$B$96:$B$257,$E$13,$K$96:$K$257,"thousand km",$G$96:$G$257,$G76,$E$96:$E$257,"Taxis"),
SUMIFS(O$96:O$257,$B$96:$B$257,$E$13,$K$96:$K$257,"thousand km",$G$96:$G$257,$G76,$E$96:$E$257,"Motorcycles"))/1000</f>
        <v>34.498859784172332</v>
      </c>
      <c r="P76" s="520">
        <f t="shared" ref="P76:AX79" ca="1" si="27">P$15*SUM(SUMIFS(P$96:P$257,$B$96:$B$257,$E$13,$K$96:$K$257,"thousand km",$G$96:$G$257,$G76,$E$96:$E$257,"Cars"),
SUMIFS(P$96:P$257,$B$96:$B$257,$E$13,$K$96:$K$257,"thousand km",$G$96:$G$257,$G76,$E$96:$E$257,"LGVs"),
SUMIFS(P$96:P$257,$B$96:$B$257,$E$13,$K$96:$K$257,"thousand km",$G$96:$G$257,$G76,$E$96:$E$257,"Taxis"),
SUMIFS(P$96:P$257,$B$96:$B$257,$E$13,$K$96:$K$257,"thousand km",$G$96:$G$257,$G76,$E$96:$E$257,"Motorcycles"))/1000</f>
        <v>49.183321094739142</v>
      </c>
      <c r="Q76" s="520">
        <f t="shared" ca="1" si="27"/>
        <v>66.562622716919904</v>
      </c>
      <c r="R76" s="520">
        <f t="shared" ca="1" si="27"/>
        <v>91.453732912869981</v>
      </c>
      <c r="S76" s="520">
        <f t="shared" ca="1" si="27"/>
        <v>124.6743785488252</v>
      </c>
      <c r="T76" s="520">
        <f t="shared" ca="1" si="27"/>
        <v>142.29974396087692</v>
      </c>
      <c r="U76" s="520">
        <f t="shared" ca="1" si="27"/>
        <v>238.78932757504629</v>
      </c>
      <c r="V76" s="520">
        <f t="shared" ca="1" si="27"/>
        <v>439.03716008427256</v>
      </c>
      <c r="W76" s="520">
        <f t="shared" ca="1" si="27"/>
        <v>704.56932692183022</v>
      </c>
      <c r="X76" s="520">
        <f t="shared" ca="1" si="27"/>
        <v>974.15311405431976</v>
      </c>
      <c r="Y76" s="520">
        <f t="shared" ca="1" si="27"/>
        <v>1311.9217346802754</v>
      </c>
      <c r="Z76" s="520">
        <f t="shared" ca="1" si="27"/>
        <v>1656.1253787019257</v>
      </c>
      <c r="AA76" s="520">
        <f t="shared" ca="1" si="27"/>
        <v>2061.3094039787634</v>
      </c>
      <c r="AB76" s="520">
        <f t="shared" ca="1" si="27"/>
        <v>2465.1165433387541</v>
      </c>
      <c r="AC76" s="520">
        <f t="shared" ca="1" si="27"/>
        <v>2866.907701137784</v>
      </c>
      <c r="AD76" s="520">
        <f t="shared" ca="1" si="27"/>
        <v>3277.8111924120844</v>
      </c>
      <c r="AE76" s="520">
        <f t="shared" ca="1" si="27"/>
        <v>3637.6508740367958</v>
      </c>
      <c r="AF76" s="520">
        <f t="shared" ca="1" si="27"/>
        <v>3947.2867741546261</v>
      </c>
      <c r="AG76" s="520">
        <f t="shared" ca="1" si="27"/>
        <v>4232.5073374089534</v>
      </c>
      <c r="AH76" s="520">
        <f t="shared" ca="1" si="27"/>
        <v>4450.5632119296779</v>
      </c>
      <c r="AI76" s="520">
        <f t="shared" ca="1" si="27"/>
        <v>4634.930795735163</v>
      </c>
      <c r="AJ76" s="520">
        <f t="shared" ca="1" si="27"/>
        <v>4775.8764830620639</v>
      </c>
      <c r="AK76" s="520">
        <f t="shared" ca="1" si="27"/>
        <v>4877.0668600194222</v>
      </c>
      <c r="AL76" s="520">
        <f t="shared" ca="1" si="27"/>
        <v>4937.3511664653097</v>
      </c>
      <c r="AM76" s="520">
        <f t="shared" ca="1" si="27"/>
        <v>4965.8437357935363</v>
      </c>
      <c r="AN76" s="520">
        <f t="shared" ca="1" si="27"/>
        <v>4963.3157934520441</v>
      </c>
      <c r="AO76" s="520">
        <f t="shared" ca="1" si="27"/>
        <v>5010.6075714627641</v>
      </c>
      <c r="AP76" s="520">
        <f t="shared" ca="1" si="27"/>
        <v>5041.1040694297762</v>
      </c>
      <c r="AQ76" s="520">
        <f t="shared" ca="1" si="27"/>
        <v>5056.8614170462097</v>
      </c>
      <c r="AR76" s="520">
        <f t="shared" ca="1" si="27"/>
        <v>5061.5854023550573</v>
      </c>
      <c r="AS76" s="520">
        <f t="shared" ca="1" si="27"/>
        <v>5057.3259707511124</v>
      </c>
      <c r="AT76" s="520">
        <f t="shared" ca="1" si="27"/>
        <v>5046.6595808353195</v>
      </c>
      <c r="AU76" s="520">
        <f t="shared" ca="1" si="27"/>
        <v>5030.7683101465673</v>
      </c>
      <c r="AV76" s="520">
        <f t="shared" ca="1" si="27"/>
        <v>5012.2234408563145</v>
      </c>
      <c r="AW76" s="520">
        <f t="shared" ca="1" si="27"/>
        <v>4990.7465292490679</v>
      </c>
      <c r="AX76" s="520">
        <f t="shared" ca="1" si="27"/>
        <v>4967.4958265901887</v>
      </c>
    </row>
    <row r="77" spans="3:50">
      <c r="C77" s="35"/>
      <c r="E77" t="s">
        <v>253</v>
      </c>
      <c r="G77" s="44" t="s">
        <v>1203</v>
      </c>
      <c r="I77" s="44"/>
      <c r="K77" s="44" t="s">
        <v>252</v>
      </c>
      <c r="M77" s="44"/>
      <c r="O77" s="520">
        <f ca="1">O$15*SUM(SUMIFS(O$96:O$257,$B$96:$B$257,$E$13,$K$96:$K$257,"thousand km",$G$96:$G$257,$G77,$E$96:$E$257,"Cars"),
SUMIFS(O$96:O$257,$B$96:$B$257,$E$13,$K$96:$K$257,"thousand km",$G$96:$G$257,$G77,$E$96:$E$257,"LGVs"),
SUMIFS(O$96:O$257,$B$96:$B$257,$E$13,$K$96:$K$257,"thousand km",$G$96:$G$257,$G77,$E$96:$E$257,"Taxis"),
SUMIFS(O$96:O$257,$B$96:$B$257,$E$13,$K$96:$K$257,"thousand km",$G$96:$G$257,$G77,$E$96:$E$257,"Motorcycles"))/1000</f>
        <v>0</v>
      </c>
      <c r="P77" s="520">
        <f t="shared" ca="1" si="27"/>
        <v>0</v>
      </c>
      <c r="Q77" s="520">
        <f t="shared" ca="1" si="27"/>
        <v>0</v>
      </c>
      <c r="R77" s="520">
        <f t="shared" ca="1" si="27"/>
        <v>0</v>
      </c>
      <c r="S77" s="520">
        <f t="shared" ca="1" si="27"/>
        <v>0</v>
      </c>
      <c r="T77" s="520">
        <f t="shared" ca="1" si="27"/>
        <v>0</v>
      </c>
      <c r="U77" s="520">
        <f t="shared" ca="1" si="27"/>
        <v>9.0108374194819013E-2</v>
      </c>
      <c r="V77" s="520">
        <f t="shared" ca="1" si="27"/>
        <v>0.20462591910290473</v>
      </c>
      <c r="W77" s="520">
        <f t="shared" ca="1" si="27"/>
        <v>0.68331193395136236</v>
      </c>
      <c r="X77" s="520">
        <f t="shared" ca="1" si="27"/>
        <v>1.3309015545882945</v>
      </c>
      <c r="Y77" s="520">
        <f t="shared" ca="1" si="27"/>
        <v>2.3030122886747364</v>
      </c>
      <c r="Z77" s="520">
        <f t="shared" ca="1" si="27"/>
        <v>3.5607453728641807</v>
      </c>
      <c r="AA77" s="520">
        <f t="shared" ca="1" si="27"/>
        <v>6.5979598912102011</v>
      </c>
      <c r="AB77" s="520">
        <f t="shared" ca="1" si="27"/>
        <v>9.6026076316532318</v>
      </c>
      <c r="AC77" s="520">
        <f t="shared" ca="1" si="27"/>
        <v>12.641728105619224</v>
      </c>
      <c r="AD77" s="520">
        <f t="shared" ca="1" si="27"/>
        <v>22.899012704199716</v>
      </c>
      <c r="AE77" s="520">
        <f t="shared" ca="1" si="27"/>
        <v>34.504689076674261</v>
      </c>
      <c r="AF77" s="520">
        <f t="shared" ca="1" si="27"/>
        <v>49.431837854702962</v>
      </c>
      <c r="AG77" s="520">
        <f t="shared" ca="1" si="27"/>
        <v>67.9183039815222</v>
      </c>
      <c r="AH77" s="520">
        <f t="shared" ca="1" si="27"/>
        <v>87.624450183877471</v>
      </c>
      <c r="AI77" s="520">
        <f t="shared" ca="1" si="27"/>
        <v>112.61152086611655</v>
      </c>
      <c r="AJ77" s="520">
        <f t="shared" ca="1" si="27"/>
        <v>140.54493391353165</v>
      </c>
      <c r="AK77" s="520">
        <f t="shared" ca="1" si="27"/>
        <v>171.03787040832415</v>
      </c>
      <c r="AL77" s="520">
        <f t="shared" ca="1" si="27"/>
        <v>203.48236704920924</v>
      </c>
      <c r="AM77" s="520">
        <f t="shared" ca="1" si="27"/>
        <v>237.94197398733701</v>
      </c>
      <c r="AN77" s="520">
        <f t="shared" ca="1" si="27"/>
        <v>274.27399815114507</v>
      </c>
      <c r="AO77" s="520">
        <f t="shared" ca="1" si="27"/>
        <v>311.9706859989704</v>
      </c>
      <c r="AP77" s="520">
        <f t="shared" ca="1" si="27"/>
        <v>349.24678379486022</v>
      </c>
      <c r="AQ77" s="520">
        <f t="shared" ca="1" si="27"/>
        <v>386.30336722561617</v>
      </c>
      <c r="AR77" s="520">
        <f t="shared" ca="1" si="27"/>
        <v>421.95360790598863</v>
      </c>
      <c r="AS77" s="520">
        <f t="shared" ca="1" si="27"/>
        <v>457.31023265407845</v>
      </c>
      <c r="AT77" s="520">
        <f t="shared" ca="1" si="27"/>
        <v>491.62856252624209</v>
      </c>
      <c r="AU77" s="520">
        <f t="shared" ca="1" si="27"/>
        <v>525.23438172136775</v>
      </c>
      <c r="AV77" s="520">
        <f t="shared" ca="1" si="27"/>
        <v>557.21766774257833</v>
      </c>
      <c r="AW77" s="520">
        <f t="shared" ca="1" si="27"/>
        <v>588.63246364006193</v>
      </c>
      <c r="AX77" s="520">
        <f t="shared" ca="1" si="27"/>
        <v>619.20971941476773</v>
      </c>
    </row>
    <row r="78" spans="3:50">
      <c r="C78" s="35"/>
      <c r="E78" t="s">
        <v>254</v>
      </c>
      <c r="G78" s="44" t="s">
        <v>212</v>
      </c>
      <c r="I78" s="44"/>
      <c r="K78" s="44" t="s">
        <v>252</v>
      </c>
      <c r="M78" s="44"/>
      <c r="O78" s="520">
        <f t="shared" ref="O78:AD79" ca="1" si="28">O$15*SUM(SUMIFS(O$96:O$257,$B$96:$B$257,$E$13,$K$96:$K$257,"thousand km",$G$96:$G$257,$G78,$E$96:$E$257,"Cars"),
SUMIFS(O$96:O$257,$B$96:$B$257,$E$13,$K$96:$K$257,"thousand km",$G$96:$G$257,$G78,$E$96:$E$257,"LGVs"),
SUMIFS(O$96:O$257,$B$96:$B$257,$E$13,$K$96:$K$257,"thousand km",$G$96:$G$257,$G78,$E$96:$E$257,"Taxis"),
SUMIFS(O$96:O$257,$B$96:$B$257,$E$13,$K$96:$K$257,"thousand km",$G$96:$G$257,$G78,$E$96:$E$257,"Motorcycles"))/1000</f>
        <v>3648.0498602697835</v>
      </c>
      <c r="P78" s="520">
        <f t="shared" ca="1" si="28"/>
        <v>3580.0733139973204</v>
      </c>
      <c r="Q78" s="520">
        <f t="shared" ca="1" si="28"/>
        <v>3509.9409533162807</v>
      </c>
      <c r="R78" s="520">
        <f t="shared" ca="1" si="28"/>
        <v>3500.0348783280756</v>
      </c>
      <c r="S78" s="520">
        <f t="shared" ca="1" si="28"/>
        <v>3551.2205744062207</v>
      </c>
      <c r="T78" s="520">
        <f t="shared" ca="1" si="28"/>
        <v>3527.6491536405151</v>
      </c>
      <c r="U78" s="520">
        <f t="shared" ca="1" si="28"/>
        <v>3447.5530225293678</v>
      </c>
      <c r="V78" s="520">
        <f t="shared" ca="1" si="28"/>
        <v>3343.8621317084248</v>
      </c>
      <c r="W78" s="520">
        <f t="shared" ca="1" si="28"/>
        <v>3202.7409543394238</v>
      </c>
      <c r="X78" s="520">
        <f t="shared" ca="1" si="28"/>
        <v>3063.1918152773746</v>
      </c>
      <c r="Y78" s="520">
        <f t="shared" ca="1" si="28"/>
        <v>2880.6552821357814</v>
      </c>
      <c r="Z78" s="520">
        <f t="shared" ca="1" si="28"/>
        <v>2685.4242092208801</v>
      </c>
      <c r="AA78" s="520">
        <f t="shared" ca="1" si="28"/>
        <v>2467.7285708906938</v>
      </c>
      <c r="AB78" s="520">
        <f t="shared" ca="1" si="28"/>
        <v>2247.1942454613604</v>
      </c>
      <c r="AC78" s="520">
        <f t="shared" ca="1" si="28"/>
        <v>2021.2770683609376</v>
      </c>
      <c r="AD78" s="520">
        <f t="shared" ca="1" si="28"/>
        <v>1788.514820107833</v>
      </c>
      <c r="AE78" s="520">
        <f t="shared" ca="1" si="27"/>
        <v>1558.3817901576022</v>
      </c>
      <c r="AF78" s="520">
        <f t="shared" ca="1" si="27"/>
        <v>1349.6124340539725</v>
      </c>
      <c r="AG78" s="520">
        <f t="shared" ca="1" si="27"/>
        <v>1152.0747843030301</v>
      </c>
      <c r="AH78" s="520">
        <f t="shared" ca="1" si="27"/>
        <v>975.46928131922209</v>
      </c>
      <c r="AI78" s="520">
        <f t="shared" ca="1" si="27"/>
        <v>806.3671784277775</v>
      </c>
      <c r="AJ78" s="520">
        <f t="shared" ca="1" si="27"/>
        <v>658.70299394704296</v>
      </c>
      <c r="AK78" s="520">
        <f t="shared" ca="1" si="27"/>
        <v>531.06458729983603</v>
      </c>
      <c r="AL78" s="520">
        <f t="shared" ca="1" si="27"/>
        <v>426.08021679942277</v>
      </c>
      <c r="AM78" s="520">
        <f t="shared" ca="1" si="27"/>
        <v>337.0948869969875</v>
      </c>
      <c r="AN78" s="520">
        <f t="shared" ca="1" si="27"/>
        <v>264.84896985133025</v>
      </c>
      <c r="AO78" s="520">
        <f t="shared" ca="1" si="27"/>
        <v>211.95900252493146</v>
      </c>
      <c r="AP78" s="520">
        <f t="shared" ca="1" si="27"/>
        <v>167.94045430491957</v>
      </c>
      <c r="AQ78" s="520">
        <f t="shared" ca="1" si="27"/>
        <v>131.80889783045271</v>
      </c>
      <c r="AR78" s="520">
        <f t="shared" ca="1" si="27"/>
        <v>102.65769063199424</v>
      </c>
      <c r="AS78" s="520">
        <f t="shared" ca="1" si="27"/>
        <v>78.479652890099004</v>
      </c>
      <c r="AT78" s="520">
        <f t="shared" ca="1" si="27"/>
        <v>58.843600167319565</v>
      </c>
      <c r="AU78" s="520">
        <f t="shared" ca="1" si="27"/>
        <v>42.961602700731994</v>
      </c>
      <c r="AV78" s="520">
        <f t="shared" ca="1" si="27"/>
        <v>29.881578859110352</v>
      </c>
      <c r="AW78" s="520">
        <f t="shared" ca="1" si="27"/>
        <v>19.40952816043475</v>
      </c>
      <c r="AX78" s="520">
        <f t="shared" ca="1" si="27"/>
        <v>10.883221901220139</v>
      </c>
    </row>
    <row r="79" spans="3:50">
      <c r="C79" s="35"/>
      <c r="E79" t="s">
        <v>255</v>
      </c>
      <c r="G79" s="44" t="s">
        <v>213</v>
      </c>
      <c r="I79" s="44"/>
      <c r="K79" s="44" t="s">
        <v>252</v>
      </c>
      <c r="M79" s="44"/>
      <c r="O79" s="520">
        <f t="shared" ca="1" si="28"/>
        <v>3662.5203548250729</v>
      </c>
      <c r="P79" s="520">
        <f t="shared" ca="1" si="27"/>
        <v>3763.2810063631214</v>
      </c>
      <c r="Q79" s="520">
        <f t="shared" ca="1" si="27"/>
        <v>3793.0874571565405</v>
      </c>
      <c r="R79" s="520">
        <f t="shared" ca="1" si="27"/>
        <v>3748.649686274252</v>
      </c>
      <c r="S79" s="520">
        <f t="shared" ca="1" si="27"/>
        <v>3610.3609754888193</v>
      </c>
      <c r="T79" s="520">
        <f t="shared" ca="1" si="27"/>
        <v>3396.9372157710304</v>
      </c>
      <c r="U79" s="520">
        <f t="shared" ca="1" si="27"/>
        <v>3336.7055585586841</v>
      </c>
      <c r="V79" s="520">
        <f t="shared" ca="1" si="27"/>
        <v>3186.5241597185263</v>
      </c>
      <c r="W79" s="520">
        <f t="shared" ca="1" si="27"/>
        <v>3008.1922764101569</v>
      </c>
      <c r="X79" s="520">
        <f t="shared" ca="1" si="27"/>
        <v>2824.5295417679367</v>
      </c>
      <c r="Y79" s="520">
        <f t="shared" ca="1" si="27"/>
        <v>2615.3907017234778</v>
      </c>
      <c r="Z79" s="520">
        <f t="shared" ca="1" si="27"/>
        <v>2397.464937030697</v>
      </c>
      <c r="AA79" s="520">
        <f t="shared" ca="1" si="27"/>
        <v>2139.1638410029859</v>
      </c>
      <c r="AB79" s="520">
        <f t="shared" ca="1" si="27"/>
        <v>1884.9456777968962</v>
      </c>
      <c r="AC79" s="520">
        <f t="shared" ca="1" si="27"/>
        <v>1638.2545210235262</v>
      </c>
      <c r="AD79" s="520">
        <f t="shared" ca="1" si="27"/>
        <v>1382.2428015397106</v>
      </c>
      <c r="AE79" s="520">
        <f t="shared" ca="1" si="27"/>
        <v>1155.5289416098913</v>
      </c>
      <c r="AF79" s="520">
        <f t="shared" ca="1" si="27"/>
        <v>954.3310053252502</v>
      </c>
      <c r="AG79" s="520">
        <f t="shared" ca="1" si="27"/>
        <v>775.92497337491091</v>
      </c>
      <c r="AH79" s="520">
        <f t="shared" ca="1" si="27"/>
        <v>629.82000873248774</v>
      </c>
      <c r="AI79" s="520">
        <f t="shared" ca="1" si="27"/>
        <v>504.61901023305637</v>
      </c>
      <c r="AJ79" s="520">
        <f t="shared" ca="1" si="27"/>
        <v>398.4556474363232</v>
      </c>
      <c r="AK79" s="520">
        <f t="shared" ca="1" si="27"/>
        <v>309.46229372822893</v>
      </c>
      <c r="AL79" s="520">
        <f t="shared" ca="1" si="27"/>
        <v>236.76941423871583</v>
      </c>
      <c r="AM79" s="520">
        <f t="shared" ca="1" si="27"/>
        <v>177.85412087164491</v>
      </c>
      <c r="AN79" s="520">
        <f t="shared" ca="1" si="27"/>
        <v>131.34750929183494</v>
      </c>
      <c r="AO79" s="520">
        <f t="shared" ca="1" si="27"/>
        <v>95.802390577152423</v>
      </c>
      <c r="AP79" s="520">
        <f t="shared" ca="1" si="27"/>
        <v>68.601722851724503</v>
      </c>
      <c r="AQ79" s="520">
        <f t="shared" ca="1" si="27"/>
        <v>48.47272809646455</v>
      </c>
      <c r="AR79" s="520">
        <f t="shared" ca="1" si="27"/>
        <v>33.803089123166771</v>
      </c>
      <c r="AS79" s="520">
        <f t="shared" ca="1" si="27"/>
        <v>23.437313538378433</v>
      </c>
      <c r="AT79" s="520">
        <f t="shared" ca="1" si="27"/>
        <v>15.974806122251627</v>
      </c>
      <c r="AU79" s="520">
        <f t="shared" ca="1" si="27"/>
        <v>10.695634899927109</v>
      </c>
      <c r="AV79" s="520">
        <f t="shared" ca="1" si="27"/>
        <v>6.890621828053721</v>
      </c>
      <c r="AW79" s="520">
        <f t="shared" ca="1" si="27"/>
        <v>3.9781680539554176</v>
      </c>
      <c r="AX79" s="520">
        <f t="shared" ca="1" si="27"/>
        <v>1.7313010148072796</v>
      </c>
    </row>
    <row r="80" spans="3:50">
      <c r="C80" s="35"/>
      <c r="E80" t="s">
        <v>256</v>
      </c>
      <c r="G80" s="44" t="s">
        <v>1203</v>
      </c>
      <c r="I80" s="44"/>
      <c r="K80" s="44" t="s">
        <v>252</v>
      </c>
      <c r="M80" s="44"/>
      <c r="O80" s="520">
        <f ca="1">O$15*SUMIFS(O$96:O$257,$B$96:$B$257,$E$13,$K$96:$K$257,"thousand km",$G$96:$G$257,$G80,$E$96:$E$257,"HGVs")/1000</f>
        <v>0</v>
      </c>
      <c r="P80" s="520">
        <f t="shared" ref="P80:AX82" ca="1" si="29">P$15*SUMIFS(P$96:P$257,$B$96:$B$257,$E$13,$K$96:$K$257,"thousand km",$G$96:$G$257,$G80,$E$96:$E$257,"HGVs")/1000</f>
        <v>0</v>
      </c>
      <c r="Q80" s="520">
        <f t="shared" ca="1" si="29"/>
        <v>0</v>
      </c>
      <c r="R80" s="520">
        <f t="shared" ca="1" si="29"/>
        <v>0</v>
      </c>
      <c r="S80" s="520">
        <f t="shared" ca="1" si="29"/>
        <v>0</v>
      </c>
      <c r="T80" s="520">
        <f t="shared" ca="1" si="29"/>
        <v>0</v>
      </c>
      <c r="U80" s="520">
        <f t="shared" ca="1" si="29"/>
        <v>0</v>
      </c>
      <c r="V80" s="520">
        <f t="shared" ca="1" si="29"/>
        <v>0</v>
      </c>
      <c r="W80" s="520">
        <f t="shared" ca="1" si="29"/>
        <v>0</v>
      </c>
      <c r="X80" s="520">
        <f t="shared" ca="1" si="29"/>
        <v>0</v>
      </c>
      <c r="Y80" s="520">
        <f t="shared" ca="1" si="29"/>
        <v>0</v>
      </c>
      <c r="Z80" s="520">
        <f t="shared" ca="1" si="29"/>
        <v>1.063737153327859</v>
      </c>
      <c r="AA80" s="520">
        <f t="shared" ca="1" si="29"/>
        <v>2.1314071167792341</v>
      </c>
      <c r="AB80" s="520">
        <f t="shared" ca="1" si="29"/>
        <v>3.2087165737292498</v>
      </c>
      <c r="AC80" s="520">
        <f t="shared" ca="1" si="29"/>
        <v>4.2861210334478637</v>
      </c>
      <c r="AD80" s="520">
        <f t="shared" ca="1" si="29"/>
        <v>5.3769467648462381</v>
      </c>
      <c r="AE80" s="520">
        <f t="shared" ca="1" si="29"/>
        <v>9.1092960272889041</v>
      </c>
      <c r="AF80" s="520">
        <f t="shared" ca="1" si="29"/>
        <v>12.844059971440538</v>
      </c>
      <c r="AG80" s="520">
        <f t="shared" ca="1" si="29"/>
        <v>16.581238597301141</v>
      </c>
      <c r="AH80" s="520">
        <f t="shared" ca="1" si="29"/>
        <v>20.320831904870705</v>
      </c>
      <c r="AI80" s="520">
        <f t="shared" ca="1" si="29"/>
        <v>24.1199900703635</v>
      </c>
      <c r="AJ80" s="520">
        <f t="shared" ca="1" si="29"/>
        <v>28.665467711287498</v>
      </c>
      <c r="AK80" s="520">
        <f t="shared" ca="1" si="29"/>
        <v>33.213360033920466</v>
      </c>
      <c r="AL80" s="520">
        <f t="shared" ca="1" si="29"/>
        <v>37.763667038262398</v>
      </c>
      <c r="AM80" s="520">
        <f t="shared" ca="1" si="29"/>
        <v>42.316388724313292</v>
      </c>
      <c r="AN80" s="520">
        <f t="shared" ca="1" si="29"/>
        <v>46.990587959186186</v>
      </c>
      <c r="AO80" s="520">
        <f t="shared" ca="1" si="29"/>
        <v>48.845266380297311</v>
      </c>
      <c r="AP80" s="520">
        <f t="shared" ca="1" si="29"/>
        <v>50.699944801408435</v>
      </c>
      <c r="AQ80" s="520">
        <f t="shared" ca="1" si="29"/>
        <v>52.554623222519567</v>
      </c>
      <c r="AR80" s="520">
        <f t="shared" ca="1" si="29"/>
        <v>54.409301643630684</v>
      </c>
      <c r="AS80" s="520">
        <f t="shared" ca="1" si="29"/>
        <v>56.263980064741801</v>
      </c>
      <c r="AT80" s="520">
        <f t="shared" ca="1" si="29"/>
        <v>55.973973301611196</v>
      </c>
      <c r="AU80" s="520">
        <f t="shared" ca="1" si="29"/>
        <v>55.683877922008939</v>
      </c>
      <c r="AV80" s="520">
        <f t="shared" ca="1" si="29"/>
        <v>55.393693925935068</v>
      </c>
      <c r="AW80" s="520">
        <f t="shared" ca="1" si="29"/>
        <v>55.103421313389561</v>
      </c>
      <c r="AX80" s="520">
        <f t="shared" ca="1" si="29"/>
        <v>54.813060084372431</v>
      </c>
    </row>
    <row r="81" spans="1:52">
      <c r="C81" s="35"/>
      <c r="E81" t="s">
        <v>257</v>
      </c>
      <c r="G81" s="44" t="s">
        <v>213</v>
      </c>
      <c r="I81" s="44"/>
      <c r="K81" s="44" t="s">
        <v>252</v>
      </c>
      <c r="M81" s="44"/>
      <c r="O81" s="520">
        <f t="shared" ref="O81:AD82" ca="1" si="30">O$15*SUMIFS(O$96:O$257,$B$96:$B$257,$E$13,$K$96:$K$257,"thousand km",$G$96:$G$257,$G81,$E$96:$E$257,"HGVs")/1000</f>
        <v>395.47956789801282</v>
      </c>
      <c r="P81" s="520">
        <f t="shared" ca="1" si="30"/>
        <v>398.02511583206137</v>
      </c>
      <c r="Q81" s="520">
        <f t="shared" ca="1" si="30"/>
        <v>396.80404991922705</v>
      </c>
      <c r="R81" s="520">
        <f t="shared" ca="1" si="30"/>
        <v>395.33021951653359</v>
      </c>
      <c r="S81" s="520">
        <f t="shared" ca="1" si="30"/>
        <v>393.81888529847419</v>
      </c>
      <c r="T81" s="520">
        <f t="shared" ca="1" si="30"/>
        <v>392.26903646626772</v>
      </c>
      <c r="U81" s="520">
        <f t="shared" ca="1" si="30"/>
        <v>394.03124674523542</v>
      </c>
      <c r="V81" s="520">
        <f t="shared" ca="1" si="30"/>
        <v>395.32549729500107</v>
      </c>
      <c r="W81" s="520">
        <f t="shared" ca="1" si="30"/>
        <v>397.10300110672546</v>
      </c>
      <c r="X81" s="520">
        <f t="shared" ca="1" si="30"/>
        <v>398.41213393879764</v>
      </c>
      <c r="Y81" s="520">
        <f t="shared" ca="1" si="30"/>
        <v>399.72879323694036</v>
      </c>
      <c r="Z81" s="520">
        <f t="shared" ca="1" si="30"/>
        <v>396.16976196217388</v>
      </c>
      <c r="AA81" s="520">
        <f t="shared" ca="1" si="30"/>
        <v>392.11239704634903</v>
      </c>
      <c r="AB81" s="520">
        <f t="shared" ca="1" si="30"/>
        <v>388.48445242087138</v>
      </c>
      <c r="AC81" s="520">
        <f t="shared" ca="1" si="30"/>
        <v>384.37567538322605</v>
      </c>
      <c r="AD81" s="520">
        <f t="shared" ca="1" si="30"/>
        <v>380.67899142053056</v>
      </c>
      <c r="AE81" s="520">
        <f t="shared" ca="1" si="29"/>
        <v>357.19616923453088</v>
      </c>
      <c r="AF81" s="520">
        <f t="shared" ca="1" si="29"/>
        <v>333.68195618631472</v>
      </c>
      <c r="AG81" s="520">
        <f t="shared" ca="1" si="29"/>
        <v>310.1363522758819</v>
      </c>
      <c r="AH81" s="520">
        <f t="shared" ca="1" si="29"/>
        <v>286.5593575032326</v>
      </c>
      <c r="AI81" s="520">
        <f t="shared" ca="1" si="29"/>
        <v>263.21291017601544</v>
      </c>
      <c r="AJ81" s="520">
        <f t="shared" ca="1" si="29"/>
        <v>233.76824584338317</v>
      </c>
      <c r="AK81" s="520">
        <f t="shared" ca="1" si="29"/>
        <v>204.28132458084391</v>
      </c>
      <c r="AL81" s="520">
        <f t="shared" ca="1" si="29"/>
        <v>174.75214638839779</v>
      </c>
      <c r="AM81" s="520">
        <f t="shared" ca="1" si="29"/>
        <v>145.18071126604465</v>
      </c>
      <c r="AN81" s="520">
        <f t="shared" ca="1" si="29"/>
        <v>115.64321944873699</v>
      </c>
      <c r="AO81" s="520">
        <f t="shared" ca="1" si="29"/>
        <v>98.607080555042572</v>
      </c>
      <c r="AP81" s="520">
        <f t="shared" ca="1" si="29"/>
        <v>81.568814866028973</v>
      </c>
      <c r="AQ81" s="520">
        <f t="shared" ca="1" si="29"/>
        <v>64.528422381696231</v>
      </c>
      <c r="AR81" s="520">
        <f t="shared" ca="1" si="29"/>
        <v>47.485903102044304</v>
      </c>
      <c r="AS81" s="520">
        <f t="shared" ca="1" si="29"/>
        <v>30.441257027073174</v>
      </c>
      <c r="AT81" s="520">
        <f t="shared" ca="1" si="29"/>
        <v>24.910688236576583</v>
      </c>
      <c r="AU81" s="520">
        <f t="shared" ca="1" si="29"/>
        <v>19.379321897835307</v>
      </c>
      <c r="AV81" s="520">
        <f t="shared" ca="1" si="29"/>
        <v>13.847158010849334</v>
      </c>
      <c r="AW81" s="520">
        <f t="shared" ca="1" si="29"/>
        <v>8.3141965756186771</v>
      </c>
      <c r="AX81" s="520">
        <f t="shared" ca="1" si="29"/>
        <v>2.7804375921433313</v>
      </c>
    </row>
    <row r="82" spans="1:52">
      <c r="C82" s="35"/>
      <c r="E82" t="s">
        <v>258</v>
      </c>
      <c r="G82" s="44" t="s">
        <v>1200</v>
      </c>
      <c r="I82" s="44"/>
      <c r="K82" s="44" t="s">
        <v>252</v>
      </c>
      <c r="M82" s="44"/>
      <c r="O82" s="520">
        <f t="shared" ca="1" si="30"/>
        <v>0</v>
      </c>
      <c r="P82" s="520">
        <f t="shared" ca="1" si="29"/>
        <v>0</v>
      </c>
      <c r="Q82" s="520">
        <f t="shared" ca="1" si="29"/>
        <v>0</v>
      </c>
      <c r="R82" s="520">
        <f t="shared" ca="1" si="29"/>
        <v>0</v>
      </c>
      <c r="S82" s="520">
        <f t="shared" ca="1" si="29"/>
        <v>0</v>
      </c>
      <c r="T82" s="520">
        <f t="shared" ca="1" si="29"/>
        <v>0</v>
      </c>
      <c r="U82" s="520">
        <f t="shared" ca="1" si="29"/>
        <v>0</v>
      </c>
      <c r="V82" s="520">
        <f t="shared" ca="1" si="29"/>
        <v>0</v>
      </c>
      <c r="W82" s="520">
        <f t="shared" ca="1" si="29"/>
        <v>0</v>
      </c>
      <c r="X82" s="520">
        <f t="shared" ca="1" si="29"/>
        <v>0</v>
      </c>
      <c r="Y82" s="520">
        <f t="shared" ca="1" si="29"/>
        <v>0</v>
      </c>
      <c r="Z82" s="520">
        <f t="shared" ca="1" si="29"/>
        <v>4.5348372960874928</v>
      </c>
      <c r="AA82" s="520">
        <f t="shared" ca="1" si="29"/>
        <v>9.0897783963713099</v>
      </c>
      <c r="AB82" s="520">
        <f t="shared" ca="1" si="29"/>
        <v>13.684784995430523</v>
      </c>
      <c r="AC82" s="520">
        <f t="shared" ca="1" si="29"/>
        <v>18.286439474565508</v>
      </c>
      <c r="AD82" s="520">
        <f t="shared" ca="1" si="29"/>
        <v>22.941371665447491</v>
      </c>
      <c r="AE82" s="520">
        <f t="shared" ca="1" si="29"/>
        <v>42.446486752536188</v>
      </c>
      <c r="AF82" s="520">
        <f t="shared" ca="1" si="29"/>
        <v>61.97937067927802</v>
      </c>
      <c r="AG82" s="520">
        <f t="shared" ca="1" si="29"/>
        <v>81.540023445672958</v>
      </c>
      <c r="AH82" s="520">
        <f t="shared" ca="1" si="29"/>
        <v>101.12844505172103</v>
      </c>
      <c r="AI82" s="520">
        <f t="shared" ca="1" si="29"/>
        <v>120.90179848201142</v>
      </c>
      <c r="AJ82" s="520">
        <f t="shared" ca="1" si="29"/>
        <v>146.10282038734059</v>
      </c>
      <c r="AK82" s="520">
        <f t="shared" ca="1" si="29"/>
        <v>171.34368454086777</v>
      </c>
      <c r="AL82" s="520">
        <f t="shared" ca="1" si="29"/>
        <v>196.6243909425929</v>
      </c>
      <c r="AM82" s="520">
        <f t="shared" ca="1" si="29"/>
        <v>221.94493959251594</v>
      </c>
      <c r="AN82" s="520">
        <f t="shared" ca="1" si="29"/>
        <v>247.58631885702368</v>
      </c>
      <c r="AO82" s="520">
        <f t="shared" ca="1" si="29"/>
        <v>262.78993344751507</v>
      </c>
      <c r="AP82" s="520">
        <f t="shared" ca="1" si="29"/>
        <v>277.99567483332555</v>
      </c>
      <c r="AQ82" s="520">
        <f t="shared" ca="1" si="29"/>
        <v>293.20354301445531</v>
      </c>
      <c r="AR82" s="520">
        <f t="shared" ca="1" si="29"/>
        <v>308.41353799090416</v>
      </c>
      <c r="AS82" s="520">
        <f t="shared" ca="1" si="29"/>
        <v>323.62565976267217</v>
      </c>
      <c r="AT82" s="520">
        <f t="shared" ca="1" si="29"/>
        <v>329.46838943420732</v>
      </c>
      <c r="AU82" s="520">
        <f t="shared" ca="1" si="29"/>
        <v>335.31200527045894</v>
      </c>
      <c r="AV82" s="520">
        <f t="shared" ca="1" si="29"/>
        <v>341.15650727142679</v>
      </c>
      <c r="AW82" s="520">
        <f t="shared" ca="1" si="29"/>
        <v>347.00189543711105</v>
      </c>
      <c r="AX82" s="520">
        <f t="shared" ca="1" si="29"/>
        <v>352.84816976751154</v>
      </c>
    </row>
    <row r="83" spans="1:52">
      <c r="C83" s="35"/>
      <c r="E83" t="s">
        <v>259</v>
      </c>
      <c r="G83" s="44" t="s">
        <v>1203</v>
      </c>
      <c r="I83" s="44"/>
      <c r="K83" s="44" t="s">
        <v>252</v>
      </c>
      <c r="M83" s="44"/>
      <c r="O83" s="520">
        <f ca="1">O$15*SUMIFS(O$96:O$257,$B$96:$B$257,$E$13,$K$96:$K$257,"thousand km",$G$96:$G$257,$G83,$E$96:$E$257,"Buses")/1000</f>
        <v>0</v>
      </c>
      <c r="P83" s="520">
        <f t="shared" ref="P83:AX85" ca="1" si="31">P$15*SUMIFS(P$96:P$257,$B$96:$B$257,$E$13,$K$96:$K$257,"thousand km",$G$96:$G$257,$G83,$E$96:$E$257,"Buses")/1000</f>
        <v>0</v>
      </c>
      <c r="Q83" s="520">
        <f t="shared" ca="1" si="31"/>
        <v>0</v>
      </c>
      <c r="R83" s="520">
        <f t="shared" ca="1" si="31"/>
        <v>0</v>
      </c>
      <c r="S83" s="520">
        <f t="shared" ca="1" si="31"/>
        <v>0</v>
      </c>
      <c r="T83" s="520">
        <f t="shared" ca="1" si="31"/>
        <v>0</v>
      </c>
      <c r="U83" s="520">
        <f t="shared" ca="1" si="31"/>
        <v>0.30448440345502226</v>
      </c>
      <c r="V83" s="520">
        <f t="shared" ca="1" si="31"/>
        <v>0.30473591194506272</v>
      </c>
      <c r="W83" s="520">
        <f t="shared" ca="1" si="31"/>
        <v>0.30499168609484339</v>
      </c>
      <c r="X83" s="520">
        <f t="shared" ca="1" si="31"/>
        <v>0.30525183535281453</v>
      </c>
      <c r="Y83" s="520">
        <f t="shared" ca="1" si="31"/>
        <v>0.30551647294403628</v>
      </c>
      <c r="Z83" s="520">
        <f t="shared" ca="1" si="31"/>
        <v>1.6331234266385004</v>
      </c>
      <c r="AA83" s="520">
        <f t="shared" ca="1" si="31"/>
        <v>2.6565018037022394</v>
      </c>
      <c r="AB83" s="520">
        <f t="shared" ca="1" si="31"/>
        <v>3.9864184448358353</v>
      </c>
      <c r="AC83" s="520">
        <f t="shared" ca="1" si="31"/>
        <v>5.3174303449444791</v>
      </c>
      <c r="AD83" s="520">
        <f t="shared" ca="1" si="31"/>
        <v>6.6495258285633616</v>
      </c>
      <c r="AE83" s="520">
        <f t="shared" ca="1" si="31"/>
        <v>8.5582384594777619</v>
      </c>
      <c r="AF83" s="520">
        <f t="shared" ca="1" si="31"/>
        <v>10.470883583044483</v>
      </c>
      <c r="AG83" s="520">
        <f t="shared" ca="1" si="31"/>
        <v>12.387461199263521</v>
      </c>
      <c r="AH83" s="520">
        <f t="shared" ca="1" si="31"/>
        <v>14.307971308134885</v>
      </c>
      <c r="AI83" s="520">
        <f t="shared" ca="1" si="31"/>
        <v>16.232413909658572</v>
      </c>
      <c r="AJ83" s="520">
        <f t="shared" ca="1" si="31"/>
        <v>17.778456603753849</v>
      </c>
      <c r="AK83" s="520">
        <f t="shared" ca="1" si="31"/>
        <v>19.327645291970985</v>
      </c>
      <c r="AL83" s="520">
        <f t="shared" ca="1" si="31"/>
        <v>20.879979974309975</v>
      </c>
      <c r="AM83" s="520">
        <f t="shared" ca="1" si="31"/>
        <v>22.435460650770825</v>
      </c>
      <c r="AN83" s="520">
        <f t="shared" ca="1" si="31"/>
        <v>23.99408732135354</v>
      </c>
      <c r="AO83" s="520">
        <f t="shared" ca="1" si="31"/>
        <v>24.76457728782427</v>
      </c>
      <c r="AP83" s="520">
        <f t="shared" ca="1" si="31"/>
        <v>25.535233404508176</v>
      </c>
      <c r="AQ83" s="520">
        <f t="shared" ca="1" si="31"/>
        <v>26.306055671405254</v>
      </c>
      <c r="AR83" s="520">
        <f t="shared" ca="1" si="31"/>
        <v>27.077044088515507</v>
      </c>
      <c r="AS83" s="520">
        <f t="shared" ca="1" si="31"/>
        <v>27.848198655838925</v>
      </c>
      <c r="AT83" s="520">
        <f t="shared" ca="1" si="31"/>
        <v>27.659132817221977</v>
      </c>
      <c r="AU83" s="520">
        <f t="shared" ca="1" si="31"/>
        <v>27.470025441051746</v>
      </c>
      <c r="AV83" s="520">
        <f t="shared" ca="1" si="31"/>
        <v>27.280876527328211</v>
      </c>
      <c r="AW83" s="520">
        <f t="shared" ca="1" si="31"/>
        <v>27.091686076051385</v>
      </c>
      <c r="AX83" s="520">
        <f t="shared" ca="1" si="31"/>
        <v>26.902454087221273</v>
      </c>
    </row>
    <row r="84" spans="1:52">
      <c r="C84" s="35"/>
      <c r="E84" t="s">
        <v>260</v>
      </c>
      <c r="G84" s="44" t="s">
        <v>213</v>
      </c>
      <c r="I84" s="44"/>
      <c r="K84" s="44" t="s">
        <v>252</v>
      </c>
      <c r="M84" s="44"/>
      <c r="O84" s="520">
        <f t="shared" ref="O84:AD85" ca="1" si="32">O$15*SUMIFS(O$96:O$257,$B$96:$B$257,$E$13,$K$96:$K$257,"thousand km",$G$96:$G$257,$G84,$E$96:$E$257,"Buses")/1000</f>
        <v>229.96252713769371</v>
      </c>
      <c r="P84" s="520">
        <f t="shared" ca="1" si="32"/>
        <v>231.44270635143985</v>
      </c>
      <c r="Q84" s="520">
        <f t="shared" ca="1" si="32"/>
        <v>230.73268382205984</v>
      </c>
      <c r="R84" s="520">
        <f t="shared" ca="1" si="32"/>
        <v>229.87568439279178</v>
      </c>
      <c r="S84" s="520">
        <f t="shared" ca="1" si="32"/>
        <v>228.9968773333479</v>
      </c>
      <c r="T84" s="520">
        <f t="shared" ca="1" si="32"/>
        <v>222.92581401861105</v>
      </c>
      <c r="U84" s="520">
        <f t="shared" ca="1" si="32"/>
        <v>219.89489176462078</v>
      </c>
      <c r="V84" s="520">
        <f t="shared" ca="1" si="32"/>
        <v>207.95421338874547</v>
      </c>
      <c r="W84" s="520">
        <f t="shared" ca="1" si="32"/>
        <v>193.2536724666989</v>
      </c>
      <c r="X84" s="520">
        <f t="shared" ca="1" si="32"/>
        <v>178.52959899645094</v>
      </c>
      <c r="Y84" s="520">
        <f t="shared" ca="1" si="32"/>
        <v>163.78141055700067</v>
      </c>
      <c r="Z84" s="520">
        <f t="shared" ca="1" si="32"/>
        <v>145.77353713010535</v>
      </c>
      <c r="AA84" s="520">
        <f t="shared" ca="1" si="32"/>
        <v>128.07563692730005</v>
      </c>
      <c r="AB84" s="520">
        <f t="shared" ca="1" si="32"/>
        <v>110.07706217210028</v>
      </c>
      <c r="AC84" s="520">
        <f t="shared" ca="1" si="32"/>
        <v>92.083377009389807</v>
      </c>
      <c r="AD84" s="520">
        <f t="shared" ca="1" si="32"/>
        <v>74.094716375420305</v>
      </c>
      <c r="AE84" s="520">
        <f t="shared" ca="1" si="31"/>
        <v>68.465907675822066</v>
      </c>
      <c r="AF84" s="520">
        <f t="shared" ca="1" si="31"/>
        <v>62.825301498266874</v>
      </c>
      <c r="AG84" s="520">
        <f t="shared" ca="1" si="31"/>
        <v>57.172897842754708</v>
      </c>
      <c r="AH84" s="520">
        <f t="shared" ca="1" si="31"/>
        <v>51.508696709285566</v>
      </c>
      <c r="AI84" s="520">
        <f t="shared" ca="1" si="31"/>
        <v>45.832698097859492</v>
      </c>
      <c r="AJ84" s="520">
        <f t="shared" ca="1" si="31"/>
        <v>40.718400608597527</v>
      </c>
      <c r="AK84" s="520">
        <f t="shared" ca="1" si="31"/>
        <v>35.59348538917429</v>
      </c>
      <c r="AL84" s="520">
        <f t="shared" ca="1" si="31"/>
        <v>30.457952439589789</v>
      </c>
      <c r="AM84" s="520">
        <f t="shared" ca="1" si="31"/>
        <v>25.311801759844013</v>
      </c>
      <c r="AN84" s="520">
        <f t="shared" ca="1" si="31"/>
        <v>20.155033349936975</v>
      </c>
      <c r="AO84" s="520">
        <f t="shared" ca="1" si="31"/>
        <v>17.277612061272745</v>
      </c>
      <c r="AP84" s="520">
        <f t="shared" ca="1" si="31"/>
        <v>14.399567709309121</v>
      </c>
      <c r="AQ84" s="520">
        <f t="shared" ca="1" si="31"/>
        <v>11.520900294046093</v>
      </c>
      <c r="AR84" s="520">
        <f t="shared" ca="1" si="31"/>
        <v>8.6416098154836707</v>
      </c>
      <c r="AS84" s="520">
        <f t="shared" ca="1" si="31"/>
        <v>5.7616962736218476</v>
      </c>
      <c r="AT84" s="520">
        <f t="shared" ca="1" si="31"/>
        <v>4.8019327807677055</v>
      </c>
      <c r="AU84" s="520">
        <f t="shared" ca="1" si="31"/>
        <v>3.8419616001470982</v>
      </c>
      <c r="AV84" s="520">
        <f t="shared" ca="1" si="31"/>
        <v>2.8817827317600235</v>
      </c>
      <c r="AW84" s="520">
        <f t="shared" ca="1" si="31"/>
        <v>1.9213961756064823</v>
      </c>
      <c r="AX84" s="520">
        <f t="shared" ca="1" si="31"/>
        <v>0.96080193168647399</v>
      </c>
    </row>
    <row r="85" spans="1:52">
      <c r="C85" s="35"/>
      <c r="E85" t="s">
        <v>261</v>
      </c>
      <c r="G85" s="44" t="s">
        <v>1200</v>
      </c>
      <c r="I85" s="44"/>
      <c r="K85" s="44" t="s">
        <v>252</v>
      </c>
      <c r="M85" s="44"/>
      <c r="O85" s="520">
        <f t="shared" ca="1" si="32"/>
        <v>2.7561701530568303</v>
      </c>
      <c r="P85" s="520">
        <f t="shared" ca="1" si="31"/>
        <v>2.7739105467674081</v>
      </c>
      <c r="Q85" s="520">
        <f t="shared" ca="1" si="31"/>
        <v>2.7654007128921547</v>
      </c>
      <c r="R85" s="520">
        <f t="shared" ca="1" si="31"/>
        <v>2.75512931660192</v>
      </c>
      <c r="S85" s="520">
        <f t="shared" ca="1" si="31"/>
        <v>2.7445965492955113</v>
      </c>
      <c r="T85" s="520">
        <f t="shared" ca="1" si="31"/>
        <v>5.1698608682238065</v>
      </c>
      <c r="U85" s="520">
        <f t="shared" ca="1" si="31"/>
        <v>8.1766798913578818</v>
      </c>
      <c r="V85" s="520">
        <f t="shared" ca="1" si="31"/>
        <v>23.139917225397582</v>
      </c>
      <c r="W85" s="520">
        <f t="shared" ca="1" si="31"/>
        <v>38.129517111155813</v>
      </c>
      <c r="X85" s="520">
        <f t="shared" ca="1" si="31"/>
        <v>53.146129600705585</v>
      </c>
      <c r="Y85" s="520">
        <f t="shared" ca="1" si="31"/>
        <v>68.190427176707274</v>
      </c>
      <c r="Z85" s="520">
        <f t="shared" ca="1" si="31"/>
        <v>84.682993348888658</v>
      </c>
      <c r="AA85" s="520">
        <f t="shared" ca="1" si="31"/>
        <v>101.16905979596137</v>
      </c>
      <c r="AB85" s="520">
        <f t="shared" ca="1" si="31"/>
        <v>117.64850131469377</v>
      </c>
      <c r="AC85" s="520">
        <f t="shared" ca="1" si="31"/>
        <v>134.12119051926413</v>
      </c>
      <c r="AD85" s="520">
        <f t="shared" ca="1" si="31"/>
        <v>150.58699779349263</v>
      </c>
      <c r="AE85" s="520">
        <f t="shared" ca="1" si="31"/>
        <v>154.40442305554166</v>
      </c>
      <c r="AF85" s="520">
        <f t="shared" ca="1" si="31"/>
        <v>158.22971330289525</v>
      </c>
      <c r="AG85" s="520">
        <f t="shared" ca="1" si="31"/>
        <v>162.06286853555358</v>
      </c>
      <c r="AH85" s="520">
        <f t="shared" ca="1" si="31"/>
        <v>165.90388875351653</v>
      </c>
      <c r="AI85" s="520">
        <f t="shared" ca="1" si="31"/>
        <v>169.75277395678407</v>
      </c>
      <c r="AJ85" s="520">
        <f t="shared" ca="1" si="31"/>
        <v>173.60952414535626</v>
      </c>
      <c r="AK85" s="520">
        <f t="shared" ca="1" si="31"/>
        <v>177.4741393192331</v>
      </c>
      <c r="AL85" s="520">
        <f t="shared" ca="1" si="31"/>
        <v>181.34661947841465</v>
      </c>
      <c r="AM85" s="520">
        <f t="shared" ca="1" si="31"/>
        <v>185.22696462290077</v>
      </c>
      <c r="AN85" s="520">
        <f t="shared" ca="1" si="31"/>
        <v>189.11517475269159</v>
      </c>
      <c r="AO85" s="520">
        <f t="shared" ca="1" si="31"/>
        <v>191.23249046320842</v>
      </c>
      <c r="AP85" s="520">
        <f t="shared" ca="1" si="31"/>
        <v>193.35026308681145</v>
      </c>
      <c r="AQ85" s="520">
        <f t="shared" ca="1" si="31"/>
        <v>195.46849262350074</v>
      </c>
      <c r="AR85" s="520">
        <f t="shared" ca="1" si="31"/>
        <v>197.58717907327622</v>
      </c>
      <c r="AS85" s="520">
        <f t="shared" ca="1" si="31"/>
        <v>199.70632243613795</v>
      </c>
      <c r="AT85" s="520">
        <f t="shared" ca="1" si="31"/>
        <v>200.86553615593235</v>
      </c>
      <c r="AU85" s="520">
        <f t="shared" ca="1" si="31"/>
        <v>202.02499910104655</v>
      </c>
      <c r="AV85" s="520">
        <f t="shared" ca="1" si="31"/>
        <v>203.18471127148047</v>
      </c>
      <c r="AW85" s="520">
        <f t="shared" ca="1" si="31"/>
        <v>204.34467266723414</v>
      </c>
      <c r="AX85" s="520">
        <f t="shared" ca="1" si="31"/>
        <v>205.50488328830758</v>
      </c>
    </row>
    <row r="86" spans="1:52">
      <c r="C86" s="35"/>
    </row>
    <row r="87" spans="1:52">
      <c r="C87" s="35" t="s">
        <v>1220</v>
      </c>
    </row>
    <row r="88" spans="1:52">
      <c r="C88" s="35"/>
      <c r="E88" s="78" t="s">
        <v>1221</v>
      </c>
      <c r="G88" s="44" t="s">
        <v>213</v>
      </c>
      <c r="I88" s="45" t="s">
        <v>213</v>
      </c>
      <c r="K88" s="44" t="s">
        <v>1222</v>
      </c>
      <c r="M88" s="44"/>
      <c r="O88" s="327">
        <f ca="1">O57*10^6/O264</f>
        <v>303593211.62304395</v>
      </c>
      <c r="P88" s="327">
        <f t="shared" ref="P88:AX88" ca="1" si="33">P57*10^6/P264</f>
        <v>305857119.87693274</v>
      </c>
      <c r="Q88" s="327">
        <f t="shared" ca="1" si="33"/>
        <v>303557703.98204547</v>
      </c>
      <c r="R88" s="327">
        <f t="shared" ca="1" si="33"/>
        <v>297669374.61592722</v>
      </c>
      <c r="S88" s="327">
        <f t="shared" ca="1" si="33"/>
        <v>286759487.28882027</v>
      </c>
      <c r="T88" s="327">
        <f t="shared" ca="1" si="33"/>
        <v>279260504.58214426</v>
      </c>
      <c r="U88" s="327">
        <f t="shared" ca="1" si="33"/>
        <v>274318195.84651536</v>
      </c>
      <c r="V88" s="327">
        <f t="shared" ca="1" si="33"/>
        <v>262482644.49485743</v>
      </c>
      <c r="W88" s="327">
        <f t="shared" ca="1" si="33"/>
        <v>249072532.63056543</v>
      </c>
      <c r="X88" s="327">
        <f t="shared" ca="1" si="33"/>
        <v>235584987.97935525</v>
      </c>
      <c r="Y88" s="327">
        <f t="shared" ca="1" si="33"/>
        <v>221484537.25948587</v>
      </c>
      <c r="Z88" s="327">
        <f t="shared" ca="1" si="33"/>
        <v>206036481.40582988</v>
      </c>
      <c r="AA88" s="327">
        <f t="shared" ca="1" si="33"/>
        <v>190652434.19652045</v>
      </c>
      <c r="AB88" s="327">
        <f t="shared" ca="1" si="33"/>
        <v>175671136.05564904</v>
      </c>
      <c r="AC88" s="327">
        <f t="shared" ca="1" si="33"/>
        <v>161181082.50078815</v>
      </c>
      <c r="AD88" s="327">
        <f t="shared" ca="1" si="33"/>
        <v>147416915.30064783</v>
      </c>
      <c r="AE88" s="327">
        <f t="shared" ca="1" si="33"/>
        <v>132666010.36899325</v>
      </c>
      <c r="AF88" s="327">
        <f t="shared" ca="1" si="33"/>
        <v>118993282.46053541</v>
      </c>
      <c r="AG88" s="327">
        <f t="shared" ca="1" si="33"/>
        <v>106135121.95963156</v>
      </c>
      <c r="AH88" s="327">
        <f t="shared" ca="1" si="33"/>
        <v>94233931.835836694</v>
      </c>
      <c r="AI88" s="327">
        <f t="shared" ca="1" si="33"/>
        <v>83193153.730506077</v>
      </c>
      <c r="AJ88" s="327">
        <f t="shared" ca="1" si="33"/>
        <v>71708525.116755038</v>
      </c>
      <c r="AK88" s="327">
        <f t="shared" ca="1" si="33"/>
        <v>60942286.670001999</v>
      </c>
      <c r="AL88" s="327">
        <f t="shared" ca="1" si="33"/>
        <v>50847991.695548818</v>
      </c>
      <c r="AM88" s="327">
        <f t="shared" ca="1" si="33"/>
        <v>41211697.055317372</v>
      </c>
      <c r="AN88" s="327">
        <f t="shared" ca="1" si="33"/>
        <v>31991853.56178727</v>
      </c>
      <c r="AO88" s="327">
        <f t="shared" ca="1" si="33"/>
        <v>26756037.956852794</v>
      </c>
      <c r="AP88" s="327">
        <f t="shared" ca="1" si="33"/>
        <v>21820685.321650345</v>
      </c>
      <c r="AQ88" s="327">
        <f t="shared" ca="1" si="33"/>
        <v>17092385.131515782</v>
      </c>
      <c r="AR88" s="327">
        <f t="shared" ca="1" si="33"/>
        <v>12499801.810433397</v>
      </c>
      <c r="AS88" s="327">
        <f t="shared" ca="1" si="33"/>
        <v>8008719.5294451639</v>
      </c>
      <c r="AT88" s="327">
        <f t="shared" ca="1" si="33"/>
        <v>6502267.4501012666</v>
      </c>
      <c r="AU88" s="327">
        <f t="shared" ca="1" si="33"/>
        <v>5060476.008083391</v>
      </c>
      <c r="AV88" s="327">
        <f t="shared" ca="1" si="33"/>
        <v>3676824.072309223</v>
      </c>
      <c r="AW88" s="327">
        <f t="shared" ca="1" si="33"/>
        <v>2325190.2248783438</v>
      </c>
      <c r="AX88" s="327">
        <f t="shared" ca="1" si="33"/>
        <v>1027834.5300659687</v>
      </c>
    </row>
    <row r="89" spans="1:52">
      <c r="C89" s="35"/>
      <c r="E89" s="78" t="s">
        <v>1221</v>
      </c>
      <c r="G89" s="44" t="s">
        <v>212</v>
      </c>
      <c r="I89" s="44" t="s">
        <v>212</v>
      </c>
      <c r="K89" s="44" t="s">
        <v>1222</v>
      </c>
      <c r="M89" s="44"/>
      <c r="O89" s="327">
        <f ca="1">O58*10^6/O265</f>
        <v>312906598.04351872</v>
      </c>
      <c r="P89" s="327">
        <f t="shared" ref="P89:AX89" ca="1" si="34">P58*10^6/P265</f>
        <v>304360825.95199466</v>
      </c>
      <c r="Q89" s="327">
        <f t="shared" ca="1" si="34"/>
        <v>294836081.63030559</v>
      </c>
      <c r="R89" s="327">
        <f t="shared" ca="1" si="34"/>
        <v>288964409.30838472</v>
      </c>
      <c r="S89" s="327">
        <f t="shared" ca="1" si="34"/>
        <v>287820007.42604268</v>
      </c>
      <c r="T89" s="327">
        <f t="shared" ca="1" si="34"/>
        <v>270444446.24672425</v>
      </c>
      <c r="U89" s="327">
        <f t="shared" ca="1" si="34"/>
        <v>265501630.6471867</v>
      </c>
      <c r="V89" s="327">
        <f t="shared" ca="1" si="34"/>
        <v>258113557.95267683</v>
      </c>
      <c r="W89" s="327">
        <f t="shared" ca="1" si="34"/>
        <v>252644975.20450655</v>
      </c>
      <c r="X89" s="327">
        <f t="shared" ca="1" si="34"/>
        <v>241093874.72448918</v>
      </c>
      <c r="Y89" s="327">
        <f t="shared" ca="1" si="34"/>
        <v>227052203.87957996</v>
      </c>
      <c r="Z89" s="327">
        <f t="shared" ca="1" si="34"/>
        <v>212850104.30892846</v>
      </c>
      <c r="AA89" s="327">
        <f t="shared" ca="1" si="34"/>
        <v>194757669.16504484</v>
      </c>
      <c r="AB89" s="327">
        <f t="shared" ca="1" si="34"/>
        <v>176598076.43680441</v>
      </c>
      <c r="AC89" s="327">
        <f t="shared" ca="1" si="34"/>
        <v>158014590.20283863</v>
      </c>
      <c r="AD89" s="327">
        <f t="shared" ca="1" si="34"/>
        <v>137464142.62269303</v>
      </c>
      <c r="AE89" s="327">
        <f t="shared" ca="1" si="34"/>
        <v>119493245.76797019</v>
      </c>
      <c r="AF89" s="327">
        <f t="shared" ca="1" si="34"/>
        <v>102907563.58834678</v>
      </c>
      <c r="AG89" s="327">
        <f t="shared" ca="1" si="34"/>
        <v>87318727.366120905</v>
      </c>
      <c r="AH89" s="327">
        <f t="shared" ca="1" si="34"/>
        <v>73768893.719874933</v>
      </c>
      <c r="AI89" s="327">
        <f t="shared" ca="1" si="34"/>
        <v>61026849.397217564</v>
      </c>
      <c r="AJ89" s="327">
        <f t="shared" ca="1" si="34"/>
        <v>49732013.688916147</v>
      </c>
      <c r="AK89" s="327">
        <f t="shared" ca="1" si="34"/>
        <v>39849320.481841244</v>
      </c>
      <c r="AL89" s="327">
        <f t="shared" ca="1" si="34"/>
        <v>31542383.697825432</v>
      </c>
      <c r="AM89" s="327">
        <f t="shared" ca="1" si="34"/>
        <v>24492648.625524636</v>
      </c>
      <c r="AN89" s="327">
        <f t="shared" ca="1" si="34"/>
        <v>18752247.030483358</v>
      </c>
      <c r="AO89" s="327">
        <f t="shared" ca="1" si="34"/>
        <v>14416165.758299764</v>
      </c>
      <c r="AP89" s="327">
        <f t="shared" ca="1" si="34"/>
        <v>10937562.677086445</v>
      </c>
      <c r="AQ89" s="327">
        <f t="shared" ca="1" si="34"/>
        <v>8208222.7182517527</v>
      </c>
      <c r="AR89" s="327">
        <f t="shared" ca="1" si="34"/>
        <v>6115309.4048188496</v>
      </c>
      <c r="AS89" s="327">
        <f t="shared" ca="1" si="34"/>
        <v>4491086.455063561</v>
      </c>
      <c r="AT89" s="327">
        <f t="shared" ca="1" si="34"/>
        <v>3252902.2134987004</v>
      </c>
      <c r="AU89" s="327">
        <f t="shared" ca="1" si="34"/>
        <v>2311339.2751727956</v>
      </c>
      <c r="AV89" s="327">
        <f t="shared" ca="1" si="34"/>
        <v>1580926.0427958814</v>
      </c>
      <c r="AW89" s="327">
        <f t="shared" ca="1" si="34"/>
        <v>1025199.7520750164</v>
      </c>
      <c r="AX89" s="327">
        <f t="shared" ca="1" si="34"/>
        <v>593591.10725547757</v>
      </c>
    </row>
    <row r="90" spans="1:52" s="35" customFormat="1">
      <c r="A90"/>
      <c r="B90"/>
    </row>
    <row r="91" spans="1:52">
      <c r="C91" s="35"/>
      <c r="E91" s="78" t="s">
        <v>1221</v>
      </c>
      <c r="G91" s="44" t="s">
        <v>213</v>
      </c>
      <c r="I91" s="45" t="s">
        <v>213</v>
      </c>
      <c r="K91" s="44" t="s">
        <v>198</v>
      </c>
      <c r="M91" s="44"/>
      <c r="O91" s="327">
        <f t="shared" ref="O91:AX91" ca="1" si="35">$O267*O88/10^6</f>
        <v>3217.2240771529487</v>
      </c>
      <c r="P91" s="327">
        <f t="shared" ca="1" si="35"/>
        <v>3241.2150620104098</v>
      </c>
      <c r="Q91" s="327">
        <f t="shared" ca="1" si="35"/>
        <v>3216.8477972060673</v>
      </c>
      <c r="R91" s="327">
        <f t="shared" ca="1" si="35"/>
        <v>3154.4482629424215</v>
      </c>
      <c r="S91" s="327">
        <f t="shared" ca="1" si="35"/>
        <v>3038.8345046500403</v>
      </c>
      <c r="T91" s="327">
        <f t="shared" ca="1" si="35"/>
        <v>2959.366628576357</v>
      </c>
      <c r="U91" s="327">
        <f t="shared" ca="1" si="35"/>
        <v>2906.9922208088619</v>
      </c>
      <c r="V91" s="327">
        <f t="shared" ca="1" si="35"/>
        <v>2781.5690581124145</v>
      </c>
      <c r="W91" s="327">
        <f t="shared" ca="1" si="35"/>
        <v>2639.4600348688928</v>
      </c>
      <c r="X91" s="327">
        <f t="shared" ca="1" si="35"/>
        <v>2496.5304444423878</v>
      </c>
      <c r="Y91" s="327">
        <f t="shared" ca="1" si="35"/>
        <v>2347.1057938971744</v>
      </c>
      <c r="Z91" s="327">
        <f t="shared" ca="1" si="35"/>
        <v>2183.4003639506859</v>
      </c>
      <c r="AA91" s="327">
        <f t="shared" ca="1" si="35"/>
        <v>2020.3732434783678</v>
      </c>
      <c r="AB91" s="327">
        <f t="shared" ca="1" si="35"/>
        <v>1861.6141169875443</v>
      </c>
      <c r="AC91" s="327">
        <f t="shared" ca="1" si="35"/>
        <v>1708.0607851237969</v>
      </c>
      <c r="AD91" s="327">
        <f t="shared" ca="1" si="35"/>
        <v>1562.1997828915287</v>
      </c>
      <c r="AE91" s="327">
        <f t="shared" ca="1" si="35"/>
        <v>1405.882168765037</v>
      </c>
      <c r="AF91" s="327">
        <f t="shared" ca="1" si="35"/>
        <v>1260.9901628065193</v>
      </c>
      <c r="AG91" s="327">
        <f t="shared" ca="1" si="35"/>
        <v>1124.7302532708313</v>
      </c>
      <c r="AH91" s="327">
        <f t="shared" ca="1" si="35"/>
        <v>998.61150638465608</v>
      </c>
      <c r="AI91" s="327">
        <f t="shared" ca="1" si="35"/>
        <v>881.61067833229197</v>
      </c>
      <c r="AJ91" s="327">
        <f t="shared" ca="1" si="35"/>
        <v>759.90629800116403</v>
      </c>
      <c r="AK91" s="327">
        <f t="shared" ca="1" si="35"/>
        <v>645.81480904431896</v>
      </c>
      <c r="AL91" s="327">
        <f t="shared" ca="1" si="35"/>
        <v>538.84400867603517</v>
      </c>
      <c r="AM91" s="327">
        <f t="shared" ca="1" si="35"/>
        <v>436.72670847241181</v>
      </c>
      <c r="AN91" s="327">
        <f t="shared" ca="1" si="35"/>
        <v>339.02260528647776</v>
      </c>
      <c r="AO91" s="327">
        <f t="shared" ca="1" si="35"/>
        <v>283.53785996666591</v>
      </c>
      <c r="AP91" s="327">
        <f t="shared" ca="1" si="35"/>
        <v>231.23716706800968</v>
      </c>
      <c r="AQ91" s="327">
        <f t="shared" ca="1" si="35"/>
        <v>181.13064085689089</v>
      </c>
      <c r="AR91" s="327">
        <f t="shared" ca="1" si="35"/>
        <v>132.46232723444035</v>
      </c>
      <c r="AS91" s="327">
        <f t="shared" ca="1" si="35"/>
        <v>84.869635785164192</v>
      </c>
      <c r="AT91" s="327">
        <f t="shared" ca="1" si="35"/>
        <v>68.905530807876104</v>
      </c>
      <c r="AU91" s="327">
        <f t="shared" ca="1" si="35"/>
        <v>53.626644574897853</v>
      </c>
      <c r="AV91" s="327">
        <f t="shared" ca="1" si="35"/>
        <v>38.963871654602258</v>
      </c>
      <c r="AW91" s="327">
        <f t="shared" ca="1" si="35"/>
        <v>24.640399353618076</v>
      </c>
      <c r="AX91" s="327">
        <f t="shared" ca="1" si="35"/>
        <v>10.892121005535763</v>
      </c>
    </row>
    <row r="92" spans="1:52">
      <c r="C92" s="35"/>
      <c r="E92" s="78" t="s">
        <v>1221</v>
      </c>
      <c r="G92" s="44" t="s">
        <v>212</v>
      </c>
      <c r="I92" s="44" t="s">
        <v>212</v>
      </c>
      <c r="K92" s="44" t="s">
        <v>198</v>
      </c>
      <c r="M92" s="44"/>
      <c r="O92" s="327">
        <f t="shared" ref="O92:AX92" ca="1" si="36">$O268*O89/10^6</f>
        <v>2991.8719603295758</v>
      </c>
      <c r="P92" s="327">
        <f t="shared" ca="1" si="36"/>
        <v>2910.161136525081</v>
      </c>
      <c r="Q92" s="327">
        <f t="shared" ca="1" si="36"/>
        <v>2819.0898211755516</v>
      </c>
      <c r="R92" s="327">
        <f t="shared" ca="1" si="36"/>
        <v>2762.9475349788408</v>
      </c>
      <c r="S92" s="327">
        <f t="shared" ca="1" si="36"/>
        <v>2752.0052796076347</v>
      </c>
      <c r="T92" s="327">
        <f t="shared" ca="1" si="36"/>
        <v>2585.8679893988683</v>
      </c>
      <c r="U92" s="327">
        <f t="shared" ca="1" si="36"/>
        <v>2538.6070128333331</v>
      </c>
      <c r="V92" s="327">
        <f t="shared" ca="1" si="36"/>
        <v>2467.9655892462652</v>
      </c>
      <c r="W92" s="327">
        <f t="shared" ca="1" si="36"/>
        <v>2415.677464006038</v>
      </c>
      <c r="X92" s="327">
        <f t="shared" ca="1" si="36"/>
        <v>2305.231043722159</v>
      </c>
      <c r="Y92" s="327">
        <f t="shared" ca="1" si="36"/>
        <v>2170.9709113384424</v>
      </c>
      <c r="Z92" s="327">
        <f t="shared" ca="1" si="36"/>
        <v>2035.1768317347539</v>
      </c>
      <c r="AA92" s="327">
        <f t="shared" ca="1" si="36"/>
        <v>1862.1851155500462</v>
      </c>
      <c r="AB92" s="327">
        <f t="shared" ca="1" si="36"/>
        <v>1688.5512687908574</v>
      </c>
      <c r="AC92" s="327">
        <f t="shared" ca="1" si="36"/>
        <v>1510.8643432475353</v>
      </c>
      <c r="AD92" s="327">
        <f t="shared" ca="1" si="36"/>
        <v>1314.3702192127676</v>
      </c>
      <c r="AE92" s="327">
        <f t="shared" ca="1" si="36"/>
        <v>1142.540597409323</v>
      </c>
      <c r="AF92" s="327">
        <f t="shared" ca="1" si="36"/>
        <v>983.95577444163405</v>
      </c>
      <c r="AG92" s="327">
        <f t="shared" ca="1" si="36"/>
        <v>834.90234354862048</v>
      </c>
      <c r="AH92" s="327">
        <f t="shared" ca="1" si="36"/>
        <v>705.34493693971467</v>
      </c>
      <c r="AI92" s="327">
        <f t="shared" ca="1" si="36"/>
        <v>583.51124802231709</v>
      </c>
      <c r="AJ92" s="327">
        <f t="shared" ca="1" si="36"/>
        <v>475.51511606636382</v>
      </c>
      <c r="AK92" s="327">
        <f t="shared" ca="1" si="36"/>
        <v>381.02125469155595</v>
      </c>
      <c r="AL92" s="327">
        <f t="shared" ca="1" si="36"/>
        <v>301.59406652829881</v>
      </c>
      <c r="AM92" s="327">
        <f t="shared" ca="1" si="36"/>
        <v>234.18767490073938</v>
      </c>
      <c r="AN92" s="327">
        <f t="shared" ca="1" si="36"/>
        <v>179.30054027136168</v>
      </c>
      <c r="AO92" s="327">
        <f t="shared" ca="1" si="36"/>
        <v>137.84088407660155</v>
      </c>
      <c r="AP92" s="327">
        <f t="shared" ca="1" si="36"/>
        <v>104.58004814385869</v>
      </c>
      <c r="AQ92" s="327">
        <f t="shared" ca="1" si="36"/>
        <v>78.483328726299774</v>
      </c>
      <c r="AR92" s="327">
        <f t="shared" ca="1" si="36"/>
        <v>58.471834251550824</v>
      </c>
      <c r="AS92" s="327">
        <f t="shared" ca="1" si="36"/>
        <v>42.941745940594878</v>
      </c>
      <c r="AT92" s="327">
        <f t="shared" ca="1" si="36"/>
        <v>31.102785889184798</v>
      </c>
      <c r="AU92" s="327">
        <f t="shared" ca="1" si="36"/>
        <v>22.099985143925313</v>
      </c>
      <c r="AV92" s="327">
        <f t="shared" ca="1" si="36"/>
        <v>15.116102787126142</v>
      </c>
      <c r="AW92" s="327">
        <f t="shared" ca="1" si="36"/>
        <v>9.8024982891012176</v>
      </c>
      <c r="AX92" s="327">
        <f t="shared" ca="1" si="36"/>
        <v>5.6756508197748268</v>
      </c>
    </row>
    <row r="93" spans="1:52">
      <c r="C93" s="35"/>
      <c r="E93" s="35"/>
      <c r="F93" s="35"/>
      <c r="G93" s="35"/>
      <c r="H93" s="35"/>
      <c r="I93" s="35"/>
      <c r="J93" s="35"/>
      <c r="K93" s="35"/>
    </row>
    <row r="94" spans="1:52">
      <c r="C94" s="35"/>
      <c r="O94" s="39"/>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Z94" s="36"/>
    </row>
    <row r="95" spans="1:52" s="414" customFormat="1">
      <c r="B95" s="414" t="str">
        <f ca="1">OFFSET('Scenario names'!$C$3,0,0)</f>
        <v>High Electrification</v>
      </c>
    </row>
    <row r="96" spans="1:52">
      <c r="B96" t="str">
        <f ca="1">OFFSET('Scenario names'!$C$3,0,0)</f>
        <v>High Electrification</v>
      </c>
      <c r="E96" s="78" t="s">
        <v>233</v>
      </c>
      <c r="G96" s="44" t="s">
        <v>213</v>
      </c>
      <c r="I96" s="45" t="s">
        <v>1197</v>
      </c>
      <c r="K96" s="44" t="s">
        <v>1198</v>
      </c>
      <c r="M96" s="44" t="str">
        <f ca="1">I96&amp;K96&amp;$B96</f>
        <v>Cars - Dieselkt CO2/yearHigh Electrification</v>
      </c>
      <c r="O96" s="328">
        <v>1406.2298585393892</v>
      </c>
      <c r="P96" s="328">
        <v>1446.4177377711726</v>
      </c>
      <c r="Q96" s="328">
        <v>1452.7737290119717</v>
      </c>
      <c r="R96" s="328">
        <v>1417.2363076746972</v>
      </c>
      <c r="S96" s="328">
        <v>1325.5393301894742</v>
      </c>
      <c r="T96" s="328">
        <v>1270.0189520648607</v>
      </c>
      <c r="U96" s="328">
        <v>1224.0920291328291</v>
      </c>
      <c r="V96" s="328">
        <v>1132.047721922836</v>
      </c>
      <c r="W96" s="328">
        <v>1029.7783021858024</v>
      </c>
      <c r="X96" s="328">
        <v>926.36861842977441</v>
      </c>
      <c r="Y96" s="328">
        <v>815.45922610625416</v>
      </c>
      <c r="Z96" s="328">
        <v>716.99816596050835</v>
      </c>
      <c r="AA96" s="328">
        <v>618.09044794725821</v>
      </c>
      <c r="AB96" s="328">
        <v>523.21609897651308</v>
      </c>
      <c r="AC96" s="328">
        <v>435.5871569383014</v>
      </c>
      <c r="AD96" s="328">
        <v>356.49726906232524</v>
      </c>
      <c r="AE96" s="328">
        <v>287.14146686088282</v>
      </c>
      <c r="AF96" s="328">
        <v>228.42324305696738</v>
      </c>
      <c r="AG96" s="328">
        <v>177.60212351254398</v>
      </c>
      <c r="AH96" s="328">
        <v>135.95099486181419</v>
      </c>
      <c r="AI96" s="328">
        <v>102.30830887131881</v>
      </c>
      <c r="AJ96" s="328">
        <v>75.631320191030881</v>
      </c>
      <c r="AK96" s="328">
        <v>54.821771084823403</v>
      </c>
      <c r="AL96" s="328">
        <v>39.253779549432551</v>
      </c>
      <c r="AM96" s="328">
        <v>27.554839377024514</v>
      </c>
      <c r="AN96" s="328">
        <v>19.024908927747056</v>
      </c>
      <c r="AO96" s="328">
        <v>13.327634174258669</v>
      </c>
      <c r="AP96" s="328">
        <v>9.1588510739700784</v>
      </c>
      <c r="AQ96" s="328">
        <v>6.2391677464643376</v>
      </c>
      <c r="AR96" s="328">
        <v>4.1772774877854824</v>
      </c>
      <c r="AS96" s="328">
        <v>2.8130881302716779</v>
      </c>
      <c r="AT96" s="328">
        <v>1.8480963007088209</v>
      </c>
      <c r="AU96" s="328">
        <v>1.2195154708761251</v>
      </c>
      <c r="AV96" s="328">
        <v>0.81724518422366499</v>
      </c>
      <c r="AW96" s="328">
        <v>0.52673824483334597</v>
      </c>
      <c r="AX96" s="328">
        <v>0.35395686913075797</v>
      </c>
    </row>
    <row r="97" spans="2:50">
      <c r="B97" t="str">
        <f ca="1">OFFSET('Scenario names'!$C$3,0,0)</f>
        <v>High Electrification</v>
      </c>
      <c r="E97" s="78" t="s">
        <v>233</v>
      </c>
      <c r="G97" s="44" t="s">
        <v>212</v>
      </c>
      <c r="I97" s="45" t="s">
        <v>1199</v>
      </c>
      <c r="K97" s="44" t="s">
        <v>1198</v>
      </c>
      <c r="M97" s="44" t="str">
        <f t="shared" ref="M97:M114" ca="1" si="37">I97&amp;K97&amp;$B97</f>
        <v>Cars - Petrolkt CO2/yearHigh Electrification</v>
      </c>
      <c r="O97" s="109">
        <v>2233.1181550616889</v>
      </c>
      <c r="P97" s="109">
        <v>2149.4405753318692</v>
      </c>
      <c r="Q97" s="109">
        <v>2066.4229509035576</v>
      </c>
      <c r="R97" s="109">
        <v>2022.3299214783935</v>
      </c>
      <c r="S97" s="109">
        <v>2016.0763128348963</v>
      </c>
      <c r="T97" s="109">
        <v>1964.6730035516769</v>
      </c>
      <c r="U97" s="109">
        <v>1882.4884829178159</v>
      </c>
      <c r="V97" s="109">
        <v>1788.7192265010938</v>
      </c>
      <c r="W97" s="109">
        <v>1676.6388688825025</v>
      </c>
      <c r="X97" s="109">
        <v>1568.5102445787356</v>
      </c>
      <c r="Y97" s="109">
        <v>1440.8768994568034</v>
      </c>
      <c r="Z97" s="109">
        <v>1325.7088100924668</v>
      </c>
      <c r="AA97" s="109">
        <v>1200.845722058338</v>
      </c>
      <c r="AB97" s="109">
        <v>1076.1371975359086</v>
      </c>
      <c r="AC97" s="109">
        <v>951.29462158453987</v>
      </c>
      <c r="AD97" s="109">
        <v>826.62478966578942</v>
      </c>
      <c r="AE97" s="109">
        <v>716.00586090298441</v>
      </c>
      <c r="AF97" s="109">
        <v>616.03738855371262</v>
      </c>
      <c r="AG97" s="109">
        <v>521.6410974724414</v>
      </c>
      <c r="AH97" s="109">
        <v>437.5026224845613</v>
      </c>
      <c r="AI97" s="109">
        <v>357.7043226542138</v>
      </c>
      <c r="AJ97" s="109">
        <v>288.43397176679719</v>
      </c>
      <c r="AK97" s="109">
        <v>229.00275248892805</v>
      </c>
      <c r="AL97" s="109">
        <v>180.71514867297967</v>
      </c>
      <c r="AM97" s="109">
        <v>140.18366372811963</v>
      </c>
      <c r="AN97" s="109">
        <v>107.88043416746207</v>
      </c>
      <c r="AO97" s="109">
        <v>84.279744934229853</v>
      </c>
      <c r="AP97" s="109">
        <v>65.05787257016631</v>
      </c>
      <c r="AQ97" s="109">
        <v>49.696847537851312</v>
      </c>
      <c r="AR97" s="109">
        <v>37.721197605199485</v>
      </c>
      <c r="AS97" s="109">
        <v>28.120933693406368</v>
      </c>
      <c r="AT97" s="109">
        <v>20.671368210849476</v>
      </c>
      <c r="AU97" s="109">
        <v>14.981035048484095</v>
      </c>
      <c r="AV97" s="109">
        <v>10.584743101422685</v>
      </c>
      <c r="AW97" s="109">
        <v>7.396253114556905</v>
      </c>
      <c r="AX97" s="109">
        <v>5.1024766650415678</v>
      </c>
    </row>
    <row r="98" spans="2:50">
      <c r="B98" t="str">
        <f ca="1">OFFSET('Scenario names'!$C$3,0,0)</f>
        <v>High Electrification</v>
      </c>
      <c r="E98" s="78" t="s">
        <v>233</v>
      </c>
      <c r="G98" s="44" t="s">
        <v>1200</v>
      </c>
      <c r="I98" s="45" t="s">
        <v>1201</v>
      </c>
      <c r="K98" s="44" t="s">
        <v>1202</v>
      </c>
      <c r="M98" s="44" t="str">
        <f t="shared" ca="1" si="37"/>
        <v>Cars - ElectricGWh/yearHigh Electrification</v>
      </c>
      <c r="O98" s="109">
        <v>3.4403213213783279</v>
      </c>
      <c r="P98" s="109">
        <v>4.8264009973243613</v>
      </c>
      <c r="Q98" s="109">
        <v>7.1044945028269932</v>
      </c>
      <c r="R98" s="109">
        <v>12.733407158372088</v>
      </c>
      <c r="S98" s="109">
        <v>18.013925809672976</v>
      </c>
      <c r="T98" s="109">
        <v>26.710257045753487</v>
      </c>
      <c r="U98" s="109">
        <v>69.559351841421247</v>
      </c>
      <c r="V98" s="109">
        <v>165.36332424605226</v>
      </c>
      <c r="W98" s="109">
        <v>291.346676065743</v>
      </c>
      <c r="X98" s="109">
        <v>417.98616125115723</v>
      </c>
      <c r="Y98" s="109">
        <v>574.41820674205928</v>
      </c>
      <c r="Z98" s="109">
        <v>725.02264284995704</v>
      </c>
      <c r="AA98" s="109">
        <v>886.52074879951999</v>
      </c>
      <c r="AB98" s="109">
        <v>1044.0089060038292</v>
      </c>
      <c r="AC98" s="109">
        <v>1195.4931144715438</v>
      </c>
      <c r="AD98" s="109">
        <v>1339.170489014085</v>
      </c>
      <c r="AE98" s="109">
        <v>1473.8562282883024</v>
      </c>
      <c r="AF98" s="109">
        <v>1587.2544491653016</v>
      </c>
      <c r="AG98" s="109">
        <v>1687.0333318098678</v>
      </c>
      <c r="AH98" s="109">
        <v>1766.6471918197851</v>
      </c>
      <c r="AI98" s="109">
        <v>1833.3265761206665</v>
      </c>
      <c r="AJ98" s="109">
        <v>1882.2170703968541</v>
      </c>
      <c r="AK98" s="109">
        <v>1915.1095838707665</v>
      </c>
      <c r="AL98" s="109">
        <v>1931.4669194264077</v>
      </c>
      <c r="AM98" s="109">
        <v>1935.7145879953543</v>
      </c>
      <c r="AN98" s="109">
        <v>1928.2595507107594</v>
      </c>
      <c r="AO98" s="109">
        <v>1947.5987738490949</v>
      </c>
      <c r="AP98" s="109">
        <v>1961.0476123128658</v>
      </c>
      <c r="AQ98" s="109">
        <v>1969.1298643530972</v>
      </c>
      <c r="AR98" s="109">
        <v>1973.1892523576937</v>
      </c>
      <c r="AS98" s="109">
        <v>1973.8305443492275</v>
      </c>
      <c r="AT98" s="109">
        <v>1971.8749539892017</v>
      </c>
      <c r="AU98" s="109">
        <v>1967.5674190025986</v>
      </c>
      <c r="AV98" s="109">
        <v>1961.8803779637356</v>
      </c>
      <c r="AW98" s="109">
        <v>1954.5312253950672</v>
      </c>
      <c r="AX98" s="109">
        <v>1946.0215993137078</v>
      </c>
    </row>
    <row r="99" spans="2:50">
      <c r="B99" t="str">
        <f ca="1">OFFSET('Scenario names'!$C$3,0,0)</f>
        <v>High Electrification</v>
      </c>
      <c r="E99" s="78" t="s">
        <v>233</v>
      </c>
      <c r="G99" s="44" t="s">
        <v>1203</v>
      </c>
      <c r="I99" s="45" t="s">
        <v>1204</v>
      </c>
      <c r="K99" s="44" t="s">
        <v>1202</v>
      </c>
      <c r="M99" s="44" t="str">
        <f t="shared" ca="1" si="37"/>
        <v>Cars - H2GWh/yearHigh Electrification</v>
      </c>
      <c r="O99" s="109">
        <v>0</v>
      </c>
      <c r="P99" s="109">
        <v>0</v>
      </c>
      <c r="Q99" s="109">
        <v>0</v>
      </c>
      <c r="R99" s="109">
        <v>0</v>
      </c>
      <c r="S99" s="109">
        <v>0</v>
      </c>
      <c r="T99" s="109">
        <v>0</v>
      </c>
      <c r="U99" s="109">
        <v>0</v>
      </c>
      <c r="V99" s="109">
        <v>0</v>
      </c>
      <c r="W99" s="109">
        <v>0.3019135596503334</v>
      </c>
      <c r="X99" s="109">
        <v>0.72676015454723519</v>
      </c>
      <c r="Y99" s="109">
        <v>1.3957808810182661</v>
      </c>
      <c r="Z99" s="109">
        <v>2.1533422162035327</v>
      </c>
      <c r="AA99" s="109">
        <v>2.8386675095185154</v>
      </c>
      <c r="AB99" s="109">
        <v>4.7129676081399818</v>
      </c>
      <c r="AC99" s="109">
        <v>6.4381796501511577</v>
      </c>
      <c r="AD99" s="109">
        <v>8.4764861992198632</v>
      </c>
      <c r="AE99" s="109">
        <v>10.535418410256371</v>
      </c>
      <c r="AF99" s="109">
        <v>12.733211385968961</v>
      </c>
      <c r="AG99" s="109">
        <v>15.342540248525053</v>
      </c>
      <c r="AH99" s="109">
        <v>19.126632702212952</v>
      </c>
      <c r="AI99" s="109">
        <v>23.862953152818314</v>
      </c>
      <c r="AJ99" s="109">
        <v>29.146178127116876</v>
      </c>
      <c r="AK99" s="109">
        <v>34.947704541133305</v>
      </c>
      <c r="AL99" s="109">
        <v>41.051568898060374</v>
      </c>
      <c r="AM99" s="109">
        <v>47.919916999069159</v>
      </c>
      <c r="AN99" s="109">
        <v>55.267995604993139</v>
      </c>
      <c r="AO99" s="109">
        <v>63.675011427732287</v>
      </c>
      <c r="AP99" s="109">
        <v>72.002892592449982</v>
      </c>
      <c r="AQ99" s="109">
        <v>80.652512838820826</v>
      </c>
      <c r="AR99" s="109">
        <v>88.90257729862752</v>
      </c>
      <c r="AS99" s="109">
        <v>97.579867058837067</v>
      </c>
      <c r="AT99" s="109">
        <v>106.23467505038778</v>
      </c>
      <c r="AU99" s="109">
        <v>115.16541159774881</v>
      </c>
      <c r="AV99" s="109">
        <v>123.78544928591991</v>
      </c>
      <c r="AW99" s="109">
        <v>132.79129566350093</v>
      </c>
      <c r="AX99" s="109">
        <v>141.89255149322494</v>
      </c>
    </row>
    <row r="100" spans="2:50">
      <c r="B100" t="str">
        <f ca="1">OFFSET('Scenario names'!$C$3,0,0)</f>
        <v>High Electrification</v>
      </c>
      <c r="E100" t="s">
        <v>234</v>
      </c>
      <c r="G100" s="44" t="s">
        <v>213</v>
      </c>
      <c r="I100" s="45" t="s">
        <v>1205</v>
      </c>
      <c r="K100" s="44" t="s">
        <v>1198</v>
      </c>
      <c r="M100" s="44" t="str">
        <f t="shared" ca="1" si="37"/>
        <v>LGVs - Dieselkt CO2/yearHigh Electrification</v>
      </c>
      <c r="O100" s="109">
        <v>0.20115651834968329</v>
      </c>
      <c r="P100" s="109">
        <v>1.0289602932320283</v>
      </c>
      <c r="Q100" s="109">
        <v>1.9451072159863518</v>
      </c>
      <c r="R100" s="109">
        <v>2.6926879732274727</v>
      </c>
      <c r="S100" s="109">
        <v>3.2771604663097365</v>
      </c>
      <c r="T100" s="109">
        <v>2.3400087331738688</v>
      </c>
      <c r="U100" s="109">
        <v>2.486704550664999</v>
      </c>
      <c r="V100" s="109">
        <v>2.8901793934417115</v>
      </c>
      <c r="W100" s="109">
        <v>3.6569221641038001</v>
      </c>
      <c r="X100" s="109">
        <v>4.9972861278859764</v>
      </c>
      <c r="Y100" s="109">
        <v>5.6232778441863651</v>
      </c>
      <c r="Z100" s="109">
        <v>5.9177866313956118</v>
      </c>
      <c r="AA100" s="109">
        <v>8.1477151550686315</v>
      </c>
      <c r="AB100" s="109">
        <v>10.552343924503012</v>
      </c>
      <c r="AC100" s="109">
        <v>12.909719392212725</v>
      </c>
      <c r="AD100" s="109">
        <v>13.348400036728579</v>
      </c>
      <c r="AE100" s="109">
        <v>12.7934319894071</v>
      </c>
      <c r="AF100" s="109">
        <v>12.795137508769924</v>
      </c>
      <c r="AG100" s="109">
        <v>12.452653755199252</v>
      </c>
      <c r="AH100" s="109">
        <v>12.28154239128795</v>
      </c>
      <c r="AI100" s="109">
        <v>11.705654199299103</v>
      </c>
      <c r="AJ100" s="109">
        <v>10.205315222318539</v>
      </c>
      <c r="AK100" s="109">
        <v>9.4541339396984139</v>
      </c>
      <c r="AL100" s="109">
        <v>9.5169130237087618</v>
      </c>
      <c r="AM100" s="109">
        <v>9.1972117475523696</v>
      </c>
      <c r="AN100" s="109">
        <v>8.4290855532390392</v>
      </c>
      <c r="AO100" s="109">
        <v>7.025953752364396</v>
      </c>
      <c r="AP100" s="109">
        <v>6.6549657930368253</v>
      </c>
      <c r="AQ100" s="109">
        <v>6.4755893792174639</v>
      </c>
      <c r="AR100" s="109">
        <v>6.0238301800487246</v>
      </c>
      <c r="AS100" s="109">
        <v>5.0494522653339544</v>
      </c>
      <c r="AT100" s="109">
        <v>4.5177438580897977</v>
      </c>
      <c r="AU100" s="109">
        <v>4.1018030366457419</v>
      </c>
      <c r="AV100" s="109">
        <v>3.8334931142987916</v>
      </c>
      <c r="AW100" s="109">
        <v>3.5141652893365327</v>
      </c>
      <c r="AX100" s="109">
        <v>3.4046351269740578</v>
      </c>
    </row>
    <row r="101" spans="2:50">
      <c r="B101" t="str">
        <f ca="1">OFFSET('Scenario names'!$C$3,0,0)</f>
        <v>High Electrification</v>
      </c>
      <c r="E101" t="s">
        <v>234</v>
      </c>
      <c r="G101" s="44" t="s">
        <v>212</v>
      </c>
      <c r="I101" s="45" t="s">
        <v>1206</v>
      </c>
      <c r="K101" s="44" t="s">
        <v>1198</v>
      </c>
      <c r="M101" s="44" t="str">
        <f t="shared" ca="1" si="37"/>
        <v>LGVs - Petrolkt CO2/yearHigh Electrification</v>
      </c>
      <c r="O101" s="109">
        <v>901.99237473883215</v>
      </c>
      <c r="P101" s="109">
        <v>908.76173291838961</v>
      </c>
      <c r="Q101" s="109">
        <v>905.16119454325735</v>
      </c>
      <c r="R101" s="109">
        <v>900.89778778021946</v>
      </c>
      <c r="S101" s="109">
        <v>909.09700647114551</v>
      </c>
      <c r="T101" s="109">
        <v>793.25744746200075</v>
      </c>
      <c r="U101" s="109">
        <v>790.15088014853211</v>
      </c>
      <c r="V101" s="109">
        <v>786.24864917181128</v>
      </c>
      <c r="W101" s="109">
        <v>779.34618383649808</v>
      </c>
      <c r="X101" s="109">
        <v>772.03644944680354</v>
      </c>
      <c r="Y101" s="109">
        <v>759.66334836606518</v>
      </c>
      <c r="Z101" s="109">
        <v>737.28902481454259</v>
      </c>
      <c r="AA101" s="109">
        <v>685.79818777056153</v>
      </c>
      <c r="AB101" s="109">
        <v>633.31514475376241</v>
      </c>
      <c r="AC101" s="109">
        <v>576.57928582618854</v>
      </c>
      <c r="AD101" s="109">
        <v>499.92994453085379</v>
      </c>
      <c r="AE101" s="109">
        <v>434.72290593153286</v>
      </c>
      <c r="AF101" s="109">
        <v>372.56812868342269</v>
      </c>
      <c r="AG101" s="109">
        <v>314.68075916612077</v>
      </c>
      <c r="AH101" s="109">
        <v>266.74156187619599</v>
      </c>
      <c r="AI101" s="109">
        <v>222.42121985738277</v>
      </c>
      <c r="AJ101" s="109">
        <v>181.8923043857335</v>
      </c>
      <c r="AK101" s="109">
        <v>145.49482789823952</v>
      </c>
      <c r="AL101" s="109">
        <v>113.55178481029084</v>
      </c>
      <c r="AM101" s="109">
        <v>86.28198738562115</v>
      </c>
      <c r="AN101" s="109">
        <v>63.731857156382212</v>
      </c>
      <c r="AO101" s="109">
        <v>45.716906940261538</v>
      </c>
      <c r="AP101" s="109">
        <v>31.847222192492723</v>
      </c>
      <c r="AQ101" s="109">
        <v>21.564350160725031</v>
      </c>
      <c r="AR101" s="109">
        <v>14.221371339018763</v>
      </c>
      <c r="AS101" s="109">
        <v>9.1597911578196722</v>
      </c>
      <c r="AT101" s="109">
        <v>5.7821558433125722</v>
      </c>
      <c r="AU101" s="109">
        <v>3.590490791378333</v>
      </c>
      <c r="AV101" s="109">
        <v>2.1997955978789543</v>
      </c>
      <c r="AW101" s="109">
        <v>1.3336120420315876</v>
      </c>
      <c r="AX101" s="109">
        <v>0.80201248952024662</v>
      </c>
    </row>
    <row r="102" spans="2:50">
      <c r="B102" t="str">
        <f ca="1">OFFSET('Scenario names'!$C$3,0,0)</f>
        <v>High Electrification</v>
      </c>
      <c r="E102" t="s">
        <v>234</v>
      </c>
      <c r="G102" s="44" t="s">
        <v>1200</v>
      </c>
      <c r="I102" s="45" t="s">
        <v>1207</v>
      </c>
      <c r="K102" s="44" t="s">
        <v>1202</v>
      </c>
      <c r="M102" s="44" t="str">
        <f t="shared" ca="1" si="37"/>
        <v>LGVs - ElectricGWh/yearHigh Electrification</v>
      </c>
      <c r="O102" s="109">
        <v>0.55799967294787822</v>
      </c>
      <c r="P102" s="109">
        <v>3.5777310178248118</v>
      </c>
      <c r="Q102" s="109">
        <v>7.5692870373419439</v>
      </c>
      <c r="R102" s="109">
        <v>11.27711000603518</v>
      </c>
      <c r="S102" s="109">
        <v>15.393658487867429</v>
      </c>
      <c r="T102" s="109">
        <v>14.679063322591272</v>
      </c>
      <c r="U102" s="109">
        <v>16.721250374903395</v>
      </c>
      <c r="V102" s="109">
        <v>20.800568173110804</v>
      </c>
      <c r="W102" s="109">
        <v>27.437204829100203</v>
      </c>
      <c r="X102" s="109">
        <v>34.363407139661774</v>
      </c>
      <c r="Y102" s="109">
        <v>45.718668629022076</v>
      </c>
      <c r="Z102" s="109">
        <v>65.267692409411367</v>
      </c>
      <c r="AA102" s="109">
        <v>108.58239863242109</v>
      </c>
      <c r="AB102" s="109">
        <v>152.08129716676675</v>
      </c>
      <c r="AC102" s="109">
        <v>198.71360913309132</v>
      </c>
      <c r="AD102" s="109">
        <v>258.88273973705878</v>
      </c>
      <c r="AE102" s="109">
        <v>313.30962309920477</v>
      </c>
      <c r="AF102" s="109">
        <v>362.54082062910811</v>
      </c>
      <c r="AG102" s="109">
        <v>406.29274974591902</v>
      </c>
      <c r="AH102" s="109">
        <v>441.40056561925491</v>
      </c>
      <c r="AI102" s="109">
        <v>471.59003141380737</v>
      </c>
      <c r="AJ102" s="109">
        <v>497.0179616811044</v>
      </c>
      <c r="AK102" s="109">
        <v>517.65427260977583</v>
      </c>
      <c r="AL102" s="109">
        <v>533.46187436015498</v>
      </c>
      <c r="AM102" s="109">
        <v>544.48838859044986</v>
      </c>
      <c r="AN102" s="109">
        <v>550.69118555641876</v>
      </c>
      <c r="AO102" s="109">
        <v>552.94564939927761</v>
      </c>
      <c r="AP102" s="109">
        <v>551.88656706284564</v>
      </c>
      <c r="AQ102" s="109">
        <v>548.20359977743283</v>
      </c>
      <c r="AR102" s="109">
        <v>542.56799176016557</v>
      </c>
      <c r="AS102" s="109">
        <v>535.54923833847556</v>
      </c>
      <c r="AT102" s="109">
        <v>527.75342532165837</v>
      </c>
      <c r="AU102" s="109">
        <v>519.67706382153654</v>
      </c>
      <c r="AV102" s="109">
        <v>511.72857709317856</v>
      </c>
      <c r="AW102" s="109">
        <v>504.11737562025223</v>
      </c>
      <c r="AX102" s="109">
        <v>496.93644384611974</v>
      </c>
    </row>
    <row r="103" spans="2:50">
      <c r="B103" t="str">
        <f ca="1">OFFSET('Scenario names'!$C$3,0,0)</f>
        <v>High Electrification</v>
      </c>
      <c r="E103" t="s">
        <v>234</v>
      </c>
      <c r="G103" s="44" t="s">
        <v>1203</v>
      </c>
      <c r="I103" s="45" t="s">
        <v>1208</v>
      </c>
      <c r="K103" s="44" t="s">
        <v>1202</v>
      </c>
      <c r="M103" s="44" t="str">
        <f t="shared" ca="1" si="37"/>
        <v>LGVs - H2GWh/yearHigh Electrification</v>
      </c>
      <c r="O103" s="109">
        <v>0</v>
      </c>
      <c r="P103" s="109">
        <v>0</v>
      </c>
      <c r="Q103" s="109">
        <v>0</v>
      </c>
      <c r="R103" s="109">
        <v>0</v>
      </c>
      <c r="S103" s="109">
        <v>0</v>
      </c>
      <c r="T103" s="109">
        <v>0</v>
      </c>
      <c r="U103" s="109">
        <v>0</v>
      </c>
      <c r="V103" s="109">
        <v>0</v>
      </c>
      <c r="W103" s="109">
        <v>0</v>
      </c>
      <c r="X103" s="109">
        <v>0</v>
      </c>
      <c r="Y103" s="109">
        <v>8.4547959019110001E-3</v>
      </c>
      <c r="Z103" s="109">
        <v>0.16255227939330039</v>
      </c>
      <c r="AA103" s="109">
        <v>2.4362072469555756</v>
      </c>
      <c r="AB103" s="109">
        <v>2.8418273276317692</v>
      </c>
      <c r="AC103" s="109">
        <v>3.3576819907951827</v>
      </c>
      <c r="AD103" s="109">
        <v>11.405456485789758</v>
      </c>
      <c r="AE103" s="109">
        <v>20.991666261225291</v>
      </c>
      <c r="AF103" s="109">
        <v>33.879941701398359</v>
      </c>
      <c r="AG103" s="109">
        <v>49.631340803167966</v>
      </c>
      <c r="AH103" s="109">
        <v>65.086050498686291</v>
      </c>
      <c r="AI103" s="109">
        <v>84.696533151127639</v>
      </c>
      <c r="AJ103" s="109">
        <v>106.40730022701923</v>
      </c>
      <c r="AK103" s="109">
        <v>129.77554490079902</v>
      </c>
      <c r="AL103" s="109">
        <v>154.40722797758292</v>
      </c>
      <c r="AM103" s="109">
        <v>179.67196636875386</v>
      </c>
      <c r="AN103" s="109">
        <v>205.78704251071645</v>
      </c>
      <c r="AO103" s="109">
        <v>231.59978505466603</v>
      </c>
      <c r="AP103" s="109">
        <v>256.60435239687865</v>
      </c>
      <c r="AQ103" s="109">
        <v>280.44515780902208</v>
      </c>
      <c r="AR103" s="109">
        <v>302.92719817548902</v>
      </c>
      <c r="AS103" s="109">
        <v>324.04179338516246</v>
      </c>
      <c r="AT103" s="109">
        <v>343.66690152820581</v>
      </c>
      <c r="AU103" s="109">
        <v>361.73452800982648</v>
      </c>
      <c r="AV103" s="109">
        <v>378.17710642209289</v>
      </c>
      <c r="AW103" s="109">
        <v>393.0889261919047</v>
      </c>
      <c r="AX103" s="109">
        <v>406.62769392533374</v>
      </c>
    </row>
    <row r="104" spans="2:50">
      <c r="B104" t="str">
        <f ca="1">OFFSET('Scenario names'!$C$3,0,0)</f>
        <v>High Electrification</v>
      </c>
      <c r="E104" t="s">
        <v>235</v>
      </c>
      <c r="G104" s="44" t="s">
        <v>213</v>
      </c>
      <c r="I104" s="45" t="s">
        <v>1209</v>
      </c>
      <c r="K104" s="44" t="s">
        <v>1198</v>
      </c>
      <c r="M104" s="44" t="str">
        <f t="shared" ca="1" si="37"/>
        <v>HGVs - Dieselkt CO2/yearHigh Electrification</v>
      </c>
      <c r="O104" s="109">
        <v>1128.7827676828661</v>
      </c>
      <c r="P104" s="109">
        <v>1139.7919596137256</v>
      </c>
      <c r="Q104" s="109">
        <v>1140.1528884847044</v>
      </c>
      <c r="R104" s="109">
        <v>1139.8923708838854</v>
      </c>
      <c r="S104" s="109">
        <v>1139.6306831260229</v>
      </c>
      <c r="T104" s="109">
        <v>1139.3689953681603</v>
      </c>
      <c r="U104" s="109">
        <v>1143.2976261236101</v>
      </c>
      <c r="V104" s="109">
        <v>1145.290202681856</v>
      </c>
      <c r="W104" s="109">
        <v>1149.1233986646253</v>
      </c>
      <c r="X104" s="109">
        <v>1151.115505368067</v>
      </c>
      <c r="Y104" s="109">
        <v>1153.4770938623722</v>
      </c>
      <c r="Z104" s="109">
        <v>1142.0944294654992</v>
      </c>
      <c r="AA104" s="109">
        <v>1128.8331271805573</v>
      </c>
      <c r="AB104" s="109">
        <v>1117.2665344901275</v>
      </c>
      <c r="AC104" s="109">
        <v>1103.8905657016594</v>
      </c>
      <c r="AD104" s="109">
        <v>1092.1404230575511</v>
      </c>
      <c r="AE104" s="109">
        <v>1011.5871483356573</v>
      </c>
      <c r="AF104" s="109">
        <v>932.3660631360342</v>
      </c>
      <c r="AG104" s="109">
        <v>854.47944852803153</v>
      </c>
      <c r="AH104" s="109">
        <v>777.92958558099929</v>
      </c>
      <c r="AI104" s="109">
        <v>703.67527026357152</v>
      </c>
      <c r="AJ104" s="109">
        <v>615.47501386892134</v>
      </c>
      <c r="AK104" s="109">
        <v>528.89856985066183</v>
      </c>
      <c r="AL104" s="109">
        <v>443.94900887907176</v>
      </c>
      <c r="AM104" s="109">
        <v>360.62940162443005</v>
      </c>
      <c r="AN104" s="109">
        <v>279.20643243260747</v>
      </c>
      <c r="AO104" s="109">
        <v>234.95116815403983</v>
      </c>
      <c r="AP104" s="109">
        <v>191.52900059301072</v>
      </c>
      <c r="AQ104" s="109">
        <v>148.94006884193581</v>
      </c>
      <c r="AR104" s="109">
        <v>107.18451199323067</v>
      </c>
      <c r="AS104" s="109">
        <v>66.26246913931088</v>
      </c>
      <c r="AT104" s="109">
        <v>53.594778800304468</v>
      </c>
      <c r="AU104" s="109">
        <v>41.180156419707899</v>
      </c>
      <c r="AV104" s="109">
        <v>29.018654157177014</v>
      </c>
      <c r="AW104" s="109">
        <v>17.110324172367687</v>
      </c>
      <c r="AX104" s="109">
        <v>5.4552186249357968</v>
      </c>
    </row>
    <row r="105" spans="2:50">
      <c r="B105" t="str">
        <f ca="1">OFFSET('Scenario names'!$C$3,0,0)</f>
        <v>High Electrification</v>
      </c>
      <c r="E105" t="s">
        <v>235</v>
      </c>
      <c r="G105" s="44" t="s">
        <v>1200</v>
      </c>
      <c r="I105" s="45" t="s">
        <v>1210</v>
      </c>
      <c r="K105" s="44" t="s">
        <v>1202</v>
      </c>
      <c r="M105" s="44" t="str">
        <f t="shared" ca="1" si="37"/>
        <v>HGVs - ElectricGWh/yearHigh Electrification</v>
      </c>
      <c r="O105" s="109">
        <v>0</v>
      </c>
      <c r="P105" s="109">
        <v>0</v>
      </c>
      <c r="Q105" s="109">
        <v>0</v>
      </c>
      <c r="R105" s="109">
        <v>0</v>
      </c>
      <c r="S105" s="109">
        <v>0</v>
      </c>
      <c r="T105" s="109">
        <v>0</v>
      </c>
      <c r="U105" s="109">
        <v>0</v>
      </c>
      <c r="V105" s="109">
        <v>0</v>
      </c>
      <c r="W105" s="109">
        <v>0</v>
      </c>
      <c r="X105" s="109">
        <v>0</v>
      </c>
      <c r="Y105" s="109">
        <v>0</v>
      </c>
      <c r="Z105" s="109">
        <v>32.096806170365845</v>
      </c>
      <c r="AA105" s="109">
        <v>64.319978417065329</v>
      </c>
      <c r="AB105" s="109">
        <v>96.855686202177381</v>
      </c>
      <c r="AC105" s="109">
        <v>129.39364708890375</v>
      </c>
      <c r="AD105" s="109">
        <v>162.36825648876203</v>
      </c>
      <c r="AE105" s="109">
        <v>296.73871453517592</v>
      </c>
      <c r="AF105" s="109">
        <v>431.26424401768219</v>
      </c>
      <c r="AG105" s="109">
        <v>565.94484493628067</v>
      </c>
      <c r="AH105" s="109">
        <v>700.78051729097172</v>
      </c>
      <c r="AI105" s="109">
        <v>837.23402114094711</v>
      </c>
      <c r="AJ105" s="109">
        <v>1003.5047205558325</v>
      </c>
      <c r="AK105" s="109">
        <v>1169.9979137703288</v>
      </c>
      <c r="AL105" s="109">
        <v>1336.7136007844358</v>
      </c>
      <c r="AM105" s="109">
        <v>1503.6517815981535</v>
      </c>
      <c r="AN105" s="109">
        <v>1673.4276938930673</v>
      </c>
      <c r="AO105" s="109">
        <v>1765.2309631446963</v>
      </c>
      <c r="AP105" s="109">
        <v>1857.0461092053145</v>
      </c>
      <c r="AQ105" s="109">
        <v>1948.8731320749216</v>
      </c>
      <c r="AR105" s="109">
        <v>2040.7120317535191</v>
      </c>
      <c r="AS105" s="109">
        <v>2132.5628082411044</v>
      </c>
      <c r="AT105" s="109">
        <v>2166.1765759585969</v>
      </c>
      <c r="AU105" s="109">
        <v>2199.7952923465</v>
      </c>
      <c r="AV105" s="109">
        <v>2233.4189574048164</v>
      </c>
      <c r="AW105" s="109">
        <v>2267.0475711335448</v>
      </c>
      <c r="AX105" s="109">
        <v>2300.6811335326856</v>
      </c>
    </row>
    <row r="106" spans="2:50">
      <c r="B106" t="str">
        <f ca="1">OFFSET('Scenario names'!$C$3,0,0)</f>
        <v>High Electrification</v>
      </c>
      <c r="E106" t="s">
        <v>235</v>
      </c>
      <c r="G106" s="44" t="s">
        <v>1203</v>
      </c>
      <c r="I106" s="45" t="s">
        <v>1211</v>
      </c>
      <c r="K106" s="44" t="s">
        <v>1202</v>
      </c>
      <c r="M106" s="44" t="str">
        <f t="shared" ca="1" si="37"/>
        <v>HGVs - H2GWh/yearHigh Electrification</v>
      </c>
      <c r="O106" s="109">
        <v>0</v>
      </c>
      <c r="P106" s="109">
        <v>0</v>
      </c>
      <c r="Q106" s="109">
        <v>0</v>
      </c>
      <c r="R106" s="109">
        <v>0</v>
      </c>
      <c r="S106" s="109">
        <v>0</v>
      </c>
      <c r="T106" s="109">
        <v>0</v>
      </c>
      <c r="U106" s="109">
        <v>0</v>
      </c>
      <c r="V106" s="109">
        <v>0</v>
      </c>
      <c r="W106" s="109">
        <v>0</v>
      </c>
      <c r="X106" s="109">
        <v>0</v>
      </c>
      <c r="Y106" s="109">
        <v>0</v>
      </c>
      <c r="Z106" s="109">
        <v>8.3087138506796379</v>
      </c>
      <c r="AA106" s="109">
        <v>16.38261476227445</v>
      </c>
      <c r="AB106" s="109">
        <v>24.268925208870552</v>
      </c>
      <c r="AC106" s="109">
        <v>31.884426302476168</v>
      </c>
      <c r="AD106" s="109">
        <v>39.338511483016056</v>
      </c>
      <c r="AE106" s="109">
        <v>67.602991522079463</v>
      </c>
      <c r="AF106" s="109">
        <v>95.57132739939172</v>
      </c>
      <c r="AG106" s="109">
        <v>123.24327189961984</v>
      </c>
      <c r="AH106" s="109">
        <v>150.61857780743108</v>
      </c>
      <c r="AI106" s="109">
        <v>178.15043313243567</v>
      </c>
      <c r="AJ106" s="109">
        <v>211.24878673243512</v>
      </c>
      <c r="AK106" s="109">
        <v>243.97773114168734</v>
      </c>
      <c r="AL106" s="109">
        <v>276.33701914485943</v>
      </c>
      <c r="AM106" s="109">
        <v>308.32640352661855</v>
      </c>
      <c r="AN106" s="109">
        <v>340.86352916766725</v>
      </c>
      <c r="AO106" s="109">
        <v>355.16010637870443</v>
      </c>
      <c r="AP106" s="109">
        <v>369.45668358974166</v>
      </c>
      <c r="AQ106" s="109">
        <v>383.75326080077889</v>
      </c>
      <c r="AR106" s="109">
        <v>398.04983801181601</v>
      </c>
      <c r="AS106" s="109">
        <v>412.34641522285318</v>
      </c>
      <c r="AT106" s="109">
        <v>410.96541931121124</v>
      </c>
      <c r="AU106" s="109">
        <v>409.5838767547728</v>
      </c>
      <c r="AV106" s="109">
        <v>408.20178755353788</v>
      </c>
      <c r="AW106" s="109">
        <v>406.81915170750659</v>
      </c>
      <c r="AX106" s="109">
        <v>405.43596921667876</v>
      </c>
    </row>
    <row r="107" spans="2:50">
      <c r="B107" t="str">
        <f ca="1">OFFSET('Scenario names'!$C$3,0,0)</f>
        <v>High Electrification</v>
      </c>
      <c r="E107" t="s">
        <v>236</v>
      </c>
      <c r="G107" s="44" t="s">
        <v>213</v>
      </c>
      <c r="I107" s="45" t="s">
        <v>1212</v>
      </c>
      <c r="K107" s="44" t="s">
        <v>1198</v>
      </c>
      <c r="M107" s="44" t="str">
        <f t="shared" ca="1" si="37"/>
        <v>Buses - Dieselkt CO2/yearHigh Electrification</v>
      </c>
      <c r="O107" s="109">
        <v>935.76274065859911</v>
      </c>
      <c r="P107" s="109">
        <v>933.91054622356626</v>
      </c>
      <c r="Q107" s="109">
        <v>923.21893001342596</v>
      </c>
      <c r="R107" s="109">
        <v>912.01809708637461</v>
      </c>
      <c r="S107" s="109">
        <v>900.81631664505187</v>
      </c>
      <c r="T107" s="109">
        <v>880.7429620810683</v>
      </c>
      <c r="U107" s="109">
        <v>869.74561004497116</v>
      </c>
      <c r="V107" s="109">
        <v>823.52785187371069</v>
      </c>
      <c r="W107" s="109">
        <v>766.20260693270018</v>
      </c>
      <c r="X107" s="109">
        <v>708.55411054063188</v>
      </c>
      <c r="Y107" s="109">
        <v>650.54397377520729</v>
      </c>
      <c r="Z107" s="109">
        <v>579.70168928502574</v>
      </c>
      <c r="AA107" s="109">
        <v>509.90444130467239</v>
      </c>
      <c r="AB107" s="109">
        <v>438.7217310703108</v>
      </c>
      <c r="AC107" s="109">
        <v>367.36805153201755</v>
      </c>
      <c r="AD107" s="109">
        <v>295.84335970632026</v>
      </c>
      <c r="AE107" s="109">
        <v>270.63511801616784</v>
      </c>
      <c r="AF107" s="109">
        <v>245.83020484381015</v>
      </c>
      <c r="AG107" s="109">
        <v>221.43003332867957</v>
      </c>
      <c r="AH107" s="109">
        <v>197.43601661020844</v>
      </c>
      <c r="AI107" s="109">
        <v>173.84956782782939</v>
      </c>
      <c r="AJ107" s="109">
        <v>152.82455869413147</v>
      </c>
      <c r="AK107" s="109">
        <v>132.16852751671271</v>
      </c>
      <c r="AL107" s="109">
        <v>111.88274612106235</v>
      </c>
      <c r="AM107" s="109">
        <v>91.968486332669528</v>
      </c>
      <c r="AN107" s="109">
        <v>72.427019977023505</v>
      </c>
      <c r="AO107" s="109">
        <v>61.466149565153984</v>
      </c>
      <c r="AP107" s="109">
        <v>50.709884961960505</v>
      </c>
      <c r="AQ107" s="109">
        <v>40.158293336696367</v>
      </c>
      <c r="AR107" s="109">
        <v>29.811441858614931</v>
      </c>
      <c r="AS107" s="109">
        <v>19.669397696969504</v>
      </c>
      <c r="AT107" s="109">
        <v>16.220380035022355</v>
      </c>
      <c r="AU107" s="109">
        <v>12.839646405054621</v>
      </c>
      <c r="AV107" s="109">
        <v>9.5272191968174109</v>
      </c>
      <c r="AW107" s="109">
        <v>6.2831208000618277</v>
      </c>
      <c r="AX107" s="109">
        <v>3.1073736045389846</v>
      </c>
    </row>
    <row r="108" spans="2:50">
      <c r="B108" t="str">
        <f ca="1">OFFSET('Scenario names'!$C$3,0,0)</f>
        <v>High Electrification</v>
      </c>
      <c r="E108" t="s">
        <v>236</v>
      </c>
      <c r="G108" s="44" t="s">
        <v>1200</v>
      </c>
      <c r="I108" s="45" t="s">
        <v>1213</v>
      </c>
      <c r="K108" s="44" t="s">
        <v>1202</v>
      </c>
      <c r="M108" s="44" t="str">
        <f t="shared" ca="1" si="37"/>
        <v>Buses - ElectricGWh/yearHigh Electrification</v>
      </c>
      <c r="O108" s="109">
        <v>11.987438240893331</v>
      </c>
      <c r="P108" s="109">
        <v>12.107131119092443</v>
      </c>
      <c r="Q108" s="109">
        <v>12.113744692602125</v>
      </c>
      <c r="R108" s="109">
        <v>11.168760892474758</v>
      </c>
      <c r="S108" s="109">
        <v>10.223764659818539</v>
      </c>
      <c r="T108" s="109">
        <v>17.547122180668158</v>
      </c>
      <c r="U108" s="109">
        <v>31.080688296230598</v>
      </c>
      <c r="V108" s="109">
        <v>85.120200192935229</v>
      </c>
      <c r="W108" s="109">
        <v>139.1714974687379</v>
      </c>
      <c r="X108" s="109">
        <v>193.23458012363869</v>
      </c>
      <c r="Y108" s="109">
        <v>247.3094481576376</v>
      </c>
      <c r="Z108" s="109">
        <v>313.83962525000572</v>
      </c>
      <c r="AA108" s="109">
        <v>379.80016990981591</v>
      </c>
      <c r="AB108" s="109">
        <v>445.19108213706789</v>
      </c>
      <c r="AC108" s="109">
        <v>510.01236193176203</v>
      </c>
      <c r="AD108" s="109">
        <v>574.26400929389808</v>
      </c>
      <c r="AE108" s="109">
        <v>608.81145215196375</v>
      </c>
      <c r="AF108" s="109">
        <v>643.43209663824769</v>
      </c>
      <c r="AG108" s="109">
        <v>678.12594275275012</v>
      </c>
      <c r="AH108" s="109">
        <v>712.89299049547083</v>
      </c>
      <c r="AI108" s="109">
        <v>747.73323986641026</v>
      </c>
      <c r="AJ108" s="109">
        <v>782.64370194241098</v>
      </c>
      <c r="AK108" s="109">
        <v>817.62768027012112</v>
      </c>
      <c r="AL108" s="109">
        <v>852.68517484954111</v>
      </c>
      <c r="AM108" s="109">
        <v>887.81618568067006</v>
      </c>
      <c r="AN108" s="109">
        <v>923.02071276350853</v>
      </c>
      <c r="AO108" s="109">
        <v>942.72716503112554</v>
      </c>
      <c r="AP108" s="109">
        <v>962.43786991722538</v>
      </c>
      <c r="AQ108" s="109">
        <v>982.1528274218075</v>
      </c>
      <c r="AR108" s="109">
        <v>1001.8720375448728</v>
      </c>
      <c r="AS108" s="109">
        <v>1021.5955002864204</v>
      </c>
      <c r="AT108" s="109">
        <v>1032.3846281069093</v>
      </c>
      <c r="AU108" s="109">
        <v>1043.1760755374798</v>
      </c>
      <c r="AV108" s="109">
        <v>1053.9698425781314</v>
      </c>
      <c r="AW108" s="109">
        <v>1064.7659292288649</v>
      </c>
      <c r="AX108" s="109">
        <v>1075.5643354896795</v>
      </c>
    </row>
    <row r="109" spans="2:50">
      <c r="B109" t="str">
        <f ca="1">OFFSET('Scenario names'!$C$3,0,0)</f>
        <v>High Electrification</v>
      </c>
      <c r="E109" s="78" t="s">
        <v>236</v>
      </c>
      <c r="G109" s="44" t="s">
        <v>1203</v>
      </c>
      <c r="I109" s="45" t="s">
        <v>1214</v>
      </c>
      <c r="K109" s="44" t="s">
        <v>1202</v>
      </c>
      <c r="M109" s="44" t="str">
        <f t="shared" ca="1" si="37"/>
        <v>Buses - H2GWh/yearHigh Electrification</v>
      </c>
      <c r="O109" s="109">
        <v>0</v>
      </c>
      <c r="P109" s="109">
        <v>0</v>
      </c>
      <c r="Q109" s="109">
        <v>0</v>
      </c>
      <c r="R109" s="109">
        <v>0</v>
      </c>
      <c r="S109" s="109">
        <v>0</v>
      </c>
      <c r="T109" s="109">
        <v>0</v>
      </c>
      <c r="U109" s="109">
        <v>3.9055686227225346</v>
      </c>
      <c r="V109" s="109">
        <v>3.8929854860300073</v>
      </c>
      <c r="W109" s="109">
        <v>3.8804023493374791</v>
      </c>
      <c r="X109" s="109">
        <v>3.8678192126449513</v>
      </c>
      <c r="Y109" s="109">
        <v>3.8552360759524231</v>
      </c>
      <c r="Z109" s="109">
        <v>20.274393609084598</v>
      </c>
      <c r="AA109" s="109">
        <v>32.828381934701831</v>
      </c>
      <c r="AB109" s="109">
        <v>49.194701062029047</v>
      </c>
      <c r="AC109" s="109">
        <v>65.52895164341254</v>
      </c>
      <c r="AD109" s="109">
        <v>81.831018189406393</v>
      </c>
      <c r="AE109" s="109">
        <v>104.64756333478498</v>
      </c>
      <c r="AF109" s="109">
        <v>127.21185490196108</v>
      </c>
      <c r="AG109" s="109">
        <v>149.52296567031041</v>
      </c>
      <c r="AH109" s="109">
        <v>171.57996841920874</v>
      </c>
      <c r="AI109" s="109">
        <v>193.38193592803185</v>
      </c>
      <c r="AJ109" s="109">
        <v>210.40314221876258</v>
      </c>
      <c r="AK109" s="109">
        <v>227.21831133941384</v>
      </c>
      <c r="AL109" s="109">
        <v>243.82670151348617</v>
      </c>
      <c r="AM109" s="109">
        <v>260.22757096448021</v>
      </c>
      <c r="AN109" s="109">
        <v>276.4201779158966</v>
      </c>
      <c r="AO109" s="109">
        <v>285.29648859868348</v>
      </c>
      <c r="AP109" s="109">
        <v>294.17471338934502</v>
      </c>
      <c r="AQ109" s="109">
        <v>303.0548522878812</v>
      </c>
      <c r="AR109" s="109">
        <v>311.93690529429199</v>
      </c>
      <c r="AS109" s="109">
        <v>320.82087240857732</v>
      </c>
      <c r="AT109" s="109">
        <v>318.64276860957159</v>
      </c>
      <c r="AU109" s="109">
        <v>316.46418628359731</v>
      </c>
      <c r="AV109" s="109">
        <v>314.28512543065426</v>
      </c>
      <c r="AW109" s="109">
        <v>312.10558605074266</v>
      </c>
      <c r="AX109" s="109">
        <v>309.92556814386245</v>
      </c>
    </row>
    <row r="110" spans="2:50">
      <c r="B110" t="str">
        <f ca="1">OFFSET('Scenario names'!$C$3,0,0)</f>
        <v>High Electrification</v>
      </c>
      <c r="E110" s="78" t="s">
        <v>237</v>
      </c>
      <c r="F110" s="35"/>
      <c r="G110" s="44" t="s">
        <v>213</v>
      </c>
      <c r="I110" s="45" t="s">
        <v>1215</v>
      </c>
      <c r="K110" s="44" t="s">
        <v>1198</v>
      </c>
      <c r="M110" s="44" t="str">
        <f t="shared" ca="1" si="37"/>
        <v>Taxis - Dieselkt CO2/yearHigh Electrification</v>
      </c>
      <c r="O110" s="109">
        <v>111.11426001643541</v>
      </c>
      <c r="P110" s="109">
        <v>100.37642633746667</v>
      </c>
      <c r="Q110" s="109">
        <v>89.2385648978251</v>
      </c>
      <c r="R110" s="109">
        <v>78.707026181974896</v>
      </c>
      <c r="S110" s="109">
        <v>64.278150500943369</v>
      </c>
      <c r="T110" s="109">
        <v>64.492060634773225</v>
      </c>
      <c r="U110" s="109">
        <v>55.251228734210329</v>
      </c>
      <c r="V110" s="109">
        <v>46.356785661604633</v>
      </c>
      <c r="W110" s="109">
        <v>37.906967336438008</v>
      </c>
      <c r="X110" s="109">
        <v>31.493854680445587</v>
      </c>
      <c r="Y110" s="109">
        <v>26.190628048521564</v>
      </c>
      <c r="Z110" s="109">
        <v>22.346144355977746</v>
      </c>
      <c r="AA110" s="109">
        <v>18.516131951706175</v>
      </c>
      <c r="AB110" s="109">
        <v>14.89606749479899</v>
      </c>
      <c r="AC110" s="109">
        <v>11.848765616639941</v>
      </c>
      <c r="AD110" s="109">
        <v>9.3333727498733392</v>
      </c>
      <c r="AE110" s="109">
        <v>8.1789311383205483</v>
      </c>
      <c r="AF110" s="109">
        <v>7.0193852561297296</v>
      </c>
      <c r="AG110" s="109">
        <v>6.3323530403921326</v>
      </c>
      <c r="AH110" s="109">
        <v>6.0327500487039449</v>
      </c>
      <c r="AI110" s="109">
        <v>5.7405696280836249</v>
      </c>
      <c r="AJ110" s="109">
        <v>5.4709784560611645</v>
      </c>
      <c r="AK110" s="109">
        <v>5.2037142483639105</v>
      </c>
      <c r="AL110" s="109">
        <v>4.9387332833239643</v>
      </c>
      <c r="AM110" s="109">
        <v>4.675992927779669</v>
      </c>
      <c r="AN110" s="109">
        <v>4.4154516034104905</v>
      </c>
      <c r="AO110" s="109">
        <v>3.9675626286678569</v>
      </c>
      <c r="AP110" s="109">
        <v>3.5231406849844338</v>
      </c>
      <c r="AQ110" s="109">
        <v>3.0821434053818999</v>
      </c>
      <c r="AR110" s="109">
        <v>2.6445291103785409</v>
      </c>
      <c r="AS110" s="109">
        <v>2.2102567941004265</v>
      </c>
      <c r="AT110" s="109">
        <v>1.7650446473013452</v>
      </c>
      <c r="AU110" s="109">
        <v>1.3214224340933087</v>
      </c>
      <c r="AV110" s="109">
        <v>0.87938057656311663</v>
      </c>
      <c r="AW110" s="109">
        <v>0.43890957357443033</v>
      </c>
      <c r="AX110" s="109">
        <v>0</v>
      </c>
    </row>
    <row r="111" spans="2:50">
      <c r="B111" t="str">
        <f ca="1">OFFSET('Scenario names'!$C$3,0,0)</f>
        <v>High Electrification</v>
      </c>
      <c r="E111" s="78" t="s">
        <v>237</v>
      </c>
      <c r="G111" s="44" t="s">
        <v>1200</v>
      </c>
      <c r="I111" s="45" t="s">
        <v>1216</v>
      </c>
      <c r="K111" s="44" t="s">
        <v>1202</v>
      </c>
      <c r="M111" s="44" t="str">
        <f t="shared" ca="1" si="37"/>
        <v>Taxis - ElectricGWh/yearHigh Electrification</v>
      </c>
      <c r="O111" s="109">
        <v>20.769022919872736</v>
      </c>
      <c r="P111" s="109">
        <v>26.580749453853954</v>
      </c>
      <c r="Q111" s="109">
        <v>32.119073884161025</v>
      </c>
      <c r="R111" s="109">
        <v>37.560235852273777</v>
      </c>
      <c r="S111" s="109">
        <v>48.717305322966396</v>
      </c>
      <c r="T111" s="109">
        <v>48.519976864116558</v>
      </c>
      <c r="U111" s="109">
        <v>55.541518766287723</v>
      </c>
      <c r="V111" s="109">
        <v>60.588050909178563</v>
      </c>
      <c r="W111" s="109">
        <v>65.882611003379765</v>
      </c>
      <c r="X111" s="109">
        <v>69.592869898408694</v>
      </c>
      <c r="Y111" s="109">
        <v>72.481776543392314</v>
      </c>
      <c r="Z111" s="109">
        <v>75.071526991374043</v>
      </c>
      <c r="AA111" s="109">
        <v>77.930450579349696</v>
      </c>
      <c r="AB111" s="109">
        <v>80.621124991977069</v>
      </c>
      <c r="AC111" s="109">
        <v>82.792380712017177</v>
      </c>
      <c r="AD111" s="109">
        <v>84.455185913591507</v>
      </c>
      <c r="AE111" s="109">
        <v>85.615017112749996</v>
      </c>
      <c r="AF111" s="109">
        <v>86.768819268985837</v>
      </c>
      <c r="AG111" s="109">
        <v>95.026398683253262</v>
      </c>
      <c r="AH111" s="109">
        <v>94.859142166628985</v>
      </c>
      <c r="AI111" s="109">
        <v>94.654007662330415</v>
      </c>
      <c r="AJ111" s="109">
        <v>94.399133551713561</v>
      </c>
      <c r="AK111" s="109">
        <v>94.114818035483125</v>
      </c>
      <c r="AL111" s="109">
        <v>93.836846649473188</v>
      </c>
      <c r="AM111" s="109">
        <v>93.531198607107029</v>
      </c>
      <c r="AN111" s="109">
        <v>93.201351474654885</v>
      </c>
      <c r="AO111" s="109">
        <v>93.377623525807266</v>
      </c>
      <c r="AP111" s="109">
        <v>93.560556116609291</v>
      </c>
      <c r="AQ111" s="109">
        <v>93.718153480478676</v>
      </c>
      <c r="AR111" s="109">
        <v>93.852981484231151</v>
      </c>
      <c r="AS111" s="109">
        <v>93.99159543730326</v>
      </c>
      <c r="AT111" s="109">
        <v>94.136880833390151</v>
      </c>
      <c r="AU111" s="109">
        <v>94.292798014519164</v>
      </c>
      <c r="AV111" s="109">
        <v>94.425833372112223</v>
      </c>
      <c r="AW111" s="109">
        <v>94.568069033348721</v>
      </c>
      <c r="AX111" s="109">
        <v>94.718591090526573</v>
      </c>
    </row>
    <row r="112" spans="2:50">
      <c r="B112" t="str">
        <f ca="1">OFFSET('Scenario names'!$C$3,0,0)</f>
        <v>High Electrification</v>
      </c>
      <c r="E112" s="38" t="s">
        <v>237</v>
      </c>
      <c r="F112" s="38"/>
      <c r="G112" s="44" t="s">
        <v>1203</v>
      </c>
      <c r="I112" s="45" t="s">
        <v>1217</v>
      </c>
      <c r="K112" s="44" t="s">
        <v>1202</v>
      </c>
      <c r="M112" s="44" t="str">
        <f t="shared" ca="1" si="37"/>
        <v>Taxis - H2GWh/yearHigh Electrification</v>
      </c>
      <c r="O112" s="109">
        <v>0</v>
      </c>
      <c r="P112" s="109">
        <v>0</v>
      </c>
      <c r="Q112" s="109">
        <v>0</v>
      </c>
      <c r="R112" s="109">
        <v>0</v>
      </c>
      <c r="S112" s="109">
        <v>0</v>
      </c>
      <c r="T112" s="109">
        <v>0</v>
      </c>
      <c r="U112" s="109">
        <v>0.10837703415743416</v>
      </c>
      <c r="V112" s="109">
        <v>0.24196125889599132</v>
      </c>
      <c r="W112" s="109">
        <v>0.40221789515437756</v>
      </c>
      <c r="X112" s="109">
        <v>0.5759125897204761</v>
      </c>
      <c r="Y112" s="109">
        <v>0.76175398146431494</v>
      </c>
      <c r="Z112" s="109">
        <v>0.97726595198707644</v>
      </c>
      <c r="AA112" s="109">
        <v>1.2187404915112527</v>
      </c>
      <c r="AB112" s="109">
        <v>1.4843037161903934</v>
      </c>
      <c r="AC112" s="109">
        <v>1.7638702761654732</v>
      </c>
      <c r="AD112" s="109">
        <v>2.0535619928324782</v>
      </c>
      <c r="AE112" s="109">
        <v>2.3792863336667893</v>
      </c>
      <c r="AF112" s="109">
        <v>2.725674309920302</v>
      </c>
      <c r="AG112" s="109">
        <v>3.3446853302702935</v>
      </c>
      <c r="AH112" s="109">
        <v>3.7101651010601571</v>
      </c>
      <c r="AI112" s="109">
        <v>4.0862474298665168</v>
      </c>
      <c r="AJ112" s="109">
        <v>4.4653225406667065</v>
      </c>
      <c r="AK112" s="109">
        <v>4.8548294481168011</v>
      </c>
      <c r="AL112" s="109">
        <v>5.2542998340018814</v>
      </c>
      <c r="AM112" s="109">
        <v>5.6632739114717019</v>
      </c>
      <c r="AN112" s="109">
        <v>6.0813001611840773</v>
      </c>
      <c r="AO112" s="109">
        <v>6.2863981616131976</v>
      </c>
      <c r="AP112" s="109">
        <v>6.4867376215252941</v>
      </c>
      <c r="AQ112" s="109">
        <v>6.6823745090177695</v>
      </c>
      <c r="AR112" s="109">
        <v>6.8733638839835978</v>
      </c>
      <c r="AS112" s="109">
        <v>7.0597599164589129</v>
      </c>
      <c r="AT112" s="109">
        <v>7.249005813332885</v>
      </c>
      <c r="AU112" s="109">
        <v>7.4345343752194735</v>
      </c>
      <c r="AV112" s="109">
        <v>7.6163659066571201</v>
      </c>
      <c r="AW112" s="109">
        <v>7.7945205494224385</v>
      </c>
      <c r="AX112" s="109">
        <v>7.9690182841578157</v>
      </c>
    </row>
    <row r="113" spans="2:50">
      <c r="B113" t="str">
        <f ca="1">OFFSET('Scenario names'!$C$3,0,0)</f>
        <v>High Electrification</v>
      </c>
      <c r="E113" s="78" t="s">
        <v>238</v>
      </c>
      <c r="G113" s="44" t="s">
        <v>212</v>
      </c>
      <c r="I113" s="45" t="s">
        <v>1218</v>
      </c>
      <c r="K113" s="44" t="s">
        <v>1198</v>
      </c>
      <c r="M113" s="44" t="str">
        <f t="shared" ca="1" si="37"/>
        <v>Motorcycles - Dieselkt CO2/yearHigh Electrification</v>
      </c>
      <c r="O113" s="109">
        <v>70.8740006682917</v>
      </c>
      <c r="P113" s="109">
        <v>71.21796853424317</v>
      </c>
      <c r="Q113" s="109">
        <v>70.892973966675541</v>
      </c>
      <c r="R113" s="109">
        <v>69.778196793282362</v>
      </c>
      <c r="S113" s="109">
        <v>67.4198018597925</v>
      </c>
      <c r="T113" s="109">
        <v>65.111100862126392</v>
      </c>
      <c r="U113" s="109">
        <v>62.964902553378032</v>
      </c>
      <c r="V113" s="109">
        <v>60.857653834474043</v>
      </c>
      <c r="W113" s="109">
        <v>58.789204177031898</v>
      </c>
      <c r="X113" s="109">
        <v>56.759403052669136</v>
      </c>
      <c r="Y113" s="109">
        <v>54.768099933003242</v>
      </c>
      <c r="Z113" s="109">
        <v>51.829115474869177</v>
      </c>
      <c r="AA113" s="109">
        <v>48.963954334764779</v>
      </c>
      <c r="AB113" s="109">
        <v>46.172474194383028</v>
      </c>
      <c r="AC113" s="109">
        <v>43.454532735416848</v>
      </c>
      <c r="AD113" s="109">
        <v>40.809987639559182</v>
      </c>
      <c r="AE113" s="109">
        <v>37.87828110885247</v>
      </c>
      <c r="AF113" s="109">
        <v>35.022676822483106</v>
      </c>
      <c r="AG113" s="109">
        <v>32.243174780451071</v>
      </c>
      <c r="AH113" s="109">
        <v>29.539774982756413</v>
      </c>
      <c r="AI113" s="109">
        <v>26.912477429399082</v>
      </c>
      <c r="AJ113" s="109">
        <v>24.361282120379112</v>
      </c>
      <c r="AK113" s="109">
        <v>21.886189055696491</v>
      </c>
      <c r="AL113" s="109">
        <v>19.487198235351215</v>
      </c>
      <c r="AM113" s="109">
        <v>17.164309659343292</v>
      </c>
      <c r="AN113" s="109">
        <v>14.917523327672713</v>
      </c>
      <c r="AO113" s="109">
        <v>13.401881779098598</v>
      </c>
      <c r="AP113" s="109">
        <v>11.891548945148232</v>
      </c>
      <c r="AQ113" s="109">
        <v>10.386524825821601</v>
      </c>
      <c r="AR113" s="109">
        <v>8.8868094211187145</v>
      </c>
      <c r="AS113" s="109">
        <v>7.3924027310395761</v>
      </c>
      <c r="AT113" s="109">
        <v>5.9033047555841742</v>
      </c>
      <c r="AU113" s="109">
        <v>4.4195154947525159</v>
      </c>
      <c r="AV113" s="109">
        <v>2.9410349485446008</v>
      </c>
      <c r="AW113" s="109">
        <v>1.4678631169604306</v>
      </c>
      <c r="AX113" s="109">
        <v>0</v>
      </c>
    </row>
    <row r="114" spans="2:50">
      <c r="B114" t="str">
        <f ca="1">OFFSET('Scenario names'!$C$3,0,0)</f>
        <v>High Electrification</v>
      </c>
      <c r="E114" t="s">
        <v>238</v>
      </c>
      <c r="G114" s="44" t="s">
        <v>1200</v>
      </c>
      <c r="I114" s="45" t="s">
        <v>1219</v>
      </c>
      <c r="K114" s="44" t="s">
        <v>1202</v>
      </c>
      <c r="M114" s="44" t="str">
        <f t="shared" ca="1" si="37"/>
        <v>Motorcycles - ElectricGWh/yearHigh Electrification</v>
      </c>
      <c r="O114" s="109">
        <v>0</v>
      </c>
      <c r="P114" s="109">
        <v>0</v>
      </c>
      <c r="Q114" s="109">
        <v>0</v>
      </c>
      <c r="R114" s="109">
        <v>0.59060752466735833</v>
      </c>
      <c r="S114" s="109">
        <v>1.4010412200156845</v>
      </c>
      <c r="T114" s="109">
        <v>2.1839741336597283</v>
      </c>
      <c r="U114" s="109">
        <v>2.934038313198589</v>
      </c>
      <c r="V114" s="109">
        <v>3.6540324527937957</v>
      </c>
      <c r="W114" s="109">
        <v>4.3441778268682274</v>
      </c>
      <c r="X114" s="109">
        <v>5.0046957098447606</v>
      </c>
      <c r="Y114" s="109">
        <v>5.6358073761462784</v>
      </c>
      <c r="Z114" s="109">
        <v>7.0276316926474687</v>
      </c>
      <c r="AA114" s="109">
        <v>8.3566824465598675</v>
      </c>
      <c r="AB114" s="109">
        <v>9.6234357624255651</v>
      </c>
      <c r="AC114" s="109">
        <v>10.828367764786645</v>
      </c>
      <c r="AD114" s="109">
        <v>11.971954578185189</v>
      </c>
      <c r="AE114" s="109">
        <v>13.486848308184326</v>
      </c>
      <c r="AF114" s="109">
        <v>14.934676891248884</v>
      </c>
      <c r="AG114" s="109">
        <v>16.315914991026279</v>
      </c>
      <c r="AH114" s="109">
        <v>17.631037271163926</v>
      </c>
      <c r="AI114" s="109">
        <v>18.88051839530921</v>
      </c>
      <c r="AJ114" s="109">
        <v>20.064833027109561</v>
      </c>
      <c r="AK114" s="109">
        <v>21.184455830212368</v>
      </c>
      <c r="AL114" s="109">
        <v>22.239861468265055</v>
      </c>
      <c r="AM114" s="109">
        <v>23.231524604915016</v>
      </c>
      <c r="AN114" s="109">
        <v>24.159919903809644</v>
      </c>
      <c r="AO114" s="109">
        <v>25.172378414457505</v>
      </c>
      <c r="AP114" s="109">
        <v>26.174893383294172</v>
      </c>
      <c r="AQ114" s="109">
        <v>27.167497921745838</v>
      </c>
      <c r="AR114" s="109">
        <v>28.150225141238689</v>
      </c>
      <c r="AS114" s="109">
        <v>29.123108153198938</v>
      </c>
      <c r="AT114" s="109">
        <v>30.086180069052748</v>
      </c>
      <c r="AU114" s="109">
        <v>31.039474000226313</v>
      </c>
      <c r="AV114" s="109">
        <v>31.983023058145836</v>
      </c>
      <c r="AW114" s="109">
        <v>32.916860354237514</v>
      </c>
      <c r="AX114" s="109">
        <v>33.925524951685247</v>
      </c>
    </row>
    <row r="115" spans="2:50">
      <c r="C115" t="s">
        <v>1223</v>
      </c>
    </row>
    <row r="116" spans="2:50">
      <c r="B116" t="str">
        <f ca="1">OFFSET('Scenario names'!$C$3,0,0)</f>
        <v>High Electrification</v>
      </c>
      <c r="E116" s="38" t="s">
        <v>233</v>
      </c>
      <c r="F116" s="38"/>
      <c r="G116" s="44" t="s">
        <v>213</v>
      </c>
      <c r="I116" s="45" t="s">
        <v>1197</v>
      </c>
      <c r="J116" s="38"/>
      <c r="K116" s="38" t="s">
        <v>1224</v>
      </c>
      <c r="L116" s="38"/>
      <c r="M116" s="44" t="str">
        <f ca="1">I116&amp;K116&amp;$B116</f>
        <v>Cars - Dieselthousand kmHigh Electrification</v>
      </c>
      <c r="O116" s="318">
        <v>8811255.731990803</v>
      </c>
      <c r="P116" s="318">
        <v>9212140.5638061743</v>
      </c>
      <c r="Q116" s="318">
        <v>9407357.2005250063</v>
      </c>
      <c r="R116" s="318">
        <v>9333321.8943427205</v>
      </c>
      <c r="S116" s="318">
        <v>8880482.3618594855</v>
      </c>
      <c r="T116" s="318">
        <v>8658330.0074153151</v>
      </c>
      <c r="U116" s="318">
        <v>8465898.8574156109</v>
      </c>
      <c r="V116" s="318">
        <v>7944190.2210158473</v>
      </c>
      <c r="W116" s="318">
        <v>7334120.4189196657</v>
      </c>
      <c r="X116" s="318">
        <v>6697363.1141163688</v>
      </c>
      <c r="Y116" s="318">
        <v>5986006.9945304403</v>
      </c>
      <c r="Z116" s="318">
        <v>5298073.3341931561</v>
      </c>
      <c r="AA116" s="318">
        <v>4597650.2311079782</v>
      </c>
      <c r="AB116" s="318">
        <v>3918034.458808051</v>
      </c>
      <c r="AC116" s="318">
        <v>3283862.8750981297</v>
      </c>
      <c r="AD116" s="318">
        <v>2705881.3751155678</v>
      </c>
      <c r="AE116" s="318">
        <v>2179457.7816706686</v>
      </c>
      <c r="AF116" s="318">
        <v>1733775.410558016</v>
      </c>
      <c r="AG116" s="318">
        <v>1348033.547234694</v>
      </c>
      <c r="AH116" s="318">
        <v>1031893.6408477853</v>
      </c>
      <c r="AI116" s="318">
        <v>776539.32166889729</v>
      </c>
      <c r="AJ116" s="318">
        <v>574055.95621697255</v>
      </c>
      <c r="AK116" s="318">
        <v>416107.56155144295</v>
      </c>
      <c r="AL116" s="318">
        <v>297943.57545872952</v>
      </c>
      <c r="AM116" s="318">
        <v>209146.41747664157</v>
      </c>
      <c r="AN116" s="318">
        <v>144402.63979093966</v>
      </c>
      <c r="AO116" s="318">
        <v>101159.25202270066</v>
      </c>
      <c r="AP116" s="318">
        <v>69517.403607880537</v>
      </c>
      <c r="AQ116" s="318">
        <v>47356.457584610886</v>
      </c>
      <c r="AR116" s="318">
        <v>31706.322414807008</v>
      </c>
      <c r="AS116" s="318">
        <v>21351.868412013137</v>
      </c>
      <c r="AT116" s="318">
        <v>14027.398786703518</v>
      </c>
      <c r="AU116" s="318">
        <v>9256.3519714707654</v>
      </c>
      <c r="AV116" s="318">
        <v>6203.0447770613919</v>
      </c>
      <c r="AW116" s="318">
        <v>3998.0424254145855</v>
      </c>
      <c r="AX116" s="318">
        <v>2686.5992614594015</v>
      </c>
    </row>
    <row r="117" spans="2:50">
      <c r="B117" t="str">
        <f ca="1">OFFSET('Scenario names'!$C$3,0,0)</f>
        <v>High Electrification</v>
      </c>
      <c r="E117" s="78" t="s">
        <v>233</v>
      </c>
      <c r="G117" s="44" t="s">
        <v>212</v>
      </c>
      <c r="I117" s="45" t="s">
        <v>1199</v>
      </c>
      <c r="K117" s="38" t="s">
        <v>1224</v>
      </c>
      <c r="M117" s="44" t="str">
        <f t="shared" ref="M117:M134" ca="1" si="38">I117&amp;K117&amp;$B117</f>
        <v>Cars - Petrolthousand kmHigh Electrification</v>
      </c>
      <c r="O117" s="318">
        <v>12684155.491909495</v>
      </c>
      <c r="P117" s="318">
        <v>12489285.738148466</v>
      </c>
      <c r="Q117" s="318">
        <v>12289178.575288735</v>
      </c>
      <c r="R117" s="318">
        <v>12316497.002572337</v>
      </c>
      <c r="S117" s="318">
        <v>12581299.678075671</v>
      </c>
      <c r="T117" s="318">
        <v>12570614.877329549</v>
      </c>
      <c r="U117" s="318">
        <v>12283194.756570134</v>
      </c>
      <c r="V117" s="318">
        <v>11907049.392626418</v>
      </c>
      <c r="W117" s="318">
        <v>11390994.15201523</v>
      </c>
      <c r="X117" s="318">
        <v>10880631.580913082</v>
      </c>
      <c r="Y117" s="318">
        <v>10210115.364741867</v>
      </c>
      <c r="Z117" s="318">
        <v>9512280.8807062358</v>
      </c>
      <c r="AA117" s="318">
        <v>8726203.0329224821</v>
      </c>
      <c r="AB117" s="318">
        <v>7920961.5444589779</v>
      </c>
      <c r="AC117" s="318">
        <v>7093652.1652254378</v>
      </c>
      <c r="AD117" s="318">
        <v>6245715.3900417546</v>
      </c>
      <c r="AE117" s="318">
        <v>5409913.7610062677</v>
      </c>
      <c r="AF117" s="318">
        <v>4654583.6111286553</v>
      </c>
      <c r="AG117" s="318">
        <v>3941355.1000317098</v>
      </c>
      <c r="AH117" s="318">
        <v>3305631.4020539224</v>
      </c>
      <c r="AI117" s="318">
        <v>2702700.6944579487</v>
      </c>
      <c r="AJ117" s="318">
        <v>2179315.8383298721</v>
      </c>
      <c r="AK117" s="318">
        <v>1730272.3478209458</v>
      </c>
      <c r="AL117" s="318">
        <v>1365426.4902179537</v>
      </c>
      <c r="AM117" s="318">
        <v>1059183.4129885521</v>
      </c>
      <c r="AN117" s="318">
        <v>815110.43025521014</v>
      </c>
      <c r="AO117" s="318">
        <v>636791.08899859549</v>
      </c>
      <c r="AP117" s="318">
        <v>491556.70267177268</v>
      </c>
      <c r="AQ117" s="318">
        <v>375493.65732088749</v>
      </c>
      <c r="AR117" s="318">
        <v>285009.43518625153</v>
      </c>
      <c r="AS117" s="318">
        <v>212472.8783203593</v>
      </c>
      <c r="AT117" s="318">
        <v>156186.31836570203</v>
      </c>
      <c r="AU117" s="318">
        <v>113191.96125112822</v>
      </c>
      <c r="AV117" s="318">
        <v>79974.970161398669</v>
      </c>
      <c r="AW117" s="318">
        <v>55883.748568572766</v>
      </c>
      <c r="AX117" s="318">
        <v>38552.699401942409</v>
      </c>
    </row>
    <row r="118" spans="2:50">
      <c r="B118" t="str">
        <f ca="1">OFFSET('Scenario names'!$C$3,0,0)</f>
        <v>High Electrification</v>
      </c>
      <c r="E118" t="s">
        <v>233</v>
      </c>
      <c r="G118" s="44" t="s">
        <v>1200</v>
      </c>
      <c r="I118" s="45" t="s">
        <v>1201</v>
      </c>
      <c r="K118" s="38" t="s">
        <v>1224</v>
      </c>
      <c r="M118" s="44" t="str">
        <f t="shared" ca="1" si="38"/>
        <v>Cars - Electricthousand kmHigh Electrification</v>
      </c>
      <c r="O118" s="318">
        <v>23052.692471471757</v>
      </c>
      <c r="P118" s="318">
        <v>32599.599851047653</v>
      </c>
      <c r="Q118" s="318">
        <v>48374.462755353088</v>
      </c>
      <c r="R118" s="318">
        <v>87407.77058063334</v>
      </c>
      <c r="S118" s="318">
        <v>124670.88292959223</v>
      </c>
      <c r="T118" s="318">
        <v>186386.84605773547</v>
      </c>
      <c r="U118" s="318">
        <v>489444.0015033338</v>
      </c>
      <c r="V118" s="318">
        <v>1173349.0707513639</v>
      </c>
      <c r="W118" s="318">
        <v>2084824.1964809138</v>
      </c>
      <c r="X118" s="318">
        <v>3016642.9265475287</v>
      </c>
      <c r="Y118" s="318">
        <v>4181428.4649481559</v>
      </c>
      <c r="Z118" s="318">
        <v>5323976.5995201506</v>
      </c>
      <c r="AA118" s="318">
        <v>6567421.6175542278</v>
      </c>
      <c r="AB118" s="318">
        <v>7803070.7869163798</v>
      </c>
      <c r="AC118" s="318">
        <v>9015676.1640040558</v>
      </c>
      <c r="AD118" s="318">
        <v>10190890.434960254</v>
      </c>
      <c r="AE118" s="318">
        <v>11215829.099122182</v>
      </c>
      <c r="AF118" s="318">
        <v>12078772.87958714</v>
      </c>
      <c r="AG118" s="318">
        <v>12838075.499451574</v>
      </c>
      <c r="AH118" s="318">
        <v>13443925.26325771</v>
      </c>
      <c r="AI118" s="318">
        <v>13951345.569525931</v>
      </c>
      <c r="AJ118" s="318">
        <v>14323395.039378338</v>
      </c>
      <c r="AK118" s="318">
        <v>14573702.228562202</v>
      </c>
      <c r="AL118" s="318">
        <v>14698179.146044264</v>
      </c>
      <c r="AM118" s="318">
        <v>14730503.27903948</v>
      </c>
      <c r="AN118" s="318">
        <v>14673771.541908845</v>
      </c>
      <c r="AO118" s="318">
        <v>14820940.185271887</v>
      </c>
      <c r="AP118" s="318">
        <v>14923283.867712701</v>
      </c>
      <c r="AQ118" s="318">
        <v>14984788.616873037</v>
      </c>
      <c r="AR118" s="318">
        <v>15015679.962468838</v>
      </c>
      <c r="AS118" s="318">
        <v>15020560.100193013</v>
      </c>
      <c r="AT118" s="318">
        <v>15005678.345212465</v>
      </c>
      <c r="AU118" s="318">
        <v>14972898.637584986</v>
      </c>
      <c r="AV118" s="318">
        <v>14929621.091819439</v>
      </c>
      <c r="AW118" s="318">
        <v>14873695.121801803</v>
      </c>
      <c r="AX118" s="318">
        <v>14808938.119053438</v>
      </c>
    </row>
    <row r="119" spans="2:50">
      <c r="B119" t="str">
        <f ca="1">OFFSET('Scenario names'!$C$3,0,0)</f>
        <v>High Electrification</v>
      </c>
      <c r="E119" s="78" t="s">
        <v>233</v>
      </c>
      <c r="G119" s="44" t="s">
        <v>1203</v>
      </c>
      <c r="I119" s="45" t="s">
        <v>1204</v>
      </c>
      <c r="K119" s="38" t="s">
        <v>1224</v>
      </c>
      <c r="M119" s="44" t="str">
        <f t="shared" ca="1" si="38"/>
        <v>Cars - H2thousand kmHigh Electrification</v>
      </c>
      <c r="O119" s="318">
        <v>0</v>
      </c>
      <c r="P119" s="318">
        <v>0</v>
      </c>
      <c r="Q119" s="318">
        <v>0</v>
      </c>
      <c r="R119" s="318">
        <v>0</v>
      </c>
      <c r="S119" s="318">
        <v>0</v>
      </c>
      <c r="T119" s="318">
        <v>0</v>
      </c>
      <c r="U119" s="318">
        <v>0</v>
      </c>
      <c r="V119" s="318">
        <v>0</v>
      </c>
      <c r="W119" s="318">
        <v>1255.8425374862443</v>
      </c>
      <c r="X119" s="318">
        <v>3075.5708643076637</v>
      </c>
      <c r="Y119" s="318">
        <v>6011.254262432657</v>
      </c>
      <c r="Z119" s="318">
        <v>9440.8256317062605</v>
      </c>
      <c r="AA119" s="318">
        <v>12673.638025858352</v>
      </c>
      <c r="AB119" s="318">
        <v>21434.683189563191</v>
      </c>
      <c r="AC119" s="318">
        <v>29838.229051875987</v>
      </c>
      <c r="AD119" s="318">
        <v>40047.044351710414</v>
      </c>
      <c r="AE119" s="318">
        <v>50060.07960800617</v>
      </c>
      <c r="AF119" s="318">
        <v>60852.319585320009</v>
      </c>
      <c r="AG119" s="318">
        <v>73748.020633978434</v>
      </c>
      <c r="AH119" s="318">
        <v>92474.110061750311</v>
      </c>
      <c r="AI119" s="318">
        <v>116051.07943760273</v>
      </c>
      <c r="AJ119" s="318">
        <v>142582.08003441038</v>
      </c>
      <c r="AK119" s="318">
        <v>171979.02489421691</v>
      </c>
      <c r="AL119" s="318">
        <v>203224.1999770737</v>
      </c>
      <c r="AM119" s="318">
        <v>238652.55106255785</v>
      </c>
      <c r="AN119" s="318">
        <v>276913.29748144903</v>
      </c>
      <c r="AO119" s="318">
        <v>320977.87983574218</v>
      </c>
      <c r="AP119" s="318">
        <v>365180.9288290515</v>
      </c>
      <c r="AQ119" s="318">
        <v>411570.66773534555</v>
      </c>
      <c r="AR119" s="318">
        <v>456484.17613646801</v>
      </c>
      <c r="AS119" s="318">
        <v>504165.54597345309</v>
      </c>
      <c r="AT119" s="318">
        <v>552328.82722645102</v>
      </c>
      <c r="AU119" s="318">
        <v>602544.43547621602</v>
      </c>
      <c r="AV119" s="318">
        <v>651762.77621837915</v>
      </c>
      <c r="AW119" s="318">
        <v>703655.46687296708</v>
      </c>
      <c r="AX119" s="318">
        <v>756725.45864439802</v>
      </c>
    </row>
    <row r="120" spans="2:50">
      <c r="B120" t="str">
        <f ca="1">OFFSET('Scenario names'!$C$3,0,0)</f>
        <v>High Electrification</v>
      </c>
      <c r="E120" s="78" t="s">
        <v>234</v>
      </c>
      <c r="G120" s="44" t="s">
        <v>213</v>
      </c>
      <c r="I120" s="45" t="s">
        <v>1205</v>
      </c>
      <c r="K120" s="38" t="s">
        <v>1224</v>
      </c>
      <c r="M120" s="44" t="str">
        <f t="shared" ca="1" si="38"/>
        <v>LGVs - Dieselthousand kmHigh Electrification</v>
      </c>
      <c r="O120" s="318">
        <v>4097794.8214611099</v>
      </c>
      <c r="P120" s="318">
        <v>4137693.6257750238</v>
      </c>
      <c r="Q120" s="318">
        <v>4130449.4677480236</v>
      </c>
      <c r="R120" s="318">
        <v>4120141.5290354374</v>
      </c>
      <c r="S120" s="318">
        <v>4166910.9502941058</v>
      </c>
      <c r="T120" s="318">
        <v>3644078.1912734257</v>
      </c>
      <c r="U120" s="318">
        <v>3637177.414524083</v>
      </c>
      <c r="V120" s="318">
        <v>3626578.5517142755</v>
      </c>
      <c r="W120" s="318">
        <v>3602069.6521771229</v>
      </c>
      <c r="X120" s="318">
        <v>3575574.406085175</v>
      </c>
      <c r="Y120" s="318">
        <v>3525472.4327390101</v>
      </c>
      <c r="Z120" s="318">
        <v>3428363.3856490087</v>
      </c>
      <c r="AA120" s="318">
        <v>3195214.5134801907</v>
      </c>
      <c r="AB120" s="318">
        <v>2956513.4128146009</v>
      </c>
      <c r="AC120" s="318">
        <v>2696975.4950984465</v>
      </c>
      <c r="AD120" s="318">
        <v>2343078.2799687213</v>
      </c>
      <c r="AE120" s="318">
        <v>2037465.0685286103</v>
      </c>
      <c r="AF120" s="318">
        <v>1746157.2359821782</v>
      </c>
      <c r="AG120" s="318">
        <v>1474849.946462251</v>
      </c>
      <c r="AH120" s="318">
        <v>1250167.882189092</v>
      </c>
      <c r="AI120" s="318">
        <v>1042446.716691558</v>
      </c>
      <c r="AJ120" s="318">
        <v>852495.25931001501</v>
      </c>
      <c r="AK120" s="318">
        <v>681907.0848337888</v>
      </c>
      <c r="AL120" s="318">
        <v>532196.00776335259</v>
      </c>
      <c r="AM120" s="318">
        <v>404387.5603120774</v>
      </c>
      <c r="AN120" s="318">
        <v>298699.31153118255</v>
      </c>
      <c r="AO120" s="318">
        <v>214266.60445315088</v>
      </c>
      <c r="AP120" s="318">
        <v>149261.98242954467</v>
      </c>
      <c r="AQ120" s="318">
        <v>101068.08171022948</v>
      </c>
      <c r="AR120" s="318">
        <v>66652.911393604401</v>
      </c>
      <c r="AS120" s="318">
        <v>42930.23041673845</v>
      </c>
      <c r="AT120" s="318">
        <v>27099.884525968377</v>
      </c>
      <c r="AU120" s="318">
        <v>16827.95975664361</v>
      </c>
      <c r="AV120" s="318">
        <v>10310.031119655969</v>
      </c>
      <c r="AW120" s="318">
        <v>6250.390567264968</v>
      </c>
      <c r="AX120" s="318">
        <v>3758.8827495060277</v>
      </c>
    </row>
    <row r="121" spans="2:50">
      <c r="B121" t="str">
        <f ca="1">OFFSET('Scenario names'!$C$3,0,0)</f>
        <v>High Electrification</v>
      </c>
      <c r="E121" t="s">
        <v>234</v>
      </c>
      <c r="G121" s="44" t="s">
        <v>212</v>
      </c>
      <c r="I121" s="45" t="s">
        <v>1206</v>
      </c>
      <c r="K121" s="38" t="s">
        <v>1224</v>
      </c>
      <c r="M121" s="44" t="str">
        <f t="shared" ca="1" si="38"/>
        <v>LGVs - Petrolthousand kmHigh Electrification</v>
      </c>
      <c r="O121" s="318">
        <v>61815.142478798654</v>
      </c>
      <c r="P121" s="318">
        <v>47636.453273599152</v>
      </c>
      <c r="Q121" s="318">
        <v>36294.734765976376</v>
      </c>
      <c r="R121" s="318">
        <v>27276.629957861656</v>
      </c>
      <c r="S121" s="318">
        <v>20465.064755414511</v>
      </c>
      <c r="T121" s="318">
        <v>12961.178881482645</v>
      </c>
      <c r="U121" s="318">
        <v>9355.3405265209203</v>
      </c>
      <c r="V121" s="318">
        <v>6569.1286373837875</v>
      </c>
      <c r="W121" s="318">
        <v>4491.910226205433</v>
      </c>
      <c r="X121" s="318">
        <v>3011.3047431564219</v>
      </c>
      <c r="Y121" s="318">
        <v>2319.3074941206346</v>
      </c>
      <c r="Z121" s="318">
        <v>3471.9133681006947</v>
      </c>
      <c r="AA121" s="318">
        <v>8291.07754422791</v>
      </c>
      <c r="AB121" s="318">
        <v>20644.348470289533</v>
      </c>
      <c r="AC121" s="318">
        <v>33951.924362825775</v>
      </c>
      <c r="AD121" s="318">
        <v>41306.04663812268</v>
      </c>
      <c r="AE121" s="318">
        <v>47027.680457664734</v>
      </c>
      <c r="AF121" s="318">
        <v>51120.219955773333</v>
      </c>
      <c r="AG121" s="318">
        <v>54233.078120558173</v>
      </c>
      <c r="AH121" s="318">
        <v>57076.970488837142</v>
      </c>
      <c r="AI121" s="318">
        <v>54369.672326272092</v>
      </c>
      <c r="AJ121" s="318">
        <v>51235.313540381758</v>
      </c>
      <c r="AK121" s="318">
        <v>47621.104318813195</v>
      </c>
      <c r="AL121" s="318">
        <v>43455.552831760142</v>
      </c>
      <c r="AM121" s="318">
        <v>39557.546553188578</v>
      </c>
      <c r="AN121" s="318">
        <v>35116.111304437763</v>
      </c>
      <c r="AO121" s="318">
        <v>30326.480214297972</v>
      </c>
      <c r="AP121" s="318">
        <v>25431.089136437135</v>
      </c>
      <c r="AQ121" s="318">
        <v>20678.61519908431</v>
      </c>
      <c r="AR121" s="318">
        <v>16286.225672442913</v>
      </c>
      <c r="AS121" s="318">
        <v>12412.523871197291</v>
      </c>
      <c r="AT121" s="318">
        <v>9149.9162652892592</v>
      </c>
      <c r="AU121" s="318">
        <v>6522.8034435152686</v>
      </c>
      <c r="AV121" s="318">
        <v>4501.5057132671145</v>
      </c>
      <c r="AW121" s="318">
        <v>3015.3728029495201</v>
      </c>
      <c r="AX121" s="318">
        <v>1964.5823334165243</v>
      </c>
    </row>
    <row r="122" spans="2:50">
      <c r="B122" t="str">
        <f ca="1">OFFSET('Scenario names'!$C$3,0,0)</f>
        <v>High Electrification</v>
      </c>
      <c r="E122" t="s">
        <v>234</v>
      </c>
      <c r="G122" s="44" t="s">
        <v>1200</v>
      </c>
      <c r="I122" s="45" t="s">
        <v>1207</v>
      </c>
      <c r="K122" s="38" t="s">
        <v>1224</v>
      </c>
      <c r="M122" s="44" t="str">
        <f t="shared" ca="1" si="38"/>
        <v>LGVs - Electricthousand kmHigh Electrification</v>
      </c>
      <c r="O122" s="318">
        <v>2933.0766855798147</v>
      </c>
      <c r="P122" s="318">
        <v>18775.366082986431</v>
      </c>
      <c r="Q122" s="318">
        <v>39657.753668026926</v>
      </c>
      <c r="R122" s="318">
        <v>58988.114285957774</v>
      </c>
      <c r="S122" s="318">
        <v>80390.226177005825</v>
      </c>
      <c r="T122" s="318">
        <v>76534.208942451311</v>
      </c>
      <c r="U122" s="318">
        <v>87040.824046756257</v>
      </c>
      <c r="V122" s="318">
        <v>108100.46665829081</v>
      </c>
      <c r="W122" s="318">
        <v>142361.15251920986</v>
      </c>
      <c r="X122" s="318">
        <v>178011.57200679605</v>
      </c>
      <c r="Y122" s="318">
        <v>236454.23982307286</v>
      </c>
      <c r="Z122" s="318">
        <v>339606.12975748349</v>
      </c>
      <c r="AA122" s="318">
        <v>568429.19077975256</v>
      </c>
      <c r="AB122" s="318">
        <v>801029.61079844285</v>
      </c>
      <c r="AC122" s="318">
        <v>1053107.0878981655</v>
      </c>
      <c r="AD122" s="318">
        <v>1380501.0015578612</v>
      </c>
      <c r="AE122" s="318">
        <v>1666540.5484000253</v>
      </c>
      <c r="AF122" s="318">
        <v>1928408.6203675964</v>
      </c>
      <c r="AG122" s="318">
        <v>2161131.6475846758</v>
      </c>
      <c r="AH122" s="318">
        <v>2347875.3490385897</v>
      </c>
      <c r="AI122" s="318">
        <v>2508457.613903231</v>
      </c>
      <c r="AJ122" s="318">
        <v>2643712.5621335343</v>
      </c>
      <c r="AK122" s="318">
        <v>2753480.1734562539</v>
      </c>
      <c r="AL122" s="318">
        <v>2837563.1614901861</v>
      </c>
      <c r="AM122" s="318">
        <v>2896214.8329279246</v>
      </c>
      <c r="AN122" s="318">
        <v>2929208.4338107379</v>
      </c>
      <c r="AO122" s="318">
        <v>2941200.2627621144</v>
      </c>
      <c r="AP122" s="318">
        <v>2935566.8460789658</v>
      </c>
      <c r="AQ122" s="318">
        <v>2915976.5945608132</v>
      </c>
      <c r="AR122" s="318">
        <v>2885999.956171093</v>
      </c>
      <c r="AS122" s="318">
        <v>2848666.1613748702</v>
      </c>
      <c r="AT122" s="318">
        <v>2807199.0708598848</v>
      </c>
      <c r="AU122" s="318">
        <v>2764239.7011783859</v>
      </c>
      <c r="AV122" s="318">
        <v>2721960.5164530776</v>
      </c>
      <c r="AW122" s="318">
        <v>2681475.4022353846</v>
      </c>
      <c r="AX122" s="318">
        <v>2643278.9566282965</v>
      </c>
    </row>
    <row r="123" spans="2:50">
      <c r="B123" t="str">
        <f ca="1">OFFSET('Scenario names'!$C$3,0,0)</f>
        <v>High Electrification</v>
      </c>
      <c r="E123" t="s">
        <v>234</v>
      </c>
      <c r="G123" s="44" t="s">
        <v>1203</v>
      </c>
      <c r="I123" s="45" t="s">
        <v>1208</v>
      </c>
      <c r="K123" s="38" t="s">
        <v>1224</v>
      </c>
      <c r="M123" s="44" t="str">
        <f t="shared" ca="1" si="38"/>
        <v>LGVs - H2thousand kmHigh Electrification</v>
      </c>
      <c r="O123" s="318">
        <v>0</v>
      </c>
      <c r="P123" s="318">
        <v>0</v>
      </c>
      <c r="Q123" s="318">
        <v>0</v>
      </c>
      <c r="R123" s="318">
        <v>0</v>
      </c>
      <c r="S123" s="318">
        <v>0</v>
      </c>
      <c r="T123" s="318">
        <v>0</v>
      </c>
      <c r="U123" s="318">
        <v>0</v>
      </c>
      <c r="V123" s="318">
        <v>0</v>
      </c>
      <c r="W123" s="318">
        <v>0</v>
      </c>
      <c r="X123" s="318">
        <v>0</v>
      </c>
      <c r="Y123" s="318">
        <v>25.870691512778969</v>
      </c>
      <c r="Z123" s="318">
        <v>504.98988571330335</v>
      </c>
      <c r="AA123" s="318">
        <v>7686.2047687240502</v>
      </c>
      <c r="AB123" s="318">
        <v>9108.1824021514549</v>
      </c>
      <c r="AC123" s="318">
        <v>10935.615038635369</v>
      </c>
      <c r="AD123" s="318">
        <v>37759.362145955769</v>
      </c>
      <c r="AE123" s="318">
        <v>69719.224782981924</v>
      </c>
      <c r="AF123" s="318">
        <v>113174.27772235656</v>
      </c>
      <c r="AG123" s="318">
        <v>166753.51371904142</v>
      </c>
      <c r="AH123" s="318">
        <v>219955.81602862952</v>
      </c>
      <c r="AI123" s="318">
        <v>287909.8466827097</v>
      </c>
      <c r="AJ123" s="318">
        <v>363848.54647846299</v>
      </c>
      <c r="AK123" s="318">
        <v>446391.15071215993</v>
      </c>
      <c r="AL123" s="318">
        <v>534292.62309433823</v>
      </c>
      <c r="AM123" s="318">
        <v>625455.23724506772</v>
      </c>
      <c r="AN123" s="318">
        <v>720699.15225052251</v>
      </c>
      <c r="AO123" s="318">
        <v>816037.49332593952</v>
      </c>
      <c r="AP123" s="318">
        <v>909678.7549691773</v>
      </c>
      <c r="AQ123" s="318">
        <v>1000323.2130026197</v>
      </c>
      <c r="AR123" s="318">
        <v>1087215.2430942287</v>
      </c>
      <c r="AS123" s="318">
        <v>1170253.2525271855</v>
      </c>
      <c r="AT123" s="318">
        <v>1248921.1283974706</v>
      </c>
      <c r="AU123" s="318">
        <v>1322887.3675286896</v>
      </c>
      <c r="AV123" s="318">
        <v>1391813.6104798564</v>
      </c>
      <c r="AW123" s="318">
        <v>1455952.3300188801</v>
      </c>
      <c r="AX123" s="318">
        <v>1515798.905771886</v>
      </c>
    </row>
    <row r="124" spans="2:50">
      <c r="B124" t="str">
        <f ca="1">OFFSET('Scenario names'!$C$3,0,0)</f>
        <v>High Electrification</v>
      </c>
      <c r="E124" t="s">
        <v>235</v>
      </c>
      <c r="G124" s="44" t="s">
        <v>213</v>
      </c>
      <c r="I124" s="45" t="s">
        <v>1209</v>
      </c>
      <c r="K124" s="38" t="s">
        <v>1224</v>
      </c>
      <c r="M124" s="44" t="str">
        <f t="shared" ca="1" si="38"/>
        <v>HGVs - Dieselthousand kmHigh Electrification</v>
      </c>
      <c r="O124" s="318">
        <v>1449179.4014922138</v>
      </c>
      <c r="P124" s="318">
        <v>1463649.2531907822</v>
      </c>
      <c r="Q124" s="318">
        <v>1464448.7780190136</v>
      </c>
      <c r="R124" s="318">
        <v>1464450.2810060866</v>
      </c>
      <c r="S124" s="318">
        <v>1464450.2810060866</v>
      </c>
      <c r="T124" s="318">
        <v>1464450.2810060866</v>
      </c>
      <c r="U124" s="318">
        <v>1469834.1118589081</v>
      </c>
      <c r="V124" s="318">
        <v>1473444.9002157389</v>
      </c>
      <c r="W124" s="318">
        <v>1478828.7310685602</v>
      </c>
      <c r="X124" s="318">
        <v>1482439.5194253912</v>
      </c>
      <c r="Y124" s="318">
        <v>1486050.3077822223</v>
      </c>
      <c r="Z124" s="318">
        <v>1473228.6881432298</v>
      </c>
      <c r="AA124" s="318">
        <v>1458549.7819573581</v>
      </c>
      <c r="AB124" s="318">
        <v>1445463.9299218033</v>
      </c>
      <c r="AC124" s="318">
        <v>1430584.6208692254</v>
      </c>
      <c r="AD124" s="318">
        <v>1417234.5364371096</v>
      </c>
      <c r="AE124" s="318">
        <v>1329810.046604295</v>
      </c>
      <c r="AF124" s="318">
        <v>1242268.691341382</v>
      </c>
      <c r="AG124" s="318">
        <v>1154610.4706483702</v>
      </c>
      <c r="AH124" s="318">
        <v>1066835.38452526</v>
      </c>
      <c r="AI124" s="318">
        <v>979918.60634484584</v>
      </c>
      <c r="AJ124" s="318">
        <v>870298.70047537307</v>
      </c>
      <c r="AK124" s="318">
        <v>760521.47575769038</v>
      </c>
      <c r="AL124" s="318">
        <v>650586.93219179823</v>
      </c>
      <c r="AM124" s="318">
        <v>540495.06977769616</v>
      </c>
      <c r="AN124" s="318">
        <v>430529.57531474298</v>
      </c>
      <c r="AO124" s="318">
        <v>367105.52263038704</v>
      </c>
      <c r="AP124" s="318">
        <v>303673.55207337142</v>
      </c>
      <c r="AQ124" s="318">
        <v>240233.66364369626</v>
      </c>
      <c r="AR124" s="318">
        <v>176785.85734136144</v>
      </c>
      <c r="AS124" s="318">
        <v>113330.13316636687</v>
      </c>
      <c r="AT124" s="318">
        <v>92740.310053763489</v>
      </c>
      <c r="AU124" s="318">
        <v>72147.517738912764</v>
      </c>
      <c r="AV124" s="318">
        <v>51551.756221814663</v>
      </c>
      <c r="AW124" s="318">
        <v>30953.025502469209</v>
      </c>
      <c r="AX124" s="318">
        <v>10351.325580876404</v>
      </c>
    </row>
    <row r="125" spans="2:50">
      <c r="B125" t="str">
        <f ca="1">OFFSET('Scenario names'!$C$3,0,0)</f>
        <v>High Electrification</v>
      </c>
      <c r="E125" t="s">
        <v>235</v>
      </c>
      <c r="G125" s="44" t="s">
        <v>1200</v>
      </c>
      <c r="I125" s="45" t="s">
        <v>1210</v>
      </c>
      <c r="K125" s="38" t="s">
        <v>1224</v>
      </c>
      <c r="M125" s="44" t="str">
        <f t="shared" ca="1" si="38"/>
        <v>HGVs - Electricthousand kmHigh Electrification</v>
      </c>
      <c r="O125" s="318">
        <v>0</v>
      </c>
      <c r="P125" s="318">
        <v>0</v>
      </c>
      <c r="Q125" s="318">
        <v>0</v>
      </c>
      <c r="R125" s="318">
        <v>0</v>
      </c>
      <c r="S125" s="318">
        <v>0</v>
      </c>
      <c r="T125" s="318">
        <v>0</v>
      </c>
      <c r="U125" s="318">
        <v>0</v>
      </c>
      <c r="V125" s="318">
        <v>0</v>
      </c>
      <c r="W125" s="318">
        <v>0</v>
      </c>
      <c r="X125" s="318">
        <v>0</v>
      </c>
      <c r="Y125" s="318">
        <v>0</v>
      </c>
      <c r="Z125" s="318">
        <v>16863.610103831837</v>
      </c>
      <c r="AA125" s="318">
        <v>33811.464258552762</v>
      </c>
      <c r="AB125" s="318">
        <v>50918.030248994342</v>
      </c>
      <c r="AC125" s="318">
        <v>68059.195100437297</v>
      </c>
      <c r="AD125" s="318">
        <v>85408.716977488642</v>
      </c>
      <c r="AE125" s="318">
        <v>158024.55174013108</v>
      </c>
      <c r="AF125" s="318">
        <v>230743.76746016848</v>
      </c>
      <c r="AG125" s="318">
        <v>303566.36413760076</v>
      </c>
      <c r="AH125" s="318">
        <v>376492.34177242802</v>
      </c>
      <c r="AI125" s="318">
        <v>450106.80438832688</v>
      </c>
      <c r="AJ125" s="318">
        <v>543928.00125675602</v>
      </c>
      <c r="AK125" s="318">
        <v>637897.52732492588</v>
      </c>
      <c r="AL125" s="318">
        <v>732015.38259283616</v>
      </c>
      <c r="AM125" s="318">
        <v>826281.56706048688</v>
      </c>
      <c r="AN125" s="318">
        <v>921742.17580051231</v>
      </c>
      <c r="AO125" s="318">
        <v>978343.90103866905</v>
      </c>
      <c r="AP125" s="318">
        <v>1034953.5441494854</v>
      </c>
      <c r="AQ125" s="318">
        <v>1091571.1051329614</v>
      </c>
      <c r="AR125" s="318">
        <v>1148196.5839890973</v>
      </c>
      <c r="AS125" s="318">
        <v>1204829.9807178921</v>
      </c>
      <c r="AT125" s="318">
        <v>1226581.9514443728</v>
      </c>
      <c r="AU125" s="318">
        <v>1248337.2212844617</v>
      </c>
      <c r="AV125" s="318">
        <v>1270095.7902381588</v>
      </c>
      <c r="AW125" s="318">
        <v>1291857.6583054641</v>
      </c>
      <c r="AX125" s="318">
        <v>1313622.8254863776</v>
      </c>
    </row>
    <row r="126" spans="2:50">
      <c r="B126" t="str">
        <f ca="1">OFFSET('Scenario names'!$C$3,0,0)</f>
        <v>High Electrification</v>
      </c>
      <c r="E126" t="s">
        <v>235</v>
      </c>
      <c r="G126" s="44" t="s">
        <v>1203</v>
      </c>
      <c r="I126" s="45" t="s">
        <v>1211</v>
      </c>
      <c r="K126" s="38" t="s">
        <v>1224</v>
      </c>
      <c r="M126" s="44" t="str">
        <f t="shared" ca="1" si="38"/>
        <v>HGVs - H2thousand kmHigh Electrification</v>
      </c>
      <c r="O126" s="318">
        <v>0</v>
      </c>
      <c r="P126" s="318">
        <v>0</v>
      </c>
      <c r="Q126" s="318">
        <v>0</v>
      </c>
      <c r="R126" s="318">
        <v>0</v>
      </c>
      <c r="S126" s="318">
        <v>0</v>
      </c>
      <c r="T126" s="318">
        <v>0</v>
      </c>
      <c r="U126" s="318">
        <v>0</v>
      </c>
      <c r="V126" s="318">
        <v>0</v>
      </c>
      <c r="W126" s="318">
        <v>0</v>
      </c>
      <c r="X126" s="318">
        <v>0</v>
      </c>
      <c r="Y126" s="318">
        <v>0</v>
      </c>
      <c r="Z126" s="318">
        <v>3955.6983934479185</v>
      </c>
      <c r="AA126" s="318">
        <v>7928.2455970736537</v>
      </c>
      <c r="AB126" s="318">
        <v>11938.918120829085</v>
      </c>
      <c r="AC126" s="318">
        <v>15952.255114794412</v>
      </c>
      <c r="AD126" s="318">
        <v>20017.901768857362</v>
      </c>
      <c r="AE126" s="318">
        <v>33913.111107940538</v>
      </c>
      <c r="AF126" s="318">
        <v>47817.310095492838</v>
      </c>
      <c r="AG126" s="318">
        <v>61730.498731514264</v>
      </c>
      <c r="AH126" s="318">
        <v>75652.677016004804</v>
      </c>
      <c r="AI126" s="318">
        <v>89796.6100484833</v>
      </c>
      <c r="AJ126" s="318">
        <v>106719.02510816748</v>
      </c>
      <c r="AK126" s="318">
        <v>123650.42981632077</v>
      </c>
      <c r="AL126" s="318">
        <v>140590.82417294322</v>
      </c>
      <c r="AM126" s="318">
        <v>157540.20817803475</v>
      </c>
      <c r="AN126" s="318">
        <v>174941.84245559294</v>
      </c>
      <c r="AO126" s="318">
        <v>181846.64774199668</v>
      </c>
      <c r="AP126" s="318">
        <v>188751.45302840046</v>
      </c>
      <c r="AQ126" s="318">
        <v>195656.25831480423</v>
      </c>
      <c r="AR126" s="318">
        <v>202561.06360120801</v>
      </c>
      <c r="AS126" s="318">
        <v>209465.86888761175</v>
      </c>
      <c r="AT126" s="318">
        <v>208386.19911393884</v>
      </c>
      <c r="AU126" s="318">
        <v>207306.19942890506</v>
      </c>
      <c r="AV126" s="318">
        <v>206225.86983251054</v>
      </c>
      <c r="AW126" s="318">
        <v>205145.21032475517</v>
      </c>
      <c r="AX126" s="318">
        <v>204064.220905639</v>
      </c>
    </row>
    <row r="127" spans="2:50">
      <c r="B127" t="str">
        <f ca="1">OFFSET('Scenario names'!$C$3,0,0)</f>
        <v>High Electrification</v>
      </c>
      <c r="E127" t="s">
        <v>236</v>
      </c>
      <c r="G127" s="44" t="s">
        <v>213</v>
      </c>
      <c r="I127" s="45" t="s">
        <v>1212</v>
      </c>
      <c r="K127" s="38" t="s">
        <v>1224</v>
      </c>
      <c r="M127" s="44" t="str">
        <f t="shared" ca="1" si="38"/>
        <v>Buses - Dieselthousand kmHigh Electrification</v>
      </c>
      <c r="O127" s="318">
        <v>842665.42318307841</v>
      </c>
      <c r="P127" s="318">
        <v>851079.31844850595</v>
      </c>
      <c r="Q127" s="318">
        <v>851544.22426143242</v>
      </c>
      <c r="R127" s="318">
        <v>851545.09821481362</v>
      </c>
      <c r="S127" s="318">
        <v>851545.09821481374</v>
      </c>
      <c r="T127" s="318">
        <v>832244.55828580051</v>
      </c>
      <c r="U127" s="318">
        <v>820262.39190146234</v>
      </c>
      <c r="V127" s="318">
        <v>775080.47746126784</v>
      </c>
      <c r="W127" s="318">
        <v>719685.02487207029</v>
      </c>
      <c r="X127" s="318">
        <v>664285.32264572638</v>
      </c>
      <c r="Y127" s="318">
        <v>608881.37078223634</v>
      </c>
      <c r="Z127" s="318">
        <v>542085.1803744894</v>
      </c>
      <c r="AA127" s="318">
        <v>476405.98390028026</v>
      </c>
      <c r="AB127" s="318">
        <v>409572.1769301428</v>
      </c>
      <c r="AC127" s="318">
        <v>342719.56167881016</v>
      </c>
      <c r="AD127" s="318">
        <v>275848.13814628229</v>
      </c>
      <c r="AE127" s="318">
        <v>254892.57645820419</v>
      </c>
      <c r="AF127" s="318">
        <v>233893.0937931868</v>
      </c>
      <c r="AG127" s="318">
        <v>212849.69015123005</v>
      </c>
      <c r="AH127" s="318">
        <v>191762.36553233396</v>
      </c>
      <c r="AI127" s="318">
        <v>170631.11993649867</v>
      </c>
      <c r="AJ127" s="318">
        <v>151591.03841177718</v>
      </c>
      <c r="AK127" s="318">
        <v>132511.42800781029</v>
      </c>
      <c r="AL127" s="318">
        <v>113392.28872459801</v>
      </c>
      <c r="AM127" s="318">
        <v>94233.620562140321</v>
      </c>
      <c r="AN127" s="318">
        <v>75035.423520437267</v>
      </c>
      <c r="AO127" s="318">
        <v>64323.036133476286</v>
      </c>
      <c r="AP127" s="318">
        <v>53608.329136433866</v>
      </c>
      <c r="AQ127" s="318">
        <v>42891.302529309985</v>
      </c>
      <c r="AR127" s="318">
        <v>32171.956312104667</v>
      </c>
      <c r="AS127" s="318">
        <v>21450.290484817899</v>
      </c>
      <c r="AT127" s="318">
        <v>17877.17507908279</v>
      </c>
      <c r="AU127" s="318">
        <v>14303.286469987203</v>
      </c>
      <c r="AV127" s="318">
        <v>10728.624657531127</v>
      </c>
      <c r="AW127" s="318">
        <v>7153.189641714569</v>
      </c>
      <c r="AX127" s="318">
        <v>3576.9814225375244</v>
      </c>
    </row>
    <row r="128" spans="2:50">
      <c r="B128" t="str">
        <f ca="1">OFFSET('Scenario names'!$C$3,0,0)</f>
        <v>High Electrification</v>
      </c>
      <c r="E128" t="s">
        <v>236</v>
      </c>
      <c r="G128" s="44" t="s">
        <v>1200</v>
      </c>
      <c r="I128" s="45" t="s">
        <v>1213</v>
      </c>
      <c r="K128" s="38" t="s">
        <v>1224</v>
      </c>
      <c r="M128" s="44" t="str">
        <f t="shared" ca="1" si="38"/>
        <v>Buses - Electricthousand kmHigh Electrification</v>
      </c>
      <c r="O128" s="318">
        <v>10099.5989098674</v>
      </c>
      <c r="P128" s="318">
        <v>10200.441978910696</v>
      </c>
      <c r="Q128" s="318">
        <v>10206.01401510946</v>
      </c>
      <c r="R128" s="318">
        <v>10206.024489703972</v>
      </c>
      <c r="S128" s="318">
        <v>10206.024489703974</v>
      </c>
      <c r="T128" s="318">
        <v>19300.539929013172</v>
      </c>
      <c r="U128" s="318">
        <v>30501.040527476718</v>
      </c>
      <c r="V128" s="318">
        <v>86246.379908386283</v>
      </c>
      <c r="W128" s="318">
        <v>141995.96892644215</v>
      </c>
      <c r="X128" s="318">
        <v>197749.80758164433</v>
      </c>
      <c r="Y128" s="318">
        <v>253507.89587399279</v>
      </c>
      <c r="Z128" s="318">
        <v>314908.97887188295</v>
      </c>
      <c r="AA128" s="318">
        <v>376320.95087467559</v>
      </c>
      <c r="AB128" s="318">
        <v>437743.81188237073</v>
      </c>
      <c r="AC128" s="318">
        <v>499177.56189496844</v>
      </c>
      <c r="AD128" s="318">
        <v>560622.2009124686</v>
      </c>
      <c r="AE128" s="318">
        <v>574834.14074517344</v>
      </c>
      <c r="AF128" s="318">
        <v>589075.36122917105</v>
      </c>
      <c r="AG128" s="318">
        <v>603345.86236446165</v>
      </c>
      <c r="AH128" s="318">
        <v>617645.64415104513</v>
      </c>
      <c r="AI128" s="318">
        <v>631974.70658892149</v>
      </c>
      <c r="AJ128" s="318">
        <v>646333.04967809061</v>
      </c>
      <c r="AK128" s="318">
        <v>660720.67341855261</v>
      </c>
      <c r="AL128" s="318">
        <v>675137.57781030773</v>
      </c>
      <c r="AM128" s="318">
        <v>689583.7628533555</v>
      </c>
      <c r="AN128" s="318">
        <v>704059.22854769637</v>
      </c>
      <c r="AO128" s="318">
        <v>711941.80945474317</v>
      </c>
      <c r="AP128" s="318">
        <v>719826.09140918311</v>
      </c>
      <c r="AQ128" s="318">
        <v>727712.07441101596</v>
      </c>
      <c r="AR128" s="318">
        <v>735599.75846024207</v>
      </c>
      <c r="AS128" s="318">
        <v>743489.14355686109</v>
      </c>
      <c r="AT128" s="318">
        <v>747804.79468505667</v>
      </c>
      <c r="AU128" s="318">
        <v>752121.37365728489</v>
      </c>
      <c r="AV128" s="318">
        <v>756438.88047354552</v>
      </c>
      <c r="AW128" s="318">
        <v>760757.31513383891</v>
      </c>
      <c r="AX128" s="318">
        <v>765076.67763816472</v>
      </c>
    </row>
    <row r="129" spans="2:50">
      <c r="B129" t="str">
        <f ca="1">OFFSET('Scenario names'!$C$3,0,0)</f>
        <v>High Electrification</v>
      </c>
      <c r="E129" t="s">
        <v>236</v>
      </c>
      <c r="G129" s="44" t="s">
        <v>1203</v>
      </c>
      <c r="I129" s="45" t="s">
        <v>1214</v>
      </c>
      <c r="K129" s="38" t="s">
        <v>1224</v>
      </c>
      <c r="M129" s="44" t="str">
        <f t="shared" ca="1" si="38"/>
        <v>Buses - H2thousand kmHigh Electrification</v>
      </c>
      <c r="O129" s="318">
        <v>0</v>
      </c>
      <c r="P129" s="318">
        <v>0</v>
      </c>
      <c r="Q129" s="318">
        <v>0</v>
      </c>
      <c r="R129" s="318">
        <v>0</v>
      </c>
      <c r="S129" s="318">
        <v>0</v>
      </c>
      <c r="T129" s="318">
        <v>0</v>
      </c>
      <c r="U129" s="318">
        <v>1135.8022147328945</v>
      </c>
      <c r="V129" s="318">
        <v>1135.8022147328945</v>
      </c>
      <c r="W129" s="318">
        <v>1135.8022147328945</v>
      </c>
      <c r="X129" s="318">
        <v>1135.8022147328945</v>
      </c>
      <c r="Y129" s="318">
        <v>1135.8022147328945</v>
      </c>
      <c r="Z129" s="318">
        <v>6073.0639094872031</v>
      </c>
      <c r="AA129" s="318">
        <v>9881.4527562647672</v>
      </c>
      <c r="AB129" s="318">
        <v>14832.573184531371</v>
      </c>
      <c r="AC129" s="318">
        <v>19790.622979554126</v>
      </c>
      <c r="AD129" s="318">
        <v>24755.602141333027</v>
      </c>
      <c r="AE129" s="318">
        <v>31861.572057275531</v>
      </c>
      <c r="AF129" s="318">
        <v>38982.182298864478</v>
      </c>
      <c r="AG129" s="318">
        <v>46117.432866099858</v>
      </c>
      <c r="AH129" s="318">
        <v>53267.323758981678</v>
      </c>
      <c r="AI129" s="318">
        <v>60431.854977509953</v>
      </c>
      <c r="AJ129" s="318">
        <v>66187.636489649187</v>
      </c>
      <c r="AK129" s="318">
        <v>71955.130262305582</v>
      </c>
      <c r="AL129" s="318">
        <v>77734.336295479123</v>
      </c>
      <c r="AM129" s="318">
        <v>83525.25458916981</v>
      </c>
      <c r="AN129" s="318">
        <v>89327.885143377702</v>
      </c>
      <c r="AO129" s="318">
        <v>92196.351791316018</v>
      </c>
      <c r="AP129" s="318">
        <v>95065.43700194273</v>
      </c>
      <c r="AQ129" s="318">
        <v>97935.140775257823</v>
      </c>
      <c r="AR129" s="318">
        <v>100805.46311126131</v>
      </c>
      <c r="AS129" s="318">
        <v>103676.40400995317</v>
      </c>
      <c r="AT129" s="318">
        <v>102972.52845551685</v>
      </c>
      <c r="AU129" s="318">
        <v>102268.49826040847</v>
      </c>
      <c r="AV129" s="318">
        <v>101564.31342462797</v>
      </c>
      <c r="AW129" s="318">
        <v>100859.97394817536</v>
      </c>
      <c r="AX129" s="318">
        <v>100155.47983105069</v>
      </c>
    </row>
    <row r="130" spans="2:50">
      <c r="B130" t="str">
        <f ca="1">OFFSET('Scenario names'!$C$3,0,0)</f>
        <v>High Electrification</v>
      </c>
      <c r="E130" s="78" t="s">
        <v>237</v>
      </c>
      <c r="G130" s="44" t="s">
        <v>213</v>
      </c>
      <c r="I130" s="45" t="s">
        <v>1215</v>
      </c>
      <c r="K130" s="38" t="s">
        <v>1224</v>
      </c>
      <c r="M130" s="44" t="str">
        <f t="shared" ca="1" si="38"/>
        <v>Taxis - Dieselthousand kmHigh Electrification</v>
      </c>
      <c r="O130" s="318">
        <v>511741.53441442834</v>
      </c>
      <c r="P130" s="318">
        <v>488798.6388920641</v>
      </c>
      <c r="Q130" s="318">
        <v>460997.76097326365</v>
      </c>
      <c r="R130" s="318">
        <v>432930.31897554098</v>
      </c>
      <c r="S130" s="318">
        <v>378052.60337395227</v>
      </c>
      <c r="T130" s="318">
        <v>379310.71802647732</v>
      </c>
      <c r="U130" s="318">
        <v>343661.62438194698</v>
      </c>
      <c r="V130" s="318">
        <v>305944.98511753505</v>
      </c>
      <c r="W130" s="318">
        <v>266447.92089931952</v>
      </c>
      <c r="X130" s="318">
        <v>236768.03295437203</v>
      </c>
      <c r="Y130" s="318">
        <v>211618.39061314115</v>
      </c>
      <c r="Z130" s="318">
        <v>188968.90464958953</v>
      </c>
      <c r="AA130" s="318">
        <v>164233.72352572216</v>
      </c>
      <c r="AB130" s="318">
        <v>138914.23770689685</v>
      </c>
      <c r="AC130" s="318">
        <v>116482.22770307864</v>
      </c>
      <c r="AD130" s="318">
        <v>97009.206432490158</v>
      </c>
      <c r="AE130" s="318">
        <v>85010.171612960316</v>
      </c>
      <c r="AF130" s="318">
        <v>72958.084027053104</v>
      </c>
      <c r="AG130" s="318">
        <v>65817.208822731671</v>
      </c>
      <c r="AH130" s="318">
        <v>62703.195352213705</v>
      </c>
      <c r="AI130" s="318">
        <v>59666.330598272194</v>
      </c>
      <c r="AJ130" s="318">
        <v>56864.253968528807</v>
      </c>
      <c r="AK130" s="318">
        <v>54086.363339777199</v>
      </c>
      <c r="AL130" s="318">
        <v>51332.2042777608</v>
      </c>
      <c r="AM130" s="318">
        <v>48601.33366193885</v>
      </c>
      <c r="AN130" s="318">
        <v>45893.3193355779</v>
      </c>
      <c r="AO130" s="318">
        <v>41238.051066105414</v>
      </c>
      <c r="AP130" s="318">
        <v>36618.818422846969</v>
      </c>
      <c r="AQ130" s="318">
        <v>32035.181051918076</v>
      </c>
      <c r="AR130" s="318">
        <v>27486.70574513622</v>
      </c>
      <c r="AS130" s="318">
        <v>22972.96629566326</v>
      </c>
      <c r="AT130" s="318">
        <v>18345.520439536893</v>
      </c>
      <c r="AU130" s="318">
        <v>13734.600034614608</v>
      </c>
      <c r="AV130" s="318">
        <v>9140.1055299855343</v>
      </c>
      <c r="AW130" s="318">
        <v>4561.9381727421051</v>
      </c>
      <c r="AX130" s="318">
        <v>0</v>
      </c>
    </row>
    <row r="131" spans="2:50">
      <c r="B131" t="str">
        <f ca="1">OFFSET('Scenario names'!$C$3,0,0)</f>
        <v>High Electrification</v>
      </c>
      <c r="E131" s="78" t="s">
        <v>237</v>
      </c>
      <c r="F131" s="35"/>
      <c r="G131" s="44" t="s">
        <v>1200</v>
      </c>
      <c r="I131" s="45" t="s">
        <v>1216</v>
      </c>
      <c r="K131" s="38" t="s">
        <v>1224</v>
      </c>
      <c r="M131" s="44" t="str">
        <f t="shared" ca="1" si="38"/>
        <v>Taxis - Electricthousand kmHigh Electrification</v>
      </c>
      <c r="O131" s="318">
        <v>100430.46326657517</v>
      </c>
      <c r="P131" s="318">
        <v>129485.80974659129</v>
      </c>
      <c r="Q131" s="318">
        <v>157624.4282589925</v>
      </c>
      <c r="R131" s="318">
        <v>185692.50515850721</v>
      </c>
      <c r="S131" s="318">
        <v>242635.79884769086</v>
      </c>
      <c r="T131" s="318">
        <v>243443.26228276061</v>
      </c>
      <c r="U131" s="318">
        <v>280737.53354575345</v>
      </c>
      <c r="V131" s="318">
        <v>313049.74898494617</v>
      </c>
      <c r="W131" s="318">
        <v>346744.52067319077</v>
      </c>
      <c r="X131" s="318">
        <v>372369.93009664712</v>
      </c>
      <c r="Y131" s="318">
        <v>394245.99946532428</v>
      </c>
      <c r="Z131" s="318">
        <v>413565.18305555364</v>
      </c>
      <c r="AA131" s="318">
        <v>434512.09086377628</v>
      </c>
      <c r="AB131" s="318">
        <v>455858.58072323172</v>
      </c>
      <c r="AC131" s="318">
        <v>474782.01076278643</v>
      </c>
      <c r="AD131" s="318">
        <v>491225.86885053065</v>
      </c>
      <c r="AE131" s="318">
        <v>501710.45322140126</v>
      </c>
      <c r="AF131" s="318">
        <v>512149.81698811136</v>
      </c>
      <c r="AG131" s="318">
        <v>565171.92719230521</v>
      </c>
      <c r="AH131" s="318">
        <v>568270.66826350009</v>
      </c>
      <c r="AI131" s="318">
        <v>571234.44969690859</v>
      </c>
      <c r="AJ131" s="318">
        <v>573933.16885162634</v>
      </c>
      <c r="AK131" s="318">
        <v>576548.66913363978</v>
      </c>
      <c r="AL131" s="318">
        <v>579082.04875906988</v>
      </c>
      <c r="AM131" s="318">
        <v>581534.37860255584</v>
      </c>
      <c r="AN131" s="318">
        <v>583906.70304287132</v>
      </c>
      <c r="AO131" s="318">
        <v>587773.21684591775</v>
      </c>
      <c r="AP131" s="318">
        <v>591610.90214799286</v>
      </c>
      <c r="AQ131" s="318">
        <v>595420.11123220448</v>
      </c>
      <c r="AR131" s="318">
        <v>599201.19066509849</v>
      </c>
      <c r="AS131" s="318">
        <v>602954.48141214519</v>
      </c>
      <c r="AT131" s="318">
        <v>606798.73728451505</v>
      </c>
      <c r="AU131" s="318">
        <v>610629.77279592142</v>
      </c>
      <c r="AV131" s="318">
        <v>614447.66758709319</v>
      </c>
      <c r="AW131" s="318">
        <v>618252.5006603566</v>
      </c>
      <c r="AX131" s="318">
        <v>622044.35038601875</v>
      </c>
    </row>
    <row r="132" spans="2:50">
      <c r="B132" t="str">
        <f ca="1">OFFSET('Scenario names'!$C$3,0,0)</f>
        <v>High Electrification</v>
      </c>
      <c r="E132" s="78" t="s">
        <v>237</v>
      </c>
      <c r="G132" s="44" t="s">
        <v>1203</v>
      </c>
      <c r="I132" s="45" t="s">
        <v>1217</v>
      </c>
      <c r="K132" s="38" t="s">
        <v>1224</v>
      </c>
      <c r="M132" s="44" t="str">
        <f t="shared" ca="1" si="38"/>
        <v>Taxis - H2thousand kmHigh Electrification</v>
      </c>
      <c r="O132" s="318">
        <v>0</v>
      </c>
      <c r="P132" s="318">
        <v>0</v>
      </c>
      <c r="Q132" s="318">
        <v>0</v>
      </c>
      <c r="R132" s="318">
        <v>0</v>
      </c>
      <c r="S132" s="318">
        <v>0</v>
      </c>
      <c r="T132" s="318">
        <v>0</v>
      </c>
      <c r="U132" s="318">
        <v>336.12654643433666</v>
      </c>
      <c r="V132" s="318">
        <v>762.67536249791465</v>
      </c>
      <c r="W132" s="318">
        <v>1288.8406237918907</v>
      </c>
      <c r="X132" s="318">
        <v>1876.5400101303569</v>
      </c>
      <c r="Y132" s="318">
        <v>2524.6603823005316</v>
      </c>
      <c r="Z132" s="318">
        <v>3295.4581438893965</v>
      </c>
      <c r="AA132" s="318">
        <v>4182.7450786352556</v>
      </c>
      <c r="AB132" s="318">
        <v>5186.2939106821304</v>
      </c>
      <c r="AC132" s="318">
        <v>6276.6405455888271</v>
      </c>
      <c r="AD132" s="318">
        <v>7444.6117778690532</v>
      </c>
      <c r="AE132" s="318">
        <v>8678.6303272074947</v>
      </c>
      <c r="AF132" s="318">
        <v>10003.804648111745</v>
      </c>
      <c r="AG132" s="318">
        <v>12352.361523032125</v>
      </c>
      <c r="AH132" s="318">
        <v>13788.225779523382</v>
      </c>
      <c r="AI132" s="318">
        <v>15281.90095722437</v>
      </c>
      <c r="AJ132" s="318">
        <v>16805.850289418333</v>
      </c>
      <c r="AK132" s="318">
        <v>18388.832493324386</v>
      </c>
      <c r="AL132" s="318">
        <v>20030.20378707899</v>
      </c>
      <c r="AM132" s="318">
        <v>21729.336416582802</v>
      </c>
      <c r="AN132" s="318">
        <v>23485.618159796715</v>
      </c>
      <c r="AO132" s="318">
        <v>24424.161244610601</v>
      </c>
      <c r="AP132" s="318">
        <v>25355.497204181687</v>
      </c>
      <c r="AQ132" s="318">
        <v>26279.714109286866</v>
      </c>
      <c r="AR132" s="318">
        <v>27196.898601562621</v>
      </c>
      <c r="AS132" s="318">
        <v>28107.135922376605</v>
      </c>
      <c r="AT132" s="318">
        <v>29040.114524521287</v>
      </c>
      <c r="AU132" s="318">
        <v>29969.78803642514</v>
      </c>
      <c r="AV132" s="318">
        <v>30896.176368270346</v>
      </c>
      <c r="AW132" s="318">
        <v>31819.299270638436</v>
      </c>
      <c r="AX132" s="318">
        <v>32739.176336106251</v>
      </c>
    </row>
    <row r="133" spans="2:50">
      <c r="B133" t="str">
        <f ca="1">OFFSET('Scenario names'!$C$3,0,0)</f>
        <v>High Electrification</v>
      </c>
      <c r="E133" s="38" t="s">
        <v>238</v>
      </c>
      <c r="F133" s="38"/>
      <c r="G133" s="44" t="s">
        <v>212</v>
      </c>
      <c r="I133" s="45" t="s">
        <v>1218</v>
      </c>
      <c r="K133" s="38" t="s">
        <v>1224</v>
      </c>
      <c r="M133" s="44" t="str">
        <f t="shared" ca="1" si="38"/>
        <v>Motorcycles - Dieselthousand kmHigh Electrification</v>
      </c>
      <c r="O133" s="318">
        <v>621796.35599857685</v>
      </c>
      <c r="P133" s="318">
        <v>628004.9048150623</v>
      </c>
      <c r="Q133" s="318">
        <v>628347.9552505106</v>
      </c>
      <c r="R133" s="318">
        <v>621658.32298032369</v>
      </c>
      <c r="S133" s="318">
        <v>603762.37190409878</v>
      </c>
      <c r="T133" s="318">
        <v>586127.16808100336</v>
      </c>
      <c r="U133" s="318">
        <v>567676.2854883722</v>
      </c>
      <c r="V133" s="318">
        <v>549520.4330993382</v>
      </c>
      <c r="W133" s="318">
        <v>531659.61091390089</v>
      </c>
      <c r="X133" s="318">
        <v>514093.81893206062</v>
      </c>
      <c r="Y133" s="318">
        <v>496823.05715381703</v>
      </c>
      <c r="Z133" s="318">
        <v>470481.30229844182</v>
      </c>
      <c r="AA133" s="318">
        <v>444774.37508722726</v>
      </c>
      <c r="AB133" s="318">
        <v>419702.27552017395</v>
      </c>
      <c r="AC133" s="318">
        <v>395265.00359728135</v>
      </c>
      <c r="AD133" s="318">
        <v>371462.55931854964</v>
      </c>
      <c r="AE133" s="318">
        <v>344777.44437351148</v>
      </c>
      <c r="AF133" s="318">
        <v>318785.03080101759</v>
      </c>
      <c r="AG133" s="318">
        <v>293485.31860106788</v>
      </c>
      <c r="AH133" s="318">
        <v>268878.30777366261</v>
      </c>
      <c r="AI133" s="318">
        <v>244963.99831880146</v>
      </c>
      <c r="AJ133" s="318">
        <v>221742.39023648467</v>
      </c>
      <c r="AK133" s="318">
        <v>199213.48352671211</v>
      </c>
      <c r="AL133" s="318">
        <v>177377.27818948386</v>
      </c>
      <c r="AM133" s="318">
        <v>156233.77422479985</v>
      </c>
      <c r="AN133" s="318">
        <v>135782.97163266008</v>
      </c>
      <c r="AO133" s="318">
        <v>121987.22894301706</v>
      </c>
      <c r="AP133" s="318">
        <v>108239.80748145786</v>
      </c>
      <c r="AQ133" s="318">
        <v>94540.707247982398</v>
      </c>
      <c r="AR133" s="318">
        <v>80889.928242590715</v>
      </c>
      <c r="AS133" s="318">
        <v>67287.470465282837</v>
      </c>
      <c r="AT133" s="318">
        <v>53733.333916058713</v>
      </c>
      <c r="AU133" s="318">
        <v>40227.518594918365</v>
      </c>
      <c r="AV133" s="318">
        <v>26770.024501861797</v>
      </c>
      <c r="AW133" s="318">
        <v>13360.85163688902</v>
      </c>
      <c r="AX133" s="318">
        <v>0</v>
      </c>
    </row>
    <row r="134" spans="2:50">
      <c r="B134" t="str">
        <f ca="1">OFFSET('Scenario names'!$C$3,0,0)</f>
        <v>High Electrification</v>
      </c>
      <c r="E134" s="78" t="s">
        <v>238</v>
      </c>
      <c r="G134" s="44" t="s">
        <v>1200</v>
      </c>
      <c r="I134" s="45" t="s">
        <v>1219</v>
      </c>
      <c r="K134" s="38" t="s">
        <v>1224</v>
      </c>
      <c r="M134" s="44" t="str">
        <f t="shared" ca="1" si="38"/>
        <v>Motorcycles - Electricthousand kmHigh Electrification</v>
      </c>
      <c r="O134" s="318">
        <v>0</v>
      </c>
      <c r="P134" s="318">
        <v>0</v>
      </c>
      <c r="Q134" s="318">
        <v>0</v>
      </c>
      <c r="R134" s="318">
        <v>6690.277153687397</v>
      </c>
      <c r="S134" s="318">
        <v>15915.771670533688</v>
      </c>
      <c r="T134" s="318">
        <v>24880.5189342505</v>
      </c>
      <c r="U134" s="318">
        <v>33520.956610242771</v>
      </c>
      <c r="V134" s="318">
        <v>41866.364082638152</v>
      </c>
      <c r="W134" s="318">
        <v>49916.741351436627</v>
      </c>
      <c r="X134" s="318">
        <v>57672.088416638187</v>
      </c>
      <c r="Y134" s="318">
        <v>65132.405278242855</v>
      </c>
      <c r="Z134" s="318">
        <v>81452.903088722771</v>
      </c>
      <c r="AA134" s="318">
        <v>97138.573255041731</v>
      </c>
      <c r="AB134" s="318">
        <v>112189.4157771998</v>
      </c>
      <c r="AC134" s="318">
        <v>126605.43065519691</v>
      </c>
      <c r="AD134" s="318">
        <v>140386.61788903308</v>
      </c>
      <c r="AE134" s="318">
        <v>158575.43416739252</v>
      </c>
      <c r="AF134" s="318">
        <v>176071.5490732076</v>
      </c>
      <c r="AG134" s="318">
        <v>192874.9626064784</v>
      </c>
      <c r="AH134" s="318">
        <v>208985.674767205</v>
      </c>
      <c r="AI134" s="318">
        <v>224403.6855553872</v>
      </c>
      <c r="AJ134" s="318">
        <v>239128.99497102524</v>
      </c>
      <c r="AK134" s="318">
        <v>253161.60301411897</v>
      </c>
      <c r="AL134" s="318">
        <v>266501.50968466845</v>
      </c>
      <c r="AM134" s="318">
        <v>279148.7149826737</v>
      </c>
      <c r="AN134" s="318">
        <v>291103.21890813456</v>
      </c>
      <c r="AO134" s="318">
        <v>304139.37942296913</v>
      </c>
      <c r="AP134" s="318">
        <v>317127.21870971995</v>
      </c>
      <c r="AQ134" s="318">
        <v>330066.73676838691</v>
      </c>
      <c r="AR134" s="318">
        <v>342957.93359897012</v>
      </c>
      <c r="AS134" s="318">
        <v>355800.8092014697</v>
      </c>
      <c r="AT134" s="318">
        <v>368595.36357588536</v>
      </c>
      <c r="AU134" s="318">
        <v>381341.59672221716</v>
      </c>
      <c r="AV134" s="318">
        <v>394039.50864046521</v>
      </c>
      <c r="AW134" s="318">
        <v>406689.09933062963</v>
      </c>
      <c r="AX134" s="318">
        <v>419290.36879271042</v>
      </c>
    </row>
    <row r="135" spans="2:50">
      <c r="O135">
        <v>1000</v>
      </c>
      <c r="AN135" s="36">
        <f>SUM(AN116:AN134)</f>
        <v>23369728.88019472</v>
      </c>
    </row>
    <row r="136" spans="2:50" s="414" customFormat="1">
      <c r="B136" s="414" t="str">
        <f ca="1">OFFSET('Scenario names'!$C$3,1,0)</f>
        <v>High Hydrogen</v>
      </c>
    </row>
    <row r="137" spans="2:50">
      <c r="B137" t="str">
        <f ca="1">OFFSET('Scenario names'!$C$3,1,0)</f>
        <v>High Hydrogen</v>
      </c>
      <c r="E137" s="78" t="s">
        <v>233</v>
      </c>
      <c r="G137" s="44" t="s">
        <v>213</v>
      </c>
      <c r="I137" s="45" t="s">
        <v>1197</v>
      </c>
      <c r="K137" s="44" t="s">
        <v>1198</v>
      </c>
      <c r="M137" s="44" t="str">
        <f ca="1">I137&amp;K137&amp;$B137</f>
        <v>Cars - Dieselkt CO2/yearHigh Hydrogen</v>
      </c>
      <c r="O137" s="328">
        <v>1406.2298585393892</v>
      </c>
      <c r="P137" s="328">
        <v>1446.4177377711726</v>
      </c>
      <c r="Q137" s="328">
        <v>1452.7737290119717</v>
      </c>
      <c r="R137" s="328">
        <v>1417.2363076746972</v>
      </c>
      <c r="S137" s="328">
        <v>1325.5393301894742</v>
      </c>
      <c r="T137" s="328">
        <v>1270.0189520648607</v>
      </c>
      <c r="U137" s="328">
        <v>1224.0920291328291</v>
      </c>
      <c r="V137" s="328">
        <v>1132.047721922836</v>
      </c>
      <c r="W137" s="328">
        <v>1029.7783021858024</v>
      </c>
      <c r="X137" s="328">
        <v>926.36861842977441</v>
      </c>
      <c r="Y137" s="328">
        <v>815.45922610625416</v>
      </c>
      <c r="Z137" s="328">
        <v>716.99816596050835</v>
      </c>
      <c r="AA137" s="328">
        <v>618.09044794725821</v>
      </c>
      <c r="AB137" s="328">
        <v>523.21609897651308</v>
      </c>
      <c r="AC137" s="328">
        <v>435.5871569383014</v>
      </c>
      <c r="AD137" s="328">
        <v>356.49726906232524</v>
      </c>
      <c r="AE137" s="328">
        <v>287.14146686088282</v>
      </c>
      <c r="AF137" s="328">
        <v>228.42324305696738</v>
      </c>
      <c r="AG137" s="328">
        <v>177.60212351254398</v>
      </c>
      <c r="AH137" s="328">
        <v>135.95099486181419</v>
      </c>
      <c r="AI137" s="328">
        <v>102.30830887131881</v>
      </c>
      <c r="AJ137" s="328">
        <v>75.631320191030881</v>
      </c>
      <c r="AK137" s="328">
        <v>54.821771084823403</v>
      </c>
      <c r="AL137" s="328">
        <v>39.253779549432551</v>
      </c>
      <c r="AM137" s="328">
        <v>27.554839377024514</v>
      </c>
      <c r="AN137" s="328">
        <v>19.024908927747056</v>
      </c>
      <c r="AO137" s="328">
        <v>13.327634174258669</v>
      </c>
      <c r="AP137" s="328">
        <v>9.1588510739700784</v>
      </c>
      <c r="AQ137" s="328">
        <v>6.2391677464643376</v>
      </c>
      <c r="AR137" s="328">
        <v>4.1772774877854824</v>
      </c>
      <c r="AS137" s="328">
        <v>2.8130881302716779</v>
      </c>
      <c r="AT137" s="328">
        <v>1.8480963007088209</v>
      </c>
      <c r="AU137" s="328">
        <v>1.2195154708761251</v>
      </c>
      <c r="AV137" s="328">
        <v>0.81724518422366499</v>
      </c>
      <c r="AW137" s="328">
        <v>0.52673824483334597</v>
      </c>
      <c r="AX137" s="328">
        <v>0.35395686913075797</v>
      </c>
    </row>
    <row r="138" spans="2:50">
      <c r="B138" t="str">
        <f ca="1">OFFSET('Scenario names'!$C$3,1,0)</f>
        <v>High Hydrogen</v>
      </c>
      <c r="E138" s="78" t="s">
        <v>233</v>
      </c>
      <c r="G138" s="44" t="s">
        <v>212</v>
      </c>
      <c r="I138" s="45" t="s">
        <v>1199</v>
      </c>
      <c r="K138" s="44" t="s">
        <v>1198</v>
      </c>
      <c r="M138" s="44" t="str">
        <f t="shared" ref="M138:M155" ca="1" si="39">I138&amp;K138&amp;$B138</f>
        <v>Cars - Petrolkt CO2/yearHigh Hydrogen</v>
      </c>
      <c r="O138" s="109">
        <v>2233.1181550616889</v>
      </c>
      <c r="P138" s="109">
        <v>2149.4405753318692</v>
      </c>
      <c r="Q138" s="109">
        <v>2066.4229509035576</v>
      </c>
      <c r="R138" s="109">
        <v>2022.3299214783935</v>
      </c>
      <c r="S138" s="109">
        <v>2016.0763128348963</v>
      </c>
      <c r="T138" s="109">
        <v>1964.6730035516769</v>
      </c>
      <c r="U138" s="109">
        <v>1882.4884829178159</v>
      </c>
      <c r="V138" s="109">
        <v>1788.7192265010938</v>
      </c>
      <c r="W138" s="109">
        <v>1676.6388688825025</v>
      </c>
      <c r="X138" s="109">
        <v>1568.5102445787356</v>
      </c>
      <c r="Y138" s="109">
        <v>1440.8768994568034</v>
      </c>
      <c r="Z138" s="109">
        <v>1325.7088100924668</v>
      </c>
      <c r="AA138" s="109">
        <v>1200.845722058338</v>
      </c>
      <c r="AB138" s="109">
        <v>1076.1371975359086</v>
      </c>
      <c r="AC138" s="109">
        <v>951.29462158453987</v>
      </c>
      <c r="AD138" s="109">
        <v>826.62478966578942</v>
      </c>
      <c r="AE138" s="109">
        <v>716.00586090298441</v>
      </c>
      <c r="AF138" s="109">
        <v>616.03738855371262</v>
      </c>
      <c r="AG138" s="109">
        <v>521.6410974724414</v>
      </c>
      <c r="AH138" s="109">
        <v>437.5026224845613</v>
      </c>
      <c r="AI138" s="109">
        <v>357.7043226542138</v>
      </c>
      <c r="AJ138" s="109">
        <v>288.43397176679719</v>
      </c>
      <c r="AK138" s="109">
        <v>229.00275248892805</v>
      </c>
      <c r="AL138" s="109">
        <v>180.71514867297967</v>
      </c>
      <c r="AM138" s="109">
        <v>140.18366372811963</v>
      </c>
      <c r="AN138" s="109">
        <v>107.88043416746207</v>
      </c>
      <c r="AO138" s="109">
        <v>84.279744934229853</v>
      </c>
      <c r="AP138" s="109">
        <v>65.05787257016631</v>
      </c>
      <c r="AQ138" s="109">
        <v>49.696847537851312</v>
      </c>
      <c r="AR138" s="109">
        <v>37.721197605199485</v>
      </c>
      <c r="AS138" s="109">
        <v>28.120933693406368</v>
      </c>
      <c r="AT138" s="109">
        <v>20.671368210849476</v>
      </c>
      <c r="AU138" s="109">
        <v>14.981035048484095</v>
      </c>
      <c r="AV138" s="109">
        <v>10.584743101422685</v>
      </c>
      <c r="AW138" s="109">
        <v>7.396253114556905</v>
      </c>
      <c r="AX138" s="109">
        <v>5.1024766650415678</v>
      </c>
    </row>
    <row r="139" spans="2:50">
      <c r="B139" t="str">
        <f ca="1">OFFSET('Scenario names'!$C$3,1,0)</f>
        <v>High Hydrogen</v>
      </c>
      <c r="E139" s="78" t="s">
        <v>233</v>
      </c>
      <c r="G139" s="44" t="s">
        <v>1200</v>
      </c>
      <c r="I139" s="45" t="s">
        <v>1201</v>
      </c>
      <c r="K139" s="44" t="s">
        <v>1202</v>
      </c>
      <c r="M139" s="44" t="str">
        <f t="shared" ca="1" si="39"/>
        <v>Cars - ElectricGWh/yearHigh Hydrogen</v>
      </c>
      <c r="O139" s="109">
        <v>3.4403213213783279</v>
      </c>
      <c r="P139" s="109">
        <v>4.8264009973243613</v>
      </c>
      <c r="Q139" s="109">
        <v>7.1044945028269932</v>
      </c>
      <c r="R139" s="109">
        <v>12.733407158372088</v>
      </c>
      <c r="S139" s="109">
        <v>18.013925809672976</v>
      </c>
      <c r="T139" s="109">
        <v>33.947988248400549</v>
      </c>
      <c r="U139" s="109">
        <v>71.237277777022342</v>
      </c>
      <c r="V139" s="109">
        <v>166.80959799041472</v>
      </c>
      <c r="W139" s="109">
        <v>290.54215289815551</v>
      </c>
      <c r="X139" s="109">
        <v>414.89215674227432</v>
      </c>
      <c r="Y139" s="109">
        <v>569.08672790861658</v>
      </c>
      <c r="Z139" s="109">
        <v>717.40480725312352</v>
      </c>
      <c r="AA139" s="109">
        <v>876.58951017312643</v>
      </c>
      <c r="AB139" s="109">
        <v>1032.7715744331417</v>
      </c>
      <c r="AC139" s="109">
        <v>1181.3655738938382</v>
      </c>
      <c r="AD139" s="109">
        <v>1320.8812183079065</v>
      </c>
      <c r="AE139" s="109">
        <v>1451.1789377092107</v>
      </c>
      <c r="AF139" s="109">
        <v>1559.7780957873722</v>
      </c>
      <c r="AG139" s="109">
        <v>1653.4171397014563</v>
      </c>
      <c r="AH139" s="109">
        <v>1727.2791142310989</v>
      </c>
      <c r="AI139" s="109">
        <v>1781.2406097479934</v>
      </c>
      <c r="AJ139" s="109">
        <v>1817.7679446968446</v>
      </c>
      <c r="AK139" s="109">
        <v>1837.6053127453986</v>
      </c>
      <c r="AL139" s="109">
        <v>1842.0672950068265</v>
      </c>
      <c r="AM139" s="109">
        <v>1834.1014439835631</v>
      </c>
      <c r="AN139" s="109">
        <v>1816.1858920009292</v>
      </c>
      <c r="AO139" s="109">
        <v>1822.5327600833073</v>
      </c>
      <c r="AP139" s="109">
        <v>1825.0357312613978</v>
      </c>
      <c r="AQ139" s="109">
        <v>1821.260702073713</v>
      </c>
      <c r="AR139" s="109">
        <v>1815.6310216570337</v>
      </c>
      <c r="AS139" s="109">
        <v>1805.6250362898452</v>
      </c>
      <c r="AT139" s="109">
        <v>1794.694548194848</v>
      </c>
      <c r="AU139" s="109">
        <v>1780.5209399049525</v>
      </c>
      <c r="AV139" s="109">
        <v>1768.2381119426518</v>
      </c>
      <c r="AW139" s="109">
        <v>1752.5916944334215</v>
      </c>
      <c r="AX139" s="109">
        <v>1737.9776550731835</v>
      </c>
    </row>
    <row r="140" spans="2:50">
      <c r="B140" t="str">
        <f ca="1">OFFSET('Scenario names'!$C$3,1,0)</f>
        <v>High Hydrogen</v>
      </c>
      <c r="E140" s="78" t="s">
        <v>233</v>
      </c>
      <c r="G140" s="44" t="s">
        <v>1203</v>
      </c>
      <c r="I140" s="45" t="s">
        <v>1204</v>
      </c>
      <c r="K140" s="44" t="s">
        <v>1202</v>
      </c>
      <c r="M140" s="44" t="str">
        <f t="shared" ca="1" si="39"/>
        <v>Cars - H2GWh/yearHigh Hydrogen</v>
      </c>
      <c r="O140" s="109">
        <v>0</v>
      </c>
      <c r="P140" s="109">
        <v>0</v>
      </c>
      <c r="Q140" s="109">
        <v>0</v>
      </c>
      <c r="R140" s="109">
        <v>0</v>
      </c>
      <c r="S140" s="109">
        <v>0</v>
      </c>
      <c r="T140" s="109">
        <v>0</v>
      </c>
      <c r="U140" s="109">
        <v>0</v>
      </c>
      <c r="V140" s="109">
        <v>0</v>
      </c>
      <c r="W140" s="109">
        <v>3.6483812241517835</v>
      </c>
      <c r="X140" s="109">
        <v>7.4568093034170611</v>
      </c>
      <c r="Y140" s="109">
        <v>11.52388948406672</v>
      </c>
      <c r="Z140" s="109">
        <v>15.719922067205976</v>
      </c>
      <c r="AA140" s="109">
        <v>19.833477165135104</v>
      </c>
      <c r="AB140" s="109">
        <v>23.55228107912211</v>
      </c>
      <c r="AC140" s="109">
        <v>29.664982596650297</v>
      </c>
      <c r="AD140" s="109">
        <v>38.050036042969474</v>
      </c>
      <c r="AE140" s="109">
        <v>46.964798819164663</v>
      </c>
      <c r="AF140" s="109">
        <v>56.592944310801371</v>
      </c>
      <c r="AG140" s="109">
        <v>68.562149527018221</v>
      </c>
      <c r="AH140" s="109">
        <v>81.090544563297556</v>
      </c>
      <c r="AI140" s="109">
        <v>105.36565248182231</v>
      </c>
      <c r="AJ140" s="109">
        <v>129.40208297251726</v>
      </c>
      <c r="AK140" s="109">
        <v>154.79964549484743</v>
      </c>
      <c r="AL140" s="109">
        <v>178.47674220198437</v>
      </c>
      <c r="AM140" s="109">
        <v>203.18583207951366</v>
      </c>
      <c r="AN140" s="109">
        <v>225.48765422835527</v>
      </c>
      <c r="AO140" s="109">
        <v>252.47827514075269</v>
      </c>
      <c r="AP140" s="109">
        <v>276.08031672661809</v>
      </c>
      <c r="AQ140" s="109">
        <v>301.16204209245586</v>
      </c>
      <c r="AR140" s="109">
        <v>322.41284476719943</v>
      </c>
      <c r="AS140" s="109">
        <v>345.32408883086788</v>
      </c>
      <c r="AT140" s="109">
        <v>365.56931914431067</v>
      </c>
      <c r="AU140" s="109">
        <v>387.22170933515656</v>
      </c>
      <c r="AV140" s="109">
        <v>403.65552309842593</v>
      </c>
      <c r="AW140" s="109">
        <v>422.79740539117245</v>
      </c>
      <c r="AX140" s="109">
        <v>438.75317403614167</v>
      </c>
    </row>
    <row r="141" spans="2:50">
      <c r="B141" t="str">
        <f ca="1">OFFSET('Scenario names'!$C$3,1,0)</f>
        <v>High Hydrogen</v>
      </c>
      <c r="E141" t="s">
        <v>234</v>
      </c>
      <c r="G141" s="44" t="s">
        <v>213</v>
      </c>
      <c r="I141" s="45" t="s">
        <v>1205</v>
      </c>
      <c r="K141" s="44" t="s">
        <v>1198</v>
      </c>
      <c r="M141" s="44" t="str">
        <f t="shared" ca="1" si="39"/>
        <v>LGVs - Dieselkt CO2/yearHigh Hydrogen</v>
      </c>
      <c r="O141" s="109">
        <v>0.20115651834971721</v>
      </c>
      <c r="P141" s="109">
        <v>1.0289602932320525</v>
      </c>
      <c r="Q141" s="109">
        <v>1.9451072159863196</v>
      </c>
      <c r="R141" s="109">
        <v>2.6926879732274771</v>
      </c>
      <c r="S141" s="109">
        <v>3.27716046630974</v>
      </c>
      <c r="T141" s="109">
        <v>2.3400087331738777</v>
      </c>
      <c r="U141" s="109">
        <v>2.4867045506649932</v>
      </c>
      <c r="V141" s="109">
        <v>2.8901793934416951</v>
      </c>
      <c r="W141" s="109">
        <v>3.6569221641038108</v>
      </c>
      <c r="X141" s="109">
        <v>4.9737463366467507</v>
      </c>
      <c r="Y141" s="109">
        <v>5.5259706585902526</v>
      </c>
      <c r="Z141" s="109">
        <v>5.7573300873796089</v>
      </c>
      <c r="AA141" s="109">
        <v>7.9956712417520013</v>
      </c>
      <c r="AB141" s="109">
        <v>10.280860155559909</v>
      </c>
      <c r="AC141" s="109">
        <v>12.525195281871436</v>
      </c>
      <c r="AD141" s="109">
        <v>13.062277828853219</v>
      </c>
      <c r="AE141" s="109">
        <v>12.612003827074833</v>
      </c>
      <c r="AF141" s="109">
        <v>12.714466867263717</v>
      </c>
      <c r="AG141" s="109">
        <v>12.478232475279173</v>
      </c>
      <c r="AH141" s="109">
        <v>12.356351745310432</v>
      </c>
      <c r="AI141" s="109">
        <v>11.607054469828361</v>
      </c>
      <c r="AJ141" s="109">
        <v>9.9921599103341094</v>
      </c>
      <c r="AK141" s="109">
        <v>9.1571244659332045</v>
      </c>
      <c r="AL141" s="109">
        <v>9.1229941869483007</v>
      </c>
      <c r="AM141" s="109">
        <v>8.7250930450497659</v>
      </c>
      <c r="AN141" s="109">
        <v>7.9166666622671285</v>
      </c>
      <c r="AO141" s="109">
        <v>6.5576249919013216</v>
      </c>
      <c r="AP141" s="109">
        <v>6.1636660175637692</v>
      </c>
      <c r="AQ141" s="109">
        <v>5.9441105600130664</v>
      </c>
      <c r="AR141" s="109">
        <v>5.4748517048904946</v>
      </c>
      <c r="AS141" s="109">
        <v>4.5404684638891171</v>
      </c>
      <c r="AT141" s="109">
        <v>4.0182482553088956</v>
      </c>
      <c r="AU141" s="109">
        <v>3.6106385098913338</v>
      </c>
      <c r="AV141" s="109">
        <v>3.3404933569163018</v>
      </c>
      <c r="AW141" s="109">
        <v>3.0323937093594413</v>
      </c>
      <c r="AX141" s="109">
        <v>2.9111917550433688</v>
      </c>
    </row>
    <row r="142" spans="2:50">
      <c r="B142" t="str">
        <f ca="1">OFFSET('Scenario names'!$C$3,1,0)</f>
        <v>High Hydrogen</v>
      </c>
      <c r="E142" t="s">
        <v>234</v>
      </c>
      <c r="G142" s="44" t="s">
        <v>212</v>
      </c>
      <c r="I142" s="45" t="s">
        <v>1206</v>
      </c>
      <c r="K142" s="44" t="s">
        <v>1198</v>
      </c>
      <c r="M142" s="44" t="str">
        <f t="shared" ca="1" si="39"/>
        <v>LGVs - Petrolkt CO2/yearHigh Hydrogen</v>
      </c>
      <c r="O142" s="109">
        <v>901.99237473883215</v>
      </c>
      <c r="P142" s="109">
        <v>908.76173291838961</v>
      </c>
      <c r="Q142" s="109">
        <v>905.16119454325735</v>
      </c>
      <c r="R142" s="109">
        <v>900.89778778021946</v>
      </c>
      <c r="S142" s="109">
        <v>909.09700647114551</v>
      </c>
      <c r="T142" s="109">
        <v>793.25744746200075</v>
      </c>
      <c r="U142" s="109">
        <v>790.15088014853211</v>
      </c>
      <c r="V142" s="109">
        <v>786.24864917181128</v>
      </c>
      <c r="W142" s="109">
        <v>779.34618383649808</v>
      </c>
      <c r="X142" s="109">
        <v>772.03644944680354</v>
      </c>
      <c r="Y142" s="109">
        <v>759.66334836606518</v>
      </c>
      <c r="Z142" s="109">
        <v>737.28902481454259</v>
      </c>
      <c r="AA142" s="109">
        <v>685.79818777056153</v>
      </c>
      <c r="AB142" s="109">
        <v>633.31514475376241</v>
      </c>
      <c r="AC142" s="109">
        <v>576.57928582618854</v>
      </c>
      <c r="AD142" s="109">
        <v>499.92994453085379</v>
      </c>
      <c r="AE142" s="109">
        <v>434.72290593153286</v>
      </c>
      <c r="AF142" s="109">
        <v>372.56812868342269</v>
      </c>
      <c r="AG142" s="109">
        <v>314.68075916612077</v>
      </c>
      <c r="AH142" s="109">
        <v>266.74156187619599</v>
      </c>
      <c r="AI142" s="109">
        <v>222.42121985738277</v>
      </c>
      <c r="AJ142" s="109">
        <v>181.8923043857335</v>
      </c>
      <c r="AK142" s="109">
        <v>145.49482789823952</v>
      </c>
      <c r="AL142" s="109">
        <v>113.55178481029084</v>
      </c>
      <c r="AM142" s="109">
        <v>86.28198738562115</v>
      </c>
      <c r="AN142" s="109">
        <v>63.731857156382212</v>
      </c>
      <c r="AO142" s="109">
        <v>45.716906940261538</v>
      </c>
      <c r="AP142" s="109">
        <v>31.847222192492723</v>
      </c>
      <c r="AQ142" s="109">
        <v>21.564350160725031</v>
      </c>
      <c r="AR142" s="109">
        <v>14.221371339018763</v>
      </c>
      <c r="AS142" s="109">
        <v>9.1597911578196722</v>
      </c>
      <c r="AT142" s="109">
        <v>5.7821558433125722</v>
      </c>
      <c r="AU142" s="109">
        <v>3.590490791378333</v>
      </c>
      <c r="AV142" s="109">
        <v>2.1997955978789543</v>
      </c>
      <c r="AW142" s="109">
        <v>1.3336120420315876</v>
      </c>
      <c r="AX142" s="109">
        <v>0.80201248952024662</v>
      </c>
    </row>
    <row r="143" spans="2:50">
      <c r="B143" t="str">
        <f ca="1">OFFSET('Scenario names'!$C$3,1,0)</f>
        <v>High Hydrogen</v>
      </c>
      <c r="E143" t="s">
        <v>234</v>
      </c>
      <c r="G143" s="44" t="s">
        <v>1200</v>
      </c>
      <c r="I143" s="45" t="s">
        <v>1207</v>
      </c>
      <c r="K143" s="44" t="s">
        <v>1202</v>
      </c>
      <c r="M143" s="44" t="str">
        <f t="shared" ca="1" si="39"/>
        <v>LGVs - ElectricGWh/yearHigh Hydrogen</v>
      </c>
      <c r="O143" s="109">
        <v>0.55799967294797237</v>
      </c>
      <c r="P143" s="109">
        <v>3.5777310178248958</v>
      </c>
      <c r="Q143" s="109">
        <v>7.5692870373418204</v>
      </c>
      <c r="R143" s="109">
        <v>11.277110006035198</v>
      </c>
      <c r="S143" s="109">
        <v>15.393658487867446</v>
      </c>
      <c r="T143" s="109">
        <v>14.679063322591329</v>
      </c>
      <c r="U143" s="109">
        <v>16.721250374903359</v>
      </c>
      <c r="V143" s="109">
        <v>20.80056817311069</v>
      </c>
      <c r="W143" s="109">
        <v>27.437204829100278</v>
      </c>
      <c r="X143" s="109">
        <v>34.201537795054449</v>
      </c>
      <c r="Y143" s="109">
        <v>44.927536642170182</v>
      </c>
      <c r="Z143" s="109">
        <v>63.498005698445262</v>
      </c>
      <c r="AA143" s="109">
        <v>106.55615047681279</v>
      </c>
      <c r="AB143" s="109">
        <v>148.16864950895885</v>
      </c>
      <c r="AC143" s="109">
        <v>192.79479932451406</v>
      </c>
      <c r="AD143" s="109">
        <v>253.33360269662114</v>
      </c>
      <c r="AE143" s="109">
        <v>308.86646904898822</v>
      </c>
      <c r="AF143" s="109">
        <v>360.25507727134487</v>
      </c>
      <c r="AG143" s="109">
        <v>407.1273066781643</v>
      </c>
      <c r="AH143" s="109">
        <v>444.08922557149015</v>
      </c>
      <c r="AI143" s="109">
        <v>467.61770754990209</v>
      </c>
      <c r="AJ143" s="109">
        <v>486.63689883531299</v>
      </c>
      <c r="AK143" s="109">
        <v>501.39173348342121</v>
      </c>
      <c r="AL143" s="109">
        <v>511.38111345790668</v>
      </c>
      <c r="AM143" s="109">
        <v>516.53827081508496</v>
      </c>
      <c r="AN143" s="109">
        <v>517.2137027632358</v>
      </c>
      <c r="AO143" s="109">
        <v>516.08797004158646</v>
      </c>
      <c r="AP143" s="109">
        <v>511.14379618815951</v>
      </c>
      <c r="AQ143" s="109">
        <v>503.21022777203882</v>
      </c>
      <c r="AR143" s="109">
        <v>493.12135400920732</v>
      </c>
      <c r="AS143" s="109">
        <v>481.56597978550525</v>
      </c>
      <c r="AT143" s="109">
        <v>469.40338964429526</v>
      </c>
      <c r="AU143" s="109">
        <v>457.44907850955684</v>
      </c>
      <c r="AV143" s="109">
        <v>445.91860774391313</v>
      </c>
      <c r="AW143" s="109">
        <v>435.00582150996536</v>
      </c>
      <c r="AX143" s="109">
        <v>424.91404340034563</v>
      </c>
    </row>
    <row r="144" spans="2:50">
      <c r="B144" t="str">
        <f ca="1">OFFSET('Scenario names'!$C$3,1,0)</f>
        <v>High Hydrogen</v>
      </c>
      <c r="E144" t="s">
        <v>234</v>
      </c>
      <c r="G144" s="44" t="s">
        <v>1203</v>
      </c>
      <c r="I144" s="45" t="s">
        <v>1208</v>
      </c>
      <c r="K144" s="44" t="s">
        <v>1202</v>
      </c>
      <c r="M144" s="44" t="str">
        <f t="shared" ca="1" si="39"/>
        <v>LGVs - H2GWh/yearHigh Hydrogen</v>
      </c>
      <c r="O144" s="109">
        <v>0</v>
      </c>
      <c r="P144" s="109">
        <v>0</v>
      </c>
      <c r="Q144" s="109">
        <v>0</v>
      </c>
      <c r="R144" s="109">
        <v>0</v>
      </c>
      <c r="S144" s="109">
        <v>0</v>
      </c>
      <c r="T144" s="109">
        <v>0</v>
      </c>
      <c r="U144" s="109">
        <v>0</v>
      </c>
      <c r="V144" s="109">
        <v>0</v>
      </c>
      <c r="W144" s="109">
        <v>0</v>
      </c>
      <c r="X144" s="109">
        <v>0.27605268920711012</v>
      </c>
      <c r="Y144" s="109">
        <v>1.3456584843371877</v>
      </c>
      <c r="Z144" s="109">
        <v>3.1265921138707329</v>
      </c>
      <c r="AA144" s="109">
        <v>5.7983167492107377</v>
      </c>
      <c r="AB144" s="109">
        <v>9.2718050724476733</v>
      </c>
      <c r="AC144" s="109">
        <v>12.988776777224302</v>
      </c>
      <c r="AD144" s="109">
        <v>20.343595456226453</v>
      </c>
      <c r="AE144" s="109">
        <v>28.107534295799219</v>
      </c>
      <c r="AF144" s="109">
        <v>37.51963291264088</v>
      </c>
      <c r="AG144" s="109">
        <v>48.310108650772264</v>
      </c>
      <c r="AH144" s="109">
        <v>60.85419823388029</v>
      </c>
      <c r="AI144" s="109">
        <v>90.912317172505936</v>
      </c>
      <c r="AJ144" s="109">
        <v>122.55589553467654</v>
      </c>
      <c r="AK144" s="109">
        <v>154.92379609816211</v>
      </c>
      <c r="AL144" s="109">
        <v>188.34979108536865</v>
      </c>
      <c r="AM144" s="109">
        <v>222.38002992886427</v>
      </c>
      <c r="AN144" s="109">
        <v>256.63329628903875</v>
      </c>
      <c r="AO144" s="109">
        <v>287.2412015041582</v>
      </c>
      <c r="AP144" s="109">
        <v>317.7363628353508</v>
      </c>
      <c r="AQ144" s="109">
        <v>347.54141457753923</v>
      </c>
      <c r="AR144" s="109">
        <v>376.20993025049097</v>
      </c>
      <c r="AS144" s="109">
        <v>403.55191486229313</v>
      </c>
      <c r="AT144" s="109">
        <v>429.07242742377241</v>
      </c>
      <c r="AU144" s="109">
        <v>452.24419908894424</v>
      </c>
      <c r="AV144" s="109">
        <v>473.29188357189298</v>
      </c>
      <c r="AW144" s="109">
        <v>492.34028549393491</v>
      </c>
      <c r="AX144" s="109">
        <v>509.39739823669396</v>
      </c>
    </row>
    <row r="145" spans="2:50">
      <c r="B145" t="str">
        <f ca="1">OFFSET('Scenario names'!$C$3,1,0)</f>
        <v>High Hydrogen</v>
      </c>
      <c r="E145" t="s">
        <v>235</v>
      </c>
      <c r="G145" s="44" t="s">
        <v>213</v>
      </c>
      <c r="I145" s="45" t="s">
        <v>1209</v>
      </c>
      <c r="K145" s="44" t="s">
        <v>1198</v>
      </c>
      <c r="M145" s="44" t="str">
        <f t="shared" ca="1" si="39"/>
        <v>HGVs - Dieselkt CO2/yearHigh Hydrogen</v>
      </c>
      <c r="O145" s="109">
        <v>1128.7827676828661</v>
      </c>
      <c r="P145" s="109">
        <v>1139.1738050432034</v>
      </c>
      <c r="Q145" s="109">
        <v>1138.9163501614273</v>
      </c>
      <c r="R145" s="109">
        <v>1138.0382307316311</v>
      </c>
      <c r="S145" s="109">
        <v>1137.1593885713896</v>
      </c>
      <c r="T145" s="109">
        <v>1139.3689953681603</v>
      </c>
      <c r="U145" s="109">
        <v>1142.6779752467671</v>
      </c>
      <c r="V145" s="109">
        <v>1144.0497968973161</v>
      </c>
      <c r="W145" s="109">
        <v>1147.2568873949047</v>
      </c>
      <c r="X145" s="109">
        <v>1148.6246188631287</v>
      </c>
      <c r="Y145" s="109">
        <v>1150.3591280075873</v>
      </c>
      <c r="Z145" s="109">
        <v>1139.7514779227736</v>
      </c>
      <c r="AA145" s="109">
        <v>1127.272374949074</v>
      </c>
      <c r="AB145" s="109">
        <v>1116.4880745474309</v>
      </c>
      <c r="AC145" s="109">
        <v>1103.896876308942</v>
      </c>
      <c r="AD145" s="109">
        <v>1092.9362732245795</v>
      </c>
      <c r="AE145" s="109">
        <v>1012.1241221538708</v>
      </c>
      <c r="AF145" s="109">
        <v>932.64900139835856</v>
      </c>
      <c r="AG145" s="109">
        <v>854.51319901477541</v>
      </c>
      <c r="AH145" s="109">
        <v>777.71900305985343</v>
      </c>
      <c r="AI145" s="109">
        <v>703.22711528096079</v>
      </c>
      <c r="AJ145" s="109">
        <v>614.65032198843869</v>
      </c>
      <c r="AK145" s="109">
        <v>527.70537972442173</v>
      </c>
      <c r="AL145" s="109">
        <v>442.39536151860511</v>
      </c>
      <c r="AM145" s="109">
        <v>358.72334040068375</v>
      </c>
      <c r="AN145" s="109">
        <v>276.9518165776604</v>
      </c>
      <c r="AO145" s="109">
        <v>232.74963561979436</v>
      </c>
      <c r="AP145" s="109">
        <v>189.37988271083705</v>
      </c>
      <c r="AQ145" s="109">
        <v>146.84269852757944</v>
      </c>
      <c r="AR145" s="109">
        <v>105.13822374681254</v>
      </c>
      <c r="AS145" s="109">
        <v>64.266599045327382</v>
      </c>
      <c r="AT145" s="109">
        <v>51.95876981452286</v>
      </c>
      <c r="AU145" s="109">
        <v>39.896833832243615</v>
      </c>
      <c r="AV145" s="109">
        <v>28.080842132143626</v>
      </c>
      <c r="AW145" s="109">
        <v>16.510845747876857</v>
      </c>
      <c r="AX145" s="109">
        <v>5.186895713097301</v>
      </c>
    </row>
    <row r="146" spans="2:50">
      <c r="B146" t="str">
        <f ca="1">OFFSET('Scenario names'!$C$3,1,0)</f>
        <v>High Hydrogen</v>
      </c>
      <c r="E146" t="s">
        <v>235</v>
      </c>
      <c r="G146" s="44" t="s">
        <v>1200</v>
      </c>
      <c r="I146" s="45" t="s">
        <v>1210</v>
      </c>
      <c r="K146" s="44" t="s">
        <v>1202</v>
      </c>
      <c r="M146" s="44" t="str">
        <f t="shared" ca="1" si="39"/>
        <v>HGVs - ElectricGWh/yearHigh Hydrogen</v>
      </c>
      <c r="O146" s="109">
        <v>0</v>
      </c>
      <c r="P146" s="109">
        <v>1.4612109626215879</v>
      </c>
      <c r="Q146" s="109">
        <v>2.9240183110457894</v>
      </c>
      <c r="R146" s="109">
        <v>4.3860319680184334</v>
      </c>
      <c r="S146" s="109">
        <v>5.8480426240245773</v>
      </c>
      <c r="T146" s="109">
        <v>0</v>
      </c>
      <c r="U146" s="109">
        <v>1.4673945681271283</v>
      </c>
      <c r="V146" s="109">
        <v>2.9387381444160963</v>
      </c>
      <c r="W146" s="109">
        <v>4.4242589529870955</v>
      </c>
      <c r="X146" s="109">
        <v>5.9069099536398069</v>
      </c>
      <c r="Y146" s="109">
        <v>7.3935099624543597</v>
      </c>
      <c r="Z146" s="109">
        <v>30.413220032466935</v>
      </c>
      <c r="AA146" s="109">
        <v>53.494135982550674</v>
      </c>
      <c r="AB146" s="109">
        <v>76.819744398456365</v>
      </c>
      <c r="AC146" s="109">
        <v>100.10696369086644</v>
      </c>
      <c r="AD146" s="109">
        <v>123.73847045266525</v>
      </c>
      <c r="AE146" s="109">
        <v>207.69734024033374</v>
      </c>
      <c r="AF146" s="109">
        <v>291.75221751226627</v>
      </c>
      <c r="AG146" s="109">
        <v>375.90310226846287</v>
      </c>
      <c r="AH146" s="109">
        <v>460.14999450892378</v>
      </c>
      <c r="AI146" s="109">
        <v>545.48630044537049</v>
      </c>
      <c r="AJ146" s="109">
        <v>651.66545618082455</v>
      </c>
      <c r="AK146" s="109">
        <v>757.99678403949645</v>
      </c>
      <c r="AL146" s="109">
        <v>864.48028402138618</v>
      </c>
      <c r="AM146" s="109">
        <v>971.11595612649342</v>
      </c>
      <c r="AN146" s="109">
        <v>1079.5498294744621</v>
      </c>
      <c r="AO146" s="109">
        <v>1142.9121506941344</v>
      </c>
      <c r="AP146" s="109">
        <v>1206.2838240744018</v>
      </c>
      <c r="AQ146" s="109">
        <v>1269.6648496152638</v>
      </c>
      <c r="AR146" s="109">
        <v>1333.0552273167209</v>
      </c>
      <c r="AS146" s="109">
        <v>1396.4549571787732</v>
      </c>
      <c r="AT146" s="109">
        <v>1419.3283721735706</v>
      </c>
      <c r="AU146" s="109">
        <v>1442.2062901016898</v>
      </c>
      <c r="AV146" s="109">
        <v>1465.0887109631301</v>
      </c>
      <c r="AW146" s="109">
        <v>1487.9756347578909</v>
      </c>
      <c r="AX146" s="109">
        <v>1510.8670614859736</v>
      </c>
    </row>
    <row r="147" spans="2:50">
      <c r="B147" t="str">
        <f ca="1">OFFSET('Scenario names'!$C$3,1,0)</f>
        <v>High Hydrogen</v>
      </c>
      <c r="E147" t="s">
        <v>235</v>
      </c>
      <c r="G147" s="44" t="s">
        <v>1203</v>
      </c>
      <c r="I147" s="45" t="s">
        <v>1211</v>
      </c>
      <c r="K147" s="44" t="s">
        <v>1202</v>
      </c>
      <c r="M147" s="44" t="str">
        <f t="shared" ca="1" si="39"/>
        <v>HGVs - H2GWh/yearHigh Hydrogen</v>
      </c>
      <c r="O147" s="109">
        <v>0</v>
      </c>
      <c r="P147" s="109">
        <v>0</v>
      </c>
      <c r="Q147" s="109">
        <v>0</v>
      </c>
      <c r="R147" s="109">
        <v>0</v>
      </c>
      <c r="S147" s="109">
        <v>0</v>
      </c>
      <c r="T147" s="109">
        <v>0</v>
      </c>
      <c r="U147" s="109">
        <v>0</v>
      </c>
      <c r="V147" s="109">
        <v>0</v>
      </c>
      <c r="W147" s="109">
        <v>0</v>
      </c>
      <c r="X147" s="109">
        <v>0</v>
      </c>
      <c r="Y147" s="109">
        <v>0</v>
      </c>
      <c r="Z147" s="109">
        <v>12.970905226308274</v>
      </c>
      <c r="AA147" s="109">
        <v>25.59103024351818</v>
      </c>
      <c r="AB147" s="109">
        <v>37.924637068863959</v>
      </c>
      <c r="AC147" s="109">
        <v>49.857034448452723</v>
      </c>
      <c r="AD147" s="109">
        <v>61.537777112878395</v>
      </c>
      <c r="AE147" s="109">
        <v>145.52650470572735</v>
      </c>
      <c r="AF147" s="109">
        <v>228.69578870681406</v>
      </c>
      <c r="AG147" s="109">
        <v>311.04416560949704</v>
      </c>
      <c r="AH147" s="109">
        <v>392.57017190713503</v>
      </c>
      <c r="AI147" s="109">
        <v>474.12175992476631</v>
      </c>
      <c r="AJ147" s="109">
        <v>566.50272496777529</v>
      </c>
      <c r="AK147" s="109">
        <v>657.92026063508013</v>
      </c>
      <c r="AL147" s="109">
        <v>748.3728271564313</v>
      </c>
      <c r="AM147" s="109">
        <v>837.85888476158027</v>
      </c>
      <c r="AN147" s="109">
        <v>928.10691953202866</v>
      </c>
      <c r="AO147" s="109">
        <v>970.47348749937794</v>
      </c>
      <c r="AP147" s="109">
        <v>1012.8429937096088</v>
      </c>
      <c r="AQ147" s="109">
        <v>1055.2154381627206</v>
      </c>
      <c r="AR147" s="109">
        <v>1097.5908208587136</v>
      </c>
      <c r="AS147" s="109">
        <v>1139.9691417975878</v>
      </c>
      <c r="AT147" s="109">
        <v>1147.3212797794956</v>
      </c>
      <c r="AU147" s="109">
        <v>1154.6732572842534</v>
      </c>
      <c r="AV147" s="109">
        <v>1162.0250743118604</v>
      </c>
      <c r="AW147" s="109">
        <v>1169.3767308623167</v>
      </c>
      <c r="AX147" s="109">
        <v>1176.7282269356231</v>
      </c>
    </row>
    <row r="148" spans="2:50">
      <c r="B148" t="str">
        <f ca="1">OFFSET('Scenario names'!$C$3,1,0)</f>
        <v>High Hydrogen</v>
      </c>
      <c r="E148" t="s">
        <v>236</v>
      </c>
      <c r="G148" s="44" t="s">
        <v>213</v>
      </c>
      <c r="I148" s="45" t="s">
        <v>1212</v>
      </c>
      <c r="K148" s="44" t="s">
        <v>1198</v>
      </c>
      <c r="M148" s="44" t="str">
        <f t="shared" ca="1" si="39"/>
        <v>Buses - Dieselkt CO2/yearHigh Hydrogen</v>
      </c>
      <c r="O148" s="109">
        <v>935.39644498787595</v>
      </c>
      <c r="P148" s="109">
        <v>933.54033739015972</v>
      </c>
      <c r="Q148" s="109">
        <v>922.84826305998104</v>
      </c>
      <c r="R148" s="109">
        <v>911.64717386040741</v>
      </c>
      <c r="S148" s="109">
        <v>900.44513752698367</v>
      </c>
      <c r="T148" s="109">
        <v>880.37152707089911</v>
      </c>
      <c r="U148" s="109">
        <v>869.19450881074863</v>
      </c>
      <c r="V148" s="109">
        <v>825.80424010845559</v>
      </c>
      <c r="W148" s="109">
        <v>771.32259688764861</v>
      </c>
      <c r="X148" s="109">
        <v>716.53381369231897</v>
      </c>
      <c r="Y148" s="109">
        <v>661.39963486322085</v>
      </c>
      <c r="Z148" s="109">
        <v>589.03836746350191</v>
      </c>
      <c r="AA148" s="109">
        <v>516.50308685806215</v>
      </c>
      <c r="AB148" s="109">
        <v>443.79375202834331</v>
      </c>
      <c r="AC148" s="109">
        <v>370.91032195578788</v>
      </c>
      <c r="AD148" s="109">
        <v>297.85275562183756</v>
      </c>
      <c r="AE148" s="109">
        <v>272.43178038723352</v>
      </c>
      <c r="AF148" s="109">
        <v>247.41762685997119</v>
      </c>
      <c r="AG148" s="109">
        <v>222.81172037905179</v>
      </c>
      <c r="AH148" s="109">
        <v>198.61548628347651</v>
      </c>
      <c r="AI148" s="109">
        <v>174.83034991224673</v>
      </c>
      <c r="AJ148" s="109">
        <v>153.62300943417989</v>
      </c>
      <c r="AK148" s="109">
        <v>132.7879545358887</v>
      </c>
      <c r="AL148" s="109">
        <v>112.32646840114519</v>
      </c>
      <c r="AM148" s="109">
        <v>92.239834213721352</v>
      </c>
      <c r="AN148" s="109">
        <v>72.529335157389198</v>
      </c>
      <c r="AO148" s="109">
        <v>61.34049032348895</v>
      </c>
      <c r="AP148" s="109">
        <v>50.360787560334174</v>
      </c>
      <c r="AQ148" s="109">
        <v>39.590295525302992</v>
      </c>
      <c r="AR148" s="109">
        <v>29.029082875773554</v>
      </c>
      <c r="AS148" s="109">
        <v>18.677218269123973</v>
      </c>
      <c r="AT148" s="109">
        <v>15.410462061624095</v>
      </c>
      <c r="AU148" s="109">
        <v>12.208370979162497</v>
      </c>
      <c r="AV148" s="109">
        <v>9.0709662249190828</v>
      </c>
      <c r="AW148" s="109">
        <v>5.9982690020737666</v>
      </c>
      <c r="AX148" s="109">
        <v>2.9903005138064631</v>
      </c>
    </row>
    <row r="149" spans="2:50">
      <c r="B149" t="str">
        <f ca="1">OFFSET('Scenario names'!$C$3,1,0)</f>
        <v>High Hydrogen</v>
      </c>
      <c r="E149" t="s">
        <v>236</v>
      </c>
      <c r="G149" s="44" t="s">
        <v>1200</v>
      </c>
      <c r="I149" s="45" t="s">
        <v>1213</v>
      </c>
      <c r="K149" s="44" t="s">
        <v>1202</v>
      </c>
      <c r="M149" s="44" t="str">
        <f t="shared" ca="1" si="39"/>
        <v>Buses - ElectricGWh/yearHigh Hydrogen</v>
      </c>
      <c r="O149" s="109">
        <v>13.94314981794283</v>
      </c>
      <c r="P149" s="109">
        <v>14.082370200090688</v>
      </c>
      <c r="Q149" s="109">
        <v>14.090062756617311</v>
      </c>
      <c r="R149" s="109">
        <v>13.145080984816605</v>
      </c>
      <c r="S149" s="109">
        <v>12.200084752160388</v>
      </c>
      <c r="T149" s="109">
        <v>19.523442273010005</v>
      </c>
      <c r="U149" s="109">
        <v>33.039123102950278</v>
      </c>
      <c r="V149" s="109">
        <v>84.479106316092697</v>
      </c>
      <c r="W149" s="109">
        <v>135.93077331029798</v>
      </c>
      <c r="X149" s="109">
        <v>187.39412408556601</v>
      </c>
      <c r="Y149" s="109">
        <v>238.869158641897</v>
      </c>
      <c r="Z149" s="109">
        <v>303.18504610845383</v>
      </c>
      <c r="AA149" s="109">
        <v>366.96330226540795</v>
      </c>
      <c r="AB149" s="109">
        <v>430.20392711275872</v>
      </c>
      <c r="AC149" s="109">
        <v>492.90692065050661</v>
      </c>
      <c r="AD149" s="109">
        <v>555.07228287865144</v>
      </c>
      <c r="AE149" s="109">
        <v>575.87162601837144</v>
      </c>
      <c r="AF149" s="109">
        <v>601.22263719411421</v>
      </c>
      <c r="AG149" s="109">
        <v>626.62759363708119</v>
      </c>
      <c r="AH149" s="109">
        <v>652.08649534727226</v>
      </c>
      <c r="AI149" s="109">
        <v>677.59934232468777</v>
      </c>
      <c r="AJ149" s="109">
        <v>693.57235419027086</v>
      </c>
      <c r="AK149" s="109">
        <v>709.60554230420132</v>
      </c>
      <c r="AL149" s="109">
        <v>707.64246781563395</v>
      </c>
      <c r="AM149" s="109">
        <v>705.81987330978961</v>
      </c>
      <c r="AN149" s="109">
        <v>704.13771188446549</v>
      </c>
      <c r="AO149" s="109">
        <v>692.43973174486973</v>
      </c>
      <c r="AP149" s="109">
        <v>680.74394976462531</v>
      </c>
      <c r="AQ149" s="109">
        <v>669.05036594373234</v>
      </c>
      <c r="AR149" s="109">
        <v>657.35898028219083</v>
      </c>
      <c r="AS149" s="109">
        <v>645.66979278000088</v>
      </c>
      <c r="AT149" s="109">
        <v>626.37422783635452</v>
      </c>
      <c r="AU149" s="109">
        <v>628.97571918651772</v>
      </c>
      <c r="AV149" s="109">
        <v>631.57776330849288</v>
      </c>
      <c r="AW149" s="109">
        <v>634.1803602022801</v>
      </c>
      <c r="AX149" s="109">
        <v>636.78350986787927</v>
      </c>
    </row>
    <row r="150" spans="2:50">
      <c r="B150" t="str">
        <f ca="1">OFFSET('Scenario names'!$C$3,1,0)</f>
        <v>High Hydrogen</v>
      </c>
      <c r="E150" s="78" t="s">
        <v>236</v>
      </c>
      <c r="G150" s="44" t="s">
        <v>1203</v>
      </c>
      <c r="I150" s="45" t="s">
        <v>1214</v>
      </c>
      <c r="K150" s="44" t="s">
        <v>1202</v>
      </c>
      <c r="M150" s="44" t="str">
        <f t="shared" ca="1" si="39"/>
        <v>Buses - H2GWh/yearHigh Hydrogen</v>
      </c>
      <c r="O150" s="109">
        <v>0</v>
      </c>
      <c r="P150" s="109">
        <v>0</v>
      </c>
      <c r="Q150" s="109">
        <v>0</v>
      </c>
      <c r="R150" s="109">
        <v>0</v>
      </c>
      <c r="S150" s="109">
        <v>0</v>
      </c>
      <c r="T150" s="109">
        <v>0</v>
      </c>
      <c r="U150" s="109">
        <v>4.4998660252506468</v>
      </c>
      <c r="V150" s="109">
        <v>5.0788657191137165</v>
      </c>
      <c r="W150" s="109">
        <v>5.6551390065551601</v>
      </c>
      <c r="X150" s="109">
        <v>6.2286740531258715</v>
      </c>
      <c r="Y150" s="109">
        <v>6.7994590243767421</v>
      </c>
      <c r="Z150" s="109">
        <v>39.672581369942471</v>
      </c>
      <c r="AA150" s="109">
        <v>72.419849800499463</v>
      </c>
      <c r="AB150" s="109">
        <v>105.04119902600273</v>
      </c>
      <c r="AC150" s="109">
        <v>137.53656375640725</v>
      </c>
      <c r="AD150" s="109">
        <v>169.90587870166814</v>
      </c>
      <c r="AE150" s="109">
        <v>221.99248428006024</v>
      </c>
      <c r="AF150" s="109">
        <v>256.61293629345784</v>
      </c>
      <c r="AG150" s="109">
        <v>290.84101060474256</v>
      </c>
      <c r="AH150" s="109">
        <v>324.67526815151717</v>
      </c>
      <c r="AI150" s="109">
        <v>358.11426987138447</v>
      </c>
      <c r="AJ150" s="109">
        <v>406.15050814239373</v>
      </c>
      <c r="AK150" s="109">
        <v>453.59817574557997</v>
      </c>
      <c r="AL150" s="109">
        <v>566.80287064499282</v>
      </c>
      <c r="AM150" s="109">
        <v>678.56032730872812</v>
      </c>
      <c r="AN150" s="109">
        <v>788.86905763240804</v>
      </c>
      <c r="AO150" s="109">
        <v>890.02333157452654</v>
      </c>
      <c r="AP150" s="109">
        <v>991.18222161378219</v>
      </c>
      <c r="AQ150" s="109">
        <v>1092.3457277501752</v>
      </c>
      <c r="AR150" s="109">
        <v>1193.5138499837055</v>
      </c>
      <c r="AS150" s="109">
        <v>1294.6865883143726</v>
      </c>
      <c r="AT150" s="109">
        <v>1381.831986782267</v>
      </c>
      <c r="AU150" s="109">
        <v>1389.2047871857767</v>
      </c>
      <c r="AV150" s="109">
        <v>1396.5791692149667</v>
      </c>
      <c r="AW150" s="109">
        <v>1403.9551328698362</v>
      </c>
      <c r="AX150" s="109">
        <v>1411.3326781503863</v>
      </c>
    </row>
    <row r="151" spans="2:50">
      <c r="B151" t="str">
        <f ca="1">OFFSET('Scenario names'!$C$3,1,0)</f>
        <v>High Hydrogen</v>
      </c>
      <c r="E151" s="78" t="s">
        <v>237</v>
      </c>
      <c r="F151" s="35"/>
      <c r="G151" s="44" t="s">
        <v>213</v>
      </c>
      <c r="I151" s="45" t="s">
        <v>1215</v>
      </c>
      <c r="K151" s="44" t="s">
        <v>1198</v>
      </c>
      <c r="M151" s="44" t="str">
        <f t="shared" ca="1" si="39"/>
        <v>Taxis - Dieselkt CO2/yearHigh Hydrogen</v>
      </c>
      <c r="O151" s="109">
        <v>111.11426001643541</v>
      </c>
      <c r="P151" s="109">
        <v>100.37642633746667</v>
      </c>
      <c r="Q151" s="109">
        <v>89.2385648978251</v>
      </c>
      <c r="R151" s="109">
        <v>78.707026181974896</v>
      </c>
      <c r="S151" s="109">
        <v>64.278150500943369</v>
      </c>
      <c r="T151" s="109">
        <v>64.492060634773225</v>
      </c>
      <c r="U151" s="109">
        <v>55.251228734210329</v>
      </c>
      <c r="V151" s="109">
        <v>46.356785661604633</v>
      </c>
      <c r="W151" s="109">
        <v>37.906967336438008</v>
      </c>
      <c r="X151" s="109">
        <v>31.493854680445587</v>
      </c>
      <c r="Y151" s="109">
        <v>26.190628048521564</v>
      </c>
      <c r="Z151" s="109">
        <v>22.346144355977746</v>
      </c>
      <c r="AA151" s="109">
        <v>18.516131951706175</v>
      </c>
      <c r="AB151" s="109">
        <v>14.89606749479899</v>
      </c>
      <c r="AC151" s="109">
        <v>11.848765616639941</v>
      </c>
      <c r="AD151" s="109">
        <v>9.3333727498733392</v>
      </c>
      <c r="AE151" s="109">
        <v>8.1789311383205483</v>
      </c>
      <c r="AF151" s="109">
        <v>7.0193852561297296</v>
      </c>
      <c r="AG151" s="109">
        <v>6.3323530403921326</v>
      </c>
      <c r="AH151" s="109">
        <v>6.0327500487039449</v>
      </c>
      <c r="AI151" s="109">
        <v>5.7405696280836249</v>
      </c>
      <c r="AJ151" s="109">
        <v>5.4709784560611645</v>
      </c>
      <c r="AK151" s="109">
        <v>5.2037142483639105</v>
      </c>
      <c r="AL151" s="109">
        <v>4.9387332833239643</v>
      </c>
      <c r="AM151" s="109">
        <v>4.675992927779669</v>
      </c>
      <c r="AN151" s="109">
        <v>4.4154516034104905</v>
      </c>
      <c r="AO151" s="109">
        <v>3.9675626286678569</v>
      </c>
      <c r="AP151" s="109">
        <v>3.5231406849844338</v>
      </c>
      <c r="AQ151" s="109">
        <v>3.0821434053818999</v>
      </c>
      <c r="AR151" s="109">
        <v>2.6445291103785409</v>
      </c>
      <c r="AS151" s="109">
        <v>2.2102567941004265</v>
      </c>
      <c r="AT151" s="109">
        <v>1.7650446473013452</v>
      </c>
      <c r="AU151" s="109">
        <v>1.3214224340933087</v>
      </c>
      <c r="AV151" s="109">
        <v>0.87938057656311663</v>
      </c>
      <c r="AW151" s="109">
        <v>0.43890957357443033</v>
      </c>
      <c r="AX151" s="109">
        <v>0</v>
      </c>
    </row>
    <row r="152" spans="2:50">
      <c r="B152" t="str">
        <f ca="1">OFFSET('Scenario names'!$C$3,1,0)</f>
        <v>High Hydrogen</v>
      </c>
      <c r="E152" s="78" t="s">
        <v>237</v>
      </c>
      <c r="G152" s="44" t="s">
        <v>1200</v>
      </c>
      <c r="I152" s="45" t="s">
        <v>1216</v>
      </c>
      <c r="K152" s="44" t="s">
        <v>1202</v>
      </c>
      <c r="M152" s="44" t="str">
        <f t="shared" ca="1" si="39"/>
        <v>Taxis - ElectricGWh/yearHigh Hydrogen</v>
      </c>
      <c r="O152" s="109">
        <v>20.769022919872736</v>
      </c>
      <c r="P152" s="109">
        <v>26.580749453853954</v>
      </c>
      <c r="Q152" s="109">
        <v>32.119073884161033</v>
      </c>
      <c r="R152" s="109">
        <v>37.560235852273777</v>
      </c>
      <c r="S152" s="109">
        <v>48.717305322966389</v>
      </c>
      <c r="T152" s="109">
        <v>48.519976864116551</v>
      </c>
      <c r="U152" s="109">
        <v>55.477765992205846</v>
      </c>
      <c r="V152" s="109">
        <v>61.792820935348551</v>
      </c>
      <c r="W152" s="109">
        <v>68.34718772912575</v>
      </c>
      <c r="X152" s="109">
        <v>72.928385611727933</v>
      </c>
      <c r="Y152" s="109">
        <v>76.493780413958874</v>
      </c>
      <c r="Z152" s="109">
        <v>79.593948382575718</v>
      </c>
      <c r="AA152" s="109">
        <v>82.993836155913357</v>
      </c>
      <c r="AB152" s="109">
        <v>86.192597486612797</v>
      </c>
      <c r="AC152" s="109">
        <v>88.745289118534416</v>
      </c>
      <c r="AD152" s="109">
        <v>90.668457886677174</v>
      </c>
      <c r="AE152" s="109">
        <v>90.802345360990699</v>
      </c>
      <c r="AF152" s="109">
        <v>90.812231492361605</v>
      </c>
      <c r="AG152" s="109">
        <v>89.804886765606142</v>
      </c>
      <c r="AH152" s="109">
        <v>88.018421914582262</v>
      </c>
      <c r="AI152" s="109">
        <v>86.078211496648294</v>
      </c>
      <c r="AJ152" s="109">
        <v>84.088721879697488</v>
      </c>
      <c r="AK152" s="109">
        <v>81.987701392506523</v>
      </c>
      <c r="AL152" s="109">
        <v>79.807877424343431</v>
      </c>
      <c r="AM152" s="109">
        <v>77.521142605860504</v>
      </c>
      <c r="AN152" s="109">
        <v>75.132615039390487</v>
      </c>
      <c r="AO152" s="109">
        <v>71.55855466067004</v>
      </c>
      <c r="AP152" s="109">
        <v>67.765955598987745</v>
      </c>
      <c r="AQ152" s="109">
        <v>63.734332423750431</v>
      </c>
      <c r="AR152" s="109">
        <v>59.470842060130593</v>
      </c>
      <c r="AS152" s="109">
        <v>54.996400598155191</v>
      </c>
      <c r="AT152" s="109">
        <v>50.375232077440081</v>
      </c>
      <c r="AU152" s="109">
        <v>45.559131497732224</v>
      </c>
      <c r="AV152" s="109">
        <v>40.534140159387036</v>
      </c>
      <c r="AW152" s="109">
        <v>35.318079407292522</v>
      </c>
      <c r="AX152" s="109">
        <v>29.911134028587341</v>
      </c>
    </row>
    <row r="153" spans="2:50">
      <c r="B153" t="str">
        <f ca="1">OFFSET('Scenario names'!$C$3,1,0)</f>
        <v>High Hydrogen</v>
      </c>
      <c r="E153" s="38" t="s">
        <v>237</v>
      </c>
      <c r="F153" s="38"/>
      <c r="G153" s="44" t="s">
        <v>1203</v>
      </c>
      <c r="I153" s="45" t="s">
        <v>1217</v>
      </c>
      <c r="K153" s="44" t="s">
        <v>1202</v>
      </c>
      <c r="M153" s="44" t="str">
        <f t="shared" ca="1" si="39"/>
        <v>Taxis - H2GWh/yearHigh Hydrogen</v>
      </c>
      <c r="O153" s="109">
        <v>0</v>
      </c>
      <c r="P153" s="109">
        <v>0</v>
      </c>
      <c r="Q153" s="109">
        <v>0</v>
      </c>
      <c r="R153" s="109">
        <v>0</v>
      </c>
      <c r="S153" s="109">
        <v>0</v>
      </c>
      <c r="T153" s="109">
        <v>0</v>
      </c>
      <c r="U153" s="109">
        <v>0.21227720567116304</v>
      </c>
      <c r="V153" s="109">
        <v>0.47492213193897381</v>
      </c>
      <c r="W153" s="109">
        <v>0.79087302395765346</v>
      </c>
      <c r="X153" s="109">
        <v>1.133669079129656</v>
      </c>
      <c r="Y153" s="109">
        <v>1.5007355795716031</v>
      </c>
      <c r="Z153" s="109">
        <v>1.9265241064944376</v>
      </c>
      <c r="AA153" s="109">
        <v>2.4040525308414571</v>
      </c>
      <c r="AB153" s="109">
        <v>2.9295912825833677</v>
      </c>
      <c r="AC153" s="109">
        <v>3.4829880145178582</v>
      </c>
      <c r="AD153" s="109">
        <v>4.0565048768047749</v>
      </c>
      <c r="AE153" s="109">
        <v>6.4101604666464231</v>
      </c>
      <c r="AF153" s="109">
        <v>8.9768393233045654</v>
      </c>
      <c r="AG153" s="109">
        <v>11.753559546474971</v>
      </c>
      <c r="AH153" s="109">
        <v>14.737301016095843</v>
      </c>
      <c r="AI153" s="109">
        <v>17.925005392347778</v>
      </c>
      <c r="AJ153" s="109">
        <v>21.120975617353523</v>
      </c>
      <c r="AK153" s="109">
        <v>24.468340418508667</v>
      </c>
      <c r="AL153" s="109">
        <v>27.964551338743341</v>
      </c>
      <c r="AM153" s="109">
        <v>31.607029766971543</v>
      </c>
      <c r="AN153" s="109">
        <v>35.393166938091333</v>
      </c>
      <c r="AO153" s="109">
        <v>41.636072303996535</v>
      </c>
      <c r="AP153" s="109">
        <v>48.214623393273207</v>
      </c>
      <c r="AQ153" s="109">
        <v>55.121570849985758</v>
      </c>
      <c r="AR153" s="109">
        <v>62.349658464391993</v>
      </c>
      <c r="AS153" s="109">
        <v>69.891623172943213</v>
      </c>
      <c r="AT153" s="109">
        <v>77.662948681723179</v>
      </c>
      <c r="AU153" s="109">
        <v>85.723155160030601</v>
      </c>
      <c r="AV153" s="109">
        <v>94.065165493578093</v>
      </c>
      <c r="AW153" s="109">
        <v>102.68189590987141</v>
      </c>
      <c r="AX153" s="109">
        <v>111.56625597820941</v>
      </c>
    </row>
    <row r="154" spans="2:50">
      <c r="B154" t="str">
        <f ca="1">OFFSET('Scenario names'!$C$3,1,0)</f>
        <v>High Hydrogen</v>
      </c>
      <c r="E154" s="78" t="s">
        <v>238</v>
      </c>
      <c r="G154" s="44" t="s">
        <v>212</v>
      </c>
      <c r="I154" s="45" t="s">
        <v>1218</v>
      </c>
      <c r="K154" s="44" t="s">
        <v>1198</v>
      </c>
      <c r="M154" s="44" t="str">
        <f t="shared" ca="1" si="39"/>
        <v>Motorcycles - Dieselkt CO2/yearHigh Hydrogen</v>
      </c>
      <c r="O154" s="109">
        <v>70.8740006682917</v>
      </c>
      <c r="P154" s="109">
        <v>71.21796853424317</v>
      </c>
      <c r="Q154" s="109">
        <v>70.892973966675541</v>
      </c>
      <c r="R154" s="109">
        <v>69.778196793282362</v>
      </c>
      <c r="S154" s="109">
        <v>67.4198018597925</v>
      </c>
      <c r="T154" s="109">
        <v>65.111100862126392</v>
      </c>
      <c r="U154" s="109">
        <v>62.964902553378032</v>
      </c>
      <c r="V154" s="109">
        <v>60.857653834474043</v>
      </c>
      <c r="W154" s="109">
        <v>58.789204177031898</v>
      </c>
      <c r="X154" s="109">
        <v>56.759403052669136</v>
      </c>
      <c r="Y154" s="109">
        <v>54.768099933003242</v>
      </c>
      <c r="Z154" s="109">
        <v>51.829115474869177</v>
      </c>
      <c r="AA154" s="109">
        <v>48.963954334764779</v>
      </c>
      <c r="AB154" s="109">
        <v>46.172474194383028</v>
      </c>
      <c r="AC154" s="109">
        <v>43.454532735416848</v>
      </c>
      <c r="AD154" s="109">
        <v>40.809987639559182</v>
      </c>
      <c r="AE154" s="109">
        <v>37.87828110885247</v>
      </c>
      <c r="AF154" s="109">
        <v>35.022676822483106</v>
      </c>
      <c r="AG154" s="109">
        <v>32.243174780451071</v>
      </c>
      <c r="AH154" s="109">
        <v>29.539774982756413</v>
      </c>
      <c r="AI154" s="109">
        <v>26.912477429399082</v>
      </c>
      <c r="AJ154" s="109">
        <v>24.361282120379112</v>
      </c>
      <c r="AK154" s="109">
        <v>21.886189055696491</v>
      </c>
      <c r="AL154" s="109">
        <v>19.487198235351215</v>
      </c>
      <c r="AM154" s="109">
        <v>17.164309659343292</v>
      </c>
      <c r="AN154" s="109">
        <v>14.917523327672713</v>
      </c>
      <c r="AO154" s="109">
        <v>13.401881779098598</v>
      </c>
      <c r="AP154" s="109">
        <v>11.891548945148232</v>
      </c>
      <c r="AQ154" s="109">
        <v>10.386524825821601</v>
      </c>
      <c r="AR154" s="109">
        <v>8.8868094211187145</v>
      </c>
      <c r="AS154" s="109">
        <v>7.3924027310395761</v>
      </c>
      <c r="AT154" s="109">
        <v>5.9033047555841742</v>
      </c>
      <c r="AU154" s="109">
        <v>4.4195154947525159</v>
      </c>
      <c r="AV154" s="109">
        <v>2.9410349485446008</v>
      </c>
      <c r="AW154" s="109">
        <v>1.4678631169604306</v>
      </c>
      <c r="AX154" s="109">
        <v>0</v>
      </c>
    </row>
    <row r="155" spans="2:50">
      <c r="B155" t="str">
        <f ca="1">OFFSET('Scenario names'!$C$3,1,0)</f>
        <v>High Hydrogen</v>
      </c>
      <c r="E155" t="s">
        <v>238</v>
      </c>
      <c r="G155" s="44" t="s">
        <v>1200</v>
      </c>
      <c r="I155" s="45" t="s">
        <v>1219</v>
      </c>
      <c r="K155" s="44" t="s">
        <v>1202</v>
      </c>
      <c r="M155" s="44" t="str">
        <f t="shared" ca="1" si="39"/>
        <v>Motorcycles - ElectricGWh/yearHigh Hydrogen</v>
      </c>
      <c r="O155" s="109">
        <v>0</v>
      </c>
      <c r="P155" s="109">
        <v>0</v>
      </c>
      <c r="Q155" s="109">
        <v>0</v>
      </c>
      <c r="R155" s="109">
        <v>0.59060752466735833</v>
      </c>
      <c r="S155" s="109">
        <v>1.4010412200156845</v>
      </c>
      <c r="T155" s="109">
        <v>2.1839741336597283</v>
      </c>
      <c r="U155" s="109">
        <v>2.934038313198589</v>
      </c>
      <c r="V155" s="109">
        <v>3.6540324527937957</v>
      </c>
      <c r="W155" s="109">
        <v>4.3441778268682274</v>
      </c>
      <c r="X155" s="109">
        <v>5.0046957098447606</v>
      </c>
      <c r="Y155" s="109">
        <v>5.6358073761462784</v>
      </c>
      <c r="Z155" s="109">
        <v>7.0276316926474687</v>
      </c>
      <c r="AA155" s="109">
        <v>8.3566824465598675</v>
      </c>
      <c r="AB155" s="109">
        <v>9.6234357624255651</v>
      </c>
      <c r="AC155" s="109">
        <v>10.828367764786645</v>
      </c>
      <c r="AD155" s="109">
        <v>11.971954578185189</v>
      </c>
      <c r="AE155" s="109">
        <v>13.486848308184326</v>
      </c>
      <c r="AF155" s="109">
        <v>14.934676891248884</v>
      </c>
      <c r="AG155" s="109">
        <v>16.315914991026279</v>
      </c>
      <c r="AH155" s="109">
        <v>17.631037271163926</v>
      </c>
      <c r="AI155" s="109">
        <v>18.88051839530921</v>
      </c>
      <c r="AJ155" s="109">
        <v>20.064833027109561</v>
      </c>
      <c r="AK155" s="109">
        <v>21.184455830212368</v>
      </c>
      <c r="AL155" s="109">
        <v>22.239861468265055</v>
      </c>
      <c r="AM155" s="109">
        <v>23.231524604915016</v>
      </c>
      <c r="AN155" s="109">
        <v>24.159919903809644</v>
      </c>
      <c r="AO155" s="109">
        <v>25.172378414457505</v>
      </c>
      <c r="AP155" s="109">
        <v>26.174893383294172</v>
      </c>
      <c r="AQ155" s="109">
        <v>27.167497921745838</v>
      </c>
      <c r="AR155" s="109">
        <v>28.150225141238689</v>
      </c>
      <c r="AS155" s="109">
        <v>29.123108153198938</v>
      </c>
      <c r="AT155" s="109">
        <v>30.086180069052748</v>
      </c>
      <c r="AU155" s="109">
        <v>31.039474000226313</v>
      </c>
      <c r="AV155" s="109">
        <v>31.983023058145836</v>
      </c>
      <c r="AW155" s="109">
        <v>32.916860354237514</v>
      </c>
      <c r="AX155" s="109">
        <v>33.925524951685247</v>
      </c>
    </row>
    <row r="156" spans="2:50">
      <c r="C156" t="s">
        <v>1223</v>
      </c>
    </row>
    <row r="157" spans="2:50">
      <c r="B157" t="str">
        <f ca="1">OFFSET('Scenario names'!$C$3,1,0)</f>
        <v>High Hydrogen</v>
      </c>
      <c r="E157" s="38" t="s">
        <v>233</v>
      </c>
      <c r="F157" s="38"/>
      <c r="G157" s="44" t="s">
        <v>213</v>
      </c>
      <c r="I157" s="45" t="s">
        <v>1197</v>
      </c>
      <c r="J157" s="38"/>
      <c r="K157" s="38" t="s">
        <v>1224</v>
      </c>
      <c r="L157" s="38"/>
      <c r="M157" s="44" t="str">
        <f ca="1">I157&amp;K157&amp;$B157</f>
        <v>Cars - Dieselthousand kmHigh Hydrogen</v>
      </c>
      <c r="O157" s="318">
        <v>8811255.731990803</v>
      </c>
      <c r="P157" s="318">
        <v>9212140.5638061743</v>
      </c>
      <c r="Q157" s="318">
        <v>9407357.2005250063</v>
      </c>
      <c r="R157" s="318">
        <v>9333321.8943427205</v>
      </c>
      <c r="S157" s="318">
        <v>8880482.3618594855</v>
      </c>
      <c r="T157" s="318">
        <v>8658330.0074153151</v>
      </c>
      <c r="U157" s="318">
        <v>8465898.8574156109</v>
      </c>
      <c r="V157" s="318">
        <v>7944190.2210158473</v>
      </c>
      <c r="W157" s="318">
        <v>7334120.4189196657</v>
      </c>
      <c r="X157" s="318">
        <v>6697363.1141163688</v>
      </c>
      <c r="Y157" s="318">
        <v>5986006.9945304403</v>
      </c>
      <c r="Z157" s="318">
        <v>5298073.3341931561</v>
      </c>
      <c r="AA157" s="318">
        <v>4597650.2311079782</v>
      </c>
      <c r="AB157" s="318">
        <v>3918034.458808051</v>
      </c>
      <c r="AC157" s="318">
        <v>3283862.8750981297</v>
      </c>
      <c r="AD157" s="318">
        <v>2705881.3751155678</v>
      </c>
      <c r="AE157" s="318">
        <v>2179457.7816706686</v>
      </c>
      <c r="AF157" s="318">
        <v>1733775.410558016</v>
      </c>
      <c r="AG157" s="318">
        <v>1348033.547234694</v>
      </c>
      <c r="AH157" s="318">
        <v>1031893.6408477853</v>
      </c>
      <c r="AI157" s="318">
        <v>776539.32166889729</v>
      </c>
      <c r="AJ157" s="318">
        <v>574055.95621697255</v>
      </c>
      <c r="AK157" s="318">
        <v>416107.56155144295</v>
      </c>
      <c r="AL157" s="318">
        <v>297943.57545872952</v>
      </c>
      <c r="AM157" s="318">
        <v>209146.41747664157</v>
      </c>
      <c r="AN157" s="318">
        <v>144402.63979093966</v>
      </c>
      <c r="AO157" s="318">
        <v>101159.25202270066</v>
      </c>
      <c r="AP157" s="318">
        <v>69517.403607880537</v>
      </c>
      <c r="AQ157" s="318">
        <v>47356.457584610886</v>
      </c>
      <c r="AR157" s="318">
        <v>31706.322414807008</v>
      </c>
      <c r="AS157" s="318">
        <v>21351.868412013137</v>
      </c>
      <c r="AT157" s="318">
        <v>14027.398786703518</v>
      </c>
      <c r="AU157" s="318">
        <v>9256.3519714707654</v>
      </c>
      <c r="AV157" s="318">
        <v>6203.0447770613919</v>
      </c>
      <c r="AW157" s="318">
        <v>3998.0424254145855</v>
      </c>
      <c r="AX157" s="318">
        <v>2686.5992614594015</v>
      </c>
    </row>
    <row r="158" spans="2:50">
      <c r="B158" t="str">
        <f ca="1">OFFSET('Scenario names'!$C$3,1,0)</f>
        <v>High Hydrogen</v>
      </c>
      <c r="E158" s="78" t="s">
        <v>233</v>
      </c>
      <c r="G158" s="44" t="s">
        <v>212</v>
      </c>
      <c r="I158" s="45" t="s">
        <v>1199</v>
      </c>
      <c r="K158" s="38" t="s">
        <v>1224</v>
      </c>
      <c r="M158" s="44" t="str">
        <f t="shared" ref="M158:M175" ca="1" si="40">I158&amp;K158&amp;$B158</f>
        <v>Cars - Petrolthousand kmHigh Hydrogen</v>
      </c>
      <c r="O158" s="318">
        <v>12684155.491909495</v>
      </c>
      <c r="P158" s="318">
        <v>12489285.738148466</v>
      </c>
      <c r="Q158" s="318">
        <v>12289178.575288735</v>
      </c>
      <c r="R158" s="318">
        <v>12316497.002572337</v>
      </c>
      <c r="S158" s="318">
        <v>12581299.678075671</v>
      </c>
      <c r="T158" s="318">
        <v>12570614.877329549</v>
      </c>
      <c r="U158" s="318">
        <v>12283194.756570134</v>
      </c>
      <c r="V158" s="318">
        <v>11907049.392626418</v>
      </c>
      <c r="W158" s="318">
        <v>11390994.15201523</v>
      </c>
      <c r="X158" s="318">
        <v>10880631.580913082</v>
      </c>
      <c r="Y158" s="318">
        <v>10210115.364741867</v>
      </c>
      <c r="Z158" s="318">
        <v>9512280.8807062358</v>
      </c>
      <c r="AA158" s="318">
        <v>8726203.0329224821</v>
      </c>
      <c r="AB158" s="318">
        <v>7920961.5444589779</v>
      </c>
      <c r="AC158" s="318">
        <v>7093652.1652254378</v>
      </c>
      <c r="AD158" s="318">
        <v>6245715.3900417546</v>
      </c>
      <c r="AE158" s="318">
        <v>5409913.7610062677</v>
      </c>
      <c r="AF158" s="318">
        <v>4654583.6111286553</v>
      </c>
      <c r="AG158" s="318">
        <v>3941355.1000317098</v>
      </c>
      <c r="AH158" s="318">
        <v>3305631.4020539224</v>
      </c>
      <c r="AI158" s="318">
        <v>2702700.6944579487</v>
      </c>
      <c r="AJ158" s="318">
        <v>2179315.8383298721</v>
      </c>
      <c r="AK158" s="318">
        <v>1730272.3478209458</v>
      </c>
      <c r="AL158" s="318">
        <v>1365426.4902179537</v>
      </c>
      <c r="AM158" s="318">
        <v>1059183.4129885521</v>
      </c>
      <c r="AN158" s="318">
        <v>815110.43025521014</v>
      </c>
      <c r="AO158" s="318">
        <v>636791.08899859549</v>
      </c>
      <c r="AP158" s="318">
        <v>491556.70267177268</v>
      </c>
      <c r="AQ158" s="318">
        <v>375493.65732088749</v>
      </c>
      <c r="AR158" s="318">
        <v>285009.43518625153</v>
      </c>
      <c r="AS158" s="318">
        <v>212472.8783203593</v>
      </c>
      <c r="AT158" s="318">
        <v>156186.31836570203</v>
      </c>
      <c r="AU158" s="318">
        <v>113191.96125112822</v>
      </c>
      <c r="AV158" s="318">
        <v>79974.970161398669</v>
      </c>
      <c r="AW158" s="318">
        <v>55883.748568572766</v>
      </c>
      <c r="AX158" s="318">
        <v>38552.699401942409</v>
      </c>
    </row>
    <row r="159" spans="2:50">
      <c r="B159" t="str">
        <f ca="1">OFFSET('Scenario names'!$C$3,1,0)</f>
        <v>High Hydrogen</v>
      </c>
      <c r="E159" t="s">
        <v>233</v>
      </c>
      <c r="G159" s="44" t="s">
        <v>1200</v>
      </c>
      <c r="I159" s="45" t="s">
        <v>1201</v>
      </c>
      <c r="K159" s="38" t="s">
        <v>1224</v>
      </c>
      <c r="M159" s="44" t="str">
        <f t="shared" ca="1" si="40"/>
        <v>Cars - Electricthousand kmHigh Hydrogen</v>
      </c>
      <c r="O159" s="318">
        <v>23052.692471471757</v>
      </c>
      <c r="P159" s="318">
        <v>32599.599851047653</v>
      </c>
      <c r="Q159" s="318">
        <v>48374.462755353088</v>
      </c>
      <c r="R159" s="318">
        <v>87407.77058063334</v>
      </c>
      <c r="S159" s="318">
        <v>124670.88292959223</v>
      </c>
      <c r="T159" s="318">
        <v>236892.4585332814</v>
      </c>
      <c r="U159" s="318">
        <v>501250.47701534088</v>
      </c>
      <c r="V159" s="318">
        <v>1183611.2250817565</v>
      </c>
      <c r="W159" s="318">
        <v>2079067.1739911935</v>
      </c>
      <c r="X159" s="318">
        <v>2994313.223601169</v>
      </c>
      <c r="Y159" s="318">
        <v>4142618.4183779634</v>
      </c>
      <c r="Z159" s="318">
        <v>5268037.4107837696</v>
      </c>
      <c r="AA159" s="318">
        <v>6493850.1514239796</v>
      </c>
      <c r="AB159" s="318">
        <v>7719081.3753339062</v>
      </c>
      <c r="AC159" s="318">
        <v>8909134.913953675</v>
      </c>
      <c r="AD159" s="318">
        <v>10051711.775162265</v>
      </c>
      <c r="AE159" s="318">
        <v>11043258.253550889</v>
      </c>
      <c r="AF159" s="318">
        <v>11869681.87203897</v>
      </c>
      <c r="AG159" s="318">
        <v>12582261.222309304</v>
      </c>
      <c r="AH159" s="318">
        <v>13144339.983689101</v>
      </c>
      <c r="AI159" s="318">
        <v>13554979.027059991</v>
      </c>
      <c r="AJ159" s="318">
        <v>13832946.673000941</v>
      </c>
      <c r="AK159" s="318">
        <v>13983906.125855692</v>
      </c>
      <c r="AL159" s="318">
        <v>14017861.154526033</v>
      </c>
      <c r="AM159" s="318">
        <v>13957242.199982718</v>
      </c>
      <c r="AN159" s="318">
        <v>13820907.484698432</v>
      </c>
      <c r="AO159" s="318">
        <v>13869206.217207298</v>
      </c>
      <c r="AP159" s="318">
        <v>13888253.459695866</v>
      </c>
      <c r="AQ159" s="318">
        <v>13859526.042868754</v>
      </c>
      <c r="AR159" s="318">
        <v>13816685.003000515</v>
      </c>
      <c r="AS159" s="318">
        <v>13740540.926195251</v>
      </c>
      <c r="AT159" s="318">
        <v>13657361.519621886</v>
      </c>
      <c r="AU159" s="318">
        <v>13549502.445414905</v>
      </c>
      <c r="AV159" s="318">
        <v>13456031.931374958</v>
      </c>
      <c r="AW159" s="318">
        <v>13336964.995652979</v>
      </c>
      <c r="AX159" s="318">
        <v>13225754.305786282</v>
      </c>
    </row>
    <row r="160" spans="2:50">
      <c r="B160" t="str">
        <f ca="1">OFFSET('Scenario names'!$C$3,1,0)</f>
        <v>High Hydrogen</v>
      </c>
      <c r="E160" s="78" t="s">
        <v>233</v>
      </c>
      <c r="G160" s="44" t="s">
        <v>1203</v>
      </c>
      <c r="I160" s="45" t="s">
        <v>1204</v>
      </c>
      <c r="K160" s="38" t="s">
        <v>1224</v>
      </c>
      <c r="M160" s="44" t="str">
        <f t="shared" ca="1" si="40"/>
        <v>Cars - H2thousand kmHigh Hydrogen</v>
      </c>
      <c r="O160" s="318">
        <v>0</v>
      </c>
      <c r="P160" s="318">
        <v>0</v>
      </c>
      <c r="Q160" s="318">
        <v>0</v>
      </c>
      <c r="R160" s="318">
        <v>0</v>
      </c>
      <c r="S160" s="318">
        <v>0</v>
      </c>
      <c r="T160" s="318">
        <v>0</v>
      </c>
      <c r="U160" s="318">
        <v>0</v>
      </c>
      <c r="V160" s="318">
        <v>0</v>
      </c>
      <c r="W160" s="318">
        <v>15175.841520872498</v>
      </c>
      <c r="X160" s="318">
        <v>31556.415539285405</v>
      </c>
      <c r="Y160" s="318">
        <v>49630.304242570004</v>
      </c>
      <c r="Z160" s="318">
        <v>68920.323979974171</v>
      </c>
      <c r="AA160" s="318">
        <v>88549.401978988652</v>
      </c>
      <c r="AB160" s="318">
        <v>107116.30660278702</v>
      </c>
      <c r="AC160" s="318">
        <v>137484.59869677364</v>
      </c>
      <c r="AD160" s="318">
        <v>179766.8804247237</v>
      </c>
      <c r="AE160" s="318">
        <v>223157.87338570127</v>
      </c>
      <c r="AF160" s="318">
        <v>270459.02475709497</v>
      </c>
      <c r="AG160" s="318">
        <v>329562.29777624615</v>
      </c>
      <c r="AH160" s="318">
        <v>392059.38963035756</v>
      </c>
      <c r="AI160" s="318">
        <v>512417.6219035426</v>
      </c>
      <c r="AJ160" s="318">
        <v>633030.4464118079</v>
      </c>
      <c r="AK160" s="318">
        <v>761775.12760072644</v>
      </c>
      <c r="AL160" s="318">
        <v>883542.19149530353</v>
      </c>
      <c r="AM160" s="318">
        <v>1011913.630119317</v>
      </c>
      <c r="AN160" s="318">
        <v>1129777.3546918631</v>
      </c>
      <c r="AO160" s="318">
        <v>1272711.8479003327</v>
      </c>
      <c r="AP160" s="318">
        <v>1400211.336845886</v>
      </c>
      <c r="AQ160" s="318">
        <v>1536833.2417396319</v>
      </c>
      <c r="AR160" s="318">
        <v>1655479.1356047909</v>
      </c>
      <c r="AS160" s="318">
        <v>1784184.7199712161</v>
      </c>
      <c r="AT160" s="318">
        <v>1900645.6528170297</v>
      </c>
      <c r="AU160" s="318">
        <v>2025940.6276462968</v>
      </c>
      <c r="AV160" s="318">
        <v>2125351.9366628602</v>
      </c>
      <c r="AW160" s="318">
        <v>2240385.5930217914</v>
      </c>
      <c r="AX160" s="318">
        <v>2339909.2719115545</v>
      </c>
    </row>
    <row r="161" spans="2:50">
      <c r="B161" t="str">
        <f ca="1">OFFSET('Scenario names'!$C$3,1,0)</f>
        <v>High Hydrogen</v>
      </c>
      <c r="E161" s="78" t="s">
        <v>234</v>
      </c>
      <c r="G161" s="44" t="s">
        <v>213</v>
      </c>
      <c r="I161" s="45" t="s">
        <v>1205</v>
      </c>
      <c r="K161" s="38" t="s">
        <v>1224</v>
      </c>
      <c r="M161" s="44" t="str">
        <f t="shared" ca="1" si="40"/>
        <v>LGVs - Dieselthousand kmHigh Hydrogen</v>
      </c>
      <c r="O161" s="318">
        <v>4097794.8214611099</v>
      </c>
      <c r="P161" s="318">
        <v>4137693.6257750238</v>
      </c>
      <c r="Q161" s="318">
        <v>4130449.4677480236</v>
      </c>
      <c r="R161" s="318">
        <v>4120141.5290354374</v>
      </c>
      <c r="S161" s="318">
        <v>4166910.9502941058</v>
      </c>
      <c r="T161" s="318">
        <v>3644078.1912734257</v>
      </c>
      <c r="U161" s="318">
        <v>3637177.414524083</v>
      </c>
      <c r="V161" s="318">
        <v>3626578.5517142755</v>
      </c>
      <c r="W161" s="318">
        <v>3602069.6521771229</v>
      </c>
      <c r="X161" s="318">
        <v>3575574.406085175</v>
      </c>
      <c r="Y161" s="318">
        <v>3525472.4327390101</v>
      </c>
      <c r="Z161" s="318">
        <v>3428363.3856490087</v>
      </c>
      <c r="AA161" s="318">
        <v>3195214.5134801907</v>
      </c>
      <c r="AB161" s="318">
        <v>2956513.4128146009</v>
      </c>
      <c r="AC161" s="318">
        <v>2696975.4950984465</v>
      </c>
      <c r="AD161" s="318">
        <v>2343078.2799687213</v>
      </c>
      <c r="AE161" s="318">
        <v>2037465.0685286103</v>
      </c>
      <c r="AF161" s="318">
        <v>1746157.2359821782</v>
      </c>
      <c r="AG161" s="318">
        <v>1474849.946462251</v>
      </c>
      <c r="AH161" s="318">
        <v>1250167.882189092</v>
      </c>
      <c r="AI161" s="318">
        <v>1042446.716691558</v>
      </c>
      <c r="AJ161" s="318">
        <v>852495.25931001501</v>
      </c>
      <c r="AK161" s="318">
        <v>681907.0848337888</v>
      </c>
      <c r="AL161" s="318">
        <v>532196.00776335259</v>
      </c>
      <c r="AM161" s="318">
        <v>404387.5603120774</v>
      </c>
      <c r="AN161" s="318">
        <v>298699.31153118255</v>
      </c>
      <c r="AO161" s="318">
        <v>214266.60445315088</v>
      </c>
      <c r="AP161" s="318">
        <v>149261.98242954467</v>
      </c>
      <c r="AQ161" s="318">
        <v>101068.08171022948</v>
      </c>
      <c r="AR161" s="318">
        <v>66652.911393604401</v>
      </c>
      <c r="AS161" s="318">
        <v>42930.23041673845</v>
      </c>
      <c r="AT161" s="318">
        <v>27099.884525968377</v>
      </c>
      <c r="AU161" s="318">
        <v>16827.95975664361</v>
      </c>
      <c r="AV161" s="318">
        <v>10310.031119655969</v>
      </c>
      <c r="AW161" s="318">
        <v>6250.390567264968</v>
      </c>
      <c r="AX161" s="318">
        <v>3758.8827495060277</v>
      </c>
    </row>
    <row r="162" spans="2:50">
      <c r="B162" t="str">
        <f ca="1">OFFSET('Scenario names'!$C$3,1,0)</f>
        <v>High Hydrogen</v>
      </c>
      <c r="E162" t="s">
        <v>234</v>
      </c>
      <c r="G162" s="44" t="s">
        <v>212</v>
      </c>
      <c r="I162" s="45" t="s">
        <v>1206</v>
      </c>
      <c r="K162" s="38" t="s">
        <v>1224</v>
      </c>
      <c r="M162" s="44" t="str">
        <f t="shared" ca="1" si="40"/>
        <v>LGVs - Petrolthousand kmHigh Hydrogen</v>
      </c>
      <c r="O162" s="318">
        <v>61815.142478798654</v>
      </c>
      <c r="P162" s="318">
        <v>47636.453273599152</v>
      </c>
      <c r="Q162" s="318">
        <v>36294.734765976376</v>
      </c>
      <c r="R162" s="318">
        <v>27276.629957861656</v>
      </c>
      <c r="S162" s="318">
        <v>20465.064755414511</v>
      </c>
      <c r="T162" s="318">
        <v>12961.178881482645</v>
      </c>
      <c r="U162" s="318">
        <v>9355.3405265209203</v>
      </c>
      <c r="V162" s="318">
        <v>6569.1286373837875</v>
      </c>
      <c r="W162" s="318">
        <v>4491.910226205433</v>
      </c>
      <c r="X162" s="318">
        <v>3011.3047431564219</v>
      </c>
      <c r="Y162" s="318">
        <v>2319.3074941206346</v>
      </c>
      <c r="Z162" s="318">
        <v>3471.9133681006947</v>
      </c>
      <c r="AA162" s="318">
        <v>8291.07754422791</v>
      </c>
      <c r="AB162" s="318">
        <v>20644.348470289533</v>
      </c>
      <c r="AC162" s="318">
        <v>33951.924362825775</v>
      </c>
      <c r="AD162" s="318">
        <v>41306.04663812268</v>
      </c>
      <c r="AE162" s="318">
        <v>47027.680457664734</v>
      </c>
      <c r="AF162" s="318">
        <v>51120.219955773333</v>
      </c>
      <c r="AG162" s="318">
        <v>54233.078120558173</v>
      </c>
      <c r="AH162" s="318">
        <v>57076.970488837142</v>
      </c>
      <c r="AI162" s="318">
        <v>54369.672326272092</v>
      </c>
      <c r="AJ162" s="318">
        <v>51235.313540381758</v>
      </c>
      <c r="AK162" s="318">
        <v>47621.104318813195</v>
      </c>
      <c r="AL162" s="318">
        <v>43455.552831760142</v>
      </c>
      <c r="AM162" s="318">
        <v>39557.546553188578</v>
      </c>
      <c r="AN162" s="318">
        <v>35116.111304437763</v>
      </c>
      <c r="AO162" s="318">
        <v>30326.480214297972</v>
      </c>
      <c r="AP162" s="318">
        <v>25431.089136437135</v>
      </c>
      <c r="AQ162" s="318">
        <v>20678.61519908431</v>
      </c>
      <c r="AR162" s="318">
        <v>16286.225672442913</v>
      </c>
      <c r="AS162" s="318">
        <v>12412.523871197291</v>
      </c>
      <c r="AT162" s="318">
        <v>9149.9162652892592</v>
      </c>
      <c r="AU162" s="318">
        <v>6522.8034435152686</v>
      </c>
      <c r="AV162" s="318">
        <v>4501.5057132671145</v>
      </c>
      <c r="AW162" s="318">
        <v>3015.3728029495201</v>
      </c>
      <c r="AX162" s="318">
        <v>1964.5823334165243</v>
      </c>
    </row>
    <row r="163" spans="2:50">
      <c r="B163" t="str">
        <f ca="1">OFFSET('Scenario names'!$C$3,1,0)</f>
        <v>High Hydrogen</v>
      </c>
      <c r="E163" t="s">
        <v>234</v>
      </c>
      <c r="G163" s="44" t="s">
        <v>1200</v>
      </c>
      <c r="I163" s="45" t="s">
        <v>1207</v>
      </c>
      <c r="K163" s="38" t="s">
        <v>1224</v>
      </c>
      <c r="M163" s="44" t="str">
        <f t="shared" ca="1" si="40"/>
        <v>LGVs - Electricthousand kmHigh Hydrogen</v>
      </c>
      <c r="O163" s="318">
        <v>2933.076685580309</v>
      </c>
      <c r="P163" s="318">
        <v>18775.366082986871</v>
      </c>
      <c r="Q163" s="318">
        <v>39657.753668026278</v>
      </c>
      <c r="R163" s="318">
        <v>58988.114285957869</v>
      </c>
      <c r="S163" s="318">
        <v>80390.226177005927</v>
      </c>
      <c r="T163" s="318">
        <v>76534.208942451616</v>
      </c>
      <c r="U163" s="318">
        <v>87040.824046756083</v>
      </c>
      <c r="V163" s="318">
        <v>108100.46665829021</v>
      </c>
      <c r="W163" s="318">
        <v>142361.15251921024</v>
      </c>
      <c r="X163" s="318">
        <v>177173.04582759185</v>
      </c>
      <c r="Y163" s="318">
        <v>232362.55215673448</v>
      </c>
      <c r="Z163" s="318">
        <v>330397.95289986581</v>
      </c>
      <c r="AA163" s="318">
        <v>557821.77545353153</v>
      </c>
      <c r="AB163" s="318">
        <v>780421.2474499339</v>
      </c>
      <c r="AC163" s="318">
        <v>1021739.6310414025</v>
      </c>
      <c r="AD163" s="318">
        <v>1350910.0398356288</v>
      </c>
      <c r="AE163" s="318">
        <v>1642906.7502605757</v>
      </c>
      <c r="AF163" s="318">
        <v>1916250.4110177921</v>
      </c>
      <c r="AG163" s="318">
        <v>2165570.7802030016</v>
      </c>
      <c r="AH163" s="318">
        <v>2362176.7317632455</v>
      </c>
      <c r="AI163" s="318">
        <v>2487328.2316484153</v>
      </c>
      <c r="AJ163" s="318">
        <v>2588494.1427410264</v>
      </c>
      <c r="AK163" s="318">
        <v>2666977.3057628786</v>
      </c>
      <c r="AL163" s="318">
        <v>2720112.305627163</v>
      </c>
      <c r="AM163" s="318">
        <v>2747543.9936972605</v>
      </c>
      <c r="AN163" s="318">
        <v>2751136.7168257218</v>
      </c>
      <c r="AO163" s="318">
        <v>2745148.7768169492</v>
      </c>
      <c r="AP163" s="318">
        <v>2718849.9797242526</v>
      </c>
      <c r="AQ163" s="318">
        <v>2676650.147723611</v>
      </c>
      <c r="AR163" s="318">
        <v>2622985.9255808899</v>
      </c>
      <c r="AS163" s="318">
        <v>2561521.1690718364</v>
      </c>
      <c r="AT163" s="318">
        <v>2496826.540661145</v>
      </c>
      <c r="AU163" s="318">
        <v>2433239.7793061533</v>
      </c>
      <c r="AV163" s="318">
        <v>2371907.487999538</v>
      </c>
      <c r="AW163" s="318">
        <v>2313860.7527125818</v>
      </c>
      <c r="AX163" s="318">
        <v>2260181.0819167318</v>
      </c>
    </row>
    <row r="164" spans="2:50">
      <c r="B164" t="str">
        <f ca="1">OFFSET('Scenario names'!$C$3,1,0)</f>
        <v>High Hydrogen</v>
      </c>
      <c r="E164" t="s">
        <v>234</v>
      </c>
      <c r="G164" s="44" t="s">
        <v>1203</v>
      </c>
      <c r="I164" s="45" t="s">
        <v>1208</v>
      </c>
      <c r="K164" s="38" t="s">
        <v>1224</v>
      </c>
      <c r="M164" s="44" t="str">
        <f t="shared" ca="1" si="40"/>
        <v>LGVs - H2thousand kmHigh Hydrogen</v>
      </c>
      <c r="O164" s="318">
        <v>0</v>
      </c>
      <c r="P164" s="318">
        <v>0</v>
      </c>
      <c r="Q164" s="318">
        <v>0</v>
      </c>
      <c r="R164" s="318">
        <v>0</v>
      </c>
      <c r="S164" s="318">
        <v>0</v>
      </c>
      <c r="T164" s="318">
        <v>0</v>
      </c>
      <c r="U164" s="318">
        <v>0</v>
      </c>
      <c r="V164" s="318">
        <v>0</v>
      </c>
      <c r="W164" s="318">
        <v>0</v>
      </c>
      <c r="X164" s="318">
        <v>838.52617920426962</v>
      </c>
      <c r="Y164" s="318">
        <v>4117.5583578513633</v>
      </c>
      <c r="Z164" s="318">
        <v>9713.1667433312632</v>
      </c>
      <c r="AA164" s="318">
        <v>18293.62009494457</v>
      </c>
      <c r="AB164" s="318">
        <v>29716.545750660411</v>
      </c>
      <c r="AC164" s="318">
        <v>42303.071895398069</v>
      </c>
      <c r="AD164" s="318">
        <v>67350.323868188818</v>
      </c>
      <c r="AE164" s="318">
        <v>93353.022922431628</v>
      </c>
      <c r="AF164" s="318">
        <v>125332.48707216131</v>
      </c>
      <c r="AG164" s="318">
        <v>162314.38110071624</v>
      </c>
      <c r="AH164" s="318">
        <v>205654.43330397338</v>
      </c>
      <c r="AI164" s="318">
        <v>309039.22893752559</v>
      </c>
      <c r="AJ164" s="318">
        <v>419066.9658709708</v>
      </c>
      <c r="AK164" s="318">
        <v>532894.01840553409</v>
      </c>
      <c r="AL164" s="318">
        <v>651743.47895736084</v>
      </c>
      <c r="AM164" s="318">
        <v>774126.0764757318</v>
      </c>
      <c r="AN164" s="318">
        <v>898770.86923553876</v>
      </c>
      <c r="AO164" s="318">
        <v>1012088.9792711053</v>
      </c>
      <c r="AP164" s="318">
        <v>1126395.6213238905</v>
      </c>
      <c r="AQ164" s="318">
        <v>1239649.6598398222</v>
      </c>
      <c r="AR164" s="318">
        <v>1350229.2736844313</v>
      </c>
      <c r="AS164" s="318">
        <v>1457398.2448302193</v>
      </c>
      <c r="AT164" s="318">
        <v>1559293.6585962104</v>
      </c>
      <c r="AU164" s="318">
        <v>1653887.2894009226</v>
      </c>
      <c r="AV164" s="318">
        <v>1741866.638933396</v>
      </c>
      <c r="AW164" s="318">
        <v>1823566.9795416829</v>
      </c>
      <c r="AX164" s="318">
        <v>1898896.780483451</v>
      </c>
    </row>
    <row r="165" spans="2:50">
      <c r="B165" t="str">
        <f ca="1">OFFSET('Scenario names'!$C$3,1,0)</f>
        <v>High Hydrogen</v>
      </c>
      <c r="E165" t="s">
        <v>235</v>
      </c>
      <c r="G165" s="44" t="s">
        <v>213</v>
      </c>
      <c r="I165" s="45" t="s">
        <v>1209</v>
      </c>
      <c r="K165" s="38" t="s">
        <v>1224</v>
      </c>
      <c r="M165" s="44" t="str">
        <f t="shared" ca="1" si="40"/>
        <v>HGVs - Dieselthousand kmHigh Hydrogen</v>
      </c>
      <c r="O165" s="318">
        <v>1449179.4014922138</v>
      </c>
      <c r="P165" s="318">
        <v>1462921.3643344075</v>
      </c>
      <c r="Q165" s="318">
        <v>1462992.2050812996</v>
      </c>
      <c r="R165" s="318">
        <v>1462265.4193571599</v>
      </c>
      <c r="S165" s="318">
        <v>1461537.1321408511</v>
      </c>
      <c r="T165" s="318">
        <v>1464450.2810060866</v>
      </c>
      <c r="U165" s="318">
        <v>1469103.144543329</v>
      </c>
      <c r="V165" s="318">
        <v>1471980.3329124732</v>
      </c>
      <c r="W165" s="318">
        <v>1476623.8398158518</v>
      </c>
      <c r="X165" s="318">
        <v>1479494.3990775642</v>
      </c>
      <c r="Y165" s="318">
        <v>1482362.3256671689</v>
      </c>
      <c r="Z165" s="318">
        <v>1470365.871771944</v>
      </c>
      <c r="AA165" s="318">
        <v>1456520.781886369</v>
      </c>
      <c r="AB165" s="318">
        <v>1444270.5569990976</v>
      </c>
      <c r="AC165" s="318">
        <v>1430230.9937022547</v>
      </c>
      <c r="AD165" s="318">
        <v>1417726.9978229376</v>
      </c>
      <c r="AE165" s="318">
        <v>1329996.3883982617</v>
      </c>
      <c r="AF165" s="318">
        <v>1242148.5555607516</v>
      </c>
      <c r="AG165" s="318">
        <v>1154183.4993104069</v>
      </c>
      <c r="AH165" s="318">
        <v>1066101.2196472271</v>
      </c>
      <c r="AI165" s="318">
        <v>978878.82577456092</v>
      </c>
      <c r="AJ165" s="318">
        <v>868844.97107972787</v>
      </c>
      <c r="AK165" s="318">
        <v>758653.67665733304</v>
      </c>
      <c r="AL165" s="318">
        <v>648304.94250737666</v>
      </c>
      <c r="AM165" s="318">
        <v>537798.76862985839</v>
      </c>
      <c r="AN165" s="318">
        <v>427414.33654080459</v>
      </c>
      <c r="AO165" s="318">
        <v>363814.25092845963</v>
      </c>
      <c r="AP165" s="318">
        <v>300206.15725246503</v>
      </c>
      <c r="AQ165" s="318">
        <v>236590.0555128206</v>
      </c>
      <c r="AR165" s="318">
        <v>172965.94570952648</v>
      </c>
      <c r="AS165" s="318">
        <v>109333.82784258254</v>
      </c>
      <c r="AT165" s="318">
        <v>89280.512628346929</v>
      </c>
      <c r="AU165" s="318">
        <v>69224.292309819895</v>
      </c>
      <c r="AV165" s="318">
        <v>49165.166887001396</v>
      </c>
      <c r="AW165" s="318">
        <v>29103.136359891418</v>
      </c>
      <c r="AX165" s="318">
        <v>9038.2007284899792</v>
      </c>
    </row>
    <row r="166" spans="2:50">
      <c r="B166" t="str">
        <f ca="1">OFFSET('Scenario names'!$C$3,1,0)</f>
        <v>High Hydrogen</v>
      </c>
      <c r="E166" t="s">
        <v>235</v>
      </c>
      <c r="G166" s="44" t="s">
        <v>1200</v>
      </c>
      <c r="I166" s="45" t="s">
        <v>1210</v>
      </c>
      <c r="K166" s="38" t="s">
        <v>1224</v>
      </c>
      <c r="M166" s="44" t="str">
        <f t="shared" ca="1" si="40"/>
        <v>HGVs - Electricthousand kmHigh Hydrogen</v>
      </c>
      <c r="O166" s="318">
        <v>0</v>
      </c>
      <c r="P166" s="318">
        <v>727.88885637448379</v>
      </c>
      <c r="Q166" s="318">
        <v>1456.5729377136861</v>
      </c>
      <c r="R166" s="318">
        <v>2184.8616489264887</v>
      </c>
      <c r="S166" s="318">
        <v>2913.1488652353182</v>
      </c>
      <c r="T166" s="318">
        <v>0</v>
      </c>
      <c r="U166" s="318">
        <v>730.96731557880173</v>
      </c>
      <c r="V166" s="318">
        <v>1464.5673032654968</v>
      </c>
      <c r="W166" s="318">
        <v>2204.891252708162</v>
      </c>
      <c r="X166" s="318">
        <v>2945.1203478266689</v>
      </c>
      <c r="Y166" s="318">
        <v>3687.9821150530697</v>
      </c>
      <c r="Z166" s="318">
        <v>15391.37215403576</v>
      </c>
      <c r="AA166" s="318">
        <v>27140.111990452649</v>
      </c>
      <c r="AB166" s="318">
        <v>39007.59625860404</v>
      </c>
      <c r="AC166" s="318">
        <v>50880.592322762939</v>
      </c>
      <c r="AD166" s="318">
        <v>62912.17082008304</v>
      </c>
      <c r="AE166" s="318">
        <v>108177.83980498774</v>
      </c>
      <c r="AF166" s="318">
        <v>153507.51377940184</v>
      </c>
      <c r="AG166" s="318">
        <v>198901.19274332531</v>
      </c>
      <c r="AH166" s="318">
        <v>244358.87669675821</v>
      </c>
      <c r="AI166" s="318">
        <v>290277.9281243892</v>
      </c>
      <c r="AJ166" s="318">
        <v>351422.61618833331</v>
      </c>
      <c r="AK166" s="318">
        <v>412668.75233442255</v>
      </c>
      <c r="AL166" s="318">
        <v>474016.33656265691</v>
      </c>
      <c r="AM166" s="318">
        <v>535465.36887303635</v>
      </c>
      <c r="AN166" s="318">
        <v>597674.26091341849</v>
      </c>
      <c r="AO166" s="318">
        <v>638671.01362231944</v>
      </c>
      <c r="AP166" s="318">
        <v>679674.00110495032</v>
      </c>
      <c r="AQ166" s="318">
        <v>720683.22336131101</v>
      </c>
      <c r="AR166" s="318">
        <v>761698.68039140163</v>
      </c>
      <c r="AS166" s="318">
        <v>802720.37219522218</v>
      </c>
      <c r="AT166" s="318">
        <v>819421.96500329662</v>
      </c>
      <c r="AU166" s="318">
        <v>836126.55976691854</v>
      </c>
      <c r="AV166" s="318">
        <v>852834.15648608794</v>
      </c>
      <c r="AW166" s="318">
        <v>869544.75516080461</v>
      </c>
      <c r="AX166" s="318">
        <v>886258.35579106899</v>
      </c>
    </row>
    <row r="167" spans="2:50">
      <c r="B167" t="str">
        <f ca="1">OFFSET('Scenario names'!$C$3,1,0)</f>
        <v>High Hydrogen</v>
      </c>
      <c r="E167" t="s">
        <v>235</v>
      </c>
      <c r="G167" s="44" t="s">
        <v>1203</v>
      </c>
      <c r="I167" s="45" t="s">
        <v>1211</v>
      </c>
      <c r="K167" s="38" t="s">
        <v>1224</v>
      </c>
      <c r="M167" s="44" t="str">
        <f t="shared" ca="1" si="40"/>
        <v>HGVs - H2thousand kmHigh Hydrogen</v>
      </c>
      <c r="O167" s="318">
        <v>0</v>
      </c>
      <c r="P167" s="318">
        <v>0</v>
      </c>
      <c r="Q167" s="318">
        <v>0</v>
      </c>
      <c r="R167" s="318">
        <v>0</v>
      </c>
      <c r="S167" s="318">
        <v>0</v>
      </c>
      <c r="T167" s="318">
        <v>0</v>
      </c>
      <c r="U167" s="318">
        <v>0</v>
      </c>
      <c r="V167" s="318">
        <v>0</v>
      </c>
      <c r="W167" s="318">
        <v>0</v>
      </c>
      <c r="X167" s="318">
        <v>0</v>
      </c>
      <c r="Y167" s="318">
        <v>0</v>
      </c>
      <c r="Z167" s="318">
        <v>6278.30889668702</v>
      </c>
      <c r="AA167" s="318">
        <v>12586.861490299214</v>
      </c>
      <c r="AB167" s="318">
        <v>18954.847149863439</v>
      </c>
      <c r="AC167" s="318">
        <v>25333.616927001596</v>
      </c>
      <c r="AD167" s="318">
        <v>31791.279349443037</v>
      </c>
      <c r="AE167" s="318">
        <v>75379.925847854363</v>
      </c>
      <c r="AF167" s="318">
        <v>119021.79076959098</v>
      </c>
      <c r="AG167" s="318">
        <v>162716.87411465286</v>
      </c>
      <c r="AH167" s="318">
        <v>206465.17588304001</v>
      </c>
      <c r="AI167" s="318">
        <v>250665.26688270594</v>
      </c>
      <c r="AJ167" s="318">
        <v>300678.13957223535</v>
      </c>
      <c r="AK167" s="318">
        <v>350747.00390718132</v>
      </c>
      <c r="AL167" s="318">
        <v>400871.85988754383</v>
      </c>
      <c r="AM167" s="318">
        <v>451052.70751332288</v>
      </c>
      <c r="AN167" s="318">
        <v>502124.99611662526</v>
      </c>
      <c r="AO167" s="318">
        <v>524810.80686027359</v>
      </c>
      <c r="AP167" s="318">
        <v>547498.39089384186</v>
      </c>
      <c r="AQ167" s="318">
        <v>570187.74821732985</v>
      </c>
      <c r="AR167" s="318">
        <v>592878.87883073802</v>
      </c>
      <c r="AS167" s="318">
        <v>615571.78273406602</v>
      </c>
      <c r="AT167" s="318">
        <v>619005.98298043141</v>
      </c>
      <c r="AU167" s="318">
        <v>622440.08637554094</v>
      </c>
      <c r="AV167" s="318">
        <v>625874.09291939461</v>
      </c>
      <c r="AW167" s="318">
        <v>629308.00261199207</v>
      </c>
      <c r="AX167" s="318">
        <v>632741.81545333401</v>
      </c>
    </row>
    <row r="168" spans="2:50">
      <c r="B168" t="str">
        <f ca="1">OFFSET('Scenario names'!$C$3,1,0)</f>
        <v>High Hydrogen</v>
      </c>
      <c r="E168" t="s">
        <v>236</v>
      </c>
      <c r="G168" s="44" t="s">
        <v>213</v>
      </c>
      <c r="I168" s="45" t="s">
        <v>1212</v>
      </c>
      <c r="K168" s="38" t="s">
        <v>1224</v>
      </c>
      <c r="M168" s="44" t="str">
        <f t="shared" ca="1" si="40"/>
        <v>Buses - Dieselthousand kmHigh Hydrogen</v>
      </c>
      <c r="O168" s="318">
        <v>842320.29761065799</v>
      </c>
      <c r="P168" s="318">
        <v>850730.74684597692</v>
      </c>
      <c r="Q168" s="318">
        <v>851195.46225013561</v>
      </c>
      <c r="R168" s="318">
        <v>851196.33584557683</v>
      </c>
      <c r="S168" s="318">
        <v>851196.33584557683</v>
      </c>
      <c r="T168" s="318">
        <v>831895.79591656371</v>
      </c>
      <c r="U168" s="318">
        <v>819745.28650296363</v>
      </c>
      <c r="V168" s="318">
        <v>777234.19558413653</v>
      </c>
      <c r="W168" s="318">
        <v>724509.22753010364</v>
      </c>
      <c r="X168" s="318">
        <v>671779.67085272144</v>
      </c>
      <c r="Y168" s="318">
        <v>619045.52555199014</v>
      </c>
      <c r="Z168" s="318">
        <v>550816.66235615686</v>
      </c>
      <c r="AA168" s="318">
        <v>482569.85066673451</v>
      </c>
      <c r="AB168" s="318">
        <v>414305.09048372286</v>
      </c>
      <c r="AC168" s="318">
        <v>346022.38180712203</v>
      </c>
      <c r="AD168" s="318">
        <v>277721.72463693208</v>
      </c>
      <c r="AE168" s="318">
        <v>256584.72899237412</v>
      </c>
      <c r="AF168" s="318">
        <v>235403.43320307022</v>
      </c>
      <c r="AG168" s="318">
        <v>214177.83726902038</v>
      </c>
      <c r="AH168" s="318">
        <v>192907.94119022458</v>
      </c>
      <c r="AI168" s="318">
        <v>171593.74496668292</v>
      </c>
      <c r="AJ168" s="318">
        <v>152383.04447309906</v>
      </c>
      <c r="AK168" s="318">
        <v>133132.46207998946</v>
      </c>
      <c r="AL168" s="318">
        <v>113841.99778735416</v>
      </c>
      <c r="AM168" s="318">
        <v>94511.651595193151</v>
      </c>
      <c r="AN168" s="318">
        <v>75141.42350350639</v>
      </c>
      <c r="AO168" s="318">
        <v>64191.536373050309</v>
      </c>
      <c r="AP168" s="318">
        <v>53239.278241897293</v>
      </c>
      <c r="AQ168" s="318">
        <v>42284.649110047343</v>
      </c>
      <c r="AR168" s="318">
        <v>31327.648977500467</v>
      </c>
      <c r="AS168" s="318">
        <v>20368.277844256667</v>
      </c>
      <c r="AT168" s="318">
        <v>16984.529815601043</v>
      </c>
      <c r="AU168" s="318">
        <v>13600.049560406605</v>
      </c>
      <c r="AV168" s="318">
        <v>10214.837078673341</v>
      </c>
      <c r="AW168" s="318">
        <v>6828.8923704012568</v>
      </c>
      <c r="AX168" s="318">
        <v>3442.2154355903549</v>
      </c>
    </row>
    <row r="169" spans="2:50">
      <c r="B169" t="str">
        <f ca="1">OFFSET('Scenario names'!$C$3,1,0)</f>
        <v>High Hydrogen</v>
      </c>
      <c r="E169" t="s">
        <v>236</v>
      </c>
      <c r="G169" s="44" t="s">
        <v>1200</v>
      </c>
      <c r="I169" s="45" t="s">
        <v>1213</v>
      </c>
      <c r="K169" s="38" t="s">
        <v>1224</v>
      </c>
      <c r="M169" s="44" t="str">
        <f t="shared" ca="1" si="40"/>
        <v>Buses - Electricthousand kmHigh Hydrogen</v>
      </c>
      <c r="O169" s="318">
        <v>10881.8835406872</v>
      </c>
      <c r="P169" s="318">
        <v>10990.537611309994</v>
      </c>
      <c r="Q169" s="318">
        <v>10996.541240715535</v>
      </c>
      <c r="R169" s="318">
        <v>10996.552526640711</v>
      </c>
      <c r="S169" s="318">
        <v>10996.552526640713</v>
      </c>
      <c r="T169" s="318">
        <v>20091.067965949911</v>
      </c>
      <c r="U169" s="318">
        <v>31284.41445016459</v>
      </c>
      <c r="V169" s="318">
        <v>84183.078132722687</v>
      </c>
      <c r="W169" s="318">
        <v>137085.97540515676</v>
      </c>
      <c r="X169" s="318">
        <v>189993.10626746673</v>
      </c>
      <c r="Y169" s="318">
        <v>242904.47071965272</v>
      </c>
      <c r="Z169" s="318">
        <v>301581.41232724662</v>
      </c>
      <c r="AA169" s="318">
        <v>360269.40410774079</v>
      </c>
      <c r="AB169" s="318">
        <v>418968.44606113521</v>
      </c>
      <c r="AC169" s="318">
        <v>477678.53818742977</v>
      </c>
      <c r="AD169" s="318">
        <v>536399.68048662448</v>
      </c>
      <c r="AE169" s="318">
        <v>541784.88575914362</v>
      </c>
      <c r="AF169" s="318">
        <v>552294.68138340954</v>
      </c>
      <c r="AG169" s="318">
        <v>562826.05511457054</v>
      </c>
      <c r="AH169" s="318">
        <v>573379.0069526264</v>
      </c>
      <c r="AI169" s="318">
        <v>583953.536897577</v>
      </c>
      <c r="AJ169" s="318">
        <v>587748.16704616451</v>
      </c>
      <c r="AK169" s="318">
        <v>591559.73813025665</v>
      </c>
      <c r="AL169" s="318">
        <v>574537.70834535197</v>
      </c>
      <c r="AM169" s="318">
        <v>557532.61949588475</v>
      </c>
      <c r="AN169" s="318">
        <v>540544.47158185532</v>
      </c>
      <c r="AO169" s="318">
        <v>519226.08141052036</v>
      </c>
      <c r="AP169" s="318">
        <v>497908.5705029259</v>
      </c>
      <c r="AQ169" s="318">
        <v>476591.93885907205</v>
      </c>
      <c r="AR169" s="318">
        <v>455276.18647895876</v>
      </c>
      <c r="AS169" s="318">
        <v>433961.31336258608</v>
      </c>
      <c r="AT169" s="318">
        <v>409603.88926963101</v>
      </c>
      <c r="AU169" s="318">
        <v>410644.48580969626</v>
      </c>
      <c r="AV169" s="318">
        <v>411685.30345848633</v>
      </c>
      <c r="AW169" s="318">
        <v>412726.34221600124</v>
      </c>
      <c r="AX169" s="318">
        <v>413767.60208224092</v>
      </c>
    </row>
    <row r="170" spans="2:50">
      <c r="B170" t="str">
        <f ca="1">OFFSET('Scenario names'!$C$3,1,0)</f>
        <v>High Hydrogen</v>
      </c>
      <c r="E170" t="s">
        <v>236</v>
      </c>
      <c r="G170" s="44" t="s">
        <v>1203</v>
      </c>
      <c r="I170" s="45" t="s">
        <v>1214</v>
      </c>
      <c r="K170" s="38" t="s">
        <v>1224</v>
      </c>
      <c r="M170" s="44" t="str">
        <f t="shared" ca="1" si="40"/>
        <v>Buses - H2thousand kmHigh Hydrogen</v>
      </c>
      <c r="O170" s="318">
        <v>0</v>
      </c>
      <c r="P170" s="318">
        <v>0</v>
      </c>
      <c r="Q170" s="318">
        <v>0</v>
      </c>
      <c r="R170" s="318">
        <v>0</v>
      </c>
      <c r="S170" s="318">
        <v>0</v>
      </c>
      <c r="T170" s="318">
        <v>0</v>
      </c>
      <c r="U170" s="318">
        <v>1311.7455246918753</v>
      </c>
      <c r="V170" s="318">
        <v>1488.0438681240953</v>
      </c>
      <c r="W170" s="318">
        <v>1664.6972450295543</v>
      </c>
      <c r="X170" s="318">
        <v>1841.7056554082528</v>
      </c>
      <c r="Y170" s="318">
        <v>2019.0690992601903</v>
      </c>
      <c r="Z170" s="318">
        <v>11818.77986138891</v>
      </c>
      <c r="AA170" s="318">
        <v>21625.388944206585</v>
      </c>
      <c r="AB170" s="318">
        <v>31438.896347713202</v>
      </c>
      <c r="AC170" s="318">
        <v>41259.30207190878</v>
      </c>
      <c r="AD170" s="318">
        <v>51086.606116793293</v>
      </c>
      <c r="AE170" s="318">
        <v>67204.865754095023</v>
      </c>
      <c r="AF170" s="318">
        <v>78242.835184395793</v>
      </c>
      <c r="AG170" s="318">
        <v>89303.526652547618</v>
      </c>
      <c r="AH170" s="318">
        <v>100386.94015855047</v>
      </c>
      <c r="AI170" s="318">
        <v>111493.07570240437</v>
      </c>
      <c r="AJ170" s="318">
        <v>127275.61531266349</v>
      </c>
      <c r="AK170" s="318">
        <v>143081.09588694386</v>
      </c>
      <c r="AL170" s="318">
        <v>179760.05922974675</v>
      </c>
      <c r="AM170" s="318">
        <v>216461.96353663778</v>
      </c>
      <c r="AN170" s="318">
        <v>253186.808807617</v>
      </c>
      <c r="AO170" s="318">
        <v>285493.79498428199</v>
      </c>
      <c r="AP170" s="318">
        <v>317802.27289790334</v>
      </c>
      <c r="AQ170" s="318">
        <v>350112.2425484811</v>
      </c>
      <c r="AR170" s="318">
        <v>382423.70393601526</v>
      </c>
      <c r="AS170" s="318">
        <v>414736.65706050571</v>
      </c>
      <c r="AT170" s="318">
        <v>442516.53805699048</v>
      </c>
      <c r="AU170" s="318">
        <v>444899.1306469937</v>
      </c>
      <c r="AV170" s="318">
        <v>447282.23435481085</v>
      </c>
      <c r="AW170" s="318">
        <v>449665.84918044205</v>
      </c>
      <c r="AX170" s="318">
        <v>452049.97512388718</v>
      </c>
    </row>
    <row r="171" spans="2:50">
      <c r="B171" t="str">
        <f ca="1">OFFSET('Scenario names'!$C$3,1,0)</f>
        <v>High Hydrogen</v>
      </c>
      <c r="E171" s="78" t="s">
        <v>237</v>
      </c>
      <c r="G171" s="44" t="s">
        <v>213</v>
      </c>
      <c r="I171" s="45" t="s">
        <v>1215</v>
      </c>
      <c r="K171" s="38" t="s">
        <v>1224</v>
      </c>
      <c r="M171" s="44" t="str">
        <f t="shared" ca="1" si="40"/>
        <v>Taxis - Dieselthousand kmHigh Hydrogen</v>
      </c>
      <c r="O171" s="318">
        <v>511741.53441442834</v>
      </c>
      <c r="P171" s="318">
        <v>488798.6388920641</v>
      </c>
      <c r="Q171" s="318">
        <v>460997.76097326365</v>
      </c>
      <c r="R171" s="318">
        <v>432930.31897554098</v>
      </c>
      <c r="S171" s="318">
        <v>378052.60337395227</v>
      </c>
      <c r="T171" s="318">
        <v>379310.71802647732</v>
      </c>
      <c r="U171" s="318">
        <v>343661.62438194698</v>
      </c>
      <c r="V171" s="318">
        <v>305944.98511753505</v>
      </c>
      <c r="W171" s="318">
        <v>266447.92089931952</v>
      </c>
      <c r="X171" s="318">
        <v>236768.03295437203</v>
      </c>
      <c r="Y171" s="318">
        <v>211618.39061314115</v>
      </c>
      <c r="Z171" s="318">
        <v>188968.90464958953</v>
      </c>
      <c r="AA171" s="318">
        <v>164233.72352572216</v>
      </c>
      <c r="AB171" s="318">
        <v>138914.23770689685</v>
      </c>
      <c r="AC171" s="318">
        <v>116482.22770307864</v>
      </c>
      <c r="AD171" s="318">
        <v>97009.206432490158</v>
      </c>
      <c r="AE171" s="318">
        <v>85010.171612960316</v>
      </c>
      <c r="AF171" s="318">
        <v>72958.084027053104</v>
      </c>
      <c r="AG171" s="318">
        <v>65817.208822731671</v>
      </c>
      <c r="AH171" s="318">
        <v>62703.195352213705</v>
      </c>
      <c r="AI171" s="318">
        <v>59666.330598272194</v>
      </c>
      <c r="AJ171" s="318">
        <v>56864.253968528807</v>
      </c>
      <c r="AK171" s="318">
        <v>54086.363339777199</v>
      </c>
      <c r="AL171" s="318">
        <v>51332.2042777608</v>
      </c>
      <c r="AM171" s="318">
        <v>48601.33366193885</v>
      </c>
      <c r="AN171" s="318">
        <v>45893.3193355779</v>
      </c>
      <c r="AO171" s="318">
        <v>41238.051066105414</v>
      </c>
      <c r="AP171" s="318">
        <v>36618.818422846969</v>
      </c>
      <c r="AQ171" s="318">
        <v>32035.181051918076</v>
      </c>
      <c r="AR171" s="318">
        <v>27486.70574513622</v>
      </c>
      <c r="AS171" s="318">
        <v>22972.96629566326</v>
      </c>
      <c r="AT171" s="318">
        <v>18345.520439536893</v>
      </c>
      <c r="AU171" s="318">
        <v>13734.600034614608</v>
      </c>
      <c r="AV171" s="318">
        <v>9140.1055299855343</v>
      </c>
      <c r="AW171" s="318">
        <v>4561.9381727421051</v>
      </c>
      <c r="AX171" s="318">
        <v>0</v>
      </c>
    </row>
    <row r="172" spans="2:50">
      <c r="B172" t="str">
        <f ca="1">OFFSET('Scenario names'!$C$3,1,0)</f>
        <v>High Hydrogen</v>
      </c>
      <c r="E172" s="78" t="s">
        <v>237</v>
      </c>
      <c r="F172" s="35"/>
      <c r="G172" s="44" t="s">
        <v>1200</v>
      </c>
      <c r="I172" s="45" t="s">
        <v>1216</v>
      </c>
      <c r="K172" s="38" t="s">
        <v>1224</v>
      </c>
      <c r="M172" s="44" t="str">
        <f t="shared" ca="1" si="40"/>
        <v>Taxis - Electricthousand kmHigh Hydrogen</v>
      </c>
      <c r="O172" s="318">
        <v>100430.46326657517</v>
      </c>
      <c r="P172" s="318">
        <v>129485.80974659129</v>
      </c>
      <c r="Q172" s="318">
        <v>157624.42825899253</v>
      </c>
      <c r="R172" s="318">
        <v>185692.50515850721</v>
      </c>
      <c r="S172" s="318">
        <v>242635.79884769081</v>
      </c>
      <c r="T172" s="318">
        <v>243443.26228276058</v>
      </c>
      <c r="U172" s="318">
        <v>280415.2917894962</v>
      </c>
      <c r="V172" s="318">
        <v>319274.62251392723</v>
      </c>
      <c r="W172" s="318">
        <v>359715.75029533275</v>
      </c>
      <c r="X172" s="318">
        <v>390217.24340357183</v>
      </c>
      <c r="Y172" s="318">
        <v>416068.26364318072</v>
      </c>
      <c r="Z172" s="318">
        <v>438478.97001930594</v>
      </c>
      <c r="AA172" s="318">
        <v>462743.70299184922</v>
      </c>
      <c r="AB172" s="318">
        <v>487361.53412652295</v>
      </c>
      <c r="AC172" s="318">
        <v>508919.61858160247</v>
      </c>
      <c r="AD172" s="318">
        <v>527364.79732919589</v>
      </c>
      <c r="AE172" s="318">
        <v>532108.58773331332</v>
      </c>
      <c r="AF172" s="318">
        <v>536015.91137150675</v>
      </c>
      <c r="AG172" s="318">
        <v>534116.85203165631</v>
      </c>
      <c r="AH172" s="318">
        <v>527290.10929738905</v>
      </c>
      <c r="AI172" s="318">
        <v>519479.7451217756</v>
      </c>
      <c r="AJ172" s="318">
        <v>511247.34727209603</v>
      </c>
      <c r="AK172" s="318">
        <v>502257.78586060944</v>
      </c>
      <c r="AL172" s="318">
        <v>492507.05683491734</v>
      </c>
      <c r="AM172" s="318">
        <v>481991.144828905</v>
      </c>
      <c r="AN172" s="318">
        <v>470706.02351265104</v>
      </c>
      <c r="AO172" s="318">
        <v>450431.27333522332</v>
      </c>
      <c r="AP172" s="318">
        <v>428504.05973293295</v>
      </c>
      <c r="AQ172" s="318">
        <v>404923.71959680598</v>
      </c>
      <c r="AR172" s="318">
        <v>379689.58267216629</v>
      </c>
      <c r="AS172" s="318">
        <v>352800.97170299361</v>
      </c>
      <c r="AT172" s="318">
        <v>324714.68083912518</v>
      </c>
      <c r="AU172" s="318">
        <v>295035.91685715021</v>
      </c>
      <c r="AV172" s="318">
        <v>263763.70733667759</v>
      </c>
      <c r="AW172" s="318">
        <v>230897.07905931256</v>
      </c>
      <c r="AX172" s="318">
        <v>196435.05801663754</v>
      </c>
    </row>
    <row r="173" spans="2:50">
      <c r="B173" t="str">
        <f ca="1">OFFSET('Scenario names'!$C$3,1,0)</f>
        <v>High Hydrogen</v>
      </c>
      <c r="E173" s="78" t="s">
        <v>237</v>
      </c>
      <c r="G173" s="44" t="s">
        <v>1203</v>
      </c>
      <c r="I173" s="45" t="s">
        <v>1217</v>
      </c>
      <c r="K173" s="38" t="s">
        <v>1224</v>
      </c>
      <c r="M173" s="44" t="str">
        <f t="shared" ca="1" si="40"/>
        <v>Taxis - H2thousand kmHigh Hydrogen</v>
      </c>
      <c r="O173" s="318">
        <v>0</v>
      </c>
      <c r="P173" s="318">
        <v>0</v>
      </c>
      <c r="Q173" s="318">
        <v>0</v>
      </c>
      <c r="R173" s="318">
        <v>0</v>
      </c>
      <c r="S173" s="318">
        <v>0</v>
      </c>
      <c r="T173" s="318">
        <v>0</v>
      </c>
      <c r="U173" s="318">
        <v>658.36830269159941</v>
      </c>
      <c r="V173" s="318">
        <v>1496.9810075692255</v>
      </c>
      <c r="W173" s="318">
        <v>2534.2216092760718</v>
      </c>
      <c r="X173" s="318">
        <v>3693.9206108812041</v>
      </c>
      <c r="Y173" s="318">
        <v>4973.8468773999384</v>
      </c>
      <c r="Z173" s="318">
        <v>6496.4706313950192</v>
      </c>
      <c r="AA173" s="318">
        <v>8250.7629492877095</v>
      </c>
      <c r="AB173" s="318">
        <v>10236.261800007956</v>
      </c>
      <c r="AC173" s="318">
        <v>12394.031515315264</v>
      </c>
      <c r="AD173" s="318">
        <v>14705.718204878953</v>
      </c>
      <c r="AE173" s="318">
        <v>23381.554477459194</v>
      </c>
      <c r="AF173" s="318">
        <v>32946.910282341218</v>
      </c>
      <c r="AG173" s="318">
        <v>43407.436683680971</v>
      </c>
      <c r="AH173" s="318">
        <v>54768.784745634453</v>
      </c>
      <c r="AI173" s="318">
        <v>67036.605532357542</v>
      </c>
      <c r="AJ173" s="318">
        <v>79491.671868948702</v>
      </c>
      <c r="AK173" s="318">
        <v>92679.715766354871</v>
      </c>
      <c r="AL173" s="318">
        <v>106605.19571123151</v>
      </c>
      <c r="AM173" s="318">
        <v>121272.5701902337</v>
      </c>
      <c r="AN173" s="318">
        <v>136686.29769001686</v>
      </c>
      <c r="AO173" s="318">
        <v>161766.10475530493</v>
      </c>
      <c r="AP173" s="318">
        <v>188462.33961924163</v>
      </c>
      <c r="AQ173" s="318">
        <v>216776.10574468545</v>
      </c>
      <c r="AR173" s="318">
        <v>246708.5065944948</v>
      </c>
      <c r="AS173" s="318">
        <v>278260.64563152834</v>
      </c>
      <c r="AT173" s="318">
        <v>311124.17096991121</v>
      </c>
      <c r="AU173" s="318">
        <v>345563.64397519635</v>
      </c>
      <c r="AV173" s="318">
        <v>381580.13661868603</v>
      </c>
      <c r="AW173" s="318">
        <v>419174.7208716824</v>
      </c>
      <c r="AX173" s="318">
        <v>458348.4687054875</v>
      </c>
    </row>
    <row r="174" spans="2:50">
      <c r="B174" t="str">
        <f ca="1">OFFSET('Scenario names'!$C$3,1,0)</f>
        <v>High Hydrogen</v>
      </c>
      <c r="E174" s="38" t="s">
        <v>238</v>
      </c>
      <c r="F174" s="38"/>
      <c r="G174" s="44" t="s">
        <v>212</v>
      </c>
      <c r="I174" s="45" t="s">
        <v>1218</v>
      </c>
      <c r="K174" s="38" t="s">
        <v>1224</v>
      </c>
      <c r="M174" s="44" t="str">
        <f t="shared" ca="1" si="40"/>
        <v>Motorcycles - Dieselthousand kmHigh Hydrogen</v>
      </c>
      <c r="O174" s="318">
        <v>621796.35599857685</v>
      </c>
      <c r="P174" s="318">
        <v>628004.9048150623</v>
      </c>
      <c r="Q174" s="318">
        <v>628347.9552505106</v>
      </c>
      <c r="R174" s="318">
        <v>621658.32298032369</v>
      </c>
      <c r="S174" s="318">
        <v>603762.37190409878</v>
      </c>
      <c r="T174" s="318">
        <v>586127.16808100336</v>
      </c>
      <c r="U174" s="318">
        <v>567676.2854883722</v>
      </c>
      <c r="V174" s="318">
        <v>549520.4330993382</v>
      </c>
      <c r="W174" s="318">
        <v>531659.61091390089</v>
      </c>
      <c r="X174" s="318">
        <v>514093.81893206062</v>
      </c>
      <c r="Y174" s="318">
        <v>496823.05715381703</v>
      </c>
      <c r="Z174" s="318">
        <v>470481.30229844182</v>
      </c>
      <c r="AA174" s="318">
        <v>444774.37508722726</v>
      </c>
      <c r="AB174" s="318">
        <v>419702.27552017395</v>
      </c>
      <c r="AC174" s="318">
        <v>395265.00359728135</v>
      </c>
      <c r="AD174" s="318">
        <v>371462.55931854964</v>
      </c>
      <c r="AE174" s="318">
        <v>344777.44437351148</v>
      </c>
      <c r="AF174" s="318">
        <v>318785.03080101759</v>
      </c>
      <c r="AG174" s="318">
        <v>293485.31860106788</v>
      </c>
      <c r="AH174" s="318">
        <v>268878.30777366261</v>
      </c>
      <c r="AI174" s="318">
        <v>244963.99831880146</v>
      </c>
      <c r="AJ174" s="318">
        <v>221742.39023648467</v>
      </c>
      <c r="AK174" s="318">
        <v>199213.48352671211</v>
      </c>
      <c r="AL174" s="318">
        <v>177377.27818948386</v>
      </c>
      <c r="AM174" s="318">
        <v>156233.77422479985</v>
      </c>
      <c r="AN174" s="318">
        <v>135782.97163266008</v>
      </c>
      <c r="AO174" s="318">
        <v>121987.22894301706</v>
      </c>
      <c r="AP174" s="318">
        <v>108239.80748145786</v>
      </c>
      <c r="AQ174" s="318">
        <v>94540.707247982398</v>
      </c>
      <c r="AR174" s="318">
        <v>80889.928242590715</v>
      </c>
      <c r="AS174" s="318">
        <v>67287.470465282837</v>
      </c>
      <c r="AT174" s="318">
        <v>53733.333916058713</v>
      </c>
      <c r="AU174" s="318">
        <v>40227.518594918365</v>
      </c>
      <c r="AV174" s="318">
        <v>26770.024501861797</v>
      </c>
      <c r="AW174" s="318">
        <v>13360.85163688902</v>
      </c>
      <c r="AX174" s="318">
        <v>0</v>
      </c>
    </row>
    <row r="175" spans="2:50">
      <c r="B175" t="str">
        <f ca="1">OFFSET('Scenario names'!$C$3,1,0)</f>
        <v>High Hydrogen</v>
      </c>
      <c r="E175" s="78" t="s">
        <v>238</v>
      </c>
      <c r="G175" s="44" t="s">
        <v>1200</v>
      </c>
      <c r="I175" s="45" t="s">
        <v>1219</v>
      </c>
      <c r="K175" s="38" t="s">
        <v>1224</v>
      </c>
      <c r="M175" s="44" t="str">
        <f t="shared" ca="1" si="40"/>
        <v>Motorcycles - Electricthousand kmHigh Hydrogen</v>
      </c>
      <c r="O175" s="318">
        <v>0</v>
      </c>
      <c r="P175" s="318">
        <v>0</v>
      </c>
      <c r="Q175" s="318">
        <v>0</v>
      </c>
      <c r="R175" s="318">
        <v>6690.277153687397</v>
      </c>
      <c r="S175" s="318">
        <v>15915.771670533688</v>
      </c>
      <c r="T175" s="318">
        <v>24880.5189342505</v>
      </c>
      <c r="U175" s="318">
        <v>33520.956610242771</v>
      </c>
      <c r="V175" s="318">
        <v>41866.364082638152</v>
      </c>
      <c r="W175" s="318">
        <v>49916.741351436627</v>
      </c>
      <c r="X175" s="318">
        <v>57672.088416638187</v>
      </c>
      <c r="Y175" s="318">
        <v>65132.405278242855</v>
      </c>
      <c r="Z175" s="318">
        <v>81452.903088722771</v>
      </c>
      <c r="AA175" s="318">
        <v>97138.573255041731</v>
      </c>
      <c r="AB175" s="318">
        <v>112189.4157771998</v>
      </c>
      <c r="AC175" s="318">
        <v>126605.43065519691</v>
      </c>
      <c r="AD175" s="318">
        <v>140386.61788903308</v>
      </c>
      <c r="AE175" s="318">
        <v>158575.43416739252</v>
      </c>
      <c r="AF175" s="318">
        <v>176071.5490732076</v>
      </c>
      <c r="AG175" s="318">
        <v>192874.9626064784</v>
      </c>
      <c r="AH175" s="318">
        <v>208985.674767205</v>
      </c>
      <c r="AI175" s="318">
        <v>224403.6855553872</v>
      </c>
      <c r="AJ175" s="318">
        <v>239128.99497102524</v>
      </c>
      <c r="AK175" s="318">
        <v>253161.60301411897</v>
      </c>
      <c r="AL175" s="318">
        <v>266501.50968466845</v>
      </c>
      <c r="AM175" s="318">
        <v>279148.7149826737</v>
      </c>
      <c r="AN175" s="318">
        <v>291103.21890813456</v>
      </c>
      <c r="AO175" s="318">
        <v>304139.37942296913</v>
      </c>
      <c r="AP175" s="318">
        <v>317127.21870971995</v>
      </c>
      <c r="AQ175" s="318">
        <v>330066.73676838691</v>
      </c>
      <c r="AR175" s="318">
        <v>342957.93359897012</v>
      </c>
      <c r="AS175" s="318">
        <v>355800.8092014697</v>
      </c>
      <c r="AT175" s="318">
        <v>368595.36357588536</v>
      </c>
      <c r="AU175" s="318">
        <v>381341.59672221716</v>
      </c>
      <c r="AV175" s="318">
        <v>394039.50864046521</v>
      </c>
      <c r="AW175" s="318">
        <v>406689.09933062963</v>
      </c>
      <c r="AX175" s="318">
        <v>419290.36879271042</v>
      </c>
    </row>
    <row r="177" spans="2:50" s="414" customFormat="1">
      <c r="B177" s="414" t="str">
        <f ca="1">OFFSET('Scenario names'!$C$3,2,0)</f>
        <v>Accelerated Green</v>
      </c>
    </row>
    <row r="178" spans="2:50">
      <c r="B178" t="str">
        <f ca="1">OFFSET('Scenario names'!$C$3,2,0)</f>
        <v>Accelerated Green</v>
      </c>
      <c r="E178" s="78" t="s">
        <v>233</v>
      </c>
      <c r="G178" s="44" t="s">
        <v>213</v>
      </c>
      <c r="I178" s="45" t="s">
        <v>1197</v>
      </c>
      <c r="K178" s="44" t="s">
        <v>1198</v>
      </c>
      <c r="M178" s="44" t="str">
        <f ca="1">I178&amp;K178&amp;$B178</f>
        <v>Cars - Dieselkt CO2/yearAccelerated Green</v>
      </c>
      <c r="O178" s="328">
        <v>1406.2298585393892</v>
      </c>
      <c r="P178" s="328">
        <v>1446.4177377711726</v>
      </c>
      <c r="Q178" s="328">
        <v>1452.7737290119717</v>
      </c>
      <c r="R178" s="328">
        <v>1417.2363076746972</v>
      </c>
      <c r="S178" s="328">
        <v>1325.5393301894742</v>
      </c>
      <c r="T178" s="328">
        <v>1270.0189520648607</v>
      </c>
      <c r="U178" s="328">
        <v>1204.5028017516977</v>
      </c>
      <c r="V178" s="328">
        <v>1095.4440631555672</v>
      </c>
      <c r="W178" s="328">
        <v>979.31602195587811</v>
      </c>
      <c r="X178" s="328">
        <v>865.20905900345917</v>
      </c>
      <c r="Y178" s="328">
        <v>747.45139422067837</v>
      </c>
      <c r="Z178" s="328">
        <v>645.29382716352779</v>
      </c>
      <c r="AA178" s="328">
        <v>545.76357249655643</v>
      </c>
      <c r="AB178" s="328">
        <v>452.87281808972944</v>
      </c>
      <c r="AC178" s="328">
        <v>369.24550603440554</v>
      </c>
      <c r="AD178" s="328">
        <v>295.67428478238941</v>
      </c>
      <c r="AE178" s="328">
        <v>241.82329519131184</v>
      </c>
      <c r="AF178" s="328">
        <v>195.39644834002846</v>
      </c>
      <c r="AG178" s="328">
        <v>154.35923474826524</v>
      </c>
      <c r="AH178" s="328">
        <v>120.0919215980863</v>
      </c>
      <c r="AI178" s="328">
        <v>91.882602445887755</v>
      </c>
      <c r="AJ178" s="328">
        <v>69.081944740174592</v>
      </c>
      <c r="AK178" s="328">
        <v>50.946192995500297</v>
      </c>
      <c r="AL178" s="328">
        <v>37.127644607388554</v>
      </c>
      <c r="AM178" s="328">
        <v>26.536215983819215</v>
      </c>
      <c r="AN178" s="328">
        <v>18.662238367937647</v>
      </c>
      <c r="AO178" s="328">
        <v>13.073085134914237</v>
      </c>
      <c r="AP178" s="328">
        <v>8.9835883072459168</v>
      </c>
      <c r="AQ178" s="328">
        <v>6.1195468134432565</v>
      </c>
      <c r="AR178" s="328">
        <v>4.097034460911444</v>
      </c>
      <c r="AS178" s="328">
        <v>2.7589463700055368</v>
      </c>
      <c r="AT178" s="328">
        <v>1.8124585491421055</v>
      </c>
      <c r="AU178" s="328">
        <v>1.1959535174918441</v>
      </c>
      <c r="AV178" s="328">
        <v>0.80142482831691675</v>
      </c>
      <c r="AW178" s="328">
        <v>0.5165217890367032</v>
      </c>
      <c r="AX178" s="328">
        <v>0.34707828718655809</v>
      </c>
    </row>
    <row r="179" spans="2:50">
      <c r="B179" t="str">
        <f ca="1">OFFSET('Scenario names'!$C$3,2,0)</f>
        <v>Accelerated Green</v>
      </c>
      <c r="E179" s="78" t="s">
        <v>233</v>
      </c>
      <c r="G179" s="44" t="s">
        <v>212</v>
      </c>
      <c r="I179" s="45" t="s">
        <v>1199</v>
      </c>
      <c r="K179" s="44" t="s">
        <v>1198</v>
      </c>
      <c r="M179" s="44" t="str">
        <f t="shared" ref="M179:M196" ca="1" si="41">I179&amp;K179&amp;$B179</f>
        <v>Cars - Petrolkt CO2/yearAccelerated Green</v>
      </c>
      <c r="O179" s="109">
        <v>2233.1181550616889</v>
      </c>
      <c r="P179" s="109">
        <v>2149.4405753318692</v>
      </c>
      <c r="Q179" s="109">
        <v>2066.4229509035576</v>
      </c>
      <c r="R179" s="109">
        <v>2022.3299214783935</v>
      </c>
      <c r="S179" s="109">
        <v>2016.0763128348963</v>
      </c>
      <c r="T179" s="109">
        <v>1964.6730035516769</v>
      </c>
      <c r="U179" s="109">
        <v>1852.362892638168</v>
      </c>
      <c r="V179" s="109">
        <v>1730.8827352213016</v>
      </c>
      <c r="W179" s="109">
        <v>1594.4784463271374</v>
      </c>
      <c r="X179" s="109">
        <v>1464.956007522756</v>
      </c>
      <c r="Y179" s="109">
        <v>1320.7103591700916</v>
      </c>
      <c r="Z179" s="109">
        <v>1193.1295676648813</v>
      </c>
      <c r="AA179" s="109">
        <v>1060.3267749313104</v>
      </c>
      <c r="AB179" s="109">
        <v>931.45697590843429</v>
      </c>
      <c r="AC179" s="109">
        <v>806.40867927275951</v>
      </c>
      <c r="AD179" s="109">
        <v>685.59204986531245</v>
      </c>
      <c r="AE179" s="109">
        <v>603.00206219862935</v>
      </c>
      <c r="AF179" s="109">
        <v>526.96702908662257</v>
      </c>
      <c r="AG179" s="109">
        <v>453.37363668066837</v>
      </c>
      <c r="AH179" s="109">
        <v>386.46668743967115</v>
      </c>
      <c r="AI179" s="109">
        <v>321.2525398396707</v>
      </c>
      <c r="AJ179" s="109">
        <v>263.45672200954039</v>
      </c>
      <c r="AK179" s="109">
        <v>212.81359930437384</v>
      </c>
      <c r="AL179" s="109">
        <v>170.92692454372246</v>
      </c>
      <c r="AM179" s="109">
        <v>135.00147568249631</v>
      </c>
      <c r="AN179" s="109">
        <v>105.82391670393122</v>
      </c>
      <c r="AO179" s="109">
        <v>82.67005728609216</v>
      </c>
      <c r="AP179" s="109">
        <v>63.812932276700792</v>
      </c>
      <c r="AQ179" s="109">
        <v>48.744030830197779</v>
      </c>
      <c r="AR179" s="109">
        <v>36.996595736636607</v>
      </c>
      <c r="AS179" s="109">
        <v>27.579707546203704</v>
      </c>
      <c r="AT179" s="109">
        <v>20.272752032374463</v>
      </c>
      <c r="AU179" s="109">
        <v>14.691590217409448</v>
      </c>
      <c r="AV179" s="109">
        <v>10.379842043235261</v>
      </c>
      <c r="AW179" s="109">
        <v>7.2527976245733381</v>
      </c>
      <c r="AX179" s="109">
        <v>5.003318245132812</v>
      </c>
    </row>
    <row r="180" spans="2:50">
      <c r="B180" t="str">
        <f ca="1">OFFSET('Scenario names'!$C$3,2,0)</f>
        <v>Accelerated Green</v>
      </c>
      <c r="E180" s="78" t="s">
        <v>233</v>
      </c>
      <c r="G180" s="44" t="s">
        <v>1200</v>
      </c>
      <c r="I180" s="45" t="s">
        <v>1201</v>
      </c>
      <c r="K180" s="44" t="s">
        <v>1202</v>
      </c>
      <c r="M180" s="44" t="str">
        <f t="shared" ca="1" si="41"/>
        <v>Cars - ElectricGWh/yearAccelerated Green</v>
      </c>
      <c r="O180" s="109">
        <v>3.4403213213783279</v>
      </c>
      <c r="P180" s="109">
        <v>4.8264009973243613</v>
      </c>
      <c r="Q180" s="109">
        <v>7.1044945028269932</v>
      </c>
      <c r="R180" s="109">
        <v>12.733407158372088</v>
      </c>
      <c r="S180" s="109">
        <v>18.013925809672976</v>
      </c>
      <c r="T180" s="109">
        <v>26.710257045753487</v>
      </c>
      <c r="U180" s="109">
        <v>68.446188837924666</v>
      </c>
      <c r="V180" s="109">
        <v>160.01646246972845</v>
      </c>
      <c r="W180" s="109">
        <v>277.0697995958464</v>
      </c>
      <c r="X180" s="109">
        <v>390.39039757799975</v>
      </c>
      <c r="Y180" s="109">
        <v>526.51276207297428</v>
      </c>
      <c r="Z180" s="109">
        <v>652.51580575260925</v>
      </c>
      <c r="AA180" s="109">
        <v>782.78305798770987</v>
      </c>
      <c r="AB180" s="109">
        <v>903.64814136568373</v>
      </c>
      <c r="AC180" s="109">
        <v>1013.4147735586682</v>
      </c>
      <c r="AD180" s="109">
        <v>1110.6909109917985</v>
      </c>
      <c r="AE180" s="109">
        <v>1241.2445114922884</v>
      </c>
      <c r="AF180" s="109">
        <v>1357.759735078537</v>
      </c>
      <c r="AG180" s="109">
        <v>1466.2503406080884</v>
      </c>
      <c r="AH180" s="109">
        <v>1560.5627326754659</v>
      </c>
      <c r="AI180" s="109">
        <v>1646.5018218515327</v>
      </c>
      <c r="AJ180" s="109">
        <v>1719.2244604185648</v>
      </c>
      <c r="AK180" s="109">
        <v>1779.7225543197103</v>
      </c>
      <c r="AL180" s="109">
        <v>1826.8512784886182</v>
      </c>
      <c r="AM180" s="109">
        <v>1864.1567706943074</v>
      </c>
      <c r="AN180" s="109">
        <v>1891.5012685360584</v>
      </c>
      <c r="AO180" s="109">
        <v>1910.4009193439638</v>
      </c>
      <c r="AP180" s="109">
        <v>1923.521220908973</v>
      </c>
      <c r="AQ180" s="109">
        <v>1931.3765675697116</v>
      </c>
      <c r="AR180" s="109">
        <v>1935.2854552871179</v>
      </c>
      <c r="AS180" s="109">
        <v>1935.8414536456155</v>
      </c>
      <c r="AT180" s="109">
        <v>1933.8503176626514</v>
      </c>
      <c r="AU180" s="109">
        <v>1929.5525410333478</v>
      </c>
      <c r="AV180" s="109">
        <v>1923.9020008193831</v>
      </c>
      <c r="AW180" s="109">
        <v>1916.621728480286</v>
      </c>
      <c r="AX180" s="109">
        <v>1908.2038022783372</v>
      </c>
    </row>
    <row r="181" spans="2:50">
      <c r="B181" t="str">
        <f ca="1">OFFSET('Scenario names'!$C$3,2,0)</f>
        <v>Accelerated Green</v>
      </c>
      <c r="E181" s="78" t="s">
        <v>233</v>
      </c>
      <c r="G181" s="44" t="s">
        <v>1203</v>
      </c>
      <c r="I181" s="45" t="s">
        <v>1204</v>
      </c>
      <c r="K181" s="44" t="s">
        <v>1202</v>
      </c>
      <c r="M181" s="44" t="str">
        <f t="shared" ca="1" si="41"/>
        <v>Cars - H2GWh/yearAccelerated Green</v>
      </c>
      <c r="O181" s="109">
        <v>0</v>
      </c>
      <c r="P181" s="109">
        <v>0</v>
      </c>
      <c r="Q181" s="109">
        <v>0</v>
      </c>
      <c r="R181" s="109">
        <v>0</v>
      </c>
      <c r="S181" s="109">
        <v>0</v>
      </c>
      <c r="T181" s="109">
        <v>0</v>
      </c>
      <c r="U181" s="109">
        <v>0</v>
      </c>
      <c r="V181" s="109">
        <v>0</v>
      </c>
      <c r="W181" s="109">
        <v>0.28711887362912786</v>
      </c>
      <c r="X181" s="109">
        <v>0.67877889743594522</v>
      </c>
      <c r="Y181" s="109">
        <v>1.2793752675105923</v>
      </c>
      <c r="Z181" s="109">
        <v>1.9379944131730242</v>
      </c>
      <c r="AA181" s="109">
        <v>2.5064961386637123</v>
      </c>
      <c r="AB181" s="109">
        <v>4.0793372498268186</v>
      </c>
      <c r="AC181" s="109">
        <v>5.457619365019994</v>
      </c>
      <c r="AD181" s="109">
        <v>7.0302894634066977</v>
      </c>
      <c r="AE181" s="109">
        <v>8.8726634437015939</v>
      </c>
      <c r="AF181" s="109">
        <v>10.892167747397966</v>
      </c>
      <c r="AG181" s="109">
        <v>13.334653465950909</v>
      </c>
      <c r="AH181" s="109">
        <v>16.895456169660722</v>
      </c>
      <c r="AI181" s="109">
        <v>21.431203994223399</v>
      </c>
      <c r="AJ181" s="109">
        <v>26.62223350959767</v>
      </c>
      <c r="AK181" s="109">
        <v>32.477106541258607</v>
      </c>
      <c r="AL181" s="109">
        <v>38.828058803956466</v>
      </c>
      <c r="AM181" s="109">
        <v>46.148455086777695</v>
      </c>
      <c r="AN181" s="109">
        <v>54.21442552054593</v>
      </c>
      <c r="AO181" s="109">
        <v>62.458860625778229</v>
      </c>
      <c r="AP181" s="109">
        <v>70.625053159755126</v>
      </c>
      <c r="AQ181" s="109">
        <v>79.106196210013749</v>
      </c>
      <c r="AR181" s="109">
        <v>87.194811434328429</v>
      </c>
      <c r="AS181" s="109">
        <v>95.701807956369009</v>
      </c>
      <c r="AT181" s="109">
        <v>104.18609946708922</v>
      </c>
      <c r="AU181" s="109">
        <v>112.94032948575378</v>
      </c>
      <c r="AV181" s="109">
        <v>121.38919183272944</v>
      </c>
      <c r="AW181" s="109">
        <v>130.21571582734472</v>
      </c>
      <c r="AX181" s="109">
        <v>139.13509817662555</v>
      </c>
    </row>
    <row r="182" spans="2:50">
      <c r="B182" t="str">
        <f ca="1">OFFSET('Scenario names'!$C$3,2,0)</f>
        <v>Accelerated Green</v>
      </c>
      <c r="E182" t="s">
        <v>234</v>
      </c>
      <c r="G182" s="44" t="s">
        <v>213</v>
      </c>
      <c r="I182" s="45" t="s">
        <v>1205</v>
      </c>
      <c r="K182" s="44" t="s">
        <v>1198</v>
      </c>
      <c r="M182" s="44" t="str">
        <f t="shared" ca="1" si="41"/>
        <v>LGVs - Dieselkt CO2/yearAccelerated Green</v>
      </c>
      <c r="O182" s="109">
        <v>0.20115651834968329</v>
      </c>
      <c r="P182" s="109">
        <v>1.0289602932320283</v>
      </c>
      <c r="Q182" s="109">
        <v>1.9451072159863518</v>
      </c>
      <c r="R182" s="109">
        <v>2.6926879732274727</v>
      </c>
      <c r="S182" s="109">
        <v>3.2771604663097365</v>
      </c>
      <c r="T182" s="109">
        <v>2.3400087331738688</v>
      </c>
      <c r="U182" s="109">
        <v>2.486704550664999</v>
      </c>
      <c r="V182" s="109">
        <v>2.8872150247119519</v>
      </c>
      <c r="W182" s="109">
        <v>3.6494359341562603</v>
      </c>
      <c r="X182" s="109">
        <v>4.9819722644826481</v>
      </c>
      <c r="Y182" s="109">
        <v>5.600348454696074</v>
      </c>
      <c r="Z182" s="109">
        <v>5.8876851596659385</v>
      </c>
      <c r="AA182" s="109">
        <v>8.0980830410189846</v>
      </c>
      <c r="AB182" s="109">
        <v>10.477502556507876</v>
      </c>
      <c r="AC182" s="109">
        <v>12.805290092363167</v>
      </c>
      <c r="AD182" s="109">
        <v>13.227170090395994</v>
      </c>
      <c r="AE182" s="109">
        <v>12.64747672632377</v>
      </c>
      <c r="AF182" s="109">
        <v>12.619674136980731</v>
      </c>
      <c r="AG182" s="109">
        <v>12.253457101305768</v>
      </c>
      <c r="AH182" s="109">
        <v>12.05730573234691</v>
      </c>
      <c r="AI182" s="109">
        <v>11.465703723624193</v>
      </c>
      <c r="AJ182" s="109">
        <v>9.9734648001238266</v>
      </c>
      <c r="AK182" s="109">
        <v>9.2185553729554925</v>
      </c>
      <c r="AL182" s="109">
        <v>9.2590301540130735</v>
      </c>
      <c r="AM182" s="109">
        <v>8.9281317164313556</v>
      </c>
      <c r="AN182" s="109">
        <v>8.1644422861036077</v>
      </c>
      <c r="AO182" s="109">
        <v>6.7904661481719337</v>
      </c>
      <c r="AP182" s="109">
        <v>6.4179286070398369</v>
      </c>
      <c r="AQ182" s="109">
        <v>6.2314562767833745</v>
      </c>
      <c r="AR182" s="109">
        <v>5.7842964320939183</v>
      </c>
      <c r="AS182" s="109">
        <v>4.8383354180433606</v>
      </c>
      <c r="AT182" s="109">
        <v>4.3196984312298294</v>
      </c>
      <c r="AU182" s="109">
        <v>3.9137486215726769</v>
      </c>
      <c r="AV182" s="109">
        <v>3.6501039067147762</v>
      </c>
      <c r="AW182" s="109">
        <v>3.3391135677027672</v>
      </c>
      <c r="AX182" s="109">
        <v>3.2283754420052073</v>
      </c>
    </row>
    <row r="183" spans="2:50">
      <c r="B183" t="str">
        <f ca="1">OFFSET('Scenario names'!$C$3,2,0)</f>
        <v>Accelerated Green</v>
      </c>
      <c r="E183" t="s">
        <v>234</v>
      </c>
      <c r="G183" s="44" t="s">
        <v>212</v>
      </c>
      <c r="I183" s="45" t="s">
        <v>1206</v>
      </c>
      <c r="K183" s="44" t="s">
        <v>1198</v>
      </c>
      <c r="M183" s="44" t="str">
        <f t="shared" ca="1" si="41"/>
        <v>LGVs - Petrolkt CO2/yearAccelerated Green</v>
      </c>
      <c r="O183" s="109">
        <v>901.99237473883215</v>
      </c>
      <c r="P183" s="109">
        <v>908.76173291838961</v>
      </c>
      <c r="Q183" s="109">
        <v>905.16119454325735</v>
      </c>
      <c r="R183" s="109">
        <v>900.89778778021946</v>
      </c>
      <c r="S183" s="109">
        <v>909.09700647114551</v>
      </c>
      <c r="T183" s="109">
        <v>793.25744746200075</v>
      </c>
      <c r="U183" s="109">
        <v>790.15088014853211</v>
      </c>
      <c r="V183" s="109">
        <v>785.44221794656983</v>
      </c>
      <c r="W183" s="109">
        <v>777.75075345019991</v>
      </c>
      <c r="X183" s="109">
        <v>769.67059317468738</v>
      </c>
      <c r="Y183" s="109">
        <v>756.56575701830855</v>
      </c>
      <c r="Z183" s="109">
        <v>733.5387232035805</v>
      </c>
      <c r="AA183" s="109">
        <v>681.6206222540136</v>
      </c>
      <c r="AB183" s="109">
        <v>628.82342498566936</v>
      </c>
      <c r="AC183" s="109">
        <v>571.91522076812782</v>
      </c>
      <c r="AD183" s="109">
        <v>495.38958911906144</v>
      </c>
      <c r="AE183" s="109">
        <v>429.76332228297611</v>
      </c>
      <c r="AF183" s="109">
        <v>367.45899562133729</v>
      </c>
      <c r="AG183" s="109">
        <v>309.64702454996461</v>
      </c>
      <c r="AH183" s="109">
        <v>261.871388836834</v>
      </c>
      <c r="AI183" s="109">
        <v>217.86187814129408</v>
      </c>
      <c r="AJ183" s="109">
        <v>177.75996680995988</v>
      </c>
      <c r="AK183" s="109">
        <v>141.86938074005499</v>
      </c>
      <c r="AL183" s="109">
        <v>110.47483537794923</v>
      </c>
      <c r="AM183" s="109">
        <v>83.757661482492452</v>
      </c>
      <c r="AN183" s="109">
        <v>61.730903815483636</v>
      </c>
      <c r="AO183" s="109">
        <v>44.184621749396328</v>
      </c>
      <c r="AP183" s="109">
        <v>30.712884892332887</v>
      </c>
      <c r="AQ183" s="109">
        <v>20.751362894483474</v>
      </c>
      <c r="AR183" s="109">
        <v>13.655867618615964</v>
      </c>
      <c r="AS183" s="109">
        <v>8.7768216535122097</v>
      </c>
      <c r="AT183" s="109">
        <v>5.5286820833717201</v>
      </c>
      <c r="AU183" s="109">
        <v>3.4258783905473975</v>
      </c>
      <c r="AV183" s="109">
        <v>2.0945603047628425</v>
      </c>
      <c r="AW183" s="109">
        <v>1.2671805953783697</v>
      </c>
      <c r="AX183" s="109">
        <v>0.76049189671899664</v>
      </c>
    </row>
    <row r="184" spans="2:50">
      <c r="B184" t="str">
        <f ca="1">OFFSET('Scenario names'!$C$3,2,0)</f>
        <v>Accelerated Green</v>
      </c>
      <c r="E184" t="s">
        <v>234</v>
      </c>
      <c r="G184" s="44" t="s">
        <v>1200</v>
      </c>
      <c r="I184" s="45" t="s">
        <v>1207</v>
      </c>
      <c r="K184" s="44" t="s">
        <v>1202</v>
      </c>
      <c r="M184" s="44" t="str">
        <f t="shared" ca="1" si="41"/>
        <v>LGVs - ElectricGWh/yearAccelerated Green</v>
      </c>
      <c r="O184" s="109">
        <v>0.55799967294787822</v>
      </c>
      <c r="P184" s="109">
        <v>3.5777310178248118</v>
      </c>
      <c r="Q184" s="109">
        <v>7.5692870373419439</v>
      </c>
      <c r="R184" s="109">
        <v>11.27711000603518</v>
      </c>
      <c r="S184" s="109">
        <v>15.393658487867429</v>
      </c>
      <c r="T184" s="109">
        <v>14.679063322591272</v>
      </c>
      <c r="U184" s="109">
        <v>16.721250374903395</v>
      </c>
      <c r="V184" s="109">
        <v>20.779233665642682</v>
      </c>
      <c r="W184" s="109">
        <v>27.381037042297244</v>
      </c>
      <c r="X184" s="109">
        <v>34.258102678491696</v>
      </c>
      <c r="Y184" s="109">
        <v>45.532246903292098</v>
      </c>
      <c r="Z184" s="109">
        <v>64.935701122753642</v>
      </c>
      <c r="AA184" s="109">
        <v>107.92096485741288</v>
      </c>
      <c r="AB184" s="109">
        <v>151.00267687085255</v>
      </c>
      <c r="AC184" s="109">
        <v>197.10617504084721</v>
      </c>
      <c r="AD184" s="109">
        <v>256.53157101583366</v>
      </c>
      <c r="AE184" s="109">
        <v>309.7351961194978</v>
      </c>
      <c r="AF184" s="109">
        <v>357.56919490369449</v>
      </c>
      <c r="AG184" s="109">
        <v>399.79356026859347</v>
      </c>
      <c r="AH184" s="109">
        <v>433.34146482102312</v>
      </c>
      <c r="AI184" s="109">
        <v>461.92305762193985</v>
      </c>
      <c r="AJ184" s="109">
        <v>485.72641195982703</v>
      </c>
      <c r="AK184" s="109">
        <v>504.75533840939448</v>
      </c>
      <c r="AL184" s="109">
        <v>519.0064854445983</v>
      </c>
      <c r="AM184" s="109">
        <v>528.55845715379019</v>
      </c>
      <c r="AN184" s="109">
        <v>533.40144355441328</v>
      </c>
      <c r="AO184" s="109">
        <v>534.41267141292781</v>
      </c>
      <c r="AP184" s="109">
        <v>532.22942036751738</v>
      </c>
      <c r="AQ184" s="109">
        <v>527.53603768513517</v>
      </c>
      <c r="AR184" s="109">
        <v>520.9931231629281</v>
      </c>
      <c r="AS184" s="109">
        <v>513.15800443314436</v>
      </c>
      <c r="AT184" s="109">
        <v>504.61817115989811</v>
      </c>
      <c r="AU184" s="109">
        <v>495.85154967794085</v>
      </c>
      <c r="AV184" s="109">
        <v>487.24816315916803</v>
      </c>
      <c r="AW184" s="109">
        <v>479.00568984508442</v>
      </c>
      <c r="AX184" s="109">
        <v>471.20979245023136</v>
      </c>
    </row>
    <row r="185" spans="2:50">
      <c r="B185" t="str">
        <f ca="1">OFFSET('Scenario names'!$C$3,2,0)</f>
        <v>Accelerated Green</v>
      </c>
      <c r="E185" t="s">
        <v>234</v>
      </c>
      <c r="G185" s="44" t="s">
        <v>1203</v>
      </c>
      <c r="I185" s="45" t="s">
        <v>1208</v>
      </c>
      <c r="K185" s="44" t="s">
        <v>1202</v>
      </c>
      <c r="M185" s="44" t="str">
        <f t="shared" ca="1" si="41"/>
        <v>LGVs - H2GWh/yearAccelerated Green</v>
      </c>
      <c r="O185" s="109">
        <v>0</v>
      </c>
      <c r="P185" s="109">
        <v>0</v>
      </c>
      <c r="Q185" s="109">
        <v>0</v>
      </c>
      <c r="R185" s="109">
        <v>0</v>
      </c>
      <c r="S185" s="109">
        <v>0</v>
      </c>
      <c r="T185" s="109">
        <v>0</v>
      </c>
      <c r="U185" s="109">
        <v>0</v>
      </c>
      <c r="V185" s="109">
        <v>0</v>
      </c>
      <c r="W185" s="109">
        <v>0</v>
      </c>
      <c r="X185" s="109">
        <v>0</v>
      </c>
      <c r="Y185" s="109">
        <v>8.4203207588240802E-3</v>
      </c>
      <c r="Z185" s="109">
        <v>0.16172543936889125</v>
      </c>
      <c r="AA185" s="109">
        <v>2.4213669986616408</v>
      </c>
      <c r="AB185" s="109">
        <v>2.8216719719754719</v>
      </c>
      <c r="AC185" s="109">
        <v>3.3305210302225055</v>
      </c>
      <c r="AD185" s="109">
        <v>11.301872320356713</v>
      </c>
      <c r="AE185" s="109">
        <v>20.752180549005818</v>
      </c>
      <c r="AF185" s="109">
        <v>33.415336393102592</v>
      </c>
      <c r="AG185" s="109">
        <v>48.837421915628809</v>
      </c>
      <c r="AH185" s="109">
        <v>63.897708021617127</v>
      </c>
      <c r="AI185" s="109">
        <v>82.960365904802714</v>
      </c>
      <c r="AJ185" s="109">
        <v>103.98987588051001</v>
      </c>
      <c r="AK185" s="109">
        <v>126.5417915965818</v>
      </c>
      <c r="AL185" s="109">
        <v>150.2232053902778</v>
      </c>
      <c r="AM185" s="109">
        <v>174.41535821085807</v>
      </c>
      <c r="AN185" s="109">
        <v>199.32606226319163</v>
      </c>
      <c r="AO185" s="109">
        <v>223.83729750688531</v>
      </c>
      <c r="AP185" s="109">
        <v>247.46459488371789</v>
      </c>
      <c r="AQ185" s="109">
        <v>269.87222885551762</v>
      </c>
      <c r="AR185" s="109">
        <v>290.8814922097481</v>
      </c>
      <c r="AS185" s="109">
        <v>310.49365425737523</v>
      </c>
      <c r="AT185" s="109">
        <v>328.60149269832715</v>
      </c>
      <c r="AU185" s="109">
        <v>345.15016877344362</v>
      </c>
      <c r="AV185" s="109">
        <v>360.08561706621612</v>
      </c>
      <c r="AW185" s="109">
        <v>373.50791971680729</v>
      </c>
      <c r="AX185" s="109">
        <v>385.57637225416568</v>
      </c>
    </row>
    <row r="186" spans="2:50">
      <c r="B186" t="str">
        <f ca="1">OFFSET('Scenario names'!$C$3,2,0)</f>
        <v>Accelerated Green</v>
      </c>
      <c r="E186" t="s">
        <v>235</v>
      </c>
      <c r="G186" s="44" t="s">
        <v>213</v>
      </c>
      <c r="I186" s="45" t="s">
        <v>1209</v>
      </c>
      <c r="K186" s="44" t="s">
        <v>1198</v>
      </c>
      <c r="M186" s="44" t="str">
        <f t="shared" ca="1" si="41"/>
        <v>HGVs - Dieselkt CO2/yearAccelerated Green</v>
      </c>
      <c r="O186" s="109">
        <v>1128.7827676828661</v>
      </c>
      <c r="P186" s="109">
        <v>1138.6141928980123</v>
      </c>
      <c r="Q186" s="109">
        <v>1137.7973861137834</v>
      </c>
      <c r="R186" s="109">
        <v>1134.2959645695662</v>
      </c>
      <c r="S186" s="109">
        <v>1135.3912005870077</v>
      </c>
      <c r="T186" s="109">
        <v>1139.3689953681603</v>
      </c>
      <c r="U186" s="109">
        <v>1137.2436415218765</v>
      </c>
      <c r="V186" s="109">
        <v>1135.0281207734813</v>
      </c>
      <c r="W186" s="109">
        <v>1132.8142288396568</v>
      </c>
      <c r="X186" s="109">
        <v>1130.6019657204035</v>
      </c>
      <c r="Y186" s="109">
        <v>1128.7542440235327</v>
      </c>
      <c r="Z186" s="109">
        <v>1095.1318275965718</v>
      </c>
      <c r="AA186" s="109">
        <v>1061.5362339310741</v>
      </c>
      <c r="AB186" s="109">
        <v>1027.9674630270401</v>
      </c>
      <c r="AC186" s="109">
        <v>994.42551488446952</v>
      </c>
      <c r="AD186" s="109">
        <v>960.91038950336235</v>
      </c>
      <c r="AE186" s="109">
        <v>871.62058963299046</v>
      </c>
      <c r="AF186" s="109">
        <v>783.94050079242345</v>
      </c>
      <c r="AG186" s="109">
        <v>697.87012298166155</v>
      </c>
      <c r="AH186" s="109">
        <v>613.4094562007042</v>
      </c>
      <c r="AI186" s="109">
        <v>530.5585004495515</v>
      </c>
      <c r="AJ186" s="109">
        <v>456.96793706395914</v>
      </c>
      <c r="AK186" s="109">
        <v>384.82430425421916</v>
      </c>
      <c r="AL186" s="109">
        <v>314.12760202033184</v>
      </c>
      <c r="AM186" s="109">
        <v>244.87783036229706</v>
      </c>
      <c r="AN186" s="109">
        <v>177.07498928011478</v>
      </c>
      <c r="AO186" s="109">
        <v>147.77079989111388</v>
      </c>
      <c r="AP186" s="109">
        <v>119.02284160304634</v>
      </c>
      <c r="AQ186" s="109">
        <v>90.831114415912111</v>
      </c>
      <c r="AR186" s="109">
        <v>63.19561832971123</v>
      </c>
      <c r="AS186" s="109">
        <v>36.116353344443702</v>
      </c>
      <c r="AT186" s="109">
        <v>29.226119094006116</v>
      </c>
      <c r="AU186" s="109">
        <v>22.474396803355109</v>
      </c>
      <c r="AV186" s="109">
        <v>15.861186472490703</v>
      </c>
      <c r="AW186" s="109">
        <v>9.386488101412878</v>
      </c>
      <c r="AX186" s="109">
        <v>3.0503016901216489</v>
      </c>
    </row>
    <row r="187" spans="2:50">
      <c r="B187" t="str">
        <f ca="1">OFFSET('Scenario names'!$C$3,2,0)</f>
        <v>Accelerated Green</v>
      </c>
      <c r="E187" t="s">
        <v>235</v>
      </c>
      <c r="G187" s="44" t="s">
        <v>1200</v>
      </c>
      <c r="I187" s="45" t="s">
        <v>1210</v>
      </c>
      <c r="K187" s="44" t="s">
        <v>1202</v>
      </c>
      <c r="M187" s="44" t="str">
        <f t="shared" ca="1" si="41"/>
        <v>HGVs - ElectricGWh/yearAccelerated Green</v>
      </c>
      <c r="O187" s="109">
        <v>0</v>
      </c>
      <c r="P187" s="109">
        <v>2.8130538148277235</v>
      </c>
      <c r="Q187" s="109">
        <v>5.6291809156400534</v>
      </c>
      <c r="R187" s="109">
        <v>13.210507548960409</v>
      </c>
      <c r="S187" s="109">
        <v>10.182251231618132</v>
      </c>
      <c r="T187" s="109">
        <v>0</v>
      </c>
      <c r="U187" s="109">
        <v>4.4035025163201365</v>
      </c>
      <c r="V187" s="109">
        <v>8.8070050326402729</v>
      </c>
      <c r="W187" s="109">
        <v>13.210507548960409</v>
      </c>
      <c r="X187" s="109">
        <v>17.614010065280546</v>
      </c>
      <c r="Y187" s="109">
        <v>22.017512581600684</v>
      </c>
      <c r="Z187" s="109">
        <v>72.246997193191888</v>
      </c>
      <c r="AA187" s="109">
        <v>122.47648180478308</v>
      </c>
      <c r="AB187" s="109">
        <v>172.70596641637425</v>
      </c>
      <c r="AC187" s="109">
        <v>222.93545102796551</v>
      </c>
      <c r="AD187" s="109">
        <v>273.16493563955669</v>
      </c>
      <c r="AE187" s="109">
        <v>382.87181244053431</v>
      </c>
      <c r="AF187" s="109">
        <v>492.57868924151182</v>
      </c>
      <c r="AG187" s="109">
        <v>602.28556604248945</v>
      </c>
      <c r="AH187" s="109">
        <v>711.99244284346696</v>
      </c>
      <c r="AI187" s="109">
        <v>821.6993196444447</v>
      </c>
      <c r="AJ187" s="109">
        <v>919.31140466242573</v>
      </c>
      <c r="AK187" s="109">
        <v>1016.9234896804068</v>
      </c>
      <c r="AL187" s="109">
        <v>1114.5355746983878</v>
      </c>
      <c r="AM187" s="109">
        <v>1212.1476597163689</v>
      </c>
      <c r="AN187" s="109">
        <v>1309.7597447343503</v>
      </c>
      <c r="AO187" s="109">
        <v>1373.6605131147428</v>
      </c>
      <c r="AP187" s="109">
        <v>1437.5612814951353</v>
      </c>
      <c r="AQ187" s="109">
        <v>1501.4620498755282</v>
      </c>
      <c r="AR187" s="109">
        <v>1565.3628182559207</v>
      </c>
      <c r="AS187" s="109">
        <v>1629.2635866363134</v>
      </c>
      <c r="AT187" s="109">
        <v>1724.1348071276527</v>
      </c>
      <c r="AU187" s="109">
        <v>1819.0060276189915</v>
      </c>
      <c r="AV187" s="109">
        <v>1913.8772481103306</v>
      </c>
      <c r="AW187" s="109">
        <v>2008.7484686016696</v>
      </c>
      <c r="AX187" s="109">
        <v>2103.6196890930087</v>
      </c>
    </row>
    <row r="188" spans="2:50">
      <c r="B188" t="str">
        <f ca="1">OFFSET('Scenario names'!$C$3,2,0)</f>
        <v>Accelerated Green</v>
      </c>
      <c r="E188" t="s">
        <v>235</v>
      </c>
      <c r="G188" s="44" t="s">
        <v>1203</v>
      </c>
      <c r="I188" s="45" t="s">
        <v>1211</v>
      </c>
      <c r="K188" s="44" t="s">
        <v>1202</v>
      </c>
      <c r="M188" s="44" t="str">
        <f t="shared" ca="1" si="41"/>
        <v>HGVs - H2GWh/yearAccelerated Green</v>
      </c>
      <c r="O188" s="109">
        <v>0</v>
      </c>
      <c r="P188" s="109">
        <v>0</v>
      </c>
      <c r="Q188" s="109">
        <v>0</v>
      </c>
      <c r="R188" s="109">
        <v>0</v>
      </c>
      <c r="S188" s="109">
        <v>0</v>
      </c>
      <c r="T188" s="109">
        <v>0</v>
      </c>
      <c r="U188" s="109">
        <v>0</v>
      </c>
      <c r="V188" s="109">
        <v>0</v>
      </c>
      <c r="W188" s="109">
        <v>0</v>
      </c>
      <c r="X188" s="109">
        <v>0</v>
      </c>
      <c r="Y188" s="109">
        <v>0</v>
      </c>
      <c r="Z188" s="109">
        <v>30.789668912466713</v>
      </c>
      <c r="AA188" s="109">
        <v>60.627328828177347</v>
      </c>
      <c r="AB188" s="109">
        <v>89.512979747131922</v>
      </c>
      <c r="AC188" s="109">
        <v>117.44662166933041</v>
      </c>
      <c r="AD188" s="109">
        <v>144.42825459477285</v>
      </c>
      <c r="AE188" s="109">
        <v>225.39518210975706</v>
      </c>
      <c r="AF188" s="109">
        <v>305.48111449610235</v>
      </c>
      <c r="AG188" s="109">
        <v>384.68605175380861</v>
      </c>
      <c r="AH188" s="109">
        <v>463.00999388287596</v>
      </c>
      <c r="AI188" s="109">
        <v>540.45294088330434</v>
      </c>
      <c r="AJ188" s="109">
        <v>608.24349332501538</v>
      </c>
      <c r="AK188" s="109">
        <v>675.24824393131257</v>
      </c>
      <c r="AL188" s="109">
        <v>741.46719270219592</v>
      </c>
      <c r="AM188" s="109">
        <v>806.90033963766541</v>
      </c>
      <c r="AN188" s="109">
        <v>871.5476847377206</v>
      </c>
      <c r="AO188" s="109">
        <v>878.58829488409992</v>
      </c>
      <c r="AP188" s="109">
        <v>885.62890503047902</v>
      </c>
      <c r="AQ188" s="109">
        <v>892.66951517685823</v>
      </c>
      <c r="AR188" s="109">
        <v>899.71012532323766</v>
      </c>
      <c r="AS188" s="109">
        <v>906.7507354696171</v>
      </c>
      <c r="AT188" s="109">
        <v>834.67419774653592</v>
      </c>
      <c r="AU188" s="109">
        <v>762.59766002345486</v>
      </c>
      <c r="AV188" s="109">
        <v>690.5211223003738</v>
      </c>
      <c r="AW188" s="109">
        <v>618.44458457729263</v>
      </c>
      <c r="AX188" s="109">
        <v>546.36804685421157</v>
      </c>
    </row>
    <row r="189" spans="2:50">
      <c r="B189" t="str">
        <f ca="1">OFFSET('Scenario names'!$C$3,2,0)</f>
        <v>Accelerated Green</v>
      </c>
      <c r="E189" t="s">
        <v>236</v>
      </c>
      <c r="G189" s="44" t="s">
        <v>213</v>
      </c>
      <c r="I189" s="45" t="s">
        <v>1212</v>
      </c>
      <c r="K189" s="44" t="s">
        <v>1198</v>
      </c>
      <c r="M189" s="44" t="str">
        <f t="shared" ca="1" si="41"/>
        <v>Buses - Dieselkt CO2/yearAccelerated Green</v>
      </c>
      <c r="O189" s="109">
        <v>935.39644498787595</v>
      </c>
      <c r="P189" s="109">
        <v>933.54033739015972</v>
      </c>
      <c r="Q189" s="109">
        <v>922.84826305998104</v>
      </c>
      <c r="R189" s="109">
        <v>911.64717386040741</v>
      </c>
      <c r="S189" s="109">
        <v>900.44513752698367</v>
      </c>
      <c r="T189" s="109">
        <v>880.37152707089911</v>
      </c>
      <c r="U189" s="109">
        <v>870.10774221019392</v>
      </c>
      <c r="V189" s="109">
        <v>825.21385506979004</v>
      </c>
      <c r="W189" s="109">
        <v>769.20455797289333</v>
      </c>
      <c r="X189" s="109">
        <v>712.86405989816205</v>
      </c>
      <c r="Y189" s="109">
        <v>656.15361115225255</v>
      </c>
      <c r="Z189" s="109">
        <v>586.78532093593549</v>
      </c>
      <c r="AA189" s="109">
        <v>517.1533877447747</v>
      </c>
      <c r="AB189" s="109">
        <v>447.25756648702992</v>
      </c>
      <c r="AC189" s="109">
        <v>377.09761207096068</v>
      </c>
      <c r="AD189" s="109">
        <v>306.67327940482642</v>
      </c>
      <c r="AE189" s="109">
        <v>280.6045641059589</v>
      </c>
      <c r="AF189" s="109">
        <v>254.93522640972807</v>
      </c>
      <c r="AG189" s="109">
        <v>229.66726556856088</v>
      </c>
      <c r="AH189" s="109">
        <v>204.80268083488411</v>
      </c>
      <c r="AI189" s="109">
        <v>180.34347146112481</v>
      </c>
      <c r="AJ189" s="109">
        <v>158.52601601938377</v>
      </c>
      <c r="AK189" s="109">
        <v>137.07657567398024</v>
      </c>
      <c r="AL189" s="109">
        <v>115.99695028324159</v>
      </c>
      <c r="AM189" s="109">
        <v>95.288939705494869</v>
      </c>
      <c r="AN189" s="109">
        <v>74.954343799067203</v>
      </c>
      <c r="AO189" s="109">
        <v>63.391772775260925</v>
      </c>
      <c r="AP189" s="109">
        <v>52.045203455307835</v>
      </c>
      <c r="AQ189" s="109">
        <v>40.914710634041022</v>
      </c>
      <c r="AR189" s="109">
        <v>30.000369106293562</v>
      </c>
      <c r="AS189" s="109">
        <v>19.302253666898537</v>
      </c>
      <c r="AT189" s="109">
        <v>15.926268253879813</v>
      </c>
      <c r="AU189" s="109">
        <v>12.617073248451558</v>
      </c>
      <c r="AV189" s="109">
        <v>9.3746917491990214</v>
      </c>
      <c r="AW189" s="109">
        <v>6.1991468547074726</v>
      </c>
      <c r="AX189" s="109">
        <v>3.0904616635621682</v>
      </c>
    </row>
    <row r="190" spans="2:50">
      <c r="B190" t="str">
        <f ca="1">OFFSET('Scenario names'!$C$3,2,0)</f>
        <v>Accelerated Green</v>
      </c>
      <c r="E190" t="s">
        <v>236</v>
      </c>
      <c r="G190" s="44" t="s">
        <v>1200</v>
      </c>
      <c r="I190" s="45" t="s">
        <v>1213</v>
      </c>
      <c r="K190" s="44" t="s">
        <v>1202</v>
      </c>
      <c r="M190" s="44" t="str">
        <f t="shared" ca="1" si="41"/>
        <v>Buses - ElectricGWh/yearAccelerated Green</v>
      </c>
      <c r="O190" s="109">
        <v>13.36794053057533</v>
      </c>
      <c r="P190" s="109">
        <v>13.501417529208853</v>
      </c>
      <c r="Q190" s="109">
        <v>13.508792737789316</v>
      </c>
      <c r="R190" s="109">
        <v>12.563810369421944</v>
      </c>
      <c r="S190" s="109">
        <v>11.618814136765726</v>
      </c>
      <c r="T190" s="109">
        <v>18.94217165761534</v>
      </c>
      <c r="U190" s="109">
        <v>32.483566759901535</v>
      </c>
      <c r="V190" s="109">
        <v>86.040418547541464</v>
      </c>
      <c r="W190" s="109">
        <v>139.634874978472</v>
      </c>
      <c r="X190" s="109">
        <v>193.2669360526931</v>
      </c>
      <c r="Y190" s="109">
        <v>246.93660177020485</v>
      </c>
      <c r="Z190" s="109">
        <v>313.51519561288416</v>
      </c>
      <c r="AA190" s="109">
        <v>379.66711630085217</v>
      </c>
      <c r="AB190" s="109">
        <v>445.39236383410866</v>
      </c>
      <c r="AC190" s="109">
        <v>510.69093821265369</v>
      </c>
      <c r="AD190" s="109">
        <v>575.56283943648748</v>
      </c>
      <c r="AE190" s="109">
        <v>606.44066617565704</v>
      </c>
      <c r="AF190" s="109">
        <v>637.40766424146693</v>
      </c>
      <c r="AG190" s="109">
        <v>668.46383363391715</v>
      </c>
      <c r="AH190" s="109">
        <v>699.60917435300757</v>
      </c>
      <c r="AI190" s="109">
        <v>730.84368639873833</v>
      </c>
      <c r="AJ190" s="109">
        <v>759.25670385910678</v>
      </c>
      <c r="AK190" s="109">
        <v>787.75107371008096</v>
      </c>
      <c r="AL190" s="109">
        <v>802.54004242831923</v>
      </c>
      <c r="AM190" s="109">
        <v>817.4716912365933</v>
      </c>
      <c r="AN190" s="109">
        <v>832.545990735087</v>
      </c>
      <c r="AO190" s="109">
        <v>834.27567698253768</v>
      </c>
      <c r="AP190" s="109">
        <v>836.00887694449727</v>
      </c>
      <c r="AQ190" s="109">
        <v>837.74559062096557</v>
      </c>
      <c r="AR190" s="109">
        <v>839.48581801194291</v>
      </c>
      <c r="AS190" s="109">
        <v>841.22955911742883</v>
      </c>
      <c r="AT190" s="109">
        <v>834.42630591371631</v>
      </c>
      <c r="AU190" s="109">
        <v>841.35005290950653</v>
      </c>
      <c r="AV190" s="109">
        <v>848.27536448094816</v>
      </c>
      <c r="AW190" s="109">
        <v>855.20224062804198</v>
      </c>
      <c r="AX190" s="109">
        <v>862.13068135078743</v>
      </c>
    </row>
    <row r="191" spans="2:50">
      <c r="B191" t="str">
        <f ca="1">OFFSET('Scenario names'!$C$3,2,0)</f>
        <v>Accelerated Green</v>
      </c>
      <c r="E191" s="78" t="s">
        <v>236</v>
      </c>
      <c r="G191" s="44" t="s">
        <v>1203</v>
      </c>
      <c r="I191" s="45" t="s">
        <v>1214</v>
      </c>
      <c r="K191" s="44" t="s">
        <v>1202</v>
      </c>
      <c r="M191" s="44" t="str">
        <f t="shared" ca="1" si="41"/>
        <v>Buses - H2GWh/yearAccelerated Green</v>
      </c>
      <c r="O191" s="109">
        <v>0</v>
      </c>
      <c r="P191" s="109">
        <v>0</v>
      </c>
      <c r="Q191" s="109">
        <v>0</v>
      </c>
      <c r="R191" s="109">
        <v>0</v>
      </c>
      <c r="S191" s="109">
        <v>0</v>
      </c>
      <c r="T191" s="109">
        <v>0</v>
      </c>
      <c r="U191" s="109">
        <v>4.2034482224223382</v>
      </c>
      <c r="V191" s="109">
        <v>4.4888395792301692</v>
      </c>
      <c r="W191" s="109">
        <v>4.7743054869869779</v>
      </c>
      <c r="X191" s="109">
        <v>5.0598256028411921</v>
      </c>
      <c r="Y191" s="109">
        <v>5.3453795839412344</v>
      </c>
      <c r="Z191" s="109">
        <v>24.680308053397365</v>
      </c>
      <c r="AA191" s="109">
        <v>44.081540411607442</v>
      </c>
      <c r="AB191" s="109">
        <v>63.54839622627803</v>
      </c>
      <c r="AC191" s="109">
        <v>83.08019506511566</v>
      </c>
      <c r="AD191" s="109">
        <v>102.67625649582696</v>
      </c>
      <c r="AE191" s="109">
        <v>132.70861007650788</v>
      </c>
      <c r="AF191" s="109">
        <v>162.43202833370086</v>
      </c>
      <c r="AG191" s="109">
        <v>191.84485173340403</v>
      </c>
      <c r="AH191" s="109">
        <v>220.94542074161532</v>
      </c>
      <c r="AI191" s="109">
        <v>249.73207582433309</v>
      </c>
      <c r="AJ191" s="109">
        <v>276.04302023551196</v>
      </c>
      <c r="AK191" s="109">
        <v>302.05941950831345</v>
      </c>
      <c r="AL191" s="109">
        <v>378.4381703284713</v>
      </c>
      <c r="AM191" s="109">
        <v>453.86590145718839</v>
      </c>
      <c r="AN191" s="109">
        <v>528.3410516431419</v>
      </c>
      <c r="AO191" s="109">
        <v>593.98230968443988</v>
      </c>
      <c r="AP191" s="109">
        <v>659.62712470393296</v>
      </c>
      <c r="AQ191" s="109">
        <v>725.2754967016208</v>
      </c>
      <c r="AR191" s="109">
        <v>790.92742567750383</v>
      </c>
      <c r="AS191" s="109">
        <v>856.58291163158117</v>
      </c>
      <c r="AT191" s="109">
        <v>909.27398882246735</v>
      </c>
      <c r="AU191" s="109">
        <v>911.96063447999848</v>
      </c>
      <c r="AV191" s="109">
        <v>914.64788099126292</v>
      </c>
      <c r="AW191" s="109">
        <v>917.33572835626126</v>
      </c>
      <c r="AX191" s="109">
        <v>920.02417657499348</v>
      </c>
    </row>
    <row r="192" spans="2:50">
      <c r="B192" t="str">
        <f ca="1">OFFSET('Scenario names'!$C$3,2,0)</f>
        <v>Accelerated Green</v>
      </c>
      <c r="E192" s="78" t="s">
        <v>237</v>
      </c>
      <c r="F192" s="35"/>
      <c r="G192" s="44" t="s">
        <v>213</v>
      </c>
      <c r="I192" s="45" t="s">
        <v>1215</v>
      </c>
      <c r="K192" s="44" t="s">
        <v>1198</v>
      </c>
      <c r="M192" s="44" t="str">
        <f t="shared" ca="1" si="41"/>
        <v>Taxis - Dieselkt CO2/yearAccelerated Green</v>
      </c>
      <c r="O192" s="109">
        <v>111.11426001643541</v>
      </c>
      <c r="P192" s="109">
        <v>100.37642633746667</v>
      </c>
      <c r="Q192" s="109">
        <v>89.2385648978251</v>
      </c>
      <c r="R192" s="109">
        <v>78.707026181974896</v>
      </c>
      <c r="S192" s="109">
        <v>64.171195434028434</v>
      </c>
      <c r="T192" s="109">
        <v>64.278150500943369</v>
      </c>
      <c r="U192" s="109">
        <v>54.980937498248537</v>
      </c>
      <c r="V192" s="109">
        <v>46.057447082448945</v>
      </c>
      <c r="W192" s="109">
        <v>37.603232185300278</v>
      </c>
      <c r="X192" s="109">
        <v>31.192828694606305</v>
      </c>
      <c r="Y192" s="109">
        <v>25.90006496112721</v>
      </c>
      <c r="Z192" s="109">
        <v>22.076107304403568</v>
      </c>
      <c r="AA192" s="109">
        <v>18.274118813193944</v>
      </c>
      <c r="AB192" s="109">
        <v>14.68674005238584</v>
      </c>
      <c r="AC192" s="109">
        <v>11.670670220486942</v>
      </c>
      <c r="AD192" s="109">
        <v>9.1839924408021805</v>
      </c>
      <c r="AE192" s="109">
        <v>8.0392477706551855</v>
      </c>
      <c r="AF192" s="109">
        <v>6.892003355447887</v>
      </c>
      <c r="AG192" s="109">
        <v>6.2107011904155565</v>
      </c>
      <c r="AH192" s="109">
        <v>5.9104633507333553</v>
      </c>
      <c r="AI192" s="109">
        <v>5.6181512444607993</v>
      </c>
      <c r="AJ192" s="109">
        <v>5.3485644577263747</v>
      </c>
      <c r="AK192" s="109">
        <v>5.081840201903165</v>
      </c>
      <c r="AL192" s="109">
        <v>4.8179246924855335</v>
      </c>
      <c r="AM192" s="109">
        <v>4.5567654840011773</v>
      </c>
      <c r="AN192" s="109">
        <v>4.2983114285977271</v>
      </c>
      <c r="AO192" s="109">
        <v>3.8618741516346704</v>
      </c>
      <c r="AP192" s="109">
        <v>3.4289085725291653</v>
      </c>
      <c r="AQ192" s="109">
        <v>2.9993722672748087</v>
      </c>
      <c r="AR192" s="109">
        <v>2.573223500287205</v>
      </c>
      <c r="AS192" s="109">
        <v>2.1504212104964537</v>
      </c>
      <c r="AT192" s="109">
        <v>1.7170706182569453</v>
      </c>
      <c r="AU192" s="109">
        <v>1.2853630592871641</v>
      </c>
      <c r="AV192" s="109">
        <v>0.85528863579632852</v>
      </c>
      <c r="AW192" s="109">
        <v>0.42683752933466573</v>
      </c>
      <c r="AX192" s="109">
        <v>0</v>
      </c>
    </row>
    <row r="193" spans="2:50">
      <c r="B193" t="str">
        <f ca="1">OFFSET('Scenario names'!$C$3,2,0)</f>
        <v>Accelerated Green</v>
      </c>
      <c r="E193" s="78" t="s">
        <v>237</v>
      </c>
      <c r="G193" s="44" t="s">
        <v>1200</v>
      </c>
      <c r="I193" s="45" t="s">
        <v>1216</v>
      </c>
      <c r="K193" s="44" t="s">
        <v>1202</v>
      </c>
      <c r="M193" s="44" t="str">
        <f t="shared" ca="1" si="41"/>
        <v>Taxis - ElectricGWh/yearAccelerated Green</v>
      </c>
      <c r="O193" s="109">
        <v>20.769022919872736</v>
      </c>
      <c r="P193" s="109">
        <v>26.580749453853954</v>
      </c>
      <c r="Q193" s="109">
        <v>32.119073884161025</v>
      </c>
      <c r="R193" s="109">
        <v>37.560235852273777</v>
      </c>
      <c r="S193" s="109">
        <v>48.63624258842713</v>
      </c>
      <c r="T193" s="109">
        <v>48.359043647806388</v>
      </c>
      <c r="U193" s="109">
        <v>55.26980741979888</v>
      </c>
      <c r="V193" s="109">
        <v>60.196817116452777</v>
      </c>
      <c r="W193" s="109">
        <v>65.354716892704673</v>
      </c>
      <c r="X193" s="109">
        <v>68.927684182620112</v>
      </c>
      <c r="Y193" s="109">
        <v>71.677651925484767</v>
      </c>
      <c r="Z193" s="109">
        <v>74.164341685355069</v>
      </c>
      <c r="AA193" s="109">
        <v>76.911868891793617</v>
      </c>
      <c r="AB193" s="109">
        <v>79.488194176180585</v>
      </c>
      <c r="AC193" s="109">
        <v>81.54795219360264</v>
      </c>
      <c r="AD193" s="109">
        <v>83.103483574840936</v>
      </c>
      <c r="AE193" s="109">
        <v>84.152846358309276</v>
      </c>
      <c r="AF193" s="109">
        <v>85.194211705061207</v>
      </c>
      <c r="AG193" s="109">
        <v>93.200831295792256</v>
      </c>
      <c r="AH193" s="109">
        <v>92.936302470929675</v>
      </c>
      <c r="AI193" s="109">
        <v>92.635498808303495</v>
      </c>
      <c r="AJ193" s="109">
        <v>92.286938179311264</v>
      </c>
      <c r="AK193" s="109">
        <v>91.910593676025343</v>
      </c>
      <c r="AL193" s="109">
        <v>91.541461059260698</v>
      </c>
      <c r="AM193" s="109">
        <v>91.14636058538683</v>
      </c>
      <c r="AN193" s="109">
        <v>90.728756690444314</v>
      </c>
      <c r="AO193" s="109">
        <v>90.890217593481879</v>
      </c>
      <c r="AP193" s="109">
        <v>91.058127280050712</v>
      </c>
      <c r="AQ193" s="109">
        <v>91.201347088106061</v>
      </c>
      <c r="AR193" s="109">
        <v>91.322381961858738</v>
      </c>
      <c r="AS193" s="109">
        <v>91.447075731778071</v>
      </c>
      <c r="AT193" s="109">
        <v>91.578234250622273</v>
      </c>
      <c r="AU193" s="109">
        <v>91.71970764053998</v>
      </c>
      <c r="AV193" s="109">
        <v>91.838897015902802</v>
      </c>
      <c r="AW193" s="109">
        <v>91.967009540063131</v>
      </c>
      <c r="AX193" s="109">
        <v>92.103153573999265</v>
      </c>
    </row>
    <row r="194" spans="2:50">
      <c r="B194" t="str">
        <f ca="1">OFFSET('Scenario names'!$C$3,2,0)</f>
        <v>Accelerated Green</v>
      </c>
      <c r="E194" s="38" t="s">
        <v>237</v>
      </c>
      <c r="F194" s="38"/>
      <c r="G194" s="44" t="s">
        <v>1203</v>
      </c>
      <c r="I194" s="45" t="s">
        <v>1217</v>
      </c>
      <c r="K194" s="44" t="s">
        <v>1202</v>
      </c>
      <c r="M194" s="44" t="str">
        <f t="shared" ca="1" si="41"/>
        <v>Taxis - H2GWh/yearAccelerated Green</v>
      </c>
      <c r="O194" s="109">
        <v>0</v>
      </c>
      <c r="P194" s="109">
        <v>0</v>
      </c>
      <c r="Q194" s="109">
        <v>0</v>
      </c>
      <c r="R194" s="109">
        <v>0</v>
      </c>
      <c r="S194" s="109">
        <v>0</v>
      </c>
      <c r="T194" s="109">
        <v>0</v>
      </c>
      <c r="U194" s="109">
        <v>0.10784684934193972</v>
      </c>
      <c r="V194" s="109">
        <v>0.24039884816334559</v>
      </c>
      <c r="W194" s="109">
        <v>0.39899506511126898</v>
      </c>
      <c r="X194" s="109">
        <v>0.570407875964827</v>
      </c>
      <c r="Y194" s="109">
        <v>0.75330295889703802</v>
      </c>
      <c r="Z194" s="109">
        <v>0.9654563971898602</v>
      </c>
      <c r="AA194" s="109">
        <v>1.2028110731990553</v>
      </c>
      <c r="AB194" s="109">
        <v>1.4634454929859833</v>
      </c>
      <c r="AC194" s="109">
        <v>1.7373580481613151</v>
      </c>
      <c r="AD194" s="109">
        <v>2.0206948039387025</v>
      </c>
      <c r="AE194" s="109">
        <v>2.3386518397327811</v>
      </c>
      <c r="AF194" s="109">
        <v>2.676211064697493</v>
      </c>
      <c r="AG194" s="109">
        <v>3.280430043898626</v>
      </c>
      <c r="AH194" s="109">
        <v>3.6349582989431295</v>
      </c>
      <c r="AI194" s="109">
        <v>3.9991076793093625</v>
      </c>
      <c r="AJ194" s="109">
        <v>4.3654102506718742</v>
      </c>
      <c r="AK194" s="109">
        <v>4.741126488753725</v>
      </c>
      <c r="AL194" s="109">
        <v>5.1257720268956133</v>
      </c>
      <c r="AM194" s="109">
        <v>5.51887299335423</v>
      </c>
      <c r="AN194" s="109">
        <v>5.919965686717239</v>
      </c>
      <c r="AO194" s="109">
        <v>6.1189402258708689</v>
      </c>
      <c r="AP194" s="109">
        <v>6.3132393017946713</v>
      </c>
      <c r="AQ194" s="109">
        <v>6.5029189579219278</v>
      </c>
      <c r="AR194" s="109">
        <v>6.6880343282590067</v>
      </c>
      <c r="AS194" s="109">
        <v>6.8686396557576321</v>
      </c>
      <c r="AT194" s="109">
        <v>7.0519773608438374</v>
      </c>
      <c r="AU194" s="109">
        <v>7.2316585539616396</v>
      </c>
      <c r="AV194" s="109">
        <v>7.4077042177686607</v>
      </c>
      <c r="AW194" s="109">
        <v>7.5801351667248662</v>
      </c>
      <c r="AX194" s="109">
        <v>7.7489720487745384</v>
      </c>
    </row>
    <row r="195" spans="2:50">
      <c r="B195" t="str">
        <f ca="1">OFFSET('Scenario names'!$C$3,2,0)</f>
        <v>Accelerated Green</v>
      </c>
      <c r="E195" s="78" t="s">
        <v>238</v>
      </c>
      <c r="G195" s="44" t="s">
        <v>212</v>
      </c>
      <c r="I195" s="45" t="s">
        <v>1218</v>
      </c>
      <c r="K195" s="44" t="s">
        <v>1198</v>
      </c>
      <c r="M195" s="44" t="str">
        <f t="shared" ca="1" si="41"/>
        <v>Motorcycles - Dieselkt CO2/yearAccelerated Green</v>
      </c>
      <c r="O195" s="109">
        <v>70.8740006682917</v>
      </c>
      <c r="P195" s="109">
        <v>71.21796853424317</v>
      </c>
      <c r="Q195" s="109">
        <v>70.892973966675541</v>
      </c>
      <c r="R195" s="109">
        <v>69.778196793282348</v>
      </c>
      <c r="S195" s="109">
        <v>67.297208242850232</v>
      </c>
      <c r="T195" s="109">
        <v>64.910113984092234</v>
      </c>
      <c r="U195" s="109">
        <v>62.680819610231332</v>
      </c>
      <c r="V195" s="109">
        <v>60.514438378172812</v>
      </c>
      <c r="W195" s="109">
        <v>58.391836006989955</v>
      </c>
      <c r="X195" s="109">
        <v>56.330449218446802</v>
      </c>
      <c r="Y195" s="109">
        <v>53.323648058917051</v>
      </c>
      <c r="Z195" s="109">
        <v>50.384697111460575</v>
      </c>
      <c r="AA195" s="109">
        <v>47.497432779889607</v>
      </c>
      <c r="AB195" s="109">
        <v>44.702311307263138</v>
      </c>
      <c r="AC195" s="109">
        <v>42.000206853867972</v>
      </c>
      <c r="AD195" s="109">
        <v>38.825670028388878</v>
      </c>
      <c r="AE195" s="109">
        <v>35.917318443997623</v>
      </c>
      <c r="AF195" s="109">
        <v>33.080789763721569</v>
      </c>
      <c r="AG195" s="109">
        <v>30.326634909676464</v>
      </c>
      <c r="AH195" s="109">
        <v>27.638733325656158</v>
      </c>
      <c r="AI195" s="109">
        <v>25.027626129330592</v>
      </c>
      <c r="AJ195" s="109">
        <v>22.523779566237387</v>
      </c>
      <c r="AK195" s="109">
        <v>20.102994061170214</v>
      </c>
      <c r="AL195" s="109">
        <v>17.754885138346513</v>
      </c>
      <c r="AM195" s="109">
        <v>15.462697909248652</v>
      </c>
      <c r="AN195" s="109">
        <v>13.12620029196424</v>
      </c>
      <c r="AO195" s="109">
        <v>11.635598007525273</v>
      </c>
      <c r="AP195" s="109">
        <v>10.155264767356858</v>
      </c>
      <c r="AQ195" s="109">
        <v>8.6661328449936903</v>
      </c>
      <c r="AR195" s="109">
        <v>7.1834275283249198</v>
      </c>
      <c r="AS195" s="109">
        <v>5.8429093567972918</v>
      </c>
      <c r="AT195" s="109">
        <v>4.6188484963792877</v>
      </c>
      <c r="AU195" s="109">
        <v>3.5271233105154374</v>
      </c>
      <c r="AV195" s="109">
        <v>2.5422440559057153</v>
      </c>
      <c r="AW195" s="109">
        <v>1.4678631169604506</v>
      </c>
      <c r="AX195" s="109">
        <v>0</v>
      </c>
    </row>
    <row r="196" spans="2:50">
      <c r="B196" t="str">
        <f ca="1">OFFSET('Scenario names'!$C$3,2,0)</f>
        <v>Accelerated Green</v>
      </c>
      <c r="E196" t="s">
        <v>238</v>
      </c>
      <c r="G196" s="44" t="s">
        <v>1200</v>
      </c>
      <c r="I196" s="45" t="s">
        <v>1219</v>
      </c>
      <c r="K196" s="44" t="s">
        <v>1202</v>
      </c>
      <c r="M196" s="44" t="str">
        <f t="shared" ca="1" si="41"/>
        <v>Motorcycles - ElectricGWh/yearAccelerated Green</v>
      </c>
      <c r="O196" s="109">
        <v>0</v>
      </c>
      <c r="P196" s="109">
        <v>0</v>
      </c>
      <c r="Q196" s="109">
        <v>0</v>
      </c>
      <c r="R196" s="109">
        <v>0.59060752466735833</v>
      </c>
      <c r="S196" s="109">
        <v>1.4976840508074145</v>
      </c>
      <c r="T196" s="109">
        <v>2.3427895196463733</v>
      </c>
      <c r="U196" s="109">
        <v>3.1582182549262838</v>
      </c>
      <c r="V196" s="109">
        <v>3.9245171077715795</v>
      </c>
      <c r="W196" s="109">
        <v>4.656922940302449</v>
      </c>
      <c r="X196" s="109">
        <v>5.3418487777959189</v>
      </c>
      <c r="Y196" s="109">
        <v>6.7696066380306483</v>
      </c>
      <c r="Z196" s="109">
        <v>8.1588957723525244</v>
      </c>
      <c r="AA196" s="109">
        <v>9.502706949953021</v>
      </c>
      <c r="AB196" s="109">
        <v>10.769745276735382</v>
      </c>
      <c r="AC196" s="109">
        <v>11.959792515880157</v>
      </c>
      <c r="AD196" s="109">
        <v>13.5122326026876</v>
      </c>
      <c r="AE196" s="109">
        <v>15.00492066549749</v>
      </c>
      <c r="AF196" s="109">
        <v>16.433944633281627</v>
      </c>
      <c r="AG196" s="109">
        <v>17.79162839139541</v>
      </c>
      <c r="AH196" s="109">
        <v>19.090864845576892</v>
      </c>
      <c r="AI196" s="109">
        <v>20.323994522917342</v>
      </c>
      <c r="AJ196" s="109">
        <v>21.468227773076666</v>
      </c>
      <c r="AK196" s="109">
        <v>22.542665742035176</v>
      </c>
      <c r="AL196" s="109">
        <v>23.55571447256138</v>
      </c>
      <c r="AM196" s="109">
        <v>24.520519324403676</v>
      </c>
      <c r="AN196" s="109">
        <v>25.513147907869346</v>
      </c>
      <c r="AO196" s="109">
        <v>26.503018671720152</v>
      </c>
      <c r="AP196" s="109">
        <v>27.479323429423985</v>
      </c>
      <c r="AQ196" s="109">
        <v>28.456411728722209</v>
      </c>
      <c r="AR196" s="109">
        <v>29.422853593443776</v>
      </c>
      <c r="AS196" s="109">
        <v>30.277542125267587</v>
      </c>
      <c r="AT196" s="109">
        <v>31.040480423640886</v>
      </c>
      <c r="AU196" s="109">
        <v>31.700630868290592</v>
      </c>
      <c r="AV196" s="109">
        <v>32.277650745821944</v>
      </c>
      <c r="AW196" s="109">
        <v>32.916860354237514</v>
      </c>
      <c r="AX196" s="109">
        <v>33.925524951685247</v>
      </c>
    </row>
    <row r="197" spans="2:50">
      <c r="C197" t="s">
        <v>1223</v>
      </c>
    </row>
    <row r="198" spans="2:50">
      <c r="B198" t="str">
        <f ca="1">OFFSET('Scenario names'!$C$3,2,0)</f>
        <v>Accelerated Green</v>
      </c>
      <c r="E198" s="38" t="s">
        <v>233</v>
      </c>
      <c r="F198" s="38"/>
      <c r="G198" s="44" t="s">
        <v>213</v>
      </c>
      <c r="I198" s="45" t="s">
        <v>1197</v>
      </c>
      <c r="J198" s="38"/>
      <c r="K198" s="38" t="s">
        <v>1224</v>
      </c>
      <c r="L198" s="38"/>
      <c r="M198" s="44" t="str">
        <f ca="1">I198&amp;K198&amp;$B198</f>
        <v>Cars - Dieselthousand kmAccelerated Green</v>
      </c>
      <c r="O198" s="318">
        <v>8811255.731990803</v>
      </c>
      <c r="P198" s="318">
        <v>9212140.5638061743</v>
      </c>
      <c r="Q198" s="318">
        <v>9407357.2005250063</v>
      </c>
      <c r="R198" s="318">
        <v>9333321.8943427205</v>
      </c>
      <c r="S198" s="318">
        <v>8880482.3618594855</v>
      </c>
      <c r="T198" s="318">
        <v>8658330.0074153151</v>
      </c>
      <c r="U198" s="318">
        <v>8330418.5064643351</v>
      </c>
      <c r="V198" s="318">
        <v>7687322.5798368854</v>
      </c>
      <c r="W198" s="318">
        <v>6974726.1308151586</v>
      </c>
      <c r="X198" s="318">
        <v>6255198.1171287661</v>
      </c>
      <c r="Y198" s="318">
        <v>5486784.7841279022</v>
      </c>
      <c r="Z198" s="318">
        <v>4768232.5851344494</v>
      </c>
      <c r="AA198" s="318">
        <v>4059648.5895430329</v>
      </c>
      <c r="AB198" s="318">
        <v>3391278.1166405217</v>
      </c>
      <c r="AC198" s="318">
        <v>2783717.5402188418</v>
      </c>
      <c r="AD198" s="318">
        <v>2244223.4758140943</v>
      </c>
      <c r="AE198" s="318">
        <v>1835484.328528889</v>
      </c>
      <c r="AF198" s="318">
        <v>1483095.8220736887</v>
      </c>
      <c r="AG198" s="318">
        <v>1171615.6465406232</v>
      </c>
      <c r="AH198" s="318">
        <v>911520.28964712773</v>
      </c>
      <c r="AI198" s="318">
        <v>697406.24748519401</v>
      </c>
      <c r="AJ198" s="318">
        <v>524344.96376610768</v>
      </c>
      <c r="AK198" s="318">
        <v>386691.19435937906</v>
      </c>
      <c r="AL198" s="318">
        <v>281805.81104950624</v>
      </c>
      <c r="AM198" s="318">
        <v>201414.87418829912</v>
      </c>
      <c r="AN198" s="318">
        <v>141649.9019770647</v>
      </c>
      <c r="AO198" s="318">
        <v>99227.176900702339</v>
      </c>
      <c r="AP198" s="318">
        <v>68187.126219003199</v>
      </c>
      <c r="AQ198" s="318">
        <v>46448.512186916676</v>
      </c>
      <c r="AR198" s="318">
        <v>31097.262736811543</v>
      </c>
      <c r="AS198" s="318">
        <v>20940.922260572876</v>
      </c>
      <c r="AT198" s="318">
        <v>13756.901544272994</v>
      </c>
      <c r="AU198" s="318">
        <v>9077.5123102538364</v>
      </c>
      <c r="AV198" s="318">
        <v>6082.9652978879185</v>
      </c>
      <c r="AW198" s="318">
        <v>3920.4976028903093</v>
      </c>
      <c r="AX198" s="318">
        <v>2634.3895297580275</v>
      </c>
    </row>
    <row r="199" spans="2:50">
      <c r="B199" t="str">
        <f ca="1">OFFSET('Scenario names'!$C$3,2,0)</f>
        <v>Accelerated Green</v>
      </c>
      <c r="E199" s="78" t="s">
        <v>233</v>
      </c>
      <c r="G199" s="44" t="s">
        <v>212</v>
      </c>
      <c r="I199" s="45" t="s">
        <v>1199</v>
      </c>
      <c r="K199" s="38" t="s">
        <v>1224</v>
      </c>
      <c r="M199" s="44" t="str">
        <f t="shared" ref="M199:M216" ca="1" si="42">I199&amp;K199&amp;$B199</f>
        <v>Cars - Petrolthousand kmAccelerated Green</v>
      </c>
      <c r="O199" s="318">
        <v>12684155.491909495</v>
      </c>
      <c r="P199" s="318">
        <v>12489285.738148466</v>
      </c>
      <c r="Q199" s="318">
        <v>12289178.575288735</v>
      </c>
      <c r="R199" s="318">
        <v>12316497.002572337</v>
      </c>
      <c r="S199" s="318">
        <v>12581299.678075671</v>
      </c>
      <c r="T199" s="318">
        <v>12570614.877329549</v>
      </c>
      <c r="U199" s="318">
        <v>12086625.961637588</v>
      </c>
      <c r="V199" s="318">
        <v>11522046.565932494</v>
      </c>
      <c r="W199" s="318">
        <v>10832800.667285245</v>
      </c>
      <c r="X199" s="318">
        <v>10162284.024087742</v>
      </c>
      <c r="Y199" s="318">
        <v>9358610.1183382608</v>
      </c>
      <c r="Z199" s="318">
        <v>8560992.7974396888</v>
      </c>
      <c r="AA199" s="318">
        <v>7705091.9608847266</v>
      </c>
      <c r="AB199" s="318">
        <v>6856035.5532572037</v>
      </c>
      <c r="AC199" s="318">
        <v>6013260.8174022306</v>
      </c>
      <c r="AD199" s="318">
        <v>5180116.626874093</v>
      </c>
      <c r="AE199" s="318">
        <v>4556092.8091977378</v>
      </c>
      <c r="AF199" s="318">
        <v>3981596.154334533</v>
      </c>
      <c r="AG199" s="318">
        <v>3425547.7641802924</v>
      </c>
      <c r="AH199" s="318">
        <v>2920020.0231792131</v>
      </c>
      <c r="AI199" s="318">
        <v>2427282.5558230076</v>
      </c>
      <c r="AJ199" s="318">
        <v>1990595.6412584924</v>
      </c>
      <c r="AK199" s="318">
        <v>1607952.2281480352</v>
      </c>
      <c r="AL199" s="318">
        <v>1291469.7654141923</v>
      </c>
      <c r="AM199" s="318">
        <v>1020028.4396133573</v>
      </c>
      <c r="AN199" s="318">
        <v>799572.03492465476</v>
      </c>
      <c r="AO199" s="318">
        <v>624628.79838885169</v>
      </c>
      <c r="AP199" s="318">
        <v>482150.32767819864</v>
      </c>
      <c r="AQ199" s="318">
        <v>368294.47572207934</v>
      </c>
      <c r="AR199" s="318">
        <v>279534.57271090051</v>
      </c>
      <c r="AS199" s="318">
        <v>208383.5447807211</v>
      </c>
      <c r="AT199" s="318">
        <v>153174.50063201465</v>
      </c>
      <c r="AU199" s="318">
        <v>111005.00767967549</v>
      </c>
      <c r="AV199" s="318">
        <v>78426.802590626394</v>
      </c>
      <c r="AW199" s="318">
        <v>54799.844271511218</v>
      </c>
      <c r="AX199" s="318">
        <v>37803.489752027694</v>
      </c>
    </row>
    <row r="200" spans="2:50">
      <c r="B200" t="str">
        <f ca="1">OFFSET('Scenario names'!$C$3,2,0)</f>
        <v>Accelerated Green</v>
      </c>
      <c r="E200" t="s">
        <v>233</v>
      </c>
      <c r="G200" s="44" t="s">
        <v>1200</v>
      </c>
      <c r="I200" s="45" t="s">
        <v>1201</v>
      </c>
      <c r="K200" s="38" t="s">
        <v>1224</v>
      </c>
      <c r="M200" s="44" t="str">
        <f t="shared" ca="1" si="42"/>
        <v>Cars - Electricthousand kmAccelerated Green</v>
      </c>
      <c r="O200" s="318">
        <v>23052.692471471757</v>
      </c>
      <c r="P200" s="318">
        <v>32599.599851047653</v>
      </c>
      <c r="Q200" s="318">
        <v>48374.462755353088</v>
      </c>
      <c r="R200" s="318">
        <v>87407.77058063334</v>
      </c>
      <c r="S200" s="318">
        <v>124670.88292959223</v>
      </c>
      <c r="T200" s="318">
        <v>186386.84605773547</v>
      </c>
      <c r="U200" s="318">
        <v>481611.39610472508</v>
      </c>
      <c r="V200" s="318">
        <v>1135409.9731595027</v>
      </c>
      <c r="W200" s="318">
        <v>1982661.4468777818</v>
      </c>
      <c r="X200" s="318">
        <v>2817481.8705017352</v>
      </c>
      <c r="Y200" s="318">
        <v>3832704.8562355577</v>
      </c>
      <c r="Z200" s="318">
        <v>4791545.3605534714</v>
      </c>
      <c r="AA200" s="318">
        <v>5798923.9212338608</v>
      </c>
      <c r="AB200" s="318">
        <v>6753994.5042537665</v>
      </c>
      <c r="AC200" s="318">
        <v>7642552.9412281122</v>
      </c>
      <c r="AD200" s="318">
        <v>8452194.4546110444</v>
      </c>
      <c r="AE200" s="318">
        <v>9445688.150525419</v>
      </c>
      <c r="AF200" s="318">
        <v>10332351.863109564</v>
      </c>
      <c r="AG200" s="318">
        <v>11157949.412670355</v>
      </c>
      <c r="AH200" s="318">
        <v>11875652.843340524</v>
      </c>
      <c r="AI200" s="318">
        <v>12529636.670686023</v>
      </c>
      <c r="AJ200" s="318">
        <v>13083045.252981959</v>
      </c>
      <c r="AK200" s="318">
        <v>13543426.848550428</v>
      </c>
      <c r="AL200" s="318">
        <v>13902069.507035527</v>
      </c>
      <c r="AM200" s="318">
        <v>14185958.815237302</v>
      </c>
      <c r="AN200" s="318">
        <v>14394046.421550559</v>
      </c>
      <c r="AO200" s="318">
        <v>14537869.984138301</v>
      </c>
      <c r="AP200" s="318">
        <v>14637713.549105955</v>
      </c>
      <c r="AQ200" s="318">
        <v>14697491.581705192</v>
      </c>
      <c r="AR200" s="318">
        <v>14727237.642253445</v>
      </c>
      <c r="AS200" s="318">
        <v>14731468.707976555</v>
      </c>
      <c r="AT200" s="318">
        <v>14716316.456034061</v>
      </c>
      <c r="AU200" s="318">
        <v>14683611.008070217</v>
      </c>
      <c r="AV200" s="318">
        <v>14640611.228213027</v>
      </c>
      <c r="AW200" s="318">
        <v>14585209.426610433</v>
      </c>
      <c r="AX200" s="318">
        <v>14521150.246455709</v>
      </c>
    </row>
    <row r="201" spans="2:50">
      <c r="B201" t="str">
        <f ca="1">OFFSET('Scenario names'!$C$3,2,0)</f>
        <v>Accelerated Green</v>
      </c>
      <c r="E201" s="78" t="s">
        <v>233</v>
      </c>
      <c r="G201" s="44" t="s">
        <v>1203</v>
      </c>
      <c r="I201" s="45" t="s">
        <v>1204</v>
      </c>
      <c r="K201" s="38" t="s">
        <v>1224</v>
      </c>
      <c r="M201" s="44" t="str">
        <f t="shared" ca="1" si="42"/>
        <v>Cars - H2thousand kmAccelerated Green</v>
      </c>
      <c r="O201" s="318">
        <v>0</v>
      </c>
      <c r="P201" s="318">
        <v>0</v>
      </c>
      <c r="Q201" s="318">
        <v>0</v>
      </c>
      <c r="R201" s="318">
        <v>0</v>
      </c>
      <c r="S201" s="318">
        <v>0</v>
      </c>
      <c r="T201" s="318">
        <v>0</v>
      </c>
      <c r="U201" s="318">
        <v>0</v>
      </c>
      <c r="V201" s="318">
        <v>0</v>
      </c>
      <c r="W201" s="318">
        <v>1194.30241966013</v>
      </c>
      <c r="X201" s="318">
        <v>2872.5193410767661</v>
      </c>
      <c r="Y201" s="318">
        <v>5509.9264753242633</v>
      </c>
      <c r="Z201" s="318">
        <v>8496.6835240172841</v>
      </c>
      <c r="AA201" s="318">
        <v>11190.611323135787</v>
      </c>
      <c r="AB201" s="318">
        <v>18552.918000624795</v>
      </c>
      <c r="AC201" s="318">
        <v>25293.748472457926</v>
      </c>
      <c r="AD201" s="318">
        <v>33214.507442048598</v>
      </c>
      <c r="AE201" s="318">
        <v>42159.335398995274</v>
      </c>
      <c r="AF201" s="318">
        <v>52053.928317874852</v>
      </c>
      <c r="AG201" s="318">
        <v>64096.576122616912</v>
      </c>
      <c r="AH201" s="318">
        <v>81686.740039500772</v>
      </c>
      <c r="AI201" s="318">
        <v>104224.91890461386</v>
      </c>
      <c r="AJ201" s="318">
        <v>130235.03158476375</v>
      </c>
      <c r="AK201" s="318">
        <v>159821.11522595931</v>
      </c>
      <c r="AL201" s="318">
        <v>192216.79947705127</v>
      </c>
      <c r="AM201" s="318">
        <v>229830.25062980194</v>
      </c>
      <c r="AN201" s="318">
        <v>271634.51790895936</v>
      </c>
      <c r="AO201" s="318">
        <v>314847.41362585721</v>
      </c>
      <c r="AP201" s="318">
        <v>358192.86674303532</v>
      </c>
      <c r="AQ201" s="318">
        <v>403679.79682447581</v>
      </c>
      <c r="AR201" s="318">
        <v>447715.38542998541</v>
      </c>
      <c r="AS201" s="318">
        <v>494462.1848057718</v>
      </c>
      <c r="AT201" s="318">
        <v>541677.99830574915</v>
      </c>
      <c r="AU201" s="318">
        <v>590902.82514842832</v>
      </c>
      <c r="AV201" s="318">
        <v>639145.85379950923</v>
      </c>
      <c r="AW201" s="318">
        <v>690007.5781086944</v>
      </c>
      <c r="AX201" s="318">
        <v>742019.71754851099</v>
      </c>
    </row>
    <row r="202" spans="2:50">
      <c r="B202" t="str">
        <f ca="1">OFFSET('Scenario names'!$C$3,2,0)</f>
        <v>Accelerated Green</v>
      </c>
      <c r="E202" s="78" t="s">
        <v>234</v>
      </c>
      <c r="G202" s="44" t="s">
        <v>213</v>
      </c>
      <c r="I202" s="45" t="s">
        <v>1205</v>
      </c>
      <c r="K202" s="38" t="s">
        <v>1224</v>
      </c>
      <c r="M202" s="44" t="str">
        <f t="shared" ca="1" si="42"/>
        <v>LGVs - Dieselthousand kmAccelerated Green</v>
      </c>
      <c r="O202" s="318">
        <v>4097794.8214611099</v>
      </c>
      <c r="P202" s="318">
        <v>4137693.6257750238</v>
      </c>
      <c r="Q202" s="318">
        <v>4130449.4677480236</v>
      </c>
      <c r="R202" s="318">
        <v>4120141.5290354374</v>
      </c>
      <c r="S202" s="318">
        <v>4166910.9502941058</v>
      </c>
      <c r="T202" s="318">
        <v>3644078.1912734257</v>
      </c>
      <c r="U202" s="318">
        <v>3637177.414524083</v>
      </c>
      <c r="V202" s="318">
        <v>3622858.8808595482</v>
      </c>
      <c r="W202" s="318">
        <v>3594695.7129754769</v>
      </c>
      <c r="X202" s="318">
        <v>3564617.2872326695</v>
      </c>
      <c r="Y202" s="318">
        <v>3511097.0216731797</v>
      </c>
      <c r="Z202" s="318">
        <v>3410924.638705234</v>
      </c>
      <c r="AA202" s="318">
        <v>3175750.7438063724</v>
      </c>
      <c r="AB202" s="318">
        <v>2935544.6583943423</v>
      </c>
      <c r="AC202" s="318">
        <v>2675159.121395201</v>
      </c>
      <c r="AD202" s="318">
        <v>2321798.4821388628</v>
      </c>
      <c r="AE202" s="318">
        <v>2014220.4262507278</v>
      </c>
      <c r="AF202" s="318">
        <v>1722211.6835338725</v>
      </c>
      <c r="AG202" s="318">
        <v>1451257.7724481295</v>
      </c>
      <c r="AH202" s="318">
        <v>1227342.2907376199</v>
      </c>
      <c r="AI202" s="318">
        <v>1021077.9335994634</v>
      </c>
      <c r="AJ202" s="318">
        <v>833127.76487360953</v>
      </c>
      <c r="AK202" s="318">
        <v>664915.29111459455</v>
      </c>
      <c r="AL202" s="318">
        <v>517774.92044431373</v>
      </c>
      <c r="AM202" s="318">
        <v>392556.51626302808</v>
      </c>
      <c r="AN202" s="318">
        <v>289321.21693296835</v>
      </c>
      <c r="AO202" s="318">
        <v>207085.06994274425</v>
      </c>
      <c r="AP202" s="318">
        <v>143945.55535963384</v>
      </c>
      <c r="AQ202" s="318">
        <v>97257.762231948713</v>
      </c>
      <c r="AR202" s="318">
        <v>64002.501073092928</v>
      </c>
      <c r="AS202" s="318">
        <v>41135.323875832451</v>
      </c>
      <c r="AT202" s="318">
        <v>25911.900353472465</v>
      </c>
      <c r="AU202" s="318">
        <v>16056.452177991923</v>
      </c>
      <c r="AV202" s="318">
        <v>9816.8129552231621</v>
      </c>
      <c r="AW202" s="318">
        <v>5939.0387839543564</v>
      </c>
      <c r="AX202" s="318">
        <v>3564.2834856925151</v>
      </c>
    </row>
    <row r="203" spans="2:50">
      <c r="B203" t="str">
        <f ca="1">OFFSET('Scenario names'!$C$3,2,0)</f>
        <v>Accelerated Green</v>
      </c>
      <c r="E203" t="s">
        <v>234</v>
      </c>
      <c r="G203" s="44" t="s">
        <v>212</v>
      </c>
      <c r="I203" s="45" t="s">
        <v>1206</v>
      </c>
      <c r="K203" s="38" t="s">
        <v>1224</v>
      </c>
      <c r="M203" s="44" t="str">
        <f t="shared" ca="1" si="42"/>
        <v>LGVs - Petrolthousand kmAccelerated Green</v>
      </c>
      <c r="O203" s="318">
        <v>61815.142478798654</v>
      </c>
      <c r="P203" s="318">
        <v>47636.453273599152</v>
      </c>
      <c r="Q203" s="318">
        <v>36294.734765976376</v>
      </c>
      <c r="R203" s="318">
        <v>27276.629957861656</v>
      </c>
      <c r="S203" s="318">
        <v>20465.064755414511</v>
      </c>
      <c r="T203" s="318">
        <v>12961.178881482645</v>
      </c>
      <c r="U203" s="318">
        <v>9355.3405265209203</v>
      </c>
      <c r="V203" s="318">
        <v>6562.3908827798296</v>
      </c>
      <c r="W203" s="318">
        <v>4482.7146591826595</v>
      </c>
      <c r="X203" s="318">
        <v>3002.076792560365</v>
      </c>
      <c r="Y203" s="318">
        <v>2309.85032227994</v>
      </c>
      <c r="Z203" s="318">
        <v>3454.2530993875066</v>
      </c>
      <c r="AA203" s="318">
        <v>8240.5721327796982</v>
      </c>
      <c r="AB203" s="318">
        <v>20497.930641991021</v>
      </c>
      <c r="AC203" s="318">
        <v>33677.28046220824</v>
      </c>
      <c r="AD203" s="318">
        <v>40930.905812003257</v>
      </c>
      <c r="AE203" s="318">
        <v>46491.160040072296</v>
      </c>
      <c r="AF203" s="318">
        <v>50419.193792209444</v>
      </c>
      <c r="AG203" s="318">
        <v>53365.548363099959</v>
      </c>
      <c r="AH203" s="318">
        <v>56034.857962810122</v>
      </c>
      <c r="AI203" s="318">
        <v>53255.165736989868</v>
      </c>
      <c r="AJ203" s="318">
        <v>50071.319208326495</v>
      </c>
      <c r="AK203" s="318">
        <v>46434.479338281235</v>
      </c>
      <c r="AL203" s="318">
        <v>42278.023664418884</v>
      </c>
      <c r="AM203" s="318">
        <v>38400.223426379438</v>
      </c>
      <c r="AN203" s="318">
        <v>34013.590471543052</v>
      </c>
      <c r="AO203" s="318">
        <v>29310.033135230336</v>
      </c>
      <c r="AP203" s="318">
        <v>24525.282255799673</v>
      </c>
      <c r="AQ203" s="318">
        <v>19899.020603603145</v>
      </c>
      <c r="AR203" s="318">
        <v>15638.614342316327</v>
      </c>
      <c r="AS203" s="318">
        <v>11893.558096513789</v>
      </c>
      <c r="AT203" s="318">
        <v>8748.8091796701137</v>
      </c>
      <c r="AU203" s="318">
        <v>6223.753982766435</v>
      </c>
      <c r="AV203" s="318">
        <v>4286.1596721820824</v>
      </c>
      <c r="AW203" s="318">
        <v>2865.1675174651814</v>
      </c>
      <c r="AX203" s="318">
        <v>1862.8749109559199</v>
      </c>
    </row>
    <row r="204" spans="2:50">
      <c r="B204" t="str">
        <f ca="1">OFFSET('Scenario names'!$C$3,2,0)</f>
        <v>Accelerated Green</v>
      </c>
      <c r="E204" t="s">
        <v>234</v>
      </c>
      <c r="G204" s="44" t="s">
        <v>1200</v>
      </c>
      <c r="I204" s="45" t="s">
        <v>1207</v>
      </c>
      <c r="K204" s="38" t="s">
        <v>1224</v>
      </c>
      <c r="M204" s="44" t="str">
        <f t="shared" ca="1" si="42"/>
        <v>LGVs - Electricthousand kmAccelerated Green</v>
      </c>
      <c r="O204" s="318">
        <v>2933.0766855798147</v>
      </c>
      <c r="P204" s="318">
        <v>18775.366082986431</v>
      </c>
      <c r="Q204" s="318">
        <v>39657.753668026926</v>
      </c>
      <c r="R204" s="318">
        <v>58988.114285957774</v>
      </c>
      <c r="S204" s="318">
        <v>80390.226177005825</v>
      </c>
      <c r="T204" s="318">
        <v>76534.208942451311</v>
      </c>
      <c r="U204" s="318">
        <v>87040.824046756257</v>
      </c>
      <c r="V204" s="318">
        <v>107989.59131132743</v>
      </c>
      <c r="W204" s="318">
        <v>142069.71937528983</v>
      </c>
      <c r="X204" s="318">
        <v>177466.06694101408</v>
      </c>
      <c r="Y204" s="318">
        <v>235490.07772549146</v>
      </c>
      <c r="Z204" s="318">
        <v>337878.68587502168</v>
      </c>
      <c r="AA204" s="318">
        <v>564966.58293338248</v>
      </c>
      <c r="AB204" s="318">
        <v>795348.39416016033</v>
      </c>
      <c r="AC204" s="318">
        <v>1044588.2942269295</v>
      </c>
      <c r="AD204" s="318">
        <v>1367963.3145039484</v>
      </c>
      <c r="AE204" s="318">
        <v>1647527.6389334989</v>
      </c>
      <c r="AF204" s="318">
        <v>1901963.802679226</v>
      </c>
      <c r="AG204" s="318">
        <v>2126561.4907903909</v>
      </c>
      <c r="AH204" s="318">
        <v>2305007.7916011866</v>
      </c>
      <c r="AI204" s="318">
        <v>2457037.5405422333</v>
      </c>
      <c r="AJ204" s="318">
        <v>2583651.1274458882</v>
      </c>
      <c r="AK204" s="318">
        <v>2684868.8213265664</v>
      </c>
      <c r="AL204" s="318">
        <v>2760672.7949180757</v>
      </c>
      <c r="AM204" s="318">
        <v>2811481.1550733517</v>
      </c>
      <c r="AN204" s="318">
        <v>2837241.7210341129</v>
      </c>
      <c r="AO204" s="318">
        <v>2842620.5926219565</v>
      </c>
      <c r="AP204" s="318">
        <v>2831007.5551463692</v>
      </c>
      <c r="AQ204" s="318">
        <v>2806042.753644336</v>
      </c>
      <c r="AR204" s="318">
        <v>2771240.0168240853</v>
      </c>
      <c r="AS204" s="318">
        <v>2729563.8533677892</v>
      </c>
      <c r="AT204" s="318">
        <v>2684139.2082973304</v>
      </c>
      <c r="AU204" s="318">
        <v>2637508.2429677704</v>
      </c>
      <c r="AV204" s="318">
        <v>2591745.5487189787</v>
      </c>
      <c r="AW204" s="318">
        <v>2547902.6055589598</v>
      </c>
      <c r="AX204" s="318">
        <v>2506435.0662246351</v>
      </c>
    </row>
    <row r="205" spans="2:50">
      <c r="B205" t="str">
        <f ca="1">OFFSET('Scenario names'!$C$3,2,0)</f>
        <v>Accelerated Green</v>
      </c>
      <c r="E205" t="s">
        <v>234</v>
      </c>
      <c r="G205" s="44" t="s">
        <v>1203</v>
      </c>
      <c r="I205" s="45" t="s">
        <v>1208</v>
      </c>
      <c r="K205" s="38" t="s">
        <v>1224</v>
      </c>
      <c r="M205" s="44" t="str">
        <f t="shared" ca="1" si="42"/>
        <v>LGVs - H2thousand kmAccelerated Green</v>
      </c>
      <c r="O205" s="318">
        <v>0</v>
      </c>
      <c r="P205" s="318">
        <v>0</v>
      </c>
      <c r="Q205" s="318">
        <v>0</v>
      </c>
      <c r="R205" s="318">
        <v>0</v>
      </c>
      <c r="S205" s="318">
        <v>0</v>
      </c>
      <c r="T205" s="318">
        <v>0</v>
      </c>
      <c r="U205" s="318">
        <v>0</v>
      </c>
      <c r="V205" s="318">
        <v>0</v>
      </c>
      <c r="W205" s="318">
        <v>0</v>
      </c>
      <c r="X205" s="318">
        <v>0</v>
      </c>
      <c r="Y205" s="318">
        <v>25.765201587060119</v>
      </c>
      <c r="Z205" s="318">
        <v>502.42119918987851</v>
      </c>
      <c r="AA205" s="318">
        <v>7639.3839625925393</v>
      </c>
      <c r="AB205" s="318">
        <v>9043.5835949287884</v>
      </c>
      <c r="AC205" s="318">
        <v>10847.154663377494</v>
      </c>
      <c r="AD205" s="318">
        <v>37416.432249195735</v>
      </c>
      <c r="AE205" s="318">
        <v>68923.825409022582</v>
      </c>
      <c r="AF205" s="318">
        <v>111622.28655732525</v>
      </c>
      <c r="AG205" s="318">
        <v>164086.07089032346</v>
      </c>
      <c r="AH205" s="318">
        <v>215939.85811963782</v>
      </c>
      <c r="AI205" s="318">
        <v>282008.07447187987</v>
      </c>
      <c r="AJ205" s="318">
        <v>355582.4187520527</v>
      </c>
      <c r="AK205" s="318">
        <v>435267.95442974626</v>
      </c>
      <c r="AL205" s="318">
        <v>519814.7231116913</v>
      </c>
      <c r="AM205" s="318">
        <v>607156.48330504948</v>
      </c>
      <c r="AN205" s="318">
        <v>698071.76555849588</v>
      </c>
      <c r="AO205" s="318">
        <v>788686.51422650018</v>
      </c>
      <c r="AP205" s="318">
        <v>877277.73309394042</v>
      </c>
      <c r="AQ205" s="318">
        <v>962610.50530516566</v>
      </c>
      <c r="AR205" s="318">
        <v>1043982.8254748711</v>
      </c>
      <c r="AS205" s="318">
        <v>1121325.1383035409</v>
      </c>
      <c r="AT205" s="318">
        <v>1194171.8717425142</v>
      </c>
      <c r="AU205" s="318">
        <v>1262237.2563737691</v>
      </c>
      <c r="AV205" s="318">
        <v>1325231.1000852245</v>
      </c>
      <c r="AW205" s="318">
        <v>1383426.7255005406</v>
      </c>
      <c r="AX205" s="318">
        <v>1437325.2286689489</v>
      </c>
    </row>
    <row r="206" spans="2:50">
      <c r="B206" t="str">
        <f ca="1">OFFSET('Scenario names'!$C$3,2,0)</f>
        <v>Accelerated Green</v>
      </c>
      <c r="E206" t="s">
        <v>235</v>
      </c>
      <c r="G206" s="44" t="s">
        <v>213</v>
      </c>
      <c r="I206" s="45" t="s">
        <v>1209</v>
      </c>
      <c r="K206" s="38" t="s">
        <v>1224</v>
      </c>
      <c r="M206" s="44" t="str">
        <f t="shared" ca="1" si="42"/>
        <v>HGVs - Dieselthousand kmAccelerated Green</v>
      </c>
      <c r="O206" s="318">
        <v>1449179.4014922138</v>
      </c>
      <c r="P206" s="318">
        <v>1462452.329429188</v>
      </c>
      <c r="Q206" s="318">
        <v>1462053.6228461098</v>
      </c>
      <c r="R206" s="318">
        <v>1457679.72621977</v>
      </c>
      <c r="S206" s="318">
        <v>1460377.3805134394</v>
      </c>
      <c r="T206" s="318">
        <v>1464450.2810060866</v>
      </c>
      <c r="U206" s="318">
        <v>1462193.4294106478</v>
      </c>
      <c r="V206" s="318">
        <v>1459936.5778152088</v>
      </c>
      <c r="W206" s="318">
        <v>1457679.72621977</v>
      </c>
      <c r="X206" s="318">
        <v>1455422.8746243312</v>
      </c>
      <c r="Y206" s="318">
        <v>1453166.023028892</v>
      </c>
      <c r="Z206" s="318">
        <v>1412130.4025335319</v>
      </c>
      <c r="AA206" s="318">
        <v>1371094.7820381718</v>
      </c>
      <c r="AB206" s="318">
        <v>1330059.1615428117</v>
      </c>
      <c r="AC206" s="318">
        <v>1289023.5410474516</v>
      </c>
      <c r="AD206" s="318">
        <v>1247987.920552091</v>
      </c>
      <c r="AE206" s="318">
        <v>1148131.7995858062</v>
      </c>
      <c r="AF206" s="318">
        <v>1048275.6786195216</v>
      </c>
      <c r="AG206" s="318">
        <v>948419.5576532369</v>
      </c>
      <c r="AH206" s="318">
        <v>848563.43668695225</v>
      </c>
      <c r="AI206" s="318">
        <v>748707.31572066725</v>
      </c>
      <c r="AJ206" s="318">
        <v>655355.5224772552</v>
      </c>
      <c r="AK206" s="318">
        <v>562003.72923384293</v>
      </c>
      <c r="AL206" s="318">
        <v>468651.93599043076</v>
      </c>
      <c r="AM206" s="318">
        <v>375300.1427470186</v>
      </c>
      <c r="AN206" s="318">
        <v>281948.34950360638</v>
      </c>
      <c r="AO206" s="318">
        <v>238211.24585448849</v>
      </c>
      <c r="AP206" s="318">
        <v>194474.14220537056</v>
      </c>
      <c r="AQ206" s="318">
        <v>150737.03855625269</v>
      </c>
      <c r="AR206" s="318">
        <v>106999.9349071348</v>
      </c>
      <c r="AS206" s="318">
        <v>63262.831258016988</v>
      </c>
      <c r="AT206" s="318">
        <v>51653.327129784113</v>
      </c>
      <c r="AU206" s="318">
        <v>40043.823001551238</v>
      </c>
      <c r="AV206" s="318">
        <v>28434.318873318374</v>
      </c>
      <c r="AW206" s="318">
        <v>16824.814745085499</v>
      </c>
      <c r="AX206" s="318">
        <v>5215.3106168526219</v>
      </c>
    </row>
    <row r="207" spans="2:50">
      <c r="B207" t="str">
        <f ca="1">OFFSET('Scenario names'!$C$3,2,0)</f>
        <v>Accelerated Green</v>
      </c>
      <c r="E207" t="s">
        <v>235</v>
      </c>
      <c r="G207" s="44" t="s">
        <v>1200</v>
      </c>
      <c r="I207" s="45" t="s">
        <v>1210</v>
      </c>
      <c r="K207" s="38" t="s">
        <v>1224</v>
      </c>
      <c r="M207" s="44" t="str">
        <f t="shared" ca="1" si="42"/>
        <v>HGVs - Electricthousand kmAccelerated Green</v>
      </c>
      <c r="O207" s="318">
        <v>0</v>
      </c>
      <c r="P207" s="318">
        <v>1196.9237615940137</v>
      </c>
      <c r="Q207" s="318">
        <v>2395.1551729037069</v>
      </c>
      <c r="R207" s="318">
        <v>6770.5547863166466</v>
      </c>
      <c r="S207" s="318">
        <v>4072.900492647253</v>
      </c>
      <c r="T207" s="318">
        <v>0</v>
      </c>
      <c r="U207" s="318">
        <v>2256.8515954388822</v>
      </c>
      <c r="V207" s="318">
        <v>4513.7031908777644</v>
      </c>
      <c r="W207" s="318">
        <v>6770.5547863166466</v>
      </c>
      <c r="X207" s="318">
        <v>9027.4063817555289</v>
      </c>
      <c r="Y207" s="318">
        <v>11284.257977194411</v>
      </c>
      <c r="Z207" s="318">
        <v>37279.768413815706</v>
      </c>
      <c r="AA207" s="318">
        <v>63275.278850436996</v>
      </c>
      <c r="AB207" s="318">
        <v>89270.789287058287</v>
      </c>
      <c r="AC207" s="318">
        <v>115266.29972367958</v>
      </c>
      <c r="AD207" s="318">
        <v>141261.81016030087</v>
      </c>
      <c r="AE207" s="318">
        <v>198292.07034690576</v>
      </c>
      <c r="AF207" s="318">
        <v>255322.33053351063</v>
      </c>
      <c r="AG207" s="318">
        <v>312352.59072011552</v>
      </c>
      <c r="AH207" s="318">
        <v>369382.85090672038</v>
      </c>
      <c r="AI207" s="318">
        <v>426413.11109332531</v>
      </c>
      <c r="AJ207" s="318">
        <v>482067.86213178129</v>
      </c>
      <c r="AK207" s="318">
        <v>537722.61317023716</v>
      </c>
      <c r="AL207" s="318">
        <v>593377.36420869315</v>
      </c>
      <c r="AM207" s="318">
        <v>649032.11524714902</v>
      </c>
      <c r="AN207" s="318">
        <v>704686.86628560512</v>
      </c>
      <c r="AO207" s="318">
        <v>744867.55876575259</v>
      </c>
      <c r="AP207" s="318">
        <v>785048.25124590006</v>
      </c>
      <c r="AQ207" s="318">
        <v>825228.94372604776</v>
      </c>
      <c r="AR207" s="318">
        <v>865409.63620619522</v>
      </c>
      <c r="AS207" s="318">
        <v>905590.32868634281</v>
      </c>
      <c r="AT207" s="318">
        <v>955972.36607267568</v>
      </c>
      <c r="AU207" s="318">
        <v>1006354.4034590086</v>
      </c>
      <c r="AV207" s="318">
        <v>1056736.4408453412</v>
      </c>
      <c r="AW207" s="318">
        <v>1107118.4782316741</v>
      </c>
      <c r="AX207" s="318">
        <v>1157500.5156180067</v>
      </c>
    </row>
    <row r="208" spans="2:50">
      <c r="B208" t="str">
        <f ca="1">OFFSET('Scenario names'!$C$3,2,0)</f>
        <v>Accelerated Green</v>
      </c>
      <c r="E208" t="s">
        <v>235</v>
      </c>
      <c r="G208" s="44" t="s">
        <v>1203</v>
      </c>
      <c r="I208" s="45" t="s">
        <v>1211</v>
      </c>
      <c r="K208" s="38" t="s">
        <v>1224</v>
      </c>
      <c r="M208" s="44" t="str">
        <f t="shared" ca="1" si="42"/>
        <v>HGVs - H2thousand kmAccelerated Green</v>
      </c>
      <c r="O208" s="318">
        <v>0</v>
      </c>
      <c r="P208" s="318">
        <v>0</v>
      </c>
      <c r="Q208" s="318">
        <v>0</v>
      </c>
      <c r="R208" s="318">
        <v>0</v>
      </c>
      <c r="S208" s="318">
        <v>0</v>
      </c>
      <c r="T208" s="318">
        <v>0</v>
      </c>
      <c r="U208" s="318">
        <v>0</v>
      </c>
      <c r="V208" s="318">
        <v>0</v>
      </c>
      <c r="W208" s="318">
        <v>0</v>
      </c>
      <c r="X208" s="318">
        <v>0</v>
      </c>
      <c r="Y208" s="318">
        <v>0</v>
      </c>
      <c r="Z208" s="318">
        <v>15040.110058738941</v>
      </c>
      <c r="AA208" s="318">
        <v>30080.220117477882</v>
      </c>
      <c r="AB208" s="318">
        <v>45120.330176216827</v>
      </c>
      <c r="AC208" s="318">
        <v>60160.440234955764</v>
      </c>
      <c r="AD208" s="318">
        <v>75200.550293694701</v>
      </c>
      <c r="AE208" s="318">
        <v>118026.41107337455</v>
      </c>
      <c r="AF208" s="318">
        <v>160852.27185305441</v>
      </c>
      <c r="AG208" s="318">
        <v>203678.13263273425</v>
      </c>
      <c r="AH208" s="318">
        <v>246503.9934124141</v>
      </c>
      <c r="AI208" s="318">
        <v>289329.85419209395</v>
      </c>
      <c r="AJ208" s="318">
        <v>327026.89639705018</v>
      </c>
      <c r="AK208" s="318">
        <v>364723.93860200641</v>
      </c>
      <c r="AL208" s="318">
        <v>402420.9808069627</v>
      </c>
      <c r="AM208" s="318">
        <v>440118.02301191899</v>
      </c>
      <c r="AN208" s="318">
        <v>477815.06521687517</v>
      </c>
      <c r="AO208" s="318">
        <v>481371.47638584545</v>
      </c>
      <c r="AP208" s="318">
        <v>484927.88755481574</v>
      </c>
      <c r="AQ208" s="318">
        <v>488484.29872378608</v>
      </c>
      <c r="AR208" s="318">
        <v>492040.70989275642</v>
      </c>
      <c r="AS208" s="318">
        <v>495597.12106172688</v>
      </c>
      <c r="AT208" s="318">
        <v>456824.5878036269</v>
      </c>
      <c r="AU208" s="318">
        <v>418052.05454552697</v>
      </c>
      <c r="AV208" s="318">
        <v>379279.52128742705</v>
      </c>
      <c r="AW208" s="318">
        <v>340506.98802932713</v>
      </c>
      <c r="AX208" s="318">
        <v>301734.45477122715</v>
      </c>
    </row>
    <row r="209" spans="2:50">
      <c r="B209" t="str">
        <f ca="1">OFFSET('Scenario names'!$C$3,2,0)</f>
        <v>Accelerated Green</v>
      </c>
      <c r="E209" t="s">
        <v>236</v>
      </c>
      <c r="G209" s="44" t="s">
        <v>213</v>
      </c>
      <c r="I209" s="45" t="s">
        <v>1212</v>
      </c>
      <c r="K209" s="38" t="s">
        <v>1224</v>
      </c>
      <c r="M209" s="44" t="str">
        <f t="shared" ca="1" si="42"/>
        <v>Buses - Dieselthousand kmAccelerated Green</v>
      </c>
      <c r="O209" s="318">
        <v>842320.29761065799</v>
      </c>
      <c r="P209" s="318">
        <v>850730.74684597692</v>
      </c>
      <c r="Q209" s="318">
        <v>851195.46225013561</v>
      </c>
      <c r="R209" s="318">
        <v>851196.33584557683</v>
      </c>
      <c r="S209" s="318">
        <v>851196.33584557683</v>
      </c>
      <c r="T209" s="318">
        <v>831895.79591656371</v>
      </c>
      <c r="U209" s="318">
        <v>820602.18518439867</v>
      </c>
      <c r="V209" s="318">
        <v>776665.20189307292</v>
      </c>
      <c r="W209" s="318">
        <v>722503.1548420738</v>
      </c>
      <c r="X209" s="318">
        <v>668325.33254325762</v>
      </c>
      <c r="Y209" s="318">
        <v>614131.73499662452</v>
      </c>
      <c r="Z209" s="318">
        <v>548709.09642011521</v>
      </c>
      <c r="AA209" s="318">
        <v>483179.21303191979</v>
      </c>
      <c r="AB209" s="318">
        <v>417542.08483203826</v>
      </c>
      <c r="AC209" s="318">
        <v>351797.71182047087</v>
      </c>
      <c r="AD209" s="318">
        <v>285946.09399721725</v>
      </c>
      <c r="AE209" s="318">
        <v>264282.11104009912</v>
      </c>
      <c r="AF209" s="318">
        <v>242555.99046391645</v>
      </c>
      <c r="AG209" s="318">
        <v>220767.73226866935</v>
      </c>
      <c r="AH209" s="318">
        <v>198917.33645435766</v>
      </c>
      <c r="AI209" s="318">
        <v>177004.80302098155</v>
      </c>
      <c r="AJ209" s="318">
        <v>157246.47654149064</v>
      </c>
      <c r="AK209" s="318">
        <v>137432.2096966914</v>
      </c>
      <c r="AL209" s="318">
        <v>117562.00248658392</v>
      </c>
      <c r="AM209" s="318">
        <v>97635.854911168106</v>
      </c>
      <c r="AN209" s="318">
        <v>77653.766970443932</v>
      </c>
      <c r="AO209" s="318">
        <v>66338.160428709321</v>
      </c>
      <c r="AP209" s="318">
        <v>55019.970936588383</v>
      </c>
      <c r="AQ209" s="318">
        <v>43699.198494081116</v>
      </c>
      <c r="AR209" s="318">
        <v>32375.843101187518</v>
      </c>
      <c r="AS209" s="318">
        <v>21049.9047579076</v>
      </c>
      <c r="AT209" s="318">
        <v>17553.021896916067</v>
      </c>
      <c r="AU209" s="318">
        <v>14055.341353821877</v>
      </c>
      <c r="AV209" s="318">
        <v>10556.863128625024</v>
      </c>
      <c r="AW209" s="318">
        <v>7057.5872213255225</v>
      </c>
      <c r="AX209" s="318">
        <v>3557.5136319233666</v>
      </c>
    </row>
    <row r="210" spans="2:50">
      <c r="B210" t="str">
        <f ca="1">OFFSET('Scenario names'!$C$3,2,0)</f>
        <v>Accelerated Green</v>
      </c>
      <c r="E210" t="s">
        <v>236</v>
      </c>
      <c r="G210" s="44" t="s">
        <v>1200</v>
      </c>
      <c r="I210" s="45" t="s">
        <v>1213</v>
      </c>
      <c r="K210" s="38" t="s">
        <v>1224</v>
      </c>
      <c r="M210" s="44" t="str">
        <f t="shared" ca="1" si="42"/>
        <v>Buses - Electricthousand kmAccelerated Green</v>
      </c>
      <c r="O210" s="318">
        <v>10651.7998257402</v>
      </c>
      <c r="P210" s="318">
        <v>10758.156542957258</v>
      </c>
      <c r="Q210" s="318">
        <v>10764.033233184336</v>
      </c>
      <c r="R210" s="318">
        <v>10764.044280482847</v>
      </c>
      <c r="S210" s="318">
        <v>10764.044280482849</v>
      </c>
      <c r="T210" s="318">
        <v>19858.559719792047</v>
      </c>
      <c r="U210" s="318">
        <v>31062.191912945094</v>
      </c>
      <c r="V210" s="318">
        <v>86253.094405243464</v>
      </c>
      <c r="W210" s="318">
        <v>141458.57915875388</v>
      </c>
      <c r="X210" s="318">
        <v>196678.64617347639</v>
      </c>
      <c r="Y210" s="318">
        <v>251913.29544941091</v>
      </c>
      <c r="Z210" s="318">
        <v>312966.06003943121</v>
      </c>
      <c r="AA210" s="318">
        <v>374084.36948925577</v>
      </c>
      <c r="AB210" s="318">
        <v>435268.2237988846</v>
      </c>
      <c r="AC210" s="318">
        <v>496517.62296831777</v>
      </c>
      <c r="AD210" s="318">
        <v>557832.56699755532</v>
      </c>
      <c r="AE210" s="318">
        <v>570572.7307558069</v>
      </c>
      <c r="AF210" s="318">
        <v>583348.56304471998</v>
      </c>
      <c r="AG210" s="318">
        <v>596160.06386429491</v>
      </c>
      <c r="AH210" s="318">
        <v>609007.23321453121</v>
      </c>
      <c r="AI210" s="318">
        <v>621890.07109542913</v>
      </c>
      <c r="AJ210" s="318">
        <v>633645.49475575762</v>
      </c>
      <c r="AK210" s="318">
        <v>645433.33478143159</v>
      </c>
      <c r="AL210" s="318">
        <v>641333.43012907403</v>
      </c>
      <c r="AM210" s="318">
        <v>637265.94184201059</v>
      </c>
      <c r="AN210" s="318">
        <v>633230.86992024165</v>
      </c>
      <c r="AO210" s="318">
        <v>623492.7576253342</v>
      </c>
      <c r="AP210" s="318">
        <v>613756.05081623036</v>
      </c>
      <c r="AQ210" s="318">
        <v>604020.74949293002</v>
      </c>
      <c r="AR210" s="318">
        <v>594286.85365543317</v>
      </c>
      <c r="AS210" s="318">
        <v>584554.36330373981</v>
      </c>
      <c r="AT210" s="318">
        <v>571403.07522836712</v>
      </c>
      <c r="AU210" s="318">
        <v>574172.57402668323</v>
      </c>
      <c r="AV210" s="318">
        <v>576942.69865525991</v>
      </c>
      <c r="AW210" s="318">
        <v>579713.44911409728</v>
      </c>
      <c r="AX210" s="318">
        <v>582484.82540319557</v>
      </c>
    </row>
    <row r="211" spans="2:50">
      <c r="B211" t="str">
        <f ca="1">OFFSET('Scenario names'!$C$3,2,0)</f>
        <v>Accelerated Green</v>
      </c>
      <c r="E211" t="s">
        <v>236</v>
      </c>
      <c r="G211" s="44" t="s">
        <v>1203</v>
      </c>
      <c r="I211" s="45" t="s">
        <v>1214</v>
      </c>
      <c r="K211" s="38" t="s">
        <v>1224</v>
      </c>
      <c r="M211" s="44" t="str">
        <f t="shared" ca="1" si="42"/>
        <v>Buses - H2thousand kmAccelerated Green</v>
      </c>
      <c r="O211" s="318">
        <v>0</v>
      </c>
      <c r="P211" s="318">
        <v>0</v>
      </c>
      <c r="Q211" s="318">
        <v>0</v>
      </c>
      <c r="R211" s="318">
        <v>0</v>
      </c>
      <c r="S211" s="318">
        <v>0</v>
      </c>
      <c r="T211" s="318">
        <v>0</v>
      </c>
      <c r="U211" s="318">
        <v>1223.9902541177048</v>
      </c>
      <c r="V211" s="318">
        <v>1312.7885790497742</v>
      </c>
      <c r="W211" s="318">
        <v>1402.1971895291028</v>
      </c>
      <c r="X211" s="318">
        <v>1492.2160855556906</v>
      </c>
      <c r="Y211" s="318">
        <v>1582.8452671295377</v>
      </c>
      <c r="Z211" s="318">
        <v>7383.4590722244684</v>
      </c>
      <c r="AA211" s="318">
        <v>13225.384080645064</v>
      </c>
      <c r="AB211" s="318">
        <v>19108.620292391326</v>
      </c>
      <c r="AC211" s="318">
        <v>25033.16770746325</v>
      </c>
      <c r="AD211" s="318">
        <v>30999.026325860847</v>
      </c>
      <c r="AE211" s="318">
        <v>40341.144664798376</v>
      </c>
      <c r="AF211" s="318">
        <v>49709.466172186825</v>
      </c>
      <c r="AG211" s="318">
        <v>59103.990848026231</v>
      </c>
      <c r="AH211" s="318">
        <v>68524.718692316528</v>
      </c>
      <c r="AI211" s="318">
        <v>77971.649705057789</v>
      </c>
      <c r="AJ211" s="318">
        <v>86765.284994454065</v>
      </c>
      <c r="AK211" s="318">
        <v>95583.223464767274</v>
      </c>
      <c r="AL211" s="318">
        <v>120345.62615937457</v>
      </c>
      <c r="AM211" s="318">
        <v>145132.33203494988</v>
      </c>
      <c r="AN211" s="318">
        <v>169943.34109149326</v>
      </c>
      <c r="AO211" s="318">
        <v>190916.50144866935</v>
      </c>
      <c r="AP211" s="318">
        <v>211890.81127815263</v>
      </c>
      <c r="AQ211" s="318">
        <v>232866.27057994303</v>
      </c>
      <c r="AR211" s="318">
        <v>253842.87935404057</v>
      </c>
      <c r="AS211" s="318">
        <v>274820.63760044519</v>
      </c>
      <c r="AT211" s="318">
        <v>291608.8203039873</v>
      </c>
      <c r="AU211" s="318">
        <v>292477.0361358645</v>
      </c>
      <c r="AV211" s="318">
        <v>293345.44613950473</v>
      </c>
      <c r="AW211" s="318">
        <v>294214.05031490815</v>
      </c>
      <c r="AX211" s="318">
        <v>295082.84866207477</v>
      </c>
    </row>
    <row r="212" spans="2:50">
      <c r="B212" t="str">
        <f ca="1">OFFSET('Scenario names'!$C$3,2,0)</f>
        <v>Accelerated Green</v>
      </c>
      <c r="E212" s="78" t="s">
        <v>237</v>
      </c>
      <c r="G212" s="44" t="s">
        <v>213</v>
      </c>
      <c r="I212" s="45" t="s">
        <v>1215</v>
      </c>
      <c r="K212" s="38" t="s">
        <v>1224</v>
      </c>
      <c r="M212" s="44" t="str">
        <f t="shared" ca="1" si="42"/>
        <v>Taxis - Dieselthousand kmAccelerated Green</v>
      </c>
      <c r="O212" s="318">
        <v>511741.53441442834</v>
      </c>
      <c r="P212" s="318">
        <v>488798.6388920641</v>
      </c>
      <c r="Q212" s="318">
        <v>460997.76097326365</v>
      </c>
      <c r="R212" s="318">
        <v>432930.31897554098</v>
      </c>
      <c r="S212" s="318">
        <v>377423.54604768974</v>
      </c>
      <c r="T212" s="318">
        <v>378052.60337395233</v>
      </c>
      <c r="U212" s="318">
        <v>341980.41787604854</v>
      </c>
      <c r="V212" s="318">
        <v>303969.41377802467</v>
      </c>
      <c r="W212" s="318">
        <v>264312.96774396929</v>
      </c>
      <c r="X212" s="318">
        <v>234504.94603603517</v>
      </c>
      <c r="Y212" s="318">
        <v>209270.66176860701</v>
      </c>
      <c r="Z212" s="318">
        <v>186685.35161073491</v>
      </c>
      <c r="AA212" s="318">
        <v>162087.12406403784</v>
      </c>
      <c r="AB212" s="318">
        <v>136962.14114825072</v>
      </c>
      <c r="AC212" s="318">
        <v>114731.41676135235</v>
      </c>
      <c r="AD212" s="318">
        <v>95456.577428164775</v>
      </c>
      <c r="AE212" s="318">
        <v>83558.330674836558</v>
      </c>
      <c r="AF212" s="318">
        <v>71634.102072172362</v>
      </c>
      <c r="AG212" s="318">
        <v>64552.783866872916</v>
      </c>
      <c r="AH212" s="318">
        <v>61432.171913496175</v>
      </c>
      <c r="AI212" s="318">
        <v>58393.938445268395</v>
      </c>
      <c r="AJ212" s="318">
        <v>55591.907395330265</v>
      </c>
      <c r="AK212" s="318">
        <v>52819.628918178765</v>
      </c>
      <c r="AL212" s="318">
        <v>50076.543988437996</v>
      </c>
      <c r="AM212" s="318">
        <v>47362.107498376201</v>
      </c>
      <c r="AN212" s="318">
        <v>44675.787827463253</v>
      </c>
      <c r="AO212" s="318">
        <v>40139.54621037819</v>
      </c>
      <c r="AP212" s="318">
        <v>35639.388725274155</v>
      </c>
      <c r="AQ212" s="318">
        <v>31174.874425528171</v>
      </c>
      <c r="AR212" s="318">
        <v>26745.569519837718</v>
      </c>
      <c r="AS212" s="318">
        <v>22351.04722766878</v>
      </c>
      <c r="AT212" s="318">
        <v>17846.887993186814</v>
      </c>
      <c r="AU212" s="318">
        <v>13359.806117330709</v>
      </c>
      <c r="AV212" s="318">
        <v>8889.6987244460906</v>
      </c>
      <c r="AW212" s="318">
        <v>4436.4637635331328</v>
      </c>
      <c r="AX212" s="318">
        <v>0</v>
      </c>
    </row>
    <row r="213" spans="2:50">
      <c r="B213" t="str">
        <f ca="1">OFFSET('Scenario names'!$C$3,2,0)</f>
        <v>Accelerated Green</v>
      </c>
      <c r="E213" s="78" t="s">
        <v>237</v>
      </c>
      <c r="F213" s="35"/>
      <c r="G213" s="44" t="s">
        <v>1200</v>
      </c>
      <c r="I213" s="45" t="s">
        <v>1216</v>
      </c>
      <c r="K213" s="38" t="s">
        <v>1224</v>
      </c>
      <c r="M213" s="44" t="str">
        <f t="shared" ca="1" si="42"/>
        <v>Taxis - Electricthousand kmAccelerated Green</v>
      </c>
      <c r="O213" s="318">
        <v>100430.46326657517</v>
      </c>
      <c r="P213" s="318">
        <v>129485.80974659129</v>
      </c>
      <c r="Q213" s="318">
        <v>157624.4282589925</v>
      </c>
      <c r="R213" s="318">
        <v>185692.50515850721</v>
      </c>
      <c r="S213" s="318">
        <v>242232.06713015598</v>
      </c>
      <c r="T213" s="318">
        <v>242635.79884769089</v>
      </c>
      <c r="U213" s="318">
        <v>279364.15422620968</v>
      </c>
      <c r="V213" s="318">
        <v>311028.30022121506</v>
      </c>
      <c r="W213" s="318">
        <v>343966.17920213332</v>
      </c>
      <c r="X213" s="318">
        <v>368810.72699364153</v>
      </c>
      <c r="Y213" s="318">
        <v>389872.17022437241</v>
      </c>
      <c r="Z213" s="318">
        <v>408567.54583962011</v>
      </c>
      <c r="AA213" s="318">
        <v>428832.84667250991</v>
      </c>
      <c r="AB213" s="318">
        <v>449452.61412579234</v>
      </c>
      <c r="AC213" s="318">
        <v>467645.69859079388</v>
      </c>
      <c r="AD213" s="318">
        <v>483363.81575577578</v>
      </c>
      <c r="AE213" s="318">
        <v>493142.02239423175</v>
      </c>
      <c r="AF213" s="318">
        <v>502855.75280138873</v>
      </c>
      <c r="AG213" s="318">
        <v>554314.31864470709</v>
      </c>
      <c r="AH213" s="318">
        <v>556751.55293227336</v>
      </c>
      <c r="AI213" s="318">
        <v>559052.80178875255</v>
      </c>
      <c r="AJ213" s="318">
        <v>561091.32446486107</v>
      </c>
      <c r="AK213" s="318">
        <v>563045.56040491455</v>
      </c>
      <c r="AL213" s="318">
        <v>564916.86058690574</v>
      </c>
      <c r="AM213" s="318">
        <v>566706.5423545189</v>
      </c>
      <c r="AN213" s="318">
        <v>568415.89045736915</v>
      </c>
      <c r="AO213" s="318">
        <v>572116.03334477148</v>
      </c>
      <c r="AP213" s="318">
        <v>575787.30892658874</v>
      </c>
      <c r="AQ213" s="318">
        <v>579430.06996011967</v>
      </c>
      <c r="AR213" s="318">
        <v>583044.6634784065</v>
      </c>
      <c r="AS213" s="318">
        <v>586631.43090587587</v>
      </c>
      <c r="AT213" s="318">
        <v>590305.9078871957</v>
      </c>
      <c r="AU213" s="318">
        <v>593966.72298161488</v>
      </c>
      <c r="AV213" s="318">
        <v>597613.9584896568</v>
      </c>
      <c r="AW213" s="318">
        <v>601247.69605212158</v>
      </c>
      <c r="AX213" s="318">
        <v>604868.01665668224</v>
      </c>
    </row>
    <row r="214" spans="2:50">
      <c r="B214" t="str">
        <f ca="1">OFFSET('Scenario names'!$C$3,2,0)</f>
        <v>Accelerated Green</v>
      </c>
      <c r="E214" s="78" t="s">
        <v>237</v>
      </c>
      <c r="G214" s="44" t="s">
        <v>1203</v>
      </c>
      <c r="I214" s="45" t="s">
        <v>1217</v>
      </c>
      <c r="K214" s="38" t="s">
        <v>1224</v>
      </c>
      <c r="M214" s="44" t="str">
        <f t="shared" ca="1" si="42"/>
        <v>Taxis - H2thousand kmAccelerated Green</v>
      </c>
      <c r="O214" s="318">
        <v>0</v>
      </c>
      <c r="P214" s="318">
        <v>0</v>
      </c>
      <c r="Q214" s="318">
        <v>0</v>
      </c>
      <c r="R214" s="318">
        <v>0</v>
      </c>
      <c r="S214" s="318">
        <v>0</v>
      </c>
      <c r="T214" s="318">
        <v>0</v>
      </c>
      <c r="U214" s="318">
        <v>334.48220183319921</v>
      </c>
      <c r="V214" s="318">
        <v>757.75055686031703</v>
      </c>
      <c r="W214" s="318">
        <v>1278.5135987311558</v>
      </c>
      <c r="X214" s="318">
        <v>1858.6035805555075</v>
      </c>
      <c r="Y214" s="318">
        <v>2496.6513893911438</v>
      </c>
      <c r="Z214" s="318">
        <v>3255.6349069772104</v>
      </c>
      <c r="AA214" s="318">
        <v>4128.0749527840626</v>
      </c>
      <c r="AB214" s="318">
        <v>5113.4133574552434</v>
      </c>
      <c r="AC214" s="318">
        <v>6182.2981625386674</v>
      </c>
      <c r="AD214" s="318">
        <v>7325.4610230352246</v>
      </c>
      <c r="AE214" s="318">
        <v>8530.4128779680286</v>
      </c>
      <c r="AF214" s="318">
        <v>9822.2640140493058</v>
      </c>
      <c r="AG214" s="318">
        <v>12115.058324478421</v>
      </c>
      <c r="AH214" s="318">
        <v>13508.731918873027</v>
      </c>
      <c r="AI214" s="318">
        <v>14956.012459205745</v>
      </c>
      <c r="AJ214" s="318">
        <v>16429.816761619597</v>
      </c>
      <c r="AK214" s="318">
        <v>17958.155227301388</v>
      </c>
      <c r="AL214" s="318">
        <v>19540.23590363521</v>
      </c>
      <c r="AM214" s="318">
        <v>21175.28655466776</v>
      </c>
      <c r="AN214" s="318">
        <v>22862.554051314706</v>
      </c>
      <c r="AO214" s="318">
        <v>23773.547090191416</v>
      </c>
      <c r="AP214" s="318">
        <v>24677.323302671914</v>
      </c>
      <c r="AQ214" s="318">
        <v>25573.970878080803</v>
      </c>
      <c r="AR214" s="318">
        <v>26463.576574678591</v>
      </c>
      <c r="AS214" s="318">
        <v>27346.22574857208</v>
      </c>
      <c r="AT214" s="318">
        <v>28250.802310928175</v>
      </c>
      <c r="AU214" s="318">
        <v>29151.963401559093</v>
      </c>
      <c r="AV214" s="318">
        <v>30049.729595595712</v>
      </c>
      <c r="AW214" s="318">
        <v>30944.121303238007</v>
      </c>
      <c r="AX214" s="318">
        <v>31835.158771404327</v>
      </c>
    </row>
    <row r="215" spans="2:50">
      <c r="B215" t="str">
        <f ca="1">OFFSET('Scenario names'!$C$3,2,0)</f>
        <v>Accelerated Green</v>
      </c>
      <c r="E215" s="38" t="s">
        <v>238</v>
      </c>
      <c r="F215" s="38"/>
      <c r="G215" s="44" t="s">
        <v>212</v>
      </c>
      <c r="I215" s="45" t="s">
        <v>1218</v>
      </c>
      <c r="K215" s="38" t="s">
        <v>1224</v>
      </c>
      <c r="M215" s="44" t="str">
        <f t="shared" ca="1" si="42"/>
        <v>Motorcycles - Dieselthousand kmAccelerated Green</v>
      </c>
      <c r="O215" s="318">
        <v>621796.35599857685</v>
      </c>
      <c r="P215" s="318">
        <v>628004.9048150623</v>
      </c>
      <c r="Q215" s="318">
        <v>628347.9552505106</v>
      </c>
      <c r="R215" s="318">
        <v>621658.32298032357</v>
      </c>
      <c r="S215" s="318">
        <v>602664.51324976317</v>
      </c>
      <c r="T215" s="318">
        <v>584317.89334775845</v>
      </c>
      <c r="U215" s="318">
        <v>565115.06259440503</v>
      </c>
      <c r="V215" s="318">
        <v>546421.33390129777</v>
      </c>
      <c r="W215" s="318">
        <v>528066.01563341566</v>
      </c>
      <c r="X215" s="318">
        <v>510208.60339206841</v>
      </c>
      <c r="Y215" s="318">
        <v>483719.86392869271</v>
      </c>
      <c r="Z215" s="318">
        <v>457369.52474920364</v>
      </c>
      <c r="AA215" s="318">
        <v>431452.91817094147</v>
      </c>
      <c r="AB215" s="318">
        <v>406338.67047462513</v>
      </c>
      <c r="AC215" s="318">
        <v>382036.36923818901</v>
      </c>
      <c r="AD215" s="318">
        <v>353400.81166852865</v>
      </c>
      <c r="AE215" s="318">
        <v>326928.27919736219</v>
      </c>
      <c r="AF215" s="318">
        <v>301109.49649000249</v>
      </c>
      <c r="AG215" s="318">
        <v>276040.50063832302</v>
      </c>
      <c r="AH215" s="318">
        <v>251574.55836911456</v>
      </c>
      <c r="AI215" s="318">
        <v>227807.61753176968</v>
      </c>
      <c r="AJ215" s="318">
        <v>205016.98939724956</v>
      </c>
      <c r="AK215" s="318">
        <v>182982.40347147905</v>
      </c>
      <c r="AL215" s="318">
        <v>161609.3376981066</v>
      </c>
      <c r="AM215" s="318">
        <v>140745.28495498298</v>
      </c>
      <c r="AN215" s="318">
        <v>119477.90814458569</v>
      </c>
      <c r="AO215" s="318">
        <v>105910.07900446991</v>
      </c>
      <c r="AP215" s="318">
        <v>92435.72123465169</v>
      </c>
      <c r="AQ215" s="318">
        <v>78881.275692311669</v>
      </c>
      <c r="AR215" s="318">
        <v>65385.326697925964</v>
      </c>
      <c r="AS215" s="318">
        <v>53183.600120435294</v>
      </c>
      <c r="AT215" s="318">
        <v>42041.896673022798</v>
      </c>
      <c r="AU215" s="318">
        <v>32104.745130727322</v>
      </c>
      <c r="AV215" s="318">
        <v>23140.13157170629</v>
      </c>
      <c r="AW215" s="318">
        <v>13360.851636889203</v>
      </c>
      <c r="AX215" s="318">
        <v>0</v>
      </c>
    </row>
    <row r="216" spans="2:50">
      <c r="B216" t="str">
        <f ca="1">OFFSET('Scenario names'!$C$3,2,0)</f>
        <v>Accelerated Green</v>
      </c>
      <c r="E216" s="78" t="s">
        <v>238</v>
      </c>
      <c r="G216" s="44" t="s">
        <v>1200</v>
      </c>
      <c r="I216" s="45" t="s">
        <v>1219</v>
      </c>
      <c r="K216" s="38" t="s">
        <v>1224</v>
      </c>
      <c r="M216" s="44" t="str">
        <f t="shared" ca="1" si="42"/>
        <v>Motorcycles - Electricthousand kmAccelerated Green</v>
      </c>
      <c r="O216" s="318">
        <v>0</v>
      </c>
      <c r="P216" s="318">
        <v>0</v>
      </c>
      <c r="Q216" s="318">
        <v>0</v>
      </c>
      <c r="R216" s="318">
        <v>6690.277153687397</v>
      </c>
      <c r="S216" s="318">
        <v>17013.63032486934</v>
      </c>
      <c r="T216" s="318">
        <v>26689.793667495422</v>
      </c>
      <c r="U216" s="318">
        <v>36082.179504209867</v>
      </c>
      <c r="V216" s="318">
        <v>44965.463280678501</v>
      </c>
      <c r="W216" s="318">
        <v>53510.336631921746</v>
      </c>
      <c r="X216" s="318">
        <v>61557.303956630152</v>
      </c>
      <c r="Y216" s="318">
        <v>78235.598503367146</v>
      </c>
      <c r="Z216" s="318">
        <v>94564.680637960861</v>
      </c>
      <c r="AA216" s="318">
        <v>110460.03017132748</v>
      </c>
      <c r="AB216" s="318">
        <v>125553.0208227485</v>
      </c>
      <c r="AC216" s="318">
        <v>139834.06501428914</v>
      </c>
      <c r="AD216" s="318">
        <v>158448.3655390541</v>
      </c>
      <c r="AE216" s="318">
        <v>176424.59934354186</v>
      </c>
      <c r="AF216" s="318">
        <v>193747.08338422276</v>
      </c>
      <c r="AG216" s="318">
        <v>210319.78056922337</v>
      </c>
      <c r="AH216" s="318">
        <v>226289.42417175299</v>
      </c>
      <c r="AI216" s="318">
        <v>241560.06634241901</v>
      </c>
      <c r="AJ216" s="318">
        <v>255854.39581026041</v>
      </c>
      <c r="AK216" s="318">
        <v>269392.68306935212</v>
      </c>
      <c r="AL216" s="318">
        <v>282269.45017604576</v>
      </c>
      <c r="AM216" s="318">
        <v>294637.20425249054</v>
      </c>
      <c r="AN216" s="318">
        <v>307408.28239620902</v>
      </c>
      <c r="AO216" s="318">
        <v>320216.5293615163</v>
      </c>
      <c r="AP216" s="318">
        <v>332931.30495652615</v>
      </c>
      <c r="AQ216" s="318">
        <v>345726.16832405777</v>
      </c>
      <c r="AR216" s="318">
        <v>358462.53514363494</v>
      </c>
      <c r="AS216" s="318">
        <v>369904.67954631732</v>
      </c>
      <c r="AT216" s="318">
        <v>380286.80081892142</v>
      </c>
      <c r="AU216" s="318">
        <v>389464.3701864084</v>
      </c>
      <c r="AV216" s="318">
        <v>397669.40157062095</v>
      </c>
      <c r="AW216" s="318">
        <v>406689.09933062963</v>
      </c>
      <c r="AX216" s="318">
        <v>419290.36879271042</v>
      </c>
    </row>
    <row r="217" spans="2:50">
      <c r="E217" s="78"/>
    </row>
    <row r="218" spans="2:50" s="414" customFormat="1">
      <c r="B218" s="414" t="str">
        <f ca="1">OFFSET('Scenario names'!$C$3,3,0)</f>
        <v>No Constraints</v>
      </c>
    </row>
    <row r="219" spans="2:50">
      <c r="B219" t="str">
        <f ca="1">OFFSET('Scenario names'!$C$3,3,0)</f>
        <v>No Constraints</v>
      </c>
      <c r="E219" s="78" t="s">
        <v>233</v>
      </c>
      <c r="G219" s="44" t="s">
        <v>213</v>
      </c>
      <c r="I219" s="45" t="s">
        <v>1197</v>
      </c>
      <c r="K219" s="44" t="s">
        <v>1198</v>
      </c>
      <c r="M219" s="44" t="str">
        <f ca="1">I219&amp;K219&amp;$B219</f>
        <v>Cars - Dieselkt CO2/yearNo Constraints</v>
      </c>
      <c r="O219" s="328">
        <v>1406.2298585393892</v>
      </c>
      <c r="P219" s="328">
        <v>1446.4177377711726</v>
      </c>
      <c r="Q219" s="328">
        <v>1452.7737290119717</v>
      </c>
      <c r="R219" s="328">
        <v>1417.2363076746972</v>
      </c>
      <c r="S219" s="328">
        <v>1325.5393301894742</v>
      </c>
      <c r="T219" s="328">
        <v>1270.0189520648607</v>
      </c>
      <c r="U219" s="328">
        <v>1247.5073766398727</v>
      </c>
      <c r="V219" s="328">
        <v>1139.2084380963204</v>
      </c>
      <c r="W219" s="328">
        <v>1007.7413748731133</v>
      </c>
      <c r="X219" s="328">
        <v>856.52942379567253</v>
      </c>
      <c r="Y219" s="328">
        <v>679.86311126267879</v>
      </c>
      <c r="Z219" s="328">
        <v>531.53488512834213</v>
      </c>
      <c r="AA219" s="328">
        <v>418.53924771674951</v>
      </c>
      <c r="AB219" s="328">
        <v>334.24827301725435</v>
      </c>
      <c r="AC219" s="328">
        <v>265.74832092577282</v>
      </c>
      <c r="AD219" s="328">
        <v>118.77726544456287</v>
      </c>
      <c r="AE219" s="328">
        <v>89.47541356256616</v>
      </c>
      <c r="AF219" s="328">
        <v>73.039693174913964</v>
      </c>
      <c r="AG219" s="328">
        <v>72.77653558698033</v>
      </c>
      <c r="AH219" s="328">
        <v>72.469802859324417</v>
      </c>
      <c r="AI219" s="328">
        <v>73.184231679397456</v>
      </c>
      <c r="AJ219" s="328">
        <v>73.673281253330828</v>
      </c>
      <c r="AK219" s="328">
        <v>74.633115079219166</v>
      </c>
      <c r="AL219" s="328">
        <v>74.87468269764058</v>
      </c>
      <c r="AM219" s="328">
        <v>73.782841959987749</v>
      </c>
      <c r="AN219" s="328">
        <v>71.042394431600059</v>
      </c>
      <c r="AO219" s="328">
        <v>0</v>
      </c>
      <c r="AP219" s="328">
        <v>0</v>
      </c>
      <c r="AQ219" s="328">
        <v>0</v>
      </c>
      <c r="AR219" s="328">
        <v>0</v>
      </c>
      <c r="AS219" s="328">
        <v>0</v>
      </c>
      <c r="AT219" s="328">
        <v>0</v>
      </c>
      <c r="AU219" s="328">
        <v>0</v>
      </c>
      <c r="AV219" s="328">
        <v>0</v>
      </c>
      <c r="AW219" s="328">
        <v>0</v>
      </c>
      <c r="AX219" s="328">
        <v>0</v>
      </c>
    </row>
    <row r="220" spans="2:50">
      <c r="B220" t="str">
        <f ca="1">OFFSET('Scenario names'!$C$3,3,0)</f>
        <v>No Constraints</v>
      </c>
      <c r="E220" s="78" t="s">
        <v>233</v>
      </c>
      <c r="G220" s="44" t="s">
        <v>212</v>
      </c>
      <c r="I220" s="45" t="s">
        <v>1199</v>
      </c>
      <c r="K220" s="44" t="s">
        <v>1198</v>
      </c>
      <c r="M220" s="44" t="str">
        <f t="shared" ref="M220:M237" ca="1" si="43">I220&amp;K220&amp;$B220</f>
        <v>Cars - Petrolkt CO2/yearNo Constraints</v>
      </c>
      <c r="O220" s="109">
        <v>2233.1181550616889</v>
      </c>
      <c r="P220" s="109">
        <v>2149.4405753318692</v>
      </c>
      <c r="Q220" s="109">
        <v>2066.4229509035576</v>
      </c>
      <c r="R220" s="109">
        <v>2022.3299214783935</v>
      </c>
      <c r="S220" s="109">
        <v>2016.0763128348963</v>
      </c>
      <c r="T220" s="109">
        <v>1964.6730035516769</v>
      </c>
      <c r="U220" s="109">
        <v>1848.0763557626251</v>
      </c>
      <c r="V220" s="109">
        <v>1726.4710963525442</v>
      </c>
      <c r="W220" s="109">
        <v>1544.5407735765477</v>
      </c>
      <c r="X220" s="109">
        <v>1326.5540361930696</v>
      </c>
      <c r="Y220" s="109">
        <v>1065.9523748195802</v>
      </c>
      <c r="Z220" s="109">
        <v>848.45507229259215</v>
      </c>
      <c r="AA220" s="109">
        <v>685.44723961557042</v>
      </c>
      <c r="AB220" s="109">
        <v>565.93100336796579</v>
      </c>
      <c r="AC220" s="109">
        <v>470.52917093249471</v>
      </c>
      <c r="AD220" s="109">
        <v>297.35600971298743</v>
      </c>
      <c r="AE220" s="109">
        <v>248.67515156419643</v>
      </c>
      <c r="AF220" s="109">
        <v>208.93088137613591</v>
      </c>
      <c r="AG220" s="109">
        <v>186.63701856011826</v>
      </c>
      <c r="AH220" s="109">
        <v>177.42219067736264</v>
      </c>
      <c r="AI220" s="109">
        <v>173.81376603154658</v>
      </c>
      <c r="AJ220" s="109">
        <v>171.46226539493216</v>
      </c>
      <c r="AK220" s="109">
        <v>169.67248296965295</v>
      </c>
      <c r="AL220" s="109">
        <v>165.88253262245729</v>
      </c>
      <c r="AM220" s="109">
        <v>159.22505988397972</v>
      </c>
      <c r="AN220" s="109">
        <v>149.44316815011851</v>
      </c>
      <c r="AO220" s="109">
        <v>40.155281835872657</v>
      </c>
      <c r="AP220" s="109">
        <v>27.38203053816483</v>
      </c>
      <c r="AQ220" s="109">
        <v>22.690428422640647</v>
      </c>
      <c r="AR220" s="109">
        <v>18.753416083328858</v>
      </c>
      <c r="AS220" s="109">
        <v>15.039789999876625</v>
      </c>
      <c r="AT220" s="109">
        <v>11.766702189388379</v>
      </c>
      <c r="AU220" s="109">
        <v>9.5012401537971325</v>
      </c>
      <c r="AV220" s="109">
        <v>7.9068553731000071</v>
      </c>
      <c r="AW220" s="109">
        <v>6.829126036191556</v>
      </c>
      <c r="AX220" s="109">
        <v>5.8882828752729033</v>
      </c>
    </row>
    <row r="221" spans="2:50">
      <c r="B221" t="str">
        <f ca="1">OFFSET('Scenario names'!$C$3,3,0)</f>
        <v>No Constraints</v>
      </c>
      <c r="E221" s="78" t="s">
        <v>233</v>
      </c>
      <c r="G221" s="44" t="s">
        <v>1200</v>
      </c>
      <c r="I221" s="45" t="s">
        <v>1201</v>
      </c>
      <c r="K221" s="44" t="s">
        <v>1202</v>
      </c>
      <c r="M221" s="44" t="str">
        <f t="shared" ca="1" si="43"/>
        <v>Cars - ElectricGWh/yearNo Constraints</v>
      </c>
      <c r="O221" s="109">
        <v>3.4403213213783279</v>
      </c>
      <c r="P221" s="109">
        <v>4.8264009973243613</v>
      </c>
      <c r="Q221" s="109">
        <v>7.1044945028269932</v>
      </c>
      <c r="R221" s="109">
        <v>12.739357457136817</v>
      </c>
      <c r="S221" s="109">
        <v>19.119961238764194</v>
      </c>
      <c r="T221" s="109">
        <v>30.69810855962653</v>
      </c>
      <c r="U221" s="109">
        <v>89.399545902555261</v>
      </c>
      <c r="V221" s="109">
        <v>223.01547658355773</v>
      </c>
      <c r="W221" s="109">
        <v>390.61672142552277</v>
      </c>
      <c r="X221" s="109">
        <v>528.5973248844075</v>
      </c>
      <c r="Y221" s="109">
        <v>649.52421655904288</v>
      </c>
      <c r="Z221" s="109">
        <v>724.46472855757452</v>
      </c>
      <c r="AA221" s="109">
        <v>807.91211473785665</v>
      </c>
      <c r="AB221" s="109">
        <v>909.10440344409017</v>
      </c>
      <c r="AC221" s="109">
        <v>1019.676288358119</v>
      </c>
      <c r="AD221" s="109">
        <v>1297.6364158757058</v>
      </c>
      <c r="AE221" s="109">
        <v>1380.9631364658546</v>
      </c>
      <c r="AF221" s="109">
        <v>1442.3267880947049</v>
      </c>
      <c r="AG221" s="109">
        <v>1470.2867298470019</v>
      </c>
      <c r="AH221" s="109">
        <v>1484.8835625072227</v>
      </c>
      <c r="AI221" s="109">
        <v>1492.5743552201388</v>
      </c>
      <c r="AJ221" s="109">
        <v>1499.0713435611276</v>
      </c>
      <c r="AK221" s="109">
        <v>1504.004099449965</v>
      </c>
      <c r="AL221" s="109">
        <v>1511.2492788343814</v>
      </c>
      <c r="AM221" s="109">
        <v>1522.5981385689145</v>
      </c>
      <c r="AN221" s="109">
        <v>1538.1011155153999</v>
      </c>
      <c r="AO221" s="109">
        <v>1714.3393539698022</v>
      </c>
      <c r="AP221" s="109">
        <v>1728.8803460997176</v>
      </c>
      <c r="AQ221" s="109">
        <v>1735.8658861343797</v>
      </c>
      <c r="AR221" s="109">
        <v>1741.7643589150339</v>
      </c>
      <c r="AS221" s="109">
        <v>1747.2183077142267</v>
      </c>
      <c r="AT221" s="109">
        <v>1758.6641480261733</v>
      </c>
      <c r="AU221" s="109">
        <v>1769.1952293093136</v>
      </c>
      <c r="AV221" s="109">
        <v>1779.0912836452194</v>
      </c>
      <c r="AW221" s="109">
        <v>1788.4842653999331</v>
      </c>
      <c r="AX221" s="109">
        <v>1797.6865333025919</v>
      </c>
    </row>
    <row r="222" spans="2:50">
      <c r="B222" t="str">
        <f ca="1">OFFSET('Scenario names'!$C$3,3,0)</f>
        <v>No Constraints</v>
      </c>
      <c r="E222" s="78" t="s">
        <v>233</v>
      </c>
      <c r="G222" s="44" t="s">
        <v>1203</v>
      </c>
      <c r="I222" s="45" t="s">
        <v>1204</v>
      </c>
      <c r="K222" s="44" t="s">
        <v>1202</v>
      </c>
      <c r="M222" s="44" t="str">
        <f t="shared" ca="1" si="43"/>
        <v>Cars - H2GWh/yearNo Constraints</v>
      </c>
      <c r="O222" s="109">
        <v>0</v>
      </c>
      <c r="P222" s="109">
        <v>0</v>
      </c>
      <c r="Q222" s="109">
        <v>0</v>
      </c>
      <c r="R222" s="109">
        <v>0</v>
      </c>
      <c r="S222" s="109">
        <v>0</v>
      </c>
      <c r="T222" s="109">
        <v>0</v>
      </c>
      <c r="U222" s="109">
        <v>0</v>
      </c>
      <c r="V222" s="109">
        <v>0</v>
      </c>
      <c r="W222" s="109">
        <v>0.93542059223889862</v>
      </c>
      <c r="X222" s="109">
        <v>2.1199588929782274</v>
      </c>
      <c r="Y222" s="109">
        <v>3.630392410927469</v>
      </c>
      <c r="Z222" s="109">
        <v>4.9480220290527015</v>
      </c>
      <c r="AA222" s="109">
        <v>5.9439219646593875</v>
      </c>
      <c r="AB222" s="109">
        <v>9.4058817736177094</v>
      </c>
      <c r="AC222" s="109">
        <v>12.557445457099474</v>
      </c>
      <c r="AD222" s="109">
        <v>18.352562228742418</v>
      </c>
      <c r="AE222" s="109">
        <v>22.808128397049323</v>
      </c>
      <c r="AF222" s="109">
        <v>27.62092238732945</v>
      </c>
      <c r="AG222" s="109">
        <v>32.292343822511114</v>
      </c>
      <c r="AH222" s="109">
        <v>37.569744207420648</v>
      </c>
      <c r="AI222" s="109">
        <v>43.285650557115488</v>
      </c>
      <c r="AJ222" s="109">
        <v>49.197255736533528</v>
      </c>
      <c r="AK222" s="109">
        <v>55.866330420761912</v>
      </c>
      <c r="AL222" s="109">
        <v>63.05205800559137</v>
      </c>
      <c r="AM222" s="109">
        <v>70.260035962957389</v>
      </c>
      <c r="AN222" s="109">
        <v>78.276530817388903</v>
      </c>
      <c r="AO222" s="109">
        <v>95.532274068900946</v>
      </c>
      <c r="AP222" s="109">
        <v>105.08618555220748</v>
      </c>
      <c r="AQ222" s="109">
        <v>113.81702865300805</v>
      </c>
      <c r="AR222" s="109">
        <v>122.93303152682155</v>
      </c>
      <c r="AS222" s="109">
        <v>132.25532115512055</v>
      </c>
      <c r="AT222" s="109">
        <v>132.04135428993001</v>
      </c>
      <c r="AU222" s="109">
        <v>131.6950696360679</v>
      </c>
      <c r="AV222" s="109">
        <v>131.2974839964925</v>
      </c>
      <c r="AW222" s="109">
        <v>130.88014662292298</v>
      </c>
      <c r="AX222" s="109">
        <v>130.53566220306203</v>
      </c>
    </row>
    <row r="223" spans="2:50">
      <c r="B223" t="str">
        <f ca="1">OFFSET('Scenario names'!$C$3,3,0)</f>
        <v>No Constraints</v>
      </c>
      <c r="E223" t="s">
        <v>234</v>
      </c>
      <c r="G223" s="44" t="s">
        <v>213</v>
      </c>
      <c r="I223" s="45" t="s">
        <v>1205</v>
      </c>
      <c r="K223" s="44" t="s">
        <v>1198</v>
      </c>
      <c r="M223" s="44" t="str">
        <f t="shared" ca="1" si="43"/>
        <v>LGVs - Dieselkt CO2/yearNo Constraints</v>
      </c>
      <c r="O223" s="109">
        <v>1.0997970291835264</v>
      </c>
      <c r="P223" s="109">
        <v>1.7666896955846922</v>
      </c>
      <c r="Q223" s="109">
        <v>2.6993210795770248</v>
      </c>
      <c r="R223" s="109">
        <v>3.5718852537725296</v>
      </c>
      <c r="S223" s="109">
        <v>5.0786502643813192</v>
      </c>
      <c r="T223" s="109">
        <v>3.8108171863430571</v>
      </c>
      <c r="U223" s="109">
        <v>4.5390003701193651</v>
      </c>
      <c r="V223" s="109">
        <v>5.48747834738883</v>
      </c>
      <c r="W223" s="109">
        <v>7.2176868499187306</v>
      </c>
      <c r="X223" s="109">
        <v>10.38803311348496</v>
      </c>
      <c r="Y223" s="109">
        <v>12.043526293877358</v>
      </c>
      <c r="Z223" s="109">
        <v>12.616658794893418</v>
      </c>
      <c r="AA223" s="109">
        <v>15.737955809470087</v>
      </c>
      <c r="AB223" s="109">
        <v>18.819144908265137</v>
      </c>
      <c r="AC223" s="109">
        <v>21.570986275165328</v>
      </c>
      <c r="AD223" s="109">
        <v>19.883629595957814</v>
      </c>
      <c r="AE223" s="109">
        <v>16.999791390006248</v>
      </c>
      <c r="AF223" s="109">
        <v>15.623543644993354</v>
      </c>
      <c r="AG223" s="109">
        <v>14.261976355690493</v>
      </c>
      <c r="AH223" s="109">
        <v>13.464867193503638</v>
      </c>
      <c r="AI223" s="109">
        <v>12.364226494144683</v>
      </c>
      <c r="AJ223" s="109">
        <v>10.431736090706384</v>
      </c>
      <c r="AK223" s="109">
        <v>9.4582514805657265</v>
      </c>
      <c r="AL223" s="109">
        <v>9.2217897255961603</v>
      </c>
      <c r="AM223" s="109">
        <v>8.6732617088600996</v>
      </c>
      <c r="AN223" s="109">
        <v>7.775909377031855</v>
      </c>
      <c r="AO223" s="109">
        <v>6.3700885485578338</v>
      </c>
      <c r="AP223" s="109">
        <v>5.9565265851079339</v>
      </c>
      <c r="AQ223" s="109">
        <v>5.7467951601156972</v>
      </c>
      <c r="AR223" s="109">
        <v>5.3201899834116997</v>
      </c>
      <c r="AS223" s="109">
        <v>4.4525653269836614</v>
      </c>
      <c r="AT223" s="109">
        <v>4.0617618037838019</v>
      </c>
      <c r="AU223" s="109">
        <v>3.7600788755843184</v>
      </c>
      <c r="AV223" s="109">
        <v>3.5808022834258417</v>
      </c>
      <c r="AW223" s="109">
        <v>3.3424758175669349</v>
      </c>
      <c r="AX223" s="109">
        <v>3.2942542830665018</v>
      </c>
    </row>
    <row r="224" spans="2:50">
      <c r="B224" t="str">
        <f ca="1">OFFSET('Scenario names'!$C$3,3,0)</f>
        <v>No Constraints</v>
      </c>
      <c r="E224" t="s">
        <v>234</v>
      </c>
      <c r="G224" s="44" t="s">
        <v>212</v>
      </c>
      <c r="I224" s="45" t="s">
        <v>1206</v>
      </c>
      <c r="K224" s="44" t="s">
        <v>1198</v>
      </c>
      <c r="M224" s="44" t="str">
        <f t="shared" ca="1" si="43"/>
        <v>LGVs - Petrolkt CO2/yearNo Constraints</v>
      </c>
      <c r="O224" s="109">
        <v>901.99237473883215</v>
      </c>
      <c r="P224" s="109">
        <v>908.76173291838961</v>
      </c>
      <c r="Q224" s="109">
        <v>905.16119454325735</v>
      </c>
      <c r="R224" s="109">
        <v>895.31791981515221</v>
      </c>
      <c r="S224" s="109">
        <v>896.90813125322472</v>
      </c>
      <c r="T224" s="109">
        <v>779.82264463245201</v>
      </c>
      <c r="U224" s="109">
        <v>770.0618830089453</v>
      </c>
      <c r="V224" s="109">
        <v>758.39234363330195</v>
      </c>
      <c r="W224" s="109">
        <v>740.20386878140516</v>
      </c>
      <c r="X224" s="109">
        <v>718.29606412592682</v>
      </c>
      <c r="Y224" s="109">
        <v>685.93000968611489</v>
      </c>
      <c r="Z224" s="109">
        <v>635.85329669214434</v>
      </c>
      <c r="AA224" s="109">
        <v>544.82908446540853</v>
      </c>
      <c r="AB224" s="109">
        <v>469.13678182891528</v>
      </c>
      <c r="AC224" s="109">
        <v>395.79748866060521</v>
      </c>
      <c r="AD224" s="109">
        <v>309.76537971764361</v>
      </c>
      <c r="AE224" s="109">
        <v>266.17677689373011</v>
      </c>
      <c r="AF224" s="109">
        <v>224.55297706716863</v>
      </c>
      <c r="AG224" s="109">
        <v>185.47562215120359</v>
      </c>
      <c r="AH224" s="109">
        <v>149.45435013158723</v>
      </c>
      <c r="AI224" s="109">
        <v>117.12105462504107</v>
      </c>
      <c r="AJ224" s="109">
        <v>88.965905373108853</v>
      </c>
      <c r="AK224" s="109">
        <v>64.090528369272434</v>
      </c>
      <c r="AL224" s="109">
        <v>45.949369055702917</v>
      </c>
      <c r="AM224" s="109">
        <v>31.770093471594485</v>
      </c>
      <c r="AN224" s="109">
        <v>21.249220394756815</v>
      </c>
      <c r="AO224" s="109">
        <v>13.80718550270848</v>
      </c>
      <c r="AP224" s="109">
        <v>8.7579832064687722</v>
      </c>
      <c r="AQ224" s="109">
        <v>5.4444941837147685</v>
      </c>
      <c r="AR224" s="109">
        <v>3.3341498761425772</v>
      </c>
      <c r="AS224" s="109">
        <v>2.0182510923240318</v>
      </c>
      <c r="AT224" s="109">
        <v>1.2116851732566678</v>
      </c>
      <c r="AU224" s="109">
        <v>0.72339139708671862</v>
      </c>
      <c r="AV224" s="109">
        <v>0.43023593681375338</v>
      </c>
      <c r="AW224" s="109">
        <v>0.25512828771007745</v>
      </c>
      <c r="AX224" s="109">
        <v>0.15101237603885187</v>
      </c>
    </row>
    <row r="225" spans="2:50">
      <c r="B225" t="str">
        <f ca="1">OFFSET('Scenario names'!$C$3,3,0)</f>
        <v>No Constraints</v>
      </c>
      <c r="E225" t="s">
        <v>234</v>
      </c>
      <c r="G225" s="44" t="s">
        <v>1200</v>
      </c>
      <c r="I225" s="45" t="s">
        <v>1207</v>
      </c>
      <c r="K225" s="44" t="s">
        <v>1202</v>
      </c>
      <c r="M225" s="44" t="str">
        <f t="shared" ca="1" si="43"/>
        <v>LGVs - ElectricGWh/yearNo Constraints</v>
      </c>
      <c r="O225" s="109">
        <v>3.0507904373580641</v>
      </c>
      <c r="P225" s="109">
        <v>6.1428420166836455</v>
      </c>
      <c r="Q225" s="109">
        <v>10.504272406858213</v>
      </c>
      <c r="R225" s="109">
        <v>14.959231569429559</v>
      </c>
      <c r="S225" s="109">
        <v>23.855715505209158</v>
      </c>
      <c r="T225" s="109">
        <v>23.90556325543098</v>
      </c>
      <c r="U225" s="109">
        <v>30.521423069840925</v>
      </c>
      <c r="V225" s="109">
        <v>39.493281186053402</v>
      </c>
      <c r="W225" s="109">
        <v>54.152958035970414</v>
      </c>
      <c r="X225" s="109">
        <v>71.432413939039705</v>
      </c>
      <c r="Y225" s="109">
        <v>97.916909498602564</v>
      </c>
      <c r="Z225" s="109">
        <v>139.15003306994842</v>
      </c>
      <c r="AA225" s="109">
        <v>209.73548520535064</v>
      </c>
      <c r="AB225" s="109">
        <v>271.22315096009442</v>
      </c>
      <c r="AC225" s="109">
        <v>332.03266508519999</v>
      </c>
      <c r="AD225" s="109">
        <v>385.62887623646463</v>
      </c>
      <c r="AE225" s="109">
        <v>416.32286297985013</v>
      </c>
      <c r="AF225" s="109">
        <v>442.68163044815213</v>
      </c>
      <c r="AG225" s="109">
        <v>465.32552050966865</v>
      </c>
      <c r="AH225" s="109">
        <v>483.92944516616035</v>
      </c>
      <c r="AI225" s="109">
        <v>498.12217766780208</v>
      </c>
      <c r="AJ225" s="109">
        <v>508.04508196466833</v>
      </c>
      <c r="AK225" s="109">
        <v>517.87972558476065</v>
      </c>
      <c r="AL225" s="109">
        <v>516.91900721549496</v>
      </c>
      <c r="AM225" s="109">
        <v>513.46977989685513</v>
      </c>
      <c r="AN225" s="109">
        <v>508.01771159760693</v>
      </c>
      <c r="AO225" s="109">
        <v>501.32876949664984</v>
      </c>
      <c r="AP225" s="109">
        <v>493.96602640893565</v>
      </c>
      <c r="AQ225" s="109">
        <v>486.50610924617678</v>
      </c>
      <c r="AR225" s="109">
        <v>479.19093148454022</v>
      </c>
      <c r="AS225" s="109">
        <v>472.24289768797291</v>
      </c>
      <c r="AT225" s="109">
        <v>474.48655172184635</v>
      </c>
      <c r="AU225" s="109">
        <v>476.3823938750001</v>
      </c>
      <c r="AV225" s="109">
        <v>477.99716934790592</v>
      </c>
      <c r="AW225" s="109">
        <v>479.4880145048968</v>
      </c>
      <c r="AX225" s="109">
        <v>480.82538877135607</v>
      </c>
    </row>
    <row r="226" spans="2:50">
      <c r="B226" t="str">
        <f ca="1">OFFSET('Scenario names'!$C$3,3,0)</f>
        <v>No Constraints</v>
      </c>
      <c r="E226" t="s">
        <v>234</v>
      </c>
      <c r="G226" s="44" t="s">
        <v>1203</v>
      </c>
      <c r="I226" s="45" t="s">
        <v>1208</v>
      </c>
      <c r="K226" s="44" t="s">
        <v>1202</v>
      </c>
      <c r="M226" s="44" t="str">
        <f t="shared" ca="1" si="43"/>
        <v>LGVs - H2GWh/yearNo Constraints</v>
      </c>
      <c r="O226" s="109">
        <v>0</v>
      </c>
      <c r="P226" s="109">
        <v>0</v>
      </c>
      <c r="Q226" s="109">
        <v>0</v>
      </c>
      <c r="R226" s="109">
        <v>0</v>
      </c>
      <c r="S226" s="109">
        <v>0</v>
      </c>
      <c r="T226" s="109">
        <v>0</v>
      </c>
      <c r="U226" s="109">
        <v>0</v>
      </c>
      <c r="V226" s="109">
        <v>0</v>
      </c>
      <c r="W226" s="109">
        <v>0</v>
      </c>
      <c r="X226" s="109">
        <v>0</v>
      </c>
      <c r="Y226" s="109">
        <v>0</v>
      </c>
      <c r="Z226" s="109">
        <v>0</v>
      </c>
      <c r="AA226" s="109">
        <v>12.025916503541403</v>
      </c>
      <c r="AB226" s="109">
        <v>16.163708797701009</v>
      </c>
      <c r="AC226" s="109">
        <v>17.606223340745316</v>
      </c>
      <c r="AD226" s="109">
        <v>53.278912303069646</v>
      </c>
      <c r="AE226" s="109">
        <v>70.699911804015656</v>
      </c>
      <c r="AF226" s="109">
        <v>90.595989003165812</v>
      </c>
      <c r="AG226" s="109">
        <v>112.82939084425746</v>
      </c>
      <c r="AH226" s="109">
        <v>137.19145237133003</v>
      </c>
      <c r="AI226" s="109">
        <v>163.34312582555646</v>
      </c>
      <c r="AJ226" s="109">
        <v>190.32409192936211</v>
      </c>
      <c r="AK226" s="109">
        <v>212.98433348769888</v>
      </c>
      <c r="AL226" s="109">
        <v>241.05684590866286</v>
      </c>
      <c r="AM226" s="109">
        <v>267.48827207920948</v>
      </c>
      <c r="AN226" s="109">
        <v>291.95012292368801</v>
      </c>
      <c r="AO226" s="109">
        <v>314.07603818796525</v>
      </c>
      <c r="AP226" s="109">
        <v>333.72471105979525</v>
      </c>
      <c r="AQ226" s="109">
        <v>350.7958543278387</v>
      </c>
      <c r="AR226" s="109">
        <v>365.60945862078751</v>
      </c>
      <c r="AS226" s="109">
        <v>378.46697321138532</v>
      </c>
      <c r="AT226" s="109">
        <v>376.91199329864133</v>
      </c>
      <c r="AU226" s="109">
        <v>375.38219563684811</v>
      </c>
      <c r="AV226" s="109">
        <v>373.97103641390601</v>
      </c>
      <c r="AW226" s="109">
        <v>372.56391999907441</v>
      </c>
      <c r="AX226" s="109">
        <v>371.25940889320572</v>
      </c>
    </row>
    <row r="227" spans="2:50">
      <c r="B227" t="str">
        <f ca="1">OFFSET('Scenario names'!$C$3,3,0)</f>
        <v>No Constraints</v>
      </c>
      <c r="E227" t="s">
        <v>235</v>
      </c>
      <c r="G227" s="44" t="s">
        <v>213</v>
      </c>
      <c r="I227" s="45" t="s">
        <v>1209</v>
      </c>
      <c r="K227" s="44" t="s">
        <v>1198</v>
      </c>
      <c r="M227" s="44" t="str">
        <f t="shared" ca="1" si="43"/>
        <v>HGVs - Dieselkt CO2/yearNo Constraints</v>
      </c>
      <c r="O227" s="109">
        <v>1128.7758997417093</v>
      </c>
      <c r="P227" s="109">
        <v>1137.9193779375444</v>
      </c>
      <c r="Q227" s="109">
        <v>1136.4138214135514</v>
      </c>
      <c r="R227" s="109">
        <v>1134.2890373603809</v>
      </c>
      <c r="S227" s="109">
        <v>1133.2075580289297</v>
      </c>
      <c r="T227" s="109">
        <v>1137.4269271052681</v>
      </c>
      <c r="U227" s="109">
        <v>1136.3351109855064</v>
      </c>
      <c r="V227" s="109">
        <v>1133.4043399195032</v>
      </c>
      <c r="W227" s="109">
        <v>1131.9971659506252</v>
      </c>
      <c r="X227" s="109">
        <v>1091.8645028608744</v>
      </c>
      <c r="Y227" s="109">
        <v>1071.3125338848527</v>
      </c>
      <c r="Z227" s="109">
        <v>1014.8834647267969</v>
      </c>
      <c r="AA227" s="109">
        <v>927.16602198009696</v>
      </c>
      <c r="AB227" s="109">
        <v>846.50553640519433</v>
      </c>
      <c r="AC227" s="109">
        <v>766.60161881171678</v>
      </c>
      <c r="AD227" s="109">
        <v>680.73651234222052</v>
      </c>
      <c r="AE227" s="109">
        <v>594.89605987936693</v>
      </c>
      <c r="AF227" s="109">
        <v>513.99658109683639</v>
      </c>
      <c r="AG227" s="109">
        <v>437.11399339859361</v>
      </c>
      <c r="AH227" s="109">
        <v>364.86002629366516</v>
      </c>
      <c r="AI227" s="109">
        <v>297.41496525895781</v>
      </c>
      <c r="AJ227" s="109">
        <v>245.45796533310326</v>
      </c>
      <c r="AK227" s="109">
        <v>200.71434390881697</v>
      </c>
      <c r="AL227" s="109">
        <v>158.45972052428328</v>
      </c>
      <c r="AM227" s="109">
        <v>118.61663234771204</v>
      </c>
      <c r="AN227" s="109">
        <v>80.876875318097561</v>
      </c>
      <c r="AO227" s="109">
        <v>67.134539766029974</v>
      </c>
      <c r="AP227" s="109">
        <v>54.585243063723873</v>
      </c>
      <c r="AQ227" s="109">
        <v>42.97669712454784</v>
      </c>
      <c r="AR227" s="109">
        <v>32.162122548170075</v>
      </c>
      <c r="AS227" s="109">
        <v>22.203961164296</v>
      </c>
      <c r="AT227" s="109">
        <v>18.147161104830339</v>
      </c>
      <c r="AU227" s="109">
        <v>14.488542653290802</v>
      </c>
      <c r="AV227" s="109">
        <v>11.231926489426085</v>
      </c>
      <c r="AW227" s="109">
        <v>8.3872223375736326</v>
      </c>
      <c r="AX227" s="109">
        <v>5.9558306430191337</v>
      </c>
    </row>
    <row r="228" spans="2:50">
      <c r="B228" t="str">
        <f ca="1">OFFSET('Scenario names'!$C$3,3,0)</f>
        <v>No Constraints</v>
      </c>
      <c r="E228" t="s">
        <v>235</v>
      </c>
      <c r="G228" s="44" t="s">
        <v>1200</v>
      </c>
      <c r="I228" s="45" t="s">
        <v>1210</v>
      </c>
      <c r="K228" s="44" t="s">
        <v>1202</v>
      </c>
      <c r="M228" s="44" t="str">
        <f t="shared" ca="1" si="43"/>
        <v>HGVs - ElectricGWh/yearNo Constraints</v>
      </c>
      <c r="O228" s="109">
        <v>0</v>
      </c>
      <c r="P228" s="109">
        <v>4.4010938800925468</v>
      </c>
      <c r="Q228" s="109">
        <v>8.8069959938802089</v>
      </c>
      <c r="R228" s="109">
        <v>13.210507548960409</v>
      </c>
      <c r="S228" s="109">
        <v>15.206136759576555</v>
      </c>
      <c r="T228" s="109">
        <v>4.4659640796341931</v>
      </c>
      <c r="U228" s="109">
        <v>6.4840894839271064</v>
      </c>
      <c r="V228" s="109">
        <v>12.537687779219105</v>
      </c>
      <c r="W228" s="109">
        <v>15.079605629955038</v>
      </c>
      <c r="X228" s="109">
        <v>106.95756594305968</v>
      </c>
      <c r="Y228" s="109">
        <v>154.5105244782772</v>
      </c>
      <c r="Z228" s="109">
        <v>257.32632612059774</v>
      </c>
      <c r="AA228" s="109">
        <v>432.98385552269991</v>
      </c>
      <c r="AB228" s="109">
        <v>592.75523598842153</v>
      </c>
      <c r="AC228" s="109">
        <v>752.01207813865335</v>
      </c>
      <c r="AD228" s="109">
        <v>928.46237022568084</v>
      </c>
      <c r="AE228" s="109">
        <v>1041.4414522763645</v>
      </c>
      <c r="AF228" s="109">
        <v>1146.3434364943657</v>
      </c>
      <c r="AG228" s="109">
        <v>1246.0214453990209</v>
      </c>
      <c r="AH228" s="109">
        <v>1339.5027638705005</v>
      </c>
      <c r="AI228" s="109">
        <v>1426.6256434882666</v>
      </c>
      <c r="AJ228" s="109">
        <v>1491.3412947491488</v>
      </c>
      <c r="AK228" s="109">
        <v>1552.4253507793646</v>
      </c>
      <c r="AL228" s="109">
        <v>1610.3240606864347</v>
      </c>
      <c r="AM228" s="109">
        <v>1665.090005695763</v>
      </c>
      <c r="AN228" s="109">
        <v>1717.2527464899388</v>
      </c>
      <c r="AO228" s="109">
        <v>1740.9605563573284</v>
      </c>
      <c r="AP228" s="109">
        <v>1762.7126000216542</v>
      </c>
      <c r="AQ228" s="109">
        <v>1782.9834054646874</v>
      </c>
      <c r="AR228" s="109">
        <v>1802.0411946082859</v>
      </c>
      <c r="AS228" s="109">
        <v>1819.7124564577975</v>
      </c>
      <c r="AT228" s="109">
        <v>1875.6148913667255</v>
      </c>
      <c r="AU228" s="109">
        <v>1930.829232983049</v>
      </c>
      <c r="AV228" s="109">
        <v>1985.2986603931022</v>
      </c>
      <c r="AW228" s="109">
        <v>2038.9893473193265</v>
      </c>
      <c r="AX228" s="109">
        <v>2091.8721348974559</v>
      </c>
    </row>
    <row r="229" spans="2:50">
      <c r="B229" t="str">
        <f ca="1">OFFSET('Scenario names'!$C$3,3,0)</f>
        <v>No Constraints</v>
      </c>
      <c r="E229" t="s">
        <v>235</v>
      </c>
      <c r="G229" s="44" t="s">
        <v>1203</v>
      </c>
      <c r="I229" s="45" t="s">
        <v>1211</v>
      </c>
      <c r="K229" s="44" t="s">
        <v>1202</v>
      </c>
      <c r="M229" s="44" t="str">
        <f t="shared" ca="1" si="43"/>
        <v>HGVs - H2GWh/yearNo Constraints</v>
      </c>
      <c r="O229" s="109">
        <v>0</v>
      </c>
      <c r="P229" s="109">
        <v>0</v>
      </c>
      <c r="Q229" s="109">
        <v>0</v>
      </c>
      <c r="R229" s="109">
        <v>0</v>
      </c>
      <c r="S229" s="109">
        <v>0</v>
      </c>
      <c r="T229" s="109">
        <v>0</v>
      </c>
      <c r="U229" s="109">
        <v>0</v>
      </c>
      <c r="V229" s="109">
        <v>0</v>
      </c>
      <c r="W229" s="109">
        <v>0</v>
      </c>
      <c r="X229" s="109">
        <v>0</v>
      </c>
      <c r="Y229" s="109">
        <v>0</v>
      </c>
      <c r="Z229" s="109">
        <v>30.793436956378414</v>
      </c>
      <c r="AA229" s="109">
        <v>59.866925493449763</v>
      </c>
      <c r="AB229" s="109">
        <v>87.58338065702533</v>
      </c>
      <c r="AC229" s="109">
        <v>112.9687553542983</v>
      </c>
      <c r="AD229" s="109">
        <v>133.49373634611922</v>
      </c>
      <c r="AE229" s="109">
        <v>208.97457206420427</v>
      </c>
      <c r="AF229" s="109">
        <v>283.87443802197458</v>
      </c>
      <c r="AG229" s="109">
        <v>357.15669675420327</v>
      </c>
      <c r="AH229" s="109">
        <v>428.05655137270247</v>
      </c>
      <c r="AI229" s="109">
        <v>496.01478429719685</v>
      </c>
      <c r="AJ229" s="109">
        <v>548.07537904868457</v>
      </c>
      <c r="AK229" s="109">
        <v>586.41237480647135</v>
      </c>
      <c r="AL229" s="109">
        <v>623.40643891495938</v>
      </c>
      <c r="AM229" s="109">
        <v>659.086223656416</v>
      </c>
      <c r="AN229" s="109">
        <v>693.6093143204813</v>
      </c>
      <c r="AO229" s="109">
        <v>703.3182808964026</v>
      </c>
      <c r="AP229" s="109">
        <v>712.4972886637936</v>
      </c>
      <c r="AQ229" s="109">
        <v>721.27492164432294</v>
      </c>
      <c r="AR229" s="109">
        <v>729.7238605960016</v>
      </c>
      <c r="AS229" s="109">
        <v>737.79708881517149</v>
      </c>
      <c r="AT229" s="109">
        <v>700.67804913836699</v>
      </c>
      <c r="AU229" s="109">
        <v>663.37255511904721</v>
      </c>
      <c r="AV229" s="109">
        <v>625.86520985360482</v>
      </c>
      <c r="AW229" s="109">
        <v>588.14684735189076</v>
      </c>
      <c r="AX229" s="109">
        <v>550.20956636428741</v>
      </c>
    </row>
    <row r="230" spans="2:50">
      <c r="B230" t="str">
        <f ca="1">OFFSET('Scenario names'!$C$3,3,0)</f>
        <v>No Constraints</v>
      </c>
      <c r="E230" t="s">
        <v>236</v>
      </c>
      <c r="G230" s="44" t="s">
        <v>213</v>
      </c>
      <c r="I230" s="45" t="s">
        <v>1212</v>
      </c>
      <c r="K230" s="44" t="s">
        <v>1198</v>
      </c>
      <c r="M230" s="44" t="str">
        <f t="shared" ca="1" si="43"/>
        <v>Buses - Dieselkt CO2/yearNo Constraints</v>
      </c>
      <c r="O230" s="109">
        <v>935.76274065859911</v>
      </c>
      <c r="P230" s="109">
        <v>933.91054622356626</v>
      </c>
      <c r="Q230" s="109">
        <v>923.21893001342596</v>
      </c>
      <c r="R230" s="109">
        <v>912.01809708637461</v>
      </c>
      <c r="S230" s="109">
        <v>900.81631664505187</v>
      </c>
      <c r="T230" s="109">
        <v>880.24771540084271</v>
      </c>
      <c r="U230" s="109">
        <v>871.51403647939367</v>
      </c>
      <c r="V230" s="109">
        <v>827.23724867192448</v>
      </c>
      <c r="W230" s="109">
        <v>771.41462958105956</v>
      </c>
      <c r="X230" s="109">
        <v>714.86453786164986</v>
      </c>
      <c r="Y230" s="109">
        <v>657.54504809230241</v>
      </c>
      <c r="Z230" s="109">
        <v>585.22518413799105</v>
      </c>
      <c r="AA230" s="109">
        <v>513.37455401838838</v>
      </c>
      <c r="AB230" s="109">
        <v>439.50318738990563</v>
      </c>
      <c r="AC230" s="109">
        <v>364.84987292719285</v>
      </c>
      <c r="AD230" s="109">
        <v>289.41265623503108</v>
      </c>
      <c r="AE230" s="109">
        <v>261.02728572563893</v>
      </c>
      <c r="AF230" s="109">
        <v>233.08470951478867</v>
      </c>
      <c r="AG230" s="109">
        <v>205.58713720431672</v>
      </c>
      <c r="AH230" s="109">
        <v>178.53677839605911</v>
      </c>
      <c r="AI230" s="109">
        <v>151.9358426918522</v>
      </c>
      <c r="AJ230" s="109">
        <v>131.17966952640947</v>
      </c>
      <c r="AK230" s="109">
        <v>110.77751085255943</v>
      </c>
      <c r="AL230" s="109">
        <v>90.731094993844081</v>
      </c>
      <c r="AM230" s="109">
        <v>71.042150273805333</v>
      </c>
      <c r="AN230" s="109">
        <v>51.712405015985212</v>
      </c>
      <c r="AO230" s="109">
        <v>42.624106253873535</v>
      </c>
      <c r="AP230" s="109">
        <v>33.707026001124909</v>
      </c>
      <c r="AQ230" s="109">
        <v>24.961223539432876</v>
      </c>
      <c r="AR230" s="109">
        <v>16.386758150490987</v>
      </c>
      <c r="AS230" s="109">
        <v>7.9836891159928056</v>
      </c>
      <c r="AT230" s="109">
        <v>6.4570169615441566</v>
      </c>
      <c r="AU230" s="109">
        <v>4.9607135716816675</v>
      </c>
      <c r="AV230" s="109">
        <v>3.4947894483861859</v>
      </c>
      <c r="AW230" s="109">
        <v>2.0592550936385701</v>
      </c>
      <c r="AX230" s="109">
        <v>0.65412100941966711</v>
      </c>
    </row>
    <row r="231" spans="2:50">
      <c r="B231" t="str">
        <f ca="1">OFFSET('Scenario names'!$C$3,3,0)</f>
        <v>No Constraints</v>
      </c>
      <c r="E231" t="s">
        <v>236</v>
      </c>
      <c r="G231" s="44" t="s">
        <v>1200</v>
      </c>
      <c r="I231" s="45" t="s">
        <v>1213</v>
      </c>
      <c r="K231" s="44" t="s">
        <v>1202</v>
      </c>
      <c r="M231" s="44" t="str">
        <f t="shared" ca="1" si="43"/>
        <v>Buses - ElectricGWh/yearNo Constraints</v>
      </c>
      <c r="O231" s="109">
        <v>11.987438240893331</v>
      </c>
      <c r="P231" s="109">
        <v>12.107131119092443</v>
      </c>
      <c r="Q231" s="109">
        <v>12.113744692602125</v>
      </c>
      <c r="R231" s="109">
        <v>11.168760892474758</v>
      </c>
      <c r="S231" s="109">
        <v>10.223764659818539</v>
      </c>
      <c r="T231" s="109">
        <v>18.709663411457484</v>
      </c>
      <c r="U231" s="109">
        <v>32.79490840919923</v>
      </c>
      <c r="V231" s="109">
        <v>87.753711136557783</v>
      </c>
      <c r="W231" s="109">
        <v>143.09192328797596</v>
      </c>
      <c r="X231" s="109">
        <v>198.80955695994052</v>
      </c>
      <c r="Y231" s="109">
        <v>254.90662424893858</v>
      </c>
      <c r="Z231" s="109">
        <v>324.08893763958753</v>
      </c>
      <c r="AA231" s="109">
        <v>393.22145482695248</v>
      </c>
      <c r="AB231" s="109">
        <v>462.29662474621887</v>
      </c>
      <c r="AC231" s="109">
        <v>531.30689633257305</v>
      </c>
      <c r="AD231" s="109">
        <v>600.24471852120109</v>
      </c>
      <c r="AE231" s="109">
        <v>628.04696011426404</v>
      </c>
      <c r="AF231" s="109">
        <v>655.92510545730806</v>
      </c>
      <c r="AG231" s="109">
        <v>683.87915455033362</v>
      </c>
      <c r="AH231" s="109">
        <v>711.90910739334038</v>
      </c>
      <c r="AI231" s="109">
        <v>740.01496398632833</v>
      </c>
      <c r="AJ231" s="109">
        <v>762.52543688633364</v>
      </c>
      <c r="AK231" s="109">
        <v>785.09628565411458</v>
      </c>
      <c r="AL231" s="109">
        <v>807.7275116716047</v>
      </c>
      <c r="AM231" s="109">
        <v>830.41911632073663</v>
      </c>
      <c r="AN231" s="109">
        <v>853.17110098344244</v>
      </c>
      <c r="AO231" s="109">
        <v>870.58286637621347</v>
      </c>
      <c r="AP231" s="109">
        <v>887.99858095223067</v>
      </c>
      <c r="AQ231" s="109">
        <v>905.41824471149391</v>
      </c>
      <c r="AR231" s="109">
        <v>922.84185765400321</v>
      </c>
      <c r="AS231" s="109">
        <v>940.26941977975889</v>
      </c>
      <c r="AT231" s="109">
        <v>968.43828662337637</v>
      </c>
      <c r="AU231" s="109">
        <v>996.61355029391666</v>
      </c>
      <c r="AV231" s="109">
        <v>1024.7952107913793</v>
      </c>
      <c r="AW231" s="109">
        <v>1052.9832681157645</v>
      </c>
      <c r="AX231" s="109">
        <v>1081.1777222670732</v>
      </c>
    </row>
    <row r="232" spans="2:50">
      <c r="B232" t="str">
        <f ca="1">OFFSET('Scenario names'!$C$3,3,0)</f>
        <v>No Constraints</v>
      </c>
      <c r="E232" s="78" t="s">
        <v>236</v>
      </c>
      <c r="G232" s="44" t="s">
        <v>1203</v>
      </c>
      <c r="I232" s="45" t="s">
        <v>1214</v>
      </c>
      <c r="K232" s="44" t="s">
        <v>1202</v>
      </c>
      <c r="M232" s="44" t="str">
        <f t="shared" ca="1" si="43"/>
        <v>Buses - H2GWh/yearNo Constraints</v>
      </c>
      <c r="O232" s="109">
        <v>0</v>
      </c>
      <c r="P232" s="109">
        <v>0</v>
      </c>
      <c r="Q232" s="109">
        <v>0</v>
      </c>
      <c r="R232" s="109">
        <v>0</v>
      </c>
      <c r="S232" s="109">
        <v>0</v>
      </c>
      <c r="T232" s="109">
        <v>0</v>
      </c>
      <c r="U232" s="109">
        <v>4.5148885499553506</v>
      </c>
      <c r="V232" s="109">
        <v>5.1117277469707414</v>
      </c>
      <c r="W232" s="109">
        <v>5.7086286647580851</v>
      </c>
      <c r="X232" s="109">
        <v>6.3055506176142284</v>
      </c>
      <c r="Y232" s="109">
        <v>6.9024529198360218</v>
      </c>
      <c r="Z232" s="109">
        <v>33.356115832440501</v>
      </c>
      <c r="AA232" s="109">
        <v>56.007085864540642</v>
      </c>
      <c r="AB232" s="109">
        <v>82.713810084590847</v>
      </c>
      <c r="AC232" s="109">
        <v>109.54795972368704</v>
      </c>
      <c r="AD232" s="109">
        <v>136.50844144822935</v>
      </c>
      <c r="AE232" s="109">
        <v>179.17558159498995</v>
      </c>
      <c r="AF232" s="109">
        <v>221.40429515549135</v>
      </c>
      <c r="AG232" s="109">
        <v>263.19222846134528</v>
      </c>
      <c r="AH232" s="109">
        <v>304.53702784416316</v>
      </c>
      <c r="AI232" s="109">
        <v>345.43633963555681</v>
      </c>
      <c r="AJ232" s="109">
        <v>376.08940537153956</v>
      </c>
      <c r="AK232" s="109">
        <v>406.39520331408011</v>
      </c>
      <c r="AL232" s="109">
        <v>436.35192564612169</v>
      </c>
      <c r="AM232" s="109">
        <v>465.95776455060667</v>
      </c>
      <c r="AN232" s="109">
        <v>495.21091221047811</v>
      </c>
      <c r="AO232" s="109">
        <v>501.61064179199559</v>
      </c>
      <c r="AP232" s="109">
        <v>508.01181817887812</v>
      </c>
      <c r="AQ232" s="109">
        <v>514.4144413711258</v>
      </c>
      <c r="AR232" s="109">
        <v>520.81851136873831</v>
      </c>
      <c r="AS232" s="109">
        <v>527.22402817171599</v>
      </c>
      <c r="AT232" s="109">
        <v>497.4731977328338</v>
      </c>
      <c r="AU232" s="109">
        <v>467.71557171638818</v>
      </c>
      <c r="AV232" s="109">
        <v>437.95115012237864</v>
      </c>
      <c r="AW232" s="109">
        <v>408.17993295080595</v>
      </c>
      <c r="AX232" s="109">
        <v>378.40192020166967</v>
      </c>
    </row>
    <row r="233" spans="2:50">
      <c r="B233" t="str">
        <f ca="1">OFFSET('Scenario names'!$C$3,3,0)</f>
        <v>No Constraints</v>
      </c>
      <c r="E233" s="78" t="s">
        <v>237</v>
      </c>
      <c r="F233" s="35"/>
      <c r="G233" s="44" t="s">
        <v>213</v>
      </c>
      <c r="I233" s="45" t="s">
        <v>1215</v>
      </c>
      <c r="K233" s="44" t="s">
        <v>1198</v>
      </c>
      <c r="M233" s="44" t="str">
        <f t="shared" ca="1" si="43"/>
        <v>Taxis - Dieselkt CO2/yearNo Constraints</v>
      </c>
      <c r="O233" s="109">
        <v>111.11426001643541</v>
      </c>
      <c r="P233" s="109">
        <v>100.37642633746667</v>
      </c>
      <c r="Q233" s="109">
        <v>89.2385648978251</v>
      </c>
      <c r="R233" s="109">
        <v>78.707026181974896</v>
      </c>
      <c r="S233" s="109">
        <v>64.278150500943369</v>
      </c>
      <c r="T233" s="109">
        <v>64.492060634773225</v>
      </c>
      <c r="U233" s="109">
        <v>55.076003335025611</v>
      </c>
      <c r="V233" s="109">
        <v>46.063680630821842</v>
      </c>
      <c r="W233" s="109">
        <v>37.548582650620155</v>
      </c>
      <c r="X233" s="109">
        <v>31.098097815485254</v>
      </c>
      <c r="Y233" s="109">
        <v>25.780521835625322</v>
      </c>
      <c r="Z233" s="109">
        <v>21.117057192969082</v>
      </c>
      <c r="AA233" s="109">
        <v>16.336658278557309</v>
      </c>
      <c r="AB233" s="109">
        <v>12.210538806331185</v>
      </c>
      <c r="AC233" s="109">
        <v>8.4276043485575975</v>
      </c>
      <c r="AD233" s="109">
        <v>5.433629343134748</v>
      </c>
      <c r="AE233" s="109">
        <v>3.9825653060924915</v>
      </c>
      <c r="AF233" s="109">
        <v>2.6192521833237463</v>
      </c>
      <c r="AG233" s="109">
        <v>1.2576465202599221</v>
      </c>
      <c r="AH233" s="109">
        <v>0.83674741709395062</v>
      </c>
      <c r="AI233" s="109">
        <v>0.41753528428135017</v>
      </c>
      <c r="AJ233" s="109">
        <v>0</v>
      </c>
      <c r="AK233" s="109">
        <v>0</v>
      </c>
      <c r="AL233" s="109">
        <v>0</v>
      </c>
      <c r="AM233" s="109">
        <v>0</v>
      </c>
      <c r="AN233" s="109">
        <v>0</v>
      </c>
      <c r="AO233" s="109">
        <v>0</v>
      </c>
      <c r="AP233" s="109">
        <v>0</v>
      </c>
      <c r="AQ233" s="109">
        <v>0</v>
      </c>
      <c r="AR233" s="109">
        <v>0</v>
      </c>
      <c r="AS233" s="109">
        <v>0</v>
      </c>
      <c r="AT233" s="109">
        <v>0</v>
      </c>
      <c r="AU233" s="109">
        <v>0</v>
      </c>
      <c r="AV233" s="109">
        <v>0</v>
      </c>
      <c r="AW233" s="109">
        <v>0</v>
      </c>
      <c r="AX233" s="109">
        <v>0</v>
      </c>
    </row>
    <row r="234" spans="2:50">
      <c r="B234" t="str">
        <f ca="1">OFFSET('Scenario names'!$C$3,3,0)</f>
        <v>No Constraints</v>
      </c>
      <c r="E234" s="78" t="s">
        <v>237</v>
      </c>
      <c r="G234" s="44" t="s">
        <v>1200</v>
      </c>
      <c r="I234" s="45" t="s">
        <v>1216</v>
      </c>
      <c r="K234" s="44" t="s">
        <v>1202</v>
      </c>
      <c r="M234" s="44" t="str">
        <f t="shared" ca="1" si="43"/>
        <v>Taxis - ElectricGWh/yearNo Constraints</v>
      </c>
      <c r="O234" s="109">
        <v>20.769022919872736</v>
      </c>
      <c r="P234" s="109">
        <v>26.580749453853954</v>
      </c>
      <c r="Q234" s="109">
        <v>32.119073884161025</v>
      </c>
      <c r="R234" s="109">
        <v>37.560235852273777</v>
      </c>
      <c r="S234" s="109">
        <v>48.717305322966396</v>
      </c>
      <c r="T234" s="109">
        <v>48.519976864116558</v>
      </c>
      <c r="U234" s="109">
        <v>55.365372732613686</v>
      </c>
      <c r="V234" s="109">
        <v>60.204964328145117</v>
      </c>
      <c r="W234" s="109">
        <v>65.259735566372456</v>
      </c>
      <c r="X234" s="109">
        <v>68.718354654274819</v>
      </c>
      <c r="Y234" s="109">
        <v>71.346819915886741</v>
      </c>
      <c r="Z234" s="109">
        <v>75.027561045918148</v>
      </c>
      <c r="AA234" s="109">
        <v>79.288792745661439</v>
      </c>
      <c r="AB234" s="109">
        <v>82.776676046333677</v>
      </c>
      <c r="AC234" s="109">
        <v>86.225584977158746</v>
      </c>
      <c r="AD234" s="109">
        <v>88.840412969262502</v>
      </c>
      <c r="AE234" s="109">
        <v>90.283886297528539</v>
      </c>
      <c r="AF234" s="109">
        <v>91.55724994196288</v>
      </c>
      <c r="AG234" s="109">
        <v>100.49980987546833</v>
      </c>
      <c r="AH234" s="109">
        <v>100.27901935035354</v>
      </c>
      <c r="AI234" s="109">
        <v>100.0313183531097</v>
      </c>
      <c r="AJ234" s="109">
        <v>99.770941620208475</v>
      </c>
      <c r="AK234" s="109">
        <v>98.777031685836135</v>
      </c>
      <c r="AL234" s="109">
        <v>97.806027844687691</v>
      </c>
      <c r="AM234" s="109">
        <v>96.821992426556932</v>
      </c>
      <c r="AN234" s="109">
        <v>95.828528746642434</v>
      </c>
      <c r="AO234" s="109">
        <v>95.236907221273114</v>
      </c>
      <c r="AP234" s="109">
        <v>94.664990407541055</v>
      </c>
      <c r="AQ234" s="109">
        <v>94.080102310278164</v>
      </c>
      <c r="AR234" s="109">
        <v>93.485011607548628</v>
      </c>
      <c r="AS234" s="109">
        <v>92.90611272044822</v>
      </c>
      <c r="AT234" s="109">
        <v>92.323387048973274</v>
      </c>
      <c r="AU234" s="109">
        <v>91.760459338198288</v>
      </c>
      <c r="AV234" s="109">
        <v>91.18450173179167</v>
      </c>
      <c r="AW234" s="109">
        <v>90.626548469498232</v>
      </c>
      <c r="AX234" s="109">
        <v>90.085314006289877</v>
      </c>
    </row>
    <row r="235" spans="2:50">
      <c r="B235" t="str">
        <f ca="1">OFFSET('Scenario names'!$C$3,3,0)</f>
        <v>No Constraints</v>
      </c>
      <c r="E235" s="38" t="s">
        <v>237</v>
      </c>
      <c r="F235" s="38"/>
      <c r="G235" s="44" t="s">
        <v>1203</v>
      </c>
      <c r="I235" s="45" t="s">
        <v>1217</v>
      </c>
      <c r="K235" s="44" t="s">
        <v>1202</v>
      </c>
      <c r="M235" s="44" t="str">
        <f t="shared" ca="1" si="43"/>
        <v>Taxis - H2GWh/yearNo Constraints</v>
      </c>
      <c r="O235" s="109">
        <v>0</v>
      </c>
      <c r="P235" s="109">
        <v>0</v>
      </c>
      <c r="Q235" s="109">
        <v>0</v>
      </c>
      <c r="R235" s="109">
        <v>0</v>
      </c>
      <c r="S235" s="109">
        <v>0</v>
      </c>
      <c r="T235" s="109">
        <v>0</v>
      </c>
      <c r="U235" s="109">
        <v>0.10803332399011739</v>
      </c>
      <c r="V235" s="109">
        <v>0.24043138444018552</v>
      </c>
      <c r="W235" s="109">
        <v>0.39841519754721089</v>
      </c>
      <c r="X235" s="109">
        <v>0.56867557909374966</v>
      </c>
      <c r="Y235" s="109">
        <v>0.74982604907879891</v>
      </c>
      <c r="Z235" s="109">
        <v>0.96001528514678203</v>
      </c>
      <c r="AA235" s="109">
        <v>1.1948076370629432</v>
      </c>
      <c r="AB235" s="109">
        <v>1.4522208511421557</v>
      </c>
      <c r="AC235" s="109">
        <v>1.7222708290624351</v>
      </c>
      <c r="AD235" s="109">
        <v>2.0011023052224202</v>
      </c>
      <c r="AE235" s="109">
        <v>2.3133634794660489</v>
      </c>
      <c r="AF235" s="109">
        <v>2.6442892115018508</v>
      </c>
      <c r="AG235" s="109">
        <v>3.2376523359345235</v>
      </c>
      <c r="AH235" s="109">
        <v>3.5835234767863295</v>
      </c>
      <c r="AI235" s="109">
        <v>3.9380920060340823</v>
      </c>
      <c r="AJ235" s="109">
        <v>4.2939829074863924</v>
      </c>
      <c r="AK235" s="109">
        <v>4.6583254110265546</v>
      </c>
      <c r="AL235" s="109">
        <v>5.0306157597845171</v>
      </c>
      <c r="AM235" s="109">
        <v>5.4103627385550404</v>
      </c>
      <c r="AN235" s="109">
        <v>5.7970872859111626</v>
      </c>
      <c r="AO235" s="109">
        <v>5.9912262210913383</v>
      </c>
      <c r="AP235" s="109">
        <v>6.1807421024278586</v>
      </c>
      <c r="AQ235" s="109">
        <v>6.3656914234503779</v>
      </c>
      <c r="AR235" s="109">
        <v>6.5461297609578484</v>
      </c>
      <c r="AS235" s="109">
        <v>6.7221117935383328</v>
      </c>
      <c r="AT235" s="109">
        <v>6.9007261791061589</v>
      </c>
      <c r="AU235" s="109">
        <v>7.0757208637546976</v>
      </c>
      <c r="AV235" s="109">
        <v>7.2471176529111769</v>
      </c>
      <c r="AW235" s="109">
        <v>7.4149381772098142</v>
      </c>
      <c r="AX235" s="109">
        <v>7.5792038942397602</v>
      </c>
    </row>
    <row r="236" spans="2:50">
      <c r="B236" t="str">
        <f ca="1">OFFSET('Scenario names'!$C$3,3,0)</f>
        <v>No Constraints</v>
      </c>
      <c r="E236" s="78" t="s">
        <v>238</v>
      </c>
      <c r="G236" s="44" t="s">
        <v>212</v>
      </c>
      <c r="I236" s="45" t="s">
        <v>1218</v>
      </c>
      <c r="K236" s="44" t="s">
        <v>1198</v>
      </c>
      <c r="M236" s="44" t="str">
        <f t="shared" ca="1" si="43"/>
        <v>Motorcycles - Dieselkt CO2/yearNo Constraints</v>
      </c>
      <c r="O236" s="109">
        <v>70.8740006682917</v>
      </c>
      <c r="P236" s="109">
        <v>71.21796853424317</v>
      </c>
      <c r="Q236" s="109">
        <v>70.892973966675541</v>
      </c>
      <c r="R236" s="109">
        <v>69.778196793282348</v>
      </c>
      <c r="S236" s="109">
        <v>67.297208242850232</v>
      </c>
      <c r="T236" s="109">
        <v>64.592319549152364</v>
      </c>
      <c r="U236" s="109">
        <v>61.794510453086517</v>
      </c>
      <c r="V236" s="109">
        <v>58.837100459090003</v>
      </c>
      <c r="W236" s="109">
        <v>55.748473711982193</v>
      </c>
      <c r="X236" s="109">
        <v>52.559903805006009</v>
      </c>
      <c r="Y236" s="109">
        <v>49.282254738092846</v>
      </c>
      <c r="Z236" s="109">
        <v>45.943098238514018</v>
      </c>
      <c r="AA236" s="109">
        <v>42.541650585430872</v>
      </c>
      <c r="AB236" s="109">
        <v>39.117143421401728</v>
      </c>
      <c r="AC236" s="109">
        <v>35.672742914793623</v>
      </c>
      <c r="AD236" s="109">
        <v>32.215060088117347</v>
      </c>
      <c r="AE236" s="109">
        <v>29.100789940965765</v>
      </c>
      <c r="AF236" s="109">
        <v>26.149251481057458</v>
      </c>
      <c r="AG236" s="109">
        <v>23.363269511169175</v>
      </c>
      <c r="AH236" s="109">
        <v>20.686496494341448</v>
      </c>
      <c r="AI236" s="109">
        <v>17.97261713152152</v>
      </c>
      <c r="AJ236" s="109">
        <v>15.374473118055068</v>
      </c>
      <c r="AK236" s="109">
        <v>12.850834569409443</v>
      </c>
      <c r="AL236" s="109">
        <v>10.39058130869474</v>
      </c>
      <c r="AM236" s="109">
        <v>8.0172938415292041</v>
      </c>
      <c r="AN236" s="109">
        <v>5.8571318202240672</v>
      </c>
      <c r="AO236" s="109">
        <v>4.6410654637939031</v>
      </c>
      <c r="AP236" s="109">
        <v>3.5149582555734851</v>
      </c>
      <c r="AQ236" s="109">
        <v>2.4615840021640514</v>
      </c>
      <c r="AR236" s="109">
        <v>1.4938641431190833</v>
      </c>
      <c r="AS236" s="109">
        <v>0.61658867178607668</v>
      </c>
      <c r="AT236" s="109">
        <v>0</v>
      </c>
      <c r="AU236" s="109">
        <v>0</v>
      </c>
      <c r="AV236" s="109">
        <v>0</v>
      </c>
      <c r="AW236" s="109">
        <v>0</v>
      </c>
      <c r="AX236" s="109">
        <v>0</v>
      </c>
    </row>
    <row r="237" spans="2:50">
      <c r="B237" t="str">
        <f ca="1">OFFSET('Scenario names'!$C$3,3,0)</f>
        <v>No Constraints</v>
      </c>
      <c r="E237" t="s">
        <v>238</v>
      </c>
      <c r="G237" s="44" t="s">
        <v>1200</v>
      </c>
      <c r="I237" s="45" t="s">
        <v>1219</v>
      </c>
      <c r="K237" s="44" t="s">
        <v>1202</v>
      </c>
      <c r="M237" s="44" t="str">
        <f t="shared" ca="1" si="43"/>
        <v>Motorcycles - ElectricGWh/yearNo Constraints</v>
      </c>
      <c r="O237" s="109">
        <v>0</v>
      </c>
      <c r="P237" s="109">
        <v>0</v>
      </c>
      <c r="Q237" s="109">
        <v>0</v>
      </c>
      <c r="R237" s="109">
        <v>0.59060752466735833</v>
      </c>
      <c r="S237" s="109">
        <v>1.4976840508074145</v>
      </c>
      <c r="T237" s="109">
        <v>2.5939036537780691</v>
      </c>
      <c r="U237" s="109">
        <v>3.8576362946036897</v>
      </c>
      <c r="V237" s="109">
        <v>5.2464102801060948</v>
      </c>
      <c r="W237" s="109">
        <v>6.7373579200662403</v>
      </c>
      <c r="X237" s="109">
        <v>8.3054566361928401</v>
      </c>
      <c r="Y237" s="109">
        <v>9.9418333119264073</v>
      </c>
      <c r="Z237" s="109">
        <v>11.637542533368229</v>
      </c>
      <c r="AA237" s="109">
        <v>13.375440909743086</v>
      </c>
      <c r="AB237" s="109">
        <v>15.12458999678068</v>
      </c>
      <c r="AC237" s="109">
        <v>16.882382014662877</v>
      </c>
      <c r="AD237" s="109">
        <v>18.643556924075952</v>
      </c>
      <c r="AE237" s="109">
        <v>20.281912256796307</v>
      </c>
      <c r="AF237" s="109">
        <v>21.785559549800546</v>
      </c>
      <c r="AG237" s="109">
        <v>23.153338725180767</v>
      </c>
      <c r="AH237" s="109">
        <v>24.429552186959796</v>
      </c>
      <c r="AI237" s="109">
        <v>25.726933772304225</v>
      </c>
      <c r="AJ237" s="109">
        <v>26.928519016793722</v>
      </c>
      <c r="AK237" s="109">
        <v>28.066433436574961</v>
      </c>
      <c r="AL237" s="109">
        <v>29.149588545067978</v>
      </c>
      <c r="AM237" s="109">
        <v>30.160517124851417</v>
      </c>
      <c r="AN237" s="109">
        <v>31.004456188564674</v>
      </c>
      <c r="AO237" s="109">
        <v>31.772390860500554</v>
      </c>
      <c r="AP237" s="109">
        <v>32.468031752792939</v>
      </c>
      <c r="AQ237" s="109">
        <v>33.10484578253233</v>
      </c>
      <c r="AR237" s="109">
        <v>33.673632749468148</v>
      </c>
      <c r="AS237" s="109">
        <v>34.171358160881447</v>
      </c>
      <c r="AT237" s="109">
        <v>34.472102735647155</v>
      </c>
      <c r="AU237" s="109">
        <v>34.313811308962521</v>
      </c>
      <c r="AV237" s="109">
        <v>34.1558668774477</v>
      </c>
      <c r="AW237" s="109">
        <v>33.998269441102714</v>
      </c>
      <c r="AX237" s="109">
        <v>33.925524951685247</v>
      </c>
    </row>
    <row r="238" spans="2:50">
      <c r="C238" t="s">
        <v>1223</v>
      </c>
    </row>
    <row r="239" spans="2:50">
      <c r="B239" t="str">
        <f ca="1">OFFSET('Scenario names'!$C$3,3,0)</f>
        <v>No Constraints</v>
      </c>
      <c r="E239" s="38" t="s">
        <v>233</v>
      </c>
      <c r="F239" s="38"/>
      <c r="G239" s="44" t="s">
        <v>213</v>
      </c>
      <c r="I239" s="45" t="s">
        <v>1197</v>
      </c>
      <c r="J239" s="38"/>
      <c r="K239" s="38" t="s">
        <v>1224</v>
      </c>
      <c r="L239" s="38"/>
      <c r="M239" s="44" t="str">
        <f ca="1">I239&amp;K239&amp;$B239</f>
        <v>Cars - Dieselthousand kmNo Constraints</v>
      </c>
      <c r="O239" s="318">
        <v>8811255.731990803</v>
      </c>
      <c r="P239" s="318">
        <v>9212140.5638061743</v>
      </c>
      <c r="Q239" s="318">
        <v>9407357.2005250063</v>
      </c>
      <c r="R239" s="318">
        <v>9333321.8943427205</v>
      </c>
      <c r="S239" s="318">
        <v>8880482.3618594855</v>
      </c>
      <c r="T239" s="318">
        <v>8658330.0074153151</v>
      </c>
      <c r="U239" s="318">
        <v>8627840.9001607969</v>
      </c>
      <c r="V239" s="318">
        <v>7994440.8335114429</v>
      </c>
      <c r="W239" s="318">
        <v>7177172.5805051392</v>
      </c>
      <c r="X239" s="318">
        <v>6192446.9967560256</v>
      </c>
      <c r="Y239" s="318">
        <v>4990642.3387640296</v>
      </c>
      <c r="Z239" s="318">
        <v>3927640.1736946707</v>
      </c>
      <c r="AA239" s="318">
        <v>3113293.6536771609</v>
      </c>
      <c r="AB239" s="318">
        <v>2502973.922324724</v>
      </c>
      <c r="AC239" s="318">
        <v>2003459.081167123</v>
      </c>
      <c r="AD239" s="318">
        <v>901541.80198617943</v>
      </c>
      <c r="AE239" s="318">
        <v>679135.23075932288</v>
      </c>
      <c r="AF239" s="318">
        <v>554385.01934667875</v>
      </c>
      <c r="AG239" s="318">
        <v>552387.60372051469</v>
      </c>
      <c r="AH239" s="318">
        <v>550059.44458177674</v>
      </c>
      <c r="AI239" s="318">
        <v>555482.09380196896</v>
      </c>
      <c r="AJ239" s="318">
        <v>559194.0721211721</v>
      </c>
      <c r="AK239" s="318">
        <v>566479.39152770897</v>
      </c>
      <c r="AL239" s="318">
        <v>568312.93522142875</v>
      </c>
      <c r="AM239" s="318">
        <v>560025.6585071414</v>
      </c>
      <c r="AN239" s="318">
        <v>539225.14593645639</v>
      </c>
      <c r="AO239" s="318">
        <v>0</v>
      </c>
      <c r="AP239" s="318">
        <v>0</v>
      </c>
      <c r="AQ239" s="318">
        <v>0</v>
      </c>
      <c r="AR239" s="318">
        <v>0</v>
      </c>
      <c r="AS239" s="318">
        <v>0</v>
      </c>
      <c r="AT239" s="318">
        <v>0</v>
      </c>
      <c r="AU239" s="318">
        <v>0</v>
      </c>
      <c r="AV239" s="318">
        <v>0</v>
      </c>
      <c r="AW239" s="318">
        <v>0</v>
      </c>
      <c r="AX239" s="318">
        <v>0</v>
      </c>
    </row>
    <row r="240" spans="2:50">
      <c r="B240" t="str">
        <f ca="1">OFFSET('Scenario names'!$C$3,3,0)</f>
        <v>No Constraints</v>
      </c>
      <c r="E240" s="78" t="s">
        <v>233</v>
      </c>
      <c r="G240" s="44" t="s">
        <v>212</v>
      </c>
      <c r="I240" s="45" t="s">
        <v>1199</v>
      </c>
      <c r="K240" s="38" t="s">
        <v>1224</v>
      </c>
      <c r="M240" s="44" t="str">
        <f t="shared" ref="M240:M257" ca="1" si="44">I240&amp;K240&amp;$B240</f>
        <v>Cars - Petrolthousand kmNo Constraints</v>
      </c>
      <c r="O240" s="318">
        <v>12684155.491909495</v>
      </c>
      <c r="P240" s="318">
        <v>12489285.738148466</v>
      </c>
      <c r="Q240" s="318">
        <v>12289178.575288735</v>
      </c>
      <c r="R240" s="318">
        <v>12316497.002572337</v>
      </c>
      <c r="S240" s="318">
        <v>12581299.678075671</v>
      </c>
      <c r="T240" s="318">
        <v>12570614.877329549</v>
      </c>
      <c r="U240" s="318">
        <v>12058656.405514779</v>
      </c>
      <c r="V240" s="318">
        <v>11492679.406942716</v>
      </c>
      <c r="W240" s="318">
        <v>10493526.808838699</v>
      </c>
      <c r="X240" s="318">
        <v>9202200.4892078899</v>
      </c>
      <c r="Y240" s="318">
        <v>7553384.1401242875</v>
      </c>
      <c r="Z240" s="318">
        <v>6087870.0517530134</v>
      </c>
      <c r="AA240" s="318">
        <v>4980949.402050795</v>
      </c>
      <c r="AB240" s="318">
        <v>4165563.391693058</v>
      </c>
      <c r="AC240" s="318">
        <v>3508660.9305405384</v>
      </c>
      <c r="AD240" s="318">
        <v>2246727.9343711571</v>
      </c>
      <c r="AE240" s="318">
        <v>1878910.77144374</v>
      </c>
      <c r="AF240" s="318">
        <v>1578615.6398642613</v>
      </c>
      <c r="AG240" s="318">
        <v>1410170.2655732515</v>
      </c>
      <c r="AH240" s="318">
        <v>1340545.9414017226</v>
      </c>
      <c r="AI240" s="318">
        <v>1313281.8263813017</v>
      </c>
      <c r="AJ240" s="318">
        <v>1295514.6315192487</v>
      </c>
      <c r="AK240" s="318">
        <v>1281991.6017503107</v>
      </c>
      <c r="AL240" s="318">
        <v>1253355.9359598563</v>
      </c>
      <c r="AM240" s="318">
        <v>1203054.1781837512</v>
      </c>
      <c r="AN240" s="318">
        <v>1129145.2989562114</v>
      </c>
      <c r="AO240" s="318">
        <v>303400.60555790213</v>
      </c>
      <c r="AP240" s="318">
        <v>206889.9598473864</v>
      </c>
      <c r="AQ240" s="318">
        <v>171441.69855252607</v>
      </c>
      <c r="AR240" s="318">
        <v>141694.87887589185</v>
      </c>
      <c r="AS240" s="318">
        <v>113635.89507544751</v>
      </c>
      <c r="AT240" s="318">
        <v>88905.479091685804</v>
      </c>
      <c r="AU240" s="318">
        <v>71788.364678787184</v>
      </c>
      <c r="AV240" s="318">
        <v>59741.697694030401</v>
      </c>
      <c r="AW240" s="318">
        <v>51598.715787390414</v>
      </c>
      <c r="AX240" s="318">
        <v>44490.002519619949</v>
      </c>
    </row>
    <row r="241" spans="2:50">
      <c r="B241" t="str">
        <f ca="1">OFFSET('Scenario names'!$C$3,3,0)</f>
        <v>No Constraints</v>
      </c>
      <c r="E241" t="s">
        <v>233</v>
      </c>
      <c r="G241" s="44" t="s">
        <v>1200</v>
      </c>
      <c r="I241" s="45" t="s">
        <v>1201</v>
      </c>
      <c r="K241" s="38" t="s">
        <v>1224</v>
      </c>
      <c r="M241" s="44" t="str">
        <f t="shared" ca="1" si="44"/>
        <v>Cars - Electricthousand kmNo Constraints</v>
      </c>
      <c r="O241" s="318">
        <v>23052.692471471757</v>
      </c>
      <c r="P241" s="318">
        <v>32599.599851047653</v>
      </c>
      <c r="Q241" s="318">
        <v>48374.462755353088</v>
      </c>
      <c r="R241" s="318">
        <v>87448.616078059509</v>
      </c>
      <c r="S241" s="318">
        <v>132325.53938555304</v>
      </c>
      <c r="T241" s="318">
        <v>214214.47291075118</v>
      </c>
      <c r="U241" s="318">
        <v>629046.56700771209</v>
      </c>
      <c r="V241" s="318">
        <v>1582424.6603988851</v>
      </c>
      <c r="W241" s="318">
        <v>2795182.7128249472</v>
      </c>
      <c r="X241" s="318">
        <v>3814933.4330385774</v>
      </c>
      <c r="Y241" s="318">
        <v>4728156.2734530745</v>
      </c>
      <c r="Z241" s="318">
        <v>5319879.7307306379</v>
      </c>
      <c r="AA241" s="318">
        <v>5985082.1253741924</v>
      </c>
      <c r="AB241" s="318">
        <v>6794775.3816820448</v>
      </c>
      <c r="AC241" s="318">
        <v>7689773.4471805207</v>
      </c>
      <c r="AD241" s="318">
        <v>9874822.2478674613</v>
      </c>
      <c r="AE241" s="318">
        <v>10508926.334542735</v>
      </c>
      <c r="AF241" s="318">
        <v>10975894.697099077</v>
      </c>
      <c r="AG241" s="318">
        <v>11188665.741042333</v>
      </c>
      <c r="AH241" s="318">
        <v>11299745.490452936</v>
      </c>
      <c r="AI241" s="318">
        <v>11358271.291714447</v>
      </c>
      <c r="AJ241" s="318">
        <v>11407712.417309273</v>
      </c>
      <c r="AK241" s="318">
        <v>11445249.964035349</v>
      </c>
      <c r="AL241" s="318">
        <v>11500384.713414853</v>
      </c>
      <c r="AM241" s="318">
        <v>11586747.86662435</v>
      </c>
      <c r="AN241" s="318">
        <v>11704723.240763351</v>
      </c>
      <c r="AO241" s="318">
        <v>13045870.311485818</v>
      </c>
      <c r="AP241" s="318">
        <v>13156525.122674707</v>
      </c>
      <c r="AQ241" s="318">
        <v>13209684.054794455</v>
      </c>
      <c r="AR241" s="318">
        <v>13254570.565014297</v>
      </c>
      <c r="AS241" s="318">
        <v>13296074.313122857</v>
      </c>
      <c r="AT241" s="318">
        <v>13383175.474261031</v>
      </c>
      <c r="AU241" s="318">
        <v>13463315.45374725</v>
      </c>
      <c r="AV241" s="318">
        <v>13538622.971574856</v>
      </c>
      <c r="AW241" s="318">
        <v>13610102.181059482</v>
      </c>
      <c r="AX241" s="318">
        <v>13680130.08618319</v>
      </c>
    </row>
    <row r="242" spans="2:50">
      <c r="B242" t="str">
        <f ca="1">OFFSET('Scenario names'!$C$3,3,0)</f>
        <v>No Constraints</v>
      </c>
      <c r="E242" s="78" t="s">
        <v>233</v>
      </c>
      <c r="G242" s="44" t="s">
        <v>1203</v>
      </c>
      <c r="I242" s="45" t="s">
        <v>1204</v>
      </c>
      <c r="K242" s="38" t="s">
        <v>1224</v>
      </c>
      <c r="M242" s="44" t="str">
        <f t="shared" ca="1" si="44"/>
        <v>Cars - H2thousand kmNo Constraints</v>
      </c>
      <c r="O242" s="318">
        <v>0</v>
      </c>
      <c r="P242" s="318">
        <v>0</v>
      </c>
      <c r="Q242" s="318">
        <v>0</v>
      </c>
      <c r="R242" s="318">
        <v>0</v>
      </c>
      <c r="S242" s="318">
        <v>0</v>
      </c>
      <c r="T242" s="318">
        <v>0</v>
      </c>
      <c r="U242" s="318">
        <v>0</v>
      </c>
      <c r="V242" s="318">
        <v>0</v>
      </c>
      <c r="W242" s="318">
        <v>3890.9844643438046</v>
      </c>
      <c r="X242" s="318">
        <v>8971.4381890346122</v>
      </c>
      <c r="Y242" s="318">
        <v>15635.12736939784</v>
      </c>
      <c r="Z242" s="318">
        <v>21693.446051731818</v>
      </c>
      <c r="AA242" s="318">
        <v>26537.491686308589</v>
      </c>
      <c r="AB242" s="318">
        <v>42778.162868713312</v>
      </c>
      <c r="AC242" s="318">
        <v>58198.427850110791</v>
      </c>
      <c r="AD242" s="318">
        <v>86706.431918642847</v>
      </c>
      <c r="AE242" s="318">
        <v>108375.07147835537</v>
      </c>
      <c r="AF242" s="318">
        <v>132001.04399485613</v>
      </c>
      <c r="AG242" s="318">
        <v>155221.78204948947</v>
      </c>
      <c r="AH242" s="318">
        <v>181643.50802987159</v>
      </c>
      <c r="AI242" s="318">
        <v>210508.1646493047</v>
      </c>
      <c r="AJ242" s="318">
        <v>240671.24767804553</v>
      </c>
      <c r="AK242" s="318">
        <v>274920.4033950892</v>
      </c>
      <c r="AL242" s="318">
        <v>312136.76819303684</v>
      </c>
      <c r="AM242" s="318">
        <v>349911.6415546494</v>
      </c>
      <c r="AN242" s="318">
        <v>392194.65129459382</v>
      </c>
      <c r="AO242" s="318">
        <v>481566.41198760638</v>
      </c>
      <c r="AP242" s="318">
        <v>532971.23858994979</v>
      </c>
      <c r="AQ242" s="318">
        <v>580809.55984577804</v>
      </c>
      <c r="AR242" s="318">
        <v>631218.86138328991</v>
      </c>
      <c r="AS242" s="318">
        <v>683323.08915589121</v>
      </c>
      <c r="AT242" s="318">
        <v>686501.33608219796</v>
      </c>
      <c r="AU242" s="318">
        <v>689027.46308959159</v>
      </c>
      <c r="AV242" s="318">
        <v>691315.60432746215</v>
      </c>
      <c r="AW242" s="318">
        <v>693528.36883018981</v>
      </c>
      <c r="AX242" s="318">
        <v>696158.16905497562</v>
      </c>
    </row>
    <row r="243" spans="2:50">
      <c r="B243" t="str">
        <f ca="1">OFFSET('Scenario names'!$C$3,3,0)</f>
        <v>No Constraints</v>
      </c>
      <c r="E243" s="78" t="s">
        <v>234</v>
      </c>
      <c r="G243" s="44" t="s">
        <v>213</v>
      </c>
      <c r="I243" s="45" t="s">
        <v>1205</v>
      </c>
      <c r="K243" s="38" t="s">
        <v>1224</v>
      </c>
      <c r="M243" s="44" t="str">
        <f t="shared" ca="1" si="44"/>
        <v>LGVs - Dieselthousand kmNo Constraints</v>
      </c>
      <c r="O243" s="318">
        <v>4097794.8214611099</v>
      </c>
      <c r="P243" s="318">
        <v>4137693.6257750238</v>
      </c>
      <c r="Q243" s="318">
        <v>4130449.4677480236</v>
      </c>
      <c r="R243" s="318">
        <v>4094622.7120938906</v>
      </c>
      <c r="S243" s="318">
        <v>4111042.3716322151</v>
      </c>
      <c r="T243" s="318">
        <v>3582361.1886132495</v>
      </c>
      <c r="U243" s="318">
        <v>3544704.8899566117</v>
      </c>
      <c r="V243" s="318">
        <v>3498091.106549989</v>
      </c>
      <c r="W243" s="318">
        <v>3421157.3078299216</v>
      </c>
      <c r="X243" s="318">
        <v>3326683.6361426832</v>
      </c>
      <c r="Y243" s="318">
        <v>3183288.1567053157</v>
      </c>
      <c r="Z243" s="318">
        <v>2956691.4570197272</v>
      </c>
      <c r="AA243" s="318">
        <v>2538422.8612636849</v>
      </c>
      <c r="AB243" s="318">
        <v>2190077.4036615603</v>
      </c>
      <c r="AC243" s="318">
        <v>1851360.5226202062</v>
      </c>
      <c r="AD243" s="318">
        <v>1451812.4810142883</v>
      </c>
      <c r="AE243" s="318">
        <v>1247520.8404590548</v>
      </c>
      <c r="AF243" s="318">
        <v>1052437.8645934972</v>
      </c>
      <c r="AG243" s="318">
        <v>869289.60043390596</v>
      </c>
      <c r="AH243" s="318">
        <v>700464.62603631977</v>
      </c>
      <c r="AI243" s="318">
        <v>548924.50876590272</v>
      </c>
      <c r="AJ243" s="318">
        <v>416966.5826541002</v>
      </c>
      <c r="AK243" s="318">
        <v>300380.336518317</v>
      </c>
      <c r="AL243" s="318">
        <v>215356.11097214409</v>
      </c>
      <c r="AM243" s="318">
        <v>148900.49451973761</v>
      </c>
      <c r="AN243" s="318">
        <v>99591.127352745156</v>
      </c>
      <c r="AO243" s="318">
        <v>64711.699734758848</v>
      </c>
      <c r="AP243" s="318">
        <v>41047.031592926207</v>
      </c>
      <c r="AQ243" s="318">
        <v>25517.327391239716</v>
      </c>
      <c r="AR243" s="318">
        <v>15626.537762768356</v>
      </c>
      <c r="AS243" s="318">
        <v>9459.165928508879</v>
      </c>
      <c r="AT243" s="318">
        <v>5678.9421051425315</v>
      </c>
      <c r="AU243" s="318">
        <v>3390.4003730376912</v>
      </c>
      <c r="AV243" s="318">
        <v>2016.4354822880312</v>
      </c>
      <c r="AW243" s="318">
        <v>1195.7386351403088</v>
      </c>
      <c r="AX243" s="318">
        <v>707.76680247699278</v>
      </c>
    </row>
    <row r="244" spans="2:50">
      <c r="B244" t="str">
        <f ca="1">OFFSET('Scenario names'!$C$3,3,0)</f>
        <v>No Constraints</v>
      </c>
      <c r="E244" t="s">
        <v>234</v>
      </c>
      <c r="G244" s="44" t="s">
        <v>212</v>
      </c>
      <c r="I244" s="45" t="s">
        <v>1206</v>
      </c>
      <c r="K244" s="38" t="s">
        <v>1224</v>
      </c>
      <c r="M244" s="44" t="str">
        <f t="shared" ca="1" si="44"/>
        <v>LGVs - Petrolthousand kmNo Constraints</v>
      </c>
      <c r="O244" s="318">
        <v>61815.142478798654</v>
      </c>
      <c r="P244" s="318">
        <v>47636.453273599152</v>
      </c>
      <c r="Q244" s="318">
        <v>36294.734765976376</v>
      </c>
      <c r="R244" s="318">
        <v>33535.068355609888</v>
      </c>
      <c r="S244" s="318">
        <v>32142.28513278926</v>
      </c>
      <c r="T244" s="318">
        <v>26572.736517745117</v>
      </c>
      <c r="U244" s="318">
        <v>29992.423579538234</v>
      </c>
      <c r="V244" s="318">
        <v>34073.337725626596</v>
      </c>
      <c r="W244" s="318">
        <v>39111.870427766182</v>
      </c>
      <c r="X244" s="318">
        <v>48362.926272245459</v>
      </c>
      <c r="Y244" s="318">
        <v>59214.11563637069</v>
      </c>
      <c r="Z244" s="318">
        <v>72031.848634497976</v>
      </c>
      <c r="AA244" s="318">
        <v>82266.888547653201</v>
      </c>
      <c r="AB244" s="318">
        <v>89988.360180336153</v>
      </c>
      <c r="AC244" s="318">
        <v>95921.982272490364</v>
      </c>
      <c r="AD244" s="318">
        <v>83530.268724340669</v>
      </c>
      <c r="AE244" s="318">
        <v>80344.614352195174</v>
      </c>
      <c r="AF244" s="318">
        <v>76458.136072455309</v>
      </c>
      <c r="AG244" s="318">
        <v>71756.49395951016</v>
      </c>
      <c r="AH244" s="318">
        <v>66134.117637981239</v>
      </c>
      <c r="AI244" s="318">
        <v>59614.089283688685</v>
      </c>
      <c r="AJ244" s="318">
        <v>52305.420531850876</v>
      </c>
      <c r="AK244" s="318">
        <v>43820.981166558682</v>
      </c>
      <c r="AL244" s="318">
        <v>41490.387423714143</v>
      </c>
      <c r="AM244" s="318">
        <v>38319.483943788866</v>
      </c>
      <c r="AN244" s="318">
        <v>34379.2490497084</v>
      </c>
      <c r="AO244" s="318">
        <v>29707.096868740788</v>
      </c>
      <c r="AP244" s="318">
        <v>25154.897392761373</v>
      </c>
      <c r="AQ244" s="318">
        <v>21236.300752644504</v>
      </c>
      <c r="AR244" s="318">
        <v>18165.63896495854</v>
      </c>
      <c r="AS244" s="318">
        <v>15722.589342581252</v>
      </c>
      <c r="AT244" s="318">
        <v>13690.97414568111</v>
      </c>
      <c r="AU244" s="318">
        <v>11888.60052361104</v>
      </c>
      <c r="AV244" s="318">
        <v>10191.133579314786</v>
      </c>
      <c r="AW244" s="318">
        <v>8539.3681202393655</v>
      </c>
      <c r="AX244" s="318">
        <v>6942.3994482602657</v>
      </c>
    </row>
    <row r="245" spans="2:50">
      <c r="B245" t="str">
        <f ca="1">OFFSET('Scenario names'!$C$3,3,0)</f>
        <v>No Constraints</v>
      </c>
      <c r="E245" t="s">
        <v>234</v>
      </c>
      <c r="G245" s="44" t="s">
        <v>1200</v>
      </c>
      <c r="I245" s="45" t="s">
        <v>1207</v>
      </c>
      <c r="K245" s="38" t="s">
        <v>1224</v>
      </c>
      <c r="M245" s="44" t="str">
        <f t="shared" ca="1" si="44"/>
        <v>LGVs - Electricthousand kmNo Constraints</v>
      </c>
      <c r="O245" s="318">
        <v>16036.214245667881</v>
      </c>
      <c r="P245" s="318">
        <v>32236.66258826436</v>
      </c>
      <c r="Q245" s="318">
        <v>55035.01789771227</v>
      </c>
      <c r="R245" s="318">
        <v>78248.492829756418</v>
      </c>
      <c r="S245" s="318">
        <v>124581.58446152123</v>
      </c>
      <c r="T245" s="318">
        <v>124639.65396636534</v>
      </c>
      <c r="U245" s="318">
        <v>158876.26556120985</v>
      </c>
      <c r="V245" s="318">
        <v>205246.41877803995</v>
      </c>
      <c r="W245" s="318">
        <v>280978.96875226189</v>
      </c>
      <c r="X245" s="318">
        <v>370038.86855131516</v>
      </c>
      <c r="Y245" s="318">
        <v>506420.44258085242</v>
      </c>
      <c r="Z245" s="318">
        <v>724036.69322460762</v>
      </c>
      <c r="AA245" s="318">
        <v>1097965.9100796378</v>
      </c>
      <c r="AB245" s="318">
        <v>1428563.4006320639</v>
      </c>
      <c r="AC245" s="318">
        <v>1759647.7389766898</v>
      </c>
      <c r="AD245" s="318">
        <v>2056379.07886319</v>
      </c>
      <c r="AE245" s="318">
        <v>2214483.3137226067</v>
      </c>
      <c r="AF245" s="318">
        <v>2354689.5236603837</v>
      </c>
      <c r="AG245" s="318">
        <v>2475135.7473918544</v>
      </c>
      <c r="AH245" s="318">
        <v>2574092.7934370232</v>
      </c>
      <c r="AI245" s="318">
        <v>2649586.0514244791</v>
      </c>
      <c r="AJ245" s="318">
        <v>2702367.4572588741</v>
      </c>
      <c r="AK245" s="318">
        <v>2754679.391408301</v>
      </c>
      <c r="AL245" s="318">
        <v>2749569.1873164624</v>
      </c>
      <c r="AM245" s="318">
        <v>2731222.2334939106</v>
      </c>
      <c r="AN245" s="318">
        <v>2702221.870200037</v>
      </c>
      <c r="AO245" s="318">
        <v>2666642.3909396268</v>
      </c>
      <c r="AP245" s="318">
        <v>2627478.8638773174</v>
      </c>
      <c r="AQ245" s="318">
        <v>2587798.4534371104</v>
      </c>
      <c r="AR245" s="318">
        <v>2548887.9334284053</v>
      </c>
      <c r="AS245" s="318">
        <v>2511930.30685092</v>
      </c>
      <c r="AT245" s="318">
        <v>2523864.6368183317</v>
      </c>
      <c r="AU245" s="318">
        <v>2533948.9035904263</v>
      </c>
      <c r="AV245" s="318">
        <v>2542538.134829287</v>
      </c>
      <c r="AW245" s="318">
        <v>2550468.1622600895</v>
      </c>
      <c r="AX245" s="318">
        <v>2557581.8551667873</v>
      </c>
    </row>
    <row r="246" spans="2:50">
      <c r="B246" t="str">
        <f ca="1">OFFSET('Scenario names'!$C$3,3,0)</f>
        <v>No Constraints</v>
      </c>
      <c r="E246" t="s">
        <v>234</v>
      </c>
      <c r="G246" s="44" t="s">
        <v>1203</v>
      </c>
      <c r="I246" s="45" t="s">
        <v>1208</v>
      </c>
      <c r="K246" s="38" t="s">
        <v>1224</v>
      </c>
      <c r="M246" s="44" t="str">
        <f t="shared" ca="1" si="44"/>
        <v>LGVs - H2thousand kmNo Constraints</v>
      </c>
      <c r="O246" s="318">
        <v>0</v>
      </c>
      <c r="P246" s="318">
        <v>0</v>
      </c>
      <c r="Q246" s="318">
        <v>0</v>
      </c>
      <c r="R246" s="318">
        <v>0</v>
      </c>
      <c r="S246" s="318">
        <v>0</v>
      </c>
      <c r="T246" s="318">
        <v>0</v>
      </c>
      <c r="U246" s="318">
        <v>0</v>
      </c>
      <c r="V246" s="318">
        <v>0</v>
      </c>
      <c r="W246" s="318">
        <v>0</v>
      </c>
      <c r="X246" s="318">
        <v>0</v>
      </c>
      <c r="Y246" s="318">
        <v>0</v>
      </c>
      <c r="Z246" s="318">
        <v>0</v>
      </c>
      <c r="AA246" s="318">
        <v>37941.622944151233</v>
      </c>
      <c r="AB246" s="318">
        <v>51805.402317461747</v>
      </c>
      <c r="AC246" s="318">
        <v>57341.606878330495</v>
      </c>
      <c r="AD246" s="318">
        <v>176387.30610219165</v>
      </c>
      <c r="AE246" s="318">
        <v>234814.28209946436</v>
      </c>
      <c r="AF246" s="318">
        <v>302631.44223629707</v>
      </c>
      <c r="AG246" s="318">
        <v>379089.04070667439</v>
      </c>
      <c r="AH246" s="318">
        <v>463633.26130993053</v>
      </c>
      <c r="AI246" s="318">
        <v>555254.06487649598</v>
      </c>
      <c r="AJ246" s="318">
        <v>650793.16983505094</v>
      </c>
      <c r="AK246" s="318">
        <v>732605.83711601084</v>
      </c>
      <c r="AL246" s="318">
        <v>834124.77642617747</v>
      </c>
      <c r="AM246" s="318">
        <v>931152.16611037275</v>
      </c>
      <c r="AN246" s="318">
        <v>1022456.0473946297</v>
      </c>
      <c r="AO246" s="318">
        <v>1106641.0223833048</v>
      </c>
      <c r="AP246" s="318">
        <v>1183075.3329927376</v>
      </c>
      <c r="AQ246" s="318">
        <v>1251257.9602040595</v>
      </c>
      <c r="AR246" s="318">
        <v>1312183.8475582339</v>
      </c>
      <c r="AS246" s="318">
        <v>1366805.8115216654</v>
      </c>
      <c r="AT246" s="318">
        <v>1369737.2365038316</v>
      </c>
      <c r="AU246" s="318">
        <v>1372797.8010152234</v>
      </c>
      <c r="AV246" s="318">
        <v>1376333.9175407183</v>
      </c>
      <c r="AW246" s="318">
        <v>1379930.2683454505</v>
      </c>
      <c r="AX246" s="318">
        <v>1383955.4318727076</v>
      </c>
    </row>
    <row r="247" spans="2:50">
      <c r="B247" t="str">
        <f ca="1">OFFSET('Scenario names'!$C$3,3,0)</f>
        <v>No Constraints</v>
      </c>
      <c r="E247" t="s">
        <v>235</v>
      </c>
      <c r="G247" s="44" t="s">
        <v>213</v>
      </c>
      <c r="I247" s="45" t="s">
        <v>1209</v>
      </c>
      <c r="K247" s="38" t="s">
        <v>1224</v>
      </c>
      <c r="M247" s="44" t="str">
        <f t="shared" ca="1" si="44"/>
        <v>HGVs - Dieselthousand kmNo Constraints</v>
      </c>
      <c r="O247" s="318">
        <v>1449172.8200231206</v>
      </c>
      <c r="P247" s="318">
        <v>1461386.9888682123</v>
      </c>
      <c r="Q247" s="318">
        <v>1459928.4286454301</v>
      </c>
      <c r="R247" s="318">
        <v>1457673.0753977578</v>
      </c>
      <c r="S247" s="318">
        <v>1457021.4726727884</v>
      </c>
      <c r="T247" s="318">
        <v>1461466.3207976515</v>
      </c>
      <c r="U247" s="318">
        <v>1460799.7206102309</v>
      </c>
      <c r="V247" s="318">
        <v>1457442.8051621441</v>
      </c>
      <c r="W247" s="318">
        <v>1456427.0100104283</v>
      </c>
      <c r="X247" s="318">
        <v>1395853.8532171329</v>
      </c>
      <c r="Y247" s="318">
        <v>1364830.6976090958</v>
      </c>
      <c r="Z247" s="318">
        <v>1288735.4916626168</v>
      </c>
      <c r="AA247" s="318">
        <v>1164500.5735388424</v>
      </c>
      <c r="AB247" s="318">
        <v>1051093.1547929014</v>
      </c>
      <c r="AC247" s="318">
        <v>938824.64700163133</v>
      </c>
      <c r="AD247" s="318">
        <v>817369.57238542207</v>
      </c>
      <c r="AE247" s="318">
        <v>718518.86851190613</v>
      </c>
      <c r="AF247" s="318">
        <v>624913.26628654078</v>
      </c>
      <c r="AG247" s="318">
        <v>535250.76012418803</v>
      </c>
      <c r="AH247" s="318">
        <v>450633.96484328702</v>
      </c>
      <c r="AI247" s="318">
        <v>371513.8982213689</v>
      </c>
      <c r="AJ247" s="318">
        <v>309522.13470629952</v>
      </c>
      <c r="AK247" s="318">
        <v>257734.81011478422</v>
      </c>
      <c r="AL247" s="318">
        <v>208591.97299875814</v>
      </c>
      <c r="AM247" s="318">
        <v>162049.97020824981</v>
      </c>
      <c r="AN247" s="318">
        <v>117669.15828271255</v>
      </c>
      <c r="AO247" s="318">
        <v>99116.952405099059</v>
      </c>
      <c r="AP247" s="318">
        <v>82188.43168728883</v>
      </c>
      <c r="AQ247" s="318">
        <v>66489.641043696698</v>
      </c>
      <c r="AR247" s="318">
        <v>51797.901529684372</v>
      </c>
      <c r="AS247" s="318">
        <v>38257.262687902527</v>
      </c>
      <c r="AT247" s="318">
        <v>31529.380973661213</v>
      </c>
      <c r="AU247" s="318">
        <v>25379.407967988605</v>
      </c>
      <c r="AV247" s="318">
        <v>19841.214983496811</v>
      </c>
      <c r="AW247" s="318">
        <v>14949.535557194538</v>
      </c>
      <c r="AX247" s="318">
        <v>10728.577498335075</v>
      </c>
    </row>
    <row r="248" spans="2:50">
      <c r="B248" t="str">
        <f ca="1">OFFSET('Scenario names'!$C$3,3,0)</f>
        <v>No Constraints</v>
      </c>
      <c r="E248" t="s">
        <v>235</v>
      </c>
      <c r="G248" s="44" t="s">
        <v>1200</v>
      </c>
      <c r="I248" s="45" t="s">
        <v>1210</v>
      </c>
      <c r="K248" s="38" t="s">
        <v>1224</v>
      </c>
      <c r="M248" s="44" t="str">
        <f t="shared" ca="1" si="44"/>
        <v>HGVs - Electricthousand kmNo Constraints</v>
      </c>
      <c r="O248" s="318">
        <v>0</v>
      </c>
      <c r="P248" s="318">
        <v>2255.6171384372292</v>
      </c>
      <c r="Q248" s="318">
        <v>4513.6985583971436</v>
      </c>
      <c r="R248" s="318">
        <v>6770.5547863166466</v>
      </c>
      <c r="S248" s="318">
        <v>7422.157511286201</v>
      </c>
      <c r="T248" s="318">
        <v>2977.3093864227958</v>
      </c>
      <c r="U248" s="318">
        <v>3643.9095738435285</v>
      </c>
      <c r="V248" s="318">
        <v>7000.8250219303209</v>
      </c>
      <c r="W248" s="318">
        <v>8016.6201736464</v>
      </c>
      <c r="X248" s="318">
        <v>68589.776966941616</v>
      </c>
      <c r="Y248" s="318">
        <v>99612.932574978753</v>
      </c>
      <c r="Z248" s="318">
        <v>160665.98769875296</v>
      </c>
      <c r="AA248" s="318">
        <v>270280.19466238149</v>
      </c>
      <c r="AB248" s="318">
        <v>369303.63566842314</v>
      </c>
      <c r="AC248" s="318">
        <v>467984.05113080487</v>
      </c>
      <c r="AD248" s="318">
        <v>578126.76655105024</v>
      </c>
      <c r="AE248" s="318">
        <v>637338.49690412602</v>
      </c>
      <c r="AF248" s="318">
        <v>691165.49536874657</v>
      </c>
      <c r="AG248" s="318">
        <v>741509.84362446982</v>
      </c>
      <c r="AH248" s="318">
        <v>787723.06492474279</v>
      </c>
      <c r="AI248" s="318">
        <v>829697.32698920649</v>
      </c>
      <c r="AJ248" s="318">
        <v>863421.12218959653</v>
      </c>
      <c r="AK248" s="318">
        <v>894723.85390287568</v>
      </c>
      <c r="AL248" s="318">
        <v>923903.0215340578</v>
      </c>
      <c r="AM248" s="318">
        <v>950993.67923341191</v>
      </c>
      <c r="AN248" s="318">
        <v>976348.8674559975</v>
      </c>
      <c r="AO248" s="318">
        <v>989734.25426080974</v>
      </c>
      <c r="AP248" s="318">
        <v>1001815.7969302461</v>
      </c>
      <c r="AQ248" s="318">
        <v>1012909.8474521538</v>
      </c>
      <c r="AR248" s="318">
        <v>1023195.2204411054</v>
      </c>
      <c r="AS248" s="318">
        <v>1032556.2419006655</v>
      </c>
      <c r="AT248" s="318">
        <v>1056959.0888987242</v>
      </c>
      <c r="AU248" s="318">
        <v>1080903.2070350468</v>
      </c>
      <c r="AV248" s="318">
        <v>1104350.7157005223</v>
      </c>
      <c r="AW248" s="318">
        <v>1127279.0640434453</v>
      </c>
      <c r="AX248" s="318">
        <v>1149668.8128209715</v>
      </c>
    </row>
    <row r="249" spans="2:50">
      <c r="B249" t="str">
        <f ca="1">OFFSET('Scenario names'!$C$3,3,0)</f>
        <v>No Constraints</v>
      </c>
      <c r="E249" t="s">
        <v>235</v>
      </c>
      <c r="G249" s="44" t="s">
        <v>1203</v>
      </c>
      <c r="I249" s="45" t="s">
        <v>1211</v>
      </c>
      <c r="K249" s="38" t="s">
        <v>1224</v>
      </c>
      <c r="M249" s="44" t="str">
        <f t="shared" ca="1" si="44"/>
        <v>HGVs - H2thousand kmNo Constraints</v>
      </c>
      <c r="O249" s="318">
        <v>0</v>
      </c>
      <c r="P249" s="318">
        <v>0</v>
      </c>
      <c r="Q249" s="318">
        <v>0</v>
      </c>
      <c r="R249" s="318">
        <v>0</v>
      </c>
      <c r="S249" s="318">
        <v>0</v>
      </c>
      <c r="T249" s="318">
        <v>0</v>
      </c>
      <c r="U249" s="318">
        <v>0</v>
      </c>
      <c r="V249" s="318">
        <v>0</v>
      </c>
      <c r="W249" s="318">
        <v>0</v>
      </c>
      <c r="X249" s="318">
        <v>0</v>
      </c>
      <c r="Y249" s="318">
        <v>0</v>
      </c>
      <c r="Z249" s="318">
        <v>15042.150822704962</v>
      </c>
      <c r="AA249" s="318">
        <v>29662.861982850758</v>
      </c>
      <c r="AB249" s="318">
        <v>44046.83972275001</v>
      </c>
      <c r="AC249" s="318">
        <v>57634.93205163825</v>
      </c>
      <c r="AD249" s="318">
        <v>68947.291247602072</v>
      </c>
      <c r="AE249" s="318">
        <v>108586.26476804237</v>
      </c>
      <c r="AF249" s="318">
        <v>148364.86852878728</v>
      </c>
      <c r="AG249" s="318">
        <v>187683.02643541672</v>
      </c>
      <c r="AH249" s="318">
        <v>226086.6004160447</v>
      </c>
      <c r="AI249" s="318">
        <v>263232.40497349901</v>
      </c>
      <c r="AJ249" s="318">
        <v>291500.37328817841</v>
      </c>
      <c r="AK249" s="318">
        <v>311984.96616641467</v>
      </c>
      <c r="AL249" s="318">
        <v>331948.63565125858</v>
      </c>
      <c r="AM249" s="318">
        <v>351399.98074241274</v>
      </c>
      <c r="AN249" s="318">
        <v>370425.60444536444</v>
      </c>
      <c r="AO249" s="318">
        <v>375592.42351816565</v>
      </c>
      <c r="AP249" s="318">
        <v>380439.40156653954</v>
      </c>
      <c r="AQ249" s="318">
        <v>385044.14168822416</v>
      </c>
      <c r="AR249" s="318">
        <v>389450.5082132846</v>
      </c>
      <c r="AS249" s="318">
        <v>393630.12559550663</v>
      </c>
      <c r="AT249" s="318">
        <v>375955.16031168925</v>
      </c>
      <c r="AU249" s="318">
        <v>358167.66600305121</v>
      </c>
      <c r="AV249" s="318">
        <v>340258.35032206774</v>
      </c>
      <c r="AW249" s="318">
        <v>322221.68140544667</v>
      </c>
      <c r="AX249" s="318">
        <v>304052.89068678004</v>
      </c>
    </row>
    <row r="250" spans="2:50">
      <c r="B250" t="str">
        <f ca="1">OFFSET('Scenario names'!$C$3,3,0)</f>
        <v>No Constraints</v>
      </c>
      <c r="E250" t="s">
        <v>236</v>
      </c>
      <c r="G250" s="44" t="s">
        <v>213</v>
      </c>
      <c r="I250" s="45" t="s">
        <v>1212</v>
      </c>
      <c r="K250" s="38" t="s">
        <v>1224</v>
      </c>
      <c r="M250" s="44" t="str">
        <f t="shared" ca="1" si="44"/>
        <v>Buses - Dieselthousand kmNo Constraints</v>
      </c>
      <c r="O250" s="318">
        <v>842665.42318307841</v>
      </c>
      <c r="P250" s="318">
        <v>851079.31844850595</v>
      </c>
      <c r="Q250" s="318">
        <v>851544.22426143242</v>
      </c>
      <c r="R250" s="318">
        <v>851545.09821481362</v>
      </c>
      <c r="S250" s="318">
        <v>851545.09821481374</v>
      </c>
      <c r="T250" s="318">
        <v>831779.54179348482</v>
      </c>
      <c r="U250" s="318">
        <v>821936.20417211601</v>
      </c>
      <c r="V250" s="318">
        <v>778578.74368453491</v>
      </c>
      <c r="W250" s="318">
        <v>724587.02563357924</v>
      </c>
      <c r="X250" s="318">
        <v>670205.78673244361</v>
      </c>
      <c r="Y250" s="318">
        <v>615435.02698112861</v>
      </c>
      <c r="Z250" s="318">
        <v>547250.54565322818</v>
      </c>
      <c r="AA250" s="318">
        <v>479647.16237823374</v>
      </c>
      <c r="AB250" s="318">
        <v>410299.46643247671</v>
      </c>
      <c r="AC250" s="318">
        <v>340367.76825860888</v>
      </c>
      <c r="AD250" s="318">
        <v>269852.06785663014</v>
      </c>
      <c r="AE250" s="318">
        <v>245843.62100607049</v>
      </c>
      <c r="AF250" s="318">
        <v>221766.49878698934</v>
      </c>
      <c r="AG250" s="318">
        <v>197620.70119938676</v>
      </c>
      <c r="AH250" s="318">
        <v>173406.22824326262</v>
      </c>
      <c r="AI250" s="318">
        <v>149123.07991861695</v>
      </c>
      <c r="AJ250" s="318">
        <v>130120.85552180163</v>
      </c>
      <c r="AK250" s="318">
        <v>111064.91409134564</v>
      </c>
      <c r="AL250" s="318">
        <v>91955.255627249047</v>
      </c>
      <c r="AM250" s="318">
        <v>72791.880129511803</v>
      </c>
      <c r="AN250" s="318">
        <v>53574.787598133909</v>
      </c>
      <c r="AO250" s="318">
        <v>44605.233061147446</v>
      </c>
      <c r="AP250" s="318">
        <v>35633.631301552421</v>
      </c>
      <c r="AQ250" s="318">
        <v>26659.98231934883</v>
      </c>
      <c r="AR250" s="318">
        <v>17684.286114536666</v>
      </c>
      <c r="AS250" s="318">
        <v>8706.5426871159289</v>
      </c>
      <c r="AT250" s="318">
        <v>7116.554757711815</v>
      </c>
      <c r="AU250" s="318">
        <v>5526.204154919983</v>
      </c>
      <c r="AV250" s="318">
        <v>3935.4908787404306</v>
      </c>
      <c r="AW250" s="318">
        <v>2344.4149291731646</v>
      </c>
      <c r="AX250" s="318">
        <v>752.97630621818189</v>
      </c>
    </row>
    <row r="251" spans="2:50">
      <c r="B251" t="str">
        <f ca="1">OFFSET('Scenario names'!$C$3,3,0)</f>
        <v>No Constraints</v>
      </c>
      <c r="E251" t="s">
        <v>236</v>
      </c>
      <c r="G251" s="44" t="s">
        <v>1200</v>
      </c>
      <c r="I251" s="45" t="s">
        <v>1213</v>
      </c>
      <c r="K251" s="38" t="s">
        <v>1224</v>
      </c>
      <c r="M251" s="44" t="str">
        <f t="shared" ca="1" si="44"/>
        <v>Buses - Electricthousand kmNo Constraints</v>
      </c>
      <c r="O251" s="318">
        <v>10099.5989098674</v>
      </c>
      <c r="P251" s="318">
        <v>10200.441978910696</v>
      </c>
      <c r="Q251" s="318">
        <v>10206.01401510946</v>
      </c>
      <c r="R251" s="318">
        <v>10206.024489703972</v>
      </c>
      <c r="S251" s="318">
        <v>10206.024489703974</v>
      </c>
      <c r="T251" s="318">
        <v>19765.556421328904</v>
      </c>
      <c r="U251" s="318">
        <v>31249.466071592142</v>
      </c>
      <c r="V251" s="318">
        <v>87662.265146240155</v>
      </c>
      <c r="W251" s="318">
        <v>144463.36449997325</v>
      </c>
      <c r="X251" s="318">
        <v>201652.76413279134</v>
      </c>
      <c r="Y251" s="318">
        <v>259230.46404469456</v>
      </c>
      <c r="Z251" s="318">
        <v>323094.97848138836</v>
      </c>
      <c r="AA251" s="318">
        <v>387477.89513020078</v>
      </c>
      <c r="AB251" s="318">
        <v>452379.21399113198</v>
      </c>
      <c r="AC251" s="318">
        <v>517798.93506418163</v>
      </c>
      <c r="AD251" s="318">
        <v>583737.05834935012</v>
      </c>
      <c r="AE251" s="318">
        <v>595751.10028599447</v>
      </c>
      <c r="AF251" s="318">
        <v>607796.65440608002</v>
      </c>
      <c r="AG251" s="318">
        <v>619873.72070960735</v>
      </c>
      <c r="AH251" s="318">
        <v>631982.299196576</v>
      </c>
      <c r="AI251" s="318">
        <v>644122.38986698608</v>
      </c>
      <c r="AJ251" s="318">
        <v>654026.72978101787</v>
      </c>
      <c r="AK251" s="318">
        <v>663956.2422488404</v>
      </c>
      <c r="AL251" s="318">
        <v>673910.92727045435</v>
      </c>
      <c r="AM251" s="318">
        <v>683890.78484585905</v>
      </c>
      <c r="AN251" s="318">
        <v>693895.81497505493</v>
      </c>
      <c r="AO251" s="318">
        <v>700900.74038424832</v>
      </c>
      <c r="AP251" s="318">
        <v>707907.24546674057</v>
      </c>
      <c r="AQ251" s="318">
        <v>714915.33022253099</v>
      </c>
      <c r="AR251" s="318">
        <v>721924.99465161958</v>
      </c>
      <c r="AS251" s="318">
        <v>728936.23875400692</v>
      </c>
      <c r="AT251" s="318">
        <v>740244.00474353915</v>
      </c>
      <c r="AU251" s="318">
        <v>751554.32946384035</v>
      </c>
      <c r="AV251" s="318">
        <v>762867.2129149104</v>
      </c>
      <c r="AW251" s="318">
        <v>774182.65509674966</v>
      </c>
      <c r="AX251" s="318">
        <v>785500.65600935824</v>
      </c>
    </row>
    <row r="252" spans="2:50">
      <c r="B252" t="str">
        <f ca="1">OFFSET('Scenario names'!$C$3,3,0)</f>
        <v>No Constraints</v>
      </c>
      <c r="E252" t="s">
        <v>236</v>
      </c>
      <c r="G252" s="44" t="s">
        <v>1203</v>
      </c>
      <c r="I252" s="45" t="s">
        <v>1214</v>
      </c>
      <c r="K252" s="38" t="s">
        <v>1224</v>
      </c>
      <c r="M252" s="44" t="str">
        <f t="shared" ca="1" si="44"/>
        <v>Buses - H2thousand kmNo Constraints</v>
      </c>
      <c r="O252" s="318">
        <v>0</v>
      </c>
      <c r="P252" s="318">
        <v>0</v>
      </c>
      <c r="Q252" s="318">
        <v>0</v>
      </c>
      <c r="R252" s="318">
        <v>0</v>
      </c>
      <c r="S252" s="318">
        <v>0</v>
      </c>
      <c r="T252" s="318">
        <v>0</v>
      </c>
      <c r="U252" s="318">
        <v>1316.1219714132646</v>
      </c>
      <c r="V252" s="318">
        <v>1497.6622991881536</v>
      </c>
      <c r="W252" s="318">
        <v>1680.4231980575614</v>
      </c>
      <c r="X252" s="318">
        <v>1864.4046680214869</v>
      </c>
      <c r="Y252" s="318">
        <v>2049.6067090799311</v>
      </c>
      <c r="Z252" s="318">
        <v>10003.713566999884</v>
      </c>
      <c r="AA252" s="318">
        <v>16858.320159895178</v>
      </c>
      <c r="AB252" s="318">
        <v>24938.837211434431</v>
      </c>
      <c r="AC252" s="318">
        <v>33084.954278965888</v>
      </c>
      <c r="AD252" s="318">
        <v>41296.671362489549</v>
      </c>
      <c r="AE252" s="318">
        <v>54552.781947053772</v>
      </c>
      <c r="AF252" s="318">
        <v>67846.055716698073</v>
      </c>
      <c r="AG252" s="318">
        <v>81176.492671422471</v>
      </c>
      <c r="AH252" s="318">
        <v>94544.092811226932</v>
      </c>
      <c r="AI252" s="318">
        <v>107948.8561361115</v>
      </c>
      <c r="AJ252" s="318">
        <v>118308.44628954408</v>
      </c>
      <c r="AK252" s="318">
        <v>128696.58092282622</v>
      </c>
      <c r="AL252" s="318">
        <v>139113.26003595802</v>
      </c>
      <c r="AM252" s="318">
        <v>149558.48362893937</v>
      </c>
      <c r="AN252" s="318">
        <v>160032.25170177029</v>
      </c>
      <c r="AO252" s="318">
        <v>162100.38693457667</v>
      </c>
      <c r="AP252" s="318">
        <v>164168.98971669309</v>
      </c>
      <c r="AQ252" s="318">
        <v>166238.06004811963</v>
      </c>
      <c r="AR252" s="318">
        <v>168307.59792885621</v>
      </c>
      <c r="AS252" s="318">
        <v>170377.60335890285</v>
      </c>
      <c r="AT252" s="318">
        <v>160763.3314037883</v>
      </c>
      <c r="AU252" s="318">
        <v>151146.8633912924</v>
      </c>
      <c r="AV252" s="318">
        <v>141528.19932141501</v>
      </c>
      <c r="AW252" s="318">
        <v>131907.33919415632</v>
      </c>
      <c r="AX252" s="318">
        <v>122284.28300951624</v>
      </c>
    </row>
    <row r="253" spans="2:50">
      <c r="B253" t="str">
        <f ca="1">OFFSET('Scenario names'!$C$3,3,0)</f>
        <v>No Constraints</v>
      </c>
      <c r="E253" s="78" t="s">
        <v>237</v>
      </c>
      <c r="G253" s="44" t="s">
        <v>213</v>
      </c>
      <c r="I253" s="45" t="s">
        <v>1215</v>
      </c>
      <c r="K253" s="38" t="s">
        <v>1224</v>
      </c>
      <c r="M253" s="44" t="str">
        <f t="shared" ca="1" si="44"/>
        <v>Taxis - Dieselthousand kmNo Constraints</v>
      </c>
      <c r="O253" s="318">
        <v>511741.53441442834</v>
      </c>
      <c r="P253" s="318">
        <v>488798.6388920641</v>
      </c>
      <c r="Q253" s="318">
        <v>460997.76097326365</v>
      </c>
      <c r="R253" s="318">
        <v>432930.31897554098</v>
      </c>
      <c r="S253" s="318">
        <v>378052.60337395227</v>
      </c>
      <c r="T253" s="318">
        <v>379310.71802647732</v>
      </c>
      <c r="U253" s="318">
        <v>342571.72562862729</v>
      </c>
      <c r="V253" s="318">
        <v>304010.55387945659</v>
      </c>
      <c r="W253" s="318">
        <v>263928.83638457046</v>
      </c>
      <c r="X253" s="318">
        <v>233792.76760830352</v>
      </c>
      <c r="Y253" s="318">
        <v>208304.7619138686</v>
      </c>
      <c r="Z253" s="318">
        <v>178575.19863871398</v>
      </c>
      <c r="AA253" s="318">
        <v>144902.30605683025</v>
      </c>
      <c r="AB253" s="318">
        <v>113870.16679833242</v>
      </c>
      <c r="AC253" s="318">
        <v>82849.653751402468</v>
      </c>
      <c r="AD253" s="318">
        <v>56476.054771620242</v>
      </c>
      <c r="AE253" s="318">
        <v>41393.98588948918</v>
      </c>
      <c r="AF253" s="318">
        <v>27223.982429529788</v>
      </c>
      <c r="AG253" s="318">
        <v>13071.725963655887</v>
      </c>
      <c r="AH253" s="318">
        <v>8696.9850119638213</v>
      </c>
      <c r="AI253" s="318">
        <v>4339.7780921422691</v>
      </c>
      <c r="AJ253" s="318">
        <v>0</v>
      </c>
      <c r="AK253" s="318">
        <v>0</v>
      </c>
      <c r="AL253" s="318">
        <v>0</v>
      </c>
      <c r="AM253" s="318">
        <v>0</v>
      </c>
      <c r="AN253" s="318">
        <v>0</v>
      </c>
      <c r="AO253" s="318">
        <v>0</v>
      </c>
      <c r="AP253" s="318">
        <v>0</v>
      </c>
      <c r="AQ253" s="318">
        <v>0</v>
      </c>
      <c r="AR253" s="318">
        <v>0</v>
      </c>
      <c r="AS253" s="318">
        <v>0</v>
      </c>
      <c r="AT253" s="318">
        <v>0</v>
      </c>
      <c r="AU253" s="318">
        <v>0</v>
      </c>
      <c r="AV253" s="318">
        <v>0</v>
      </c>
      <c r="AW253" s="318">
        <v>0</v>
      </c>
      <c r="AX253" s="318">
        <v>0</v>
      </c>
    </row>
    <row r="254" spans="2:50">
      <c r="B254" t="str">
        <f ca="1">OFFSET('Scenario names'!$C$3,3,0)</f>
        <v>No Constraints</v>
      </c>
      <c r="E254" s="78" t="s">
        <v>237</v>
      </c>
      <c r="F254" s="35"/>
      <c r="G254" s="44" t="s">
        <v>1200</v>
      </c>
      <c r="I254" s="45" t="s">
        <v>1216</v>
      </c>
      <c r="K254" s="38" t="s">
        <v>1224</v>
      </c>
      <c r="M254" s="44" t="str">
        <f t="shared" ca="1" si="44"/>
        <v>Taxis - Electricthousand kmNo Constraints</v>
      </c>
      <c r="O254" s="318">
        <v>100430.46326657517</v>
      </c>
      <c r="P254" s="318">
        <v>129485.80974659129</v>
      </c>
      <c r="Q254" s="318">
        <v>157624.4282589925</v>
      </c>
      <c r="R254" s="318">
        <v>185692.50515850721</v>
      </c>
      <c r="S254" s="318">
        <v>242635.79884769086</v>
      </c>
      <c r="T254" s="318">
        <v>243443.26228276061</v>
      </c>
      <c r="U254" s="318">
        <v>279847.1941359581</v>
      </c>
      <c r="V254" s="318">
        <v>311070.39569279639</v>
      </c>
      <c r="W254" s="318">
        <v>343466.28622627241</v>
      </c>
      <c r="X254" s="318">
        <v>367690.66940798814</v>
      </c>
      <c r="Y254" s="318">
        <v>388072.69451476407</v>
      </c>
      <c r="Z254" s="318">
        <v>413322.97692215809</v>
      </c>
      <c r="AA254" s="318">
        <v>442085.71696762607</v>
      </c>
      <c r="AB254" s="318">
        <v>468046.78132714605</v>
      </c>
      <c r="AC254" s="318">
        <v>494470.09812475176</v>
      </c>
      <c r="AD254" s="318">
        <v>516732.14116793213</v>
      </c>
      <c r="AE254" s="318">
        <v>529070.37854433665</v>
      </c>
      <c r="AF254" s="318">
        <v>540413.35582022299</v>
      </c>
      <c r="AG254" s="318">
        <v>597725.17970618047</v>
      </c>
      <c r="AH254" s="318">
        <v>600739.41253794241</v>
      </c>
      <c r="AI254" s="318">
        <v>603686.37845469173</v>
      </c>
      <c r="AJ254" s="318">
        <v>606592.99009378918</v>
      </c>
      <c r="AK254" s="318">
        <v>605109.45404972276</v>
      </c>
      <c r="AL254" s="318">
        <v>603576.49481613678</v>
      </c>
      <c r="AM254" s="318">
        <v>601995.03523266898</v>
      </c>
      <c r="AN254" s="318">
        <v>600365.97530581243</v>
      </c>
      <c r="AO254" s="318">
        <v>599476.63269062596</v>
      </c>
      <c r="AP254" s="318">
        <v>598594.5648616578</v>
      </c>
      <c r="AQ254" s="318">
        <v>597719.68292131659</v>
      </c>
      <c r="AR254" s="318">
        <v>596851.89941456856</v>
      </c>
      <c r="AS254" s="318">
        <v>595991.12829979416</v>
      </c>
      <c r="AT254" s="318">
        <v>595109.10269374202</v>
      </c>
      <c r="AU254" s="318">
        <v>594230.62648650724</v>
      </c>
      <c r="AV254" s="318">
        <v>593355.67829616868</v>
      </c>
      <c r="AW254" s="318">
        <v>592484.23691220453</v>
      </c>
      <c r="AX254" s="318">
        <v>591616.281293776</v>
      </c>
    </row>
    <row r="255" spans="2:50">
      <c r="B255" t="str">
        <f ca="1">OFFSET('Scenario names'!$C$3,3,0)</f>
        <v>No Constraints</v>
      </c>
      <c r="E255" s="78" t="s">
        <v>237</v>
      </c>
      <c r="G255" s="44" t="s">
        <v>1203</v>
      </c>
      <c r="I255" s="45" t="s">
        <v>1217</v>
      </c>
      <c r="K255" s="38" t="s">
        <v>1224</v>
      </c>
      <c r="M255" s="44" t="str">
        <f t="shared" ca="1" si="44"/>
        <v>Taxis - H2thousand kmNo Constraints</v>
      </c>
      <c r="O255" s="318">
        <v>0</v>
      </c>
      <c r="P255" s="318">
        <v>0</v>
      </c>
      <c r="Q255" s="318">
        <v>0</v>
      </c>
      <c r="R255" s="318">
        <v>0</v>
      </c>
      <c r="S255" s="318">
        <v>0</v>
      </c>
      <c r="T255" s="318">
        <v>0</v>
      </c>
      <c r="U255" s="318">
        <v>335.06054465256869</v>
      </c>
      <c r="V255" s="318">
        <v>757.8531130168127</v>
      </c>
      <c r="W255" s="318">
        <v>1276.6555091683074</v>
      </c>
      <c r="X255" s="318">
        <v>1852.9591052548756</v>
      </c>
      <c r="Y255" s="318">
        <v>2485.1279622945553</v>
      </c>
      <c r="Z255" s="318">
        <v>3237.2868237786529</v>
      </c>
      <c r="AA255" s="318">
        <v>4100.6069779824838</v>
      </c>
      <c r="AB255" s="318">
        <v>5074.1934248974758</v>
      </c>
      <c r="AC255" s="318">
        <v>6128.6110788592041</v>
      </c>
      <c r="AD255" s="318">
        <v>7254.4339261128007</v>
      </c>
      <c r="AE255" s="318">
        <v>8438.1716343519292</v>
      </c>
      <c r="AF255" s="318">
        <v>9705.1040209376424</v>
      </c>
      <c r="AG255" s="318">
        <v>11957.074639401359</v>
      </c>
      <c r="AH255" s="318">
        <v>13317.582759331599</v>
      </c>
      <c r="AI255" s="318">
        <v>14727.823762403885</v>
      </c>
      <c r="AJ255" s="318">
        <v>16160.990215448786</v>
      </c>
      <c r="AK255" s="318">
        <v>17644.526259515034</v>
      </c>
      <c r="AL255" s="318">
        <v>19177.485493101194</v>
      </c>
      <c r="AM255" s="318">
        <v>20758.945076568922</v>
      </c>
      <c r="AN255" s="318">
        <v>22388.005003425569</v>
      </c>
      <c r="AO255" s="318">
        <v>23277.34761861201</v>
      </c>
      <c r="AP255" s="318">
        <v>24159.415447580162</v>
      </c>
      <c r="AQ255" s="318">
        <v>25034.29738792128</v>
      </c>
      <c r="AR255" s="318">
        <v>25902.080894669365</v>
      </c>
      <c r="AS255" s="318">
        <v>26762.85200944373</v>
      </c>
      <c r="AT255" s="318">
        <v>27644.877615495781</v>
      </c>
      <c r="AU255" s="318">
        <v>28523.353822730718</v>
      </c>
      <c r="AV255" s="318">
        <v>29398.302013069133</v>
      </c>
      <c r="AW255" s="318">
        <v>30269.743397033442</v>
      </c>
      <c r="AX255" s="318">
        <v>31137.699015461898</v>
      </c>
    </row>
    <row r="256" spans="2:50">
      <c r="B256" t="str">
        <f ca="1">OFFSET('Scenario names'!$C$3,3,0)</f>
        <v>No Constraints</v>
      </c>
      <c r="E256" s="38" t="s">
        <v>238</v>
      </c>
      <c r="F256" s="38"/>
      <c r="G256" s="44" t="s">
        <v>212</v>
      </c>
      <c r="I256" s="45" t="s">
        <v>1218</v>
      </c>
      <c r="K256" s="38" t="s">
        <v>1224</v>
      </c>
      <c r="M256" s="44" t="str">
        <f t="shared" ca="1" si="44"/>
        <v>Motorcycles - Dieselthousand kmNo Constraints</v>
      </c>
      <c r="O256" s="318">
        <v>621796.35599857685</v>
      </c>
      <c r="P256" s="318">
        <v>628004.9048150623</v>
      </c>
      <c r="Q256" s="318">
        <v>628347.9552505106</v>
      </c>
      <c r="R256" s="318">
        <v>621658.32298032357</v>
      </c>
      <c r="S256" s="318">
        <v>602664.51324976317</v>
      </c>
      <c r="T256" s="318">
        <v>581457.12230078084</v>
      </c>
      <c r="U256" s="318">
        <v>557124.31426130363</v>
      </c>
      <c r="V256" s="318">
        <v>531275.63896117848</v>
      </c>
      <c r="W256" s="318">
        <v>504160.79376587149</v>
      </c>
      <c r="X256" s="318">
        <v>476057.18553353637</v>
      </c>
      <c r="Y256" s="318">
        <v>447058.78955749713</v>
      </c>
      <c r="Z256" s="318">
        <v>417050.69617408677</v>
      </c>
      <c r="AA256" s="318">
        <v>386436.02853129513</v>
      </c>
      <c r="AB256" s="318">
        <v>355570.1614926352</v>
      </c>
      <c r="AC256" s="318">
        <v>324481.38246919139</v>
      </c>
      <c r="AD256" s="318">
        <v>293229.4117465748</v>
      </c>
      <c r="AE256" s="318">
        <v>264882.55779779045</v>
      </c>
      <c r="AF256" s="318">
        <v>238016.92774839807</v>
      </c>
      <c r="AG256" s="318">
        <v>212658.23364904316</v>
      </c>
      <c r="AH256" s="318">
        <v>188293.58633947585</v>
      </c>
      <c r="AI256" s="318">
        <v>163591.18792910047</v>
      </c>
      <c r="AJ256" s="318">
        <v>139942.24117507393</v>
      </c>
      <c r="AK256" s="318">
        <v>116971.46151313283</v>
      </c>
      <c r="AL256" s="318">
        <v>94577.630354237568</v>
      </c>
      <c r="AM256" s="318">
        <v>72975.383268590798</v>
      </c>
      <c r="AN256" s="318">
        <v>53313.056485651228</v>
      </c>
      <c r="AO256" s="318">
        <v>42244.120982645727</v>
      </c>
      <c r="AP256" s="318">
        <v>31994.015804296254</v>
      </c>
      <c r="AQ256" s="318">
        <v>22405.94389533938</v>
      </c>
      <c r="AR256" s="318">
        <v>13597.519381243821</v>
      </c>
      <c r="AS256" s="318">
        <v>5612.3419612717926</v>
      </c>
      <c r="AT256" s="318">
        <v>0</v>
      </c>
      <c r="AU256" s="318">
        <v>0</v>
      </c>
      <c r="AV256" s="318">
        <v>0</v>
      </c>
      <c r="AW256" s="318">
        <v>0</v>
      </c>
      <c r="AX256" s="318">
        <v>0</v>
      </c>
    </row>
    <row r="257" spans="2:50">
      <c r="B257" t="str">
        <f ca="1">OFFSET('Scenario names'!$C$3,3,0)</f>
        <v>No Constraints</v>
      </c>
      <c r="E257" s="78" t="s">
        <v>238</v>
      </c>
      <c r="G257" s="44" t="s">
        <v>1200</v>
      </c>
      <c r="I257" s="45" t="s">
        <v>1219</v>
      </c>
      <c r="K257" s="38" t="s">
        <v>1224</v>
      </c>
      <c r="M257" s="44" t="str">
        <f t="shared" ca="1" si="44"/>
        <v>Motorcycles - Electricthousand kmNo Constraints</v>
      </c>
      <c r="O257" s="318">
        <v>0</v>
      </c>
      <c r="P257" s="318">
        <v>0</v>
      </c>
      <c r="Q257" s="318">
        <v>0</v>
      </c>
      <c r="R257" s="318">
        <v>6690.277153687397</v>
      </c>
      <c r="S257" s="318">
        <v>17013.63032486934</v>
      </c>
      <c r="T257" s="318">
        <v>29550.564714472948</v>
      </c>
      <c r="U257" s="318">
        <v>44072.927837311305</v>
      </c>
      <c r="V257" s="318">
        <v>60111.158220797704</v>
      </c>
      <c r="W257" s="318">
        <v>77415.558499465827</v>
      </c>
      <c r="X257" s="318">
        <v>95708.721815162164</v>
      </c>
      <c r="Y257" s="318">
        <v>114896.67287456266</v>
      </c>
      <c r="Z257" s="318">
        <v>134883.50921307772</v>
      </c>
      <c r="AA257" s="318">
        <v>155476.91981097381</v>
      </c>
      <c r="AB257" s="318">
        <v>176321.52980473841</v>
      </c>
      <c r="AC257" s="318">
        <v>197389.05178328679</v>
      </c>
      <c r="AD257" s="318">
        <v>218619.76546100804</v>
      </c>
      <c r="AE257" s="318">
        <v>238470.32074311358</v>
      </c>
      <c r="AF257" s="318">
        <v>256839.65212582718</v>
      </c>
      <c r="AG257" s="318">
        <v>273702.04755850317</v>
      </c>
      <c r="AH257" s="318">
        <v>289570.3962013917</v>
      </c>
      <c r="AI257" s="318">
        <v>305776.49594508822</v>
      </c>
      <c r="AJ257" s="318">
        <v>320929.14403243607</v>
      </c>
      <c r="AK257" s="318">
        <v>335403.62502769829</v>
      </c>
      <c r="AL257" s="318">
        <v>349301.15751991479</v>
      </c>
      <c r="AM257" s="318">
        <v>362407.10593888274</v>
      </c>
      <c r="AN257" s="318">
        <v>373573.13405514346</v>
      </c>
      <c r="AO257" s="318">
        <v>383882.48738334049</v>
      </c>
      <c r="AP257" s="318">
        <v>393373.01038688159</v>
      </c>
      <c r="AQ257" s="318">
        <v>402201.50012103003</v>
      </c>
      <c r="AR257" s="318">
        <v>410250.34246031713</v>
      </c>
      <c r="AS257" s="318">
        <v>417475.93770548084</v>
      </c>
      <c r="AT257" s="318">
        <v>422328.69749194419</v>
      </c>
      <c r="AU257" s="318">
        <v>421569.1153171357</v>
      </c>
      <c r="AV257" s="318">
        <v>420809.53314232721</v>
      </c>
      <c r="AW257" s="318">
        <v>420049.95096751885</v>
      </c>
      <c r="AX257" s="318">
        <v>419290.36879271042</v>
      </c>
    </row>
    <row r="258" spans="2:50">
      <c r="AN258" s="36">
        <f>SUM(AN239:AN257)</f>
        <v>21045523.286256801</v>
      </c>
    </row>
    <row r="259" spans="2:50" s="414" customFormat="1">
      <c r="B259" s="414" t="s">
        <v>1225</v>
      </c>
    </row>
    <row r="264" spans="2:50">
      <c r="F264" t="s">
        <v>213</v>
      </c>
      <c r="K264" t="s">
        <v>1226</v>
      </c>
      <c r="M264" t="s">
        <v>1227</v>
      </c>
      <c r="O264" s="318">
        <v>3.2199299999999997</v>
      </c>
      <c r="P264" s="318">
        <v>3.2199299999999997</v>
      </c>
      <c r="Q264" s="318">
        <v>3.2199299999999997</v>
      </c>
      <c r="R264" s="318">
        <v>3.2199299999999997</v>
      </c>
      <c r="S264" s="318">
        <v>3.2199299999999997</v>
      </c>
      <c r="T264" s="318">
        <v>3.2199299999999997</v>
      </c>
      <c r="U264" s="318">
        <v>3.2199299999999997</v>
      </c>
      <c r="V264" s="318">
        <v>3.2199299999999997</v>
      </c>
      <c r="W264" s="318">
        <v>3.2199299999999997</v>
      </c>
      <c r="X264" s="318">
        <v>3.2199299999999997</v>
      </c>
      <c r="Y264" s="318">
        <v>3.2199299999999997</v>
      </c>
      <c r="Z264" s="318">
        <v>3.2199299999999997</v>
      </c>
      <c r="AA264" s="318">
        <v>3.2199299999999997</v>
      </c>
      <c r="AB264" s="318">
        <v>3.2199299999999997</v>
      </c>
      <c r="AC264" s="318">
        <v>3.2199299999999997</v>
      </c>
      <c r="AD264" s="318">
        <v>3.2199299999999997</v>
      </c>
      <c r="AE264" s="318">
        <v>3.2199299999999997</v>
      </c>
      <c r="AF264" s="318">
        <v>3.2199299999999997</v>
      </c>
      <c r="AG264" s="318">
        <v>3.2199299999999997</v>
      </c>
      <c r="AH264" s="318">
        <v>3.2199299999999997</v>
      </c>
      <c r="AI264" s="318">
        <v>3.2199299999999997</v>
      </c>
      <c r="AJ264" s="318">
        <v>3.2199299999999997</v>
      </c>
      <c r="AK264" s="318">
        <v>3.2199299999999997</v>
      </c>
      <c r="AL264" s="318">
        <v>3.2199299999999997</v>
      </c>
      <c r="AM264" s="318">
        <v>3.2199299999999997</v>
      </c>
      <c r="AN264" s="318">
        <v>3.2199299999999997</v>
      </c>
      <c r="AO264" s="318">
        <v>3.2199299999999997</v>
      </c>
      <c r="AP264" s="318">
        <v>3.2199299999999997</v>
      </c>
      <c r="AQ264" s="318">
        <v>3.2199299999999997</v>
      </c>
      <c r="AR264" s="318">
        <v>3.2199299999999997</v>
      </c>
      <c r="AS264" s="318">
        <v>3.2199299999999997</v>
      </c>
      <c r="AT264" s="318">
        <v>3.2199299999999997</v>
      </c>
      <c r="AU264" s="318">
        <v>3.2199299999999997</v>
      </c>
      <c r="AV264" s="318">
        <v>3.2199299999999997</v>
      </c>
      <c r="AW264" s="318">
        <v>3.2199299999999997</v>
      </c>
      <c r="AX264" s="318">
        <v>3.2199299999999997</v>
      </c>
    </row>
    <row r="265" spans="2:50">
      <c r="F265" t="s">
        <v>212</v>
      </c>
      <c r="K265" t="s">
        <v>1226</v>
      </c>
      <c r="M265" t="s">
        <v>1227</v>
      </c>
      <c r="O265" s="318">
        <v>2.7960736074047077</v>
      </c>
      <c r="P265" s="318">
        <v>2.7960736074047077</v>
      </c>
      <c r="Q265" s="318">
        <v>2.7960736074047077</v>
      </c>
      <c r="R265" s="318">
        <v>2.7960736074047077</v>
      </c>
      <c r="S265" s="318">
        <v>2.7960736074047077</v>
      </c>
      <c r="T265" s="318">
        <v>2.7960736074047077</v>
      </c>
      <c r="U265" s="318">
        <v>2.7621573814725497</v>
      </c>
      <c r="V265" s="318">
        <v>2.7398498848125921</v>
      </c>
      <c r="W265" s="318">
        <v>2.6728441142264296</v>
      </c>
      <c r="X265" s="318">
        <v>2.6723472211087755</v>
      </c>
      <c r="Y265" s="318">
        <v>2.671850327991121</v>
      </c>
      <c r="Z265" s="318">
        <v>2.671850327991121</v>
      </c>
      <c r="AA265" s="318">
        <v>2.671850327991121</v>
      </c>
      <c r="AB265" s="318">
        <v>2.671850327991121</v>
      </c>
      <c r="AC265" s="318">
        <v>2.671850327991121</v>
      </c>
      <c r="AD265" s="318">
        <v>2.671850327991121</v>
      </c>
      <c r="AE265" s="318">
        <v>2.671850327991121</v>
      </c>
      <c r="AF265" s="318">
        <v>2.671850327991121</v>
      </c>
      <c r="AG265" s="318">
        <v>2.671850327991121</v>
      </c>
      <c r="AH265" s="318">
        <v>2.671850327991121</v>
      </c>
      <c r="AI265" s="318">
        <v>2.671850327991121</v>
      </c>
      <c r="AJ265" s="318">
        <v>2.671850327991121</v>
      </c>
      <c r="AK265" s="318">
        <v>2.671850327991121</v>
      </c>
      <c r="AL265" s="318">
        <v>2.671850327991121</v>
      </c>
      <c r="AM265" s="318">
        <v>2.671850327991121</v>
      </c>
      <c r="AN265" s="318">
        <v>2.671850327991121</v>
      </c>
      <c r="AO265" s="318">
        <v>2.671850327991121</v>
      </c>
      <c r="AP265" s="318">
        <v>2.671850327991121</v>
      </c>
      <c r="AQ265" s="318">
        <v>2.671850327991121</v>
      </c>
      <c r="AR265" s="318">
        <v>2.671850327991121</v>
      </c>
      <c r="AS265" s="318">
        <v>2.671850327991121</v>
      </c>
      <c r="AT265" s="318">
        <v>2.671850327991121</v>
      </c>
      <c r="AU265" s="318">
        <v>2.671850327991121</v>
      </c>
      <c r="AV265" s="318">
        <v>2.671850327991121</v>
      </c>
      <c r="AW265" s="318">
        <v>2.671850327991121</v>
      </c>
      <c r="AX265" s="318">
        <v>2.671850327991121</v>
      </c>
    </row>
    <row r="267" spans="2:50">
      <c r="F267" t="s">
        <v>213</v>
      </c>
      <c r="K267" t="s">
        <v>1228</v>
      </c>
      <c r="M267" t="s">
        <v>1227</v>
      </c>
      <c r="O267" s="318">
        <v>10.597154198387052</v>
      </c>
    </row>
    <row r="268" spans="2:50">
      <c r="F268" t="s">
        <v>212</v>
      </c>
      <c r="K268" t="s">
        <v>1228</v>
      </c>
      <c r="M268" t="s">
        <v>1227</v>
      </c>
      <c r="O268" s="318">
        <v>9.5615496094891217</v>
      </c>
    </row>
    <row r="270" spans="2:50">
      <c r="F270" t="s">
        <v>213</v>
      </c>
      <c r="K270" t="s">
        <v>726</v>
      </c>
      <c r="O270" s="327">
        <f>O264/O267</f>
        <v>0.30384855591608656</v>
      </c>
    </row>
    <row r="272" spans="2:50" ht="15.75" thickBot="1">
      <c r="M272" s="35" t="s">
        <v>1229</v>
      </c>
    </row>
    <row r="273" spans="13:50" ht="16.5" thickTop="1" thickBot="1">
      <c r="M273" t="s">
        <v>233</v>
      </c>
      <c r="O273" s="644">
        <f ca="1">O$15*SUMIFS(O$96:O$257,$E$96:$E$257,$M273,$B$96:$B$257,$E$13,$K$96:$K$257,"thousand km")</f>
        <v>5872366.6667583464</v>
      </c>
      <c r="P273" s="644">
        <f t="shared" ref="P273:AX278" ca="1" si="45">P$15*SUMIFS(P$96:P$257,$E$96:$E$257,$M273,$B$96:$B$257,$E$13,$K$96:$K$257,"thousand km")</f>
        <v>5910356.0215704506</v>
      </c>
      <c r="Q273" s="644">
        <f t="shared" ca="1" si="45"/>
        <v>5891956.4666960696</v>
      </c>
      <c r="R273" s="644">
        <f t="shared" ca="1" si="45"/>
        <v>5867992.0387860565</v>
      </c>
      <c r="S273" s="644">
        <f t="shared" ca="1" si="45"/>
        <v>5805012.937544209</v>
      </c>
      <c r="T273" s="644">
        <f t="shared" ca="1" si="45"/>
        <v>5736330.999148827</v>
      </c>
      <c r="U273" s="644">
        <f t="shared" ca="1" si="45"/>
        <v>5693599.9703346537</v>
      </c>
      <c r="V273" s="644">
        <f t="shared" ca="1" si="45"/>
        <v>5640900.4339855546</v>
      </c>
      <c r="W273" s="644">
        <f t="shared" ca="1" si="45"/>
        <v>5588333.295537944</v>
      </c>
      <c r="X273" s="644">
        <f t="shared" ca="1" si="45"/>
        <v>5535725.9164547464</v>
      </c>
      <c r="Y273" s="644">
        <f t="shared" ca="1" si="45"/>
        <v>5482921.1560556972</v>
      </c>
      <c r="Z273" s="644">
        <f t="shared" ca="1" si="45"/>
        <v>5416914.0744316187</v>
      </c>
      <c r="AA273" s="644">
        <f t="shared" ca="1" si="45"/>
        <v>5350921.2104080208</v>
      </c>
      <c r="AB273" s="644">
        <f t="shared" ca="1" si="45"/>
        <v>5284783.9675761051</v>
      </c>
      <c r="AC273" s="644">
        <f t="shared" ca="1" si="45"/>
        <v>5218663.7179891728</v>
      </c>
      <c r="AD273" s="644">
        <f t="shared" ca="1" si="45"/>
        <v>5152561.2743197531</v>
      </c>
      <c r="AE273" s="644">
        <f t="shared" ca="1" si="45"/>
        <v>5064653.3441396458</v>
      </c>
      <c r="AF273" s="644">
        <f t="shared" ca="1" si="45"/>
        <v>4976744.6141862683</v>
      </c>
      <c r="AG273" s="644">
        <f t="shared" ca="1" si="45"/>
        <v>4888971.3821944389</v>
      </c>
      <c r="AH273" s="644">
        <f t="shared" ca="1" si="45"/>
        <v>4801059.6302567665</v>
      </c>
      <c r="AI273" s="644">
        <f t="shared" ca="1" si="45"/>
        <v>4713147.878319093</v>
      </c>
      <c r="AJ273" s="644">
        <f t="shared" ca="1" si="45"/>
        <v>4625236.1263814196</v>
      </c>
      <c r="AK273" s="644">
        <f t="shared" ca="1" si="45"/>
        <v>4537324.374443749</v>
      </c>
      <c r="AL273" s="644">
        <f t="shared" ca="1" si="45"/>
        <v>4449412.6225060765</v>
      </c>
      <c r="AM273" s="644">
        <f t="shared" ca="1" si="45"/>
        <v>4361500.870568403</v>
      </c>
      <c r="AN273" s="644">
        <f t="shared" ca="1" si="45"/>
        <v>4273589.1186307305</v>
      </c>
      <c r="AO273" s="644">
        <f t="shared" ca="1" si="45"/>
        <v>4265442.4044260243</v>
      </c>
      <c r="AP273" s="644">
        <f t="shared" ca="1" si="45"/>
        <v>4257295.690221318</v>
      </c>
      <c r="AQ273" s="644">
        <f t="shared" ca="1" si="45"/>
        <v>4249148.9760166109</v>
      </c>
      <c r="AR273" s="644">
        <f t="shared" ca="1" si="45"/>
        <v>4241002.2618119055</v>
      </c>
      <c r="AS273" s="644">
        <f t="shared" ca="1" si="45"/>
        <v>4232855.5476071984</v>
      </c>
      <c r="AT273" s="644">
        <f t="shared" ca="1" si="45"/>
        <v>4224708.8334024921</v>
      </c>
      <c r="AU273" s="644">
        <f t="shared" ca="1" si="45"/>
        <v>4216562.1191977859</v>
      </c>
      <c r="AV273" s="644">
        <f t="shared" ca="1" si="45"/>
        <v>4208415.4049930796</v>
      </c>
      <c r="AW273" s="644">
        <f t="shared" ca="1" si="45"/>
        <v>4200268.6907883734</v>
      </c>
      <c r="AX273" s="644">
        <f t="shared" ca="1" si="45"/>
        <v>4192121.9765836671</v>
      </c>
    </row>
    <row r="274" spans="13:50" ht="16.5" thickTop="1" thickBot="1">
      <c r="M274" t="s">
        <v>234</v>
      </c>
      <c r="O274" s="644">
        <f t="shared" ref="O274:AD278" ca="1" si="46">O$15*SUMIFS(O$96:O$257,$E$96:$E$257,$M274,$B$96:$B$257,$E$13,$K$96:$K$257,"thousand km")</f>
        <v>1135953.7137833748</v>
      </c>
      <c r="P274" s="644">
        <f t="shared" ca="1" si="46"/>
        <v>1143265.4053700352</v>
      </c>
      <c r="Q274" s="644">
        <f t="shared" ca="1" si="46"/>
        <v>1139758.0829416462</v>
      </c>
      <c r="R274" s="644">
        <f t="shared" ca="1" si="46"/>
        <v>1135524.733723822</v>
      </c>
      <c r="S274" s="644">
        <f t="shared" ca="1" si="46"/>
        <v>1147684.5377636307</v>
      </c>
      <c r="T274" s="644">
        <f t="shared" ca="1" si="46"/>
        <v>1000078.5478645751</v>
      </c>
      <c r="U274" s="644">
        <f t="shared" ca="1" si="46"/>
        <v>1000891.6246515997</v>
      </c>
      <c r="V274" s="644">
        <f t="shared" ca="1" si="46"/>
        <v>1003777.4632795267</v>
      </c>
      <c r="W274" s="644">
        <f t="shared" ca="1" si="46"/>
        <v>1006680.7803613701</v>
      </c>
      <c r="X274" s="644">
        <f t="shared" ca="1" si="46"/>
        <v>1009602.0243599268</v>
      </c>
      <c r="Y274" s="644">
        <f t="shared" ca="1" si="46"/>
        <v>1012541.6592125746</v>
      </c>
      <c r="Z274" s="644">
        <f t="shared" ca="1" si="46"/>
        <v>1014323.9314040878</v>
      </c>
      <c r="AA274" s="644">
        <f t="shared" ca="1" si="46"/>
        <v>1016102.6132292227</v>
      </c>
      <c r="AB274" s="644">
        <f t="shared" ca="1" si="46"/>
        <v>1017877.6579501978</v>
      </c>
      <c r="AC274" s="644">
        <f t="shared" ca="1" si="46"/>
        <v>1019649.0180144804</v>
      </c>
      <c r="AD274" s="644">
        <f t="shared" ca="1" si="46"/>
        <v>1021416.6450369559</v>
      </c>
      <c r="AE274" s="644">
        <f t="shared" ca="1" si="45"/>
        <v>1026280.533822846</v>
      </c>
      <c r="AF274" s="644">
        <f t="shared" ca="1" si="45"/>
        <v>1031144.4226087362</v>
      </c>
      <c r="AG274" s="644">
        <f t="shared" ca="1" si="45"/>
        <v>1036008.3113946265</v>
      </c>
      <c r="AH274" s="644">
        <f t="shared" ca="1" si="45"/>
        <v>1040872.2001805167</v>
      </c>
      <c r="AI274" s="644">
        <f t="shared" ca="1" si="45"/>
        <v>1045736.088966407</v>
      </c>
      <c r="AJ274" s="644">
        <f t="shared" ca="1" si="45"/>
        <v>1050599.9777522977</v>
      </c>
      <c r="AK274" s="644">
        <f t="shared" ca="1" si="45"/>
        <v>1055463.8665381877</v>
      </c>
      <c r="AL274" s="644">
        <f t="shared" ca="1" si="45"/>
        <v>1060327.7553240778</v>
      </c>
      <c r="AM274" s="644">
        <f t="shared" ca="1" si="45"/>
        <v>1065191.6441099676</v>
      </c>
      <c r="AN274" s="644">
        <f t="shared" ca="1" si="45"/>
        <v>1070055.5328958582</v>
      </c>
      <c r="AO274" s="644">
        <f t="shared" ca="1" si="45"/>
        <v>1074919.4216817482</v>
      </c>
      <c r="AP274" s="644">
        <f t="shared" ca="1" si="45"/>
        <v>1079783.3104676385</v>
      </c>
      <c r="AQ274" s="644">
        <f t="shared" ca="1" si="45"/>
        <v>1084647.1992535288</v>
      </c>
      <c r="AR274" s="644">
        <f t="shared" ca="1" si="45"/>
        <v>1089511.0880394189</v>
      </c>
      <c r="AS274" s="644">
        <f t="shared" ca="1" si="45"/>
        <v>1094374.9768253092</v>
      </c>
      <c r="AT274" s="644">
        <f t="shared" ca="1" si="45"/>
        <v>1099238.8656111995</v>
      </c>
      <c r="AU274" s="644">
        <f t="shared" ca="1" si="45"/>
        <v>1104102.7543970894</v>
      </c>
      <c r="AV274" s="644">
        <f t="shared" ca="1" si="45"/>
        <v>1108966.6431829799</v>
      </c>
      <c r="AW274" s="644">
        <f t="shared" ca="1" si="45"/>
        <v>1113830.53196887</v>
      </c>
      <c r="AX274" s="644">
        <f t="shared" ca="1" si="45"/>
        <v>1118694.4207547614</v>
      </c>
    </row>
    <row r="275" spans="13:50" ht="16.5" thickTop="1" thickBot="1">
      <c r="M275" t="s">
        <v>237</v>
      </c>
      <c r="O275" s="644">
        <f t="shared" ca="1" si="46"/>
        <v>167061.10842650378</v>
      </c>
      <c r="P275" s="644">
        <f t="shared" ca="1" si="45"/>
        <v>168136.4157089387</v>
      </c>
      <c r="Q275" s="644">
        <f t="shared" ca="1" si="45"/>
        <v>167620.60492775435</v>
      </c>
      <c r="R275" s="644">
        <f t="shared" ca="1" si="45"/>
        <v>166998.01969025316</v>
      </c>
      <c r="S275" s="644">
        <f t="shared" ca="1" si="45"/>
        <v>166915.06557169525</v>
      </c>
      <c r="T275" s="644">
        <f t="shared" ca="1" si="45"/>
        <v>166811.46979166206</v>
      </c>
      <c r="U275" s="644">
        <f t="shared" ca="1" si="45"/>
        <v>167478.23515658922</v>
      </c>
      <c r="V275" s="644">
        <f t="shared" ca="1" si="45"/>
        <v>166281.00994012819</v>
      </c>
      <c r="W275" s="644">
        <f t="shared" ca="1" si="45"/>
        <v>165003.80074962688</v>
      </c>
      <c r="X275" s="644">
        <f t="shared" ca="1" si="45"/>
        <v>164212.83218792273</v>
      </c>
      <c r="Y275" s="644">
        <f t="shared" ca="1" si="45"/>
        <v>163648.98259883747</v>
      </c>
      <c r="Z275" s="644">
        <f t="shared" ca="1" si="45"/>
        <v>162915.20040324441</v>
      </c>
      <c r="AA275" s="644">
        <f t="shared" ca="1" si="45"/>
        <v>162089.60820211752</v>
      </c>
      <c r="AB275" s="644">
        <f t="shared" ca="1" si="45"/>
        <v>161245.66127723485</v>
      </c>
      <c r="AC275" s="644">
        <f t="shared" ca="1" si="45"/>
        <v>160549.87282021815</v>
      </c>
      <c r="AD275" s="644">
        <f t="shared" ca="1" si="45"/>
        <v>160003.68086577428</v>
      </c>
      <c r="AE275" s="644">
        <f t="shared" ca="1" si="45"/>
        <v>159928.35491946762</v>
      </c>
      <c r="AF275" s="644">
        <f t="shared" ca="1" si="45"/>
        <v>159851.11713688518</v>
      </c>
      <c r="AG275" s="644">
        <f t="shared" ca="1" si="45"/>
        <v>172805.97256503114</v>
      </c>
      <c r="AH275" s="644">
        <f t="shared" ca="1" si="45"/>
        <v>173187.55335600351</v>
      </c>
      <c r="AI275" s="644">
        <f t="shared" ca="1" si="45"/>
        <v>173569.13414697582</v>
      </c>
      <c r="AJ275" s="644">
        <f t="shared" ca="1" si="45"/>
        <v>173950.71493794821</v>
      </c>
      <c r="AK275" s="644">
        <f t="shared" ca="1" si="45"/>
        <v>174332.29572892049</v>
      </c>
      <c r="AL275" s="644">
        <f t="shared" ca="1" si="45"/>
        <v>174713.87651989283</v>
      </c>
      <c r="AM275" s="644">
        <f t="shared" ca="1" si="45"/>
        <v>175095.45731086511</v>
      </c>
      <c r="AN275" s="644">
        <f t="shared" ca="1" si="45"/>
        <v>175477.0381018375</v>
      </c>
      <c r="AO275" s="644">
        <f t="shared" ca="1" si="45"/>
        <v>175517.27235997058</v>
      </c>
      <c r="AP275" s="644">
        <f t="shared" ca="1" si="45"/>
        <v>175557.50661810371</v>
      </c>
      <c r="AQ275" s="644">
        <f t="shared" ca="1" si="45"/>
        <v>175597.74087623681</v>
      </c>
      <c r="AR275" s="644">
        <f t="shared" ca="1" si="45"/>
        <v>175637.97513436995</v>
      </c>
      <c r="AS275" s="644">
        <f t="shared" ca="1" si="45"/>
        <v>175678.20939250302</v>
      </c>
      <c r="AT275" s="644">
        <f t="shared" ca="1" si="45"/>
        <v>175718.44365063621</v>
      </c>
      <c r="AU275" s="644">
        <f t="shared" ca="1" si="45"/>
        <v>175758.67790876931</v>
      </c>
      <c r="AV275" s="644">
        <f t="shared" ca="1" si="45"/>
        <v>175798.91216690242</v>
      </c>
      <c r="AW275" s="644">
        <f t="shared" ca="1" si="45"/>
        <v>175839.14642503561</v>
      </c>
      <c r="AX275" s="644">
        <f t="shared" ca="1" si="45"/>
        <v>175879.38068316871</v>
      </c>
    </row>
    <row r="276" spans="13:50" ht="16.5" thickTop="1" thickBot="1">
      <c r="M276" t="s">
        <v>235</v>
      </c>
      <c r="O276" s="644">
        <f t="shared" ca="1" si="46"/>
        <v>395479.56789801281</v>
      </c>
      <c r="P276" s="644">
        <f t="shared" ca="1" si="45"/>
        <v>398025.11583206139</v>
      </c>
      <c r="Q276" s="644">
        <f t="shared" ca="1" si="45"/>
        <v>396804.04991922708</v>
      </c>
      <c r="R276" s="644">
        <f t="shared" ca="1" si="45"/>
        <v>395330.2195165336</v>
      </c>
      <c r="S276" s="644">
        <f t="shared" ca="1" si="45"/>
        <v>393818.88529847417</v>
      </c>
      <c r="T276" s="644">
        <f t="shared" ca="1" si="45"/>
        <v>392269.03646626772</v>
      </c>
      <c r="U276" s="644">
        <f t="shared" ca="1" si="45"/>
        <v>394031.2467452354</v>
      </c>
      <c r="V276" s="644">
        <f t="shared" ca="1" si="45"/>
        <v>395325.49729500106</v>
      </c>
      <c r="W276" s="644">
        <f t="shared" ca="1" si="45"/>
        <v>397103.00110672548</v>
      </c>
      <c r="X276" s="644">
        <f t="shared" ca="1" si="45"/>
        <v>398412.13393879763</v>
      </c>
      <c r="Y276" s="644">
        <f t="shared" ca="1" si="45"/>
        <v>399728.79323694034</v>
      </c>
      <c r="Z276" s="644">
        <f t="shared" ca="1" si="45"/>
        <v>401768.33641158923</v>
      </c>
      <c r="AA276" s="644">
        <f t="shared" ca="1" si="45"/>
        <v>403333.58255949954</v>
      </c>
      <c r="AB276" s="644">
        <f t="shared" ca="1" si="45"/>
        <v>405377.95399003109</v>
      </c>
      <c r="AC276" s="644">
        <f t="shared" ca="1" si="45"/>
        <v>406948.23589123948</v>
      </c>
      <c r="AD276" s="644">
        <f t="shared" ca="1" si="45"/>
        <v>408997.3098508243</v>
      </c>
      <c r="AE276" s="644">
        <f t="shared" ca="1" si="45"/>
        <v>408751.95201435598</v>
      </c>
      <c r="AF276" s="644">
        <f t="shared" ca="1" si="45"/>
        <v>408505.38683703326</v>
      </c>
      <c r="AG276" s="644">
        <f t="shared" ca="1" si="45"/>
        <v>408257.61431885598</v>
      </c>
      <c r="AH276" s="644">
        <f t="shared" ca="1" si="45"/>
        <v>408008.6344598243</v>
      </c>
      <c r="AI276" s="644">
        <f t="shared" ca="1" si="45"/>
        <v>408234.69872839033</v>
      </c>
      <c r="AJ276" s="644">
        <f t="shared" ca="1" si="45"/>
        <v>408536.53394201124</v>
      </c>
      <c r="AK276" s="644">
        <f t="shared" ca="1" si="45"/>
        <v>408838.36915563216</v>
      </c>
      <c r="AL276" s="644">
        <f t="shared" ca="1" si="45"/>
        <v>409140.20436925301</v>
      </c>
      <c r="AM276" s="644">
        <f t="shared" ca="1" si="45"/>
        <v>409442.03958287387</v>
      </c>
      <c r="AN276" s="644">
        <f t="shared" ca="1" si="45"/>
        <v>410220.12626494688</v>
      </c>
      <c r="AO276" s="644">
        <f t="shared" ca="1" si="45"/>
        <v>410242.28038285492</v>
      </c>
      <c r="AP276" s="644">
        <f t="shared" ca="1" si="45"/>
        <v>410264.43450076296</v>
      </c>
      <c r="AQ276" s="644">
        <f t="shared" ca="1" si="45"/>
        <v>410286.58861867106</v>
      </c>
      <c r="AR276" s="644">
        <f t="shared" ca="1" si="45"/>
        <v>410308.74273657921</v>
      </c>
      <c r="AS276" s="644">
        <f t="shared" ca="1" si="45"/>
        <v>410330.89685448713</v>
      </c>
      <c r="AT276" s="644">
        <f t="shared" ca="1" si="45"/>
        <v>410353.05097239511</v>
      </c>
      <c r="AU276" s="644">
        <f t="shared" ca="1" si="45"/>
        <v>410375.20509030315</v>
      </c>
      <c r="AV276" s="644">
        <f t="shared" ca="1" si="45"/>
        <v>410397.35920821119</v>
      </c>
      <c r="AW276" s="644">
        <f t="shared" ca="1" si="45"/>
        <v>410419.51332611922</v>
      </c>
      <c r="AX276" s="644">
        <f t="shared" ca="1" si="45"/>
        <v>410441.66744402732</v>
      </c>
    </row>
    <row r="277" spans="13:50" ht="16.5" thickTop="1" thickBot="1">
      <c r="M277" t="s">
        <v>236</v>
      </c>
      <c r="O277" s="644">
        <f t="shared" ca="1" si="46"/>
        <v>232718.69729075054</v>
      </c>
      <c r="P277" s="644">
        <f t="shared" ca="1" si="45"/>
        <v>234216.61689820726</v>
      </c>
      <c r="Q277" s="644">
        <f t="shared" ca="1" si="45"/>
        <v>233498.08453495198</v>
      </c>
      <c r="R277" s="644">
        <f t="shared" ca="1" si="45"/>
        <v>232630.81370939373</v>
      </c>
      <c r="S277" s="644">
        <f t="shared" ca="1" si="45"/>
        <v>231741.47388264339</v>
      </c>
      <c r="T277" s="644">
        <f t="shared" ca="1" si="45"/>
        <v>228095.67488683484</v>
      </c>
      <c r="U277" s="644">
        <f t="shared" ca="1" si="45"/>
        <v>228376.05605943367</v>
      </c>
      <c r="V277" s="644">
        <f t="shared" ca="1" si="45"/>
        <v>231398.86652608812</v>
      </c>
      <c r="W277" s="644">
        <f t="shared" ca="1" si="45"/>
        <v>231688.18126394958</v>
      </c>
      <c r="X277" s="644">
        <f t="shared" ca="1" si="45"/>
        <v>231980.98043250933</v>
      </c>
      <c r="Y277" s="644">
        <f t="shared" ca="1" si="45"/>
        <v>232277.35420665197</v>
      </c>
      <c r="Z277" s="644">
        <f t="shared" ca="1" si="45"/>
        <v>232089.65390563253</v>
      </c>
      <c r="AA277" s="644">
        <f t="shared" ca="1" si="45"/>
        <v>231901.19852696365</v>
      </c>
      <c r="AB277" s="644">
        <f t="shared" ca="1" si="45"/>
        <v>231711.98193162991</v>
      </c>
      <c r="AC277" s="644">
        <f t="shared" ca="1" si="45"/>
        <v>231521.99787359842</v>
      </c>
      <c r="AD277" s="644">
        <f t="shared" ca="1" si="45"/>
        <v>231331.23999747631</v>
      </c>
      <c r="AE277" s="644">
        <f t="shared" ca="1" si="45"/>
        <v>231428.56919084149</v>
      </c>
      <c r="AF277" s="644">
        <f t="shared" ca="1" si="45"/>
        <v>231525.89838420664</v>
      </c>
      <c r="AG277" s="644">
        <f t="shared" ca="1" si="45"/>
        <v>231623.22757757179</v>
      </c>
      <c r="AH277" s="644">
        <f t="shared" ca="1" si="45"/>
        <v>231720.55677093694</v>
      </c>
      <c r="AI277" s="644">
        <f t="shared" ca="1" si="45"/>
        <v>231817.88596430214</v>
      </c>
      <c r="AJ277" s="644">
        <f t="shared" ca="1" si="45"/>
        <v>232106.38135770764</v>
      </c>
      <c r="AK277" s="644">
        <f t="shared" ca="1" si="45"/>
        <v>232395.2700003784</v>
      </c>
      <c r="AL277" s="644">
        <f t="shared" ca="1" si="45"/>
        <v>232684.5518923144</v>
      </c>
      <c r="AM277" s="644">
        <f t="shared" ca="1" si="45"/>
        <v>232974.22703351564</v>
      </c>
      <c r="AN277" s="644">
        <f t="shared" ca="1" si="45"/>
        <v>233264.29542398214</v>
      </c>
      <c r="AO277" s="644">
        <f t="shared" ca="1" si="45"/>
        <v>233274.67981230543</v>
      </c>
      <c r="AP277" s="644">
        <f t="shared" ca="1" si="45"/>
        <v>233285.06420062878</v>
      </c>
      <c r="AQ277" s="644">
        <f t="shared" ca="1" si="45"/>
        <v>233295.44858895207</v>
      </c>
      <c r="AR277" s="644">
        <f t="shared" ca="1" si="45"/>
        <v>233305.83297727542</v>
      </c>
      <c r="AS277" s="644">
        <f t="shared" ca="1" si="45"/>
        <v>233316.21736559871</v>
      </c>
      <c r="AT277" s="644">
        <f t="shared" ca="1" si="45"/>
        <v>233326.60175392203</v>
      </c>
      <c r="AU277" s="644">
        <f t="shared" ca="1" si="45"/>
        <v>233336.98614224538</v>
      </c>
      <c r="AV277" s="644">
        <f t="shared" ca="1" si="45"/>
        <v>233347.3705305687</v>
      </c>
      <c r="AW277" s="644">
        <f t="shared" ca="1" si="45"/>
        <v>233357.75491889202</v>
      </c>
      <c r="AX277" s="644">
        <f t="shared" ca="1" si="45"/>
        <v>233368.13930721532</v>
      </c>
    </row>
    <row r="278" spans="13:50" ht="16.5" thickTop="1" thickBot="1">
      <c r="M278" s="38" t="s">
        <v>238</v>
      </c>
      <c r="O278" s="644">
        <f t="shared" ca="1" si="46"/>
        <v>169687.585910803</v>
      </c>
      <c r="P278" s="644">
        <f t="shared" ca="1" si="45"/>
        <v>170779.79880575673</v>
      </c>
      <c r="Q278" s="644">
        <f t="shared" ca="1" si="45"/>
        <v>170255.87862427149</v>
      </c>
      <c r="R278" s="644">
        <f t="shared" ca="1" si="45"/>
        <v>169623.50531506559</v>
      </c>
      <c r="S278" s="644">
        <f t="shared" ca="1" si="45"/>
        <v>166643.38756433022</v>
      </c>
      <c r="T278" s="644">
        <f t="shared" ca="1" si="45"/>
        <v>163665.09656735853</v>
      </c>
      <c r="U278" s="644">
        <f t="shared" ca="1" si="45"/>
        <v>161168.18689444996</v>
      </c>
      <c r="V278" s="644">
        <f t="shared" ca="1" si="45"/>
        <v>158669.17022511776</v>
      </c>
      <c r="W278" s="644">
        <f t="shared" ca="1" si="45"/>
        <v>156167.99295642084</v>
      </c>
      <c r="X278" s="644">
        <f t="shared" ca="1" si="45"/>
        <v>153664.59965162355</v>
      </c>
      <c r="Y278" s="644">
        <f t="shared" ca="1" si="45"/>
        <v>151158.9329610994</v>
      </c>
      <c r="Z278" s="644">
        <f t="shared" ca="1" si="45"/>
        <v>148422.06408741622</v>
      </c>
      <c r="AA278" s="644">
        <f t="shared" ca="1" si="45"/>
        <v>145686.34392429245</v>
      </c>
      <c r="AB278" s="644">
        <f t="shared" ca="1" si="45"/>
        <v>142951.78742512775</v>
      </c>
      <c r="AC278" s="644">
        <f t="shared" ca="1" si="45"/>
        <v>140218.40980399496</v>
      </c>
      <c r="AD278" s="644">
        <f t="shared" ca="1" si="45"/>
        <v>137486.22654134536</v>
      </c>
      <c r="AE278" s="644">
        <f t="shared" ca="1" si="45"/>
        <v>135204.06199900364</v>
      </c>
      <c r="AF278" s="644">
        <f t="shared" ca="1" si="45"/>
        <v>132921.89745666191</v>
      </c>
      <c r="AG278" s="644">
        <f t="shared" ca="1" si="45"/>
        <v>130639.73291432014</v>
      </c>
      <c r="AH278" s="644">
        <f t="shared" ca="1" si="45"/>
        <v>128357.56837197847</v>
      </c>
      <c r="AI278" s="644">
        <f t="shared" ca="1" si="45"/>
        <v>126075.40382963669</v>
      </c>
      <c r="AJ278" s="644">
        <f t="shared" ca="1" si="45"/>
        <v>123793.23928729499</v>
      </c>
      <c r="AK278" s="644">
        <f t="shared" ca="1" si="45"/>
        <v>121511.07474495325</v>
      </c>
      <c r="AL278" s="644">
        <f t="shared" ca="1" si="45"/>
        <v>119228.91020261153</v>
      </c>
      <c r="AM278" s="644">
        <f t="shared" ca="1" si="45"/>
        <v>116946.74566026982</v>
      </c>
      <c r="AN278" s="644">
        <f t="shared" ca="1" si="45"/>
        <v>114664.58111792806</v>
      </c>
      <c r="AO278" s="644">
        <f t="shared" ca="1" si="45"/>
        <v>114460.55209607398</v>
      </c>
      <c r="AP278" s="644">
        <f t="shared" ca="1" si="45"/>
        <v>114256.52307421989</v>
      </c>
      <c r="AQ278" s="644">
        <f t="shared" ca="1" si="45"/>
        <v>114052.4940523658</v>
      </c>
      <c r="AR278" s="644">
        <f t="shared" ca="1" si="45"/>
        <v>113848.4650305117</v>
      </c>
      <c r="AS278" s="644">
        <f t="shared" ca="1" si="45"/>
        <v>113644.43600865766</v>
      </c>
      <c r="AT278" s="644">
        <f t="shared" ca="1" si="45"/>
        <v>113440.40698680357</v>
      </c>
      <c r="AU278" s="644">
        <f t="shared" ca="1" si="45"/>
        <v>113236.37796494945</v>
      </c>
      <c r="AV278" s="644">
        <f t="shared" ca="1" si="45"/>
        <v>113032.34894309535</v>
      </c>
      <c r="AW278" s="644">
        <f t="shared" ca="1" si="45"/>
        <v>112828.3199212413</v>
      </c>
      <c r="AX278" s="644">
        <f t="shared" ca="1" si="45"/>
        <v>112624.29089938727</v>
      </c>
    </row>
    <row r="279" spans="13:50" ht="15.75" thickTop="1"/>
  </sheetData>
  <mergeCells count="2">
    <mergeCell ref="B6:T11"/>
    <mergeCell ref="V6:AN11"/>
  </mergeCells>
  <phoneticPr fontId="82" type="noConversion"/>
  <pageMargins left="0.7" right="0.7" top="0.75" bottom="0.75" header="0.3" footer="0.3"/>
  <pageSetup paperSize="9" orientation="portrait" r:id="rId1"/>
  <ignoredErrors>
    <ignoredError sqref="O76:O79" unlockedFormula="1"/>
  </ignoredError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5">
    <tabColor theme="4"/>
  </sheetPr>
  <dimension ref="A1:XFC1008"/>
  <sheetViews>
    <sheetView zoomScale="70" zoomScaleNormal="70" workbookViewId="0">
      <pane ySplit="20" topLeftCell="A60" activePane="bottomLeft" state="frozen"/>
      <selection activeCell="Q57" sqref="Q57"/>
      <selection pane="bottomLeft" activeCell="L66" sqref="L66"/>
    </sheetView>
  </sheetViews>
  <sheetFormatPr defaultColWidth="9.140625" defaultRowHeight="14.25" zeroHeight="1"/>
  <cols>
    <col min="1" max="1" width="31.140625" style="114" bestFit="1" customWidth="1"/>
    <col min="2" max="2" width="20.140625" style="114" bestFit="1" customWidth="1"/>
    <col min="3" max="3" width="20.140625" style="114" customWidth="1"/>
    <col min="4" max="4" width="10.140625" style="114" customWidth="1"/>
    <col min="5" max="5" width="35.140625" style="114" customWidth="1"/>
    <col min="6" max="6" width="24.140625" style="114" bestFit="1" customWidth="1"/>
    <col min="7" max="7" width="21.140625" style="114" bestFit="1" customWidth="1"/>
    <col min="8" max="8" width="18.85546875" style="114" bestFit="1" customWidth="1"/>
    <col min="9" max="9" width="9.5703125" style="114" bestFit="1" customWidth="1"/>
    <col min="10" max="10" width="18.140625" style="114" customWidth="1"/>
    <col min="11" max="11" width="7.85546875" style="114" bestFit="1" customWidth="1"/>
    <col min="12" max="12" width="18.85546875" style="114" bestFit="1" customWidth="1"/>
    <col min="13" max="13" width="24.140625" style="114" bestFit="1" customWidth="1"/>
    <col min="14" max="14" width="7.85546875" style="114" bestFit="1" customWidth="1"/>
    <col min="15" max="15" width="24.140625" style="114" customWidth="1"/>
    <col min="16" max="16" width="19.5703125" style="114" customWidth="1"/>
    <col min="17" max="17" width="20.5703125" style="114" customWidth="1"/>
    <col min="18" max="18" width="1.85546875" style="114" customWidth="1"/>
    <col min="19" max="19" width="24.140625" style="114" bestFit="1" customWidth="1"/>
    <col min="20" max="20" width="7.85546875" style="114" bestFit="1" customWidth="1"/>
    <col min="21" max="21" width="17.5703125" style="114" customWidth="1"/>
    <col min="22" max="22" width="20.140625" style="114" bestFit="1" customWidth="1"/>
    <col min="23" max="23" width="37.42578125" style="114" bestFit="1" customWidth="1"/>
    <col min="24" max="24" width="19.5703125" style="114" customWidth="1"/>
    <col min="25" max="25" width="18.85546875" style="114" bestFit="1" customWidth="1"/>
    <col min="26" max="26" width="24.140625" style="114" bestFit="1" customWidth="1"/>
    <col min="27" max="27" width="20.85546875" style="114" customWidth="1"/>
    <col min="28" max="28" width="16.140625" style="114" customWidth="1"/>
    <col min="29" max="30" width="21.140625" style="114" bestFit="1" customWidth="1"/>
    <col min="31" max="31" width="27.140625" style="114" customWidth="1"/>
    <col min="32" max="32" width="25" style="114" bestFit="1" customWidth="1"/>
    <col min="33" max="33" width="11.85546875" style="114" customWidth="1"/>
    <col min="34" max="34" width="8.85546875" style="114" customWidth="1"/>
    <col min="35" max="35" width="13.85546875" style="114" customWidth="1"/>
    <col min="36" max="36" width="13.42578125" style="114" customWidth="1"/>
    <col min="37" max="38" width="12.85546875" style="114" customWidth="1"/>
    <col min="39" max="39" width="14.42578125" style="114" customWidth="1"/>
    <col min="40" max="40" width="13.85546875" style="114" customWidth="1"/>
    <col min="41" max="42" width="14.85546875" style="114" customWidth="1"/>
    <col min="43" max="43" width="13.5703125" style="114" customWidth="1"/>
    <col min="44" max="44" width="14.85546875" style="114" customWidth="1"/>
    <col min="45" max="45" width="8.85546875" style="114" customWidth="1"/>
    <col min="46" max="46" width="13.85546875" style="114" customWidth="1"/>
    <col min="47" max="49" width="13.42578125" style="114" customWidth="1"/>
    <col min="50" max="50" width="14.42578125" style="114" customWidth="1"/>
    <col min="51" max="51" width="13.85546875" style="114" customWidth="1"/>
    <col min="52" max="53" width="7.85546875" style="114" customWidth="1"/>
    <col min="54" max="54" width="8.85546875" style="114" customWidth="1"/>
    <col min="55" max="55" width="7.85546875" style="114" customWidth="1"/>
    <col min="56" max="56" width="8.85546875" style="114" customWidth="1"/>
    <col min="57" max="58" width="14.5703125" style="114" customWidth="1"/>
    <col min="59" max="59" width="8.85546875" style="114" customWidth="1"/>
    <col min="60" max="60" width="7.85546875" style="114" customWidth="1"/>
    <col min="61" max="62" width="15.5703125" style="114" customWidth="1"/>
    <col min="63" max="63" width="14.140625" style="114" customWidth="1"/>
    <col min="64" max="64" width="13.85546875" style="114" customWidth="1"/>
    <col min="65" max="66" width="14.140625" style="114" customWidth="1"/>
    <col min="67" max="67" width="8.5703125" style="114" customWidth="1"/>
    <col min="68" max="69" width="14.5703125" style="114" customWidth="1"/>
    <col min="70" max="70" width="13.85546875" style="114" customWidth="1"/>
    <col min="71" max="71" width="13.42578125" style="114" customWidth="1"/>
    <col min="72" max="72" width="15.5703125" style="114" customWidth="1"/>
    <col min="73" max="73" width="13.85546875" style="114" customWidth="1"/>
    <col min="74" max="74" width="16" style="114" customWidth="1"/>
    <col min="75" max="76" width="14.140625" style="114" customWidth="1"/>
    <col min="77" max="77" width="16" style="114" customWidth="1"/>
    <col min="78" max="78" width="8.5703125" style="114" customWidth="1"/>
    <col min="79" max="79" width="13.42578125" style="114" customWidth="1"/>
    <col min="80" max="80" width="13.5703125" style="114" customWidth="1"/>
    <col min="81" max="81" width="14.5703125" style="114" customWidth="1"/>
    <col min="82" max="82" width="13.42578125" style="114" customWidth="1"/>
    <col min="83" max="83" width="14.140625" style="114" customWidth="1"/>
    <col min="84" max="84" width="13.85546875" style="114" customWidth="1"/>
    <col min="85" max="85" width="7.85546875" style="114" customWidth="1"/>
    <col min="86" max="86" width="9" style="114" customWidth="1"/>
    <col min="87" max="88" width="7.85546875" style="114" customWidth="1"/>
    <col min="89" max="89" width="8.5703125" style="114" customWidth="1"/>
    <col min="90" max="90" width="9.85546875" style="114" customWidth="1"/>
    <col min="91" max="91" width="9" style="114" customWidth="1"/>
    <col min="92" max="92" width="8.85546875" style="114" customWidth="1"/>
    <col min="93" max="94" width="8.5703125" style="114" customWidth="1"/>
    <col min="95" max="95" width="10.42578125" style="114" customWidth="1"/>
    <col min="96" max="96" width="9.85546875" style="114" customWidth="1"/>
    <col min="97" max="97" width="12.42578125" style="114" customWidth="1"/>
    <col min="98" max="98" width="9.140625" style="114" customWidth="1"/>
    <col min="99" max="100" width="8.140625" style="114" customWidth="1"/>
    <col min="101" max="101" width="15.5703125" style="114" customWidth="1"/>
    <col min="102" max="102" width="15.140625" style="114" customWidth="1"/>
    <col min="103" max="104" width="13.42578125" style="114" customWidth="1"/>
    <col min="105" max="106" width="8.140625" style="114" customWidth="1"/>
    <col min="107" max="107" width="15.5703125" style="114" customWidth="1"/>
    <col min="108" max="109" width="17.5703125" style="114" customWidth="1"/>
    <col min="110" max="110" width="8.85546875" style="114" customWidth="1"/>
    <col min="111" max="112" width="8.140625" style="114" customWidth="1"/>
    <col min="113" max="113" width="8.85546875" style="114" customWidth="1"/>
    <col min="114" max="114" width="15.42578125" style="114" customWidth="1"/>
    <col min="115" max="115" width="14.85546875" style="114" customWidth="1"/>
    <col min="116" max="116" width="13.5703125" style="114" customWidth="1"/>
    <col min="117" max="118" width="8.140625" style="114" customWidth="1"/>
    <col min="119" max="120" width="9" style="114" customWidth="1"/>
    <col min="121" max="121" width="16.140625" style="114" customWidth="1"/>
    <col min="122" max="122" width="14.5703125" style="114" customWidth="1"/>
    <col min="123" max="147" width="9" style="114" customWidth="1"/>
    <col min="148" max="16384" width="9.140625" style="114"/>
  </cols>
  <sheetData>
    <row r="1" spans="2:11"/>
    <row r="2" spans="2:11" ht="15.75">
      <c r="B2" s="638" t="s">
        <v>1230</v>
      </c>
    </row>
    <row r="3" spans="2:11"/>
    <row r="4" spans="2:11"/>
    <row r="5" spans="2:11">
      <c r="B5" s="114" t="s">
        <v>22</v>
      </c>
      <c r="C5" s="114" t="s">
        <v>1044</v>
      </c>
    </row>
    <row r="6" spans="2:11">
      <c r="B6" s="114" t="str">
        <f>INDEX('Scenario names'!$C$3:$C$6,4)</f>
        <v>No Constraints</v>
      </c>
      <c r="C6" s="114" t="s">
        <v>514</v>
      </c>
    </row>
    <row r="7" spans="2:11">
      <c r="B7" s="114" t="str">
        <f>INDEX('Scenario names'!$C$3:$C$6,1)</f>
        <v>High Electrification</v>
      </c>
      <c r="C7" s="114" t="s">
        <v>1231</v>
      </c>
    </row>
    <row r="8" spans="2:11">
      <c r="B8" s="114" t="str">
        <f>INDEX('Scenario names'!$C$3:$C$6,2)</f>
        <v>High Hydrogen</v>
      </c>
      <c r="C8" s="114" t="s">
        <v>1231</v>
      </c>
    </row>
    <row r="9" spans="2:11">
      <c r="B9" s="114" t="str">
        <f>INDEX('Scenario names'!$C$3:$C$6,3)</f>
        <v>Accelerated Green</v>
      </c>
      <c r="C9" s="114" t="s">
        <v>1232</v>
      </c>
    </row>
    <row r="10" spans="2:11">
      <c r="H10" s="114" t="s">
        <v>1233</v>
      </c>
      <c r="J10" s="114" t="s">
        <v>1234</v>
      </c>
    </row>
    <row r="11" spans="2:11" ht="15">
      <c r="B11" s="308">
        <v>0.5</v>
      </c>
      <c r="C11" s="744" t="s">
        <v>1235</v>
      </c>
      <c r="D11" s="744"/>
      <c r="E11" s="744"/>
      <c r="F11" s="747" t="s">
        <v>1236</v>
      </c>
      <c r="G11" s="158">
        <v>2050</v>
      </c>
      <c r="H11" s="114" t="s">
        <v>266</v>
      </c>
      <c r="I11" s="114" t="s">
        <v>270</v>
      </c>
      <c r="J11" s="114" t="s">
        <v>618</v>
      </c>
      <c r="K11" s="114" t="s">
        <v>270</v>
      </c>
    </row>
    <row r="12" spans="2:11" ht="29.25" customHeight="1">
      <c r="B12" s="308">
        <v>0.8</v>
      </c>
      <c r="C12" s="745" t="s">
        <v>1237</v>
      </c>
      <c r="D12" s="745"/>
      <c r="E12" s="745"/>
      <c r="F12" s="747"/>
      <c r="G12" s="114" t="str">
        <f>INDEX('Scenario names'!$C$3:$C$6,2)</f>
        <v>High Hydrogen</v>
      </c>
      <c r="H12" s="308">
        <v>1</v>
      </c>
      <c r="I12" s="308">
        <v>0</v>
      </c>
      <c r="J12" s="308">
        <v>1</v>
      </c>
      <c r="K12" s="308">
        <v>0</v>
      </c>
    </row>
    <row r="13" spans="2:11" ht="15">
      <c r="B13" s="308">
        <v>0.25</v>
      </c>
      <c r="C13" s="746" t="s">
        <v>1238</v>
      </c>
      <c r="D13" s="746"/>
      <c r="E13" s="746"/>
      <c r="G13" s="114" t="str">
        <f>INDEX('Scenario names'!$C$3:$C$6,3)</f>
        <v>Accelerated Green</v>
      </c>
      <c r="H13" s="308">
        <v>0.5</v>
      </c>
      <c r="I13" s="308">
        <v>0.5</v>
      </c>
      <c r="J13" s="308">
        <v>0.25</v>
      </c>
      <c r="K13" s="308">
        <v>0.75</v>
      </c>
    </row>
    <row r="14" spans="2:11" ht="15">
      <c r="B14" s="593"/>
      <c r="C14" s="593"/>
      <c r="D14" s="593"/>
      <c r="E14" s="593"/>
      <c r="G14" s="114" t="s">
        <v>1239</v>
      </c>
      <c r="H14" s="308">
        <v>0</v>
      </c>
      <c r="I14" s="308">
        <v>1</v>
      </c>
      <c r="J14" s="308">
        <v>0</v>
      </c>
      <c r="K14" s="308">
        <v>1</v>
      </c>
    </row>
    <row r="15" spans="2:11" ht="15">
      <c r="B15" s="593"/>
      <c r="C15" s="593"/>
      <c r="D15" s="593"/>
      <c r="E15" s="593"/>
      <c r="H15" s="308"/>
      <c r="I15" s="308"/>
      <c r="J15" s="308"/>
      <c r="K15" s="308"/>
    </row>
    <row r="16" spans="2:11" ht="15">
      <c r="B16" s="593"/>
      <c r="C16" s="593"/>
      <c r="D16" s="593"/>
      <c r="E16" s="593"/>
      <c r="H16" s="308"/>
      <c r="I16" s="308"/>
      <c r="J16" s="308"/>
      <c r="K16" s="308"/>
    </row>
    <row r="17" spans="1:118" s="145" customFormat="1" ht="15">
      <c r="A17" s="114"/>
      <c r="B17" s="114"/>
      <c r="C17" s="114"/>
      <c r="D17" s="114"/>
      <c r="E17" s="114"/>
      <c r="F17" s="114"/>
      <c r="G17" s="114"/>
      <c r="H17" s="114"/>
      <c r="I17" s="114"/>
      <c r="J17" s="114"/>
      <c r="K17" s="114"/>
      <c r="L17" s="114"/>
      <c r="M17" s="114"/>
      <c r="N17" s="114"/>
      <c r="O17" s="114"/>
      <c r="P17" s="114"/>
      <c r="Q17" s="114"/>
      <c r="R17" s="114"/>
      <c r="S17" s="114" t="s">
        <v>1240</v>
      </c>
      <c r="T17" s="114" t="s">
        <v>1240</v>
      </c>
      <c r="U17" s="114" t="s">
        <v>1240</v>
      </c>
      <c r="V17" s="114"/>
      <c r="W17" s="114" t="s">
        <v>1240</v>
      </c>
      <c r="X17" s="114" t="s">
        <v>1240</v>
      </c>
      <c r="Y17" s="114" t="s">
        <v>1240</v>
      </c>
      <c r="Z17" s="114"/>
      <c r="AA17" s="114"/>
      <c r="AB17" s="114"/>
      <c r="AC17" s="114"/>
      <c r="AD17" s="114"/>
      <c r="AE17" s="114"/>
      <c r="AF17" s="114"/>
      <c r="AG17" s="114"/>
      <c r="AH17" s="114"/>
      <c r="AI17" s="114"/>
      <c r="AJ17" s="114"/>
      <c r="AK17" s="114"/>
      <c r="AL17" s="114"/>
      <c r="AM17" s="114"/>
      <c r="AN17" s="114"/>
      <c r="AO17" s="114"/>
      <c r="AP17" s="114"/>
      <c r="AQ17" s="114"/>
      <c r="AR17" s="114"/>
      <c r="AS17" s="114"/>
      <c r="AT17" s="114"/>
      <c r="AU17" s="114"/>
      <c r="AV17" s="114"/>
      <c r="AW17" s="114"/>
      <c r="AX17" s="114"/>
      <c r="AY17" s="114"/>
      <c r="AZ17" s="114"/>
      <c r="BA17" s="114"/>
      <c r="BB17" s="114"/>
      <c r="BC17" s="114"/>
      <c r="BD17" s="114"/>
      <c r="BE17" s="114"/>
      <c r="BF17" s="114"/>
      <c r="BG17" s="114"/>
      <c r="BH17" s="114"/>
      <c r="BI17" s="114"/>
      <c r="BJ17" s="114"/>
      <c r="BK17" s="114"/>
      <c r="BL17" s="114"/>
      <c r="BM17" s="114"/>
      <c r="BN17" s="114"/>
      <c r="BO17" s="114"/>
      <c r="BP17" s="114"/>
      <c r="BQ17" s="114"/>
      <c r="BR17" s="114"/>
      <c r="BS17" s="114"/>
      <c r="BT17" s="114"/>
      <c r="BU17" s="114"/>
      <c r="BV17" s="114"/>
      <c r="BW17" s="114"/>
      <c r="BX17" s="114"/>
      <c r="BY17" s="114"/>
      <c r="BZ17" s="114"/>
      <c r="CA17" s="114"/>
      <c r="CB17" s="114"/>
      <c r="CC17" s="114"/>
      <c r="CD17" s="114"/>
      <c r="CE17" s="114"/>
      <c r="CF17" s="114"/>
      <c r="CG17" s="114"/>
      <c r="CH17" s="114"/>
      <c r="CI17" s="114"/>
      <c r="CJ17" s="114"/>
      <c r="CK17" s="114"/>
      <c r="CL17" s="114"/>
      <c r="CM17" s="114"/>
      <c r="CN17" s="114"/>
      <c r="CO17" s="114"/>
      <c r="CP17" s="114"/>
      <c r="CQ17" s="114"/>
      <c r="CR17" s="114"/>
      <c r="CS17" s="114"/>
      <c r="CT17" s="114"/>
      <c r="CU17" s="114"/>
      <c r="CV17" s="114"/>
      <c r="CW17" s="114"/>
      <c r="CX17" s="114"/>
      <c r="CY17" s="114"/>
      <c r="CZ17" s="114"/>
      <c r="DA17" s="114"/>
      <c r="DB17" s="114"/>
      <c r="DC17" s="114"/>
      <c r="DD17" s="114"/>
      <c r="DE17" s="114"/>
      <c r="DF17" s="114"/>
      <c r="DG17" s="114"/>
      <c r="DH17" s="114"/>
      <c r="DI17" s="114"/>
      <c r="DJ17" s="114"/>
      <c r="DK17" s="114"/>
      <c r="DL17" s="114"/>
      <c r="DM17" s="114"/>
      <c r="DN17" s="114"/>
    </row>
    <row r="18" spans="1:118" s="146" customFormat="1" ht="12">
      <c r="B18" s="743" t="s">
        <v>1241</v>
      </c>
      <c r="C18" s="743"/>
      <c r="E18" s="592" t="s">
        <v>1241</v>
      </c>
      <c r="F18" s="592"/>
      <c r="G18" s="592"/>
      <c r="H18" s="592"/>
      <c r="I18" s="592"/>
      <c r="J18" s="592" t="s">
        <v>614</v>
      </c>
      <c r="K18" s="592"/>
      <c r="L18" s="592"/>
      <c r="M18" s="592"/>
      <c r="N18" s="592"/>
      <c r="O18" s="592"/>
      <c r="P18" s="592"/>
      <c r="Q18" s="592"/>
      <c r="S18" s="547" t="s">
        <v>1241</v>
      </c>
      <c r="T18" s="548"/>
      <c r="U18" s="548"/>
      <c r="V18" s="548"/>
      <c r="W18" s="548" t="s">
        <v>614</v>
      </c>
      <c r="X18" s="548"/>
      <c r="Y18" s="548"/>
      <c r="Z18" s="548"/>
      <c r="AA18" s="548"/>
      <c r="AB18" s="548"/>
      <c r="AC18" s="548"/>
      <c r="AD18" s="548"/>
      <c r="AE18" s="549"/>
    </row>
    <row r="19" spans="1:118" s="147" customFormat="1" ht="36" customHeight="1">
      <c r="B19" s="175" t="s">
        <v>264</v>
      </c>
      <c r="C19" s="175" t="s">
        <v>1242</v>
      </c>
      <c r="E19" s="175" t="s">
        <v>619</v>
      </c>
      <c r="F19" s="175" t="s">
        <v>613</v>
      </c>
      <c r="G19" s="175" t="s">
        <v>264</v>
      </c>
      <c r="H19" s="175" t="s">
        <v>265</v>
      </c>
      <c r="I19" s="175" t="s">
        <v>266</v>
      </c>
      <c r="J19" s="175" t="s">
        <v>615</v>
      </c>
      <c r="K19" s="175" t="s">
        <v>268</v>
      </c>
      <c r="L19" s="175" t="s">
        <v>616</v>
      </c>
      <c r="M19" s="175" t="s">
        <v>617</v>
      </c>
      <c r="N19" s="175" t="s">
        <v>271</v>
      </c>
      <c r="O19" s="175" t="s">
        <v>272</v>
      </c>
      <c r="P19" s="176" t="s">
        <v>1243</v>
      </c>
      <c r="Q19" s="176" t="s">
        <v>1242</v>
      </c>
      <c r="S19" s="175" t="s">
        <v>613</v>
      </c>
      <c r="T19" s="175" t="s">
        <v>264</v>
      </c>
      <c r="U19" s="175" t="s">
        <v>265</v>
      </c>
      <c r="V19" s="175" t="s">
        <v>266</v>
      </c>
      <c r="W19" s="175" t="s">
        <v>615</v>
      </c>
      <c r="X19" s="175" t="s">
        <v>268</v>
      </c>
      <c r="Y19" s="175" t="s">
        <v>616</v>
      </c>
      <c r="Z19" s="175" t="s">
        <v>617</v>
      </c>
      <c r="AA19" s="175" t="s">
        <v>271</v>
      </c>
      <c r="AB19" s="175" t="s">
        <v>272</v>
      </c>
      <c r="AC19" s="175" t="s">
        <v>1244</v>
      </c>
      <c r="AD19" s="175" t="s">
        <v>1242</v>
      </c>
      <c r="AE19" s="175" t="s">
        <v>270</v>
      </c>
      <c r="AF19" s="175" t="s">
        <v>606</v>
      </c>
    </row>
    <row r="20" spans="1:118" s="147" customFormat="1" ht="26.25" customHeight="1">
      <c r="B20" s="175">
        <v>2015</v>
      </c>
      <c r="C20" s="175">
        <v>2015</v>
      </c>
      <c r="E20" s="175">
        <v>2025</v>
      </c>
      <c r="F20" s="175">
        <v>2025</v>
      </c>
      <c r="G20" s="175">
        <v>2025</v>
      </c>
      <c r="H20" s="175">
        <v>2025</v>
      </c>
      <c r="I20" s="175">
        <v>2025</v>
      </c>
      <c r="J20" s="175">
        <v>2025</v>
      </c>
      <c r="K20" s="175">
        <v>2025</v>
      </c>
      <c r="L20" s="175">
        <v>2025</v>
      </c>
      <c r="M20" s="175">
        <v>2025</v>
      </c>
      <c r="N20" s="175">
        <v>2025</v>
      </c>
      <c r="O20" s="175">
        <v>2025</v>
      </c>
      <c r="P20" s="175">
        <v>2025</v>
      </c>
      <c r="Q20" s="175">
        <v>2025</v>
      </c>
      <c r="S20" s="175">
        <v>2050</v>
      </c>
      <c r="T20" s="175">
        <v>2050</v>
      </c>
      <c r="U20" s="175">
        <v>2050</v>
      </c>
      <c r="V20" s="175">
        <v>2050</v>
      </c>
      <c r="W20" s="175">
        <v>2050</v>
      </c>
      <c r="X20" s="175">
        <v>2050</v>
      </c>
      <c r="Y20" s="175">
        <v>2050</v>
      </c>
      <c r="Z20" s="175">
        <v>2050</v>
      </c>
      <c r="AA20" s="175">
        <v>2050</v>
      </c>
      <c r="AB20" s="175">
        <v>2050</v>
      </c>
      <c r="AC20" s="175">
        <v>2050</v>
      </c>
      <c r="AD20" s="175">
        <v>2050</v>
      </c>
      <c r="AE20" s="175">
        <v>2050</v>
      </c>
      <c r="AF20" s="147">
        <v>2050</v>
      </c>
    </row>
    <row r="21" spans="1:118">
      <c r="A21" s="114" t="s">
        <v>626</v>
      </c>
      <c r="B21" s="148">
        <f>'3.2 District Heat'!B48*$B$11*1000</f>
        <v>7888267.5</v>
      </c>
      <c r="C21" s="148">
        <f>'3.2 District Heat'!B48*$B$11*1000</f>
        <v>7888267.5</v>
      </c>
      <c r="D21" s="148"/>
      <c r="E21" s="148">
        <f>B21+C21</f>
        <v>15776535</v>
      </c>
      <c r="F21" s="148">
        <f>INDEX('3.2 District Heat'!$D48:$CF48,1,MATCH(INDEX('DH calcs - old'!$C$5:$C$9,MATCH(Dashboard!$D$6,'DH calcs - old'!$B$5:$B$9,0),1)&amp;F$19&amp;F$20,'3.2 District Heat'!$D$42:$CF$42,0))*1000*$B$12</f>
        <v>2076566.0397475695</v>
      </c>
      <c r="G21" s="379">
        <f>(INDEX('3.2 District Heat'!$D48:$CF48,1,MATCH(INDEX('DH calcs - old'!$C$5:$C$9,MATCH(Dashboard!$D$6,'DH calcs - old'!$B$5:$B$9,0),1)&amp;G$19&amp;G$20,'3.2 District Heat'!$D$42:$CF$42,0))*1000+(E21*$B$13))*$B$12</f>
        <v>3155307</v>
      </c>
      <c r="H21" s="148">
        <f>INDEX('3.2 District Heat'!$D48:$CF48,1,MATCH(INDEX('DH calcs - old'!$C$5:$C$9,MATCH(Dashboard!$D$6,'DH calcs - old'!$B$5:$B$9,0),1)&amp;H$19&amp;H$20,'3.2 District Heat'!$D$42:$CF$42,0))*1000*$B$12</f>
        <v>0</v>
      </c>
      <c r="I21" s="148">
        <f>INDEX('3.2 District Heat'!$D48:$CF48,1,MATCH(INDEX('DH calcs - old'!$C$5:$C$9,MATCH(Dashboard!$D$6,'DH calcs - old'!$B$5:$B$9,0),1)&amp;I$19&amp;I$20,'3.2 District Heat'!$D$42:$CF$42,0))*1000*$B$12</f>
        <v>0</v>
      </c>
      <c r="J21" s="546">
        <f>(INDEX('3.2 District Heat'!$D48:$CF48,1,MATCH(INDEX($C$5:$C$9,MATCH(Dashboard!$D$6,$B$5:$B$9,0),1)&amp;J$19&amp;J$20,'3.2 District Heat'!$D$42:$CF$42,0))+INDEX('3.2 District Heat'!$D48:$CF48,1,MATCH(INDEX($C$5:$C$9,MATCH(Dashboard!$D$6,$B$5:$B$9,0),1)&amp;J$18&amp;J$20,'3.2 District Heat'!$D$42:$CF$42,0)))*1000*$B$12</f>
        <v>0</v>
      </c>
      <c r="K21" s="148">
        <f>INDEX('3.2 District Heat'!$D48:$CF48,1,MATCH(INDEX('DH calcs - old'!$C$5:$C$9,MATCH(Dashboard!$D$6,'DH calcs - old'!$B$5:$B$9,0),1)&amp;K$19&amp;K$20,'3.2 District Heat'!$D$42:$CF$42,0))*1000*$B$12</f>
        <v>0</v>
      </c>
      <c r="L21" s="148">
        <f>INDEX('3.2 District Heat'!$D48:$CF48,1,MATCH(INDEX('DH calcs - old'!$C$5:$C$9,MATCH(Dashboard!$D$6,'DH calcs - old'!$B$5:$B$9,0),1)&amp;L$19&amp;L$20,'3.2 District Heat'!$D$42:$CF$42,0))*1000*$B$12</f>
        <v>0</v>
      </c>
      <c r="M21" s="148">
        <f>INDEX('3.2 District Heat'!$D48:$CF48,1,MATCH(INDEX('DH calcs - old'!$C$5:$C$9,MATCH(Dashboard!$D$6,'DH calcs - old'!$B$5:$B$9,0),1)&amp;M$19&amp;M$20,'3.2 District Heat'!$D$42:$CF$42,0))*1000*$B$12</f>
        <v>0</v>
      </c>
      <c r="N21" s="148">
        <f>INDEX('3.2 District Heat'!$D48:$CF48,1,MATCH(INDEX('DH calcs - old'!$C$5:$C$9,MATCH(Dashboard!$D$6,'DH calcs - old'!$B$5:$B$9,0),1)&amp;N$19&amp;N$20,'3.2 District Heat'!$D$42:$CF$42,0))*1000*$B$12</f>
        <v>0</v>
      </c>
      <c r="O21" s="379">
        <f>(INDEX('3.2 District Heat'!$D48:$CF48,1,MATCH(INDEX('DH calcs - old'!$C$5:$C$9,MATCH(Dashboard!$D$6,'DH calcs - old'!$B$5:$B$9,0),1)&amp;O$19&amp;O$20,'3.2 District Heat'!$D$42:$CF$42,0))*1000+E21*(1-$B$13))*$B$12</f>
        <v>9465921</v>
      </c>
      <c r="P21" s="379">
        <f>SUM(F21:O21)/$B$12-SUM(F21:O21)</f>
        <v>3674448.5099368915</v>
      </c>
      <c r="Q21" s="148">
        <f>P21+O21</f>
        <v>13140369.509936891</v>
      </c>
      <c r="R21" s="148"/>
      <c r="S21" s="148">
        <f>INDEX('3.2 District Heat'!$D48:$CF48,1,MATCH(INDEX('DH calcs - old'!$C$5:$C$9,MATCH(Dashboard!$D$6,'DH calcs - old'!$B$5:$B$9,0),1)&amp;S$19&amp;S$20,'3.2 District Heat'!$D$42:$CF$42,0))*1000*$B$12</f>
        <v>11987124.623346968</v>
      </c>
      <c r="T21" s="148">
        <f>INDEX('3.2 District Heat'!$D48:$CF48,1,MATCH(INDEX('DH calcs - old'!$C$5:$C$9,MATCH(Dashboard!$D$6,'DH calcs - old'!$B$5:$B$9,0),1)&amp;T$19&amp;T$20,'3.2 District Heat'!$D$42:$CF$42,0))*1000*$B$12</f>
        <v>0</v>
      </c>
      <c r="U21" s="148">
        <f>INDEX('3.2 District Heat'!$D48:$CF48,1,MATCH(INDEX('DH calcs - old'!$C$5:$C$9,MATCH(Dashboard!$D$6,'DH calcs - old'!$B$5:$B$9,0),1)&amp;U$19&amp;U$20,'3.2 District Heat'!$D$42:$CF$42,0))*1000*$B$12</f>
        <v>0</v>
      </c>
      <c r="V21" s="148">
        <f>(INDEX('3.2 District Heat'!$D48:$CF48,1,MATCH(INDEX('DH calcs - old'!$C$5:$C$9,MATCH(Dashboard!$D$6,'DH calcs - old'!$B$5:$B$9,0),1)&amp;V$19&amp;V$20,'3.2 District Heat'!$D$42:$CF$42,0))*1000+E21*IF(Dashboard!$D$6="=INDEX('Scenario names'!$C$3:$C$6,2)",$H$12,IF(Dashboard!$D$6="=INDEX('Scenario names'!$C$3:$C$6,3)",$H$13,$H$14)))*$B$12</f>
        <v>0</v>
      </c>
      <c r="W21" s="546">
        <f>(INDEX('3.2 District Heat'!$D48:$CF48,1,MATCH(INDEX('DH calcs - old'!$C$5:$C$9,MATCH(Dashboard!$D$6,'DH calcs - old'!$B$5:$B$9,0),1)&amp;W$19&amp;W$20,'3.2 District Heat'!$D$42:$CF$42,0))+INDEX('3.2 District Heat'!$D48:$CF48,1,MATCH(INDEX('DH calcs - old'!$C$5:$C$9,MATCH(Dashboard!$D$6,'DH calcs - old'!$B$5:$B$9,0),1)&amp;W$18&amp;W$20,'3.2 District Heat'!$D$42:$CF$42,0)))*1000*$B$12</f>
        <v>686296.3495881441</v>
      </c>
      <c r="X21" s="148">
        <f>INDEX('3.2 District Heat'!$D48:$CF48,1,MATCH(INDEX('DH calcs - old'!$C$5:$C$9,MATCH(Dashboard!$D$6,'DH calcs - old'!$B$5:$B$9,0),1)&amp;X$19&amp;X$20,'3.2 District Heat'!$D$42:$CF$42,0))*1000*$B$12</f>
        <v>0</v>
      </c>
      <c r="Y21" s="148">
        <f>INDEX('3.2 District Heat'!$D48:$CF48,1,MATCH(INDEX('DH calcs - old'!$C$5:$C$9,MATCH(Dashboard!$D$6,'DH calcs - old'!$B$5:$B$9,0),1)&amp;Y$19&amp;Y$20,'3.2 District Heat'!$D$42:$CF$42,0))*1000*$B$12</f>
        <v>0</v>
      </c>
      <c r="Z21" s="148">
        <f>(INDEX('3.2 District Heat'!$D48:$CF48,1,MATCH(INDEX('DH calcs - old'!$C$5:$C$9,MATCH(Dashboard!$D$6,'DH calcs - old'!$B$5:$B$9,0),1)&amp;Z$19&amp;Z$20,'3.2 District Heat'!$D$42:$CF$42,0))*1000+E21*IF(Dashboard!$D$6="=INDEX('Scenario names'!$C$3:$C$6,2)",$I$12,IF(Dashboard!$D$6="=INDEX('Scenario names'!$C$3:$C$6,3)",$I$13,$I$14)))*$B$12</f>
        <v>17128300.298059817</v>
      </c>
      <c r="AA21" s="148">
        <f>INDEX('3.2 District Heat'!$D48:$CF48,1,MATCH(INDEX('DH calcs - old'!$C$5:$C$9,MATCH(Dashboard!$D$6,'DH calcs - old'!$B$5:$B$9,0),1)&amp;AA$19&amp;AA$20,'3.2 District Heat'!$D$42:$CF$42,0))*1000*$B$12</f>
        <v>0</v>
      </c>
      <c r="AB21" s="148">
        <f>INDEX('3.2 District Heat'!$D48:$CF48,1,MATCH(INDEX('DH calcs - old'!$C$5:$C$9,MATCH(Dashboard!$D$6,'DH calcs - old'!$B$5:$B$9,0),1)&amp;AB$19&amp;AB$20,'3.2 District Heat'!$D$42:$CF$42,0))*1000*$B$12</f>
        <v>0</v>
      </c>
      <c r="AC21" s="379">
        <f>SUM(S21:AB21)/$B$12-SUM(S21:AB21)</f>
        <v>7450430.3177487329</v>
      </c>
      <c r="AD21" s="379">
        <f>AB21+AC21*IF(Dashboard!$D$6="=INDEX('Scenario names'!$C$3:$C$6,2)",$J$12,IF(Dashboard!$D$6="=INDEX('Scenario names'!$C$3:$C$6,3)",$J$13,$J$14))</f>
        <v>0</v>
      </c>
      <c r="AE21" s="379">
        <f>Z21+AC21*IF(Dashboard!$D$6="=INDEX('Scenario names'!$C$3:$C$6,2)",$K$12,IF(Dashboard!$D$6="=INDEX('Scenario names'!$C$3:$C$6,3)",$K$13,$K$14))</f>
        <v>24578730.61580855</v>
      </c>
      <c r="AF21" s="378">
        <f>IF(OR(Dashboard!$D$6=INDEX('Scenario names'!$C$3:$C$6,3),Dashboard!$D$6=INDEX('Scenario names'!$C$3:$C$6,2)),'3.2 District Heat'!BD48,IF(Dashboard!$D$6=INDEX('Scenario names'!$B$3:$B$6,4),'3.2 District Heat'!CE48,IF(OR(Dashboard!$D$6="Baseline",Dashboard!$D$6=INDEX('Scenario names'!$C$3:$C$6,1)),'3.2 District Heat'!AC48, Error)))</f>
        <v>3555.2497677648553</v>
      </c>
    </row>
    <row r="22" spans="1:118">
      <c r="A22" s="114" t="s">
        <v>627</v>
      </c>
      <c r="B22" s="148">
        <f>'3.2 District Heat'!B49*$B$11*1000</f>
        <v>24497875</v>
      </c>
      <c r="C22" s="148">
        <f>'3.2 District Heat'!B49*$B$11*1000</f>
        <v>24497875</v>
      </c>
      <c r="D22" s="148"/>
      <c r="E22" s="148">
        <f t="shared" ref="E22:E53" si="0">B22+C22</f>
        <v>48995750</v>
      </c>
      <c r="F22" s="148">
        <f>INDEX('3.2 District Heat'!$D49:$CF49,1,MATCH(INDEX('DH calcs - old'!$C$5:$C$9,MATCH(Dashboard!$D$6,'DH calcs - old'!$B$5:$B$9,0),1)&amp;F$19&amp;F$20,'3.2 District Heat'!$D$42:$CF$42,0))*1000*$B$12</f>
        <v>0</v>
      </c>
      <c r="G22" s="379">
        <f>(INDEX('3.2 District Heat'!$D49:$CF49,1,MATCH(INDEX('DH calcs - old'!$C$5:$C$9,MATCH(Dashboard!$D$6,'DH calcs - old'!$B$5:$B$9,0),1)&amp;G$19&amp;G$20,'3.2 District Heat'!$D$42:$CF$42,0))*1000+(E22*$B$13))*$B$12</f>
        <v>27798350.028668787</v>
      </c>
      <c r="H22" s="148">
        <f>INDEX('3.2 District Heat'!$D49:$CF49,1,MATCH(INDEX('DH calcs - old'!$C$5:$C$9,MATCH(Dashboard!$D$6,'DH calcs - old'!$B$5:$B$9,0),1)&amp;H$19&amp;H$20,'3.2 District Heat'!$D$42:$CF$42,0))*1000*$B$12</f>
        <v>0</v>
      </c>
      <c r="I22" s="148">
        <f>INDEX('3.2 District Heat'!$D49:$CF49,1,MATCH(INDEX('DH calcs - old'!$C$5:$C$9,MATCH(Dashboard!$D$6,'DH calcs - old'!$B$5:$B$9,0),1)&amp;I$19&amp;I$20,'3.2 District Heat'!$D$42:$CF$42,0))*1000*$B$12</f>
        <v>0</v>
      </c>
      <c r="J22" s="546">
        <f>(INDEX('3.2 District Heat'!$D49:$CF49,1,MATCH(INDEX($C$5:$C$9,MATCH(Dashboard!$D$6,$B$5:$B$9,0),1)&amp;J$19&amp;J$20,'3.2 District Heat'!$D$42:$CF$42,0))+INDEX('3.2 District Heat'!$D49:$CF49,1,MATCH(INDEX($C$5:$C$9,MATCH(Dashboard!$D$6,$B$5:$B$9,0),1)&amp;J$18&amp;J$20,'3.2 District Heat'!$D$42:$CF$42,0)))*1000*$B$12</f>
        <v>0</v>
      </c>
      <c r="K22" s="148">
        <f>INDEX('3.2 District Heat'!$D49:$CF49,1,MATCH(INDEX('DH calcs - old'!$C$5:$C$9,MATCH(Dashboard!$D$6,'DH calcs - old'!$B$5:$B$9,0),1)&amp;K$19&amp;K$20,'3.2 District Heat'!$D$42:$CF$42,0))*1000*$B$12</f>
        <v>0</v>
      </c>
      <c r="L22" s="148">
        <f>INDEX('3.2 District Heat'!$D49:$CF49,1,MATCH(INDEX('DH calcs - old'!$C$5:$C$9,MATCH(Dashboard!$D$6,'DH calcs - old'!$B$5:$B$9,0),1)&amp;L$19&amp;L$20,'3.2 District Heat'!$D$42:$CF$42,0))*1000*$B$12</f>
        <v>0</v>
      </c>
      <c r="M22" s="148">
        <f>INDEX('3.2 District Heat'!$D49:$CF49,1,MATCH(INDEX('DH calcs - old'!$C$5:$C$9,MATCH(Dashboard!$D$6,'DH calcs - old'!$B$5:$B$9,0),1)&amp;M$19&amp;M$20,'3.2 District Heat'!$D$42:$CF$42,0))*1000*$B$12</f>
        <v>0</v>
      </c>
      <c r="N22" s="148">
        <f>INDEX('3.2 District Heat'!$D49:$CF49,1,MATCH(INDEX('DH calcs - old'!$C$5:$C$9,MATCH(Dashboard!$D$6,'DH calcs - old'!$B$5:$B$9,0),1)&amp;N$19&amp;N$20,'3.2 District Heat'!$D$42:$CF$42,0))*1000*$B$12</f>
        <v>0</v>
      </c>
      <c r="O22" s="379">
        <f>(INDEX('3.2 District Heat'!$D49:$CF49,1,MATCH(INDEX('DH calcs - old'!$C$5:$C$9,MATCH(Dashboard!$D$6,'DH calcs - old'!$B$5:$B$9,0),1)&amp;O$19&amp;O$20,'3.2 District Heat'!$D$42:$CF$42,0))*1000+E22*(1-$B$13))*$B$12</f>
        <v>29397450</v>
      </c>
      <c r="P22" s="379">
        <f t="shared" ref="P22:P53" si="1">SUM(F22:O22)/$B$12-SUM(F22:O22)</f>
        <v>14298950.00716719</v>
      </c>
      <c r="Q22" s="148">
        <f t="shared" ref="Q22:Q53" si="2">P22+O22</f>
        <v>43696400.00716719</v>
      </c>
      <c r="R22" s="148"/>
      <c r="S22" s="148">
        <f>INDEX('3.2 District Heat'!$D49:$CF49,1,MATCH(INDEX('DH calcs - old'!$C$5:$C$9,MATCH(Dashboard!$D$6,'DH calcs - old'!$B$5:$B$9,0),1)&amp;S$19&amp;S$20,'3.2 District Heat'!$D$42:$CF$42,0))*1000*$B$12</f>
        <v>0</v>
      </c>
      <c r="T22" s="148">
        <f>INDEX('3.2 District Heat'!$D49:$CF49,1,MATCH(INDEX('DH calcs - old'!$C$5:$C$9,MATCH(Dashboard!$D$6,'DH calcs - old'!$B$5:$B$9,0),1)&amp;T$19&amp;T$20,'3.2 District Heat'!$D$42:$CF$42,0))*1000*$B$12</f>
        <v>0</v>
      </c>
      <c r="U22" s="148">
        <f>INDEX('3.2 District Heat'!$D49:$CF49,1,MATCH(INDEX('DH calcs - old'!$C$5:$C$9,MATCH(Dashboard!$D$6,'DH calcs - old'!$B$5:$B$9,0),1)&amp;U$19&amp;U$20,'3.2 District Heat'!$D$42:$CF$42,0))*1000*$B$12</f>
        <v>0</v>
      </c>
      <c r="V22" s="148">
        <f>(INDEX('3.2 District Heat'!$D49:$CF49,1,MATCH(INDEX('DH calcs - old'!$C$5:$C$9,MATCH(Dashboard!$D$6,'DH calcs - old'!$B$5:$B$9,0),1)&amp;V$19&amp;V$20,'3.2 District Heat'!$D$42:$CF$42,0))*1000+E22*IF(Dashboard!$D$6="=INDEX('Scenario names'!$C$3:$C$6,2)",$H$12,IF(Dashboard!$D$6="=INDEX('Scenario names'!$C$3:$C$6,3)",$H$13,$H$14)))*$B$12</f>
        <v>0</v>
      </c>
      <c r="W22" s="546">
        <f>(INDEX('3.2 District Heat'!$D49:$CF49,1,MATCH(INDEX('DH calcs - old'!$C$5:$C$9,MATCH(Dashboard!$D$6,'DH calcs - old'!$B$5:$B$9,0),1)&amp;W$19&amp;W$20,'3.2 District Heat'!$D$42:$CF$42,0))+INDEX('3.2 District Heat'!$D49:$CF49,1,MATCH(INDEX('DH calcs - old'!$C$5:$C$9,MATCH(Dashboard!$D$6,'DH calcs - old'!$B$5:$B$9,0),1)&amp;W$18&amp;W$20,'3.2 District Heat'!$D$42:$CF$42,0)))*1000*$B$12</f>
        <v>228765.44986271474</v>
      </c>
      <c r="X22" s="148">
        <f>INDEX('3.2 District Heat'!$D49:$CF49,1,MATCH(INDEX('DH calcs - old'!$C$5:$C$9,MATCH(Dashboard!$D$6,'DH calcs - old'!$B$5:$B$9,0),1)&amp;X$19&amp;X$20,'3.2 District Heat'!$D$42:$CF$42,0))*1000*$B$12</f>
        <v>0</v>
      </c>
      <c r="Y22" s="148">
        <f>INDEX('3.2 District Heat'!$D49:$CF49,1,MATCH(INDEX('DH calcs - old'!$C$5:$C$9,MATCH(Dashboard!$D$6,'DH calcs - old'!$B$5:$B$9,0),1)&amp;Y$19&amp;Y$20,'3.2 District Heat'!$D$42:$CF$42,0))*1000*$B$12</f>
        <v>0</v>
      </c>
      <c r="Z22" s="148">
        <f>(INDEX('3.2 District Heat'!$D49:$CF49,1,MATCH(INDEX('DH calcs - old'!$C$5:$C$9,MATCH(Dashboard!$D$6,'DH calcs - old'!$B$5:$B$9,0),1)&amp;Z$19&amp;Z$20,'3.2 District Heat'!$D$42:$CF$42,0))*1000+E22*IF(Dashboard!$D$6="=INDEX('Scenario names'!$C$3:$C$6,2)",$I$12,IF(Dashboard!$D$6="=INDEX('Scenario names'!$C$3:$C$6,3)",$I$13,$I$14)))*$B$12</f>
        <v>59548738.980852023</v>
      </c>
      <c r="AA22" s="148">
        <f>INDEX('3.2 District Heat'!$D49:$CF49,1,MATCH(INDEX('DH calcs - old'!$C$5:$C$9,MATCH(Dashboard!$D$6,'DH calcs - old'!$B$5:$B$9,0),1)&amp;AA$19&amp;AA$20,'3.2 District Heat'!$D$42:$CF$42,0))*1000*$B$12</f>
        <v>0</v>
      </c>
      <c r="AB22" s="148">
        <f>INDEX('3.2 District Heat'!$D49:$CF49,1,MATCH(INDEX('DH calcs - old'!$C$5:$C$9,MATCH(Dashboard!$D$6,'DH calcs - old'!$B$5:$B$9,0),1)&amp;AB$19&amp;AB$20,'3.2 District Heat'!$D$42:$CF$42,0))*1000*$B$12</f>
        <v>0</v>
      </c>
      <c r="AC22" s="379">
        <f t="shared" ref="AC22:AC53" si="3">SUM(S22:AB22)/$B$12-SUM(S22:AB22)</f>
        <v>14944376.107678674</v>
      </c>
      <c r="AD22" s="379">
        <f>AB22+AC22*IF(Dashboard!$D$6="=INDEX('Scenario names'!$C$3:$C$6,2)",$J$12,IF(Dashboard!$D$6="=INDEX('Scenario names'!$C$3:$C$6,3)",$J$13,$J$14))</f>
        <v>0</v>
      </c>
      <c r="AE22" s="379">
        <f>Z22+AC22*IF(Dashboard!$D$6="=INDEX('Scenario names'!$C$3:$C$6,2)",$K$12,IF(Dashboard!$D$6="=INDEX('Scenario names'!$C$3:$C$6,3)",$K$13,$K$14))</f>
        <v>74493115.088530689</v>
      </c>
      <c r="AF22" s="378">
        <f>IF(OR(Dashboard!$D$6=INDEX('Scenario names'!$C$3:$C$6,3),Dashboard!$D$6=INDEX('Scenario names'!$C$3:$C$6,2)),'3.2 District Heat'!BD49,IF(Dashboard!$D$6=INDEX('Scenario names'!$B$3:$B$6,4),'3.2 District Heat'!CE49,IF(OR(Dashboard!$D$6="Baseline",Dashboard!$D$6=INDEX('Scenario names'!$C$3:$C$6,1)),'3.2 District Heat'!AC49, Error)))</f>
        <v>17906.910219243709</v>
      </c>
    </row>
    <row r="23" spans="1:118">
      <c r="A23" s="114" t="s">
        <v>628</v>
      </c>
      <c r="B23" s="148">
        <f>'3.2 District Heat'!B50*$B$11*1000</f>
        <v>2017745</v>
      </c>
      <c r="C23" s="148">
        <f>'3.2 District Heat'!B50*$B$11*1000</f>
        <v>2017745</v>
      </c>
      <c r="D23" s="148"/>
      <c r="E23" s="148">
        <f>B23+C23</f>
        <v>4035490</v>
      </c>
      <c r="F23" s="148">
        <f>INDEX('3.2 District Heat'!$D50:$CF50,1,MATCH(INDEX('DH calcs - old'!$C$5:$C$9,MATCH(Dashboard!$D$6,'DH calcs - old'!$B$5:$B$9,0),1)&amp;F$19&amp;F$20,'3.2 District Heat'!$D$42:$CF$42,0))*1000*$B$12</f>
        <v>4978666.1779965051</v>
      </c>
      <c r="G23" s="379">
        <f>(INDEX('3.2 District Heat'!$D50:$CF50,1,MATCH(INDEX('DH calcs - old'!$C$5:$C$9,MATCH(Dashboard!$D$6,'DH calcs - old'!$B$5:$B$9,0),1)&amp;G$19&amp;G$20,'3.2 District Heat'!$D$42:$CF$42,0))*1000+(E23*$B$13))*$B$12</f>
        <v>807098</v>
      </c>
      <c r="H23" s="148">
        <f>INDEX('3.2 District Heat'!$D50:$CF50,1,MATCH(INDEX('DH calcs - old'!$C$5:$C$9,MATCH(Dashboard!$D$6,'DH calcs - old'!$B$5:$B$9,0),1)&amp;H$19&amp;H$20,'3.2 District Heat'!$D$42:$CF$42,0))*1000*$B$12</f>
        <v>0</v>
      </c>
      <c r="I23" s="148">
        <f>INDEX('3.2 District Heat'!$D50:$CF50,1,MATCH(INDEX('DH calcs - old'!$C$5:$C$9,MATCH(Dashboard!$D$6,'DH calcs - old'!$B$5:$B$9,0),1)&amp;I$19&amp;I$20,'3.2 District Heat'!$D$42:$CF$42,0))*1000*$B$12</f>
        <v>0</v>
      </c>
      <c r="J23" s="546">
        <f>(INDEX('3.2 District Heat'!$D50:$CF50,1,MATCH(INDEX($C$5:$C$9,MATCH(Dashboard!$D$6,$B$5:$B$9,0),1)&amp;J$19&amp;J$20,'3.2 District Heat'!$D$42:$CF$42,0))+INDEX('3.2 District Heat'!$D50:$CF50,1,MATCH(INDEX($C$5:$C$9,MATCH(Dashboard!$D$6,$B$5:$B$9,0),1)&amp;J$18&amp;J$20,'3.2 District Heat'!$D$42:$CF$42,0)))*1000*$B$12</f>
        <v>0</v>
      </c>
      <c r="K23" s="148">
        <f>INDEX('3.2 District Heat'!$D50:$CF50,1,MATCH(INDEX('DH calcs - old'!$C$5:$C$9,MATCH(Dashboard!$D$6,'DH calcs - old'!$B$5:$B$9,0),1)&amp;K$19&amp;K$20,'3.2 District Heat'!$D$42:$CF$42,0))*1000*$B$12</f>
        <v>0</v>
      </c>
      <c r="L23" s="148">
        <f>INDEX('3.2 District Heat'!$D50:$CF50,1,MATCH(INDEX('DH calcs - old'!$C$5:$C$9,MATCH(Dashboard!$D$6,'DH calcs - old'!$B$5:$B$9,0),1)&amp;L$19&amp;L$20,'3.2 District Heat'!$D$42:$CF$42,0))*1000*$B$12</f>
        <v>0</v>
      </c>
      <c r="M23" s="148">
        <f>INDEX('3.2 District Heat'!$D50:$CF50,1,MATCH(INDEX('DH calcs - old'!$C$5:$C$9,MATCH(Dashboard!$D$6,'DH calcs - old'!$B$5:$B$9,0),1)&amp;M$19&amp;M$20,'3.2 District Heat'!$D$42:$CF$42,0))*1000*$B$12</f>
        <v>0</v>
      </c>
      <c r="N23" s="148">
        <f>INDEX('3.2 District Heat'!$D50:$CF50,1,MATCH(INDEX('DH calcs - old'!$C$5:$C$9,MATCH(Dashboard!$D$6,'DH calcs - old'!$B$5:$B$9,0),1)&amp;N$19&amp;N$20,'3.2 District Heat'!$D$42:$CF$42,0))*1000*$B$12</f>
        <v>0</v>
      </c>
      <c r="O23" s="379">
        <f>(INDEX('3.2 District Heat'!$D50:$CF50,1,MATCH(INDEX('DH calcs - old'!$C$5:$C$9,MATCH(Dashboard!$D$6,'DH calcs - old'!$B$5:$B$9,0),1)&amp;O$19&amp;O$20,'3.2 District Heat'!$D$42:$CF$42,0))*1000+E23*(1-$B$13))*$B$12</f>
        <v>2421294</v>
      </c>
      <c r="P23" s="379">
        <f t="shared" si="1"/>
        <v>2051764.5444991253</v>
      </c>
      <c r="Q23" s="148">
        <f t="shared" si="2"/>
        <v>4473058.5444991253</v>
      </c>
      <c r="R23" s="148"/>
      <c r="S23" s="148">
        <f>INDEX('3.2 District Heat'!$D50:$CF50,1,MATCH(INDEX('DH calcs - old'!$C$5:$C$9,MATCH(Dashboard!$D$6,'DH calcs - old'!$B$5:$B$9,0),1)&amp;S$19&amp;S$20,'3.2 District Heat'!$D$42:$CF$42,0))*1000*$B$12</f>
        <v>8320990.7735744333</v>
      </c>
      <c r="T23" s="148">
        <f>INDEX('3.2 District Heat'!$D50:$CF50,1,MATCH(INDEX('DH calcs - old'!$C$5:$C$9,MATCH(Dashboard!$D$6,'DH calcs - old'!$B$5:$B$9,0),1)&amp;T$19&amp;T$20,'3.2 District Heat'!$D$42:$CF$42,0))*1000*$B$12</f>
        <v>0</v>
      </c>
      <c r="U23" s="148">
        <f>INDEX('3.2 District Heat'!$D50:$CF50,1,MATCH(INDEX('DH calcs - old'!$C$5:$C$9,MATCH(Dashboard!$D$6,'DH calcs - old'!$B$5:$B$9,0),1)&amp;U$19&amp;U$20,'3.2 District Heat'!$D$42:$CF$42,0))*1000*$B$12</f>
        <v>0</v>
      </c>
      <c r="V23" s="148">
        <f>(INDEX('3.2 District Heat'!$D50:$CF50,1,MATCH(INDEX('DH calcs - old'!$C$5:$C$9,MATCH(Dashboard!$D$6,'DH calcs - old'!$B$5:$B$9,0),1)&amp;V$19&amp;V$20,'3.2 District Heat'!$D$42:$CF$42,0))*1000+E23*IF(Dashboard!$D$6="=INDEX('Scenario names'!$C$3:$C$6,2)",$H$12,IF(Dashboard!$D$6="=INDEX('Scenario names'!$C$3:$C$6,3)",$H$13,$H$14)))*$B$12</f>
        <v>0</v>
      </c>
      <c r="W23" s="546">
        <f>(INDEX('3.2 District Heat'!$D50:$CF50,1,MATCH(INDEX('DH calcs - old'!$C$5:$C$9,MATCH(Dashboard!$D$6,'DH calcs - old'!$B$5:$B$9,0),1)&amp;W$19&amp;W$20,'3.2 District Heat'!$D$42:$CF$42,0))+INDEX('3.2 District Heat'!$D50:$CF50,1,MATCH(INDEX('DH calcs - old'!$C$5:$C$9,MATCH(Dashboard!$D$6,'DH calcs - old'!$B$5:$B$9,0),1)&amp;W$18&amp;W$20,'3.2 District Heat'!$D$42:$CF$42,0)))*1000*$B$12</f>
        <v>0</v>
      </c>
      <c r="X23" s="148">
        <f>INDEX('3.2 District Heat'!$D50:$CF50,1,MATCH(INDEX('DH calcs - old'!$C$5:$C$9,MATCH(Dashboard!$D$6,'DH calcs - old'!$B$5:$B$9,0),1)&amp;X$19&amp;X$20,'3.2 District Heat'!$D$42:$CF$42,0))*1000*$B$12</f>
        <v>0</v>
      </c>
      <c r="Y23" s="148">
        <f>INDEX('3.2 District Heat'!$D50:$CF50,1,MATCH(INDEX('DH calcs - old'!$C$5:$C$9,MATCH(Dashboard!$D$6,'DH calcs - old'!$B$5:$B$9,0),1)&amp;Y$19&amp;Y$20,'3.2 District Heat'!$D$42:$CF$42,0))*1000*$B$12</f>
        <v>0</v>
      </c>
      <c r="Z23" s="148">
        <f>(INDEX('3.2 District Heat'!$D50:$CF50,1,MATCH(INDEX('DH calcs - old'!$C$5:$C$9,MATCH(Dashboard!$D$6,'DH calcs - old'!$B$5:$B$9,0),1)&amp;Z$19&amp;Z$20,'3.2 District Heat'!$D$42:$CF$42,0))*1000+E23*IF(Dashboard!$D$6="=INDEX('Scenario names'!$C$3:$C$6,2)",$I$12,IF(Dashboard!$D$6="=INDEX('Scenario names'!$C$3:$C$6,3)",$I$13,$I$14)))*$B$12</f>
        <v>3228392</v>
      </c>
      <c r="AA23" s="148">
        <f>INDEX('3.2 District Heat'!$D50:$CF50,1,MATCH(INDEX('DH calcs - old'!$C$5:$C$9,MATCH(Dashboard!$D$6,'DH calcs - old'!$B$5:$B$9,0),1)&amp;AA$19&amp;AA$20,'3.2 District Heat'!$D$42:$CF$42,0))*1000*$B$12</f>
        <v>0</v>
      </c>
      <c r="AB23" s="148">
        <f>INDEX('3.2 District Heat'!$D50:$CF50,1,MATCH(INDEX('DH calcs - old'!$C$5:$C$9,MATCH(Dashboard!$D$6,'DH calcs - old'!$B$5:$B$9,0),1)&amp;AB$19&amp;AB$20,'3.2 District Heat'!$D$42:$CF$42,0))*1000*$B$12</f>
        <v>0</v>
      </c>
      <c r="AC23" s="379">
        <f t="shared" si="3"/>
        <v>2887345.6933936086</v>
      </c>
      <c r="AD23" s="379">
        <f>AB23+AC23*IF(Dashboard!$D$6="=INDEX('Scenario names'!$C$3:$C$6,2)",$J$12,IF(Dashboard!$D$6="=INDEX('Scenario names'!$C$3:$C$6,3)",$J$13,$J$14))</f>
        <v>0</v>
      </c>
      <c r="AE23" s="379">
        <f>Z23+AC23*IF(Dashboard!$D$6="=INDEX('Scenario names'!$C$3:$C$6,2)",$K$12,IF(Dashboard!$D$6="=INDEX('Scenario names'!$C$3:$C$6,3)",$K$13,$K$14))</f>
        <v>6115737.6933936086</v>
      </c>
      <c r="AF23" s="378">
        <f>IF(OR(Dashboard!$D$6=INDEX('Scenario names'!$C$3:$C$6,3),Dashboard!$D$6=INDEX('Scenario names'!$C$3:$C$6,2)),'3.2 District Heat'!BD50,IF(Dashboard!$D$6=INDEX('Scenario names'!$B$3:$B$6,4),'3.2 District Heat'!CE50,IF(OR(Dashboard!$D$6="Baseline",Dashboard!$D$6=INDEX('Scenario names'!$C$3:$C$6,1)),'3.2 District Heat'!AC50, Error)))</f>
        <v>0</v>
      </c>
    </row>
    <row r="24" spans="1:118">
      <c r="A24" s="114" t="s">
        <v>629</v>
      </c>
      <c r="B24" s="148">
        <f>'3.2 District Heat'!B51*$B$11*1000</f>
        <v>8582197.5</v>
      </c>
      <c r="C24" s="148">
        <f>'3.2 District Heat'!B51*$B$11*1000</f>
        <v>8582197.5</v>
      </c>
      <c r="D24" s="148"/>
      <c r="E24" s="148">
        <f t="shared" si="0"/>
        <v>17164395</v>
      </c>
      <c r="F24" s="148">
        <f>INDEX('3.2 District Heat'!$D51:$CF51,1,MATCH(INDEX('DH calcs - old'!$C$5:$C$9,MATCH(Dashboard!$D$6,'DH calcs - old'!$B$5:$B$9,0),1)&amp;F$19&amp;F$20,'3.2 District Heat'!$D$42:$CF$42,0))*1000*$B$12</f>
        <v>12305262.895183917</v>
      </c>
      <c r="G24" s="379">
        <f>(INDEX('3.2 District Heat'!$D51:$CF51,1,MATCH(INDEX('DH calcs - old'!$C$5:$C$9,MATCH(Dashboard!$D$6,'DH calcs - old'!$B$5:$B$9,0),1)&amp;G$19&amp;G$20,'3.2 District Heat'!$D$42:$CF$42,0))*1000+(E24*$B$13))*$B$12</f>
        <v>32456401.793560207</v>
      </c>
      <c r="H24" s="148">
        <f>INDEX('3.2 District Heat'!$D51:$CF51,1,MATCH(INDEX('DH calcs - old'!$C$5:$C$9,MATCH(Dashboard!$D$6,'DH calcs - old'!$B$5:$B$9,0),1)&amp;H$19&amp;H$20,'3.2 District Heat'!$D$42:$CF$42,0))*1000*$B$12</f>
        <v>7132625.4708022447</v>
      </c>
      <c r="I24" s="148">
        <f>INDEX('3.2 District Heat'!$D51:$CF51,1,MATCH(INDEX('DH calcs - old'!$C$5:$C$9,MATCH(Dashboard!$D$6,'DH calcs - old'!$B$5:$B$9,0),1)&amp;I$19&amp;I$20,'3.2 District Heat'!$D$42:$CF$42,0))*1000*$B$12</f>
        <v>0</v>
      </c>
      <c r="J24" s="546">
        <f>(INDEX('3.2 District Heat'!$D51:$CF51,1,MATCH(INDEX($C$5:$C$9,MATCH(Dashboard!$D$6,$B$5:$B$9,0),1)&amp;J$19&amp;J$20,'3.2 District Heat'!$D$42:$CF$42,0))+INDEX('3.2 District Heat'!$D51:$CF51,1,MATCH(INDEX($C$5:$C$9,MATCH(Dashboard!$D$6,$B$5:$B$9,0),1)&amp;J$18&amp;J$20,'3.2 District Heat'!$D$42:$CF$42,0)))*1000*$B$12</f>
        <v>0</v>
      </c>
      <c r="K24" s="148">
        <f>INDEX('3.2 District Heat'!$D51:$CF51,1,MATCH(INDEX('DH calcs - old'!$C$5:$C$9,MATCH(Dashboard!$D$6,'DH calcs - old'!$B$5:$B$9,0),1)&amp;K$19&amp;K$20,'3.2 District Heat'!$D$42:$CF$42,0))*1000*$B$12</f>
        <v>0</v>
      </c>
      <c r="L24" s="148">
        <f>INDEX('3.2 District Heat'!$D51:$CF51,1,MATCH(INDEX('DH calcs - old'!$C$5:$C$9,MATCH(Dashboard!$D$6,'DH calcs - old'!$B$5:$B$9,0),1)&amp;L$19&amp;L$20,'3.2 District Heat'!$D$42:$CF$42,0))*1000*$B$12</f>
        <v>0</v>
      </c>
      <c r="M24" s="148">
        <f>INDEX('3.2 District Heat'!$D51:$CF51,1,MATCH(INDEX('DH calcs - old'!$C$5:$C$9,MATCH(Dashboard!$D$6,'DH calcs - old'!$B$5:$B$9,0),1)&amp;M$19&amp;M$20,'3.2 District Heat'!$D$42:$CF$42,0))*1000*$B$12</f>
        <v>0</v>
      </c>
      <c r="N24" s="148">
        <f>INDEX('3.2 District Heat'!$D51:$CF51,1,MATCH(INDEX('DH calcs - old'!$C$5:$C$9,MATCH(Dashboard!$D$6,'DH calcs - old'!$B$5:$B$9,0),1)&amp;N$19&amp;N$20,'3.2 District Heat'!$D$42:$CF$42,0))*1000*$B$12</f>
        <v>0</v>
      </c>
      <c r="O24" s="379">
        <f>(INDEX('3.2 District Heat'!$D51:$CF51,1,MATCH(INDEX('DH calcs - old'!$C$5:$C$9,MATCH(Dashboard!$D$6,'DH calcs - old'!$B$5:$B$9,0),1)&amp;O$19&amp;O$20,'3.2 District Heat'!$D$42:$CF$42,0))*1000+E24*(1-$B$13))*$B$12</f>
        <v>10298637</v>
      </c>
      <c r="P24" s="379">
        <f t="shared" si="1"/>
        <v>15548231.789886594</v>
      </c>
      <c r="Q24" s="148">
        <f t="shared" si="2"/>
        <v>25846868.789886594</v>
      </c>
      <c r="R24" s="148"/>
      <c r="S24" s="148">
        <f>INDEX('3.2 District Heat'!$D51:$CF51,1,MATCH(INDEX('DH calcs - old'!$C$5:$C$9,MATCH(Dashboard!$D$6,'DH calcs - old'!$B$5:$B$9,0),1)&amp;S$19&amp;S$20,'3.2 District Heat'!$D$42:$CF$42,0))*1000*$B$12</f>
        <v>21433809.59039478</v>
      </c>
      <c r="T24" s="148">
        <f>INDEX('3.2 District Heat'!$D51:$CF51,1,MATCH(INDEX('DH calcs - old'!$C$5:$C$9,MATCH(Dashboard!$D$6,'DH calcs - old'!$B$5:$B$9,0),1)&amp;T$19&amp;T$20,'3.2 District Heat'!$D$42:$CF$42,0))*1000*$B$12</f>
        <v>0</v>
      </c>
      <c r="U24" s="148">
        <f>INDEX('3.2 District Heat'!$D51:$CF51,1,MATCH(INDEX('DH calcs - old'!$C$5:$C$9,MATCH(Dashboard!$D$6,'DH calcs - old'!$B$5:$B$9,0),1)&amp;U$19&amp;U$20,'3.2 District Heat'!$D$42:$CF$42,0))*1000*$B$12</f>
        <v>8670776.8920116089</v>
      </c>
      <c r="V24" s="148">
        <f>(INDEX('3.2 District Heat'!$D51:$CF51,1,MATCH(INDEX('DH calcs - old'!$C$5:$C$9,MATCH(Dashboard!$D$6,'DH calcs - old'!$B$5:$B$9,0),1)&amp;V$19&amp;V$20,'3.2 District Heat'!$D$42:$CF$42,0))*1000+E24*IF(Dashboard!$D$6="=INDEX('Scenario names'!$C$3:$C$6,2)",$H$12,IF(Dashboard!$D$6="=INDEX('Scenario names'!$C$3:$C$6,3)",$H$13,$H$14)))*$B$12</f>
        <v>0</v>
      </c>
      <c r="W24" s="546">
        <f>(INDEX('3.2 District Heat'!$D51:$CF51,1,MATCH(INDEX('DH calcs - old'!$C$5:$C$9,MATCH(Dashboard!$D$6,'DH calcs - old'!$B$5:$B$9,0),1)&amp;W$19&amp;W$20,'3.2 District Heat'!$D$42:$CF$42,0))+INDEX('3.2 District Heat'!$D51:$CF51,1,MATCH(INDEX('DH calcs - old'!$C$5:$C$9,MATCH(Dashboard!$D$6,'DH calcs - old'!$B$5:$B$9,0),1)&amp;W$18&amp;W$20,'3.2 District Heat'!$D$42:$CF$42,0)))*1000*$B$12</f>
        <v>2556631.2933474537</v>
      </c>
      <c r="X24" s="148">
        <f>INDEX('3.2 District Heat'!$D51:$CF51,1,MATCH(INDEX('DH calcs - old'!$C$5:$C$9,MATCH(Dashboard!$D$6,'DH calcs - old'!$B$5:$B$9,0),1)&amp;X$19&amp;X$20,'3.2 District Heat'!$D$42:$CF$42,0))*1000*$B$12</f>
        <v>380256.66838819697</v>
      </c>
      <c r="Y24" s="148">
        <f>INDEX('3.2 District Heat'!$D51:$CF51,1,MATCH(INDEX('DH calcs - old'!$C$5:$C$9,MATCH(Dashboard!$D$6,'DH calcs - old'!$B$5:$B$9,0),1)&amp;Y$19&amp;Y$20,'3.2 District Heat'!$D$42:$CF$42,0))*1000*$B$12</f>
        <v>0</v>
      </c>
      <c r="Z24" s="148">
        <f>(INDEX('3.2 District Heat'!$D51:$CF51,1,MATCH(INDEX('DH calcs - old'!$C$5:$C$9,MATCH(Dashboard!$D$6,'DH calcs - old'!$B$5:$B$9,0),1)&amp;Z$19&amp;Z$20,'3.2 District Heat'!$D$42:$CF$42,0))*1000+E24*IF(Dashboard!$D$6="=INDEX('Scenario names'!$C$3:$C$6,2)",$I$12,IF(Dashboard!$D$6="=INDEX('Scenario names'!$C$3:$C$6,3)",$I$13,$I$14)))*$B$12</f>
        <v>29512545.543264735</v>
      </c>
      <c r="AA24" s="148">
        <f>INDEX('3.2 District Heat'!$D51:$CF51,1,MATCH(INDEX('DH calcs - old'!$C$5:$C$9,MATCH(Dashboard!$D$6,'DH calcs - old'!$B$5:$B$9,0),1)&amp;AA$19&amp;AA$20,'3.2 District Heat'!$D$42:$CF$42,0))*1000*$B$12</f>
        <v>0</v>
      </c>
      <c r="AB24" s="148">
        <f>INDEX('3.2 District Heat'!$D51:$CF51,1,MATCH(INDEX('DH calcs - old'!$C$5:$C$9,MATCH(Dashboard!$D$6,'DH calcs - old'!$B$5:$B$9,0),1)&amp;AB$19&amp;AB$20,'3.2 District Heat'!$D$42:$CF$42,0))*1000*$B$12</f>
        <v>0</v>
      </c>
      <c r="AC24" s="379">
        <f t="shared" si="3"/>
        <v>15638504.996851683</v>
      </c>
      <c r="AD24" s="379">
        <f>AB24+AC24*IF(Dashboard!$D$6="=INDEX('Scenario names'!$C$3:$C$6,2)",$J$12,IF(Dashboard!$D$6="=INDEX('Scenario names'!$C$3:$C$6,3)",$J$13,$J$14))</f>
        <v>0</v>
      </c>
      <c r="AE24" s="379">
        <f>Z24+AC24*IF(Dashboard!$D$6="=INDEX('Scenario names'!$C$3:$C$6,2)",$K$12,IF(Dashboard!$D$6="=INDEX('Scenario names'!$C$3:$C$6,3)",$K$13,$K$14))</f>
        <v>45151050.540116414</v>
      </c>
      <c r="AF24" s="378">
        <f>IF(OR(Dashboard!$D$6=INDEX('Scenario names'!$C$3:$C$6,3),Dashboard!$D$6=INDEX('Scenario names'!$C$3:$C$6,2)),'3.2 District Heat'!BD51,IF(Dashboard!$D$6=INDEX('Scenario names'!$B$3:$B$6,4),'3.2 District Heat'!CE51,IF(OR(Dashboard!$D$6="Baseline",Dashboard!$D$6=INDEX('Scenario names'!$C$3:$C$6,1)),'3.2 District Heat'!AC51, Error)))</f>
        <v>14913.144394469216</v>
      </c>
    </row>
    <row r="25" spans="1:118">
      <c r="A25" s="114" t="s">
        <v>630</v>
      </c>
      <c r="B25" s="148">
        <f>'3.2 District Heat'!B52*$B$11*1000</f>
        <v>712315</v>
      </c>
      <c r="C25" s="148">
        <f>'3.2 District Heat'!B52*$B$11*1000</f>
        <v>712315</v>
      </c>
      <c r="D25" s="148"/>
      <c r="E25" s="148">
        <f t="shared" si="0"/>
        <v>1424630</v>
      </c>
      <c r="F25" s="148">
        <f>INDEX('3.2 District Heat'!$D52:$CF52,1,MATCH(INDEX('DH calcs - old'!$C$5:$C$9,MATCH(Dashboard!$D$6,'DH calcs - old'!$B$5:$B$9,0),1)&amp;F$19&amp;F$20,'3.2 District Heat'!$D$42:$CF$42,0))*1000*$B$12</f>
        <v>0</v>
      </c>
      <c r="G25" s="379">
        <f>(INDEX('3.2 District Heat'!$D52:$CF52,1,MATCH(INDEX('DH calcs - old'!$C$5:$C$9,MATCH(Dashboard!$D$6,'DH calcs - old'!$B$5:$B$9,0),1)&amp;G$19&amp;G$20,'3.2 District Heat'!$D$42:$CF$42,0))*1000+(E25*$B$13))*$B$12</f>
        <v>20063281.235219326</v>
      </c>
      <c r="H25" s="148">
        <f>INDEX('3.2 District Heat'!$D52:$CF52,1,MATCH(INDEX('DH calcs - old'!$C$5:$C$9,MATCH(Dashboard!$D$6,'DH calcs - old'!$B$5:$B$9,0),1)&amp;H$19&amp;H$20,'3.2 District Heat'!$D$42:$CF$42,0))*1000*$B$12</f>
        <v>0</v>
      </c>
      <c r="I25" s="148">
        <f>INDEX('3.2 District Heat'!$D52:$CF52,1,MATCH(INDEX('DH calcs - old'!$C$5:$C$9,MATCH(Dashboard!$D$6,'DH calcs - old'!$B$5:$B$9,0),1)&amp;I$19&amp;I$20,'3.2 District Heat'!$D$42:$CF$42,0))*1000*$B$12</f>
        <v>0</v>
      </c>
      <c r="J25" s="546">
        <f>(INDEX('3.2 District Heat'!$D52:$CF52,1,MATCH(INDEX($C$5:$C$9,MATCH(Dashboard!$D$6,$B$5:$B$9,0),1)&amp;J$19&amp;J$20,'3.2 District Heat'!$D$42:$CF$42,0))+INDEX('3.2 District Heat'!$D52:$CF52,1,MATCH(INDEX($C$5:$C$9,MATCH(Dashboard!$D$6,$B$5:$B$9,0),1)&amp;J$18&amp;J$20,'3.2 District Heat'!$D$42:$CF$42,0)))*1000*$B$12</f>
        <v>0</v>
      </c>
      <c r="K25" s="148">
        <f>INDEX('3.2 District Heat'!$D52:$CF52,1,MATCH(INDEX('DH calcs - old'!$C$5:$C$9,MATCH(Dashboard!$D$6,'DH calcs - old'!$B$5:$B$9,0),1)&amp;K$19&amp;K$20,'3.2 District Heat'!$D$42:$CF$42,0))*1000*$B$12</f>
        <v>0</v>
      </c>
      <c r="L25" s="148">
        <f>INDEX('3.2 District Heat'!$D52:$CF52,1,MATCH(INDEX('DH calcs - old'!$C$5:$C$9,MATCH(Dashboard!$D$6,'DH calcs - old'!$B$5:$B$9,0),1)&amp;L$19&amp;L$20,'3.2 District Heat'!$D$42:$CF$42,0))*1000*$B$12</f>
        <v>0</v>
      </c>
      <c r="M25" s="148">
        <f>INDEX('3.2 District Heat'!$D52:$CF52,1,MATCH(INDEX('DH calcs - old'!$C$5:$C$9,MATCH(Dashboard!$D$6,'DH calcs - old'!$B$5:$B$9,0),1)&amp;M$19&amp;M$20,'3.2 District Heat'!$D$42:$CF$42,0))*1000*$B$12</f>
        <v>0</v>
      </c>
      <c r="N25" s="148">
        <f>INDEX('3.2 District Heat'!$D52:$CF52,1,MATCH(INDEX('DH calcs - old'!$C$5:$C$9,MATCH(Dashboard!$D$6,'DH calcs - old'!$B$5:$B$9,0),1)&amp;N$19&amp;N$20,'3.2 District Heat'!$D$42:$CF$42,0))*1000*$B$12</f>
        <v>0</v>
      </c>
      <c r="O25" s="379">
        <f>(INDEX('3.2 District Heat'!$D52:$CF52,1,MATCH(INDEX('DH calcs - old'!$C$5:$C$9,MATCH(Dashboard!$D$6,'DH calcs - old'!$B$5:$B$9,0),1)&amp;O$19&amp;O$20,'3.2 District Heat'!$D$42:$CF$42,0))*1000+E25*(1-$B$13))*$B$12</f>
        <v>854778</v>
      </c>
      <c r="P25" s="379">
        <f t="shared" si="1"/>
        <v>5229514.8088048287</v>
      </c>
      <c r="Q25" s="148">
        <f t="shared" si="2"/>
        <v>6084292.8088048287</v>
      </c>
      <c r="R25" s="148"/>
      <c r="S25" s="148">
        <f>INDEX('3.2 District Heat'!$D52:$CF52,1,MATCH(INDEX('DH calcs - old'!$C$5:$C$9,MATCH(Dashboard!$D$6,'DH calcs - old'!$B$5:$B$9,0),1)&amp;S$19&amp;S$20,'3.2 District Heat'!$D$42:$CF$42,0))*1000*$B$12</f>
        <v>0</v>
      </c>
      <c r="T25" s="148">
        <f>INDEX('3.2 District Heat'!$D52:$CF52,1,MATCH(INDEX('DH calcs - old'!$C$5:$C$9,MATCH(Dashboard!$D$6,'DH calcs - old'!$B$5:$B$9,0),1)&amp;T$19&amp;T$20,'3.2 District Heat'!$D$42:$CF$42,0))*1000*$B$12</f>
        <v>0</v>
      </c>
      <c r="U25" s="148">
        <f>INDEX('3.2 District Heat'!$D52:$CF52,1,MATCH(INDEX('DH calcs - old'!$C$5:$C$9,MATCH(Dashboard!$D$6,'DH calcs - old'!$B$5:$B$9,0),1)&amp;U$19&amp;U$20,'3.2 District Heat'!$D$42:$CF$42,0))*1000*$B$12</f>
        <v>0</v>
      </c>
      <c r="V25" s="148">
        <f>(INDEX('3.2 District Heat'!$D52:$CF52,1,MATCH(INDEX('DH calcs - old'!$C$5:$C$9,MATCH(Dashboard!$D$6,'DH calcs - old'!$B$5:$B$9,0),1)&amp;V$19&amp;V$20,'3.2 District Heat'!$D$42:$CF$42,0))*1000+E25*IF(Dashboard!$D$6="=INDEX('Scenario names'!$C$3:$C$6,2)",$H$12,IF(Dashboard!$D$6="=INDEX('Scenario names'!$C$3:$C$6,3)",$H$13,$H$14)))*$B$12</f>
        <v>0</v>
      </c>
      <c r="W25" s="546">
        <f>(INDEX('3.2 District Heat'!$D52:$CF52,1,MATCH(INDEX('DH calcs - old'!$C$5:$C$9,MATCH(Dashboard!$D$6,'DH calcs - old'!$B$5:$B$9,0),1)&amp;W$19&amp;W$20,'3.2 District Heat'!$D$42:$CF$42,0))+INDEX('3.2 District Heat'!$D52:$CF52,1,MATCH(INDEX('DH calcs - old'!$C$5:$C$9,MATCH(Dashboard!$D$6,'DH calcs - old'!$B$5:$B$9,0),1)&amp;W$18&amp;W$20,'3.2 District Heat'!$D$42:$CF$42,0)))*1000*$B$12</f>
        <v>686296.3495881441</v>
      </c>
      <c r="X25" s="148">
        <f>INDEX('3.2 District Heat'!$D52:$CF52,1,MATCH(INDEX('DH calcs - old'!$C$5:$C$9,MATCH(Dashboard!$D$6,'DH calcs - old'!$B$5:$B$9,0),1)&amp;X$19&amp;X$20,'3.2 District Heat'!$D$42:$CF$42,0))*1000*$B$12</f>
        <v>0</v>
      </c>
      <c r="Y25" s="148">
        <f>INDEX('3.2 District Heat'!$D52:$CF52,1,MATCH(INDEX('DH calcs - old'!$C$5:$C$9,MATCH(Dashboard!$D$6,'DH calcs - old'!$B$5:$B$9,0),1)&amp;Y$19&amp;Y$20,'3.2 District Heat'!$D$42:$CF$42,0))*1000*$B$12</f>
        <v>0</v>
      </c>
      <c r="Z25" s="148">
        <f>(INDEX('3.2 District Heat'!$D52:$CF52,1,MATCH(INDEX('DH calcs - old'!$C$5:$C$9,MATCH(Dashboard!$D$6,'DH calcs - old'!$B$5:$B$9,0),1)&amp;Z$19&amp;Z$20,'3.2 District Heat'!$D$42:$CF$42,0))*1000+E25*IF(Dashboard!$D$6="=INDEX('Scenario names'!$C$3:$C$6,2)",$I$12,IF(Dashboard!$D$6="=INDEX('Scenario names'!$C$3:$C$6,3)",$I$13,$I$14)))*$B$12</f>
        <v>23784608.164189167</v>
      </c>
      <c r="AA25" s="148">
        <f>INDEX('3.2 District Heat'!$D52:$CF52,1,MATCH(INDEX('DH calcs - old'!$C$5:$C$9,MATCH(Dashboard!$D$6,'DH calcs - old'!$B$5:$B$9,0),1)&amp;AA$19&amp;AA$20,'3.2 District Heat'!$D$42:$CF$42,0))*1000*$B$12</f>
        <v>0</v>
      </c>
      <c r="AB25" s="148">
        <f>INDEX('3.2 District Heat'!$D52:$CF52,1,MATCH(INDEX('DH calcs - old'!$C$5:$C$9,MATCH(Dashboard!$D$6,'DH calcs - old'!$B$5:$B$9,0),1)&amp;AB$19&amp;AB$20,'3.2 District Heat'!$D$42:$CF$42,0))*1000*$B$12</f>
        <v>0</v>
      </c>
      <c r="AC25" s="379">
        <f t="shared" si="3"/>
        <v>6117726.1284443252</v>
      </c>
      <c r="AD25" s="379">
        <f>AB25+AC25*IF(Dashboard!$D$6="=INDEX('Scenario names'!$C$3:$C$6,2)",$J$12,IF(Dashboard!$D$6="=INDEX('Scenario names'!$C$3:$C$6,3)",$J$13,$J$14))</f>
        <v>0</v>
      </c>
      <c r="AE25" s="379">
        <f>Z25+AC25*IF(Dashboard!$D$6="=INDEX('Scenario names'!$C$3:$C$6,2)",$K$12,IF(Dashboard!$D$6="=INDEX('Scenario names'!$C$3:$C$6,3)",$K$13,$K$14))</f>
        <v>29902334.292633492</v>
      </c>
      <c r="AF25" s="378">
        <f>IF(OR(Dashboard!$D$6=INDEX('Scenario names'!$C$3:$C$6,3),Dashboard!$D$6=INDEX('Scenario names'!$C$3:$C$6,2)),'3.2 District Heat'!BD52,IF(Dashboard!$D$6=INDEX('Scenario names'!$B$3:$B$6,4),'3.2 District Heat'!CE52,IF(OR(Dashboard!$D$6="Baseline",Dashboard!$D$6=INDEX('Scenario names'!$C$3:$C$6,1)),'3.2 District Heat'!AC52, Error)))</f>
        <v>21909.371036093238</v>
      </c>
    </row>
    <row r="26" spans="1:118">
      <c r="A26" s="114" t="s">
        <v>631</v>
      </c>
      <c r="B26" s="148">
        <f>'3.2 District Heat'!B53*$B$11*1000</f>
        <v>29879437.5</v>
      </c>
      <c r="C26" s="148">
        <f>'3.2 District Heat'!B53*$B$11*1000</f>
        <v>29879437.5</v>
      </c>
      <c r="D26" s="148"/>
      <c r="E26" s="148">
        <f t="shared" si="0"/>
        <v>59758875</v>
      </c>
      <c r="F26" s="148">
        <f>INDEX('3.2 District Heat'!$D53:$CF53,1,MATCH(INDEX('DH calcs - old'!$C$5:$C$9,MATCH(Dashboard!$D$6,'DH calcs - old'!$B$5:$B$9,0),1)&amp;F$19&amp;F$20,'3.2 District Heat'!$D$42:$CF$42,0))*1000*$B$12</f>
        <v>943460.61437322991</v>
      </c>
      <c r="G26" s="379">
        <f>(INDEX('3.2 District Heat'!$D53:$CF53,1,MATCH(INDEX('DH calcs - old'!$C$5:$C$9,MATCH(Dashboard!$D$6,'DH calcs - old'!$B$5:$B$9,0),1)&amp;G$19&amp;G$20,'3.2 District Heat'!$D$42:$CF$42,0))*1000+(E26*$B$13))*$B$12</f>
        <v>176721543.44016516</v>
      </c>
      <c r="H26" s="148">
        <f>INDEX('3.2 District Heat'!$D53:$CF53,1,MATCH(INDEX('DH calcs - old'!$C$5:$C$9,MATCH(Dashboard!$D$6,'DH calcs - old'!$B$5:$B$9,0),1)&amp;H$19&amp;H$20,'3.2 District Heat'!$D$42:$CF$42,0))*1000*$B$12</f>
        <v>12258469.165909784</v>
      </c>
      <c r="I26" s="148">
        <f>INDEX('3.2 District Heat'!$D53:$CF53,1,MATCH(INDEX('DH calcs - old'!$C$5:$C$9,MATCH(Dashboard!$D$6,'DH calcs - old'!$B$5:$B$9,0),1)&amp;I$19&amp;I$20,'3.2 District Heat'!$D$42:$CF$42,0))*1000*$B$12</f>
        <v>0</v>
      </c>
      <c r="J26" s="546">
        <f>(INDEX('3.2 District Heat'!$D53:$CF53,1,MATCH(INDEX($C$5:$C$9,MATCH(Dashboard!$D$6,$B$5:$B$9,0),1)&amp;J$19&amp;J$20,'3.2 District Heat'!$D$42:$CF$42,0))+INDEX('3.2 District Heat'!$D53:$CF53,1,MATCH(INDEX($C$5:$C$9,MATCH(Dashboard!$D$6,$B$5:$B$9,0),1)&amp;J$18&amp;J$20,'3.2 District Heat'!$D$42:$CF$42,0)))*1000*$B$12</f>
        <v>0</v>
      </c>
      <c r="K26" s="148">
        <f>INDEX('3.2 District Heat'!$D53:$CF53,1,MATCH(INDEX('DH calcs - old'!$C$5:$C$9,MATCH(Dashboard!$D$6,'DH calcs - old'!$B$5:$B$9,0),1)&amp;K$19&amp;K$20,'3.2 District Heat'!$D$42:$CF$42,0))*1000*$B$12</f>
        <v>0</v>
      </c>
      <c r="L26" s="148">
        <f>INDEX('3.2 District Heat'!$D53:$CF53,1,MATCH(INDEX('DH calcs - old'!$C$5:$C$9,MATCH(Dashboard!$D$6,'DH calcs - old'!$B$5:$B$9,0),1)&amp;L$19&amp;L$20,'3.2 District Heat'!$D$42:$CF$42,0))*1000*$B$12</f>
        <v>0</v>
      </c>
      <c r="M26" s="148">
        <f>INDEX('3.2 District Heat'!$D53:$CF53,1,MATCH(INDEX('DH calcs - old'!$C$5:$C$9,MATCH(Dashboard!$D$6,'DH calcs - old'!$B$5:$B$9,0),1)&amp;M$19&amp;M$20,'3.2 District Heat'!$D$42:$CF$42,0))*1000*$B$12</f>
        <v>0</v>
      </c>
      <c r="N26" s="148">
        <f>INDEX('3.2 District Heat'!$D53:$CF53,1,MATCH(INDEX('DH calcs - old'!$C$5:$C$9,MATCH(Dashboard!$D$6,'DH calcs - old'!$B$5:$B$9,0),1)&amp;N$19&amp;N$20,'3.2 District Heat'!$D$42:$CF$42,0))*1000*$B$12</f>
        <v>0</v>
      </c>
      <c r="O26" s="379">
        <f>(INDEX('3.2 District Heat'!$D53:$CF53,1,MATCH(INDEX('DH calcs - old'!$C$5:$C$9,MATCH(Dashboard!$D$6,'DH calcs - old'!$B$5:$B$9,0),1)&amp;O$19&amp;O$20,'3.2 District Heat'!$D$42:$CF$42,0))*1000+E26*(1-$B$13))*$B$12</f>
        <v>113342434.37731057</v>
      </c>
      <c r="P26" s="379">
        <f t="shared" si="1"/>
        <v>75816476.899439692</v>
      </c>
      <c r="Q26" s="148">
        <f t="shared" si="2"/>
        <v>189158911.27675027</v>
      </c>
      <c r="R26" s="148"/>
      <c r="S26" s="148">
        <f>INDEX('3.2 District Heat'!$D53:$CF53,1,MATCH(INDEX('DH calcs - old'!$C$5:$C$9,MATCH(Dashboard!$D$6,'DH calcs - old'!$B$5:$B$9,0),1)&amp;S$19&amp;S$20,'3.2 District Heat'!$D$42:$CF$42,0))*1000*$B$12</f>
        <v>3417061.9499065946</v>
      </c>
      <c r="T26" s="148">
        <f>INDEX('3.2 District Heat'!$D53:$CF53,1,MATCH(INDEX('DH calcs - old'!$C$5:$C$9,MATCH(Dashboard!$D$6,'DH calcs - old'!$B$5:$B$9,0),1)&amp;T$19&amp;T$20,'3.2 District Heat'!$D$42:$CF$42,0))*1000*$B$12</f>
        <v>0</v>
      </c>
      <c r="U26" s="148">
        <f>INDEX('3.2 District Heat'!$D53:$CF53,1,MATCH(INDEX('DH calcs - old'!$C$5:$C$9,MATCH(Dashboard!$D$6,'DH calcs - old'!$B$5:$B$9,0),1)&amp;U$19&amp;U$20,'3.2 District Heat'!$D$42:$CF$42,0))*1000*$B$12</f>
        <v>17974031.586566869</v>
      </c>
      <c r="V26" s="148">
        <f>(INDEX('3.2 District Heat'!$D53:$CF53,1,MATCH(INDEX('DH calcs - old'!$C$5:$C$9,MATCH(Dashboard!$D$6,'DH calcs - old'!$B$5:$B$9,0),1)&amp;V$19&amp;V$20,'3.2 District Heat'!$D$42:$CF$42,0))*1000+E26*IF(Dashboard!$D$6="=INDEX('Scenario names'!$C$3:$C$6,2)",$H$12,IF(Dashboard!$D$6="=INDEX('Scenario names'!$C$3:$C$6,3)",$H$13,$H$14)))*$B$12</f>
        <v>0</v>
      </c>
      <c r="W26" s="546">
        <f>(INDEX('3.2 District Heat'!$D53:$CF53,1,MATCH(INDEX('DH calcs - old'!$C$5:$C$9,MATCH(Dashboard!$D$6,'DH calcs - old'!$B$5:$B$9,0),1)&amp;W$19&amp;W$20,'3.2 District Heat'!$D$42:$CF$42,0))+INDEX('3.2 District Heat'!$D53:$CF53,1,MATCH(INDEX('DH calcs - old'!$C$5:$C$9,MATCH(Dashboard!$D$6,'DH calcs - old'!$B$5:$B$9,0),1)&amp;W$18&amp;W$20,'3.2 District Heat'!$D$42:$CF$42,0)))*1000*$B$12</f>
        <v>168679854.70695928</v>
      </c>
      <c r="X26" s="148">
        <f>INDEX('3.2 District Heat'!$D53:$CF53,1,MATCH(INDEX('DH calcs - old'!$C$5:$C$9,MATCH(Dashboard!$D$6,'DH calcs - old'!$B$5:$B$9,0),1)&amp;X$19&amp;X$20,'3.2 District Heat'!$D$42:$CF$42,0))*1000*$B$12</f>
        <v>75599152.838894129</v>
      </c>
      <c r="Y26" s="148">
        <f>INDEX('3.2 District Heat'!$D53:$CF53,1,MATCH(INDEX('DH calcs - old'!$C$5:$C$9,MATCH(Dashboard!$D$6,'DH calcs - old'!$B$5:$B$9,0),1)&amp;Y$19&amp;Y$20,'3.2 District Heat'!$D$42:$CF$42,0))*1000*$B$12</f>
        <v>101437220.86902882</v>
      </c>
      <c r="Z26" s="148">
        <f>(INDEX('3.2 District Heat'!$D53:$CF53,1,MATCH(INDEX('DH calcs - old'!$C$5:$C$9,MATCH(Dashboard!$D$6,'DH calcs - old'!$B$5:$B$9,0),1)&amp;Z$19&amp;Z$20,'3.2 District Heat'!$D$42:$CF$42,0))*1000+E26*IF(Dashboard!$D$6="=INDEX('Scenario names'!$C$3:$C$6,2)",$I$12,IF(Dashboard!$D$6="=INDEX('Scenario names'!$C$3:$C$6,3)",$I$13,$I$14)))*$B$12</f>
        <v>304046102.92204618</v>
      </c>
      <c r="AA26" s="148">
        <f>INDEX('3.2 District Heat'!$D53:$CF53,1,MATCH(INDEX('DH calcs - old'!$C$5:$C$9,MATCH(Dashboard!$D$6,'DH calcs - old'!$B$5:$B$9,0),1)&amp;AA$19&amp;AA$20,'3.2 District Heat'!$D$42:$CF$42,0))*1000*$B$12</f>
        <v>0</v>
      </c>
      <c r="AB26" s="148">
        <f>INDEX('3.2 District Heat'!$D53:$CF53,1,MATCH(INDEX('DH calcs - old'!$C$5:$C$9,MATCH(Dashboard!$D$6,'DH calcs - old'!$B$5:$B$9,0),1)&amp;AB$19&amp;AB$20,'3.2 District Heat'!$D$42:$CF$42,0))*1000*$B$12</f>
        <v>0</v>
      </c>
      <c r="AC26" s="379">
        <f t="shared" si="3"/>
        <v>167788356.21835041</v>
      </c>
      <c r="AD26" s="379">
        <f>AB26+AC26*IF(Dashboard!$D$6="=INDEX('Scenario names'!$C$3:$C$6,2)",$J$12,IF(Dashboard!$D$6="=INDEX('Scenario names'!$C$3:$C$6,3)",$J$13,$J$14))</f>
        <v>0</v>
      </c>
      <c r="AE26" s="379">
        <f>Z26+AC26*IF(Dashboard!$D$6="=INDEX('Scenario names'!$C$3:$C$6,2)",$K$12,IF(Dashboard!$D$6="=INDEX('Scenario names'!$C$3:$C$6,3)",$K$13,$K$14))</f>
        <v>471834459.1403966</v>
      </c>
      <c r="AF26" s="378">
        <f>IF(OR(Dashboard!$D$6=INDEX('Scenario names'!$C$3:$C$6,3),Dashboard!$D$6=INDEX('Scenario names'!$C$3:$C$6,2)),'3.2 District Heat'!BD53,IF(Dashboard!$D$6=INDEX('Scenario names'!$B$3:$B$6,4),'3.2 District Heat'!CE53,IF(OR(Dashboard!$D$6="Baseline",Dashboard!$D$6=INDEX('Scenario names'!$C$3:$C$6,1)),'3.2 District Heat'!AC53, Error)))</f>
        <v>121662.84472519137</v>
      </c>
    </row>
    <row r="27" spans="1:118">
      <c r="A27" s="114" t="s">
        <v>632</v>
      </c>
      <c r="B27" s="148">
        <f>'3.2 District Heat'!B54*$B$11*1000</f>
        <v>4722832.5</v>
      </c>
      <c r="C27" s="148">
        <f>'3.2 District Heat'!B54*$B$11*1000</f>
        <v>4722832.5</v>
      </c>
      <c r="D27" s="148"/>
      <c r="E27" s="148">
        <f t="shared" si="0"/>
        <v>9445665</v>
      </c>
      <c r="F27" s="148">
        <f>INDEX('3.2 District Heat'!$D54:$CF54,1,MATCH(INDEX('DH calcs - old'!$C$5:$C$9,MATCH(Dashboard!$D$6,'DH calcs - old'!$B$5:$B$9,0),1)&amp;F$19&amp;F$20,'3.2 District Heat'!$D$42:$CF$42,0))*1000*$B$12</f>
        <v>214422.86690300686</v>
      </c>
      <c r="G27" s="379">
        <f>(INDEX('3.2 District Heat'!$D54:$CF54,1,MATCH(INDEX('DH calcs - old'!$C$5:$C$9,MATCH(Dashboard!$D$6,'DH calcs - old'!$B$5:$B$9,0),1)&amp;G$19&amp;G$20,'3.2 District Heat'!$D$42:$CF$42,0))*1000+(E27*$B$13))*$B$12</f>
        <v>1889133</v>
      </c>
      <c r="H27" s="148">
        <f>INDEX('3.2 District Heat'!$D54:$CF54,1,MATCH(INDEX('DH calcs - old'!$C$5:$C$9,MATCH(Dashboard!$D$6,'DH calcs - old'!$B$5:$B$9,0),1)&amp;H$19&amp;H$20,'3.2 District Heat'!$D$42:$CF$42,0))*1000*$B$12</f>
        <v>12484060.701772628</v>
      </c>
      <c r="I27" s="148">
        <f>INDEX('3.2 District Heat'!$D54:$CF54,1,MATCH(INDEX('DH calcs - old'!$C$5:$C$9,MATCH(Dashboard!$D$6,'DH calcs - old'!$B$5:$B$9,0),1)&amp;I$19&amp;I$20,'3.2 District Heat'!$D$42:$CF$42,0))*1000*$B$12</f>
        <v>0</v>
      </c>
      <c r="J27" s="546">
        <f>(INDEX('3.2 District Heat'!$D54:$CF54,1,MATCH(INDEX($C$5:$C$9,MATCH(Dashboard!$D$6,$B$5:$B$9,0),1)&amp;J$19&amp;J$20,'3.2 District Heat'!$D$42:$CF$42,0))+INDEX('3.2 District Heat'!$D54:$CF54,1,MATCH(INDEX($C$5:$C$9,MATCH(Dashboard!$D$6,$B$5:$B$9,0),1)&amp;J$18&amp;J$20,'3.2 District Heat'!$D$42:$CF$42,0)))*1000*$B$12</f>
        <v>0</v>
      </c>
      <c r="K27" s="148">
        <f>INDEX('3.2 District Heat'!$D54:$CF54,1,MATCH(INDEX('DH calcs - old'!$C$5:$C$9,MATCH(Dashboard!$D$6,'DH calcs - old'!$B$5:$B$9,0),1)&amp;K$19&amp;K$20,'3.2 District Heat'!$D$42:$CF$42,0))*1000*$B$12</f>
        <v>0</v>
      </c>
      <c r="L27" s="148">
        <f>INDEX('3.2 District Heat'!$D54:$CF54,1,MATCH(INDEX('DH calcs - old'!$C$5:$C$9,MATCH(Dashboard!$D$6,'DH calcs - old'!$B$5:$B$9,0),1)&amp;L$19&amp;L$20,'3.2 District Heat'!$D$42:$CF$42,0))*1000*$B$12</f>
        <v>0</v>
      </c>
      <c r="M27" s="148">
        <f>INDEX('3.2 District Heat'!$D54:$CF54,1,MATCH(INDEX('DH calcs - old'!$C$5:$C$9,MATCH(Dashboard!$D$6,'DH calcs - old'!$B$5:$B$9,0),1)&amp;M$19&amp;M$20,'3.2 District Heat'!$D$42:$CF$42,0))*1000*$B$12</f>
        <v>0</v>
      </c>
      <c r="N27" s="148">
        <f>INDEX('3.2 District Heat'!$D54:$CF54,1,MATCH(INDEX('DH calcs - old'!$C$5:$C$9,MATCH(Dashboard!$D$6,'DH calcs - old'!$B$5:$B$9,0),1)&amp;N$19&amp;N$20,'3.2 District Heat'!$D$42:$CF$42,0))*1000*$B$12</f>
        <v>0</v>
      </c>
      <c r="O27" s="379">
        <f>(INDEX('3.2 District Heat'!$D54:$CF54,1,MATCH(INDEX('DH calcs - old'!$C$5:$C$9,MATCH(Dashboard!$D$6,'DH calcs - old'!$B$5:$B$9,0),1)&amp;O$19&amp;O$20,'3.2 District Heat'!$D$42:$CF$42,0))*1000+E27*(1-$B$13))*$B$12</f>
        <v>43924635.390329733</v>
      </c>
      <c r="P27" s="379">
        <f t="shared" si="1"/>
        <v>14628062.989751339</v>
      </c>
      <c r="Q27" s="148">
        <f t="shared" si="2"/>
        <v>58552698.380081072</v>
      </c>
      <c r="R27" s="148"/>
      <c r="S27" s="148">
        <f>INDEX('3.2 District Heat'!$D54:$CF54,1,MATCH(INDEX('DH calcs - old'!$C$5:$C$9,MATCH(Dashboard!$D$6,'DH calcs - old'!$B$5:$B$9,0),1)&amp;S$19&amp;S$20,'3.2 District Heat'!$D$42:$CF$42,0))*1000*$B$12</f>
        <v>776604.9886151352</v>
      </c>
      <c r="T27" s="148">
        <f>INDEX('3.2 District Heat'!$D54:$CF54,1,MATCH(INDEX('DH calcs - old'!$C$5:$C$9,MATCH(Dashboard!$D$6,'DH calcs - old'!$B$5:$B$9,0),1)&amp;T$19&amp;T$20,'3.2 District Heat'!$D$42:$CF$42,0))*1000*$B$12</f>
        <v>0</v>
      </c>
      <c r="U27" s="148">
        <f>INDEX('3.2 District Heat'!$D54:$CF54,1,MATCH(INDEX('DH calcs - old'!$C$5:$C$9,MATCH(Dashboard!$D$6,'DH calcs - old'!$B$5:$B$9,0),1)&amp;U$19&amp;U$20,'3.2 District Heat'!$D$42:$CF$42,0))*1000*$B$12</f>
        <v>18304806.117740553</v>
      </c>
      <c r="V27" s="148">
        <f>(INDEX('3.2 District Heat'!$D54:$CF54,1,MATCH(INDEX('DH calcs - old'!$C$5:$C$9,MATCH(Dashboard!$D$6,'DH calcs - old'!$B$5:$B$9,0),1)&amp;V$19&amp;V$20,'3.2 District Heat'!$D$42:$CF$42,0))*1000+E27*IF(Dashboard!$D$6="=INDEX('Scenario names'!$C$3:$C$6,2)",$H$12,IF(Dashboard!$D$6="=INDEX('Scenario names'!$C$3:$C$6,3)",$H$13,$H$14)))*$B$12</f>
        <v>0</v>
      </c>
      <c r="W27" s="546">
        <f>(INDEX('3.2 District Heat'!$D54:$CF54,1,MATCH(INDEX('DH calcs - old'!$C$5:$C$9,MATCH(Dashboard!$D$6,'DH calcs - old'!$B$5:$B$9,0),1)&amp;W$19&amp;W$20,'3.2 District Heat'!$D$42:$CF$42,0))+INDEX('3.2 District Heat'!$D54:$CF54,1,MATCH(INDEX('DH calcs - old'!$C$5:$C$9,MATCH(Dashboard!$D$6,'DH calcs - old'!$B$5:$B$9,0),1)&amp;W$18&amp;W$20,'3.2 District Heat'!$D$42:$CF$42,0)))*1000*$B$12</f>
        <v>260752360.61990225</v>
      </c>
      <c r="X27" s="148">
        <f>INDEX('3.2 District Heat'!$D54:$CF54,1,MATCH(INDEX('DH calcs - old'!$C$5:$C$9,MATCH(Dashboard!$D$6,'DH calcs - old'!$B$5:$B$9,0),1)&amp;X$19&amp;X$20,'3.2 District Heat'!$D$42:$CF$42,0))*1000*$B$12</f>
        <v>0</v>
      </c>
      <c r="Y27" s="148">
        <f>INDEX('3.2 District Heat'!$D54:$CF54,1,MATCH(INDEX('DH calcs - old'!$C$5:$C$9,MATCH(Dashboard!$D$6,'DH calcs - old'!$B$5:$B$9,0),1)&amp;Y$19&amp;Y$20,'3.2 District Heat'!$D$42:$CF$42,0))*1000*$B$12</f>
        <v>140708295.09237942</v>
      </c>
      <c r="Z27" s="148">
        <f>(INDEX('3.2 District Heat'!$D54:$CF54,1,MATCH(INDEX('DH calcs - old'!$C$5:$C$9,MATCH(Dashboard!$D$6,'DH calcs - old'!$B$5:$B$9,0),1)&amp;Z$19&amp;Z$20,'3.2 District Heat'!$D$42:$CF$42,0))*1000+E27*IF(Dashboard!$D$6="=INDEX('Scenario names'!$C$3:$C$6,2)",$I$12,IF(Dashboard!$D$6="=INDEX('Scenario names'!$C$3:$C$6,3)",$I$13,$I$14)))*$B$12</f>
        <v>62198896.08582738</v>
      </c>
      <c r="AA27" s="148">
        <f>INDEX('3.2 District Heat'!$D54:$CF54,1,MATCH(INDEX('DH calcs - old'!$C$5:$C$9,MATCH(Dashboard!$D$6,'DH calcs - old'!$B$5:$B$9,0),1)&amp;AA$19&amp;AA$20,'3.2 District Heat'!$D$42:$CF$42,0))*1000*$B$12</f>
        <v>8847804.7815605644</v>
      </c>
      <c r="AB27" s="148">
        <f>INDEX('3.2 District Heat'!$D54:$CF54,1,MATCH(INDEX('DH calcs - old'!$C$5:$C$9,MATCH(Dashboard!$D$6,'DH calcs - old'!$B$5:$B$9,0),1)&amp;AB$19&amp;AB$20,'3.2 District Heat'!$D$42:$CF$42,0))*1000*$B$12</f>
        <v>0</v>
      </c>
      <c r="AC27" s="379">
        <f t="shared" si="3"/>
        <v>122897191.92150629</v>
      </c>
      <c r="AD27" s="379">
        <f>AB27+AC27*IF(Dashboard!$D$6="=INDEX('Scenario names'!$C$3:$C$6,2)",$J$12,IF(Dashboard!$D$6="=INDEX('Scenario names'!$C$3:$C$6,3)",$J$13,$J$14))</f>
        <v>0</v>
      </c>
      <c r="AE27" s="379">
        <f>Z27+AC27*IF(Dashboard!$D$6="=INDEX('Scenario names'!$C$3:$C$6,2)",$K$12,IF(Dashboard!$D$6="=INDEX('Scenario names'!$C$3:$C$6,3)",$K$13,$K$14))</f>
        <v>185096088.00733367</v>
      </c>
      <c r="AF27" s="378">
        <f>IF(OR(Dashboard!$D$6=INDEX('Scenario names'!$C$3:$C$6,3),Dashboard!$D$6=INDEX('Scenario names'!$C$3:$C$6,2)),'3.2 District Heat'!BD54,IF(Dashboard!$D$6=INDEX('Scenario names'!$B$3:$B$6,4),'3.2 District Heat'!CE54,IF(OR(Dashboard!$D$6="Baseline",Dashboard!$D$6=INDEX('Scenario names'!$C$3:$C$6,1)),'3.2 District Heat'!AC54, Error)))</f>
        <v>75011.592468794042</v>
      </c>
    </row>
    <row r="28" spans="1:118">
      <c r="A28" s="114" t="s">
        <v>634</v>
      </c>
      <c r="B28" s="148">
        <f>'3.2 District Heat'!B55*$B$11*1000</f>
        <v>10212966.25</v>
      </c>
      <c r="C28" s="148">
        <f>'3.2 District Heat'!B55*$B$11*1000</f>
        <v>10212966.25</v>
      </c>
      <c r="D28" s="148"/>
      <c r="E28" s="148">
        <f t="shared" si="0"/>
        <v>20425932.5</v>
      </c>
      <c r="F28" s="148">
        <f>INDEX('3.2 District Heat'!$D55:$CF55,1,MATCH(INDEX('DH calcs - old'!$C$5:$C$9,MATCH(Dashboard!$D$6,'DH calcs - old'!$B$5:$B$9,0),1)&amp;F$19&amp;F$20,'3.2 District Heat'!$D$42:$CF$42,0))*1000*$B$12</f>
        <v>11516834.963524383</v>
      </c>
      <c r="G28" s="379">
        <f>(INDEX('3.2 District Heat'!$D55:$CF55,1,MATCH(INDEX('DH calcs - old'!$C$5:$C$9,MATCH(Dashboard!$D$6,'DH calcs - old'!$B$5:$B$9,0),1)&amp;G$19&amp;G$20,'3.2 District Heat'!$D$42:$CF$42,0))*1000+(E28*$B$13))*$B$12</f>
        <v>4085186.5</v>
      </c>
      <c r="H28" s="148">
        <f>INDEX('3.2 District Heat'!$D55:$CF55,1,MATCH(INDEX('DH calcs - old'!$C$5:$C$9,MATCH(Dashboard!$D$6,'DH calcs - old'!$B$5:$B$9,0),1)&amp;H$19&amp;H$20,'3.2 District Heat'!$D$42:$CF$42,0))*1000*$B$12</f>
        <v>0</v>
      </c>
      <c r="I28" s="148">
        <f>INDEX('3.2 District Heat'!$D55:$CF55,1,MATCH(INDEX('DH calcs - old'!$C$5:$C$9,MATCH(Dashboard!$D$6,'DH calcs - old'!$B$5:$B$9,0),1)&amp;I$19&amp;I$20,'3.2 District Heat'!$D$42:$CF$42,0))*1000*$B$12</f>
        <v>0</v>
      </c>
      <c r="J28" s="546">
        <f>(INDEX('3.2 District Heat'!$D55:$CF55,1,MATCH(INDEX($C$5:$C$9,MATCH(Dashboard!$D$6,$B$5:$B$9,0),1)&amp;J$19&amp;J$20,'3.2 District Heat'!$D$42:$CF$42,0))+INDEX('3.2 District Heat'!$D55:$CF55,1,MATCH(INDEX($C$5:$C$9,MATCH(Dashboard!$D$6,$B$5:$B$9,0),1)&amp;J$18&amp;J$20,'3.2 District Heat'!$D$42:$CF$42,0)))*1000*$B$12</f>
        <v>0</v>
      </c>
      <c r="K28" s="148">
        <f>INDEX('3.2 District Heat'!$D55:$CF55,1,MATCH(INDEX('DH calcs - old'!$C$5:$C$9,MATCH(Dashboard!$D$6,'DH calcs - old'!$B$5:$B$9,0),1)&amp;K$19&amp;K$20,'3.2 District Heat'!$D$42:$CF$42,0))*1000*$B$12</f>
        <v>0</v>
      </c>
      <c r="L28" s="148">
        <f>INDEX('3.2 District Heat'!$D55:$CF55,1,MATCH(INDEX('DH calcs - old'!$C$5:$C$9,MATCH(Dashboard!$D$6,'DH calcs - old'!$B$5:$B$9,0),1)&amp;L$19&amp;L$20,'3.2 District Heat'!$D$42:$CF$42,0))*1000*$B$12</f>
        <v>0</v>
      </c>
      <c r="M28" s="148">
        <f>INDEX('3.2 District Heat'!$D55:$CF55,1,MATCH(INDEX('DH calcs - old'!$C$5:$C$9,MATCH(Dashboard!$D$6,'DH calcs - old'!$B$5:$B$9,0),1)&amp;M$19&amp;M$20,'3.2 District Heat'!$D$42:$CF$42,0))*1000*$B$12</f>
        <v>0</v>
      </c>
      <c r="N28" s="148">
        <f>INDEX('3.2 District Heat'!$D55:$CF55,1,MATCH(INDEX('DH calcs - old'!$C$5:$C$9,MATCH(Dashboard!$D$6,'DH calcs - old'!$B$5:$B$9,0),1)&amp;N$19&amp;N$20,'3.2 District Heat'!$D$42:$CF$42,0))*1000*$B$12</f>
        <v>0</v>
      </c>
      <c r="O28" s="379">
        <f>(INDEX('3.2 District Heat'!$D55:$CF55,1,MATCH(INDEX('DH calcs - old'!$C$5:$C$9,MATCH(Dashboard!$D$6,'DH calcs - old'!$B$5:$B$9,0),1)&amp;O$19&amp;O$20,'3.2 District Heat'!$D$42:$CF$42,0))*1000+E28*(1-$B$13))*$B$12</f>
        <v>12255559.5</v>
      </c>
      <c r="P28" s="379">
        <f t="shared" si="1"/>
        <v>6964395.2408810966</v>
      </c>
      <c r="Q28" s="148">
        <f t="shared" si="2"/>
        <v>19219954.740881097</v>
      </c>
      <c r="R28" s="148"/>
      <c r="S28" s="148">
        <f>INDEX('3.2 District Heat'!$D55:$CF55,1,MATCH(INDEX('DH calcs - old'!$C$5:$C$9,MATCH(Dashboard!$D$6,'DH calcs - old'!$B$5:$B$9,0),1)&amp;S$19&amp;S$20,'3.2 District Heat'!$D$42:$CF$42,0))*1000*$B$12</f>
        <v>22336253.980564836</v>
      </c>
      <c r="T28" s="148">
        <f>INDEX('3.2 District Heat'!$D55:$CF55,1,MATCH(INDEX('DH calcs - old'!$C$5:$C$9,MATCH(Dashboard!$D$6,'DH calcs - old'!$B$5:$B$9,0),1)&amp;T$19&amp;T$20,'3.2 District Heat'!$D$42:$CF$42,0))*1000*$B$12</f>
        <v>0</v>
      </c>
      <c r="U28" s="148">
        <f>INDEX('3.2 District Heat'!$D55:$CF55,1,MATCH(INDEX('DH calcs - old'!$C$5:$C$9,MATCH(Dashboard!$D$6,'DH calcs - old'!$B$5:$B$9,0),1)&amp;U$19&amp;U$20,'3.2 District Heat'!$D$42:$CF$42,0))*1000*$B$12</f>
        <v>0</v>
      </c>
      <c r="V28" s="148">
        <f>(INDEX('3.2 District Heat'!$D55:$CF55,1,MATCH(INDEX('DH calcs - old'!$C$5:$C$9,MATCH(Dashboard!$D$6,'DH calcs - old'!$B$5:$B$9,0),1)&amp;V$19&amp;V$20,'3.2 District Heat'!$D$42:$CF$42,0))*1000+E28*IF(Dashboard!$D$6="=INDEX('Scenario names'!$C$3:$C$6,2)",$H$12,IF(Dashboard!$D$6="=INDEX('Scenario names'!$C$3:$C$6,3)",$H$13,$H$14)))*$B$12</f>
        <v>0</v>
      </c>
      <c r="W28" s="546">
        <f>(INDEX('3.2 District Heat'!$D55:$CF55,1,MATCH(INDEX('DH calcs - old'!$C$5:$C$9,MATCH(Dashboard!$D$6,'DH calcs - old'!$B$5:$B$9,0),1)&amp;W$19&amp;W$20,'3.2 District Heat'!$D$42:$CF$42,0))+INDEX('3.2 District Heat'!$D55:$CF55,1,MATCH(INDEX('DH calcs - old'!$C$5:$C$9,MATCH(Dashboard!$D$6,'DH calcs - old'!$B$5:$B$9,0),1)&amp;W$18&amp;W$20,'3.2 District Heat'!$D$42:$CF$42,0)))*1000*$B$12</f>
        <v>1324606.9506885749</v>
      </c>
      <c r="X28" s="148">
        <f>INDEX('3.2 District Heat'!$D55:$CF55,1,MATCH(INDEX('DH calcs - old'!$C$5:$C$9,MATCH(Dashboard!$D$6,'DH calcs - old'!$B$5:$B$9,0),1)&amp;X$19&amp;X$20,'3.2 District Heat'!$D$42:$CF$42,0))*1000*$B$12</f>
        <v>0</v>
      </c>
      <c r="Y28" s="148">
        <f>INDEX('3.2 District Heat'!$D55:$CF55,1,MATCH(INDEX('DH calcs - old'!$C$5:$C$9,MATCH(Dashboard!$D$6,'DH calcs - old'!$B$5:$B$9,0),1)&amp;Y$19&amp;Y$20,'3.2 District Heat'!$D$42:$CF$42,0))*1000*$B$12</f>
        <v>0</v>
      </c>
      <c r="Z28" s="148">
        <f>(INDEX('3.2 District Heat'!$D55:$CF55,1,MATCH(INDEX('DH calcs - old'!$C$5:$C$9,MATCH(Dashboard!$D$6,'DH calcs - old'!$B$5:$B$9,0),1)&amp;Z$19&amp;Z$20,'3.2 District Heat'!$D$42:$CF$42,0))*1000+E28*IF(Dashboard!$D$6="=INDEX('Scenario names'!$C$3:$C$6,2)",$I$12,IF(Dashboard!$D$6="=INDEX('Scenario names'!$C$3:$C$6,3)",$I$13,$I$14)))*$B$12</f>
        <v>16340746</v>
      </c>
      <c r="AA28" s="148">
        <f>INDEX('3.2 District Heat'!$D55:$CF55,1,MATCH(INDEX('DH calcs - old'!$C$5:$C$9,MATCH(Dashboard!$D$6,'DH calcs - old'!$B$5:$B$9,0),1)&amp;AA$19&amp;AA$20,'3.2 District Heat'!$D$42:$CF$42,0))*1000*$B$12</f>
        <v>0</v>
      </c>
      <c r="AB28" s="148">
        <f>INDEX('3.2 District Heat'!$D55:$CF55,1,MATCH(INDEX('DH calcs - old'!$C$5:$C$9,MATCH(Dashboard!$D$6,'DH calcs - old'!$B$5:$B$9,0),1)&amp;AB$19&amp;AB$20,'3.2 District Heat'!$D$42:$CF$42,0))*1000*$B$12</f>
        <v>0</v>
      </c>
      <c r="AC28" s="379">
        <f t="shared" si="3"/>
        <v>10000401.732813351</v>
      </c>
      <c r="AD28" s="379">
        <f>AB28+AC28*IF(Dashboard!$D$6="=INDEX('Scenario names'!$C$3:$C$6,2)",$J$12,IF(Dashboard!$D$6="=INDEX('Scenario names'!$C$3:$C$6,3)",$J$13,$J$14))</f>
        <v>0</v>
      </c>
      <c r="AE28" s="379">
        <f>Z28+AC28*IF(Dashboard!$D$6="=INDEX('Scenario names'!$C$3:$C$6,2)",$K$12,IF(Dashboard!$D$6="=INDEX('Scenario names'!$C$3:$C$6,3)",$K$13,$K$14))</f>
        <v>26341147.732813351</v>
      </c>
      <c r="AF28" s="378">
        <f>IF(OR(Dashboard!$D$6=INDEX('Scenario names'!$C$3:$C$6,3),Dashboard!$D$6=INDEX('Scenario names'!$C$3:$C$6,2)),'3.2 District Heat'!BD55,IF(Dashboard!$D$6=INDEX('Scenario names'!$B$3:$B$6,4),'3.2 District Heat'!CE55,IF(OR(Dashboard!$D$6="Baseline",Dashboard!$D$6=INDEX('Scenario names'!$C$3:$C$6,1)),'3.2 District Heat'!AC55, Error)))</f>
        <v>0</v>
      </c>
    </row>
    <row r="29" spans="1:118">
      <c r="A29" s="114" t="s">
        <v>635</v>
      </c>
      <c r="B29" s="148">
        <f>'3.2 District Heat'!B56*$B$11*1000</f>
        <v>7260549.9999999991</v>
      </c>
      <c r="C29" s="148">
        <f>'3.2 District Heat'!B56*$B$11*1000</f>
        <v>7260549.9999999991</v>
      </c>
      <c r="D29" s="148"/>
      <c r="E29" s="148">
        <f t="shared" si="0"/>
        <v>14521099.999999998</v>
      </c>
      <c r="F29" s="148">
        <f>INDEX('3.2 District Heat'!$D56:$CF56,1,MATCH(INDEX('DH calcs - old'!$C$5:$C$9,MATCH(Dashboard!$D$6,'DH calcs - old'!$B$5:$B$9,0),1)&amp;F$19&amp;F$20,'3.2 District Heat'!$D$42:$CF$42,0))*1000*$B$12</f>
        <v>8675423.8815838955</v>
      </c>
      <c r="G29" s="379">
        <f>(INDEX('3.2 District Heat'!$D56:$CF56,1,MATCH(INDEX('DH calcs - old'!$C$5:$C$9,MATCH(Dashboard!$D$6,'DH calcs - old'!$B$5:$B$9,0),1)&amp;G$19&amp;G$20,'3.2 District Heat'!$D$42:$CF$42,0))*1000+(E29*$B$13))*$B$12</f>
        <v>46607169.46317625</v>
      </c>
      <c r="H29" s="148">
        <f>INDEX('3.2 District Heat'!$D56:$CF56,1,MATCH(INDEX('DH calcs - old'!$C$5:$C$9,MATCH(Dashboard!$D$6,'DH calcs - old'!$B$5:$B$9,0),1)&amp;H$19&amp;H$20,'3.2 District Heat'!$D$42:$CF$42,0))*1000*$B$12</f>
        <v>0</v>
      </c>
      <c r="I29" s="148">
        <f>INDEX('3.2 District Heat'!$D56:$CF56,1,MATCH(INDEX('DH calcs - old'!$C$5:$C$9,MATCH(Dashboard!$D$6,'DH calcs - old'!$B$5:$B$9,0),1)&amp;I$19&amp;I$20,'3.2 District Heat'!$D$42:$CF$42,0))*1000*$B$12</f>
        <v>0</v>
      </c>
      <c r="J29" s="546">
        <f>(INDEX('3.2 District Heat'!$D56:$CF56,1,MATCH(INDEX($C$5:$C$9,MATCH(Dashboard!$D$6,$B$5:$B$9,0),1)&amp;J$19&amp;J$20,'3.2 District Heat'!$D$42:$CF$42,0))+INDEX('3.2 District Heat'!$D56:$CF56,1,MATCH(INDEX($C$5:$C$9,MATCH(Dashboard!$D$6,$B$5:$B$9,0),1)&amp;J$18&amp;J$20,'3.2 District Heat'!$D$42:$CF$42,0)))*1000*$B$12</f>
        <v>0</v>
      </c>
      <c r="K29" s="148">
        <f>INDEX('3.2 District Heat'!$D56:$CF56,1,MATCH(INDEX('DH calcs - old'!$C$5:$C$9,MATCH(Dashboard!$D$6,'DH calcs - old'!$B$5:$B$9,0),1)&amp;K$19&amp;K$20,'3.2 District Heat'!$D$42:$CF$42,0))*1000*$B$12</f>
        <v>0</v>
      </c>
      <c r="L29" s="148">
        <f>INDEX('3.2 District Heat'!$D56:$CF56,1,MATCH(INDEX('DH calcs - old'!$C$5:$C$9,MATCH(Dashboard!$D$6,'DH calcs - old'!$B$5:$B$9,0),1)&amp;L$19&amp;L$20,'3.2 District Heat'!$D$42:$CF$42,0))*1000*$B$12</f>
        <v>0</v>
      </c>
      <c r="M29" s="148">
        <f>INDEX('3.2 District Heat'!$D56:$CF56,1,MATCH(INDEX('DH calcs - old'!$C$5:$C$9,MATCH(Dashboard!$D$6,'DH calcs - old'!$B$5:$B$9,0),1)&amp;M$19&amp;M$20,'3.2 District Heat'!$D$42:$CF$42,0))*1000*$B$12</f>
        <v>0</v>
      </c>
      <c r="N29" s="148">
        <f>INDEX('3.2 District Heat'!$D56:$CF56,1,MATCH(INDEX('DH calcs - old'!$C$5:$C$9,MATCH(Dashboard!$D$6,'DH calcs - old'!$B$5:$B$9,0),1)&amp;N$19&amp;N$20,'3.2 District Heat'!$D$42:$CF$42,0))*1000*$B$12</f>
        <v>0</v>
      </c>
      <c r="O29" s="379">
        <f>(INDEX('3.2 District Heat'!$D56:$CF56,1,MATCH(INDEX('DH calcs - old'!$C$5:$C$9,MATCH(Dashboard!$D$6,'DH calcs - old'!$B$5:$B$9,0),1)&amp;O$19&amp;O$20,'3.2 District Heat'!$D$42:$CF$42,0))*1000+E29*(1-$B$13))*$B$12</f>
        <v>10778022.016964579</v>
      </c>
      <c r="P29" s="379">
        <f t="shared" si="1"/>
        <v>16515153.840431176</v>
      </c>
      <c r="Q29" s="148">
        <f t="shared" si="2"/>
        <v>27293175.857395753</v>
      </c>
      <c r="R29" s="148"/>
      <c r="S29" s="148">
        <f>INDEX('3.2 District Heat'!$D56:$CF56,1,MATCH(INDEX('DH calcs - old'!$C$5:$C$9,MATCH(Dashboard!$D$6,'DH calcs - old'!$B$5:$B$9,0),1)&amp;S$19&amp;S$20,'3.2 District Heat'!$D$42:$CF$42,0))*1000*$B$12</f>
        <v>25726914.983984109</v>
      </c>
      <c r="T29" s="148">
        <f>INDEX('3.2 District Heat'!$D56:$CF56,1,MATCH(INDEX('DH calcs - old'!$C$5:$C$9,MATCH(Dashboard!$D$6,'DH calcs - old'!$B$5:$B$9,0),1)&amp;T$19&amp;T$20,'3.2 District Heat'!$D$42:$CF$42,0))*1000*$B$12</f>
        <v>0</v>
      </c>
      <c r="U29" s="148">
        <f>INDEX('3.2 District Heat'!$D56:$CF56,1,MATCH(INDEX('DH calcs - old'!$C$5:$C$9,MATCH(Dashboard!$D$6,'DH calcs - old'!$B$5:$B$9,0),1)&amp;U$19&amp;U$20,'3.2 District Heat'!$D$42:$CF$42,0))*1000*$B$12</f>
        <v>0</v>
      </c>
      <c r="V29" s="148">
        <f>(INDEX('3.2 District Heat'!$D56:$CF56,1,MATCH(INDEX('DH calcs - old'!$C$5:$C$9,MATCH(Dashboard!$D$6,'DH calcs - old'!$B$5:$B$9,0),1)&amp;V$19&amp;V$20,'3.2 District Heat'!$D$42:$CF$42,0))*1000+E29*IF(Dashboard!$D$6="=INDEX('Scenario names'!$C$3:$C$6,2)",$H$12,IF(Dashboard!$D$6="=INDEX('Scenario names'!$C$3:$C$6,3)",$H$13,$H$14)))*$B$12</f>
        <v>0</v>
      </c>
      <c r="W29" s="546">
        <f>(INDEX('3.2 District Heat'!$D56:$CF56,1,MATCH(INDEX('DH calcs - old'!$C$5:$C$9,MATCH(Dashboard!$D$6,'DH calcs - old'!$B$5:$B$9,0),1)&amp;W$19&amp;W$20,'3.2 District Heat'!$D$42:$CF$42,0))+INDEX('3.2 District Heat'!$D56:$CF56,1,MATCH(INDEX('DH calcs - old'!$C$5:$C$9,MATCH(Dashboard!$D$6,'DH calcs - old'!$B$5:$B$9,0),1)&amp;W$18&amp;W$20,'3.2 District Heat'!$D$42:$CF$42,0)))*1000*$B$12</f>
        <v>228765.44986271474</v>
      </c>
      <c r="X29" s="148">
        <f>INDEX('3.2 District Heat'!$D56:$CF56,1,MATCH(INDEX('DH calcs - old'!$C$5:$C$9,MATCH(Dashboard!$D$6,'DH calcs - old'!$B$5:$B$9,0),1)&amp;X$19&amp;X$20,'3.2 District Heat'!$D$42:$CF$42,0))*1000*$B$12</f>
        <v>2037358.6549048347</v>
      </c>
      <c r="Y29" s="148">
        <f>INDEX('3.2 District Heat'!$D56:$CF56,1,MATCH(INDEX('DH calcs - old'!$C$5:$C$9,MATCH(Dashboard!$D$6,'DH calcs - old'!$B$5:$B$9,0),1)&amp;Y$19&amp;Y$20,'3.2 District Heat'!$D$42:$CF$42,0))*1000*$B$12</f>
        <v>0</v>
      </c>
      <c r="Z29" s="148">
        <f>(INDEX('3.2 District Heat'!$D56:$CF56,1,MATCH(INDEX('DH calcs - old'!$C$5:$C$9,MATCH(Dashboard!$D$6,'DH calcs - old'!$B$5:$B$9,0),1)&amp;Z$19&amp;Z$20,'3.2 District Heat'!$D$42:$CF$42,0))*1000+E29*IF(Dashboard!$D$6="=INDEX('Scenario names'!$C$3:$C$6,2)",$I$12,IF(Dashboard!$D$6="=INDEX('Scenario names'!$C$3:$C$6,3)",$I$13,$I$14)))*$B$12</f>
        <v>19541463.736570865</v>
      </c>
      <c r="AA29" s="148">
        <f>INDEX('3.2 District Heat'!$D56:$CF56,1,MATCH(INDEX('DH calcs - old'!$C$5:$C$9,MATCH(Dashboard!$D$6,'DH calcs - old'!$B$5:$B$9,0),1)&amp;AA$19&amp;AA$20,'3.2 District Heat'!$D$42:$CF$42,0))*1000*$B$12</f>
        <v>0</v>
      </c>
      <c r="AB29" s="148">
        <f>INDEX('3.2 District Heat'!$D56:$CF56,1,MATCH(INDEX('DH calcs - old'!$C$5:$C$9,MATCH(Dashboard!$D$6,'DH calcs - old'!$B$5:$B$9,0),1)&amp;AB$19&amp;AB$20,'3.2 District Heat'!$D$42:$CF$42,0))*1000*$B$12</f>
        <v>0</v>
      </c>
      <c r="AC29" s="379">
        <f t="shared" si="3"/>
        <v>11883625.706330627</v>
      </c>
      <c r="AD29" s="379">
        <f>AB29+AC29*IF(Dashboard!$D$6="=INDEX('Scenario names'!$C$3:$C$6,2)",$J$12,IF(Dashboard!$D$6="=INDEX('Scenario names'!$C$3:$C$6,3)",$J$13,$J$14))</f>
        <v>0</v>
      </c>
      <c r="AE29" s="379">
        <f>Z29+AC29*IF(Dashboard!$D$6="=INDEX('Scenario names'!$C$3:$C$6,2)",$K$12,IF(Dashboard!$D$6="=INDEX('Scenario names'!$C$3:$C$6,3)",$K$13,$K$14))</f>
        <v>31425089.442901492</v>
      </c>
      <c r="AF29" s="378">
        <f>IF(OR(Dashboard!$D$6=INDEX('Scenario names'!$C$3:$C$6,3),Dashboard!$D$6=INDEX('Scenario names'!$C$3:$C$6,2)),'3.2 District Heat'!BD56,IF(Dashboard!$D$6=INDEX('Scenario names'!$B$3:$B$6,4),'3.2 District Heat'!CE56,IF(OR(Dashboard!$D$6="Baseline",Dashboard!$D$6=INDEX('Scenario names'!$C$3:$C$6,1)),'3.2 District Heat'!AC56, Error)))</f>
        <v>1642.0378106706075</v>
      </c>
    </row>
    <row r="30" spans="1:118">
      <c r="A30" s="114" t="s">
        <v>636</v>
      </c>
      <c r="B30" s="148">
        <f>'3.2 District Heat'!B57*$B$11*1000</f>
        <v>2156797.5</v>
      </c>
      <c r="C30" s="148">
        <f>'3.2 District Heat'!B57*$B$11*1000</f>
        <v>2156797.5</v>
      </c>
      <c r="D30" s="148"/>
      <c r="E30" s="148">
        <f t="shared" si="0"/>
        <v>4313595</v>
      </c>
      <c r="F30" s="148">
        <f>INDEX('3.2 District Heat'!$D57:$CF57,1,MATCH(INDEX('DH calcs - old'!$C$5:$C$9,MATCH(Dashboard!$D$6,'DH calcs - old'!$B$5:$B$9,0),1)&amp;F$19&amp;F$20,'3.2 District Heat'!$D$42:$CF$42,0))*1000*$B$12</f>
        <v>3722110.2930929959</v>
      </c>
      <c r="G30" s="379">
        <f>(INDEX('3.2 District Heat'!$D57:$CF57,1,MATCH(INDEX('DH calcs - old'!$C$5:$C$9,MATCH(Dashboard!$D$6,'DH calcs - old'!$B$5:$B$9,0),1)&amp;G$19&amp;G$20,'3.2 District Heat'!$D$42:$CF$42,0))*1000+(E30*$B$13))*$B$12</f>
        <v>862719</v>
      </c>
      <c r="H30" s="148">
        <f>INDEX('3.2 District Heat'!$D57:$CF57,1,MATCH(INDEX('DH calcs - old'!$C$5:$C$9,MATCH(Dashboard!$D$6,'DH calcs - old'!$B$5:$B$9,0),1)&amp;H$19&amp;H$20,'3.2 District Heat'!$D$42:$CF$42,0))*1000*$B$12</f>
        <v>0</v>
      </c>
      <c r="I30" s="148">
        <f>INDEX('3.2 District Heat'!$D57:$CF57,1,MATCH(INDEX('DH calcs - old'!$C$5:$C$9,MATCH(Dashboard!$D$6,'DH calcs - old'!$B$5:$B$9,0),1)&amp;I$19&amp;I$20,'3.2 District Heat'!$D$42:$CF$42,0))*1000*$B$12</f>
        <v>0</v>
      </c>
      <c r="J30" s="546">
        <f>(INDEX('3.2 District Heat'!$D57:$CF57,1,MATCH(INDEX($C$5:$C$9,MATCH(Dashboard!$D$6,$B$5:$B$9,0),1)&amp;J$19&amp;J$20,'3.2 District Heat'!$D$42:$CF$42,0))+INDEX('3.2 District Heat'!$D57:$CF57,1,MATCH(INDEX($C$5:$C$9,MATCH(Dashboard!$D$6,$B$5:$B$9,0),1)&amp;J$18&amp;J$20,'3.2 District Heat'!$D$42:$CF$42,0)))*1000*$B$12</f>
        <v>0</v>
      </c>
      <c r="K30" s="148">
        <f>INDEX('3.2 District Heat'!$D57:$CF57,1,MATCH(INDEX('DH calcs - old'!$C$5:$C$9,MATCH(Dashboard!$D$6,'DH calcs - old'!$B$5:$B$9,0),1)&amp;K$19&amp;K$20,'3.2 District Heat'!$D$42:$CF$42,0))*1000*$B$12</f>
        <v>0</v>
      </c>
      <c r="L30" s="148">
        <f>INDEX('3.2 District Heat'!$D57:$CF57,1,MATCH(INDEX('DH calcs - old'!$C$5:$C$9,MATCH(Dashboard!$D$6,'DH calcs - old'!$B$5:$B$9,0),1)&amp;L$19&amp;L$20,'3.2 District Heat'!$D$42:$CF$42,0))*1000*$B$12</f>
        <v>0</v>
      </c>
      <c r="M30" s="148">
        <f>INDEX('3.2 District Heat'!$D57:$CF57,1,MATCH(INDEX('DH calcs - old'!$C$5:$C$9,MATCH(Dashboard!$D$6,'DH calcs - old'!$B$5:$B$9,0),1)&amp;M$19&amp;M$20,'3.2 District Heat'!$D$42:$CF$42,0))*1000*$B$12</f>
        <v>0</v>
      </c>
      <c r="N30" s="148">
        <f>INDEX('3.2 District Heat'!$D57:$CF57,1,MATCH(INDEX('DH calcs - old'!$C$5:$C$9,MATCH(Dashboard!$D$6,'DH calcs - old'!$B$5:$B$9,0),1)&amp;N$19&amp;N$20,'3.2 District Heat'!$D$42:$CF$42,0))*1000*$B$12</f>
        <v>0</v>
      </c>
      <c r="O30" s="379">
        <f>(INDEX('3.2 District Heat'!$D57:$CF57,1,MATCH(INDEX('DH calcs - old'!$C$5:$C$9,MATCH(Dashboard!$D$6,'DH calcs - old'!$B$5:$B$9,0),1)&amp;O$19&amp;O$20,'3.2 District Heat'!$D$42:$CF$42,0))*1000+E30*(1-$B$13))*$B$12</f>
        <v>2588157</v>
      </c>
      <c r="P30" s="379">
        <f t="shared" si="1"/>
        <v>1793246.573273249</v>
      </c>
      <c r="Q30" s="148">
        <f t="shared" si="2"/>
        <v>4381403.573273249</v>
      </c>
      <c r="R30" s="148"/>
      <c r="S30" s="148">
        <f>INDEX('3.2 District Heat'!$D57:$CF57,1,MATCH(INDEX('DH calcs - old'!$C$5:$C$9,MATCH(Dashboard!$D$6,'DH calcs - old'!$B$5:$B$9,0),1)&amp;S$19&amp;S$20,'3.2 District Heat'!$D$42:$CF$42,0))*1000*$B$12</f>
        <v>10385327.87845169</v>
      </c>
      <c r="T30" s="148">
        <f>INDEX('3.2 District Heat'!$D57:$CF57,1,MATCH(INDEX('DH calcs - old'!$C$5:$C$9,MATCH(Dashboard!$D$6,'DH calcs - old'!$B$5:$B$9,0),1)&amp;T$19&amp;T$20,'3.2 District Heat'!$D$42:$CF$42,0))*1000*$B$12</f>
        <v>0</v>
      </c>
      <c r="U30" s="148">
        <f>INDEX('3.2 District Heat'!$D57:$CF57,1,MATCH(INDEX('DH calcs - old'!$C$5:$C$9,MATCH(Dashboard!$D$6,'DH calcs - old'!$B$5:$B$9,0),1)&amp;U$19&amp;U$20,'3.2 District Heat'!$D$42:$CF$42,0))*1000*$B$12</f>
        <v>0</v>
      </c>
      <c r="V30" s="148">
        <f>(INDEX('3.2 District Heat'!$D57:$CF57,1,MATCH(INDEX('DH calcs - old'!$C$5:$C$9,MATCH(Dashboard!$D$6,'DH calcs - old'!$B$5:$B$9,0),1)&amp;V$19&amp;V$20,'3.2 District Heat'!$D$42:$CF$42,0))*1000+E30*IF(Dashboard!$D$6="=INDEX('Scenario names'!$C$3:$C$6,2)",$H$12,IF(Dashboard!$D$6="=INDEX('Scenario names'!$C$3:$C$6,3)",$H$13,$H$14)))*$B$12</f>
        <v>0</v>
      </c>
      <c r="W30" s="546">
        <f>(INDEX('3.2 District Heat'!$D57:$CF57,1,MATCH(INDEX('DH calcs - old'!$C$5:$C$9,MATCH(Dashboard!$D$6,'DH calcs - old'!$B$5:$B$9,0),1)&amp;W$19&amp;W$20,'3.2 District Heat'!$D$42:$CF$42,0))+INDEX('3.2 District Heat'!$D57:$CF57,1,MATCH(INDEX('DH calcs - old'!$C$5:$C$9,MATCH(Dashboard!$D$6,'DH calcs - old'!$B$5:$B$9,0),1)&amp;W$18&amp;W$20,'3.2 District Heat'!$D$42:$CF$42,0)))*1000*$B$12</f>
        <v>0</v>
      </c>
      <c r="X30" s="148">
        <f>INDEX('3.2 District Heat'!$D57:$CF57,1,MATCH(INDEX('DH calcs - old'!$C$5:$C$9,MATCH(Dashboard!$D$6,'DH calcs - old'!$B$5:$B$9,0),1)&amp;X$19&amp;X$20,'3.2 District Heat'!$D$42:$CF$42,0))*1000*$B$12</f>
        <v>450514.28643388097</v>
      </c>
      <c r="Y30" s="148">
        <f>INDEX('3.2 District Heat'!$D57:$CF57,1,MATCH(INDEX('DH calcs - old'!$C$5:$C$9,MATCH(Dashboard!$D$6,'DH calcs - old'!$B$5:$B$9,0),1)&amp;Y$19&amp;Y$20,'3.2 District Heat'!$D$42:$CF$42,0))*1000*$B$12</f>
        <v>0</v>
      </c>
      <c r="Z30" s="148">
        <f>(INDEX('3.2 District Heat'!$D57:$CF57,1,MATCH(INDEX('DH calcs - old'!$C$5:$C$9,MATCH(Dashboard!$D$6,'DH calcs - old'!$B$5:$B$9,0),1)&amp;Z$19&amp;Z$20,'3.2 District Heat'!$D$42:$CF$42,0))*1000+E30*IF(Dashboard!$D$6="=INDEX('Scenario names'!$C$3:$C$6,2)",$I$12,IF(Dashboard!$D$6="=INDEX('Scenario names'!$C$3:$C$6,3)",$I$13,$I$14)))*$B$12</f>
        <v>8208991.276504349</v>
      </c>
      <c r="AA30" s="148">
        <f>INDEX('3.2 District Heat'!$D57:$CF57,1,MATCH(INDEX('DH calcs - old'!$C$5:$C$9,MATCH(Dashboard!$D$6,'DH calcs - old'!$B$5:$B$9,0),1)&amp;AA$19&amp;AA$20,'3.2 District Heat'!$D$42:$CF$42,0))*1000*$B$12</f>
        <v>0</v>
      </c>
      <c r="AB30" s="148">
        <f>INDEX('3.2 District Heat'!$D57:$CF57,1,MATCH(INDEX('DH calcs - old'!$C$5:$C$9,MATCH(Dashboard!$D$6,'DH calcs - old'!$B$5:$B$9,0),1)&amp;AB$19&amp;AB$20,'3.2 District Heat'!$D$42:$CF$42,0))*1000*$B$12</f>
        <v>0</v>
      </c>
      <c r="AC30" s="379">
        <f t="shared" si="3"/>
        <v>4761208.3603474796</v>
      </c>
      <c r="AD30" s="379">
        <f>AB30+AC30*IF(Dashboard!$D$6="=INDEX('Scenario names'!$C$3:$C$6,2)",$J$12,IF(Dashboard!$D$6="=INDEX('Scenario names'!$C$3:$C$6,3)",$J$13,$J$14))</f>
        <v>0</v>
      </c>
      <c r="AE30" s="379">
        <f>Z30+AC30*IF(Dashboard!$D$6="=INDEX('Scenario names'!$C$3:$C$6,2)",$K$12,IF(Dashboard!$D$6="=INDEX('Scenario names'!$C$3:$C$6,3)",$K$13,$K$14))</f>
        <v>12970199.636851829</v>
      </c>
      <c r="AF30" s="378">
        <f>IF(OR(Dashboard!$D$6=INDEX('Scenario names'!$C$3:$C$6,3),Dashboard!$D$6=INDEX('Scenario names'!$C$3:$C$6,2)),'3.2 District Heat'!BD57,IF(Dashboard!$D$6=INDEX('Scenario names'!$B$3:$B$6,4),'3.2 District Heat'!CE57,IF(OR(Dashboard!$D$6="Baseline",Dashboard!$D$6=INDEX('Scenario names'!$C$3:$C$6,1)),'3.2 District Heat'!AC57, Error)))</f>
        <v>4492.7983680343077</v>
      </c>
    </row>
    <row r="31" spans="1:118">
      <c r="A31" s="114" t="s">
        <v>637</v>
      </c>
      <c r="B31" s="148">
        <f>'3.2 District Heat'!B58*$B$11*1000</f>
        <v>16537157.500000002</v>
      </c>
      <c r="C31" s="148">
        <f>'3.2 District Heat'!B58*$B$11*1000</f>
        <v>16537157.500000002</v>
      </c>
      <c r="D31" s="148"/>
      <c r="E31" s="148">
        <f t="shared" si="0"/>
        <v>33074315.000000004</v>
      </c>
      <c r="F31" s="148">
        <f>INDEX('3.2 District Heat'!$D58:$CF58,1,MATCH(INDEX('DH calcs - old'!$C$5:$C$9,MATCH(Dashboard!$D$6,'DH calcs - old'!$B$5:$B$9,0),1)&amp;F$19&amp;F$20,'3.2 District Heat'!$D$42:$CF$42,0))*1000*$B$12</f>
        <v>10577871.05705056</v>
      </c>
      <c r="G31" s="379">
        <f>(INDEX('3.2 District Heat'!$D58:$CF58,1,MATCH(INDEX('DH calcs - old'!$C$5:$C$9,MATCH(Dashboard!$D$6,'DH calcs - old'!$B$5:$B$9,0),1)&amp;G$19&amp;G$20,'3.2 District Heat'!$D$42:$CF$42,0))*1000+(E31*$B$13))*$B$12</f>
        <v>7913860.0059809238</v>
      </c>
      <c r="H31" s="148">
        <f>INDEX('3.2 District Heat'!$D58:$CF58,1,MATCH(INDEX('DH calcs - old'!$C$5:$C$9,MATCH(Dashboard!$D$6,'DH calcs - old'!$B$5:$B$9,0),1)&amp;H$19&amp;H$20,'3.2 District Heat'!$D$42:$CF$42,0))*1000*$B$12</f>
        <v>2641905.099469556</v>
      </c>
      <c r="I31" s="148">
        <f>INDEX('3.2 District Heat'!$D58:$CF58,1,MATCH(INDEX('DH calcs - old'!$C$5:$C$9,MATCH(Dashboard!$D$6,'DH calcs - old'!$B$5:$B$9,0),1)&amp;I$19&amp;I$20,'3.2 District Heat'!$D$42:$CF$42,0))*1000*$B$12</f>
        <v>0</v>
      </c>
      <c r="J31" s="546">
        <f>(INDEX('3.2 District Heat'!$D58:$CF58,1,MATCH(INDEX($C$5:$C$9,MATCH(Dashboard!$D$6,$B$5:$B$9,0),1)&amp;J$19&amp;J$20,'3.2 District Heat'!$D$42:$CF$42,0))+INDEX('3.2 District Heat'!$D58:$CF58,1,MATCH(INDEX($C$5:$C$9,MATCH(Dashboard!$D$6,$B$5:$B$9,0),1)&amp;J$18&amp;J$20,'3.2 District Heat'!$D$42:$CF$42,0)))*1000*$B$12</f>
        <v>0</v>
      </c>
      <c r="K31" s="148">
        <f>INDEX('3.2 District Heat'!$D58:$CF58,1,MATCH(INDEX('DH calcs - old'!$C$5:$C$9,MATCH(Dashboard!$D$6,'DH calcs - old'!$B$5:$B$9,0),1)&amp;K$19&amp;K$20,'3.2 District Heat'!$D$42:$CF$42,0))*1000*$B$12</f>
        <v>0</v>
      </c>
      <c r="L31" s="148">
        <f>INDEX('3.2 District Heat'!$D58:$CF58,1,MATCH(INDEX('DH calcs - old'!$C$5:$C$9,MATCH(Dashboard!$D$6,'DH calcs - old'!$B$5:$B$9,0),1)&amp;L$19&amp;L$20,'3.2 District Heat'!$D$42:$CF$42,0))*1000*$B$12</f>
        <v>0</v>
      </c>
      <c r="M31" s="148">
        <f>INDEX('3.2 District Heat'!$D58:$CF58,1,MATCH(INDEX('DH calcs - old'!$C$5:$C$9,MATCH(Dashboard!$D$6,'DH calcs - old'!$B$5:$B$9,0),1)&amp;M$19&amp;M$20,'3.2 District Heat'!$D$42:$CF$42,0))*1000*$B$12</f>
        <v>0</v>
      </c>
      <c r="N31" s="148">
        <f>INDEX('3.2 District Heat'!$D58:$CF58,1,MATCH(INDEX('DH calcs - old'!$C$5:$C$9,MATCH(Dashboard!$D$6,'DH calcs - old'!$B$5:$B$9,0),1)&amp;N$19&amp;N$20,'3.2 District Heat'!$D$42:$CF$42,0))*1000*$B$12</f>
        <v>0</v>
      </c>
      <c r="O31" s="379">
        <f>(INDEX('3.2 District Heat'!$D58:$CF58,1,MATCH(INDEX('DH calcs - old'!$C$5:$C$9,MATCH(Dashboard!$D$6,'DH calcs - old'!$B$5:$B$9,0),1)&amp;O$19&amp;O$20,'3.2 District Heat'!$D$42:$CF$42,0))*1000+E31*(1-$B$13))*$B$12</f>
        <v>19844589.000000004</v>
      </c>
      <c r="P31" s="379">
        <f t="shared" si="1"/>
        <v>10244556.290625259</v>
      </c>
      <c r="Q31" s="148">
        <f t="shared" si="2"/>
        <v>30089145.290625263</v>
      </c>
      <c r="R31" s="148"/>
      <c r="S31" s="148">
        <f>INDEX('3.2 District Heat'!$D58:$CF58,1,MATCH(INDEX('DH calcs - old'!$C$5:$C$9,MATCH(Dashboard!$D$6,'DH calcs - old'!$B$5:$B$9,0),1)&amp;S$19&amp;S$20,'3.2 District Heat'!$D$42:$CF$42,0))*1000*$B$12</f>
        <v>40037290.865132533</v>
      </c>
      <c r="T31" s="148">
        <f>INDEX('3.2 District Heat'!$D58:$CF58,1,MATCH(INDEX('DH calcs - old'!$C$5:$C$9,MATCH(Dashboard!$D$6,'DH calcs - old'!$B$5:$B$9,0),1)&amp;T$19&amp;T$20,'3.2 District Heat'!$D$42:$CF$42,0))*1000*$B$12</f>
        <v>0</v>
      </c>
      <c r="U31" s="148">
        <f>INDEX('3.2 District Heat'!$D58:$CF58,1,MATCH(INDEX('DH calcs - old'!$C$5:$C$9,MATCH(Dashboard!$D$6,'DH calcs - old'!$B$5:$B$9,0),1)&amp;U$19&amp;U$20,'3.2 District Heat'!$D$42:$CF$42,0))*1000*$B$12</f>
        <v>0</v>
      </c>
      <c r="V31" s="148">
        <f>(INDEX('3.2 District Heat'!$D58:$CF58,1,MATCH(INDEX('DH calcs - old'!$C$5:$C$9,MATCH(Dashboard!$D$6,'DH calcs - old'!$B$5:$B$9,0),1)&amp;V$19&amp;V$20,'3.2 District Heat'!$D$42:$CF$42,0))*1000+E31*IF(Dashboard!$D$6="=INDEX('Scenario names'!$C$3:$C$6,2)",$H$12,IF(Dashboard!$D$6="=INDEX('Scenario names'!$C$3:$C$6,3)",$H$13,$H$14)))*$B$12</f>
        <v>0</v>
      </c>
      <c r="W31" s="546">
        <f>(INDEX('3.2 District Heat'!$D58:$CF58,1,MATCH(INDEX('DH calcs - old'!$C$5:$C$9,MATCH(Dashboard!$D$6,'DH calcs - old'!$B$5:$B$9,0),1)&amp;W$19&amp;W$20,'3.2 District Heat'!$D$42:$CF$42,0))+INDEX('3.2 District Heat'!$D58:$CF58,1,MATCH(INDEX('DH calcs - old'!$C$5:$C$9,MATCH(Dashboard!$D$6,'DH calcs - old'!$B$5:$B$9,0),1)&amp;W$18&amp;W$20,'3.2 District Heat'!$D$42:$CF$42,0)))*1000*$B$12</f>
        <v>457530.89972542948</v>
      </c>
      <c r="X31" s="148">
        <f>INDEX('3.2 District Heat'!$D58:$CF58,1,MATCH(INDEX('DH calcs - old'!$C$5:$C$9,MATCH(Dashboard!$D$6,'DH calcs - old'!$B$5:$B$9,0),1)&amp;X$19&amp;X$20,'3.2 District Heat'!$D$42:$CF$42,0))*1000*$B$12</f>
        <v>1774538.6782221929</v>
      </c>
      <c r="Y31" s="148">
        <f>INDEX('3.2 District Heat'!$D58:$CF58,1,MATCH(INDEX('DH calcs - old'!$C$5:$C$9,MATCH(Dashboard!$D$6,'DH calcs - old'!$B$5:$B$9,0),1)&amp;Y$19&amp;Y$20,'3.2 District Heat'!$D$42:$CF$42,0))*1000*$B$12</f>
        <v>0</v>
      </c>
      <c r="Z31" s="148">
        <f>(INDEX('3.2 District Heat'!$D58:$CF58,1,MATCH(INDEX('DH calcs - old'!$C$5:$C$9,MATCH(Dashboard!$D$6,'DH calcs - old'!$B$5:$B$9,0),1)&amp;Z$19&amp;Z$20,'3.2 District Heat'!$D$42:$CF$42,0))*1000+E31*IF(Dashboard!$D$6="=INDEX('Scenario names'!$C$3:$C$6,2)",$I$12,IF(Dashboard!$D$6="=INDEX('Scenario names'!$C$3:$C$6,3)",$I$13,$I$14)))*$B$12</f>
        <v>26459452.000000004</v>
      </c>
      <c r="AA31" s="148">
        <f>INDEX('3.2 District Heat'!$D58:$CF58,1,MATCH(INDEX('DH calcs - old'!$C$5:$C$9,MATCH(Dashboard!$D$6,'DH calcs - old'!$B$5:$B$9,0),1)&amp;AA$19&amp;AA$20,'3.2 District Heat'!$D$42:$CF$42,0))*1000*$B$12</f>
        <v>0</v>
      </c>
      <c r="AB31" s="148">
        <f>INDEX('3.2 District Heat'!$D58:$CF58,1,MATCH(INDEX('DH calcs - old'!$C$5:$C$9,MATCH(Dashboard!$D$6,'DH calcs - old'!$B$5:$B$9,0),1)&amp;AB$19&amp;AB$20,'3.2 District Heat'!$D$42:$CF$42,0))*1000*$B$12</f>
        <v>0</v>
      </c>
      <c r="AC31" s="379">
        <f t="shared" si="3"/>
        <v>17182203.110770032</v>
      </c>
      <c r="AD31" s="379">
        <f>AB31+AC31*IF(Dashboard!$D$6="=INDEX('Scenario names'!$C$3:$C$6,2)",$J$12,IF(Dashboard!$D$6="=INDEX('Scenario names'!$C$3:$C$6,3)",$J$13,$J$14))</f>
        <v>0</v>
      </c>
      <c r="AE31" s="379">
        <f>Z31+AC31*IF(Dashboard!$D$6="=INDEX('Scenario names'!$C$3:$C$6,2)",$K$12,IF(Dashboard!$D$6="=INDEX('Scenario names'!$C$3:$C$6,3)",$K$13,$K$14))</f>
        <v>43641655.110770032</v>
      </c>
      <c r="AF31" s="378">
        <f>IF(OR(Dashboard!$D$6=INDEX('Scenario names'!$C$3:$C$6,3),Dashboard!$D$6=INDEX('Scenario names'!$C$3:$C$6,2)),'3.2 District Heat'!BD58,IF(Dashboard!$D$6=INDEX('Scenario names'!$B$3:$B$6,4),'3.2 District Heat'!CE58,IF(OR(Dashboard!$D$6="Baseline",Dashboard!$D$6=INDEX('Scenario names'!$C$3:$C$6,1)),'3.2 District Heat'!AC58, Error)))</f>
        <v>0</v>
      </c>
    </row>
    <row r="32" spans="1:118">
      <c r="A32" s="114" t="s">
        <v>638</v>
      </c>
      <c r="B32" s="148">
        <f>'3.2 District Heat'!B59*$B$11*1000</f>
        <v>14570740.000000002</v>
      </c>
      <c r="C32" s="148">
        <f>'3.2 District Heat'!B59*$B$11*1000</f>
        <v>14570740.000000002</v>
      </c>
      <c r="D32" s="148"/>
      <c r="E32" s="148">
        <f t="shared" si="0"/>
        <v>29141480.000000004</v>
      </c>
      <c r="F32" s="148">
        <f>INDEX('3.2 District Heat'!$D59:$CF59,1,MATCH(INDEX('DH calcs - old'!$C$5:$C$9,MATCH(Dashboard!$D$6,'DH calcs - old'!$B$5:$B$9,0),1)&amp;F$19&amp;F$20,'3.2 District Heat'!$D$42:$CF$42,0))*1000*$B$12</f>
        <v>0</v>
      </c>
      <c r="G32" s="379">
        <f>(INDEX('3.2 District Heat'!$D59:$CF59,1,MATCH(INDEX('DH calcs - old'!$C$5:$C$9,MATCH(Dashboard!$D$6,'DH calcs - old'!$B$5:$B$9,0),1)&amp;G$19&amp;G$20,'3.2 District Heat'!$D$42:$CF$42,0))*1000+(E32*$B$13))*$B$12</f>
        <v>66389962.063257746</v>
      </c>
      <c r="H32" s="148">
        <f>INDEX('3.2 District Heat'!$D59:$CF59,1,MATCH(INDEX('DH calcs - old'!$C$5:$C$9,MATCH(Dashboard!$D$6,'DH calcs - old'!$B$5:$B$9,0),1)&amp;H$19&amp;H$20,'3.2 District Heat'!$D$42:$CF$42,0))*1000*$B$12</f>
        <v>23495739.870177269</v>
      </c>
      <c r="I32" s="148">
        <f>INDEX('3.2 District Heat'!$D59:$CF59,1,MATCH(INDEX('DH calcs - old'!$C$5:$C$9,MATCH(Dashboard!$D$6,'DH calcs - old'!$B$5:$B$9,0),1)&amp;I$19&amp;I$20,'3.2 District Heat'!$D$42:$CF$42,0))*1000*$B$12</f>
        <v>0</v>
      </c>
      <c r="J32" s="546">
        <f>(INDEX('3.2 District Heat'!$D59:$CF59,1,MATCH(INDEX($C$5:$C$9,MATCH(Dashboard!$D$6,$B$5:$B$9,0),1)&amp;J$19&amp;J$20,'3.2 District Heat'!$D$42:$CF$42,0))+INDEX('3.2 District Heat'!$D59:$CF59,1,MATCH(INDEX($C$5:$C$9,MATCH(Dashboard!$D$6,$B$5:$B$9,0),1)&amp;J$18&amp;J$20,'3.2 District Heat'!$D$42:$CF$42,0)))*1000*$B$12</f>
        <v>0</v>
      </c>
      <c r="K32" s="148">
        <f>INDEX('3.2 District Heat'!$D59:$CF59,1,MATCH(INDEX('DH calcs - old'!$C$5:$C$9,MATCH(Dashboard!$D$6,'DH calcs - old'!$B$5:$B$9,0),1)&amp;K$19&amp;K$20,'3.2 District Heat'!$D$42:$CF$42,0))*1000*$B$12</f>
        <v>0</v>
      </c>
      <c r="L32" s="148">
        <f>INDEX('3.2 District Heat'!$D59:$CF59,1,MATCH(INDEX('DH calcs - old'!$C$5:$C$9,MATCH(Dashboard!$D$6,'DH calcs - old'!$B$5:$B$9,0),1)&amp;L$19&amp;L$20,'3.2 District Heat'!$D$42:$CF$42,0))*1000*$B$12</f>
        <v>0</v>
      </c>
      <c r="M32" s="148">
        <f>INDEX('3.2 District Heat'!$D59:$CF59,1,MATCH(INDEX('DH calcs - old'!$C$5:$C$9,MATCH(Dashboard!$D$6,'DH calcs - old'!$B$5:$B$9,0),1)&amp;M$19&amp;M$20,'3.2 District Heat'!$D$42:$CF$42,0))*1000*$B$12</f>
        <v>0</v>
      </c>
      <c r="N32" s="148">
        <f>INDEX('3.2 District Heat'!$D59:$CF59,1,MATCH(INDEX('DH calcs - old'!$C$5:$C$9,MATCH(Dashboard!$D$6,'DH calcs - old'!$B$5:$B$9,0),1)&amp;N$19&amp;N$20,'3.2 District Heat'!$D$42:$CF$42,0))*1000*$B$12</f>
        <v>0</v>
      </c>
      <c r="O32" s="379">
        <f>(INDEX('3.2 District Heat'!$D59:$CF59,1,MATCH(INDEX('DH calcs - old'!$C$5:$C$9,MATCH(Dashboard!$D$6,'DH calcs - old'!$B$5:$B$9,0),1)&amp;O$19&amp;O$20,'3.2 District Heat'!$D$42:$CF$42,0))*1000+E32*(1-$B$13))*$B$12</f>
        <v>28796656.497904792</v>
      </c>
      <c r="P32" s="379">
        <f t="shared" si="1"/>
        <v>29670589.60783495</v>
      </c>
      <c r="Q32" s="148">
        <f t="shared" si="2"/>
        <v>58467246.105739743</v>
      </c>
      <c r="R32" s="148"/>
      <c r="S32" s="148">
        <f>INDEX('3.2 District Heat'!$D59:$CF59,1,MATCH(INDEX('DH calcs - old'!$C$5:$C$9,MATCH(Dashboard!$D$6,'DH calcs - old'!$B$5:$B$9,0),1)&amp;S$19&amp;S$20,'3.2 District Heat'!$D$42:$CF$42,0))*1000*$B$12</f>
        <v>0</v>
      </c>
      <c r="T32" s="148">
        <f>INDEX('3.2 District Heat'!$D59:$CF59,1,MATCH(INDEX('DH calcs - old'!$C$5:$C$9,MATCH(Dashboard!$D$6,'DH calcs - old'!$B$5:$B$9,0),1)&amp;T$19&amp;T$20,'3.2 District Heat'!$D$42:$CF$42,0))*1000*$B$12</f>
        <v>0</v>
      </c>
      <c r="U32" s="148">
        <f>INDEX('3.2 District Heat'!$D59:$CF59,1,MATCH(INDEX('DH calcs - old'!$C$5:$C$9,MATCH(Dashboard!$D$6,'DH calcs - old'!$B$5:$B$9,0),1)&amp;U$19&amp;U$20,'3.2 District Heat'!$D$42:$CF$42,0))*1000*$B$12</f>
        <v>29447499.645007528</v>
      </c>
      <c r="V32" s="148">
        <f>(INDEX('3.2 District Heat'!$D59:$CF59,1,MATCH(INDEX('DH calcs - old'!$C$5:$C$9,MATCH(Dashboard!$D$6,'DH calcs - old'!$B$5:$B$9,0),1)&amp;V$19&amp;V$20,'3.2 District Heat'!$D$42:$CF$42,0))*1000+E32*IF(Dashboard!$D$6="=INDEX('Scenario names'!$C$3:$C$6,2)",$H$12,IF(Dashboard!$D$6="=INDEX('Scenario names'!$C$3:$C$6,3)",$H$13,$H$14)))*$B$12</f>
        <v>0</v>
      </c>
      <c r="W32" s="546">
        <f>(INDEX('3.2 District Heat'!$D59:$CF59,1,MATCH(INDEX('DH calcs - old'!$C$5:$C$9,MATCH(Dashboard!$D$6,'DH calcs - old'!$B$5:$B$9,0),1)&amp;W$19&amp;W$20,'3.2 District Heat'!$D$42:$CF$42,0))+INDEX('3.2 District Heat'!$D59:$CF59,1,MATCH(INDEX('DH calcs - old'!$C$5:$C$9,MATCH(Dashboard!$D$6,'DH calcs - old'!$B$5:$B$9,0),1)&amp;W$18&amp;W$20,'3.2 District Heat'!$D$42:$CF$42,0)))*1000*$B$12</f>
        <v>1029444.5243822162</v>
      </c>
      <c r="X32" s="148">
        <f>INDEX('3.2 District Heat'!$D59:$CF59,1,MATCH(INDEX('DH calcs - old'!$C$5:$C$9,MATCH(Dashboard!$D$6,'DH calcs - old'!$B$5:$B$9,0),1)&amp;X$19&amp;X$20,'3.2 District Heat'!$D$42:$CF$42,0))*1000*$B$12</f>
        <v>22893189.808106422</v>
      </c>
      <c r="Y32" s="148">
        <f>INDEX('3.2 District Heat'!$D59:$CF59,1,MATCH(INDEX('DH calcs - old'!$C$5:$C$9,MATCH(Dashboard!$D$6,'DH calcs - old'!$B$5:$B$9,0),1)&amp;Y$19&amp;Y$20,'3.2 District Heat'!$D$42:$CF$42,0))*1000*$B$12</f>
        <v>0</v>
      </c>
      <c r="Z32" s="148">
        <f>(INDEX('3.2 District Heat'!$D59:$CF59,1,MATCH(INDEX('DH calcs - old'!$C$5:$C$9,MATCH(Dashboard!$D$6,'DH calcs - old'!$B$5:$B$9,0),1)&amp;Z$19&amp;Z$20,'3.2 District Heat'!$D$42:$CF$42,0))*1000+E32*IF(Dashboard!$D$6="=INDEX('Scenario names'!$C$3:$C$6,2)",$I$12,IF(Dashboard!$D$6="=INDEX('Scenario names'!$C$3:$C$6,3)",$I$13,$I$14)))*$B$12</f>
        <v>66963590.932467498</v>
      </c>
      <c r="AA32" s="148">
        <f>INDEX('3.2 District Heat'!$D59:$CF59,1,MATCH(INDEX('DH calcs - old'!$C$5:$C$9,MATCH(Dashboard!$D$6,'DH calcs - old'!$B$5:$B$9,0),1)&amp;AA$19&amp;AA$20,'3.2 District Heat'!$D$42:$CF$42,0))*1000*$B$12</f>
        <v>0</v>
      </c>
      <c r="AB32" s="148">
        <f>INDEX('3.2 District Heat'!$D59:$CF59,1,MATCH(INDEX('DH calcs - old'!$C$5:$C$9,MATCH(Dashboard!$D$6,'DH calcs - old'!$B$5:$B$9,0),1)&amp;AB$19&amp;AB$20,'3.2 District Heat'!$D$42:$CF$42,0))*1000*$B$12</f>
        <v>0</v>
      </c>
      <c r="AC32" s="379">
        <f t="shared" si="3"/>
        <v>30083431.227490902</v>
      </c>
      <c r="AD32" s="379">
        <f>AB32+AC32*IF(Dashboard!$D$6="=INDEX('Scenario names'!$C$3:$C$6,2)",$J$12,IF(Dashboard!$D$6="=INDEX('Scenario names'!$C$3:$C$6,3)",$J$13,$J$14))</f>
        <v>0</v>
      </c>
      <c r="AE32" s="379">
        <f>Z32+AC32*IF(Dashboard!$D$6="=INDEX('Scenario names'!$C$3:$C$6,2)",$K$12,IF(Dashboard!$D$6="=INDEX('Scenario names'!$C$3:$C$6,3)",$K$13,$K$14))</f>
        <v>97047022.159958392</v>
      </c>
      <c r="AF32" s="378">
        <f>IF(OR(Dashboard!$D$6=INDEX('Scenario names'!$C$3:$C$6,3),Dashboard!$D$6=INDEX('Scenario names'!$C$3:$C$6,2)),'3.2 District Heat'!BD59,IF(Dashboard!$D$6=INDEX('Scenario names'!$B$3:$B$6,4),'3.2 District Heat'!CE59,IF(OR(Dashboard!$D$6="Baseline",Dashboard!$D$6=INDEX('Scenario names'!$C$3:$C$6,1)),'3.2 District Heat'!AC59, Error)))</f>
        <v>40990.062803580389</v>
      </c>
    </row>
    <row r="33" spans="1:32">
      <c r="A33" s="114" t="s">
        <v>639</v>
      </c>
      <c r="B33" s="148">
        <f>'3.2 District Heat'!B60*$B$11*1000</f>
        <v>26422834.999999996</v>
      </c>
      <c r="C33" s="148">
        <f>'3.2 District Heat'!B60*$B$11*1000</f>
        <v>26422834.999999996</v>
      </c>
      <c r="D33" s="148"/>
      <c r="E33" s="148">
        <f t="shared" si="0"/>
        <v>52845669.999999993</v>
      </c>
      <c r="F33" s="148">
        <f>INDEX('3.2 District Heat'!$D60:$CF60,1,MATCH(INDEX('DH calcs - old'!$C$5:$C$9,MATCH(Dashboard!$D$6,'DH calcs - old'!$B$5:$B$9,0),1)&amp;F$19&amp;F$20,'3.2 District Heat'!$D$42:$CF$42,0))*1000*$B$12</f>
        <v>0</v>
      </c>
      <c r="G33" s="379">
        <f>(INDEX('3.2 District Heat'!$D60:$CF60,1,MATCH(INDEX('DH calcs - old'!$C$5:$C$9,MATCH(Dashboard!$D$6,'DH calcs - old'!$B$5:$B$9,0),1)&amp;G$19&amp;G$20,'3.2 District Heat'!$D$42:$CF$42,0))*1000+(E33*$B$13))*$B$12</f>
        <v>24596177.487814471</v>
      </c>
      <c r="H33" s="148">
        <f>INDEX('3.2 District Heat'!$D60:$CF60,1,MATCH(INDEX('DH calcs - old'!$C$5:$C$9,MATCH(Dashboard!$D$6,'DH calcs - old'!$B$5:$B$9,0),1)&amp;H$19&amp;H$20,'3.2 District Heat'!$D$42:$CF$42,0))*1000*$B$12</f>
        <v>18549894.579601634</v>
      </c>
      <c r="I33" s="148">
        <f>INDEX('3.2 District Heat'!$D60:$CF60,1,MATCH(INDEX('DH calcs - old'!$C$5:$C$9,MATCH(Dashboard!$D$6,'DH calcs - old'!$B$5:$B$9,0),1)&amp;I$19&amp;I$20,'3.2 District Heat'!$D$42:$CF$42,0))*1000*$B$12</f>
        <v>0</v>
      </c>
      <c r="J33" s="546">
        <f>(INDEX('3.2 District Heat'!$D60:$CF60,1,MATCH(INDEX($C$5:$C$9,MATCH(Dashboard!$D$6,$B$5:$B$9,0),1)&amp;J$19&amp;J$20,'3.2 District Heat'!$D$42:$CF$42,0))+INDEX('3.2 District Heat'!$D60:$CF60,1,MATCH(INDEX($C$5:$C$9,MATCH(Dashboard!$D$6,$B$5:$B$9,0),1)&amp;J$18&amp;J$20,'3.2 District Heat'!$D$42:$CF$42,0)))*1000*$B$12</f>
        <v>0</v>
      </c>
      <c r="K33" s="148">
        <f>INDEX('3.2 District Heat'!$D60:$CF60,1,MATCH(INDEX('DH calcs - old'!$C$5:$C$9,MATCH(Dashboard!$D$6,'DH calcs - old'!$B$5:$B$9,0),1)&amp;K$19&amp;K$20,'3.2 District Heat'!$D$42:$CF$42,0))*1000*$B$12</f>
        <v>0</v>
      </c>
      <c r="L33" s="148">
        <f>INDEX('3.2 District Heat'!$D60:$CF60,1,MATCH(INDEX('DH calcs - old'!$C$5:$C$9,MATCH(Dashboard!$D$6,'DH calcs - old'!$B$5:$B$9,0),1)&amp;L$19&amp;L$20,'3.2 District Heat'!$D$42:$CF$42,0))*1000*$B$12</f>
        <v>0</v>
      </c>
      <c r="M33" s="148">
        <f>INDEX('3.2 District Heat'!$D60:$CF60,1,MATCH(INDEX('DH calcs - old'!$C$5:$C$9,MATCH(Dashboard!$D$6,'DH calcs - old'!$B$5:$B$9,0),1)&amp;M$19&amp;M$20,'3.2 District Heat'!$D$42:$CF$42,0))*1000*$B$12</f>
        <v>0</v>
      </c>
      <c r="N33" s="148">
        <f>INDEX('3.2 District Heat'!$D60:$CF60,1,MATCH(INDEX('DH calcs - old'!$C$5:$C$9,MATCH(Dashboard!$D$6,'DH calcs - old'!$B$5:$B$9,0),1)&amp;N$19&amp;N$20,'3.2 District Heat'!$D$42:$CF$42,0))*1000*$B$12</f>
        <v>0</v>
      </c>
      <c r="O33" s="379">
        <f>(INDEX('3.2 District Heat'!$D60:$CF60,1,MATCH(INDEX('DH calcs - old'!$C$5:$C$9,MATCH(Dashboard!$D$6,'DH calcs - old'!$B$5:$B$9,0),1)&amp;O$19&amp;O$20,'3.2 District Heat'!$D$42:$CF$42,0))*1000+E33*(1-$B$13))*$B$12</f>
        <v>66573865.019540071</v>
      </c>
      <c r="P33" s="379">
        <f t="shared" si="1"/>
        <v>27429984.271739036</v>
      </c>
      <c r="Q33" s="148">
        <f t="shared" si="2"/>
        <v>94003849.291279107</v>
      </c>
      <c r="R33" s="148"/>
      <c r="S33" s="148">
        <f>INDEX('3.2 District Heat'!$D60:$CF60,1,MATCH(INDEX('DH calcs - old'!$C$5:$C$9,MATCH(Dashboard!$D$6,'DH calcs - old'!$B$5:$B$9,0),1)&amp;S$19&amp;S$20,'3.2 District Heat'!$D$42:$CF$42,0))*1000*$B$12</f>
        <v>6500113.8337747371</v>
      </c>
      <c r="T33" s="148">
        <f>INDEX('3.2 District Heat'!$D60:$CF60,1,MATCH(INDEX('DH calcs - old'!$C$5:$C$9,MATCH(Dashboard!$D$6,'DH calcs - old'!$B$5:$B$9,0),1)&amp;T$19&amp;T$20,'3.2 District Heat'!$D$42:$CF$42,0))*1000*$B$12</f>
        <v>0</v>
      </c>
      <c r="U33" s="148">
        <f>INDEX('3.2 District Heat'!$D60:$CF60,1,MATCH(INDEX('DH calcs - old'!$C$5:$C$9,MATCH(Dashboard!$D$6,'DH calcs - old'!$B$5:$B$9,0),1)&amp;U$19&amp;U$20,'3.2 District Heat'!$D$42:$CF$42,0))*1000*$B$12</f>
        <v>17567613.941456992</v>
      </c>
      <c r="V33" s="148">
        <f>(INDEX('3.2 District Heat'!$D60:$CF60,1,MATCH(INDEX('DH calcs - old'!$C$5:$C$9,MATCH(Dashboard!$D$6,'DH calcs - old'!$B$5:$B$9,0),1)&amp;V$19&amp;V$20,'3.2 District Heat'!$D$42:$CF$42,0))*1000+E33*IF(Dashboard!$D$6="=INDEX('Scenario names'!$C$3:$C$6,2)",$H$12,IF(Dashboard!$D$6="=INDEX('Scenario names'!$C$3:$C$6,3)",$H$13,$H$14)))*$B$12</f>
        <v>0</v>
      </c>
      <c r="W33" s="546">
        <f>(INDEX('3.2 District Heat'!$D60:$CF60,1,MATCH(INDEX('DH calcs - old'!$C$5:$C$9,MATCH(Dashboard!$D$6,'DH calcs - old'!$B$5:$B$9,0),1)&amp;W$19&amp;W$20,'3.2 District Heat'!$D$42:$CF$42,0))+INDEX('3.2 District Heat'!$D60:$CF60,1,MATCH(INDEX('DH calcs - old'!$C$5:$C$9,MATCH(Dashboard!$D$6,'DH calcs - old'!$B$5:$B$9,0),1)&amp;W$18&amp;W$20,'3.2 District Heat'!$D$42:$CF$42,0)))*1000*$B$12</f>
        <v>2040247.0300678194</v>
      </c>
      <c r="X33" s="148">
        <f>INDEX('3.2 District Heat'!$D60:$CF60,1,MATCH(INDEX('DH calcs - old'!$C$5:$C$9,MATCH(Dashboard!$D$6,'DH calcs - old'!$B$5:$B$9,0),1)&amp;X$19&amp;X$20,'3.2 District Heat'!$D$42:$CF$42,0))*1000*$B$12</f>
        <v>14137917.64014063</v>
      </c>
      <c r="Y33" s="148">
        <f>INDEX('3.2 District Heat'!$D60:$CF60,1,MATCH(INDEX('DH calcs - old'!$C$5:$C$9,MATCH(Dashboard!$D$6,'DH calcs - old'!$B$5:$B$9,0),1)&amp;Y$19&amp;Y$20,'3.2 District Heat'!$D$42:$CF$42,0))*1000*$B$12</f>
        <v>0</v>
      </c>
      <c r="Z33" s="148">
        <f>(INDEX('3.2 District Heat'!$D60:$CF60,1,MATCH(INDEX('DH calcs - old'!$C$5:$C$9,MATCH(Dashboard!$D$6,'DH calcs - old'!$B$5:$B$9,0),1)&amp;Z$19&amp;Z$20,'3.2 District Heat'!$D$42:$CF$42,0))*1000+E33*IF(Dashboard!$D$6="=INDEX('Scenario names'!$C$3:$C$6,2)",$I$12,IF(Dashboard!$D$6="=INDEX('Scenario names'!$C$3:$C$6,3)",$I$13,$I$14)))*$B$12</f>
        <v>160506146.72587788</v>
      </c>
      <c r="AA33" s="148">
        <f>INDEX('3.2 District Heat'!$D60:$CF60,1,MATCH(INDEX('DH calcs - old'!$C$5:$C$9,MATCH(Dashboard!$D$6,'DH calcs - old'!$B$5:$B$9,0),1)&amp;AA$19&amp;AA$20,'3.2 District Heat'!$D$42:$CF$42,0))*1000*$B$12</f>
        <v>0</v>
      </c>
      <c r="AB33" s="148">
        <f>INDEX('3.2 District Heat'!$D60:$CF60,1,MATCH(INDEX('DH calcs - old'!$C$5:$C$9,MATCH(Dashboard!$D$6,'DH calcs - old'!$B$5:$B$9,0),1)&amp;AB$19&amp;AB$20,'3.2 District Heat'!$D$42:$CF$42,0))*1000*$B$12</f>
        <v>0</v>
      </c>
      <c r="AC33" s="379">
        <f t="shared" si="3"/>
        <v>50188009.792829514</v>
      </c>
      <c r="AD33" s="379">
        <f>AB33+AC33*IF(Dashboard!$D$6="=INDEX('Scenario names'!$C$3:$C$6,2)",$J$12,IF(Dashboard!$D$6="=INDEX('Scenario names'!$C$3:$C$6,3)",$J$13,$J$14))</f>
        <v>0</v>
      </c>
      <c r="AE33" s="379">
        <f>Z33+AC33*IF(Dashboard!$D$6="=INDEX('Scenario names'!$C$3:$C$6,2)",$K$12,IF(Dashboard!$D$6="=INDEX('Scenario names'!$C$3:$C$6,3)",$K$13,$K$14))</f>
        <v>210694156.51870739</v>
      </c>
      <c r="AF33" s="378">
        <f>IF(OR(Dashboard!$D$6=INDEX('Scenario names'!$C$3:$C$6,3),Dashboard!$D$6=INDEX('Scenario names'!$C$3:$C$6,2)),'3.2 District Heat'!BD60,IF(Dashboard!$D$6=INDEX('Scenario names'!$B$3:$B$6,4),'3.2 District Heat'!CE60,IF(OR(Dashboard!$D$6="Baseline",Dashboard!$D$6=INDEX('Scenario names'!$C$3:$C$6,1)),'3.2 District Heat'!AC60, Error)))</f>
        <v>88300.426768813399</v>
      </c>
    </row>
    <row r="34" spans="1:32">
      <c r="A34" s="114" t="s">
        <v>640</v>
      </c>
      <c r="B34" s="148">
        <f>'3.2 District Heat'!B61*$B$11*1000</f>
        <v>3927825.0000000005</v>
      </c>
      <c r="C34" s="148">
        <f>'3.2 District Heat'!B61*$B$11*1000</f>
        <v>3927825.0000000005</v>
      </c>
      <c r="D34" s="148"/>
      <c r="E34" s="148">
        <f t="shared" si="0"/>
        <v>7855650.0000000009</v>
      </c>
      <c r="F34" s="148">
        <f>INDEX('3.2 District Heat'!$D61:$CF61,1,MATCH(INDEX('DH calcs - old'!$C$5:$C$9,MATCH(Dashboard!$D$6,'DH calcs - old'!$B$5:$B$9,0),1)&amp;F$19&amp;F$20,'3.2 District Heat'!$D$42:$CF$42,0))*1000*$B$12</f>
        <v>6175612.6059773825</v>
      </c>
      <c r="G34" s="379">
        <f>(INDEX('3.2 District Heat'!$D61:$CF61,1,MATCH(INDEX('DH calcs - old'!$C$5:$C$9,MATCH(Dashboard!$D$6,'DH calcs - old'!$B$5:$B$9,0),1)&amp;G$19&amp;G$20,'3.2 District Heat'!$D$42:$CF$42,0))*1000+(E34*$B$13))*$B$12</f>
        <v>60280663.582179487</v>
      </c>
      <c r="H34" s="148">
        <f>INDEX('3.2 District Heat'!$D61:$CF61,1,MATCH(INDEX('DH calcs - old'!$C$5:$C$9,MATCH(Dashboard!$D$6,'DH calcs - old'!$B$5:$B$9,0),1)&amp;H$19&amp;H$20,'3.2 District Heat'!$D$42:$CF$42,0))*1000*$B$12</f>
        <v>0</v>
      </c>
      <c r="I34" s="148">
        <f>INDEX('3.2 District Heat'!$D61:$CF61,1,MATCH(INDEX('DH calcs - old'!$C$5:$C$9,MATCH(Dashboard!$D$6,'DH calcs - old'!$B$5:$B$9,0),1)&amp;I$19&amp;I$20,'3.2 District Heat'!$D$42:$CF$42,0))*1000*$B$12</f>
        <v>0</v>
      </c>
      <c r="J34" s="546">
        <f>(INDEX('3.2 District Heat'!$D61:$CF61,1,MATCH(INDEX($C$5:$C$9,MATCH(Dashboard!$D$6,$B$5:$B$9,0),1)&amp;J$19&amp;J$20,'3.2 District Heat'!$D$42:$CF$42,0))+INDEX('3.2 District Heat'!$D61:$CF61,1,MATCH(INDEX($C$5:$C$9,MATCH(Dashboard!$D$6,$B$5:$B$9,0),1)&amp;J$18&amp;J$20,'3.2 District Heat'!$D$42:$CF$42,0)))*1000*$B$12</f>
        <v>0</v>
      </c>
      <c r="K34" s="148">
        <f>INDEX('3.2 District Heat'!$D61:$CF61,1,MATCH(INDEX('DH calcs - old'!$C$5:$C$9,MATCH(Dashboard!$D$6,'DH calcs - old'!$B$5:$B$9,0),1)&amp;K$19&amp;K$20,'3.2 District Heat'!$D$42:$CF$42,0))*1000*$B$12</f>
        <v>0</v>
      </c>
      <c r="L34" s="148">
        <f>INDEX('3.2 District Heat'!$D61:$CF61,1,MATCH(INDEX('DH calcs - old'!$C$5:$C$9,MATCH(Dashboard!$D$6,'DH calcs - old'!$B$5:$B$9,0),1)&amp;L$19&amp;L$20,'3.2 District Heat'!$D$42:$CF$42,0))*1000*$B$12</f>
        <v>0</v>
      </c>
      <c r="M34" s="148">
        <f>INDEX('3.2 District Heat'!$D61:$CF61,1,MATCH(INDEX('DH calcs - old'!$C$5:$C$9,MATCH(Dashboard!$D$6,'DH calcs - old'!$B$5:$B$9,0),1)&amp;M$19&amp;M$20,'3.2 District Heat'!$D$42:$CF$42,0))*1000*$B$12</f>
        <v>0</v>
      </c>
      <c r="N34" s="148">
        <f>INDEX('3.2 District Heat'!$D61:$CF61,1,MATCH(INDEX('DH calcs - old'!$C$5:$C$9,MATCH(Dashboard!$D$6,'DH calcs - old'!$B$5:$B$9,0),1)&amp;N$19&amp;N$20,'3.2 District Heat'!$D$42:$CF$42,0))*1000*$B$12</f>
        <v>0</v>
      </c>
      <c r="O34" s="379">
        <f>(INDEX('3.2 District Heat'!$D61:$CF61,1,MATCH(INDEX('DH calcs - old'!$C$5:$C$9,MATCH(Dashboard!$D$6,'DH calcs - old'!$B$5:$B$9,0),1)&amp;O$19&amp;O$20,'3.2 District Heat'!$D$42:$CF$42,0))*1000+E34*(1-$B$13))*$B$12</f>
        <v>4713390.0000000009</v>
      </c>
      <c r="P34" s="379">
        <f t="shared" si="1"/>
        <v>17792416.547039211</v>
      </c>
      <c r="Q34" s="148">
        <f t="shared" si="2"/>
        <v>22505806.547039211</v>
      </c>
      <c r="R34" s="148"/>
      <c r="S34" s="148">
        <f>INDEX('3.2 District Heat'!$D61:$CF61,1,MATCH(INDEX('DH calcs - old'!$C$5:$C$9,MATCH(Dashboard!$D$6,'DH calcs - old'!$B$5:$B$9,0),1)&amp;S$19&amp;S$20,'3.2 District Heat'!$D$42:$CF$42,0))*1000*$B$12</f>
        <v>29848571.239982612</v>
      </c>
      <c r="T34" s="148">
        <f>INDEX('3.2 District Heat'!$D61:$CF61,1,MATCH(INDEX('DH calcs - old'!$C$5:$C$9,MATCH(Dashboard!$D$6,'DH calcs - old'!$B$5:$B$9,0),1)&amp;T$19&amp;T$20,'3.2 District Heat'!$D$42:$CF$42,0))*1000*$B$12</f>
        <v>0</v>
      </c>
      <c r="U34" s="148">
        <f>INDEX('3.2 District Heat'!$D61:$CF61,1,MATCH(INDEX('DH calcs - old'!$C$5:$C$9,MATCH(Dashboard!$D$6,'DH calcs - old'!$B$5:$B$9,0),1)&amp;U$19&amp;U$20,'3.2 District Heat'!$D$42:$CF$42,0))*1000*$B$12</f>
        <v>0</v>
      </c>
      <c r="V34" s="148">
        <f>(INDEX('3.2 District Heat'!$D61:$CF61,1,MATCH(INDEX('DH calcs - old'!$C$5:$C$9,MATCH(Dashboard!$D$6,'DH calcs - old'!$B$5:$B$9,0),1)&amp;V$19&amp;V$20,'3.2 District Heat'!$D$42:$CF$42,0))*1000+E34*IF(Dashboard!$D$6="=INDEX('Scenario names'!$C$3:$C$6,2)",$H$12,IF(Dashboard!$D$6="=INDEX('Scenario names'!$C$3:$C$6,3)",$H$13,$H$14)))*$B$12</f>
        <v>0</v>
      </c>
      <c r="W34" s="546">
        <f>(INDEX('3.2 District Heat'!$D61:$CF61,1,MATCH(INDEX('DH calcs - old'!$C$5:$C$9,MATCH(Dashboard!$D$6,'DH calcs - old'!$B$5:$B$9,0),1)&amp;W$19&amp;W$20,'3.2 District Heat'!$D$42:$CF$42,0))+INDEX('3.2 District Heat'!$D61:$CF61,1,MATCH(INDEX('DH calcs - old'!$C$5:$C$9,MATCH(Dashboard!$D$6,'DH calcs - old'!$B$5:$B$9,0),1)&amp;W$18&amp;W$20,'3.2 District Heat'!$D$42:$CF$42,0)))*1000*$B$12</f>
        <v>343148.17479407205</v>
      </c>
      <c r="X34" s="148">
        <f>INDEX('3.2 District Heat'!$D61:$CF61,1,MATCH(INDEX('DH calcs - old'!$C$5:$C$9,MATCH(Dashboard!$D$6,'DH calcs - old'!$B$5:$B$9,0),1)&amp;X$19&amp;X$20,'3.2 District Heat'!$D$42:$CF$42,0))*1000*$B$12</f>
        <v>3425628.7074380065</v>
      </c>
      <c r="Y34" s="148">
        <f>INDEX('3.2 District Heat'!$D61:$CF61,1,MATCH(INDEX('DH calcs - old'!$C$5:$C$9,MATCH(Dashboard!$D$6,'DH calcs - old'!$B$5:$B$9,0),1)&amp;Y$19&amp;Y$20,'3.2 District Heat'!$D$42:$CF$42,0))*1000*$B$12</f>
        <v>0</v>
      </c>
      <c r="Z34" s="148">
        <f>(INDEX('3.2 District Heat'!$D61:$CF61,1,MATCH(INDEX('DH calcs - old'!$C$5:$C$9,MATCH(Dashboard!$D$6,'DH calcs - old'!$B$5:$B$9,0),1)&amp;Z$19&amp;Z$20,'3.2 District Heat'!$D$42:$CF$42,0))*1000+E34*IF(Dashboard!$D$6="=INDEX('Scenario names'!$C$3:$C$6,2)",$I$12,IF(Dashboard!$D$6="=INDEX('Scenario names'!$C$3:$C$6,3)",$I$13,$I$14)))*$B$12</f>
        <v>18719158.053659432</v>
      </c>
      <c r="AA34" s="148">
        <f>INDEX('3.2 District Heat'!$D61:$CF61,1,MATCH(INDEX('DH calcs - old'!$C$5:$C$9,MATCH(Dashboard!$D$6,'DH calcs - old'!$B$5:$B$9,0),1)&amp;AA$19&amp;AA$20,'3.2 District Heat'!$D$42:$CF$42,0))*1000*$B$12</f>
        <v>0</v>
      </c>
      <c r="AB34" s="148">
        <f>INDEX('3.2 District Heat'!$D61:$CF61,1,MATCH(INDEX('DH calcs - old'!$C$5:$C$9,MATCH(Dashboard!$D$6,'DH calcs - old'!$B$5:$B$9,0),1)&amp;AB$19&amp;AB$20,'3.2 District Heat'!$D$42:$CF$42,0))*1000*$B$12</f>
        <v>0</v>
      </c>
      <c r="AC34" s="379">
        <f t="shared" si="3"/>
        <v>13084126.543968529</v>
      </c>
      <c r="AD34" s="379">
        <f>AB34+AC34*IF(Dashboard!$D$6="=INDEX('Scenario names'!$C$3:$C$6,2)",$J$12,IF(Dashboard!$D$6="=INDEX('Scenario names'!$C$3:$C$6,3)",$J$13,$J$14))</f>
        <v>0</v>
      </c>
      <c r="AE34" s="379">
        <f>Z34+AC34*IF(Dashboard!$D$6="=INDEX('Scenario names'!$C$3:$C$6,2)",$K$12,IF(Dashboard!$D$6="=INDEX('Scenario names'!$C$3:$C$6,3)",$K$13,$K$14))</f>
        <v>31803284.59762796</v>
      </c>
      <c r="AF34" s="378">
        <f>IF(OR(Dashboard!$D$6=INDEX('Scenario names'!$C$3:$C$6,3),Dashboard!$D$6=INDEX('Scenario names'!$C$3:$C$6,2)),'3.2 District Heat'!BD61,IF(Dashboard!$D$6=INDEX('Scenario names'!$B$3:$B$6,4),'3.2 District Heat'!CE61,IF(OR(Dashboard!$D$6="Baseline",Dashboard!$D$6=INDEX('Scenario names'!$C$3:$C$6,1)),'3.2 District Heat'!AC61, Error)))</f>
        <v>10224.262851777059</v>
      </c>
    </row>
    <row r="35" spans="1:32">
      <c r="A35" s="114" t="s">
        <v>641</v>
      </c>
      <c r="B35" s="148">
        <f>'3.2 District Heat'!B62*$B$11*1000</f>
        <v>4324055</v>
      </c>
      <c r="C35" s="148">
        <f>'3.2 District Heat'!B62*$B$11*1000</f>
        <v>4324055</v>
      </c>
      <c r="D35" s="148"/>
      <c r="E35" s="148">
        <f t="shared" si="0"/>
        <v>8648110</v>
      </c>
      <c r="F35" s="148">
        <f>INDEX('3.2 District Heat'!$D62:$CF62,1,MATCH(INDEX('DH calcs - old'!$C$5:$C$9,MATCH(Dashboard!$D$6,'DH calcs - old'!$B$5:$B$9,0),1)&amp;F$19&amp;F$20,'3.2 District Heat'!$D$42:$CF$42,0))*1000*$B$12</f>
        <v>0</v>
      </c>
      <c r="G35" s="379">
        <f>(INDEX('3.2 District Heat'!$D62:$CF62,1,MATCH(INDEX('DH calcs - old'!$C$5:$C$9,MATCH(Dashboard!$D$6,'DH calcs - old'!$B$5:$B$9,0),1)&amp;G$19&amp;G$20,'3.2 District Heat'!$D$42:$CF$42,0))*1000+(E35*$B$13))*$B$12</f>
        <v>49098548.389501445</v>
      </c>
      <c r="H35" s="148">
        <f>INDEX('3.2 District Heat'!$D62:$CF62,1,MATCH(INDEX('DH calcs - old'!$C$5:$C$9,MATCH(Dashboard!$D$6,'DH calcs - old'!$B$5:$B$9,0),1)&amp;H$19&amp;H$20,'3.2 District Heat'!$D$42:$CF$42,0))*1000*$B$12</f>
        <v>0</v>
      </c>
      <c r="I35" s="148">
        <f>INDEX('3.2 District Heat'!$D62:$CF62,1,MATCH(INDEX('DH calcs - old'!$C$5:$C$9,MATCH(Dashboard!$D$6,'DH calcs - old'!$B$5:$B$9,0),1)&amp;I$19&amp;I$20,'3.2 District Heat'!$D$42:$CF$42,0))*1000*$B$12</f>
        <v>0</v>
      </c>
      <c r="J35" s="546">
        <f>(INDEX('3.2 District Heat'!$D62:$CF62,1,MATCH(INDEX($C$5:$C$9,MATCH(Dashboard!$D$6,$B$5:$B$9,0),1)&amp;J$19&amp;J$20,'3.2 District Heat'!$D$42:$CF$42,0))+INDEX('3.2 District Heat'!$D62:$CF62,1,MATCH(INDEX($C$5:$C$9,MATCH(Dashboard!$D$6,$B$5:$B$9,0),1)&amp;J$18&amp;J$20,'3.2 District Heat'!$D$42:$CF$42,0)))*1000*$B$12</f>
        <v>0</v>
      </c>
      <c r="K35" s="148">
        <f>INDEX('3.2 District Heat'!$D62:$CF62,1,MATCH(INDEX('DH calcs - old'!$C$5:$C$9,MATCH(Dashboard!$D$6,'DH calcs - old'!$B$5:$B$9,0),1)&amp;K$19&amp;K$20,'3.2 District Heat'!$D$42:$CF$42,0))*1000*$B$12</f>
        <v>0</v>
      </c>
      <c r="L35" s="148">
        <f>INDEX('3.2 District Heat'!$D62:$CF62,1,MATCH(INDEX('DH calcs - old'!$C$5:$C$9,MATCH(Dashboard!$D$6,'DH calcs - old'!$B$5:$B$9,0),1)&amp;L$19&amp;L$20,'3.2 District Heat'!$D$42:$CF$42,0))*1000*$B$12</f>
        <v>0</v>
      </c>
      <c r="M35" s="148">
        <f>INDEX('3.2 District Heat'!$D62:$CF62,1,MATCH(INDEX('DH calcs - old'!$C$5:$C$9,MATCH(Dashboard!$D$6,'DH calcs - old'!$B$5:$B$9,0),1)&amp;M$19&amp;M$20,'3.2 District Heat'!$D$42:$CF$42,0))*1000*$B$12</f>
        <v>0</v>
      </c>
      <c r="N35" s="148">
        <f>INDEX('3.2 District Heat'!$D62:$CF62,1,MATCH(INDEX('DH calcs - old'!$C$5:$C$9,MATCH(Dashboard!$D$6,'DH calcs - old'!$B$5:$B$9,0),1)&amp;N$19&amp;N$20,'3.2 District Heat'!$D$42:$CF$42,0))*1000*$B$12</f>
        <v>0</v>
      </c>
      <c r="O35" s="379">
        <f>(INDEX('3.2 District Heat'!$D62:$CF62,1,MATCH(INDEX('DH calcs - old'!$C$5:$C$9,MATCH(Dashboard!$D$6,'DH calcs - old'!$B$5:$B$9,0),1)&amp;O$19&amp;O$20,'3.2 District Heat'!$D$42:$CF$42,0))*1000+E35*(1-$B$13))*$B$12</f>
        <v>5188866</v>
      </c>
      <c r="P35" s="379">
        <f t="shared" si="1"/>
        <v>13571853.597375356</v>
      </c>
      <c r="Q35" s="148">
        <f t="shared" si="2"/>
        <v>18760719.597375356</v>
      </c>
      <c r="R35" s="148"/>
      <c r="S35" s="148">
        <f>INDEX('3.2 District Heat'!$D62:$CF62,1,MATCH(INDEX('DH calcs - old'!$C$5:$C$9,MATCH(Dashboard!$D$6,'DH calcs - old'!$B$5:$B$9,0),1)&amp;S$19&amp;S$20,'3.2 District Heat'!$D$42:$CF$42,0))*1000*$B$12</f>
        <v>0</v>
      </c>
      <c r="T35" s="148">
        <f>INDEX('3.2 District Heat'!$D62:$CF62,1,MATCH(INDEX('DH calcs - old'!$C$5:$C$9,MATCH(Dashboard!$D$6,'DH calcs - old'!$B$5:$B$9,0),1)&amp;T$19&amp;T$20,'3.2 District Heat'!$D$42:$CF$42,0))*1000*$B$12</f>
        <v>0</v>
      </c>
      <c r="U35" s="148">
        <f>INDEX('3.2 District Heat'!$D62:$CF62,1,MATCH(INDEX('DH calcs - old'!$C$5:$C$9,MATCH(Dashboard!$D$6,'DH calcs - old'!$B$5:$B$9,0),1)&amp;U$19&amp;U$20,'3.2 District Heat'!$D$42:$CF$42,0))*1000*$B$12</f>
        <v>0</v>
      </c>
      <c r="V35" s="148">
        <f>(INDEX('3.2 District Heat'!$D62:$CF62,1,MATCH(INDEX('DH calcs - old'!$C$5:$C$9,MATCH(Dashboard!$D$6,'DH calcs - old'!$B$5:$B$9,0),1)&amp;V$19&amp;V$20,'3.2 District Heat'!$D$42:$CF$42,0))*1000+E35*IF(Dashboard!$D$6="=INDEX('Scenario names'!$C$3:$C$6,2)",$H$12,IF(Dashboard!$D$6="=INDEX('Scenario names'!$C$3:$C$6,3)",$H$13,$H$14)))*$B$12</f>
        <v>0</v>
      </c>
      <c r="W35" s="546">
        <f>(INDEX('3.2 District Heat'!$D62:$CF62,1,MATCH(INDEX('DH calcs - old'!$C$5:$C$9,MATCH(Dashboard!$D$6,'DH calcs - old'!$B$5:$B$9,0),1)&amp;W$19&amp;W$20,'3.2 District Heat'!$D$42:$CF$42,0))+INDEX('3.2 District Heat'!$D62:$CF62,1,MATCH(INDEX('DH calcs - old'!$C$5:$C$9,MATCH(Dashboard!$D$6,'DH calcs - old'!$B$5:$B$9,0),1)&amp;W$18&amp;W$20,'3.2 District Heat'!$D$42:$CF$42,0)))*1000*$B$12</f>
        <v>571913.62465678679</v>
      </c>
      <c r="X35" s="148">
        <f>INDEX('3.2 District Heat'!$D62:$CF62,1,MATCH(INDEX('DH calcs - old'!$C$5:$C$9,MATCH(Dashboard!$D$6,'DH calcs - old'!$B$5:$B$9,0),1)&amp;X$19&amp;X$20,'3.2 District Heat'!$D$42:$CF$42,0))*1000*$B$12</f>
        <v>10238210.684538603</v>
      </c>
      <c r="Y35" s="148">
        <f>INDEX('3.2 District Heat'!$D62:$CF62,1,MATCH(INDEX('DH calcs - old'!$C$5:$C$9,MATCH(Dashboard!$D$6,'DH calcs - old'!$B$5:$B$9,0),1)&amp;Y$19&amp;Y$20,'3.2 District Heat'!$D$42:$CF$42,0))*1000*$B$12</f>
        <v>0</v>
      </c>
      <c r="Z35" s="148">
        <f>(INDEX('3.2 District Heat'!$D62:$CF62,1,MATCH(INDEX('DH calcs - old'!$C$5:$C$9,MATCH(Dashboard!$D$6,'DH calcs - old'!$B$5:$B$9,0),1)&amp;Z$19&amp;Z$20,'3.2 District Heat'!$D$42:$CF$42,0))*1000+E35*IF(Dashboard!$D$6="=INDEX('Scenario names'!$C$3:$C$6,2)",$I$12,IF(Dashboard!$D$6="=INDEX('Scenario names'!$C$3:$C$6,3)",$I$13,$I$14)))*$B$12</f>
        <v>31402356.858199764</v>
      </c>
      <c r="AA35" s="148">
        <f>INDEX('3.2 District Heat'!$D62:$CF62,1,MATCH(INDEX('DH calcs - old'!$C$5:$C$9,MATCH(Dashboard!$D$6,'DH calcs - old'!$B$5:$B$9,0),1)&amp;AA$19&amp;AA$20,'3.2 District Heat'!$D$42:$CF$42,0))*1000*$B$12</f>
        <v>0</v>
      </c>
      <c r="AB35" s="148">
        <f>INDEX('3.2 District Heat'!$D62:$CF62,1,MATCH(INDEX('DH calcs - old'!$C$5:$C$9,MATCH(Dashboard!$D$6,'DH calcs - old'!$B$5:$B$9,0),1)&amp;AB$19&amp;AB$20,'3.2 District Heat'!$D$42:$CF$42,0))*1000*$B$12</f>
        <v>0</v>
      </c>
      <c r="AC35" s="379">
        <f t="shared" si="3"/>
        <v>10553120.291848786</v>
      </c>
      <c r="AD35" s="379">
        <f>AB35+AC35*IF(Dashboard!$D$6="=INDEX('Scenario names'!$C$3:$C$6,2)",$J$12,IF(Dashboard!$D$6="=INDEX('Scenario names'!$C$3:$C$6,3)",$J$13,$J$14))</f>
        <v>0</v>
      </c>
      <c r="AE35" s="379">
        <f>Z35+AC35*IF(Dashboard!$D$6="=INDEX('Scenario names'!$C$3:$C$6,2)",$K$12,IF(Dashboard!$D$6="=INDEX('Scenario names'!$C$3:$C$6,3)",$K$13,$K$14))</f>
        <v>41955477.150048554</v>
      </c>
      <c r="AF35" s="378">
        <f>IF(OR(Dashboard!$D$6=INDEX('Scenario names'!$C$3:$C$6,3),Dashboard!$D$6=INDEX('Scenario names'!$C$3:$C$6,2)),'3.2 District Heat'!BD62,IF(Dashboard!$D$6=INDEX('Scenario names'!$B$3:$B$6,4),'3.2 District Heat'!CE62,IF(OR(Dashboard!$D$6="Baseline",Dashboard!$D$6=INDEX('Scenario names'!$C$3:$C$6,1)),'3.2 District Heat'!AC62, Error)))</f>
        <v>19761.839330653791</v>
      </c>
    </row>
    <row r="36" spans="1:32">
      <c r="A36" s="114" t="s">
        <v>642</v>
      </c>
      <c r="B36" s="148">
        <f>'3.2 District Heat'!B63*$B$11*1000</f>
        <v>1885200</v>
      </c>
      <c r="C36" s="148">
        <f>'3.2 District Heat'!B63*$B$11*1000</f>
        <v>1885200</v>
      </c>
      <c r="D36" s="148"/>
      <c r="E36" s="148">
        <f t="shared" si="0"/>
        <v>3770400</v>
      </c>
      <c r="F36" s="148">
        <f>INDEX('3.2 District Heat'!$D63:$CF63,1,MATCH(INDEX('DH calcs - old'!$C$5:$C$9,MATCH(Dashboard!$D$6,'DH calcs - old'!$B$5:$B$9,0),1)&amp;F$19&amp;F$20,'3.2 District Heat'!$D$42:$CF$42,0))*1000*$B$12</f>
        <v>0</v>
      </c>
      <c r="G36" s="379">
        <f>(INDEX('3.2 District Heat'!$D63:$CF63,1,MATCH(INDEX('DH calcs - old'!$C$5:$C$9,MATCH(Dashboard!$D$6,'DH calcs - old'!$B$5:$B$9,0),1)&amp;G$19&amp;G$20,'3.2 District Heat'!$D$42:$CF$42,0))*1000+(E36*$B$13))*$B$12</f>
        <v>754080</v>
      </c>
      <c r="H36" s="148">
        <f>INDEX('3.2 District Heat'!$D63:$CF63,1,MATCH(INDEX('DH calcs - old'!$C$5:$C$9,MATCH(Dashboard!$D$6,'DH calcs - old'!$B$5:$B$9,0),1)&amp;H$19&amp;H$20,'3.2 District Heat'!$D$42:$CF$42,0))*1000*$B$12</f>
        <v>0</v>
      </c>
      <c r="I36" s="148">
        <f>INDEX('3.2 District Heat'!$D63:$CF63,1,MATCH(INDEX('DH calcs - old'!$C$5:$C$9,MATCH(Dashboard!$D$6,'DH calcs - old'!$B$5:$B$9,0),1)&amp;I$19&amp;I$20,'3.2 District Heat'!$D$42:$CF$42,0))*1000*$B$12</f>
        <v>0</v>
      </c>
      <c r="J36" s="546">
        <f>(INDEX('3.2 District Heat'!$D63:$CF63,1,MATCH(INDEX($C$5:$C$9,MATCH(Dashboard!$D$6,$B$5:$B$9,0),1)&amp;J$19&amp;J$20,'3.2 District Heat'!$D$42:$CF$42,0))+INDEX('3.2 District Heat'!$D63:$CF63,1,MATCH(INDEX($C$5:$C$9,MATCH(Dashboard!$D$6,$B$5:$B$9,0),1)&amp;J$18&amp;J$20,'3.2 District Heat'!$D$42:$CF$42,0)))*1000*$B$12</f>
        <v>0</v>
      </c>
      <c r="K36" s="148">
        <f>INDEX('3.2 District Heat'!$D63:$CF63,1,MATCH(INDEX('DH calcs - old'!$C$5:$C$9,MATCH(Dashboard!$D$6,'DH calcs - old'!$B$5:$B$9,0),1)&amp;K$19&amp;K$20,'3.2 District Heat'!$D$42:$CF$42,0))*1000*$B$12</f>
        <v>0</v>
      </c>
      <c r="L36" s="148">
        <f>INDEX('3.2 District Heat'!$D63:$CF63,1,MATCH(INDEX('DH calcs - old'!$C$5:$C$9,MATCH(Dashboard!$D$6,'DH calcs - old'!$B$5:$B$9,0),1)&amp;L$19&amp;L$20,'3.2 District Heat'!$D$42:$CF$42,0))*1000*$B$12</f>
        <v>0</v>
      </c>
      <c r="M36" s="148">
        <f>INDEX('3.2 District Heat'!$D63:$CF63,1,MATCH(INDEX('DH calcs - old'!$C$5:$C$9,MATCH(Dashboard!$D$6,'DH calcs - old'!$B$5:$B$9,0),1)&amp;M$19&amp;M$20,'3.2 District Heat'!$D$42:$CF$42,0))*1000*$B$12</f>
        <v>0</v>
      </c>
      <c r="N36" s="148">
        <f>INDEX('3.2 District Heat'!$D63:$CF63,1,MATCH(INDEX('DH calcs - old'!$C$5:$C$9,MATCH(Dashboard!$D$6,'DH calcs - old'!$B$5:$B$9,0),1)&amp;N$19&amp;N$20,'3.2 District Heat'!$D$42:$CF$42,0))*1000*$B$12</f>
        <v>0</v>
      </c>
      <c r="O36" s="379">
        <f>(INDEX('3.2 District Heat'!$D63:$CF63,1,MATCH(INDEX('DH calcs - old'!$C$5:$C$9,MATCH(Dashboard!$D$6,'DH calcs - old'!$B$5:$B$9,0),1)&amp;O$19&amp;O$20,'3.2 District Heat'!$D$42:$CF$42,0))*1000+E36*(1-$B$13))*$B$12</f>
        <v>2262240</v>
      </c>
      <c r="P36" s="379">
        <f t="shared" si="1"/>
        <v>754080</v>
      </c>
      <c r="Q36" s="148">
        <f t="shared" si="2"/>
        <v>3016320</v>
      </c>
      <c r="R36" s="148"/>
      <c r="S36" s="148">
        <f>INDEX('3.2 District Heat'!$D63:$CF63,1,MATCH(INDEX('DH calcs - old'!$C$5:$C$9,MATCH(Dashboard!$D$6,'DH calcs - old'!$B$5:$B$9,0),1)&amp;S$19&amp;S$20,'3.2 District Heat'!$D$42:$CF$42,0))*1000*$B$12</f>
        <v>1608647.254035309</v>
      </c>
      <c r="T36" s="148">
        <f>INDEX('3.2 District Heat'!$D63:$CF63,1,MATCH(INDEX('DH calcs - old'!$C$5:$C$9,MATCH(Dashboard!$D$6,'DH calcs - old'!$B$5:$B$9,0),1)&amp;T$19&amp;T$20,'3.2 District Heat'!$D$42:$CF$42,0))*1000*$B$12</f>
        <v>0</v>
      </c>
      <c r="U36" s="148">
        <f>INDEX('3.2 District Heat'!$D63:$CF63,1,MATCH(INDEX('DH calcs - old'!$C$5:$C$9,MATCH(Dashboard!$D$6,'DH calcs - old'!$B$5:$B$9,0),1)&amp;U$19&amp;U$20,'3.2 District Heat'!$D$42:$CF$42,0))*1000*$B$12</f>
        <v>0</v>
      </c>
      <c r="V36" s="148">
        <f>(INDEX('3.2 District Heat'!$D63:$CF63,1,MATCH(INDEX('DH calcs - old'!$C$5:$C$9,MATCH(Dashboard!$D$6,'DH calcs - old'!$B$5:$B$9,0),1)&amp;V$19&amp;V$20,'3.2 District Heat'!$D$42:$CF$42,0))*1000+E36*IF(Dashboard!$D$6="=INDEX('Scenario names'!$C$3:$C$6,2)",$H$12,IF(Dashboard!$D$6="=INDEX('Scenario names'!$C$3:$C$6,3)",$H$13,$H$14)))*$B$12</f>
        <v>0</v>
      </c>
      <c r="W36" s="546">
        <f>(INDEX('3.2 District Heat'!$D63:$CF63,1,MATCH(INDEX('DH calcs - old'!$C$5:$C$9,MATCH(Dashboard!$D$6,'DH calcs - old'!$B$5:$B$9,0),1)&amp;W$19&amp;W$20,'3.2 District Heat'!$D$42:$CF$42,0))+INDEX('3.2 District Heat'!$D63:$CF63,1,MATCH(INDEX('DH calcs - old'!$C$5:$C$9,MATCH(Dashboard!$D$6,'DH calcs - old'!$B$5:$B$9,0),1)&amp;W$18&amp;W$20,'3.2 District Heat'!$D$42:$CF$42,0)))*1000*$B$12</f>
        <v>1468333.4054110325</v>
      </c>
      <c r="X36" s="148">
        <f>INDEX('3.2 District Heat'!$D63:$CF63,1,MATCH(INDEX('DH calcs - old'!$C$5:$C$9,MATCH(Dashboard!$D$6,'DH calcs - old'!$B$5:$B$9,0),1)&amp;X$19&amp;X$20,'3.2 District Heat'!$D$42:$CF$42,0))*1000*$B$12</f>
        <v>1373611.3450075043</v>
      </c>
      <c r="Y36" s="148">
        <f>INDEX('3.2 District Heat'!$D63:$CF63,1,MATCH(INDEX('DH calcs - old'!$C$5:$C$9,MATCH(Dashboard!$D$6,'DH calcs - old'!$B$5:$B$9,0),1)&amp;Y$19&amp;Y$20,'3.2 District Heat'!$D$42:$CF$42,0))*1000*$B$12</f>
        <v>0</v>
      </c>
      <c r="Z36" s="148">
        <f>(INDEX('3.2 District Heat'!$D63:$CF63,1,MATCH(INDEX('DH calcs - old'!$C$5:$C$9,MATCH(Dashboard!$D$6,'DH calcs - old'!$B$5:$B$9,0),1)&amp;Z$19&amp;Z$20,'3.2 District Heat'!$D$42:$CF$42,0))*1000+E36*IF(Dashboard!$D$6="=INDEX('Scenario names'!$C$3:$C$6,2)",$I$12,IF(Dashboard!$D$6="=INDEX('Scenario names'!$C$3:$C$6,3)",$I$13,$I$14)))*$B$12</f>
        <v>6186705.8216901757</v>
      </c>
      <c r="AA36" s="148">
        <f>INDEX('3.2 District Heat'!$D63:$CF63,1,MATCH(INDEX('DH calcs - old'!$C$5:$C$9,MATCH(Dashboard!$D$6,'DH calcs - old'!$B$5:$B$9,0),1)&amp;AA$19&amp;AA$20,'3.2 District Heat'!$D$42:$CF$42,0))*1000*$B$12</f>
        <v>0</v>
      </c>
      <c r="AB36" s="148">
        <f>INDEX('3.2 District Heat'!$D63:$CF63,1,MATCH(INDEX('DH calcs - old'!$C$5:$C$9,MATCH(Dashboard!$D$6,'DH calcs - old'!$B$5:$B$9,0),1)&amp;AB$19&amp;AB$20,'3.2 District Heat'!$D$42:$CF$42,0))*1000*$B$12</f>
        <v>0</v>
      </c>
      <c r="AC36" s="379">
        <f t="shared" si="3"/>
        <v>2659324.4565360043</v>
      </c>
      <c r="AD36" s="379">
        <f>AB36+AC36*IF(Dashboard!$D$6="=INDEX('Scenario names'!$C$3:$C$6,2)",$J$12,IF(Dashboard!$D$6="=INDEX('Scenario names'!$C$3:$C$6,3)",$J$13,$J$14))</f>
        <v>0</v>
      </c>
      <c r="AE36" s="379">
        <f>Z36+AC36*IF(Dashboard!$D$6="=INDEX('Scenario names'!$C$3:$C$6,2)",$K$12,IF(Dashboard!$D$6="=INDEX('Scenario names'!$C$3:$C$6,3)",$K$13,$K$14))</f>
        <v>8846030.27822618</v>
      </c>
      <c r="AF36" s="378">
        <f>IF(OR(Dashboard!$D$6=INDEX('Scenario names'!$C$3:$C$6,3),Dashboard!$D$6=INDEX('Scenario names'!$C$3:$C$6,2)),'3.2 District Heat'!BD63,IF(Dashboard!$D$6=INDEX('Scenario names'!$B$3:$B$6,4),'3.2 District Heat'!CE63,IF(OR(Dashboard!$D$6="Baseline",Dashboard!$D$6=INDEX('Scenario names'!$C$3:$C$6,1)),'3.2 District Heat'!AC63, Error)))</f>
        <v>1194.7609673539077</v>
      </c>
    </row>
    <row r="37" spans="1:32">
      <c r="A37" s="114" t="s">
        <v>643</v>
      </c>
      <c r="B37" s="148">
        <f>'3.2 District Heat'!B64*$B$11*1000</f>
        <v>5726180</v>
      </c>
      <c r="C37" s="148">
        <f>'3.2 District Heat'!B64*$B$11*1000</f>
        <v>5726180</v>
      </c>
      <c r="D37" s="148"/>
      <c r="E37" s="148">
        <f t="shared" si="0"/>
        <v>11452360</v>
      </c>
      <c r="F37" s="148">
        <f>INDEX('3.2 District Heat'!$D64:$CF64,1,MATCH(INDEX('DH calcs - old'!$C$5:$C$9,MATCH(Dashboard!$D$6,'DH calcs - old'!$B$5:$B$9,0),1)&amp;F$19&amp;F$20,'3.2 District Heat'!$D$42:$CF$42,0))*1000*$B$12</f>
        <v>427192.63264410692</v>
      </c>
      <c r="G37" s="379">
        <f>(INDEX('3.2 District Heat'!$D64:$CF64,1,MATCH(INDEX('DH calcs - old'!$C$5:$C$9,MATCH(Dashboard!$D$6,'DH calcs - old'!$B$5:$B$9,0),1)&amp;G$19&amp;G$20,'3.2 District Heat'!$D$42:$CF$42,0))*1000+(E37*$B$13))*$B$12</f>
        <v>45630438.482260898</v>
      </c>
      <c r="H37" s="148">
        <f>INDEX('3.2 District Heat'!$D64:$CF64,1,MATCH(INDEX('DH calcs - old'!$C$5:$C$9,MATCH(Dashboard!$D$6,'DH calcs - old'!$B$5:$B$9,0),1)&amp;H$19&amp;H$20,'3.2 District Heat'!$D$42:$CF$42,0))*1000*$B$12</f>
        <v>1898867.8239362137</v>
      </c>
      <c r="I37" s="148">
        <f>INDEX('3.2 District Heat'!$D64:$CF64,1,MATCH(INDEX('DH calcs - old'!$C$5:$C$9,MATCH(Dashboard!$D$6,'DH calcs - old'!$B$5:$B$9,0),1)&amp;I$19&amp;I$20,'3.2 District Heat'!$D$42:$CF$42,0))*1000*$B$12</f>
        <v>0</v>
      </c>
      <c r="J37" s="546">
        <f>(INDEX('3.2 District Heat'!$D64:$CF64,1,MATCH(INDEX($C$5:$C$9,MATCH(Dashboard!$D$6,$B$5:$B$9,0),1)&amp;J$19&amp;J$20,'3.2 District Heat'!$D$42:$CF$42,0))+INDEX('3.2 District Heat'!$D64:$CF64,1,MATCH(INDEX($C$5:$C$9,MATCH(Dashboard!$D$6,$B$5:$B$9,0),1)&amp;J$18&amp;J$20,'3.2 District Heat'!$D$42:$CF$42,0)))*1000*$B$12</f>
        <v>0</v>
      </c>
      <c r="K37" s="148">
        <f>INDEX('3.2 District Heat'!$D64:$CF64,1,MATCH(INDEX('DH calcs - old'!$C$5:$C$9,MATCH(Dashboard!$D$6,'DH calcs - old'!$B$5:$B$9,0),1)&amp;K$19&amp;K$20,'3.2 District Heat'!$D$42:$CF$42,0))*1000*$B$12</f>
        <v>0</v>
      </c>
      <c r="L37" s="148">
        <f>INDEX('3.2 District Heat'!$D64:$CF64,1,MATCH(INDEX('DH calcs - old'!$C$5:$C$9,MATCH(Dashboard!$D$6,'DH calcs - old'!$B$5:$B$9,0),1)&amp;L$19&amp;L$20,'3.2 District Heat'!$D$42:$CF$42,0))*1000*$B$12</f>
        <v>0</v>
      </c>
      <c r="M37" s="148">
        <f>INDEX('3.2 District Heat'!$D64:$CF64,1,MATCH(INDEX('DH calcs - old'!$C$5:$C$9,MATCH(Dashboard!$D$6,'DH calcs - old'!$B$5:$B$9,0),1)&amp;M$19&amp;M$20,'3.2 District Heat'!$D$42:$CF$42,0))*1000*$B$12</f>
        <v>0</v>
      </c>
      <c r="N37" s="148">
        <f>INDEX('3.2 District Heat'!$D64:$CF64,1,MATCH(INDEX('DH calcs - old'!$C$5:$C$9,MATCH(Dashboard!$D$6,'DH calcs - old'!$B$5:$B$9,0),1)&amp;N$19&amp;N$20,'3.2 District Heat'!$D$42:$CF$42,0))*1000*$B$12</f>
        <v>0</v>
      </c>
      <c r="O37" s="379">
        <f>(INDEX('3.2 District Heat'!$D64:$CF64,1,MATCH(INDEX('DH calcs - old'!$C$5:$C$9,MATCH(Dashboard!$D$6,'DH calcs - old'!$B$5:$B$9,0),1)&amp;O$19&amp;O$20,'3.2 District Heat'!$D$42:$CF$42,0))*1000+E37*(1-$B$13))*$B$12</f>
        <v>6871416</v>
      </c>
      <c r="P37" s="379">
        <f t="shared" si="1"/>
        <v>13706978.734710306</v>
      </c>
      <c r="Q37" s="148">
        <f t="shared" si="2"/>
        <v>20578394.734710306</v>
      </c>
      <c r="R37" s="148"/>
      <c r="S37" s="148">
        <f>INDEX('3.2 District Heat'!$D64:$CF64,1,MATCH(INDEX('DH calcs - old'!$C$5:$C$9,MATCH(Dashboard!$D$6,'DH calcs - old'!$B$5:$B$9,0),1)&amp;S$19&amp;S$20,'3.2 District Heat'!$D$42:$CF$42,0))*1000*$B$12</f>
        <v>6832254.4825793169</v>
      </c>
      <c r="T37" s="148">
        <f>INDEX('3.2 District Heat'!$D64:$CF64,1,MATCH(INDEX('DH calcs - old'!$C$5:$C$9,MATCH(Dashboard!$D$6,'DH calcs - old'!$B$5:$B$9,0),1)&amp;T$19&amp;T$20,'3.2 District Heat'!$D$42:$CF$42,0))*1000*$B$12</f>
        <v>0</v>
      </c>
      <c r="U37" s="148">
        <f>INDEX('3.2 District Heat'!$D64:$CF64,1,MATCH(INDEX('DH calcs - old'!$C$5:$C$9,MATCH(Dashboard!$D$6,'DH calcs - old'!$B$5:$B$9,0),1)&amp;U$19&amp;U$20,'3.2 District Heat'!$D$42:$CF$42,0))*1000*$B$12</f>
        <v>2784222.8735264726</v>
      </c>
      <c r="V37" s="148">
        <f>(INDEX('3.2 District Heat'!$D64:$CF64,1,MATCH(INDEX('DH calcs - old'!$C$5:$C$9,MATCH(Dashboard!$D$6,'DH calcs - old'!$B$5:$B$9,0),1)&amp;V$19&amp;V$20,'3.2 District Heat'!$D$42:$CF$42,0))*1000+E37*IF(Dashboard!$D$6="=INDEX('Scenario names'!$C$3:$C$6,2)",$H$12,IF(Dashboard!$D$6="=INDEX('Scenario names'!$C$3:$C$6,3)",$H$13,$H$14)))*$B$12</f>
        <v>0</v>
      </c>
      <c r="W37" s="546">
        <f>(INDEX('3.2 District Heat'!$D64:$CF64,1,MATCH(INDEX('DH calcs - old'!$C$5:$C$9,MATCH(Dashboard!$D$6,'DH calcs - old'!$B$5:$B$9,0),1)&amp;W$19&amp;W$20,'3.2 District Heat'!$D$42:$CF$42,0))+INDEX('3.2 District Heat'!$D64:$CF64,1,MATCH(INDEX('DH calcs - old'!$C$5:$C$9,MATCH(Dashboard!$D$6,'DH calcs - old'!$B$5:$B$9,0),1)&amp;W$18&amp;W$20,'3.2 District Heat'!$D$42:$CF$42,0)))*1000*$B$12</f>
        <v>1165458.1809835422</v>
      </c>
      <c r="X37" s="148">
        <f>INDEX('3.2 District Heat'!$D64:$CF64,1,MATCH(INDEX('DH calcs - old'!$C$5:$C$9,MATCH(Dashboard!$D$6,'DH calcs - old'!$B$5:$B$9,0),1)&amp;X$19&amp;X$20,'3.2 District Heat'!$D$42:$CF$42,0))*1000*$B$12</f>
        <v>925852.53148943803</v>
      </c>
      <c r="Y37" s="148">
        <f>INDEX('3.2 District Heat'!$D64:$CF64,1,MATCH(INDEX('DH calcs - old'!$C$5:$C$9,MATCH(Dashboard!$D$6,'DH calcs - old'!$B$5:$B$9,0),1)&amp;Y$19&amp;Y$20,'3.2 District Heat'!$D$42:$CF$42,0))*1000*$B$12</f>
        <v>0</v>
      </c>
      <c r="Z37" s="148">
        <f>(INDEX('3.2 District Heat'!$D64:$CF64,1,MATCH(INDEX('DH calcs - old'!$C$5:$C$9,MATCH(Dashboard!$D$6,'DH calcs - old'!$B$5:$B$9,0),1)&amp;Z$19&amp;Z$20,'3.2 District Heat'!$D$42:$CF$42,0))*1000+E37*IF(Dashboard!$D$6="=INDEX('Scenario names'!$C$3:$C$6,2)",$I$12,IF(Dashboard!$D$6="=INDEX('Scenario names'!$C$3:$C$6,3)",$I$13,$I$14)))*$B$12</f>
        <v>32566538.964632269</v>
      </c>
      <c r="AA37" s="148">
        <f>INDEX('3.2 District Heat'!$D64:$CF64,1,MATCH(INDEX('DH calcs - old'!$C$5:$C$9,MATCH(Dashboard!$D$6,'DH calcs - old'!$B$5:$B$9,0),1)&amp;AA$19&amp;AA$20,'3.2 District Heat'!$D$42:$CF$42,0))*1000*$B$12</f>
        <v>0</v>
      </c>
      <c r="AB37" s="148">
        <f>INDEX('3.2 District Heat'!$D64:$CF64,1,MATCH(INDEX('DH calcs - old'!$C$5:$C$9,MATCH(Dashboard!$D$6,'DH calcs - old'!$B$5:$B$9,0),1)&amp;AB$19&amp;AB$20,'3.2 District Heat'!$D$42:$CF$42,0))*1000*$B$12</f>
        <v>0</v>
      </c>
      <c r="AC37" s="379">
        <f t="shared" si="3"/>
        <v>11068581.758302756</v>
      </c>
      <c r="AD37" s="379">
        <f>AB37+AC37*IF(Dashboard!$D$6="=INDEX('Scenario names'!$C$3:$C$6,2)",$J$12,IF(Dashboard!$D$6="=INDEX('Scenario names'!$C$3:$C$6,3)",$J$13,$J$14))</f>
        <v>0</v>
      </c>
      <c r="AE37" s="379">
        <f>Z37+AC37*IF(Dashboard!$D$6="=INDEX('Scenario names'!$C$3:$C$6,2)",$K$12,IF(Dashboard!$D$6="=INDEX('Scenario names'!$C$3:$C$6,3)",$K$13,$K$14))</f>
        <v>43635120.722935021</v>
      </c>
      <c r="AF37" s="378">
        <f>IF(OR(Dashboard!$D$6=INDEX('Scenario names'!$C$3:$C$6,3),Dashboard!$D$6=INDEX('Scenario names'!$C$3:$C$6,2)),'3.2 District Heat'!BD64,IF(Dashboard!$D$6=INDEX('Scenario names'!$B$3:$B$6,4),'3.2 District Heat'!CE64,IF(OR(Dashboard!$D$6="Baseline",Dashboard!$D$6=INDEX('Scenario names'!$C$3:$C$6,1)),'3.2 District Heat'!AC64, Error)))</f>
        <v>12236.603951748773</v>
      </c>
    </row>
    <row r="38" spans="1:32">
      <c r="A38" s="114" t="s">
        <v>644</v>
      </c>
      <c r="B38" s="148">
        <f>'3.2 District Heat'!B65*$B$11*1000</f>
        <v>4522974.9999999991</v>
      </c>
      <c r="C38" s="148">
        <f>'3.2 District Heat'!B65*$B$11*1000</f>
        <v>4522974.9999999991</v>
      </c>
      <c r="D38" s="148"/>
      <c r="E38" s="148">
        <f t="shared" si="0"/>
        <v>9045949.9999999981</v>
      </c>
      <c r="F38" s="148">
        <f>INDEX('3.2 District Heat'!$D65:$CF65,1,MATCH(INDEX('DH calcs - old'!$C$5:$C$9,MATCH(Dashboard!$D$6,'DH calcs - old'!$B$5:$B$9,0),1)&amp;F$19&amp;F$20,'3.2 District Heat'!$D$42:$CF$42,0))*1000*$B$12</f>
        <v>9690271.6166722421</v>
      </c>
      <c r="G38" s="379">
        <f>(INDEX('3.2 District Heat'!$D65:$CF65,1,MATCH(INDEX('DH calcs - old'!$C$5:$C$9,MATCH(Dashboard!$D$6,'DH calcs - old'!$B$5:$B$9,0),1)&amp;G$19&amp;G$20,'3.2 District Heat'!$D$42:$CF$42,0))*1000+(E38*$B$13))*$B$12</f>
        <v>34188141.239264332</v>
      </c>
      <c r="H38" s="148">
        <f>INDEX('3.2 District Heat'!$D65:$CF65,1,MATCH(INDEX('DH calcs - old'!$C$5:$C$9,MATCH(Dashboard!$D$6,'DH calcs - old'!$B$5:$B$9,0),1)&amp;H$19&amp;H$20,'3.2 District Heat'!$D$42:$CF$42,0))*1000*$B$12</f>
        <v>0</v>
      </c>
      <c r="I38" s="148">
        <f>INDEX('3.2 District Heat'!$D65:$CF65,1,MATCH(INDEX('DH calcs - old'!$C$5:$C$9,MATCH(Dashboard!$D$6,'DH calcs - old'!$B$5:$B$9,0),1)&amp;I$19&amp;I$20,'3.2 District Heat'!$D$42:$CF$42,0))*1000*$B$12</f>
        <v>0</v>
      </c>
      <c r="J38" s="546">
        <f>(INDEX('3.2 District Heat'!$D65:$CF65,1,MATCH(INDEX($C$5:$C$9,MATCH(Dashboard!$D$6,$B$5:$B$9,0),1)&amp;J$19&amp;J$20,'3.2 District Heat'!$D$42:$CF$42,0))+INDEX('3.2 District Heat'!$D65:$CF65,1,MATCH(INDEX($C$5:$C$9,MATCH(Dashboard!$D$6,$B$5:$B$9,0),1)&amp;J$18&amp;J$20,'3.2 District Heat'!$D$42:$CF$42,0)))*1000*$B$12</f>
        <v>0</v>
      </c>
      <c r="K38" s="148">
        <f>INDEX('3.2 District Heat'!$D65:$CF65,1,MATCH(INDEX('DH calcs - old'!$C$5:$C$9,MATCH(Dashboard!$D$6,'DH calcs - old'!$B$5:$B$9,0),1)&amp;K$19&amp;K$20,'3.2 District Heat'!$D$42:$CF$42,0))*1000*$B$12</f>
        <v>0</v>
      </c>
      <c r="L38" s="148">
        <f>INDEX('3.2 District Heat'!$D65:$CF65,1,MATCH(INDEX('DH calcs - old'!$C$5:$C$9,MATCH(Dashboard!$D$6,'DH calcs - old'!$B$5:$B$9,0),1)&amp;L$19&amp;L$20,'3.2 District Heat'!$D$42:$CF$42,0))*1000*$B$12</f>
        <v>0</v>
      </c>
      <c r="M38" s="148">
        <f>INDEX('3.2 District Heat'!$D65:$CF65,1,MATCH(INDEX('DH calcs - old'!$C$5:$C$9,MATCH(Dashboard!$D$6,'DH calcs - old'!$B$5:$B$9,0),1)&amp;M$19&amp;M$20,'3.2 District Heat'!$D$42:$CF$42,0))*1000*$B$12</f>
        <v>0</v>
      </c>
      <c r="N38" s="148">
        <f>INDEX('3.2 District Heat'!$D65:$CF65,1,MATCH(INDEX('DH calcs - old'!$C$5:$C$9,MATCH(Dashboard!$D$6,'DH calcs - old'!$B$5:$B$9,0),1)&amp;N$19&amp;N$20,'3.2 District Heat'!$D$42:$CF$42,0))*1000*$B$12</f>
        <v>0</v>
      </c>
      <c r="O38" s="379">
        <f>(INDEX('3.2 District Heat'!$D65:$CF65,1,MATCH(INDEX('DH calcs - old'!$C$5:$C$9,MATCH(Dashboard!$D$6,'DH calcs - old'!$B$5:$B$9,0),1)&amp;O$19&amp;O$20,'3.2 District Heat'!$D$42:$CF$42,0))*1000+E38*(1-$B$13))*$B$12</f>
        <v>5427569.9999999991</v>
      </c>
      <c r="P38" s="379">
        <f t="shared" si="1"/>
        <v>12326495.713984139</v>
      </c>
      <c r="Q38" s="148">
        <f t="shared" si="2"/>
        <v>17754065.713984139</v>
      </c>
      <c r="R38" s="148"/>
      <c r="S38" s="148">
        <f>INDEX('3.2 District Heat'!$D65:$CF65,1,MATCH(INDEX('DH calcs - old'!$C$5:$C$9,MATCH(Dashboard!$D$6,'DH calcs - old'!$B$5:$B$9,0),1)&amp;S$19&amp;S$20,'3.2 District Heat'!$D$42:$CF$42,0))*1000*$B$12</f>
        <v>26903930.849188007</v>
      </c>
      <c r="T38" s="148">
        <f>INDEX('3.2 District Heat'!$D65:$CF65,1,MATCH(INDEX('DH calcs - old'!$C$5:$C$9,MATCH(Dashboard!$D$6,'DH calcs - old'!$B$5:$B$9,0),1)&amp;T$19&amp;T$20,'3.2 District Heat'!$D$42:$CF$42,0))*1000*$B$12</f>
        <v>0</v>
      </c>
      <c r="U38" s="148">
        <f>INDEX('3.2 District Heat'!$D65:$CF65,1,MATCH(INDEX('DH calcs - old'!$C$5:$C$9,MATCH(Dashboard!$D$6,'DH calcs - old'!$B$5:$B$9,0),1)&amp;U$19&amp;U$20,'3.2 District Heat'!$D$42:$CF$42,0))*1000*$B$12</f>
        <v>0</v>
      </c>
      <c r="V38" s="148">
        <f>(INDEX('3.2 District Heat'!$D65:$CF65,1,MATCH(INDEX('DH calcs - old'!$C$5:$C$9,MATCH(Dashboard!$D$6,'DH calcs - old'!$B$5:$B$9,0),1)&amp;V$19&amp;V$20,'3.2 District Heat'!$D$42:$CF$42,0))*1000+E38*IF(Dashboard!$D$6="=INDEX('Scenario names'!$C$3:$C$6,2)",$H$12,IF(Dashboard!$D$6="=INDEX('Scenario names'!$C$3:$C$6,3)",$H$13,$H$14)))*$B$12</f>
        <v>0</v>
      </c>
      <c r="W38" s="546">
        <f>(INDEX('3.2 District Heat'!$D65:$CF65,1,MATCH(INDEX('DH calcs - old'!$C$5:$C$9,MATCH(Dashboard!$D$6,'DH calcs - old'!$B$5:$B$9,0),1)&amp;W$19&amp;W$20,'3.2 District Heat'!$D$42:$CF$42,0))+INDEX('3.2 District Heat'!$D65:$CF65,1,MATCH(INDEX('DH calcs - old'!$C$5:$C$9,MATCH(Dashboard!$D$6,'DH calcs - old'!$B$5:$B$9,0),1)&amp;W$18&amp;W$20,'3.2 District Heat'!$D$42:$CF$42,0)))*1000*$B$12</f>
        <v>1353950.6804796753</v>
      </c>
      <c r="X38" s="148">
        <f>INDEX('3.2 District Heat'!$D65:$CF65,1,MATCH(INDEX('DH calcs - old'!$C$5:$C$9,MATCH(Dashboard!$D$6,'DH calcs - old'!$B$5:$B$9,0),1)&amp;X$19&amp;X$20,'3.2 District Heat'!$D$42:$CF$42,0))*1000*$B$12</f>
        <v>0</v>
      </c>
      <c r="Y38" s="148">
        <f>INDEX('3.2 District Heat'!$D65:$CF65,1,MATCH(INDEX('DH calcs - old'!$C$5:$C$9,MATCH(Dashboard!$D$6,'DH calcs - old'!$B$5:$B$9,0),1)&amp;Y$19&amp;Y$20,'3.2 District Heat'!$D$42:$CF$42,0))*1000*$B$12</f>
        <v>0</v>
      </c>
      <c r="Z38" s="148">
        <f>(INDEX('3.2 District Heat'!$D65:$CF65,1,MATCH(INDEX('DH calcs - old'!$C$5:$C$9,MATCH(Dashboard!$D$6,'DH calcs - old'!$B$5:$B$9,0),1)&amp;Z$19&amp;Z$20,'3.2 District Heat'!$D$42:$CF$42,0))*1000+E38*IF(Dashboard!$D$6="=INDEX('Scenario names'!$C$3:$C$6,2)",$I$12,IF(Dashboard!$D$6="=INDEX('Scenario names'!$C$3:$C$6,3)",$I$13,$I$14)))*$B$12</f>
        <v>26034699.954896048</v>
      </c>
      <c r="AA38" s="148">
        <f>INDEX('3.2 District Heat'!$D65:$CF65,1,MATCH(INDEX('DH calcs - old'!$C$5:$C$9,MATCH(Dashboard!$D$6,'DH calcs - old'!$B$5:$B$9,0),1)&amp;AA$19&amp;AA$20,'3.2 District Heat'!$D$42:$CF$42,0))*1000*$B$12</f>
        <v>0</v>
      </c>
      <c r="AB38" s="148">
        <f>INDEX('3.2 District Heat'!$D65:$CF65,1,MATCH(INDEX('DH calcs - old'!$C$5:$C$9,MATCH(Dashboard!$D$6,'DH calcs - old'!$B$5:$B$9,0),1)&amp;AB$19&amp;AB$20,'3.2 District Heat'!$D$42:$CF$42,0))*1000*$B$12</f>
        <v>0</v>
      </c>
      <c r="AC38" s="379">
        <f t="shared" si="3"/>
        <v>13573145.371140935</v>
      </c>
      <c r="AD38" s="379">
        <f>AB38+AC38*IF(Dashboard!$D$6="=INDEX('Scenario names'!$C$3:$C$6,2)",$J$12,IF(Dashboard!$D$6="=INDEX('Scenario names'!$C$3:$C$6,3)",$J$13,$J$14))</f>
        <v>0</v>
      </c>
      <c r="AE38" s="379">
        <f>Z38+AC38*IF(Dashboard!$D$6="=INDEX('Scenario names'!$C$3:$C$6,2)",$K$12,IF(Dashboard!$D$6="=INDEX('Scenario names'!$C$3:$C$6,3)",$K$13,$K$14))</f>
        <v>39607845.326036982</v>
      </c>
      <c r="AF38" s="378">
        <f>IF(OR(Dashboard!$D$6=INDEX('Scenario names'!$C$3:$C$6,3),Dashboard!$D$6=INDEX('Scenario names'!$C$3:$C$6,2)),'3.2 District Heat'!BD65,IF(Dashboard!$D$6=INDEX('Scenario names'!$B$3:$B$6,4),'3.2 District Heat'!CE65,IF(OR(Dashboard!$D$6="Baseline",Dashboard!$D$6=INDEX('Scenario names'!$C$3:$C$6,1)),'3.2 District Heat'!AC65, Error)))</f>
        <v>16884.135405034533</v>
      </c>
    </row>
    <row r="39" spans="1:32">
      <c r="A39" s="114" t="s">
        <v>645</v>
      </c>
      <c r="B39" s="148">
        <f>'3.2 District Heat'!B66*$B$11*1000</f>
        <v>16641610</v>
      </c>
      <c r="C39" s="148">
        <f>'3.2 District Heat'!B66*$B$11*1000</f>
        <v>16641610</v>
      </c>
      <c r="D39" s="148"/>
      <c r="E39" s="148">
        <f t="shared" si="0"/>
        <v>33283220</v>
      </c>
      <c r="F39" s="148">
        <f>INDEX('3.2 District Heat'!$D66:$CF66,1,MATCH(INDEX('DH calcs - old'!$C$5:$C$9,MATCH(Dashboard!$D$6,'DH calcs - old'!$B$5:$B$9,0),1)&amp;F$19&amp;F$20,'3.2 District Heat'!$D$42:$CF$42,0))*1000*$B$12</f>
        <v>0</v>
      </c>
      <c r="G39" s="379">
        <f>(INDEX('3.2 District Heat'!$D66:$CF66,1,MATCH(INDEX('DH calcs - old'!$C$5:$C$9,MATCH(Dashboard!$D$6,'DH calcs - old'!$B$5:$B$9,0),1)&amp;G$19&amp;G$20,'3.2 District Heat'!$D$42:$CF$42,0))*1000+(E39*$B$13))*$B$12</f>
        <v>96615765.471573234</v>
      </c>
      <c r="H39" s="148">
        <f>INDEX('3.2 District Heat'!$D66:$CF66,1,MATCH(INDEX('DH calcs - old'!$C$5:$C$9,MATCH(Dashboard!$D$6,'DH calcs - old'!$B$5:$B$9,0),1)&amp;H$19&amp;H$20,'3.2 District Heat'!$D$42:$CF$42,0))*1000*$B$12</f>
        <v>2500998.6754742996</v>
      </c>
      <c r="I39" s="148">
        <f>INDEX('3.2 District Heat'!$D66:$CF66,1,MATCH(INDEX('DH calcs - old'!$C$5:$C$9,MATCH(Dashboard!$D$6,'DH calcs - old'!$B$5:$B$9,0),1)&amp;I$19&amp;I$20,'3.2 District Heat'!$D$42:$CF$42,0))*1000*$B$12</f>
        <v>0</v>
      </c>
      <c r="J39" s="546">
        <f>(INDEX('3.2 District Heat'!$D66:$CF66,1,MATCH(INDEX($C$5:$C$9,MATCH(Dashboard!$D$6,$B$5:$B$9,0),1)&amp;J$19&amp;J$20,'3.2 District Heat'!$D$42:$CF$42,0))+INDEX('3.2 District Heat'!$D66:$CF66,1,MATCH(INDEX($C$5:$C$9,MATCH(Dashboard!$D$6,$B$5:$B$9,0),1)&amp;J$18&amp;J$20,'3.2 District Heat'!$D$42:$CF$42,0)))*1000*$B$12</f>
        <v>0</v>
      </c>
      <c r="K39" s="148">
        <f>INDEX('3.2 District Heat'!$D66:$CF66,1,MATCH(INDEX('DH calcs - old'!$C$5:$C$9,MATCH(Dashboard!$D$6,'DH calcs - old'!$B$5:$B$9,0),1)&amp;K$19&amp;K$20,'3.2 District Heat'!$D$42:$CF$42,0))*1000*$B$12</f>
        <v>0</v>
      </c>
      <c r="L39" s="148">
        <f>INDEX('3.2 District Heat'!$D66:$CF66,1,MATCH(INDEX('DH calcs - old'!$C$5:$C$9,MATCH(Dashboard!$D$6,'DH calcs - old'!$B$5:$B$9,0),1)&amp;L$19&amp;L$20,'3.2 District Heat'!$D$42:$CF$42,0))*1000*$B$12</f>
        <v>0</v>
      </c>
      <c r="M39" s="148">
        <f>INDEX('3.2 District Heat'!$D66:$CF66,1,MATCH(INDEX('DH calcs - old'!$C$5:$C$9,MATCH(Dashboard!$D$6,'DH calcs - old'!$B$5:$B$9,0),1)&amp;M$19&amp;M$20,'3.2 District Heat'!$D$42:$CF$42,0))*1000*$B$12</f>
        <v>0</v>
      </c>
      <c r="N39" s="148">
        <f>INDEX('3.2 District Heat'!$D66:$CF66,1,MATCH(INDEX('DH calcs - old'!$C$5:$C$9,MATCH(Dashboard!$D$6,'DH calcs - old'!$B$5:$B$9,0),1)&amp;N$19&amp;N$20,'3.2 District Heat'!$D$42:$CF$42,0))*1000*$B$12</f>
        <v>0</v>
      </c>
      <c r="O39" s="379">
        <f>(INDEX('3.2 District Heat'!$D66:$CF66,1,MATCH(INDEX('DH calcs - old'!$C$5:$C$9,MATCH(Dashboard!$D$6,'DH calcs - old'!$B$5:$B$9,0),1)&amp;O$19&amp;O$20,'3.2 District Heat'!$D$42:$CF$42,0))*1000+E39*(1-$B$13))*$B$12</f>
        <v>51747788.629992858</v>
      </c>
      <c r="P39" s="379">
        <f t="shared" si="1"/>
        <v>37716138.194260091</v>
      </c>
      <c r="Q39" s="148">
        <f t="shared" si="2"/>
        <v>89463926.824252948</v>
      </c>
      <c r="R39" s="148"/>
      <c r="S39" s="148">
        <f>INDEX('3.2 District Heat'!$D66:$CF66,1,MATCH(INDEX('DH calcs - old'!$C$5:$C$9,MATCH(Dashboard!$D$6,'DH calcs - old'!$B$5:$B$9,0),1)&amp;S$19&amp;S$20,'3.2 District Heat'!$D$42:$CF$42,0))*1000*$B$12</f>
        <v>0</v>
      </c>
      <c r="T39" s="148">
        <f>INDEX('3.2 District Heat'!$D66:$CF66,1,MATCH(INDEX('DH calcs - old'!$C$5:$C$9,MATCH(Dashboard!$D$6,'DH calcs - old'!$B$5:$B$9,0),1)&amp;T$19&amp;T$20,'3.2 District Heat'!$D$42:$CF$42,0))*1000*$B$12</f>
        <v>0</v>
      </c>
      <c r="U39" s="148">
        <f>INDEX('3.2 District Heat'!$D66:$CF66,1,MATCH(INDEX('DH calcs - old'!$C$5:$C$9,MATCH(Dashboard!$D$6,'DH calcs - old'!$B$5:$B$9,0),1)&amp;U$19&amp;U$20,'3.2 District Heat'!$D$42:$CF$42,0))*1000*$B$12</f>
        <v>3667099.7481438527</v>
      </c>
      <c r="V39" s="148">
        <f>(INDEX('3.2 District Heat'!$D66:$CF66,1,MATCH(INDEX('DH calcs - old'!$C$5:$C$9,MATCH(Dashboard!$D$6,'DH calcs - old'!$B$5:$B$9,0),1)&amp;V$19&amp;V$20,'3.2 District Heat'!$D$42:$CF$42,0))*1000+E39*IF(Dashboard!$D$6="=INDEX('Scenario names'!$C$3:$C$6,2)",$H$12,IF(Dashboard!$D$6="=INDEX('Scenario names'!$C$3:$C$6,3)",$H$13,$H$14)))*$B$12</f>
        <v>0</v>
      </c>
      <c r="W39" s="546">
        <f>(INDEX('3.2 District Heat'!$D66:$CF66,1,MATCH(INDEX('DH calcs - old'!$C$5:$C$9,MATCH(Dashboard!$D$6,'DH calcs - old'!$B$5:$B$9,0),1)&amp;W$19&amp;W$20,'3.2 District Heat'!$D$42:$CF$42,0))+INDEX('3.2 District Heat'!$D66:$CF66,1,MATCH(INDEX('DH calcs - old'!$C$5:$C$9,MATCH(Dashboard!$D$6,'DH calcs - old'!$B$5:$B$9,0),1)&amp;W$18&amp;W$20,'3.2 District Heat'!$D$42:$CF$42,0)))*1000*$B$12</f>
        <v>7570432.4769178769</v>
      </c>
      <c r="X39" s="148">
        <f>INDEX('3.2 District Heat'!$D66:$CF66,1,MATCH(INDEX('DH calcs - old'!$C$5:$C$9,MATCH(Dashboard!$D$6,'DH calcs - old'!$B$5:$B$9,0),1)&amp;X$19&amp;X$20,'3.2 District Heat'!$D$42:$CF$42,0))*1000*$B$12</f>
        <v>14298215.700204208</v>
      </c>
      <c r="Y39" s="148">
        <f>INDEX('3.2 District Heat'!$D66:$CF66,1,MATCH(INDEX('DH calcs - old'!$C$5:$C$9,MATCH(Dashboard!$D$6,'DH calcs - old'!$B$5:$B$9,0),1)&amp;Y$19&amp;Y$20,'3.2 District Heat'!$D$42:$CF$42,0))*1000*$B$12</f>
        <v>0</v>
      </c>
      <c r="Z39" s="148">
        <f>(INDEX('3.2 District Heat'!$D66:$CF66,1,MATCH(INDEX('DH calcs - old'!$C$5:$C$9,MATCH(Dashboard!$D$6,'DH calcs - old'!$B$5:$B$9,0),1)&amp;Z$19&amp;Z$20,'3.2 District Heat'!$D$42:$CF$42,0))*1000+E39*IF(Dashboard!$D$6="=INDEX('Scenario names'!$C$3:$C$6,2)",$I$12,IF(Dashboard!$D$6="=INDEX('Scenario names'!$C$3:$C$6,3)",$I$13,$I$14)))*$B$12</f>
        <v>173724621.70907956</v>
      </c>
      <c r="AA39" s="148">
        <f>INDEX('3.2 District Heat'!$D66:$CF66,1,MATCH(INDEX('DH calcs - old'!$C$5:$C$9,MATCH(Dashboard!$D$6,'DH calcs - old'!$B$5:$B$9,0),1)&amp;AA$19&amp;AA$20,'3.2 District Heat'!$D$42:$CF$42,0))*1000*$B$12</f>
        <v>0</v>
      </c>
      <c r="AB39" s="148">
        <f>INDEX('3.2 District Heat'!$D66:$CF66,1,MATCH(INDEX('DH calcs - old'!$C$5:$C$9,MATCH(Dashboard!$D$6,'DH calcs - old'!$B$5:$B$9,0),1)&amp;AB$19&amp;AB$20,'3.2 District Heat'!$D$42:$CF$42,0))*1000*$B$12</f>
        <v>0</v>
      </c>
      <c r="AC39" s="379">
        <f t="shared" si="3"/>
        <v>49815092.408586353</v>
      </c>
      <c r="AD39" s="379">
        <f>AB39+AC39*IF(Dashboard!$D$6="=INDEX('Scenario names'!$C$3:$C$6,2)",$J$12,IF(Dashboard!$D$6="=INDEX('Scenario names'!$C$3:$C$6,3)",$J$13,$J$14))</f>
        <v>0</v>
      </c>
      <c r="AE39" s="379">
        <f>Z39+AC39*IF(Dashboard!$D$6="=INDEX('Scenario names'!$C$3:$C$6,2)",$K$12,IF(Dashboard!$D$6="=INDEX('Scenario names'!$C$3:$C$6,3)",$K$13,$K$14))</f>
        <v>223539714.11766592</v>
      </c>
      <c r="AF39" s="378">
        <f>IF(OR(Dashboard!$D$6=INDEX('Scenario names'!$C$3:$C$6,3),Dashboard!$D$6=INDEX('Scenario names'!$C$3:$C$6,2)),'3.2 District Heat'!BD66,IF(Dashboard!$D$6=INDEX('Scenario names'!$B$3:$B$6,4),'3.2 District Heat'!CE66,IF(OR(Dashboard!$D$6="Baseline",Dashboard!$D$6=INDEX('Scenario names'!$C$3:$C$6,1)),'3.2 District Heat'!AC66, Error)))</f>
        <v>129608.3708371461</v>
      </c>
    </row>
    <row r="40" spans="1:32">
      <c r="A40" s="114" t="s">
        <v>646</v>
      </c>
      <c r="B40" s="148">
        <f>'3.2 District Heat'!B67*$B$11*1000</f>
        <v>4085295</v>
      </c>
      <c r="C40" s="148">
        <f>'3.2 District Heat'!B67*$B$11*1000</f>
        <v>4085295</v>
      </c>
      <c r="D40" s="148"/>
      <c r="E40" s="148">
        <f t="shared" si="0"/>
        <v>8170590</v>
      </c>
      <c r="F40" s="148">
        <f>INDEX('3.2 District Heat'!$D67:$CF67,1,MATCH(INDEX('DH calcs - old'!$C$5:$C$9,MATCH(Dashboard!$D$6,'DH calcs - old'!$B$5:$B$9,0),1)&amp;F$19&amp;F$20,'3.2 District Heat'!$D$42:$CF$42,0))*1000*$B$12</f>
        <v>0</v>
      </c>
      <c r="G40" s="379">
        <f>(INDEX('3.2 District Heat'!$D67:$CF67,1,MATCH(INDEX('DH calcs - old'!$C$5:$C$9,MATCH(Dashboard!$D$6,'DH calcs - old'!$B$5:$B$9,0),1)&amp;G$19&amp;G$20,'3.2 District Heat'!$D$42:$CF$42,0))*1000+(E40*$B$13))*$B$12</f>
        <v>1634118</v>
      </c>
      <c r="H40" s="148">
        <f>INDEX('3.2 District Heat'!$D67:$CF67,1,MATCH(INDEX('DH calcs - old'!$C$5:$C$9,MATCH(Dashboard!$D$6,'DH calcs - old'!$B$5:$B$9,0),1)&amp;H$19&amp;H$20,'3.2 District Heat'!$D$42:$CF$42,0))*1000*$B$12</f>
        <v>14435064.642111976</v>
      </c>
      <c r="I40" s="148">
        <f>INDEX('3.2 District Heat'!$D67:$CF67,1,MATCH(INDEX('DH calcs - old'!$C$5:$C$9,MATCH(Dashboard!$D$6,'DH calcs - old'!$B$5:$B$9,0),1)&amp;I$19&amp;I$20,'3.2 District Heat'!$D$42:$CF$42,0))*1000*$B$12</f>
        <v>0</v>
      </c>
      <c r="J40" s="546">
        <f>(INDEX('3.2 District Heat'!$D67:$CF67,1,MATCH(INDEX($C$5:$C$9,MATCH(Dashboard!$D$6,$B$5:$B$9,0),1)&amp;J$19&amp;J$20,'3.2 District Heat'!$D$42:$CF$42,0))+INDEX('3.2 District Heat'!$D67:$CF67,1,MATCH(INDEX($C$5:$C$9,MATCH(Dashboard!$D$6,$B$5:$B$9,0),1)&amp;J$18&amp;J$20,'3.2 District Heat'!$D$42:$CF$42,0)))*1000*$B$12</f>
        <v>0</v>
      </c>
      <c r="K40" s="148">
        <f>INDEX('3.2 District Heat'!$D67:$CF67,1,MATCH(INDEX('DH calcs - old'!$C$5:$C$9,MATCH(Dashboard!$D$6,'DH calcs - old'!$B$5:$B$9,0),1)&amp;K$19&amp;K$20,'3.2 District Heat'!$D$42:$CF$42,0))*1000*$B$12</f>
        <v>0</v>
      </c>
      <c r="L40" s="148">
        <f>INDEX('3.2 District Heat'!$D67:$CF67,1,MATCH(INDEX('DH calcs - old'!$C$5:$C$9,MATCH(Dashboard!$D$6,'DH calcs - old'!$B$5:$B$9,0),1)&amp;L$19&amp;L$20,'3.2 District Heat'!$D$42:$CF$42,0))*1000*$B$12</f>
        <v>0</v>
      </c>
      <c r="M40" s="148">
        <f>INDEX('3.2 District Heat'!$D67:$CF67,1,MATCH(INDEX('DH calcs - old'!$C$5:$C$9,MATCH(Dashboard!$D$6,'DH calcs - old'!$B$5:$B$9,0),1)&amp;M$19&amp;M$20,'3.2 District Heat'!$D$42:$CF$42,0))*1000*$B$12</f>
        <v>0</v>
      </c>
      <c r="N40" s="148">
        <f>INDEX('3.2 District Heat'!$D67:$CF67,1,MATCH(INDEX('DH calcs - old'!$C$5:$C$9,MATCH(Dashboard!$D$6,'DH calcs - old'!$B$5:$B$9,0),1)&amp;N$19&amp;N$20,'3.2 District Heat'!$D$42:$CF$42,0))*1000*$B$12</f>
        <v>0</v>
      </c>
      <c r="O40" s="379">
        <f>(INDEX('3.2 District Heat'!$D67:$CF67,1,MATCH(INDEX('DH calcs - old'!$C$5:$C$9,MATCH(Dashboard!$D$6,'DH calcs - old'!$B$5:$B$9,0),1)&amp;O$19&amp;O$20,'3.2 District Heat'!$D$42:$CF$42,0))*1000+E40*(1-$B$13))*$B$12</f>
        <v>81198675.301857814</v>
      </c>
      <c r="P40" s="379">
        <f t="shared" si="1"/>
        <v>24316964.485992447</v>
      </c>
      <c r="Q40" s="148">
        <f t="shared" si="2"/>
        <v>105515639.78785026</v>
      </c>
      <c r="R40" s="148"/>
      <c r="S40" s="148">
        <f>INDEX('3.2 District Heat'!$D67:$CF67,1,MATCH(INDEX('DH calcs - old'!$C$5:$C$9,MATCH(Dashboard!$D$6,'DH calcs - old'!$B$5:$B$9,0),1)&amp;S$19&amp;S$20,'3.2 District Heat'!$D$42:$CF$42,0))*1000*$B$12</f>
        <v>0</v>
      </c>
      <c r="T40" s="148">
        <f>INDEX('3.2 District Heat'!$D67:$CF67,1,MATCH(INDEX('DH calcs - old'!$C$5:$C$9,MATCH(Dashboard!$D$6,'DH calcs - old'!$B$5:$B$9,0),1)&amp;T$19&amp;T$20,'3.2 District Heat'!$D$42:$CF$42,0))*1000*$B$12</f>
        <v>0</v>
      </c>
      <c r="U40" s="148">
        <f>INDEX('3.2 District Heat'!$D67:$CF67,1,MATCH(INDEX('DH calcs - old'!$C$5:$C$9,MATCH(Dashboard!$D$6,'DH calcs - old'!$B$5:$B$9,0),1)&amp;U$19&amp;U$20,'3.2 District Heat'!$D$42:$CF$42,0))*1000*$B$12</f>
        <v>25496514.025918759</v>
      </c>
      <c r="V40" s="148">
        <f>(INDEX('3.2 District Heat'!$D67:$CF67,1,MATCH(INDEX('DH calcs - old'!$C$5:$C$9,MATCH(Dashboard!$D$6,'DH calcs - old'!$B$5:$B$9,0),1)&amp;V$19&amp;V$20,'3.2 District Heat'!$D$42:$CF$42,0))*1000+E40*IF(Dashboard!$D$6="=INDEX('Scenario names'!$C$3:$C$6,2)",$H$12,IF(Dashboard!$D$6="=INDEX('Scenario names'!$C$3:$C$6,3)",$H$13,$H$14)))*$B$12</f>
        <v>0</v>
      </c>
      <c r="W40" s="546">
        <f>(INDEX('3.2 District Heat'!$D67:$CF67,1,MATCH(INDEX('DH calcs - old'!$C$5:$C$9,MATCH(Dashboard!$D$6,'DH calcs - old'!$B$5:$B$9,0),1)&amp;W$19&amp;W$20,'3.2 District Heat'!$D$42:$CF$42,0))+INDEX('3.2 District Heat'!$D67:$CF67,1,MATCH(INDEX('DH calcs - old'!$C$5:$C$9,MATCH(Dashboard!$D$6,'DH calcs - old'!$B$5:$B$9,0),1)&amp;W$18&amp;W$20,'3.2 District Heat'!$D$42:$CF$42,0)))*1000*$B$12</f>
        <v>32805604.138316847</v>
      </c>
      <c r="X40" s="148">
        <f>INDEX('3.2 District Heat'!$D67:$CF67,1,MATCH(INDEX('DH calcs - old'!$C$5:$C$9,MATCH(Dashboard!$D$6,'DH calcs - old'!$B$5:$B$9,0),1)&amp;X$19&amp;X$20,'3.2 District Heat'!$D$42:$CF$42,0))*1000*$B$12</f>
        <v>130894268.40211564</v>
      </c>
      <c r="Y40" s="148">
        <f>INDEX('3.2 District Heat'!$D67:$CF67,1,MATCH(INDEX('DH calcs - old'!$C$5:$C$9,MATCH(Dashboard!$D$6,'DH calcs - old'!$B$5:$B$9,0),1)&amp;Y$19&amp;Y$20,'3.2 District Heat'!$D$42:$CF$42,0))*1000*$B$12</f>
        <v>0</v>
      </c>
      <c r="Z40" s="148">
        <f>(INDEX('3.2 District Heat'!$D67:$CF67,1,MATCH(INDEX('DH calcs - old'!$C$5:$C$9,MATCH(Dashboard!$D$6,'DH calcs - old'!$B$5:$B$9,0),1)&amp;Z$19&amp;Z$20,'3.2 District Heat'!$D$42:$CF$42,0))*1000+E40*IF(Dashboard!$D$6="=INDEX('Scenario names'!$C$3:$C$6,2)",$I$12,IF(Dashboard!$D$6="=INDEX('Scenario names'!$C$3:$C$6,3)",$I$13,$I$14)))*$B$12</f>
        <v>186392022.0181579</v>
      </c>
      <c r="AA40" s="148">
        <f>INDEX('3.2 District Heat'!$D67:$CF67,1,MATCH(INDEX('DH calcs - old'!$C$5:$C$9,MATCH(Dashboard!$D$6,'DH calcs - old'!$B$5:$B$9,0),1)&amp;AA$19&amp;AA$20,'3.2 District Heat'!$D$42:$CF$42,0))*1000*$B$12</f>
        <v>0</v>
      </c>
      <c r="AB40" s="148">
        <f>INDEX('3.2 District Heat'!$D67:$CF67,1,MATCH(INDEX('DH calcs - old'!$C$5:$C$9,MATCH(Dashboard!$D$6,'DH calcs - old'!$B$5:$B$9,0),1)&amp;AB$19&amp;AB$20,'3.2 District Heat'!$D$42:$CF$42,0))*1000*$B$12</f>
        <v>0</v>
      </c>
      <c r="AC40" s="379">
        <f t="shared" si="3"/>
        <v>93897102.146127284</v>
      </c>
      <c r="AD40" s="379">
        <f>AB40+AC40*IF(Dashboard!$D$6="=INDEX('Scenario names'!$C$3:$C$6,2)",$J$12,IF(Dashboard!$D$6="=INDEX('Scenario names'!$C$3:$C$6,3)",$J$13,$J$14))</f>
        <v>0</v>
      </c>
      <c r="AE40" s="379">
        <f>Z40+AC40*IF(Dashboard!$D$6="=INDEX('Scenario names'!$C$3:$C$6,2)",$K$12,IF(Dashboard!$D$6="=INDEX('Scenario names'!$C$3:$C$6,3)",$K$13,$K$14))</f>
        <v>280289124.16428518</v>
      </c>
      <c r="AF40" s="378">
        <f>IF(OR(Dashboard!$D$6=INDEX('Scenario names'!$C$3:$C$6,3),Dashboard!$D$6=INDEX('Scenario names'!$C$3:$C$6,2)),'3.2 District Heat'!BD67,IF(Dashboard!$D$6=INDEX('Scenario names'!$B$3:$B$6,4),'3.2 District Heat'!CE67,IF(OR(Dashboard!$D$6="Baseline",Dashboard!$D$6=INDEX('Scenario names'!$C$3:$C$6,1)),'3.2 District Heat'!AC67, Error)))</f>
        <v>54010.76360656364</v>
      </c>
    </row>
    <row r="41" spans="1:32">
      <c r="A41" s="114" t="s">
        <v>648</v>
      </c>
      <c r="B41" s="148">
        <f>'3.2 District Heat'!B68*$B$11*1000</f>
        <v>744327.5</v>
      </c>
      <c r="C41" s="148">
        <f>'3.2 District Heat'!B68*$B$11*1000</f>
        <v>744327.5</v>
      </c>
      <c r="D41" s="148"/>
      <c r="E41" s="148">
        <f t="shared" si="0"/>
        <v>1488655</v>
      </c>
      <c r="F41" s="148">
        <f>INDEX('3.2 District Heat'!$D68:$CF68,1,MATCH(INDEX('DH calcs - old'!$C$5:$C$9,MATCH(Dashboard!$D$6,'DH calcs - old'!$B$5:$B$9,0),1)&amp;F$19&amp;F$20,'3.2 District Heat'!$D$42:$CF$42,0))*1000*$B$12</f>
        <v>737563.16429918283</v>
      </c>
      <c r="G41" s="379">
        <f>(INDEX('3.2 District Heat'!$D68:$CF68,1,MATCH(INDEX('DH calcs - old'!$C$5:$C$9,MATCH(Dashboard!$D$6,'DH calcs - old'!$B$5:$B$9,0),1)&amp;G$19&amp;G$20,'3.2 District Heat'!$D$42:$CF$42,0))*1000+(E41*$B$13))*$B$12</f>
        <v>30794234.227468736</v>
      </c>
      <c r="H41" s="148">
        <f>INDEX('3.2 District Heat'!$D68:$CF68,1,MATCH(INDEX('DH calcs - old'!$C$5:$C$9,MATCH(Dashboard!$D$6,'DH calcs - old'!$B$5:$B$9,0),1)&amp;H$19&amp;H$20,'3.2 District Heat'!$D$42:$CF$42,0))*1000*$B$12</f>
        <v>0</v>
      </c>
      <c r="I41" s="148">
        <f>INDEX('3.2 District Heat'!$D68:$CF68,1,MATCH(INDEX('DH calcs - old'!$C$5:$C$9,MATCH(Dashboard!$D$6,'DH calcs - old'!$B$5:$B$9,0),1)&amp;I$19&amp;I$20,'3.2 District Heat'!$D$42:$CF$42,0))*1000*$B$12</f>
        <v>0</v>
      </c>
      <c r="J41" s="546">
        <f>(INDEX('3.2 District Heat'!$D68:$CF68,1,MATCH(INDEX($C$5:$C$9,MATCH(Dashboard!$D$6,$B$5:$B$9,0),1)&amp;J$19&amp;J$20,'3.2 District Heat'!$D$42:$CF$42,0))+INDEX('3.2 District Heat'!$D68:$CF68,1,MATCH(INDEX($C$5:$C$9,MATCH(Dashboard!$D$6,$B$5:$B$9,0),1)&amp;J$18&amp;J$20,'3.2 District Heat'!$D$42:$CF$42,0)))*1000*$B$12</f>
        <v>0</v>
      </c>
      <c r="K41" s="148">
        <f>INDEX('3.2 District Heat'!$D68:$CF68,1,MATCH(INDEX('DH calcs - old'!$C$5:$C$9,MATCH(Dashboard!$D$6,'DH calcs - old'!$B$5:$B$9,0),1)&amp;K$19&amp;K$20,'3.2 District Heat'!$D$42:$CF$42,0))*1000*$B$12</f>
        <v>0</v>
      </c>
      <c r="L41" s="148">
        <f>INDEX('3.2 District Heat'!$D68:$CF68,1,MATCH(INDEX('DH calcs - old'!$C$5:$C$9,MATCH(Dashboard!$D$6,'DH calcs - old'!$B$5:$B$9,0),1)&amp;L$19&amp;L$20,'3.2 District Heat'!$D$42:$CF$42,0))*1000*$B$12</f>
        <v>0</v>
      </c>
      <c r="M41" s="148">
        <f>INDEX('3.2 District Heat'!$D68:$CF68,1,MATCH(INDEX('DH calcs - old'!$C$5:$C$9,MATCH(Dashboard!$D$6,'DH calcs - old'!$B$5:$B$9,0),1)&amp;M$19&amp;M$20,'3.2 District Heat'!$D$42:$CF$42,0))*1000*$B$12</f>
        <v>0</v>
      </c>
      <c r="N41" s="148">
        <f>INDEX('3.2 District Heat'!$D68:$CF68,1,MATCH(INDEX('DH calcs - old'!$C$5:$C$9,MATCH(Dashboard!$D$6,'DH calcs - old'!$B$5:$B$9,0),1)&amp;N$19&amp;N$20,'3.2 District Heat'!$D$42:$CF$42,0))*1000*$B$12</f>
        <v>0</v>
      </c>
      <c r="O41" s="379">
        <f>(INDEX('3.2 District Heat'!$D68:$CF68,1,MATCH(INDEX('DH calcs - old'!$C$5:$C$9,MATCH(Dashboard!$D$6,'DH calcs - old'!$B$5:$B$9,0),1)&amp;O$19&amp;O$20,'3.2 District Heat'!$D$42:$CF$42,0))*1000+E41*(1-$B$13))*$B$12</f>
        <v>893193</v>
      </c>
      <c r="P41" s="379">
        <f t="shared" si="1"/>
        <v>8106247.5979419798</v>
      </c>
      <c r="Q41" s="148">
        <f t="shared" si="2"/>
        <v>8999440.5979419798</v>
      </c>
      <c r="R41" s="148"/>
      <c r="S41" s="148">
        <f>INDEX('3.2 District Heat'!$D68:$CF68,1,MATCH(INDEX('DH calcs - old'!$C$5:$C$9,MATCH(Dashboard!$D$6,'DH calcs - old'!$B$5:$B$9,0),1)&amp;S$19&amp;S$20,'3.2 District Heat'!$D$42:$CF$42,0))*1000*$B$12</f>
        <v>5480378.4804946091</v>
      </c>
      <c r="T41" s="148">
        <f>INDEX('3.2 District Heat'!$D68:$CF68,1,MATCH(INDEX('DH calcs - old'!$C$5:$C$9,MATCH(Dashboard!$D$6,'DH calcs - old'!$B$5:$B$9,0),1)&amp;T$19&amp;T$20,'3.2 District Heat'!$D$42:$CF$42,0))*1000*$B$12</f>
        <v>0</v>
      </c>
      <c r="U41" s="148">
        <f>INDEX('3.2 District Heat'!$D68:$CF68,1,MATCH(INDEX('DH calcs - old'!$C$5:$C$9,MATCH(Dashboard!$D$6,'DH calcs - old'!$B$5:$B$9,0),1)&amp;U$19&amp;U$20,'3.2 District Heat'!$D$42:$CF$42,0))*1000*$B$12</f>
        <v>0</v>
      </c>
      <c r="V41" s="148">
        <f>(INDEX('3.2 District Heat'!$D68:$CF68,1,MATCH(INDEX('DH calcs - old'!$C$5:$C$9,MATCH(Dashboard!$D$6,'DH calcs - old'!$B$5:$B$9,0),1)&amp;V$19&amp;V$20,'3.2 District Heat'!$D$42:$CF$42,0))*1000+E41*IF(Dashboard!$D$6="=INDEX('Scenario names'!$C$3:$C$6,2)",$H$12,IF(Dashboard!$D$6="=INDEX('Scenario names'!$C$3:$C$6,3)",$H$13,$H$14)))*$B$12</f>
        <v>0</v>
      </c>
      <c r="W41" s="546">
        <f>(INDEX('3.2 District Heat'!$D68:$CF68,1,MATCH(INDEX('DH calcs - old'!$C$5:$C$9,MATCH(Dashboard!$D$6,'DH calcs - old'!$B$5:$B$9,0),1)&amp;W$19&amp;W$20,'3.2 District Heat'!$D$42:$CF$42,0))+INDEX('3.2 District Heat'!$D68:$CF68,1,MATCH(INDEX('DH calcs - old'!$C$5:$C$9,MATCH(Dashboard!$D$6,'DH calcs - old'!$B$5:$B$9,0),1)&amp;W$18&amp;W$20,'3.2 District Heat'!$D$42:$CF$42,0)))*1000*$B$12</f>
        <v>343148.17479407205</v>
      </c>
      <c r="X41" s="148">
        <f>INDEX('3.2 District Heat'!$D68:$CF68,1,MATCH(INDEX('DH calcs - old'!$C$5:$C$9,MATCH(Dashboard!$D$6,'DH calcs - old'!$B$5:$B$9,0),1)&amp;X$19&amp;X$20,'3.2 District Heat'!$D$42:$CF$42,0))*1000*$B$12</f>
        <v>4675274.8711673059</v>
      </c>
      <c r="Y41" s="148">
        <f>INDEX('3.2 District Heat'!$D68:$CF68,1,MATCH(INDEX('DH calcs - old'!$C$5:$C$9,MATCH(Dashboard!$D$6,'DH calcs - old'!$B$5:$B$9,0),1)&amp;Y$19&amp;Y$20,'3.2 District Heat'!$D$42:$CF$42,0))*1000*$B$12</f>
        <v>0</v>
      </c>
      <c r="Z41" s="148">
        <f>(INDEX('3.2 District Heat'!$D68:$CF68,1,MATCH(INDEX('DH calcs - old'!$C$5:$C$9,MATCH(Dashboard!$D$6,'DH calcs - old'!$B$5:$B$9,0),1)&amp;Z$19&amp;Z$20,'3.2 District Heat'!$D$42:$CF$42,0))*1000+E41*IF(Dashboard!$D$6="=INDEX('Scenario names'!$C$3:$C$6,2)",$I$12,IF(Dashboard!$D$6="=INDEX('Scenario names'!$C$3:$C$6,3)",$I$13,$I$14)))*$B$12</f>
        <v>14429137.987985689</v>
      </c>
      <c r="AA41" s="148">
        <f>INDEX('3.2 District Heat'!$D68:$CF68,1,MATCH(INDEX('DH calcs - old'!$C$5:$C$9,MATCH(Dashboard!$D$6,'DH calcs - old'!$B$5:$B$9,0),1)&amp;AA$19&amp;AA$20,'3.2 District Heat'!$D$42:$CF$42,0))*1000*$B$12</f>
        <v>0</v>
      </c>
      <c r="AB41" s="148">
        <f>INDEX('3.2 District Heat'!$D68:$CF68,1,MATCH(INDEX('DH calcs - old'!$C$5:$C$9,MATCH(Dashboard!$D$6,'DH calcs - old'!$B$5:$B$9,0),1)&amp;AB$19&amp;AB$20,'3.2 District Heat'!$D$42:$CF$42,0))*1000*$B$12</f>
        <v>0</v>
      </c>
      <c r="AC41" s="379">
        <f t="shared" si="3"/>
        <v>6231984.8786104172</v>
      </c>
      <c r="AD41" s="379">
        <f>AB41+AC41*IF(Dashboard!$D$6="=INDEX('Scenario names'!$C$3:$C$6,2)",$J$12,IF(Dashboard!$D$6="=INDEX('Scenario names'!$C$3:$C$6,3)",$J$13,$J$14))</f>
        <v>0</v>
      </c>
      <c r="AE41" s="379">
        <f>Z41+AC41*IF(Dashboard!$D$6="=INDEX('Scenario names'!$C$3:$C$6,2)",$K$12,IF(Dashboard!$D$6="=INDEX('Scenario names'!$C$3:$C$6,3)",$K$13,$K$14))</f>
        <v>20661122.866596106</v>
      </c>
      <c r="AF41" s="378">
        <f>IF(OR(Dashboard!$D$6=INDEX('Scenario names'!$C$3:$C$6,3),Dashboard!$D$6=INDEX('Scenario names'!$C$3:$C$6,2)),'3.2 District Heat'!BD68,IF(Dashboard!$D$6=INDEX('Scenario names'!$B$3:$B$6,4),'3.2 District Heat'!CE68,IF(OR(Dashboard!$D$6="Baseline",Dashboard!$D$6=INDEX('Scenario names'!$C$3:$C$6,1)),'3.2 District Heat'!AC68, Error)))</f>
        <v>9378.3082881690516</v>
      </c>
    </row>
    <row r="42" spans="1:32">
      <c r="A42" s="114" t="s">
        <v>649</v>
      </c>
      <c r="B42" s="148">
        <f>'3.2 District Heat'!B69*$B$11*1000</f>
        <v>13272100</v>
      </c>
      <c r="C42" s="148">
        <f>'3.2 District Heat'!B69*$B$11*1000</f>
        <v>13272100</v>
      </c>
      <c r="D42" s="148"/>
      <c r="E42" s="148">
        <f t="shared" si="0"/>
        <v>26544200</v>
      </c>
      <c r="F42" s="148">
        <f>INDEX('3.2 District Heat'!$D69:$CF69,1,MATCH(INDEX('DH calcs - old'!$C$5:$C$9,MATCH(Dashboard!$D$6,'DH calcs - old'!$B$5:$B$9,0),1)&amp;F$19&amp;F$20,'3.2 District Heat'!$D$42:$CF$42,0))*1000*$B$12</f>
        <v>0</v>
      </c>
      <c r="G42" s="379">
        <f>(INDEX('3.2 District Heat'!$D69:$CF69,1,MATCH(INDEX('DH calcs - old'!$C$5:$C$9,MATCH(Dashboard!$D$6,'DH calcs - old'!$B$5:$B$9,0),1)&amp;G$19&amp;G$20,'3.2 District Heat'!$D$42:$CF$42,0))*1000+(E42*$B$13))*$B$12</f>
        <v>83512622.791914597</v>
      </c>
      <c r="H42" s="148">
        <f>INDEX('3.2 District Heat'!$D69:$CF69,1,MATCH(INDEX('DH calcs - old'!$C$5:$C$9,MATCH(Dashboard!$D$6,'DH calcs - old'!$B$5:$B$9,0),1)&amp;H$19&amp;H$20,'3.2 District Heat'!$D$42:$CF$42,0))*1000*$B$12</f>
        <v>0</v>
      </c>
      <c r="I42" s="148">
        <f>INDEX('3.2 District Heat'!$D69:$CF69,1,MATCH(INDEX('DH calcs - old'!$C$5:$C$9,MATCH(Dashboard!$D$6,'DH calcs - old'!$B$5:$B$9,0),1)&amp;I$19&amp;I$20,'3.2 District Heat'!$D$42:$CF$42,0))*1000*$B$12</f>
        <v>0</v>
      </c>
      <c r="J42" s="546">
        <f>(INDEX('3.2 District Heat'!$D69:$CF69,1,MATCH(INDEX($C$5:$C$9,MATCH(Dashboard!$D$6,$B$5:$B$9,0),1)&amp;J$19&amp;J$20,'3.2 District Heat'!$D$42:$CF$42,0))+INDEX('3.2 District Heat'!$D69:$CF69,1,MATCH(INDEX($C$5:$C$9,MATCH(Dashboard!$D$6,$B$5:$B$9,0),1)&amp;J$18&amp;J$20,'3.2 District Heat'!$D$42:$CF$42,0)))*1000*$B$12</f>
        <v>0</v>
      </c>
      <c r="K42" s="148">
        <f>INDEX('3.2 District Heat'!$D69:$CF69,1,MATCH(INDEX('DH calcs - old'!$C$5:$C$9,MATCH(Dashboard!$D$6,'DH calcs - old'!$B$5:$B$9,0),1)&amp;K$19&amp;K$20,'3.2 District Heat'!$D$42:$CF$42,0))*1000*$B$12</f>
        <v>0</v>
      </c>
      <c r="L42" s="148">
        <f>INDEX('3.2 District Heat'!$D69:$CF69,1,MATCH(INDEX('DH calcs - old'!$C$5:$C$9,MATCH(Dashboard!$D$6,'DH calcs - old'!$B$5:$B$9,0),1)&amp;L$19&amp;L$20,'3.2 District Heat'!$D$42:$CF$42,0))*1000*$B$12</f>
        <v>0</v>
      </c>
      <c r="M42" s="148">
        <f>INDEX('3.2 District Heat'!$D69:$CF69,1,MATCH(INDEX('DH calcs - old'!$C$5:$C$9,MATCH(Dashboard!$D$6,'DH calcs - old'!$B$5:$B$9,0),1)&amp;M$19&amp;M$20,'3.2 District Heat'!$D$42:$CF$42,0))*1000*$B$12</f>
        <v>0</v>
      </c>
      <c r="N42" s="148">
        <f>INDEX('3.2 District Heat'!$D69:$CF69,1,MATCH(INDEX('DH calcs - old'!$C$5:$C$9,MATCH(Dashboard!$D$6,'DH calcs - old'!$B$5:$B$9,0),1)&amp;N$19&amp;N$20,'3.2 District Heat'!$D$42:$CF$42,0))*1000*$B$12</f>
        <v>0</v>
      </c>
      <c r="O42" s="379">
        <f>(INDEX('3.2 District Heat'!$D69:$CF69,1,MATCH(INDEX('DH calcs - old'!$C$5:$C$9,MATCH(Dashboard!$D$6,'DH calcs - old'!$B$5:$B$9,0),1)&amp;O$19&amp;O$20,'3.2 District Heat'!$D$42:$CF$42,0))*1000+E42*(1-$B$13))*$B$12</f>
        <v>44133098.005401649</v>
      </c>
      <c r="P42" s="379">
        <f t="shared" si="1"/>
        <v>31911430.199329048</v>
      </c>
      <c r="Q42" s="148">
        <f t="shared" si="2"/>
        <v>76044528.20473069</v>
      </c>
      <c r="R42" s="148"/>
      <c r="S42" s="148">
        <f>INDEX('3.2 District Heat'!$D69:$CF69,1,MATCH(INDEX('DH calcs - old'!$C$5:$C$9,MATCH(Dashboard!$D$6,'DH calcs - old'!$B$5:$B$9,0),1)&amp;S$19&amp;S$20,'3.2 District Heat'!$D$42:$CF$42,0))*1000*$B$12</f>
        <v>0</v>
      </c>
      <c r="T42" s="148">
        <f>INDEX('3.2 District Heat'!$D69:$CF69,1,MATCH(INDEX('DH calcs - old'!$C$5:$C$9,MATCH(Dashboard!$D$6,'DH calcs - old'!$B$5:$B$9,0),1)&amp;T$19&amp;T$20,'3.2 District Heat'!$D$42:$CF$42,0))*1000*$B$12</f>
        <v>0</v>
      </c>
      <c r="U42" s="148">
        <f>INDEX('3.2 District Heat'!$D69:$CF69,1,MATCH(INDEX('DH calcs - old'!$C$5:$C$9,MATCH(Dashboard!$D$6,'DH calcs - old'!$B$5:$B$9,0),1)&amp;U$19&amp;U$20,'3.2 District Heat'!$D$42:$CF$42,0))*1000*$B$12</f>
        <v>0</v>
      </c>
      <c r="V42" s="148">
        <f>(INDEX('3.2 District Heat'!$D69:$CF69,1,MATCH(INDEX('DH calcs - old'!$C$5:$C$9,MATCH(Dashboard!$D$6,'DH calcs - old'!$B$5:$B$9,0),1)&amp;V$19&amp;V$20,'3.2 District Heat'!$D$42:$CF$42,0))*1000+E42*IF(Dashboard!$D$6="=INDEX('Scenario names'!$C$3:$C$6,2)",$H$12,IF(Dashboard!$D$6="=INDEX('Scenario names'!$C$3:$C$6,3)",$H$13,$H$14)))*$B$12</f>
        <v>0</v>
      </c>
      <c r="W42" s="546">
        <f>(INDEX('3.2 District Heat'!$D69:$CF69,1,MATCH(INDEX('DH calcs - old'!$C$5:$C$9,MATCH(Dashboard!$D$6,'DH calcs - old'!$B$5:$B$9,0),1)&amp;W$19&amp;W$20,'3.2 District Heat'!$D$42:$CF$42,0))+INDEX('3.2 District Heat'!$D69:$CF69,1,MATCH(INDEX('DH calcs - old'!$C$5:$C$9,MATCH(Dashboard!$D$6,'DH calcs - old'!$B$5:$B$9,0),1)&amp;W$18&amp;W$20,'3.2 District Heat'!$D$42:$CF$42,0)))*1000*$B$12</f>
        <v>1601358.1490390035</v>
      </c>
      <c r="X42" s="148">
        <f>INDEX('3.2 District Heat'!$D69:$CF69,1,MATCH(INDEX('DH calcs - old'!$C$5:$C$9,MATCH(Dashboard!$D$6,'DH calcs - old'!$B$5:$B$9,0),1)&amp;X$19&amp;X$20,'3.2 District Heat'!$D$42:$CF$42,0))*1000*$B$12</f>
        <v>6621761.2519272165</v>
      </c>
      <c r="Y42" s="148">
        <f>INDEX('3.2 District Heat'!$D69:$CF69,1,MATCH(INDEX('DH calcs - old'!$C$5:$C$9,MATCH(Dashboard!$D$6,'DH calcs - old'!$B$5:$B$9,0),1)&amp;Y$19&amp;Y$20,'3.2 District Heat'!$D$42:$CF$42,0))*1000*$B$12</f>
        <v>0</v>
      </c>
      <c r="Z42" s="148">
        <f>(INDEX('3.2 District Heat'!$D69:$CF69,1,MATCH(INDEX('DH calcs - old'!$C$5:$C$9,MATCH(Dashboard!$D$6,'DH calcs - old'!$B$5:$B$9,0),1)&amp;Z$19&amp;Z$20,'3.2 District Heat'!$D$42:$CF$42,0))*1000+E42*IF(Dashboard!$D$6="=INDEX('Scenario names'!$C$3:$C$6,2)",$I$12,IF(Dashboard!$D$6="=INDEX('Scenario names'!$C$3:$C$6,3)",$I$13,$I$14)))*$B$12</f>
        <v>174572009.05271292</v>
      </c>
      <c r="AA42" s="148">
        <f>INDEX('3.2 District Heat'!$D69:$CF69,1,MATCH(INDEX('DH calcs - old'!$C$5:$C$9,MATCH(Dashboard!$D$6,'DH calcs - old'!$B$5:$B$9,0),1)&amp;AA$19&amp;AA$20,'3.2 District Heat'!$D$42:$CF$42,0))*1000*$B$12</f>
        <v>0</v>
      </c>
      <c r="AB42" s="148">
        <f>INDEX('3.2 District Heat'!$D69:$CF69,1,MATCH(INDEX('DH calcs - old'!$C$5:$C$9,MATCH(Dashboard!$D$6,'DH calcs - old'!$B$5:$B$9,0),1)&amp;AB$19&amp;AB$20,'3.2 District Heat'!$D$42:$CF$42,0))*1000*$B$12</f>
        <v>0</v>
      </c>
      <c r="AC42" s="379">
        <f t="shared" si="3"/>
        <v>45698782.113419771</v>
      </c>
      <c r="AD42" s="379">
        <f>AB42+AC42*IF(Dashboard!$D$6="=INDEX('Scenario names'!$C$3:$C$6,2)",$J$12,IF(Dashboard!$D$6="=INDEX('Scenario names'!$C$3:$C$6,3)",$J$13,$J$14))</f>
        <v>0</v>
      </c>
      <c r="AE42" s="379">
        <f>Z42+AC42*IF(Dashboard!$D$6="=INDEX('Scenario names'!$C$3:$C$6,2)",$K$12,IF(Dashboard!$D$6="=INDEX('Scenario names'!$C$3:$C$6,3)",$K$13,$K$14))</f>
        <v>220270791.16613269</v>
      </c>
      <c r="AF42" s="378">
        <f>IF(OR(Dashboard!$D$6=INDEX('Scenario names'!$C$3:$C$6,3),Dashboard!$D$6=INDEX('Scenario names'!$C$3:$C$6,2)),'3.2 District Heat'!BD69,IF(Dashboard!$D$6=INDEX('Scenario names'!$B$3:$B$6,4),'3.2 District Heat'!CE69,IF(OR(Dashboard!$D$6="Baseline",Dashboard!$D$6=INDEX('Scenario names'!$C$3:$C$6,1)),'3.2 District Heat'!AC69, Error)))</f>
        <v>111088.72176673933</v>
      </c>
    </row>
    <row r="43" spans="1:32">
      <c r="A43" s="114" t="s">
        <v>650</v>
      </c>
      <c r="B43" s="148">
        <f>'3.2 District Heat'!B70*$B$11*1000</f>
        <v>10389727.499999998</v>
      </c>
      <c r="C43" s="148">
        <f>'3.2 District Heat'!B70*$B$11*1000</f>
        <v>10389727.499999998</v>
      </c>
      <c r="D43" s="148"/>
      <c r="E43" s="148">
        <f t="shared" si="0"/>
        <v>20779454.999999996</v>
      </c>
      <c r="F43" s="148">
        <f>INDEX('3.2 District Heat'!$D70:$CF70,1,MATCH(INDEX('DH calcs - old'!$C$5:$C$9,MATCH(Dashboard!$D$6,'DH calcs - old'!$B$5:$B$9,0),1)&amp;F$19&amp;F$20,'3.2 District Heat'!$D$42:$CF$42,0))*1000*$B$12</f>
        <v>1821148.3276211699</v>
      </c>
      <c r="G43" s="379">
        <f>(INDEX('3.2 District Heat'!$D70:$CF70,1,MATCH(INDEX('DH calcs - old'!$C$5:$C$9,MATCH(Dashboard!$D$6,'DH calcs - old'!$B$5:$B$9,0),1)&amp;G$19&amp;G$20,'3.2 District Heat'!$D$42:$CF$42,0))*1000+(E43*$B$13))*$B$12</f>
        <v>32933939.911821898</v>
      </c>
      <c r="H43" s="148">
        <f>INDEX('3.2 District Heat'!$D70:$CF70,1,MATCH(INDEX('DH calcs - old'!$C$5:$C$9,MATCH(Dashboard!$D$6,'DH calcs - old'!$B$5:$B$9,0),1)&amp;H$19&amp;H$20,'3.2 District Heat'!$D$42:$CF$42,0))*1000*$B$12</f>
        <v>0</v>
      </c>
      <c r="I43" s="148">
        <f>INDEX('3.2 District Heat'!$D70:$CF70,1,MATCH(INDEX('DH calcs - old'!$C$5:$C$9,MATCH(Dashboard!$D$6,'DH calcs - old'!$B$5:$B$9,0),1)&amp;I$19&amp;I$20,'3.2 District Heat'!$D$42:$CF$42,0))*1000*$B$12</f>
        <v>0</v>
      </c>
      <c r="J43" s="546">
        <f>(INDEX('3.2 District Heat'!$D70:$CF70,1,MATCH(INDEX($C$5:$C$9,MATCH(Dashboard!$D$6,$B$5:$B$9,0),1)&amp;J$19&amp;J$20,'3.2 District Heat'!$D$42:$CF$42,0))+INDEX('3.2 District Heat'!$D70:$CF70,1,MATCH(INDEX($C$5:$C$9,MATCH(Dashboard!$D$6,$B$5:$B$9,0),1)&amp;J$18&amp;J$20,'3.2 District Heat'!$D$42:$CF$42,0)))*1000*$B$12</f>
        <v>0</v>
      </c>
      <c r="K43" s="148">
        <f>INDEX('3.2 District Heat'!$D70:$CF70,1,MATCH(INDEX('DH calcs - old'!$C$5:$C$9,MATCH(Dashboard!$D$6,'DH calcs - old'!$B$5:$B$9,0),1)&amp;K$19&amp;K$20,'3.2 District Heat'!$D$42:$CF$42,0))*1000*$B$12</f>
        <v>0</v>
      </c>
      <c r="L43" s="148">
        <f>INDEX('3.2 District Heat'!$D70:$CF70,1,MATCH(INDEX('DH calcs - old'!$C$5:$C$9,MATCH(Dashboard!$D$6,'DH calcs - old'!$B$5:$B$9,0),1)&amp;L$19&amp;L$20,'3.2 District Heat'!$D$42:$CF$42,0))*1000*$B$12</f>
        <v>0</v>
      </c>
      <c r="M43" s="148">
        <f>INDEX('3.2 District Heat'!$D70:$CF70,1,MATCH(INDEX('DH calcs - old'!$C$5:$C$9,MATCH(Dashboard!$D$6,'DH calcs - old'!$B$5:$B$9,0),1)&amp;M$19&amp;M$20,'3.2 District Heat'!$D$42:$CF$42,0))*1000*$B$12</f>
        <v>0</v>
      </c>
      <c r="N43" s="148">
        <f>INDEX('3.2 District Heat'!$D70:$CF70,1,MATCH(INDEX('DH calcs - old'!$C$5:$C$9,MATCH(Dashboard!$D$6,'DH calcs - old'!$B$5:$B$9,0),1)&amp;N$19&amp;N$20,'3.2 District Heat'!$D$42:$CF$42,0))*1000*$B$12</f>
        <v>0</v>
      </c>
      <c r="O43" s="379">
        <f>(INDEX('3.2 District Heat'!$D70:$CF70,1,MATCH(INDEX('DH calcs - old'!$C$5:$C$9,MATCH(Dashboard!$D$6,'DH calcs - old'!$B$5:$B$9,0),1)&amp;O$19&amp;O$20,'3.2 District Heat'!$D$42:$CF$42,0))*1000+E43*(1-$B$13))*$B$12</f>
        <v>12467672.999999998</v>
      </c>
      <c r="P43" s="379">
        <f t="shared" si="1"/>
        <v>11805690.309860766</v>
      </c>
      <c r="Q43" s="148">
        <f t="shared" si="2"/>
        <v>24273363.309860766</v>
      </c>
      <c r="R43" s="148"/>
      <c r="S43" s="148">
        <f>INDEX('3.2 District Heat'!$D70:$CF70,1,MATCH(INDEX('DH calcs - old'!$C$5:$C$9,MATCH(Dashboard!$D$6,'DH calcs - old'!$B$5:$B$9,0),1)&amp;S$19&amp;S$20,'3.2 District Heat'!$D$42:$CF$42,0))*1000*$B$12</f>
        <v>5818854.0664882623</v>
      </c>
      <c r="T43" s="148">
        <f>INDEX('3.2 District Heat'!$D70:$CF70,1,MATCH(INDEX('DH calcs - old'!$C$5:$C$9,MATCH(Dashboard!$D$6,'DH calcs - old'!$B$5:$B$9,0),1)&amp;T$19&amp;T$20,'3.2 District Heat'!$D$42:$CF$42,0))*1000*$B$12</f>
        <v>0</v>
      </c>
      <c r="U43" s="148">
        <f>INDEX('3.2 District Heat'!$D70:$CF70,1,MATCH(INDEX('DH calcs - old'!$C$5:$C$9,MATCH(Dashboard!$D$6,'DH calcs - old'!$B$5:$B$9,0),1)&amp;U$19&amp;U$20,'3.2 District Heat'!$D$42:$CF$42,0))*1000*$B$12</f>
        <v>0</v>
      </c>
      <c r="V43" s="148">
        <f>(INDEX('3.2 District Heat'!$D70:$CF70,1,MATCH(INDEX('DH calcs - old'!$C$5:$C$9,MATCH(Dashboard!$D$6,'DH calcs - old'!$B$5:$B$9,0),1)&amp;V$19&amp;V$20,'3.2 District Heat'!$D$42:$CF$42,0))*1000+E43*IF(Dashboard!$D$6="=INDEX('Scenario names'!$C$3:$C$6,2)",$H$12,IF(Dashboard!$D$6="=INDEX('Scenario names'!$C$3:$C$6,3)",$H$13,$H$14)))*$B$12</f>
        <v>0</v>
      </c>
      <c r="W43" s="546">
        <f>(INDEX('3.2 District Heat'!$D70:$CF70,1,MATCH(INDEX('DH calcs - old'!$C$5:$C$9,MATCH(Dashboard!$D$6,'DH calcs - old'!$B$5:$B$9,0),1)&amp;W$19&amp;W$20,'3.2 District Heat'!$D$42:$CF$42,0))+INDEX('3.2 District Heat'!$D70:$CF70,1,MATCH(INDEX('DH calcs - old'!$C$5:$C$9,MATCH(Dashboard!$D$6,'DH calcs - old'!$B$5:$B$9,0),1)&amp;W$18&amp;W$20,'3.2 District Heat'!$D$42:$CF$42,0)))*1000*$B$12</f>
        <v>457530.89972542954</v>
      </c>
      <c r="X43" s="148">
        <f>INDEX('3.2 District Heat'!$D70:$CF70,1,MATCH(INDEX('DH calcs - old'!$C$5:$C$9,MATCH(Dashboard!$D$6,'DH calcs - old'!$B$5:$B$9,0),1)&amp;X$19&amp;X$20,'3.2 District Heat'!$D$42:$CF$42,0))*1000*$B$12</f>
        <v>0</v>
      </c>
      <c r="Y43" s="148">
        <f>INDEX('3.2 District Heat'!$D70:$CF70,1,MATCH(INDEX('DH calcs - old'!$C$5:$C$9,MATCH(Dashboard!$D$6,'DH calcs - old'!$B$5:$B$9,0),1)&amp;Y$19&amp;Y$20,'3.2 District Heat'!$D$42:$CF$42,0))*1000*$B$12</f>
        <v>0</v>
      </c>
      <c r="Z43" s="148">
        <f>(INDEX('3.2 District Heat'!$D70:$CF70,1,MATCH(INDEX('DH calcs - old'!$C$5:$C$9,MATCH(Dashboard!$D$6,'DH calcs - old'!$B$5:$B$9,0),1)&amp;Z$19&amp;Z$20,'3.2 District Heat'!$D$42:$CF$42,0))*1000+E43*IF(Dashboard!$D$6="=INDEX('Scenario names'!$C$3:$C$6,2)",$I$12,IF(Dashboard!$D$6="=INDEX('Scenario names'!$C$3:$C$6,3)",$I$13,$I$14)))*$B$12</f>
        <v>26969582.042276289</v>
      </c>
      <c r="AA43" s="148">
        <f>INDEX('3.2 District Heat'!$D70:$CF70,1,MATCH(INDEX('DH calcs - old'!$C$5:$C$9,MATCH(Dashboard!$D$6,'DH calcs - old'!$B$5:$B$9,0),1)&amp;AA$19&amp;AA$20,'3.2 District Heat'!$D$42:$CF$42,0))*1000*$B$12</f>
        <v>0</v>
      </c>
      <c r="AB43" s="148">
        <f>INDEX('3.2 District Heat'!$D70:$CF70,1,MATCH(INDEX('DH calcs - old'!$C$5:$C$9,MATCH(Dashboard!$D$6,'DH calcs - old'!$B$5:$B$9,0),1)&amp;AB$19&amp;AB$20,'3.2 District Heat'!$D$42:$CF$42,0))*1000*$B$12</f>
        <v>0</v>
      </c>
      <c r="AC43" s="379">
        <f t="shared" si="3"/>
        <v>8311491.7521224916</v>
      </c>
      <c r="AD43" s="379">
        <f>AB43+AC43*IF(Dashboard!$D$6="=INDEX('Scenario names'!$C$3:$C$6,2)",$J$12,IF(Dashboard!$D$6="=INDEX('Scenario names'!$C$3:$C$6,3)",$J$13,$J$14))</f>
        <v>0</v>
      </c>
      <c r="AE43" s="379">
        <f>Z43+AC43*IF(Dashboard!$D$6="=INDEX('Scenario names'!$C$3:$C$6,2)",$K$12,IF(Dashboard!$D$6="=INDEX('Scenario names'!$C$3:$C$6,3)",$K$13,$K$14))</f>
        <v>35281073.794398785</v>
      </c>
      <c r="AF43" s="378">
        <f>IF(OR(Dashboard!$D$6=INDEX('Scenario names'!$C$3:$C$6,3),Dashboard!$D$6=INDEX('Scenario names'!$C$3:$C$6,2)),'3.2 District Heat'!BD70,IF(Dashboard!$D$6=INDEX('Scenario names'!$B$3:$B$6,4),'3.2 District Heat'!CE70,IF(OR(Dashboard!$D$6="Baseline",Dashboard!$D$6=INDEX('Scenario names'!$C$3:$C$6,1)),'3.2 District Heat'!AC70, Error)))</f>
        <v>9749.5344316310729</v>
      </c>
    </row>
    <row r="44" spans="1:32">
      <c r="A44" s="114" t="s">
        <v>651</v>
      </c>
      <c r="B44" s="148">
        <f>'3.2 District Heat'!B71*$B$11*1000</f>
        <v>315140</v>
      </c>
      <c r="C44" s="148">
        <f>'3.2 District Heat'!B71*$B$11*1000</f>
        <v>315140</v>
      </c>
      <c r="D44" s="148"/>
      <c r="E44" s="148">
        <f t="shared" si="0"/>
        <v>630280</v>
      </c>
      <c r="F44" s="148">
        <f>INDEX('3.2 District Heat'!$D71:$CF71,1,MATCH(INDEX('DH calcs - old'!$C$5:$C$9,MATCH(Dashboard!$D$6,'DH calcs - old'!$B$5:$B$9,0),1)&amp;F$19&amp;F$20,'3.2 District Heat'!$D$42:$CF$42,0))*1000*$B$12</f>
        <v>0</v>
      </c>
      <c r="G44" s="379">
        <f>(INDEX('3.2 District Heat'!$D71:$CF71,1,MATCH(INDEX('DH calcs - old'!$C$5:$C$9,MATCH(Dashboard!$D$6,'DH calcs - old'!$B$5:$B$9,0),1)&amp;G$19&amp;G$20,'3.2 District Heat'!$D$42:$CF$42,0))*1000+(E44*$B$13))*$B$12</f>
        <v>126056</v>
      </c>
      <c r="H44" s="148">
        <f>INDEX('3.2 District Heat'!$D71:$CF71,1,MATCH(INDEX('DH calcs - old'!$C$5:$C$9,MATCH(Dashboard!$D$6,'DH calcs - old'!$B$5:$B$9,0),1)&amp;H$19&amp;H$20,'3.2 District Heat'!$D$42:$CF$42,0))*1000*$B$12</f>
        <v>0</v>
      </c>
      <c r="I44" s="148">
        <f>INDEX('3.2 District Heat'!$D71:$CF71,1,MATCH(INDEX('DH calcs - old'!$C$5:$C$9,MATCH(Dashboard!$D$6,'DH calcs - old'!$B$5:$B$9,0),1)&amp;I$19&amp;I$20,'3.2 District Heat'!$D$42:$CF$42,0))*1000*$B$12</f>
        <v>0</v>
      </c>
      <c r="J44" s="546">
        <f>(INDEX('3.2 District Heat'!$D71:$CF71,1,MATCH(INDEX($C$5:$C$9,MATCH(Dashboard!$D$6,$B$5:$B$9,0),1)&amp;J$19&amp;J$20,'3.2 District Heat'!$D$42:$CF$42,0))+INDEX('3.2 District Heat'!$D71:$CF71,1,MATCH(INDEX($C$5:$C$9,MATCH(Dashboard!$D$6,$B$5:$B$9,0),1)&amp;J$18&amp;J$20,'3.2 District Heat'!$D$42:$CF$42,0)))*1000*$B$12</f>
        <v>0</v>
      </c>
      <c r="K44" s="148">
        <f>INDEX('3.2 District Heat'!$D71:$CF71,1,MATCH(INDEX('DH calcs - old'!$C$5:$C$9,MATCH(Dashboard!$D$6,'DH calcs - old'!$B$5:$B$9,0),1)&amp;K$19&amp;K$20,'3.2 District Heat'!$D$42:$CF$42,0))*1000*$B$12</f>
        <v>0</v>
      </c>
      <c r="L44" s="148">
        <f>INDEX('3.2 District Heat'!$D71:$CF71,1,MATCH(INDEX('DH calcs - old'!$C$5:$C$9,MATCH(Dashboard!$D$6,'DH calcs - old'!$B$5:$B$9,0),1)&amp;L$19&amp;L$20,'3.2 District Heat'!$D$42:$CF$42,0))*1000*$B$12</f>
        <v>0</v>
      </c>
      <c r="M44" s="148">
        <f>INDEX('3.2 District Heat'!$D71:$CF71,1,MATCH(INDEX('DH calcs - old'!$C$5:$C$9,MATCH(Dashboard!$D$6,'DH calcs - old'!$B$5:$B$9,0),1)&amp;M$19&amp;M$20,'3.2 District Heat'!$D$42:$CF$42,0))*1000*$B$12</f>
        <v>0</v>
      </c>
      <c r="N44" s="148">
        <f>INDEX('3.2 District Heat'!$D71:$CF71,1,MATCH(INDEX('DH calcs - old'!$C$5:$C$9,MATCH(Dashboard!$D$6,'DH calcs - old'!$B$5:$B$9,0),1)&amp;N$19&amp;N$20,'3.2 District Heat'!$D$42:$CF$42,0))*1000*$B$12</f>
        <v>0</v>
      </c>
      <c r="O44" s="379">
        <f>(INDEX('3.2 District Heat'!$D71:$CF71,1,MATCH(INDEX('DH calcs - old'!$C$5:$C$9,MATCH(Dashboard!$D$6,'DH calcs - old'!$B$5:$B$9,0),1)&amp;O$19&amp;O$20,'3.2 District Heat'!$D$42:$CF$42,0))*1000+E44*(1-$B$13))*$B$12</f>
        <v>378168</v>
      </c>
      <c r="P44" s="379">
        <f t="shared" si="1"/>
        <v>126056</v>
      </c>
      <c r="Q44" s="148">
        <f t="shared" si="2"/>
        <v>504224</v>
      </c>
      <c r="R44" s="148"/>
      <c r="S44" s="148">
        <f>INDEX('3.2 District Heat'!$D71:$CF71,1,MATCH(INDEX('DH calcs - old'!$C$5:$C$9,MATCH(Dashboard!$D$6,'DH calcs - old'!$B$5:$B$9,0),1)&amp;S$19&amp;S$20,'3.2 District Heat'!$D$42:$CF$42,0))*1000*$B$12</f>
        <v>4193052.473209668</v>
      </c>
      <c r="T44" s="148">
        <f>INDEX('3.2 District Heat'!$D71:$CF71,1,MATCH(INDEX('DH calcs - old'!$C$5:$C$9,MATCH(Dashboard!$D$6,'DH calcs - old'!$B$5:$B$9,0),1)&amp;T$19&amp;T$20,'3.2 District Heat'!$D$42:$CF$42,0))*1000*$B$12</f>
        <v>0</v>
      </c>
      <c r="U44" s="148">
        <f>INDEX('3.2 District Heat'!$D71:$CF71,1,MATCH(INDEX('DH calcs - old'!$C$5:$C$9,MATCH(Dashboard!$D$6,'DH calcs - old'!$B$5:$B$9,0),1)&amp;U$19&amp;U$20,'3.2 District Heat'!$D$42:$CF$42,0))*1000*$B$12</f>
        <v>0</v>
      </c>
      <c r="V44" s="148">
        <f>(INDEX('3.2 District Heat'!$D71:$CF71,1,MATCH(INDEX('DH calcs - old'!$C$5:$C$9,MATCH(Dashboard!$D$6,'DH calcs - old'!$B$5:$B$9,0),1)&amp;V$19&amp;V$20,'3.2 District Heat'!$D$42:$CF$42,0))*1000+E44*IF(Dashboard!$D$6="=INDEX('Scenario names'!$C$3:$C$6,2)",$H$12,IF(Dashboard!$D$6="=INDEX('Scenario names'!$C$3:$C$6,3)",$H$13,$H$14)))*$B$12</f>
        <v>0</v>
      </c>
      <c r="W44" s="546">
        <f>(INDEX('3.2 District Heat'!$D71:$CF71,1,MATCH(INDEX('DH calcs - old'!$C$5:$C$9,MATCH(Dashboard!$D$6,'DH calcs - old'!$B$5:$B$9,0),1)&amp;W$19&amp;W$20,'3.2 District Heat'!$D$42:$CF$42,0))+INDEX('3.2 District Heat'!$D71:$CF71,1,MATCH(INDEX('DH calcs - old'!$C$5:$C$9,MATCH(Dashboard!$D$6,'DH calcs - old'!$B$5:$B$9,0),1)&amp;W$18&amp;W$20,'3.2 District Heat'!$D$42:$CF$42,0)))*1000*$B$12</f>
        <v>0</v>
      </c>
      <c r="X44" s="148">
        <f>INDEX('3.2 District Heat'!$D71:$CF71,1,MATCH(INDEX('DH calcs - old'!$C$5:$C$9,MATCH(Dashboard!$D$6,'DH calcs - old'!$B$5:$B$9,0),1)&amp;X$19&amp;X$20,'3.2 District Heat'!$D$42:$CF$42,0))*1000*$B$12</f>
        <v>0</v>
      </c>
      <c r="Y44" s="148">
        <f>INDEX('3.2 District Heat'!$D71:$CF71,1,MATCH(INDEX('DH calcs - old'!$C$5:$C$9,MATCH(Dashboard!$D$6,'DH calcs - old'!$B$5:$B$9,0),1)&amp;Y$19&amp;Y$20,'3.2 District Heat'!$D$42:$CF$42,0))*1000*$B$12</f>
        <v>0</v>
      </c>
      <c r="Z44" s="148">
        <f>(INDEX('3.2 District Heat'!$D71:$CF71,1,MATCH(INDEX('DH calcs - old'!$C$5:$C$9,MATCH(Dashboard!$D$6,'DH calcs - old'!$B$5:$B$9,0),1)&amp;Z$19&amp;Z$20,'3.2 District Heat'!$D$42:$CF$42,0))*1000+E44*IF(Dashboard!$D$6="=INDEX('Scenario names'!$C$3:$C$6,2)",$I$12,IF(Dashboard!$D$6="=INDEX('Scenario names'!$C$3:$C$6,3)",$I$13,$I$14)))*$B$12</f>
        <v>504224</v>
      </c>
      <c r="AA44" s="148">
        <f>INDEX('3.2 District Heat'!$D71:$CF71,1,MATCH(INDEX('DH calcs - old'!$C$5:$C$9,MATCH(Dashboard!$D$6,'DH calcs - old'!$B$5:$B$9,0),1)&amp;AA$19&amp;AA$20,'3.2 District Heat'!$D$42:$CF$42,0))*1000*$B$12</f>
        <v>0</v>
      </c>
      <c r="AB44" s="148">
        <f>INDEX('3.2 District Heat'!$D71:$CF71,1,MATCH(INDEX('DH calcs - old'!$C$5:$C$9,MATCH(Dashboard!$D$6,'DH calcs - old'!$B$5:$B$9,0),1)&amp;AB$19&amp;AB$20,'3.2 District Heat'!$D$42:$CF$42,0))*1000*$B$12</f>
        <v>0</v>
      </c>
      <c r="AC44" s="379">
        <f t="shared" si="3"/>
        <v>1174319.118302417</v>
      </c>
      <c r="AD44" s="379">
        <f>AB44+AC44*IF(Dashboard!$D$6="=INDEX('Scenario names'!$C$3:$C$6,2)",$J$12,IF(Dashboard!$D$6="=INDEX('Scenario names'!$C$3:$C$6,3)",$J$13,$J$14))</f>
        <v>0</v>
      </c>
      <c r="AE44" s="379">
        <f>Z44+AC44*IF(Dashboard!$D$6="=INDEX('Scenario names'!$C$3:$C$6,2)",$K$12,IF(Dashboard!$D$6="=INDEX('Scenario names'!$C$3:$C$6,3)",$K$13,$K$14))</f>
        <v>1678543.118302417</v>
      </c>
      <c r="AF44" s="378">
        <f>IF(OR(Dashboard!$D$6=INDEX('Scenario names'!$C$3:$C$6,3),Dashboard!$D$6=INDEX('Scenario names'!$C$3:$C$6,2)),'3.2 District Heat'!BD71,IF(Dashboard!$D$6=INDEX('Scenario names'!$B$3:$B$6,4),'3.2 District Heat'!CE71,IF(OR(Dashboard!$D$6="Baseline",Dashboard!$D$6=INDEX('Scenario names'!$C$3:$C$6,1)),'3.2 District Heat'!AC71, Error)))</f>
        <v>0</v>
      </c>
    </row>
    <row r="45" spans="1:32">
      <c r="A45" s="114" t="s">
        <v>652</v>
      </c>
      <c r="B45" s="148">
        <f>'3.2 District Heat'!B72*$B$11*1000</f>
        <v>73020525.000000015</v>
      </c>
      <c r="C45" s="148">
        <f>'3.2 District Heat'!B72*$B$11*1000</f>
        <v>73020525.000000015</v>
      </c>
      <c r="D45" s="148"/>
      <c r="E45" s="148">
        <f t="shared" si="0"/>
        <v>146041050.00000003</v>
      </c>
      <c r="F45" s="148">
        <f>INDEX('3.2 District Heat'!$D72:$CF72,1,MATCH(INDEX('DH calcs - old'!$C$5:$C$9,MATCH(Dashboard!$D$6,'DH calcs - old'!$B$5:$B$9,0),1)&amp;F$19&amp;F$20,'3.2 District Heat'!$D$42:$CF$42,0))*1000*$B$12</f>
        <v>10790170.329733888</v>
      </c>
      <c r="G45" s="379">
        <f>(INDEX('3.2 District Heat'!$D72:$CF72,1,MATCH(INDEX('DH calcs - old'!$C$5:$C$9,MATCH(Dashboard!$D$6,'DH calcs - old'!$B$5:$B$9,0),1)&amp;G$19&amp;G$20,'3.2 District Heat'!$D$42:$CF$42,0))*1000+(E45*$B$13))*$B$12</f>
        <v>81595218.834111765</v>
      </c>
      <c r="H45" s="148">
        <f>INDEX('3.2 District Heat'!$D72:$CF72,1,MATCH(INDEX('DH calcs - old'!$C$5:$C$9,MATCH(Dashboard!$D$6,'DH calcs - old'!$B$5:$B$9,0),1)&amp;H$19&amp;H$20,'3.2 District Heat'!$D$42:$CF$42,0))*1000*$B$12</f>
        <v>0</v>
      </c>
      <c r="I45" s="148">
        <f>INDEX('3.2 District Heat'!$D72:$CF72,1,MATCH(INDEX('DH calcs - old'!$C$5:$C$9,MATCH(Dashboard!$D$6,'DH calcs - old'!$B$5:$B$9,0),1)&amp;I$19&amp;I$20,'3.2 District Heat'!$D$42:$CF$42,0))*1000*$B$12</f>
        <v>0</v>
      </c>
      <c r="J45" s="546">
        <f>(INDEX('3.2 District Heat'!$D72:$CF72,1,MATCH(INDEX($C$5:$C$9,MATCH(Dashboard!$D$6,$B$5:$B$9,0),1)&amp;J$19&amp;J$20,'3.2 District Heat'!$D$42:$CF$42,0))+INDEX('3.2 District Heat'!$D72:$CF72,1,MATCH(INDEX($C$5:$C$9,MATCH(Dashboard!$D$6,$B$5:$B$9,0),1)&amp;J$18&amp;J$20,'3.2 District Heat'!$D$42:$CF$42,0)))*1000*$B$12</f>
        <v>0</v>
      </c>
      <c r="K45" s="148">
        <f>INDEX('3.2 District Heat'!$D72:$CF72,1,MATCH(INDEX('DH calcs - old'!$C$5:$C$9,MATCH(Dashboard!$D$6,'DH calcs - old'!$B$5:$B$9,0),1)&amp;K$19&amp;K$20,'3.2 District Heat'!$D$42:$CF$42,0))*1000*$B$12</f>
        <v>0</v>
      </c>
      <c r="L45" s="148">
        <f>INDEX('3.2 District Heat'!$D72:$CF72,1,MATCH(INDEX('DH calcs - old'!$C$5:$C$9,MATCH(Dashboard!$D$6,'DH calcs - old'!$B$5:$B$9,0),1)&amp;L$19&amp;L$20,'3.2 District Heat'!$D$42:$CF$42,0))*1000*$B$12</f>
        <v>0</v>
      </c>
      <c r="M45" s="148">
        <f>INDEX('3.2 District Heat'!$D72:$CF72,1,MATCH(INDEX('DH calcs - old'!$C$5:$C$9,MATCH(Dashboard!$D$6,'DH calcs - old'!$B$5:$B$9,0),1)&amp;M$19&amp;M$20,'3.2 District Heat'!$D$42:$CF$42,0))*1000*$B$12</f>
        <v>0</v>
      </c>
      <c r="N45" s="148">
        <f>INDEX('3.2 District Heat'!$D72:$CF72,1,MATCH(INDEX('DH calcs - old'!$C$5:$C$9,MATCH(Dashboard!$D$6,'DH calcs - old'!$B$5:$B$9,0),1)&amp;N$19&amp;N$20,'3.2 District Heat'!$D$42:$CF$42,0))*1000*$B$12</f>
        <v>0</v>
      </c>
      <c r="O45" s="379">
        <f>(INDEX('3.2 District Heat'!$D72:$CF72,1,MATCH(INDEX('DH calcs - old'!$C$5:$C$9,MATCH(Dashboard!$D$6,'DH calcs - old'!$B$5:$B$9,0),1)&amp;O$19&amp;O$20,'3.2 District Heat'!$D$42:$CF$42,0))*1000+E45*(1-$B$13))*$B$12</f>
        <v>87624630.00000003</v>
      </c>
      <c r="P45" s="379">
        <f t="shared" si="1"/>
        <v>45002504.790961415</v>
      </c>
      <c r="Q45" s="148">
        <f t="shared" si="2"/>
        <v>132627134.79096144</v>
      </c>
      <c r="R45" s="148"/>
      <c r="S45" s="148">
        <f>INDEX('3.2 District Heat'!$D72:$CF72,1,MATCH(INDEX('DH calcs - old'!$C$5:$C$9,MATCH(Dashboard!$D$6,'DH calcs - old'!$B$5:$B$9,0),1)&amp;S$19&amp;S$20,'3.2 District Heat'!$D$42:$CF$42,0))*1000*$B$12</f>
        <v>67981228.918121383</v>
      </c>
      <c r="T45" s="148">
        <f>INDEX('3.2 District Heat'!$D72:$CF72,1,MATCH(INDEX('DH calcs - old'!$C$5:$C$9,MATCH(Dashboard!$D$6,'DH calcs - old'!$B$5:$B$9,0),1)&amp;T$19&amp;T$20,'3.2 District Heat'!$D$42:$CF$42,0))*1000*$B$12</f>
        <v>0</v>
      </c>
      <c r="U45" s="148">
        <f>INDEX('3.2 District Heat'!$D72:$CF72,1,MATCH(INDEX('DH calcs - old'!$C$5:$C$9,MATCH(Dashboard!$D$6,'DH calcs - old'!$B$5:$B$9,0),1)&amp;U$19&amp;U$20,'3.2 District Heat'!$D$42:$CF$42,0))*1000*$B$12</f>
        <v>4327685.4480966209</v>
      </c>
      <c r="V45" s="148">
        <f>(INDEX('3.2 District Heat'!$D72:$CF72,1,MATCH(INDEX('DH calcs - old'!$C$5:$C$9,MATCH(Dashboard!$D$6,'DH calcs - old'!$B$5:$B$9,0),1)&amp;V$19&amp;V$20,'3.2 District Heat'!$D$42:$CF$42,0))*1000+E45*IF(Dashboard!$D$6="=INDEX('Scenario names'!$C$3:$C$6,2)",$H$12,IF(Dashboard!$D$6="=INDEX('Scenario names'!$C$3:$C$6,3)",$H$13,$H$14)))*$B$12</f>
        <v>0</v>
      </c>
      <c r="W45" s="546">
        <f>(INDEX('3.2 District Heat'!$D72:$CF72,1,MATCH(INDEX('DH calcs - old'!$C$5:$C$9,MATCH(Dashboard!$D$6,'DH calcs - old'!$B$5:$B$9,0),1)&amp;W$19&amp;W$20,'3.2 District Heat'!$D$42:$CF$42,0))+INDEX('3.2 District Heat'!$D72:$CF72,1,MATCH(INDEX('DH calcs - old'!$C$5:$C$9,MATCH(Dashboard!$D$6,'DH calcs - old'!$B$5:$B$9,0),1)&amp;W$18&amp;W$20,'3.2 District Heat'!$D$42:$CF$42,0)))*1000*$B$12</f>
        <v>0</v>
      </c>
      <c r="X45" s="148">
        <f>INDEX('3.2 District Heat'!$D72:$CF72,1,MATCH(INDEX('DH calcs - old'!$C$5:$C$9,MATCH(Dashboard!$D$6,'DH calcs - old'!$B$5:$B$9,0),1)&amp;X$19&amp;X$20,'3.2 District Heat'!$D$42:$CF$42,0))*1000*$B$12</f>
        <v>0</v>
      </c>
      <c r="Y45" s="148">
        <f>INDEX('3.2 District Heat'!$D72:$CF72,1,MATCH(INDEX('DH calcs - old'!$C$5:$C$9,MATCH(Dashboard!$D$6,'DH calcs - old'!$B$5:$B$9,0),1)&amp;Y$19&amp;Y$20,'3.2 District Heat'!$D$42:$CF$42,0))*1000*$B$12</f>
        <v>0</v>
      </c>
      <c r="Z45" s="148">
        <f>(INDEX('3.2 District Heat'!$D72:$CF72,1,MATCH(INDEX('DH calcs - old'!$C$5:$C$9,MATCH(Dashboard!$D$6,'DH calcs - old'!$B$5:$B$9,0),1)&amp;Z$19&amp;Z$20,'3.2 District Heat'!$D$42:$CF$42,0))*1000+E45*IF(Dashboard!$D$6="=INDEX('Scenario names'!$C$3:$C$6,2)",$I$12,IF(Dashboard!$D$6="=INDEX('Scenario names'!$C$3:$C$6,3)",$I$13,$I$14)))*$B$12</f>
        <v>116832840.00000003</v>
      </c>
      <c r="AA45" s="148">
        <f>INDEX('3.2 District Heat'!$D72:$CF72,1,MATCH(INDEX('DH calcs - old'!$C$5:$C$9,MATCH(Dashboard!$D$6,'DH calcs - old'!$B$5:$B$9,0),1)&amp;AA$19&amp;AA$20,'3.2 District Heat'!$D$42:$CF$42,0))*1000*$B$12</f>
        <v>0</v>
      </c>
      <c r="AB45" s="148">
        <f>INDEX('3.2 District Heat'!$D72:$CF72,1,MATCH(INDEX('DH calcs - old'!$C$5:$C$9,MATCH(Dashboard!$D$6,'DH calcs - old'!$B$5:$B$9,0),1)&amp;AB$19&amp;AB$20,'3.2 District Heat'!$D$42:$CF$42,0))*1000*$B$12</f>
        <v>0</v>
      </c>
      <c r="AC45" s="379">
        <f t="shared" si="3"/>
        <v>47285438.591554493</v>
      </c>
      <c r="AD45" s="379">
        <f>AB45+AC45*IF(Dashboard!$D$6="=INDEX('Scenario names'!$C$3:$C$6,2)",$J$12,IF(Dashboard!$D$6="=INDEX('Scenario names'!$C$3:$C$6,3)",$J$13,$J$14))</f>
        <v>0</v>
      </c>
      <c r="AE45" s="379">
        <f>Z45+AC45*IF(Dashboard!$D$6="=INDEX('Scenario names'!$C$3:$C$6,2)",$K$12,IF(Dashboard!$D$6="=INDEX('Scenario names'!$C$3:$C$6,3)",$K$13,$K$14))</f>
        <v>164118278.59155452</v>
      </c>
      <c r="AF45" s="378">
        <f>IF(OR(Dashboard!$D$6=INDEX('Scenario names'!$C$3:$C$6,3),Dashboard!$D$6=INDEX('Scenario names'!$C$3:$C$6,2)),'3.2 District Heat'!BD72,IF(Dashboard!$D$6=INDEX('Scenario names'!$B$3:$B$6,4),'3.2 District Heat'!CE72,IF(OR(Dashboard!$D$6="Baseline",Dashboard!$D$6=INDEX('Scenario names'!$C$3:$C$6,1)),'3.2 District Heat'!AC72, Error)))</f>
        <v>0</v>
      </c>
    </row>
    <row r="46" spans="1:32">
      <c r="A46" s="114" t="s">
        <v>653</v>
      </c>
      <c r="B46" s="148">
        <f>'3.2 District Heat'!B73*$B$11*1000</f>
        <v>307327.5</v>
      </c>
      <c r="C46" s="148">
        <f>'3.2 District Heat'!B73*$B$11*1000</f>
        <v>307327.5</v>
      </c>
      <c r="D46" s="148"/>
      <c r="E46" s="148">
        <f t="shared" si="0"/>
        <v>614655</v>
      </c>
      <c r="F46" s="148">
        <f>INDEX('3.2 District Heat'!$D73:$CF73,1,MATCH(INDEX('DH calcs - old'!$C$5:$C$9,MATCH(Dashboard!$D$6,'DH calcs - old'!$B$5:$B$9,0),1)&amp;F$19&amp;F$20,'3.2 District Heat'!$D$42:$CF$42,0))*1000*$B$12</f>
        <v>0</v>
      </c>
      <c r="G46" s="379">
        <f>(INDEX('3.2 District Heat'!$D73:$CF73,1,MATCH(INDEX('DH calcs - old'!$C$5:$C$9,MATCH(Dashboard!$D$6,'DH calcs - old'!$B$5:$B$9,0),1)&amp;G$19&amp;G$20,'3.2 District Heat'!$D$42:$CF$42,0))*1000+(E46*$B$13))*$B$12</f>
        <v>122931</v>
      </c>
      <c r="H46" s="148">
        <f>INDEX('3.2 District Heat'!$D73:$CF73,1,MATCH(INDEX('DH calcs - old'!$C$5:$C$9,MATCH(Dashboard!$D$6,'DH calcs - old'!$B$5:$B$9,0),1)&amp;H$19&amp;H$20,'3.2 District Heat'!$D$42:$CF$42,0))*1000*$B$12</f>
        <v>1419861.8908561911</v>
      </c>
      <c r="I46" s="148">
        <f>INDEX('3.2 District Heat'!$D73:$CF73,1,MATCH(INDEX('DH calcs - old'!$C$5:$C$9,MATCH(Dashboard!$D$6,'DH calcs - old'!$B$5:$B$9,0),1)&amp;I$19&amp;I$20,'3.2 District Heat'!$D$42:$CF$42,0))*1000*$B$12</f>
        <v>0</v>
      </c>
      <c r="J46" s="546">
        <f>(INDEX('3.2 District Heat'!$D73:$CF73,1,MATCH(INDEX($C$5:$C$9,MATCH(Dashboard!$D$6,$B$5:$B$9,0),1)&amp;J$19&amp;J$20,'3.2 District Heat'!$D$42:$CF$42,0))+INDEX('3.2 District Heat'!$D73:$CF73,1,MATCH(INDEX($C$5:$C$9,MATCH(Dashboard!$D$6,$B$5:$B$9,0),1)&amp;J$18&amp;J$20,'3.2 District Heat'!$D$42:$CF$42,0)))*1000*$B$12</f>
        <v>0</v>
      </c>
      <c r="K46" s="148">
        <f>INDEX('3.2 District Heat'!$D73:$CF73,1,MATCH(INDEX('DH calcs - old'!$C$5:$C$9,MATCH(Dashboard!$D$6,'DH calcs - old'!$B$5:$B$9,0),1)&amp;K$19&amp;K$20,'3.2 District Heat'!$D$42:$CF$42,0))*1000*$B$12</f>
        <v>0</v>
      </c>
      <c r="L46" s="148">
        <f>INDEX('3.2 District Heat'!$D73:$CF73,1,MATCH(INDEX('DH calcs - old'!$C$5:$C$9,MATCH(Dashboard!$D$6,'DH calcs - old'!$B$5:$B$9,0),1)&amp;L$19&amp;L$20,'3.2 District Heat'!$D$42:$CF$42,0))*1000*$B$12</f>
        <v>0</v>
      </c>
      <c r="M46" s="148">
        <f>INDEX('3.2 District Heat'!$D73:$CF73,1,MATCH(INDEX('DH calcs - old'!$C$5:$C$9,MATCH(Dashboard!$D$6,'DH calcs - old'!$B$5:$B$9,0),1)&amp;M$19&amp;M$20,'3.2 District Heat'!$D$42:$CF$42,0))*1000*$B$12</f>
        <v>0</v>
      </c>
      <c r="N46" s="148">
        <f>INDEX('3.2 District Heat'!$D73:$CF73,1,MATCH(INDEX('DH calcs - old'!$C$5:$C$9,MATCH(Dashboard!$D$6,'DH calcs - old'!$B$5:$B$9,0),1)&amp;N$19&amp;N$20,'3.2 District Heat'!$D$42:$CF$42,0))*1000*$B$12</f>
        <v>0</v>
      </c>
      <c r="O46" s="379">
        <f>(INDEX('3.2 District Heat'!$D73:$CF73,1,MATCH(INDEX('DH calcs - old'!$C$5:$C$9,MATCH(Dashboard!$D$6,'DH calcs - old'!$B$5:$B$9,0),1)&amp;O$19&amp;O$20,'3.2 District Heat'!$D$42:$CF$42,0))*1000+E46*(1-$B$13))*$B$12</f>
        <v>368793</v>
      </c>
      <c r="P46" s="379">
        <f t="shared" si="1"/>
        <v>477896.47271404741</v>
      </c>
      <c r="Q46" s="148">
        <f t="shared" si="2"/>
        <v>846689.47271404741</v>
      </c>
      <c r="R46" s="148"/>
      <c r="S46" s="148">
        <f>INDEX('3.2 District Heat'!$D73:$CF73,1,MATCH(INDEX('DH calcs - old'!$C$5:$C$9,MATCH(Dashboard!$D$6,'DH calcs - old'!$B$5:$B$9,0),1)&amp;S$19&amp;S$20,'3.2 District Heat'!$D$42:$CF$42,0))*1000*$B$12</f>
        <v>0</v>
      </c>
      <c r="T46" s="148">
        <f>INDEX('3.2 District Heat'!$D73:$CF73,1,MATCH(INDEX('DH calcs - old'!$C$5:$C$9,MATCH(Dashboard!$D$6,'DH calcs - old'!$B$5:$B$9,0),1)&amp;T$19&amp;T$20,'3.2 District Heat'!$D$42:$CF$42,0))*1000*$B$12</f>
        <v>0</v>
      </c>
      <c r="U46" s="148">
        <f>INDEX('3.2 District Heat'!$D73:$CF73,1,MATCH(INDEX('DH calcs - old'!$C$5:$C$9,MATCH(Dashboard!$D$6,'DH calcs - old'!$B$5:$B$9,0),1)&amp;U$19&amp;U$20,'3.2 District Heat'!$D$42:$CF$42,0))*1000*$B$12</f>
        <v>1610883.1741728317</v>
      </c>
      <c r="V46" s="148">
        <f>(INDEX('3.2 District Heat'!$D73:$CF73,1,MATCH(INDEX('DH calcs - old'!$C$5:$C$9,MATCH(Dashboard!$D$6,'DH calcs - old'!$B$5:$B$9,0),1)&amp;V$19&amp;V$20,'3.2 District Heat'!$D$42:$CF$42,0))*1000+E46*IF(Dashboard!$D$6="=INDEX('Scenario names'!$C$3:$C$6,2)",$H$12,IF(Dashboard!$D$6="=INDEX('Scenario names'!$C$3:$C$6,3)",$H$13,$H$14)))*$B$12</f>
        <v>0</v>
      </c>
      <c r="W46" s="546">
        <f>(INDEX('3.2 District Heat'!$D73:$CF73,1,MATCH(INDEX('DH calcs - old'!$C$5:$C$9,MATCH(Dashboard!$D$6,'DH calcs - old'!$B$5:$B$9,0),1)&amp;W$19&amp;W$20,'3.2 District Heat'!$D$42:$CF$42,0))+INDEX('3.2 District Heat'!$D73:$CF73,1,MATCH(INDEX('DH calcs - old'!$C$5:$C$9,MATCH(Dashboard!$D$6,'DH calcs - old'!$B$5:$B$9,0),1)&amp;W$18&amp;W$20,'3.2 District Heat'!$D$42:$CF$42,0)))*1000*$B$12</f>
        <v>114382.72493135737</v>
      </c>
      <c r="X46" s="148">
        <f>INDEX('3.2 District Heat'!$D73:$CF73,1,MATCH(INDEX('DH calcs - old'!$C$5:$C$9,MATCH(Dashboard!$D$6,'DH calcs - old'!$B$5:$B$9,0),1)&amp;X$19&amp;X$20,'3.2 District Heat'!$D$42:$CF$42,0))*1000*$B$12</f>
        <v>2062557.4388743725</v>
      </c>
      <c r="Y46" s="148">
        <f>INDEX('3.2 District Heat'!$D73:$CF73,1,MATCH(INDEX('DH calcs - old'!$C$5:$C$9,MATCH(Dashboard!$D$6,'DH calcs - old'!$B$5:$B$9,0),1)&amp;Y$19&amp;Y$20,'3.2 District Heat'!$D$42:$CF$42,0))*1000*$B$12</f>
        <v>0</v>
      </c>
      <c r="Z46" s="148">
        <f>(INDEX('3.2 District Heat'!$D73:$CF73,1,MATCH(INDEX('DH calcs - old'!$C$5:$C$9,MATCH(Dashboard!$D$6,'DH calcs - old'!$B$5:$B$9,0),1)&amp;Z$19&amp;Z$20,'3.2 District Heat'!$D$42:$CF$42,0))*1000+E46*IF(Dashboard!$D$6="=INDEX('Scenario names'!$C$3:$C$6,2)",$I$12,IF(Dashboard!$D$6="=INDEX('Scenario names'!$C$3:$C$6,3)",$I$13,$I$14)))*$B$12</f>
        <v>13244154.518799545</v>
      </c>
      <c r="AA46" s="148">
        <f>INDEX('3.2 District Heat'!$D73:$CF73,1,MATCH(INDEX('DH calcs - old'!$C$5:$C$9,MATCH(Dashboard!$D$6,'DH calcs - old'!$B$5:$B$9,0),1)&amp;AA$19&amp;AA$20,'3.2 District Heat'!$D$42:$CF$42,0))*1000*$B$12</f>
        <v>0</v>
      </c>
      <c r="AB46" s="148">
        <f>INDEX('3.2 District Heat'!$D73:$CF73,1,MATCH(INDEX('DH calcs - old'!$C$5:$C$9,MATCH(Dashboard!$D$6,'DH calcs - old'!$B$5:$B$9,0),1)&amp;AB$19&amp;AB$20,'3.2 District Heat'!$D$42:$CF$42,0))*1000*$B$12</f>
        <v>0</v>
      </c>
      <c r="AC46" s="379">
        <f t="shared" si="3"/>
        <v>4257994.464194525</v>
      </c>
      <c r="AD46" s="379">
        <f>AB46+AC46*IF(Dashboard!$D$6="=INDEX('Scenario names'!$C$3:$C$6,2)",$J$12,IF(Dashboard!$D$6="=INDEX('Scenario names'!$C$3:$C$6,3)",$J$13,$J$14))</f>
        <v>0</v>
      </c>
      <c r="AE46" s="379">
        <f>Z46+AC46*IF(Dashboard!$D$6="=INDEX('Scenario names'!$C$3:$C$6,2)",$K$12,IF(Dashboard!$D$6="=INDEX('Scenario names'!$C$3:$C$6,3)",$K$13,$K$14))</f>
        <v>17502148.982994072</v>
      </c>
      <c r="AF46" s="378">
        <f>IF(OR(Dashboard!$D$6=INDEX('Scenario names'!$C$3:$C$6,3),Dashboard!$D$6=INDEX('Scenario names'!$C$3:$C$6,2)),'3.2 District Heat'!BD73,IF(Dashboard!$D$6=INDEX('Scenario names'!$B$3:$B$6,4),'3.2 District Heat'!CE73,IF(OR(Dashboard!$D$6="Baseline",Dashboard!$D$6=INDEX('Scenario names'!$C$3:$C$6,1)),'3.2 District Heat'!AC73, Error)))</f>
        <v>12774.260291406616</v>
      </c>
    </row>
    <row r="47" spans="1:32">
      <c r="A47" s="114" t="s">
        <v>654</v>
      </c>
      <c r="B47" s="148">
        <f>'3.2 District Heat'!B74*$B$11*1000</f>
        <v>459200</v>
      </c>
      <c r="C47" s="148">
        <f>'3.2 District Heat'!B74*$B$11*1000</f>
        <v>459200</v>
      </c>
      <c r="D47" s="148"/>
      <c r="E47" s="148">
        <f t="shared" si="0"/>
        <v>918400</v>
      </c>
      <c r="F47" s="148">
        <f>INDEX('3.2 District Heat'!$D74:$CF74,1,MATCH(INDEX('DH calcs - old'!$C$5:$C$9,MATCH(Dashboard!$D$6,'DH calcs - old'!$B$5:$B$9,0),1)&amp;F$19&amp;F$20,'3.2 District Heat'!$D$42:$CF$42,0))*1000*$B$12</f>
        <v>887896.75922108523</v>
      </c>
      <c r="G47" s="379">
        <f>(INDEX('3.2 District Heat'!$D74:$CF74,1,MATCH(INDEX('DH calcs - old'!$C$5:$C$9,MATCH(Dashboard!$D$6,'DH calcs - old'!$B$5:$B$9,0),1)&amp;G$19&amp;G$20,'3.2 District Heat'!$D$42:$CF$42,0))*1000+(E47*$B$13))*$B$12</f>
        <v>9457183.4102916885</v>
      </c>
      <c r="H47" s="148">
        <f>INDEX('3.2 District Heat'!$D74:$CF74,1,MATCH(INDEX('DH calcs - old'!$C$5:$C$9,MATCH(Dashboard!$D$6,'DH calcs - old'!$B$5:$B$9,0),1)&amp;H$19&amp;H$20,'3.2 District Heat'!$D$42:$CF$42,0))*1000*$B$12</f>
        <v>0</v>
      </c>
      <c r="I47" s="148">
        <f>INDEX('3.2 District Heat'!$D74:$CF74,1,MATCH(INDEX('DH calcs - old'!$C$5:$C$9,MATCH(Dashboard!$D$6,'DH calcs - old'!$B$5:$B$9,0),1)&amp;I$19&amp;I$20,'3.2 District Heat'!$D$42:$CF$42,0))*1000*$B$12</f>
        <v>0</v>
      </c>
      <c r="J47" s="546">
        <f>(INDEX('3.2 District Heat'!$D74:$CF74,1,MATCH(INDEX($C$5:$C$9,MATCH(Dashboard!$D$6,$B$5:$B$9,0),1)&amp;J$19&amp;J$20,'3.2 District Heat'!$D$42:$CF$42,0))+INDEX('3.2 District Heat'!$D74:$CF74,1,MATCH(INDEX($C$5:$C$9,MATCH(Dashboard!$D$6,$B$5:$B$9,0),1)&amp;J$18&amp;J$20,'3.2 District Heat'!$D$42:$CF$42,0)))*1000*$B$12</f>
        <v>0</v>
      </c>
      <c r="K47" s="148">
        <f>INDEX('3.2 District Heat'!$D74:$CF74,1,MATCH(INDEX('DH calcs - old'!$C$5:$C$9,MATCH(Dashboard!$D$6,'DH calcs - old'!$B$5:$B$9,0),1)&amp;K$19&amp;K$20,'3.2 District Heat'!$D$42:$CF$42,0))*1000*$B$12</f>
        <v>0</v>
      </c>
      <c r="L47" s="148">
        <f>INDEX('3.2 District Heat'!$D74:$CF74,1,MATCH(INDEX('DH calcs - old'!$C$5:$C$9,MATCH(Dashboard!$D$6,'DH calcs - old'!$B$5:$B$9,0),1)&amp;L$19&amp;L$20,'3.2 District Heat'!$D$42:$CF$42,0))*1000*$B$12</f>
        <v>0</v>
      </c>
      <c r="M47" s="148">
        <f>INDEX('3.2 District Heat'!$D74:$CF74,1,MATCH(INDEX('DH calcs - old'!$C$5:$C$9,MATCH(Dashboard!$D$6,'DH calcs - old'!$B$5:$B$9,0),1)&amp;M$19&amp;M$20,'3.2 District Heat'!$D$42:$CF$42,0))*1000*$B$12</f>
        <v>0</v>
      </c>
      <c r="N47" s="148">
        <f>INDEX('3.2 District Heat'!$D74:$CF74,1,MATCH(INDEX('DH calcs - old'!$C$5:$C$9,MATCH(Dashboard!$D$6,'DH calcs - old'!$B$5:$B$9,0),1)&amp;N$19&amp;N$20,'3.2 District Heat'!$D$42:$CF$42,0))*1000*$B$12</f>
        <v>0</v>
      </c>
      <c r="O47" s="379">
        <f>(INDEX('3.2 District Heat'!$D74:$CF74,1,MATCH(INDEX('DH calcs - old'!$C$5:$C$9,MATCH(Dashboard!$D$6,'DH calcs - old'!$B$5:$B$9,0),1)&amp;O$19&amp;O$20,'3.2 District Heat'!$D$42:$CF$42,0))*1000+E47*(1-$B$13))*$B$12</f>
        <v>551040</v>
      </c>
      <c r="P47" s="379">
        <f t="shared" si="1"/>
        <v>2724030.0423781928</v>
      </c>
      <c r="Q47" s="148">
        <f t="shared" si="2"/>
        <v>3275070.0423781928</v>
      </c>
      <c r="R47" s="148"/>
      <c r="S47" s="148">
        <f>INDEX('3.2 District Heat'!$D74:$CF74,1,MATCH(INDEX('DH calcs - old'!$C$5:$C$9,MATCH(Dashboard!$D$6,'DH calcs - old'!$B$5:$B$9,0),1)&amp;S$19&amp;S$20,'3.2 District Heat'!$D$42:$CF$42,0))*1000*$B$12</f>
        <v>5213587.7363640424</v>
      </c>
      <c r="T47" s="148">
        <f>INDEX('3.2 District Heat'!$D74:$CF74,1,MATCH(INDEX('DH calcs - old'!$C$5:$C$9,MATCH(Dashboard!$D$6,'DH calcs - old'!$B$5:$B$9,0),1)&amp;T$19&amp;T$20,'3.2 District Heat'!$D$42:$CF$42,0))*1000*$B$12</f>
        <v>0</v>
      </c>
      <c r="U47" s="148">
        <f>INDEX('3.2 District Heat'!$D74:$CF74,1,MATCH(INDEX('DH calcs - old'!$C$5:$C$9,MATCH(Dashboard!$D$6,'DH calcs - old'!$B$5:$B$9,0),1)&amp;U$19&amp;U$20,'3.2 District Heat'!$D$42:$CF$42,0))*1000*$B$12</f>
        <v>0</v>
      </c>
      <c r="V47" s="148">
        <f>(INDEX('3.2 District Heat'!$D74:$CF74,1,MATCH(INDEX('DH calcs - old'!$C$5:$C$9,MATCH(Dashboard!$D$6,'DH calcs - old'!$B$5:$B$9,0),1)&amp;V$19&amp;V$20,'3.2 District Heat'!$D$42:$CF$42,0))*1000+E47*IF(Dashboard!$D$6="=INDEX('Scenario names'!$C$3:$C$6,2)",$H$12,IF(Dashboard!$D$6="=INDEX('Scenario names'!$C$3:$C$6,3)",$H$13,$H$14)))*$B$12</f>
        <v>0</v>
      </c>
      <c r="W47" s="546">
        <f>(INDEX('3.2 District Heat'!$D74:$CF74,1,MATCH(INDEX('DH calcs - old'!$C$5:$C$9,MATCH(Dashboard!$D$6,'DH calcs - old'!$B$5:$B$9,0),1)&amp;W$19&amp;W$20,'3.2 District Heat'!$D$42:$CF$42,0))+INDEX('3.2 District Heat'!$D74:$CF74,1,MATCH(INDEX('DH calcs - old'!$C$5:$C$9,MATCH(Dashboard!$D$6,'DH calcs - old'!$B$5:$B$9,0),1)&amp;W$18&amp;W$20,'3.2 District Heat'!$D$42:$CF$42,0)))*1000*$B$12</f>
        <v>0</v>
      </c>
      <c r="X47" s="148">
        <f>INDEX('3.2 District Heat'!$D74:$CF74,1,MATCH(INDEX('DH calcs - old'!$C$5:$C$9,MATCH(Dashboard!$D$6,'DH calcs - old'!$B$5:$B$9,0),1)&amp;X$19&amp;X$20,'3.2 District Heat'!$D$42:$CF$42,0))*1000*$B$12</f>
        <v>0</v>
      </c>
      <c r="Y47" s="148">
        <f>INDEX('3.2 District Heat'!$D74:$CF74,1,MATCH(INDEX('DH calcs - old'!$C$5:$C$9,MATCH(Dashboard!$D$6,'DH calcs - old'!$B$5:$B$9,0),1)&amp;Y$19&amp;Y$20,'3.2 District Heat'!$D$42:$CF$42,0))*1000*$B$12</f>
        <v>0</v>
      </c>
      <c r="Z47" s="148">
        <f>(INDEX('3.2 District Heat'!$D74:$CF74,1,MATCH(INDEX('DH calcs - old'!$C$5:$C$9,MATCH(Dashboard!$D$6,'DH calcs - old'!$B$5:$B$9,0),1)&amp;Z$19&amp;Z$20,'3.2 District Heat'!$D$42:$CF$42,0))*1000+E47*IF(Dashboard!$D$6="=INDEX('Scenario names'!$C$3:$C$6,2)",$I$12,IF(Dashboard!$D$6="=INDEX('Scenario names'!$C$3:$C$6,3)",$I$13,$I$14)))*$B$12</f>
        <v>734720</v>
      </c>
      <c r="AA47" s="148">
        <f>INDEX('3.2 District Heat'!$D74:$CF74,1,MATCH(INDEX('DH calcs - old'!$C$5:$C$9,MATCH(Dashboard!$D$6,'DH calcs - old'!$B$5:$B$9,0),1)&amp;AA$19&amp;AA$20,'3.2 District Heat'!$D$42:$CF$42,0))*1000*$B$12</f>
        <v>0</v>
      </c>
      <c r="AB47" s="148">
        <f>INDEX('3.2 District Heat'!$D74:$CF74,1,MATCH(INDEX('DH calcs - old'!$C$5:$C$9,MATCH(Dashboard!$D$6,'DH calcs - old'!$B$5:$B$9,0),1)&amp;AB$19&amp;AB$20,'3.2 District Heat'!$D$42:$CF$42,0))*1000*$B$12</f>
        <v>0</v>
      </c>
      <c r="AC47" s="379">
        <f t="shared" si="3"/>
        <v>1487076.9340910101</v>
      </c>
      <c r="AD47" s="379">
        <f>AB47+AC47*IF(Dashboard!$D$6="=INDEX('Scenario names'!$C$3:$C$6,2)",$J$12,IF(Dashboard!$D$6="=INDEX('Scenario names'!$C$3:$C$6,3)",$J$13,$J$14))</f>
        <v>0</v>
      </c>
      <c r="AE47" s="379">
        <f>Z47+AC47*IF(Dashboard!$D$6="=INDEX('Scenario names'!$C$3:$C$6,2)",$K$12,IF(Dashboard!$D$6="=INDEX('Scenario names'!$C$3:$C$6,3)",$K$13,$K$14))</f>
        <v>2221796.9340910101</v>
      </c>
      <c r="AF47" s="378">
        <f>IF(OR(Dashboard!$D$6=INDEX('Scenario names'!$C$3:$C$6,3),Dashboard!$D$6=INDEX('Scenario names'!$C$3:$C$6,2)),'3.2 District Heat'!BD74,IF(Dashboard!$D$6=INDEX('Scenario names'!$B$3:$B$6,4),'3.2 District Heat'!CE74,IF(OR(Dashboard!$D$6="Baseline",Dashboard!$D$6=INDEX('Scenario names'!$C$3:$C$6,1)),'3.2 District Heat'!AC74, Error)))</f>
        <v>0</v>
      </c>
    </row>
    <row r="48" spans="1:32">
      <c r="A48" s="114" t="s">
        <v>655</v>
      </c>
      <c r="B48" s="148">
        <f>'3.2 District Heat'!B75*$B$11*1000</f>
        <v>17121854.999999996</v>
      </c>
      <c r="C48" s="148">
        <f>'3.2 District Heat'!B75*$B$11*1000</f>
        <v>17121854.999999996</v>
      </c>
      <c r="D48" s="148"/>
      <c r="E48" s="148">
        <f t="shared" si="0"/>
        <v>34243709.999999993</v>
      </c>
      <c r="F48" s="148">
        <f>INDEX('3.2 District Heat'!$D75:$CF75,1,MATCH(INDEX('DH calcs - old'!$C$5:$C$9,MATCH(Dashboard!$D$6,'DH calcs - old'!$B$5:$B$9,0),1)&amp;F$19&amp;F$20,'3.2 District Heat'!$D$42:$CF$42,0))*1000*$B$12</f>
        <v>4584924.8406577595</v>
      </c>
      <c r="G48" s="379">
        <f>(INDEX('3.2 District Heat'!$D75:$CF75,1,MATCH(INDEX('DH calcs - old'!$C$5:$C$9,MATCH(Dashboard!$D$6,'DH calcs - old'!$B$5:$B$9,0),1)&amp;G$19&amp;G$20,'3.2 District Heat'!$D$42:$CF$42,0))*1000+(E48*$B$13))*$B$12</f>
        <v>26438682.126453664</v>
      </c>
      <c r="H48" s="148">
        <f>INDEX('3.2 District Heat'!$D75:$CF75,1,MATCH(INDEX('DH calcs - old'!$C$5:$C$9,MATCH(Dashboard!$D$6,'DH calcs - old'!$B$5:$B$9,0),1)&amp;H$19&amp;H$20,'3.2 District Heat'!$D$42:$CF$42,0))*1000*$B$12</f>
        <v>5762753.6075738501</v>
      </c>
      <c r="I48" s="148">
        <f>INDEX('3.2 District Heat'!$D75:$CF75,1,MATCH(INDEX('DH calcs - old'!$C$5:$C$9,MATCH(Dashboard!$D$6,'DH calcs - old'!$B$5:$B$9,0),1)&amp;I$19&amp;I$20,'3.2 District Heat'!$D$42:$CF$42,0))*1000*$B$12</f>
        <v>0</v>
      </c>
      <c r="J48" s="546">
        <f>(INDEX('3.2 District Heat'!$D75:$CF75,1,MATCH(INDEX($C$5:$C$9,MATCH(Dashboard!$D$6,$B$5:$B$9,0),1)&amp;J$19&amp;J$20,'3.2 District Heat'!$D$42:$CF$42,0))+INDEX('3.2 District Heat'!$D75:$CF75,1,MATCH(INDEX($C$5:$C$9,MATCH(Dashboard!$D$6,$B$5:$B$9,0),1)&amp;J$18&amp;J$20,'3.2 District Heat'!$D$42:$CF$42,0)))*1000*$B$12</f>
        <v>0</v>
      </c>
      <c r="K48" s="148">
        <f>INDEX('3.2 District Heat'!$D75:$CF75,1,MATCH(INDEX('DH calcs - old'!$C$5:$C$9,MATCH(Dashboard!$D$6,'DH calcs - old'!$B$5:$B$9,0),1)&amp;K$19&amp;K$20,'3.2 District Heat'!$D$42:$CF$42,0))*1000*$B$12</f>
        <v>0</v>
      </c>
      <c r="L48" s="148">
        <f>INDEX('3.2 District Heat'!$D75:$CF75,1,MATCH(INDEX('DH calcs - old'!$C$5:$C$9,MATCH(Dashboard!$D$6,'DH calcs - old'!$B$5:$B$9,0),1)&amp;L$19&amp;L$20,'3.2 District Heat'!$D$42:$CF$42,0))*1000*$B$12</f>
        <v>0</v>
      </c>
      <c r="M48" s="148">
        <f>INDEX('3.2 District Heat'!$D75:$CF75,1,MATCH(INDEX('DH calcs - old'!$C$5:$C$9,MATCH(Dashboard!$D$6,'DH calcs - old'!$B$5:$B$9,0),1)&amp;M$19&amp;M$20,'3.2 District Heat'!$D$42:$CF$42,0))*1000*$B$12</f>
        <v>0</v>
      </c>
      <c r="N48" s="148">
        <f>INDEX('3.2 District Heat'!$D75:$CF75,1,MATCH(INDEX('DH calcs - old'!$C$5:$C$9,MATCH(Dashboard!$D$6,'DH calcs - old'!$B$5:$B$9,0),1)&amp;N$19&amp;N$20,'3.2 District Heat'!$D$42:$CF$42,0))*1000*$B$12</f>
        <v>0</v>
      </c>
      <c r="O48" s="379">
        <f>(INDEX('3.2 District Heat'!$D75:$CF75,1,MATCH(INDEX('DH calcs - old'!$C$5:$C$9,MATCH(Dashboard!$D$6,'DH calcs - old'!$B$5:$B$9,0),1)&amp;O$19&amp;O$20,'3.2 District Heat'!$D$42:$CF$42,0))*1000+E48*(1-$B$13))*$B$12</f>
        <v>59534806.053297997</v>
      </c>
      <c r="P48" s="379">
        <f t="shared" si="1"/>
        <v>24080291.656995818</v>
      </c>
      <c r="Q48" s="148">
        <f t="shared" si="2"/>
        <v>83615097.710293815</v>
      </c>
      <c r="R48" s="148"/>
      <c r="S48" s="148">
        <f>INDEX('3.2 District Heat'!$D75:$CF75,1,MATCH(INDEX('DH calcs - old'!$C$5:$C$9,MATCH(Dashboard!$D$6,'DH calcs - old'!$B$5:$B$9,0),1)&amp;S$19&amp;S$20,'3.2 District Heat'!$D$42:$CF$42,0))*1000*$B$12</f>
        <v>18499252.992517889</v>
      </c>
      <c r="T48" s="148">
        <f>INDEX('3.2 District Heat'!$D75:$CF75,1,MATCH(INDEX('DH calcs - old'!$C$5:$C$9,MATCH(Dashboard!$D$6,'DH calcs - old'!$B$5:$B$9,0),1)&amp;T$19&amp;T$20,'3.2 District Heat'!$D$42:$CF$42,0))*1000*$B$12</f>
        <v>0</v>
      </c>
      <c r="U48" s="148">
        <f>INDEX('3.2 District Heat'!$D75:$CF75,1,MATCH(INDEX('DH calcs - old'!$C$5:$C$9,MATCH(Dashboard!$D$6,'DH calcs - old'!$B$5:$B$9,0),1)&amp;U$19&amp;U$20,'3.2 District Heat'!$D$42:$CF$42,0))*1000*$B$12</f>
        <v>8449661.5332838912</v>
      </c>
      <c r="V48" s="148">
        <f>(INDEX('3.2 District Heat'!$D75:$CF75,1,MATCH(INDEX('DH calcs - old'!$C$5:$C$9,MATCH(Dashboard!$D$6,'DH calcs - old'!$B$5:$B$9,0),1)&amp;V$19&amp;V$20,'3.2 District Heat'!$D$42:$CF$42,0))*1000+E48*IF(Dashboard!$D$6="=INDEX('Scenario names'!$C$3:$C$6,2)",$H$12,IF(Dashboard!$D$6="=INDEX('Scenario names'!$C$3:$C$6,3)",$H$13,$H$14)))*$B$12</f>
        <v>0</v>
      </c>
      <c r="W48" s="546">
        <f>(INDEX('3.2 District Heat'!$D75:$CF75,1,MATCH(INDEX('DH calcs - old'!$C$5:$C$9,MATCH(Dashboard!$D$6,'DH calcs - old'!$B$5:$B$9,0),1)&amp;W$19&amp;W$20,'3.2 District Heat'!$D$42:$CF$42,0))+INDEX('3.2 District Heat'!$D75:$CF75,1,MATCH(INDEX('DH calcs - old'!$C$5:$C$9,MATCH(Dashboard!$D$6,'DH calcs - old'!$B$5:$B$9,0),1)&amp;W$18&amp;W$20,'3.2 District Heat'!$D$42:$CF$42,0)))*1000*$B$12</f>
        <v>2516419.9484898625</v>
      </c>
      <c r="X48" s="148">
        <f>INDEX('3.2 District Heat'!$D75:$CF75,1,MATCH(INDEX('DH calcs - old'!$C$5:$C$9,MATCH(Dashboard!$D$6,'DH calcs - old'!$B$5:$B$9,0),1)&amp;X$19&amp;X$20,'3.2 District Heat'!$D$42:$CF$42,0))*1000*$B$12</f>
        <v>24875676.883197676</v>
      </c>
      <c r="Y48" s="148">
        <f>INDEX('3.2 District Heat'!$D75:$CF75,1,MATCH(INDEX('DH calcs - old'!$C$5:$C$9,MATCH(Dashboard!$D$6,'DH calcs - old'!$B$5:$B$9,0),1)&amp;Y$19&amp;Y$20,'3.2 District Heat'!$D$42:$CF$42,0))*1000*$B$12</f>
        <v>0</v>
      </c>
      <c r="Z48" s="148">
        <f>(INDEX('3.2 District Heat'!$D75:$CF75,1,MATCH(INDEX('DH calcs - old'!$C$5:$C$9,MATCH(Dashboard!$D$6,'DH calcs - old'!$B$5:$B$9,0),1)&amp;Z$19&amp;Z$20,'3.2 District Heat'!$D$42:$CF$42,0))*1000+E48*IF(Dashboard!$D$6="=INDEX('Scenario names'!$C$3:$C$6,2)",$I$12,IF(Dashboard!$D$6="=INDEX('Scenario names'!$C$3:$C$6,3)",$I$13,$I$14)))*$B$12</f>
        <v>163011932.94782683</v>
      </c>
      <c r="AA48" s="148">
        <f>INDEX('3.2 District Heat'!$D75:$CF75,1,MATCH(INDEX('DH calcs - old'!$C$5:$C$9,MATCH(Dashboard!$D$6,'DH calcs - old'!$B$5:$B$9,0),1)&amp;AA$19&amp;AA$20,'3.2 District Heat'!$D$42:$CF$42,0))*1000*$B$12</f>
        <v>0</v>
      </c>
      <c r="AB48" s="148">
        <f>INDEX('3.2 District Heat'!$D75:$CF75,1,MATCH(INDEX('DH calcs - old'!$C$5:$C$9,MATCH(Dashboard!$D$6,'DH calcs - old'!$B$5:$B$9,0),1)&amp;AB$19&amp;AB$20,'3.2 District Heat'!$D$42:$CF$42,0))*1000*$B$12</f>
        <v>0</v>
      </c>
      <c r="AC48" s="379">
        <f t="shared" si="3"/>
        <v>54338236.076328993</v>
      </c>
      <c r="AD48" s="379">
        <f>AB48+AC48*IF(Dashboard!$D$6="=INDEX('Scenario names'!$C$3:$C$6,2)",$J$12,IF(Dashboard!$D$6="=INDEX('Scenario names'!$C$3:$C$6,3)",$J$13,$J$14))</f>
        <v>0</v>
      </c>
      <c r="AE48" s="379">
        <f>Z48+AC48*IF(Dashboard!$D$6="=INDEX('Scenario names'!$C$3:$C$6,2)",$K$12,IF(Dashboard!$D$6="=INDEX('Scenario names'!$C$3:$C$6,3)",$K$13,$K$14))</f>
        <v>217350169.02415583</v>
      </c>
      <c r="AF48" s="378">
        <f>IF(OR(Dashboard!$D$6=INDEX('Scenario names'!$C$3:$C$6,3),Dashboard!$D$6=INDEX('Scenario names'!$C$3:$C$6,2)),'3.2 District Heat'!BD75,IF(Dashboard!$D$6=INDEX('Scenario names'!$B$3:$B$6,4),'3.2 District Heat'!CE75,IF(OR(Dashboard!$D$6="Baseline",Dashboard!$D$6=INDEX('Scenario names'!$C$3:$C$6,1)),'3.2 District Heat'!AC75, Error)))</f>
        <v>107769.62370701201</v>
      </c>
    </row>
    <row r="49" spans="1:16383">
      <c r="A49" s="114" t="s">
        <v>656</v>
      </c>
      <c r="B49" s="148">
        <f>'3.2 District Heat'!B76*$B$11*1000</f>
        <v>2508707.5</v>
      </c>
      <c r="C49" s="148">
        <f>'3.2 District Heat'!B76*$B$11*1000</f>
        <v>2508707.5</v>
      </c>
      <c r="D49" s="148"/>
      <c r="E49" s="148">
        <f t="shared" si="0"/>
        <v>5017415</v>
      </c>
      <c r="F49" s="148">
        <f>INDEX('3.2 District Heat'!$D76:$CF76,1,MATCH(INDEX('DH calcs - old'!$C$5:$C$9,MATCH(Dashboard!$D$6,'DH calcs - old'!$B$5:$B$9,0),1)&amp;F$19&amp;F$20,'3.2 District Heat'!$D$42:$CF$42,0))*1000*$B$12</f>
        <v>2340322.7444960526</v>
      </c>
      <c r="G49" s="379">
        <f>(INDEX('3.2 District Heat'!$D76:$CF76,1,MATCH(INDEX('DH calcs - old'!$C$5:$C$9,MATCH(Dashboard!$D$6,'DH calcs - old'!$B$5:$B$9,0),1)&amp;G$19&amp;G$20,'3.2 District Heat'!$D$42:$CF$42,0))*1000+(E49*$B$13))*$B$12</f>
        <v>1003483</v>
      </c>
      <c r="H49" s="148">
        <f>INDEX('3.2 District Heat'!$D76:$CF76,1,MATCH(INDEX('DH calcs - old'!$C$5:$C$9,MATCH(Dashboard!$D$6,'DH calcs - old'!$B$5:$B$9,0),1)&amp;H$19&amp;H$20,'3.2 District Heat'!$D$42:$CF$42,0))*1000*$B$12</f>
        <v>0</v>
      </c>
      <c r="I49" s="148">
        <f>INDEX('3.2 District Heat'!$D76:$CF76,1,MATCH(INDEX('DH calcs - old'!$C$5:$C$9,MATCH(Dashboard!$D$6,'DH calcs - old'!$B$5:$B$9,0),1)&amp;I$19&amp;I$20,'3.2 District Heat'!$D$42:$CF$42,0))*1000*$B$12</f>
        <v>0</v>
      </c>
      <c r="J49" s="546">
        <f>(INDEX('3.2 District Heat'!$D76:$CF76,1,MATCH(INDEX($C$5:$C$9,MATCH(Dashboard!$D$6,$B$5:$B$9,0),1)&amp;J$19&amp;J$20,'3.2 District Heat'!$D$42:$CF$42,0))+INDEX('3.2 District Heat'!$D76:$CF76,1,MATCH(INDEX($C$5:$C$9,MATCH(Dashboard!$D$6,$B$5:$B$9,0),1)&amp;J$18&amp;J$20,'3.2 District Heat'!$D$42:$CF$42,0)))*1000*$B$12</f>
        <v>0</v>
      </c>
      <c r="K49" s="148">
        <f>INDEX('3.2 District Heat'!$D76:$CF76,1,MATCH(INDEX('DH calcs - old'!$C$5:$C$9,MATCH(Dashboard!$D$6,'DH calcs - old'!$B$5:$B$9,0),1)&amp;K$19&amp;K$20,'3.2 District Heat'!$D$42:$CF$42,0))*1000*$B$12</f>
        <v>0</v>
      </c>
      <c r="L49" s="148">
        <f>INDEX('3.2 District Heat'!$D76:$CF76,1,MATCH(INDEX('DH calcs - old'!$C$5:$C$9,MATCH(Dashboard!$D$6,'DH calcs - old'!$B$5:$B$9,0),1)&amp;L$19&amp;L$20,'3.2 District Heat'!$D$42:$CF$42,0))*1000*$B$12</f>
        <v>0</v>
      </c>
      <c r="M49" s="148">
        <f>INDEX('3.2 District Heat'!$D76:$CF76,1,MATCH(INDEX('DH calcs - old'!$C$5:$C$9,MATCH(Dashboard!$D$6,'DH calcs - old'!$B$5:$B$9,0),1)&amp;M$19&amp;M$20,'3.2 District Heat'!$D$42:$CF$42,0))*1000*$B$12</f>
        <v>0</v>
      </c>
      <c r="N49" s="148">
        <f>INDEX('3.2 District Heat'!$D76:$CF76,1,MATCH(INDEX('DH calcs - old'!$C$5:$C$9,MATCH(Dashboard!$D$6,'DH calcs - old'!$B$5:$B$9,0),1)&amp;N$19&amp;N$20,'3.2 District Heat'!$D$42:$CF$42,0))*1000*$B$12</f>
        <v>0</v>
      </c>
      <c r="O49" s="379">
        <f>(INDEX('3.2 District Heat'!$D76:$CF76,1,MATCH(INDEX('DH calcs - old'!$C$5:$C$9,MATCH(Dashboard!$D$6,'DH calcs - old'!$B$5:$B$9,0),1)&amp;O$19&amp;O$20,'3.2 District Heat'!$D$42:$CF$42,0))*1000+E49*(1-$B$13))*$B$12</f>
        <v>3010449</v>
      </c>
      <c r="P49" s="379">
        <f t="shared" si="1"/>
        <v>1588563.6861240128</v>
      </c>
      <c r="Q49" s="148">
        <f t="shared" si="2"/>
        <v>4599012.6861240128</v>
      </c>
      <c r="R49" s="148"/>
      <c r="S49" s="148">
        <f>INDEX('3.2 District Heat'!$D76:$CF76,1,MATCH(INDEX('DH calcs - old'!$C$5:$C$9,MATCH(Dashboard!$D$6,'DH calcs - old'!$B$5:$B$9,0),1)&amp;S$19&amp;S$20,'3.2 District Heat'!$D$42:$CF$42,0))*1000*$B$12</f>
        <v>7397214.1940444261</v>
      </c>
      <c r="T49" s="148">
        <f>INDEX('3.2 District Heat'!$D76:$CF76,1,MATCH(INDEX('DH calcs - old'!$C$5:$C$9,MATCH(Dashboard!$D$6,'DH calcs - old'!$B$5:$B$9,0),1)&amp;T$19&amp;T$20,'3.2 District Heat'!$D$42:$CF$42,0))*1000*$B$12</f>
        <v>0</v>
      </c>
      <c r="U49" s="148">
        <f>INDEX('3.2 District Heat'!$D76:$CF76,1,MATCH(INDEX('DH calcs - old'!$C$5:$C$9,MATCH(Dashboard!$D$6,'DH calcs - old'!$B$5:$B$9,0),1)&amp;U$19&amp;U$20,'3.2 District Heat'!$D$42:$CF$42,0))*1000*$B$12</f>
        <v>0</v>
      </c>
      <c r="V49" s="148">
        <f>(INDEX('3.2 District Heat'!$D76:$CF76,1,MATCH(INDEX('DH calcs - old'!$C$5:$C$9,MATCH(Dashboard!$D$6,'DH calcs - old'!$B$5:$B$9,0),1)&amp;V$19&amp;V$20,'3.2 District Heat'!$D$42:$CF$42,0))*1000+E49*IF(Dashboard!$D$6="=INDEX('Scenario names'!$C$3:$C$6,2)",$H$12,IF(Dashboard!$D$6="=INDEX('Scenario names'!$C$3:$C$6,3)",$H$13,$H$14)))*$B$12</f>
        <v>0</v>
      </c>
      <c r="W49" s="546">
        <f>(INDEX('3.2 District Heat'!$D76:$CF76,1,MATCH(INDEX('DH calcs - old'!$C$5:$C$9,MATCH(Dashboard!$D$6,'DH calcs - old'!$B$5:$B$9,0),1)&amp;W$19&amp;W$20,'3.2 District Heat'!$D$42:$CF$42,0))+INDEX('3.2 District Heat'!$D76:$CF76,1,MATCH(INDEX('DH calcs - old'!$C$5:$C$9,MATCH(Dashboard!$D$6,'DH calcs - old'!$B$5:$B$9,0),1)&amp;W$18&amp;W$20,'3.2 District Heat'!$D$42:$CF$42,0)))*1000*$B$12</f>
        <v>0</v>
      </c>
      <c r="X49" s="148">
        <f>INDEX('3.2 District Heat'!$D76:$CF76,1,MATCH(INDEX('DH calcs - old'!$C$5:$C$9,MATCH(Dashboard!$D$6,'DH calcs - old'!$B$5:$B$9,0),1)&amp;X$19&amp;X$20,'3.2 District Heat'!$D$42:$CF$42,0))*1000*$B$12</f>
        <v>0</v>
      </c>
      <c r="Y49" s="148">
        <f>INDEX('3.2 District Heat'!$D76:$CF76,1,MATCH(INDEX('DH calcs - old'!$C$5:$C$9,MATCH(Dashboard!$D$6,'DH calcs - old'!$B$5:$B$9,0),1)&amp;Y$19&amp;Y$20,'3.2 District Heat'!$D$42:$CF$42,0))*1000*$B$12</f>
        <v>0</v>
      </c>
      <c r="Z49" s="148">
        <f>(INDEX('3.2 District Heat'!$D76:$CF76,1,MATCH(INDEX('DH calcs - old'!$C$5:$C$9,MATCH(Dashboard!$D$6,'DH calcs - old'!$B$5:$B$9,0),1)&amp;Z$19&amp;Z$20,'3.2 District Heat'!$D$42:$CF$42,0))*1000+E49*IF(Dashboard!$D$6="=INDEX('Scenario names'!$C$3:$C$6,2)",$I$12,IF(Dashboard!$D$6="=INDEX('Scenario names'!$C$3:$C$6,3)",$I$13,$I$14)))*$B$12</f>
        <v>4013932</v>
      </c>
      <c r="AA49" s="148">
        <f>INDEX('3.2 District Heat'!$D76:$CF76,1,MATCH(INDEX('DH calcs - old'!$C$5:$C$9,MATCH(Dashboard!$D$6,'DH calcs - old'!$B$5:$B$9,0),1)&amp;AA$19&amp;AA$20,'3.2 District Heat'!$D$42:$CF$42,0))*1000*$B$12</f>
        <v>0</v>
      </c>
      <c r="AB49" s="148">
        <f>INDEX('3.2 District Heat'!$D76:$CF76,1,MATCH(INDEX('DH calcs - old'!$C$5:$C$9,MATCH(Dashboard!$D$6,'DH calcs - old'!$B$5:$B$9,0),1)&amp;AB$19&amp;AB$20,'3.2 District Heat'!$D$42:$CF$42,0))*1000*$B$12</f>
        <v>0</v>
      </c>
      <c r="AC49" s="379">
        <f t="shared" si="3"/>
        <v>2852786.5485111065</v>
      </c>
      <c r="AD49" s="379">
        <f>AB49+AC49*IF(Dashboard!$D$6="=INDEX('Scenario names'!$C$3:$C$6,2)",$J$12,IF(Dashboard!$D$6="=INDEX('Scenario names'!$C$3:$C$6,3)",$J$13,$J$14))</f>
        <v>0</v>
      </c>
      <c r="AE49" s="379">
        <f>Z49+AC49*IF(Dashboard!$D$6="=INDEX('Scenario names'!$C$3:$C$6,2)",$K$12,IF(Dashboard!$D$6="=INDEX('Scenario names'!$C$3:$C$6,3)",$K$13,$K$14))</f>
        <v>6866718.5485111065</v>
      </c>
      <c r="AF49" s="378">
        <f>IF(OR(Dashboard!$D$6=INDEX('Scenario names'!$C$3:$C$6,3),Dashboard!$D$6=INDEX('Scenario names'!$C$3:$C$6,2)),'3.2 District Heat'!BD76,IF(Dashboard!$D$6=INDEX('Scenario names'!$B$3:$B$6,4),'3.2 District Heat'!CE76,IF(OR(Dashboard!$D$6="Baseline",Dashboard!$D$6=INDEX('Scenario names'!$C$3:$C$6,1)),'3.2 District Heat'!AC76, Error)))</f>
        <v>0</v>
      </c>
    </row>
    <row r="50" spans="1:16383">
      <c r="A50" s="114" t="s">
        <v>657</v>
      </c>
      <c r="B50" s="148">
        <f>'3.2 District Heat'!B77*$B$11*1000</f>
        <v>40217365</v>
      </c>
      <c r="C50" s="148">
        <f>'3.2 District Heat'!B77*$B$11*1000</f>
        <v>40217365</v>
      </c>
      <c r="D50" s="148"/>
      <c r="E50" s="148">
        <f t="shared" si="0"/>
        <v>80434730</v>
      </c>
      <c r="F50" s="148">
        <f>INDEX('3.2 District Heat'!$D77:$CF77,1,MATCH(INDEX('DH calcs - old'!$C$5:$C$9,MATCH(Dashboard!$D$6,'DH calcs - old'!$B$5:$B$9,0),1)&amp;F$19&amp;F$20,'3.2 District Heat'!$D$42:$CF$42,0))*1000*$B$12</f>
        <v>29097290.31023258</v>
      </c>
      <c r="G50" s="379">
        <f>(INDEX('3.2 District Heat'!$D77:$CF77,1,MATCH(INDEX('DH calcs - old'!$C$5:$C$9,MATCH(Dashboard!$D$6,'DH calcs - old'!$B$5:$B$9,0),1)&amp;G$19&amp;G$20,'3.2 District Heat'!$D$42:$CF$42,0))*1000+(E50*$B$13))*$B$12</f>
        <v>165531917.25938845</v>
      </c>
      <c r="H50" s="148">
        <f>INDEX('3.2 District Heat'!$D77:$CF77,1,MATCH(INDEX('DH calcs - old'!$C$5:$C$9,MATCH(Dashboard!$D$6,'DH calcs - old'!$B$5:$B$9,0),1)&amp;H$19&amp;H$20,'3.2 District Heat'!$D$42:$CF$42,0))*1000*$B$12</f>
        <v>0</v>
      </c>
      <c r="I50" s="148">
        <f>INDEX('3.2 District Heat'!$D77:$CF77,1,MATCH(INDEX('DH calcs - old'!$C$5:$C$9,MATCH(Dashboard!$D$6,'DH calcs - old'!$B$5:$B$9,0),1)&amp;I$19&amp;I$20,'3.2 District Heat'!$D$42:$CF$42,0))*1000*$B$12</f>
        <v>0</v>
      </c>
      <c r="J50" s="546">
        <f>(INDEX('3.2 District Heat'!$D77:$CF77,1,MATCH(INDEX($C$5:$C$9,MATCH(Dashboard!$D$6,$B$5:$B$9,0),1)&amp;J$19&amp;J$20,'3.2 District Heat'!$D$42:$CF$42,0))+INDEX('3.2 District Heat'!$D77:$CF77,1,MATCH(INDEX($C$5:$C$9,MATCH(Dashboard!$D$6,$B$5:$B$9,0),1)&amp;J$18&amp;J$20,'3.2 District Heat'!$D$42:$CF$42,0)))*1000*$B$12</f>
        <v>0</v>
      </c>
      <c r="K50" s="148">
        <f>INDEX('3.2 District Heat'!$D77:$CF77,1,MATCH(INDEX('DH calcs - old'!$C$5:$C$9,MATCH(Dashboard!$D$6,'DH calcs - old'!$B$5:$B$9,0),1)&amp;K$19&amp;K$20,'3.2 District Heat'!$D$42:$CF$42,0))*1000*$B$12</f>
        <v>0</v>
      </c>
      <c r="L50" s="148">
        <f>INDEX('3.2 District Heat'!$D77:$CF77,1,MATCH(INDEX('DH calcs - old'!$C$5:$C$9,MATCH(Dashboard!$D$6,'DH calcs - old'!$B$5:$B$9,0),1)&amp;L$19&amp;L$20,'3.2 District Heat'!$D$42:$CF$42,0))*1000*$B$12</f>
        <v>0</v>
      </c>
      <c r="M50" s="148">
        <f>INDEX('3.2 District Heat'!$D77:$CF77,1,MATCH(INDEX('DH calcs - old'!$C$5:$C$9,MATCH(Dashboard!$D$6,'DH calcs - old'!$B$5:$B$9,0),1)&amp;M$19&amp;M$20,'3.2 District Heat'!$D$42:$CF$42,0))*1000*$B$12</f>
        <v>0</v>
      </c>
      <c r="N50" s="148">
        <f>INDEX('3.2 District Heat'!$D77:$CF77,1,MATCH(INDEX('DH calcs - old'!$C$5:$C$9,MATCH(Dashboard!$D$6,'DH calcs - old'!$B$5:$B$9,0),1)&amp;N$19&amp;N$20,'3.2 District Heat'!$D$42:$CF$42,0))*1000*$B$12</f>
        <v>0</v>
      </c>
      <c r="O50" s="379">
        <f>(INDEX('3.2 District Heat'!$D77:$CF77,1,MATCH(INDEX('DH calcs - old'!$C$5:$C$9,MATCH(Dashboard!$D$6,'DH calcs - old'!$B$5:$B$9,0),1)&amp;O$19&amp;O$20,'3.2 District Heat'!$D$42:$CF$42,0))*1000+E50*(1-$B$13))*$B$12</f>
        <v>81610040.63541916</v>
      </c>
      <c r="P50" s="379">
        <f t="shared" si="1"/>
        <v>69059812.051260054</v>
      </c>
      <c r="Q50" s="148">
        <f t="shared" si="2"/>
        <v>150669852.68667921</v>
      </c>
      <c r="R50" s="148"/>
      <c r="S50" s="148">
        <f>INDEX('3.2 District Heat'!$D77:$CF77,1,MATCH(INDEX('DH calcs - old'!$C$5:$C$9,MATCH(Dashboard!$D$6,'DH calcs - old'!$B$5:$B$9,0),1)&amp;S$19&amp;S$20,'3.2 District Heat'!$D$42:$CF$42,0))*1000*$B$12</f>
        <v>63862802.72869733</v>
      </c>
      <c r="T50" s="148">
        <f>INDEX('3.2 District Heat'!$D77:$CF77,1,MATCH(INDEX('DH calcs - old'!$C$5:$C$9,MATCH(Dashboard!$D$6,'DH calcs - old'!$B$5:$B$9,0),1)&amp;T$19&amp;T$20,'3.2 District Heat'!$D$42:$CF$42,0))*1000*$B$12</f>
        <v>0</v>
      </c>
      <c r="U50" s="148">
        <f>INDEX('3.2 District Heat'!$D77:$CF77,1,MATCH(INDEX('DH calcs - old'!$C$5:$C$9,MATCH(Dashboard!$D$6,'DH calcs - old'!$B$5:$B$9,0),1)&amp;U$19&amp;U$20,'3.2 District Heat'!$D$42:$CF$42,0))*1000*$B$12</f>
        <v>1889602.2279979319</v>
      </c>
      <c r="V50" s="148">
        <f>(INDEX('3.2 District Heat'!$D77:$CF77,1,MATCH(INDEX('DH calcs - old'!$C$5:$C$9,MATCH(Dashboard!$D$6,'DH calcs - old'!$B$5:$B$9,0),1)&amp;V$19&amp;V$20,'3.2 District Heat'!$D$42:$CF$42,0))*1000+E50*IF(Dashboard!$D$6="=INDEX('Scenario names'!$C$3:$C$6,2)",$H$12,IF(Dashboard!$D$6="=INDEX('Scenario names'!$C$3:$C$6,3)",$H$13,$H$14)))*$B$12</f>
        <v>0</v>
      </c>
      <c r="W50" s="546">
        <f>(INDEX('3.2 District Heat'!$D77:$CF77,1,MATCH(INDEX('DH calcs - old'!$C$5:$C$9,MATCH(Dashboard!$D$6,'DH calcs - old'!$B$5:$B$9,0),1)&amp;W$19&amp;W$20,'3.2 District Heat'!$D$42:$CF$42,0))+INDEX('3.2 District Heat'!$D77:$CF77,1,MATCH(INDEX('DH calcs - old'!$C$5:$C$9,MATCH(Dashboard!$D$6,'DH calcs - old'!$B$5:$B$9,0),1)&amp;W$18&amp;W$20,'3.2 District Heat'!$D$42:$CF$42,0)))*1000*$B$12</f>
        <v>10917510.198360728</v>
      </c>
      <c r="X50" s="148">
        <f>INDEX('3.2 District Heat'!$D77:$CF77,1,MATCH(INDEX('DH calcs - old'!$C$5:$C$9,MATCH(Dashboard!$D$6,'DH calcs - old'!$B$5:$B$9,0),1)&amp;X$19&amp;X$20,'3.2 District Heat'!$D$42:$CF$42,0))*1000*$B$12</f>
        <v>0</v>
      </c>
      <c r="Y50" s="148">
        <f>INDEX('3.2 District Heat'!$D77:$CF77,1,MATCH(INDEX('DH calcs - old'!$C$5:$C$9,MATCH(Dashboard!$D$6,'DH calcs - old'!$B$5:$B$9,0),1)&amp;Y$19&amp;Y$20,'3.2 District Heat'!$D$42:$CF$42,0))*1000*$B$12</f>
        <v>0</v>
      </c>
      <c r="Z50" s="148">
        <f>(INDEX('3.2 District Heat'!$D77:$CF77,1,MATCH(INDEX('DH calcs - old'!$C$5:$C$9,MATCH(Dashboard!$D$6,'DH calcs - old'!$B$5:$B$9,0),1)&amp;Z$19&amp;Z$20,'3.2 District Heat'!$D$42:$CF$42,0))*1000+E50*IF(Dashboard!$D$6="=INDEX('Scenario names'!$C$3:$C$6,2)",$I$12,IF(Dashboard!$D$6="=INDEX('Scenario names'!$C$3:$C$6,3)",$I$13,$I$14)))*$B$12</f>
        <v>297997668.01915932</v>
      </c>
      <c r="AA50" s="148">
        <f>INDEX('3.2 District Heat'!$D77:$CF77,1,MATCH(INDEX('DH calcs - old'!$C$5:$C$9,MATCH(Dashboard!$D$6,'DH calcs - old'!$B$5:$B$9,0),1)&amp;AA$19&amp;AA$20,'3.2 District Heat'!$D$42:$CF$42,0))*1000*$B$12</f>
        <v>0</v>
      </c>
      <c r="AB50" s="148">
        <f>INDEX('3.2 District Heat'!$D77:$CF77,1,MATCH(INDEX('DH calcs - old'!$C$5:$C$9,MATCH(Dashboard!$D$6,'DH calcs - old'!$B$5:$B$9,0),1)&amp;AB$19&amp;AB$20,'3.2 District Heat'!$D$42:$CF$42,0))*1000*$B$12</f>
        <v>0</v>
      </c>
      <c r="AC50" s="379">
        <f t="shared" si="3"/>
        <v>93666895.793553829</v>
      </c>
      <c r="AD50" s="379">
        <f>AB50+AC50*IF(Dashboard!$D$6="=INDEX('Scenario names'!$C$3:$C$6,2)",$J$12,IF(Dashboard!$D$6="=INDEX('Scenario names'!$C$3:$C$6,3)",$J$13,$J$14))</f>
        <v>0</v>
      </c>
      <c r="AE50" s="379">
        <f>Z50+AC50*IF(Dashboard!$D$6="=INDEX('Scenario names'!$C$3:$C$6,2)",$K$12,IF(Dashboard!$D$6="=INDEX('Scenario names'!$C$3:$C$6,3)",$K$13,$K$14))</f>
        <v>391664563.81271315</v>
      </c>
      <c r="AF50" s="378">
        <f>IF(OR(Dashboard!$D$6=INDEX('Scenario names'!$C$3:$C$6,3),Dashboard!$D$6=INDEX('Scenario names'!$C$3:$C$6,2)),'3.2 District Heat'!BD77,IF(Dashboard!$D$6=INDEX('Scenario names'!$B$3:$B$6,4),'3.2 District Heat'!CE77,IF(OR(Dashboard!$D$6="Baseline",Dashboard!$D$6=INDEX('Scenario names'!$C$3:$C$6,1)),'3.2 District Heat'!AC77, Error)))</f>
        <v>181687.45803255547</v>
      </c>
    </row>
    <row r="51" spans="1:16383">
      <c r="A51" s="114" t="s">
        <v>658</v>
      </c>
      <c r="B51" s="148">
        <f>'3.2 District Heat'!B78*$B$11*1000</f>
        <v>3496935</v>
      </c>
      <c r="C51" s="148">
        <f>'3.2 District Heat'!B78*$B$11*1000</f>
        <v>3496935</v>
      </c>
      <c r="D51" s="148"/>
      <c r="E51" s="148">
        <f t="shared" si="0"/>
        <v>6993870</v>
      </c>
      <c r="F51" s="148">
        <f>INDEX('3.2 District Heat'!$D78:$CF78,1,MATCH(INDEX('DH calcs - old'!$C$5:$C$9,MATCH(Dashboard!$D$6,'DH calcs - old'!$B$5:$B$9,0),1)&amp;F$19&amp;F$20,'3.2 District Heat'!$D$42:$CF$42,0))*1000*$B$12</f>
        <v>2558236.3021563673</v>
      </c>
      <c r="G51" s="379">
        <f>(INDEX('3.2 District Heat'!$D78:$CF78,1,MATCH(INDEX('DH calcs - old'!$C$5:$C$9,MATCH(Dashboard!$D$6,'DH calcs - old'!$B$5:$B$9,0),1)&amp;G$19&amp;G$20,'3.2 District Heat'!$D$42:$CF$42,0))*1000+(E51*$B$13))*$B$12</f>
        <v>27404202.080951013</v>
      </c>
      <c r="H51" s="148">
        <f>INDEX('3.2 District Heat'!$D78:$CF78,1,MATCH(INDEX('DH calcs - old'!$C$5:$C$9,MATCH(Dashboard!$D$6,'DH calcs - old'!$B$5:$B$9,0),1)&amp;H$19&amp;H$20,'3.2 District Heat'!$D$42:$CF$42,0))*1000*$B$12</f>
        <v>2124423.9410165395</v>
      </c>
      <c r="I51" s="148">
        <f>INDEX('3.2 District Heat'!$D78:$CF78,1,MATCH(INDEX('DH calcs - old'!$C$5:$C$9,MATCH(Dashboard!$D$6,'DH calcs - old'!$B$5:$B$9,0),1)&amp;I$19&amp;I$20,'3.2 District Heat'!$D$42:$CF$42,0))*1000*$B$12</f>
        <v>0</v>
      </c>
      <c r="J51" s="546">
        <f>(INDEX('3.2 District Heat'!$D78:$CF78,1,MATCH(INDEX($C$5:$C$9,MATCH(Dashboard!$D$6,$B$5:$B$9,0),1)&amp;J$19&amp;J$20,'3.2 District Heat'!$D$42:$CF$42,0))+INDEX('3.2 District Heat'!$D78:$CF78,1,MATCH(INDEX($C$5:$C$9,MATCH(Dashboard!$D$6,$B$5:$B$9,0),1)&amp;J$18&amp;J$20,'3.2 District Heat'!$D$42:$CF$42,0)))*1000*$B$12</f>
        <v>0</v>
      </c>
      <c r="K51" s="148">
        <f>INDEX('3.2 District Heat'!$D78:$CF78,1,MATCH(INDEX('DH calcs - old'!$C$5:$C$9,MATCH(Dashboard!$D$6,'DH calcs - old'!$B$5:$B$9,0),1)&amp;K$19&amp;K$20,'3.2 District Heat'!$D$42:$CF$42,0))*1000*$B$12</f>
        <v>0</v>
      </c>
      <c r="L51" s="148">
        <f>INDEX('3.2 District Heat'!$D78:$CF78,1,MATCH(INDEX('DH calcs - old'!$C$5:$C$9,MATCH(Dashboard!$D$6,'DH calcs - old'!$B$5:$B$9,0),1)&amp;L$19&amp;L$20,'3.2 District Heat'!$D$42:$CF$42,0))*1000*$B$12</f>
        <v>0</v>
      </c>
      <c r="M51" s="148">
        <f>INDEX('3.2 District Heat'!$D78:$CF78,1,MATCH(INDEX('DH calcs - old'!$C$5:$C$9,MATCH(Dashboard!$D$6,'DH calcs - old'!$B$5:$B$9,0),1)&amp;M$19&amp;M$20,'3.2 District Heat'!$D$42:$CF$42,0))*1000*$B$12</f>
        <v>0</v>
      </c>
      <c r="N51" s="148">
        <f>INDEX('3.2 District Heat'!$D78:$CF78,1,MATCH(INDEX('DH calcs - old'!$C$5:$C$9,MATCH(Dashboard!$D$6,'DH calcs - old'!$B$5:$B$9,0),1)&amp;N$19&amp;N$20,'3.2 District Heat'!$D$42:$CF$42,0))*1000*$B$12</f>
        <v>0</v>
      </c>
      <c r="O51" s="379">
        <f>(INDEX('3.2 District Heat'!$D78:$CF78,1,MATCH(INDEX('DH calcs - old'!$C$5:$C$9,MATCH(Dashboard!$D$6,'DH calcs - old'!$B$5:$B$9,0),1)&amp;O$19&amp;O$20,'3.2 District Heat'!$D$42:$CF$42,0))*1000+E51*(1-$B$13))*$B$12</f>
        <v>4196322</v>
      </c>
      <c r="P51" s="379">
        <f t="shared" si="1"/>
        <v>9070796.0810309798</v>
      </c>
      <c r="Q51" s="148">
        <f t="shared" si="2"/>
        <v>13267118.08103098</v>
      </c>
      <c r="R51" s="148"/>
      <c r="S51" s="148">
        <f>INDEX('3.2 District Heat'!$D78:$CF78,1,MATCH(INDEX('DH calcs - old'!$C$5:$C$9,MATCH(Dashboard!$D$6,'DH calcs - old'!$B$5:$B$9,0),1)&amp;S$19&amp;S$20,'3.2 District Heat'!$D$42:$CF$42,0))*1000*$B$12</f>
        <v>13696012.532253424</v>
      </c>
      <c r="T51" s="148">
        <f>INDEX('3.2 District Heat'!$D78:$CF78,1,MATCH(INDEX('DH calcs - old'!$C$5:$C$9,MATCH(Dashboard!$D$6,'DH calcs - old'!$B$5:$B$9,0),1)&amp;T$19&amp;T$20,'3.2 District Heat'!$D$42:$CF$42,0))*1000*$B$12</f>
        <v>0</v>
      </c>
      <c r="U51" s="148">
        <f>INDEX('3.2 District Heat'!$D78:$CF78,1,MATCH(INDEX('DH calcs - old'!$C$5:$C$9,MATCH(Dashboard!$D$6,'DH calcs - old'!$B$5:$B$9,0),1)&amp;U$19&amp;U$20,'3.2 District Heat'!$D$42:$CF$42,0))*1000*$B$12</f>
        <v>0</v>
      </c>
      <c r="V51" s="148">
        <f>(INDEX('3.2 District Heat'!$D78:$CF78,1,MATCH(INDEX('DH calcs - old'!$C$5:$C$9,MATCH(Dashboard!$D$6,'DH calcs - old'!$B$5:$B$9,0),1)&amp;V$19&amp;V$20,'3.2 District Heat'!$D$42:$CF$42,0))*1000+E51*IF(Dashboard!$D$6="=INDEX('Scenario names'!$C$3:$C$6,2)",$H$12,IF(Dashboard!$D$6="=INDEX('Scenario names'!$C$3:$C$6,3)",$H$13,$H$14)))*$B$12</f>
        <v>0</v>
      </c>
      <c r="W51" s="546">
        <f>(INDEX('3.2 District Heat'!$D78:$CF78,1,MATCH(INDEX('DH calcs - old'!$C$5:$C$9,MATCH(Dashboard!$D$6,'DH calcs - old'!$B$5:$B$9,0),1)&amp;W$19&amp;W$20,'3.2 District Heat'!$D$42:$CF$42,0))+INDEX('3.2 District Heat'!$D78:$CF78,1,MATCH(INDEX('DH calcs - old'!$C$5:$C$9,MATCH(Dashboard!$D$6,'DH calcs - old'!$B$5:$B$9,0),1)&amp;W$18&amp;W$20,'3.2 District Heat'!$D$42:$CF$42,0)))*1000*$B$12</f>
        <v>0</v>
      </c>
      <c r="X51" s="148">
        <f>INDEX('3.2 District Heat'!$D78:$CF78,1,MATCH(INDEX('DH calcs - old'!$C$5:$C$9,MATCH(Dashboard!$D$6,'DH calcs - old'!$B$5:$B$9,0),1)&amp;X$19&amp;X$20,'3.2 District Heat'!$D$42:$CF$42,0))*1000*$B$12</f>
        <v>0</v>
      </c>
      <c r="Y51" s="148">
        <f>INDEX('3.2 District Heat'!$D78:$CF78,1,MATCH(INDEX('DH calcs - old'!$C$5:$C$9,MATCH(Dashboard!$D$6,'DH calcs - old'!$B$5:$B$9,0),1)&amp;Y$19&amp;Y$20,'3.2 District Heat'!$D$42:$CF$42,0))*1000*$B$12</f>
        <v>0</v>
      </c>
      <c r="Z51" s="148">
        <f>(INDEX('3.2 District Heat'!$D78:$CF78,1,MATCH(INDEX('DH calcs - old'!$C$5:$C$9,MATCH(Dashboard!$D$6,'DH calcs - old'!$B$5:$B$9,0),1)&amp;Z$19&amp;Z$20,'3.2 District Heat'!$D$42:$CF$42,0))*1000+E51*IF(Dashboard!$D$6="=INDEX('Scenario names'!$C$3:$C$6,2)",$I$12,IF(Dashboard!$D$6="=INDEX('Scenario names'!$C$3:$C$6,3)",$I$13,$I$14)))*$B$12</f>
        <v>5595096</v>
      </c>
      <c r="AA51" s="148">
        <f>INDEX('3.2 District Heat'!$D78:$CF78,1,MATCH(INDEX('DH calcs - old'!$C$5:$C$9,MATCH(Dashboard!$D$6,'DH calcs - old'!$B$5:$B$9,0),1)&amp;AA$19&amp;AA$20,'3.2 District Heat'!$D$42:$CF$42,0))*1000*$B$12</f>
        <v>0</v>
      </c>
      <c r="AB51" s="148">
        <f>INDEX('3.2 District Heat'!$D78:$CF78,1,MATCH(INDEX('DH calcs - old'!$C$5:$C$9,MATCH(Dashboard!$D$6,'DH calcs - old'!$B$5:$B$9,0),1)&amp;AB$19&amp;AB$20,'3.2 District Heat'!$D$42:$CF$42,0))*1000*$B$12</f>
        <v>0</v>
      </c>
      <c r="AC51" s="379">
        <f t="shared" si="3"/>
        <v>4822777.1330633536</v>
      </c>
      <c r="AD51" s="379">
        <f>AB51+AC51*IF(Dashboard!$D$6="=INDEX('Scenario names'!$C$3:$C$6,2)",$J$12,IF(Dashboard!$D$6="=INDEX('Scenario names'!$C$3:$C$6,3)",$J$13,$J$14))</f>
        <v>0</v>
      </c>
      <c r="AE51" s="379">
        <f>Z51+AC51*IF(Dashboard!$D$6="=INDEX('Scenario names'!$C$3:$C$6,2)",$K$12,IF(Dashboard!$D$6="=INDEX('Scenario names'!$C$3:$C$6,3)",$K$13,$K$14))</f>
        <v>10417873.133063354</v>
      </c>
      <c r="AF51" s="378">
        <f>IF(OR(Dashboard!$D$6=INDEX('Scenario names'!$C$3:$C$6,3),Dashboard!$D$6=INDEX('Scenario names'!$C$3:$C$6,2)),'3.2 District Heat'!BD78,IF(Dashboard!$D$6=INDEX('Scenario names'!$B$3:$B$6,4),'3.2 District Heat'!CE78,IF(OR(Dashboard!$D$6="Baseline",Dashboard!$D$6=INDEX('Scenario names'!$C$3:$C$6,1)),'3.2 District Heat'!AC78, Error)))</f>
        <v>0</v>
      </c>
    </row>
    <row r="52" spans="1:16383">
      <c r="A52" s="114" t="s">
        <v>659</v>
      </c>
      <c r="B52" s="148">
        <f>'3.2 District Heat'!B79*$B$11*1000</f>
        <v>42940165</v>
      </c>
      <c r="C52" s="148">
        <f>'3.2 District Heat'!B79*$B$11*1000</f>
        <v>42940165</v>
      </c>
      <c r="D52" s="148"/>
      <c r="E52" s="148">
        <f t="shared" si="0"/>
        <v>85880330</v>
      </c>
      <c r="F52" s="148">
        <f>INDEX('3.2 District Heat'!$D79:$CF79,1,MATCH(INDEX('DH calcs - old'!$C$5:$C$9,MATCH(Dashboard!$D$6,'DH calcs - old'!$B$5:$B$9,0),1)&amp;F$19&amp;F$20,'3.2 District Heat'!$D$42:$CF$42,0))*1000*$B$12</f>
        <v>0</v>
      </c>
      <c r="G52" s="379">
        <f>(INDEX('3.2 District Heat'!$D79:$CF79,1,MATCH(INDEX('DH calcs - old'!$C$5:$C$9,MATCH(Dashboard!$D$6,'DH calcs - old'!$B$5:$B$9,0),1)&amp;G$19&amp;G$20,'3.2 District Heat'!$D$42:$CF$42,0))*1000+(E52*$B$13))*$B$12</f>
        <v>92180013.130738452</v>
      </c>
      <c r="H52" s="148">
        <f>INDEX('3.2 District Heat'!$D79:$CF79,1,MATCH(INDEX('DH calcs - old'!$C$5:$C$9,MATCH(Dashboard!$D$6,'DH calcs - old'!$B$5:$B$9,0),1)&amp;H$19&amp;H$20,'3.2 District Heat'!$D$42:$CF$42,0))*1000*$B$12</f>
        <v>0</v>
      </c>
      <c r="I52" s="148">
        <f>INDEX('3.2 District Heat'!$D79:$CF79,1,MATCH(INDEX('DH calcs - old'!$C$5:$C$9,MATCH(Dashboard!$D$6,'DH calcs - old'!$B$5:$B$9,0),1)&amp;I$19&amp;I$20,'3.2 District Heat'!$D$42:$CF$42,0))*1000*$B$12</f>
        <v>0</v>
      </c>
      <c r="J52" s="546">
        <f>(INDEX('3.2 District Heat'!$D79:$CF79,1,MATCH(INDEX($C$5:$C$9,MATCH(Dashboard!$D$6,$B$5:$B$9,0),1)&amp;J$19&amp;J$20,'3.2 District Heat'!$D$42:$CF$42,0))+INDEX('3.2 District Heat'!$D79:$CF79,1,MATCH(INDEX($C$5:$C$9,MATCH(Dashboard!$D$6,$B$5:$B$9,0),1)&amp;J$18&amp;J$20,'3.2 District Heat'!$D$42:$CF$42,0)))*1000*$B$12</f>
        <v>0</v>
      </c>
      <c r="K52" s="148">
        <f>INDEX('3.2 District Heat'!$D79:$CF79,1,MATCH(INDEX('DH calcs - old'!$C$5:$C$9,MATCH(Dashboard!$D$6,'DH calcs - old'!$B$5:$B$9,0),1)&amp;K$19&amp;K$20,'3.2 District Heat'!$D$42:$CF$42,0))*1000*$B$12</f>
        <v>0</v>
      </c>
      <c r="L52" s="148">
        <f>INDEX('3.2 District Heat'!$D79:$CF79,1,MATCH(INDEX('DH calcs - old'!$C$5:$C$9,MATCH(Dashboard!$D$6,'DH calcs - old'!$B$5:$B$9,0),1)&amp;L$19&amp;L$20,'3.2 District Heat'!$D$42:$CF$42,0))*1000*$B$12</f>
        <v>0</v>
      </c>
      <c r="M52" s="148">
        <f>INDEX('3.2 District Heat'!$D79:$CF79,1,MATCH(INDEX('DH calcs - old'!$C$5:$C$9,MATCH(Dashboard!$D$6,'DH calcs - old'!$B$5:$B$9,0),1)&amp;M$19&amp;M$20,'3.2 District Heat'!$D$42:$CF$42,0))*1000*$B$12</f>
        <v>0</v>
      </c>
      <c r="N52" s="148">
        <f>INDEX('3.2 District Heat'!$D79:$CF79,1,MATCH(INDEX('DH calcs - old'!$C$5:$C$9,MATCH(Dashboard!$D$6,'DH calcs - old'!$B$5:$B$9,0),1)&amp;N$19&amp;N$20,'3.2 District Heat'!$D$42:$CF$42,0))*1000*$B$12</f>
        <v>0</v>
      </c>
      <c r="O52" s="379">
        <f>(INDEX('3.2 District Heat'!$D79:$CF79,1,MATCH(INDEX('DH calcs - old'!$C$5:$C$9,MATCH(Dashboard!$D$6,'DH calcs - old'!$B$5:$B$9,0),1)&amp;O$19&amp;O$20,'3.2 District Heat'!$D$42:$CF$42,0))*1000+E52*(1-$B$13))*$B$12</f>
        <v>63522531.907010905</v>
      </c>
      <c r="P52" s="379">
        <f t="shared" si="1"/>
        <v>38925636.259437323</v>
      </c>
      <c r="Q52" s="148">
        <f t="shared" si="2"/>
        <v>102448168.16644824</v>
      </c>
      <c r="R52" s="148"/>
      <c r="S52" s="148">
        <f>INDEX('3.2 District Heat'!$D79:$CF79,1,MATCH(INDEX('DH calcs - old'!$C$5:$C$9,MATCH(Dashboard!$D$6,'DH calcs - old'!$B$5:$B$9,0),1)&amp;S$19&amp;S$20,'3.2 District Heat'!$D$42:$CF$42,0))*1000*$B$12</f>
        <v>533780.00739105465</v>
      </c>
      <c r="T52" s="148">
        <f>INDEX('3.2 District Heat'!$D79:$CF79,1,MATCH(INDEX('DH calcs - old'!$C$5:$C$9,MATCH(Dashboard!$D$6,'DH calcs - old'!$B$5:$B$9,0),1)&amp;T$19&amp;T$20,'3.2 District Heat'!$D$42:$CF$42,0))*1000*$B$12</f>
        <v>0</v>
      </c>
      <c r="U52" s="148">
        <f>INDEX('3.2 District Heat'!$D79:$CF79,1,MATCH(INDEX('DH calcs - old'!$C$5:$C$9,MATCH(Dashboard!$D$6,'DH calcs - old'!$B$5:$B$9,0),1)&amp;U$19&amp;U$20,'3.2 District Heat'!$D$42:$CF$42,0))*1000*$B$12</f>
        <v>1312846.4380691985</v>
      </c>
      <c r="V52" s="148">
        <f>(INDEX('3.2 District Heat'!$D79:$CF79,1,MATCH(INDEX('DH calcs - old'!$C$5:$C$9,MATCH(Dashboard!$D$6,'DH calcs - old'!$B$5:$B$9,0),1)&amp;V$19&amp;V$20,'3.2 District Heat'!$D$42:$CF$42,0))*1000+E52*IF(Dashboard!$D$6="=INDEX('Scenario names'!$C$3:$C$6,2)",$H$12,IF(Dashboard!$D$6="=INDEX('Scenario names'!$C$3:$C$6,3)",$H$13,$H$14)))*$B$12</f>
        <v>0</v>
      </c>
      <c r="W52" s="546">
        <f>(INDEX('3.2 District Heat'!$D79:$CF79,1,MATCH(INDEX('DH calcs - old'!$C$5:$C$9,MATCH(Dashboard!$D$6,'DH calcs - old'!$B$5:$B$9,0),1)&amp;W$19&amp;W$20,'3.2 District Heat'!$D$42:$CF$42,0))+INDEX('3.2 District Heat'!$D79:$CF79,1,MATCH(INDEX('DH calcs - old'!$C$5:$C$9,MATCH(Dashboard!$D$6,'DH calcs - old'!$B$5:$B$9,0),1)&amp;W$18&amp;W$20,'3.2 District Heat'!$D$42:$CF$42,0)))*1000*$B$12</f>
        <v>5255216.0872956151</v>
      </c>
      <c r="X52" s="148">
        <f>INDEX('3.2 District Heat'!$D79:$CF79,1,MATCH(INDEX('DH calcs - old'!$C$5:$C$9,MATCH(Dashboard!$D$6,'DH calcs - old'!$B$5:$B$9,0),1)&amp;X$19&amp;X$20,'3.2 District Heat'!$D$42:$CF$42,0))*1000*$B$12</f>
        <v>26473662.008764669</v>
      </c>
      <c r="Y52" s="148">
        <f>INDEX('3.2 District Heat'!$D79:$CF79,1,MATCH(INDEX('DH calcs - old'!$C$5:$C$9,MATCH(Dashboard!$D$6,'DH calcs - old'!$B$5:$B$9,0),1)&amp;Y$19&amp;Y$20,'3.2 District Heat'!$D$42:$CF$42,0))*1000*$B$12</f>
        <v>0</v>
      </c>
      <c r="Z52" s="148">
        <f>(INDEX('3.2 District Heat'!$D79:$CF79,1,MATCH(INDEX('DH calcs - old'!$C$5:$C$9,MATCH(Dashboard!$D$6,'DH calcs - old'!$B$5:$B$9,0),1)&amp;Z$19&amp;Z$20,'3.2 District Heat'!$D$42:$CF$42,0))*1000+E52*IF(Dashboard!$D$6="=INDEX('Scenario names'!$C$3:$C$6,2)",$I$12,IF(Dashboard!$D$6="=INDEX('Scenario names'!$C$3:$C$6,3)",$I$13,$I$14)))*$B$12</f>
        <v>118451444.29554796</v>
      </c>
      <c r="AA52" s="148">
        <f>INDEX('3.2 District Heat'!$D79:$CF79,1,MATCH(INDEX('DH calcs - old'!$C$5:$C$9,MATCH(Dashboard!$D$6,'DH calcs - old'!$B$5:$B$9,0),1)&amp;AA$19&amp;AA$20,'3.2 District Heat'!$D$42:$CF$42,0))*1000*$B$12</f>
        <v>0</v>
      </c>
      <c r="AB52" s="148">
        <f>INDEX('3.2 District Heat'!$D79:$CF79,1,MATCH(INDEX('DH calcs - old'!$C$5:$C$9,MATCH(Dashboard!$D$6,'DH calcs - old'!$B$5:$B$9,0),1)&amp;AB$19&amp;AB$20,'3.2 District Heat'!$D$42:$CF$42,0))*1000*$B$12</f>
        <v>0</v>
      </c>
      <c r="AC52" s="379">
        <f t="shared" si="3"/>
        <v>38006737.20926711</v>
      </c>
      <c r="AD52" s="379">
        <f>AB52+AC52*IF(Dashboard!$D$6="=INDEX('Scenario names'!$C$3:$C$6,2)",$J$12,IF(Dashboard!$D$6="=INDEX('Scenario names'!$C$3:$C$6,3)",$J$13,$J$14))</f>
        <v>0</v>
      </c>
      <c r="AE52" s="379">
        <f>Z52+AC52*IF(Dashboard!$D$6="=INDEX('Scenario names'!$C$3:$C$6,2)",$K$12,IF(Dashboard!$D$6="=INDEX('Scenario names'!$C$3:$C$6,3)",$K$13,$K$14))</f>
        <v>156458181.50481507</v>
      </c>
      <c r="AF52" s="378">
        <f>IF(OR(Dashboard!$D$6=INDEX('Scenario names'!$C$3:$C$6,3),Dashboard!$D$6=INDEX('Scenario names'!$C$3:$C$6,2)),'3.2 District Heat'!BD79,IF(Dashboard!$D$6=INDEX('Scenario names'!$B$3:$B$6,4),'3.2 District Heat'!CE79,IF(OR(Dashboard!$D$6="Baseline",Dashboard!$D$6=INDEX('Scenario names'!$C$3:$C$6,1)),'3.2 District Heat'!AC79, Error)))</f>
        <v>39216.354440714545</v>
      </c>
    </row>
    <row r="53" spans="1:16383">
      <c r="A53" s="114" t="s">
        <v>633</v>
      </c>
      <c r="B53" s="148">
        <f>'3.2 District Heat'!B80*$B$11*1000</f>
        <v>31805012.5</v>
      </c>
      <c r="C53" s="148">
        <f>'3.2 District Heat'!B80*$B$11*1000</f>
        <v>31805012.5</v>
      </c>
      <c r="D53" s="148"/>
      <c r="E53" s="148">
        <f t="shared" si="0"/>
        <v>63610025</v>
      </c>
      <c r="F53" s="148">
        <f>INDEX('3.2 District Heat'!$D80:$CF80,1,MATCH(INDEX('DH calcs - old'!$C$5:$C$9,MATCH(Dashboard!$D$6,'DH calcs - old'!$B$5:$B$9,0),1)&amp;F$19&amp;F$20,'3.2 District Heat'!$D$42:$CF$42,0))*1000*$B$12</f>
        <v>0</v>
      </c>
      <c r="G53" s="379">
        <f>(INDEX('3.2 District Heat'!$D80:$CF80,1,MATCH(INDEX('DH calcs - old'!$C$5:$C$9,MATCH(Dashboard!$D$6,'DH calcs - old'!$B$5:$B$9,0),1)&amp;G$19&amp;G$20,'3.2 District Heat'!$D$42:$CF$42,0))*1000+(E53*$B$13))*$B$12</f>
        <v>12722005</v>
      </c>
      <c r="H53" s="148">
        <f>INDEX('3.2 District Heat'!$D80:$CF80,1,MATCH(INDEX('DH calcs - old'!$C$5:$C$9,MATCH(Dashboard!$D$6,'DH calcs - old'!$B$5:$B$9,0),1)&amp;H$19&amp;H$20,'3.2 District Heat'!$D$42:$CF$42,0))*1000*$B$12</f>
        <v>0</v>
      </c>
      <c r="I53" s="148">
        <f>INDEX('3.2 District Heat'!$D80:$CF80,1,MATCH(INDEX('DH calcs - old'!$C$5:$C$9,MATCH(Dashboard!$D$6,'DH calcs - old'!$B$5:$B$9,0),1)&amp;I$19&amp;I$20,'3.2 District Heat'!$D$42:$CF$42,0))*1000*$B$12</f>
        <v>0</v>
      </c>
      <c r="J53" s="546">
        <f>(INDEX('3.2 District Heat'!$D80:$CF80,1,MATCH(INDEX($C$5:$C$9,MATCH(Dashboard!$D$6,$B$5:$B$9,0),1)&amp;J$19&amp;J$20,'3.2 District Heat'!$D$42:$CF$42,0))+INDEX('3.2 District Heat'!$D80:$CF80,1,MATCH(INDEX($C$5:$C$9,MATCH(Dashboard!$D$6,$B$5:$B$9,0),1)&amp;J$18&amp;J$20,'3.2 District Heat'!$D$42:$CF$42,0)))*1000*$B$12</f>
        <v>0</v>
      </c>
      <c r="K53" s="148">
        <f>INDEX('3.2 District Heat'!$D80:$CF80,1,MATCH(INDEX('DH calcs - old'!$C$5:$C$9,MATCH(Dashboard!$D$6,'DH calcs - old'!$B$5:$B$9,0),1)&amp;K$19&amp;K$20,'3.2 District Heat'!$D$42:$CF$42,0))*1000*$B$12</f>
        <v>0</v>
      </c>
      <c r="L53" s="148">
        <f>INDEX('3.2 District Heat'!$D80:$CF80,1,MATCH(INDEX('DH calcs - old'!$C$5:$C$9,MATCH(Dashboard!$D$6,'DH calcs - old'!$B$5:$B$9,0),1)&amp;L$19&amp;L$20,'3.2 District Heat'!$D$42:$CF$42,0))*1000*$B$12</f>
        <v>0</v>
      </c>
      <c r="M53" s="148">
        <f>INDEX('3.2 District Heat'!$D80:$CF80,1,MATCH(INDEX('DH calcs - old'!$C$5:$C$9,MATCH(Dashboard!$D$6,'DH calcs - old'!$B$5:$B$9,0),1)&amp;M$19&amp;M$20,'3.2 District Heat'!$D$42:$CF$42,0))*1000*$B$12</f>
        <v>0</v>
      </c>
      <c r="N53" s="148">
        <f>INDEX('3.2 District Heat'!$D80:$CF80,1,MATCH(INDEX('DH calcs - old'!$C$5:$C$9,MATCH(Dashboard!$D$6,'DH calcs - old'!$B$5:$B$9,0),1)&amp;N$19&amp;N$20,'3.2 District Heat'!$D$42:$CF$42,0))*1000*$B$12</f>
        <v>0</v>
      </c>
      <c r="O53" s="379">
        <f>(INDEX('3.2 District Heat'!$D80:$CF80,1,MATCH(INDEX('DH calcs - old'!$C$5:$C$9,MATCH(Dashboard!$D$6,'DH calcs - old'!$B$5:$B$9,0),1)&amp;O$19&amp;O$20,'3.2 District Heat'!$D$42:$CF$42,0))*1000+E53*(1-$B$13))*$B$12</f>
        <v>219676795.7425265</v>
      </c>
      <c r="P53" s="379">
        <f t="shared" si="1"/>
        <v>58099700.185631603</v>
      </c>
      <c r="Q53" s="148">
        <f t="shared" si="2"/>
        <v>277776495.9281581</v>
      </c>
      <c r="R53" s="148"/>
      <c r="S53" s="148">
        <f>INDEX('3.2 District Heat'!$D80:$CF80,1,MATCH(INDEX('DH calcs - old'!$C$5:$C$9,MATCH(Dashboard!$D$6,'DH calcs - old'!$B$5:$B$9,0),1)&amp;S$19&amp;S$20,'3.2 District Heat'!$D$42:$CF$42,0))*1000*$B$12</f>
        <v>0</v>
      </c>
      <c r="T53" s="148">
        <f>INDEX('3.2 District Heat'!$D80:$CF80,1,MATCH(INDEX('DH calcs - old'!$C$5:$C$9,MATCH(Dashboard!$D$6,'DH calcs - old'!$B$5:$B$9,0),1)&amp;T$19&amp;T$20,'3.2 District Heat'!$D$42:$CF$42,0))*1000*$B$12</f>
        <v>0</v>
      </c>
      <c r="U53" s="148">
        <f>INDEX('3.2 District Heat'!$D80:$CF80,1,MATCH(INDEX('DH calcs - old'!$C$5:$C$9,MATCH(Dashboard!$D$6,'DH calcs - old'!$B$5:$B$9,0),1)&amp;U$19&amp;U$20,'3.2 District Heat'!$D$42:$CF$42,0))*1000*$B$12</f>
        <v>3343569.328261496</v>
      </c>
      <c r="V53" s="148">
        <f>(INDEX('3.2 District Heat'!$D80:$CF80,1,MATCH(INDEX('DH calcs - old'!$C$5:$C$9,MATCH(Dashboard!$D$6,'DH calcs - old'!$B$5:$B$9,0),1)&amp;V$19&amp;V$20,'3.2 District Heat'!$D$42:$CF$42,0))*1000+E53*IF(Dashboard!$D$6="=INDEX('Scenario names'!$C$3:$C$6,2)",$H$12,IF(Dashboard!$D$6="=INDEX('Scenario names'!$C$3:$C$6,3)",$H$13,$H$14)))*$B$12</f>
        <v>0</v>
      </c>
      <c r="W53" s="546">
        <f>(INDEX('3.2 District Heat'!$D80:$CF80,1,MATCH(INDEX('DH calcs - old'!$C$5:$C$9,MATCH(Dashboard!$D$6,'DH calcs - old'!$B$5:$B$9,0),1)&amp;W$19&amp;W$20,'3.2 District Heat'!$D$42:$CF$42,0))+INDEX('3.2 District Heat'!$D80:$CF80,1,MATCH(INDEX('DH calcs - old'!$C$5:$C$9,MATCH(Dashboard!$D$6,'DH calcs - old'!$B$5:$B$9,0),1)&amp;W$18&amp;W$20,'3.2 District Heat'!$D$42:$CF$42,0)))*1000*$B$12</f>
        <v>202519614.86969936</v>
      </c>
      <c r="X53" s="148">
        <f>INDEX('3.2 District Heat'!$D80:$CF80,1,MATCH(INDEX('DH calcs - old'!$C$5:$C$9,MATCH(Dashboard!$D$6,'DH calcs - old'!$B$5:$B$9,0),1)&amp;X$19&amp;X$20,'3.2 District Heat'!$D$42:$CF$42,0))*1000*$B$12</f>
        <v>49751353.766395353</v>
      </c>
      <c r="Y53" s="148">
        <f>INDEX('3.2 District Heat'!$D80:$CF80,1,MATCH(INDEX('DH calcs - old'!$C$5:$C$9,MATCH(Dashboard!$D$6,'DH calcs - old'!$B$5:$B$9,0),1)&amp;Y$19&amp;Y$20,'3.2 District Heat'!$D$42:$CF$42,0))*1000*$B$12</f>
        <v>505970466.80123514</v>
      </c>
      <c r="Z53" s="148">
        <f>(INDEX('3.2 District Heat'!$D80:$CF80,1,MATCH(INDEX('DH calcs - old'!$C$5:$C$9,MATCH(Dashboard!$D$6,'DH calcs - old'!$B$5:$B$9,0),1)&amp;Z$19&amp;Z$20,'3.2 District Heat'!$D$42:$CF$42,0))*1000+E53*IF(Dashboard!$D$6="=INDEX('Scenario names'!$C$3:$C$6,2)",$I$12,IF(Dashboard!$D$6="=INDEX('Scenario names'!$C$3:$C$6,3)",$I$13,$I$14)))*$B$12</f>
        <v>672600398.38474894</v>
      </c>
      <c r="AA53" s="148">
        <f>INDEX('3.2 District Heat'!$D80:$CF80,1,MATCH(INDEX('DH calcs - old'!$C$5:$C$9,MATCH(Dashboard!$D$6,'DH calcs - old'!$B$5:$B$9,0),1)&amp;AA$19&amp;AA$20,'3.2 District Heat'!$D$42:$CF$42,0))*1000*$B$12</f>
        <v>720610204.31678367</v>
      </c>
      <c r="AB53" s="148">
        <f>INDEX('3.2 District Heat'!$D80:$CF80,1,MATCH(INDEX('DH calcs - old'!$C$5:$C$9,MATCH(Dashboard!$D$6,'DH calcs - old'!$B$5:$B$9,0),1)&amp;AB$19&amp;AB$20,'3.2 District Heat'!$D$42:$CF$42,0))*1000*$B$12</f>
        <v>0</v>
      </c>
      <c r="AC53" s="379">
        <f t="shared" si="3"/>
        <v>538698901.86678076</v>
      </c>
      <c r="AD53" s="379">
        <f>AB53+AC53*IF(Dashboard!$D$6="=INDEX('Scenario names'!$C$3:$C$6,2)",$J$12,IF(Dashboard!$D$6="=INDEX('Scenario names'!$C$3:$C$6,3)",$J$13,$J$14))</f>
        <v>0</v>
      </c>
      <c r="AE53" s="379">
        <f>Z53+AC53*IF(Dashboard!$D$6="=INDEX('Scenario names'!$C$3:$C$6,2)",$K$12,IF(Dashboard!$D$6="=INDEX('Scenario names'!$C$3:$C$6,3)",$K$13,$K$14))</f>
        <v>1211299300.2515297</v>
      </c>
      <c r="AF53" s="378">
        <f>IF(OR(Dashboard!$D$6=INDEX('Scenario names'!$C$3:$C$6,3),Dashboard!$D$6=INDEX('Scenario names'!$C$3:$C$6,2)),'3.2 District Heat'!BD80,IF(Dashboard!$D$6=INDEX('Scenario names'!$B$3:$B$6,4),'3.2 District Heat'!CE80,IF(OR(Dashboard!$D$6="Baseline",Dashboard!$D$6=INDEX('Scenario names'!$C$3:$C$6,1)),'3.2 District Heat'!AC80, Error)))</f>
        <v>521982.0735650768</v>
      </c>
    </row>
    <row r="54" spans="1:16383">
      <c r="A54" s="114" t="s">
        <v>660</v>
      </c>
      <c r="B54" s="148">
        <f>SUM(B21:B25,B28:B30,B34:B38,B41,B44:B47,B49,B51:B52)</f>
        <v>207507276.25</v>
      </c>
      <c r="C54" s="148">
        <f>SUM(C21:C25,C28:C30,C34:C38,C41,C44:C47,C49,C51:C52)</f>
        <v>207507276.25</v>
      </c>
      <c r="D54" s="148"/>
      <c r="E54" s="148">
        <f t="shared" ref="E54:AE54" si="4">SUM(E21:E25,E28:E30,E34:E38,E41,E44:E47,E49,E51:E52)</f>
        <v>415014552.5</v>
      </c>
      <c r="F54" s="148">
        <f t="shared" si="4"/>
        <v>76882130.406329587</v>
      </c>
      <c r="G54" s="148">
        <f t="shared" si="4"/>
        <v>568470706.39739239</v>
      </c>
      <c r="H54" s="148">
        <f t="shared" si="4"/>
        <v>12575779.12661119</v>
      </c>
      <c r="I54" s="148">
        <f t="shared" si="4"/>
        <v>0</v>
      </c>
      <c r="J54" s="148">
        <f t="shared" si="4"/>
        <v>0</v>
      </c>
      <c r="K54" s="148">
        <f t="shared" si="4"/>
        <v>0</v>
      </c>
      <c r="L54" s="148">
        <f t="shared" si="4"/>
        <v>0</v>
      </c>
      <c r="M54" s="148">
        <f t="shared" si="4"/>
        <v>0</v>
      </c>
      <c r="N54" s="148">
        <f t="shared" si="4"/>
        <v>0</v>
      </c>
      <c r="O54" s="148">
        <f t="shared" si="4"/>
        <v>263068427.42397553</v>
      </c>
      <c r="P54" s="148">
        <f t="shared" si="4"/>
        <v>230249260.83857709</v>
      </c>
      <c r="Q54" s="148">
        <f t="shared" si="4"/>
        <v>493317688.26255262</v>
      </c>
      <c r="R54" s="148">
        <f t="shared" si="4"/>
        <v>0</v>
      </c>
      <c r="S54" s="148">
        <f t="shared" si="4"/>
        <v>269879079.99798065</v>
      </c>
      <c r="T54" s="148">
        <f t="shared" si="4"/>
        <v>0</v>
      </c>
      <c r="U54" s="148">
        <f t="shared" si="4"/>
        <v>18706414.825876731</v>
      </c>
      <c r="V54" s="148">
        <f t="shared" si="4"/>
        <v>0</v>
      </c>
      <c r="W54" s="148">
        <f t="shared" si="4"/>
        <v>16326912.896283902</v>
      </c>
      <c r="X54" s="148">
        <f t="shared" si="4"/>
        <v>52042927.197006814</v>
      </c>
      <c r="Y54" s="148">
        <f t="shared" si="4"/>
        <v>0</v>
      </c>
      <c r="Z54" s="148">
        <f t="shared" si="4"/>
        <v>566008794.45485187</v>
      </c>
      <c r="AA54" s="148">
        <f t="shared" si="4"/>
        <v>0</v>
      </c>
      <c r="AB54" s="148">
        <f t="shared" si="4"/>
        <v>0</v>
      </c>
      <c r="AC54" s="148">
        <f t="shared" si="4"/>
        <v>230741032.34299994</v>
      </c>
      <c r="AD54" s="148">
        <f t="shared" si="4"/>
        <v>0</v>
      </c>
      <c r="AE54" s="148">
        <f t="shared" si="4"/>
        <v>796749826.7978518</v>
      </c>
      <c r="AF54" s="378">
        <f>IF(OR(Dashboard!$D$6=INDEX('Scenario names'!$C$3:$C$6,3),Dashboard!$D$6=INDEX('Scenario names'!$C$3:$C$6,2)),'3.2 District Heat'!BD81,IF(Dashboard!$D$6=INDEX('Scenario names'!$B$3:$B$6,4),'3.2 District Heat'!CE81,IF(OR(Dashboard!$D$6="Baseline",Dashboard!$D$6=INDEX('Scenario names'!$C$3:$C$6,1)),'3.2 District Heat'!AC81, Error)))</f>
        <v>1441861.4727131038</v>
      </c>
      <c r="AG54" s="148"/>
      <c r="AH54" s="148"/>
    </row>
    <row r="55" spans="1:16383">
      <c r="A55" s="114" t="s">
        <v>661</v>
      </c>
      <c r="B55" s="148">
        <f>SUM(B26:B27,B31:B33,B39:B40,B42:B43,B48,B50,B53)</f>
        <v>225665967.5</v>
      </c>
      <c r="C55" s="148">
        <f>SUM(C26:C27,C31:C33,C39:C40,C42:C43,C48,C50,C53)</f>
        <v>225665967.5</v>
      </c>
      <c r="D55" s="148"/>
      <c r="E55" s="148">
        <f t="shared" ref="E55:AE55" si="5">SUM(E26:E27,E31:E33,E39:E40,E42:E43,E48,E50,E53)</f>
        <v>451331935</v>
      </c>
      <c r="F55" s="148">
        <f t="shared" si="5"/>
        <v>47239118.016838305</v>
      </c>
      <c r="G55" s="148">
        <f t="shared" si="5"/>
        <v>696899726.55837011</v>
      </c>
      <c r="H55" s="148">
        <f t="shared" si="5"/>
        <v>92128886.342090994</v>
      </c>
      <c r="I55" s="148">
        <f t="shared" si="5"/>
        <v>0</v>
      </c>
      <c r="J55" s="148">
        <f t="shared" si="5"/>
        <v>0</v>
      </c>
      <c r="K55" s="148">
        <f t="shared" si="5"/>
        <v>0</v>
      </c>
      <c r="L55" s="148">
        <f t="shared" si="5"/>
        <v>0</v>
      </c>
      <c r="M55" s="148">
        <f t="shared" si="5"/>
        <v>0</v>
      </c>
      <c r="N55" s="148">
        <f t="shared" si="5"/>
        <v>0</v>
      </c>
      <c r="O55" s="148">
        <f t="shared" si="5"/>
        <v>822851057.65358114</v>
      </c>
      <c r="P55" s="148">
        <f t="shared" si="5"/>
        <v>414779697.1427201</v>
      </c>
      <c r="Q55" s="148">
        <f t="shared" si="5"/>
        <v>1237630754.7963011</v>
      </c>
      <c r="R55" s="148">
        <f t="shared" si="5"/>
        <v>0</v>
      </c>
      <c r="S55" s="148">
        <f t="shared" si="5"/>
        <v>138911981.42513248</v>
      </c>
      <c r="T55" s="148">
        <f t="shared" si="5"/>
        <v>0</v>
      </c>
      <c r="U55" s="148">
        <f t="shared" si="5"/>
        <v>126140398.15437788</v>
      </c>
      <c r="V55" s="148">
        <f t="shared" si="5"/>
        <v>0</v>
      </c>
      <c r="W55" s="148">
        <f t="shared" si="5"/>
        <v>691347908.46158612</v>
      </c>
      <c r="X55" s="148">
        <f t="shared" si="5"/>
        <v>340846074.96920347</v>
      </c>
      <c r="Y55" s="148">
        <f t="shared" si="5"/>
        <v>748115982.76264334</v>
      </c>
      <c r="Z55" s="148">
        <f t="shared" si="5"/>
        <v>2315442422.8401809</v>
      </c>
      <c r="AA55" s="148">
        <f t="shared" si="5"/>
        <v>729458009.09834421</v>
      </c>
      <c r="AB55" s="148">
        <f t="shared" si="5"/>
        <v>0</v>
      </c>
      <c r="AC55" s="148">
        <f t="shared" si="5"/>
        <v>1272565694.4278665</v>
      </c>
      <c r="AD55" s="148">
        <f t="shared" si="5"/>
        <v>0</v>
      </c>
      <c r="AE55" s="148">
        <f t="shared" si="5"/>
        <v>3588008117.2680473</v>
      </c>
      <c r="AF55" s="378">
        <f>IF(OR(Dashboard!$D$6=INDEX('Scenario names'!$C$3:$C$6,3),Dashboard!$D$6=INDEX('Scenario names'!$C$3:$C$6,2)),'3.2 District Heat'!BD82,IF(Dashboard!$D$6=INDEX('Scenario names'!$B$3:$B$6,4),'3.2 District Heat'!CE82,IF(OR(Dashboard!$D$6="Baseline",Dashboard!$D$6=INDEX('Scenario names'!$C$3:$C$6,1)),'3.2 District Heat'!AC82, Error)))</f>
        <v>186090.03712313424</v>
      </c>
      <c r="AG55" s="148"/>
      <c r="AH55" s="148"/>
    </row>
    <row r="56" spans="1:16383" s="149" customFormat="1">
      <c r="A56" s="149" t="s">
        <v>122</v>
      </c>
      <c r="B56" s="378">
        <f t="shared" ref="B56:Y56" si="6">SUM(B21:B53)</f>
        <v>433173243.75</v>
      </c>
      <c r="C56" s="378">
        <f t="shared" si="6"/>
        <v>433173243.75</v>
      </c>
      <c r="D56" s="378">
        <f t="shared" si="6"/>
        <v>0</v>
      </c>
      <c r="E56" s="378">
        <f t="shared" si="6"/>
        <v>866346487.5</v>
      </c>
      <c r="F56" s="378">
        <f t="shared" si="6"/>
        <v>124121248.4231679</v>
      </c>
      <c r="G56" s="378">
        <f>SUM(G21:G53)</f>
        <v>1265370432.9557624</v>
      </c>
      <c r="H56" s="378">
        <f t="shared" si="6"/>
        <v>104704665.46870218</v>
      </c>
      <c r="I56" s="378">
        <f t="shared" si="6"/>
        <v>0</v>
      </c>
      <c r="J56" s="378">
        <f t="shared" si="6"/>
        <v>0</v>
      </c>
      <c r="K56" s="378">
        <f t="shared" si="6"/>
        <v>0</v>
      </c>
      <c r="L56" s="378">
        <f t="shared" si="6"/>
        <v>0</v>
      </c>
      <c r="M56" s="378">
        <f t="shared" si="6"/>
        <v>0</v>
      </c>
      <c r="N56" s="378">
        <f t="shared" si="6"/>
        <v>0</v>
      </c>
      <c r="O56" s="378">
        <f t="shared" si="6"/>
        <v>1085919485.0775566</v>
      </c>
      <c r="P56" s="378">
        <f t="shared" si="6"/>
        <v>645028957.98129725</v>
      </c>
      <c r="Q56" s="378">
        <f t="shared" si="6"/>
        <v>1730948443.0588539</v>
      </c>
      <c r="R56" s="378">
        <f t="shared" ref="R56" si="7">SUM(R21:R53)</f>
        <v>0</v>
      </c>
      <c r="S56" s="378">
        <f t="shared" si="6"/>
        <v>408791061.42311323</v>
      </c>
      <c r="T56" s="378">
        <f t="shared" si="6"/>
        <v>0</v>
      </c>
      <c r="U56" s="378">
        <f t="shared" si="6"/>
        <v>144846812.98025459</v>
      </c>
      <c r="V56" s="378">
        <f t="shared" si="6"/>
        <v>0</v>
      </c>
      <c r="W56" s="378">
        <f t="shared" si="6"/>
        <v>707674821.3578701</v>
      </c>
      <c r="X56" s="378">
        <f t="shared" si="6"/>
        <v>392889002.16621023</v>
      </c>
      <c r="Y56" s="378">
        <f t="shared" si="6"/>
        <v>748115982.76264334</v>
      </c>
      <c r="Z56" s="378">
        <f t="shared" ref="Z56:AE56" si="8">SUM(Z21:Z53)</f>
        <v>2881451217.295033</v>
      </c>
      <c r="AA56" s="378">
        <f t="shared" si="8"/>
        <v>729458009.09834421</v>
      </c>
      <c r="AB56" s="378">
        <f t="shared" si="8"/>
        <v>0</v>
      </c>
      <c r="AC56" s="378">
        <f>SUM(AC21:AC53)</f>
        <v>1503306726.7708669</v>
      </c>
      <c r="AD56" s="378">
        <f t="shared" si="8"/>
        <v>0</v>
      </c>
      <c r="AE56" s="378">
        <f t="shared" si="8"/>
        <v>4384757944.0658989</v>
      </c>
      <c r="AF56" s="378">
        <f t="shared" ref="AF56" si="9">SUM(AF21:AF53)</f>
        <v>1627951.5098362379</v>
      </c>
      <c r="AG56" s="378"/>
      <c r="AH56" s="378"/>
      <c r="AI56" s="378"/>
      <c r="AJ56" s="378"/>
      <c r="AK56" s="378"/>
      <c r="AL56" s="378"/>
      <c r="AM56" s="378"/>
      <c r="AN56" s="378"/>
      <c r="AO56" s="378"/>
      <c r="AP56" s="378"/>
      <c r="AQ56" s="378"/>
      <c r="AR56" s="378"/>
      <c r="AS56" s="378"/>
      <c r="AT56" s="378"/>
      <c r="AU56" s="378"/>
      <c r="AV56" s="378"/>
      <c r="AW56" s="378"/>
      <c r="AX56" s="378"/>
      <c r="AY56" s="378"/>
      <c r="AZ56" s="378"/>
      <c r="BA56" s="378"/>
      <c r="BB56" s="378"/>
      <c r="BC56" s="378"/>
      <c r="BD56" s="378"/>
      <c r="BE56" s="378"/>
      <c r="BF56" s="378"/>
      <c r="BG56" s="378"/>
      <c r="BH56" s="378"/>
      <c r="BI56" s="378"/>
      <c r="BJ56" s="378"/>
      <c r="BK56" s="378"/>
      <c r="BL56" s="378"/>
      <c r="BM56" s="378"/>
      <c r="BN56" s="378"/>
      <c r="BO56" s="378"/>
      <c r="BP56" s="378"/>
      <c r="BQ56" s="378"/>
      <c r="BR56" s="378"/>
      <c r="BS56" s="378"/>
      <c r="BT56" s="378"/>
      <c r="BU56" s="378"/>
      <c r="BV56" s="378"/>
      <c r="BW56" s="378"/>
      <c r="BX56" s="378"/>
      <c r="BY56" s="378"/>
      <c r="BZ56" s="378"/>
      <c r="CA56" s="378"/>
      <c r="CB56" s="378"/>
      <c r="CC56" s="378"/>
      <c r="CD56" s="378"/>
      <c r="CE56" s="378"/>
      <c r="CF56" s="378"/>
      <c r="CG56" s="378"/>
      <c r="CH56" s="378"/>
      <c r="CI56" s="378"/>
      <c r="CJ56" s="378"/>
      <c r="CK56" s="378"/>
      <c r="CL56" s="378"/>
      <c r="CM56" s="378"/>
      <c r="CN56" s="378"/>
      <c r="CO56" s="378"/>
      <c r="CP56" s="378"/>
      <c r="CQ56" s="378"/>
      <c r="CR56" s="378"/>
      <c r="CS56" s="378"/>
      <c r="CT56" s="378"/>
      <c r="CU56" s="378"/>
      <c r="CV56" s="378"/>
      <c r="CW56" s="378"/>
      <c r="CX56" s="378"/>
      <c r="CY56" s="378"/>
      <c r="CZ56" s="378"/>
      <c r="DA56" s="378"/>
      <c r="DB56" s="378"/>
      <c r="DC56" s="378"/>
      <c r="DD56" s="378"/>
      <c r="DE56" s="378"/>
      <c r="DF56" s="378"/>
      <c r="DG56" s="378"/>
      <c r="DH56" s="378"/>
      <c r="DI56" s="378"/>
      <c r="DJ56" s="378"/>
      <c r="DK56" s="378"/>
      <c r="DL56" s="378"/>
      <c r="DM56" s="378"/>
      <c r="DN56" s="378"/>
      <c r="DO56" s="378"/>
      <c r="DP56" s="378"/>
      <c r="DQ56" s="378"/>
      <c r="DR56" s="378"/>
      <c r="DS56" s="378"/>
      <c r="DT56" s="378"/>
      <c r="DU56" s="378"/>
      <c r="DV56" s="378"/>
      <c r="DW56" s="378"/>
      <c r="DX56" s="378"/>
      <c r="DY56" s="378"/>
      <c r="DZ56" s="378"/>
      <c r="EA56" s="378"/>
      <c r="EB56" s="378"/>
      <c r="EC56" s="378"/>
      <c r="ED56" s="378"/>
      <c r="EE56" s="378"/>
      <c r="EF56" s="378"/>
      <c r="EG56" s="378"/>
      <c r="EH56" s="378"/>
      <c r="EI56" s="378"/>
      <c r="EJ56" s="378"/>
      <c r="EK56" s="378"/>
      <c r="EL56" s="378"/>
      <c r="EM56" s="378"/>
      <c r="EN56" s="378"/>
      <c r="EO56" s="378"/>
      <c r="EP56" s="378"/>
      <c r="EQ56" s="378"/>
      <c r="ER56" s="378"/>
      <c r="ES56" s="378"/>
      <c r="ET56" s="378"/>
      <c r="EU56" s="378"/>
      <c r="EV56" s="378"/>
      <c r="EW56" s="378"/>
      <c r="EX56" s="378"/>
      <c r="EY56" s="378"/>
      <c r="EZ56" s="378"/>
      <c r="FA56" s="378"/>
      <c r="FB56" s="378"/>
      <c r="FC56" s="378"/>
      <c r="FD56" s="378"/>
      <c r="FE56" s="378"/>
      <c r="FF56" s="378"/>
      <c r="FG56" s="378"/>
      <c r="FH56" s="378"/>
      <c r="FI56" s="378"/>
      <c r="FJ56" s="378"/>
      <c r="FK56" s="378"/>
      <c r="FL56" s="378"/>
      <c r="FM56" s="378"/>
      <c r="FN56" s="378"/>
      <c r="FO56" s="378"/>
      <c r="FP56" s="378"/>
      <c r="FQ56" s="378"/>
      <c r="FR56" s="378"/>
      <c r="FS56" s="378"/>
      <c r="FT56" s="378"/>
      <c r="FU56" s="378"/>
      <c r="FV56" s="378"/>
      <c r="FW56" s="378"/>
      <c r="FX56" s="378"/>
      <c r="FY56" s="378"/>
      <c r="FZ56" s="378"/>
      <c r="GA56" s="378"/>
      <c r="GB56" s="378"/>
      <c r="GC56" s="378"/>
      <c r="GD56" s="378"/>
      <c r="GE56" s="378"/>
      <c r="GF56" s="378"/>
      <c r="GG56" s="378"/>
      <c r="GH56" s="378"/>
      <c r="GI56" s="378"/>
      <c r="GJ56" s="378"/>
      <c r="GK56" s="378"/>
      <c r="GL56" s="378"/>
      <c r="GM56" s="378"/>
      <c r="GN56" s="378"/>
      <c r="GO56" s="378"/>
      <c r="GP56" s="378"/>
      <c r="GQ56" s="378"/>
      <c r="GR56" s="378"/>
      <c r="GS56" s="378"/>
      <c r="GT56" s="378"/>
      <c r="GU56" s="378"/>
      <c r="GV56" s="378"/>
      <c r="GW56" s="378"/>
      <c r="GX56" s="378"/>
      <c r="GY56" s="378"/>
      <c r="GZ56" s="378"/>
      <c r="HA56" s="378"/>
      <c r="HB56" s="378"/>
      <c r="HC56" s="378"/>
      <c r="HD56" s="378"/>
      <c r="HE56" s="378"/>
      <c r="HF56" s="378"/>
      <c r="HG56" s="378"/>
      <c r="HH56" s="378"/>
      <c r="HI56" s="378"/>
      <c r="HJ56" s="378"/>
      <c r="HK56" s="378"/>
      <c r="HL56" s="378"/>
      <c r="HM56" s="378"/>
      <c r="HN56" s="378"/>
      <c r="HO56" s="378"/>
      <c r="HP56" s="378"/>
      <c r="HQ56" s="378"/>
      <c r="HR56" s="378"/>
      <c r="HS56" s="378"/>
      <c r="HT56" s="378"/>
      <c r="HU56" s="378"/>
      <c r="HV56" s="378"/>
      <c r="HW56" s="378"/>
      <c r="HX56" s="378"/>
      <c r="HY56" s="378"/>
      <c r="HZ56" s="378"/>
      <c r="IA56" s="378"/>
      <c r="IB56" s="378"/>
      <c r="IC56" s="378"/>
      <c r="ID56" s="378"/>
      <c r="IE56" s="378"/>
      <c r="IF56" s="378"/>
      <c r="IG56" s="378"/>
      <c r="IH56" s="378"/>
      <c r="II56" s="378"/>
      <c r="IJ56" s="378"/>
      <c r="IK56" s="378"/>
      <c r="IL56" s="378"/>
      <c r="IM56" s="378"/>
      <c r="IN56" s="378"/>
      <c r="IO56" s="378"/>
      <c r="IP56" s="378"/>
      <c r="IQ56" s="378"/>
      <c r="IR56" s="378"/>
      <c r="IS56" s="378"/>
      <c r="IT56" s="378"/>
      <c r="IU56" s="378"/>
      <c r="IV56" s="378"/>
      <c r="IW56" s="378"/>
      <c r="IX56" s="378"/>
      <c r="IY56" s="378"/>
      <c r="IZ56" s="378"/>
      <c r="JA56" s="378"/>
      <c r="JB56" s="378"/>
      <c r="JC56" s="378"/>
      <c r="JD56" s="378"/>
      <c r="JE56" s="378"/>
      <c r="JF56" s="378"/>
      <c r="JG56" s="378"/>
      <c r="JH56" s="378"/>
      <c r="JI56" s="378"/>
      <c r="JJ56" s="378"/>
      <c r="JK56" s="378"/>
      <c r="JL56" s="378"/>
      <c r="JM56" s="378"/>
      <c r="JN56" s="378"/>
      <c r="JO56" s="378"/>
      <c r="JP56" s="378"/>
      <c r="JQ56" s="378"/>
      <c r="JR56" s="378"/>
      <c r="JS56" s="378"/>
      <c r="JT56" s="378"/>
      <c r="JU56" s="378"/>
      <c r="JV56" s="378"/>
      <c r="JW56" s="378"/>
      <c r="JX56" s="378"/>
      <c r="JY56" s="378"/>
      <c r="JZ56" s="378"/>
      <c r="KA56" s="378"/>
      <c r="KB56" s="378"/>
      <c r="KC56" s="378"/>
      <c r="KD56" s="378"/>
      <c r="KE56" s="378"/>
      <c r="KF56" s="378"/>
      <c r="KG56" s="378"/>
      <c r="KH56" s="378"/>
      <c r="KI56" s="378"/>
      <c r="KJ56" s="378"/>
      <c r="KK56" s="378"/>
      <c r="KL56" s="378"/>
      <c r="KM56" s="378"/>
      <c r="KN56" s="378"/>
      <c r="KO56" s="378"/>
      <c r="KP56" s="378"/>
      <c r="KQ56" s="378"/>
      <c r="KR56" s="378"/>
      <c r="KS56" s="378"/>
      <c r="KT56" s="378"/>
      <c r="KU56" s="378"/>
      <c r="KV56" s="378"/>
      <c r="KW56" s="378"/>
      <c r="KX56" s="378"/>
      <c r="KY56" s="378"/>
      <c r="KZ56" s="378"/>
      <c r="LA56" s="378"/>
      <c r="LB56" s="378"/>
      <c r="LC56" s="378"/>
      <c r="LD56" s="378"/>
      <c r="LE56" s="378"/>
      <c r="LF56" s="378"/>
      <c r="LG56" s="378"/>
      <c r="LH56" s="378"/>
      <c r="LI56" s="378"/>
      <c r="LJ56" s="378"/>
      <c r="LK56" s="378"/>
      <c r="LL56" s="378"/>
      <c r="LM56" s="378"/>
      <c r="LN56" s="378"/>
      <c r="LO56" s="378"/>
      <c r="LP56" s="378"/>
      <c r="LQ56" s="378"/>
      <c r="LR56" s="378"/>
      <c r="LS56" s="378"/>
      <c r="LT56" s="378"/>
      <c r="LU56" s="378"/>
      <c r="LV56" s="378"/>
      <c r="LW56" s="378"/>
      <c r="LX56" s="378"/>
      <c r="LY56" s="378"/>
      <c r="LZ56" s="378"/>
      <c r="MA56" s="378"/>
      <c r="MB56" s="378"/>
      <c r="MC56" s="378"/>
      <c r="MD56" s="378"/>
      <c r="ME56" s="378"/>
      <c r="MF56" s="378"/>
      <c r="MG56" s="378"/>
      <c r="MH56" s="378"/>
      <c r="MI56" s="378"/>
      <c r="MJ56" s="378"/>
      <c r="MK56" s="378"/>
      <c r="ML56" s="378"/>
      <c r="MM56" s="378"/>
      <c r="MN56" s="378"/>
      <c r="MO56" s="378"/>
      <c r="MP56" s="378"/>
      <c r="MQ56" s="378"/>
      <c r="MR56" s="378"/>
      <c r="MS56" s="378"/>
      <c r="MT56" s="378"/>
      <c r="MU56" s="378"/>
      <c r="MV56" s="378"/>
      <c r="MW56" s="378"/>
      <c r="MX56" s="378"/>
      <c r="MY56" s="378"/>
      <c r="MZ56" s="378"/>
      <c r="NA56" s="378"/>
      <c r="NB56" s="378"/>
      <c r="NC56" s="378"/>
      <c r="ND56" s="378"/>
      <c r="NE56" s="378"/>
      <c r="NF56" s="378"/>
      <c r="NG56" s="378"/>
      <c r="NH56" s="378"/>
      <c r="NI56" s="378"/>
      <c r="NJ56" s="378"/>
      <c r="NK56" s="378"/>
      <c r="NL56" s="378"/>
      <c r="NM56" s="378"/>
      <c r="NN56" s="378"/>
      <c r="NO56" s="378"/>
      <c r="NP56" s="378"/>
      <c r="NQ56" s="378"/>
      <c r="NR56" s="378"/>
      <c r="NS56" s="378"/>
      <c r="NT56" s="378"/>
      <c r="NU56" s="378"/>
      <c r="NV56" s="378"/>
      <c r="NW56" s="378"/>
      <c r="NX56" s="378"/>
      <c r="NY56" s="378"/>
      <c r="NZ56" s="378"/>
      <c r="OA56" s="378"/>
      <c r="OB56" s="378"/>
      <c r="OC56" s="378"/>
      <c r="OD56" s="378"/>
      <c r="OE56" s="378"/>
      <c r="OF56" s="378"/>
      <c r="OG56" s="378"/>
      <c r="OH56" s="378"/>
      <c r="OI56" s="378"/>
      <c r="OJ56" s="378"/>
      <c r="OK56" s="378"/>
      <c r="OL56" s="378"/>
      <c r="OM56" s="378"/>
      <c r="ON56" s="378"/>
      <c r="OO56" s="378"/>
      <c r="OP56" s="378"/>
      <c r="OQ56" s="378"/>
      <c r="OR56" s="378"/>
      <c r="OS56" s="378"/>
      <c r="OT56" s="378"/>
      <c r="OU56" s="378"/>
      <c r="OV56" s="378"/>
      <c r="OW56" s="378"/>
      <c r="OX56" s="378"/>
      <c r="OY56" s="378"/>
      <c r="OZ56" s="378"/>
      <c r="PA56" s="378"/>
      <c r="PB56" s="378"/>
      <c r="PC56" s="378"/>
      <c r="PD56" s="378"/>
      <c r="PE56" s="378"/>
      <c r="PF56" s="378"/>
      <c r="PG56" s="378"/>
      <c r="PH56" s="378"/>
      <c r="PI56" s="378"/>
      <c r="PJ56" s="378"/>
      <c r="PK56" s="378"/>
      <c r="PL56" s="378"/>
      <c r="PM56" s="378"/>
      <c r="PN56" s="378"/>
      <c r="PO56" s="378"/>
      <c r="PP56" s="378"/>
      <c r="PQ56" s="378"/>
      <c r="PR56" s="378"/>
      <c r="PS56" s="378"/>
      <c r="PT56" s="378"/>
      <c r="PU56" s="378"/>
      <c r="PV56" s="378"/>
      <c r="PW56" s="378"/>
      <c r="PX56" s="378"/>
      <c r="PY56" s="378"/>
      <c r="PZ56" s="378"/>
      <c r="QA56" s="378"/>
      <c r="QB56" s="378"/>
      <c r="QC56" s="378"/>
      <c r="QD56" s="378"/>
      <c r="QE56" s="378"/>
      <c r="QF56" s="378"/>
      <c r="QG56" s="378"/>
      <c r="QH56" s="378"/>
      <c r="QI56" s="378"/>
      <c r="QJ56" s="378"/>
      <c r="QK56" s="378"/>
      <c r="QL56" s="378"/>
      <c r="QM56" s="378"/>
      <c r="QN56" s="378"/>
      <c r="QO56" s="378"/>
      <c r="QP56" s="378"/>
      <c r="QQ56" s="378"/>
      <c r="QR56" s="378"/>
      <c r="QS56" s="378"/>
      <c r="QT56" s="378"/>
      <c r="QU56" s="378"/>
      <c r="QV56" s="378"/>
      <c r="QW56" s="378"/>
      <c r="QX56" s="378"/>
      <c r="QY56" s="378"/>
      <c r="QZ56" s="378"/>
      <c r="RA56" s="378"/>
      <c r="RB56" s="378"/>
      <c r="RC56" s="378"/>
      <c r="RD56" s="378"/>
      <c r="RE56" s="378"/>
      <c r="RF56" s="378"/>
      <c r="RG56" s="378"/>
      <c r="RH56" s="378"/>
      <c r="RI56" s="378"/>
      <c r="RJ56" s="378"/>
      <c r="RK56" s="378"/>
      <c r="RL56" s="378"/>
      <c r="RM56" s="378"/>
      <c r="RN56" s="378"/>
      <c r="RO56" s="378"/>
      <c r="RP56" s="378"/>
      <c r="RQ56" s="378"/>
      <c r="RR56" s="378"/>
      <c r="RS56" s="378"/>
      <c r="RT56" s="378"/>
      <c r="RU56" s="378"/>
      <c r="RV56" s="378"/>
      <c r="RW56" s="378"/>
      <c r="RX56" s="378"/>
      <c r="RY56" s="378"/>
      <c r="RZ56" s="378"/>
      <c r="SA56" s="378"/>
      <c r="SB56" s="378"/>
      <c r="SC56" s="378"/>
      <c r="SD56" s="378"/>
      <c r="SE56" s="378"/>
      <c r="SF56" s="378"/>
      <c r="SG56" s="378"/>
      <c r="SH56" s="378"/>
      <c r="SI56" s="378"/>
      <c r="SJ56" s="378"/>
      <c r="SK56" s="378"/>
      <c r="SL56" s="378"/>
      <c r="SM56" s="378"/>
      <c r="SN56" s="378"/>
      <c r="SO56" s="378"/>
      <c r="SP56" s="378"/>
      <c r="SQ56" s="378"/>
      <c r="SR56" s="378"/>
      <c r="SS56" s="378"/>
      <c r="ST56" s="378"/>
      <c r="SU56" s="378"/>
      <c r="SV56" s="378"/>
      <c r="SW56" s="378"/>
      <c r="SX56" s="378"/>
      <c r="SY56" s="378"/>
      <c r="SZ56" s="378"/>
      <c r="TA56" s="378"/>
      <c r="TB56" s="378"/>
      <c r="TC56" s="378"/>
      <c r="TD56" s="378"/>
      <c r="TE56" s="378"/>
      <c r="TF56" s="378"/>
      <c r="TG56" s="378"/>
      <c r="TH56" s="378"/>
      <c r="TI56" s="378"/>
      <c r="TJ56" s="378"/>
      <c r="TK56" s="378"/>
      <c r="TL56" s="378"/>
      <c r="TM56" s="378"/>
      <c r="TN56" s="378"/>
      <c r="TO56" s="378"/>
      <c r="TP56" s="378"/>
      <c r="TQ56" s="378"/>
      <c r="TR56" s="378"/>
      <c r="TS56" s="378"/>
      <c r="TT56" s="378"/>
      <c r="TU56" s="378"/>
      <c r="TV56" s="378"/>
      <c r="TW56" s="378"/>
      <c r="TX56" s="378"/>
      <c r="TY56" s="378"/>
      <c r="TZ56" s="378"/>
      <c r="UA56" s="378"/>
      <c r="UB56" s="378"/>
      <c r="UC56" s="378"/>
      <c r="UD56" s="378"/>
      <c r="UE56" s="378"/>
      <c r="UF56" s="378"/>
      <c r="UG56" s="378"/>
      <c r="UH56" s="378"/>
      <c r="UI56" s="378"/>
      <c r="UJ56" s="378"/>
      <c r="UK56" s="378"/>
      <c r="UL56" s="378"/>
      <c r="UM56" s="378"/>
      <c r="UN56" s="378"/>
      <c r="UO56" s="378"/>
      <c r="UP56" s="378"/>
      <c r="UQ56" s="378"/>
      <c r="UR56" s="378"/>
      <c r="US56" s="378"/>
      <c r="UT56" s="378"/>
      <c r="UU56" s="378"/>
      <c r="UV56" s="378"/>
      <c r="UW56" s="378"/>
      <c r="UX56" s="378"/>
      <c r="UY56" s="378"/>
      <c r="UZ56" s="378"/>
      <c r="VA56" s="378"/>
      <c r="VB56" s="378"/>
      <c r="VC56" s="378"/>
      <c r="VD56" s="378"/>
      <c r="VE56" s="378"/>
      <c r="VF56" s="378"/>
      <c r="VG56" s="378"/>
      <c r="VH56" s="378"/>
      <c r="VI56" s="378"/>
      <c r="VJ56" s="378"/>
      <c r="VK56" s="378"/>
      <c r="VL56" s="378"/>
      <c r="VM56" s="378"/>
      <c r="VN56" s="378"/>
      <c r="VO56" s="378"/>
      <c r="VP56" s="378"/>
      <c r="VQ56" s="378"/>
      <c r="VR56" s="378"/>
      <c r="VS56" s="378"/>
      <c r="VT56" s="378"/>
      <c r="VU56" s="378"/>
      <c r="VV56" s="378"/>
      <c r="VW56" s="378"/>
      <c r="VX56" s="378"/>
      <c r="VY56" s="378"/>
      <c r="VZ56" s="378"/>
      <c r="WA56" s="378"/>
      <c r="WB56" s="378"/>
      <c r="WC56" s="378"/>
      <c r="WD56" s="378"/>
      <c r="WE56" s="378"/>
      <c r="WF56" s="378"/>
      <c r="WG56" s="378"/>
      <c r="WH56" s="378"/>
      <c r="WI56" s="378"/>
      <c r="WJ56" s="378"/>
      <c r="WK56" s="378"/>
      <c r="WL56" s="378"/>
      <c r="WM56" s="378"/>
      <c r="WN56" s="378"/>
      <c r="WO56" s="378"/>
      <c r="WP56" s="378"/>
      <c r="WQ56" s="378"/>
      <c r="WR56" s="378"/>
      <c r="WS56" s="378"/>
      <c r="WT56" s="378"/>
      <c r="WU56" s="378"/>
      <c r="WV56" s="378"/>
      <c r="WW56" s="378"/>
      <c r="WX56" s="378"/>
      <c r="WY56" s="378"/>
      <c r="WZ56" s="378"/>
      <c r="XA56" s="378"/>
      <c r="XB56" s="378"/>
      <c r="XC56" s="378"/>
      <c r="XD56" s="378"/>
      <c r="XE56" s="378"/>
      <c r="XF56" s="378"/>
      <c r="XG56" s="378"/>
      <c r="XH56" s="378"/>
      <c r="XI56" s="378"/>
      <c r="XJ56" s="378"/>
      <c r="XK56" s="378"/>
      <c r="XL56" s="378"/>
      <c r="XM56" s="378"/>
      <c r="XN56" s="378"/>
      <c r="XO56" s="378"/>
      <c r="XP56" s="378"/>
      <c r="XQ56" s="378"/>
      <c r="XR56" s="378"/>
      <c r="XS56" s="378"/>
      <c r="XT56" s="378"/>
      <c r="XU56" s="378"/>
      <c r="XV56" s="378"/>
      <c r="XW56" s="378"/>
      <c r="XX56" s="378"/>
      <c r="XY56" s="378"/>
      <c r="XZ56" s="378"/>
      <c r="YA56" s="378"/>
      <c r="YB56" s="378"/>
      <c r="YC56" s="378"/>
      <c r="YD56" s="378"/>
      <c r="YE56" s="378"/>
      <c r="YF56" s="378"/>
      <c r="YG56" s="378"/>
      <c r="YH56" s="378"/>
      <c r="YI56" s="378"/>
      <c r="YJ56" s="378"/>
      <c r="YK56" s="378"/>
      <c r="YL56" s="378"/>
      <c r="YM56" s="378"/>
      <c r="YN56" s="378"/>
      <c r="YO56" s="378"/>
      <c r="YP56" s="378"/>
      <c r="YQ56" s="378"/>
      <c r="YR56" s="378"/>
      <c r="YS56" s="378"/>
      <c r="YT56" s="378"/>
      <c r="YU56" s="378"/>
      <c r="YV56" s="378"/>
      <c r="YW56" s="378"/>
      <c r="YX56" s="378"/>
      <c r="YY56" s="378"/>
      <c r="YZ56" s="378"/>
      <c r="ZA56" s="378"/>
      <c r="ZB56" s="378"/>
      <c r="ZC56" s="378"/>
      <c r="ZD56" s="378"/>
      <c r="ZE56" s="378"/>
      <c r="ZF56" s="378"/>
      <c r="ZG56" s="378"/>
      <c r="ZH56" s="378"/>
      <c r="ZI56" s="378"/>
      <c r="ZJ56" s="378"/>
      <c r="ZK56" s="378"/>
      <c r="ZL56" s="378"/>
      <c r="ZM56" s="378"/>
      <c r="ZN56" s="378"/>
      <c r="ZO56" s="378"/>
      <c r="ZP56" s="378"/>
      <c r="ZQ56" s="378"/>
      <c r="ZR56" s="378"/>
      <c r="ZS56" s="378"/>
      <c r="ZT56" s="378"/>
      <c r="ZU56" s="378"/>
      <c r="ZV56" s="378"/>
      <c r="ZW56" s="378"/>
      <c r="ZX56" s="378"/>
      <c r="ZY56" s="378"/>
      <c r="ZZ56" s="378"/>
      <c r="AAA56" s="378"/>
      <c r="AAB56" s="378"/>
      <c r="AAC56" s="378"/>
      <c r="AAD56" s="378"/>
      <c r="AAE56" s="378"/>
      <c r="AAF56" s="378"/>
      <c r="AAG56" s="378"/>
      <c r="AAH56" s="378"/>
      <c r="AAI56" s="378"/>
      <c r="AAJ56" s="378"/>
      <c r="AAK56" s="378"/>
      <c r="AAL56" s="378"/>
      <c r="AAM56" s="378"/>
      <c r="AAN56" s="378"/>
      <c r="AAO56" s="378"/>
      <c r="AAP56" s="378"/>
      <c r="AAQ56" s="378"/>
      <c r="AAR56" s="378"/>
      <c r="AAS56" s="378"/>
      <c r="AAT56" s="378"/>
      <c r="AAU56" s="378"/>
      <c r="AAV56" s="378"/>
      <c r="AAW56" s="378"/>
      <c r="AAX56" s="378"/>
      <c r="AAY56" s="378"/>
      <c r="AAZ56" s="378"/>
      <c r="ABA56" s="378"/>
      <c r="ABB56" s="378"/>
      <c r="ABC56" s="378"/>
      <c r="ABD56" s="378"/>
      <c r="ABE56" s="378"/>
      <c r="ABF56" s="378"/>
      <c r="ABG56" s="378"/>
      <c r="ABH56" s="378"/>
      <c r="ABI56" s="378"/>
      <c r="ABJ56" s="378"/>
      <c r="ABK56" s="378"/>
      <c r="ABL56" s="378"/>
      <c r="ABM56" s="378"/>
      <c r="ABN56" s="378"/>
      <c r="ABO56" s="378"/>
      <c r="ABP56" s="378"/>
      <c r="ABQ56" s="378"/>
      <c r="ABR56" s="378"/>
      <c r="ABS56" s="378"/>
      <c r="ABT56" s="378"/>
      <c r="ABU56" s="378"/>
      <c r="ABV56" s="378"/>
      <c r="ABW56" s="378"/>
      <c r="ABX56" s="378"/>
      <c r="ABY56" s="378"/>
      <c r="ABZ56" s="378"/>
      <c r="ACA56" s="378"/>
      <c r="ACB56" s="378"/>
      <c r="ACC56" s="378"/>
      <c r="ACD56" s="378"/>
      <c r="ACE56" s="378"/>
      <c r="ACF56" s="378"/>
      <c r="ACG56" s="378"/>
      <c r="ACH56" s="378"/>
      <c r="ACI56" s="378"/>
      <c r="ACJ56" s="378"/>
      <c r="ACK56" s="378"/>
      <c r="ACL56" s="378"/>
      <c r="ACM56" s="378"/>
      <c r="ACN56" s="378"/>
      <c r="ACO56" s="378"/>
      <c r="ACP56" s="378"/>
      <c r="ACQ56" s="378"/>
      <c r="ACR56" s="378"/>
      <c r="ACS56" s="378"/>
      <c r="ACT56" s="378"/>
      <c r="ACU56" s="378"/>
      <c r="ACV56" s="378"/>
      <c r="ACW56" s="378"/>
      <c r="ACX56" s="378"/>
      <c r="ACY56" s="378"/>
      <c r="ACZ56" s="378"/>
      <c r="ADA56" s="378"/>
      <c r="ADB56" s="378"/>
      <c r="ADC56" s="378"/>
      <c r="ADD56" s="378"/>
      <c r="ADE56" s="378"/>
      <c r="ADF56" s="378"/>
      <c r="ADG56" s="378"/>
      <c r="ADH56" s="378"/>
      <c r="ADI56" s="378"/>
      <c r="ADJ56" s="378"/>
      <c r="ADK56" s="378"/>
      <c r="ADL56" s="378"/>
      <c r="ADM56" s="378"/>
      <c r="ADN56" s="378"/>
      <c r="ADO56" s="378"/>
      <c r="ADP56" s="378"/>
      <c r="ADQ56" s="378"/>
      <c r="ADR56" s="378"/>
      <c r="ADS56" s="378"/>
      <c r="ADT56" s="378"/>
      <c r="ADU56" s="378"/>
      <c r="ADV56" s="378"/>
      <c r="ADW56" s="378"/>
      <c r="ADX56" s="378"/>
      <c r="ADY56" s="378"/>
      <c r="ADZ56" s="378"/>
      <c r="AEA56" s="378"/>
      <c r="AEB56" s="378"/>
      <c r="AEC56" s="378"/>
      <c r="AED56" s="378"/>
      <c r="AEE56" s="378"/>
      <c r="AEF56" s="378"/>
      <c r="AEG56" s="378"/>
      <c r="AEH56" s="378"/>
      <c r="AEI56" s="378"/>
      <c r="AEJ56" s="378"/>
      <c r="AEK56" s="378"/>
      <c r="AEL56" s="378"/>
      <c r="AEM56" s="378"/>
      <c r="AEN56" s="378"/>
      <c r="AEO56" s="378"/>
      <c r="AEP56" s="378"/>
      <c r="AEQ56" s="378"/>
      <c r="AER56" s="378"/>
      <c r="AES56" s="378"/>
      <c r="AET56" s="378"/>
      <c r="AEU56" s="378"/>
      <c r="AEV56" s="378"/>
      <c r="AEW56" s="378"/>
      <c r="AEX56" s="378"/>
      <c r="AEY56" s="378"/>
      <c r="AEZ56" s="378"/>
      <c r="AFA56" s="378"/>
      <c r="AFB56" s="378"/>
      <c r="AFC56" s="378"/>
      <c r="AFD56" s="378"/>
      <c r="AFE56" s="378"/>
      <c r="AFF56" s="378"/>
      <c r="AFG56" s="378"/>
      <c r="AFH56" s="378"/>
      <c r="AFI56" s="378"/>
      <c r="AFJ56" s="378"/>
      <c r="AFK56" s="378"/>
      <c r="AFL56" s="378"/>
      <c r="AFM56" s="378"/>
      <c r="AFN56" s="378"/>
      <c r="AFO56" s="378"/>
      <c r="AFP56" s="378"/>
      <c r="AFQ56" s="378"/>
      <c r="AFR56" s="378"/>
      <c r="AFS56" s="378"/>
      <c r="AFT56" s="378"/>
      <c r="AFU56" s="378"/>
      <c r="AFV56" s="378"/>
      <c r="AFW56" s="378"/>
      <c r="AFX56" s="378"/>
      <c r="AFY56" s="378"/>
      <c r="AFZ56" s="378"/>
      <c r="AGA56" s="378"/>
      <c r="AGB56" s="378"/>
      <c r="AGC56" s="378"/>
      <c r="AGD56" s="378"/>
      <c r="AGE56" s="378"/>
      <c r="AGF56" s="378"/>
      <c r="AGG56" s="378"/>
      <c r="AGH56" s="378"/>
      <c r="AGI56" s="378"/>
      <c r="AGJ56" s="378"/>
      <c r="AGK56" s="378"/>
      <c r="AGL56" s="378"/>
      <c r="AGM56" s="378"/>
      <c r="AGN56" s="378"/>
      <c r="AGO56" s="378"/>
      <c r="AGP56" s="378"/>
      <c r="AGQ56" s="378"/>
      <c r="AGR56" s="378"/>
      <c r="AGS56" s="378"/>
      <c r="AGT56" s="378"/>
      <c r="AGU56" s="378"/>
      <c r="AGV56" s="378"/>
      <c r="AGW56" s="378"/>
      <c r="AGX56" s="378"/>
      <c r="AGY56" s="378"/>
      <c r="AGZ56" s="378"/>
      <c r="AHA56" s="378"/>
      <c r="AHB56" s="378"/>
      <c r="AHC56" s="378"/>
      <c r="AHD56" s="378"/>
      <c r="AHE56" s="378"/>
      <c r="AHF56" s="378"/>
      <c r="AHG56" s="378"/>
      <c r="AHH56" s="378"/>
      <c r="AHI56" s="378"/>
      <c r="AHJ56" s="378"/>
      <c r="AHK56" s="378"/>
      <c r="AHL56" s="378"/>
      <c r="AHM56" s="378"/>
      <c r="AHN56" s="378"/>
      <c r="AHO56" s="378"/>
      <c r="AHP56" s="378"/>
      <c r="AHQ56" s="378"/>
      <c r="AHR56" s="378"/>
      <c r="AHS56" s="378"/>
      <c r="AHT56" s="378"/>
      <c r="AHU56" s="378"/>
      <c r="AHV56" s="378"/>
      <c r="AHW56" s="378"/>
      <c r="AHX56" s="378"/>
      <c r="AHY56" s="378"/>
      <c r="AHZ56" s="378"/>
      <c r="AIA56" s="378"/>
      <c r="AIB56" s="378"/>
      <c r="AIC56" s="378"/>
      <c r="AID56" s="378"/>
      <c r="AIE56" s="378"/>
      <c r="AIF56" s="378"/>
      <c r="AIG56" s="378"/>
      <c r="AIH56" s="378"/>
      <c r="AII56" s="378"/>
      <c r="AIJ56" s="378"/>
      <c r="AIK56" s="378"/>
      <c r="AIL56" s="378"/>
      <c r="AIM56" s="378"/>
      <c r="AIN56" s="378"/>
      <c r="AIO56" s="378"/>
      <c r="AIP56" s="378"/>
      <c r="AIQ56" s="378"/>
      <c r="AIR56" s="378"/>
      <c r="AIS56" s="378"/>
      <c r="AIT56" s="378"/>
      <c r="AIU56" s="378"/>
      <c r="AIV56" s="378"/>
      <c r="AIW56" s="378"/>
      <c r="AIX56" s="378"/>
      <c r="AIY56" s="378"/>
      <c r="AIZ56" s="378"/>
      <c r="AJA56" s="378"/>
      <c r="AJB56" s="378"/>
      <c r="AJC56" s="378"/>
      <c r="AJD56" s="378"/>
      <c r="AJE56" s="378"/>
      <c r="AJF56" s="378"/>
      <c r="AJG56" s="378"/>
      <c r="AJH56" s="378"/>
      <c r="AJI56" s="378"/>
      <c r="AJJ56" s="378"/>
      <c r="AJK56" s="378"/>
      <c r="AJL56" s="378"/>
      <c r="AJM56" s="378"/>
      <c r="AJN56" s="378"/>
      <c r="AJO56" s="378"/>
      <c r="AJP56" s="378"/>
      <c r="AJQ56" s="378"/>
      <c r="AJR56" s="378"/>
      <c r="AJS56" s="378"/>
      <c r="AJT56" s="378"/>
      <c r="AJU56" s="378"/>
      <c r="AJV56" s="378"/>
      <c r="AJW56" s="378"/>
      <c r="AJX56" s="378"/>
      <c r="AJY56" s="378"/>
      <c r="AJZ56" s="378"/>
      <c r="AKA56" s="378"/>
      <c r="AKB56" s="378"/>
      <c r="AKC56" s="378"/>
      <c r="AKD56" s="378"/>
      <c r="AKE56" s="378"/>
      <c r="AKF56" s="378"/>
      <c r="AKG56" s="378"/>
      <c r="AKH56" s="378"/>
      <c r="AKI56" s="378"/>
      <c r="AKJ56" s="378"/>
      <c r="AKK56" s="378"/>
      <c r="AKL56" s="378"/>
      <c r="AKM56" s="378"/>
      <c r="AKN56" s="378"/>
      <c r="AKO56" s="378"/>
      <c r="AKP56" s="378"/>
      <c r="AKQ56" s="378"/>
      <c r="AKR56" s="378"/>
      <c r="AKS56" s="378"/>
      <c r="AKT56" s="378"/>
      <c r="AKU56" s="378"/>
      <c r="AKV56" s="378"/>
      <c r="AKW56" s="378"/>
      <c r="AKX56" s="378"/>
      <c r="AKY56" s="378"/>
      <c r="AKZ56" s="378"/>
      <c r="ALA56" s="378"/>
      <c r="ALB56" s="378"/>
      <c r="ALC56" s="378"/>
      <c r="ALD56" s="378"/>
      <c r="ALE56" s="378"/>
      <c r="ALF56" s="378"/>
      <c r="ALG56" s="378"/>
      <c r="ALH56" s="378"/>
      <c r="ALI56" s="378"/>
      <c r="ALJ56" s="378"/>
      <c r="ALK56" s="378"/>
      <c r="ALL56" s="378"/>
      <c r="ALM56" s="378"/>
      <c r="ALN56" s="378"/>
      <c r="ALO56" s="378"/>
      <c r="ALP56" s="378"/>
      <c r="ALQ56" s="378"/>
      <c r="ALR56" s="378"/>
      <c r="ALS56" s="378"/>
      <c r="ALT56" s="378"/>
      <c r="ALU56" s="378"/>
      <c r="ALV56" s="378"/>
      <c r="ALW56" s="378"/>
      <c r="ALX56" s="378"/>
      <c r="ALY56" s="378"/>
      <c r="ALZ56" s="378"/>
      <c r="AMA56" s="378"/>
      <c r="AMB56" s="378"/>
      <c r="AMC56" s="378"/>
      <c r="AMD56" s="378"/>
      <c r="AME56" s="378"/>
      <c r="AMF56" s="378"/>
      <c r="AMG56" s="378"/>
      <c r="AMH56" s="378"/>
      <c r="AMI56" s="378"/>
      <c r="AMJ56" s="378"/>
      <c r="AMK56" s="378"/>
      <c r="AML56" s="378"/>
      <c r="AMM56" s="378"/>
      <c r="AMN56" s="378"/>
      <c r="AMO56" s="378"/>
      <c r="AMP56" s="378"/>
      <c r="AMQ56" s="378"/>
      <c r="AMR56" s="378"/>
      <c r="AMS56" s="378"/>
      <c r="AMT56" s="378"/>
      <c r="AMU56" s="378"/>
      <c r="AMV56" s="378"/>
      <c r="AMW56" s="378"/>
      <c r="AMX56" s="378"/>
      <c r="AMY56" s="378"/>
      <c r="AMZ56" s="378"/>
      <c r="ANA56" s="378"/>
      <c r="ANB56" s="378"/>
      <c r="ANC56" s="378"/>
      <c r="AND56" s="378"/>
      <c r="ANE56" s="378"/>
      <c r="ANF56" s="378"/>
      <c r="ANG56" s="378"/>
      <c r="ANH56" s="378"/>
      <c r="ANI56" s="378"/>
      <c r="ANJ56" s="378"/>
      <c r="ANK56" s="378"/>
      <c r="ANL56" s="378"/>
      <c r="ANM56" s="378"/>
      <c r="ANN56" s="378"/>
      <c r="ANO56" s="378"/>
      <c r="ANP56" s="378"/>
      <c r="ANQ56" s="378"/>
      <c r="ANR56" s="378"/>
      <c r="ANS56" s="378"/>
      <c r="ANT56" s="378"/>
      <c r="ANU56" s="378"/>
      <c r="ANV56" s="378"/>
      <c r="ANW56" s="378"/>
      <c r="ANX56" s="378"/>
      <c r="ANY56" s="378"/>
      <c r="ANZ56" s="378"/>
      <c r="AOA56" s="378"/>
      <c r="AOB56" s="378"/>
      <c r="AOC56" s="378"/>
      <c r="AOD56" s="378"/>
      <c r="AOE56" s="378"/>
      <c r="AOF56" s="378"/>
      <c r="AOG56" s="378"/>
      <c r="AOH56" s="378"/>
      <c r="AOI56" s="378"/>
      <c r="AOJ56" s="378"/>
      <c r="AOK56" s="378"/>
      <c r="AOL56" s="378"/>
      <c r="AOM56" s="378"/>
      <c r="AON56" s="378"/>
      <c r="AOO56" s="378"/>
      <c r="AOP56" s="378"/>
      <c r="AOQ56" s="378"/>
      <c r="AOR56" s="378"/>
      <c r="AOS56" s="378"/>
      <c r="AOT56" s="378"/>
      <c r="AOU56" s="378"/>
      <c r="AOV56" s="378"/>
      <c r="AOW56" s="378"/>
      <c r="AOX56" s="378"/>
      <c r="AOY56" s="378"/>
      <c r="AOZ56" s="378"/>
      <c r="APA56" s="378"/>
      <c r="APB56" s="378"/>
      <c r="APC56" s="378"/>
      <c r="APD56" s="378"/>
      <c r="APE56" s="378"/>
      <c r="APF56" s="378"/>
      <c r="APG56" s="378"/>
      <c r="APH56" s="378"/>
      <c r="API56" s="378"/>
      <c r="APJ56" s="378"/>
      <c r="APK56" s="378"/>
      <c r="APL56" s="378"/>
      <c r="APM56" s="378"/>
      <c r="APN56" s="378"/>
      <c r="APO56" s="378"/>
      <c r="APP56" s="378"/>
      <c r="APQ56" s="378"/>
      <c r="APR56" s="378"/>
      <c r="APS56" s="378"/>
      <c r="APT56" s="378"/>
      <c r="APU56" s="378"/>
      <c r="APV56" s="378"/>
      <c r="APW56" s="378"/>
      <c r="APX56" s="378"/>
      <c r="APY56" s="378"/>
      <c r="APZ56" s="378"/>
      <c r="AQA56" s="378"/>
      <c r="AQB56" s="378"/>
      <c r="AQC56" s="378"/>
      <c r="AQD56" s="378"/>
      <c r="AQE56" s="378"/>
      <c r="AQF56" s="378"/>
      <c r="AQG56" s="378"/>
      <c r="AQH56" s="378"/>
      <c r="AQI56" s="378"/>
      <c r="AQJ56" s="378"/>
      <c r="AQK56" s="378"/>
      <c r="AQL56" s="378"/>
      <c r="AQM56" s="378"/>
      <c r="AQN56" s="378"/>
      <c r="AQO56" s="378"/>
      <c r="AQP56" s="378"/>
      <c r="AQQ56" s="378"/>
      <c r="AQR56" s="378"/>
      <c r="AQS56" s="378"/>
      <c r="AQT56" s="378"/>
      <c r="AQU56" s="378"/>
      <c r="AQV56" s="378"/>
      <c r="AQW56" s="378"/>
      <c r="AQX56" s="378"/>
      <c r="AQY56" s="378"/>
      <c r="AQZ56" s="378"/>
      <c r="ARA56" s="378"/>
      <c r="ARB56" s="378"/>
      <c r="ARC56" s="378"/>
      <c r="ARD56" s="378"/>
      <c r="ARE56" s="378"/>
      <c r="ARF56" s="378"/>
      <c r="ARG56" s="378"/>
      <c r="ARH56" s="378"/>
      <c r="ARI56" s="378"/>
      <c r="ARJ56" s="378"/>
      <c r="ARK56" s="378"/>
      <c r="ARL56" s="378"/>
      <c r="ARM56" s="378"/>
      <c r="ARN56" s="378"/>
      <c r="ARO56" s="378"/>
      <c r="ARP56" s="378"/>
      <c r="ARQ56" s="378"/>
      <c r="ARR56" s="378"/>
      <c r="ARS56" s="378"/>
      <c r="ART56" s="378"/>
      <c r="ARU56" s="378"/>
      <c r="ARV56" s="378"/>
      <c r="ARW56" s="378"/>
      <c r="ARX56" s="378"/>
      <c r="ARY56" s="378"/>
      <c r="ARZ56" s="378"/>
      <c r="ASA56" s="378"/>
      <c r="ASB56" s="378"/>
      <c r="ASC56" s="378"/>
      <c r="ASD56" s="378"/>
      <c r="ASE56" s="378"/>
      <c r="ASF56" s="378"/>
      <c r="ASG56" s="378"/>
      <c r="ASH56" s="378"/>
      <c r="ASI56" s="378"/>
      <c r="ASJ56" s="378"/>
      <c r="ASK56" s="378"/>
      <c r="ASL56" s="378"/>
      <c r="ASM56" s="378"/>
      <c r="ASN56" s="378"/>
      <c r="ASO56" s="378"/>
      <c r="ASP56" s="378"/>
      <c r="ASQ56" s="378"/>
      <c r="ASR56" s="378"/>
      <c r="ASS56" s="378"/>
      <c r="AST56" s="378"/>
      <c r="ASU56" s="378"/>
      <c r="ASV56" s="378"/>
      <c r="ASW56" s="378"/>
      <c r="ASX56" s="378"/>
      <c r="ASY56" s="378"/>
      <c r="ASZ56" s="378"/>
      <c r="ATA56" s="378"/>
      <c r="ATB56" s="378"/>
      <c r="ATC56" s="378"/>
      <c r="ATD56" s="378"/>
      <c r="ATE56" s="378"/>
      <c r="ATF56" s="378"/>
      <c r="ATG56" s="378"/>
      <c r="ATH56" s="378"/>
      <c r="ATI56" s="378"/>
      <c r="ATJ56" s="378"/>
      <c r="ATK56" s="378"/>
      <c r="ATL56" s="378"/>
      <c r="ATM56" s="378"/>
      <c r="ATN56" s="378"/>
      <c r="ATO56" s="378"/>
      <c r="ATP56" s="378"/>
      <c r="ATQ56" s="378"/>
      <c r="ATR56" s="378"/>
      <c r="ATS56" s="378"/>
      <c r="ATT56" s="378"/>
      <c r="ATU56" s="378"/>
      <c r="ATV56" s="378"/>
      <c r="ATW56" s="378"/>
      <c r="ATX56" s="378"/>
      <c r="ATY56" s="378"/>
      <c r="ATZ56" s="378"/>
      <c r="AUA56" s="378"/>
      <c r="AUB56" s="378"/>
      <c r="AUC56" s="378"/>
      <c r="AUD56" s="378"/>
      <c r="AUE56" s="378"/>
      <c r="AUF56" s="378"/>
      <c r="AUG56" s="378"/>
      <c r="AUH56" s="378"/>
      <c r="AUI56" s="378"/>
      <c r="AUJ56" s="378"/>
      <c r="AUK56" s="378"/>
      <c r="AUL56" s="378"/>
      <c r="AUM56" s="378"/>
      <c r="AUN56" s="378"/>
      <c r="AUO56" s="378"/>
      <c r="AUP56" s="378"/>
      <c r="AUQ56" s="378"/>
      <c r="AUR56" s="378"/>
      <c r="AUS56" s="378"/>
      <c r="AUT56" s="378"/>
      <c r="AUU56" s="378"/>
      <c r="AUV56" s="378"/>
      <c r="AUW56" s="378"/>
      <c r="AUX56" s="378"/>
      <c r="AUY56" s="378"/>
      <c r="AUZ56" s="378"/>
      <c r="AVA56" s="378"/>
      <c r="AVB56" s="378"/>
      <c r="AVC56" s="378"/>
      <c r="AVD56" s="378"/>
      <c r="AVE56" s="378"/>
      <c r="AVF56" s="378"/>
      <c r="AVG56" s="378"/>
      <c r="AVH56" s="378"/>
      <c r="AVI56" s="378"/>
      <c r="AVJ56" s="378"/>
      <c r="AVK56" s="378"/>
      <c r="AVL56" s="378"/>
      <c r="AVM56" s="378"/>
      <c r="AVN56" s="378"/>
      <c r="AVO56" s="378"/>
      <c r="AVP56" s="378"/>
      <c r="AVQ56" s="378"/>
      <c r="AVR56" s="378"/>
      <c r="AVS56" s="378"/>
      <c r="AVT56" s="378"/>
      <c r="AVU56" s="378"/>
      <c r="AVV56" s="378"/>
      <c r="AVW56" s="378"/>
      <c r="AVX56" s="378"/>
      <c r="AVY56" s="378"/>
      <c r="AVZ56" s="378"/>
      <c r="AWA56" s="378"/>
      <c r="AWB56" s="378"/>
      <c r="AWC56" s="378"/>
      <c r="AWD56" s="378"/>
      <c r="AWE56" s="378"/>
      <c r="AWF56" s="378"/>
      <c r="AWG56" s="378"/>
      <c r="AWH56" s="378"/>
      <c r="AWI56" s="378"/>
      <c r="AWJ56" s="378"/>
      <c r="AWK56" s="378"/>
      <c r="AWL56" s="378"/>
      <c r="AWM56" s="378"/>
      <c r="AWN56" s="378"/>
      <c r="AWO56" s="378"/>
      <c r="AWP56" s="378"/>
      <c r="AWQ56" s="378"/>
      <c r="AWR56" s="378"/>
      <c r="AWS56" s="378"/>
      <c r="AWT56" s="378"/>
      <c r="AWU56" s="378"/>
      <c r="AWV56" s="378"/>
      <c r="AWW56" s="378"/>
      <c r="AWX56" s="378"/>
      <c r="AWY56" s="378"/>
      <c r="AWZ56" s="378"/>
      <c r="AXA56" s="378"/>
      <c r="AXB56" s="378"/>
      <c r="AXC56" s="378"/>
      <c r="AXD56" s="378"/>
      <c r="AXE56" s="378"/>
      <c r="AXF56" s="378"/>
      <c r="AXG56" s="378"/>
      <c r="AXH56" s="378"/>
      <c r="AXI56" s="378"/>
      <c r="AXJ56" s="378"/>
      <c r="AXK56" s="378"/>
      <c r="AXL56" s="378"/>
      <c r="AXM56" s="378"/>
      <c r="AXN56" s="378"/>
      <c r="AXO56" s="378"/>
      <c r="AXP56" s="378"/>
      <c r="AXQ56" s="378"/>
      <c r="AXR56" s="378"/>
      <c r="AXS56" s="378"/>
      <c r="AXT56" s="378"/>
      <c r="AXU56" s="378"/>
      <c r="AXV56" s="378"/>
      <c r="AXW56" s="378"/>
      <c r="AXX56" s="378"/>
      <c r="AXY56" s="378"/>
      <c r="AXZ56" s="378"/>
      <c r="AYA56" s="378"/>
      <c r="AYB56" s="378"/>
      <c r="AYC56" s="378"/>
      <c r="AYD56" s="378"/>
      <c r="AYE56" s="378"/>
      <c r="AYF56" s="378"/>
      <c r="AYG56" s="378"/>
      <c r="AYH56" s="378"/>
      <c r="AYI56" s="378"/>
      <c r="AYJ56" s="378"/>
      <c r="AYK56" s="378"/>
      <c r="AYL56" s="378"/>
      <c r="AYM56" s="378"/>
      <c r="AYN56" s="378"/>
      <c r="AYO56" s="378"/>
      <c r="AYP56" s="378"/>
      <c r="AYQ56" s="378"/>
      <c r="AYR56" s="378"/>
      <c r="AYS56" s="378"/>
      <c r="AYT56" s="378"/>
      <c r="AYU56" s="378"/>
      <c r="AYV56" s="378"/>
      <c r="AYW56" s="378"/>
      <c r="AYX56" s="378"/>
      <c r="AYY56" s="378"/>
      <c r="AYZ56" s="378"/>
      <c r="AZA56" s="378"/>
      <c r="AZB56" s="378"/>
      <c r="AZC56" s="378"/>
      <c r="AZD56" s="378"/>
      <c r="AZE56" s="378"/>
      <c r="AZF56" s="378"/>
      <c r="AZG56" s="378"/>
      <c r="AZH56" s="378"/>
      <c r="AZI56" s="378"/>
      <c r="AZJ56" s="378"/>
      <c r="AZK56" s="378"/>
      <c r="AZL56" s="378"/>
      <c r="AZM56" s="378"/>
      <c r="AZN56" s="378"/>
      <c r="AZO56" s="378"/>
      <c r="AZP56" s="378"/>
      <c r="AZQ56" s="378"/>
      <c r="AZR56" s="378"/>
      <c r="AZS56" s="378"/>
      <c r="AZT56" s="378"/>
      <c r="AZU56" s="378"/>
      <c r="AZV56" s="378"/>
      <c r="AZW56" s="378"/>
      <c r="AZX56" s="378"/>
      <c r="AZY56" s="378"/>
      <c r="AZZ56" s="378"/>
      <c r="BAA56" s="378"/>
      <c r="BAB56" s="378"/>
      <c r="BAC56" s="378"/>
      <c r="BAD56" s="378"/>
      <c r="BAE56" s="378"/>
      <c r="BAF56" s="378"/>
      <c r="BAG56" s="378"/>
      <c r="BAH56" s="378"/>
      <c r="BAI56" s="378"/>
      <c r="BAJ56" s="378"/>
      <c r="BAK56" s="378"/>
      <c r="BAL56" s="378"/>
      <c r="BAM56" s="378"/>
      <c r="BAN56" s="378"/>
      <c r="BAO56" s="378"/>
      <c r="BAP56" s="378"/>
      <c r="BAQ56" s="378"/>
      <c r="BAR56" s="378"/>
      <c r="BAS56" s="378"/>
      <c r="BAT56" s="378"/>
      <c r="BAU56" s="378"/>
      <c r="BAV56" s="378"/>
      <c r="BAW56" s="378"/>
      <c r="BAX56" s="378"/>
      <c r="BAY56" s="378"/>
      <c r="BAZ56" s="378"/>
      <c r="BBA56" s="378"/>
      <c r="BBB56" s="378"/>
      <c r="BBC56" s="378"/>
      <c r="BBD56" s="378"/>
      <c r="BBE56" s="378"/>
      <c r="BBF56" s="378"/>
      <c r="BBG56" s="378"/>
      <c r="BBH56" s="378"/>
      <c r="BBI56" s="378"/>
      <c r="BBJ56" s="378"/>
      <c r="BBK56" s="378"/>
      <c r="BBL56" s="378"/>
      <c r="BBM56" s="378"/>
      <c r="BBN56" s="378"/>
      <c r="BBO56" s="378"/>
      <c r="BBP56" s="378"/>
      <c r="BBQ56" s="378"/>
      <c r="BBR56" s="378"/>
      <c r="BBS56" s="378"/>
      <c r="BBT56" s="378"/>
      <c r="BBU56" s="378"/>
      <c r="BBV56" s="378"/>
      <c r="BBW56" s="378"/>
      <c r="BBX56" s="378"/>
      <c r="BBY56" s="378"/>
      <c r="BBZ56" s="378"/>
      <c r="BCA56" s="378"/>
      <c r="BCB56" s="378"/>
      <c r="BCC56" s="378"/>
      <c r="BCD56" s="378"/>
      <c r="BCE56" s="378"/>
      <c r="BCF56" s="378"/>
      <c r="BCG56" s="378"/>
      <c r="BCH56" s="378"/>
      <c r="BCI56" s="378"/>
      <c r="BCJ56" s="378"/>
      <c r="BCK56" s="378"/>
      <c r="BCL56" s="378"/>
      <c r="BCM56" s="378"/>
      <c r="BCN56" s="378"/>
      <c r="BCO56" s="378"/>
      <c r="BCP56" s="378"/>
      <c r="BCQ56" s="378"/>
      <c r="BCR56" s="378"/>
      <c r="BCS56" s="378"/>
      <c r="BCT56" s="378"/>
      <c r="BCU56" s="378"/>
      <c r="BCV56" s="378"/>
      <c r="BCW56" s="378"/>
      <c r="BCX56" s="378"/>
      <c r="BCY56" s="378"/>
      <c r="BCZ56" s="378"/>
      <c r="BDA56" s="378"/>
      <c r="BDB56" s="378"/>
      <c r="BDC56" s="378"/>
      <c r="BDD56" s="378"/>
      <c r="BDE56" s="378"/>
      <c r="BDF56" s="378"/>
      <c r="BDG56" s="378"/>
      <c r="BDH56" s="378"/>
      <c r="BDI56" s="378"/>
      <c r="BDJ56" s="378"/>
      <c r="BDK56" s="378"/>
      <c r="BDL56" s="378"/>
      <c r="BDM56" s="378"/>
      <c r="BDN56" s="378"/>
      <c r="BDO56" s="378"/>
      <c r="BDP56" s="378"/>
      <c r="BDQ56" s="378"/>
      <c r="BDR56" s="378"/>
      <c r="BDS56" s="378"/>
      <c r="BDT56" s="378"/>
      <c r="BDU56" s="378"/>
      <c r="BDV56" s="378"/>
      <c r="BDW56" s="378"/>
      <c r="BDX56" s="378"/>
      <c r="BDY56" s="378"/>
      <c r="BDZ56" s="378"/>
      <c r="BEA56" s="378"/>
      <c r="BEB56" s="378"/>
      <c r="BEC56" s="378"/>
      <c r="BED56" s="378"/>
      <c r="BEE56" s="378"/>
      <c r="BEF56" s="378"/>
      <c r="BEG56" s="378"/>
      <c r="BEH56" s="378"/>
      <c r="BEI56" s="378"/>
      <c r="BEJ56" s="378"/>
      <c r="BEK56" s="378"/>
      <c r="BEL56" s="378"/>
      <c r="BEM56" s="378"/>
      <c r="BEN56" s="378"/>
      <c r="BEO56" s="378"/>
      <c r="BEP56" s="378"/>
      <c r="BEQ56" s="378"/>
      <c r="BER56" s="378"/>
      <c r="BES56" s="378"/>
      <c r="BET56" s="378"/>
      <c r="BEU56" s="378"/>
      <c r="BEV56" s="378"/>
      <c r="BEW56" s="378"/>
      <c r="BEX56" s="378"/>
      <c r="BEY56" s="378"/>
      <c r="BEZ56" s="378"/>
      <c r="BFA56" s="378"/>
      <c r="BFB56" s="378"/>
      <c r="BFC56" s="378"/>
      <c r="BFD56" s="378"/>
      <c r="BFE56" s="378"/>
      <c r="BFF56" s="378"/>
      <c r="BFG56" s="378"/>
      <c r="BFH56" s="378"/>
      <c r="BFI56" s="378"/>
      <c r="BFJ56" s="378"/>
      <c r="BFK56" s="378"/>
      <c r="BFL56" s="378"/>
      <c r="BFM56" s="378"/>
      <c r="BFN56" s="378"/>
      <c r="BFO56" s="378"/>
      <c r="BFP56" s="378"/>
      <c r="BFQ56" s="378"/>
      <c r="BFR56" s="378"/>
      <c r="BFS56" s="378"/>
      <c r="BFT56" s="378"/>
      <c r="BFU56" s="378"/>
      <c r="BFV56" s="378"/>
      <c r="BFW56" s="378"/>
      <c r="BFX56" s="378"/>
      <c r="BFY56" s="378"/>
      <c r="BFZ56" s="378"/>
      <c r="BGA56" s="378"/>
      <c r="BGB56" s="378"/>
      <c r="BGC56" s="378"/>
      <c r="BGD56" s="378"/>
      <c r="BGE56" s="378"/>
      <c r="BGF56" s="378"/>
      <c r="BGG56" s="378"/>
      <c r="BGH56" s="378"/>
      <c r="BGI56" s="378"/>
      <c r="BGJ56" s="378"/>
      <c r="BGK56" s="378"/>
      <c r="BGL56" s="378"/>
      <c r="BGM56" s="378"/>
      <c r="BGN56" s="378"/>
      <c r="BGO56" s="378"/>
      <c r="BGP56" s="378"/>
      <c r="BGQ56" s="378"/>
      <c r="BGR56" s="378"/>
      <c r="BGS56" s="378"/>
      <c r="BGT56" s="378"/>
      <c r="BGU56" s="378"/>
      <c r="BGV56" s="378"/>
      <c r="BGW56" s="378"/>
      <c r="BGX56" s="378"/>
      <c r="BGY56" s="378"/>
      <c r="BGZ56" s="378"/>
      <c r="BHA56" s="378"/>
      <c r="BHB56" s="378"/>
      <c r="BHC56" s="378"/>
      <c r="BHD56" s="378"/>
      <c r="BHE56" s="378"/>
      <c r="BHF56" s="378"/>
      <c r="BHG56" s="378"/>
      <c r="BHH56" s="378"/>
      <c r="BHI56" s="378"/>
      <c r="BHJ56" s="378"/>
      <c r="BHK56" s="378"/>
      <c r="BHL56" s="378"/>
      <c r="BHM56" s="378"/>
      <c r="BHN56" s="378"/>
      <c r="BHO56" s="378"/>
      <c r="BHP56" s="378"/>
      <c r="BHQ56" s="378"/>
      <c r="BHR56" s="378"/>
      <c r="BHS56" s="378"/>
      <c r="BHT56" s="378"/>
      <c r="BHU56" s="378"/>
      <c r="BHV56" s="378"/>
      <c r="BHW56" s="378"/>
      <c r="BHX56" s="378"/>
      <c r="BHY56" s="378"/>
      <c r="BHZ56" s="378"/>
      <c r="BIA56" s="378"/>
      <c r="BIB56" s="378"/>
      <c r="BIC56" s="378"/>
      <c r="BID56" s="378"/>
      <c r="BIE56" s="378"/>
      <c r="BIF56" s="378"/>
      <c r="BIG56" s="378"/>
      <c r="BIH56" s="378"/>
      <c r="BII56" s="378"/>
      <c r="BIJ56" s="378"/>
      <c r="BIK56" s="378"/>
      <c r="BIL56" s="378"/>
      <c r="BIM56" s="378"/>
      <c r="BIN56" s="378"/>
      <c r="BIO56" s="378"/>
      <c r="BIP56" s="378"/>
      <c r="BIQ56" s="378"/>
      <c r="BIR56" s="378"/>
      <c r="BIS56" s="378"/>
      <c r="BIT56" s="378"/>
      <c r="BIU56" s="378"/>
      <c r="BIV56" s="378"/>
      <c r="BIW56" s="378"/>
      <c r="BIX56" s="378"/>
      <c r="BIY56" s="378"/>
      <c r="BIZ56" s="378"/>
      <c r="BJA56" s="378"/>
      <c r="BJB56" s="378"/>
      <c r="BJC56" s="378"/>
      <c r="BJD56" s="378"/>
      <c r="BJE56" s="378"/>
      <c r="BJF56" s="378"/>
      <c r="BJG56" s="378"/>
      <c r="BJH56" s="378"/>
      <c r="BJI56" s="378"/>
      <c r="BJJ56" s="378"/>
      <c r="BJK56" s="378"/>
      <c r="BJL56" s="378"/>
      <c r="BJM56" s="378"/>
      <c r="BJN56" s="378"/>
      <c r="BJO56" s="378"/>
      <c r="BJP56" s="378"/>
      <c r="BJQ56" s="378"/>
      <c r="BJR56" s="378"/>
      <c r="BJS56" s="378"/>
      <c r="BJT56" s="378"/>
      <c r="BJU56" s="378"/>
      <c r="BJV56" s="378"/>
      <c r="BJW56" s="378"/>
      <c r="BJX56" s="378"/>
      <c r="BJY56" s="378"/>
      <c r="BJZ56" s="378"/>
      <c r="BKA56" s="378"/>
      <c r="BKB56" s="378"/>
      <c r="BKC56" s="378"/>
      <c r="BKD56" s="378"/>
      <c r="BKE56" s="378"/>
      <c r="BKF56" s="378"/>
      <c r="BKG56" s="378"/>
      <c r="BKH56" s="378"/>
      <c r="BKI56" s="378"/>
      <c r="BKJ56" s="378"/>
      <c r="BKK56" s="378"/>
      <c r="BKL56" s="378"/>
      <c r="BKM56" s="378"/>
      <c r="BKN56" s="378"/>
      <c r="BKO56" s="378"/>
      <c r="BKP56" s="378"/>
      <c r="BKQ56" s="378"/>
      <c r="BKR56" s="378"/>
      <c r="BKS56" s="378"/>
      <c r="BKT56" s="378"/>
      <c r="BKU56" s="378"/>
      <c r="BKV56" s="378"/>
      <c r="BKW56" s="378"/>
      <c r="BKX56" s="378"/>
      <c r="BKY56" s="378"/>
      <c r="BKZ56" s="378"/>
      <c r="BLA56" s="378"/>
      <c r="BLB56" s="378"/>
      <c r="BLC56" s="378"/>
      <c r="BLD56" s="378"/>
      <c r="BLE56" s="378"/>
      <c r="BLF56" s="378"/>
      <c r="BLG56" s="378"/>
      <c r="BLH56" s="378"/>
      <c r="BLI56" s="378"/>
      <c r="BLJ56" s="378"/>
      <c r="BLK56" s="378"/>
      <c r="BLL56" s="378"/>
      <c r="BLM56" s="378"/>
      <c r="BLN56" s="378"/>
      <c r="BLO56" s="378"/>
      <c r="BLP56" s="378"/>
      <c r="BLQ56" s="378"/>
      <c r="BLR56" s="378"/>
      <c r="BLS56" s="378"/>
      <c r="BLT56" s="378"/>
      <c r="BLU56" s="378"/>
      <c r="BLV56" s="378"/>
      <c r="BLW56" s="378"/>
      <c r="BLX56" s="378"/>
      <c r="BLY56" s="378"/>
      <c r="BLZ56" s="378"/>
      <c r="BMA56" s="378"/>
      <c r="BMB56" s="378"/>
      <c r="BMC56" s="378"/>
      <c r="BMD56" s="378"/>
      <c r="BME56" s="378"/>
      <c r="BMF56" s="378"/>
      <c r="BMG56" s="378"/>
      <c r="BMH56" s="378"/>
      <c r="BMI56" s="378"/>
      <c r="BMJ56" s="378"/>
      <c r="BMK56" s="378"/>
      <c r="BML56" s="378"/>
      <c r="BMM56" s="378"/>
      <c r="BMN56" s="378"/>
      <c r="BMO56" s="378"/>
      <c r="BMP56" s="378"/>
      <c r="BMQ56" s="378"/>
      <c r="BMR56" s="378"/>
      <c r="BMS56" s="378"/>
      <c r="BMT56" s="378"/>
      <c r="BMU56" s="378"/>
      <c r="BMV56" s="378"/>
      <c r="BMW56" s="378"/>
      <c r="BMX56" s="378"/>
      <c r="BMY56" s="378"/>
      <c r="BMZ56" s="378"/>
      <c r="BNA56" s="378"/>
      <c r="BNB56" s="378"/>
      <c r="BNC56" s="378"/>
      <c r="BND56" s="378"/>
      <c r="BNE56" s="378"/>
      <c r="BNF56" s="378"/>
      <c r="BNG56" s="378"/>
      <c r="BNH56" s="378"/>
      <c r="BNI56" s="378"/>
      <c r="BNJ56" s="378"/>
      <c r="BNK56" s="378"/>
      <c r="BNL56" s="378"/>
      <c r="BNM56" s="378"/>
      <c r="BNN56" s="378"/>
      <c r="BNO56" s="378"/>
      <c r="BNP56" s="378"/>
      <c r="BNQ56" s="378"/>
      <c r="BNR56" s="378"/>
      <c r="BNS56" s="378"/>
      <c r="BNT56" s="378"/>
      <c r="BNU56" s="378"/>
      <c r="BNV56" s="378"/>
      <c r="BNW56" s="378"/>
      <c r="BNX56" s="378"/>
      <c r="BNY56" s="378"/>
      <c r="BNZ56" s="378"/>
      <c r="BOA56" s="378"/>
      <c r="BOB56" s="378"/>
      <c r="BOC56" s="378"/>
      <c r="BOD56" s="378"/>
      <c r="BOE56" s="378"/>
      <c r="BOF56" s="378"/>
      <c r="BOG56" s="378"/>
      <c r="BOH56" s="378"/>
      <c r="BOI56" s="378"/>
      <c r="BOJ56" s="378"/>
      <c r="BOK56" s="378"/>
      <c r="BOL56" s="378"/>
      <c r="BOM56" s="378"/>
      <c r="BON56" s="378"/>
      <c r="BOO56" s="378"/>
      <c r="BOP56" s="378"/>
      <c r="BOQ56" s="378"/>
      <c r="BOR56" s="378"/>
      <c r="BOS56" s="378"/>
      <c r="BOT56" s="378"/>
      <c r="BOU56" s="378"/>
      <c r="BOV56" s="378"/>
      <c r="BOW56" s="378"/>
      <c r="BOX56" s="378"/>
      <c r="BOY56" s="378"/>
      <c r="BOZ56" s="378"/>
      <c r="BPA56" s="378"/>
      <c r="BPB56" s="378"/>
      <c r="BPC56" s="378"/>
      <c r="BPD56" s="378"/>
      <c r="BPE56" s="378"/>
      <c r="BPF56" s="378"/>
      <c r="BPG56" s="378"/>
      <c r="BPH56" s="378"/>
      <c r="BPI56" s="378"/>
      <c r="BPJ56" s="378"/>
      <c r="BPK56" s="378"/>
      <c r="BPL56" s="378"/>
      <c r="BPM56" s="378"/>
      <c r="BPN56" s="378"/>
      <c r="BPO56" s="378"/>
      <c r="BPP56" s="378"/>
      <c r="BPQ56" s="378"/>
      <c r="BPR56" s="378"/>
      <c r="BPS56" s="378"/>
      <c r="BPT56" s="378"/>
      <c r="BPU56" s="378"/>
      <c r="BPV56" s="378"/>
      <c r="BPW56" s="378"/>
      <c r="BPX56" s="378"/>
      <c r="BPY56" s="378"/>
      <c r="BPZ56" s="378"/>
      <c r="BQA56" s="378"/>
      <c r="BQB56" s="378"/>
      <c r="BQC56" s="378"/>
      <c r="BQD56" s="378"/>
      <c r="BQE56" s="378"/>
      <c r="BQF56" s="378"/>
      <c r="BQG56" s="378"/>
      <c r="BQH56" s="378"/>
      <c r="BQI56" s="378"/>
      <c r="BQJ56" s="378"/>
      <c r="BQK56" s="378"/>
      <c r="BQL56" s="378"/>
      <c r="BQM56" s="378"/>
      <c r="BQN56" s="378"/>
      <c r="BQO56" s="378"/>
      <c r="BQP56" s="378"/>
      <c r="BQQ56" s="378"/>
      <c r="BQR56" s="378"/>
      <c r="BQS56" s="378"/>
      <c r="BQT56" s="378"/>
      <c r="BQU56" s="378"/>
      <c r="BQV56" s="378"/>
      <c r="BQW56" s="378"/>
      <c r="BQX56" s="378"/>
      <c r="BQY56" s="378"/>
      <c r="BQZ56" s="378"/>
      <c r="BRA56" s="378"/>
      <c r="BRB56" s="378"/>
      <c r="BRC56" s="378"/>
      <c r="BRD56" s="378"/>
      <c r="BRE56" s="378"/>
      <c r="BRF56" s="378"/>
      <c r="BRG56" s="378"/>
      <c r="BRH56" s="378"/>
      <c r="BRI56" s="378"/>
      <c r="BRJ56" s="378"/>
      <c r="BRK56" s="378"/>
      <c r="BRL56" s="378"/>
      <c r="BRM56" s="378"/>
      <c r="BRN56" s="378"/>
      <c r="BRO56" s="378"/>
      <c r="BRP56" s="378"/>
      <c r="BRQ56" s="378"/>
      <c r="BRR56" s="378"/>
      <c r="BRS56" s="378"/>
      <c r="BRT56" s="378"/>
      <c r="BRU56" s="378"/>
      <c r="BRV56" s="378"/>
      <c r="BRW56" s="378"/>
      <c r="BRX56" s="378"/>
      <c r="BRY56" s="378"/>
      <c r="BRZ56" s="378"/>
      <c r="BSA56" s="378"/>
      <c r="BSB56" s="378"/>
      <c r="BSC56" s="378"/>
      <c r="BSD56" s="378"/>
      <c r="BSE56" s="378"/>
      <c r="BSF56" s="378"/>
      <c r="BSG56" s="378"/>
      <c r="BSH56" s="378"/>
      <c r="BSI56" s="378"/>
      <c r="BSJ56" s="378"/>
      <c r="BSK56" s="378"/>
      <c r="BSL56" s="378"/>
      <c r="BSM56" s="378"/>
      <c r="BSN56" s="378"/>
      <c r="BSO56" s="378"/>
      <c r="BSP56" s="378"/>
      <c r="BSQ56" s="378"/>
      <c r="BSR56" s="378"/>
      <c r="BSS56" s="378"/>
      <c r="BST56" s="378"/>
      <c r="BSU56" s="378"/>
      <c r="BSV56" s="378"/>
      <c r="BSW56" s="378"/>
      <c r="BSX56" s="378"/>
      <c r="BSY56" s="378"/>
      <c r="BSZ56" s="378"/>
      <c r="BTA56" s="378"/>
      <c r="BTB56" s="378"/>
      <c r="BTC56" s="378"/>
      <c r="BTD56" s="378"/>
      <c r="BTE56" s="378"/>
      <c r="BTF56" s="378"/>
      <c r="BTG56" s="378"/>
      <c r="BTH56" s="378"/>
      <c r="BTI56" s="378"/>
      <c r="BTJ56" s="378"/>
      <c r="BTK56" s="378"/>
      <c r="BTL56" s="378"/>
      <c r="BTM56" s="378"/>
      <c r="BTN56" s="378"/>
      <c r="BTO56" s="378"/>
      <c r="BTP56" s="378"/>
      <c r="BTQ56" s="378"/>
      <c r="BTR56" s="378"/>
      <c r="BTS56" s="378"/>
      <c r="BTT56" s="378"/>
      <c r="BTU56" s="378"/>
      <c r="BTV56" s="378"/>
      <c r="BTW56" s="378"/>
      <c r="BTX56" s="378"/>
      <c r="BTY56" s="378"/>
      <c r="BTZ56" s="378"/>
      <c r="BUA56" s="378"/>
      <c r="BUB56" s="378"/>
      <c r="BUC56" s="378"/>
      <c r="BUD56" s="378"/>
      <c r="BUE56" s="378"/>
      <c r="BUF56" s="378"/>
      <c r="BUG56" s="378"/>
      <c r="BUH56" s="378"/>
      <c r="BUI56" s="378"/>
      <c r="BUJ56" s="378"/>
      <c r="BUK56" s="378"/>
      <c r="BUL56" s="378"/>
      <c r="BUM56" s="378"/>
      <c r="BUN56" s="378"/>
      <c r="BUO56" s="378"/>
      <c r="BUP56" s="378"/>
      <c r="BUQ56" s="378"/>
      <c r="BUR56" s="378"/>
      <c r="BUS56" s="378"/>
      <c r="BUT56" s="378"/>
      <c r="BUU56" s="378"/>
      <c r="BUV56" s="378"/>
      <c r="BUW56" s="378"/>
      <c r="BUX56" s="378"/>
      <c r="BUY56" s="378"/>
      <c r="BUZ56" s="378"/>
      <c r="BVA56" s="378"/>
      <c r="BVB56" s="378"/>
      <c r="BVC56" s="378"/>
      <c r="BVD56" s="378"/>
      <c r="BVE56" s="378"/>
      <c r="BVF56" s="378"/>
      <c r="BVG56" s="378"/>
      <c r="BVH56" s="378"/>
      <c r="BVI56" s="378"/>
      <c r="BVJ56" s="378"/>
      <c r="BVK56" s="378"/>
      <c r="BVL56" s="378"/>
      <c r="BVM56" s="378"/>
      <c r="BVN56" s="378"/>
      <c r="BVO56" s="378"/>
      <c r="BVP56" s="378"/>
      <c r="BVQ56" s="378"/>
      <c r="BVR56" s="378"/>
      <c r="BVS56" s="378"/>
      <c r="BVT56" s="378"/>
      <c r="BVU56" s="378"/>
      <c r="BVV56" s="378"/>
      <c r="BVW56" s="378"/>
      <c r="BVX56" s="378"/>
      <c r="BVY56" s="378"/>
      <c r="BVZ56" s="378"/>
      <c r="BWA56" s="378"/>
      <c r="BWB56" s="378"/>
      <c r="BWC56" s="378"/>
      <c r="BWD56" s="378"/>
      <c r="BWE56" s="378"/>
      <c r="BWF56" s="378"/>
      <c r="BWG56" s="378"/>
      <c r="BWH56" s="378"/>
      <c r="BWI56" s="378"/>
      <c r="BWJ56" s="378"/>
      <c r="BWK56" s="378"/>
      <c r="BWL56" s="378"/>
      <c r="BWM56" s="378"/>
      <c r="BWN56" s="378"/>
      <c r="BWO56" s="378"/>
      <c r="BWP56" s="378"/>
      <c r="BWQ56" s="378"/>
      <c r="BWR56" s="378"/>
      <c r="BWS56" s="378"/>
      <c r="BWT56" s="378"/>
      <c r="BWU56" s="378"/>
      <c r="BWV56" s="378"/>
      <c r="BWW56" s="378"/>
      <c r="BWX56" s="378"/>
      <c r="BWY56" s="378"/>
      <c r="BWZ56" s="378"/>
      <c r="BXA56" s="378"/>
      <c r="BXB56" s="378"/>
      <c r="BXC56" s="378"/>
      <c r="BXD56" s="378"/>
      <c r="BXE56" s="378"/>
      <c r="BXF56" s="378"/>
      <c r="BXG56" s="378"/>
      <c r="BXH56" s="378"/>
      <c r="BXI56" s="378"/>
      <c r="BXJ56" s="378"/>
      <c r="BXK56" s="378"/>
      <c r="BXL56" s="378"/>
      <c r="BXM56" s="378"/>
      <c r="BXN56" s="378"/>
      <c r="BXO56" s="378"/>
      <c r="BXP56" s="378"/>
      <c r="BXQ56" s="378"/>
      <c r="BXR56" s="378"/>
      <c r="BXS56" s="378"/>
      <c r="BXT56" s="378"/>
      <c r="BXU56" s="378"/>
      <c r="BXV56" s="378"/>
      <c r="BXW56" s="378"/>
      <c r="BXX56" s="378"/>
      <c r="BXY56" s="378"/>
      <c r="BXZ56" s="378"/>
      <c r="BYA56" s="378"/>
      <c r="BYB56" s="378"/>
      <c r="BYC56" s="378"/>
      <c r="BYD56" s="378"/>
      <c r="BYE56" s="378"/>
      <c r="BYF56" s="378"/>
      <c r="BYG56" s="378"/>
      <c r="BYH56" s="378"/>
      <c r="BYI56" s="378"/>
      <c r="BYJ56" s="378"/>
      <c r="BYK56" s="378"/>
      <c r="BYL56" s="378"/>
      <c r="BYM56" s="378"/>
      <c r="BYN56" s="378"/>
      <c r="BYO56" s="378"/>
      <c r="BYP56" s="378"/>
      <c r="BYQ56" s="378"/>
      <c r="BYR56" s="378"/>
      <c r="BYS56" s="378"/>
      <c r="BYT56" s="378"/>
      <c r="BYU56" s="378"/>
      <c r="BYV56" s="378"/>
      <c r="BYW56" s="378"/>
      <c r="BYX56" s="378"/>
      <c r="BYY56" s="378"/>
      <c r="BYZ56" s="378"/>
      <c r="BZA56" s="378"/>
      <c r="BZB56" s="378"/>
      <c r="BZC56" s="378"/>
      <c r="BZD56" s="378"/>
      <c r="BZE56" s="378"/>
      <c r="BZF56" s="378"/>
      <c r="BZG56" s="378"/>
      <c r="BZH56" s="378"/>
      <c r="BZI56" s="378"/>
      <c r="BZJ56" s="378"/>
      <c r="BZK56" s="378"/>
      <c r="BZL56" s="378"/>
      <c r="BZM56" s="378"/>
      <c r="BZN56" s="378"/>
      <c r="BZO56" s="378"/>
      <c r="BZP56" s="378"/>
      <c r="BZQ56" s="378"/>
      <c r="BZR56" s="378"/>
      <c r="BZS56" s="378"/>
      <c r="BZT56" s="378"/>
      <c r="BZU56" s="378"/>
      <c r="BZV56" s="378"/>
      <c r="BZW56" s="378"/>
      <c r="BZX56" s="378"/>
      <c r="BZY56" s="378"/>
      <c r="BZZ56" s="378"/>
      <c r="CAA56" s="378"/>
      <c r="CAB56" s="378"/>
      <c r="CAC56" s="378"/>
      <c r="CAD56" s="378"/>
      <c r="CAE56" s="378"/>
      <c r="CAF56" s="378"/>
      <c r="CAG56" s="378"/>
      <c r="CAH56" s="378"/>
      <c r="CAI56" s="378"/>
      <c r="CAJ56" s="378"/>
      <c r="CAK56" s="378"/>
      <c r="CAL56" s="378"/>
      <c r="CAM56" s="378"/>
      <c r="CAN56" s="378"/>
      <c r="CAO56" s="378"/>
      <c r="CAP56" s="378"/>
      <c r="CAQ56" s="378"/>
      <c r="CAR56" s="378"/>
      <c r="CAS56" s="378"/>
      <c r="CAT56" s="378"/>
      <c r="CAU56" s="378"/>
      <c r="CAV56" s="378"/>
      <c r="CAW56" s="378"/>
      <c r="CAX56" s="378"/>
      <c r="CAY56" s="378"/>
      <c r="CAZ56" s="378"/>
      <c r="CBA56" s="378"/>
      <c r="CBB56" s="378"/>
      <c r="CBC56" s="378"/>
      <c r="CBD56" s="378"/>
      <c r="CBE56" s="378"/>
      <c r="CBF56" s="378"/>
      <c r="CBG56" s="378"/>
      <c r="CBH56" s="378"/>
      <c r="CBI56" s="378"/>
      <c r="CBJ56" s="378"/>
      <c r="CBK56" s="378"/>
      <c r="CBL56" s="378"/>
      <c r="CBM56" s="378"/>
      <c r="CBN56" s="378"/>
      <c r="CBO56" s="378"/>
      <c r="CBP56" s="378"/>
      <c r="CBQ56" s="378"/>
      <c r="CBR56" s="378"/>
      <c r="CBS56" s="378"/>
      <c r="CBT56" s="378"/>
      <c r="CBU56" s="378"/>
      <c r="CBV56" s="378"/>
      <c r="CBW56" s="378"/>
      <c r="CBX56" s="378"/>
      <c r="CBY56" s="378"/>
      <c r="CBZ56" s="378"/>
      <c r="CCA56" s="378"/>
      <c r="CCB56" s="378"/>
      <c r="CCC56" s="378"/>
      <c r="CCD56" s="378"/>
      <c r="CCE56" s="378"/>
      <c r="CCF56" s="378"/>
      <c r="CCG56" s="378"/>
      <c r="CCH56" s="378"/>
      <c r="CCI56" s="378"/>
      <c r="CCJ56" s="378"/>
      <c r="CCK56" s="378"/>
      <c r="CCL56" s="378"/>
      <c r="CCM56" s="378"/>
      <c r="CCN56" s="378"/>
      <c r="CCO56" s="378"/>
      <c r="CCP56" s="378"/>
      <c r="CCQ56" s="378"/>
      <c r="CCR56" s="378"/>
      <c r="CCS56" s="378"/>
      <c r="CCT56" s="378"/>
      <c r="CCU56" s="378"/>
      <c r="CCV56" s="378"/>
      <c r="CCW56" s="378"/>
      <c r="CCX56" s="378"/>
      <c r="CCY56" s="378"/>
      <c r="CCZ56" s="378"/>
      <c r="CDA56" s="378"/>
      <c r="CDB56" s="378"/>
      <c r="CDC56" s="378"/>
      <c r="CDD56" s="378"/>
      <c r="CDE56" s="378"/>
      <c r="CDF56" s="378"/>
      <c r="CDG56" s="378"/>
      <c r="CDH56" s="378"/>
      <c r="CDI56" s="378"/>
      <c r="CDJ56" s="378"/>
      <c r="CDK56" s="378"/>
      <c r="CDL56" s="378"/>
      <c r="CDM56" s="378"/>
      <c r="CDN56" s="378"/>
      <c r="CDO56" s="378"/>
      <c r="CDP56" s="378"/>
      <c r="CDQ56" s="378"/>
      <c r="CDR56" s="378"/>
      <c r="CDS56" s="378"/>
      <c r="CDT56" s="378"/>
      <c r="CDU56" s="378"/>
      <c r="CDV56" s="378"/>
      <c r="CDW56" s="378"/>
      <c r="CDX56" s="378"/>
      <c r="CDY56" s="378"/>
      <c r="CDZ56" s="378"/>
      <c r="CEA56" s="378"/>
      <c r="CEB56" s="378"/>
      <c r="CEC56" s="378"/>
      <c r="CED56" s="378"/>
      <c r="CEE56" s="378"/>
      <c r="CEF56" s="378"/>
      <c r="CEG56" s="378"/>
      <c r="CEH56" s="378"/>
      <c r="CEI56" s="378"/>
      <c r="CEJ56" s="378"/>
      <c r="CEK56" s="378"/>
      <c r="CEL56" s="378"/>
      <c r="CEM56" s="378"/>
      <c r="CEN56" s="378"/>
      <c r="CEO56" s="378"/>
      <c r="CEP56" s="378"/>
      <c r="CEQ56" s="378"/>
      <c r="CER56" s="378"/>
      <c r="CES56" s="378"/>
      <c r="CET56" s="378"/>
      <c r="CEU56" s="378"/>
      <c r="CEV56" s="378"/>
      <c r="CEW56" s="378"/>
      <c r="CEX56" s="378"/>
      <c r="CEY56" s="378"/>
      <c r="CEZ56" s="378"/>
      <c r="CFA56" s="378"/>
      <c r="CFB56" s="378"/>
      <c r="CFC56" s="378"/>
      <c r="CFD56" s="378"/>
      <c r="CFE56" s="378"/>
      <c r="CFF56" s="378"/>
      <c r="CFG56" s="378"/>
      <c r="CFH56" s="378"/>
      <c r="CFI56" s="378"/>
      <c r="CFJ56" s="378"/>
      <c r="CFK56" s="378"/>
      <c r="CFL56" s="378"/>
      <c r="CFM56" s="378"/>
      <c r="CFN56" s="378"/>
      <c r="CFO56" s="378"/>
      <c r="CFP56" s="378"/>
      <c r="CFQ56" s="378"/>
      <c r="CFR56" s="378"/>
      <c r="CFS56" s="378"/>
      <c r="CFT56" s="378"/>
      <c r="CFU56" s="378"/>
      <c r="CFV56" s="378"/>
      <c r="CFW56" s="378"/>
      <c r="CFX56" s="378"/>
      <c r="CFY56" s="378"/>
      <c r="CFZ56" s="378"/>
      <c r="CGA56" s="378"/>
      <c r="CGB56" s="378"/>
      <c r="CGC56" s="378"/>
      <c r="CGD56" s="378"/>
      <c r="CGE56" s="378"/>
      <c r="CGF56" s="378"/>
      <c r="CGG56" s="378"/>
      <c r="CGH56" s="378"/>
      <c r="CGI56" s="378"/>
      <c r="CGJ56" s="378"/>
      <c r="CGK56" s="378"/>
      <c r="CGL56" s="378"/>
      <c r="CGM56" s="378"/>
      <c r="CGN56" s="378"/>
      <c r="CGO56" s="378"/>
      <c r="CGP56" s="378"/>
      <c r="CGQ56" s="378"/>
      <c r="CGR56" s="378"/>
      <c r="CGS56" s="378"/>
      <c r="CGT56" s="378"/>
      <c r="CGU56" s="378"/>
      <c r="CGV56" s="378"/>
      <c r="CGW56" s="378"/>
      <c r="CGX56" s="378"/>
      <c r="CGY56" s="378"/>
      <c r="CGZ56" s="378"/>
      <c r="CHA56" s="378"/>
      <c r="CHB56" s="378"/>
      <c r="CHC56" s="378"/>
      <c r="CHD56" s="378"/>
      <c r="CHE56" s="378"/>
      <c r="CHF56" s="378"/>
      <c r="CHG56" s="378"/>
      <c r="CHH56" s="378"/>
      <c r="CHI56" s="378"/>
      <c r="CHJ56" s="378"/>
      <c r="CHK56" s="378"/>
      <c r="CHL56" s="378"/>
      <c r="CHM56" s="378"/>
      <c r="CHN56" s="378"/>
      <c r="CHO56" s="378"/>
      <c r="CHP56" s="378"/>
      <c r="CHQ56" s="378"/>
      <c r="CHR56" s="378"/>
      <c r="CHS56" s="378"/>
      <c r="CHT56" s="378"/>
      <c r="CHU56" s="378"/>
      <c r="CHV56" s="378"/>
      <c r="CHW56" s="378"/>
      <c r="CHX56" s="378"/>
      <c r="CHY56" s="378"/>
      <c r="CHZ56" s="378"/>
      <c r="CIA56" s="378"/>
      <c r="CIB56" s="378"/>
      <c r="CIC56" s="378"/>
      <c r="CID56" s="378"/>
      <c r="CIE56" s="378"/>
      <c r="CIF56" s="378"/>
      <c r="CIG56" s="378"/>
      <c r="CIH56" s="378"/>
      <c r="CII56" s="378"/>
      <c r="CIJ56" s="378"/>
      <c r="CIK56" s="378"/>
      <c r="CIL56" s="378"/>
      <c r="CIM56" s="378"/>
      <c r="CIN56" s="378"/>
      <c r="CIO56" s="378"/>
      <c r="CIP56" s="378"/>
      <c r="CIQ56" s="378"/>
      <c r="CIR56" s="378"/>
      <c r="CIS56" s="378"/>
      <c r="CIT56" s="378"/>
      <c r="CIU56" s="378"/>
      <c r="CIV56" s="378"/>
      <c r="CIW56" s="378"/>
      <c r="CIX56" s="378"/>
      <c r="CIY56" s="378"/>
      <c r="CIZ56" s="378"/>
      <c r="CJA56" s="378"/>
      <c r="CJB56" s="378"/>
      <c r="CJC56" s="378"/>
      <c r="CJD56" s="378"/>
      <c r="CJE56" s="378"/>
      <c r="CJF56" s="378"/>
      <c r="CJG56" s="378"/>
      <c r="CJH56" s="378"/>
      <c r="CJI56" s="378"/>
      <c r="CJJ56" s="378"/>
      <c r="CJK56" s="378"/>
      <c r="CJL56" s="378"/>
      <c r="CJM56" s="378"/>
      <c r="CJN56" s="378"/>
      <c r="CJO56" s="378"/>
      <c r="CJP56" s="378"/>
      <c r="CJQ56" s="378"/>
      <c r="CJR56" s="378"/>
      <c r="CJS56" s="378"/>
      <c r="CJT56" s="378"/>
      <c r="CJU56" s="378"/>
      <c r="CJV56" s="378"/>
      <c r="CJW56" s="378"/>
      <c r="CJX56" s="378"/>
      <c r="CJY56" s="378"/>
      <c r="CJZ56" s="378"/>
      <c r="CKA56" s="378"/>
      <c r="CKB56" s="378"/>
      <c r="CKC56" s="378"/>
      <c r="CKD56" s="378"/>
      <c r="CKE56" s="378"/>
      <c r="CKF56" s="378"/>
      <c r="CKG56" s="378"/>
      <c r="CKH56" s="378"/>
      <c r="CKI56" s="378"/>
      <c r="CKJ56" s="378"/>
      <c r="CKK56" s="378"/>
      <c r="CKL56" s="378"/>
      <c r="CKM56" s="378"/>
      <c r="CKN56" s="378"/>
      <c r="CKO56" s="378"/>
      <c r="CKP56" s="378"/>
      <c r="CKQ56" s="378"/>
      <c r="CKR56" s="378"/>
      <c r="CKS56" s="378"/>
      <c r="CKT56" s="378"/>
      <c r="CKU56" s="378"/>
      <c r="CKV56" s="378"/>
      <c r="CKW56" s="378"/>
      <c r="CKX56" s="378"/>
      <c r="CKY56" s="378"/>
      <c r="CKZ56" s="378"/>
      <c r="CLA56" s="378"/>
      <c r="CLB56" s="378"/>
      <c r="CLC56" s="378"/>
      <c r="CLD56" s="378"/>
      <c r="CLE56" s="378"/>
      <c r="CLF56" s="378"/>
      <c r="CLG56" s="378"/>
      <c r="CLH56" s="378"/>
      <c r="CLI56" s="378"/>
      <c r="CLJ56" s="378"/>
      <c r="CLK56" s="378"/>
      <c r="CLL56" s="378"/>
      <c r="CLM56" s="378"/>
      <c r="CLN56" s="378"/>
      <c r="CLO56" s="378"/>
      <c r="CLP56" s="378"/>
      <c r="CLQ56" s="378"/>
      <c r="CLR56" s="378"/>
      <c r="CLS56" s="378"/>
      <c r="CLT56" s="378"/>
      <c r="CLU56" s="378"/>
      <c r="CLV56" s="378"/>
      <c r="CLW56" s="378"/>
      <c r="CLX56" s="378"/>
      <c r="CLY56" s="378"/>
      <c r="CLZ56" s="378"/>
      <c r="CMA56" s="378"/>
      <c r="CMB56" s="378"/>
      <c r="CMC56" s="378"/>
      <c r="CMD56" s="378"/>
      <c r="CME56" s="378"/>
      <c r="CMF56" s="378"/>
      <c r="CMG56" s="378"/>
      <c r="CMH56" s="378"/>
      <c r="CMI56" s="378"/>
      <c r="CMJ56" s="378"/>
      <c r="CMK56" s="378"/>
      <c r="CML56" s="378"/>
      <c r="CMM56" s="378"/>
      <c r="CMN56" s="378"/>
      <c r="CMO56" s="378"/>
      <c r="CMP56" s="378"/>
      <c r="CMQ56" s="378"/>
      <c r="CMR56" s="378"/>
      <c r="CMS56" s="378"/>
      <c r="CMT56" s="378"/>
      <c r="CMU56" s="378"/>
      <c r="CMV56" s="378"/>
      <c r="CMW56" s="378"/>
      <c r="CMX56" s="378"/>
      <c r="CMY56" s="378"/>
      <c r="CMZ56" s="378"/>
      <c r="CNA56" s="378"/>
      <c r="CNB56" s="378"/>
      <c r="CNC56" s="378"/>
      <c r="CND56" s="378"/>
      <c r="CNE56" s="378"/>
      <c r="CNF56" s="378"/>
      <c r="CNG56" s="378"/>
      <c r="CNH56" s="378"/>
      <c r="CNI56" s="378"/>
      <c r="CNJ56" s="378"/>
      <c r="CNK56" s="378"/>
      <c r="CNL56" s="378"/>
      <c r="CNM56" s="378"/>
      <c r="CNN56" s="378"/>
      <c r="CNO56" s="378"/>
      <c r="CNP56" s="378"/>
      <c r="CNQ56" s="378"/>
      <c r="CNR56" s="378"/>
      <c r="CNS56" s="378"/>
      <c r="CNT56" s="378"/>
      <c r="CNU56" s="378"/>
      <c r="CNV56" s="378"/>
      <c r="CNW56" s="378"/>
      <c r="CNX56" s="378"/>
      <c r="CNY56" s="378"/>
      <c r="CNZ56" s="378"/>
      <c r="COA56" s="378"/>
      <c r="COB56" s="378"/>
      <c r="COC56" s="378"/>
      <c r="COD56" s="378"/>
      <c r="COE56" s="378"/>
      <c r="COF56" s="378"/>
      <c r="COG56" s="378"/>
      <c r="COH56" s="378"/>
      <c r="COI56" s="378"/>
      <c r="COJ56" s="378"/>
      <c r="COK56" s="378"/>
      <c r="COL56" s="378"/>
      <c r="COM56" s="378"/>
      <c r="CON56" s="378"/>
      <c r="COO56" s="378"/>
      <c r="COP56" s="378"/>
      <c r="COQ56" s="378"/>
      <c r="COR56" s="378"/>
      <c r="COS56" s="378"/>
      <c r="COT56" s="378"/>
      <c r="COU56" s="378"/>
      <c r="COV56" s="378"/>
      <c r="COW56" s="378"/>
      <c r="COX56" s="378"/>
      <c r="COY56" s="378"/>
      <c r="COZ56" s="378"/>
      <c r="CPA56" s="378"/>
      <c r="CPB56" s="378"/>
      <c r="CPC56" s="378"/>
      <c r="CPD56" s="378"/>
      <c r="CPE56" s="378"/>
      <c r="CPF56" s="378"/>
      <c r="CPG56" s="378"/>
      <c r="CPH56" s="378"/>
      <c r="CPI56" s="378"/>
      <c r="CPJ56" s="378"/>
      <c r="CPK56" s="378"/>
      <c r="CPL56" s="378"/>
      <c r="CPM56" s="378"/>
      <c r="CPN56" s="378"/>
      <c r="CPO56" s="378"/>
      <c r="CPP56" s="378"/>
      <c r="CPQ56" s="378"/>
      <c r="CPR56" s="378"/>
      <c r="CPS56" s="378"/>
      <c r="CPT56" s="378"/>
      <c r="CPU56" s="378"/>
      <c r="CPV56" s="378"/>
      <c r="CPW56" s="378"/>
      <c r="CPX56" s="378"/>
      <c r="CPY56" s="378"/>
      <c r="CPZ56" s="378"/>
      <c r="CQA56" s="378"/>
      <c r="CQB56" s="378"/>
      <c r="CQC56" s="378"/>
      <c r="CQD56" s="378"/>
      <c r="CQE56" s="378"/>
      <c r="CQF56" s="378"/>
      <c r="CQG56" s="378"/>
      <c r="CQH56" s="378"/>
      <c r="CQI56" s="378"/>
      <c r="CQJ56" s="378"/>
      <c r="CQK56" s="378"/>
      <c r="CQL56" s="378"/>
      <c r="CQM56" s="378"/>
      <c r="CQN56" s="378"/>
      <c r="CQO56" s="378"/>
      <c r="CQP56" s="378"/>
      <c r="CQQ56" s="378"/>
      <c r="CQR56" s="378"/>
      <c r="CQS56" s="378"/>
      <c r="CQT56" s="378"/>
      <c r="CQU56" s="378"/>
      <c r="CQV56" s="378"/>
      <c r="CQW56" s="378"/>
      <c r="CQX56" s="378"/>
      <c r="CQY56" s="378"/>
      <c r="CQZ56" s="378"/>
      <c r="CRA56" s="378"/>
      <c r="CRB56" s="378"/>
      <c r="CRC56" s="378"/>
      <c r="CRD56" s="378"/>
      <c r="CRE56" s="378"/>
      <c r="CRF56" s="378"/>
      <c r="CRG56" s="378"/>
      <c r="CRH56" s="378"/>
      <c r="CRI56" s="378"/>
      <c r="CRJ56" s="378"/>
      <c r="CRK56" s="378"/>
      <c r="CRL56" s="378"/>
      <c r="CRM56" s="378"/>
      <c r="CRN56" s="378"/>
      <c r="CRO56" s="378"/>
      <c r="CRP56" s="378"/>
      <c r="CRQ56" s="378"/>
      <c r="CRR56" s="378"/>
      <c r="CRS56" s="378"/>
      <c r="CRT56" s="378"/>
      <c r="CRU56" s="378"/>
      <c r="CRV56" s="378"/>
      <c r="CRW56" s="378"/>
      <c r="CRX56" s="378"/>
      <c r="CRY56" s="378"/>
      <c r="CRZ56" s="378"/>
      <c r="CSA56" s="378"/>
      <c r="CSB56" s="378"/>
      <c r="CSC56" s="378"/>
      <c r="CSD56" s="378"/>
      <c r="CSE56" s="378"/>
      <c r="CSF56" s="378"/>
      <c r="CSG56" s="378"/>
      <c r="CSH56" s="378"/>
      <c r="CSI56" s="378"/>
      <c r="CSJ56" s="378"/>
      <c r="CSK56" s="378"/>
      <c r="CSL56" s="378"/>
      <c r="CSM56" s="378"/>
      <c r="CSN56" s="378"/>
      <c r="CSO56" s="378"/>
      <c r="CSP56" s="378"/>
      <c r="CSQ56" s="378"/>
      <c r="CSR56" s="378"/>
      <c r="CSS56" s="378"/>
      <c r="CST56" s="378"/>
      <c r="CSU56" s="378"/>
      <c r="CSV56" s="378"/>
      <c r="CSW56" s="378"/>
      <c r="CSX56" s="378"/>
      <c r="CSY56" s="378"/>
      <c r="CSZ56" s="378"/>
      <c r="CTA56" s="378"/>
      <c r="CTB56" s="378"/>
      <c r="CTC56" s="378"/>
      <c r="CTD56" s="378"/>
      <c r="CTE56" s="378"/>
      <c r="CTF56" s="378"/>
      <c r="CTG56" s="378"/>
      <c r="CTH56" s="378"/>
      <c r="CTI56" s="378"/>
      <c r="CTJ56" s="378"/>
      <c r="CTK56" s="378"/>
      <c r="CTL56" s="378"/>
      <c r="CTM56" s="378"/>
      <c r="CTN56" s="378"/>
      <c r="CTO56" s="378"/>
      <c r="CTP56" s="378"/>
      <c r="CTQ56" s="378"/>
      <c r="CTR56" s="378"/>
      <c r="CTS56" s="378"/>
      <c r="CTT56" s="378"/>
      <c r="CTU56" s="378"/>
      <c r="CTV56" s="378"/>
      <c r="CTW56" s="378"/>
      <c r="CTX56" s="378"/>
      <c r="CTY56" s="378"/>
      <c r="CTZ56" s="378"/>
      <c r="CUA56" s="378"/>
      <c r="CUB56" s="378"/>
      <c r="CUC56" s="378"/>
      <c r="CUD56" s="378"/>
      <c r="CUE56" s="378"/>
      <c r="CUF56" s="378"/>
      <c r="CUG56" s="378"/>
      <c r="CUH56" s="378"/>
      <c r="CUI56" s="378"/>
      <c r="CUJ56" s="378"/>
      <c r="CUK56" s="378"/>
      <c r="CUL56" s="378"/>
      <c r="CUM56" s="378"/>
      <c r="CUN56" s="378"/>
      <c r="CUO56" s="378"/>
      <c r="CUP56" s="378"/>
      <c r="CUQ56" s="378"/>
      <c r="CUR56" s="378"/>
      <c r="CUS56" s="378"/>
      <c r="CUT56" s="378"/>
      <c r="CUU56" s="378"/>
      <c r="CUV56" s="378"/>
      <c r="CUW56" s="378"/>
      <c r="CUX56" s="378"/>
      <c r="CUY56" s="378"/>
      <c r="CUZ56" s="378"/>
      <c r="CVA56" s="378"/>
      <c r="CVB56" s="378"/>
      <c r="CVC56" s="378"/>
      <c r="CVD56" s="378"/>
      <c r="CVE56" s="378"/>
      <c r="CVF56" s="378"/>
      <c r="CVG56" s="378"/>
      <c r="CVH56" s="378"/>
      <c r="CVI56" s="378"/>
      <c r="CVJ56" s="378"/>
      <c r="CVK56" s="378"/>
      <c r="CVL56" s="378"/>
      <c r="CVM56" s="378"/>
      <c r="CVN56" s="378"/>
      <c r="CVO56" s="378"/>
      <c r="CVP56" s="378"/>
      <c r="CVQ56" s="378"/>
      <c r="CVR56" s="378"/>
      <c r="CVS56" s="378"/>
      <c r="CVT56" s="378"/>
      <c r="CVU56" s="378"/>
      <c r="CVV56" s="378"/>
      <c r="CVW56" s="378"/>
      <c r="CVX56" s="378"/>
      <c r="CVY56" s="378"/>
      <c r="CVZ56" s="378"/>
      <c r="CWA56" s="378"/>
      <c r="CWB56" s="378"/>
      <c r="CWC56" s="378"/>
      <c r="CWD56" s="378"/>
      <c r="CWE56" s="378"/>
      <c r="CWF56" s="378"/>
      <c r="CWG56" s="378"/>
      <c r="CWH56" s="378"/>
      <c r="CWI56" s="378"/>
      <c r="CWJ56" s="378"/>
      <c r="CWK56" s="378"/>
      <c r="CWL56" s="378"/>
      <c r="CWM56" s="378"/>
      <c r="CWN56" s="378"/>
      <c r="CWO56" s="378"/>
      <c r="CWP56" s="378"/>
      <c r="CWQ56" s="378"/>
      <c r="CWR56" s="378"/>
      <c r="CWS56" s="378"/>
      <c r="CWT56" s="378"/>
      <c r="CWU56" s="378"/>
      <c r="CWV56" s="378"/>
      <c r="CWW56" s="378"/>
      <c r="CWX56" s="378"/>
      <c r="CWY56" s="378"/>
      <c r="CWZ56" s="378"/>
      <c r="CXA56" s="378"/>
      <c r="CXB56" s="378"/>
      <c r="CXC56" s="378"/>
      <c r="CXD56" s="378"/>
      <c r="CXE56" s="378"/>
      <c r="CXF56" s="378"/>
      <c r="CXG56" s="378"/>
      <c r="CXH56" s="378"/>
      <c r="CXI56" s="378"/>
      <c r="CXJ56" s="378"/>
      <c r="CXK56" s="378"/>
      <c r="CXL56" s="378"/>
      <c r="CXM56" s="378"/>
      <c r="CXN56" s="378"/>
      <c r="CXO56" s="378"/>
      <c r="CXP56" s="378"/>
      <c r="CXQ56" s="378"/>
      <c r="CXR56" s="378"/>
      <c r="CXS56" s="378"/>
      <c r="CXT56" s="378"/>
      <c r="CXU56" s="378"/>
      <c r="CXV56" s="378"/>
      <c r="CXW56" s="378"/>
      <c r="CXX56" s="378"/>
      <c r="CXY56" s="378"/>
      <c r="CXZ56" s="378"/>
      <c r="CYA56" s="378"/>
      <c r="CYB56" s="378"/>
      <c r="CYC56" s="378"/>
      <c r="CYD56" s="378"/>
      <c r="CYE56" s="378"/>
      <c r="CYF56" s="378"/>
      <c r="CYG56" s="378"/>
      <c r="CYH56" s="378"/>
      <c r="CYI56" s="378"/>
      <c r="CYJ56" s="378"/>
      <c r="CYK56" s="378"/>
      <c r="CYL56" s="378"/>
      <c r="CYM56" s="378"/>
      <c r="CYN56" s="378"/>
      <c r="CYO56" s="378"/>
      <c r="CYP56" s="378"/>
      <c r="CYQ56" s="378"/>
      <c r="CYR56" s="378"/>
      <c r="CYS56" s="378"/>
      <c r="CYT56" s="378"/>
      <c r="CYU56" s="378"/>
      <c r="CYV56" s="378"/>
      <c r="CYW56" s="378"/>
      <c r="CYX56" s="378"/>
      <c r="CYY56" s="378"/>
      <c r="CYZ56" s="378"/>
      <c r="CZA56" s="378"/>
      <c r="CZB56" s="378"/>
      <c r="CZC56" s="378"/>
      <c r="CZD56" s="378"/>
      <c r="CZE56" s="378"/>
      <c r="CZF56" s="378"/>
      <c r="CZG56" s="378"/>
      <c r="CZH56" s="378"/>
      <c r="CZI56" s="378"/>
      <c r="CZJ56" s="378"/>
      <c r="CZK56" s="378"/>
      <c r="CZL56" s="378"/>
      <c r="CZM56" s="378"/>
      <c r="CZN56" s="378"/>
      <c r="CZO56" s="378"/>
      <c r="CZP56" s="378"/>
      <c r="CZQ56" s="378"/>
      <c r="CZR56" s="378"/>
      <c r="CZS56" s="378"/>
      <c r="CZT56" s="378"/>
      <c r="CZU56" s="378"/>
      <c r="CZV56" s="378"/>
      <c r="CZW56" s="378"/>
      <c r="CZX56" s="378"/>
      <c r="CZY56" s="378"/>
      <c r="CZZ56" s="378"/>
      <c r="DAA56" s="378"/>
      <c r="DAB56" s="378"/>
      <c r="DAC56" s="378"/>
      <c r="DAD56" s="378"/>
      <c r="DAE56" s="378"/>
      <c r="DAF56" s="378"/>
      <c r="DAG56" s="378"/>
      <c r="DAH56" s="378"/>
      <c r="DAI56" s="378"/>
      <c r="DAJ56" s="378"/>
      <c r="DAK56" s="378"/>
      <c r="DAL56" s="378"/>
      <c r="DAM56" s="378"/>
      <c r="DAN56" s="378"/>
      <c r="DAO56" s="378"/>
      <c r="DAP56" s="378"/>
      <c r="DAQ56" s="378"/>
      <c r="DAR56" s="378"/>
      <c r="DAS56" s="378"/>
      <c r="DAT56" s="378"/>
      <c r="DAU56" s="378"/>
      <c r="DAV56" s="378"/>
      <c r="DAW56" s="378"/>
      <c r="DAX56" s="378"/>
      <c r="DAY56" s="378"/>
      <c r="DAZ56" s="378"/>
      <c r="DBA56" s="378"/>
      <c r="DBB56" s="378"/>
      <c r="DBC56" s="378"/>
      <c r="DBD56" s="378"/>
      <c r="DBE56" s="378"/>
      <c r="DBF56" s="378"/>
      <c r="DBG56" s="378"/>
      <c r="DBH56" s="378"/>
      <c r="DBI56" s="378"/>
      <c r="DBJ56" s="378"/>
      <c r="DBK56" s="378"/>
      <c r="DBL56" s="378"/>
      <c r="DBM56" s="378"/>
      <c r="DBN56" s="378"/>
      <c r="DBO56" s="378"/>
      <c r="DBP56" s="378"/>
      <c r="DBQ56" s="378"/>
      <c r="DBR56" s="378"/>
      <c r="DBS56" s="378"/>
      <c r="DBT56" s="378"/>
      <c r="DBU56" s="378"/>
      <c r="DBV56" s="378"/>
      <c r="DBW56" s="378"/>
      <c r="DBX56" s="378"/>
      <c r="DBY56" s="378"/>
      <c r="DBZ56" s="378"/>
      <c r="DCA56" s="378"/>
      <c r="DCB56" s="378"/>
      <c r="DCC56" s="378"/>
      <c r="DCD56" s="378"/>
      <c r="DCE56" s="378"/>
      <c r="DCF56" s="378"/>
      <c r="DCG56" s="378"/>
      <c r="DCH56" s="378"/>
      <c r="DCI56" s="378"/>
      <c r="DCJ56" s="378"/>
      <c r="DCK56" s="378"/>
      <c r="DCL56" s="378"/>
      <c r="DCM56" s="378"/>
      <c r="DCN56" s="378"/>
      <c r="DCO56" s="378"/>
      <c r="DCP56" s="378"/>
      <c r="DCQ56" s="378"/>
      <c r="DCR56" s="378"/>
      <c r="DCS56" s="378"/>
      <c r="DCT56" s="378"/>
      <c r="DCU56" s="378"/>
      <c r="DCV56" s="378"/>
      <c r="DCW56" s="378"/>
      <c r="DCX56" s="378"/>
      <c r="DCY56" s="378"/>
      <c r="DCZ56" s="378"/>
      <c r="DDA56" s="378"/>
      <c r="DDB56" s="378"/>
      <c r="DDC56" s="378"/>
      <c r="DDD56" s="378"/>
      <c r="DDE56" s="378"/>
      <c r="DDF56" s="378"/>
      <c r="DDG56" s="378"/>
      <c r="DDH56" s="378"/>
      <c r="DDI56" s="378"/>
      <c r="DDJ56" s="378"/>
      <c r="DDK56" s="378"/>
      <c r="DDL56" s="378"/>
      <c r="DDM56" s="378"/>
      <c r="DDN56" s="378"/>
      <c r="DDO56" s="378"/>
      <c r="DDP56" s="378"/>
      <c r="DDQ56" s="378"/>
      <c r="DDR56" s="378"/>
      <c r="DDS56" s="378"/>
      <c r="DDT56" s="378"/>
      <c r="DDU56" s="378"/>
      <c r="DDV56" s="378"/>
      <c r="DDW56" s="378"/>
      <c r="DDX56" s="378"/>
      <c r="DDY56" s="378"/>
      <c r="DDZ56" s="378"/>
      <c r="DEA56" s="378"/>
      <c r="DEB56" s="378"/>
      <c r="DEC56" s="378"/>
      <c r="DED56" s="378"/>
      <c r="DEE56" s="378"/>
      <c r="DEF56" s="378"/>
      <c r="DEG56" s="378"/>
      <c r="DEH56" s="378"/>
      <c r="DEI56" s="378"/>
      <c r="DEJ56" s="378"/>
      <c r="DEK56" s="378"/>
      <c r="DEL56" s="378"/>
      <c r="DEM56" s="378"/>
      <c r="DEN56" s="378"/>
      <c r="DEO56" s="378"/>
      <c r="DEP56" s="378"/>
      <c r="DEQ56" s="378"/>
      <c r="DER56" s="378"/>
      <c r="DES56" s="378"/>
      <c r="DET56" s="378"/>
      <c r="DEU56" s="378"/>
      <c r="DEV56" s="378"/>
      <c r="DEW56" s="378"/>
      <c r="DEX56" s="378"/>
      <c r="DEY56" s="378"/>
      <c r="DEZ56" s="378"/>
      <c r="DFA56" s="378"/>
      <c r="DFB56" s="378"/>
      <c r="DFC56" s="378"/>
      <c r="DFD56" s="378"/>
      <c r="DFE56" s="378"/>
      <c r="DFF56" s="378"/>
      <c r="DFG56" s="378"/>
      <c r="DFH56" s="378"/>
      <c r="DFI56" s="378"/>
      <c r="DFJ56" s="378"/>
      <c r="DFK56" s="378"/>
      <c r="DFL56" s="378"/>
      <c r="DFM56" s="378"/>
      <c r="DFN56" s="378"/>
      <c r="DFO56" s="378"/>
      <c r="DFP56" s="378"/>
      <c r="DFQ56" s="378"/>
      <c r="DFR56" s="378"/>
      <c r="DFS56" s="378"/>
      <c r="DFT56" s="378"/>
      <c r="DFU56" s="378"/>
      <c r="DFV56" s="378"/>
      <c r="DFW56" s="378"/>
      <c r="DFX56" s="378"/>
      <c r="DFY56" s="378"/>
      <c r="DFZ56" s="378"/>
      <c r="DGA56" s="378"/>
      <c r="DGB56" s="378"/>
      <c r="DGC56" s="378"/>
      <c r="DGD56" s="378"/>
      <c r="DGE56" s="378"/>
      <c r="DGF56" s="378"/>
      <c r="DGG56" s="378"/>
      <c r="DGH56" s="378"/>
      <c r="DGI56" s="378"/>
      <c r="DGJ56" s="378"/>
      <c r="DGK56" s="378"/>
      <c r="DGL56" s="378"/>
      <c r="DGM56" s="378"/>
      <c r="DGN56" s="378"/>
      <c r="DGO56" s="378"/>
      <c r="DGP56" s="378"/>
      <c r="DGQ56" s="378"/>
      <c r="DGR56" s="378"/>
      <c r="DGS56" s="378"/>
      <c r="DGT56" s="378"/>
      <c r="DGU56" s="378"/>
      <c r="DGV56" s="378"/>
      <c r="DGW56" s="378"/>
      <c r="DGX56" s="378"/>
      <c r="DGY56" s="378"/>
      <c r="DGZ56" s="378"/>
      <c r="DHA56" s="378"/>
      <c r="DHB56" s="378"/>
      <c r="DHC56" s="378"/>
      <c r="DHD56" s="378"/>
      <c r="DHE56" s="378"/>
      <c r="DHF56" s="378"/>
      <c r="DHG56" s="378"/>
      <c r="DHH56" s="378"/>
      <c r="DHI56" s="378"/>
      <c r="DHJ56" s="378"/>
      <c r="DHK56" s="378"/>
      <c r="DHL56" s="378"/>
      <c r="DHM56" s="378"/>
      <c r="DHN56" s="378"/>
      <c r="DHO56" s="378"/>
      <c r="DHP56" s="378"/>
      <c r="DHQ56" s="378"/>
      <c r="DHR56" s="378"/>
      <c r="DHS56" s="378"/>
      <c r="DHT56" s="378"/>
      <c r="DHU56" s="378"/>
      <c r="DHV56" s="378"/>
      <c r="DHW56" s="378"/>
      <c r="DHX56" s="378"/>
      <c r="DHY56" s="378"/>
      <c r="DHZ56" s="378"/>
      <c r="DIA56" s="378"/>
      <c r="DIB56" s="378"/>
      <c r="DIC56" s="378"/>
      <c r="DID56" s="378"/>
      <c r="DIE56" s="378"/>
      <c r="DIF56" s="378"/>
      <c r="DIG56" s="378"/>
      <c r="DIH56" s="378"/>
      <c r="DII56" s="378"/>
      <c r="DIJ56" s="378"/>
      <c r="DIK56" s="378"/>
      <c r="DIL56" s="378"/>
      <c r="DIM56" s="378"/>
      <c r="DIN56" s="378"/>
      <c r="DIO56" s="378"/>
      <c r="DIP56" s="378"/>
      <c r="DIQ56" s="378"/>
      <c r="DIR56" s="378"/>
      <c r="DIS56" s="378"/>
      <c r="DIT56" s="378"/>
      <c r="DIU56" s="378"/>
      <c r="DIV56" s="378"/>
      <c r="DIW56" s="378"/>
      <c r="DIX56" s="378"/>
      <c r="DIY56" s="378"/>
      <c r="DIZ56" s="378"/>
      <c r="DJA56" s="378"/>
      <c r="DJB56" s="378"/>
      <c r="DJC56" s="378"/>
      <c r="DJD56" s="378"/>
      <c r="DJE56" s="378"/>
      <c r="DJF56" s="378"/>
      <c r="DJG56" s="378"/>
      <c r="DJH56" s="378"/>
      <c r="DJI56" s="378"/>
      <c r="DJJ56" s="378"/>
      <c r="DJK56" s="378"/>
      <c r="DJL56" s="378"/>
      <c r="DJM56" s="378"/>
      <c r="DJN56" s="378"/>
      <c r="DJO56" s="378"/>
      <c r="DJP56" s="378"/>
      <c r="DJQ56" s="378"/>
      <c r="DJR56" s="378"/>
      <c r="DJS56" s="378"/>
      <c r="DJT56" s="378"/>
      <c r="DJU56" s="378"/>
      <c r="DJV56" s="378"/>
      <c r="DJW56" s="378"/>
      <c r="DJX56" s="378"/>
      <c r="DJY56" s="378"/>
      <c r="DJZ56" s="378"/>
      <c r="DKA56" s="378"/>
      <c r="DKB56" s="378"/>
      <c r="DKC56" s="378"/>
      <c r="DKD56" s="378"/>
      <c r="DKE56" s="378"/>
      <c r="DKF56" s="378"/>
      <c r="DKG56" s="378"/>
      <c r="DKH56" s="378"/>
      <c r="DKI56" s="378"/>
      <c r="DKJ56" s="378"/>
      <c r="DKK56" s="378"/>
      <c r="DKL56" s="378"/>
      <c r="DKM56" s="378"/>
      <c r="DKN56" s="378"/>
      <c r="DKO56" s="378"/>
      <c r="DKP56" s="378"/>
      <c r="DKQ56" s="378"/>
      <c r="DKR56" s="378"/>
      <c r="DKS56" s="378"/>
      <c r="DKT56" s="378"/>
      <c r="DKU56" s="378"/>
      <c r="DKV56" s="378"/>
      <c r="DKW56" s="378"/>
      <c r="DKX56" s="378"/>
      <c r="DKY56" s="378"/>
      <c r="DKZ56" s="378"/>
      <c r="DLA56" s="378"/>
      <c r="DLB56" s="378"/>
      <c r="DLC56" s="378"/>
      <c r="DLD56" s="378"/>
      <c r="DLE56" s="378"/>
      <c r="DLF56" s="378"/>
      <c r="DLG56" s="378"/>
      <c r="DLH56" s="378"/>
      <c r="DLI56" s="378"/>
      <c r="DLJ56" s="378"/>
      <c r="DLK56" s="378"/>
      <c r="DLL56" s="378"/>
      <c r="DLM56" s="378"/>
      <c r="DLN56" s="378"/>
      <c r="DLO56" s="378"/>
      <c r="DLP56" s="378"/>
      <c r="DLQ56" s="378"/>
      <c r="DLR56" s="378"/>
      <c r="DLS56" s="378"/>
      <c r="DLT56" s="378"/>
      <c r="DLU56" s="378"/>
      <c r="DLV56" s="378"/>
      <c r="DLW56" s="378"/>
      <c r="DLX56" s="378"/>
      <c r="DLY56" s="378"/>
      <c r="DLZ56" s="378"/>
      <c r="DMA56" s="378"/>
      <c r="DMB56" s="378"/>
      <c r="DMC56" s="378"/>
      <c r="DMD56" s="378"/>
      <c r="DME56" s="378"/>
      <c r="DMF56" s="378"/>
      <c r="DMG56" s="378"/>
      <c r="DMH56" s="378"/>
      <c r="DMI56" s="378"/>
      <c r="DMJ56" s="378"/>
      <c r="DMK56" s="378"/>
      <c r="DML56" s="378"/>
      <c r="DMM56" s="378"/>
      <c r="DMN56" s="378"/>
      <c r="DMO56" s="378"/>
      <c r="DMP56" s="378"/>
      <c r="DMQ56" s="378"/>
      <c r="DMR56" s="378"/>
      <c r="DMS56" s="378"/>
      <c r="DMT56" s="378"/>
      <c r="DMU56" s="378"/>
      <c r="DMV56" s="378"/>
      <c r="DMW56" s="378"/>
      <c r="DMX56" s="378"/>
      <c r="DMY56" s="378"/>
      <c r="DMZ56" s="378"/>
      <c r="DNA56" s="378"/>
      <c r="DNB56" s="378"/>
      <c r="DNC56" s="378"/>
      <c r="DND56" s="378"/>
      <c r="DNE56" s="378"/>
      <c r="DNF56" s="378"/>
      <c r="DNG56" s="378"/>
      <c r="DNH56" s="378"/>
      <c r="DNI56" s="378"/>
      <c r="DNJ56" s="378"/>
      <c r="DNK56" s="378"/>
      <c r="DNL56" s="378"/>
      <c r="DNM56" s="378"/>
      <c r="DNN56" s="378"/>
      <c r="DNO56" s="378"/>
      <c r="DNP56" s="378"/>
      <c r="DNQ56" s="378"/>
      <c r="DNR56" s="378"/>
      <c r="DNS56" s="378"/>
      <c r="DNT56" s="378"/>
      <c r="DNU56" s="378"/>
      <c r="DNV56" s="378"/>
      <c r="DNW56" s="378"/>
      <c r="DNX56" s="378"/>
      <c r="DNY56" s="378"/>
      <c r="DNZ56" s="378"/>
      <c r="DOA56" s="378"/>
      <c r="DOB56" s="378"/>
      <c r="DOC56" s="378"/>
      <c r="DOD56" s="378"/>
      <c r="DOE56" s="378"/>
      <c r="DOF56" s="378"/>
      <c r="DOG56" s="378"/>
      <c r="DOH56" s="378"/>
      <c r="DOI56" s="378"/>
      <c r="DOJ56" s="378"/>
      <c r="DOK56" s="378"/>
      <c r="DOL56" s="378"/>
      <c r="DOM56" s="378"/>
      <c r="DON56" s="378"/>
      <c r="DOO56" s="378"/>
      <c r="DOP56" s="378"/>
      <c r="DOQ56" s="378"/>
      <c r="DOR56" s="378"/>
      <c r="DOS56" s="378"/>
      <c r="DOT56" s="378"/>
      <c r="DOU56" s="378"/>
      <c r="DOV56" s="378"/>
      <c r="DOW56" s="378"/>
      <c r="DOX56" s="378"/>
      <c r="DOY56" s="378"/>
      <c r="DOZ56" s="378"/>
      <c r="DPA56" s="378"/>
      <c r="DPB56" s="378"/>
      <c r="DPC56" s="378"/>
      <c r="DPD56" s="378"/>
      <c r="DPE56" s="378"/>
      <c r="DPF56" s="378"/>
      <c r="DPG56" s="378"/>
      <c r="DPH56" s="378"/>
      <c r="DPI56" s="378"/>
      <c r="DPJ56" s="378"/>
      <c r="DPK56" s="378"/>
      <c r="DPL56" s="378"/>
      <c r="DPM56" s="378"/>
      <c r="DPN56" s="378"/>
      <c r="DPO56" s="378"/>
      <c r="DPP56" s="378"/>
      <c r="DPQ56" s="378"/>
      <c r="DPR56" s="378"/>
      <c r="DPS56" s="378"/>
      <c r="DPT56" s="378"/>
      <c r="DPU56" s="378"/>
      <c r="DPV56" s="378"/>
      <c r="DPW56" s="378"/>
      <c r="DPX56" s="378"/>
      <c r="DPY56" s="378"/>
      <c r="DPZ56" s="378"/>
      <c r="DQA56" s="378"/>
      <c r="DQB56" s="378"/>
      <c r="DQC56" s="378"/>
      <c r="DQD56" s="378"/>
      <c r="DQE56" s="378"/>
      <c r="DQF56" s="378"/>
      <c r="DQG56" s="378"/>
      <c r="DQH56" s="378"/>
      <c r="DQI56" s="378"/>
      <c r="DQJ56" s="378"/>
      <c r="DQK56" s="378"/>
      <c r="DQL56" s="378"/>
      <c r="DQM56" s="378"/>
      <c r="DQN56" s="378"/>
      <c r="DQO56" s="378"/>
      <c r="DQP56" s="378"/>
      <c r="DQQ56" s="378"/>
      <c r="DQR56" s="378"/>
      <c r="DQS56" s="378"/>
      <c r="DQT56" s="378"/>
      <c r="DQU56" s="378"/>
      <c r="DQV56" s="378"/>
      <c r="DQW56" s="378"/>
      <c r="DQX56" s="378"/>
      <c r="DQY56" s="378"/>
      <c r="DQZ56" s="378"/>
      <c r="DRA56" s="378"/>
      <c r="DRB56" s="378"/>
      <c r="DRC56" s="378"/>
      <c r="DRD56" s="378"/>
      <c r="DRE56" s="378"/>
      <c r="DRF56" s="378"/>
      <c r="DRG56" s="378"/>
      <c r="DRH56" s="378"/>
      <c r="DRI56" s="378"/>
      <c r="DRJ56" s="378"/>
      <c r="DRK56" s="378"/>
      <c r="DRL56" s="378"/>
      <c r="DRM56" s="378"/>
      <c r="DRN56" s="378"/>
      <c r="DRO56" s="378"/>
      <c r="DRP56" s="378"/>
      <c r="DRQ56" s="378"/>
      <c r="DRR56" s="378"/>
      <c r="DRS56" s="378"/>
      <c r="DRT56" s="378"/>
      <c r="DRU56" s="378"/>
      <c r="DRV56" s="378"/>
      <c r="DRW56" s="378"/>
      <c r="DRX56" s="378"/>
      <c r="DRY56" s="378"/>
      <c r="DRZ56" s="378"/>
      <c r="DSA56" s="378"/>
      <c r="DSB56" s="378"/>
      <c r="DSC56" s="378"/>
      <c r="DSD56" s="378"/>
      <c r="DSE56" s="378"/>
      <c r="DSF56" s="378"/>
      <c r="DSG56" s="378"/>
      <c r="DSH56" s="378"/>
      <c r="DSI56" s="378"/>
      <c r="DSJ56" s="378"/>
      <c r="DSK56" s="378"/>
      <c r="DSL56" s="378"/>
      <c r="DSM56" s="378"/>
      <c r="DSN56" s="378"/>
      <c r="DSO56" s="378"/>
      <c r="DSP56" s="378"/>
      <c r="DSQ56" s="378"/>
      <c r="DSR56" s="378"/>
      <c r="DSS56" s="378"/>
      <c r="DST56" s="378"/>
      <c r="DSU56" s="378"/>
      <c r="DSV56" s="378"/>
      <c r="DSW56" s="378"/>
      <c r="DSX56" s="378"/>
      <c r="DSY56" s="378"/>
      <c r="DSZ56" s="378"/>
      <c r="DTA56" s="378"/>
      <c r="DTB56" s="378"/>
      <c r="DTC56" s="378"/>
      <c r="DTD56" s="378"/>
      <c r="DTE56" s="378"/>
      <c r="DTF56" s="378"/>
      <c r="DTG56" s="378"/>
      <c r="DTH56" s="378"/>
      <c r="DTI56" s="378"/>
      <c r="DTJ56" s="378"/>
      <c r="DTK56" s="378"/>
      <c r="DTL56" s="378"/>
      <c r="DTM56" s="378"/>
      <c r="DTN56" s="378"/>
      <c r="DTO56" s="378"/>
      <c r="DTP56" s="378"/>
      <c r="DTQ56" s="378"/>
      <c r="DTR56" s="378"/>
      <c r="DTS56" s="378"/>
      <c r="DTT56" s="378"/>
      <c r="DTU56" s="378"/>
      <c r="DTV56" s="378"/>
      <c r="DTW56" s="378"/>
      <c r="DTX56" s="378"/>
      <c r="DTY56" s="378"/>
      <c r="DTZ56" s="378"/>
      <c r="DUA56" s="378"/>
      <c r="DUB56" s="378"/>
      <c r="DUC56" s="378"/>
      <c r="DUD56" s="378"/>
      <c r="DUE56" s="378"/>
      <c r="DUF56" s="378"/>
      <c r="DUG56" s="378"/>
      <c r="DUH56" s="378"/>
      <c r="DUI56" s="378"/>
      <c r="DUJ56" s="378"/>
      <c r="DUK56" s="378"/>
      <c r="DUL56" s="378"/>
      <c r="DUM56" s="378"/>
      <c r="DUN56" s="378"/>
      <c r="DUO56" s="378"/>
      <c r="DUP56" s="378"/>
      <c r="DUQ56" s="378"/>
      <c r="DUR56" s="378"/>
      <c r="DUS56" s="378"/>
      <c r="DUT56" s="378"/>
      <c r="DUU56" s="378"/>
      <c r="DUV56" s="378"/>
      <c r="DUW56" s="378"/>
      <c r="DUX56" s="378"/>
      <c r="DUY56" s="378"/>
      <c r="DUZ56" s="378"/>
      <c r="DVA56" s="378"/>
      <c r="DVB56" s="378"/>
      <c r="DVC56" s="378"/>
      <c r="DVD56" s="378"/>
      <c r="DVE56" s="378"/>
      <c r="DVF56" s="378"/>
      <c r="DVG56" s="378"/>
      <c r="DVH56" s="378"/>
      <c r="DVI56" s="378"/>
      <c r="DVJ56" s="378"/>
      <c r="DVK56" s="378"/>
      <c r="DVL56" s="378"/>
      <c r="DVM56" s="378"/>
      <c r="DVN56" s="378"/>
      <c r="DVO56" s="378"/>
      <c r="DVP56" s="378"/>
      <c r="DVQ56" s="378"/>
      <c r="DVR56" s="378"/>
      <c r="DVS56" s="378"/>
      <c r="DVT56" s="378"/>
      <c r="DVU56" s="378"/>
      <c r="DVV56" s="378"/>
      <c r="DVW56" s="378"/>
      <c r="DVX56" s="378"/>
      <c r="DVY56" s="378"/>
      <c r="DVZ56" s="378"/>
      <c r="DWA56" s="378"/>
      <c r="DWB56" s="378"/>
      <c r="DWC56" s="378"/>
      <c r="DWD56" s="378"/>
      <c r="DWE56" s="378"/>
      <c r="DWF56" s="378"/>
      <c r="DWG56" s="378"/>
      <c r="DWH56" s="378"/>
      <c r="DWI56" s="378"/>
      <c r="DWJ56" s="378"/>
      <c r="DWK56" s="378"/>
      <c r="DWL56" s="378"/>
      <c r="DWM56" s="378"/>
      <c r="DWN56" s="378"/>
      <c r="DWO56" s="378"/>
      <c r="DWP56" s="378"/>
      <c r="DWQ56" s="378"/>
      <c r="DWR56" s="378"/>
      <c r="DWS56" s="378"/>
      <c r="DWT56" s="378"/>
      <c r="DWU56" s="378"/>
      <c r="DWV56" s="378"/>
      <c r="DWW56" s="378"/>
      <c r="DWX56" s="378"/>
      <c r="DWY56" s="378"/>
      <c r="DWZ56" s="378"/>
      <c r="DXA56" s="378"/>
      <c r="DXB56" s="378"/>
      <c r="DXC56" s="378"/>
      <c r="DXD56" s="378"/>
      <c r="DXE56" s="378"/>
      <c r="DXF56" s="378"/>
      <c r="DXG56" s="378"/>
      <c r="DXH56" s="378"/>
      <c r="DXI56" s="378"/>
      <c r="DXJ56" s="378"/>
      <c r="DXK56" s="378"/>
      <c r="DXL56" s="378"/>
      <c r="DXM56" s="378"/>
      <c r="DXN56" s="378"/>
      <c r="DXO56" s="378"/>
      <c r="DXP56" s="378"/>
      <c r="DXQ56" s="378"/>
      <c r="DXR56" s="378"/>
      <c r="DXS56" s="378"/>
      <c r="DXT56" s="378"/>
      <c r="DXU56" s="378"/>
      <c r="DXV56" s="378"/>
      <c r="DXW56" s="378"/>
      <c r="DXX56" s="378"/>
      <c r="DXY56" s="378"/>
      <c r="DXZ56" s="378"/>
      <c r="DYA56" s="378"/>
      <c r="DYB56" s="378"/>
      <c r="DYC56" s="378"/>
      <c r="DYD56" s="378"/>
      <c r="DYE56" s="378"/>
      <c r="DYF56" s="378"/>
      <c r="DYG56" s="378"/>
      <c r="DYH56" s="378"/>
      <c r="DYI56" s="378"/>
      <c r="DYJ56" s="378"/>
      <c r="DYK56" s="378"/>
      <c r="DYL56" s="378"/>
      <c r="DYM56" s="378"/>
      <c r="DYN56" s="378"/>
      <c r="DYO56" s="378"/>
      <c r="DYP56" s="378"/>
      <c r="DYQ56" s="378"/>
      <c r="DYR56" s="378"/>
      <c r="DYS56" s="378"/>
      <c r="DYT56" s="378"/>
      <c r="DYU56" s="378"/>
      <c r="DYV56" s="378"/>
      <c r="DYW56" s="378"/>
      <c r="DYX56" s="378"/>
      <c r="DYY56" s="378"/>
      <c r="DYZ56" s="378"/>
      <c r="DZA56" s="378"/>
      <c r="DZB56" s="378"/>
      <c r="DZC56" s="378"/>
      <c r="DZD56" s="378"/>
      <c r="DZE56" s="378"/>
      <c r="DZF56" s="378"/>
      <c r="DZG56" s="378"/>
      <c r="DZH56" s="378"/>
      <c r="DZI56" s="378"/>
      <c r="DZJ56" s="378"/>
      <c r="DZK56" s="378"/>
      <c r="DZL56" s="378"/>
      <c r="DZM56" s="378"/>
      <c r="DZN56" s="378"/>
      <c r="DZO56" s="378"/>
      <c r="DZP56" s="378"/>
      <c r="DZQ56" s="378"/>
      <c r="DZR56" s="378"/>
      <c r="DZS56" s="378"/>
      <c r="DZT56" s="378"/>
      <c r="DZU56" s="378"/>
      <c r="DZV56" s="378"/>
      <c r="DZW56" s="378"/>
      <c r="DZX56" s="378"/>
      <c r="DZY56" s="378"/>
      <c r="DZZ56" s="378"/>
      <c r="EAA56" s="378"/>
      <c r="EAB56" s="378"/>
      <c r="EAC56" s="378"/>
      <c r="EAD56" s="378"/>
      <c r="EAE56" s="378"/>
      <c r="EAF56" s="378"/>
      <c r="EAG56" s="378"/>
      <c r="EAH56" s="378"/>
      <c r="EAI56" s="378"/>
      <c r="EAJ56" s="378"/>
      <c r="EAK56" s="378"/>
      <c r="EAL56" s="378"/>
      <c r="EAM56" s="378"/>
      <c r="EAN56" s="378"/>
      <c r="EAO56" s="378"/>
      <c r="EAP56" s="378"/>
      <c r="EAQ56" s="378"/>
      <c r="EAR56" s="378"/>
      <c r="EAS56" s="378"/>
      <c r="EAT56" s="378"/>
      <c r="EAU56" s="378"/>
      <c r="EAV56" s="378"/>
      <c r="EAW56" s="378"/>
      <c r="EAX56" s="378"/>
      <c r="EAY56" s="378"/>
      <c r="EAZ56" s="378"/>
      <c r="EBA56" s="378"/>
      <c r="EBB56" s="378"/>
      <c r="EBC56" s="378"/>
      <c r="EBD56" s="378"/>
      <c r="EBE56" s="378"/>
      <c r="EBF56" s="378"/>
      <c r="EBG56" s="378"/>
      <c r="EBH56" s="378"/>
      <c r="EBI56" s="378"/>
      <c r="EBJ56" s="378"/>
      <c r="EBK56" s="378"/>
      <c r="EBL56" s="378"/>
      <c r="EBM56" s="378"/>
      <c r="EBN56" s="378"/>
      <c r="EBO56" s="378"/>
      <c r="EBP56" s="378"/>
      <c r="EBQ56" s="378"/>
      <c r="EBR56" s="378"/>
      <c r="EBS56" s="378"/>
      <c r="EBT56" s="378"/>
      <c r="EBU56" s="378"/>
      <c r="EBV56" s="378"/>
      <c r="EBW56" s="378"/>
      <c r="EBX56" s="378"/>
      <c r="EBY56" s="378"/>
      <c r="EBZ56" s="378"/>
      <c r="ECA56" s="378"/>
      <c r="ECB56" s="378"/>
      <c r="ECC56" s="378"/>
      <c r="ECD56" s="378"/>
      <c r="ECE56" s="378"/>
      <c r="ECF56" s="378"/>
      <c r="ECG56" s="378"/>
      <c r="ECH56" s="378"/>
      <c r="ECI56" s="378"/>
      <c r="ECJ56" s="378"/>
      <c r="ECK56" s="378"/>
      <c r="ECL56" s="378"/>
      <c r="ECM56" s="378"/>
      <c r="ECN56" s="378"/>
      <c r="ECO56" s="378"/>
      <c r="ECP56" s="378"/>
      <c r="ECQ56" s="378"/>
      <c r="ECR56" s="378"/>
      <c r="ECS56" s="378"/>
      <c r="ECT56" s="378"/>
      <c r="ECU56" s="378"/>
      <c r="ECV56" s="378"/>
      <c r="ECW56" s="378"/>
      <c r="ECX56" s="378"/>
      <c r="ECY56" s="378"/>
      <c r="ECZ56" s="378"/>
      <c r="EDA56" s="378"/>
      <c r="EDB56" s="378"/>
      <c r="EDC56" s="378"/>
      <c r="EDD56" s="378"/>
      <c r="EDE56" s="378"/>
      <c r="EDF56" s="378"/>
      <c r="EDG56" s="378"/>
      <c r="EDH56" s="378"/>
      <c r="EDI56" s="378"/>
      <c r="EDJ56" s="378"/>
      <c r="EDK56" s="378"/>
      <c r="EDL56" s="378"/>
      <c r="EDM56" s="378"/>
      <c r="EDN56" s="378"/>
      <c r="EDO56" s="378"/>
      <c r="EDP56" s="378"/>
      <c r="EDQ56" s="378"/>
      <c r="EDR56" s="378"/>
      <c r="EDS56" s="378"/>
      <c r="EDT56" s="378"/>
      <c r="EDU56" s="378"/>
      <c r="EDV56" s="378"/>
      <c r="EDW56" s="378"/>
      <c r="EDX56" s="378"/>
      <c r="EDY56" s="378"/>
      <c r="EDZ56" s="378"/>
      <c r="EEA56" s="378"/>
      <c r="EEB56" s="378"/>
      <c r="EEC56" s="378"/>
      <c r="EED56" s="378"/>
      <c r="EEE56" s="378"/>
      <c r="EEF56" s="378"/>
      <c r="EEG56" s="378"/>
      <c r="EEH56" s="378"/>
      <c r="EEI56" s="378"/>
      <c r="EEJ56" s="378"/>
      <c r="EEK56" s="378"/>
      <c r="EEL56" s="378"/>
      <c r="EEM56" s="378"/>
      <c r="EEN56" s="378"/>
      <c r="EEO56" s="378"/>
      <c r="EEP56" s="378"/>
      <c r="EEQ56" s="378"/>
      <c r="EER56" s="378"/>
      <c r="EES56" s="378"/>
      <c r="EET56" s="378"/>
      <c r="EEU56" s="378"/>
      <c r="EEV56" s="378"/>
      <c r="EEW56" s="378"/>
      <c r="EEX56" s="378"/>
      <c r="EEY56" s="378"/>
      <c r="EEZ56" s="378"/>
      <c r="EFA56" s="378"/>
      <c r="EFB56" s="378"/>
      <c r="EFC56" s="378"/>
      <c r="EFD56" s="378"/>
      <c r="EFE56" s="378"/>
      <c r="EFF56" s="378"/>
      <c r="EFG56" s="378"/>
      <c r="EFH56" s="378"/>
      <c r="EFI56" s="378"/>
      <c r="EFJ56" s="378"/>
      <c r="EFK56" s="378"/>
      <c r="EFL56" s="378"/>
      <c r="EFM56" s="378"/>
      <c r="EFN56" s="378"/>
      <c r="EFO56" s="378"/>
      <c r="EFP56" s="378"/>
      <c r="EFQ56" s="378"/>
      <c r="EFR56" s="378"/>
      <c r="EFS56" s="378"/>
      <c r="EFT56" s="378"/>
      <c r="EFU56" s="378"/>
      <c r="EFV56" s="378"/>
      <c r="EFW56" s="378"/>
      <c r="EFX56" s="378"/>
      <c r="EFY56" s="378"/>
      <c r="EFZ56" s="378"/>
      <c r="EGA56" s="378"/>
      <c r="EGB56" s="378"/>
      <c r="EGC56" s="378"/>
      <c r="EGD56" s="378"/>
      <c r="EGE56" s="378"/>
      <c r="EGF56" s="378"/>
      <c r="EGG56" s="378"/>
      <c r="EGH56" s="378"/>
      <c r="EGI56" s="378"/>
      <c r="EGJ56" s="378"/>
      <c r="EGK56" s="378"/>
      <c r="EGL56" s="378"/>
      <c r="EGM56" s="378"/>
      <c r="EGN56" s="378"/>
      <c r="EGO56" s="378"/>
      <c r="EGP56" s="378"/>
      <c r="EGQ56" s="378"/>
      <c r="EGR56" s="378"/>
      <c r="EGS56" s="378"/>
      <c r="EGT56" s="378"/>
      <c r="EGU56" s="378"/>
      <c r="EGV56" s="378"/>
      <c r="EGW56" s="378"/>
      <c r="EGX56" s="378"/>
      <c r="EGY56" s="378"/>
      <c r="EGZ56" s="378"/>
      <c r="EHA56" s="378"/>
      <c r="EHB56" s="378"/>
      <c r="EHC56" s="378"/>
      <c r="EHD56" s="378"/>
      <c r="EHE56" s="378"/>
      <c r="EHF56" s="378"/>
      <c r="EHG56" s="378"/>
      <c r="EHH56" s="378"/>
      <c r="EHI56" s="378"/>
      <c r="EHJ56" s="378"/>
      <c r="EHK56" s="378"/>
      <c r="EHL56" s="378"/>
      <c r="EHM56" s="378"/>
      <c r="EHN56" s="378"/>
      <c r="EHO56" s="378"/>
      <c r="EHP56" s="378"/>
      <c r="EHQ56" s="378"/>
      <c r="EHR56" s="378"/>
      <c r="EHS56" s="378"/>
      <c r="EHT56" s="378"/>
      <c r="EHU56" s="378"/>
      <c r="EHV56" s="378"/>
      <c r="EHW56" s="378"/>
      <c r="EHX56" s="378"/>
      <c r="EHY56" s="378"/>
      <c r="EHZ56" s="378"/>
      <c r="EIA56" s="378"/>
      <c r="EIB56" s="378"/>
      <c r="EIC56" s="378"/>
      <c r="EID56" s="378"/>
      <c r="EIE56" s="378"/>
      <c r="EIF56" s="378"/>
      <c r="EIG56" s="378"/>
      <c r="EIH56" s="378"/>
      <c r="EII56" s="378"/>
      <c r="EIJ56" s="378"/>
      <c r="EIK56" s="378"/>
      <c r="EIL56" s="378"/>
      <c r="EIM56" s="378"/>
      <c r="EIN56" s="378"/>
      <c r="EIO56" s="378"/>
      <c r="EIP56" s="378"/>
      <c r="EIQ56" s="378"/>
      <c r="EIR56" s="378"/>
      <c r="EIS56" s="378"/>
      <c r="EIT56" s="378"/>
      <c r="EIU56" s="378"/>
      <c r="EIV56" s="378"/>
      <c r="EIW56" s="378"/>
      <c r="EIX56" s="378"/>
      <c r="EIY56" s="378"/>
      <c r="EIZ56" s="378"/>
      <c r="EJA56" s="378"/>
      <c r="EJB56" s="378"/>
      <c r="EJC56" s="378"/>
      <c r="EJD56" s="378"/>
      <c r="EJE56" s="378"/>
      <c r="EJF56" s="378"/>
      <c r="EJG56" s="378"/>
      <c r="EJH56" s="378"/>
      <c r="EJI56" s="378"/>
      <c r="EJJ56" s="378"/>
      <c r="EJK56" s="378"/>
      <c r="EJL56" s="378"/>
      <c r="EJM56" s="378"/>
      <c r="EJN56" s="378"/>
      <c r="EJO56" s="378"/>
      <c r="EJP56" s="378"/>
      <c r="EJQ56" s="378"/>
      <c r="EJR56" s="378"/>
      <c r="EJS56" s="378"/>
      <c r="EJT56" s="378"/>
      <c r="EJU56" s="378"/>
      <c r="EJV56" s="378"/>
      <c r="EJW56" s="378"/>
      <c r="EJX56" s="378"/>
      <c r="EJY56" s="378"/>
      <c r="EJZ56" s="378"/>
      <c r="EKA56" s="378"/>
      <c r="EKB56" s="378"/>
      <c r="EKC56" s="378"/>
      <c r="EKD56" s="378"/>
      <c r="EKE56" s="378"/>
      <c r="EKF56" s="378"/>
      <c r="EKG56" s="378"/>
      <c r="EKH56" s="378"/>
      <c r="EKI56" s="378"/>
      <c r="EKJ56" s="378"/>
      <c r="EKK56" s="378"/>
      <c r="EKL56" s="378"/>
      <c r="EKM56" s="378"/>
      <c r="EKN56" s="378"/>
      <c r="EKO56" s="378"/>
      <c r="EKP56" s="378"/>
      <c r="EKQ56" s="378"/>
      <c r="EKR56" s="378"/>
      <c r="EKS56" s="378"/>
      <c r="EKT56" s="378"/>
      <c r="EKU56" s="378"/>
      <c r="EKV56" s="378"/>
      <c r="EKW56" s="378"/>
      <c r="EKX56" s="378"/>
      <c r="EKY56" s="378"/>
      <c r="EKZ56" s="378"/>
      <c r="ELA56" s="378"/>
      <c r="ELB56" s="378"/>
      <c r="ELC56" s="378"/>
      <c r="ELD56" s="378"/>
      <c r="ELE56" s="378"/>
      <c r="ELF56" s="378"/>
      <c r="ELG56" s="378"/>
      <c r="ELH56" s="378"/>
      <c r="ELI56" s="378"/>
      <c r="ELJ56" s="378"/>
      <c r="ELK56" s="378"/>
      <c r="ELL56" s="378"/>
      <c r="ELM56" s="378"/>
      <c r="ELN56" s="378"/>
      <c r="ELO56" s="378"/>
      <c r="ELP56" s="378"/>
      <c r="ELQ56" s="378"/>
      <c r="ELR56" s="378"/>
      <c r="ELS56" s="378"/>
      <c r="ELT56" s="378"/>
      <c r="ELU56" s="378"/>
      <c r="ELV56" s="378"/>
      <c r="ELW56" s="378"/>
      <c r="ELX56" s="378"/>
      <c r="ELY56" s="378"/>
      <c r="ELZ56" s="378"/>
      <c r="EMA56" s="378"/>
      <c r="EMB56" s="378"/>
      <c r="EMC56" s="378"/>
      <c r="EMD56" s="378"/>
      <c r="EME56" s="378"/>
      <c r="EMF56" s="378"/>
      <c r="EMG56" s="378"/>
      <c r="EMH56" s="378"/>
      <c r="EMI56" s="378"/>
      <c r="EMJ56" s="378"/>
      <c r="EMK56" s="378"/>
      <c r="EML56" s="378"/>
      <c r="EMM56" s="378"/>
      <c r="EMN56" s="378"/>
      <c r="EMO56" s="378"/>
      <c r="EMP56" s="378"/>
      <c r="EMQ56" s="378"/>
      <c r="EMR56" s="378"/>
      <c r="EMS56" s="378"/>
      <c r="EMT56" s="378"/>
      <c r="EMU56" s="378"/>
      <c r="EMV56" s="378"/>
      <c r="EMW56" s="378"/>
      <c r="EMX56" s="378"/>
      <c r="EMY56" s="378"/>
      <c r="EMZ56" s="378"/>
      <c r="ENA56" s="378"/>
      <c r="ENB56" s="378"/>
      <c r="ENC56" s="378"/>
      <c r="END56" s="378"/>
      <c r="ENE56" s="378"/>
      <c r="ENF56" s="378"/>
      <c r="ENG56" s="378"/>
      <c r="ENH56" s="378"/>
      <c r="ENI56" s="378"/>
      <c r="ENJ56" s="378"/>
      <c r="ENK56" s="378"/>
      <c r="ENL56" s="378"/>
      <c r="ENM56" s="378"/>
      <c r="ENN56" s="378"/>
      <c r="ENO56" s="378"/>
      <c r="ENP56" s="378"/>
      <c r="ENQ56" s="378"/>
      <c r="ENR56" s="378"/>
      <c r="ENS56" s="378"/>
      <c r="ENT56" s="378"/>
      <c r="ENU56" s="378"/>
      <c r="ENV56" s="378"/>
      <c r="ENW56" s="378"/>
      <c r="ENX56" s="378"/>
      <c r="ENY56" s="378"/>
      <c r="ENZ56" s="378"/>
      <c r="EOA56" s="378"/>
      <c r="EOB56" s="378"/>
      <c r="EOC56" s="378"/>
      <c r="EOD56" s="378"/>
      <c r="EOE56" s="378"/>
      <c r="EOF56" s="378"/>
      <c r="EOG56" s="378"/>
      <c r="EOH56" s="378"/>
      <c r="EOI56" s="378"/>
      <c r="EOJ56" s="378"/>
      <c r="EOK56" s="378"/>
      <c r="EOL56" s="378"/>
      <c r="EOM56" s="378"/>
      <c r="EON56" s="378"/>
      <c r="EOO56" s="378"/>
      <c r="EOP56" s="378"/>
      <c r="EOQ56" s="378"/>
      <c r="EOR56" s="378"/>
      <c r="EOS56" s="378"/>
      <c r="EOT56" s="378"/>
      <c r="EOU56" s="378"/>
      <c r="EOV56" s="378"/>
      <c r="EOW56" s="378"/>
      <c r="EOX56" s="378"/>
      <c r="EOY56" s="378"/>
      <c r="EOZ56" s="378"/>
      <c r="EPA56" s="378"/>
      <c r="EPB56" s="378"/>
      <c r="EPC56" s="378"/>
      <c r="EPD56" s="378"/>
      <c r="EPE56" s="378"/>
      <c r="EPF56" s="378"/>
      <c r="EPG56" s="378"/>
      <c r="EPH56" s="378"/>
      <c r="EPI56" s="378"/>
      <c r="EPJ56" s="378"/>
      <c r="EPK56" s="378"/>
      <c r="EPL56" s="378"/>
      <c r="EPM56" s="378"/>
      <c r="EPN56" s="378"/>
      <c r="EPO56" s="378"/>
      <c r="EPP56" s="378"/>
      <c r="EPQ56" s="378"/>
      <c r="EPR56" s="378"/>
      <c r="EPS56" s="378"/>
      <c r="EPT56" s="378"/>
      <c r="EPU56" s="378"/>
      <c r="EPV56" s="378"/>
      <c r="EPW56" s="378"/>
      <c r="EPX56" s="378"/>
      <c r="EPY56" s="378"/>
      <c r="EPZ56" s="378"/>
      <c r="EQA56" s="378"/>
      <c r="EQB56" s="378"/>
      <c r="EQC56" s="378"/>
      <c r="EQD56" s="378"/>
      <c r="EQE56" s="378"/>
      <c r="EQF56" s="378"/>
      <c r="EQG56" s="378"/>
      <c r="EQH56" s="378"/>
      <c r="EQI56" s="378"/>
      <c r="EQJ56" s="378"/>
      <c r="EQK56" s="378"/>
      <c r="EQL56" s="378"/>
      <c r="EQM56" s="378"/>
      <c r="EQN56" s="378"/>
      <c r="EQO56" s="378"/>
      <c r="EQP56" s="378"/>
      <c r="EQQ56" s="378"/>
      <c r="EQR56" s="378"/>
      <c r="EQS56" s="378"/>
      <c r="EQT56" s="378"/>
      <c r="EQU56" s="378"/>
      <c r="EQV56" s="378"/>
      <c r="EQW56" s="378"/>
      <c r="EQX56" s="378"/>
      <c r="EQY56" s="378"/>
      <c r="EQZ56" s="378"/>
      <c r="ERA56" s="378"/>
      <c r="ERB56" s="378"/>
      <c r="ERC56" s="378"/>
      <c r="ERD56" s="378"/>
      <c r="ERE56" s="378"/>
      <c r="ERF56" s="378"/>
      <c r="ERG56" s="378"/>
      <c r="ERH56" s="378"/>
      <c r="ERI56" s="378"/>
      <c r="ERJ56" s="378"/>
      <c r="ERK56" s="378"/>
      <c r="ERL56" s="378"/>
      <c r="ERM56" s="378"/>
      <c r="ERN56" s="378"/>
      <c r="ERO56" s="378"/>
      <c r="ERP56" s="378"/>
      <c r="ERQ56" s="378"/>
      <c r="ERR56" s="378"/>
      <c r="ERS56" s="378"/>
      <c r="ERT56" s="378"/>
      <c r="ERU56" s="378"/>
      <c r="ERV56" s="378"/>
      <c r="ERW56" s="378"/>
      <c r="ERX56" s="378"/>
      <c r="ERY56" s="378"/>
      <c r="ERZ56" s="378"/>
      <c r="ESA56" s="378"/>
      <c r="ESB56" s="378"/>
      <c r="ESC56" s="378"/>
      <c r="ESD56" s="378"/>
      <c r="ESE56" s="378"/>
      <c r="ESF56" s="378"/>
      <c r="ESG56" s="378"/>
      <c r="ESH56" s="378"/>
      <c r="ESI56" s="378"/>
      <c r="ESJ56" s="378"/>
      <c r="ESK56" s="378"/>
      <c r="ESL56" s="378"/>
      <c r="ESM56" s="378"/>
      <c r="ESN56" s="378"/>
      <c r="ESO56" s="378"/>
      <c r="ESP56" s="378"/>
      <c r="ESQ56" s="378"/>
      <c r="ESR56" s="378"/>
      <c r="ESS56" s="378"/>
      <c r="EST56" s="378"/>
      <c r="ESU56" s="378"/>
      <c r="ESV56" s="378"/>
      <c r="ESW56" s="378"/>
      <c r="ESX56" s="378"/>
      <c r="ESY56" s="378"/>
      <c r="ESZ56" s="378"/>
      <c r="ETA56" s="378"/>
      <c r="ETB56" s="378"/>
      <c r="ETC56" s="378"/>
      <c r="ETD56" s="378"/>
      <c r="ETE56" s="378"/>
      <c r="ETF56" s="378"/>
      <c r="ETG56" s="378"/>
      <c r="ETH56" s="378"/>
      <c r="ETI56" s="378"/>
      <c r="ETJ56" s="378"/>
      <c r="ETK56" s="378"/>
      <c r="ETL56" s="378"/>
      <c r="ETM56" s="378"/>
      <c r="ETN56" s="378"/>
      <c r="ETO56" s="378"/>
      <c r="ETP56" s="378"/>
      <c r="ETQ56" s="378"/>
      <c r="ETR56" s="378"/>
      <c r="ETS56" s="378"/>
      <c r="ETT56" s="378"/>
      <c r="ETU56" s="378"/>
      <c r="ETV56" s="378"/>
      <c r="ETW56" s="378"/>
      <c r="ETX56" s="378"/>
      <c r="ETY56" s="378"/>
      <c r="ETZ56" s="378"/>
      <c r="EUA56" s="378"/>
      <c r="EUB56" s="378"/>
      <c r="EUC56" s="378"/>
      <c r="EUD56" s="378"/>
      <c r="EUE56" s="378"/>
      <c r="EUF56" s="378"/>
      <c r="EUG56" s="378"/>
      <c r="EUH56" s="378"/>
      <c r="EUI56" s="378"/>
      <c r="EUJ56" s="378"/>
      <c r="EUK56" s="378"/>
      <c r="EUL56" s="378"/>
      <c r="EUM56" s="378"/>
      <c r="EUN56" s="378"/>
      <c r="EUO56" s="378"/>
      <c r="EUP56" s="378"/>
      <c r="EUQ56" s="378"/>
      <c r="EUR56" s="378"/>
      <c r="EUS56" s="378"/>
      <c r="EUT56" s="378"/>
      <c r="EUU56" s="378"/>
      <c r="EUV56" s="378"/>
      <c r="EUW56" s="378"/>
      <c r="EUX56" s="378"/>
      <c r="EUY56" s="378"/>
      <c r="EUZ56" s="378"/>
      <c r="EVA56" s="378"/>
      <c r="EVB56" s="378"/>
      <c r="EVC56" s="378"/>
      <c r="EVD56" s="378"/>
      <c r="EVE56" s="378"/>
      <c r="EVF56" s="378"/>
      <c r="EVG56" s="378"/>
      <c r="EVH56" s="378"/>
      <c r="EVI56" s="378"/>
      <c r="EVJ56" s="378"/>
      <c r="EVK56" s="378"/>
      <c r="EVL56" s="378"/>
      <c r="EVM56" s="378"/>
      <c r="EVN56" s="378"/>
      <c r="EVO56" s="378"/>
      <c r="EVP56" s="378"/>
      <c r="EVQ56" s="378"/>
      <c r="EVR56" s="378"/>
      <c r="EVS56" s="378"/>
      <c r="EVT56" s="378"/>
      <c r="EVU56" s="378"/>
      <c r="EVV56" s="378"/>
      <c r="EVW56" s="378"/>
      <c r="EVX56" s="378"/>
      <c r="EVY56" s="378"/>
      <c r="EVZ56" s="378"/>
      <c r="EWA56" s="378"/>
      <c r="EWB56" s="378"/>
      <c r="EWC56" s="378"/>
      <c r="EWD56" s="378"/>
      <c r="EWE56" s="378"/>
      <c r="EWF56" s="378"/>
      <c r="EWG56" s="378"/>
      <c r="EWH56" s="378"/>
      <c r="EWI56" s="378"/>
      <c r="EWJ56" s="378"/>
      <c r="EWK56" s="378"/>
      <c r="EWL56" s="378"/>
      <c r="EWM56" s="378"/>
      <c r="EWN56" s="378"/>
      <c r="EWO56" s="378"/>
      <c r="EWP56" s="378"/>
      <c r="EWQ56" s="378"/>
      <c r="EWR56" s="378"/>
      <c r="EWS56" s="378"/>
      <c r="EWT56" s="378"/>
      <c r="EWU56" s="378"/>
      <c r="EWV56" s="378"/>
      <c r="EWW56" s="378"/>
      <c r="EWX56" s="378"/>
      <c r="EWY56" s="378"/>
      <c r="EWZ56" s="378"/>
      <c r="EXA56" s="378"/>
      <c r="EXB56" s="378"/>
      <c r="EXC56" s="378"/>
      <c r="EXD56" s="378"/>
      <c r="EXE56" s="378"/>
      <c r="EXF56" s="378"/>
      <c r="EXG56" s="378"/>
      <c r="EXH56" s="378"/>
      <c r="EXI56" s="378"/>
      <c r="EXJ56" s="378"/>
      <c r="EXK56" s="378"/>
      <c r="EXL56" s="378"/>
      <c r="EXM56" s="378"/>
      <c r="EXN56" s="378"/>
      <c r="EXO56" s="378"/>
      <c r="EXP56" s="378"/>
      <c r="EXQ56" s="378"/>
      <c r="EXR56" s="378"/>
      <c r="EXS56" s="378"/>
      <c r="EXT56" s="378"/>
      <c r="EXU56" s="378"/>
      <c r="EXV56" s="378"/>
      <c r="EXW56" s="378"/>
      <c r="EXX56" s="378"/>
      <c r="EXY56" s="378"/>
      <c r="EXZ56" s="378"/>
      <c r="EYA56" s="378"/>
      <c r="EYB56" s="378"/>
      <c r="EYC56" s="378"/>
      <c r="EYD56" s="378"/>
      <c r="EYE56" s="378"/>
      <c r="EYF56" s="378"/>
      <c r="EYG56" s="378"/>
      <c r="EYH56" s="378"/>
      <c r="EYI56" s="378"/>
      <c r="EYJ56" s="378"/>
      <c r="EYK56" s="378"/>
      <c r="EYL56" s="378"/>
      <c r="EYM56" s="378"/>
      <c r="EYN56" s="378"/>
      <c r="EYO56" s="378"/>
      <c r="EYP56" s="378"/>
      <c r="EYQ56" s="378"/>
      <c r="EYR56" s="378"/>
      <c r="EYS56" s="378"/>
      <c r="EYT56" s="378"/>
      <c r="EYU56" s="378"/>
      <c r="EYV56" s="378"/>
      <c r="EYW56" s="378"/>
      <c r="EYX56" s="378"/>
      <c r="EYY56" s="378"/>
      <c r="EYZ56" s="378"/>
      <c r="EZA56" s="378"/>
      <c r="EZB56" s="378"/>
      <c r="EZC56" s="378"/>
      <c r="EZD56" s="378"/>
      <c r="EZE56" s="378"/>
      <c r="EZF56" s="378"/>
      <c r="EZG56" s="378"/>
      <c r="EZH56" s="378"/>
      <c r="EZI56" s="378"/>
      <c r="EZJ56" s="378"/>
      <c r="EZK56" s="378"/>
      <c r="EZL56" s="378"/>
      <c r="EZM56" s="378"/>
      <c r="EZN56" s="378"/>
      <c r="EZO56" s="378"/>
      <c r="EZP56" s="378"/>
      <c r="EZQ56" s="378"/>
      <c r="EZR56" s="378"/>
      <c r="EZS56" s="378"/>
      <c r="EZT56" s="378"/>
      <c r="EZU56" s="378"/>
      <c r="EZV56" s="378"/>
      <c r="EZW56" s="378"/>
      <c r="EZX56" s="378"/>
      <c r="EZY56" s="378"/>
      <c r="EZZ56" s="378"/>
      <c r="FAA56" s="378"/>
      <c r="FAB56" s="378"/>
      <c r="FAC56" s="378"/>
      <c r="FAD56" s="378"/>
      <c r="FAE56" s="378"/>
      <c r="FAF56" s="378"/>
      <c r="FAG56" s="378"/>
      <c r="FAH56" s="378"/>
      <c r="FAI56" s="378"/>
      <c r="FAJ56" s="378"/>
      <c r="FAK56" s="378"/>
      <c r="FAL56" s="378"/>
      <c r="FAM56" s="378"/>
      <c r="FAN56" s="378"/>
      <c r="FAO56" s="378"/>
      <c r="FAP56" s="378"/>
      <c r="FAQ56" s="378"/>
      <c r="FAR56" s="378"/>
      <c r="FAS56" s="378"/>
      <c r="FAT56" s="378"/>
      <c r="FAU56" s="378"/>
      <c r="FAV56" s="378"/>
      <c r="FAW56" s="378"/>
      <c r="FAX56" s="378"/>
      <c r="FAY56" s="378"/>
      <c r="FAZ56" s="378"/>
      <c r="FBA56" s="378"/>
      <c r="FBB56" s="378"/>
      <c r="FBC56" s="378"/>
      <c r="FBD56" s="378"/>
      <c r="FBE56" s="378"/>
      <c r="FBF56" s="378"/>
      <c r="FBG56" s="378"/>
      <c r="FBH56" s="378"/>
      <c r="FBI56" s="378"/>
      <c r="FBJ56" s="378"/>
      <c r="FBK56" s="378"/>
      <c r="FBL56" s="378"/>
      <c r="FBM56" s="378"/>
      <c r="FBN56" s="378"/>
      <c r="FBO56" s="378"/>
      <c r="FBP56" s="378"/>
      <c r="FBQ56" s="378"/>
      <c r="FBR56" s="378"/>
      <c r="FBS56" s="378"/>
      <c r="FBT56" s="378"/>
      <c r="FBU56" s="378"/>
      <c r="FBV56" s="378"/>
      <c r="FBW56" s="378"/>
      <c r="FBX56" s="378"/>
      <c r="FBY56" s="378"/>
      <c r="FBZ56" s="378"/>
      <c r="FCA56" s="378"/>
      <c r="FCB56" s="378"/>
      <c r="FCC56" s="378"/>
      <c r="FCD56" s="378"/>
      <c r="FCE56" s="378"/>
      <c r="FCF56" s="378"/>
      <c r="FCG56" s="378"/>
      <c r="FCH56" s="378"/>
      <c r="FCI56" s="378"/>
      <c r="FCJ56" s="378"/>
      <c r="FCK56" s="378"/>
      <c r="FCL56" s="378"/>
      <c r="FCM56" s="378"/>
      <c r="FCN56" s="378"/>
      <c r="FCO56" s="378"/>
      <c r="FCP56" s="378"/>
      <c r="FCQ56" s="378"/>
      <c r="FCR56" s="378"/>
      <c r="FCS56" s="378"/>
      <c r="FCT56" s="378"/>
      <c r="FCU56" s="378"/>
      <c r="FCV56" s="378"/>
      <c r="FCW56" s="378"/>
      <c r="FCX56" s="378"/>
      <c r="FCY56" s="378"/>
      <c r="FCZ56" s="378"/>
      <c r="FDA56" s="378"/>
      <c r="FDB56" s="378"/>
      <c r="FDC56" s="378"/>
      <c r="FDD56" s="378"/>
      <c r="FDE56" s="378"/>
      <c r="FDF56" s="378"/>
      <c r="FDG56" s="378"/>
      <c r="FDH56" s="378"/>
      <c r="FDI56" s="378"/>
      <c r="FDJ56" s="378"/>
      <c r="FDK56" s="378"/>
      <c r="FDL56" s="378"/>
      <c r="FDM56" s="378"/>
      <c r="FDN56" s="378"/>
      <c r="FDO56" s="378"/>
      <c r="FDP56" s="378"/>
      <c r="FDQ56" s="378"/>
      <c r="FDR56" s="378"/>
      <c r="FDS56" s="378"/>
      <c r="FDT56" s="378"/>
      <c r="FDU56" s="378"/>
      <c r="FDV56" s="378"/>
      <c r="FDW56" s="378"/>
      <c r="FDX56" s="378"/>
      <c r="FDY56" s="378"/>
      <c r="FDZ56" s="378"/>
      <c r="FEA56" s="378"/>
      <c r="FEB56" s="378"/>
      <c r="FEC56" s="378"/>
      <c r="FED56" s="378"/>
      <c r="FEE56" s="378"/>
      <c r="FEF56" s="378"/>
      <c r="FEG56" s="378"/>
      <c r="FEH56" s="378"/>
      <c r="FEI56" s="378"/>
      <c r="FEJ56" s="378"/>
      <c r="FEK56" s="378"/>
      <c r="FEL56" s="378"/>
      <c r="FEM56" s="378"/>
      <c r="FEN56" s="378"/>
      <c r="FEO56" s="378"/>
      <c r="FEP56" s="378"/>
      <c r="FEQ56" s="378"/>
      <c r="FER56" s="378"/>
      <c r="FES56" s="378"/>
      <c r="FET56" s="378"/>
      <c r="FEU56" s="378"/>
      <c r="FEV56" s="378"/>
      <c r="FEW56" s="378"/>
      <c r="FEX56" s="378"/>
      <c r="FEY56" s="378"/>
      <c r="FEZ56" s="378"/>
      <c r="FFA56" s="378"/>
      <c r="FFB56" s="378"/>
      <c r="FFC56" s="378"/>
      <c r="FFD56" s="378"/>
      <c r="FFE56" s="378"/>
      <c r="FFF56" s="378"/>
      <c r="FFG56" s="378"/>
      <c r="FFH56" s="378"/>
      <c r="FFI56" s="378"/>
      <c r="FFJ56" s="378"/>
      <c r="FFK56" s="378"/>
      <c r="FFL56" s="378"/>
      <c r="FFM56" s="378"/>
      <c r="FFN56" s="378"/>
      <c r="FFO56" s="378"/>
      <c r="FFP56" s="378"/>
      <c r="FFQ56" s="378"/>
      <c r="FFR56" s="378"/>
      <c r="FFS56" s="378"/>
      <c r="FFT56" s="378"/>
      <c r="FFU56" s="378"/>
      <c r="FFV56" s="378"/>
      <c r="FFW56" s="378"/>
      <c r="FFX56" s="378"/>
      <c r="FFY56" s="378"/>
      <c r="FFZ56" s="378"/>
      <c r="FGA56" s="378"/>
      <c r="FGB56" s="378"/>
      <c r="FGC56" s="378"/>
      <c r="FGD56" s="378"/>
      <c r="FGE56" s="378"/>
      <c r="FGF56" s="378"/>
      <c r="FGG56" s="378"/>
      <c r="FGH56" s="378"/>
      <c r="FGI56" s="378"/>
      <c r="FGJ56" s="378"/>
      <c r="FGK56" s="378"/>
      <c r="FGL56" s="378"/>
      <c r="FGM56" s="378"/>
      <c r="FGN56" s="378"/>
      <c r="FGO56" s="378"/>
      <c r="FGP56" s="378"/>
      <c r="FGQ56" s="378"/>
      <c r="FGR56" s="378"/>
      <c r="FGS56" s="378"/>
      <c r="FGT56" s="378"/>
      <c r="FGU56" s="378"/>
      <c r="FGV56" s="378"/>
      <c r="FGW56" s="378"/>
      <c r="FGX56" s="378"/>
      <c r="FGY56" s="378"/>
      <c r="FGZ56" s="378"/>
      <c r="FHA56" s="378"/>
      <c r="FHB56" s="378"/>
      <c r="FHC56" s="378"/>
      <c r="FHD56" s="378"/>
      <c r="FHE56" s="378"/>
      <c r="FHF56" s="378"/>
      <c r="FHG56" s="378"/>
      <c r="FHH56" s="378"/>
      <c r="FHI56" s="378"/>
      <c r="FHJ56" s="378"/>
      <c r="FHK56" s="378"/>
      <c r="FHL56" s="378"/>
      <c r="FHM56" s="378"/>
      <c r="FHN56" s="378"/>
      <c r="FHO56" s="378"/>
      <c r="FHP56" s="378"/>
      <c r="FHQ56" s="378"/>
      <c r="FHR56" s="378"/>
      <c r="FHS56" s="378"/>
      <c r="FHT56" s="378"/>
      <c r="FHU56" s="378"/>
      <c r="FHV56" s="378"/>
      <c r="FHW56" s="378"/>
      <c r="FHX56" s="378"/>
      <c r="FHY56" s="378"/>
      <c r="FHZ56" s="378"/>
      <c r="FIA56" s="378"/>
      <c r="FIB56" s="378"/>
      <c r="FIC56" s="378"/>
      <c r="FID56" s="378"/>
      <c r="FIE56" s="378"/>
      <c r="FIF56" s="378"/>
      <c r="FIG56" s="378"/>
      <c r="FIH56" s="378"/>
      <c r="FII56" s="378"/>
      <c r="FIJ56" s="378"/>
      <c r="FIK56" s="378"/>
      <c r="FIL56" s="378"/>
      <c r="FIM56" s="378"/>
      <c r="FIN56" s="378"/>
      <c r="FIO56" s="378"/>
      <c r="FIP56" s="378"/>
      <c r="FIQ56" s="378"/>
      <c r="FIR56" s="378"/>
      <c r="FIS56" s="378"/>
      <c r="FIT56" s="378"/>
      <c r="FIU56" s="378"/>
      <c r="FIV56" s="378"/>
      <c r="FIW56" s="378"/>
      <c r="FIX56" s="378"/>
      <c r="FIY56" s="378"/>
      <c r="FIZ56" s="378"/>
      <c r="FJA56" s="378"/>
      <c r="FJB56" s="378"/>
      <c r="FJC56" s="378"/>
      <c r="FJD56" s="378"/>
      <c r="FJE56" s="378"/>
      <c r="FJF56" s="378"/>
      <c r="FJG56" s="378"/>
      <c r="FJH56" s="378"/>
      <c r="FJI56" s="378"/>
      <c r="FJJ56" s="378"/>
      <c r="FJK56" s="378"/>
      <c r="FJL56" s="378"/>
      <c r="FJM56" s="378"/>
      <c r="FJN56" s="378"/>
      <c r="FJO56" s="378"/>
      <c r="FJP56" s="378"/>
      <c r="FJQ56" s="378"/>
      <c r="FJR56" s="378"/>
      <c r="FJS56" s="378"/>
      <c r="FJT56" s="378"/>
      <c r="FJU56" s="378"/>
      <c r="FJV56" s="378"/>
      <c r="FJW56" s="378"/>
      <c r="FJX56" s="378"/>
      <c r="FJY56" s="378"/>
      <c r="FJZ56" s="378"/>
      <c r="FKA56" s="378"/>
      <c r="FKB56" s="378"/>
      <c r="FKC56" s="378"/>
      <c r="FKD56" s="378"/>
      <c r="FKE56" s="378"/>
      <c r="FKF56" s="378"/>
      <c r="FKG56" s="378"/>
      <c r="FKH56" s="378"/>
      <c r="FKI56" s="378"/>
      <c r="FKJ56" s="378"/>
      <c r="FKK56" s="378"/>
      <c r="FKL56" s="378"/>
      <c r="FKM56" s="378"/>
      <c r="FKN56" s="378"/>
      <c r="FKO56" s="378"/>
      <c r="FKP56" s="378"/>
      <c r="FKQ56" s="378"/>
      <c r="FKR56" s="378"/>
      <c r="FKS56" s="378"/>
      <c r="FKT56" s="378"/>
      <c r="FKU56" s="378"/>
      <c r="FKV56" s="378"/>
      <c r="FKW56" s="378"/>
      <c r="FKX56" s="378"/>
      <c r="FKY56" s="378"/>
      <c r="FKZ56" s="378"/>
      <c r="FLA56" s="378"/>
      <c r="FLB56" s="378"/>
      <c r="FLC56" s="378"/>
      <c r="FLD56" s="378"/>
      <c r="FLE56" s="378"/>
      <c r="FLF56" s="378"/>
      <c r="FLG56" s="378"/>
      <c r="FLH56" s="378"/>
      <c r="FLI56" s="378"/>
      <c r="FLJ56" s="378"/>
      <c r="FLK56" s="378"/>
      <c r="FLL56" s="378"/>
      <c r="FLM56" s="378"/>
      <c r="FLN56" s="378"/>
      <c r="FLO56" s="378"/>
      <c r="FLP56" s="378"/>
      <c r="FLQ56" s="378"/>
      <c r="FLR56" s="378"/>
      <c r="FLS56" s="378"/>
      <c r="FLT56" s="378"/>
      <c r="FLU56" s="378"/>
      <c r="FLV56" s="378"/>
      <c r="FLW56" s="378"/>
      <c r="FLX56" s="378"/>
      <c r="FLY56" s="378"/>
      <c r="FLZ56" s="378"/>
      <c r="FMA56" s="378"/>
      <c r="FMB56" s="378"/>
      <c r="FMC56" s="378"/>
      <c r="FMD56" s="378"/>
      <c r="FME56" s="378"/>
      <c r="FMF56" s="378"/>
      <c r="FMG56" s="378"/>
      <c r="FMH56" s="378"/>
      <c r="FMI56" s="378"/>
      <c r="FMJ56" s="378"/>
      <c r="FMK56" s="378"/>
      <c r="FML56" s="378"/>
      <c r="FMM56" s="378"/>
      <c r="FMN56" s="378"/>
      <c r="FMO56" s="378"/>
      <c r="FMP56" s="378"/>
      <c r="FMQ56" s="378"/>
      <c r="FMR56" s="378"/>
      <c r="FMS56" s="378"/>
      <c r="FMT56" s="378"/>
      <c r="FMU56" s="378"/>
      <c r="FMV56" s="378"/>
      <c r="FMW56" s="378"/>
      <c r="FMX56" s="378"/>
      <c r="FMY56" s="378"/>
      <c r="FMZ56" s="378"/>
      <c r="FNA56" s="378"/>
      <c r="FNB56" s="378"/>
      <c r="FNC56" s="378"/>
      <c r="FND56" s="378"/>
      <c r="FNE56" s="378"/>
      <c r="FNF56" s="378"/>
      <c r="FNG56" s="378"/>
      <c r="FNH56" s="378"/>
      <c r="FNI56" s="378"/>
      <c r="FNJ56" s="378"/>
      <c r="FNK56" s="378"/>
      <c r="FNL56" s="378"/>
      <c r="FNM56" s="378"/>
      <c r="FNN56" s="378"/>
      <c r="FNO56" s="378"/>
      <c r="FNP56" s="378"/>
      <c r="FNQ56" s="378"/>
      <c r="FNR56" s="378"/>
      <c r="FNS56" s="378"/>
      <c r="FNT56" s="378"/>
      <c r="FNU56" s="378"/>
      <c r="FNV56" s="378"/>
      <c r="FNW56" s="378"/>
      <c r="FNX56" s="378"/>
      <c r="FNY56" s="378"/>
      <c r="FNZ56" s="378"/>
      <c r="FOA56" s="378"/>
      <c r="FOB56" s="378"/>
      <c r="FOC56" s="378"/>
      <c r="FOD56" s="378"/>
      <c r="FOE56" s="378"/>
      <c r="FOF56" s="378"/>
      <c r="FOG56" s="378"/>
      <c r="FOH56" s="378"/>
      <c r="FOI56" s="378"/>
      <c r="FOJ56" s="378"/>
      <c r="FOK56" s="378"/>
      <c r="FOL56" s="378"/>
      <c r="FOM56" s="378"/>
      <c r="FON56" s="378"/>
      <c r="FOO56" s="378"/>
      <c r="FOP56" s="378"/>
      <c r="FOQ56" s="378"/>
      <c r="FOR56" s="378"/>
      <c r="FOS56" s="378"/>
      <c r="FOT56" s="378"/>
      <c r="FOU56" s="378"/>
      <c r="FOV56" s="378"/>
      <c r="FOW56" s="378"/>
      <c r="FOX56" s="378"/>
      <c r="FOY56" s="378"/>
      <c r="FOZ56" s="378"/>
      <c r="FPA56" s="378"/>
      <c r="FPB56" s="378"/>
      <c r="FPC56" s="378"/>
      <c r="FPD56" s="378"/>
      <c r="FPE56" s="378"/>
      <c r="FPF56" s="378"/>
      <c r="FPG56" s="378"/>
      <c r="FPH56" s="378"/>
      <c r="FPI56" s="378"/>
      <c r="FPJ56" s="378"/>
      <c r="FPK56" s="378"/>
      <c r="FPL56" s="378"/>
      <c r="FPM56" s="378"/>
      <c r="FPN56" s="378"/>
      <c r="FPO56" s="378"/>
      <c r="FPP56" s="378"/>
      <c r="FPQ56" s="378"/>
      <c r="FPR56" s="378"/>
      <c r="FPS56" s="378"/>
      <c r="FPT56" s="378"/>
      <c r="FPU56" s="378"/>
      <c r="FPV56" s="378"/>
      <c r="FPW56" s="378"/>
      <c r="FPX56" s="378"/>
      <c r="FPY56" s="378"/>
      <c r="FPZ56" s="378"/>
      <c r="FQA56" s="378"/>
      <c r="FQB56" s="378"/>
      <c r="FQC56" s="378"/>
      <c r="FQD56" s="378"/>
      <c r="FQE56" s="378"/>
      <c r="FQF56" s="378"/>
      <c r="FQG56" s="378"/>
      <c r="FQH56" s="378"/>
      <c r="FQI56" s="378"/>
      <c r="FQJ56" s="378"/>
      <c r="FQK56" s="378"/>
      <c r="FQL56" s="378"/>
      <c r="FQM56" s="378"/>
      <c r="FQN56" s="378"/>
      <c r="FQO56" s="378"/>
      <c r="FQP56" s="378"/>
      <c r="FQQ56" s="378"/>
      <c r="FQR56" s="378"/>
      <c r="FQS56" s="378"/>
      <c r="FQT56" s="378"/>
      <c r="FQU56" s="378"/>
      <c r="FQV56" s="378"/>
      <c r="FQW56" s="378"/>
      <c r="FQX56" s="378"/>
      <c r="FQY56" s="378"/>
      <c r="FQZ56" s="378"/>
      <c r="FRA56" s="378"/>
      <c r="FRB56" s="378"/>
      <c r="FRC56" s="378"/>
      <c r="FRD56" s="378"/>
      <c r="FRE56" s="378"/>
      <c r="FRF56" s="378"/>
      <c r="FRG56" s="378"/>
      <c r="FRH56" s="378"/>
      <c r="FRI56" s="378"/>
      <c r="FRJ56" s="378"/>
      <c r="FRK56" s="378"/>
      <c r="FRL56" s="378"/>
      <c r="FRM56" s="378"/>
      <c r="FRN56" s="378"/>
      <c r="FRO56" s="378"/>
      <c r="FRP56" s="378"/>
      <c r="FRQ56" s="378"/>
      <c r="FRR56" s="378"/>
      <c r="FRS56" s="378"/>
      <c r="FRT56" s="378"/>
      <c r="FRU56" s="378"/>
      <c r="FRV56" s="378"/>
      <c r="FRW56" s="378"/>
      <c r="FRX56" s="378"/>
      <c r="FRY56" s="378"/>
      <c r="FRZ56" s="378"/>
      <c r="FSA56" s="378"/>
      <c r="FSB56" s="378"/>
      <c r="FSC56" s="378"/>
      <c r="FSD56" s="378"/>
      <c r="FSE56" s="378"/>
      <c r="FSF56" s="378"/>
      <c r="FSG56" s="378"/>
      <c r="FSH56" s="378"/>
      <c r="FSI56" s="378"/>
      <c r="FSJ56" s="378"/>
      <c r="FSK56" s="378"/>
      <c r="FSL56" s="378"/>
      <c r="FSM56" s="378"/>
      <c r="FSN56" s="378"/>
      <c r="FSO56" s="378"/>
      <c r="FSP56" s="378"/>
      <c r="FSQ56" s="378"/>
      <c r="FSR56" s="378"/>
      <c r="FSS56" s="378"/>
      <c r="FST56" s="378"/>
      <c r="FSU56" s="378"/>
      <c r="FSV56" s="378"/>
      <c r="FSW56" s="378"/>
      <c r="FSX56" s="378"/>
      <c r="FSY56" s="378"/>
      <c r="FSZ56" s="378"/>
      <c r="FTA56" s="378"/>
      <c r="FTB56" s="378"/>
      <c r="FTC56" s="378"/>
      <c r="FTD56" s="378"/>
      <c r="FTE56" s="378"/>
      <c r="FTF56" s="378"/>
      <c r="FTG56" s="378"/>
      <c r="FTH56" s="378"/>
      <c r="FTI56" s="378"/>
      <c r="FTJ56" s="378"/>
      <c r="FTK56" s="378"/>
      <c r="FTL56" s="378"/>
      <c r="FTM56" s="378"/>
      <c r="FTN56" s="378"/>
      <c r="FTO56" s="378"/>
      <c r="FTP56" s="378"/>
      <c r="FTQ56" s="378"/>
      <c r="FTR56" s="378"/>
      <c r="FTS56" s="378"/>
      <c r="FTT56" s="378"/>
      <c r="FTU56" s="378"/>
      <c r="FTV56" s="378"/>
      <c r="FTW56" s="378"/>
      <c r="FTX56" s="378"/>
      <c r="FTY56" s="378"/>
      <c r="FTZ56" s="378"/>
      <c r="FUA56" s="378"/>
      <c r="FUB56" s="378"/>
      <c r="FUC56" s="378"/>
      <c r="FUD56" s="378"/>
      <c r="FUE56" s="378"/>
      <c r="FUF56" s="378"/>
      <c r="FUG56" s="378"/>
      <c r="FUH56" s="378"/>
      <c r="FUI56" s="378"/>
      <c r="FUJ56" s="378"/>
      <c r="FUK56" s="378"/>
      <c r="FUL56" s="378"/>
      <c r="FUM56" s="378"/>
      <c r="FUN56" s="378"/>
      <c r="FUO56" s="378"/>
      <c r="FUP56" s="378"/>
      <c r="FUQ56" s="378"/>
      <c r="FUR56" s="378"/>
      <c r="FUS56" s="378"/>
      <c r="FUT56" s="378"/>
      <c r="FUU56" s="378"/>
      <c r="FUV56" s="378"/>
      <c r="FUW56" s="378"/>
      <c r="FUX56" s="378"/>
      <c r="FUY56" s="378"/>
      <c r="FUZ56" s="378"/>
      <c r="FVA56" s="378"/>
      <c r="FVB56" s="378"/>
      <c r="FVC56" s="378"/>
      <c r="FVD56" s="378"/>
      <c r="FVE56" s="378"/>
      <c r="FVF56" s="378"/>
      <c r="FVG56" s="378"/>
      <c r="FVH56" s="378"/>
      <c r="FVI56" s="378"/>
      <c r="FVJ56" s="378"/>
      <c r="FVK56" s="378"/>
      <c r="FVL56" s="378"/>
      <c r="FVM56" s="378"/>
      <c r="FVN56" s="378"/>
      <c r="FVO56" s="378"/>
      <c r="FVP56" s="378"/>
      <c r="FVQ56" s="378"/>
      <c r="FVR56" s="378"/>
      <c r="FVS56" s="378"/>
      <c r="FVT56" s="378"/>
      <c r="FVU56" s="378"/>
      <c r="FVV56" s="378"/>
      <c r="FVW56" s="378"/>
      <c r="FVX56" s="378"/>
      <c r="FVY56" s="378"/>
      <c r="FVZ56" s="378"/>
      <c r="FWA56" s="378"/>
      <c r="FWB56" s="378"/>
      <c r="FWC56" s="378"/>
      <c r="FWD56" s="378"/>
      <c r="FWE56" s="378"/>
      <c r="FWF56" s="378"/>
      <c r="FWG56" s="378"/>
      <c r="FWH56" s="378"/>
      <c r="FWI56" s="378"/>
      <c r="FWJ56" s="378"/>
      <c r="FWK56" s="378"/>
      <c r="FWL56" s="378"/>
      <c r="FWM56" s="378"/>
      <c r="FWN56" s="378"/>
      <c r="FWO56" s="378"/>
      <c r="FWP56" s="378"/>
      <c r="FWQ56" s="378"/>
      <c r="FWR56" s="378"/>
      <c r="FWS56" s="378"/>
      <c r="FWT56" s="378"/>
      <c r="FWU56" s="378"/>
      <c r="FWV56" s="378"/>
      <c r="FWW56" s="378"/>
      <c r="FWX56" s="378"/>
      <c r="FWY56" s="378"/>
      <c r="FWZ56" s="378"/>
      <c r="FXA56" s="378"/>
      <c r="FXB56" s="378"/>
      <c r="FXC56" s="378"/>
      <c r="FXD56" s="378"/>
      <c r="FXE56" s="378"/>
      <c r="FXF56" s="378"/>
      <c r="FXG56" s="378"/>
      <c r="FXH56" s="378"/>
      <c r="FXI56" s="378"/>
      <c r="FXJ56" s="378"/>
      <c r="FXK56" s="378"/>
      <c r="FXL56" s="378"/>
      <c r="FXM56" s="378"/>
      <c r="FXN56" s="378"/>
      <c r="FXO56" s="378"/>
      <c r="FXP56" s="378"/>
      <c r="FXQ56" s="378"/>
      <c r="FXR56" s="378"/>
      <c r="FXS56" s="378"/>
      <c r="FXT56" s="378"/>
      <c r="FXU56" s="378"/>
      <c r="FXV56" s="378"/>
      <c r="FXW56" s="378"/>
      <c r="FXX56" s="378"/>
      <c r="FXY56" s="378"/>
      <c r="FXZ56" s="378"/>
      <c r="FYA56" s="378"/>
      <c r="FYB56" s="378"/>
      <c r="FYC56" s="378"/>
      <c r="FYD56" s="378"/>
      <c r="FYE56" s="378"/>
      <c r="FYF56" s="378"/>
      <c r="FYG56" s="378"/>
      <c r="FYH56" s="378"/>
      <c r="FYI56" s="378"/>
      <c r="FYJ56" s="378"/>
      <c r="FYK56" s="378"/>
      <c r="FYL56" s="378"/>
      <c r="FYM56" s="378"/>
      <c r="FYN56" s="378"/>
      <c r="FYO56" s="378"/>
      <c r="FYP56" s="378"/>
      <c r="FYQ56" s="378"/>
      <c r="FYR56" s="378"/>
      <c r="FYS56" s="378"/>
      <c r="FYT56" s="378"/>
      <c r="FYU56" s="378"/>
      <c r="FYV56" s="378"/>
      <c r="FYW56" s="378"/>
      <c r="FYX56" s="378"/>
      <c r="FYY56" s="378"/>
      <c r="FYZ56" s="378"/>
      <c r="FZA56" s="378"/>
      <c r="FZB56" s="378"/>
      <c r="FZC56" s="378"/>
      <c r="FZD56" s="378"/>
      <c r="FZE56" s="378"/>
      <c r="FZF56" s="378"/>
      <c r="FZG56" s="378"/>
      <c r="FZH56" s="378"/>
      <c r="FZI56" s="378"/>
      <c r="FZJ56" s="378"/>
      <c r="FZK56" s="378"/>
      <c r="FZL56" s="378"/>
      <c r="FZM56" s="378"/>
      <c r="FZN56" s="378"/>
      <c r="FZO56" s="378"/>
      <c r="FZP56" s="378"/>
      <c r="FZQ56" s="378"/>
      <c r="FZR56" s="378"/>
      <c r="FZS56" s="378"/>
      <c r="FZT56" s="378"/>
      <c r="FZU56" s="378"/>
      <c r="FZV56" s="378"/>
      <c r="FZW56" s="378"/>
      <c r="FZX56" s="378"/>
      <c r="FZY56" s="378"/>
      <c r="FZZ56" s="378"/>
      <c r="GAA56" s="378"/>
      <c r="GAB56" s="378"/>
      <c r="GAC56" s="378"/>
      <c r="GAD56" s="378"/>
      <c r="GAE56" s="378"/>
      <c r="GAF56" s="378"/>
      <c r="GAG56" s="378"/>
      <c r="GAH56" s="378"/>
      <c r="GAI56" s="378"/>
      <c r="GAJ56" s="378"/>
      <c r="GAK56" s="378"/>
      <c r="GAL56" s="378"/>
      <c r="GAM56" s="378"/>
      <c r="GAN56" s="378"/>
      <c r="GAO56" s="378"/>
      <c r="GAP56" s="378"/>
      <c r="GAQ56" s="378"/>
      <c r="GAR56" s="378"/>
      <c r="GAS56" s="378"/>
      <c r="GAT56" s="378"/>
      <c r="GAU56" s="378"/>
      <c r="GAV56" s="378"/>
      <c r="GAW56" s="378"/>
      <c r="GAX56" s="378"/>
      <c r="GAY56" s="378"/>
      <c r="GAZ56" s="378"/>
      <c r="GBA56" s="378"/>
      <c r="GBB56" s="378"/>
      <c r="GBC56" s="378"/>
      <c r="GBD56" s="378"/>
      <c r="GBE56" s="378"/>
      <c r="GBF56" s="378"/>
      <c r="GBG56" s="378"/>
      <c r="GBH56" s="378"/>
      <c r="GBI56" s="378"/>
      <c r="GBJ56" s="378"/>
      <c r="GBK56" s="378"/>
      <c r="GBL56" s="378"/>
      <c r="GBM56" s="378"/>
      <c r="GBN56" s="378"/>
      <c r="GBO56" s="378"/>
      <c r="GBP56" s="378"/>
      <c r="GBQ56" s="378"/>
      <c r="GBR56" s="378"/>
      <c r="GBS56" s="378"/>
      <c r="GBT56" s="378"/>
      <c r="GBU56" s="378"/>
      <c r="GBV56" s="378"/>
      <c r="GBW56" s="378"/>
      <c r="GBX56" s="378"/>
      <c r="GBY56" s="378"/>
      <c r="GBZ56" s="378"/>
      <c r="GCA56" s="378"/>
      <c r="GCB56" s="378"/>
      <c r="GCC56" s="378"/>
      <c r="GCD56" s="378"/>
      <c r="GCE56" s="378"/>
      <c r="GCF56" s="378"/>
      <c r="GCG56" s="378"/>
      <c r="GCH56" s="378"/>
      <c r="GCI56" s="378"/>
      <c r="GCJ56" s="378"/>
      <c r="GCK56" s="378"/>
      <c r="GCL56" s="378"/>
      <c r="GCM56" s="378"/>
      <c r="GCN56" s="378"/>
      <c r="GCO56" s="378"/>
      <c r="GCP56" s="378"/>
      <c r="GCQ56" s="378"/>
      <c r="GCR56" s="378"/>
      <c r="GCS56" s="378"/>
      <c r="GCT56" s="378"/>
      <c r="GCU56" s="378"/>
      <c r="GCV56" s="378"/>
      <c r="GCW56" s="378"/>
      <c r="GCX56" s="378"/>
      <c r="GCY56" s="378"/>
      <c r="GCZ56" s="378"/>
      <c r="GDA56" s="378"/>
      <c r="GDB56" s="378"/>
      <c r="GDC56" s="378"/>
      <c r="GDD56" s="378"/>
      <c r="GDE56" s="378"/>
      <c r="GDF56" s="378"/>
      <c r="GDG56" s="378"/>
      <c r="GDH56" s="378"/>
      <c r="GDI56" s="378"/>
      <c r="GDJ56" s="378"/>
      <c r="GDK56" s="378"/>
      <c r="GDL56" s="378"/>
      <c r="GDM56" s="378"/>
      <c r="GDN56" s="378"/>
      <c r="GDO56" s="378"/>
      <c r="GDP56" s="378"/>
      <c r="GDQ56" s="378"/>
      <c r="GDR56" s="378"/>
      <c r="GDS56" s="378"/>
      <c r="GDT56" s="378"/>
      <c r="GDU56" s="378"/>
      <c r="GDV56" s="378"/>
      <c r="GDW56" s="378"/>
      <c r="GDX56" s="378"/>
      <c r="GDY56" s="378"/>
      <c r="GDZ56" s="378"/>
      <c r="GEA56" s="378"/>
      <c r="GEB56" s="378"/>
      <c r="GEC56" s="378"/>
      <c r="GED56" s="378"/>
      <c r="GEE56" s="378"/>
      <c r="GEF56" s="378"/>
      <c r="GEG56" s="378"/>
      <c r="GEH56" s="378"/>
      <c r="GEI56" s="378"/>
      <c r="GEJ56" s="378"/>
      <c r="GEK56" s="378"/>
      <c r="GEL56" s="378"/>
      <c r="GEM56" s="378"/>
      <c r="GEN56" s="378"/>
      <c r="GEO56" s="378"/>
      <c r="GEP56" s="378"/>
      <c r="GEQ56" s="378"/>
      <c r="GER56" s="378"/>
      <c r="GES56" s="378"/>
      <c r="GET56" s="378"/>
      <c r="GEU56" s="378"/>
      <c r="GEV56" s="378"/>
      <c r="GEW56" s="378"/>
      <c r="GEX56" s="378"/>
      <c r="GEY56" s="378"/>
      <c r="GEZ56" s="378"/>
      <c r="GFA56" s="378"/>
      <c r="GFB56" s="378"/>
      <c r="GFC56" s="378"/>
      <c r="GFD56" s="378"/>
      <c r="GFE56" s="378"/>
      <c r="GFF56" s="378"/>
      <c r="GFG56" s="378"/>
      <c r="GFH56" s="378"/>
      <c r="GFI56" s="378"/>
      <c r="GFJ56" s="378"/>
      <c r="GFK56" s="378"/>
      <c r="GFL56" s="378"/>
      <c r="GFM56" s="378"/>
      <c r="GFN56" s="378"/>
      <c r="GFO56" s="378"/>
      <c r="GFP56" s="378"/>
      <c r="GFQ56" s="378"/>
      <c r="GFR56" s="378"/>
      <c r="GFS56" s="378"/>
      <c r="GFT56" s="378"/>
      <c r="GFU56" s="378"/>
      <c r="GFV56" s="378"/>
      <c r="GFW56" s="378"/>
      <c r="GFX56" s="378"/>
      <c r="GFY56" s="378"/>
      <c r="GFZ56" s="378"/>
      <c r="GGA56" s="378"/>
      <c r="GGB56" s="378"/>
      <c r="GGC56" s="378"/>
      <c r="GGD56" s="378"/>
      <c r="GGE56" s="378"/>
      <c r="GGF56" s="378"/>
      <c r="GGG56" s="378"/>
      <c r="GGH56" s="378"/>
      <c r="GGI56" s="378"/>
      <c r="GGJ56" s="378"/>
      <c r="GGK56" s="378"/>
      <c r="GGL56" s="378"/>
      <c r="GGM56" s="378"/>
      <c r="GGN56" s="378"/>
      <c r="GGO56" s="378"/>
      <c r="GGP56" s="378"/>
      <c r="GGQ56" s="378"/>
      <c r="GGR56" s="378"/>
      <c r="GGS56" s="378"/>
      <c r="GGT56" s="378"/>
      <c r="GGU56" s="378"/>
      <c r="GGV56" s="378"/>
      <c r="GGW56" s="378"/>
      <c r="GGX56" s="378"/>
      <c r="GGY56" s="378"/>
      <c r="GGZ56" s="378"/>
      <c r="GHA56" s="378"/>
      <c r="GHB56" s="378"/>
      <c r="GHC56" s="378"/>
      <c r="GHD56" s="378"/>
      <c r="GHE56" s="378"/>
      <c r="GHF56" s="378"/>
      <c r="GHG56" s="378"/>
      <c r="GHH56" s="378"/>
      <c r="GHI56" s="378"/>
      <c r="GHJ56" s="378"/>
      <c r="GHK56" s="378"/>
      <c r="GHL56" s="378"/>
      <c r="GHM56" s="378"/>
      <c r="GHN56" s="378"/>
      <c r="GHO56" s="378"/>
      <c r="GHP56" s="378"/>
      <c r="GHQ56" s="378"/>
      <c r="GHR56" s="378"/>
      <c r="GHS56" s="378"/>
      <c r="GHT56" s="378"/>
      <c r="GHU56" s="378"/>
      <c r="GHV56" s="378"/>
      <c r="GHW56" s="378"/>
      <c r="GHX56" s="378"/>
      <c r="GHY56" s="378"/>
      <c r="GHZ56" s="378"/>
      <c r="GIA56" s="378"/>
      <c r="GIB56" s="378"/>
      <c r="GIC56" s="378"/>
      <c r="GID56" s="378"/>
      <c r="GIE56" s="378"/>
      <c r="GIF56" s="378"/>
      <c r="GIG56" s="378"/>
      <c r="GIH56" s="378"/>
      <c r="GII56" s="378"/>
      <c r="GIJ56" s="378"/>
      <c r="GIK56" s="378"/>
      <c r="GIL56" s="378"/>
      <c r="GIM56" s="378"/>
      <c r="GIN56" s="378"/>
      <c r="GIO56" s="378"/>
      <c r="GIP56" s="378"/>
      <c r="GIQ56" s="378"/>
      <c r="GIR56" s="378"/>
      <c r="GIS56" s="378"/>
      <c r="GIT56" s="378"/>
      <c r="GIU56" s="378"/>
      <c r="GIV56" s="378"/>
      <c r="GIW56" s="378"/>
      <c r="GIX56" s="378"/>
      <c r="GIY56" s="378"/>
      <c r="GIZ56" s="378"/>
      <c r="GJA56" s="378"/>
      <c r="GJB56" s="378"/>
      <c r="GJC56" s="378"/>
      <c r="GJD56" s="378"/>
      <c r="GJE56" s="378"/>
      <c r="GJF56" s="378"/>
      <c r="GJG56" s="378"/>
      <c r="GJH56" s="378"/>
      <c r="GJI56" s="378"/>
      <c r="GJJ56" s="378"/>
      <c r="GJK56" s="378"/>
      <c r="GJL56" s="378"/>
      <c r="GJM56" s="378"/>
      <c r="GJN56" s="378"/>
      <c r="GJO56" s="378"/>
      <c r="GJP56" s="378"/>
      <c r="GJQ56" s="378"/>
      <c r="GJR56" s="378"/>
      <c r="GJS56" s="378"/>
      <c r="GJT56" s="378"/>
      <c r="GJU56" s="378"/>
      <c r="GJV56" s="378"/>
      <c r="GJW56" s="378"/>
      <c r="GJX56" s="378"/>
      <c r="GJY56" s="378"/>
      <c r="GJZ56" s="378"/>
      <c r="GKA56" s="378"/>
      <c r="GKB56" s="378"/>
      <c r="GKC56" s="378"/>
      <c r="GKD56" s="378"/>
      <c r="GKE56" s="378"/>
      <c r="GKF56" s="378"/>
      <c r="GKG56" s="378"/>
      <c r="GKH56" s="378"/>
      <c r="GKI56" s="378"/>
      <c r="GKJ56" s="378"/>
      <c r="GKK56" s="378"/>
      <c r="GKL56" s="378"/>
      <c r="GKM56" s="378"/>
      <c r="GKN56" s="378"/>
      <c r="GKO56" s="378"/>
      <c r="GKP56" s="378"/>
      <c r="GKQ56" s="378"/>
      <c r="GKR56" s="378"/>
      <c r="GKS56" s="378"/>
      <c r="GKT56" s="378"/>
      <c r="GKU56" s="378"/>
      <c r="GKV56" s="378"/>
      <c r="GKW56" s="378"/>
      <c r="GKX56" s="378"/>
      <c r="GKY56" s="378"/>
      <c r="GKZ56" s="378"/>
      <c r="GLA56" s="378"/>
      <c r="GLB56" s="378"/>
      <c r="GLC56" s="378"/>
      <c r="GLD56" s="378"/>
      <c r="GLE56" s="378"/>
      <c r="GLF56" s="378"/>
      <c r="GLG56" s="378"/>
      <c r="GLH56" s="378"/>
      <c r="GLI56" s="378"/>
      <c r="GLJ56" s="378"/>
      <c r="GLK56" s="378"/>
      <c r="GLL56" s="378"/>
      <c r="GLM56" s="378"/>
      <c r="GLN56" s="378"/>
      <c r="GLO56" s="378"/>
      <c r="GLP56" s="378"/>
      <c r="GLQ56" s="378"/>
      <c r="GLR56" s="378"/>
      <c r="GLS56" s="378"/>
      <c r="GLT56" s="378"/>
      <c r="GLU56" s="378"/>
      <c r="GLV56" s="378"/>
      <c r="GLW56" s="378"/>
      <c r="GLX56" s="378"/>
      <c r="GLY56" s="378"/>
      <c r="GLZ56" s="378"/>
      <c r="GMA56" s="378"/>
      <c r="GMB56" s="378"/>
      <c r="GMC56" s="378"/>
      <c r="GMD56" s="378"/>
      <c r="GME56" s="378"/>
      <c r="GMF56" s="378"/>
      <c r="GMG56" s="378"/>
      <c r="GMH56" s="378"/>
      <c r="GMI56" s="378"/>
      <c r="GMJ56" s="378"/>
      <c r="GMK56" s="378"/>
      <c r="GML56" s="378"/>
      <c r="GMM56" s="378"/>
      <c r="GMN56" s="378"/>
      <c r="GMO56" s="378"/>
      <c r="GMP56" s="378"/>
      <c r="GMQ56" s="378"/>
      <c r="GMR56" s="378"/>
      <c r="GMS56" s="378"/>
      <c r="GMT56" s="378"/>
      <c r="GMU56" s="378"/>
      <c r="GMV56" s="378"/>
      <c r="GMW56" s="378"/>
      <c r="GMX56" s="378"/>
      <c r="GMY56" s="378"/>
      <c r="GMZ56" s="378"/>
      <c r="GNA56" s="378"/>
      <c r="GNB56" s="378"/>
      <c r="GNC56" s="378"/>
      <c r="GND56" s="378"/>
      <c r="GNE56" s="378"/>
      <c r="GNF56" s="378"/>
      <c r="GNG56" s="378"/>
      <c r="GNH56" s="378"/>
      <c r="GNI56" s="378"/>
      <c r="GNJ56" s="378"/>
      <c r="GNK56" s="378"/>
      <c r="GNL56" s="378"/>
      <c r="GNM56" s="378"/>
      <c r="GNN56" s="378"/>
      <c r="GNO56" s="378"/>
      <c r="GNP56" s="378"/>
      <c r="GNQ56" s="378"/>
      <c r="GNR56" s="378"/>
      <c r="GNS56" s="378"/>
      <c r="GNT56" s="378"/>
      <c r="GNU56" s="378"/>
      <c r="GNV56" s="378"/>
      <c r="GNW56" s="378"/>
      <c r="GNX56" s="378"/>
      <c r="GNY56" s="378"/>
      <c r="GNZ56" s="378"/>
      <c r="GOA56" s="378"/>
      <c r="GOB56" s="378"/>
      <c r="GOC56" s="378"/>
      <c r="GOD56" s="378"/>
      <c r="GOE56" s="378"/>
      <c r="GOF56" s="378"/>
      <c r="GOG56" s="378"/>
      <c r="GOH56" s="378"/>
      <c r="GOI56" s="378"/>
      <c r="GOJ56" s="378"/>
      <c r="GOK56" s="378"/>
      <c r="GOL56" s="378"/>
      <c r="GOM56" s="378"/>
      <c r="GON56" s="378"/>
      <c r="GOO56" s="378"/>
      <c r="GOP56" s="378"/>
      <c r="GOQ56" s="378"/>
      <c r="GOR56" s="378"/>
      <c r="GOS56" s="378"/>
      <c r="GOT56" s="378"/>
      <c r="GOU56" s="378"/>
      <c r="GOV56" s="378"/>
      <c r="GOW56" s="378"/>
      <c r="GOX56" s="378"/>
      <c r="GOY56" s="378"/>
      <c r="GOZ56" s="378"/>
      <c r="GPA56" s="378"/>
      <c r="GPB56" s="378"/>
      <c r="GPC56" s="378"/>
      <c r="GPD56" s="378"/>
      <c r="GPE56" s="378"/>
      <c r="GPF56" s="378"/>
      <c r="GPG56" s="378"/>
      <c r="GPH56" s="378"/>
      <c r="GPI56" s="378"/>
      <c r="GPJ56" s="378"/>
      <c r="GPK56" s="378"/>
      <c r="GPL56" s="378"/>
      <c r="GPM56" s="378"/>
      <c r="GPN56" s="378"/>
      <c r="GPO56" s="378"/>
      <c r="GPP56" s="378"/>
      <c r="GPQ56" s="378"/>
      <c r="GPR56" s="378"/>
      <c r="GPS56" s="378"/>
      <c r="GPT56" s="378"/>
      <c r="GPU56" s="378"/>
      <c r="GPV56" s="378"/>
      <c r="GPW56" s="378"/>
      <c r="GPX56" s="378"/>
      <c r="GPY56" s="378"/>
      <c r="GPZ56" s="378"/>
      <c r="GQA56" s="378"/>
      <c r="GQB56" s="378"/>
      <c r="GQC56" s="378"/>
      <c r="GQD56" s="378"/>
      <c r="GQE56" s="378"/>
      <c r="GQF56" s="378"/>
      <c r="GQG56" s="378"/>
      <c r="GQH56" s="378"/>
      <c r="GQI56" s="378"/>
      <c r="GQJ56" s="378"/>
      <c r="GQK56" s="378"/>
      <c r="GQL56" s="378"/>
      <c r="GQM56" s="378"/>
      <c r="GQN56" s="378"/>
      <c r="GQO56" s="378"/>
      <c r="GQP56" s="378"/>
      <c r="GQQ56" s="378"/>
      <c r="GQR56" s="378"/>
      <c r="GQS56" s="378"/>
      <c r="GQT56" s="378"/>
      <c r="GQU56" s="378"/>
      <c r="GQV56" s="378"/>
      <c r="GQW56" s="378"/>
      <c r="GQX56" s="378"/>
      <c r="GQY56" s="378"/>
      <c r="GQZ56" s="378"/>
      <c r="GRA56" s="378"/>
      <c r="GRB56" s="378"/>
      <c r="GRC56" s="378"/>
      <c r="GRD56" s="378"/>
      <c r="GRE56" s="378"/>
      <c r="GRF56" s="378"/>
      <c r="GRG56" s="378"/>
      <c r="GRH56" s="378"/>
      <c r="GRI56" s="378"/>
      <c r="GRJ56" s="378"/>
      <c r="GRK56" s="378"/>
      <c r="GRL56" s="378"/>
      <c r="GRM56" s="378"/>
      <c r="GRN56" s="378"/>
      <c r="GRO56" s="378"/>
      <c r="GRP56" s="378"/>
      <c r="GRQ56" s="378"/>
      <c r="GRR56" s="378"/>
      <c r="GRS56" s="378"/>
      <c r="GRT56" s="378"/>
      <c r="GRU56" s="378"/>
      <c r="GRV56" s="378"/>
      <c r="GRW56" s="378"/>
      <c r="GRX56" s="378"/>
      <c r="GRY56" s="378"/>
      <c r="GRZ56" s="378"/>
      <c r="GSA56" s="378"/>
      <c r="GSB56" s="378"/>
      <c r="GSC56" s="378"/>
      <c r="GSD56" s="378"/>
      <c r="GSE56" s="378"/>
      <c r="GSF56" s="378"/>
      <c r="GSG56" s="378"/>
      <c r="GSH56" s="378"/>
      <c r="GSI56" s="378"/>
      <c r="GSJ56" s="378"/>
      <c r="GSK56" s="378"/>
      <c r="GSL56" s="378"/>
      <c r="GSM56" s="378"/>
      <c r="GSN56" s="378"/>
      <c r="GSO56" s="378"/>
      <c r="GSP56" s="378"/>
      <c r="GSQ56" s="378"/>
      <c r="GSR56" s="378"/>
      <c r="GSS56" s="378"/>
      <c r="GST56" s="378"/>
      <c r="GSU56" s="378"/>
      <c r="GSV56" s="378"/>
      <c r="GSW56" s="378"/>
      <c r="GSX56" s="378"/>
      <c r="GSY56" s="378"/>
      <c r="GSZ56" s="378"/>
      <c r="GTA56" s="378"/>
      <c r="GTB56" s="378"/>
      <c r="GTC56" s="378"/>
      <c r="GTD56" s="378"/>
      <c r="GTE56" s="378"/>
      <c r="GTF56" s="378"/>
      <c r="GTG56" s="378"/>
      <c r="GTH56" s="378"/>
      <c r="GTI56" s="378"/>
      <c r="GTJ56" s="378"/>
      <c r="GTK56" s="378"/>
      <c r="GTL56" s="378"/>
      <c r="GTM56" s="378"/>
      <c r="GTN56" s="378"/>
      <c r="GTO56" s="378"/>
      <c r="GTP56" s="378"/>
      <c r="GTQ56" s="378"/>
      <c r="GTR56" s="378"/>
      <c r="GTS56" s="378"/>
      <c r="GTT56" s="378"/>
      <c r="GTU56" s="378"/>
      <c r="GTV56" s="378"/>
      <c r="GTW56" s="378"/>
      <c r="GTX56" s="378"/>
      <c r="GTY56" s="378"/>
      <c r="GTZ56" s="378"/>
      <c r="GUA56" s="378"/>
      <c r="GUB56" s="378"/>
      <c r="GUC56" s="378"/>
      <c r="GUD56" s="378"/>
      <c r="GUE56" s="378"/>
      <c r="GUF56" s="378"/>
      <c r="GUG56" s="378"/>
      <c r="GUH56" s="378"/>
      <c r="GUI56" s="378"/>
      <c r="GUJ56" s="378"/>
      <c r="GUK56" s="378"/>
      <c r="GUL56" s="378"/>
      <c r="GUM56" s="378"/>
      <c r="GUN56" s="378"/>
      <c r="GUO56" s="378"/>
      <c r="GUP56" s="378"/>
      <c r="GUQ56" s="378"/>
      <c r="GUR56" s="378"/>
      <c r="GUS56" s="378"/>
      <c r="GUT56" s="378"/>
      <c r="GUU56" s="378"/>
      <c r="GUV56" s="378"/>
      <c r="GUW56" s="378"/>
      <c r="GUX56" s="378"/>
      <c r="GUY56" s="378"/>
      <c r="GUZ56" s="378"/>
      <c r="GVA56" s="378"/>
      <c r="GVB56" s="378"/>
      <c r="GVC56" s="378"/>
      <c r="GVD56" s="378"/>
      <c r="GVE56" s="378"/>
      <c r="GVF56" s="378"/>
      <c r="GVG56" s="378"/>
      <c r="GVH56" s="378"/>
      <c r="GVI56" s="378"/>
      <c r="GVJ56" s="378"/>
      <c r="GVK56" s="378"/>
      <c r="GVL56" s="378"/>
      <c r="GVM56" s="378"/>
      <c r="GVN56" s="378"/>
      <c r="GVO56" s="378"/>
      <c r="GVP56" s="378"/>
      <c r="GVQ56" s="378"/>
      <c r="GVR56" s="378"/>
      <c r="GVS56" s="378"/>
      <c r="GVT56" s="378"/>
      <c r="GVU56" s="378"/>
      <c r="GVV56" s="378"/>
      <c r="GVW56" s="378"/>
      <c r="GVX56" s="378"/>
      <c r="GVY56" s="378"/>
      <c r="GVZ56" s="378"/>
      <c r="GWA56" s="378"/>
      <c r="GWB56" s="378"/>
      <c r="GWC56" s="378"/>
      <c r="GWD56" s="378"/>
      <c r="GWE56" s="378"/>
      <c r="GWF56" s="378"/>
      <c r="GWG56" s="378"/>
      <c r="GWH56" s="378"/>
      <c r="GWI56" s="378"/>
      <c r="GWJ56" s="378"/>
      <c r="GWK56" s="378"/>
      <c r="GWL56" s="378"/>
      <c r="GWM56" s="378"/>
      <c r="GWN56" s="378"/>
      <c r="GWO56" s="378"/>
      <c r="GWP56" s="378"/>
      <c r="GWQ56" s="378"/>
      <c r="GWR56" s="378"/>
      <c r="GWS56" s="378"/>
      <c r="GWT56" s="378"/>
      <c r="GWU56" s="378"/>
      <c r="GWV56" s="378"/>
      <c r="GWW56" s="378"/>
      <c r="GWX56" s="378"/>
      <c r="GWY56" s="378"/>
      <c r="GWZ56" s="378"/>
      <c r="GXA56" s="378"/>
      <c r="GXB56" s="378"/>
      <c r="GXC56" s="378"/>
      <c r="GXD56" s="378"/>
      <c r="GXE56" s="378"/>
      <c r="GXF56" s="378"/>
      <c r="GXG56" s="378"/>
      <c r="GXH56" s="378"/>
      <c r="GXI56" s="378"/>
      <c r="GXJ56" s="378"/>
      <c r="GXK56" s="378"/>
      <c r="GXL56" s="378"/>
      <c r="GXM56" s="378"/>
      <c r="GXN56" s="378"/>
      <c r="GXO56" s="378"/>
      <c r="GXP56" s="378"/>
      <c r="GXQ56" s="378"/>
      <c r="GXR56" s="378"/>
      <c r="GXS56" s="378"/>
      <c r="GXT56" s="378"/>
      <c r="GXU56" s="378"/>
      <c r="GXV56" s="378"/>
      <c r="GXW56" s="378"/>
      <c r="GXX56" s="378"/>
      <c r="GXY56" s="378"/>
      <c r="GXZ56" s="378"/>
      <c r="GYA56" s="378"/>
      <c r="GYB56" s="378"/>
      <c r="GYC56" s="378"/>
      <c r="GYD56" s="378"/>
      <c r="GYE56" s="378"/>
      <c r="GYF56" s="378"/>
      <c r="GYG56" s="378"/>
      <c r="GYH56" s="378"/>
      <c r="GYI56" s="378"/>
      <c r="GYJ56" s="378"/>
      <c r="GYK56" s="378"/>
      <c r="GYL56" s="378"/>
      <c r="GYM56" s="378"/>
      <c r="GYN56" s="378"/>
      <c r="GYO56" s="378"/>
      <c r="GYP56" s="378"/>
      <c r="GYQ56" s="378"/>
      <c r="GYR56" s="378"/>
      <c r="GYS56" s="378"/>
      <c r="GYT56" s="378"/>
      <c r="GYU56" s="378"/>
      <c r="GYV56" s="378"/>
      <c r="GYW56" s="378"/>
      <c r="GYX56" s="378"/>
      <c r="GYY56" s="378"/>
      <c r="GYZ56" s="378"/>
      <c r="GZA56" s="378"/>
      <c r="GZB56" s="378"/>
      <c r="GZC56" s="378"/>
      <c r="GZD56" s="378"/>
      <c r="GZE56" s="378"/>
      <c r="GZF56" s="378"/>
      <c r="GZG56" s="378"/>
      <c r="GZH56" s="378"/>
      <c r="GZI56" s="378"/>
      <c r="GZJ56" s="378"/>
      <c r="GZK56" s="378"/>
      <c r="GZL56" s="378"/>
      <c r="GZM56" s="378"/>
      <c r="GZN56" s="378"/>
      <c r="GZO56" s="378"/>
      <c r="GZP56" s="378"/>
      <c r="GZQ56" s="378"/>
      <c r="GZR56" s="378"/>
      <c r="GZS56" s="378"/>
      <c r="GZT56" s="378"/>
      <c r="GZU56" s="378"/>
      <c r="GZV56" s="378"/>
      <c r="GZW56" s="378"/>
      <c r="GZX56" s="378"/>
      <c r="GZY56" s="378"/>
      <c r="GZZ56" s="378"/>
      <c r="HAA56" s="378"/>
      <c r="HAB56" s="378"/>
      <c r="HAC56" s="378"/>
      <c r="HAD56" s="378"/>
      <c r="HAE56" s="378"/>
      <c r="HAF56" s="378"/>
      <c r="HAG56" s="378"/>
      <c r="HAH56" s="378"/>
      <c r="HAI56" s="378"/>
      <c r="HAJ56" s="378"/>
      <c r="HAK56" s="378"/>
      <c r="HAL56" s="378"/>
      <c r="HAM56" s="378"/>
      <c r="HAN56" s="378"/>
      <c r="HAO56" s="378"/>
      <c r="HAP56" s="378"/>
      <c r="HAQ56" s="378"/>
      <c r="HAR56" s="378"/>
      <c r="HAS56" s="378"/>
      <c r="HAT56" s="378"/>
      <c r="HAU56" s="378"/>
      <c r="HAV56" s="378"/>
      <c r="HAW56" s="378"/>
      <c r="HAX56" s="378"/>
      <c r="HAY56" s="378"/>
      <c r="HAZ56" s="378"/>
      <c r="HBA56" s="378"/>
      <c r="HBB56" s="378"/>
      <c r="HBC56" s="378"/>
      <c r="HBD56" s="378"/>
      <c r="HBE56" s="378"/>
      <c r="HBF56" s="378"/>
      <c r="HBG56" s="378"/>
      <c r="HBH56" s="378"/>
      <c r="HBI56" s="378"/>
      <c r="HBJ56" s="378"/>
      <c r="HBK56" s="378"/>
      <c r="HBL56" s="378"/>
      <c r="HBM56" s="378"/>
      <c r="HBN56" s="378"/>
      <c r="HBO56" s="378"/>
      <c r="HBP56" s="378"/>
      <c r="HBQ56" s="378"/>
      <c r="HBR56" s="378"/>
      <c r="HBS56" s="378"/>
      <c r="HBT56" s="378"/>
      <c r="HBU56" s="378"/>
      <c r="HBV56" s="378"/>
      <c r="HBW56" s="378"/>
      <c r="HBX56" s="378"/>
      <c r="HBY56" s="378"/>
      <c r="HBZ56" s="378"/>
      <c r="HCA56" s="378"/>
      <c r="HCB56" s="378"/>
      <c r="HCC56" s="378"/>
      <c r="HCD56" s="378"/>
      <c r="HCE56" s="378"/>
      <c r="HCF56" s="378"/>
      <c r="HCG56" s="378"/>
      <c r="HCH56" s="378"/>
      <c r="HCI56" s="378"/>
      <c r="HCJ56" s="378"/>
      <c r="HCK56" s="378"/>
      <c r="HCL56" s="378"/>
      <c r="HCM56" s="378"/>
      <c r="HCN56" s="378"/>
      <c r="HCO56" s="378"/>
      <c r="HCP56" s="378"/>
      <c r="HCQ56" s="378"/>
      <c r="HCR56" s="378"/>
      <c r="HCS56" s="378"/>
      <c r="HCT56" s="378"/>
      <c r="HCU56" s="378"/>
      <c r="HCV56" s="378"/>
      <c r="HCW56" s="378"/>
      <c r="HCX56" s="378"/>
      <c r="HCY56" s="378"/>
      <c r="HCZ56" s="378"/>
      <c r="HDA56" s="378"/>
      <c r="HDB56" s="378"/>
      <c r="HDC56" s="378"/>
      <c r="HDD56" s="378"/>
      <c r="HDE56" s="378"/>
      <c r="HDF56" s="378"/>
      <c r="HDG56" s="378"/>
      <c r="HDH56" s="378"/>
      <c r="HDI56" s="378"/>
      <c r="HDJ56" s="378"/>
      <c r="HDK56" s="378"/>
      <c r="HDL56" s="378"/>
      <c r="HDM56" s="378"/>
      <c r="HDN56" s="378"/>
      <c r="HDO56" s="378"/>
      <c r="HDP56" s="378"/>
      <c r="HDQ56" s="378"/>
      <c r="HDR56" s="378"/>
      <c r="HDS56" s="378"/>
      <c r="HDT56" s="378"/>
      <c r="HDU56" s="378"/>
      <c r="HDV56" s="378"/>
      <c r="HDW56" s="378"/>
      <c r="HDX56" s="378"/>
      <c r="HDY56" s="378"/>
      <c r="HDZ56" s="378"/>
      <c r="HEA56" s="378"/>
      <c r="HEB56" s="378"/>
      <c r="HEC56" s="378"/>
      <c r="HED56" s="378"/>
      <c r="HEE56" s="378"/>
      <c r="HEF56" s="378"/>
      <c r="HEG56" s="378"/>
      <c r="HEH56" s="378"/>
      <c r="HEI56" s="378"/>
      <c r="HEJ56" s="378"/>
      <c r="HEK56" s="378"/>
      <c r="HEL56" s="378"/>
      <c r="HEM56" s="378"/>
      <c r="HEN56" s="378"/>
      <c r="HEO56" s="378"/>
      <c r="HEP56" s="378"/>
      <c r="HEQ56" s="378"/>
      <c r="HER56" s="378"/>
      <c r="HES56" s="378"/>
      <c r="HET56" s="378"/>
      <c r="HEU56" s="378"/>
      <c r="HEV56" s="378"/>
      <c r="HEW56" s="378"/>
      <c r="HEX56" s="378"/>
      <c r="HEY56" s="378"/>
      <c r="HEZ56" s="378"/>
      <c r="HFA56" s="378"/>
      <c r="HFB56" s="378"/>
      <c r="HFC56" s="378"/>
      <c r="HFD56" s="378"/>
      <c r="HFE56" s="378"/>
      <c r="HFF56" s="378"/>
      <c r="HFG56" s="378"/>
      <c r="HFH56" s="378"/>
      <c r="HFI56" s="378"/>
      <c r="HFJ56" s="378"/>
      <c r="HFK56" s="378"/>
      <c r="HFL56" s="378"/>
      <c r="HFM56" s="378"/>
      <c r="HFN56" s="378"/>
      <c r="HFO56" s="378"/>
      <c r="HFP56" s="378"/>
      <c r="HFQ56" s="378"/>
      <c r="HFR56" s="378"/>
      <c r="HFS56" s="378"/>
      <c r="HFT56" s="378"/>
      <c r="HFU56" s="378"/>
      <c r="HFV56" s="378"/>
      <c r="HFW56" s="378"/>
      <c r="HFX56" s="378"/>
      <c r="HFY56" s="378"/>
      <c r="HFZ56" s="378"/>
      <c r="HGA56" s="378"/>
      <c r="HGB56" s="378"/>
      <c r="HGC56" s="378"/>
      <c r="HGD56" s="378"/>
      <c r="HGE56" s="378"/>
      <c r="HGF56" s="378"/>
      <c r="HGG56" s="378"/>
      <c r="HGH56" s="378"/>
      <c r="HGI56" s="378"/>
      <c r="HGJ56" s="378"/>
      <c r="HGK56" s="378"/>
      <c r="HGL56" s="378"/>
      <c r="HGM56" s="378"/>
      <c r="HGN56" s="378"/>
      <c r="HGO56" s="378"/>
      <c r="HGP56" s="378"/>
      <c r="HGQ56" s="378"/>
      <c r="HGR56" s="378"/>
      <c r="HGS56" s="378"/>
      <c r="HGT56" s="378"/>
      <c r="HGU56" s="378"/>
      <c r="HGV56" s="378"/>
      <c r="HGW56" s="378"/>
      <c r="HGX56" s="378"/>
      <c r="HGY56" s="378"/>
      <c r="HGZ56" s="378"/>
      <c r="HHA56" s="378"/>
      <c r="HHB56" s="378"/>
      <c r="HHC56" s="378"/>
      <c r="HHD56" s="378"/>
      <c r="HHE56" s="378"/>
      <c r="HHF56" s="378"/>
      <c r="HHG56" s="378"/>
      <c r="HHH56" s="378"/>
      <c r="HHI56" s="378"/>
      <c r="HHJ56" s="378"/>
      <c r="HHK56" s="378"/>
      <c r="HHL56" s="378"/>
      <c r="HHM56" s="378"/>
      <c r="HHN56" s="378"/>
      <c r="HHO56" s="378"/>
      <c r="HHP56" s="378"/>
      <c r="HHQ56" s="378"/>
      <c r="HHR56" s="378"/>
      <c r="HHS56" s="378"/>
      <c r="HHT56" s="378"/>
      <c r="HHU56" s="378"/>
      <c r="HHV56" s="378"/>
      <c r="HHW56" s="378"/>
      <c r="HHX56" s="378"/>
      <c r="HHY56" s="378"/>
      <c r="HHZ56" s="378"/>
      <c r="HIA56" s="378"/>
      <c r="HIB56" s="378"/>
      <c r="HIC56" s="378"/>
      <c r="HID56" s="378"/>
      <c r="HIE56" s="378"/>
      <c r="HIF56" s="378"/>
      <c r="HIG56" s="378"/>
      <c r="HIH56" s="378"/>
      <c r="HII56" s="378"/>
      <c r="HIJ56" s="378"/>
      <c r="HIK56" s="378"/>
      <c r="HIL56" s="378"/>
      <c r="HIM56" s="378"/>
      <c r="HIN56" s="378"/>
      <c r="HIO56" s="378"/>
      <c r="HIP56" s="378"/>
      <c r="HIQ56" s="378"/>
      <c r="HIR56" s="378"/>
      <c r="HIS56" s="378"/>
      <c r="HIT56" s="378"/>
      <c r="HIU56" s="378"/>
      <c r="HIV56" s="378"/>
      <c r="HIW56" s="378"/>
      <c r="HIX56" s="378"/>
      <c r="HIY56" s="378"/>
      <c r="HIZ56" s="378"/>
      <c r="HJA56" s="378"/>
      <c r="HJB56" s="378"/>
      <c r="HJC56" s="378"/>
      <c r="HJD56" s="378"/>
      <c r="HJE56" s="378"/>
      <c r="HJF56" s="378"/>
      <c r="HJG56" s="378"/>
      <c r="HJH56" s="378"/>
      <c r="HJI56" s="378"/>
      <c r="HJJ56" s="378"/>
      <c r="HJK56" s="378"/>
      <c r="HJL56" s="378"/>
      <c r="HJM56" s="378"/>
      <c r="HJN56" s="378"/>
      <c r="HJO56" s="378"/>
      <c r="HJP56" s="378"/>
      <c r="HJQ56" s="378"/>
      <c r="HJR56" s="378"/>
      <c r="HJS56" s="378"/>
      <c r="HJT56" s="378"/>
      <c r="HJU56" s="378"/>
      <c r="HJV56" s="378"/>
      <c r="HJW56" s="378"/>
      <c r="HJX56" s="378"/>
      <c r="HJY56" s="378"/>
      <c r="HJZ56" s="378"/>
      <c r="HKA56" s="378"/>
      <c r="HKB56" s="378"/>
      <c r="HKC56" s="378"/>
      <c r="HKD56" s="378"/>
      <c r="HKE56" s="378"/>
      <c r="HKF56" s="378"/>
      <c r="HKG56" s="378"/>
      <c r="HKH56" s="378"/>
      <c r="HKI56" s="378"/>
      <c r="HKJ56" s="378"/>
      <c r="HKK56" s="378"/>
      <c r="HKL56" s="378"/>
      <c r="HKM56" s="378"/>
      <c r="HKN56" s="378"/>
      <c r="HKO56" s="378"/>
      <c r="HKP56" s="378"/>
      <c r="HKQ56" s="378"/>
      <c r="HKR56" s="378"/>
      <c r="HKS56" s="378"/>
      <c r="HKT56" s="378"/>
      <c r="HKU56" s="378"/>
      <c r="HKV56" s="378"/>
      <c r="HKW56" s="378"/>
      <c r="HKX56" s="378"/>
      <c r="HKY56" s="378"/>
      <c r="HKZ56" s="378"/>
      <c r="HLA56" s="378"/>
      <c r="HLB56" s="378"/>
      <c r="HLC56" s="378"/>
      <c r="HLD56" s="378"/>
      <c r="HLE56" s="378"/>
      <c r="HLF56" s="378"/>
      <c r="HLG56" s="378"/>
      <c r="HLH56" s="378"/>
      <c r="HLI56" s="378"/>
      <c r="HLJ56" s="378"/>
      <c r="HLK56" s="378"/>
      <c r="HLL56" s="378"/>
      <c r="HLM56" s="378"/>
      <c r="HLN56" s="378"/>
      <c r="HLO56" s="378"/>
      <c r="HLP56" s="378"/>
      <c r="HLQ56" s="378"/>
      <c r="HLR56" s="378"/>
      <c r="HLS56" s="378"/>
      <c r="HLT56" s="378"/>
      <c r="HLU56" s="378"/>
      <c r="HLV56" s="378"/>
      <c r="HLW56" s="378"/>
      <c r="HLX56" s="378"/>
      <c r="HLY56" s="378"/>
      <c r="HLZ56" s="378"/>
      <c r="HMA56" s="378"/>
      <c r="HMB56" s="378"/>
      <c r="HMC56" s="378"/>
      <c r="HMD56" s="378"/>
      <c r="HME56" s="378"/>
      <c r="HMF56" s="378"/>
      <c r="HMG56" s="378"/>
      <c r="HMH56" s="378"/>
      <c r="HMI56" s="378"/>
      <c r="HMJ56" s="378"/>
      <c r="HMK56" s="378"/>
      <c r="HML56" s="378"/>
      <c r="HMM56" s="378"/>
      <c r="HMN56" s="378"/>
      <c r="HMO56" s="378"/>
      <c r="HMP56" s="378"/>
      <c r="HMQ56" s="378"/>
      <c r="HMR56" s="378"/>
      <c r="HMS56" s="378"/>
      <c r="HMT56" s="378"/>
      <c r="HMU56" s="378"/>
      <c r="HMV56" s="378"/>
      <c r="HMW56" s="378"/>
      <c r="HMX56" s="378"/>
      <c r="HMY56" s="378"/>
      <c r="HMZ56" s="378"/>
      <c r="HNA56" s="378"/>
      <c r="HNB56" s="378"/>
      <c r="HNC56" s="378"/>
      <c r="HND56" s="378"/>
      <c r="HNE56" s="378"/>
      <c r="HNF56" s="378"/>
      <c r="HNG56" s="378"/>
      <c r="HNH56" s="378"/>
      <c r="HNI56" s="378"/>
      <c r="HNJ56" s="378"/>
      <c r="HNK56" s="378"/>
      <c r="HNL56" s="378"/>
      <c r="HNM56" s="378"/>
      <c r="HNN56" s="378"/>
      <c r="HNO56" s="378"/>
      <c r="HNP56" s="378"/>
      <c r="HNQ56" s="378"/>
      <c r="HNR56" s="378"/>
      <c r="HNS56" s="378"/>
      <c r="HNT56" s="378"/>
      <c r="HNU56" s="378"/>
      <c r="HNV56" s="378"/>
      <c r="HNW56" s="378"/>
      <c r="HNX56" s="378"/>
      <c r="HNY56" s="378"/>
      <c r="HNZ56" s="378"/>
      <c r="HOA56" s="378"/>
      <c r="HOB56" s="378"/>
      <c r="HOC56" s="378"/>
      <c r="HOD56" s="378"/>
      <c r="HOE56" s="378"/>
      <c r="HOF56" s="378"/>
      <c r="HOG56" s="378"/>
      <c r="HOH56" s="378"/>
      <c r="HOI56" s="378"/>
      <c r="HOJ56" s="378"/>
      <c r="HOK56" s="378"/>
      <c r="HOL56" s="378"/>
      <c r="HOM56" s="378"/>
      <c r="HON56" s="378"/>
      <c r="HOO56" s="378"/>
      <c r="HOP56" s="378"/>
      <c r="HOQ56" s="378"/>
      <c r="HOR56" s="378"/>
      <c r="HOS56" s="378"/>
      <c r="HOT56" s="378"/>
      <c r="HOU56" s="378"/>
      <c r="HOV56" s="378"/>
      <c r="HOW56" s="378"/>
      <c r="HOX56" s="378"/>
      <c r="HOY56" s="378"/>
      <c r="HOZ56" s="378"/>
      <c r="HPA56" s="378"/>
      <c r="HPB56" s="378"/>
      <c r="HPC56" s="378"/>
      <c r="HPD56" s="378"/>
      <c r="HPE56" s="378"/>
      <c r="HPF56" s="378"/>
      <c r="HPG56" s="378"/>
      <c r="HPH56" s="378"/>
      <c r="HPI56" s="378"/>
      <c r="HPJ56" s="378"/>
      <c r="HPK56" s="378"/>
      <c r="HPL56" s="378"/>
      <c r="HPM56" s="378"/>
      <c r="HPN56" s="378"/>
      <c r="HPO56" s="378"/>
      <c r="HPP56" s="378"/>
      <c r="HPQ56" s="378"/>
      <c r="HPR56" s="378"/>
      <c r="HPS56" s="378"/>
      <c r="HPT56" s="378"/>
      <c r="HPU56" s="378"/>
      <c r="HPV56" s="378"/>
      <c r="HPW56" s="378"/>
      <c r="HPX56" s="378"/>
      <c r="HPY56" s="378"/>
      <c r="HPZ56" s="378"/>
      <c r="HQA56" s="378"/>
      <c r="HQB56" s="378"/>
      <c r="HQC56" s="378"/>
      <c r="HQD56" s="378"/>
      <c r="HQE56" s="378"/>
      <c r="HQF56" s="378"/>
      <c r="HQG56" s="378"/>
      <c r="HQH56" s="378"/>
      <c r="HQI56" s="378"/>
      <c r="HQJ56" s="378"/>
      <c r="HQK56" s="378"/>
      <c r="HQL56" s="378"/>
      <c r="HQM56" s="378"/>
      <c r="HQN56" s="378"/>
      <c r="HQO56" s="378"/>
      <c r="HQP56" s="378"/>
      <c r="HQQ56" s="378"/>
      <c r="HQR56" s="378"/>
      <c r="HQS56" s="378"/>
      <c r="HQT56" s="378"/>
      <c r="HQU56" s="378"/>
      <c r="HQV56" s="378"/>
      <c r="HQW56" s="378"/>
      <c r="HQX56" s="378"/>
      <c r="HQY56" s="378"/>
      <c r="HQZ56" s="378"/>
      <c r="HRA56" s="378"/>
      <c r="HRB56" s="378"/>
      <c r="HRC56" s="378"/>
      <c r="HRD56" s="378"/>
      <c r="HRE56" s="378"/>
      <c r="HRF56" s="378"/>
      <c r="HRG56" s="378"/>
      <c r="HRH56" s="378"/>
      <c r="HRI56" s="378"/>
      <c r="HRJ56" s="378"/>
      <c r="HRK56" s="378"/>
      <c r="HRL56" s="378"/>
      <c r="HRM56" s="378"/>
      <c r="HRN56" s="378"/>
      <c r="HRO56" s="378"/>
      <c r="HRP56" s="378"/>
      <c r="HRQ56" s="378"/>
      <c r="HRR56" s="378"/>
      <c r="HRS56" s="378"/>
      <c r="HRT56" s="378"/>
      <c r="HRU56" s="378"/>
      <c r="HRV56" s="378"/>
      <c r="HRW56" s="378"/>
      <c r="HRX56" s="378"/>
      <c r="HRY56" s="378"/>
      <c r="HRZ56" s="378"/>
      <c r="HSA56" s="378"/>
      <c r="HSB56" s="378"/>
      <c r="HSC56" s="378"/>
      <c r="HSD56" s="378"/>
      <c r="HSE56" s="378"/>
      <c r="HSF56" s="378"/>
      <c r="HSG56" s="378"/>
      <c r="HSH56" s="378"/>
      <c r="HSI56" s="378"/>
      <c r="HSJ56" s="378"/>
      <c r="HSK56" s="378"/>
      <c r="HSL56" s="378"/>
      <c r="HSM56" s="378"/>
      <c r="HSN56" s="378"/>
      <c r="HSO56" s="378"/>
      <c r="HSP56" s="378"/>
      <c r="HSQ56" s="378"/>
      <c r="HSR56" s="378"/>
      <c r="HSS56" s="378"/>
      <c r="HST56" s="378"/>
      <c r="HSU56" s="378"/>
      <c r="HSV56" s="378"/>
      <c r="HSW56" s="378"/>
      <c r="HSX56" s="378"/>
      <c r="HSY56" s="378"/>
      <c r="HSZ56" s="378"/>
      <c r="HTA56" s="378"/>
      <c r="HTB56" s="378"/>
      <c r="HTC56" s="378"/>
      <c r="HTD56" s="378"/>
      <c r="HTE56" s="378"/>
      <c r="HTF56" s="378"/>
      <c r="HTG56" s="378"/>
      <c r="HTH56" s="378"/>
      <c r="HTI56" s="378"/>
      <c r="HTJ56" s="378"/>
      <c r="HTK56" s="378"/>
      <c r="HTL56" s="378"/>
      <c r="HTM56" s="378"/>
      <c r="HTN56" s="378"/>
      <c r="HTO56" s="378"/>
      <c r="HTP56" s="378"/>
      <c r="HTQ56" s="378"/>
      <c r="HTR56" s="378"/>
      <c r="HTS56" s="378"/>
      <c r="HTT56" s="378"/>
      <c r="HTU56" s="378"/>
      <c r="HTV56" s="378"/>
      <c r="HTW56" s="378"/>
      <c r="HTX56" s="378"/>
      <c r="HTY56" s="378"/>
      <c r="HTZ56" s="378"/>
      <c r="HUA56" s="378"/>
      <c r="HUB56" s="378"/>
      <c r="HUC56" s="378"/>
      <c r="HUD56" s="378"/>
      <c r="HUE56" s="378"/>
      <c r="HUF56" s="378"/>
      <c r="HUG56" s="378"/>
      <c r="HUH56" s="378"/>
      <c r="HUI56" s="378"/>
      <c r="HUJ56" s="378"/>
      <c r="HUK56" s="378"/>
      <c r="HUL56" s="378"/>
      <c r="HUM56" s="378"/>
      <c r="HUN56" s="378"/>
      <c r="HUO56" s="378"/>
      <c r="HUP56" s="378"/>
      <c r="HUQ56" s="378"/>
      <c r="HUR56" s="378"/>
      <c r="HUS56" s="378"/>
      <c r="HUT56" s="378"/>
      <c r="HUU56" s="378"/>
      <c r="HUV56" s="378"/>
      <c r="HUW56" s="378"/>
      <c r="HUX56" s="378"/>
      <c r="HUY56" s="378"/>
      <c r="HUZ56" s="378"/>
      <c r="HVA56" s="378"/>
      <c r="HVB56" s="378"/>
      <c r="HVC56" s="378"/>
      <c r="HVD56" s="378"/>
      <c r="HVE56" s="378"/>
      <c r="HVF56" s="378"/>
      <c r="HVG56" s="378"/>
      <c r="HVH56" s="378"/>
      <c r="HVI56" s="378"/>
      <c r="HVJ56" s="378"/>
      <c r="HVK56" s="378"/>
      <c r="HVL56" s="378"/>
      <c r="HVM56" s="378"/>
      <c r="HVN56" s="378"/>
      <c r="HVO56" s="378"/>
      <c r="HVP56" s="378"/>
      <c r="HVQ56" s="378"/>
      <c r="HVR56" s="378"/>
      <c r="HVS56" s="378"/>
      <c r="HVT56" s="378"/>
      <c r="HVU56" s="378"/>
      <c r="HVV56" s="378"/>
      <c r="HVW56" s="378"/>
      <c r="HVX56" s="378"/>
      <c r="HVY56" s="378"/>
      <c r="HVZ56" s="378"/>
      <c r="HWA56" s="378"/>
      <c r="HWB56" s="378"/>
      <c r="HWC56" s="378"/>
      <c r="HWD56" s="378"/>
      <c r="HWE56" s="378"/>
      <c r="HWF56" s="378"/>
      <c r="HWG56" s="378"/>
      <c r="HWH56" s="378"/>
      <c r="HWI56" s="378"/>
      <c r="HWJ56" s="378"/>
      <c r="HWK56" s="378"/>
      <c r="HWL56" s="378"/>
      <c r="HWM56" s="378"/>
      <c r="HWN56" s="378"/>
      <c r="HWO56" s="378"/>
      <c r="HWP56" s="378"/>
      <c r="HWQ56" s="378"/>
      <c r="HWR56" s="378"/>
      <c r="HWS56" s="378"/>
      <c r="HWT56" s="378"/>
      <c r="HWU56" s="378"/>
      <c r="HWV56" s="378"/>
      <c r="HWW56" s="378"/>
      <c r="HWX56" s="378"/>
      <c r="HWY56" s="378"/>
      <c r="HWZ56" s="378"/>
      <c r="HXA56" s="378"/>
      <c r="HXB56" s="378"/>
      <c r="HXC56" s="378"/>
      <c r="HXD56" s="378"/>
      <c r="HXE56" s="378"/>
      <c r="HXF56" s="378"/>
      <c r="HXG56" s="378"/>
      <c r="HXH56" s="378"/>
      <c r="HXI56" s="378"/>
      <c r="HXJ56" s="378"/>
      <c r="HXK56" s="378"/>
      <c r="HXL56" s="378"/>
      <c r="HXM56" s="378"/>
      <c r="HXN56" s="378"/>
      <c r="HXO56" s="378"/>
      <c r="HXP56" s="378"/>
      <c r="HXQ56" s="378"/>
      <c r="HXR56" s="378"/>
      <c r="HXS56" s="378"/>
      <c r="HXT56" s="378"/>
      <c r="HXU56" s="378"/>
      <c r="HXV56" s="378"/>
      <c r="HXW56" s="378"/>
      <c r="HXX56" s="378"/>
      <c r="HXY56" s="378"/>
      <c r="HXZ56" s="378"/>
      <c r="HYA56" s="378"/>
      <c r="HYB56" s="378"/>
      <c r="HYC56" s="378"/>
      <c r="HYD56" s="378"/>
      <c r="HYE56" s="378"/>
      <c r="HYF56" s="378"/>
      <c r="HYG56" s="378"/>
      <c r="HYH56" s="378"/>
      <c r="HYI56" s="378"/>
      <c r="HYJ56" s="378"/>
      <c r="HYK56" s="378"/>
      <c r="HYL56" s="378"/>
      <c r="HYM56" s="378"/>
      <c r="HYN56" s="378"/>
      <c r="HYO56" s="378"/>
      <c r="HYP56" s="378"/>
      <c r="HYQ56" s="378"/>
      <c r="HYR56" s="378"/>
      <c r="HYS56" s="378"/>
      <c r="HYT56" s="378"/>
      <c r="HYU56" s="378"/>
      <c r="HYV56" s="378"/>
      <c r="HYW56" s="378"/>
      <c r="HYX56" s="378"/>
      <c r="HYY56" s="378"/>
      <c r="HYZ56" s="378"/>
      <c r="HZA56" s="378"/>
      <c r="HZB56" s="378"/>
      <c r="HZC56" s="378"/>
      <c r="HZD56" s="378"/>
      <c r="HZE56" s="378"/>
      <c r="HZF56" s="378"/>
      <c r="HZG56" s="378"/>
      <c r="HZH56" s="378"/>
      <c r="HZI56" s="378"/>
      <c r="HZJ56" s="378"/>
      <c r="HZK56" s="378"/>
      <c r="HZL56" s="378"/>
      <c r="HZM56" s="378"/>
      <c r="HZN56" s="378"/>
      <c r="HZO56" s="378"/>
      <c r="HZP56" s="378"/>
      <c r="HZQ56" s="378"/>
      <c r="HZR56" s="378"/>
      <c r="HZS56" s="378"/>
      <c r="HZT56" s="378"/>
      <c r="HZU56" s="378"/>
      <c r="HZV56" s="378"/>
      <c r="HZW56" s="378"/>
      <c r="HZX56" s="378"/>
      <c r="HZY56" s="378"/>
      <c r="HZZ56" s="378"/>
      <c r="IAA56" s="378"/>
      <c r="IAB56" s="378"/>
      <c r="IAC56" s="378"/>
      <c r="IAD56" s="378"/>
      <c r="IAE56" s="378"/>
      <c r="IAF56" s="378"/>
      <c r="IAG56" s="378"/>
      <c r="IAH56" s="378"/>
      <c r="IAI56" s="378"/>
      <c r="IAJ56" s="378"/>
      <c r="IAK56" s="378"/>
      <c r="IAL56" s="378"/>
      <c r="IAM56" s="378"/>
      <c r="IAN56" s="378"/>
      <c r="IAO56" s="378"/>
      <c r="IAP56" s="378"/>
      <c r="IAQ56" s="378"/>
      <c r="IAR56" s="378"/>
      <c r="IAS56" s="378"/>
      <c r="IAT56" s="378"/>
      <c r="IAU56" s="378"/>
      <c r="IAV56" s="378"/>
      <c r="IAW56" s="378"/>
      <c r="IAX56" s="378"/>
      <c r="IAY56" s="378"/>
      <c r="IAZ56" s="378"/>
      <c r="IBA56" s="378"/>
      <c r="IBB56" s="378"/>
      <c r="IBC56" s="378"/>
      <c r="IBD56" s="378"/>
      <c r="IBE56" s="378"/>
      <c r="IBF56" s="378"/>
      <c r="IBG56" s="378"/>
      <c r="IBH56" s="378"/>
      <c r="IBI56" s="378"/>
      <c r="IBJ56" s="378"/>
      <c r="IBK56" s="378"/>
      <c r="IBL56" s="378"/>
      <c r="IBM56" s="378"/>
      <c r="IBN56" s="378"/>
      <c r="IBO56" s="378"/>
      <c r="IBP56" s="378"/>
      <c r="IBQ56" s="378"/>
      <c r="IBR56" s="378"/>
      <c r="IBS56" s="378"/>
      <c r="IBT56" s="378"/>
      <c r="IBU56" s="378"/>
      <c r="IBV56" s="378"/>
      <c r="IBW56" s="378"/>
      <c r="IBX56" s="378"/>
      <c r="IBY56" s="378"/>
      <c r="IBZ56" s="378"/>
      <c r="ICA56" s="378"/>
      <c r="ICB56" s="378"/>
      <c r="ICC56" s="378"/>
      <c r="ICD56" s="378"/>
      <c r="ICE56" s="378"/>
      <c r="ICF56" s="378"/>
      <c r="ICG56" s="378"/>
      <c r="ICH56" s="378"/>
      <c r="ICI56" s="378"/>
      <c r="ICJ56" s="378"/>
      <c r="ICK56" s="378"/>
      <c r="ICL56" s="378"/>
      <c r="ICM56" s="378"/>
      <c r="ICN56" s="378"/>
      <c r="ICO56" s="378"/>
      <c r="ICP56" s="378"/>
      <c r="ICQ56" s="378"/>
      <c r="ICR56" s="378"/>
      <c r="ICS56" s="378"/>
      <c r="ICT56" s="378"/>
      <c r="ICU56" s="378"/>
      <c r="ICV56" s="378"/>
      <c r="ICW56" s="378"/>
      <c r="ICX56" s="378"/>
      <c r="ICY56" s="378"/>
      <c r="ICZ56" s="378"/>
      <c r="IDA56" s="378"/>
      <c r="IDB56" s="378"/>
      <c r="IDC56" s="378"/>
      <c r="IDD56" s="378"/>
      <c r="IDE56" s="378"/>
      <c r="IDF56" s="378"/>
      <c r="IDG56" s="378"/>
      <c r="IDH56" s="378"/>
      <c r="IDI56" s="378"/>
      <c r="IDJ56" s="378"/>
      <c r="IDK56" s="378"/>
      <c r="IDL56" s="378"/>
      <c r="IDM56" s="378"/>
      <c r="IDN56" s="378"/>
      <c r="IDO56" s="378"/>
      <c r="IDP56" s="378"/>
      <c r="IDQ56" s="378"/>
      <c r="IDR56" s="378"/>
      <c r="IDS56" s="378"/>
      <c r="IDT56" s="378"/>
      <c r="IDU56" s="378"/>
      <c r="IDV56" s="378"/>
      <c r="IDW56" s="378"/>
      <c r="IDX56" s="378"/>
      <c r="IDY56" s="378"/>
      <c r="IDZ56" s="378"/>
      <c r="IEA56" s="378"/>
      <c r="IEB56" s="378"/>
      <c r="IEC56" s="378"/>
      <c r="IED56" s="378"/>
      <c r="IEE56" s="378"/>
      <c r="IEF56" s="378"/>
      <c r="IEG56" s="378"/>
      <c r="IEH56" s="378"/>
      <c r="IEI56" s="378"/>
      <c r="IEJ56" s="378"/>
      <c r="IEK56" s="378"/>
      <c r="IEL56" s="378"/>
      <c r="IEM56" s="378"/>
      <c r="IEN56" s="378"/>
      <c r="IEO56" s="378"/>
      <c r="IEP56" s="378"/>
      <c r="IEQ56" s="378"/>
      <c r="IER56" s="378"/>
      <c r="IES56" s="378"/>
      <c r="IET56" s="378"/>
      <c r="IEU56" s="378"/>
      <c r="IEV56" s="378"/>
      <c r="IEW56" s="378"/>
      <c r="IEX56" s="378"/>
      <c r="IEY56" s="378"/>
      <c r="IEZ56" s="378"/>
      <c r="IFA56" s="378"/>
      <c r="IFB56" s="378"/>
      <c r="IFC56" s="378"/>
      <c r="IFD56" s="378"/>
      <c r="IFE56" s="378"/>
      <c r="IFF56" s="378"/>
      <c r="IFG56" s="378"/>
      <c r="IFH56" s="378"/>
      <c r="IFI56" s="378"/>
      <c r="IFJ56" s="378"/>
      <c r="IFK56" s="378"/>
      <c r="IFL56" s="378"/>
      <c r="IFM56" s="378"/>
      <c r="IFN56" s="378"/>
      <c r="IFO56" s="378"/>
      <c r="IFP56" s="378"/>
      <c r="IFQ56" s="378"/>
      <c r="IFR56" s="378"/>
      <c r="IFS56" s="378"/>
      <c r="IFT56" s="378"/>
      <c r="IFU56" s="378"/>
      <c r="IFV56" s="378"/>
      <c r="IFW56" s="378"/>
      <c r="IFX56" s="378"/>
      <c r="IFY56" s="378"/>
      <c r="IFZ56" s="378"/>
      <c r="IGA56" s="378"/>
      <c r="IGB56" s="378"/>
      <c r="IGC56" s="378"/>
      <c r="IGD56" s="378"/>
      <c r="IGE56" s="378"/>
      <c r="IGF56" s="378"/>
      <c r="IGG56" s="378"/>
      <c r="IGH56" s="378"/>
      <c r="IGI56" s="378"/>
      <c r="IGJ56" s="378"/>
      <c r="IGK56" s="378"/>
      <c r="IGL56" s="378"/>
      <c r="IGM56" s="378"/>
      <c r="IGN56" s="378"/>
      <c r="IGO56" s="378"/>
      <c r="IGP56" s="378"/>
      <c r="IGQ56" s="378"/>
      <c r="IGR56" s="378"/>
      <c r="IGS56" s="378"/>
      <c r="IGT56" s="378"/>
      <c r="IGU56" s="378"/>
      <c r="IGV56" s="378"/>
      <c r="IGW56" s="378"/>
      <c r="IGX56" s="378"/>
      <c r="IGY56" s="378"/>
      <c r="IGZ56" s="378"/>
      <c r="IHA56" s="378"/>
      <c r="IHB56" s="378"/>
      <c r="IHC56" s="378"/>
      <c r="IHD56" s="378"/>
      <c r="IHE56" s="378"/>
      <c r="IHF56" s="378"/>
      <c r="IHG56" s="378"/>
      <c r="IHH56" s="378"/>
      <c r="IHI56" s="378"/>
      <c r="IHJ56" s="378"/>
      <c r="IHK56" s="378"/>
      <c r="IHL56" s="378"/>
      <c r="IHM56" s="378"/>
      <c r="IHN56" s="378"/>
      <c r="IHO56" s="378"/>
      <c r="IHP56" s="378"/>
      <c r="IHQ56" s="378"/>
      <c r="IHR56" s="378"/>
      <c r="IHS56" s="378"/>
      <c r="IHT56" s="378"/>
      <c r="IHU56" s="378"/>
      <c r="IHV56" s="378"/>
      <c r="IHW56" s="378"/>
      <c r="IHX56" s="378"/>
      <c r="IHY56" s="378"/>
      <c r="IHZ56" s="378"/>
      <c r="IIA56" s="378"/>
      <c r="IIB56" s="378"/>
      <c r="IIC56" s="378"/>
      <c r="IID56" s="378"/>
      <c r="IIE56" s="378"/>
      <c r="IIF56" s="378"/>
      <c r="IIG56" s="378"/>
      <c r="IIH56" s="378"/>
      <c r="III56" s="378"/>
      <c r="IIJ56" s="378"/>
      <c r="IIK56" s="378"/>
      <c r="IIL56" s="378"/>
      <c r="IIM56" s="378"/>
      <c r="IIN56" s="378"/>
      <c r="IIO56" s="378"/>
      <c r="IIP56" s="378"/>
      <c r="IIQ56" s="378"/>
      <c r="IIR56" s="378"/>
      <c r="IIS56" s="378"/>
      <c r="IIT56" s="378"/>
      <c r="IIU56" s="378"/>
      <c r="IIV56" s="378"/>
      <c r="IIW56" s="378"/>
      <c r="IIX56" s="378"/>
      <c r="IIY56" s="378"/>
      <c r="IIZ56" s="378"/>
      <c r="IJA56" s="378"/>
      <c r="IJB56" s="378"/>
      <c r="IJC56" s="378"/>
      <c r="IJD56" s="378"/>
      <c r="IJE56" s="378"/>
      <c r="IJF56" s="378"/>
      <c r="IJG56" s="378"/>
      <c r="IJH56" s="378"/>
      <c r="IJI56" s="378"/>
      <c r="IJJ56" s="378"/>
      <c r="IJK56" s="378"/>
      <c r="IJL56" s="378"/>
      <c r="IJM56" s="378"/>
      <c r="IJN56" s="378"/>
      <c r="IJO56" s="378"/>
      <c r="IJP56" s="378"/>
      <c r="IJQ56" s="378"/>
      <c r="IJR56" s="378"/>
      <c r="IJS56" s="378"/>
      <c r="IJT56" s="378"/>
      <c r="IJU56" s="378"/>
      <c r="IJV56" s="378"/>
      <c r="IJW56" s="378"/>
      <c r="IJX56" s="378"/>
      <c r="IJY56" s="378"/>
      <c r="IJZ56" s="378"/>
      <c r="IKA56" s="378"/>
      <c r="IKB56" s="378"/>
      <c r="IKC56" s="378"/>
      <c r="IKD56" s="378"/>
      <c r="IKE56" s="378"/>
      <c r="IKF56" s="378"/>
      <c r="IKG56" s="378"/>
      <c r="IKH56" s="378"/>
      <c r="IKI56" s="378"/>
      <c r="IKJ56" s="378"/>
      <c r="IKK56" s="378"/>
      <c r="IKL56" s="378"/>
      <c r="IKM56" s="378"/>
      <c r="IKN56" s="378"/>
      <c r="IKO56" s="378"/>
      <c r="IKP56" s="378"/>
      <c r="IKQ56" s="378"/>
      <c r="IKR56" s="378"/>
      <c r="IKS56" s="378"/>
      <c r="IKT56" s="378"/>
      <c r="IKU56" s="378"/>
      <c r="IKV56" s="378"/>
      <c r="IKW56" s="378"/>
      <c r="IKX56" s="378"/>
      <c r="IKY56" s="378"/>
      <c r="IKZ56" s="378"/>
      <c r="ILA56" s="378"/>
      <c r="ILB56" s="378"/>
      <c r="ILC56" s="378"/>
      <c r="ILD56" s="378"/>
      <c r="ILE56" s="378"/>
      <c r="ILF56" s="378"/>
      <c r="ILG56" s="378"/>
      <c r="ILH56" s="378"/>
      <c r="ILI56" s="378"/>
      <c r="ILJ56" s="378"/>
      <c r="ILK56" s="378"/>
      <c r="ILL56" s="378"/>
      <c r="ILM56" s="378"/>
      <c r="ILN56" s="378"/>
      <c r="ILO56" s="378"/>
      <c r="ILP56" s="378"/>
      <c r="ILQ56" s="378"/>
      <c r="ILR56" s="378"/>
      <c r="ILS56" s="378"/>
      <c r="ILT56" s="378"/>
      <c r="ILU56" s="378"/>
      <c r="ILV56" s="378"/>
      <c r="ILW56" s="378"/>
      <c r="ILX56" s="378"/>
      <c r="ILY56" s="378"/>
      <c r="ILZ56" s="378"/>
      <c r="IMA56" s="378"/>
      <c r="IMB56" s="378"/>
      <c r="IMC56" s="378"/>
      <c r="IMD56" s="378"/>
      <c r="IME56" s="378"/>
      <c r="IMF56" s="378"/>
      <c r="IMG56" s="378"/>
      <c r="IMH56" s="378"/>
      <c r="IMI56" s="378"/>
      <c r="IMJ56" s="378"/>
      <c r="IMK56" s="378"/>
      <c r="IML56" s="378"/>
      <c r="IMM56" s="378"/>
      <c r="IMN56" s="378"/>
      <c r="IMO56" s="378"/>
      <c r="IMP56" s="378"/>
      <c r="IMQ56" s="378"/>
      <c r="IMR56" s="378"/>
      <c r="IMS56" s="378"/>
      <c r="IMT56" s="378"/>
      <c r="IMU56" s="378"/>
      <c r="IMV56" s="378"/>
      <c r="IMW56" s="378"/>
      <c r="IMX56" s="378"/>
      <c r="IMY56" s="378"/>
      <c r="IMZ56" s="378"/>
      <c r="INA56" s="378"/>
      <c r="INB56" s="378"/>
      <c r="INC56" s="378"/>
      <c r="IND56" s="378"/>
      <c r="INE56" s="378"/>
      <c r="INF56" s="378"/>
      <c r="ING56" s="378"/>
      <c r="INH56" s="378"/>
      <c r="INI56" s="378"/>
      <c r="INJ56" s="378"/>
      <c r="INK56" s="378"/>
      <c r="INL56" s="378"/>
      <c r="INM56" s="378"/>
      <c r="INN56" s="378"/>
      <c r="INO56" s="378"/>
      <c r="INP56" s="378"/>
      <c r="INQ56" s="378"/>
      <c r="INR56" s="378"/>
      <c r="INS56" s="378"/>
      <c r="INT56" s="378"/>
      <c r="INU56" s="378"/>
      <c r="INV56" s="378"/>
      <c r="INW56" s="378"/>
      <c r="INX56" s="378"/>
      <c r="INY56" s="378"/>
      <c r="INZ56" s="378"/>
      <c r="IOA56" s="378"/>
      <c r="IOB56" s="378"/>
      <c r="IOC56" s="378"/>
      <c r="IOD56" s="378"/>
      <c r="IOE56" s="378"/>
      <c r="IOF56" s="378"/>
      <c r="IOG56" s="378"/>
      <c r="IOH56" s="378"/>
      <c r="IOI56" s="378"/>
      <c r="IOJ56" s="378"/>
      <c r="IOK56" s="378"/>
      <c r="IOL56" s="378"/>
      <c r="IOM56" s="378"/>
      <c r="ION56" s="378"/>
      <c r="IOO56" s="378"/>
      <c r="IOP56" s="378"/>
      <c r="IOQ56" s="378"/>
      <c r="IOR56" s="378"/>
      <c r="IOS56" s="378"/>
      <c r="IOT56" s="378"/>
      <c r="IOU56" s="378"/>
      <c r="IOV56" s="378"/>
      <c r="IOW56" s="378"/>
      <c r="IOX56" s="378"/>
      <c r="IOY56" s="378"/>
      <c r="IOZ56" s="378"/>
      <c r="IPA56" s="378"/>
      <c r="IPB56" s="378"/>
      <c r="IPC56" s="378"/>
      <c r="IPD56" s="378"/>
      <c r="IPE56" s="378"/>
      <c r="IPF56" s="378"/>
      <c r="IPG56" s="378"/>
      <c r="IPH56" s="378"/>
      <c r="IPI56" s="378"/>
      <c r="IPJ56" s="378"/>
      <c r="IPK56" s="378"/>
      <c r="IPL56" s="378"/>
      <c r="IPM56" s="378"/>
      <c r="IPN56" s="378"/>
      <c r="IPO56" s="378"/>
      <c r="IPP56" s="378"/>
      <c r="IPQ56" s="378"/>
      <c r="IPR56" s="378"/>
      <c r="IPS56" s="378"/>
      <c r="IPT56" s="378"/>
      <c r="IPU56" s="378"/>
      <c r="IPV56" s="378"/>
      <c r="IPW56" s="378"/>
      <c r="IPX56" s="378"/>
      <c r="IPY56" s="378"/>
      <c r="IPZ56" s="378"/>
      <c r="IQA56" s="378"/>
      <c r="IQB56" s="378"/>
      <c r="IQC56" s="378"/>
      <c r="IQD56" s="378"/>
      <c r="IQE56" s="378"/>
      <c r="IQF56" s="378"/>
      <c r="IQG56" s="378"/>
      <c r="IQH56" s="378"/>
      <c r="IQI56" s="378"/>
      <c r="IQJ56" s="378"/>
      <c r="IQK56" s="378"/>
      <c r="IQL56" s="378"/>
      <c r="IQM56" s="378"/>
      <c r="IQN56" s="378"/>
      <c r="IQO56" s="378"/>
      <c r="IQP56" s="378"/>
      <c r="IQQ56" s="378"/>
      <c r="IQR56" s="378"/>
      <c r="IQS56" s="378"/>
      <c r="IQT56" s="378"/>
      <c r="IQU56" s="378"/>
      <c r="IQV56" s="378"/>
      <c r="IQW56" s="378"/>
      <c r="IQX56" s="378"/>
      <c r="IQY56" s="378"/>
      <c r="IQZ56" s="378"/>
      <c r="IRA56" s="378"/>
      <c r="IRB56" s="378"/>
      <c r="IRC56" s="378"/>
      <c r="IRD56" s="378"/>
      <c r="IRE56" s="378"/>
      <c r="IRF56" s="378"/>
      <c r="IRG56" s="378"/>
      <c r="IRH56" s="378"/>
      <c r="IRI56" s="378"/>
      <c r="IRJ56" s="378"/>
      <c r="IRK56" s="378"/>
      <c r="IRL56" s="378"/>
      <c r="IRM56" s="378"/>
      <c r="IRN56" s="378"/>
      <c r="IRO56" s="378"/>
      <c r="IRP56" s="378"/>
      <c r="IRQ56" s="378"/>
      <c r="IRR56" s="378"/>
      <c r="IRS56" s="378"/>
      <c r="IRT56" s="378"/>
      <c r="IRU56" s="378"/>
      <c r="IRV56" s="378"/>
      <c r="IRW56" s="378"/>
      <c r="IRX56" s="378"/>
      <c r="IRY56" s="378"/>
      <c r="IRZ56" s="378"/>
      <c r="ISA56" s="378"/>
      <c r="ISB56" s="378"/>
      <c r="ISC56" s="378"/>
      <c r="ISD56" s="378"/>
      <c r="ISE56" s="378"/>
      <c r="ISF56" s="378"/>
      <c r="ISG56" s="378"/>
      <c r="ISH56" s="378"/>
      <c r="ISI56" s="378"/>
      <c r="ISJ56" s="378"/>
      <c r="ISK56" s="378"/>
      <c r="ISL56" s="378"/>
      <c r="ISM56" s="378"/>
      <c r="ISN56" s="378"/>
      <c r="ISO56" s="378"/>
      <c r="ISP56" s="378"/>
      <c r="ISQ56" s="378"/>
      <c r="ISR56" s="378"/>
      <c r="ISS56" s="378"/>
      <c r="IST56" s="378"/>
      <c r="ISU56" s="378"/>
      <c r="ISV56" s="378"/>
      <c r="ISW56" s="378"/>
      <c r="ISX56" s="378"/>
      <c r="ISY56" s="378"/>
      <c r="ISZ56" s="378"/>
      <c r="ITA56" s="378"/>
      <c r="ITB56" s="378"/>
      <c r="ITC56" s="378"/>
      <c r="ITD56" s="378"/>
      <c r="ITE56" s="378"/>
      <c r="ITF56" s="378"/>
      <c r="ITG56" s="378"/>
      <c r="ITH56" s="378"/>
      <c r="ITI56" s="378"/>
      <c r="ITJ56" s="378"/>
      <c r="ITK56" s="378"/>
      <c r="ITL56" s="378"/>
      <c r="ITM56" s="378"/>
      <c r="ITN56" s="378"/>
      <c r="ITO56" s="378"/>
      <c r="ITP56" s="378"/>
      <c r="ITQ56" s="378"/>
      <c r="ITR56" s="378"/>
      <c r="ITS56" s="378"/>
      <c r="ITT56" s="378"/>
      <c r="ITU56" s="378"/>
      <c r="ITV56" s="378"/>
      <c r="ITW56" s="378"/>
      <c r="ITX56" s="378"/>
      <c r="ITY56" s="378"/>
      <c r="ITZ56" s="378"/>
      <c r="IUA56" s="378"/>
      <c r="IUB56" s="378"/>
      <c r="IUC56" s="378"/>
      <c r="IUD56" s="378"/>
      <c r="IUE56" s="378"/>
      <c r="IUF56" s="378"/>
      <c r="IUG56" s="378"/>
      <c r="IUH56" s="378"/>
      <c r="IUI56" s="378"/>
      <c r="IUJ56" s="378"/>
      <c r="IUK56" s="378"/>
      <c r="IUL56" s="378"/>
      <c r="IUM56" s="378"/>
      <c r="IUN56" s="378"/>
      <c r="IUO56" s="378"/>
      <c r="IUP56" s="378"/>
      <c r="IUQ56" s="378"/>
      <c r="IUR56" s="378"/>
      <c r="IUS56" s="378"/>
      <c r="IUT56" s="378"/>
      <c r="IUU56" s="378"/>
      <c r="IUV56" s="378"/>
      <c r="IUW56" s="378"/>
      <c r="IUX56" s="378"/>
      <c r="IUY56" s="378"/>
      <c r="IUZ56" s="378"/>
      <c r="IVA56" s="378"/>
      <c r="IVB56" s="378"/>
      <c r="IVC56" s="378"/>
      <c r="IVD56" s="378"/>
      <c r="IVE56" s="378"/>
      <c r="IVF56" s="378"/>
      <c r="IVG56" s="378"/>
      <c r="IVH56" s="378"/>
      <c r="IVI56" s="378"/>
      <c r="IVJ56" s="378"/>
      <c r="IVK56" s="378"/>
      <c r="IVL56" s="378"/>
      <c r="IVM56" s="378"/>
      <c r="IVN56" s="378"/>
      <c r="IVO56" s="378"/>
      <c r="IVP56" s="378"/>
      <c r="IVQ56" s="378"/>
      <c r="IVR56" s="378"/>
      <c r="IVS56" s="378"/>
      <c r="IVT56" s="378"/>
      <c r="IVU56" s="378"/>
      <c r="IVV56" s="378"/>
      <c r="IVW56" s="378"/>
      <c r="IVX56" s="378"/>
      <c r="IVY56" s="378"/>
      <c r="IVZ56" s="378"/>
      <c r="IWA56" s="378"/>
      <c r="IWB56" s="378"/>
      <c r="IWC56" s="378"/>
      <c r="IWD56" s="378"/>
      <c r="IWE56" s="378"/>
      <c r="IWF56" s="378"/>
      <c r="IWG56" s="378"/>
      <c r="IWH56" s="378"/>
      <c r="IWI56" s="378"/>
      <c r="IWJ56" s="378"/>
      <c r="IWK56" s="378"/>
      <c r="IWL56" s="378"/>
      <c r="IWM56" s="378"/>
      <c r="IWN56" s="378"/>
      <c r="IWO56" s="378"/>
      <c r="IWP56" s="378"/>
      <c r="IWQ56" s="378"/>
      <c r="IWR56" s="378"/>
      <c r="IWS56" s="378"/>
      <c r="IWT56" s="378"/>
      <c r="IWU56" s="378"/>
      <c r="IWV56" s="378"/>
      <c r="IWW56" s="378"/>
      <c r="IWX56" s="378"/>
      <c r="IWY56" s="378"/>
      <c r="IWZ56" s="378"/>
      <c r="IXA56" s="378"/>
      <c r="IXB56" s="378"/>
      <c r="IXC56" s="378"/>
      <c r="IXD56" s="378"/>
      <c r="IXE56" s="378"/>
      <c r="IXF56" s="378"/>
      <c r="IXG56" s="378"/>
      <c r="IXH56" s="378"/>
      <c r="IXI56" s="378"/>
      <c r="IXJ56" s="378"/>
      <c r="IXK56" s="378"/>
      <c r="IXL56" s="378"/>
      <c r="IXM56" s="378"/>
      <c r="IXN56" s="378"/>
      <c r="IXO56" s="378"/>
      <c r="IXP56" s="378"/>
      <c r="IXQ56" s="378"/>
      <c r="IXR56" s="378"/>
      <c r="IXS56" s="378"/>
      <c r="IXT56" s="378"/>
      <c r="IXU56" s="378"/>
      <c r="IXV56" s="378"/>
      <c r="IXW56" s="378"/>
      <c r="IXX56" s="378"/>
      <c r="IXY56" s="378"/>
      <c r="IXZ56" s="378"/>
      <c r="IYA56" s="378"/>
      <c r="IYB56" s="378"/>
      <c r="IYC56" s="378"/>
      <c r="IYD56" s="378"/>
      <c r="IYE56" s="378"/>
      <c r="IYF56" s="378"/>
      <c r="IYG56" s="378"/>
      <c r="IYH56" s="378"/>
      <c r="IYI56" s="378"/>
      <c r="IYJ56" s="378"/>
      <c r="IYK56" s="378"/>
      <c r="IYL56" s="378"/>
      <c r="IYM56" s="378"/>
      <c r="IYN56" s="378"/>
      <c r="IYO56" s="378"/>
      <c r="IYP56" s="378"/>
      <c r="IYQ56" s="378"/>
      <c r="IYR56" s="378"/>
      <c r="IYS56" s="378"/>
      <c r="IYT56" s="378"/>
      <c r="IYU56" s="378"/>
      <c r="IYV56" s="378"/>
      <c r="IYW56" s="378"/>
      <c r="IYX56" s="378"/>
      <c r="IYY56" s="378"/>
      <c r="IYZ56" s="378"/>
      <c r="IZA56" s="378"/>
      <c r="IZB56" s="378"/>
      <c r="IZC56" s="378"/>
      <c r="IZD56" s="378"/>
      <c r="IZE56" s="378"/>
      <c r="IZF56" s="378"/>
      <c r="IZG56" s="378"/>
      <c r="IZH56" s="378"/>
      <c r="IZI56" s="378"/>
      <c r="IZJ56" s="378"/>
      <c r="IZK56" s="378"/>
      <c r="IZL56" s="378"/>
      <c r="IZM56" s="378"/>
      <c r="IZN56" s="378"/>
      <c r="IZO56" s="378"/>
      <c r="IZP56" s="378"/>
      <c r="IZQ56" s="378"/>
      <c r="IZR56" s="378"/>
      <c r="IZS56" s="378"/>
      <c r="IZT56" s="378"/>
      <c r="IZU56" s="378"/>
      <c r="IZV56" s="378"/>
      <c r="IZW56" s="378"/>
      <c r="IZX56" s="378"/>
      <c r="IZY56" s="378"/>
      <c r="IZZ56" s="378"/>
      <c r="JAA56" s="378"/>
      <c r="JAB56" s="378"/>
      <c r="JAC56" s="378"/>
      <c r="JAD56" s="378"/>
      <c r="JAE56" s="378"/>
      <c r="JAF56" s="378"/>
      <c r="JAG56" s="378"/>
      <c r="JAH56" s="378"/>
      <c r="JAI56" s="378"/>
      <c r="JAJ56" s="378"/>
      <c r="JAK56" s="378"/>
      <c r="JAL56" s="378"/>
      <c r="JAM56" s="378"/>
      <c r="JAN56" s="378"/>
      <c r="JAO56" s="378"/>
      <c r="JAP56" s="378"/>
      <c r="JAQ56" s="378"/>
      <c r="JAR56" s="378"/>
      <c r="JAS56" s="378"/>
      <c r="JAT56" s="378"/>
      <c r="JAU56" s="378"/>
      <c r="JAV56" s="378"/>
      <c r="JAW56" s="378"/>
      <c r="JAX56" s="378"/>
      <c r="JAY56" s="378"/>
      <c r="JAZ56" s="378"/>
      <c r="JBA56" s="378"/>
      <c r="JBB56" s="378"/>
      <c r="JBC56" s="378"/>
      <c r="JBD56" s="378"/>
      <c r="JBE56" s="378"/>
      <c r="JBF56" s="378"/>
      <c r="JBG56" s="378"/>
      <c r="JBH56" s="378"/>
      <c r="JBI56" s="378"/>
      <c r="JBJ56" s="378"/>
      <c r="JBK56" s="378"/>
      <c r="JBL56" s="378"/>
      <c r="JBM56" s="378"/>
      <c r="JBN56" s="378"/>
      <c r="JBO56" s="378"/>
      <c r="JBP56" s="378"/>
      <c r="JBQ56" s="378"/>
      <c r="JBR56" s="378"/>
      <c r="JBS56" s="378"/>
      <c r="JBT56" s="378"/>
      <c r="JBU56" s="378"/>
      <c r="JBV56" s="378"/>
      <c r="JBW56" s="378"/>
      <c r="JBX56" s="378"/>
      <c r="JBY56" s="378"/>
      <c r="JBZ56" s="378"/>
      <c r="JCA56" s="378"/>
      <c r="JCB56" s="378"/>
      <c r="JCC56" s="378"/>
      <c r="JCD56" s="378"/>
      <c r="JCE56" s="378"/>
      <c r="JCF56" s="378"/>
      <c r="JCG56" s="378"/>
      <c r="JCH56" s="378"/>
      <c r="JCI56" s="378"/>
      <c r="JCJ56" s="378"/>
      <c r="JCK56" s="378"/>
      <c r="JCL56" s="378"/>
      <c r="JCM56" s="378"/>
      <c r="JCN56" s="378"/>
      <c r="JCO56" s="378"/>
      <c r="JCP56" s="378"/>
      <c r="JCQ56" s="378"/>
      <c r="JCR56" s="378"/>
      <c r="JCS56" s="378"/>
      <c r="JCT56" s="378"/>
      <c r="JCU56" s="378"/>
      <c r="JCV56" s="378"/>
      <c r="JCW56" s="378"/>
      <c r="JCX56" s="378"/>
      <c r="JCY56" s="378"/>
      <c r="JCZ56" s="378"/>
      <c r="JDA56" s="378"/>
      <c r="JDB56" s="378"/>
      <c r="JDC56" s="378"/>
      <c r="JDD56" s="378"/>
      <c r="JDE56" s="378"/>
      <c r="JDF56" s="378"/>
      <c r="JDG56" s="378"/>
      <c r="JDH56" s="378"/>
      <c r="JDI56" s="378"/>
      <c r="JDJ56" s="378"/>
      <c r="JDK56" s="378"/>
      <c r="JDL56" s="378"/>
      <c r="JDM56" s="378"/>
      <c r="JDN56" s="378"/>
      <c r="JDO56" s="378"/>
      <c r="JDP56" s="378"/>
      <c r="JDQ56" s="378"/>
      <c r="JDR56" s="378"/>
      <c r="JDS56" s="378"/>
      <c r="JDT56" s="378"/>
      <c r="JDU56" s="378"/>
      <c r="JDV56" s="378"/>
      <c r="JDW56" s="378"/>
      <c r="JDX56" s="378"/>
      <c r="JDY56" s="378"/>
      <c r="JDZ56" s="378"/>
      <c r="JEA56" s="378"/>
      <c r="JEB56" s="378"/>
      <c r="JEC56" s="378"/>
      <c r="JED56" s="378"/>
      <c r="JEE56" s="378"/>
      <c r="JEF56" s="378"/>
      <c r="JEG56" s="378"/>
      <c r="JEH56" s="378"/>
      <c r="JEI56" s="378"/>
      <c r="JEJ56" s="378"/>
      <c r="JEK56" s="378"/>
      <c r="JEL56" s="378"/>
      <c r="JEM56" s="378"/>
      <c r="JEN56" s="378"/>
      <c r="JEO56" s="378"/>
      <c r="JEP56" s="378"/>
      <c r="JEQ56" s="378"/>
      <c r="JER56" s="378"/>
      <c r="JES56" s="378"/>
      <c r="JET56" s="378"/>
      <c r="JEU56" s="378"/>
      <c r="JEV56" s="378"/>
      <c r="JEW56" s="378"/>
      <c r="JEX56" s="378"/>
      <c r="JEY56" s="378"/>
      <c r="JEZ56" s="378"/>
      <c r="JFA56" s="378"/>
      <c r="JFB56" s="378"/>
      <c r="JFC56" s="378"/>
      <c r="JFD56" s="378"/>
      <c r="JFE56" s="378"/>
      <c r="JFF56" s="378"/>
      <c r="JFG56" s="378"/>
      <c r="JFH56" s="378"/>
      <c r="JFI56" s="378"/>
      <c r="JFJ56" s="378"/>
      <c r="JFK56" s="378"/>
      <c r="JFL56" s="378"/>
      <c r="JFM56" s="378"/>
      <c r="JFN56" s="378"/>
      <c r="JFO56" s="378"/>
      <c r="JFP56" s="378"/>
      <c r="JFQ56" s="378"/>
      <c r="JFR56" s="378"/>
      <c r="JFS56" s="378"/>
      <c r="JFT56" s="378"/>
      <c r="JFU56" s="378"/>
      <c r="JFV56" s="378"/>
      <c r="JFW56" s="378"/>
      <c r="JFX56" s="378"/>
      <c r="JFY56" s="378"/>
      <c r="JFZ56" s="378"/>
      <c r="JGA56" s="378"/>
      <c r="JGB56" s="378"/>
      <c r="JGC56" s="378"/>
      <c r="JGD56" s="378"/>
      <c r="JGE56" s="378"/>
      <c r="JGF56" s="378"/>
      <c r="JGG56" s="378"/>
      <c r="JGH56" s="378"/>
      <c r="JGI56" s="378"/>
      <c r="JGJ56" s="378"/>
      <c r="JGK56" s="378"/>
      <c r="JGL56" s="378"/>
      <c r="JGM56" s="378"/>
      <c r="JGN56" s="378"/>
      <c r="JGO56" s="378"/>
      <c r="JGP56" s="378"/>
      <c r="JGQ56" s="378"/>
      <c r="JGR56" s="378"/>
      <c r="JGS56" s="378"/>
      <c r="JGT56" s="378"/>
      <c r="JGU56" s="378"/>
      <c r="JGV56" s="378"/>
      <c r="JGW56" s="378"/>
      <c r="JGX56" s="378"/>
      <c r="JGY56" s="378"/>
      <c r="JGZ56" s="378"/>
      <c r="JHA56" s="378"/>
      <c r="JHB56" s="378"/>
      <c r="JHC56" s="378"/>
      <c r="JHD56" s="378"/>
      <c r="JHE56" s="378"/>
      <c r="JHF56" s="378"/>
      <c r="JHG56" s="378"/>
      <c r="JHH56" s="378"/>
      <c r="JHI56" s="378"/>
      <c r="JHJ56" s="378"/>
      <c r="JHK56" s="378"/>
      <c r="JHL56" s="378"/>
      <c r="JHM56" s="378"/>
      <c r="JHN56" s="378"/>
      <c r="JHO56" s="378"/>
      <c r="JHP56" s="378"/>
      <c r="JHQ56" s="378"/>
      <c r="JHR56" s="378"/>
      <c r="JHS56" s="378"/>
      <c r="JHT56" s="378"/>
      <c r="JHU56" s="378"/>
      <c r="JHV56" s="378"/>
      <c r="JHW56" s="378"/>
      <c r="JHX56" s="378"/>
      <c r="JHY56" s="378"/>
      <c r="JHZ56" s="378"/>
      <c r="JIA56" s="378"/>
      <c r="JIB56" s="378"/>
      <c r="JIC56" s="378"/>
      <c r="JID56" s="378"/>
      <c r="JIE56" s="378"/>
      <c r="JIF56" s="378"/>
      <c r="JIG56" s="378"/>
      <c r="JIH56" s="378"/>
      <c r="JII56" s="378"/>
      <c r="JIJ56" s="378"/>
      <c r="JIK56" s="378"/>
      <c r="JIL56" s="378"/>
      <c r="JIM56" s="378"/>
      <c r="JIN56" s="378"/>
      <c r="JIO56" s="378"/>
      <c r="JIP56" s="378"/>
      <c r="JIQ56" s="378"/>
      <c r="JIR56" s="378"/>
      <c r="JIS56" s="378"/>
      <c r="JIT56" s="378"/>
      <c r="JIU56" s="378"/>
      <c r="JIV56" s="378"/>
      <c r="JIW56" s="378"/>
      <c r="JIX56" s="378"/>
      <c r="JIY56" s="378"/>
      <c r="JIZ56" s="378"/>
      <c r="JJA56" s="378"/>
      <c r="JJB56" s="378"/>
      <c r="JJC56" s="378"/>
      <c r="JJD56" s="378"/>
      <c r="JJE56" s="378"/>
      <c r="JJF56" s="378"/>
      <c r="JJG56" s="378"/>
      <c r="JJH56" s="378"/>
      <c r="JJI56" s="378"/>
      <c r="JJJ56" s="378"/>
      <c r="JJK56" s="378"/>
      <c r="JJL56" s="378"/>
      <c r="JJM56" s="378"/>
      <c r="JJN56" s="378"/>
      <c r="JJO56" s="378"/>
      <c r="JJP56" s="378"/>
      <c r="JJQ56" s="378"/>
      <c r="JJR56" s="378"/>
      <c r="JJS56" s="378"/>
      <c r="JJT56" s="378"/>
      <c r="JJU56" s="378"/>
      <c r="JJV56" s="378"/>
      <c r="JJW56" s="378"/>
      <c r="JJX56" s="378"/>
      <c r="JJY56" s="378"/>
      <c r="JJZ56" s="378"/>
      <c r="JKA56" s="378"/>
      <c r="JKB56" s="378"/>
      <c r="JKC56" s="378"/>
      <c r="JKD56" s="378"/>
      <c r="JKE56" s="378"/>
      <c r="JKF56" s="378"/>
      <c r="JKG56" s="378"/>
      <c r="JKH56" s="378"/>
      <c r="JKI56" s="378"/>
      <c r="JKJ56" s="378"/>
      <c r="JKK56" s="378"/>
      <c r="JKL56" s="378"/>
      <c r="JKM56" s="378"/>
      <c r="JKN56" s="378"/>
      <c r="JKO56" s="378"/>
      <c r="JKP56" s="378"/>
      <c r="JKQ56" s="378"/>
      <c r="JKR56" s="378"/>
      <c r="JKS56" s="378"/>
      <c r="JKT56" s="378"/>
      <c r="JKU56" s="378"/>
      <c r="JKV56" s="378"/>
      <c r="JKW56" s="378"/>
      <c r="JKX56" s="378"/>
      <c r="JKY56" s="378"/>
      <c r="JKZ56" s="378"/>
      <c r="JLA56" s="378"/>
      <c r="JLB56" s="378"/>
      <c r="JLC56" s="378"/>
      <c r="JLD56" s="378"/>
      <c r="JLE56" s="378"/>
      <c r="JLF56" s="378"/>
      <c r="JLG56" s="378"/>
      <c r="JLH56" s="378"/>
      <c r="JLI56" s="378"/>
      <c r="JLJ56" s="378"/>
      <c r="JLK56" s="378"/>
      <c r="JLL56" s="378"/>
      <c r="JLM56" s="378"/>
      <c r="JLN56" s="378"/>
      <c r="JLO56" s="378"/>
      <c r="JLP56" s="378"/>
      <c r="JLQ56" s="378"/>
      <c r="JLR56" s="378"/>
      <c r="JLS56" s="378"/>
      <c r="JLT56" s="378"/>
      <c r="JLU56" s="378"/>
      <c r="JLV56" s="378"/>
      <c r="JLW56" s="378"/>
      <c r="JLX56" s="378"/>
      <c r="JLY56" s="378"/>
      <c r="JLZ56" s="378"/>
      <c r="JMA56" s="378"/>
      <c r="JMB56" s="378"/>
      <c r="JMC56" s="378"/>
      <c r="JMD56" s="378"/>
      <c r="JME56" s="378"/>
      <c r="JMF56" s="378"/>
      <c r="JMG56" s="378"/>
      <c r="JMH56" s="378"/>
      <c r="JMI56" s="378"/>
      <c r="JMJ56" s="378"/>
      <c r="JMK56" s="378"/>
      <c r="JML56" s="378"/>
      <c r="JMM56" s="378"/>
      <c r="JMN56" s="378"/>
      <c r="JMO56" s="378"/>
      <c r="JMP56" s="378"/>
      <c r="JMQ56" s="378"/>
      <c r="JMR56" s="378"/>
      <c r="JMS56" s="378"/>
      <c r="JMT56" s="378"/>
      <c r="JMU56" s="378"/>
      <c r="JMV56" s="378"/>
      <c r="JMW56" s="378"/>
      <c r="JMX56" s="378"/>
      <c r="JMY56" s="378"/>
      <c r="JMZ56" s="378"/>
      <c r="JNA56" s="378"/>
      <c r="JNB56" s="378"/>
      <c r="JNC56" s="378"/>
      <c r="JND56" s="378"/>
      <c r="JNE56" s="378"/>
      <c r="JNF56" s="378"/>
      <c r="JNG56" s="378"/>
      <c r="JNH56" s="378"/>
      <c r="JNI56" s="378"/>
      <c r="JNJ56" s="378"/>
      <c r="JNK56" s="378"/>
      <c r="JNL56" s="378"/>
      <c r="JNM56" s="378"/>
      <c r="JNN56" s="378"/>
      <c r="JNO56" s="378"/>
      <c r="JNP56" s="378"/>
      <c r="JNQ56" s="378"/>
      <c r="JNR56" s="378"/>
      <c r="JNS56" s="378"/>
      <c r="JNT56" s="378"/>
      <c r="JNU56" s="378"/>
      <c r="JNV56" s="378"/>
      <c r="JNW56" s="378"/>
      <c r="JNX56" s="378"/>
      <c r="JNY56" s="378"/>
      <c r="JNZ56" s="378"/>
      <c r="JOA56" s="378"/>
      <c r="JOB56" s="378"/>
      <c r="JOC56" s="378"/>
      <c r="JOD56" s="378"/>
      <c r="JOE56" s="378"/>
      <c r="JOF56" s="378"/>
      <c r="JOG56" s="378"/>
      <c r="JOH56" s="378"/>
      <c r="JOI56" s="378"/>
      <c r="JOJ56" s="378"/>
      <c r="JOK56" s="378"/>
      <c r="JOL56" s="378"/>
      <c r="JOM56" s="378"/>
      <c r="JON56" s="378"/>
      <c r="JOO56" s="378"/>
      <c r="JOP56" s="378"/>
      <c r="JOQ56" s="378"/>
      <c r="JOR56" s="378"/>
      <c r="JOS56" s="378"/>
      <c r="JOT56" s="378"/>
      <c r="JOU56" s="378"/>
      <c r="JOV56" s="378"/>
      <c r="JOW56" s="378"/>
      <c r="JOX56" s="378"/>
      <c r="JOY56" s="378"/>
      <c r="JOZ56" s="378"/>
      <c r="JPA56" s="378"/>
      <c r="JPB56" s="378"/>
      <c r="JPC56" s="378"/>
      <c r="JPD56" s="378"/>
      <c r="JPE56" s="378"/>
      <c r="JPF56" s="378"/>
      <c r="JPG56" s="378"/>
      <c r="JPH56" s="378"/>
      <c r="JPI56" s="378"/>
      <c r="JPJ56" s="378"/>
      <c r="JPK56" s="378"/>
      <c r="JPL56" s="378"/>
      <c r="JPM56" s="378"/>
      <c r="JPN56" s="378"/>
      <c r="JPO56" s="378"/>
      <c r="JPP56" s="378"/>
      <c r="JPQ56" s="378"/>
      <c r="JPR56" s="378"/>
      <c r="JPS56" s="378"/>
      <c r="JPT56" s="378"/>
      <c r="JPU56" s="378"/>
      <c r="JPV56" s="378"/>
      <c r="JPW56" s="378"/>
      <c r="JPX56" s="378"/>
      <c r="JPY56" s="378"/>
      <c r="JPZ56" s="378"/>
      <c r="JQA56" s="378"/>
      <c r="JQB56" s="378"/>
      <c r="JQC56" s="378"/>
      <c r="JQD56" s="378"/>
      <c r="JQE56" s="378"/>
      <c r="JQF56" s="378"/>
      <c r="JQG56" s="378"/>
      <c r="JQH56" s="378"/>
      <c r="JQI56" s="378"/>
      <c r="JQJ56" s="378"/>
      <c r="JQK56" s="378"/>
      <c r="JQL56" s="378"/>
      <c r="JQM56" s="378"/>
      <c r="JQN56" s="378"/>
      <c r="JQO56" s="378"/>
      <c r="JQP56" s="378"/>
      <c r="JQQ56" s="378"/>
      <c r="JQR56" s="378"/>
      <c r="JQS56" s="378"/>
      <c r="JQT56" s="378"/>
      <c r="JQU56" s="378"/>
      <c r="JQV56" s="378"/>
      <c r="JQW56" s="378"/>
      <c r="JQX56" s="378"/>
      <c r="JQY56" s="378"/>
      <c r="JQZ56" s="378"/>
      <c r="JRA56" s="378"/>
      <c r="JRB56" s="378"/>
      <c r="JRC56" s="378"/>
      <c r="JRD56" s="378"/>
      <c r="JRE56" s="378"/>
      <c r="JRF56" s="378"/>
      <c r="JRG56" s="378"/>
      <c r="JRH56" s="378"/>
      <c r="JRI56" s="378"/>
      <c r="JRJ56" s="378"/>
      <c r="JRK56" s="378"/>
      <c r="JRL56" s="378"/>
      <c r="JRM56" s="378"/>
      <c r="JRN56" s="378"/>
      <c r="JRO56" s="378"/>
      <c r="JRP56" s="378"/>
      <c r="JRQ56" s="378"/>
      <c r="JRR56" s="378"/>
      <c r="JRS56" s="378"/>
      <c r="JRT56" s="378"/>
      <c r="JRU56" s="378"/>
      <c r="JRV56" s="378"/>
      <c r="JRW56" s="378"/>
      <c r="JRX56" s="378"/>
      <c r="JRY56" s="378"/>
      <c r="JRZ56" s="378"/>
      <c r="JSA56" s="378"/>
      <c r="JSB56" s="378"/>
      <c r="JSC56" s="378"/>
      <c r="JSD56" s="378"/>
      <c r="JSE56" s="378"/>
      <c r="JSF56" s="378"/>
      <c r="JSG56" s="378"/>
      <c r="JSH56" s="378"/>
      <c r="JSI56" s="378"/>
      <c r="JSJ56" s="378"/>
      <c r="JSK56" s="378"/>
      <c r="JSL56" s="378"/>
      <c r="JSM56" s="378"/>
      <c r="JSN56" s="378"/>
      <c r="JSO56" s="378"/>
      <c r="JSP56" s="378"/>
      <c r="JSQ56" s="378"/>
      <c r="JSR56" s="378"/>
      <c r="JSS56" s="378"/>
      <c r="JST56" s="378"/>
      <c r="JSU56" s="378"/>
      <c r="JSV56" s="378"/>
      <c r="JSW56" s="378"/>
      <c r="JSX56" s="378"/>
      <c r="JSY56" s="378"/>
      <c r="JSZ56" s="378"/>
      <c r="JTA56" s="378"/>
      <c r="JTB56" s="378"/>
      <c r="JTC56" s="378"/>
      <c r="JTD56" s="378"/>
      <c r="JTE56" s="378"/>
      <c r="JTF56" s="378"/>
      <c r="JTG56" s="378"/>
      <c r="JTH56" s="378"/>
      <c r="JTI56" s="378"/>
      <c r="JTJ56" s="378"/>
      <c r="JTK56" s="378"/>
      <c r="JTL56" s="378"/>
      <c r="JTM56" s="378"/>
      <c r="JTN56" s="378"/>
      <c r="JTO56" s="378"/>
      <c r="JTP56" s="378"/>
      <c r="JTQ56" s="378"/>
      <c r="JTR56" s="378"/>
      <c r="JTS56" s="378"/>
      <c r="JTT56" s="378"/>
      <c r="JTU56" s="378"/>
      <c r="JTV56" s="378"/>
      <c r="JTW56" s="378"/>
      <c r="JTX56" s="378"/>
      <c r="JTY56" s="378"/>
      <c r="JTZ56" s="378"/>
      <c r="JUA56" s="378"/>
      <c r="JUB56" s="378"/>
      <c r="JUC56" s="378"/>
      <c r="JUD56" s="378"/>
      <c r="JUE56" s="378"/>
      <c r="JUF56" s="378"/>
      <c r="JUG56" s="378"/>
      <c r="JUH56" s="378"/>
      <c r="JUI56" s="378"/>
      <c r="JUJ56" s="378"/>
      <c r="JUK56" s="378"/>
      <c r="JUL56" s="378"/>
      <c r="JUM56" s="378"/>
      <c r="JUN56" s="378"/>
      <c r="JUO56" s="378"/>
      <c r="JUP56" s="378"/>
      <c r="JUQ56" s="378"/>
      <c r="JUR56" s="378"/>
      <c r="JUS56" s="378"/>
      <c r="JUT56" s="378"/>
      <c r="JUU56" s="378"/>
      <c r="JUV56" s="378"/>
      <c r="JUW56" s="378"/>
      <c r="JUX56" s="378"/>
      <c r="JUY56" s="378"/>
      <c r="JUZ56" s="378"/>
      <c r="JVA56" s="378"/>
      <c r="JVB56" s="378"/>
      <c r="JVC56" s="378"/>
      <c r="JVD56" s="378"/>
      <c r="JVE56" s="378"/>
      <c r="JVF56" s="378"/>
      <c r="JVG56" s="378"/>
      <c r="JVH56" s="378"/>
      <c r="JVI56" s="378"/>
      <c r="JVJ56" s="378"/>
      <c r="JVK56" s="378"/>
      <c r="JVL56" s="378"/>
      <c r="JVM56" s="378"/>
      <c r="JVN56" s="378"/>
      <c r="JVO56" s="378"/>
      <c r="JVP56" s="378"/>
      <c r="JVQ56" s="378"/>
      <c r="JVR56" s="378"/>
      <c r="JVS56" s="378"/>
      <c r="JVT56" s="378"/>
      <c r="JVU56" s="378"/>
      <c r="JVV56" s="378"/>
      <c r="JVW56" s="378"/>
      <c r="JVX56" s="378"/>
      <c r="JVY56" s="378"/>
      <c r="JVZ56" s="378"/>
      <c r="JWA56" s="378"/>
      <c r="JWB56" s="378"/>
      <c r="JWC56" s="378"/>
      <c r="JWD56" s="378"/>
      <c r="JWE56" s="378"/>
      <c r="JWF56" s="378"/>
      <c r="JWG56" s="378"/>
      <c r="JWH56" s="378"/>
      <c r="JWI56" s="378"/>
      <c r="JWJ56" s="378"/>
      <c r="JWK56" s="378"/>
      <c r="JWL56" s="378"/>
      <c r="JWM56" s="378"/>
      <c r="JWN56" s="378"/>
      <c r="JWO56" s="378"/>
      <c r="JWP56" s="378"/>
      <c r="JWQ56" s="378"/>
      <c r="JWR56" s="378"/>
      <c r="JWS56" s="378"/>
      <c r="JWT56" s="378"/>
      <c r="JWU56" s="378"/>
      <c r="JWV56" s="378"/>
      <c r="JWW56" s="378"/>
      <c r="JWX56" s="378"/>
      <c r="JWY56" s="378"/>
      <c r="JWZ56" s="378"/>
      <c r="JXA56" s="378"/>
      <c r="JXB56" s="378"/>
      <c r="JXC56" s="378"/>
      <c r="JXD56" s="378"/>
      <c r="JXE56" s="378"/>
      <c r="JXF56" s="378"/>
      <c r="JXG56" s="378"/>
      <c r="JXH56" s="378"/>
      <c r="JXI56" s="378"/>
      <c r="JXJ56" s="378"/>
      <c r="JXK56" s="378"/>
      <c r="JXL56" s="378"/>
      <c r="JXM56" s="378"/>
      <c r="JXN56" s="378"/>
      <c r="JXO56" s="378"/>
      <c r="JXP56" s="378"/>
      <c r="JXQ56" s="378"/>
      <c r="JXR56" s="378"/>
      <c r="JXS56" s="378"/>
      <c r="JXT56" s="378"/>
      <c r="JXU56" s="378"/>
      <c r="JXV56" s="378"/>
      <c r="JXW56" s="378"/>
      <c r="JXX56" s="378"/>
      <c r="JXY56" s="378"/>
      <c r="JXZ56" s="378"/>
      <c r="JYA56" s="378"/>
      <c r="JYB56" s="378"/>
      <c r="JYC56" s="378"/>
      <c r="JYD56" s="378"/>
      <c r="JYE56" s="378"/>
      <c r="JYF56" s="378"/>
      <c r="JYG56" s="378"/>
      <c r="JYH56" s="378"/>
      <c r="JYI56" s="378"/>
      <c r="JYJ56" s="378"/>
      <c r="JYK56" s="378"/>
      <c r="JYL56" s="378"/>
      <c r="JYM56" s="378"/>
      <c r="JYN56" s="378"/>
      <c r="JYO56" s="378"/>
      <c r="JYP56" s="378"/>
      <c r="JYQ56" s="378"/>
      <c r="JYR56" s="378"/>
      <c r="JYS56" s="378"/>
      <c r="JYT56" s="378"/>
      <c r="JYU56" s="378"/>
      <c r="JYV56" s="378"/>
      <c r="JYW56" s="378"/>
      <c r="JYX56" s="378"/>
      <c r="JYY56" s="378"/>
      <c r="JYZ56" s="378"/>
      <c r="JZA56" s="378"/>
      <c r="JZB56" s="378"/>
      <c r="JZC56" s="378"/>
      <c r="JZD56" s="378"/>
      <c r="JZE56" s="378"/>
      <c r="JZF56" s="378"/>
      <c r="JZG56" s="378"/>
      <c r="JZH56" s="378"/>
      <c r="JZI56" s="378"/>
      <c r="JZJ56" s="378"/>
      <c r="JZK56" s="378"/>
      <c r="JZL56" s="378"/>
      <c r="JZM56" s="378"/>
      <c r="JZN56" s="378"/>
      <c r="JZO56" s="378"/>
      <c r="JZP56" s="378"/>
      <c r="JZQ56" s="378"/>
      <c r="JZR56" s="378"/>
      <c r="JZS56" s="378"/>
      <c r="JZT56" s="378"/>
      <c r="JZU56" s="378"/>
      <c r="JZV56" s="378"/>
      <c r="JZW56" s="378"/>
      <c r="JZX56" s="378"/>
      <c r="JZY56" s="378"/>
      <c r="JZZ56" s="378"/>
      <c r="KAA56" s="378"/>
      <c r="KAB56" s="378"/>
      <c r="KAC56" s="378"/>
      <c r="KAD56" s="378"/>
      <c r="KAE56" s="378"/>
      <c r="KAF56" s="378"/>
      <c r="KAG56" s="378"/>
      <c r="KAH56" s="378"/>
      <c r="KAI56" s="378"/>
      <c r="KAJ56" s="378"/>
      <c r="KAK56" s="378"/>
      <c r="KAL56" s="378"/>
      <c r="KAM56" s="378"/>
      <c r="KAN56" s="378"/>
      <c r="KAO56" s="378"/>
      <c r="KAP56" s="378"/>
      <c r="KAQ56" s="378"/>
      <c r="KAR56" s="378"/>
      <c r="KAS56" s="378"/>
      <c r="KAT56" s="378"/>
      <c r="KAU56" s="378"/>
      <c r="KAV56" s="378"/>
      <c r="KAW56" s="378"/>
      <c r="KAX56" s="378"/>
      <c r="KAY56" s="378"/>
      <c r="KAZ56" s="378"/>
      <c r="KBA56" s="378"/>
      <c r="KBB56" s="378"/>
      <c r="KBC56" s="378"/>
      <c r="KBD56" s="378"/>
      <c r="KBE56" s="378"/>
      <c r="KBF56" s="378"/>
      <c r="KBG56" s="378"/>
      <c r="KBH56" s="378"/>
      <c r="KBI56" s="378"/>
      <c r="KBJ56" s="378"/>
      <c r="KBK56" s="378"/>
      <c r="KBL56" s="378"/>
      <c r="KBM56" s="378"/>
      <c r="KBN56" s="378"/>
      <c r="KBO56" s="378"/>
      <c r="KBP56" s="378"/>
      <c r="KBQ56" s="378"/>
      <c r="KBR56" s="378"/>
      <c r="KBS56" s="378"/>
      <c r="KBT56" s="378"/>
      <c r="KBU56" s="378"/>
      <c r="KBV56" s="378"/>
      <c r="KBW56" s="378"/>
      <c r="KBX56" s="378"/>
      <c r="KBY56" s="378"/>
      <c r="KBZ56" s="378"/>
      <c r="KCA56" s="378"/>
      <c r="KCB56" s="378"/>
      <c r="KCC56" s="378"/>
      <c r="KCD56" s="378"/>
      <c r="KCE56" s="378"/>
      <c r="KCF56" s="378"/>
      <c r="KCG56" s="378"/>
      <c r="KCH56" s="378"/>
      <c r="KCI56" s="378"/>
      <c r="KCJ56" s="378"/>
      <c r="KCK56" s="378"/>
      <c r="KCL56" s="378"/>
      <c r="KCM56" s="378"/>
      <c r="KCN56" s="378"/>
      <c r="KCO56" s="378"/>
      <c r="KCP56" s="378"/>
      <c r="KCQ56" s="378"/>
      <c r="KCR56" s="378"/>
      <c r="KCS56" s="378"/>
      <c r="KCT56" s="378"/>
      <c r="KCU56" s="378"/>
      <c r="KCV56" s="378"/>
      <c r="KCW56" s="378"/>
      <c r="KCX56" s="378"/>
      <c r="KCY56" s="378"/>
      <c r="KCZ56" s="378"/>
      <c r="KDA56" s="378"/>
      <c r="KDB56" s="378"/>
      <c r="KDC56" s="378"/>
      <c r="KDD56" s="378"/>
      <c r="KDE56" s="378"/>
      <c r="KDF56" s="378"/>
      <c r="KDG56" s="378"/>
      <c r="KDH56" s="378"/>
      <c r="KDI56" s="378"/>
      <c r="KDJ56" s="378"/>
      <c r="KDK56" s="378"/>
      <c r="KDL56" s="378"/>
      <c r="KDM56" s="378"/>
      <c r="KDN56" s="378"/>
      <c r="KDO56" s="378"/>
      <c r="KDP56" s="378"/>
      <c r="KDQ56" s="378"/>
      <c r="KDR56" s="378"/>
      <c r="KDS56" s="378"/>
      <c r="KDT56" s="378"/>
      <c r="KDU56" s="378"/>
      <c r="KDV56" s="378"/>
      <c r="KDW56" s="378"/>
      <c r="KDX56" s="378"/>
      <c r="KDY56" s="378"/>
      <c r="KDZ56" s="378"/>
      <c r="KEA56" s="378"/>
      <c r="KEB56" s="378"/>
      <c r="KEC56" s="378"/>
      <c r="KED56" s="378"/>
      <c r="KEE56" s="378"/>
      <c r="KEF56" s="378"/>
      <c r="KEG56" s="378"/>
      <c r="KEH56" s="378"/>
      <c r="KEI56" s="378"/>
      <c r="KEJ56" s="378"/>
      <c r="KEK56" s="378"/>
      <c r="KEL56" s="378"/>
      <c r="KEM56" s="378"/>
      <c r="KEN56" s="378"/>
      <c r="KEO56" s="378"/>
      <c r="KEP56" s="378"/>
      <c r="KEQ56" s="378"/>
      <c r="KER56" s="378"/>
      <c r="KES56" s="378"/>
      <c r="KET56" s="378"/>
      <c r="KEU56" s="378"/>
      <c r="KEV56" s="378"/>
      <c r="KEW56" s="378"/>
      <c r="KEX56" s="378"/>
      <c r="KEY56" s="378"/>
      <c r="KEZ56" s="378"/>
      <c r="KFA56" s="378"/>
      <c r="KFB56" s="378"/>
      <c r="KFC56" s="378"/>
      <c r="KFD56" s="378"/>
      <c r="KFE56" s="378"/>
      <c r="KFF56" s="378"/>
      <c r="KFG56" s="378"/>
      <c r="KFH56" s="378"/>
      <c r="KFI56" s="378"/>
      <c r="KFJ56" s="378"/>
      <c r="KFK56" s="378"/>
      <c r="KFL56" s="378"/>
      <c r="KFM56" s="378"/>
      <c r="KFN56" s="378"/>
      <c r="KFO56" s="378"/>
      <c r="KFP56" s="378"/>
      <c r="KFQ56" s="378"/>
      <c r="KFR56" s="378"/>
      <c r="KFS56" s="378"/>
      <c r="KFT56" s="378"/>
      <c r="KFU56" s="378"/>
      <c r="KFV56" s="378"/>
      <c r="KFW56" s="378"/>
      <c r="KFX56" s="378"/>
      <c r="KFY56" s="378"/>
      <c r="KFZ56" s="378"/>
      <c r="KGA56" s="378"/>
      <c r="KGB56" s="378"/>
      <c r="KGC56" s="378"/>
      <c r="KGD56" s="378"/>
      <c r="KGE56" s="378"/>
      <c r="KGF56" s="378"/>
      <c r="KGG56" s="378"/>
      <c r="KGH56" s="378"/>
      <c r="KGI56" s="378"/>
      <c r="KGJ56" s="378"/>
      <c r="KGK56" s="378"/>
      <c r="KGL56" s="378"/>
      <c r="KGM56" s="378"/>
      <c r="KGN56" s="378"/>
      <c r="KGO56" s="378"/>
      <c r="KGP56" s="378"/>
      <c r="KGQ56" s="378"/>
      <c r="KGR56" s="378"/>
      <c r="KGS56" s="378"/>
      <c r="KGT56" s="378"/>
      <c r="KGU56" s="378"/>
      <c r="KGV56" s="378"/>
      <c r="KGW56" s="378"/>
      <c r="KGX56" s="378"/>
      <c r="KGY56" s="378"/>
      <c r="KGZ56" s="378"/>
      <c r="KHA56" s="378"/>
      <c r="KHB56" s="378"/>
      <c r="KHC56" s="378"/>
      <c r="KHD56" s="378"/>
      <c r="KHE56" s="378"/>
      <c r="KHF56" s="378"/>
      <c r="KHG56" s="378"/>
      <c r="KHH56" s="378"/>
      <c r="KHI56" s="378"/>
      <c r="KHJ56" s="378"/>
      <c r="KHK56" s="378"/>
      <c r="KHL56" s="378"/>
      <c r="KHM56" s="378"/>
      <c r="KHN56" s="378"/>
      <c r="KHO56" s="378"/>
      <c r="KHP56" s="378"/>
      <c r="KHQ56" s="378"/>
      <c r="KHR56" s="378"/>
      <c r="KHS56" s="378"/>
      <c r="KHT56" s="378"/>
      <c r="KHU56" s="378"/>
      <c r="KHV56" s="378"/>
      <c r="KHW56" s="378"/>
      <c r="KHX56" s="378"/>
      <c r="KHY56" s="378"/>
      <c r="KHZ56" s="378"/>
      <c r="KIA56" s="378"/>
      <c r="KIB56" s="378"/>
      <c r="KIC56" s="378"/>
      <c r="KID56" s="378"/>
      <c r="KIE56" s="378"/>
      <c r="KIF56" s="378"/>
      <c r="KIG56" s="378"/>
      <c r="KIH56" s="378"/>
      <c r="KII56" s="378"/>
      <c r="KIJ56" s="378"/>
      <c r="KIK56" s="378"/>
      <c r="KIL56" s="378"/>
      <c r="KIM56" s="378"/>
      <c r="KIN56" s="378"/>
      <c r="KIO56" s="378"/>
      <c r="KIP56" s="378"/>
      <c r="KIQ56" s="378"/>
      <c r="KIR56" s="378"/>
      <c r="KIS56" s="378"/>
      <c r="KIT56" s="378"/>
      <c r="KIU56" s="378"/>
      <c r="KIV56" s="378"/>
      <c r="KIW56" s="378"/>
      <c r="KIX56" s="378"/>
      <c r="KIY56" s="378"/>
      <c r="KIZ56" s="378"/>
      <c r="KJA56" s="378"/>
      <c r="KJB56" s="378"/>
      <c r="KJC56" s="378"/>
      <c r="KJD56" s="378"/>
      <c r="KJE56" s="378"/>
      <c r="KJF56" s="378"/>
      <c r="KJG56" s="378"/>
      <c r="KJH56" s="378"/>
      <c r="KJI56" s="378"/>
      <c r="KJJ56" s="378"/>
      <c r="KJK56" s="378"/>
      <c r="KJL56" s="378"/>
      <c r="KJM56" s="378"/>
      <c r="KJN56" s="378"/>
      <c r="KJO56" s="378"/>
      <c r="KJP56" s="378"/>
      <c r="KJQ56" s="378"/>
      <c r="KJR56" s="378"/>
      <c r="KJS56" s="378"/>
      <c r="KJT56" s="378"/>
      <c r="KJU56" s="378"/>
      <c r="KJV56" s="378"/>
      <c r="KJW56" s="378"/>
      <c r="KJX56" s="378"/>
      <c r="KJY56" s="378"/>
      <c r="KJZ56" s="378"/>
      <c r="KKA56" s="378"/>
      <c r="KKB56" s="378"/>
      <c r="KKC56" s="378"/>
      <c r="KKD56" s="378"/>
      <c r="KKE56" s="378"/>
      <c r="KKF56" s="378"/>
      <c r="KKG56" s="378"/>
      <c r="KKH56" s="378"/>
      <c r="KKI56" s="378"/>
      <c r="KKJ56" s="378"/>
      <c r="KKK56" s="378"/>
      <c r="KKL56" s="378"/>
      <c r="KKM56" s="378"/>
      <c r="KKN56" s="378"/>
      <c r="KKO56" s="378"/>
      <c r="KKP56" s="378"/>
      <c r="KKQ56" s="378"/>
      <c r="KKR56" s="378"/>
      <c r="KKS56" s="378"/>
      <c r="KKT56" s="378"/>
      <c r="KKU56" s="378"/>
      <c r="KKV56" s="378"/>
      <c r="KKW56" s="378"/>
      <c r="KKX56" s="378"/>
      <c r="KKY56" s="378"/>
      <c r="KKZ56" s="378"/>
      <c r="KLA56" s="378"/>
      <c r="KLB56" s="378"/>
      <c r="KLC56" s="378"/>
      <c r="KLD56" s="378"/>
      <c r="KLE56" s="378"/>
      <c r="KLF56" s="378"/>
      <c r="KLG56" s="378"/>
      <c r="KLH56" s="378"/>
      <c r="KLI56" s="378"/>
      <c r="KLJ56" s="378"/>
      <c r="KLK56" s="378"/>
      <c r="KLL56" s="378"/>
      <c r="KLM56" s="378"/>
      <c r="KLN56" s="378"/>
      <c r="KLO56" s="378"/>
      <c r="KLP56" s="378"/>
      <c r="KLQ56" s="378"/>
      <c r="KLR56" s="378"/>
      <c r="KLS56" s="378"/>
      <c r="KLT56" s="378"/>
      <c r="KLU56" s="378"/>
      <c r="KLV56" s="378"/>
      <c r="KLW56" s="378"/>
      <c r="KLX56" s="378"/>
      <c r="KLY56" s="378"/>
      <c r="KLZ56" s="378"/>
      <c r="KMA56" s="378"/>
      <c r="KMB56" s="378"/>
      <c r="KMC56" s="378"/>
      <c r="KMD56" s="378"/>
      <c r="KME56" s="378"/>
      <c r="KMF56" s="378"/>
      <c r="KMG56" s="378"/>
      <c r="KMH56" s="378"/>
      <c r="KMI56" s="378"/>
      <c r="KMJ56" s="378"/>
      <c r="KMK56" s="378"/>
      <c r="KML56" s="378"/>
      <c r="KMM56" s="378"/>
      <c r="KMN56" s="378"/>
      <c r="KMO56" s="378"/>
      <c r="KMP56" s="378"/>
      <c r="KMQ56" s="378"/>
      <c r="KMR56" s="378"/>
      <c r="KMS56" s="378"/>
      <c r="KMT56" s="378"/>
      <c r="KMU56" s="378"/>
      <c r="KMV56" s="378"/>
      <c r="KMW56" s="378"/>
      <c r="KMX56" s="378"/>
      <c r="KMY56" s="378"/>
      <c r="KMZ56" s="378"/>
      <c r="KNA56" s="378"/>
      <c r="KNB56" s="378"/>
      <c r="KNC56" s="378"/>
      <c r="KND56" s="378"/>
      <c r="KNE56" s="378"/>
      <c r="KNF56" s="378"/>
      <c r="KNG56" s="378"/>
      <c r="KNH56" s="378"/>
      <c r="KNI56" s="378"/>
      <c r="KNJ56" s="378"/>
      <c r="KNK56" s="378"/>
      <c r="KNL56" s="378"/>
      <c r="KNM56" s="378"/>
      <c r="KNN56" s="378"/>
      <c r="KNO56" s="378"/>
      <c r="KNP56" s="378"/>
      <c r="KNQ56" s="378"/>
      <c r="KNR56" s="378"/>
      <c r="KNS56" s="378"/>
      <c r="KNT56" s="378"/>
      <c r="KNU56" s="378"/>
      <c r="KNV56" s="378"/>
      <c r="KNW56" s="378"/>
      <c r="KNX56" s="378"/>
      <c r="KNY56" s="378"/>
      <c r="KNZ56" s="378"/>
      <c r="KOA56" s="378"/>
      <c r="KOB56" s="378"/>
      <c r="KOC56" s="378"/>
      <c r="KOD56" s="378"/>
      <c r="KOE56" s="378"/>
      <c r="KOF56" s="378"/>
      <c r="KOG56" s="378"/>
      <c r="KOH56" s="378"/>
      <c r="KOI56" s="378"/>
      <c r="KOJ56" s="378"/>
      <c r="KOK56" s="378"/>
      <c r="KOL56" s="378"/>
      <c r="KOM56" s="378"/>
      <c r="KON56" s="378"/>
      <c r="KOO56" s="378"/>
      <c r="KOP56" s="378"/>
      <c r="KOQ56" s="378"/>
      <c r="KOR56" s="378"/>
      <c r="KOS56" s="378"/>
      <c r="KOT56" s="378"/>
      <c r="KOU56" s="378"/>
      <c r="KOV56" s="378"/>
      <c r="KOW56" s="378"/>
      <c r="KOX56" s="378"/>
      <c r="KOY56" s="378"/>
      <c r="KOZ56" s="378"/>
      <c r="KPA56" s="378"/>
      <c r="KPB56" s="378"/>
      <c r="KPC56" s="378"/>
      <c r="KPD56" s="378"/>
      <c r="KPE56" s="378"/>
      <c r="KPF56" s="378"/>
      <c r="KPG56" s="378"/>
      <c r="KPH56" s="378"/>
      <c r="KPI56" s="378"/>
      <c r="KPJ56" s="378"/>
      <c r="KPK56" s="378"/>
      <c r="KPL56" s="378"/>
      <c r="KPM56" s="378"/>
      <c r="KPN56" s="378"/>
      <c r="KPO56" s="378"/>
      <c r="KPP56" s="378"/>
      <c r="KPQ56" s="378"/>
      <c r="KPR56" s="378"/>
      <c r="KPS56" s="378"/>
      <c r="KPT56" s="378"/>
      <c r="KPU56" s="378"/>
      <c r="KPV56" s="378"/>
      <c r="KPW56" s="378"/>
      <c r="KPX56" s="378"/>
      <c r="KPY56" s="378"/>
      <c r="KPZ56" s="378"/>
      <c r="KQA56" s="378"/>
      <c r="KQB56" s="378"/>
      <c r="KQC56" s="378"/>
      <c r="KQD56" s="378"/>
      <c r="KQE56" s="378"/>
      <c r="KQF56" s="378"/>
      <c r="KQG56" s="378"/>
      <c r="KQH56" s="378"/>
      <c r="KQI56" s="378"/>
      <c r="KQJ56" s="378"/>
      <c r="KQK56" s="378"/>
      <c r="KQL56" s="378"/>
      <c r="KQM56" s="378"/>
      <c r="KQN56" s="378"/>
      <c r="KQO56" s="378"/>
      <c r="KQP56" s="378"/>
      <c r="KQQ56" s="378"/>
      <c r="KQR56" s="378"/>
      <c r="KQS56" s="378"/>
      <c r="KQT56" s="378"/>
      <c r="KQU56" s="378"/>
      <c r="KQV56" s="378"/>
      <c r="KQW56" s="378"/>
      <c r="KQX56" s="378"/>
      <c r="KQY56" s="378"/>
      <c r="KQZ56" s="378"/>
      <c r="KRA56" s="378"/>
      <c r="KRB56" s="378"/>
      <c r="KRC56" s="378"/>
      <c r="KRD56" s="378"/>
      <c r="KRE56" s="378"/>
      <c r="KRF56" s="378"/>
      <c r="KRG56" s="378"/>
      <c r="KRH56" s="378"/>
      <c r="KRI56" s="378"/>
      <c r="KRJ56" s="378"/>
      <c r="KRK56" s="378"/>
      <c r="KRL56" s="378"/>
      <c r="KRM56" s="378"/>
      <c r="KRN56" s="378"/>
      <c r="KRO56" s="378"/>
      <c r="KRP56" s="378"/>
      <c r="KRQ56" s="378"/>
      <c r="KRR56" s="378"/>
      <c r="KRS56" s="378"/>
      <c r="KRT56" s="378"/>
      <c r="KRU56" s="378"/>
      <c r="KRV56" s="378"/>
      <c r="KRW56" s="378"/>
      <c r="KRX56" s="378"/>
      <c r="KRY56" s="378"/>
      <c r="KRZ56" s="378"/>
      <c r="KSA56" s="378"/>
      <c r="KSB56" s="378"/>
      <c r="KSC56" s="378"/>
      <c r="KSD56" s="378"/>
      <c r="KSE56" s="378"/>
      <c r="KSF56" s="378"/>
      <c r="KSG56" s="378"/>
      <c r="KSH56" s="378"/>
      <c r="KSI56" s="378"/>
      <c r="KSJ56" s="378"/>
      <c r="KSK56" s="378"/>
      <c r="KSL56" s="378"/>
      <c r="KSM56" s="378"/>
      <c r="KSN56" s="378"/>
      <c r="KSO56" s="378"/>
      <c r="KSP56" s="378"/>
      <c r="KSQ56" s="378"/>
      <c r="KSR56" s="378"/>
      <c r="KSS56" s="378"/>
      <c r="KST56" s="378"/>
      <c r="KSU56" s="378"/>
      <c r="KSV56" s="378"/>
      <c r="KSW56" s="378"/>
      <c r="KSX56" s="378"/>
      <c r="KSY56" s="378"/>
      <c r="KSZ56" s="378"/>
      <c r="KTA56" s="378"/>
      <c r="KTB56" s="378"/>
      <c r="KTC56" s="378"/>
      <c r="KTD56" s="378"/>
      <c r="KTE56" s="378"/>
      <c r="KTF56" s="378"/>
      <c r="KTG56" s="378"/>
      <c r="KTH56" s="378"/>
      <c r="KTI56" s="378"/>
      <c r="KTJ56" s="378"/>
      <c r="KTK56" s="378"/>
      <c r="KTL56" s="378"/>
      <c r="KTM56" s="378"/>
      <c r="KTN56" s="378"/>
      <c r="KTO56" s="378"/>
      <c r="KTP56" s="378"/>
      <c r="KTQ56" s="378"/>
      <c r="KTR56" s="378"/>
      <c r="KTS56" s="378"/>
      <c r="KTT56" s="378"/>
      <c r="KTU56" s="378"/>
      <c r="KTV56" s="378"/>
      <c r="KTW56" s="378"/>
      <c r="KTX56" s="378"/>
      <c r="KTY56" s="378"/>
      <c r="KTZ56" s="378"/>
      <c r="KUA56" s="378"/>
      <c r="KUB56" s="378"/>
      <c r="KUC56" s="378"/>
      <c r="KUD56" s="378"/>
      <c r="KUE56" s="378"/>
      <c r="KUF56" s="378"/>
      <c r="KUG56" s="378"/>
      <c r="KUH56" s="378"/>
      <c r="KUI56" s="378"/>
      <c r="KUJ56" s="378"/>
      <c r="KUK56" s="378"/>
      <c r="KUL56" s="378"/>
      <c r="KUM56" s="378"/>
      <c r="KUN56" s="378"/>
      <c r="KUO56" s="378"/>
      <c r="KUP56" s="378"/>
      <c r="KUQ56" s="378"/>
      <c r="KUR56" s="378"/>
      <c r="KUS56" s="378"/>
      <c r="KUT56" s="378"/>
      <c r="KUU56" s="378"/>
      <c r="KUV56" s="378"/>
      <c r="KUW56" s="378"/>
      <c r="KUX56" s="378"/>
      <c r="KUY56" s="378"/>
      <c r="KUZ56" s="378"/>
      <c r="KVA56" s="378"/>
      <c r="KVB56" s="378"/>
      <c r="KVC56" s="378"/>
      <c r="KVD56" s="378"/>
      <c r="KVE56" s="378"/>
      <c r="KVF56" s="378"/>
      <c r="KVG56" s="378"/>
      <c r="KVH56" s="378"/>
      <c r="KVI56" s="378"/>
      <c r="KVJ56" s="378"/>
      <c r="KVK56" s="378"/>
      <c r="KVL56" s="378"/>
      <c r="KVM56" s="378"/>
      <c r="KVN56" s="378"/>
      <c r="KVO56" s="378"/>
      <c r="KVP56" s="378"/>
      <c r="KVQ56" s="378"/>
      <c r="KVR56" s="378"/>
      <c r="KVS56" s="378"/>
      <c r="KVT56" s="378"/>
      <c r="KVU56" s="378"/>
      <c r="KVV56" s="378"/>
      <c r="KVW56" s="378"/>
      <c r="KVX56" s="378"/>
      <c r="KVY56" s="378"/>
      <c r="KVZ56" s="378"/>
      <c r="KWA56" s="378"/>
      <c r="KWB56" s="378"/>
      <c r="KWC56" s="378"/>
      <c r="KWD56" s="378"/>
      <c r="KWE56" s="378"/>
      <c r="KWF56" s="378"/>
      <c r="KWG56" s="378"/>
      <c r="KWH56" s="378"/>
      <c r="KWI56" s="378"/>
      <c r="KWJ56" s="378"/>
      <c r="KWK56" s="378"/>
      <c r="KWL56" s="378"/>
      <c r="KWM56" s="378"/>
      <c r="KWN56" s="378"/>
      <c r="KWO56" s="378"/>
      <c r="KWP56" s="378"/>
      <c r="KWQ56" s="378"/>
      <c r="KWR56" s="378"/>
      <c r="KWS56" s="378"/>
      <c r="KWT56" s="378"/>
      <c r="KWU56" s="378"/>
      <c r="KWV56" s="378"/>
      <c r="KWW56" s="378"/>
      <c r="KWX56" s="378"/>
      <c r="KWY56" s="378"/>
      <c r="KWZ56" s="378"/>
      <c r="KXA56" s="378"/>
      <c r="KXB56" s="378"/>
      <c r="KXC56" s="378"/>
      <c r="KXD56" s="378"/>
      <c r="KXE56" s="378"/>
      <c r="KXF56" s="378"/>
      <c r="KXG56" s="378"/>
      <c r="KXH56" s="378"/>
      <c r="KXI56" s="378"/>
      <c r="KXJ56" s="378"/>
      <c r="KXK56" s="378"/>
      <c r="KXL56" s="378"/>
      <c r="KXM56" s="378"/>
      <c r="KXN56" s="378"/>
      <c r="KXO56" s="378"/>
      <c r="KXP56" s="378"/>
      <c r="KXQ56" s="378"/>
      <c r="KXR56" s="378"/>
      <c r="KXS56" s="378"/>
      <c r="KXT56" s="378"/>
      <c r="KXU56" s="378"/>
      <c r="KXV56" s="378"/>
      <c r="KXW56" s="378"/>
      <c r="KXX56" s="378"/>
      <c r="KXY56" s="378"/>
      <c r="KXZ56" s="378"/>
      <c r="KYA56" s="378"/>
      <c r="KYB56" s="378"/>
      <c r="KYC56" s="378"/>
      <c r="KYD56" s="378"/>
      <c r="KYE56" s="378"/>
      <c r="KYF56" s="378"/>
      <c r="KYG56" s="378"/>
      <c r="KYH56" s="378"/>
      <c r="KYI56" s="378"/>
      <c r="KYJ56" s="378"/>
      <c r="KYK56" s="378"/>
      <c r="KYL56" s="378"/>
      <c r="KYM56" s="378"/>
      <c r="KYN56" s="378"/>
      <c r="KYO56" s="378"/>
      <c r="KYP56" s="378"/>
      <c r="KYQ56" s="378"/>
      <c r="KYR56" s="378"/>
      <c r="KYS56" s="378"/>
      <c r="KYT56" s="378"/>
      <c r="KYU56" s="378"/>
      <c r="KYV56" s="378"/>
      <c r="KYW56" s="378"/>
      <c r="KYX56" s="378"/>
      <c r="KYY56" s="378"/>
      <c r="KYZ56" s="378"/>
      <c r="KZA56" s="378"/>
      <c r="KZB56" s="378"/>
      <c r="KZC56" s="378"/>
      <c r="KZD56" s="378"/>
      <c r="KZE56" s="378"/>
      <c r="KZF56" s="378"/>
      <c r="KZG56" s="378"/>
      <c r="KZH56" s="378"/>
      <c r="KZI56" s="378"/>
      <c r="KZJ56" s="378"/>
      <c r="KZK56" s="378"/>
      <c r="KZL56" s="378"/>
      <c r="KZM56" s="378"/>
      <c r="KZN56" s="378"/>
      <c r="KZO56" s="378"/>
      <c r="KZP56" s="378"/>
      <c r="KZQ56" s="378"/>
      <c r="KZR56" s="378"/>
      <c r="KZS56" s="378"/>
      <c r="KZT56" s="378"/>
      <c r="KZU56" s="378"/>
      <c r="KZV56" s="378"/>
      <c r="KZW56" s="378"/>
      <c r="KZX56" s="378"/>
      <c r="KZY56" s="378"/>
      <c r="KZZ56" s="378"/>
      <c r="LAA56" s="378"/>
      <c r="LAB56" s="378"/>
      <c r="LAC56" s="378"/>
      <c r="LAD56" s="378"/>
      <c r="LAE56" s="378"/>
      <c r="LAF56" s="378"/>
      <c r="LAG56" s="378"/>
      <c r="LAH56" s="378"/>
      <c r="LAI56" s="378"/>
      <c r="LAJ56" s="378"/>
      <c r="LAK56" s="378"/>
      <c r="LAL56" s="378"/>
      <c r="LAM56" s="378"/>
      <c r="LAN56" s="378"/>
      <c r="LAO56" s="378"/>
      <c r="LAP56" s="378"/>
      <c r="LAQ56" s="378"/>
      <c r="LAR56" s="378"/>
      <c r="LAS56" s="378"/>
      <c r="LAT56" s="378"/>
      <c r="LAU56" s="378"/>
      <c r="LAV56" s="378"/>
      <c r="LAW56" s="378"/>
      <c r="LAX56" s="378"/>
      <c r="LAY56" s="378"/>
      <c r="LAZ56" s="378"/>
      <c r="LBA56" s="378"/>
      <c r="LBB56" s="378"/>
      <c r="LBC56" s="378"/>
      <c r="LBD56" s="378"/>
      <c r="LBE56" s="378"/>
      <c r="LBF56" s="378"/>
      <c r="LBG56" s="378"/>
      <c r="LBH56" s="378"/>
      <c r="LBI56" s="378"/>
      <c r="LBJ56" s="378"/>
      <c r="LBK56" s="378"/>
      <c r="LBL56" s="378"/>
      <c r="LBM56" s="378"/>
      <c r="LBN56" s="378"/>
      <c r="LBO56" s="378"/>
      <c r="LBP56" s="378"/>
      <c r="LBQ56" s="378"/>
      <c r="LBR56" s="378"/>
      <c r="LBS56" s="378"/>
      <c r="LBT56" s="378"/>
      <c r="LBU56" s="378"/>
      <c r="LBV56" s="378"/>
      <c r="LBW56" s="378"/>
      <c r="LBX56" s="378"/>
      <c r="LBY56" s="378"/>
      <c r="LBZ56" s="378"/>
      <c r="LCA56" s="378"/>
      <c r="LCB56" s="378"/>
      <c r="LCC56" s="378"/>
      <c r="LCD56" s="378"/>
      <c r="LCE56" s="378"/>
      <c r="LCF56" s="378"/>
      <c r="LCG56" s="378"/>
      <c r="LCH56" s="378"/>
      <c r="LCI56" s="378"/>
      <c r="LCJ56" s="378"/>
      <c r="LCK56" s="378"/>
      <c r="LCL56" s="378"/>
      <c r="LCM56" s="378"/>
      <c r="LCN56" s="378"/>
      <c r="LCO56" s="378"/>
      <c r="LCP56" s="378"/>
      <c r="LCQ56" s="378"/>
      <c r="LCR56" s="378"/>
      <c r="LCS56" s="378"/>
      <c r="LCT56" s="378"/>
      <c r="LCU56" s="378"/>
      <c r="LCV56" s="378"/>
      <c r="LCW56" s="378"/>
      <c r="LCX56" s="378"/>
      <c r="LCY56" s="378"/>
      <c r="LCZ56" s="378"/>
      <c r="LDA56" s="378"/>
      <c r="LDB56" s="378"/>
      <c r="LDC56" s="378"/>
      <c r="LDD56" s="378"/>
      <c r="LDE56" s="378"/>
      <c r="LDF56" s="378"/>
      <c r="LDG56" s="378"/>
      <c r="LDH56" s="378"/>
      <c r="LDI56" s="378"/>
      <c r="LDJ56" s="378"/>
      <c r="LDK56" s="378"/>
      <c r="LDL56" s="378"/>
      <c r="LDM56" s="378"/>
      <c r="LDN56" s="378"/>
      <c r="LDO56" s="378"/>
      <c r="LDP56" s="378"/>
      <c r="LDQ56" s="378"/>
      <c r="LDR56" s="378"/>
      <c r="LDS56" s="378"/>
      <c r="LDT56" s="378"/>
      <c r="LDU56" s="378"/>
      <c r="LDV56" s="378"/>
      <c r="LDW56" s="378"/>
      <c r="LDX56" s="378"/>
      <c r="LDY56" s="378"/>
      <c r="LDZ56" s="378"/>
      <c r="LEA56" s="378"/>
      <c r="LEB56" s="378"/>
      <c r="LEC56" s="378"/>
      <c r="LED56" s="378"/>
      <c r="LEE56" s="378"/>
      <c r="LEF56" s="378"/>
      <c r="LEG56" s="378"/>
      <c r="LEH56" s="378"/>
      <c r="LEI56" s="378"/>
      <c r="LEJ56" s="378"/>
      <c r="LEK56" s="378"/>
      <c r="LEL56" s="378"/>
      <c r="LEM56" s="378"/>
      <c r="LEN56" s="378"/>
      <c r="LEO56" s="378"/>
      <c r="LEP56" s="378"/>
      <c r="LEQ56" s="378"/>
      <c r="LER56" s="378"/>
      <c r="LES56" s="378"/>
      <c r="LET56" s="378"/>
      <c r="LEU56" s="378"/>
      <c r="LEV56" s="378"/>
      <c r="LEW56" s="378"/>
      <c r="LEX56" s="378"/>
      <c r="LEY56" s="378"/>
      <c r="LEZ56" s="378"/>
      <c r="LFA56" s="378"/>
      <c r="LFB56" s="378"/>
      <c r="LFC56" s="378"/>
      <c r="LFD56" s="378"/>
      <c r="LFE56" s="378"/>
      <c r="LFF56" s="378"/>
      <c r="LFG56" s="378"/>
      <c r="LFH56" s="378"/>
      <c r="LFI56" s="378"/>
      <c r="LFJ56" s="378"/>
      <c r="LFK56" s="378"/>
      <c r="LFL56" s="378"/>
      <c r="LFM56" s="378"/>
      <c r="LFN56" s="378"/>
      <c r="LFO56" s="378"/>
      <c r="LFP56" s="378"/>
      <c r="LFQ56" s="378"/>
      <c r="LFR56" s="378"/>
      <c r="LFS56" s="378"/>
      <c r="LFT56" s="378"/>
      <c r="LFU56" s="378"/>
      <c r="LFV56" s="378"/>
      <c r="LFW56" s="378"/>
      <c r="LFX56" s="378"/>
      <c r="LFY56" s="378"/>
      <c r="LFZ56" s="378"/>
      <c r="LGA56" s="378"/>
      <c r="LGB56" s="378"/>
      <c r="LGC56" s="378"/>
      <c r="LGD56" s="378"/>
      <c r="LGE56" s="378"/>
      <c r="LGF56" s="378"/>
      <c r="LGG56" s="378"/>
      <c r="LGH56" s="378"/>
      <c r="LGI56" s="378"/>
      <c r="LGJ56" s="378"/>
      <c r="LGK56" s="378"/>
      <c r="LGL56" s="378"/>
      <c r="LGM56" s="378"/>
      <c r="LGN56" s="378"/>
      <c r="LGO56" s="378"/>
      <c r="LGP56" s="378"/>
      <c r="LGQ56" s="378"/>
      <c r="LGR56" s="378"/>
      <c r="LGS56" s="378"/>
      <c r="LGT56" s="378"/>
      <c r="LGU56" s="378"/>
      <c r="LGV56" s="378"/>
      <c r="LGW56" s="378"/>
      <c r="LGX56" s="378"/>
      <c r="LGY56" s="378"/>
      <c r="LGZ56" s="378"/>
      <c r="LHA56" s="378"/>
      <c r="LHB56" s="378"/>
      <c r="LHC56" s="378"/>
      <c r="LHD56" s="378"/>
      <c r="LHE56" s="378"/>
      <c r="LHF56" s="378"/>
      <c r="LHG56" s="378"/>
      <c r="LHH56" s="378"/>
      <c r="LHI56" s="378"/>
      <c r="LHJ56" s="378"/>
      <c r="LHK56" s="378"/>
      <c r="LHL56" s="378"/>
      <c r="LHM56" s="378"/>
      <c r="LHN56" s="378"/>
      <c r="LHO56" s="378"/>
      <c r="LHP56" s="378"/>
      <c r="LHQ56" s="378"/>
      <c r="LHR56" s="378"/>
      <c r="LHS56" s="378"/>
      <c r="LHT56" s="378"/>
      <c r="LHU56" s="378"/>
      <c r="LHV56" s="378"/>
      <c r="LHW56" s="378"/>
      <c r="LHX56" s="378"/>
      <c r="LHY56" s="378"/>
      <c r="LHZ56" s="378"/>
      <c r="LIA56" s="378"/>
      <c r="LIB56" s="378"/>
      <c r="LIC56" s="378"/>
      <c r="LID56" s="378"/>
      <c r="LIE56" s="378"/>
      <c r="LIF56" s="378"/>
      <c r="LIG56" s="378"/>
      <c r="LIH56" s="378"/>
      <c r="LII56" s="378"/>
      <c r="LIJ56" s="378"/>
      <c r="LIK56" s="378"/>
      <c r="LIL56" s="378"/>
      <c r="LIM56" s="378"/>
      <c r="LIN56" s="378"/>
      <c r="LIO56" s="378"/>
      <c r="LIP56" s="378"/>
      <c r="LIQ56" s="378"/>
      <c r="LIR56" s="378"/>
      <c r="LIS56" s="378"/>
      <c r="LIT56" s="378"/>
      <c r="LIU56" s="378"/>
      <c r="LIV56" s="378"/>
      <c r="LIW56" s="378"/>
      <c r="LIX56" s="378"/>
      <c r="LIY56" s="378"/>
      <c r="LIZ56" s="378"/>
      <c r="LJA56" s="378"/>
      <c r="LJB56" s="378"/>
      <c r="LJC56" s="378"/>
      <c r="LJD56" s="378"/>
      <c r="LJE56" s="378"/>
      <c r="LJF56" s="378"/>
      <c r="LJG56" s="378"/>
      <c r="LJH56" s="378"/>
      <c r="LJI56" s="378"/>
      <c r="LJJ56" s="378"/>
      <c r="LJK56" s="378"/>
      <c r="LJL56" s="378"/>
      <c r="LJM56" s="378"/>
      <c r="LJN56" s="378"/>
      <c r="LJO56" s="378"/>
      <c r="LJP56" s="378"/>
      <c r="LJQ56" s="378"/>
      <c r="LJR56" s="378"/>
      <c r="LJS56" s="378"/>
      <c r="LJT56" s="378"/>
      <c r="LJU56" s="378"/>
      <c r="LJV56" s="378"/>
      <c r="LJW56" s="378"/>
      <c r="LJX56" s="378"/>
      <c r="LJY56" s="378"/>
      <c r="LJZ56" s="378"/>
      <c r="LKA56" s="378"/>
      <c r="LKB56" s="378"/>
      <c r="LKC56" s="378"/>
      <c r="LKD56" s="378"/>
      <c r="LKE56" s="378"/>
      <c r="LKF56" s="378"/>
      <c r="LKG56" s="378"/>
      <c r="LKH56" s="378"/>
      <c r="LKI56" s="378"/>
      <c r="LKJ56" s="378"/>
      <c r="LKK56" s="378"/>
      <c r="LKL56" s="378"/>
      <c r="LKM56" s="378"/>
      <c r="LKN56" s="378"/>
      <c r="LKO56" s="378"/>
      <c r="LKP56" s="378"/>
      <c r="LKQ56" s="378"/>
      <c r="LKR56" s="378"/>
      <c r="LKS56" s="378"/>
      <c r="LKT56" s="378"/>
      <c r="LKU56" s="378"/>
      <c r="LKV56" s="378"/>
      <c r="LKW56" s="378"/>
      <c r="LKX56" s="378"/>
      <c r="LKY56" s="378"/>
      <c r="LKZ56" s="378"/>
      <c r="LLA56" s="378"/>
      <c r="LLB56" s="378"/>
      <c r="LLC56" s="378"/>
      <c r="LLD56" s="378"/>
      <c r="LLE56" s="378"/>
      <c r="LLF56" s="378"/>
      <c r="LLG56" s="378"/>
      <c r="LLH56" s="378"/>
      <c r="LLI56" s="378"/>
      <c r="LLJ56" s="378"/>
      <c r="LLK56" s="378"/>
      <c r="LLL56" s="378"/>
      <c r="LLM56" s="378"/>
      <c r="LLN56" s="378"/>
      <c r="LLO56" s="378"/>
      <c r="LLP56" s="378"/>
      <c r="LLQ56" s="378"/>
      <c r="LLR56" s="378"/>
      <c r="LLS56" s="378"/>
      <c r="LLT56" s="378"/>
      <c r="LLU56" s="378"/>
      <c r="LLV56" s="378"/>
      <c r="LLW56" s="378"/>
      <c r="LLX56" s="378"/>
      <c r="LLY56" s="378"/>
      <c r="LLZ56" s="378"/>
      <c r="LMA56" s="378"/>
      <c r="LMB56" s="378"/>
      <c r="LMC56" s="378"/>
      <c r="LMD56" s="378"/>
      <c r="LME56" s="378"/>
      <c r="LMF56" s="378"/>
      <c r="LMG56" s="378"/>
      <c r="LMH56" s="378"/>
      <c r="LMI56" s="378"/>
      <c r="LMJ56" s="378"/>
      <c r="LMK56" s="378"/>
      <c r="LML56" s="378"/>
      <c r="LMM56" s="378"/>
      <c r="LMN56" s="378"/>
      <c r="LMO56" s="378"/>
      <c r="LMP56" s="378"/>
      <c r="LMQ56" s="378"/>
      <c r="LMR56" s="378"/>
      <c r="LMS56" s="378"/>
      <c r="LMT56" s="378"/>
      <c r="LMU56" s="378"/>
      <c r="LMV56" s="378"/>
      <c r="LMW56" s="378"/>
      <c r="LMX56" s="378"/>
      <c r="LMY56" s="378"/>
      <c r="LMZ56" s="378"/>
      <c r="LNA56" s="378"/>
      <c r="LNB56" s="378"/>
      <c r="LNC56" s="378"/>
      <c r="LND56" s="378"/>
      <c r="LNE56" s="378"/>
      <c r="LNF56" s="378"/>
      <c r="LNG56" s="378"/>
      <c r="LNH56" s="378"/>
      <c r="LNI56" s="378"/>
      <c r="LNJ56" s="378"/>
      <c r="LNK56" s="378"/>
      <c r="LNL56" s="378"/>
      <c r="LNM56" s="378"/>
      <c r="LNN56" s="378"/>
      <c r="LNO56" s="378"/>
      <c r="LNP56" s="378"/>
      <c r="LNQ56" s="378"/>
      <c r="LNR56" s="378"/>
      <c r="LNS56" s="378"/>
      <c r="LNT56" s="378"/>
      <c r="LNU56" s="378"/>
      <c r="LNV56" s="378"/>
      <c r="LNW56" s="378"/>
      <c r="LNX56" s="378"/>
      <c r="LNY56" s="378"/>
      <c r="LNZ56" s="378"/>
      <c r="LOA56" s="378"/>
      <c r="LOB56" s="378"/>
      <c r="LOC56" s="378"/>
      <c r="LOD56" s="378"/>
      <c r="LOE56" s="378"/>
      <c r="LOF56" s="378"/>
      <c r="LOG56" s="378"/>
      <c r="LOH56" s="378"/>
      <c r="LOI56" s="378"/>
      <c r="LOJ56" s="378"/>
      <c r="LOK56" s="378"/>
      <c r="LOL56" s="378"/>
      <c r="LOM56" s="378"/>
      <c r="LON56" s="378"/>
      <c r="LOO56" s="378"/>
      <c r="LOP56" s="378"/>
      <c r="LOQ56" s="378"/>
      <c r="LOR56" s="378"/>
      <c r="LOS56" s="378"/>
      <c r="LOT56" s="378"/>
      <c r="LOU56" s="378"/>
      <c r="LOV56" s="378"/>
      <c r="LOW56" s="378"/>
      <c r="LOX56" s="378"/>
      <c r="LOY56" s="378"/>
      <c r="LOZ56" s="378"/>
      <c r="LPA56" s="378"/>
      <c r="LPB56" s="378"/>
      <c r="LPC56" s="378"/>
      <c r="LPD56" s="378"/>
      <c r="LPE56" s="378"/>
      <c r="LPF56" s="378"/>
      <c r="LPG56" s="378"/>
      <c r="LPH56" s="378"/>
      <c r="LPI56" s="378"/>
      <c r="LPJ56" s="378"/>
      <c r="LPK56" s="378"/>
      <c r="LPL56" s="378"/>
      <c r="LPM56" s="378"/>
      <c r="LPN56" s="378"/>
      <c r="LPO56" s="378"/>
      <c r="LPP56" s="378"/>
      <c r="LPQ56" s="378"/>
      <c r="LPR56" s="378"/>
      <c r="LPS56" s="378"/>
      <c r="LPT56" s="378"/>
      <c r="LPU56" s="378"/>
      <c r="LPV56" s="378"/>
      <c r="LPW56" s="378"/>
      <c r="LPX56" s="378"/>
      <c r="LPY56" s="378"/>
      <c r="LPZ56" s="378"/>
      <c r="LQA56" s="378"/>
      <c r="LQB56" s="378"/>
      <c r="LQC56" s="378"/>
      <c r="LQD56" s="378"/>
      <c r="LQE56" s="378"/>
      <c r="LQF56" s="378"/>
      <c r="LQG56" s="378"/>
      <c r="LQH56" s="378"/>
      <c r="LQI56" s="378"/>
      <c r="LQJ56" s="378"/>
      <c r="LQK56" s="378"/>
      <c r="LQL56" s="378"/>
      <c r="LQM56" s="378"/>
      <c r="LQN56" s="378"/>
      <c r="LQO56" s="378"/>
      <c r="LQP56" s="378"/>
      <c r="LQQ56" s="378"/>
      <c r="LQR56" s="378"/>
      <c r="LQS56" s="378"/>
      <c r="LQT56" s="378"/>
      <c r="LQU56" s="378"/>
      <c r="LQV56" s="378"/>
      <c r="LQW56" s="378"/>
      <c r="LQX56" s="378"/>
      <c r="LQY56" s="378"/>
      <c r="LQZ56" s="378"/>
      <c r="LRA56" s="378"/>
      <c r="LRB56" s="378"/>
      <c r="LRC56" s="378"/>
      <c r="LRD56" s="378"/>
      <c r="LRE56" s="378"/>
      <c r="LRF56" s="378"/>
      <c r="LRG56" s="378"/>
      <c r="LRH56" s="378"/>
      <c r="LRI56" s="378"/>
      <c r="LRJ56" s="378"/>
      <c r="LRK56" s="378"/>
      <c r="LRL56" s="378"/>
      <c r="LRM56" s="378"/>
      <c r="LRN56" s="378"/>
      <c r="LRO56" s="378"/>
      <c r="LRP56" s="378"/>
      <c r="LRQ56" s="378"/>
      <c r="LRR56" s="378"/>
      <c r="LRS56" s="378"/>
      <c r="LRT56" s="378"/>
      <c r="LRU56" s="378"/>
      <c r="LRV56" s="378"/>
      <c r="LRW56" s="378"/>
      <c r="LRX56" s="378"/>
      <c r="LRY56" s="378"/>
      <c r="LRZ56" s="378"/>
      <c r="LSA56" s="378"/>
      <c r="LSB56" s="378"/>
      <c r="LSC56" s="378"/>
      <c r="LSD56" s="378"/>
      <c r="LSE56" s="378"/>
      <c r="LSF56" s="378"/>
      <c r="LSG56" s="378"/>
      <c r="LSH56" s="378"/>
      <c r="LSI56" s="378"/>
      <c r="LSJ56" s="378"/>
      <c r="LSK56" s="378"/>
      <c r="LSL56" s="378"/>
      <c r="LSM56" s="378"/>
      <c r="LSN56" s="378"/>
      <c r="LSO56" s="378"/>
      <c r="LSP56" s="378"/>
      <c r="LSQ56" s="378"/>
      <c r="LSR56" s="378"/>
      <c r="LSS56" s="378"/>
      <c r="LST56" s="378"/>
      <c r="LSU56" s="378"/>
      <c r="LSV56" s="378"/>
      <c r="LSW56" s="378"/>
      <c r="LSX56" s="378"/>
      <c r="LSY56" s="378"/>
      <c r="LSZ56" s="378"/>
      <c r="LTA56" s="378"/>
      <c r="LTB56" s="378"/>
      <c r="LTC56" s="378"/>
      <c r="LTD56" s="378"/>
      <c r="LTE56" s="378"/>
      <c r="LTF56" s="378"/>
      <c r="LTG56" s="378"/>
      <c r="LTH56" s="378"/>
      <c r="LTI56" s="378"/>
      <c r="LTJ56" s="378"/>
      <c r="LTK56" s="378"/>
      <c r="LTL56" s="378"/>
      <c r="LTM56" s="378"/>
      <c r="LTN56" s="378"/>
      <c r="LTO56" s="378"/>
      <c r="LTP56" s="378"/>
      <c r="LTQ56" s="378"/>
      <c r="LTR56" s="378"/>
      <c r="LTS56" s="378"/>
      <c r="LTT56" s="378"/>
      <c r="LTU56" s="378"/>
      <c r="LTV56" s="378"/>
      <c r="LTW56" s="378"/>
      <c r="LTX56" s="378"/>
      <c r="LTY56" s="378"/>
      <c r="LTZ56" s="378"/>
      <c r="LUA56" s="378"/>
      <c r="LUB56" s="378"/>
      <c r="LUC56" s="378"/>
      <c r="LUD56" s="378"/>
      <c r="LUE56" s="378"/>
      <c r="LUF56" s="378"/>
      <c r="LUG56" s="378"/>
      <c r="LUH56" s="378"/>
      <c r="LUI56" s="378"/>
      <c r="LUJ56" s="378"/>
      <c r="LUK56" s="378"/>
      <c r="LUL56" s="378"/>
      <c r="LUM56" s="378"/>
      <c r="LUN56" s="378"/>
      <c r="LUO56" s="378"/>
      <c r="LUP56" s="378"/>
      <c r="LUQ56" s="378"/>
      <c r="LUR56" s="378"/>
      <c r="LUS56" s="378"/>
      <c r="LUT56" s="378"/>
      <c r="LUU56" s="378"/>
      <c r="LUV56" s="378"/>
      <c r="LUW56" s="378"/>
      <c r="LUX56" s="378"/>
      <c r="LUY56" s="378"/>
      <c r="LUZ56" s="378"/>
      <c r="LVA56" s="378"/>
      <c r="LVB56" s="378"/>
      <c r="LVC56" s="378"/>
      <c r="LVD56" s="378"/>
      <c r="LVE56" s="378"/>
      <c r="LVF56" s="378"/>
      <c r="LVG56" s="378"/>
      <c r="LVH56" s="378"/>
      <c r="LVI56" s="378"/>
      <c r="LVJ56" s="378"/>
      <c r="LVK56" s="378"/>
      <c r="LVL56" s="378"/>
      <c r="LVM56" s="378"/>
      <c r="LVN56" s="378"/>
      <c r="LVO56" s="378"/>
      <c r="LVP56" s="378"/>
      <c r="LVQ56" s="378"/>
      <c r="LVR56" s="378"/>
      <c r="LVS56" s="378"/>
      <c r="LVT56" s="378"/>
      <c r="LVU56" s="378"/>
      <c r="LVV56" s="378"/>
      <c r="LVW56" s="378"/>
      <c r="LVX56" s="378"/>
      <c r="LVY56" s="378"/>
      <c r="LVZ56" s="378"/>
      <c r="LWA56" s="378"/>
      <c r="LWB56" s="378"/>
      <c r="LWC56" s="378"/>
      <c r="LWD56" s="378"/>
      <c r="LWE56" s="378"/>
      <c r="LWF56" s="378"/>
      <c r="LWG56" s="378"/>
      <c r="LWH56" s="378"/>
      <c r="LWI56" s="378"/>
      <c r="LWJ56" s="378"/>
      <c r="LWK56" s="378"/>
      <c r="LWL56" s="378"/>
      <c r="LWM56" s="378"/>
      <c r="LWN56" s="378"/>
      <c r="LWO56" s="378"/>
      <c r="LWP56" s="378"/>
      <c r="LWQ56" s="378"/>
      <c r="LWR56" s="378"/>
      <c r="LWS56" s="378"/>
      <c r="LWT56" s="378"/>
      <c r="LWU56" s="378"/>
      <c r="LWV56" s="378"/>
      <c r="LWW56" s="378"/>
      <c r="LWX56" s="378"/>
      <c r="LWY56" s="378"/>
      <c r="LWZ56" s="378"/>
      <c r="LXA56" s="378"/>
      <c r="LXB56" s="378"/>
      <c r="LXC56" s="378"/>
      <c r="LXD56" s="378"/>
      <c r="LXE56" s="378"/>
      <c r="LXF56" s="378"/>
      <c r="LXG56" s="378"/>
      <c r="LXH56" s="378"/>
      <c r="LXI56" s="378"/>
      <c r="LXJ56" s="378"/>
      <c r="LXK56" s="378"/>
      <c r="LXL56" s="378"/>
      <c r="LXM56" s="378"/>
      <c r="LXN56" s="378"/>
      <c r="LXO56" s="378"/>
      <c r="LXP56" s="378"/>
      <c r="LXQ56" s="378"/>
      <c r="LXR56" s="378"/>
      <c r="LXS56" s="378"/>
      <c r="LXT56" s="378"/>
      <c r="LXU56" s="378"/>
      <c r="LXV56" s="378"/>
      <c r="LXW56" s="378"/>
      <c r="LXX56" s="378"/>
      <c r="LXY56" s="378"/>
      <c r="LXZ56" s="378"/>
      <c r="LYA56" s="378"/>
      <c r="LYB56" s="378"/>
      <c r="LYC56" s="378"/>
      <c r="LYD56" s="378"/>
      <c r="LYE56" s="378"/>
      <c r="LYF56" s="378"/>
      <c r="LYG56" s="378"/>
      <c r="LYH56" s="378"/>
      <c r="LYI56" s="378"/>
      <c r="LYJ56" s="378"/>
      <c r="LYK56" s="378"/>
      <c r="LYL56" s="378"/>
      <c r="LYM56" s="378"/>
      <c r="LYN56" s="378"/>
      <c r="LYO56" s="378"/>
      <c r="LYP56" s="378"/>
      <c r="LYQ56" s="378"/>
      <c r="LYR56" s="378"/>
      <c r="LYS56" s="378"/>
      <c r="LYT56" s="378"/>
      <c r="LYU56" s="378"/>
      <c r="LYV56" s="378"/>
      <c r="LYW56" s="378"/>
      <c r="LYX56" s="378"/>
      <c r="LYY56" s="378"/>
      <c r="LYZ56" s="378"/>
      <c r="LZA56" s="378"/>
      <c r="LZB56" s="378"/>
      <c r="LZC56" s="378"/>
      <c r="LZD56" s="378"/>
      <c r="LZE56" s="378"/>
      <c r="LZF56" s="378"/>
      <c r="LZG56" s="378"/>
      <c r="LZH56" s="378"/>
      <c r="LZI56" s="378"/>
      <c r="LZJ56" s="378"/>
      <c r="LZK56" s="378"/>
      <c r="LZL56" s="378"/>
      <c r="LZM56" s="378"/>
      <c r="LZN56" s="378"/>
      <c r="LZO56" s="378"/>
      <c r="LZP56" s="378"/>
      <c r="LZQ56" s="378"/>
      <c r="LZR56" s="378"/>
      <c r="LZS56" s="378"/>
      <c r="LZT56" s="378"/>
      <c r="LZU56" s="378"/>
      <c r="LZV56" s="378"/>
      <c r="LZW56" s="378"/>
      <c r="LZX56" s="378"/>
      <c r="LZY56" s="378"/>
      <c r="LZZ56" s="378"/>
      <c r="MAA56" s="378"/>
      <c r="MAB56" s="378"/>
      <c r="MAC56" s="378"/>
      <c r="MAD56" s="378"/>
      <c r="MAE56" s="378"/>
      <c r="MAF56" s="378"/>
      <c r="MAG56" s="378"/>
      <c r="MAH56" s="378"/>
      <c r="MAI56" s="378"/>
      <c r="MAJ56" s="378"/>
      <c r="MAK56" s="378"/>
      <c r="MAL56" s="378"/>
      <c r="MAM56" s="378"/>
      <c r="MAN56" s="378"/>
      <c r="MAO56" s="378"/>
      <c r="MAP56" s="378"/>
      <c r="MAQ56" s="378"/>
      <c r="MAR56" s="378"/>
      <c r="MAS56" s="378"/>
      <c r="MAT56" s="378"/>
      <c r="MAU56" s="378"/>
      <c r="MAV56" s="378"/>
      <c r="MAW56" s="378"/>
      <c r="MAX56" s="378"/>
      <c r="MAY56" s="378"/>
      <c r="MAZ56" s="378"/>
      <c r="MBA56" s="378"/>
      <c r="MBB56" s="378"/>
      <c r="MBC56" s="378"/>
      <c r="MBD56" s="378"/>
      <c r="MBE56" s="378"/>
      <c r="MBF56" s="378"/>
      <c r="MBG56" s="378"/>
      <c r="MBH56" s="378"/>
      <c r="MBI56" s="378"/>
      <c r="MBJ56" s="378"/>
      <c r="MBK56" s="378"/>
      <c r="MBL56" s="378"/>
      <c r="MBM56" s="378"/>
      <c r="MBN56" s="378"/>
      <c r="MBO56" s="378"/>
      <c r="MBP56" s="378"/>
      <c r="MBQ56" s="378"/>
      <c r="MBR56" s="378"/>
      <c r="MBS56" s="378"/>
      <c r="MBT56" s="378"/>
      <c r="MBU56" s="378"/>
      <c r="MBV56" s="378"/>
      <c r="MBW56" s="378"/>
      <c r="MBX56" s="378"/>
      <c r="MBY56" s="378"/>
      <c r="MBZ56" s="378"/>
      <c r="MCA56" s="378"/>
      <c r="MCB56" s="378"/>
      <c r="MCC56" s="378"/>
      <c r="MCD56" s="378"/>
      <c r="MCE56" s="378"/>
      <c r="MCF56" s="378"/>
      <c r="MCG56" s="378"/>
      <c r="MCH56" s="378"/>
      <c r="MCI56" s="378"/>
      <c r="MCJ56" s="378"/>
      <c r="MCK56" s="378"/>
      <c r="MCL56" s="378"/>
      <c r="MCM56" s="378"/>
      <c r="MCN56" s="378"/>
      <c r="MCO56" s="378"/>
      <c r="MCP56" s="378"/>
      <c r="MCQ56" s="378"/>
      <c r="MCR56" s="378"/>
      <c r="MCS56" s="378"/>
      <c r="MCT56" s="378"/>
      <c r="MCU56" s="378"/>
      <c r="MCV56" s="378"/>
      <c r="MCW56" s="378"/>
      <c r="MCX56" s="378"/>
      <c r="MCY56" s="378"/>
      <c r="MCZ56" s="378"/>
      <c r="MDA56" s="378"/>
      <c r="MDB56" s="378"/>
      <c r="MDC56" s="378"/>
      <c r="MDD56" s="378"/>
      <c r="MDE56" s="378"/>
      <c r="MDF56" s="378"/>
      <c r="MDG56" s="378"/>
      <c r="MDH56" s="378"/>
      <c r="MDI56" s="378"/>
      <c r="MDJ56" s="378"/>
      <c r="MDK56" s="378"/>
      <c r="MDL56" s="378"/>
      <c r="MDM56" s="378"/>
      <c r="MDN56" s="378"/>
      <c r="MDO56" s="378"/>
      <c r="MDP56" s="378"/>
      <c r="MDQ56" s="378"/>
      <c r="MDR56" s="378"/>
      <c r="MDS56" s="378"/>
      <c r="MDT56" s="378"/>
      <c r="MDU56" s="378"/>
      <c r="MDV56" s="378"/>
      <c r="MDW56" s="378"/>
      <c r="MDX56" s="378"/>
      <c r="MDY56" s="378"/>
      <c r="MDZ56" s="378"/>
      <c r="MEA56" s="378"/>
      <c r="MEB56" s="378"/>
      <c r="MEC56" s="378"/>
      <c r="MED56" s="378"/>
      <c r="MEE56" s="378"/>
      <c r="MEF56" s="378"/>
      <c r="MEG56" s="378"/>
      <c r="MEH56" s="378"/>
      <c r="MEI56" s="378"/>
      <c r="MEJ56" s="378"/>
      <c r="MEK56" s="378"/>
      <c r="MEL56" s="378"/>
      <c r="MEM56" s="378"/>
      <c r="MEN56" s="378"/>
      <c r="MEO56" s="378"/>
      <c r="MEP56" s="378"/>
      <c r="MEQ56" s="378"/>
      <c r="MER56" s="378"/>
      <c r="MES56" s="378"/>
      <c r="MET56" s="378"/>
      <c r="MEU56" s="378"/>
      <c r="MEV56" s="378"/>
      <c r="MEW56" s="378"/>
      <c r="MEX56" s="378"/>
      <c r="MEY56" s="378"/>
      <c r="MEZ56" s="378"/>
      <c r="MFA56" s="378"/>
      <c r="MFB56" s="378"/>
      <c r="MFC56" s="378"/>
      <c r="MFD56" s="378"/>
      <c r="MFE56" s="378"/>
      <c r="MFF56" s="378"/>
      <c r="MFG56" s="378"/>
      <c r="MFH56" s="378"/>
      <c r="MFI56" s="378"/>
      <c r="MFJ56" s="378"/>
      <c r="MFK56" s="378"/>
      <c r="MFL56" s="378"/>
      <c r="MFM56" s="378"/>
      <c r="MFN56" s="378"/>
      <c r="MFO56" s="378"/>
      <c r="MFP56" s="378"/>
      <c r="MFQ56" s="378"/>
      <c r="MFR56" s="378"/>
      <c r="MFS56" s="378"/>
      <c r="MFT56" s="378"/>
      <c r="MFU56" s="378"/>
      <c r="MFV56" s="378"/>
      <c r="MFW56" s="378"/>
      <c r="MFX56" s="378"/>
      <c r="MFY56" s="378"/>
      <c r="MFZ56" s="378"/>
      <c r="MGA56" s="378"/>
      <c r="MGB56" s="378"/>
      <c r="MGC56" s="378"/>
      <c r="MGD56" s="378"/>
      <c r="MGE56" s="378"/>
      <c r="MGF56" s="378"/>
      <c r="MGG56" s="378"/>
      <c r="MGH56" s="378"/>
      <c r="MGI56" s="378"/>
      <c r="MGJ56" s="378"/>
      <c r="MGK56" s="378"/>
      <c r="MGL56" s="378"/>
      <c r="MGM56" s="378"/>
      <c r="MGN56" s="378"/>
      <c r="MGO56" s="378"/>
      <c r="MGP56" s="378"/>
      <c r="MGQ56" s="378"/>
      <c r="MGR56" s="378"/>
      <c r="MGS56" s="378"/>
      <c r="MGT56" s="378"/>
      <c r="MGU56" s="378"/>
      <c r="MGV56" s="378"/>
      <c r="MGW56" s="378"/>
      <c r="MGX56" s="378"/>
      <c r="MGY56" s="378"/>
      <c r="MGZ56" s="378"/>
      <c r="MHA56" s="378"/>
      <c r="MHB56" s="378"/>
      <c r="MHC56" s="378"/>
      <c r="MHD56" s="378"/>
      <c r="MHE56" s="378"/>
      <c r="MHF56" s="378"/>
      <c r="MHG56" s="378"/>
      <c r="MHH56" s="378"/>
      <c r="MHI56" s="378"/>
      <c r="MHJ56" s="378"/>
      <c r="MHK56" s="378"/>
      <c r="MHL56" s="378"/>
      <c r="MHM56" s="378"/>
      <c r="MHN56" s="378"/>
      <c r="MHO56" s="378"/>
      <c r="MHP56" s="378"/>
      <c r="MHQ56" s="378"/>
      <c r="MHR56" s="378"/>
      <c r="MHS56" s="378"/>
      <c r="MHT56" s="378"/>
      <c r="MHU56" s="378"/>
      <c r="MHV56" s="378"/>
      <c r="MHW56" s="378"/>
      <c r="MHX56" s="378"/>
      <c r="MHY56" s="378"/>
      <c r="MHZ56" s="378"/>
      <c r="MIA56" s="378"/>
      <c r="MIB56" s="378"/>
      <c r="MIC56" s="378"/>
      <c r="MID56" s="378"/>
      <c r="MIE56" s="378"/>
      <c r="MIF56" s="378"/>
      <c r="MIG56" s="378"/>
      <c r="MIH56" s="378"/>
      <c r="MII56" s="378"/>
      <c r="MIJ56" s="378"/>
      <c r="MIK56" s="378"/>
      <c r="MIL56" s="378"/>
      <c r="MIM56" s="378"/>
      <c r="MIN56" s="378"/>
      <c r="MIO56" s="378"/>
      <c r="MIP56" s="378"/>
      <c r="MIQ56" s="378"/>
      <c r="MIR56" s="378"/>
      <c r="MIS56" s="378"/>
      <c r="MIT56" s="378"/>
      <c r="MIU56" s="378"/>
      <c r="MIV56" s="378"/>
      <c r="MIW56" s="378"/>
      <c r="MIX56" s="378"/>
      <c r="MIY56" s="378"/>
      <c r="MIZ56" s="378"/>
      <c r="MJA56" s="378"/>
      <c r="MJB56" s="378"/>
      <c r="MJC56" s="378"/>
      <c r="MJD56" s="378"/>
      <c r="MJE56" s="378"/>
      <c r="MJF56" s="378"/>
      <c r="MJG56" s="378"/>
      <c r="MJH56" s="378"/>
      <c r="MJI56" s="378"/>
      <c r="MJJ56" s="378"/>
      <c r="MJK56" s="378"/>
      <c r="MJL56" s="378"/>
      <c r="MJM56" s="378"/>
      <c r="MJN56" s="378"/>
      <c r="MJO56" s="378"/>
      <c r="MJP56" s="378"/>
      <c r="MJQ56" s="378"/>
      <c r="MJR56" s="378"/>
      <c r="MJS56" s="378"/>
      <c r="MJT56" s="378"/>
      <c r="MJU56" s="378"/>
      <c r="MJV56" s="378"/>
      <c r="MJW56" s="378"/>
      <c r="MJX56" s="378"/>
      <c r="MJY56" s="378"/>
      <c r="MJZ56" s="378"/>
      <c r="MKA56" s="378"/>
      <c r="MKB56" s="378"/>
      <c r="MKC56" s="378"/>
      <c r="MKD56" s="378"/>
      <c r="MKE56" s="378"/>
      <c r="MKF56" s="378"/>
      <c r="MKG56" s="378"/>
      <c r="MKH56" s="378"/>
      <c r="MKI56" s="378"/>
      <c r="MKJ56" s="378"/>
      <c r="MKK56" s="378"/>
      <c r="MKL56" s="378"/>
      <c r="MKM56" s="378"/>
      <c r="MKN56" s="378"/>
      <c r="MKO56" s="378"/>
      <c r="MKP56" s="378"/>
      <c r="MKQ56" s="378"/>
      <c r="MKR56" s="378"/>
      <c r="MKS56" s="378"/>
      <c r="MKT56" s="378"/>
      <c r="MKU56" s="378"/>
      <c r="MKV56" s="378"/>
      <c r="MKW56" s="378"/>
      <c r="MKX56" s="378"/>
      <c r="MKY56" s="378"/>
      <c r="MKZ56" s="378"/>
      <c r="MLA56" s="378"/>
      <c r="MLB56" s="378"/>
      <c r="MLC56" s="378"/>
      <c r="MLD56" s="378"/>
      <c r="MLE56" s="378"/>
      <c r="MLF56" s="378"/>
      <c r="MLG56" s="378"/>
      <c r="MLH56" s="378"/>
      <c r="MLI56" s="378"/>
      <c r="MLJ56" s="378"/>
      <c r="MLK56" s="378"/>
      <c r="MLL56" s="378"/>
      <c r="MLM56" s="378"/>
      <c r="MLN56" s="378"/>
      <c r="MLO56" s="378"/>
      <c r="MLP56" s="378"/>
      <c r="MLQ56" s="378"/>
      <c r="MLR56" s="378"/>
      <c r="MLS56" s="378"/>
      <c r="MLT56" s="378"/>
      <c r="MLU56" s="378"/>
      <c r="MLV56" s="378"/>
      <c r="MLW56" s="378"/>
      <c r="MLX56" s="378"/>
      <c r="MLY56" s="378"/>
      <c r="MLZ56" s="378"/>
      <c r="MMA56" s="378"/>
      <c r="MMB56" s="378"/>
      <c r="MMC56" s="378"/>
      <c r="MMD56" s="378"/>
      <c r="MME56" s="378"/>
      <c r="MMF56" s="378"/>
      <c r="MMG56" s="378"/>
      <c r="MMH56" s="378"/>
      <c r="MMI56" s="378"/>
      <c r="MMJ56" s="378"/>
      <c r="MMK56" s="378"/>
      <c r="MML56" s="378"/>
      <c r="MMM56" s="378"/>
      <c r="MMN56" s="378"/>
      <c r="MMO56" s="378"/>
      <c r="MMP56" s="378"/>
      <c r="MMQ56" s="378"/>
      <c r="MMR56" s="378"/>
      <c r="MMS56" s="378"/>
      <c r="MMT56" s="378"/>
      <c r="MMU56" s="378"/>
      <c r="MMV56" s="378"/>
      <c r="MMW56" s="378"/>
      <c r="MMX56" s="378"/>
      <c r="MMY56" s="378"/>
      <c r="MMZ56" s="378"/>
      <c r="MNA56" s="378"/>
      <c r="MNB56" s="378"/>
      <c r="MNC56" s="378"/>
      <c r="MND56" s="378"/>
      <c r="MNE56" s="378"/>
      <c r="MNF56" s="378"/>
      <c r="MNG56" s="378"/>
      <c r="MNH56" s="378"/>
      <c r="MNI56" s="378"/>
      <c r="MNJ56" s="378"/>
      <c r="MNK56" s="378"/>
      <c r="MNL56" s="378"/>
      <c r="MNM56" s="378"/>
      <c r="MNN56" s="378"/>
      <c r="MNO56" s="378"/>
      <c r="MNP56" s="378"/>
      <c r="MNQ56" s="378"/>
      <c r="MNR56" s="378"/>
      <c r="MNS56" s="378"/>
      <c r="MNT56" s="378"/>
      <c r="MNU56" s="378"/>
      <c r="MNV56" s="378"/>
      <c r="MNW56" s="378"/>
      <c r="MNX56" s="378"/>
      <c r="MNY56" s="378"/>
      <c r="MNZ56" s="378"/>
      <c r="MOA56" s="378"/>
      <c r="MOB56" s="378"/>
      <c r="MOC56" s="378"/>
      <c r="MOD56" s="378"/>
      <c r="MOE56" s="378"/>
      <c r="MOF56" s="378"/>
      <c r="MOG56" s="378"/>
      <c r="MOH56" s="378"/>
      <c r="MOI56" s="378"/>
      <c r="MOJ56" s="378"/>
      <c r="MOK56" s="378"/>
      <c r="MOL56" s="378"/>
      <c r="MOM56" s="378"/>
      <c r="MON56" s="378"/>
      <c r="MOO56" s="378"/>
      <c r="MOP56" s="378"/>
      <c r="MOQ56" s="378"/>
      <c r="MOR56" s="378"/>
      <c r="MOS56" s="378"/>
      <c r="MOT56" s="378"/>
      <c r="MOU56" s="378"/>
      <c r="MOV56" s="378"/>
      <c r="MOW56" s="378"/>
      <c r="MOX56" s="378"/>
      <c r="MOY56" s="378"/>
      <c r="MOZ56" s="378"/>
      <c r="MPA56" s="378"/>
      <c r="MPB56" s="378"/>
      <c r="MPC56" s="378"/>
      <c r="MPD56" s="378"/>
      <c r="MPE56" s="378"/>
      <c r="MPF56" s="378"/>
      <c r="MPG56" s="378"/>
      <c r="MPH56" s="378"/>
      <c r="MPI56" s="378"/>
      <c r="MPJ56" s="378"/>
      <c r="MPK56" s="378"/>
      <c r="MPL56" s="378"/>
      <c r="MPM56" s="378"/>
      <c r="MPN56" s="378"/>
      <c r="MPO56" s="378"/>
      <c r="MPP56" s="378"/>
      <c r="MPQ56" s="378"/>
      <c r="MPR56" s="378"/>
      <c r="MPS56" s="378"/>
      <c r="MPT56" s="378"/>
      <c r="MPU56" s="378"/>
      <c r="MPV56" s="378"/>
      <c r="MPW56" s="378"/>
      <c r="MPX56" s="378"/>
      <c r="MPY56" s="378"/>
      <c r="MPZ56" s="378"/>
      <c r="MQA56" s="378"/>
      <c r="MQB56" s="378"/>
      <c r="MQC56" s="378"/>
      <c r="MQD56" s="378"/>
      <c r="MQE56" s="378"/>
      <c r="MQF56" s="378"/>
      <c r="MQG56" s="378"/>
      <c r="MQH56" s="378"/>
      <c r="MQI56" s="378"/>
      <c r="MQJ56" s="378"/>
      <c r="MQK56" s="378"/>
      <c r="MQL56" s="378"/>
      <c r="MQM56" s="378"/>
      <c r="MQN56" s="378"/>
      <c r="MQO56" s="378"/>
      <c r="MQP56" s="378"/>
      <c r="MQQ56" s="378"/>
      <c r="MQR56" s="378"/>
      <c r="MQS56" s="378"/>
      <c r="MQT56" s="378"/>
      <c r="MQU56" s="378"/>
      <c r="MQV56" s="378"/>
      <c r="MQW56" s="378"/>
      <c r="MQX56" s="378"/>
      <c r="MQY56" s="378"/>
      <c r="MQZ56" s="378"/>
      <c r="MRA56" s="378"/>
      <c r="MRB56" s="378"/>
      <c r="MRC56" s="378"/>
      <c r="MRD56" s="378"/>
      <c r="MRE56" s="378"/>
      <c r="MRF56" s="378"/>
      <c r="MRG56" s="378"/>
      <c r="MRH56" s="378"/>
      <c r="MRI56" s="378"/>
      <c r="MRJ56" s="378"/>
      <c r="MRK56" s="378"/>
      <c r="MRL56" s="378"/>
      <c r="MRM56" s="378"/>
      <c r="MRN56" s="378"/>
      <c r="MRO56" s="378"/>
      <c r="MRP56" s="378"/>
      <c r="MRQ56" s="378"/>
      <c r="MRR56" s="378"/>
      <c r="MRS56" s="378"/>
      <c r="MRT56" s="378"/>
      <c r="MRU56" s="378"/>
      <c r="MRV56" s="378"/>
      <c r="MRW56" s="378"/>
      <c r="MRX56" s="378"/>
      <c r="MRY56" s="378"/>
      <c r="MRZ56" s="378"/>
      <c r="MSA56" s="378"/>
      <c r="MSB56" s="378"/>
      <c r="MSC56" s="378"/>
      <c r="MSD56" s="378"/>
      <c r="MSE56" s="378"/>
      <c r="MSF56" s="378"/>
      <c r="MSG56" s="378"/>
      <c r="MSH56" s="378"/>
      <c r="MSI56" s="378"/>
      <c r="MSJ56" s="378"/>
      <c r="MSK56" s="378"/>
      <c r="MSL56" s="378"/>
      <c r="MSM56" s="378"/>
      <c r="MSN56" s="378"/>
      <c r="MSO56" s="378"/>
      <c r="MSP56" s="378"/>
      <c r="MSQ56" s="378"/>
      <c r="MSR56" s="378"/>
      <c r="MSS56" s="378"/>
      <c r="MST56" s="378"/>
      <c r="MSU56" s="378"/>
      <c r="MSV56" s="378"/>
      <c r="MSW56" s="378"/>
      <c r="MSX56" s="378"/>
      <c r="MSY56" s="378"/>
      <c r="MSZ56" s="378"/>
      <c r="MTA56" s="378"/>
      <c r="MTB56" s="378"/>
      <c r="MTC56" s="378"/>
      <c r="MTD56" s="378"/>
      <c r="MTE56" s="378"/>
      <c r="MTF56" s="378"/>
      <c r="MTG56" s="378"/>
      <c r="MTH56" s="378"/>
      <c r="MTI56" s="378"/>
      <c r="MTJ56" s="378"/>
      <c r="MTK56" s="378"/>
      <c r="MTL56" s="378"/>
      <c r="MTM56" s="378"/>
      <c r="MTN56" s="378"/>
      <c r="MTO56" s="378"/>
      <c r="MTP56" s="378"/>
      <c r="MTQ56" s="378"/>
      <c r="MTR56" s="378"/>
      <c r="MTS56" s="378"/>
      <c r="MTT56" s="378"/>
      <c r="MTU56" s="378"/>
      <c r="MTV56" s="378"/>
      <c r="MTW56" s="378"/>
      <c r="MTX56" s="378"/>
      <c r="MTY56" s="378"/>
      <c r="MTZ56" s="378"/>
      <c r="MUA56" s="378"/>
      <c r="MUB56" s="378"/>
      <c r="MUC56" s="378"/>
      <c r="MUD56" s="378"/>
      <c r="MUE56" s="378"/>
      <c r="MUF56" s="378"/>
      <c r="MUG56" s="378"/>
      <c r="MUH56" s="378"/>
      <c r="MUI56" s="378"/>
      <c r="MUJ56" s="378"/>
      <c r="MUK56" s="378"/>
      <c r="MUL56" s="378"/>
      <c r="MUM56" s="378"/>
      <c r="MUN56" s="378"/>
      <c r="MUO56" s="378"/>
      <c r="MUP56" s="378"/>
      <c r="MUQ56" s="378"/>
      <c r="MUR56" s="378"/>
      <c r="MUS56" s="378"/>
      <c r="MUT56" s="378"/>
      <c r="MUU56" s="378"/>
      <c r="MUV56" s="378"/>
      <c r="MUW56" s="378"/>
      <c r="MUX56" s="378"/>
      <c r="MUY56" s="378"/>
      <c r="MUZ56" s="378"/>
      <c r="MVA56" s="378"/>
      <c r="MVB56" s="378"/>
      <c r="MVC56" s="378"/>
      <c r="MVD56" s="378"/>
      <c r="MVE56" s="378"/>
      <c r="MVF56" s="378"/>
      <c r="MVG56" s="378"/>
      <c r="MVH56" s="378"/>
      <c r="MVI56" s="378"/>
      <c r="MVJ56" s="378"/>
      <c r="MVK56" s="378"/>
      <c r="MVL56" s="378"/>
      <c r="MVM56" s="378"/>
      <c r="MVN56" s="378"/>
      <c r="MVO56" s="378"/>
      <c r="MVP56" s="378"/>
      <c r="MVQ56" s="378"/>
      <c r="MVR56" s="378"/>
      <c r="MVS56" s="378"/>
      <c r="MVT56" s="378"/>
      <c r="MVU56" s="378"/>
      <c r="MVV56" s="378"/>
      <c r="MVW56" s="378"/>
      <c r="MVX56" s="378"/>
      <c r="MVY56" s="378"/>
      <c r="MVZ56" s="378"/>
      <c r="MWA56" s="378"/>
      <c r="MWB56" s="378"/>
      <c r="MWC56" s="378"/>
      <c r="MWD56" s="378"/>
      <c r="MWE56" s="378"/>
      <c r="MWF56" s="378"/>
      <c r="MWG56" s="378"/>
      <c r="MWH56" s="378"/>
      <c r="MWI56" s="378"/>
      <c r="MWJ56" s="378"/>
      <c r="MWK56" s="378"/>
      <c r="MWL56" s="378"/>
      <c r="MWM56" s="378"/>
      <c r="MWN56" s="378"/>
      <c r="MWO56" s="378"/>
      <c r="MWP56" s="378"/>
      <c r="MWQ56" s="378"/>
      <c r="MWR56" s="378"/>
      <c r="MWS56" s="378"/>
      <c r="MWT56" s="378"/>
      <c r="MWU56" s="378"/>
      <c r="MWV56" s="378"/>
      <c r="MWW56" s="378"/>
      <c r="MWX56" s="378"/>
      <c r="MWY56" s="378"/>
      <c r="MWZ56" s="378"/>
      <c r="MXA56" s="378"/>
      <c r="MXB56" s="378"/>
      <c r="MXC56" s="378"/>
      <c r="MXD56" s="378"/>
      <c r="MXE56" s="378"/>
      <c r="MXF56" s="378"/>
      <c r="MXG56" s="378"/>
      <c r="MXH56" s="378"/>
      <c r="MXI56" s="378"/>
      <c r="MXJ56" s="378"/>
      <c r="MXK56" s="378"/>
      <c r="MXL56" s="378"/>
      <c r="MXM56" s="378"/>
      <c r="MXN56" s="378"/>
      <c r="MXO56" s="378"/>
      <c r="MXP56" s="378"/>
      <c r="MXQ56" s="378"/>
      <c r="MXR56" s="378"/>
      <c r="MXS56" s="378"/>
      <c r="MXT56" s="378"/>
      <c r="MXU56" s="378"/>
      <c r="MXV56" s="378"/>
      <c r="MXW56" s="378"/>
      <c r="MXX56" s="378"/>
      <c r="MXY56" s="378"/>
      <c r="MXZ56" s="378"/>
      <c r="MYA56" s="378"/>
      <c r="MYB56" s="378"/>
      <c r="MYC56" s="378"/>
      <c r="MYD56" s="378"/>
      <c r="MYE56" s="378"/>
      <c r="MYF56" s="378"/>
      <c r="MYG56" s="378"/>
      <c r="MYH56" s="378"/>
      <c r="MYI56" s="378"/>
      <c r="MYJ56" s="378"/>
      <c r="MYK56" s="378"/>
      <c r="MYL56" s="378"/>
      <c r="MYM56" s="378"/>
      <c r="MYN56" s="378"/>
      <c r="MYO56" s="378"/>
      <c r="MYP56" s="378"/>
      <c r="MYQ56" s="378"/>
      <c r="MYR56" s="378"/>
      <c r="MYS56" s="378"/>
      <c r="MYT56" s="378"/>
      <c r="MYU56" s="378"/>
      <c r="MYV56" s="378"/>
      <c r="MYW56" s="378"/>
      <c r="MYX56" s="378"/>
      <c r="MYY56" s="378"/>
      <c r="MYZ56" s="378"/>
      <c r="MZA56" s="378"/>
      <c r="MZB56" s="378"/>
      <c r="MZC56" s="378"/>
      <c r="MZD56" s="378"/>
      <c r="MZE56" s="378"/>
      <c r="MZF56" s="378"/>
      <c r="MZG56" s="378"/>
      <c r="MZH56" s="378"/>
      <c r="MZI56" s="378"/>
      <c r="MZJ56" s="378"/>
      <c r="MZK56" s="378"/>
      <c r="MZL56" s="378"/>
      <c r="MZM56" s="378"/>
      <c r="MZN56" s="378"/>
      <c r="MZO56" s="378"/>
      <c r="MZP56" s="378"/>
      <c r="MZQ56" s="378"/>
      <c r="MZR56" s="378"/>
      <c r="MZS56" s="378"/>
      <c r="MZT56" s="378"/>
      <c r="MZU56" s="378"/>
      <c r="MZV56" s="378"/>
      <c r="MZW56" s="378"/>
      <c r="MZX56" s="378"/>
      <c r="MZY56" s="378"/>
      <c r="MZZ56" s="378"/>
      <c r="NAA56" s="378"/>
      <c r="NAB56" s="378"/>
      <c r="NAC56" s="378"/>
      <c r="NAD56" s="378"/>
      <c r="NAE56" s="378"/>
      <c r="NAF56" s="378"/>
      <c r="NAG56" s="378"/>
      <c r="NAH56" s="378"/>
      <c r="NAI56" s="378"/>
      <c r="NAJ56" s="378"/>
      <c r="NAK56" s="378"/>
      <c r="NAL56" s="378"/>
      <c r="NAM56" s="378"/>
      <c r="NAN56" s="378"/>
      <c r="NAO56" s="378"/>
      <c r="NAP56" s="378"/>
      <c r="NAQ56" s="378"/>
      <c r="NAR56" s="378"/>
      <c r="NAS56" s="378"/>
      <c r="NAT56" s="378"/>
      <c r="NAU56" s="378"/>
      <c r="NAV56" s="378"/>
      <c r="NAW56" s="378"/>
      <c r="NAX56" s="378"/>
      <c r="NAY56" s="378"/>
      <c r="NAZ56" s="378"/>
      <c r="NBA56" s="378"/>
      <c r="NBB56" s="378"/>
      <c r="NBC56" s="378"/>
      <c r="NBD56" s="378"/>
      <c r="NBE56" s="378"/>
      <c r="NBF56" s="378"/>
      <c r="NBG56" s="378"/>
      <c r="NBH56" s="378"/>
      <c r="NBI56" s="378"/>
      <c r="NBJ56" s="378"/>
      <c r="NBK56" s="378"/>
      <c r="NBL56" s="378"/>
      <c r="NBM56" s="378"/>
      <c r="NBN56" s="378"/>
      <c r="NBO56" s="378"/>
      <c r="NBP56" s="378"/>
      <c r="NBQ56" s="378"/>
      <c r="NBR56" s="378"/>
      <c r="NBS56" s="378"/>
      <c r="NBT56" s="378"/>
      <c r="NBU56" s="378"/>
      <c r="NBV56" s="378"/>
      <c r="NBW56" s="378"/>
      <c r="NBX56" s="378"/>
      <c r="NBY56" s="378"/>
      <c r="NBZ56" s="378"/>
      <c r="NCA56" s="378"/>
      <c r="NCB56" s="378"/>
      <c r="NCC56" s="378"/>
      <c r="NCD56" s="378"/>
      <c r="NCE56" s="378"/>
      <c r="NCF56" s="378"/>
      <c r="NCG56" s="378"/>
      <c r="NCH56" s="378"/>
      <c r="NCI56" s="378"/>
      <c r="NCJ56" s="378"/>
      <c r="NCK56" s="378"/>
      <c r="NCL56" s="378"/>
      <c r="NCM56" s="378"/>
      <c r="NCN56" s="378"/>
      <c r="NCO56" s="378"/>
      <c r="NCP56" s="378"/>
      <c r="NCQ56" s="378"/>
      <c r="NCR56" s="378"/>
      <c r="NCS56" s="378"/>
      <c r="NCT56" s="378"/>
      <c r="NCU56" s="378"/>
      <c r="NCV56" s="378"/>
      <c r="NCW56" s="378"/>
      <c r="NCX56" s="378"/>
      <c r="NCY56" s="378"/>
      <c r="NCZ56" s="378"/>
      <c r="NDA56" s="378"/>
      <c r="NDB56" s="378"/>
      <c r="NDC56" s="378"/>
      <c r="NDD56" s="378"/>
      <c r="NDE56" s="378"/>
      <c r="NDF56" s="378"/>
      <c r="NDG56" s="378"/>
      <c r="NDH56" s="378"/>
      <c r="NDI56" s="378"/>
      <c r="NDJ56" s="378"/>
      <c r="NDK56" s="378"/>
      <c r="NDL56" s="378"/>
      <c r="NDM56" s="378"/>
      <c r="NDN56" s="378"/>
      <c r="NDO56" s="378"/>
      <c r="NDP56" s="378"/>
      <c r="NDQ56" s="378"/>
      <c r="NDR56" s="378"/>
      <c r="NDS56" s="378"/>
      <c r="NDT56" s="378"/>
      <c r="NDU56" s="378"/>
      <c r="NDV56" s="378"/>
      <c r="NDW56" s="378"/>
      <c r="NDX56" s="378"/>
      <c r="NDY56" s="378"/>
      <c r="NDZ56" s="378"/>
      <c r="NEA56" s="378"/>
      <c r="NEB56" s="378"/>
      <c r="NEC56" s="378"/>
      <c r="NED56" s="378"/>
      <c r="NEE56" s="378"/>
      <c r="NEF56" s="378"/>
      <c r="NEG56" s="378"/>
      <c r="NEH56" s="378"/>
      <c r="NEI56" s="378"/>
      <c r="NEJ56" s="378"/>
      <c r="NEK56" s="378"/>
      <c r="NEL56" s="378"/>
      <c r="NEM56" s="378"/>
      <c r="NEN56" s="378"/>
      <c r="NEO56" s="378"/>
      <c r="NEP56" s="378"/>
      <c r="NEQ56" s="378"/>
      <c r="NER56" s="378"/>
      <c r="NES56" s="378"/>
      <c r="NET56" s="378"/>
      <c r="NEU56" s="378"/>
      <c r="NEV56" s="378"/>
      <c r="NEW56" s="378"/>
      <c r="NEX56" s="378"/>
      <c r="NEY56" s="378"/>
      <c r="NEZ56" s="378"/>
      <c r="NFA56" s="378"/>
      <c r="NFB56" s="378"/>
      <c r="NFC56" s="378"/>
      <c r="NFD56" s="378"/>
      <c r="NFE56" s="378"/>
      <c r="NFF56" s="378"/>
      <c r="NFG56" s="378"/>
      <c r="NFH56" s="378"/>
      <c r="NFI56" s="378"/>
      <c r="NFJ56" s="378"/>
      <c r="NFK56" s="378"/>
      <c r="NFL56" s="378"/>
      <c r="NFM56" s="378"/>
      <c r="NFN56" s="378"/>
      <c r="NFO56" s="378"/>
      <c r="NFP56" s="378"/>
      <c r="NFQ56" s="378"/>
      <c r="NFR56" s="378"/>
      <c r="NFS56" s="378"/>
      <c r="NFT56" s="378"/>
      <c r="NFU56" s="378"/>
      <c r="NFV56" s="378"/>
      <c r="NFW56" s="378"/>
      <c r="NFX56" s="378"/>
      <c r="NFY56" s="378"/>
      <c r="NFZ56" s="378"/>
      <c r="NGA56" s="378"/>
      <c r="NGB56" s="378"/>
      <c r="NGC56" s="378"/>
      <c r="NGD56" s="378"/>
      <c r="NGE56" s="378"/>
      <c r="NGF56" s="378"/>
      <c r="NGG56" s="378"/>
      <c r="NGH56" s="378"/>
      <c r="NGI56" s="378"/>
      <c r="NGJ56" s="378"/>
      <c r="NGK56" s="378"/>
      <c r="NGL56" s="378"/>
      <c r="NGM56" s="378"/>
      <c r="NGN56" s="378"/>
      <c r="NGO56" s="378"/>
      <c r="NGP56" s="378"/>
      <c r="NGQ56" s="378"/>
      <c r="NGR56" s="378"/>
      <c r="NGS56" s="378"/>
      <c r="NGT56" s="378"/>
      <c r="NGU56" s="378"/>
      <c r="NGV56" s="378"/>
      <c r="NGW56" s="378"/>
      <c r="NGX56" s="378"/>
      <c r="NGY56" s="378"/>
      <c r="NGZ56" s="378"/>
      <c r="NHA56" s="378"/>
      <c r="NHB56" s="378"/>
      <c r="NHC56" s="378"/>
      <c r="NHD56" s="378"/>
      <c r="NHE56" s="378"/>
      <c r="NHF56" s="378"/>
      <c r="NHG56" s="378"/>
      <c r="NHH56" s="378"/>
      <c r="NHI56" s="378"/>
      <c r="NHJ56" s="378"/>
      <c r="NHK56" s="378"/>
      <c r="NHL56" s="378"/>
      <c r="NHM56" s="378"/>
      <c r="NHN56" s="378"/>
      <c r="NHO56" s="378"/>
      <c r="NHP56" s="378"/>
      <c r="NHQ56" s="378"/>
      <c r="NHR56" s="378"/>
      <c r="NHS56" s="378"/>
      <c r="NHT56" s="378"/>
      <c r="NHU56" s="378"/>
      <c r="NHV56" s="378"/>
      <c r="NHW56" s="378"/>
      <c r="NHX56" s="378"/>
      <c r="NHY56" s="378"/>
      <c r="NHZ56" s="378"/>
      <c r="NIA56" s="378"/>
      <c r="NIB56" s="378"/>
      <c r="NIC56" s="378"/>
      <c r="NID56" s="378"/>
      <c r="NIE56" s="378"/>
      <c r="NIF56" s="378"/>
      <c r="NIG56" s="378"/>
      <c r="NIH56" s="378"/>
      <c r="NII56" s="378"/>
      <c r="NIJ56" s="378"/>
      <c r="NIK56" s="378"/>
      <c r="NIL56" s="378"/>
      <c r="NIM56" s="378"/>
      <c r="NIN56" s="378"/>
      <c r="NIO56" s="378"/>
      <c r="NIP56" s="378"/>
      <c r="NIQ56" s="378"/>
      <c r="NIR56" s="378"/>
      <c r="NIS56" s="378"/>
      <c r="NIT56" s="378"/>
      <c r="NIU56" s="378"/>
      <c r="NIV56" s="378"/>
      <c r="NIW56" s="378"/>
      <c r="NIX56" s="378"/>
      <c r="NIY56" s="378"/>
      <c r="NIZ56" s="378"/>
      <c r="NJA56" s="378"/>
      <c r="NJB56" s="378"/>
      <c r="NJC56" s="378"/>
      <c r="NJD56" s="378"/>
      <c r="NJE56" s="378"/>
      <c r="NJF56" s="378"/>
      <c r="NJG56" s="378"/>
      <c r="NJH56" s="378"/>
      <c r="NJI56" s="378"/>
      <c r="NJJ56" s="378"/>
      <c r="NJK56" s="378"/>
      <c r="NJL56" s="378"/>
      <c r="NJM56" s="378"/>
      <c r="NJN56" s="378"/>
      <c r="NJO56" s="378"/>
      <c r="NJP56" s="378"/>
      <c r="NJQ56" s="378"/>
      <c r="NJR56" s="378"/>
      <c r="NJS56" s="378"/>
      <c r="NJT56" s="378"/>
      <c r="NJU56" s="378"/>
      <c r="NJV56" s="378"/>
      <c r="NJW56" s="378"/>
      <c r="NJX56" s="378"/>
      <c r="NJY56" s="378"/>
      <c r="NJZ56" s="378"/>
      <c r="NKA56" s="378"/>
      <c r="NKB56" s="378"/>
      <c r="NKC56" s="378"/>
      <c r="NKD56" s="378"/>
      <c r="NKE56" s="378"/>
      <c r="NKF56" s="378"/>
      <c r="NKG56" s="378"/>
      <c r="NKH56" s="378"/>
      <c r="NKI56" s="378"/>
      <c r="NKJ56" s="378"/>
      <c r="NKK56" s="378"/>
      <c r="NKL56" s="378"/>
      <c r="NKM56" s="378"/>
      <c r="NKN56" s="378"/>
      <c r="NKO56" s="378"/>
      <c r="NKP56" s="378"/>
      <c r="NKQ56" s="378"/>
      <c r="NKR56" s="378"/>
      <c r="NKS56" s="378"/>
      <c r="NKT56" s="378"/>
      <c r="NKU56" s="378"/>
      <c r="NKV56" s="378"/>
      <c r="NKW56" s="378"/>
      <c r="NKX56" s="378"/>
      <c r="NKY56" s="378"/>
      <c r="NKZ56" s="378"/>
      <c r="NLA56" s="378"/>
      <c r="NLB56" s="378"/>
      <c r="NLC56" s="378"/>
      <c r="NLD56" s="378"/>
      <c r="NLE56" s="378"/>
      <c r="NLF56" s="378"/>
      <c r="NLG56" s="378"/>
      <c r="NLH56" s="378"/>
      <c r="NLI56" s="378"/>
      <c r="NLJ56" s="378"/>
      <c r="NLK56" s="378"/>
      <c r="NLL56" s="378"/>
      <c r="NLM56" s="378"/>
      <c r="NLN56" s="378"/>
      <c r="NLO56" s="378"/>
      <c r="NLP56" s="378"/>
      <c r="NLQ56" s="378"/>
      <c r="NLR56" s="378"/>
      <c r="NLS56" s="378"/>
      <c r="NLT56" s="378"/>
      <c r="NLU56" s="378"/>
      <c r="NLV56" s="378"/>
      <c r="NLW56" s="378"/>
      <c r="NLX56" s="378"/>
      <c r="NLY56" s="378"/>
      <c r="NLZ56" s="378"/>
      <c r="NMA56" s="378"/>
      <c r="NMB56" s="378"/>
      <c r="NMC56" s="378"/>
      <c r="NMD56" s="378"/>
      <c r="NME56" s="378"/>
      <c r="NMF56" s="378"/>
      <c r="NMG56" s="378"/>
      <c r="NMH56" s="378"/>
      <c r="NMI56" s="378"/>
      <c r="NMJ56" s="378"/>
      <c r="NMK56" s="378"/>
      <c r="NML56" s="378"/>
      <c r="NMM56" s="378"/>
      <c r="NMN56" s="378"/>
      <c r="NMO56" s="378"/>
      <c r="NMP56" s="378"/>
      <c r="NMQ56" s="378"/>
      <c r="NMR56" s="378"/>
      <c r="NMS56" s="378"/>
      <c r="NMT56" s="378"/>
      <c r="NMU56" s="378"/>
      <c r="NMV56" s="378"/>
      <c r="NMW56" s="378"/>
      <c r="NMX56" s="378"/>
      <c r="NMY56" s="378"/>
      <c r="NMZ56" s="378"/>
      <c r="NNA56" s="378"/>
      <c r="NNB56" s="378"/>
      <c r="NNC56" s="378"/>
      <c r="NND56" s="378"/>
      <c r="NNE56" s="378"/>
      <c r="NNF56" s="378"/>
      <c r="NNG56" s="378"/>
      <c r="NNH56" s="378"/>
      <c r="NNI56" s="378"/>
      <c r="NNJ56" s="378"/>
      <c r="NNK56" s="378"/>
      <c r="NNL56" s="378"/>
      <c r="NNM56" s="378"/>
      <c r="NNN56" s="378"/>
      <c r="NNO56" s="378"/>
      <c r="NNP56" s="378"/>
      <c r="NNQ56" s="378"/>
      <c r="NNR56" s="378"/>
      <c r="NNS56" s="378"/>
      <c r="NNT56" s="378"/>
      <c r="NNU56" s="378"/>
      <c r="NNV56" s="378"/>
      <c r="NNW56" s="378"/>
      <c r="NNX56" s="378"/>
      <c r="NNY56" s="378"/>
      <c r="NNZ56" s="378"/>
      <c r="NOA56" s="378"/>
      <c r="NOB56" s="378"/>
      <c r="NOC56" s="378"/>
      <c r="NOD56" s="378"/>
      <c r="NOE56" s="378"/>
      <c r="NOF56" s="378"/>
      <c r="NOG56" s="378"/>
      <c r="NOH56" s="378"/>
      <c r="NOI56" s="378"/>
      <c r="NOJ56" s="378"/>
      <c r="NOK56" s="378"/>
      <c r="NOL56" s="378"/>
      <c r="NOM56" s="378"/>
      <c r="NON56" s="378"/>
      <c r="NOO56" s="378"/>
      <c r="NOP56" s="378"/>
      <c r="NOQ56" s="378"/>
      <c r="NOR56" s="378"/>
      <c r="NOS56" s="378"/>
      <c r="NOT56" s="378"/>
      <c r="NOU56" s="378"/>
      <c r="NOV56" s="378"/>
      <c r="NOW56" s="378"/>
      <c r="NOX56" s="378"/>
      <c r="NOY56" s="378"/>
      <c r="NOZ56" s="378"/>
      <c r="NPA56" s="378"/>
      <c r="NPB56" s="378"/>
      <c r="NPC56" s="378"/>
      <c r="NPD56" s="378"/>
      <c r="NPE56" s="378"/>
      <c r="NPF56" s="378"/>
      <c r="NPG56" s="378"/>
      <c r="NPH56" s="378"/>
      <c r="NPI56" s="378"/>
      <c r="NPJ56" s="378"/>
      <c r="NPK56" s="378"/>
      <c r="NPL56" s="378"/>
      <c r="NPM56" s="378"/>
      <c r="NPN56" s="378"/>
      <c r="NPO56" s="378"/>
      <c r="NPP56" s="378"/>
      <c r="NPQ56" s="378"/>
      <c r="NPR56" s="378"/>
      <c r="NPS56" s="378"/>
      <c r="NPT56" s="378"/>
      <c r="NPU56" s="378"/>
      <c r="NPV56" s="378"/>
      <c r="NPW56" s="378"/>
      <c r="NPX56" s="378"/>
      <c r="NPY56" s="378"/>
      <c r="NPZ56" s="378"/>
      <c r="NQA56" s="378"/>
      <c r="NQB56" s="378"/>
      <c r="NQC56" s="378"/>
      <c r="NQD56" s="378"/>
      <c r="NQE56" s="378"/>
      <c r="NQF56" s="378"/>
      <c r="NQG56" s="378"/>
      <c r="NQH56" s="378"/>
      <c r="NQI56" s="378"/>
      <c r="NQJ56" s="378"/>
      <c r="NQK56" s="378"/>
      <c r="NQL56" s="378"/>
      <c r="NQM56" s="378"/>
      <c r="NQN56" s="378"/>
      <c r="NQO56" s="378"/>
      <c r="NQP56" s="378"/>
      <c r="NQQ56" s="378"/>
      <c r="NQR56" s="378"/>
      <c r="NQS56" s="378"/>
      <c r="NQT56" s="378"/>
      <c r="NQU56" s="378"/>
      <c r="NQV56" s="378"/>
      <c r="NQW56" s="378"/>
      <c r="NQX56" s="378"/>
      <c r="NQY56" s="378"/>
      <c r="NQZ56" s="378"/>
      <c r="NRA56" s="378"/>
      <c r="NRB56" s="378"/>
      <c r="NRC56" s="378"/>
      <c r="NRD56" s="378"/>
      <c r="NRE56" s="378"/>
      <c r="NRF56" s="378"/>
      <c r="NRG56" s="378"/>
      <c r="NRH56" s="378"/>
      <c r="NRI56" s="378"/>
      <c r="NRJ56" s="378"/>
      <c r="NRK56" s="378"/>
      <c r="NRL56" s="378"/>
      <c r="NRM56" s="378"/>
      <c r="NRN56" s="378"/>
      <c r="NRO56" s="378"/>
      <c r="NRP56" s="378"/>
      <c r="NRQ56" s="378"/>
      <c r="NRR56" s="378"/>
      <c r="NRS56" s="378"/>
      <c r="NRT56" s="378"/>
      <c r="NRU56" s="378"/>
      <c r="NRV56" s="378"/>
      <c r="NRW56" s="378"/>
      <c r="NRX56" s="378"/>
      <c r="NRY56" s="378"/>
      <c r="NRZ56" s="378"/>
      <c r="NSA56" s="378"/>
      <c r="NSB56" s="378"/>
      <c r="NSC56" s="378"/>
      <c r="NSD56" s="378"/>
      <c r="NSE56" s="378"/>
      <c r="NSF56" s="378"/>
      <c r="NSG56" s="378"/>
      <c r="NSH56" s="378"/>
      <c r="NSI56" s="378"/>
      <c r="NSJ56" s="378"/>
      <c r="NSK56" s="378"/>
      <c r="NSL56" s="378"/>
      <c r="NSM56" s="378"/>
      <c r="NSN56" s="378"/>
      <c r="NSO56" s="378"/>
      <c r="NSP56" s="378"/>
      <c r="NSQ56" s="378"/>
      <c r="NSR56" s="378"/>
      <c r="NSS56" s="378"/>
      <c r="NST56" s="378"/>
      <c r="NSU56" s="378"/>
      <c r="NSV56" s="378"/>
      <c r="NSW56" s="378"/>
      <c r="NSX56" s="378"/>
      <c r="NSY56" s="378"/>
      <c r="NSZ56" s="378"/>
      <c r="NTA56" s="378"/>
      <c r="NTB56" s="378"/>
      <c r="NTC56" s="378"/>
      <c r="NTD56" s="378"/>
      <c r="NTE56" s="378"/>
      <c r="NTF56" s="378"/>
      <c r="NTG56" s="378"/>
      <c r="NTH56" s="378"/>
      <c r="NTI56" s="378"/>
      <c r="NTJ56" s="378"/>
      <c r="NTK56" s="378"/>
      <c r="NTL56" s="378"/>
      <c r="NTM56" s="378"/>
      <c r="NTN56" s="378"/>
      <c r="NTO56" s="378"/>
      <c r="NTP56" s="378"/>
      <c r="NTQ56" s="378"/>
      <c r="NTR56" s="378"/>
      <c r="NTS56" s="378"/>
      <c r="NTT56" s="378"/>
      <c r="NTU56" s="378"/>
      <c r="NTV56" s="378"/>
      <c r="NTW56" s="378"/>
      <c r="NTX56" s="378"/>
      <c r="NTY56" s="378"/>
      <c r="NTZ56" s="378"/>
      <c r="NUA56" s="378"/>
      <c r="NUB56" s="378"/>
      <c r="NUC56" s="378"/>
      <c r="NUD56" s="378"/>
      <c r="NUE56" s="378"/>
      <c r="NUF56" s="378"/>
      <c r="NUG56" s="378"/>
      <c r="NUH56" s="378"/>
      <c r="NUI56" s="378"/>
      <c r="NUJ56" s="378"/>
      <c r="NUK56" s="378"/>
      <c r="NUL56" s="378"/>
      <c r="NUM56" s="378"/>
      <c r="NUN56" s="378"/>
      <c r="NUO56" s="378"/>
      <c r="NUP56" s="378"/>
      <c r="NUQ56" s="378"/>
      <c r="NUR56" s="378"/>
      <c r="NUS56" s="378"/>
      <c r="NUT56" s="378"/>
      <c r="NUU56" s="378"/>
      <c r="NUV56" s="378"/>
      <c r="NUW56" s="378"/>
      <c r="NUX56" s="378"/>
      <c r="NUY56" s="378"/>
      <c r="NUZ56" s="378"/>
      <c r="NVA56" s="378"/>
      <c r="NVB56" s="378"/>
      <c r="NVC56" s="378"/>
      <c r="NVD56" s="378"/>
      <c r="NVE56" s="378"/>
      <c r="NVF56" s="378"/>
      <c r="NVG56" s="378"/>
      <c r="NVH56" s="378"/>
      <c r="NVI56" s="378"/>
      <c r="NVJ56" s="378"/>
      <c r="NVK56" s="378"/>
      <c r="NVL56" s="378"/>
      <c r="NVM56" s="378"/>
      <c r="NVN56" s="378"/>
      <c r="NVO56" s="378"/>
      <c r="NVP56" s="378"/>
      <c r="NVQ56" s="378"/>
      <c r="NVR56" s="378"/>
      <c r="NVS56" s="378"/>
      <c r="NVT56" s="378"/>
      <c r="NVU56" s="378"/>
      <c r="NVV56" s="378"/>
      <c r="NVW56" s="378"/>
      <c r="NVX56" s="378"/>
      <c r="NVY56" s="378"/>
      <c r="NVZ56" s="378"/>
      <c r="NWA56" s="378"/>
      <c r="NWB56" s="378"/>
      <c r="NWC56" s="378"/>
      <c r="NWD56" s="378"/>
      <c r="NWE56" s="378"/>
      <c r="NWF56" s="378"/>
      <c r="NWG56" s="378"/>
      <c r="NWH56" s="378"/>
      <c r="NWI56" s="378"/>
      <c r="NWJ56" s="378"/>
      <c r="NWK56" s="378"/>
      <c r="NWL56" s="378"/>
      <c r="NWM56" s="378"/>
      <c r="NWN56" s="378"/>
      <c r="NWO56" s="378"/>
      <c r="NWP56" s="378"/>
      <c r="NWQ56" s="378"/>
      <c r="NWR56" s="378"/>
      <c r="NWS56" s="378"/>
      <c r="NWT56" s="378"/>
      <c r="NWU56" s="378"/>
      <c r="NWV56" s="378"/>
      <c r="NWW56" s="378"/>
      <c r="NWX56" s="378"/>
      <c r="NWY56" s="378"/>
      <c r="NWZ56" s="378"/>
      <c r="NXA56" s="378"/>
      <c r="NXB56" s="378"/>
      <c r="NXC56" s="378"/>
      <c r="NXD56" s="378"/>
      <c r="NXE56" s="378"/>
      <c r="NXF56" s="378"/>
      <c r="NXG56" s="378"/>
      <c r="NXH56" s="378"/>
      <c r="NXI56" s="378"/>
      <c r="NXJ56" s="378"/>
      <c r="NXK56" s="378"/>
      <c r="NXL56" s="378"/>
      <c r="NXM56" s="378"/>
      <c r="NXN56" s="378"/>
      <c r="NXO56" s="378"/>
      <c r="NXP56" s="378"/>
      <c r="NXQ56" s="378"/>
      <c r="NXR56" s="378"/>
      <c r="NXS56" s="378"/>
      <c r="NXT56" s="378"/>
      <c r="NXU56" s="378"/>
      <c r="NXV56" s="378"/>
      <c r="NXW56" s="378"/>
      <c r="NXX56" s="378"/>
      <c r="NXY56" s="378"/>
      <c r="NXZ56" s="378"/>
      <c r="NYA56" s="378"/>
      <c r="NYB56" s="378"/>
      <c r="NYC56" s="378"/>
      <c r="NYD56" s="378"/>
      <c r="NYE56" s="378"/>
      <c r="NYF56" s="378"/>
      <c r="NYG56" s="378"/>
      <c r="NYH56" s="378"/>
      <c r="NYI56" s="378"/>
      <c r="NYJ56" s="378"/>
      <c r="NYK56" s="378"/>
      <c r="NYL56" s="378"/>
      <c r="NYM56" s="378"/>
      <c r="NYN56" s="378"/>
      <c r="NYO56" s="378"/>
      <c r="NYP56" s="378"/>
      <c r="NYQ56" s="378"/>
      <c r="NYR56" s="378"/>
      <c r="NYS56" s="378"/>
      <c r="NYT56" s="378"/>
      <c r="NYU56" s="378"/>
      <c r="NYV56" s="378"/>
      <c r="NYW56" s="378"/>
      <c r="NYX56" s="378"/>
      <c r="NYY56" s="378"/>
      <c r="NYZ56" s="378"/>
      <c r="NZA56" s="378"/>
      <c r="NZB56" s="378"/>
      <c r="NZC56" s="378"/>
      <c r="NZD56" s="378"/>
      <c r="NZE56" s="378"/>
      <c r="NZF56" s="378"/>
      <c r="NZG56" s="378"/>
      <c r="NZH56" s="378"/>
      <c r="NZI56" s="378"/>
      <c r="NZJ56" s="378"/>
      <c r="NZK56" s="378"/>
      <c r="NZL56" s="378"/>
      <c r="NZM56" s="378"/>
      <c r="NZN56" s="378"/>
      <c r="NZO56" s="378"/>
      <c r="NZP56" s="378"/>
      <c r="NZQ56" s="378"/>
      <c r="NZR56" s="378"/>
      <c r="NZS56" s="378"/>
      <c r="NZT56" s="378"/>
      <c r="NZU56" s="378"/>
      <c r="NZV56" s="378"/>
      <c r="NZW56" s="378"/>
      <c r="NZX56" s="378"/>
      <c r="NZY56" s="378"/>
      <c r="NZZ56" s="378"/>
      <c r="OAA56" s="378"/>
      <c r="OAB56" s="378"/>
      <c r="OAC56" s="378"/>
      <c r="OAD56" s="378"/>
      <c r="OAE56" s="378"/>
      <c r="OAF56" s="378"/>
      <c r="OAG56" s="378"/>
      <c r="OAH56" s="378"/>
      <c r="OAI56" s="378"/>
      <c r="OAJ56" s="378"/>
      <c r="OAK56" s="378"/>
      <c r="OAL56" s="378"/>
      <c r="OAM56" s="378"/>
      <c r="OAN56" s="378"/>
      <c r="OAO56" s="378"/>
      <c r="OAP56" s="378"/>
      <c r="OAQ56" s="378"/>
      <c r="OAR56" s="378"/>
      <c r="OAS56" s="378"/>
      <c r="OAT56" s="378"/>
      <c r="OAU56" s="378"/>
      <c r="OAV56" s="378"/>
      <c r="OAW56" s="378"/>
      <c r="OAX56" s="378"/>
      <c r="OAY56" s="378"/>
      <c r="OAZ56" s="378"/>
      <c r="OBA56" s="378"/>
      <c r="OBB56" s="378"/>
      <c r="OBC56" s="378"/>
      <c r="OBD56" s="378"/>
      <c r="OBE56" s="378"/>
      <c r="OBF56" s="378"/>
      <c r="OBG56" s="378"/>
      <c r="OBH56" s="378"/>
      <c r="OBI56" s="378"/>
      <c r="OBJ56" s="378"/>
      <c r="OBK56" s="378"/>
      <c r="OBL56" s="378"/>
      <c r="OBM56" s="378"/>
      <c r="OBN56" s="378"/>
      <c r="OBO56" s="378"/>
      <c r="OBP56" s="378"/>
      <c r="OBQ56" s="378"/>
      <c r="OBR56" s="378"/>
      <c r="OBS56" s="378"/>
      <c r="OBT56" s="378"/>
      <c r="OBU56" s="378"/>
      <c r="OBV56" s="378"/>
      <c r="OBW56" s="378"/>
      <c r="OBX56" s="378"/>
      <c r="OBY56" s="378"/>
      <c r="OBZ56" s="378"/>
      <c r="OCA56" s="378"/>
      <c r="OCB56" s="378"/>
      <c r="OCC56" s="378"/>
      <c r="OCD56" s="378"/>
      <c r="OCE56" s="378"/>
      <c r="OCF56" s="378"/>
      <c r="OCG56" s="378"/>
      <c r="OCH56" s="378"/>
      <c r="OCI56" s="378"/>
      <c r="OCJ56" s="378"/>
      <c r="OCK56" s="378"/>
      <c r="OCL56" s="378"/>
      <c r="OCM56" s="378"/>
      <c r="OCN56" s="378"/>
      <c r="OCO56" s="378"/>
      <c r="OCP56" s="378"/>
      <c r="OCQ56" s="378"/>
      <c r="OCR56" s="378"/>
      <c r="OCS56" s="378"/>
      <c r="OCT56" s="378"/>
      <c r="OCU56" s="378"/>
      <c r="OCV56" s="378"/>
      <c r="OCW56" s="378"/>
      <c r="OCX56" s="378"/>
      <c r="OCY56" s="378"/>
      <c r="OCZ56" s="378"/>
      <c r="ODA56" s="378"/>
      <c r="ODB56" s="378"/>
      <c r="ODC56" s="378"/>
      <c r="ODD56" s="378"/>
      <c r="ODE56" s="378"/>
      <c r="ODF56" s="378"/>
      <c r="ODG56" s="378"/>
      <c r="ODH56" s="378"/>
      <c r="ODI56" s="378"/>
      <c r="ODJ56" s="378"/>
      <c r="ODK56" s="378"/>
      <c r="ODL56" s="378"/>
      <c r="ODM56" s="378"/>
      <c r="ODN56" s="378"/>
      <c r="ODO56" s="378"/>
      <c r="ODP56" s="378"/>
      <c r="ODQ56" s="378"/>
      <c r="ODR56" s="378"/>
      <c r="ODS56" s="378"/>
      <c r="ODT56" s="378"/>
      <c r="ODU56" s="378"/>
      <c r="ODV56" s="378"/>
      <c r="ODW56" s="378"/>
      <c r="ODX56" s="378"/>
      <c r="ODY56" s="378"/>
      <c r="ODZ56" s="378"/>
      <c r="OEA56" s="378"/>
      <c r="OEB56" s="378"/>
      <c r="OEC56" s="378"/>
      <c r="OED56" s="378"/>
      <c r="OEE56" s="378"/>
      <c r="OEF56" s="378"/>
      <c r="OEG56" s="378"/>
      <c r="OEH56" s="378"/>
      <c r="OEI56" s="378"/>
      <c r="OEJ56" s="378"/>
      <c r="OEK56" s="378"/>
      <c r="OEL56" s="378"/>
      <c r="OEM56" s="378"/>
      <c r="OEN56" s="378"/>
      <c r="OEO56" s="378"/>
      <c r="OEP56" s="378"/>
      <c r="OEQ56" s="378"/>
      <c r="OER56" s="378"/>
      <c r="OES56" s="378"/>
      <c r="OET56" s="378"/>
      <c r="OEU56" s="378"/>
      <c r="OEV56" s="378"/>
      <c r="OEW56" s="378"/>
      <c r="OEX56" s="378"/>
      <c r="OEY56" s="378"/>
      <c r="OEZ56" s="378"/>
      <c r="OFA56" s="378"/>
      <c r="OFB56" s="378"/>
      <c r="OFC56" s="378"/>
      <c r="OFD56" s="378"/>
      <c r="OFE56" s="378"/>
      <c r="OFF56" s="378"/>
      <c r="OFG56" s="378"/>
      <c r="OFH56" s="378"/>
      <c r="OFI56" s="378"/>
      <c r="OFJ56" s="378"/>
      <c r="OFK56" s="378"/>
      <c r="OFL56" s="378"/>
      <c r="OFM56" s="378"/>
      <c r="OFN56" s="378"/>
      <c r="OFO56" s="378"/>
      <c r="OFP56" s="378"/>
      <c r="OFQ56" s="378"/>
      <c r="OFR56" s="378"/>
      <c r="OFS56" s="378"/>
      <c r="OFT56" s="378"/>
      <c r="OFU56" s="378"/>
      <c r="OFV56" s="378"/>
      <c r="OFW56" s="378"/>
      <c r="OFX56" s="378"/>
      <c r="OFY56" s="378"/>
      <c r="OFZ56" s="378"/>
      <c r="OGA56" s="378"/>
      <c r="OGB56" s="378"/>
      <c r="OGC56" s="378"/>
      <c r="OGD56" s="378"/>
      <c r="OGE56" s="378"/>
      <c r="OGF56" s="378"/>
      <c r="OGG56" s="378"/>
      <c r="OGH56" s="378"/>
      <c r="OGI56" s="378"/>
      <c r="OGJ56" s="378"/>
      <c r="OGK56" s="378"/>
      <c r="OGL56" s="378"/>
      <c r="OGM56" s="378"/>
      <c r="OGN56" s="378"/>
      <c r="OGO56" s="378"/>
      <c r="OGP56" s="378"/>
      <c r="OGQ56" s="378"/>
      <c r="OGR56" s="378"/>
      <c r="OGS56" s="378"/>
      <c r="OGT56" s="378"/>
      <c r="OGU56" s="378"/>
      <c r="OGV56" s="378"/>
      <c r="OGW56" s="378"/>
      <c r="OGX56" s="378"/>
      <c r="OGY56" s="378"/>
      <c r="OGZ56" s="378"/>
      <c r="OHA56" s="378"/>
      <c r="OHB56" s="378"/>
      <c r="OHC56" s="378"/>
      <c r="OHD56" s="378"/>
      <c r="OHE56" s="378"/>
      <c r="OHF56" s="378"/>
      <c r="OHG56" s="378"/>
      <c r="OHH56" s="378"/>
      <c r="OHI56" s="378"/>
      <c r="OHJ56" s="378"/>
      <c r="OHK56" s="378"/>
      <c r="OHL56" s="378"/>
      <c r="OHM56" s="378"/>
      <c r="OHN56" s="378"/>
      <c r="OHO56" s="378"/>
      <c r="OHP56" s="378"/>
      <c r="OHQ56" s="378"/>
      <c r="OHR56" s="378"/>
      <c r="OHS56" s="378"/>
      <c r="OHT56" s="378"/>
      <c r="OHU56" s="378"/>
      <c r="OHV56" s="378"/>
      <c r="OHW56" s="378"/>
      <c r="OHX56" s="378"/>
      <c r="OHY56" s="378"/>
      <c r="OHZ56" s="378"/>
      <c r="OIA56" s="378"/>
      <c r="OIB56" s="378"/>
      <c r="OIC56" s="378"/>
      <c r="OID56" s="378"/>
      <c r="OIE56" s="378"/>
      <c r="OIF56" s="378"/>
      <c r="OIG56" s="378"/>
      <c r="OIH56" s="378"/>
      <c r="OII56" s="378"/>
      <c r="OIJ56" s="378"/>
      <c r="OIK56" s="378"/>
      <c r="OIL56" s="378"/>
      <c r="OIM56" s="378"/>
      <c r="OIN56" s="378"/>
      <c r="OIO56" s="378"/>
      <c r="OIP56" s="378"/>
      <c r="OIQ56" s="378"/>
      <c r="OIR56" s="378"/>
      <c r="OIS56" s="378"/>
      <c r="OIT56" s="378"/>
      <c r="OIU56" s="378"/>
      <c r="OIV56" s="378"/>
      <c r="OIW56" s="378"/>
      <c r="OIX56" s="378"/>
      <c r="OIY56" s="378"/>
      <c r="OIZ56" s="378"/>
      <c r="OJA56" s="378"/>
      <c r="OJB56" s="378"/>
      <c r="OJC56" s="378"/>
      <c r="OJD56" s="378"/>
      <c r="OJE56" s="378"/>
      <c r="OJF56" s="378"/>
      <c r="OJG56" s="378"/>
      <c r="OJH56" s="378"/>
      <c r="OJI56" s="378"/>
      <c r="OJJ56" s="378"/>
      <c r="OJK56" s="378"/>
      <c r="OJL56" s="378"/>
      <c r="OJM56" s="378"/>
      <c r="OJN56" s="378"/>
      <c r="OJO56" s="378"/>
      <c r="OJP56" s="378"/>
      <c r="OJQ56" s="378"/>
      <c r="OJR56" s="378"/>
      <c r="OJS56" s="378"/>
      <c r="OJT56" s="378"/>
      <c r="OJU56" s="378"/>
      <c r="OJV56" s="378"/>
      <c r="OJW56" s="378"/>
      <c r="OJX56" s="378"/>
      <c r="OJY56" s="378"/>
      <c r="OJZ56" s="378"/>
      <c r="OKA56" s="378"/>
      <c r="OKB56" s="378"/>
      <c r="OKC56" s="378"/>
      <c r="OKD56" s="378"/>
      <c r="OKE56" s="378"/>
      <c r="OKF56" s="378"/>
      <c r="OKG56" s="378"/>
      <c r="OKH56" s="378"/>
      <c r="OKI56" s="378"/>
      <c r="OKJ56" s="378"/>
      <c r="OKK56" s="378"/>
      <c r="OKL56" s="378"/>
      <c r="OKM56" s="378"/>
      <c r="OKN56" s="378"/>
      <c r="OKO56" s="378"/>
      <c r="OKP56" s="378"/>
      <c r="OKQ56" s="378"/>
      <c r="OKR56" s="378"/>
      <c r="OKS56" s="378"/>
      <c r="OKT56" s="378"/>
      <c r="OKU56" s="378"/>
      <c r="OKV56" s="378"/>
      <c r="OKW56" s="378"/>
      <c r="OKX56" s="378"/>
      <c r="OKY56" s="378"/>
      <c r="OKZ56" s="378"/>
      <c r="OLA56" s="378"/>
      <c r="OLB56" s="378"/>
      <c r="OLC56" s="378"/>
      <c r="OLD56" s="378"/>
      <c r="OLE56" s="378"/>
      <c r="OLF56" s="378"/>
      <c r="OLG56" s="378"/>
      <c r="OLH56" s="378"/>
      <c r="OLI56" s="378"/>
      <c r="OLJ56" s="378"/>
      <c r="OLK56" s="378"/>
      <c r="OLL56" s="378"/>
      <c r="OLM56" s="378"/>
      <c r="OLN56" s="378"/>
      <c r="OLO56" s="378"/>
      <c r="OLP56" s="378"/>
      <c r="OLQ56" s="378"/>
      <c r="OLR56" s="378"/>
      <c r="OLS56" s="378"/>
      <c r="OLT56" s="378"/>
      <c r="OLU56" s="378"/>
      <c r="OLV56" s="378"/>
      <c r="OLW56" s="378"/>
      <c r="OLX56" s="378"/>
      <c r="OLY56" s="378"/>
      <c r="OLZ56" s="378"/>
      <c r="OMA56" s="378"/>
      <c r="OMB56" s="378"/>
      <c r="OMC56" s="378"/>
      <c r="OMD56" s="378"/>
      <c r="OME56" s="378"/>
      <c r="OMF56" s="378"/>
      <c r="OMG56" s="378"/>
      <c r="OMH56" s="378"/>
      <c r="OMI56" s="378"/>
      <c r="OMJ56" s="378"/>
      <c r="OMK56" s="378"/>
      <c r="OML56" s="378"/>
      <c r="OMM56" s="378"/>
      <c r="OMN56" s="378"/>
      <c r="OMO56" s="378"/>
      <c r="OMP56" s="378"/>
      <c r="OMQ56" s="378"/>
      <c r="OMR56" s="378"/>
      <c r="OMS56" s="378"/>
      <c r="OMT56" s="378"/>
      <c r="OMU56" s="378"/>
      <c r="OMV56" s="378"/>
      <c r="OMW56" s="378"/>
      <c r="OMX56" s="378"/>
      <c r="OMY56" s="378"/>
      <c r="OMZ56" s="378"/>
      <c r="ONA56" s="378"/>
      <c r="ONB56" s="378"/>
      <c r="ONC56" s="378"/>
      <c r="OND56" s="378"/>
      <c r="ONE56" s="378"/>
      <c r="ONF56" s="378"/>
      <c r="ONG56" s="378"/>
      <c r="ONH56" s="378"/>
      <c r="ONI56" s="378"/>
      <c r="ONJ56" s="378"/>
      <c r="ONK56" s="378"/>
      <c r="ONL56" s="378"/>
      <c r="ONM56" s="378"/>
      <c r="ONN56" s="378"/>
      <c r="ONO56" s="378"/>
      <c r="ONP56" s="378"/>
      <c r="ONQ56" s="378"/>
      <c r="ONR56" s="378"/>
      <c r="ONS56" s="378"/>
      <c r="ONT56" s="378"/>
      <c r="ONU56" s="378"/>
      <c r="ONV56" s="378"/>
      <c r="ONW56" s="378"/>
      <c r="ONX56" s="378"/>
      <c r="ONY56" s="378"/>
      <c r="ONZ56" s="378"/>
      <c r="OOA56" s="378"/>
      <c r="OOB56" s="378"/>
      <c r="OOC56" s="378"/>
      <c r="OOD56" s="378"/>
      <c r="OOE56" s="378"/>
      <c r="OOF56" s="378"/>
      <c r="OOG56" s="378"/>
      <c r="OOH56" s="378"/>
      <c r="OOI56" s="378"/>
      <c r="OOJ56" s="378"/>
      <c r="OOK56" s="378"/>
      <c r="OOL56" s="378"/>
      <c r="OOM56" s="378"/>
      <c r="OON56" s="378"/>
      <c r="OOO56" s="378"/>
      <c r="OOP56" s="378"/>
      <c r="OOQ56" s="378"/>
      <c r="OOR56" s="378"/>
      <c r="OOS56" s="378"/>
      <c r="OOT56" s="378"/>
      <c r="OOU56" s="378"/>
      <c r="OOV56" s="378"/>
      <c r="OOW56" s="378"/>
      <c r="OOX56" s="378"/>
      <c r="OOY56" s="378"/>
      <c r="OOZ56" s="378"/>
      <c r="OPA56" s="378"/>
      <c r="OPB56" s="378"/>
      <c r="OPC56" s="378"/>
      <c r="OPD56" s="378"/>
      <c r="OPE56" s="378"/>
      <c r="OPF56" s="378"/>
      <c r="OPG56" s="378"/>
      <c r="OPH56" s="378"/>
      <c r="OPI56" s="378"/>
      <c r="OPJ56" s="378"/>
      <c r="OPK56" s="378"/>
      <c r="OPL56" s="378"/>
      <c r="OPM56" s="378"/>
      <c r="OPN56" s="378"/>
      <c r="OPO56" s="378"/>
      <c r="OPP56" s="378"/>
      <c r="OPQ56" s="378"/>
      <c r="OPR56" s="378"/>
      <c r="OPS56" s="378"/>
      <c r="OPT56" s="378"/>
      <c r="OPU56" s="378"/>
      <c r="OPV56" s="378"/>
      <c r="OPW56" s="378"/>
      <c r="OPX56" s="378"/>
      <c r="OPY56" s="378"/>
      <c r="OPZ56" s="378"/>
      <c r="OQA56" s="378"/>
      <c r="OQB56" s="378"/>
      <c r="OQC56" s="378"/>
      <c r="OQD56" s="378"/>
      <c r="OQE56" s="378"/>
      <c r="OQF56" s="378"/>
      <c r="OQG56" s="378"/>
      <c r="OQH56" s="378"/>
      <c r="OQI56" s="378"/>
      <c r="OQJ56" s="378"/>
      <c r="OQK56" s="378"/>
      <c r="OQL56" s="378"/>
      <c r="OQM56" s="378"/>
      <c r="OQN56" s="378"/>
      <c r="OQO56" s="378"/>
      <c r="OQP56" s="378"/>
      <c r="OQQ56" s="378"/>
      <c r="OQR56" s="378"/>
      <c r="OQS56" s="378"/>
      <c r="OQT56" s="378"/>
      <c r="OQU56" s="378"/>
      <c r="OQV56" s="378"/>
      <c r="OQW56" s="378"/>
      <c r="OQX56" s="378"/>
      <c r="OQY56" s="378"/>
      <c r="OQZ56" s="378"/>
      <c r="ORA56" s="378"/>
      <c r="ORB56" s="378"/>
      <c r="ORC56" s="378"/>
      <c r="ORD56" s="378"/>
      <c r="ORE56" s="378"/>
      <c r="ORF56" s="378"/>
      <c r="ORG56" s="378"/>
      <c r="ORH56" s="378"/>
      <c r="ORI56" s="378"/>
      <c r="ORJ56" s="378"/>
      <c r="ORK56" s="378"/>
      <c r="ORL56" s="378"/>
      <c r="ORM56" s="378"/>
      <c r="ORN56" s="378"/>
      <c r="ORO56" s="378"/>
      <c r="ORP56" s="378"/>
      <c r="ORQ56" s="378"/>
      <c r="ORR56" s="378"/>
      <c r="ORS56" s="378"/>
      <c r="ORT56" s="378"/>
      <c r="ORU56" s="378"/>
      <c r="ORV56" s="378"/>
      <c r="ORW56" s="378"/>
      <c r="ORX56" s="378"/>
      <c r="ORY56" s="378"/>
      <c r="ORZ56" s="378"/>
      <c r="OSA56" s="378"/>
      <c r="OSB56" s="378"/>
      <c r="OSC56" s="378"/>
      <c r="OSD56" s="378"/>
      <c r="OSE56" s="378"/>
      <c r="OSF56" s="378"/>
      <c r="OSG56" s="378"/>
      <c r="OSH56" s="378"/>
      <c r="OSI56" s="378"/>
      <c r="OSJ56" s="378"/>
      <c r="OSK56" s="378"/>
      <c r="OSL56" s="378"/>
      <c r="OSM56" s="378"/>
      <c r="OSN56" s="378"/>
      <c r="OSO56" s="378"/>
      <c r="OSP56" s="378"/>
      <c r="OSQ56" s="378"/>
      <c r="OSR56" s="378"/>
      <c r="OSS56" s="378"/>
      <c r="OST56" s="378"/>
      <c r="OSU56" s="378"/>
      <c r="OSV56" s="378"/>
      <c r="OSW56" s="378"/>
      <c r="OSX56" s="378"/>
      <c r="OSY56" s="378"/>
      <c r="OSZ56" s="378"/>
      <c r="OTA56" s="378"/>
      <c r="OTB56" s="378"/>
      <c r="OTC56" s="378"/>
      <c r="OTD56" s="378"/>
      <c r="OTE56" s="378"/>
      <c r="OTF56" s="378"/>
      <c r="OTG56" s="378"/>
      <c r="OTH56" s="378"/>
      <c r="OTI56" s="378"/>
      <c r="OTJ56" s="378"/>
      <c r="OTK56" s="378"/>
      <c r="OTL56" s="378"/>
      <c r="OTM56" s="378"/>
      <c r="OTN56" s="378"/>
      <c r="OTO56" s="378"/>
      <c r="OTP56" s="378"/>
      <c r="OTQ56" s="378"/>
      <c r="OTR56" s="378"/>
      <c r="OTS56" s="378"/>
      <c r="OTT56" s="378"/>
      <c r="OTU56" s="378"/>
      <c r="OTV56" s="378"/>
      <c r="OTW56" s="378"/>
      <c r="OTX56" s="378"/>
      <c r="OTY56" s="378"/>
      <c r="OTZ56" s="378"/>
      <c r="OUA56" s="378"/>
      <c r="OUB56" s="378"/>
      <c r="OUC56" s="378"/>
      <c r="OUD56" s="378"/>
      <c r="OUE56" s="378"/>
      <c r="OUF56" s="378"/>
      <c r="OUG56" s="378"/>
      <c r="OUH56" s="378"/>
      <c r="OUI56" s="378"/>
      <c r="OUJ56" s="378"/>
      <c r="OUK56" s="378"/>
      <c r="OUL56" s="378"/>
      <c r="OUM56" s="378"/>
      <c r="OUN56" s="378"/>
      <c r="OUO56" s="378"/>
      <c r="OUP56" s="378"/>
      <c r="OUQ56" s="378"/>
      <c r="OUR56" s="378"/>
      <c r="OUS56" s="378"/>
      <c r="OUT56" s="378"/>
      <c r="OUU56" s="378"/>
      <c r="OUV56" s="378"/>
      <c r="OUW56" s="378"/>
      <c r="OUX56" s="378"/>
      <c r="OUY56" s="378"/>
      <c r="OUZ56" s="378"/>
      <c r="OVA56" s="378"/>
      <c r="OVB56" s="378"/>
      <c r="OVC56" s="378"/>
      <c r="OVD56" s="378"/>
      <c r="OVE56" s="378"/>
      <c r="OVF56" s="378"/>
      <c r="OVG56" s="378"/>
      <c r="OVH56" s="378"/>
      <c r="OVI56" s="378"/>
      <c r="OVJ56" s="378"/>
      <c r="OVK56" s="378"/>
      <c r="OVL56" s="378"/>
      <c r="OVM56" s="378"/>
      <c r="OVN56" s="378"/>
      <c r="OVO56" s="378"/>
      <c r="OVP56" s="378"/>
      <c r="OVQ56" s="378"/>
      <c r="OVR56" s="378"/>
      <c r="OVS56" s="378"/>
      <c r="OVT56" s="378"/>
      <c r="OVU56" s="378"/>
      <c r="OVV56" s="378"/>
      <c r="OVW56" s="378"/>
      <c r="OVX56" s="378"/>
      <c r="OVY56" s="378"/>
      <c r="OVZ56" s="378"/>
      <c r="OWA56" s="378"/>
      <c r="OWB56" s="378"/>
      <c r="OWC56" s="378"/>
      <c r="OWD56" s="378"/>
      <c r="OWE56" s="378"/>
      <c r="OWF56" s="378"/>
      <c r="OWG56" s="378"/>
      <c r="OWH56" s="378"/>
      <c r="OWI56" s="378"/>
      <c r="OWJ56" s="378"/>
      <c r="OWK56" s="378"/>
      <c r="OWL56" s="378"/>
      <c r="OWM56" s="378"/>
      <c r="OWN56" s="378"/>
      <c r="OWO56" s="378"/>
      <c r="OWP56" s="378"/>
      <c r="OWQ56" s="378"/>
      <c r="OWR56" s="378"/>
      <c r="OWS56" s="378"/>
      <c r="OWT56" s="378"/>
      <c r="OWU56" s="378"/>
      <c r="OWV56" s="378"/>
      <c r="OWW56" s="378"/>
      <c r="OWX56" s="378"/>
      <c r="OWY56" s="378"/>
      <c r="OWZ56" s="378"/>
      <c r="OXA56" s="378"/>
      <c r="OXB56" s="378"/>
      <c r="OXC56" s="378"/>
      <c r="OXD56" s="378"/>
      <c r="OXE56" s="378"/>
      <c r="OXF56" s="378"/>
      <c r="OXG56" s="378"/>
      <c r="OXH56" s="378"/>
      <c r="OXI56" s="378"/>
      <c r="OXJ56" s="378"/>
      <c r="OXK56" s="378"/>
      <c r="OXL56" s="378"/>
      <c r="OXM56" s="378"/>
      <c r="OXN56" s="378"/>
      <c r="OXO56" s="378"/>
      <c r="OXP56" s="378"/>
      <c r="OXQ56" s="378"/>
      <c r="OXR56" s="378"/>
      <c r="OXS56" s="378"/>
      <c r="OXT56" s="378"/>
      <c r="OXU56" s="378"/>
      <c r="OXV56" s="378"/>
      <c r="OXW56" s="378"/>
      <c r="OXX56" s="378"/>
      <c r="OXY56" s="378"/>
      <c r="OXZ56" s="378"/>
      <c r="OYA56" s="378"/>
      <c r="OYB56" s="378"/>
      <c r="OYC56" s="378"/>
      <c r="OYD56" s="378"/>
      <c r="OYE56" s="378"/>
      <c r="OYF56" s="378"/>
      <c r="OYG56" s="378"/>
      <c r="OYH56" s="378"/>
      <c r="OYI56" s="378"/>
      <c r="OYJ56" s="378"/>
      <c r="OYK56" s="378"/>
      <c r="OYL56" s="378"/>
      <c r="OYM56" s="378"/>
      <c r="OYN56" s="378"/>
      <c r="OYO56" s="378"/>
      <c r="OYP56" s="378"/>
      <c r="OYQ56" s="378"/>
      <c r="OYR56" s="378"/>
      <c r="OYS56" s="378"/>
      <c r="OYT56" s="378"/>
      <c r="OYU56" s="378"/>
      <c r="OYV56" s="378"/>
      <c r="OYW56" s="378"/>
      <c r="OYX56" s="378"/>
      <c r="OYY56" s="378"/>
      <c r="OYZ56" s="378"/>
      <c r="OZA56" s="378"/>
      <c r="OZB56" s="378"/>
      <c r="OZC56" s="378"/>
      <c r="OZD56" s="378"/>
      <c r="OZE56" s="378"/>
      <c r="OZF56" s="378"/>
      <c r="OZG56" s="378"/>
      <c r="OZH56" s="378"/>
      <c r="OZI56" s="378"/>
      <c r="OZJ56" s="378"/>
      <c r="OZK56" s="378"/>
      <c r="OZL56" s="378"/>
      <c r="OZM56" s="378"/>
      <c r="OZN56" s="378"/>
      <c r="OZO56" s="378"/>
      <c r="OZP56" s="378"/>
      <c r="OZQ56" s="378"/>
      <c r="OZR56" s="378"/>
      <c r="OZS56" s="378"/>
      <c r="OZT56" s="378"/>
      <c r="OZU56" s="378"/>
      <c r="OZV56" s="378"/>
      <c r="OZW56" s="378"/>
      <c r="OZX56" s="378"/>
      <c r="OZY56" s="378"/>
      <c r="OZZ56" s="378"/>
      <c r="PAA56" s="378"/>
      <c r="PAB56" s="378"/>
      <c r="PAC56" s="378"/>
      <c r="PAD56" s="378"/>
      <c r="PAE56" s="378"/>
      <c r="PAF56" s="378"/>
      <c r="PAG56" s="378"/>
      <c r="PAH56" s="378"/>
      <c r="PAI56" s="378"/>
      <c r="PAJ56" s="378"/>
      <c r="PAK56" s="378"/>
      <c r="PAL56" s="378"/>
      <c r="PAM56" s="378"/>
      <c r="PAN56" s="378"/>
      <c r="PAO56" s="378"/>
      <c r="PAP56" s="378"/>
      <c r="PAQ56" s="378"/>
      <c r="PAR56" s="378"/>
      <c r="PAS56" s="378"/>
      <c r="PAT56" s="378"/>
      <c r="PAU56" s="378"/>
      <c r="PAV56" s="378"/>
      <c r="PAW56" s="378"/>
      <c r="PAX56" s="378"/>
      <c r="PAY56" s="378"/>
      <c r="PAZ56" s="378"/>
      <c r="PBA56" s="378"/>
      <c r="PBB56" s="378"/>
      <c r="PBC56" s="378"/>
      <c r="PBD56" s="378"/>
      <c r="PBE56" s="378"/>
      <c r="PBF56" s="378"/>
      <c r="PBG56" s="378"/>
      <c r="PBH56" s="378"/>
      <c r="PBI56" s="378"/>
      <c r="PBJ56" s="378"/>
      <c r="PBK56" s="378"/>
      <c r="PBL56" s="378"/>
      <c r="PBM56" s="378"/>
      <c r="PBN56" s="378"/>
      <c r="PBO56" s="378"/>
      <c r="PBP56" s="378"/>
      <c r="PBQ56" s="378"/>
      <c r="PBR56" s="378"/>
      <c r="PBS56" s="378"/>
      <c r="PBT56" s="378"/>
      <c r="PBU56" s="378"/>
      <c r="PBV56" s="378"/>
      <c r="PBW56" s="378"/>
      <c r="PBX56" s="378"/>
      <c r="PBY56" s="378"/>
      <c r="PBZ56" s="378"/>
      <c r="PCA56" s="378"/>
      <c r="PCB56" s="378"/>
      <c r="PCC56" s="378"/>
      <c r="PCD56" s="378"/>
      <c r="PCE56" s="378"/>
      <c r="PCF56" s="378"/>
      <c r="PCG56" s="378"/>
      <c r="PCH56" s="378"/>
      <c r="PCI56" s="378"/>
      <c r="PCJ56" s="378"/>
      <c r="PCK56" s="378"/>
      <c r="PCL56" s="378"/>
      <c r="PCM56" s="378"/>
      <c r="PCN56" s="378"/>
      <c r="PCO56" s="378"/>
      <c r="PCP56" s="378"/>
      <c r="PCQ56" s="378"/>
      <c r="PCR56" s="378"/>
      <c r="PCS56" s="378"/>
      <c r="PCT56" s="378"/>
      <c r="PCU56" s="378"/>
      <c r="PCV56" s="378"/>
      <c r="PCW56" s="378"/>
      <c r="PCX56" s="378"/>
      <c r="PCY56" s="378"/>
      <c r="PCZ56" s="378"/>
      <c r="PDA56" s="378"/>
      <c r="PDB56" s="378"/>
      <c r="PDC56" s="378"/>
      <c r="PDD56" s="378"/>
      <c r="PDE56" s="378"/>
      <c r="PDF56" s="378"/>
      <c r="PDG56" s="378"/>
      <c r="PDH56" s="378"/>
      <c r="PDI56" s="378"/>
      <c r="PDJ56" s="378"/>
      <c r="PDK56" s="378"/>
      <c r="PDL56" s="378"/>
      <c r="PDM56" s="378"/>
      <c r="PDN56" s="378"/>
      <c r="PDO56" s="378"/>
      <c r="PDP56" s="378"/>
      <c r="PDQ56" s="378"/>
      <c r="PDR56" s="378"/>
      <c r="PDS56" s="378"/>
      <c r="PDT56" s="378"/>
      <c r="PDU56" s="378"/>
      <c r="PDV56" s="378"/>
      <c r="PDW56" s="378"/>
      <c r="PDX56" s="378"/>
      <c r="PDY56" s="378"/>
      <c r="PDZ56" s="378"/>
      <c r="PEA56" s="378"/>
      <c r="PEB56" s="378"/>
      <c r="PEC56" s="378"/>
      <c r="PED56" s="378"/>
      <c r="PEE56" s="378"/>
      <c r="PEF56" s="378"/>
      <c r="PEG56" s="378"/>
      <c r="PEH56" s="378"/>
      <c r="PEI56" s="378"/>
      <c r="PEJ56" s="378"/>
      <c r="PEK56" s="378"/>
      <c r="PEL56" s="378"/>
      <c r="PEM56" s="378"/>
      <c r="PEN56" s="378"/>
      <c r="PEO56" s="378"/>
      <c r="PEP56" s="378"/>
      <c r="PEQ56" s="378"/>
      <c r="PER56" s="378"/>
      <c r="PES56" s="378"/>
      <c r="PET56" s="378"/>
      <c r="PEU56" s="378"/>
      <c r="PEV56" s="378"/>
      <c r="PEW56" s="378"/>
      <c r="PEX56" s="378"/>
      <c r="PEY56" s="378"/>
      <c r="PEZ56" s="378"/>
      <c r="PFA56" s="378"/>
      <c r="PFB56" s="378"/>
      <c r="PFC56" s="378"/>
      <c r="PFD56" s="378"/>
      <c r="PFE56" s="378"/>
      <c r="PFF56" s="378"/>
      <c r="PFG56" s="378"/>
      <c r="PFH56" s="378"/>
      <c r="PFI56" s="378"/>
      <c r="PFJ56" s="378"/>
      <c r="PFK56" s="378"/>
      <c r="PFL56" s="378"/>
      <c r="PFM56" s="378"/>
      <c r="PFN56" s="378"/>
      <c r="PFO56" s="378"/>
      <c r="PFP56" s="378"/>
      <c r="PFQ56" s="378"/>
      <c r="PFR56" s="378"/>
      <c r="PFS56" s="378"/>
      <c r="PFT56" s="378"/>
      <c r="PFU56" s="378"/>
      <c r="PFV56" s="378"/>
      <c r="PFW56" s="378"/>
      <c r="PFX56" s="378"/>
      <c r="PFY56" s="378"/>
      <c r="PFZ56" s="378"/>
      <c r="PGA56" s="378"/>
      <c r="PGB56" s="378"/>
      <c r="PGC56" s="378"/>
      <c r="PGD56" s="378"/>
      <c r="PGE56" s="378"/>
      <c r="PGF56" s="378"/>
      <c r="PGG56" s="378"/>
      <c r="PGH56" s="378"/>
      <c r="PGI56" s="378"/>
      <c r="PGJ56" s="378"/>
      <c r="PGK56" s="378"/>
      <c r="PGL56" s="378"/>
      <c r="PGM56" s="378"/>
      <c r="PGN56" s="378"/>
      <c r="PGO56" s="378"/>
      <c r="PGP56" s="378"/>
      <c r="PGQ56" s="378"/>
      <c r="PGR56" s="378"/>
      <c r="PGS56" s="378"/>
      <c r="PGT56" s="378"/>
      <c r="PGU56" s="378"/>
      <c r="PGV56" s="378"/>
      <c r="PGW56" s="378"/>
      <c r="PGX56" s="378"/>
      <c r="PGY56" s="378"/>
      <c r="PGZ56" s="378"/>
      <c r="PHA56" s="378"/>
      <c r="PHB56" s="378"/>
      <c r="PHC56" s="378"/>
      <c r="PHD56" s="378"/>
      <c r="PHE56" s="378"/>
      <c r="PHF56" s="378"/>
      <c r="PHG56" s="378"/>
      <c r="PHH56" s="378"/>
      <c r="PHI56" s="378"/>
      <c r="PHJ56" s="378"/>
      <c r="PHK56" s="378"/>
      <c r="PHL56" s="378"/>
      <c r="PHM56" s="378"/>
      <c r="PHN56" s="378"/>
      <c r="PHO56" s="378"/>
      <c r="PHP56" s="378"/>
      <c r="PHQ56" s="378"/>
      <c r="PHR56" s="378"/>
      <c r="PHS56" s="378"/>
      <c r="PHT56" s="378"/>
      <c r="PHU56" s="378"/>
      <c r="PHV56" s="378"/>
      <c r="PHW56" s="378"/>
      <c r="PHX56" s="378"/>
      <c r="PHY56" s="378"/>
      <c r="PHZ56" s="378"/>
      <c r="PIA56" s="378"/>
      <c r="PIB56" s="378"/>
      <c r="PIC56" s="378"/>
      <c r="PID56" s="378"/>
      <c r="PIE56" s="378"/>
      <c r="PIF56" s="378"/>
      <c r="PIG56" s="378"/>
      <c r="PIH56" s="378"/>
      <c r="PII56" s="378"/>
      <c r="PIJ56" s="378"/>
      <c r="PIK56" s="378"/>
      <c r="PIL56" s="378"/>
      <c r="PIM56" s="378"/>
      <c r="PIN56" s="378"/>
      <c r="PIO56" s="378"/>
      <c r="PIP56" s="378"/>
      <c r="PIQ56" s="378"/>
      <c r="PIR56" s="378"/>
      <c r="PIS56" s="378"/>
      <c r="PIT56" s="378"/>
      <c r="PIU56" s="378"/>
      <c r="PIV56" s="378"/>
      <c r="PIW56" s="378"/>
      <c r="PIX56" s="378"/>
      <c r="PIY56" s="378"/>
      <c r="PIZ56" s="378"/>
      <c r="PJA56" s="378"/>
      <c r="PJB56" s="378"/>
      <c r="PJC56" s="378"/>
      <c r="PJD56" s="378"/>
      <c r="PJE56" s="378"/>
      <c r="PJF56" s="378"/>
      <c r="PJG56" s="378"/>
      <c r="PJH56" s="378"/>
      <c r="PJI56" s="378"/>
      <c r="PJJ56" s="378"/>
      <c r="PJK56" s="378"/>
      <c r="PJL56" s="378"/>
      <c r="PJM56" s="378"/>
      <c r="PJN56" s="378"/>
      <c r="PJO56" s="378"/>
      <c r="PJP56" s="378"/>
      <c r="PJQ56" s="378"/>
      <c r="PJR56" s="378"/>
      <c r="PJS56" s="378"/>
      <c r="PJT56" s="378"/>
      <c r="PJU56" s="378"/>
      <c r="PJV56" s="378"/>
      <c r="PJW56" s="378"/>
      <c r="PJX56" s="378"/>
      <c r="PJY56" s="378"/>
      <c r="PJZ56" s="378"/>
      <c r="PKA56" s="378"/>
      <c r="PKB56" s="378"/>
      <c r="PKC56" s="378"/>
      <c r="PKD56" s="378"/>
      <c r="PKE56" s="378"/>
      <c r="PKF56" s="378"/>
      <c r="PKG56" s="378"/>
      <c r="PKH56" s="378"/>
      <c r="PKI56" s="378"/>
      <c r="PKJ56" s="378"/>
      <c r="PKK56" s="378"/>
      <c r="PKL56" s="378"/>
      <c r="PKM56" s="378"/>
      <c r="PKN56" s="378"/>
      <c r="PKO56" s="378"/>
      <c r="PKP56" s="378"/>
      <c r="PKQ56" s="378"/>
      <c r="PKR56" s="378"/>
      <c r="PKS56" s="378"/>
      <c r="PKT56" s="378"/>
      <c r="PKU56" s="378"/>
      <c r="PKV56" s="378"/>
      <c r="PKW56" s="378"/>
      <c r="PKX56" s="378"/>
      <c r="PKY56" s="378"/>
      <c r="PKZ56" s="378"/>
      <c r="PLA56" s="378"/>
      <c r="PLB56" s="378"/>
      <c r="PLC56" s="378"/>
      <c r="PLD56" s="378"/>
      <c r="PLE56" s="378"/>
      <c r="PLF56" s="378"/>
      <c r="PLG56" s="378"/>
      <c r="PLH56" s="378"/>
      <c r="PLI56" s="378"/>
      <c r="PLJ56" s="378"/>
      <c r="PLK56" s="378"/>
      <c r="PLL56" s="378"/>
      <c r="PLM56" s="378"/>
      <c r="PLN56" s="378"/>
      <c r="PLO56" s="378"/>
      <c r="PLP56" s="378"/>
      <c r="PLQ56" s="378"/>
      <c r="PLR56" s="378"/>
      <c r="PLS56" s="378"/>
      <c r="PLT56" s="378"/>
      <c r="PLU56" s="378"/>
      <c r="PLV56" s="378"/>
      <c r="PLW56" s="378"/>
      <c r="PLX56" s="378"/>
      <c r="PLY56" s="378"/>
      <c r="PLZ56" s="378"/>
      <c r="PMA56" s="378"/>
      <c r="PMB56" s="378"/>
      <c r="PMC56" s="378"/>
      <c r="PMD56" s="378"/>
      <c r="PME56" s="378"/>
      <c r="PMF56" s="378"/>
      <c r="PMG56" s="378"/>
      <c r="PMH56" s="378"/>
      <c r="PMI56" s="378"/>
      <c r="PMJ56" s="378"/>
      <c r="PMK56" s="378"/>
      <c r="PML56" s="378"/>
      <c r="PMM56" s="378"/>
      <c r="PMN56" s="378"/>
      <c r="PMO56" s="378"/>
      <c r="PMP56" s="378"/>
      <c r="PMQ56" s="378"/>
      <c r="PMR56" s="378"/>
      <c r="PMS56" s="378"/>
      <c r="PMT56" s="378"/>
      <c r="PMU56" s="378"/>
      <c r="PMV56" s="378"/>
      <c r="PMW56" s="378"/>
      <c r="PMX56" s="378"/>
      <c r="PMY56" s="378"/>
      <c r="PMZ56" s="378"/>
      <c r="PNA56" s="378"/>
      <c r="PNB56" s="378"/>
      <c r="PNC56" s="378"/>
      <c r="PND56" s="378"/>
      <c r="PNE56" s="378"/>
      <c r="PNF56" s="378"/>
      <c r="PNG56" s="378"/>
      <c r="PNH56" s="378"/>
      <c r="PNI56" s="378"/>
      <c r="PNJ56" s="378"/>
      <c r="PNK56" s="378"/>
      <c r="PNL56" s="378"/>
      <c r="PNM56" s="378"/>
      <c r="PNN56" s="378"/>
      <c r="PNO56" s="378"/>
      <c r="PNP56" s="378"/>
      <c r="PNQ56" s="378"/>
      <c r="PNR56" s="378"/>
      <c r="PNS56" s="378"/>
      <c r="PNT56" s="378"/>
      <c r="PNU56" s="378"/>
      <c r="PNV56" s="378"/>
      <c r="PNW56" s="378"/>
      <c r="PNX56" s="378"/>
      <c r="PNY56" s="378"/>
      <c r="PNZ56" s="378"/>
      <c r="POA56" s="378"/>
      <c r="POB56" s="378"/>
      <c r="POC56" s="378"/>
      <c r="POD56" s="378"/>
      <c r="POE56" s="378"/>
      <c r="POF56" s="378"/>
      <c r="POG56" s="378"/>
      <c r="POH56" s="378"/>
      <c r="POI56" s="378"/>
      <c r="POJ56" s="378"/>
      <c r="POK56" s="378"/>
      <c r="POL56" s="378"/>
      <c r="POM56" s="378"/>
      <c r="PON56" s="378"/>
      <c r="POO56" s="378"/>
      <c r="POP56" s="378"/>
      <c r="POQ56" s="378"/>
      <c r="POR56" s="378"/>
      <c r="POS56" s="378"/>
      <c r="POT56" s="378"/>
      <c r="POU56" s="378"/>
      <c r="POV56" s="378"/>
      <c r="POW56" s="378"/>
      <c r="POX56" s="378"/>
      <c r="POY56" s="378"/>
      <c r="POZ56" s="378"/>
      <c r="PPA56" s="378"/>
      <c r="PPB56" s="378"/>
      <c r="PPC56" s="378"/>
      <c r="PPD56" s="378"/>
      <c r="PPE56" s="378"/>
      <c r="PPF56" s="378"/>
      <c r="PPG56" s="378"/>
      <c r="PPH56" s="378"/>
      <c r="PPI56" s="378"/>
      <c r="PPJ56" s="378"/>
      <c r="PPK56" s="378"/>
      <c r="PPL56" s="378"/>
      <c r="PPM56" s="378"/>
      <c r="PPN56" s="378"/>
      <c r="PPO56" s="378"/>
      <c r="PPP56" s="378"/>
      <c r="PPQ56" s="378"/>
      <c r="PPR56" s="378"/>
      <c r="PPS56" s="378"/>
      <c r="PPT56" s="378"/>
      <c r="PPU56" s="378"/>
      <c r="PPV56" s="378"/>
      <c r="PPW56" s="378"/>
      <c r="PPX56" s="378"/>
      <c r="PPY56" s="378"/>
      <c r="PPZ56" s="378"/>
      <c r="PQA56" s="378"/>
      <c r="PQB56" s="378"/>
      <c r="PQC56" s="378"/>
      <c r="PQD56" s="378"/>
      <c r="PQE56" s="378"/>
      <c r="PQF56" s="378"/>
      <c r="PQG56" s="378"/>
      <c r="PQH56" s="378"/>
      <c r="PQI56" s="378"/>
      <c r="PQJ56" s="378"/>
      <c r="PQK56" s="378"/>
      <c r="PQL56" s="378"/>
      <c r="PQM56" s="378"/>
      <c r="PQN56" s="378"/>
      <c r="PQO56" s="378"/>
      <c r="PQP56" s="378"/>
      <c r="PQQ56" s="378"/>
      <c r="PQR56" s="378"/>
      <c r="PQS56" s="378"/>
      <c r="PQT56" s="378"/>
      <c r="PQU56" s="378"/>
      <c r="PQV56" s="378"/>
      <c r="PQW56" s="378"/>
      <c r="PQX56" s="378"/>
      <c r="PQY56" s="378"/>
      <c r="PQZ56" s="378"/>
      <c r="PRA56" s="378"/>
      <c r="PRB56" s="378"/>
      <c r="PRC56" s="378"/>
      <c r="PRD56" s="378"/>
      <c r="PRE56" s="378"/>
      <c r="PRF56" s="378"/>
      <c r="PRG56" s="378"/>
      <c r="PRH56" s="378"/>
      <c r="PRI56" s="378"/>
      <c r="PRJ56" s="378"/>
      <c r="PRK56" s="378"/>
      <c r="PRL56" s="378"/>
      <c r="PRM56" s="378"/>
      <c r="PRN56" s="378"/>
      <c r="PRO56" s="378"/>
      <c r="PRP56" s="378"/>
      <c r="PRQ56" s="378"/>
      <c r="PRR56" s="378"/>
      <c r="PRS56" s="378"/>
      <c r="PRT56" s="378"/>
      <c r="PRU56" s="378"/>
      <c r="PRV56" s="378"/>
      <c r="PRW56" s="378"/>
      <c r="PRX56" s="378"/>
      <c r="PRY56" s="378"/>
      <c r="PRZ56" s="378"/>
      <c r="PSA56" s="378"/>
      <c r="PSB56" s="378"/>
      <c r="PSC56" s="378"/>
      <c r="PSD56" s="378"/>
      <c r="PSE56" s="378"/>
      <c r="PSF56" s="378"/>
      <c r="PSG56" s="378"/>
      <c r="PSH56" s="378"/>
      <c r="PSI56" s="378"/>
      <c r="PSJ56" s="378"/>
      <c r="PSK56" s="378"/>
      <c r="PSL56" s="378"/>
      <c r="PSM56" s="378"/>
      <c r="PSN56" s="378"/>
      <c r="PSO56" s="378"/>
      <c r="PSP56" s="378"/>
      <c r="PSQ56" s="378"/>
      <c r="PSR56" s="378"/>
      <c r="PSS56" s="378"/>
      <c r="PST56" s="378"/>
      <c r="PSU56" s="378"/>
      <c r="PSV56" s="378"/>
      <c r="PSW56" s="378"/>
      <c r="PSX56" s="378"/>
      <c r="PSY56" s="378"/>
      <c r="PSZ56" s="378"/>
      <c r="PTA56" s="378"/>
      <c r="PTB56" s="378"/>
      <c r="PTC56" s="378"/>
      <c r="PTD56" s="378"/>
      <c r="PTE56" s="378"/>
      <c r="PTF56" s="378"/>
      <c r="PTG56" s="378"/>
      <c r="PTH56" s="378"/>
      <c r="PTI56" s="378"/>
      <c r="PTJ56" s="378"/>
      <c r="PTK56" s="378"/>
      <c r="PTL56" s="378"/>
      <c r="PTM56" s="378"/>
      <c r="PTN56" s="378"/>
      <c r="PTO56" s="378"/>
      <c r="PTP56" s="378"/>
      <c r="PTQ56" s="378"/>
      <c r="PTR56" s="378"/>
      <c r="PTS56" s="378"/>
      <c r="PTT56" s="378"/>
      <c r="PTU56" s="378"/>
      <c r="PTV56" s="378"/>
      <c r="PTW56" s="378"/>
      <c r="PTX56" s="378"/>
      <c r="PTY56" s="378"/>
      <c r="PTZ56" s="378"/>
      <c r="PUA56" s="378"/>
      <c r="PUB56" s="378"/>
      <c r="PUC56" s="378"/>
      <c r="PUD56" s="378"/>
      <c r="PUE56" s="378"/>
      <c r="PUF56" s="378"/>
      <c r="PUG56" s="378"/>
      <c r="PUH56" s="378"/>
      <c r="PUI56" s="378"/>
      <c r="PUJ56" s="378"/>
      <c r="PUK56" s="378"/>
      <c r="PUL56" s="378"/>
      <c r="PUM56" s="378"/>
      <c r="PUN56" s="378"/>
      <c r="PUO56" s="378"/>
      <c r="PUP56" s="378"/>
      <c r="PUQ56" s="378"/>
      <c r="PUR56" s="378"/>
      <c r="PUS56" s="378"/>
      <c r="PUT56" s="378"/>
      <c r="PUU56" s="378"/>
      <c r="PUV56" s="378"/>
      <c r="PUW56" s="378"/>
      <c r="PUX56" s="378"/>
      <c r="PUY56" s="378"/>
      <c r="PUZ56" s="378"/>
      <c r="PVA56" s="378"/>
      <c r="PVB56" s="378"/>
      <c r="PVC56" s="378"/>
      <c r="PVD56" s="378"/>
      <c r="PVE56" s="378"/>
      <c r="PVF56" s="378"/>
      <c r="PVG56" s="378"/>
      <c r="PVH56" s="378"/>
      <c r="PVI56" s="378"/>
      <c r="PVJ56" s="378"/>
      <c r="PVK56" s="378"/>
      <c r="PVL56" s="378"/>
      <c r="PVM56" s="378"/>
      <c r="PVN56" s="378"/>
      <c r="PVO56" s="378"/>
      <c r="PVP56" s="378"/>
      <c r="PVQ56" s="378"/>
      <c r="PVR56" s="378"/>
      <c r="PVS56" s="378"/>
      <c r="PVT56" s="378"/>
      <c r="PVU56" s="378"/>
      <c r="PVV56" s="378"/>
      <c r="PVW56" s="378"/>
      <c r="PVX56" s="378"/>
      <c r="PVY56" s="378"/>
      <c r="PVZ56" s="378"/>
      <c r="PWA56" s="378"/>
      <c r="PWB56" s="378"/>
      <c r="PWC56" s="378"/>
      <c r="PWD56" s="378"/>
      <c r="PWE56" s="378"/>
      <c r="PWF56" s="378"/>
      <c r="PWG56" s="378"/>
      <c r="PWH56" s="378"/>
      <c r="PWI56" s="378"/>
      <c r="PWJ56" s="378"/>
      <c r="PWK56" s="378"/>
      <c r="PWL56" s="378"/>
      <c r="PWM56" s="378"/>
      <c r="PWN56" s="378"/>
      <c r="PWO56" s="378"/>
      <c r="PWP56" s="378"/>
      <c r="PWQ56" s="378"/>
      <c r="PWR56" s="378"/>
      <c r="PWS56" s="378"/>
      <c r="PWT56" s="378"/>
      <c r="PWU56" s="378"/>
      <c r="PWV56" s="378"/>
      <c r="PWW56" s="378"/>
      <c r="PWX56" s="378"/>
      <c r="PWY56" s="378"/>
      <c r="PWZ56" s="378"/>
      <c r="PXA56" s="378"/>
      <c r="PXB56" s="378"/>
      <c r="PXC56" s="378"/>
      <c r="PXD56" s="378"/>
      <c r="PXE56" s="378"/>
      <c r="PXF56" s="378"/>
      <c r="PXG56" s="378"/>
      <c r="PXH56" s="378"/>
      <c r="PXI56" s="378"/>
      <c r="PXJ56" s="378"/>
      <c r="PXK56" s="378"/>
      <c r="PXL56" s="378"/>
      <c r="PXM56" s="378"/>
      <c r="PXN56" s="378"/>
      <c r="PXO56" s="378"/>
      <c r="PXP56" s="378"/>
      <c r="PXQ56" s="378"/>
      <c r="PXR56" s="378"/>
      <c r="PXS56" s="378"/>
      <c r="PXT56" s="378"/>
      <c r="PXU56" s="378"/>
      <c r="PXV56" s="378"/>
      <c r="PXW56" s="378"/>
      <c r="PXX56" s="378"/>
      <c r="PXY56" s="378"/>
      <c r="PXZ56" s="378"/>
      <c r="PYA56" s="378"/>
      <c r="PYB56" s="378"/>
      <c r="PYC56" s="378"/>
      <c r="PYD56" s="378"/>
      <c r="PYE56" s="378"/>
      <c r="PYF56" s="378"/>
      <c r="PYG56" s="378"/>
      <c r="PYH56" s="378"/>
      <c r="PYI56" s="378"/>
      <c r="PYJ56" s="378"/>
      <c r="PYK56" s="378"/>
      <c r="PYL56" s="378"/>
      <c r="PYM56" s="378"/>
      <c r="PYN56" s="378"/>
      <c r="PYO56" s="378"/>
      <c r="PYP56" s="378"/>
      <c r="PYQ56" s="378"/>
      <c r="PYR56" s="378"/>
      <c r="PYS56" s="378"/>
      <c r="PYT56" s="378"/>
      <c r="PYU56" s="378"/>
      <c r="PYV56" s="378"/>
      <c r="PYW56" s="378"/>
      <c r="PYX56" s="378"/>
      <c r="PYY56" s="378"/>
      <c r="PYZ56" s="378"/>
      <c r="PZA56" s="378"/>
      <c r="PZB56" s="378"/>
      <c r="PZC56" s="378"/>
      <c r="PZD56" s="378"/>
      <c r="PZE56" s="378"/>
      <c r="PZF56" s="378"/>
      <c r="PZG56" s="378"/>
      <c r="PZH56" s="378"/>
      <c r="PZI56" s="378"/>
      <c r="PZJ56" s="378"/>
      <c r="PZK56" s="378"/>
      <c r="PZL56" s="378"/>
      <c r="PZM56" s="378"/>
      <c r="PZN56" s="378"/>
      <c r="PZO56" s="378"/>
      <c r="PZP56" s="378"/>
      <c r="PZQ56" s="378"/>
      <c r="PZR56" s="378"/>
      <c r="PZS56" s="378"/>
      <c r="PZT56" s="378"/>
      <c r="PZU56" s="378"/>
      <c r="PZV56" s="378"/>
      <c r="PZW56" s="378"/>
      <c r="PZX56" s="378"/>
      <c r="PZY56" s="378"/>
      <c r="PZZ56" s="378"/>
      <c r="QAA56" s="378"/>
      <c r="QAB56" s="378"/>
      <c r="QAC56" s="378"/>
      <c r="QAD56" s="378"/>
      <c r="QAE56" s="378"/>
      <c r="QAF56" s="378"/>
      <c r="QAG56" s="378"/>
      <c r="QAH56" s="378"/>
      <c r="QAI56" s="378"/>
      <c r="QAJ56" s="378"/>
      <c r="QAK56" s="378"/>
      <c r="QAL56" s="378"/>
      <c r="QAM56" s="378"/>
      <c r="QAN56" s="378"/>
      <c r="QAO56" s="378"/>
      <c r="QAP56" s="378"/>
      <c r="QAQ56" s="378"/>
      <c r="QAR56" s="378"/>
      <c r="QAS56" s="378"/>
      <c r="QAT56" s="378"/>
      <c r="QAU56" s="378"/>
      <c r="QAV56" s="378"/>
      <c r="QAW56" s="378"/>
      <c r="QAX56" s="378"/>
      <c r="QAY56" s="378"/>
      <c r="QAZ56" s="378"/>
      <c r="QBA56" s="378"/>
      <c r="QBB56" s="378"/>
      <c r="QBC56" s="378"/>
      <c r="QBD56" s="378"/>
      <c r="QBE56" s="378"/>
      <c r="QBF56" s="378"/>
      <c r="QBG56" s="378"/>
      <c r="QBH56" s="378"/>
      <c r="QBI56" s="378"/>
      <c r="QBJ56" s="378"/>
      <c r="QBK56" s="378"/>
      <c r="QBL56" s="378"/>
      <c r="QBM56" s="378"/>
      <c r="QBN56" s="378"/>
      <c r="QBO56" s="378"/>
      <c r="QBP56" s="378"/>
      <c r="QBQ56" s="378"/>
      <c r="QBR56" s="378"/>
      <c r="QBS56" s="378"/>
      <c r="QBT56" s="378"/>
      <c r="QBU56" s="378"/>
      <c r="QBV56" s="378"/>
      <c r="QBW56" s="378"/>
      <c r="QBX56" s="378"/>
      <c r="QBY56" s="378"/>
      <c r="QBZ56" s="378"/>
      <c r="QCA56" s="378"/>
      <c r="QCB56" s="378"/>
      <c r="QCC56" s="378"/>
      <c r="QCD56" s="378"/>
      <c r="QCE56" s="378"/>
      <c r="QCF56" s="378"/>
      <c r="QCG56" s="378"/>
      <c r="QCH56" s="378"/>
      <c r="QCI56" s="378"/>
      <c r="QCJ56" s="378"/>
      <c r="QCK56" s="378"/>
      <c r="QCL56" s="378"/>
      <c r="QCM56" s="378"/>
      <c r="QCN56" s="378"/>
      <c r="QCO56" s="378"/>
      <c r="QCP56" s="378"/>
      <c r="QCQ56" s="378"/>
      <c r="QCR56" s="378"/>
      <c r="QCS56" s="378"/>
      <c r="QCT56" s="378"/>
      <c r="QCU56" s="378"/>
      <c r="QCV56" s="378"/>
      <c r="QCW56" s="378"/>
      <c r="QCX56" s="378"/>
      <c r="QCY56" s="378"/>
      <c r="QCZ56" s="378"/>
      <c r="QDA56" s="378"/>
      <c r="QDB56" s="378"/>
      <c r="QDC56" s="378"/>
      <c r="QDD56" s="378"/>
      <c r="QDE56" s="378"/>
      <c r="QDF56" s="378"/>
      <c r="QDG56" s="378"/>
      <c r="QDH56" s="378"/>
      <c r="QDI56" s="378"/>
      <c r="QDJ56" s="378"/>
      <c r="QDK56" s="378"/>
      <c r="QDL56" s="378"/>
      <c r="QDM56" s="378"/>
      <c r="QDN56" s="378"/>
      <c r="QDO56" s="378"/>
      <c r="QDP56" s="378"/>
      <c r="QDQ56" s="378"/>
      <c r="QDR56" s="378"/>
      <c r="QDS56" s="378"/>
      <c r="QDT56" s="378"/>
      <c r="QDU56" s="378"/>
      <c r="QDV56" s="378"/>
      <c r="QDW56" s="378"/>
      <c r="QDX56" s="378"/>
      <c r="QDY56" s="378"/>
      <c r="QDZ56" s="378"/>
      <c r="QEA56" s="378"/>
      <c r="QEB56" s="378"/>
      <c r="QEC56" s="378"/>
      <c r="QED56" s="378"/>
      <c r="QEE56" s="378"/>
      <c r="QEF56" s="378"/>
      <c r="QEG56" s="378"/>
      <c r="QEH56" s="378"/>
      <c r="QEI56" s="378"/>
      <c r="QEJ56" s="378"/>
      <c r="QEK56" s="378"/>
      <c r="QEL56" s="378"/>
      <c r="QEM56" s="378"/>
      <c r="QEN56" s="378"/>
      <c r="QEO56" s="378"/>
      <c r="QEP56" s="378"/>
      <c r="QEQ56" s="378"/>
      <c r="QER56" s="378"/>
      <c r="QES56" s="378"/>
      <c r="QET56" s="378"/>
      <c r="QEU56" s="378"/>
      <c r="QEV56" s="378"/>
      <c r="QEW56" s="378"/>
      <c r="QEX56" s="378"/>
      <c r="QEY56" s="378"/>
      <c r="QEZ56" s="378"/>
      <c r="QFA56" s="378"/>
      <c r="QFB56" s="378"/>
      <c r="QFC56" s="378"/>
      <c r="QFD56" s="378"/>
      <c r="QFE56" s="378"/>
      <c r="QFF56" s="378"/>
      <c r="QFG56" s="378"/>
      <c r="QFH56" s="378"/>
      <c r="QFI56" s="378"/>
      <c r="QFJ56" s="378"/>
      <c r="QFK56" s="378"/>
      <c r="QFL56" s="378"/>
      <c r="QFM56" s="378"/>
      <c r="QFN56" s="378"/>
      <c r="QFO56" s="378"/>
      <c r="QFP56" s="378"/>
      <c r="QFQ56" s="378"/>
      <c r="QFR56" s="378"/>
      <c r="QFS56" s="378"/>
      <c r="QFT56" s="378"/>
      <c r="QFU56" s="378"/>
      <c r="QFV56" s="378"/>
      <c r="QFW56" s="378"/>
      <c r="QFX56" s="378"/>
      <c r="QFY56" s="378"/>
      <c r="QFZ56" s="378"/>
      <c r="QGA56" s="378"/>
      <c r="QGB56" s="378"/>
      <c r="QGC56" s="378"/>
      <c r="QGD56" s="378"/>
      <c r="QGE56" s="378"/>
      <c r="QGF56" s="378"/>
      <c r="QGG56" s="378"/>
      <c r="QGH56" s="378"/>
      <c r="QGI56" s="378"/>
      <c r="QGJ56" s="378"/>
      <c r="QGK56" s="378"/>
      <c r="QGL56" s="378"/>
      <c r="QGM56" s="378"/>
      <c r="QGN56" s="378"/>
      <c r="QGO56" s="378"/>
      <c r="QGP56" s="378"/>
      <c r="QGQ56" s="378"/>
      <c r="QGR56" s="378"/>
      <c r="QGS56" s="378"/>
      <c r="QGT56" s="378"/>
      <c r="QGU56" s="378"/>
      <c r="QGV56" s="378"/>
      <c r="QGW56" s="378"/>
      <c r="QGX56" s="378"/>
      <c r="QGY56" s="378"/>
      <c r="QGZ56" s="378"/>
      <c r="QHA56" s="378"/>
      <c r="QHB56" s="378"/>
      <c r="QHC56" s="378"/>
      <c r="QHD56" s="378"/>
      <c r="QHE56" s="378"/>
      <c r="QHF56" s="378"/>
      <c r="QHG56" s="378"/>
      <c r="QHH56" s="378"/>
      <c r="QHI56" s="378"/>
      <c r="QHJ56" s="378"/>
      <c r="QHK56" s="378"/>
      <c r="QHL56" s="378"/>
      <c r="QHM56" s="378"/>
      <c r="QHN56" s="378"/>
      <c r="QHO56" s="378"/>
      <c r="QHP56" s="378"/>
      <c r="QHQ56" s="378"/>
      <c r="QHR56" s="378"/>
      <c r="QHS56" s="378"/>
      <c r="QHT56" s="378"/>
      <c r="QHU56" s="378"/>
      <c r="QHV56" s="378"/>
      <c r="QHW56" s="378"/>
      <c r="QHX56" s="378"/>
      <c r="QHY56" s="378"/>
      <c r="QHZ56" s="378"/>
      <c r="QIA56" s="378"/>
      <c r="QIB56" s="378"/>
      <c r="QIC56" s="378"/>
      <c r="QID56" s="378"/>
      <c r="QIE56" s="378"/>
      <c r="QIF56" s="378"/>
      <c r="QIG56" s="378"/>
      <c r="QIH56" s="378"/>
      <c r="QII56" s="378"/>
      <c r="QIJ56" s="378"/>
      <c r="QIK56" s="378"/>
      <c r="QIL56" s="378"/>
      <c r="QIM56" s="378"/>
      <c r="QIN56" s="378"/>
      <c r="QIO56" s="378"/>
      <c r="QIP56" s="378"/>
      <c r="QIQ56" s="378"/>
      <c r="QIR56" s="378"/>
      <c r="QIS56" s="378"/>
      <c r="QIT56" s="378"/>
      <c r="QIU56" s="378"/>
      <c r="QIV56" s="378"/>
      <c r="QIW56" s="378"/>
      <c r="QIX56" s="378"/>
      <c r="QIY56" s="378"/>
      <c r="QIZ56" s="378"/>
      <c r="QJA56" s="378"/>
      <c r="QJB56" s="378"/>
      <c r="QJC56" s="378"/>
      <c r="QJD56" s="378"/>
      <c r="QJE56" s="378"/>
      <c r="QJF56" s="378"/>
      <c r="QJG56" s="378"/>
      <c r="QJH56" s="378"/>
      <c r="QJI56" s="378"/>
      <c r="QJJ56" s="378"/>
      <c r="QJK56" s="378"/>
      <c r="QJL56" s="378"/>
      <c r="QJM56" s="378"/>
      <c r="QJN56" s="378"/>
      <c r="QJO56" s="378"/>
      <c r="QJP56" s="378"/>
      <c r="QJQ56" s="378"/>
      <c r="QJR56" s="378"/>
      <c r="QJS56" s="378"/>
      <c r="QJT56" s="378"/>
      <c r="QJU56" s="378"/>
      <c r="QJV56" s="378"/>
      <c r="QJW56" s="378"/>
      <c r="QJX56" s="378"/>
      <c r="QJY56" s="378"/>
      <c r="QJZ56" s="378"/>
      <c r="QKA56" s="378"/>
      <c r="QKB56" s="378"/>
      <c r="QKC56" s="378"/>
      <c r="QKD56" s="378"/>
      <c r="QKE56" s="378"/>
      <c r="QKF56" s="378"/>
      <c r="QKG56" s="378"/>
      <c r="QKH56" s="378"/>
      <c r="QKI56" s="378"/>
      <c r="QKJ56" s="378"/>
      <c r="QKK56" s="378"/>
      <c r="QKL56" s="378"/>
      <c r="QKM56" s="378"/>
      <c r="QKN56" s="378"/>
      <c r="QKO56" s="378"/>
      <c r="QKP56" s="378"/>
      <c r="QKQ56" s="378"/>
      <c r="QKR56" s="378"/>
      <c r="QKS56" s="378"/>
      <c r="QKT56" s="378"/>
      <c r="QKU56" s="378"/>
      <c r="QKV56" s="378"/>
      <c r="QKW56" s="378"/>
      <c r="QKX56" s="378"/>
      <c r="QKY56" s="378"/>
      <c r="QKZ56" s="378"/>
      <c r="QLA56" s="378"/>
      <c r="QLB56" s="378"/>
      <c r="QLC56" s="378"/>
      <c r="QLD56" s="378"/>
      <c r="QLE56" s="378"/>
      <c r="QLF56" s="378"/>
      <c r="QLG56" s="378"/>
      <c r="QLH56" s="378"/>
      <c r="QLI56" s="378"/>
      <c r="QLJ56" s="378"/>
      <c r="QLK56" s="378"/>
      <c r="QLL56" s="378"/>
      <c r="QLM56" s="378"/>
      <c r="QLN56" s="378"/>
      <c r="QLO56" s="378"/>
      <c r="QLP56" s="378"/>
      <c r="QLQ56" s="378"/>
      <c r="QLR56" s="378"/>
      <c r="QLS56" s="378"/>
      <c r="QLT56" s="378"/>
      <c r="QLU56" s="378"/>
      <c r="QLV56" s="378"/>
      <c r="QLW56" s="378"/>
      <c r="QLX56" s="378"/>
      <c r="QLY56" s="378"/>
      <c r="QLZ56" s="378"/>
      <c r="QMA56" s="378"/>
      <c r="QMB56" s="378"/>
      <c r="QMC56" s="378"/>
      <c r="QMD56" s="378"/>
      <c r="QME56" s="378"/>
      <c r="QMF56" s="378"/>
      <c r="QMG56" s="378"/>
      <c r="QMH56" s="378"/>
      <c r="QMI56" s="378"/>
      <c r="QMJ56" s="378"/>
      <c r="QMK56" s="378"/>
      <c r="QML56" s="378"/>
      <c r="QMM56" s="378"/>
      <c r="QMN56" s="378"/>
      <c r="QMO56" s="378"/>
      <c r="QMP56" s="378"/>
      <c r="QMQ56" s="378"/>
      <c r="QMR56" s="378"/>
      <c r="QMS56" s="378"/>
      <c r="QMT56" s="378"/>
      <c r="QMU56" s="378"/>
      <c r="QMV56" s="378"/>
      <c r="QMW56" s="378"/>
      <c r="QMX56" s="378"/>
      <c r="QMY56" s="378"/>
      <c r="QMZ56" s="378"/>
      <c r="QNA56" s="378"/>
      <c r="QNB56" s="378"/>
      <c r="QNC56" s="378"/>
      <c r="QND56" s="378"/>
      <c r="QNE56" s="378"/>
      <c r="QNF56" s="378"/>
      <c r="QNG56" s="378"/>
      <c r="QNH56" s="378"/>
      <c r="QNI56" s="378"/>
      <c r="QNJ56" s="378"/>
      <c r="QNK56" s="378"/>
      <c r="QNL56" s="378"/>
      <c r="QNM56" s="378"/>
      <c r="QNN56" s="378"/>
      <c r="QNO56" s="378"/>
      <c r="QNP56" s="378"/>
      <c r="QNQ56" s="378"/>
      <c r="QNR56" s="378"/>
      <c r="QNS56" s="378"/>
      <c r="QNT56" s="378"/>
      <c r="QNU56" s="378"/>
      <c r="QNV56" s="378"/>
      <c r="QNW56" s="378"/>
      <c r="QNX56" s="378"/>
      <c r="QNY56" s="378"/>
      <c r="QNZ56" s="378"/>
      <c r="QOA56" s="378"/>
      <c r="QOB56" s="378"/>
      <c r="QOC56" s="378"/>
      <c r="QOD56" s="378"/>
      <c r="QOE56" s="378"/>
      <c r="QOF56" s="378"/>
      <c r="QOG56" s="378"/>
      <c r="QOH56" s="378"/>
      <c r="QOI56" s="378"/>
      <c r="QOJ56" s="378"/>
      <c r="QOK56" s="378"/>
      <c r="QOL56" s="378"/>
      <c r="QOM56" s="378"/>
      <c r="QON56" s="378"/>
      <c r="QOO56" s="378"/>
      <c r="QOP56" s="378"/>
      <c r="QOQ56" s="378"/>
      <c r="QOR56" s="378"/>
      <c r="QOS56" s="378"/>
      <c r="QOT56" s="378"/>
      <c r="QOU56" s="378"/>
      <c r="QOV56" s="378"/>
      <c r="QOW56" s="378"/>
      <c r="QOX56" s="378"/>
      <c r="QOY56" s="378"/>
      <c r="QOZ56" s="378"/>
      <c r="QPA56" s="378"/>
      <c r="QPB56" s="378"/>
      <c r="QPC56" s="378"/>
      <c r="QPD56" s="378"/>
      <c r="QPE56" s="378"/>
      <c r="QPF56" s="378"/>
      <c r="QPG56" s="378"/>
      <c r="QPH56" s="378"/>
      <c r="QPI56" s="378"/>
      <c r="QPJ56" s="378"/>
      <c r="QPK56" s="378"/>
      <c r="QPL56" s="378"/>
      <c r="QPM56" s="378"/>
      <c r="QPN56" s="378"/>
      <c r="QPO56" s="378"/>
      <c r="QPP56" s="378"/>
      <c r="QPQ56" s="378"/>
      <c r="QPR56" s="378"/>
      <c r="QPS56" s="378"/>
      <c r="QPT56" s="378"/>
      <c r="QPU56" s="378"/>
      <c r="QPV56" s="378"/>
      <c r="QPW56" s="378"/>
      <c r="QPX56" s="378"/>
      <c r="QPY56" s="378"/>
      <c r="QPZ56" s="378"/>
      <c r="QQA56" s="378"/>
      <c r="QQB56" s="378"/>
      <c r="QQC56" s="378"/>
      <c r="QQD56" s="378"/>
      <c r="QQE56" s="378"/>
      <c r="QQF56" s="378"/>
      <c r="QQG56" s="378"/>
      <c r="QQH56" s="378"/>
      <c r="QQI56" s="378"/>
      <c r="QQJ56" s="378"/>
      <c r="QQK56" s="378"/>
      <c r="QQL56" s="378"/>
      <c r="QQM56" s="378"/>
      <c r="QQN56" s="378"/>
      <c r="QQO56" s="378"/>
      <c r="QQP56" s="378"/>
      <c r="QQQ56" s="378"/>
      <c r="QQR56" s="378"/>
      <c r="QQS56" s="378"/>
      <c r="QQT56" s="378"/>
      <c r="QQU56" s="378"/>
      <c r="QQV56" s="378"/>
      <c r="QQW56" s="378"/>
      <c r="QQX56" s="378"/>
      <c r="QQY56" s="378"/>
      <c r="QQZ56" s="378"/>
      <c r="QRA56" s="378"/>
      <c r="QRB56" s="378"/>
      <c r="QRC56" s="378"/>
      <c r="QRD56" s="378"/>
      <c r="QRE56" s="378"/>
      <c r="QRF56" s="378"/>
      <c r="QRG56" s="378"/>
      <c r="QRH56" s="378"/>
      <c r="QRI56" s="378"/>
      <c r="QRJ56" s="378"/>
      <c r="QRK56" s="378"/>
      <c r="QRL56" s="378"/>
      <c r="QRM56" s="378"/>
      <c r="QRN56" s="378"/>
      <c r="QRO56" s="378"/>
      <c r="QRP56" s="378"/>
      <c r="QRQ56" s="378"/>
      <c r="QRR56" s="378"/>
      <c r="QRS56" s="378"/>
      <c r="QRT56" s="378"/>
      <c r="QRU56" s="378"/>
      <c r="QRV56" s="378"/>
      <c r="QRW56" s="378"/>
      <c r="QRX56" s="378"/>
      <c r="QRY56" s="378"/>
      <c r="QRZ56" s="378"/>
      <c r="QSA56" s="378"/>
      <c r="QSB56" s="378"/>
      <c r="QSC56" s="378"/>
      <c r="QSD56" s="378"/>
      <c r="QSE56" s="378"/>
      <c r="QSF56" s="378"/>
      <c r="QSG56" s="378"/>
      <c r="QSH56" s="378"/>
      <c r="QSI56" s="378"/>
      <c r="QSJ56" s="378"/>
      <c r="QSK56" s="378"/>
      <c r="QSL56" s="378"/>
      <c r="QSM56" s="378"/>
      <c r="QSN56" s="378"/>
      <c r="QSO56" s="378"/>
      <c r="QSP56" s="378"/>
      <c r="QSQ56" s="378"/>
      <c r="QSR56" s="378"/>
      <c r="QSS56" s="378"/>
      <c r="QST56" s="378"/>
      <c r="QSU56" s="378"/>
      <c r="QSV56" s="378"/>
      <c r="QSW56" s="378"/>
      <c r="QSX56" s="378"/>
      <c r="QSY56" s="378"/>
      <c r="QSZ56" s="378"/>
      <c r="QTA56" s="378"/>
      <c r="QTB56" s="378"/>
      <c r="QTC56" s="378"/>
      <c r="QTD56" s="378"/>
      <c r="QTE56" s="378"/>
      <c r="QTF56" s="378"/>
      <c r="QTG56" s="378"/>
      <c r="QTH56" s="378"/>
      <c r="QTI56" s="378"/>
      <c r="QTJ56" s="378"/>
      <c r="QTK56" s="378"/>
      <c r="QTL56" s="378"/>
      <c r="QTM56" s="378"/>
      <c r="QTN56" s="378"/>
      <c r="QTO56" s="378"/>
      <c r="QTP56" s="378"/>
      <c r="QTQ56" s="378"/>
      <c r="QTR56" s="378"/>
      <c r="QTS56" s="378"/>
      <c r="QTT56" s="378"/>
      <c r="QTU56" s="378"/>
      <c r="QTV56" s="378"/>
      <c r="QTW56" s="378"/>
      <c r="QTX56" s="378"/>
      <c r="QTY56" s="378"/>
      <c r="QTZ56" s="378"/>
      <c r="QUA56" s="378"/>
      <c r="QUB56" s="378"/>
      <c r="QUC56" s="378"/>
      <c r="QUD56" s="378"/>
      <c r="QUE56" s="378"/>
      <c r="QUF56" s="378"/>
      <c r="QUG56" s="378"/>
      <c r="QUH56" s="378"/>
      <c r="QUI56" s="378"/>
      <c r="QUJ56" s="378"/>
      <c r="QUK56" s="378"/>
      <c r="QUL56" s="378"/>
      <c r="QUM56" s="378"/>
      <c r="QUN56" s="378"/>
      <c r="QUO56" s="378"/>
      <c r="QUP56" s="378"/>
      <c r="QUQ56" s="378"/>
      <c r="QUR56" s="378"/>
      <c r="QUS56" s="378"/>
      <c r="QUT56" s="378"/>
      <c r="QUU56" s="378"/>
      <c r="QUV56" s="378"/>
      <c r="QUW56" s="378"/>
      <c r="QUX56" s="378"/>
      <c r="QUY56" s="378"/>
      <c r="QUZ56" s="378"/>
      <c r="QVA56" s="378"/>
      <c r="QVB56" s="378"/>
      <c r="QVC56" s="378"/>
      <c r="QVD56" s="378"/>
      <c r="QVE56" s="378"/>
      <c r="QVF56" s="378"/>
      <c r="QVG56" s="378"/>
      <c r="QVH56" s="378"/>
      <c r="QVI56" s="378"/>
      <c r="QVJ56" s="378"/>
      <c r="QVK56" s="378"/>
      <c r="QVL56" s="378"/>
      <c r="QVM56" s="378"/>
      <c r="QVN56" s="378"/>
      <c r="QVO56" s="378"/>
      <c r="QVP56" s="378"/>
      <c r="QVQ56" s="378"/>
      <c r="QVR56" s="378"/>
      <c r="QVS56" s="378"/>
      <c r="QVT56" s="378"/>
      <c r="QVU56" s="378"/>
      <c r="QVV56" s="378"/>
      <c r="QVW56" s="378"/>
      <c r="QVX56" s="378"/>
      <c r="QVY56" s="378"/>
      <c r="QVZ56" s="378"/>
      <c r="QWA56" s="378"/>
      <c r="QWB56" s="378"/>
      <c r="QWC56" s="378"/>
      <c r="QWD56" s="378"/>
      <c r="QWE56" s="378"/>
      <c r="QWF56" s="378"/>
      <c r="QWG56" s="378"/>
      <c r="QWH56" s="378"/>
      <c r="QWI56" s="378"/>
      <c r="QWJ56" s="378"/>
      <c r="QWK56" s="378"/>
      <c r="QWL56" s="378"/>
      <c r="QWM56" s="378"/>
      <c r="QWN56" s="378"/>
      <c r="QWO56" s="378"/>
      <c r="QWP56" s="378"/>
      <c r="QWQ56" s="378"/>
      <c r="QWR56" s="378"/>
      <c r="QWS56" s="378"/>
      <c r="QWT56" s="378"/>
      <c r="QWU56" s="378"/>
      <c r="QWV56" s="378"/>
      <c r="QWW56" s="378"/>
      <c r="QWX56" s="378"/>
      <c r="QWY56" s="378"/>
      <c r="QWZ56" s="378"/>
      <c r="QXA56" s="378"/>
      <c r="QXB56" s="378"/>
      <c r="QXC56" s="378"/>
      <c r="QXD56" s="378"/>
      <c r="QXE56" s="378"/>
      <c r="QXF56" s="378"/>
      <c r="QXG56" s="378"/>
      <c r="QXH56" s="378"/>
      <c r="QXI56" s="378"/>
      <c r="QXJ56" s="378"/>
      <c r="QXK56" s="378"/>
      <c r="QXL56" s="378"/>
      <c r="QXM56" s="378"/>
      <c r="QXN56" s="378"/>
      <c r="QXO56" s="378"/>
      <c r="QXP56" s="378"/>
      <c r="QXQ56" s="378"/>
      <c r="QXR56" s="378"/>
      <c r="QXS56" s="378"/>
      <c r="QXT56" s="378"/>
      <c r="QXU56" s="378"/>
      <c r="QXV56" s="378"/>
      <c r="QXW56" s="378"/>
      <c r="QXX56" s="378"/>
      <c r="QXY56" s="378"/>
      <c r="QXZ56" s="378"/>
      <c r="QYA56" s="378"/>
      <c r="QYB56" s="378"/>
      <c r="QYC56" s="378"/>
      <c r="QYD56" s="378"/>
      <c r="QYE56" s="378"/>
      <c r="QYF56" s="378"/>
      <c r="QYG56" s="378"/>
      <c r="QYH56" s="378"/>
      <c r="QYI56" s="378"/>
      <c r="QYJ56" s="378"/>
      <c r="QYK56" s="378"/>
      <c r="QYL56" s="378"/>
      <c r="QYM56" s="378"/>
      <c r="QYN56" s="378"/>
      <c r="QYO56" s="378"/>
      <c r="QYP56" s="378"/>
      <c r="QYQ56" s="378"/>
      <c r="QYR56" s="378"/>
      <c r="QYS56" s="378"/>
      <c r="QYT56" s="378"/>
      <c r="QYU56" s="378"/>
      <c r="QYV56" s="378"/>
      <c r="QYW56" s="378"/>
      <c r="QYX56" s="378"/>
      <c r="QYY56" s="378"/>
      <c r="QYZ56" s="378"/>
      <c r="QZA56" s="378"/>
      <c r="QZB56" s="378"/>
      <c r="QZC56" s="378"/>
      <c r="QZD56" s="378"/>
      <c r="QZE56" s="378"/>
      <c r="QZF56" s="378"/>
      <c r="QZG56" s="378"/>
      <c r="QZH56" s="378"/>
      <c r="QZI56" s="378"/>
      <c r="QZJ56" s="378"/>
      <c r="QZK56" s="378"/>
      <c r="QZL56" s="378"/>
      <c r="QZM56" s="378"/>
      <c r="QZN56" s="378"/>
      <c r="QZO56" s="378"/>
      <c r="QZP56" s="378"/>
      <c r="QZQ56" s="378"/>
      <c r="QZR56" s="378"/>
      <c r="QZS56" s="378"/>
      <c r="QZT56" s="378"/>
      <c r="QZU56" s="378"/>
      <c r="QZV56" s="378"/>
      <c r="QZW56" s="378"/>
      <c r="QZX56" s="378"/>
      <c r="QZY56" s="378"/>
      <c r="QZZ56" s="378"/>
      <c r="RAA56" s="378"/>
      <c r="RAB56" s="378"/>
      <c r="RAC56" s="378"/>
      <c r="RAD56" s="378"/>
      <c r="RAE56" s="378"/>
      <c r="RAF56" s="378"/>
      <c r="RAG56" s="378"/>
      <c r="RAH56" s="378"/>
      <c r="RAI56" s="378"/>
      <c r="RAJ56" s="378"/>
      <c r="RAK56" s="378"/>
      <c r="RAL56" s="378"/>
      <c r="RAM56" s="378"/>
      <c r="RAN56" s="378"/>
      <c r="RAO56" s="378"/>
      <c r="RAP56" s="378"/>
      <c r="RAQ56" s="378"/>
      <c r="RAR56" s="378"/>
      <c r="RAS56" s="378"/>
      <c r="RAT56" s="378"/>
      <c r="RAU56" s="378"/>
      <c r="RAV56" s="378"/>
      <c r="RAW56" s="378"/>
      <c r="RAX56" s="378"/>
      <c r="RAY56" s="378"/>
      <c r="RAZ56" s="378"/>
      <c r="RBA56" s="378"/>
      <c r="RBB56" s="378"/>
      <c r="RBC56" s="378"/>
      <c r="RBD56" s="378"/>
      <c r="RBE56" s="378"/>
      <c r="RBF56" s="378"/>
      <c r="RBG56" s="378"/>
      <c r="RBH56" s="378"/>
      <c r="RBI56" s="378"/>
      <c r="RBJ56" s="378"/>
      <c r="RBK56" s="378"/>
      <c r="RBL56" s="378"/>
      <c r="RBM56" s="378"/>
      <c r="RBN56" s="378"/>
      <c r="RBO56" s="378"/>
      <c r="RBP56" s="378"/>
      <c r="RBQ56" s="378"/>
      <c r="RBR56" s="378"/>
      <c r="RBS56" s="378"/>
      <c r="RBT56" s="378"/>
      <c r="RBU56" s="378"/>
      <c r="RBV56" s="378"/>
      <c r="RBW56" s="378"/>
      <c r="RBX56" s="378"/>
      <c r="RBY56" s="378"/>
      <c r="RBZ56" s="378"/>
      <c r="RCA56" s="378"/>
      <c r="RCB56" s="378"/>
      <c r="RCC56" s="378"/>
      <c r="RCD56" s="378"/>
      <c r="RCE56" s="378"/>
      <c r="RCF56" s="378"/>
      <c r="RCG56" s="378"/>
      <c r="RCH56" s="378"/>
      <c r="RCI56" s="378"/>
      <c r="RCJ56" s="378"/>
      <c r="RCK56" s="378"/>
      <c r="RCL56" s="378"/>
      <c r="RCM56" s="378"/>
      <c r="RCN56" s="378"/>
      <c r="RCO56" s="378"/>
      <c r="RCP56" s="378"/>
      <c r="RCQ56" s="378"/>
      <c r="RCR56" s="378"/>
      <c r="RCS56" s="378"/>
      <c r="RCT56" s="378"/>
      <c r="RCU56" s="378"/>
      <c r="RCV56" s="378"/>
      <c r="RCW56" s="378"/>
      <c r="RCX56" s="378"/>
      <c r="RCY56" s="378"/>
      <c r="RCZ56" s="378"/>
      <c r="RDA56" s="378"/>
      <c r="RDB56" s="378"/>
      <c r="RDC56" s="378"/>
      <c r="RDD56" s="378"/>
      <c r="RDE56" s="378"/>
      <c r="RDF56" s="378"/>
      <c r="RDG56" s="378"/>
      <c r="RDH56" s="378"/>
      <c r="RDI56" s="378"/>
      <c r="RDJ56" s="378"/>
      <c r="RDK56" s="378"/>
      <c r="RDL56" s="378"/>
      <c r="RDM56" s="378"/>
      <c r="RDN56" s="378"/>
      <c r="RDO56" s="378"/>
      <c r="RDP56" s="378"/>
      <c r="RDQ56" s="378"/>
      <c r="RDR56" s="378"/>
      <c r="RDS56" s="378"/>
      <c r="RDT56" s="378"/>
      <c r="RDU56" s="378"/>
      <c r="RDV56" s="378"/>
      <c r="RDW56" s="378"/>
      <c r="RDX56" s="378"/>
      <c r="RDY56" s="378"/>
      <c r="RDZ56" s="378"/>
      <c r="REA56" s="378"/>
      <c r="REB56" s="378"/>
      <c r="REC56" s="378"/>
      <c r="RED56" s="378"/>
      <c r="REE56" s="378"/>
      <c r="REF56" s="378"/>
      <c r="REG56" s="378"/>
      <c r="REH56" s="378"/>
      <c r="REI56" s="378"/>
      <c r="REJ56" s="378"/>
      <c r="REK56" s="378"/>
      <c r="REL56" s="378"/>
      <c r="REM56" s="378"/>
      <c r="REN56" s="378"/>
      <c r="REO56" s="378"/>
      <c r="REP56" s="378"/>
      <c r="REQ56" s="378"/>
      <c r="RER56" s="378"/>
      <c r="RES56" s="378"/>
      <c r="RET56" s="378"/>
      <c r="REU56" s="378"/>
      <c r="REV56" s="378"/>
      <c r="REW56" s="378"/>
      <c r="REX56" s="378"/>
      <c r="REY56" s="378"/>
      <c r="REZ56" s="378"/>
      <c r="RFA56" s="378"/>
      <c r="RFB56" s="378"/>
      <c r="RFC56" s="378"/>
      <c r="RFD56" s="378"/>
      <c r="RFE56" s="378"/>
      <c r="RFF56" s="378"/>
      <c r="RFG56" s="378"/>
      <c r="RFH56" s="378"/>
      <c r="RFI56" s="378"/>
      <c r="RFJ56" s="378"/>
      <c r="RFK56" s="378"/>
      <c r="RFL56" s="378"/>
      <c r="RFM56" s="378"/>
      <c r="RFN56" s="378"/>
      <c r="RFO56" s="378"/>
      <c r="RFP56" s="378"/>
      <c r="RFQ56" s="378"/>
      <c r="RFR56" s="378"/>
      <c r="RFS56" s="378"/>
      <c r="RFT56" s="378"/>
      <c r="RFU56" s="378"/>
      <c r="RFV56" s="378"/>
      <c r="RFW56" s="378"/>
      <c r="RFX56" s="378"/>
      <c r="RFY56" s="378"/>
      <c r="RFZ56" s="378"/>
      <c r="RGA56" s="378"/>
      <c r="RGB56" s="378"/>
      <c r="RGC56" s="378"/>
      <c r="RGD56" s="378"/>
      <c r="RGE56" s="378"/>
      <c r="RGF56" s="378"/>
      <c r="RGG56" s="378"/>
      <c r="RGH56" s="378"/>
      <c r="RGI56" s="378"/>
      <c r="RGJ56" s="378"/>
      <c r="RGK56" s="378"/>
      <c r="RGL56" s="378"/>
      <c r="RGM56" s="378"/>
      <c r="RGN56" s="378"/>
      <c r="RGO56" s="378"/>
      <c r="RGP56" s="378"/>
      <c r="RGQ56" s="378"/>
      <c r="RGR56" s="378"/>
      <c r="RGS56" s="378"/>
      <c r="RGT56" s="378"/>
      <c r="RGU56" s="378"/>
      <c r="RGV56" s="378"/>
      <c r="RGW56" s="378"/>
      <c r="RGX56" s="378"/>
      <c r="RGY56" s="378"/>
      <c r="RGZ56" s="378"/>
      <c r="RHA56" s="378"/>
      <c r="RHB56" s="378"/>
      <c r="RHC56" s="378"/>
      <c r="RHD56" s="378"/>
      <c r="RHE56" s="378"/>
      <c r="RHF56" s="378"/>
      <c r="RHG56" s="378"/>
      <c r="RHH56" s="378"/>
      <c r="RHI56" s="378"/>
      <c r="RHJ56" s="378"/>
      <c r="RHK56" s="378"/>
      <c r="RHL56" s="378"/>
      <c r="RHM56" s="378"/>
      <c r="RHN56" s="378"/>
      <c r="RHO56" s="378"/>
      <c r="RHP56" s="378"/>
      <c r="RHQ56" s="378"/>
      <c r="RHR56" s="378"/>
      <c r="RHS56" s="378"/>
      <c r="RHT56" s="378"/>
      <c r="RHU56" s="378"/>
      <c r="RHV56" s="378"/>
      <c r="RHW56" s="378"/>
      <c r="RHX56" s="378"/>
      <c r="RHY56" s="378"/>
      <c r="RHZ56" s="378"/>
      <c r="RIA56" s="378"/>
      <c r="RIB56" s="378"/>
      <c r="RIC56" s="378"/>
      <c r="RID56" s="378"/>
      <c r="RIE56" s="378"/>
      <c r="RIF56" s="378"/>
      <c r="RIG56" s="378"/>
      <c r="RIH56" s="378"/>
      <c r="RII56" s="378"/>
      <c r="RIJ56" s="378"/>
      <c r="RIK56" s="378"/>
      <c r="RIL56" s="378"/>
      <c r="RIM56" s="378"/>
      <c r="RIN56" s="378"/>
      <c r="RIO56" s="378"/>
      <c r="RIP56" s="378"/>
      <c r="RIQ56" s="378"/>
      <c r="RIR56" s="378"/>
      <c r="RIS56" s="378"/>
      <c r="RIT56" s="378"/>
      <c r="RIU56" s="378"/>
      <c r="RIV56" s="378"/>
      <c r="RIW56" s="378"/>
      <c r="RIX56" s="378"/>
      <c r="RIY56" s="378"/>
      <c r="RIZ56" s="378"/>
      <c r="RJA56" s="378"/>
      <c r="RJB56" s="378"/>
      <c r="RJC56" s="378"/>
      <c r="RJD56" s="378"/>
      <c r="RJE56" s="378"/>
      <c r="RJF56" s="378"/>
      <c r="RJG56" s="378"/>
      <c r="RJH56" s="378"/>
      <c r="RJI56" s="378"/>
      <c r="RJJ56" s="378"/>
      <c r="RJK56" s="378"/>
      <c r="RJL56" s="378"/>
      <c r="RJM56" s="378"/>
      <c r="RJN56" s="378"/>
      <c r="RJO56" s="378"/>
      <c r="RJP56" s="378"/>
      <c r="RJQ56" s="378"/>
      <c r="RJR56" s="378"/>
      <c r="RJS56" s="378"/>
      <c r="RJT56" s="378"/>
      <c r="RJU56" s="378"/>
      <c r="RJV56" s="378"/>
      <c r="RJW56" s="378"/>
      <c r="RJX56" s="378"/>
      <c r="RJY56" s="378"/>
      <c r="RJZ56" s="378"/>
      <c r="RKA56" s="378"/>
      <c r="RKB56" s="378"/>
      <c r="RKC56" s="378"/>
      <c r="RKD56" s="378"/>
      <c r="RKE56" s="378"/>
      <c r="RKF56" s="378"/>
      <c r="RKG56" s="378"/>
      <c r="RKH56" s="378"/>
      <c r="RKI56" s="378"/>
      <c r="RKJ56" s="378"/>
      <c r="RKK56" s="378"/>
      <c r="RKL56" s="378"/>
      <c r="RKM56" s="378"/>
      <c r="RKN56" s="378"/>
      <c r="RKO56" s="378"/>
      <c r="RKP56" s="378"/>
      <c r="RKQ56" s="378"/>
      <c r="RKR56" s="378"/>
      <c r="RKS56" s="378"/>
      <c r="RKT56" s="378"/>
      <c r="RKU56" s="378"/>
      <c r="RKV56" s="378"/>
      <c r="RKW56" s="378"/>
      <c r="RKX56" s="378"/>
      <c r="RKY56" s="378"/>
      <c r="RKZ56" s="378"/>
      <c r="RLA56" s="378"/>
      <c r="RLB56" s="378"/>
      <c r="RLC56" s="378"/>
      <c r="RLD56" s="378"/>
      <c r="RLE56" s="378"/>
      <c r="RLF56" s="378"/>
      <c r="RLG56" s="378"/>
      <c r="RLH56" s="378"/>
      <c r="RLI56" s="378"/>
      <c r="RLJ56" s="378"/>
      <c r="RLK56" s="378"/>
      <c r="RLL56" s="378"/>
      <c r="RLM56" s="378"/>
      <c r="RLN56" s="378"/>
      <c r="RLO56" s="378"/>
      <c r="RLP56" s="378"/>
      <c r="RLQ56" s="378"/>
      <c r="RLR56" s="378"/>
      <c r="RLS56" s="378"/>
      <c r="RLT56" s="378"/>
      <c r="RLU56" s="378"/>
      <c r="RLV56" s="378"/>
      <c r="RLW56" s="378"/>
      <c r="RLX56" s="378"/>
      <c r="RLY56" s="378"/>
      <c r="RLZ56" s="378"/>
      <c r="RMA56" s="378"/>
      <c r="RMB56" s="378"/>
      <c r="RMC56" s="378"/>
      <c r="RMD56" s="378"/>
      <c r="RME56" s="378"/>
      <c r="RMF56" s="378"/>
      <c r="RMG56" s="378"/>
      <c r="RMH56" s="378"/>
      <c r="RMI56" s="378"/>
      <c r="RMJ56" s="378"/>
      <c r="RMK56" s="378"/>
      <c r="RML56" s="378"/>
      <c r="RMM56" s="378"/>
      <c r="RMN56" s="378"/>
      <c r="RMO56" s="378"/>
      <c r="RMP56" s="378"/>
      <c r="RMQ56" s="378"/>
      <c r="RMR56" s="378"/>
      <c r="RMS56" s="378"/>
      <c r="RMT56" s="378"/>
      <c r="RMU56" s="378"/>
      <c r="RMV56" s="378"/>
      <c r="RMW56" s="378"/>
      <c r="RMX56" s="378"/>
      <c r="RMY56" s="378"/>
      <c r="RMZ56" s="378"/>
      <c r="RNA56" s="378"/>
      <c r="RNB56" s="378"/>
      <c r="RNC56" s="378"/>
      <c r="RND56" s="378"/>
      <c r="RNE56" s="378"/>
      <c r="RNF56" s="378"/>
      <c r="RNG56" s="378"/>
      <c r="RNH56" s="378"/>
      <c r="RNI56" s="378"/>
      <c r="RNJ56" s="378"/>
      <c r="RNK56" s="378"/>
      <c r="RNL56" s="378"/>
      <c r="RNM56" s="378"/>
      <c r="RNN56" s="378"/>
      <c r="RNO56" s="378"/>
      <c r="RNP56" s="378"/>
      <c r="RNQ56" s="378"/>
      <c r="RNR56" s="378"/>
      <c r="RNS56" s="378"/>
      <c r="RNT56" s="378"/>
      <c r="RNU56" s="378"/>
      <c r="RNV56" s="378"/>
      <c r="RNW56" s="378"/>
      <c r="RNX56" s="378"/>
      <c r="RNY56" s="378"/>
      <c r="RNZ56" s="378"/>
      <c r="ROA56" s="378"/>
      <c r="ROB56" s="378"/>
      <c r="ROC56" s="378"/>
      <c r="ROD56" s="378"/>
      <c r="ROE56" s="378"/>
      <c r="ROF56" s="378"/>
      <c r="ROG56" s="378"/>
      <c r="ROH56" s="378"/>
      <c r="ROI56" s="378"/>
      <c r="ROJ56" s="378"/>
      <c r="ROK56" s="378"/>
      <c r="ROL56" s="378"/>
      <c r="ROM56" s="378"/>
      <c r="RON56" s="378"/>
      <c r="ROO56" s="378"/>
      <c r="ROP56" s="378"/>
      <c r="ROQ56" s="378"/>
      <c r="ROR56" s="378"/>
      <c r="ROS56" s="378"/>
      <c r="ROT56" s="378"/>
      <c r="ROU56" s="378"/>
      <c r="ROV56" s="378"/>
      <c r="ROW56" s="378"/>
      <c r="ROX56" s="378"/>
      <c r="ROY56" s="378"/>
      <c r="ROZ56" s="378"/>
      <c r="RPA56" s="378"/>
      <c r="RPB56" s="378"/>
      <c r="RPC56" s="378"/>
      <c r="RPD56" s="378"/>
      <c r="RPE56" s="378"/>
      <c r="RPF56" s="378"/>
      <c r="RPG56" s="378"/>
      <c r="RPH56" s="378"/>
      <c r="RPI56" s="378"/>
      <c r="RPJ56" s="378"/>
      <c r="RPK56" s="378"/>
      <c r="RPL56" s="378"/>
      <c r="RPM56" s="378"/>
      <c r="RPN56" s="378"/>
      <c r="RPO56" s="378"/>
      <c r="RPP56" s="378"/>
      <c r="RPQ56" s="378"/>
      <c r="RPR56" s="378"/>
      <c r="RPS56" s="378"/>
      <c r="RPT56" s="378"/>
      <c r="RPU56" s="378"/>
      <c r="RPV56" s="378"/>
      <c r="RPW56" s="378"/>
      <c r="RPX56" s="378"/>
      <c r="RPY56" s="378"/>
      <c r="RPZ56" s="378"/>
      <c r="RQA56" s="378"/>
      <c r="RQB56" s="378"/>
      <c r="RQC56" s="378"/>
      <c r="RQD56" s="378"/>
      <c r="RQE56" s="378"/>
      <c r="RQF56" s="378"/>
      <c r="RQG56" s="378"/>
      <c r="RQH56" s="378"/>
      <c r="RQI56" s="378"/>
      <c r="RQJ56" s="378"/>
      <c r="RQK56" s="378"/>
      <c r="RQL56" s="378"/>
      <c r="RQM56" s="378"/>
      <c r="RQN56" s="378"/>
      <c r="RQO56" s="378"/>
      <c r="RQP56" s="378"/>
      <c r="RQQ56" s="378"/>
      <c r="RQR56" s="378"/>
      <c r="RQS56" s="378"/>
      <c r="RQT56" s="378"/>
      <c r="RQU56" s="378"/>
      <c r="RQV56" s="378"/>
      <c r="RQW56" s="378"/>
      <c r="RQX56" s="378"/>
      <c r="RQY56" s="378"/>
      <c r="RQZ56" s="378"/>
      <c r="RRA56" s="378"/>
      <c r="RRB56" s="378"/>
      <c r="RRC56" s="378"/>
      <c r="RRD56" s="378"/>
      <c r="RRE56" s="378"/>
      <c r="RRF56" s="378"/>
      <c r="RRG56" s="378"/>
      <c r="RRH56" s="378"/>
      <c r="RRI56" s="378"/>
      <c r="RRJ56" s="378"/>
      <c r="RRK56" s="378"/>
      <c r="RRL56" s="378"/>
      <c r="RRM56" s="378"/>
      <c r="RRN56" s="378"/>
      <c r="RRO56" s="378"/>
      <c r="RRP56" s="378"/>
      <c r="RRQ56" s="378"/>
      <c r="RRR56" s="378"/>
      <c r="RRS56" s="378"/>
      <c r="RRT56" s="378"/>
      <c r="RRU56" s="378"/>
      <c r="RRV56" s="378"/>
      <c r="RRW56" s="378"/>
      <c r="RRX56" s="378"/>
      <c r="RRY56" s="378"/>
      <c r="RRZ56" s="378"/>
      <c r="RSA56" s="378"/>
      <c r="RSB56" s="378"/>
      <c r="RSC56" s="378"/>
      <c r="RSD56" s="378"/>
      <c r="RSE56" s="378"/>
      <c r="RSF56" s="378"/>
      <c r="RSG56" s="378"/>
      <c r="RSH56" s="378"/>
      <c r="RSI56" s="378"/>
      <c r="RSJ56" s="378"/>
      <c r="RSK56" s="378"/>
      <c r="RSL56" s="378"/>
      <c r="RSM56" s="378"/>
      <c r="RSN56" s="378"/>
      <c r="RSO56" s="378"/>
      <c r="RSP56" s="378"/>
      <c r="RSQ56" s="378"/>
      <c r="RSR56" s="378"/>
      <c r="RSS56" s="378"/>
      <c r="RST56" s="378"/>
      <c r="RSU56" s="378"/>
      <c r="RSV56" s="378"/>
      <c r="RSW56" s="378"/>
      <c r="RSX56" s="378"/>
      <c r="RSY56" s="378"/>
      <c r="RSZ56" s="378"/>
      <c r="RTA56" s="378"/>
      <c r="RTB56" s="378"/>
      <c r="RTC56" s="378"/>
      <c r="RTD56" s="378"/>
      <c r="RTE56" s="378"/>
      <c r="RTF56" s="378"/>
      <c r="RTG56" s="378"/>
      <c r="RTH56" s="378"/>
      <c r="RTI56" s="378"/>
      <c r="RTJ56" s="378"/>
      <c r="RTK56" s="378"/>
      <c r="RTL56" s="378"/>
      <c r="RTM56" s="378"/>
      <c r="RTN56" s="378"/>
      <c r="RTO56" s="378"/>
      <c r="RTP56" s="378"/>
      <c r="RTQ56" s="378"/>
      <c r="RTR56" s="378"/>
      <c r="RTS56" s="378"/>
      <c r="RTT56" s="378"/>
      <c r="RTU56" s="378"/>
      <c r="RTV56" s="378"/>
      <c r="RTW56" s="378"/>
      <c r="RTX56" s="378"/>
      <c r="RTY56" s="378"/>
      <c r="RTZ56" s="378"/>
      <c r="RUA56" s="378"/>
      <c r="RUB56" s="378"/>
      <c r="RUC56" s="378"/>
      <c r="RUD56" s="378"/>
      <c r="RUE56" s="378"/>
      <c r="RUF56" s="378"/>
      <c r="RUG56" s="378"/>
      <c r="RUH56" s="378"/>
      <c r="RUI56" s="378"/>
      <c r="RUJ56" s="378"/>
      <c r="RUK56" s="378"/>
      <c r="RUL56" s="378"/>
      <c r="RUM56" s="378"/>
      <c r="RUN56" s="378"/>
      <c r="RUO56" s="378"/>
      <c r="RUP56" s="378"/>
      <c r="RUQ56" s="378"/>
      <c r="RUR56" s="378"/>
      <c r="RUS56" s="378"/>
      <c r="RUT56" s="378"/>
      <c r="RUU56" s="378"/>
      <c r="RUV56" s="378"/>
      <c r="RUW56" s="378"/>
      <c r="RUX56" s="378"/>
      <c r="RUY56" s="378"/>
      <c r="RUZ56" s="378"/>
      <c r="RVA56" s="378"/>
      <c r="RVB56" s="378"/>
      <c r="RVC56" s="378"/>
      <c r="RVD56" s="378"/>
      <c r="RVE56" s="378"/>
      <c r="RVF56" s="378"/>
      <c r="RVG56" s="378"/>
      <c r="RVH56" s="378"/>
      <c r="RVI56" s="378"/>
      <c r="RVJ56" s="378"/>
      <c r="RVK56" s="378"/>
      <c r="RVL56" s="378"/>
      <c r="RVM56" s="378"/>
      <c r="RVN56" s="378"/>
      <c r="RVO56" s="378"/>
      <c r="RVP56" s="378"/>
      <c r="RVQ56" s="378"/>
      <c r="RVR56" s="378"/>
      <c r="RVS56" s="378"/>
      <c r="RVT56" s="378"/>
      <c r="RVU56" s="378"/>
      <c r="RVV56" s="378"/>
      <c r="RVW56" s="378"/>
      <c r="RVX56" s="378"/>
      <c r="RVY56" s="378"/>
      <c r="RVZ56" s="378"/>
      <c r="RWA56" s="378"/>
      <c r="RWB56" s="378"/>
      <c r="RWC56" s="378"/>
      <c r="RWD56" s="378"/>
      <c r="RWE56" s="378"/>
      <c r="RWF56" s="378"/>
      <c r="RWG56" s="378"/>
      <c r="RWH56" s="378"/>
      <c r="RWI56" s="378"/>
      <c r="RWJ56" s="378"/>
      <c r="RWK56" s="378"/>
      <c r="RWL56" s="378"/>
      <c r="RWM56" s="378"/>
      <c r="RWN56" s="378"/>
      <c r="RWO56" s="378"/>
      <c r="RWP56" s="378"/>
      <c r="RWQ56" s="378"/>
      <c r="RWR56" s="378"/>
      <c r="RWS56" s="378"/>
      <c r="RWT56" s="378"/>
      <c r="RWU56" s="378"/>
      <c r="RWV56" s="378"/>
      <c r="RWW56" s="378"/>
      <c r="RWX56" s="378"/>
      <c r="RWY56" s="378"/>
      <c r="RWZ56" s="378"/>
      <c r="RXA56" s="378"/>
      <c r="RXB56" s="378"/>
      <c r="RXC56" s="378"/>
      <c r="RXD56" s="378"/>
      <c r="RXE56" s="378"/>
      <c r="RXF56" s="378"/>
      <c r="RXG56" s="378"/>
      <c r="RXH56" s="378"/>
      <c r="RXI56" s="378"/>
      <c r="RXJ56" s="378"/>
      <c r="RXK56" s="378"/>
      <c r="RXL56" s="378"/>
      <c r="RXM56" s="378"/>
      <c r="RXN56" s="378"/>
      <c r="RXO56" s="378"/>
      <c r="RXP56" s="378"/>
      <c r="RXQ56" s="378"/>
      <c r="RXR56" s="378"/>
      <c r="RXS56" s="378"/>
      <c r="RXT56" s="378"/>
      <c r="RXU56" s="378"/>
      <c r="RXV56" s="378"/>
      <c r="RXW56" s="378"/>
      <c r="RXX56" s="378"/>
      <c r="RXY56" s="378"/>
      <c r="RXZ56" s="378"/>
      <c r="RYA56" s="378"/>
      <c r="RYB56" s="378"/>
      <c r="RYC56" s="378"/>
      <c r="RYD56" s="378"/>
      <c r="RYE56" s="378"/>
      <c r="RYF56" s="378"/>
      <c r="RYG56" s="378"/>
      <c r="RYH56" s="378"/>
      <c r="RYI56" s="378"/>
      <c r="RYJ56" s="378"/>
      <c r="RYK56" s="378"/>
      <c r="RYL56" s="378"/>
      <c r="RYM56" s="378"/>
      <c r="RYN56" s="378"/>
      <c r="RYO56" s="378"/>
      <c r="RYP56" s="378"/>
      <c r="RYQ56" s="378"/>
      <c r="RYR56" s="378"/>
      <c r="RYS56" s="378"/>
      <c r="RYT56" s="378"/>
      <c r="RYU56" s="378"/>
      <c r="RYV56" s="378"/>
      <c r="RYW56" s="378"/>
      <c r="RYX56" s="378"/>
      <c r="RYY56" s="378"/>
      <c r="RYZ56" s="378"/>
      <c r="RZA56" s="378"/>
      <c r="RZB56" s="378"/>
      <c r="RZC56" s="378"/>
      <c r="RZD56" s="378"/>
      <c r="RZE56" s="378"/>
      <c r="RZF56" s="378"/>
      <c r="RZG56" s="378"/>
      <c r="RZH56" s="378"/>
      <c r="RZI56" s="378"/>
      <c r="RZJ56" s="378"/>
      <c r="RZK56" s="378"/>
      <c r="RZL56" s="378"/>
      <c r="RZM56" s="378"/>
      <c r="RZN56" s="378"/>
      <c r="RZO56" s="378"/>
      <c r="RZP56" s="378"/>
      <c r="RZQ56" s="378"/>
      <c r="RZR56" s="378"/>
      <c r="RZS56" s="378"/>
      <c r="RZT56" s="378"/>
      <c r="RZU56" s="378"/>
      <c r="RZV56" s="378"/>
      <c r="RZW56" s="378"/>
      <c r="RZX56" s="378"/>
      <c r="RZY56" s="378"/>
      <c r="RZZ56" s="378"/>
      <c r="SAA56" s="378"/>
      <c r="SAB56" s="378"/>
      <c r="SAC56" s="378"/>
      <c r="SAD56" s="378"/>
      <c r="SAE56" s="378"/>
      <c r="SAF56" s="378"/>
      <c r="SAG56" s="378"/>
      <c r="SAH56" s="378"/>
      <c r="SAI56" s="378"/>
      <c r="SAJ56" s="378"/>
      <c r="SAK56" s="378"/>
      <c r="SAL56" s="378"/>
      <c r="SAM56" s="378"/>
      <c r="SAN56" s="378"/>
      <c r="SAO56" s="378"/>
      <c r="SAP56" s="378"/>
      <c r="SAQ56" s="378"/>
      <c r="SAR56" s="378"/>
      <c r="SAS56" s="378"/>
      <c r="SAT56" s="378"/>
      <c r="SAU56" s="378"/>
      <c r="SAV56" s="378"/>
      <c r="SAW56" s="378"/>
      <c r="SAX56" s="378"/>
      <c r="SAY56" s="378"/>
      <c r="SAZ56" s="378"/>
      <c r="SBA56" s="378"/>
      <c r="SBB56" s="378"/>
      <c r="SBC56" s="378"/>
      <c r="SBD56" s="378"/>
      <c r="SBE56" s="378"/>
      <c r="SBF56" s="378"/>
      <c r="SBG56" s="378"/>
      <c r="SBH56" s="378"/>
      <c r="SBI56" s="378"/>
      <c r="SBJ56" s="378"/>
      <c r="SBK56" s="378"/>
      <c r="SBL56" s="378"/>
      <c r="SBM56" s="378"/>
      <c r="SBN56" s="378"/>
      <c r="SBO56" s="378"/>
      <c r="SBP56" s="378"/>
      <c r="SBQ56" s="378"/>
      <c r="SBR56" s="378"/>
      <c r="SBS56" s="378"/>
      <c r="SBT56" s="378"/>
      <c r="SBU56" s="378"/>
      <c r="SBV56" s="378"/>
      <c r="SBW56" s="378"/>
      <c r="SBX56" s="378"/>
      <c r="SBY56" s="378"/>
      <c r="SBZ56" s="378"/>
      <c r="SCA56" s="378"/>
      <c r="SCB56" s="378"/>
      <c r="SCC56" s="378"/>
      <c r="SCD56" s="378"/>
      <c r="SCE56" s="378"/>
      <c r="SCF56" s="378"/>
      <c r="SCG56" s="378"/>
      <c r="SCH56" s="378"/>
      <c r="SCI56" s="378"/>
      <c r="SCJ56" s="378"/>
      <c r="SCK56" s="378"/>
      <c r="SCL56" s="378"/>
      <c r="SCM56" s="378"/>
      <c r="SCN56" s="378"/>
      <c r="SCO56" s="378"/>
      <c r="SCP56" s="378"/>
      <c r="SCQ56" s="378"/>
      <c r="SCR56" s="378"/>
      <c r="SCS56" s="378"/>
      <c r="SCT56" s="378"/>
      <c r="SCU56" s="378"/>
      <c r="SCV56" s="378"/>
      <c r="SCW56" s="378"/>
      <c r="SCX56" s="378"/>
      <c r="SCY56" s="378"/>
      <c r="SCZ56" s="378"/>
      <c r="SDA56" s="378"/>
      <c r="SDB56" s="378"/>
      <c r="SDC56" s="378"/>
      <c r="SDD56" s="378"/>
      <c r="SDE56" s="378"/>
      <c r="SDF56" s="378"/>
      <c r="SDG56" s="378"/>
      <c r="SDH56" s="378"/>
      <c r="SDI56" s="378"/>
      <c r="SDJ56" s="378"/>
      <c r="SDK56" s="378"/>
      <c r="SDL56" s="378"/>
      <c r="SDM56" s="378"/>
      <c r="SDN56" s="378"/>
      <c r="SDO56" s="378"/>
      <c r="SDP56" s="378"/>
      <c r="SDQ56" s="378"/>
      <c r="SDR56" s="378"/>
      <c r="SDS56" s="378"/>
      <c r="SDT56" s="378"/>
      <c r="SDU56" s="378"/>
      <c r="SDV56" s="378"/>
      <c r="SDW56" s="378"/>
      <c r="SDX56" s="378"/>
      <c r="SDY56" s="378"/>
      <c r="SDZ56" s="378"/>
      <c r="SEA56" s="378"/>
      <c r="SEB56" s="378"/>
      <c r="SEC56" s="378"/>
      <c r="SED56" s="378"/>
      <c r="SEE56" s="378"/>
      <c r="SEF56" s="378"/>
      <c r="SEG56" s="378"/>
      <c r="SEH56" s="378"/>
      <c r="SEI56" s="378"/>
      <c r="SEJ56" s="378"/>
      <c r="SEK56" s="378"/>
      <c r="SEL56" s="378"/>
      <c r="SEM56" s="378"/>
      <c r="SEN56" s="378"/>
      <c r="SEO56" s="378"/>
      <c r="SEP56" s="378"/>
      <c r="SEQ56" s="378"/>
      <c r="SER56" s="378"/>
      <c r="SES56" s="378"/>
      <c r="SET56" s="378"/>
      <c r="SEU56" s="378"/>
      <c r="SEV56" s="378"/>
      <c r="SEW56" s="378"/>
      <c r="SEX56" s="378"/>
      <c r="SEY56" s="378"/>
      <c r="SEZ56" s="378"/>
      <c r="SFA56" s="378"/>
      <c r="SFB56" s="378"/>
      <c r="SFC56" s="378"/>
      <c r="SFD56" s="378"/>
      <c r="SFE56" s="378"/>
      <c r="SFF56" s="378"/>
      <c r="SFG56" s="378"/>
      <c r="SFH56" s="378"/>
      <c r="SFI56" s="378"/>
      <c r="SFJ56" s="378"/>
      <c r="SFK56" s="378"/>
      <c r="SFL56" s="378"/>
      <c r="SFM56" s="378"/>
      <c r="SFN56" s="378"/>
      <c r="SFO56" s="378"/>
      <c r="SFP56" s="378"/>
      <c r="SFQ56" s="378"/>
      <c r="SFR56" s="378"/>
      <c r="SFS56" s="378"/>
      <c r="SFT56" s="378"/>
      <c r="SFU56" s="378"/>
      <c r="SFV56" s="378"/>
      <c r="SFW56" s="378"/>
      <c r="SFX56" s="378"/>
      <c r="SFY56" s="378"/>
      <c r="SFZ56" s="378"/>
      <c r="SGA56" s="378"/>
      <c r="SGB56" s="378"/>
      <c r="SGC56" s="378"/>
      <c r="SGD56" s="378"/>
      <c r="SGE56" s="378"/>
      <c r="SGF56" s="378"/>
      <c r="SGG56" s="378"/>
      <c r="SGH56" s="378"/>
      <c r="SGI56" s="378"/>
      <c r="SGJ56" s="378"/>
      <c r="SGK56" s="378"/>
      <c r="SGL56" s="378"/>
      <c r="SGM56" s="378"/>
      <c r="SGN56" s="378"/>
      <c r="SGO56" s="378"/>
      <c r="SGP56" s="378"/>
      <c r="SGQ56" s="378"/>
      <c r="SGR56" s="378"/>
      <c r="SGS56" s="378"/>
      <c r="SGT56" s="378"/>
      <c r="SGU56" s="378"/>
      <c r="SGV56" s="378"/>
      <c r="SGW56" s="378"/>
      <c r="SGX56" s="378"/>
      <c r="SGY56" s="378"/>
      <c r="SGZ56" s="378"/>
      <c r="SHA56" s="378"/>
      <c r="SHB56" s="378"/>
      <c r="SHC56" s="378"/>
      <c r="SHD56" s="378"/>
      <c r="SHE56" s="378"/>
      <c r="SHF56" s="378"/>
      <c r="SHG56" s="378"/>
      <c r="SHH56" s="378"/>
      <c r="SHI56" s="378"/>
      <c r="SHJ56" s="378"/>
      <c r="SHK56" s="378"/>
      <c r="SHL56" s="378"/>
      <c r="SHM56" s="378"/>
      <c r="SHN56" s="378"/>
      <c r="SHO56" s="378"/>
      <c r="SHP56" s="378"/>
      <c r="SHQ56" s="378"/>
      <c r="SHR56" s="378"/>
      <c r="SHS56" s="378"/>
      <c r="SHT56" s="378"/>
      <c r="SHU56" s="378"/>
      <c r="SHV56" s="378"/>
      <c r="SHW56" s="378"/>
      <c r="SHX56" s="378"/>
      <c r="SHY56" s="378"/>
      <c r="SHZ56" s="378"/>
      <c r="SIA56" s="378"/>
      <c r="SIB56" s="378"/>
      <c r="SIC56" s="378"/>
      <c r="SID56" s="378"/>
      <c r="SIE56" s="378"/>
      <c r="SIF56" s="378"/>
      <c r="SIG56" s="378"/>
      <c r="SIH56" s="378"/>
      <c r="SII56" s="378"/>
      <c r="SIJ56" s="378"/>
      <c r="SIK56" s="378"/>
      <c r="SIL56" s="378"/>
      <c r="SIM56" s="378"/>
      <c r="SIN56" s="378"/>
      <c r="SIO56" s="378"/>
      <c r="SIP56" s="378"/>
      <c r="SIQ56" s="378"/>
      <c r="SIR56" s="378"/>
      <c r="SIS56" s="378"/>
      <c r="SIT56" s="378"/>
      <c r="SIU56" s="378"/>
      <c r="SIV56" s="378"/>
      <c r="SIW56" s="378"/>
      <c r="SIX56" s="378"/>
      <c r="SIY56" s="378"/>
      <c r="SIZ56" s="378"/>
      <c r="SJA56" s="378"/>
      <c r="SJB56" s="378"/>
      <c r="SJC56" s="378"/>
      <c r="SJD56" s="378"/>
      <c r="SJE56" s="378"/>
      <c r="SJF56" s="378"/>
      <c r="SJG56" s="378"/>
      <c r="SJH56" s="378"/>
      <c r="SJI56" s="378"/>
      <c r="SJJ56" s="378"/>
      <c r="SJK56" s="378"/>
      <c r="SJL56" s="378"/>
      <c r="SJM56" s="378"/>
      <c r="SJN56" s="378"/>
      <c r="SJO56" s="378"/>
      <c r="SJP56" s="378"/>
      <c r="SJQ56" s="378"/>
      <c r="SJR56" s="378"/>
      <c r="SJS56" s="378"/>
      <c r="SJT56" s="378"/>
      <c r="SJU56" s="378"/>
      <c r="SJV56" s="378"/>
      <c r="SJW56" s="378"/>
      <c r="SJX56" s="378"/>
      <c r="SJY56" s="378"/>
      <c r="SJZ56" s="378"/>
      <c r="SKA56" s="378"/>
      <c r="SKB56" s="378"/>
      <c r="SKC56" s="378"/>
      <c r="SKD56" s="378"/>
      <c r="SKE56" s="378"/>
      <c r="SKF56" s="378"/>
      <c r="SKG56" s="378"/>
      <c r="SKH56" s="378"/>
      <c r="SKI56" s="378"/>
      <c r="SKJ56" s="378"/>
      <c r="SKK56" s="378"/>
      <c r="SKL56" s="378"/>
      <c r="SKM56" s="378"/>
      <c r="SKN56" s="378"/>
      <c r="SKO56" s="378"/>
      <c r="SKP56" s="378"/>
      <c r="SKQ56" s="378"/>
      <c r="SKR56" s="378"/>
      <c r="SKS56" s="378"/>
      <c r="SKT56" s="378"/>
      <c r="SKU56" s="378"/>
      <c r="SKV56" s="378"/>
      <c r="SKW56" s="378"/>
      <c r="SKX56" s="378"/>
      <c r="SKY56" s="378"/>
      <c r="SKZ56" s="378"/>
      <c r="SLA56" s="378"/>
      <c r="SLB56" s="378"/>
      <c r="SLC56" s="378"/>
      <c r="SLD56" s="378"/>
      <c r="SLE56" s="378"/>
      <c r="SLF56" s="378"/>
      <c r="SLG56" s="378"/>
      <c r="SLH56" s="378"/>
      <c r="SLI56" s="378"/>
      <c r="SLJ56" s="378"/>
      <c r="SLK56" s="378"/>
      <c r="SLL56" s="378"/>
      <c r="SLM56" s="378"/>
      <c r="SLN56" s="378"/>
      <c r="SLO56" s="378"/>
      <c r="SLP56" s="378"/>
      <c r="SLQ56" s="378"/>
      <c r="SLR56" s="378"/>
      <c r="SLS56" s="378"/>
      <c r="SLT56" s="378"/>
      <c r="SLU56" s="378"/>
      <c r="SLV56" s="378"/>
      <c r="SLW56" s="378"/>
      <c r="SLX56" s="378"/>
      <c r="SLY56" s="378"/>
      <c r="SLZ56" s="378"/>
      <c r="SMA56" s="378"/>
      <c r="SMB56" s="378"/>
      <c r="SMC56" s="378"/>
      <c r="SMD56" s="378"/>
      <c r="SME56" s="378"/>
      <c r="SMF56" s="378"/>
      <c r="SMG56" s="378"/>
      <c r="SMH56" s="378"/>
      <c r="SMI56" s="378"/>
      <c r="SMJ56" s="378"/>
      <c r="SMK56" s="378"/>
      <c r="SML56" s="378"/>
      <c r="SMM56" s="378"/>
      <c r="SMN56" s="378"/>
      <c r="SMO56" s="378"/>
      <c r="SMP56" s="378"/>
      <c r="SMQ56" s="378"/>
      <c r="SMR56" s="378"/>
      <c r="SMS56" s="378"/>
      <c r="SMT56" s="378"/>
      <c r="SMU56" s="378"/>
      <c r="SMV56" s="378"/>
      <c r="SMW56" s="378"/>
      <c r="SMX56" s="378"/>
      <c r="SMY56" s="378"/>
      <c r="SMZ56" s="378"/>
      <c r="SNA56" s="378"/>
      <c r="SNB56" s="378"/>
      <c r="SNC56" s="378"/>
      <c r="SND56" s="378"/>
      <c r="SNE56" s="378"/>
      <c r="SNF56" s="378"/>
      <c r="SNG56" s="378"/>
      <c r="SNH56" s="378"/>
      <c r="SNI56" s="378"/>
      <c r="SNJ56" s="378"/>
      <c r="SNK56" s="378"/>
      <c r="SNL56" s="378"/>
      <c r="SNM56" s="378"/>
      <c r="SNN56" s="378"/>
      <c r="SNO56" s="378"/>
      <c r="SNP56" s="378"/>
      <c r="SNQ56" s="378"/>
      <c r="SNR56" s="378"/>
      <c r="SNS56" s="378"/>
      <c r="SNT56" s="378"/>
      <c r="SNU56" s="378"/>
      <c r="SNV56" s="378"/>
      <c r="SNW56" s="378"/>
      <c r="SNX56" s="378"/>
      <c r="SNY56" s="378"/>
      <c r="SNZ56" s="378"/>
      <c r="SOA56" s="378"/>
      <c r="SOB56" s="378"/>
      <c r="SOC56" s="378"/>
      <c r="SOD56" s="378"/>
      <c r="SOE56" s="378"/>
      <c r="SOF56" s="378"/>
      <c r="SOG56" s="378"/>
      <c r="SOH56" s="378"/>
      <c r="SOI56" s="378"/>
      <c r="SOJ56" s="378"/>
      <c r="SOK56" s="378"/>
      <c r="SOL56" s="378"/>
      <c r="SOM56" s="378"/>
      <c r="SON56" s="378"/>
      <c r="SOO56" s="378"/>
      <c r="SOP56" s="378"/>
      <c r="SOQ56" s="378"/>
      <c r="SOR56" s="378"/>
      <c r="SOS56" s="378"/>
      <c r="SOT56" s="378"/>
      <c r="SOU56" s="378"/>
      <c r="SOV56" s="378"/>
      <c r="SOW56" s="378"/>
      <c r="SOX56" s="378"/>
      <c r="SOY56" s="378"/>
      <c r="SOZ56" s="378"/>
      <c r="SPA56" s="378"/>
      <c r="SPB56" s="378"/>
      <c r="SPC56" s="378"/>
      <c r="SPD56" s="378"/>
      <c r="SPE56" s="378"/>
      <c r="SPF56" s="378"/>
      <c r="SPG56" s="378"/>
      <c r="SPH56" s="378"/>
      <c r="SPI56" s="378"/>
      <c r="SPJ56" s="378"/>
      <c r="SPK56" s="378"/>
      <c r="SPL56" s="378"/>
      <c r="SPM56" s="378"/>
      <c r="SPN56" s="378"/>
      <c r="SPO56" s="378"/>
      <c r="SPP56" s="378"/>
      <c r="SPQ56" s="378"/>
      <c r="SPR56" s="378"/>
      <c r="SPS56" s="378"/>
      <c r="SPT56" s="378"/>
      <c r="SPU56" s="378"/>
      <c r="SPV56" s="378"/>
      <c r="SPW56" s="378"/>
      <c r="SPX56" s="378"/>
      <c r="SPY56" s="378"/>
      <c r="SPZ56" s="378"/>
      <c r="SQA56" s="378"/>
      <c r="SQB56" s="378"/>
      <c r="SQC56" s="378"/>
      <c r="SQD56" s="378"/>
      <c r="SQE56" s="378"/>
      <c r="SQF56" s="378"/>
      <c r="SQG56" s="378"/>
      <c r="SQH56" s="378"/>
      <c r="SQI56" s="378"/>
      <c r="SQJ56" s="378"/>
      <c r="SQK56" s="378"/>
      <c r="SQL56" s="378"/>
      <c r="SQM56" s="378"/>
      <c r="SQN56" s="378"/>
      <c r="SQO56" s="378"/>
      <c r="SQP56" s="378"/>
      <c r="SQQ56" s="378"/>
      <c r="SQR56" s="378"/>
      <c r="SQS56" s="378"/>
      <c r="SQT56" s="378"/>
      <c r="SQU56" s="378"/>
      <c r="SQV56" s="378"/>
      <c r="SQW56" s="378"/>
      <c r="SQX56" s="378"/>
      <c r="SQY56" s="378"/>
      <c r="SQZ56" s="378"/>
      <c r="SRA56" s="378"/>
      <c r="SRB56" s="378"/>
      <c r="SRC56" s="378"/>
      <c r="SRD56" s="378"/>
      <c r="SRE56" s="378"/>
      <c r="SRF56" s="378"/>
      <c r="SRG56" s="378"/>
      <c r="SRH56" s="378"/>
      <c r="SRI56" s="378"/>
      <c r="SRJ56" s="378"/>
      <c r="SRK56" s="378"/>
      <c r="SRL56" s="378"/>
      <c r="SRM56" s="378"/>
      <c r="SRN56" s="378"/>
      <c r="SRO56" s="378"/>
      <c r="SRP56" s="378"/>
      <c r="SRQ56" s="378"/>
      <c r="SRR56" s="378"/>
      <c r="SRS56" s="378"/>
      <c r="SRT56" s="378"/>
      <c r="SRU56" s="378"/>
      <c r="SRV56" s="378"/>
      <c r="SRW56" s="378"/>
      <c r="SRX56" s="378"/>
      <c r="SRY56" s="378"/>
      <c r="SRZ56" s="378"/>
      <c r="SSA56" s="378"/>
      <c r="SSB56" s="378"/>
      <c r="SSC56" s="378"/>
      <c r="SSD56" s="378"/>
      <c r="SSE56" s="378"/>
      <c r="SSF56" s="378"/>
      <c r="SSG56" s="378"/>
      <c r="SSH56" s="378"/>
      <c r="SSI56" s="378"/>
      <c r="SSJ56" s="378"/>
      <c r="SSK56" s="378"/>
      <c r="SSL56" s="378"/>
      <c r="SSM56" s="378"/>
      <c r="SSN56" s="378"/>
      <c r="SSO56" s="378"/>
      <c r="SSP56" s="378"/>
      <c r="SSQ56" s="378"/>
      <c r="SSR56" s="378"/>
      <c r="SSS56" s="378"/>
      <c r="SST56" s="378"/>
      <c r="SSU56" s="378"/>
      <c r="SSV56" s="378"/>
      <c r="SSW56" s="378"/>
      <c r="SSX56" s="378"/>
      <c r="SSY56" s="378"/>
      <c r="SSZ56" s="378"/>
      <c r="STA56" s="378"/>
      <c r="STB56" s="378"/>
      <c r="STC56" s="378"/>
      <c r="STD56" s="378"/>
      <c r="STE56" s="378"/>
      <c r="STF56" s="378"/>
      <c r="STG56" s="378"/>
      <c r="STH56" s="378"/>
      <c r="STI56" s="378"/>
      <c r="STJ56" s="378"/>
      <c r="STK56" s="378"/>
      <c r="STL56" s="378"/>
      <c r="STM56" s="378"/>
      <c r="STN56" s="378"/>
      <c r="STO56" s="378"/>
      <c r="STP56" s="378"/>
      <c r="STQ56" s="378"/>
      <c r="STR56" s="378"/>
      <c r="STS56" s="378"/>
      <c r="STT56" s="378"/>
      <c r="STU56" s="378"/>
      <c r="STV56" s="378"/>
      <c r="STW56" s="378"/>
      <c r="STX56" s="378"/>
      <c r="STY56" s="378"/>
      <c r="STZ56" s="378"/>
      <c r="SUA56" s="378"/>
      <c r="SUB56" s="378"/>
      <c r="SUC56" s="378"/>
      <c r="SUD56" s="378"/>
      <c r="SUE56" s="378"/>
      <c r="SUF56" s="378"/>
      <c r="SUG56" s="378"/>
      <c r="SUH56" s="378"/>
      <c r="SUI56" s="378"/>
      <c r="SUJ56" s="378"/>
      <c r="SUK56" s="378"/>
      <c r="SUL56" s="378"/>
      <c r="SUM56" s="378"/>
      <c r="SUN56" s="378"/>
      <c r="SUO56" s="378"/>
      <c r="SUP56" s="378"/>
      <c r="SUQ56" s="378"/>
      <c r="SUR56" s="378"/>
      <c r="SUS56" s="378"/>
      <c r="SUT56" s="378"/>
      <c r="SUU56" s="378"/>
      <c r="SUV56" s="378"/>
      <c r="SUW56" s="378"/>
      <c r="SUX56" s="378"/>
      <c r="SUY56" s="378"/>
      <c r="SUZ56" s="378"/>
      <c r="SVA56" s="378"/>
      <c r="SVB56" s="378"/>
      <c r="SVC56" s="378"/>
      <c r="SVD56" s="378"/>
      <c r="SVE56" s="378"/>
      <c r="SVF56" s="378"/>
      <c r="SVG56" s="378"/>
      <c r="SVH56" s="378"/>
      <c r="SVI56" s="378"/>
      <c r="SVJ56" s="378"/>
      <c r="SVK56" s="378"/>
      <c r="SVL56" s="378"/>
      <c r="SVM56" s="378"/>
      <c r="SVN56" s="378"/>
      <c r="SVO56" s="378"/>
      <c r="SVP56" s="378"/>
      <c r="SVQ56" s="378"/>
      <c r="SVR56" s="378"/>
      <c r="SVS56" s="378"/>
      <c r="SVT56" s="378"/>
      <c r="SVU56" s="378"/>
      <c r="SVV56" s="378"/>
      <c r="SVW56" s="378"/>
      <c r="SVX56" s="378"/>
      <c r="SVY56" s="378"/>
      <c r="SVZ56" s="378"/>
      <c r="SWA56" s="378"/>
      <c r="SWB56" s="378"/>
      <c r="SWC56" s="378"/>
      <c r="SWD56" s="378"/>
      <c r="SWE56" s="378"/>
      <c r="SWF56" s="378"/>
      <c r="SWG56" s="378"/>
      <c r="SWH56" s="378"/>
      <c r="SWI56" s="378"/>
      <c r="SWJ56" s="378"/>
      <c r="SWK56" s="378"/>
      <c r="SWL56" s="378"/>
      <c r="SWM56" s="378"/>
      <c r="SWN56" s="378"/>
      <c r="SWO56" s="378"/>
      <c r="SWP56" s="378"/>
      <c r="SWQ56" s="378"/>
      <c r="SWR56" s="378"/>
      <c r="SWS56" s="378"/>
      <c r="SWT56" s="378"/>
      <c r="SWU56" s="378"/>
      <c r="SWV56" s="378"/>
      <c r="SWW56" s="378"/>
      <c r="SWX56" s="378"/>
      <c r="SWY56" s="378"/>
      <c r="SWZ56" s="378"/>
      <c r="SXA56" s="378"/>
      <c r="SXB56" s="378"/>
      <c r="SXC56" s="378"/>
      <c r="SXD56" s="378"/>
      <c r="SXE56" s="378"/>
      <c r="SXF56" s="378"/>
      <c r="SXG56" s="378"/>
      <c r="SXH56" s="378"/>
      <c r="SXI56" s="378"/>
      <c r="SXJ56" s="378"/>
      <c r="SXK56" s="378"/>
      <c r="SXL56" s="378"/>
      <c r="SXM56" s="378"/>
      <c r="SXN56" s="378"/>
      <c r="SXO56" s="378"/>
      <c r="SXP56" s="378"/>
      <c r="SXQ56" s="378"/>
      <c r="SXR56" s="378"/>
      <c r="SXS56" s="378"/>
      <c r="SXT56" s="378"/>
      <c r="SXU56" s="378"/>
      <c r="SXV56" s="378"/>
      <c r="SXW56" s="378"/>
      <c r="SXX56" s="378"/>
      <c r="SXY56" s="378"/>
      <c r="SXZ56" s="378"/>
      <c r="SYA56" s="378"/>
      <c r="SYB56" s="378"/>
      <c r="SYC56" s="378"/>
      <c r="SYD56" s="378"/>
      <c r="SYE56" s="378"/>
      <c r="SYF56" s="378"/>
      <c r="SYG56" s="378"/>
      <c r="SYH56" s="378"/>
      <c r="SYI56" s="378"/>
      <c r="SYJ56" s="378"/>
      <c r="SYK56" s="378"/>
      <c r="SYL56" s="378"/>
      <c r="SYM56" s="378"/>
      <c r="SYN56" s="378"/>
      <c r="SYO56" s="378"/>
      <c r="SYP56" s="378"/>
      <c r="SYQ56" s="378"/>
      <c r="SYR56" s="378"/>
      <c r="SYS56" s="378"/>
      <c r="SYT56" s="378"/>
      <c r="SYU56" s="378"/>
      <c r="SYV56" s="378"/>
      <c r="SYW56" s="378"/>
      <c r="SYX56" s="378"/>
      <c r="SYY56" s="378"/>
      <c r="SYZ56" s="378"/>
      <c r="SZA56" s="378"/>
      <c r="SZB56" s="378"/>
      <c r="SZC56" s="378"/>
      <c r="SZD56" s="378"/>
      <c r="SZE56" s="378"/>
      <c r="SZF56" s="378"/>
      <c r="SZG56" s="378"/>
      <c r="SZH56" s="378"/>
      <c r="SZI56" s="378"/>
      <c r="SZJ56" s="378"/>
      <c r="SZK56" s="378"/>
      <c r="SZL56" s="378"/>
      <c r="SZM56" s="378"/>
      <c r="SZN56" s="378"/>
      <c r="SZO56" s="378"/>
      <c r="SZP56" s="378"/>
      <c r="SZQ56" s="378"/>
      <c r="SZR56" s="378"/>
      <c r="SZS56" s="378"/>
      <c r="SZT56" s="378"/>
      <c r="SZU56" s="378"/>
      <c r="SZV56" s="378"/>
      <c r="SZW56" s="378"/>
      <c r="SZX56" s="378"/>
      <c r="SZY56" s="378"/>
      <c r="SZZ56" s="378"/>
      <c r="TAA56" s="378"/>
      <c r="TAB56" s="378"/>
      <c r="TAC56" s="378"/>
      <c r="TAD56" s="378"/>
      <c r="TAE56" s="378"/>
      <c r="TAF56" s="378"/>
      <c r="TAG56" s="378"/>
      <c r="TAH56" s="378"/>
      <c r="TAI56" s="378"/>
      <c r="TAJ56" s="378"/>
      <c r="TAK56" s="378"/>
      <c r="TAL56" s="378"/>
      <c r="TAM56" s="378"/>
      <c r="TAN56" s="378"/>
      <c r="TAO56" s="378"/>
      <c r="TAP56" s="378"/>
      <c r="TAQ56" s="378"/>
      <c r="TAR56" s="378"/>
      <c r="TAS56" s="378"/>
      <c r="TAT56" s="378"/>
      <c r="TAU56" s="378"/>
      <c r="TAV56" s="378"/>
      <c r="TAW56" s="378"/>
      <c r="TAX56" s="378"/>
      <c r="TAY56" s="378"/>
      <c r="TAZ56" s="378"/>
      <c r="TBA56" s="378"/>
      <c r="TBB56" s="378"/>
      <c r="TBC56" s="378"/>
      <c r="TBD56" s="378"/>
      <c r="TBE56" s="378"/>
      <c r="TBF56" s="378"/>
      <c r="TBG56" s="378"/>
      <c r="TBH56" s="378"/>
      <c r="TBI56" s="378"/>
      <c r="TBJ56" s="378"/>
      <c r="TBK56" s="378"/>
      <c r="TBL56" s="378"/>
      <c r="TBM56" s="378"/>
      <c r="TBN56" s="378"/>
      <c r="TBO56" s="378"/>
      <c r="TBP56" s="378"/>
      <c r="TBQ56" s="378"/>
      <c r="TBR56" s="378"/>
      <c r="TBS56" s="378"/>
      <c r="TBT56" s="378"/>
      <c r="TBU56" s="378"/>
      <c r="TBV56" s="378"/>
      <c r="TBW56" s="378"/>
      <c r="TBX56" s="378"/>
      <c r="TBY56" s="378"/>
      <c r="TBZ56" s="378"/>
      <c r="TCA56" s="378"/>
      <c r="TCB56" s="378"/>
      <c r="TCC56" s="378"/>
      <c r="TCD56" s="378"/>
      <c r="TCE56" s="378"/>
      <c r="TCF56" s="378"/>
      <c r="TCG56" s="378"/>
      <c r="TCH56" s="378"/>
      <c r="TCI56" s="378"/>
      <c r="TCJ56" s="378"/>
      <c r="TCK56" s="378"/>
      <c r="TCL56" s="378"/>
      <c r="TCM56" s="378"/>
      <c r="TCN56" s="378"/>
      <c r="TCO56" s="378"/>
      <c r="TCP56" s="378"/>
      <c r="TCQ56" s="378"/>
      <c r="TCR56" s="378"/>
      <c r="TCS56" s="378"/>
      <c r="TCT56" s="378"/>
      <c r="TCU56" s="378"/>
      <c r="TCV56" s="378"/>
      <c r="TCW56" s="378"/>
      <c r="TCX56" s="378"/>
      <c r="TCY56" s="378"/>
      <c r="TCZ56" s="378"/>
      <c r="TDA56" s="378"/>
      <c r="TDB56" s="378"/>
      <c r="TDC56" s="378"/>
      <c r="TDD56" s="378"/>
      <c r="TDE56" s="378"/>
      <c r="TDF56" s="378"/>
      <c r="TDG56" s="378"/>
      <c r="TDH56" s="378"/>
      <c r="TDI56" s="378"/>
      <c r="TDJ56" s="378"/>
      <c r="TDK56" s="378"/>
      <c r="TDL56" s="378"/>
      <c r="TDM56" s="378"/>
      <c r="TDN56" s="378"/>
      <c r="TDO56" s="378"/>
      <c r="TDP56" s="378"/>
      <c r="TDQ56" s="378"/>
      <c r="TDR56" s="378"/>
      <c r="TDS56" s="378"/>
      <c r="TDT56" s="378"/>
      <c r="TDU56" s="378"/>
      <c r="TDV56" s="378"/>
      <c r="TDW56" s="378"/>
      <c r="TDX56" s="378"/>
      <c r="TDY56" s="378"/>
      <c r="TDZ56" s="378"/>
      <c r="TEA56" s="378"/>
      <c r="TEB56" s="378"/>
      <c r="TEC56" s="378"/>
      <c r="TED56" s="378"/>
      <c r="TEE56" s="378"/>
      <c r="TEF56" s="378"/>
      <c r="TEG56" s="378"/>
      <c r="TEH56" s="378"/>
      <c r="TEI56" s="378"/>
      <c r="TEJ56" s="378"/>
      <c r="TEK56" s="378"/>
      <c r="TEL56" s="378"/>
      <c r="TEM56" s="378"/>
      <c r="TEN56" s="378"/>
      <c r="TEO56" s="378"/>
      <c r="TEP56" s="378"/>
      <c r="TEQ56" s="378"/>
      <c r="TER56" s="378"/>
      <c r="TES56" s="378"/>
      <c r="TET56" s="378"/>
      <c r="TEU56" s="378"/>
      <c r="TEV56" s="378"/>
      <c r="TEW56" s="378"/>
      <c r="TEX56" s="378"/>
      <c r="TEY56" s="378"/>
      <c r="TEZ56" s="378"/>
      <c r="TFA56" s="378"/>
      <c r="TFB56" s="378"/>
      <c r="TFC56" s="378"/>
      <c r="TFD56" s="378"/>
      <c r="TFE56" s="378"/>
      <c r="TFF56" s="378"/>
      <c r="TFG56" s="378"/>
      <c r="TFH56" s="378"/>
      <c r="TFI56" s="378"/>
      <c r="TFJ56" s="378"/>
      <c r="TFK56" s="378"/>
      <c r="TFL56" s="378"/>
      <c r="TFM56" s="378"/>
      <c r="TFN56" s="378"/>
      <c r="TFO56" s="378"/>
      <c r="TFP56" s="378"/>
      <c r="TFQ56" s="378"/>
      <c r="TFR56" s="378"/>
      <c r="TFS56" s="378"/>
      <c r="TFT56" s="378"/>
      <c r="TFU56" s="378"/>
      <c r="TFV56" s="378"/>
      <c r="TFW56" s="378"/>
      <c r="TFX56" s="378"/>
      <c r="TFY56" s="378"/>
      <c r="TFZ56" s="378"/>
      <c r="TGA56" s="378"/>
      <c r="TGB56" s="378"/>
      <c r="TGC56" s="378"/>
      <c r="TGD56" s="378"/>
      <c r="TGE56" s="378"/>
      <c r="TGF56" s="378"/>
      <c r="TGG56" s="378"/>
      <c r="TGH56" s="378"/>
      <c r="TGI56" s="378"/>
      <c r="TGJ56" s="378"/>
      <c r="TGK56" s="378"/>
      <c r="TGL56" s="378"/>
      <c r="TGM56" s="378"/>
      <c r="TGN56" s="378"/>
      <c r="TGO56" s="378"/>
      <c r="TGP56" s="378"/>
      <c r="TGQ56" s="378"/>
      <c r="TGR56" s="378"/>
      <c r="TGS56" s="378"/>
      <c r="TGT56" s="378"/>
      <c r="TGU56" s="378"/>
      <c r="TGV56" s="378"/>
      <c r="TGW56" s="378"/>
      <c r="TGX56" s="378"/>
      <c r="TGY56" s="378"/>
      <c r="TGZ56" s="378"/>
      <c r="THA56" s="378"/>
      <c r="THB56" s="378"/>
      <c r="THC56" s="378"/>
      <c r="THD56" s="378"/>
      <c r="THE56" s="378"/>
      <c r="THF56" s="378"/>
      <c r="THG56" s="378"/>
      <c r="THH56" s="378"/>
      <c r="THI56" s="378"/>
      <c r="THJ56" s="378"/>
      <c r="THK56" s="378"/>
      <c r="THL56" s="378"/>
      <c r="THM56" s="378"/>
      <c r="THN56" s="378"/>
      <c r="THO56" s="378"/>
      <c r="THP56" s="378"/>
      <c r="THQ56" s="378"/>
      <c r="THR56" s="378"/>
      <c r="THS56" s="378"/>
      <c r="THT56" s="378"/>
      <c r="THU56" s="378"/>
      <c r="THV56" s="378"/>
      <c r="THW56" s="378"/>
      <c r="THX56" s="378"/>
      <c r="THY56" s="378"/>
      <c r="THZ56" s="378"/>
      <c r="TIA56" s="378"/>
      <c r="TIB56" s="378"/>
      <c r="TIC56" s="378"/>
      <c r="TID56" s="378"/>
      <c r="TIE56" s="378"/>
      <c r="TIF56" s="378"/>
      <c r="TIG56" s="378"/>
      <c r="TIH56" s="378"/>
      <c r="TII56" s="378"/>
      <c r="TIJ56" s="378"/>
      <c r="TIK56" s="378"/>
      <c r="TIL56" s="378"/>
      <c r="TIM56" s="378"/>
      <c r="TIN56" s="378"/>
      <c r="TIO56" s="378"/>
      <c r="TIP56" s="378"/>
      <c r="TIQ56" s="378"/>
      <c r="TIR56" s="378"/>
      <c r="TIS56" s="378"/>
      <c r="TIT56" s="378"/>
      <c r="TIU56" s="378"/>
      <c r="TIV56" s="378"/>
      <c r="TIW56" s="378"/>
      <c r="TIX56" s="378"/>
      <c r="TIY56" s="378"/>
      <c r="TIZ56" s="378"/>
      <c r="TJA56" s="378"/>
      <c r="TJB56" s="378"/>
      <c r="TJC56" s="378"/>
      <c r="TJD56" s="378"/>
      <c r="TJE56" s="378"/>
      <c r="TJF56" s="378"/>
      <c r="TJG56" s="378"/>
      <c r="TJH56" s="378"/>
      <c r="TJI56" s="378"/>
      <c r="TJJ56" s="378"/>
      <c r="TJK56" s="378"/>
      <c r="TJL56" s="378"/>
      <c r="TJM56" s="378"/>
      <c r="TJN56" s="378"/>
      <c r="TJO56" s="378"/>
      <c r="TJP56" s="378"/>
      <c r="TJQ56" s="378"/>
      <c r="TJR56" s="378"/>
      <c r="TJS56" s="378"/>
      <c r="TJT56" s="378"/>
      <c r="TJU56" s="378"/>
      <c r="TJV56" s="378"/>
      <c r="TJW56" s="378"/>
      <c r="TJX56" s="378"/>
      <c r="TJY56" s="378"/>
      <c r="TJZ56" s="378"/>
      <c r="TKA56" s="378"/>
      <c r="TKB56" s="378"/>
      <c r="TKC56" s="378"/>
      <c r="TKD56" s="378"/>
      <c r="TKE56" s="378"/>
      <c r="TKF56" s="378"/>
      <c r="TKG56" s="378"/>
      <c r="TKH56" s="378"/>
      <c r="TKI56" s="378"/>
      <c r="TKJ56" s="378"/>
      <c r="TKK56" s="378"/>
      <c r="TKL56" s="378"/>
      <c r="TKM56" s="378"/>
      <c r="TKN56" s="378"/>
      <c r="TKO56" s="378"/>
      <c r="TKP56" s="378"/>
      <c r="TKQ56" s="378"/>
      <c r="TKR56" s="378"/>
      <c r="TKS56" s="378"/>
      <c r="TKT56" s="378"/>
      <c r="TKU56" s="378"/>
      <c r="TKV56" s="378"/>
      <c r="TKW56" s="378"/>
      <c r="TKX56" s="378"/>
      <c r="TKY56" s="378"/>
      <c r="TKZ56" s="378"/>
      <c r="TLA56" s="378"/>
      <c r="TLB56" s="378"/>
      <c r="TLC56" s="378"/>
      <c r="TLD56" s="378"/>
      <c r="TLE56" s="378"/>
      <c r="TLF56" s="378"/>
      <c r="TLG56" s="378"/>
      <c r="TLH56" s="378"/>
      <c r="TLI56" s="378"/>
      <c r="TLJ56" s="378"/>
      <c r="TLK56" s="378"/>
      <c r="TLL56" s="378"/>
      <c r="TLM56" s="378"/>
      <c r="TLN56" s="378"/>
      <c r="TLO56" s="378"/>
      <c r="TLP56" s="378"/>
      <c r="TLQ56" s="378"/>
      <c r="TLR56" s="378"/>
      <c r="TLS56" s="378"/>
      <c r="TLT56" s="378"/>
      <c r="TLU56" s="378"/>
      <c r="TLV56" s="378"/>
      <c r="TLW56" s="378"/>
      <c r="TLX56" s="378"/>
      <c r="TLY56" s="378"/>
      <c r="TLZ56" s="378"/>
      <c r="TMA56" s="378"/>
      <c r="TMB56" s="378"/>
      <c r="TMC56" s="378"/>
      <c r="TMD56" s="378"/>
      <c r="TME56" s="378"/>
      <c r="TMF56" s="378"/>
      <c r="TMG56" s="378"/>
      <c r="TMH56" s="378"/>
      <c r="TMI56" s="378"/>
      <c r="TMJ56" s="378"/>
      <c r="TMK56" s="378"/>
      <c r="TML56" s="378"/>
      <c r="TMM56" s="378"/>
      <c r="TMN56" s="378"/>
      <c r="TMO56" s="378"/>
      <c r="TMP56" s="378"/>
      <c r="TMQ56" s="378"/>
      <c r="TMR56" s="378"/>
      <c r="TMS56" s="378"/>
      <c r="TMT56" s="378"/>
      <c r="TMU56" s="378"/>
      <c r="TMV56" s="378"/>
      <c r="TMW56" s="378"/>
      <c r="TMX56" s="378"/>
      <c r="TMY56" s="378"/>
      <c r="TMZ56" s="378"/>
      <c r="TNA56" s="378"/>
      <c r="TNB56" s="378"/>
      <c r="TNC56" s="378"/>
      <c r="TND56" s="378"/>
      <c r="TNE56" s="378"/>
      <c r="TNF56" s="378"/>
      <c r="TNG56" s="378"/>
      <c r="TNH56" s="378"/>
      <c r="TNI56" s="378"/>
      <c r="TNJ56" s="378"/>
      <c r="TNK56" s="378"/>
      <c r="TNL56" s="378"/>
      <c r="TNM56" s="378"/>
      <c r="TNN56" s="378"/>
      <c r="TNO56" s="378"/>
      <c r="TNP56" s="378"/>
      <c r="TNQ56" s="378"/>
      <c r="TNR56" s="378"/>
      <c r="TNS56" s="378"/>
      <c r="TNT56" s="378"/>
      <c r="TNU56" s="378"/>
      <c r="TNV56" s="378"/>
      <c r="TNW56" s="378"/>
      <c r="TNX56" s="378"/>
      <c r="TNY56" s="378"/>
      <c r="TNZ56" s="378"/>
      <c r="TOA56" s="378"/>
      <c r="TOB56" s="378"/>
      <c r="TOC56" s="378"/>
      <c r="TOD56" s="378"/>
      <c r="TOE56" s="378"/>
      <c r="TOF56" s="378"/>
      <c r="TOG56" s="378"/>
      <c r="TOH56" s="378"/>
      <c r="TOI56" s="378"/>
      <c r="TOJ56" s="378"/>
      <c r="TOK56" s="378"/>
      <c r="TOL56" s="378"/>
      <c r="TOM56" s="378"/>
      <c r="TON56" s="378"/>
      <c r="TOO56" s="378"/>
      <c r="TOP56" s="378"/>
      <c r="TOQ56" s="378"/>
      <c r="TOR56" s="378"/>
      <c r="TOS56" s="378"/>
      <c r="TOT56" s="378"/>
      <c r="TOU56" s="378"/>
      <c r="TOV56" s="378"/>
      <c r="TOW56" s="378"/>
      <c r="TOX56" s="378"/>
      <c r="TOY56" s="378"/>
      <c r="TOZ56" s="378"/>
      <c r="TPA56" s="378"/>
      <c r="TPB56" s="378"/>
      <c r="TPC56" s="378"/>
      <c r="TPD56" s="378"/>
      <c r="TPE56" s="378"/>
      <c r="TPF56" s="378"/>
      <c r="TPG56" s="378"/>
      <c r="TPH56" s="378"/>
      <c r="TPI56" s="378"/>
      <c r="TPJ56" s="378"/>
      <c r="TPK56" s="378"/>
      <c r="TPL56" s="378"/>
      <c r="TPM56" s="378"/>
      <c r="TPN56" s="378"/>
      <c r="TPO56" s="378"/>
      <c r="TPP56" s="378"/>
      <c r="TPQ56" s="378"/>
      <c r="TPR56" s="378"/>
      <c r="TPS56" s="378"/>
      <c r="TPT56" s="378"/>
      <c r="TPU56" s="378"/>
      <c r="TPV56" s="378"/>
      <c r="TPW56" s="378"/>
      <c r="TPX56" s="378"/>
      <c r="TPY56" s="378"/>
      <c r="TPZ56" s="378"/>
      <c r="TQA56" s="378"/>
      <c r="TQB56" s="378"/>
      <c r="TQC56" s="378"/>
      <c r="TQD56" s="378"/>
      <c r="TQE56" s="378"/>
      <c r="TQF56" s="378"/>
      <c r="TQG56" s="378"/>
      <c r="TQH56" s="378"/>
      <c r="TQI56" s="378"/>
      <c r="TQJ56" s="378"/>
      <c r="TQK56" s="378"/>
      <c r="TQL56" s="378"/>
      <c r="TQM56" s="378"/>
      <c r="TQN56" s="378"/>
      <c r="TQO56" s="378"/>
      <c r="TQP56" s="378"/>
      <c r="TQQ56" s="378"/>
      <c r="TQR56" s="378"/>
      <c r="TQS56" s="378"/>
      <c r="TQT56" s="378"/>
      <c r="TQU56" s="378"/>
      <c r="TQV56" s="378"/>
      <c r="TQW56" s="378"/>
      <c r="TQX56" s="378"/>
      <c r="TQY56" s="378"/>
      <c r="TQZ56" s="378"/>
      <c r="TRA56" s="378"/>
      <c r="TRB56" s="378"/>
      <c r="TRC56" s="378"/>
      <c r="TRD56" s="378"/>
      <c r="TRE56" s="378"/>
      <c r="TRF56" s="378"/>
      <c r="TRG56" s="378"/>
      <c r="TRH56" s="378"/>
      <c r="TRI56" s="378"/>
      <c r="TRJ56" s="378"/>
      <c r="TRK56" s="378"/>
      <c r="TRL56" s="378"/>
      <c r="TRM56" s="378"/>
      <c r="TRN56" s="378"/>
      <c r="TRO56" s="378"/>
      <c r="TRP56" s="378"/>
      <c r="TRQ56" s="378"/>
      <c r="TRR56" s="378"/>
      <c r="TRS56" s="378"/>
      <c r="TRT56" s="378"/>
      <c r="TRU56" s="378"/>
      <c r="TRV56" s="378"/>
      <c r="TRW56" s="378"/>
      <c r="TRX56" s="378"/>
      <c r="TRY56" s="378"/>
      <c r="TRZ56" s="378"/>
      <c r="TSA56" s="378"/>
      <c r="TSB56" s="378"/>
      <c r="TSC56" s="378"/>
      <c r="TSD56" s="378"/>
      <c r="TSE56" s="378"/>
      <c r="TSF56" s="378"/>
      <c r="TSG56" s="378"/>
      <c r="TSH56" s="378"/>
      <c r="TSI56" s="378"/>
      <c r="TSJ56" s="378"/>
      <c r="TSK56" s="378"/>
      <c r="TSL56" s="378"/>
      <c r="TSM56" s="378"/>
      <c r="TSN56" s="378"/>
      <c r="TSO56" s="378"/>
      <c r="TSP56" s="378"/>
      <c r="TSQ56" s="378"/>
      <c r="TSR56" s="378"/>
      <c r="TSS56" s="378"/>
      <c r="TST56" s="378"/>
      <c r="TSU56" s="378"/>
      <c r="TSV56" s="378"/>
      <c r="TSW56" s="378"/>
      <c r="TSX56" s="378"/>
      <c r="TSY56" s="378"/>
      <c r="TSZ56" s="378"/>
      <c r="TTA56" s="378"/>
      <c r="TTB56" s="378"/>
      <c r="TTC56" s="378"/>
      <c r="TTD56" s="378"/>
      <c r="TTE56" s="378"/>
      <c r="TTF56" s="378"/>
      <c r="TTG56" s="378"/>
      <c r="TTH56" s="378"/>
      <c r="TTI56" s="378"/>
      <c r="TTJ56" s="378"/>
      <c r="TTK56" s="378"/>
      <c r="TTL56" s="378"/>
      <c r="TTM56" s="378"/>
      <c r="TTN56" s="378"/>
      <c r="TTO56" s="378"/>
      <c r="TTP56" s="378"/>
      <c r="TTQ56" s="378"/>
      <c r="TTR56" s="378"/>
      <c r="TTS56" s="378"/>
      <c r="TTT56" s="378"/>
      <c r="TTU56" s="378"/>
      <c r="TTV56" s="378"/>
      <c r="TTW56" s="378"/>
      <c r="TTX56" s="378"/>
      <c r="TTY56" s="378"/>
      <c r="TTZ56" s="378"/>
      <c r="TUA56" s="378"/>
      <c r="TUB56" s="378"/>
      <c r="TUC56" s="378"/>
      <c r="TUD56" s="378"/>
      <c r="TUE56" s="378"/>
      <c r="TUF56" s="378"/>
      <c r="TUG56" s="378"/>
      <c r="TUH56" s="378"/>
      <c r="TUI56" s="378"/>
      <c r="TUJ56" s="378"/>
      <c r="TUK56" s="378"/>
      <c r="TUL56" s="378"/>
      <c r="TUM56" s="378"/>
      <c r="TUN56" s="378"/>
      <c r="TUO56" s="378"/>
      <c r="TUP56" s="378"/>
      <c r="TUQ56" s="378"/>
      <c r="TUR56" s="378"/>
      <c r="TUS56" s="378"/>
      <c r="TUT56" s="378"/>
      <c r="TUU56" s="378"/>
      <c r="TUV56" s="378"/>
      <c r="TUW56" s="378"/>
      <c r="TUX56" s="378"/>
      <c r="TUY56" s="378"/>
      <c r="TUZ56" s="378"/>
      <c r="TVA56" s="378"/>
      <c r="TVB56" s="378"/>
      <c r="TVC56" s="378"/>
      <c r="TVD56" s="378"/>
      <c r="TVE56" s="378"/>
      <c r="TVF56" s="378"/>
      <c r="TVG56" s="378"/>
      <c r="TVH56" s="378"/>
      <c r="TVI56" s="378"/>
      <c r="TVJ56" s="378"/>
      <c r="TVK56" s="378"/>
      <c r="TVL56" s="378"/>
      <c r="TVM56" s="378"/>
      <c r="TVN56" s="378"/>
      <c r="TVO56" s="378"/>
      <c r="TVP56" s="378"/>
      <c r="TVQ56" s="378"/>
      <c r="TVR56" s="378"/>
      <c r="TVS56" s="378"/>
      <c r="TVT56" s="378"/>
      <c r="TVU56" s="378"/>
      <c r="TVV56" s="378"/>
      <c r="TVW56" s="378"/>
      <c r="TVX56" s="378"/>
      <c r="TVY56" s="378"/>
      <c r="TVZ56" s="378"/>
      <c r="TWA56" s="378"/>
      <c r="TWB56" s="378"/>
      <c r="TWC56" s="378"/>
      <c r="TWD56" s="378"/>
      <c r="TWE56" s="378"/>
      <c r="TWF56" s="378"/>
      <c r="TWG56" s="378"/>
      <c r="TWH56" s="378"/>
      <c r="TWI56" s="378"/>
      <c r="TWJ56" s="378"/>
      <c r="TWK56" s="378"/>
      <c r="TWL56" s="378"/>
      <c r="TWM56" s="378"/>
      <c r="TWN56" s="378"/>
      <c r="TWO56" s="378"/>
      <c r="TWP56" s="378"/>
      <c r="TWQ56" s="378"/>
      <c r="TWR56" s="378"/>
      <c r="TWS56" s="378"/>
      <c r="TWT56" s="378"/>
      <c r="TWU56" s="378"/>
      <c r="TWV56" s="378"/>
      <c r="TWW56" s="378"/>
      <c r="TWX56" s="378"/>
      <c r="TWY56" s="378"/>
      <c r="TWZ56" s="378"/>
      <c r="TXA56" s="378"/>
      <c r="TXB56" s="378"/>
      <c r="TXC56" s="378"/>
      <c r="TXD56" s="378"/>
      <c r="TXE56" s="378"/>
      <c r="TXF56" s="378"/>
      <c r="TXG56" s="378"/>
      <c r="TXH56" s="378"/>
      <c r="TXI56" s="378"/>
      <c r="TXJ56" s="378"/>
      <c r="TXK56" s="378"/>
      <c r="TXL56" s="378"/>
      <c r="TXM56" s="378"/>
      <c r="TXN56" s="378"/>
      <c r="TXO56" s="378"/>
      <c r="TXP56" s="378"/>
      <c r="TXQ56" s="378"/>
      <c r="TXR56" s="378"/>
      <c r="TXS56" s="378"/>
      <c r="TXT56" s="378"/>
      <c r="TXU56" s="378"/>
      <c r="TXV56" s="378"/>
      <c r="TXW56" s="378"/>
      <c r="TXX56" s="378"/>
      <c r="TXY56" s="378"/>
      <c r="TXZ56" s="378"/>
      <c r="TYA56" s="378"/>
      <c r="TYB56" s="378"/>
      <c r="TYC56" s="378"/>
      <c r="TYD56" s="378"/>
      <c r="TYE56" s="378"/>
      <c r="TYF56" s="378"/>
      <c r="TYG56" s="378"/>
      <c r="TYH56" s="378"/>
      <c r="TYI56" s="378"/>
      <c r="TYJ56" s="378"/>
      <c r="TYK56" s="378"/>
      <c r="TYL56" s="378"/>
      <c r="TYM56" s="378"/>
      <c r="TYN56" s="378"/>
      <c r="TYO56" s="378"/>
      <c r="TYP56" s="378"/>
      <c r="TYQ56" s="378"/>
      <c r="TYR56" s="378"/>
      <c r="TYS56" s="378"/>
      <c r="TYT56" s="378"/>
      <c r="TYU56" s="378"/>
      <c r="TYV56" s="378"/>
      <c r="TYW56" s="378"/>
      <c r="TYX56" s="378"/>
      <c r="TYY56" s="378"/>
      <c r="TYZ56" s="378"/>
      <c r="TZA56" s="378"/>
      <c r="TZB56" s="378"/>
      <c r="TZC56" s="378"/>
      <c r="TZD56" s="378"/>
      <c r="TZE56" s="378"/>
      <c r="TZF56" s="378"/>
      <c r="TZG56" s="378"/>
      <c r="TZH56" s="378"/>
      <c r="TZI56" s="378"/>
      <c r="TZJ56" s="378"/>
      <c r="TZK56" s="378"/>
      <c r="TZL56" s="378"/>
      <c r="TZM56" s="378"/>
      <c r="TZN56" s="378"/>
      <c r="TZO56" s="378"/>
      <c r="TZP56" s="378"/>
      <c r="TZQ56" s="378"/>
      <c r="TZR56" s="378"/>
      <c r="TZS56" s="378"/>
      <c r="TZT56" s="378"/>
      <c r="TZU56" s="378"/>
      <c r="TZV56" s="378"/>
      <c r="TZW56" s="378"/>
      <c r="TZX56" s="378"/>
      <c r="TZY56" s="378"/>
      <c r="TZZ56" s="378"/>
      <c r="UAA56" s="378"/>
      <c r="UAB56" s="378"/>
      <c r="UAC56" s="378"/>
      <c r="UAD56" s="378"/>
      <c r="UAE56" s="378"/>
      <c r="UAF56" s="378"/>
      <c r="UAG56" s="378"/>
      <c r="UAH56" s="378"/>
      <c r="UAI56" s="378"/>
      <c r="UAJ56" s="378"/>
      <c r="UAK56" s="378"/>
      <c r="UAL56" s="378"/>
      <c r="UAM56" s="378"/>
      <c r="UAN56" s="378"/>
      <c r="UAO56" s="378"/>
      <c r="UAP56" s="378"/>
      <c r="UAQ56" s="378"/>
      <c r="UAR56" s="378"/>
      <c r="UAS56" s="378"/>
      <c r="UAT56" s="378"/>
      <c r="UAU56" s="378"/>
      <c r="UAV56" s="378"/>
      <c r="UAW56" s="378"/>
      <c r="UAX56" s="378"/>
      <c r="UAY56" s="378"/>
      <c r="UAZ56" s="378"/>
      <c r="UBA56" s="378"/>
      <c r="UBB56" s="378"/>
      <c r="UBC56" s="378"/>
      <c r="UBD56" s="378"/>
      <c r="UBE56" s="378"/>
      <c r="UBF56" s="378"/>
      <c r="UBG56" s="378"/>
      <c r="UBH56" s="378"/>
      <c r="UBI56" s="378"/>
      <c r="UBJ56" s="378"/>
      <c r="UBK56" s="378"/>
      <c r="UBL56" s="378"/>
      <c r="UBM56" s="378"/>
      <c r="UBN56" s="378"/>
      <c r="UBO56" s="378"/>
      <c r="UBP56" s="378"/>
      <c r="UBQ56" s="378"/>
      <c r="UBR56" s="378"/>
      <c r="UBS56" s="378"/>
      <c r="UBT56" s="378"/>
      <c r="UBU56" s="378"/>
      <c r="UBV56" s="378"/>
      <c r="UBW56" s="378"/>
      <c r="UBX56" s="378"/>
      <c r="UBY56" s="378"/>
      <c r="UBZ56" s="378"/>
      <c r="UCA56" s="378"/>
      <c r="UCB56" s="378"/>
      <c r="UCC56" s="378"/>
      <c r="UCD56" s="378"/>
      <c r="UCE56" s="378"/>
      <c r="UCF56" s="378"/>
      <c r="UCG56" s="378"/>
      <c r="UCH56" s="378"/>
      <c r="UCI56" s="378"/>
      <c r="UCJ56" s="378"/>
      <c r="UCK56" s="378"/>
      <c r="UCL56" s="378"/>
      <c r="UCM56" s="378"/>
      <c r="UCN56" s="378"/>
      <c r="UCO56" s="378"/>
      <c r="UCP56" s="378"/>
      <c r="UCQ56" s="378"/>
      <c r="UCR56" s="378"/>
      <c r="UCS56" s="378"/>
      <c r="UCT56" s="378"/>
      <c r="UCU56" s="378"/>
      <c r="UCV56" s="378"/>
      <c r="UCW56" s="378"/>
      <c r="UCX56" s="378"/>
      <c r="UCY56" s="378"/>
      <c r="UCZ56" s="378"/>
      <c r="UDA56" s="378"/>
      <c r="UDB56" s="378"/>
      <c r="UDC56" s="378"/>
      <c r="UDD56" s="378"/>
      <c r="UDE56" s="378"/>
      <c r="UDF56" s="378"/>
      <c r="UDG56" s="378"/>
      <c r="UDH56" s="378"/>
      <c r="UDI56" s="378"/>
      <c r="UDJ56" s="378"/>
      <c r="UDK56" s="378"/>
      <c r="UDL56" s="378"/>
      <c r="UDM56" s="378"/>
      <c r="UDN56" s="378"/>
      <c r="UDO56" s="378"/>
      <c r="UDP56" s="378"/>
      <c r="UDQ56" s="378"/>
      <c r="UDR56" s="378"/>
      <c r="UDS56" s="378"/>
      <c r="UDT56" s="378"/>
      <c r="UDU56" s="378"/>
      <c r="UDV56" s="378"/>
      <c r="UDW56" s="378"/>
      <c r="UDX56" s="378"/>
      <c r="UDY56" s="378"/>
      <c r="UDZ56" s="378"/>
      <c r="UEA56" s="378"/>
      <c r="UEB56" s="378"/>
      <c r="UEC56" s="378"/>
      <c r="UED56" s="378"/>
      <c r="UEE56" s="378"/>
      <c r="UEF56" s="378"/>
      <c r="UEG56" s="378"/>
      <c r="UEH56" s="378"/>
      <c r="UEI56" s="378"/>
      <c r="UEJ56" s="378"/>
      <c r="UEK56" s="378"/>
      <c r="UEL56" s="378"/>
      <c r="UEM56" s="378"/>
      <c r="UEN56" s="378"/>
      <c r="UEO56" s="378"/>
      <c r="UEP56" s="378"/>
      <c r="UEQ56" s="378"/>
      <c r="UER56" s="378"/>
      <c r="UES56" s="378"/>
      <c r="UET56" s="378"/>
      <c r="UEU56" s="378"/>
      <c r="UEV56" s="378"/>
      <c r="UEW56" s="378"/>
      <c r="UEX56" s="378"/>
      <c r="UEY56" s="378"/>
      <c r="UEZ56" s="378"/>
      <c r="UFA56" s="378"/>
      <c r="UFB56" s="378"/>
      <c r="UFC56" s="378"/>
      <c r="UFD56" s="378"/>
      <c r="UFE56" s="378"/>
      <c r="UFF56" s="378"/>
      <c r="UFG56" s="378"/>
      <c r="UFH56" s="378"/>
      <c r="UFI56" s="378"/>
      <c r="UFJ56" s="378"/>
      <c r="UFK56" s="378"/>
      <c r="UFL56" s="378"/>
      <c r="UFM56" s="378"/>
      <c r="UFN56" s="378"/>
      <c r="UFO56" s="378"/>
      <c r="UFP56" s="378"/>
      <c r="UFQ56" s="378"/>
      <c r="UFR56" s="378"/>
      <c r="UFS56" s="378"/>
      <c r="UFT56" s="378"/>
      <c r="UFU56" s="378"/>
      <c r="UFV56" s="378"/>
      <c r="UFW56" s="378"/>
      <c r="UFX56" s="378"/>
      <c r="UFY56" s="378"/>
      <c r="UFZ56" s="378"/>
      <c r="UGA56" s="378"/>
      <c r="UGB56" s="378"/>
      <c r="UGC56" s="378"/>
      <c r="UGD56" s="378"/>
      <c r="UGE56" s="378"/>
      <c r="UGF56" s="378"/>
      <c r="UGG56" s="378"/>
      <c r="UGH56" s="378"/>
      <c r="UGI56" s="378"/>
      <c r="UGJ56" s="378"/>
      <c r="UGK56" s="378"/>
      <c r="UGL56" s="378"/>
      <c r="UGM56" s="378"/>
      <c r="UGN56" s="378"/>
      <c r="UGO56" s="378"/>
      <c r="UGP56" s="378"/>
      <c r="UGQ56" s="378"/>
      <c r="UGR56" s="378"/>
      <c r="UGS56" s="378"/>
      <c r="UGT56" s="378"/>
      <c r="UGU56" s="378"/>
      <c r="UGV56" s="378"/>
      <c r="UGW56" s="378"/>
      <c r="UGX56" s="378"/>
      <c r="UGY56" s="378"/>
      <c r="UGZ56" s="378"/>
      <c r="UHA56" s="378"/>
      <c r="UHB56" s="378"/>
      <c r="UHC56" s="378"/>
      <c r="UHD56" s="378"/>
      <c r="UHE56" s="378"/>
      <c r="UHF56" s="378"/>
      <c r="UHG56" s="378"/>
      <c r="UHH56" s="378"/>
      <c r="UHI56" s="378"/>
      <c r="UHJ56" s="378"/>
      <c r="UHK56" s="378"/>
      <c r="UHL56" s="378"/>
      <c r="UHM56" s="378"/>
      <c r="UHN56" s="378"/>
      <c r="UHO56" s="378"/>
      <c r="UHP56" s="378"/>
      <c r="UHQ56" s="378"/>
      <c r="UHR56" s="378"/>
      <c r="UHS56" s="378"/>
      <c r="UHT56" s="378"/>
      <c r="UHU56" s="378"/>
      <c r="UHV56" s="378"/>
      <c r="UHW56" s="378"/>
      <c r="UHX56" s="378"/>
      <c r="UHY56" s="378"/>
      <c r="UHZ56" s="378"/>
      <c r="UIA56" s="378"/>
      <c r="UIB56" s="378"/>
      <c r="UIC56" s="378"/>
      <c r="UID56" s="378"/>
      <c r="UIE56" s="378"/>
      <c r="UIF56" s="378"/>
      <c r="UIG56" s="378"/>
      <c r="UIH56" s="378"/>
      <c r="UII56" s="378"/>
      <c r="UIJ56" s="378"/>
      <c r="UIK56" s="378"/>
      <c r="UIL56" s="378"/>
      <c r="UIM56" s="378"/>
      <c r="UIN56" s="378"/>
      <c r="UIO56" s="378"/>
      <c r="UIP56" s="378"/>
      <c r="UIQ56" s="378"/>
      <c r="UIR56" s="378"/>
      <c r="UIS56" s="378"/>
      <c r="UIT56" s="378"/>
      <c r="UIU56" s="378"/>
      <c r="UIV56" s="378"/>
      <c r="UIW56" s="378"/>
      <c r="UIX56" s="378"/>
      <c r="UIY56" s="378"/>
      <c r="UIZ56" s="378"/>
      <c r="UJA56" s="378"/>
      <c r="UJB56" s="378"/>
      <c r="UJC56" s="378"/>
      <c r="UJD56" s="378"/>
      <c r="UJE56" s="378"/>
      <c r="UJF56" s="378"/>
      <c r="UJG56" s="378"/>
      <c r="UJH56" s="378"/>
      <c r="UJI56" s="378"/>
      <c r="UJJ56" s="378"/>
      <c r="UJK56" s="378"/>
      <c r="UJL56" s="378"/>
      <c r="UJM56" s="378"/>
      <c r="UJN56" s="378"/>
      <c r="UJO56" s="378"/>
      <c r="UJP56" s="378"/>
      <c r="UJQ56" s="378"/>
      <c r="UJR56" s="378"/>
      <c r="UJS56" s="378"/>
      <c r="UJT56" s="378"/>
      <c r="UJU56" s="378"/>
      <c r="UJV56" s="378"/>
      <c r="UJW56" s="378"/>
      <c r="UJX56" s="378"/>
      <c r="UJY56" s="378"/>
      <c r="UJZ56" s="378"/>
      <c r="UKA56" s="378"/>
      <c r="UKB56" s="378"/>
      <c r="UKC56" s="378"/>
      <c r="UKD56" s="378"/>
      <c r="UKE56" s="378"/>
      <c r="UKF56" s="378"/>
      <c r="UKG56" s="378"/>
      <c r="UKH56" s="378"/>
      <c r="UKI56" s="378"/>
      <c r="UKJ56" s="378"/>
      <c r="UKK56" s="378"/>
      <c r="UKL56" s="378"/>
      <c r="UKM56" s="378"/>
      <c r="UKN56" s="378"/>
      <c r="UKO56" s="378"/>
      <c r="UKP56" s="378"/>
      <c r="UKQ56" s="378"/>
      <c r="UKR56" s="378"/>
      <c r="UKS56" s="378"/>
      <c r="UKT56" s="378"/>
      <c r="UKU56" s="378"/>
      <c r="UKV56" s="378"/>
      <c r="UKW56" s="378"/>
      <c r="UKX56" s="378"/>
      <c r="UKY56" s="378"/>
      <c r="UKZ56" s="378"/>
      <c r="ULA56" s="378"/>
      <c r="ULB56" s="378"/>
      <c r="ULC56" s="378"/>
      <c r="ULD56" s="378"/>
      <c r="ULE56" s="378"/>
      <c r="ULF56" s="378"/>
      <c r="ULG56" s="378"/>
      <c r="ULH56" s="378"/>
      <c r="ULI56" s="378"/>
      <c r="ULJ56" s="378"/>
      <c r="ULK56" s="378"/>
      <c r="ULL56" s="378"/>
      <c r="ULM56" s="378"/>
      <c r="ULN56" s="378"/>
      <c r="ULO56" s="378"/>
      <c r="ULP56" s="378"/>
      <c r="ULQ56" s="378"/>
      <c r="ULR56" s="378"/>
      <c r="ULS56" s="378"/>
      <c r="ULT56" s="378"/>
      <c r="ULU56" s="378"/>
      <c r="ULV56" s="378"/>
      <c r="ULW56" s="378"/>
      <c r="ULX56" s="378"/>
      <c r="ULY56" s="378"/>
      <c r="ULZ56" s="378"/>
      <c r="UMA56" s="378"/>
      <c r="UMB56" s="378"/>
      <c r="UMC56" s="378"/>
      <c r="UMD56" s="378"/>
      <c r="UME56" s="378"/>
      <c r="UMF56" s="378"/>
      <c r="UMG56" s="378"/>
      <c r="UMH56" s="378"/>
      <c r="UMI56" s="378"/>
      <c r="UMJ56" s="378"/>
      <c r="UMK56" s="378"/>
      <c r="UML56" s="378"/>
      <c r="UMM56" s="378"/>
      <c r="UMN56" s="378"/>
      <c r="UMO56" s="378"/>
      <c r="UMP56" s="378"/>
      <c r="UMQ56" s="378"/>
      <c r="UMR56" s="378"/>
      <c r="UMS56" s="378"/>
      <c r="UMT56" s="378"/>
      <c r="UMU56" s="378"/>
      <c r="UMV56" s="378"/>
      <c r="UMW56" s="378"/>
      <c r="UMX56" s="378"/>
      <c r="UMY56" s="378"/>
      <c r="UMZ56" s="378"/>
      <c r="UNA56" s="378"/>
      <c r="UNB56" s="378"/>
      <c r="UNC56" s="378"/>
      <c r="UND56" s="378"/>
      <c r="UNE56" s="378"/>
      <c r="UNF56" s="378"/>
      <c r="UNG56" s="378"/>
      <c r="UNH56" s="378"/>
      <c r="UNI56" s="378"/>
      <c r="UNJ56" s="378"/>
      <c r="UNK56" s="378"/>
      <c r="UNL56" s="378"/>
      <c r="UNM56" s="378"/>
      <c r="UNN56" s="378"/>
      <c r="UNO56" s="378"/>
      <c r="UNP56" s="378"/>
      <c r="UNQ56" s="378"/>
      <c r="UNR56" s="378"/>
      <c r="UNS56" s="378"/>
      <c r="UNT56" s="378"/>
      <c r="UNU56" s="378"/>
      <c r="UNV56" s="378"/>
      <c r="UNW56" s="378"/>
      <c r="UNX56" s="378"/>
      <c r="UNY56" s="378"/>
      <c r="UNZ56" s="378"/>
      <c r="UOA56" s="378"/>
      <c r="UOB56" s="378"/>
      <c r="UOC56" s="378"/>
      <c r="UOD56" s="378"/>
      <c r="UOE56" s="378"/>
      <c r="UOF56" s="378"/>
      <c r="UOG56" s="378"/>
      <c r="UOH56" s="378"/>
      <c r="UOI56" s="378"/>
      <c r="UOJ56" s="378"/>
      <c r="UOK56" s="378"/>
      <c r="UOL56" s="378"/>
      <c r="UOM56" s="378"/>
      <c r="UON56" s="378"/>
      <c r="UOO56" s="378"/>
      <c r="UOP56" s="378"/>
      <c r="UOQ56" s="378"/>
      <c r="UOR56" s="378"/>
      <c r="UOS56" s="378"/>
      <c r="UOT56" s="378"/>
      <c r="UOU56" s="378"/>
      <c r="UOV56" s="378"/>
      <c r="UOW56" s="378"/>
      <c r="UOX56" s="378"/>
      <c r="UOY56" s="378"/>
      <c r="UOZ56" s="378"/>
      <c r="UPA56" s="378"/>
      <c r="UPB56" s="378"/>
      <c r="UPC56" s="378"/>
      <c r="UPD56" s="378"/>
      <c r="UPE56" s="378"/>
      <c r="UPF56" s="378"/>
      <c r="UPG56" s="378"/>
      <c r="UPH56" s="378"/>
      <c r="UPI56" s="378"/>
      <c r="UPJ56" s="378"/>
      <c r="UPK56" s="378"/>
      <c r="UPL56" s="378"/>
      <c r="UPM56" s="378"/>
      <c r="UPN56" s="378"/>
      <c r="UPO56" s="378"/>
      <c r="UPP56" s="378"/>
      <c r="UPQ56" s="378"/>
      <c r="UPR56" s="378"/>
      <c r="UPS56" s="378"/>
      <c r="UPT56" s="378"/>
      <c r="UPU56" s="378"/>
      <c r="UPV56" s="378"/>
      <c r="UPW56" s="378"/>
      <c r="UPX56" s="378"/>
      <c r="UPY56" s="378"/>
      <c r="UPZ56" s="378"/>
      <c r="UQA56" s="378"/>
      <c r="UQB56" s="378"/>
      <c r="UQC56" s="378"/>
      <c r="UQD56" s="378"/>
      <c r="UQE56" s="378"/>
      <c r="UQF56" s="378"/>
      <c r="UQG56" s="378"/>
      <c r="UQH56" s="378"/>
      <c r="UQI56" s="378"/>
      <c r="UQJ56" s="378"/>
      <c r="UQK56" s="378"/>
      <c r="UQL56" s="378"/>
      <c r="UQM56" s="378"/>
      <c r="UQN56" s="378"/>
      <c r="UQO56" s="378"/>
      <c r="UQP56" s="378"/>
      <c r="UQQ56" s="378"/>
      <c r="UQR56" s="378"/>
      <c r="UQS56" s="378"/>
      <c r="UQT56" s="378"/>
      <c r="UQU56" s="378"/>
      <c r="UQV56" s="378"/>
      <c r="UQW56" s="378"/>
      <c r="UQX56" s="378"/>
      <c r="UQY56" s="378"/>
      <c r="UQZ56" s="378"/>
      <c r="URA56" s="378"/>
      <c r="URB56" s="378"/>
      <c r="URC56" s="378"/>
      <c r="URD56" s="378"/>
      <c r="URE56" s="378"/>
      <c r="URF56" s="378"/>
      <c r="URG56" s="378"/>
      <c r="URH56" s="378"/>
      <c r="URI56" s="378"/>
      <c r="URJ56" s="378"/>
      <c r="URK56" s="378"/>
      <c r="URL56" s="378"/>
      <c r="URM56" s="378"/>
      <c r="URN56" s="378"/>
      <c r="URO56" s="378"/>
      <c r="URP56" s="378"/>
      <c r="URQ56" s="378"/>
      <c r="URR56" s="378"/>
      <c r="URS56" s="378"/>
      <c r="URT56" s="378"/>
      <c r="URU56" s="378"/>
      <c r="URV56" s="378"/>
      <c r="URW56" s="378"/>
      <c r="URX56" s="378"/>
      <c r="URY56" s="378"/>
      <c r="URZ56" s="378"/>
      <c r="USA56" s="378"/>
      <c r="USB56" s="378"/>
      <c r="USC56" s="378"/>
      <c r="USD56" s="378"/>
      <c r="USE56" s="378"/>
      <c r="USF56" s="378"/>
      <c r="USG56" s="378"/>
      <c r="USH56" s="378"/>
      <c r="USI56" s="378"/>
      <c r="USJ56" s="378"/>
      <c r="USK56" s="378"/>
      <c r="USL56" s="378"/>
      <c r="USM56" s="378"/>
      <c r="USN56" s="378"/>
      <c r="USO56" s="378"/>
      <c r="USP56" s="378"/>
      <c r="USQ56" s="378"/>
      <c r="USR56" s="378"/>
      <c r="USS56" s="378"/>
      <c r="UST56" s="378"/>
      <c r="USU56" s="378"/>
      <c r="USV56" s="378"/>
      <c r="USW56" s="378"/>
      <c r="USX56" s="378"/>
      <c r="USY56" s="378"/>
      <c r="USZ56" s="378"/>
      <c r="UTA56" s="378"/>
      <c r="UTB56" s="378"/>
      <c r="UTC56" s="378"/>
      <c r="UTD56" s="378"/>
      <c r="UTE56" s="378"/>
      <c r="UTF56" s="378"/>
      <c r="UTG56" s="378"/>
      <c r="UTH56" s="378"/>
      <c r="UTI56" s="378"/>
      <c r="UTJ56" s="378"/>
      <c r="UTK56" s="378"/>
      <c r="UTL56" s="378"/>
      <c r="UTM56" s="378"/>
      <c r="UTN56" s="378"/>
      <c r="UTO56" s="378"/>
      <c r="UTP56" s="378"/>
      <c r="UTQ56" s="378"/>
      <c r="UTR56" s="378"/>
      <c r="UTS56" s="378"/>
      <c r="UTT56" s="378"/>
      <c r="UTU56" s="378"/>
      <c r="UTV56" s="378"/>
      <c r="UTW56" s="378"/>
      <c r="UTX56" s="378"/>
      <c r="UTY56" s="378"/>
      <c r="UTZ56" s="378"/>
      <c r="UUA56" s="378"/>
      <c r="UUB56" s="378"/>
      <c r="UUC56" s="378"/>
      <c r="UUD56" s="378"/>
      <c r="UUE56" s="378"/>
      <c r="UUF56" s="378"/>
      <c r="UUG56" s="378"/>
      <c r="UUH56" s="378"/>
      <c r="UUI56" s="378"/>
      <c r="UUJ56" s="378"/>
      <c r="UUK56" s="378"/>
      <c r="UUL56" s="378"/>
      <c r="UUM56" s="378"/>
      <c r="UUN56" s="378"/>
      <c r="UUO56" s="378"/>
      <c r="UUP56" s="378"/>
      <c r="UUQ56" s="378"/>
      <c r="UUR56" s="378"/>
      <c r="UUS56" s="378"/>
      <c r="UUT56" s="378"/>
      <c r="UUU56" s="378"/>
      <c r="UUV56" s="378"/>
      <c r="UUW56" s="378"/>
      <c r="UUX56" s="378"/>
      <c r="UUY56" s="378"/>
      <c r="UUZ56" s="378"/>
      <c r="UVA56" s="378"/>
      <c r="UVB56" s="378"/>
      <c r="UVC56" s="378"/>
      <c r="UVD56" s="378"/>
      <c r="UVE56" s="378"/>
      <c r="UVF56" s="378"/>
      <c r="UVG56" s="378"/>
      <c r="UVH56" s="378"/>
      <c r="UVI56" s="378"/>
      <c r="UVJ56" s="378"/>
      <c r="UVK56" s="378"/>
      <c r="UVL56" s="378"/>
      <c r="UVM56" s="378"/>
      <c r="UVN56" s="378"/>
      <c r="UVO56" s="378"/>
      <c r="UVP56" s="378"/>
      <c r="UVQ56" s="378"/>
      <c r="UVR56" s="378"/>
      <c r="UVS56" s="378"/>
      <c r="UVT56" s="378"/>
      <c r="UVU56" s="378"/>
      <c r="UVV56" s="378"/>
      <c r="UVW56" s="378"/>
      <c r="UVX56" s="378"/>
      <c r="UVY56" s="378"/>
      <c r="UVZ56" s="378"/>
      <c r="UWA56" s="378"/>
      <c r="UWB56" s="378"/>
      <c r="UWC56" s="378"/>
      <c r="UWD56" s="378"/>
      <c r="UWE56" s="378"/>
      <c r="UWF56" s="378"/>
      <c r="UWG56" s="378"/>
      <c r="UWH56" s="378"/>
      <c r="UWI56" s="378"/>
      <c r="UWJ56" s="378"/>
      <c r="UWK56" s="378"/>
      <c r="UWL56" s="378"/>
      <c r="UWM56" s="378"/>
      <c r="UWN56" s="378"/>
      <c r="UWO56" s="378"/>
      <c r="UWP56" s="378"/>
      <c r="UWQ56" s="378"/>
      <c r="UWR56" s="378"/>
      <c r="UWS56" s="378"/>
      <c r="UWT56" s="378"/>
      <c r="UWU56" s="378"/>
      <c r="UWV56" s="378"/>
      <c r="UWW56" s="378"/>
      <c r="UWX56" s="378"/>
      <c r="UWY56" s="378"/>
      <c r="UWZ56" s="378"/>
      <c r="UXA56" s="378"/>
      <c r="UXB56" s="378"/>
      <c r="UXC56" s="378"/>
      <c r="UXD56" s="378"/>
      <c r="UXE56" s="378"/>
      <c r="UXF56" s="378"/>
      <c r="UXG56" s="378"/>
      <c r="UXH56" s="378"/>
      <c r="UXI56" s="378"/>
      <c r="UXJ56" s="378"/>
      <c r="UXK56" s="378"/>
      <c r="UXL56" s="378"/>
      <c r="UXM56" s="378"/>
      <c r="UXN56" s="378"/>
      <c r="UXO56" s="378"/>
      <c r="UXP56" s="378"/>
      <c r="UXQ56" s="378"/>
      <c r="UXR56" s="378"/>
      <c r="UXS56" s="378"/>
      <c r="UXT56" s="378"/>
      <c r="UXU56" s="378"/>
      <c r="UXV56" s="378"/>
      <c r="UXW56" s="378"/>
      <c r="UXX56" s="378"/>
      <c r="UXY56" s="378"/>
      <c r="UXZ56" s="378"/>
      <c r="UYA56" s="378"/>
      <c r="UYB56" s="378"/>
      <c r="UYC56" s="378"/>
      <c r="UYD56" s="378"/>
      <c r="UYE56" s="378"/>
      <c r="UYF56" s="378"/>
      <c r="UYG56" s="378"/>
      <c r="UYH56" s="378"/>
      <c r="UYI56" s="378"/>
      <c r="UYJ56" s="378"/>
      <c r="UYK56" s="378"/>
      <c r="UYL56" s="378"/>
      <c r="UYM56" s="378"/>
      <c r="UYN56" s="378"/>
      <c r="UYO56" s="378"/>
      <c r="UYP56" s="378"/>
      <c r="UYQ56" s="378"/>
      <c r="UYR56" s="378"/>
      <c r="UYS56" s="378"/>
      <c r="UYT56" s="378"/>
      <c r="UYU56" s="378"/>
      <c r="UYV56" s="378"/>
      <c r="UYW56" s="378"/>
      <c r="UYX56" s="378"/>
      <c r="UYY56" s="378"/>
      <c r="UYZ56" s="378"/>
      <c r="UZA56" s="378"/>
      <c r="UZB56" s="378"/>
      <c r="UZC56" s="378"/>
      <c r="UZD56" s="378"/>
      <c r="UZE56" s="378"/>
      <c r="UZF56" s="378"/>
      <c r="UZG56" s="378"/>
      <c r="UZH56" s="378"/>
      <c r="UZI56" s="378"/>
      <c r="UZJ56" s="378"/>
      <c r="UZK56" s="378"/>
      <c r="UZL56" s="378"/>
      <c r="UZM56" s="378"/>
      <c r="UZN56" s="378"/>
      <c r="UZO56" s="378"/>
      <c r="UZP56" s="378"/>
      <c r="UZQ56" s="378"/>
      <c r="UZR56" s="378"/>
      <c r="UZS56" s="378"/>
      <c r="UZT56" s="378"/>
      <c r="UZU56" s="378"/>
      <c r="UZV56" s="378"/>
      <c r="UZW56" s="378"/>
      <c r="UZX56" s="378"/>
      <c r="UZY56" s="378"/>
      <c r="UZZ56" s="378"/>
      <c r="VAA56" s="378"/>
      <c r="VAB56" s="378"/>
      <c r="VAC56" s="378"/>
      <c r="VAD56" s="378"/>
      <c r="VAE56" s="378"/>
      <c r="VAF56" s="378"/>
      <c r="VAG56" s="378"/>
      <c r="VAH56" s="378"/>
      <c r="VAI56" s="378"/>
      <c r="VAJ56" s="378"/>
      <c r="VAK56" s="378"/>
      <c r="VAL56" s="378"/>
      <c r="VAM56" s="378"/>
      <c r="VAN56" s="378"/>
      <c r="VAO56" s="378"/>
      <c r="VAP56" s="378"/>
      <c r="VAQ56" s="378"/>
      <c r="VAR56" s="378"/>
      <c r="VAS56" s="378"/>
      <c r="VAT56" s="378"/>
      <c r="VAU56" s="378"/>
      <c r="VAV56" s="378"/>
      <c r="VAW56" s="378"/>
      <c r="VAX56" s="378"/>
      <c r="VAY56" s="378"/>
      <c r="VAZ56" s="378"/>
      <c r="VBA56" s="378"/>
      <c r="VBB56" s="378"/>
      <c r="VBC56" s="378"/>
      <c r="VBD56" s="378"/>
      <c r="VBE56" s="378"/>
      <c r="VBF56" s="378"/>
      <c r="VBG56" s="378"/>
      <c r="VBH56" s="378"/>
      <c r="VBI56" s="378"/>
      <c r="VBJ56" s="378"/>
      <c r="VBK56" s="378"/>
      <c r="VBL56" s="378"/>
      <c r="VBM56" s="378"/>
      <c r="VBN56" s="378"/>
      <c r="VBO56" s="378"/>
      <c r="VBP56" s="378"/>
      <c r="VBQ56" s="378"/>
      <c r="VBR56" s="378"/>
      <c r="VBS56" s="378"/>
      <c r="VBT56" s="378"/>
      <c r="VBU56" s="378"/>
      <c r="VBV56" s="378"/>
      <c r="VBW56" s="378"/>
      <c r="VBX56" s="378"/>
      <c r="VBY56" s="378"/>
      <c r="VBZ56" s="378"/>
      <c r="VCA56" s="378"/>
      <c r="VCB56" s="378"/>
      <c r="VCC56" s="378"/>
      <c r="VCD56" s="378"/>
      <c r="VCE56" s="378"/>
      <c r="VCF56" s="378"/>
      <c r="VCG56" s="378"/>
      <c r="VCH56" s="378"/>
      <c r="VCI56" s="378"/>
      <c r="VCJ56" s="378"/>
      <c r="VCK56" s="378"/>
      <c r="VCL56" s="378"/>
      <c r="VCM56" s="378"/>
      <c r="VCN56" s="378"/>
      <c r="VCO56" s="378"/>
      <c r="VCP56" s="378"/>
      <c r="VCQ56" s="378"/>
      <c r="VCR56" s="378"/>
      <c r="VCS56" s="378"/>
      <c r="VCT56" s="378"/>
      <c r="VCU56" s="378"/>
      <c r="VCV56" s="378"/>
      <c r="VCW56" s="378"/>
      <c r="VCX56" s="378"/>
      <c r="VCY56" s="378"/>
      <c r="VCZ56" s="378"/>
      <c r="VDA56" s="378"/>
      <c r="VDB56" s="378"/>
      <c r="VDC56" s="378"/>
      <c r="VDD56" s="378"/>
      <c r="VDE56" s="378"/>
      <c r="VDF56" s="378"/>
      <c r="VDG56" s="378"/>
      <c r="VDH56" s="378"/>
      <c r="VDI56" s="378"/>
      <c r="VDJ56" s="378"/>
      <c r="VDK56" s="378"/>
      <c r="VDL56" s="378"/>
      <c r="VDM56" s="378"/>
      <c r="VDN56" s="378"/>
      <c r="VDO56" s="378"/>
      <c r="VDP56" s="378"/>
      <c r="VDQ56" s="378"/>
      <c r="VDR56" s="378"/>
      <c r="VDS56" s="378"/>
      <c r="VDT56" s="378"/>
      <c r="VDU56" s="378"/>
      <c r="VDV56" s="378"/>
      <c r="VDW56" s="378"/>
      <c r="VDX56" s="378"/>
      <c r="VDY56" s="378"/>
      <c r="VDZ56" s="378"/>
      <c r="VEA56" s="378"/>
      <c r="VEB56" s="378"/>
      <c r="VEC56" s="378"/>
      <c r="VED56" s="378"/>
      <c r="VEE56" s="378"/>
      <c r="VEF56" s="378"/>
      <c r="VEG56" s="378"/>
      <c r="VEH56" s="378"/>
      <c r="VEI56" s="378"/>
      <c r="VEJ56" s="378"/>
      <c r="VEK56" s="378"/>
      <c r="VEL56" s="378"/>
      <c r="VEM56" s="378"/>
      <c r="VEN56" s="378"/>
      <c r="VEO56" s="378"/>
      <c r="VEP56" s="378"/>
      <c r="VEQ56" s="378"/>
      <c r="VER56" s="378"/>
      <c r="VES56" s="378"/>
      <c r="VET56" s="378"/>
      <c r="VEU56" s="378"/>
      <c r="VEV56" s="378"/>
      <c r="VEW56" s="378"/>
      <c r="VEX56" s="378"/>
      <c r="VEY56" s="378"/>
      <c r="VEZ56" s="378"/>
      <c r="VFA56" s="378"/>
      <c r="VFB56" s="378"/>
      <c r="VFC56" s="378"/>
      <c r="VFD56" s="378"/>
      <c r="VFE56" s="378"/>
      <c r="VFF56" s="378"/>
      <c r="VFG56" s="378"/>
      <c r="VFH56" s="378"/>
      <c r="VFI56" s="378"/>
      <c r="VFJ56" s="378"/>
      <c r="VFK56" s="378"/>
      <c r="VFL56" s="378"/>
      <c r="VFM56" s="378"/>
      <c r="VFN56" s="378"/>
      <c r="VFO56" s="378"/>
      <c r="VFP56" s="378"/>
      <c r="VFQ56" s="378"/>
      <c r="VFR56" s="378"/>
      <c r="VFS56" s="378"/>
      <c r="VFT56" s="378"/>
      <c r="VFU56" s="378"/>
      <c r="VFV56" s="378"/>
      <c r="VFW56" s="378"/>
      <c r="VFX56" s="378"/>
      <c r="VFY56" s="378"/>
      <c r="VFZ56" s="378"/>
      <c r="VGA56" s="378"/>
      <c r="VGB56" s="378"/>
      <c r="VGC56" s="378"/>
      <c r="VGD56" s="378"/>
      <c r="VGE56" s="378"/>
      <c r="VGF56" s="378"/>
      <c r="VGG56" s="378"/>
      <c r="VGH56" s="378"/>
      <c r="VGI56" s="378"/>
      <c r="VGJ56" s="378"/>
      <c r="VGK56" s="378"/>
      <c r="VGL56" s="378"/>
      <c r="VGM56" s="378"/>
      <c r="VGN56" s="378"/>
      <c r="VGO56" s="378"/>
      <c r="VGP56" s="378"/>
      <c r="VGQ56" s="378"/>
      <c r="VGR56" s="378"/>
      <c r="VGS56" s="378"/>
      <c r="VGT56" s="378"/>
      <c r="VGU56" s="378"/>
      <c r="VGV56" s="378"/>
      <c r="VGW56" s="378"/>
      <c r="VGX56" s="378"/>
      <c r="VGY56" s="378"/>
      <c r="VGZ56" s="378"/>
      <c r="VHA56" s="378"/>
      <c r="VHB56" s="378"/>
      <c r="VHC56" s="378"/>
      <c r="VHD56" s="378"/>
      <c r="VHE56" s="378"/>
      <c r="VHF56" s="378"/>
      <c r="VHG56" s="378"/>
      <c r="VHH56" s="378"/>
      <c r="VHI56" s="378"/>
      <c r="VHJ56" s="378"/>
      <c r="VHK56" s="378"/>
      <c r="VHL56" s="378"/>
      <c r="VHM56" s="378"/>
      <c r="VHN56" s="378"/>
      <c r="VHO56" s="378"/>
      <c r="VHP56" s="378"/>
      <c r="VHQ56" s="378"/>
      <c r="VHR56" s="378"/>
      <c r="VHS56" s="378"/>
      <c r="VHT56" s="378"/>
      <c r="VHU56" s="378"/>
      <c r="VHV56" s="378"/>
      <c r="VHW56" s="378"/>
      <c r="VHX56" s="378"/>
      <c r="VHY56" s="378"/>
      <c r="VHZ56" s="378"/>
      <c r="VIA56" s="378"/>
      <c r="VIB56" s="378"/>
      <c r="VIC56" s="378"/>
      <c r="VID56" s="378"/>
      <c r="VIE56" s="378"/>
      <c r="VIF56" s="378"/>
      <c r="VIG56" s="378"/>
      <c r="VIH56" s="378"/>
      <c r="VII56" s="378"/>
      <c r="VIJ56" s="378"/>
      <c r="VIK56" s="378"/>
      <c r="VIL56" s="378"/>
      <c r="VIM56" s="378"/>
      <c r="VIN56" s="378"/>
      <c r="VIO56" s="378"/>
      <c r="VIP56" s="378"/>
      <c r="VIQ56" s="378"/>
      <c r="VIR56" s="378"/>
      <c r="VIS56" s="378"/>
      <c r="VIT56" s="378"/>
      <c r="VIU56" s="378"/>
      <c r="VIV56" s="378"/>
      <c r="VIW56" s="378"/>
      <c r="VIX56" s="378"/>
      <c r="VIY56" s="378"/>
      <c r="VIZ56" s="378"/>
      <c r="VJA56" s="378"/>
      <c r="VJB56" s="378"/>
      <c r="VJC56" s="378"/>
      <c r="VJD56" s="378"/>
      <c r="VJE56" s="378"/>
      <c r="VJF56" s="378"/>
      <c r="VJG56" s="378"/>
      <c r="VJH56" s="378"/>
      <c r="VJI56" s="378"/>
      <c r="VJJ56" s="378"/>
      <c r="VJK56" s="378"/>
      <c r="VJL56" s="378"/>
      <c r="VJM56" s="378"/>
      <c r="VJN56" s="378"/>
      <c r="VJO56" s="378"/>
      <c r="VJP56" s="378"/>
      <c r="VJQ56" s="378"/>
      <c r="VJR56" s="378"/>
      <c r="VJS56" s="378"/>
      <c r="VJT56" s="378"/>
      <c r="VJU56" s="378"/>
      <c r="VJV56" s="378"/>
      <c r="VJW56" s="378"/>
      <c r="VJX56" s="378"/>
      <c r="VJY56" s="378"/>
      <c r="VJZ56" s="378"/>
      <c r="VKA56" s="378"/>
      <c r="VKB56" s="378"/>
      <c r="VKC56" s="378"/>
      <c r="VKD56" s="378"/>
      <c r="VKE56" s="378"/>
      <c r="VKF56" s="378"/>
      <c r="VKG56" s="378"/>
      <c r="VKH56" s="378"/>
      <c r="VKI56" s="378"/>
      <c r="VKJ56" s="378"/>
      <c r="VKK56" s="378"/>
      <c r="VKL56" s="378"/>
      <c r="VKM56" s="378"/>
      <c r="VKN56" s="378"/>
      <c r="VKO56" s="378"/>
      <c r="VKP56" s="378"/>
      <c r="VKQ56" s="378"/>
      <c r="VKR56" s="378"/>
      <c r="VKS56" s="378"/>
      <c r="VKT56" s="378"/>
      <c r="VKU56" s="378"/>
      <c r="VKV56" s="378"/>
      <c r="VKW56" s="378"/>
      <c r="VKX56" s="378"/>
      <c r="VKY56" s="378"/>
      <c r="VKZ56" s="378"/>
      <c r="VLA56" s="378"/>
      <c r="VLB56" s="378"/>
      <c r="VLC56" s="378"/>
      <c r="VLD56" s="378"/>
      <c r="VLE56" s="378"/>
      <c r="VLF56" s="378"/>
      <c r="VLG56" s="378"/>
      <c r="VLH56" s="378"/>
      <c r="VLI56" s="378"/>
      <c r="VLJ56" s="378"/>
      <c r="VLK56" s="378"/>
      <c r="VLL56" s="378"/>
      <c r="VLM56" s="378"/>
      <c r="VLN56" s="378"/>
      <c r="VLO56" s="378"/>
      <c r="VLP56" s="378"/>
      <c r="VLQ56" s="378"/>
      <c r="VLR56" s="378"/>
      <c r="VLS56" s="378"/>
      <c r="VLT56" s="378"/>
      <c r="VLU56" s="378"/>
      <c r="VLV56" s="378"/>
      <c r="VLW56" s="378"/>
      <c r="VLX56" s="378"/>
      <c r="VLY56" s="378"/>
      <c r="VLZ56" s="378"/>
      <c r="VMA56" s="378"/>
      <c r="VMB56" s="378"/>
      <c r="VMC56" s="378"/>
      <c r="VMD56" s="378"/>
      <c r="VME56" s="378"/>
      <c r="VMF56" s="378"/>
      <c r="VMG56" s="378"/>
      <c r="VMH56" s="378"/>
      <c r="VMI56" s="378"/>
      <c r="VMJ56" s="378"/>
      <c r="VMK56" s="378"/>
      <c r="VML56" s="378"/>
      <c r="VMM56" s="378"/>
      <c r="VMN56" s="378"/>
      <c r="VMO56" s="378"/>
      <c r="VMP56" s="378"/>
      <c r="VMQ56" s="378"/>
      <c r="VMR56" s="378"/>
      <c r="VMS56" s="378"/>
      <c r="VMT56" s="378"/>
      <c r="VMU56" s="378"/>
      <c r="VMV56" s="378"/>
      <c r="VMW56" s="378"/>
      <c r="VMX56" s="378"/>
      <c r="VMY56" s="378"/>
      <c r="VMZ56" s="378"/>
      <c r="VNA56" s="378"/>
      <c r="VNB56" s="378"/>
      <c r="VNC56" s="378"/>
      <c r="VND56" s="378"/>
      <c r="VNE56" s="378"/>
      <c r="VNF56" s="378"/>
      <c r="VNG56" s="378"/>
      <c r="VNH56" s="378"/>
      <c r="VNI56" s="378"/>
      <c r="VNJ56" s="378"/>
      <c r="VNK56" s="378"/>
      <c r="VNL56" s="378"/>
      <c r="VNM56" s="378"/>
      <c r="VNN56" s="378"/>
      <c r="VNO56" s="378"/>
      <c r="VNP56" s="378"/>
      <c r="VNQ56" s="378"/>
      <c r="VNR56" s="378"/>
      <c r="VNS56" s="378"/>
      <c r="VNT56" s="378"/>
      <c r="VNU56" s="378"/>
      <c r="VNV56" s="378"/>
      <c r="VNW56" s="378"/>
      <c r="VNX56" s="378"/>
      <c r="VNY56" s="378"/>
      <c r="VNZ56" s="378"/>
      <c r="VOA56" s="378"/>
      <c r="VOB56" s="378"/>
      <c r="VOC56" s="378"/>
      <c r="VOD56" s="378"/>
      <c r="VOE56" s="378"/>
      <c r="VOF56" s="378"/>
      <c r="VOG56" s="378"/>
      <c r="VOH56" s="378"/>
      <c r="VOI56" s="378"/>
      <c r="VOJ56" s="378"/>
      <c r="VOK56" s="378"/>
      <c r="VOL56" s="378"/>
      <c r="VOM56" s="378"/>
      <c r="VON56" s="378"/>
      <c r="VOO56" s="378"/>
      <c r="VOP56" s="378"/>
      <c r="VOQ56" s="378"/>
      <c r="VOR56" s="378"/>
      <c r="VOS56" s="378"/>
      <c r="VOT56" s="378"/>
      <c r="VOU56" s="378"/>
      <c r="VOV56" s="378"/>
      <c r="VOW56" s="378"/>
      <c r="VOX56" s="378"/>
      <c r="VOY56" s="378"/>
      <c r="VOZ56" s="378"/>
      <c r="VPA56" s="378"/>
      <c r="VPB56" s="378"/>
      <c r="VPC56" s="378"/>
      <c r="VPD56" s="378"/>
      <c r="VPE56" s="378"/>
      <c r="VPF56" s="378"/>
      <c r="VPG56" s="378"/>
      <c r="VPH56" s="378"/>
      <c r="VPI56" s="378"/>
      <c r="VPJ56" s="378"/>
      <c r="VPK56" s="378"/>
      <c r="VPL56" s="378"/>
      <c r="VPM56" s="378"/>
      <c r="VPN56" s="378"/>
      <c r="VPO56" s="378"/>
      <c r="VPP56" s="378"/>
      <c r="VPQ56" s="378"/>
      <c r="VPR56" s="378"/>
      <c r="VPS56" s="378"/>
      <c r="VPT56" s="378"/>
      <c r="VPU56" s="378"/>
      <c r="VPV56" s="378"/>
      <c r="VPW56" s="378"/>
      <c r="VPX56" s="378"/>
      <c r="VPY56" s="378"/>
      <c r="VPZ56" s="378"/>
      <c r="VQA56" s="378"/>
      <c r="VQB56" s="378"/>
      <c r="VQC56" s="378"/>
      <c r="VQD56" s="378"/>
      <c r="VQE56" s="378"/>
      <c r="VQF56" s="378"/>
      <c r="VQG56" s="378"/>
      <c r="VQH56" s="378"/>
      <c r="VQI56" s="378"/>
      <c r="VQJ56" s="378"/>
      <c r="VQK56" s="378"/>
      <c r="VQL56" s="378"/>
      <c r="VQM56" s="378"/>
      <c r="VQN56" s="378"/>
      <c r="VQO56" s="378"/>
      <c r="VQP56" s="378"/>
      <c r="VQQ56" s="378"/>
      <c r="VQR56" s="378"/>
      <c r="VQS56" s="378"/>
      <c r="VQT56" s="378"/>
      <c r="VQU56" s="378"/>
      <c r="VQV56" s="378"/>
      <c r="VQW56" s="378"/>
      <c r="VQX56" s="378"/>
      <c r="VQY56" s="378"/>
      <c r="VQZ56" s="378"/>
      <c r="VRA56" s="378"/>
      <c r="VRB56" s="378"/>
      <c r="VRC56" s="378"/>
      <c r="VRD56" s="378"/>
      <c r="VRE56" s="378"/>
      <c r="VRF56" s="378"/>
      <c r="VRG56" s="378"/>
      <c r="VRH56" s="378"/>
      <c r="VRI56" s="378"/>
      <c r="VRJ56" s="378"/>
      <c r="VRK56" s="378"/>
      <c r="VRL56" s="378"/>
      <c r="VRM56" s="378"/>
      <c r="VRN56" s="378"/>
      <c r="VRO56" s="378"/>
      <c r="VRP56" s="378"/>
      <c r="VRQ56" s="378"/>
      <c r="VRR56" s="378"/>
      <c r="VRS56" s="378"/>
      <c r="VRT56" s="378"/>
      <c r="VRU56" s="378"/>
      <c r="VRV56" s="378"/>
      <c r="VRW56" s="378"/>
      <c r="VRX56" s="378"/>
      <c r="VRY56" s="378"/>
      <c r="VRZ56" s="378"/>
      <c r="VSA56" s="378"/>
      <c r="VSB56" s="378"/>
      <c r="VSC56" s="378"/>
      <c r="VSD56" s="378"/>
      <c r="VSE56" s="378"/>
      <c r="VSF56" s="378"/>
      <c r="VSG56" s="378"/>
      <c r="VSH56" s="378"/>
      <c r="VSI56" s="378"/>
      <c r="VSJ56" s="378"/>
      <c r="VSK56" s="378"/>
      <c r="VSL56" s="378"/>
      <c r="VSM56" s="378"/>
      <c r="VSN56" s="378"/>
      <c r="VSO56" s="378"/>
      <c r="VSP56" s="378"/>
      <c r="VSQ56" s="378"/>
      <c r="VSR56" s="378"/>
      <c r="VSS56" s="378"/>
      <c r="VST56" s="378"/>
      <c r="VSU56" s="378"/>
      <c r="VSV56" s="378"/>
      <c r="VSW56" s="378"/>
      <c r="VSX56" s="378"/>
      <c r="VSY56" s="378"/>
      <c r="VSZ56" s="378"/>
      <c r="VTA56" s="378"/>
      <c r="VTB56" s="378"/>
      <c r="VTC56" s="378"/>
      <c r="VTD56" s="378"/>
      <c r="VTE56" s="378"/>
      <c r="VTF56" s="378"/>
      <c r="VTG56" s="378"/>
      <c r="VTH56" s="378"/>
      <c r="VTI56" s="378"/>
      <c r="VTJ56" s="378"/>
      <c r="VTK56" s="378"/>
      <c r="VTL56" s="378"/>
      <c r="VTM56" s="378"/>
      <c r="VTN56" s="378"/>
      <c r="VTO56" s="378"/>
      <c r="VTP56" s="378"/>
      <c r="VTQ56" s="378"/>
      <c r="VTR56" s="378"/>
      <c r="VTS56" s="378"/>
      <c r="VTT56" s="378"/>
      <c r="VTU56" s="378"/>
      <c r="VTV56" s="378"/>
      <c r="VTW56" s="378"/>
      <c r="VTX56" s="378"/>
      <c r="VTY56" s="378"/>
      <c r="VTZ56" s="378"/>
      <c r="VUA56" s="378"/>
      <c r="VUB56" s="378"/>
      <c r="VUC56" s="378"/>
      <c r="VUD56" s="378"/>
      <c r="VUE56" s="378"/>
      <c r="VUF56" s="378"/>
      <c r="VUG56" s="378"/>
      <c r="VUH56" s="378"/>
      <c r="VUI56" s="378"/>
      <c r="VUJ56" s="378"/>
      <c r="VUK56" s="378"/>
      <c r="VUL56" s="378"/>
      <c r="VUM56" s="378"/>
      <c r="VUN56" s="378"/>
      <c r="VUO56" s="378"/>
      <c r="VUP56" s="378"/>
      <c r="VUQ56" s="378"/>
      <c r="VUR56" s="378"/>
      <c r="VUS56" s="378"/>
      <c r="VUT56" s="378"/>
      <c r="VUU56" s="378"/>
      <c r="VUV56" s="378"/>
      <c r="VUW56" s="378"/>
      <c r="VUX56" s="378"/>
      <c r="VUY56" s="378"/>
      <c r="VUZ56" s="378"/>
      <c r="VVA56" s="378"/>
      <c r="VVB56" s="378"/>
      <c r="VVC56" s="378"/>
      <c r="VVD56" s="378"/>
      <c r="VVE56" s="378"/>
      <c r="VVF56" s="378"/>
      <c r="VVG56" s="378"/>
      <c r="VVH56" s="378"/>
      <c r="VVI56" s="378"/>
      <c r="VVJ56" s="378"/>
      <c r="VVK56" s="378"/>
      <c r="VVL56" s="378"/>
      <c r="VVM56" s="378"/>
      <c r="VVN56" s="378"/>
      <c r="VVO56" s="378"/>
      <c r="VVP56" s="378"/>
      <c r="VVQ56" s="378"/>
      <c r="VVR56" s="378"/>
      <c r="VVS56" s="378"/>
      <c r="VVT56" s="378"/>
      <c r="VVU56" s="378"/>
      <c r="VVV56" s="378"/>
      <c r="VVW56" s="378"/>
      <c r="VVX56" s="378"/>
      <c r="VVY56" s="378"/>
      <c r="VVZ56" s="378"/>
      <c r="VWA56" s="378"/>
      <c r="VWB56" s="378"/>
      <c r="VWC56" s="378"/>
      <c r="VWD56" s="378"/>
      <c r="VWE56" s="378"/>
      <c r="VWF56" s="378"/>
      <c r="VWG56" s="378"/>
      <c r="VWH56" s="378"/>
      <c r="VWI56" s="378"/>
      <c r="VWJ56" s="378"/>
      <c r="VWK56" s="378"/>
      <c r="VWL56" s="378"/>
      <c r="VWM56" s="378"/>
      <c r="VWN56" s="378"/>
      <c r="VWO56" s="378"/>
      <c r="VWP56" s="378"/>
      <c r="VWQ56" s="378"/>
      <c r="VWR56" s="378"/>
      <c r="VWS56" s="378"/>
      <c r="VWT56" s="378"/>
      <c r="VWU56" s="378"/>
      <c r="VWV56" s="378"/>
      <c r="VWW56" s="378"/>
      <c r="VWX56" s="378"/>
      <c r="VWY56" s="378"/>
      <c r="VWZ56" s="378"/>
      <c r="VXA56" s="378"/>
      <c r="VXB56" s="378"/>
      <c r="VXC56" s="378"/>
      <c r="VXD56" s="378"/>
      <c r="VXE56" s="378"/>
      <c r="VXF56" s="378"/>
      <c r="VXG56" s="378"/>
      <c r="VXH56" s="378"/>
      <c r="VXI56" s="378"/>
      <c r="VXJ56" s="378"/>
      <c r="VXK56" s="378"/>
      <c r="VXL56" s="378"/>
      <c r="VXM56" s="378"/>
      <c r="VXN56" s="378"/>
      <c r="VXO56" s="378"/>
      <c r="VXP56" s="378"/>
      <c r="VXQ56" s="378"/>
      <c r="VXR56" s="378"/>
      <c r="VXS56" s="378"/>
      <c r="VXT56" s="378"/>
      <c r="VXU56" s="378"/>
      <c r="VXV56" s="378"/>
      <c r="VXW56" s="378"/>
      <c r="VXX56" s="378"/>
      <c r="VXY56" s="378"/>
      <c r="VXZ56" s="378"/>
      <c r="VYA56" s="378"/>
      <c r="VYB56" s="378"/>
      <c r="VYC56" s="378"/>
      <c r="VYD56" s="378"/>
      <c r="VYE56" s="378"/>
      <c r="VYF56" s="378"/>
      <c r="VYG56" s="378"/>
      <c r="VYH56" s="378"/>
      <c r="VYI56" s="378"/>
      <c r="VYJ56" s="378"/>
      <c r="VYK56" s="378"/>
      <c r="VYL56" s="378"/>
      <c r="VYM56" s="378"/>
      <c r="VYN56" s="378"/>
      <c r="VYO56" s="378"/>
      <c r="VYP56" s="378"/>
      <c r="VYQ56" s="378"/>
      <c r="VYR56" s="378"/>
      <c r="VYS56" s="378"/>
      <c r="VYT56" s="378"/>
      <c r="VYU56" s="378"/>
      <c r="VYV56" s="378"/>
      <c r="VYW56" s="378"/>
      <c r="VYX56" s="378"/>
      <c r="VYY56" s="378"/>
      <c r="VYZ56" s="378"/>
      <c r="VZA56" s="378"/>
      <c r="VZB56" s="378"/>
      <c r="VZC56" s="378"/>
      <c r="VZD56" s="378"/>
      <c r="VZE56" s="378"/>
      <c r="VZF56" s="378"/>
      <c r="VZG56" s="378"/>
      <c r="VZH56" s="378"/>
      <c r="VZI56" s="378"/>
      <c r="VZJ56" s="378"/>
      <c r="VZK56" s="378"/>
      <c r="VZL56" s="378"/>
      <c r="VZM56" s="378"/>
      <c r="VZN56" s="378"/>
      <c r="VZO56" s="378"/>
      <c r="VZP56" s="378"/>
      <c r="VZQ56" s="378"/>
      <c r="VZR56" s="378"/>
      <c r="VZS56" s="378"/>
      <c r="VZT56" s="378"/>
      <c r="VZU56" s="378"/>
      <c r="VZV56" s="378"/>
      <c r="VZW56" s="378"/>
      <c r="VZX56" s="378"/>
      <c r="VZY56" s="378"/>
      <c r="VZZ56" s="378"/>
      <c r="WAA56" s="378"/>
      <c r="WAB56" s="378"/>
      <c r="WAC56" s="378"/>
      <c r="WAD56" s="378"/>
      <c r="WAE56" s="378"/>
      <c r="WAF56" s="378"/>
      <c r="WAG56" s="378"/>
      <c r="WAH56" s="378"/>
      <c r="WAI56" s="378"/>
      <c r="WAJ56" s="378"/>
      <c r="WAK56" s="378"/>
      <c r="WAL56" s="378"/>
      <c r="WAM56" s="378"/>
      <c r="WAN56" s="378"/>
      <c r="WAO56" s="378"/>
      <c r="WAP56" s="378"/>
      <c r="WAQ56" s="378"/>
      <c r="WAR56" s="378"/>
      <c r="WAS56" s="378"/>
      <c r="WAT56" s="378"/>
      <c r="WAU56" s="378"/>
      <c r="WAV56" s="378"/>
      <c r="WAW56" s="378"/>
      <c r="WAX56" s="378"/>
      <c r="WAY56" s="378"/>
      <c r="WAZ56" s="378"/>
      <c r="WBA56" s="378"/>
      <c r="WBB56" s="378"/>
      <c r="WBC56" s="378"/>
      <c r="WBD56" s="378"/>
      <c r="WBE56" s="378"/>
      <c r="WBF56" s="378"/>
      <c r="WBG56" s="378"/>
      <c r="WBH56" s="378"/>
      <c r="WBI56" s="378"/>
      <c r="WBJ56" s="378"/>
      <c r="WBK56" s="378"/>
      <c r="WBL56" s="378"/>
      <c r="WBM56" s="378"/>
      <c r="WBN56" s="378"/>
      <c r="WBO56" s="378"/>
      <c r="WBP56" s="378"/>
      <c r="WBQ56" s="378"/>
      <c r="WBR56" s="378"/>
      <c r="WBS56" s="378"/>
      <c r="WBT56" s="378"/>
      <c r="WBU56" s="378"/>
      <c r="WBV56" s="378"/>
      <c r="WBW56" s="378"/>
      <c r="WBX56" s="378"/>
      <c r="WBY56" s="378"/>
      <c r="WBZ56" s="378"/>
      <c r="WCA56" s="378"/>
      <c r="WCB56" s="378"/>
      <c r="WCC56" s="378"/>
      <c r="WCD56" s="378"/>
      <c r="WCE56" s="378"/>
      <c r="WCF56" s="378"/>
      <c r="WCG56" s="378"/>
      <c r="WCH56" s="378"/>
      <c r="WCI56" s="378"/>
      <c r="WCJ56" s="378"/>
      <c r="WCK56" s="378"/>
      <c r="WCL56" s="378"/>
      <c r="WCM56" s="378"/>
      <c r="WCN56" s="378"/>
      <c r="WCO56" s="378"/>
      <c r="WCP56" s="378"/>
      <c r="WCQ56" s="378"/>
      <c r="WCR56" s="378"/>
      <c r="WCS56" s="378"/>
      <c r="WCT56" s="378"/>
      <c r="WCU56" s="378"/>
      <c r="WCV56" s="378"/>
      <c r="WCW56" s="378"/>
      <c r="WCX56" s="378"/>
      <c r="WCY56" s="378"/>
      <c r="WCZ56" s="378"/>
      <c r="WDA56" s="378"/>
      <c r="WDB56" s="378"/>
      <c r="WDC56" s="378"/>
      <c r="WDD56" s="378"/>
      <c r="WDE56" s="378"/>
      <c r="WDF56" s="378"/>
      <c r="WDG56" s="378"/>
      <c r="WDH56" s="378"/>
      <c r="WDI56" s="378"/>
      <c r="WDJ56" s="378"/>
      <c r="WDK56" s="378"/>
      <c r="WDL56" s="378"/>
      <c r="WDM56" s="378"/>
      <c r="WDN56" s="378"/>
      <c r="WDO56" s="378"/>
      <c r="WDP56" s="378"/>
      <c r="WDQ56" s="378"/>
      <c r="WDR56" s="378"/>
      <c r="WDS56" s="378"/>
      <c r="WDT56" s="378"/>
      <c r="WDU56" s="378"/>
      <c r="WDV56" s="378"/>
      <c r="WDW56" s="378"/>
      <c r="WDX56" s="378"/>
      <c r="WDY56" s="378"/>
      <c r="WDZ56" s="378"/>
      <c r="WEA56" s="378"/>
      <c r="WEB56" s="378"/>
      <c r="WEC56" s="378"/>
      <c r="WED56" s="378"/>
      <c r="WEE56" s="378"/>
      <c r="WEF56" s="378"/>
      <c r="WEG56" s="378"/>
      <c r="WEH56" s="378"/>
      <c r="WEI56" s="378"/>
      <c r="WEJ56" s="378"/>
      <c r="WEK56" s="378"/>
      <c r="WEL56" s="378"/>
      <c r="WEM56" s="378"/>
      <c r="WEN56" s="378"/>
      <c r="WEO56" s="378"/>
      <c r="WEP56" s="378"/>
      <c r="WEQ56" s="378"/>
      <c r="WER56" s="378"/>
      <c r="WES56" s="378"/>
      <c r="WET56" s="378"/>
      <c r="WEU56" s="378"/>
      <c r="WEV56" s="378"/>
      <c r="WEW56" s="378"/>
      <c r="WEX56" s="378"/>
      <c r="WEY56" s="378"/>
      <c r="WEZ56" s="378"/>
      <c r="WFA56" s="378"/>
      <c r="WFB56" s="378"/>
      <c r="WFC56" s="378"/>
      <c r="WFD56" s="378"/>
      <c r="WFE56" s="378"/>
      <c r="WFF56" s="378"/>
      <c r="WFG56" s="378"/>
      <c r="WFH56" s="378"/>
      <c r="WFI56" s="378"/>
      <c r="WFJ56" s="378"/>
      <c r="WFK56" s="378"/>
      <c r="WFL56" s="378"/>
      <c r="WFM56" s="378"/>
      <c r="WFN56" s="378"/>
      <c r="WFO56" s="378"/>
      <c r="WFP56" s="378"/>
      <c r="WFQ56" s="378"/>
      <c r="WFR56" s="378"/>
      <c r="WFS56" s="378"/>
      <c r="WFT56" s="378"/>
      <c r="WFU56" s="378"/>
      <c r="WFV56" s="378"/>
      <c r="WFW56" s="378"/>
      <c r="WFX56" s="378"/>
      <c r="WFY56" s="378"/>
      <c r="WFZ56" s="378"/>
      <c r="WGA56" s="378"/>
      <c r="WGB56" s="378"/>
      <c r="WGC56" s="378"/>
      <c r="WGD56" s="378"/>
      <c r="WGE56" s="378"/>
      <c r="WGF56" s="378"/>
      <c r="WGG56" s="378"/>
      <c r="WGH56" s="378"/>
      <c r="WGI56" s="378"/>
      <c r="WGJ56" s="378"/>
      <c r="WGK56" s="378"/>
      <c r="WGL56" s="378"/>
      <c r="WGM56" s="378"/>
      <c r="WGN56" s="378"/>
      <c r="WGO56" s="378"/>
      <c r="WGP56" s="378"/>
      <c r="WGQ56" s="378"/>
      <c r="WGR56" s="378"/>
      <c r="WGS56" s="378"/>
      <c r="WGT56" s="378"/>
      <c r="WGU56" s="378"/>
      <c r="WGV56" s="378"/>
      <c r="WGW56" s="378"/>
      <c r="WGX56" s="378"/>
      <c r="WGY56" s="378"/>
      <c r="WGZ56" s="378"/>
      <c r="WHA56" s="378"/>
      <c r="WHB56" s="378"/>
      <c r="WHC56" s="378"/>
      <c r="WHD56" s="378"/>
      <c r="WHE56" s="378"/>
      <c r="WHF56" s="378"/>
      <c r="WHG56" s="378"/>
      <c r="WHH56" s="378"/>
      <c r="WHI56" s="378"/>
      <c r="WHJ56" s="378"/>
      <c r="WHK56" s="378"/>
      <c r="WHL56" s="378"/>
      <c r="WHM56" s="378"/>
      <c r="WHN56" s="378"/>
      <c r="WHO56" s="378"/>
      <c r="WHP56" s="378"/>
      <c r="WHQ56" s="378"/>
      <c r="WHR56" s="378"/>
      <c r="WHS56" s="378"/>
      <c r="WHT56" s="378"/>
      <c r="WHU56" s="378"/>
      <c r="WHV56" s="378"/>
      <c r="WHW56" s="378"/>
      <c r="WHX56" s="378"/>
      <c r="WHY56" s="378"/>
      <c r="WHZ56" s="378"/>
      <c r="WIA56" s="378"/>
      <c r="WIB56" s="378"/>
      <c r="WIC56" s="378"/>
      <c r="WID56" s="378"/>
      <c r="WIE56" s="378"/>
      <c r="WIF56" s="378"/>
      <c r="WIG56" s="378"/>
      <c r="WIH56" s="378"/>
      <c r="WII56" s="378"/>
      <c r="WIJ56" s="378"/>
      <c r="WIK56" s="378"/>
      <c r="WIL56" s="378"/>
      <c r="WIM56" s="378"/>
      <c r="WIN56" s="378"/>
      <c r="WIO56" s="378"/>
      <c r="WIP56" s="378"/>
      <c r="WIQ56" s="378"/>
      <c r="WIR56" s="378"/>
      <c r="WIS56" s="378"/>
      <c r="WIT56" s="378"/>
      <c r="WIU56" s="378"/>
      <c r="WIV56" s="378"/>
      <c r="WIW56" s="378"/>
      <c r="WIX56" s="378"/>
      <c r="WIY56" s="378"/>
      <c r="WIZ56" s="378"/>
      <c r="WJA56" s="378"/>
      <c r="WJB56" s="378"/>
      <c r="WJC56" s="378"/>
      <c r="WJD56" s="378"/>
      <c r="WJE56" s="378"/>
      <c r="WJF56" s="378"/>
      <c r="WJG56" s="378"/>
      <c r="WJH56" s="378"/>
      <c r="WJI56" s="378"/>
      <c r="WJJ56" s="378"/>
      <c r="WJK56" s="378"/>
      <c r="WJL56" s="378"/>
      <c r="WJM56" s="378"/>
      <c r="WJN56" s="378"/>
      <c r="WJO56" s="378"/>
      <c r="WJP56" s="378"/>
      <c r="WJQ56" s="378"/>
      <c r="WJR56" s="378"/>
      <c r="WJS56" s="378"/>
      <c r="WJT56" s="378"/>
      <c r="WJU56" s="378"/>
      <c r="WJV56" s="378"/>
      <c r="WJW56" s="378"/>
      <c r="WJX56" s="378"/>
      <c r="WJY56" s="378"/>
      <c r="WJZ56" s="378"/>
      <c r="WKA56" s="378"/>
      <c r="WKB56" s="378"/>
      <c r="WKC56" s="378"/>
      <c r="WKD56" s="378"/>
      <c r="WKE56" s="378"/>
      <c r="WKF56" s="378"/>
      <c r="WKG56" s="378"/>
      <c r="WKH56" s="378"/>
      <c r="WKI56" s="378"/>
      <c r="WKJ56" s="378"/>
      <c r="WKK56" s="378"/>
      <c r="WKL56" s="378"/>
      <c r="WKM56" s="378"/>
      <c r="WKN56" s="378"/>
      <c r="WKO56" s="378"/>
      <c r="WKP56" s="378"/>
      <c r="WKQ56" s="378"/>
      <c r="WKR56" s="378"/>
      <c r="WKS56" s="378"/>
      <c r="WKT56" s="378"/>
      <c r="WKU56" s="378"/>
      <c r="WKV56" s="378"/>
      <c r="WKW56" s="378"/>
      <c r="WKX56" s="378"/>
      <c r="WKY56" s="378"/>
      <c r="WKZ56" s="378"/>
      <c r="WLA56" s="378"/>
      <c r="WLB56" s="378"/>
      <c r="WLC56" s="378"/>
      <c r="WLD56" s="378"/>
      <c r="WLE56" s="378"/>
      <c r="WLF56" s="378"/>
      <c r="WLG56" s="378"/>
      <c r="WLH56" s="378"/>
      <c r="WLI56" s="378"/>
      <c r="WLJ56" s="378"/>
      <c r="WLK56" s="378"/>
      <c r="WLL56" s="378"/>
      <c r="WLM56" s="378"/>
      <c r="WLN56" s="378"/>
      <c r="WLO56" s="378"/>
      <c r="WLP56" s="378"/>
      <c r="WLQ56" s="378"/>
      <c r="WLR56" s="378"/>
      <c r="WLS56" s="378"/>
      <c r="WLT56" s="378"/>
      <c r="WLU56" s="378"/>
      <c r="WLV56" s="378"/>
      <c r="WLW56" s="378"/>
      <c r="WLX56" s="378"/>
      <c r="WLY56" s="378"/>
      <c r="WLZ56" s="378"/>
      <c r="WMA56" s="378"/>
      <c r="WMB56" s="378"/>
      <c r="WMC56" s="378"/>
      <c r="WMD56" s="378"/>
      <c r="WME56" s="378"/>
      <c r="WMF56" s="378"/>
      <c r="WMG56" s="378"/>
      <c r="WMH56" s="378"/>
      <c r="WMI56" s="378"/>
      <c r="WMJ56" s="378"/>
      <c r="WMK56" s="378"/>
      <c r="WML56" s="378"/>
      <c r="WMM56" s="378"/>
      <c r="WMN56" s="378"/>
      <c r="WMO56" s="378"/>
      <c r="WMP56" s="378"/>
      <c r="WMQ56" s="378"/>
      <c r="WMR56" s="378"/>
      <c r="WMS56" s="378"/>
      <c r="WMT56" s="378"/>
      <c r="WMU56" s="378"/>
      <c r="WMV56" s="378"/>
      <c r="WMW56" s="378"/>
      <c r="WMX56" s="378"/>
      <c r="WMY56" s="378"/>
      <c r="WMZ56" s="378"/>
      <c r="WNA56" s="378"/>
      <c r="WNB56" s="378"/>
      <c r="WNC56" s="378"/>
      <c r="WND56" s="378"/>
      <c r="WNE56" s="378"/>
      <c r="WNF56" s="378"/>
      <c r="WNG56" s="378"/>
      <c r="WNH56" s="378"/>
      <c r="WNI56" s="378"/>
      <c r="WNJ56" s="378"/>
      <c r="WNK56" s="378"/>
      <c r="WNL56" s="378"/>
      <c r="WNM56" s="378"/>
      <c r="WNN56" s="378"/>
      <c r="WNO56" s="378"/>
      <c r="WNP56" s="378"/>
      <c r="WNQ56" s="378"/>
      <c r="WNR56" s="378"/>
      <c r="WNS56" s="378"/>
      <c r="WNT56" s="378"/>
      <c r="WNU56" s="378"/>
      <c r="WNV56" s="378"/>
      <c r="WNW56" s="378"/>
      <c r="WNX56" s="378"/>
      <c r="WNY56" s="378"/>
      <c r="WNZ56" s="378"/>
      <c r="WOA56" s="378"/>
      <c r="WOB56" s="378"/>
      <c r="WOC56" s="378"/>
      <c r="WOD56" s="378"/>
      <c r="WOE56" s="378"/>
      <c r="WOF56" s="378"/>
      <c r="WOG56" s="378"/>
      <c r="WOH56" s="378"/>
      <c r="WOI56" s="378"/>
      <c r="WOJ56" s="378"/>
      <c r="WOK56" s="378"/>
      <c r="WOL56" s="378"/>
      <c r="WOM56" s="378"/>
      <c r="WON56" s="378"/>
      <c r="WOO56" s="378"/>
      <c r="WOP56" s="378"/>
      <c r="WOQ56" s="378"/>
      <c r="WOR56" s="378"/>
      <c r="WOS56" s="378"/>
      <c r="WOT56" s="378"/>
      <c r="WOU56" s="378"/>
      <c r="WOV56" s="378"/>
      <c r="WOW56" s="378"/>
      <c r="WOX56" s="378"/>
      <c r="WOY56" s="378"/>
      <c r="WOZ56" s="378"/>
      <c r="WPA56" s="378"/>
      <c r="WPB56" s="378"/>
      <c r="WPC56" s="378"/>
      <c r="WPD56" s="378"/>
      <c r="WPE56" s="378"/>
      <c r="WPF56" s="378"/>
      <c r="WPG56" s="378"/>
      <c r="WPH56" s="378"/>
      <c r="WPI56" s="378"/>
      <c r="WPJ56" s="378"/>
      <c r="WPK56" s="378"/>
      <c r="WPL56" s="378"/>
      <c r="WPM56" s="378"/>
      <c r="WPN56" s="378"/>
      <c r="WPO56" s="378"/>
      <c r="WPP56" s="378"/>
      <c r="WPQ56" s="378"/>
      <c r="WPR56" s="378"/>
      <c r="WPS56" s="378"/>
      <c r="WPT56" s="378"/>
      <c r="WPU56" s="378"/>
      <c r="WPV56" s="378"/>
      <c r="WPW56" s="378"/>
      <c r="WPX56" s="378"/>
      <c r="WPY56" s="378"/>
      <c r="WPZ56" s="378"/>
      <c r="WQA56" s="378"/>
      <c r="WQB56" s="378"/>
      <c r="WQC56" s="378"/>
      <c r="WQD56" s="378"/>
      <c r="WQE56" s="378"/>
      <c r="WQF56" s="378"/>
      <c r="WQG56" s="378"/>
      <c r="WQH56" s="378"/>
      <c r="WQI56" s="378"/>
      <c r="WQJ56" s="378"/>
      <c r="WQK56" s="378"/>
      <c r="WQL56" s="378"/>
      <c r="WQM56" s="378"/>
      <c r="WQN56" s="378"/>
      <c r="WQO56" s="378"/>
      <c r="WQP56" s="378"/>
      <c r="WQQ56" s="378"/>
      <c r="WQR56" s="378"/>
      <c r="WQS56" s="378"/>
      <c r="WQT56" s="378"/>
      <c r="WQU56" s="378"/>
      <c r="WQV56" s="378"/>
      <c r="WQW56" s="378"/>
      <c r="WQX56" s="378"/>
      <c r="WQY56" s="378"/>
      <c r="WQZ56" s="378"/>
      <c r="WRA56" s="378"/>
      <c r="WRB56" s="378"/>
      <c r="WRC56" s="378"/>
      <c r="WRD56" s="378"/>
      <c r="WRE56" s="378"/>
      <c r="WRF56" s="378"/>
      <c r="WRG56" s="378"/>
      <c r="WRH56" s="378"/>
      <c r="WRI56" s="378"/>
      <c r="WRJ56" s="378"/>
      <c r="WRK56" s="378"/>
      <c r="WRL56" s="378"/>
      <c r="WRM56" s="378"/>
      <c r="WRN56" s="378"/>
      <c r="WRO56" s="378"/>
      <c r="WRP56" s="378"/>
      <c r="WRQ56" s="378"/>
      <c r="WRR56" s="378"/>
      <c r="WRS56" s="378"/>
      <c r="WRT56" s="378"/>
      <c r="WRU56" s="378"/>
      <c r="WRV56" s="378"/>
      <c r="WRW56" s="378"/>
      <c r="WRX56" s="378"/>
      <c r="WRY56" s="378"/>
      <c r="WRZ56" s="378"/>
      <c r="WSA56" s="378"/>
      <c r="WSB56" s="378"/>
      <c r="WSC56" s="378"/>
      <c r="WSD56" s="378"/>
      <c r="WSE56" s="378"/>
      <c r="WSF56" s="378"/>
      <c r="WSG56" s="378"/>
      <c r="WSH56" s="378"/>
      <c r="WSI56" s="378"/>
      <c r="WSJ56" s="378"/>
      <c r="WSK56" s="378"/>
      <c r="WSL56" s="378"/>
      <c r="WSM56" s="378"/>
      <c r="WSN56" s="378"/>
      <c r="WSO56" s="378"/>
      <c r="WSP56" s="378"/>
      <c r="WSQ56" s="378"/>
      <c r="WSR56" s="378"/>
      <c r="WSS56" s="378"/>
      <c r="WST56" s="378"/>
      <c r="WSU56" s="378"/>
      <c r="WSV56" s="378"/>
      <c r="WSW56" s="378"/>
      <c r="WSX56" s="378"/>
      <c r="WSY56" s="378"/>
      <c r="WSZ56" s="378"/>
      <c r="WTA56" s="378"/>
      <c r="WTB56" s="378"/>
      <c r="WTC56" s="378"/>
      <c r="WTD56" s="378"/>
      <c r="WTE56" s="378"/>
      <c r="WTF56" s="378"/>
      <c r="WTG56" s="378"/>
      <c r="WTH56" s="378"/>
      <c r="WTI56" s="378"/>
      <c r="WTJ56" s="378"/>
      <c r="WTK56" s="378"/>
      <c r="WTL56" s="378"/>
      <c r="WTM56" s="378"/>
      <c r="WTN56" s="378"/>
      <c r="WTO56" s="378"/>
      <c r="WTP56" s="378"/>
      <c r="WTQ56" s="378"/>
      <c r="WTR56" s="378"/>
      <c r="WTS56" s="378"/>
      <c r="WTT56" s="378"/>
      <c r="WTU56" s="378"/>
      <c r="WTV56" s="378"/>
      <c r="WTW56" s="378"/>
      <c r="WTX56" s="378"/>
      <c r="WTY56" s="378"/>
      <c r="WTZ56" s="378"/>
      <c r="WUA56" s="378"/>
      <c r="WUB56" s="378"/>
      <c r="WUC56" s="378"/>
      <c r="WUD56" s="378"/>
      <c r="WUE56" s="378"/>
      <c r="WUF56" s="378"/>
      <c r="WUG56" s="378"/>
      <c r="WUH56" s="378"/>
      <c r="WUI56" s="378"/>
      <c r="WUJ56" s="378"/>
      <c r="WUK56" s="378"/>
      <c r="WUL56" s="378"/>
      <c r="WUM56" s="378"/>
      <c r="WUN56" s="378"/>
      <c r="WUO56" s="378"/>
      <c r="WUP56" s="378"/>
      <c r="WUQ56" s="378"/>
      <c r="WUR56" s="378"/>
      <c r="WUS56" s="378"/>
      <c r="WUT56" s="378"/>
      <c r="WUU56" s="378"/>
      <c r="WUV56" s="378"/>
      <c r="WUW56" s="378"/>
      <c r="WUX56" s="378"/>
      <c r="WUY56" s="378"/>
      <c r="WUZ56" s="378"/>
      <c r="WVA56" s="378"/>
      <c r="WVB56" s="378"/>
      <c r="WVC56" s="378"/>
      <c r="WVD56" s="378"/>
      <c r="WVE56" s="378"/>
      <c r="WVF56" s="378"/>
      <c r="WVG56" s="378"/>
      <c r="WVH56" s="378"/>
      <c r="WVI56" s="378"/>
      <c r="WVJ56" s="378"/>
      <c r="WVK56" s="378"/>
      <c r="WVL56" s="378"/>
      <c r="WVM56" s="378"/>
      <c r="WVN56" s="378"/>
      <c r="WVO56" s="378"/>
      <c r="WVP56" s="378"/>
      <c r="WVQ56" s="378"/>
      <c r="WVR56" s="378"/>
      <c r="WVS56" s="378"/>
      <c r="WVT56" s="378"/>
      <c r="WVU56" s="378"/>
      <c r="WVV56" s="378"/>
      <c r="WVW56" s="378"/>
      <c r="WVX56" s="378"/>
      <c r="WVY56" s="378"/>
      <c r="WVZ56" s="378"/>
      <c r="WWA56" s="378"/>
      <c r="WWB56" s="378"/>
      <c r="WWC56" s="378"/>
      <c r="WWD56" s="378"/>
      <c r="WWE56" s="378"/>
      <c r="WWF56" s="378"/>
      <c r="WWG56" s="378"/>
      <c r="WWH56" s="378"/>
      <c r="WWI56" s="378"/>
      <c r="WWJ56" s="378"/>
      <c r="WWK56" s="378"/>
      <c r="WWL56" s="378"/>
      <c r="WWM56" s="378"/>
      <c r="WWN56" s="378"/>
      <c r="WWO56" s="378"/>
      <c r="WWP56" s="378"/>
      <c r="WWQ56" s="378"/>
      <c r="WWR56" s="378"/>
      <c r="WWS56" s="378"/>
      <c r="WWT56" s="378"/>
      <c r="WWU56" s="378"/>
      <c r="WWV56" s="378"/>
      <c r="WWW56" s="378"/>
      <c r="WWX56" s="378"/>
      <c r="WWY56" s="378"/>
      <c r="WWZ56" s="378"/>
      <c r="WXA56" s="378"/>
      <c r="WXB56" s="378"/>
      <c r="WXC56" s="378"/>
      <c r="WXD56" s="378"/>
      <c r="WXE56" s="378"/>
      <c r="WXF56" s="378"/>
      <c r="WXG56" s="378"/>
      <c r="WXH56" s="378"/>
      <c r="WXI56" s="378"/>
      <c r="WXJ56" s="378"/>
      <c r="WXK56" s="378"/>
      <c r="WXL56" s="378"/>
      <c r="WXM56" s="378"/>
      <c r="WXN56" s="378"/>
      <c r="WXO56" s="378"/>
      <c r="WXP56" s="378"/>
      <c r="WXQ56" s="378"/>
      <c r="WXR56" s="378"/>
      <c r="WXS56" s="378"/>
      <c r="WXT56" s="378"/>
      <c r="WXU56" s="378"/>
      <c r="WXV56" s="378"/>
      <c r="WXW56" s="378"/>
      <c r="WXX56" s="378"/>
      <c r="WXY56" s="378"/>
      <c r="WXZ56" s="378"/>
      <c r="WYA56" s="378"/>
      <c r="WYB56" s="378"/>
      <c r="WYC56" s="378"/>
      <c r="WYD56" s="378"/>
      <c r="WYE56" s="378"/>
      <c r="WYF56" s="378"/>
      <c r="WYG56" s="378"/>
      <c r="WYH56" s="378"/>
      <c r="WYI56" s="378"/>
      <c r="WYJ56" s="378"/>
      <c r="WYK56" s="378"/>
      <c r="WYL56" s="378"/>
      <c r="WYM56" s="378"/>
      <c r="WYN56" s="378"/>
      <c r="WYO56" s="378"/>
      <c r="WYP56" s="378"/>
      <c r="WYQ56" s="378"/>
      <c r="WYR56" s="378"/>
      <c r="WYS56" s="378"/>
      <c r="WYT56" s="378"/>
      <c r="WYU56" s="378"/>
      <c r="WYV56" s="378"/>
      <c r="WYW56" s="378"/>
      <c r="WYX56" s="378"/>
      <c r="WYY56" s="378"/>
      <c r="WYZ56" s="378"/>
      <c r="WZA56" s="378"/>
      <c r="WZB56" s="378"/>
      <c r="WZC56" s="378"/>
      <c r="WZD56" s="378"/>
      <c r="WZE56" s="378"/>
      <c r="WZF56" s="378"/>
      <c r="WZG56" s="378"/>
      <c r="WZH56" s="378"/>
      <c r="WZI56" s="378"/>
      <c r="WZJ56" s="378"/>
      <c r="WZK56" s="378"/>
      <c r="WZL56" s="378"/>
      <c r="WZM56" s="378"/>
      <c r="WZN56" s="378"/>
      <c r="WZO56" s="378"/>
      <c r="WZP56" s="378"/>
      <c r="WZQ56" s="378"/>
      <c r="WZR56" s="378"/>
      <c r="WZS56" s="378"/>
      <c r="WZT56" s="378"/>
      <c r="WZU56" s="378"/>
      <c r="WZV56" s="378"/>
      <c r="WZW56" s="378"/>
      <c r="WZX56" s="378"/>
      <c r="WZY56" s="378"/>
      <c r="WZZ56" s="378"/>
      <c r="XAA56" s="378"/>
      <c r="XAB56" s="378"/>
      <c r="XAC56" s="378"/>
      <c r="XAD56" s="378"/>
      <c r="XAE56" s="378"/>
      <c r="XAF56" s="378"/>
      <c r="XAG56" s="378"/>
      <c r="XAH56" s="378"/>
      <c r="XAI56" s="378"/>
      <c r="XAJ56" s="378"/>
      <c r="XAK56" s="378"/>
      <c r="XAL56" s="378"/>
      <c r="XAM56" s="378"/>
      <c r="XAN56" s="378"/>
      <c r="XAO56" s="378"/>
      <c r="XAP56" s="378"/>
      <c r="XAQ56" s="378"/>
      <c r="XAR56" s="378"/>
      <c r="XAS56" s="378"/>
      <c r="XAT56" s="378"/>
      <c r="XAU56" s="378"/>
      <c r="XAV56" s="378"/>
      <c r="XAW56" s="378"/>
      <c r="XAX56" s="378"/>
      <c r="XAY56" s="378"/>
      <c r="XAZ56" s="378"/>
      <c r="XBA56" s="378"/>
      <c r="XBB56" s="378"/>
      <c r="XBC56" s="378"/>
      <c r="XBD56" s="378"/>
      <c r="XBE56" s="378"/>
      <c r="XBF56" s="378"/>
      <c r="XBG56" s="378"/>
      <c r="XBH56" s="378"/>
      <c r="XBI56" s="378"/>
      <c r="XBJ56" s="378"/>
      <c r="XBK56" s="378"/>
      <c r="XBL56" s="378"/>
      <c r="XBM56" s="378"/>
      <c r="XBN56" s="378"/>
      <c r="XBO56" s="378"/>
      <c r="XBP56" s="378"/>
      <c r="XBQ56" s="378"/>
      <c r="XBR56" s="378"/>
      <c r="XBS56" s="378"/>
      <c r="XBT56" s="378"/>
      <c r="XBU56" s="378"/>
      <c r="XBV56" s="378"/>
      <c r="XBW56" s="378"/>
      <c r="XBX56" s="378"/>
      <c r="XBY56" s="378"/>
      <c r="XBZ56" s="378"/>
      <c r="XCA56" s="378"/>
      <c r="XCB56" s="378"/>
      <c r="XCC56" s="378"/>
      <c r="XCD56" s="378"/>
      <c r="XCE56" s="378"/>
      <c r="XCF56" s="378"/>
      <c r="XCG56" s="378"/>
      <c r="XCH56" s="378"/>
      <c r="XCI56" s="378"/>
      <c r="XCJ56" s="378"/>
      <c r="XCK56" s="378"/>
      <c r="XCL56" s="378"/>
      <c r="XCM56" s="378"/>
      <c r="XCN56" s="378"/>
      <c r="XCO56" s="378"/>
      <c r="XCP56" s="378"/>
      <c r="XCQ56" s="378"/>
      <c r="XCR56" s="378"/>
      <c r="XCS56" s="378"/>
      <c r="XCT56" s="378"/>
      <c r="XCU56" s="378"/>
      <c r="XCV56" s="378"/>
      <c r="XCW56" s="378"/>
      <c r="XCX56" s="378"/>
      <c r="XCY56" s="378"/>
      <c r="XCZ56" s="378"/>
      <c r="XDA56" s="378"/>
      <c r="XDB56" s="378"/>
      <c r="XDC56" s="378"/>
      <c r="XDD56" s="378"/>
      <c r="XDE56" s="378"/>
      <c r="XDF56" s="378"/>
      <c r="XDG56" s="378"/>
      <c r="XDH56" s="378"/>
      <c r="XDI56" s="378"/>
      <c r="XDJ56" s="378"/>
      <c r="XDK56" s="378"/>
      <c r="XDL56" s="378"/>
      <c r="XDM56" s="378"/>
      <c r="XDN56" s="378"/>
      <c r="XDO56" s="378"/>
      <c r="XDP56" s="378"/>
      <c r="XDQ56" s="378"/>
      <c r="XDR56" s="378"/>
      <c r="XDS56" s="378"/>
      <c r="XDT56" s="378"/>
      <c r="XDU56" s="378"/>
      <c r="XDV56" s="378"/>
      <c r="XDW56" s="378"/>
      <c r="XDX56" s="378"/>
      <c r="XDY56" s="378"/>
      <c r="XDZ56" s="378"/>
      <c r="XEA56" s="378"/>
      <c r="XEB56" s="378"/>
      <c r="XEC56" s="378"/>
      <c r="XED56" s="378"/>
      <c r="XEE56" s="378"/>
      <c r="XEF56" s="378"/>
      <c r="XEG56" s="378"/>
      <c r="XEH56" s="378"/>
      <c r="XEI56" s="378"/>
      <c r="XEJ56" s="378"/>
      <c r="XEK56" s="378"/>
      <c r="XEL56" s="378"/>
      <c r="XEM56" s="378"/>
      <c r="XEN56" s="378"/>
      <c r="XEO56" s="378"/>
      <c r="XEP56" s="378"/>
      <c r="XEQ56" s="378"/>
      <c r="XER56" s="378"/>
      <c r="XES56" s="378"/>
      <c r="XET56" s="378"/>
      <c r="XEU56" s="378"/>
      <c r="XEV56" s="378"/>
      <c r="XEW56" s="378"/>
      <c r="XEX56" s="378"/>
      <c r="XEY56" s="378"/>
      <c r="XEZ56" s="378"/>
      <c r="XFA56" s="378"/>
      <c r="XFB56" s="378"/>
      <c r="XFC56" s="378"/>
    </row>
    <row r="57" spans="1:16383">
      <c r="A57" s="149"/>
      <c r="B57" s="148"/>
      <c r="C57" s="148"/>
      <c r="D57" s="148"/>
      <c r="E57" s="148"/>
      <c r="F57" s="148"/>
      <c r="G57" s="148"/>
      <c r="H57" s="148"/>
      <c r="I57" s="148"/>
      <c r="J57" s="148"/>
      <c r="K57" s="148"/>
      <c r="L57" s="148"/>
      <c r="M57" s="148"/>
      <c r="N57" s="148"/>
      <c r="O57" s="379"/>
      <c r="P57" s="148"/>
      <c r="Q57" s="379"/>
      <c r="R57" s="148"/>
      <c r="S57" s="148"/>
      <c r="T57" s="148"/>
      <c r="U57" s="148"/>
      <c r="V57" s="148"/>
      <c r="W57" s="148"/>
      <c r="X57" s="148"/>
      <c r="Y57" s="148"/>
      <c r="Z57" s="148"/>
      <c r="AA57" s="148"/>
      <c r="AB57" s="148"/>
      <c r="AC57" s="148"/>
      <c r="AD57" s="148"/>
      <c r="AE57" s="148"/>
      <c r="AF57" s="148"/>
      <c r="AG57" s="148"/>
      <c r="AH57" s="148"/>
      <c r="AI57" s="148"/>
      <c r="AJ57" s="148"/>
      <c r="AK57" s="148"/>
      <c r="AL57" s="148"/>
      <c r="AM57" s="148"/>
      <c r="AN57" s="148"/>
      <c r="AO57" s="148"/>
      <c r="AP57" s="148"/>
      <c r="AQ57" s="148"/>
      <c r="AR57" s="148"/>
      <c r="AS57" s="148"/>
      <c r="AT57" s="148"/>
      <c r="AU57" s="148"/>
      <c r="AV57" s="148"/>
      <c r="AW57" s="148"/>
      <c r="AX57" s="148"/>
      <c r="AY57" s="148"/>
      <c r="AZ57" s="148"/>
      <c r="BA57" s="148"/>
      <c r="BB57" s="148"/>
      <c r="BC57" s="148"/>
      <c r="BD57" s="148"/>
      <c r="BE57" s="148"/>
      <c r="BF57" s="148"/>
      <c r="BG57" s="148"/>
      <c r="BH57" s="148"/>
      <c r="BI57" s="148"/>
      <c r="BJ57" s="148"/>
      <c r="BK57" s="148"/>
      <c r="BL57" s="148"/>
      <c r="BM57" s="148"/>
      <c r="BN57" s="148"/>
      <c r="BO57" s="148"/>
      <c r="BP57" s="148"/>
      <c r="BQ57" s="148"/>
      <c r="BR57" s="148"/>
      <c r="BS57" s="148"/>
      <c r="BT57" s="148"/>
      <c r="BU57" s="148"/>
      <c r="BV57" s="148"/>
      <c r="BW57" s="148"/>
      <c r="BX57" s="148"/>
      <c r="BY57" s="148"/>
      <c r="BZ57" s="148"/>
      <c r="CA57" s="148"/>
      <c r="CB57" s="148"/>
      <c r="CC57" s="148"/>
      <c r="CD57" s="148"/>
      <c r="CE57" s="148"/>
      <c r="CF57" s="148"/>
      <c r="CG57" s="148"/>
      <c r="CH57" s="148"/>
      <c r="CI57" s="148"/>
      <c r="CJ57" s="148"/>
      <c r="CK57" s="148"/>
      <c r="CL57" s="148"/>
      <c r="CM57" s="148"/>
      <c r="CN57" s="148"/>
      <c r="CO57" s="148"/>
      <c r="CP57" s="148"/>
      <c r="CQ57" s="148"/>
      <c r="CR57" s="148"/>
      <c r="CS57" s="148"/>
      <c r="CT57" s="148"/>
      <c r="CU57" s="148"/>
      <c r="CV57" s="148"/>
      <c r="CW57" s="148"/>
      <c r="CX57" s="148"/>
      <c r="CY57" s="148"/>
      <c r="CZ57" s="148"/>
      <c r="DA57" s="148"/>
      <c r="DB57" s="148"/>
      <c r="DC57" s="148"/>
      <c r="DD57" s="148"/>
      <c r="DE57" s="148"/>
      <c r="DF57" s="148"/>
      <c r="DG57" s="148"/>
      <c r="DH57" s="148"/>
      <c r="DI57" s="148"/>
      <c r="DJ57" s="148"/>
      <c r="DK57" s="148"/>
      <c r="DL57" s="148"/>
      <c r="DM57" s="148"/>
      <c r="DN57" s="148"/>
      <c r="DO57" s="148"/>
      <c r="DP57" s="148"/>
      <c r="DQ57" s="148"/>
      <c r="DR57" s="148"/>
      <c r="DS57" s="148"/>
      <c r="DT57" s="148"/>
      <c r="DU57" s="148"/>
      <c r="DV57" s="148"/>
      <c r="DW57" s="148"/>
      <c r="DX57" s="148"/>
      <c r="DY57" s="148"/>
      <c r="DZ57" s="148"/>
      <c r="EA57" s="148"/>
      <c r="EB57" s="148"/>
      <c r="EC57" s="148"/>
      <c r="ED57" s="148"/>
      <c r="EE57" s="148"/>
      <c r="EF57" s="148"/>
      <c r="EG57" s="148"/>
      <c r="EH57" s="148"/>
      <c r="EI57" s="148"/>
      <c r="EJ57" s="148"/>
      <c r="EK57" s="148"/>
      <c r="EL57" s="148"/>
      <c r="EM57" s="148"/>
      <c r="EN57" s="148"/>
      <c r="EO57" s="148"/>
      <c r="EP57" s="148"/>
      <c r="EQ57" s="148"/>
      <c r="ER57" s="148"/>
      <c r="ES57" s="148"/>
      <c r="ET57" s="148"/>
      <c r="EU57" s="148"/>
      <c r="EV57" s="148"/>
      <c r="EW57" s="148"/>
      <c r="EX57" s="148"/>
      <c r="EY57" s="148"/>
      <c r="EZ57" s="148"/>
      <c r="FA57" s="148"/>
      <c r="FB57" s="148"/>
      <c r="FC57" s="148"/>
      <c r="FD57" s="148"/>
      <c r="FE57" s="148"/>
      <c r="FF57" s="148"/>
      <c r="FG57" s="148"/>
      <c r="FH57" s="148"/>
      <c r="FI57" s="148"/>
      <c r="FJ57" s="148"/>
      <c r="FK57" s="148"/>
      <c r="FL57" s="148"/>
      <c r="FM57" s="148"/>
      <c r="FN57" s="148"/>
      <c r="FO57" s="148"/>
      <c r="FP57" s="148"/>
      <c r="FQ57" s="148"/>
      <c r="FR57" s="148"/>
      <c r="FS57" s="148"/>
      <c r="FT57" s="148"/>
      <c r="FU57" s="148"/>
      <c r="FV57" s="148"/>
      <c r="FW57" s="148"/>
      <c r="FX57" s="148"/>
      <c r="FY57" s="148"/>
      <c r="FZ57" s="148"/>
      <c r="GA57" s="148"/>
      <c r="GB57" s="148"/>
      <c r="GC57" s="148"/>
      <c r="GD57" s="148"/>
      <c r="GE57" s="148"/>
      <c r="GF57" s="148"/>
      <c r="GG57" s="148"/>
      <c r="GH57" s="148"/>
      <c r="GI57" s="148"/>
      <c r="GJ57" s="148"/>
      <c r="GK57" s="148"/>
      <c r="GL57" s="148"/>
      <c r="GM57" s="148"/>
      <c r="GN57" s="148"/>
      <c r="GO57" s="148"/>
      <c r="GP57" s="148"/>
      <c r="GQ57" s="148"/>
      <c r="GR57" s="148"/>
      <c r="GS57" s="148"/>
      <c r="GT57" s="148"/>
      <c r="GU57" s="148"/>
      <c r="GV57" s="148"/>
      <c r="GW57" s="148"/>
      <c r="GX57" s="148"/>
      <c r="GY57" s="148"/>
      <c r="GZ57" s="148"/>
      <c r="HA57" s="148"/>
      <c r="HB57" s="148"/>
      <c r="HC57" s="148"/>
      <c r="HD57" s="148"/>
      <c r="HE57" s="148"/>
      <c r="HF57" s="148"/>
      <c r="HG57" s="148"/>
      <c r="HH57" s="148"/>
      <c r="HI57" s="148"/>
      <c r="HJ57" s="148"/>
      <c r="HK57" s="148"/>
      <c r="HL57" s="148"/>
      <c r="HM57" s="148"/>
      <c r="HN57" s="148"/>
      <c r="HO57" s="148"/>
      <c r="HP57" s="148"/>
      <c r="HQ57" s="148"/>
      <c r="HR57" s="148"/>
      <c r="HS57" s="148"/>
      <c r="HT57" s="148"/>
      <c r="HU57" s="148"/>
      <c r="HV57" s="148"/>
      <c r="HW57" s="148"/>
      <c r="HX57" s="148"/>
      <c r="HY57" s="148"/>
      <c r="HZ57" s="148"/>
      <c r="IA57" s="148"/>
      <c r="IB57" s="148"/>
      <c r="IC57" s="148"/>
      <c r="ID57" s="148"/>
      <c r="IE57" s="148"/>
      <c r="IF57" s="148"/>
      <c r="IG57" s="148"/>
      <c r="IH57" s="148"/>
      <c r="II57" s="148"/>
      <c r="IJ57" s="148"/>
      <c r="IK57" s="148"/>
      <c r="IL57" s="148"/>
      <c r="IM57" s="148"/>
      <c r="IN57" s="148"/>
      <c r="IO57" s="148"/>
      <c r="IP57" s="148"/>
      <c r="IQ57" s="148"/>
      <c r="IR57" s="148"/>
      <c r="IS57" s="148"/>
      <c r="IT57" s="148"/>
      <c r="IU57" s="148"/>
      <c r="IV57" s="148"/>
      <c r="IW57" s="148"/>
      <c r="IX57" s="148"/>
      <c r="IY57" s="148"/>
      <c r="IZ57" s="148"/>
      <c r="JA57" s="148"/>
      <c r="JB57" s="148"/>
      <c r="JC57" s="148"/>
      <c r="JD57" s="148"/>
      <c r="JE57" s="148"/>
      <c r="JF57" s="148"/>
      <c r="JG57" s="148"/>
      <c r="JH57" s="148"/>
      <c r="JI57" s="148"/>
      <c r="JJ57" s="148"/>
      <c r="JK57" s="148"/>
      <c r="JL57" s="148"/>
      <c r="JM57" s="148"/>
      <c r="JN57" s="148"/>
      <c r="JO57" s="148"/>
      <c r="JP57" s="148"/>
      <c r="JQ57" s="148"/>
      <c r="JR57" s="148"/>
      <c r="JS57" s="148"/>
      <c r="JT57" s="148"/>
      <c r="JU57" s="148"/>
      <c r="JV57" s="148"/>
      <c r="JW57" s="148"/>
      <c r="JX57" s="148"/>
      <c r="JY57" s="148"/>
      <c r="JZ57" s="148"/>
      <c r="KA57" s="148"/>
      <c r="KB57" s="148"/>
      <c r="KC57" s="148"/>
      <c r="KD57" s="148"/>
      <c r="KE57" s="148"/>
      <c r="KF57" s="148"/>
      <c r="KG57" s="148"/>
      <c r="KH57" s="148"/>
      <c r="KI57" s="148"/>
      <c r="KJ57" s="148"/>
      <c r="KK57" s="148"/>
      <c r="KL57" s="148"/>
      <c r="KM57" s="148"/>
      <c r="KN57" s="148"/>
      <c r="KO57" s="148"/>
      <c r="KP57" s="148"/>
      <c r="KQ57" s="148"/>
      <c r="KR57" s="148"/>
      <c r="KS57" s="148"/>
      <c r="KT57" s="148"/>
      <c r="KU57" s="148"/>
      <c r="KV57" s="148"/>
      <c r="KW57" s="148"/>
      <c r="KX57" s="148"/>
      <c r="KY57" s="148"/>
      <c r="KZ57" s="148"/>
      <c r="LA57" s="148"/>
      <c r="LB57" s="148"/>
      <c r="LC57" s="148"/>
      <c r="LD57" s="148"/>
      <c r="LE57" s="148"/>
      <c r="LF57" s="148"/>
      <c r="LG57" s="148"/>
      <c r="LH57" s="148"/>
      <c r="LI57" s="148"/>
      <c r="LJ57" s="148"/>
      <c r="LK57" s="148"/>
      <c r="LL57" s="148"/>
      <c r="LM57" s="148"/>
      <c r="LN57" s="148"/>
      <c r="LO57" s="148"/>
      <c r="LP57" s="148"/>
      <c r="LQ57" s="148"/>
      <c r="LR57" s="148"/>
      <c r="LS57" s="148"/>
      <c r="LT57" s="148"/>
      <c r="LU57" s="148"/>
      <c r="LV57" s="148"/>
      <c r="LW57" s="148"/>
      <c r="LX57" s="148"/>
      <c r="LY57" s="148"/>
      <c r="LZ57" s="148"/>
      <c r="MA57" s="148"/>
      <c r="MB57" s="148"/>
      <c r="MC57" s="148"/>
      <c r="MD57" s="148"/>
      <c r="ME57" s="148"/>
      <c r="MF57" s="148"/>
      <c r="MG57" s="148"/>
      <c r="MH57" s="148"/>
      <c r="MI57" s="148"/>
      <c r="MJ57" s="148"/>
      <c r="MK57" s="148"/>
      <c r="ML57" s="148"/>
      <c r="MM57" s="148"/>
      <c r="MN57" s="148"/>
      <c r="MO57" s="148"/>
      <c r="MP57" s="148"/>
      <c r="MQ57" s="148"/>
      <c r="MR57" s="148"/>
      <c r="MS57" s="148"/>
      <c r="MT57" s="148"/>
      <c r="MU57" s="148"/>
      <c r="MV57" s="148"/>
      <c r="MW57" s="148"/>
      <c r="MX57" s="148"/>
      <c r="MY57" s="148"/>
      <c r="MZ57" s="148"/>
      <c r="NA57" s="148"/>
      <c r="NB57" s="148"/>
      <c r="NC57" s="148"/>
      <c r="ND57" s="148"/>
      <c r="NE57" s="148"/>
      <c r="NF57" s="148"/>
      <c r="NG57" s="148"/>
      <c r="NH57" s="148"/>
      <c r="NI57" s="148"/>
      <c r="NJ57" s="148"/>
      <c r="NK57" s="148"/>
      <c r="NL57" s="148"/>
      <c r="NM57" s="148"/>
      <c r="NN57" s="148"/>
      <c r="NO57" s="148"/>
      <c r="NP57" s="148"/>
      <c r="NQ57" s="148"/>
      <c r="NR57" s="148"/>
      <c r="NS57" s="148"/>
      <c r="NT57" s="148"/>
      <c r="NU57" s="148"/>
      <c r="NV57" s="148"/>
      <c r="NW57" s="148"/>
      <c r="NX57" s="148"/>
      <c r="NY57" s="148"/>
      <c r="NZ57" s="148"/>
      <c r="OA57" s="148"/>
      <c r="OB57" s="148"/>
      <c r="OC57" s="148"/>
      <c r="OD57" s="148"/>
      <c r="OE57" s="148"/>
      <c r="OF57" s="148"/>
      <c r="OG57" s="148"/>
      <c r="OH57" s="148"/>
      <c r="OI57" s="148"/>
      <c r="OJ57" s="148"/>
      <c r="OK57" s="148"/>
      <c r="OL57" s="148"/>
      <c r="OM57" s="148"/>
      <c r="ON57" s="148"/>
      <c r="OO57" s="148"/>
      <c r="OP57" s="148"/>
      <c r="OQ57" s="148"/>
      <c r="OR57" s="148"/>
      <c r="OS57" s="148"/>
      <c r="OT57" s="148"/>
      <c r="OU57" s="148"/>
      <c r="OV57" s="148"/>
      <c r="OW57" s="148"/>
      <c r="OX57" s="148"/>
      <c r="OY57" s="148"/>
      <c r="OZ57" s="148"/>
      <c r="PA57" s="148"/>
      <c r="PB57" s="148"/>
      <c r="PC57" s="148"/>
      <c r="PD57" s="148"/>
      <c r="PE57" s="148"/>
      <c r="PF57" s="148"/>
      <c r="PG57" s="148"/>
      <c r="PH57" s="148"/>
      <c r="PI57" s="148"/>
      <c r="PJ57" s="148"/>
      <c r="PK57" s="148"/>
      <c r="PL57" s="148"/>
      <c r="PM57" s="148"/>
      <c r="PN57" s="148"/>
      <c r="PO57" s="148"/>
      <c r="PP57" s="148"/>
      <c r="PQ57" s="148"/>
      <c r="PR57" s="148"/>
      <c r="PS57" s="148"/>
      <c r="PT57" s="148"/>
      <c r="PU57" s="148"/>
      <c r="PV57" s="148"/>
      <c r="PW57" s="148"/>
      <c r="PX57" s="148"/>
      <c r="PY57" s="148"/>
      <c r="PZ57" s="148"/>
      <c r="QA57" s="148"/>
      <c r="QB57" s="148"/>
      <c r="QC57" s="148"/>
      <c r="QD57" s="148"/>
      <c r="QE57" s="148"/>
      <c r="QF57" s="148"/>
      <c r="QG57" s="148"/>
      <c r="QH57" s="148"/>
      <c r="QI57" s="148"/>
      <c r="QJ57" s="148"/>
      <c r="QK57" s="148"/>
      <c r="QL57" s="148"/>
      <c r="QM57" s="148"/>
      <c r="QN57" s="148"/>
      <c r="QO57" s="148"/>
      <c r="QP57" s="148"/>
      <c r="QQ57" s="148"/>
      <c r="QR57" s="148"/>
      <c r="QS57" s="148"/>
      <c r="QT57" s="148"/>
      <c r="QU57" s="148"/>
      <c r="QV57" s="148"/>
      <c r="QW57" s="148"/>
      <c r="QX57" s="148"/>
      <c r="QY57" s="148"/>
      <c r="QZ57" s="148"/>
      <c r="RA57" s="148"/>
      <c r="RB57" s="148"/>
      <c r="RC57" s="148"/>
      <c r="RD57" s="148"/>
      <c r="RE57" s="148"/>
      <c r="RF57" s="148"/>
      <c r="RG57" s="148"/>
      <c r="RH57" s="148"/>
      <c r="RI57" s="148"/>
      <c r="RJ57" s="148"/>
      <c r="RK57" s="148"/>
      <c r="RL57" s="148"/>
      <c r="RM57" s="148"/>
      <c r="RN57" s="148"/>
      <c r="RO57" s="148"/>
      <c r="RP57" s="148"/>
      <c r="RQ57" s="148"/>
      <c r="RR57" s="148"/>
      <c r="RS57" s="148"/>
      <c r="RT57" s="148"/>
      <c r="RU57" s="148"/>
      <c r="RV57" s="148"/>
      <c r="RW57" s="148"/>
      <c r="RX57" s="148"/>
      <c r="RY57" s="148"/>
      <c r="RZ57" s="148"/>
      <c r="SA57" s="148"/>
      <c r="SB57" s="148"/>
      <c r="SC57" s="148"/>
      <c r="SD57" s="148"/>
      <c r="SE57" s="148"/>
      <c r="SF57" s="148"/>
      <c r="SG57" s="148"/>
      <c r="SH57" s="148"/>
      <c r="SI57" s="148"/>
      <c r="SJ57" s="148"/>
      <c r="SK57" s="148"/>
      <c r="SL57" s="148"/>
      <c r="SM57" s="148"/>
      <c r="SN57" s="148"/>
      <c r="SO57" s="148"/>
      <c r="SP57" s="148"/>
      <c r="SQ57" s="148"/>
      <c r="SR57" s="148"/>
      <c r="SS57" s="148"/>
      <c r="ST57" s="148"/>
      <c r="SU57" s="148"/>
      <c r="SV57" s="148"/>
      <c r="SW57" s="148"/>
      <c r="SX57" s="148"/>
      <c r="SY57" s="148"/>
      <c r="SZ57" s="148"/>
      <c r="TA57" s="148"/>
      <c r="TB57" s="148"/>
      <c r="TC57" s="148"/>
      <c r="TD57" s="148"/>
      <c r="TE57" s="148"/>
      <c r="TF57" s="148"/>
      <c r="TG57" s="148"/>
      <c r="TH57" s="148"/>
      <c r="TI57" s="148"/>
      <c r="TJ57" s="148"/>
      <c r="TK57" s="148"/>
      <c r="TL57" s="148"/>
      <c r="TM57" s="148"/>
      <c r="TN57" s="148"/>
      <c r="TO57" s="148"/>
      <c r="TP57" s="148"/>
      <c r="TQ57" s="148"/>
      <c r="TR57" s="148"/>
      <c r="TS57" s="148"/>
      <c r="TT57" s="148"/>
      <c r="TU57" s="148"/>
      <c r="TV57" s="148"/>
      <c r="TW57" s="148"/>
      <c r="TX57" s="148"/>
      <c r="TY57" s="148"/>
      <c r="TZ57" s="148"/>
      <c r="UA57" s="148"/>
      <c r="UB57" s="148"/>
      <c r="UC57" s="148"/>
      <c r="UD57" s="148"/>
      <c r="UE57" s="148"/>
      <c r="UF57" s="148"/>
      <c r="UG57" s="148"/>
      <c r="UH57" s="148"/>
      <c r="UI57" s="148"/>
      <c r="UJ57" s="148"/>
      <c r="UK57" s="148"/>
      <c r="UL57" s="148"/>
      <c r="UM57" s="148"/>
      <c r="UN57" s="148"/>
      <c r="UO57" s="148"/>
      <c r="UP57" s="148"/>
      <c r="UQ57" s="148"/>
      <c r="UR57" s="148"/>
      <c r="US57" s="148"/>
      <c r="UT57" s="148"/>
      <c r="UU57" s="148"/>
      <c r="UV57" s="148"/>
      <c r="UW57" s="148"/>
      <c r="UX57" s="148"/>
      <c r="UY57" s="148"/>
      <c r="UZ57" s="148"/>
      <c r="VA57" s="148"/>
      <c r="VB57" s="148"/>
      <c r="VC57" s="148"/>
      <c r="VD57" s="148"/>
      <c r="VE57" s="148"/>
      <c r="VF57" s="148"/>
      <c r="VG57" s="148"/>
      <c r="VH57" s="148"/>
      <c r="VI57" s="148"/>
      <c r="VJ57" s="148"/>
      <c r="VK57" s="148"/>
      <c r="VL57" s="148"/>
      <c r="VM57" s="148"/>
      <c r="VN57" s="148"/>
      <c r="VO57" s="148"/>
      <c r="VP57" s="148"/>
      <c r="VQ57" s="148"/>
      <c r="VR57" s="148"/>
      <c r="VS57" s="148"/>
      <c r="VT57" s="148"/>
      <c r="VU57" s="148"/>
      <c r="VV57" s="148"/>
      <c r="VW57" s="148"/>
      <c r="VX57" s="148"/>
      <c r="VY57" s="148"/>
      <c r="VZ57" s="148"/>
      <c r="WA57" s="148"/>
      <c r="WB57" s="148"/>
      <c r="WC57" s="148"/>
      <c r="WD57" s="148"/>
      <c r="WE57" s="148"/>
      <c r="WF57" s="148"/>
      <c r="WG57" s="148"/>
      <c r="WH57" s="148"/>
      <c r="WI57" s="148"/>
      <c r="WJ57" s="148"/>
      <c r="WK57" s="148"/>
      <c r="WL57" s="148"/>
      <c r="WM57" s="148"/>
      <c r="WN57" s="148"/>
      <c r="WO57" s="148"/>
      <c r="WP57" s="148"/>
      <c r="WQ57" s="148"/>
      <c r="WR57" s="148"/>
      <c r="WS57" s="148"/>
      <c r="WT57" s="148"/>
      <c r="WU57" s="148"/>
      <c r="WV57" s="148"/>
      <c r="WW57" s="148"/>
      <c r="WX57" s="148"/>
      <c r="WY57" s="148"/>
      <c r="WZ57" s="148"/>
      <c r="XA57" s="148"/>
      <c r="XB57" s="148"/>
      <c r="XC57" s="148"/>
      <c r="XD57" s="148"/>
      <c r="XE57" s="148"/>
      <c r="XF57" s="148"/>
      <c r="XG57" s="148"/>
      <c r="XH57" s="148"/>
      <c r="XI57" s="148"/>
      <c r="XJ57" s="148"/>
      <c r="XK57" s="148"/>
      <c r="XL57" s="148"/>
      <c r="XM57" s="148"/>
      <c r="XN57" s="148"/>
      <c r="XO57" s="148"/>
      <c r="XP57" s="148"/>
      <c r="XQ57" s="148"/>
      <c r="XR57" s="148"/>
      <c r="XS57" s="148"/>
      <c r="XT57" s="148"/>
      <c r="XU57" s="148"/>
      <c r="XV57" s="148"/>
      <c r="XW57" s="148"/>
      <c r="XX57" s="148"/>
      <c r="XY57" s="148"/>
      <c r="XZ57" s="148"/>
      <c r="YA57" s="148"/>
      <c r="YB57" s="148"/>
      <c r="YC57" s="148"/>
      <c r="YD57" s="148"/>
      <c r="YE57" s="148"/>
      <c r="YF57" s="148"/>
      <c r="YG57" s="148"/>
      <c r="YH57" s="148"/>
      <c r="YI57" s="148"/>
      <c r="YJ57" s="148"/>
      <c r="YK57" s="148"/>
      <c r="YL57" s="148"/>
      <c r="YM57" s="148"/>
      <c r="YN57" s="148"/>
      <c r="YO57" s="148"/>
      <c r="YP57" s="148"/>
      <c r="YQ57" s="148"/>
      <c r="YR57" s="148"/>
      <c r="YS57" s="148"/>
      <c r="YT57" s="148"/>
      <c r="YU57" s="148"/>
      <c r="YV57" s="148"/>
      <c r="YW57" s="148"/>
      <c r="YX57" s="148"/>
      <c r="YY57" s="148"/>
      <c r="YZ57" s="148"/>
      <c r="ZA57" s="148"/>
      <c r="ZB57" s="148"/>
      <c r="ZC57" s="148"/>
      <c r="ZD57" s="148"/>
      <c r="ZE57" s="148"/>
      <c r="ZF57" s="148"/>
      <c r="ZG57" s="148"/>
      <c r="ZH57" s="148"/>
      <c r="ZI57" s="148"/>
      <c r="ZJ57" s="148"/>
      <c r="ZK57" s="148"/>
      <c r="ZL57" s="148"/>
      <c r="ZM57" s="148"/>
      <c r="ZN57" s="148"/>
      <c r="ZO57" s="148"/>
      <c r="ZP57" s="148"/>
      <c r="ZQ57" s="148"/>
      <c r="ZR57" s="148"/>
      <c r="ZS57" s="148"/>
      <c r="ZT57" s="148"/>
      <c r="ZU57" s="148"/>
      <c r="ZV57" s="148"/>
      <c r="ZW57" s="148"/>
      <c r="ZX57" s="148"/>
      <c r="ZY57" s="148"/>
      <c r="ZZ57" s="148"/>
      <c r="AAA57" s="148"/>
      <c r="AAB57" s="148"/>
      <c r="AAC57" s="148"/>
      <c r="AAD57" s="148"/>
      <c r="AAE57" s="148"/>
      <c r="AAF57" s="148"/>
      <c r="AAG57" s="148"/>
      <c r="AAH57" s="148"/>
      <c r="AAI57" s="148"/>
      <c r="AAJ57" s="148"/>
      <c r="AAK57" s="148"/>
      <c r="AAL57" s="148"/>
      <c r="AAM57" s="148"/>
      <c r="AAN57" s="148"/>
      <c r="AAO57" s="148"/>
      <c r="AAP57" s="148"/>
      <c r="AAQ57" s="148"/>
      <c r="AAR57" s="148"/>
      <c r="AAS57" s="148"/>
      <c r="AAT57" s="148"/>
      <c r="AAU57" s="148"/>
      <c r="AAV57" s="148"/>
      <c r="AAW57" s="148"/>
      <c r="AAX57" s="148"/>
      <c r="AAY57" s="148"/>
      <c r="AAZ57" s="148"/>
      <c r="ABA57" s="148"/>
      <c r="ABB57" s="148"/>
      <c r="ABC57" s="148"/>
      <c r="ABD57" s="148"/>
      <c r="ABE57" s="148"/>
      <c r="ABF57" s="148"/>
      <c r="ABG57" s="148"/>
      <c r="ABH57" s="148"/>
      <c r="ABI57" s="148"/>
      <c r="ABJ57" s="148"/>
      <c r="ABK57" s="148"/>
      <c r="ABL57" s="148"/>
      <c r="ABM57" s="148"/>
      <c r="ABN57" s="148"/>
      <c r="ABO57" s="148"/>
      <c r="ABP57" s="148"/>
      <c r="ABQ57" s="148"/>
      <c r="ABR57" s="148"/>
      <c r="ABS57" s="148"/>
      <c r="ABT57" s="148"/>
      <c r="ABU57" s="148"/>
      <c r="ABV57" s="148"/>
      <c r="ABW57" s="148"/>
      <c r="ABX57" s="148"/>
      <c r="ABY57" s="148"/>
      <c r="ABZ57" s="148"/>
      <c r="ACA57" s="148"/>
      <c r="ACB57" s="148"/>
      <c r="ACC57" s="148"/>
      <c r="ACD57" s="148"/>
      <c r="ACE57" s="148"/>
      <c r="ACF57" s="148"/>
      <c r="ACG57" s="148"/>
      <c r="ACH57" s="148"/>
      <c r="ACI57" s="148"/>
      <c r="ACJ57" s="148"/>
      <c r="ACK57" s="148"/>
      <c r="ACL57" s="148"/>
      <c r="ACM57" s="148"/>
      <c r="ACN57" s="148"/>
      <c r="ACO57" s="148"/>
      <c r="ACP57" s="148"/>
      <c r="ACQ57" s="148"/>
      <c r="ACR57" s="148"/>
      <c r="ACS57" s="148"/>
      <c r="ACT57" s="148"/>
      <c r="ACU57" s="148"/>
      <c r="ACV57" s="148"/>
      <c r="ACW57" s="148"/>
      <c r="ACX57" s="148"/>
      <c r="ACY57" s="148"/>
      <c r="ACZ57" s="148"/>
      <c r="ADA57" s="148"/>
      <c r="ADB57" s="148"/>
      <c r="ADC57" s="148"/>
      <c r="ADD57" s="148"/>
      <c r="ADE57" s="148"/>
      <c r="ADF57" s="148"/>
      <c r="ADG57" s="148"/>
      <c r="ADH57" s="148"/>
      <c r="ADI57" s="148"/>
      <c r="ADJ57" s="148"/>
      <c r="ADK57" s="148"/>
      <c r="ADL57" s="148"/>
      <c r="ADM57" s="148"/>
      <c r="ADN57" s="148"/>
      <c r="ADO57" s="148"/>
      <c r="ADP57" s="148"/>
      <c r="ADQ57" s="148"/>
      <c r="ADR57" s="148"/>
      <c r="ADS57" s="148"/>
      <c r="ADT57" s="148"/>
      <c r="ADU57" s="148"/>
      <c r="ADV57" s="148"/>
      <c r="ADW57" s="148"/>
      <c r="ADX57" s="148"/>
      <c r="ADY57" s="148"/>
      <c r="ADZ57" s="148"/>
      <c r="AEA57" s="148"/>
      <c r="AEB57" s="148"/>
      <c r="AEC57" s="148"/>
      <c r="AED57" s="148"/>
      <c r="AEE57" s="148"/>
      <c r="AEF57" s="148"/>
      <c r="AEG57" s="148"/>
      <c r="AEH57" s="148"/>
      <c r="AEI57" s="148"/>
      <c r="AEJ57" s="148"/>
      <c r="AEK57" s="148"/>
      <c r="AEL57" s="148"/>
      <c r="AEM57" s="148"/>
      <c r="AEN57" s="148"/>
      <c r="AEO57" s="148"/>
      <c r="AEP57" s="148"/>
      <c r="AEQ57" s="148"/>
      <c r="AER57" s="148"/>
      <c r="AES57" s="148"/>
      <c r="AET57" s="148"/>
      <c r="AEU57" s="148"/>
      <c r="AEV57" s="148"/>
      <c r="AEW57" s="148"/>
      <c r="AEX57" s="148"/>
      <c r="AEY57" s="148"/>
      <c r="AEZ57" s="148"/>
      <c r="AFA57" s="148"/>
      <c r="AFB57" s="148"/>
      <c r="AFC57" s="148"/>
      <c r="AFD57" s="148"/>
      <c r="AFE57" s="148"/>
      <c r="AFF57" s="148"/>
      <c r="AFG57" s="148"/>
      <c r="AFH57" s="148"/>
      <c r="AFI57" s="148"/>
      <c r="AFJ57" s="148"/>
      <c r="AFK57" s="148"/>
      <c r="AFL57" s="148"/>
      <c r="AFM57" s="148"/>
      <c r="AFN57" s="148"/>
      <c r="AFO57" s="148"/>
      <c r="AFP57" s="148"/>
      <c r="AFQ57" s="148"/>
      <c r="AFR57" s="148"/>
      <c r="AFS57" s="148"/>
      <c r="AFT57" s="148"/>
      <c r="AFU57" s="148"/>
      <c r="AFV57" s="148"/>
      <c r="AFW57" s="148"/>
      <c r="AFX57" s="148"/>
      <c r="AFY57" s="148"/>
      <c r="AFZ57" s="148"/>
      <c r="AGA57" s="148"/>
      <c r="AGB57" s="148"/>
      <c r="AGC57" s="148"/>
      <c r="AGD57" s="148"/>
      <c r="AGE57" s="148"/>
      <c r="AGF57" s="148"/>
      <c r="AGG57" s="148"/>
      <c r="AGH57" s="148"/>
      <c r="AGI57" s="148"/>
      <c r="AGJ57" s="148"/>
      <c r="AGK57" s="148"/>
      <c r="AGL57" s="148"/>
      <c r="AGM57" s="148"/>
      <c r="AGN57" s="148"/>
      <c r="AGO57" s="148"/>
      <c r="AGP57" s="148"/>
      <c r="AGQ57" s="148"/>
      <c r="AGR57" s="148"/>
      <c r="AGS57" s="148"/>
      <c r="AGT57" s="148"/>
      <c r="AGU57" s="148"/>
      <c r="AGV57" s="148"/>
      <c r="AGW57" s="148"/>
      <c r="AGX57" s="148"/>
      <c r="AGY57" s="148"/>
      <c r="AGZ57" s="148"/>
      <c r="AHA57" s="148"/>
      <c r="AHB57" s="148"/>
      <c r="AHC57" s="148"/>
      <c r="AHD57" s="148"/>
      <c r="AHE57" s="148"/>
      <c r="AHF57" s="148"/>
      <c r="AHG57" s="148"/>
      <c r="AHH57" s="148"/>
      <c r="AHI57" s="148"/>
      <c r="AHJ57" s="148"/>
      <c r="AHK57" s="148"/>
      <c r="AHL57" s="148"/>
      <c r="AHM57" s="148"/>
      <c r="AHN57" s="148"/>
      <c r="AHO57" s="148"/>
      <c r="AHP57" s="148"/>
      <c r="AHQ57" s="148"/>
      <c r="AHR57" s="148"/>
      <c r="AHS57" s="148"/>
      <c r="AHT57" s="148"/>
      <c r="AHU57" s="148"/>
      <c r="AHV57" s="148"/>
      <c r="AHW57" s="148"/>
      <c r="AHX57" s="148"/>
      <c r="AHY57" s="148"/>
      <c r="AHZ57" s="148"/>
      <c r="AIA57" s="148"/>
      <c r="AIB57" s="148"/>
      <c r="AIC57" s="148"/>
      <c r="AID57" s="148"/>
      <c r="AIE57" s="148"/>
      <c r="AIF57" s="148"/>
      <c r="AIG57" s="148"/>
      <c r="AIH57" s="148"/>
      <c r="AII57" s="148"/>
      <c r="AIJ57" s="148"/>
      <c r="AIK57" s="148"/>
      <c r="AIL57" s="148"/>
      <c r="AIM57" s="148"/>
      <c r="AIN57" s="148"/>
      <c r="AIO57" s="148"/>
      <c r="AIP57" s="148"/>
      <c r="AIQ57" s="148"/>
      <c r="AIR57" s="148"/>
      <c r="AIS57" s="148"/>
      <c r="AIT57" s="148"/>
      <c r="AIU57" s="148"/>
      <c r="AIV57" s="148"/>
      <c r="AIW57" s="148"/>
      <c r="AIX57" s="148"/>
      <c r="AIY57" s="148"/>
      <c r="AIZ57" s="148"/>
      <c r="AJA57" s="148"/>
      <c r="AJB57" s="148"/>
      <c r="AJC57" s="148"/>
      <c r="AJD57" s="148"/>
      <c r="AJE57" s="148"/>
      <c r="AJF57" s="148"/>
      <c r="AJG57" s="148"/>
      <c r="AJH57" s="148"/>
      <c r="AJI57" s="148"/>
      <c r="AJJ57" s="148"/>
      <c r="AJK57" s="148"/>
      <c r="AJL57" s="148"/>
      <c r="AJM57" s="148"/>
      <c r="AJN57" s="148"/>
      <c r="AJO57" s="148"/>
      <c r="AJP57" s="148"/>
      <c r="AJQ57" s="148"/>
      <c r="AJR57" s="148"/>
      <c r="AJS57" s="148"/>
      <c r="AJT57" s="148"/>
      <c r="AJU57" s="148"/>
      <c r="AJV57" s="148"/>
      <c r="AJW57" s="148"/>
      <c r="AJX57" s="148"/>
      <c r="AJY57" s="148"/>
      <c r="AJZ57" s="148"/>
      <c r="AKA57" s="148"/>
      <c r="AKB57" s="148"/>
      <c r="AKC57" s="148"/>
      <c r="AKD57" s="148"/>
      <c r="AKE57" s="148"/>
      <c r="AKF57" s="148"/>
      <c r="AKG57" s="148"/>
      <c r="AKH57" s="148"/>
      <c r="AKI57" s="148"/>
      <c r="AKJ57" s="148"/>
      <c r="AKK57" s="148"/>
      <c r="AKL57" s="148"/>
      <c r="AKM57" s="148"/>
      <c r="AKN57" s="148"/>
      <c r="AKO57" s="148"/>
      <c r="AKP57" s="148"/>
      <c r="AKQ57" s="148"/>
      <c r="AKR57" s="148"/>
      <c r="AKS57" s="148"/>
      <c r="AKT57" s="148"/>
      <c r="AKU57" s="148"/>
      <c r="AKV57" s="148"/>
      <c r="AKW57" s="148"/>
      <c r="AKX57" s="148"/>
      <c r="AKY57" s="148"/>
      <c r="AKZ57" s="148"/>
      <c r="ALA57" s="148"/>
      <c r="ALB57" s="148"/>
      <c r="ALC57" s="148"/>
      <c r="ALD57" s="148"/>
      <c r="ALE57" s="148"/>
      <c r="ALF57" s="148"/>
      <c r="ALG57" s="148"/>
      <c r="ALH57" s="148"/>
      <c r="ALI57" s="148"/>
      <c r="ALJ57" s="148"/>
      <c r="ALK57" s="148"/>
      <c r="ALL57" s="148"/>
      <c r="ALM57" s="148"/>
      <c r="ALN57" s="148"/>
      <c r="ALO57" s="148"/>
      <c r="ALP57" s="148"/>
      <c r="ALQ57" s="148"/>
      <c r="ALR57" s="148"/>
      <c r="ALS57" s="148"/>
      <c r="ALT57" s="148"/>
      <c r="ALU57" s="148"/>
      <c r="ALV57" s="148"/>
      <c r="ALW57" s="148"/>
      <c r="ALX57" s="148"/>
      <c r="ALY57" s="148"/>
      <c r="ALZ57" s="148"/>
      <c r="AMA57" s="148"/>
      <c r="AMB57" s="148"/>
      <c r="AMC57" s="148"/>
      <c r="AMD57" s="148"/>
      <c r="AME57" s="148"/>
      <c r="AMF57" s="148"/>
      <c r="AMG57" s="148"/>
      <c r="AMH57" s="148"/>
      <c r="AMI57" s="148"/>
      <c r="AMJ57" s="148"/>
      <c r="AMK57" s="148"/>
      <c r="AML57" s="148"/>
      <c r="AMM57" s="148"/>
      <c r="AMN57" s="148"/>
      <c r="AMO57" s="148"/>
      <c r="AMP57" s="148"/>
      <c r="AMQ57" s="148"/>
      <c r="AMR57" s="148"/>
      <c r="AMS57" s="148"/>
      <c r="AMT57" s="148"/>
      <c r="AMU57" s="148"/>
      <c r="AMV57" s="148"/>
      <c r="AMW57" s="148"/>
      <c r="AMX57" s="148"/>
      <c r="AMY57" s="148"/>
      <c r="AMZ57" s="148"/>
      <c r="ANA57" s="148"/>
      <c r="ANB57" s="148"/>
      <c r="ANC57" s="148"/>
      <c r="AND57" s="148"/>
      <c r="ANE57" s="148"/>
      <c r="ANF57" s="148"/>
      <c r="ANG57" s="148"/>
      <c r="ANH57" s="148"/>
      <c r="ANI57" s="148"/>
      <c r="ANJ57" s="148"/>
      <c r="ANK57" s="148"/>
      <c r="ANL57" s="148"/>
      <c r="ANM57" s="148"/>
      <c r="ANN57" s="148"/>
      <c r="ANO57" s="148"/>
      <c r="ANP57" s="148"/>
      <c r="ANQ57" s="148"/>
      <c r="ANR57" s="148"/>
      <c r="ANS57" s="148"/>
      <c r="ANT57" s="148"/>
      <c r="ANU57" s="148"/>
      <c r="ANV57" s="148"/>
      <c r="ANW57" s="148"/>
      <c r="ANX57" s="148"/>
      <c r="ANY57" s="148"/>
      <c r="ANZ57" s="148"/>
      <c r="AOA57" s="148"/>
      <c r="AOB57" s="148"/>
      <c r="AOC57" s="148"/>
      <c r="AOD57" s="148"/>
      <c r="AOE57" s="148"/>
      <c r="AOF57" s="148"/>
      <c r="AOG57" s="148"/>
      <c r="AOH57" s="148"/>
      <c r="AOI57" s="148"/>
      <c r="AOJ57" s="148"/>
      <c r="AOK57" s="148"/>
      <c r="AOL57" s="148"/>
      <c r="AOM57" s="148"/>
      <c r="AON57" s="148"/>
      <c r="AOO57" s="148"/>
      <c r="AOP57" s="148"/>
      <c r="AOQ57" s="148"/>
      <c r="AOR57" s="148"/>
      <c r="AOS57" s="148"/>
      <c r="AOT57" s="148"/>
      <c r="AOU57" s="148"/>
      <c r="AOV57" s="148"/>
      <c r="AOW57" s="148"/>
      <c r="AOX57" s="148"/>
      <c r="AOY57" s="148"/>
      <c r="AOZ57" s="148"/>
      <c r="APA57" s="148"/>
      <c r="APB57" s="148"/>
      <c r="APC57" s="148"/>
      <c r="APD57" s="148"/>
      <c r="APE57" s="148"/>
      <c r="APF57" s="148"/>
      <c r="APG57" s="148"/>
      <c r="APH57" s="148"/>
      <c r="API57" s="148"/>
      <c r="APJ57" s="148"/>
      <c r="APK57" s="148"/>
      <c r="APL57" s="148"/>
      <c r="APM57" s="148"/>
      <c r="APN57" s="148"/>
      <c r="APO57" s="148"/>
      <c r="APP57" s="148"/>
      <c r="APQ57" s="148"/>
      <c r="APR57" s="148"/>
      <c r="APS57" s="148"/>
      <c r="APT57" s="148"/>
      <c r="APU57" s="148"/>
      <c r="APV57" s="148"/>
      <c r="APW57" s="148"/>
      <c r="APX57" s="148"/>
      <c r="APY57" s="148"/>
      <c r="APZ57" s="148"/>
      <c r="AQA57" s="148"/>
      <c r="AQB57" s="148"/>
      <c r="AQC57" s="148"/>
      <c r="AQD57" s="148"/>
      <c r="AQE57" s="148"/>
      <c r="AQF57" s="148"/>
      <c r="AQG57" s="148"/>
      <c r="AQH57" s="148"/>
      <c r="AQI57" s="148"/>
      <c r="AQJ57" s="148"/>
      <c r="AQK57" s="148"/>
      <c r="AQL57" s="148"/>
      <c r="AQM57" s="148"/>
      <c r="AQN57" s="148"/>
      <c r="AQO57" s="148"/>
      <c r="AQP57" s="148"/>
      <c r="AQQ57" s="148"/>
      <c r="AQR57" s="148"/>
      <c r="AQS57" s="148"/>
      <c r="AQT57" s="148"/>
      <c r="AQU57" s="148"/>
      <c r="AQV57" s="148"/>
      <c r="AQW57" s="148"/>
      <c r="AQX57" s="148"/>
      <c r="AQY57" s="148"/>
      <c r="AQZ57" s="148"/>
      <c r="ARA57" s="148"/>
      <c r="ARB57" s="148"/>
      <c r="ARC57" s="148"/>
      <c r="ARD57" s="148"/>
      <c r="ARE57" s="148"/>
      <c r="ARF57" s="148"/>
      <c r="ARG57" s="148"/>
      <c r="ARH57" s="148"/>
      <c r="ARI57" s="148"/>
      <c r="ARJ57" s="148"/>
      <c r="ARK57" s="148"/>
      <c r="ARL57" s="148"/>
      <c r="ARM57" s="148"/>
      <c r="ARN57" s="148"/>
      <c r="ARO57" s="148"/>
      <c r="ARP57" s="148"/>
      <c r="ARQ57" s="148"/>
      <c r="ARR57" s="148"/>
      <c r="ARS57" s="148"/>
      <c r="ART57" s="148"/>
      <c r="ARU57" s="148"/>
      <c r="ARV57" s="148"/>
      <c r="ARW57" s="148"/>
      <c r="ARX57" s="148"/>
      <c r="ARY57" s="148"/>
      <c r="ARZ57" s="148"/>
      <c r="ASA57" s="148"/>
      <c r="ASB57" s="148"/>
      <c r="ASC57" s="148"/>
      <c r="ASD57" s="148"/>
      <c r="ASE57" s="148"/>
      <c r="ASF57" s="148"/>
      <c r="ASG57" s="148"/>
      <c r="ASH57" s="148"/>
      <c r="ASI57" s="148"/>
      <c r="ASJ57" s="148"/>
      <c r="ASK57" s="148"/>
      <c r="ASL57" s="148"/>
      <c r="ASM57" s="148"/>
      <c r="ASN57" s="148"/>
      <c r="ASO57" s="148"/>
      <c r="ASP57" s="148"/>
      <c r="ASQ57" s="148"/>
      <c r="ASR57" s="148"/>
      <c r="ASS57" s="148"/>
      <c r="AST57" s="148"/>
      <c r="ASU57" s="148"/>
      <c r="ASV57" s="148"/>
      <c r="ASW57" s="148"/>
      <c r="ASX57" s="148"/>
      <c r="ASY57" s="148"/>
      <c r="ASZ57" s="148"/>
      <c r="ATA57" s="148"/>
      <c r="ATB57" s="148"/>
      <c r="ATC57" s="148"/>
      <c r="ATD57" s="148"/>
      <c r="ATE57" s="148"/>
      <c r="ATF57" s="148"/>
      <c r="ATG57" s="148"/>
      <c r="ATH57" s="148"/>
      <c r="ATI57" s="148"/>
      <c r="ATJ57" s="148"/>
      <c r="ATK57" s="148"/>
      <c r="ATL57" s="148"/>
      <c r="ATM57" s="148"/>
      <c r="ATN57" s="148"/>
      <c r="ATO57" s="148"/>
      <c r="ATP57" s="148"/>
      <c r="ATQ57" s="148"/>
      <c r="ATR57" s="148"/>
      <c r="ATS57" s="148"/>
      <c r="ATT57" s="148"/>
      <c r="ATU57" s="148"/>
      <c r="ATV57" s="148"/>
      <c r="ATW57" s="148"/>
      <c r="ATX57" s="148"/>
      <c r="ATY57" s="148"/>
      <c r="ATZ57" s="148"/>
      <c r="AUA57" s="148"/>
      <c r="AUB57" s="148"/>
      <c r="AUC57" s="148"/>
      <c r="AUD57" s="148"/>
      <c r="AUE57" s="148"/>
      <c r="AUF57" s="148"/>
      <c r="AUG57" s="148"/>
      <c r="AUH57" s="148"/>
      <c r="AUI57" s="148"/>
      <c r="AUJ57" s="148"/>
      <c r="AUK57" s="148"/>
      <c r="AUL57" s="148"/>
      <c r="AUM57" s="148"/>
      <c r="AUN57" s="148"/>
      <c r="AUO57" s="148"/>
      <c r="AUP57" s="148"/>
      <c r="AUQ57" s="148"/>
      <c r="AUR57" s="148"/>
      <c r="AUS57" s="148"/>
      <c r="AUT57" s="148"/>
      <c r="AUU57" s="148"/>
      <c r="AUV57" s="148"/>
      <c r="AUW57" s="148"/>
      <c r="AUX57" s="148"/>
      <c r="AUY57" s="148"/>
      <c r="AUZ57" s="148"/>
      <c r="AVA57" s="148"/>
      <c r="AVB57" s="148"/>
      <c r="AVC57" s="148"/>
      <c r="AVD57" s="148"/>
      <c r="AVE57" s="148"/>
      <c r="AVF57" s="148"/>
      <c r="AVG57" s="148"/>
      <c r="AVH57" s="148"/>
      <c r="AVI57" s="148"/>
      <c r="AVJ57" s="148"/>
      <c r="AVK57" s="148"/>
      <c r="AVL57" s="148"/>
      <c r="AVM57" s="148"/>
      <c r="AVN57" s="148"/>
      <c r="AVO57" s="148"/>
      <c r="AVP57" s="148"/>
      <c r="AVQ57" s="148"/>
      <c r="AVR57" s="148"/>
      <c r="AVS57" s="148"/>
      <c r="AVT57" s="148"/>
      <c r="AVU57" s="148"/>
      <c r="AVV57" s="148"/>
      <c r="AVW57" s="148"/>
      <c r="AVX57" s="148"/>
      <c r="AVY57" s="148"/>
      <c r="AVZ57" s="148"/>
      <c r="AWA57" s="148"/>
      <c r="AWB57" s="148"/>
      <c r="AWC57" s="148"/>
      <c r="AWD57" s="148"/>
      <c r="AWE57" s="148"/>
      <c r="AWF57" s="148"/>
      <c r="AWG57" s="148"/>
      <c r="AWH57" s="148"/>
      <c r="AWI57" s="148"/>
      <c r="AWJ57" s="148"/>
      <c r="AWK57" s="148"/>
      <c r="AWL57" s="148"/>
      <c r="AWM57" s="148"/>
      <c r="AWN57" s="148"/>
      <c r="AWO57" s="148"/>
      <c r="AWP57" s="148"/>
      <c r="AWQ57" s="148"/>
      <c r="AWR57" s="148"/>
      <c r="AWS57" s="148"/>
      <c r="AWT57" s="148"/>
      <c r="AWU57" s="148"/>
      <c r="AWV57" s="148"/>
      <c r="AWW57" s="148"/>
      <c r="AWX57" s="148"/>
      <c r="AWY57" s="148"/>
      <c r="AWZ57" s="148"/>
      <c r="AXA57" s="148"/>
      <c r="AXB57" s="148"/>
      <c r="AXC57" s="148"/>
      <c r="AXD57" s="148"/>
      <c r="AXE57" s="148"/>
      <c r="AXF57" s="148"/>
      <c r="AXG57" s="148"/>
      <c r="AXH57" s="148"/>
      <c r="AXI57" s="148"/>
      <c r="AXJ57" s="148"/>
      <c r="AXK57" s="148"/>
      <c r="AXL57" s="148"/>
      <c r="AXM57" s="148"/>
      <c r="AXN57" s="148"/>
      <c r="AXO57" s="148"/>
      <c r="AXP57" s="148"/>
      <c r="AXQ57" s="148"/>
      <c r="AXR57" s="148"/>
      <c r="AXS57" s="148"/>
      <c r="AXT57" s="148"/>
      <c r="AXU57" s="148"/>
      <c r="AXV57" s="148"/>
      <c r="AXW57" s="148"/>
      <c r="AXX57" s="148"/>
      <c r="AXY57" s="148"/>
      <c r="AXZ57" s="148"/>
      <c r="AYA57" s="148"/>
      <c r="AYB57" s="148"/>
      <c r="AYC57" s="148"/>
      <c r="AYD57" s="148"/>
      <c r="AYE57" s="148"/>
      <c r="AYF57" s="148"/>
      <c r="AYG57" s="148"/>
      <c r="AYH57" s="148"/>
      <c r="AYI57" s="148"/>
      <c r="AYJ57" s="148"/>
      <c r="AYK57" s="148"/>
      <c r="AYL57" s="148"/>
      <c r="AYM57" s="148"/>
      <c r="AYN57" s="148"/>
      <c r="AYO57" s="148"/>
      <c r="AYP57" s="148"/>
      <c r="AYQ57" s="148"/>
      <c r="AYR57" s="148"/>
      <c r="AYS57" s="148"/>
      <c r="AYT57" s="148"/>
      <c r="AYU57" s="148"/>
      <c r="AYV57" s="148"/>
      <c r="AYW57" s="148"/>
      <c r="AYX57" s="148"/>
      <c r="AYY57" s="148"/>
      <c r="AYZ57" s="148"/>
      <c r="AZA57" s="148"/>
      <c r="AZB57" s="148"/>
      <c r="AZC57" s="148"/>
      <c r="AZD57" s="148"/>
      <c r="AZE57" s="148"/>
      <c r="AZF57" s="148"/>
      <c r="AZG57" s="148"/>
      <c r="AZH57" s="148"/>
      <c r="AZI57" s="148"/>
      <c r="AZJ57" s="148"/>
      <c r="AZK57" s="148"/>
      <c r="AZL57" s="148"/>
      <c r="AZM57" s="148"/>
      <c r="AZN57" s="148"/>
      <c r="AZO57" s="148"/>
      <c r="AZP57" s="148"/>
      <c r="AZQ57" s="148"/>
      <c r="AZR57" s="148"/>
      <c r="AZS57" s="148"/>
      <c r="AZT57" s="148"/>
      <c r="AZU57" s="148"/>
      <c r="AZV57" s="148"/>
      <c r="AZW57" s="148"/>
      <c r="AZX57" s="148"/>
      <c r="AZY57" s="148"/>
      <c r="AZZ57" s="148"/>
      <c r="BAA57" s="148"/>
      <c r="BAB57" s="148"/>
      <c r="BAC57" s="148"/>
      <c r="BAD57" s="148"/>
      <c r="BAE57" s="148"/>
      <c r="BAF57" s="148"/>
      <c r="BAG57" s="148"/>
      <c r="BAH57" s="148"/>
      <c r="BAI57" s="148"/>
      <c r="BAJ57" s="148"/>
      <c r="BAK57" s="148"/>
      <c r="BAL57" s="148"/>
      <c r="BAM57" s="148"/>
      <c r="BAN57" s="148"/>
      <c r="BAO57" s="148"/>
      <c r="BAP57" s="148"/>
      <c r="BAQ57" s="148"/>
      <c r="BAR57" s="148"/>
      <c r="BAS57" s="148"/>
      <c r="BAT57" s="148"/>
      <c r="BAU57" s="148"/>
      <c r="BAV57" s="148"/>
      <c r="BAW57" s="148"/>
      <c r="BAX57" s="148"/>
      <c r="BAY57" s="148"/>
      <c r="BAZ57" s="148"/>
      <c r="BBA57" s="148"/>
      <c r="BBB57" s="148"/>
      <c r="BBC57" s="148"/>
      <c r="BBD57" s="148"/>
      <c r="BBE57" s="148"/>
      <c r="BBF57" s="148"/>
      <c r="BBG57" s="148"/>
      <c r="BBH57" s="148"/>
      <c r="BBI57" s="148"/>
      <c r="BBJ57" s="148"/>
      <c r="BBK57" s="148"/>
      <c r="BBL57" s="148"/>
      <c r="BBM57" s="148"/>
      <c r="BBN57" s="148"/>
      <c r="BBO57" s="148"/>
      <c r="BBP57" s="148"/>
      <c r="BBQ57" s="148"/>
      <c r="BBR57" s="148"/>
      <c r="BBS57" s="148"/>
      <c r="BBT57" s="148"/>
      <c r="BBU57" s="148"/>
      <c r="BBV57" s="148"/>
      <c r="BBW57" s="148"/>
      <c r="BBX57" s="148"/>
      <c r="BBY57" s="148"/>
      <c r="BBZ57" s="148"/>
      <c r="BCA57" s="148"/>
      <c r="BCB57" s="148"/>
      <c r="BCC57" s="148"/>
      <c r="BCD57" s="148"/>
      <c r="BCE57" s="148"/>
      <c r="BCF57" s="148"/>
      <c r="BCG57" s="148"/>
      <c r="BCH57" s="148"/>
      <c r="BCI57" s="148"/>
      <c r="BCJ57" s="148"/>
      <c r="BCK57" s="148"/>
      <c r="BCL57" s="148"/>
      <c r="BCM57" s="148"/>
      <c r="BCN57" s="148"/>
      <c r="BCO57" s="148"/>
      <c r="BCP57" s="148"/>
      <c r="BCQ57" s="148"/>
      <c r="BCR57" s="148"/>
      <c r="BCS57" s="148"/>
      <c r="BCT57" s="148"/>
      <c r="BCU57" s="148"/>
      <c r="BCV57" s="148"/>
      <c r="BCW57" s="148"/>
      <c r="BCX57" s="148"/>
      <c r="BCY57" s="148"/>
      <c r="BCZ57" s="148"/>
      <c r="BDA57" s="148"/>
      <c r="BDB57" s="148"/>
      <c r="BDC57" s="148"/>
      <c r="BDD57" s="148"/>
      <c r="BDE57" s="148"/>
      <c r="BDF57" s="148"/>
      <c r="BDG57" s="148"/>
      <c r="BDH57" s="148"/>
      <c r="BDI57" s="148"/>
      <c r="BDJ57" s="148"/>
      <c r="BDK57" s="148"/>
      <c r="BDL57" s="148"/>
      <c r="BDM57" s="148"/>
      <c r="BDN57" s="148"/>
      <c r="BDO57" s="148"/>
      <c r="BDP57" s="148"/>
      <c r="BDQ57" s="148"/>
      <c r="BDR57" s="148"/>
      <c r="BDS57" s="148"/>
      <c r="BDT57" s="148"/>
      <c r="BDU57" s="148"/>
      <c r="BDV57" s="148"/>
      <c r="BDW57" s="148"/>
      <c r="BDX57" s="148"/>
      <c r="BDY57" s="148"/>
      <c r="BDZ57" s="148"/>
      <c r="BEA57" s="148"/>
      <c r="BEB57" s="148"/>
      <c r="BEC57" s="148"/>
      <c r="BED57" s="148"/>
      <c r="BEE57" s="148"/>
      <c r="BEF57" s="148"/>
      <c r="BEG57" s="148"/>
      <c r="BEH57" s="148"/>
      <c r="BEI57" s="148"/>
      <c r="BEJ57" s="148"/>
      <c r="BEK57" s="148"/>
      <c r="BEL57" s="148"/>
      <c r="BEM57" s="148"/>
      <c r="BEN57" s="148"/>
      <c r="BEO57" s="148"/>
      <c r="BEP57" s="148"/>
      <c r="BEQ57" s="148"/>
      <c r="BER57" s="148"/>
      <c r="BES57" s="148"/>
      <c r="BET57" s="148"/>
      <c r="BEU57" s="148"/>
      <c r="BEV57" s="148"/>
      <c r="BEW57" s="148"/>
      <c r="BEX57" s="148"/>
      <c r="BEY57" s="148"/>
      <c r="BEZ57" s="148"/>
      <c r="BFA57" s="148"/>
      <c r="BFB57" s="148"/>
      <c r="BFC57" s="148"/>
      <c r="BFD57" s="148"/>
      <c r="BFE57" s="148"/>
      <c r="BFF57" s="148"/>
      <c r="BFG57" s="148"/>
      <c r="BFH57" s="148"/>
      <c r="BFI57" s="148"/>
      <c r="BFJ57" s="148"/>
      <c r="BFK57" s="148"/>
      <c r="BFL57" s="148"/>
      <c r="BFM57" s="148"/>
      <c r="BFN57" s="148"/>
      <c r="BFO57" s="148"/>
      <c r="BFP57" s="148"/>
      <c r="BFQ57" s="148"/>
      <c r="BFR57" s="148"/>
      <c r="BFS57" s="148"/>
      <c r="BFT57" s="148"/>
      <c r="BFU57" s="148"/>
      <c r="BFV57" s="148"/>
      <c r="BFW57" s="148"/>
      <c r="BFX57" s="148"/>
      <c r="BFY57" s="148"/>
      <c r="BFZ57" s="148"/>
      <c r="BGA57" s="148"/>
      <c r="BGB57" s="148"/>
      <c r="BGC57" s="148"/>
      <c r="BGD57" s="148"/>
      <c r="BGE57" s="148"/>
      <c r="BGF57" s="148"/>
      <c r="BGG57" s="148"/>
      <c r="BGH57" s="148"/>
      <c r="BGI57" s="148"/>
      <c r="BGJ57" s="148"/>
      <c r="BGK57" s="148"/>
      <c r="BGL57" s="148"/>
      <c r="BGM57" s="148"/>
      <c r="BGN57" s="148"/>
      <c r="BGO57" s="148"/>
      <c r="BGP57" s="148"/>
      <c r="BGQ57" s="148"/>
      <c r="BGR57" s="148"/>
      <c r="BGS57" s="148"/>
      <c r="BGT57" s="148"/>
      <c r="BGU57" s="148"/>
      <c r="BGV57" s="148"/>
      <c r="BGW57" s="148"/>
      <c r="BGX57" s="148"/>
      <c r="BGY57" s="148"/>
      <c r="BGZ57" s="148"/>
      <c r="BHA57" s="148"/>
      <c r="BHB57" s="148"/>
      <c r="BHC57" s="148"/>
      <c r="BHD57" s="148"/>
      <c r="BHE57" s="148"/>
      <c r="BHF57" s="148"/>
      <c r="BHG57" s="148"/>
      <c r="BHH57" s="148"/>
      <c r="BHI57" s="148"/>
      <c r="BHJ57" s="148"/>
      <c r="BHK57" s="148"/>
      <c r="BHL57" s="148"/>
      <c r="BHM57" s="148"/>
      <c r="BHN57" s="148"/>
      <c r="BHO57" s="148"/>
      <c r="BHP57" s="148"/>
      <c r="BHQ57" s="148"/>
      <c r="BHR57" s="148"/>
      <c r="BHS57" s="148"/>
      <c r="BHT57" s="148"/>
      <c r="BHU57" s="148"/>
      <c r="BHV57" s="148"/>
      <c r="BHW57" s="148"/>
      <c r="BHX57" s="148"/>
      <c r="BHY57" s="148"/>
      <c r="BHZ57" s="148"/>
      <c r="BIA57" s="148"/>
      <c r="BIB57" s="148"/>
      <c r="BIC57" s="148"/>
      <c r="BID57" s="148"/>
      <c r="BIE57" s="148"/>
      <c r="BIF57" s="148"/>
      <c r="BIG57" s="148"/>
      <c r="BIH57" s="148"/>
      <c r="BII57" s="148"/>
      <c r="BIJ57" s="148"/>
      <c r="BIK57" s="148"/>
      <c r="BIL57" s="148"/>
      <c r="BIM57" s="148"/>
      <c r="BIN57" s="148"/>
      <c r="BIO57" s="148"/>
      <c r="BIP57" s="148"/>
      <c r="BIQ57" s="148"/>
      <c r="BIR57" s="148"/>
      <c r="BIS57" s="148"/>
      <c r="BIT57" s="148"/>
      <c r="BIU57" s="148"/>
      <c r="BIV57" s="148"/>
      <c r="BIW57" s="148"/>
      <c r="BIX57" s="148"/>
      <c r="BIY57" s="148"/>
      <c r="BIZ57" s="148"/>
      <c r="BJA57" s="148"/>
      <c r="BJB57" s="148"/>
      <c r="BJC57" s="148"/>
      <c r="BJD57" s="148"/>
      <c r="BJE57" s="148"/>
      <c r="BJF57" s="148"/>
      <c r="BJG57" s="148"/>
      <c r="BJH57" s="148"/>
      <c r="BJI57" s="148"/>
      <c r="BJJ57" s="148"/>
      <c r="BJK57" s="148"/>
      <c r="BJL57" s="148"/>
      <c r="BJM57" s="148"/>
      <c r="BJN57" s="148"/>
      <c r="BJO57" s="148"/>
      <c r="BJP57" s="148"/>
      <c r="BJQ57" s="148"/>
      <c r="BJR57" s="148"/>
      <c r="BJS57" s="148"/>
      <c r="BJT57" s="148"/>
      <c r="BJU57" s="148"/>
      <c r="BJV57" s="148"/>
      <c r="BJW57" s="148"/>
      <c r="BJX57" s="148"/>
      <c r="BJY57" s="148"/>
      <c r="BJZ57" s="148"/>
      <c r="BKA57" s="148"/>
      <c r="BKB57" s="148"/>
      <c r="BKC57" s="148"/>
      <c r="BKD57" s="148"/>
      <c r="BKE57" s="148"/>
      <c r="BKF57" s="148"/>
      <c r="BKG57" s="148"/>
      <c r="BKH57" s="148"/>
      <c r="BKI57" s="148"/>
      <c r="BKJ57" s="148"/>
      <c r="BKK57" s="148"/>
      <c r="BKL57" s="148"/>
      <c r="BKM57" s="148"/>
      <c r="BKN57" s="148"/>
      <c r="BKO57" s="148"/>
      <c r="BKP57" s="148"/>
      <c r="BKQ57" s="148"/>
      <c r="BKR57" s="148"/>
      <c r="BKS57" s="148"/>
      <c r="BKT57" s="148"/>
      <c r="BKU57" s="148"/>
      <c r="BKV57" s="148"/>
      <c r="BKW57" s="148"/>
      <c r="BKX57" s="148"/>
      <c r="BKY57" s="148"/>
      <c r="BKZ57" s="148"/>
      <c r="BLA57" s="148"/>
      <c r="BLB57" s="148"/>
      <c r="BLC57" s="148"/>
      <c r="BLD57" s="148"/>
      <c r="BLE57" s="148"/>
      <c r="BLF57" s="148"/>
      <c r="BLG57" s="148"/>
      <c r="BLH57" s="148"/>
      <c r="BLI57" s="148"/>
      <c r="BLJ57" s="148"/>
      <c r="BLK57" s="148"/>
      <c r="BLL57" s="148"/>
      <c r="BLM57" s="148"/>
      <c r="BLN57" s="148"/>
      <c r="BLO57" s="148"/>
      <c r="BLP57" s="148"/>
      <c r="BLQ57" s="148"/>
      <c r="BLR57" s="148"/>
      <c r="BLS57" s="148"/>
      <c r="BLT57" s="148"/>
      <c r="BLU57" s="148"/>
      <c r="BLV57" s="148"/>
      <c r="BLW57" s="148"/>
      <c r="BLX57" s="148"/>
      <c r="BLY57" s="148"/>
      <c r="BLZ57" s="148"/>
      <c r="BMA57" s="148"/>
      <c r="BMB57" s="148"/>
      <c r="BMC57" s="148"/>
      <c r="BMD57" s="148"/>
      <c r="BME57" s="148"/>
      <c r="BMF57" s="148"/>
      <c r="BMG57" s="148"/>
      <c r="BMH57" s="148"/>
      <c r="BMI57" s="148"/>
      <c r="BMJ57" s="148"/>
      <c r="BMK57" s="148"/>
      <c r="BML57" s="148"/>
      <c r="BMM57" s="148"/>
      <c r="BMN57" s="148"/>
      <c r="BMO57" s="148"/>
      <c r="BMP57" s="148"/>
      <c r="BMQ57" s="148"/>
      <c r="BMR57" s="148"/>
      <c r="BMS57" s="148"/>
      <c r="BMT57" s="148"/>
      <c r="BMU57" s="148"/>
      <c r="BMV57" s="148"/>
      <c r="BMW57" s="148"/>
      <c r="BMX57" s="148"/>
      <c r="BMY57" s="148"/>
      <c r="BMZ57" s="148"/>
      <c r="BNA57" s="148"/>
      <c r="BNB57" s="148"/>
      <c r="BNC57" s="148"/>
      <c r="BND57" s="148"/>
      <c r="BNE57" s="148"/>
      <c r="BNF57" s="148"/>
      <c r="BNG57" s="148"/>
      <c r="BNH57" s="148"/>
      <c r="BNI57" s="148"/>
      <c r="BNJ57" s="148"/>
      <c r="BNK57" s="148"/>
      <c r="BNL57" s="148"/>
      <c r="BNM57" s="148"/>
      <c r="BNN57" s="148"/>
      <c r="BNO57" s="148"/>
      <c r="BNP57" s="148"/>
      <c r="BNQ57" s="148"/>
      <c r="BNR57" s="148"/>
      <c r="BNS57" s="148"/>
      <c r="BNT57" s="148"/>
      <c r="BNU57" s="148"/>
      <c r="BNV57" s="148"/>
      <c r="BNW57" s="148"/>
      <c r="BNX57" s="148"/>
      <c r="BNY57" s="148"/>
      <c r="BNZ57" s="148"/>
      <c r="BOA57" s="148"/>
      <c r="BOB57" s="148"/>
      <c r="BOC57" s="148"/>
      <c r="BOD57" s="148"/>
      <c r="BOE57" s="148"/>
      <c r="BOF57" s="148"/>
      <c r="BOG57" s="148"/>
      <c r="BOH57" s="148"/>
      <c r="BOI57" s="148"/>
      <c r="BOJ57" s="148"/>
      <c r="BOK57" s="148"/>
      <c r="BOL57" s="148"/>
      <c r="BOM57" s="148"/>
      <c r="BON57" s="148"/>
      <c r="BOO57" s="148"/>
      <c r="BOP57" s="148"/>
      <c r="BOQ57" s="148"/>
      <c r="BOR57" s="148"/>
      <c r="BOS57" s="148"/>
      <c r="BOT57" s="148"/>
      <c r="BOU57" s="148"/>
      <c r="BOV57" s="148"/>
      <c r="BOW57" s="148"/>
      <c r="BOX57" s="148"/>
      <c r="BOY57" s="148"/>
      <c r="BOZ57" s="148"/>
      <c r="BPA57" s="148"/>
      <c r="BPB57" s="148"/>
      <c r="BPC57" s="148"/>
      <c r="BPD57" s="148"/>
      <c r="BPE57" s="148"/>
      <c r="BPF57" s="148"/>
      <c r="BPG57" s="148"/>
      <c r="BPH57" s="148"/>
      <c r="BPI57" s="148"/>
      <c r="BPJ57" s="148"/>
      <c r="BPK57" s="148"/>
      <c r="BPL57" s="148"/>
      <c r="BPM57" s="148"/>
      <c r="BPN57" s="148"/>
      <c r="BPO57" s="148"/>
      <c r="BPP57" s="148"/>
      <c r="BPQ57" s="148"/>
      <c r="BPR57" s="148"/>
      <c r="BPS57" s="148"/>
      <c r="BPT57" s="148"/>
      <c r="BPU57" s="148"/>
      <c r="BPV57" s="148"/>
      <c r="BPW57" s="148"/>
      <c r="BPX57" s="148"/>
      <c r="BPY57" s="148"/>
      <c r="BPZ57" s="148"/>
      <c r="BQA57" s="148"/>
      <c r="BQB57" s="148"/>
      <c r="BQC57" s="148"/>
      <c r="BQD57" s="148"/>
      <c r="BQE57" s="148"/>
      <c r="BQF57" s="148"/>
      <c r="BQG57" s="148"/>
      <c r="BQH57" s="148"/>
      <c r="BQI57" s="148"/>
      <c r="BQJ57" s="148"/>
      <c r="BQK57" s="148"/>
      <c r="BQL57" s="148"/>
      <c r="BQM57" s="148"/>
      <c r="BQN57" s="148"/>
      <c r="BQO57" s="148"/>
      <c r="BQP57" s="148"/>
      <c r="BQQ57" s="148"/>
      <c r="BQR57" s="148"/>
      <c r="BQS57" s="148"/>
      <c r="BQT57" s="148"/>
      <c r="BQU57" s="148"/>
      <c r="BQV57" s="148"/>
      <c r="BQW57" s="148"/>
      <c r="BQX57" s="148"/>
      <c r="BQY57" s="148"/>
      <c r="BQZ57" s="148"/>
      <c r="BRA57" s="148"/>
      <c r="BRB57" s="148"/>
      <c r="BRC57" s="148"/>
      <c r="BRD57" s="148"/>
      <c r="BRE57" s="148"/>
      <c r="BRF57" s="148"/>
      <c r="BRG57" s="148"/>
      <c r="BRH57" s="148"/>
      <c r="BRI57" s="148"/>
      <c r="BRJ57" s="148"/>
      <c r="BRK57" s="148"/>
      <c r="BRL57" s="148"/>
      <c r="BRM57" s="148"/>
      <c r="BRN57" s="148"/>
      <c r="BRO57" s="148"/>
      <c r="BRP57" s="148"/>
      <c r="BRQ57" s="148"/>
      <c r="BRR57" s="148"/>
      <c r="BRS57" s="148"/>
      <c r="BRT57" s="148"/>
      <c r="BRU57" s="148"/>
      <c r="BRV57" s="148"/>
      <c r="BRW57" s="148"/>
      <c r="BRX57" s="148"/>
      <c r="BRY57" s="148"/>
      <c r="BRZ57" s="148"/>
      <c r="BSA57" s="148"/>
      <c r="BSB57" s="148"/>
      <c r="BSC57" s="148"/>
      <c r="BSD57" s="148"/>
      <c r="BSE57" s="148"/>
      <c r="BSF57" s="148"/>
      <c r="BSG57" s="148"/>
      <c r="BSH57" s="148"/>
      <c r="BSI57" s="148"/>
      <c r="BSJ57" s="148"/>
      <c r="BSK57" s="148"/>
      <c r="BSL57" s="148"/>
      <c r="BSM57" s="148"/>
      <c r="BSN57" s="148"/>
      <c r="BSO57" s="148"/>
      <c r="BSP57" s="148"/>
      <c r="BSQ57" s="148"/>
      <c r="BSR57" s="148"/>
      <c r="BSS57" s="148"/>
      <c r="BST57" s="148"/>
      <c r="BSU57" s="148"/>
      <c r="BSV57" s="148"/>
      <c r="BSW57" s="148"/>
      <c r="BSX57" s="148"/>
      <c r="BSY57" s="148"/>
      <c r="BSZ57" s="148"/>
      <c r="BTA57" s="148"/>
      <c r="BTB57" s="148"/>
      <c r="BTC57" s="148"/>
      <c r="BTD57" s="148"/>
      <c r="BTE57" s="148"/>
      <c r="BTF57" s="148"/>
      <c r="BTG57" s="148"/>
      <c r="BTH57" s="148"/>
      <c r="BTI57" s="148"/>
      <c r="BTJ57" s="148"/>
      <c r="BTK57" s="148"/>
      <c r="BTL57" s="148"/>
      <c r="BTM57" s="148"/>
      <c r="BTN57" s="148"/>
      <c r="BTO57" s="148"/>
      <c r="BTP57" s="148"/>
      <c r="BTQ57" s="148"/>
      <c r="BTR57" s="148"/>
      <c r="BTS57" s="148"/>
      <c r="BTT57" s="148"/>
      <c r="BTU57" s="148"/>
      <c r="BTV57" s="148"/>
      <c r="BTW57" s="148"/>
      <c r="BTX57" s="148"/>
      <c r="BTY57" s="148"/>
      <c r="BTZ57" s="148"/>
      <c r="BUA57" s="148"/>
      <c r="BUB57" s="148"/>
      <c r="BUC57" s="148"/>
      <c r="BUD57" s="148"/>
      <c r="BUE57" s="148"/>
      <c r="BUF57" s="148"/>
      <c r="BUG57" s="148"/>
      <c r="BUH57" s="148"/>
      <c r="BUI57" s="148"/>
      <c r="BUJ57" s="148"/>
      <c r="BUK57" s="148"/>
      <c r="BUL57" s="148"/>
      <c r="BUM57" s="148"/>
      <c r="BUN57" s="148"/>
      <c r="BUO57" s="148"/>
      <c r="BUP57" s="148"/>
      <c r="BUQ57" s="148"/>
      <c r="BUR57" s="148"/>
      <c r="BUS57" s="148"/>
      <c r="BUT57" s="148"/>
      <c r="BUU57" s="148"/>
      <c r="BUV57" s="148"/>
      <c r="BUW57" s="148"/>
      <c r="BUX57" s="148"/>
      <c r="BUY57" s="148"/>
      <c r="BUZ57" s="148"/>
      <c r="BVA57" s="148"/>
      <c r="BVB57" s="148"/>
      <c r="BVC57" s="148"/>
      <c r="BVD57" s="148"/>
      <c r="BVE57" s="148"/>
      <c r="BVF57" s="148"/>
      <c r="BVG57" s="148"/>
      <c r="BVH57" s="148"/>
      <c r="BVI57" s="148"/>
      <c r="BVJ57" s="148"/>
      <c r="BVK57" s="148"/>
      <c r="BVL57" s="148"/>
      <c r="BVM57" s="148"/>
      <c r="BVN57" s="148"/>
      <c r="BVO57" s="148"/>
      <c r="BVP57" s="148"/>
      <c r="BVQ57" s="148"/>
      <c r="BVR57" s="148"/>
      <c r="BVS57" s="148"/>
      <c r="BVT57" s="148"/>
      <c r="BVU57" s="148"/>
      <c r="BVV57" s="148"/>
      <c r="BVW57" s="148"/>
      <c r="BVX57" s="148"/>
      <c r="BVY57" s="148"/>
      <c r="BVZ57" s="148"/>
      <c r="BWA57" s="148"/>
      <c r="BWB57" s="148"/>
      <c r="BWC57" s="148"/>
      <c r="BWD57" s="148"/>
      <c r="BWE57" s="148"/>
      <c r="BWF57" s="148"/>
      <c r="BWG57" s="148"/>
      <c r="BWH57" s="148"/>
      <c r="BWI57" s="148"/>
      <c r="BWJ57" s="148"/>
      <c r="BWK57" s="148"/>
      <c r="BWL57" s="148"/>
      <c r="BWM57" s="148"/>
      <c r="BWN57" s="148"/>
      <c r="BWO57" s="148"/>
      <c r="BWP57" s="148"/>
      <c r="BWQ57" s="148"/>
      <c r="BWR57" s="148"/>
      <c r="BWS57" s="148"/>
      <c r="BWT57" s="148"/>
      <c r="BWU57" s="148"/>
      <c r="BWV57" s="148"/>
      <c r="BWW57" s="148"/>
      <c r="BWX57" s="148"/>
      <c r="BWY57" s="148"/>
      <c r="BWZ57" s="148"/>
      <c r="BXA57" s="148"/>
      <c r="BXB57" s="148"/>
      <c r="BXC57" s="148"/>
      <c r="BXD57" s="148"/>
      <c r="BXE57" s="148"/>
      <c r="BXF57" s="148"/>
      <c r="BXG57" s="148"/>
      <c r="BXH57" s="148"/>
      <c r="BXI57" s="148"/>
      <c r="BXJ57" s="148"/>
      <c r="BXK57" s="148"/>
      <c r="BXL57" s="148"/>
      <c r="BXM57" s="148"/>
      <c r="BXN57" s="148"/>
      <c r="BXO57" s="148"/>
      <c r="BXP57" s="148"/>
      <c r="BXQ57" s="148"/>
      <c r="BXR57" s="148"/>
      <c r="BXS57" s="148"/>
      <c r="BXT57" s="148"/>
      <c r="BXU57" s="148"/>
      <c r="BXV57" s="148"/>
      <c r="BXW57" s="148"/>
      <c r="BXX57" s="148"/>
      <c r="BXY57" s="148"/>
      <c r="BXZ57" s="148"/>
      <c r="BYA57" s="148"/>
      <c r="BYB57" s="148"/>
      <c r="BYC57" s="148"/>
      <c r="BYD57" s="148"/>
      <c r="BYE57" s="148"/>
      <c r="BYF57" s="148"/>
      <c r="BYG57" s="148"/>
      <c r="BYH57" s="148"/>
      <c r="BYI57" s="148"/>
      <c r="BYJ57" s="148"/>
      <c r="BYK57" s="148"/>
      <c r="BYL57" s="148"/>
      <c r="BYM57" s="148"/>
      <c r="BYN57" s="148"/>
      <c r="BYO57" s="148"/>
      <c r="BYP57" s="148"/>
      <c r="BYQ57" s="148"/>
      <c r="BYR57" s="148"/>
      <c r="BYS57" s="148"/>
      <c r="BYT57" s="148"/>
      <c r="BYU57" s="148"/>
      <c r="BYV57" s="148"/>
      <c r="BYW57" s="148"/>
      <c r="BYX57" s="148"/>
      <c r="BYY57" s="148"/>
      <c r="BYZ57" s="148"/>
      <c r="BZA57" s="148"/>
      <c r="BZB57" s="148"/>
      <c r="BZC57" s="148"/>
      <c r="BZD57" s="148"/>
      <c r="BZE57" s="148"/>
      <c r="BZF57" s="148"/>
      <c r="BZG57" s="148"/>
      <c r="BZH57" s="148"/>
      <c r="BZI57" s="148"/>
      <c r="BZJ57" s="148"/>
      <c r="BZK57" s="148"/>
      <c r="BZL57" s="148"/>
      <c r="BZM57" s="148"/>
      <c r="BZN57" s="148"/>
      <c r="BZO57" s="148"/>
      <c r="BZP57" s="148"/>
      <c r="BZQ57" s="148"/>
      <c r="BZR57" s="148"/>
      <c r="BZS57" s="148"/>
      <c r="BZT57" s="148"/>
      <c r="BZU57" s="148"/>
      <c r="BZV57" s="148"/>
      <c r="BZW57" s="148"/>
      <c r="BZX57" s="148"/>
      <c r="BZY57" s="148"/>
      <c r="BZZ57" s="148"/>
      <c r="CAA57" s="148"/>
      <c r="CAB57" s="148"/>
      <c r="CAC57" s="148"/>
      <c r="CAD57" s="148"/>
      <c r="CAE57" s="148"/>
      <c r="CAF57" s="148"/>
      <c r="CAG57" s="148"/>
      <c r="CAH57" s="148"/>
      <c r="CAI57" s="148"/>
      <c r="CAJ57" s="148"/>
      <c r="CAK57" s="148"/>
      <c r="CAL57" s="148"/>
      <c r="CAM57" s="148"/>
      <c r="CAN57" s="148"/>
      <c r="CAO57" s="148"/>
      <c r="CAP57" s="148"/>
      <c r="CAQ57" s="148"/>
      <c r="CAR57" s="148"/>
      <c r="CAS57" s="148"/>
      <c r="CAT57" s="148"/>
      <c r="CAU57" s="148"/>
      <c r="CAV57" s="148"/>
      <c r="CAW57" s="148"/>
      <c r="CAX57" s="148"/>
      <c r="CAY57" s="148"/>
      <c r="CAZ57" s="148"/>
      <c r="CBA57" s="148"/>
      <c r="CBB57" s="148"/>
      <c r="CBC57" s="148"/>
      <c r="CBD57" s="148"/>
      <c r="CBE57" s="148"/>
      <c r="CBF57" s="148"/>
      <c r="CBG57" s="148"/>
      <c r="CBH57" s="148"/>
      <c r="CBI57" s="148"/>
      <c r="CBJ57" s="148"/>
      <c r="CBK57" s="148"/>
      <c r="CBL57" s="148"/>
      <c r="CBM57" s="148"/>
      <c r="CBN57" s="148"/>
      <c r="CBO57" s="148"/>
      <c r="CBP57" s="148"/>
      <c r="CBQ57" s="148"/>
      <c r="CBR57" s="148"/>
      <c r="CBS57" s="148"/>
      <c r="CBT57" s="148"/>
      <c r="CBU57" s="148"/>
      <c r="CBV57" s="148"/>
      <c r="CBW57" s="148"/>
      <c r="CBX57" s="148"/>
      <c r="CBY57" s="148"/>
      <c r="CBZ57" s="148"/>
      <c r="CCA57" s="148"/>
      <c r="CCB57" s="148"/>
      <c r="CCC57" s="148"/>
      <c r="CCD57" s="148"/>
      <c r="CCE57" s="148"/>
      <c r="CCF57" s="148"/>
      <c r="CCG57" s="148"/>
      <c r="CCH57" s="148"/>
      <c r="CCI57" s="148"/>
      <c r="CCJ57" s="148"/>
      <c r="CCK57" s="148"/>
      <c r="CCL57" s="148"/>
      <c r="CCM57" s="148"/>
      <c r="CCN57" s="148"/>
      <c r="CCO57" s="148"/>
      <c r="CCP57" s="148"/>
      <c r="CCQ57" s="148"/>
      <c r="CCR57" s="148"/>
      <c r="CCS57" s="148"/>
      <c r="CCT57" s="148"/>
      <c r="CCU57" s="148"/>
      <c r="CCV57" s="148"/>
      <c r="CCW57" s="148"/>
      <c r="CCX57" s="148"/>
      <c r="CCY57" s="148"/>
      <c r="CCZ57" s="148"/>
      <c r="CDA57" s="148"/>
      <c r="CDB57" s="148"/>
      <c r="CDC57" s="148"/>
      <c r="CDD57" s="148"/>
      <c r="CDE57" s="148"/>
      <c r="CDF57" s="148"/>
      <c r="CDG57" s="148"/>
      <c r="CDH57" s="148"/>
      <c r="CDI57" s="148"/>
      <c r="CDJ57" s="148"/>
      <c r="CDK57" s="148"/>
      <c r="CDL57" s="148"/>
      <c r="CDM57" s="148"/>
      <c r="CDN57" s="148"/>
      <c r="CDO57" s="148"/>
      <c r="CDP57" s="148"/>
      <c r="CDQ57" s="148"/>
      <c r="CDR57" s="148"/>
      <c r="CDS57" s="148"/>
      <c r="CDT57" s="148"/>
      <c r="CDU57" s="148"/>
      <c r="CDV57" s="148"/>
      <c r="CDW57" s="148"/>
      <c r="CDX57" s="148"/>
      <c r="CDY57" s="148"/>
      <c r="CDZ57" s="148"/>
      <c r="CEA57" s="148"/>
      <c r="CEB57" s="148"/>
      <c r="CEC57" s="148"/>
      <c r="CED57" s="148"/>
      <c r="CEE57" s="148"/>
      <c r="CEF57" s="148"/>
      <c r="CEG57" s="148"/>
      <c r="CEH57" s="148"/>
      <c r="CEI57" s="148"/>
      <c r="CEJ57" s="148"/>
      <c r="CEK57" s="148"/>
      <c r="CEL57" s="148"/>
      <c r="CEM57" s="148"/>
      <c r="CEN57" s="148"/>
      <c r="CEO57" s="148"/>
      <c r="CEP57" s="148"/>
      <c r="CEQ57" s="148"/>
      <c r="CER57" s="148"/>
      <c r="CES57" s="148"/>
      <c r="CET57" s="148"/>
      <c r="CEU57" s="148"/>
      <c r="CEV57" s="148"/>
      <c r="CEW57" s="148"/>
      <c r="CEX57" s="148"/>
      <c r="CEY57" s="148"/>
      <c r="CEZ57" s="148"/>
      <c r="CFA57" s="148"/>
      <c r="CFB57" s="148"/>
      <c r="CFC57" s="148"/>
      <c r="CFD57" s="148"/>
      <c r="CFE57" s="148"/>
      <c r="CFF57" s="148"/>
      <c r="CFG57" s="148"/>
      <c r="CFH57" s="148"/>
      <c r="CFI57" s="148"/>
      <c r="CFJ57" s="148"/>
      <c r="CFK57" s="148"/>
      <c r="CFL57" s="148"/>
      <c r="CFM57" s="148"/>
      <c r="CFN57" s="148"/>
      <c r="CFO57" s="148"/>
      <c r="CFP57" s="148"/>
      <c r="CFQ57" s="148"/>
      <c r="CFR57" s="148"/>
      <c r="CFS57" s="148"/>
      <c r="CFT57" s="148"/>
      <c r="CFU57" s="148"/>
      <c r="CFV57" s="148"/>
      <c r="CFW57" s="148"/>
      <c r="CFX57" s="148"/>
      <c r="CFY57" s="148"/>
      <c r="CFZ57" s="148"/>
      <c r="CGA57" s="148"/>
      <c r="CGB57" s="148"/>
      <c r="CGC57" s="148"/>
      <c r="CGD57" s="148"/>
      <c r="CGE57" s="148"/>
      <c r="CGF57" s="148"/>
      <c r="CGG57" s="148"/>
      <c r="CGH57" s="148"/>
      <c r="CGI57" s="148"/>
      <c r="CGJ57" s="148"/>
      <c r="CGK57" s="148"/>
      <c r="CGL57" s="148"/>
      <c r="CGM57" s="148"/>
      <c r="CGN57" s="148"/>
      <c r="CGO57" s="148"/>
      <c r="CGP57" s="148"/>
      <c r="CGQ57" s="148"/>
      <c r="CGR57" s="148"/>
      <c r="CGS57" s="148"/>
      <c r="CGT57" s="148"/>
      <c r="CGU57" s="148"/>
      <c r="CGV57" s="148"/>
      <c r="CGW57" s="148"/>
      <c r="CGX57" s="148"/>
      <c r="CGY57" s="148"/>
      <c r="CGZ57" s="148"/>
      <c r="CHA57" s="148"/>
      <c r="CHB57" s="148"/>
      <c r="CHC57" s="148"/>
      <c r="CHD57" s="148"/>
      <c r="CHE57" s="148"/>
      <c r="CHF57" s="148"/>
      <c r="CHG57" s="148"/>
      <c r="CHH57" s="148"/>
      <c r="CHI57" s="148"/>
      <c r="CHJ57" s="148"/>
      <c r="CHK57" s="148"/>
      <c r="CHL57" s="148"/>
      <c r="CHM57" s="148"/>
      <c r="CHN57" s="148"/>
      <c r="CHO57" s="148"/>
      <c r="CHP57" s="148"/>
      <c r="CHQ57" s="148"/>
      <c r="CHR57" s="148"/>
      <c r="CHS57" s="148"/>
      <c r="CHT57" s="148"/>
      <c r="CHU57" s="148"/>
      <c r="CHV57" s="148"/>
      <c r="CHW57" s="148"/>
      <c r="CHX57" s="148"/>
      <c r="CHY57" s="148"/>
      <c r="CHZ57" s="148"/>
      <c r="CIA57" s="148"/>
      <c r="CIB57" s="148"/>
      <c r="CIC57" s="148"/>
      <c r="CID57" s="148"/>
      <c r="CIE57" s="148"/>
      <c r="CIF57" s="148"/>
      <c r="CIG57" s="148"/>
      <c r="CIH57" s="148"/>
      <c r="CII57" s="148"/>
      <c r="CIJ57" s="148"/>
      <c r="CIK57" s="148"/>
      <c r="CIL57" s="148"/>
      <c r="CIM57" s="148"/>
      <c r="CIN57" s="148"/>
      <c r="CIO57" s="148"/>
      <c r="CIP57" s="148"/>
      <c r="CIQ57" s="148"/>
      <c r="CIR57" s="148"/>
      <c r="CIS57" s="148"/>
      <c r="CIT57" s="148"/>
      <c r="CIU57" s="148"/>
      <c r="CIV57" s="148"/>
      <c r="CIW57" s="148"/>
      <c r="CIX57" s="148"/>
      <c r="CIY57" s="148"/>
      <c r="CIZ57" s="148"/>
      <c r="CJA57" s="148"/>
      <c r="CJB57" s="148"/>
      <c r="CJC57" s="148"/>
      <c r="CJD57" s="148"/>
      <c r="CJE57" s="148"/>
      <c r="CJF57" s="148"/>
      <c r="CJG57" s="148"/>
      <c r="CJH57" s="148"/>
      <c r="CJI57" s="148"/>
      <c r="CJJ57" s="148"/>
      <c r="CJK57" s="148"/>
      <c r="CJL57" s="148"/>
      <c r="CJM57" s="148"/>
      <c r="CJN57" s="148"/>
      <c r="CJO57" s="148"/>
      <c r="CJP57" s="148"/>
      <c r="CJQ57" s="148"/>
      <c r="CJR57" s="148"/>
      <c r="CJS57" s="148"/>
      <c r="CJT57" s="148"/>
      <c r="CJU57" s="148"/>
      <c r="CJV57" s="148"/>
      <c r="CJW57" s="148"/>
      <c r="CJX57" s="148"/>
      <c r="CJY57" s="148"/>
      <c r="CJZ57" s="148"/>
      <c r="CKA57" s="148"/>
      <c r="CKB57" s="148"/>
      <c r="CKC57" s="148"/>
      <c r="CKD57" s="148"/>
      <c r="CKE57" s="148"/>
      <c r="CKF57" s="148"/>
      <c r="CKG57" s="148"/>
      <c r="CKH57" s="148"/>
      <c r="CKI57" s="148"/>
      <c r="CKJ57" s="148"/>
      <c r="CKK57" s="148"/>
      <c r="CKL57" s="148"/>
      <c r="CKM57" s="148"/>
      <c r="CKN57" s="148"/>
      <c r="CKO57" s="148"/>
      <c r="CKP57" s="148"/>
      <c r="CKQ57" s="148"/>
      <c r="CKR57" s="148"/>
      <c r="CKS57" s="148"/>
      <c r="CKT57" s="148"/>
      <c r="CKU57" s="148"/>
      <c r="CKV57" s="148"/>
      <c r="CKW57" s="148"/>
      <c r="CKX57" s="148"/>
      <c r="CKY57" s="148"/>
      <c r="CKZ57" s="148"/>
      <c r="CLA57" s="148"/>
      <c r="CLB57" s="148"/>
      <c r="CLC57" s="148"/>
      <c r="CLD57" s="148"/>
      <c r="CLE57" s="148"/>
      <c r="CLF57" s="148"/>
      <c r="CLG57" s="148"/>
      <c r="CLH57" s="148"/>
      <c r="CLI57" s="148"/>
      <c r="CLJ57" s="148"/>
      <c r="CLK57" s="148"/>
      <c r="CLL57" s="148"/>
      <c r="CLM57" s="148"/>
      <c r="CLN57" s="148"/>
      <c r="CLO57" s="148"/>
      <c r="CLP57" s="148"/>
      <c r="CLQ57" s="148"/>
      <c r="CLR57" s="148"/>
      <c r="CLS57" s="148"/>
      <c r="CLT57" s="148"/>
      <c r="CLU57" s="148"/>
      <c r="CLV57" s="148"/>
      <c r="CLW57" s="148"/>
      <c r="CLX57" s="148"/>
      <c r="CLY57" s="148"/>
      <c r="CLZ57" s="148"/>
      <c r="CMA57" s="148"/>
      <c r="CMB57" s="148"/>
      <c r="CMC57" s="148"/>
      <c r="CMD57" s="148"/>
      <c r="CME57" s="148"/>
      <c r="CMF57" s="148"/>
      <c r="CMG57" s="148"/>
      <c r="CMH57" s="148"/>
      <c r="CMI57" s="148"/>
      <c r="CMJ57" s="148"/>
      <c r="CMK57" s="148"/>
      <c r="CML57" s="148"/>
      <c r="CMM57" s="148"/>
      <c r="CMN57" s="148"/>
      <c r="CMO57" s="148"/>
      <c r="CMP57" s="148"/>
      <c r="CMQ57" s="148"/>
      <c r="CMR57" s="148"/>
      <c r="CMS57" s="148"/>
      <c r="CMT57" s="148"/>
      <c r="CMU57" s="148"/>
      <c r="CMV57" s="148"/>
      <c r="CMW57" s="148"/>
      <c r="CMX57" s="148"/>
      <c r="CMY57" s="148"/>
      <c r="CMZ57" s="148"/>
      <c r="CNA57" s="148"/>
      <c r="CNB57" s="148"/>
      <c r="CNC57" s="148"/>
      <c r="CND57" s="148"/>
      <c r="CNE57" s="148"/>
      <c r="CNF57" s="148"/>
      <c r="CNG57" s="148"/>
      <c r="CNH57" s="148"/>
      <c r="CNI57" s="148"/>
      <c r="CNJ57" s="148"/>
      <c r="CNK57" s="148"/>
      <c r="CNL57" s="148"/>
      <c r="CNM57" s="148"/>
      <c r="CNN57" s="148"/>
      <c r="CNO57" s="148"/>
      <c r="CNP57" s="148"/>
      <c r="CNQ57" s="148"/>
      <c r="CNR57" s="148"/>
      <c r="CNS57" s="148"/>
      <c r="CNT57" s="148"/>
      <c r="CNU57" s="148"/>
      <c r="CNV57" s="148"/>
      <c r="CNW57" s="148"/>
      <c r="CNX57" s="148"/>
      <c r="CNY57" s="148"/>
      <c r="CNZ57" s="148"/>
      <c r="COA57" s="148"/>
      <c r="COB57" s="148"/>
      <c r="COC57" s="148"/>
      <c r="COD57" s="148"/>
      <c r="COE57" s="148"/>
      <c r="COF57" s="148"/>
      <c r="COG57" s="148"/>
      <c r="COH57" s="148"/>
      <c r="COI57" s="148"/>
      <c r="COJ57" s="148"/>
      <c r="COK57" s="148"/>
      <c r="COL57" s="148"/>
      <c r="COM57" s="148"/>
      <c r="CON57" s="148"/>
      <c r="COO57" s="148"/>
      <c r="COP57" s="148"/>
      <c r="COQ57" s="148"/>
      <c r="COR57" s="148"/>
      <c r="COS57" s="148"/>
      <c r="COT57" s="148"/>
      <c r="COU57" s="148"/>
      <c r="COV57" s="148"/>
      <c r="COW57" s="148"/>
      <c r="COX57" s="148"/>
      <c r="COY57" s="148"/>
      <c r="COZ57" s="148"/>
      <c r="CPA57" s="148"/>
      <c r="CPB57" s="148"/>
      <c r="CPC57" s="148"/>
      <c r="CPD57" s="148"/>
      <c r="CPE57" s="148"/>
      <c r="CPF57" s="148"/>
      <c r="CPG57" s="148"/>
      <c r="CPH57" s="148"/>
      <c r="CPI57" s="148"/>
      <c r="CPJ57" s="148"/>
      <c r="CPK57" s="148"/>
      <c r="CPL57" s="148"/>
      <c r="CPM57" s="148"/>
      <c r="CPN57" s="148"/>
      <c r="CPO57" s="148"/>
      <c r="CPP57" s="148"/>
      <c r="CPQ57" s="148"/>
      <c r="CPR57" s="148"/>
      <c r="CPS57" s="148"/>
      <c r="CPT57" s="148"/>
      <c r="CPU57" s="148"/>
      <c r="CPV57" s="148"/>
      <c r="CPW57" s="148"/>
      <c r="CPX57" s="148"/>
      <c r="CPY57" s="148"/>
      <c r="CPZ57" s="148"/>
      <c r="CQA57" s="148"/>
      <c r="CQB57" s="148"/>
      <c r="CQC57" s="148"/>
      <c r="CQD57" s="148"/>
      <c r="CQE57" s="148"/>
      <c r="CQF57" s="148"/>
      <c r="CQG57" s="148"/>
      <c r="CQH57" s="148"/>
      <c r="CQI57" s="148"/>
      <c r="CQJ57" s="148"/>
      <c r="CQK57" s="148"/>
      <c r="CQL57" s="148"/>
      <c r="CQM57" s="148"/>
      <c r="CQN57" s="148"/>
      <c r="CQO57" s="148"/>
      <c r="CQP57" s="148"/>
      <c r="CQQ57" s="148"/>
      <c r="CQR57" s="148"/>
      <c r="CQS57" s="148"/>
      <c r="CQT57" s="148"/>
      <c r="CQU57" s="148"/>
      <c r="CQV57" s="148"/>
      <c r="CQW57" s="148"/>
      <c r="CQX57" s="148"/>
      <c r="CQY57" s="148"/>
      <c r="CQZ57" s="148"/>
      <c r="CRA57" s="148"/>
      <c r="CRB57" s="148"/>
      <c r="CRC57" s="148"/>
      <c r="CRD57" s="148"/>
      <c r="CRE57" s="148"/>
      <c r="CRF57" s="148"/>
      <c r="CRG57" s="148"/>
      <c r="CRH57" s="148"/>
      <c r="CRI57" s="148"/>
      <c r="CRJ57" s="148"/>
      <c r="CRK57" s="148"/>
      <c r="CRL57" s="148"/>
      <c r="CRM57" s="148"/>
      <c r="CRN57" s="148"/>
      <c r="CRO57" s="148"/>
      <c r="CRP57" s="148"/>
      <c r="CRQ57" s="148"/>
      <c r="CRR57" s="148"/>
      <c r="CRS57" s="148"/>
      <c r="CRT57" s="148"/>
      <c r="CRU57" s="148"/>
      <c r="CRV57" s="148"/>
      <c r="CRW57" s="148"/>
      <c r="CRX57" s="148"/>
      <c r="CRY57" s="148"/>
      <c r="CRZ57" s="148"/>
      <c r="CSA57" s="148"/>
      <c r="CSB57" s="148"/>
      <c r="CSC57" s="148"/>
      <c r="CSD57" s="148"/>
      <c r="CSE57" s="148"/>
      <c r="CSF57" s="148"/>
      <c r="CSG57" s="148"/>
      <c r="CSH57" s="148"/>
      <c r="CSI57" s="148"/>
      <c r="CSJ57" s="148"/>
      <c r="CSK57" s="148"/>
      <c r="CSL57" s="148"/>
      <c r="CSM57" s="148"/>
      <c r="CSN57" s="148"/>
      <c r="CSO57" s="148"/>
      <c r="CSP57" s="148"/>
      <c r="CSQ57" s="148"/>
      <c r="CSR57" s="148"/>
      <c r="CSS57" s="148"/>
      <c r="CST57" s="148"/>
      <c r="CSU57" s="148"/>
      <c r="CSV57" s="148"/>
      <c r="CSW57" s="148"/>
      <c r="CSX57" s="148"/>
      <c r="CSY57" s="148"/>
      <c r="CSZ57" s="148"/>
      <c r="CTA57" s="148"/>
      <c r="CTB57" s="148"/>
      <c r="CTC57" s="148"/>
      <c r="CTD57" s="148"/>
      <c r="CTE57" s="148"/>
      <c r="CTF57" s="148"/>
      <c r="CTG57" s="148"/>
      <c r="CTH57" s="148"/>
      <c r="CTI57" s="148"/>
      <c r="CTJ57" s="148"/>
      <c r="CTK57" s="148"/>
      <c r="CTL57" s="148"/>
      <c r="CTM57" s="148"/>
      <c r="CTN57" s="148"/>
      <c r="CTO57" s="148"/>
      <c r="CTP57" s="148"/>
      <c r="CTQ57" s="148"/>
      <c r="CTR57" s="148"/>
      <c r="CTS57" s="148"/>
      <c r="CTT57" s="148"/>
      <c r="CTU57" s="148"/>
      <c r="CTV57" s="148"/>
      <c r="CTW57" s="148"/>
      <c r="CTX57" s="148"/>
      <c r="CTY57" s="148"/>
      <c r="CTZ57" s="148"/>
      <c r="CUA57" s="148"/>
      <c r="CUB57" s="148"/>
      <c r="CUC57" s="148"/>
      <c r="CUD57" s="148"/>
      <c r="CUE57" s="148"/>
      <c r="CUF57" s="148"/>
      <c r="CUG57" s="148"/>
      <c r="CUH57" s="148"/>
      <c r="CUI57" s="148"/>
      <c r="CUJ57" s="148"/>
      <c r="CUK57" s="148"/>
      <c r="CUL57" s="148"/>
      <c r="CUM57" s="148"/>
      <c r="CUN57" s="148"/>
      <c r="CUO57" s="148"/>
      <c r="CUP57" s="148"/>
      <c r="CUQ57" s="148"/>
      <c r="CUR57" s="148"/>
      <c r="CUS57" s="148"/>
      <c r="CUT57" s="148"/>
      <c r="CUU57" s="148"/>
      <c r="CUV57" s="148"/>
      <c r="CUW57" s="148"/>
      <c r="CUX57" s="148"/>
      <c r="CUY57" s="148"/>
      <c r="CUZ57" s="148"/>
      <c r="CVA57" s="148"/>
      <c r="CVB57" s="148"/>
      <c r="CVC57" s="148"/>
      <c r="CVD57" s="148"/>
      <c r="CVE57" s="148"/>
      <c r="CVF57" s="148"/>
      <c r="CVG57" s="148"/>
      <c r="CVH57" s="148"/>
      <c r="CVI57" s="148"/>
      <c r="CVJ57" s="148"/>
      <c r="CVK57" s="148"/>
      <c r="CVL57" s="148"/>
      <c r="CVM57" s="148"/>
      <c r="CVN57" s="148"/>
      <c r="CVO57" s="148"/>
      <c r="CVP57" s="148"/>
      <c r="CVQ57" s="148"/>
      <c r="CVR57" s="148"/>
      <c r="CVS57" s="148"/>
      <c r="CVT57" s="148"/>
      <c r="CVU57" s="148"/>
      <c r="CVV57" s="148"/>
      <c r="CVW57" s="148"/>
      <c r="CVX57" s="148"/>
      <c r="CVY57" s="148"/>
      <c r="CVZ57" s="148"/>
      <c r="CWA57" s="148"/>
      <c r="CWB57" s="148"/>
      <c r="CWC57" s="148"/>
      <c r="CWD57" s="148"/>
      <c r="CWE57" s="148"/>
      <c r="CWF57" s="148"/>
      <c r="CWG57" s="148"/>
      <c r="CWH57" s="148"/>
      <c r="CWI57" s="148"/>
      <c r="CWJ57" s="148"/>
      <c r="CWK57" s="148"/>
      <c r="CWL57" s="148"/>
      <c r="CWM57" s="148"/>
      <c r="CWN57" s="148"/>
      <c r="CWO57" s="148"/>
      <c r="CWP57" s="148"/>
      <c r="CWQ57" s="148"/>
      <c r="CWR57" s="148"/>
      <c r="CWS57" s="148"/>
      <c r="CWT57" s="148"/>
      <c r="CWU57" s="148"/>
      <c r="CWV57" s="148"/>
      <c r="CWW57" s="148"/>
      <c r="CWX57" s="148"/>
      <c r="CWY57" s="148"/>
      <c r="CWZ57" s="148"/>
      <c r="CXA57" s="148"/>
      <c r="CXB57" s="148"/>
      <c r="CXC57" s="148"/>
      <c r="CXD57" s="148"/>
      <c r="CXE57" s="148"/>
      <c r="CXF57" s="148"/>
      <c r="CXG57" s="148"/>
      <c r="CXH57" s="148"/>
      <c r="CXI57" s="148"/>
      <c r="CXJ57" s="148"/>
      <c r="CXK57" s="148"/>
      <c r="CXL57" s="148"/>
      <c r="CXM57" s="148"/>
      <c r="CXN57" s="148"/>
      <c r="CXO57" s="148"/>
      <c r="CXP57" s="148"/>
      <c r="CXQ57" s="148"/>
      <c r="CXR57" s="148"/>
      <c r="CXS57" s="148"/>
      <c r="CXT57" s="148"/>
      <c r="CXU57" s="148"/>
      <c r="CXV57" s="148"/>
      <c r="CXW57" s="148"/>
      <c r="CXX57" s="148"/>
      <c r="CXY57" s="148"/>
      <c r="CXZ57" s="148"/>
      <c r="CYA57" s="148"/>
      <c r="CYB57" s="148"/>
      <c r="CYC57" s="148"/>
      <c r="CYD57" s="148"/>
      <c r="CYE57" s="148"/>
      <c r="CYF57" s="148"/>
      <c r="CYG57" s="148"/>
      <c r="CYH57" s="148"/>
      <c r="CYI57" s="148"/>
      <c r="CYJ57" s="148"/>
      <c r="CYK57" s="148"/>
      <c r="CYL57" s="148"/>
      <c r="CYM57" s="148"/>
      <c r="CYN57" s="148"/>
      <c r="CYO57" s="148"/>
      <c r="CYP57" s="148"/>
      <c r="CYQ57" s="148"/>
      <c r="CYR57" s="148"/>
      <c r="CYS57" s="148"/>
      <c r="CYT57" s="148"/>
      <c r="CYU57" s="148"/>
      <c r="CYV57" s="148"/>
      <c r="CYW57" s="148"/>
      <c r="CYX57" s="148"/>
      <c r="CYY57" s="148"/>
      <c r="CYZ57" s="148"/>
      <c r="CZA57" s="148"/>
      <c r="CZB57" s="148"/>
      <c r="CZC57" s="148"/>
      <c r="CZD57" s="148"/>
      <c r="CZE57" s="148"/>
      <c r="CZF57" s="148"/>
      <c r="CZG57" s="148"/>
      <c r="CZH57" s="148"/>
      <c r="CZI57" s="148"/>
      <c r="CZJ57" s="148"/>
      <c r="CZK57" s="148"/>
      <c r="CZL57" s="148"/>
      <c r="CZM57" s="148"/>
      <c r="CZN57" s="148"/>
      <c r="CZO57" s="148"/>
      <c r="CZP57" s="148"/>
      <c r="CZQ57" s="148"/>
      <c r="CZR57" s="148"/>
      <c r="CZS57" s="148"/>
      <c r="CZT57" s="148"/>
      <c r="CZU57" s="148"/>
      <c r="CZV57" s="148"/>
      <c r="CZW57" s="148"/>
      <c r="CZX57" s="148"/>
      <c r="CZY57" s="148"/>
      <c r="CZZ57" s="148"/>
      <c r="DAA57" s="148"/>
      <c r="DAB57" s="148"/>
      <c r="DAC57" s="148"/>
      <c r="DAD57" s="148"/>
      <c r="DAE57" s="148"/>
      <c r="DAF57" s="148"/>
      <c r="DAG57" s="148"/>
      <c r="DAH57" s="148"/>
      <c r="DAI57" s="148"/>
      <c r="DAJ57" s="148"/>
      <c r="DAK57" s="148"/>
      <c r="DAL57" s="148"/>
      <c r="DAM57" s="148"/>
      <c r="DAN57" s="148"/>
      <c r="DAO57" s="148"/>
      <c r="DAP57" s="148"/>
      <c r="DAQ57" s="148"/>
      <c r="DAR57" s="148"/>
      <c r="DAS57" s="148"/>
      <c r="DAT57" s="148"/>
      <c r="DAU57" s="148"/>
      <c r="DAV57" s="148"/>
      <c r="DAW57" s="148"/>
      <c r="DAX57" s="148"/>
      <c r="DAY57" s="148"/>
      <c r="DAZ57" s="148"/>
      <c r="DBA57" s="148"/>
      <c r="DBB57" s="148"/>
      <c r="DBC57" s="148"/>
      <c r="DBD57" s="148"/>
      <c r="DBE57" s="148"/>
      <c r="DBF57" s="148"/>
      <c r="DBG57" s="148"/>
      <c r="DBH57" s="148"/>
      <c r="DBI57" s="148"/>
      <c r="DBJ57" s="148"/>
      <c r="DBK57" s="148"/>
      <c r="DBL57" s="148"/>
      <c r="DBM57" s="148"/>
      <c r="DBN57" s="148"/>
      <c r="DBO57" s="148"/>
      <c r="DBP57" s="148"/>
      <c r="DBQ57" s="148"/>
      <c r="DBR57" s="148"/>
      <c r="DBS57" s="148"/>
      <c r="DBT57" s="148"/>
      <c r="DBU57" s="148"/>
      <c r="DBV57" s="148"/>
      <c r="DBW57" s="148"/>
      <c r="DBX57" s="148"/>
      <c r="DBY57" s="148"/>
      <c r="DBZ57" s="148"/>
      <c r="DCA57" s="148"/>
      <c r="DCB57" s="148"/>
      <c r="DCC57" s="148"/>
      <c r="DCD57" s="148"/>
      <c r="DCE57" s="148"/>
      <c r="DCF57" s="148"/>
      <c r="DCG57" s="148"/>
      <c r="DCH57" s="148"/>
      <c r="DCI57" s="148"/>
      <c r="DCJ57" s="148"/>
      <c r="DCK57" s="148"/>
      <c r="DCL57" s="148"/>
      <c r="DCM57" s="148"/>
      <c r="DCN57" s="148"/>
      <c r="DCO57" s="148"/>
      <c r="DCP57" s="148"/>
      <c r="DCQ57" s="148"/>
      <c r="DCR57" s="148"/>
      <c r="DCS57" s="148"/>
      <c r="DCT57" s="148"/>
      <c r="DCU57" s="148"/>
      <c r="DCV57" s="148"/>
      <c r="DCW57" s="148"/>
      <c r="DCX57" s="148"/>
      <c r="DCY57" s="148"/>
      <c r="DCZ57" s="148"/>
      <c r="DDA57" s="148"/>
      <c r="DDB57" s="148"/>
      <c r="DDC57" s="148"/>
      <c r="DDD57" s="148"/>
      <c r="DDE57" s="148"/>
      <c r="DDF57" s="148"/>
      <c r="DDG57" s="148"/>
      <c r="DDH57" s="148"/>
      <c r="DDI57" s="148"/>
      <c r="DDJ57" s="148"/>
      <c r="DDK57" s="148"/>
      <c r="DDL57" s="148"/>
      <c r="DDM57" s="148"/>
      <c r="DDN57" s="148"/>
      <c r="DDO57" s="148"/>
      <c r="DDP57" s="148"/>
      <c r="DDQ57" s="148"/>
      <c r="DDR57" s="148"/>
      <c r="DDS57" s="148"/>
      <c r="DDT57" s="148"/>
      <c r="DDU57" s="148"/>
      <c r="DDV57" s="148"/>
      <c r="DDW57" s="148"/>
      <c r="DDX57" s="148"/>
      <c r="DDY57" s="148"/>
      <c r="DDZ57" s="148"/>
      <c r="DEA57" s="148"/>
      <c r="DEB57" s="148"/>
      <c r="DEC57" s="148"/>
      <c r="DED57" s="148"/>
      <c r="DEE57" s="148"/>
      <c r="DEF57" s="148"/>
      <c r="DEG57" s="148"/>
      <c r="DEH57" s="148"/>
      <c r="DEI57" s="148"/>
      <c r="DEJ57" s="148"/>
      <c r="DEK57" s="148"/>
      <c r="DEL57" s="148"/>
      <c r="DEM57" s="148"/>
      <c r="DEN57" s="148"/>
      <c r="DEO57" s="148"/>
      <c r="DEP57" s="148"/>
      <c r="DEQ57" s="148"/>
      <c r="DER57" s="148"/>
      <c r="DES57" s="148"/>
      <c r="DET57" s="148"/>
      <c r="DEU57" s="148"/>
      <c r="DEV57" s="148"/>
      <c r="DEW57" s="148"/>
      <c r="DEX57" s="148"/>
      <c r="DEY57" s="148"/>
      <c r="DEZ57" s="148"/>
      <c r="DFA57" s="148"/>
      <c r="DFB57" s="148"/>
      <c r="DFC57" s="148"/>
      <c r="DFD57" s="148"/>
      <c r="DFE57" s="148"/>
      <c r="DFF57" s="148"/>
      <c r="DFG57" s="148"/>
      <c r="DFH57" s="148"/>
      <c r="DFI57" s="148"/>
      <c r="DFJ57" s="148"/>
      <c r="DFK57" s="148"/>
      <c r="DFL57" s="148"/>
      <c r="DFM57" s="148"/>
      <c r="DFN57" s="148"/>
      <c r="DFO57" s="148"/>
      <c r="DFP57" s="148"/>
      <c r="DFQ57" s="148"/>
      <c r="DFR57" s="148"/>
      <c r="DFS57" s="148"/>
      <c r="DFT57" s="148"/>
      <c r="DFU57" s="148"/>
      <c r="DFV57" s="148"/>
      <c r="DFW57" s="148"/>
      <c r="DFX57" s="148"/>
      <c r="DFY57" s="148"/>
      <c r="DFZ57" s="148"/>
      <c r="DGA57" s="148"/>
      <c r="DGB57" s="148"/>
      <c r="DGC57" s="148"/>
      <c r="DGD57" s="148"/>
      <c r="DGE57" s="148"/>
      <c r="DGF57" s="148"/>
      <c r="DGG57" s="148"/>
      <c r="DGH57" s="148"/>
      <c r="DGI57" s="148"/>
      <c r="DGJ57" s="148"/>
      <c r="DGK57" s="148"/>
      <c r="DGL57" s="148"/>
      <c r="DGM57" s="148"/>
      <c r="DGN57" s="148"/>
      <c r="DGO57" s="148"/>
      <c r="DGP57" s="148"/>
      <c r="DGQ57" s="148"/>
      <c r="DGR57" s="148"/>
      <c r="DGS57" s="148"/>
      <c r="DGT57" s="148"/>
      <c r="DGU57" s="148"/>
      <c r="DGV57" s="148"/>
      <c r="DGW57" s="148"/>
      <c r="DGX57" s="148"/>
      <c r="DGY57" s="148"/>
      <c r="DGZ57" s="148"/>
      <c r="DHA57" s="148"/>
      <c r="DHB57" s="148"/>
      <c r="DHC57" s="148"/>
      <c r="DHD57" s="148"/>
      <c r="DHE57" s="148"/>
      <c r="DHF57" s="148"/>
      <c r="DHG57" s="148"/>
      <c r="DHH57" s="148"/>
      <c r="DHI57" s="148"/>
      <c r="DHJ57" s="148"/>
      <c r="DHK57" s="148"/>
      <c r="DHL57" s="148"/>
      <c r="DHM57" s="148"/>
      <c r="DHN57" s="148"/>
      <c r="DHO57" s="148"/>
      <c r="DHP57" s="148"/>
      <c r="DHQ57" s="148"/>
      <c r="DHR57" s="148"/>
      <c r="DHS57" s="148"/>
      <c r="DHT57" s="148"/>
      <c r="DHU57" s="148"/>
      <c r="DHV57" s="148"/>
      <c r="DHW57" s="148"/>
      <c r="DHX57" s="148"/>
      <c r="DHY57" s="148"/>
      <c r="DHZ57" s="148"/>
      <c r="DIA57" s="148"/>
      <c r="DIB57" s="148"/>
      <c r="DIC57" s="148"/>
      <c r="DID57" s="148"/>
      <c r="DIE57" s="148"/>
      <c r="DIF57" s="148"/>
      <c r="DIG57" s="148"/>
      <c r="DIH57" s="148"/>
      <c r="DII57" s="148"/>
      <c r="DIJ57" s="148"/>
      <c r="DIK57" s="148"/>
      <c r="DIL57" s="148"/>
      <c r="DIM57" s="148"/>
      <c r="DIN57" s="148"/>
      <c r="DIO57" s="148"/>
      <c r="DIP57" s="148"/>
      <c r="DIQ57" s="148"/>
      <c r="DIR57" s="148"/>
      <c r="DIS57" s="148"/>
      <c r="DIT57" s="148"/>
      <c r="DIU57" s="148"/>
      <c r="DIV57" s="148"/>
      <c r="DIW57" s="148"/>
      <c r="DIX57" s="148"/>
      <c r="DIY57" s="148"/>
      <c r="DIZ57" s="148"/>
      <c r="DJA57" s="148"/>
      <c r="DJB57" s="148"/>
      <c r="DJC57" s="148"/>
      <c r="DJD57" s="148"/>
      <c r="DJE57" s="148"/>
      <c r="DJF57" s="148"/>
      <c r="DJG57" s="148"/>
      <c r="DJH57" s="148"/>
      <c r="DJI57" s="148"/>
      <c r="DJJ57" s="148"/>
      <c r="DJK57" s="148"/>
      <c r="DJL57" s="148"/>
      <c r="DJM57" s="148"/>
      <c r="DJN57" s="148"/>
      <c r="DJO57" s="148"/>
      <c r="DJP57" s="148"/>
      <c r="DJQ57" s="148"/>
      <c r="DJR57" s="148"/>
      <c r="DJS57" s="148"/>
      <c r="DJT57" s="148"/>
      <c r="DJU57" s="148"/>
      <c r="DJV57" s="148"/>
      <c r="DJW57" s="148"/>
      <c r="DJX57" s="148"/>
      <c r="DJY57" s="148"/>
      <c r="DJZ57" s="148"/>
      <c r="DKA57" s="148"/>
      <c r="DKB57" s="148"/>
      <c r="DKC57" s="148"/>
      <c r="DKD57" s="148"/>
      <c r="DKE57" s="148"/>
      <c r="DKF57" s="148"/>
      <c r="DKG57" s="148"/>
      <c r="DKH57" s="148"/>
      <c r="DKI57" s="148"/>
      <c r="DKJ57" s="148"/>
      <c r="DKK57" s="148"/>
      <c r="DKL57" s="148"/>
      <c r="DKM57" s="148"/>
      <c r="DKN57" s="148"/>
      <c r="DKO57" s="148"/>
      <c r="DKP57" s="148"/>
      <c r="DKQ57" s="148"/>
      <c r="DKR57" s="148"/>
      <c r="DKS57" s="148"/>
      <c r="DKT57" s="148"/>
      <c r="DKU57" s="148"/>
      <c r="DKV57" s="148"/>
      <c r="DKW57" s="148"/>
      <c r="DKX57" s="148"/>
      <c r="DKY57" s="148"/>
      <c r="DKZ57" s="148"/>
      <c r="DLA57" s="148"/>
      <c r="DLB57" s="148"/>
      <c r="DLC57" s="148"/>
      <c r="DLD57" s="148"/>
      <c r="DLE57" s="148"/>
      <c r="DLF57" s="148"/>
      <c r="DLG57" s="148"/>
      <c r="DLH57" s="148"/>
      <c r="DLI57" s="148"/>
      <c r="DLJ57" s="148"/>
      <c r="DLK57" s="148"/>
      <c r="DLL57" s="148"/>
      <c r="DLM57" s="148"/>
      <c r="DLN57" s="148"/>
      <c r="DLO57" s="148"/>
      <c r="DLP57" s="148"/>
      <c r="DLQ57" s="148"/>
      <c r="DLR57" s="148"/>
      <c r="DLS57" s="148"/>
      <c r="DLT57" s="148"/>
      <c r="DLU57" s="148"/>
      <c r="DLV57" s="148"/>
      <c r="DLW57" s="148"/>
      <c r="DLX57" s="148"/>
      <c r="DLY57" s="148"/>
      <c r="DLZ57" s="148"/>
      <c r="DMA57" s="148"/>
      <c r="DMB57" s="148"/>
      <c r="DMC57" s="148"/>
      <c r="DMD57" s="148"/>
      <c r="DME57" s="148"/>
      <c r="DMF57" s="148"/>
      <c r="DMG57" s="148"/>
      <c r="DMH57" s="148"/>
      <c r="DMI57" s="148"/>
      <c r="DMJ57" s="148"/>
      <c r="DMK57" s="148"/>
      <c r="DML57" s="148"/>
      <c r="DMM57" s="148"/>
      <c r="DMN57" s="148"/>
      <c r="DMO57" s="148"/>
      <c r="DMP57" s="148"/>
      <c r="DMQ57" s="148"/>
      <c r="DMR57" s="148"/>
      <c r="DMS57" s="148"/>
      <c r="DMT57" s="148"/>
      <c r="DMU57" s="148"/>
      <c r="DMV57" s="148"/>
      <c r="DMW57" s="148"/>
      <c r="DMX57" s="148"/>
      <c r="DMY57" s="148"/>
      <c r="DMZ57" s="148"/>
      <c r="DNA57" s="148"/>
      <c r="DNB57" s="148"/>
      <c r="DNC57" s="148"/>
      <c r="DND57" s="148"/>
      <c r="DNE57" s="148"/>
      <c r="DNF57" s="148"/>
      <c r="DNG57" s="148"/>
      <c r="DNH57" s="148"/>
      <c r="DNI57" s="148"/>
      <c r="DNJ57" s="148"/>
      <c r="DNK57" s="148"/>
      <c r="DNL57" s="148"/>
      <c r="DNM57" s="148"/>
      <c r="DNN57" s="148"/>
      <c r="DNO57" s="148"/>
      <c r="DNP57" s="148"/>
      <c r="DNQ57" s="148"/>
      <c r="DNR57" s="148"/>
      <c r="DNS57" s="148"/>
      <c r="DNT57" s="148"/>
      <c r="DNU57" s="148"/>
      <c r="DNV57" s="148"/>
      <c r="DNW57" s="148"/>
      <c r="DNX57" s="148"/>
      <c r="DNY57" s="148"/>
      <c r="DNZ57" s="148"/>
      <c r="DOA57" s="148"/>
      <c r="DOB57" s="148"/>
      <c r="DOC57" s="148"/>
      <c r="DOD57" s="148"/>
      <c r="DOE57" s="148"/>
      <c r="DOF57" s="148"/>
      <c r="DOG57" s="148"/>
      <c r="DOH57" s="148"/>
      <c r="DOI57" s="148"/>
      <c r="DOJ57" s="148"/>
      <c r="DOK57" s="148"/>
      <c r="DOL57" s="148"/>
      <c r="DOM57" s="148"/>
      <c r="DON57" s="148"/>
      <c r="DOO57" s="148"/>
      <c r="DOP57" s="148"/>
      <c r="DOQ57" s="148"/>
      <c r="DOR57" s="148"/>
      <c r="DOS57" s="148"/>
      <c r="DOT57" s="148"/>
      <c r="DOU57" s="148"/>
      <c r="DOV57" s="148"/>
      <c r="DOW57" s="148"/>
      <c r="DOX57" s="148"/>
      <c r="DOY57" s="148"/>
      <c r="DOZ57" s="148"/>
      <c r="DPA57" s="148"/>
      <c r="DPB57" s="148"/>
      <c r="DPC57" s="148"/>
      <c r="DPD57" s="148"/>
      <c r="DPE57" s="148"/>
      <c r="DPF57" s="148"/>
      <c r="DPG57" s="148"/>
      <c r="DPH57" s="148"/>
      <c r="DPI57" s="148"/>
      <c r="DPJ57" s="148"/>
      <c r="DPK57" s="148"/>
      <c r="DPL57" s="148"/>
      <c r="DPM57" s="148"/>
      <c r="DPN57" s="148"/>
      <c r="DPO57" s="148"/>
      <c r="DPP57" s="148"/>
      <c r="DPQ57" s="148"/>
      <c r="DPR57" s="148"/>
      <c r="DPS57" s="148"/>
      <c r="DPT57" s="148"/>
      <c r="DPU57" s="148"/>
      <c r="DPV57" s="148"/>
      <c r="DPW57" s="148"/>
      <c r="DPX57" s="148"/>
      <c r="DPY57" s="148"/>
      <c r="DPZ57" s="148"/>
      <c r="DQA57" s="148"/>
      <c r="DQB57" s="148"/>
      <c r="DQC57" s="148"/>
      <c r="DQD57" s="148"/>
      <c r="DQE57" s="148"/>
      <c r="DQF57" s="148"/>
      <c r="DQG57" s="148"/>
      <c r="DQH57" s="148"/>
      <c r="DQI57" s="148"/>
      <c r="DQJ57" s="148"/>
      <c r="DQK57" s="148"/>
      <c r="DQL57" s="148"/>
      <c r="DQM57" s="148"/>
      <c r="DQN57" s="148"/>
      <c r="DQO57" s="148"/>
      <c r="DQP57" s="148"/>
      <c r="DQQ57" s="148"/>
      <c r="DQR57" s="148"/>
      <c r="DQS57" s="148"/>
      <c r="DQT57" s="148"/>
      <c r="DQU57" s="148"/>
      <c r="DQV57" s="148"/>
      <c r="DQW57" s="148"/>
      <c r="DQX57" s="148"/>
      <c r="DQY57" s="148"/>
      <c r="DQZ57" s="148"/>
      <c r="DRA57" s="148"/>
      <c r="DRB57" s="148"/>
      <c r="DRC57" s="148"/>
      <c r="DRD57" s="148"/>
      <c r="DRE57" s="148"/>
      <c r="DRF57" s="148"/>
      <c r="DRG57" s="148"/>
      <c r="DRH57" s="148"/>
      <c r="DRI57" s="148"/>
      <c r="DRJ57" s="148"/>
      <c r="DRK57" s="148"/>
      <c r="DRL57" s="148"/>
      <c r="DRM57" s="148"/>
      <c r="DRN57" s="148"/>
      <c r="DRO57" s="148"/>
      <c r="DRP57" s="148"/>
      <c r="DRQ57" s="148"/>
      <c r="DRR57" s="148"/>
      <c r="DRS57" s="148"/>
      <c r="DRT57" s="148"/>
      <c r="DRU57" s="148"/>
      <c r="DRV57" s="148"/>
      <c r="DRW57" s="148"/>
      <c r="DRX57" s="148"/>
      <c r="DRY57" s="148"/>
      <c r="DRZ57" s="148"/>
      <c r="DSA57" s="148"/>
      <c r="DSB57" s="148"/>
      <c r="DSC57" s="148"/>
      <c r="DSD57" s="148"/>
      <c r="DSE57" s="148"/>
      <c r="DSF57" s="148"/>
      <c r="DSG57" s="148"/>
      <c r="DSH57" s="148"/>
      <c r="DSI57" s="148"/>
      <c r="DSJ57" s="148"/>
      <c r="DSK57" s="148"/>
      <c r="DSL57" s="148"/>
      <c r="DSM57" s="148"/>
      <c r="DSN57" s="148"/>
      <c r="DSO57" s="148"/>
      <c r="DSP57" s="148"/>
      <c r="DSQ57" s="148"/>
      <c r="DSR57" s="148"/>
      <c r="DSS57" s="148"/>
      <c r="DST57" s="148"/>
      <c r="DSU57" s="148"/>
      <c r="DSV57" s="148"/>
      <c r="DSW57" s="148"/>
      <c r="DSX57" s="148"/>
      <c r="DSY57" s="148"/>
      <c r="DSZ57" s="148"/>
      <c r="DTA57" s="148"/>
      <c r="DTB57" s="148"/>
      <c r="DTC57" s="148"/>
      <c r="DTD57" s="148"/>
      <c r="DTE57" s="148"/>
      <c r="DTF57" s="148"/>
      <c r="DTG57" s="148"/>
      <c r="DTH57" s="148"/>
      <c r="DTI57" s="148"/>
      <c r="DTJ57" s="148"/>
      <c r="DTK57" s="148"/>
      <c r="DTL57" s="148"/>
      <c r="DTM57" s="148"/>
      <c r="DTN57" s="148"/>
      <c r="DTO57" s="148"/>
      <c r="DTP57" s="148"/>
      <c r="DTQ57" s="148"/>
      <c r="DTR57" s="148"/>
      <c r="DTS57" s="148"/>
      <c r="DTT57" s="148"/>
      <c r="DTU57" s="148"/>
      <c r="DTV57" s="148"/>
      <c r="DTW57" s="148"/>
      <c r="DTX57" s="148"/>
      <c r="DTY57" s="148"/>
      <c r="DTZ57" s="148"/>
      <c r="DUA57" s="148"/>
      <c r="DUB57" s="148"/>
      <c r="DUC57" s="148"/>
      <c r="DUD57" s="148"/>
      <c r="DUE57" s="148"/>
      <c r="DUF57" s="148"/>
      <c r="DUG57" s="148"/>
      <c r="DUH57" s="148"/>
      <c r="DUI57" s="148"/>
      <c r="DUJ57" s="148"/>
      <c r="DUK57" s="148"/>
      <c r="DUL57" s="148"/>
      <c r="DUM57" s="148"/>
      <c r="DUN57" s="148"/>
      <c r="DUO57" s="148"/>
      <c r="DUP57" s="148"/>
      <c r="DUQ57" s="148"/>
      <c r="DUR57" s="148"/>
      <c r="DUS57" s="148"/>
      <c r="DUT57" s="148"/>
      <c r="DUU57" s="148"/>
      <c r="DUV57" s="148"/>
      <c r="DUW57" s="148"/>
      <c r="DUX57" s="148"/>
      <c r="DUY57" s="148"/>
      <c r="DUZ57" s="148"/>
      <c r="DVA57" s="148"/>
      <c r="DVB57" s="148"/>
      <c r="DVC57" s="148"/>
      <c r="DVD57" s="148"/>
      <c r="DVE57" s="148"/>
      <c r="DVF57" s="148"/>
      <c r="DVG57" s="148"/>
      <c r="DVH57" s="148"/>
      <c r="DVI57" s="148"/>
      <c r="DVJ57" s="148"/>
      <c r="DVK57" s="148"/>
      <c r="DVL57" s="148"/>
      <c r="DVM57" s="148"/>
      <c r="DVN57" s="148"/>
      <c r="DVO57" s="148"/>
      <c r="DVP57" s="148"/>
      <c r="DVQ57" s="148"/>
      <c r="DVR57" s="148"/>
      <c r="DVS57" s="148"/>
      <c r="DVT57" s="148"/>
      <c r="DVU57" s="148"/>
      <c r="DVV57" s="148"/>
      <c r="DVW57" s="148"/>
      <c r="DVX57" s="148"/>
      <c r="DVY57" s="148"/>
      <c r="DVZ57" s="148"/>
      <c r="DWA57" s="148"/>
      <c r="DWB57" s="148"/>
      <c r="DWC57" s="148"/>
      <c r="DWD57" s="148"/>
      <c r="DWE57" s="148"/>
      <c r="DWF57" s="148"/>
      <c r="DWG57" s="148"/>
      <c r="DWH57" s="148"/>
      <c r="DWI57" s="148"/>
      <c r="DWJ57" s="148"/>
      <c r="DWK57" s="148"/>
      <c r="DWL57" s="148"/>
      <c r="DWM57" s="148"/>
      <c r="DWN57" s="148"/>
      <c r="DWO57" s="148"/>
      <c r="DWP57" s="148"/>
      <c r="DWQ57" s="148"/>
      <c r="DWR57" s="148"/>
      <c r="DWS57" s="148"/>
      <c r="DWT57" s="148"/>
      <c r="DWU57" s="148"/>
      <c r="DWV57" s="148"/>
      <c r="DWW57" s="148"/>
      <c r="DWX57" s="148"/>
      <c r="DWY57" s="148"/>
      <c r="DWZ57" s="148"/>
      <c r="DXA57" s="148"/>
      <c r="DXB57" s="148"/>
      <c r="DXC57" s="148"/>
      <c r="DXD57" s="148"/>
      <c r="DXE57" s="148"/>
      <c r="DXF57" s="148"/>
      <c r="DXG57" s="148"/>
      <c r="DXH57" s="148"/>
      <c r="DXI57" s="148"/>
      <c r="DXJ57" s="148"/>
      <c r="DXK57" s="148"/>
      <c r="DXL57" s="148"/>
      <c r="DXM57" s="148"/>
      <c r="DXN57" s="148"/>
      <c r="DXO57" s="148"/>
      <c r="DXP57" s="148"/>
      <c r="DXQ57" s="148"/>
      <c r="DXR57" s="148"/>
      <c r="DXS57" s="148"/>
      <c r="DXT57" s="148"/>
      <c r="DXU57" s="148"/>
      <c r="DXV57" s="148"/>
      <c r="DXW57" s="148"/>
      <c r="DXX57" s="148"/>
      <c r="DXY57" s="148"/>
      <c r="DXZ57" s="148"/>
      <c r="DYA57" s="148"/>
      <c r="DYB57" s="148"/>
      <c r="DYC57" s="148"/>
      <c r="DYD57" s="148"/>
      <c r="DYE57" s="148"/>
      <c r="DYF57" s="148"/>
      <c r="DYG57" s="148"/>
      <c r="DYH57" s="148"/>
      <c r="DYI57" s="148"/>
      <c r="DYJ57" s="148"/>
      <c r="DYK57" s="148"/>
      <c r="DYL57" s="148"/>
      <c r="DYM57" s="148"/>
      <c r="DYN57" s="148"/>
      <c r="DYO57" s="148"/>
      <c r="DYP57" s="148"/>
      <c r="DYQ57" s="148"/>
      <c r="DYR57" s="148"/>
      <c r="DYS57" s="148"/>
      <c r="DYT57" s="148"/>
      <c r="DYU57" s="148"/>
      <c r="DYV57" s="148"/>
      <c r="DYW57" s="148"/>
      <c r="DYX57" s="148"/>
      <c r="DYY57" s="148"/>
      <c r="DYZ57" s="148"/>
      <c r="DZA57" s="148"/>
      <c r="DZB57" s="148"/>
      <c r="DZC57" s="148"/>
      <c r="DZD57" s="148"/>
      <c r="DZE57" s="148"/>
      <c r="DZF57" s="148"/>
      <c r="DZG57" s="148"/>
      <c r="DZH57" s="148"/>
      <c r="DZI57" s="148"/>
      <c r="DZJ57" s="148"/>
      <c r="DZK57" s="148"/>
      <c r="DZL57" s="148"/>
      <c r="DZM57" s="148"/>
      <c r="DZN57" s="148"/>
      <c r="DZO57" s="148"/>
      <c r="DZP57" s="148"/>
      <c r="DZQ57" s="148"/>
      <c r="DZR57" s="148"/>
      <c r="DZS57" s="148"/>
      <c r="DZT57" s="148"/>
      <c r="DZU57" s="148"/>
      <c r="DZV57" s="148"/>
      <c r="DZW57" s="148"/>
      <c r="DZX57" s="148"/>
      <c r="DZY57" s="148"/>
      <c r="DZZ57" s="148"/>
      <c r="EAA57" s="148"/>
      <c r="EAB57" s="148"/>
      <c r="EAC57" s="148"/>
      <c r="EAD57" s="148"/>
      <c r="EAE57" s="148"/>
      <c r="EAF57" s="148"/>
      <c r="EAG57" s="148"/>
      <c r="EAH57" s="148"/>
      <c r="EAI57" s="148"/>
      <c r="EAJ57" s="148"/>
      <c r="EAK57" s="148"/>
      <c r="EAL57" s="148"/>
      <c r="EAM57" s="148"/>
      <c r="EAN57" s="148"/>
      <c r="EAO57" s="148"/>
      <c r="EAP57" s="148"/>
      <c r="EAQ57" s="148"/>
      <c r="EAR57" s="148"/>
      <c r="EAS57" s="148"/>
      <c r="EAT57" s="148"/>
      <c r="EAU57" s="148"/>
      <c r="EAV57" s="148"/>
      <c r="EAW57" s="148"/>
      <c r="EAX57" s="148"/>
      <c r="EAY57" s="148"/>
      <c r="EAZ57" s="148"/>
      <c r="EBA57" s="148"/>
      <c r="EBB57" s="148"/>
      <c r="EBC57" s="148"/>
      <c r="EBD57" s="148"/>
      <c r="EBE57" s="148"/>
      <c r="EBF57" s="148"/>
      <c r="EBG57" s="148"/>
      <c r="EBH57" s="148"/>
      <c r="EBI57" s="148"/>
      <c r="EBJ57" s="148"/>
      <c r="EBK57" s="148"/>
      <c r="EBL57" s="148"/>
      <c r="EBM57" s="148"/>
      <c r="EBN57" s="148"/>
      <c r="EBO57" s="148"/>
      <c r="EBP57" s="148"/>
      <c r="EBQ57" s="148"/>
      <c r="EBR57" s="148"/>
      <c r="EBS57" s="148"/>
      <c r="EBT57" s="148"/>
      <c r="EBU57" s="148"/>
      <c r="EBV57" s="148"/>
      <c r="EBW57" s="148"/>
      <c r="EBX57" s="148"/>
      <c r="EBY57" s="148"/>
      <c r="EBZ57" s="148"/>
      <c r="ECA57" s="148"/>
      <c r="ECB57" s="148"/>
      <c r="ECC57" s="148"/>
      <c r="ECD57" s="148"/>
      <c r="ECE57" s="148"/>
      <c r="ECF57" s="148"/>
      <c r="ECG57" s="148"/>
      <c r="ECH57" s="148"/>
      <c r="ECI57" s="148"/>
      <c r="ECJ57" s="148"/>
      <c r="ECK57" s="148"/>
      <c r="ECL57" s="148"/>
      <c r="ECM57" s="148"/>
      <c r="ECN57" s="148"/>
      <c r="ECO57" s="148"/>
      <c r="ECP57" s="148"/>
      <c r="ECQ57" s="148"/>
      <c r="ECR57" s="148"/>
      <c r="ECS57" s="148"/>
      <c r="ECT57" s="148"/>
      <c r="ECU57" s="148"/>
      <c r="ECV57" s="148"/>
      <c r="ECW57" s="148"/>
      <c r="ECX57" s="148"/>
      <c r="ECY57" s="148"/>
      <c r="ECZ57" s="148"/>
      <c r="EDA57" s="148"/>
      <c r="EDB57" s="148"/>
      <c r="EDC57" s="148"/>
      <c r="EDD57" s="148"/>
      <c r="EDE57" s="148"/>
      <c r="EDF57" s="148"/>
      <c r="EDG57" s="148"/>
      <c r="EDH57" s="148"/>
      <c r="EDI57" s="148"/>
      <c r="EDJ57" s="148"/>
      <c r="EDK57" s="148"/>
      <c r="EDL57" s="148"/>
      <c r="EDM57" s="148"/>
      <c r="EDN57" s="148"/>
      <c r="EDO57" s="148"/>
      <c r="EDP57" s="148"/>
      <c r="EDQ57" s="148"/>
      <c r="EDR57" s="148"/>
      <c r="EDS57" s="148"/>
      <c r="EDT57" s="148"/>
      <c r="EDU57" s="148"/>
      <c r="EDV57" s="148"/>
      <c r="EDW57" s="148"/>
      <c r="EDX57" s="148"/>
      <c r="EDY57" s="148"/>
      <c r="EDZ57" s="148"/>
      <c r="EEA57" s="148"/>
      <c r="EEB57" s="148"/>
      <c r="EEC57" s="148"/>
      <c r="EED57" s="148"/>
      <c r="EEE57" s="148"/>
      <c r="EEF57" s="148"/>
      <c r="EEG57" s="148"/>
      <c r="EEH57" s="148"/>
      <c r="EEI57" s="148"/>
      <c r="EEJ57" s="148"/>
      <c r="EEK57" s="148"/>
      <c r="EEL57" s="148"/>
      <c r="EEM57" s="148"/>
      <c r="EEN57" s="148"/>
      <c r="EEO57" s="148"/>
      <c r="EEP57" s="148"/>
      <c r="EEQ57" s="148"/>
      <c r="EER57" s="148"/>
      <c r="EES57" s="148"/>
      <c r="EET57" s="148"/>
      <c r="EEU57" s="148"/>
      <c r="EEV57" s="148"/>
      <c r="EEW57" s="148"/>
      <c r="EEX57" s="148"/>
      <c r="EEY57" s="148"/>
      <c r="EEZ57" s="148"/>
      <c r="EFA57" s="148"/>
      <c r="EFB57" s="148"/>
      <c r="EFC57" s="148"/>
      <c r="EFD57" s="148"/>
      <c r="EFE57" s="148"/>
      <c r="EFF57" s="148"/>
      <c r="EFG57" s="148"/>
      <c r="EFH57" s="148"/>
      <c r="EFI57" s="148"/>
      <c r="EFJ57" s="148"/>
      <c r="EFK57" s="148"/>
      <c r="EFL57" s="148"/>
      <c r="EFM57" s="148"/>
      <c r="EFN57" s="148"/>
      <c r="EFO57" s="148"/>
      <c r="EFP57" s="148"/>
      <c r="EFQ57" s="148"/>
      <c r="EFR57" s="148"/>
      <c r="EFS57" s="148"/>
      <c r="EFT57" s="148"/>
      <c r="EFU57" s="148"/>
      <c r="EFV57" s="148"/>
      <c r="EFW57" s="148"/>
      <c r="EFX57" s="148"/>
      <c r="EFY57" s="148"/>
      <c r="EFZ57" s="148"/>
      <c r="EGA57" s="148"/>
      <c r="EGB57" s="148"/>
      <c r="EGC57" s="148"/>
      <c r="EGD57" s="148"/>
      <c r="EGE57" s="148"/>
      <c r="EGF57" s="148"/>
      <c r="EGG57" s="148"/>
      <c r="EGH57" s="148"/>
      <c r="EGI57" s="148"/>
      <c r="EGJ57" s="148"/>
      <c r="EGK57" s="148"/>
      <c r="EGL57" s="148"/>
      <c r="EGM57" s="148"/>
      <c r="EGN57" s="148"/>
      <c r="EGO57" s="148"/>
      <c r="EGP57" s="148"/>
      <c r="EGQ57" s="148"/>
      <c r="EGR57" s="148"/>
      <c r="EGS57" s="148"/>
      <c r="EGT57" s="148"/>
      <c r="EGU57" s="148"/>
      <c r="EGV57" s="148"/>
      <c r="EGW57" s="148"/>
      <c r="EGX57" s="148"/>
      <c r="EGY57" s="148"/>
      <c r="EGZ57" s="148"/>
      <c r="EHA57" s="148"/>
      <c r="EHB57" s="148"/>
      <c r="EHC57" s="148"/>
      <c r="EHD57" s="148"/>
      <c r="EHE57" s="148"/>
      <c r="EHF57" s="148"/>
      <c r="EHG57" s="148"/>
      <c r="EHH57" s="148"/>
      <c r="EHI57" s="148"/>
      <c r="EHJ57" s="148"/>
      <c r="EHK57" s="148"/>
      <c r="EHL57" s="148"/>
      <c r="EHM57" s="148"/>
      <c r="EHN57" s="148"/>
      <c r="EHO57" s="148"/>
      <c r="EHP57" s="148"/>
      <c r="EHQ57" s="148"/>
      <c r="EHR57" s="148"/>
      <c r="EHS57" s="148"/>
      <c r="EHT57" s="148"/>
      <c r="EHU57" s="148"/>
      <c r="EHV57" s="148"/>
      <c r="EHW57" s="148"/>
      <c r="EHX57" s="148"/>
      <c r="EHY57" s="148"/>
      <c r="EHZ57" s="148"/>
      <c r="EIA57" s="148"/>
      <c r="EIB57" s="148"/>
      <c r="EIC57" s="148"/>
      <c r="EID57" s="148"/>
      <c r="EIE57" s="148"/>
      <c r="EIF57" s="148"/>
      <c r="EIG57" s="148"/>
      <c r="EIH57" s="148"/>
      <c r="EII57" s="148"/>
      <c r="EIJ57" s="148"/>
      <c r="EIK57" s="148"/>
      <c r="EIL57" s="148"/>
      <c r="EIM57" s="148"/>
      <c r="EIN57" s="148"/>
      <c r="EIO57" s="148"/>
      <c r="EIP57" s="148"/>
      <c r="EIQ57" s="148"/>
      <c r="EIR57" s="148"/>
      <c r="EIS57" s="148"/>
      <c r="EIT57" s="148"/>
      <c r="EIU57" s="148"/>
      <c r="EIV57" s="148"/>
      <c r="EIW57" s="148"/>
      <c r="EIX57" s="148"/>
      <c r="EIY57" s="148"/>
      <c r="EIZ57" s="148"/>
      <c r="EJA57" s="148"/>
      <c r="EJB57" s="148"/>
      <c r="EJC57" s="148"/>
      <c r="EJD57" s="148"/>
      <c r="EJE57" s="148"/>
      <c r="EJF57" s="148"/>
      <c r="EJG57" s="148"/>
      <c r="EJH57" s="148"/>
      <c r="EJI57" s="148"/>
      <c r="EJJ57" s="148"/>
      <c r="EJK57" s="148"/>
      <c r="EJL57" s="148"/>
      <c r="EJM57" s="148"/>
      <c r="EJN57" s="148"/>
      <c r="EJO57" s="148"/>
      <c r="EJP57" s="148"/>
      <c r="EJQ57" s="148"/>
      <c r="EJR57" s="148"/>
      <c r="EJS57" s="148"/>
      <c r="EJT57" s="148"/>
      <c r="EJU57" s="148"/>
      <c r="EJV57" s="148"/>
      <c r="EJW57" s="148"/>
      <c r="EJX57" s="148"/>
      <c r="EJY57" s="148"/>
      <c r="EJZ57" s="148"/>
      <c r="EKA57" s="148"/>
      <c r="EKB57" s="148"/>
      <c r="EKC57" s="148"/>
      <c r="EKD57" s="148"/>
      <c r="EKE57" s="148"/>
      <c r="EKF57" s="148"/>
      <c r="EKG57" s="148"/>
      <c r="EKH57" s="148"/>
      <c r="EKI57" s="148"/>
      <c r="EKJ57" s="148"/>
      <c r="EKK57" s="148"/>
      <c r="EKL57" s="148"/>
      <c r="EKM57" s="148"/>
      <c r="EKN57" s="148"/>
      <c r="EKO57" s="148"/>
      <c r="EKP57" s="148"/>
      <c r="EKQ57" s="148"/>
      <c r="EKR57" s="148"/>
      <c r="EKS57" s="148"/>
      <c r="EKT57" s="148"/>
      <c r="EKU57" s="148"/>
      <c r="EKV57" s="148"/>
      <c r="EKW57" s="148"/>
      <c r="EKX57" s="148"/>
      <c r="EKY57" s="148"/>
      <c r="EKZ57" s="148"/>
      <c r="ELA57" s="148"/>
      <c r="ELB57" s="148"/>
      <c r="ELC57" s="148"/>
      <c r="ELD57" s="148"/>
      <c r="ELE57" s="148"/>
      <c r="ELF57" s="148"/>
      <c r="ELG57" s="148"/>
      <c r="ELH57" s="148"/>
      <c r="ELI57" s="148"/>
      <c r="ELJ57" s="148"/>
      <c r="ELK57" s="148"/>
      <c r="ELL57" s="148"/>
      <c r="ELM57" s="148"/>
      <c r="ELN57" s="148"/>
      <c r="ELO57" s="148"/>
      <c r="ELP57" s="148"/>
      <c r="ELQ57" s="148"/>
      <c r="ELR57" s="148"/>
      <c r="ELS57" s="148"/>
      <c r="ELT57" s="148"/>
      <c r="ELU57" s="148"/>
      <c r="ELV57" s="148"/>
      <c r="ELW57" s="148"/>
      <c r="ELX57" s="148"/>
      <c r="ELY57" s="148"/>
      <c r="ELZ57" s="148"/>
      <c r="EMA57" s="148"/>
      <c r="EMB57" s="148"/>
      <c r="EMC57" s="148"/>
      <c r="EMD57" s="148"/>
      <c r="EME57" s="148"/>
      <c r="EMF57" s="148"/>
      <c r="EMG57" s="148"/>
      <c r="EMH57" s="148"/>
      <c r="EMI57" s="148"/>
      <c r="EMJ57" s="148"/>
      <c r="EMK57" s="148"/>
      <c r="EML57" s="148"/>
      <c r="EMM57" s="148"/>
      <c r="EMN57" s="148"/>
      <c r="EMO57" s="148"/>
      <c r="EMP57" s="148"/>
      <c r="EMQ57" s="148"/>
      <c r="EMR57" s="148"/>
      <c r="EMS57" s="148"/>
      <c r="EMT57" s="148"/>
      <c r="EMU57" s="148"/>
      <c r="EMV57" s="148"/>
      <c r="EMW57" s="148"/>
      <c r="EMX57" s="148"/>
      <c r="EMY57" s="148"/>
      <c r="EMZ57" s="148"/>
      <c r="ENA57" s="148"/>
      <c r="ENB57" s="148"/>
      <c r="ENC57" s="148"/>
      <c r="END57" s="148"/>
      <c r="ENE57" s="148"/>
      <c r="ENF57" s="148"/>
      <c r="ENG57" s="148"/>
      <c r="ENH57" s="148"/>
      <c r="ENI57" s="148"/>
      <c r="ENJ57" s="148"/>
      <c r="ENK57" s="148"/>
      <c r="ENL57" s="148"/>
      <c r="ENM57" s="148"/>
      <c r="ENN57" s="148"/>
      <c r="ENO57" s="148"/>
      <c r="ENP57" s="148"/>
      <c r="ENQ57" s="148"/>
      <c r="ENR57" s="148"/>
      <c r="ENS57" s="148"/>
      <c r="ENT57" s="148"/>
      <c r="ENU57" s="148"/>
      <c r="ENV57" s="148"/>
      <c r="ENW57" s="148"/>
      <c r="ENX57" s="148"/>
      <c r="ENY57" s="148"/>
      <c r="ENZ57" s="148"/>
      <c r="EOA57" s="148"/>
      <c r="EOB57" s="148"/>
      <c r="EOC57" s="148"/>
      <c r="EOD57" s="148"/>
      <c r="EOE57" s="148"/>
      <c r="EOF57" s="148"/>
      <c r="EOG57" s="148"/>
      <c r="EOH57" s="148"/>
      <c r="EOI57" s="148"/>
      <c r="EOJ57" s="148"/>
      <c r="EOK57" s="148"/>
      <c r="EOL57" s="148"/>
      <c r="EOM57" s="148"/>
      <c r="EON57" s="148"/>
      <c r="EOO57" s="148"/>
      <c r="EOP57" s="148"/>
      <c r="EOQ57" s="148"/>
      <c r="EOR57" s="148"/>
      <c r="EOS57" s="148"/>
      <c r="EOT57" s="148"/>
      <c r="EOU57" s="148"/>
      <c r="EOV57" s="148"/>
      <c r="EOW57" s="148"/>
      <c r="EOX57" s="148"/>
      <c r="EOY57" s="148"/>
      <c r="EOZ57" s="148"/>
      <c r="EPA57" s="148"/>
      <c r="EPB57" s="148"/>
      <c r="EPC57" s="148"/>
      <c r="EPD57" s="148"/>
      <c r="EPE57" s="148"/>
      <c r="EPF57" s="148"/>
      <c r="EPG57" s="148"/>
      <c r="EPH57" s="148"/>
      <c r="EPI57" s="148"/>
      <c r="EPJ57" s="148"/>
      <c r="EPK57" s="148"/>
      <c r="EPL57" s="148"/>
      <c r="EPM57" s="148"/>
      <c r="EPN57" s="148"/>
      <c r="EPO57" s="148"/>
      <c r="EPP57" s="148"/>
      <c r="EPQ57" s="148"/>
      <c r="EPR57" s="148"/>
      <c r="EPS57" s="148"/>
      <c r="EPT57" s="148"/>
      <c r="EPU57" s="148"/>
      <c r="EPV57" s="148"/>
      <c r="EPW57" s="148"/>
      <c r="EPX57" s="148"/>
      <c r="EPY57" s="148"/>
      <c r="EPZ57" s="148"/>
      <c r="EQA57" s="148"/>
      <c r="EQB57" s="148"/>
      <c r="EQC57" s="148"/>
      <c r="EQD57" s="148"/>
      <c r="EQE57" s="148"/>
      <c r="EQF57" s="148"/>
      <c r="EQG57" s="148"/>
      <c r="EQH57" s="148"/>
      <c r="EQI57" s="148"/>
      <c r="EQJ57" s="148"/>
      <c r="EQK57" s="148"/>
      <c r="EQL57" s="148"/>
      <c r="EQM57" s="148"/>
      <c r="EQN57" s="148"/>
      <c r="EQO57" s="148"/>
      <c r="EQP57" s="148"/>
      <c r="EQQ57" s="148"/>
      <c r="EQR57" s="148"/>
      <c r="EQS57" s="148"/>
      <c r="EQT57" s="148"/>
      <c r="EQU57" s="148"/>
      <c r="EQV57" s="148"/>
      <c r="EQW57" s="148"/>
      <c r="EQX57" s="148"/>
      <c r="EQY57" s="148"/>
      <c r="EQZ57" s="148"/>
      <c r="ERA57" s="148"/>
      <c r="ERB57" s="148"/>
      <c r="ERC57" s="148"/>
      <c r="ERD57" s="148"/>
      <c r="ERE57" s="148"/>
      <c r="ERF57" s="148"/>
      <c r="ERG57" s="148"/>
      <c r="ERH57" s="148"/>
      <c r="ERI57" s="148"/>
      <c r="ERJ57" s="148"/>
      <c r="ERK57" s="148"/>
      <c r="ERL57" s="148"/>
      <c r="ERM57" s="148"/>
      <c r="ERN57" s="148"/>
      <c r="ERO57" s="148"/>
      <c r="ERP57" s="148"/>
      <c r="ERQ57" s="148"/>
      <c r="ERR57" s="148"/>
      <c r="ERS57" s="148"/>
      <c r="ERT57" s="148"/>
      <c r="ERU57" s="148"/>
      <c r="ERV57" s="148"/>
      <c r="ERW57" s="148"/>
      <c r="ERX57" s="148"/>
      <c r="ERY57" s="148"/>
      <c r="ERZ57" s="148"/>
      <c r="ESA57" s="148"/>
      <c r="ESB57" s="148"/>
      <c r="ESC57" s="148"/>
      <c r="ESD57" s="148"/>
      <c r="ESE57" s="148"/>
      <c r="ESF57" s="148"/>
      <c r="ESG57" s="148"/>
      <c r="ESH57" s="148"/>
      <c r="ESI57" s="148"/>
      <c r="ESJ57" s="148"/>
      <c r="ESK57" s="148"/>
      <c r="ESL57" s="148"/>
      <c r="ESM57" s="148"/>
      <c r="ESN57" s="148"/>
      <c r="ESO57" s="148"/>
      <c r="ESP57" s="148"/>
      <c r="ESQ57" s="148"/>
      <c r="ESR57" s="148"/>
      <c r="ESS57" s="148"/>
      <c r="EST57" s="148"/>
      <c r="ESU57" s="148"/>
      <c r="ESV57" s="148"/>
      <c r="ESW57" s="148"/>
      <c r="ESX57" s="148"/>
      <c r="ESY57" s="148"/>
      <c r="ESZ57" s="148"/>
      <c r="ETA57" s="148"/>
      <c r="ETB57" s="148"/>
      <c r="ETC57" s="148"/>
      <c r="ETD57" s="148"/>
      <c r="ETE57" s="148"/>
      <c r="ETF57" s="148"/>
      <c r="ETG57" s="148"/>
      <c r="ETH57" s="148"/>
      <c r="ETI57" s="148"/>
      <c r="ETJ57" s="148"/>
      <c r="ETK57" s="148"/>
      <c r="ETL57" s="148"/>
      <c r="ETM57" s="148"/>
      <c r="ETN57" s="148"/>
      <c r="ETO57" s="148"/>
      <c r="ETP57" s="148"/>
      <c r="ETQ57" s="148"/>
      <c r="ETR57" s="148"/>
      <c r="ETS57" s="148"/>
      <c r="ETT57" s="148"/>
      <c r="ETU57" s="148"/>
      <c r="ETV57" s="148"/>
      <c r="ETW57" s="148"/>
      <c r="ETX57" s="148"/>
      <c r="ETY57" s="148"/>
      <c r="ETZ57" s="148"/>
      <c r="EUA57" s="148"/>
      <c r="EUB57" s="148"/>
      <c r="EUC57" s="148"/>
      <c r="EUD57" s="148"/>
      <c r="EUE57" s="148"/>
      <c r="EUF57" s="148"/>
      <c r="EUG57" s="148"/>
      <c r="EUH57" s="148"/>
      <c r="EUI57" s="148"/>
      <c r="EUJ57" s="148"/>
      <c r="EUK57" s="148"/>
      <c r="EUL57" s="148"/>
      <c r="EUM57" s="148"/>
      <c r="EUN57" s="148"/>
      <c r="EUO57" s="148"/>
      <c r="EUP57" s="148"/>
      <c r="EUQ57" s="148"/>
      <c r="EUR57" s="148"/>
      <c r="EUS57" s="148"/>
      <c r="EUT57" s="148"/>
      <c r="EUU57" s="148"/>
      <c r="EUV57" s="148"/>
      <c r="EUW57" s="148"/>
      <c r="EUX57" s="148"/>
      <c r="EUY57" s="148"/>
      <c r="EUZ57" s="148"/>
      <c r="EVA57" s="148"/>
      <c r="EVB57" s="148"/>
      <c r="EVC57" s="148"/>
      <c r="EVD57" s="148"/>
      <c r="EVE57" s="148"/>
      <c r="EVF57" s="148"/>
      <c r="EVG57" s="148"/>
      <c r="EVH57" s="148"/>
      <c r="EVI57" s="148"/>
      <c r="EVJ57" s="148"/>
      <c r="EVK57" s="148"/>
      <c r="EVL57" s="148"/>
      <c r="EVM57" s="148"/>
      <c r="EVN57" s="148"/>
      <c r="EVO57" s="148"/>
      <c r="EVP57" s="148"/>
      <c r="EVQ57" s="148"/>
      <c r="EVR57" s="148"/>
      <c r="EVS57" s="148"/>
      <c r="EVT57" s="148"/>
      <c r="EVU57" s="148"/>
      <c r="EVV57" s="148"/>
      <c r="EVW57" s="148"/>
      <c r="EVX57" s="148"/>
      <c r="EVY57" s="148"/>
      <c r="EVZ57" s="148"/>
      <c r="EWA57" s="148"/>
      <c r="EWB57" s="148"/>
      <c r="EWC57" s="148"/>
      <c r="EWD57" s="148"/>
      <c r="EWE57" s="148"/>
      <c r="EWF57" s="148"/>
      <c r="EWG57" s="148"/>
      <c r="EWH57" s="148"/>
      <c r="EWI57" s="148"/>
      <c r="EWJ57" s="148"/>
      <c r="EWK57" s="148"/>
      <c r="EWL57" s="148"/>
      <c r="EWM57" s="148"/>
      <c r="EWN57" s="148"/>
      <c r="EWO57" s="148"/>
      <c r="EWP57" s="148"/>
      <c r="EWQ57" s="148"/>
      <c r="EWR57" s="148"/>
      <c r="EWS57" s="148"/>
      <c r="EWT57" s="148"/>
      <c r="EWU57" s="148"/>
      <c r="EWV57" s="148"/>
      <c r="EWW57" s="148"/>
      <c r="EWX57" s="148"/>
      <c r="EWY57" s="148"/>
      <c r="EWZ57" s="148"/>
      <c r="EXA57" s="148"/>
      <c r="EXB57" s="148"/>
      <c r="EXC57" s="148"/>
      <c r="EXD57" s="148"/>
      <c r="EXE57" s="148"/>
      <c r="EXF57" s="148"/>
      <c r="EXG57" s="148"/>
      <c r="EXH57" s="148"/>
      <c r="EXI57" s="148"/>
      <c r="EXJ57" s="148"/>
      <c r="EXK57" s="148"/>
      <c r="EXL57" s="148"/>
      <c r="EXM57" s="148"/>
      <c r="EXN57" s="148"/>
      <c r="EXO57" s="148"/>
      <c r="EXP57" s="148"/>
      <c r="EXQ57" s="148"/>
      <c r="EXR57" s="148"/>
      <c r="EXS57" s="148"/>
      <c r="EXT57" s="148"/>
      <c r="EXU57" s="148"/>
      <c r="EXV57" s="148"/>
      <c r="EXW57" s="148"/>
      <c r="EXX57" s="148"/>
      <c r="EXY57" s="148"/>
      <c r="EXZ57" s="148"/>
      <c r="EYA57" s="148"/>
      <c r="EYB57" s="148"/>
      <c r="EYC57" s="148"/>
      <c r="EYD57" s="148"/>
      <c r="EYE57" s="148"/>
      <c r="EYF57" s="148"/>
      <c r="EYG57" s="148"/>
      <c r="EYH57" s="148"/>
      <c r="EYI57" s="148"/>
      <c r="EYJ57" s="148"/>
      <c r="EYK57" s="148"/>
      <c r="EYL57" s="148"/>
      <c r="EYM57" s="148"/>
      <c r="EYN57" s="148"/>
      <c r="EYO57" s="148"/>
      <c r="EYP57" s="148"/>
      <c r="EYQ57" s="148"/>
      <c r="EYR57" s="148"/>
      <c r="EYS57" s="148"/>
      <c r="EYT57" s="148"/>
      <c r="EYU57" s="148"/>
      <c r="EYV57" s="148"/>
      <c r="EYW57" s="148"/>
      <c r="EYX57" s="148"/>
      <c r="EYY57" s="148"/>
      <c r="EYZ57" s="148"/>
      <c r="EZA57" s="148"/>
      <c r="EZB57" s="148"/>
      <c r="EZC57" s="148"/>
      <c r="EZD57" s="148"/>
      <c r="EZE57" s="148"/>
      <c r="EZF57" s="148"/>
      <c r="EZG57" s="148"/>
      <c r="EZH57" s="148"/>
      <c r="EZI57" s="148"/>
      <c r="EZJ57" s="148"/>
      <c r="EZK57" s="148"/>
      <c r="EZL57" s="148"/>
      <c r="EZM57" s="148"/>
      <c r="EZN57" s="148"/>
      <c r="EZO57" s="148"/>
      <c r="EZP57" s="148"/>
      <c r="EZQ57" s="148"/>
      <c r="EZR57" s="148"/>
      <c r="EZS57" s="148"/>
      <c r="EZT57" s="148"/>
      <c r="EZU57" s="148"/>
      <c r="EZV57" s="148"/>
      <c r="EZW57" s="148"/>
      <c r="EZX57" s="148"/>
      <c r="EZY57" s="148"/>
      <c r="EZZ57" s="148"/>
      <c r="FAA57" s="148"/>
      <c r="FAB57" s="148"/>
      <c r="FAC57" s="148"/>
      <c r="FAD57" s="148"/>
      <c r="FAE57" s="148"/>
      <c r="FAF57" s="148"/>
      <c r="FAG57" s="148"/>
      <c r="FAH57" s="148"/>
      <c r="FAI57" s="148"/>
      <c r="FAJ57" s="148"/>
      <c r="FAK57" s="148"/>
      <c r="FAL57" s="148"/>
      <c r="FAM57" s="148"/>
      <c r="FAN57" s="148"/>
      <c r="FAO57" s="148"/>
      <c r="FAP57" s="148"/>
      <c r="FAQ57" s="148"/>
      <c r="FAR57" s="148"/>
      <c r="FAS57" s="148"/>
      <c r="FAT57" s="148"/>
      <c r="FAU57" s="148"/>
      <c r="FAV57" s="148"/>
      <c r="FAW57" s="148"/>
      <c r="FAX57" s="148"/>
      <c r="FAY57" s="148"/>
      <c r="FAZ57" s="148"/>
      <c r="FBA57" s="148"/>
      <c r="FBB57" s="148"/>
      <c r="FBC57" s="148"/>
      <c r="FBD57" s="148"/>
      <c r="FBE57" s="148"/>
      <c r="FBF57" s="148"/>
      <c r="FBG57" s="148"/>
      <c r="FBH57" s="148"/>
      <c r="FBI57" s="148"/>
      <c r="FBJ57" s="148"/>
      <c r="FBK57" s="148"/>
      <c r="FBL57" s="148"/>
      <c r="FBM57" s="148"/>
      <c r="FBN57" s="148"/>
      <c r="FBO57" s="148"/>
      <c r="FBP57" s="148"/>
      <c r="FBQ57" s="148"/>
      <c r="FBR57" s="148"/>
      <c r="FBS57" s="148"/>
      <c r="FBT57" s="148"/>
      <c r="FBU57" s="148"/>
      <c r="FBV57" s="148"/>
      <c r="FBW57" s="148"/>
      <c r="FBX57" s="148"/>
      <c r="FBY57" s="148"/>
      <c r="FBZ57" s="148"/>
      <c r="FCA57" s="148"/>
      <c r="FCB57" s="148"/>
      <c r="FCC57" s="148"/>
      <c r="FCD57" s="148"/>
      <c r="FCE57" s="148"/>
      <c r="FCF57" s="148"/>
      <c r="FCG57" s="148"/>
      <c r="FCH57" s="148"/>
      <c r="FCI57" s="148"/>
      <c r="FCJ57" s="148"/>
      <c r="FCK57" s="148"/>
      <c r="FCL57" s="148"/>
      <c r="FCM57" s="148"/>
      <c r="FCN57" s="148"/>
      <c r="FCO57" s="148"/>
      <c r="FCP57" s="148"/>
      <c r="FCQ57" s="148"/>
      <c r="FCR57" s="148"/>
      <c r="FCS57" s="148"/>
      <c r="FCT57" s="148"/>
      <c r="FCU57" s="148"/>
      <c r="FCV57" s="148"/>
      <c r="FCW57" s="148"/>
      <c r="FCX57" s="148"/>
      <c r="FCY57" s="148"/>
      <c r="FCZ57" s="148"/>
      <c r="FDA57" s="148"/>
      <c r="FDB57" s="148"/>
      <c r="FDC57" s="148"/>
      <c r="FDD57" s="148"/>
      <c r="FDE57" s="148"/>
      <c r="FDF57" s="148"/>
      <c r="FDG57" s="148"/>
      <c r="FDH57" s="148"/>
      <c r="FDI57" s="148"/>
      <c r="FDJ57" s="148"/>
      <c r="FDK57" s="148"/>
      <c r="FDL57" s="148"/>
      <c r="FDM57" s="148"/>
      <c r="FDN57" s="148"/>
      <c r="FDO57" s="148"/>
      <c r="FDP57" s="148"/>
      <c r="FDQ57" s="148"/>
      <c r="FDR57" s="148"/>
      <c r="FDS57" s="148"/>
      <c r="FDT57" s="148"/>
      <c r="FDU57" s="148"/>
      <c r="FDV57" s="148"/>
      <c r="FDW57" s="148"/>
      <c r="FDX57" s="148"/>
      <c r="FDY57" s="148"/>
      <c r="FDZ57" s="148"/>
      <c r="FEA57" s="148"/>
      <c r="FEB57" s="148"/>
      <c r="FEC57" s="148"/>
      <c r="FED57" s="148"/>
      <c r="FEE57" s="148"/>
      <c r="FEF57" s="148"/>
      <c r="FEG57" s="148"/>
      <c r="FEH57" s="148"/>
      <c r="FEI57" s="148"/>
      <c r="FEJ57" s="148"/>
      <c r="FEK57" s="148"/>
      <c r="FEL57" s="148"/>
      <c r="FEM57" s="148"/>
      <c r="FEN57" s="148"/>
      <c r="FEO57" s="148"/>
      <c r="FEP57" s="148"/>
      <c r="FEQ57" s="148"/>
      <c r="FER57" s="148"/>
      <c r="FES57" s="148"/>
      <c r="FET57" s="148"/>
      <c r="FEU57" s="148"/>
      <c r="FEV57" s="148"/>
      <c r="FEW57" s="148"/>
      <c r="FEX57" s="148"/>
      <c r="FEY57" s="148"/>
      <c r="FEZ57" s="148"/>
      <c r="FFA57" s="148"/>
      <c r="FFB57" s="148"/>
      <c r="FFC57" s="148"/>
      <c r="FFD57" s="148"/>
      <c r="FFE57" s="148"/>
      <c r="FFF57" s="148"/>
      <c r="FFG57" s="148"/>
      <c r="FFH57" s="148"/>
      <c r="FFI57" s="148"/>
      <c r="FFJ57" s="148"/>
      <c r="FFK57" s="148"/>
      <c r="FFL57" s="148"/>
      <c r="FFM57" s="148"/>
      <c r="FFN57" s="148"/>
      <c r="FFO57" s="148"/>
      <c r="FFP57" s="148"/>
      <c r="FFQ57" s="148"/>
      <c r="FFR57" s="148"/>
      <c r="FFS57" s="148"/>
      <c r="FFT57" s="148"/>
      <c r="FFU57" s="148"/>
      <c r="FFV57" s="148"/>
      <c r="FFW57" s="148"/>
      <c r="FFX57" s="148"/>
      <c r="FFY57" s="148"/>
      <c r="FFZ57" s="148"/>
      <c r="FGA57" s="148"/>
      <c r="FGB57" s="148"/>
      <c r="FGC57" s="148"/>
      <c r="FGD57" s="148"/>
      <c r="FGE57" s="148"/>
      <c r="FGF57" s="148"/>
      <c r="FGG57" s="148"/>
      <c r="FGH57" s="148"/>
      <c r="FGI57" s="148"/>
      <c r="FGJ57" s="148"/>
      <c r="FGK57" s="148"/>
      <c r="FGL57" s="148"/>
      <c r="FGM57" s="148"/>
      <c r="FGN57" s="148"/>
      <c r="FGO57" s="148"/>
      <c r="FGP57" s="148"/>
      <c r="FGQ57" s="148"/>
      <c r="FGR57" s="148"/>
      <c r="FGS57" s="148"/>
      <c r="FGT57" s="148"/>
      <c r="FGU57" s="148"/>
      <c r="FGV57" s="148"/>
      <c r="FGW57" s="148"/>
      <c r="FGX57" s="148"/>
      <c r="FGY57" s="148"/>
      <c r="FGZ57" s="148"/>
      <c r="FHA57" s="148"/>
      <c r="FHB57" s="148"/>
      <c r="FHC57" s="148"/>
      <c r="FHD57" s="148"/>
      <c r="FHE57" s="148"/>
      <c r="FHF57" s="148"/>
      <c r="FHG57" s="148"/>
      <c r="FHH57" s="148"/>
      <c r="FHI57" s="148"/>
      <c r="FHJ57" s="148"/>
      <c r="FHK57" s="148"/>
      <c r="FHL57" s="148"/>
      <c r="FHM57" s="148"/>
      <c r="FHN57" s="148"/>
      <c r="FHO57" s="148"/>
      <c r="FHP57" s="148"/>
      <c r="FHQ57" s="148"/>
      <c r="FHR57" s="148"/>
      <c r="FHS57" s="148"/>
      <c r="FHT57" s="148"/>
      <c r="FHU57" s="148"/>
      <c r="FHV57" s="148"/>
      <c r="FHW57" s="148"/>
      <c r="FHX57" s="148"/>
      <c r="FHY57" s="148"/>
      <c r="FHZ57" s="148"/>
      <c r="FIA57" s="148"/>
      <c r="FIB57" s="148"/>
      <c r="FIC57" s="148"/>
      <c r="FID57" s="148"/>
      <c r="FIE57" s="148"/>
      <c r="FIF57" s="148"/>
      <c r="FIG57" s="148"/>
      <c r="FIH57" s="148"/>
      <c r="FII57" s="148"/>
      <c r="FIJ57" s="148"/>
      <c r="FIK57" s="148"/>
      <c r="FIL57" s="148"/>
      <c r="FIM57" s="148"/>
      <c r="FIN57" s="148"/>
      <c r="FIO57" s="148"/>
      <c r="FIP57" s="148"/>
      <c r="FIQ57" s="148"/>
      <c r="FIR57" s="148"/>
      <c r="FIS57" s="148"/>
      <c r="FIT57" s="148"/>
      <c r="FIU57" s="148"/>
      <c r="FIV57" s="148"/>
      <c r="FIW57" s="148"/>
      <c r="FIX57" s="148"/>
      <c r="FIY57" s="148"/>
      <c r="FIZ57" s="148"/>
      <c r="FJA57" s="148"/>
      <c r="FJB57" s="148"/>
      <c r="FJC57" s="148"/>
      <c r="FJD57" s="148"/>
      <c r="FJE57" s="148"/>
      <c r="FJF57" s="148"/>
      <c r="FJG57" s="148"/>
      <c r="FJH57" s="148"/>
      <c r="FJI57" s="148"/>
      <c r="FJJ57" s="148"/>
      <c r="FJK57" s="148"/>
      <c r="FJL57" s="148"/>
      <c r="FJM57" s="148"/>
      <c r="FJN57" s="148"/>
      <c r="FJO57" s="148"/>
      <c r="FJP57" s="148"/>
      <c r="FJQ57" s="148"/>
      <c r="FJR57" s="148"/>
      <c r="FJS57" s="148"/>
      <c r="FJT57" s="148"/>
      <c r="FJU57" s="148"/>
      <c r="FJV57" s="148"/>
      <c r="FJW57" s="148"/>
      <c r="FJX57" s="148"/>
      <c r="FJY57" s="148"/>
      <c r="FJZ57" s="148"/>
      <c r="FKA57" s="148"/>
      <c r="FKB57" s="148"/>
      <c r="FKC57" s="148"/>
      <c r="FKD57" s="148"/>
      <c r="FKE57" s="148"/>
      <c r="FKF57" s="148"/>
      <c r="FKG57" s="148"/>
      <c r="FKH57" s="148"/>
      <c r="FKI57" s="148"/>
      <c r="FKJ57" s="148"/>
      <c r="FKK57" s="148"/>
      <c r="FKL57" s="148"/>
      <c r="FKM57" s="148"/>
      <c r="FKN57" s="148"/>
      <c r="FKO57" s="148"/>
      <c r="FKP57" s="148"/>
      <c r="FKQ57" s="148"/>
      <c r="FKR57" s="148"/>
      <c r="FKS57" s="148"/>
      <c r="FKT57" s="148"/>
      <c r="FKU57" s="148"/>
      <c r="FKV57" s="148"/>
      <c r="FKW57" s="148"/>
      <c r="FKX57" s="148"/>
      <c r="FKY57" s="148"/>
      <c r="FKZ57" s="148"/>
      <c r="FLA57" s="148"/>
      <c r="FLB57" s="148"/>
      <c r="FLC57" s="148"/>
      <c r="FLD57" s="148"/>
      <c r="FLE57" s="148"/>
      <c r="FLF57" s="148"/>
      <c r="FLG57" s="148"/>
      <c r="FLH57" s="148"/>
      <c r="FLI57" s="148"/>
      <c r="FLJ57" s="148"/>
      <c r="FLK57" s="148"/>
      <c r="FLL57" s="148"/>
      <c r="FLM57" s="148"/>
      <c r="FLN57" s="148"/>
      <c r="FLO57" s="148"/>
      <c r="FLP57" s="148"/>
      <c r="FLQ57" s="148"/>
      <c r="FLR57" s="148"/>
      <c r="FLS57" s="148"/>
      <c r="FLT57" s="148"/>
      <c r="FLU57" s="148"/>
      <c r="FLV57" s="148"/>
      <c r="FLW57" s="148"/>
      <c r="FLX57" s="148"/>
      <c r="FLY57" s="148"/>
      <c r="FLZ57" s="148"/>
      <c r="FMA57" s="148"/>
      <c r="FMB57" s="148"/>
      <c r="FMC57" s="148"/>
      <c r="FMD57" s="148"/>
      <c r="FME57" s="148"/>
      <c r="FMF57" s="148"/>
      <c r="FMG57" s="148"/>
      <c r="FMH57" s="148"/>
      <c r="FMI57" s="148"/>
      <c r="FMJ57" s="148"/>
      <c r="FMK57" s="148"/>
      <c r="FML57" s="148"/>
      <c r="FMM57" s="148"/>
      <c r="FMN57" s="148"/>
      <c r="FMO57" s="148"/>
      <c r="FMP57" s="148"/>
      <c r="FMQ57" s="148"/>
      <c r="FMR57" s="148"/>
      <c r="FMS57" s="148"/>
      <c r="FMT57" s="148"/>
      <c r="FMU57" s="148"/>
      <c r="FMV57" s="148"/>
      <c r="FMW57" s="148"/>
      <c r="FMX57" s="148"/>
      <c r="FMY57" s="148"/>
      <c r="FMZ57" s="148"/>
      <c r="FNA57" s="148"/>
      <c r="FNB57" s="148"/>
      <c r="FNC57" s="148"/>
      <c r="FND57" s="148"/>
      <c r="FNE57" s="148"/>
      <c r="FNF57" s="148"/>
      <c r="FNG57" s="148"/>
      <c r="FNH57" s="148"/>
      <c r="FNI57" s="148"/>
      <c r="FNJ57" s="148"/>
      <c r="FNK57" s="148"/>
      <c r="FNL57" s="148"/>
      <c r="FNM57" s="148"/>
      <c r="FNN57" s="148"/>
      <c r="FNO57" s="148"/>
      <c r="FNP57" s="148"/>
      <c r="FNQ57" s="148"/>
      <c r="FNR57" s="148"/>
      <c r="FNS57" s="148"/>
      <c r="FNT57" s="148"/>
      <c r="FNU57" s="148"/>
      <c r="FNV57" s="148"/>
      <c r="FNW57" s="148"/>
      <c r="FNX57" s="148"/>
      <c r="FNY57" s="148"/>
      <c r="FNZ57" s="148"/>
      <c r="FOA57" s="148"/>
      <c r="FOB57" s="148"/>
      <c r="FOC57" s="148"/>
      <c r="FOD57" s="148"/>
      <c r="FOE57" s="148"/>
      <c r="FOF57" s="148"/>
      <c r="FOG57" s="148"/>
      <c r="FOH57" s="148"/>
      <c r="FOI57" s="148"/>
      <c r="FOJ57" s="148"/>
      <c r="FOK57" s="148"/>
      <c r="FOL57" s="148"/>
      <c r="FOM57" s="148"/>
      <c r="FON57" s="148"/>
      <c r="FOO57" s="148"/>
      <c r="FOP57" s="148"/>
      <c r="FOQ57" s="148"/>
      <c r="FOR57" s="148"/>
      <c r="FOS57" s="148"/>
      <c r="FOT57" s="148"/>
      <c r="FOU57" s="148"/>
      <c r="FOV57" s="148"/>
      <c r="FOW57" s="148"/>
      <c r="FOX57" s="148"/>
      <c r="FOY57" s="148"/>
      <c r="FOZ57" s="148"/>
      <c r="FPA57" s="148"/>
      <c r="FPB57" s="148"/>
      <c r="FPC57" s="148"/>
      <c r="FPD57" s="148"/>
      <c r="FPE57" s="148"/>
      <c r="FPF57" s="148"/>
      <c r="FPG57" s="148"/>
      <c r="FPH57" s="148"/>
      <c r="FPI57" s="148"/>
      <c r="FPJ57" s="148"/>
      <c r="FPK57" s="148"/>
      <c r="FPL57" s="148"/>
      <c r="FPM57" s="148"/>
      <c r="FPN57" s="148"/>
      <c r="FPO57" s="148"/>
      <c r="FPP57" s="148"/>
      <c r="FPQ57" s="148"/>
      <c r="FPR57" s="148"/>
      <c r="FPS57" s="148"/>
      <c r="FPT57" s="148"/>
      <c r="FPU57" s="148"/>
      <c r="FPV57" s="148"/>
      <c r="FPW57" s="148"/>
      <c r="FPX57" s="148"/>
      <c r="FPY57" s="148"/>
      <c r="FPZ57" s="148"/>
      <c r="FQA57" s="148"/>
      <c r="FQB57" s="148"/>
      <c r="FQC57" s="148"/>
      <c r="FQD57" s="148"/>
      <c r="FQE57" s="148"/>
      <c r="FQF57" s="148"/>
      <c r="FQG57" s="148"/>
      <c r="FQH57" s="148"/>
      <c r="FQI57" s="148"/>
      <c r="FQJ57" s="148"/>
      <c r="FQK57" s="148"/>
      <c r="FQL57" s="148"/>
      <c r="FQM57" s="148"/>
      <c r="FQN57" s="148"/>
      <c r="FQO57" s="148"/>
      <c r="FQP57" s="148"/>
      <c r="FQQ57" s="148"/>
      <c r="FQR57" s="148"/>
      <c r="FQS57" s="148"/>
      <c r="FQT57" s="148"/>
      <c r="FQU57" s="148"/>
      <c r="FQV57" s="148"/>
      <c r="FQW57" s="148"/>
      <c r="FQX57" s="148"/>
      <c r="FQY57" s="148"/>
      <c r="FQZ57" s="148"/>
      <c r="FRA57" s="148"/>
      <c r="FRB57" s="148"/>
      <c r="FRC57" s="148"/>
      <c r="FRD57" s="148"/>
      <c r="FRE57" s="148"/>
      <c r="FRF57" s="148"/>
      <c r="FRG57" s="148"/>
      <c r="FRH57" s="148"/>
      <c r="FRI57" s="148"/>
      <c r="FRJ57" s="148"/>
      <c r="FRK57" s="148"/>
      <c r="FRL57" s="148"/>
      <c r="FRM57" s="148"/>
      <c r="FRN57" s="148"/>
      <c r="FRO57" s="148"/>
      <c r="FRP57" s="148"/>
      <c r="FRQ57" s="148"/>
      <c r="FRR57" s="148"/>
      <c r="FRS57" s="148"/>
      <c r="FRT57" s="148"/>
      <c r="FRU57" s="148"/>
      <c r="FRV57" s="148"/>
      <c r="FRW57" s="148"/>
      <c r="FRX57" s="148"/>
      <c r="FRY57" s="148"/>
      <c r="FRZ57" s="148"/>
      <c r="FSA57" s="148"/>
      <c r="FSB57" s="148"/>
      <c r="FSC57" s="148"/>
      <c r="FSD57" s="148"/>
      <c r="FSE57" s="148"/>
      <c r="FSF57" s="148"/>
      <c r="FSG57" s="148"/>
      <c r="FSH57" s="148"/>
      <c r="FSI57" s="148"/>
      <c r="FSJ57" s="148"/>
      <c r="FSK57" s="148"/>
      <c r="FSL57" s="148"/>
      <c r="FSM57" s="148"/>
      <c r="FSN57" s="148"/>
      <c r="FSO57" s="148"/>
      <c r="FSP57" s="148"/>
      <c r="FSQ57" s="148"/>
      <c r="FSR57" s="148"/>
      <c r="FSS57" s="148"/>
      <c r="FST57" s="148"/>
      <c r="FSU57" s="148"/>
      <c r="FSV57" s="148"/>
      <c r="FSW57" s="148"/>
      <c r="FSX57" s="148"/>
      <c r="FSY57" s="148"/>
      <c r="FSZ57" s="148"/>
      <c r="FTA57" s="148"/>
      <c r="FTB57" s="148"/>
      <c r="FTC57" s="148"/>
      <c r="FTD57" s="148"/>
      <c r="FTE57" s="148"/>
      <c r="FTF57" s="148"/>
      <c r="FTG57" s="148"/>
      <c r="FTH57" s="148"/>
      <c r="FTI57" s="148"/>
      <c r="FTJ57" s="148"/>
      <c r="FTK57" s="148"/>
      <c r="FTL57" s="148"/>
      <c r="FTM57" s="148"/>
      <c r="FTN57" s="148"/>
      <c r="FTO57" s="148"/>
      <c r="FTP57" s="148"/>
      <c r="FTQ57" s="148"/>
      <c r="FTR57" s="148"/>
      <c r="FTS57" s="148"/>
      <c r="FTT57" s="148"/>
      <c r="FTU57" s="148"/>
      <c r="FTV57" s="148"/>
      <c r="FTW57" s="148"/>
      <c r="FTX57" s="148"/>
      <c r="FTY57" s="148"/>
      <c r="FTZ57" s="148"/>
      <c r="FUA57" s="148"/>
      <c r="FUB57" s="148"/>
      <c r="FUC57" s="148"/>
      <c r="FUD57" s="148"/>
      <c r="FUE57" s="148"/>
      <c r="FUF57" s="148"/>
      <c r="FUG57" s="148"/>
      <c r="FUH57" s="148"/>
      <c r="FUI57" s="148"/>
      <c r="FUJ57" s="148"/>
      <c r="FUK57" s="148"/>
      <c r="FUL57" s="148"/>
      <c r="FUM57" s="148"/>
      <c r="FUN57" s="148"/>
      <c r="FUO57" s="148"/>
      <c r="FUP57" s="148"/>
      <c r="FUQ57" s="148"/>
      <c r="FUR57" s="148"/>
      <c r="FUS57" s="148"/>
      <c r="FUT57" s="148"/>
      <c r="FUU57" s="148"/>
      <c r="FUV57" s="148"/>
      <c r="FUW57" s="148"/>
      <c r="FUX57" s="148"/>
      <c r="FUY57" s="148"/>
      <c r="FUZ57" s="148"/>
      <c r="FVA57" s="148"/>
      <c r="FVB57" s="148"/>
      <c r="FVC57" s="148"/>
      <c r="FVD57" s="148"/>
      <c r="FVE57" s="148"/>
      <c r="FVF57" s="148"/>
      <c r="FVG57" s="148"/>
      <c r="FVH57" s="148"/>
      <c r="FVI57" s="148"/>
      <c r="FVJ57" s="148"/>
      <c r="FVK57" s="148"/>
      <c r="FVL57" s="148"/>
      <c r="FVM57" s="148"/>
      <c r="FVN57" s="148"/>
      <c r="FVO57" s="148"/>
      <c r="FVP57" s="148"/>
      <c r="FVQ57" s="148"/>
      <c r="FVR57" s="148"/>
      <c r="FVS57" s="148"/>
      <c r="FVT57" s="148"/>
      <c r="FVU57" s="148"/>
      <c r="FVV57" s="148"/>
      <c r="FVW57" s="148"/>
      <c r="FVX57" s="148"/>
      <c r="FVY57" s="148"/>
      <c r="FVZ57" s="148"/>
      <c r="FWA57" s="148"/>
      <c r="FWB57" s="148"/>
      <c r="FWC57" s="148"/>
      <c r="FWD57" s="148"/>
      <c r="FWE57" s="148"/>
      <c r="FWF57" s="148"/>
      <c r="FWG57" s="148"/>
      <c r="FWH57" s="148"/>
      <c r="FWI57" s="148"/>
      <c r="FWJ57" s="148"/>
      <c r="FWK57" s="148"/>
      <c r="FWL57" s="148"/>
      <c r="FWM57" s="148"/>
      <c r="FWN57" s="148"/>
      <c r="FWO57" s="148"/>
      <c r="FWP57" s="148"/>
      <c r="FWQ57" s="148"/>
      <c r="FWR57" s="148"/>
      <c r="FWS57" s="148"/>
      <c r="FWT57" s="148"/>
      <c r="FWU57" s="148"/>
      <c r="FWV57" s="148"/>
      <c r="FWW57" s="148"/>
      <c r="FWX57" s="148"/>
      <c r="FWY57" s="148"/>
      <c r="FWZ57" s="148"/>
      <c r="FXA57" s="148"/>
      <c r="FXB57" s="148"/>
      <c r="FXC57" s="148"/>
      <c r="FXD57" s="148"/>
      <c r="FXE57" s="148"/>
      <c r="FXF57" s="148"/>
      <c r="FXG57" s="148"/>
      <c r="FXH57" s="148"/>
      <c r="FXI57" s="148"/>
      <c r="FXJ57" s="148"/>
      <c r="FXK57" s="148"/>
      <c r="FXL57" s="148"/>
      <c r="FXM57" s="148"/>
      <c r="FXN57" s="148"/>
      <c r="FXO57" s="148"/>
      <c r="FXP57" s="148"/>
      <c r="FXQ57" s="148"/>
      <c r="FXR57" s="148"/>
      <c r="FXS57" s="148"/>
      <c r="FXT57" s="148"/>
      <c r="FXU57" s="148"/>
      <c r="FXV57" s="148"/>
      <c r="FXW57" s="148"/>
      <c r="FXX57" s="148"/>
      <c r="FXY57" s="148"/>
      <c r="FXZ57" s="148"/>
      <c r="FYA57" s="148"/>
      <c r="FYB57" s="148"/>
      <c r="FYC57" s="148"/>
      <c r="FYD57" s="148"/>
      <c r="FYE57" s="148"/>
      <c r="FYF57" s="148"/>
      <c r="FYG57" s="148"/>
      <c r="FYH57" s="148"/>
      <c r="FYI57" s="148"/>
      <c r="FYJ57" s="148"/>
      <c r="FYK57" s="148"/>
      <c r="FYL57" s="148"/>
      <c r="FYM57" s="148"/>
      <c r="FYN57" s="148"/>
      <c r="FYO57" s="148"/>
      <c r="FYP57" s="148"/>
      <c r="FYQ57" s="148"/>
      <c r="FYR57" s="148"/>
      <c r="FYS57" s="148"/>
      <c r="FYT57" s="148"/>
      <c r="FYU57" s="148"/>
      <c r="FYV57" s="148"/>
      <c r="FYW57" s="148"/>
      <c r="FYX57" s="148"/>
      <c r="FYY57" s="148"/>
      <c r="FYZ57" s="148"/>
      <c r="FZA57" s="148"/>
      <c r="FZB57" s="148"/>
      <c r="FZC57" s="148"/>
      <c r="FZD57" s="148"/>
      <c r="FZE57" s="148"/>
      <c r="FZF57" s="148"/>
      <c r="FZG57" s="148"/>
      <c r="FZH57" s="148"/>
      <c r="FZI57" s="148"/>
      <c r="FZJ57" s="148"/>
      <c r="FZK57" s="148"/>
      <c r="FZL57" s="148"/>
      <c r="FZM57" s="148"/>
      <c r="FZN57" s="148"/>
      <c r="FZO57" s="148"/>
      <c r="FZP57" s="148"/>
      <c r="FZQ57" s="148"/>
      <c r="FZR57" s="148"/>
      <c r="FZS57" s="148"/>
      <c r="FZT57" s="148"/>
      <c r="FZU57" s="148"/>
      <c r="FZV57" s="148"/>
      <c r="FZW57" s="148"/>
      <c r="FZX57" s="148"/>
      <c r="FZY57" s="148"/>
      <c r="FZZ57" s="148"/>
      <c r="GAA57" s="148"/>
      <c r="GAB57" s="148"/>
      <c r="GAC57" s="148"/>
      <c r="GAD57" s="148"/>
      <c r="GAE57" s="148"/>
      <c r="GAF57" s="148"/>
      <c r="GAG57" s="148"/>
      <c r="GAH57" s="148"/>
      <c r="GAI57" s="148"/>
      <c r="GAJ57" s="148"/>
      <c r="GAK57" s="148"/>
      <c r="GAL57" s="148"/>
      <c r="GAM57" s="148"/>
      <c r="GAN57" s="148"/>
      <c r="GAO57" s="148"/>
      <c r="GAP57" s="148"/>
      <c r="GAQ57" s="148"/>
      <c r="GAR57" s="148"/>
      <c r="GAS57" s="148"/>
      <c r="GAT57" s="148"/>
      <c r="GAU57" s="148"/>
      <c r="GAV57" s="148"/>
      <c r="GAW57" s="148"/>
      <c r="GAX57" s="148"/>
      <c r="GAY57" s="148"/>
      <c r="GAZ57" s="148"/>
      <c r="GBA57" s="148"/>
      <c r="GBB57" s="148"/>
      <c r="GBC57" s="148"/>
      <c r="GBD57" s="148"/>
      <c r="GBE57" s="148"/>
      <c r="GBF57" s="148"/>
      <c r="GBG57" s="148"/>
      <c r="GBH57" s="148"/>
      <c r="GBI57" s="148"/>
      <c r="GBJ57" s="148"/>
      <c r="GBK57" s="148"/>
      <c r="GBL57" s="148"/>
      <c r="GBM57" s="148"/>
      <c r="GBN57" s="148"/>
      <c r="GBO57" s="148"/>
      <c r="GBP57" s="148"/>
      <c r="GBQ57" s="148"/>
      <c r="GBR57" s="148"/>
      <c r="GBS57" s="148"/>
      <c r="GBT57" s="148"/>
      <c r="GBU57" s="148"/>
      <c r="GBV57" s="148"/>
      <c r="GBW57" s="148"/>
      <c r="GBX57" s="148"/>
      <c r="GBY57" s="148"/>
      <c r="GBZ57" s="148"/>
      <c r="GCA57" s="148"/>
      <c r="GCB57" s="148"/>
      <c r="GCC57" s="148"/>
      <c r="GCD57" s="148"/>
      <c r="GCE57" s="148"/>
      <c r="GCF57" s="148"/>
      <c r="GCG57" s="148"/>
      <c r="GCH57" s="148"/>
      <c r="GCI57" s="148"/>
      <c r="GCJ57" s="148"/>
      <c r="GCK57" s="148"/>
      <c r="GCL57" s="148"/>
      <c r="GCM57" s="148"/>
      <c r="GCN57" s="148"/>
      <c r="GCO57" s="148"/>
      <c r="GCP57" s="148"/>
      <c r="GCQ57" s="148"/>
      <c r="GCR57" s="148"/>
      <c r="GCS57" s="148"/>
      <c r="GCT57" s="148"/>
      <c r="GCU57" s="148"/>
      <c r="GCV57" s="148"/>
      <c r="GCW57" s="148"/>
      <c r="GCX57" s="148"/>
      <c r="GCY57" s="148"/>
      <c r="GCZ57" s="148"/>
      <c r="GDA57" s="148"/>
      <c r="GDB57" s="148"/>
      <c r="GDC57" s="148"/>
      <c r="GDD57" s="148"/>
      <c r="GDE57" s="148"/>
      <c r="GDF57" s="148"/>
      <c r="GDG57" s="148"/>
      <c r="GDH57" s="148"/>
      <c r="GDI57" s="148"/>
      <c r="GDJ57" s="148"/>
      <c r="GDK57" s="148"/>
      <c r="GDL57" s="148"/>
      <c r="GDM57" s="148"/>
      <c r="GDN57" s="148"/>
      <c r="GDO57" s="148"/>
      <c r="GDP57" s="148"/>
      <c r="GDQ57" s="148"/>
      <c r="GDR57" s="148"/>
      <c r="GDS57" s="148"/>
      <c r="GDT57" s="148"/>
      <c r="GDU57" s="148"/>
      <c r="GDV57" s="148"/>
      <c r="GDW57" s="148"/>
      <c r="GDX57" s="148"/>
      <c r="GDY57" s="148"/>
      <c r="GDZ57" s="148"/>
      <c r="GEA57" s="148"/>
      <c r="GEB57" s="148"/>
      <c r="GEC57" s="148"/>
      <c r="GED57" s="148"/>
      <c r="GEE57" s="148"/>
      <c r="GEF57" s="148"/>
      <c r="GEG57" s="148"/>
      <c r="GEH57" s="148"/>
      <c r="GEI57" s="148"/>
      <c r="GEJ57" s="148"/>
      <c r="GEK57" s="148"/>
      <c r="GEL57" s="148"/>
      <c r="GEM57" s="148"/>
      <c r="GEN57" s="148"/>
      <c r="GEO57" s="148"/>
      <c r="GEP57" s="148"/>
      <c r="GEQ57" s="148"/>
      <c r="GER57" s="148"/>
      <c r="GES57" s="148"/>
      <c r="GET57" s="148"/>
      <c r="GEU57" s="148"/>
      <c r="GEV57" s="148"/>
      <c r="GEW57" s="148"/>
      <c r="GEX57" s="148"/>
      <c r="GEY57" s="148"/>
      <c r="GEZ57" s="148"/>
      <c r="GFA57" s="148"/>
      <c r="GFB57" s="148"/>
      <c r="GFC57" s="148"/>
      <c r="GFD57" s="148"/>
      <c r="GFE57" s="148"/>
      <c r="GFF57" s="148"/>
      <c r="GFG57" s="148"/>
      <c r="GFH57" s="148"/>
      <c r="GFI57" s="148"/>
      <c r="GFJ57" s="148"/>
      <c r="GFK57" s="148"/>
      <c r="GFL57" s="148"/>
      <c r="GFM57" s="148"/>
      <c r="GFN57" s="148"/>
      <c r="GFO57" s="148"/>
      <c r="GFP57" s="148"/>
      <c r="GFQ57" s="148"/>
      <c r="GFR57" s="148"/>
      <c r="GFS57" s="148"/>
      <c r="GFT57" s="148"/>
      <c r="GFU57" s="148"/>
      <c r="GFV57" s="148"/>
      <c r="GFW57" s="148"/>
      <c r="GFX57" s="148"/>
      <c r="GFY57" s="148"/>
      <c r="GFZ57" s="148"/>
      <c r="GGA57" s="148"/>
      <c r="GGB57" s="148"/>
      <c r="GGC57" s="148"/>
      <c r="GGD57" s="148"/>
      <c r="GGE57" s="148"/>
      <c r="GGF57" s="148"/>
      <c r="GGG57" s="148"/>
      <c r="GGH57" s="148"/>
      <c r="GGI57" s="148"/>
      <c r="GGJ57" s="148"/>
      <c r="GGK57" s="148"/>
      <c r="GGL57" s="148"/>
      <c r="GGM57" s="148"/>
      <c r="GGN57" s="148"/>
      <c r="GGO57" s="148"/>
      <c r="GGP57" s="148"/>
      <c r="GGQ57" s="148"/>
      <c r="GGR57" s="148"/>
      <c r="GGS57" s="148"/>
      <c r="GGT57" s="148"/>
      <c r="GGU57" s="148"/>
      <c r="GGV57" s="148"/>
      <c r="GGW57" s="148"/>
      <c r="GGX57" s="148"/>
      <c r="GGY57" s="148"/>
      <c r="GGZ57" s="148"/>
      <c r="GHA57" s="148"/>
      <c r="GHB57" s="148"/>
      <c r="GHC57" s="148"/>
      <c r="GHD57" s="148"/>
      <c r="GHE57" s="148"/>
      <c r="GHF57" s="148"/>
      <c r="GHG57" s="148"/>
      <c r="GHH57" s="148"/>
      <c r="GHI57" s="148"/>
      <c r="GHJ57" s="148"/>
      <c r="GHK57" s="148"/>
      <c r="GHL57" s="148"/>
      <c r="GHM57" s="148"/>
      <c r="GHN57" s="148"/>
      <c r="GHO57" s="148"/>
      <c r="GHP57" s="148"/>
      <c r="GHQ57" s="148"/>
      <c r="GHR57" s="148"/>
      <c r="GHS57" s="148"/>
      <c r="GHT57" s="148"/>
      <c r="GHU57" s="148"/>
      <c r="GHV57" s="148"/>
      <c r="GHW57" s="148"/>
      <c r="GHX57" s="148"/>
      <c r="GHY57" s="148"/>
      <c r="GHZ57" s="148"/>
      <c r="GIA57" s="148"/>
      <c r="GIB57" s="148"/>
      <c r="GIC57" s="148"/>
      <c r="GID57" s="148"/>
      <c r="GIE57" s="148"/>
      <c r="GIF57" s="148"/>
      <c r="GIG57" s="148"/>
      <c r="GIH57" s="148"/>
      <c r="GII57" s="148"/>
      <c r="GIJ57" s="148"/>
      <c r="GIK57" s="148"/>
      <c r="GIL57" s="148"/>
      <c r="GIM57" s="148"/>
      <c r="GIN57" s="148"/>
      <c r="GIO57" s="148"/>
      <c r="GIP57" s="148"/>
      <c r="GIQ57" s="148"/>
      <c r="GIR57" s="148"/>
      <c r="GIS57" s="148"/>
      <c r="GIT57" s="148"/>
      <c r="GIU57" s="148"/>
      <c r="GIV57" s="148"/>
      <c r="GIW57" s="148"/>
      <c r="GIX57" s="148"/>
      <c r="GIY57" s="148"/>
      <c r="GIZ57" s="148"/>
      <c r="GJA57" s="148"/>
      <c r="GJB57" s="148"/>
      <c r="GJC57" s="148"/>
      <c r="GJD57" s="148"/>
      <c r="GJE57" s="148"/>
      <c r="GJF57" s="148"/>
      <c r="GJG57" s="148"/>
      <c r="GJH57" s="148"/>
      <c r="GJI57" s="148"/>
      <c r="GJJ57" s="148"/>
      <c r="GJK57" s="148"/>
      <c r="GJL57" s="148"/>
      <c r="GJM57" s="148"/>
      <c r="GJN57" s="148"/>
      <c r="GJO57" s="148"/>
      <c r="GJP57" s="148"/>
      <c r="GJQ57" s="148"/>
      <c r="GJR57" s="148"/>
      <c r="GJS57" s="148"/>
      <c r="GJT57" s="148"/>
      <c r="GJU57" s="148"/>
      <c r="GJV57" s="148"/>
      <c r="GJW57" s="148"/>
      <c r="GJX57" s="148"/>
      <c r="GJY57" s="148"/>
      <c r="GJZ57" s="148"/>
      <c r="GKA57" s="148"/>
      <c r="GKB57" s="148"/>
      <c r="GKC57" s="148"/>
      <c r="GKD57" s="148"/>
      <c r="GKE57" s="148"/>
      <c r="GKF57" s="148"/>
      <c r="GKG57" s="148"/>
      <c r="GKH57" s="148"/>
      <c r="GKI57" s="148"/>
      <c r="GKJ57" s="148"/>
      <c r="GKK57" s="148"/>
      <c r="GKL57" s="148"/>
      <c r="GKM57" s="148"/>
      <c r="GKN57" s="148"/>
      <c r="GKO57" s="148"/>
      <c r="GKP57" s="148"/>
      <c r="GKQ57" s="148"/>
      <c r="GKR57" s="148"/>
      <c r="GKS57" s="148"/>
      <c r="GKT57" s="148"/>
      <c r="GKU57" s="148"/>
      <c r="GKV57" s="148"/>
      <c r="GKW57" s="148"/>
      <c r="GKX57" s="148"/>
      <c r="GKY57" s="148"/>
      <c r="GKZ57" s="148"/>
      <c r="GLA57" s="148"/>
      <c r="GLB57" s="148"/>
      <c r="GLC57" s="148"/>
      <c r="GLD57" s="148"/>
      <c r="GLE57" s="148"/>
      <c r="GLF57" s="148"/>
      <c r="GLG57" s="148"/>
      <c r="GLH57" s="148"/>
      <c r="GLI57" s="148"/>
      <c r="GLJ57" s="148"/>
      <c r="GLK57" s="148"/>
      <c r="GLL57" s="148"/>
      <c r="GLM57" s="148"/>
      <c r="GLN57" s="148"/>
      <c r="GLO57" s="148"/>
      <c r="GLP57" s="148"/>
      <c r="GLQ57" s="148"/>
      <c r="GLR57" s="148"/>
      <c r="GLS57" s="148"/>
      <c r="GLT57" s="148"/>
      <c r="GLU57" s="148"/>
      <c r="GLV57" s="148"/>
      <c r="GLW57" s="148"/>
      <c r="GLX57" s="148"/>
      <c r="GLY57" s="148"/>
      <c r="GLZ57" s="148"/>
      <c r="GMA57" s="148"/>
      <c r="GMB57" s="148"/>
      <c r="GMC57" s="148"/>
      <c r="GMD57" s="148"/>
      <c r="GME57" s="148"/>
      <c r="GMF57" s="148"/>
      <c r="GMG57" s="148"/>
      <c r="GMH57" s="148"/>
      <c r="GMI57" s="148"/>
      <c r="GMJ57" s="148"/>
      <c r="GMK57" s="148"/>
      <c r="GML57" s="148"/>
      <c r="GMM57" s="148"/>
      <c r="GMN57" s="148"/>
      <c r="GMO57" s="148"/>
      <c r="GMP57" s="148"/>
      <c r="GMQ57" s="148"/>
      <c r="GMR57" s="148"/>
      <c r="GMS57" s="148"/>
      <c r="GMT57" s="148"/>
      <c r="GMU57" s="148"/>
      <c r="GMV57" s="148"/>
      <c r="GMW57" s="148"/>
      <c r="GMX57" s="148"/>
      <c r="GMY57" s="148"/>
      <c r="GMZ57" s="148"/>
      <c r="GNA57" s="148"/>
      <c r="GNB57" s="148"/>
      <c r="GNC57" s="148"/>
      <c r="GND57" s="148"/>
      <c r="GNE57" s="148"/>
      <c r="GNF57" s="148"/>
      <c r="GNG57" s="148"/>
      <c r="GNH57" s="148"/>
      <c r="GNI57" s="148"/>
      <c r="GNJ57" s="148"/>
      <c r="GNK57" s="148"/>
      <c r="GNL57" s="148"/>
      <c r="GNM57" s="148"/>
      <c r="GNN57" s="148"/>
      <c r="GNO57" s="148"/>
      <c r="GNP57" s="148"/>
      <c r="GNQ57" s="148"/>
      <c r="GNR57" s="148"/>
      <c r="GNS57" s="148"/>
      <c r="GNT57" s="148"/>
      <c r="GNU57" s="148"/>
      <c r="GNV57" s="148"/>
      <c r="GNW57" s="148"/>
      <c r="GNX57" s="148"/>
      <c r="GNY57" s="148"/>
      <c r="GNZ57" s="148"/>
      <c r="GOA57" s="148"/>
      <c r="GOB57" s="148"/>
      <c r="GOC57" s="148"/>
      <c r="GOD57" s="148"/>
      <c r="GOE57" s="148"/>
      <c r="GOF57" s="148"/>
      <c r="GOG57" s="148"/>
      <c r="GOH57" s="148"/>
      <c r="GOI57" s="148"/>
      <c r="GOJ57" s="148"/>
      <c r="GOK57" s="148"/>
      <c r="GOL57" s="148"/>
      <c r="GOM57" s="148"/>
      <c r="GON57" s="148"/>
      <c r="GOO57" s="148"/>
      <c r="GOP57" s="148"/>
      <c r="GOQ57" s="148"/>
      <c r="GOR57" s="148"/>
      <c r="GOS57" s="148"/>
      <c r="GOT57" s="148"/>
      <c r="GOU57" s="148"/>
      <c r="GOV57" s="148"/>
      <c r="GOW57" s="148"/>
      <c r="GOX57" s="148"/>
      <c r="GOY57" s="148"/>
      <c r="GOZ57" s="148"/>
      <c r="GPA57" s="148"/>
      <c r="GPB57" s="148"/>
      <c r="GPC57" s="148"/>
      <c r="GPD57" s="148"/>
      <c r="GPE57" s="148"/>
      <c r="GPF57" s="148"/>
      <c r="GPG57" s="148"/>
      <c r="GPH57" s="148"/>
      <c r="GPI57" s="148"/>
      <c r="GPJ57" s="148"/>
      <c r="GPK57" s="148"/>
      <c r="GPL57" s="148"/>
      <c r="GPM57" s="148"/>
      <c r="GPN57" s="148"/>
      <c r="GPO57" s="148"/>
      <c r="GPP57" s="148"/>
      <c r="GPQ57" s="148"/>
      <c r="GPR57" s="148"/>
      <c r="GPS57" s="148"/>
      <c r="GPT57" s="148"/>
      <c r="GPU57" s="148"/>
      <c r="GPV57" s="148"/>
      <c r="GPW57" s="148"/>
      <c r="GPX57" s="148"/>
      <c r="GPY57" s="148"/>
      <c r="GPZ57" s="148"/>
      <c r="GQA57" s="148"/>
      <c r="GQB57" s="148"/>
      <c r="GQC57" s="148"/>
      <c r="GQD57" s="148"/>
      <c r="GQE57" s="148"/>
      <c r="GQF57" s="148"/>
      <c r="GQG57" s="148"/>
      <c r="GQH57" s="148"/>
      <c r="GQI57" s="148"/>
      <c r="GQJ57" s="148"/>
      <c r="GQK57" s="148"/>
      <c r="GQL57" s="148"/>
      <c r="GQM57" s="148"/>
      <c r="GQN57" s="148"/>
      <c r="GQO57" s="148"/>
      <c r="GQP57" s="148"/>
      <c r="GQQ57" s="148"/>
      <c r="GQR57" s="148"/>
      <c r="GQS57" s="148"/>
      <c r="GQT57" s="148"/>
      <c r="GQU57" s="148"/>
      <c r="GQV57" s="148"/>
      <c r="GQW57" s="148"/>
      <c r="GQX57" s="148"/>
      <c r="GQY57" s="148"/>
      <c r="GQZ57" s="148"/>
      <c r="GRA57" s="148"/>
      <c r="GRB57" s="148"/>
      <c r="GRC57" s="148"/>
      <c r="GRD57" s="148"/>
      <c r="GRE57" s="148"/>
      <c r="GRF57" s="148"/>
      <c r="GRG57" s="148"/>
      <c r="GRH57" s="148"/>
      <c r="GRI57" s="148"/>
      <c r="GRJ57" s="148"/>
      <c r="GRK57" s="148"/>
      <c r="GRL57" s="148"/>
      <c r="GRM57" s="148"/>
      <c r="GRN57" s="148"/>
      <c r="GRO57" s="148"/>
      <c r="GRP57" s="148"/>
      <c r="GRQ57" s="148"/>
      <c r="GRR57" s="148"/>
      <c r="GRS57" s="148"/>
      <c r="GRT57" s="148"/>
      <c r="GRU57" s="148"/>
      <c r="GRV57" s="148"/>
      <c r="GRW57" s="148"/>
      <c r="GRX57" s="148"/>
      <c r="GRY57" s="148"/>
      <c r="GRZ57" s="148"/>
      <c r="GSA57" s="148"/>
      <c r="GSB57" s="148"/>
      <c r="GSC57" s="148"/>
      <c r="GSD57" s="148"/>
      <c r="GSE57" s="148"/>
      <c r="GSF57" s="148"/>
      <c r="GSG57" s="148"/>
      <c r="GSH57" s="148"/>
      <c r="GSI57" s="148"/>
      <c r="GSJ57" s="148"/>
      <c r="GSK57" s="148"/>
      <c r="GSL57" s="148"/>
      <c r="GSM57" s="148"/>
      <c r="GSN57" s="148"/>
      <c r="GSO57" s="148"/>
      <c r="GSP57" s="148"/>
      <c r="GSQ57" s="148"/>
      <c r="GSR57" s="148"/>
      <c r="GSS57" s="148"/>
      <c r="GST57" s="148"/>
      <c r="GSU57" s="148"/>
      <c r="GSV57" s="148"/>
      <c r="GSW57" s="148"/>
      <c r="GSX57" s="148"/>
      <c r="GSY57" s="148"/>
      <c r="GSZ57" s="148"/>
      <c r="GTA57" s="148"/>
      <c r="GTB57" s="148"/>
      <c r="GTC57" s="148"/>
      <c r="GTD57" s="148"/>
      <c r="GTE57" s="148"/>
      <c r="GTF57" s="148"/>
      <c r="GTG57" s="148"/>
      <c r="GTH57" s="148"/>
      <c r="GTI57" s="148"/>
      <c r="GTJ57" s="148"/>
      <c r="GTK57" s="148"/>
      <c r="GTL57" s="148"/>
      <c r="GTM57" s="148"/>
      <c r="GTN57" s="148"/>
      <c r="GTO57" s="148"/>
      <c r="GTP57" s="148"/>
      <c r="GTQ57" s="148"/>
      <c r="GTR57" s="148"/>
      <c r="GTS57" s="148"/>
      <c r="GTT57" s="148"/>
      <c r="GTU57" s="148"/>
      <c r="GTV57" s="148"/>
      <c r="GTW57" s="148"/>
      <c r="GTX57" s="148"/>
      <c r="GTY57" s="148"/>
      <c r="GTZ57" s="148"/>
      <c r="GUA57" s="148"/>
      <c r="GUB57" s="148"/>
      <c r="GUC57" s="148"/>
      <c r="GUD57" s="148"/>
      <c r="GUE57" s="148"/>
      <c r="GUF57" s="148"/>
      <c r="GUG57" s="148"/>
      <c r="GUH57" s="148"/>
      <c r="GUI57" s="148"/>
      <c r="GUJ57" s="148"/>
      <c r="GUK57" s="148"/>
      <c r="GUL57" s="148"/>
      <c r="GUM57" s="148"/>
      <c r="GUN57" s="148"/>
      <c r="GUO57" s="148"/>
      <c r="GUP57" s="148"/>
      <c r="GUQ57" s="148"/>
      <c r="GUR57" s="148"/>
      <c r="GUS57" s="148"/>
      <c r="GUT57" s="148"/>
      <c r="GUU57" s="148"/>
      <c r="GUV57" s="148"/>
      <c r="GUW57" s="148"/>
      <c r="GUX57" s="148"/>
      <c r="GUY57" s="148"/>
      <c r="GUZ57" s="148"/>
      <c r="GVA57" s="148"/>
      <c r="GVB57" s="148"/>
      <c r="GVC57" s="148"/>
      <c r="GVD57" s="148"/>
      <c r="GVE57" s="148"/>
      <c r="GVF57" s="148"/>
      <c r="GVG57" s="148"/>
      <c r="GVH57" s="148"/>
      <c r="GVI57" s="148"/>
      <c r="GVJ57" s="148"/>
      <c r="GVK57" s="148"/>
      <c r="GVL57" s="148"/>
      <c r="GVM57" s="148"/>
      <c r="GVN57" s="148"/>
      <c r="GVO57" s="148"/>
      <c r="GVP57" s="148"/>
      <c r="GVQ57" s="148"/>
      <c r="GVR57" s="148"/>
      <c r="GVS57" s="148"/>
      <c r="GVT57" s="148"/>
      <c r="GVU57" s="148"/>
      <c r="GVV57" s="148"/>
      <c r="GVW57" s="148"/>
      <c r="GVX57" s="148"/>
      <c r="GVY57" s="148"/>
      <c r="GVZ57" s="148"/>
      <c r="GWA57" s="148"/>
      <c r="GWB57" s="148"/>
      <c r="GWC57" s="148"/>
      <c r="GWD57" s="148"/>
      <c r="GWE57" s="148"/>
      <c r="GWF57" s="148"/>
      <c r="GWG57" s="148"/>
      <c r="GWH57" s="148"/>
      <c r="GWI57" s="148"/>
      <c r="GWJ57" s="148"/>
      <c r="GWK57" s="148"/>
      <c r="GWL57" s="148"/>
      <c r="GWM57" s="148"/>
      <c r="GWN57" s="148"/>
      <c r="GWO57" s="148"/>
      <c r="GWP57" s="148"/>
      <c r="GWQ57" s="148"/>
      <c r="GWR57" s="148"/>
      <c r="GWS57" s="148"/>
      <c r="GWT57" s="148"/>
      <c r="GWU57" s="148"/>
      <c r="GWV57" s="148"/>
      <c r="GWW57" s="148"/>
      <c r="GWX57" s="148"/>
      <c r="GWY57" s="148"/>
      <c r="GWZ57" s="148"/>
      <c r="GXA57" s="148"/>
      <c r="GXB57" s="148"/>
      <c r="GXC57" s="148"/>
      <c r="GXD57" s="148"/>
      <c r="GXE57" s="148"/>
      <c r="GXF57" s="148"/>
      <c r="GXG57" s="148"/>
      <c r="GXH57" s="148"/>
      <c r="GXI57" s="148"/>
      <c r="GXJ57" s="148"/>
      <c r="GXK57" s="148"/>
      <c r="GXL57" s="148"/>
      <c r="GXM57" s="148"/>
      <c r="GXN57" s="148"/>
      <c r="GXO57" s="148"/>
      <c r="GXP57" s="148"/>
      <c r="GXQ57" s="148"/>
      <c r="GXR57" s="148"/>
      <c r="GXS57" s="148"/>
      <c r="GXT57" s="148"/>
      <c r="GXU57" s="148"/>
      <c r="GXV57" s="148"/>
      <c r="GXW57" s="148"/>
      <c r="GXX57" s="148"/>
      <c r="GXY57" s="148"/>
      <c r="GXZ57" s="148"/>
      <c r="GYA57" s="148"/>
      <c r="GYB57" s="148"/>
      <c r="GYC57" s="148"/>
      <c r="GYD57" s="148"/>
      <c r="GYE57" s="148"/>
      <c r="GYF57" s="148"/>
      <c r="GYG57" s="148"/>
      <c r="GYH57" s="148"/>
      <c r="GYI57" s="148"/>
      <c r="GYJ57" s="148"/>
      <c r="GYK57" s="148"/>
      <c r="GYL57" s="148"/>
      <c r="GYM57" s="148"/>
      <c r="GYN57" s="148"/>
      <c r="GYO57" s="148"/>
      <c r="GYP57" s="148"/>
      <c r="GYQ57" s="148"/>
      <c r="GYR57" s="148"/>
      <c r="GYS57" s="148"/>
      <c r="GYT57" s="148"/>
      <c r="GYU57" s="148"/>
      <c r="GYV57" s="148"/>
      <c r="GYW57" s="148"/>
      <c r="GYX57" s="148"/>
      <c r="GYY57" s="148"/>
      <c r="GYZ57" s="148"/>
      <c r="GZA57" s="148"/>
      <c r="GZB57" s="148"/>
      <c r="GZC57" s="148"/>
      <c r="GZD57" s="148"/>
      <c r="GZE57" s="148"/>
      <c r="GZF57" s="148"/>
      <c r="GZG57" s="148"/>
      <c r="GZH57" s="148"/>
      <c r="GZI57" s="148"/>
      <c r="GZJ57" s="148"/>
      <c r="GZK57" s="148"/>
      <c r="GZL57" s="148"/>
      <c r="GZM57" s="148"/>
      <c r="GZN57" s="148"/>
      <c r="GZO57" s="148"/>
      <c r="GZP57" s="148"/>
      <c r="GZQ57" s="148"/>
      <c r="GZR57" s="148"/>
      <c r="GZS57" s="148"/>
      <c r="GZT57" s="148"/>
      <c r="GZU57" s="148"/>
      <c r="GZV57" s="148"/>
      <c r="GZW57" s="148"/>
      <c r="GZX57" s="148"/>
      <c r="GZY57" s="148"/>
      <c r="GZZ57" s="148"/>
      <c r="HAA57" s="148"/>
      <c r="HAB57" s="148"/>
      <c r="HAC57" s="148"/>
      <c r="HAD57" s="148"/>
      <c r="HAE57" s="148"/>
      <c r="HAF57" s="148"/>
      <c r="HAG57" s="148"/>
      <c r="HAH57" s="148"/>
      <c r="HAI57" s="148"/>
      <c r="HAJ57" s="148"/>
      <c r="HAK57" s="148"/>
      <c r="HAL57" s="148"/>
      <c r="HAM57" s="148"/>
      <c r="HAN57" s="148"/>
      <c r="HAO57" s="148"/>
      <c r="HAP57" s="148"/>
      <c r="HAQ57" s="148"/>
      <c r="HAR57" s="148"/>
      <c r="HAS57" s="148"/>
      <c r="HAT57" s="148"/>
      <c r="HAU57" s="148"/>
      <c r="HAV57" s="148"/>
      <c r="HAW57" s="148"/>
      <c r="HAX57" s="148"/>
      <c r="HAY57" s="148"/>
      <c r="HAZ57" s="148"/>
      <c r="HBA57" s="148"/>
      <c r="HBB57" s="148"/>
      <c r="HBC57" s="148"/>
      <c r="HBD57" s="148"/>
      <c r="HBE57" s="148"/>
      <c r="HBF57" s="148"/>
      <c r="HBG57" s="148"/>
      <c r="HBH57" s="148"/>
      <c r="HBI57" s="148"/>
      <c r="HBJ57" s="148"/>
      <c r="HBK57" s="148"/>
      <c r="HBL57" s="148"/>
      <c r="HBM57" s="148"/>
      <c r="HBN57" s="148"/>
      <c r="HBO57" s="148"/>
      <c r="HBP57" s="148"/>
      <c r="HBQ57" s="148"/>
      <c r="HBR57" s="148"/>
      <c r="HBS57" s="148"/>
      <c r="HBT57" s="148"/>
      <c r="HBU57" s="148"/>
      <c r="HBV57" s="148"/>
      <c r="HBW57" s="148"/>
      <c r="HBX57" s="148"/>
      <c r="HBY57" s="148"/>
      <c r="HBZ57" s="148"/>
      <c r="HCA57" s="148"/>
      <c r="HCB57" s="148"/>
      <c r="HCC57" s="148"/>
      <c r="HCD57" s="148"/>
      <c r="HCE57" s="148"/>
      <c r="HCF57" s="148"/>
      <c r="HCG57" s="148"/>
      <c r="HCH57" s="148"/>
      <c r="HCI57" s="148"/>
      <c r="HCJ57" s="148"/>
      <c r="HCK57" s="148"/>
      <c r="HCL57" s="148"/>
      <c r="HCM57" s="148"/>
      <c r="HCN57" s="148"/>
      <c r="HCO57" s="148"/>
      <c r="HCP57" s="148"/>
      <c r="HCQ57" s="148"/>
      <c r="HCR57" s="148"/>
      <c r="HCS57" s="148"/>
      <c r="HCT57" s="148"/>
      <c r="HCU57" s="148"/>
      <c r="HCV57" s="148"/>
      <c r="HCW57" s="148"/>
      <c r="HCX57" s="148"/>
      <c r="HCY57" s="148"/>
      <c r="HCZ57" s="148"/>
      <c r="HDA57" s="148"/>
      <c r="HDB57" s="148"/>
      <c r="HDC57" s="148"/>
      <c r="HDD57" s="148"/>
      <c r="HDE57" s="148"/>
      <c r="HDF57" s="148"/>
      <c r="HDG57" s="148"/>
      <c r="HDH57" s="148"/>
      <c r="HDI57" s="148"/>
      <c r="HDJ57" s="148"/>
      <c r="HDK57" s="148"/>
      <c r="HDL57" s="148"/>
      <c r="HDM57" s="148"/>
      <c r="HDN57" s="148"/>
      <c r="HDO57" s="148"/>
      <c r="HDP57" s="148"/>
      <c r="HDQ57" s="148"/>
      <c r="HDR57" s="148"/>
      <c r="HDS57" s="148"/>
      <c r="HDT57" s="148"/>
      <c r="HDU57" s="148"/>
      <c r="HDV57" s="148"/>
      <c r="HDW57" s="148"/>
      <c r="HDX57" s="148"/>
      <c r="HDY57" s="148"/>
      <c r="HDZ57" s="148"/>
      <c r="HEA57" s="148"/>
      <c r="HEB57" s="148"/>
      <c r="HEC57" s="148"/>
      <c r="HED57" s="148"/>
      <c r="HEE57" s="148"/>
      <c r="HEF57" s="148"/>
      <c r="HEG57" s="148"/>
      <c r="HEH57" s="148"/>
      <c r="HEI57" s="148"/>
      <c r="HEJ57" s="148"/>
      <c r="HEK57" s="148"/>
      <c r="HEL57" s="148"/>
      <c r="HEM57" s="148"/>
      <c r="HEN57" s="148"/>
      <c r="HEO57" s="148"/>
      <c r="HEP57" s="148"/>
      <c r="HEQ57" s="148"/>
      <c r="HER57" s="148"/>
      <c r="HES57" s="148"/>
      <c r="HET57" s="148"/>
      <c r="HEU57" s="148"/>
      <c r="HEV57" s="148"/>
      <c r="HEW57" s="148"/>
      <c r="HEX57" s="148"/>
      <c r="HEY57" s="148"/>
      <c r="HEZ57" s="148"/>
      <c r="HFA57" s="148"/>
      <c r="HFB57" s="148"/>
      <c r="HFC57" s="148"/>
      <c r="HFD57" s="148"/>
      <c r="HFE57" s="148"/>
      <c r="HFF57" s="148"/>
      <c r="HFG57" s="148"/>
      <c r="HFH57" s="148"/>
      <c r="HFI57" s="148"/>
      <c r="HFJ57" s="148"/>
      <c r="HFK57" s="148"/>
      <c r="HFL57" s="148"/>
      <c r="HFM57" s="148"/>
      <c r="HFN57" s="148"/>
      <c r="HFO57" s="148"/>
      <c r="HFP57" s="148"/>
      <c r="HFQ57" s="148"/>
      <c r="HFR57" s="148"/>
      <c r="HFS57" s="148"/>
      <c r="HFT57" s="148"/>
      <c r="HFU57" s="148"/>
      <c r="HFV57" s="148"/>
      <c r="HFW57" s="148"/>
      <c r="HFX57" s="148"/>
      <c r="HFY57" s="148"/>
      <c r="HFZ57" s="148"/>
      <c r="HGA57" s="148"/>
      <c r="HGB57" s="148"/>
      <c r="HGC57" s="148"/>
      <c r="HGD57" s="148"/>
      <c r="HGE57" s="148"/>
      <c r="HGF57" s="148"/>
      <c r="HGG57" s="148"/>
      <c r="HGH57" s="148"/>
      <c r="HGI57" s="148"/>
      <c r="HGJ57" s="148"/>
      <c r="HGK57" s="148"/>
      <c r="HGL57" s="148"/>
      <c r="HGM57" s="148"/>
      <c r="HGN57" s="148"/>
      <c r="HGO57" s="148"/>
      <c r="HGP57" s="148"/>
      <c r="HGQ57" s="148"/>
      <c r="HGR57" s="148"/>
      <c r="HGS57" s="148"/>
      <c r="HGT57" s="148"/>
      <c r="HGU57" s="148"/>
      <c r="HGV57" s="148"/>
      <c r="HGW57" s="148"/>
      <c r="HGX57" s="148"/>
      <c r="HGY57" s="148"/>
      <c r="HGZ57" s="148"/>
      <c r="HHA57" s="148"/>
      <c r="HHB57" s="148"/>
      <c r="HHC57" s="148"/>
      <c r="HHD57" s="148"/>
      <c r="HHE57" s="148"/>
      <c r="HHF57" s="148"/>
      <c r="HHG57" s="148"/>
      <c r="HHH57" s="148"/>
      <c r="HHI57" s="148"/>
      <c r="HHJ57" s="148"/>
      <c r="HHK57" s="148"/>
      <c r="HHL57" s="148"/>
      <c r="HHM57" s="148"/>
      <c r="HHN57" s="148"/>
      <c r="HHO57" s="148"/>
      <c r="HHP57" s="148"/>
      <c r="HHQ57" s="148"/>
      <c r="HHR57" s="148"/>
      <c r="HHS57" s="148"/>
      <c r="HHT57" s="148"/>
      <c r="HHU57" s="148"/>
      <c r="HHV57" s="148"/>
      <c r="HHW57" s="148"/>
      <c r="HHX57" s="148"/>
      <c r="HHY57" s="148"/>
      <c r="HHZ57" s="148"/>
      <c r="HIA57" s="148"/>
      <c r="HIB57" s="148"/>
      <c r="HIC57" s="148"/>
      <c r="HID57" s="148"/>
      <c r="HIE57" s="148"/>
      <c r="HIF57" s="148"/>
      <c r="HIG57" s="148"/>
      <c r="HIH57" s="148"/>
      <c r="HII57" s="148"/>
      <c r="HIJ57" s="148"/>
      <c r="HIK57" s="148"/>
      <c r="HIL57" s="148"/>
      <c r="HIM57" s="148"/>
      <c r="HIN57" s="148"/>
      <c r="HIO57" s="148"/>
      <c r="HIP57" s="148"/>
      <c r="HIQ57" s="148"/>
      <c r="HIR57" s="148"/>
      <c r="HIS57" s="148"/>
      <c r="HIT57" s="148"/>
      <c r="HIU57" s="148"/>
      <c r="HIV57" s="148"/>
      <c r="HIW57" s="148"/>
      <c r="HIX57" s="148"/>
      <c r="HIY57" s="148"/>
      <c r="HIZ57" s="148"/>
      <c r="HJA57" s="148"/>
      <c r="HJB57" s="148"/>
      <c r="HJC57" s="148"/>
      <c r="HJD57" s="148"/>
      <c r="HJE57" s="148"/>
      <c r="HJF57" s="148"/>
      <c r="HJG57" s="148"/>
      <c r="HJH57" s="148"/>
      <c r="HJI57" s="148"/>
      <c r="HJJ57" s="148"/>
      <c r="HJK57" s="148"/>
      <c r="HJL57" s="148"/>
      <c r="HJM57" s="148"/>
      <c r="HJN57" s="148"/>
      <c r="HJO57" s="148"/>
      <c r="HJP57" s="148"/>
      <c r="HJQ57" s="148"/>
      <c r="HJR57" s="148"/>
      <c r="HJS57" s="148"/>
      <c r="HJT57" s="148"/>
      <c r="HJU57" s="148"/>
      <c r="HJV57" s="148"/>
      <c r="HJW57" s="148"/>
      <c r="HJX57" s="148"/>
      <c r="HJY57" s="148"/>
      <c r="HJZ57" s="148"/>
      <c r="HKA57" s="148"/>
      <c r="HKB57" s="148"/>
      <c r="HKC57" s="148"/>
      <c r="HKD57" s="148"/>
      <c r="HKE57" s="148"/>
      <c r="HKF57" s="148"/>
      <c r="HKG57" s="148"/>
      <c r="HKH57" s="148"/>
      <c r="HKI57" s="148"/>
      <c r="HKJ57" s="148"/>
      <c r="HKK57" s="148"/>
      <c r="HKL57" s="148"/>
      <c r="HKM57" s="148"/>
      <c r="HKN57" s="148"/>
      <c r="HKO57" s="148"/>
      <c r="HKP57" s="148"/>
      <c r="HKQ57" s="148"/>
      <c r="HKR57" s="148"/>
      <c r="HKS57" s="148"/>
      <c r="HKT57" s="148"/>
      <c r="HKU57" s="148"/>
      <c r="HKV57" s="148"/>
      <c r="HKW57" s="148"/>
      <c r="HKX57" s="148"/>
      <c r="HKY57" s="148"/>
      <c r="HKZ57" s="148"/>
      <c r="HLA57" s="148"/>
      <c r="HLB57" s="148"/>
      <c r="HLC57" s="148"/>
      <c r="HLD57" s="148"/>
      <c r="HLE57" s="148"/>
      <c r="HLF57" s="148"/>
      <c r="HLG57" s="148"/>
      <c r="HLH57" s="148"/>
      <c r="HLI57" s="148"/>
      <c r="HLJ57" s="148"/>
      <c r="HLK57" s="148"/>
      <c r="HLL57" s="148"/>
      <c r="HLM57" s="148"/>
      <c r="HLN57" s="148"/>
      <c r="HLO57" s="148"/>
      <c r="HLP57" s="148"/>
      <c r="HLQ57" s="148"/>
      <c r="HLR57" s="148"/>
      <c r="HLS57" s="148"/>
      <c r="HLT57" s="148"/>
      <c r="HLU57" s="148"/>
      <c r="HLV57" s="148"/>
      <c r="HLW57" s="148"/>
      <c r="HLX57" s="148"/>
      <c r="HLY57" s="148"/>
      <c r="HLZ57" s="148"/>
      <c r="HMA57" s="148"/>
      <c r="HMB57" s="148"/>
      <c r="HMC57" s="148"/>
      <c r="HMD57" s="148"/>
      <c r="HME57" s="148"/>
      <c r="HMF57" s="148"/>
      <c r="HMG57" s="148"/>
      <c r="HMH57" s="148"/>
      <c r="HMI57" s="148"/>
      <c r="HMJ57" s="148"/>
      <c r="HMK57" s="148"/>
      <c r="HML57" s="148"/>
      <c r="HMM57" s="148"/>
      <c r="HMN57" s="148"/>
      <c r="HMO57" s="148"/>
      <c r="HMP57" s="148"/>
      <c r="HMQ57" s="148"/>
      <c r="HMR57" s="148"/>
      <c r="HMS57" s="148"/>
      <c r="HMT57" s="148"/>
      <c r="HMU57" s="148"/>
      <c r="HMV57" s="148"/>
      <c r="HMW57" s="148"/>
      <c r="HMX57" s="148"/>
      <c r="HMY57" s="148"/>
      <c r="HMZ57" s="148"/>
      <c r="HNA57" s="148"/>
      <c r="HNB57" s="148"/>
      <c r="HNC57" s="148"/>
      <c r="HND57" s="148"/>
      <c r="HNE57" s="148"/>
      <c r="HNF57" s="148"/>
      <c r="HNG57" s="148"/>
      <c r="HNH57" s="148"/>
      <c r="HNI57" s="148"/>
      <c r="HNJ57" s="148"/>
      <c r="HNK57" s="148"/>
      <c r="HNL57" s="148"/>
      <c r="HNM57" s="148"/>
      <c r="HNN57" s="148"/>
      <c r="HNO57" s="148"/>
      <c r="HNP57" s="148"/>
      <c r="HNQ57" s="148"/>
      <c r="HNR57" s="148"/>
      <c r="HNS57" s="148"/>
      <c r="HNT57" s="148"/>
      <c r="HNU57" s="148"/>
      <c r="HNV57" s="148"/>
      <c r="HNW57" s="148"/>
      <c r="HNX57" s="148"/>
      <c r="HNY57" s="148"/>
      <c r="HNZ57" s="148"/>
      <c r="HOA57" s="148"/>
      <c r="HOB57" s="148"/>
      <c r="HOC57" s="148"/>
      <c r="HOD57" s="148"/>
      <c r="HOE57" s="148"/>
      <c r="HOF57" s="148"/>
      <c r="HOG57" s="148"/>
      <c r="HOH57" s="148"/>
      <c r="HOI57" s="148"/>
      <c r="HOJ57" s="148"/>
      <c r="HOK57" s="148"/>
      <c r="HOL57" s="148"/>
      <c r="HOM57" s="148"/>
      <c r="HON57" s="148"/>
      <c r="HOO57" s="148"/>
      <c r="HOP57" s="148"/>
      <c r="HOQ57" s="148"/>
      <c r="HOR57" s="148"/>
      <c r="HOS57" s="148"/>
      <c r="HOT57" s="148"/>
      <c r="HOU57" s="148"/>
      <c r="HOV57" s="148"/>
      <c r="HOW57" s="148"/>
      <c r="HOX57" s="148"/>
      <c r="HOY57" s="148"/>
      <c r="HOZ57" s="148"/>
      <c r="HPA57" s="148"/>
      <c r="HPB57" s="148"/>
      <c r="HPC57" s="148"/>
      <c r="HPD57" s="148"/>
      <c r="HPE57" s="148"/>
      <c r="HPF57" s="148"/>
      <c r="HPG57" s="148"/>
      <c r="HPH57" s="148"/>
      <c r="HPI57" s="148"/>
      <c r="HPJ57" s="148"/>
      <c r="HPK57" s="148"/>
      <c r="HPL57" s="148"/>
      <c r="HPM57" s="148"/>
      <c r="HPN57" s="148"/>
      <c r="HPO57" s="148"/>
      <c r="HPP57" s="148"/>
      <c r="HPQ57" s="148"/>
      <c r="HPR57" s="148"/>
      <c r="HPS57" s="148"/>
      <c r="HPT57" s="148"/>
      <c r="HPU57" s="148"/>
      <c r="HPV57" s="148"/>
      <c r="HPW57" s="148"/>
      <c r="HPX57" s="148"/>
      <c r="HPY57" s="148"/>
      <c r="HPZ57" s="148"/>
      <c r="HQA57" s="148"/>
      <c r="HQB57" s="148"/>
      <c r="HQC57" s="148"/>
      <c r="HQD57" s="148"/>
      <c r="HQE57" s="148"/>
      <c r="HQF57" s="148"/>
      <c r="HQG57" s="148"/>
      <c r="HQH57" s="148"/>
      <c r="HQI57" s="148"/>
      <c r="HQJ57" s="148"/>
      <c r="HQK57" s="148"/>
      <c r="HQL57" s="148"/>
      <c r="HQM57" s="148"/>
      <c r="HQN57" s="148"/>
      <c r="HQO57" s="148"/>
      <c r="HQP57" s="148"/>
      <c r="HQQ57" s="148"/>
      <c r="HQR57" s="148"/>
      <c r="HQS57" s="148"/>
      <c r="HQT57" s="148"/>
      <c r="HQU57" s="148"/>
      <c r="HQV57" s="148"/>
      <c r="HQW57" s="148"/>
      <c r="HQX57" s="148"/>
      <c r="HQY57" s="148"/>
      <c r="HQZ57" s="148"/>
      <c r="HRA57" s="148"/>
      <c r="HRB57" s="148"/>
      <c r="HRC57" s="148"/>
      <c r="HRD57" s="148"/>
      <c r="HRE57" s="148"/>
      <c r="HRF57" s="148"/>
      <c r="HRG57" s="148"/>
      <c r="HRH57" s="148"/>
      <c r="HRI57" s="148"/>
      <c r="HRJ57" s="148"/>
      <c r="HRK57" s="148"/>
      <c r="HRL57" s="148"/>
      <c r="HRM57" s="148"/>
      <c r="HRN57" s="148"/>
      <c r="HRO57" s="148"/>
      <c r="HRP57" s="148"/>
      <c r="HRQ57" s="148"/>
      <c r="HRR57" s="148"/>
      <c r="HRS57" s="148"/>
      <c r="HRT57" s="148"/>
      <c r="HRU57" s="148"/>
      <c r="HRV57" s="148"/>
      <c r="HRW57" s="148"/>
      <c r="HRX57" s="148"/>
      <c r="HRY57" s="148"/>
      <c r="HRZ57" s="148"/>
      <c r="HSA57" s="148"/>
      <c r="HSB57" s="148"/>
      <c r="HSC57" s="148"/>
      <c r="HSD57" s="148"/>
      <c r="HSE57" s="148"/>
      <c r="HSF57" s="148"/>
      <c r="HSG57" s="148"/>
      <c r="HSH57" s="148"/>
      <c r="HSI57" s="148"/>
      <c r="HSJ57" s="148"/>
      <c r="HSK57" s="148"/>
      <c r="HSL57" s="148"/>
      <c r="HSM57" s="148"/>
      <c r="HSN57" s="148"/>
      <c r="HSO57" s="148"/>
      <c r="HSP57" s="148"/>
      <c r="HSQ57" s="148"/>
      <c r="HSR57" s="148"/>
      <c r="HSS57" s="148"/>
      <c r="HST57" s="148"/>
      <c r="HSU57" s="148"/>
      <c r="HSV57" s="148"/>
      <c r="HSW57" s="148"/>
      <c r="HSX57" s="148"/>
      <c r="HSY57" s="148"/>
      <c r="HSZ57" s="148"/>
      <c r="HTA57" s="148"/>
      <c r="HTB57" s="148"/>
      <c r="HTC57" s="148"/>
      <c r="HTD57" s="148"/>
      <c r="HTE57" s="148"/>
      <c r="HTF57" s="148"/>
      <c r="HTG57" s="148"/>
      <c r="HTH57" s="148"/>
      <c r="HTI57" s="148"/>
      <c r="HTJ57" s="148"/>
      <c r="HTK57" s="148"/>
      <c r="HTL57" s="148"/>
      <c r="HTM57" s="148"/>
      <c r="HTN57" s="148"/>
      <c r="HTO57" s="148"/>
      <c r="HTP57" s="148"/>
      <c r="HTQ57" s="148"/>
      <c r="HTR57" s="148"/>
      <c r="HTS57" s="148"/>
      <c r="HTT57" s="148"/>
      <c r="HTU57" s="148"/>
      <c r="HTV57" s="148"/>
      <c r="HTW57" s="148"/>
      <c r="HTX57" s="148"/>
      <c r="HTY57" s="148"/>
      <c r="HTZ57" s="148"/>
      <c r="HUA57" s="148"/>
      <c r="HUB57" s="148"/>
      <c r="HUC57" s="148"/>
      <c r="HUD57" s="148"/>
      <c r="HUE57" s="148"/>
      <c r="HUF57" s="148"/>
      <c r="HUG57" s="148"/>
      <c r="HUH57" s="148"/>
      <c r="HUI57" s="148"/>
      <c r="HUJ57" s="148"/>
      <c r="HUK57" s="148"/>
      <c r="HUL57" s="148"/>
      <c r="HUM57" s="148"/>
      <c r="HUN57" s="148"/>
      <c r="HUO57" s="148"/>
      <c r="HUP57" s="148"/>
      <c r="HUQ57" s="148"/>
      <c r="HUR57" s="148"/>
      <c r="HUS57" s="148"/>
      <c r="HUT57" s="148"/>
      <c r="HUU57" s="148"/>
      <c r="HUV57" s="148"/>
      <c r="HUW57" s="148"/>
      <c r="HUX57" s="148"/>
      <c r="HUY57" s="148"/>
      <c r="HUZ57" s="148"/>
      <c r="HVA57" s="148"/>
      <c r="HVB57" s="148"/>
      <c r="HVC57" s="148"/>
      <c r="HVD57" s="148"/>
      <c r="HVE57" s="148"/>
      <c r="HVF57" s="148"/>
      <c r="HVG57" s="148"/>
      <c r="HVH57" s="148"/>
      <c r="HVI57" s="148"/>
      <c r="HVJ57" s="148"/>
      <c r="HVK57" s="148"/>
      <c r="HVL57" s="148"/>
      <c r="HVM57" s="148"/>
      <c r="HVN57" s="148"/>
      <c r="HVO57" s="148"/>
      <c r="HVP57" s="148"/>
      <c r="HVQ57" s="148"/>
      <c r="HVR57" s="148"/>
      <c r="HVS57" s="148"/>
      <c r="HVT57" s="148"/>
      <c r="HVU57" s="148"/>
      <c r="HVV57" s="148"/>
      <c r="HVW57" s="148"/>
      <c r="HVX57" s="148"/>
      <c r="HVY57" s="148"/>
      <c r="HVZ57" s="148"/>
      <c r="HWA57" s="148"/>
      <c r="HWB57" s="148"/>
      <c r="HWC57" s="148"/>
      <c r="HWD57" s="148"/>
      <c r="HWE57" s="148"/>
      <c r="HWF57" s="148"/>
      <c r="HWG57" s="148"/>
      <c r="HWH57" s="148"/>
      <c r="HWI57" s="148"/>
      <c r="HWJ57" s="148"/>
      <c r="HWK57" s="148"/>
      <c r="HWL57" s="148"/>
      <c r="HWM57" s="148"/>
      <c r="HWN57" s="148"/>
      <c r="HWO57" s="148"/>
      <c r="HWP57" s="148"/>
      <c r="HWQ57" s="148"/>
      <c r="HWR57" s="148"/>
      <c r="HWS57" s="148"/>
      <c r="HWT57" s="148"/>
      <c r="HWU57" s="148"/>
      <c r="HWV57" s="148"/>
      <c r="HWW57" s="148"/>
      <c r="HWX57" s="148"/>
      <c r="HWY57" s="148"/>
      <c r="HWZ57" s="148"/>
      <c r="HXA57" s="148"/>
      <c r="HXB57" s="148"/>
      <c r="HXC57" s="148"/>
      <c r="HXD57" s="148"/>
      <c r="HXE57" s="148"/>
      <c r="HXF57" s="148"/>
      <c r="HXG57" s="148"/>
      <c r="HXH57" s="148"/>
      <c r="HXI57" s="148"/>
      <c r="HXJ57" s="148"/>
      <c r="HXK57" s="148"/>
      <c r="HXL57" s="148"/>
      <c r="HXM57" s="148"/>
      <c r="HXN57" s="148"/>
      <c r="HXO57" s="148"/>
      <c r="HXP57" s="148"/>
      <c r="HXQ57" s="148"/>
      <c r="HXR57" s="148"/>
      <c r="HXS57" s="148"/>
      <c r="HXT57" s="148"/>
      <c r="HXU57" s="148"/>
      <c r="HXV57" s="148"/>
      <c r="HXW57" s="148"/>
      <c r="HXX57" s="148"/>
      <c r="HXY57" s="148"/>
      <c r="HXZ57" s="148"/>
      <c r="HYA57" s="148"/>
      <c r="HYB57" s="148"/>
      <c r="HYC57" s="148"/>
      <c r="HYD57" s="148"/>
      <c r="HYE57" s="148"/>
      <c r="HYF57" s="148"/>
      <c r="HYG57" s="148"/>
      <c r="HYH57" s="148"/>
      <c r="HYI57" s="148"/>
      <c r="HYJ57" s="148"/>
      <c r="HYK57" s="148"/>
      <c r="HYL57" s="148"/>
      <c r="HYM57" s="148"/>
      <c r="HYN57" s="148"/>
      <c r="HYO57" s="148"/>
      <c r="HYP57" s="148"/>
      <c r="HYQ57" s="148"/>
      <c r="HYR57" s="148"/>
      <c r="HYS57" s="148"/>
      <c r="HYT57" s="148"/>
      <c r="HYU57" s="148"/>
      <c r="HYV57" s="148"/>
      <c r="HYW57" s="148"/>
      <c r="HYX57" s="148"/>
      <c r="HYY57" s="148"/>
      <c r="HYZ57" s="148"/>
      <c r="HZA57" s="148"/>
      <c r="HZB57" s="148"/>
      <c r="HZC57" s="148"/>
      <c r="HZD57" s="148"/>
      <c r="HZE57" s="148"/>
      <c r="HZF57" s="148"/>
      <c r="HZG57" s="148"/>
      <c r="HZH57" s="148"/>
      <c r="HZI57" s="148"/>
      <c r="HZJ57" s="148"/>
      <c r="HZK57" s="148"/>
      <c r="HZL57" s="148"/>
      <c r="HZM57" s="148"/>
      <c r="HZN57" s="148"/>
      <c r="HZO57" s="148"/>
      <c r="HZP57" s="148"/>
      <c r="HZQ57" s="148"/>
      <c r="HZR57" s="148"/>
      <c r="HZS57" s="148"/>
      <c r="HZT57" s="148"/>
      <c r="HZU57" s="148"/>
      <c r="HZV57" s="148"/>
      <c r="HZW57" s="148"/>
      <c r="HZX57" s="148"/>
      <c r="HZY57" s="148"/>
      <c r="HZZ57" s="148"/>
      <c r="IAA57" s="148"/>
      <c r="IAB57" s="148"/>
      <c r="IAC57" s="148"/>
      <c r="IAD57" s="148"/>
      <c r="IAE57" s="148"/>
      <c r="IAF57" s="148"/>
      <c r="IAG57" s="148"/>
      <c r="IAH57" s="148"/>
      <c r="IAI57" s="148"/>
      <c r="IAJ57" s="148"/>
      <c r="IAK57" s="148"/>
      <c r="IAL57" s="148"/>
      <c r="IAM57" s="148"/>
      <c r="IAN57" s="148"/>
      <c r="IAO57" s="148"/>
      <c r="IAP57" s="148"/>
      <c r="IAQ57" s="148"/>
      <c r="IAR57" s="148"/>
      <c r="IAS57" s="148"/>
      <c r="IAT57" s="148"/>
      <c r="IAU57" s="148"/>
      <c r="IAV57" s="148"/>
      <c r="IAW57" s="148"/>
      <c r="IAX57" s="148"/>
      <c r="IAY57" s="148"/>
      <c r="IAZ57" s="148"/>
      <c r="IBA57" s="148"/>
      <c r="IBB57" s="148"/>
      <c r="IBC57" s="148"/>
      <c r="IBD57" s="148"/>
      <c r="IBE57" s="148"/>
      <c r="IBF57" s="148"/>
      <c r="IBG57" s="148"/>
      <c r="IBH57" s="148"/>
      <c r="IBI57" s="148"/>
      <c r="IBJ57" s="148"/>
      <c r="IBK57" s="148"/>
      <c r="IBL57" s="148"/>
      <c r="IBM57" s="148"/>
      <c r="IBN57" s="148"/>
      <c r="IBO57" s="148"/>
      <c r="IBP57" s="148"/>
      <c r="IBQ57" s="148"/>
      <c r="IBR57" s="148"/>
      <c r="IBS57" s="148"/>
      <c r="IBT57" s="148"/>
      <c r="IBU57" s="148"/>
      <c r="IBV57" s="148"/>
      <c r="IBW57" s="148"/>
      <c r="IBX57" s="148"/>
      <c r="IBY57" s="148"/>
      <c r="IBZ57" s="148"/>
      <c r="ICA57" s="148"/>
      <c r="ICB57" s="148"/>
      <c r="ICC57" s="148"/>
      <c r="ICD57" s="148"/>
      <c r="ICE57" s="148"/>
      <c r="ICF57" s="148"/>
      <c r="ICG57" s="148"/>
      <c r="ICH57" s="148"/>
      <c r="ICI57" s="148"/>
      <c r="ICJ57" s="148"/>
      <c r="ICK57" s="148"/>
      <c r="ICL57" s="148"/>
      <c r="ICM57" s="148"/>
      <c r="ICN57" s="148"/>
      <c r="ICO57" s="148"/>
      <c r="ICP57" s="148"/>
      <c r="ICQ57" s="148"/>
      <c r="ICR57" s="148"/>
      <c r="ICS57" s="148"/>
      <c r="ICT57" s="148"/>
      <c r="ICU57" s="148"/>
      <c r="ICV57" s="148"/>
      <c r="ICW57" s="148"/>
      <c r="ICX57" s="148"/>
      <c r="ICY57" s="148"/>
      <c r="ICZ57" s="148"/>
      <c r="IDA57" s="148"/>
      <c r="IDB57" s="148"/>
      <c r="IDC57" s="148"/>
      <c r="IDD57" s="148"/>
      <c r="IDE57" s="148"/>
      <c r="IDF57" s="148"/>
      <c r="IDG57" s="148"/>
      <c r="IDH57" s="148"/>
      <c r="IDI57" s="148"/>
      <c r="IDJ57" s="148"/>
      <c r="IDK57" s="148"/>
      <c r="IDL57" s="148"/>
      <c r="IDM57" s="148"/>
      <c r="IDN57" s="148"/>
      <c r="IDO57" s="148"/>
      <c r="IDP57" s="148"/>
      <c r="IDQ57" s="148"/>
      <c r="IDR57" s="148"/>
      <c r="IDS57" s="148"/>
      <c r="IDT57" s="148"/>
      <c r="IDU57" s="148"/>
      <c r="IDV57" s="148"/>
      <c r="IDW57" s="148"/>
      <c r="IDX57" s="148"/>
      <c r="IDY57" s="148"/>
      <c r="IDZ57" s="148"/>
      <c r="IEA57" s="148"/>
      <c r="IEB57" s="148"/>
      <c r="IEC57" s="148"/>
      <c r="IED57" s="148"/>
      <c r="IEE57" s="148"/>
      <c r="IEF57" s="148"/>
      <c r="IEG57" s="148"/>
      <c r="IEH57" s="148"/>
      <c r="IEI57" s="148"/>
      <c r="IEJ57" s="148"/>
      <c r="IEK57" s="148"/>
      <c r="IEL57" s="148"/>
      <c r="IEM57" s="148"/>
      <c r="IEN57" s="148"/>
      <c r="IEO57" s="148"/>
      <c r="IEP57" s="148"/>
      <c r="IEQ57" s="148"/>
      <c r="IER57" s="148"/>
      <c r="IES57" s="148"/>
      <c r="IET57" s="148"/>
      <c r="IEU57" s="148"/>
      <c r="IEV57" s="148"/>
      <c r="IEW57" s="148"/>
      <c r="IEX57" s="148"/>
      <c r="IEY57" s="148"/>
      <c r="IEZ57" s="148"/>
      <c r="IFA57" s="148"/>
      <c r="IFB57" s="148"/>
      <c r="IFC57" s="148"/>
      <c r="IFD57" s="148"/>
      <c r="IFE57" s="148"/>
      <c r="IFF57" s="148"/>
      <c r="IFG57" s="148"/>
      <c r="IFH57" s="148"/>
      <c r="IFI57" s="148"/>
      <c r="IFJ57" s="148"/>
      <c r="IFK57" s="148"/>
      <c r="IFL57" s="148"/>
      <c r="IFM57" s="148"/>
      <c r="IFN57" s="148"/>
      <c r="IFO57" s="148"/>
      <c r="IFP57" s="148"/>
      <c r="IFQ57" s="148"/>
      <c r="IFR57" s="148"/>
      <c r="IFS57" s="148"/>
      <c r="IFT57" s="148"/>
      <c r="IFU57" s="148"/>
      <c r="IFV57" s="148"/>
      <c r="IFW57" s="148"/>
      <c r="IFX57" s="148"/>
      <c r="IFY57" s="148"/>
      <c r="IFZ57" s="148"/>
      <c r="IGA57" s="148"/>
      <c r="IGB57" s="148"/>
      <c r="IGC57" s="148"/>
      <c r="IGD57" s="148"/>
      <c r="IGE57" s="148"/>
      <c r="IGF57" s="148"/>
      <c r="IGG57" s="148"/>
      <c r="IGH57" s="148"/>
      <c r="IGI57" s="148"/>
      <c r="IGJ57" s="148"/>
      <c r="IGK57" s="148"/>
      <c r="IGL57" s="148"/>
      <c r="IGM57" s="148"/>
      <c r="IGN57" s="148"/>
      <c r="IGO57" s="148"/>
      <c r="IGP57" s="148"/>
      <c r="IGQ57" s="148"/>
      <c r="IGR57" s="148"/>
      <c r="IGS57" s="148"/>
      <c r="IGT57" s="148"/>
      <c r="IGU57" s="148"/>
      <c r="IGV57" s="148"/>
      <c r="IGW57" s="148"/>
      <c r="IGX57" s="148"/>
      <c r="IGY57" s="148"/>
      <c r="IGZ57" s="148"/>
      <c r="IHA57" s="148"/>
      <c r="IHB57" s="148"/>
      <c r="IHC57" s="148"/>
      <c r="IHD57" s="148"/>
      <c r="IHE57" s="148"/>
      <c r="IHF57" s="148"/>
      <c r="IHG57" s="148"/>
      <c r="IHH57" s="148"/>
      <c r="IHI57" s="148"/>
      <c r="IHJ57" s="148"/>
      <c r="IHK57" s="148"/>
      <c r="IHL57" s="148"/>
      <c r="IHM57" s="148"/>
      <c r="IHN57" s="148"/>
      <c r="IHO57" s="148"/>
      <c r="IHP57" s="148"/>
      <c r="IHQ57" s="148"/>
      <c r="IHR57" s="148"/>
      <c r="IHS57" s="148"/>
      <c r="IHT57" s="148"/>
      <c r="IHU57" s="148"/>
      <c r="IHV57" s="148"/>
      <c r="IHW57" s="148"/>
      <c r="IHX57" s="148"/>
      <c r="IHY57" s="148"/>
      <c r="IHZ57" s="148"/>
      <c r="IIA57" s="148"/>
      <c r="IIB57" s="148"/>
      <c r="IIC57" s="148"/>
      <c r="IID57" s="148"/>
      <c r="IIE57" s="148"/>
      <c r="IIF57" s="148"/>
      <c r="IIG57" s="148"/>
      <c r="IIH57" s="148"/>
      <c r="III57" s="148"/>
      <c r="IIJ57" s="148"/>
      <c r="IIK57" s="148"/>
      <c r="IIL57" s="148"/>
      <c r="IIM57" s="148"/>
      <c r="IIN57" s="148"/>
      <c r="IIO57" s="148"/>
      <c r="IIP57" s="148"/>
      <c r="IIQ57" s="148"/>
      <c r="IIR57" s="148"/>
      <c r="IIS57" s="148"/>
      <c r="IIT57" s="148"/>
      <c r="IIU57" s="148"/>
      <c r="IIV57" s="148"/>
      <c r="IIW57" s="148"/>
      <c r="IIX57" s="148"/>
      <c r="IIY57" s="148"/>
      <c r="IIZ57" s="148"/>
      <c r="IJA57" s="148"/>
      <c r="IJB57" s="148"/>
      <c r="IJC57" s="148"/>
      <c r="IJD57" s="148"/>
      <c r="IJE57" s="148"/>
      <c r="IJF57" s="148"/>
      <c r="IJG57" s="148"/>
      <c r="IJH57" s="148"/>
      <c r="IJI57" s="148"/>
      <c r="IJJ57" s="148"/>
      <c r="IJK57" s="148"/>
      <c r="IJL57" s="148"/>
      <c r="IJM57" s="148"/>
      <c r="IJN57" s="148"/>
      <c r="IJO57" s="148"/>
      <c r="IJP57" s="148"/>
      <c r="IJQ57" s="148"/>
      <c r="IJR57" s="148"/>
      <c r="IJS57" s="148"/>
      <c r="IJT57" s="148"/>
      <c r="IJU57" s="148"/>
      <c r="IJV57" s="148"/>
      <c r="IJW57" s="148"/>
      <c r="IJX57" s="148"/>
      <c r="IJY57" s="148"/>
      <c r="IJZ57" s="148"/>
      <c r="IKA57" s="148"/>
      <c r="IKB57" s="148"/>
      <c r="IKC57" s="148"/>
      <c r="IKD57" s="148"/>
      <c r="IKE57" s="148"/>
      <c r="IKF57" s="148"/>
      <c r="IKG57" s="148"/>
      <c r="IKH57" s="148"/>
      <c r="IKI57" s="148"/>
      <c r="IKJ57" s="148"/>
      <c r="IKK57" s="148"/>
      <c r="IKL57" s="148"/>
      <c r="IKM57" s="148"/>
      <c r="IKN57" s="148"/>
      <c r="IKO57" s="148"/>
      <c r="IKP57" s="148"/>
      <c r="IKQ57" s="148"/>
      <c r="IKR57" s="148"/>
      <c r="IKS57" s="148"/>
      <c r="IKT57" s="148"/>
      <c r="IKU57" s="148"/>
      <c r="IKV57" s="148"/>
      <c r="IKW57" s="148"/>
      <c r="IKX57" s="148"/>
      <c r="IKY57" s="148"/>
      <c r="IKZ57" s="148"/>
      <c r="ILA57" s="148"/>
      <c r="ILB57" s="148"/>
      <c r="ILC57" s="148"/>
      <c r="ILD57" s="148"/>
      <c r="ILE57" s="148"/>
      <c r="ILF57" s="148"/>
      <c r="ILG57" s="148"/>
      <c r="ILH57" s="148"/>
      <c r="ILI57" s="148"/>
      <c r="ILJ57" s="148"/>
      <c r="ILK57" s="148"/>
      <c r="ILL57" s="148"/>
      <c r="ILM57" s="148"/>
      <c r="ILN57" s="148"/>
      <c r="ILO57" s="148"/>
      <c r="ILP57" s="148"/>
      <c r="ILQ57" s="148"/>
      <c r="ILR57" s="148"/>
      <c r="ILS57" s="148"/>
      <c r="ILT57" s="148"/>
      <c r="ILU57" s="148"/>
      <c r="ILV57" s="148"/>
      <c r="ILW57" s="148"/>
      <c r="ILX57" s="148"/>
      <c r="ILY57" s="148"/>
      <c r="ILZ57" s="148"/>
      <c r="IMA57" s="148"/>
      <c r="IMB57" s="148"/>
      <c r="IMC57" s="148"/>
      <c r="IMD57" s="148"/>
      <c r="IME57" s="148"/>
      <c r="IMF57" s="148"/>
      <c r="IMG57" s="148"/>
      <c r="IMH57" s="148"/>
      <c r="IMI57" s="148"/>
      <c r="IMJ57" s="148"/>
      <c r="IMK57" s="148"/>
      <c r="IML57" s="148"/>
      <c r="IMM57" s="148"/>
      <c r="IMN57" s="148"/>
      <c r="IMO57" s="148"/>
      <c r="IMP57" s="148"/>
      <c r="IMQ57" s="148"/>
      <c r="IMR57" s="148"/>
      <c r="IMS57" s="148"/>
      <c r="IMT57" s="148"/>
      <c r="IMU57" s="148"/>
      <c r="IMV57" s="148"/>
      <c r="IMW57" s="148"/>
      <c r="IMX57" s="148"/>
      <c r="IMY57" s="148"/>
      <c r="IMZ57" s="148"/>
      <c r="INA57" s="148"/>
      <c r="INB57" s="148"/>
      <c r="INC57" s="148"/>
      <c r="IND57" s="148"/>
      <c r="INE57" s="148"/>
      <c r="INF57" s="148"/>
      <c r="ING57" s="148"/>
      <c r="INH57" s="148"/>
      <c r="INI57" s="148"/>
      <c r="INJ57" s="148"/>
      <c r="INK57" s="148"/>
      <c r="INL57" s="148"/>
      <c r="INM57" s="148"/>
      <c r="INN57" s="148"/>
      <c r="INO57" s="148"/>
      <c r="INP57" s="148"/>
      <c r="INQ57" s="148"/>
      <c r="INR57" s="148"/>
      <c r="INS57" s="148"/>
      <c r="INT57" s="148"/>
      <c r="INU57" s="148"/>
      <c r="INV57" s="148"/>
      <c r="INW57" s="148"/>
      <c r="INX57" s="148"/>
      <c r="INY57" s="148"/>
      <c r="INZ57" s="148"/>
      <c r="IOA57" s="148"/>
      <c r="IOB57" s="148"/>
      <c r="IOC57" s="148"/>
      <c r="IOD57" s="148"/>
      <c r="IOE57" s="148"/>
      <c r="IOF57" s="148"/>
      <c r="IOG57" s="148"/>
      <c r="IOH57" s="148"/>
      <c r="IOI57" s="148"/>
      <c r="IOJ57" s="148"/>
      <c r="IOK57" s="148"/>
      <c r="IOL57" s="148"/>
      <c r="IOM57" s="148"/>
      <c r="ION57" s="148"/>
      <c r="IOO57" s="148"/>
      <c r="IOP57" s="148"/>
      <c r="IOQ57" s="148"/>
      <c r="IOR57" s="148"/>
      <c r="IOS57" s="148"/>
      <c r="IOT57" s="148"/>
      <c r="IOU57" s="148"/>
      <c r="IOV57" s="148"/>
      <c r="IOW57" s="148"/>
      <c r="IOX57" s="148"/>
      <c r="IOY57" s="148"/>
      <c r="IOZ57" s="148"/>
      <c r="IPA57" s="148"/>
      <c r="IPB57" s="148"/>
      <c r="IPC57" s="148"/>
      <c r="IPD57" s="148"/>
      <c r="IPE57" s="148"/>
      <c r="IPF57" s="148"/>
      <c r="IPG57" s="148"/>
      <c r="IPH57" s="148"/>
      <c r="IPI57" s="148"/>
      <c r="IPJ57" s="148"/>
      <c r="IPK57" s="148"/>
      <c r="IPL57" s="148"/>
      <c r="IPM57" s="148"/>
      <c r="IPN57" s="148"/>
      <c r="IPO57" s="148"/>
      <c r="IPP57" s="148"/>
      <c r="IPQ57" s="148"/>
      <c r="IPR57" s="148"/>
      <c r="IPS57" s="148"/>
      <c r="IPT57" s="148"/>
      <c r="IPU57" s="148"/>
      <c r="IPV57" s="148"/>
      <c r="IPW57" s="148"/>
      <c r="IPX57" s="148"/>
      <c r="IPY57" s="148"/>
      <c r="IPZ57" s="148"/>
      <c r="IQA57" s="148"/>
      <c r="IQB57" s="148"/>
      <c r="IQC57" s="148"/>
      <c r="IQD57" s="148"/>
      <c r="IQE57" s="148"/>
      <c r="IQF57" s="148"/>
      <c r="IQG57" s="148"/>
      <c r="IQH57" s="148"/>
      <c r="IQI57" s="148"/>
      <c r="IQJ57" s="148"/>
      <c r="IQK57" s="148"/>
      <c r="IQL57" s="148"/>
      <c r="IQM57" s="148"/>
      <c r="IQN57" s="148"/>
      <c r="IQO57" s="148"/>
      <c r="IQP57" s="148"/>
      <c r="IQQ57" s="148"/>
      <c r="IQR57" s="148"/>
      <c r="IQS57" s="148"/>
      <c r="IQT57" s="148"/>
      <c r="IQU57" s="148"/>
      <c r="IQV57" s="148"/>
      <c r="IQW57" s="148"/>
      <c r="IQX57" s="148"/>
      <c r="IQY57" s="148"/>
      <c r="IQZ57" s="148"/>
      <c r="IRA57" s="148"/>
      <c r="IRB57" s="148"/>
      <c r="IRC57" s="148"/>
      <c r="IRD57" s="148"/>
      <c r="IRE57" s="148"/>
      <c r="IRF57" s="148"/>
      <c r="IRG57" s="148"/>
      <c r="IRH57" s="148"/>
      <c r="IRI57" s="148"/>
      <c r="IRJ57" s="148"/>
      <c r="IRK57" s="148"/>
      <c r="IRL57" s="148"/>
      <c r="IRM57" s="148"/>
      <c r="IRN57" s="148"/>
      <c r="IRO57" s="148"/>
      <c r="IRP57" s="148"/>
      <c r="IRQ57" s="148"/>
      <c r="IRR57" s="148"/>
      <c r="IRS57" s="148"/>
      <c r="IRT57" s="148"/>
      <c r="IRU57" s="148"/>
      <c r="IRV57" s="148"/>
      <c r="IRW57" s="148"/>
      <c r="IRX57" s="148"/>
      <c r="IRY57" s="148"/>
      <c r="IRZ57" s="148"/>
      <c r="ISA57" s="148"/>
      <c r="ISB57" s="148"/>
      <c r="ISC57" s="148"/>
      <c r="ISD57" s="148"/>
      <c r="ISE57" s="148"/>
      <c r="ISF57" s="148"/>
      <c r="ISG57" s="148"/>
      <c r="ISH57" s="148"/>
      <c r="ISI57" s="148"/>
      <c r="ISJ57" s="148"/>
      <c r="ISK57" s="148"/>
      <c r="ISL57" s="148"/>
      <c r="ISM57" s="148"/>
      <c r="ISN57" s="148"/>
      <c r="ISO57" s="148"/>
      <c r="ISP57" s="148"/>
      <c r="ISQ57" s="148"/>
      <c r="ISR57" s="148"/>
      <c r="ISS57" s="148"/>
      <c r="IST57" s="148"/>
      <c r="ISU57" s="148"/>
      <c r="ISV57" s="148"/>
      <c r="ISW57" s="148"/>
      <c r="ISX57" s="148"/>
      <c r="ISY57" s="148"/>
      <c r="ISZ57" s="148"/>
      <c r="ITA57" s="148"/>
      <c r="ITB57" s="148"/>
      <c r="ITC57" s="148"/>
      <c r="ITD57" s="148"/>
      <c r="ITE57" s="148"/>
      <c r="ITF57" s="148"/>
      <c r="ITG57" s="148"/>
      <c r="ITH57" s="148"/>
      <c r="ITI57" s="148"/>
      <c r="ITJ57" s="148"/>
      <c r="ITK57" s="148"/>
      <c r="ITL57" s="148"/>
      <c r="ITM57" s="148"/>
      <c r="ITN57" s="148"/>
      <c r="ITO57" s="148"/>
      <c r="ITP57" s="148"/>
      <c r="ITQ57" s="148"/>
      <c r="ITR57" s="148"/>
      <c r="ITS57" s="148"/>
      <c r="ITT57" s="148"/>
      <c r="ITU57" s="148"/>
      <c r="ITV57" s="148"/>
      <c r="ITW57" s="148"/>
      <c r="ITX57" s="148"/>
      <c r="ITY57" s="148"/>
      <c r="ITZ57" s="148"/>
      <c r="IUA57" s="148"/>
      <c r="IUB57" s="148"/>
      <c r="IUC57" s="148"/>
      <c r="IUD57" s="148"/>
      <c r="IUE57" s="148"/>
      <c r="IUF57" s="148"/>
      <c r="IUG57" s="148"/>
      <c r="IUH57" s="148"/>
      <c r="IUI57" s="148"/>
      <c r="IUJ57" s="148"/>
      <c r="IUK57" s="148"/>
      <c r="IUL57" s="148"/>
      <c r="IUM57" s="148"/>
      <c r="IUN57" s="148"/>
      <c r="IUO57" s="148"/>
      <c r="IUP57" s="148"/>
      <c r="IUQ57" s="148"/>
      <c r="IUR57" s="148"/>
      <c r="IUS57" s="148"/>
      <c r="IUT57" s="148"/>
      <c r="IUU57" s="148"/>
      <c r="IUV57" s="148"/>
      <c r="IUW57" s="148"/>
      <c r="IUX57" s="148"/>
      <c r="IUY57" s="148"/>
      <c r="IUZ57" s="148"/>
      <c r="IVA57" s="148"/>
      <c r="IVB57" s="148"/>
      <c r="IVC57" s="148"/>
      <c r="IVD57" s="148"/>
      <c r="IVE57" s="148"/>
      <c r="IVF57" s="148"/>
      <c r="IVG57" s="148"/>
      <c r="IVH57" s="148"/>
      <c r="IVI57" s="148"/>
      <c r="IVJ57" s="148"/>
      <c r="IVK57" s="148"/>
      <c r="IVL57" s="148"/>
      <c r="IVM57" s="148"/>
      <c r="IVN57" s="148"/>
      <c r="IVO57" s="148"/>
      <c r="IVP57" s="148"/>
      <c r="IVQ57" s="148"/>
      <c r="IVR57" s="148"/>
      <c r="IVS57" s="148"/>
      <c r="IVT57" s="148"/>
      <c r="IVU57" s="148"/>
      <c r="IVV57" s="148"/>
      <c r="IVW57" s="148"/>
      <c r="IVX57" s="148"/>
      <c r="IVY57" s="148"/>
      <c r="IVZ57" s="148"/>
      <c r="IWA57" s="148"/>
      <c r="IWB57" s="148"/>
      <c r="IWC57" s="148"/>
      <c r="IWD57" s="148"/>
      <c r="IWE57" s="148"/>
      <c r="IWF57" s="148"/>
      <c r="IWG57" s="148"/>
      <c r="IWH57" s="148"/>
      <c r="IWI57" s="148"/>
      <c r="IWJ57" s="148"/>
      <c r="IWK57" s="148"/>
      <c r="IWL57" s="148"/>
      <c r="IWM57" s="148"/>
      <c r="IWN57" s="148"/>
      <c r="IWO57" s="148"/>
      <c r="IWP57" s="148"/>
      <c r="IWQ57" s="148"/>
      <c r="IWR57" s="148"/>
      <c r="IWS57" s="148"/>
      <c r="IWT57" s="148"/>
      <c r="IWU57" s="148"/>
      <c r="IWV57" s="148"/>
      <c r="IWW57" s="148"/>
      <c r="IWX57" s="148"/>
      <c r="IWY57" s="148"/>
      <c r="IWZ57" s="148"/>
      <c r="IXA57" s="148"/>
      <c r="IXB57" s="148"/>
      <c r="IXC57" s="148"/>
      <c r="IXD57" s="148"/>
      <c r="IXE57" s="148"/>
      <c r="IXF57" s="148"/>
      <c r="IXG57" s="148"/>
      <c r="IXH57" s="148"/>
      <c r="IXI57" s="148"/>
      <c r="IXJ57" s="148"/>
      <c r="IXK57" s="148"/>
      <c r="IXL57" s="148"/>
      <c r="IXM57" s="148"/>
      <c r="IXN57" s="148"/>
      <c r="IXO57" s="148"/>
      <c r="IXP57" s="148"/>
      <c r="IXQ57" s="148"/>
      <c r="IXR57" s="148"/>
      <c r="IXS57" s="148"/>
      <c r="IXT57" s="148"/>
      <c r="IXU57" s="148"/>
      <c r="IXV57" s="148"/>
      <c r="IXW57" s="148"/>
      <c r="IXX57" s="148"/>
      <c r="IXY57" s="148"/>
      <c r="IXZ57" s="148"/>
      <c r="IYA57" s="148"/>
      <c r="IYB57" s="148"/>
      <c r="IYC57" s="148"/>
      <c r="IYD57" s="148"/>
      <c r="IYE57" s="148"/>
      <c r="IYF57" s="148"/>
      <c r="IYG57" s="148"/>
      <c r="IYH57" s="148"/>
      <c r="IYI57" s="148"/>
      <c r="IYJ57" s="148"/>
      <c r="IYK57" s="148"/>
      <c r="IYL57" s="148"/>
      <c r="IYM57" s="148"/>
      <c r="IYN57" s="148"/>
      <c r="IYO57" s="148"/>
      <c r="IYP57" s="148"/>
      <c r="IYQ57" s="148"/>
      <c r="IYR57" s="148"/>
      <c r="IYS57" s="148"/>
      <c r="IYT57" s="148"/>
      <c r="IYU57" s="148"/>
      <c r="IYV57" s="148"/>
      <c r="IYW57" s="148"/>
      <c r="IYX57" s="148"/>
      <c r="IYY57" s="148"/>
      <c r="IYZ57" s="148"/>
      <c r="IZA57" s="148"/>
      <c r="IZB57" s="148"/>
      <c r="IZC57" s="148"/>
      <c r="IZD57" s="148"/>
      <c r="IZE57" s="148"/>
      <c r="IZF57" s="148"/>
      <c r="IZG57" s="148"/>
      <c r="IZH57" s="148"/>
      <c r="IZI57" s="148"/>
      <c r="IZJ57" s="148"/>
      <c r="IZK57" s="148"/>
      <c r="IZL57" s="148"/>
      <c r="IZM57" s="148"/>
      <c r="IZN57" s="148"/>
      <c r="IZO57" s="148"/>
      <c r="IZP57" s="148"/>
      <c r="IZQ57" s="148"/>
      <c r="IZR57" s="148"/>
      <c r="IZS57" s="148"/>
      <c r="IZT57" s="148"/>
      <c r="IZU57" s="148"/>
      <c r="IZV57" s="148"/>
      <c r="IZW57" s="148"/>
      <c r="IZX57" s="148"/>
      <c r="IZY57" s="148"/>
      <c r="IZZ57" s="148"/>
      <c r="JAA57" s="148"/>
      <c r="JAB57" s="148"/>
      <c r="JAC57" s="148"/>
      <c r="JAD57" s="148"/>
      <c r="JAE57" s="148"/>
      <c r="JAF57" s="148"/>
      <c r="JAG57" s="148"/>
      <c r="JAH57" s="148"/>
      <c r="JAI57" s="148"/>
      <c r="JAJ57" s="148"/>
      <c r="JAK57" s="148"/>
      <c r="JAL57" s="148"/>
      <c r="JAM57" s="148"/>
      <c r="JAN57" s="148"/>
      <c r="JAO57" s="148"/>
      <c r="JAP57" s="148"/>
      <c r="JAQ57" s="148"/>
      <c r="JAR57" s="148"/>
      <c r="JAS57" s="148"/>
      <c r="JAT57" s="148"/>
      <c r="JAU57" s="148"/>
      <c r="JAV57" s="148"/>
      <c r="JAW57" s="148"/>
      <c r="JAX57" s="148"/>
      <c r="JAY57" s="148"/>
      <c r="JAZ57" s="148"/>
      <c r="JBA57" s="148"/>
      <c r="JBB57" s="148"/>
      <c r="JBC57" s="148"/>
      <c r="JBD57" s="148"/>
      <c r="JBE57" s="148"/>
      <c r="JBF57" s="148"/>
      <c r="JBG57" s="148"/>
      <c r="JBH57" s="148"/>
      <c r="JBI57" s="148"/>
      <c r="JBJ57" s="148"/>
      <c r="JBK57" s="148"/>
      <c r="JBL57" s="148"/>
      <c r="JBM57" s="148"/>
      <c r="JBN57" s="148"/>
      <c r="JBO57" s="148"/>
      <c r="JBP57" s="148"/>
      <c r="JBQ57" s="148"/>
      <c r="JBR57" s="148"/>
      <c r="JBS57" s="148"/>
      <c r="JBT57" s="148"/>
      <c r="JBU57" s="148"/>
      <c r="JBV57" s="148"/>
      <c r="JBW57" s="148"/>
      <c r="JBX57" s="148"/>
      <c r="JBY57" s="148"/>
      <c r="JBZ57" s="148"/>
      <c r="JCA57" s="148"/>
      <c r="JCB57" s="148"/>
      <c r="JCC57" s="148"/>
      <c r="JCD57" s="148"/>
      <c r="JCE57" s="148"/>
      <c r="JCF57" s="148"/>
      <c r="JCG57" s="148"/>
      <c r="JCH57" s="148"/>
      <c r="JCI57" s="148"/>
      <c r="JCJ57" s="148"/>
      <c r="JCK57" s="148"/>
      <c r="JCL57" s="148"/>
      <c r="JCM57" s="148"/>
      <c r="JCN57" s="148"/>
      <c r="JCO57" s="148"/>
      <c r="JCP57" s="148"/>
      <c r="JCQ57" s="148"/>
      <c r="JCR57" s="148"/>
      <c r="JCS57" s="148"/>
      <c r="JCT57" s="148"/>
      <c r="JCU57" s="148"/>
      <c r="JCV57" s="148"/>
      <c r="JCW57" s="148"/>
      <c r="JCX57" s="148"/>
      <c r="JCY57" s="148"/>
      <c r="JCZ57" s="148"/>
      <c r="JDA57" s="148"/>
      <c r="JDB57" s="148"/>
      <c r="JDC57" s="148"/>
      <c r="JDD57" s="148"/>
      <c r="JDE57" s="148"/>
      <c r="JDF57" s="148"/>
      <c r="JDG57" s="148"/>
      <c r="JDH57" s="148"/>
      <c r="JDI57" s="148"/>
      <c r="JDJ57" s="148"/>
      <c r="JDK57" s="148"/>
      <c r="JDL57" s="148"/>
      <c r="JDM57" s="148"/>
      <c r="JDN57" s="148"/>
      <c r="JDO57" s="148"/>
      <c r="JDP57" s="148"/>
      <c r="JDQ57" s="148"/>
      <c r="JDR57" s="148"/>
      <c r="JDS57" s="148"/>
      <c r="JDT57" s="148"/>
      <c r="JDU57" s="148"/>
      <c r="JDV57" s="148"/>
      <c r="JDW57" s="148"/>
      <c r="JDX57" s="148"/>
      <c r="JDY57" s="148"/>
      <c r="JDZ57" s="148"/>
      <c r="JEA57" s="148"/>
      <c r="JEB57" s="148"/>
      <c r="JEC57" s="148"/>
      <c r="JED57" s="148"/>
      <c r="JEE57" s="148"/>
      <c r="JEF57" s="148"/>
      <c r="JEG57" s="148"/>
      <c r="JEH57" s="148"/>
      <c r="JEI57" s="148"/>
      <c r="JEJ57" s="148"/>
      <c r="JEK57" s="148"/>
      <c r="JEL57" s="148"/>
      <c r="JEM57" s="148"/>
      <c r="JEN57" s="148"/>
      <c r="JEO57" s="148"/>
      <c r="JEP57" s="148"/>
      <c r="JEQ57" s="148"/>
      <c r="JER57" s="148"/>
      <c r="JES57" s="148"/>
      <c r="JET57" s="148"/>
      <c r="JEU57" s="148"/>
      <c r="JEV57" s="148"/>
      <c r="JEW57" s="148"/>
      <c r="JEX57" s="148"/>
      <c r="JEY57" s="148"/>
      <c r="JEZ57" s="148"/>
      <c r="JFA57" s="148"/>
      <c r="JFB57" s="148"/>
      <c r="JFC57" s="148"/>
      <c r="JFD57" s="148"/>
      <c r="JFE57" s="148"/>
      <c r="JFF57" s="148"/>
      <c r="JFG57" s="148"/>
      <c r="JFH57" s="148"/>
      <c r="JFI57" s="148"/>
      <c r="JFJ57" s="148"/>
      <c r="JFK57" s="148"/>
      <c r="JFL57" s="148"/>
      <c r="JFM57" s="148"/>
      <c r="JFN57" s="148"/>
      <c r="JFO57" s="148"/>
      <c r="JFP57" s="148"/>
      <c r="JFQ57" s="148"/>
      <c r="JFR57" s="148"/>
      <c r="JFS57" s="148"/>
      <c r="JFT57" s="148"/>
      <c r="JFU57" s="148"/>
      <c r="JFV57" s="148"/>
      <c r="JFW57" s="148"/>
      <c r="JFX57" s="148"/>
      <c r="JFY57" s="148"/>
      <c r="JFZ57" s="148"/>
      <c r="JGA57" s="148"/>
      <c r="JGB57" s="148"/>
      <c r="JGC57" s="148"/>
      <c r="JGD57" s="148"/>
      <c r="JGE57" s="148"/>
      <c r="JGF57" s="148"/>
      <c r="JGG57" s="148"/>
      <c r="JGH57" s="148"/>
      <c r="JGI57" s="148"/>
      <c r="JGJ57" s="148"/>
      <c r="JGK57" s="148"/>
      <c r="JGL57" s="148"/>
      <c r="JGM57" s="148"/>
      <c r="JGN57" s="148"/>
      <c r="JGO57" s="148"/>
      <c r="JGP57" s="148"/>
      <c r="JGQ57" s="148"/>
      <c r="JGR57" s="148"/>
      <c r="JGS57" s="148"/>
      <c r="JGT57" s="148"/>
      <c r="JGU57" s="148"/>
      <c r="JGV57" s="148"/>
      <c r="JGW57" s="148"/>
      <c r="JGX57" s="148"/>
      <c r="JGY57" s="148"/>
      <c r="JGZ57" s="148"/>
      <c r="JHA57" s="148"/>
      <c r="JHB57" s="148"/>
      <c r="JHC57" s="148"/>
      <c r="JHD57" s="148"/>
      <c r="JHE57" s="148"/>
      <c r="JHF57" s="148"/>
      <c r="JHG57" s="148"/>
      <c r="JHH57" s="148"/>
      <c r="JHI57" s="148"/>
      <c r="JHJ57" s="148"/>
      <c r="JHK57" s="148"/>
      <c r="JHL57" s="148"/>
      <c r="JHM57" s="148"/>
      <c r="JHN57" s="148"/>
      <c r="JHO57" s="148"/>
      <c r="JHP57" s="148"/>
      <c r="JHQ57" s="148"/>
      <c r="JHR57" s="148"/>
      <c r="JHS57" s="148"/>
      <c r="JHT57" s="148"/>
      <c r="JHU57" s="148"/>
      <c r="JHV57" s="148"/>
      <c r="JHW57" s="148"/>
      <c r="JHX57" s="148"/>
      <c r="JHY57" s="148"/>
      <c r="JHZ57" s="148"/>
      <c r="JIA57" s="148"/>
      <c r="JIB57" s="148"/>
      <c r="JIC57" s="148"/>
      <c r="JID57" s="148"/>
      <c r="JIE57" s="148"/>
      <c r="JIF57" s="148"/>
      <c r="JIG57" s="148"/>
      <c r="JIH57" s="148"/>
      <c r="JII57" s="148"/>
      <c r="JIJ57" s="148"/>
      <c r="JIK57" s="148"/>
      <c r="JIL57" s="148"/>
      <c r="JIM57" s="148"/>
      <c r="JIN57" s="148"/>
      <c r="JIO57" s="148"/>
      <c r="JIP57" s="148"/>
      <c r="JIQ57" s="148"/>
      <c r="JIR57" s="148"/>
      <c r="JIS57" s="148"/>
      <c r="JIT57" s="148"/>
      <c r="JIU57" s="148"/>
      <c r="JIV57" s="148"/>
      <c r="JIW57" s="148"/>
      <c r="JIX57" s="148"/>
      <c r="JIY57" s="148"/>
      <c r="JIZ57" s="148"/>
      <c r="JJA57" s="148"/>
      <c r="JJB57" s="148"/>
      <c r="JJC57" s="148"/>
      <c r="JJD57" s="148"/>
      <c r="JJE57" s="148"/>
      <c r="JJF57" s="148"/>
      <c r="JJG57" s="148"/>
      <c r="JJH57" s="148"/>
      <c r="JJI57" s="148"/>
      <c r="JJJ57" s="148"/>
      <c r="JJK57" s="148"/>
      <c r="JJL57" s="148"/>
      <c r="JJM57" s="148"/>
      <c r="JJN57" s="148"/>
      <c r="JJO57" s="148"/>
      <c r="JJP57" s="148"/>
      <c r="JJQ57" s="148"/>
      <c r="JJR57" s="148"/>
      <c r="JJS57" s="148"/>
      <c r="JJT57" s="148"/>
      <c r="JJU57" s="148"/>
      <c r="JJV57" s="148"/>
      <c r="JJW57" s="148"/>
      <c r="JJX57" s="148"/>
      <c r="JJY57" s="148"/>
      <c r="JJZ57" s="148"/>
      <c r="JKA57" s="148"/>
      <c r="JKB57" s="148"/>
      <c r="JKC57" s="148"/>
      <c r="JKD57" s="148"/>
      <c r="JKE57" s="148"/>
      <c r="JKF57" s="148"/>
      <c r="JKG57" s="148"/>
      <c r="JKH57" s="148"/>
      <c r="JKI57" s="148"/>
      <c r="JKJ57" s="148"/>
      <c r="JKK57" s="148"/>
      <c r="JKL57" s="148"/>
      <c r="JKM57" s="148"/>
      <c r="JKN57" s="148"/>
      <c r="JKO57" s="148"/>
      <c r="JKP57" s="148"/>
      <c r="JKQ57" s="148"/>
      <c r="JKR57" s="148"/>
      <c r="JKS57" s="148"/>
      <c r="JKT57" s="148"/>
      <c r="JKU57" s="148"/>
      <c r="JKV57" s="148"/>
      <c r="JKW57" s="148"/>
      <c r="JKX57" s="148"/>
      <c r="JKY57" s="148"/>
      <c r="JKZ57" s="148"/>
      <c r="JLA57" s="148"/>
      <c r="JLB57" s="148"/>
      <c r="JLC57" s="148"/>
      <c r="JLD57" s="148"/>
      <c r="JLE57" s="148"/>
      <c r="JLF57" s="148"/>
      <c r="JLG57" s="148"/>
      <c r="JLH57" s="148"/>
      <c r="JLI57" s="148"/>
      <c r="JLJ57" s="148"/>
      <c r="JLK57" s="148"/>
      <c r="JLL57" s="148"/>
      <c r="JLM57" s="148"/>
      <c r="JLN57" s="148"/>
      <c r="JLO57" s="148"/>
      <c r="JLP57" s="148"/>
      <c r="JLQ57" s="148"/>
      <c r="JLR57" s="148"/>
      <c r="JLS57" s="148"/>
      <c r="JLT57" s="148"/>
      <c r="JLU57" s="148"/>
      <c r="JLV57" s="148"/>
      <c r="JLW57" s="148"/>
      <c r="JLX57" s="148"/>
      <c r="JLY57" s="148"/>
      <c r="JLZ57" s="148"/>
      <c r="JMA57" s="148"/>
      <c r="JMB57" s="148"/>
      <c r="JMC57" s="148"/>
      <c r="JMD57" s="148"/>
      <c r="JME57" s="148"/>
      <c r="JMF57" s="148"/>
      <c r="JMG57" s="148"/>
      <c r="JMH57" s="148"/>
      <c r="JMI57" s="148"/>
      <c r="JMJ57" s="148"/>
      <c r="JMK57" s="148"/>
      <c r="JML57" s="148"/>
      <c r="JMM57" s="148"/>
      <c r="JMN57" s="148"/>
      <c r="JMO57" s="148"/>
      <c r="JMP57" s="148"/>
      <c r="JMQ57" s="148"/>
      <c r="JMR57" s="148"/>
      <c r="JMS57" s="148"/>
      <c r="JMT57" s="148"/>
      <c r="JMU57" s="148"/>
      <c r="JMV57" s="148"/>
      <c r="JMW57" s="148"/>
      <c r="JMX57" s="148"/>
      <c r="JMY57" s="148"/>
      <c r="JMZ57" s="148"/>
      <c r="JNA57" s="148"/>
      <c r="JNB57" s="148"/>
      <c r="JNC57" s="148"/>
      <c r="JND57" s="148"/>
      <c r="JNE57" s="148"/>
      <c r="JNF57" s="148"/>
      <c r="JNG57" s="148"/>
      <c r="JNH57" s="148"/>
      <c r="JNI57" s="148"/>
      <c r="JNJ57" s="148"/>
      <c r="JNK57" s="148"/>
      <c r="JNL57" s="148"/>
      <c r="JNM57" s="148"/>
      <c r="JNN57" s="148"/>
      <c r="JNO57" s="148"/>
      <c r="JNP57" s="148"/>
      <c r="JNQ57" s="148"/>
      <c r="JNR57" s="148"/>
      <c r="JNS57" s="148"/>
      <c r="JNT57" s="148"/>
      <c r="JNU57" s="148"/>
      <c r="JNV57" s="148"/>
      <c r="JNW57" s="148"/>
      <c r="JNX57" s="148"/>
      <c r="JNY57" s="148"/>
      <c r="JNZ57" s="148"/>
      <c r="JOA57" s="148"/>
      <c r="JOB57" s="148"/>
      <c r="JOC57" s="148"/>
      <c r="JOD57" s="148"/>
      <c r="JOE57" s="148"/>
      <c r="JOF57" s="148"/>
      <c r="JOG57" s="148"/>
      <c r="JOH57" s="148"/>
      <c r="JOI57" s="148"/>
      <c r="JOJ57" s="148"/>
      <c r="JOK57" s="148"/>
      <c r="JOL57" s="148"/>
      <c r="JOM57" s="148"/>
      <c r="JON57" s="148"/>
      <c r="JOO57" s="148"/>
      <c r="JOP57" s="148"/>
      <c r="JOQ57" s="148"/>
      <c r="JOR57" s="148"/>
      <c r="JOS57" s="148"/>
      <c r="JOT57" s="148"/>
      <c r="JOU57" s="148"/>
      <c r="JOV57" s="148"/>
      <c r="JOW57" s="148"/>
      <c r="JOX57" s="148"/>
      <c r="JOY57" s="148"/>
      <c r="JOZ57" s="148"/>
      <c r="JPA57" s="148"/>
      <c r="JPB57" s="148"/>
      <c r="JPC57" s="148"/>
      <c r="JPD57" s="148"/>
      <c r="JPE57" s="148"/>
      <c r="JPF57" s="148"/>
      <c r="JPG57" s="148"/>
      <c r="JPH57" s="148"/>
      <c r="JPI57" s="148"/>
      <c r="JPJ57" s="148"/>
      <c r="JPK57" s="148"/>
      <c r="JPL57" s="148"/>
      <c r="JPM57" s="148"/>
      <c r="JPN57" s="148"/>
      <c r="JPO57" s="148"/>
      <c r="JPP57" s="148"/>
      <c r="JPQ57" s="148"/>
      <c r="JPR57" s="148"/>
      <c r="JPS57" s="148"/>
      <c r="JPT57" s="148"/>
      <c r="JPU57" s="148"/>
      <c r="JPV57" s="148"/>
      <c r="JPW57" s="148"/>
      <c r="JPX57" s="148"/>
      <c r="JPY57" s="148"/>
      <c r="JPZ57" s="148"/>
      <c r="JQA57" s="148"/>
      <c r="JQB57" s="148"/>
      <c r="JQC57" s="148"/>
      <c r="JQD57" s="148"/>
      <c r="JQE57" s="148"/>
      <c r="JQF57" s="148"/>
      <c r="JQG57" s="148"/>
      <c r="JQH57" s="148"/>
      <c r="JQI57" s="148"/>
      <c r="JQJ57" s="148"/>
      <c r="JQK57" s="148"/>
      <c r="JQL57" s="148"/>
      <c r="JQM57" s="148"/>
      <c r="JQN57" s="148"/>
      <c r="JQO57" s="148"/>
      <c r="JQP57" s="148"/>
      <c r="JQQ57" s="148"/>
      <c r="JQR57" s="148"/>
      <c r="JQS57" s="148"/>
      <c r="JQT57" s="148"/>
      <c r="JQU57" s="148"/>
      <c r="JQV57" s="148"/>
      <c r="JQW57" s="148"/>
      <c r="JQX57" s="148"/>
      <c r="JQY57" s="148"/>
      <c r="JQZ57" s="148"/>
      <c r="JRA57" s="148"/>
      <c r="JRB57" s="148"/>
      <c r="JRC57" s="148"/>
      <c r="JRD57" s="148"/>
      <c r="JRE57" s="148"/>
      <c r="JRF57" s="148"/>
      <c r="JRG57" s="148"/>
      <c r="JRH57" s="148"/>
      <c r="JRI57" s="148"/>
      <c r="JRJ57" s="148"/>
      <c r="JRK57" s="148"/>
      <c r="JRL57" s="148"/>
      <c r="JRM57" s="148"/>
      <c r="JRN57" s="148"/>
      <c r="JRO57" s="148"/>
      <c r="JRP57" s="148"/>
      <c r="JRQ57" s="148"/>
      <c r="JRR57" s="148"/>
      <c r="JRS57" s="148"/>
      <c r="JRT57" s="148"/>
      <c r="JRU57" s="148"/>
      <c r="JRV57" s="148"/>
      <c r="JRW57" s="148"/>
      <c r="JRX57" s="148"/>
      <c r="JRY57" s="148"/>
      <c r="JRZ57" s="148"/>
      <c r="JSA57" s="148"/>
      <c r="JSB57" s="148"/>
      <c r="JSC57" s="148"/>
      <c r="JSD57" s="148"/>
      <c r="JSE57" s="148"/>
      <c r="JSF57" s="148"/>
      <c r="JSG57" s="148"/>
      <c r="JSH57" s="148"/>
      <c r="JSI57" s="148"/>
      <c r="JSJ57" s="148"/>
      <c r="JSK57" s="148"/>
      <c r="JSL57" s="148"/>
      <c r="JSM57" s="148"/>
      <c r="JSN57" s="148"/>
      <c r="JSO57" s="148"/>
      <c r="JSP57" s="148"/>
      <c r="JSQ57" s="148"/>
      <c r="JSR57" s="148"/>
      <c r="JSS57" s="148"/>
      <c r="JST57" s="148"/>
      <c r="JSU57" s="148"/>
      <c r="JSV57" s="148"/>
      <c r="JSW57" s="148"/>
      <c r="JSX57" s="148"/>
      <c r="JSY57" s="148"/>
      <c r="JSZ57" s="148"/>
      <c r="JTA57" s="148"/>
      <c r="JTB57" s="148"/>
      <c r="JTC57" s="148"/>
      <c r="JTD57" s="148"/>
      <c r="JTE57" s="148"/>
      <c r="JTF57" s="148"/>
      <c r="JTG57" s="148"/>
      <c r="JTH57" s="148"/>
      <c r="JTI57" s="148"/>
      <c r="JTJ57" s="148"/>
      <c r="JTK57" s="148"/>
      <c r="JTL57" s="148"/>
      <c r="JTM57" s="148"/>
      <c r="JTN57" s="148"/>
      <c r="JTO57" s="148"/>
      <c r="JTP57" s="148"/>
      <c r="JTQ57" s="148"/>
      <c r="JTR57" s="148"/>
      <c r="JTS57" s="148"/>
      <c r="JTT57" s="148"/>
      <c r="JTU57" s="148"/>
      <c r="JTV57" s="148"/>
      <c r="JTW57" s="148"/>
      <c r="JTX57" s="148"/>
      <c r="JTY57" s="148"/>
      <c r="JTZ57" s="148"/>
      <c r="JUA57" s="148"/>
      <c r="JUB57" s="148"/>
      <c r="JUC57" s="148"/>
      <c r="JUD57" s="148"/>
      <c r="JUE57" s="148"/>
      <c r="JUF57" s="148"/>
      <c r="JUG57" s="148"/>
      <c r="JUH57" s="148"/>
      <c r="JUI57" s="148"/>
      <c r="JUJ57" s="148"/>
      <c r="JUK57" s="148"/>
      <c r="JUL57" s="148"/>
      <c r="JUM57" s="148"/>
      <c r="JUN57" s="148"/>
      <c r="JUO57" s="148"/>
      <c r="JUP57" s="148"/>
      <c r="JUQ57" s="148"/>
      <c r="JUR57" s="148"/>
      <c r="JUS57" s="148"/>
      <c r="JUT57" s="148"/>
      <c r="JUU57" s="148"/>
      <c r="JUV57" s="148"/>
      <c r="JUW57" s="148"/>
      <c r="JUX57" s="148"/>
      <c r="JUY57" s="148"/>
      <c r="JUZ57" s="148"/>
      <c r="JVA57" s="148"/>
      <c r="JVB57" s="148"/>
      <c r="JVC57" s="148"/>
      <c r="JVD57" s="148"/>
      <c r="JVE57" s="148"/>
      <c r="JVF57" s="148"/>
      <c r="JVG57" s="148"/>
      <c r="JVH57" s="148"/>
      <c r="JVI57" s="148"/>
      <c r="JVJ57" s="148"/>
      <c r="JVK57" s="148"/>
      <c r="JVL57" s="148"/>
      <c r="JVM57" s="148"/>
      <c r="JVN57" s="148"/>
      <c r="JVO57" s="148"/>
      <c r="JVP57" s="148"/>
      <c r="JVQ57" s="148"/>
      <c r="JVR57" s="148"/>
      <c r="JVS57" s="148"/>
      <c r="JVT57" s="148"/>
      <c r="JVU57" s="148"/>
      <c r="JVV57" s="148"/>
      <c r="JVW57" s="148"/>
      <c r="JVX57" s="148"/>
      <c r="JVY57" s="148"/>
      <c r="JVZ57" s="148"/>
      <c r="JWA57" s="148"/>
      <c r="JWB57" s="148"/>
      <c r="JWC57" s="148"/>
      <c r="JWD57" s="148"/>
      <c r="JWE57" s="148"/>
      <c r="JWF57" s="148"/>
      <c r="JWG57" s="148"/>
      <c r="JWH57" s="148"/>
      <c r="JWI57" s="148"/>
      <c r="JWJ57" s="148"/>
      <c r="JWK57" s="148"/>
      <c r="JWL57" s="148"/>
      <c r="JWM57" s="148"/>
      <c r="JWN57" s="148"/>
      <c r="JWO57" s="148"/>
      <c r="JWP57" s="148"/>
      <c r="JWQ57" s="148"/>
      <c r="JWR57" s="148"/>
      <c r="JWS57" s="148"/>
      <c r="JWT57" s="148"/>
      <c r="JWU57" s="148"/>
      <c r="JWV57" s="148"/>
      <c r="JWW57" s="148"/>
      <c r="JWX57" s="148"/>
      <c r="JWY57" s="148"/>
      <c r="JWZ57" s="148"/>
      <c r="JXA57" s="148"/>
      <c r="JXB57" s="148"/>
      <c r="JXC57" s="148"/>
      <c r="JXD57" s="148"/>
      <c r="JXE57" s="148"/>
      <c r="JXF57" s="148"/>
      <c r="JXG57" s="148"/>
      <c r="JXH57" s="148"/>
      <c r="JXI57" s="148"/>
      <c r="JXJ57" s="148"/>
      <c r="JXK57" s="148"/>
      <c r="JXL57" s="148"/>
      <c r="JXM57" s="148"/>
      <c r="JXN57" s="148"/>
      <c r="JXO57" s="148"/>
      <c r="JXP57" s="148"/>
      <c r="JXQ57" s="148"/>
      <c r="JXR57" s="148"/>
      <c r="JXS57" s="148"/>
      <c r="JXT57" s="148"/>
      <c r="JXU57" s="148"/>
      <c r="JXV57" s="148"/>
      <c r="JXW57" s="148"/>
      <c r="JXX57" s="148"/>
      <c r="JXY57" s="148"/>
      <c r="JXZ57" s="148"/>
      <c r="JYA57" s="148"/>
      <c r="JYB57" s="148"/>
      <c r="JYC57" s="148"/>
      <c r="JYD57" s="148"/>
      <c r="JYE57" s="148"/>
      <c r="JYF57" s="148"/>
      <c r="JYG57" s="148"/>
      <c r="JYH57" s="148"/>
      <c r="JYI57" s="148"/>
      <c r="JYJ57" s="148"/>
      <c r="JYK57" s="148"/>
      <c r="JYL57" s="148"/>
      <c r="JYM57" s="148"/>
      <c r="JYN57" s="148"/>
      <c r="JYO57" s="148"/>
      <c r="JYP57" s="148"/>
      <c r="JYQ57" s="148"/>
      <c r="JYR57" s="148"/>
      <c r="JYS57" s="148"/>
      <c r="JYT57" s="148"/>
      <c r="JYU57" s="148"/>
      <c r="JYV57" s="148"/>
      <c r="JYW57" s="148"/>
      <c r="JYX57" s="148"/>
      <c r="JYY57" s="148"/>
      <c r="JYZ57" s="148"/>
      <c r="JZA57" s="148"/>
      <c r="JZB57" s="148"/>
      <c r="JZC57" s="148"/>
      <c r="JZD57" s="148"/>
      <c r="JZE57" s="148"/>
      <c r="JZF57" s="148"/>
      <c r="JZG57" s="148"/>
      <c r="JZH57" s="148"/>
      <c r="JZI57" s="148"/>
      <c r="JZJ57" s="148"/>
      <c r="JZK57" s="148"/>
      <c r="JZL57" s="148"/>
      <c r="JZM57" s="148"/>
      <c r="JZN57" s="148"/>
      <c r="JZO57" s="148"/>
      <c r="JZP57" s="148"/>
      <c r="JZQ57" s="148"/>
      <c r="JZR57" s="148"/>
      <c r="JZS57" s="148"/>
      <c r="JZT57" s="148"/>
      <c r="JZU57" s="148"/>
      <c r="JZV57" s="148"/>
      <c r="JZW57" s="148"/>
      <c r="JZX57" s="148"/>
      <c r="JZY57" s="148"/>
      <c r="JZZ57" s="148"/>
      <c r="KAA57" s="148"/>
      <c r="KAB57" s="148"/>
      <c r="KAC57" s="148"/>
      <c r="KAD57" s="148"/>
      <c r="KAE57" s="148"/>
      <c r="KAF57" s="148"/>
      <c r="KAG57" s="148"/>
      <c r="KAH57" s="148"/>
      <c r="KAI57" s="148"/>
      <c r="KAJ57" s="148"/>
      <c r="KAK57" s="148"/>
      <c r="KAL57" s="148"/>
      <c r="KAM57" s="148"/>
      <c r="KAN57" s="148"/>
      <c r="KAO57" s="148"/>
      <c r="KAP57" s="148"/>
      <c r="KAQ57" s="148"/>
      <c r="KAR57" s="148"/>
      <c r="KAS57" s="148"/>
      <c r="KAT57" s="148"/>
      <c r="KAU57" s="148"/>
      <c r="KAV57" s="148"/>
      <c r="KAW57" s="148"/>
      <c r="KAX57" s="148"/>
      <c r="KAY57" s="148"/>
      <c r="KAZ57" s="148"/>
      <c r="KBA57" s="148"/>
      <c r="KBB57" s="148"/>
      <c r="KBC57" s="148"/>
      <c r="KBD57" s="148"/>
      <c r="KBE57" s="148"/>
      <c r="KBF57" s="148"/>
      <c r="KBG57" s="148"/>
      <c r="KBH57" s="148"/>
      <c r="KBI57" s="148"/>
      <c r="KBJ57" s="148"/>
      <c r="KBK57" s="148"/>
      <c r="KBL57" s="148"/>
      <c r="KBM57" s="148"/>
      <c r="KBN57" s="148"/>
      <c r="KBO57" s="148"/>
      <c r="KBP57" s="148"/>
      <c r="KBQ57" s="148"/>
      <c r="KBR57" s="148"/>
      <c r="KBS57" s="148"/>
      <c r="KBT57" s="148"/>
      <c r="KBU57" s="148"/>
      <c r="KBV57" s="148"/>
      <c r="KBW57" s="148"/>
      <c r="KBX57" s="148"/>
      <c r="KBY57" s="148"/>
      <c r="KBZ57" s="148"/>
      <c r="KCA57" s="148"/>
      <c r="KCB57" s="148"/>
      <c r="KCC57" s="148"/>
      <c r="KCD57" s="148"/>
      <c r="KCE57" s="148"/>
      <c r="KCF57" s="148"/>
      <c r="KCG57" s="148"/>
      <c r="KCH57" s="148"/>
      <c r="KCI57" s="148"/>
      <c r="KCJ57" s="148"/>
      <c r="KCK57" s="148"/>
      <c r="KCL57" s="148"/>
      <c r="KCM57" s="148"/>
      <c r="KCN57" s="148"/>
      <c r="KCO57" s="148"/>
      <c r="KCP57" s="148"/>
      <c r="KCQ57" s="148"/>
      <c r="KCR57" s="148"/>
      <c r="KCS57" s="148"/>
      <c r="KCT57" s="148"/>
      <c r="KCU57" s="148"/>
      <c r="KCV57" s="148"/>
      <c r="KCW57" s="148"/>
      <c r="KCX57" s="148"/>
      <c r="KCY57" s="148"/>
      <c r="KCZ57" s="148"/>
      <c r="KDA57" s="148"/>
      <c r="KDB57" s="148"/>
      <c r="KDC57" s="148"/>
      <c r="KDD57" s="148"/>
      <c r="KDE57" s="148"/>
      <c r="KDF57" s="148"/>
      <c r="KDG57" s="148"/>
      <c r="KDH57" s="148"/>
      <c r="KDI57" s="148"/>
      <c r="KDJ57" s="148"/>
      <c r="KDK57" s="148"/>
      <c r="KDL57" s="148"/>
      <c r="KDM57" s="148"/>
      <c r="KDN57" s="148"/>
      <c r="KDO57" s="148"/>
      <c r="KDP57" s="148"/>
      <c r="KDQ57" s="148"/>
      <c r="KDR57" s="148"/>
      <c r="KDS57" s="148"/>
      <c r="KDT57" s="148"/>
      <c r="KDU57" s="148"/>
      <c r="KDV57" s="148"/>
      <c r="KDW57" s="148"/>
      <c r="KDX57" s="148"/>
      <c r="KDY57" s="148"/>
      <c r="KDZ57" s="148"/>
      <c r="KEA57" s="148"/>
      <c r="KEB57" s="148"/>
      <c r="KEC57" s="148"/>
      <c r="KED57" s="148"/>
      <c r="KEE57" s="148"/>
      <c r="KEF57" s="148"/>
      <c r="KEG57" s="148"/>
      <c r="KEH57" s="148"/>
      <c r="KEI57" s="148"/>
      <c r="KEJ57" s="148"/>
      <c r="KEK57" s="148"/>
      <c r="KEL57" s="148"/>
      <c r="KEM57" s="148"/>
      <c r="KEN57" s="148"/>
      <c r="KEO57" s="148"/>
      <c r="KEP57" s="148"/>
      <c r="KEQ57" s="148"/>
      <c r="KER57" s="148"/>
      <c r="KES57" s="148"/>
      <c r="KET57" s="148"/>
      <c r="KEU57" s="148"/>
      <c r="KEV57" s="148"/>
      <c r="KEW57" s="148"/>
      <c r="KEX57" s="148"/>
      <c r="KEY57" s="148"/>
      <c r="KEZ57" s="148"/>
      <c r="KFA57" s="148"/>
      <c r="KFB57" s="148"/>
      <c r="KFC57" s="148"/>
      <c r="KFD57" s="148"/>
      <c r="KFE57" s="148"/>
      <c r="KFF57" s="148"/>
      <c r="KFG57" s="148"/>
      <c r="KFH57" s="148"/>
      <c r="KFI57" s="148"/>
      <c r="KFJ57" s="148"/>
      <c r="KFK57" s="148"/>
      <c r="KFL57" s="148"/>
      <c r="KFM57" s="148"/>
      <c r="KFN57" s="148"/>
      <c r="KFO57" s="148"/>
      <c r="KFP57" s="148"/>
      <c r="KFQ57" s="148"/>
      <c r="KFR57" s="148"/>
      <c r="KFS57" s="148"/>
      <c r="KFT57" s="148"/>
      <c r="KFU57" s="148"/>
      <c r="KFV57" s="148"/>
      <c r="KFW57" s="148"/>
      <c r="KFX57" s="148"/>
      <c r="KFY57" s="148"/>
      <c r="KFZ57" s="148"/>
      <c r="KGA57" s="148"/>
      <c r="KGB57" s="148"/>
      <c r="KGC57" s="148"/>
      <c r="KGD57" s="148"/>
      <c r="KGE57" s="148"/>
      <c r="KGF57" s="148"/>
      <c r="KGG57" s="148"/>
      <c r="KGH57" s="148"/>
      <c r="KGI57" s="148"/>
      <c r="KGJ57" s="148"/>
      <c r="KGK57" s="148"/>
      <c r="KGL57" s="148"/>
      <c r="KGM57" s="148"/>
      <c r="KGN57" s="148"/>
      <c r="KGO57" s="148"/>
      <c r="KGP57" s="148"/>
      <c r="KGQ57" s="148"/>
      <c r="KGR57" s="148"/>
      <c r="KGS57" s="148"/>
      <c r="KGT57" s="148"/>
      <c r="KGU57" s="148"/>
      <c r="KGV57" s="148"/>
      <c r="KGW57" s="148"/>
      <c r="KGX57" s="148"/>
      <c r="KGY57" s="148"/>
      <c r="KGZ57" s="148"/>
      <c r="KHA57" s="148"/>
      <c r="KHB57" s="148"/>
      <c r="KHC57" s="148"/>
      <c r="KHD57" s="148"/>
      <c r="KHE57" s="148"/>
      <c r="KHF57" s="148"/>
      <c r="KHG57" s="148"/>
      <c r="KHH57" s="148"/>
      <c r="KHI57" s="148"/>
      <c r="KHJ57" s="148"/>
      <c r="KHK57" s="148"/>
      <c r="KHL57" s="148"/>
      <c r="KHM57" s="148"/>
      <c r="KHN57" s="148"/>
      <c r="KHO57" s="148"/>
      <c r="KHP57" s="148"/>
      <c r="KHQ57" s="148"/>
      <c r="KHR57" s="148"/>
      <c r="KHS57" s="148"/>
      <c r="KHT57" s="148"/>
      <c r="KHU57" s="148"/>
      <c r="KHV57" s="148"/>
      <c r="KHW57" s="148"/>
      <c r="KHX57" s="148"/>
      <c r="KHY57" s="148"/>
      <c r="KHZ57" s="148"/>
      <c r="KIA57" s="148"/>
      <c r="KIB57" s="148"/>
      <c r="KIC57" s="148"/>
      <c r="KID57" s="148"/>
      <c r="KIE57" s="148"/>
      <c r="KIF57" s="148"/>
      <c r="KIG57" s="148"/>
      <c r="KIH57" s="148"/>
      <c r="KII57" s="148"/>
      <c r="KIJ57" s="148"/>
      <c r="KIK57" s="148"/>
      <c r="KIL57" s="148"/>
      <c r="KIM57" s="148"/>
      <c r="KIN57" s="148"/>
      <c r="KIO57" s="148"/>
      <c r="KIP57" s="148"/>
      <c r="KIQ57" s="148"/>
      <c r="KIR57" s="148"/>
      <c r="KIS57" s="148"/>
      <c r="KIT57" s="148"/>
      <c r="KIU57" s="148"/>
      <c r="KIV57" s="148"/>
      <c r="KIW57" s="148"/>
      <c r="KIX57" s="148"/>
      <c r="KIY57" s="148"/>
      <c r="KIZ57" s="148"/>
      <c r="KJA57" s="148"/>
      <c r="KJB57" s="148"/>
      <c r="KJC57" s="148"/>
      <c r="KJD57" s="148"/>
      <c r="KJE57" s="148"/>
      <c r="KJF57" s="148"/>
      <c r="KJG57" s="148"/>
      <c r="KJH57" s="148"/>
      <c r="KJI57" s="148"/>
      <c r="KJJ57" s="148"/>
      <c r="KJK57" s="148"/>
      <c r="KJL57" s="148"/>
      <c r="KJM57" s="148"/>
      <c r="KJN57" s="148"/>
      <c r="KJO57" s="148"/>
      <c r="KJP57" s="148"/>
      <c r="KJQ57" s="148"/>
      <c r="KJR57" s="148"/>
      <c r="KJS57" s="148"/>
      <c r="KJT57" s="148"/>
      <c r="KJU57" s="148"/>
      <c r="KJV57" s="148"/>
      <c r="KJW57" s="148"/>
      <c r="KJX57" s="148"/>
      <c r="KJY57" s="148"/>
      <c r="KJZ57" s="148"/>
      <c r="KKA57" s="148"/>
      <c r="KKB57" s="148"/>
      <c r="KKC57" s="148"/>
      <c r="KKD57" s="148"/>
      <c r="KKE57" s="148"/>
      <c r="KKF57" s="148"/>
      <c r="KKG57" s="148"/>
      <c r="KKH57" s="148"/>
      <c r="KKI57" s="148"/>
      <c r="KKJ57" s="148"/>
      <c r="KKK57" s="148"/>
      <c r="KKL57" s="148"/>
      <c r="KKM57" s="148"/>
      <c r="KKN57" s="148"/>
      <c r="KKO57" s="148"/>
      <c r="KKP57" s="148"/>
      <c r="KKQ57" s="148"/>
      <c r="KKR57" s="148"/>
      <c r="KKS57" s="148"/>
      <c r="KKT57" s="148"/>
      <c r="KKU57" s="148"/>
      <c r="KKV57" s="148"/>
      <c r="KKW57" s="148"/>
      <c r="KKX57" s="148"/>
      <c r="KKY57" s="148"/>
      <c r="KKZ57" s="148"/>
      <c r="KLA57" s="148"/>
      <c r="KLB57" s="148"/>
      <c r="KLC57" s="148"/>
      <c r="KLD57" s="148"/>
      <c r="KLE57" s="148"/>
      <c r="KLF57" s="148"/>
      <c r="KLG57" s="148"/>
      <c r="KLH57" s="148"/>
      <c r="KLI57" s="148"/>
      <c r="KLJ57" s="148"/>
      <c r="KLK57" s="148"/>
      <c r="KLL57" s="148"/>
      <c r="KLM57" s="148"/>
      <c r="KLN57" s="148"/>
      <c r="KLO57" s="148"/>
      <c r="KLP57" s="148"/>
      <c r="KLQ57" s="148"/>
      <c r="KLR57" s="148"/>
      <c r="KLS57" s="148"/>
      <c r="KLT57" s="148"/>
      <c r="KLU57" s="148"/>
      <c r="KLV57" s="148"/>
      <c r="KLW57" s="148"/>
      <c r="KLX57" s="148"/>
      <c r="KLY57" s="148"/>
      <c r="KLZ57" s="148"/>
      <c r="KMA57" s="148"/>
      <c r="KMB57" s="148"/>
      <c r="KMC57" s="148"/>
      <c r="KMD57" s="148"/>
      <c r="KME57" s="148"/>
      <c r="KMF57" s="148"/>
      <c r="KMG57" s="148"/>
      <c r="KMH57" s="148"/>
      <c r="KMI57" s="148"/>
      <c r="KMJ57" s="148"/>
      <c r="KMK57" s="148"/>
      <c r="KML57" s="148"/>
      <c r="KMM57" s="148"/>
      <c r="KMN57" s="148"/>
      <c r="KMO57" s="148"/>
      <c r="KMP57" s="148"/>
      <c r="KMQ57" s="148"/>
      <c r="KMR57" s="148"/>
      <c r="KMS57" s="148"/>
      <c r="KMT57" s="148"/>
      <c r="KMU57" s="148"/>
      <c r="KMV57" s="148"/>
      <c r="KMW57" s="148"/>
      <c r="KMX57" s="148"/>
      <c r="KMY57" s="148"/>
      <c r="KMZ57" s="148"/>
      <c r="KNA57" s="148"/>
      <c r="KNB57" s="148"/>
      <c r="KNC57" s="148"/>
      <c r="KND57" s="148"/>
      <c r="KNE57" s="148"/>
      <c r="KNF57" s="148"/>
      <c r="KNG57" s="148"/>
      <c r="KNH57" s="148"/>
      <c r="KNI57" s="148"/>
      <c r="KNJ57" s="148"/>
      <c r="KNK57" s="148"/>
      <c r="KNL57" s="148"/>
      <c r="KNM57" s="148"/>
      <c r="KNN57" s="148"/>
      <c r="KNO57" s="148"/>
      <c r="KNP57" s="148"/>
      <c r="KNQ57" s="148"/>
      <c r="KNR57" s="148"/>
      <c r="KNS57" s="148"/>
      <c r="KNT57" s="148"/>
      <c r="KNU57" s="148"/>
      <c r="KNV57" s="148"/>
      <c r="KNW57" s="148"/>
      <c r="KNX57" s="148"/>
      <c r="KNY57" s="148"/>
      <c r="KNZ57" s="148"/>
      <c r="KOA57" s="148"/>
      <c r="KOB57" s="148"/>
      <c r="KOC57" s="148"/>
      <c r="KOD57" s="148"/>
      <c r="KOE57" s="148"/>
      <c r="KOF57" s="148"/>
      <c r="KOG57" s="148"/>
      <c r="KOH57" s="148"/>
      <c r="KOI57" s="148"/>
      <c r="KOJ57" s="148"/>
      <c r="KOK57" s="148"/>
      <c r="KOL57" s="148"/>
      <c r="KOM57" s="148"/>
      <c r="KON57" s="148"/>
      <c r="KOO57" s="148"/>
      <c r="KOP57" s="148"/>
      <c r="KOQ57" s="148"/>
      <c r="KOR57" s="148"/>
      <c r="KOS57" s="148"/>
      <c r="KOT57" s="148"/>
      <c r="KOU57" s="148"/>
      <c r="KOV57" s="148"/>
      <c r="KOW57" s="148"/>
      <c r="KOX57" s="148"/>
      <c r="KOY57" s="148"/>
      <c r="KOZ57" s="148"/>
      <c r="KPA57" s="148"/>
      <c r="KPB57" s="148"/>
      <c r="KPC57" s="148"/>
      <c r="KPD57" s="148"/>
      <c r="KPE57" s="148"/>
      <c r="KPF57" s="148"/>
      <c r="KPG57" s="148"/>
      <c r="KPH57" s="148"/>
      <c r="KPI57" s="148"/>
      <c r="KPJ57" s="148"/>
      <c r="KPK57" s="148"/>
      <c r="KPL57" s="148"/>
      <c r="KPM57" s="148"/>
      <c r="KPN57" s="148"/>
      <c r="KPO57" s="148"/>
      <c r="KPP57" s="148"/>
      <c r="KPQ57" s="148"/>
      <c r="KPR57" s="148"/>
      <c r="KPS57" s="148"/>
      <c r="KPT57" s="148"/>
      <c r="KPU57" s="148"/>
      <c r="KPV57" s="148"/>
      <c r="KPW57" s="148"/>
      <c r="KPX57" s="148"/>
      <c r="KPY57" s="148"/>
      <c r="KPZ57" s="148"/>
      <c r="KQA57" s="148"/>
      <c r="KQB57" s="148"/>
      <c r="KQC57" s="148"/>
      <c r="KQD57" s="148"/>
      <c r="KQE57" s="148"/>
      <c r="KQF57" s="148"/>
      <c r="KQG57" s="148"/>
      <c r="KQH57" s="148"/>
      <c r="KQI57" s="148"/>
      <c r="KQJ57" s="148"/>
      <c r="KQK57" s="148"/>
      <c r="KQL57" s="148"/>
      <c r="KQM57" s="148"/>
      <c r="KQN57" s="148"/>
      <c r="KQO57" s="148"/>
      <c r="KQP57" s="148"/>
      <c r="KQQ57" s="148"/>
      <c r="KQR57" s="148"/>
      <c r="KQS57" s="148"/>
      <c r="KQT57" s="148"/>
      <c r="KQU57" s="148"/>
      <c r="KQV57" s="148"/>
      <c r="KQW57" s="148"/>
      <c r="KQX57" s="148"/>
      <c r="KQY57" s="148"/>
      <c r="KQZ57" s="148"/>
      <c r="KRA57" s="148"/>
      <c r="KRB57" s="148"/>
      <c r="KRC57" s="148"/>
      <c r="KRD57" s="148"/>
      <c r="KRE57" s="148"/>
      <c r="KRF57" s="148"/>
      <c r="KRG57" s="148"/>
      <c r="KRH57" s="148"/>
      <c r="KRI57" s="148"/>
      <c r="KRJ57" s="148"/>
      <c r="KRK57" s="148"/>
      <c r="KRL57" s="148"/>
      <c r="KRM57" s="148"/>
      <c r="KRN57" s="148"/>
      <c r="KRO57" s="148"/>
      <c r="KRP57" s="148"/>
      <c r="KRQ57" s="148"/>
      <c r="KRR57" s="148"/>
      <c r="KRS57" s="148"/>
      <c r="KRT57" s="148"/>
      <c r="KRU57" s="148"/>
      <c r="KRV57" s="148"/>
      <c r="KRW57" s="148"/>
      <c r="KRX57" s="148"/>
      <c r="KRY57" s="148"/>
      <c r="KRZ57" s="148"/>
      <c r="KSA57" s="148"/>
      <c r="KSB57" s="148"/>
      <c r="KSC57" s="148"/>
      <c r="KSD57" s="148"/>
      <c r="KSE57" s="148"/>
      <c r="KSF57" s="148"/>
      <c r="KSG57" s="148"/>
      <c r="KSH57" s="148"/>
      <c r="KSI57" s="148"/>
      <c r="KSJ57" s="148"/>
      <c r="KSK57" s="148"/>
      <c r="KSL57" s="148"/>
      <c r="KSM57" s="148"/>
      <c r="KSN57" s="148"/>
      <c r="KSO57" s="148"/>
      <c r="KSP57" s="148"/>
      <c r="KSQ57" s="148"/>
      <c r="KSR57" s="148"/>
      <c r="KSS57" s="148"/>
      <c r="KST57" s="148"/>
      <c r="KSU57" s="148"/>
      <c r="KSV57" s="148"/>
      <c r="KSW57" s="148"/>
      <c r="KSX57" s="148"/>
      <c r="KSY57" s="148"/>
      <c r="KSZ57" s="148"/>
      <c r="KTA57" s="148"/>
      <c r="KTB57" s="148"/>
      <c r="KTC57" s="148"/>
      <c r="KTD57" s="148"/>
      <c r="KTE57" s="148"/>
      <c r="KTF57" s="148"/>
      <c r="KTG57" s="148"/>
      <c r="KTH57" s="148"/>
      <c r="KTI57" s="148"/>
      <c r="KTJ57" s="148"/>
      <c r="KTK57" s="148"/>
      <c r="KTL57" s="148"/>
      <c r="KTM57" s="148"/>
      <c r="KTN57" s="148"/>
      <c r="KTO57" s="148"/>
      <c r="KTP57" s="148"/>
      <c r="KTQ57" s="148"/>
      <c r="KTR57" s="148"/>
      <c r="KTS57" s="148"/>
      <c r="KTT57" s="148"/>
      <c r="KTU57" s="148"/>
      <c r="KTV57" s="148"/>
      <c r="KTW57" s="148"/>
      <c r="KTX57" s="148"/>
      <c r="KTY57" s="148"/>
      <c r="KTZ57" s="148"/>
      <c r="KUA57" s="148"/>
      <c r="KUB57" s="148"/>
      <c r="KUC57" s="148"/>
      <c r="KUD57" s="148"/>
      <c r="KUE57" s="148"/>
      <c r="KUF57" s="148"/>
      <c r="KUG57" s="148"/>
      <c r="KUH57" s="148"/>
      <c r="KUI57" s="148"/>
      <c r="KUJ57" s="148"/>
      <c r="KUK57" s="148"/>
      <c r="KUL57" s="148"/>
      <c r="KUM57" s="148"/>
      <c r="KUN57" s="148"/>
      <c r="KUO57" s="148"/>
      <c r="KUP57" s="148"/>
      <c r="KUQ57" s="148"/>
      <c r="KUR57" s="148"/>
      <c r="KUS57" s="148"/>
      <c r="KUT57" s="148"/>
      <c r="KUU57" s="148"/>
      <c r="KUV57" s="148"/>
      <c r="KUW57" s="148"/>
      <c r="KUX57" s="148"/>
      <c r="KUY57" s="148"/>
      <c r="KUZ57" s="148"/>
      <c r="KVA57" s="148"/>
      <c r="KVB57" s="148"/>
      <c r="KVC57" s="148"/>
      <c r="KVD57" s="148"/>
      <c r="KVE57" s="148"/>
      <c r="KVF57" s="148"/>
      <c r="KVG57" s="148"/>
      <c r="KVH57" s="148"/>
      <c r="KVI57" s="148"/>
      <c r="KVJ57" s="148"/>
      <c r="KVK57" s="148"/>
      <c r="KVL57" s="148"/>
      <c r="KVM57" s="148"/>
      <c r="KVN57" s="148"/>
      <c r="KVO57" s="148"/>
      <c r="KVP57" s="148"/>
      <c r="KVQ57" s="148"/>
      <c r="KVR57" s="148"/>
      <c r="KVS57" s="148"/>
      <c r="KVT57" s="148"/>
      <c r="KVU57" s="148"/>
      <c r="KVV57" s="148"/>
      <c r="KVW57" s="148"/>
      <c r="KVX57" s="148"/>
      <c r="KVY57" s="148"/>
      <c r="KVZ57" s="148"/>
      <c r="KWA57" s="148"/>
      <c r="KWB57" s="148"/>
      <c r="KWC57" s="148"/>
      <c r="KWD57" s="148"/>
      <c r="KWE57" s="148"/>
      <c r="KWF57" s="148"/>
      <c r="KWG57" s="148"/>
      <c r="KWH57" s="148"/>
      <c r="KWI57" s="148"/>
      <c r="KWJ57" s="148"/>
      <c r="KWK57" s="148"/>
      <c r="KWL57" s="148"/>
      <c r="KWM57" s="148"/>
      <c r="KWN57" s="148"/>
      <c r="KWO57" s="148"/>
      <c r="KWP57" s="148"/>
      <c r="KWQ57" s="148"/>
      <c r="KWR57" s="148"/>
      <c r="KWS57" s="148"/>
      <c r="KWT57" s="148"/>
      <c r="KWU57" s="148"/>
      <c r="KWV57" s="148"/>
      <c r="KWW57" s="148"/>
      <c r="KWX57" s="148"/>
      <c r="KWY57" s="148"/>
      <c r="KWZ57" s="148"/>
      <c r="KXA57" s="148"/>
      <c r="KXB57" s="148"/>
      <c r="KXC57" s="148"/>
      <c r="KXD57" s="148"/>
      <c r="KXE57" s="148"/>
      <c r="KXF57" s="148"/>
      <c r="KXG57" s="148"/>
      <c r="KXH57" s="148"/>
      <c r="KXI57" s="148"/>
      <c r="KXJ57" s="148"/>
      <c r="KXK57" s="148"/>
      <c r="KXL57" s="148"/>
      <c r="KXM57" s="148"/>
      <c r="KXN57" s="148"/>
      <c r="KXO57" s="148"/>
      <c r="KXP57" s="148"/>
      <c r="KXQ57" s="148"/>
      <c r="KXR57" s="148"/>
      <c r="KXS57" s="148"/>
      <c r="KXT57" s="148"/>
      <c r="KXU57" s="148"/>
      <c r="KXV57" s="148"/>
      <c r="KXW57" s="148"/>
      <c r="KXX57" s="148"/>
      <c r="KXY57" s="148"/>
      <c r="KXZ57" s="148"/>
      <c r="KYA57" s="148"/>
      <c r="KYB57" s="148"/>
      <c r="KYC57" s="148"/>
      <c r="KYD57" s="148"/>
      <c r="KYE57" s="148"/>
      <c r="KYF57" s="148"/>
      <c r="KYG57" s="148"/>
      <c r="KYH57" s="148"/>
      <c r="KYI57" s="148"/>
      <c r="KYJ57" s="148"/>
      <c r="KYK57" s="148"/>
      <c r="KYL57" s="148"/>
      <c r="KYM57" s="148"/>
      <c r="KYN57" s="148"/>
      <c r="KYO57" s="148"/>
      <c r="KYP57" s="148"/>
      <c r="KYQ57" s="148"/>
      <c r="KYR57" s="148"/>
      <c r="KYS57" s="148"/>
      <c r="KYT57" s="148"/>
      <c r="KYU57" s="148"/>
      <c r="KYV57" s="148"/>
      <c r="KYW57" s="148"/>
      <c r="KYX57" s="148"/>
      <c r="KYY57" s="148"/>
      <c r="KYZ57" s="148"/>
      <c r="KZA57" s="148"/>
      <c r="KZB57" s="148"/>
      <c r="KZC57" s="148"/>
      <c r="KZD57" s="148"/>
      <c r="KZE57" s="148"/>
      <c r="KZF57" s="148"/>
      <c r="KZG57" s="148"/>
      <c r="KZH57" s="148"/>
      <c r="KZI57" s="148"/>
      <c r="KZJ57" s="148"/>
      <c r="KZK57" s="148"/>
      <c r="KZL57" s="148"/>
      <c r="KZM57" s="148"/>
      <c r="KZN57" s="148"/>
      <c r="KZO57" s="148"/>
      <c r="KZP57" s="148"/>
      <c r="KZQ57" s="148"/>
      <c r="KZR57" s="148"/>
      <c r="KZS57" s="148"/>
      <c r="KZT57" s="148"/>
      <c r="KZU57" s="148"/>
      <c r="KZV57" s="148"/>
      <c r="KZW57" s="148"/>
      <c r="KZX57" s="148"/>
      <c r="KZY57" s="148"/>
      <c r="KZZ57" s="148"/>
      <c r="LAA57" s="148"/>
      <c r="LAB57" s="148"/>
      <c r="LAC57" s="148"/>
      <c r="LAD57" s="148"/>
      <c r="LAE57" s="148"/>
      <c r="LAF57" s="148"/>
      <c r="LAG57" s="148"/>
      <c r="LAH57" s="148"/>
      <c r="LAI57" s="148"/>
      <c r="LAJ57" s="148"/>
      <c r="LAK57" s="148"/>
      <c r="LAL57" s="148"/>
      <c r="LAM57" s="148"/>
      <c r="LAN57" s="148"/>
      <c r="LAO57" s="148"/>
      <c r="LAP57" s="148"/>
      <c r="LAQ57" s="148"/>
      <c r="LAR57" s="148"/>
      <c r="LAS57" s="148"/>
      <c r="LAT57" s="148"/>
      <c r="LAU57" s="148"/>
      <c r="LAV57" s="148"/>
      <c r="LAW57" s="148"/>
      <c r="LAX57" s="148"/>
      <c r="LAY57" s="148"/>
      <c r="LAZ57" s="148"/>
      <c r="LBA57" s="148"/>
      <c r="LBB57" s="148"/>
      <c r="LBC57" s="148"/>
      <c r="LBD57" s="148"/>
      <c r="LBE57" s="148"/>
      <c r="LBF57" s="148"/>
      <c r="LBG57" s="148"/>
      <c r="LBH57" s="148"/>
      <c r="LBI57" s="148"/>
      <c r="LBJ57" s="148"/>
      <c r="LBK57" s="148"/>
      <c r="LBL57" s="148"/>
      <c r="LBM57" s="148"/>
      <c r="LBN57" s="148"/>
      <c r="LBO57" s="148"/>
      <c r="LBP57" s="148"/>
      <c r="LBQ57" s="148"/>
      <c r="LBR57" s="148"/>
      <c r="LBS57" s="148"/>
      <c r="LBT57" s="148"/>
      <c r="LBU57" s="148"/>
      <c r="LBV57" s="148"/>
      <c r="LBW57" s="148"/>
      <c r="LBX57" s="148"/>
      <c r="LBY57" s="148"/>
      <c r="LBZ57" s="148"/>
      <c r="LCA57" s="148"/>
      <c r="LCB57" s="148"/>
      <c r="LCC57" s="148"/>
      <c r="LCD57" s="148"/>
      <c r="LCE57" s="148"/>
      <c r="LCF57" s="148"/>
      <c r="LCG57" s="148"/>
      <c r="LCH57" s="148"/>
      <c r="LCI57" s="148"/>
      <c r="LCJ57" s="148"/>
      <c r="LCK57" s="148"/>
      <c r="LCL57" s="148"/>
      <c r="LCM57" s="148"/>
      <c r="LCN57" s="148"/>
      <c r="LCO57" s="148"/>
      <c r="LCP57" s="148"/>
      <c r="LCQ57" s="148"/>
      <c r="LCR57" s="148"/>
      <c r="LCS57" s="148"/>
      <c r="LCT57" s="148"/>
      <c r="LCU57" s="148"/>
      <c r="LCV57" s="148"/>
      <c r="LCW57" s="148"/>
      <c r="LCX57" s="148"/>
      <c r="LCY57" s="148"/>
      <c r="LCZ57" s="148"/>
      <c r="LDA57" s="148"/>
      <c r="LDB57" s="148"/>
      <c r="LDC57" s="148"/>
      <c r="LDD57" s="148"/>
      <c r="LDE57" s="148"/>
      <c r="LDF57" s="148"/>
      <c r="LDG57" s="148"/>
      <c r="LDH57" s="148"/>
      <c r="LDI57" s="148"/>
      <c r="LDJ57" s="148"/>
      <c r="LDK57" s="148"/>
      <c r="LDL57" s="148"/>
      <c r="LDM57" s="148"/>
      <c r="LDN57" s="148"/>
      <c r="LDO57" s="148"/>
      <c r="LDP57" s="148"/>
      <c r="LDQ57" s="148"/>
      <c r="LDR57" s="148"/>
      <c r="LDS57" s="148"/>
      <c r="LDT57" s="148"/>
      <c r="LDU57" s="148"/>
      <c r="LDV57" s="148"/>
      <c r="LDW57" s="148"/>
      <c r="LDX57" s="148"/>
      <c r="LDY57" s="148"/>
      <c r="LDZ57" s="148"/>
      <c r="LEA57" s="148"/>
      <c r="LEB57" s="148"/>
      <c r="LEC57" s="148"/>
      <c r="LED57" s="148"/>
      <c r="LEE57" s="148"/>
      <c r="LEF57" s="148"/>
      <c r="LEG57" s="148"/>
      <c r="LEH57" s="148"/>
      <c r="LEI57" s="148"/>
      <c r="LEJ57" s="148"/>
      <c r="LEK57" s="148"/>
      <c r="LEL57" s="148"/>
      <c r="LEM57" s="148"/>
      <c r="LEN57" s="148"/>
      <c r="LEO57" s="148"/>
      <c r="LEP57" s="148"/>
      <c r="LEQ57" s="148"/>
      <c r="LER57" s="148"/>
      <c r="LES57" s="148"/>
      <c r="LET57" s="148"/>
      <c r="LEU57" s="148"/>
      <c r="LEV57" s="148"/>
      <c r="LEW57" s="148"/>
      <c r="LEX57" s="148"/>
      <c r="LEY57" s="148"/>
      <c r="LEZ57" s="148"/>
      <c r="LFA57" s="148"/>
      <c r="LFB57" s="148"/>
      <c r="LFC57" s="148"/>
      <c r="LFD57" s="148"/>
      <c r="LFE57" s="148"/>
      <c r="LFF57" s="148"/>
      <c r="LFG57" s="148"/>
      <c r="LFH57" s="148"/>
      <c r="LFI57" s="148"/>
      <c r="LFJ57" s="148"/>
      <c r="LFK57" s="148"/>
      <c r="LFL57" s="148"/>
      <c r="LFM57" s="148"/>
      <c r="LFN57" s="148"/>
      <c r="LFO57" s="148"/>
      <c r="LFP57" s="148"/>
      <c r="LFQ57" s="148"/>
      <c r="LFR57" s="148"/>
      <c r="LFS57" s="148"/>
      <c r="LFT57" s="148"/>
      <c r="LFU57" s="148"/>
      <c r="LFV57" s="148"/>
      <c r="LFW57" s="148"/>
      <c r="LFX57" s="148"/>
      <c r="LFY57" s="148"/>
      <c r="LFZ57" s="148"/>
      <c r="LGA57" s="148"/>
      <c r="LGB57" s="148"/>
      <c r="LGC57" s="148"/>
      <c r="LGD57" s="148"/>
      <c r="LGE57" s="148"/>
      <c r="LGF57" s="148"/>
      <c r="LGG57" s="148"/>
      <c r="LGH57" s="148"/>
      <c r="LGI57" s="148"/>
      <c r="LGJ57" s="148"/>
      <c r="LGK57" s="148"/>
      <c r="LGL57" s="148"/>
      <c r="LGM57" s="148"/>
      <c r="LGN57" s="148"/>
      <c r="LGO57" s="148"/>
      <c r="LGP57" s="148"/>
      <c r="LGQ57" s="148"/>
      <c r="LGR57" s="148"/>
      <c r="LGS57" s="148"/>
      <c r="LGT57" s="148"/>
      <c r="LGU57" s="148"/>
      <c r="LGV57" s="148"/>
      <c r="LGW57" s="148"/>
      <c r="LGX57" s="148"/>
      <c r="LGY57" s="148"/>
      <c r="LGZ57" s="148"/>
      <c r="LHA57" s="148"/>
      <c r="LHB57" s="148"/>
      <c r="LHC57" s="148"/>
      <c r="LHD57" s="148"/>
      <c r="LHE57" s="148"/>
      <c r="LHF57" s="148"/>
      <c r="LHG57" s="148"/>
      <c r="LHH57" s="148"/>
      <c r="LHI57" s="148"/>
      <c r="LHJ57" s="148"/>
      <c r="LHK57" s="148"/>
      <c r="LHL57" s="148"/>
      <c r="LHM57" s="148"/>
      <c r="LHN57" s="148"/>
      <c r="LHO57" s="148"/>
      <c r="LHP57" s="148"/>
      <c r="LHQ57" s="148"/>
      <c r="LHR57" s="148"/>
      <c r="LHS57" s="148"/>
      <c r="LHT57" s="148"/>
      <c r="LHU57" s="148"/>
      <c r="LHV57" s="148"/>
      <c r="LHW57" s="148"/>
      <c r="LHX57" s="148"/>
      <c r="LHY57" s="148"/>
      <c r="LHZ57" s="148"/>
      <c r="LIA57" s="148"/>
      <c r="LIB57" s="148"/>
      <c r="LIC57" s="148"/>
      <c r="LID57" s="148"/>
      <c r="LIE57" s="148"/>
      <c r="LIF57" s="148"/>
      <c r="LIG57" s="148"/>
      <c r="LIH57" s="148"/>
      <c r="LII57" s="148"/>
      <c r="LIJ57" s="148"/>
      <c r="LIK57" s="148"/>
      <c r="LIL57" s="148"/>
      <c r="LIM57" s="148"/>
      <c r="LIN57" s="148"/>
      <c r="LIO57" s="148"/>
      <c r="LIP57" s="148"/>
      <c r="LIQ57" s="148"/>
      <c r="LIR57" s="148"/>
      <c r="LIS57" s="148"/>
      <c r="LIT57" s="148"/>
      <c r="LIU57" s="148"/>
      <c r="LIV57" s="148"/>
      <c r="LIW57" s="148"/>
      <c r="LIX57" s="148"/>
      <c r="LIY57" s="148"/>
      <c r="LIZ57" s="148"/>
      <c r="LJA57" s="148"/>
      <c r="LJB57" s="148"/>
      <c r="LJC57" s="148"/>
      <c r="LJD57" s="148"/>
      <c r="LJE57" s="148"/>
      <c r="LJF57" s="148"/>
      <c r="LJG57" s="148"/>
      <c r="LJH57" s="148"/>
      <c r="LJI57" s="148"/>
      <c r="LJJ57" s="148"/>
      <c r="LJK57" s="148"/>
      <c r="LJL57" s="148"/>
      <c r="LJM57" s="148"/>
      <c r="LJN57" s="148"/>
      <c r="LJO57" s="148"/>
      <c r="LJP57" s="148"/>
      <c r="LJQ57" s="148"/>
      <c r="LJR57" s="148"/>
      <c r="LJS57" s="148"/>
      <c r="LJT57" s="148"/>
      <c r="LJU57" s="148"/>
      <c r="LJV57" s="148"/>
      <c r="LJW57" s="148"/>
      <c r="LJX57" s="148"/>
      <c r="LJY57" s="148"/>
      <c r="LJZ57" s="148"/>
      <c r="LKA57" s="148"/>
      <c r="LKB57" s="148"/>
      <c r="LKC57" s="148"/>
      <c r="LKD57" s="148"/>
      <c r="LKE57" s="148"/>
      <c r="LKF57" s="148"/>
      <c r="LKG57" s="148"/>
      <c r="LKH57" s="148"/>
      <c r="LKI57" s="148"/>
      <c r="LKJ57" s="148"/>
      <c r="LKK57" s="148"/>
      <c r="LKL57" s="148"/>
      <c r="LKM57" s="148"/>
      <c r="LKN57" s="148"/>
      <c r="LKO57" s="148"/>
      <c r="LKP57" s="148"/>
      <c r="LKQ57" s="148"/>
      <c r="LKR57" s="148"/>
      <c r="LKS57" s="148"/>
      <c r="LKT57" s="148"/>
      <c r="LKU57" s="148"/>
      <c r="LKV57" s="148"/>
      <c r="LKW57" s="148"/>
      <c r="LKX57" s="148"/>
      <c r="LKY57" s="148"/>
      <c r="LKZ57" s="148"/>
      <c r="LLA57" s="148"/>
      <c r="LLB57" s="148"/>
      <c r="LLC57" s="148"/>
      <c r="LLD57" s="148"/>
      <c r="LLE57" s="148"/>
      <c r="LLF57" s="148"/>
      <c r="LLG57" s="148"/>
      <c r="LLH57" s="148"/>
      <c r="LLI57" s="148"/>
      <c r="LLJ57" s="148"/>
      <c r="LLK57" s="148"/>
      <c r="LLL57" s="148"/>
      <c r="LLM57" s="148"/>
      <c r="LLN57" s="148"/>
      <c r="LLO57" s="148"/>
      <c r="LLP57" s="148"/>
      <c r="LLQ57" s="148"/>
      <c r="LLR57" s="148"/>
      <c r="LLS57" s="148"/>
      <c r="LLT57" s="148"/>
      <c r="LLU57" s="148"/>
      <c r="LLV57" s="148"/>
      <c r="LLW57" s="148"/>
      <c r="LLX57" s="148"/>
      <c r="LLY57" s="148"/>
      <c r="LLZ57" s="148"/>
      <c r="LMA57" s="148"/>
      <c r="LMB57" s="148"/>
      <c r="LMC57" s="148"/>
      <c r="LMD57" s="148"/>
      <c r="LME57" s="148"/>
      <c r="LMF57" s="148"/>
      <c r="LMG57" s="148"/>
      <c r="LMH57" s="148"/>
      <c r="LMI57" s="148"/>
      <c r="LMJ57" s="148"/>
      <c r="LMK57" s="148"/>
      <c r="LML57" s="148"/>
      <c r="LMM57" s="148"/>
      <c r="LMN57" s="148"/>
      <c r="LMO57" s="148"/>
      <c r="LMP57" s="148"/>
      <c r="LMQ57" s="148"/>
      <c r="LMR57" s="148"/>
      <c r="LMS57" s="148"/>
      <c r="LMT57" s="148"/>
      <c r="LMU57" s="148"/>
      <c r="LMV57" s="148"/>
      <c r="LMW57" s="148"/>
      <c r="LMX57" s="148"/>
      <c r="LMY57" s="148"/>
      <c r="LMZ57" s="148"/>
      <c r="LNA57" s="148"/>
      <c r="LNB57" s="148"/>
      <c r="LNC57" s="148"/>
      <c r="LND57" s="148"/>
      <c r="LNE57" s="148"/>
      <c r="LNF57" s="148"/>
      <c r="LNG57" s="148"/>
      <c r="LNH57" s="148"/>
      <c r="LNI57" s="148"/>
      <c r="LNJ57" s="148"/>
      <c r="LNK57" s="148"/>
      <c r="LNL57" s="148"/>
      <c r="LNM57" s="148"/>
      <c r="LNN57" s="148"/>
      <c r="LNO57" s="148"/>
      <c r="LNP57" s="148"/>
      <c r="LNQ57" s="148"/>
      <c r="LNR57" s="148"/>
      <c r="LNS57" s="148"/>
      <c r="LNT57" s="148"/>
      <c r="LNU57" s="148"/>
      <c r="LNV57" s="148"/>
      <c r="LNW57" s="148"/>
      <c r="LNX57" s="148"/>
      <c r="LNY57" s="148"/>
      <c r="LNZ57" s="148"/>
      <c r="LOA57" s="148"/>
      <c r="LOB57" s="148"/>
      <c r="LOC57" s="148"/>
      <c r="LOD57" s="148"/>
      <c r="LOE57" s="148"/>
      <c r="LOF57" s="148"/>
      <c r="LOG57" s="148"/>
      <c r="LOH57" s="148"/>
      <c r="LOI57" s="148"/>
      <c r="LOJ57" s="148"/>
      <c r="LOK57" s="148"/>
      <c r="LOL57" s="148"/>
      <c r="LOM57" s="148"/>
      <c r="LON57" s="148"/>
      <c r="LOO57" s="148"/>
      <c r="LOP57" s="148"/>
      <c r="LOQ57" s="148"/>
      <c r="LOR57" s="148"/>
      <c r="LOS57" s="148"/>
      <c r="LOT57" s="148"/>
      <c r="LOU57" s="148"/>
      <c r="LOV57" s="148"/>
      <c r="LOW57" s="148"/>
      <c r="LOX57" s="148"/>
      <c r="LOY57" s="148"/>
      <c r="LOZ57" s="148"/>
      <c r="LPA57" s="148"/>
      <c r="LPB57" s="148"/>
      <c r="LPC57" s="148"/>
      <c r="LPD57" s="148"/>
      <c r="LPE57" s="148"/>
      <c r="LPF57" s="148"/>
      <c r="LPG57" s="148"/>
      <c r="LPH57" s="148"/>
      <c r="LPI57" s="148"/>
      <c r="LPJ57" s="148"/>
      <c r="LPK57" s="148"/>
      <c r="LPL57" s="148"/>
      <c r="LPM57" s="148"/>
      <c r="LPN57" s="148"/>
      <c r="LPO57" s="148"/>
      <c r="LPP57" s="148"/>
      <c r="LPQ57" s="148"/>
      <c r="LPR57" s="148"/>
      <c r="LPS57" s="148"/>
      <c r="LPT57" s="148"/>
      <c r="LPU57" s="148"/>
      <c r="LPV57" s="148"/>
      <c r="LPW57" s="148"/>
      <c r="LPX57" s="148"/>
      <c r="LPY57" s="148"/>
      <c r="LPZ57" s="148"/>
      <c r="LQA57" s="148"/>
      <c r="LQB57" s="148"/>
      <c r="LQC57" s="148"/>
      <c r="LQD57" s="148"/>
      <c r="LQE57" s="148"/>
      <c r="LQF57" s="148"/>
      <c r="LQG57" s="148"/>
      <c r="LQH57" s="148"/>
      <c r="LQI57" s="148"/>
      <c r="LQJ57" s="148"/>
      <c r="LQK57" s="148"/>
      <c r="LQL57" s="148"/>
      <c r="LQM57" s="148"/>
      <c r="LQN57" s="148"/>
      <c r="LQO57" s="148"/>
      <c r="LQP57" s="148"/>
      <c r="LQQ57" s="148"/>
      <c r="LQR57" s="148"/>
      <c r="LQS57" s="148"/>
      <c r="LQT57" s="148"/>
      <c r="LQU57" s="148"/>
      <c r="LQV57" s="148"/>
      <c r="LQW57" s="148"/>
      <c r="LQX57" s="148"/>
      <c r="LQY57" s="148"/>
      <c r="LQZ57" s="148"/>
      <c r="LRA57" s="148"/>
      <c r="LRB57" s="148"/>
      <c r="LRC57" s="148"/>
      <c r="LRD57" s="148"/>
      <c r="LRE57" s="148"/>
      <c r="LRF57" s="148"/>
      <c r="LRG57" s="148"/>
      <c r="LRH57" s="148"/>
      <c r="LRI57" s="148"/>
      <c r="LRJ57" s="148"/>
      <c r="LRK57" s="148"/>
      <c r="LRL57" s="148"/>
      <c r="LRM57" s="148"/>
      <c r="LRN57" s="148"/>
      <c r="LRO57" s="148"/>
      <c r="LRP57" s="148"/>
      <c r="LRQ57" s="148"/>
      <c r="LRR57" s="148"/>
      <c r="LRS57" s="148"/>
      <c r="LRT57" s="148"/>
      <c r="LRU57" s="148"/>
      <c r="LRV57" s="148"/>
      <c r="LRW57" s="148"/>
      <c r="LRX57" s="148"/>
      <c r="LRY57" s="148"/>
      <c r="LRZ57" s="148"/>
      <c r="LSA57" s="148"/>
      <c r="LSB57" s="148"/>
      <c r="LSC57" s="148"/>
      <c r="LSD57" s="148"/>
      <c r="LSE57" s="148"/>
      <c r="LSF57" s="148"/>
      <c r="LSG57" s="148"/>
      <c r="LSH57" s="148"/>
      <c r="LSI57" s="148"/>
      <c r="LSJ57" s="148"/>
      <c r="LSK57" s="148"/>
      <c r="LSL57" s="148"/>
      <c r="LSM57" s="148"/>
      <c r="LSN57" s="148"/>
      <c r="LSO57" s="148"/>
      <c r="LSP57" s="148"/>
      <c r="LSQ57" s="148"/>
      <c r="LSR57" s="148"/>
      <c r="LSS57" s="148"/>
      <c r="LST57" s="148"/>
      <c r="LSU57" s="148"/>
      <c r="LSV57" s="148"/>
      <c r="LSW57" s="148"/>
      <c r="LSX57" s="148"/>
      <c r="LSY57" s="148"/>
      <c r="LSZ57" s="148"/>
      <c r="LTA57" s="148"/>
      <c r="LTB57" s="148"/>
      <c r="LTC57" s="148"/>
      <c r="LTD57" s="148"/>
      <c r="LTE57" s="148"/>
      <c r="LTF57" s="148"/>
      <c r="LTG57" s="148"/>
      <c r="LTH57" s="148"/>
      <c r="LTI57" s="148"/>
      <c r="LTJ57" s="148"/>
      <c r="LTK57" s="148"/>
      <c r="LTL57" s="148"/>
      <c r="LTM57" s="148"/>
      <c r="LTN57" s="148"/>
      <c r="LTO57" s="148"/>
      <c r="LTP57" s="148"/>
      <c r="LTQ57" s="148"/>
      <c r="LTR57" s="148"/>
      <c r="LTS57" s="148"/>
      <c r="LTT57" s="148"/>
      <c r="LTU57" s="148"/>
      <c r="LTV57" s="148"/>
      <c r="LTW57" s="148"/>
      <c r="LTX57" s="148"/>
      <c r="LTY57" s="148"/>
      <c r="LTZ57" s="148"/>
      <c r="LUA57" s="148"/>
      <c r="LUB57" s="148"/>
      <c r="LUC57" s="148"/>
      <c r="LUD57" s="148"/>
      <c r="LUE57" s="148"/>
      <c r="LUF57" s="148"/>
      <c r="LUG57" s="148"/>
      <c r="LUH57" s="148"/>
      <c r="LUI57" s="148"/>
      <c r="LUJ57" s="148"/>
      <c r="LUK57" s="148"/>
      <c r="LUL57" s="148"/>
      <c r="LUM57" s="148"/>
      <c r="LUN57" s="148"/>
      <c r="LUO57" s="148"/>
      <c r="LUP57" s="148"/>
      <c r="LUQ57" s="148"/>
      <c r="LUR57" s="148"/>
      <c r="LUS57" s="148"/>
      <c r="LUT57" s="148"/>
      <c r="LUU57" s="148"/>
      <c r="LUV57" s="148"/>
      <c r="LUW57" s="148"/>
      <c r="LUX57" s="148"/>
      <c r="LUY57" s="148"/>
      <c r="LUZ57" s="148"/>
      <c r="LVA57" s="148"/>
      <c r="LVB57" s="148"/>
      <c r="LVC57" s="148"/>
      <c r="LVD57" s="148"/>
      <c r="LVE57" s="148"/>
      <c r="LVF57" s="148"/>
      <c r="LVG57" s="148"/>
      <c r="LVH57" s="148"/>
      <c r="LVI57" s="148"/>
      <c r="LVJ57" s="148"/>
      <c r="LVK57" s="148"/>
      <c r="LVL57" s="148"/>
      <c r="LVM57" s="148"/>
      <c r="LVN57" s="148"/>
      <c r="LVO57" s="148"/>
      <c r="LVP57" s="148"/>
      <c r="LVQ57" s="148"/>
      <c r="LVR57" s="148"/>
      <c r="LVS57" s="148"/>
      <c r="LVT57" s="148"/>
      <c r="LVU57" s="148"/>
      <c r="LVV57" s="148"/>
      <c r="LVW57" s="148"/>
      <c r="LVX57" s="148"/>
      <c r="LVY57" s="148"/>
      <c r="LVZ57" s="148"/>
      <c r="LWA57" s="148"/>
      <c r="LWB57" s="148"/>
      <c r="LWC57" s="148"/>
      <c r="LWD57" s="148"/>
      <c r="LWE57" s="148"/>
      <c r="LWF57" s="148"/>
      <c r="LWG57" s="148"/>
      <c r="LWH57" s="148"/>
      <c r="LWI57" s="148"/>
      <c r="LWJ57" s="148"/>
      <c r="LWK57" s="148"/>
      <c r="LWL57" s="148"/>
      <c r="LWM57" s="148"/>
      <c r="LWN57" s="148"/>
      <c r="LWO57" s="148"/>
      <c r="LWP57" s="148"/>
      <c r="LWQ57" s="148"/>
      <c r="LWR57" s="148"/>
      <c r="LWS57" s="148"/>
      <c r="LWT57" s="148"/>
      <c r="LWU57" s="148"/>
      <c r="LWV57" s="148"/>
      <c r="LWW57" s="148"/>
      <c r="LWX57" s="148"/>
      <c r="LWY57" s="148"/>
      <c r="LWZ57" s="148"/>
      <c r="LXA57" s="148"/>
      <c r="LXB57" s="148"/>
      <c r="LXC57" s="148"/>
      <c r="LXD57" s="148"/>
      <c r="LXE57" s="148"/>
      <c r="LXF57" s="148"/>
      <c r="LXG57" s="148"/>
      <c r="LXH57" s="148"/>
      <c r="LXI57" s="148"/>
      <c r="LXJ57" s="148"/>
      <c r="LXK57" s="148"/>
      <c r="LXL57" s="148"/>
      <c r="LXM57" s="148"/>
      <c r="LXN57" s="148"/>
      <c r="LXO57" s="148"/>
      <c r="LXP57" s="148"/>
      <c r="LXQ57" s="148"/>
      <c r="LXR57" s="148"/>
      <c r="LXS57" s="148"/>
      <c r="LXT57" s="148"/>
      <c r="LXU57" s="148"/>
      <c r="LXV57" s="148"/>
      <c r="LXW57" s="148"/>
      <c r="LXX57" s="148"/>
      <c r="LXY57" s="148"/>
      <c r="LXZ57" s="148"/>
      <c r="LYA57" s="148"/>
      <c r="LYB57" s="148"/>
      <c r="LYC57" s="148"/>
      <c r="LYD57" s="148"/>
      <c r="LYE57" s="148"/>
      <c r="LYF57" s="148"/>
      <c r="LYG57" s="148"/>
      <c r="LYH57" s="148"/>
      <c r="LYI57" s="148"/>
      <c r="LYJ57" s="148"/>
      <c r="LYK57" s="148"/>
      <c r="LYL57" s="148"/>
      <c r="LYM57" s="148"/>
      <c r="LYN57" s="148"/>
      <c r="LYO57" s="148"/>
      <c r="LYP57" s="148"/>
      <c r="LYQ57" s="148"/>
      <c r="LYR57" s="148"/>
      <c r="LYS57" s="148"/>
      <c r="LYT57" s="148"/>
      <c r="LYU57" s="148"/>
      <c r="LYV57" s="148"/>
      <c r="LYW57" s="148"/>
      <c r="LYX57" s="148"/>
      <c r="LYY57" s="148"/>
      <c r="LYZ57" s="148"/>
      <c r="LZA57" s="148"/>
      <c r="LZB57" s="148"/>
      <c r="LZC57" s="148"/>
      <c r="LZD57" s="148"/>
      <c r="LZE57" s="148"/>
      <c r="LZF57" s="148"/>
      <c r="LZG57" s="148"/>
      <c r="LZH57" s="148"/>
      <c r="LZI57" s="148"/>
      <c r="LZJ57" s="148"/>
      <c r="LZK57" s="148"/>
      <c r="LZL57" s="148"/>
      <c r="LZM57" s="148"/>
      <c r="LZN57" s="148"/>
      <c r="LZO57" s="148"/>
      <c r="LZP57" s="148"/>
      <c r="LZQ57" s="148"/>
      <c r="LZR57" s="148"/>
      <c r="LZS57" s="148"/>
      <c r="LZT57" s="148"/>
      <c r="LZU57" s="148"/>
      <c r="LZV57" s="148"/>
      <c r="LZW57" s="148"/>
      <c r="LZX57" s="148"/>
      <c r="LZY57" s="148"/>
      <c r="LZZ57" s="148"/>
      <c r="MAA57" s="148"/>
      <c r="MAB57" s="148"/>
      <c r="MAC57" s="148"/>
      <c r="MAD57" s="148"/>
      <c r="MAE57" s="148"/>
      <c r="MAF57" s="148"/>
      <c r="MAG57" s="148"/>
      <c r="MAH57" s="148"/>
      <c r="MAI57" s="148"/>
      <c r="MAJ57" s="148"/>
      <c r="MAK57" s="148"/>
      <c r="MAL57" s="148"/>
      <c r="MAM57" s="148"/>
      <c r="MAN57" s="148"/>
      <c r="MAO57" s="148"/>
      <c r="MAP57" s="148"/>
      <c r="MAQ57" s="148"/>
      <c r="MAR57" s="148"/>
      <c r="MAS57" s="148"/>
      <c r="MAT57" s="148"/>
      <c r="MAU57" s="148"/>
      <c r="MAV57" s="148"/>
      <c r="MAW57" s="148"/>
      <c r="MAX57" s="148"/>
      <c r="MAY57" s="148"/>
      <c r="MAZ57" s="148"/>
      <c r="MBA57" s="148"/>
      <c r="MBB57" s="148"/>
      <c r="MBC57" s="148"/>
      <c r="MBD57" s="148"/>
      <c r="MBE57" s="148"/>
      <c r="MBF57" s="148"/>
      <c r="MBG57" s="148"/>
      <c r="MBH57" s="148"/>
      <c r="MBI57" s="148"/>
      <c r="MBJ57" s="148"/>
      <c r="MBK57" s="148"/>
      <c r="MBL57" s="148"/>
      <c r="MBM57" s="148"/>
      <c r="MBN57" s="148"/>
      <c r="MBO57" s="148"/>
      <c r="MBP57" s="148"/>
      <c r="MBQ57" s="148"/>
      <c r="MBR57" s="148"/>
      <c r="MBS57" s="148"/>
      <c r="MBT57" s="148"/>
      <c r="MBU57" s="148"/>
      <c r="MBV57" s="148"/>
      <c r="MBW57" s="148"/>
      <c r="MBX57" s="148"/>
      <c r="MBY57" s="148"/>
      <c r="MBZ57" s="148"/>
      <c r="MCA57" s="148"/>
      <c r="MCB57" s="148"/>
      <c r="MCC57" s="148"/>
      <c r="MCD57" s="148"/>
      <c r="MCE57" s="148"/>
      <c r="MCF57" s="148"/>
      <c r="MCG57" s="148"/>
      <c r="MCH57" s="148"/>
      <c r="MCI57" s="148"/>
      <c r="MCJ57" s="148"/>
      <c r="MCK57" s="148"/>
      <c r="MCL57" s="148"/>
      <c r="MCM57" s="148"/>
      <c r="MCN57" s="148"/>
      <c r="MCO57" s="148"/>
      <c r="MCP57" s="148"/>
      <c r="MCQ57" s="148"/>
      <c r="MCR57" s="148"/>
      <c r="MCS57" s="148"/>
      <c r="MCT57" s="148"/>
      <c r="MCU57" s="148"/>
      <c r="MCV57" s="148"/>
      <c r="MCW57" s="148"/>
      <c r="MCX57" s="148"/>
      <c r="MCY57" s="148"/>
      <c r="MCZ57" s="148"/>
      <c r="MDA57" s="148"/>
      <c r="MDB57" s="148"/>
      <c r="MDC57" s="148"/>
      <c r="MDD57" s="148"/>
      <c r="MDE57" s="148"/>
      <c r="MDF57" s="148"/>
      <c r="MDG57" s="148"/>
      <c r="MDH57" s="148"/>
      <c r="MDI57" s="148"/>
      <c r="MDJ57" s="148"/>
      <c r="MDK57" s="148"/>
      <c r="MDL57" s="148"/>
      <c r="MDM57" s="148"/>
      <c r="MDN57" s="148"/>
      <c r="MDO57" s="148"/>
      <c r="MDP57" s="148"/>
      <c r="MDQ57" s="148"/>
      <c r="MDR57" s="148"/>
      <c r="MDS57" s="148"/>
      <c r="MDT57" s="148"/>
      <c r="MDU57" s="148"/>
      <c r="MDV57" s="148"/>
      <c r="MDW57" s="148"/>
      <c r="MDX57" s="148"/>
      <c r="MDY57" s="148"/>
      <c r="MDZ57" s="148"/>
      <c r="MEA57" s="148"/>
      <c r="MEB57" s="148"/>
      <c r="MEC57" s="148"/>
      <c r="MED57" s="148"/>
      <c r="MEE57" s="148"/>
      <c r="MEF57" s="148"/>
      <c r="MEG57" s="148"/>
      <c r="MEH57" s="148"/>
      <c r="MEI57" s="148"/>
      <c r="MEJ57" s="148"/>
      <c r="MEK57" s="148"/>
      <c r="MEL57" s="148"/>
      <c r="MEM57" s="148"/>
      <c r="MEN57" s="148"/>
      <c r="MEO57" s="148"/>
      <c r="MEP57" s="148"/>
      <c r="MEQ57" s="148"/>
      <c r="MER57" s="148"/>
      <c r="MES57" s="148"/>
      <c r="MET57" s="148"/>
      <c r="MEU57" s="148"/>
      <c r="MEV57" s="148"/>
      <c r="MEW57" s="148"/>
      <c r="MEX57" s="148"/>
      <c r="MEY57" s="148"/>
      <c r="MEZ57" s="148"/>
      <c r="MFA57" s="148"/>
      <c r="MFB57" s="148"/>
      <c r="MFC57" s="148"/>
      <c r="MFD57" s="148"/>
      <c r="MFE57" s="148"/>
      <c r="MFF57" s="148"/>
      <c r="MFG57" s="148"/>
      <c r="MFH57" s="148"/>
      <c r="MFI57" s="148"/>
      <c r="MFJ57" s="148"/>
      <c r="MFK57" s="148"/>
      <c r="MFL57" s="148"/>
      <c r="MFM57" s="148"/>
      <c r="MFN57" s="148"/>
      <c r="MFO57" s="148"/>
      <c r="MFP57" s="148"/>
      <c r="MFQ57" s="148"/>
      <c r="MFR57" s="148"/>
      <c r="MFS57" s="148"/>
      <c r="MFT57" s="148"/>
      <c r="MFU57" s="148"/>
      <c r="MFV57" s="148"/>
      <c r="MFW57" s="148"/>
      <c r="MFX57" s="148"/>
      <c r="MFY57" s="148"/>
      <c r="MFZ57" s="148"/>
      <c r="MGA57" s="148"/>
      <c r="MGB57" s="148"/>
      <c r="MGC57" s="148"/>
      <c r="MGD57" s="148"/>
      <c r="MGE57" s="148"/>
      <c r="MGF57" s="148"/>
      <c r="MGG57" s="148"/>
      <c r="MGH57" s="148"/>
      <c r="MGI57" s="148"/>
      <c r="MGJ57" s="148"/>
      <c r="MGK57" s="148"/>
      <c r="MGL57" s="148"/>
      <c r="MGM57" s="148"/>
      <c r="MGN57" s="148"/>
      <c r="MGO57" s="148"/>
      <c r="MGP57" s="148"/>
      <c r="MGQ57" s="148"/>
      <c r="MGR57" s="148"/>
      <c r="MGS57" s="148"/>
      <c r="MGT57" s="148"/>
      <c r="MGU57" s="148"/>
      <c r="MGV57" s="148"/>
      <c r="MGW57" s="148"/>
      <c r="MGX57" s="148"/>
      <c r="MGY57" s="148"/>
      <c r="MGZ57" s="148"/>
      <c r="MHA57" s="148"/>
      <c r="MHB57" s="148"/>
      <c r="MHC57" s="148"/>
      <c r="MHD57" s="148"/>
      <c r="MHE57" s="148"/>
      <c r="MHF57" s="148"/>
      <c r="MHG57" s="148"/>
      <c r="MHH57" s="148"/>
      <c r="MHI57" s="148"/>
      <c r="MHJ57" s="148"/>
      <c r="MHK57" s="148"/>
      <c r="MHL57" s="148"/>
      <c r="MHM57" s="148"/>
      <c r="MHN57" s="148"/>
      <c r="MHO57" s="148"/>
      <c r="MHP57" s="148"/>
      <c r="MHQ57" s="148"/>
      <c r="MHR57" s="148"/>
      <c r="MHS57" s="148"/>
      <c r="MHT57" s="148"/>
      <c r="MHU57" s="148"/>
      <c r="MHV57" s="148"/>
      <c r="MHW57" s="148"/>
      <c r="MHX57" s="148"/>
      <c r="MHY57" s="148"/>
      <c r="MHZ57" s="148"/>
      <c r="MIA57" s="148"/>
      <c r="MIB57" s="148"/>
      <c r="MIC57" s="148"/>
      <c r="MID57" s="148"/>
      <c r="MIE57" s="148"/>
      <c r="MIF57" s="148"/>
      <c r="MIG57" s="148"/>
      <c r="MIH57" s="148"/>
      <c r="MII57" s="148"/>
      <c r="MIJ57" s="148"/>
      <c r="MIK57" s="148"/>
      <c r="MIL57" s="148"/>
      <c r="MIM57" s="148"/>
      <c r="MIN57" s="148"/>
      <c r="MIO57" s="148"/>
      <c r="MIP57" s="148"/>
      <c r="MIQ57" s="148"/>
      <c r="MIR57" s="148"/>
      <c r="MIS57" s="148"/>
      <c r="MIT57" s="148"/>
      <c r="MIU57" s="148"/>
      <c r="MIV57" s="148"/>
      <c r="MIW57" s="148"/>
      <c r="MIX57" s="148"/>
      <c r="MIY57" s="148"/>
      <c r="MIZ57" s="148"/>
      <c r="MJA57" s="148"/>
      <c r="MJB57" s="148"/>
      <c r="MJC57" s="148"/>
      <c r="MJD57" s="148"/>
      <c r="MJE57" s="148"/>
      <c r="MJF57" s="148"/>
      <c r="MJG57" s="148"/>
      <c r="MJH57" s="148"/>
      <c r="MJI57" s="148"/>
      <c r="MJJ57" s="148"/>
      <c r="MJK57" s="148"/>
      <c r="MJL57" s="148"/>
      <c r="MJM57" s="148"/>
      <c r="MJN57" s="148"/>
      <c r="MJO57" s="148"/>
      <c r="MJP57" s="148"/>
      <c r="MJQ57" s="148"/>
      <c r="MJR57" s="148"/>
      <c r="MJS57" s="148"/>
      <c r="MJT57" s="148"/>
      <c r="MJU57" s="148"/>
      <c r="MJV57" s="148"/>
      <c r="MJW57" s="148"/>
      <c r="MJX57" s="148"/>
      <c r="MJY57" s="148"/>
      <c r="MJZ57" s="148"/>
      <c r="MKA57" s="148"/>
      <c r="MKB57" s="148"/>
      <c r="MKC57" s="148"/>
      <c r="MKD57" s="148"/>
      <c r="MKE57" s="148"/>
      <c r="MKF57" s="148"/>
      <c r="MKG57" s="148"/>
      <c r="MKH57" s="148"/>
      <c r="MKI57" s="148"/>
      <c r="MKJ57" s="148"/>
      <c r="MKK57" s="148"/>
      <c r="MKL57" s="148"/>
      <c r="MKM57" s="148"/>
      <c r="MKN57" s="148"/>
      <c r="MKO57" s="148"/>
      <c r="MKP57" s="148"/>
      <c r="MKQ57" s="148"/>
      <c r="MKR57" s="148"/>
      <c r="MKS57" s="148"/>
      <c r="MKT57" s="148"/>
      <c r="MKU57" s="148"/>
      <c r="MKV57" s="148"/>
      <c r="MKW57" s="148"/>
      <c r="MKX57" s="148"/>
      <c r="MKY57" s="148"/>
      <c r="MKZ57" s="148"/>
      <c r="MLA57" s="148"/>
      <c r="MLB57" s="148"/>
      <c r="MLC57" s="148"/>
      <c r="MLD57" s="148"/>
      <c r="MLE57" s="148"/>
      <c r="MLF57" s="148"/>
      <c r="MLG57" s="148"/>
      <c r="MLH57" s="148"/>
      <c r="MLI57" s="148"/>
      <c r="MLJ57" s="148"/>
      <c r="MLK57" s="148"/>
      <c r="MLL57" s="148"/>
      <c r="MLM57" s="148"/>
      <c r="MLN57" s="148"/>
      <c r="MLO57" s="148"/>
      <c r="MLP57" s="148"/>
      <c r="MLQ57" s="148"/>
      <c r="MLR57" s="148"/>
      <c r="MLS57" s="148"/>
      <c r="MLT57" s="148"/>
      <c r="MLU57" s="148"/>
      <c r="MLV57" s="148"/>
      <c r="MLW57" s="148"/>
      <c r="MLX57" s="148"/>
      <c r="MLY57" s="148"/>
      <c r="MLZ57" s="148"/>
      <c r="MMA57" s="148"/>
      <c r="MMB57" s="148"/>
      <c r="MMC57" s="148"/>
      <c r="MMD57" s="148"/>
      <c r="MME57" s="148"/>
      <c r="MMF57" s="148"/>
      <c r="MMG57" s="148"/>
      <c r="MMH57" s="148"/>
      <c r="MMI57" s="148"/>
      <c r="MMJ57" s="148"/>
      <c r="MMK57" s="148"/>
      <c r="MML57" s="148"/>
      <c r="MMM57" s="148"/>
      <c r="MMN57" s="148"/>
      <c r="MMO57" s="148"/>
      <c r="MMP57" s="148"/>
      <c r="MMQ57" s="148"/>
      <c r="MMR57" s="148"/>
      <c r="MMS57" s="148"/>
      <c r="MMT57" s="148"/>
      <c r="MMU57" s="148"/>
      <c r="MMV57" s="148"/>
      <c r="MMW57" s="148"/>
      <c r="MMX57" s="148"/>
      <c r="MMY57" s="148"/>
      <c r="MMZ57" s="148"/>
      <c r="MNA57" s="148"/>
      <c r="MNB57" s="148"/>
      <c r="MNC57" s="148"/>
      <c r="MND57" s="148"/>
      <c r="MNE57" s="148"/>
      <c r="MNF57" s="148"/>
      <c r="MNG57" s="148"/>
      <c r="MNH57" s="148"/>
      <c r="MNI57" s="148"/>
      <c r="MNJ57" s="148"/>
      <c r="MNK57" s="148"/>
      <c r="MNL57" s="148"/>
      <c r="MNM57" s="148"/>
      <c r="MNN57" s="148"/>
      <c r="MNO57" s="148"/>
      <c r="MNP57" s="148"/>
      <c r="MNQ57" s="148"/>
      <c r="MNR57" s="148"/>
      <c r="MNS57" s="148"/>
      <c r="MNT57" s="148"/>
      <c r="MNU57" s="148"/>
      <c r="MNV57" s="148"/>
      <c r="MNW57" s="148"/>
      <c r="MNX57" s="148"/>
      <c r="MNY57" s="148"/>
      <c r="MNZ57" s="148"/>
      <c r="MOA57" s="148"/>
      <c r="MOB57" s="148"/>
      <c r="MOC57" s="148"/>
      <c r="MOD57" s="148"/>
      <c r="MOE57" s="148"/>
      <c r="MOF57" s="148"/>
      <c r="MOG57" s="148"/>
      <c r="MOH57" s="148"/>
      <c r="MOI57" s="148"/>
      <c r="MOJ57" s="148"/>
      <c r="MOK57" s="148"/>
      <c r="MOL57" s="148"/>
      <c r="MOM57" s="148"/>
      <c r="MON57" s="148"/>
      <c r="MOO57" s="148"/>
      <c r="MOP57" s="148"/>
      <c r="MOQ57" s="148"/>
      <c r="MOR57" s="148"/>
      <c r="MOS57" s="148"/>
      <c r="MOT57" s="148"/>
      <c r="MOU57" s="148"/>
      <c r="MOV57" s="148"/>
      <c r="MOW57" s="148"/>
      <c r="MOX57" s="148"/>
      <c r="MOY57" s="148"/>
      <c r="MOZ57" s="148"/>
      <c r="MPA57" s="148"/>
      <c r="MPB57" s="148"/>
      <c r="MPC57" s="148"/>
      <c r="MPD57" s="148"/>
      <c r="MPE57" s="148"/>
      <c r="MPF57" s="148"/>
      <c r="MPG57" s="148"/>
      <c r="MPH57" s="148"/>
      <c r="MPI57" s="148"/>
      <c r="MPJ57" s="148"/>
      <c r="MPK57" s="148"/>
      <c r="MPL57" s="148"/>
      <c r="MPM57" s="148"/>
      <c r="MPN57" s="148"/>
      <c r="MPO57" s="148"/>
      <c r="MPP57" s="148"/>
      <c r="MPQ57" s="148"/>
      <c r="MPR57" s="148"/>
      <c r="MPS57" s="148"/>
      <c r="MPT57" s="148"/>
      <c r="MPU57" s="148"/>
      <c r="MPV57" s="148"/>
      <c r="MPW57" s="148"/>
      <c r="MPX57" s="148"/>
      <c r="MPY57" s="148"/>
      <c r="MPZ57" s="148"/>
      <c r="MQA57" s="148"/>
      <c r="MQB57" s="148"/>
      <c r="MQC57" s="148"/>
      <c r="MQD57" s="148"/>
      <c r="MQE57" s="148"/>
      <c r="MQF57" s="148"/>
      <c r="MQG57" s="148"/>
      <c r="MQH57" s="148"/>
      <c r="MQI57" s="148"/>
      <c r="MQJ57" s="148"/>
      <c r="MQK57" s="148"/>
      <c r="MQL57" s="148"/>
      <c r="MQM57" s="148"/>
      <c r="MQN57" s="148"/>
      <c r="MQO57" s="148"/>
      <c r="MQP57" s="148"/>
      <c r="MQQ57" s="148"/>
      <c r="MQR57" s="148"/>
      <c r="MQS57" s="148"/>
      <c r="MQT57" s="148"/>
      <c r="MQU57" s="148"/>
      <c r="MQV57" s="148"/>
      <c r="MQW57" s="148"/>
      <c r="MQX57" s="148"/>
      <c r="MQY57" s="148"/>
      <c r="MQZ57" s="148"/>
      <c r="MRA57" s="148"/>
      <c r="MRB57" s="148"/>
      <c r="MRC57" s="148"/>
      <c r="MRD57" s="148"/>
      <c r="MRE57" s="148"/>
      <c r="MRF57" s="148"/>
      <c r="MRG57" s="148"/>
      <c r="MRH57" s="148"/>
      <c r="MRI57" s="148"/>
      <c r="MRJ57" s="148"/>
      <c r="MRK57" s="148"/>
      <c r="MRL57" s="148"/>
      <c r="MRM57" s="148"/>
      <c r="MRN57" s="148"/>
      <c r="MRO57" s="148"/>
      <c r="MRP57" s="148"/>
      <c r="MRQ57" s="148"/>
      <c r="MRR57" s="148"/>
      <c r="MRS57" s="148"/>
      <c r="MRT57" s="148"/>
      <c r="MRU57" s="148"/>
      <c r="MRV57" s="148"/>
      <c r="MRW57" s="148"/>
      <c r="MRX57" s="148"/>
      <c r="MRY57" s="148"/>
      <c r="MRZ57" s="148"/>
      <c r="MSA57" s="148"/>
      <c r="MSB57" s="148"/>
      <c r="MSC57" s="148"/>
      <c r="MSD57" s="148"/>
      <c r="MSE57" s="148"/>
      <c r="MSF57" s="148"/>
      <c r="MSG57" s="148"/>
      <c r="MSH57" s="148"/>
      <c r="MSI57" s="148"/>
      <c r="MSJ57" s="148"/>
      <c r="MSK57" s="148"/>
      <c r="MSL57" s="148"/>
      <c r="MSM57" s="148"/>
      <c r="MSN57" s="148"/>
      <c r="MSO57" s="148"/>
      <c r="MSP57" s="148"/>
      <c r="MSQ57" s="148"/>
      <c r="MSR57" s="148"/>
      <c r="MSS57" s="148"/>
      <c r="MST57" s="148"/>
      <c r="MSU57" s="148"/>
      <c r="MSV57" s="148"/>
      <c r="MSW57" s="148"/>
      <c r="MSX57" s="148"/>
      <c r="MSY57" s="148"/>
      <c r="MSZ57" s="148"/>
      <c r="MTA57" s="148"/>
      <c r="MTB57" s="148"/>
      <c r="MTC57" s="148"/>
      <c r="MTD57" s="148"/>
      <c r="MTE57" s="148"/>
      <c r="MTF57" s="148"/>
      <c r="MTG57" s="148"/>
      <c r="MTH57" s="148"/>
      <c r="MTI57" s="148"/>
      <c r="MTJ57" s="148"/>
      <c r="MTK57" s="148"/>
      <c r="MTL57" s="148"/>
      <c r="MTM57" s="148"/>
      <c r="MTN57" s="148"/>
      <c r="MTO57" s="148"/>
      <c r="MTP57" s="148"/>
      <c r="MTQ57" s="148"/>
      <c r="MTR57" s="148"/>
      <c r="MTS57" s="148"/>
      <c r="MTT57" s="148"/>
      <c r="MTU57" s="148"/>
      <c r="MTV57" s="148"/>
      <c r="MTW57" s="148"/>
      <c r="MTX57" s="148"/>
      <c r="MTY57" s="148"/>
      <c r="MTZ57" s="148"/>
      <c r="MUA57" s="148"/>
      <c r="MUB57" s="148"/>
      <c r="MUC57" s="148"/>
      <c r="MUD57" s="148"/>
      <c r="MUE57" s="148"/>
      <c r="MUF57" s="148"/>
      <c r="MUG57" s="148"/>
      <c r="MUH57" s="148"/>
      <c r="MUI57" s="148"/>
      <c r="MUJ57" s="148"/>
      <c r="MUK57" s="148"/>
      <c r="MUL57" s="148"/>
      <c r="MUM57" s="148"/>
      <c r="MUN57" s="148"/>
      <c r="MUO57" s="148"/>
      <c r="MUP57" s="148"/>
      <c r="MUQ57" s="148"/>
      <c r="MUR57" s="148"/>
      <c r="MUS57" s="148"/>
      <c r="MUT57" s="148"/>
      <c r="MUU57" s="148"/>
      <c r="MUV57" s="148"/>
      <c r="MUW57" s="148"/>
      <c r="MUX57" s="148"/>
      <c r="MUY57" s="148"/>
      <c r="MUZ57" s="148"/>
      <c r="MVA57" s="148"/>
      <c r="MVB57" s="148"/>
      <c r="MVC57" s="148"/>
      <c r="MVD57" s="148"/>
      <c r="MVE57" s="148"/>
      <c r="MVF57" s="148"/>
      <c r="MVG57" s="148"/>
      <c r="MVH57" s="148"/>
      <c r="MVI57" s="148"/>
      <c r="MVJ57" s="148"/>
      <c r="MVK57" s="148"/>
      <c r="MVL57" s="148"/>
      <c r="MVM57" s="148"/>
      <c r="MVN57" s="148"/>
      <c r="MVO57" s="148"/>
      <c r="MVP57" s="148"/>
      <c r="MVQ57" s="148"/>
      <c r="MVR57" s="148"/>
      <c r="MVS57" s="148"/>
      <c r="MVT57" s="148"/>
      <c r="MVU57" s="148"/>
      <c r="MVV57" s="148"/>
      <c r="MVW57" s="148"/>
      <c r="MVX57" s="148"/>
      <c r="MVY57" s="148"/>
      <c r="MVZ57" s="148"/>
      <c r="MWA57" s="148"/>
      <c r="MWB57" s="148"/>
      <c r="MWC57" s="148"/>
      <c r="MWD57" s="148"/>
      <c r="MWE57" s="148"/>
      <c r="MWF57" s="148"/>
      <c r="MWG57" s="148"/>
      <c r="MWH57" s="148"/>
      <c r="MWI57" s="148"/>
      <c r="MWJ57" s="148"/>
      <c r="MWK57" s="148"/>
      <c r="MWL57" s="148"/>
      <c r="MWM57" s="148"/>
      <c r="MWN57" s="148"/>
      <c r="MWO57" s="148"/>
      <c r="MWP57" s="148"/>
      <c r="MWQ57" s="148"/>
      <c r="MWR57" s="148"/>
      <c r="MWS57" s="148"/>
      <c r="MWT57" s="148"/>
      <c r="MWU57" s="148"/>
      <c r="MWV57" s="148"/>
      <c r="MWW57" s="148"/>
      <c r="MWX57" s="148"/>
      <c r="MWY57" s="148"/>
      <c r="MWZ57" s="148"/>
      <c r="MXA57" s="148"/>
      <c r="MXB57" s="148"/>
      <c r="MXC57" s="148"/>
      <c r="MXD57" s="148"/>
      <c r="MXE57" s="148"/>
      <c r="MXF57" s="148"/>
      <c r="MXG57" s="148"/>
      <c r="MXH57" s="148"/>
      <c r="MXI57" s="148"/>
      <c r="MXJ57" s="148"/>
      <c r="MXK57" s="148"/>
      <c r="MXL57" s="148"/>
      <c r="MXM57" s="148"/>
      <c r="MXN57" s="148"/>
      <c r="MXO57" s="148"/>
      <c r="MXP57" s="148"/>
      <c r="MXQ57" s="148"/>
      <c r="MXR57" s="148"/>
      <c r="MXS57" s="148"/>
      <c r="MXT57" s="148"/>
      <c r="MXU57" s="148"/>
      <c r="MXV57" s="148"/>
      <c r="MXW57" s="148"/>
      <c r="MXX57" s="148"/>
      <c r="MXY57" s="148"/>
      <c r="MXZ57" s="148"/>
      <c r="MYA57" s="148"/>
      <c r="MYB57" s="148"/>
      <c r="MYC57" s="148"/>
      <c r="MYD57" s="148"/>
      <c r="MYE57" s="148"/>
      <c r="MYF57" s="148"/>
      <c r="MYG57" s="148"/>
      <c r="MYH57" s="148"/>
      <c r="MYI57" s="148"/>
      <c r="MYJ57" s="148"/>
      <c r="MYK57" s="148"/>
      <c r="MYL57" s="148"/>
      <c r="MYM57" s="148"/>
      <c r="MYN57" s="148"/>
      <c r="MYO57" s="148"/>
      <c r="MYP57" s="148"/>
      <c r="MYQ57" s="148"/>
      <c r="MYR57" s="148"/>
      <c r="MYS57" s="148"/>
      <c r="MYT57" s="148"/>
      <c r="MYU57" s="148"/>
      <c r="MYV57" s="148"/>
      <c r="MYW57" s="148"/>
      <c r="MYX57" s="148"/>
      <c r="MYY57" s="148"/>
      <c r="MYZ57" s="148"/>
      <c r="MZA57" s="148"/>
      <c r="MZB57" s="148"/>
      <c r="MZC57" s="148"/>
      <c r="MZD57" s="148"/>
      <c r="MZE57" s="148"/>
      <c r="MZF57" s="148"/>
      <c r="MZG57" s="148"/>
      <c r="MZH57" s="148"/>
      <c r="MZI57" s="148"/>
      <c r="MZJ57" s="148"/>
      <c r="MZK57" s="148"/>
      <c r="MZL57" s="148"/>
      <c r="MZM57" s="148"/>
      <c r="MZN57" s="148"/>
      <c r="MZO57" s="148"/>
      <c r="MZP57" s="148"/>
      <c r="MZQ57" s="148"/>
      <c r="MZR57" s="148"/>
      <c r="MZS57" s="148"/>
      <c r="MZT57" s="148"/>
      <c r="MZU57" s="148"/>
      <c r="MZV57" s="148"/>
      <c r="MZW57" s="148"/>
      <c r="MZX57" s="148"/>
      <c r="MZY57" s="148"/>
      <c r="MZZ57" s="148"/>
      <c r="NAA57" s="148"/>
      <c r="NAB57" s="148"/>
      <c r="NAC57" s="148"/>
      <c r="NAD57" s="148"/>
      <c r="NAE57" s="148"/>
      <c r="NAF57" s="148"/>
      <c r="NAG57" s="148"/>
      <c r="NAH57" s="148"/>
      <c r="NAI57" s="148"/>
      <c r="NAJ57" s="148"/>
      <c r="NAK57" s="148"/>
      <c r="NAL57" s="148"/>
      <c r="NAM57" s="148"/>
      <c r="NAN57" s="148"/>
      <c r="NAO57" s="148"/>
      <c r="NAP57" s="148"/>
      <c r="NAQ57" s="148"/>
      <c r="NAR57" s="148"/>
      <c r="NAS57" s="148"/>
      <c r="NAT57" s="148"/>
      <c r="NAU57" s="148"/>
      <c r="NAV57" s="148"/>
      <c r="NAW57" s="148"/>
      <c r="NAX57" s="148"/>
      <c r="NAY57" s="148"/>
      <c r="NAZ57" s="148"/>
      <c r="NBA57" s="148"/>
      <c r="NBB57" s="148"/>
      <c r="NBC57" s="148"/>
      <c r="NBD57" s="148"/>
      <c r="NBE57" s="148"/>
      <c r="NBF57" s="148"/>
      <c r="NBG57" s="148"/>
      <c r="NBH57" s="148"/>
      <c r="NBI57" s="148"/>
      <c r="NBJ57" s="148"/>
      <c r="NBK57" s="148"/>
      <c r="NBL57" s="148"/>
      <c r="NBM57" s="148"/>
      <c r="NBN57" s="148"/>
      <c r="NBO57" s="148"/>
      <c r="NBP57" s="148"/>
      <c r="NBQ57" s="148"/>
      <c r="NBR57" s="148"/>
      <c r="NBS57" s="148"/>
      <c r="NBT57" s="148"/>
      <c r="NBU57" s="148"/>
      <c r="NBV57" s="148"/>
      <c r="NBW57" s="148"/>
      <c r="NBX57" s="148"/>
      <c r="NBY57" s="148"/>
      <c r="NBZ57" s="148"/>
      <c r="NCA57" s="148"/>
      <c r="NCB57" s="148"/>
      <c r="NCC57" s="148"/>
      <c r="NCD57" s="148"/>
      <c r="NCE57" s="148"/>
      <c r="NCF57" s="148"/>
      <c r="NCG57" s="148"/>
      <c r="NCH57" s="148"/>
      <c r="NCI57" s="148"/>
      <c r="NCJ57" s="148"/>
      <c r="NCK57" s="148"/>
      <c r="NCL57" s="148"/>
      <c r="NCM57" s="148"/>
      <c r="NCN57" s="148"/>
      <c r="NCO57" s="148"/>
      <c r="NCP57" s="148"/>
      <c r="NCQ57" s="148"/>
      <c r="NCR57" s="148"/>
      <c r="NCS57" s="148"/>
      <c r="NCT57" s="148"/>
      <c r="NCU57" s="148"/>
      <c r="NCV57" s="148"/>
      <c r="NCW57" s="148"/>
      <c r="NCX57" s="148"/>
      <c r="NCY57" s="148"/>
      <c r="NCZ57" s="148"/>
      <c r="NDA57" s="148"/>
      <c r="NDB57" s="148"/>
      <c r="NDC57" s="148"/>
      <c r="NDD57" s="148"/>
      <c r="NDE57" s="148"/>
      <c r="NDF57" s="148"/>
      <c r="NDG57" s="148"/>
      <c r="NDH57" s="148"/>
      <c r="NDI57" s="148"/>
      <c r="NDJ57" s="148"/>
      <c r="NDK57" s="148"/>
      <c r="NDL57" s="148"/>
      <c r="NDM57" s="148"/>
      <c r="NDN57" s="148"/>
      <c r="NDO57" s="148"/>
      <c r="NDP57" s="148"/>
      <c r="NDQ57" s="148"/>
      <c r="NDR57" s="148"/>
      <c r="NDS57" s="148"/>
      <c r="NDT57" s="148"/>
      <c r="NDU57" s="148"/>
      <c r="NDV57" s="148"/>
      <c r="NDW57" s="148"/>
      <c r="NDX57" s="148"/>
      <c r="NDY57" s="148"/>
      <c r="NDZ57" s="148"/>
      <c r="NEA57" s="148"/>
      <c r="NEB57" s="148"/>
      <c r="NEC57" s="148"/>
      <c r="NED57" s="148"/>
      <c r="NEE57" s="148"/>
      <c r="NEF57" s="148"/>
      <c r="NEG57" s="148"/>
      <c r="NEH57" s="148"/>
      <c r="NEI57" s="148"/>
      <c r="NEJ57" s="148"/>
      <c r="NEK57" s="148"/>
      <c r="NEL57" s="148"/>
      <c r="NEM57" s="148"/>
      <c r="NEN57" s="148"/>
      <c r="NEO57" s="148"/>
      <c r="NEP57" s="148"/>
      <c r="NEQ57" s="148"/>
      <c r="NER57" s="148"/>
      <c r="NES57" s="148"/>
      <c r="NET57" s="148"/>
      <c r="NEU57" s="148"/>
      <c r="NEV57" s="148"/>
      <c r="NEW57" s="148"/>
      <c r="NEX57" s="148"/>
      <c r="NEY57" s="148"/>
      <c r="NEZ57" s="148"/>
      <c r="NFA57" s="148"/>
      <c r="NFB57" s="148"/>
      <c r="NFC57" s="148"/>
      <c r="NFD57" s="148"/>
      <c r="NFE57" s="148"/>
      <c r="NFF57" s="148"/>
      <c r="NFG57" s="148"/>
      <c r="NFH57" s="148"/>
      <c r="NFI57" s="148"/>
      <c r="NFJ57" s="148"/>
      <c r="NFK57" s="148"/>
      <c r="NFL57" s="148"/>
      <c r="NFM57" s="148"/>
      <c r="NFN57" s="148"/>
      <c r="NFO57" s="148"/>
      <c r="NFP57" s="148"/>
      <c r="NFQ57" s="148"/>
      <c r="NFR57" s="148"/>
      <c r="NFS57" s="148"/>
      <c r="NFT57" s="148"/>
      <c r="NFU57" s="148"/>
      <c r="NFV57" s="148"/>
      <c r="NFW57" s="148"/>
      <c r="NFX57" s="148"/>
      <c r="NFY57" s="148"/>
      <c r="NFZ57" s="148"/>
      <c r="NGA57" s="148"/>
      <c r="NGB57" s="148"/>
      <c r="NGC57" s="148"/>
      <c r="NGD57" s="148"/>
      <c r="NGE57" s="148"/>
      <c r="NGF57" s="148"/>
      <c r="NGG57" s="148"/>
      <c r="NGH57" s="148"/>
      <c r="NGI57" s="148"/>
      <c r="NGJ57" s="148"/>
      <c r="NGK57" s="148"/>
      <c r="NGL57" s="148"/>
      <c r="NGM57" s="148"/>
      <c r="NGN57" s="148"/>
      <c r="NGO57" s="148"/>
      <c r="NGP57" s="148"/>
      <c r="NGQ57" s="148"/>
      <c r="NGR57" s="148"/>
      <c r="NGS57" s="148"/>
      <c r="NGT57" s="148"/>
      <c r="NGU57" s="148"/>
      <c r="NGV57" s="148"/>
      <c r="NGW57" s="148"/>
      <c r="NGX57" s="148"/>
      <c r="NGY57" s="148"/>
      <c r="NGZ57" s="148"/>
      <c r="NHA57" s="148"/>
      <c r="NHB57" s="148"/>
      <c r="NHC57" s="148"/>
      <c r="NHD57" s="148"/>
      <c r="NHE57" s="148"/>
      <c r="NHF57" s="148"/>
      <c r="NHG57" s="148"/>
      <c r="NHH57" s="148"/>
      <c r="NHI57" s="148"/>
      <c r="NHJ57" s="148"/>
      <c r="NHK57" s="148"/>
      <c r="NHL57" s="148"/>
      <c r="NHM57" s="148"/>
      <c r="NHN57" s="148"/>
      <c r="NHO57" s="148"/>
      <c r="NHP57" s="148"/>
      <c r="NHQ57" s="148"/>
      <c r="NHR57" s="148"/>
      <c r="NHS57" s="148"/>
      <c r="NHT57" s="148"/>
      <c r="NHU57" s="148"/>
      <c r="NHV57" s="148"/>
      <c r="NHW57" s="148"/>
      <c r="NHX57" s="148"/>
      <c r="NHY57" s="148"/>
      <c r="NHZ57" s="148"/>
      <c r="NIA57" s="148"/>
      <c r="NIB57" s="148"/>
      <c r="NIC57" s="148"/>
      <c r="NID57" s="148"/>
      <c r="NIE57" s="148"/>
      <c r="NIF57" s="148"/>
      <c r="NIG57" s="148"/>
      <c r="NIH57" s="148"/>
      <c r="NII57" s="148"/>
      <c r="NIJ57" s="148"/>
      <c r="NIK57" s="148"/>
      <c r="NIL57" s="148"/>
      <c r="NIM57" s="148"/>
      <c r="NIN57" s="148"/>
      <c r="NIO57" s="148"/>
      <c r="NIP57" s="148"/>
      <c r="NIQ57" s="148"/>
      <c r="NIR57" s="148"/>
      <c r="NIS57" s="148"/>
      <c r="NIT57" s="148"/>
      <c r="NIU57" s="148"/>
      <c r="NIV57" s="148"/>
      <c r="NIW57" s="148"/>
      <c r="NIX57" s="148"/>
      <c r="NIY57" s="148"/>
      <c r="NIZ57" s="148"/>
      <c r="NJA57" s="148"/>
      <c r="NJB57" s="148"/>
      <c r="NJC57" s="148"/>
      <c r="NJD57" s="148"/>
      <c r="NJE57" s="148"/>
      <c r="NJF57" s="148"/>
      <c r="NJG57" s="148"/>
      <c r="NJH57" s="148"/>
      <c r="NJI57" s="148"/>
      <c r="NJJ57" s="148"/>
      <c r="NJK57" s="148"/>
      <c r="NJL57" s="148"/>
      <c r="NJM57" s="148"/>
      <c r="NJN57" s="148"/>
      <c r="NJO57" s="148"/>
      <c r="NJP57" s="148"/>
      <c r="NJQ57" s="148"/>
      <c r="NJR57" s="148"/>
      <c r="NJS57" s="148"/>
      <c r="NJT57" s="148"/>
      <c r="NJU57" s="148"/>
      <c r="NJV57" s="148"/>
      <c r="NJW57" s="148"/>
      <c r="NJX57" s="148"/>
      <c r="NJY57" s="148"/>
      <c r="NJZ57" s="148"/>
      <c r="NKA57" s="148"/>
      <c r="NKB57" s="148"/>
      <c r="NKC57" s="148"/>
      <c r="NKD57" s="148"/>
      <c r="NKE57" s="148"/>
      <c r="NKF57" s="148"/>
      <c r="NKG57" s="148"/>
      <c r="NKH57" s="148"/>
      <c r="NKI57" s="148"/>
      <c r="NKJ57" s="148"/>
      <c r="NKK57" s="148"/>
      <c r="NKL57" s="148"/>
      <c r="NKM57" s="148"/>
      <c r="NKN57" s="148"/>
      <c r="NKO57" s="148"/>
      <c r="NKP57" s="148"/>
      <c r="NKQ57" s="148"/>
      <c r="NKR57" s="148"/>
      <c r="NKS57" s="148"/>
      <c r="NKT57" s="148"/>
      <c r="NKU57" s="148"/>
      <c r="NKV57" s="148"/>
      <c r="NKW57" s="148"/>
      <c r="NKX57" s="148"/>
      <c r="NKY57" s="148"/>
      <c r="NKZ57" s="148"/>
      <c r="NLA57" s="148"/>
      <c r="NLB57" s="148"/>
      <c r="NLC57" s="148"/>
      <c r="NLD57" s="148"/>
      <c r="NLE57" s="148"/>
      <c r="NLF57" s="148"/>
      <c r="NLG57" s="148"/>
      <c r="NLH57" s="148"/>
      <c r="NLI57" s="148"/>
      <c r="NLJ57" s="148"/>
      <c r="NLK57" s="148"/>
      <c r="NLL57" s="148"/>
      <c r="NLM57" s="148"/>
      <c r="NLN57" s="148"/>
      <c r="NLO57" s="148"/>
      <c r="NLP57" s="148"/>
      <c r="NLQ57" s="148"/>
      <c r="NLR57" s="148"/>
      <c r="NLS57" s="148"/>
      <c r="NLT57" s="148"/>
      <c r="NLU57" s="148"/>
      <c r="NLV57" s="148"/>
      <c r="NLW57" s="148"/>
      <c r="NLX57" s="148"/>
      <c r="NLY57" s="148"/>
      <c r="NLZ57" s="148"/>
      <c r="NMA57" s="148"/>
      <c r="NMB57" s="148"/>
      <c r="NMC57" s="148"/>
      <c r="NMD57" s="148"/>
      <c r="NME57" s="148"/>
      <c r="NMF57" s="148"/>
      <c r="NMG57" s="148"/>
      <c r="NMH57" s="148"/>
      <c r="NMI57" s="148"/>
      <c r="NMJ57" s="148"/>
      <c r="NMK57" s="148"/>
      <c r="NML57" s="148"/>
      <c r="NMM57" s="148"/>
      <c r="NMN57" s="148"/>
      <c r="NMO57" s="148"/>
      <c r="NMP57" s="148"/>
      <c r="NMQ57" s="148"/>
      <c r="NMR57" s="148"/>
      <c r="NMS57" s="148"/>
      <c r="NMT57" s="148"/>
      <c r="NMU57" s="148"/>
      <c r="NMV57" s="148"/>
      <c r="NMW57" s="148"/>
      <c r="NMX57" s="148"/>
      <c r="NMY57" s="148"/>
      <c r="NMZ57" s="148"/>
      <c r="NNA57" s="148"/>
      <c r="NNB57" s="148"/>
      <c r="NNC57" s="148"/>
      <c r="NND57" s="148"/>
      <c r="NNE57" s="148"/>
      <c r="NNF57" s="148"/>
      <c r="NNG57" s="148"/>
      <c r="NNH57" s="148"/>
      <c r="NNI57" s="148"/>
      <c r="NNJ57" s="148"/>
      <c r="NNK57" s="148"/>
      <c r="NNL57" s="148"/>
      <c r="NNM57" s="148"/>
      <c r="NNN57" s="148"/>
      <c r="NNO57" s="148"/>
      <c r="NNP57" s="148"/>
      <c r="NNQ57" s="148"/>
      <c r="NNR57" s="148"/>
      <c r="NNS57" s="148"/>
      <c r="NNT57" s="148"/>
      <c r="NNU57" s="148"/>
      <c r="NNV57" s="148"/>
      <c r="NNW57" s="148"/>
      <c r="NNX57" s="148"/>
      <c r="NNY57" s="148"/>
      <c r="NNZ57" s="148"/>
      <c r="NOA57" s="148"/>
      <c r="NOB57" s="148"/>
      <c r="NOC57" s="148"/>
      <c r="NOD57" s="148"/>
      <c r="NOE57" s="148"/>
      <c r="NOF57" s="148"/>
      <c r="NOG57" s="148"/>
      <c r="NOH57" s="148"/>
      <c r="NOI57" s="148"/>
      <c r="NOJ57" s="148"/>
      <c r="NOK57" s="148"/>
      <c r="NOL57" s="148"/>
      <c r="NOM57" s="148"/>
      <c r="NON57" s="148"/>
      <c r="NOO57" s="148"/>
      <c r="NOP57" s="148"/>
      <c r="NOQ57" s="148"/>
      <c r="NOR57" s="148"/>
      <c r="NOS57" s="148"/>
      <c r="NOT57" s="148"/>
      <c r="NOU57" s="148"/>
      <c r="NOV57" s="148"/>
      <c r="NOW57" s="148"/>
      <c r="NOX57" s="148"/>
      <c r="NOY57" s="148"/>
      <c r="NOZ57" s="148"/>
      <c r="NPA57" s="148"/>
      <c r="NPB57" s="148"/>
      <c r="NPC57" s="148"/>
      <c r="NPD57" s="148"/>
      <c r="NPE57" s="148"/>
      <c r="NPF57" s="148"/>
      <c r="NPG57" s="148"/>
      <c r="NPH57" s="148"/>
      <c r="NPI57" s="148"/>
      <c r="NPJ57" s="148"/>
      <c r="NPK57" s="148"/>
      <c r="NPL57" s="148"/>
      <c r="NPM57" s="148"/>
      <c r="NPN57" s="148"/>
      <c r="NPO57" s="148"/>
      <c r="NPP57" s="148"/>
      <c r="NPQ57" s="148"/>
      <c r="NPR57" s="148"/>
      <c r="NPS57" s="148"/>
      <c r="NPT57" s="148"/>
      <c r="NPU57" s="148"/>
      <c r="NPV57" s="148"/>
      <c r="NPW57" s="148"/>
      <c r="NPX57" s="148"/>
      <c r="NPY57" s="148"/>
      <c r="NPZ57" s="148"/>
      <c r="NQA57" s="148"/>
      <c r="NQB57" s="148"/>
      <c r="NQC57" s="148"/>
      <c r="NQD57" s="148"/>
      <c r="NQE57" s="148"/>
      <c r="NQF57" s="148"/>
      <c r="NQG57" s="148"/>
      <c r="NQH57" s="148"/>
      <c r="NQI57" s="148"/>
      <c r="NQJ57" s="148"/>
      <c r="NQK57" s="148"/>
      <c r="NQL57" s="148"/>
      <c r="NQM57" s="148"/>
      <c r="NQN57" s="148"/>
      <c r="NQO57" s="148"/>
      <c r="NQP57" s="148"/>
      <c r="NQQ57" s="148"/>
      <c r="NQR57" s="148"/>
      <c r="NQS57" s="148"/>
      <c r="NQT57" s="148"/>
      <c r="NQU57" s="148"/>
      <c r="NQV57" s="148"/>
      <c r="NQW57" s="148"/>
      <c r="NQX57" s="148"/>
      <c r="NQY57" s="148"/>
      <c r="NQZ57" s="148"/>
      <c r="NRA57" s="148"/>
      <c r="NRB57" s="148"/>
      <c r="NRC57" s="148"/>
      <c r="NRD57" s="148"/>
      <c r="NRE57" s="148"/>
      <c r="NRF57" s="148"/>
      <c r="NRG57" s="148"/>
      <c r="NRH57" s="148"/>
      <c r="NRI57" s="148"/>
      <c r="NRJ57" s="148"/>
      <c r="NRK57" s="148"/>
      <c r="NRL57" s="148"/>
      <c r="NRM57" s="148"/>
      <c r="NRN57" s="148"/>
      <c r="NRO57" s="148"/>
      <c r="NRP57" s="148"/>
      <c r="NRQ57" s="148"/>
      <c r="NRR57" s="148"/>
      <c r="NRS57" s="148"/>
      <c r="NRT57" s="148"/>
      <c r="NRU57" s="148"/>
      <c r="NRV57" s="148"/>
      <c r="NRW57" s="148"/>
      <c r="NRX57" s="148"/>
      <c r="NRY57" s="148"/>
      <c r="NRZ57" s="148"/>
      <c r="NSA57" s="148"/>
      <c r="NSB57" s="148"/>
      <c r="NSC57" s="148"/>
      <c r="NSD57" s="148"/>
      <c r="NSE57" s="148"/>
      <c r="NSF57" s="148"/>
      <c r="NSG57" s="148"/>
      <c r="NSH57" s="148"/>
      <c r="NSI57" s="148"/>
      <c r="NSJ57" s="148"/>
      <c r="NSK57" s="148"/>
      <c r="NSL57" s="148"/>
      <c r="NSM57" s="148"/>
      <c r="NSN57" s="148"/>
      <c r="NSO57" s="148"/>
      <c r="NSP57" s="148"/>
      <c r="NSQ57" s="148"/>
      <c r="NSR57" s="148"/>
      <c r="NSS57" s="148"/>
      <c r="NST57" s="148"/>
      <c r="NSU57" s="148"/>
      <c r="NSV57" s="148"/>
      <c r="NSW57" s="148"/>
      <c r="NSX57" s="148"/>
      <c r="NSY57" s="148"/>
      <c r="NSZ57" s="148"/>
      <c r="NTA57" s="148"/>
      <c r="NTB57" s="148"/>
      <c r="NTC57" s="148"/>
      <c r="NTD57" s="148"/>
      <c r="NTE57" s="148"/>
      <c r="NTF57" s="148"/>
      <c r="NTG57" s="148"/>
      <c r="NTH57" s="148"/>
      <c r="NTI57" s="148"/>
      <c r="NTJ57" s="148"/>
      <c r="NTK57" s="148"/>
      <c r="NTL57" s="148"/>
      <c r="NTM57" s="148"/>
      <c r="NTN57" s="148"/>
      <c r="NTO57" s="148"/>
      <c r="NTP57" s="148"/>
      <c r="NTQ57" s="148"/>
      <c r="NTR57" s="148"/>
      <c r="NTS57" s="148"/>
      <c r="NTT57" s="148"/>
      <c r="NTU57" s="148"/>
      <c r="NTV57" s="148"/>
      <c r="NTW57" s="148"/>
      <c r="NTX57" s="148"/>
      <c r="NTY57" s="148"/>
      <c r="NTZ57" s="148"/>
      <c r="NUA57" s="148"/>
      <c r="NUB57" s="148"/>
      <c r="NUC57" s="148"/>
      <c r="NUD57" s="148"/>
      <c r="NUE57" s="148"/>
      <c r="NUF57" s="148"/>
      <c r="NUG57" s="148"/>
      <c r="NUH57" s="148"/>
      <c r="NUI57" s="148"/>
      <c r="NUJ57" s="148"/>
      <c r="NUK57" s="148"/>
      <c r="NUL57" s="148"/>
      <c r="NUM57" s="148"/>
      <c r="NUN57" s="148"/>
      <c r="NUO57" s="148"/>
      <c r="NUP57" s="148"/>
      <c r="NUQ57" s="148"/>
      <c r="NUR57" s="148"/>
      <c r="NUS57" s="148"/>
      <c r="NUT57" s="148"/>
      <c r="NUU57" s="148"/>
      <c r="NUV57" s="148"/>
      <c r="NUW57" s="148"/>
      <c r="NUX57" s="148"/>
      <c r="NUY57" s="148"/>
      <c r="NUZ57" s="148"/>
      <c r="NVA57" s="148"/>
      <c r="NVB57" s="148"/>
      <c r="NVC57" s="148"/>
      <c r="NVD57" s="148"/>
      <c r="NVE57" s="148"/>
      <c r="NVF57" s="148"/>
      <c r="NVG57" s="148"/>
      <c r="NVH57" s="148"/>
      <c r="NVI57" s="148"/>
      <c r="NVJ57" s="148"/>
      <c r="NVK57" s="148"/>
      <c r="NVL57" s="148"/>
      <c r="NVM57" s="148"/>
      <c r="NVN57" s="148"/>
      <c r="NVO57" s="148"/>
      <c r="NVP57" s="148"/>
      <c r="NVQ57" s="148"/>
      <c r="NVR57" s="148"/>
      <c r="NVS57" s="148"/>
      <c r="NVT57" s="148"/>
      <c r="NVU57" s="148"/>
      <c r="NVV57" s="148"/>
      <c r="NVW57" s="148"/>
      <c r="NVX57" s="148"/>
      <c r="NVY57" s="148"/>
      <c r="NVZ57" s="148"/>
      <c r="NWA57" s="148"/>
      <c r="NWB57" s="148"/>
      <c r="NWC57" s="148"/>
      <c r="NWD57" s="148"/>
      <c r="NWE57" s="148"/>
      <c r="NWF57" s="148"/>
      <c r="NWG57" s="148"/>
      <c r="NWH57" s="148"/>
      <c r="NWI57" s="148"/>
      <c r="NWJ57" s="148"/>
      <c r="NWK57" s="148"/>
      <c r="NWL57" s="148"/>
      <c r="NWM57" s="148"/>
      <c r="NWN57" s="148"/>
      <c r="NWO57" s="148"/>
      <c r="NWP57" s="148"/>
      <c r="NWQ57" s="148"/>
      <c r="NWR57" s="148"/>
      <c r="NWS57" s="148"/>
      <c r="NWT57" s="148"/>
      <c r="NWU57" s="148"/>
      <c r="NWV57" s="148"/>
      <c r="NWW57" s="148"/>
      <c r="NWX57" s="148"/>
      <c r="NWY57" s="148"/>
      <c r="NWZ57" s="148"/>
      <c r="NXA57" s="148"/>
      <c r="NXB57" s="148"/>
      <c r="NXC57" s="148"/>
      <c r="NXD57" s="148"/>
      <c r="NXE57" s="148"/>
      <c r="NXF57" s="148"/>
      <c r="NXG57" s="148"/>
      <c r="NXH57" s="148"/>
      <c r="NXI57" s="148"/>
      <c r="NXJ57" s="148"/>
      <c r="NXK57" s="148"/>
      <c r="NXL57" s="148"/>
      <c r="NXM57" s="148"/>
      <c r="NXN57" s="148"/>
      <c r="NXO57" s="148"/>
      <c r="NXP57" s="148"/>
      <c r="NXQ57" s="148"/>
      <c r="NXR57" s="148"/>
      <c r="NXS57" s="148"/>
      <c r="NXT57" s="148"/>
      <c r="NXU57" s="148"/>
      <c r="NXV57" s="148"/>
      <c r="NXW57" s="148"/>
      <c r="NXX57" s="148"/>
      <c r="NXY57" s="148"/>
      <c r="NXZ57" s="148"/>
      <c r="NYA57" s="148"/>
      <c r="NYB57" s="148"/>
      <c r="NYC57" s="148"/>
      <c r="NYD57" s="148"/>
      <c r="NYE57" s="148"/>
      <c r="NYF57" s="148"/>
      <c r="NYG57" s="148"/>
      <c r="NYH57" s="148"/>
      <c r="NYI57" s="148"/>
      <c r="NYJ57" s="148"/>
      <c r="NYK57" s="148"/>
      <c r="NYL57" s="148"/>
      <c r="NYM57" s="148"/>
      <c r="NYN57" s="148"/>
      <c r="NYO57" s="148"/>
      <c r="NYP57" s="148"/>
      <c r="NYQ57" s="148"/>
      <c r="NYR57" s="148"/>
      <c r="NYS57" s="148"/>
      <c r="NYT57" s="148"/>
      <c r="NYU57" s="148"/>
      <c r="NYV57" s="148"/>
      <c r="NYW57" s="148"/>
      <c r="NYX57" s="148"/>
      <c r="NYY57" s="148"/>
      <c r="NYZ57" s="148"/>
      <c r="NZA57" s="148"/>
      <c r="NZB57" s="148"/>
      <c r="NZC57" s="148"/>
      <c r="NZD57" s="148"/>
      <c r="NZE57" s="148"/>
      <c r="NZF57" s="148"/>
      <c r="NZG57" s="148"/>
      <c r="NZH57" s="148"/>
      <c r="NZI57" s="148"/>
      <c r="NZJ57" s="148"/>
      <c r="NZK57" s="148"/>
      <c r="NZL57" s="148"/>
      <c r="NZM57" s="148"/>
      <c r="NZN57" s="148"/>
      <c r="NZO57" s="148"/>
      <c r="NZP57" s="148"/>
      <c r="NZQ57" s="148"/>
      <c r="NZR57" s="148"/>
      <c r="NZS57" s="148"/>
      <c r="NZT57" s="148"/>
      <c r="NZU57" s="148"/>
      <c r="NZV57" s="148"/>
      <c r="NZW57" s="148"/>
      <c r="NZX57" s="148"/>
      <c r="NZY57" s="148"/>
      <c r="NZZ57" s="148"/>
      <c r="OAA57" s="148"/>
      <c r="OAB57" s="148"/>
      <c r="OAC57" s="148"/>
      <c r="OAD57" s="148"/>
      <c r="OAE57" s="148"/>
      <c r="OAF57" s="148"/>
      <c r="OAG57" s="148"/>
      <c r="OAH57" s="148"/>
      <c r="OAI57" s="148"/>
      <c r="OAJ57" s="148"/>
      <c r="OAK57" s="148"/>
      <c r="OAL57" s="148"/>
      <c r="OAM57" s="148"/>
      <c r="OAN57" s="148"/>
      <c r="OAO57" s="148"/>
      <c r="OAP57" s="148"/>
      <c r="OAQ57" s="148"/>
      <c r="OAR57" s="148"/>
      <c r="OAS57" s="148"/>
      <c r="OAT57" s="148"/>
      <c r="OAU57" s="148"/>
      <c r="OAV57" s="148"/>
      <c r="OAW57" s="148"/>
      <c r="OAX57" s="148"/>
      <c r="OAY57" s="148"/>
      <c r="OAZ57" s="148"/>
      <c r="OBA57" s="148"/>
      <c r="OBB57" s="148"/>
      <c r="OBC57" s="148"/>
      <c r="OBD57" s="148"/>
      <c r="OBE57" s="148"/>
      <c r="OBF57" s="148"/>
      <c r="OBG57" s="148"/>
      <c r="OBH57" s="148"/>
      <c r="OBI57" s="148"/>
      <c r="OBJ57" s="148"/>
      <c r="OBK57" s="148"/>
      <c r="OBL57" s="148"/>
      <c r="OBM57" s="148"/>
      <c r="OBN57" s="148"/>
      <c r="OBO57" s="148"/>
      <c r="OBP57" s="148"/>
      <c r="OBQ57" s="148"/>
      <c r="OBR57" s="148"/>
      <c r="OBS57" s="148"/>
      <c r="OBT57" s="148"/>
      <c r="OBU57" s="148"/>
      <c r="OBV57" s="148"/>
      <c r="OBW57" s="148"/>
      <c r="OBX57" s="148"/>
      <c r="OBY57" s="148"/>
      <c r="OBZ57" s="148"/>
      <c r="OCA57" s="148"/>
      <c r="OCB57" s="148"/>
      <c r="OCC57" s="148"/>
      <c r="OCD57" s="148"/>
      <c r="OCE57" s="148"/>
      <c r="OCF57" s="148"/>
      <c r="OCG57" s="148"/>
      <c r="OCH57" s="148"/>
      <c r="OCI57" s="148"/>
      <c r="OCJ57" s="148"/>
      <c r="OCK57" s="148"/>
      <c r="OCL57" s="148"/>
      <c r="OCM57" s="148"/>
      <c r="OCN57" s="148"/>
      <c r="OCO57" s="148"/>
      <c r="OCP57" s="148"/>
      <c r="OCQ57" s="148"/>
      <c r="OCR57" s="148"/>
      <c r="OCS57" s="148"/>
      <c r="OCT57" s="148"/>
      <c r="OCU57" s="148"/>
      <c r="OCV57" s="148"/>
      <c r="OCW57" s="148"/>
      <c r="OCX57" s="148"/>
      <c r="OCY57" s="148"/>
      <c r="OCZ57" s="148"/>
      <c r="ODA57" s="148"/>
      <c r="ODB57" s="148"/>
      <c r="ODC57" s="148"/>
      <c r="ODD57" s="148"/>
      <c r="ODE57" s="148"/>
      <c r="ODF57" s="148"/>
      <c r="ODG57" s="148"/>
      <c r="ODH57" s="148"/>
      <c r="ODI57" s="148"/>
      <c r="ODJ57" s="148"/>
      <c r="ODK57" s="148"/>
      <c r="ODL57" s="148"/>
      <c r="ODM57" s="148"/>
      <c r="ODN57" s="148"/>
      <c r="ODO57" s="148"/>
      <c r="ODP57" s="148"/>
      <c r="ODQ57" s="148"/>
      <c r="ODR57" s="148"/>
      <c r="ODS57" s="148"/>
      <c r="ODT57" s="148"/>
      <c r="ODU57" s="148"/>
      <c r="ODV57" s="148"/>
      <c r="ODW57" s="148"/>
      <c r="ODX57" s="148"/>
      <c r="ODY57" s="148"/>
      <c r="ODZ57" s="148"/>
      <c r="OEA57" s="148"/>
      <c r="OEB57" s="148"/>
      <c r="OEC57" s="148"/>
      <c r="OED57" s="148"/>
      <c r="OEE57" s="148"/>
      <c r="OEF57" s="148"/>
      <c r="OEG57" s="148"/>
      <c r="OEH57" s="148"/>
      <c r="OEI57" s="148"/>
      <c r="OEJ57" s="148"/>
      <c r="OEK57" s="148"/>
      <c r="OEL57" s="148"/>
      <c r="OEM57" s="148"/>
      <c r="OEN57" s="148"/>
      <c r="OEO57" s="148"/>
      <c r="OEP57" s="148"/>
      <c r="OEQ57" s="148"/>
      <c r="OER57" s="148"/>
      <c r="OES57" s="148"/>
      <c r="OET57" s="148"/>
      <c r="OEU57" s="148"/>
      <c r="OEV57" s="148"/>
      <c r="OEW57" s="148"/>
      <c r="OEX57" s="148"/>
      <c r="OEY57" s="148"/>
      <c r="OEZ57" s="148"/>
      <c r="OFA57" s="148"/>
      <c r="OFB57" s="148"/>
      <c r="OFC57" s="148"/>
      <c r="OFD57" s="148"/>
      <c r="OFE57" s="148"/>
      <c r="OFF57" s="148"/>
      <c r="OFG57" s="148"/>
      <c r="OFH57" s="148"/>
      <c r="OFI57" s="148"/>
      <c r="OFJ57" s="148"/>
      <c r="OFK57" s="148"/>
      <c r="OFL57" s="148"/>
      <c r="OFM57" s="148"/>
      <c r="OFN57" s="148"/>
      <c r="OFO57" s="148"/>
      <c r="OFP57" s="148"/>
      <c r="OFQ57" s="148"/>
      <c r="OFR57" s="148"/>
      <c r="OFS57" s="148"/>
      <c r="OFT57" s="148"/>
      <c r="OFU57" s="148"/>
      <c r="OFV57" s="148"/>
      <c r="OFW57" s="148"/>
      <c r="OFX57" s="148"/>
      <c r="OFY57" s="148"/>
      <c r="OFZ57" s="148"/>
      <c r="OGA57" s="148"/>
      <c r="OGB57" s="148"/>
      <c r="OGC57" s="148"/>
      <c r="OGD57" s="148"/>
      <c r="OGE57" s="148"/>
      <c r="OGF57" s="148"/>
      <c r="OGG57" s="148"/>
      <c r="OGH57" s="148"/>
      <c r="OGI57" s="148"/>
      <c r="OGJ57" s="148"/>
      <c r="OGK57" s="148"/>
      <c r="OGL57" s="148"/>
      <c r="OGM57" s="148"/>
      <c r="OGN57" s="148"/>
      <c r="OGO57" s="148"/>
      <c r="OGP57" s="148"/>
      <c r="OGQ57" s="148"/>
      <c r="OGR57" s="148"/>
      <c r="OGS57" s="148"/>
      <c r="OGT57" s="148"/>
      <c r="OGU57" s="148"/>
      <c r="OGV57" s="148"/>
      <c r="OGW57" s="148"/>
      <c r="OGX57" s="148"/>
      <c r="OGY57" s="148"/>
      <c r="OGZ57" s="148"/>
      <c r="OHA57" s="148"/>
      <c r="OHB57" s="148"/>
      <c r="OHC57" s="148"/>
      <c r="OHD57" s="148"/>
      <c r="OHE57" s="148"/>
      <c r="OHF57" s="148"/>
      <c r="OHG57" s="148"/>
      <c r="OHH57" s="148"/>
      <c r="OHI57" s="148"/>
      <c r="OHJ57" s="148"/>
      <c r="OHK57" s="148"/>
      <c r="OHL57" s="148"/>
      <c r="OHM57" s="148"/>
      <c r="OHN57" s="148"/>
      <c r="OHO57" s="148"/>
      <c r="OHP57" s="148"/>
      <c r="OHQ57" s="148"/>
      <c r="OHR57" s="148"/>
      <c r="OHS57" s="148"/>
      <c r="OHT57" s="148"/>
      <c r="OHU57" s="148"/>
      <c r="OHV57" s="148"/>
      <c r="OHW57" s="148"/>
      <c r="OHX57" s="148"/>
      <c r="OHY57" s="148"/>
      <c r="OHZ57" s="148"/>
      <c r="OIA57" s="148"/>
      <c r="OIB57" s="148"/>
      <c r="OIC57" s="148"/>
      <c r="OID57" s="148"/>
      <c r="OIE57" s="148"/>
      <c r="OIF57" s="148"/>
      <c r="OIG57" s="148"/>
      <c r="OIH57" s="148"/>
      <c r="OII57" s="148"/>
      <c r="OIJ57" s="148"/>
      <c r="OIK57" s="148"/>
      <c r="OIL57" s="148"/>
      <c r="OIM57" s="148"/>
      <c r="OIN57" s="148"/>
      <c r="OIO57" s="148"/>
      <c r="OIP57" s="148"/>
      <c r="OIQ57" s="148"/>
      <c r="OIR57" s="148"/>
      <c r="OIS57" s="148"/>
      <c r="OIT57" s="148"/>
      <c r="OIU57" s="148"/>
      <c r="OIV57" s="148"/>
      <c r="OIW57" s="148"/>
      <c r="OIX57" s="148"/>
      <c r="OIY57" s="148"/>
      <c r="OIZ57" s="148"/>
      <c r="OJA57" s="148"/>
      <c r="OJB57" s="148"/>
      <c r="OJC57" s="148"/>
      <c r="OJD57" s="148"/>
      <c r="OJE57" s="148"/>
      <c r="OJF57" s="148"/>
      <c r="OJG57" s="148"/>
      <c r="OJH57" s="148"/>
      <c r="OJI57" s="148"/>
      <c r="OJJ57" s="148"/>
      <c r="OJK57" s="148"/>
      <c r="OJL57" s="148"/>
      <c r="OJM57" s="148"/>
      <c r="OJN57" s="148"/>
      <c r="OJO57" s="148"/>
      <c r="OJP57" s="148"/>
      <c r="OJQ57" s="148"/>
      <c r="OJR57" s="148"/>
      <c r="OJS57" s="148"/>
      <c r="OJT57" s="148"/>
      <c r="OJU57" s="148"/>
      <c r="OJV57" s="148"/>
      <c r="OJW57" s="148"/>
      <c r="OJX57" s="148"/>
      <c r="OJY57" s="148"/>
      <c r="OJZ57" s="148"/>
      <c r="OKA57" s="148"/>
      <c r="OKB57" s="148"/>
      <c r="OKC57" s="148"/>
      <c r="OKD57" s="148"/>
      <c r="OKE57" s="148"/>
      <c r="OKF57" s="148"/>
      <c r="OKG57" s="148"/>
      <c r="OKH57" s="148"/>
      <c r="OKI57" s="148"/>
      <c r="OKJ57" s="148"/>
      <c r="OKK57" s="148"/>
      <c r="OKL57" s="148"/>
      <c r="OKM57" s="148"/>
      <c r="OKN57" s="148"/>
      <c r="OKO57" s="148"/>
      <c r="OKP57" s="148"/>
      <c r="OKQ57" s="148"/>
      <c r="OKR57" s="148"/>
      <c r="OKS57" s="148"/>
      <c r="OKT57" s="148"/>
      <c r="OKU57" s="148"/>
      <c r="OKV57" s="148"/>
      <c r="OKW57" s="148"/>
      <c r="OKX57" s="148"/>
      <c r="OKY57" s="148"/>
      <c r="OKZ57" s="148"/>
      <c r="OLA57" s="148"/>
      <c r="OLB57" s="148"/>
      <c r="OLC57" s="148"/>
      <c r="OLD57" s="148"/>
      <c r="OLE57" s="148"/>
      <c r="OLF57" s="148"/>
      <c r="OLG57" s="148"/>
      <c r="OLH57" s="148"/>
      <c r="OLI57" s="148"/>
      <c r="OLJ57" s="148"/>
      <c r="OLK57" s="148"/>
      <c r="OLL57" s="148"/>
      <c r="OLM57" s="148"/>
      <c r="OLN57" s="148"/>
      <c r="OLO57" s="148"/>
      <c r="OLP57" s="148"/>
      <c r="OLQ57" s="148"/>
      <c r="OLR57" s="148"/>
      <c r="OLS57" s="148"/>
      <c r="OLT57" s="148"/>
      <c r="OLU57" s="148"/>
      <c r="OLV57" s="148"/>
      <c r="OLW57" s="148"/>
      <c r="OLX57" s="148"/>
      <c r="OLY57" s="148"/>
      <c r="OLZ57" s="148"/>
      <c r="OMA57" s="148"/>
      <c r="OMB57" s="148"/>
      <c r="OMC57" s="148"/>
      <c r="OMD57" s="148"/>
      <c r="OME57" s="148"/>
      <c r="OMF57" s="148"/>
      <c r="OMG57" s="148"/>
      <c r="OMH57" s="148"/>
      <c r="OMI57" s="148"/>
      <c r="OMJ57" s="148"/>
      <c r="OMK57" s="148"/>
      <c r="OML57" s="148"/>
      <c r="OMM57" s="148"/>
      <c r="OMN57" s="148"/>
      <c r="OMO57" s="148"/>
      <c r="OMP57" s="148"/>
      <c r="OMQ57" s="148"/>
      <c r="OMR57" s="148"/>
      <c r="OMS57" s="148"/>
      <c r="OMT57" s="148"/>
      <c r="OMU57" s="148"/>
      <c r="OMV57" s="148"/>
      <c r="OMW57" s="148"/>
      <c r="OMX57" s="148"/>
      <c r="OMY57" s="148"/>
      <c r="OMZ57" s="148"/>
      <c r="ONA57" s="148"/>
      <c r="ONB57" s="148"/>
      <c r="ONC57" s="148"/>
      <c r="OND57" s="148"/>
      <c r="ONE57" s="148"/>
      <c r="ONF57" s="148"/>
      <c r="ONG57" s="148"/>
      <c r="ONH57" s="148"/>
      <c r="ONI57" s="148"/>
      <c r="ONJ57" s="148"/>
      <c r="ONK57" s="148"/>
      <c r="ONL57" s="148"/>
      <c r="ONM57" s="148"/>
      <c r="ONN57" s="148"/>
      <c r="ONO57" s="148"/>
      <c r="ONP57" s="148"/>
      <c r="ONQ57" s="148"/>
      <c r="ONR57" s="148"/>
      <c r="ONS57" s="148"/>
      <c r="ONT57" s="148"/>
      <c r="ONU57" s="148"/>
      <c r="ONV57" s="148"/>
      <c r="ONW57" s="148"/>
      <c r="ONX57" s="148"/>
      <c r="ONY57" s="148"/>
      <c r="ONZ57" s="148"/>
      <c r="OOA57" s="148"/>
      <c r="OOB57" s="148"/>
      <c r="OOC57" s="148"/>
      <c r="OOD57" s="148"/>
      <c r="OOE57" s="148"/>
      <c r="OOF57" s="148"/>
      <c r="OOG57" s="148"/>
      <c r="OOH57" s="148"/>
      <c r="OOI57" s="148"/>
      <c r="OOJ57" s="148"/>
      <c r="OOK57" s="148"/>
      <c r="OOL57" s="148"/>
      <c r="OOM57" s="148"/>
      <c r="OON57" s="148"/>
      <c r="OOO57" s="148"/>
      <c r="OOP57" s="148"/>
      <c r="OOQ57" s="148"/>
      <c r="OOR57" s="148"/>
      <c r="OOS57" s="148"/>
      <c r="OOT57" s="148"/>
      <c r="OOU57" s="148"/>
      <c r="OOV57" s="148"/>
      <c r="OOW57" s="148"/>
      <c r="OOX57" s="148"/>
      <c r="OOY57" s="148"/>
      <c r="OOZ57" s="148"/>
      <c r="OPA57" s="148"/>
      <c r="OPB57" s="148"/>
      <c r="OPC57" s="148"/>
      <c r="OPD57" s="148"/>
      <c r="OPE57" s="148"/>
      <c r="OPF57" s="148"/>
      <c r="OPG57" s="148"/>
      <c r="OPH57" s="148"/>
      <c r="OPI57" s="148"/>
      <c r="OPJ57" s="148"/>
      <c r="OPK57" s="148"/>
      <c r="OPL57" s="148"/>
      <c r="OPM57" s="148"/>
      <c r="OPN57" s="148"/>
      <c r="OPO57" s="148"/>
      <c r="OPP57" s="148"/>
      <c r="OPQ57" s="148"/>
      <c r="OPR57" s="148"/>
      <c r="OPS57" s="148"/>
      <c r="OPT57" s="148"/>
      <c r="OPU57" s="148"/>
      <c r="OPV57" s="148"/>
      <c r="OPW57" s="148"/>
      <c r="OPX57" s="148"/>
      <c r="OPY57" s="148"/>
      <c r="OPZ57" s="148"/>
      <c r="OQA57" s="148"/>
      <c r="OQB57" s="148"/>
      <c r="OQC57" s="148"/>
      <c r="OQD57" s="148"/>
      <c r="OQE57" s="148"/>
      <c r="OQF57" s="148"/>
      <c r="OQG57" s="148"/>
      <c r="OQH57" s="148"/>
      <c r="OQI57" s="148"/>
      <c r="OQJ57" s="148"/>
      <c r="OQK57" s="148"/>
      <c r="OQL57" s="148"/>
      <c r="OQM57" s="148"/>
      <c r="OQN57" s="148"/>
      <c r="OQO57" s="148"/>
      <c r="OQP57" s="148"/>
      <c r="OQQ57" s="148"/>
      <c r="OQR57" s="148"/>
      <c r="OQS57" s="148"/>
      <c r="OQT57" s="148"/>
      <c r="OQU57" s="148"/>
      <c r="OQV57" s="148"/>
      <c r="OQW57" s="148"/>
      <c r="OQX57" s="148"/>
      <c r="OQY57" s="148"/>
      <c r="OQZ57" s="148"/>
      <c r="ORA57" s="148"/>
      <c r="ORB57" s="148"/>
      <c r="ORC57" s="148"/>
      <c r="ORD57" s="148"/>
      <c r="ORE57" s="148"/>
      <c r="ORF57" s="148"/>
      <c r="ORG57" s="148"/>
      <c r="ORH57" s="148"/>
      <c r="ORI57" s="148"/>
      <c r="ORJ57" s="148"/>
      <c r="ORK57" s="148"/>
      <c r="ORL57" s="148"/>
      <c r="ORM57" s="148"/>
      <c r="ORN57" s="148"/>
      <c r="ORO57" s="148"/>
      <c r="ORP57" s="148"/>
      <c r="ORQ57" s="148"/>
      <c r="ORR57" s="148"/>
      <c r="ORS57" s="148"/>
      <c r="ORT57" s="148"/>
      <c r="ORU57" s="148"/>
      <c r="ORV57" s="148"/>
      <c r="ORW57" s="148"/>
      <c r="ORX57" s="148"/>
      <c r="ORY57" s="148"/>
      <c r="ORZ57" s="148"/>
      <c r="OSA57" s="148"/>
      <c r="OSB57" s="148"/>
      <c r="OSC57" s="148"/>
      <c r="OSD57" s="148"/>
      <c r="OSE57" s="148"/>
      <c r="OSF57" s="148"/>
      <c r="OSG57" s="148"/>
      <c r="OSH57" s="148"/>
      <c r="OSI57" s="148"/>
      <c r="OSJ57" s="148"/>
      <c r="OSK57" s="148"/>
      <c r="OSL57" s="148"/>
      <c r="OSM57" s="148"/>
      <c r="OSN57" s="148"/>
      <c r="OSO57" s="148"/>
      <c r="OSP57" s="148"/>
      <c r="OSQ57" s="148"/>
      <c r="OSR57" s="148"/>
      <c r="OSS57" s="148"/>
      <c r="OST57" s="148"/>
      <c r="OSU57" s="148"/>
      <c r="OSV57" s="148"/>
      <c r="OSW57" s="148"/>
      <c r="OSX57" s="148"/>
      <c r="OSY57" s="148"/>
      <c r="OSZ57" s="148"/>
      <c r="OTA57" s="148"/>
      <c r="OTB57" s="148"/>
      <c r="OTC57" s="148"/>
      <c r="OTD57" s="148"/>
      <c r="OTE57" s="148"/>
      <c r="OTF57" s="148"/>
      <c r="OTG57" s="148"/>
      <c r="OTH57" s="148"/>
      <c r="OTI57" s="148"/>
      <c r="OTJ57" s="148"/>
      <c r="OTK57" s="148"/>
      <c r="OTL57" s="148"/>
      <c r="OTM57" s="148"/>
      <c r="OTN57" s="148"/>
      <c r="OTO57" s="148"/>
      <c r="OTP57" s="148"/>
      <c r="OTQ57" s="148"/>
      <c r="OTR57" s="148"/>
      <c r="OTS57" s="148"/>
      <c r="OTT57" s="148"/>
      <c r="OTU57" s="148"/>
      <c r="OTV57" s="148"/>
      <c r="OTW57" s="148"/>
      <c r="OTX57" s="148"/>
      <c r="OTY57" s="148"/>
      <c r="OTZ57" s="148"/>
      <c r="OUA57" s="148"/>
      <c r="OUB57" s="148"/>
      <c r="OUC57" s="148"/>
      <c r="OUD57" s="148"/>
      <c r="OUE57" s="148"/>
      <c r="OUF57" s="148"/>
      <c r="OUG57" s="148"/>
      <c r="OUH57" s="148"/>
      <c r="OUI57" s="148"/>
      <c r="OUJ57" s="148"/>
      <c r="OUK57" s="148"/>
      <c r="OUL57" s="148"/>
      <c r="OUM57" s="148"/>
      <c r="OUN57" s="148"/>
      <c r="OUO57" s="148"/>
      <c r="OUP57" s="148"/>
      <c r="OUQ57" s="148"/>
      <c r="OUR57" s="148"/>
      <c r="OUS57" s="148"/>
      <c r="OUT57" s="148"/>
      <c r="OUU57" s="148"/>
      <c r="OUV57" s="148"/>
      <c r="OUW57" s="148"/>
      <c r="OUX57" s="148"/>
      <c r="OUY57" s="148"/>
      <c r="OUZ57" s="148"/>
      <c r="OVA57" s="148"/>
      <c r="OVB57" s="148"/>
      <c r="OVC57" s="148"/>
      <c r="OVD57" s="148"/>
      <c r="OVE57" s="148"/>
      <c r="OVF57" s="148"/>
      <c r="OVG57" s="148"/>
      <c r="OVH57" s="148"/>
      <c r="OVI57" s="148"/>
      <c r="OVJ57" s="148"/>
      <c r="OVK57" s="148"/>
      <c r="OVL57" s="148"/>
      <c r="OVM57" s="148"/>
      <c r="OVN57" s="148"/>
      <c r="OVO57" s="148"/>
      <c r="OVP57" s="148"/>
      <c r="OVQ57" s="148"/>
      <c r="OVR57" s="148"/>
      <c r="OVS57" s="148"/>
      <c r="OVT57" s="148"/>
      <c r="OVU57" s="148"/>
      <c r="OVV57" s="148"/>
      <c r="OVW57" s="148"/>
      <c r="OVX57" s="148"/>
      <c r="OVY57" s="148"/>
      <c r="OVZ57" s="148"/>
      <c r="OWA57" s="148"/>
      <c r="OWB57" s="148"/>
      <c r="OWC57" s="148"/>
      <c r="OWD57" s="148"/>
      <c r="OWE57" s="148"/>
      <c r="OWF57" s="148"/>
      <c r="OWG57" s="148"/>
      <c r="OWH57" s="148"/>
      <c r="OWI57" s="148"/>
      <c r="OWJ57" s="148"/>
      <c r="OWK57" s="148"/>
      <c r="OWL57" s="148"/>
      <c r="OWM57" s="148"/>
      <c r="OWN57" s="148"/>
      <c r="OWO57" s="148"/>
      <c r="OWP57" s="148"/>
      <c r="OWQ57" s="148"/>
      <c r="OWR57" s="148"/>
      <c r="OWS57" s="148"/>
      <c r="OWT57" s="148"/>
      <c r="OWU57" s="148"/>
      <c r="OWV57" s="148"/>
      <c r="OWW57" s="148"/>
      <c r="OWX57" s="148"/>
      <c r="OWY57" s="148"/>
      <c r="OWZ57" s="148"/>
      <c r="OXA57" s="148"/>
      <c r="OXB57" s="148"/>
      <c r="OXC57" s="148"/>
      <c r="OXD57" s="148"/>
      <c r="OXE57" s="148"/>
      <c r="OXF57" s="148"/>
      <c r="OXG57" s="148"/>
      <c r="OXH57" s="148"/>
      <c r="OXI57" s="148"/>
      <c r="OXJ57" s="148"/>
      <c r="OXK57" s="148"/>
      <c r="OXL57" s="148"/>
      <c r="OXM57" s="148"/>
      <c r="OXN57" s="148"/>
      <c r="OXO57" s="148"/>
      <c r="OXP57" s="148"/>
      <c r="OXQ57" s="148"/>
      <c r="OXR57" s="148"/>
      <c r="OXS57" s="148"/>
      <c r="OXT57" s="148"/>
      <c r="OXU57" s="148"/>
      <c r="OXV57" s="148"/>
      <c r="OXW57" s="148"/>
      <c r="OXX57" s="148"/>
      <c r="OXY57" s="148"/>
      <c r="OXZ57" s="148"/>
      <c r="OYA57" s="148"/>
      <c r="OYB57" s="148"/>
      <c r="OYC57" s="148"/>
      <c r="OYD57" s="148"/>
      <c r="OYE57" s="148"/>
      <c r="OYF57" s="148"/>
      <c r="OYG57" s="148"/>
      <c r="OYH57" s="148"/>
      <c r="OYI57" s="148"/>
      <c r="OYJ57" s="148"/>
      <c r="OYK57" s="148"/>
      <c r="OYL57" s="148"/>
      <c r="OYM57" s="148"/>
      <c r="OYN57" s="148"/>
      <c r="OYO57" s="148"/>
      <c r="OYP57" s="148"/>
      <c r="OYQ57" s="148"/>
      <c r="OYR57" s="148"/>
      <c r="OYS57" s="148"/>
      <c r="OYT57" s="148"/>
      <c r="OYU57" s="148"/>
      <c r="OYV57" s="148"/>
      <c r="OYW57" s="148"/>
      <c r="OYX57" s="148"/>
      <c r="OYY57" s="148"/>
      <c r="OYZ57" s="148"/>
      <c r="OZA57" s="148"/>
      <c r="OZB57" s="148"/>
      <c r="OZC57" s="148"/>
      <c r="OZD57" s="148"/>
      <c r="OZE57" s="148"/>
      <c r="OZF57" s="148"/>
      <c r="OZG57" s="148"/>
      <c r="OZH57" s="148"/>
      <c r="OZI57" s="148"/>
      <c r="OZJ57" s="148"/>
      <c r="OZK57" s="148"/>
      <c r="OZL57" s="148"/>
      <c r="OZM57" s="148"/>
      <c r="OZN57" s="148"/>
      <c r="OZO57" s="148"/>
      <c r="OZP57" s="148"/>
      <c r="OZQ57" s="148"/>
      <c r="OZR57" s="148"/>
      <c r="OZS57" s="148"/>
      <c r="OZT57" s="148"/>
      <c r="OZU57" s="148"/>
      <c r="OZV57" s="148"/>
      <c r="OZW57" s="148"/>
      <c r="OZX57" s="148"/>
      <c r="OZY57" s="148"/>
      <c r="OZZ57" s="148"/>
      <c r="PAA57" s="148"/>
      <c r="PAB57" s="148"/>
      <c r="PAC57" s="148"/>
      <c r="PAD57" s="148"/>
      <c r="PAE57" s="148"/>
      <c r="PAF57" s="148"/>
      <c r="PAG57" s="148"/>
      <c r="PAH57" s="148"/>
      <c r="PAI57" s="148"/>
      <c r="PAJ57" s="148"/>
      <c r="PAK57" s="148"/>
      <c r="PAL57" s="148"/>
      <c r="PAM57" s="148"/>
      <c r="PAN57" s="148"/>
      <c r="PAO57" s="148"/>
      <c r="PAP57" s="148"/>
      <c r="PAQ57" s="148"/>
      <c r="PAR57" s="148"/>
      <c r="PAS57" s="148"/>
      <c r="PAT57" s="148"/>
      <c r="PAU57" s="148"/>
      <c r="PAV57" s="148"/>
      <c r="PAW57" s="148"/>
      <c r="PAX57" s="148"/>
      <c r="PAY57" s="148"/>
      <c r="PAZ57" s="148"/>
      <c r="PBA57" s="148"/>
      <c r="PBB57" s="148"/>
      <c r="PBC57" s="148"/>
      <c r="PBD57" s="148"/>
      <c r="PBE57" s="148"/>
      <c r="PBF57" s="148"/>
      <c r="PBG57" s="148"/>
      <c r="PBH57" s="148"/>
      <c r="PBI57" s="148"/>
      <c r="PBJ57" s="148"/>
      <c r="PBK57" s="148"/>
      <c r="PBL57" s="148"/>
      <c r="PBM57" s="148"/>
      <c r="PBN57" s="148"/>
      <c r="PBO57" s="148"/>
      <c r="PBP57" s="148"/>
      <c r="PBQ57" s="148"/>
      <c r="PBR57" s="148"/>
      <c r="PBS57" s="148"/>
      <c r="PBT57" s="148"/>
      <c r="PBU57" s="148"/>
      <c r="PBV57" s="148"/>
      <c r="PBW57" s="148"/>
      <c r="PBX57" s="148"/>
      <c r="PBY57" s="148"/>
      <c r="PBZ57" s="148"/>
      <c r="PCA57" s="148"/>
      <c r="PCB57" s="148"/>
      <c r="PCC57" s="148"/>
      <c r="PCD57" s="148"/>
      <c r="PCE57" s="148"/>
      <c r="PCF57" s="148"/>
      <c r="PCG57" s="148"/>
      <c r="PCH57" s="148"/>
      <c r="PCI57" s="148"/>
      <c r="PCJ57" s="148"/>
      <c r="PCK57" s="148"/>
      <c r="PCL57" s="148"/>
      <c r="PCM57" s="148"/>
      <c r="PCN57" s="148"/>
      <c r="PCO57" s="148"/>
      <c r="PCP57" s="148"/>
      <c r="PCQ57" s="148"/>
      <c r="PCR57" s="148"/>
      <c r="PCS57" s="148"/>
      <c r="PCT57" s="148"/>
      <c r="PCU57" s="148"/>
      <c r="PCV57" s="148"/>
      <c r="PCW57" s="148"/>
      <c r="PCX57" s="148"/>
      <c r="PCY57" s="148"/>
      <c r="PCZ57" s="148"/>
      <c r="PDA57" s="148"/>
      <c r="PDB57" s="148"/>
      <c r="PDC57" s="148"/>
      <c r="PDD57" s="148"/>
      <c r="PDE57" s="148"/>
      <c r="PDF57" s="148"/>
      <c r="PDG57" s="148"/>
      <c r="PDH57" s="148"/>
      <c r="PDI57" s="148"/>
      <c r="PDJ57" s="148"/>
      <c r="PDK57" s="148"/>
      <c r="PDL57" s="148"/>
      <c r="PDM57" s="148"/>
      <c r="PDN57" s="148"/>
      <c r="PDO57" s="148"/>
      <c r="PDP57" s="148"/>
      <c r="PDQ57" s="148"/>
      <c r="PDR57" s="148"/>
      <c r="PDS57" s="148"/>
      <c r="PDT57" s="148"/>
      <c r="PDU57" s="148"/>
      <c r="PDV57" s="148"/>
      <c r="PDW57" s="148"/>
      <c r="PDX57" s="148"/>
      <c r="PDY57" s="148"/>
      <c r="PDZ57" s="148"/>
      <c r="PEA57" s="148"/>
      <c r="PEB57" s="148"/>
      <c r="PEC57" s="148"/>
      <c r="PED57" s="148"/>
      <c r="PEE57" s="148"/>
      <c r="PEF57" s="148"/>
      <c r="PEG57" s="148"/>
      <c r="PEH57" s="148"/>
      <c r="PEI57" s="148"/>
      <c r="PEJ57" s="148"/>
      <c r="PEK57" s="148"/>
      <c r="PEL57" s="148"/>
      <c r="PEM57" s="148"/>
      <c r="PEN57" s="148"/>
      <c r="PEO57" s="148"/>
      <c r="PEP57" s="148"/>
      <c r="PEQ57" s="148"/>
      <c r="PER57" s="148"/>
      <c r="PES57" s="148"/>
      <c r="PET57" s="148"/>
      <c r="PEU57" s="148"/>
      <c r="PEV57" s="148"/>
      <c r="PEW57" s="148"/>
      <c r="PEX57" s="148"/>
      <c r="PEY57" s="148"/>
      <c r="PEZ57" s="148"/>
      <c r="PFA57" s="148"/>
      <c r="PFB57" s="148"/>
      <c r="PFC57" s="148"/>
      <c r="PFD57" s="148"/>
      <c r="PFE57" s="148"/>
      <c r="PFF57" s="148"/>
      <c r="PFG57" s="148"/>
      <c r="PFH57" s="148"/>
      <c r="PFI57" s="148"/>
      <c r="PFJ57" s="148"/>
      <c r="PFK57" s="148"/>
      <c r="PFL57" s="148"/>
      <c r="PFM57" s="148"/>
      <c r="PFN57" s="148"/>
      <c r="PFO57" s="148"/>
      <c r="PFP57" s="148"/>
      <c r="PFQ57" s="148"/>
      <c r="PFR57" s="148"/>
      <c r="PFS57" s="148"/>
      <c r="PFT57" s="148"/>
      <c r="PFU57" s="148"/>
      <c r="PFV57" s="148"/>
      <c r="PFW57" s="148"/>
      <c r="PFX57" s="148"/>
      <c r="PFY57" s="148"/>
      <c r="PFZ57" s="148"/>
      <c r="PGA57" s="148"/>
      <c r="PGB57" s="148"/>
      <c r="PGC57" s="148"/>
      <c r="PGD57" s="148"/>
      <c r="PGE57" s="148"/>
      <c r="PGF57" s="148"/>
      <c r="PGG57" s="148"/>
      <c r="PGH57" s="148"/>
      <c r="PGI57" s="148"/>
      <c r="PGJ57" s="148"/>
      <c r="PGK57" s="148"/>
      <c r="PGL57" s="148"/>
      <c r="PGM57" s="148"/>
      <c r="PGN57" s="148"/>
      <c r="PGO57" s="148"/>
      <c r="PGP57" s="148"/>
      <c r="PGQ57" s="148"/>
      <c r="PGR57" s="148"/>
      <c r="PGS57" s="148"/>
      <c r="PGT57" s="148"/>
      <c r="PGU57" s="148"/>
      <c r="PGV57" s="148"/>
      <c r="PGW57" s="148"/>
      <c r="PGX57" s="148"/>
      <c r="PGY57" s="148"/>
      <c r="PGZ57" s="148"/>
      <c r="PHA57" s="148"/>
      <c r="PHB57" s="148"/>
      <c r="PHC57" s="148"/>
      <c r="PHD57" s="148"/>
      <c r="PHE57" s="148"/>
      <c r="PHF57" s="148"/>
      <c r="PHG57" s="148"/>
      <c r="PHH57" s="148"/>
      <c r="PHI57" s="148"/>
      <c r="PHJ57" s="148"/>
      <c r="PHK57" s="148"/>
      <c r="PHL57" s="148"/>
      <c r="PHM57" s="148"/>
      <c r="PHN57" s="148"/>
      <c r="PHO57" s="148"/>
      <c r="PHP57" s="148"/>
      <c r="PHQ57" s="148"/>
      <c r="PHR57" s="148"/>
      <c r="PHS57" s="148"/>
      <c r="PHT57" s="148"/>
      <c r="PHU57" s="148"/>
      <c r="PHV57" s="148"/>
      <c r="PHW57" s="148"/>
      <c r="PHX57" s="148"/>
      <c r="PHY57" s="148"/>
      <c r="PHZ57" s="148"/>
      <c r="PIA57" s="148"/>
      <c r="PIB57" s="148"/>
      <c r="PIC57" s="148"/>
      <c r="PID57" s="148"/>
      <c r="PIE57" s="148"/>
      <c r="PIF57" s="148"/>
      <c r="PIG57" s="148"/>
      <c r="PIH57" s="148"/>
      <c r="PII57" s="148"/>
      <c r="PIJ57" s="148"/>
      <c r="PIK57" s="148"/>
      <c r="PIL57" s="148"/>
      <c r="PIM57" s="148"/>
      <c r="PIN57" s="148"/>
      <c r="PIO57" s="148"/>
      <c r="PIP57" s="148"/>
      <c r="PIQ57" s="148"/>
      <c r="PIR57" s="148"/>
      <c r="PIS57" s="148"/>
      <c r="PIT57" s="148"/>
      <c r="PIU57" s="148"/>
      <c r="PIV57" s="148"/>
      <c r="PIW57" s="148"/>
      <c r="PIX57" s="148"/>
      <c r="PIY57" s="148"/>
      <c r="PIZ57" s="148"/>
      <c r="PJA57" s="148"/>
      <c r="PJB57" s="148"/>
      <c r="PJC57" s="148"/>
      <c r="PJD57" s="148"/>
      <c r="PJE57" s="148"/>
      <c r="PJF57" s="148"/>
      <c r="PJG57" s="148"/>
      <c r="PJH57" s="148"/>
      <c r="PJI57" s="148"/>
      <c r="PJJ57" s="148"/>
      <c r="PJK57" s="148"/>
      <c r="PJL57" s="148"/>
      <c r="PJM57" s="148"/>
      <c r="PJN57" s="148"/>
      <c r="PJO57" s="148"/>
      <c r="PJP57" s="148"/>
      <c r="PJQ57" s="148"/>
      <c r="PJR57" s="148"/>
      <c r="PJS57" s="148"/>
      <c r="PJT57" s="148"/>
      <c r="PJU57" s="148"/>
      <c r="PJV57" s="148"/>
      <c r="PJW57" s="148"/>
      <c r="PJX57" s="148"/>
      <c r="PJY57" s="148"/>
      <c r="PJZ57" s="148"/>
      <c r="PKA57" s="148"/>
      <c r="PKB57" s="148"/>
      <c r="PKC57" s="148"/>
      <c r="PKD57" s="148"/>
      <c r="PKE57" s="148"/>
      <c r="PKF57" s="148"/>
      <c r="PKG57" s="148"/>
      <c r="PKH57" s="148"/>
      <c r="PKI57" s="148"/>
      <c r="PKJ57" s="148"/>
      <c r="PKK57" s="148"/>
      <c r="PKL57" s="148"/>
      <c r="PKM57" s="148"/>
      <c r="PKN57" s="148"/>
      <c r="PKO57" s="148"/>
      <c r="PKP57" s="148"/>
      <c r="PKQ57" s="148"/>
      <c r="PKR57" s="148"/>
      <c r="PKS57" s="148"/>
      <c r="PKT57" s="148"/>
      <c r="PKU57" s="148"/>
      <c r="PKV57" s="148"/>
      <c r="PKW57" s="148"/>
      <c r="PKX57" s="148"/>
      <c r="PKY57" s="148"/>
      <c r="PKZ57" s="148"/>
      <c r="PLA57" s="148"/>
      <c r="PLB57" s="148"/>
      <c r="PLC57" s="148"/>
      <c r="PLD57" s="148"/>
      <c r="PLE57" s="148"/>
      <c r="PLF57" s="148"/>
      <c r="PLG57" s="148"/>
      <c r="PLH57" s="148"/>
      <c r="PLI57" s="148"/>
      <c r="PLJ57" s="148"/>
      <c r="PLK57" s="148"/>
      <c r="PLL57" s="148"/>
      <c r="PLM57" s="148"/>
      <c r="PLN57" s="148"/>
      <c r="PLO57" s="148"/>
      <c r="PLP57" s="148"/>
      <c r="PLQ57" s="148"/>
      <c r="PLR57" s="148"/>
      <c r="PLS57" s="148"/>
      <c r="PLT57" s="148"/>
      <c r="PLU57" s="148"/>
      <c r="PLV57" s="148"/>
      <c r="PLW57" s="148"/>
      <c r="PLX57" s="148"/>
      <c r="PLY57" s="148"/>
      <c r="PLZ57" s="148"/>
      <c r="PMA57" s="148"/>
      <c r="PMB57" s="148"/>
      <c r="PMC57" s="148"/>
      <c r="PMD57" s="148"/>
      <c r="PME57" s="148"/>
      <c r="PMF57" s="148"/>
      <c r="PMG57" s="148"/>
      <c r="PMH57" s="148"/>
      <c r="PMI57" s="148"/>
      <c r="PMJ57" s="148"/>
      <c r="PMK57" s="148"/>
      <c r="PML57" s="148"/>
      <c r="PMM57" s="148"/>
      <c r="PMN57" s="148"/>
      <c r="PMO57" s="148"/>
      <c r="PMP57" s="148"/>
      <c r="PMQ57" s="148"/>
      <c r="PMR57" s="148"/>
      <c r="PMS57" s="148"/>
      <c r="PMT57" s="148"/>
      <c r="PMU57" s="148"/>
      <c r="PMV57" s="148"/>
      <c r="PMW57" s="148"/>
      <c r="PMX57" s="148"/>
      <c r="PMY57" s="148"/>
      <c r="PMZ57" s="148"/>
      <c r="PNA57" s="148"/>
      <c r="PNB57" s="148"/>
      <c r="PNC57" s="148"/>
      <c r="PND57" s="148"/>
      <c r="PNE57" s="148"/>
      <c r="PNF57" s="148"/>
      <c r="PNG57" s="148"/>
      <c r="PNH57" s="148"/>
      <c r="PNI57" s="148"/>
      <c r="PNJ57" s="148"/>
      <c r="PNK57" s="148"/>
      <c r="PNL57" s="148"/>
      <c r="PNM57" s="148"/>
      <c r="PNN57" s="148"/>
      <c r="PNO57" s="148"/>
      <c r="PNP57" s="148"/>
      <c r="PNQ57" s="148"/>
      <c r="PNR57" s="148"/>
      <c r="PNS57" s="148"/>
      <c r="PNT57" s="148"/>
      <c r="PNU57" s="148"/>
      <c r="PNV57" s="148"/>
      <c r="PNW57" s="148"/>
      <c r="PNX57" s="148"/>
      <c r="PNY57" s="148"/>
      <c r="PNZ57" s="148"/>
      <c r="POA57" s="148"/>
      <c r="POB57" s="148"/>
      <c r="POC57" s="148"/>
      <c r="POD57" s="148"/>
      <c r="POE57" s="148"/>
      <c r="POF57" s="148"/>
      <c r="POG57" s="148"/>
      <c r="POH57" s="148"/>
      <c r="POI57" s="148"/>
      <c r="POJ57" s="148"/>
      <c r="POK57" s="148"/>
      <c r="POL57" s="148"/>
      <c r="POM57" s="148"/>
      <c r="PON57" s="148"/>
      <c r="POO57" s="148"/>
      <c r="POP57" s="148"/>
      <c r="POQ57" s="148"/>
      <c r="POR57" s="148"/>
      <c r="POS57" s="148"/>
      <c r="POT57" s="148"/>
      <c r="POU57" s="148"/>
      <c r="POV57" s="148"/>
      <c r="POW57" s="148"/>
      <c r="POX57" s="148"/>
      <c r="POY57" s="148"/>
      <c r="POZ57" s="148"/>
      <c r="PPA57" s="148"/>
      <c r="PPB57" s="148"/>
      <c r="PPC57" s="148"/>
      <c r="PPD57" s="148"/>
      <c r="PPE57" s="148"/>
      <c r="PPF57" s="148"/>
      <c r="PPG57" s="148"/>
      <c r="PPH57" s="148"/>
      <c r="PPI57" s="148"/>
      <c r="PPJ57" s="148"/>
      <c r="PPK57" s="148"/>
      <c r="PPL57" s="148"/>
      <c r="PPM57" s="148"/>
      <c r="PPN57" s="148"/>
      <c r="PPO57" s="148"/>
      <c r="PPP57" s="148"/>
      <c r="PPQ57" s="148"/>
      <c r="PPR57" s="148"/>
      <c r="PPS57" s="148"/>
      <c r="PPT57" s="148"/>
      <c r="PPU57" s="148"/>
      <c r="PPV57" s="148"/>
      <c r="PPW57" s="148"/>
      <c r="PPX57" s="148"/>
      <c r="PPY57" s="148"/>
      <c r="PPZ57" s="148"/>
      <c r="PQA57" s="148"/>
      <c r="PQB57" s="148"/>
      <c r="PQC57" s="148"/>
      <c r="PQD57" s="148"/>
      <c r="PQE57" s="148"/>
      <c r="PQF57" s="148"/>
      <c r="PQG57" s="148"/>
      <c r="PQH57" s="148"/>
      <c r="PQI57" s="148"/>
      <c r="PQJ57" s="148"/>
      <c r="PQK57" s="148"/>
      <c r="PQL57" s="148"/>
      <c r="PQM57" s="148"/>
      <c r="PQN57" s="148"/>
      <c r="PQO57" s="148"/>
      <c r="PQP57" s="148"/>
      <c r="PQQ57" s="148"/>
      <c r="PQR57" s="148"/>
      <c r="PQS57" s="148"/>
      <c r="PQT57" s="148"/>
      <c r="PQU57" s="148"/>
      <c r="PQV57" s="148"/>
      <c r="PQW57" s="148"/>
      <c r="PQX57" s="148"/>
      <c r="PQY57" s="148"/>
      <c r="PQZ57" s="148"/>
      <c r="PRA57" s="148"/>
      <c r="PRB57" s="148"/>
      <c r="PRC57" s="148"/>
      <c r="PRD57" s="148"/>
      <c r="PRE57" s="148"/>
      <c r="PRF57" s="148"/>
      <c r="PRG57" s="148"/>
      <c r="PRH57" s="148"/>
      <c r="PRI57" s="148"/>
      <c r="PRJ57" s="148"/>
      <c r="PRK57" s="148"/>
      <c r="PRL57" s="148"/>
      <c r="PRM57" s="148"/>
      <c r="PRN57" s="148"/>
      <c r="PRO57" s="148"/>
      <c r="PRP57" s="148"/>
      <c r="PRQ57" s="148"/>
      <c r="PRR57" s="148"/>
      <c r="PRS57" s="148"/>
      <c r="PRT57" s="148"/>
      <c r="PRU57" s="148"/>
      <c r="PRV57" s="148"/>
      <c r="PRW57" s="148"/>
      <c r="PRX57" s="148"/>
      <c r="PRY57" s="148"/>
      <c r="PRZ57" s="148"/>
      <c r="PSA57" s="148"/>
      <c r="PSB57" s="148"/>
      <c r="PSC57" s="148"/>
      <c r="PSD57" s="148"/>
      <c r="PSE57" s="148"/>
      <c r="PSF57" s="148"/>
      <c r="PSG57" s="148"/>
      <c r="PSH57" s="148"/>
      <c r="PSI57" s="148"/>
      <c r="PSJ57" s="148"/>
      <c r="PSK57" s="148"/>
      <c r="PSL57" s="148"/>
      <c r="PSM57" s="148"/>
      <c r="PSN57" s="148"/>
      <c r="PSO57" s="148"/>
      <c r="PSP57" s="148"/>
      <c r="PSQ57" s="148"/>
      <c r="PSR57" s="148"/>
      <c r="PSS57" s="148"/>
      <c r="PST57" s="148"/>
      <c r="PSU57" s="148"/>
      <c r="PSV57" s="148"/>
      <c r="PSW57" s="148"/>
      <c r="PSX57" s="148"/>
      <c r="PSY57" s="148"/>
      <c r="PSZ57" s="148"/>
      <c r="PTA57" s="148"/>
      <c r="PTB57" s="148"/>
      <c r="PTC57" s="148"/>
      <c r="PTD57" s="148"/>
      <c r="PTE57" s="148"/>
      <c r="PTF57" s="148"/>
      <c r="PTG57" s="148"/>
      <c r="PTH57" s="148"/>
      <c r="PTI57" s="148"/>
      <c r="PTJ57" s="148"/>
      <c r="PTK57" s="148"/>
      <c r="PTL57" s="148"/>
      <c r="PTM57" s="148"/>
      <c r="PTN57" s="148"/>
      <c r="PTO57" s="148"/>
      <c r="PTP57" s="148"/>
      <c r="PTQ57" s="148"/>
      <c r="PTR57" s="148"/>
      <c r="PTS57" s="148"/>
      <c r="PTT57" s="148"/>
      <c r="PTU57" s="148"/>
      <c r="PTV57" s="148"/>
      <c r="PTW57" s="148"/>
      <c r="PTX57" s="148"/>
      <c r="PTY57" s="148"/>
      <c r="PTZ57" s="148"/>
      <c r="PUA57" s="148"/>
      <c r="PUB57" s="148"/>
      <c r="PUC57" s="148"/>
      <c r="PUD57" s="148"/>
      <c r="PUE57" s="148"/>
      <c r="PUF57" s="148"/>
      <c r="PUG57" s="148"/>
      <c r="PUH57" s="148"/>
      <c r="PUI57" s="148"/>
      <c r="PUJ57" s="148"/>
      <c r="PUK57" s="148"/>
      <c r="PUL57" s="148"/>
      <c r="PUM57" s="148"/>
      <c r="PUN57" s="148"/>
      <c r="PUO57" s="148"/>
      <c r="PUP57" s="148"/>
      <c r="PUQ57" s="148"/>
      <c r="PUR57" s="148"/>
      <c r="PUS57" s="148"/>
      <c r="PUT57" s="148"/>
      <c r="PUU57" s="148"/>
      <c r="PUV57" s="148"/>
      <c r="PUW57" s="148"/>
      <c r="PUX57" s="148"/>
      <c r="PUY57" s="148"/>
      <c r="PUZ57" s="148"/>
      <c r="PVA57" s="148"/>
      <c r="PVB57" s="148"/>
      <c r="PVC57" s="148"/>
      <c r="PVD57" s="148"/>
      <c r="PVE57" s="148"/>
      <c r="PVF57" s="148"/>
      <c r="PVG57" s="148"/>
      <c r="PVH57" s="148"/>
      <c r="PVI57" s="148"/>
      <c r="PVJ57" s="148"/>
      <c r="PVK57" s="148"/>
      <c r="PVL57" s="148"/>
      <c r="PVM57" s="148"/>
      <c r="PVN57" s="148"/>
      <c r="PVO57" s="148"/>
      <c r="PVP57" s="148"/>
      <c r="PVQ57" s="148"/>
      <c r="PVR57" s="148"/>
      <c r="PVS57" s="148"/>
      <c r="PVT57" s="148"/>
      <c r="PVU57" s="148"/>
      <c r="PVV57" s="148"/>
      <c r="PVW57" s="148"/>
      <c r="PVX57" s="148"/>
      <c r="PVY57" s="148"/>
      <c r="PVZ57" s="148"/>
      <c r="PWA57" s="148"/>
      <c r="PWB57" s="148"/>
      <c r="PWC57" s="148"/>
      <c r="PWD57" s="148"/>
      <c r="PWE57" s="148"/>
      <c r="PWF57" s="148"/>
      <c r="PWG57" s="148"/>
      <c r="PWH57" s="148"/>
      <c r="PWI57" s="148"/>
      <c r="PWJ57" s="148"/>
      <c r="PWK57" s="148"/>
      <c r="PWL57" s="148"/>
      <c r="PWM57" s="148"/>
      <c r="PWN57" s="148"/>
      <c r="PWO57" s="148"/>
      <c r="PWP57" s="148"/>
      <c r="PWQ57" s="148"/>
      <c r="PWR57" s="148"/>
      <c r="PWS57" s="148"/>
      <c r="PWT57" s="148"/>
      <c r="PWU57" s="148"/>
      <c r="PWV57" s="148"/>
      <c r="PWW57" s="148"/>
      <c r="PWX57" s="148"/>
      <c r="PWY57" s="148"/>
      <c r="PWZ57" s="148"/>
      <c r="PXA57" s="148"/>
      <c r="PXB57" s="148"/>
      <c r="PXC57" s="148"/>
      <c r="PXD57" s="148"/>
      <c r="PXE57" s="148"/>
      <c r="PXF57" s="148"/>
      <c r="PXG57" s="148"/>
      <c r="PXH57" s="148"/>
      <c r="PXI57" s="148"/>
      <c r="PXJ57" s="148"/>
      <c r="PXK57" s="148"/>
      <c r="PXL57" s="148"/>
      <c r="PXM57" s="148"/>
      <c r="PXN57" s="148"/>
      <c r="PXO57" s="148"/>
      <c r="PXP57" s="148"/>
      <c r="PXQ57" s="148"/>
      <c r="PXR57" s="148"/>
      <c r="PXS57" s="148"/>
      <c r="PXT57" s="148"/>
      <c r="PXU57" s="148"/>
      <c r="PXV57" s="148"/>
      <c r="PXW57" s="148"/>
      <c r="PXX57" s="148"/>
      <c r="PXY57" s="148"/>
      <c r="PXZ57" s="148"/>
      <c r="PYA57" s="148"/>
      <c r="PYB57" s="148"/>
      <c r="PYC57" s="148"/>
      <c r="PYD57" s="148"/>
      <c r="PYE57" s="148"/>
      <c r="PYF57" s="148"/>
      <c r="PYG57" s="148"/>
      <c r="PYH57" s="148"/>
      <c r="PYI57" s="148"/>
      <c r="PYJ57" s="148"/>
      <c r="PYK57" s="148"/>
      <c r="PYL57" s="148"/>
      <c r="PYM57" s="148"/>
      <c r="PYN57" s="148"/>
      <c r="PYO57" s="148"/>
      <c r="PYP57" s="148"/>
      <c r="PYQ57" s="148"/>
      <c r="PYR57" s="148"/>
      <c r="PYS57" s="148"/>
      <c r="PYT57" s="148"/>
      <c r="PYU57" s="148"/>
      <c r="PYV57" s="148"/>
      <c r="PYW57" s="148"/>
      <c r="PYX57" s="148"/>
      <c r="PYY57" s="148"/>
      <c r="PYZ57" s="148"/>
      <c r="PZA57" s="148"/>
      <c r="PZB57" s="148"/>
      <c r="PZC57" s="148"/>
      <c r="PZD57" s="148"/>
      <c r="PZE57" s="148"/>
      <c r="PZF57" s="148"/>
      <c r="PZG57" s="148"/>
      <c r="PZH57" s="148"/>
      <c r="PZI57" s="148"/>
      <c r="PZJ57" s="148"/>
      <c r="PZK57" s="148"/>
      <c r="PZL57" s="148"/>
      <c r="PZM57" s="148"/>
      <c r="PZN57" s="148"/>
      <c r="PZO57" s="148"/>
      <c r="PZP57" s="148"/>
      <c r="PZQ57" s="148"/>
      <c r="PZR57" s="148"/>
      <c r="PZS57" s="148"/>
      <c r="PZT57" s="148"/>
      <c r="PZU57" s="148"/>
      <c r="PZV57" s="148"/>
      <c r="PZW57" s="148"/>
      <c r="PZX57" s="148"/>
      <c r="PZY57" s="148"/>
      <c r="PZZ57" s="148"/>
      <c r="QAA57" s="148"/>
      <c r="QAB57" s="148"/>
      <c r="QAC57" s="148"/>
      <c r="QAD57" s="148"/>
      <c r="QAE57" s="148"/>
      <c r="QAF57" s="148"/>
      <c r="QAG57" s="148"/>
      <c r="QAH57" s="148"/>
      <c r="QAI57" s="148"/>
      <c r="QAJ57" s="148"/>
      <c r="QAK57" s="148"/>
      <c r="QAL57" s="148"/>
      <c r="QAM57" s="148"/>
      <c r="QAN57" s="148"/>
      <c r="QAO57" s="148"/>
      <c r="QAP57" s="148"/>
      <c r="QAQ57" s="148"/>
      <c r="QAR57" s="148"/>
      <c r="QAS57" s="148"/>
      <c r="QAT57" s="148"/>
      <c r="QAU57" s="148"/>
      <c r="QAV57" s="148"/>
      <c r="QAW57" s="148"/>
      <c r="QAX57" s="148"/>
      <c r="QAY57" s="148"/>
      <c r="QAZ57" s="148"/>
      <c r="QBA57" s="148"/>
      <c r="QBB57" s="148"/>
      <c r="QBC57" s="148"/>
      <c r="QBD57" s="148"/>
      <c r="QBE57" s="148"/>
      <c r="QBF57" s="148"/>
      <c r="QBG57" s="148"/>
      <c r="QBH57" s="148"/>
      <c r="QBI57" s="148"/>
      <c r="QBJ57" s="148"/>
      <c r="QBK57" s="148"/>
      <c r="QBL57" s="148"/>
      <c r="QBM57" s="148"/>
      <c r="QBN57" s="148"/>
      <c r="QBO57" s="148"/>
      <c r="QBP57" s="148"/>
      <c r="QBQ57" s="148"/>
      <c r="QBR57" s="148"/>
      <c r="QBS57" s="148"/>
      <c r="QBT57" s="148"/>
      <c r="QBU57" s="148"/>
      <c r="QBV57" s="148"/>
      <c r="QBW57" s="148"/>
      <c r="QBX57" s="148"/>
      <c r="QBY57" s="148"/>
      <c r="QBZ57" s="148"/>
      <c r="QCA57" s="148"/>
      <c r="QCB57" s="148"/>
      <c r="QCC57" s="148"/>
      <c r="QCD57" s="148"/>
      <c r="QCE57" s="148"/>
      <c r="QCF57" s="148"/>
      <c r="QCG57" s="148"/>
      <c r="QCH57" s="148"/>
      <c r="QCI57" s="148"/>
      <c r="QCJ57" s="148"/>
      <c r="QCK57" s="148"/>
      <c r="QCL57" s="148"/>
      <c r="QCM57" s="148"/>
      <c r="QCN57" s="148"/>
      <c r="QCO57" s="148"/>
      <c r="QCP57" s="148"/>
      <c r="QCQ57" s="148"/>
      <c r="QCR57" s="148"/>
      <c r="QCS57" s="148"/>
      <c r="QCT57" s="148"/>
      <c r="QCU57" s="148"/>
      <c r="QCV57" s="148"/>
      <c r="QCW57" s="148"/>
      <c r="QCX57" s="148"/>
      <c r="QCY57" s="148"/>
      <c r="QCZ57" s="148"/>
      <c r="QDA57" s="148"/>
      <c r="QDB57" s="148"/>
      <c r="QDC57" s="148"/>
      <c r="QDD57" s="148"/>
      <c r="QDE57" s="148"/>
      <c r="QDF57" s="148"/>
      <c r="QDG57" s="148"/>
      <c r="QDH57" s="148"/>
      <c r="QDI57" s="148"/>
      <c r="QDJ57" s="148"/>
      <c r="QDK57" s="148"/>
      <c r="QDL57" s="148"/>
      <c r="QDM57" s="148"/>
      <c r="QDN57" s="148"/>
      <c r="QDO57" s="148"/>
      <c r="QDP57" s="148"/>
      <c r="QDQ57" s="148"/>
      <c r="QDR57" s="148"/>
      <c r="QDS57" s="148"/>
      <c r="QDT57" s="148"/>
      <c r="QDU57" s="148"/>
      <c r="QDV57" s="148"/>
      <c r="QDW57" s="148"/>
      <c r="QDX57" s="148"/>
      <c r="QDY57" s="148"/>
      <c r="QDZ57" s="148"/>
      <c r="QEA57" s="148"/>
      <c r="QEB57" s="148"/>
      <c r="QEC57" s="148"/>
      <c r="QED57" s="148"/>
      <c r="QEE57" s="148"/>
      <c r="QEF57" s="148"/>
      <c r="QEG57" s="148"/>
      <c r="QEH57" s="148"/>
      <c r="QEI57" s="148"/>
      <c r="QEJ57" s="148"/>
      <c r="QEK57" s="148"/>
      <c r="QEL57" s="148"/>
      <c r="QEM57" s="148"/>
      <c r="QEN57" s="148"/>
      <c r="QEO57" s="148"/>
      <c r="QEP57" s="148"/>
      <c r="QEQ57" s="148"/>
      <c r="QER57" s="148"/>
      <c r="QES57" s="148"/>
      <c r="QET57" s="148"/>
      <c r="QEU57" s="148"/>
      <c r="QEV57" s="148"/>
      <c r="QEW57" s="148"/>
      <c r="QEX57" s="148"/>
      <c r="QEY57" s="148"/>
      <c r="QEZ57" s="148"/>
      <c r="QFA57" s="148"/>
      <c r="QFB57" s="148"/>
      <c r="QFC57" s="148"/>
      <c r="QFD57" s="148"/>
      <c r="QFE57" s="148"/>
      <c r="QFF57" s="148"/>
      <c r="QFG57" s="148"/>
      <c r="QFH57" s="148"/>
      <c r="QFI57" s="148"/>
      <c r="QFJ57" s="148"/>
      <c r="QFK57" s="148"/>
      <c r="QFL57" s="148"/>
      <c r="QFM57" s="148"/>
      <c r="QFN57" s="148"/>
      <c r="QFO57" s="148"/>
      <c r="QFP57" s="148"/>
      <c r="QFQ57" s="148"/>
      <c r="QFR57" s="148"/>
      <c r="QFS57" s="148"/>
      <c r="QFT57" s="148"/>
      <c r="QFU57" s="148"/>
      <c r="QFV57" s="148"/>
      <c r="QFW57" s="148"/>
      <c r="QFX57" s="148"/>
      <c r="QFY57" s="148"/>
      <c r="QFZ57" s="148"/>
      <c r="QGA57" s="148"/>
      <c r="QGB57" s="148"/>
      <c r="QGC57" s="148"/>
      <c r="QGD57" s="148"/>
      <c r="QGE57" s="148"/>
      <c r="QGF57" s="148"/>
      <c r="QGG57" s="148"/>
      <c r="QGH57" s="148"/>
      <c r="QGI57" s="148"/>
      <c r="QGJ57" s="148"/>
      <c r="QGK57" s="148"/>
      <c r="QGL57" s="148"/>
      <c r="QGM57" s="148"/>
      <c r="QGN57" s="148"/>
      <c r="QGO57" s="148"/>
      <c r="QGP57" s="148"/>
      <c r="QGQ57" s="148"/>
      <c r="QGR57" s="148"/>
      <c r="QGS57" s="148"/>
      <c r="QGT57" s="148"/>
      <c r="QGU57" s="148"/>
      <c r="QGV57" s="148"/>
      <c r="QGW57" s="148"/>
      <c r="QGX57" s="148"/>
      <c r="QGY57" s="148"/>
      <c r="QGZ57" s="148"/>
      <c r="QHA57" s="148"/>
      <c r="QHB57" s="148"/>
      <c r="QHC57" s="148"/>
      <c r="QHD57" s="148"/>
      <c r="QHE57" s="148"/>
      <c r="QHF57" s="148"/>
      <c r="QHG57" s="148"/>
      <c r="QHH57" s="148"/>
      <c r="QHI57" s="148"/>
      <c r="QHJ57" s="148"/>
      <c r="QHK57" s="148"/>
      <c r="QHL57" s="148"/>
      <c r="QHM57" s="148"/>
      <c r="QHN57" s="148"/>
      <c r="QHO57" s="148"/>
      <c r="QHP57" s="148"/>
      <c r="QHQ57" s="148"/>
      <c r="QHR57" s="148"/>
      <c r="QHS57" s="148"/>
      <c r="QHT57" s="148"/>
      <c r="QHU57" s="148"/>
      <c r="QHV57" s="148"/>
      <c r="QHW57" s="148"/>
      <c r="QHX57" s="148"/>
      <c r="QHY57" s="148"/>
      <c r="QHZ57" s="148"/>
      <c r="QIA57" s="148"/>
      <c r="QIB57" s="148"/>
      <c r="QIC57" s="148"/>
      <c r="QID57" s="148"/>
      <c r="QIE57" s="148"/>
      <c r="QIF57" s="148"/>
      <c r="QIG57" s="148"/>
      <c r="QIH57" s="148"/>
      <c r="QII57" s="148"/>
      <c r="QIJ57" s="148"/>
      <c r="QIK57" s="148"/>
      <c r="QIL57" s="148"/>
      <c r="QIM57" s="148"/>
      <c r="QIN57" s="148"/>
      <c r="QIO57" s="148"/>
      <c r="QIP57" s="148"/>
      <c r="QIQ57" s="148"/>
      <c r="QIR57" s="148"/>
      <c r="QIS57" s="148"/>
      <c r="QIT57" s="148"/>
      <c r="QIU57" s="148"/>
      <c r="QIV57" s="148"/>
      <c r="QIW57" s="148"/>
      <c r="QIX57" s="148"/>
      <c r="QIY57" s="148"/>
      <c r="QIZ57" s="148"/>
      <c r="QJA57" s="148"/>
      <c r="QJB57" s="148"/>
      <c r="QJC57" s="148"/>
      <c r="QJD57" s="148"/>
      <c r="QJE57" s="148"/>
      <c r="QJF57" s="148"/>
      <c r="QJG57" s="148"/>
      <c r="QJH57" s="148"/>
      <c r="QJI57" s="148"/>
      <c r="QJJ57" s="148"/>
      <c r="QJK57" s="148"/>
      <c r="QJL57" s="148"/>
      <c r="QJM57" s="148"/>
      <c r="QJN57" s="148"/>
      <c r="QJO57" s="148"/>
      <c r="QJP57" s="148"/>
      <c r="QJQ57" s="148"/>
      <c r="QJR57" s="148"/>
      <c r="QJS57" s="148"/>
      <c r="QJT57" s="148"/>
      <c r="QJU57" s="148"/>
      <c r="QJV57" s="148"/>
      <c r="QJW57" s="148"/>
      <c r="QJX57" s="148"/>
      <c r="QJY57" s="148"/>
      <c r="QJZ57" s="148"/>
      <c r="QKA57" s="148"/>
      <c r="QKB57" s="148"/>
      <c r="QKC57" s="148"/>
      <c r="QKD57" s="148"/>
      <c r="QKE57" s="148"/>
      <c r="QKF57" s="148"/>
      <c r="QKG57" s="148"/>
      <c r="QKH57" s="148"/>
      <c r="QKI57" s="148"/>
      <c r="QKJ57" s="148"/>
      <c r="QKK57" s="148"/>
      <c r="QKL57" s="148"/>
      <c r="QKM57" s="148"/>
      <c r="QKN57" s="148"/>
      <c r="QKO57" s="148"/>
      <c r="QKP57" s="148"/>
      <c r="QKQ57" s="148"/>
      <c r="QKR57" s="148"/>
      <c r="QKS57" s="148"/>
      <c r="QKT57" s="148"/>
      <c r="QKU57" s="148"/>
      <c r="QKV57" s="148"/>
      <c r="QKW57" s="148"/>
      <c r="QKX57" s="148"/>
      <c r="QKY57" s="148"/>
      <c r="QKZ57" s="148"/>
      <c r="QLA57" s="148"/>
      <c r="QLB57" s="148"/>
      <c r="QLC57" s="148"/>
      <c r="QLD57" s="148"/>
      <c r="QLE57" s="148"/>
      <c r="QLF57" s="148"/>
      <c r="QLG57" s="148"/>
      <c r="QLH57" s="148"/>
      <c r="QLI57" s="148"/>
      <c r="QLJ57" s="148"/>
      <c r="QLK57" s="148"/>
      <c r="QLL57" s="148"/>
      <c r="QLM57" s="148"/>
      <c r="QLN57" s="148"/>
      <c r="QLO57" s="148"/>
      <c r="QLP57" s="148"/>
      <c r="QLQ57" s="148"/>
      <c r="QLR57" s="148"/>
      <c r="QLS57" s="148"/>
      <c r="QLT57" s="148"/>
      <c r="QLU57" s="148"/>
      <c r="QLV57" s="148"/>
      <c r="QLW57" s="148"/>
      <c r="QLX57" s="148"/>
      <c r="QLY57" s="148"/>
      <c r="QLZ57" s="148"/>
      <c r="QMA57" s="148"/>
      <c r="QMB57" s="148"/>
      <c r="QMC57" s="148"/>
      <c r="QMD57" s="148"/>
      <c r="QME57" s="148"/>
      <c r="QMF57" s="148"/>
      <c r="QMG57" s="148"/>
      <c r="QMH57" s="148"/>
      <c r="QMI57" s="148"/>
      <c r="QMJ57" s="148"/>
      <c r="QMK57" s="148"/>
      <c r="QML57" s="148"/>
      <c r="QMM57" s="148"/>
      <c r="QMN57" s="148"/>
      <c r="QMO57" s="148"/>
      <c r="QMP57" s="148"/>
      <c r="QMQ57" s="148"/>
      <c r="QMR57" s="148"/>
      <c r="QMS57" s="148"/>
      <c r="QMT57" s="148"/>
      <c r="QMU57" s="148"/>
      <c r="QMV57" s="148"/>
      <c r="QMW57" s="148"/>
      <c r="QMX57" s="148"/>
      <c r="QMY57" s="148"/>
      <c r="QMZ57" s="148"/>
      <c r="QNA57" s="148"/>
      <c r="QNB57" s="148"/>
      <c r="QNC57" s="148"/>
      <c r="QND57" s="148"/>
      <c r="QNE57" s="148"/>
      <c r="QNF57" s="148"/>
      <c r="QNG57" s="148"/>
      <c r="QNH57" s="148"/>
      <c r="QNI57" s="148"/>
      <c r="QNJ57" s="148"/>
      <c r="QNK57" s="148"/>
      <c r="QNL57" s="148"/>
      <c r="QNM57" s="148"/>
      <c r="QNN57" s="148"/>
      <c r="QNO57" s="148"/>
      <c r="QNP57" s="148"/>
      <c r="QNQ57" s="148"/>
      <c r="QNR57" s="148"/>
      <c r="QNS57" s="148"/>
      <c r="QNT57" s="148"/>
      <c r="QNU57" s="148"/>
      <c r="QNV57" s="148"/>
      <c r="QNW57" s="148"/>
      <c r="QNX57" s="148"/>
      <c r="QNY57" s="148"/>
      <c r="QNZ57" s="148"/>
      <c r="QOA57" s="148"/>
      <c r="QOB57" s="148"/>
      <c r="QOC57" s="148"/>
      <c r="QOD57" s="148"/>
      <c r="QOE57" s="148"/>
      <c r="QOF57" s="148"/>
      <c r="QOG57" s="148"/>
      <c r="QOH57" s="148"/>
      <c r="QOI57" s="148"/>
      <c r="QOJ57" s="148"/>
      <c r="QOK57" s="148"/>
      <c r="QOL57" s="148"/>
      <c r="QOM57" s="148"/>
      <c r="QON57" s="148"/>
      <c r="QOO57" s="148"/>
      <c r="QOP57" s="148"/>
      <c r="QOQ57" s="148"/>
      <c r="QOR57" s="148"/>
      <c r="QOS57" s="148"/>
      <c r="QOT57" s="148"/>
      <c r="QOU57" s="148"/>
      <c r="QOV57" s="148"/>
      <c r="QOW57" s="148"/>
      <c r="QOX57" s="148"/>
      <c r="QOY57" s="148"/>
      <c r="QOZ57" s="148"/>
      <c r="QPA57" s="148"/>
      <c r="QPB57" s="148"/>
      <c r="QPC57" s="148"/>
      <c r="QPD57" s="148"/>
      <c r="QPE57" s="148"/>
      <c r="QPF57" s="148"/>
      <c r="QPG57" s="148"/>
      <c r="QPH57" s="148"/>
      <c r="QPI57" s="148"/>
      <c r="QPJ57" s="148"/>
      <c r="QPK57" s="148"/>
      <c r="QPL57" s="148"/>
      <c r="QPM57" s="148"/>
      <c r="QPN57" s="148"/>
      <c r="QPO57" s="148"/>
      <c r="QPP57" s="148"/>
      <c r="QPQ57" s="148"/>
      <c r="QPR57" s="148"/>
      <c r="QPS57" s="148"/>
      <c r="QPT57" s="148"/>
      <c r="QPU57" s="148"/>
      <c r="QPV57" s="148"/>
      <c r="QPW57" s="148"/>
      <c r="QPX57" s="148"/>
      <c r="QPY57" s="148"/>
      <c r="QPZ57" s="148"/>
      <c r="QQA57" s="148"/>
      <c r="QQB57" s="148"/>
      <c r="QQC57" s="148"/>
      <c r="QQD57" s="148"/>
      <c r="QQE57" s="148"/>
      <c r="QQF57" s="148"/>
      <c r="QQG57" s="148"/>
      <c r="QQH57" s="148"/>
      <c r="QQI57" s="148"/>
      <c r="QQJ57" s="148"/>
      <c r="QQK57" s="148"/>
      <c r="QQL57" s="148"/>
      <c r="QQM57" s="148"/>
      <c r="QQN57" s="148"/>
      <c r="QQO57" s="148"/>
      <c r="QQP57" s="148"/>
      <c r="QQQ57" s="148"/>
      <c r="QQR57" s="148"/>
      <c r="QQS57" s="148"/>
      <c r="QQT57" s="148"/>
      <c r="QQU57" s="148"/>
      <c r="QQV57" s="148"/>
      <c r="QQW57" s="148"/>
      <c r="QQX57" s="148"/>
      <c r="QQY57" s="148"/>
      <c r="QQZ57" s="148"/>
      <c r="QRA57" s="148"/>
      <c r="QRB57" s="148"/>
      <c r="QRC57" s="148"/>
      <c r="QRD57" s="148"/>
      <c r="QRE57" s="148"/>
      <c r="QRF57" s="148"/>
      <c r="QRG57" s="148"/>
      <c r="QRH57" s="148"/>
      <c r="QRI57" s="148"/>
      <c r="QRJ57" s="148"/>
      <c r="QRK57" s="148"/>
      <c r="QRL57" s="148"/>
      <c r="QRM57" s="148"/>
      <c r="QRN57" s="148"/>
      <c r="QRO57" s="148"/>
      <c r="QRP57" s="148"/>
      <c r="QRQ57" s="148"/>
      <c r="QRR57" s="148"/>
      <c r="QRS57" s="148"/>
      <c r="QRT57" s="148"/>
      <c r="QRU57" s="148"/>
      <c r="QRV57" s="148"/>
      <c r="QRW57" s="148"/>
      <c r="QRX57" s="148"/>
      <c r="QRY57" s="148"/>
      <c r="QRZ57" s="148"/>
      <c r="QSA57" s="148"/>
      <c r="QSB57" s="148"/>
      <c r="QSC57" s="148"/>
      <c r="QSD57" s="148"/>
      <c r="QSE57" s="148"/>
      <c r="QSF57" s="148"/>
      <c r="QSG57" s="148"/>
      <c r="QSH57" s="148"/>
      <c r="QSI57" s="148"/>
      <c r="QSJ57" s="148"/>
      <c r="QSK57" s="148"/>
      <c r="QSL57" s="148"/>
      <c r="QSM57" s="148"/>
      <c r="QSN57" s="148"/>
      <c r="QSO57" s="148"/>
      <c r="QSP57" s="148"/>
      <c r="QSQ57" s="148"/>
      <c r="QSR57" s="148"/>
      <c r="QSS57" s="148"/>
      <c r="QST57" s="148"/>
      <c r="QSU57" s="148"/>
      <c r="QSV57" s="148"/>
      <c r="QSW57" s="148"/>
      <c r="QSX57" s="148"/>
      <c r="QSY57" s="148"/>
      <c r="QSZ57" s="148"/>
      <c r="QTA57" s="148"/>
      <c r="QTB57" s="148"/>
      <c r="QTC57" s="148"/>
      <c r="QTD57" s="148"/>
      <c r="QTE57" s="148"/>
      <c r="QTF57" s="148"/>
      <c r="QTG57" s="148"/>
      <c r="QTH57" s="148"/>
      <c r="QTI57" s="148"/>
      <c r="QTJ57" s="148"/>
      <c r="QTK57" s="148"/>
      <c r="QTL57" s="148"/>
      <c r="QTM57" s="148"/>
      <c r="QTN57" s="148"/>
      <c r="QTO57" s="148"/>
      <c r="QTP57" s="148"/>
      <c r="QTQ57" s="148"/>
      <c r="QTR57" s="148"/>
      <c r="QTS57" s="148"/>
      <c r="QTT57" s="148"/>
      <c r="QTU57" s="148"/>
      <c r="QTV57" s="148"/>
      <c r="QTW57" s="148"/>
      <c r="QTX57" s="148"/>
      <c r="QTY57" s="148"/>
      <c r="QTZ57" s="148"/>
      <c r="QUA57" s="148"/>
      <c r="QUB57" s="148"/>
      <c r="QUC57" s="148"/>
      <c r="QUD57" s="148"/>
      <c r="QUE57" s="148"/>
      <c r="QUF57" s="148"/>
      <c r="QUG57" s="148"/>
      <c r="QUH57" s="148"/>
      <c r="QUI57" s="148"/>
      <c r="QUJ57" s="148"/>
      <c r="QUK57" s="148"/>
      <c r="QUL57" s="148"/>
      <c r="QUM57" s="148"/>
      <c r="QUN57" s="148"/>
      <c r="QUO57" s="148"/>
      <c r="QUP57" s="148"/>
      <c r="QUQ57" s="148"/>
      <c r="QUR57" s="148"/>
      <c r="QUS57" s="148"/>
      <c r="QUT57" s="148"/>
      <c r="QUU57" s="148"/>
      <c r="QUV57" s="148"/>
      <c r="QUW57" s="148"/>
      <c r="QUX57" s="148"/>
      <c r="QUY57" s="148"/>
      <c r="QUZ57" s="148"/>
      <c r="QVA57" s="148"/>
      <c r="QVB57" s="148"/>
      <c r="QVC57" s="148"/>
      <c r="QVD57" s="148"/>
      <c r="QVE57" s="148"/>
      <c r="QVF57" s="148"/>
      <c r="QVG57" s="148"/>
      <c r="QVH57" s="148"/>
      <c r="QVI57" s="148"/>
      <c r="QVJ57" s="148"/>
      <c r="QVK57" s="148"/>
      <c r="QVL57" s="148"/>
      <c r="QVM57" s="148"/>
      <c r="QVN57" s="148"/>
      <c r="QVO57" s="148"/>
      <c r="QVP57" s="148"/>
      <c r="QVQ57" s="148"/>
      <c r="QVR57" s="148"/>
      <c r="QVS57" s="148"/>
      <c r="QVT57" s="148"/>
      <c r="QVU57" s="148"/>
      <c r="QVV57" s="148"/>
      <c r="QVW57" s="148"/>
      <c r="QVX57" s="148"/>
      <c r="QVY57" s="148"/>
      <c r="QVZ57" s="148"/>
      <c r="QWA57" s="148"/>
      <c r="QWB57" s="148"/>
      <c r="QWC57" s="148"/>
      <c r="QWD57" s="148"/>
      <c r="QWE57" s="148"/>
      <c r="QWF57" s="148"/>
      <c r="QWG57" s="148"/>
      <c r="QWH57" s="148"/>
      <c r="QWI57" s="148"/>
      <c r="QWJ57" s="148"/>
      <c r="QWK57" s="148"/>
      <c r="QWL57" s="148"/>
      <c r="QWM57" s="148"/>
      <c r="QWN57" s="148"/>
      <c r="QWO57" s="148"/>
      <c r="QWP57" s="148"/>
      <c r="QWQ57" s="148"/>
      <c r="QWR57" s="148"/>
      <c r="QWS57" s="148"/>
      <c r="QWT57" s="148"/>
      <c r="QWU57" s="148"/>
      <c r="QWV57" s="148"/>
      <c r="QWW57" s="148"/>
      <c r="QWX57" s="148"/>
      <c r="QWY57" s="148"/>
      <c r="QWZ57" s="148"/>
      <c r="QXA57" s="148"/>
      <c r="QXB57" s="148"/>
      <c r="QXC57" s="148"/>
      <c r="QXD57" s="148"/>
      <c r="QXE57" s="148"/>
      <c r="QXF57" s="148"/>
      <c r="QXG57" s="148"/>
      <c r="QXH57" s="148"/>
      <c r="QXI57" s="148"/>
      <c r="QXJ57" s="148"/>
      <c r="QXK57" s="148"/>
      <c r="QXL57" s="148"/>
      <c r="QXM57" s="148"/>
      <c r="QXN57" s="148"/>
      <c r="QXO57" s="148"/>
      <c r="QXP57" s="148"/>
      <c r="QXQ57" s="148"/>
      <c r="QXR57" s="148"/>
      <c r="QXS57" s="148"/>
      <c r="QXT57" s="148"/>
      <c r="QXU57" s="148"/>
      <c r="QXV57" s="148"/>
      <c r="QXW57" s="148"/>
      <c r="QXX57" s="148"/>
      <c r="QXY57" s="148"/>
      <c r="QXZ57" s="148"/>
      <c r="QYA57" s="148"/>
      <c r="QYB57" s="148"/>
      <c r="QYC57" s="148"/>
      <c r="QYD57" s="148"/>
      <c r="QYE57" s="148"/>
      <c r="QYF57" s="148"/>
      <c r="QYG57" s="148"/>
      <c r="QYH57" s="148"/>
      <c r="QYI57" s="148"/>
      <c r="QYJ57" s="148"/>
      <c r="QYK57" s="148"/>
      <c r="QYL57" s="148"/>
      <c r="QYM57" s="148"/>
      <c r="QYN57" s="148"/>
      <c r="QYO57" s="148"/>
      <c r="QYP57" s="148"/>
      <c r="QYQ57" s="148"/>
      <c r="QYR57" s="148"/>
      <c r="QYS57" s="148"/>
      <c r="QYT57" s="148"/>
      <c r="QYU57" s="148"/>
      <c r="QYV57" s="148"/>
      <c r="QYW57" s="148"/>
      <c r="QYX57" s="148"/>
      <c r="QYY57" s="148"/>
      <c r="QYZ57" s="148"/>
      <c r="QZA57" s="148"/>
      <c r="QZB57" s="148"/>
      <c r="QZC57" s="148"/>
      <c r="QZD57" s="148"/>
      <c r="QZE57" s="148"/>
      <c r="QZF57" s="148"/>
      <c r="QZG57" s="148"/>
      <c r="QZH57" s="148"/>
      <c r="QZI57" s="148"/>
      <c r="QZJ57" s="148"/>
      <c r="QZK57" s="148"/>
      <c r="QZL57" s="148"/>
      <c r="QZM57" s="148"/>
      <c r="QZN57" s="148"/>
      <c r="QZO57" s="148"/>
      <c r="QZP57" s="148"/>
      <c r="QZQ57" s="148"/>
      <c r="QZR57" s="148"/>
      <c r="QZS57" s="148"/>
      <c r="QZT57" s="148"/>
      <c r="QZU57" s="148"/>
      <c r="QZV57" s="148"/>
      <c r="QZW57" s="148"/>
      <c r="QZX57" s="148"/>
      <c r="QZY57" s="148"/>
      <c r="QZZ57" s="148"/>
      <c r="RAA57" s="148"/>
      <c r="RAB57" s="148"/>
      <c r="RAC57" s="148"/>
      <c r="RAD57" s="148"/>
      <c r="RAE57" s="148"/>
      <c r="RAF57" s="148"/>
      <c r="RAG57" s="148"/>
      <c r="RAH57" s="148"/>
      <c r="RAI57" s="148"/>
      <c r="RAJ57" s="148"/>
      <c r="RAK57" s="148"/>
      <c r="RAL57" s="148"/>
      <c r="RAM57" s="148"/>
      <c r="RAN57" s="148"/>
      <c r="RAO57" s="148"/>
      <c r="RAP57" s="148"/>
      <c r="RAQ57" s="148"/>
      <c r="RAR57" s="148"/>
      <c r="RAS57" s="148"/>
      <c r="RAT57" s="148"/>
      <c r="RAU57" s="148"/>
      <c r="RAV57" s="148"/>
      <c r="RAW57" s="148"/>
      <c r="RAX57" s="148"/>
      <c r="RAY57" s="148"/>
      <c r="RAZ57" s="148"/>
      <c r="RBA57" s="148"/>
      <c r="RBB57" s="148"/>
      <c r="RBC57" s="148"/>
      <c r="RBD57" s="148"/>
      <c r="RBE57" s="148"/>
      <c r="RBF57" s="148"/>
      <c r="RBG57" s="148"/>
      <c r="RBH57" s="148"/>
      <c r="RBI57" s="148"/>
      <c r="RBJ57" s="148"/>
      <c r="RBK57" s="148"/>
      <c r="RBL57" s="148"/>
      <c r="RBM57" s="148"/>
      <c r="RBN57" s="148"/>
      <c r="RBO57" s="148"/>
      <c r="RBP57" s="148"/>
      <c r="RBQ57" s="148"/>
      <c r="RBR57" s="148"/>
      <c r="RBS57" s="148"/>
      <c r="RBT57" s="148"/>
      <c r="RBU57" s="148"/>
      <c r="RBV57" s="148"/>
      <c r="RBW57" s="148"/>
      <c r="RBX57" s="148"/>
      <c r="RBY57" s="148"/>
      <c r="RBZ57" s="148"/>
      <c r="RCA57" s="148"/>
      <c r="RCB57" s="148"/>
      <c r="RCC57" s="148"/>
      <c r="RCD57" s="148"/>
      <c r="RCE57" s="148"/>
      <c r="RCF57" s="148"/>
      <c r="RCG57" s="148"/>
      <c r="RCH57" s="148"/>
      <c r="RCI57" s="148"/>
      <c r="RCJ57" s="148"/>
      <c r="RCK57" s="148"/>
      <c r="RCL57" s="148"/>
      <c r="RCM57" s="148"/>
      <c r="RCN57" s="148"/>
      <c r="RCO57" s="148"/>
      <c r="RCP57" s="148"/>
      <c r="RCQ57" s="148"/>
      <c r="RCR57" s="148"/>
      <c r="RCS57" s="148"/>
      <c r="RCT57" s="148"/>
      <c r="RCU57" s="148"/>
      <c r="RCV57" s="148"/>
      <c r="RCW57" s="148"/>
      <c r="RCX57" s="148"/>
      <c r="RCY57" s="148"/>
      <c r="RCZ57" s="148"/>
      <c r="RDA57" s="148"/>
      <c r="RDB57" s="148"/>
      <c r="RDC57" s="148"/>
      <c r="RDD57" s="148"/>
      <c r="RDE57" s="148"/>
      <c r="RDF57" s="148"/>
      <c r="RDG57" s="148"/>
      <c r="RDH57" s="148"/>
      <c r="RDI57" s="148"/>
      <c r="RDJ57" s="148"/>
      <c r="RDK57" s="148"/>
      <c r="RDL57" s="148"/>
      <c r="RDM57" s="148"/>
      <c r="RDN57" s="148"/>
      <c r="RDO57" s="148"/>
      <c r="RDP57" s="148"/>
      <c r="RDQ57" s="148"/>
      <c r="RDR57" s="148"/>
      <c r="RDS57" s="148"/>
      <c r="RDT57" s="148"/>
      <c r="RDU57" s="148"/>
      <c r="RDV57" s="148"/>
      <c r="RDW57" s="148"/>
      <c r="RDX57" s="148"/>
      <c r="RDY57" s="148"/>
      <c r="RDZ57" s="148"/>
      <c r="REA57" s="148"/>
      <c r="REB57" s="148"/>
      <c r="REC57" s="148"/>
      <c r="RED57" s="148"/>
      <c r="REE57" s="148"/>
      <c r="REF57" s="148"/>
      <c r="REG57" s="148"/>
      <c r="REH57" s="148"/>
      <c r="REI57" s="148"/>
      <c r="REJ57" s="148"/>
      <c r="REK57" s="148"/>
      <c r="REL57" s="148"/>
      <c r="REM57" s="148"/>
      <c r="REN57" s="148"/>
      <c r="REO57" s="148"/>
      <c r="REP57" s="148"/>
      <c r="REQ57" s="148"/>
      <c r="RER57" s="148"/>
      <c r="RES57" s="148"/>
      <c r="RET57" s="148"/>
      <c r="REU57" s="148"/>
      <c r="REV57" s="148"/>
      <c r="REW57" s="148"/>
      <c r="REX57" s="148"/>
      <c r="REY57" s="148"/>
      <c r="REZ57" s="148"/>
      <c r="RFA57" s="148"/>
      <c r="RFB57" s="148"/>
      <c r="RFC57" s="148"/>
      <c r="RFD57" s="148"/>
      <c r="RFE57" s="148"/>
      <c r="RFF57" s="148"/>
      <c r="RFG57" s="148"/>
      <c r="RFH57" s="148"/>
      <c r="RFI57" s="148"/>
      <c r="RFJ57" s="148"/>
      <c r="RFK57" s="148"/>
      <c r="RFL57" s="148"/>
      <c r="RFM57" s="148"/>
      <c r="RFN57" s="148"/>
      <c r="RFO57" s="148"/>
      <c r="RFP57" s="148"/>
      <c r="RFQ57" s="148"/>
      <c r="RFR57" s="148"/>
      <c r="RFS57" s="148"/>
      <c r="RFT57" s="148"/>
      <c r="RFU57" s="148"/>
      <c r="RFV57" s="148"/>
      <c r="RFW57" s="148"/>
      <c r="RFX57" s="148"/>
      <c r="RFY57" s="148"/>
      <c r="RFZ57" s="148"/>
      <c r="RGA57" s="148"/>
      <c r="RGB57" s="148"/>
      <c r="RGC57" s="148"/>
      <c r="RGD57" s="148"/>
      <c r="RGE57" s="148"/>
      <c r="RGF57" s="148"/>
      <c r="RGG57" s="148"/>
      <c r="RGH57" s="148"/>
      <c r="RGI57" s="148"/>
      <c r="RGJ57" s="148"/>
      <c r="RGK57" s="148"/>
      <c r="RGL57" s="148"/>
      <c r="RGM57" s="148"/>
      <c r="RGN57" s="148"/>
      <c r="RGO57" s="148"/>
      <c r="RGP57" s="148"/>
      <c r="RGQ57" s="148"/>
      <c r="RGR57" s="148"/>
      <c r="RGS57" s="148"/>
      <c r="RGT57" s="148"/>
      <c r="RGU57" s="148"/>
      <c r="RGV57" s="148"/>
      <c r="RGW57" s="148"/>
      <c r="RGX57" s="148"/>
      <c r="RGY57" s="148"/>
      <c r="RGZ57" s="148"/>
      <c r="RHA57" s="148"/>
      <c r="RHB57" s="148"/>
      <c r="RHC57" s="148"/>
      <c r="RHD57" s="148"/>
      <c r="RHE57" s="148"/>
      <c r="RHF57" s="148"/>
      <c r="RHG57" s="148"/>
      <c r="RHH57" s="148"/>
      <c r="RHI57" s="148"/>
      <c r="RHJ57" s="148"/>
      <c r="RHK57" s="148"/>
      <c r="RHL57" s="148"/>
      <c r="RHM57" s="148"/>
      <c r="RHN57" s="148"/>
      <c r="RHO57" s="148"/>
      <c r="RHP57" s="148"/>
      <c r="RHQ57" s="148"/>
      <c r="RHR57" s="148"/>
      <c r="RHS57" s="148"/>
      <c r="RHT57" s="148"/>
      <c r="RHU57" s="148"/>
      <c r="RHV57" s="148"/>
      <c r="RHW57" s="148"/>
      <c r="RHX57" s="148"/>
      <c r="RHY57" s="148"/>
      <c r="RHZ57" s="148"/>
      <c r="RIA57" s="148"/>
      <c r="RIB57" s="148"/>
      <c r="RIC57" s="148"/>
      <c r="RID57" s="148"/>
      <c r="RIE57" s="148"/>
      <c r="RIF57" s="148"/>
      <c r="RIG57" s="148"/>
      <c r="RIH57" s="148"/>
      <c r="RII57" s="148"/>
      <c r="RIJ57" s="148"/>
      <c r="RIK57" s="148"/>
      <c r="RIL57" s="148"/>
      <c r="RIM57" s="148"/>
      <c r="RIN57" s="148"/>
      <c r="RIO57" s="148"/>
      <c r="RIP57" s="148"/>
      <c r="RIQ57" s="148"/>
      <c r="RIR57" s="148"/>
      <c r="RIS57" s="148"/>
      <c r="RIT57" s="148"/>
      <c r="RIU57" s="148"/>
      <c r="RIV57" s="148"/>
      <c r="RIW57" s="148"/>
      <c r="RIX57" s="148"/>
      <c r="RIY57" s="148"/>
      <c r="RIZ57" s="148"/>
      <c r="RJA57" s="148"/>
      <c r="RJB57" s="148"/>
      <c r="RJC57" s="148"/>
      <c r="RJD57" s="148"/>
      <c r="RJE57" s="148"/>
      <c r="RJF57" s="148"/>
      <c r="RJG57" s="148"/>
      <c r="RJH57" s="148"/>
      <c r="RJI57" s="148"/>
      <c r="RJJ57" s="148"/>
      <c r="RJK57" s="148"/>
      <c r="RJL57" s="148"/>
      <c r="RJM57" s="148"/>
      <c r="RJN57" s="148"/>
      <c r="RJO57" s="148"/>
      <c r="RJP57" s="148"/>
      <c r="RJQ57" s="148"/>
      <c r="RJR57" s="148"/>
      <c r="RJS57" s="148"/>
      <c r="RJT57" s="148"/>
      <c r="RJU57" s="148"/>
      <c r="RJV57" s="148"/>
      <c r="RJW57" s="148"/>
      <c r="RJX57" s="148"/>
      <c r="RJY57" s="148"/>
      <c r="RJZ57" s="148"/>
      <c r="RKA57" s="148"/>
      <c r="RKB57" s="148"/>
      <c r="RKC57" s="148"/>
      <c r="RKD57" s="148"/>
      <c r="RKE57" s="148"/>
      <c r="RKF57" s="148"/>
      <c r="RKG57" s="148"/>
      <c r="RKH57" s="148"/>
      <c r="RKI57" s="148"/>
      <c r="RKJ57" s="148"/>
      <c r="RKK57" s="148"/>
      <c r="RKL57" s="148"/>
      <c r="RKM57" s="148"/>
      <c r="RKN57" s="148"/>
      <c r="RKO57" s="148"/>
      <c r="RKP57" s="148"/>
      <c r="RKQ57" s="148"/>
      <c r="RKR57" s="148"/>
      <c r="RKS57" s="148"/>
      <c r="RKT57" s="148"/>
      <c r="RKU57" s="148"/>
      <c r="RKV57" s="148"/>
      <c r="RKW57" s="148"/>
      <c r="RKX57" s="148"/>
      <c r="RKY57" s="148"/>
      <c r="RKZ57" s="148"/>
      <c r="RLA57" s="148"/>
      <c r="RLB57" s="148"/>
      <c r="RLC57" s="148"/>
      <c r="RLD57" s="148"/>
      <c r="RLE57" s="148"/>
      <c r="RLF57" s="148"/>
      <c r="RLG57" s="148"/>
      <c r="RLH57" s="148"/>
      <c r="RLI57" s="148"/>
      <c r="RLJ57" s="148"/>
      <c r="RLK57" s="148"/>
      <c r="RLL57" s="148"/>
      <c r="RLM57" s="148"/>
      <c r="RLN57" s="148"/>
      <c r="RLO57" s="148"/>
      <c r="RLP57" s="148"/>
      <c r="RLQ57" s="148"/>
      <c r="RLR57" s="148"/>
      <c r="RLS57" s="148"/>
      <c r="RLT57" s="148"/>
      <c r="RLU57" s="148"/>
      <c r="RLV57" s="148"/>
      <c r="RLW57" s="148"/>
      <c r="RLX57" s="148"/>
      <c r="RLY57" s="148"/>
      <c r="RLZ57" s="148"/>
      <c r="RMA57" s="148"/>
      <c r="RMB57" s="148"/>
      <c r="RMC57" s="148"/>
      <c r="RMD57" s="148"/>
      <c r="RME57" s="148"/>
      <c r="RMF57" s="148"/>
      <c r="RMG57" s="148"/>
      <c r="RMH57" s="148"/>
      <c r="RMI57" s="148"/>
      <c r="RMJ57" s="148"/>
      <c r="RMK57" s="148"/>
      <c r="RML57" s="148"/>
      <c r="RMM57" s="148"/>
      <c r="RMN57" s="148"/>
      <c r="RMO57" s="148"/>
      <c r="RMP57" s="148"/>
      <c r="RMQ57" s="148"/>
      <c r="RMR57" s="148"/>
      <c r="RMS57" s="148"/>
      <c r="RMT57" s="148"/>
      <c r="RMU57" s="148"/>
      <c r="RMV57" s="148"/>
      <c r="RMW57" s="148"/>
      <c r="RMX57" s="148"/>
      <c r="RMY57" s="148"/>
      <c r="RMZ57" s="148"/>
      <c r="RNA57" s="148"/>
      <c r="RNB57" s="148"/>
      <c r="RNC57" s="148"/>
      <c r="RND57" s="148"/>
      <c r="RNE57" s="148"/>
      <c r="RNF57" s="148"/>
      <c r="RNG57" s="148"/>
      <c r="RNH57" s="148"/>
      <c r="RNI57" s="148"/>
      <c r="RNJ57" s="148"/>
      <c r="RNK57" s="148"/>
      <c r="RNL57" s="148"/>
      <c r="RNM57" s="148"/>
      <c r="RNN57" s="148"/>
      <c r="RNO57" s="148"/>
      <c r="RNP57" s="148"/>
      <c r="RNQ57" s="148"/>
      <c r="RNR57" s="148"/>
      <c r="RNS57" s="148"/>
      <c r="RNT57" s="148"/>
      <c r="RNU57" s="148"/>
      <c r="RNV57" s="148"/>
      <c r="RNW57" s="148"/>
      <c r="RNX57" s="148"/>
      <c r="RNY57" s="148"/>
      <c r="RNZ57" s="148"/>
      <c r="ROA57" s="148"/>
      <c r="ROB57" s="148"/>
      <c r="ROC57" s="148"/>
      <c r="ROD57" s="148"/>
      <c r="ROE57" s="148"/>
      <c r="ROF57" s="148"/>
      <c r="ROG57" s="148"/>
      <c r="ROH57" s="148"/>
      <c r="ROI57" s="148"/>
      <c r="ROJ57" s="148"/>
      <c r="ROK57" s="148"/>
      <c r="ROL57" s="148"/>
      <c r="ROM57" s="148"/>
      <c r="RON57" s="148"/>
      <c r="ROO57" s="148"/>
      <c r="ROP57" s="148"/>
      <c r="ROQ57" s="148"/>
      <c r="ROR57" s="148"/>
      <c r="ROS57" s="148"/>
      <c r="ROT57" s="148"/>
      <c r="ROU57" s="148"/>
      <c r="ROV57" s="148"/>
      <c r="ROW57" s="148"/>
      <c r="ROX57" s="148"/>
      <c r="ROY57" s="148"/>
      <c r="ROZ57" s="148"/>
      <c r="RPA57" s="148"/>
      <c r="RPB57" s="148"/>
      <c r="RPC57" s="148"/>
      <c r="RPD57" s="148"/>
      <c r="RPE57" s="148"/>
      <c r="RPF57" s="148"/>
      <c r="RPG57" s="148"/>
      <c r="RPH57" s="148"/>
      <c r="RPI57" s="148"/>
      <c r="RPJ57" s="148"/>
      <c r="RPK57" s="148"/>
      <c r="RPL57" s="148"/>
      <c r="RPM57" s="148"/>
      <c r="RPN57" s="148"/>
      <c r="RPO57" s="148"/>
      <c r="RPP57" s="148"/>
      <c r="RPQ57" s="148"/>
      <c r="RPR57" s="148"/>
      <c r="RPS57" s="148"/>
      <c r="RPT57" s="148"/>
      <c r="RPU57" s="148"/>
      <c r="RPV57" s="148"/>
      <c r="RPW57" s="148"/>
      <c r="RPX57" s="148"/>
      <c r="RPY57" s="148"/>
      <c r="RPZ57" s="148"/>
      <c r="RQA57" s="148"/>
      <c r="RQB57" s="148"/>
      <c r="RQC57" s="148"/>
      <c r="RQD57" s="148"/>
      <c r="RQE57" s="148"/>
      <c r="RQF57" s="148"/>
      <c r="RQG57" s="148"/>
      <c r="RQH57" s="148"/>
      <c r="RQI57" s="148"/>
      <c r="RQJ57" s="148"/>
      <c r="RQK57" s="148"/>
      <c r="RQL57" s="148"/>
      <c r="RQM57" s="148"/>
      <c r="RQN57" s="148"/>
      <c r="RQO57" s="148"/>
      <c r="RQP57" s="148"/>
      <c r="RQQ57" s="148"/>
      <c r="RQR57" s="148"/>
      <c r="RQS57" s="148"/>
      <c r="RQT57" s="148"/>
      <c r="RQU57" s="148"/>
      <c r="RQV57" s="148"/>
      <c r="RQW57" s="148"/>
      <c r="RQX57" s="148"/>
      <c r="RQY57" s="148"/>
      <c r="RQZ57" s="148"/>
      <c r="RRA57" s="148"/>
      <c r="RRB57" s="148"/>
      <c r="RRC57" s="148"/>
      <c r="RRD57" s="148"/>
      <c r="RRE57" s="148"/>
      <c r="RRF57" s="148"/>
      <c r="RRG57" s="148"/>
      <c r="RRH57" s="148"/>
      <c r="RRI57" s="148"/>
      <c r="RRJ57" s="148"/>
      <c r="RRK57" s="148"/>
      <c r="RRL57" s="148"/>
      <c r="RRM57" s="148"/>
      <c r="RRN57" s="148"/>
      <c r="RRO57" s="148"/>
      <c r="RRP57" s="148"/>
      <c r="RRQ57" s="148"/>
      <c r="RRR57" s="148"/>
      <c r="RRS57" s="148"/>
      <c r="RRT57" s="148"/>
      <c r="RRU57" s="148"/>
      <c r="RRV57" s="148"/>
      <c r="RRW57" s="148"/>
      <c r="RRX57" s="148"/>
      <c r="RRY57" s="148"/>
      <c r="RRZ57" s="148"/>
      <c r="RSA57" s="148"/>
      <c r="RSB57" s="148"/>
      <c r="RSC57" s="148"/>
      <c r="RSD57" s="148"/>
      <c r="RSE57" s="148"/>
      <c r="RSF57" s="148"/>
      <c r="RSG57" s="148"/>
      <c r="RSH57" s="148"/>
      <c r="RSI57" s="148"/>
      <c r="RSJ57" s="148"/>
      <c r="RSK57" s="148"/>
      <c r="RSL57" s="148"/>
      <c r="RSM57" s="148"/>
      <c r="RSN57" s="148"/>
      <c r="RSO57" s="148"/>
      <c r="RSP57" s="148"/>
      <c r="RSQ57" s="148"/>
      <c r="RSR57" s="148"/>
      <c r="RSS57" s="148"/>
      <c r="RST57" s="148"/>
      <c r="RSU57" s="148"/>
      <c r="RSV57" s="148"/>
      <c r="RSW57" s="148"/>
      <c r="RSX57" s="148"/>
      <c r="RSY57" s="148"/>
      <c r="RSZ57" s="148"/>
      <c r="RTA57" s="148"/>
      <c r="RTB57" s="148"/>
      <c r="RTC57" s="148"/>
      <c r="RTD57" s="148"/>
      <c r="RTE57" s="148"/>
      <c r="RTF57" s="148"/>
      <c r="RTG57" s="148"/>
      <c r="RTH57" s="148"/>
      <c r="RTI57" s="148"/>
      <c r="RTJ57" s="148"/>
      <c r="RTK57" s="148"/>
      <c r="RTL57" s="148"/>
      <c r="RTM57" s="148"/>
      <c r="RTN57" s="148"/>
      <c r="RTO57" s="148"/>
      <c r="RTP57" s="148"/>
      <c r="RTQ57" s="148"/>
      <c r="RTR57" s="148"/>
      <c r="RTS57" s="148"/>
      <c r="RTT57" s="148"/>
      <c r="RTU57" s="148"/>
      <c r="RTV57" s="148"/>
      <c r="RTW57" s="148"/>
      <c r="RTX57" s="148"/>
      <c r="RTY57" s="148"/>
      <c r="RTZ57" s="148"/>
      <c r="RUA57" s="148"/>
      <c r="RUB57" s="148"/>
      <c r="RUC57" s="148"/>
      <c r="RUD57" s="148"/>
      <c r="RUE57" s="148"/>
      <c r="RUF57" s="148"/>
      <c r="RUG57" s="148"/>
      <c r="RUH57" s="148"/>
      <c r="RUI57" s="148"/>
      <c r="RUJ57" s="148"/>
      <c r="RUK57" s="148"/>
      <c r="RUL57" s="148"/>
      <c r="RUM57" s="148"/>
      <c r="RUN57" s="148"/>
      <c r="RUO57" s="148"/>
      <c r="RUP57" s="148"/>
      <c r="RUQ57" s="148"/>
      <c r="RUR57" s="148"/>
      <c r="RUS57" s="148"/>
      <c r="RUT57" s="148"/>
      <c r="RUU57" s="148"/>
      <c r="RUV57" s="148"/>
      <c r="RUW57" s="148"/>
      <c r="RUX57" s="148"/>
      <c r="RUY57" s="148"/>
      <c r="RUZ57" s="148"/>
      <c r="RVA57" s="148"/>
      <c r="RVB57" s="148"/>
      <c r="RVC57" s="148"/>
      <c r="RVD57" s="148"/>
      <c r="RVE57" s="148"/>
      <c r="RVF57" s="148"/>
      <c r="RVG57" s="148"/>
      <c r="RVH57" s="148"/>
      <c r="RVI57" s="148"/>
      <c r="RVJ57" s="148"/>
      <c r="RVK57" s="148"/>
      <c r="RVL57" s="148"/>
      <c r="RVM57" s="148"/>
      <c r="RVN57" s="148"/>
      <c r="RVO57" s="148"/>
      <c r="RVP57" s="148"/>
      <c r="RVQ57" s="148"/>
      <c r="RVR57" s="148"/>
      <c r="RVS57" s="148"/>
      <c r="RVT57" s="148"/>
      <c r="RVU57" s="148"/>
      <c r="RVV57" s="148"/>
      <c r="RVW57" s="148"/>
      <c r="RVX57" s="148"/>
      <c r="RVY57" s="148"/>
      <c r="RVZ57" s="148"/>
      <c r="RWA57" s="148"/>
      <c r="RWB57" s="148"/>
      <c r="RWC57" s="148"/>
      <c r="RWD57" s="148"/>
      <c r="RWE57" s="148"/>
      <c r="RWF57" s="148"/>
      <c r="RWG57" s="148"/>
      <c r="RWH57" s="148"/>
      <c r="RWI57" s="148"/>
      <c r="RWJ57" s="148"/>
      <c r="RWK57" s="148"/>
      <c r="RWL57" s="148"/>
      <c r="RWM57" s="148"/>
      <c r="RWN57" s="148"/>
      <c r="RWO57" s="148"/>
      <c r="RWP57" s="148"/>
      <c r="RWQ57" s="148"/>
      <c r="RWR57" s="148"/>
      <c r="RWS57" s="148"/>
      <c r="RWT57" s="148"/>
      <c r="RWU57" s="148"/>
      <c r="RWV57" s="148"/>
      <c r="RWW57" s="148"/>
      <c r="RWX57" s="148"/>
      <c r="RWY57" s="148"/>
      <c r="RWZ57" s="148"/>
      <c r="RXA57" s="148"/>
      <c r="RXB57" s="148"/>
      <c r="RXC57" s="148"/>
      <c r="RXD57" s="148"/>
      <c r="RXE57" s="148"/>
      <c r="RXF57" s="148"/>
      <c r="RXG57" s="148"/>
      <c r="RXH57" s="148"/>
      <c r="RXI57" s="148"/>
      <c r="RXJ57" s="148"/>
      <c r="RXK57" s="148"/>
      <c r="RXL57" s="148"/>
      <c r="RXM57" s="148"/>
      <c r="RXN57" s="148"/>
      <c r="RXO57" s="148"/>
      <c r="RXP57" s="148"/>
      <c r="RXQ57" s="148"/>
      <c r="RXR57" s="148"/>
      <c r="RXS57" s="148"/>
      <c r="RXT57" s="148"/>
      <c r="RXU57" s="148"/>
      <c r="RXV57" s="148"/>
      <c r="RXW57" s="148"/>
      <c r="RXX57" s="148"/>
      <c r="RXY57" s="148"/>
      <c r="RXZ57" s="148"/>
      <c r="RYA57" s="148"/>
      <c r="RYB57" s="148"/>
      <c r="RYC57" s="148"/>
      <c r="RYD57" s="148"/>
      <c r="RYE57" s="148"/>
      <c r="RYF57" s="148"/>
      <c r="RYG57" s="148"/>
      <c r="RYH57" s="148"/>
      <c r="RYI57" s="148"/>
      <c r="RYJ57" s="148"/>
      <c r="RYK57" s="148"/>
      <c r="RYL57" s="148"/>
      <c r="RYM57" s="148"/>
      <c r="RYN57" s="148"/>
      <c r="RYO57" s="148"/>
      <c r="RYP57" s="148"/>
      <c r="RYQ57" s="148"/>
      <c r="RYR57" s="148"/>
      <c r="RYS57" s="148"/>
      <c r="RYT57" s="148"/>
      <c r="RYU57" s="148"/>
      <c r="RYV57" s="148"/>
      <c r="RYW57" s="148"/>
      <c r="RYX57" s="148"/>
      <c r="RYY57" s="148"/>
      <c r="RYZ57" s="148"/>
      <c r="RZA57" s="148"/>
      <c r="RZB57" s="148"/>
      <c r="RZC57" s="148"/>
      <c r="RZD57" s="148"/>
      <c r="RZE57" s="148"/>
      <c r="RZF57" s="148"/>
      <c r="RZG57" s="148"/>
      <c r="RZH57" s="148"/>
      <c r="RZI57" s="148"/>
      <c r="RZJ57" s="148"/>
      <c r="RZK57" s="148"/>
      <c r="RZL57" s="148"/>
      <c r="RZM57" s="148"/>
      <c r="RZN57" s="148"/>
      <c r="RZO57" s="148"/>
      <c r="RZP57" s="148"/>
      <c r="RZQ57" s="148"/>
      <c r="RZR57" s="148"/>
      <c r="RZS57" s="148"/>
      <c r="RZT57" s="148"/>
      <c r="RZU57" s="148"/>
      <c r="RZV57" s="148"/>
      <c r="RZW57" s="148"/>
      <c r="RZX57" s="148"/>
      <c r="RZY57" s="148"/>
      <c r="RZZ57" s="148"/>
      <c r="SAA57" s="148"/>
      <c r="SAB57" s="148"/>
      <c r="SAC57" s="148"/>
      <c r="SAD57" s="148"/>
      <c r="SAE57" s="148"/>
      <c r="SAF57" s="148"/>
      <c r="SAG57" s="148"/>
      <c r="SAH57" s="148"/>
      <c r="SAI57" s="148"/>
      <c r="SAJ57" s="148"/>
      <c r="SAK57" s="148"/>
      <c r="SAL57" s="148"/>
      <c r="SAM57" s="148"/>
      <c r="SAN57" s="148"/>
      <c r="SAO57" s="148"/>
      <c r="SAP57" s="148"/>
      <c r="SAQ57" s="148"/>
      <c r="SAR57" s="148"/>
      <c r="SAS57" s="148"/>
      <c r="SAT57" s="148"/>
      <c r="SAU57" s="148"/>
      <c r="SAV57" s="148"/>
      <c r="SAW57" s="148"/>
      <c r="SAX57" s="148"/>
      <c r="SAY57" s="148"/>
      <c r="SAZ57" s="148"/>
      <c r="SBA57" s="148"/>
      <c r="SBB57" s="148"/>
      <c r="SBC57" s="148"/>
      <c r="SBD57" s="148"/>
      <c r="SBE57" s="148"/>
      <c r="SBF57" s="148"/>
      <c r="SBG57" s="148"/>
      <c r="SBH57" s="148"/>
      <c r="SBI57" s="148"/>
      <c r="SBJ57" s="148"/>
      <c r="SBK57" s="148"/>
      <c r="SBL57" s="148"/>
      <c r="SBM57" s="148"/>
      <c r="SBN57" s="148"/>
      <c r="SBO57" s="148"/>
      <c r="SBP57" s="148"/>
      <c r="SBQ57" s="148"/>
      <c r="SBR57" s="148"/>
      <c r="SBS57" s="148"/>
      <c r="SBT57" s="148"/>
      <c r="SBU57" s="148"/>
      <c r="SBV57" s="148"/>
      <c r="SBW57" s="148"/>
      <c r="SBX57" s="148"/>
      <c r="SBY57" s="148"/>
      <c r="SBZ57" s="148"/>
      <c r="SCA57" s="148"/>
      <c r="SCB57" s="148"/>
      <c r="SCC57" s="148"/>
      <c r="SCD57" s="148"/>
      <c r="SCE57" s="148"/>
      <c r="SCF57" s="148"/>
      <c r="SCG57" s="148"/>
      <c r="SCH57" s="148"/>
      <c r="SCI57" s="148"/>
      <c r="SCJ57" s="148"/>
      <c r="SCK57" s="148"/>
      <c r="SCL57" s="148"/>
      <c r="SCM57" s="148"/>
      <c r="SCN57" s="148"/>
      <c r="SCO57" s="148"/>
      <c r="SCP57" s="148"/>
      <c r="SCQ57" s="148"/>
      <c r="SCR57" s="148"/>
      <c r="SCS57" s="148"/>
      <c r="SCT57" s="148"/>
      <c r="SCU57" s="148"/>
      <c r="SCV57" s="148"/>
      <c r="SCW57" s="148"/>
      <c r="SCX57" s="148"/>
      <c r="SCY57" s="148"/>
      <c r="SCZ57" s="148"/>
      <c r="SDA57" s="148"/>
      <c r="SDB57" s="148"/>
      <c r="SDC57" s="148"/>
      <c r="SDD57" s="148"/>
      <c r="SDE57" s="148"/>
      <c r="SDF57" s="148"/>
      <c r="SDG57" s="148"/>
      <c r="SDH57" s="148"/>
      <c r="SDI57" s="148"/>
      <c r="SDJ57" s="148"/>
      <c r="SDK57" s="148"/>
      <c r="SDL57" s="148"/>
      <c r="SDM57" s="148"/>
      <c r="SDN57" s="148"/>
      <c r="SDO57" s="148"/>
      <c r="SDP57" s="148"/>
      <c r="SDQ57" s="148"/>
      <c r="SDR57" s="148"/>
      <c r="SDS57" s="148"/>
      <c r="SDT57" s="148"/>
      <c r="SDU57" s="148"/>
      <c r="SDV57" s="148"/>
      <c r="SDW57" s="148"/>
      <c r="SDX57" s="148"/>
      <c r="SDY57" s="148"/>
      <c r="SDZ57" s="148"/>
      <c r="SEA57" s="148"/>
      <c r="SEB57" s="148"/>
      <c r="SEC57" s="148"/>
      <c r="SED57" s="148"/>
      <c r="SEE57" s="148"/>
      <c r="SEF57" s="148"/>
      <c r="SEG57" s="148"/>
      <c r="SEH57" s="148"/>
      <c r="SEI57" s="148"/>
      <c r="SEJ57" s="148"/>
      <c r="SEK57" s="148"/>
      <c r="SEL57" s="148"/>
      <c r="SEM57" s="148"/>
      <c r="SEN57" s="148"/>
      <c r="SEO57" s="148"/>
      <c r="SEP57" s="148"/>
      <c r="SEQ57" s="148"/>
      <c r="SER57" s="148"/>
      <c r="SES57" s="148"/>
      <c r="SET57" s="148"/>
      <c r="SEU57" s="148"/>
      <c r="SEV57" s="148"/>
      <c r="SEW57" s="148"/>
      <c r="SEX57" s="148"/>
      <c r="SEY57" s="148"/>
      <c r="SEZ57" s="148"/>
      <c r="SFA57" s="148"/>
      <c r="SFB57" s="148"/>
      <c r="SFC57" s="148"/>
      <c r="SFD57" s="148"/>
      <c r="SFE57" s="148"/>
      <c r="SFF57" s="148"/>
      <c r="SFG57" s="148"/>
      <c r="SFH57" s="148"/>
      <c r="SFI57" s="148"/>
      <c r="SFJ57" s="148"/>
      <c r="SFK57" s="148"/>
      <c r="SFL57" s="148"/>
      <c r="SFM57" s="148"/>
      <c r="SFN57" s="148"/>
      <c r="SFO57" s="148"/>
      <c r="SFP57" s="148"/>
      <c r="SFQ57" s="148"/>
      <c r="SFR57" s="148"/>
      <c r="SFS57" s="148"/>
      <c r="SFT57" s="148"/>
      <c r="SFU57" s="148"/>
      <c r="SFV57" s="148"/>
      <c r="SFW57" s="148"/>
      <c r="SFX57" s="148"/>
      <c r="SFY57" s="148"/>
      <c r="SFZ57" s="148"/>
      <c r="SGA57" s="148"/>
      <c r="SGB57" s="148"/>
      <c r="SGC57" s="148"/>
      <c r="SGD57" s="148"/>
      <c r="SGE57" s="148"/>
      <c r="SGF57" s="148"/>
      <c r="SGG57" s="148"/>
      <c r="SGH57" s="148"/>
      <c r="SGI57" s="148"/>
      <c r="SGJ57" s="148"/>
      <c r="SGK57" s="148"/>
      <c r="SGL57" s="148"/>
      <c r="SGM57" s="148"/>
      <c r="SGN57" s="148"/>
      <c r="SGO57" s="148"/>
      <c r="SGP57" s="148"/>
      <c r="SGQ57" s="148"/>
      <c r="SGR57" s="148"/>
      <c r="SGS57" s="148"/>
      <c r="SGT57" s="148"/>
      <c r="SGU57" s="148"/>
      <c r="SGV57" s="148"/>
      <c r="SGW57" s="148"/>
      <c r="SGX57" s="148"/>
      <c r="SGY57" s="148"/>
      <c r="SGZ57" s="148"/>
      <c r="SHA57" s="148"/>
      <c r="SHB57" s="148"/>
      <c r="SHC57" s="148"/>
      <c r="SHD57" s="148"/>
      <c r="SHE57" s="148"/>
      <c r="SHF57" s="148"/>
      <c r="SHG57" s="148"/>
      <c r="SHH57" s="148"/>
      <c r="SHI57" s="148"/>
      <c r="SHJ57" s="148"/>
      <c r="SHK57" s="148"/>
      <c r="SHL57" s="148"/>
      <c r="SHM57" s="148"/>
      <c r="SHN57" s="148"/>
      <c r="SHO57" s="148"/>
      <c r="SHP57" s="148"/>
      <c r="SHQ57" s="148"/>
      <c r="SHR57" s="148"/>
      <c r="SHS57" s="148"/>
      <c r="SHT57" s="148"/>
      <c r="SHU57" s="148"/>
      <c r="SHV57" s="148"/>
      <c r="SHW57" s="148"/>
      <c r="SHX57" s="148"/>
      <c r="SHY57" s="148"/>
      <c r="SHZ57" s="148"/>
      <c r="SIA57" s="148"/>
      <c r="SIB57" s="148"/>
      <c r="SIC57" s="148"/>
      <c r="SID57" s="148"/>
      <c r="SIE57" s="148"/>
      <c r="SIF57" s="148"/>
      <c r="SIG57" s="148"/>
      <c r="SIH57" s="148"/>
      <c r="SII57" s="148"/>
      <c r="SIJ57" s="148"/>
      <c r="SIK57" s="148"/>
      <c r="SIL57" s="148"/>
      <c r="SIM57" s="148"/>
      <c r="SIN57" s="148"/>
      <c r="SIO57" s="148"/>
      <c r="SIP57" s="148"/>
      <c r="SIQ57" s="148"/>
      <c r="SIR57" s="148"/>
      <c r="SIS57" s="148"/>
      <c r="SIT57" s="148"/>
      <c r="SIU57" s="148"/>
      <c r="SIV57" s="148"/>
      <c r="SIW57" s="148"/>
      <c r="SIX57" s="148"/>
      <c r="SIY57" s="148"/>
      <c r="SIZ57" s="148"/>
      <c r="SJA57" s="148"/>
      <c r="SJB57" s="148"/>
      <c r="SJC57" s="148"/>
      <c r="SJD57" s="148"/>
      <c r="SJE57" s="148"/>
      <c r="SJF57" s="148"/>
      <c r="SJG57" s="148"/>
      <c r="SJH57" s="148"/>
      <c r="SJI57" s="148"/>
      <c r="SJJ57" s="148"/>
      <c r="SJK57" s="148"/>
      <c r="SJL57" s="148"/>
      <c r="SJM57" s="148"/>
      <c r="SJN57" s="148"/>
      <c r="SJO57" s="148"/>
      <c r="SJP57" s="148"/>
      <c r="SJQ57" s="148"/>
      <c r="SJR57" s="148"/>
      <c r="SJS57" s="148"/>
      <c r="SJT57" s="148"/>
      <c r="SJU57" s="148"/>
      <c r="SJV57" s="148"/>
      <c r="SJW57" s="148"/>
      <c r="SJX57" s="148"/>
      <c r="SJY57" s="148"/>
      <c r="SJZ57" s="148"/>
      <c r="SKA57" s="148"/>
      <c r="SKB57" s="148"/>
      <c r="SKC57" s="148"/>
      <c r="SKD57" s="148"/>
      <c r="SKE57" s="148"/>
      <c r="SKF57" s="148"/>
      <c r="SKG57" s="148"/>
      <c r="SKH57" s="148"/>
      <c r="SKI57" s="148"/>
      <c r="SKJ57" s="148"/>
      <c r="SKK57" s="148"/>
      <c r="SKL57" s="148"/>
      <c r="SKM57" s="148"/>
      <c r="SKN57" s="148"/>
      <c r="SKO57" s="148"/>
      <c r="SKP57" s="148"/>
      <c r="SKQ57" s="148"/>
      <c r="SKR57" s="148"/>
      <c r="SKS57" s="148"/>
      <c r="SKT57" s="148"/>
      <c r="SKU57" s="148"/>
      <c r="SKV57" s="148"/>
      <c r="SKW57" s="148"/>
      <c r="SKX57" s="148"/>
      <c r="SKY57" s="148"/>
      <c r="SKZ57" s="148"/>
      <c r="SLA57" s="148"/>
      <c r="SLB57" s="148"/>
      <c r="SLC57" s="148"/>
      <c r="SLD57" s="148"/>
      <c r="SLE57" s="148"/>
      <c r="SLF57" s="148"/>
      <c r="SLG57" s="148"/>
      <c r="SLH57" s="148"/>
      <c r="SLI57" s="148"/>
      <c r="SLJ57" s="148"/>
      <c r="SLK57" s="148"/>
      <c r="SLL57" s="148"/>
      <c r="SLM57" s="148"/>
      <c r="SLN57" s="148"/>
      <c r="SLO57" s="148"/>
      <c r="SLP57" s="148"/>
      <c r="SLQ57" s="148"/>
      <c r="SLR57" s="148"/>
      <c r="SLS57" s="148"/>
      <c r="SLT57" s="148"/>
      <c r="SLU57" s="148"/>
      <c r="SLV57" s="148"/>
      <c r="SLW57" s="148"/>
      <c r="SLX57" s="148"/>
      <c r="SLY57" s="148"/>
      <c r="SLZ57" s="148"/>
      <c r="SMA57" s="148"/>
      <c r="SMB57" s="148"/>
      <c r="SMC57" s="148"/>
      <c r="SMD57" s="148"/>
      <c r="SME57" s="148"/>
      <c r="SMF57" s="148"/>
      <c r="SMG57" s="148"/>
      <c r="SMH57" s="148"/>
      <c r="SMI57" s="148"/>
      <c r="SMJ57" s="148"/>
      <c r="SMK57" s="148"/>
      <c r="SML57" s="148"/>
      <c r="SMM57" s="148"/>
      <c r="SMN57" s="148"/>
      <c r="SMO57" s="148"/>
      <c r="SMP57" s="148"/>
      <c r="SMQ57" s="148"/>
      <c r="SMR57" s="148"/>
      <c r="SMS57" s="148"/>
      <c r="SMT57" s="148"/>
      <c r="SMU57" s="148"/>
      <c r="SMV57" s="148"/>
      <c r="SMW57" s="148"/>
      <c r="SMX57" s="148"/>
      <c r="SMY57" s="148"/>
      <c r="SMZ57" s="148"/>
      <c r="SNA57" s="148"/>
      <c r="SNB57" s="148"/>
      <c r="SNC57" s="148"/>
      <c r="SND57" s="148"/>
      <c r="SNE57" s="148"/>
      <c r="SNF57" s="148"/>
      <c r="SNG57" s="148"/>
      <c r="SNH57" s="148"/>
      <c r="SNI57" s="148"/>
      <c r="SNJ57" s="148"/>
      <c r="SNK57" s="148"/>
      <c r="SNL57" s="148"/>
      <c r="SNM57" s="148"/>
      <c r="SNN57" s="148"/>
      <c r="SNO57" s="148"/>
      <c r="SNP57" s="148"/>
      <c r="SNQ57" s="148"/>
      <c r="SNR57" s="148"/>
      <c r="SNS57" s="148"/>
      <c r="SNT57" s="148"/>
      <c r="SNU57" s="148"/>
      <c r="SNV57" s="148"/>
      <c r="SNW57" s="148"/>
      <c r="SNX57" s="148"/>
      <c r="SNY57" s="148"/>
      <c r="SNZ57" s="148"/>
      <c r="SOA57" s="148"/>
      <c r="SOB57" s="148"/>
      <c r="SOC57" s="148"/>
      <c r="SOD57" s="148"/>
      <c r="SOE57" s="148"/>
      <c r="SOF57" s="148"/>
      <c r="SOG57" s="148"/>
      <c r="SOH57" s="148"/>
      <c r="SOI57" s="148"/>
      <c r="SOJ57" s="148"/>
      <c r="SOK57" s="148"/>
      <c r="SOL57" s="148"/>
      <c r="SOM57" s="148"/>
      <c r="SON57" s="148"/>
      <c r="SOO57" s="148"/>
      <c r="SOP57" s="148"/>
      <c r="SOQ57" s="148"/>
      <c r="SOR57" s="148"/>
      <c r="SOS57" s="148"/>
      <c r="SOT57" s="148"/>
      <c r="SOU57" s="148"/>
      <c r="SOV57" s="148"/>
      <c r="SOW57" s="148"/>
      <c r="SOX57" s="148"/>
      <c r="SOY57" s="148"/>
      <c r="SOZ57" s="148"/>
      <c r="SPA57" s="148"/>
      <c r="SPB57" s="148"/>
      <c r="SPC57" s="148"/>
      <c r="SPD57" s="148"/>
      <c r="SPE57" s="148"/>
      <c r="SPF57" s="148"/>
      <c r="SPG57" s="148"/>
      <c r="SPH57" s="148"/>
      <c r="SPI57" s="148"/>
      <c r="SPJ57" s="148"/>
      <c r="SPK57" s="148"/>
      <c r="SPL57" s="148"/>
      <c r="SPM57" s="148"/>
      <c r="SPN57" s="148"/>
      <c r="SPO57" s="148"/>
      <c r="SPP57" s="148"/>
      <c r="SPQ57" s="148"/>
      <c r="SPR57" s="148"/>
      <c r="SPS57" s="148"/>
      <c r="SPT57" s="148"/>
      <c r="SPU57" s="148"/>
      <c r="SPV57" s="148"/>
      <c r="SPW57" s="148"/>
      <c r="SPX57" s="148"/>
      <c r="SPY57" s="148"/>
      <c r="SPZ57" s="148"/>
      <c r="SQA57" s="148"/>
      <c r="SQB57" s="148"/>
      <c r="SQC57" s="148"/>
      <c r="SQD57" s="148"/>
      <c r="SQE57" s="148"/>
      <c r="SQF57" s="148"/>
      <c r="SQG57" s="148"/>
      <c r="SQH57" s="148"/>
      <c r="SQI57" s="148"/>
      <c r="SQJ57" s="148"/>
      <c r="SQK57" s="148"/>
      <c r="SQL57" s="148"/>
      <c r="SQM57" s="148"/>
      <c r="SQN57" s="148"/>
      <c r="SQO57" s="148"/>
      <c r="SQP57" s="148"/>
      <c r="SQQ57" s="148"/>
      <c r="SQR57" s="148"/>
      <c r="SQS57" s="148"/>
      <c r="SQT57" s="148"/>
      <c r="SQU57" s="148"/>
      <c r="SQV57" s="148"/>
      <c r="SQW57" s="148"/>
      <c r="SQX57" s="148"/>
      <c r="SQY57" s="148"/>
      <c r="SQZ57" s="148"/>
      <c r="SRA57" s="148"/>
      <c r="SRB57" s="148"/>
      <c r="SRC57" s="148"/>
      <c r="SRD57" s="148"/>
      <c r="SRE57" s="148"/>
      <c r="SRF57" s="148"/>
      <c r="SRG57" s="148"/>
      <c r="SRH57" s="148"/>
      <c r="SRI57" s="148"/>
      <c r="SRJ57" s="148"/>
      <c r="SRK57" s="148"/>
      <c r="SRL57" s="148"/>
      <c r="SRM57" s="148"/>
      <c r="SRN57" s="148"/>
      <c r="SRO57" s="148"/>
      <c r="SRP57" s="148"/>
      <c r="SRQ57" s="148"/>
      <c r="SRR57" s="148"/>
      <c r="SRS57" s="148"/>
      <c r="SRT57" s="148"/>
      <c r="SRU57" s="148"/>
      <c r="SRV57" s="148"/>
      <c r="SRW57" s="148"/>
      <c r="SRX57" s="148"/>
      <c r="SRY57" s="148"/>
      <c r="SRZ57" s="148"/>
      <c r="SSA57" s="148"/>
      <c r="SSB57" s="148"/>
      <c r="SSC57" s="148"/>
      <c r="SSD57" s="148"/>
      <c r="SSE57" s="148"/>
      <c r="SSF57" s="148"/>
      <c r="SSG57" s="148"/>
      <c r="SSH57" s="148"/>
      <c r="SSI57" s="148"/>
      <c r="SSJ57" s="148"/>
      <c r="SSK57" s="148"/>
      <c r="SSL57" s="148"/>
      <c r="SSM57" s="148"/>
      <c r="SSN57" s="148"/>
      <c r="SSO57" s="148"/>
      <c r="SSP57" s="148"/>
      <c r="SSQ57" s="148"/>
      <c r="SSR57" s="148"/>
      <c r="SSS57" s="148"/>
      <c r="SST57" s="148"/>
      <c r="SSU57" s="148"/>
      <c r="SSV57" s="148"/>
      <c r="SSW57" s="148"/>
      <c r="SSX57" s="148"/>
      <c r="SSY57" s="148"/>
      <c r="SSZ57" s="148"/>
      <c r="STA57" s="148"/>
      <c r="STB57" s="148"/>
      <c r="STC57" s="148"/>
      <c r="STD57" s="148"/>
      <c r="STE57" s="148"/>
      <c r="STF57" s="148"/>
      <c r="STG57" s="148"/>
      <c r="STH57" s="148"/>
      <c r="STI57" s="148"/>
      <c r="STJ57" s="148"/>
      <c r="STK57" s="148"/>
      <c r="STL57" s="148"/>
      <c r="STM57" s="148"/>
      <c r="STN57" s="148"/>
      <c r="STO57" s="148"/>
      <c r="STP57" s="148"/>
      <c r="STQ57" s="148"/>
      <c r="STR57" s="148"/>
      <c r="STS57" s="148"/>
      <c r="STT57" s="148"/>
      <c r="STU57" s="148"/>
      <c r="STV57" s="148"/>
      <c r="STW57" s="148"/>
      <c r="STX57" s="148"/>
      <c r="STY57" s="148"/>
      <c r="STZ57" s="148"/>
      <c r="SUA57" s="148"/>
      <c r="SUB57" s="148"/>
      <c r="SUC57" s="148"/>
      <c r="SUD57" s="148"/>
      <c r="SUE57" s="148"/>
      <c r="SUF57" s="148"/>
      <c r="SUG57" s="148"/>
      <c r="SUH57" s="148"/>
      <c r="SUI57" s="148"/>
      <c r="SUJ57" s="148"/>
      <c r="SUK57" s="148"/>
      <c r="SUL57" s="148"/>
      <c r="SUM57" s="148"/>
      <c r="SUN57" s="148"/>
      <c r="SUO57" s="148"/>
      <c r="SUP57" s="148"/>
      <c r="SUQ57" s="148"/>
      <c r="SUR57" s="148"/>
      <c r="SUS57" s="148"/>
      <c r="SUT57" s="148"/>
      <c r="SUU57" s="148"/>
      <c r="SUV57" s="148"/>
      <c r="SUW57" s="148"/>
      <c r="SUX57" s="148"/>
      <c r="SUY57" s="148"/>
      <c r="SUZ57" s="148"/>
      <c r="SVA57" s="148"/>
      <c r="SVB57" s="148"/>
      <c r="SVC57" s="148"/>
      <c r="SVD57" s="148"/>
      <c r="SVE57" s="148"/>
      <c r="SVF57" s="148"/>
      <c r="SVG57" s="148"/>
      <c r="SVH57" s="148"/>
      <c r="SVI57" s="148"/>
      <c r="SVJ57" s="148"/>
      <c r="SVK57" s="148"/>
      <c r="SVL57" s="148"/>
      <c r="SVM57" s="148"/>
      <c r="SVN57" s="148"/>
      <c r="SVO57" s="148"/>
      <c r="SVP57" s="148"/>
      <c r="SVQ57" s="148"/>
      <c r="SVR57" s="148"/>
      <c r="SVS57" s="148"/>
      <c r="SVT57" s="148"/>
      <c r="SVU57" s="148"/>
      <c r="SVV57" s="148"/>
      <c r="SVW57" s="148"/>
      <c r="SVX57" s="148"/>
      <c r="SVY57" s="148"/>
      <c r="SVZ57" s="148"/>
      <c r="SWA57" s="148"/>
      <c r="SWB57" s="148"/>
      <c r="SWC57" s="148"/>
      <c r="SWD57" s="148"/>
      <c r="SWE57" s="148"/>
      <c r="SWF57" s="148"/>
      <c r="SWG57" s="148"/>
      <c r="SWH57" s="148"/>
      <c r="SWI57" s="148"/>
      <c r="SWJ57" s="148"/>
      <c r="SWK57" s="148"/>
      <c r="SWL57" s="148"/>
      <c r="SWM57" s="148"/>
      <c r="SWN57" s="148"/>
      <c r="SWO57" s="148"/>
      <c r="SWP57" s="148"/>
      <c r="SWQ57" s="148"/>
      <c r="SWR57" s="148"/>
      <c r="SWS57" s="148"/>
      <c r="SWT57" s="148"/>
      <c r="SWU57" s="148"/>
      <c r="SWV57" s="148"/>
      <c r="SWW57" s="148"/>
      <c r="SWX57" s="148"/>
      <c r="SWY57" s="148"/>
      <c r="SWZ57" s="148"/>
      <c r="SXA57" s="148"/>
      <c r="SXB57" s="148"/>
      <c r="SXC57" s="148"/>
      <c r="SXD57" s="148"/>
      <c r="SXE57" s="148"/>
      <c r="SXF57" s="148"/>
      <c r="SXG57" s="148"/>
      <c r="SXH57" s="148"/>
      <c r="SXI57" s="148"/>
      <c r="SXJ57" s="148"/>
      <c r="SXK57" s="148"/>
      <c r="SXL57" s="148"/>
      <c r="SXM57" s="148"/>
      <c r="SXN57" s="148"/>
      <c r="SXO57" s="148"/>
      <c r="SXP57" s="148"/>
      <c r="SXQ57" s="148"/>
      <c r="SXR57" s="148"/>
      <c r="SXS57" s="148"/>
      <c r="SXT57" s="148"/>
      <c r="SXU57" s="148"/>
      <c r="SXV57" s="148"/>
      <c r="SXW57" s="148"/>
      <c r="SXX57" s="148"/>
      <c r="SXY57" s="148"/>
      <c r="SXZ57" s="148"/>
      <c r="SYA57" s="148"/>
      <c r="SYB57" s="148"/>
      <c r="SYC57" s="148"/>
      <c r="SYD57" s="148"/>
      <c r="SYE57" s="148"/>
      <c r="SYF57" s="148"/>
      <c r="SYG57" s="148"/>
      <c r="SYH57" s="148"/>
      <c r="SYI57" s="148"/>
      <c r="SYJ57" s="148"/>
      <c r="SYK57" s="148"/>
      <c r="SYL57" s="148"/>
      <c r="SYM57" s="148"/>
      <c r="SYN57" s="148"/>
      <c r="SYO57" s="148"/>
      <c r="SYP57" s="148"/>
      <c r="SYQ57" s="148"/>
      <c r="SYR57" s="148"/>
      <c r="SYS57" s="148"/>
      <c r="SYT57" s="148"/>
      <c r="SYU57" s="148"/>
      <c r="SYV57" s="148"/>
      <c r="SYW57" s="148"/>
      <c r="SYX57" s="148"/>
      <c r="SYY57" s="148"/>
      <c r="SYZ57" s="148"/>
      <c r="SZA57" s="148"/>
      <c r="SZB57" s="148"/>
      <c r="SZC57" s="148"/>
      <c r="SZD57" s="148"/>
      <c r="SZE57" s="148"/>
      <c r="SZF57" s="148"/>
      <c r="SZG57" s="148"/>
      <c r="SZH57" s="148"/>
      <c r="SZI57" s="148"/>
      <c r="SZJ57" s="148"/>
      <c r="SZK57" s="148"/>
      <c r="SZL57" s="148"/>
      <c r="SZM57" s="148"/>
      <c r="SZN57" s="148"/>
      <c r="SZO57" s="148"/>
      <c r="SZP57" s="148"/>
      <c r="SZQ57" s="148"/>
      <c r="SZR57" s="148"/>
      <c r="SZS57" s="148"/>
      <c r="SZT57" s="148"/>
      <c r="SZU57" s="148"/>
      <c r="SZV57" s="148"/>
      <c r="SZW57" s="148"/>
      <c r="SZX57" s="148"/>
      <c r="SZY57" s="148"/>
      <c r="SZZ57" s="148"/>
      <c r="TAA57" s="148"/>
      <c r="TAB57" s="148"/>
      <c r="TAC57" s="148"/>
      <c r="TAD57" s="148"/>
      <c r="TAE57" s="148"/>
      <c r="TAF57" s="148"/>
      <c r="TAG57" s="148"/>
      <c r="TAH57" s="148"/>
      <c r="TAI57" s="148"/>
      <c r="TAJ57" s="148"/>
      <c r="TAK57" s="148"/>
      <c r="TAL57" s="148"/>
      <c r="TAM57" s="148"/>
      <c r="TAN57" s="148"/>
      <c r="TAO57" s="148"/>
      <c r="TAP57" s="148"/>
      <c r="TAQ57" s="148"/>
      <c r="TAR57" s="148"/>
      <c r="TAS57" s="148"/>
      <c r="TAT57" s="148"/>
      <c r="TAU57" s="148"/>
      <c r="TAV57" s="148"/>
      <c r="TAW57" s="148"/>
      <c r="TAX57" s="148"/>
      <c r="TAY57" s="148"/>
      <c r="TAZ57" s="148"/>
      <c r="TBA57" s="148"/>
      <c r="TBB57" s="148"/>
      <c r="TBC57" s="148"/>
      <c r="TBD57" s="148"/>
      <c r="TBE57" s="148"/>
      <c r="TBF57" s="148"/>
      <c r="TBG57" s="148"/>
      <c r="TBH57" s="148"/>
      <c r="TBI57" s="148"/>
      <c r="TBJ57" s="148"/>
      <c r="TBK57" s="148"/>
      <c r="TBL57" s="148"/>
      <c r="TBM57" s="148"/>
      <c r="TBN57" s="148"/>
      <c r="TBO57" s="148"/>
      <c r="TBP57" s="148"/>
      <c r="TBQ57" s="148"/>
      <c r="TBR57" s="148"/>
      <c r="TBS57" s="148"/>
      <c r="TBT57" s="148"/>
      <c r="TBU57" s="148"/>
      <c r="TBV57" s="148"/>
      <c r="TBW57" s="148"/>
      <c r="TBX57" s="148"/>
      <c r="TBY57" s="148"/>
      <c r="TBZ57" s="148"/>
      <c r="TCA57" s="148"/>
      <c r="TCB57" s="148"/>
      <c r="TCC57" s="148"/>
      <c r="TCD57" s="148"/>
      <c r="TCE57" s="148"/>
      <c r="TCF57" s="148"/>
      <c r="TCG57" s="148"/>
      <c r="TCH57" s="148"/>
      <c r="TCI57" s="148"/>
      <c r="TCJ57" s="148"/>
      <c r="TCK57" s="148"/>
      <c r="TCL57" s="148"/>
      <c r="TCM57" s="148"/>
      <c r="TCN57" s="148"/>
      <c r="TCO57" s="148"/>
      <c r="TCP57" s="148"/>
      <c r="TCQ57" s="148"/>
      <c r="TCR57" s="148"/>
      <c r="TCS57" s="148"/>
      <c r="TCT57" s="148"/>
      <c r="TCU57" s="148"/>
      <c r="TCV57" s="148"/>
      <c r="TCW57" s="148"/>
      <c r="TCX57" s="148"/>
      <c r="TCY57" s="148"/>
      <c r="TCZ57" s="148"/>
      <c r="TDA57" s="148"/>
      <c r="TDB57" s="148"/>
      <c r="TDC57" s="148"/>
      <c r="TDD57" s="148"/>
      <c r="TDE57" s="148"/>
      <c r="TDF57" s="148"/>
      <c r="TDG57" s="148"/>
      <c r="TDH57" s="148"/>
      <c r="TDI57" s="148"/>
      <c r="TDJ57" s="148"/>
      <c r="TDK57" s="148"/>
      <c r="TDL57" s="148"/>
      <c r="TDM57" s="148"/>
      <c r="TDN57" s="148"/>
      <c r="TDO57" s="148"/>
      <c r="TDP57" s="148"/>
      <c r="TDQ57" s="148"/>
      <c r="TDR57" s="148"/>
      <c r="TDS57" s="148"/>
      <c r="TDT57" s="148"/>
      <c r="TDU57" s="148"/>
      <c r="TDV57" s="148"/>
      <c r="TDW57" s="148"/>
      <c r="TDX57" s="148"/>
      <c r="TDY57" s="148"/>
      <c r="TDZ57" s="148"/>
      <c r="TEA57" s="148"/>
      <c r="TEB57" s="148"/>
      <c r="TEC57" s="148"/>
      <c r="TED57" s="148"/>
      <c r="TEE57" s="148"/>
      <c r="TEF57" s="148"/>
      <c r="TEG57" s="148"/>
      <c r="TEH57" s="148"/>
      <c r="TEI57" s="148"/>
      <c r="TEJ57" s="148"/>
      <c r="TEK57" s="148"/>
      <c r="TEL57" s="148"/>
      <c r="TEM57" s="148"/>
      <c r="TEN57" s="148"/>
      <c r="TEO57" s="148"/>
      <c r="TEP57" s="148"/>
      <c r="TEQ57" s="148"/>
      <c r="TER57" s="148"/>
      <c r="TES57" s="148"/>
      <c r="TET57" s="148"/>
      <c r="TEU57" s="148"/>
      <c r="TEV57" s="148"/>
      <c r="TEW57" s="148"/>
      <c r="TEX57" s="148"/>
      <c r="TEY57" s="148"/>
      <c r="TEZ57" s="148"/>
      <c r="TFA57" s="148"/>
      <c r="TFB57" s="148"/>
      <c r="TFC57" s="148"/>
      <c r="TFD57" s="148"/>
      <c r="TFE57" s="148"/>
      <c r="TFF57" s="148"/>
      <c r="TFG57" s="148"/>
      <c r="TFH57" s="148"/>
      <c r="TFI57" s="148"/>
      <c r="TFJ57" s="148"/>
      <c r="TFK57" s="148"/>
      <c r="TFL57" s="148"/>
      <c r="TFM57" s="148"/>
      <c r="TFN57" s="148"/>
      <c r="TFO57" s="148"/>
      <c r="TFP57" s="148"/>
      <c r="TFQ57" s="148"/>
      <c r="TFR57" s="148"/>
      <c r="TFS57" s="148"/>
      <c r="TFT57" s="148"/>
      <c r="TFU57" s="148"/>
      <c r="TFV57" s="148"/>
      <c r="TFW57" s="148"/>
      <c r="TFX57" s="148"/>
      <c r="TFY57" s="148"/>
      <c r="TFZ57" s="148"/>
      <c r="TGA57" s="148"/>
      <c r="TGB57" s="148"/>
      <c r="TGC57" s="148"/>
      <c r="TGD57" s="148"/>
      <c r="TGE57" s="148"/>
      <c r="TGF57" s="148"/>
      <c r="TGG57" s="148"/>
      <c r="TGH57" s="148"/>
      <c r="TGI57" s="148"/>
      <c r="TGJ57" s="148"/>
      <c r="TGK57" s="148"/>
      <c r="TGL57" s="148"/>
      <c r="TGM57" s="148"/>
      <c r="TGN57" s="148"/>
      <c r="TGO57" s="148"/>
      <c r="TGP57" s="148"/>
      <c r="TGQ57" s="148"/>
      <c r="TGR57" s="148"/>
      <c r="TGS57" s="148"/>
      <c r="TGT57" s="148"/>
      <c r="TGU57" s="148"/>
      <c r="TGV57" s="148"/>
      <c r="TGW57" s="148"/>
      <c r="TGX57" s="148"/>
      <c r="TGY57" s="148"/>
      <c r="TGZ57" s="148"/>
      <c r="THA57" s="148"/>
      <c r="THB57" s="148"/>
      <c r="THC57" s="148"/>
      <c r="THD57" s="148"/>
      <c r="THE57" s="148"/>
      <c r="THF57" s="148"/>
      <c r="THG57" s="148"/>
      <c r="THH57" s="148"/>
      <c r="THI57" s="148"/>
      <c r="THJ57" s="148"/>
      <c r="THK57" s="148"/>
      <c r="THL57" s="148"/>
      <c r="THM57" s="148"/>
      <c r="THN57" s="148"/>
      <c r="THO57" s="148"/>
      <c r="THP57" s="148"/>
      <c r="THQ57" s="148"/>
      <c r="THR57" s="148"/>
      <c r="THS57" s="148"/>
      <c r="THT57" s="148"/>
      <c r="THU57" s="148"/>
      <c r="THV57" s="148"/>
      <c r="THW57" s="148"/>
      <c r="THX57" s="148"/>
      <c r="THY57" s="148"/>
      <c r="THZ57" s="148"/>
      <c r="TIA57" s="148"/>
      <c r="TIB57" s="148"/>
      <c r="TIC57" s="148"/>
      <c r="TID57" s="148"/>
      <c r="TIE57" s="148"/>
      <c r="TIF57" s="148"/>
      <c r="TIG57" s="148"/>
      <c r="TIH57" s="148"/>
      <c r="TII57" s="148"/>
      <c r="TIJ57" s="148"/>
      <c r="TIK57" s="148"/>
      <c r="TIL57" s="148"/>
      <c r="TIM57" s="148"/>
      <c r="TIN57" s="148"/>
      <c r="TIO57" s="148"/>
      <c r="TIP57" s="148"/>
      <c r="TIQ57" s="148"/>
      <c r="TIR57" s="148"/>
      <c r="TIS57" s="148"/>
      <c r="TIT57" s="148"/>
      <c r="TIU57" s="148"/>
      <c r="TIV57" s="148"/>
      <c r="TIW57" s="148"/>
      <c r="TIX57" s="148"/>
      <c r="TIY57" s="148"/>
      <c r="TIZ57" s="148"/>
      <c r="TJA57" s="148"/>
      <c r="TJB57" s="148"/>
      <c r="TJC57" s="148"/>
      <c r="TJD57" s="148"/>
      <c r="TJE57" s="148"/>
      <c r="TJF57" s="148"/>
      <c r="TJG57" s="148"/>
      <c r="TJH57" s="148"/>
      <c r="TJI57" s="148"/>
      <c r="TJJ57" s="148"/>
      <c r="TJK57" s="148"/>
      <c r="TJL57" s="148"/>
      <c r="TJM57" s="148"/>
      <c r="TJN57" s="148"/>
      <c r="TJO57" s="148"/>
      <c r="TJP57" s="148"/>
      <c r="TJQ57" s="148"/>
      <c r="TJR57" s="148"/>
      <c r="TJS57" s="148"/>
      <c r="TJT57" s="148"/>
      <c r="TJU57" s="148"/>
      <c r="TJV57" s="148"/>
      <c r="TJW57" s="148"/>
      <c r="TJX57" s="148"/>
      <c r="TJY57" s="148"/>
      <c r="TJZ57" s="148"/>
      <c r="TKA57" s="148"/>
      <c r="TKB57" s="148"/>
      <c r="TKC57" s="148"/>
      <c r="TKD57" s="148"/>
      <c r="TKE57" s="148"/>
      <c r="TKF57" s="148"/>
      <c r="TKG57" s="148"/>
      <c r="TKH57" s="148"/>
      <c r="TKI57" s="148"/>
      <c r="TKJ57" s="148"/>
      <c r="TKK57" s="148"/>
      <c r="TKL57" s="148"/>
      <c r="TKM57" s="148"/>
      <c r="TKN57" s="148"/>
      <c r="TKO57" s="148"/>
      <c r="TKP57" s="148"/>
      <c r="TKQ57" s="148"/>
      <c r="TKR57" s="148"/>
      <c r="TKS57" s="148"/>
      <c r="TKT57" s="148"/>
      <c r="TKU57" s="148"/>
      <c r="TKV57" s="148"/>
      <c r="TKW57" s="148"/>
      <c r="TKX57" s="148"/>
      <c r="TKY57" s="148"/>
      <c r="TKZ57" s="148"/>
      <c r="TLA57" s="148"/>
      <c r="TLB57" s="148"/>
      <c r="TLC57" s="148"/>
      <c r="TLD57" s="148"/>
      <c r="TLE57" s="148"/>
      <c r="TLF57" s="148"/>
      <c r="TLG57" s="148"/>
      <c r="TLH57" s="148"/>
      <c r="TLI57" s="148"/>
      <c r="TLJ57" s="148"/>
      <c r="TLK57" s="148"/>
      <c r="TLL57" s="148"/>
      <c r="TLM57" s="148"/>
      <c r="TLN57" s="148"/>
      <c r="TLO57" s="148"/>
      <c r="TLP57" s="148"/>
      <c r="TLQ57" s="148"/>
      <c r="TLR57" s="148"/>
      <c r="TLS57" s="148"/>
      <c r="TLT57" s="148"/>
      <c r="TLU57" s="148"/>
      <c r="TLV57" s="148"/>
      <c r="TLW57" s="148"/>
      <c r="TLX57" s="148"/>
      <c r="TLY57" s="148"/>
      <c r="TLZ57" s="148"/>
      <c r="TMA57" s="148"/>
      <c r="TMB57" s="148"/>
      <c r="TMC57" s="148"/>
      <c r="TMD57" s="148"/>
      <c r="TME57" s="148"/>
      <c r="TMF57" s="148"/>
      <c r="TMG57" s="148"/>
      <c r="TMH57" s="148"/>
      <c r="TMI57" s="148"/>
      <c r="TMJ57" s="148"/>
      <c r="TMK57" s="148"/>
      <c r="TML57" s="148"/>
      <c r="TMM57" s="148"/>
      <c r="TMN57" s="148"/>
      <c r="TMO57" s="148"/>
      <c r="TMP57" s="148"/>
      <c r="TMQ57" s="148"/>
      <c r="TMR57" s="148"/>
      <c r="TMS57" s="148"/>
      <c r="TMT57" s="148"/>
      <c r="TMU57" s="148"/>
      <c r="TMV57" s="148"/>
      <c r="TMW57" s="148"/>
      <c r="TMX57" s="148"/>
      <c r="TMY57" s="148"/>
      <c r="TMZ57" s="148"/>
      <c r="TNA57" s="148"/>
      <c r="TNB57" s="148"/>
      <c r="TNC57" s="148"/>
      <c r="TND57" s="148"/>
      <c r="TNE57" s="148"/>
      <c r="TNF57" s="148"/>
      <c r="TNG57" s="148"/>
      <c r="TNH57" s="148"/>
      <c r="TNI57" s="148"/>
      <c r="TNJ57" s="148"/>
      <c r="TNK57" s="148"/>
      <c r="TNL57" s="148"/>
      <c r="TNM57" s="148"/>
      <c r="TNN57" s="148"/>
      <c r="TNO57" s="148"/>
      <c r="TNP57" s="148"/>
      <c r="TNQ57" s="148"/>
      <c r="TNR57" s="148"/>
      <c r="TNS57" s="148"/>
      <c r="TNT57" s="148"/>
      <c r="TNU57" s="148"/>
      <c r="TNV57" s="148"/>
      <c r="TNW57" s="148"/>
      <c r="TNX57" s="148"/>
      <c r="TNY57" s="148"/>
      <c r="TNZ57" s="148"/>
      <c r="TOA57" s="148"/>
      <c r="TOB57" s="148"/>
      <c r="TOC57" s="148"/>
      <c r="TOD57" s="148"/>
      <c r="TOE57" s="148"/>
      <c r="TOF57" s="148"/>
      <c r="TOG57" s="148"/>
      <c r="TOH57" s="148"/>
      <c r="TOI57" s="148"/>
      <c r="TOJ57" s="148"/>
      <c r="TOK57" s="148"/>
      <c r="TOL57" s="148"/>
      <c r="TOM57" s="148"/>
      <c r="TON57" s="148"/>
      <c r="TOO57" s="148"/>
      <c r="TOP57" s="148"/>
      <c r="TOQ57" s="148"/>
      <c r="TOR57" s="148"/>
      <c r="TOS57" s="148"/>
      <c r="TOT57" s="148"/>
      <c r="TOU57" s="148"/>
      <c r="TOV57" s="148"/>
      <c r="TOW57" s="148"/>
      <c r="TOX57" s="148"/>
      <c r="TOY57" s="148"/>
      <c r="TOZ57" s="148"/>
      <c r="TPA57" s="148"/>
      <c r="TPB57" s="148"/>
      <c r="TPC57" s="148"/>
      <c r="TPD57" s="148"/>
      <c r="TPE57" s="148"/>
      <c r="TPF57" s="148"/>
      <c r="TPG57" s="148"/>
      <c r="TPH57" s="148"/>
      <c r="TPI57" s="148"/>
      <c r="TPJ57" s="148"/>
      <c r="TPK57" s="148"/>
      <c r="TPL57" s="148"/>
      <c r="TPM57" s="148"/>
      <c r="TPN57" s="148"/>
      <c r="TPO57" s="148"/>
      <c r="TPP57" s="148"/>
      <c r="TPQ57" s="148"/>
      <c r="TPR57" s="148"/>
      <c r="TPS57" s="148"/>
      <c r="TPT57" s="148"/>
      <c r="TPU57" s="148"/>
      <c r="TPV57" s="148"/>
      <c r="TPW57" s="148"/>
      <c r="TPX57" s="148"/>
      <c r="TPY57" s="148"/>
      <c r="TPZ57" s="148"/>
      <c r="TQA57" s="148"/>
      <c r="TQB57" s="148"/>
      <c r="TQC57" s="148"/>
      <c r="TQD57" s="148"/>
      <c r="TQE57" s="148"/>
      <c r="TQF57" s="148"/>
      <c r="TQG57" s="148"/>
      <c r="TQH57" s="148"/>
      <c r="TQI57" s="148"/>
      <c r="TQJ57" s="148"/>
      <c r="TQK57" s="148"/>
      <c r="TQL57" s="148"/>
      <c r="TQM57" s="148"/>
      <c r="TQN57" s="148"/>
      <c r="TQO57" s="148"/>
      <c r="TQP57" s="148"/>
      <c r="TQQ57" s="148"/>
      <c r="TQR57" s="148"/>
      <c r="TQS57" s="148"/>
      <c r="TQT57" s="148"/>
      <c r="TQU57" s="148"/>
      <c r="TQV57" s="148"/>
      <c r="TQW57" s="148"/>
      <c r="TQX57" s="148"/>
      <c r="TQY57" s="148"/>
      <c r="TQZ57" s="148"/>
      <c r="TRA57" s="148"/>
      <c r="TRB57" s="148"/>
      <c r="TRC57" s="148"/>
      <c r="TRD57" s="148"/>
      <c r="TRE57" s="148"/>
      <c r="TRF57" s="148"/>
      <c r="TRG57" s="148"/>
      <c r="TRH57" s="148"/>
      <c r="TRI57" s="148"/>
      <c r="TRJ57" s="148"/>
      <c r="TRK57" s="148"/>
      <c r="TRL57" s="148"/>
      <c r="TRM57" s="148"/>
      <c r="TRN57" s="148"/>
      <c r="TRO57" s="148"/>
      <c r="TRP57" s="148"/>
      <c r="TRQ57" s="148"/>
      <c r="TRR57" s="148"/>
      <c r="TRS57" s="148"/>
      <c r="TRT57" s="148"/>
      <c r="TRU57" s="148"/>
      <c r="TRV57" s="148"/>
      <c r="TRW57" s="148"/>
      <c r="TRX57" s="148"/>
      <c r="TRY57" s="148"/>
      <c r="TRZ57" s="148"/>
      <c r="TSA57" s="148"/>
      <c r="TSB57" s="148"/>
      <c r="TSC57" s="148"/>
      <c r="TSD57" s="148"/>
      <c r="TSE57" s="148"/>
      <c r="TSF57" s="148"/>
      <c r="TSG57" s="148"/>
      <c r="TSH57" s="148"/>
      <c r="TSI57" s="148"/>
      <c r="TSJ57" s="148"/>
      <c r="TSK57" s="148"/>
      <c r="TSL57" s="148"/>
      <c r="TSM57" s="148"/>
      <c r="TSN57" s="148"/>
      <c r="TSO57" s="148"/>
      <c r="TSP57" s="148"/>
      <c r="TSQ57" s="148"/>
      <c r="TSR57" s="148"/>
      <c r="TSS57" s="148"/>
      <c r="TST57" s="148"/>
      <c r="TSU57" s="148"/>
      <c r="TSV57" s="148"/>
      <c r="TSW57" s="148"/>
      <c r="TSX57" s="148"/>
      <c r="TSY57" s="148"/>
      <c r="TSZ57" s="148"/>
      <c r="TTA57" s="148"/>
      <c r="TTB57" s="148"/>
      <c r="TTC57" s="148"/>
      <c r="TTD57" s="148"/>
      <c r="TTE57" s="148"/>
      <c r="TTF57" s="148"/>
      <c r="TTG57" s="148"/>
      <c r="TTH57" s="148"/>
      <c r="TTI57" s="148"/>
      <c r="TTJ57" s="148"/>
      <c r="TTK57" s="148"/>
      <c r="TTL57" s="148"/>
      <c r="TTM57" s="148"/>
      <c r="TTN57" s="148"/>
      <c r="TTO57" s="148"/>
      <c r="TTP57" s="148"/>
      <c r="TTQ57" s="148"/>
      <c r="TTR57" s="148"/>
      <c r="TTS57" s="148"/>
      <c r="TTT57" s="148"/>
      <c r="TTU57" s="148"/>
      <c r="TTV57" s="148"/>
      <c r="TTW57" s="148"/>
      <c r="TTX57" s="148"/>
      <c r="TTY57" s="148"/>
      <c r="TTZ57" s="148"/>
      <c r="TUA57" s="148"/>
      <c r="TUB57" s="148"/>
      <c r="TUC57" s="148"/>
      <c r="TUD57" s="148"/>
      <c r="TUE57" s="148"/>
      <c r="TUF57" s="148"/>
      <c r="TUG57" s="148"/>
      <c r="TUH57" s="148"/>
      <c r="TUI57" s="148"/>
      <c r="TUJ57" s="148"/>
      <c r="TUK57" s="148"/>
      <c r="TUL57" s="148"/>
      <c r="TUM57" s="148"/>
      <c r="TUN57" s="148"/>
      <c r="TUO57" s="148"/>
      <c r="TUP57" s="148"/>
      <c r="TUQ57" s="148"/>
      <c r="TUR57" s="148"/>
      <c r="TUS57" s="148"/>
      <c r="TUT57" s="148"/>
      <c r="TUU57" s="148"/>
      <c r="TUV57" s="148"/>
      <c r="TUW57" s="148"/>
      <c r="TUX57" s="148"/>
      <c r="TUY57" s="148"/>
      <c r="TUZ57" s="148"/>
      <c r="TVA57" s="148"/>
      <c r="TVB57" s="148"/>
      <c r="TVC57" s="148"/>
      <c r="TVD57" s="148"/>
      <c r="TVE57" s="148"/>
      <c r="TVF57" s="148"/>
      <c r="TVG57" s="148"/>
      <c r="TVH57" s="148"/>
      <c r="TVI57" s="148"/>
      <c r="TVJ57" s="148"/>
      <c r="TVK57" s="148"/>
      <c r="TVL57" s="148"/>
      <c r="TVM57" s="148"/>
      <c r="TVN57" s="148"/>
      <c r="TVO57" s="148"/>
      <c r="TVP57" s="148"/>
      <c r="TVQ57" s="148"/>
      <c r="TVR57" s="148"/>
      <c r="TVS57" s="148"/>
      <c r="TVT57" s="148"/>
      <c r="TVU57" s="148"/>
      <c r="TVV57" s="148"/>
      <c r="TVW57" s="148"/>
      <c r="TVX57" s="148"/>
      <c r="TVY57" s="148"/>
      <c r="TVZ57" s="148"/>
      <c r="TWA57" s="148"/>
      <c r="TWB57" s="148"/>
      <c r="TWC57" s="148"/>
      <c r="TWD57" s="148"/>
      <c r="TWE57" s="148"/>
      <c r="TWF57" s="148"/>
      <c r="TWG57" s="148"/>
      <c r="TWH57" s="148"/>
      <c r="TWI57" s="148"/>
      <c r="TWJ57" s="148"/>
      <c r="TWK57" s="148"/>
      <c r="TWL57" s="148"/>
      <c r="TWM57" s="148"/>
      <c r="TWN57" s="148"/>
      <c r="TWO57" s="148"/>
      <c r="TWP57" s="148"/>
      <c r="TWQ57" s="148"/>
      <c r="TWR57" s="148"/>
      <c r="TWS57" s="148"/>
      <c r="TWT57" s="148"/>
      <c r="TWU57" s="148"/>
      <c r="TWV57" s="148"/>
      <c r="TWW57" s="148"/>
      <c r="TWX57" s="148"/>
      <c r="TWY57" s="148"/>
      <c r="TWZ57" s="148"/>
      <c r="TXA57" s="148"/>
      <c r="TXB57" s="148"/>
      <c r="TXC57" s="148"/>
      <c r="TXD57" s="148"/>
      <c r="TXE57" s="148"/>
      <c r="TXF57" s="148"/>
      <c r="TXG57" s="148"/>
      <c r="TXH57" s="148"/>
      <c r="TXI57" s="148"/>
      <c r="TXJ57" s="148"/>
      <c r="TXK57" s="148"/>
      <c r="TXL57" s="148"/>
      <c r="TXM57" s="148"/>
      <c r="TXN57" s="148"/>
      <c r="TXO57" s="148"/>
      <c r="TXP57" s="148"/>
      <c r="TXQ57" s="148"/>
      <c r="TXR57" s="148"/>
      <c r="TXS57" s="148"/>
      <c r="TXT57" s="148"/>
      <c r="TXU57" s="148"/>
      <c r="TXV57" s="148"/>
      <c r="TXW57" s="148"/>
      <c r="TXX57" s="148"/>
      <c r="TXY57" s="148"/>
      <c r="TXZ57" s="148"/>
      <c r="TYA57" s="148"/>
      <c r="TYB57" s="148"/>
      <c r="TYC57" s="148"/>
      <c r="TYD57" s="148"/>
      <c r="TYE57" s="148"/>
      <c r="TYF57" s="148"/>
      <c r="TYG57" s="148"/>
      <c r="TYH57" s="148"/>
      <c r="TYI57" s="148"/>
      <c r="TYJ57" s="148"/>
      <c r="TYK57" s="148"/>
      <c r="TYL57" s="148"/>
      <c r="TYM57" s="148"/>
      <c r="TYN57" s="148"/>
      <c r="TYO57" s="148"/>
      <c r="TYP57" s="148"/>
      <c r="TYQ57" s="148"/>
      <c r="TYR57" s="148"/>
      <c r="TYS57" s="148"/>
      <c r="TYT57" s="148"/>
      <c r="TYU57" s="148"/>
      <c r="TYV57" s="148"/>
      <c r="TYW57" s="148"/>
      <c r="TYX57" s="148"/>
      <c r="TYY57" s="148"/>
      <c r="TYZ57" s="148"/>
      <c r="TZA57" s="148"/>
      <c r="TZB57" s="148"/>
      <c r="TZC57" s="148"/>
      <c r="TZD57" s="148"/>
      <c r="TZE57" s="148"/>
      <c r="TZF57" s="148"/>
      <c r="TZG57" s="148"/>
      <c r="TZH57" s="148"/>
      <c r="TZI57" s="148"/>
      <c r="TZJ57" s="148"/>
      <c r="TZK57" s="148"/>
      <c r="TZL57" s="148"/>
      <c r="TZM57" s="148"/>
      <c r="TZN57" s="148"/>
      <c r="TZO57" s="148"/>
      <c r="TZP57" s="148"/>
      <c r="TZQ57" s="148"/>
      <c r="TZR57" s="148"/>
      <c r="TZS57" s="148"/>
      <c r="TZT57" s="148"/>
      <c r="TZU57" s="148"/>
      <c r="TZV57" s="148"/>
      <c r="TZW57" s="148"/>
      <c r="TZX57" s="148"/>
      <c r="TZY57" s="148"/>
      <c r="TZZ57" s="148"/>
      <c r="UAA57" s="148"/>
      <c r="UAB57" s="148"/>
      <c r="UAC57" s="148"/>
      <c r="UAD57" s="148"/>
      <c r="UAE57" s="148"/>
      <c r="UAF57" s="148"/>
      <c r="UAG57" s="148"/>
      <c r="UAH57" s="148"/>
      <c r="UAI57" s="148"/>
      <c r="UAJ57" s="148"/>
      <c r="UAK57" s="148"/>
      <c r="UAL57" s="148"/>
      <c r="UAM57" s="148"/>
      <c r="UAN57" s="148"/>
      <c r="UAO57" s="148"/>
      <c r="UAP57" s="148"/>
      <c r="UAQ57" s="148"/>
      <c r="UAR57" s="148"/>
      <c r="UAS57" s="148"/>
      <c r="UAT57" s="148"/>
      <c r="UAU57" s="148"/>
      <c r="UAV57" s="148"/>
      <c r="UAW57" s="148"/>
      <c r="UAX57" s="148"/>
      <c r="UAY57" s="148"/>
      <c r="UAZ57" s="148"/>
      <c r="UBA57" s="148"/>
      <c r="UBB57" s="148"/>
      <c r="UBC57" s="148"/>
      <c r="UBD57" s="148"/>
      <c r="UBE57" s="148"/>
      <c r="UBF57" s="148"/>
      <c r="UBG57" s="148"/>
      <c r="UBH57" s="148"/>
      <c r="UBI57" s="148"/>
      <c r="UBJ57" s="148"/>
      <c r="UBK57" s="148"/>
      <c r="UBL57" s="148"/>
      <c r="UBM57" s="148"/>
      <c r="UBN57" s="148"/>
      <c r="UBO57" s="148"/>
      <c r="UBP57" s="148"/>
      <c r="UBQ57" s="148"/>
      <c r="UBR57" s="148"/>
      <c r="UBS57" s="148"/>
      <c r="UBT57" s="148"/>
      <c r="UBU57" s="148"/>
      <c r="UBV57" s="148"/>
      <c r="UBW57" s="148"/>
      <c r="UBX57" s="148"/>
      <c r="UBY57" s="148"/>
      <c r="UBZ57" s="148"/>
      <c r="UCA57" s="148"/>
      <c r="UCB57" s="148"/>
      <c r="UCC57" s="148"/>
      <c r="UCD57" s="148"/>
      <c r="UCE57" s="148"/>
      <c r="UCF57" s="148"/>
      <c r="UCG57" s="148"/>
      <c r="UCH57" s="148"/>
      <c r="UCI57" s="148"/>
      <c r="UCJ57" s="148"/>
      <c r="UCK57" s="148"/>
      <c r="UCL57" s="148"/>
      <c r="UCM57" s="148"/>
      <c r="UCN57" s="148"/>
      <c r="UCO57" s="148"/>
      <c r="UCP57" s="148"/>
      <c r="UCQ57" s="148"/>
      <c r="UCR57" s="148"/>
      <c r="UCS57" s="148"/>
      <c r="UCT57" s="148"/>
      <c r="UCU57" s="148"/>
      <c r="UCV57" s="148"/>
      <c r="UCW57" s="148"/>
      <c r="UCX57" s="148"/>
      <c r="UCY57" s="148"/>
      <c r="UCZ57" s="148"/>
      <c r="UDA57" s="148"/>
      <c r="UDB57" s="148"/>
      <c r="UDC57" s="148"/>
      <c r="UDD57" s="148"/>
      <c r="UDE57" s="148"/>
      <c r="UDF57" s="148"/>
      <c r="UDG57" s="148"/>
      <c r="UDH57" s="148"/>
      <c r="UDI57" s="148"/>
      <c r="UDJ57" s="148"/>
      <c r="UDK57" s="148"/>
      <c r="UDL57" s="148"/>
      <c r="UDM57" s="148"/>
      <c r="UDN57" s="148"/>
      <c r="UDO57" s="148"/>
      <c r="UDP57" s="148"/>
      <c r="UDQ57" s="148"/>
      <c r="UDR57" s="148"/>
      <c r="UDS57" s="148"/>
      <c r="UDT57" s="148"/>
      <c r="UDU57" s="148"/>
      <c r="UDV57" s="148"/>
      <c r="UDW57" s="148"/>
      <c r="UDX57" s="148"/>
      <c r="UDY57" s="148"/>
      <c r="UDZ57" s="148"/>
      <c r="UEA57" s="148"/>
      <c r="UEB57" s="148"/>
      <c r="UEC57" s="148"/>
      <c r="UED57" s="148"/>
      <c r="UEE57" s="148"/>
      <c r="UEF57" s="148"/>
      <c r="UEG57" s="148"/>
      <c r="UEH57" s="148"/>
      <c r="UEI57" s="148"/>
      <c r="UEJ57" s="148"/>
      <c r="UEK57" s="148"/>
      <c r="UEL57" s="148"/>
      <c r="UEM57" s="148"/>
      <c r="UEN57" s="148"/>
      <c r="UEO57" s="148"/>
      <c r="UEP57" s="148"/>
      <c r="UEQ57" s="148"/>
      <c r="UER57" s="148"/>
      <c r="UES57" s="148"/>
      <c r="UET57" s="148"/>
      <c r="UEU57" s="148"/>
      <c r="UEV57" s="148"/>
      <c r="UEW57" s="148"/>
      <c r="UEX57" s="148"/>
      <c r="UEY57" s="148"/>
      <c r="UEZ57" s="148"/>
      <c r="UFA57" s="148"/>
      <c r="UFB57" s="148"/>
      <c r="UFC57" s="148"/>
      <c r="UFD57" s="148"/>
      <c r="UFE57" s="148"/>
      <c r="UFF57" s="148"/>
      <c r="UFG57" s="148"/>
      <c r="UFH57" s="148"/>
      <c r="UFI57" s="148"/>
      <c r="UFJ57" s="148"/>
      <c r="UFK57" s="148"/>
      <c r="UFL57" s="148"/>
      <c r="UFM57" s="148"/>
      <c r="UFN57" s="148"/>
      <c r="UFO57" s="148"/>
      <c r="UFP57" s="148"/>
      <c r="UFQ57" s="148"/>
      <c r="UFR57" s="148"/>
      <c r="UFS57" s="148"/>
      <c r="UFT57" s="148"/>
      <c r="UFU57" s="148"/>
      <c r="UFV57" s="148"/>
      <c r="UFW57" s="148"/>
      <c r="UFX57" s="148"/>
      <c r="UFY57" s="148"/>
      <c r="UFZ57" s="148"/>
      <c r="UGA57" s="148"/>
      <c r="UGB57" s="148"/>
      <c r="UGC57" s="148"/>
      <c r="UGD57" s="148"/>
      <c r="UGE57" s="148"/>
      <c r="UGF57" s="148"/>
      <c r="UGG57" s="148"/>
      <c r="UGH57" s="148"/>
      <c r="UGI57" s="148"/>
      <c r="UGJ57" s="148"/>
      <c r="UGK57" s="148"/>
      <c r="UGL57" s="148"/>
      <c r="UGM57" s="148"/>
      <c r="UGN57" s="148"/>
      <c r="UGO57" s="148"/>
      <c r="UGP57" s="148"/>
      <c r="UGQ57" s="148"/>
      <c r="UGR57" s="148"/>
      <c r="UGS57" s="148"/>
      <c r="UGT57" s="148"/>
      <c r="UGU57" s="148"/>
      <c r="UGV57" s="148"/>
      <c r="UGW57" s="148"/>
      <c r="UGX57" s="148"/>
      <c r="UGY57" s="148"/>
      <c r="UGZ57" s="148"/>
      <c r="UHA57" s="148"/>
      <c r="UHB57" s="148"/>
      <c r="UHC57" s="148"/>
      <c r="UHD57" s="148"/>
      <c r="UHE57" s="148"/>
      <c r="UHF57" s="148"/>
      <c r="UHG57" s="148"/>
      <c r="UHH57" s="148"/>
      <c r="UHI57" s="148"/>
      <c r="UHJ57" s="148"/>
      <c r="UHK57" s="148"/>
      <c r="UHL57" s="148"/>
      <c r="UHM57" s="148"/>
      <c r="UHN57" s="148"/>
      <c r="UHO57" s="148"/>
      <c r="UHP57" s="148"/>
      <c r="UHQ57" s="148"/>
      <c r="UHR57" s="148"/>
      <c r="UHS57" s="148"/>
      <c r="UHT57" s="148"/>
      <c r="UHU57" s="148"/>
      <c r="UHV57" s="148"/>
      <c r="UHW57" s="148"/>
      <c r="UHX57" s="148"/>
      <c r="UHY57" s="148"/>
      <c r="UHZ57" s="148"/>
      <c r="UIA57" s="148"/>
      <c r="UIB57" s="148"/>
      <c r="UIC57" s="148"/>
      <c r="UID57" s="148"/>
      <c r="UIE57" s="148"/>
      <c r="UIF57" s="148"/>
      <c r="UIG57" s="148"/>
      <c r="UIH57" s="148"/>
      <c r="UII57" s="148"/>
      <c r="UIJ57" s="148"/>
      <c r="UIK57" s="148"/>
      <c r="UIL57" s="148"/>
      <c r="UIM57" s="148"/>
      <c r="UIN57" s="148"/>
      <c r="UIO57" s="148"/>
      <c r="UIP57" s="148"/>
      <c r="UIQ57" s="148"/>
      <c r="UIR57" s="148"/>
      <c r="UIS57" s="148"/>
      <c r="UIT57" s="148"/>
      <c r="UIU57" s="148"/>
      <c r="UIV57" s="148"/>
      <c r="UIW57" s="148"/>
      <c r="UIX57" s="148"/>
      <c r="UIY57" s="148"/>
      <c r="UIZ57" s="148"/>
      <c r="UJA57" s="148"/>
      <c r="UJB57" s="148"/>
      <c r="UJC57" s="148"/>
      <c r="UJD57" s="148"/>
      <c r="UJE57" s="148"/>
      <c r="UJF57" s="148"/>
      <c r="UJG57" s="148"/>
      <c r="UJH57" s="148"/>
      <c r="UJI57" s="148"/>
      <c r="UJJ57" s="148"/>
      <c r="UJK57" s="148"/>
      <c r="UJL57" s="148"/>
      <c r="UJM57" s="148"/>
      <c r="UJN57" s="148"/>
      <c r="UJO57" s="148"/>
      <c r="UJP57" s="148"/>
      <c r="UJQ57" s="148"/>
      <c r="UJR57" s="148"/>
      <c r="UJS57" s="148"/>
      <c r="UJT57" s="148"/>
      <c r="UJU57" s="148"/>
      <c r="UJV57" s="148"/>
      <c r="UJW57" s="148"/>
      <c r="UJX57" s="148"/>
      <c r="UJY57" s="148"/>
      <c r="UJZ57" s="148"/>
      <c r="UKA57" s="148"/>
      <c r="UKB57" s="148"/>
      <c r="UKC57" s="148"/>
      <c r="UKD57" s="148"/>
      <c r="UKE57" s="148"/>
      <c r="UKF57" s="148"/>
      <c r="UKG57" s="148"/>
      <c r="UKH57" s="148"/>
      <c r="UKI57" s="148"/>
      <c r="UKJ57" s="148"/>
      <c r="UKK57" s="148"/>
      <c r="UKL57" s="148"/>
      <c r="UKM57" s="148"/>
      <c r="UKN57" s="148"/>
      <c r="UKO57" s="148"/>
      <c r="UKP57" s="148"/>
      <c r="UKQ57" s="148"/>
      <c r="UKR57" s="148"/>
      <c r="UKS57" s="148"/>
      <c r="UKT57" s="148"/>
      <c r="UKU57" s="148"/>
      <c r="UKV57" s="148"/>
      <c r="UKW57" s="148"/>
      <c r="UKX57" s="148"/>
      <c r="UKY57" s="148"/>
      <c r="UKZ57" s="148"/>
      <c r="ULA57" s="148"/>
      <c r="ULB57" s="148"/>
      <c r="ULC57" s="148"/>
      <c r="ULD57" s="148"/>
      <c r="ULE57" s="148"/>
      <c r="ULF57" s="148"/>
      <c r="ULG57" s="148"/>
      <c r="ULH57" s="148"/>
      <c r="ULI57" s="148"/>
      <c r="ULJ57" s="148"/>
      <c r="ULK57" s="148"/>
      <c r="ULL57" s="148"/>
      <c r="ULM57" s="148"/>
      <c r="ULN57" s="148"/>
      <c r="ULO57" s="148"/>
      <c r="ULP57" s="148"/>
      <c r="ULQ57" s="148"/>
      <c r="ULR57" s="148"/>
      <c r="ULS57" s="148"/>
      <c r="ULT57" s="148"/>
      <c r="ULU57" s="148"/>
      <c r="ULV57" s="148"/>
      <c r="ULW57" s="148"/>
      <c r="ULX57" s="148"/>
      <c r="ULY57" s="148"/>
      <c r="ULZ57" s="148"/>
      <c r="UMA57" s="148"/>
      <c r="UMB57" s="148"/>
      <c r="UMC57" s="148"/>
      <c r="UMD57" s="148"/>
      <c r="UME57" s="148"/>
      <c r="UMF57" s="148"/>
      <c r="UMG57" s="148"/>
      <c r="UMH57" s="148"/>
      <c r="UMI57" s="148"/>
      <c r="UMJ57" s="148"/>
      <c r="UMK57" s="148"/>
      <c r="UML57" s="148"/>
      <c r="UMM57" s="148"/>
      <c r="UMN57" s="148"/>
      <c r="UMO57" s="148"/>
      <c r="UMP57" s="148"/>
      <c r="UMQ57" s="148"/>
      <c r="UMR57" s="148"/>
      <c r="UMS57" s="148"/>
      <c r="UMT57" s="148"/>
      <c r="UMU57" s="148"/>
      <c r="UMV57" s="148"/>
      <c r="UMW57" s="148"/>
      <c r="UMX57" s="148"/>
      <c r="UMY57" s="148"/>
      <c r="UMZ57" s="148"/>
      <c r="UNA57" s="148"/>
      <c r="UNB57" s="148"/>
      <c r="UNC57" s="148"/>
      <c r="UND57" s="148"/>
      <c r="UNE57" s="148"/>
      <c r="UNF57" s="148"/>
      <c r="UNG57" s="148"/>
      <c r="UNH57" s="148"/>
      <c r="UNI57" s="148"/>
      <c r="UNJ57" s="148"/>
      <c r="UNK57" s="148"/>
      <c r="UNL57" s="148"/>
      <c r="UNM57" s="148"/>
      <c r="UNN57" s="148"/>
      <c r="UNO57" s="148"/>
      <c r="UNP57" s="148"/>
      <c r="UNQ57" s="148"/>
      <c r="UNR57" s="148"/>
      <c r="UNS57" s="148"/>
      <c r="UNT57" s="148"/>
      <c r="UNU57" s="148"/>
      <c r="UNV57" s="148"/>
      <c r="UNW57" s="148"/>
      <c r="UNX57" s="148"/>
      <c r="UNY57" s="148"/>
      <c r="UNZ57" s="148"/>
      <c r="UOA57" s="148"/>
      <c r="UOB57" s="148"/>
      <c r="UOC57" s="148"/>
      <c r="UOD57" s="148"/>
      <c r="UOE57" s="148"/>
      <c r="UOF57" s="148"/>
      <c r="UOG57" s="148"/>
      <c r="UOH57" s="148"/>
      <c r="UOI57" s="148"/>
      <c r="UOJ57" s="148"/>
      <c r="UOK57" s="148"/>
      <c r="UOL57" s="148"/>
      <c r="UOM57" s="148"/>
      <c r="UON57" s="148"/>
      <c r="UOO57" s="148"/>
      <c r="UOP57" s="148"/>
      <c r="UOQ57" s="148"/>
      <c r="UOR57" s="148"/>
      <c r="UOS57" s="148"/>
      <c r="UOT57" s="148"/>
      <c r="UOU57" s="148"/>
      <c r="UOV57" s="148"/>
      <c r="UOW57" s="148"/>
      <c r="UOX57" s="148"/>
      <c r="UOY57" s="148"/>
      <c r="UOZ57" s="148"/>
      <c r="UPA57" s="148"/>
      <c r="UPB57" s="148"/>
      <c r="UPC57" s="148"/>
      <c r="UPD57" s="148"/>
      <c r="UPE57" s="148"/>
      <c r="UPF57" s="148"/>
      <c r="UPG57" s="148"/>
      <c r="UPH57" s="148"/>
      <c r="UPI57" s="148"/>
      <c r="UPJ57" s="148"/>
      <c r="UPK57" s="148"/>
      <c r="UPL57" s="148"/>
      <c r="UPM57" s="148"/>
      <c r="UPN57" s="148"/>
      <c r="UPO57" s="148"/>
      <c r="UPP57" s="148"/>
      <c r="UPQ57" s="148"/>
      <c r="UPR57" s="148"/>
      <c r="UPS57" s="148"/>
      <c r="UPT57" s="148"/>
      <c r="UPU57" s="148"/>
      <c r="UPV57" s="148"/>
      <c r="UPW57" s="148"/>
      <c r="UPX57" s="148"/>
      <c r="UPY57" s="148"/>
      <c r="UPZ57" s="148"/>
      <c r="UQA57" s="148"/>
      <c r="UQB57" s="148"/>
      <c r="UQC57" s="148"/>
      <c r="UQD57" s="148"/>
      <c r="UQE57" s="148"/>
      <c r="UQF57" s="148"/>
      <c r="UQG57" s="148"/>
      <c r="UQH57" s="148"/>
      <c r="UQI57" s="148"/>
      <c r="UQJ57" s="148"/>
      <c r="UQK57" s="148"/>
      <c r="UQL57" s="148"/>
      <c r="UQM57" s="148"/>
      <c r="UQN57" s="148"/>
      <c r="UQO57" s="148"/>
      <c r="UQP57" s="148"/>
      <c r="UQQ57" s="148"/>
      <c r="UQR57" s="148"/>
      <c r="UQS57" s="148"/>
      <c r="UQT57" s="148"/>
      <c r="UQU57" s="148"/>
      <c r="UQV57" s="148"/>
      <c r="UQW57" s="148"/>
      <c r="UQX57" s="148"/>
      <c r="UQY57" s="148"/>
      <c r="UQZ57" s="148"/>
      <c r="URA57" s="148"/>
      <c r="URB57" s="148"/>
      <c r="URC57" s="148"/>
      <c r="URD57" s="148"/>
      <c r="URE57" s="148"/>
      <c r="URF57" s="148"/>
      <c r="URG57" s="148"/>
      <c r="URH57" s="148"/>
      <c r="URI57" s="148"/>
      <c r="URJ57" s="148"/>
      <c r="URK57" s="148"/>
      <c r="URL57" s="148"/>
      <c r="URM57" s="148"/>
      <c r="URN57" s="148"/>
      <c r="URO57" s="148"/>
      <c r="URP57" s="148"/>
      <c r="URQ57" s="148"/>
      <c r="URR57" s="148"/>
      <c r="URS57" s="148"/>
      <c r="URT57" s="148"/>
      <c r="URU57" s="148"/>
      <c r="URV57" s="148"/>
      <c r="URW57" s="148"/>
      <c r="URX57" s="148"/>
      <c r="URY57" s="148"/>
      <c r="URZ57" s="148"/>
      <c r="USA57" s="148"/>
      <c r="USB57" s="148"/>
      <c r="USC57" s="148"/>
      <c r="USD57" s="148"/>
      <c r="USE57" s="148"/>
      <c r="USF57" s="148"/>
      <c r="USG57" s="148"/>
      <c r="USH57" s="148"/>
      <c r="USI57" s="148"/>
      <c r="USJ57" s="148"/>
      <c r="USK57" s="148"/>
      <c r="USL57" s="148"/>
      <c r="USM57" s="148"/>
      <c r="USN57" s="148"/>
      <c r="USO57" s="148"/>
      <c r="USP57" s="148"/>
      <c r="USQ57" s="148"/>
      <c r="USR57" s="148"/>
      <c r="USS57" s="148"/>
      <c r="UST57" s="148"/>
      <c r="USU57" s="148"/>
      <c r="USV57" s="148"/>
      <c r="USW57" s="148"/>
      <c r="USX57" s="148"/>
      <c r="USY57" s="148"/>
      <c r="USZ57" s="148"/>
      <c r="UTA57" s="148"/>
      <c r="UTB57" s="148"/>
      <c r="UTC57" s="148"/>
      <c r="UTD57" s="148"/>
      <c r="UTE57" s="148"/>
      <c r="UTF57" s="148"/>
      <c r="UTG57" s="148"/>
      <c r="UTH57" s="148"/>
      <c r="UTI57" s="148"/>
      <c r="UTJ57" s="148"/>
      <c r="UTK57" s="148"/>
      <c r="UTL57" s="148"/>
      <c r="UTM57" s="148"/>
      <c r="UTN57" s="148"/>
      <c r="UTO57" s="148"/>
      <c r="UTP57" s="148"/>
      <c r="UTQ57" s="148"/>
      <c r="UTR57" s="148"/>
      <c r="UTS57" s="148"/>
      <c r="UTT57" s="148"/>
      <c r="UTU57" s="148"/>
      <c r="UTV57" s="148"/>
      <c r="UTW57" s="148"/>
      <c r="UTX57" s="148"/>
      <c r="UTY57" s="148"/>
      <c r="UTZ57" s="148"/>
      <c r="UUA57" s="148"/>
      <c r="UUB57" s="148"/>
      <c r="UUC57" s="148"/>
      <c r="UUD57" s="148"/>
      <c r="UUE57" s="148"/>
      <c r="UUF57" s="148"/>
      <c r="UUG57" s="148"/>
      <c r="UUH57" s="148"/>
      <c r="UUI57" s="148"/>
      <c r="UUJ57" s="148"/>
      <c r="UUK57" s="148"/>
      <c r="UUL57" s="148"/>
      <c r="UUM57" s="148"/>
      <c r="UUN57" s="148"/>
      <c r="UUO57" s="148"/>
      <c r="UUP57" s="148"/>
      <c r="UUQ57" s="148"/>
      <c r="UUR57" s="148"/>
      <c r="UUS57" s="148"/>
      <c r="UUT57" s="148"/>
      <c r="UUU57" s="148"/>
      <c r="UUV57" s="148"/>
      <c r="UUW57" s="148"/>
      <c r="UUX57" s="148"/>
      <c r="UUY57" s="148"/>
      <c r="UUZ57" s="148"/>
      <c r="UVA57" s="148"/>
      <c r="UVB57" s="148"/>
      <c r="UVC57" s="148"/>
      <c r="UVD57" s="148"/>
      <c r="UVE57" s="148"/>
      <c r="UVF57" s="148"/>
      <c r="UVG57" s="148"/>
      <c r="UVH57" s="148"/>
      <c r="UVI57" s="148"/>
      <c r="UVJ57" s="148"/>
      <c r="UVK57" s="148"/>
      <c r="UVL57" s="148"/>
      <c r="UVM57" s="148"/>
      <c r="UVN57" s="148"/>
      <c r="UVO57" s="148"/>
      <c r="UVP57" s="148"/>
      <c r="UVQ57" s="148"/>
      <c r="UVR57" s="148"/>
      <c r="UVS57" s="148"/>
      <c r="UVT57" s="148"/>
      <c r="UVU57" s="148"/>
      <c r="UVV57" s="148"/>
      <c r="UVW57" s="148"/>
      <c r="UVX57" s="148"/>
      <c r="UVY57" s="148"/>
      <c r="UVZ57" s="148"/>
      <c r="UWA57" s="148"/>
      <c r="UWB57" s="148"/>
      <c r="UWC57" s="148"/>
      <c r="UWD57" s="148"/>
      <c r="UWE57" s="148"/>
      <c r="UWF57" s="148"/>
      <c r="UWG57" s="148"/>
      <c r="UWH57" s="148"/>
      <c r="UWI57" s="148"/>
      <c r="UWJ57" s="148"/>
      <c r="UWK57" s="148"/>
      <c r="UWL57" s="148"/>
      <c r="UWM57" s="148"/>
      <c r="UWN57" s="148"/>
      <c r="UWO57" s="148"/>
      <c r="UWP57" s="148"/>
      <c r="UWQ57" s="148"/>
      <c r="UWR57" s="148"/>
      <c r="UWS57" s="148"/>
      <c r="UWT57" s="148"/>
      <c r="UWU57" s="148"/>
      <c r="UWV57" s="148"/>
      <c r="UWW57" s="148"/>
      <c r="UWX57" s="148"/>
      <c r="UWY57" s="148"/>
      <c r="UWZ57" s="148"/>
      <c r="UXA57" s="148"/>
      <c r="UXB57" s="148"/>
      <c r="UXC57" s="148"/>
      <c r="UXD57" s="148"/>
      <c r="UXE57" s="148"/>
      <c r="UXF57" s="148"/>
      <c r="UXG57" s="148"/>
      <c r="UXH57" s="148"/>
      <c r="UXI57" s="148"/>
      <c r="UXJ57" s="148"/>
      <c r="UXK57" s="148"/>
      <c r="UXL57" s="148"/>
      <c r="UXM57" s="148"/>
      <c r="UXN57" s="148"/>
      <c r="UXO57" s="148"/>
      <c r="UXP57" s="148"/>
      <c r="UXQ57" s="148"/>
      <c r="UXR57" s="148"/>
      <c r="UXS57" s="148"/>
      <c r="UXT57" s="148"/>
      <c r="UXU57" s="148"/>
      <c r="UXV57" s="148"/>
      <c r="UXW57" s="148"/>
      <c r="UXX57" s="148"/>
      <c r="UXY57" s="148"/>
      <c r="UXZ57" s="148"/>
      <c r="UYA57" s="148"/>
      <c r="UYB57" s="148"/>
      <c r="UYC57" s="148"/>
      <c r="UYD57" s="148"/>
      <c r="UYE57" s="148"/>
      <c r="UYF57" s="148"/>
      <c r="UYG57" s="148"/>
      <c r="UYH57" s="148"/>
      <c r="UYI57" s="148"/>
      <c r="UYJ57" s="148"/>
      <c r="UYK57" s="148"/>
      <c r="UYL57" s="148"/>
      <c r="UYM57" s="148"/>
      <c r="UYN57" s="148"/>
      <c r="UYO57" s="148"/>
      <c r="UYP57" s="148"/>
      <c r="UYQ57" s="148"/>
      <c r="UYR57" s="148"/>
      <c r="UYS57" s="148"/>
      <c r="UYT57" s="148"/>
      <c r="UYU57" s="148"/>
      <c r="UYV57" s="148"/>
      <c r="UYW57" s="148"/>
      <c r="UYX57" s="148"/>
      <c r="UYY57" s="148"/>
      <c r="UYZ57" s="148"/>
      <c r="UZA57" s="148"/>
      <c r="UZB57" s="148"/>
      <c r="UZC57" s="148"/>
      <c r="UZD57" s="148"/>
      <c r="UZE57" s="148"/>
      <c r="UZF57" s="148"/>
      <c r="UZG57" s="148"/>
      <c r="UZH57" s="148"/>
      <c r="UZI57" s="148"/>
      <c r="UZJ57" s="148"/>
      <c r="UZK57" s="148"/>
      <c r="UZL57" s="148"/>
      <c r="UZM57" s="148"/>
      <c r="UZN57" s="148"/>
      <c r="UZO57" s="148"/>
      <c r="UZP57" s="148"/>
      <c r="UZQ57" s="148"/>
      <c r="UZR57" s="148"/>
      <c r="UZS57" s="148"/>
      <c r="UZT57" s="148"/>
      <c r="UZU57" s="148"/>
      <c r="UZV57" s="148"/>
      <c r="UZW57" s="148"/>
      <c r="UZX57" s="148"/>
      <c r="UZY57" s="148"/>
      <c r="UZZ57" s="148"/>
      <c r="VAA57" s="148"/>
      <c r="VAB57" s="148"/>
      <c r="VAC57" s="148"/>
      <c r="VAD57" s="148"/>
      <c r="VAE57" s="148"/>
      <c r="VAF57" s="148"/>
      <c r="VAG57" s="148"/>
      <c r="VAH57" s="148"/>
      <c r="VAI57" s="148"/>
      <c r="VAJ57" s="148"/>
      <c r="VAK57" s="148"/>
      <c r="VAL57" s="148"/>
      <c r="VAM57" s="148"/>
      <c r="VAN57" s="148"/>
      <c r="VAO57" s="148"/>
      <c r="VAP57" s="148"/>
      <c r="VAQ57" s="148"/>
      <c r="VAR57" s="148"/>
      <c r="VAS57" s="148"/>
      <c r="VAT57" s="148"/>
      <c r="VAU57" s="148"/>
      <c r="VAV57" s="148"/>
      <c r="VAW57" s="148"/>
      <c r="VAX57" s="148"/>
      <c r="VAY57" s="148"/>
      <c r="VAZ57" s="148"/>
      <c r="VBA57" s="148"/>
      <c r="VBB57" s="148"/>
      <c r="VBC57" s="148"/>
      <c r="VBD57" s="148"/>
      <c r="VBE57" s="148"/>
      <c r="VBF57" s="148"/>
      <c r="VBG57" s="148"/>
      <c r="VBH57" s="148"/>
      <c r="VBI57" s="148"/>
      <c r="VBJ57" s="148"/>
      <c r="VBK57" s="148"/>
      <c r="VBL57" s="148"/>
      <c r="VBM57" s="148"/>
      <c r="VBN57" s="148"/>
      <c r="VBO57" s="148"/>
      <c r="VBP57" s="148"/>
      <c r="VBQ57" s="148"/>
      <c r="VBR57" s="148"/>
      <c r="VBS57" s="148"/>
      <c r="VBT57" s="148"/>
      <c r="VBU57" s="148"/>
      <c r="VBV57" s="148"/>
      <c r="VBW57" s="148"/>
      <c r="VBX57" s="148"/>
      <c r="VBY57" s="148"/>
      <c r="VBZ57" s="148"/>
      <c r="VCA57" s="148"/>
      <c r="VCB57" s="148"/>
      <c r="VCC57" s="148"/>
      <c r="VCD57" s="148"/>
      <c r="VCE57" s="148"/>
      <c r="VCF57" s="148"/>
      <c r="VCG57" s="148"/>
      <c r="VCH57" s="148"/>
      <c r="VCI57" s="148"/>
      <c r="VCJ57" s="148"/>
      <c r="VCK57" s="148"/>
      <c r="VCL57" s="148"/>
      <c r="VCM57" s="148"/>
      <c r="VCN57" s="148"/>
      <c r="VCO57" s="148"/>
      <c r="VCP57" s="148"/>
      <c r="VCQ57" s="148"/>
      <c r="VCR57" s="148"/>
      <c r="VCS57" s="148"/>
      <c r="VCT57" s="148"/>
      <c r="VCU57" s="148"/>
      <c r="VCV57" s="148"/>
      <c r="VCW57" s="148"/>
      <c r="VCX57" s="148"/>
      <c r="VCY57" s="148"/>
      <c r="VCZ57" s="148"/>
      <c r="VDA57" s="148"/>
      <c r="VDB57" s="148"/>
      <c r="VDC57" s="148"/>
      <c r="VDD57" s="148"/>
      <c r="VDE57" s="148"/>
      <c r="VDF57" s="148"/>
      <c r="VDG57" s="148"/>
      <c r="VDH57" s="148"/>
      <c r="VDI57" s="148"/>
      <c r="VDJ57" s="148"/>
      <c r="VDK57" s="148"/>
      <c r="VDL57" s="148"/>
      <c r="VDM57" s="148"/>
      <c r="VDN57" s="148"/>
      <c r="VDO57" s="148"/>
      <c r="VDP57" s="148"/>
      <c r="VDQ57" s="148"/>
      <c r="VDR57" s="148"/>
      <c r="VDS57" s="148"/>
      <c r="VDT57" s="148"/>
      <c r="VDU57" s="148"/>
      <c r="VDV57" s="148"/>
      <c r="VDW57" s="148"/>
      <c r="VDX57" s="148"/>
      <c r="VDY57" s="148"/>
      <c r="VDZ57" s="148"/>
      <c r="VEA57" s="148"/>
      <c r="VEB57" s="148"/>
      <c r="VEC57" s="148"/>
      <c r="VED57" s="148"/>
      <c r="VEE57" s="148"/>
      <c r="VEF57" s="148"/>
      <c r="VEG57" s="148"/>
      <c r="VEH57" s="148"/>
      <c r="VEI57" s="148"/>
      <c r="VEJ57" s="148"/>
      <c r="VEK57" s="148"/>
      <c r="VEL57" s="148"/>
      <c r="VEM57" s="148"/>
      <c r="VEN57" s="148"/>
      <c r="VEO57" s="148"/>
      <c r="VEP57" s="148"/>
      <c r="VEQ57" s="148"/>
      <c r="VER57" s="148"/>
      <c r="VES57" s="148"/>
      <c r="VET57" s="148"/>
      <c r="VEU57" s="148"/>
      <c r="VEV57" s="148"/>
      <c r="VEW57" s="148"/>
      <c r="VEX57" s="148"/>
      <c r="VEY57" s="148"/>
      <c r="VEZ57" s="148"/>
      <c r="VFA57" s="148"/>
      <c r="VFB57" s="148"/>
      <c r="VFC57" s="148"/>
      <c r="VFD57" s="148"/>
      <c r="VFE57" s="148"/>
      <c r="VFF57" s="148"/>
      <c r="VFG57" s="148"/>
      <c r="VFH57" s="148"/>
      <c r="VFI57" s="148"/>
      <c r="VFJ57" s="148"/>
      <c r="VFK57" s="148"/>
      <c r="VFL57" s="148"/>
      <c r="VFM57" s="148"/>
      <c r="VFN57" s="148"/>
      <c r="VFO57" s="148"/>
      <c r="VFP57" s="148"/>
      <c r="VFQ57" s="148"/>
      <c r="VFR57" s="148"/>
      <c r="VFS57" s="148"/>
      <c r="VFT57" s="148"/>
      <c r="VFU57" s="148"/>
      <c r="VFV57" s="148"/>
      <c r="VFW57" s="148"/>
      <c r="VFX57" s="148"/>
      <c r="VFY57" s="148"/>
      <c r="VFZ57" s="148"/>
      <c r="VGA57" s="148"/>
      <c r="VGB57" s="148"/>
      <c r="VGC57" s="148"/>
      <c r="VGD57" s="148"/>
      <c r="VGE57" s="148"/>
      <c r="VGF57" s="148"/>
      <c r="VGG57" s="148"/>
      <c r="VGH57" s="148"/>
      <c r="VGI57" s="148"/>
      <c r="VGJ57" s="148"/>
      <c r="VGK57" s="148"/>
      <c r="VGL57" s="148"/>
      <c r="VGM57" s="148"/>
      <c r="VGN57" s="148"/>
      <c r="VGO57" s="148"/>
      <c r="VGP57" s="148"/>
      <c r="VGQ57" s="148"/>
      <c r="VGR57" s="148"/>
      <c r="VGS57" s="148"/>
      <c r="VGT57" s="148"/>
      <c r="VGU57" s="148"/>
      <c r="VGV57" s="148"/>
      <c r="VGW57" s="148"/>
      <c r="VGX57" s="148"/>
      <c r="VGY57" s="148"/>
      <c r="VGZ57" s="148"/>
      <c r="VHA57" s="148"/>
      <c r="VHB57" s="148"/>
      <c r="VHC57" s="148"/>
      <c r="VHD57" s="148"/>
      <c r="VHE57" s="148"/>
      <c r="VHF57" s="148"/>
      <c r="VHG57" s="148"/>
      <c r="VHH57" s="148"/>
      <c r="VHI57" s="148"/>
      <c r="VHJ57" s="148"/>
      <c r="VHK57" s="148"/>
      <c r="VHL57" s="148"/>
      <c r="VHM57" s="148"/>
      <c r="VHN57" s="148"/>
      <c r="VHO57" s="148"/>
      <c r="VHP57" s="148"/>
      <c r="VHQ57" s="148"/>
      <c r="VHR57" s="148"/>
      <c r="VHS57" s="148"/>
      <c r="VHT57" s="148"/>
      <c r="VHU57" s="148"/>
      <c r="VHV57" s="148"/>
      <c r="VHW57" s="148"/>
      <c r="VHX57" s="148"/>
      <c r="VHY57" s="148"/>
      <c r="VHZ57" s="148"/>
      <c r="VIA57" s="148"/>
      <c r="VIB57" s="148"/>
      <c r="VIC57" s="148"/>
      <c r="VID57" s="148"/>
      <c r="VIE57" s="148"/>
      <c r="VIF57" s="148"/>
      <c r="VIG57" s="148"/>
      <c r="VIH57" s="148"/>
      <c r="VII57" s="148"/>
      <c r="VIJ57" s="148"/>
      <c r="VIK57" s="148"/>
      <c r="VIL57" s="148"/>
      <c r="VIM57" s="148"/>
      <c r="VIN57" s="148"/>
      <c r="VIO57" s="148"/>
      <c r="VIP57" s="148"/>
      <c r="VIQ57" s="148"/>
      <c r="VIR57" s="148"/>
      <c r="VIS57" s="148"/>
      <c r="VIT57" s="148"/>
      <c r="VIU57" s="148"/>
      <c r="VIV57" s="148"/>
      <c r="VIW57" s="148"/>
      <c r="VIX57" s="148"/>
      <c r="VIY57" s="148"/>
      <c r="VIZ57" s="148"/>
      <c r="VJA57" s="148"/>
      <c r="VJB57" s="148"/>
      <c r="VJC57" s="148"/>
      <c r="VJD57" s="148"/>
      <c r="VJE57" s="148"/>
      <c r="VJF57" s="148"/>
      <c r="VJG57" s="148"/>
      <c r="VJH57" s="148"/>
      <c r="VJI57" s="148"/>
      <c r="VJJ57" s="148"/>
      <c r="VJK57" s="148"/>
      <c r="VJL57" s="148"/>
      <c r="VJM57" s="148"/>
      <c r="VJN57" s="148"/>
      <c r="VJO57" s="148"/>
      <c r="VJP57" s="148"/>
      <c r="VJQ57" s="148"/>
      <c r="VJR57" s="148"/>
      <c r="VJS57" s="148"/>
      <c r="VJT57" s="148"/>
      <c r="VJU57" s="148"/>
      <c r="VJV57" s="148"/>
      <c r="VJW57" s="148"/>
      <c r="VJX57" s="148"/>
      <c r="VJY57" s="148"/>
      <c r="VJZ57" s="148"/>
      <c r="VKA57" s="148"/>
      <c r="VKB57" s="148"/>
      <c r="VKC57" s="148"/>
      <c r="VKD57" s="148"/>
      <c r="VKE57" s="148"/>
      <c r="VKF57" s="148"/>
      <c r="VKG57" s="148"/>
      <c r="VKH57" s="148"/>
      <c r="VKI57" s="148"/>
      <c r="VKJ57" s="148"/>
      <c r="VKK57" s="148"/>
      <c r="VKL57" s="148"/>
      <c r="VKM57" s="148"/>
      <c r="VKN57" s="148"/>
      <c r="VKO57" s="148"/>
      <c r="VKP57" s="148"/>
      <c r="VKQ57" s="148"/>
      <c r="VKR57" s="148"/>
      <c r="VKS57" s="148"/>
      <c r="VKT57" s="148"/>
      <c r="VKU57" s="148"/>
      <c r="VKV57" s="148"/>
      <c r="VKW57" s="148"/>
      <c r="VKX57" s="148"/>
      <c r="VKY57" s="148"/>
      <c r="VKZ57" s="148"/>
      <c r="VLA57" s="148"/>
      <c r="VLB57" s="148"/>
      <c r="VLC57" s="148"/>
      <c r="VLD57" s="148"/>
      <c r="VLE57" s="148"/>
      <c r="VLF57" s="148"/>
      <c r="VLG57" s="148"/>
      <c r="VLH57" s="148"/>
      <c r="VLI57" s="148"/>
      <c r="VLJ57" s="148"/>
      <c r="VLK57" s="148"/>
      <c r="VLL57" s="148"/>
      <c r="VLM57" s="148"/>
      <c r="VLN57" s="148"/>
      <c r="VLO57" s="148"/>
      <c r="VLP57" s="148"/>
      <c r="VLQ57" s="148"/>
      <c r="VLR57" s="148"/>
      <c r="VLS57" s="148"/>
      <c r="VLT57" s="148"/>
      <c r="VLU57" s="148"/>
      <c r="VLV57" s="148"/>
      <c r="VLW57" s="148"/>
      <c r="VLX57" s="148"/>
      <c r="VLY57" s="148"/>
      <c r="VLZ57" s="148"/>
      <c r="VMA57" s="148"/>
      <c r="VMB57" s="148"/>
      <c r="VMC57" s="148"/>
      <c r="VMD57" s="148"/>
      <c r="VME57" s="148"/>
      <c r="VMF57" s="148"/>
      <c r="VMG57" s="148"/>
      <c r="VMH57" s="148"/>
      <c r="VMI57" s="148"/>
      <c r="VMJ57" s="148"/>
      <c r="VMK57" s="148"/>
      <c r="VML57" s="148"/>
      <c r="VMM57" s="148"/>
      <c r="VMN57" s="148"/>
      <c r="VMO57" s="148"/>
      <c r="VMP57" s="148"/>
      <c r="VMQ57" s="148"/>
      <c r="VMR57" s="148"/>
      <c r="VMS57" s="148"/>
      <c r="VMT57" s="148"/>
      <c r="VMU57" s="148"/>
      <c r="VMV57" s="148"/>
      <c r="VMW57" s="148"/>
      <c r="VMX57" s="148"/>
      <c r="VMY57" s="148"/>
      <c r="VMZ57" s="148"/>
      <c r="VNA57" s="148"/>
      <c r="VNB57" s="148"/>
      <c r="VNC57" s="148"/>
      <c r="VND57" s="148"/>
      <c r="VNE57" s="148"/>
      <c r="VNF57" s="148"/>
      <c r="VNG57" s="148"/>
      <c r="VNH57" s="148"/>
      <c r="VNI57" s="148"/>
      <c r="VNJ57" s="148"/>
      <c r="VNK57" s="148"/>
      <c r="VNL57" s="148"/>
      <c r="VNM57" s="148"/>
      <c r="VNN57" s="148"/>
      <c r="VNO57" s="148"/>
      <c r="VNP57" s="148"/>
      <c r="VNQ57" s="148"/>
      <c r="VNR57" s="148"/>
      <c r="VNS57" s="148"/>
      <c r="VNT57" s="148"/>
      <c r="VNU57" s="148"/>
      <c r="VNV57" s="148"/>
      <c r="VNW57" s="148"/>
      <c r="VNX57" s="148"/>
      <c r="VNY57" s="148"/>
      <c r="VNZ57" s="148"/>
      <c r="VOA57" s="148"/>
      <c r="VOB57" s="148"/>
      <c r="VOC57" s="148"/>
      <c r="VOD57" s="148"/>
      <c r="VOE57" s="148"/>
      <c r="VOF57" s="148"/>
      <c r="VOG57" s="148"/>
      <c r="VOH57" s="148"/>
      <c r="VOI57" s="148"/>
      <c r="VOJ57" s="148"/>
      <c r="VOK57" s="148"/>
      <c r="VOL57" s="148"/>
      <c r="VOM57" s="148"/>
      <c r="VON57" s="148"/>
      <c r="VOO57" s="148"/>
      <c r="VOP57" s="148"/>
      <c r="VOQ57" s="148"/>
      <c r="VOR57" s="148"/>
      <c r="VOS57" s="148"/>
      <c r="VOT57" s="148"/>
      <c r="VOU57" s="148"/>
      <c r="VOV57" s="148"/>
      <c r="VOW57" s="148"/>
      <c r="VOX57" s="148"/>
      <c r="VOY57" s="148"/>
      <c r="VOZ57" s="148"/>
      <c r="VPA57" s="148"/>
      <c r="VPB57" s="148"/>
      <c r="VPC57" s="148"/>
      <c r="VPD57" s="148"/>
      <c r="VPE57" s="148"/>
      <c r="VPF57" s="148"/>
      <c r="VPG57" s="148"/>
      <c r="VPH57" s="148"/>
      <c r="VPI57" s="148"/>
      <c r="VPJ57" s="148"/>
      <c r="VPK57" s="148"/>
      <c r="VPL57" s="148"/>
      <c r="VPM57" s="148"/>
      <c r="VPN57" s="148"/>
      <c r="VPO57" s="148"/>
      <c r="VPP57" s="148"/>
      <c r="VPQ57" s="148"/>
      <c r="VPR57" s="148"/>
      <c r="VPS57" s="148"/>
      <c r="VPT57" s="148"/>
      <c r="VPU57" s="148"/>
      <c r="VPV57" s="148"/>
      <c r="VPW57" s="148"/>
      <c r="VPX57" s="148"/>
      <c r="VPY57" s="148"/>
      <c r="VPZ57" s="148"/>
      <c r="VQA57" s="148"/>
      <c r="VQB57" s="148"/>
      <c r="VQC57" s="148"/>
      <c r="VQD57" s="148"/>
      <c r="VQE57" s="148"/>
      <c r="VQF57" s="148"/>
      <c r="VQG57" s="148"/>
      <c r="VQH57" s="148"/>
      <c r="VQI57" s="148"/>
      <c r="VQJ57" s="148"/>
      <c r="VQK57" s="148"/>
      <c r="VQL57" s="148"/>
      <c r="VQM57" s="148"/>
      <c r="VQN57" s="148"/>
      <c r="VQO57" s="148"/>
      <c r="VQP57" s="148"/>
      <c r="VQQ57" s="148"/>
      <c r="VQR57" s="148"/>
      <c r="VQS57" s="148"/>
      <c r="VQT57" s="148"/>
      <c r="VQU57" s="148"/>
      <c r="VQV57" s="148"/>
      <c r="VQW57" s="148"/>
      <c r="VQX57" s="148"/>
      <c r="VQY57" s="148"/>
      <c r="VQZ57" s="148"/>
      <c r="VRA57" s="148"/>
      <c r="VRB57" s="148"/>
      <c r="VRC57" s="148"/>
      <c r="VRD57" s="148"/>
      <c r="VRE57" s="148"/>
      <c r="VRF57" s="148"/>
      <c r="VRG57" s="148"/>
      <c r="VRH57" s="148"/>
      <c r="VRI57" s="148"/>
      <c r="VRJ57" s="148"/>
      <c r="VRK57" s="148"/>
      <c r="VRL57" s="148"/>
      <c r="VRM57" s="148"/>
      <c r="VRN57" s="148"/>
      <c r="VRO57" s="148"/>
      <c r="VRP57" s="148"/>
      <c r="VRQ57" s="148"/>
      <c r="VRR57" s="148"/>
      <c r="VRS57" s="148"/>
      <c r="VRT57" s="148"/>
      <c r="VRU57" s="148"/>
      <c r="VRV57" s="148"/>
      <c r="VRW57" s="148"/>
      <c r="VRX57" s="148"/>
      <c r="VRY57" s="148"/>
      <c r="VRZ57" s="148"/>
      <c r="VSA57" s="148"/>
      <c r="VSB57" s="148"/>
      <c r="VSC57" s="148"/>
      <c r="VSD57" s="148"/>
      <c r="VSE57" s="148"/>
      <c r="VSF57" s="148"/>
      <c r="VSG57" s="148"/>
      <c r="VSH57" s="148"/>
      <c r="VSI57" s="148"/>
      <c r="VSJ57" s="148"/>
      <c r="VSK57" s="148"/>
      <c r="VSL57" s="148"/>
      <c r="VSM57" s="148"/>
      <c r="VSN57" s="148"/>
      <c r="VSO57" s="148"/>
      <c r="VSP57" s="148"/>
      <c r="VSQ57" s="148"/>
      <c r="VSR57" s="148"/>
      <c r="VSS57" s="148"/>
      <c r="VST57" s="148"/>
      <c r="VSU57" s="148"/>
      <c r="VSV57" s="148"/>
      <c r="VSW57" s="148"/>
      <c r="VSX57" s="148"/>
      <c r="VSY57" s="148"/>
      <c r="VSZ57" s="148"/>
      <c r="VTA57" s="148"/>
      <c r="VTB57" s="148"/>
      <c r="VTC57" s="148"/>
      <c r="VTD57" s="148"/>
      <c r="VTE57" s="148"/>
      <c r="VTF57" s="148"/>
      <c r="VTG57" s="148"/>
      <c r="VTH57" s="148"/>
      <c r="VTI57" s="148"/>
      <c r="VTJ57" s="148"/>
      <c r="VTK57" s="148"/>
      <c r="VTL57" s="148"/>
      <c r="VTM57" s="148"/>
      <c r="VTN57" s="148"/>
      <c r="VTO57" s="148"/>
      <c r="VTP57" s="148"/>
      <c r="VTQ57" s="148"/>
      <c r="VTR57" s="148"/>
      <c r="VTS57" s="148"/>
      <c r="VTT57" s="148"/>
      <c r="VTU57" s="148"/>
      <c r="VTV57" s="148"/>
      <c r="VTW57" s="148"/>
      <c r="VTX57" s="148"/>
      <c r="VTY57" s="148"/>
      <c r="VTZ57" s="148"/>
      <c r="VUA57" s="148"/>
      <c r="VUB57" s="148"/>
      <c r="VUC57" s="148"/>
      <c r="VUD57" s="148"/>
      <c r="VUE57" s="148"/>
      <c r="VUF57" s="148"/>
      <c r="VUG57" s="148"/>
      <c r="VUH57" s="148"/>
      <c r="VUI57" s="148"/>
      <c r="VUJ57" s="148"/>
      <c r="VUK57" s="148"/>
      <c r="VUL57" s="148"/>
      <c r="VUM57" s="148"/>
      <c r="VUN57" s="148"/>
      <c r="VUO57" s="148"/>
      <c r="VUP57" s="148"/>
      <c r="VUQ57" s="148"/>
      <c r="VUR57" s="148"/>
      <c r="VUS57" s="148"/>
      <c r="VUT57" s="148"/>
      <c r="VUU57" s="148"/>
      <c r="VUV57" s="148"/>
      <c r="VUW57" s="148"/>
      <c r="VUX57" s="148"/>
      <c r="VUY57" s="148"/>
      <c r="VUZ57" s="148"/>
      <c r="VVA57" s="148"/>
      <c r="VVB57" s="148"/>
      <c r="VVC57" s="148"/>
      <c r="VVD57" s="148"/>
      <c r="VVE57" s="148"/>
      <c r="VVF57" s="148"/>
      <c r="VVG57" s="148"/>
      <c r="VVH57" s="148"/>
      <c r="VVI57" s="148"/>
      <c r="VVJ57" s="148"/>
      <c r="VVK57" s="148"/>
      <c r="VVL57" s="148"/>
      <c r="VVM57" s="148"/>
      <c r="VVN57" s="148"/>
      <c r="VVO57" s="148"/>
      <c r="VVP57" s="148"/>
      <c r="VVQ57" s="148"/>
      <c r="VVR57" s="148"/>
      <c r="VVS57" s="148"/>
      <c r="VVT57" s="148"/>
      <c r="VVU57" s="148"/>
      <c r="VVV57" s="148"/>
      <c r="VVW57" s="148"/>
      <c r="VVX57" s="148"/>
      <c r="VVY57" s="148"/>
      <c r="VVZ57" s="148"/>
      <c r="VWA57" s="148"/>
      <c r="VWB57" s="148"/>
      <c r="VWC57" s="148"/>
      <c r="VWD57" s="148"/>
      <c r="VWE57" s="148"/>
      <c r="VWF57" s="148"/>
      <c r="VWG57" s="148"/>
      <c r="VWH57" s="148"/>
      <c r="VWI57" s="148"/>
      <c r="VWJ57" s="148"/>
      <c r="VWK57" s="148"/>
      <c r="VWL57" s="148"/>
      <c r="VWM57" s="148"/>
      <c r="VWN57" s="148"/>
      <c r="VWO57" s="148"/>
      <c r="VWP57" s="148"/>
      <c r="VWQ57" s="148"/>
      <c r="VWR57" s="148"/>
      <c r="VWS57" s="148"/>
      <c r="VWT57" s="148"/>
      <c r="VWU57" s="148"/>
      <c r="VWV57" s="148"/>
      <c r="VWW57" s="148"/>
      <c r="VWX57" s="148"/>
      <c r="VWY57" s="148"/>
      <c r="VWZ57" s="148"/>
      <c r="VXA57" s="148"/>
      <c r="VXB57" s="148"/>
      <c r="VXC57" s="148"/>
      <c r="VXD57" s="148"/>
      <c r="VXE57" s="148"/>
      <c r="VXF57" s="148"/>
      <c r="VXG57" s="148"/>
      <c r="VXH57" s="148"/>
      <c r="VXI57" s="148"/>
      <c r="VXJ57" s="148"/>
      <c r="VXK57" s="148"/>
      <c r="VXL57" s="148"/>
      <c r="VXM57" s="148"/>
      <c r="VXN57" s="148"/>
      <c r="VXO57" s="148"/>
      <c r="VXP57" s="148"/>
      <c r="VXQ57" s="148"/>
      <c r="VXR57" s="148"/>
      <c r="VXS57" s="148"/>
      <c r="VXT57" s="148"/>
      <c r="VXU57" s="148"/>
      <c r="VXV57" s="148"/>
      <c r="VXW57" s="148"/>
      <c r="VXX57" s="148"/>
      <c r="VXY57" s="148"/>
      <c r="VXZ57" s="148"/>
      <c r="VYA57" s="148"/>
      <c r="VYB57" s="148"/>
      <c r="VYC57" s="148"/>
      <c r="VYD57" s="148"/>
      <c r="VYE57" s="148"/>
      <c r="VYF57" s="148"/>
      <c r="VYG57" s="148"/>
      <c r="VYH57" s="148"/>
      <c r="VYI57" s="148"/>
      <c r="VYJ57" s="148"/>
      <c r="VYK57" s="148"/>
      <c r="VYL57" s="148"/>
      <c r="VYM57" s="148"/>
      <c r="VYN57" s="148"/>
      <c r="VYO57" s="148"/>
      <c r="VYP57" s="148"/>
      <c r="VYQ57" s="148"/>
      <c r="VYR57" s="148"/>
      <c r="VYS57" s="148"/>
      <c r="VYT57" s="148"/>
      <c r="VYU57" s="148"/>
      <c r="VYV57" s="148"/>
      <c r="VYW57" s="148"/>
      <c r="VYX57" s="148"/>
      <c r="VYY57" s="148"/>
      <c r="VYZ57" s="148"/>
      <c r="VZA57" s="148"/>
      <c r="VZB57" s="148"/>
      <c r="VZC57" s="148"/>
      <c r="VZD57" s="148"/>
      <c r="VZE57" s="148"/>
      <c r="VZF57" s="148"/>
      <c r="VZG57" s="148"/>
      <c r="VZH57" s="148"/>
      <c r="VZI57" s="148"/>
      <c r="VZJ57" s="148"/>
      <c r="VZK57" s="148"/>
      <c r="VZL57" s="148"/>
      <c r="VZM57" s="148"/>
      <c r="VZN57" s="148"/>
      <c r="VZO57" s="148"/>
      <c r="VZP57" s="148"/>
      <c r="VZQ57" s="148"/>
      <c r="VZR57" s="148"/>
      <c r="VZS57" s="148"/>
      <c r="VZT57" s="148"/>
      <c r="VZU57" s="148"/>
      <c r="VZV57" s="148"/>
      <c r="VZW57" s="148"/>
      <c r="VZX57" s="148"/>
      <c r="VZY57" s="148"/>
      <c r="VZZ57" s="148"/>
      <c r="WAA57" s="148"/>
      <c r="WAB57" s="148"/>
      <c r="WAC57" s="148"/>
      <c r="WAD57" s="148"/>
      <c r="WAE57" s="148"/>
      <c r="WAF57" s="148"/>
      <c r="WAG57" s="148"/>
      <c r="WAH57" s="148"/>
      <c r="WAI57" s="148"/>
      <c r="WAJ57" s="148"/>
      <c r="WAK57" s="148"/>
      <c r="WAL57" s="148"/>
      <c r="WAM57" s="148"/>
      <c r="WAN57" s="148"/>
      <c r="WAO57" s="148"/>
      <c r="WAP57" s="148"/>
      <c r="WAQ57" s="148"/>
      <c r="WAR57" s="148"/>
      <c r="WAS57" s="148"/>
      <c r="WAT57" s="148"/>
      <c r="WAU57" s="148"/>
      <c r="WAV57" s="148"/>
      <c r="WAW57" s="148"/>
      <c r="WAX57" s="148"/>
      <c r="WAY57" s="148"/>
      <c r="WAZ57" s="148"/>
      <c r="WBA57" s="148"/>
      <c r="WBB57" s="148"/>
      <c r="WBC57" s="148"/>
      <c r="WBD57" s="148"/>
      <c r="WBE57" s="148"/>
      <c r="WBF57" s="148"/>
      <c r="WBG57" s="148"/>
      <c r="WBH57" s="148"/>
      <c r="WBI57" s="148"/>
      <c r="WBJ57" s="148"/>
      <c r="WBK57" s="148"/>
      <c r="WBL57" s="148"/>
      <c r="WBM57" s="148"/>
      <c r="WBN57" s="148"/>
      <c r="WBO57" s="148"/>
      <c r="WBP57" s="148"/>
      <c r="WBQ57" s="148"/>
      <c r="WBR57" s="148"/>
      <c r="WBS57" s="148"/>
      <c r="WBT57" s="148"/>
      <c r="WBU57" s="148"/>
      <c r="WBV57" s="148"/>
      <c r="WBW57" s="148"/>
      <c r="WBX57" s="148"/>
      <c r="WBY57" s="148"/>
      <c r="WBZ57" s="148"/>
      <c r="WCA57" s="148"/>
      <c r="WCB57" s="148"/>
      <c r="WCC57" s="148"/>
      <c r="WCD57" s="148"/>
      <c r="WCE57" s="148"/>
      <c r="WCF57" s="148"/>
      <c r="WCG57" s="148"/>
      <c r="WCH57" s="148"/>
      <c r="WCI57" s="148"/>
      <c r="WCJ57" s="148"/>
      <c r="WCK57" s="148"/>
      <c r="WCL57" s="148"/>
      <c r="WCM57" s="148"/>
      <c r="WCN57" s="148"/>
      <c r="WCO57" s="148"/>
      <c r="WCP57" s="148"/>
      <c r="WCQ57" s="148"/>
      <c r="WCR57" s="148"/>
      <c r="WCS57" s="148"/>
      <c r="WCT57" s="148"/>
      <c r="WCU57" s="148"/>
      <c r="WCV57" s="148"/>
      <c r="WCW57" s="148"/>
      <c r="WCX57" s="148"/>
      <c r="WCY57" s="148"/>
      <c r="WCZ57" s="148"/>
      <c r="WDA57" s="148"/>
      <c r="WDB57" s="148"/>
      <c r="WDC57" s="148"/>
      <c r="WDD57" s="148"/>
      <c r="WDE57" s="148"/>
      <c r="WDF57" s="148"/>
      <c r="WDG57" s="148"/>
      <c r="WDH57" s="148"/>
      <c r="WDI57" s="148"/>
      <c r="WDJ57" s="148"/>
      <c r="WDK57" s="148"/>
      <c r="WDL57" s="148"/>
      <c r="WDM57" s="148"/>
      <c r="WDN57" s="148"/>
      <c r="WDO57" s="148"/>
      <c r="WDP57" s="148"/>
      <c r="WDQ57" s="148"/>
      <c r="WDR57" s="148"/>
      <c r="WDS57" s="148"/>
      <c r="WDT57" s="148"/>
      <c r="WDU57" s="148"/>
      <c r="WDV57" s="148"/>
      <c r="WDW57" s="148"/>
      <c r="WDX57" s="148"/>
      <c r="WDY57" s="148"/>
      <c r="WDZ57" s="148"/>
      <c r="WEA57" s="148"/>
      <c r="WEB57" s="148"/>
      <c r="WEC57" s="148"/>
      <c r="WED57" s="148"/>
      <c r="WEE57" s="148"/>
      <c r="WEF57" s="148"/>
      <c r="WEG57" s="148"/>
      <c r="WEH57" s="148"/>
      <c r="WEI57" s="148"/>
      <c r="WEJ57" s="148"/>
      <c r="WEK57" s="148"/>
      <c r="WEL57" s="148"/>
      <c r="WEM57" s="148"/>
      <c r="WEN57" s="148"/>
      <c r="WEO57" s="148"/>
      <c r="WEP57" s="148"/>
      <c r="WEQ57" s="148"/>
      <c r="WER57" s="148"/>
      <c r="WES57" s="148"/>
      <c r="WET57" s="148"/>
      <c r="WEU57" s="148"/>
      <c r="WEV57" s="148"/>
      <c r="WEW57" s="148"/>
      <c r="WEX57" s="148"/>
      <c r="WEY57" s="148"/>
      <c r="WEZ57" s="148"/>
      <c r="WFA57" s="148"/>
      <c r="WFB57" s="148"/>
      <c r="WFC57" s="148"/>
      <c r="WFD57" s="148"/>
      <c r="WFE57" s="148"/>
      <c r="WFF57" s="148"/>
      <c r="WFG57" s="148"/>
      <c r="WFH57" s="148"/>
      <c r="WFI57" s="148"/>
      <c r="WFJ57" s="148"/>
      <c r="WFK57" s="148"/>
      <c r="WFL57" s="148"/>
      <c r="WFM57" s="148"/>
      <c r="WFN57" s="148"/>
      <c r="WFO57" s="148"/>
      <c r="WFP57" s="148"/>
      <c r="WFQ57" s="148"/>
      <c r="WFR57" s="148"/>
      <c r="WFS57" s="148"/>
      <c r="WFT57" s="148"/>
      <c r="WFU57" s="148"/>
      <c r="WFV57" s="148"/>
      <c r="WFW57" s="148"/>
      <c r="WFX57" s="148"/>
      <c r="WFY57" s="148"/>
      <c r="WFZ57" s="148"/>
      <c r="WGA57" s="148"/>
      <c r="WGB57" s="148"/>
      <c r="WGC57" s="148"/>
      <c r="WGD57" s="148"/>
      <c r="WGE57" s="148"/>
      <c r="WGF57" s="148"/>
      <c r="WGG57" s="148"/>
      <c r="WGH57" s="148"/>
      <c r="WGI57" s="148"/>
      <c r="WGJ57" s="148"/>
      <c r="WGK57" s="148"/>
      <c r="WGL57" s="148"/>
      <c r="WGM57" s="148"/>
      <c r="WGN57" s="148"/>
      <c r="WGO57" s="148"/>
      <c r="WGP57" s="148"/>
      <c r="WGQ57" s="148"/>
      <c r="WGR57" s="148"/>
      <c r="WGS57" s="148"/>
      <c r="WGT57" s="148"/>
      <c r="WGU57" s="148"/>
      <c r="WGV57" s="148"/>
      <c r="WGW57" s="148"/>
      <c r="WGX57" s="148"/>
      <c r="WGY57" s="148"/>
      <c r="WGZ57" s="148"/>
      <c r="WHA57" s="148"/>
      <c r="WHB57" s="148"/>
      <c r="WHC57" s="148"/>
      <c r="WHD57" s="148"/>
      <c r="WHE57" s="148"/>
      <c r="WHF57" s="148"/>
      <c r="WHG57" s="148"/>
      <c r="WHH57" s="148"/>
      <c r="WHI57" s="148"/>
      <c r="WHJ57" s="148"/>
      <c r="WHK57" s="148"/>
      <c r="WHL57" s="148"/>
      <c r="WHM57" s="148"/>
      <c r="WHN57" s="148"/>
      <c r="WHO57" s="148"/>
      <c r="WHP57" s="148"/>
      <c r="WHQ57" s="148"/>
      <c r="WHR57" s="148"/>
      <c r="WHS57" s="148"/>
      <c r="WHT57" s="148"/>
      <c r="WHU57" s="148"/>
      <c r="WHV57" s="148"/>
      <c r="WHW57" s="148"/>
      <c r="WHX57" s="148"/>
      <c r="WHY57" s="148"/>
      <c r="WHZ57" s="148"/>
      <c r="WIA57" s="148"/>
      <c r="WIB57" s="148"/>
      <c r="WIC57" s="148"/>
      <c r="WID57" s="148"/>
      <c r="WIE57" s="148"/>
      <c r="WIF57" s="148"/>
      <c r="WIG57" s="148"/>
      <c r="WIH57" s="148"/>
      <c r="WII57" s="148"/>
      <c r="WIJ57" s="148"/>
      <c r="WIK57" s="148"/>
      <c r="WIL57" s="148"/>
      <c r="WIM57" s="148"/>
      <c r="WIN57" s="148"/>
      <c r="WIO57" s="148"/>
      <c r="WIP57" s="148"/>
      <c r="WIQ57" s="148"/>
      <c r="WIR57" s="148"/>
      <c r="WIS57" s="148"/>
      <c r="WIT57" s="148"/>
      <c r="WIU57" s="148"/>
      <c r="WIV57" s="148"/>
      <c r="WIW57" s="148"/>
      <c r="WIX57" s="148"/>
      <c r="WIY57" s="148"/>
      <c r="WIZ57" s="148"/>
      <c r="WJA57" s="148"/>
      <c r="WJB57" s="148"/>
      <c r="WJC57" s="148"/>
      <c r="WJD57" s="148"/>
      <c r="WJE57" s="148"/>
      <c r="WJF57" s="148"/>
      <c r="WJG57" s="148"/>
      <c r="WJH57" s="148"/>
      <c r="WJI57" s="148"/>
      <c r="WJJ57" s="148"/>
      <c r="WJK57" s="148"/>
      <c r="WJL57" s="148"/>
      <c r="WJM57" s="148"/>
      <c r="WJN57" s="148"/>
      <c r="WJO57" s="148"/>
      <c r="WJP57" s="148"/>
      <c r="WJQ57" s="148"/>
      <c r="WJR57" s="148"/>
      <c r="WJS57" s="148"/>
      <c r="WJT57" s="148"/>
      <c r="WJU57" s="148"/>
      <c r="WJV57" s="148"/>
      <c r="WJW57" s="148"/>
      <c r="WJX57" s="148"/>
      <c r="WJY57" s="148"/>
      <c r="WJZ57" s="148"/>
      <c r="WKA57" s="148"/>
      <c r="WKB57" s="148"/>
      <c r="WKC57" s="148"/>
      <c r="WKD57" s="148"/>
      <c r="WKE57" s="148"/>
      <c r="WKF57" s="148"/>
      <c r="WKG57" s="148"/>
      <c r="WKH57" s="148"/>
      <c r="WKI57" s="148"/>
      <c r="WKJ57" s="148"/>
      <c r="WKK57" s="148"/>
      <c r="WKL57" s="148"/>
      <c r="WKM57" s="148"/>
      <c r="WKN57" s="148"/>
      <c r="WKO57" s="148"/>
      <c r="WKP57" s="148"/>
      <c r="WKQ57" s="148"/>
      <c r="WKR57" s="148"/>
      <c r="WKS57" s="148"/>
      <c r="WKT57" s="148"/>
      <c r="WKU57" s="148"/>
      <c r="WKV57" s="148"/>
      <c r="WKW57" s="148"/>
      <c r="WKX57" s="148"/>
      <c r="WKY57" s="148"/>
      <c r="WKZ57" s="148"/>
      <c r="WLA57" s="148"/>
      <c r="WLB57" s="148"/>
      <c r="WLC57" s="148"/>
      <c r="WLD57" s="148"/>
      <c r="WLE57" s="148"/>
      <c r="WLF57" s="148"/>
      <c r="WLG57" s="148"/>
      <c r="WLH57" s="148"/>
      <c r="WLI57" s="148"/>
      <c r="WLJ57" s="148"/>
      <c r="WLK57" s="148"/>
      <c r="WLL57" s="148"/>
      <c r="WLM57" s="148"/>
      <c r="WLN57" s="148"/>
      <c r="WLO57" s="148"/>
      <c r="WLP57" s="148"/>
      <c r="WLQ57" s="148"/>
      <c r="WLR57" s="148"/>
      <c r="WLS57" s="148"/>
      <c r="WLT57" s="148"/>
      <c r="WLU57" s="148"/>
      <c r="WLV57" s="148"/>
      <c r="WLW57" s="148"/>
      <c r="WLX57" s="148"/>
      <c r="WLY57" s="148"/>
      <c r="WLZ57" s="148"/>
      <c r="WMA57" s="148"/>
      <c r="WMB57" s="148"/>
      <c r="WMC57" s="148"/>
      <c r="WMD57" s="148"/>
      <c r="WME57" s="148"/>
      <c r="WMF57" s="148"/>
      <c r="WMG57" s="148"/>
      <c r="WMH57" s="148"/>
      <c r="WMI57" s="148"/>
      <c r="WMJ57" s="148"/>
      <c r="WMK57" s="148"/>
      <c r="WML57" s="148"/>
      <c r="WMM57" s="148"/>
      <c r="WMN57" s="148"/>
      <c r="WMO57" s="148"/>
      <c r="WMP57" s="148"/>
      <c r="WMQ57" s="148"/>
      <c r="WMR57" s="148"/>
      <c r="WMS57" s="148"/>
      <c r="WMT57" s="148"/>
      <c r="WMU57" s="148"/>
      <c r="WMV57" s="148"/>
      <c r="WMW57" s="148"/>
      <c r="WMX57" s="148"/>
      <c r="WMY57" s="148"/>
      <c r="WMZ57" s="148"/>
      <c r="WNA57" s="148"/>
      <c r="WNB57" s="148"/>
      <c r="WNC57" s="148"/>
      <c r="WND57" s="148"/>
      <c r="WNE57" s="148"/>
      <c r="WNF57" s="148"/>
      <c r="WNG57" s="148"/>
      <c r="WNH57" s="148"/>
      <c r="WNI57" s="148"/>
      <c r="WNJ57" s="148"/>
      <c r="WNK57" s="148"/>
      <c r="WNL57" s="148"/>
      <c r="WNM57" s="148"/>
      <c r="WNN57" s="148"/>
      <c r="WNO57" s="148"/>
      <c r="WNP57" s="148"/>
      <c r="WNQ57" s="148"/>
      <c r="WNR57" s="148"/>
      <c r="WNS57" s="148"/>
      <c r="WNT57" s="148"/>
      <c r="WNU57" s="148"/>
      <c r="WNV57" s="148"/>
      <c r="WNW57" s="148"/>
      <c r="WNX57" s="148"/>
      <c r="WNY57" s="148"/>
      <c r="WNZ57" s="148"/>
      <c r="WOA57" s="148"/>
      <c r="WOB57" s="148"/>
      <c r="WOC57" s="148"/>
      <c r="WOD57" s="148"/>
      <c r="WOE57" s="148"/>
      <c r="WOF57" s="148"/>
      <c r="WOG57" s="148"/>
      <c r="WOH57" s="148"/>
      <c r="WOI57" s="148"/>
      <c r="WOJ57" s="148"/>
      <c r="WOK57" s="148"/>
      <c r="WOL57" s="148"/>
      <c r="WOM57" s="148"/>
      <c r="WON57" s="148"/>
      <c r="WOO57" s="148"/>
      <c r="WOP57" s="148"/>
      <c r="WOQ57" s="148"/>
      <c r="WOR57" s="148"/>
      <c r="WOS57" s="148"/>
      <c r="WOT57" s="148"/>
      <c r="WOU57" s="148"/>
      <c r="WOV57" s="148"/>
      <c r="WOW57" s="148"/>
      <c r="WOX57" s="148"/>
      <c r="WOY57" s="148"/>
      <c r="WOZ57" s="148"/>
      <c r="WPA57" s="148"/>
      <c r="WPB57" s="148"/>
      <c r="WPC57" s="148"/>
      <c r="WPD57" s="148"/>
      <c r="WPE57" s="148"/>
      <c r="WPF57" s="148"/>
      <c r="WPG57" s="148"/>
      <c r="WPH57" s="148"/>
      <c r="WPI57" s="148"/>
      <c r="WPJ57" s="148"/>
      <c r="WPK57" s="148"/>
      <c r="WPL57" s="148"/>
      <c r="WPM57" s="148"/>
      <c r="WPN57" s="148"/>
      <c r="WPO57" s="148"/>
      <c r="WPP57" s="148"/>
      <c r="WPQ57" s="148"/>
      <c r="WPR57" s="148"/>
      <c r="WPS57" s="148"/>
      <c r="WPT57" s="148"/>
      <c r="WPU57" s="148"/>
      <c r="WPV57" s="148"/>
      <c r="WPW57" s="148"/>
      <c r="WPX57" s="148"/>
      <c r="WPY57" s="148"/>
      <c r="WPZ57" s="148"/>
      <c r="WQA57" s="148"/>
      <c r="WQB57" s="148"/>
      <c r="WQC57" s="148"/>
      <c r="WQD57" s="148"/>
      <c r="WQE57" s="148"/>
      <c r="WQF57" s="148"/>
      <c r="WQG57" s="148"/>
      <c r="WQH57" s="148"/>
      <c r="WQI57" s="148"/>
      <c r="WQJ57" s="148"/>
      <c r="WQK57" s="148"/>
      <c r="WQL57" s="148"/>
      <c r="WQM57" s="148"/>
      <c r="WQN57" s="148"/>
      <c r="WQO57" s="148"/>
      <c r="WQP57" s="148"/>
      <c r="WQQ57" s="148"/>
      <c r="WQR57" s="148"/>
      <c r="WQS57" s="148"/>
      <c r="WQT57" s="148"/>
      <c r="WQU57" s="148"/>
      <c r="WQV57" s="148"/>
      <c r="WQW57" s="148"/>
      <c r="WQX57" s="148"/>
      <c r="WQY57" s="148"/>
      <c r="WQZ57" s="148"/>
      <c r="WRA57" s="148"/>
      <c r="WRB57" s="148"/>
      <c r="WRC57" s="148"/>
      <c r="WRD57" s="148"/>
      <c r="WRE57" s="148"/>
      <c r="WRF57" s="148"/>
      <c r="WRG57" s="148"/>
      <c r="WRH57" s="148"/>
      <c r="WRI57" s="148"/>
      <c r="WRJ57" s="148"/>
      <c r="WRK57" s="148"/>
      <c r="WRL57" s="148"/>
      <c r="WRM57" s="148"/>
      <c r="WRN57" s="148"/>
      <c r="WRO57" s="148"/>
      <c r="WRP57" s="148"/>
      <c r="WRQ57" s="148"/>
      <c r="WRR57" s="148"/>
      <c r="WRS57" s="148"/>
      <c r="WRT57" s="148"/>
      <c r="WRU57" s="148"/>
      <c r="WRV57" s="148"/>
      <c r="WRW57" s="148"/>
      <c r="WRX57" s="148"/>
      <c r="WRY57" s="148"/>
      <c r="WRZ57" s="148"/>
      <c r="WSA57" s="148"/>
      <c r="WSB57" s="148"/>
      <c r="WSC57" s="148"/>
      <c r="WSD57" s="148"/>
      <c r="WSE57" s="148"/>
      <c r="WSF57" s="148"/>
      <c r="WSG57" s="148"/>
      <c r="WSH57" s="148"/>
      <c r="WSI57" s="148"/>
      <c r="WSJ57" s="148"/>
      <c r="WSK57" s="148"/>
      <c r="WSL57" s="148"/>
      <c r="WSM57" s="148"/>
      <c r="WSN57" s="148"/>
      <c r="WSO57" s="148"/>
      <c r="WSP57" s="148"/>
      <c r="WSQ57" s="148"/>
      <c r="WSR57" s="148"/>
      <c r="WSS57" s="148"/>
      <c r="WST57" s="148"/>
      <c r="WSU57" s="148"/>
      <c r="WSV57" s="148"/>
      <c r="WSW57" s="148"/>
      <c r="WSX57" s="148"/>
      <c r="WSY57" s="148"/>
      <c r="WSZ57" s="148"/>
      <c r="WTA57" s="148"/>
      <c r="WTB57" s="148"/>
      <c r="WTC57" s="148"/>
      <c r="WTD57" s="148"/>
      <c r="WTE57" s="148"/>
      <c r="WTF57" s="148"/>
      <c r="WTG57" s="148"/>
      <c r="WTH57" s="148"/>
      <c r="WTI57" s="148"/>
      <c r="WTJ57" s="148"/>
      <c r="WTK57" s="148"/>
      <c r="WTL57" s="148"/>
      <c r="WTM57" s="148"/>
      <c r="WTN57" s="148"/>
      <c r="WTO57" s="148"/>
      <c r="WTP57" s="148"/>
      <c r="WTQ57" s="148"/>
      <c r="WTR57" s="148"/>
      <c r="WTS57" s="148"/>
      <c r="WTT57" s="148"/>
      <c r="WTU57" s="148"/>
      <c r="WTV57" s="148"/>
      <c r="WTW57" s="148"/>
      <c r="WTX57" s="148"/>
      <c r="WTY57" s="148"/>
      <c r="WTZ57" s="148"/>
      <c r="WUA57" s="148"/>
      <c r="WUB57" s="148"/>
      <c r="WUC57" s="148"/>
      <c r="WUD57" s="148"/>
      <c r="WUE57" s="148"/>
      <c r="WUF57" s="148"/>
      <c r="WUG57" s="148"/>
      <c r="WUH57" s="148"/>
      <c r="WUI57" s="148"/>
      <c r="WUJ57" s="148"/>
      <c r="WUK57" s="148"/>
      <c r="WUL57" s="148"/>
      <c r="WUM57" s="148"/>
      <c r="WUN57" s="148"/>
      <c r="WUO57" s="148"/>
      <c r="WUP57" s="148"/>
      <c r="WUQ57" s="148"/>
      <c r="WUR57" s="148"/>
      <c r="WUS57" s="148"/>
      <c r="WUT57" s="148"/>
      <c r="WUU57" s="148"/>
      <c r="WUV57" s="148"/>
      <c r="WUW57" s="148"/>
      <c r="WUX57" s="148"/>
      <c r="WUY57" s="148"/>
      <c r="WUZ57" s="148"/>
      <c r="WVA57" s="148"/>
      <c r="WVB57" s="148"/>
      <c r="WVC57" s="148"/>
      <c r="WVD57" s="148"/>
      <c r="WVE57" s="148"/>
      <c r="WVF57" s="148"/>
      <c r="WVG57" s="148"/>
      <c r="WVH57" s="148"/>
      <c r="WVI57" s="148"/>
      <c r="WVJ57" s="148"/>
      <c r="WVK57" s="148"/>
      <c r="WVL57" s="148"/>
      <c r="WVM57" s="148"/>
      <c r="WVN57" s="148"/>
      <c r="WVO57" s="148"/>
      <c r="WVP57" s="148"/>
      <c r="WVQ57" s="148"/>
      <c r="WVR57" s="148"/>
      <c r="WVS57" s="148"/>
      <c r="WVT57" s="148"/>
      <c r="WVU57" s="148"/>
      <c r="WVV57" s="148"/>
      <c r="WVW57" s="148"/>
      <c r="WVX57" s="148"/>
      <c r="WVY57" s="148"/>
      <c r="WVZ57" s="148"/>
      <c r="WWA57" s="148"/>
      <c r="WWB57" s="148"/>
      <c r="WWC57" s="148"/>
      <c r="WWD57" s="148"/>
      <c r="WWE57" s="148"/>
      <c r="WWF57" s="148"/>
      <c r="WWG57" s="148"/>
      <c r="WWH57" s="148"/>
      <c r="WWI57" s="148"/>
      <c r="WWJ57" s="148"/>
      <c r="WWK57" s="148"/>
      <c r="WWL57" s="148"/>
      <c r="WWM57" s="148"/>
      <c r="WWN57" s="148"/>
      <c r="WWO57" s="148"/>
      <c r="WWP57" s="148"/>
      <c r="WWQ57" s="148"/>
      <c r="WWR57" s="148"/>
      <c r="WWS57" s="148"/>
      <c r="WWT57" s="148"/>
      <c r="WWU57" s="148"/>
      <c r="WWV57" s="148"/>
      <c r="WWW57" s="148"/>
      <c r="WWX57" s="148"/>
      <c r="WWY57" s="148"/>
      <c r="WWZ57" s="148"/>
      <c r="WXA57" s="148"/>
      <c r="WXB57" s="148"/>
      <c r="WXC57" s="148"/>
      <c r="WXD57" s="148"/>
      <c r="WXE57" s="148"/>
      <c r="WXF57" s="148"/>
      <c r="WXG57" s="148"/>
      <c r="WXH57" s="148"/>
      <c r="WXI57" s="148"/>
      <c r="WXJ57" s="148"/>
      <c r="WXK57" s="148"/>
      <c r="WXL57" s="148"/>
      <c r="WXM57" s="148"/>
      <c r="WXN57" s="148"/>
      <c r="WXO57" s="148"/>
      <c r="WXP57" s="148"/>
      <c r="WXQ57" s="148"/>
      <c r="WXR57" s="148"/>
      <c r="WXS57" s="148"/>
      <c r="WXT57" s="148"/>
      <c r="WXU57" s="148"/>
      <c r="WXV57" s="148"/>
      <c r="WXW57" s="148"/>
      <c r="WXX57" s="148"/>
      <c r="WXY57" s="148"/>
      <c r="WXZ57" s="148"/>
      <c r="WYA57" s="148"/>
      <c r="WYB57" s="148"/>
      <c r="WYC57" s="148"/>
      <c r="WYD57" s="148"/>
      <c r="WYE57" s="148"/>
      <c r="WYF57" s="148"/>
      <c r="WYG57" s="148"/>
      <c r="WYH57" s="148"/>
      <c r="WYI57" s="148"/>
      <c r="WYJ57" s="148"/>
      <c r="WYK57" s="148"/>
      <c r="WYL57" s="148"/>
      <c r="WYM57" s="148"/>
      <c r="WYN57" s="148"/>
      <c r="WYO57" s="148"/>
      <c r="WYP57" s="148"/>
      <c r="WYQ57" s="148"/>
      <c r="WYR57" s="148"/>
      <c r="WYS57" s="148"/>
      <c r="WYT57" s="148"/>
      <c r="WYU57" s="148"/>
      <c r="WYV57" s="148"/>
      <c r="WYW57" s="148"/>
      <c r="WYX57" s="148"/>
      <c r="WYY57" s="148"/>
      <c r="WYZ57" s="148"/>
      <c r="WZA57" s="148"/>
      <c r="WZB57" s="148"/>
      <c r="WZC57" s="148"/>
      <c r="WZD57" s="148"/>
      <c r="WZE57" s="148"/>
      <c r="WZF57" s="148"/>
      <c r="WZG57" s="148"/>
      <c r="WZH57" s="148"/>
      <c r="WZI57" s="148"/>
      <c r="WZJ57" s="148"/>
      <c r="WZK57" s="148"/>
      <c r="WZL57" s="148"/>
      <c r="WZM57" s="148"/>
      <c r="WZN57" s="148"/>
      <c r="WZO57" s="148"/>
      <c r="WZP57" s="148"/>
      <c r="WZQ57" s="148"/>
      <c r="WZR57" s="148"/>
      <c r="WZS57" s="148"/>
      <c r="WZT57" s="148"/>
      <c r="WZU57" s="148"/>
      <c r="WZV57" s="148"/>
      <c r="WZW57" s="148"/>
      <c r="WZX57" s="148"/>
      <c r="WZY57" s="148"/>
      <c r="WZZ57" s="148"/>
      <c r="XAA57" s="148"/>
      <c r="XAB57" s="148"/>
      <c r="XAC57" s="148"/>
      <c r="XAD57" s="148"/>
      <c r="XAE57" s="148"/>
      <c r="XAF57" s="148"/>
      <c r="XAG57" s="148"/>
      <c r="XAH57" s="148"/>
      <c r="XAI57" s="148"/>
      <c r="XAJ57" s="148"/>
      <c r="XAK57" s="148"/>
      <c r="XAL57" s="148"/>
      <c r="XAM57" s="148"/>
      <c r="XAN57" s="148"/>
      <c r="XAO57" s="148"/>
      <c r="XAP57" s="148"/>
      <c r="XAQ57" s="148"/>
      <c r="XAR57" s="148"/>
      <c r="XAS57" s="148"/>
      <c r="XAT57" s="148"/>
      <c r="XAU57" s="148"/>
      <c r="XAV57" s="148"/>
      <c r="XAW57" s="148"/>
      <c r="XAX57" s="148"/>
      <c r="XAY57" s="148"/>
      <c r="XAZ57" s="148"/>
      <c r="XBA57" s="148"/>
      <c r="XBB57" s="148"/>
      <c r="XBC57" s="148"/>
      <c r="XBD57" s="148"/>
      <c r="XBE57" s="148"/>
      <c r="XBF57" s="148"/>
      <c r="XBG57" s="148"/>
      <c r="XBH57" s="148"/>
      <c r="XBI57" s="148"/>
      <c r="XBJ57" s="148"/>
      <c r="XBK57" s="148"/>
      <c r="XBL57" s="148"/>
      <c r="XBM57" s="148"/>
      <c r="XBN57" s="148"/>
      <c r="XBO57" s="148"/>
      <c r="XBP57" s="148"/>
      <c r="XBQ57" s="148"/>
      <c r="XBR57" s="148"/>
      <c r="XBS57" s="148"/>
      <c r="XBT57" s="148"/>
      <c r="XBU57" s="148"/>
      <c r="XBV57" s="148"/>
      <c r="XBW57" s="148"/>
      <c r="XBX57" s="148"/>
      <c r="XBY57" s="148"/>
      <c r="XBZ57" s="148"/>
      <c r="XCA57" s="148"/>
      <c r="XCB57" s="148"/>
      <c r="XCC57" s="148"/>
      <c r="XCD57" s="148"/>
      <c r="XCE57" s="148"/>
      <c r="XCF57" s="148"/>
      <c r="XCG57" s="148"/>
      <c r="XCH57" s="148"/>
      <c r="XCI57" s="148"/>
      <c r="XCJ57" s="148"/>
      <c r="XCK57" s="148"/>
      <c r="XCL57" s="148"/>
      <c r="XCM57" s="148"/>
      <c r="XCN57" s="148"/>
      <c r="XCO57" s="148"/>
      <c r="XCP57" s="148"/>
      <c r="XCQ57" s="148"/>
      <c r="XCR57" s="148"/>
      <c r="XCS57" s="148"/>
      <c r="XCT57" s="148"/>
      <c r="XCU57" s="148"/>
      <c r="XCV57" s="148"/>
      <c r="XCW57" s="148"/>
      <c r="XCX57" s="148"/>
      <c r="XCY57" s="148"/>
      <c r="XCZ57" s="148"/>
      <c r="XDA57" s="148"/>
      <c r="XDB57" s="148"/>
      <c r="XDC57" s="148"/>
      <c r="XDD57" s="148"/>
      <c r="XDE57" s="148"/>
      <c r="XDF57" s="148"/>
      <c r="XDG57" s="148"/>
      <c r="XDH57" s="148"/>
      <c r="XDI57" s="148"/>
      <c r="XDJ57" s="148"/>
      <c r="XDK57" s="148"/>
      <c r="XDL57" s="148"/>
      <c r="XDM57" s="148"/>
      <c r="XDN57" s="148"/>
      <c r="XDO57" s="148"/>
      <c r="XDP57" s="148"/>
      <c r="XDQ57" s="148"/>
      <c r="XDR57" s="148"/>
      <c r="XDS57" s="148"/>
      <c r="XDT57" s="148"/>
      <c r="XDU57" s="148"/>
      <c r="XDV57" s="148"/>
      <c r="XDW57" s="148"/>
      <c r="XDX57" s="148"/>
      <c r="XDY57" s="148"/>
      <c r="XDZ57" s="148"/>
      <c r="XEA57" s="148"/>
      <c r="XEB57" s="148"/>
      <c r="XEC57" s="148"/>
      <c r="XED57" s="148"/>
      <c r="XEE57" s="148"/>
      <c r="XEF57" s="148"/>
      <c r="XEG57" s="148"/>
      <c r="XEH57" s="148"/>
      <c r="XEI57" s="148"/>
      <c r="XEJ57" s="148"/>
      <c r="XEK57" s="148"/>
      <c r="XEL57" s="148"/>
      <c r="XEM57" s="148"/>
      <c r="XEN57" s="148"/>
      <c r="XEO57" s="148"/>
      <c r="XEP57" s="148"/>
      <c r="XEQ57" s="148"/>
      <c r="XER57" s="148"/>
      <c r="XES57" s="148"/>
      <c r="XET57" s="148"/>
      <c r="XEU57" s="148"/>
      <c r="XEV57" s="148"/>
      <c r="XEW57" s="148"/>
      <c r="XEX57" s="148"/>
      <c r="XEY57" s="148"/>
      <c r="XEZ57" s="148"/>
      <c r="XFA57" s="148"/>
      <c r="XFB57" s="148"/>
      <c r="XFC57" s="148"/>
    </row>
    <row r="58" spans="1:16383" ht="15">
      <c r="A58" s="158" t="s">
        <v>1245</v>
      </c>
      <c r="B58" s="148"/>
      <c r="C58" s="148"/>
      <c r="D58" s="148"/>
      <c r="E58" s="148"/>
      <c r="F58" s="148"/>
      <c r="G58" s="148"/>
      <c r="H58" s="148"/>
      <c r="I58" s="148"/>
      <c r="J58" s="148"/>
      <c r="K58" s="148"/>
      <c r="L58" s="148"/>
      <c r="M58" s="148"/>
      <c r="N58" s="148"/>
      <c r="O58" s="148"/>
      <c r="P58" s="148"/>
      <c r="Q58" s="148"/>
      <c r="R58" s="148"/>
      <c r="S58" s="148"/>
      <c r="T58" s="148"/>
      <c r="U58" s="148"/>
      <c r="V58" s="148"/>
      <c r="W58" s="148"/>
      <c r="X58" s="148"/>
      <c r="Y58" s="148"/>
      <c r="Z58" s="148"/>
      <c r="AA58" s="148"/>
      <c r="AB58" s="148"/>
      <c r="AC58" s="148"/>
      <c r="AD58" s="148"/>
      <c r="AE58" s="148"/>
      <c r="AF58" s="148"/>
      <c r="AG58" s="148"/>
      <c r="AH58" s="148"/>
      <c r="AI58" s="148"/>
      <c r="AJ58" s="148"/>
      <c r="AK58" s="148"/>
      <c r="AL58" s="148"/>
      <c r="AM58" s="148"/>
      <c r="AN58" s="148"/>
      <c r="AO58" s="148"/>
      <c r="AP58" s="148"/>
      <c r="AQ58" s="148"/>
      <c r="AR58" s="148"/>
      <c r="AS58" s="148"/>
      <c r="AT58" s="148"/>
      <c r="AU58" s="148"/>
      <c r="AV58" s="148"/>
      <c r="AW58" s="148"/>
      <c r="AX58" s="148"/>
      <c r="AY58" s="148"/>
      <c r="AZ58" s="148"/>
      <c r="BA58" s="148"/>
      <c r="BB58" s="148"/>
      <c r="BC58" s="148"/>
      <c r="BD58" s="148"/>
      <c r="BE58" s="148"/>
      <c r="BF58" s="148"/>
      <c r="BG58" s="148"/>
      <c r="BH58" s="148"/>
      <c r="BI58" s="148"/>
      <c r="BJ58" s="148"/>
      <c r="BK58" s="148"/>
      <c r="BL58" s="148"/>
      <c r="BM58" s="148"/>
      <c r="BN58" s="148"/>
      <c r="BO58" s="148"/>
      <c r="BP58" s="148"/>
      <c r="BQ58" s="148"/>
      <c r="BR58" s="148"/>
      <c r="BS58" s="148"/>
      <c r="BT58" s="148"/>
      <c r="BU58" s="148"/>
      <c r="BV58" s="148"/>
      <c r="BW58" s="148"/>
      <c r="BX58" s="148"/>
      <c r="BY58" s="148"/>
      <c r="BZ58" s="148"/>
      <c r="CA58" s="148"/>
      <c r="CB58" s="148"/>
      <c r="CC58" s="148"/>
      <c r="CD58" s="148"/>
      <c r="CE58" s="148"/>
      <c r="CF58" s="148"/>
      <c r="CG58" s="148"/>
      <c r="CH58" s="148"/>
      <c r="CI58" s="148"/>
      <c r="CJ58" s="148"/>
      <c r="CK58" s="148"/>
      <c r="CL58" s="148"/>
      <c r="CM58" s="148"/>
      <c r="CN58" s="148"/>
      <c r="CO58" s="148"/>
      <c r="CP58" s="148"/>
      <c r="CQ58" s="148"/>
      <c r="CR58" s="148"/>
      <c r="CS58" s="148"/>
      <c r="CT58" s="148"/>
      <c r="CU58" s="148"/>
      <c r="CV58" s="148"/>
      <c r="CW58" s="148"/>
      <c r="CX58" s="148"/>
      <c r="CY58" s="148"/>
      <c r="CZ58" s="148"/>
      <c r="DA58" s="148"/>
      <c r="DB58" s="148"/>
      <c r="DC58" s="148"/>
      <c r="DD58" s="148"/>
      <c r="DE58" s="148"/>
      <c r="DF58" s="148"/>
      <c r="DG58" s="148"/>
      <c r="DH58" s="148"/>
      <c r="DI58" s="148"/>
      <c r="DJ58" s="148"/>
      <c r="DK58" s="148"/>
      <c r="DL58" s="148"/>
      <c r="DM58" s="148"/>
      <c r="DN58" s="148"/>
      <c r="DO58" s="148"/>
      <c r="DP58" s="148"/>
      <c r="DQ58" s="148"/>
      <c r="DR58" s="148"/>
      <c r="DS58" s="148"/>
      <c r="DT58" s="148"/>
      <c r="DU58" s="148"/>
      <c r="DV58" s="148"/>
      <c r="DW58" s="148"/>
      <c r="DX58" s="148"/>
      <c r="DY58" s="148"/>
      <c r="DZ58" s="148"/>
      <c r="EA58" s="148"/>
      <c r="EB58" s="148"/>
      <c r="EC58" s="148"/>
      <c r="ED58" s="148"/>
      <c r="EE58" s="148"/>
      <c r="EF58" s="148"/>
      <c r="EG58" s="148"/>
      <c r="EH58" s="148"/>
      <c r="EI58" s="148"/>
      <c r="EJ58" s="148"/>
      <c r="EK58" s="148"/>
      <c r="EL58" s="148"/>
      <c r="EM58" s="148"/>
      <c r="EN58" s="148"/>
      <c r="EO58" s="148"/>
      <c r="EP58" s="148"/>
      <c r="EQ58" s="148"/>
      <c r="ER58" s="148"/>
      <c r="ES58" s="148"/>
      <c r="ET58" s="148"/>
      <c r="EU58" s="148"/>
      <c r="EV58" s="148"/>
      <c r="EW58" s="148"/>
      <c r="EX58" s="148"/>
      <c r="EY58" s="148"/>
      <c r="EZ58" s="148"/>
      <c r="FA58" s="148"/>
      <c r="FB58" s="148"/>
      <c r="FC58" s="148"/>
      <c r="FD58" s="148"/>
      <c r="FE58" s="148"/>
      <c r="FF58" s="148"/>
      <c r="FG58" s="148"/>
      <c r="FH58" s="148"/>
      <c r="FI58" s="148"/>
      <c r="FJ58" s="148"/>
      <c r="FK58" s="148"/>
      <c r="FL58" s="148"/>
      <c r="FM58" s="148"/>
      <c r="FN58" s="148"/>
      <c r="FO58" s="148"/>
      <c r="FP58" s="148"/>
      <c r="FQ58" s="148"/>
      <c r="FR58" s="148"/>
      <c r="FS58" s="148"/>
      <c r="FT58" s="148"/>
      <c r="FU58" s="148"/>
      <c r="FV58" s="148"/>
      <c r="FW58" s="148"/>
      <c r="FX58" s="148"/>
      <c r="FY58" s="148"/>
      <c r="FZ58" s="148"/>
      <c r="GA58" s="148"/>
      <c r="GB58" s="148"/>
      <c r="GC58" s="148"/>
      <c r="GD58" s="148"/>
      <c r="GE58" s="148"/>
      <c r="GF58" s="148"/>
      <c r="GG58" s="148"/>
      <c r="GH58" s="148"/>
      <c r="GI58" s="148"/>
      <c r="GJ58" s="148"/>
      <c r="GK58" s="148"/>
      <c r="GL58" s="148"/>
      <c r="GM58" s="148"/>
      <c r="GN58" s="148"/>
      <c r="GO58" s="148"/>
      <c r="GP58" s="148"/>
      <c r="GQ58" s="148"/>
      <c r="GR58" s="148"/>
      <c r="GS58" s="148"/>
      <c r="GT58" s="148"/>
      <c r="GU58" s="148"/>
      <c r="GV58" s="148"/>
      <c r="GW58" s="148"/>
      <c r="GX58" s="148"/>
      <c r="GY58" s="148"/>
      <c r="GZ58" s="148"/>
      <c r="HA58" s="148"/>
      <c r="HB58" s="148"/>
      <c r="HC58" s="148"/>
      <c r="HD58" s="148"/>
      <c r="HE58" s="148"/>
      <c r="HF58" s="148"/>
      <c r="HG58" s="148"/>
      <c r="HH58" s="148"/>
      <c r="HI58" s="148"/>
      <c r="HJ58" s="148"/>
      <c r="HK58" s="148"/>
      <c r="HL58" s="148"/>
      <c r="HM58" s="148"/>
      <c r="HN58" s="148"/>
      <c r="HO58" s="148"/>
      <c r="HP58" s="148"/>
      <c r="HQ58" s="148"/>
      <c r="HR58" s="148"/>
      <c r="HS58" s="148"/>
      <c r="HT58" s="148"/>
      <c r="HU58" s="148"/>
      <c r="HV58" s="148"/>
      <c r="HW58" s="148"/>
      <c r="HX58" s="148"/>
      <c r="HY58" s="148"/>
      <c r="HZ58" s="148"/>
      <c r="IA58" s="148"/>
      <c r="IB58" s="148"/>
      <c r="IC58" s="148"/>
      <c r="ID58" s="148"/>
      <c r="IE58" s="148"/>
      <c r="IF58" s="148"/>
      <c r="IG58" s="148"/>
      <c r="IH58" s="148"/>
      <c r="II58" s="148"/>
      <c r="IJ58" s="148"/>
      <c r="IK58" s="148"/>
      <c r="IL58" s="148"/>
      <c r="IM58" s="148"/>
      <c r="IN58" s="148"/>
      <c r="IO58" s="148"/>
      <c r="IP58" s="148"/>
      <c r="IQ58" s="148"/>
      <c r="IR58" s="148"/>
      <c r="IS58" s="148"/>
      <c r="IT58" s="148"/>
      <c r="IU58" s="148"/>
      <c r="IV58" s="148"/>
      <c r="IW58" s="148"/>
      <c r="IX58" s="148"/>
      <c r="IY58" s="148"/>
      <c r="IZ58" s="148"/>
      <c r="JA58" s="148"/>
      <c r="JB58" s="148"/>
      <c r="JC58" s="148"/>
      <c r="JD58" s="148"/>
      <c r="JE58" s="148"/>
      <c r="JF58" s="148"/>
      <c r="JG58" s="148"/>
      <c r="JH58" s="148"/>
      <c r="JI58" s="148"/>
      <c r="JJ58" s="148"/>
      <c r="JK58" s="148"/>
      <c r="JL58" s="148"/>
      <c r="JM58" s="148"/>
      <c r="JN58" s="148"/>
      <c r="JO58" s="148"/>
      <c r="JP58" s="148"/>
      <c r="JQ58" s="148"/>
      <c r="JR58" s="148"/>
      <c r="JS58" s="148"/>
      <c r="JT58" s="148"/>
      <c r="JU58" s="148"/>
      <c r="JV58" s="148"/>
      <c r="JW58" s="148"/>
      <c r="JX58" s="148"/>
      <c r="JY58" s="148"/>
      <c r="JZ58" s="148"/>
      <c r="KA58" s="148"/>
      <c r="KB58" s="148"/>
      <c r="KC58" s="148"/>
      <c r="KD58" s="148"/>
      <c r="KE58" s="148"/>
      <c r="KF58" s="148"/>
      <c r="KG58" s="148"/>
      <c r="KH58" s="148"/>
      <c r="KI58" s="148"/>
      <c r="KJ58" s="148"/>
      <c r="KK58" s="148"/>
      <c r="KL58" s="148"/>
      <c r="KM58" s="148"/>
      <c r="KN58" s="148"/>
      <c r="KO58" s="148"/>
      <c r="KP58" s="148"/>
      <c r="KQ58" s="148"/>
      <c r="KR58" s="148"/>
      <c r="KS58" s="148"/>
      <c r="KT58" s="148"/>
      <c r="KU58" s="148"/>
      <c r="KV58" s="148"/>
      <c r="KW58" s="148"/>
      <c r="KX58" s="148"/>
      <c r="KY58" s="148"/>
      <c r="KZ58" s="148"/>
      <c r="LA58" s="148"/>
      <c r="LB58" s="148"/>
      <c r="LC58" s="148"/>
      <c r="LD58" s="148"/>
      <c r="LE58" s="148"/>
      <c r="LF58" s="148"/>
      <c r="LG58" s="148"/>
      <c r="LH58" s="148"/>
      <c r="LI58" s="148"/>
      <c r="LJ58" s="148"/>
      <c r="LK58" s="148"/>
      <c r="LL58" s="148"/>
      <c r="LM58" s="148"/>
      <c r="LN58" s="148"/>
      <c r="LO58" s="148"/>
      <c r="LP58" s="148"/>
      <c r="LQ58" s="148"/>
      <c r="LR58" s="148"/>
      <c r="LS58" s="148"/>
      <c r="LT58" s="148"/>
      <c r="LU58" s="148"/>
      <c r="LV58" s="148"/>
      <c r="LW58" s="148"/>
      <c r="LX58" s="148"/>
      <c r="LY58" s="148"/>
      <c r="LZ58" s="148"/>
      <c r="MA58" s="148"/>
      <c r="MB58" s="148"/>
      <c r="MC58" s="148"/>
      <c r="MD58" s="148"/>
      <c r="ME58" s="148"/>
      <c r="MF58" s="148"/>
      <c r="MG58" s="148"/>
      <c r="MH58" s="148"/>
      <c r="MI58" s="148"/>
      <c r="MJ58" s="148"/>
      <c r="MK58" s="148"/>
      <c r="ML58" s="148"/>
      <c r="MM58" s="148"/>
      <c r="MN58" s="148"/>
      <c r="MO58" s="148"/>
      <c r="MP58" s="148"/>
      <c r="MQ58" s="148"/>
      <c r="MR58" s="148"/>
      <c r="MS58" s="148"/>
      <c r="MT58" s="148"/>
      <c r="MU58" s="148"/>
      <c r="MV58" s="148"/>
      <c r="MW58" s="148"/>
      <c r="MX58" s="148"/>
      <c r="MY58" s="148"/>
      <c r="MZ58" s="148"/>
      <c r="NA58" s="148"/>
      <c r="NB58" s="148"/>
      <c r="NC58" s="148"/>
      <c r="ND58" s="148"/>
      <c r="NE58" s="148"/>
      <c r="NF58" s="148"/>
      <c r="NG58" s="148"/>
      <c r="NH58" s="148"/>
      <c r="NI58" s="148"/>
      <c r="NJ58" s="148"/>
      <c r="NK58" s="148"/>
      <c r="NL58" s="148"/>
      <c r="NM58" s="148"/>
      <c r="NN58" s="148"/>
      <c r="NO58" s="148"/>
      <c r="NP58" s="148"/>
      <c r="NQ58" s="148"/>
      <c r="NR58" s="148"/>
      <c r="NS58" s="148"/>
      <c r="NT58" s="148"/>
      <c r="NU58" s="148"/>
      <c r="NV58" s="148"/>
      <c r="NW58" s="148"/>
      <c r="NX58" s="148"/>
      <c r="NY58" s="148"/>
      <c r="NZ58" s="148"/>
      <c r="OA58" s="148"/>
      <c r="OB58" s="148"/>
      <c r="OC58" s="148"/>
      <c r="OD58" s="148"/>
      <c r="OE58" s="148"/>
      <c r="OF58" s="148"/>
      <c r="OG58" s="148"/>
      <c r="OH58" s="148"/>
      <c r="OI58" s="148"/>
      <c r="OJ58" s="148"/>
      <c r="OK58" s="148"/>
      <c r="OL58" s="148"/>
      <c r="OM58" s="148"/>
      <c r="ON58" s="148"/>
      <c r="OO58" s="148"/>
      <c r="OP58" s="148"/>
      <c r="OQ58" s="148"/>
      <c r="OR58" s="148"/>
      <c r="OS58" s="148"/>
      <c r="OT58" s="148"/>
      <c r="OU58" s="148"/>
      <c r="OV58" s="148"/>
      <c r="OW58" s="148"/>
      <c r="OX58" s="148"/>
      <c r="OY58" s="148"/>
      <c r="OZ58" s="148"/>
      <c r="PA58" s="148"/>
      <c r="PB58" s="148"/>
      <c r="PC58" s="148"/>
      <c r="PD58" s="148"/>
      <c r="PE58" s="148"/>
      <c r="PF58" s="148"/>
      <c r="PG58" s="148"/>
      <c r="PH58" s="148"/>
      <c r="PI58" s="148"/>
      <c r="PJ58" s="148"/>
      <c r="PK58" s="148"/>
      <c r="PL58" s="148"/>
      <c r="PM58" s="148"/>
      <c r="PN58" s="148"/>
      <c r="PO58" s="148"/>
      <c r="PP58" s="148"/>
      <c r="PQ58" s="148"/>
      <c r="PR58" s="148"/>
      <c r="PS58" s="148"/>
      <c r="PT58" s="148"/>
      <c r="PU58" s="148"/>
      <c r="PV58" s="148"/>
      <c r="PW58" s="148"/>
      <c r="PX58" s="148"/>
      <c r="PY58" s="148"/>
      <c r="PZ58" s="148"/>
      <c r="QA58" s="148"/>
      <c r="QB58" s="148"/>
      <c r="QC58" s="148"/>
      <c r="QD58" s="148"/>
      <c r="QE58" s="148"/>
      <c r="QF58" s="148"/>
      <c r="QG58" s="148"/>
      <c r="QH58" s="148"/>
      <c r="QI58" s="148"/>
      <c r="QJ58" s="148"/>
      <c r="QK58" s="148"/>
      <c r="QL58" s="148"/>
      <c r="QM58" s="148"/>
      <c r="QN58" s="148"/>
      <c r="QO58" s="148"/>
      <c r="QP58" s="148"/>
      <c r="QQ58" s="148"/>
      <c r="QR58" s="148"/>
      <c r="QS58" s="148"/>
      <c r="QT58" s="148"/>
      <c r="QU58" s="148"/>
      <c r="QV58" s="148"/>
      <c r="QW58" s="148"/>
      <c r="QX58" s="148"/>
      <c r="QY58" s="148"/>
      <c r="QZ58" s="148"/>
      <c r="RA58" s="148"/>
      <c r="RB58" s="148"/>
      <c r="RC58" s="148"/>
      <c r="RD58" s="148"/>
      <c r="RE58" s="148"/>
      <c r="RF58" s="148"/>
      <c r="RG58" s="148"/>
      <c r="RH58" s="148"/>
      <c r="RI58" s="148"/>
      <c r="RJ58" s="148"/>
      <c r="RK58" s="148"/>
      <c r="RL58" s="148"/>
      <c r="RM58" s="148"/>
      <c r="RN58" s="148"/>
      <c r="RO58" s="148"/>
      <c r="RP58" s="148"/>
      <c r="RQ58" s="148"/>
      <c r="RR58" s="148"/>
      <c r="RS58" s="148"/>
      <c r="RT58" s="148"/>
      <c r="RU58" s="148"/>
      <c r="RV58" s="148"/>
      <c r="RW58" s="148"/>
      <c r="RX58" s="148"/>
      <c r="RY58" s="148"/>
      <c r="RZ58" s="148"/>
      <c r="SA58" s="148"/>
      <c r="SB58" s="148"/>
      <c r="SC58" s="148"/>
      <c r="SD58" s="148"/>
      <c r="SE58" s="148"/>
      <c r="SF58" s="148"/>
      <c r="SG58" s="148"/>
      <c r="SH58" s="148"/>
      <c r="SI58" s="148"/>
      <c r="SJ58" s="148"/>
      <c r="SK58" s="148"/>
      <c r="SL58" s="148"/>
      <c r="SM58" s="148"/>
      <c r="SN58" s="148"/>
      <c r="SO58" s="148"/>
      <c r="SP58" s="148"/>
      <c r="SQ58" s="148"/>
      <c r="SR58" s="148"/>
      <c r="SS58" s="148"/>
      <c r="ST58" s="148"/>
      <c r="SU58" s="148"/>
      <c r="SV58" s="148"/>
      <c r="SW58" s="148"/>
      <c r="SX58" s="148"/>
      <c r="SY58" s="148"/>
      <c r="SZ58" s="148"/>
      <c r="TA58" s="148"/>
      <c r="TB58" s="148"/>
      <c r="TC58" s="148"/>
      <c r="TD58" s="148"/>
      <c r="TE58" s="148"/>
      <c r="TF58" s="148"/>
      <c r="TG58" s="148"/>
      <c r="TH58" s="148"/>
      <c r="TI58" s="148"/>
      <c r="TJ58" s="148"/>
      <c r="TK58" s="148"/>
      <c r="TL58" s="148"/>
      <c r="TM58" s="148"/>
      <c r="TN58" s="148"/>
      <c r="TO58" s="148"/>
      <c r="TP58" s="148"/>
      <c r="TQ58" s="148"/>
      <c r="TR58" s="148"/>
      <c r="TS58" s="148"/>
      <c r="TT58" s="148"/>
      <c r="TU58" s="148"/>
      <c r="TV58" s="148"/>
      <c r="TW58" s="148"/>
      <c r="TX58" s="148"/>
      <c r="TY58" s="148"/>
      <c r="TZ58" s="148"/>
      <c r="UA58" s="148"/>
      <c r="UB58" s="148"/>
      <c r="UC58" s="148"/>
      <c r="UD58" s="148"/>
      <c r="UE58" s="148"/>
      <c r="UF58" s="148"/>
      <c r="UG58" s="148"/>
      <c r="UH58" s="148"/>
      <c r="UI58" s="148"/>
      <c r="UJ58" s="148"/>
      <c r="UK58" s="148"/>
      <c r="UL58" s="148"/>
      <c r="UM58" s="148"/>
      <c r="UN58" s="148"/>
      <c r="UO58" s="148"/>
      <c r="UP58" s="148"/>
      <c r="UQ58" s="148"/>
      <c r="UR58" s="148"/>
      <c r="US58" s="148"/>
      <c r="UT58" s="148"/>
      <c r="UU58" s="148"/>
      <c r="UV58" s="148"/>
      <c r="UW58" s="148"/>
      <c r="UX58" s="148"/>
      <c r="UY58" s="148"/>
      <c r="UZ58" s="148"/>
      <c r="VA58" s="148"/>
      <c r="VB58" s="148"/>
      <c r="VC58" s="148"/>
      <c r="VD58" s="148"/>
      <c r="VE58" s="148"/>
      <c r="VF58" s="148"/>
      <c r="VG58" s="148"/>
      <c r="VH58" s="148"/>
      <c r="VI58" s="148"/>
      <c r="VJ58" s="148"/>
      <c r="VK58" s="148"/>
      <c r="VL58" s="148"/>
      <c r="VM58" s="148"/>
      <c r="VN58" s="148"/>
      <c r="VO58" s="148"/>
      <c r="VP58" s="148"/>
      <c r="VQ58" s="148"/>
      <c r="VR58" s="148"/>
      <c r="VS58" s="148"/>
      <c r="VT58" s="148"/>
      <c r="VU58" s="148"/>
      <c r="VV58" s="148"/>
      <c r="VW58" s="148"/>
      <c r="VX58" s="148"/>
      <c r="VY58" s="148"/>
      <c r="VZ58" s="148"/>
      <c r="WA58" s="148"/>
      <c r="WB58" s="148"/>
      <c r="WC58" s="148"/>
      <c r="WD58" s="148"/>
      <c r="WE58" s="148"/>
      <c r="WF58" s="148"/>
      <c r="WG58" s="148"/>
      <c r="WH58" s="148"/>
      <c r="WI58" s="148"/>
      <c r="WJ58" s="148"/>
      <c r="WK58" s="148"/>
      <c r="WL58" s="148"/>
      <c r="WM58" s="148"/>
      <c r="WN58" s="148"/>
      <c r="WO58" s="148"/>
      <c r="WP58" s="148"/>
      <c r="WQ58" s="148"/>
      <c r="WR58" s="148"/>
      <c r="WS58" s="148"/>
      <c r="WT58" s="148"/>
      <c r="WU58" s="148"/>
      <c r="WV58" s="148"/>
      <c r="WW58" s="148"/>
      <c r="WX58" s="148"/>
      <c r="WY58" s="148"/>
      <c r="WZ58" s="148"/>
      <c r="XA58" s="148"/>
      <c r="XB58" s="148"/>
      <c r="XC58" s="148"/>
      <c r="XD58" s="148"/>
      <c r="XE58" s="148"/>
      <c r="XF58" s="148"/>
      <c r="XG58" s="148"/>
      <c r="XH58" s="148"/>
      <c r="XI58" s="148"/>
      <c r="XJ58" s="148"/>
      <c r="XK58" s="148"/>
      <c r="XL58" s="148"/>
      <c r="XM58" s="148"/>
      <c r="XN58" s="148"/>
      <c r="XO58" s="148"/>
      <c r="XP58" s="148"/>
      <c r="XQ58" s="148"/>
      <c r="XR58" s="148"/>
      <c r="XS58" s="148"/>
      <c r="XT58" s="148"/>
      <c r="XU58" s="148"/>
      <c r="XV58" s="148"/>
      <c r="XW58" s="148"/>
      <c r="XX58" s="148"/>
      <c r="XY58" s="148"/>
      <c r="XZ58" s="148"/>
      <c r="YA58" s="148"/>
      <c r="YB58" s="148"/>
      <c r="YC58" s="148"/>
      <c r="YD58" s="148"/>
      <c r="YE58" s="148"/>
      <c r="YF58" s="148"/>
      <c r="YG58" s="148"/>
      <c r="YH58" s="148"/>
      <c r="YI58" s="148"/>
      <c r="YJ58" s="148"/>
      <c r="YK58" s="148"/>
      <c r="YL58" s="148"/>
      <c r="YM58" s="148"/>
      <c r="YN58" s="148"/>
      <c r="YO58" s="148"/>
      <c r="YP58" s="148"/>
      <c r="YQ58" s="148"/>
      <c r="YR58" s="148"/>
      <c r="YS58" s="148"/>
      <c r="YT58" s="148"/>
      <c r="YU58" s="148"/>
      <c r="YV58" s="148"/>
      <c r="YW58" s="148"/>
      <c r="YX58" s="148"/>
      <c r="YY58" s="148"/>
      <c r="YZ58" s="148"/>
      <c r="ZA58" s="148"/>
      <c r="ZB58" s="148"/>
      <c r="ZC58" s="148"/>
      <c r="ZD58" s="148"/>
      <c r="ZE58" s="148"/>
      <c r="ZF58" s="148"/>
      <c r="ZG58" s="148"/>
      <c r="ZH58" s="148"/>
      <c r="ZI58" s="148"/>
      <c r="ZJ58" s="148"/>
      <c r="ZK58" s="148"/>
      <c r="ZL58" s="148"/>
      <c r="ZM58" s="148"/>
      <c r="ZN58" s="148"/>
      <c r="ZO58" s="148"/>
      <c r="ZP58" s="148"/>
      <c r="ZQ58" s="148"/>
      <c r="ZR58" s="148"/>
      <c r="ZS58" s="148"/>
      <c r="ZT58" s="148"/>
      <c r="ZU58" s="148"/>
      <c r="ZV58" s="148"/>
      <c r="ZW58" s="148"/>
      <c r="ZX58" s="148"/>
      <c r="ZY58" s="148"/>
      <c r="ZZ58" s="148"/>
      <c r="AAA58" s="148"/>
      <c r="AAB58" s="148"/>
      <c r="AAC58" s="148"/>
      <c r="AAD58" s="148"/>
      <c r="AAE58" s="148"/>
      <c r="AAF58" s="148"/>
      <c r="AAG58" s="148"/>
      <c r="AAH58" s="148"/>
      <c r="AAI58" s="148"/>
      <c r="AAJ58" s="148"/>
      <c r="AAK58" s="148"/>
      <c r="AAL58" s="148"/>
      <c r="AAM58" s="148"/>
      <c r="AAN58" s="148"/>
      <c r="AAO58" s="148"/>
      <c r="AAP58" s="148"/>
      <c r="AAQ58" s="148"/>
      <c r="AAR58" s="148"/>
      <c r="AAS58" s="148"/>
      <c r="AAT58" s="148"/>
      <c r="AAU58" s="148"/>
      <c r="AAV58" s="148"/>
      <c r="AAW58" s="148"/>
      <c r="AAX58" s="148"/>
      <c r="AAY58" s="148"/>
      <c r="AAZ58" s="148"/>
      <c r="ABA58" s="148"/>
      <c r="ABB58" s="148"/>
      <c r="ABC58" s="148"/>
      <c r="ABD58" s="148"/>
      <c r="ABE58" s="148"/>
      <c r="ABF58" s="148"/>
      <c r="ABG58" s="148"/>
      <c r="ABH58" s="148"/>
      <c r="ABI58" s="148"/>
      <c r="ABJ58" s="148"/>
      <c r="ABK58" s="148"/>
      <c r="ABL58" s="148"/>
      <c r="ABM58" s="148"/>
      <c r="ABN58" s="148"/>
      <c r="ABO58" s="148"/>
      <c r="ABP58" s="148"/>
      <c r="ABQ58" s="148"/>
      <c r="ABR58" s="148"/>
      <c r="ABS58" s="148"/>
      <c r="ABT58" s="148"/>
      <c r="ABU58" s="148"/>
      <c r="ABV58" s="148"/>
      <c r="ABW58" s="148"/>
      <c r="ABX58" s="148"/>
      <c r="ABY58" s="148"/>
      <c r="ABZ58" s="148"/>
      <c r="ACA58" s="148"/>
      <c r="ACB58" s="148"/>
      <c r="ACC58" s="148"/>
      <c r="ACD58" s="148"/>
      <c r="ACE58" s="148"/>
      <c r="ACF58" s="148"/>
      <c r="ACG58" s="148"/>
      <c r="ACH58" s="148"/>
      <c r="ACI58" s="148"/>
      <c r="ACJ58" s="148"/>
      <c r="ACK58" s="148"/>
      <c r="ACL58" s="148"/>
      <c r="ACM58" s="148"/>
      <c r="ACN58" s="148"/>
      <c r="ACO58" s="148"/>
      <c r="ACP58" s="148"/>
      <c r="ACQ58" s="148"/>
      <c r="ACR58" s="148"/>
      <c r="ACS58" s="148"/>
      <c r="ACT58" s="148"/>
      <c r="ACU58" s="148"/>
      <c r="ACV58" s="148"/>
      <c r="ACW58" s="148"/>
      <c r="ACX58" s="148"/>
      <c r="ACY58" s="148"/>
      <c r="ACZ58" s="148"/>
      <c r="ADA58" s="148"/>
      <c r="ADB58" s="148"/>
      <c r="ADC58" s="148"/>
      <c r="ADD58" s="148"/>
      <c r="ADE58" s="148"/>
      <c r="ADF58" s="148"/>
      <c r="ADG58" s="148"/>
      <c r="ADH58" s="148"/>
      <c r="ADI58" s="148"/>
      <c r="ADJ58" s="148"/>
      <c r="ADK58" s="148"/>
      <c r="ADL58" s="148"/>
      <c r="ADM58" s="148"/>
      <c r="ADN58" s="148"/>
      <c r="ADO58" s="148"/>
      <c r="ADP58" s="148"/>
      <c r="ADQ58" s="148"/>
      <c r="ADR58" s="148"/>
      <c r="ADS58" s="148"/>
      <c r="ADT58" s="148"/>
      <c r="ADU58" s="148"/>
      <c r="ADV58" s="148"/>
      <c r="ADW58" s="148"/>
      <c r="ADX58" s="148"/>
      <c r="ADY58" s="148"/>
      <c r="ADZ58" s="148"/>
      <c r="AEA58" s="148"/>
      <c r="AEB58" s="148"/>
      <c r="AEC58" s="148"/>
      <c r="AED58" s="148"/>
      <c r="AEE58" s="148"/>
      <c r="AEF58" s="148"/>
      <c r="AEG58" s="148"/>
      <c r="AEH58" s="148"/>
      <c r="AEI58" s="148"/>
      <c r="AEJ58" s="148"/>
      <c r="AEK58" s="148"/>
      <c r="AEL58" s="148"/>
      <c r="AEM58" s="148"/>
      <c r="AEN58" s="148"/>
      <c r="AEO58" s="148"/>
      <c r="AEP58" s="148"/>
      <c r="AEQ58" s="148"/>
      <c r="AER58" s="148"/>
      <c r="AES58" s="148"/>
      <c r="AET58" s="148"/>
      <c r="AEU58" s="148"/>
      <c r="AEV58" s="148"/>
      <c r="AEW58" s="148"/>
      <c r="AEX58" s="148"/>
      <c r="AEY58" s="148"/>
      <c r="AEZ58" s="148"/>
      <c r="AFA58" s="148"/>
      <c r="AFB58" s="148"/>
      <c r="AFC58" s="148"/>
      <c r="AFD58" s="148"/>
      <c r="AFE58" s="148"/>
      <c r="AFF58" s="148"/>
      <c r="AFG58" s="148"/>
      <c r="AFH58" s="148"/>
      <c r="AFI58" s="148"/>
      <c r="AFJ58" s="148"/>
      <c r="AFK58" s="148"/>
      <c r="AFL58" s="148"/>
      <c r="AFM58" s="148"/>
      <c r="AFN58" s="148"/>
      <c r="AFO58" s="148"/>
      <c r="AFP58" s="148"/>
      <c r="AFQ58" s="148"/>
      <c r="AFR58" s="148"/>
      <c r="AFS58" s="148"/>
      <c r="AFT58" s="148"/>
      <c r="AFU58" s="148"/>
      <c r="AFV58" s="148"/>
      <c r="AFW58" s="148"/>
      <c r="AFX58" s="148"/>
      <c r="AFY58" s="148"/>
      <c r="AFZ58" s="148"/>
      <c r="AGA58" s="148"/>
      <c r="AGB58" s="148"/>
      <c r="AGC58" s="148"/>
      <c r="AGD58" s="148"/>
      <c r="AGE58" s="148"/>
      <c r="AGF58" s="148"/>
      <c r="AGG58" s="148"/>
      <c r="AGH58" s="148"/>
      <c r="AGI58" s="148"/>
      <c r="AGJ58" s="148"/>
      <c r="AGK58" s="148"/>
      <c r="AGL58" s="148"/>
      <c r="AGM58" s="148"/>
      <c r="AGN58" s="148"/>
      <c r="AGO58" s="148"/>
      <c r="AGP58" s="148"/>
      <c r="AGQ58" s="148"/>
      <c r="AGR58" s="148"/>
      <c r="AGS58" s="148"/>
      <c r="AGT58" s="148"/>
      <c r="AGU58" s="148"/>
      <c r="AGV58" s="148"/>
      <c r="AGW58" s="148"/>
      <c r="AGX58" s="148"/>
      <c r="AGY58" s="148"/>
      <c r="AGZ58" s="148"/>
      <c r="AHA58" s="148"/>
      <c r="AHB58" s="148"/>
      <c r="AHC58" s="148"/>
      <c r="AHD58" s="148"/>
      <c r="AHE58" s="148"/>
      <c r="AHF58" s="148"/>
      <c r="AHG58" s="148"/>
      <c r="AHH58" s="148"/>
      <c r="AHI58" s="148"/>
      <c r="AHJ58" s="148"/>
      <c r="AHK58" s="148"/>
      <c r="AHL58" s="148"/>
      <c r="AHM58" s="148"/>
      <c r="AHN58" s="148"/>
      <c r="AHO58" s="148"/>
      <c r="AHP58" s="148"/>
      <c r="AHQ58" s="148"/>
      <c r="AHR58" s="148"/>
      <c r="AHS58" s="148"/>
      <c r="AHT58" s="148"/>
      <c r="AHU58" s="148"/>
      <c r="AHV58" s="148"/>
      <c r="AHW58" s="148"/>
      <c r="AHX58" s="148"/>
      <c r="AHY58" s="148"/>
      <c r="AHZ58" s="148"/>
      <c r="AIA58" s="148"/>
      <c r="AIB58" s="148"/>
      <c r="AIC58" s="148"/>
      <c r="AID58" s="148"/>
      <c r="AIE58" s="148"/>
      <c r="AIF58" s="148"/>
      <c r="AIG58" s="148"/>
      <c r="AIH58" s="148"/>
      <c r="AII58" s="148"/>
      <c r="AIJ58" s="148"/>
      <c r="AIK58" s="148"/>
      <c r="AIL58" s="148"/>
      <c r="AIM58" s="148"/>
      <c r="AIN58" s="148"/>
      <c r="AIO58" s="148"/>
      <c r="AIP58" s="148"/>
      <c r="AIQ58" s="148"/>
      <c r="AIR58" s="148"/>
      <c r="AIS58" s="148"/>
      <c r="AIT58" s="148"/>
      <c r="AIU58" s="148"/>
      <c r="AIV58" s="148"/>
      <c r="AIW58" s="148"/>
      <c r="AIX58" s="148"/>
      <c r="AIY58" s="148"/>
      <c r="AIZ58" s="148"/>
      <c r="AJA58" s="148"/>
      <c r="AJB58" s="148"/>
      <c r="AJC58" s="148"/>
      <c r="AJD58" s="148"/>
      <c r="AJE58" s="148"/>
      <c r="AJF58" s="148"/>
      <c r="AJG58" s="148"/>
      <c r="AJH58" s="148"/>
      <c r="AJI58" s="148"/>
      <c r="AJJ58" s="148"/>
      <c r="AJK58" s="148"/>
      <c r="AJL58" s="148"/>
      <c r="AJM58" s="148"/>
      <c r="AJN58" s="148"/>
      <c r="AJO58" s="148"/>
      <c r="AJP58" s="148"/>
      <c r="AJQ58" s="148"/>
      <c r="AJR58" s="148"/>
      <c r="AJS58" s="148"/>
      <c r="AJT58" s="148"/>
      <c r="AJU58" s="148"/>
      <c r="AJV58" s="148"/>
      <c r="AJW58" s="148"/>
      <c r="AJX58" s="148"/>
      <c r="AJY58" s="148"/>
      <c r="AJZ58" s="148"/>
      <c r="AKA58" s="148"/>
      <c r="AKB58" s="148"/>
      <c r="AKC58" s="148"/>
      <c r="AKD58" s="148"/>
      <c r="AKE58" s="148"/>
      <c r="AKF58" s="148"/>
      <c r="AKG58" s="148"/>
      <c r="AKH58" s="148"/>
      <c r="AKI58" s="148"/>
      <c r="AKJ58" s="148"/>
      <c r="AKK58" s="148"/>
      <c r="AKL58" s="148"/>
      <c r="AKM58" s="148"/>
      <c r="AKN58" s="148"/>
      <c r="AKO58" s="148"/>
      <c r="AKP58" s="148"/>
      <c r="AKQ58" s="148"/>
      <c r="AKR58" s="148"/>
      <c r="AKS58" s="148"/>
      <c r="AKT58" s="148"/>
      <c r="AKU58" s="148"/>
      <c r="AKV58" s="148"/>
      <c r="AKW58" s="148"/>
      <c r="AKX58" s="148"/>
      <c r="AKY58" s="148"/>
      <c r="AKZ58" s="148"/>
      <c r="ALA58" s="148"/>
      <c r="ALB58" s="148"/>
      <c r="ALC58" s="148"/>
      <c r="ALD58" s="148"/>
      <c r="ALE58" s="148"/>
      <c r="ALF58" s="148"/>
      <c r="ALG58" s="148"/>
      <c r="ALH58" s="148"/>
      <c r="ALI58" s="148"/>
      <c r="ALJ58" s="148"/>
      <c r="ALK58" s="148"/>
      <c r="ALL58" s="148"/>
      <c r="ALM58" s="148"/>
      <c r="ALN58" s="148"/>
      <c r="ALO58" s="148"/>
      <c r="ALP58" s="148"/>
      <c r="ALQ58" s="148"/>
      <c r="ALR58" s="148"/>
      <c r="ALS58" s="148"/>
      <c r="ALT58" s="148"/>
      <c r="ALU58" s="148"/>
      <c r="ALV58" s="148"/>
      <c r="ALW58" s="148"/>
      <c r="ALX58" s="148"/>
      <c r="ALY58" s="148"/>
      <c r="ALZ58" s="148"/>
      <c r="AMA58" s="148"/>
      <c r="AMB58" s="148"/>
      <c r="AMC58" s="148"/>
      <c r="AMD58" s="148"/>
      <c r="AME58" s="148"/>
      <c r="AMF58" s="148"/>
      <c r="AMG58" s="148"/>
      <c r="AMH58" s="148"/>
      <c r="AMI58" s="148"/>
      <c r="AMJ58" s="148"/>
      <c r="AMK58" s="148"/>
      <c r="AML58" s="148"/>
      <c r="AMM58" s="148"/>
      <c r="AMN58" s="148"/>
      <c r="AMO58" s="148"/>
      <c r="AMP58" s="148"/>
      <c r="AMQ58" s="148"/>
      <c r="AMR58" s="148"/>
      <c r="AMS58" s="148"/>
      <c r="AMT58" s="148"/>
      <c r="AMU58" s="148"/>
      <c r="AMV58" s="148"/>
      <c r="AMW58" s="148"/>
      <c r="AMX58" s="148"/>
      <c r="AMY58" s="148"/>
      <c r="AMZ58" s="148"/>
      <c r="ANA58" s="148"/>
      <c r="ANB58" s="148"/>
      <c r="ANC58" s="148"/>
      <c r="AND58" s="148"/>
      <c r="ANE58" s="148"/>
      <c r="ANF58" s="148"/>
      <c r="ANG58" s="148"/>
      <c r="ANH58" s="148"/>
      <c r="ANI58" s="148"/>
      <c r="ANJ58" s="148"/>
      <c r="ANK58" s="148"/>
      <c r="ANL58" s="148"/>
      <c r="ANM58" s="148"/>
      <c r="ANN58" s="148"/>
      <c r="ANO58" s="148"/>
      <c r="ANP58" s="148"/>
      <c r="ANQ58" s="148"/>
      <c r="ANR58" s="148"/>
      <c r="ANS58" s="148"/>
      <c r="ANT58" s="148"/>
      <c r="ANU58" s="148"/>
      <c r="ANV58" s="148"/>
      <c r="ANW58" s="148"/>
      <c r="ANX58" s="148"/>
      <c r="ANY58" s="148"/>
      <c r="ANZ58" s="148"/>
      <c r="AOA58" s="148"/>
      <c r="AOB58" s="148"/>
      <c r="AOC58" s="148"/>
      <c r="AOD58" s="148"/>
      <c r="AOE58" s="148"/>
      <c r="AOF58" s="148"/>
      <c r="AOG58" s="148"/>
      <c r="AOH58" s="148"/>
      <c r="AOI58" s="148"/>
      <c r="AOJ58" s="148"/>
      <c r="AOK58" s="148"/>
      <c r="AOL58" s="148"/>
      <c r="AOM58" s="148"/>
      <c r="AON58" s="148"/>
      <c r="AOO58" s="148"/>
      <c r="AOP58" s="148"/>
      <c r="AOQ58" s="148"/>
      <c r="AOR58" s="148"/>
      <c r="AOS58" s="148"/>
      <c r="AOT58" s="148"/>
      <c r="AOU58" s="148"/>
      <c r="AOV58" s="148"/>
      <c r="AOW58" s="148"/>
      <c r="AOX58" s="148"/>
      <c r="AOY58" s="148"/>
      <c r="AOZ58" s="148"/>
      <c r="APA58" s="148"/>
      <c r="APB58" s="148"/>
      <c r="APC58" s="148"/>
      <c r="APD58" s="148"/>
      <c r="APE58" s="148"/>
      <c r="APF58" s="148"/>
      <c r="APG58" s="148"/>
      <c r="APH58" s="148"/>
      <c r="API58" s="148"/>
      <c r="APJ58" s="148"/>
      <c r="APK58" s="148"/>
      <c r="APL58" s="148"/>
      <c r="APM58" s="148"/>
      <c r="APN58" s="148"/>
      <c r="APO58" s="148"/>
      <c r="APP58" s="148"/>
      <c r="APQ58" s="148"/>
      <c r="APR58" s="148"/>
      <c r="APS58" s="148"/>
      <c r="APT58" s="148"/>
      <c r="APU58" s="148"/>
      <c r="APV58" s="148"/>
      <c r="APW58" s="148"/>
      <c r="APX58" s="148"/>
      <c r="APY58" s="148"/>
      <c r="APZ58" s="148"/>
      <c r="AQA58" s="148"/>
      <c r="AQB58" s="148"/>
      <c r="AQC58" s="148"/>
      <c r="AQD58" s="148"/>
      <c r="AQE58" s="148"/>
      <c r="AQF58" s="148"/>
      <c r="AQG58" s="148"/>
      <c r="AQH58" s="148"/>
      <c r="AQI58" s="148"/>
      <c r="AQJ58" s="148"/>
      <c r="AQK58" s="148"/>
      <c r="AQL58" s="148"/>
      <c r="AQM58" s="148"/>
      <c r="AQN58" s="148"/>
      <c r="AQO58" s="148"/>
      <c r="AQP58" s="148"/>
      <c r="AQQ58" s="148"/>
      <c r="AQR58" s="148"/>
      <c r="AQS58" s="148"/>
      <c r="AQT58" s="148"/>
      <c r="AQU58" s="148"/>
      <c r="AQV58" s="148"/>
      <c r="AQW58" s="148"/>
      <c r="AQX58" s="148"/>
      <c r="AQY58" s="148"/>
      <c r="AQZ58" s="148"/>
      <c r="ARA58" s="148"/>
      <c r="ARB58" s="148"/>
      <c r="ARC58" s="148"/>
      <c r="ARD58" s="148"/>
      <c r="ARE58" s="148"/>
      <c r="ARF58" s="148"/>
      <c r="ARG58" s="148"/>
      <c r="ARH58" s="148"/>
      <c r="ARI58" s="148"/>
      <c r="ARJ58" s="148"/>
      <c r="ARK58" s="148"/>
      <c r="ARL58" s="148"/>
      <c r="ARM58" s="148"/>
      <c r="ARN58" s="148"/>
      <c r="ARO58" s="148"/>
      <c r="ARP58" s="148"/>
      <c r="ARQ58" s="148"/>
      <c r="ARR58" s="148"/>
      <c r="ARS58" s="148"/>
      <c r="ART58" s="148"/>
      <c r="ARU58" s="148"/>
      <c r="ARV58" s="148"/>
      <c r="ARW58" s="148"/>
      <c r="ARX58" s="148"/>
      <c r="ARY58" s="148"/>
      <c r="ARZ58" s="148"/>
      <c r="ASA58" s="148"/>
      <c r="ASB58" s="148"/>
      <c r="ASC58" s="148"/>
      <c r="ASD58" s="148"/>
      <c r="ASE58" s="148"/>
      <c r="ASF58" s="148"/>
      <c r="ASG58" s="148"/>
      <c r="ASH58" s="148"/>
      <c r="ASI58" s="148"/>
      <c r="ASJ58" s="148"/>
      <c r="ASK58" s="148"/>
      <c r="ASL58" s="148"/>
      <c r="ASM58" s="148"/>
      <c r="ASN58" s="148"/>
      <c r="ASO58" s="148"/>
      <c r="ASP58" s="148"/>
      <c r="ASQ58" s="148"/>
      <c r="ASR58" s="148"/>
      <c r="ASS58" s="148"/>
      <c r="AST58" s="148"/>
      <c r="ASU58" s="148"/>
      <c r="ASV58" s="148"/>
      <c r="ASW58" s="148"/>
      <c r="ASX58" s="148"/>
      <c r="ASY58" s="148"/>
      <c r="ASZ58" s="148"/>
      <c r="ATA58" s="148"/>
      <c r="ATB58" s="148"/>
      <c r="ATC58" s="148"/>
      <c r="ATD58" s="148"/>
      <c r="ATE58" s="148"/>
      <c r="ATF58" s="148"/>
      <c r="ATG58" s="148"/>
      <c r="ATH58" s="148"/>
      <c r="ATI58" s="148"/>
      <c r="ATJ58" s="148"/>
      <c r="ATK58" s="148"/>
      <c r="ATL58" s="148"/>
      <c r="ATM58" s="148"/>
      <c r="ATN58" s="148"/>
      <c r="ATO58" s="148"/>
      <c r="ATP58" s="148"/>
      <c r="ATQ58" s="148"/>
      <c r="ATR58" s="148"/>
      <c r="ATS58" s="148"/>
      <c r="ATT58" s="148"/>
      <c r="ATU58" s="148"/>
      <c r="ATV58" s="148"/>
      <c r="ATW58" s="148"/>
      <c r="ATX58" s="148"/>
      <c r="ATY58" s="148"/>
      <c r="ATZ58" s="148"/>
      <c r="AUA58" s="148"/>
      <c r="AUB58" s="148"/>
      <c r="AUC58" s="148"/>
      <c r="AUD58" s="148"/>
      <c r="AUE58" s="148"/>
      <c r="AUF58" s="148"/>
      <c r="AUG58" s="148"/>
      <c r="AUH58" s="148"/>
      <c r="AUI58" s="148"/>
      <c r="AUJ58" s="148"/>
      <c r="AUK58" s="148"/>
      <c r="AUL58" s="148"/>
      <c r="AUM58" s="148"/>
      <c r="AUN58" s="148"/>
      <c r="AUO58" s="148"/>
      <c r="AUP58" s="148"/>
      <c r="AUQ58" s="148"/>
      <c r="AUR58" s="148"/>
      <c r="AUS58" s="148"/>
      <c r="AUT58" s="148"/>
      <c r="AUU58" s="148"/>
      <c r="AUV58" s="148"/>
      <c r="AUW58" s="148"/>
      <c r="AUX58" s="148"/>
      <c r="AUY58" s="148"/>
      <c r="AUZ58" s="148"/>
      <c r="AVA58" s="148"/>
      <c r="AVB58" s="148"/>
      <c r="AVC58" s="148"/>
      <c r="AVD58" s="148"/>
      <c r="AVE58" s="148"/>
      <c r="AVF58" s="148"/>
      <c r="AVG58" s="148"/>
      <c r="AVH58" s="148"/>
      <c r="AVI58" s="148"/>
      <c r="AVJ58" s="148"/>
      <c r="AVK58" s="148"/>
      <c r="AVL58" s="148"/>
      <c r="AVM58" s="148"/>
      <c r="AVN58" s="148"/>
      <c r="AVO58" s="148"/>
      <c r="AVP58" s="148"/>
      <c r="AVQ58" s="148"/>
      <c r="AVR58" s="148"/>
      <c r="AVS58" s="148"/>
      <c r="AVT58" s="148"/>
      <c r="AVU58" s="148"/>
      <c r="AVV58" s="148"/>
      <c r="AVW58" s="148"/>
      <c r="AVX58" s="148"/>
      <c r="AVY58" s="148"/>
      <c r="AVZ58" s="148"/>
      <c r="AWA58" s="148"/>
      <c r="AWB58" s="148"/>
      <c r="AWC58" s="148"/>
      <c r="AWD58" s="148"/>
      <c r="AWE58" s="148"/>
      <c r="AWF58" s="148"/>
      <c r="AWG58" s="148"/>
      <c r="AWH58" s="148"/>
      <c r="AWI58" s="148"/>
      <c r="AWJ58" s="148"/>
      <c r="AWK58" s="148"/>
      <c r="AWL58" s="148"/>
      <c r="AWM58" s="148"/>
      <c r="AWN58" s="148"/>
      <c r="AWO58" s="148"/>
      <c r="AWP58" s="148"/>
      <c r="AWQ58" s="148"/>
      <c r="AWR58" s="148"/>
      <c r="AWS58" s="148"/>
      <c r="AWT58" s="148"/>
      <c r="AWU58" s="148"/>
      <c r="AWV58" s="148"/>
      <c r="AWW58" s="148"/>
      <c r="AWX58" s="148"/>
      <c r="AWY58" s="148"/>
      <c r="AWZ58" s="148"/>
      <c r="AXA58" s="148"/>
      <c r="AXB58" s="148"/>
      <c r="AXC58" s="148"/>
      <c r="AXD58" s="148"/>
      <c r="AXE58" s="148"/>
      <c r="AXF58" s="148"/>
      <c r="AXG58" s="148"/>
      <c r="AXH58" s="148"/>
      <c r="AXI58" s="148"/>
      <c r="AXJ58" s="148"/>
      <c r="AXK58" s="148"/>
      <c r="AXL58" s="148"/>
      <c r="AXM58" s="148"/>
      <c r="AXN58" s="148"/>
      <c r="AXO58" s="148"/>
      <c r="AXP58" s="148"/>
      <c r="AXQ58" s="148"/>
      <c r="AXR58" s="148"/>
      <c r="AXS58" s="148"/>
      <c r="AXT58" s="148"/>
      <c r="AXU58" s="148"/>
      <c r="AXV58" s="148"/>
      <c r="AXW58" s="148"/>
      <c r="AXX58" s="148"/>
      <c r="AXY58" s="148"/>
      <c r="AXZ58" s="148"/>
      <c r="AYA58" s="148"/>
      <c r="AYB58" s="148"/>
      <c r="AYC58" s="148"/>
      <c r="AYD58" s="148"/>
      <c r="AYE58" s="148"/>
      <c r="AYF58" s="148"/>
      <c r="AYG58" s="148"/>
      <c r="AYH58" s="148"/>
      <c r="AYI58" s="148"/>
      <c r="AYJ58" s="148"/>
      <c r="AYK58" s="148"/>
      <c r="AYL58" s="148"/>
      <c r="AYM58" s="148"/>
      <c r="AYN58" s="148"/>
      <c r="AYO58" s="148"/>
      <c r="AYP58" s="148"/>
      <c r="AYQ58" s="148"/>
      <c r="AYR58" s="148"/>
      <c r="AYS58" s="148"/>
      <c r="AYT58" s="148"/>
      <c r="AYU58" s="148"/>
      <c r="AYV58" s="148"/>
      <c r="AYW58" s="148"/>
      <c r="AYX58" s="148"/>
      <c r="AYY58" s="148"/>
      <c r="AYZ58" s="148"/>
      <c r="AZA58" s="148"/>
      <c r="AZB58" s="148"/>
      <c r="AZC58" s="148"/>
      <c r="AZD58" s="148"/>
      <c r="AZE58" s="148"/>
      <c r="AZF58" s="148"/>
      <c r="AZG58" s="148"/>
      <c r="AZH58" s="148"/>
      <c r="AZI58" s="148"/>
      <c r="AZJ58" s="148"/>
      <c r="AZK58" s="148"/>
      <c r="AZL58" s="148"/>
      <c r="AZM58" s="148"/>
      <c r="AZN58" s="148"/>
      <c r="AZO58" s="148"/>
      <c r="AZP58" s="148"/>
      <c r="AZQ58" s="148"/>
      <c r="AZR58" s="148"/>
      <c r="AZS58" s="148"/>
      <c r="AZT58" s="148"/>
      <c r="AZU58" s="148"/>
      <c r="AZV58" s="148"/>
      <c r="AZW58" s="148"/>
      <c r="AZX58" s="148"/>
      <c r="AZY58" s="148"/>
      <c r="AZZ58" s="148"/>
      <c r="BAA58" s="148"/>
      <c r="BAB58" s="148"/>
      <c r="BAC58" s="148"/>
      <c r="BAD58" s="148"/>
      <c r="BAE58" s="148"/>
      <c r="BAF58" s="148"/>
      <c r="BAG58" s="148"/>
      <c r="BAH58" s="148"/>
      <c r="BAI58" s="148"/>
      <c r="BAJ58" s="148"/>
      <c r="BAK58" s="148"/>
      <c r="BAL58" s="148"/>
      <c r="BAM58" s="148"/>
      <c r="BAN58" s="148"/>
      <c r="BAO58" s="148"/>
      <c r="BAP58" s="148"/>
      <c r="BAQ58" s="148"/>
      <c r="BAR58" s="148"/>
      <c r="BAS58" s="148"/>
      <c r="BAT58" s="148"/>
      <c r="BAU58" s="148"/>
      <c r="BAV58" s="148"/>
      <c r="BAW58" s="148"/>
      <c r="BAX58" s="148"/>
      <c r="BAY58" s="148"/>
      <c r="BAZ58" s="148"/>
      <c r="BBA58" s="148"/>
      <c r="BBB58" s="148"/>
      <c r="BBC58" s="148"/>
      <c r="BBD58" s="148"/>
      <c r="BBE58" s="148"/>
      <c r="BBF58" s="148"/>
      <c r="BBG58" s="148"/>
      <c r="BBH58" s="148"/>
      <c r="BBI58" s="148"/>
      <c r="BBJ58" s="148"/>
      <c r="BBK58" s="148"/>
      <c r="BBL58" s="148"/>
      <c r="BBM58" s="148"/>
      <c r="BBN58" s="148"/>
      <c r="BBO58" s="148"/>
      <c r="BBP58" s="148"/>
      <c r="BBQ58" s="148"/>
      <c r="BBR58" s="148"/>
      <c r="BBS58" s="148"/>
      <c r="BBT58" s="148"/>
      <c r="BBU58" s="148"/>
      <c r="BBV58" s="148"/>
      <c r="BBW58" s="148"/>
      <c r="BBX58" s="148"/>
      <c r="BBY58" s="148"/>
      <c r="BBZ58" s="148"/>
      <c r="BCA58" s="148"/>
      <c r="BCB58" s="148"/>
      <c r="BCC58" s="148"/>
      <c r="BCD58" s="148"/>
      <c r="BCE58" s="148"/>
      <c r="BCF58" s="148"/>
      <c r="BCG58" s="148"/>
      <c r="BCH58" s="148"/>
      <c r="BCI58" s="148"/>
      <c r="BCJ58" s="148"/>
      <c r="BCK58" s="148"/>
      <c r="BCL58" s="148"/>
      <c r="BCM58" s="148"/>
      <c r="BCN58" s="148"/>
      <c r="BCO58" s="148"/>
      <c r="BCP58" s="148"/>
      <c r="BCQ58" s="148"/>
      <c r="BCR58" s="148"/>
      <c r="BCS58" s="148"/>
      <c r="BCT58" s="148"/>
      <c r="BCU58" s="148"/>
      <c r="BCV58" s="148"/>
      <c r="BCW58" s="148"/>
      <c r="BCX58" s="148"/>
      <c r="BCY58" s="148"/>
      <c r="BCZ58" s="148"/>
      <c r="BDA58" s="148"/>
      <c r="BDB58" s="148"/>
      <c r="BDC58" s="148"/>
      <c r="BDD58" s="148"/>
      <c r="BDE58" s="148"/>
      <c r="BDF58" s="148"/>
      <c r="BDG58" s="148"/>
      <c r="BDH58" s="148"/>
      <c r="BDI58" s="148"/>
      <c r="BDJ58" s="148"/>
      <c r="BDK58" s="148"/>
      <c r="BDL58" s="148"/>
      <c r="BDM58" s="148"/>
      <c r="BDN58" s="148"/>
      <c r="BDO58" s="148"/>
      <c r="BDP58" s="148"/>
      <c r="BDQ58" s="148"/>
      <c r="BDR58" s="148"/>
      <c r="BDS58" s="148"/>
      <c r="BDT58" s="148"/>
      <c r="BDU58" s="148"/>
      <c r="BDV58" s="148"/>
      <c r="BDW58" s="148"/>
      <c r="BDX58" s="148"/>
      <c r="BDY58" s="148"/>
      <c r="BDZ58" s="148"/>
      <c r="BEA58" s="148"/>
      <c r="BEB58" s="148"/>
      <c r="BEC58" s="148"/>
      <c r="BED58" s="148"/>
      <c r="BEE58" s="148"/>
      <c r="BEF58" s="148"/>
      <c r="BEG58" s="148"/>
      <c r="BEH58" s="148"/>
      <c r="BEI58" s="148"/>
      <c r="BEJ58" s="148"/>
      <c r="BEK58" s="148"/>
      <c r="BEL58" s="148"/>
      <c r="BEM58" s="148"/>
      <c r="BEN58" s="148"/>
      <c r="BEO58" s="148"/>
      <c r="BEP58" s="148"/>
      <c r="BEQ58" s="148"/>
      <c r="BER58" s="148"/>
      <c r="BES58" s="148"/>
      <c r="BET58" s="148"/>
      <c r="BEU58" s="148"/>
      <c r="BEV58" s="148"/>
      <c r="BEW58" s="148"/>
      <c r="BEX58" s="148"/>
      <c r="BEY58" s="148"/>
      <c r="BEZ58" s="148"/>
      <c r="BFA58" s="148"/>
      <c r="BFB58" s="148"/>
      <c r="BFC58" s="148"/>
      <c r="BFD58" s="148"/>
      <c r="BFE58" s="148"/>
      <c r="BFF58" s="148"/>
      <c r="BFG58" s="148"/>
      <c r="BFH58" s="148"/>
      <c r="BFI58" s="148"/>
      <c r="BFJ58" s="148"/>
      <c r="BFK58" s="148"/>
      <c r="BFL58" s="148"/>
      <c r="BFM58" s="148"/>
      <c r="BFN58" s="148"/>
      <c r="BFO58" s="148"/>
      <c r="BFP58" s="148"/>
      <c r="BFQ58" s="148"/>
      <c r="BFR58" s="148"/>
      <c r="BFS58" s="148"/>
      <c r="BFT58" s="148"/>
      <c r="BFU58" s="148"/>
      <c r="BFV58" s="148"/>
      <c r="BFW58" s="148"/>
      <c r="BFX58" s="148"/>
      <c r="BFY58" s="148"/>
      <c r="BFZ58" s="148"/>
      <c r="BGA58" s="148"/>
      <c r="BGB58" s="148"/>
      <c r="BGC58" s="148"/>
      <c r="BGD58" s="148"/>
      <c r="BGE58" s="148"/>
      <c r="BGF58" s="148"/>
      <c r="BGG58" s="148"/>
      <c r="BGH58" s="148"/>
      <c r="BGI58" s="148"/>
      <c r="BGJ58" s="148"/>
      <c r="BGK58" s="148"/>
      <c r="BGL58" s="148"/>
      <c r="BGM58" s="148"/>
      <c r="BGN58" s="148"/>
      <c r="BGO58" s="148"/>
      <c r="BGP58" s="148"/>
      <c r="BGQ58" s="148"/>
      <c r="BGR58" s="148"/>
      <c r="BGS58" s="148"/>
      <c r="BGT58" s="148"/>
      <c r="BGU58" s="148"/>
      <c r="BGV58" s="148"/>
      <c r="BGW58" s="148"/>
      <c r="BGX58" s="148"/>
      <c r="BGY58" s="148"/>
      <c r="BGZ58" s="148"/>
      <c r="BHA58" s="148"/>
      <c r="BHB58" s="148"/>
      <c r="BHC58" s="148"/>
      <c r="BHD58" s="148"/>
      <c r="BHE58" s="148"/>
      <c r="BHF58" s="148"/>
      <c r="BHG58" s="148"/>
      <c r="BHH58" s="148"/>
      <c r="BHI58" s="148"/>
      <c r="BHJ58" s="148"/>
      <c r="BHK58" s="148"/>
      <c r="BHL58" s="148"/>
      <c r="BHM58" s="148"/>
      <c r="BHN58" s="148"/>
      <c r="BHO58" s="148"/>
      <c r="BHP58" s="148"/>
      <c r="BHQ58" s="148"/>
      <c r="BHR58" s="148"/>
      <c r="BHS58" s="148"/>
      <c r="BHT58" s="148"/>
      <c r="BHU58" s="148"/>
      <c r="BHV58" s="148"/>
      <c r="BHW58" s="148"/>
      <c r="BHX58" s="148"/>
      <c r="BHY58" s="148"/>
      <c r="BHZ58" s="148"/>
      <c r="BIA58" s="148"/>
      <c r="BIB58" s="148"/>
      <c r="BIC58" s="148"/>
      <c r="BID58" s="148"/>
      <c r="BIE58" s="148"/>
      <c r="BIF58" s="148"/>
      <c r="BIG58" s="148"/>
      <c r="BIH58" s="148"/>
      <c r="BII58" s="148"/>
      <c r="BIJ58" s="148"/>
      <c r="BIK58" s="148"/>
      <c r="BIL58" s="148"/>
      <c r="BIM58" s="148"/>
      <c r="BIN58" s="148"/>
      <c r="BIO58" s="148"/>
      <c r="BIP58" s="148"/>
      <c r="BIQ58" s="148"/>
      <c r="BIR58" s="148"/>
      <c r="BIS58" s="148"/>
      <c r="BIT58" s="148"/>
      <c r="BIU58" s="148"/>
      <c r="BIV58" s="148"/>
      <c r="BIW58" s="148"/>
      <c r="BIX58" s="148"/>
      <c r="BIY58" s="148"/>
      <c r="BIZ58" s="148"/>
      <c r="BJA58" s="148"/>
      <c r="BJB58" s="148"/>
      <c r="BJC58" s="148"/>
      <c r="BJD58" s="148"/>
      <c r="BJE58" s="148"/>
      <c r="BJF58" s="148"/>
      <c r="BJG58" s="148"/>
      <c r="BJH58" s="148"/>
      <c r="BJI58" s="148"/>
      <c r="BJJ58" s="148"/>
      <c r="BJK58" s="148"/>
      <c r="BJL58" s="148"/>
      <c r="BJM58" s="148"/>
      <c r="BJN58" s="148"/>
      <c r="BJO58" s="148"/>
      <c r="BJP58" s="148"/>
      <c r="BJQ58" s="148"/>
      <c r="BJR58" s="148"/>
      <c r="BJS58" s="148"/>
      <c r="BJT58" s="148"/>
      <c r="BJU58" s="148"/>
      <c r="BJV58" s="148"/>
      <c r="BJW58" s="148"/>
      <c r="BJX58" s="148"/>
      <c r="BJY58" s="148"/>
      <c r="BJZ58" s="148"/>
      <c r="BKA58" s="148"/>
      <c r="BKB58" s="148"/>
      <c r="BKC58" s="148"/>
      <c r="BKD58" s="148"/>
      <c r="BKE58" s="148"/>
      <c r="BKF58" s="148"/>
      <c r="BKG58" s="148"/>
      <c r="BKH58" s="148"/>
      <c r="BKI58" s="148"/>
      <c r="BKJ58" s="148"/>
      <c r="BKK58" s="148"/>
      <c r="BKL58" s="148"/>
      <c r="BKM58" s="148"/>
      <c r="BKN58" s="148"/>
      <c r="BKO58" s="148"/>
      <c r="BKP58" s="148"/>
      <c r="BKQ58" s="148"/>
      <c r="BKR58" s="148"/>
      <c r="BKS58" s="148"/>
      <c r="BKT58" s="148"/>
      <c r="BKU58" s="148"/>
      <c r="BKV58" s="148"/>
      <c r="BKW58" s="148"/>
      <c r="BKX58" s="148"/>
      <c r="BKY58" s="148"/>
      <c r="BKZ58" s="148"/>
      <c r="BLA58" s="148"/>
      <c r="BLB58" s="148"/>
      <c r="BLC58" s="148"/>
      <c r="BLD58" s="148"/>
      <c r="BLE58" s="148"/>
      <c r="BLF58" s="148"/>
      <c r="BLG58" s="148"/>
      <c r="BLH58" s="148"/>
      <c r="BLI58" s="148"/>
      <c r="BLJ58" s="148"/>
      <c r="BLK58" s="148"/>
      <c r="BLL58" s="148"/>
      <c r="BLM58" s="148"/>
      <c r="BLN58" s="148"/>
      <c r="BLO58" s="148"/>
      <c r="BLP58" s="148"/>
      <c r="BLQ58" s="148"/>
      <c r="BLR58" s="148"/>
      <c r="BLS58" s="148"/>
      <c r="BLT58" s="148"/>
      <c r="BLU58" s="148"/>
      <c r="BLV58" s="148"/>
      <c r="BLW58" s="148"/>
      <c r="BLX58" s="148"/>
      <c r="BLY58" s="148"/>
      <c r="BLZ58" s="148"/>
      <c r="BMA58" s="148"/>
      <c r="BMB58" s="148"/>
      <c r="BMC58" s="148"/>
      <c r="BMD58" s="148"/>
      <c r="BME58" s="148"/>
      <c r="BMF58" s="148"/>
      <c r="BMG58" s="148"/>
      <c r="BMH58" s="148"/>
      <c r="BMI58" s="148"/>
      <c r="BMJ58" s="148"/>
      <c r="BMK58" s="148"/>
      <c r="BML58" s="148"/>
      <c r="BMM58" s="148"/>
      <c r="BMN58" s="148"/>
      <c r="BMO58" s="148"/>
      <c r="BMP58" s="148"/>
      <c r="BMQ58" s="148"/>
      <c r="BMR58" s="148"/>
      <c r="BMS58" s="148"/>
      <c r="BMT58" s="148"/>
      <c r="BMU58" s="148"/>
      <c r="BMV58" s="148"/>
      <c r="BMW58" s="148"/>
      <c r="BMX58" s="148"/>
      <c r="BMY58" s="148"/>
      <c r="BMZ58" s="148"/>
      <c r="BNA58" s="148"/>
      <c r="BNB58" s="148"/>
      <c r="BNC58" s="148"/>
      <c r="BND58" s="148"/>
      <c r="BNE58" s="148"/>
      <c r="BNF58" s="148"/>
      <c r="BNG58" s="148"/>
      <c r="BNH58" s="148"/>
      <c r="BNI58" s="148"/>
      <c r="BNJ58" s="148"/>
      <c r="BNK58" s="148"/>
      <c r="BNL58" s="148"/>
      <c r="BNM58" s="148"/>
      <c r="BNN58" s="148"/>
      <c r="BNO58" s="148"/>
      <c r="BNP58" s="148"/>
      <c r="BNQ58" s="148"/>
      <c r="BNR58" s="148"/>
      <c r="BNS58" s="148"/>
      <c r="BNT58" s="148"/>
      <c r="BNU58" s="148"/>
      <c r="BNV58" s="148"/>
      <c r="BNW58" s="148"/>
      <c r="BNX58" s="148"/>
      <c r="BNY58" s="148"/>
      <c r="BNZ58" s="148"/>
      <c r="BOA58" s="148"/>
      <c r="BOB58" s="148"/>
      <c r="BOC58" s="148"/>
      <c r="BOD58" s="148"/>
      <c r="BOE58" s="148"/>
      <c r="BOF58" s="148"/>
      <c r="BOG58" s="148"/>
      <c r="BOH58" s="148"/>
      <c r="BOI58" s="148"/>
      <c r="BOJ58" s="148"/>
      <c r="BOK58" s="148"/>
      <c r="BOL58" s="148"/>
      <c r="BOM58" s="148"/>
      <c r="BON58" s="148"/>
      <c r="BOO58" s="148"/>
      <c r="BOP58" s="148"/>
      <c r="BOQ58" s="148"/>
      <c r="BOR58" s="148"/>
      <c r="BOS58" s="148"/>
      <c r="BOT58" s="148"/>
      <c r="BOU58" s="148"/>
      <c r="BOV58" s="148"/>
      <c r="BOW58" s="148"/>
      <c r="BOX58" s="148"/>
      <c r="BOY58" s="148"/>
      <c r="BOZ58" s="148"/>
      <c r="BPA58" s="148"/>
      <c r="BPB58" s="148"/>
      <c r="BPC58" s="148"/>
      <c r="BPD58" s="148"/>
      <c r="BPE58" s="148"/>
      <c r="BPF58" s="148"/>
      <c r="BPG58" s="148"/>
      <c r="BPH58" s="148"/>
      <c r="BPI58" s="148"/>
      <c r="BPJ58" s="148"/>
      <c r="BPK58" s="148"/>
      <c r="BPL58" s="148"/>
      <c r="BPM58" s="148"/>
      <c r="BPN58" s="148"/>
      <c r="BPO58" s="148"/>
      <c r="BPP58" s="148"/>
      <c r="BPQ58" s="148"/>
      <c r="BPR58" s="148"/>
      <c r="BPS58" s="148"/>
      <c r="BPT58" s="148"/>
      <c r="BPU58" s="148"/>
      <c r="BPV58" s="148"/>
      <c r="BPW58" s="148"/>
      <c r="BPX58" s="148"/>
      <c r="BPY58" s="148"/>
      <c r="BPZ58" s="148"/>
      <c r="BQA58" s="148"/>
      <c r="BQB58" s="148"/>
      <c r="BQC58" s="148"/>
      <c r="BQD58" s="148"/>
      <c r="BQE58" s="148"/>
      <c r="BQF58" s="148"/>
      <c r="BQG58" s="148"/>
      <c r="BQH58" s="148"/>
      <c r="BQI58" s="148"/>
      <c r="BQJ58" s="148"/>
      <c r="BQK58" s="148"/>
      <c r="BQL58" s="148"/>
      <c r="BQM58" s="148"/>
      <c r="BQN58" s="148"/>
      <c r="BQO58" s="148"/>
      <c r="BQP58" s="148"/>
      <c r="BQQ58" s="148"/>
      <c r="BQR58" s="148"/>
      <c r="BQS58" s="148"/>
      <c r="BQT58" s="148"/>
      <c r="BQU58" s="148"/>
      <c r="BQV58" s="148"/>
      <c r="BQW58" s="148"/>
      <c r="BQX58" s="148"/>
      <c r="BQY58" s="148"/>
      <c r="BQZ58" s="148"/>
      <c r="BRA58" s="148"/>
      <c r="BRB58" s="148"/>
      <c r="BRC58" s="148"/>
      <c r="BRD58" s="148"/>
      <c r="BRE58" s="148"/>
      <c r="BRF58" s="148"/>
      <c r="BRG58" s="148"/>
      <c r="BRH58" s="148"/>
      <c r="BRI58" s="148"/>
      <c r="BRJ58" s="148"/>
      <c r="BRK58" s="148"/>
      <c r="BRL58" s="148"/>
      <c r="BRM58" s="148"/>
      <c r="BRN58" s="148"/>
      <c r="BRO58" s="148"/>
      <c r="BRP58" s="148"/>
      <c r="BRQ58" s="148"/>
      <c r="BRR58" s="148"/>
      <c r="BRS58" s="148"/>
      <c r="BRT58" s="148"/>
      <c r="BRU58" s="148"/>
      <c r="BRV58" s="148"/>
      <c r="BRW58" s="148"/>
      <c r="BRX58" s="148"/>
      <c r="BRY58" s="148"/>
      <c r="BRZ58" s="148"/>
      <c r="BSA58" s="148"/>
      <c r="BSB58" s="148"/>
      <c r="BSC58" s="148"/>
      <c r="BSD58" s="148"/>
      <c r="BSE58" s="148"/>
      <c r="BSF58" s="148"/>
      <c r="BSG58" s="148"/>
      <c r="BSH58" s="148"/>
      <c r="BSI58" s="148"/>
      <c r="BSJ58" s="148"/>
      <c r="BSK58" s="148"/>
      <c r="BSL58" s="148"/>
      <c r="BSM58" s="148"/>
      <c r="BSN58" s="148"/>
      <c r="BSO58" s="148"/>
      <c r="BSP58" s="148"/>
      <c r="BSQ58" s="148"/>
      <c r="BSR58" s="148"/>
      <c r="BSS58" s="148"/>
      <c r="BST58" s="148"/>
      <c r="BSU58" s="148"/>
      <c r="BSV58" s="148"/>
      <c r="BSW58" s="148"/>
      <c r="BSX58" s="148"/>
      <c r="BSY58" s="148"/>
      <c r="BSZ58" s="148"/>
      <c r="BTA58" s="148"/>
      <c r="BTB58" s="148"/>
      <c r="BTC58" s="148"/>
      <c r="BTD58" s="148"/>
      <c r="BTE58" s="148"/>
      <c r="BTF58" s="148"/>
      <c r="BTG58" s="148"/>
      <c r="BTH58" s="148"/>
      <c r="BTI58" s="148"/>
      <c r="BTJ58" s="148"/>
      <c r="BTK58" s="148"/>
      <c r="BTL58" s="148"/>
      <c r="BTM58" s="148"/>
      <c r="BTN58" s="148"/>
      <c r="BTO58" s="148"/>
      <c r="BTP58" s="148"/>
      <c r="BTQ58" s="148"/>
      <c r="BTR58" s="148"/>
      <c r="BTS58" s="148"/>
      <c r="BTT58" s="148"/>
      <c r="BTU58" s="148"/>
      <c r="BTV58" s="148"/>
      <c r="BTW58" s="148"/>
      <c r="BTX58" s="148"/>
      <c r="BTY58" s="148"/>
      <c r="BTZ58" s="148"/>
      <c r="BUA58" s="148"/>
      <c r="BUB58" s="148"/>
      <c r="BUC58" s="148"/>
      <c r="BUD58" s="148"/>
      <c r="BUE58" s="148"/>
      <c r="BUF58" s="148"/>
      <c r="BUG58" s="148"/>
      <c r="BUH58" s="148"/>
      <c r="BUI58" s="148"/>
      <c r="BUJ58" s="148"/>
      <c r="BUK58" s="148"/>
      <c r="BUL58" s="148"/>
      <c r="BUM58" s="148"/>
      <c r="BUN58" s="148"/>
      <c r="BUO58" s="148"/>
      <c r="BUP58" s="148"/>
      <c r="BUQ58" s="148"/>
      <c r="BUR58" s="148"/>
      <c r="BUS58" s="148"/>
      <c r="BUT58" s="148"/>
      <c r="BUU58" s="148"/>
      <c r="BUV58" s="148"/>
      <c r="BUW58" s="148"/>
      <c r="BUX58" s="148"/>
      <c r="BUY58" s="148"/>
      <c r="BUZ58" s="148"/>
      <c r="BVA58" s="148"/>
      <c r="BVB58" s="148"/>
      <c r="BVC58" s="148"/>
      <c r="BVD58" s="148"/>
      <c r="BVE58" s="148"/>
      <c r="BVF58" s="148"/>
      <c r="BVG58" s="148"/>
      <c r="BVH58" s="148"/>
      <c r="BVI58" s="148"/>
      <c r="BVJ58" s="148"/>
      <c r="BVK58" s="148"/>
      <c r="BVL58" s="148"/>
      <c r="BVM58" s="148"/>
      <c r="BVN58" s="148"/>
      <c r="BVO58" s="148"/>
      <c r="BVP58" s="148"/>
      <c r="BVQ58" s="148"/>
      <c r="BVR58" s="148"/>
      <c r="BVS58" s="148"/>
      <c r="BVT58" s="148"/>
      <c r="BVU58" s="148"/>
      <c r="BVV58" s="148"/>
      <c r="BVW58" s="148"/>
      <c r="BVX58" s="148"/>
      <c r="BVY58" s="148"/>
      <c r="BVZ58" s="148"/>
      <c r="BWA58" s="148"/>
      <c r="BWB58" s="148"/>
      <c r="BWC58" s="148"/>
      <c r="BWD58" s="148"/>
      <c r="BWE58" s="148"/>
      <c r="BWF58" s="148"/>
      <c r="BWG58" s="148"/>
      <c r="BWH58" s="148"/>
      <c r="BWI58" s="148"/>
      <c r="BWJ58" s="148"/>
      <c r="BWK58" s="148"/>
      <c r="BWL58" s="148"/>
      <c r="BWM58" s="148"/>
      <c r="BWN58" s="148"/>
      <c r="BWO58" s="148"/>
      <c r="BWP58" s="148"/>
      <c r="BWQ58" s="148"/>
      <c r="BWR58" s="148"/>
      <c r="BWS58" s="148"/>
      <c r="BWT58" s="148"/>
      <c r="BWU58" s="148"/>
      <c r="BWV58" s="148"/>
      <c r="BWW58" s="148"/>
      <c r="BWX58" s="148"/>
      <c r="BWY58" s="148"/>
      <c r="BWZ58" s="148"/>
      <c r="BXA58" s="148"/>
      <c r="BXB58" s="148"/>
      <c r="BXC58" s="148"/>
      <c r="BXD58" s="148"/>
      <c r="BXE58" s="148"/>
      <c r="BXF58" s="148"/>
      <c r="BXG58" s="148"/>
      <c r="BXH58" s="148"/>
      <c r="BXI58" s="148"/>
      <c r="BXJ58" s="148"/>
      <c r="BXK58" s="148"/>
      <c r="BXL58" s="148"/>
      <c r="BXM58" s="148"/>
      <c r="BXN58" s="148"/>
      <c r="BXO58" s="148"/>
      <c r="BXP58" s="148"/>
      <c r="BXQ58" s="148"/>
      <c r="BXR58" s="148"/>
      <c r="BXS58" s="148"/>
      <c r="BXT58" s="148"/>
      <c r="BXU58" s="148"/>
      <c r="BXV58" s="148"/>
      <c r="BXW58" s="148"/>
      <c r="BXX58" s="148"/>
      <c r="BXY58" s="148"/>
      <c r="BXZ58" s="148"/>
      <c r="BYA58" s="148"/>
      <c r="BYB58" s="148"/>
      <c r="BYC58" s="148"/>
      <c r="BYD58" s="148"/>
      <c r="BYE58" s="148"/>
      <c r="BYF58" s="148"/>
      <c r="BYG58" s="148"/>
      <c r="BYH58" s="148"/>
      <c r="BYI58" s="148"/>
      <c r="BYJ58" s="148"/>
      <c r="BYK58" s="148"/>
      <c r="BYL58" s="148"/>
      <c r="BYM58" s="148"/>
      <c r="BYN58" s="148"/>
      <c r="BYO58" s="148"/>
      <c r="BYP58" s="148"/>
      <c r="BYQ58" s="148"/>
      <c r="BYR58" s="148"/>
      <c r="BYS58" s="148"/>
      <c r="BYT58" s="148"/>
      <c r="BYU58" s="148"/>
      <c r="BYV58" s="148"/>
      <c r="BYW58" s="148"/>
      <c r="BYX58" s="148"/>
      <c r="BYY58" s="148"/>
      <c r="BYZ58" s="148"/>
      <c r="BZA58" s="148"/>
      <c r="BZB58" s="148"/>
      <c r="BZC58" s="148"/>
      <c r="BZD58" s="148"/>
      <c r="BZE58" s="148"/>
      <c r="BZF58" s="148"/>
      <c r="BZG58" s="148"/>
      <c r="BZH58" s="148"/>
      <c r="BZI58" s="148"/>
      <c r="BZJ58" s="148"/>
      <c r="BZK58" s="148"/>
      <c r="BZL58" s="148"/>
      <c r="BZM58" s="148"/>
      <c r="BZN58" s="148"/>
      <c r="BZO58" s="148"/>
      <c r="BZP58" s="148"/>
      <c r="BZQ58" s="148"/>
      <c r="BZR58" s="148"/>
      <c r="BZS58" s="148"/>
      <c r="BZT58" s="148"/>
      <c r="BZU58" s="148"/>
      <c r="BZV58" s="148"/>
      <c r="BZW58" s="148"/>
      <c r="BZX58" s="148"/>
      <c r="BZY58" s="148"/>
      <c r="BZZ58" s="148"/>
      <c r="CAA58" s="148"/>
      <c r="CAB58" s="148"/>
      <c r="CAC58" s="148"/>
      <c r="CAD58" s="148"/>
      <c r="CAE58" s="148"/>
      <c r="CAF58" s="148"/>
      <c r="CAG58" s="148"/>
      <c r="CAH58" s="148"/>
      <c r="CAI58" s="148"/>
      <c r="CAJ58" s="148"/>
      <c r="CAK58" s="148"/>
      <c r="CAL58" s="148"/>
      <c r="CAM58" s="148"/>
      <c r="CAN58" s="148"/>
      <c r="CAO58" s="148"/>
      <c r="CAP58" s="148"/>
      <c r="CAQ58" s="148"/>
      <c r="CAR58" s="148"/>
      <c r="CAS58" s="148"/>
      <c r="CAT58" s="148"/>
      <c r="CAU58" s="148"/>
      <c r="CAV58" s="148"/>
      <c r="CAW58" s="148"/>
      <c r="CAX58" s="148"/>
      <c r="CAY58" s="148"/>
      <c r="CAZ58" s="148"/>
      <c r="CBA58" s="148"/>
      <c r="CBB58" s="148"/>
      <c r="CBC58" s="148"/>
      <c r="CBD58" s="148"/>
      <c r="CBE58" s="148"/>
      <c r="CBF58" s="148"/>
      <c r="CBG58" s="148"/>
      <c r="CBH58" s="148"/>
      <c r="CBI58" s="148"/>
      <c r="CBJ58" s="148"/>
      <c r="CBK58" s="148"/>
      <c r="CBL58" s="148"/>
      <c r="CBM58" s="148"/>
      <c r="CBN58" s="148"/>
      <c r="CBO58" s="148"/>
      <c r="CBP58" s="148"/>
      <c r="CBQ58" s="148"/>
      <c r="CBR58" s="148"/>
      <c r="CBS58" s="148"/>
      <c r="CBT58" s="148"/>
      <c r="CBU58" s="148"/>
      <c r="CBV58" s="148"/>
      <c r="CBW58" s="148"/>
      <c r="CBX58" s="148"/>
      <c r="CBY58" s="148"/>
      <c r="CBZ58" s="148"/>
      <c r="CCA58" s="148"/>
      <c r="CCB58" s="148"/>
      <c r="CCC58" s="148"/>
      <c r="CCD58" s="148"/>
      <c r="CCE58" s="148"/>
      <c r="CCF58" s="148"/>
      <c r="CCG58" s="148"/>
      <c r="CCH58" s="148"/>
      <c r="CCI58" s="148"/>
      <c r="CCJ58" s="148"/>
      <c r="CCK58" s="148"/>
      <c r="CCL58" s="148"/>
      <c r="CCM58" s="148"/>
      <c r="CCN58" s="148"/>
      <c r="CCO58" s="148"/>
      <c r="CCP58" s="148"/>
      <c r="CCQ58" s="148"/>
      <c r="CCR58" s="148"/>
      <c r="CCS58" s="148"/>
      <c r="CCT58" s="148"/>
      <c r="CCU58" s="148"/>
      <c r="CCV58" s="148"/>
      <c r="CCW58" s="148"/>
      <c r="CCX58" s="148"/>
      <c r="CCY58" s="148"/>
      <c r="CCZ58" s="148"/>
      <c r="CDA58" s="148"/>
      <c r="CDB58" s="148"/>
      <c r="CDC58" s="148"/>
      <c r="CDD58" s="148"/>
      <c r="CDE58" s="148"/>
      <c r="CDF58" s="148"/>
      <c r="CDG58" s="148"/>
      <c r="CDH58" s="148"/>
      <c r="CDI58" s="148"/>
      <c r="CDJ58" s="148"/>
      <c r="CDK58" s="148"/>
      <c r="CDL58" s="148"/>
      <c r="CDM58" s="148"/>
      <c r="CDN58" s="148"/>
      <c r="CDO58" s="148"/>
      <c r="CDP58" s="148"/>
      <c r="CDQ58" s="148"/>
      <c r="CDR58" s="148"/>
      <c r="CDS58" s="148"/>
      <c r="CDT58" s="148"/>
      <c r="CDU58" s="148"/>
      <c r="CDV58" s="148"/>
      <c r="CDW58" s="148"/>
      <c r="CDX58" s="148"/>
      <c r="CDY58" s="148"/>
      <c r="CDZ58" s="148"/>
      <c r="CEA58" s="148"/>
      <c r="CEB58" s="148"/>
      <c r="CEC58" s="148"/>
      <c r="CED58" s="148"/>
      <c r="CEE58" s="148"/>
      <c r="CEF58" s="148"/>
      <c r="CEG58" s="148"/>
      <c r="CEH58" s="148"/>
      <c r="CEI58" s="148"/>
      <c r="CEJ58" s="148"/>
      <c r="CEK58" s="148"/>
      <c r="CEL58" s="148"/>
      <c r="CEM58" s="148"/>
      <c r="CEN58" s="148"/>
      <c r="CEO58" s="148"/>
      <c r="CEP58" s="148"/>
      <c r="CEQ58" s="148"/>
      <c r="CER58" s="148"/>
      <c r="CES58" s="148"/>
      <c r="CET58" s="148"/>
      <c r="CEU58" s="148"/>
      <c r="CEV58" s="148"/>
      <c r="CEW58" s="148"/>
      <c r="CEX58" s="148"/>
      <c r="CEY58" s="148"/>
      <c r="CEZ58" s="148"/>
      <c r="CFA58" s="148"/>
      <c r="CFB58" s="148"/>
      <c r="CFC58" s="148"/>
      <c r="CFD58" s="148"/>
      <c r="CFE58" s="148"/>
      <c r="CFF58" s="148"/>
      <c r="CFG58" s="148"/>
      <c r="CFH58" s="148"/>
      <c r="CFI58" s="148"/>
      <c r="CFJ58" s="148"/>
      <c r="CFK58" s="148"/>
      <c r="CFL58" s="148"/>
      <c r="CFM58" s="148"/>
      <c r="CFN58" s="148"/>
      <c r="CFO58" s="148"/>
      <c r="CFP58" s="148"/>
      <c r="CFQ58" s="148"/>
      <c r="CFR58" s="148"/>
      <c r="CFS58" s="148"/>
      <c r="CFT58" s="148"/>
      <c r="CFU58" s="148"/>
      <c r="CFV58" s="148"/>
      <c r="CFW58" s="148"/>
      <c r="CFX58" s="148"/>
      <c r="CFY58" s="148"/>
      <c r="CFZ58" s="148"/>
      <c r="CGA58" s="148"/>
      <c r="CGB58" s="148"/>
      <c r="CGC58" s="148"/>
      <c r="CGD58" s="148"/>
      <c r="CGE58" s="148"/>
      <c r="CGF58" s="148"/>
      <c r="CGG58" s="148"/>
      <c r="CGH58" s="148"/>
      <c r="CGI58" s="148"/>
      <c r="CGJ58" s="148"/>
      <c r="CGK58" s="148"/>
      <c r="CGL58" s="148"/>
      <c r="CGM58" s="148"/>
      <c r="CGN58" s="148"/>
      <c r="CGO58" s="148"/>
      <c r="CGP58" s="148"/>
      <c r="CGQ58" s="148"/>
      <c r="CGR58" s="148"/>
      <c r="CGS58" s="148"/>
      <c r="CGT58" s="148"/>
      <c r="CGU58" s="148"/>
      <c r="CGV58" s="148"/>
      <c r="CGW58" s="148"/>
      <c r="CGX58" s="148"/>
      <c r="CGY58" s="148"/>
      <c r="CGZ58" s="148"/>
      <c r="CHA58" s="148"/>
      <c r="CHB58" s="148"/>
      <c r="CHC58" s="148"/>
      <c r="CHD58" s="148"/>
      <c r="CHE58" s="148"/>
      <c r="CHF58" s="148"/>
      <c r="CHG58" s="148"/>
      <c r="CHH58" s="148"/>
      <c r="CHI58" s="148"/>
      <c r="CHJ58" s="148"/>
      <c r="CHK58" s="148"/>
      <c r="CHL58" s="148"/>
      <c r="CHM58" s="148"/>
      <c r="CHN58" s="148"/>
      <c r="CHO58" s="148"/>
      <c r="CHP58" s="148"/>
      <c r="CHQ58" s="148"/>
      <c r="CHR58" s="148"/>
      <c r="CHS58" s="148"/>
      <c r="CHT58" s="148"/>
      <c r="CHU58" s="148"/>
      <c r="CHV58" s="148"/>
      <c r="CHW58" s="148"/>
      <c r="CHX58" s="148"/>
      <c r="CHY58" s="148"/>
      <c r="CHZ58" s="148"/>
      <c r="CIA58" s="148"/>
      <c r="CIB58" s="148"/>
      <c r="CIC58" s="148"/>
      <c r="CID58" s="148"/>
      <c r="CIE58" s="148"/>
      <c r="CIF58" s="148"/>
      <c r="CIG58" s="148"/>
      <c r="CIH58" s="148"/>
      <c r="CII58" s="148"/>
      <c r="CIJ58" s="148"/>
      <c r="CIK58" s="148"/>
      <c r="CIL58" s="148"/>
      <c r="CIM58" s="148"/>
      <c r="CIN58" s="148"/>
      <c r="CIO58" s="148"/>
      <c r="CIP58" s="148"/>
      <c r="CIQ58" s="148"/>
      <c r="CIR58" s="148"/>
      <c r="CIS58" s="148"/>
      <c r="CIT58" s="148"/>
      <c r="CIU58" s="148"/>
      <c r="CIV58" s="148"/>
      <c r="CIW58" s="148"/>
      <c r="CIX58" s="148"/>
      <c r="CIY58" s="148"/>
      <c r="CIZ58" s="148"/>
      <c r="CJA58" s="148"/>
      <c r="CJB58" s="148"/>
      <c r="CJC58" s="148"/>
      <c r="CJD58" s="148"/>
      <c r="CJE58" s="148"/>
      <c r="CJF58" s="148"/>
      <c r="CJG58" s="148"/>
      <c r="CJH58" s="148"/>
      <c r="CJI58" s="148"/>
      <c r="CJJ58" s="148"/>
      <c r="CJK58" s="148"/>
      <c r="CJL58" s="148"/>
      <c r="CJM58" s="148"/>
      <c r="CJN58" s="148"/>
      <c r="CJO58" s="148"/>
      <c r="CJP58" s="148"/>
      <c r="CJQ58" s="148"/>
      <c r="CJR58" s="148"/>
      <c r="CJS58" s="148"/>
      <c r="CJT58" s="148"/>
      <c r="CJU58" s="148"/>
      <c r="CJV58" s="148"/>
      <c r="CJW58" s="148"/>
      <c r="CJX58" s="148"/>
      <c r="CJY58" s="148"/>
      <c r="CJZ58" s="148"/>
      <c r="CKA58" s="148"/>
      <c r="CKB58" s="148"/>
      <c r="CKC58" s="148"/>
      <c r="CKD58" s="148"/>
      <c r="CKE58" s="148"/>
      <c r="CKF58" s="148"/>
      <c r="CKG58" s="148"/>
      <c r="CKH58" s="148"/>
      <c r="CKI58" s="148"/>
      <c r="CKJ58" s="148"/>
      <c r="CKK58" s="148"/>
      <c r="CKL58" s="148"/>
      <c r="CKM58" s="148"/>
      <c r="CKN58" s="148"/>
      <c r="CKO58" s="148"/>
      <c r="CKP58" s="148"/>
      <c r="CKQ58" s="148"/>
      <c r="CKR58" s="148"/>
      <c r="CKS58" s="148"/>
      <c r="CKT58" s="148"/>
      <c r="CKU58" s="148"/>
      <c r="CKV58" s="148"/>
      <c r="CKW58" s="148"/>
      <c r="CKX58" s="148"/>
      <c r="CKY58" s="148"/>
      <c r="CKZ58" s="148"/>
      <c r="CLA58" s="148"/>
      <c r="CLB58" s="148"/>
      <c r="CLC58" s="148"/>
      <c r="CLD58" s="148"/>
      <c r="CLE58" s="148"/>
      <c r="CLF58" s="148"/>
      <c r="CLG58" s="148"/>
      <c r="CLH58" s="148"/>
      <c r="CLI58" s="148"/>
      <c r="CLJ58" s="148"/>
      <c r="CLK58" s="148"/>
      <c r="CLL58" s="148"/>
      <c r="CLM58" s="148"/>
      <c r="CLN58" s="148"/>
      <c r="CLO58" s="148"/>
      <c r="CLP58" s="148"/>
      <c r="CLQ58" s="148"/>
      <c r="CLR58" s="148"/>
      <c r="CLS58" s="148"/>
      <c r="CLT58" s="148"/>
      <c r="CLU58" s="148"/>
      <c r="CLV58" s="148"/>
      <c r="CLW58" s="148"/>
      <c r="CLX58" s="148"/>
      <c r="CLY58" s="148"/>
      <c r="CLZ58" s="148"/>
      <c r="CMA58" s="148"/>
      <c r="CMB58" s="148"/>
      <c r="CMC58" s="148"/>
      <c r="CMD58" s="148"/>
      <c r="CME58" s="148"/>
      <c r="CMF58" s="148"/>
      <c r="CMG58" s="148"/>
      <c r="CMH58" s="148"/>
      <c r="CMI58" s="148"/>
      <c r="CMJ58" s="148"/>
      <c r="CMK58" s="148"/>
      <c r="CML58" s="148"/>
      <c r="CMM58" s="148"/>
      <c r="CMN58" s="148"/>
      <c r="CMO58" s="148"/>
      <c r="CMP58" s="148"/>
      <c r="CMQ58" s="148"/>
      <c r="CMR58" s="148"/>
      <c r="CMS58" s="148"/>
      <c r="CMT58" s="148"/>
      <c r="CMU58" s="148"/>
      <c r="CMV58" s="148"/>
      <c r="CMW58" s="148"/>
      <c r="CMX58" s="148"/>
      <c r="CMY58" s="148"/>
      <c r="CMZ58" s="148"/>
      <c r="CNA58" s="148"/>
      <c r="CNB58" s="148"/>
      <c r="CNC58" s="148"/>
      <c r="CND58" s="148"/>
      <c r="CNE58" s="148"/>
      <c r="CNF58" s="148"/>
      <c r="CNG58" s="148"/>
      <c r="CNH58" s="148"/>
      <c r="CNI58" s="148"/>
      <c r="CNJ58" s="148"/>
      <c r="CNK58" s="148"/>
      <c r="CNL58" s="148"/>
      <c r="CNM58" s="148"/>
      <c r="CNN58" s="148"/>
      <c r="CNO58" s="148"/>
      <c r="CNP58" s="148"/>
      <c r="CNQ58" s="148"/>
      <c r="CNR58" s="148"/>
      <c r="CNS58" s="148"/>
      <c r="CNT58" s="148"/>
      <c r="CNU58" s="148"/>
      <c r="CNV58" s="148"/>
      <c r="CNW58" s="148"/>
      <c r="CNX58" s="148"/>
      <c r="CNY58" s="148"/>
      <c r="CNZ58" s="148"/>
      <c r="COA58" s="148"/>
      <c r="COB58" s="148"/>
      <c r="COC58" s="148"/>
      <c r="COD58" s="148"/>
      <c r="COE58" s="148"/>
      <c r="COF58" s="148"/>
      <c r="COG58" s="148"/>
      <c r="COH58" s="148"/>
      <c r="COI58" s="148"/>
      <c r="COJ58" s="148"/>
      <c r="COK58" s="148"/>
      <c r="COL58" s="148"/>
      <c r="COM58" s="148"/>
      <c r="CON58" s="148"/>
      <c r="COO58" s="148"/>
      <c r="COP58" s="148"/>
      <c r="COQ58" s="148"/>
      <c r="COR58" s="148"/>
      <c r="COS58" s="148"/>
      <c r="COT58" s="148"/>
      <c r="COU58" s="148"/>
      <c r="COV58" s="148"/>
      <c r="COW58" s="148"/>
      <c r="COX58" s="148"/>
      <c r="COY58" s="148"/>
      <c r="COZ58" s="148"/>
      <c r="CPA58" s="148"/>
      <c r="CPB58" s="148"/>
      <c r="CPC58" s="148"/>
      <c r="CPD58" s="148"/>
      <c r="CPE58" s="148"/>
      <c r="CPF58" s="148"/>
      <c r="CPG58" s="148"/>
      <c r="CPH58" s="148"/>
      <c r="CPI58" s="148"/>
      <c r="CPJ58" s="148"/>
      <c r="CPK58" s="148"/>
      <c r="CPL58" s="148"/>
      <c r="CPM58" s="148"/>
      <c r="CPN58" s="148"/>
      <c r="CPO58" s="148"/>
      <c r="CPP58" s="148"/>
      <c r="CPQ58" s="148"/>
      <c r="CPR58" s="148"/>
      <c r="CPS58" s="148"/>
      <c r="CPT58" s="148"/>
      <c r="CPU58" s="148"/>
      <c r="CPV58" s="148"/>
      <c r="CPW58" s="148"/>
      <c r="CPX58" s="148"/>
      <c r="CPY58" s="148"/>
      <c r="CPZ58" s="148"/>
      <c r="CQA58" s="148"/>
      <c r="CQB58" s="148"/>
      <c r="CQC58" s="148"/>
      <c r="CQD58" s="148"/>
      <c r="CQE58" s="148"/>
      <c r="CQF58" s="148"/>
      <c r="CQG58" s="148"/>
      <c r="CQH58" s="148"/>
      <c r="CQI58" s="148"/>
      <c r="CQJ58" s="148"/>
      <c r="CQK58" s="148"/>
      <c r="CQL58" s="148"/>
      <c r="CQM58" s="148"/>
      <c r="CQN58" s="148"/>
      <c r="CQO58" s="148"/>
      <c r="CQP58" s="148"/>
      <c r="CQQ58" s="148"/>
      <c r="CQR58" s="148"/>
      <c r="CQS58" s="148"/>
      <c r="CQT58" s="148"/>
      <c r="CQU58" s="148"/>
      <c r="CQV58" s="148"/>
      <c r="CQW58" s="148"/>
      <c r="CQX58" s="148"/>
      <c r="CQY58" s="148"/>
      <c r="CQZ58" s="148"/>
      <c r="CRA58" s="148"/>
      <c r="CRB58" s="148"/>
      <c r="CRC58" s="148"/>
      <c r="CRD58" s="148"/>
      <c r="CRE58" s="148"/>
      <c r="CRF58" s="148"/>
      <c r="CRG58" s="148"/>
      <c r="CRH58" s="148"/>
      <c r="CRI58" s="148"/>
      <c r="CRJ58" s="148"/>
      <c r="CRK58" s="148"/>
      <c r="CRL58" s="148"/>
      <c r="CRM58" s="148"/>
      <c r="CRN58" s="148"/>
      <c r="CRO58" s="148"/>
      <c r="CRP58" s="148"/>
      <c r="CRQ58" s="148"/>
      <c r="CRR58" s="148"/>
      <c r="CRS58" s="148"/>
      <c r="CRT58" s="148"/>
      <c r="CRU58" s="148"/>
      <c r="CRV58" s="148"/>
      <c r="CRW58" s="148"/>
      <c r="CRX58" s="148"/>
      <c r="CRY58" s="148"/>
      <c r="CRZ58" s="148"/>
      <c r="CSA58" s="148"/>
      <c r="CSB58" s="148"/>
      <c r="CSC58" s="148"/>
      <c r="CSD58" s="148"/>
      <c r="CSE58" s="148"/>
      <c r="CSF58" s="148"/>
      <c r="CSG58" s="148"/>
      <c r="CSH58" s="148"/>
      <c r="CSI58" s="148"/>
      <c r="CSJ58" s="148"/>
      <c r="CSK58" s="148"/>
      <c r="CSL58" s="148"/>
      <c r="CSM58" s="148"/>
      <c r="CSN58" s="148"/>
      <c r="CSO58" s="148"/>
      <c r="CSP58" s="148"/>
      <c r="CSQ58" s="148"/>
      <c r="CSR58" s="148"/>
      <c r="CSS58" s="148"/>
      <c r="CST58" s="148"/>
      <c r="CSU58" s="148"/>
      <c r="CSV58" s="148"/>
      <c r="CSW58" s="148"/>
      <c r="CSX58" s="148"/>
      <c r="CSY58" s="148"/>
      <c r="CSZ58" s="148"/>
      <c r="CTA58" s="148"/>
      <c r="CTB58" s="148"/>
      <c r="CTC58" s="148"/>
      <c r="CTD58" s="148"/>
      <c r="CTE58" s="148"/>
      <c r="CTF58" s="148"/>
      <c r="CTG58" s="148"/>
      <c r="CTH58" s="148"/>
      <c r="CTI58" s="148"/>
      <c r="CTJ58" s="148"/>
      <c r="CTK58" s="148"/>
      <c r="CTL58" s="148"/>
      <c r="CTM58" s="148"/>
      <c r="CTN58" s="148"/>
      <c r="CTO58" s="148"/>
      <c r="CTP58" s="148"/>
      <c r="CTQ58" s="148"/>
      <c r="CTR58" s="148"/>
      <c r="CTS58" s="148"/>
      <c r="CTT58" s="148"/>
      <c r="CTU58" s="148"/>
      <c r="CTV58" s="148"/>
      <c r="CTW58" s="148"/>
      <c r="CTX58" s="148"/>
      <c r="CTY58" s="148"/>
      <c r="CTZ58" s="148"/>
      <c r="CUA58" s="148"/>
      <c r="CUB58" s="148"/>
      <c r="CUC58" s="148"/>
      <c r="CUD58" s="148"/>
      <c r="CUE58" s="148"/>
      <c r="CUF58" s="148"/>
      <c r="CUG58" s="148"/>
      <c r="CUH58" s="148"/>
      <c r="CUI58" s="148"/>
      <c r="CUJ58" s="148"/>
      <c r="CUK58" s="148"/>
      <c r="CUL58" s="148"/>
      <c r="CUM58" s="148"/>
      <c r="CUN58" s="148"/>
      <c r="CUO58" s="148"/>
      <c r="CUP58" s="148"/>
      <c r="CUQ58" s="148"/>
      <c r="CUR58" s="148"/>
      <c r="CUS58" s="148"/>
      <c r="CUT58" s="148"/>
      <c r="CUU58" s="148"/>
      <c r="CUV58" s="148"/>
      <c r="CUW58" s="148"/>
      <c r="CUX58" s="148"/>
      <c r="CUY58" s="148"/>
      <c r="CUZ58" s="148"/>
      <c r="CVA58" s="148"/>
      <c r="CVB58" s="148"/>
      <c r="CVC58" s="148"/>
      <c r="CVD58" s="148"/>
      <c r="CVE58" s="148"/>
      <c r="CVF58" s="148"/>
      <c r="CVG58" s="148"/>
      <c r="CVH58" s="148"/>
      <c r="CVI58" s="148"/>
      <c r="CVJ58" s="148"/>
      <c r="CVK58" s="148"/>
      <c r="CVL58" s="148"/>
      <c r="CVM58" s="148"/>
      <c r="CVN58" s="148"/>
      <c r="CVO58" s="148"/>
      <c r="CVP58" s="148"/>
      <c r="CVQ58" s="148"/>
      <c r="CVR58" s="148"/>
      <c r="CVS58" s="148"/>
      <c r="CVT58" s="148"/>
      <c r="CVU58" s="148"/>
      <c r="CVV58" s="148"/>
      <c r="CVW58" s="148"/>
      <c r="CVX58" s="148"/>
      <c r="CVY58" s="148"/>
      <c r="CVZ58" s="148"/>
      <c r="CWA58" s="148"/>
      <c r="CWB58" s="148"/>
      <c r="CWC58" s="148"/>
      <c r="CWD58" s="148"/>
      <c r="CWE58" s="148"/>
      <c r="CWF58" s="148"/>
      <c r="CWG58" s="148"/>
      <c r="CWH58" s="148"/>
      <c r="CWI58" s="148"/>
      <c r="CWJ58" s="148"/>
      <c r="CWK58" s="148"/>
      <c r="CWL58" s="148"/>
      <c r="CWM58" s="148"/>
      <c r="CWN58" s="148"/>
      <c r="CWO58" s="148"/>
      <c r="CWP58" s="148"/>
      <c r="CWQ58" s="148"/>
      <c r="CWR58" s="148"/>
      <c r="CWS58" s="148"/>
      <c r="CWT58" s="148"/>
      <c r="CWU58" s="148"/>
      <c r="CWV58" s="148"/>
      <c r="CWW58" s="148"/>
      <c r="CWX58" s="148"/>
      <c r="CWY58" s="148"/>
      <c r="CWZ58" s="148"/>
      <c r="CXA58" s="148"/>
      <c r="CXB58" s="148"/>
      <c r="CXC58" s="148"/>
      <c r="CXD58" s="148"/>
      <c r="CXE58" s="148"/>
      <c r="CXF58" s="148"/>
      <c r="CXG58" s="148"/>
      <c r="CXH58" s="148"/>
      <c r="CXI58" s="148"/>
      <c r="CXJ58" s="148"/>
      <c r="CXK58" s="148"/>
      <c r="CXL58" s="148"/>
      <c r="CXM58" s="148"/>
      <c r="CXN58" s="148"/>
      <c r="CXO58" s="148"/>
      <c r="CXP58" s="148"/>
      <c r="CXQ58" s="148"/>
      <c r="CXR58" s="148"/>
      <c r="CXS58" s="148"/>
      <c r="CXT58" s="148"/>
      <c r="CXU58" s="148"/>
      <c r="CXV58" s="148"/>
      <c r="CXW58" s="148"/>
      <c r="CXX58" s="148"/>
      <c r="CXY58" s="148"/>
      <c r="CXZ58" s="148"/>
      <c r="CYA58" s="148"/>
      <c r="CYB58" s="148"/>
      <c r="CYC58" s="148"/>
      <c r="CYD58" s="148"/>
      <c r="CYE58" s="148"/>
      <c r="CYF58" s="148"/>
      <c r="CYG58" s="148"/>
      <c r="CYH58" s="148"/>
      <c r="CYI58" s="148"/>
      <c r="CYJ58" s="148"/>
      <c r="CYK58" s="148"/>
      <c r="CYL58" s="148"/>
      <c r="CYM58" s="148"/>
      <c r="CYN58" s="148"/>
      <c r="CYO58" s="148"/>
      <c r="CYP58" s="148"/>
      <c r="CYQ58" s="148"/>
      <c r="CYR58" s="148"/>
      <c r="CYS58" s="148"/>
      <c r="CYT58" s="148"/>
      <c r="CYU58" s="148"/>
      <c r="CYV58" s="148"/>
      <c r="CYW58" s="148"/>
      <c r="CYX58" s="148"/>
      <c r="CYY58" s="148"/>
      <c r="CYZ58" s="148"/>
      <c r="CZA58" s="148"/>
      <c r="CZB58" s="148"/>
      <c r="CZC58" s="148"/>
      <c r="CZD58" s="148"/>
      <c r="CZE58" s="148"/>
      <c r="CZF58" s="148"/>
      <c r="CZG58" s="148"/>
      <c r="CZH58" s="148"/>
      <c r="CZI58" s="148"/>
      <c r="CZJ58" s="148"/>
      <c r="CZK58" s="148"/>
      <c r="CZL58" s="148"/>
      <c r="CZM58" s="148"/>
      <c r="CZN58" s="148"/>
      <c r="CZO58" s="148"/>
      <c r="CZP58" s="148"/>
      <c r="CZQ58" s="148"/>
      <c r="CZR58" s="148"/>
      <c r="CZS58" s="148"/>
      <c r="CZT58" s="148"/>
      <c r="CZU58" s="148"/>
      <c r="CZV58" s="148"/>
      <c r="CZW58" s="148"/>
      <c r="CZX58" s="148"/>
      <c r="CZY58" s="148"/>
      <c r="CZZ58" s="148"/>
      <c r="DAA58" s="148"/>
      <c r="DAB58" s="148"/>
      <c r="DAC58" s="148"/>
      <c r="DAD58" s="148"/>
      <c r="DAE58" s="148"/>
      <c r="DAF58" s="148"/>
      <c r="DAG58" s="148"/>
      <c r="DAH58" s="148"/>
      <c r="DAI58" s="148"/>
      <c r="DAJ58" s="148"/>
      <c r="DAK58" s="148"/>
      <c r="DAL58" s="148"/>
      <c r="DAM58" s="148"/>
      <c r="DAN58" s="148"/>
      <c r="DAO58" s="148"/>
      <c r="DAP58" s="148"/>
      <c r="DAQ58" s="148"/>
      <c r="DAR58" s="148"/>
      <c r="DAS58" s="148"/>
      <c r="DAT58" s="148"/>
      <c r="DAU58" s="148"/>
      <c r="DAV58" s="148"/>
      <c r="DAW58" s="148"/>
      <c r="DAX58" s="148"/>
      <c r="DAY58" s="148"/>
      <c r="DAZ58" s="148"/>
      <c r="DBA58" s="148"/>
      <c r="DBB58" s="148"/>
      <c r="DBC58" s="148"/>
      <c r="DBD58" s="148"/>
      <c r="DBE58" s="148"/>
      <c r="DBF58" s="148"/>
      <c r="DBG58" s="148"/>
      <c r="DBH58" s="148"/>
      <c r="DBI58" s="148"/>
      <c r="DBJ58" s="148"/>
      <c r="DBK58" s="148"/>
      <c r="DBL58" s="148"/>
      <c r="DBM58" s="148"/>
      <c r="DBN58" s="148"/>
      <c r="DBO58" s="148"/>
      <c r="DBP58" s="148"/>
      <c r="DBQ58" s="148"/>
      <c r="DBR58" s="148"/>
      <c r="DBS58" s="148"/>
      <c r="DBT58" s="148"/>
      <c r="DBU58" s="148"/>
      <c r="DBV58" s="148"/>
      <c r="DBW58" s="148"/>
      <c r="DBX58" s="148"/>
      <c r="DBY58" s="148"/>
      <c r="DBZ58" s="148"/>
      <c r="DCA58" s="148"/>
      <c r="DCB58" s="148"/>
      <c r="DCC58" s="148"/>
      <c r="DCD58" s="148"/>
      <c r="DCE58" s="148"/>
      <c r="DCF58" s="148"/>
      <c r="DCG58" s="148"/>
      <c r="DCH58" s="148"/>
      <c r="DCI58" s="148"/>
      <c r="DCJ58" s="148"/>
      <c r="DCK58" s="148"/>
      <c r="DCL58" s="148"/>
      <c r="DCM58" s="148"/>
      <c r="DCN58" s="148"/>
      <c r="DCO58" s="148"/>
      <c r="DCP58" s="148"/>
      <c r="DCQ58" s="148"/>
      <c r="DCR58" s="148"/>
      <c r="DCS58" s="148"/>
      <c r="DCT58" s="148"/>
      <c r="DCU58" s="148"/>
      <c r="DCV58" s="148"/>
      <c r="DCW58" s="148"/>
      <c r="DCX58" s="148"/>
      <c r="DCY58" s="148"/>
      <c r="DCZ58" s="148"/>
      <c r="DDA58" s="148"/>
      <c r="DDB58" s="148"/>
      <c r="DDC58" s="148"/>
      <c r="DDD58" s="148"/>
      <c r="DDE58" s="148"/>
      <c r="DDF58" s="148"/>
      <c r="DDG58" s="148"/>
      <c r="DDH58" s="148"/>
      <c r="DDI58" s="148"/>
      <c r="DDJ58" s="148"/>
      <c r="DDK58" s="148"/>
      <c r="DDL58" s="148"/>
      <c r="DDM58" s="148"/>
      <c r="DDN58" s="148"/>
      <c r="DDO58" s="148"/>
      <c r="DDP58" s="148"/>
      <c r="DDQ58" s="148"/>
      <c r="DDR58" s="148"/>
      <c r="DDS58" s="148"/>
      <c r="DDT58" s="148"/>
      <c r="DDU58" s="148"/>
      <c r="DDV58" s="148"/>
      <c r="DDW58" s="148"/>
      <c r="DDX58" s="148"/>
      <c r="DDY58" s="148"/>
      <c r="DDZ58" s="148"/>
      <c r="DEA58" s="148"/>
      <c r="DEB58" s="148"/>
      <c r="DEC58" s="148"/>
      <c r="DED58" s="148"/>
      <c r="DEE58" s="148"/>
      <c r="DEF58" s="148"/>
      <c r="DEG58" s="148"/>
      <c r="DEH58" s="148"/>
      <c r="DEI58" s="148"/>
      <c r="DEJ58" s="148"/>
      <c r="DEK58" s="148"/>
      <c r="DEL58" s="148"/>
      <c r="DEM58" s="148"/>
      <c r="DEN58" s="148"/>
      <c r="DEO58" s="148"/>
      <c r="DEP58" s="148"/>
      <c r="DEQ58" s="148"/>
      <c r="DER58" s="148"/>
      <c r="DES58" s="148"/>
      <c r="DET58" s="148"/>
      <c r="DEU58" s="148"/>
      <c r="DEV58" s="148"/>
      <c r="DEW58" s="148"/>
      <c r="DEX58" s="148"/>
      <c r="DEY58" s="148"/>
      <c r="DEZ58" s="148"/>
      <c r="DFA58" s="148"/>
      <c r="DFB58" s="148"/>
      <c r="DFC58" s="148"/>
      <c r="DFD58" s="148"/>
      <c r="DFE58" s="148"/>
      <c r="DFF58" s="148"/>
      <c r="DFG58" s="148"/>
      <c r="DFH58" s="148"/>
      <c r="DFI58" s="148"/>
      <c r="DFJ58" s="148"/>
      <c r="DFK58" s="148"/>
      <c r="DFL58" s="148"/>
      <c r="DFM58" s="148"/>
      <c r="DFN58" s="148"/>
      <c r="DFO58" s="148"/>
      <c r="DFP58" s="148"/>
      <c r="DFQ58" s="148"/>
      <c r="DFR58" s="148"/>
      <c r="DFS58" s="148"/>
      <c r="DFT58" s="148"/>
      <c r="DFU58" s="148"/>
      <c r="DFV58" s="148"/>
      <c r="DFW58" s="148"/>
      <c r="DFX58" s="148"/>
      <c r="DFY58" s="148"/>
      <c r="DFZ58" s="148"/>
      <c r="DGA58" s="148"/>
      <c r="DGB58" s="148"/>
      <c r="DGC58" s="148"/>
      <c r="DGD58" s="148"/>
      <c r="DGE58" s="148"/>
      <c r="DGF58" s="148"/>
      <c r="DGG58" s="148"/>
      <c r="DGH58" s="148"/>
      <c r="DGI58" s="148"/>
      <c r="DGJ58" s="148"/>
      <c r="DGK58" s="148"/>
      <c r="DGL58" s="148"/>
      <c r="DGM58" s="148"/>
      <c r="DGN58" s="148"/>
      <c r="DGO58" s="148"/>
      <c r="DGP58" s="148"/>
      <c r="DGQ58" s="148"/>
      <c r="DGR58" s="148"/>
      <c r="DGS58" s="148"/>
      <c r="DGT58" s="148"/>
      <c r="DGU58" s="148"/>
      <c r="DGV58" s="148"/>
      <c r="DGW58" s="148"/>
      <c r="DGX58" s="148"/>
      <c r="DGY58" s="148"/>
      <c r="DGZ58" s="148"/>
      <c r="DHA58" s="148"/>
      <c r="DHB58" s="148"/>
      <c r="DHC58" s="148"/>
      <c r="DHD58" s="148"/>
      <c r="DHE58" s="148"/>
      <c r="DHF58" s="148"/>
      <c r="DHG58" s="148"/>
      <c r="DHH58" s="148"/>
      <c r="DHI58" s="148"/>
      <c r="DHJ58" s="148"/>
      <c r="DHK58" s="148"/>
      <c r="DHL58" s="148"/>
      <c r="DHM58" s="148"/>
      <c r="DHN58" s="148"/>
      <c r="DHO58" s="148"/>
      <c r="DHP58" s="148"/>
      <c r="DHQ58" s="148"/>
      <c r="DHR58" s="148"/>
      <c r="DHS58" s="148"/>
      <c r="DHT58" s="148"/>
      <c r="DHU58" s="148"/>
      <c r="DHV58" s="148"/>
      <c r="DHW58" s="148"/>
      <c r="DHX58" s="148"/>
      <c r="DHY58" s="148"/>
      <c r="DHZ58" s="148"/>
      <c r="DIA58" s="148"/>
      <c r="DIB58" s="148"/>
      <c r="DIC58" s="148"/>
      <c r="DID58" s="148"/>
      <c r="DIE58" s="148"/>
      <c r="DIF58" s="148"/>
      <c r="DIG58" s="148"/>
      <c r="DIH58" s="148"/>
      <c r="DII58" s="148"/>
      <c r="DIJ58" s="148"/>
      <c r="DIK58" s="148"/>
      <c r="DIL58" s="148"/>
      <c r="DIM58" s="148"/>
      <c r="DIN58" s="148"/>
      <c r="DIO58" s="148"/>
      <c r="DIP58" s="148"/>
      <c r="DIQ58" s="148"/>
      <c r="DIR58" s="148"/>
      <c r="DIS58" s="148"/>
      <c r="DIT58" s="148"/>
      <c r="DIU58" s="148"/>
      <c r="DIV58" s="148"/>
      <c r="DIW58" s="148"/>
      <c r="DIX58" s="148"/>
      <c r="DIY58" s="148"/>
      <c r="DIZ58" s="148"/>
      <c r="DJA58" s="148"/>
      <c r="DJB58" s="148"/>
      <c r="DJC58" s="148"/>
      <c r="DJD58" s="148"/>
      <c r="DJE58" s="148"/>
      <c r="DJF58" s="148"/>
      <c r="DJG58" s="148"/>
      <c r="DJH58" s="148"/>
      <c r="DJI58" s="148"/>
      <c r="DJJ58" s="148"/>
      <c r="DJK58" s="148"/>
      <c r="DJL58" s="148"/>
      <c r="DJM58" s="148"/>
      <c r="DJN58" s="148"/>
      <c r="DJO58" s="148"/>
      <c r="DJP58" s="148"/>
      <c r="DJQ58" s="148"/>
      <c r="DJR58" s="148"/>
      <c r="DJS58" s="148"/>
      <c r="DJT58" s="148"/>
      <c r="DJU58" s="148"/>
      <c r="DJV58" s="148"/>
      <c r="DJW58" s="148"/>
      <c r="DJX58" s="148"/>
      <c r="DJY58" s="148"/>
      <c r="DJZ58" s="148"/>
      <c r="DKA58" s="148"/>
      <c r="DKB58" s="148"/>
      <c r="DKC58" s="148"/>
      <c r="DKD58" s="148"/>
      <c r="DKE58" s="148"/>
      <c r="DKF58" s="148"/>
      <c r="DKG58" s="148"/>
      <c r="DKH58" s="148"/>
      <c r="DKI58" s="148"/>
      <c r="DKJ58" s="148"/>
      <c r="DKK58" s="148"/>
      <c r="DKL58" s="148"/>
      <c r="DKM58" s="148"/>
      <c r="DKN58" s="148"/>
      <c r="DKO58" s="148"/>
      <c r="DKP58" s="148"/>
      <c r="DKQ58" s="148"/>
      <c r="DKR58" s="148"/>
      <c r="DKS58" s="148"/>
      <c r="DKT58" s="148"/>
      <c r="DKU58" s="148"/>
      <c r="DKV58" s="148"/>
      <c r="DKW58" s="148"/>
      <c r="DKX58" s="148"/>
      <c r="DKY58" s="148"/>
      <c r="DKZ58" s="148"/>
      <c r="DLA58" s="148"/>
      <c r="DLB58" s="148"/>
      <c r="DLC58" s="148"/>
      <c r="DLD58" s="148"/>
      <c r="DLE58" s="148"/>
      <c r="DLF58" s="148"/>
      <c r="DLG58" s="148"/>
      <c r="DLH58" s="148"/>
      <c r="DLI58" s="148"/>
      <c r="DLJ58" s="148"/>
      <c r="DLK58" s="148"/>
      <c r="DLL58" s="148"/>
      <c r="DLM58" s="148"/>
      <c r="DLN58" s="148"/>
      <c r="DLO58" s="148"/>
      <c r="DLP58" s="148"/>
      <c r="DLQ58" s="148"/>
      <c r="DLR58" s="148"/>
      <c r="DLS58" s="148"/>
      <c r="DLT58" s="148"/>
      <c r="DLU58" s="148"/>
      <c r="DLV58" s="148"/>
      <c r="DLW58" s="148"/>
      <c r="DLX58" s="148"/>
      <c r="DLY58" s="148"/>
      <c r="DLZ58" s="148"/>
      <c r="DMA58" s="148"/>
      <c r="DMB58" s="148"/>
      <c r="DMC58" s="148"/>
      <c r="DMD58" s="148"/>
      <c r="DME58" s="148"/>
      <c r="DMF58" s="148"/>
      <c r="DMG58" s="148"/>
      <c r="DMH58" s="148"/>
      <c r="DMI58" s="148"/>
      <c r="DMJ58" s="148"/>
      <c r="DMK58" s="148"/>
      <c r="DML58" s="148"/>
      <c r="DMM58" s="148"/>
      <c r="DMN58" s="148"/>
      <c r="DMO58" s="148"/>
      <c r="DMP58" s="148"/>
      <c r="DMQ58" s="148"/>
      <c r="DMR58" s="148"/>
      <c r="DMS58" s="148"/>
      <c r="DMT58" s="148"/>
      <c r="DMU58" s="148"/>
      <c r="DMV58" s="148"/>
      <c r="DMW58" s="148"/>
      <c r="DMX58" s="148"/>
      <c r="DMY58" s="148"/>
      <c r="DMZ58" s="148"/>
      <c r="DNA58" s="148"/>
      <c r="DNB58" s="148"/>
      <c r="DNC58" s="148"/>
      <c r="DND58" s="148"/>
      <c r="DNE58" s="148"/>
      <c r="DNF58" s="148"/>
      <c r="DNG58" s="148"/>
      <c r="DNH58" s="148"/>
      <c r="DNI58" s="148"/>
      <c r="DNJ58" s="148"/>
      <c r="DNK58" s="148"/>
      <c r="DNL58" s="148"/>
      <c r="DNM58" s="148"/>
      <c r="DNN58" s="148"/>
      <c r="DNO58" s="148"/>
      <c r="DNP58" s="148"/>
      <c r="DNQ58" s="148"/>
      <c r="DNR58" s="148"/>
      <c r="DNS58" s="148"/>
      <c r="DNT58" s="148"/>
      <c r="DNU58" s="148"/>
      <c r="DNV58" s="148"/>
      <c r="DNW58" s="148"/>
      <c r="DNX58" s="148"/>
      <c r="DNY58" s="148"/>
      <c r="DNZ58" s="148"/>
      <c r="DOA58" s="148"/>
      <c r="DOB58" s="148"/>
      <c r="DOC58" s="148"/>
      <c r="DOD58" s="148"/>
      <c r="DOE58" s="148"/>
      <c r="DOF58" s="148"/>
      <c r="DOG58" s="148"/>
      <c r="DOH58" s="148"/>
      <c r="DOI58" s="148"/>
      <c r="DOJ58" s="148"/>
      <c r="DOK58" s="148"/>
      <c r="DOL58" s="148"/>
      <c r="DOM58" s="148"/>
      <c r="DON58" s="148"/>
      <c r="DOO58" s="148"/>
      <c r="DOP58" s="148"/>
      <c r="DOQ58" s="148"/>
      <c r="DOR58" s="148"/>
      <c r="DOS58" s="148"/>
      <c r="DOT58" s="148"/>
      <c r="DOU58" s="148"/>
      <c r="DOV58" s="148"/>
      <c r="DOW58" s="148"/>
      <c r="DOX58" s="148"/>
      <c r="DOY58" s="148"/>
      <c r="DOZ58" s="148"/>
      <c r="DPA58" s="148"/>
      <c r="DPB58" s="148"/>
      <c r="DPC58" s="148"/>
      <c r="DPD58" s="148"/>
      <c r="DPE58" s="148"/>
      <c r="DPF58" s="148"/>
      <c r="DPG58" s="148"/>
      <c r="DPH58" s="148"/>
      <c r="DPI58" s="148"/>
      <c r="DPJ58" s="148"/>
      <c r="DPK58" s="148"/>
      <c r="DPL58" s="148"/>
      <c r="DPM58" s="148"/>
      <c r="DPN58" s="148"/>
      <c r="DPO58" s="148"/>
      <c r="DPP58" s="148"/>
      <c r="DPQ58" s="148"/>
      <c r="DPR58" s="148"/>
      <c r="DPS58" s="148"/>
      <c r="DPT58" s="148"/>
      <c r="DPU58" s="148"/>
      <c r="DPV58" s="148"/>
      <c r="DPW58" s="148"/>
      <c r="DPX58" s="148"/>
      <c r="DPY58" s="148"/>
      <c r="DPZ58" s="148"/>
      <c r="DQA58" s="148"/>
      <c r="DQB58" s="148"/>
      <c r="DQC58" s="148"/>
      <c r="DQD58" s="148"/>
      <c r="DQE58" s="148"/>
      <c r="DQF58" s="148"/>
      <c r="DQG58" s="148"/>
      <c r="DQH58" s="148"/>
      <c r="DQI58" s="148"/>
      <c r="DQJ58" s="148"/>
      <c r="DQK58" s="148"/>
      <c r="DQL58" s="148"/>
      <c r="DQM58" s="148"/>
      <c r="DQN58" s="148"/>
      <c r="DQO58" s="148"/>
      <c r="DQP58" s="148"/>
      <c r="DQQ58" s="148"/>
      <c r="DQR58" s="148"/>
      <c r="DQS58" s="148"/>
      <c r="DQT58" s="148"/>
      <c r="DQU58" s="148"/>
      <c r="DQV58" s="148"/>
      <c r="DQW58" s="148"/>
      <c r="DQX58" s="148"/>
      <c r="DQY58" s="148"/>
      <c r="DQZ58" s="148"/>
      <c r="DRA58" s="148"/>
      <c r="DRB58" s="148"/>
      <c r="DRC58" s="148"/>
      <c r="DRD58" s="148"/>
      <c r="DRE58" s="148"/>
      <c r="DRF58" s="148"/>
      <c r="DRG58" s="148"/>
      <c r="DRH58" s="148"/>
      <c r="DRI58" s="148"/>
      <c r="DRJ58" s="148"/>
      <c r="DRK58" s="148"/>
      <c r="DRL58" s="148"/>
      <c r="DRM58" s="148"/>
      <c r="DRN58" s="148"/>
      <c r="DRO58" s="148"/>
      <c r="DRP58" s="148"/>
      <c r="DRQ58" s="148"/>
      <c r="DRR58" s="148"/>
      <c r="DRS58" s="148"/>
      <c r="DRT58" s="148"/>
      <c r="DRU58" s="148"/>
      <c r="DRV58" s="148"/>
      <c r="DRW58" s="148"/>
      <c r="DRX58" s="148"/>
      <c r="DRY58" s="148"/>
      <c r="DRZ58" s="148"/>
      <c r="DSA58" s="148"/>
      <c r="DSB58" s="148"/>
      <c r="DSC58" s="148"/>
      <c r="DSD58" s="148"/>
      <c r="DSE58" s="148"/>
      <c r="DSF58" s="148"/>
      <c r="DSG58" s="148"/>
      <c r="DSH58" s="148"/>
      <c r="DSI58" s="148"/>
      <c r="DSJ58" s="148"/>
      <c r="DSK58" s="148"/>
      <c r="DSL58" s="148"/>
      <c r="DSM58" s="148"/>
      <c r="DSN58" s="148"/>
      <c r="DSO58" s="148"/>
      <c r="DSP58" s="148"/>
      <c r="DSQ58" s="148"/>
      <c r="DSR58" s="148"/>
      <c r="DSS58" s="148"/>
      <c r="DST58" s="148"/>
      <c r="DSU58" s="148"/>
      <c r="DSV58" s="148"/>
      <c r="DSW58" s="148"/>
      <c r="DSX58" s="148"/>
      <c r="DSY58" s="148"/>
      <c r="DSZ58" s="148"/>
      <c r="DTA58" s="148"/>
      <c r="DTB58" s="148"/>
      <c r="DTC58" s="148"/>
      <c r="DTD58" s="148"/>
      <c r="DTE58" s="148"/>
      <c r="DTF58" s="148"/>
      <c r="DTG58" s="148"/>
      <c r="DTH58" s="148"/>
      <c r="DTI58" s="148"/>
      <c r="DTJ58" s="148"/>
      <c r="DTK58" s="148"/>
      <c r="DTL58" s="148"/>
      <c r="DTM58" s="148"/>
      <c r="DTN58" s="148"/>
      <c r="DTO58" s="148"/>
      <c r="DTP58" s="148"/>
      <c r="DTQ58" s="148"/>
      <c r="DTR58" s="148"/>
      <c r="DTS58" s="148"/>
      <c r="DTT58" s="148"/>
      <c r="DTU58" s="148"/>
      <c r="DTV58" s="148"/>
      <c r="DTW58" s="148"/>
      <c r="DTX58" s="148"/>
      <c r="DTY58" s="148"/>
      <c r="DTZ58" s="148"/>
      <c r="DUA58" s="148"/>
      <c r="DUB58" s="148"/>
      <c r="DUC58" s="148"/>
      <c r="DUD58" s="148"/>
      <c r="DUE58" s="148"/>
      <c r="DUF58" s="148"/>
      <c r="DUG58" s="148"/>
      <c r="DUH58" s="148"/>
      <c r="DUI58" s="148"/>
      <c r="DUJ58" s="148"/>
      <c r="DUK58" s="148"/>
      <c r="DUL58" s="148"/>
      <c r="DUM58" s="148"/>
      <c r="DUN58" s="148"/>
      <c r="DUO58" s="148"/>
      <c r="DUP58" s="148"/>
      <c r="DUQ58" s="148"/>
      <c r="DUR58" s="148"/>
      <c r="DUS58" s="148"/>
      <c r="DUT58" s="148"/>
      <c r="DUU58" s="148"/>
      <c r="DUV58" s="148"/>
      <c r="DUW58" s="148"/>
      <c r="DUX58" s="148"/>
      <c r="DUY58" s="148"/>
      <c r="DUZ58" s="148"/>
      <c r="DVA58" s="148"/>
      <c r="DVB58" s="148"/>
      <c r="DVC58" s="148"/>
      <c r="DVD58" s="148"/>
      <c r="DVE58" s="148"/>
      <c r="DVF58" s="148"/>
      <c r="DVG58" s="148"/>
      <c r="DVH58" s="148"/>
      <c r="DVI58" s="148"/>
      <c r="DVJ58" s="148"/>
      <c r="DVK58" s="148"/>
      <c r="DVL58" s="148"/>
      <c r="DVM58" s="148"/>
      <c r="DVN58" s="148"/>
      <c r="DVO58" s="148"/>
      <c r="DVP58" s="148"/>
      <c r="DVQ58" s="148"/>
      <c r="DVR58" s="148"/>
      <c r="DVS58" s="148"/>
      <c r="DVT58" s="148"/>
      <c r="DVU58" s="148"/>
      <c r="DVV58" s="148"/>
      <c r="DVW58" s="148"/>
      <c r="DVX58" s="148"/>
      <c r="DVY58" s="148"/>
      <c r="DVZ58" s="148"/>
      <c r="DWA58" s="148"/>
      <c r="DWB58" s="148"/>
      <c r="DWC58" s="148"/>
      <c r="DWD58" s="148"/>
      <c r="DWE58" s="148"/>
      <c r="DWF58" s="148"/>
      <c r="DWG58" s="148"/>
      <c r="DWH58" s="148"/>
      <c r="DWI58" s="148"/>
      <c r="DWJ58" s="148"/>
      <c r="DWK58" s="148"/>
      <c r="DWL58" s="148"/>
      <c r="DWM58" s="148"/>
      <c r="DWN58" s="148"/>
      <c r="DWO58" s="148"/>
      <c r="DWP58" s="148"/>
      <c r="DWQ58" s="148"/>
      <c r="DWR58" s="148"/>
      <c r="DWS58" s="148"/>
      <c r="DWT58" s="148"/>
      <c r="DWU58" s="148"/>
      <c r="DWV58" s="148"/>
      <c r="DWW58" s="148"/>
      <c r="DWX58" s="148"/>
      <c r="DWY58" s="148"/>
      <c r="DWZ58" s="148"/>
      <c r="DXA58" s="148"/>
      <c r="DXB58" s="148"/>
      <c r="DXC58" s="148"/>
      <c r="DXD58" s="148"/>
      <c r="DXE58" s="148"/>
      <c r="DXF58" s="148"/>
      <c r="DXG58" s="148"/>
      <c r="DXH58" s="148"/>
      <c r="DXI58" s="148"/>
      <c r="DXJ58" s="148"/>
      <c r="DXK58" s="148"/>
      <c r="DXL58" s="148"/>
      <c r="DXM58" s="148"/>
      <c r="DXN58" s="148"/>
      <c r="DXO58" s="148"/>
      <c r="DXP58" s="148"/>
      <c r="DXQ58" s="148"/>
      <c r="DXR58" s="148"/>
      <c r="DXS58" s="148"/>
      <c r="DXT58" s="148"/>
      <c r="DXU58" s="148"/>
      <c r="DXV58" s="148"/>
      <c r="DXW58" s="148"/>
      <c r="DXX58" s="148"/>
      <c r="DXY58" s="148"/>
      <c r="DXZ58" s="148"/>
      <c r="DYA58" s="148"/>
      <c r="DYB58" s="148"/>
      <c r="DYC58" s="148"/>
      <c r="DYD58" s="148"/>
      <c r="DYE58" s="148"/>
      <c r="DYF58" s="148"/>
      <c r="DYG58" s="148"/>
      <c r="DYH58" s="148"/>
      <c r="DYI58" s="148"/>
      <c r="DYJ58" s="148"/>
      <c r="DYK58" s="148"/>
      <c r="DYL58" s="148"/>
      <c r="DYM58" s="148"/>
      <c r="DYN58" s="148"/>
      <c r="DYO58" s="148"/>
      <c r="DYP58" s="148"/>
      <c r="DYQ58" s="148"/>
      <c r="DYR58" s="148"/>
      <c r="DYS58" s="148"/>
      <c r="DYT58" s="148"/>
      <c r="DYU58" s="148"/>
      <c r="DYV58" s="148"/>
      <c r="DYW58" s="148"/>
      <c r="DYX58" s="148"/>
      <c r="DYY58" s="148"/>
      <c r="DYZ58" s="148"/>
      <c r="DZA58" s="148"/>
      <c r="DZB58" s="148"/>
      <c r="DZC58" s="148"/>
      <c r="DZD58" s="148"/>
      <c r="DZE58" s="148"/>
      <c r="DZF58" s="148"/>
      <c r="DZG58" s="148"/>
      <c r="DZH58" s="148"/>
      <c r="DZI58" s="148"/>
      <c r="DZJ58" s="148"/>
      <c r="DZK58" s="148"/>
      <c r="DZL58" s="148"/>
      <c r="DZM58" s="148"/>
      <c r="DZN58" s="148"/>
      <c r="DZO58" s="148"/>
      <c r="DZP58" s="148"/>
      <c r="DZQ58" s="148"/>
      <c r="DZR58" s="148"/>
      <c r="DZS58" s="148"/>
      <c r="DZT58" s="148"/>
      <c r="DZU58" s="148"/>
      <c r="DZV58" s="148"/>
      <c r="DZW58" s="148"/>
      <c r="DZX58" s="148"/>
      <c r="DZY58" s="148"/>
      <c r="DZZ58" s="148"/>
      <c r="EAA58" s="148"/>
      <c r="EAB58" s="148"/>
      <c r="EAC58" s="148"/>
      <c r="EAD58" s="148"/>
      <c r="EAE58" s="148"/>
      <c r="EAF58" s="148"/>
      <c r="EAG58" s="148"/>
      <c r="EAH58" s="148"/>
      <c r="EAI58" s="148"/>
      <c r="EAJ58" s="148"/>
      <c r="EAK58" s="148"/>
      <c r="EAL58" s="148"/>
      <c r="EAM58" s="148"/>
      <c r="EAN58" s="148"/>
      <c r="EAO58" s="148"/>
      <c r="EAP58" s="148"/>
      <c r="EAQ58" s="148"/>
      <c r="EAR58" s="148"/>
      <c r="EAS58" s="148"/>
      <c r="EAT58" s="148"/>
      <c r="EAU58" s="148"/>
      <c r="EAV58" s="148"/>
      <c r="EAW58" s="148"/>
      <c r="EAX58" s="148"/>
      <c r="EAY58" s="148"/>
      <c r="EAZ58" s="148"/>
      <c r="EBA58" s="148"/>
      <c r="EBB58" s="148"/>
      <c r="EBC58" s="148"/>
      <c r="EBD58" s="148"/>
      <c r="EBE58" s="148"/>
      <c r="EBF58" s="148"/>
      <c r="EBG58" s="148"/>
      <c r="EBH58" s="148"/>
      <c r="EBI58" s="148"/>
      <c r="EBJ58" s="148"/>
      <c r="EBK58" s="148"/>
      <c r="EBL58" s="148"/>
      <c r="EBM58" s="148"/>
      <c r="EBN58" s="148"/>
      <c r="EBO58" s="148"/>
      <c r="EBP58" s="148"/>
      <c r="EBQ58" s="148"/>
      <c r="EBR58" s="148"/>
      <c r="EBS58" s="148"/>
      <c r="EBT58" s="148"/>
      <c r="EBU58" s="148"/>
      <c r="EBV58" s="148"/>
      <c r="EBW58" s="148"/>
      <c r="EBX58" s="148"/>
      <c r="EBY58" s="148"/>
      <c r="EBZ58" s="148"/>
      <c r="ECA58" s="148"/>
      <c r="ECB58" s="148"/>
      <c r="ECC58" s="148"/>
      <c r="ECD58" s="148"/>
      <c r="ECE58" s="148"/>
      <c r="ECF58" s="148"/>
      <c r="ECG58" s="148"/>
      <c r="ECH58" s="148"/>
      <c r="ECI58" s="148"/>
      <c r="ECJ58" s="148"/>
      <c r="ECK58" s="148"/>
      <c r="ECL58" s="148"/>
      <c r="ECM58" s="148"/>
      <c r="ECN58" s="148"/>
      <c r="ECO58" s="148"/>
      <c r="ECP58" s="148"/>
      <c r="ECQ58" s="148"/>
      <c r="ECR58" s="148"/>
      <c r="ECS58" s="148"/>
      <c r="ECT58" s="148"/>
      <c r="ECU58" s="148"/>
      <c r="ECV58" s="148"/>
      <c r="ECW58" s="148"/>
      <c r="ECX58" s="148"/>
      <c r="ECY58" s="148"/>
      <c r="ECZ58" s="148"/>
      <c r="EDA58" s="148"/>
      <c r="EDB58" s="148"/>
      <c r="EDC58" s="148"/>
      <c r="EDD58" s="148"/>
      <c r="EDE58" s="148"/>
      <c r="EDF58" s="148"/>
      <c r="EDG58" s="148"/>
      <c r="EDH58" s="148"/>
      <c r="EDI58" s="148"/>
      <c r="EDJ58" s="148"/>
      <c r="EDK58" s="148"/>
      <c r="EDL58" s="148"/>
      <c r="EDM58" s="148"/>
      <c r="EDN58" s="148"/>
      <c r="EDO58" s="148"/>
      <c r="EDP58" s="148"/>
      <c r="EDQ58" s="148"/>
      <c r="EDR58" s="148"/>
      <c r="EDS58" s="148"/>
      <c r="EDT58" s="148"/>
      <c r="EDU58" s="148"/>
      <c r="EDV58" s="148"/>
      <c r="EDW58" s="148"/>
      <c r="EDX58" s="148"/>
      <c r="EDY58" s="148"/>
      <c r="EDZ58" s="148"/>
      <c r="EEA58" s="148"/>
      <c r="EEB58" s="148"/>
      <c r="EEC58" s="148"/>
      <c r="EED58" s="148"/>
      <c r="EEE58" s="148"/>
      <c r="EEF58" s="148"/>
      <c r="EEG58" s="148"/>
      <c r="EEH58" s="148"/>
      <c r="EEI58" s="148"/>
      <c r="EEJ58" s="148"/>
      <c r="EEK58" s="148"/>
      <c r="EEL58" s="148"/>
      <c r="EEM58" s="148"/>
      <c r="EEN58" s="148"/>
      <c r="EEO58" s="148"/>
      <c r="EEP58" s="148"/>
      <c r="EEQ58" s="148"/>
      <c r="EER58" s="148"/>
      <c r="EES58" s="148"/>
      <c r="EET58" s="148"/>
      <c r="EEU58" s="148"/>
      <c r="EEV58" s="148"/>
      <c r="EEW58" s="148"/>
      <c r="EEX58" s="148"/>
      <c r="EEY58" s="148"/>
      <c r="EEZ58" s="148"/>
      <c r="EFA58" s="148"/>
      <c r="EFB58" s="148"/>
      <c r="EFC58" s="148"/>
      <c r="EFD58" s="148"/>
      <c r="EFE58" s="148"/>
      <c r="EFF58" s="148"/>
      <c r="EFG58" s="148"/>
      <c r="EFH58" s="148"/>
      <c r="EFI58" s="148"/>
      <c r="EFJ58" s="148"/>
      <c r="EFK58" s="148"/>
      <c r="EFL58" s="148"/>
      <c r="EFM58" s="148"/>
      <c r="EFN58" s="148"/>
      <c r="EFO58" s="148"/>
      <c r="EFP58" s="148"/>
      <c r="EFQ58" s="148"/>
      <c r="EFR58" s="148"/>
      <c r="EFS58" s="148"/>
      <c r="EFT58" s="148"/>
      <c r="EFU58" s="148"/>
      <c r="EFV58" s="148"/>
      <c r="EFW58" s="148"/>
      <c r="EFX58" s="148"/>
      <c r="EFY58" s="148"/>
      <c r="EFZ58" s="148"/>
      <c r="EGA58" s="148"/>
      <c r="EGB58" s="148"/>
      <c r="EGC58" s="148"/>
      <c r="EGD58" s="148"/>
      <c r="EGE58" s="148"/>
      <c r="EGF58" s="148"/>
      <c r="EGG58" s="148"/>
      <c r="EGH58" s="148"/>
      <c r="EGI58" s="148"/>
      <c r="EGJ58" s="148"/>
      <c r="EGK58" s="148"/>
      <c r="EGL58" s="148"/>
      <c r="EGM58" s="148"/>
      <c r="EGN58" s="148"/>
      <c r="EGO58" s="148"/>
      <c r="EGP58" s="148"/>
      <c r="EGQ58" s="148"/>
      <c r="EGR58" s="148"/>
      <c r="EGS58" s="148"/>
      <c r="EGT58" s="148"/>
      <c r="EGU58" s="148"/>
      <c r="EGV58" s="148"/>
      <c r="EGW58" s="148"/>
      <c r="EGX58" s="148"/>
      <c r="EGY58" s="148"/>
      <c r="EGZ58" s="148"/>
      <c r="EHA58" s="148"/>
      <c r="EHB58" s="148"/>
      <c r="EHC58" s="148"/>
      <c r="EHD58" s="148"/>
      <c r="EHE58" s="148"/>
      <c r="EHF58" s="148"/>
      <c r="EHG58" s="148"/>
      <c r="EHH58" s="148"/>
      <c r="EHI58" s="148"/>
      <c r="EHJ58" s="148"/>
      <c r="EHK58" s="148"/>
      <c r="EHL58" s="148"/>
      <c r="EHM58" s="148"/>
      <c r="EHN58" s="148"/>
      <c r="EHO58" s="148"/>
      <c r="EHP58" s="148"/>
      <c r="EHQ58" s="148"/>
      <c r="EHR58" s="148"/>
      <c r="EHS58" s="148"/>
      <c r="EHT58" s="148"/>
      <c r="EHU58" s="148"/>
      <c r="EHV58" s="148"/>
      <c r="EHW58" s="148"/>
      <c r="EHX58" s="148"/>
      <c r="EHY58" s="148"/>
      <c r="EHZ58" s="148"/>
      <c r="EIA58" s="148"/>
      <c r="EIB58" s="148"/>
      <c r="EIC58" s="148"/>
      <c r="EID58" s="148"/>
      <c r="EIE58" s="148"/>
      <c r="EIF58" s="148"/>
      <c r="EIG58" s="148"/>
      <c r="EIH58" s="148"/>
      <c r="EII58" s="148"/>
      <c r="EIJ58" s="148"/>
      <c r="EIK58" s="148"/>
      <c r="EIL58" s="148"/>
      <c r="EIM58" s="148"/>
      <c r="EIN58" s="148"/>
      <c r="EIO58" s="148"/>
      <c r="EIP58" s="148"/>
      <c r="EIQ58" s="148"/>
      <c r="EIR58" s="148"/>
      <c r="EIS58" s="148"/>
      <c r="EIT58" s="148"/>
      <c r="EIU58" s="148"/>
      <c r="EIV58" s="148"/>
      <c r="EIW58" s="148"/>
      <c r="EIX58" s="148"/>
      <c r="EIY58" s="148"/>
      <c r="EIZ58" s="148"/>
      <c r="EJA58" s="148"/>
      <c r="EJB58" s="148"/>
      <c r="EJC58" s="148"/>
      <c r="EJD58" s="148"/>
      <c r="EJE58" s="148"/>
      <c r="EJF58" s="148"/>
      <c r="EJG58" s="148"/>
      <c r="EJH58" s="148"/>
      <c r="EJI58" s="148"/>
      <c r="EJJ58" s="148"/>
      <c r="EJK58" s="148"/>
      <c r="EJL58" s="148"/>
      <c r="EJM58" s="148"/>
      <c r="EJN58" s="148"/>
      <c r="EJO58" s="148"/>
      <c r="EJP58" s="148"/>
      <c r="EJQ58" s="148"/>
      <c r="EJR58" s="148"/>
      <c r="EJS58" s="148"/>
      <c r="EJT58" s="148"/>
      <c r="EJU58" s="148"/>
      <c r="EJV58" s="148"/>
      <c r="EJW58" s="148"/>
      <c r="EJX58" s="148"/>
      <c r="EJY58" s="148"/>
      <c r="EJZ58" s="148"/>
      <c r="EKA58" s="148"/>
      <c r="EKB58" s="148"/>
      <c r="EKC58" s="148"/>
      <c r="EKD58" s="148"/>
      <c r="EKE58" s="148"/>
      <c r="EKF58" s="148"/>
      <c r="EKG58" s="148"/>
      <c r="EKH58" s="148"/>
      <c r="EKI58" s="148"/>
      <c r="EKJ58" s="148"/>
      <c r="EKK58" s="148"/>
      <c r="EKL58" s="148"/>
      <c r="EKM58" s="148"/>
      <c r="EKN58" s="148"/>
      <c r="EKO58" s="148"/>
      <c r="EKP58" s="148"/>
      <c r="EKQ58" s="148"/>
      <c r="EKR58" s="148"/>
      <c r="EKS58" s="148"/>
      <c r="EKT58" s="148"/>
      <c r="EKU58" s="148"/>
      <c r="EKV58" s="148"/>
      <c r="EKW58" s="148"/>
      <c r="EKX58" s="148"/>
      <c r="EKY58" s="148"/>
      <c r="EKZ58" s="148"/>
      <c r="ELA58" s="148"/>
      <c r="ELB58" s="148"/>
      <c r="ELC58" s="148"/>
      <c r="ELD58" s="148"/>
      <c r="ELE58" s="148"/>
      <c r="ELF58" s="148"/>
      <c r="ELG58" s="148"/>
      <c r="ELH58" s="148"/>
      <c r="ELI58" s="148"/>
      <c r="ELJ58" s="148"/>
      <c r="ELK58" s="148"/>
      <c r="ELL58" s="148"/>
      <c r="ELM58" s="148"/>
      <c r="ELN58" s="148"/>
      <c r="ELO58" s="148"/>
      <c r="ELP58" s="148"/>
      <c r="ELQ58" s="148"/>
      <c r="ELR58" s="148"/>
      <c r="ELS58" s="148"/>
      <c r="ELT58" s="148"/>
      <c r="ELU58" s="148"/>
      <c r="ELV58" s="148"/>
      <c r="ELW58" s="148"/>
      <c r="ELX58" s="148"/>
      <c r="ELY58" s="148"/>
      <c r="ELZ58" s="148"/>
      <c r="EMA58" s="148"/>
      <c r="EMB58" s="148"/>
      <c r="EMC58" s="148"/>
      <c r="EMD58" s="148"/>
      <c r="EME58" s="148"/>
      <c r="EMF58" s="148"/>
      <c r="EMG58" s="148"/>
      <c r="EMH58" s="148"/>
      <c r="EMI58" s="148"/>
      <c r="EMJ58" s="148"/>
      <c r="EMK58" s="148"/>
      <c r="EML58" s="148"/>
      <c r="EMM58" s="148"/>
      <c r="EMN58" s="148"/>
      <c r="EMO58" s="148"/>
      <c r="EMP58" s="148"/>
      <c r="EMQ58" s="148"/>
      <c r="EMR58" s="148"/>
      <c r="EMS58" s="148"/>
      <c r="EMT58" s="148"/>
      <c r="EMU58" s="148"/>
      <c r="EMV58" s="148"/>
      <c r="EMW58" s="148"/>
      <c r="EMX58" s="148"/>
      <c r="EMY58" s="148"/>
      <c r="EMZ58" s="148"/>
      <c r="ENA58" s="148"/>
      <c r="ENB58" s="148"/>
      <c r="ENC58" s="148"/>
      <c r="END58" s="148"/>
      <c r="ENE58" s="148"/>
      <c r="ENF58" s="148"/>
      <c r="ENG58" s="148"/>
      <c r="ENH58" s="148"/>
      <c r="ENI58" s="148"/>
      <c r="ENJ58" s="148"/>
      <c r="ENK58" s="148"/>
      <c r="ENL58" s="148"/>
      <c r="ENM58" s="148"/>
      <c r="ENN58" s="148"/>
      <c r="ENO58" s="148"/>
      <c r="ENP58" s="148"/>
      <c r="ENQ58" s="148"/>
      <c r="ENR58" s="148"/>
      <c r="ENS58" s="148"/>
      <c r="ENT58" s="148"/>
      <c r="ENU58" s="148"/>
      <c r="ENV58" s="148"/>
      <c r="ENW58" s="148"/>
      <c r="ENX58" s="148"/>
      <c r="ENY58" s="148"/>
      <c r="ENZ58" s="148"/>
      <c r="EOA58" s="148"/>
      <c r="EOB58" s="148"/>
      <c r="EOC58" s="148"/>
      <c r="EOD58" s="148"/>
      <c r="EOE58" s="148"/>
      <c r="EOF58" s="148"/>
      <c r="EOG58" s="148"/>
      <c r="EOH58" s="148"/>
      <c r="EOI58" s="148"/>
      <c r="EOJ58" s="148"/>
      <c r="EOK58" s="148"/>
      <c r="EOL58" s="148"/>
      <c r="EOM58" s="148"/>
      <c r="EON58" s="148"/>
      <c r="EOO58" s="148"/>
      <c r="EOP58" s="148"/>
      <c r="EOQ58" s="148"/>
      <c r="EOR58" s="148"/>
      <c r="EOS58" s="148"/>
      <c r="EOT58" s="148"/>
      <c r="EOU58" s="148"/>
      <c r="EOV58" s="148"/>
      <c r="EOW58" s="148"/>
      <c r="EOX58" s="148"/>
      <c r="EOY58" s="148"/>
      <c r="EOZ58" s="148"/>
      <c r="EPA58" s="148"/>
      <c r="EPB58" s="148"/>
      <c r="EPC58" s="148"/>
      <c r="EPD58" s="148"/>
      <c r="EPE58" s="148"/>
      <c r="EPF58" s="148"/>
      <c r="EPG58" s="148"/>
      <c r="EPH58" s="148"/>
      <c r="EPI58" s="148"/>
      <c r="EPJ58" s="148"/>
      <c r="EPK58" s="148"/>
      <c r="EPL58" s="148"/>
      <c r="EPM58" s="148"/>
      <c r="EPN58" s="148"/>
      <c r="EPO58" s="148"/>
      <c r="EPP58" s="148"/>
      <c r="EPQ58" s="148"/>
      <c r="EPR58" s="148"/>
      <c r="EPS58" s="148"/>
      <c r="EPT58" s="148"/>
      <c r="EPU58" s="148"/>
      <c r="EPV58" s="148"/>
      <c r="EPW58" s="148"/>
      <c r="EPX58" s="148"/>
      <c r="EPY58" s="148"/>
      <c r="EPZ58" s="148"/>
      <c r="EQA58" s="148"/>
      <c r="EQB58" s="148"/>
      <c r="EQC58" s="148"/>
      <c r="EQD58" s="148"/>
      <c r="EQE58" s="148"/>
      <c r="EQF58" s="148"/>
      <c r="EQG58" s="148"/>
      <c r="EQH58" s="148"/>
      <c r="EQI58" s="148"/>
      <c r="EQJ58" s="148"/>
      <c r="EQK58" s="148"/>
      <c r="EQL58" s="148"/>
      <c r="EQM58" s="148"/>
      <c r="EQN58" s="148"/>
      <c r="EQO58" s="148"/>
      <c r="EQP58" s="148"/>
      <c r="EQQ58" s="148"/>
      <c r="EQR58" s="148"/>
      <c r="EQS58" s="148"/>
      <c r="EQT58" s="148"/>
      <c r="EQU58" s="148"/>
      <c r="EQV58" s="148"/>
      <c r="EQW58" s="148"/>
      <c r="EQX58" s="148"/>
      <c r="EQY58" s="148"/>
      <c r="EQZ58" s="148"/>
      <c r="ERA58" s="148"/>
      <c r="ERB58" s="148"/>
      <c r="ERC58" s="148"/>
      <c r="ERD58" s="148"/>
      <c r="ERE58" s="148"/>
      <c r="ERF58" s="148"/>
      <c r="ERG58" s="148"/>
      <c r="ERH58" s="148"/>
      <c r="ERI58" s="148"/>
      <c r="ERJ58" s="148"/>
      <c r="ERK58" s="148"/>
      <c r="ERL58" s="148"/>
      <c r="ERM58" s="148"/>
      <c r="ERN58" s="148"/>
      <c r="ERO58" s="148"/>
      <c r="ERP58" s="148"/>
      <c r="ERQ58" s="148"/>
      <c r="ERR58" s="148"/>
      <c r="ERS58" s="148"/>
      <c r="ERT58" s="148"/>
      <c r="ERU58" s="148"/>
      <c r="ERV58" s="148"/>
      <c r="ERW58" s="148"/>
      <c r="ERX58" s="148"/>
      <c r="ERY58" s="148"/>
      <c r="ERZ58" s="148"/>
      <c r="ESA58" s="148"/>
      <c r="ESB58" s="148"/>
      <c r="ESC58" s="148"/>
      <c r="ESD58" s="148"/>
      <c r="ESE58" s="148"/>
      <c r="ESF58" s="148"/>
      <c r="ESG58" s="148"/>
      <c r="ESH58" s="148"/>
      <c r="ESI58" s="148"/>
      <c r="ESJ58" s="148"/>
      <c r="ESK58" s="148"/>
      <c r="ESL58" s="148"/>
      <c r="ESM58" s="148"/>
      <c r="ESN58" s="148"/>
      <c r="ESO58" s="148"/>
      <c r="ESP58" s="148"/>
      <c r="ESQ58" s="148"/>
      <c r="ESR58" s="148"/>
      <c r="ESS58" s="148"/>
      <c r="EST58" s="148"/>
      <c r="ESU58" s="148"/>
      <c r="ESV58" s="148"/>
      <c r="ESW58" s="148"/>
      <c r="ESX58" s="148"/>
      <c r="ESY58" s="148"/>
      <c r="ESZ58" s="148"/>
      <c r="ETA58" s="148"/>
      <c r="ETB58" s="148"/>
      <c r="ETC58" s="148"/>
      <c r="ETD58" s="148"/>
      <c r="ETE58" s="148"/>
      <c r="ETF58" s="148"/>
      <c r="ETG58" s="148"/>
      <c r="ETH58" s="148"/>
      <c r="ETI58" s="148"/>
      <c r="ETJ58" s="148"/>
      <c r="ETK58" s="148"/>
      <c r="ETL58" s="148"/>
      <c r="ETM58" s="148"/>
      <c r="ETN58" s="148"/>
      <c r="ETO58" s="148"/>
      <c r="ETP58" s="148"/>
      <c r="ETQ58" s="148"/>
      <c r="ETR58" s="148"/>
      <c r="ETS58" s="148"/>
      <c r="ETT58" s="148"/>
      <c r="ETU58" s="148"/>
      <c r="ETV58" s="148"/>
      <c r="ETW58" s="148"/>
      <c r="ETX58" s="148"/>
      <c r="ETY58" s="148"/>
      <c r="ETZ58" s="148"/>
      <c r="EUA58" s="148"/>
      <c r="EUB58" s="148"/>
      <c r="EUC58" s="148"/>
      <c r="EUD58" s="148"/>
      <c r="EUE58" s="148"/>
      <c r="EUF58" s="148"/>
      <c r="EUG58" s="148"/>
      <c r="EUH58" s="148"/>
      <c r="EUI58" s="148"/>
      <c r="EUJ58" s="148"/>
      <c r="EUK58" s="148"/>
      <c r="EUL58" s="148"/>
      <c r="EUM58" s="148"/>
      <c r="EUN58" s="148"/>
      <c r="EUO58" s="148"/>
      <c r="EUP58" s="148"/>
      <c r="EUQ58" s="148"/>
      <c r="EUR58" s="148"/>
      <c r="EUS58" s="148"/>
      <c r="EUT58" s="148"/>
      <c r="EUU58" s="148"/>
      <c r="EUV58" s="148"/>
      <c r="EUW58" s="148"/>
      <c r="EUX58" s="148"/>
      <c r="EUY58" s="148"/>
      <c r="EUZ58" s="148"/>
      <c r="EVA58" s="148"/>
      <c r="EVB58" s="148"/>
      <c r="EVC58" s="148"/>
      <c r="EVD58" s="148"/>
      <c r="EVE58" s="148"/>
      <c r="EVF58" s="148"/>
      <c r="EVG58" s="148"/>
      <c r="EVH58" s="148"/>
      <c r="EVI58" s="148"/>
      <c r="EVJ58" s="148"/>
      <c r="EVK58" s="148"/>
      <c r="EVL58" s="148"/>
      <c r="EVM58" s="148"/>
      <c r="EVN58" s="148"/>
      <c r="EVO58" s="148"/>
      <c r="EVP58" s="148"/>
      <c r="EVQ58" s="148"/>
      <c r="EVR58" s="148"/>
      <c r="EVS58" s="148"/>
      <c r="EVT58" s="148"/>
      <c r="EVU58" s="148"/>
      <c r="EVV58" s="148"/>
      <c r="EVW58" s="148"/>
      <c r="EVX58" s="148"/>
      <c r="EVY58" s="148"/>
      <c r="EVZ58" s="148"/>
      <c r="EWA58" s="148"/>
      <c r="EWB58" s="148"/>
      <c r="EWC58" s="148"/>
      <c r="EWD58" s="148"/>
      <c r="EWE58" s="148"/>
      <c r="EWF58" s="148"/>
      <c r="EWG58" s="148"/>
      <c r="EWH58" s="148"/>
      <c r="EWI58" s="148"/>
      <c r="EWJ58" s="148"/>
      <c r="EWK58" s="148"/>
      <c r="EWL58" s="148"/>
      <c r="EWM58" s="148"/>
      <c r="EWN58" s="148"/>
      <c r="EWO58" s="148"/>
      <c r="EWP58" s="148"/>
      <c r="EWQ58" s="148"/>
      <c r="EWR58" s="148"/>
      <c r="EWS58" s="148"/>
      <c r="EWT58" s="148"/>
      <c r="EWU58" s="148"/>
      <c r="EWV58" s="148"/>
      <c r="EWW58" s="148"/>
      <c r="EWX58" s="148"/>
      <c r="EWY58" s="148"/>
      <c r="EWZ58" s="148"/>
      <c r="EXA58" s="148"/>
      <c r="EXB58" s="148"/>
      <c r="EXC58" s="148"/>
      <c r="EXD58" s="148"/>
      <c r="EXE58" s="148"/>
      <c r="EXF58" s="148"/>
      <c r="EXG58" s="148"/>
      <c r="EXH58" s="148"/>
      <c r="EXI58" s="148"/>
      <c r="EXJ58" s="148"/>
      <c r="EXK58" s="148"/>
      <c r="EXL58" s="148"/>
      <c r="EXM58" s="148"/>
      <c r="EXN58" s="148"/>
      <c r="EXO58" s="148"/>
      <c r="EXP58" s="148"/>
      <c r="EXQ58" s="148"/>
      <c r="EXR58" s="148"/>
      <c r="EXS58" s="148"/>
      <c r="EXT58" s="148"/>
      <c r="EXU58" s="148"/>
      <c r="EXV58" s="148"/>
      <c r="EXW58" s="148"/>
      <c r="EXX58" s="148"/>
      <c r="EXY58" s="148"/>
      <c r="EXZ58" s="148"/>
      <c r="EYA58" s="148"/>
      <c r="EYB58" s="148"/>
      <c r="EYC58" s="148"/>
      <c r="EYD58" s="148"/>
      <c r="EYE58" s="148"/>
      <c r="EYF58" s="148"/>
      <c r="EYG58" s="148"/>
      <c r="EYH58" s="148"/>
      <c r="EYI58" s="148"/>
      <c r="EYJ58" s="148"/>
      <c r="EYK58" s="148"/>
      <c r="EYL58" s="148"/>
      <c r="EYM58" s="148"/>
      <c r="EYN58" s="148"/>
      <c r="EYO58" s="148"/>
      <c r="EYP58" s="148"/>
      <c r="EYQ58" s="148"/>
      <c r="EYR58" s="148"/>
      <c r="EYS58" s="148"/>
      <c r="EYT58" s="148"/>
      <c r="EYU58" s="148"/>
      <c r="EYV58" s="148"/>
      <c r="EYW58" s="148"/>
      <c r="EYX58" s="148"/>
      <c r="EYY58" s="148"/>
      <c r="EYZ58" s="148"/>
      <c r="EZA58" s="148"/>
      <c r="EZB58" s="148"/>
      <c r="EZC58" s="148"/>
      <c r="EZD58" s="148"/>
      <c r="EZE58" s="148"/>
      <c r="EZF58" s="148"/>
      <c r="EZG58" s="148"/>
      <c r="EZH58" s="148"/>
      <c r="EZI58" s="148"/>
      <c r="EZJ58" s="148"/>
      <c r="EZK58" s="148"/>
      <c r="EZL58" s="148"/>
      <c r="EZM58" s="148"/>
      <c r="EZN58" s="148"/>
      <c r="EZO58" s="148"/>
      <c r="EZP58" s="148"/>
      <c r="EZQ58" s="148"/>
      <c r="EZR58" s="148"/>
      <c r="EZS58" s="148"/>
      <c r="EZT58" s="148"/>
      <c r="EZU58" s="148"/>
      <c r="EZV58" s="148"/>
      <c r="EZW58" s="148"/>
      <c r="EZX58" s="148"/>
      <c r="EZY58" s="148"/>
      <c r="EZZ58" s="148"/>
      <c r="FAA58" s="148"/>
      <c r="FAB58" s="148"/>
      <c r="FAC58" s="148"/>
      <c r="FAD58" s="148"/>
      <c r="FAE58" s="148"/>
      <c r="FAF58" s="148"/>
      <c r="FAG58" s="148"/>
      <c r="FAH58" s="148"/>
      <c r="FAI58" s="148"/>
      <c r="FAJ58" s="148"/>
      <c r="FAK58" s="148"/>
      <c r="FAL58" s="148"/>
      <c r="FAM58" s="148"/>
      <c r="FAN58" s="148"/>
      <c r="FAO58" s="148"/>
      <c r="FAP58" s="148"/>
      <c r="FAQ58" s="148"/>
      <c r="FAR58" s="148"/>
      <c r="FAS58" s="148"/>
      <c r="FAT58" s="148"/>
      <c r="FAU58" s="148"/>
      <c r="FAV58" s="148"/>
      <c r="FAW58" s="148"/>
      <c r="FAX58" s="148"/>
      <c r="FAY58" s="148"/>
      <c r="FAZ58" s="148"/>
      <c r="FBA58" s="148"/>
      <c r="FBB58" s="148"/>
      <c r="FBC58" s="148"/>
      <c r="FBD58" s="148"/>
      <c r="FBE58" s="148"/>
      <c r="FBF58" s="148"/>
      <c r="FBG58" s="148"/>
      <c r="FBH58" s="148"/>
      <c r="FBI58" s="148"/>
      <c r="FBJ58" s="148"/>
      <c r="FBK58" s="148"/>
      <c r="FBL58" s="148"/>
      <c r="FBM58" s="148"/>
      <c r="FBN58" s="148"/>
      <c r="FBO58" s="148"/>
      <c r="FBP58" s="148"/>
      <c r="FBQ58" s="148"/>
      <c r="FBR58" s="148"/>
      <c r="FBS58" s="148"/>
      <c r="FBT58" s="148"/>
      <c r="FBU58" s="148"/>
      <c r="FBV58" s="148"/>
      <c r="FBW58" s="148"/>
      <c r="FBX58" s="148"/>
      <c r="FBY58" s="148"/>
      <c r="FBZ58" s="148"/>
      <c r="FCA58" s="148"/>
      <c r="FCB58" s="148"/>
      <c r="FCC58" s="148"/>
      <c r="FCD58" s="148"/>
      <c r="FCE58" s="148"/>
      <c r="FCF58" s="148"/>
      <c r="FCG58" s="148"/>
      <c r="FCH58" s="148"/>
      <c r="FCI58" s="148"/>
      <c r="FCJ58" s="148"/>
      <c r="FCK58" s="148"/>
      <c r="FCL58" s="148"/>
      <c r="FCM58" s="148"/>
      <c r="FCN58" s="148"/>
      <c r="FCO58" s="148"/>
      <c r="FCP58" s="148"/>
      <c r="FCQ58" s="148"/>
      <c r="FCR58" s="148"/>
      <c r="FCS58" s="148"/>
      <c r="FCT58" s="148"/>
      <c r="FCU58" s="148"/>
      <c r="FCV58" s="148"/>
      <c r="FCW58" s="148"/>
      <c r="FCX58" s="148"/>
      <c r="FCY58" s="148"/>
      <c r="FCZ58" s="148"/>
      <c r="FDA58" s="148"/>
      <c r="FDB58" s="148"/>
      <c r="FDC58" s="148"/>
      <c r="FDD58" s="148"/>
      <c r="FDE58" s="148"/>
      <c r="FDF58" s="148"/>
      <c r="FDG58" s="148"/>
      <c r="FDH58" s="148"/>
      <c r="FDI58" s="148"/>
      <c r="FDJ58" s="148"/>
      <c r="FDK58" s="148"/>
      <c r="FDL58" s="148"/>
      <c r="FDM58" s="148"/>
      <c r="FDN58" s="148"/>
      <c r="FDO58" s="148"/>
      <c r="FDP58" s="148"/>
      <c r="FDQ58" s="148"/>
      <c r="FDR58" s="148"/>
      <c r="FDS58" s="148"/>
      <c r="FDT58" s="148"/>
      <c r="FDU58" s="148"/>
      <c r="FDV58" s="148"/>
      <c r="FDW58" s="148"/>
      <c r="FDX58" s="148"/>
      <c r="FDY58" s="148"/>
      <c r="FDZ58" s="148"/>
      <c r="FEA58" s="148"/>
      <c r="FEB58" s="148"/>
      <c r="FEC58" s="148"/>
      <c r="FED58" s="148"/>
      <c r="FEE58" s="148"/>
      <c r="FEF58" s="148"/>
      <c r="FEG58" s="148"/>
      <c r="FEH58" s="148"/>
      <c r="FEI58" s="148"/>
      <c r="FEJ58" s="148"/>
      <c r="FEK58" s="148"/>
      <c r="FEL58" s="148"/>
      <c r="FEM58" s="148"/>
      <c r="FEN58" s="148"/>
      <c r="FEO58" s="148"/>
      <c r="FEP58" s="148"/>
      <c r="FEQ58" s="148"/>
      <c r="FER58" s="148"/>
      <c r="FES58" s="148"/>
      <c r="FET58" s="148"/>
      <c r="FEU58" s="148"/>
      <c r="FEV58" s="148"/>
      <c r="FEW58" s="148"/>
      <c r="FEX58" s="148"/>
      <c r="FEY58" s="148"/>
      <c r="FEZ58" s="148"/>
      <c r="FFA58" s="148"/>
      <c r="FFB58" s="148"/>
      <c r="FFC58" s="148"/>
      <c r="FFD58" s="148"/>
      <c r="FFE58" s="148"/>
      <c r="FFF58" s="148"/>
      <c r="FFG58" s="148"/>
      <c r="FFH58" s="148"/>
      <c r="FFI58" s="148"/>
      <c r="FFJ58" s="148"/>
      <c r="FFK58" s="148"/>
      <c r="FFL58" s="148"/>
      <c r="FFM58" s="148"/>
      <c r="FFN58" s="148"/>
      <c r="FFO58" s="148"/>
      <c r="FFP58" s="148"/>
      <c r="FFQ58" s="148"/>
      <c r="FFR58" s="148"/>
      <c r="FFS58" s="148"/>
      <c r="FFT58" s="148"/>
      <c r="FFU58" s="148"/>
      <c r="FFV58" s="148"/>
      <c r="FFW58" s="148"/>
      <c r="FFX58" s="148"/>
      <c r="FFY58" s="148"/>
      <c r="FFZ58" s="148"/>
      <c r="FGA58" s="148"/>
      <c r="FGB58" s="148"/>
      <c r="FGC58" s="148"/>
      <c r="FGD58" s="148"/>
      <c r="FGE58" s="148"/>
      <c r="FGF58" s="148"/>
      <c r="FGG58" s="148"/>
      <c r="FGH58" s="148"/>
      <c r="FGI58" s="148"/>
      <c r="FGJ58" s="148"/>
      <c r="FGK58" s="148"/>
      <c r="FGL58" s="148"/>
      <c r="FGM58" s="148"/>
      <c r="FGN58" s="148"/>
      <c r="FGO58" s="148"/>
      <c r="FGP58" s="148"/>
      <c r="FGQ58" s="148"/>
      <c r="FGR58" s="148"/>
      <c r="FGS58" s="148"/>
      <c r="FGT58" s="148"/>
      <c r="FGU58" s="148"/>
      <c r="FGV58" s="148"/>
      <c r="FGW58" s="148"/>
      <c r="FGX58" s="148"/>
      <c r="FGY58" s="148"/>
      <c r="FGZ58" s="148"/>
      <c r="FHA58" s="148"/>
      <c r="FHB58" s="148"/>
      <c r="FHC58" s="148"/>
      <c r="FHD58" s="148"/>
      <c r="FHE58" s="148"/>
      <c r="FHF58" s="148"/>
      <c r="FHG58" s="148"/>
      <c r="FHH58" s="148"/>
      <c r="FHI58" s="148"/>
      <c r="FHJ58" s="148"/>
      <c r="FHK58" s="148"/>
      <c r="FHL58" s="148"/>
      <c r="FHM58" s="148"/>
      <c r="FHN58" s="148"/>
      <c r="FHO58" s="148"/>
      <c r="FHP58" s="148"/>
      <c r="FHQ58" s="148"/>
      <c r="FHR58" s="148"/>
      <c r="FHS58" s="148"/>
      <c r="FHT58" s="148"/>
      <c r="FHU58" s="148"/>
      <c r="FHV58" s="148"/>
      <c r="FHW58" s="148"/>
      <c r="FHX58" s="148"/>
      <c r="FHY58" s="148"/>
      <c r="FHZ58" s="148"/>
      <c r="FIA58" s="148"/>
      <c r="FIB58" s="148"/>
      <c r="FIC58" s="148"/>
      <c r="FID58" s="148"/>
      <c r="FIE58" s="148"/>
      <c r="FIF58" s="148"/>
      <c r="FIG58" s="148"/>
      <c r="FIH58" s="148"/>
      <c r="FII58" s="148"/>
      <c r="FIJ58" s="148"/>
      <c r="FIK58" s="148"/>
      <c r="FIL58" s="148"/>
      <c r="FIM58" s="148"/>
      <c r="FIN58" s="148"/>
      <c r="FIO58" s="148"/>
      <c r="FIP58" s="148"/>
      <c r="FIQ58" s="148"/>
      <c r="FIR58" s="148"/>
      <c r="FIS58" s="148"/>
      <c r="FIT58" s="148"/>
      <c r="FIU58" s="148"/>
      <c r="FIV58" s="148"/>
      <c r="FIW58" s="148"/>
      <c r="FIX58" s="148"/>
      <c r="FIY58" s="148"/>
      <c r="FIZ58" s="148"/>
      <c r="FJA58" s="148"/>
      <c r="FJB58" s="148"/>
      <c r="FJC58" s="148"/>
      <c r="FJD58" s="148"/>
      <c r="FJE58" s="148"/>
      <c r="FJF58" s="148"/>
      <c r="FJG58" s="148"/>
      <c r="FJH58" s="148"/>
      <c r="FJI58" s="148"/>
      <c r="FJJ58" s="148"/>
      <c r="FJK58" s="148"/>
      <c r="FJL58" s="148"/>
      <c r="FJM58" s="148"/>
      <c r="FJN58" s="148"/>
      <c r="FJO58" s="148"/>
      <c r="FJP58" s="148"/>
      <c r="FJQ58" s="148"/>
      <c r="FJR58" s="148"/>
      <c r="FJS58" s="148"/>
      <c r="FJT58" s="148"/>
      <c r="FJU58" s="148"/>
      <c r="FJV58" s="148"/>
      <c r="FJW58" s="148"/>
      <c r="FJX58" s="148"/>
      <c r="FJY58" s="148"/>
      <c r="FJZ58" s="148"/>
      <c r="FKA58" s="148"/>
      <c r="FKB58" s="148"/>
      <c r="FKC58" s="148"/>
      <c r="FKD58" s="148"/>
      <c r="FKE58" s="148"/>
      <c r="FKF58" s="148"/>
      <c r="FKG58" s="148"/>
      <c r="FKH58" s="148"/>
      <c r="FKI58" s="148"/>
      <c r="FKJ58" s="148"/>
      <c r="FKK58" s="148"/>
      <c r="FKL58" s="148"/>
      <c r="FKM58" s="148"/>
      <c r="FKN58" s="148"/>
      <c r="FKO58" s="148"/>
      <c r="FKP58" s="148"/>
      <c r="FKQ58" s="148"/>
      <c r="FKR58" s="148"/>
      <c r="FKS58" s="148"/>
      <c r="FKT58" s="148"/>
      <c r="FKU58" s="148"/>
      <c r="FKV58" s="148"/>
      <c r="FKW58" s="148"/>
      <c r="FKX58" s="148"/>
      <c r="FKY58" s="148"/>
      <c r="FKZ58" s="148"/>
      <c r="FLA58" s="148"/>
      <c r="FLB58" s="148"/>
      <c r="FLC58" s="148"/>
      <c r="FLD58" s="148"/>
      <c r="FLE58" s="148"/>
      <c r="FLF58" s="148"/>
      <c r="FLG58" s="148"/>
      <c r="FLH58" s="148"/>
      <c r="FLI58" s="148"/>
      <c r="FLJ58" s="148"/>
      <c r="FLK58" s="148"/>
      <c r="FLL58" s="148"/>
      <c r="FLM58" s="148"/>
      <c r="FLN58" s="148"/>
      <c r="FLO58" s="148"/>
      <c r="FLP58" s="148"/>
      <c r="FLQ58" s="148"/>
      <c r="FLR58" s="148"/>
      <c r="FLS58" s="148"/>
      <c r="FLT58" s="148"/>
      <c r="FLU58" s="148"/>
      <c r="FLV58" s="148"/>
      <c r="FLW58" s="148"/>
      <c r="FLX58" s="148"/>
      <c r="FLY58" s="148"/>
      <c r="FLZ58" s="148"/>
      <c r="FMA58" s="148"/>
      <c r="FMB58" s="148"/>
      <c r="FMC58" s="148"/>
      <c r="FMD58" s="148"/>
      <c r="FME58" s="148"/>
      <c r="FMF58" s="148"/>
      <c r="FMG58" s="148"/>
      <c r="FMH58" s="148"/>
      <c r="FMI58" s="148"/>
      <c r="FMJ58" s="148"/>
      <c r="FMK58" s="148"/>
      <c r="FML58" s="148"/>
      <c r="FMM58" s="148"/>
      <c r="FMN58" s="148"/>
      <c r="FMO58" s="148"/>
      <c r="FMP58" s="148"/>
      <c r="FMQ58" s="148"/>
      <c r="FMR58" s="148"/>
      <c r="FMS58" s="148"/>
      <c r="FMT58" s="148"/>
      <c r="FMU58" s="148"/>
      <c r="FMV58" s="148"/>
      <c r="FMW58" s="148"/>
      <c r="FMX58" s="148"/>
      <c r="FMY58" s="148"/>
      <c r="FMZ58" s="148"/>
      <c r="FNA58" s="148"/>
      <c r="FNB58" s="148"/>
      <c r="FNC58" s="148"/>
      <c r="FND58" s="148"/>
      <c r="FNE58" s="148"/>
      <c r="FNF58" s="148"/>
      <c r="FNG58" s="148"/>
      <c r="FNH58" s="148"/>
      <c r="FNI58" s="148"/>
      <c r="FNJ58" s="148"/>
      <c r="FNK58" s="148"/>
      <c r="FNL58" s="148"/>
      <c r="FNM58" s="148"/>
      <c r="FNN58" s="148"/>
      <c r="FNO58" s="148"/>
      <c r="FNP58" s="148"/>
      <c r="FNQ58" s="148"/>
      <c r="FNR58" s="148"/>
      <c r="FNS58" s="148"/>
      <c r="FNT58" s="148"/>
      <c r="FNU58" s="148"/>
      <c r="FNV58" s="148"/>
      <c r="FNW58" s="148"/>
      <c r="FNX58" s="148"/>
      <c r="FNY58" s="148"/>
      <c r="FNZ58" s="148"/>
      <c r="FOA58" s="148"/>
      <c r="FOB58" s="148"/>
      <c r="FOC58" s="148"/>
      <c r="FOD58" s="148"/>
      <c r="FOE58" s="148"/>
      <c r="FOF58" s="148"/>
      <c r="FOG58" s="148"/>
      <c r="FOH58" s="148"/>
      <c r="FOI58" s="148"/>
      <c r="FOJ58" s="148"/>
      <c r="FOK58" s="148"/>
      <c r="FOL58" s="148"/>
      <c r="FOM58" s="148"/>
      <c r="FON58" s="148"/>
      <c r="FOO58" s="148"/>
      <c r="FOP58" s="148"/>
      <c r="FOQ58" s="148"/>
      <c r="FOR58" s="148"/>
      <c r="FOS58" s="148"/>
      <c r="FOT58" s="148"/>
      <c r="FOU58" s="148"/>
      <c r="FOV58" s="148"/>
      <c r="FOW58" s="148"/>
      <c r="FOX58" s="148"/>
      <c r="FOY58" s="148"/>
      <c r="FOZ58" s="148"/>
      <c r="FPA58" s="148"/>
      <c r="FPB58" s="148"/>
      <c r="FPC58" s="148"/>
      <c r="FPD58" s="148"/>
      <c r="FPE58" s="148"/>
      <c r="FPF58" s="148"/>
      <c r="FPG58" s="148"/>
      <c r="FPH58" s="148"/>
      <c r="FPI58" s="148"/>
      <c r="FPJ58" s="148"/>
      <c r="FPK58" s="148"/>
      <c r="FPL58" s="148"/>
      <c r="FPM58" s="148"/>
      <c r="FPN58" s="148"/>
      <c r="FPO58" s="148"/>
      <c r="FPP58" s="148"/>
      <c r="FPQ58" s="148"/>
      <c r="FPR58" s="148"/>
      <c r="FPS58" s="148"/>
      <c r="FPT58" s="148"/>
      <c r="FPU58" s="148"/>
      <c r="FPV58" s="148"/>
      <c r="FPW58" s="148"/>
      <c r="FPX58" s="148"/>
      <c r="FPY58" s="148"/>
      <c r="FPZ58" s="148"/>
      <c r="FQA58" s="148"/>
      <c r="FQB58" s="148"/>
      <c r="FQC58" s="148"/>
      <c r="FQD58" s="148"/>
      <c r="FQE58" s="148"/>
      <c r="FQF58" s="148"/>
      <c r="FQG58" s="148"/>
      <c r="FQH58" s="148"/>
      <c r="FQI58" s="148"/>
      <c r="FQJ58" s="148"/>
      <c r="FQK58" s="148"/>
      <c r="FQL58" s="148"/>
      <c r="FQM58" s="148"/>
      <c r="FQN58" s="148"/>
      <c r="FQO58" s="148"/>
      <c r="FQP58" s="148"/>
      <c r="FQQ58" s="148"/>
      <c r="FQR58" s="148"/>
      <c r="FQS58" s="148"/>
      <c r="FQT58" s="148"/>
      <c r="FQU58" s="148"/>
      <c r="FQV58" s="148"/>
      <c r="FQW58" s="148"/>
      <c r="FQX58" s="148"/>
      <c r="FQY58" s="148"/>
      <c r="FQZ58" s="148"/>
      <c r="FRA58" s="148"/>
      <c r="FRB58" s="148"/>
      <c r="FRC58" s="148"/>
      <c r="FRD58" s="148"/>
      <c r="FRE58" s="148"/>
      <c r="FRF58" s="148"/>
      <c r="FRG58" s="148"/>
      <c r="FRH58" s="148"/>
      <c r="FRI58" s="148"/>
      <c r="FRJ58" s="148"/>
      <c r="FRK58" s="148"/>
      <c r="FRL58" s="148"/>
      <c r="FRM58" s="148"/>
      <c r="FRN58" s="148"/>
      <c r="FRO58" s="148"/>
      <c r="FRP58" s="148"/>
      <c r="FRQ58" s="148"/>
      <c r="FRR58" s="148"/>
      <c r="FRS58" s="148"/>
      <c r="FRT58" s="148"/>
      <c r="FRU58" s="148"/>
      <c r="FRV58" s="148"/>
      <c r="FRW58" s="148"/>
      <c r="FRX58" s="148"/>
      <c r="FRY58" s="148"/>
      <c r="FRZ58" s="148"/>
      <c r="FSA58" s="148"/>
      <c r="FSB58" s="148"/>
      <c r="FSC58" s="148"/>
      <c r="FSD58" s="148"/>
      <c r="FSE58" s="148"/>
      <c r="FSF58" s="148"/>
      <c r="FSG58" s="148"/>
      <c r="FSH58" s="148"/>
      <c r="FSI58" s="148"/>
      <c r="FSJ58" s="148"/>
      <c r="FSK58" s="148"/>
      <c r="FSL58" s="148"/>
      <c r="FSM58" s="148"/>
      <c r="FSN58" s="148"/>
      <c r="FSO58" s="148"/>
      <c r="FSP58" s="148"/>
      <c r="FSQ58" s="148"/>
      <c r="FSR58" s="148"/>
      <c r="FSS58" s="148"/>
      <c r="FST58" s="148"/>
      <c r="FSU58" s="148"/>
      <c r="FSV58" s="148"/>
      <c r="FSW58" s="148"/>
      <c r="FSX58" s="148"/>
      <c r="FSY58" s="148"/>
      <c r="FSZ58" s="148"/>
      <c r="FTA58" s="148"/>
      <c r="FTB58" s="148"/>
      <c r="FTC58" s="148"/>
      <c r="FTD58" s="148"/>
      <c r="FTE58" s="148"/>
      <c r="FTF58" s="148"/>
      <c r="FTG58" s="148"/>
      <c r="FTH58" s="148"/>
      <c r="FTI58" s="148"/>
      <c r="FTJ58" s="148"/>
      <c r="FTK58" s="148"/>
      <c r="FTL58" s="148"/>
      <c r="FTM58" s="148"/>
      <c r="FTN58" s="148"/>
      <c r="FTO58" s="148"/>
      <c r="FTP58" s="148"/>
      <c r="FTQ58" s="148"/>
      <c r="FTR58" s="148"/>
      <c r="FTS58" s="148"/>
      <c r="FTT58" s="148"/>
      <c r="FTU58" s="148"/>
      <c r="FTV58" s="148"/>
      <c r="FTW58" s="148"/>
      <c r="FTX58" s="148"/>
      <c r="FTY58" s="148"/>
      <c r="FTZ58" s="148"/>
      <c r="FUA58" s="148"/>
      <c r="FUB58" s="148"/>
      <c r="FUC58" s="148"/>
      <c r="FUD58" s="148"/>
      <c r="FUE58" s="148"/>
      <c r="FUF58" s="148"/>
      <c r="FUG58" s="148"/>
      <c r="FUH58" s="148"/>
      <c r="FUI58" s="148"/>
      <c r="FUJ58" s="148"/>
      <c r="FUK58" s="148"/>
      <c r="FUL58" s="148"/>
      <c r="FUM58" s="148"/>
      <c r="FUN58" s="148"/>
      <c r="FUO58" s="148"/>
      <c r="FUP58" s="148"/>
      <c r="FUQ58" s="148"/>
      <c r="FUR58" s="148"/>
      <c r="FUS58" s="148"/>
      <c r="FUT58" s="148"/>
      <c r="FUU58" s="148"/>
      <c r="FUV58" s="148"/>
      <c r="FUW58" s="148"/>
      <c r="FUX58" s="148"/>
      <c r="FUY58" s="148"/>
      <c r="FUZ58" s="148"/>
      <c r="FVA58" s="148"/>
      <c r="FVB58" s="148"/>
      <c r="FVC58" s="148"/>
      <c r="FVD58" s="148"/>
      <c r="FVE58" s="148"/>
      <c r="FVF58" s="148"/>
      <c r="FVG58" s="148"/>
      <c r="FVH58" s="148"/>
      <c r="FVI58" s="148"/>
      <c r="FVJ58" s="148"/>
      <c r="FVK58" s="148"/>
      <c r="FVL58" s="148"/>
      <c r="FVM58" s="148"/>
      <c r="FVN58" s="148"/>
      <c r="FVO58" s="148"/>
      <c r="FVP58" s="148"/>
      <c r="FVQ58" s="148"/>
      <c r="FVR58" s="148"/>
      <c r="FVS58" s="148"/>
      <c r="FVT58" s="148"/>
      <c r="FVU58" s="148"/>
      <c r="FVV58" s="148"/>
      <c r="FVW58" s="148"/>
      <c r="FVX58" s="148"/>
      <c r="FVY58" s="148"/>
      <c r="FVZ58" s="148"/>
      <c r="FWA58" s="148"/>
      <c r="FWB58" s="148"/>
      <c r="FWC58" s="148"/>
      <c r="FWD58" s="148"/>
      <c r="FWE58" s="148"/>
      <c r="FWF58" s="148"/>
      <c r="FWG58" s="148"/>
      <c r="FWH58" s="148"/>
      <c r="FWI58" s="148"/>
      <c r="FWJ58" s="148"/>
      <c r="FWK58" s="148"/>
      <c r="FWL58" s="148"/>
      <c r="FWM58" s="148"/>
      <c r="FWN58" s="148"/>
      <c r="FWO58" s="148"/>
      <c r="FWP58" s="148"/>
      <c r="FWQ58" s="148"/>
      <c r="FWR58" s="148"/>
      <c r="FWS58" s="148"/>
      <c r="FWT58" s="148"/>
      <c r="FWU58" s="148"/>
      <c r="FWV58" s="148"/>
      <c r="FWW58" s="148"/>
      <c r="FWX58" s="148"/>
      <c r="FWY58" s="148"/>
      <c r="FWZ58" s="148"/>
      <c r="FXA58" s="148"/>
      <c r="FXB58" s="148"/>
      <c r="FXC58" s="148"/>
      <c r="FXD58" s="148"/>
      <c r="FXE58" s="148"/>
      <c r="FXF58" s="148"/>
      <c r="FXG58" s="148"/>
      <c r="FXH58" s="148"/>
      <c r="FXI58" s="148"/>
      <c r="FXJ58" s="148"/>
      <c r="FXK58" s="148"/>
      <c r="FXL58" s="148"/>
      <c r="FXM58" s="148"/>
      <c r="FXN58" s="148"/>
      <c r="FXO58" s="148"/>
      <c r="FXP58" s="148"/>
      <c r="FXQ58" s="148"/>
      <c r="FXR58" s="148"/>
      <c r="FXS58" s="148"/>
      <c r="FXT58" s="148"/>
      <c r="FXU58" s="148"/>
      <c r="FXV58" s="148"/>
      <c r="FXW58" s="148"/>
      <c r="FXX58" s="148"/>
      <c r="FXY58" s="148"/>
      <c r="FXZ58" s="148"/>
      <c r="FYA58" s="148"/>
      <c r="FYB58" s="148"/>
      <c r="FYC58" s="148"/>
      <c r="FYD58" s="148"/>
      <c r="FYE58" s="148"/>
      <c r="FYF58" s="148"/>
      <c r="FYG58" s="148"/>
      <c r="FYH58" s="148"/>
      <c r="FYI58" s="148"/>
      <c r="FYJ58" s="148"/>
      <c r="FYK58" s="148"/>
      <c r="FYL58" s="148"/>
      <c r="FYM58" s="148"/>
      <c r="FYN58" s="148"/>
      <c r="FYO58" s="148"/>
      <c r="FYP58" s="148"/>
      <c r="FYQ58" s="148"/>
      <c r="FYR58" s="148"/>
      <c r="FYS58" s="148"/>
      <c r="FYT58" s="148"/>
      <c r="FYU58" s="148"/>
      <c r="FYV58" s="148"/>
      <c r="FYW58" s="148"/>
      <c r="FYX58" s="148"/>
      <c r="FYY58" s="148"/>
      <c r="FYZ58" s="148"/>
      <c r="FZA58" s="148"/>
      <c r="FZB58" s="148"/>
      <c r="FZC58" s="148"/>
      <c r="FZD58" s="148"/>
      <c r="FZE58" s="148"/>
      <c r="FZF58" s="148"/>
      <c r="FZG58" s="148"/>
      <c r="FZH58" s="148"/>
      <c r="FZI58" s="148"/>
      <c r="FZJ58" s="148"/>
      <c r="FZK58" s="148"/>
      <c r="FZL58" s="148"/>
      <c r="FZM58" s="148"/>
      <c r="FZN58" s="148"/>
      <c r="FZO58" s="148"/>
      <c r="FZP58" s="148"/>
      <c r="FZQ58" s="148"/>
      <c r="FZR58" s="148"/>
      <c r="FZS58" s="148"/>
      <c r="FZT58" s="148"/>
      <c r="FZU58" s="148"/>
      <c r="FZV58" s="148"/>
      <c r="FZW58" s="148"/>
      <c r="FZX58" s="148"/>
      <c r="FZY58" s="148"/>
      <c r="FZZ58" s="148"/>
      <c r="GAA58" s="148"/>
      <c r="GAB58" s="148"/>
      <c r="GAC58" s="148"/>
      <c r="GAD58" s="148"/>
      <c r="GAE58" s="148"/>
      <c r="GAF58" s="148"/>
      <c r="GAG58" s="148"/>
      <c r="GAH58" s="148"/>
      <c r="GAI58" s="148"/>
      <c r="GAJ58" s="148"/>
      <c r="GAK58" s="148"/>
      <c r="GAL58" s="148"/>
      <c r="GAM58" s="148"/>
      <c r="GAN58" s="148"/>
      <c r="GAO58" s="148"/>
      <c r="GAP58" s="148"/>
      <c r="GAQ58" s="148"/>
      <c r="GAR58" s="148"/>
      <c r="GAS58" s="148"/>
      <c r="GAT58" s="148"/>
      <c r="GAU58" s="148"/>
      <c r="GAV58" s="148"/>
      <c r="GAW58" s="148"/>
      <c r="GAX58" s="148"/>
      <c r="GAY58" s="148"/>
      <c r="GAZ58" s="148"/>
      <c r="GBA58" s="148"/>
      <c r="GBB58" s="148"/>
      <c r="GBC58" s="148"/>
      <c r="GBD58" s="148"/>
      <c r="GBE58" s="148"/>
      <c r="GBF58" s="148"/>
      <c r="GBG58" s="148"/>
      <c r="GBH58" s="148"/>
      <c r="GBI58" s="148"/>
      <c r="GBJ58" s="148"/>
      <c r="GBK58" s="148"/>
      <c r="GBL58" s="148"/>
      <c r="GBM58" s="148"/>
      <c r="GBN58" s="148"/>
      <c r="GBO58" s="148"/>
      <c r="GBP58" s="148"/>
      <c r="GBQ58" s="148"/>
      <c r="GBR58" s="148"/>
      <c r="GBS58" s="148"/>
      <c r="GBT58" s="148"/>
      <c r="GBU58" s="148"/>
      <c r="GBV58" s="148"/>
      <c r="GBW58" s="148"/>
      <c r="GBX58" s="148"/>
      <c r="GBY58" s="148"/>
      <c r="GBZ58" s="148"/>
      <c r="GCA58" s="148"/>
      <c r="GCB58" s="148"/>
      <c r="GCC58" s="148"/>
      <c r="GCD58" s="148"/>
      <c r="GCE58" s="148"/>
      <c r="GCF58" s="148"/>
      <c r="GCG58" s="148"/>
      <c r="GCH58" s="148"/>
      <c r="GCI58" s="148"/>
      <c r="GCJ58" s="148"/>
      <c r="GCK58" s="148"/>
      <c r="GCL58" s="148"/>
      <c r="GCM58" s="148"/>
      <c r="GCN58" s="148"/>
      <c r="GCO58" s="148"/>
      <c r="GCP58" s="148"/>
      <c r="GCQ58" s="148"/>
      <c r="GCR58" s="148"/>
      <c r="GCS58" s="148"/>
      <c r="GCT58" s="148"/>
      <c r="GCU58" s="148"/>
      <c r="GCV58" s="148"/>
      <c r="GCW58" s="148"/>
      <c r="GCX58" s="148"/>
      <c r="GCY58" s="148"/>
      <c r="GCZ58" s="148"/>
      <c r="GDA58" s="148"/>
      <c r="GDB58" s="148"/>
      <c r="GDC58" s="148"/>
      <c r="GDD58" s="148"/>
      <c r="GDE58" s="148"/>
      <c r="GDF58" s="148"/>
      <c r="GDG58" s="148"/>
      <c r="GDH58" s="148"/>
      <c r="GDI58" s="148"/>
      <c r="GDJ58" s="148"/>
      <c r="GDK58" s="148"/>
      <c r="GDL58" s="148"/>
      <c r="GDM58" s="148"/>
      <c r="GDN58" s="148"/>
      <c r="GDO58" s="148"/>
      <c r="GDP58" s="148"/>
      <c r="GDQ58" s="148"/>
      <c r="GDR58" s="148"/>
      <c r="GDS58" s="148"/>
      <c r="GDT58" s="148"/>
      <c r="GDU58" s="148"/>
      <c r="GDV58" s="148"/>
      <c r="GDW58" s="148"/>
      <c r="GDX58" s="148"/>
      <c r="GDY58" s="148"/>
      <c r="GDZ58" s="148"/>
      <c r="GEA58" s="148"/>
      <c r="GEB58" s="148"/>
      <c r="GEC58" s="148"/>
      <c r="GED58" s="148"/>
      <c r="GEE58" s="148"/>
      <c r="GEF58" s="148"/>
      <c r="GEG58" s="148"/>
      <c r="GEH58" s="148"/>
      <c r="GEI58" s="148"/>
      <c r="GEJ58" s="148"/>
      <c r="GEK58" s="148"/>
      <c r="GEL58" s="148"/>
      <c r="GEM58" s="148"/>
      <c r="GEN58" s="148"/>
      <c r="GEO58" s="148"/>
      <c r="GEP58" s="148"/>
      <c r="GEQ58" s="148"/>
      <c r="GER58" s="148"/>
      <c r="GES58" s="148"/>
      <c r="GET58" s="148"/>
      <c r="GEU58" s="148"/>
      <c r="GEV58" s="148"/>
      <c r="GEW58" s="148"/>
      <c r="GEX58" s="148"/>
      <c r="GEY58" s="148"/>
      <c r="GEZ58" s="148"/>
      <c r="GFA58" s="148"/>
      <c r="GFB58" s="148"/>
      <c r="GFC58" s="148"/>
      <c r="GFD58" s="148"/>
      <c r="GFE58" s="148"/>
      <c r="GFF58" s="148"/>
      <c r="GFG58" s="148"/>
      <c r="GFH58" s="148"/>
      <c r="GFI58" s="148"/>
      <c r="GFJ58" s="148"/>
      <c r="GFK58" s="148"/>
      <c r="GFL58" s="148"/>
      <c r="GFM58" s="148"/>
      <c r="GFN58" s="148"/>
      <c r="GFO58" s="148"/>
      <c r="GFP58" s="148"/>
      <c r="GFQ58" s="148"/>
      <c r="GFR58" s="148"/>
      <c r="GFS58" s="148"/>
      <c r="GFT58" s="148"/>
      <c r="GFU58" s="148"/>
      <c r="GFV58" s="148"/>
      <c r="GFW58" s="148"/>
      <c r="GFX58" s="148"/>
      <c r="GFY58" s="148"/>
      <c r="GFZ58" s="148"/>
      <c r="GGA58" s="148"/>
      <c r="GGB58" s="148"/>
      <c r="GGC58" s="148"/>
      <c r="GGD58" s="148"/>
      <c r="GGE58" s="148"/>
      <c r="GGF58" s="148"/>
      <c r="GGG58" s="148"/>
      <c r="GGH58" s="148"/>
      <c r="GGI58" s="148"/>
      <c r="GGJ58" s="148"/>
      <c r="GGK58" s="148"/>
      <c r="GGL58" s="148"/>
      <c r="GGM58" s="148"/>
      <c r="GGN58" s="148"/>
      <c r="GGO58" s="148"/>
      <c r="GGP58" s="148"/>
      <c r="GGQ58" s="148"/>
      <c r="GGR58" s="148"/>
      <c r="GGS58" s="148"/>
      <c r="GGT58" s="148"/>
      <c r="GGU58" s="148"/>
      <c r="GGV58" s="148"/>
      <c r="GGW58" s="148"/>
      <c r="GGX58" s="148"/>
      <c r="GGY58" s="148"/>
      <c r="GGZ58" s="148"/>
      <c r="GHA58" s="148"/>
      <c r="GHB58" s="148"/>
      <c r="GHC58" s="148"/>
      <c r="GHD58" s="148"/>
      <c r="GHE58" s="148"/>
      <c r="GHF58" s="148"/>
      <c r="GHG58" s="148"/>
      <c r="GHH58" s="148"/>
      <c r="GHI58" s="148"/>
      <c r="GHJ58" s="148"/>
      <c r="GHK58" s="148"/>
      <c r="GHL58" s="148"/>
      <c r="GHM58" s="148"/>
      <c r="GHN58" s="148"/>
      <c r="GHO58" s="148"/>
      <c r="GHP58" s="148"/>
      <c r="GHQ58" s="148"/>
      <c r="GHR58" s="148"/>
      <c r="GHS58" s="148"/>
      <c r="GHT58" s="148"/>
      <c r="GHU58" s="148"/>
      <c r="GHV58" s="148"/>
      <c r="GHW58" s="148"/>
      <c r="GHX58" s="148"/>
      <c r="GHY58" s="148"/>
      <c r="GHZ58" s="148"/>
      <c r="GIA58" s="148"/>
      <c r="GIB58" s="148"/>
      <c r="GIC58" s="148"/>
      <c r="GID58" s="148"/>
      <c r="GIE58" s="148"/>
      <c r="GIF58" s="148"/>
      <c r="GIG58" s="148"/>
      <c r="GIH58" s="148"/>
      <c r="GII58" s="148"/>
      <c r="GIJ58" s="148"/>
      <c r="GIK58" s="148"/>
      <c r="GIL58" s="148"/>
      <c r="GIM58" s="148"/>
      <c r="GIN58" s="148"/>
      <c r="GIO58" s="148"/>
      <c r="GIP58" s="148"/>
      <c r="GIQ58" s="148"/>
      <c r="GIR58" s="148"/>
      <c r="GIS58" s="148"/>
      <c r="GIT58" s="148"/>
      <c r="GIU58" s="148"/>
      <c r="GIV58" s="148"/>
      <c r="GIW58" s="148"/>
      <c r="GIX58" s="148"/>
      <c r="GIY58" s="148"/>
      <c r="GIZ58" s="148"/>
      <c r="GJA58" s="148"/>
      <c r="GJB58" s="148"/>
      <c r="GJC58" s="148"/>
      <c r="GJD58" s="148"/>
      <c r="GJE58" s="148"/>
      <c r="GJF58" s="148"/>
      <c r="GJG58" s="148"/>
      <c r="GJH58" s="148"/>
      <c r="GJI58" s="148"/>
      <c r="GJJ58" s="148"/>
      <c r="GJK58" s="148"/>
      <c r="GJL58" s="148"/>
      <c r="GJM58" s="148"/>
      <c r="GJN58" s="148"/>
      <c r="GJO58" s="148"/>
      <c r="GJP58" s="148"/>
      <c r="GJQ58" s="148"/>
      <c r="GJR58" s="148"/>
      <c r="GJS58" s="148"/>
      <c r="GJT58" s="148"/>
      <c r="GJU58" s="148"/>
      <c r="GJV58" s="148"/>
      <c r="GJW58" s="148"/>
      <c r="GJX58" s="148"/>
      <c r="GJY58" s="148"/>
      <c r="GJZ58" s="148"/>
      <c r="GKA58" s="148"/>
      <c r="GKB58" s="148"/>
      <c r="GKC58" s="148"/>
      <c r="GKD58" s="148"/>
      <c r="GKE58" s="148"/>
      <c r="GKF58" s="148"/>
      <c r="GKG58" s="148"/>
      <c r="GKH58" s="148"/>
      <c r="GKI58" s="148"/>
      <c r="GKJ58" s="148"/>
      <c r="GKK58" s="148"/>
      <c r="GKL58" s="148"/>
      <c r="GKM58" s="148"/>
      <c r="GKN58" s="148"/>
      <c r="GKO58" s="148"/>
      <c r="GKP58" s="148"/>
      <c r="GKQ58" s="148"/>
      <c r="GKR58" s="148"/>
      <c r="GKS58" s="148"/>
      <c r="GKT58" s="148"/>
      <c r="GKU58" s="148"/>
      <c r="GKV58" s="148"/>
      <c r="GKW58" s="148"/>
      <c r="GKX58" s="148"/>
      <c r="GKY58" s="148"/>
      <c r="GKZ58" s="148"/>
      <c r="GLA58" s="148"/>
      <c r="GLB58" s="148"/>
      <c r="GLC58" s="148"/>
      <c r="GLD58" s="148"/>
      <c r="GLE58" s="148"/>
      <c r="GLF58" s="148"/>
      <c r="GLG58" s="148"/>
      <c r="GLH58" s="148"/>
      <c r="GLI58" s="148"/>
      <c r="GLJ58" s="148"/>
      <c r="GLK58" s="148"/>
      <c r="GLL58" s="148"/>
      <c r="GLM58" s="148"/>
      <c r="GLN58" s="148"/>
      <c r="GLO58" s="148"/>
      <c r="GLP58" s="148"/>
      <c r="GLQ58" s="148"/>
      <c r="GLR58" s="148"/>
      <c r="GLS58" s="148"/>
      <c r="GLT58" s="148"/>
      <c r="GLU58" s="148"/>
      <c r="GLV58" s="148"/>
      <c r="GLW58" s="148"/>
      <c r="GLX58" s="148"/>
      <c r="GLY58" s="148"/>
      <c r="GLZ58" s="148"/>
      <c r="GMA58" s="148"/>
      <c r="GMB58" s="148"/>
      <c r="GMC58" s="148"/>
      <c r="GMD58" s="148"/>
      <c r="GME58" s="148"/>
      <c r="GMF58" s="148"/>
      <c r="GMG58" s="148"/>
      <c r="GMH58" s="148"/>
      <c r="GMI58" s="148"/>
      <c r="GMJ58" s="148"/>
      <c r="GMK58" s="148"/>
      <c r="GML58" s="148"/>
      <c r="GMM58" s="148"/>
      <c r="GMN58" s="148"/>
      <c r="GMO58" s="148"/>
      <c r="GMP58" s="148"/>
      <c r="GMQ58" s="148"/>
      <c r="GMR58" s="148"/>
      <c r="GMS58" s="148"/>
      <c r="GMT58" s="148"/>
      <c r="GMU58" s="148"/>
      <c r="GMV58" s="148"/>
      <c r="GMW58" s="148"/>
      <c r="GMX58" s="148"/>
      <c r="GMY58" s="148"/>
      <c r="GMZ58" s="148"/>
      <c r="GNA58" s="148"/>
      <c r="GNB58" s="148"/>
      <c r="GNC58" s="148"/>
      <c r="GND58" s="148"/>
      <c r="GNE58" s="148"/>
      <c r="GNF58" s="148"/>
      <c r="GNG58" s="148"/>
      <c r="GNH58" s="148"/>
      <c r="GNI58" s="148"/>
      <c r="GNJ58" s="148"/>
      <c r="GNK58" s="148"/>
      <c r="GNL58" s="148"/>
      <c r="GNM58" s="148"/>
      <c r="GNN58" s="148"/>
      <c r="GNO58" s="148"/>
      <c r="GNP58" s="148"/>
      <c r="GNQ58" s="148"/>
      <c r="GNR58" s="148"/>
      <c r="GNS58" s="148"/>
      <c r="GNT58" s="148"/>
      <c r="GNU58" s="148"/>
      <c r="GNV58" s="148"/>
      <c r="GNW58" s="148"/>
      <c r="GNX58" s="148"/>
      <c r="GNY58" s="148"/>
      <c r="GNZ58" s="148"/>
      <c r="GOA58" s="148"/>
      <c r="GOB58" s="148"/>
      <c r="GOC58" s="148"/>
      <c r="GOD58" s="148"/>
      <c r="GOE58" s="148"/>
      <c r="GOF58" s="148"/>
      <c r="GOG58" s="148"/>
      <c r="GOH58" s="148"/>
      <c r="GOI58" s="148"/>
      <c r="GOJ58" s="148"/>
      <c r="GOK58" s="148"/>
      <c r="GOL58" s="148"/>
      <c r="GOM58" s="148"/>
      <c r="GON58" s="148"/>
      <c r="GOO58" s="148"/>
      <c r="GOP58" s="148"/>
      <c r="GOQ58" s="148"/>
      <c r="GOR58" s="148"/>
      <c r="GOS58" s="148"/>
      <c r="GOT58" s="148"/>
      <c r="GOU58" s="148"/>
      <c r="GOV58" s="148"/>
      <c r="GOW58" s="148"/>
      <c r="GOX58" s="148"/>
      <c r="GOY58" s="148"/>
      <c r="GOZ58" s="148"/>
      <c r="GPA58" s="148"/>
      <c r="GPB58" s="148"/>
      <c r="GPC58" s="148"/>
      <c r="GPD58" s="148"/>
      <c r="GPE58" s="148"/>
      <c r="GPF58" s="148"/>
      <c r="GPG58" s="148"/>
      <c r="GPH58" s="148"/>
      <c r="GPI58" s="148"/>
      <c r="GPJ58" s="148"/>
      <c r="GPK58" s="148"/>
      <c r="GPL58" s="148"/>
      <c r="GPM58" s="148"/>
      <c r="GPN58" s="148"/>
      <c r="GPO58" s="148"/>
      <c r="GPP58" s="148"/>
      <c r="GPQ58" s="148"/>
      <c r="GPR58" s="148"/>
      <c r="GPS58" s="148"/>
      <c r="GPT58" s="148"/>
      <c r="GPU58" s="148"/>
      <c r="GPV58" s="148"/>
      <c r="GPW58" s="148"/>
      <c r="GPX58" s="148"/>
      <c r="GPY58" s="148"/>
      <c r="GPZ58" s="148"/>
      <c r="GQA58" s="148"/>
      <c r="GQB58" s="148"/>
      <c r="GQC58" s="148"/>
      <c r="GQD58" s="148"/>
      <c r="GQE58" s="148"/>
      <c r="GQF58" s="148"/>
      <c r="GQG58" s="148"/>
      <c r="GQH58" s="148"/>
      <c r="GQI58" s="148"/>
      <c r="GQJ58" s="148"/>
      <c r="GQK58" s="148"/>
      <c r="GQL58" s="148"/>
      <c r="GQM58" s="148"/>
      <c r="GQN58" s="148"/>
      <c r="GQO58" s="148"/>
      <c r="GQP58" s="148"/>
      <c r="GQQ58" s="148"/>
      <c r="GQR58" s="148"/>
      <c r="GQS58" s="148"/>
      <c r="GQT58" s="148"/>
      <c r="GQU58" s="148"/>
      <c r="GQV58" s="148"/>
      <c r="GQW58" s="148"/>
      <c r="GQX58" s="148"/>
      <c r="GQY58" s="148"/>
      <c r="GQZ58" s="148"/>
      <c r="GRA58" s="148"/>
      <c r="GRB58" s="148"/>
      <c r="GRC58" s="148"/>
      <c r="GRD58" s="148"/>
      <c r="GRE58" s="148"/>
      <c r="GRF58" s="148"/>
      <c r="GRG58" s="148"/>
      <c r="GRH58" s="148"/>
      <c r="GRI58" s="148"/>
      <c r="GRJ58" s="148"/>
      <c r="GRK58" s="148"/>
      <c r="GRL58" s="148"/>
      <c r="GRM58" s="148"/>
      <c r="GRN58" s="148"/>
      <c r="GRO58" s="148"/>
      <c r="GRP58" s="148"/>
      <c r="GRQ58" s="148"/>
      <c r="GRR58" s="148"/>
      <c r="GRS58" s="148"/>
      <c r="GRT58" s="148"/>
      <c r="GRU58" s="148"/>
      <c r="GRV58" s="148"/>
      <c r="GRW58" s="148"/>
      <c r="GRX58" s="148"/>
      <c r="GRY58" s="148"/>
      <c r="GRZ58" s="148"/>
      <c r="GSA58" s="148"/>
      <c r="GSB58" s="148"/>
      <c r="GSC58" s="148"/>
      <c r="GSD58" s="148"/>
      <c r="GSE58" s="148"/>
      <c r="GSF58" s="148"/>
      <c r="GSG58" s="148"/>
      <c r="GSH58" s="148"/>
      <c r="GSI58" s="148"/>
      <c r="GSJ58" s="148"/>
      <c r="GSK58" s="148"/>
      <c r="GSL58" s="148"/>
      <c r="GSM58" s="148"/>
      <c r="GSN58" s="148"/>
      <c r="GSO58" s="148"/>
      <c r="GSP58" s="148"/>
      <c r="GSQ58" s="148"/>
      <c r="GSR58" s="148"/>
      <c r="GSS58" s="148"/>
      <c r="GST58" s="148"/>
      <c r="GSU58" s="148"/>
      <c r="GSV58" s="148"/>
      <c r="GSW58" s="148"/>
      <c r="GSX58" s="148"/>
      <c r="GSY58" s="148"/>
      <c r="GSZ58" s="148"/>
      <c r="GTA58" s="148"/>
      <c r="GTB58" s="148"/>
      <c r="GTC58" s="148"/>
      <c r="GTD58" s="148"/>
      <c r="GTE58" s="148"/>
      <c r="GTF58" s="148"/>
      <c r="GTG58" s="148"/>
      <c r="GTH58" s="148"/>
      <c r="GTI58" s="148"/>
      <c r="GTJ58" s="148"/>
      <c r="GTK58" s="148"/>
      <c r="GTL58" s="148"/>
      <c r="GTM58" s="148"/>
      <c r="GTN58" s="148"/>
      <c r="GTO58" s="148"/>
      <c r="GTP58" s="148"/>
      <c r="GTQ58" s="148"/>
      <c r="GTR58" s="148"/>
      <c r="GTS58" s="148"/>
      <c r="GTT58" s="148"/>
      <c r="GTU58" s="148"/>
      <c r="GTV58" s="148"/>
      <c r="GTW58" s="148"/>
      <c r="GTX58" s="148"/>
      <c r="GTY58" s="148"/>
      <c r="GTZ58" s="148"/>
      <c r="GUA58" s="148"/>
      <c r="GUB58" s="148"/>
      <c r="GUC58" s="148"/>
      <c r="GUD58" s="148"/>
      <c r="GUE58" s="148"/>
      <c r="GUF58" s="148"/>
      <c r="GUG58" s="148"/>
      <c r="GUH58" s="148"/>
      <c r="GUI58" s="148"/>
      <c r="GUJ58" s="148"/>
      <c r="GUK58" s="148"/>
      <c r="GUL58" s="148"/>
      <c r="GUM58" s="148"/>
      <c r="GUN58" s="148"/>
      <c r="GUO58" s="148"/>
      <c r="GUP58" s="148"/>
      <c r="GUQ58" s="148"/>
      <c r="GUR58" s="148"/>
      <c r="GUS58" s="148"/>
      <c r="GUT58" s="148"/>
      <c r="GUU58" s="148"/>
      <c r="GUV58" s="148"/>
      <c r="GUW58" s="148"/>
      <c r="GUX58" s="148"/>
      <c r="GUY58" s="148"/>
      <c r="GUZ58" s="148"/>
      <c r="GVA58" s="148"/>
      <c r="GVB58" s="148"/>
      <c r="GVC58" s="148"/>
      <c r="GVD58" s="148"/>
      <c r="GVE58" s="148"/>
      <c r="GVF58" s="148"/>
      <c r="GVG58" s="148"/>
      <c r="GVH58" s="148"/>
      <c r="GVI58" s="148"/>
      <c r="GVJ58" s="148"/>
      <c r="GVK58" s="148"/>
      <c r="GVL58" s="148"/>
      <c r="GVM58" s="148"/>
      <c r="GVN58" s="148"/>
      <c r="GVO58" s="148"/>
      <c r="GVP58" s="148"/>
      <c r="GVQ58" s="148"/>
      <c r="GVR58" s="148"/>
      <c r="GVS58" s="148"/>
      <c r="GVT58" s="148"/>
      <c r="GVU58" s="148"/>
      <c r="GVV58" s="148"/>
      <c r="GVW58" s="148"/>
      <c r="GVX58" s="148"/>
      <c r="GVY58" s="148"/>
      <c r="GVZ58" s="148"/>
      <c r="GWA58" s="148"/>
      <c r="GWB58" s="148"/>
      <c r="GWC58" s="148"/>
      <c r="GWD58" s="148"/>
      <c r="GWE58" s="148"/>
      <c r="GWF58" s="148"/>
      <c r="GWG58" s="148"/>
      <c r="GWH58" s="148"/>
      <c r="GWI58" s="148"/>
      <c r="GWJ58" s="148"/>
      <c r="GWK58" s="148"/>
      <c r="GWL58" s="148"/>
      <c r="GWM58" s="148"/>
      <c r="GWN58" s="148"/>
      <c r="GWO58" s="148"/>
      <c r="GWP58" s="148"/>
      <c r="GWQ58" s="148"/>
      <c r="GWR58" s="148"/>
      <c r="GWS58" s="148"/>
      <c r="GWT58" s="148"/>
      <c r="GWU58" s="148"/>
      <c r="GWV58" s="148"/>
      <c r="GWW58" s="148"/>
      <c r="GWX58" s="148"/>
      <c r="GWY58" s="148"/>
      <c r="GWZ58" s="148"/>
      <c r="GXA58" s="148"/>
      <c r="GXB58" s="148"/>
      <c r="GXC58" s="148"/>
      <c r="GXD58" s="148"/>
      <c r="GXE58" s="148"/>
      <c r="GXF58" s="148"/>
      <c r="GXG58" s="148"/>
      <c r="GXH58" s="148"/>
      <c r="GXI58" s="148"/>
      <c r="GXJ58" s="148"/>
      <c r="GXK58" s="148"/>
      <c r="GXL58" s="148"/>
      <c r="GXM58" s="148"/>
      <c r="GXN58" s="148"/>
      <c r="GXO58" s="148"/>
      <c r="GXP58" s="148"/>
      <c r="GXQ58" s="148"/>
      <c r="GXR58" s="148"/>
      <c r="GXS58" s="148"/>
      <c r="GXT58" s="148"/>
      <c r="GXU58" s="148"/>
      <c r="GXV58" s="148"/>
      <c r="GXW58" s="148"/>
      <c r="GXX58" s="148"/>
      <c r="GXY58" s="148"/>
      <c r="GXZ58" s="148"/>
      <c r="GYA58" s="148"/>
      <c r="GYB58" s="148"/>
      <c r="GYC58" s="148"/>
      <c r="GYD58" s="148"/>
      <c r="GYE58" s="148"/>
      <c r="GYF58" s="148"/>
      <c r="GYG58" s="148"/>
      <c r="GYH58" s="148"/>
      <c r="GYI58" s="148"/>
      <c r="GYJ58" s="148"/>
      <c r="GYK58" s="148"/>
      <c r="GYL58" s="148"/>
      <c r="GYM58" s="148"/>
      <c r="GYN58" s="148"/>
      <c r="GYO58" s="148"/>
      <c r="GYP58" s="148"/>
      <c r="GYQ58" s="148"/>
      <c r="GYR58" s="148"/>
      <c r="GYS58" s="148"/>
      <c r="GYT58" s="148"/>
      <c r="GYU58" s="148"/>
      <c r="GYV58" s="148"/>
      <c r="GYW58" s="148"/>
      <c r="GYX58" s="148"/>
      <c r="GYY58" s="148"/>
      <c r="GYZ58" s="148"/>
      <c r="GZA58" s="148"/>
      <c r="GZB58" s="148"/>
      <c r="GZC58" s="148"/>
      <c r="GZD58" s="148"/>
      <c r="GZE58" s="148"/>
      <c r="GZF58" s="148"/>
      <c r="GZG58" s="148"/>
      <c r="GZH58" s="148"/>
      <c r="GZI58" s="148"/>
      <c r="GZJ58" s="148"/>
      <c r="GZK58" s="148"/>
      <c r="GZL58" s="148"/>
      <c r="GZM58" s="148"/>
      <c r="GZN58" s="148"/>
      <c r="GZO58" s="148"/>
      <c r="GZP58" s="148"/>
      <c r="GZQ58" s="148"/>
      <c r="GZR58" s="148"/>
      <c r="GZS58" s="148"/>
      <c r="GZT58" s="148"/>
      <c r="GZU58" s="148"/>
      <c r="GZV58" s="148"/>
      <c r="GZW58" s="148"/>
      <c r="GZX58" s="148"/>
      <c r="GZY58" s="148"/>
      <c r="GZZ58" s="148"/>
      <c r="HAA58" s="148"/>
      <c r="HAB58" s="148"/>
      <c r="HAC58" s="148"/>
      <c r="HAD58" s="148"/>
      <c r="HAE58" s="148"/>
      <c r="HAF58" s="148"/>
      <c r="HAG58" s="148"/>
      <c r="HAH58" s="148"/>
      <c r="HAI58" s="148"/>
      <c r="HAJ58" s="148"/>
      <c r="HAK58" s="148"/>
      <c r="HAL58" s="148"/>
      <c r="HAM58" s="148"/>
      <c r="HAN58" s="148"/>
      <c r="HAO58" s="148"/>
      <c r="HAP58" s="148"/>
      <c r="HAQ58" s="148"/>
      <c r="HAR58" s="148"/>
      <c r="HAS58" s="148"/>
      <c r="HAT58" s="148"/>
      <c r="HAU58" s="148"/>
      <c r="HAV58" s="148"/>
      <c r="HAW58" s="148"/>
      <c r="HAX58" s="148"/>
      <c r="HAY58" s="148"/>
      <c r="HAZ58" s="148"/>
      <c r="HBA58" s="148"/>
      <c r="HBB58" s="148"/>
      <c r="HBC58" s="148"/>
      <c r="HBD58" s="148"/>
      <c r="HBE58" s="148"/>
      <c r="HBF58" s="148"/>
      <c r="HBG58" s="148"/>
      <c r="HBH58" s="148"/>
      <c r="HBI58" s="148"/>
      <c r="HBJ58" s="148"/>
      <c r="HBK58" s="148"/>
      <c r="HBL58" s="148"/>
      <c r="HBM58" s="148"/>
      <c r="HBN58" s="148"/>
      <c r="HBO58" s="148"/>
      <c r="HBP58" s="148"/>
      <c r="HBQ58" s="148"/>
      <c r="HBR58" s="148"/>
      <c r="HBS58" s="148"/>
      <c r="HBT58" s="148"/>
      <c r="HBU58" s="148"/>
      <c r="HBV58" s="148"/>
      <c r="HBW58" s="148"/>
      <c r="HBX58" s="148"/>
      <c r="HBY58" s="148"/>
      <c r="HBZ58" s="148"/>
      <c r="HCA58" s="148"/>
      <c r="HCB58" s="148"/>
      <c r="HCC58" s="148"/>
      <c r="HCD58" s="148"/>
      <c r="HCE58" s="148"/>
      <c r="HCF58" s="148"/>
      <c r="HCG58" s="148"/>
      <c r="HCH58" s="148"/>
      <c r="HCI58" s="148"/>
      <c r="HCJ58" s="148"/>
      <c r="HCK58" s="148"/>
      <c r="HCL58" s="148"/>
      <c r="HCM58" s="148"/>
      <c r="HCN58" s="148"/>
      <c r="HCO58" s="148"/>
      <c r="HCP58" s="148"/>
      <c r="HCQ58" s="148"/>
      <c r="HCR58" s="148"/>
      <c r="HCS58" s="148"/>
      <c r="HCT58" s="148"/>
      <c r="HCU58" s="148"/>
      <c r="HCV58" s="148"/>
      <c r="HCW58" s="148"/>
      <c r="HCX58" s="148"/>
      <c r="HCY58" s="148"/>
      <c r="HCZ58" s="148"/>
      <c r="HDA58" s="148"/>
      <c r="HDB58" s="148"/>
      <c r="HDC58" s="148"/>
      <c r="HDD58" s="148"/>
      <c r="HDE58" s="148"/>
      <c r="HDF58" s="148"/>
      <c r="HDG58" s="148"/>
      <c r="HDH58" s="148"/>
      <c r="HDI58" s="148"/>
      <c r="HDJ58" s="148"/>
      <c r="HDK58" s="148"/>
      <c r="HDL58" s="148"/>
      <c r="HDM58" s="148"/>
      <c r="HDN58" s="148"/>
      <c r="HDO58" s="148"/>
      <c r="HDP58" s="148"/>
      <c r="HDQ58" s="148"/>
      <c r="HDR58" s="148"/>
      <c r="HDS58" s="148"/>
      <c r="HDT58" s="148"/>
      <c r="HDU58" s="148"/>
      <c r="HDV58" s="148"/>
      <c r="HDW58" s="148"/>
      <c r="HDX58" s="148"/>
      <c r="HDY58" s="148"/>
      <c r="HDZ58" s="148"/>
      <c r="HEA58" s="148"/>
      <c r="HEB58" s="148"/>
      <c r="HEC58" s="148"/>
      <c r="HED58" s="148"/>
      <c r="HEE58" s="148"/>
      <c r="HEF58" s="148"/>
      <c r="HEG58" s="148"/>
      <c r="HEH58" s="148"/>
      <c r="HEI58" s="148"/>
      <c r="HEJ58" s="148"/>
      <c r="HEK58" s="148"/>
      <c r="HEL58" s="148"/>
      <c r="HEM58" s="148"/>
      <c r="HEN58" s="148"/>
      <c r="HEO58" s="148"/>
      <c r="HEP58" s="148"/>
      <c r="HEQ58" s="148"/>
      <c r="HER58" s="148"/>
      <c r="HES58" s="148"/>
      <c r="HET58" s="148"/>
      <c r="HEU58" s="148"/>
      <c r="HEV58" s="148"/>
      <c r="HEW58" s="148"/>
      <c r="HEX58" s="148"/>
      <c r="HEY58" s="148"/>
      <c r="HEZ58" s="148"/>
      <c r="HFA58" s="148"/>
      <c r="HFB58" s="148"/>
      <c r="HFC58" s="148"/>
      <c r="HFD58" s="148"/>
      <c r="HFE58" s="148"/>
      <c r="HFF58" s="148"/>
      <c r="HFG58" s="148"/>
      <c r="HFH58" s="148"/>
      <c r="HFI58" s="148"/>
      <c r="HFJ58" s="148"/>
      <c r="HFK58" s="148"/>
      <c r="HFL58" s="148"/>
      <c r="HFM58" s="148"/>
      <c r="HFN58" s="148"/>
      <c r="HFO58" s="148"/>
      <c r="HFP58" s="148"/>
      <c r="HFQ58" s="148"/>
      <c r="HFR58" s="148"/>
      <c r="HFS58" s="148"/>
      <c r="HFT58" s="148"/>
      <c r="HFU58" s="148"/>
      <c r="HFV58" s="148"/>
      <c r="HFW58" s="148"/>
      <c r="HFX58" s="148"/>
      <c r="HFY58" s="148"/>
      <c r="HFZ58" s="148"/>
      <c r="HGA58" s="148"/>
      <c r="HGB58" s="148"/>
      <c r="HGC58" s="148"/>
      <c r="HGD58" s="148"/>
      <c r="HGE58" s="148"/>
      <c r="HGF58" s="148"/>
      <c r="HGG58" s="148"/>
      <c r="HGH58" s="148"/>
      <c r="HGI58" s="148"/>
      <c r="HGJ58" s="148"/>
      <c r="HGK58" s="148"/>
      <c r="HGL58" s="148"/>
      <c r="HGM58" s="148"/>
      <c r="HGN58" s="148"/>
      <c r="HGO58" s="148"/>
      <c r="HGP58" s="148"/>
      <c r="HGQ58" s="148"/>
      <c r="HGR58" s="148"/>
      <c r="HGS58" s="148"/>
      <c r="HGT58" s="148"/>
      <c r="HGU58" s="148"/>
      <c r="HGV58" s="148"/>
      <c r="HGW58" s="148"/>
      <c r="HGX58" s="148"/>
      <c r="HGY58" s="148"/>
      <c r="HGZ58" s="148"/>
      <c r="HHA58" s="148"/>
      <c r="HHB58" s="148"/>
      <c r="HHC58" s="148"/>
      <c r="HHD58" s="148"/>
      <c r="HHE58" s="148"/>
      <c r="HHF58" s="148"/>
      <c r="HHG58" s="148"/>
      <c r="HHH58" s="148"/>
      <c r="HHI58" s="148"/>
      <c r="HHJ58" s="148"/>
      <c r="HHK58" s="148"/>
      <c r="HHL58" s="148"/>
      <c r="HHM58" s="148"/>
      <c r="HHN58" s="148"/>
      <c r="HHO58" s="148"/>
      <c r="HHP58" s="148"/>
      <c r="HHQ58" s="148"/>
      <c r="HHR58" s="148"/>
      <c r="HHS58" s="148"/>
      <c r="HHT58" s="148"/>
      <c r="HHU58" s="148"/>
      <c r="HHV58" s="148"/>
      <c r="HHW58" s="148"/>
      <c r="HHX58" s="148"/>
      <c r="HHY58" s="148"/>
      <c r="HHZ58" s="148"/>
      <c r="HIA58" s="148"/>
      <c r="HIB58" s="148"/>
      <c r="HIC58" s="148"/>
      <c r="HID58" s="148"/>
      <c r="HIE58" s="148"/>
      <c r="HIF58" s="148"/>
      <c r="HIG58" s="148"/>
      <c r="HIH58" s="148"/>
      <c r="HII58" s="148"/>
      <c r="HIJ58" s="148"/>
      <c r="HIK58" s="148"/>
      <c r="HIL58" s="148"/>
      <c r="HIM58" s="148"/>
      <c r="HIN58" s="148"/>
      <c r="HIO58" s="148"/>
      <c r="HIP58" s="148"/>
      <c r="HIQ58" s="148"/>
      <c r="HIR58" s="148"/>
      <c r="HIS58" s="148"/>
      <c r="HIT58" s="148"/>
      <c r="HIU58" s="148"/>
      <c r="HIV58" s="148"/>
      <c r="HIW58" s="148"/>
      <c r="HIX58" s="148"/>
      <c r="HIY58" s="148"/>
      <c r="HIZ58" s="148"/>
      <c r="HJA58" s="148"/>
      <c r="HJB58" s="148"/>
      <c r="HJC58" s="148"/>
      <c r="HJD58" s="148"/>
      <c r="HJE58" s="148"/>
      <c r="HJF58" s="148"/>
      <c r="HJG58" s="148"/>
      <c r="HJH58" s="148"/>
      <c r="HJI58" s="148"/>
      <c r="HJJ58" s="148"/>
      <c r="HJK58" s="148"/>
      <c r="HJL58" s="148"/>
      <c r="HJM58" s="148"/>
      <c r="HJN58" s="148"/>
      <c r="HJO58" s="148"/>
      <c r="HJP58" s="148"/>
      <c r="HJQ58" s="148"/>
      <c r="HJR58" s="148"/>
      <c r="HJS58" s="148"/>
      <c r="HJT58" s="148"/>
      <c r="HJU58" s="148"/>
      <c r="HJV58" s="148"/>
      <c r="HJW58" s="148"/>
      <c r="HJX58" s="148"/>
      <c r="HJY58" s="148"/>
      <c r="HJZ58" s="148"/>
      <c r="HKA58" s="148"/>
      <c r="HKB58" s="148"/>
      <c r="HKC58" s="148"/>
      <c r="HKD58" s="148"/>
      <c r="HKE58" s="148"/>
      <c r="HKF58" s="148"/>
      <c r="HKG58" s="148"/>
      <c r="HKH58" s="148"/>
      <c r="HKI58" s="148"/>
      <c r="HKJ58" s="148"/>
      <c r="HKK58" s="148"/>
      <c r="HKL58" s="148"/>
      <c r="HKM58" s="148"/>
      <c r="HKN58" s="148"/>
      <c r="HKO58" s="148"/>
      <c r="HKP58" s="148"/>
      <c r="HKQ58" s="148"/>
      <c r="HKR58" s="148"/>
      <c r="HKS58" s="148"/>
      <c r="HKT58" s="148"/>
      <c r="HKU58" s="148"/>
      <c r="HKV58" s="148"/>
      <c r="HKW58" s="148"/>
      <c r="HKX58" s="148"/>
      <c r="HKY58" s="148"/>
      <c r="HKZ58" s="148"/>
      <c r="HLA58" s="148"/>
      <c r="HLB58" s="148"/>
      <c r="HLC58" s="148"/>
      <c r="HLD58" s="148"/>
      <c r="HLE58" s="148"/>
      <c r="HLF58" s="148"/>
      <c r="HLG58" s="148"/>
      <c r="HLH58" s="148"/>
      <c r="HLI58" s="148"/>
      <c r="HLJ58" s="148"/>
      <c r="HLK58" s="148"/>
      <c r="HLL58" s="148"/>
      <c r="HLM58" s="148"/>
      <c r="HLN58" s="148"/>
      <c r="HLO58" s="148"/>
      <c r="HLP58" s="148"/>
      <c r="HLQ58" s="148"/>
      <c r="HLR58" s="148"/>
      <c r="HLS58" s="148"/>
      <c r="HLT58" s="148"/>
      <c r="HLU58" s="148"/>
      <c r="HLV58" s="148"/>
      <c r="HLW58" s="148"/>
      <c r="HLX58" s="148"/>
      <c r="HLY58" s="148"/>
      <c r="HLZ58" s="148"/>
      <c r="HMA58" s="148"/>
      <c r="HMB58" s="148"/>
      <c r="HMC58" s="148"/>
      <c r="HMD58" s="148"/>
      <c r="HME58" s="148"/>
      <c r="HMF58" s="148"/>
      <c r="HMG58" s="148"/>
      <c r="HMH58" s="148"/>
      <c r="HMI58" s="148"/>
      <c r="HMJ58" s="148"/>
      <c r="HMK58" s="148"/>
      <c r="HML58" s="148"/>
      <c r="HMM58" s="148"/>
      <c r="HMN58" s="148"/>
      <c r="HMO58" s="148"/>
      <c r="HMP58" s="148"/>
      <c r="HMQ58" s="148"/>
      <c r="HMR58" s="148"/>
      <c r="HMS58" s="148"/>
      <c r="HMT58" s="148"/>
      <c r="HMU58" s="148"/>
      <c r="HMV58" s="148"/>
      <c r="HMW58" s="148"/>
      <c r="HMX58" s="148"/>
      <c r="HMY58" s="148"/>
      <c r="HMZ58" s="148"/>
      <c r="HNA58" s="148"/>
      <c r="HNB58" s="148"/>
      <c r="HNC58" s="148"/>
      <c r="HND58" s="148"/>
      <c r="HNE58" s="148"/>
      <c r="HNF58" s="148"/>
      <c r="HNG58" s="148"/>
      <c r="HNH58" s="148"/>
      <c r="HNI58" s="148"/>
      <c r="HNJ58" s="148"/>
      <c r="HNK58" s="148"/>
      <c r="HNL58" s="148"/>
      <c r="HNM58" s="148"/>
      <c r="HNN58" s="148"/>
      <c r="HNO58" s="148"/>
      <c r="HNP58" s="148"/>
      <c r="HNQ58" s="148"/>
      <c r="HNR58" s="148"/>
      <c r="HNS58" s="148"/>
      <c r="HNT58" s="148"/>
      <c r="HNU58" s="148"/>
      <c r="HNV58" s="148"/>
      <c r="HNW58" s="148"/>
      <c r="HNX58" s="148"/>
      <c r="HNY58" s="148"/>
      <c r="HNZ58" s="148"/>
      <c r="HOA58" s="148"/>
      <c r="HOB58" s="148"/>
      <c r="HOC58" s="148"/>
      <c r="HOD58" s="148"/>
      <c r="HOE58" s="148"/>
      <c r="HOF58" s="148"/>
      <c r="HOG58" s="148"/>
      <c r="HOH58" s="148"/>
      <c r="HOI58" s="148"/>
      <c r="HOJ58" s="148"/>
      <c r="HOK58" s="148"/>
      <c r="HOL58" s="148"/>
      <c r="HOM58" s="148"/>
      <c r="HON58" s="148"/>
      <c r="HOO58" s="148"/>
      <c r="HOP58" s="148"/>
      <c r="HOQ58" s="148"/>
      <c r="HOR58" s="148"/>
      <c r="HOS58" s="148"/>
      <c r="HOT58" s="148"/>
      <c r="HOU58" s="148"/>
      <c r="HOV58" s="148"/>
      <c r="HOW58" s="148"/>
      <c r="HOX58" s="148"/>
      <c r="HOY58" s="148"/>
      <c r="HOZ58" s="148"/>
      <c r="HPA58" s="148"/>
      <c r="HPB58" s="148"/>
      <c r="HPC58" s="148"/>
      <c r="HPD58" s="148"/>
      <c r="HPE58" s="148"/>
      <c r="HPF58" s="148"/>
      <c r="HPG58" s="148"/>
      <c r="HPH58" s="148"/>
      <c r="HPI58" s="148"/>
      <c r="HPJ58" s="148"/>
      <c r="HPK58" s="148"/>
      <c r="HPL58" s="148"/>
      <c r="HPM58" s="148"/>
      <c r="HPN58" s="148"/>
      <c r="HPO58" s="148"/>
      <c r="HPP58" s="148"/>
      <c r="HPQ58" s="148"/>
      <c r="HPR58" s="148"/>
      <c r="HPS58" s="148"/>
      <c r="HPT58" s="148"/>
      <c r="HPU58" s="148"/>
      <c r="HPV58" s="148"/>
      <c r="HPW58" s="148"/>
      <c r="HPX58" s="148"/>
      <c r="HPY58" s="148"/>
      <c r="HPZ58" s="148"/>
      <c r="HQA58" s="148"/>
      <c r="HQB58" s="148"/>
      <c r="HQC58" s="148"/>
      <c r="HQD58" s="148"/>
      <c r="HQE58" s="148"/>
      <c r="HQF58" s="148"/>
      <c r="HQG58" s="148"/>
      <c r="HQH58" s="148"/>
      <c r="HQI58" s="148"/>
      <c r="HQJ58" s="148"/>
      <c r="HQK58" s="148"/>
      <c r="HQL58" s="148"/>
      <c r="HQM58" s="148"/>
      <c r="HQN58" s="148"/>
      <c r="HQO58" s="148"/>
      <c r="HQP58" s="148"/>
      <c r="HQQ58" s="148"/>
      <c r="HQR58" s="148"/>
      <c r="HQS58" s="148"/>
      <c r="HQT58" s="148"/>
      <c r="HQU58" s="148"/>
      <c r="HQV58" s="148"/>
      <c r="HQW58" s="148"/>
      <c r="HQX58" s="148"/>
      <c r="HQY58" s="148"/>
      <c r="HQZ58" s="148"/>
      <c r="HRA58" s="148"/>
      <c r="HRB58" s="148"/>
      <c r="HRC58" s="148"/>
      <c r="HRD58" s="148"/>
      <c r="HRE58" s="148"/>
      <c r="HRF58" s="148"/>
      <c r="HRG58" s="148"/>
      <c r="HRH58" s="148"/>
      <c r="HRI58" s="148"/>
      <c r="HRJ58" s="148"/>
      <c r="HRK58" s="148"/>
      <c r="HRL58" s="148"/>
      <c r="HRM58" s="148"/>
      <c r="HRN58" s="148"/>
      <c r="HRO58" s="148"/>
      <c r="HRP58" s="148"/>
      <c r="HRQ58" s="148"/>
      <c r="HRR58" s="148"/>
      <c r="HRS58" s="148"/>
      <c r="HRT58" s="148"/>
      <c r="HRU58" s="148"/>
      <c r="HRV58" s="148"/>
      <c r="HRW58" s="148"/>
      <c r="HRX58" s="148"/>
      <c r="HRY58" s="148"/>
      <c r="HRZ58" s="148"/>
      <c r="HSA58" s="148"/>
      <c r="HSB58" s="148"/>
      <c r="HSC58" s="148"/>
      <c r="HSD58" s="148"/>
      <c r="HSE58" s="148"/>
      <c r="HSF58" s="148"/>
      <c r="HSG58" s="148"/>
      <c r="HSH58" s="148"/>
      <c r="HSI58" s="148"/>
      <c r="HSJ58" s="148"/>
      <c r="HSK58" s="148"/>
      <c r="HSL58" s="148"/>
      <c r="HSM58" s="148"/>
      <c r="HSN58" s="148"/>
      <c r="HSO58" s="148"/>
      <c r="HSP58" s="148"/>
      <c r="HSQ58" s="148"/>
      <c r="HSR58" s="148"/>
      <c r="HSS58" s="148"/>
      <c r="HST58" s="148"/>
      <c r="HSU58" s="148"/>
      <c r="HSV58" s="148"/>
      <c r="HSW58" s="148"/>
      <c r="HSX58" s="148"/>
      <c r="HSY58" s="148"/>
      <c r="HSZ58" s="148"/>
      <c r="HTA58" s="148"/>
      <c r="HTB58" s="148"/>
      <c r="HTC58" s="148"/>
      <c r="HTD58" s="148"/>
      <c r="HTE58" s="148"/>
      <c r="HTF58" s="148"/>
      <c r="HTG58" s="148"/>
      <c r="HTH58" s="148"/>
      <c r="HTI58" s="148"/>
      <c r="HTJ58" s="148"/>
      <c r="HTK58" s="148"/>
      <c r="HTL58" s="148"/>
      <c r="HTM58" s="148"/>
      <c r="HTN58" s="148"/>
      <c r="HTO58" s="148"/>
      <c r="HTP58" s="148"/>
      <c r="HTQ58" s="148"/>
      <c r="HTR58" s="148"/>
      <c r="HTS58" s="148"/>
      <c r="HTT58" s="148"/>
      <c r="HTU58" s="148"/>
      <c r="HTV58" s="148"/>
      <c r="HTW58" s="148"/>
      <c r="HTX58" s="148"/>
      <c r="HTY58" s="148"/>
      <c r="HTZ58" s="148"/>
      <c r="HUA58" s="148"/>
      <c r="HUB58" s="148"/>
      <c r="HUC58" s="148"/>
      <c r="HUD58" s="148"/>
      <c r="HUE58" s="148"/>
      <c r="HUF58" s="148"/>
      <c r="HUG58" s="148"/>
      <c r="HUH58" s="148"/>
      <c r="HUI58" s="148"/>
      <c r="HUJ58" s="148"/>
      <c r="HUK58" s="148"/>
      <c r="HUL58" s="148"/>
      <c r="HUM58" s="148"/>
      <c r="HUN58" s="148"/>
      <c r="HUO58" s="148"/>
      <c r="HUP58" s="148"/>
      <c r="HUQ58" s="148"/>
      <c r="HUR58" s="148"/>
      <c r="HUS58" s="148"/>
      <c r="HUT58" s="148"/>
      <c r="HUU58" s="148"/>
      <c r="HUV58" s="148"/>
      <c r="HUW58" s="148"/>
      <c r="HUX58" s="148"/>
      <c r="HUY58" s="148"/>
      <c r="HUZ58" s="148"/>
      <c r="HVA58" s="148"/>
      <c r="HVB58" s="148"/>
      <c r="HVC58" s="148"/>
      <c r="HVD58" s="148"/>
      <c r="HVE58" s="148"/>
      <c r="HVF58" s="148"/>
      <c r="HVG58" s="148"/>
      <c r="HVH58" s="148"/>
      <c r="HVI58" s="148"/>
      <c r="HVJ58" s="148"/>
      <c r="HVK58" s="148"/>
      <c r="HVL58" s="148"/>
      <c r="HVM58" s="148"/>
      <c r="HVN58" s="148"/>
      <c r="HVO58" s="148"/>
      <c r="HVP58" s="148"/>
      <c r="HVQ58" s="148"/>
      <c r="HVR58" s="148"/>
      <c r="HVS58" s="148"/>
      <c r="HVT58" s="148"/>
      <c r="HVU58" s="148"/>
      <c r="HVV58" s="148"/>
      <c r="HVW58" s="148"/>
      <c r="HVX58" s="148"/>
      <c r="HVY58" s="148"/>
      <c r="HVZ58" s="148"/>
      <c r="HWA58" s="148"/>
      <c r="HWB58" s="148"/>
      <c r="HWC58" s="148"/>
      <c r="HWD58" s="148"/>
      <c r="HWE58" s="148"/>
      <c r="HWF58" s="148"/>
      <c r="HWG58" s="148"/>
      <c r="HWH58" s="148"/>
      <c r="HWI58" s="148"/>
      <c r="HWJ58" s="148"/>
      <c r="HWK58" s="148"/>
      <c r="HWL58" s="148"/>
      <c r="HWM58" s="148"/>
      <c r="HWN58" s="148"/>
      <c r="HWO58" s="148"/>
      <c r="HWP58" s="148"/>
      <c r="HWQ58" s="148"/>
      <c r="HWR58" s="148"/>
      <c r="HWS58" s="148"/>
      <c r="HWT58" s="148"/>
      <c r="HWU58" s="148"/>
      <c r="HWV58" s="148"/>
      <c r="HWW58" s="148"/>
      <c r="HWX58" s="148"/>
      <c r="HWY58" s="148"/>
      <c r="HWZ58" s="148"/>
      <c r="HXA58" s="148"/>
      <c r="HXB58" s="148"/>
      <c r="HXC58" s="148"/>
      <c r="HXD58" s="148"/>
      <c r="HXE58" s="148"/>
      <c r="HXF58" s="148"/>
      <c r="HXG58" s="148"/>
      <c r="HXH58" s="148"/>
      <c r="HXI58" s="148"/>
      <c r="HXJ58" s="148"/>
      <c r="HXK58" s="148"/>
      <c r="HXL58" s="148"/>
      <c r="HXM58" s="148"/>
      <c r="HXN58" s="148"/>
      <c r="HXO58" s="148"/>
      <c r="HXP58" s="148"/>
      <c r="HXQ58" s="148"/>
      <c r="HXR58" s="148"/>
      <c r="HXS58" s="148"/>
      <c r="HXT58" s="148"/>
      <c r="HXU58" s="148"/>
      <c r="HXV58" s="148"/>
      <c r="HXW58" s="148"/>
      <c r="HXX58" s="148"/>
      <c r="HXY58" s="148"/>
      <c r="HXZ58" s="148"/>
      <c r="HYA58" s="148"/>
      <c r="HYB58" s="148"/>
      <c r="HYC58" s="148"/>
      <c r="HYD58" s="148"/>
      <c r="HYE58" s="148"/>
      <c r="HYF58" s="148"/>
      <c r="HYG58" s="148"/>
      <c r="HYH58" s="148"/>
      <c r="HYI58" s="148"/>
      <c r="HYJ58" s="148"/>
      <c r="HYK58" s="148"/>
      <c r="HYL58" s="148"/>
      <c r="HYM58" s="148"/>
      <c r="HYN58" s="148"/>
      <c r="HYO58" s="148"/>
      <c r="HYP58" s="148"/>
      <c r="HYQ58" s="148"/>
      <c r="HYR58" s="148"/>
      <c r="HYS58" s="148"/>
      <c r="HYT58" s="148"/>
      <c r="HYU58" s="148"/>
      <c r="HYV58" s="148"/>
      <c r="HYW58" s="148"/>
      <c r="HYX58" s="148"/>
      <c r="HYY58" s="148"/>
      <c r="HYZ58" s="148"/>
      <c r="HZA58" s="148"/>
      <c r="HZB58" s="148"/>
      <c r="HZC58" s="148"/>
      <c r="HZD58" s="148"/>
      <c r="HZE58" s="148"/>
      <c r="HZF58" s="148"/>
      <c r="HZG58" s="148"/>
      <c r="HZH58" s="148"/>
      <c r="HZI58" s="148"/>
      <c r="HZJ58" s="148"/>
      <c r="HZK58" s="148"/>
      <c r="HZL58" s="148"/>
      <c r="HZM58" s="148"/>
      <c r="HZN58" s="148"/>
      <c r="HZO58" s="148"/>
      <c r="HZP58" s="148"/>
      <c r="HZQ58" s="148"/>
      <c r="HZR58" s="148"/>
      <c r="HZS58" s="148"/>
      <c r="HZT58" s="148"/>
      <c r="HZU58" s="148"/>
      <c r="HZV58" s="148"/>
      <c r="HZW58" s="148"/>
      <c r="HZX58" s="148"/>
      <c r="HZY58" s="148"/>
      <c r="HZZ58" s="148"/>
      <c r="IAA58" s="148"/>
      <c r="IAB58" s="148"/>
      <c r="IAC58" s="148"/>
      <c r="IAD58" s="148"/>
      <c r="IAE58" s="148"/>
      <c r="IAF58" s="148"/>
      <c r="IAG58" s="148"/>
      <c r="IAH58" s="148"/>
      <c r="IAI58" s="148"/>
      <c r="IAJ58" s="148"/>
      <c r="IAK58" s="148"/>
      <c r="IAL58" s="148"/>
      <c r="IAM58" s="148"/>
      <c r="IAN58" s="148"/>
      <c r="IAO58" s="148"/>
      <c r="IAP58" s="148"/>
      <c r="IAQ58" s="148"/>
      <c r="IAR58" s="148"/>
      <c r="IAS58" s="148"/>
      <c r="IAT58" s="148"/>
      <c r="IAU58" s="148"/>
      <c r="IAV58" s="148"/>
      <c r="IAW58" s="148"/>
      <c r="IAX58" s="148"/>
      <c r="IAY58" s="148"/>
      <c r="IAZ58" s="148"/>
      <c r="IBA58" s="148"/>
      <c r="IBB58" s="148"/>
      <c r="IBC58" s="148"/>
      <c r="IBD58" s="148"/>
      <c r="IBE58" s="148"/>
      <c r="IBF58" s="148"/>
      <c r="IBG58" s="148"/>
      <c r="IBH58" s="148"/>
      <c r="IBI58" s="148"/>
      <c r="IBJ58" s="148"/>
      <c r="IBK58" s="148"/>
      <c r="IBL58" s="148"/>
      <c r="IBM58" s="148"/>
      <c r="IBN58" s="148"/>
      <c r="IBO58" s="148"/>
      <c r="IBP58" s="148"/>
      <c r="IBQ58" s="148"/>
      <c r="IBR58" s="148"/>
      <c r="IBS58" s="148"/>
      <c r="IBT58" s="148"/>
      <c r="IBU58" s="148"/>
      <c r="IBV58" s="148"/>
      <c r="IBW58" s="148"/>
      <c r="IBX58" s="148"/>
      <c r="IBY58" s="148"/>
      <c r="IBZ58" s="148"/>
      <c r="ICA58" s="148"/>
      <c r="ICB58" s="148"/>
      <c r="ICC58" s="148"/>
      <c r="ICD58" s="148"/>
      <c r="ICE58" s="148"/>
      <c r="ICF58" s="148"/>
      <c r="ICG58" s="148"/>
      <c r="ICH58" s="148"/>
      <c r="ICI58" s="148"/>
      <c r="ICJ58" s="148"/>
      <c r="ICK58" s="148"/>
      <c r="ICL58" s="148"/>
      <c r="ICM58" s="148"/>
      <c r="ICN58" s="148"/>
      <c r="ICO58" s="148"/>
      <c r="ICP58" s="148"/>
      <c r="ICQ58" s="148"/>
      <c r="ICR58" s="148"/>
      <c r="ICS58" s="148"/>
      <c r="ICT58" s="148"/>
      <c r="ICU58" s="148"/>
      <c r="ICV58" s="148"/>
      <c r="ICW58" s="148"/>
      <c r="ICX58" s="148"/>
      <c r="ICY58" s="148"/>
      <c r="ICZ58" s="148"/>
      <c r="IDA58" s="148"/>
      <c r="IDB58" s="148"/>
      <c r="IDC58" s="148"/>
      <c r="IDD58" s="148"/>
      <c r="IDE58" s="148"/>
      <c r="IDF58" s="148"/>
      <c r="IDG58" s="148"/>
      <c r="IDH58" s="148"/>
      <c r="IDI58" s="148"/>
      <c r="IDJ58" s="148"/>
      <c r="IDK58" s="148"/>
      <c r="IDL58" s="148"/>
      <c r="IDM58" s="148"/>
      <c r="IDN58" s="148"/>
      <c r="IDO58" s="148"/>
      <c r="IDP58" s="148"/>
      <c r="IDQ58" s="148"/>
      <c r="IDR58" s="148"/>
      <c r="IDS58" s="148"/>
      <c r="IDT58" s="148"/>
      <c r="IDU58" s="148"/>
      <c r="IDV58" s="148"/>
      <c r="IDW58" s="148"/>
      <c r="IDX58" s="148"/>
      <c r="IDY58" s="148"/>
      <c r="IDZ58" s="148"/>
      <c r="IEA58" s="148"/>
      <c r="IEB58" s="148"/>
      <c r="IEC58" s="148"/>
      <c r="IED58" s="148"/>
      <c r="IEE58" s="148"/>
      <c r="IEF58" s="148"/>
      <c r="IEG58" s="148"/>
      <c r="IEH58" s="148"/>
      <c r="IEI58" s="148"/>
      <c r="IEJ58" s="148"/>
      <c r="IEK58" s="148"/>
      <c r="IEL58" s="148"/>
      <c r="IEM58" s="148"/>
      <c r="IEN58" s="148"/>
      <c r="IEO58" s="148"/>
      <c r="IEP58" s="148"/>
      <c r="IEQ58" s="148"/>
      <c r="IER58" s="148"/>
      <c r="IES58" s="148"/>
      <c r="IET58" s="148"/>
      <c r="IEU58" s="148"/>
      <c r="IEV58" s="148"/>
      <c r="IEW58" s="148"/>
      <c r="IEX58" s="148"/>
      <c r="IEY58" s="148"/>
      <c r="IEZ58" s="148"/>
      <c r="IFA58" s="148"/>
      <c r="IFB58" s="148"/>
      <c r="IFC58" s="148"/>
      <c r="IFD58" s="148"/>
      <c r="IFE58" s="148"/>
      <c r="IFF58" s="148"/>
      <c r="IFG58" s="148"/>
      <c r="IFH58" s="148"/>
      <c r="IFI58" s="148"/>
      <c r="IFJ58" s="148"/>
      <c r="IFK58" s="148"/>
      <c r="IFL58" s="148"/>
      <c r="IFM58" s="148"/>
      <c r="IFN58" s="148"/>
      <c r="IFO58" s="148"/>
      <c r="IFP58" s="148"/>
      <c r="IFQ58" s="148"/>
      <c r="IFR58" s="148"/>
      <c r="IFS58" s="148"/>
      <c r="IFT58" s="148"/>
      <c r="IFU58" s="148"/>
      <c r="IFV58" s="148"/>
      <c r="IFW58" s="148"/>
      <c r="IFX58" s="148"/>
      <c r="IFY58" s="148"/>
      <c r="IFZ58" s="148"/>
      <c r="IGA58" s="148"/>
      <c r="IGB58" s="148"/>
      <c r="IGC58" s="148"/>
      <c r="IGD58" s="148"/>
      <c r="IGE58" s="148"/>
      <c r="IGF58" s="148"/>
      <c r="IGG58" s="148"/>
      <c r="IGH58" s="148"/>
      <c r="IGI58" s="148"/>
      <c r="IGJ58" s="148"/>
      <c r="IGK58" s="148"/>
      <c r="IGL58" s="148"/>
      <c r="IGM58" s="148"/>
      <c r="IGN58" s="148"/>
      <c r="IGO58" s="148"/>
      <c r="IGP58" s="148"/>
      <c r="IGQ58" s="148"/>
      <c r="IGR58" s="148"/>
      <c r="IGS58" s="148"/>
      <c r="IGT58" s="148"/>
      <c r="IGU58" s="148"/>
      <c r="IGV58" s="148"/>
      <c r="IGW58" s="148"/>
      <c r="IGX58" s="148"/>
      <c r="IGY58" s="148"/>
      <c r="IGZ58" s="148"/>
      <c r="IHA58" s="148"/>
      <c r="IHB58" s="148"/>
      <c r="IHC58" s="148"/>
      <c r="IHD58" s="148"/>
      <c r="IHE58" s="148"/>
      <c r="IHF58" s="148"/>
      <c r="IHG58" s="148"/>
      <c r="IHH58" s="148"/>
      <c r="IHI58" s="148"/>
      <c r="IHJ58" s="148"/>
      <c r="IHK58" s="148"/>
      <c r="IHL58" s="148"/>
      <c r="IHM58" s="148"/>
      <c r="IHN58" s="148"/>
      <c r="IHO58" s="148"/>
      <c r="IHP58" s="148"/>
      <c r="IHQ58" s="148"/>
      <c r="IHR58" s="148"/>
      <c r="IHS58" s="148"/>
      <c r="IHT58" s="148"/>
      <c r="IHU58" s="148"/>
      <c r="IHV58" s="148"/>
      <c r="IHW58" s="148"/>
      <c r="IHX58" s="148"/>
      <c r="IHY58" s="148"/>
      <c r="IHZ58" s="148"/>
      <c r="IIA58" s="148"/>
      <c r="IIB58" s="148"/>
      <c r="IIC58" s="148"/>
      <c r="IID58" s="148"/>
      <c r="IIE58" s="148"/>
      <c r="IIF58" s="148"/>
      <c r="IIG58" s="148"/>
      <c r="IIH58" s="148"/>
      <c r="III58" s="148"/>
      <c r="IIJ58" s="148"/>
      <c r="IIK58" s="148"/>
      <c r="IIL58" s="148"/>
      <c r="IIM58" s="148"/>
      <c r="IIN58" s="148"/>
      <c r="IIO58" s="148"/>
      <c r="IIP58" s="148"/>
      <c r="IIQ58" s="148"/>
      <c r="IIR58" s="148"/>
      <c r="IIS58" s="148"/>
      <c r="IIT58" s="148"/>
      <c r="IIU58" s="148"/>
      <c r="IIV58" s="148"/>
      <c r="IIW58" s="148"/>
      <c r="IIX58" s="148"/>
      <c r="IIY58" s="148"/>
      <c r="IIZ58" s="148"/>
      <c r="IJA58" s="148"/>
      <c r="IJB58" s="148"/>
      <c r="IJC58" s="148"/>
      <c r="IJD58" s="148"/>
      <c r="IJE58" s="148"/>
      <c r="IJF58" s="148"/>
      <c r="IJG58" s="148"/>
      <c r="IJH58" s="148"/>
      <c r="IJI58" s="148"/>
      <c r="IJJ58" s="148"/>
      <c r="IJK58" s="148"/>
      <c r="IJL58" s="148"/>
      <c r="IJM58" s="148"/>
      <c r="IJN58" s="148"/>
      <c r="IJO58" s="148"/>
      <c r="IJP58" s="148"/>
      <c r="IJQ58" s="148"/>
      <c r="IJR58" s="148"/>
      <c r="IJS58" s="148"/>
      <c r="IJT58" s="148"/>
      <c r="IJU58" s="148"/>
      <c r="IJV58" s="148"/>
      <c r="IJW58" s="148"/>
      <c r="IJX58" s="148"/>
      <c r="IJY58" s="148"/>
      <c r="IJZ58" s="148"/>
      <c r="IKA58" s="148"/>
      <c r="IKB58" s="148"/>
      <c r="IKC58" s="148"/>
      <c r="IKD58" s="148"/>
      <c r="IKE58" s="148"/>
      <c r="IKF58" s="148"/>
      <c r="IKG58" s="148"/>
      <c r="IKH58" s="148"/>
      <c r="IKI58" s="148"/>
      <c r="IKJ58" s="148"/>
      <c r="IKK58" s="148"/>
      <c r="IKL58" s="148"/>
      <c r="IKM58" s="148"/>
      <c r="IKN58" s="148"/>
      <c r="IKO58" s="148"/>
      <c r="IKP58" s="148"/>
      <c r="IKQ58" s="148"/>
      <c r="IKR58" s="148"/>
      <c r="IKS58" s="148"/>
      <c r="IKT58" s="148"/>
      <c r="IKU58" s="148"/>
      <c r="IKV58" s="148"/>
      <c r="IKW58" s="148"/>
      <c r="IKX58" s="148"/>
      <c r="IKY58" s="148"/>
      <c r="IKZ58" s="148"/>
      <c r="ILA58" s="148"/>
      <c r="ILB58" s="148"/>
      <c r="ILC58" s="148"/>
      <c r="ILD58" s="148"/>
      <c r="ILE58" s="148"/>
      <c r="ILF58" s="148"/>
      <c r="ILG58" s="148"/>
      <c r="ILH58" s="148"/>
      <c r="ILI58" s="148"/>
      <c r="ILJ58" s="148"/>
      <c r="ILK58" s="148"/>
      <c r="ILL58" s="148"/>
      <c r="ILM58" s="148"/>
      <c r="ILN58" s="148"/>
      <c r="ILO58" s="148"/>
      <c r="ILP58" s="148"/>
      <c r="ILQ58" s="148"/>
      <c r="ILR58" s="148"/>
      <c r="ILS58" s="148"/>
      <c r="ILT58" s="148"/>
      <c r="ILU58" s="148"/>
      <c r="ILV58" s="148"/>
      <c r="ILW58" s="148"/>
      <c r="ILX58" s="148"/>
      <c r="ILY58" s="148"/>
      <c r="ILZ58" s="148"/>
      <c r="IMA58" s="148"/>
      <c r="IMB58" s="148"/>
      <c r="IMC58" s="148"/>
      <c r="IMD58" s="148"/>
      <c r="IME58" s="148"/>
      <c r="IMF58" s="148"/>
      <c r="IMG58" s="148"/>
      <c r="IMH58" s="148"/>
      <c r="IMI58" s="148"/>
      <c r="IMJ58" s="148"/>
      <c r="IMK58" s="148"/>
      <c r="IML58" s="148"/>
      <c r="IMM58" s="148"/>
      <c r="IMN58" s="148"/>
      <c r="IMO58" s="148"/>
      <c r="IMP58" s="148"/>
      <c r="IMQ58" s="148"/>
      <c r="IMR58" s="148"/>
      <c r="IMS58" s="148"/>
      <c r="IMT58" s="148"/>
      <c r="IMU58" s="148"/>
      <c r="IMV58" s="148"/>
      <c r="IMW58" s="148"/>
      <c r="IMX58" s="148"/>
      <c r="IMY58" s="148"/>
      <c r="IMZ58" s="148"/>
      <c r="INA58" s="148"/>
      <c r="INB58" s="148"/>
      <c r="INC58" s="148"/>
      <c r="IND58" s="148"/>
      <c r="INE58" s="148"/>
      <c r="INF58" s="148"/>
      <c r="ING58" s="148"/>
      <c r="INH58" s="148"/>
      <c r="INI58" s="148"/>
      <c r="INJ58" s="148"/>
      <c r="INK58" s="148"/>
      <c r="INL58" s="148"/>
      <c r="INM58" s="148"/>
      <c r="INN58" s="148"/>
      <c r="INO58" s="148"/>
      <c r="INP58" s="148"/>
      <c r="INQ58" s="148"/>
      <c r="INR58" s="148"/>
      <c r="INS58" s="148"/>
      <c r="INT58" s="148"/>
      <c r="INU58" s="148"/>
      <c r="INV58" s="148"/>
      <c r="INW58" s="148"/>
      <c r="INX58" s="148"/>
      <c r="INY58" s="148"/>
      <c r="INZ58" s="148"/>
      <c r="IOA58" s="148"/>
      <c r="IOB58" s="148"/>
      <c r="IOC58" s="148"/>
      <c r="IOD58" s="148"/>
      <c r="IOE58" s="148"/>
      <c r="IOF58" s="148"/>
      <c r="IOG58" s="148"/>
      <c r="IOH58" s="148"/>
      <c r="IOI58" s="148"/>
      <c r="IOJ58" s="148"/>
      <c r="IOK58" s="148"/>
      <c r="IOL58" s="148"/>
      <c r="IOM58" s="148"/>
      <c r="ION58" s="148"/>
      <c r="IOO58" s="148"/>
      <c r="IOP58" s="148"/>
      <c r="IOQ58" s="148"/>
      <c r="IOR58" s="148"/>
      <c r="IOS58" s="148"/>
      <c r="IOT58" s="148"/>
      <c r="IOU58" s="148"/>
      <c r="IOV58" s="148"/>
      <c r="IOW58" s="148"/>
      <c r="IOX58" s="148"/>
      <c r="IOY58" s="148"/>
      <c r="IOZ58" s="148"/>
      <c r="IPA58" s="148"/>
      <c r="IPB58" s="148"/>
      <c r="IPC58" s="148"/>
      <c r="IPD58" s="148"/>
      <c r="IPE58" s="148"/>
      <c r="IPF58" s="148"/>
      <c r="IPG58" s="148"/>
      <c r="IPH58" s="148"/>
      <c r="IPI58" s="148"/>
      <c r="IPJ58" s="148"/>
      <c r="IPK58" s="148"/>
      <c r="IPL58" s="148"/>
      <c r="IPM58" s="148"/>
      <c r="IPN58" s="148"/>
      <c r="IPO58" s="148"/>
      <c r="IPP58" s="148"/>
      <c r="IPQ58" s="148"/>
      <c r="IPR58" s="148"/>
      <c r="IPS58" s="148"/>
      <c r="IPT58" s="148"/>
      <c r="IPU58" s="148"/>
      <c r="IPV58" s="148"/>
      <c r="IPW58" s="148"/>
      <c r="IPX58" s="148"/>
      <c r="IPY58" s="148"/>
      <c r="IPZ58" s="148"/>
      <c r="IQA58" s="148"/>
      <c r="IQB58" s="148"/>
      <c r="IQC58" s="148"/>
      <c r="IQD58" s="148"/>
      <c r="IQE58" s="148"/>
      <c r="IQF58" s="148"/>
      <c r="IQG58" s="148"/>
      <c r="IQH58" s="148"/>
      <c r="IQI58" s="148"/>
      <c r="IQJ58" s="148"/>
      <c r="IQK58" s="148"/>
      <c r="IQL58" s="148"/>
      <c r="IQM58" s="148"/>
      <c r="IQN58" s="148"/>
      <c r="IQO58" s="148"/>
      <c r="IQP58" s="148"/>
      <c r="IQQ58" s="148"/>
      <c r="IQR58" s="148"/>
      <c r="IQS58" s="148"/>
      <c r="IQT58" s="148"/>
      <c r="IQU58" s="148"/>
      <c r="IQV58" s="148"/>
      <c r="IQW58" s="148"/>
      <c r="IQX58" s="148"/>
      <c r="IQY58" s="148"/>
      <c r="IQZ58" s="148"/>
      <c r="IRA58" s="148"/>
      <c r="IRB58" s="148"/>
      <c r="IRC58" s="148"/>
      <c r="IRD58" s="148"/>
      <c r="IRE58" s="148"/>
      <c r="IRF58" s="148"/>
      <c r="IRG58" s="148"/>
      <c r="IRH58" s="148"/>
      <c r="IRI58" s="148"/>
      <c r="IRJ58" s="148"/>
      <c r="IRK58" s="148"/>
      <c r="IRL58" s="148"/>
      <c r="IRM58" s="148"/>
      <c r="IRN58" s="148"/>
      <c r="IRO58" s="148"/>
      <c r="IRP58" s="148"/>
      <c r="IRQ58" s="148"/>
      <c r="IRR58" s="148"/>
      <c r="IRS58" s="148"/>
      <c r="IRT58" s="148"/>
      <c r="IRU58" s="148"/>
      <c r="IRV58" s="148"/>
      <c r="IRW58" s="148"/>
      <c r="IRX58" s="148"/>
      <c r="IRY58" s="148"/>
      <c r="IRZ58" s="148"/>
      <c r="ISA58" s="148"/>
      <c r="ISB58" s="148"/>
      <c r="ISC58" s="148"/>
      <c r="ISD58" s="148"/>
      <c r="ISE58" s="148"/>
      <c r="ISF58" s="148"/>
      <c r="ISG58" s="148"/>
      <c r="ISH58" s="148"/>
      <c r="ISI58" s="148"/>
      <c r="ISJ58" s="148"/>
      <c r="ISK58" s="148"/>
      <c r="ISL58" s="148"/>
      <c r="ISM58" s="148"/>
      <c r="ISN58" s="148"/>
      <c r="ISO58" s="148"/>
      <c r="ISP58" s="148"/>
      <c r="ISQ58" s="148"/>
      <c r="ISR58" s="148"/>
      <c r="ISS58" s="148"/>
      <c r="IST58" s="148"/>
      <c r="ISU58" s="148"/>
      <c r="ISV58" s="148"/>
      <c r="ISW58" s="148"/>
      <c r="ISX58" s="148"/>
      <c r="ISY58" s="148"/>
      <c r="ISZ58" s="148"/>
      <c r="ITA58" s="148"/>
      <c r="ITB58" s="148"/>
      <c r="ITC58" s="148"/>
      <c r="ITD58" s="148"/>
      <c r="ITE58" s="148"/>
      <c r="ITF58" s="148"/>
      <c r="ITG58" s="148"/>
      <c r="ITH58" s="148"/>
      <c r="ITI58" s="148"/>
      <c r="ITJ58" s="148"/>
      <c r="ITK58" s="148"/>
      <c r="ITL58" s="148"/>
      <c r="ITM58" s="148"/>
      <c r="ITN58" s="148"/>
      <c r="ITO58" s="148"/>
      <c r="ITP58" s="148"/>
      <c r="ITQ58" s="148"/>
      <c r="ITR58" s="148"/>
      <c r="ITS58" s="148"/>
      <c r="ITT58" s="148"/>
      <c r="ITU58" s="148"/>
      <c r="ITV58" s="148"/>
      <c r="ITW58" s="148"/>
      <c r="ITX58" s="148"/>
      <c r="ITY58" s="148"/>
      <c r="ITZ58" s="148"/>
      <c r="IUA58" s="148"/>
      <c r="IUB58" s="148"/>
      <c r="IUC58" s="148"/>
      <c r="IUD58" s="148"/>
      <c r="IUE58" s="148"/>
      <c r="IUF58" s="148"/>
      <c r="IUG58" s="148"/>
      <c r="IUH58" s="148"/>
      <c r="IUI58" s="148"/>
      <c r="IUJ58" s="148"/>
      <c r="IUK58" s="148"/>
      <c r="IUL58" s="148"/>
      <c r="IUM58" s="148"/>
      <c r="IUN58" s="148"/>
      <c r="IUO58" s="148"/>
      <c r="IUP58" s="148"/>
      <c r="IUQ58" s="148"/>
      <c r="IUR58" s="148"/>
      <c r="IUS58" s="148"/>
      <c r="IUT58" s="148"/>
      <c r="IUU58" s="148"/>
      <c r="IUV58" s="148"/>
      <c r="IUW58" s="148"/>
      <c r="IUX58" s="148"/>
      <c r="IUY58" s="148"/>
      <c r="IUZ58" s="148"/>
      <c r="IVA58" s="148"/>
      <c r="IVB58" s="148"/>
      <c r="IVC58" s="148"/>
      <c r="IVD58" s="148"/>
      <c r="IVE58" s="148"/>
      <c r="IVF58" s="148"/>
      <c r="IVG58" s="148"/>
      <c r="IVH58" s="148"/>
      <c r="IVI58" s="148"/>
      <c r="IVJ58" s="148"/>
      <c r="IVK58" s="148"/>
      <c r="IVL58" s="148"/>
      <c r="IVM58" s="148"/>
      <c r="IVN58" s="148"/>
      <c r="IVO58" s="148"/>
      <c r="IVP58" s="148"/>
      <c r="IVQ58" s="148"/>
      <c r="IVR58" s="148"/>
      <c r="IVS58" s="148"/>
      <c r="IVT58" s="148"/>
      <c r="IVU58" s="148"/>
      <c r="IVV58" s="148"/>
      <c r="IVW58" s="148"/>
      <c r="IVX58" s="148"/>
      <c r="IVY58" s="148"/>
      <c r="IVZ58" s="148"/>
      <c r="IWA58" s="148"/>
      <c r="IWB58" s="148"/>
      <c r="IWC58" s="148"/>
      <c r="IWD58" s="148"/>
      <c r="IWE58" s="148"/>
      <c r="IWF58" s="148"/>
      <c r="IWG58" s="148"/>
      <c r="IWH58" s="148"/>
      <c r="IWI58" s="148"/>
      <c r="IWJ58" s="148"/>
      <c r="IWK58" s="148"/>
      <c r="IWL58" s="148"/>
      <c r="IWM58" s="148"/>
      <c r="IWN58" s="148"/>
      <c r="IWO58" s="148"/>
      <c r="IWP58" s="148"/>
      <c r="IWQ58" s="148"/>
      <c r="IWR58" s="148"/>
      <c r="IWS58" s="148"/>
      <c r="IWT58" s="148"/>
      <c r="IWU58" s="148"/>
      <c r="IWV58" s="148"/>
      <c r="IWW58" s="148"/>
      <c r="IWX58" s="148"/>
      <c r="IWY58" s="148"/>
      <c r="IWZ58" s="148"/>
      <c r="IXA58" s="148"/>
      <c r="IXB58" s="148"/>
      <c r="IXC58" s="148"/>
      <c r="IXD58" s="148"/>
      <c r="IXE58" s="148"/>
      <c r="IXF58" s="148"/>
      <c r="IXG58" s="148"/>
      <c r="IXH58" s="148"/>
      <c r="IXI58" s="148"/>
      <c r="IXJ58" s="148"/>
      <c r="IXK58" s="148"/>
      <c r="IXL58" s="148"/>
      <c r="IXM58" s="148"/>
      <c r="IXN58" s="148"/>
      <c r="IXO58" s="148"/>
      <c r="IXP58" s="148"/>
      <c r="IXQ58" s="148"/>
      <c r="IXR58" s="148"/>
      <c r="IXS58" s="148"/>
      <c r="IXT58" s="148"/>
      <c r="IXU58" s="148"/>
      <c r="IXV58" s="148"/>
      <c r="IXW58" s="148"/>
      <c r="IXX58" s="148"/>
      <c r="IXY58" s="148"/>
      <c r="IXZ58" s="148"/>
      <c r="IYA58" s="148"/>
      <c r="IYB58" s="148"/>
      <c r="IYC58" s="148"/>
      <c r="IYD58" s="148"/>
      <c r="IYE58" s="148"/>
      <c r="IYF58" s="148"/>
      <c r="IYG58" s="148"/>
      <c r="IYH58" s="148"/>
      <c r="IYI58" s="148"/>
      <c r="IYJ58" s="148"/>
      <c r="IYK58" s="148"/>
      <c r="IYL58" s="148"/>
      <c r="IYM58" s="148"/>
      <c r="IYN58" s="148"/>
      <c r="IYO58" s="148"/>
      <c r="IYP58" s="148"/>
      <c r="IYQ58" s="148"/>
      <c r="IYR58" s="148"/>
      <c r="IYS58" s="148"/>
      <c r="IYT58" s="148"/>
      <c r="IYU58" s="148"/>
      <c r="IYV58" s="148"/>
      <c r="IYW58" s="148"/>
      <c r="IYX58" s="148"/>
      <c r="IYY58" s="148"/>
      <c r="IYZ58" s="148"/>
      <c r="IZA58" s="148"/>
      <c r="IZB58" s="148"/>
      <c r="IZC58" s="148"/>
      <c r="IZD58" s="148"/>
      <c r="IZE58" s="148"/>
      <c r="IZF58" s="148"/>
      <c r="IZG58" s="148"/>
      <c r="IZH58" s="148"/>
      <c r="IZI58" s="148"/>
      <c r="IZJ58" s="148"/>
      <c r="IZK58" s="148"/>
      <c r="IZL58" s="148"/>
      <c r="IZM58" s="148"/>
      <c r="IZN58" s="148"/>
      <c r="IZO58" s="148"/>
      <c r="IZP58" s="148"/>
      <c r="IZQ58" s="148"/>
      <c r="IZR58" s="148"/>
      <c r="IZS58" s="148"/>
      <c r="IZT58" s="148"/>
      <c r="IZU58" s="148"/>
      <c r="IZV58" s="148"/>
      <c r="IZW58" s="148"/>
      <c r="IZX58" s="148"/>
      <c r="IZY58" s="148"/>
      <c r="IZZ58" s="148"/>
      <c r="JAA58" s="148"/>
      <c r="JAB58" s="148"/>
      <c r="JAC58" s="148"/>
      <c r="JAD58" s="148"/>
      <c r="JAE58" s="148"/>
      <c r="JAF58" s="148"/>
      <c r="JAG58" s="148"/>
      <c r="JAH58" s="148"/>
      <c r="JAI58" s="148"/>
      <c r="JAJ58" s="148"/>
      <c r="JAK58" s="148"/>
      <c r="JAL58" s="148"/>
      <c r="JAM58" s="148"/>
      <c r="JAN58" s="148"/>
      <c r="JAO58" s="148"/>
      <c r="JAP58" s="148"/>
      <c r="JAQ58" s="148"/>
      <c r="JAR58" s="148"/>
      <c r="JAS58" s="148"/>
      <c r="JAT58" s="148"/>
      <c r="JAU58" s="148"/>
      <c r="JAV58" s="148"/>
      <c r="JAW58" s="148"/>
      <c r="JAX58" s="148"/>
      <c r="JAY58" s="148"/>
      <c r="JAZ58" s="148"/>
      <c r="JBA58" s="148"/>
      <c r="JBB58" s="148"/>
      <c r="JBC58" s="148"/>
      <c r="JBD58" s="148"/>
      <c r="JBE58" s="148"/>
      <c r="JBF58" s="148"/>
      <c r="JBG58" s="148"/>
      <c r="JBH58" s="148"/>
      <c r="JBI58" s="148"/>
      <c r="JBJ58" s="148"/>
      <c r="JBK58" s="148"/>
      <c r="JBL58" s="148"/>
      <c r="JBM58" s="148"/>
      <c r="JBN58" s="148"/>
      <c r="JBO58" s="148"/>
      <c r="JBP58" s="148"/>
      <c r="JBQ58" s="148"/>
      <c r="JBR58" s="148"/>
      <c r="JBS58" s="148"/>
      <c r="JBT58" s="148"/>
      <c r="JBU58" s="148"/>
      <c r="JBV58" s="148"/>
      <c r="JBW58" s="148"/>
      <c r="JBX58" s="148"/>
      <c r="JBY58" s="148"/>
      <c r="JBZ58" s="148"/>
      <c r="JCA58" s="148"/>
      <c r="JCB58" s="148"/>
      <c r="JCC58" s="148"/>
      <c r="JCD58" s="148"/>
      <c r="JCE58" s="148"/>
      <c r="JCF58" s="148"/>
      <c r="JCG58" s="148"/>
      <c r="JCH58" s="148"/>
      <c r="JCI58" s="148"/>
      <c r="JCJ58" s="148"/>
      <c r="JCK58" s="148"/>
      <c r="JCL58" s="148"/>
      <c r="JCM58" s="148"/>
      <c r="JCN58" s="148"/>
      <c r="JCO58" s="148"/>
      <c r="JCP58" s="148"/>
      <c r="JCQ58" s="148"/>
      <c r="JCR58" s="148"/>
      <c r="JCS58" s="148"/>
      <c r="JCT58" s="148"/>
      <c r="JCU58" s="148"/>
      <c r="JCV58" s="148"/>
      <c r="JCW58" s="148"/>
      <c r="JCX58" s="148"/>
      <c r="JCY58" s="148"/>
      <c r="JCZ58" s="148"/>
      <c r="JDA58" s="148"/>
      <c r="JDB58" s="148"/>
      <c r="JDC58" s="148"/>
      <c r="JDD58" s="148"/>
      <c r="JDE58" s="148"/>
      <c r="JDF58" s="148"/>
      <c r="JDG58" s="148"/>
      <c r="JDH58" s="148"/>
      <c r="JDI58" s="148"/>
      <c r="JDJ58" s="148"/>
      <c r="JDK58" s="148"/>
      <c r="JDL58" s="148"/>
      <c r="JDM58" s="148"/>
      <c r="JDN58" s="148"/>
      <c r="JDO58" s="148"/>
      <c r="JDP58" s="148"/>
      <c r="JDQ58" s="148"/>
      <c r="JDR58" s="148"/>
      <c r="JDS58" s="148"/>
      <c r="JDT58" s="148"/>
      <c r="JDU58" s="148"/>
      <c r="JDV58" s="148"/>
      <c r="JDW58" s="148"/>
      <c r="JDX58" s="148"/>
      <c r="JDY58" s="148"/>
      <c r="JDZ58" s="148"/>
      <c r="JEA58" s="148"/>
      <c r="JEB58" s="148"/>
      <c r="JEC58" s="148"/>
      <c r="JED58" s="148"/>
      <c r="JEE58" s="148"/>
      <c r="JEF58" s="148"/>
      <c r="JEG58" s="148"/>
      <c r="JEH58" s="148"/>
      <c r="JEI58" s="148"/>
      <c r="JEJ58" s="148"/>
      <c r="JEK58" s="148"/>
      <c r="JEL58" s="148"/>
      <c r="JEM58" s="148"/>
      <c r="JEN58" s="148"/>
      <c r="JEO58" s="148"/>
      <c r="JEP58" s="148"/>
      <c r="JEQ58" s="148"/>
      <c r="JER58" s="148"/>
      <c r="JES58" s="148"/>
      <c r="JET58" s="148"/>
      <c r="JEU58" s="148"/>
      <c r="JEV58" s="148"/>
      <c r="JEW58" s="148"/>
      <c r="JEX58" s="148"/>
      <c r="JEY58" s="148"/>
      <c r="JEZ58" s="148"/>
      <c r="JFA58" s="148"/>
      <c r="JFB58" s="148"/>
      <c r="JFC58" s="148"/>
      <c r="JFD58" s="148"/>
      <c r="JFE58" s="148"/>
      <c r="JFF58" s="148"/>
      <c r="JFG58" s="148"/>
      <c r="JFH58" s="148"/>
      <c r="JFI58" s="148"/>
      <c r="JFJ58" s="148"/>
      <c r="JFK58" s="148"/>
      <c r="JFL58" s="148"/>
      <c r="JFM58" s="148"/>
      <c r="JFN58" s="148"/>
      <c r="JFO58" s="148"/>
      <c r="JFP58" s="148"/>
      <c r="JFQ58" s="148"/>
      <c r="JFR58" s="148"/>
      <c r="JFS58" s="148"/>
      <c r="JFT58" s="148"/>
      <c r="JFU58" s="148"/>
      <c r="JFV58" s="148"/>
      <c r="JFW58" s="148"/>
      <c r="JFX58" s="148"/>
      <c r="JFY58" s="148"/>
      <c r="JFZ58" s="148"/>
      <c r="JGA58" s="148"/>
      <c r="JGB58" s="148"/>
      <c r="JGC58" s="148"/>
      <c r="JGD58" s="148"/>
      <c r="JGE58" s="148"/>
      <c r="JGF58" s="148"/>
      <c r="JGG58" s="148"/>
      <c r="JGH58" s="148"/>
      <c r="JGI58" s="148"/>
      <c r="JGJ58" s="148"/>
      <c r="JGK58" s="148"/>
      <c r="JGL58" s="148"/>
      <c r="JGM58" s="148"/>
      <c r="JGN58" s="148"/>
      <c r="JGO58" s="148"/>
      <c r="JGP58" s="148"/>
      <c r="JGQ58" s="148"/>
      <c r="JGR58" s="148"/>
      <c r="JGS58" s="148"/>
      <c r="JGT58" s="148"/>
      <c r="JGU58" s="148"/>
      <c r="JGV58" s="148"/>
      <c r="JGW58" s="148"/>
      <c r="JGX58" s="148"/>
      <c r="JGY58" s="148"/>
      <c r="JGZ58" s="148"/>
      <c r="JHA58" s="148"/>
      <c r="JHB58" s="148"/>
      <c r="JHC58" s="148"/>
      <c r="JHD58" s="148"/>
      <c r="JHE58" s="148"/>
      <c r="JHF58" s="148"/>
      <c r="JHG58" s="148"/>
      <c r="JHH58" s="148"/>
      <c r="JHI58" s="148"/>
      <c r="JHJ58" s="148"/>
      <c r="JHK58" s="148"/>
      <c r="JHL58" s="148"/>
      <c r="JHM58" s="148"/>
      <c r="JHN58" s="148"/>
      <c r="JHO58" s="148"/>
      <c r="JHP58" s="148"/>
      <c r="JHQ58" s="148"/>
      <c r="JHR58" s="148"/>
      <c r="JHS58" s="148"/>
      <c r="JHT58" s="148"/>
      <c r="JHU58" s="148"/>
      <c r="JHV58" s="148"/>
      <c r="JHW58" s="148"/>
      <c r="JHX58" s="148"/>
      <c r="JHY58" s="148"/>
      <c r="JHZ58" s="148"/>
      <c r="JIA58" s="148"/>
      <c r="JIB58" s="148"/>
      <c r="JIC58" s="148"/>
      <c r="JID58" s="148"/>
      <c r="JIE58" s="148"/>
      <c r="JIF58" s="148"/>
      <c r="JIG58" s="148"/>
      <c r="JIH58" s="148"/>
      <c r="JII58" s="148"/>
      <c r="JIJ58" s="148"/>
      <c r="JIK58" s="148"/>
      <c r="JIL58" s="148"/>
      <c r="JIM58" s="148"/>
      <c r="JIN58" s="148"/>
      <c r="JIO58" s="148"/>
      <c r="JIP58" s="148"/>
      <c r="JIQ58" s="148"/>
      <c r="JIR58" s="148"/>
      <c r="JIS58" s="148"/>
      <c r="JIT58" s="148"/>
      <c r="JIU58" s="148"/>
      <c r="JIV58" s="148"/>
      <c r="JIW58" s="148"/>
      <c r="JIX58" s="148"/>
      <c r="JIY58" s="148"/>
      <c r="JIZ58" s="148"/>
      <c r="JJA58" s="148"/>
      <c r="JJB58" s="148"/>
      <c r="JJC58" s="148"/>
      <c r="JJD58" s="148"/>
      <c r="JJE58" s="148"/>
      <c r="JJF58" s="148"/>
      <c r="JJG58" s="148"/>
      <c r="JJH58" s="148"/>
      <c r="JJI58" s="148"/>
      <c r="JJJ58" s="148"/>
      <c r="JJK58" s="148"/>
      <c r="JJL58" s="148"/>
      <c r="JJM58" s="148"/>
      <c r="JJN58" s="148"/>
      <c r="JJO58" s="148"/>
      <c r="JJP58" s="148"/>
      <c r="JJQ58" s="148"/>
      <c r="JJR58" s="148"/>
      <c r="JJS58" s="148"/>
      <c r="JJT58" s="148"/>
      <c r="JJU58" s="148"/>
      <c r="JJV58" s="148"/>
      <c r="JJW58" s="148"/>
      <c r="JJX58" s="148"/>
      <c r="JJY58" s="148"/>
      <c r="JJZ58" s="148"/>
      <c r="JKA58" s="148"/>
      <c r="JKB58" s="148"/>
      <c r="JKC58" s="148"/>
      <c r="JKD58" s="148"/>
      <c r="JKE58" s="148"/>
      <c r="JKF58" s="148"/>
      <c r="JKG58" s="148"/>
      <c r="JKH58" s="148"/>
      <c r="JKI58" s="148"/>
      <c r="JKJ58" s="148"/>
      <c r="JKK58" s="148"/>
      <c r="JKL58" s="148"/>
      <c r="JKM58" s="148"/>
      <c r="JKN58" s="148"/>
      <c r="JKO58" s="148"/>
      <c r="JKP58" s="148"/>
      <c r="JKQ58" s="148"/>
      <c r="JKR58" s="148"/>
      <c r="JKS58" s="148"/>
      <c r="JKT58" s="148"/>
      <c r="JKU58" s="148"/>
      <c r="JKV58" s="148"/>
      <c r="JKW58" s="148"/>
      <c r="JKX58" s="148"/>
      <c r="JKY58" s="148"/>
      <c r="JKZ58" s="148"/>
      <c r="JLA58" s="148"/>
      <c r="JLB58" s="148"/>
      <c r="JLC58" s="148"/>
      <c r="JLD58" s="148"/>
      <c r="JLE58" s="148"/>
      <c r="JLF58" s="148"/>
      <c r="JLG58" s="148"/>
      <c r="JLH58" s="148"/>
      <c r="JLI58" s="148"/>
      <c r="JLJ58" s="148"/>
      <c r="JLK58" s="148"/>
      <c r="JLL58" s="148"/>
      <c r="JLM58" s="148"/>
      <c r="JLN58" s="148"/>
      <c r="JLO58" s="148"/>
      <c r="JLP58" s="148"/>
      <c r="JLQ58" s="148"/>
      <c r="JLR58" s="148"/>
      <c r="JLS58" s="148"/>
      <c r="JLT58" s="148"/>
      <c r="JLU58" s="148"/>
      <c r="JLV58" s="148"/>
      <c r="JLW58" s="148"/>
      <c r="JLX58" s="148"/>
      <c r="JLY58" s="148"/>
      <c r="JLZ58" s="148"/>
      <c r="JMA58" s="148"/>
      <c r="JMB58" s="148"/>
      <c r="JMC58" s="148"/>
      <c r="JMD58" s="148"/>
      <c r="JME58" s="148"/>
      <c r="JMF58" s="148"/>
      <c r="JMG58" s="148"/>
      <c r="JMH58" s="148"/>
      <c r="JMI58" s="148"/>
      <c r="JMJ58" s="148"/>
      <c r="JMK58" s="148"/>
      <c r="JML58" s="148"/>
      <c r="JMM58" s="148"/>
      <c r="JMN58" s="148"/>
      <c r="JMO58" s="148"/>
      <c r="JMP58" s="148"/>
      <c r="JMQ58" s="148"/>
      <c r="JMR58" s="148"/>
      <c r="JMS58" s="148"/>
      <c r="JMT58" s="148"/>
      <c r="JMU58" s="148"/>
      <c r="JMV58" s="148"/>
      <c r="JMW58" s="148"/>
      <c r="JMX58" s="148"/>
      <c r="JMY58" s="148"/>
      <c r="JMZ58" s="148"/>
      <c r="JNA58" s="148"/>
      <c r="JNB58" s="148"/>
      <c r="JNC58" s="148"/>
      <c r="JND58" s="148"/>
      <c r="JNE58" s="148"/>
      <c r="JNF58" s="148"/>
      <c r="JNG58" s="148"/>
      <c r="JNH58" s="148"/>
      <c r="JNI58" s="148"/>
      <c r="JNJ58" s="148"/>
      <c r="JNK58" s="148"/>
      <c r="JNL58" s="148"/>
      <c r="JNM58" s="148"/>
      <c r="JNN58" s="148"/>
      <c r="JNO58" s="148"/>
      <c r="JNP58" s="148"/>
      <c r="JNQ58" s="148"/>
      <c r="JNR58" s="148"/>
      <c r="JNS58" s="148"/>
      <c r="JNT58" s="148"/>
      <c r="JNU58" s="148"/>
      <c r="JNV58" s="148"/>
      <c r="JNW58" s="148"/>
      <c r="JNX58" s="148"/>
      <c r="JNY58" s="148"/>
      <c r="JNZ58" s="148"/>
      <c r="JOA58" s="148"/>
      <c r="JOB58" s="148"/>
      <c r="JOC58" s="148"/>
      <c r="JOD58" s="148"/>
      <c r="JOE58" s="148"/>
      <c r="JOF58" s="148"/>
      <c r="JOG58" s="148"/>
      <c r="JOH58" s="148"/>
      <c r="JOI58" s="148"/>
      <c r="JOJ58" s="148"/>
      <c r="JOK58" s="148"/>
      <c r="JOL58" s="148"/>
      <c r="JOM58" s="148"/>
      <c r="JON58" s="148"/>
      <c r="JOO58" s="148"/>
      <c r="JOP58" s="148"/>
      <c r="JOQ58" s="148"/>
      <c r="JOR58" s="148"/>
      <c r="JOS58" s="148"/>
      <c r="JOT58" s="148"/>
      <c r="JOU58" s="148"/>
      <c r="JOV58" s="148"/>
      <c r="JOW58" s="148"/>
      <c r="JOX58" s="148"/>
      <c r="JOY58" s="148"/>
      <c r="JOZ58" s="148"/>
      <c r="JPA58" s="148"/>
      <c r="JPB58" s="148"/>
      <c r="JPC58" s="148"/>
      <c r="JPD58" s="148"/>
      <c r="JPE58" s="148"/>
      <c r="JPF58" s="148"/>
      <c r="JPG58" s="148"/>
      <c r="JPH58" s="148"/>
      <c r="JPI58" s="148"/>
      <c r="JPJ58" s="148"/>
      <c r="JPK58" s="148"/>
      <c r="JPL58" s="148"/>
      <c r="JPM58" s="148"/>
      <c r="JPN58" s="148"/>
      <c r="JPO58" s="148"/>
      <c r="JPP58" s="148"/>
      <c r="JPQ58" s="148"/>
      <c r="JPR58" s="148"/>
      <c r="JPS58" s="148"/>
      <c r="JPT58" s="148"/>
      <c r="JPU58" s="148"/>
      <c r="JPV58" s="148"/>
      <c r="JPW58" s="148"/>
      <c r="JPX58" s="148"/>
      <c r="JPY58" s="148"/>
      <c r="JPZ58" s="148"/>
      <c r="JQA58" s="148"/>
      <c r="JQB58" s="148"/>
      <c r="JQC58" s="148"/>
      <c r="JQD58" s="148"/>
      <c r="JQE58" s="148"/>
      <c r="JQF58" s="148"/>
      <c r="JQG58" s="148"/>
      <c r="JQH58" s="148"/>
      <c r="JQI58" s="148"/>
      <c r="JQJ58" s="148"/>
      <c r="JQK58" s="148"/>
      <c r="JQL58" s="148"/>
      <c r="JQM58" s="148"/>
      <c r="JQN58" s="148"/>
      <c r="JQO58" s="148"/>
      <c r="JQP58" s="148"/>
      <c r="JQQ58" s="148"/>
      <c r="JQR58" s="148"/>
      <c r="JQS58" s="148"/>
      <c r="JQT58" s="148"/>
      <c r="JQU58" s="148"/>
      <c r="JQV58" s="148"/>
      <c r="JQW58" s="148"/>
      <c r="JQX58" s="148"/>
      <c r="JQY58" s="148"/>
      <c r="JQZ58" s="148"/>
      <c r="JRA58" s="148"/>
      <c r="JRB58" s="148"/>
      <c r="JRC58" s="148"/>
      <c r="JRD58" s="148"/>
      <c r="JRE58" s="148"/>
      <c r="JRF58" s="148"/>
      <c r="JRG58" s="148"/>
      <c r="JRH58" s="148"/>
      <c r="JRI58" s="148"/>
      <c r="JRJ58" s="148"/>
      <c r="JRK58" s="148"/>
      <c r="JRL58" s="148"/>
      <c r="JRM58" s="148"/>
      <c r="JRN58" s="148"/>
      <c r="JRO58" s="148"/>
      <c r="JRP58" s="148"/>
      <c r="JRQ58" s="148"/>
      <c r="JRR58" s="148"/>
      <c r="JRS58" s="148"/>
      <c r="JRT58" s="148"/>
      <c r="JRU58" s="148"/>
      <c r="JRV58" s="148"/>
      <c r="JRW58" s="148"/>
      <c r="JRX58" s="148"/>
      <c r="JRY58" s="148"/>
      <c r="JRZ58" s="148"/>
      <c r="JSA58" s="148"/>
      <c r="JSB58" s="148"/>
      <c r="JSC58" s="148"/>
      <c r="JSD58" s="148"/>
      <c r="JSE58" s="148"/>
      <c r="JSF58" s="148"/>
      <c r="JSG58" s="148"/>
      <c r="JSH58" s="148"/>
      <c r="JSI58" s="148"/>
      <c r="JSJ58" s="148"/>
      <c r="JSK58" s="148"/>
      <c r="JSL58" s="148"/>
      <c r="JSM58" s="148"/>
      <c r="JSN58" s="148"/>
      <c r="JSO58" s="148"/>
      <c r="JSP58" s="148"/>
      <c r="JSQ58" s="148"/>
      <c r="JSR58" s="148"/>
      <c r="JSS58" s="148"/>
      <c r="JST58" s="148"/>
      <c r="JSU58" s="148"/>
      <c r="JSV58" s="148"/>
      <c r="JSW58" s="148"/>
      <c r="JSX58" s="148"/>
      <c r="JSY58" s="148"/>
      <c r="JSZ58" s="148"/>
      <c r="JTA58" s="148"/>
      <c r="JTB58" s="148"/>
      <c r="JTC58" s="148"/>
      <c r="JTD58" s="148"/>
      <c r="JTE58" s="148"/>
      <c r="JTF58" s="148"/>
      <c r="JTG58" s="148"/>
      <c r="JTH58" s="148"/>
      <c r="JTI58" s="148"/>
      <c r="JTJ58" s="148"/>
      <c r="JTK58" s="148"/>
      <c r="JTL58" s="148"/>
      <c r="JTM58" s="148"/>
      <c r="JTN58" s="148"/>
      <c r="JTO58" s="148"/>
      <c r="JTP58" s="148"/>
      <c r="JTQ58" s="148"/>
      <c r="JTR58" s="148"/>
      <c r="JTS58" s="148"/>
      <c r="JTT58" s="148"/>
      <c r="JTU58" s="148"/>
      <c r="JTV58" s="148"/>
      <c r="JTW58" s="148"/>
      <c r="JTX58" s="148"/>
      <c r="JTY58" s="148"/>
      <c r="JTZ58" s="148"/>
      <c r="JUA58" s="148"/>
      <c r="JUB58" s="148"/>
      <c r="JUC58" s="148"/>
      <c r="JUD58" s="148"/>
      <c r="JUE58" s="148"/>
      <c r="JUF58" s="148"/>
      <c r="JUG58" s="148"/>
      <c r="JUH58" s="148"/>
      <c r="JUI58" s="148"/>
      <c r="JUJ58" s="148"/>
      <c r="JUK58" s="148"/>
      <c r="JUL58" s="148"/>
      <c r="JUM58" s="148"/>
      <c r="JUN58" s="148"/>
      <c r="JUO58" s="148"/>
      <c r="JUP58" s="148"/>
      <c r="JUQ58" s="148"/>
      <c r="JUR58" s="148"/>
      <c r="JUS58" s="148"/>
      <c r="JUT58" s="148"/>
      <c r="JUU58" s="148"/>
      <c r="JUV58" s="148"/>
      <c r="JUW58" s="148"/>
      <c r="JUX58" s="148"/>
      <c r="JUY58" s="148"/>
      <c r="JUZ58" s="148"/>
      <c r="JVA58" s="148"/>
      <c r="JVB58" s="148"/>
      <c r="JVC58" s="148"/>
      <c r="JVD58" s="148"/>
      <c r="JVE58" s="148"/>
      <c r="JVF58" s="148"/>
      <c r="JVG58" s="148"/>
      <c r="JVH58" s="148"/>
      <c r="JVI58" s="148"/>
      <c r="JVJ58" s="148"/>
      <c r="JVK58" s="148"/>
      <c r="JVL58" s="148"/>
      <c r="JVM58" s="148"/>
      <c r="JVN58" s="148"/>
      <c r="JVO58" s="148"/>
      <c r="JVP58" s="148"/>
      <c r="JVQ58" s="148"/>
      <c r="JVR58" s="148"/>
      <c r="JVS58" s="148"/>
      <c r="JVT58" s="148"/>
      <c r="JVU58" s="148"/>
      <c r="JVV58" s="148"/>
      <c r="JVW58" s="148"/>
      <c r="JVX58" s="148"/>
      <c r="JVY58" s="148"/>
      <c r="JVZ58" s="148"/>
      <c r="JWA58" s="148"/>
      <c r="JWB58" s="148"/>
      <c r="JWC58" s="148"/>
      <c r="JWD58" s="148"/>
      <c r="JWE58" s="148"/>
      <c r="JWF58" s="148"/>
      <c r="JWG58" s="148"/>
      <c r="JWH58" s="148"/>
      <c r="JWI58" s="148"/>
      <c r="JWJ58" s="148"/>
      <c r="JWK58" s="148"/>
      <c r="JWL58" s="148"/>
      <c r="JWM58" s="148"/>
      <c r="JWN58" s="148"/>
      <c r="JWO58" s="148"/>
      <c r="JWP58" s="148"/>
      <c r="JWQ58" s="148"/>
      <c r="JWR58" s="148"/>
      <c r="JWS58" s="148"/>
      <c r="JWT58" s="148"/>
      <c r="JWU58" s="148"/>
      <c r="JWV58" s="148"/>
      <c r="JWW58" s="148"/>
      <c r="JWX58" s="148"/>
      <c r="JWY58" s="148"/>
      <c r="JWZ58" s="148"/>
      <c r="JXA58" s="148"/>
      <c r="JXB58" s="148"/>
      <c r="JXC58" s="148"/>
      <c r="JXD58" s="148"/>
      <c r="JXE58" s="148"/>
      <c r="JXF58" s="148"/>
      <c r="JXG58" s="148"/>
      <c r="JXH58" s="148"/>
      <c r="JXI58" s="148"/>
      <c r="JXJ58" s="148"/>
      <c r="JXK58" s="148"/>
      <c r="JXL58" s="148"/>
      <c r="JXM58" s="148"/>
      <c r="JXN58" s="148"/>
      <c r="JXO58" s="148"/>
      <c r="JXP58" s="148"/>
      <c r="JXQ58" s="148"/>
      <c r="JXR58" s="148"/>
      <c r="JXS58" s="148"/>
      <c r="JXT58" s="148"/>
      <c r="JXU58" s="148"/>
      <c r="JXV58" s="148"/>
      <c r="JXW58" s="148"/>
      <c r="JXX58" s="148"/>
      <c r="JXY58" s="148"/>
      <c r="JXZ58" s="148"/>
      <c r="JYA58" s="148"/>
      <c r="JYB58" s="148"/>
      <c r="JYC58" s="148"/>
      <c r="JYD58" s="148"/>
      <c r="JYE58" s="148"/>
      <c r="JYF58" s="148"/>
      <c r="JYG58" s="148"/>
      <c r="JYH58" s="148"/>
      <c r="JYI58" s="148"/>
      <c r="JYJ58" s="148"/>
      <c r="JYK58" s="148"/>
      <c r="JYL58" s="148"/>
      <c r="JYM58" s="148"/>
      <c r="JYN58" s="148"/>
      <c r="JYO58" s="148"/>
      <c r="JYP58" s="148"/>
      <c r="JYQ58" s="148"/>
      <c r="JYR58" s="148"/>
      <c r="JYS58" s="148"/>
      <c r="JYT58" s="148"/>
      <c r="JYU58" s="148"/>
      <c r="JYV58" s="148"/>
      <c r="JYW58" s="148"/>
      <c r="JYX58" s="148"/>
      <c r="JYY58" s="148"/>
      <c r="JYZ58" s="148"/>
      <c r="JZA58" s="148"/>
      <c r="JZB58" s="148"/>
      <c r="JZC58" s="148"/>
      <c r="JZD58" s="148"/>
      <c r="JZE58" s="148"/>
      <c r="JZF58" s="148"/>
      <c r="JZG58" s="148"/>
      <c r="JZH58" s="148"/>
      <c r="JZI58" s="148"/>
      <c r="JZJ58" s="148"/>
      <c r="JZK58" s="148"/>
      <c r="JZL58" s="148"/>
      <c r="JZM58" s="148"/>
      <c r="JZN58" s="148"/>
      <c r="JZO58" s="148"/>
      <c r="JZP58" s="148"/>
      <c r="JZQ58" s="148"/>
      <c r="JZR58" s="148"/>
      <c r="JZS58" s="148"/>
      <c r="JZT58" s="148"/>
      <c r="JZU58" s="148"/>
      <c r="JZV58" s="148"/>
      <c r="JZW58" s="148"/>
      <c r="JZX58" s="148"/>
      <c r="JZY58" s="148"/>
      <c r="JZZ58" s="148"/>
      <c r="KAA58" s="148"/>
      <c r="KAB58" s="148"/>
      <c r="KAC58" s="148"/>
      <c r="KAD58" s="148"/>
      <c r="KAE58" s="148"/>
      <c r="KAF58" s="148"/>
      <c r="KAG58" s="148"/>
      <c r="KAH58" s="148"/>
      <c r="KAI58" s="148"/>
      <c r="KAJ58" s="148"/>
      <c r="KAK58" s="148"/>
      <c r="KAL58" s="148"/>
      <c r="KAM58" s="148"/>
      <c r="KAN58" s="148"/>
      <c r="KAO58" s="148"/>
      <c r="KAP58" s="148"/>
      <c r="KAQ58" s="148"/>
      <c r="KAR58" s="148"/>
      <c r="KAS58" s="148"/>
      <c r="KAT58" s="148"/>
      <c r="KAU58" s="148"/>
      <c r="KAV58" s="148"/>
      <c r="KAW58" s="148"/>
      <c r="KAX58" s="148"/>
      <c r="KAY58" s="148"/>
      <c r="KAZ58" s="148"/>
      <c r="KBA58" s="148"/>
      <c r="KBB58" s="148"/>
      <c r="KBC58" s="148"/>
      <c r="KBD58" s="148"/>
      <c r="KBE58" s="148"/>
      <c r="KBF58" s="148"/>
      <c r="KBG58" s="148"/>
      <c r="KBH58" s="148"/>
      <c r="KBI58" s="148"/>
      <c r="KBJ58" s="148"/>
      <c r="KBK58" s="148"/>
      <c r="KBL58" s="148"/>
      <c r="KBM58" s="148"/>
      <c r="KBN58" s="148"/>
      <c r="KBO58" s="148"/>
      <c r="KBP58" s="148"/>
      <c r="KBQ58" s="148"/>
      <c r="KBR58" s="148"/>
      <c r="KBS58" s="148"/>
      <c r="KBT58" s="148"/>
      <c r="KBU58" s="148"/>
      <c r="KBV58" s="148"/>
      <c r="KBW58" s="148"/>
      <c r="KBX58" s="148"/>
      <c r="KBY58" s="148"/>
      <c r="KBZ58" s="148"/>
      <c r="KCA58" s="148"/>
      <c r="KCB58" s="148"/>
      <c r="KCC58" s="148"/>
      <c r="KCD58" s="148"/>
      <c r="KCE58" s="148"/>
      <c r="KCF58" s="148"/>
      <c r="KCG58" s="148"/>
      <c r="KCH58" s="148"/>
      <c r="KCI58" s="148"/>
      <c r="KCJ58" s="148"/>
      <c r="KCK58" s="148"/>
      <c r="KCL58" s="148"/>
      <c r="KCM58" s="148"/>
      <c r="KCN58" s="148"/>
      <c r="KCO58" s="148"/>
      <c r="KCP58" s="148"/>
      <c r="KCQ58" s="148"/>
      <c r="KCR58" s="148"/>
      <c r="KCS58" s="148"/>
      <c r="KCT58" s="148"/>
      <c r="KCU58" s="148"/>
      <c r="KCV58" s="148"/>
      <c r="KCW58" s="148"/>
      <c r="KCX58" s="148"/>
      <c r="KCY58" s="148"/>
      <c r="KCZ58" s="148"/>
      <c r="KDA58" s="148"/>
      <c r="KDB58" s="148"/>
      <c r="KDC58" s="148"/>
      <c r="KDD58" s="148"/>
      <c r="KDE58" s="148"/>
      <c r="KDF58" s="148"/>
      <c r="KDG58" s="148"/>
      <c r="KDH58" s="148"/>
      <c r="KDI58" s="148"/>
      <c r="KDJ58" s="148"/>
      <c r="KDK58" s="148"/>
      <c r="KDL58" s="148"/>
      <c r="KDM58" s="148"/>
      <c r="KDN58" s="148"/>
      <c r="KDO58" s="148"/>
      <c r="KDP58" s="148"/>
      <c r="KDQ58" s="148"/>
      <c r="KDR58" s="148"/>
      <c r="KDS58" s="148"/>
      <c r="KDT58" s="148"/>
      <c r="KDU58" s="148"/>
      <c r="KDV58" s="148"/>
      <c r="KDW58" s="148"/>
      <c r="KDX58" s="148"/>
      <c r="KDY58" s="148"/>
      <c r="KDZ58" s="148"/>
      <c r="KEA58" s="148"/>
      <c r="KEB58" s="148"/>
      <c r="KEC58" s="148"/>
      <c r="KED58" s="148"/>
      <c r="KEE58" s="148"/>
      <c r="KEF58" s="148"/>
      <c r="KEG58" s="148"/>
      <c r="KEH58" s="148"/>
      <c r="KEI58" s="148"/>
      <c r="KEJ58" s="148"/>
      <c r="KEK58" s="148"/>
      <c r="KEL58" s="148"/>
      <c r="KEM58" s="148"/>
      <c r="KEN58" s="148"/>
      <c r="KEO58" s="148"/>
      <c r="KEP58" s="148"/>
      <c r="KEQ58" s="148"/>
      <c r="KER58" s="148"/>
      <c r="KES58" s="148"/>
      <c r="KET58" s="148"/>
      <c r="KEU58" s="148"/>
      <c r="KEV58" s="148"/>
      <c r="KEW58" s="148"/>
      <c r="KEX58" s="148"/>
      <c r="KEY58" s="148"/>
      <c r="KEZ58" s="148"/>
      <c r="KFA58" s="148"/>
      <c r="KFB58" s="148"/>
      <c r="KFC58" s="148"/>
      <c r="KFD58" s="148"/>
      <c r="KFE58" s="148"/>
      <c r="KFF58" s="148"/>
      <c r="KFG58" s="148"/>
      <c r="KFH58" s="148"/>
      <c r="KFI58" s="148"/>
      <c r="KFJ58" s="148"/>
      <c r="KFK58" s="148"/>
      <c r="KFL58" s="148"/>
      <c r="KFM58" s="148"/>
      <c r="KFN58" s="148"/>
      <c r="KFO58" s="148"/>
      <c r="KFP58" s="148"/>
      <c r="KFQ58" s="148"/>
      <c r="KFR58" s="148"/>
      <c r="KFS58" s="148"/>
      <c r="KFT58" s="148"/>
      <c r="KFU58" s="148"/>
      <c r="KFV58" s="148"/>
      <c r="KFW58" s="148"/>
      <c r="KFX58" s="148"/>
      <c r="KFY58" s="148"/>
      <c r="KFZ58" s="148"/>
      <c r="KGA58" s="148"/>
      <c r="KGB58" s="148"/>
      <c r="KGC58" s="148"/>
      <c r="KGD58" s="148"/>
      <c r="KGE58" s="148"/>
      <c r="KGF58" s="148"/>
      <c r="KGG58" s="148"/>
      <c r="KGH58" s="148"/>
      <c r="KGI58" s="148"/>
      <c r="KGJ58" s="148"/>
      <c r="KGK58" s="148"/>
      <c r="KGL58" s="148"/>
      <c r="KGM58" s="148"/>
      <c r="KGN58" s="148"/>
      <c r="KGO58" s="148"/>
      <c r="KGP58" s="148"/>
      <c r="KGQ58" s="148"/>
      <c r="KGR58" s="148"/>
      <c r="KGS58" s="148"/>
      <c r="KGT58" s="148"/>
      <c r="KGU58" s="148"/>
      <c r="KGV58" s="148"/>
      <c r="KGW58" s="148"/>
      <c r="KGX58" s="148"/>
      <c r="KGY58" s="148"/>
      <c r="KGZ58" s="148"/>
      <c r="KHA58" s="148"/>
      <c r="KHB58" s="148"/>
      <c r="KHC58" s="148"/>
      <c r="KHD58" s="148"/>
      <c r="KHE58" s="148"/>
      <c r="KHF58" s="148"/>
      <c r="KHG58" s="148"/>
      <c r="KHH58" s="148"/>
      <c r="KHI58" s="148"/>
      <c r="KHJ58" s="148"/>
      <c r="KHK58" s="148"/>
      <c r="KHL58" s="148"/>
      <c r="KHM58" s="148"/>
      <c r="KHN58" s="148"/>
      <c r="KHO58" s="148"/>
      <c r="KHP58" s="148"/>
      <c r="KHQ58" s="148"/>
      <c r="KHR58" s="148"/>
      <c r="KHS58" s="148"/>
      <c r="KHT58" s="148"/>
      <c r="KHU58" s="148"/>
      <c r="KHV58" s="148"/>
      <c r="KHW58" s="148"/>
      <c r="KHX58" s="148"/>
      <c r="KHY58" s="148"/>
      <c r="KHZ58" s="148"/>
      <c r="KIA58" s="148"/>
      <c r="KIB58" s="148"/>
      <c r="KIC58" s="148"/>
      <c r="KID58" s="148"/>
      <c r="KIE58" s="148"/>
      <c r="KIF58" s="148"/>
      <c r="KIG58" s="148"/>
      <c r="KIH58" s="148"/>
      <c r="KII58" s="148"/>
      <c r="KIJ58" s="148"/>
      <c r="KIK58" s="148"/>
      <c r="KIL58" s="148"/>
      <c r="KIM58" s="148"/>
      <c r="KIN58" s="148"/>
      <c r="KIO58" s="148"/>
      <c r="KIP58" s="148"/>
      <c r="KIQ58" s="148"/>
      <c r="KIR58" s="148"/>
      <c r="KIS58" s="148"/>
      <c r="KIT58" s="148"/>
      <c r="KIU58" s="148"/>
      <c r="KIV58" s="148"/>
      <c r="KIW58" s="148"/>
      <c r="KIX58" s="148"/>
      <c r="KIY58" s="148"/>
      <c r="KIZ58" s="148"/>
      <c r="KJA58" s="148"/>
      <c r="KJB58" s="148"/>
      <c r="KJC58" s="148"/>
      <c r="KJD58" s="148"/>
      <c r="KJE58" s="148"/>
      <c r="KJF58" s="148"/>
      <c r="KJG58" s="148"/>
      <c r="KJH58" s="148"/>
      <c r="KJI58" s="148"/>
      <c r="KJJ58" s="148"/>
      <c r="KJK58" s="148"/>
      <c r="KJL58" s="148"/>
      <c r="KJM58" s="148"/>
      <c r="KJN58" s="148"/>
      <c r="KJO58" s="148"/>
      <c r="KJP58" s="148"/>
      <c r="KJQ58" s="148"/>
      <c r="KJR58" s="148"/>
      <c r="KJS58" s="148"/>
      <c r="KJT58" s="148"/>
      <c r="KJU58" s="148"/>
      <c r="KJV58" s="148"/>
      <c r="KJW58" s="148"/>
      <c r="KJX58" s="148"/>
      <c r="KJY58" s="148"/>
      <c r="KJZ58" s="148"/>
      <c r="KKA58" s="148"/>
      <c r="KKB58" s="148"/>
      <c r="KKC58" s="148"/>
      <c r="KKD58" s="148"/>
      <c r="KKE58" s="148"/>
      <c r="KKF58" s="148"/>
      <c r="KKG58" s="148"/>
      <c r="KKH58" s="148"/>
      <c r="KKI58" s="148"/>
      <c r="KKJ58" s="148"/>
      <c r="KKK58" s="148"/>
      <c r="KKL58" s="148"/>
      <c r="KKM58" s="148"/>
      <c r="KKN58" s="148"/>
      <c r="KKO58" s="148"/>
      <c r="KKP58" s="148"/>
      <c r="KKQ58" s="148"/>
      <c r="KKR58" s="148"/>
      <c r="KKS58" s="148"/>
      <c r="KKT58" s="148"/>
      <c r="KKU58" s="148"/>
      <c r="KKV58" s="148"/>
      <c r="KKW58" s="148"/>
      <c r="KKX58" s="148"/>
      <c r="KKY58" s="148"/>
      <c r="KKZ58" s="148"/>
      <c r="KLA58" s="148"/>
      <c r="KLB58" s="148"/>
      <c r="KLC58" s="148"/>
      <c r="KLD58" s="148"/>
      <c r="KLE58" s="148"/>
      <c r="KLF58" s="148"/>
      <c r="KLG58" s="148"/>
      <c r="KLH58" s="148"/>
      <c r="KLI58" s="148"/>
      <c r="KLJ58" s="148"/>
      <c r="KLK58" s="148"/>
      <c r="KLL58" s="148"/>
      <c r="KLM58" s="148"/>
      <c r="KLN58" s="148"/>
      <c r="KLO58" s="148"/>
      <c r="KLP58" s="148"/>
      <c r="KLQ58" s="148"/>
      <c r="KLR58" s="148"/>
      <c r="KLS58" s="148"/>
      <c r="KLT58" s="148"/>
      <c r="KLU58" s="148"/>
      <c r="KLV58" s="148"/>
      <c r="KLW58" s="148"/>
      <c r="KLX58" s="148"/>
      <c r="KLY58" s="148"/>
      <c r="KLZ58" s="148"/>
      <c r="KMA58" s="148"/>
      <c r="KMB58" s="148"/>
      <c r="KMC58" s="148"/>
      <c r="KMD58" s="148"/>
      <c r="KME58" s="148"/>
      <c r="KMF58" s="148"/>
      <c r="KMG58" s="148"/>
      <c r="KMH58" s="148"/>
      <c r="KMI58" s="148"/>
      <c r="KMJ58" s="148"/>
      <c r="KMK58" s="148"/>
      <c r="KML58" s="148"/>
      <c r="KMM58" s="148"/>
      <c r="KMN58" s="148"/>
      <c r="KMO58" s="148"/>
      <c r="KMP58" s="148"/>
      <c r="KMQ58" s="148"/>
      <c r="KMR58" s="148"/>
      <c r="KMS58" s="148"/>
      <c r="KMT58" s="148"/>
      <c r="KMU58" s="148"/>
      <c r="KMV58" s="148"/>
      <c r="KMW58" s="148"/>
      <c r="KMX58" s="148"/>
      <c r="KMY58" s="148"/>
      <c r="KMZ58" s="148"/>
      <c r="KNA58" s="148"/>
      <c r="KNB58" s="148"/>
      <c r="KNC58" s="148"/>
      <c r="KND58" s="148"/>
      <c r="KNE58" s="148"/>
      <c r="KNF58" s="148"/>
      <c r="KNG58" s="148"/>
      <c r="KNH58" s="148"/>
      <c r="KNI58" s="148"/>
      <c r="KNJ58" s="148"/>
      <c r="KNK58" s="148"/>
      <c r="KNL58" s="148"/>
      <c r="KNM58" s="148"/>
      <c r="KNN58" s="148"/>
      <c r="KNO58" s="148"/>
      <c r="KNP58" s="148"/>
      <c r="KNQ58" s="148"/>
      <c r="KNR58" s="148"/>
      <c r="KNS58" s="148"/>
      <c r="KNT58" s="148"/>
      <c r="KNU58" s="148"/>
      <c r="KNV58" s="148"/>
      <c r="KNW58" s="148"/>
      <c r="KNX58" s="148"/>
      <c r="KNY58" s="148"/>
      <c r="KNZ58" s="148"/>
      <c r="KOA58" s="148"/>
      <c r="KOB58" s="148"/>
      <c r="KOC58" s="148"/>
      <c r="KOD58" s="148"/>
      <c r="KOE58" s="148"/>
      <c r="KOF58" s="148"/>
      <c r="KOG58" s="148"/>
      <c r="KOH58" s="148"/>
      <c r="KOI58" s="148"/>
      <c r="KOJ58" s="148"/>
      <c r="KOK58" s="148"/>
      <c r="KOL58" s="148"/>
      <c r="KOM58" s="148"/>
      <c r="KON58" s="148"/>
      <c r="KOO58" s="148"/>
      <c r="KOP58" s="148"/>
      <c r="KOQ58" s="148"/>
      <c r="KOR58" s="148"/>
      <c r="KOS58" s="148"/>
      <c r="KOT58" s="148"/>
      <c r="KOU58" s="148"/>
      <c r="KOV58" s="148"/>
      <c r="KOW58" s="148"/>
      <c r="KOX58" s="148"/>
      <c r="KOY58" s="148"/>
      <c r="KOZ58" s="148"/>
      <c r="KPA58" s="148"/>
      <c r="KPB58" s="148"/>
      <c r="KPC58" s="148"/>
      <c r="KPD58" s="148"/>
      <c r="KPE58" s="148"/>
      <c r="KPF58" s="148"/>
      <c r="KPG58" s="148"/>
      <c r="KPH58" s="148"/>
      <c r="KPI58" s="148"/>
      <c r="KPJ58" s="148"/>
      <c r="KPK58" s="148"/>
      <c r="KPL58" s="148"/>
      <c r="KPM58" s="148"/>
      <c r="KPN58" s="148"/>
      <c r="KPO58" s="148"/>
      <c r="KPP58" s="148"/>
      <c r="KPQ58" s="148"/>
      <c r="KPR58" s="148"/>
      <c r="KPS58" s="148"/>
      <c r="KPT58" s="148"/>
      <c r="KPU58" s="148"/>
      <c r="KPV58" s="148"/>
      <c r="KPW58" s="148"/>
      <c r="KPX58" s="148"/>
      <c r="KPY58" s="148"/>
      <c r="KPZ58" s="148"/>
      <c r="KQA58" s="148"/>
      <c r="KQB58" s="148"/>
      <c r="KQC58" s="148"/>
      <c r="KQD58" s="148"/>
      <c r="KQE58" s="148"/>
      <c r="KQF58" s="148"/>
      <c r="KQG58" s="148"/>
      <c r="KQH58" s="148"/>
      <c r="KQI58" s="148"/>
      <c r="KQJ58" s="148"/>
      <c r="KQK58" s="148"/>
      <c r="KQL58" s="148"/>
      <c r="KQM58" s="148"/>
      <c r="KQN58" s="148"/>
      <c r="KQO58" s="148"/>
      <c r="KQP58" s="148"/>
      <c r="KQQ58" s="148"/>
      <c r="KQR58" s="148"/>
      <c r="KQS58" s="148"/>
      <c r="KQT58" s="148"/>
      <c r="KQU58" s="148"/>
      <c r="KQV58" s="148"/>
      <c r="KQW58" s="148"/>
      <c r="KQX58" s="148"/>
      <c r="KQY58" s="148"/>
      <c r="KQZ58" s="148"/>
      <c r="KRA58" s="148"/>
      <c r="KRB58" s="148"/>
      <c r="KRC58" s="148"/>
      <c r="KRD58" s="148"/>
      <c r="KRE58" s="148"/>
      <c r="KRF58" s="148"/>
      <c r="KRG58" s="148"/>
      <c r="KRH58" s="148"/>
      <c r="KRI58" s="148"/>
      <c r="KRJ58" s="148"/>
      <c r="KRK58" s="148"/>
      <c r="KRL58" s="148"/>
      <c r="KRM58" s="148"/>
      <c r="KRN58" s="148"/>
      <c r="KRO58" s="148"/>
      <c r="KRP58" s="148"/>
      <c r="KRQ58" s="148"/>
      <c r="KRR58" s="148"/>
      <c r="KRS58" s="148"/>
      <c r="KRT58" s="148"/>
      <c r="KRU58" s="148"/>
      <c r="KRV58" s="148"/>
      <c r="KRW58" s="148"/>
      <c r="KRX58" s="148"/>
      <c r="KRY58" s="148"/>
      <c r="KRZ58" s="148"/>
      <c r="KSA58" s="148"/>
      <c r="KSB58" s="148"/>
      <c r="KSC58" s="148"/>
      <c r="KSD58" s="148"/>
      <c r="KSE58" s="148"/>
      <c r="KSF58" s="148"/>
      <c r="KSG58" s="148"/>
      <c r="KSH58" s="148"/>
      <c r="KSI58" s="148"/>
      <c r="KSJ58" s="148"/>
      <c r="KSK58" s="148"/>
      <c r="KSL58" s="148"/>
      <c r="KSM58" s="148"/>
      <c r="KSN58" s="148"/>
      <c r="KSO58" s="148"/>
      <c r="KSP58" s="148"/>
      <c r="KSQ58" s="148"/>
      <c r="KSR58" s="148"/>
      <c r="KSS58" s="148"/>
      <c r="KST58" s="148"/>
      <c r="KSU58" s="148"/>
      <c r="KSV58" s="148"/>
      <c r="KSW58" s="148"/>
      <c r="KSX58" s="148"/>
      <c r="KSY58" s="148"/>
      <c r="KSZ58" s="148"/>
      <c r="KTA58" s="148"/>
      <c r="KTB58" s="148"/>
      <c r="KTC58" s="148"/>
      <c r="KTD58" s="148"/>
      <c r="KTE58" s="148"/>
      <c r="KTF58" s="148"/>
      <c r="KTG58" s="148"/>
      <c r="KTH58" s="148"/>
      <c r="KTI58" s="148"/>
      <c r="KTJ58" s="148"/>
      <c r="KTK58" s="148"/>
      <c r="KTL58" s="148"/>
      <c r="KTM58" s="148"/>
      <c r="KTN58" s="148"/>
      <c r="KTO58" s="148"/>
      <c r="KTP58" s="148"/>
      <c r="KTQ58" s="148"/>
      <c r="KTR58" s="148"/>
      <c r="KTS58" s="148"/>
      <c r="KTT58" s="148"/>
      <c r="KTU58" s="148"/>
      <c r="KTV58" s="148"/>
      <c r="KTW58" s="148"/>
      <c r="KTX58" s="148"/>
      <c r="KTY58" s="148"/>
      <c r="KTZ58" s="148"/>
      <c r="KUA58" s="148"/>
      <c r="KUB58" s="148"/>
      <c r="KUC58" s="148"/>
      <c r="KUD58" s="148"/>
      <c r="KUE58" s="148"/>
      <c r="KUF58" s="148"/>
      <c r="KUG58" s="148"/>
      <c r="KUH58" s="148"/>
      <c r="KUI58" s="148"/>
      <c r="KUJ58" s="148"/>
      <c r="KUK58" s="148"/>
      <c r="KUL58" s="148"/>
      <c r="KUM58" s="148"/>
      <c r="KUN58" s="148"/>
      <c r="KUO58" s="148"/>
      <c r="KUP58" s="148"/>
      <c r="KUQ58" s="148"/>
      <c r="KUR58" s="148"/>
      <c r="KUS58" s="148"/>
      <c r="KUT58" s="148"/>
      <c r="KUU58" s="148"/>
      <c r="KUV58" s="148"/>
      <c r="KUW58" s="148"/>
      <c r="KUX58" s="148"/>
      <c r="KUY58" s="148"/>
      <c r="KUZ58" s="148"/>
      <c r="KVA58" s="148"/>
      <c r="KVB58" s="148"/>
      <c r="KVC58" s="148"/>
      <c r="KVD58" s="148"/>
      <c r="KVE58" s="148"/>
      <c r="KVF58" s="148"/>
      <c r="KVG58" s="148"/>
      <c r="KVH58" s="148"/>
      <c r="KVI58" s="148"/>
      <c r="KVJ58" s="148"/>
      <c r="KVK58" s="148"/>
      <c r="KVL58" s="148"/>
      <c r="KVM58" s="148"/>
      <c r="KVN58" s="148"/>
      <c r="KVO58" s="148"/>
      <c r="KVP58" s="148"/>
      <c r="KVQ58" s="148"/>
      <c r="KVR58" s="148"/>
      <c r="KVS58" s="148"/>
      <c r="KVT58" s="148"/>
      <c r="KVU58" s="148"/>
      <c r="KVV58" s="148"/>
      <c r="KVW58" s="148"/>
      <c r="KVX58" s="148"/>
      <c r="KVY58" s="148"/>
      <c r="KVZ58" s="148"/>
      <c r="KWA58" s="148"/>
      <c r="KWB58" s="148"/>
      <c r="KWC58" s="148"/>
      <c r="KWD58" s="148"/>
      <c r="KWE58" s="148"/>
      <c r="KWF58" s="148"/>
      <c r="KWG58" s="148"/>
      <c r="KWH58" s="148"/>
      <c r="KWI58" s="148"/>
      <c r="KWJ58" s="148"/>
      <c r="KWK58" s="148"/>
      <c r="KWL58" s="148"/>
      <c r="KWM58" s="148"/>
      <c r="KWN58" s="148"/>
      <c r="KWO58" s="148"/>
      <c r="KWP58" s="148"/>
      <c r="KWQ58" s="148"/>
      <c r="KWR58" s="148"/>
      <c r="KWS58" s="148"/>
      <c r="KWT58" s="148"/>
      <c r="KWU58" s="148"/>
      <c r="KWV58" s="148"/>
      <c r="KWW58" s="148"/>
      <c r="KWX58" s="148"/>
      <c r="KWY58" s="148"/>
      <c r="KWZ58" s="148"/>
      <c r="KXA58" s="148"/>
      <c r="KXB58" s="148"/>
      <c r="KXC58" s="148"/>
      <c r="KXD58" s="148"/>
      <c r="KXE58" s="148"/>
      <c r="KXF58" s="148"/>
      <c r="KXG58" s="148"/>
      <c r="KXH58" s="148"/>
      <c r="KXI58" s="148"/>
      <c r="KXJ58" s="148"/>
      <c r="KXK58" s="148"/>
      <c r="KXL58" s="148"/>
      <c r="KXM58" s="148"/>
      <c r="KXN58" s="148"/>
      <c r="KXO58" s="148"/>
      <c r="KXP58" s="148"/>
      <c r="KXQ58" s="148"/>
      <c r="KXR58" s="148"/>
      <c r="KXS58" s="148"/>
      <c r="KXT58" s="148"/>
      <c r="KXU58" s="148"/>
      <c r="KXV58" s="148"/>
      <c r="KXW58" s="148"/>
      <c r="KXX58" s="148"/>
      <c r="KXY58" s="148"/>
      <c r="KXZ58" s="148"/>
      <c r="KYA58" s="148"/>
      <c r="KYB58" s="148"/>
      <c r="KYC58" s="148"/>
      <c r="KYD58" s="148"/>
      <c r="KYE58" s="148"/>
      <c r="KYF58" s="148"/>
      <c r="KYG58" s="148"/>
      <c r="KYH58" s="148"/>
      <c r="KYI58" s="148"/>
      <c r="KYJ58" s="148"/>
      <c r="KYK58" s="148"/>
      <c r="KYL58" s="148"/>
      <c r="KYM58" s="148"/>
      <c r="KYN58" s="148"/>
      <c r="KYO58" s="148"/>
      <c r="KYP58" s="148"/>
      <c r="KYQ58" s="148"/>
      <c r="KYR58" s="148"/>
      <c r="KYS58" s="148"/>
      <c r="KYT58" s="148"/>
      <c r="KYU58" s="148"/>
      <c r="KYV58" s="148"/>
      <c r="KYW58" s="148"/>
      <c r="KYX58" s="148"/>
      <c r="KYY58" s="148"/>
      <c r="KYZ58" s="148"/>
      <c r="KZA58" s="148"/>
      <c r="KZB58" s="148"/>
      <c r="KZC58" s="148"/>
      <c r="KZD58" s="148"/>
      <c r="KZE58" s="148"/>
      <c r="KZF58" s="148"/>
      <c r="KZG58" s="148"/>
      <c r="KZH58" s="148"/>
      <c r="KZI58" s="148"/>
      <c r="KZJ58" s="148"/>
      <c r="KZK58" s="148"/>
      <c r="KZL58" s="148"/>
      <c r="KZM58" s="148"/>
      <c r="KZN58" s="148"/>
      <c r="KZO58" s="148"/>
      <c r="KZP58" s="148"/>
      <c r="KZQ58" s="148"/>
      <c r="KZR58" s="148"/>
      <c r="KZS58" s="148"/>
      <c r="KZT58" s="148"/>
      <c r="KZU58" s="148"/>
      <c r="KZV58" s="148"/>
      <c r="KZW58" s="148"/>
      <c r="KZX58" s="148"/>
      <c r="KZY58" s="148"/>
      <c r="KZZ58" s="148"/>
      <c r="LAA58" s="148"/>
      <c r="LAB58" s="148"/>
      <c r="LAC58" s="148"/>
      <c r="LAD58" s="148"/>
      <c r="LAE58" s="148"/>
      <c r="LAF58" s="148"/>
      <c r="LAG58" s="148"/>
      <c r="LAH58" s="148"/>
      <c r="LAI58" s="148"/>
      <c r="LAJ58" s="148"/>
      <c r="LAK58" s="148"/>
      <c r="LAL58" s="148"/>
      <c r="LAM58" s="148"/>
      <c r="LAN58" s="148"/>
      <c r="LAO58" s="148"/>
      <c r="LAP58" s="148"/>
      <c r="LAQ58" s="148"/>
      <c r="LAR58" s="148"/>
      <c r="LAS58" s="148"/>
      <c r="LAT58" s="148"/>
      <c r="LAU58" s="148"/>
      <c r="LAV58" s="148"/>
      <c r="LAW58" s="148"/>
      <c r="LAX58" s="148"/>
      <c r="LAY58" s="148"/>
      <c r="LAZ58" s="148"/>
      <c r="LBA58" s="148"/>
      <c r="LBB58" s="148"/>
      <c r="LBC58" s="148"/>
      <c r="LBD58" s="148"/>
      <c r="LBE58" s="148"/>
      <c r="LBF58" s="148"/>
      <c r="LBG58" s="148"/>
      <c r="LBH58" s="148"/>
      <c r="LBI58" s="148"/>
      <c r="LBJ58" s="148"/>
      <c r="LBK58" s="148"/>
      <c r="LBL58" s="148"/>
      <c r="LBM58" s="148"/>
      <c r="LBN58" s="148"/>
      <c r="LBO58" s="148"/>
      <c r="LBP58" s="148"/>
      <c r="LBQ58" s="148"/>
      <c r="LBR58" s="148"/>
      <c r="LBS58" s="148"/>
      <c r="LBT58" s="148"/>
      <c r="LBU58" s="148"/>
      <c r="LBV58" s="148"/>
      <c r="LBW58" s="148"/>
      <c r="LBX58" s="148"/>
      <c r="LBY58" s="148"/>
      <c r="LBZ58" s="148"/>
      <c r="LCA58" s="148"/>
      <c r="LCB58" s="148"/>
      <c r="LCC58" s="148"/>
      <c r="LCD58" s="148"/>
      <c r="LCE58" s="148"/>
      <c r="LCF58" s="148"/>
      <c r="LCG58" s="148"/>
      <c r="LCH58" s="148"/>
      <c r="LCI58" s="148"/>
      <c r="LCJ58" s="148"/>
      <c r="LCK58" s="148"/>
      <c r="LCL58" s="148"/>
      <c r="LCM58" s="148"/>
      <c r="LCN58" s="148"/>
      <c r="LCO58" s="148"/>
      <c r="LCP58" s="148"/>
      <c r="LCQ58" s="148"/>
      <c r="LCR58" s="148"/>
      <c r="LCS58" s="148"/>
      <c r="LCT58" s="148"/>
      <c r="LCU58" s="148"/>
      <c r="LCV58" s="148"/>
      <c r="LCW58" s="148"/>
      <c r="LCX58" s="148"/>
      <c r="LCY58" s="148"/>
      <c r="LCZ58" s="148"/>
      <c r="LDA58" s="148"/>
      <c r="LDB58" s="148"/>
      <c r="LDC58" s="148"/>
      <c r="LDD58" s="148"/>
      <c r="LDE58" s="148"/>
      <c r="LDF58" s="148"/>
      <c r="LDG58" s="148"/>
      <c r="LDH58" s="148"/>
      <c r="LDI58" s="148"/>
      <c r="LDJ58" s="148"/>
      <c r="LDK58" s="148"/>
      <c r="LDL58" s="148"/>
      <c r="LDM58" s="148"/>
      <c r="LDN58" s="148"/>
      <c r="LDO58" s="148"/>
      <c r="LDP58" s="148"/>
      <c r="LDQ58" s="148"/>
      <c r="LDR58" s="148"/>
      <c r="LDS58" s="148"/>
      <c r="LDT58" s="148"/>
      <c r="LDU58" s="148"/>
      <c r="LDV58" s="148"/>
      <c r="LDW58" s="148"/>
      <c r="LDX58" s="148"/>
      <c r="LDY58" s="148"/>
      <c r="LDZ58" s="148"/>
      <c r="LEA58" s="148"/>
      <c r="LEB58" s="148"/>
      <c r="LEC58" s="148"/>
      <c r="LED58" s="148"/>
      <c r="LEE58" s="148"/>
      <c r="LEF58" s="148"/>
      <c r="LEG58" s="148"/>
      <c r="LEH58" s="148"/>
      <c r="LEI58" s="148"/>
      <c r="LEJ58" s="148"/>
      <c r="LEK58" s="148"/>
      <c r="LEL58" s="148"/>
      <c r="LEM58" s="148"/>
      <c r="LEN58" s="148"/>
      <c r="LEO58" s="148"/>
      <c r="LEP58" s="148"/>
      <c r="LEQ58" s="148"/>
      <c r="LER58" s="148"/>
      <c r="LES58" s="148"/>
      <c r="LET58" s="148"/>
      <c r="LEU58" s="148"/>
      <c r="LEV58" s="148"/>
      <c r="LEW58" s="148"/>
      <c r="LEX58" s="148"/>
      <c r="LEY58" s="148"/>
      <c r="LEZ58" s="148"/>
      <c r="LFA58" s="148"/>
      <c r="LFB58" s="148"/>
      <c r="LFC58" s="148"/>
      <c r="LFD58" s="148"/>
      <c r="LFE58" s="148"/>
      <c r="LFF58" s="148"/>
      <c r="LFG58" s="148"/>
      <c r="LFH58" s="148"/>
      <c r="LFI58" s="148"/>
      <c r="LFJ58" s="148"/>
      <c r="LFK58" s="148"/>
      <c r="LFL58" s="148"/>
      <c r="LFM58" s="148"/>
      <c r="LFN58" s="148"/>
      <c r="LFO58" s="148"/>
      <c r="LFP58" s="148"/>
      <c r="LFQ58" s="148"/>
      <c r="LFR58" s="148"/>
      <c r="LFS58" s="148"/>
      <c r="LFT58" s="148"/>
      <c r="LFU58" s="148"/>
      <c r="LFV58" s="148"/>
      <c r="LFW58" s="148"/>
      <c r="LFX58" s="148"/>
      <c r="LFY58" s="148"/>
      <c r="LFZ58" s="148"/>
      <c r="LGA58" s="148"/>
      <c r="LGB58" s="148"/>
      <c r="LGC58" s="148"/>
      <c r="LGD58" s="148"/>
      <c r="LGE58" s="148"/>
      <c r="LGF58" s="148"/>
      <c r="LGG58" s="148"/>
      <c r="LGH58" s="148"/>
      <c r="LGI58" s="148"/>
      <c r="LGJ58" s="148"/>
      <c r="LGK58" s="148"/>
      <c r="LGL58" s="148"/>
      <c r="LGM58" s="148"/>
      <c r="LGN58" s="148"/>
      <c r="LGO58" s="148"/>
      <c r="LGP58" s="148"/>
      <c r="LGQ58" s="148"/>
      <c r="LGR58" s="148"/>
      <c r="LGS58" s="148"/>
      <c r="LGT58" s="148"/>
      <c r="LGU58" s="148"/>
      <c r="LGV58" s="148"/>
      <c r="LGW58" s="148"/>
      <c r="LGX58" s="148"/>
      <c r="LGY58" s="148"/>
      <c r="LGZ58" s="148"/>
      <c r="LHA58" s="148"/>
      <c r="LHB58" s="148"/>
      <c r="LHC58" s="148"/>
      <c r="LHD58" s="148"/>
      <c r="LHE58" s="148"/>
      <c r="LHF58" s="148"/>
      <c r="LHG58" s="148"/>
      <c r="LHH58" s="148"/>
      <c r="LHI58" s="148"/>
      <c r="LHJ58" s="148"/>
      <c r="LHK58" s="148"/>
      <c r="LHL58" s="148"/>
      <c r="LHM58" s="148"/>
      <c r="LHN58" s="148"/>
      <c r="LHO58" s="148"/>
      <c r="LHP58" s="148"/>
      <c r="LHQ58" s="148"/>
      <c r="LHR58" s="148"/>
      <c r="LHS58" s="148"/>
      <c r="LHT58" s="148"/>
      <c r="LHU58" s="148"/>
      <c r="LHV58" s="148"/>
      <c r="LHW58" s="148"/>
      <c r="LHX58" s="148"/>
      <c r="LHY58" s="148"/>
      <c r="LHZ58" s="148"/>
      <c r="LIA58" s="148"/>
      <c r="LIB58" s="148"/>
      <c r="LIC58" s="148"/>
      <c r="LID58" s="148"/>
      <c r="LIE58" s="148"/>
      <c r="LIF58" s="148"/>
      <c r="LIG58" s="148"/>
      <c r="LIH58" s="148"/>
      <c r="LII58" s="148"/>
      <c r="LIJ58" s="148"/>
      <c r="LIK58" s="148"/>
      <c r="LIL58" s="148"/>
      <c r="LIM58" s="148"/>
      <c r="LIN58" s="148"/>
      <c r="LIO58" s="148"/>
      <c r="LIP58" s="148"/>
      <c r="LIQ58" s="148"/>
      <c r="LIR58" s="148"/>
      <c r="LIS58" s="148"/>
      <c r="LIT58" s="148"/>
      <c r="LIU58" s="148"/>
      <c r="LIV58" s="148"/>
      <c r="LIW58" s="148"/>
      <c r="LIX58" s="148"/>
      <c r="LIY58" s="148"/>
      <c r="LIZ58" s="148"/>
      <c r="LJA58" s="148"/>
      <c r="LJB58" s="148"/>
      <c r="LJC58" s="148"/>
      <c r="LJD58" s="148"/>
      <c r="LJE58" s="148"/>
      <c r="LJF58" s="148"/>
      <c r="LJG58" s="148"/>
      <c r="LJH58" s="148"/>
      <c r="LJI58" s="148"/>
      <c r="LJJ58" s="148"/>
      <c r="LJK58" s="148"/>
      <c r="LJL58" s="148"/>
      <c r="LJM58" s="148"/>
      <c r="LJN58" s="148"/>
      <c r="LJO58" s="148"/>
      <c r="LJP58" s="148"/>
      <c r="LJQ58" s="148"/>
      <c r="LJR58" s="148"/>
      <c r="LJS58" s="148"/>
      <c r="LJT58" s="148"/>
      <c r="LJU58" s="148"/>
      <c r="LJV58" s="148"/>
      <c r="LJW58" s="148"/>
      <c r="LJX58" s="148"/>
      <c r="LJY58" s="148"/>
      <c r="LJZ58" s="148"/>
      <c r="LKA58" s="148"/>
      <c r="LKB58" s="148"/>
      <c r="LKC58" s="148"/>
      <c r="LKD58" s="148"/>
      <c r="LKE58" s="148"/>
      <c r="LKF58" s="148"/>
      <c r="LKG58" s="148"/>
      <c r="LKH58" s="148"/>
      <c r="LKI58" s="148"/>
      <c r="LKJ58" s="148"/>
      <c r="LKK58" s="148"/>
      <c r="LKL58" s="148"/>
      <c r="LKM58" s="148"/>
      <c r="LKN58" s="148"/>
      <c r="LKO58" s="148"/>
      <c r="LKP58" s="148"/>
      <c r="LKQ58" s="148"/>
      <c r="LKR58" s="148"/>
      <c r="LKS58" s="148"/>
      <c r="LKT58" s="148"/>
      <c r="LKU58" s="148"/>
      <c r="LKV58" s="148"/>
      <c r="LKW58" s="148"/>
      <c r="LKX58" s="148"/>
      <c r="LKY58" s="148"/>
      <c r="LKZ58" s="148"/>
      <c r="LLA58" s="148"/>
      <c r="LLB58" s="148"/>
      <c r="LLC58" s="148"/>
      <c r="LLD58" s="148"/>
      <c r="LLE58" s="148"/>
      <c r="LLF58" s="148"/>
      <c r="LLG58" s="148"/>
      <c r="LLH58" s="148"/>
      <c r="LLI58" s="148"/>
      <c r="LLJ58" s="148"/>
      <c r="LLK58" s="148"/>
      <c r="LLL58" s="148"/>
      <c r="LLM58" s="148"/>
      <c r="LLN58" s="148"/>
      <c r="LLO58" s="148"/>
      <c r="LLP58" s="148"/>
      <c r="LLQ58" s="148"/>
      <c r="LLR58" s="148"/>
      <c r="LLS58" s="148"/>
      <c r="LLT58" s="148"/>
      <c r="LLU58" s="148"/>
      <c r="LLV58" s="148"/>
      <c r="LLW58" s="148"/>
      <c r="LLX58" s="148"/>
      <c r="LLY58" s="148"/>
      <c r="LLZ58" s="148"/>
      <c r="LMA58" s="148"/>
      <c r="LMB58" s="148"/>
      <c r="LMC58" s="148"/>
      <c r="LMD58" s="148"/>
      <c r="LME58" s="148"/>
      <c r="LMF58" s="148"/>
      <c r="LMG58" s="148"/>
      <c r="LMH58" s="148"/>
      <c r="LMI58" s="148"/>
      <c r="LMJ58" s="148"/>
      <c r="LMK58" s="148"/>
      <c r="LML58" s="148"/>
      <c r="LMM58" s="148"/>
      <c r="LMN58" s="148"/>
      <c r="LMO58" s="148"/>
      <c r="LMP58" s="148"/>
      <c r="LMQ58" s="148"/>
      <c r="LMR58" s="148"/>
      <c r="LMS58" s="148"/>
      <c r="LMT58" s="148"/>
      <c r="LMU58" s="148"/>
      <c r="LMV58" s="148"/>
      <c r="LMW58" s="148"/>
      <c r="LMX58" s="148"/>
      <c r="LMY58" s="148"/>
      <c r="LMZ58" s="148"/>
      <c r="LNA58" s="148"/>
      <c r="LNB58" s="148"/>
      <c r="LNC58" s="148"/>
      <c r="LND58" s="148"/>
      <c r="LNE58" s="148"/>
      <c r="LNF58" s="148"/>
      <c r="LNG58" s="148"/>
      <c r="LNH58" s="148"/>
      <c r="LNI58" s="148"/>
      <c r="LNJ58" s="148"/>
      <c r="LNK58" s="148"/>
      <c r="LNL58" s="148"/>
      <c r="LNM58" s="148"/>
      <c r="LNN58" s="148"/>
      <c r="LNO58" s="148"/>
      <c r="LNP58" s="148"/>
      <c r="LNQ58" s="148"/>
      <c r="LNR58" s="148"/>
      <c r="LNS58" s="148"/>
      <c r="LNT58" s="148"/>
      <c r="LNU58" s="148"/>
      <c r="LNV58" s="148"/>
      <c r="LNW58" s="148"/>
      <c r="LNX58" s="148"/>
      <c r="LNY58" s="148"/>
      <c r="LNZ58" s="148"/>
      <c r="LOA58" s="148"/>
      <c r="LOB58" s="148"/>
      <c r="LOC58" s="148"/>
      <c r="LOD58" s="148"/>
      <c r="LOE58" s="148"/>
      <c r="LOF58" s="148"/>
      <c r="LOG58" s="148"/>
      <c r="LOH58" s="148"/>
      <c r="LOI58" s="148"/>
      <c r="LOJ58" s="148"/>
      <c r="LOK58" s="148"/>
      <c r="LOL58" s="148"/>
      <c r="LOM58" s="148"/>
      <c r="LON58" s="148"/>
      <c r="LOO58" s="148"/>
      <c r="LOP58" s="148"/>
      <c r="LOQ58" s="148"/>
      <c r="LOR58" s="148"/>
      <c r="LOS58" s="148"/>
      <c r="LOT58" s="148"/>
      <c r="LOU58" s="148"/>
      <c r="LOV58" s="148"/>
      <c r="LOW58" s="148"/>
      <c r="LOX58" s="148"/>
      <c r="LOY58" s="148"/>
      <c r="LOZ58" s="148"/>
      <c r="LPA58" s="148"/>
      <c r="LPB58" s="148"/>
      <c r="LPC58" s="148"/>
      <c r="LPD58" s="148"/>
      <c r="LPE58" s="148"/>
      <c r="LPF58" s="148"/>
      <c r="LPG58" s="148"/>
      <c r="LPH58" s="148"/>
      <c r="LPI58" s="148"/>
      <c r="LPJ58" s="148"/>
      <c r="LPK58" s="148"/>
      <c r="LPL58" s="148"/>
      <c r="LPM58" s="148"/>
      <c r="LPN58" s="148"/>
      <c r="LPO58" s="148"/>
      <c r="LPP58" s="148"/>
      <c r="LPQ58" s="148"/>
      <c r="LPR58" s="148"/>
      <c r="LPS58" s="148"/>
      <c r="LPT58" s="148"/>
      <c r="LPU58" s="148"/>
      <c r="LPV58" s="148"/>
      <c r="LPW58" s="148"/>
      <c r="LPX58" s="148"/>
      <c r="LPY58" s="148"/>
      <c r="LPZ58" s="148"/>
      <c r="LQA58" s="148"/>
      <c r="LQB58" s="148"/>
      <c r="LQC58" s="148"/>
      <c r="LQD58" s="148"/>
      <c r="LQE58" s="148"/>
      <c r="LQF58" s="148"/>
      <c r="LQG58" s="148"/>
      <c r="LQH58" s="148"/>
      <c r="LQI58" s="148"/>
      <c r="LQJ58" s="148"/>
      <c r="LQK58" s="148"/>
      <c r="LQL58" s="148"/>
      <c r="LQM58" s="148"/>
      <c r="LQN58" s="148"/>
      <c r="LQO58" s="148"/>
      <c r="LQP58" s="148"/>
      <c r="LQQ58" s="148"/>
      <c r="LQR58" s="148"/>
      <c r="LQS58" s="148"/>
      <c r="LQT58" s="148"/>
      <c r="LQU58" s="148"/>
      <c r="LQV58" s="148"/>
      <c r="LQW58" s="148"/>
      <c r="LQX58" s="148"/>
      <c r="LQY58" s="148"/>
      <c r="LQZ58" s="148"/>
      <c r="LRA58" s="148"/>
      <c r="LRB58" s="148"/>
      <c r="LRC58" s="148"/>
      <c r="LRD58" s="148"/>
      <c r="LRE58" s="148"/>
      <c r="LRF58" s="148"/>
      <c r="LRG58" s="148"/>
      <c r="LRH58" s="148"/>
      <c r="LRI58" s="148"/>
      <c r="LRJ58" s="148"/>
      <c r="LRK58" s="148"/>
      <c r="LRL58" s="148"/>
      <c r="LRM58" s="148"/>
      <c r="LRN58" s="148"/>
      <c r="LRO58" s="148"/>
      <c r="LRP58" s="148"/>
      <c r="LRQ58" s="148"/>
      <c r="LRR58" s="148"/>
      <c r="LRS58" s="148"/>
      <c r="LRT58" s="148"/>
      <c r="LRU58" s="148"/>
      <c r="LRV58" s="148"/>
      <c r="LRW58" s="148"/>
      <c r="LRX58" s="148"/>
      <c r="LRY58" s="148"/>
      <c r="LRZ58" s="148"/>
      <c r="LSA58" s="148"/>
      <c r="LSB58" s="148"/>
      <c r="LSC58" s="148"/>
      <c r="LSD58" s="148"/>
      <c r="LSE58" s="148"/>
      <c r="LSF58" s="148"/>
      <c r="LSG58" s="148"/>
      <c r="LSH58" s="148"/>
      <c r="LSI58" s="148"/>
      <c r="LSJ58" s="148"/>
      <c r="LSK58" s="148"/>
      <c r="LSL58" s="148"/>
      <c r="LSM58" s="148"/>
      <c r="LSN58" s="148"/>
      <c r="LSO58" s="148"/>
      <c r="LSP58" s="148"/>
      <c r="LSQ58" s="148"/>
      <c r="LSR58" s="148"/>
      <c r="LSS58" s="148"/>
      <c r="LST58" s="148"/>
      <c r="LSU58" s="148"/>
      <c r="LSV58" s="148"/>
      <c r="LSW58" s="148"/>
      <c r="LSX58" s="148"/>
      <c r="LSY58" s="148"/>
      <c r="LSZ58" s="148"/>
      <c r="LTA58" s="148"/>
      <c r="LTB58" s="148"/>
      <c r="LTC58" s="148"/>
      <c r="LTD58" s="148"/>
      <c r="LTE58" s="148"/>
      <c r="LTF58" s="148"/>
      <c r="LTG58" s="148"/>
      <c r="LTH58" s="148"/>
      <c r="LTI58" s="148"/>
      <c r="LTJ58" s="148"/>
      <c r="LTK58" s="148"/>
      <c r="LTL58" s="148"/>
      <c r="LTM58" s="148"/>
      <c r="LTN58" s="148"/>
      <c r="LTO58" s="148"/>
      <c r="LTP58" s="148"/>
      <c r="LTQ58" s="148"/>
      <c r="LTR58" s="148"/>
      <c r="LTS58" s="148"/>
      <c r="LTT58" s="148"/>
      <c r="LTU58" s="148"/>
      <c r="LTV58" s="148"/>
      <c r="LTW58" s="148"/>
      <c r="LTX58" s="148"/>
      <c r="LTY58" s="148"/>
      <c r="LTZ58" s="148"/>
      <c r="LUA58" s="148"/>
      <c r="LUB58" s="148"/>
      <c r="LUC58" s="148"/>
      <c r="LUD58" s="148"/>
      <c r="LUE58" s="148"/>
      <c r="LUF58" s="148"/>
      <c r="LUG58" s="148"/>
      <c r="LUH58" s="148"/>
      <c r="LUI58" s="148"/>
      <c r="LUJ58" s="148"/>
      <c r="LUK58" s="148"/>
      <c r="LUL58" s="148"/>
      <c r="LUM58" s="148"/>
      <c r="LUN58" s="148"/>
      <c r="LUO58" s="148"/>
      <c r="LUP58" s="148"/>
      <c r="LUQ58" s="148"/>
      <c r="LUR58" s="148"/>
      <c r="LUS58" s="148"/>
      <c r="LUT58" s="148"/>
      <c r="LUU58" s="148"/>
      <c r="LUV58" s="148"/>
      <c r="LUW58" s="148"/>
      <c r="LUX58" s="148"/>
      <c r="LUY58" s="148"/>
      <c r="LUZ58" s="148"/>
      <c r="LVA58" s="148"/>
      <c r="LVB58" s="148"/>
      <c r="LVC58" s="148"/>
      <c r="LVD58" s="148"/>
      <c r="LVE58" s="148"/>
      <c r="LVF58" s="148"/>
      <c r="LVG58" s="148"/>
      <c r="LVH58" s="148"/>
      <c r="LVI58" s="148"/>
      <c r="LVJ58" s="148"/>
      <c r="LVK58" s="148"/>
      <c r="LVL58" s="148"/>
      <c r="LVM58" s="148"/>
      <c r="LVN58" s="148"/>
      <c r="LVO58" s="148"/>
      <c r="LVP58" s="148"/>
      <c r="LVQ58" s="148"/>
      <c r="LVR58" s="148"/>
      <c r="LVS58" s="148"/>
      <c r="LVT58" s="148"/>
      <c r="LVU58" s="148"/>
      <c r="LVV58" s="148"/>
      <c r="LVW58" s="148"/>
      <c r="LVX58" s="148"/>
      <c r="LVY58" s="148"/>
      <c r="LVZ58" s="148"/>
      <c r="LWA58" s="148"/>
      <c r="LWB58" s="148"/>
      <c r="LWC58" s="148"/>
      <c r="LWD58" s="148"/>
      <c r="LWE58" s="148"/>
      <c r="LWF58" s="148"/>
      <c r="LWG58" s="148"/>
      <c r="LWH58" s="148"/>
      <c r="LWI58" s="148"/>
      <c r="LWJ58" s="148"/>
      <c r="LWK58" s="148"/>
      <c r="LWL58" s="148"/>
      <c r="LWM58" s="148"/>
      <c r="LWN58" s="148"/>
      <c r="LWO58" s="148"/>
      <c r="LWP58" s="148"/>
      <c r="LWQ58" s="148"/>
      <c r="LWR58" s="148"/>
      <c r="LWS58" s="148"/>
      <c r="LWT58" s="148"/>
      <c r="LWU58" s="148"/>
      <c r="LWV58" s="148"/>
      <c r="LWW58" s="148"/>
      <c r="LWX58" s="148"/>
      <c r="LWY58" s="148"/>
      <c r="LWZ58" s="148"/>
      <c r="LXA58" s="148"/>
      <c r="LXB58" s="148"/>
      <c r="LXC58" s="148"/>
      <c r="LXD58" s="148"/>
      <c r="LXE58" s="148"/>
      <c r="LXF58" s="148"/>
      <c r="LXG58" s="148"/>
      <c r="LXH58" s="148"/>
      <c r="LXI58" s="148"/>
      <c r="LXJ58" s="148"/>
      <c r="LXK58" s="148"/>
      <c r="LXL58" s="148"/>
      <c r="LXM58" s="148"/>
      <c r="LXN58" s="148"/>
      <c r="LXO58" s="148"/>
      <c r="LXP58" s="148"/>
      <c r="LXQ58" s="148"/>
      <c r="LXR58" s="148"/>
      <c r="LXS58" s="148"/>
      <c r="LXT58" s="148"/>
      <c r="LXU58" s="148"/>
      <c r="LXV58" s="148"/>
      <c r="LXW58" s="148"/>
      <c r="LXX58" s="148"/>
      <c r="LXY58" s="148"/>
      <c r="LXZ58" s="148"/>
      <c r="LYA58" s="148"/>
      <c r="LYB58" s="148"/>
      <c r="LYC58" s="148"/>
      <c r="LYD58" s="148"/>
      <c r="LYE58" s="148"/>
      <c r="LYF58" s="148"/>
      <c r="LYG58" s="148"/>
      <c r="LYH58" s="148"/>
      <c r="LYI58" s="148"/>
      <c r="LYJ58" s="148"/>
      <c r="LYK58" s="148"/>
      <c r="LYL58" s="148"/>
      <c r="LYM58" s="148"/>
      <c r="LYN58" s="148"/>
      <c r="LYO58" s="148"/>
      <c r="LYP58" s="148"/>
      <c r="LYQ58" s="148"/>
      <c r="LYR58" s="148"/>
      <c r="LYS58" s="148"/>
      <c r="LYT58" s="148"/>
      <c r="LYU58" s="148"/>
      <c r="LYV58" s="148"/>
      <c r="LYW58" s="148"/>
      <c r="LYX58" s="148"/>
      <c r="LYY58" s="148"/>
      <c r="LYZ58" s="148"/>
      <c r="LZA58" s="148"/>
      <c r="LZB58" s="148"/>
      <c r="LZC58" s="148"/>
      <c r="LZD58" s="148"/>
      <c r="LZE58" s="148"/>
      <c r="LZF58" s="148"/>
      <c r="LZG58" s="148"/>
      <c r="LZH58" s="148"/>
      <c r="LZI58" s="148"/>
      <c r="LZJ58" s="148"/>
      <c r="LZK58" s="148"/>
      <c r="LZL58" s="148"/>
      <c r="LZM58" s="148"/>
      <c r="LZN58" s="148"/>
      <c r="LZO58" s="148"/>
      <c r="LZP58" s="148"/>
      <c r="LZQ58" s="148"/>
      <c r="LZR58" s="148"/>
      <c r="LZS58" s="148"/>
      <c r="LZT58" s="148"/>
      <c r="LZU58" s="148"/>
      <c r="LZV58" s="148"/>
      <c r="LZW58" s="148"/>
      <c r="LZX58" s="148"/>
      <c r="LZY58" s="148"/>
      <c r="LZZ58" s="148"/>
      <c r="MAA58" s="148"/>
      <c r="MAB58" s="148"/>
      <c r="MAC58" s="148"/>
      <c r="MAD58" s="148"/>
      <c r="MAE58" s="148"/>
      <c r="MAF58" s="148"/>
      <c r="MAG58" s="148"/>
      <c r="MAH58" s="148"/>
      <c r="MAI58" s="148"/>
      <c r="MAJ58" s="148"/>
      <c r="MAK58" s="148"/>
      <c r="MAL58" s="148"/>
      <c r="MAM58" s="148"/>
      <c r="MAN58" s="148"/>
      <c r="MAO58" s="148"/>
      <c r="MAP58" s="148"/>
      <c r="MAQ58" s="148"/>
      <c r="MAR58" s="148"/>
      <c r="MAS58" s="148"/>
      <c r="MAT58" s="148"/>
      <c r="MAU58" s="148"/>
      <c r="MAV58" s="148"/>
      <c r="MAW58" s="148"/>
      <c r="MAX58" s="148"/>
      <c r="MAY58" s="148"/>
      <c r="MAZ58" s="148"/>
      <c r="MBA58" s="148"/>
      <c r="MBB58" s="148"/>
      <c r="MBC58" s="148"/>
      <c r="MBD58" s="148"/>
      <c r="MBE58" s="148"/>
      <c r="MBF58" s="148"/>
      <c r="MBG58" s="148"/>
      <c r="MBH58" s="148"/>
      <c r="MBI58" s="148"/>
      <c r="MBJ58" s="148"/>
      <c r="MBK58" s="148"/>
      <c r="MBL58" s="148"/>
      <c r="MBM58" s="148"/>
      <c r="MBN58" s="148"/>
      <c r="MBO58" s="148"/>
      <c r="MBP58" s="148"/>
      <c r="MBQ58" s="148"/>
      <c r="MBR58" s="148"/>
      <c r="MBS58" s="148"/>
      <c r="MBT58" s="148"/>
      <c r="MBU58" s="148"/>
      <c r="MBV58" s="148"/>
      <c r="MBW58" s="148"/>
      <c r="MBX58" s="148"/>
      <c r="MBY58" s="148"/>
      <c r="MBZ58" s="148"/>
      <c r="MCA58" s="148"/>
      <c r="MCB58" s="148"/>
      <c r="MCC58" s="148"/>
      <c r="MCD58" s="148"/>
      <c r="MCE58" s="148"/>
      <c r="MCF58" s="148"/>
      <c r="MCG58" s="148"/>
      <c r="MCH58" s="148"/>
      <c r="MCI58" s="148"/>
      <c r="MCJ58" s="148"/>
      <c r="MCK58" s="148"/>
      <c r="MCL58" s="148"/>
      <c r="MCM58" s="148"/>
      <c r="MCN58" s="148"/>
      <c r="MCO58" s="148"/>
      <c r="MCP58" s="148"/>
      <c r="MCQ58" s="148"/>
      <c r="MCR58" s="148"/>
      <c r="MCS58" s="148"/>
      <c r="MCT58" s="148"/>
      <c r="MCU58" s="148"/>
      <c r="MCV58" s="148"/>
      <c r="MCW58" s="148"/>
      <c r="MCX58" s="148"/>
      <c r="MCY58" s="148"/>
      <c r="MCZ58" s="148"/>
      <c r="MDA58" s="148"/>
      <c r="MDB58" s="148"/>
      <c r="MDC58" s="148"/>
      <c r="MDD58" s="148"/>
      <c r="MDE58" s="148"/>
      <c r="MDF58" s="148"/>
      <c r="MDG58" s="148"/>
      <c r="MDH58" s="148"/>
      <c r="MDI58" s="148"/>
      <c r="MDJ58" s="148"/>
      <c r="MDK58" s="148"/>
      <c r="MDL58" s="148"/>
      <c r="MDM58" s="148"/>
      <c r="MDN58" s="148"/>
      <c r="MDO58" s="148"/>
      <c r="MDP58" s="148"/>
      <c r="MDQ58" s="148"/>
      <c r="MDR58" s="148"/>
      <c r="MDS58" s="148"/>
      <c r="MDT58" s="148"/>
      <c r="MDU58" s="148"/>
      <c r="MDV58" s="148"/>
      <c r="MDW58" s="148"/>
      <c r="MDX58" s="148"/>
      <c r="MDY58" s="148"/>
      <c r="MDZ58" s="148"/>
      <c r="MEA58" s="148"/>
      <c r="MEB58" s="148"/>
      <c r="MEC58" s="148"/>
      <c r="MED58" s="148"/>
      <c r="MEE58" s="148"/>
      <c r="MEF58" s="148"/>
      <c r="MEG58" s="148"/>
      <c r="MEH58" s="148"/>
      <c r="MEI58" s="148"/>
      <c r="MEJ58" s="148"/>
      <c r="MEK58" s="148"/>
      <c r="MEL58" s="148"/>
      <c r="MEM58" s="148"/>
      <c r="MEN58" s="148"/>
      <c r="MEO58" s="148"/>
      <c r="MEP58" s="148"/>
      <c r="MEQ58" s="148"/>
      <c r="MER58" s="148"/>
      <c r="MES58" s="148"/>
      <c r="MET58" s="148"/>
      <c r="MEU58" s="148"/>
      <c r="MEV58" s="148"/>
      <c r="MEW58" s="148"/>
      <c r="MEX58" s="148"/>
      <c r="MEY58" s="148"/>
      <c r="MEZ58" s="148"/>
      <c r="MFA58" s="148"/>
      <c r="MFB58" s="148"/>
      <c r="MFC58" s="148"/>
      <c r="MFD58" s="148"/>
      <c r="MFE58" s="148"/>
      <c r="MFF58" s="148"/>
      <c r="MFG58" s="148"/>
      <c r="MFH58" s="148"/>
      <c r="MFI58" s="148"/>
      <c r="MFJ58" s="148"/>
      <c r="MFK58" s="148"/>
      <c r="MFL58" s="148"/>
      <c r="MFM58" s="148"/>
      <c r="MFN58" s="148"/>
      <c r="MFO58" s="148"/>
      <c r="MFP58" s="148"/>
      <c r="MFQ58" s="148"/>
      <c r="MFR58" s="148"/>
      <c r="MFS58" s="148"/>
      <c r="MFT58" s="148"/>
      <c r="MFU58" s="148"/>
      <c r="MFV58" s="148"/>
      <c r="MFW58" s="148"/>
      <c r="MFX58" s="148"/>
      <c r="MFY58" s="148"/>
      <c r="MFZ58" s="148"/>
      <c r="MGA58" s="148"/>
      <c r="MGB58" s="148"/>
      <c r="MGC58" s="148"/>
      <c r="MGD58" s="148"/>
      <c r="MGE58" s="148"/>
      <c r="MGF58" s="148"/>
      <c r="MGG58" s="148"/>
      <c r="MGH58" s="148"/>
      <c r="MGI58" s="148"/>
      <c r="MGJ58" s="148"/>
      <c r="MGK58" s="148"/>
      <c r="MGL58" s="148"/>
      <c r="MGM58" s="148"/>
      <c r="MGN58" s="148"/>
      <c r="MGO58" s="148"/>
      <c r="MGP58" s="148"/>
      <c r="MGQ58" s="148"/>
      <c r="MGR58" s="148"/>
      <c r="MGS58" s="148"/>
      <c r="MGT58" s="148"/>
      <c r="MGU58" s="148"/>
      <c r="MGV58" s="148"/>
      <c r="MGW58" s="148"/>
      <c r="MGX58" s="148"/>
      <c r="MGY58" s="148"/>
      <c r="MGZ58" s="148"/>
      <c r="MHA58" s="148"/>
      <c r="MHB58" s="148"/>
      <c r="MHC58" s="148"/>
      <c r="MHD58" s="148"/>
      <c r="MHE58" s="148"/>
      <c r="MHF58" s="148"/>
      <c r="MHG58" s="148"/>
      <c r="MHH58" s="148"/>
      <c r="MHI58" s="148"/>
      <c r="MHJ58" s="148"/>
      <c r="MHK58" s="148"/>
      <c r="MHL58" s="148"/>
      <c r="MHM58" s="148"/>
      <c r="MHN58" s="148"/>
      <c r="MHO58" s="148"/>
      <c r="MHP58" s="148"/>
      <c r="MHQ58" s="148"/>
      <c r="MHR58" s="148"/>
      <c r="MHS58" s="148"/>
      <c r="MHT58" s="148"/>
      <c r="MHU58" s="148"/>
      <c r="MHV58" s="148"/>
      <c r="MHW58" s="148"/>
      <c r="MHX58" s="148"/>
      <c r="MHY58" s="148"/>
      <c r="MHZ58" s="148"/>
      <c r="MIA58" s="148"/>
      <c r="MIB58" s="148"/>
      <c r="MIC58" s="148"/>
      <c r="MID58" s="148"/>
      <c r="MIE58" s="148"/>
      <c r="MIF58" s="148"/>
      <c r="MIG58" s="148"/>
      <c r="MIH58" s="148"/>
      <c r="MII58" s="148"/>
      <c r="MIJ58" s="148"/>
      <c r="MIK58" s="148"/>
      <c r="MIL58" s="148"/>
      <c r="MIM58" s="148"/>
      <c r="MIN58" s="148"/>
      <c r="MIO58" s="148"/>
      <c r="MIP58" s="148"/>
      <c r="MIQ58" s="148"/>
      <c r="MIR58" s="148"/>
      <c r="MIS58" s="148"/>
      <c r="MIT58" s="148"/>
      <c r="MIU58" s="148"/>
      <c r="MIV58" s="148"/>
      <c r="MIW58" s="148"/>
      <c r="MIX58" s="148"/>
      <c r="MIY58" s="148"/>
      <c r="MIZ58" s="148"/>
      <c r="MJA58" s="148"/>
      <c r="MJB58" s="148"/>
      <c r="MJC58" s="148"/>
      <c r="MJD58" s="148"/>
      <c r="MJE58" s="148"/>
      <c r="MJF58" s="148"/>
      <c r="MJG58" s="148"/>
      <c r="MJH58" s="148"/>
      <c r="MJI58" s="148"/>
      <c r="MJJ58" s="148"/>
      <c r="MJK58" s="148"/>
      <c r="MJL58" s="148"/>
      <c r="MJM58" s="148"/>
      <c r="MJN58" s="148"/>
      <c r="MJO58" s="148"/>
      <c r="MJP58" s="148"/>
      <c r="MJQ58" s="148"/>
      <c r="MJR58" s="148"/>
      <c r="MJS58" s="148"/>
      <c r="MJT58" s="148"/>
      <c r="MJU58" s="148"/>
      <c r="MJV58" s="148"/>
      <c r="MJW58" s="148"/>
      <c r="MJX58" s="148"/>
      <c r="MJY58" s="148"/>
      <c r="MJZ58" s="148"/>
      <c r="MKA58" s="148"/>
      <c r="MKB58" s="148"/>
      <c r="MKC58" s="148"/>
      <c r="MKD58" s="148"/>
      <c r="MKE58" s="148"/>
      <c r="MKF58" s="148"/>
      <c r="MKG58" s="148"/>
      <c r="MKH58" s="148"/>
      <c r="MKI58" s="148"/>
      <c r="MKJ58" s="148"/>
      <c r="MKK58" s="148"/>
      <c r="MKL58" s="148"/>
      <c r="MKM58" s="148"/>
      <c r="MKN58" s="148"/>
      <c r="MKO58" s="148"/>
      <c r="MKP58" s="148"/>
      <c r="MKQ58" s="148"/>
      <c r="MKR58" s="148"/>
      <c r="MKS58" s="148"/>
      <c r="MKT58" s="148"/>
      <c r="MKU58" s="148"/>
      <c r="MKV58" s="148"/>
      <c r="MKW58" s="148"/>
      <c r="MKX58" s="148"/>
      <c r="MKY58" s="148"/>
      <c r="MKZ58" s="148"/>
      <c r="MLA58" s="148"/>
      <c r="MLB58" s="148"/>
      <c r="MLC58" s="148"/>
      <c r="MLD58" s="148"/>
      <c r="MLE58" s="148"/>
      <c r="MLF58" s="148"/>
      <c r="MLG58" s="148"/>
      <c r="MLH58" s="148"/>
      <c r="MLI58" s="148"/>
      <c r="MLJ58" s="148"/>
      <c r="MLK58" s="148"/>
      <c r="MLL58" s="148"/>
      <c r="MLM58" s="148"/>
      <c r="MLN58" s="148"/>
      <c r="MLO58" s="148"/>
      <c r="MLP58" s="148"/>
      <c r="MLQ58" s="148"/>
      <c r="MLR58" s="148"/>
      <c r="MLS58" s="148"/>
      <c r="MLT58" s="148"/>
      <c r="MLU58" s="148"/>
      <c r="MLV58" s="148"/>
      <c r="MLW58" s="148"/>
      <c r="MLX58" s="148"/>
      <c r="MLY58" s="148"/>
      <c r="MLZ58" s="148"/>
      <c r="MMA58" s="148"/>
      <c r="MMB58" s="148"/>
      <c r="MMC58" s="148"/>
      <c r="MMD58" s="148"/>
      <c r="MME58" s="148"/>
      <c r="MMF58" s="148"/>
      <c r="MMG58" s="148"/>
      <c r="MMH58" s="148"/>
      <c r="MMI58" s="148"/>
      <c r="MMJ58" s="148"/>
      <c r="MMK58" s="148"/>
      <c r="MML58" s="148"/>
      <c r="MMM58" s="148"/>
      <c r="MMN58" s="148"/>
      <c r="MMO58" s="148"/>
      <c r="MMP58" s="148"/>
      <c r="MMQ58" s="148"/>
      <c r="MMR58" s="148"/>
      <c r="MMS58" s="148"/>
      <c r="MMT58" s="148"/>
      <c r="MMU58" s="148"/>
      <c r="MMV58" s="148"/>
      <c r="MMW58" s="148"/>
      <c r="MMX58" s="148"/>
      <c r="MMY58" s="148"/>
      <c r="MMZ58" s="148"/>
      <c r="MNA58" s="148"/>
      <c r="MNB58" s="148"/>
      <c r="MNC58" s="148"/>
      <c r="MND58" s="148"/>
      <c r="MNE58" s="148"/>
      <c r="MNF58" s="148"/>
      <c r="MNG58" s="148"/>
      <c r="MNH58" s="148"/>
      <c r="MNI58" s="148"/>
      <c r="MNJ58" s="148"/>
      <c r="MNK58" s="148"/>
      <c r="MNL58" s="148"/>
      <c r="MNM58" s="148"/>
      <c r="MNN58" s="148"/>
      <c r="MNO58" s="148"/>
      <c r="MNP58" s="148"/>
      <c r="MNQ58" s="148"/>
      <c r="MNR58" s="148"/>
      <c r="MNS58" s="148"/>
      <c r="MNT58" s="148"/>
      <c r="MNU58" s="148"/>
      <c r="MNV58" s="148"/>
      <c r="MNW58" s="148"/>
      <c r="MNX58" s="148"/>
      <c r="MNY58" s="148"/>
      <c r="MNZ58" s="148"/>
      <c r="MOA58" s="148"/>
      <c r="MOB58" s="148"/>
      <c r="MOC58" s="148"/>
      <c r="MOD58" s="148"/>
      <c r="MOE58" s="148"/>
      <c r="MOF58" s="148"/>
      <c r="MOG58" s="148"/>
      <c r="MOH58" s="148"/>
      <c r="MOI58" s="148"/>
      <c r="MOJ58" s="148"/>
      <c r="MOK58" s="148"/>
      <c r="MOL58" s="148"/>
      <c r="MOM58" s="148"/>
      <c r="MON58" s="148"/>
      <c r="MOO58" s="148"/>
      <c r="MOP58" s="148"/>
      <c r="MOQ58" s="148"/>
      <c r="MOR58" s="148"/>
      <c r="MOS58" s="148"/>
      <c r="MOT58" s="148"/>
      <c r="MOU58" s="148"/>
      <c r="MOV58" s="148"/>
      <c r="MOW58" s="148"/>
      <c r="MOX58" s="148"/>
      <c r="MOY58" s="148"/>
      <c r="MOZ58" s="148"/>
      <c r="MPA58" s="148"/>
      <c r="MPB58" s="148"/>
      <c r="MPC58" s="148"/>
      <c r="MPD58" s="148"/>
      <c r="MPE58" s="148"/>
      <c r="MPF58" s="148"/>
      <c r="MPG58" s="148"/>
      <c r="MPH58" s="148"/>
      <c r="MPI58" s="148"/>
      <c r="MPJ58" s="148"/>
      <c r="MPK58" s="148"/>
      <c r="MPL58" s="148"/>
      <c r="MPM58" s="148"/>
      <c r="MPN58" s="148"/>
      <c r="MPO58" s="148"/>
      <c r="MPP58" s="148"/>
      <c r="MPQ58" s="148"/>
      <c r="MPR58" s="148"/>
      <c r="MPS58" s="148"/>
      <c r="MPT58" s="148"/>
      <c r="MPU58" s="148"/>
      <c r="MPV58" s="148"/>
      <c r="MPW58" s="148"/>
      <c r="MPX58" s="148"/>
      <c r="MPY58" s="148"/>
      <c r="MPZ58" s="148"/>
      <c r="MQA58" s="148"/>
      <c r="MQB58" s="148"/>
      <c r="MQC58" s="148"/>
      <c r="MQD58" s="148"/>
      <c r="MQE58" s="148"/>
      <c r="MQF58" s="148"/>
      <c r="MQG58" s="148"/>
      <c r="MQH58" s="148"/>
      <c r="MQI58" s="148"/>
      <c r="MQJ58" s="148"/>
      <c r="MQK58" s="148"/>
      <c r="MQL58" s="148"/>
      <c r="MQM58" s="148"/>
      <c r="MQN58" s="148"/>
      <c r="MQO58" s="148"/>
      <c r="MQP58" s="148"/>
      <c r="MQQ58" s="148"/>
      <c r="MQR58" s="148"/>
      <c r="MQS58" s="148"/>
      <c r="MQT58" s="148"/>
      <c r="MQU58" s="148"/>
      <c r="MQV58" s="148"/>
      <c r="MQW58" s="148"/>
      <c r="MQX58" s="148"/>
      <c r="MQY58" s="148"/>
      <c r="MQZ58" s="148"/>
      <c r="MRA58" s="148"/>
      <c r="MRB58" s="148"/>
      <c r="MRC58" s="148"/>
      <c r="MRD58" s="148"/>
      <c r="MRE58" s="148"/>
      <c r="MRF58" s="148"/>
      <c r="MRG58" s="148"/>
      <c r="MRH58" s="148"/>
      <c r="MRI58" s="148"/>
      <c r="MRJ58" s="148"/>
      <c r="MRK58" s="148"/>
      <c r="MRL58" s="148"/>
      <c r="MRM58" s="148"/>
      <c r="MRN58" s="148"/>
      <c r="MRO58" s="148"/>
      <c r="MRP58" s="148"/>
      <c r="MRQ58" s="148"/>
      <c r="MRR58" s="148"/>
      <c r="MRS58" s="148"/>
      <c r="MRT58" s="148"/>
      <c r="MRU58" s="148"/>
      <c r="MRV58" s="148"/>
      <c r="MRW58" s="148"/>
      <c r="MRX58" s="148"/>
      <c r="MRY58" s="148"/>
      <c r="MRZ58" s="148"/>
      <c r="MSA58" s="148"/>
      <c r="MSB58" s="148"/>
      <c r="MSC58" s="148"/>
      <c r="MSD58" s="148"/>
      <c r="MSE58" s="148"/>
      <c r="MSF58" s="148"/>
      <c r="MSG58" s="148"/>
      <c r="MSH58" s="148"/>
      <c r="MSI58" s="148"/>
      <c r="MSJ58" s="148"/>
      <c r="MSK58" s="148"/>
      <c r="MSL58" s="148"/>
      <c r="MSM58" s="148"/>
      <c r="MSN58" s="148"/>
      <c r="MSO58" s="148"/>
      <c r="MSP58" s="148"/>
      <c r="MSQ58" s="148"/>
      <c r="MSR58" s="148"/>
      <c r="MSS58" s="148"/>
      <c r="MST58" s="148"/>
      <c r="MSU58" s="148"/>
      <c r="MSV58" s="148"/>
      <c r="MSW58" s="148"/>
      <c r="MSX58" s="148"/>
      <c r="MSY58" s="148"/>
      <c r="MSZ58" s="148"/>
      <c r="MTA58" s="148"/>
      <c r="MTB58" s="148"/>
      <c r="MTC58" s="148"/>
      <c r="MTD58" s="148"/>
      <c r="MTE58" s="148"/>
      <c r="MTF58" s="148"/>
      <c r="MTG58" s="148"/>
      <c r="MTH58" s="148"/>
      <c r="MTI58" s="148"/>
      <c r="MTJ58" s="148"/>
      <c r="MTK58" s="148"/>
      <c r="MTL58" s="148"/>
      <c r="MTM58" s="148"/>
      <c r="MTN58" s="148"/>
      <c r="MTO58" s="148"/>
      <c r="MTP58" s="148"/>
      <c r="MTQ58" s="148"/>
      <c r="MTR58" s="148"/>
      <c r="MTS58" s="148"/>
      <c r="MTT58" s="148"/>
      <c r="MTU58" s="148"/>
      <c r="MTV58" s="148"/>
      <c r="MTW58" s="148"/>
      <c r="MTX58" s="148"/>
      <c r="MTY58" s="148"/>
      <c r="MTZ58" s="148"/>
      <c r="MUA58" s="148"/>
      <c r="MUB58" s="148"/>
      <c r="MUC58" s="148"/>
      <c r="MUD58" s="148"/>
      <c r="MUE58" s="148"/>
      <c r="MUF58" s="148"/>
      <c r="MUG58" s="148"/>
      <c r="MUH58" s="148"/>
      <c r="MUI58" s="148"/>
      <c r="MUJ58" s="148"/>
      <c r="MUK58" s="148"/>
      <c r="MUL58" s="148"/>
      <c r="MUM58" s="148"/>
      <c r="MUN58" s="148"/>
      <c r="MUO58" s="148"/>
      <c r="MUP58" s="148"/>
      <c r="MUQ58" s="148"/>
      <c r="MUR58" s="148"/>
      <c r="MUS58" s="148"/>
      <c r="MUT58" s="148"/>
      <c r="MUU58" s="148"/>
      <c r="MUV58" s="148"/>
      <c r="MUW58" s="148"/>
      <c r="MUX58" s="148"/>
      <c r="MUY58" s="148"/>
      <c r="MUZ58" s="148"/>
      <c r="MVA58" s="148"/>
      <c r="MVB58" s="148"/>
      <c r="MVC58" s="148"/>
      <c r="MVD58" s="148"/>
      <c r="MVE58" s="148"/>
      <c r="MVF58" s="148"/>
      <c r="MVG58" s="148"/>
      <c r="MVH58" s="148"/>
      <c r="MVI58" s="148"/>
      <c r="MVJ58" s="148"/>
      <c r="MVK58" s="148"/>
      <c r="MVL58" s="148"/>
      <c r="MVM58" s="148"/>
      <c r="MVN58" s="148"/>
      <c r="MVO58" s="148"/>
      <c r="MVP58" s="148"/>
      <c r="MVQ58" s="148"/>
      <c r="MVR58" s="148"/>
      <c r="MVS58" s="148"/>
      <c r="MVT58" s="148"/>
      <c r="MVU58" s="148"/>
      <c r="MVV58" s="148"/>
      <c r="MVW58" s="148"/>
      <c r="MVX58" s="148"/>
      <c r="MVY58" s="148"/>
      <c r="MVZ58" s="148"/>
      <c r="MWA58" s="148"/>
      <c r="MWB58" s="148"/>
      <c r="MWC58" s="148"/>
      <c r="MWD58" s="148"/>
      <c r="MWE58" s="148"/>
      <c r="MWF58" s="148"/>
      <c r="MWG58" s="148"/>
      <c r="MWH58" s="148"/>
      <c r="MWI58" s="148"/>
      <c r="MWJ58" s="148"/>
      <c r="MWK58" s="148"/>
      <c r="MWL58" s="148"/>
      <c r="MWM58" s="148"/>
      <c r="MWN58" s="148"/>
      <c r="MWO58" s="148"/>
      <c r="MWP58" s="148"/>
      <c r="MWQ58" s="148"/>
      <c r="MWR58" s="148"/>
      <c r="MWS58" s="148"/>
      <c r="MWT58" s="148"/>
      <c r="MWU58" s="148"/>
      <c r="MWV58" s="148"/>
      <c r="MWW58" s="148"/>
      <c r="MWX58" s="148"/>
      <c r="MWY58" s="148"/>
      <c r="MWZ58" s="148"/>
      <c r="MXA58" s="148"/>
      <c r="MXB58" s="148"/>
      <c r="MXC58" s="148"/>
      <c r="MXD58" s="148"/>
      <c r="MXE58" s="148"/>
      <c r="MXF58" s="148"/>
      <c r="MXG58" s="148"/>
      <c r="MXH58" s="148"/>
      <c r="MXI58" s="148"/>
      <c r="MXJ58" s="148"/>
      <c r="MXK58" s="148"/>
      <c r="MXL58" s="148"/>
      <c r="MXM58" s="148"/>
      <c r="MXN58" s="148"/>
      <c r="MXO58" s="148"/>
      <c r="MXP58" s="148"/>
      <c r="MXQ58" s="148"/>
      <c r="MXR58" s="148"/>
      <c r="MXS58" s="148"/>
      <c r="MXT58" s="148"/>
      <c r="MXU58" s="148"/>
      <c r="MXV58" s="148"/>
      <c r="MXW58" s="148"/>
      <c r="MXX58" s="148"/>
      <c r="MXY58" s="148"/>
      <c r="MXZ58" s="148"/>
      <c r="MYA58" s="148"/>
      <c r="MYB58" s="148"/>
      <c r="MYC58" s="148"/>
      <c r="MYD58" s="148"/>
      <c r="MYE58" s="148"/>
      <c r="MYF58" s="148"/>
      <c r="MYG58" s="148"/>
      <c r="MYH58" s="148"/>
      <c r="MYI58" s="148"/>
      <c r="MYJ58" s="148"/>
      <c r="MYK58" s="148"/>
      <c r="MYL58" s="148"/>
      <c r="MYM58" s="148"/>
      <c r="MYN58" s="148"/>
      <c r="MYO58" s="148"/>
      <c r="MYP58" s="148"/>
      <c r="MYQ58" s="148"/>
      <c r="MYR58" s="148"/>
      <c r="MYS58" s="148"/>
      <c r="MYT58" s="148"/>
      <c r="MYU58" s="148"/>
      <c r="MYV58" s="148"/>
      <c r="MYW58" s="148"/>
      <c r="MYX58" s="148"/>
      <c r="MYY58" s="148"/>
      <c r="MYZ58" s="148"/>
      <c r="MZA58" s="148"/>
      <c r="MZB58" s="148"/>
      <c r="MZC58" s="148"/>
      <c r="MZD58" s="148"/>
      <c r="MZE58" s="148"/>
      <c r="MZF58" s="148"/>
      <c r="MZG58" s="148"/>
      <c r="MZH58" s="148"/>
      <c r="MZI58" s="148"/>
      <c r="MZJ58" s="148"/>
      <c r="MZK58" s="148"/>
      <c r="MZL58" s="148"/>
      <c r="MZM58" s="148"/>
      <c r="MZN58" s="148"/>
      <c r="MZO58" s="148"/>
      <c r="MZP58" s="148"/>
      <c r="MZQ58" s="148"/>
      <c r="MZR58" s="148"/>
      <c r="MZS58" s="148"/>
      <c r="MZT58" s="148"/>
      <c r="MZU58" s="148"/>
      <c r="MZV58" s="148"/>
      <c r="MZW58" s="148"/>
      <c r="MZX58" s="148"/>
      <c r="MZY58" s="148"/>
      <c r="MZZ58" s="148"/>
      <c r="NAA58" s="148"/>
      <c r="NAB58" s="148"/>
      <c r="NAC58" s="148"/>
      <c r="NAD58" s="148"/>
      <c r="NAE58" s="148"/>
      <c r="NAF58" s="148"/>
      <c r="NAG58" s="148"/>
      <c r="NAH58" s="148"/>
      <c r="NAI58" s="148"/>
      <c r="NAJ58" s="148"/>
      <c r="NAK58" s="148"/>
      <c r="NAL58" s="148"/>
      <c r="NAM58" s="148"/>
      <c r="NAN58" s="148"/>
      <c r="NAO58" s="148"/>
      <c r="NAP58" s="148"/>
      <c r="NAQ58" s="148"/>
      <c r="NAR58" s="148"/>
      <c r="NAS58" s="148"/>
      <c r="NAT58" s="148"/>
      <c r="NAU58" s="148"/>
      <c r="NAV58" s="148"/>
      <c r="NAW58" s="148"/>
      <c r="NAX58" s="148"/>
      <c r="NAY58" s="148"/>
      <c r="NAZ58" s="148"/>
      <c r="NBA58" s="148"/>
      <c r="NBB58" s="148"/>
      <c r="NBC58" s="148"/>
      <c r="NBD58" s="148"/>
      <c r="NBE58" s="148"/>
      <c r="NBF58" s="148"/>
      <c r="NBG58" s="148"/>
      <c r="NBH58" s="148"/>
      <c r="NBI58" s="148"/>
      <c r="NBJ58" s="148"/>
      <c r="NBK58" s="148"/>
      <c r="NBL58" s="148"/>
      <c r="NBM58" s="148"/>
      <c r="NBN58" s="148"/>
      <c r="NBO58" s="148"/>
      <c r="NBP58" s="148"/>
      <c r="NBQ58" s="148"/>
      <c r="NBR58" s="148"/>
      <c r="NBS58" s="148"/>
      <c r="NBT58" s="148"/>
      <c r="NBU58" s="148"/>
      <c r="NBV58" s="148"/>
      <c r="NBW58" s="148"/>
      <c r="NBX58" s="148"/>
      <c r="NBY58" s="148"/>
      <c r="NBZ58" s="148"/>
      <c r="NCA58" s="148"/>
      <c r="NCB58" s="148"/>
      <c r="NCC58" s="148"/>
      <c r="NCD58" s="148"/>
      <c r="NCE58" s="148"/>
      <c r="NCF58" s="148"/>
      <c r="NCG58" s="148"/>
      <c r="NCH58" s="148"/>
      <c r="NCI58" s="148"/>
      <c r="NCJ58" s="148"/>
      <c r="NCK58" s="148"/>
      <c r="NCL58" s="148"/>
      <c r="NCM58" s="148"/>
      <c r="NCN58" s="148"/>
      <c r="NCO58" s="148"/>
      <c r="NCP58" s="148"/>
      <c r="NCQ58" s="148"/>
      <c r="NCR58" s="148"/>
      <c r="NCS58" s="148"/>
      <c r="NCT58" s="148"/>
      <c r="NCU58" s="148"/>
      <c r="NCV58" s="148"/>
      <c r="NCW58" s="148"/>
      <c r="NCX58" s="148"/>
      <c r="NCY58" s="148"/>
      <c r="NCZ58" s="148"/>
      <c r="NDA58" s="148"/>
      <c r="NDB58" s="148"/>
      <c r="NDC58" s="148"/>
      <c r="NDD58" s="148"/>
      <c r="NDE58" s="148"/>
      <c r="NDF58" s="148"/>
      <c r="NDG58" s="148"/>
      <c r="NDH58" s="148"/>
      <c r="NDI58" s="148"/>
      <c r="NDJ58" s="148"/>
      <c r="NDK58" s="148"/>
      <c r="NDL58" s="148"/>
      <c r="NDM58" s="148"/>
      <c r="NDN58" s="148"/>
      <c r="NDO58" s="148"/>
      <c r="NDP58" s="148"/>
      <c r="NDQ58" s="148"/>
      <c r="NDR58" s="148"/>
      <c r="NDS58" s="148"/>
      <c r="NDT58" s="148"/>
      <c r="NDU58" s="148"/>
      <c r="NDV58" s="148"/>
      <c r="NDW58" s="148"/>
      <c r="NDX58" s="148"/>
      <c r="NDY58" s="148"/>
      <c r="NDZ58" s="148"/>
      <c r="NEA58" s="148"/>
      <c r="NEB58" s="148"/>
      <c r="NEC58" s="148"/>
      <c r="NED58" s="148"/>
      <c r="NEE58" s="148"/>
      <c r="NEF58" s="148"/>
      <c r="NEG58" s="148"/>
      <c r="NEH58" s="148"/>
      <c r="NEI58" s="148"/>
      <c r="NEJ58" s="148"/>
      <c r="NEK58" s="148"/>
      <c r="NEL58" s="148"/>
      <c r="NEM58" s="148"/>
      <c r="NEN58" s="148"/>
      <c r="NEO58" s="148"/>
      <c r="NEP58" s="148"/>
      <c r="NEQ58" s="148"/>
      <c r="NER58" s="148"/>
      <c r="NES58" s="148"/>
      <c r="NET58" s="148"/>
      <c r="NEU58" s="148"/>
      <c r="NEV58" s="148"/>
      <c r="NEW58" s="148"/>
      <c r="NEX58" s="148"/>
      <c r="NEY58" s="148"/>
      <c r="NEZ58" s="148"/>
      <c r="NFA58" s="148"/>
      <c r="NFB58" s="148"/>
      <c r="NFC58" s="148"/>
      <c r="NFD58" s="148"/>
      <c r="NFE58" s="148"/>
      <c r="NFF58" s="148"/>
      <c r="NFG58" s="148"/>
      <c r="NFH58" s="148"/>
      <c r="NFI58" s="148"/>
      <c r="NFJ58" s="148"/>
      <c r="NFK58" s="148"/>
      <c r="NFL58" s="148"/>
      <c r="NFM58" s="148"/>
      <c r="NFN58" s="148"/>
      <c r="NFO58" s="148"/>
      <c r="NFP58" s="148"/>
      <c r="NFQ58" s="148"/>
      <c r="NFR58" s="148"/>
      <c r="NFS58" s="148"/>
      <c r="NFT58" s="148"/>
      <c r="NFU58" s="148"/>
      <c r="NFV58" s="148"/>
      <c r="NFW58" s="148"/>
      <c r="NFX58" s="148"/>
      <c r="NFY58" s="148"/>
      <c r="NFZ58" s="148"/>
      <c r="NGA58" s="148"/>
      <c r="NGB58" s="148"/>
      <c r="NGC58" s="148"/>
      <c r="NGD58" s="148"/>
      <c r="NGE58" s="148"/>
      <c r="NGF58" s="148"/>
      <c r="NGG58" s="148"/>
      <c r="NGH58" s="148"/>
      <c r="NGI58" s="148"/>
      <c r="NGJ58" s="148"/>
      <c r="NGK58" s="148"/>
      <c r="NGL58" s="148"/>
      <c r="NGM58" s="148"/>
      <c r="NGN58" s="148"/>
      <c r="NGO58" s="148"/>
      <c r="NGP58" s="148"/>
      <c r="NGQ58" s="148"/>
      <c r="NGR58" s="148"/>
      <c r="NGS58" s="148"/>
      <c r="NGT58" s="148"/>
      <c r="NGU58" s="148"/>
      <c r="NGV58" s="148"/>
      <c r="NGW58" s="148"/>
      <c r="NGX58" s="148"/>
      <c r="NGY58" s="148"/>
      <c r="NGZ58" s="148"/>
      <c r="NHA58" s="148"/>
      <c r="NHB58" s="148"/>
      <c r="NHC58" s="148"/>
      <c r="NHD58" s="148"/>
      <c r="NHE58" s="148"/>
      <c r="NHF58" s="148"/>
      <c r="NHG58" s="148"/>
      <c r="NHH58" s="148"/>
      <c r="NHI58" s="148"/>
      <c r="NHJ58" s="148"/>
      <c r="NHK58" s="148"/>
      <c r="NHL58" s="148"/>
      <c r="NHM58" s="148"/>
      <c r="NHN58" s="148"/>
      <c r="NHO58" s="148"/>
      <c r="NHP58" s="148"/>
      <c r="NHQ58" s="148"/>
      <c r="NHR58" s="148"/>
      <c r="NHS58" s="148"/>
      <c r="NHT58" s="148"/>
      <c r="NHU58" s="148"/>
      <c r="NHV58" s="148"/>
      <c r="NHW58" s="148"/>
      <c r="NHX58" s="148"/>
      <c r="NHY58" s="148"/>
      <c r="NHZ58" s="148"/>
      <c r="NIA58" s="148"/>
      <c r="NIB58" s="148"/>
      <c r="NIC58" s="148"/>
      <c r="NID58" s="148"/>
      <c r="NIE58" s="148"/>
      <c r="NIF58" s="148"/>
      <c r="NIG58" s="148"/>
      <c r="NIH58" s="148"/>
      <c r="NII58" s="148"/>
      <c r="NIJ58" s="148"/>
      <c r="NIK58" s="148"/>
      <c r="NIL58" s="148"/>
      <c r="NIM58" s="148"/>
      <c r="NIN58" s="148"/>
      <c r="NIO58" s="148"/>
      <c r="NIP58" s="148"/>
      <c r="NIQ58" s="148"/>
      <c r="NIR58" s="148"/>
      <c r="NIS58" s="148"/>
      <c r="NIT58" s="148"/>
      <c r="NIU58" s="148"/>
      <c r="NIV58" s="148"/>
      <c r="NIW58" s="148"/>
      <c r="NIX58" s="148"/>
      <c r="NIY58" s="148"/>
      <c r="NIZ58" s="148"/>
      <c r="NJA58" s="148"/>
      <c r="NJB58" s="148"/>
      <c r="NJC58" s="148"/>
      <c r="NJD58" s="148"/>
      <c r="NJE58" s="148"/>
      <c r="NJF58" s="148"/>
      <c r="NJG58" s="148"/>
      <c r="NJH58" s="148"/>
      <c r="NJI58" s="148"/>
      <c r="NJJ58" s="148"/>
      <c r="NJK58" s="148"/>
      <c r="NJL58" s="148"/>
      <c r="NJM58" s="148"/>
      <c r="NJN58" s="148"/>
      <c r="NJO58" s="148"/>
      <c r="NJP58" s="148"/>
      <c r="NJQ58" s="148"/>
      <c r="NJR58" s="148"/>
      <c r="NJS58" s="148"/>
      <c r="NJT58" s="148"/>
      <c r="NJU58" s="148"/>
      <c r="NJV58" s="148"/>
      <c r="NJW58" s="148"/>
      <c r="NJX58" s="148"/>
      <c r="NJY58" s="148"/>
      <c r="NJZ58" s="148"/>
      <c r="NKA58" s="148"/>
      <c r="NKB58" s="148"/>
      <c r="NKC58" s="148"/>
      <c r="NKD58" s="148"/>
      <c r="NKE58" s="148"/>
      <c r="NKF58" s="148"/>
      <c r="NKG58" s="148"/>
      <c r="NKH58" s="148"/>
      <c r="NKI58" s="148"/>
      <c r="NKJ58" s="148"/>
      <c r="NKK58" s="148"/>
      <c r="NKL58" s="148"/>
      <c r="NKM58" s="148"/>
      <c r="NKN58" s="148"/>
      <c r="NKO58" s="148"/>
      <c r="NKP58" s="148"/>
      <c r="NKQ58" s="148"/>
      <c r="NKR58" s="148"/>
      <c r="NKS58" s="148"/>
      <c r="NKT58" s="148"/>
      <c r="NKU58" s="148"/>
      <c r="NKV58" s="148"/>
      <c r="NKW58" s="148"/>
      <c r="NKX58" s="148"/>
      <c r="NKY58" s="148"/>
      <c r="NKZ58" s="148"/>
      <c r="NLA58" s="148"/>
      <c r="NLB58" s="148"/>
      <c r="NLC58" s="148"/>
      <c r="NLD58" s="148"/>
      <c r="NLE58" s="148"/>
      <c r="NLF58" s="148"/>
      <c r="NLG58" s="148"/>
      <c r="NLH58" s="148"/>
      <c r="NLI58" s="148"/>
      <c r="NLJ58" s="148"/>
      <c r="NLK58" s="148"/>
      <c r="NLL58" s="148"/>
      <c r="NLM58" s="148"/>
      <c r="NLN58" s="148"/>
      <c r="NLO58" s="148"/>
      <c r="NLP58" s="148"/>
      <c r="NLQ58" s="148"/>
      <c r="NLR58" s="148"/>
      <c r="NLS58" s="148"/>
      <c r="NLT58" s="148"/>
      <c r="NLU58" s="148"/>
      <c r="NLV58" s="148"/>
      <c r="NLW58" s="148"/>
      <c r="NLX58" s="148"/>
      <c r="NLY58" s="148"/>
      <c r="NLZ58" s="148"/>
      <c r="NMA58" s="148"/>
      <c r="NMB58" s="148"/>
      <c r="NMC58" s="148"/>
      <c r="NMD58" s="148"/>
      <c r="NME58" s="148"/>
      <c r="NMF58" s="148"/>
      <c r="NMG58" s="148"/>
      <c r="NMH58" s="148"/>
      <c r="NMI58" s="148"/>
      <c r="NMJ58" s="148"/>
      <c r="NMK58" s="148"/>
      <c r="NML58" s="148"/>
      <c r="NMM58" s="148"/>
      <c r="NMN58" s="148"/>
      <c r="NMO58" s="148"/>
      <c r="NMP58" s="148"/>
      <c r="NMQ58" s="148"/>
      <c r="NMR58" s="148"/>
      <c r="NMS58" s="148"/>
      <c r="NMT58" s="148"/>
      <c r="NMU58" s="148"/>
      <c r="NMV58" s="148"/>
      <c r="NMW58" s="148"/>
      <c r="NMX58" s="148"/>
      <c r="NMY58" s="148"/>
      <c r="NMZ58" s="148"/>
      <c r="NNA58" s="148"/>
      <c r="NNB58" s="148"/>
      <c r="NNC58" s="148"/>
      <c r="NND58" s="148"/>
      <c r="NNE58" s="148"/>
      <c r="NNF58" s="148"/>
      <c r="NNG58" s="148"/>
      <c r="NNH58" s="148"/>
      <c r="NNI58" s="148"/>
      <c r="NNJ58" s="148"/>
      <c r="NNK58" s="148"/>
      <c r="NNL58" s="148"/>
      <c r="NNM58" s="148"/>
      <c r="NNN58" s="148"/>
      <c r="NNO58" s="148"/>
      <c r="NNP58" s="148"/>
      <c r="NNQ58" s="148"/>
      <c r="NNR58" s="148"/>
      <c r="NNS58" s="148"/>
      <c r="NNT58" s="148"/>
      <c r="NNU58" s="148"/>
      <c r="NNV58" s="148"/>
      <c r="NNW58" s="148"/>
      <c r="NNX58" s="148"/>
      <c r="NNY58" s="148"/>
      <c r="NNZ58" s="148"/>
      <c r="NOA58" s="148"/>
      <c r="NOB58" s="148"/>
      <c r="NOC58" s="148"/>
      <c r="NOD58" s="148"/>
      <c r="NOE58" s="148"/>
      <c r="NOF58" s="148"/>
      <c r="NOG58" s="148"/>
      <c r="NOH58" s="148"/>
      <c r="NOI58" s="148"/>
      <c r="NOJ58" s="148"/>
      <c r="NOK58" s="148"/>
      <c r="NOL58" s="148"/>
      <c r="NOM58" s="148"/>
      <c r="NON58" s="148"/>
      <c r="NOO58" s="148"/>
      <c r="NOP58" s="148"/>
      <c r="NOQ58" s="148"/>
      <c r="NOR58" s="148"/>
      <c r="NOS58" s="148"/>
      <c r="NOT58" s="148"/>
      <c r="NOU58" s="148"/>
      <c r="NOV58" s="148"/>
      <c r="NOW58" s="148"/>
      <c r="NOX58" s="148"/>
      <c r="NOY58" s="148"/>
      <c r="NOZ58" s="148"/>
      <c r="NPA58" s="148"/>
      <c r="NPB58" s="148"/>
      <c r="NPC58" s="148"/>
      <c r="NPD58" s="148"/>
      <c r="NPE58" s="148"/>
      <c r="NPF58" s="148"/>
      <c r="NPG58" s="148"/>
      <c r="NPH58" s="148"/>
      <c r="NPI58" s="148"/>
      <c r="NPJ58" s="148"/>
      <c r="NPK58" s="148"/>
      <c r="NPL58" s="148"/>
      <c r="NPM58" s="148"/>
      <c r="NPN58" s="148"/>
      <c r="NPO58" s="148"/>
      <c r="NPP58" s="148"/>
      <c r="NPQ58" s="148"/>
      <c r="NPR58" s="148"/>
      <c r="NPS58" s="148"/>
      <c r="NPT58" s="148"/>
      <c r="NPU58" s="148"/>
      <c r="NPV58" s="148"/>
      <c r="NPW58" s="148"/>
      <c r="NPX58" s="148"/>
      <c r="NPY58" s="148"/>
      <c r="NPZ58" s="148"/>
      <c r="NQA58" s="148"/>
      <c r="NQB58" s="148"/>
      <c r="NQC58" s="148"/>
      <c r="NQD58" s="148"/>
      <c r="NQE58" s="148"/>
      <c r="NQF58" s="148"/>
      <c r="NQG58" s="148"/>
      <c r="NQH58" s="148"/>
      <c r="NQI58" s="148"/>
      <c r="NQJ58" s="148"/>
      <c r="NQK58" s="148"/>
      <c r="NQL58" s="148"/>
      <c r="NQM58" s="148"/>
      <c r="NQN58" s="148"/>
      <c r="NQO58" s="148"/>
      <c r="NQP58" s="148"/>
      <c r="NQQ58" s="148"/>
      <c r="NQR58" s="148"/>
      <c r="NQS58" s="148"/>
      <c r="NQT58" s="148"/>
      <c r="NQU58" s="148"/>
      <c r="NQV58" s="148"/>
      <c r="NQW58" s="148"/>
      <c r="NQX58" s="148"/>
      <c r="NQY58" s="148"/>
      <c r="NQZ58" s="148"/>
      <c r="NRA58" s="148"/>
      <c r="NRB58" s="148"/>
      <c r="NRC58" s="148"/>
      <c r="NRD58" s="148"/>
      <c r="NRE58" s="148"/>
      <c r="NRF58" s="148"/>
      <c r="NRG58" s="148"/>
      <c r="NRH58" s="148"/>
      <c r="NRI58" s="148"/>
      <c r="NRJ58" s="148"/>
      <c r="NRK58" s="148"/>
      <c r="NRL58" s="148"/>
      <c r="NRM58" s="148"/>
      <c r="NRN58" s="148"/>
      <c r="NRO58" s="148"/>
      <c r="NRP58" s="148"/>
      <c r="NRQ58" s="148"/>
      <c r="NRR58" s="148"/>
      <c r="NRS58" s="148"/>
      <c r="NRT58" s="148"/>
      <c r="NRU58" s="148"/>
      <c r="NRV58" s="148"/>
      <c r="NRW58" s="148"/>
      <c r="NRX58" s="148"/>
      <c r="NRY58" s="148"/>
      <c r="NRZ58" s="148"/>
      <c r="NSA58" s="148"/>
      <c r="NSB58" s="148"/>
      <c r="NSC58" s="148"/>
      <c r="NSD58" s="148"/>
      <c r="NSE58" s="148"/>
      <c r="NSF58" s="148"/>
      <c r="NSG58" s="148"/>
      <c r="NSH58" s="148"/>
      <c r="NSI58" s="148"/>
      <c r="NSJ58" s="148"/>
      <c r="NSK58" s="148"/>
      <c r="NSL58" s="148"/>
      <c r="NSM58" s="148"/>
      <c r="NSN58" s="148"/>
      <c r="NSO58" s="148"/>
      <c r="NSP58" s="148"/>
      <c r="NSQ58" s="148"/>
      <c r="NSR58" s="148"/>
      <c r="NSS58" s="148"/>
      <c r="NST58" s="148"/>
      <c r="NSU58" s="148"/>
      <c r="NSV58" s="148"/>
      <c r="NSW58" s="148"/>
      <c r="NSX58" s="148"/>
      <c r="NSY58" s="148"/>
      <c r="NSZ58" s="148"/>
      <c r="NTA58" s="148"/>
      <c r="NTB58" s="148"/>
      <c r="NTC58" s="148"/>
      <c r="NTD58" s="148"/>
      <c r="NTE58" s="148"/>
      <c r="NTF58" s="148"/>
      <c r="NTG58" s="148"/>
      <c r="NTH58" s="148"/>
      <c r="NTI58" s="148"/>
      <c r="NTJ58" s="148"/>
      <c r="NTK58" s="148"/>
      <c r="NTL58" s="148"/>
      <c r="NTM58" s="148"/>
      <c r="NTN58" s="148"/>
      <c r="NTO58" s="148"/>
      <c r="NTP58" s="148"/>
      <c r="NTQ58" s="148"/>
      <c r="NTR58" s="148"/>
      <c r="NTS58" s="148"/>
      <c r="NTT58" s="148"/>
      <c r="NTU58" s="148"/>
      <c r="NTV58" s="148"/>
      <c r="NTW58" s="148"/>
      <c r="NTX58" s="148"/>
      <c r="NTY58" s="148"/>
      <c r="NTZ58" s="148"/>
      <c r="NUA58" s="148"/>
      <c r="NUB58" s="148"/>
      <c r="NUC58" s="148"/>
      <c r="NUD58" s="148"/>
      <c r="NUE58" s="148"/>
      <c r="NUF58" s="148"/>
      <c r="NUG58" s="148"/>
      <c r="NUH58" s="148"/>
      <c r="NUI58" s="148"/>
      <c r="NUJ58" s="148"/>
      <c r="NUK58" s="148"/>
      <c r="NUL58" s="148"/>
      <c r="NUM58" s="148"/>
      <c r="NUN58" s="148"/>
      <c r="NUO58" s="148"/>
      <c r="NUP58" s="148"/>
      <c r="NUQ58" s="148"/>
      <c r="NUR58" s="148"/>
      <c r="NUS58" s="148"/>
      <c r="NUT58" s="148"/>
      <c r="NUU58" s="148"/>
      <c r="NUV58" s="148"/>
      <c r="NUW58" s="148"/>
      <c r="NUX58" s="148"/>
      <c r="NUY58" s="148"/>
      <c r="NUZ58" s="148"/>
      <c r="NVA58" s="148"/>
      <c r="NVB58" s="148"/>
      <c r="NVC58" s="148"/>
      <c r="NVD58" s="148"/>
      <c r="NVE58" s="148"/>
      <c r="NVF58" s="148"/>
      <c r="NVG58" s="148"/>
      <c r="NVH58" s="148"/>
      <c r="NVI58" s="148"/>
      <c r="NVJ58" s="148"/>
      <c r="NVK58" s="148"/>
      <c r="NVL58" s="148"/>
      <c r="NVM58" s="148"/>
      <c r="NVN58" s="148"/>
      <c r="NVO58" s="148"/>
      <c r="NVP58" s="148"/>
      <c r="NVQ58" s="148"/>
      <c r="NVR58" s="148"/>
      <c r="NVS58" s="148"/>
      <c r="NVT58" s="148"/>
      <c r="NVU58" s="148"/>
      <c r="NVV58" s="148"/>
      <c r="NVW58" s="148"/>
      <c r="NVX58" s="148"/>
      <c r="NVY58" s="148"/>
      <c r="NVZ58" s="148"/>
      <c r="NWA58" s="148"/>
      <c r="NWB58" s="148"/>
      <c r="NWC58" s="148"/>
      <c r="NWD58" s="148"/>
      <c r="NWE58" s="148"/>
      <c r="NWF58" s="148"/>
      <c r="NWG58" s="148"/>
      <c r="NWH58" s="148"/>
      <c r="NWI58" s="148"/>
      <c r="NWJ58" s="148"/>
      <c r="NWK58" s="148"/>
      <c r="NWL58" s="148"/>
      <c r="NWM58" s="148"/>
      <c r="NWN58" s="148"/>
      <c r="NWO58" s="148"/>
      <c r="NWP58" s="148"/>
      <c r="NWQ58" s="148"/>
      <c r="NWR58" s="148"/>
      <c r="NWS58" s="148"/>
      <c r="NWT58" s="148"/>
      <c r="NWU58" s="148"/>
      <c r="NWV58" s="148"/>
      <c r="NWW58" s="148"/>
      <c r="NWX58" s="148"/>
      <c r="NWY58" s="148"/>
      <c r="NWZ58" s="148"/>
      <c r="NXA58" s="148"/>
      <c r="NXB58" s="148"/>
      <c r="NXC58" s="148"/>
      <c r="NXD58" s="148"/>
      <c r="NXE58" s="148"/>
      <c r="NXF58" s="148"/>
      <c r="NXG58" s="148"/>
      <c r="NXH58" s="148"/>
      <c r="NXI58" s="148"/>
      <c r="NXJ58" s="148"/>
      <c r="NXK58" s="148"/>
      <c r="NXL58" s="148"/>
      <c r="NXM58" s="148"/>
      <c r="NXN58" s="148"/>
      <c r="NXO58" s="148"/>
      <c r="NXP58" s="148"/>
      <c r="NXQ58" s="148"/>
      <c r="NXR58" s="148"/>
      <c r="NXS58" s="148"/>
      <c r="NXT58" s="148"/>
      <c r="NXU58" s="148"/>
      <c r="NXV58" s="148"/>
      <c r="NXW58" s="148"/>
      <c r="NXX58" s="148"/>
      <c r="NXY58" s="148"/>
      <c r="NXZ58" s="148"/>
      <c r="NYA58" s="148"/>
      <c r="NYB58" s="148"/>
      <c r="NYC58" s="148"/>
      <c r="NYD58" s="148"/>
      <c r="NYE58" s="148"/>
      <c r="NYF58" s="148"/>
      <c r="NYG58" s="148"/>
      <c r="NYH58" s="148"/>
      <c r="NYI58" s="148"/>
      <c r="NYJ58" s="148"/>
      <c r="NYK58" s="148"/>
      <c r="NYL58" s="148"/>
      <c r="NYM58" s="148"/>
      <c r="NYN58" s="148"/>
      <c r="NYO58" s="148"/>
      <c r="NYP58" s="148"/>
      <c r="NYQ58" s="148"/>
      <c r="NYR58" s="148"/>
      <c r="NYS58" s="148"/>
      <c r="NYT58" s="148"/>
      <c r="NYU58" s="148"/>
      <c r="NYV58" s="148"/>
      <c r="NYW58" s="148"/>
      <c r="NYX58" s="148"/>
      <c r="NYY58" s="148"/>
      <c r="NYZ58" s="148"/>
      <c r="NZA58" s="148"/>
      <c r="NZB58" s="148"/>
      <c r="NZC58" s="148"/>
      <c r="NZD58" s="148"/>
      <c r="NZE58" s="148"/>
      <c r="NZF58" s="148"/>
      <c r="NZG58" s="148"/>
      <c r="NZH58" s="148"/>
      <c r="NZI58" s="148"/>
      <c r="NZJ58" s="148"/>
      <c r="NZK58" s="148"/>
      <c r="NZL58" s="148"/>
      <c r="NZM58" s="148"/>
      <c r="NZN58" s="148"/>
      <c r="NZO58" s="148"/>
      <c r="NZP58" s="148"/>
      <c r="NZQ58" s="148"/>
      <c r="NZR58" s="148"/>
      <c r="NZS58" s="148"/>
      <c r="NZT58" s="148"/>
      <c r="NZU58" s="148"/>
      <c r="NZV58" s="148"/>
      <c r="NZW58" s="148"/>
      <c r="NZX58" s="148"/>
      <c r="NZY58" s="148"/>
      <c r="NZZ58" s="148"/>
      <c r="OAA58" s="148"/>
      <c r="OAB58" s="148"/>
      <c r="OAC58" s="148"/>
      <c r="OAD58" s="148"/>
      <c r="OAE58" s="148"/>
      <c r="OAF58" s="148"/>
      <c r="OAG58" s="148"/>
      <c r="OAH58" s="148"/>
      <c r="OAI58" s="148"/>
      <c r="OAJ58" s="148"/>
      <c r="OAK58" s="148"/>
      <c r="OAL58" s="148"/>
      <c r="OAM58" s="148"/>
      <c r="OAN58" s="148"/>
      <c r="OAO58" s="148"/>
      <c r="OAP58" s="148"/>
      <c r="OAQ58" s="148"/>
      <c r="OAR58" s="148"/>
      <c r="OAS58" s="148"/>
      <c r="OAT58" s="148"/>
      <c r="OAU58" s="148"/>
      <c r="OAV58" s="148"/>
      <c r="OAW58" s="148"/>
      <c r="OAX58" s="148"/>
      <c r="OAY58" s="148"/>
      <c r="OAZ58" s="148"/>
      <c r="OBA58" s="148"/>
      <c r="OBB58" s="148"/>
      <c r="OBC58" s="148"/>
      <c r="OBD58" s="148"/>
      <c r="OBE58" s="148"/>
      <c r="OBF58" s="148"/>
      <c r="OBG58" s="148"/>
      <c r="OBH58" s="148"/>
      <c r="OBI58" s="148"/>
      <c r="OBJ58" s="148"/>
      <c r="OBK58" s="148"/>
      <c r="OBL58" s="148"/>
      <c r="OBM58" s="148"/>
      <c r="OBN58" s="148"/>
      <c r="OBO58" s="148"/>
      <c r="OBP58" s="148"/>
      <c r="OBQ58" s="148"/>
      <c r="OBR58" s="148"/>
      <c r="OBS58" s="148"/>
      <c r="OBT58" s="148"/>
      <c r="OBU58" s="148"/>
      <c r="OBV58" s="148"/>
      <c r="OBW58" s="148"/>
      <c r="OBX58" s="148"/>
      <c r="OBY58" s="148"/>
      <c r="OBZ58" s="148"/>
      <c r="OCA58" s="148"/>
      <c r="OCB58" s="148"/>
      <c r="OCC58" s="148"/>
      <c r="OCD58" s="148"/>
      <c r="OCE58" s="148"/>
      <c r="OCF58" s="148"/>
      <c r="OCG58" s="148"/>
      <c r="OCH58" s="148"/>
      <c r="OCI58" s="148"/>
      <c r="OCJ58" s="148"/>
      <c r="OCK58" s="148"/>
      <c r="OCL58" s="148"/>
      <c r="OCM58" s="148"/>
      <c r="OCN58" s="148"/>
      <c r="OCO58" s="148"/>
      <c r="OCP58" s="148"/>
      <c r="OCQ58" s="148"/>
      <c r="OCR58" s="148"/>
      <c r="OCS58" s="148"/>
      <c r="OCT58" s="148"/>
      <c r="OCU58" s="148"/>
      <c r="OCV58" s="148"/>
      <c r="OCW58" s="148"/>
      <c r="OCX58" s="148"/>
      <c r="OCY58" s="148"/>
      <c r="OCZ58" s="148"/>
      <c r="ODA58" s="148"/>
      <c r="ODB58" s="148"/>
      <c r="ODC58" s="148"/>
      <c r="ODD58" s="148"/>
      <c r="ODE58" s="148"/>
      <c r="ODF58" s="148"/>
      <c r="ODG58" s="148"/>
      <c r="ODH58" s="148"/>
      <c r="ODI58" s="148"/>
      <c r="ODJ58" s="148"/>
      <c r="ODK58" s="148"/>
      <c r="ODL58" s="148"/>
      <c r="ODM58" s="148"/>
      <c r="ODN58" s="148"/>
      <c r="ODO58" s="148"/>
      <c r="ODP58" s="148"/>
      <c r="ODQ58" s="148"/>
      <c r="ODR58" s="148"/>
      <c r="ODS58" s="148"/>
      <c r="ODT58" s="148"/>
      <c r="ODU58" s="148"/>
      <c r="ODV58" s="148"/>
      <c r="ODW58" s="148"/>
      <c r="ODX58" s="148"/>
      <c r="ODY58" s="148"/>
      <c r="ODZ58" s="148"/>
      <c r="OEA58" s="148"/>
      <c r="OEB58" s="148"/>
      <c r="OEC58" s="148"/>
      <c r="OED58" s="148"/>
      <c r="OEE58" s="148"/>
      <c r="OEF58" s="148"/>
      <c r="OEG58" s="148"/>
      <c r="OEH58" s="148"/>
      <c r="OEI58" s="148"/>
      <c r="OEJ58" s="148"/>
      <c r="OEK58" s="148"/>
      <c r="OEL58" s="148"/>
      <c r="OEM58" s="148"/>
      <c r="OEN58" s="148"/>
      <c r="OEO58" s="148"/>
      <c r="OEP58" s="148"/>
      <c r="OEQ58" s="148"/>
      <c r="OER58" s="148"/>
      <c r="OES58" s="148"/>
      <c r="OET58" s="148"/>
      <c r="OEU58" s="148"/>
      <c r="OEV58" s="148"/>
      <c r="OEW58" s="148"/>
      <c r="OEX58" s="148"/>
      <c r="OEY58" s="148"/>
      <c r="OEZ58" s="148"/>
      <c r="OFA58" s="148"/>
      <c r="OFB58" s="148"/>
      <c r="OFC58" s="148"/>
      <c r="OFD58" s="148"/>
      <c r="OFE58" s="148"/>
      <c r="OFF58" s="148"/>
      <c r="OFG58" s="148"/>
      <c r="OFH58" s="148"/>
      <c r="OFI58" s="148"/>
      <c r="OFJ58" s="148"/>
      <c r="OFK58" s="148"/>
      <c r="OFL58" s="148"/>
      <c r="OFM58" s="148"/>
      <c r="OFN58" s="148"/>
      <c r="OFO58" s="148"/>
      <c r="OFP58" s="148"/>
      <c r="OFQ58" s="148"/>
      <c r="OFR58" s="148"/>
      <c r="OFS58" s="148"/>
      <c r="OFT58" s="148"/>
      <c r="OFU58" s="148"/>
      <c r="OFV58" s="148"/>
      <c r="OFW58" s="148"/>
      <c r="OFX58" s="148"/>
      <c r="OFY58" s="148"/>
      <c r="OFZ58" s="148"/>
      <c r="OGA58" s="148"/>
      <c r="OGB58" s="148"/>
      <c r="OGC58" s="148"/>
      <c r="OGD58" s="148"/>
      <c r="OGE58" s="148"/>
      <c r="OGF58" s="148"/>
      <c r="OGG58" s="148"/>
      <c r="OGH58" s="148"/>
      <c r="OGI58" s="148"/>
      <c r="OGJ58" s="148"/>
      <c r="OGK58" s="148"/>
      <c r="OGL58" s="148"/>
      <c r="OGM58" s="148"/>
      <c r="OGN58" s="148"/>
      <c r="OGO58" s="148"/>
      <c r="OGP58" s="148"/>
      <c r="OGQ58" s="148"/>
      <c r="OGR58" s="148"/>
      <c r="OGS58" s="148"/>
      <c r="OGT58" s="148"/>
      <c r="OGU58" s="148"/>
      <c r="OGV58" s="148"/>
      <c r="OGW58" s="148"/>
      <c r="OGX58" s="148"/>
      <c r="OGY58" s="148"/>
      <c r="OGZ58" s="148"/>
      <c r="OHA58" s="148"/>
      <c r="OHB58" s="148"/>
      <c r="OHC58" s="148"/>
      <c r="OHD58" s="148"/>
      <c r="OHE58" s="148"/>
      <c r="OHF58" s="148"/>
      <c r="OHG58" s="148"/>
      <c r="OHH58" s="148"/>
      <c r="OHI58" s="148"/>
      <c r="OHJ58" s="148"/>
      <c r="OHK58" s="148"/>
      <c r="OHL58" s="148"/>
      <c r="OHM58" s="148"/>
      <c r="OHN58" s="148"/>
      <c r="OHO58" s="148"/>
      <c r="OHP58" s="148"/>
      <c r="OHQ58" s="148"/>
      <c r="OHR58" s="148"/>
      <c r="OHS58" s="148"/>
      <c r="OHT58" s="148"/>
      <c r="OHU58" s="148"/>
      <c r="OHV58" s="148"/>
      <c r="OHW58" s="148"/>
      <c r="OHX58" s="148"/>
      <c r="OHY58" s="148"/>
      <c r="OHZ58" s="148"/>
      <c r="OIA58" s="148"/>
      <c r="OIB58" s="148"/>
      <c r="OIC58" s="148"/>
      <c r="OID58" s="148"/>
      <c r="OIE58" s="148"/>
      <c r="OIF58" s="148"/>
      <c r="OIG58" s="148"/>
      <c r="OIH58" s="148"/>
      <c r="OII58" s="148"/>
      <c r="OIJ58" s="148"/>
      <c r="OIK58" s="148"/>
      <c r="OIL58" s="148"/>
      <c r="OIM58" s="148"/>
      <c r="OIN58" s="148"/>
      <c r="OIO58" s="148"/>
      <c r="OIP58" s="148"/>
      <c r="OIQ58" s="148"/>
      <c r="OIR58" s="148"/>
      <c r="OIS58" s="148"/>
      <c r="OIT58" s="148"/>
      <c r="OIU58" s="148"/>
      <c r="OIV58" s="148"/>
      <c r="OIW58" s="148"/>
      <c r="OIX58" s="148"/>
      <c r="OIY58" s="148"/>
      <c r="OIZ58" s="148"/>
      <c r="OJA58" s="148"/>
      <c r="OJB58" s="148"/>
      <c r="OJC58" s="148"/>
      <c r="OJD58" s="148"/>
      <c r="OJE58" s="148"/>
      <c r="OJF58" s="148"/>
      <c r="OJG58" s="148"/>
      <c r="OJH58" s="148"/>
      <c r="OJI58" s="148"/>
      <c r="OJJ58" s="148"/>
      <c r="OJK58" s="148"/>
      <c r="OJL58" s="148"/>
      <c r="OJM58" s="148"/>
      <c r="OJN58" s="148"/>
      <c r="OJO58" s="148"/>
      <c r="OJP58" s="148"/>
      <c r="OJQ58" s="148"/>
      <c r="OJR58" s="148"/>
      <c r="OJS58" s="148"/>
      <c r="OJT58" s="148"/>
      <c r="OJU58" s="148"/>
      <c r="OJV58" s="148"/>
      <c r="OJW58" s="148"/>
      <c r="OJX58" s="148"/>
      <c r="OJY58" s="148"/>
      <c r="OJZ58" s="148"/>
      <c r="OKA58" s="148"/>
      <c r="OKB58" s="148"/>
      <c r="OKC58" s="148"/>
      <c r="OKD58" s="148"/>
      <c r="OKE58" s="148"/>
      <c r="OKF58" s="148"/>
      <c r="OKG58" s="148"/>
      <c r="OKH58" s="148"/>
      <c r="OKI58" s="148"/>
      <c r="OKJ58" s="148"/>
      <c r="OKK58" s="148"/>
      <c r="OKL58" s="148"/>
      <c r="OKM58" s="148"/>
      <c r="OKN58" s="148"/>
      <c r="OKO58" s="148"/>
      <c r="OKP58" s="148"/>
      <c r="OKQ58" s="148"/>
      <c r="OKR58" s="148"/>
      <c r="OKS58" s="148"/>
      <c r="OKT58" s="148"/>
      <c r="OKU58" s="148"/>
      <c r="OKV58" s="148"/>
      <c r="OKW58" s="148"/>
      <c r="OKX58" s="148"/>
      <c r="OKY58" s="148"/>
      <c r="OKZ58" s="148"/>
      <c r="OLA58" s="148"/>
      <c r="OLB58" s="148"/>
      <c r="OLC58" s="148"/>
      <c r="OLD58" s="148"/>
      <c r="OLE58" s="148"/>
      <c r="OLF58" s="148"/>
      <c r="OLG58" s="148"/>
      <c r="OLH58" s="148"/>
      <c r="OLI58" s="148"/>
      <c r="OLJ58" s="148"/>
      <c r="OLK58" s="148"/>
      <c r="OLL58" s="148"/>
      <c r="OLM58" s="148"/>
      <c r="OLN58" s="148"/>
      <c r="OLO58" s="148"/>
      <c r="OLP58" s="148"/>
      <c r="OLQ58" s="148"/>
      <c r="OLR58" s="148"/>
      <c r="OLS58" s="148"/>
      <c r="OLT58" s="148"/>
      <c r="OLU58" s="148"/>
      <c r="OLV58" s="148"/>
      <c r="OLW58" s="148"/>
      <c r="OLX58" s="148"/>
      <c r="OLY58" s="148"/>
      <c r="OLZ58" s="148"/>
      <c r="OMA58" s="148"/>
      <c r="OMB58" s="148"/>
      <c r="OMC58" s="148"/>
      <c r="OMD58" s="148"/>
      <c r="OME58" s="148"/>
      <c r="OMF58" s="148"/>
      <c r="OMG58" s="148"/>
      <c r="OMH58" s="148"/>
      <c r="OMI58" s="148"/>
      <c r="OMJ58" s="148"/>
      <c r="OMK58" s="148"/>
      <c r="OML58" s="148"/>
      <c r="OMM58" s="148"/>
      <c r="OMN58" s="148"/>
      <c r="OMO58" s="148"/>
      <c r="OMP58" s="148"/>
      <c r="OMQ58" s="148"/>
      <c r="OMR58" s="148"/>
      <c r="OMS58" s="148"/>
      <c r="OMT58" s="148"/>
      <c r="OMU58" s="148"/>
      <c r="OMV58" s="148"/>
      <c r="OMW58" s="148"/>
      <c r="OMX58" s="148"/>
      <c r="OMY58" s="148"/>
      <c r="OMZ58" s="148"/>
      <c r="ONA58" s="148"/>
      <c r="ONB58" s="148"/>
      <c r="ONC58" s="148"/>
      <c r="OND58" s="148"/>
      <c r="ONE58" s="148"/>
      <c r="ONF58" s="148"/>
      <c r="ONG58" s="148"/>
      <c r="ONH58" s="148"/>
      <c r="ONI58" s="148"/>
      <c r="ONJ58" s="148"/>
      <c r="ONK58" s="148"/>
      <c r="ONL58" s="148"/>
      <c r="ONM58" s="148"/>
      <c r="ONN58" s="148"/>
      <c r="ONO58" s="148"/>
      <c r="ONP58" s="148"/>
      <c r="ONQ58" s="148"/>
      <c r="ONR58" s="148"/>
      <c r="ONS58" s="148"/>
      <c r="ONT58" s="148"/>
      <c r="ONU58" s="148"/>
      <c r="ONV58" s="148"/>
      <c r="ONW58" s="148"/>
      <c r="ONX58" s="148"/>
      <c r="ONY58" s="148"/>
      <c r="ONZ58" s="148"/>
      <c r="OOA58" s="148"/>
      <c r="OOB58" s="148"/>
      <c r="OOC58" s="148"/>
      <c r="OOD58" s="148"/>
      <c r="OOE58" s="148"/>
      <c r="OOF58" s="148"/>
      <c r="OOG58" s="148"/>
      <c r="OOH58" s="148"/>
      <c r="OOI58" s="148"/>
      <c r="OOJ58" s="148"/>
      <c r="OOK58" s="148"/>
      <c r="OOL58" s="148"/>
      <c r="OOM58" s="148"/>
      <c r="OON58" s="148"/>
      <c r="OOO58" s="148"/>
      <c r="OOP58" s="148"/>
      <c r="OOQ58" s="148"/>
      <c r="OOR58" s="148"/>
      <c r="OOS58" s="148"/>
      <c r="OOT58" s="148"/>
      <c r="OOU58" s="148"/>
      <c r="OOV58" s="148"/>
      <c r="OOW58" s="148"/>
      <c r="OOX58" s="148"/>
      <c r="OOY58" s="148"/>
      <c r="OOZ58" s="148"/>
      <c r="OPA58" s="148"/>
      <c r="OPB58" s="148"/>
      <c r="OPC58" s="148"/>
      <c r="OPD58" s="148"/>
      <c r="OPE58" s="148"/>
      <c r="OPF58" s="148"/>
      <c r="OPG58" s="148"/>
      <c r="OPH58" s="148"/>
      <c r="OPI58" s="148"/>
      <c r="OPJ58" s="148"/>
      <c r="OPK58" s="148"/>
      <c r="OPL58" s="148"/>
      <c r="OPM58" s="148"/>
      <c r="OPN58" s="148"/>
      <c r="OPO58" s="148"/>
      <c r="OPP58" s="148"/>
      <c r="OPQ58" s="148"/>
      <c r="OPR58" s="148"/>
      <c r="OPS58" s="148"/>
      <c r="OPT58" s="148"/>
      <c r="OPU58" s="148"/>
      <c r="OPV58" s="148"/>
      <c r="OPW58" s="148"/>
      <c r="OPX58" s="148"/>
      <c r="OPY58" s="148"/>
      <c r="OPZ58" s="148"/>
      <c r="OQA58" s="148"/>
      <c r="OQB58" s="148"/>
      <c r="OQC58" s="148"/>
      <c r="OQD58" s="148"/>
      <c r="OQE58" s="148"/>
      <c r="OQF58" s="148"/>
      <c r="OQG58" s="148"/>
      <c r="OQH58" s="148"/>
      <c r="OQI58" s="148"/>
      <c r="OQJ58" s="148"/>
      <c r="OQK58" s="148"/>
      <c r="OQL58" s="148"/>
      <c r="OQM58" s="148"/>
      <c r="OQN58" s="148"/>
      <c r="OQO58" s="148"/>
      <c r="OQP58" s="148"/>
      <c r="OQQ58" s="148"/>
      <c r="OQR58" s="148"/>
      <c r="OQS58" s="148"/>
      <c r="OQT58" s="148"/>
      <c r="OQU58" s="148"/>
      <c r="OQV58" s="148"/>
      <c r="OQW58" s="148"/>
      <c r="OQX58" s="148"/>
      <c r="OQY58" s="148"/>
      <c r="OQZ58" s="148"/>
      <c r="ORA58" s="148"/>
      <c r="ORB58" s="148"/>
      <c r="ORC58" s="148"/>
      <c r="ORD58" s="148"/>
      <c r="ORE58" s="148"/>
      <c r="ORF58" s="148"/>
      <c r="ORG58" s="148"/>
      <c r="ORH58" s="148"/>
      <c r="ORI58" s="148"/>
      <c r="ORJ58" s="148"/>
      <c r="ORK58" s="148"/>
      <c r="ORL58" s="148"/>
      <c r="ORM58" s="148"/>
      <c r="ORN58" s="148"/>
      <c r="ORO58" s="148"/>
      <c r="ORP58" s="148"/>
      <c r="ORQ58" s="148"/>
      <c r="ORR58" s="148"/>
      <c r="ORS58" s="148"/>
      <c r="ORT58" s="148"/>
      <c r="ORU58" s="148"/>
      <c r="ORV58" s="148"/>
      <c r="ORW58" s="148"/>
      <c r="ORX58" s="148"/>
      <c r="ORY58" s="148"/>
      <c r="ORZ58" s="148"/>
      <c r="OSA58" s="148"/>
      <c r="OSB58" s="148"/>
      <c r="OSC58" s="148"/>
      <c r="OSD58" s="148"/>
      <c r="OSE58" s="148"/>
      <c r="OSF58" s="148"/>
      <c r="OSG58" s="148"/>
      <c r="OSH58" s="148"/>
      <c r="OSI58" s="148"/>
      <c r="OSJ58" s="148"/>
      <c r="OSK58" s="148"/>
      <c r="OSL58" s="148"/>
      <c r="OSM58" s="148"/>
      <c r="OSN58" s="148"/>
      <c r="OSO58" s="148"/>
      <c r="OSP58" s="148"/>
      <c r="OSQ58" s="148"/>
      <c r="OSR58" s="148"/>
      <c r="OSS58" s="148"/>
      <c r="OST58" s="148"/>
      <c r="OSU58" s="148"/>
      <c r="OSV58" s="148"/>
      <c r="OSW58" s="148"/>
      <c r="OSX58" s="148"/>
      <c r="OSY58" s="148"/>
      <c r="OSZ58" s="148"/>
      <c r="OTA58" s="148"/>
      <c r="OTB58" s="148"/>
      <c r="OTC58" s="148"/>
      <c r="OTD58" s="148"/>
      <c r="OTE58" s="148"/>
      <c r="OTF58" s="148"/>
      <c r="OTG58" s="148"/>
      <c r="OTH58" s="148"/>
      <c r="OTI58" s="148"/>
      <c r="OTJ58" s="148"/>
      <c r="OTK58" s="148"/>
      <c r="OTL58" s="148"/>
      <c r="OTM58" s="148"/>
      <c r="OTN58" s="148"/>
      <c r="OTO58" s="148"/>
      <c r="OTP58" s="148"/>
      <c r="OTQ58" s="148"/>
      <c r="OTR58" s="148"/>
      <c r="OTS58" s="148"/>
      <c r="OTT58" s="148"/>
      <c r="OTU58" s="148"/>
      <c r="OTV58" s="148"/>
      <c r="OTW58" s="148"/>
      <c r="OTX58" s="148"/>
      <c r="OTY58" s="148"/>
      <c r="OTZ58" s="148"/>
      <c r="OUA58" s="148"/>
      <c r="OUB58" s="148"/>
      <c r="OUC58" s="148"/>
      <c r="OUD58" s="148"/>
      <c r="OUE58" s="148"/>
      <c r="OUF58" s="148"/>
      <c r="OUG58" s="148"/>
      <c r="OUH58" s="148"/>
      <c r="OUI58" s="148"/>
      <c r="OUJ58" s="148"/>
      <c r="OUK58" s="148"/>
      <c r="OUL58" s="148"/>
      <c r="OUM58" s="148"/>
      <c r="OUN58" s="148"/>
      <c r="OUO58" s="148"/>
      <c r="OUP58" s="148"/>
      <c r="OUQ58" s="148"/>
      <c r="OUR58" s="148"/>
      <c r="OUS58" s="148"/>
      <c r="OUT58" s="148"/>
      <c r="OUU58" s="148"/>
      <c r="OUV58" s="148"/>
      <c r="OUW58" s="148"/>
      <c r="OUX58" s="148"/>
      <c r="OUY58" s="148"/>
      <c r="OUZ58" s="148"/>
      <c r="OVA58" s="148"/>
      <c r="OVB58" s="148"/>
      <c r="OVC58" s="148"/>
      <c r="OVD58" s="148"/>
      <c r="OVE58" s="148"/>
      <c r="OVF58" s="148"/>
      <c r="OVG58" s="148"/>
      <c r="OVH58" s="148"/>
      <c r="OVI58" s="148"/>
      <c r="OVJ58" s="148"/>
      <c r="OVK58" s="148"/>
      <c r="OVL58" s="148"/>
      <c r="OVM58" s="148"/>
      <c r="OVN58" s="148"/>
      <c r="OVO58" s="148"/>
      <c r="OVP58" s="148"/>
      <c r="OVQ58" s="148"/>
      <c r="OVR58" s="148"/>
      <c r="OVS58" s="148"/>
      <c r="OVT58" s="148"/>
      <c r="OVU58" s="148"/>
      <c r="OVV58" s="148"/>
      <c r="OVW58" s="148"/>
      <c r="OVX58" s="148"/>
      <c r="OVY58" s="148"/>
      <c r="OVZ58" s="148"/>
      <c r="OWA58" s="148"/>
      <c r="OWB58" s="148"/>
      <c r="OWC58" s="148"/>
      <c r="OWD58" s="148"/>
      <c r="OWE58" s="148"/>
      <c r="OWF58" s="148"/>
      <c r="OWG58" s="148"/>
      <c r="OWH58" s="148"/>
      <c r="OWI58" s="148"/>
      <c r="OWJ58" s="148"/>
      <c r="OWK58" s="148"/>
      <c r="OWL58" s="148"/>
      <c r="OWM58" s="148"/>
      <c r="OWN58" s="148"/>
      <c r="OWO58" s="148"/>
      <c r="OWP58" s="148"/>
      <c r="OWQ58" s="148"/>
      <c r="OWR58" s="148"/>
      <c r="OWS58" s="148"/>
      <c r="OWT58" s="148"/>
      <c r="OWU58" s="148"/>
      <c r="OWV58" s="148"/>
      <c r="OWW58" s="148"/>
      <c r="OWX58" s="148"/>
      <c r="OWY58" s="148"/>
      <c r="OWZ58" s="148"/>
      <c r="OXA58" s="148"/>
      <c r="OXB58" s="148"/>
      <c r="OXC58" s="148"/>
      <c r="OXD58" s="148"/>
      <c r="OXE58" s="148"/>
      <c r="OXF58" s="148"/>
      <c r="OXG58" s="148"/>
      <c r="OXH58" s="148"/>
      <c r="OXI58" s="148"/>
      <c r="OXJ58" s="148"/>
      <c r="OXK58" s="148"/>
      <c r="OXL58" s="148"/>
      <c r="OXM58" s="148"/>
      <c r="OXN58" s="148"/>
      <c r="OXO58" s="148"/>
      <c r="OXP58" s="148"/>
      <c r="OXQ58" s="148"/>
      <c r="OXR58" s="148"/>
      <c r="OXS58" s="148"/>
      <c r="OXT58" s="148"/>
      <c r="OXU58" s="148"/>
      <c r="OXV58" s="148"/>
      <c r="OXW58" s="148"/>
      <c r="OXX58" s="148"/>
      <c r="OXY58" s="148"/>
      <c r="OXZ58" s="148"/>
      <c r="OYA58" s="148"/>
      <c r="OYB58" s="148"/>
      <c r="OYC58" s="148"/>
      <c r="OYD58" s="148"/>
      <c r="OYE58" s="148"/>
      <c r="OYF58" s="148"/>
      <c r="OYG58" s="148"/>
      <c r="OYH58" s="148"/>
      <c r="OYI58" s="148"/>
      <c r="OYJ58" s="148"/>
      <c r="OYK58" s="148"/>
      <c r="OYL58" s="148"/>
      <c r="OYM58" s="148"/>
      <c r="OYN58" s="148"/>
      <c r="OYO58" s="148"/>
      <c r="OYP58" s="148"/>
      <c r="OYQ58" s="148"/>
      <c r="OYR58" s="148"/>
      <c r="OYS58" s="148"/>
      <c r="OYT58" s="148"/>
      <c r="OYU58" s="148"/>
      <c r="OYV58" s="148"/>
      <c r="OYW58" s="148"/>
      <c r="OYX58" s="148"/>
      <c r="OYY58" s="148"/>
      <c r="OYZ58" s="148"/>
      <c r="OZA58" s="148"/>
      <c r="OZB58" s="148"/>
      <c r="OZC58" s="148"/>
      <c r="OZD58" s="148"/>
      <c r="OZE58" s="148"/>
      <c r="OZF58" s="148"/>
      <c r="OZG58" s="148"/>
      <c r="OZH58" s="148"/>
      <c r="OZI58" s="148"/>
      <c r="OZJ58" s="148"/>
      <c r="OZK58" s="148"/>
      <c r="OZL58" s="148"/>
      <c r="OZM58" s="148"/>
      <c r="OZN58" s="148"/>
      <c r="OZO58" s="148"/>
      <c r="OZP58" s="148"/>
      <c r="OZQ58" s="148"/>
      <c r="OZR58" s="148"/>
      <c r="OZS58" s="148"/>
      <c r="OZT58" s="148"/>
      <c r="OZU58" s="148"/>
      <c r="OZV58" s="148"/>
      <c r="OZW58" s="148"/>
      <c r="OZX58" s="148"/>
      <c r="OZY58" s="148"/>
      <c r="OZZ58" s="148"/>
      <c r="PAA58" s="148"/>
      <c r="PAB58" s="148"/>
      <c r="PAC58" s="148"/>
      <c r="PAD58" s="148"/>
      <c r="PAE58" s="148"/>
      <c r="PAF58" s="148"/>
      <c r="PAG58" s="148"/>
      <c r="PAH58" s="148"/>
      <c r="PAI58" s="148"/>
      <c r="PAJ58" s="148"/>
      <c r="PAK58" s="148"/>
      <c r="PAL58" s="148"/>
      <c r="PAM58" s="148"/>
      <c r="PAN58" s="148"/>
      <c r="PAO58" s="148"/>
      <c r="PAP58" s="148"/>
      <c r="PAQ58" s="148"/>
      <c r="PAR58" s="148"/>
      <c r="PAS58" s="148"/>
      <c r="PAT58" s="148"/>
      <c r="PAU58" s="148"/>
      <c r="PAV58" s="148"/>
      <c r="PAW58" s="148"/>
      <c r="PAX58" s="148"/>
      <c r="PAY58" s="148"/>
      <c r="PAZ58" s="148"/>
      <c r="PBA58" s="148"/>
      <c r="PBB58" s="148"/>
      <c r="PBC58" s="148"/>
      <c r="PBD58" s="148"/>
      <c r="PBE58" s="148"/>
      <c r="PBF58" s="148"/>
      <c r="PBG58" s="148"/>
      <c r="PBH58" s="148"/>
      <c r="PBI58" s="148"/>
      <c r="PBJ58" s="148"/>
      <c r="PBK58" s="148"/>
      <c r="PBL58" s="148"/>
      <c r="PBM58" s="148"/>
      <c r="PBN58" s="148"/>
      <c r="PBO58" s="148"/>
      <c r="PBP58" s="148"/>
      <c r="PBQ58" s="148"/>
      <c r="PBR58" s="148"/>
      <c r="PBS58" s="148"/>
      <c r="PBT58" s="148"/>
      <c r="PBU58" s="148"/>
      <c r="PBV58" s="148"/>
      <c r="PBW58" s="148"/>
      <c r="PBX58" s="148"/>
      <c r="PBY58" s="148"/>
      <c r="PBZ58" s="148"/>
      <c r="PCA58" s="148"/>
      <c r="PCB58" s="148"/>
      <c r="PCC58" s="148"/>
      <c r="PCD58" s="148"/>
      <c r="PCE58" s="148"/>
      <c r="PCF58" s="148"/>
      <c r="PCG58" s="148"/>
      <c r="PCH58" s="148"/>
      <c r="PCI58" s="148"/>
      <c r="PCJ58" s="148"/>
      <c r="PCK58" s="148"/>
      <c r="PCL58" s="148"/>
      <c r="PCM58" s="148"/>
      <c r="PCN58" s="148"/>
      <c r="PCO58" s="148"/>
      <c r="PCP58" s="148"/>
      <c r="PCQ58" s="148"/>
      <c r="PCR58" s="148"/>
      <c r="PCS58" s="148"/>
      <c r="PCT58" s="148"/>
      <c r="PCU58" s="148"/>
      <c r="PCV58" s="148"/>
      <c r="PCW58" s="148"/>
      <c r="PCX58" s="148"/>
      <c r="PCY58" s="148"/>
      <c r="PCZ58" s="148"/>
      <c r="PDA58" s="148"/>
      <c r="PDB58" s="148"/>
      <c r="PDC58" s="148"/>
      <c r="PDD58" s="148"/>
      <c r="PDE58" s="148"/>
      <c r="PDF58" s="148"/>
      <c r="PDG58" s="148"/>
      <c r="PDH58" s="148"/>
      <c r="PDI58" s="148"/>
      <c r="PDJ58" s="148"/>
      <c r="PDK58" s="148"/>
      <c r="PDL58" s="148"/>
      <c r="PDM58" s="148"/>
      <c r="PDN58" s="148"/>
      <c r="PDO58" s="148"/>
      <c r="PDP58" s="148"/>
      <c r="PDQ58" s="148"/>
      <c r="PDR58" s="148"/>
      <c r="PDS58" s="148"/>
      <c r="PDT58" s="148"/>
      <c r="PDU58" s="148"/>
      <c r="PDV58" s="148"/>
      <c r="PDW58" s="148"/>
      <c r="PDX58" s="148"/>
      <c r="PDY58" s="148"/>
      <c r="PDZ58" s="148"/>
      <c r="PEA58" s="148"/>
      <c r="PEB58" s="148"/>
      <c r="PEC58" s="148"/>
      <c r="PED58" s="148"/>
      <c r="PEE58" s="148"/>
      <c r="PEF58" s="148"/>
      <c r="PEG58" s="148"/>
      <c r="PEH58" s="148"/>
      <c r="PEI58" s="148"/>
      <c r="PEJ58" s="148"/>
      <c r="PEK58" s="148"/>
      <c r="PEL58" s="148"/>
      <c r="PEM58" s="148"/>
      <c r="PEN58" s="148"/>
      <c r="PEO58" s="148"/>
      <c r="PEP58" s="148"/>
      <c r="PEQ58" s="148"/>
      <c r="PER58" s="148"/>
      <c r="PES58" s="148"/>
      <c r="PET58" s="148"/>
      <c r="PEU58" s="148"/>
      <c r="PEV58" s="148"/>
      <c r="PEW58" s="148"/>
      <c r="PEX58" s="148"/>
      <c r="PEY58" s="148"/>
      <c r="PEZ58" s="148"/>
      <c r="PFA58" s="148"/>
      <c r="PFB58" s="148"/>
      <c r="PFC58" s="148"/>
      <c r="PFD58" s="148"/>
      <c r="PFE58" s="148"/>
      <c r="PFF58" s="148"/>
      <c r="PFG58" s="148"/>
      <c r="PFH58" s="148"/>
      <c r="PFI58" s="148"/>
      <c r="PFJ58" s="148"/>
      <c r="PFK58" s="148"/>
      <c r="PFL58" s="148"/>
      <c r="PFM58" s="148"/>
      <c r="PFN58" s="148"/>
      <c r="PFO58" s="148"/>
      <c r="PFP58" s="148"/>
      <c r="PFQ58" s="148"/>
      <c r="PFR58" s="148"/>
      <c r="PFS58" s="148"/>
      <c r="PFT58" s="148"/>
      <c r="PFU58" s="148"/>
      <c r="PFV58" s="148"/>
      <c r="PFW58" s="148"/>
      <c r="PFX58" s="148"/>
      <c r="PFY58" s="148"/>
      <c r="PFZ58" s="148"/>
      <c r="PGA58" s="148"/>
      <c r="PGB58" s="148"/>
      <c r="PGC58" s="148"/>
      <c r="PGD58" s="148"/>
      <c r="PGE58" s="148"/>
      <c r="PGF58" s="148"/>
      <c r="PGG58" s="148"/>
      <c r="PGH58" s="148"/>
      <c r="PGI58" s="148"/>
      <c r="PGJ58" s="148"/>
      <c r="PGK58" s="148"/>
      <c r="PGL58" s="148"/>
      <c r="PGM58" s="148"/>
      <c r="PGN58" s="148"/>
      <c r="PGO58" s="148"/>
      <c r="PGP58" s="148"/>
      <c r="PGQ58" s="148"/>
      <c r="PGR58" s="148"/>
      <c r="PGS58" s="148"/>
      <c r="PGT58" s="148"/>
      <c r="PGU58" s="148"/>
      <c r="PGV58" s="148"/>
      <c r="PGW58" s="148"/>
      <c r="PGX58" s="148"/>
      <c r="PGY58" s="148"/>
      <c r="PGZ58" s="148"/>
      <c r="PHA58" s="148"/>
      <c r="PHB58" s="148"/>
      <c r="PHC58" s="148"/>
      <c r="PHD58" s="148"/>
      <c r="PHE58" s="148"/>
      <c r="PHF58" s="148"/>
      <c r="PHG58" s="148"/>
      <c r="PHH58" s="148"/>
      <c r="PHI58" s="148"/>
      <c r="PHJ58" s="148"/>
      <c r="PHK58" s="148"/>
      <c r="PHL58" s="148"/>
      <c r="PHM58" s="148"/>
      <c r="PHN58" s="148"/>
      <c r="PHO58" s="148"/>
      <c r="PHP58" s="148"/>
      <c r="PHQ58" s="148"/>
      <c r="PHR58" s="148"/>
      <c r="PHS58" s="148"/>
      <c r="PHT58" s="148"/>
      <c r="PHU58" s="148"/>
      <c r="PHV58" s="148"/>
      <c r="PHW58" s="148"/>
      <c r="PHX58" s="148"/>
      <c r="PHY58" s="148"/>
      <c r="PHZ58" s="148"/>
      <c r="PIA58" s="148"/>
      <c r="PIB58" s="148"/>
      <c r="PIC58" s="148"/>
      <c r="PID58" s="148"/>
      <c r="PIE58" s="148"/>
      <c r="PIF58" s="148"/>
      <c r="PIG58" s="148"/>
      <c r="PIH58" s="148"/>
      <c r="PII58" s="148"/>
      <c r="PIJ58" s="148"/>
      <c r="PIK58" s="148"/>
      <c r="PIL58" s="148"/>
      <c r="PIM58" s="148"/>
      <c r="PIN58" s="148"/>
      <c r="PIO58" s="148"/>
      <c r="PIP58" s="148"/>
      <c r="PIQ58" s="148"/>
      <c r="PIR58" s="148"/>
      <c r="PIS58" s="148"/>
      <c r="PIT58" s="148"/>
      <c r="PIU58" s="148"/>
      <c r="PIV58" s="148"/>
      <c r="PIW58" s="148"/>
      <c r="PIX58" s="148"/>
      <c r="PIY58" s="148"/>
      <c r="PIZ58" s="148"/>
      <c r="PJA58" s="148"/>
      <c r="PJB58" s="148"/>
      <c r="PJC58" s="148"/>
      <c r="PJD58" s="148"/>
      <c r="PJE58" s="148"/>
      <c r="PJF58" s="148"/>
      <c r="PJG58" s="148"/>
      <c r="PJH58" s="148"/>
      <c r="PJI58" s="148"/>
      <c r="PJJ58" s="148"/>
      <c r="PJK58" s="148"/>
      <c r="PJL58" s="148"/>
      <c r="PJM58" s="148"/>
      <c r="PJN58" s="148"/>
      <c r="PJO58" s="148"/>
      <c r="PJP58" s="148"/>
      <c r="PJQ58" s="148"/>
      <c r="PJR58" s="148"/>
      <c r="PJS58" s="148"/>
      <c r="PJT58" s="148"/>
      <c r="PJU58" s="148"/>
      <c r="PJV58" s="148"/>
      <c r="PJW58" s="148"/>
      <c r="PJX58" s="148"/>
      <c r="PJY58" s="148"/>
      <c r="PJZ58" s="148"/>
      <c r="PKA58" s="148"/>
      <c r="PKB58" s="148"/>
      <c r="PKC58" s="148"/>
      <c r="PKD58" s="148"/>
      <c r="PKE58" s="148"/>
      <c r="PKF58" s="148"/>
      <c r="PKG58" s="148"/>
      <c r="PKH58" s="148"/>
      <c r="PKI58" s="148"/>
      <c r="PKJ58" s="148"/>
      <c r="PKK58" s="148"/>
      <c r="PKL58" s="148"/>
      <c r="PKM58" s="148"/>
      <c r="PKN58" s="148"/>
      <c r="PKO58" s="148"/>
      <c r="PKP58" s="148"/>
      <c r="PKQ58" s="148"/>
      <c r="PKR58" s="148"/>
      <c r="PKS58" s="148"/>
      <c r="PKT58" s="148"/>
      <c r="PKU58" s="148"/>
      <c r="PKV58" s="148"/>
      <c r="PKW58" s="148"/>
      <c r="PKX58" s="148"/>
      <c r="PKY58" s="148"/>
      <c r="PKZ58" s="148"/>
      <c r="PLA58" s="148"/>
      <c r="PLB58" s="148"/>
      <c r="PLC58" s="148"/>
      <c r="PLD58" s="148"/>
      <c r="PLE58" s="148"/>
      <c r="PLF58" s="148"/>
      <c r="PLG58" s="148"/>
      <c r="PLH58" s="148"/>
      <c r="PLI58" s="148"/>
      <c r="PLJ58" s="148"/>
      <c r="PLK58" s="148"/>
      <c r="PLL58" s="148"/>
      <c r="PLM58" s="148"/>
      <c r="PLN58" s="148"/>
      <c r="PLO58" s="148"/>
      <c r="PLP58" s="148"/>
      <c r="PLQ58" s="148"/>
      <c r="PLR58" s="148"/>
      <c r="PLS58" s="148"/>
      <c r="PLT58" s="148"/>
      <c r="PLU58" s="148"/>
      <c r="PLV58" s="148"/>
      <c r="PLW58" s="148"/>
      <c r="PLX58" s="148"/>
      <c r="PLY58" s="148"/>
      <c r="PLZ58" s="148"/>
      <c r="PMA58" s="148"/>
      <c r="PMB58" s="148"/>
      <c r="PMC58" s="148"/>
      <c r="PMD58" s="148"/>
      <c r="PME58" s="148"/>
      <c r="PMF58" s="148"/>
      <c r="PMG58" s="148"/>
      <c r="PMH58" s="148"/>
      <c r="PMI58" s="148"/>
      <c r="PMJ58" s="148"/>
      <c r="PMK58" s="148"/>
      <c r="PML58" s="148"/>
      <c r="PMM58" s="148"/>
      <c r="PMN58" s="148"/>
      <c r="PMO58" s="148"/>
      <c r="PMP58" s="148"/>
      <c r="PMQ58" s="148"/>
      <c r="PMR58" s="148"/>
      <c r="PMS58" s="148"/>
      <c r="PMT58" s="148"/>
      <c r="PMU58" s="148"/>
      <c r="PMV58" s="148"/>
      <c r="PMW58" s="148"/>
      <c r="PMX58" s="148"/>
      <c r="PMY58" s="148"/>
      <c r="PMZ58" s="148"/>
      <c r="PNA58" s="148"/>
      <c r="PNB58" s="148"/>
      <c r="PNC58" s="148"/>
      <c r="PND58" s="148"/>
      <c r="PNE58" s="148"/>
      <c r="PNF58" s="148"/>
      <c r="PNG58" s="148"/>
      <c r="PNH58" s="148"/>
      <c r="PNI58" s="148"/>
      <c r="PNJ58" s="148"/>
      <c r="PNK58" s="148"/>
      <c r="PNL58" s="148"/>
      <c r="PNM58" s="148"/>
      <c r="PNN58" s="148"/>
      <c r="PNO58" s="148"/>
      <c r="PNP58" s="148"/>
      <c r="PNQ58" s="148"/>
      <c r="PNR58" s="148"/>
      <c r="PNS58" s="148"/>
      <c r="PNT58" s="148"/>
      <c r="PNU58" s="148"/>
      <c r="PNV58" s="148"/>
      <c r="PNW58" s="148"/>
      <c r="PNX58" s="148"/>
      <c r="PNY58" s="148"/>
      <c r="PNZ58" s="148"/>
      <c r="POA58" s="148"/>
      <c r="POB58" s="148"/>
      <c r="POC58" s="148"/>
      <c r="POD58" s="148"/>
      <c r="POE58" s="148"/>
      <c r="POF58" s="148"/>
      <c r="POG58" s="148"/>
      <c r="POH58" s="148"/>
      <c r="POI58" s="148"/>
      <c r="POJ58" s="148"/>
      <c r="POK58" s="148"/>
      <c r="POL58" s="148"/>
      <c r="POM58" s="148"/>
      <c r="PON58" s="148"/>
      <c r="POO58" s="148"/>
      <c r="POP58" s="148"/>
      <c r="POQ58" s="148"/>
      <c r="POR58" s="148"/>
      <c r="POS58" s="148"/>
      <c r="POT58" s="148"/>
      <c r="POU58" s="148"/>
      <c r="POV58" s="148"/>
      <c r="POW58" s="148"/>
      <c r="POX58" s="148"/>
      <c r="POY58" s="148"/>
      <c r="POZ58" s="148"/>
      <c r="PPA58" s="148"/>
      <c r="PPB58" s="148"/>
      <c r="PPC58" s="148"/>
      <c r="PPD58" s="148"/>
      <c r="PPE58" s="148"/>
      <c r="PPF58" s="148"/>
      <c r="PPG58" s="148"/>
      <c r="PPH58" s="148"/>
      <c r="PPI58" s="148"/>
      <c r="PPJ58" s="148"/>
      <c r="PPK58" s="148"/>
      <c r="PPL58" s="148"/>
      <c r="PPM58" s="148"/>
      <c r="PPN58" s="148"/>
      <c r="PPO58" s="148"/>
      <c r="PPP58" s="148"/>
      <c r="PPQ58" s="148"/>
      <c r="PPR58" s="148"/>
      <c r="PPS58" s="148"/>
      <c r="PPT58" s="148"/>
      <c r="PPU58" s="148"/>
      <c r="PPV58" s="148"/>
      <c r="PPW58" s="148"/>
      <c r="PPX58" s="148"/>
      <c r="PPY58" s="148"/>
      <c r="PPZ58" s="148"/>
      <c r="PQA58" s="148"/>
      <c r="PQB58" s="148"/>
      <c r="PQC58" s="148"/>
      <c r="PQD58" s="148"/>
      <c r="PQE58" s="148"/>
      <c r="PQF58" s="148"/>
      <c r="PQG58" s="148"/>
      <c r="PQH58" s="148"/>
      <c r="PQI58" s="148"/>
      <c r="PQJ58" s="148"/>
      <c r="PQK58" s="148"/>
      <c r="PQL58" s="148"/>
      <c r="PQM58" s="148"/>
      <c r="PQN58" s="148"/>
      <c r="PQO58" s="148"/>
      <c r="PQP58" s="148"/>
      <c r="PQQ58" s="148"/>
      <c r="PQR58" s="148"/>
      <c r="PQS58" s="148"/>
      <c r="PQT58" s="148"/>
      <c r="PQU58" s="148"/>
      <c r="PQV58" s="148"/>
      <c r="PQW58" s="148"/>
      <c r="PQX58" s="148"/>
      <c r="PQY58" s="148"/>
      <c r="PQZ58" s="148"/>
      <c r="PRA58" s="148"/>
      <c r="PRB58" s="148"/>
      <c r="PRC58" s="148"/>
      <c r="PRD58" s="148"/>
      <c r="PRE58" s="148"/>
      <c r="PRF58" s="148"/>
      <c r="PRG58" s="148"/>
      <c r="PRH58" s="148"/>
      <c r="PRI58" s="148"/>
      <c r="PRJ58" s="148"/>
      <c r="PRK58" s="148"/>
      <c r="PRL58" s="148"/>
      <c r="PRM58" s="148"/>
      <c r="PRN58" s="148"/>
      <c r="PRO58" s="148"/>
      <c r="PRP58" s="148"/>
      <c r="PRQ58" s="148"/>
      <c r="PRR58" s="148"/>
      <c r="PRS58" s="148"/>
      <c r="PRT58" s="148"/>
      <c r="PRU58" s="148"/>
      <c r="PRV58" s="148"/>
      <c r="PRW58" s="148"/>
      <c r="PRX58" s="148"/>
      <c r="PRY58" s="148"/>
      <c r="PRZ58" s="148"/>
      <c r="PSA58" s="148"/>
      <c r="PSB58" s="148"/>
      <c r="PSC58" s="148"/>
      <c r="PSD58" s="148"/>
      <c r="PSE58" s="148"/>
      <c r="PSF58" s="148"/>
      <c r="PSG58" s="148"/>
      <c r="PSH58" s="148"/>
      <c r="PSI58" s="148"/>
      <c r="PSJ58" s="148"/>
      <c r="PSK58" s="148"/>
      <c r="PSL58" s="148"/>
      <c r="PSM58" s="148"/>
      <c r="PSN58" s="148"/>
      <c r="PSO58" s="148"/>
      <c r="PSP58" s="148"/>
      <c r="PSQ58" s="148"/>
      <c r="PSR58" s="148"/>
      <c r="PSS58" s="148"/>
      <c r="PST58" s="148"/>
      <c r="PSU58" s="148"/>
      <c r="PSV58" s="148"/>
      <c r="PSW58" s="148"/>
      <c r="PSX58" s="148"/>
      <c r="PSY58" s="148"/>
      <c r="PSZ58" s="148"/>
      <c r="PTA58" s="148"/>
      <c r="PTB58" s="148"/>
      <c r="PTC58" s="148"/>
      <c r="PTD58" s="148"/>
      <c r="PTE58" s="148"/>
      <c r="PTF58" s="148"/>
      <c r="PTG58" s="148"/>
      <c r="PTH58" s="148"/>
      <c r="PTI58" s="148"/>
      <c r="PTJ58" s="148"/>
      <c r="PTK58" s="148"/>
      <c r="PTL58" s="148"/>
      <c r="PTM58" s="148"/>
      <c r="PTN58" s="148"/>
      <c r="PTO58" s="148"/>
      <c r="PTP58" s="148"/>
      <c r="PTQ58" s="148"/>
      <c r="PTR58" s="148"/>
      <c r="PTS58" s="148"/>
      <c r="PTT58" s="148"/>
      <c r="PTU58" s="148"/>
      <c r="PTV58" s="148"/>
      <c r="PTW58" s="148"/>
      <c r="PTX58" s="148"/>
      <c r="PTY58" s="148"/>
      <c r="PTZ58" s="148"/>
      <c r="PUA58" s="148"/>
      <c r="PUB58" s="148"/>
      <c r="PUC58" s="148"/>
      <c r="PUD58" s="148"/>
      <c r="PUE58" s="148"/>
      <c r="PUF58" s="148"/>
      <c r="PUG58" s="148"/>
      <c r="PUH58" s="148"/>
      <c r="PUI58" s="148"/>
      <c r="PUJ58" s="148"/>
      <c r="PUK58" s="148"/>
      <c r="PUL58" s="148"/>
      <c r="PUM58" s="148"/>
      <c r="PUN58" s="148"/>
      <c r="PUO58" s="148"/>
      <c r="PUP58" s="148"/>
      <c r="PUQ58" s="148"/>
      <c r="PUR58" s="148"/>
      <c r="PUS58" s="148"/>
      <c r="PUT58" s="148"/>
      <c r="PUU58" s="148"/>
      <c r="PUV58" s="148"/>
      <c r="PUW58" s="148"/>
      <c r="PUX58" s="148"/>
      <c r="PUY58" s="148"/>
      <c r="PUZ58" s="148"/>
      <c r="PVA58" s="148"/>
      <c r="PVB58" s="148"/>
      <c r="PVC58" s="148"/>
      <c r="PVD58" s="148"/>
      <c r="PVE58" s="148"/>
      <c r="PVF58" s="148"/>
      <c r="PVG58" s="148"/>
      <c r="PVH58" s="148"/>
      <c r="PVI58" s="148"/>
      <c r="PVJ58" s="148"/>
      <c r="PVK58" s="148"/>
      <c r="PVL58" s="148"/>
      <c r="PVM58" s="148"/>
      <c r="PVN58" s="148"/>
      <c r="PVO58" s="148"/>
      <c r="PVP58" s="148"/>
      <c r="PVQ58" s="148"/>
      <c r="PVR58" s="148"/>
      <c r="PVS58" s="148"/>
      <c r="PVT58" s="148"/>
      <c r="PVU58" s="148"/>
      <c r="PVV58" s="148"/>
      <c r="PVW58" s="148"/>
      <c r="PVX58" s="148"/>
      <c r="PVY58" s="148"/>
      <c r="PVZ58" s="148"/>
      <c r="PWA58" s="148"/>
      <c r="PWB58" s="148"/>
      <c r="PWC58" s="148"/>
      <c r="PWD58" s="148"/>
      <c r="PWE58" s="148"/>
      <c r="PWF58" s="148"/>
      <c r="PWG58" s="148"/>
      <c r="PWH58" s="148"/>
      <c r="PWI58" s="148"/>
      <c r="PWJ58" s="148"/>
      <c r="PWK58" s="148"/>
      <c r="PWL58" s="148"/>
      <c r="PWM58" s="148"/>
      <c r="PWN58" s="148"/>
      <c r="PWO58" s="148"/>
      <c r="PWP58" s="148"/>
      <c r="PWQ58" s="148"/>
      <c r="PWR58" s="148"/>
      <c r="PWS58" s="148"/>
      <c r="PWT58" s="148"/>
      <c r="PWU58" s="148"/>
      <c r="PWV58" s="148"/>
      <c r="PWW58" s="148"/>
      <c r="PWX58" s="148"/>
      <c r="PWY58" s="148"/>
      <c r="PWZ58" s="148"/>
      <c r="PXA58" s="148"/>
      <c r="PXB58" s="148"/>
      <c r="PXC58" s="148"/>
      <c r="PXD58" s="148"/>
      <c r="PXE58" s="148"/>
      <c r="PXF58" s="148"/>
      <c r="PXG58" s="148"/>
      <c r="PXH58" s="148"/>
      <c r="PXI58" s="148"/>
      <c r="PXJ58" s="148"/>
      <c r="PXK58" s="148"/>
      <c r="PXL58" s="148"/>
      <c r="PXM58" s="148"/>
      <c r="PXN58" s="148"/>
      <c r="PXO58" s="148"/>
      <c r="PXP58" s="148"/>
      <c r="PXQ58" s="148"/>
      <c r="PXR58" s="148"/>
      <c r="PXS58" s="148"/>
      <c r="PXT58" s="148"/>
      <c r="PXU58" s="148"/>
      <c r="PXV58" s="148"/>
      <c r="PXW58" s="148"/>
      <c r="PXX58" s="148"/>
      <c r="PXY58" s="148"/>
      <c r="PXZ58" s="148"/>
      <c r="PYA58" s="148"/>
      <c r="PYB58" s="148"/>
      <c r="PYC58" s="148"/>
      <c r="PYD58" s="148"/>
      <c r="PYE58" s="148"/>
      <c r="PYF58" s="148"/>
      <c r="PYG58" s="148"/>
      <c r="PYH58" s="148"/>
      <c r="PYI58" s="148"/>
      <c r="PYJ58" s="148"/>
      <c r="PYK58" s="148"/>
      <c r="PYL58" s="148"/>
      <c r="PYM58" s="148"/>
      <c r="PYN58" s="148"/>
      <c r="PYO58" s="148"/>
      <c r="PYP58" s="148"/>
      <c r="PYQ58" s="148"/>
      <c r="PYR58" s="148"/>
      <c r="PYS58" s="148"/>
      <c r="PYT58" s="148"/>
      <c r="PYU58" s="148"/>
      <c r="PYV58" s="148"/>
      <c r="PYW58" s="148"/>
      <c r="PYX58" s="148"/>
      <c r="PYY58" s="148"/>
      <c r="PYZ58" s="148"/>
      <c r="PZA58" s="148"/>
      <c r="PZB58" s="148"/>
      <c r="PZC58" s="148"/>
      <c r="PZD58" s="148"/>
      <c r="PZE58" s="148"/>
      <c r="PZF58" s="148"/>
      <c r="PZG58" s="148"/>
      <c r="PZH58" s="148"/>
      <c r="PZI58" s="148"/>
      <c r="PZJ58" s="148"/>
      <c r="PZK58" s="148"/>
      <c r="PZL58" s="148"/>
      <c r="PZM58" s="148"/>
      <c r="PZN58" s="148"/>
      <c r="PZO58" s="148"/>
      <c r="PZP58" s="148"/>
      <c r="PZQ58" s="148"/>
      <c r="PZR58" s="148"/>
      <c r="PZS58" s="148"/>
      <c r="PZT58" s="148"/>
      <c r="PZU58" s="148"/>
      <c r="PZV58" s="148"/>
      <c r="PZW58" s="148"/>
      <c r="PZX58" s="148"/>
      <c r="PZY58" s="148"/>
      <c r="PZZ58" s="148"/>
      <c r="QAA58" s="148"/>
      <c r="QAB58" s="148"/>
      <c r="QAC58" s="148"/>
      <c r="QAD58" s="148"/>
      <c r="QAE58" s="148"/>
      <c r="QAF58" s="148"/>
      <c r="QAG58" s="148"/>
      <c r="QAH58" s="148"/>
      <c r="QAI58" s="148"/>
      <c r="QAJ58" s="148"/>
      <c r="QAK58" s="148"/>
      <c r="QAL58" s="148"/>
      <c r="QAM58" s="148"/>
      <c r="QAN58" s="148"/>
      <c r="QAO58" s="148"/>
      <c r="QAP58" s="148"/>
      <c r="QAQ58" s="148"/>
      <c r="QAR58" s="148"/>
      <c r="QAS58" s="148"/>
      <c r="QAT58" s="148"/>
      <c r="QAU58" s="148"/>
      <c r="QAV58" s="148"/>
      <c r="QAW58" s="148"/>
      <c r="QAX58" s="148"/>
      <c r="QAY58" s="148"/>
      <c r="QAZ58" s="148"/>
      <c r="QBA58" s="148"/>
      <c r="QBB58" s="148"/>
      <c r="QBC58" s="148"/>
      <c r="QBD58" s="148"/>
      <c r="QBE58" s="148"/>
      <c r="QBF58" s="148"/>
      <c r="QBG58" s="148"/>
      <c r="QBH58" s="148"/>
      <c r="QBI58" s="148"/>
      <c r="QBJ58" s="148"/>
      <c r="QBK58" s="148"/>
      <c r="QBL58" s="148"/>
      <c r="QBM58" s="148"/>
      <c r="QBN58" s="148"/>
      <c r="QBO58" s="148"/>
      <c r="QBP58" s="148"/>
      <c r="QBQ58" s="148"/>
      <c r="QBR58" s="148"/>
      <c r="QBS58" s="148"/>
      <c r="QBT58" s="148"/>
      <c r="QBU58" s="148"/>
      <c r="QBV58" s="148"/>
      <c r="QBW58" s="148"/>
      <c r="QBX58" s="148"/>
      <c r="QBY58" s="148"/>
      <c r="QBZ58" s="148"/>
      <c r="QCA58" s="148"/>
      <c r="QCB58" s="148"/>
      <c r="QCC58" s="148"/>
      <c r="QCD58" s="148"/>
      <c r="QCE58" s="148"/>
      <c r="QCF58" s="148"/>
      <c r="QCG58" s="148"/>
      <c r="QCH58" s="148"/>
      <c r="QCI58" s="148"/>
      <c r="QCJ58" s="148"/>
      <c r="QCK58" s="148"/>
      <c r="QCL58" s="148"/>
      <c r="QCM58" s="148"/>
      <c r="QCN58" s="148"/>
      <c r="QCO58" s="148"/>
      <c r="QCP58" s="148"/>
      <c r="QCQ58" s="148"/>
      <c r="QCR58" s="148"/>
      <c r="QCS58" s="148"/>
      <c r="QCT58" s="148"/>
      <c r="QCU58" s="148"/>
      <c r="QCV58" s="148"/>
      <c r="QCW58" s="148"/>
      <c r="QCX58" s="148"/>
      <c r="QCY58" s="148"/>
      <c r="QCZ58" s="148"/>
      <c r="QDA58" s="148"/>
      <c r="QDB58" s="148"/>
      <c r="QDC58" s="148"/>
      <c r="QDD58" s="148"/>
      <c r="QDE58" s="148"/>
      <c r="QDF58" s="148"/>
      <c r="QDG58" s="148"/>
      <c r="QDH58" s="148"/>
      <c r="QDI58" s="148"/>
      <c r="QDJ58" s="148"/>
      <c r="QDK58" s="148"/>
      <c r="QDL58" s="148"/>
      <c r="QDM58" s="148"/>
      <c r="QDN58" s="148"/>
      <c r="QDO58" s="148"/>
      <c r="QDP58" s="148"/>
      <c r="QDQ58" s="148"/>
      <c r="QDR58" s="148"/>
      <c r="QDS58" s="148"/>
      <c r="QDT58" s="148"/>
      <c r="QDU58" s="148"/>
      <c r="QDV58" s="148"/>
      <c r="QDW58" s="148"/>
      <c r="QDX58" s="148"/>
      <c r="QDY58" s="148"/>
      <c r="QDZ58" s="148"/>
      <c r="QEA58" s="148"/>
      <c r="QEB58" s="148"/>
      <c r="QEC58" s="148"/>
      <c r="QED58" s="148"/>
      <c r="QEE58" s="148"/>
      <c r="QEF58" s="148"/>
      <c r="QEG58" s="148"/>
      <c r="QEH58" s="148"/>
      <c r="QEI58" s="148"/>
      <c r="QEJ58" s="148"/>
      <c r="QEK58" s="148"/>
      <c r="QEL58" s="148"/>
      <c r="QEM58" s="148"/>
      <c r="QEN58" s="148"/>
      <c r="QEO58" s="148"/>
      <c r="QEP58" s="148"/>
      <c r="QEQ58" s="148"/>
      <c r="QER58" s="148"/>
      <c r="QES58" s="148"/>
      <c r="QET58" s="148"/>
      <c r="QEU58" s="148"/>
      <c r="QEV58" s="148"/>
      <c r="QEW58" s="148"/>
      <c r="QEX58" s="148"/>
      <c r="QEY58" s="148"/>
      <c r="QEZ58" s="148"/>
      <c r="QFA58" s="148"/>
      <c r="QFB58" s="148"/>
      <c r="QFC58" s="148"/>
      <c r="QFD58" s="148"/>
      <c r="QFE58" s="148"/>
      <c r="QFF58" s="148"/>
      <c r="QFG58" s="148"/>
      <c r="QFH58" s="148"/>
      <c r="QFI58" s="148"/>
      <c r="QFJ58" s="148"/>
      <c r="QFK58" s="148"/>
      <c r="QFL58" s="148"/>
      <c r="QFM58" s="148"/>
      <c r="QFN58" s="148"/>
      <c r="QFO58" s="148"/>
      <c r="QFP58" s="148"/>
      <c r="QFQ58" s="148"/>
      <c r="QFR58" s="148"/>
      <c r="QFS58" s="148"/>
      <c r="QFT58" s="148"/>
      <c r="QFU58" s="148"/>
      <c r="QFV58" s="148"/>
      <c r="QFW58" s="148"/>
      <c r="QFX58" s="148"/>
      <c r="QFY58" s="148"/>
      <c r="QFZ58" s="148"/>
      <c r="QGA58" s="148"/>
      <c r="QGB58" s="148"/>
      <c r="QGC58" s="148"/>
      <c r="QGD58" s="148"/>
      <c r="QGE58" s="148"/>
      <c r="QGF58" s="148"/>
      <c r="QGG58" s="148"/>
      <c r="QGH58" s="148"/>
      <c r="QGI58" s="148"/>
      <c r="QGJ58" s="148"/>
      <c r="QGK58" s="148"/>
      <c r="QGL58" s="148"/>
      <c r="QGM58" s="148"/>
      <c r="QGN58" s="148"/>
      <c r="QGO58" s="148"/>
      <c r="QGP58" s="148"/>
      <c r="QGQ58" s="148"/>
      <c r="QGR58" s="148"/>
      <c r="QGS58" s="148"/>
      <c r="QGT58" s="148"/>
      <c r="QGU58" s="148"/>
      <c r="QGV58" s="148"/>
      <c r="QGW58" s="148"/>
      <c r="QGX58" s="148"/>
      <c r="QGY58" s="148"/>
      <c r="QGZ58" s="148"/>
      <c r="QHA58" s="148"/>
      <c r="QHB58" s="148"/>
      <c r="QHC58" s="148"/>
      <c r="QHD58" s="148"/>
      <c r="QHE58" s="148"/>
      <c r="QHF58" s="148"/>
      <c r="QHG58" s="148"/>
      <c r="QHH58" s="148"/>
      <c r="QHI58" s="148"/>
      <c r="QHJ58" s="148"/>
      <c r="QHK58" s="148"/>
      <c r="QHL58" s="148"/>
      <c r="QHM58" s="148"/>
      <c r="QHN58" s="148"/>
      <c r="QHO58" s="148"/>
      <c r="QHP58" s="148"/>
      <c r="QHQ58" s="148"/>
      <c r="QHR58" s="148"/>
      <c r="QHS58" s="148"/>
      <c r="QHT58" s="148"/>
      <c r="QHU58" s="148"/>
      <c r="QHV58" s="148"/>
      <c r="QHW58" s="148"/>
      <c r="QHX58" s="148"/>
      <c r="QHY58" s="148"/>
      <c r="QHZ58" s="148"/>
      <c r="QIA58" s="148"/>
      <c r="QIB58" s="148"/>
      <c r="QIC58" s="148"/>
      <c r="QID58" s="148"/>
      <c r="QIE58" s="148"/>
      <c r="QIF58" s="148"/>
      <c r="QIG58" s="148"/>
      <c r="QIH58" s="148"/>
      <c r="QII58" s="148"/>
      <c r="QIJ58" s="148"/>
      <c r="QIK58" s="148"/>
      <c r="QIL58" s="148"/>
      <c r="QIM58" s="148"/>
      <c r="QIN58" s="148"/>
      <c r="QIO58" s="148"/>
      <c r="QIP58" s="148"/>
      <c r="QIQ58" s="148"/>
      <c r="QIR58" s="148"/>
      <c r="QIS58" s="148"/>
      <c r="QIT58" s="148"/>
      <c r="QIU58" s="148"/>
      <c r="QIV58" s="148"/>
      <c r="QIW58" s="148"/>
      <c r="QIX58" s="148"/>
      <c r="QIY58" s="148"/>
      <c r="QIZ58" s="148"/>
      <c r="QJA58" s="148"/>
      <c r="QJB58" s="148"/>
      <c r="QJC58" s="148"/>
      <c r="QJD58" s="148"/>
      <c r="QJE58" s="148"/>
      <c r="QJF58" s="148"/>
      <c r="QJG58" s="148"/>
      <c r="QJH58" s="148"/>
      <c r="QJI58" s="148"/>
      <c r="QJJ58" s="148"/>
      <c r="QJK58" s="148"/>
      <c r="QJL58" s="148"/>
      <c r="QJM58" s="148"/>
      <c r="QJN58" s="148"/>
      <c r="QJO58" s="148"/>
      <c r="QJP58" s="148"/>
      <c r="QJQ58" s="148"/>
      <c r="QJR58" s="148"/>
      <c r="QJS58" s="148"/>
      <c r="QJT58" s="148"/>
      <c r="QJU58" s="148"/>
      <c r="QJV58" s="148"/>
      <c r="QJW58" s="148"/>
      <c r="QJX58" s="148"/>
      <c r="QJY58" s="148"/>
      <c r="QJZ58" s="148"/>
      <c r="QKA58" s="148"/>
      <c r="QKB58" s="148"/>
      <c r="QKC58" s="148"/>
      <c r="QKD58" s="148"/>
      <c r="QKE58" s="148"/>
      <c r="QKF58" s="148"/>
      <c r="QKG58" s="148"/>
      <c r="QKH58" s="148"/>
      <c r="QKI58" s="148"/>
      <c r="QKJ58" s="148"/>
      <c r="QKK58" s="148"/>
      <c r="QKL58" s="148"/>
      <c r="QKM58" s="148"/>
      <c r="QKN58" s="148"/>
      <c r="QKO58" s="148"/>
      <c r="QKP58" s="148"/>
      <c r="QKQ58" s="148"/>
      <c r="QKR58" s="148"/>
      <c r="QKS58" s="148"/>
      <c r="QKT58" s="148"/>
      <c r="QKU58" s="148"/>
      <c r="QKV58" s="148"/>
      <c r="QKW58" s="148"/>
      <c r="QKX58" s="148"/>
      <c r="QKY58" s="148"/>
      <c r="QKZ58" s="148"/>
      <c r="QLA58" s="148"/>
      <c r="QLB58" s="148"/>
      <c r="QLC58" s="148"/>
      <c r="QLD58" s="148"/>
      <c r="QLE58" s="148"/>
      <c r="QLF58" s="148"/>
      <c r="QLG58" s="148"/>
      <c r="QLH58" s="148"/>
      <c r="QLI58" s="148"/>
      <c r="QLJ58" s="148"/>
      <c r="QLK58" s="148"/>
      <c r="QLL58" s="148"/>
      <c r="QLM58" s="148"/>
      <c r="QLN58" s="148"/>
      <c r="QLO58" s="148"/>
      <c r="QLP58" s="148"/>
      <c r="QLQ58" s="148"/>
      <c r="QLR58" s="148"/>
      <c r="QLS58" s="148"/>
      <c r="QLT58" s="148"/>
      <c r="QLU58" s="148"/>
      <c r="QLV58" s="148"/>
      <c r="QLW58" s="148"/>
      <c r="QLX58" s="148"/>
      <c r="QLY58" s="148"/>
      <c r="QLZ58" s="148"/>
      <c r="QMA58" s="148"/>
      <c r="QMB58" s="148"/>
      <c r="QMC58" s="148"/>
      <c r="QMD58" s="148"/>
      <c r="QME58" s="148"/>
      <c r="QMF58" s="148"/>
      <c r="QMG58" s="148"/>
      <c r="QMH58" s="148"/>
      <c r="QMI58" s="148"/>
      <c r="QMJ58" s="148"/>
      <c r="QMK58" s="148"/>
      <c r="QML58" s="148"/>
      <c r="QMM58" s="148"/>
      <c r="QMN58" s="148"/>
      <c r="QMO58" s="148"/>
      <c r="QMP58" s="148"/>
      <c r="QMQ58" s="148"/>
      <c r="QMR58" s="148"/>
      <c r="QMS58" s="148"/>
      <c r="QMT58" s="148"/>
      <c r="QMU58" s="148"/>
      <c r="QMV58" s="148"/>
      <c r="QMW58" s="148"/>
      <c r="QMX58" s="148"/>
      <c r="QMY58" s="148"/>
      <c r="QMZ58" s="148"/>
      <c r="QNA58" s="148"/>
      <c r="QNB58" s="148"/>
      <c r="QNC58" s="148"/>
      <c r="QND58" s="148"/>
      <c r="QNE58" s="148"/>
      <c r="QNF58" s="148"/>
      <c r="QNG58" s="148"/>
      <c r="QNH58" s="148"/>
      <c r="QNI58" s="148"/>
      <c r="QNJ58" s="148"/>
      <c r="QNK58" s="148"/>
      <c r="QNL58" s="148"/>
      <c r="QNM58" s="148"/>
      <c r="QNN58" s="148"/>
      <c r="QNO58" s="148"/>
      <c r="QNP58" s="148"/>
      <c r="QNQ58" s="148"/>
      <c r="QNR58" s="148"/>
      <c r="QNS58" s="148"/>
      <c r="QNT58" s="148"/>
      <c r="QNU58" s="148"/>
      <c r="QNV58" s="148"/>
      <c r="QNW58" s="148"/>
      <c r="QNX58" s="148"/>
      <c r="QNY58" s="148"/>
      <c r="QNZ58" s="148"/>
      <c r="QOA58" s="148"/>
      <c r="QOB58" s="148"/>
      <c r="QOC58" s="148"/>
      <c r="QOD58" s="148"/>
      <c r="QOE58" s="148"/>
      <c r="QOF58" s="148"/>
      <c r="QOG58" s="148"/>
      <c r="QOH58" s="148"/>
      <c r="QOI58" s="148"/>
      <c r="QOJ58" s="148"/>
      <c r="QOK58" s="148"/>
      <c r="QOL58" s="148"/>
      <c r="QOM58" s="148"/>
      <c r="QON58" s="148"/>
      <c r="QOO58" s="148"/>
      <c r="QOP58" s="148"/>
      <c r="QOQ58" s="148"/>
      <c r="QOR58" s="148"/>
      <c r="QOS58" s="148"/>
      <c r="QOT58" s="148"/>
      <c r="QOU58" s="148"/>
      <c r="QOV58" s="148"/>
      <c r="QOW58" s="148"/>
      <c r="QOX58" s="148"/>
      <c r="QOY58" s="148"/>
      <c r="QOZ58" s="148"/>
      <c r="QPA58" s="148"/>
      <c r="QPB58" s="148"/>
      <c r="QPC58" s="148"/>
      <c r="QPD58" s="148"/>
      <c r="QPE58" s="148"/>
      <c r="QPF58" s="148"/>
      <c r="QPG58" s="148"/>
      <c r="QPH58" s="148"/>
      <c r="QPI58" s="148"/>
      <c r="QPJ58" s="148"/>
      <c r="QPK58" s="148"/>
      <c r="QPL58" s="148"/>
      <c r="QPM58" s="148"/>
      <c r="QPN58" s="148"/>
      <c r="QPO58" s="148"/>
      <c r="QPP58" s="148"/>
      <c r="QPQ58" s="148"/>
      <c r="QPR58" s="148"/>
      <c r="QPS58" s="148"/>
      <c r="QPT58" s="148"/>
      <c r="QPU58" s="148"/>
      <c r="QPV58" s="148"/>
      <c r="QPW58" s="148"/>
      <c r="QPX58" s="148"/>
      <c r="QPY58" s="148"/>
      <c r="QPZ58" s="148"/>
      <c r="QQA58" s="148"/>
      <c r="QQB58" s="148"/>
      <c r="QQC58" s="148"/>
      <c r="QQD58" s="148"/>
      <c r="QQE58" s="148"/>
      <c r="QQF58" s="148"/>
      <c r="QQG58" s="148"/>
      <c r="QQH58" s="148"/>
      <c r="QQI58" s="148"/>
      <c r="QQJ58" s="148"/>
      <c r="QQK58" s="148"/>
      <c r="QQL58" s="148"/>
      <c r="QQM58" s="148"/>
      <c r="QQN58" s="148"/>
      <c r="QQO58" s="148"/>
      <c r="QQP58" s="148"/>
      <c r="QQQ58" s="148"/>
      <c r="QQR58" s="148"/>
      <c r="QQS58" s="148"/>
      <c r="QQT58" s="148"/>
      <c r="QQU58" s="148"/>
      <c r="QQV58" s="148"/>
      <c r="QQW58" s="148"/>
      <c r="QQX58" s="148"/>
      <c r="QQY58" s="148"/>
      <c r="QQZ58" s="148"/>
      <c r="QRA58" s="148"/>
      <c r="QRB58" s="148"/>
      <c r="QRC58" s="148"/>
      <c r="QRD58" s="148"/>
      <c r="QRE58" s="148"/>
      <c r="QRF58" s="148"/>
      <c r="QRG58" s="148"/>
      <c r="QRH58" s="148"/>
      <c r="QRI58" s="148"/>
      <c r="QRJ58" s="148"/>
      <c r="QRK58" s="148"/>
      <c r="QRL58" s="148"/>
      <c r="QRM58" s="148"/>
      <c r="QRN58" s="148"/>
      <c r="QRO58" s="148"/>
      <c r="QRP58" s="148"/>
      <c r="QRQ58" s="148"/>
      <c r="QRR58" s="148"/>
      <c r="QRS58" s="148"/>
      <c r="QRT58" s="148"/>
      <c r="QRU58" s="148"/>
      <c r="QRV58" s="148"/>
      <c r="QRW58" s="148"/>
      <c r="QRX58" s="148"/>
      <c r="QRY58" s="148"/>
      <c r="QRZ58" s="148"/>
      <c r="QSA58" s="148"/>
      <c r="QSB58" s="148"/>
      <c r="QSC58" s="148"/>
      <c r="QSD58" s="148"/>
      <c r="QSE58" s="148"/>
      <c r="QSF58" s="148"/>
      <c r="QSG58" s="148"/>
      <c r="QSH58" s="148"/>
      <c r="QSI58" s="148"/>
      <c r="QSJ58" s="148"/>
      <c r="QSK58" s="148"/>
      <c r="QSL58" s="148"/>
      <c r="QSM58" s="148"/>
      <c r="QSN58" s="148"/>
      <c r="QSO58" s="148"/>
      <c r="QSP58" s="148"/>
      <c r="QSQ58" s="148"/>
      <c r="QSR58" s="148"/>
      <c r="QSS58" s="148"/>
      <c r="QST58" s="148"/>
      <c r="QSU58" s="148"/>
      <c r="QSV58" s="148"/>
      <c r="QSW58" s="148"/>
      <c r="QSX58" s="148"/>
      <c r="QSY58" s="148"/>
      <c r="QSZ58" s="148"/>
      <c r="QTA58" s="148"/>
      <c r="QTB58" s="148"/>
      <c r="QTC58" s="148"/>
      <c r="QTD58" s="148"/>
      <c r="QTE58" s="148"/>
      <c r="QTF58" s="148"/>
      <c r="QTG58" s="148"/>
      <c r="QTH58" s="148"/>
      <c r="QTI58" s="148"/>
      <c r="QTJ58" s="148"/>
      <c r="QTK58" s="148"/>
      <c r="QTL58" s="148"/>
      <c r="QTM58" s="148"/>
      <c r="QTN58" s="148"/>
      <c r="QTO58" s="148"/>
      <c r="QTP58" s="148"/>
      <c r="QTQ58" s="148"/>
      <c r="QTR58" s="148"/>
      <c r="QTS58" s="148"/>
      <c r="QTT58" s="148"/>
      <c r="QTU58" s="148"/>
      <c r="QTV58" s="148"/>
      <c r="QTW58" s="148"/>
      <c r="QTX58" s="148"/>
      <c r="QTY58" s="148"/>
      <c r="QTZ58" s="148"/>
      <c r="QUA58" s="148"/>
      <c r="QUB58" s="148"/>
      <c r="QUC58" s="148"/>
      <c r="QUD58" s="148"/>
      <c r="QUE58" s="148"/>
      <c r="QUF58" s="148"/>
      <c r="QUG58" s="148"/>
      <c r="QUH58" s="148"/>
      <c r="QUI58" s="148"/>
      <c r="QUJ58" s="148"/>
      <c r="QUK58" s="148"/>
      <c r="QUL58" s="148"/>
      <c r="QUM58" s="148"/>
      <c r="QUN58" s="148"/>
      <c r="QUO58" s="148"/>
      <c r="QUP58" s="148"/>
      <c r="QUQ58" s="148"/>
      <c r="QUR58" s="148"/>
      <c r="QUS58" s="148"/>
      <c r="QUT58" s="148"/>
      <c r="QUU58" s="148"/>
      <c r="QUV58" s="148"/>
      <c r="QUW58" s="148"/>
      <c r="QUX58" s="148"/>
      <c r="QUY58" s="148"/>
      <c r="QUZ58" s="148"/>
      <c r="QVA58" s="148"/>
      <c r="QVB58" s="148"/>
      <c r="QVC58" s="148"/>
      <c r="QVD58" s="148"/>
      <c r="QVE58" s="148"/>
      <c r="QVF58" s="148"/>
      <c r="QVG58" s="148"/>
      <c r="QVH58" s="148"/>
      <c r="QVI58" s="148"/>
      <c r="QVJ58" s="148"/>
      <c r="QVK58" s="148"/>
      <c r="QVL58" s="148"/>
      <c r="QVM58" s="148"/>
      <c r="QVN58" s="148"/>
      <c r="QVO58" s="148"/>
      <c r="QVP58" s="148"/>
      <c r="QVQ58" s="148"/>
      <c r="QVR58" s="148"/>
      <c r="QVS58" s="148"/>
      <c r="QVT58" s="148"/>
      <c r="QVU58" s="148"/>
      <c r="QVV58" s="148"/>
      <c r="QVW58" s="148"/>
      <c r="QVX58" s="148"/>
      <c r="QVY58" s="148"/>
      <c r="QVZ58" s="148"/>
      <c r="QWA58" s="148"/>
      <c r="QWB58" s="148"/>
      <c r="QWC58" s="148"/>
      <c r="QWD58" s="148"/>
      <c r="QWE58" s="148"/>
      <c r="QWF58" s="148"/>
      <c r="QWG58" s="148"/>
      <c r="QWH58" s="148"/>
      <c r="QWI58" s="148"/>
      <c r="QWJ58" s="148"/>
      <c r="QWK58" s="148"/>
      <c r="QWL58" s="148"/>
      <c r="QWM58" s="148"/>
      <c r="QWN58" s="148"/>
      <c r="QWO58" s="148"/>
      <c r="QWP58" s="148"/>
      <c r="QWQ58" s="148"/>
      <c r="QWR58" s="148"/>
      <c r="QWS58" s="148"/>
      <c r="QWT58" s="148"/>
      <c r="QWU58" s="148"/>
      <c r="QWV58" s="148"/>
      <c r="QWW58" s="148"/>
      <c r="QWX58" s="148"/>
      <c r="QWY58" s="148"/>
      <c r="QWZ58" s="148"/>
      <c r="QXA58" s="148"/>
      <c r="QXB58" s="148"/>
      <c r="QXC58" s="148"/>
      <c r="QXD58" s="148"/>
      <c r="QXE58" s="148"/>
      <c r="QXF58" s="148"/>
      <c r="QXG58" s="148"/>
      <c r="QXH58" s="148"/>
      <c r="QXI58" s="148"/>
      <c r="QXJ58" s="148"/>
      <c r="QXK58" s="148"/>
      <c r="QXL58" s="148"/>
      <c r="QXM58" s="148"/>
      <c r="QXN58" s="148"/>
      <c r="QXO58" s="148"/>
      <c r="QXP58" s="148"/>
      <c r="QXQ58" s="148"/>
      <c r="QXR58" s="148"/>
      <c r="QXS58" s="148"/>
      <c r="QXT58" s="148"/>
      <c r="QXU58" s="148"/>
      <c r="QXV58" s="148"/>
      <c r="QXW58" s="148"/>
      <c r="QXX58" s="148"/>
      <c r="QXY58" s="148"/>
      <c r="QXZ58" s="148"/>
      <c r="QYA58" s="148"/>
      <c r="QYB58" s="148"/>
      <c r="QYC58" s="148"/>
      <c r="QYD58" s="148"/>
      <c r="QYE58" s="148"/>
      <c r="QYF58" s="148"/>
      <c r="QYG58" s="148"/>
      <c r="QYH58" s="148"/>
      <c r="QYI58" s="148"/>
      <c r="QYJ58" s="148"/>
      <c r="QYK58" s="148"/>
      <c r="QYL58" s="148"/>
      <c r="QYM58" s="148"/>
      <c r="QYN58" s="148"/>
      <c r="QYO58" s="148"/>
      <c r="QYP58" s="148"/>
      <c r="QYQ58" s="148"/>
      <c r="QYR58" s="148"/>
      <c r="QYS58" s="148"/>
      <c r="QYT58" s="148"/>
      <c r="QYU58" s="148"/>
      <c r="QYV58" s="148"/>
      <c r="QYW58" s="148"/>
      <c r="QYX58" s="148"/>
      <c r="QYY58" s="148"/>
      <c r="QYZ58" s="148"/>
      <c r="QZA58" s="148"/>
      <c r="QZB58" s="148"/>
      <c r="QZC58" s="148"/>
      <c r="QZD58" s="148"/>
      <c r="QZE58" s="148"/>
      <c r="QZF58" s="148"/>
      <c r="QZG58" s="148"/>
      <c r="QZH58" s="148"/>
      <c r="QZI58" s="148"/>
      <c r="QZJ58" s="148"/>
      <c r="QZK58" s="148"/>
      <c r="QZL58" s="148"/>
      <c r="QZM58" s="148"/>
      <c r="QZN58" s="148"/>
      <c r="QZO58" s="148"/>
      <c r="QZP58" s="148"/>
      <c r="QZQ58" s="148"/>
      <c r="QZR58" s="148"/>
      <c r="QZS58" s="148"/>
      <c r="QZT58" s="148"/>
      <c r="QZU58" s="148"/>
      <c r="QZV58" s="148"/>
      <c r="QZW58" s="148"/>
      <c r="QZX58" s="148"/>
      <c r="QZY58" s="148"/>
      <c r="QZZ58" s="148"/>
      <c r="RAA58" s="148"/>
      <c r="RAB58" s="148"/>
      <c r="RAC58" s="148"/>
      <c r="RAD58" s="148"/>
      <c r="RAE58" s="148"/>
      <c r="RAF58" s="148"/>
      <c r="RAG58" s="148"/>
      <c r="RAH58" s="148"/>
      <c r="RAI58" s="148"/>
      <c r="RAJ58" s="148"/>
      <c r="RAK58" s="148"/>
      <c r="RAL58" s="148"/>
      <c r="RAM58" s="148"/>
      <c r="RAN58" s="148"/>
      <c r="RAO58" s="148"/>
      <c r="RAP58" s="148"/>
      <c r="RAQ58" s="148"/>
      <c r="RAR58" s="148"/>
      <c r="RAS58" s="148"/>
      <c r="RAT58" s="148"/>
      <c r="RAU58" s="148"/>
      <c r="RAV58" s="148"/>
      <c r="RAW58" s="148"/>
      <c r="RAX58" s="148"/>
      <c r="RAY58" s="148"/>
      <c r="RAZ58" s="148"/>
      <c r="RBA58" s="148"/>
      <c r="RBB58" s="148"/>
      <c r="RBC58" s="148"/>
      <c r="RBD58" s="148"/>
      <c r="RBE58" s="148"/>
      <c r="RBF58" s="148"/>
      <c r="RBG58" s="148"/>
      <c r="RBH58" s="148"/>
      <c r="RBI58" s="148"/>
      <c r="RBJ58" s="148"/>
      <c r="RBK58" s="148"/>
      <c r="RBL58" s="148"/>
      <c r="RBM58" s="148"/>
      <c r="RBN58" s="148"/>
      <c r="RBO58" s="148"/>
      <c r="RBP58" s="148"/>
      <c r="RBQ58" s="148"/>
      <c r="RBR58" s="148"/>
      <c r="RBS58" s="148"/>
      <c r="RBT58" s="148"/>
      <c r="RBU58" s="148"/>
      <c r="RBV58" s="148"/>
      <c r="RBW58" s="148"/>
      <c r="RBX58" s="148"/>
      <c r="RBY58" s="148"/>
      <c r="RBZ58" s="148"/>
      <c r="RCA58" s="148"/>
      <c r="RCB58" s="148"/>
      <c r="RCC58" s="148"/>
      <c r="RCD58" s="148"/>
      <c r="RCE58" s="148"/>
      <c r="RCF58" s="148"/>
      <c r="RCG58" s="148"/>
      <c r="RCH58" s="148"/>
      <c r="RCI58" s="148"/>
      <c r="RCJ58" s="148"/>
      <c r="RCK58" s="148"/>
      <c r="RCL58" s="148"/>
      <c r="RCM58" s="148"/>
      <c r="RCN58" s="148"/>
      <c r="RCO58" s="148"/>
      <c r="RCP58" s="148"/>
      <c r="RCQ58" s="148"/>
      <c r="RCR58" s="148"/>
      <c r="RCS58" s="148"/>
      <c r="RCT58" s="148"/>
      <c r="RCU58" s="148"/>
      <c r="RCV58" s="148"/>
      <c r="RCW58" s="148"/>
      <c r="RCX58" s="148"/>
      <c r="RCY58" s="148"/>
      <c r="RCZ58" s="148"/>
      <c r="RDA58" s="148"/>
      <c r="RDB58" s="148"/>
      <c r="RDC58" s="148"/>
      <c r="RDD58" s="148"/>
      <c r="RDE58" s="148"/>
      <c r="RDF58" s="148"/>
      <c r="RDG58" s="148"/>
      <c r="RDH58" s="148"/>
      <c r="RDI58" s="148"/>
      <c r="RDJ58" s="148"/>
      <c r="RDK58" s="148"/>
      <c r="RDL58" s="148"/>
      <c r="RDM58" s="148"/>
      <c r="RDN58" s="148"/>
      <c r="RDO58" s="148"/>
      <c r="RDP58" s="148"/>
      <c r="RDQ58" s="148"/>
      <c r="RDR58" s="148"/>
      <c r="RDS58" s="148"/>
      <c r="RDT58" s="148"/>
      <c r="RDU58" s="148"/>
      <c r="RDV58" s="148"/>
      <c r="RDW58" s="148"/>
      <c r="RDX58" s="148"/>
      <c r="RDY58" s="148"/>
      <c r="RDZ58" s="148"/>
      <c r="REA58" s="148"/>
      <c r="REB58" s="148"/>
      <c r="REC58" s="148"/>
      <c r="RED58" s="148"/>
      <c r="REE58" s="148"/>
      <c r="REF58" s="148"/>
      <c r="REG58" s="148"/>
      <c r="REH58" s="148"/>
      <c r="REI58" s="148"/>
      <c r="REJ58" s="148"/>
      <c r="REK58" s="148"/>
      <c r="REL58" s="148"/>
      <c r="REM58" s="148"/>
      <c r="REN58" s="148"/>
      <c r="REO58" s="148"/>
      <c r="REP58" s="148"/>
      <c r="REQ58" s="148"/>
      <c r="RER58" s="148"/>
      <c r="RES58" s="148"/>
      <c r="RET58" s="148"/>
      <c r="REU58" s="148"/>
      <c r="REV58" s="148"/>
      <c r="REW58" s="148"/>
      <c r="REX58" s="148"/>
      <c r="REY58" s="148"/>
      <c r="REZ58" s="148"/>
      <c r="RFA58" s="148"/>
      <c r="RFB58" s="148"/>
      <c r="RFC58" s="148"/>
      <c r="RFD58" s="148"/>
      <c r="RFE58" s="148"/>
      <c r="RFF58" s="148"/>
      <c r="RFG58" s="148"/>
      <c r="RFH58" s="148"/>
      <c r="RFI58" s="148"/>
      <c r="RFJ58" s="148"/>
      <c r="RFK58" s="148"/>
      <c r="RFL58" s="148"/>
      <c r="RFM58" s="148"/>
      <c r="RFN58" s="148"/>
      <c r="RFO58" s="148"/>
      <c r="RFP58" s="148"/>
      <c r="RFQ58" s="148"/>
      <c r="RFR58" s="148"/>
      <c r="RFS58" s="148"/>
      <c r="RFT58" s="148"/>
      <c r="RFU58" s="148"/>
      <c r="RFV58" s="148"/>
      <c r="RFW58" s="148"/>
      <c r="RFX58" s="148"/>
      <c r="RFY58" s="148"/>
      <c r="RFZ58" s="148"/>
      <c r="RGA58" s="148"/>
      <c r="RGB58" s="148"/>
      <c r="RGC58" s="148"/>
      <c r="RGD58" s="148"/>
      <c r="RGE58" s="148"/>
      <c r="RGF58" s="148"/>
      <c r="RGG58" s="148"/>
      <c r="RGH58" s="148"/>
      <c r="RGI58" s="148"/>
      <c r="RGJ58" s="148"/>
      <c r="RGK58" s="148"/>
      <c r="RGL58" s="148"/>
      <c r="RGM58" s="148"/>
      <c r="RGN58" s="148"/>
      <c r="RGO58" s="148"/>
      <c r="RGP58" s="148"/>
      <c r="RGQ58" s="148"/>
      <c r="RGR58" s="148"/>
      <c r="RGS58" s="148"/>
      <c r="RGT58" s="148"/>
      <c r="RGU58" s="148"/>
      <c r="RGV58" s="148"/>
      <c r="RGW58" s="148"/>
      <c r="RGX58" s="148"/>
      <c r="RGY58" s="148"/>
      <c r="RGZ58" s="148"/>
      <c r="RHA58" s="148"/>
      <c r="RHB58" s="148"/>
      <c r="RHC58" s="148"/>
      <c r="RHD58" s="148"/>
      <c r="RHE58" s="148"/>
      <c r="RHF58" s="148"/>
      <c r="RHG58" s="148"/>
      <c r="RHH58" s="148"/>
      <c r="RHI58" s="148"/>
      <c r="RHJ58" s="148"/>
      <c r="RHK58" s="148"/>
      <c r="RHL58" s="148"/>
      <c r="RHM58" s="148"/>
      <c r="RHN58" s="148"/>
      <c r="RHO58" s="148"/>
      <c r="RHP58" s="148"/>
      <c r="RHQ58" s="148"/>
      <c r="RHR58" s="148"/>
      <c r="RHS58" s="148"/>
      <c r="RHT58" s="148"/>
      <c r="RHU58" s="148"/>
      <c r="RHV58" s="148"/>
      <c r="RHW58" s="148"/>
      <c r="RHX58" s="148"/>
      <c r="RHY58" s="148"/>
      <c r="RHZ58" s="148"/>
      <c r="RIA58" s="148"/>
      <c r="RIB58" s="148"/>
      <c r="RIC58" s="148"/>
      <c r="RID58" s="148"/>
      <c r="RIE58" s="148"/>
      <c r="RIF58" s="148"/>
      <c r="RIG58" s="148"/>
      <c r="RIH58" s="148"/>
      <c r="RII58" s="148"/>
      <c r="RIJ58" s="148"/>
      <c r="RIK58" s="148"/>
      <c r="RIL58" s="148"/>
      <c r="RIM58" s="148"/>
      <c r="RIN58" s="148"/>
      <c r="RIO58" s="148"/>
      <c r="RIP58" s="148"/>
      <c r="RIQ58" s="148"/>
      <c r="RIR58" s="148"/>
      <c r="RIS58" s="148"/>
      <c r="RIT58" s="148"/>
      <c r="RIU58" s="148"/>
      <c r="RIV58" s="148"/>
      <c r="RIW58" s="148"/>
      <c r="RIX58" s="148"/>
      <c r="RIY58" s="148"/>
      <c r="RIZ58" s="148"/>
      <c r="RJA58" s="148"/>
      <c r="RJB58" s="148"/>
      <c r="RJC58" s="148"/>
      <c r="RJD58" s="148"/>
      <c r="RJE58" s="148"/>
      <c r="RJF58" s="148"/>
      <c r="RJG58" s="148"/>
      <c r="RJH58" s="148"/>
      <c r="RJI58" s="148"/>
      <c r="RJJ58" s="148"/>
      <c r="RJK58" s="148"/>
      <c r="RJL58" s="148"/>
      <c r="RJM58" s="148"/>
      <c r="RJN58" s="148"/>
      <c r="RJO58" s="148"/>
      <c r="RJP58" s="148"/>
      <c r="RJQ58" s="148"/>
      <c r="RJR58" s="148"/>
      <c r="RJS58" s="148"/>
      <c r="RJT58" s="148"/>
      <c r="RJU58" s="148"/>
      <c r="RJV58" s="148"/>
      <c r="RJW58" s="148"/>
      <c r="RJX58" s="148"/>
      <c r="RJY58" s="148"/>
      <c r="RJZ58" s="148"/>
      <c r="RKA58" s="148"/>
      <c r="RKB58" s="148"/>
      <c r="RKC58" s="148"/>
      <c r="RKD58" s="148"/>
      <c r="RKE58" s="148"/>
      <c r="RKF58" s="148"/>
      <c r="RKG58" s="148"/>
      <c r="RKH58" s="148"/>
      <c r="RKI58" s="148"/>
      <c r="RKJ58" s="148"/>
      <c r="RKK58" s="148"/>
      <c r="RKL58" s="148"/>
      <c r="RKM58" s="148"/>
      <c r="RKN58" s="148"/>
      <c r="RKO58" s="148"/>
      <c r="RKP58" s="148"/>
      <c r="RKQ58" s="148"/>
      <c r="RKR58" s="148"/>
      <c r="RKS58" s="148"/>
      <c r="RKT58" s="148"/>
      <c r="RKU58" s="148"/>
      <c r="RKV58" s="148"/>
      <c r="RKW58" s="148"/>
      <c r="RKX58" s="148"/>
      <c r="RKY58" s="148"/>
      <c r="RKZ58" s="148"/>
      <c r="RLA58" s="148"/>
      <c r="RLB58" s="148"/>
      <c r="RLC58" s="148"/>
      <c r="RLD58" s="148"/>
      <c r="RLE58" s="148"/>
      <c r="RLF58" s="148"/>
      <c r="RLG58" s="148"/>
      <c r="RLH58" s="148"/>
      <c r="RLI58" s="148"/>
      <c r="RLJ58" s="148"/>
      <c r="RLK58" s="148"/>
      <c r="RLL58" s="148"/>
      <c r="RLM58" s="148"/>
      <c r="RLN58" s="148"/>
      <c r="RLO58" s="148"/>
      <c r="RLP58" s="148"/>
      <c r="RLQ58" s="148"/>
      <c r="RLR58" s="148"/>
      <c r="RLS58" s="148"/>
      <c r="RLT58" s="148"/>
      <c r="RLU58" s="148"/>
      <c r="RLV58" s="148"/>
      <c r="RLW58" s="148"/>
      <c r="RLX58" s="148"/>
      <c r="RLY58" s="148"/>
      <c r="RLZ58" s="148"/>
      <c r="RMA58" s="148"/>
      <c r="RMB58" s="148"/>
      <c r="RMC58" s="148"/>
      <c r="RMD58" s="148"/>
      <c r="RME58" s="148"/>
      <c r="RMF58" s="148"/>
      <c r="RMG58" s="148"/>
      <c r="RMH58" s="148"/>
      <c r="RMI58" s="148"/>
      <c r="RMJ58" s="148"/>
      <c r="RMK58" s="148"/>
      <c r="RML58" s="148"/>
      <c r="RMM58" s="148"/>
      <c r="RMN58" s="148"/>
      <c r="RMO58" s="148"/>
      <c r="RMP58" s="148"/>
      <c r="RMQ58" s="148"/>
      <c r="RMR58" s="148"/>
      <c r="RMS58" s="148"/>
      <c r="RMT58" s="148"/>
      <c r="RMU58" s="148"/>
      <c r="RMV58" s="148"/>
      <c r="RMW58" s="148"/>
      <c r="RMX58" s="148"/>
      <c r="RMY58" s="148"/>
      <c r="RMZ58" s="148"/>
      <c r="RNA58" s="148"/>
      <c r="RNB58" s="148"/>
      <c r="RNC58" s="148"/>
      <c r="RND58" s="148"/>
      <c r="RNE58" s="148"/>
      <c r="RNF58" s="148"/>
      <c r="RNG58" s="148"/>
      <c r="RNH58" s="148"/>
      <c r="RNI58" s="148"/>
      <c r="RNJ58" s="148"/>
      <c r="RNK58" s="148"/>
      <c r="RNL58" s="148"/>
      <c r="RNM58" s="148"/>
      <c r="RNN58" s="148"/>
      <c r="RNO58" s="148"/>
      <c r="RNP58" s="148"/>
      <c r="RNQ58" s="148"/>
      <c r="RNR58" s="148"/>
      <c r="RNS58" s="148"/>
      <c r="RNT58" s="148"/>
      <c r="RNU58" s="148"/>
      <c r="RNV58" s="148"/>
      <c r="RNW58" s="148"/>
      <c r="RNX58" s="148"/>
      <c r="RNY58" s="148"/>
      <c r="RNZ58" s="148"/>
      <c r="ROA58" s="148"/>
      <c r="ROB58" s="148"/>
      <c r="ROC58" s="148"/>
      <c r="ROD58" s="148"/>
      <c r="ROE58" s="148"/>
      <c r="ROF58" s="148"/>
      <c r="ROG58" s="148"/>
      <c r="ROH58" s="148"/>
      <c r="ROI58" s="148"/>
      <c r="ROJ58" s="148"/>
      <c r="ROK58" s="148"/>
      <c r="ROL58" s="148"/>
      <c r="ROM58" s="148"/>
      <c r="RON58" s="148"/>
      <c r="ROO58" s="148"/>
      <c r="ROP58" s="148"/>
      <c r="ROQ58" s="148"/>
      <c r="ROR58" s="148"/>
      <c r="ROS58" s="148"/>
      <c r="ROT58" s="148"/>
      <c r="ROU58" s="148"/>
      <c r="ROV58" s="148"/>
      <c r="ROW58" s="148"/>
      <c r="ROX58" s="148"/>
      <c r="ROY58" s="148"/>
      <c r="ROZ58" s="148"/>
      <c r="RPA58" s="148"/>
      <c r="RPB58" s="148"/>
      <c r="RPC58" s="148"/>
      <c r="RPD58" s="148"/>
      <c r="RPE58" s="148"/>
      <c r="RPF58" s="148"/>
      <c r="RPG58" s="148"/>
      <c r="RPH58" s="148"/>
      <c r="RPI58" s="148"/>
      <c r="RPJ58" s="148"/>
      <c r="RPK58" s="148"/>
      <c r="RPL58" s="148"/>
      <c r="RPM58" s="148"/>
      <c r="RPN58" s="148"/>
      <c r="RPO58" s="148"/>
      <c r="RPP58" s="148"/>
      <c r="RPQ58" s="148"/>
      <c r="RPR58" s="148"/>
      <c r="RPS58" s="148"/>
      <c r="RPT58" s="148"/>
      <c r="RPU58" s="148"/>
      <c r="RPV58" s="148"/>
      <c r="RPW58" s="148"/>
      <c r="RPX58" s="148"/>
      <c r="RPY58" s="148"/>
      <c r="RPZ58" s="148"/>
      <c r="RQA58" s="148"/>
      <c r="RQB58" s="148"/>
      <c r="RQC58" s="148"/>
      <c r="RQD58" s="148"/>
      <c r="RQE58" s="148"/>
      <c r="RQF58" s="148"/>
      <c r="RQG58" s="148"/>
      <c r="RQH58" s="148"/>
      <c r="RQI58" s="148"/>
      <c r="RQJ58" s="148"/>
      <c r="RQK58" s="148"/>
      <c r="RQL58" s="148"/>
      <c r="RQM58" s="148"/>
      <c r="RQN58" s="148"/>
      <c r="RQO58" s="148"/>
      <c r="RQP58" s="148"/>
      <c r="RQQ58" s="148"/>
      <c r="RQR58" s="148"/>
      <c r="RQS58" s="148"/>
      <c r="RQT58" s="148"/>
      <c r="RQU58" s="148"/>
      <c r="RQV58" s="148"/>
      <c r="RQW58" s="148"/>
      <c r="RQX58" s="148"/>
      <c r="RQY58" s="148"/>
      <c r="RQZ58" s="148"/>
      <c r="RRA58" s="148"/>
      <c r="RRB58" s="148"/>
      <c r="RRC58" s="148"/>
      <c r="RRD58" s="148"/>
      <c r="RRE58" s="148"/>
      <c r="RRF58" s="148"/>
      <c r="RRG58" s="148"/>
      <c r="RRH58" s="148"/>
      <c r="RRI58" s="148"/>
      <c r="RRJ58" s="148"/>
      <c r="RRK58" s="148"/>
      <c r="RRL58" s="148"/>
      <c r="RRM58" s="148"/>
      <c r="RRN58" s="148"/>
      <c r="RRO58" s="148"/>
      <c r="RRP58" s="148"/>
      <c r="RRQ58" s="148"/>
      <c r="RRR58" s="148"/>
      <c r="RRS58" s="148"/>
      <c r="RRT58" s="148"/>
      <c r="RRU58" s="148"/>
      <c r="RRV58" s="148"/>
      <c r="RRW58" s="148"/>
      <c r="RRX58" s="148"/>
      <c r="RRY58" s="148"/>
      <c r="RRZ58" s="148"/>
      <c r="RSA58" s="148"/>
      <c r="RSB58" s="148"/>
      <c r="RSC58" s="148"/>
      <c r="RSD58" s="148"/>
      <c r="RSE58" s="148"/>
      <c r="RSF58" s="148"/>
      <c r="RSG58" s="148"/>
      <c r="RSH58" s="148"/>
      <c r="RSI58" s="148"/>
      <c r="RSJ58" s="148"/>
      <c r="RSK58" s="148"/>
      <c r="RSL58" s="148"/>
      <c r="RSM58" s="148"/>
      <c r="RSN58" s="148"/>
      <c r="RSO58" s="148"/>
      <c r="RSP58" s="148"/>
      <c r="RSQ58" s="148"/>
      <c r="RSR58" s="148"/>
      <c r="RSS58" s="148"/>
      <c r="RST58" s="148"/>
      <c r="RSU58" s="148"/>
      <c r="RSV58" s="148"/>
      <c r="RSW58" s="148"/>
      <c r="RSX58" s="148"/>
      <c r="RSY58" s="148"/>
      <c r="RSZ58" s="148"/>
      <c r="RTA58" s="148"/>
      <c r="RTB58" s="148"/>
      <c r="RTC58" s="148"/>
      <c r="RTD58" s="148"/>
      <c r="RTE58" s="148"/>
      <c r="RTF58" s="148"/>
      <c r="RTG58" s="148"/>
      <c r="RTH58" s="148"/>
      <c r="RTI58" s="148"/>
      <c r="RTJ58" s="148"/>
      <c r="RTK58" s="148"/>
      <c r="RTL58" s="148"/>
      <c r="RTM58" s="148"/>
      <c r="RTN58" s="148"/>
      <c r="RTO58" s="148"/>
      <c r="RTP58" s="148"/>
      <c r="RTQ58" s="148"/>
      <c r="RTR58" s="148"/>
      <c r="RTS58" s="148"/>
      <c r="RTT58" s="148"/>
      <c r="RTU58" s="148"/>
      <c r="RTV58" s="148"/>
      <c r="RTW58" s="148"/>
      <c r="RTX58" s="148"/>
      <c r="RTY58" s="148"/>
      <c r="RTZ58" s="148"/>
      <c r="RUA58" s="148"/>
      <c r="RUB58" s="148"/>
      <c r="RUC58" s="148"/>
      <c r="RUD58" s="148"/>
      <c r="RUE58" s="148"/>
      <c r="RUF58" s="148"/>
      <c r="RUG58" s="148"/>
      <c r="RUH58" s="148"/>
      <c r="RUI58" s="148"/>
      <c r="RUJ58" s="148"/>
      <c r="RUK58" s="148"/>
      <c r="RUL58" s="148"/>
      <c r="RUM58" s="148"/>
      <c r="RUN58" s="148"/>
      <c r="RUO58" s="148"/>
      <c r="RUP58" s="148"/>
      <c r="RUQ58" s="148"/>
      <c r="RUR58" s="148"/>
      <c r="RUS58" s="148"/>
      <c r="RUT58" s="148"/>
      <c r="RUU58" s="148"/>
      <c r="RUV58" s="148"/>
      <c r="RUW58" s="148"/>
      <c r="RUX58" s="148"/>
      <c r="RUY58" s="148"/>
      <c r="RUZ58" s="148"/>
      <c r="RVA58" s="148"/>
      <c r="RVB58" s="148"/>
      <c r="RVC58" s="148"/>
      <c r="RVD58" s="148"/>
      <c r="RVE58" s="148"/>
      <c r="RVF58" s="148"/>
      <c r="RVG58" s="148"/>
      <c r="RVH58" s="148"/>
      <c r="RVI58" s="148"/>
      <c r="RVJ58" s="148"/>
      <c r="RVK58" s="148"/>
      <c r="RVL58" s="148"/>
      <c r="RVM58" s="148"/>
      <c r="RVN58" s="148"/>
      <c r="RVO58" s="148"/>
      <c r="RVP58" s="148"/>
      <c r="RVQ58" s="148"/>
      <c r="RVR58" s="148"/>
      <c r="RVS58" s="148"/>
      <c r="RVT58" s="148"/>
      <c r="RVU58" s="148"/>
      <c r="RVV58" s="148"/>
      <c r="RVW58" s="148"/>
      <c r="RVX58" s="148"/>
      <c r="RVY58" s="148"/>
      <c r="RVZ58" s="148"/>
      <c r="RWA58" s="148"/>
      <c r="RWB58" s="148"/>
      <c r="RWC58" s="148"/>
      <c r="RWD58" s="148"/>
      <c r="RWE58" s="148"/>
      <c r="RWF58" s="148"/>
      <c r="RWG58" s="148"/>
      <c r="RWH58" s="148"/>
      <c r="RWI58" s="148"/>
      <c r="RWJ58" s="148"/>
      <c r="RWK58" s="148"/>
      <c r="RWL58" s="148"/>
      <c r="RWM58" s="148"/>
      <c r="RWN58" s="148"/>
      <c r="RWO58" s="148"/>
      <c r="RWP58" s="148"/>
      <c r="RWQ58" s="148"/>
      <c r="RWR58" s="148"/>
      <c r="RWS58" s="148"/>
      <c r="RWT58" s="148"/>
      <c r="RWU58" s="148"/>
      <c r="RWV58" s="148"/>
      <c r="RWW58" s="148"/>
      <c r="RWX58" s="148"/>
      <c r="RWY58" s="148"/>
      <c r="RWZ58" s="148"/>
      <c r="RXA58" s="148"/>
      <c r="RXB58" s="148"/>
      <c r="RXC58" s="148"/>
      <c r="RXD58" s="148"/>
      <c r="RXE58" s="148"/>
      <c r="RXF58" s="148"/>
      <c r="RXG58" s="148"/>
      <c r="RXH58" s="148"/>
      <c r="RXI58" s="148"/>
      <c r="RXJ58" s="148"/>
      <c r="RXK58" s="148"/>
      <c r="RXL58" s="148"/>
      <c r="RXM58" s="148"/>
      <c r="RXN58" s="148"/>
      <c r="RXO58" s="148"/>
      <c r="RXP58" s="148"/>
      <c r="RXQ58" s="148"/>
      <c r="RXR58" s="148"/>
      <c r="RXS58" s="148"/>
      <c r="RXT58" s="148"/>
      <c r="RXU58" s="148"/>
      <c r="RXV58" s="148"/>
      <c r="RXW58" s="148"/>
      <c r="RXX58" s="148"/>
      <c r="RXY58" s="148"/>
      <c r="RXZ58" s="148"/>
      <c r="RYA58" s="148"/>
      <c r="RYB58" s="148"/>
      <c r="RYC58" s="148"/>
      <c r="RYD58" s="148"/>
      <c r="RYE58" s="148"/>
      <c r="RYF58" s="148"/>
      <c r="RYG58" s="148"/>
      <c r="RYH58" s="148"/>
      <c r="RYI58" s="148"/>
      <c r="RYJ58" s="148"/>
      <c r="RYK58" s="148"/>
      <c r="RYL58" s="148"/>
      <c r="RYM58" s="148"/>
      <c r="RYN58" s="148"/>
      <c r="RYO58" s="148"/>
      <c r="RYP58" s="148"/>
      <c r="RYQ58" s="148"/>
      <c r="RYR58" s="148"/>
      <c r="RYS58" s="148"/>
      <c r="RYT58" s="148"/>
      <c r="RYU58" s="148"/>
      <c r="RYV58" s="148"/>
      <c r="RYW58" s="148"/>
      <c r="RYX58" s="148"/>
      <c r="RYY58" s="148"/>
      <c r="RYZ58" s="148"/>
      <c r="RZA58" s="148"/>
      <c r="RZB58" s="148"/>
      <c r="RZC58" s="148"/>
      <c r="RZD58" s="148"/>
      <c r="RZE58" s="148"/>
      <c r="RZF58" s="148"/>
      <c r="RZG58" s="148"/>
      <c r="RZH58" s="148"/>
      <c r="RZI58" s="148"/>
      <c r="RZJ58" s="148"/>
      <c r="RZK58" s="148"/>
      <c r="RZL58" s="148"/>
      <c r="RZM58" s="148"/>
      <c r="RZN58" s="148"/>
      <c r="RZO58" s="148"/>
      <c r="RZP58" s="148"/>
      <c r="RZQ58" s="148"/>
      <c r="RZR58" s="148"/>
      <c r="RZS58" s="148"/>
      <c r="RZT58" s="148"/>
      <c r="RZU58" s="148"/>
      <c r="RZV58" s="148"/>
      <c r="RZW58" s="148"/>
      <c r="RZX58" s="148"/>
      <c r="RZY58" s="148"/>
      <c r="RZZ58" s="148"/>
      <c r="SAA58" s="148"/>
      <c r="SAB58" s="148"/>
      <c r="SAC58" s="148"/>
      <c r="SAD58" s="148"/>
      <c r="SAE58" s="148"/>
      <c r="SAF58" s="148"/>
      <c r="SAG58" s="148"/>
      <c r="SAH58" s="148"/>
      <c r="SAI58" s="148"/>
      <c r="SAJ58" s="148"/>
      <c r="SAK58" s="148"/>
      <c r="SAL58" s="148"/>
      <c r="SAM58" s="148"/>
      <c r="SAN58" s="148"/>
      <c r="SAO58" s="148"/>
      <c r="SAP58" s="148"/>
      <c r="SAQ58" s="148"/>
      <c r="SAR58" s="148"/>
      <c r="SAS58" s="148"/>
      <c r="SAT58" s="148"/>
      <c r="SAU58" s="148"/>
      <c r="SAV58" s="148"/>
      <c r="SAW58" s="148"/>
      <c r="SAX58" s="148"/>
      <c r="SAY58" s="148"/>
      <c r="SAZ58" s="148"/>
      <c r="SBA58" s="148"/>
      <c r="SBB58" s="148"/>
      <c r="SBC58" s="148"/>
      <c r="SBD58" s="148"/>
      <c r="SBE58" s="148"/>
      <c r="SBF58" s="148"/>
      <c r="SBG58" s="148"/>
      <c r="SBH58" s="148"/>
      <c r="SBI58" s="148"/>
      <c r="SBJ58" s="148"/>
      <c r="SBK58" s="148"/>
      <c r="SBL58" s="148"/>
      <c r="SBM58" s="148"/>
      <c r="SBN58" s="148"/>
      <c r="SBO58" s="148"/>
      <c r="SBP58" s="148"/>
      <c r="SBQ58" s="148"/>
      <c r="SBR58" s="148"/>
      <c r="SBS58" s="148"/>
      <c r="SBT58" s="148"/>
      <c r="SBU58" s="148"/>
      <c r="SBV58" s="148"/>
      <c r="SBW58" s="148"/>
      <c r="SBX58" s="148"/>
      <c r="SBY58" s="148"/>
      <c r="SBZ58" s="148"/>
      <c r="SCA58" s="148"/>
      <c r="SCB58" s="148"/>
      <c r="SCC58" s="148"/>
      <c r="SCD58" s="148"/>
      <c r="SCE58" s="148"/>
      <c r="SCF58" s="148"/>
      <c r="SCG58" s="148"/>
      <c r="SCH58" s="148"/>
      <c r="SCI58" s="148"/>
      <c r="SCJ58" s="148"/>
      <c r="SCK58" s="148"/>
      <c r="SCL58" s="148"/>
      <c r="SCM58" s="148"/>
      <c r="SCN58" s="148"/>
      <c r="SCO58" s="148"/>
      <c r="SCP58" s="148"/>
      <c r="SCQ58" s="148"/>
      <c r="SCR58" s="148"/>
      <c r="SCS58" s="148"/>
      <c r="SCT58" s="148"/>
      <c r="SCU58" s="148"/>
      <c r="SCV58" s="148"/>
      <c r="SCW58" s="148"/>
      <c r="SCX58" s="148"/>
      <c r="SCY58" s="148"/>
      <c r="SCZ58" s="148"/>
      <c r="SDA58" s="148"/>
      <c r="SDB58" s="148"/>
      <c r="SDC58" s="148"/>
      <c r="SDD58" s="148"/>
      <c r="SDE58" s="148"/>
      <c r="SDF58" s="148"/>
      <c r="SDG58" s="148"/>
      <c r="SDH58" s="148"/>
      <c r="SDI58" s="148"/>
      <c r="SDJ58" s="148"/>
      <c r="SDK58" s="148"/>
      <c r="SDL58" s="148"/>
      <c r="SDM58" s="148"/>
      <c r="SDN58" s="148"/>
      <c r="SDO58" s="148"/>
      <c r="SDP58" s="148"/>
      <c r="SDQ58" s="148"/>
      <c r="SDR58" s="148"/>
      <c r="SDS58" s="148"/>
      <c r="SDT58" s="148"/>
      <c r="SDU58" s="148"/>
      <c r="SDV58" s="148"/>
      <c r="SDW58" s="148"/>
      <c r="SDX58" s="148"/>
      <c r="SDY58" s="148"/>
      <c r="SDZ58" s="148"/>
      <c r="SEA58" s="148"/>
      <c r="SEB58" s="148"/>
      <c r="SEC58" s="148"/>
      <c r="SED58" s="148"/>
      <c r="SEE58" s="148"/>
      <c r="SEF58" s="148"/>
      <c r="SEG58" s="148"/>
      <c r="SEH58" s="148"/>
      <c r="SEI58" s="148"/>
      <c r="SEJ58" s="148"/>
      <c r="SEK58" s="148"/>
      <c r="SEL58" s="148"/>
      <c r="SEM58" s="148"/>
      <c r="SEN58" s="148"/>
      <c r="SEO58" s="148"/>
      <c r="SEP58" s="148"/>
      <c r="SEQ58" s="148"/>
      <c r="SER58" s="148"/>
      <c r="SES58" s="148"/>
      <c r="SET58" s="148"/>
      <c r="SEU58" s="148"/>
      <c r="SEV58" s="148"/>
      <c r="SEW58" s="148"/>
      <c r="SEX58" s="148"/>
      <c r="SEY58" s="148"/>
      <c r="SEZ58" s="148"/>
      <c r="SFA58" s="148"/>
      <c r="SFB58" s="148"/>
      <c r="SFC58" s="148"/>
      <c r="SFD58" s="148"/>
      <c r="SFE58" s="148"/>
      <c r="SFF58" s="148"/>
      <c r="SFG58" s="148"/>
      <c r="SFH58" s="148"/>
      <c r="SFI58" s="148"/>
      <c r="SFJ58" s="148"/>
      <c r="SFK58" s="148"/>
      <c r="SFL58" s="148"/>
      <c r="SFM58" s="148"/>
      <c r="SFN58" s="148"/>
      <c r="SFO58" s="148"/>
      <c r="SFP58" s="148"/>
      <c r="SFQ58" s="148"/>
      <c r="SFR58" s="148"/>
      <c r="SFS58" s="148"/>
      <c r="SFT58" s="148"/>
      <c r="SFU58" s="148"/>
      <c r="SFV58" s="148"/>
      <c r="SFW58" s="148"/>
      <c r="SFX58" s="148"/>
      <c r="SFY58" s="148"/>
      <c r="SFZ58" s="148"/>
      <c r="SGA58" s="148"/>
      <c r="SGB58" s="148"/>
      <c r="SGC58" s="148"/>
      <c r="SGD58" s="148"/>
      <c r="SGE58" s="148"/>
      <c r="SGF58" s="148"/>
      <c r="SGG58" s="148"/>
      <c r="SGH58" s="148"/>
      <c r="SGI58" s="148"/>
      <c r="SGJ58" s="148"/>
      <c r="SGK58" s="148"/>
      <c r="SGL58" s="148"/>
      <c r="SGM58" s="148"/>
      <c r="SGN58" s="148"/>
      <c r="SGO58" s="148"/>
      <c r="SGP58" s="148"/>
      <c r="SGQ58" s="148"/>
      <c r="SGR58" s="148"/>
      <c r="SGS58" s="148"/>
      <c r="SGT58" s="148"/>
      <c r="SGU58" s="148"/>
      <c r="SGV58" s="148"/>
      <c r="SGW58" s="148"/>
      <c r="SGX58" s="148"/>
      <c r="SGY58" s="148"/>
      <c r="SGZ58" s="148"/>
      <c r="SHA58" s="148"/>
      <c r="SHB58" s="148"/>
      <c r="SHC58" s="148"/>
      <c r="SHD58" s="148"/>
      <c r="SHE58" s="148"/>
      <c r="SHF58" s="148"/>
      <c r="SHG58" s="148"/>
      <c r="SHH58" s="148"/>
      <c r="SHI58" s="148"/>
      <c r="SHJ58" s="148"/>
      <c r="SHK58" s="148"/>
      <c r="SHL58" s="148"/>
      <c r="SHM58" s="148"/>
      <c r="SHN58" s="148"/>
      <c r="SHO58" s="148"/>
      <c r="SHP58" s="148"/>
      <c r="SHQ58" s="148"/>
      <c r="SHR58" s="148"/>
      <c r="SHS58" s="148"/>
      <c r="SHT58" s="148"/>
      <c r="SHU58" s="148"/>
      <c r="SHV58" s="148"/>
      <c r="SHW58" s="148"/>
      <c r="SHX58" s="148"/>
      <c r="SHY58" s="148"/>
      <c r="SHZ58" s="148"/>
      <c r="SIA58" s="148"/>
      <c r="SIB58" s="148"/>
      <c r="SIC58" s="148"/>
      <c r="SID58" s="148"/>
      <c r="SIE58" s="148"/>
      <c r="SIF58" s="148"/>
      <c r="SIG58" s="148"/>
      <c r="SIH58" s="148"/>
      <c r="SII58" s="148"/>
      <c r="SIJ58" s="148"/>
      <c r="SIK58" s="148"/>
      <c r="SIL58" s="148"/>
      <c r="SIM58" s="148"/>
      <c r="SIN58" s="148"/>
      <c r="SIO58" s="148"/>
      <c r="SIP58" s="148"/>
      <c r="SIQ58" s="148"/>
      <c r="SIR58" s="148"/>
      <c r="SIS58" s="148"/>
      <c r="SIT58" s="148"/>
      <c r="SIU58" s="148"/>
      <c r="SIV58" s="148"/>
      <c r="SIW58" s="148"/>
      <c r="SIX58" s="148"/>
      <c r="SIY58" s="148"/>
      <c r="SIZ58" s="148"/>
      <c r="SJA58" s="148"/>
      <c r="SJB58" s="148"/>
      <c r="SJC58" s="148"/>
      <c r="SJD58" s="148"/>
      <c r="SJE58" s="148"/>
      <c r="SJF58" s="148"/>
      <c r="SJG58" s="148"/>
      <c r="SJH58" s="148"/>
      <c r="SJI58" s="148"/>
      <c r="SJJ58" s="148"/>
      <c r="SJK58" s="148"/>
      <c r="SJL58" s="148"/>
      <c r="SJM58" s="148"/>
      <c r="SJN58" s="148"/>
      <c r="SJO58" s="148"/>
      <c r="SJP58" s="148"/>
      <c r="SJQ58" s="148"/>
      <c r="SJR58" s="148"/>
      <c r="SJS58" s="148"/>
      <c r="SJT58" s="148"/>
      <c r="SJU58" s="148"/>
      <c r="SJV58" s="148"/>
      <c r="SJW58" s="148"/>
      <c r="SJX58" s="148"/>
      <c r="SJY58" s="148"/>
      <c r="SJZ58" s="148"/>
      <c r="SKA58" s="148"/>
      <c r="SKB58" s="148"/>
      <c r="SKC58" s="148"/>
      <c r="SKD58" s="148"/>
      <c r="SKE58" s="148"/>
      <c r="SKF58" s="148"/>
      <c r="SKG58" s="148"/>
      <c r="SKH58" s="148"/>
      <c r="SKI58" s="148"/>
      <c r="SKJ58" s="148"/>
      <c r="SKK58" s="148"/>
      <c r="SKL58" s="148"/>
      <c r="SKM58" s="148"/>
      <c r="SKN58" s="148"/>
      <c r="SKO58" s="148"/>
      <c r="SKP58" s="148"/>
      <c r="SKQ58" s="148"/>
      <c r="SKR58" s="148"/>
      <c r="SKS58" s="148"/>
      <c r="SKT58" s="148"/>
      <c r="SKU58" s="148"/>
      <c r="SKV58" s="148"/>
      <c r="SKW58" s="148"/>
      <c r="SKX58" s="148"/>
      <c r="SKY58" s="148"/>
      <c r="SKZ58" s="148"/>
      <c r="SLA58" s="148"/>
      <c r="SLB58" s="148"/>
      <c r="SLC58" s="148"/>
      <c r="SLD58" s="148"/>
      <c r="SLE58" s="148"/>
      <c r="SLF58" s="148"/>
      <c r="SLG58" s="148"/>
      <c r="SLH58" s="148"/>
      <c r="SLI58" s="148"/>
      <c r="SLJ58" s="148"/>
      <c r="SLK58" s="148"/>
      <c r="SLL58" s="148"/>
      <c r="SLM58" s="148"/>
      <c r="SLN58" s="148"/>
      <c r="SLO58" s="148"/>
      <c r="SLP58" s="148"/>
      <c r="SLQ58" s="148"/>
      <c r="SLR58" s="148"/>
      <c r="SLS58" s="148"/>
      <c r="SLT58" s="148"/>
      <c r="SLU58" s="148"/>
      <c r="SLV58" s="148"/>
      <c r="SLW58" s="148"/>
      <c r="SLX58" s="148"/>
      <c r="SLY58" s="148"/>
      <c r="SLZ58" s="148"/>
      <c r="SMA58" s="148"/>
      <c r="SMB58" s="148"/>
      <c r="SMC58" s="148"/>
      <c r="SMD58" s="148"/>
      <c r="SME58" s="148"/>
      <c r="SMF58" s="148"/>
      <c r="SMG58" s="148"/>
      <c r="SMH58" s="148"/>
      <c r="SMI58" s="148"/>
      <c r="SMJ58" s="148"/>
      <c r="SMK58" s="148"/>
      <c r="SML58" s="148"/>
      <c r="SMM58" s="148"/>
      <c r="SMN58" s="148"/>
      <c r="SMO58" s="148"/>
      <c r="SMP58" s="148"/>
      <c r="SMQ58" s="148"/>
      <c r="SMR58" s="148"/>
      <c r="SMS58" s="148"/>
      <c r="SMT58" s="148"/>
      <c r="SMU58" s="148"/>
      <c r="SMV58" s="148"/>
      <c r="SMW58" s="148"/>
      <c r="SMX58" s="148"/>
      <c r="SMY58" s="148"/>
      <c r="SMZ58" s="148"/>
      <c r="SNA58" s="148"/>
      <c r="SNB58" s="148"/>
      <c r="SNC58" s="148"/>
      <c r="SND58" s="148"/>
      <c r="SNE58" s="148"/>
      <c r="SNF58" s="148"/>
      <c r="SNG58" s="148"/>
      <c r="SNH58" s="148"/>
      <c r="SNI58" s="148"/>
      <c r="SNJ58" s="148"/>
      <c r="SNK58" s="148"/>
      <c r="SNL58" s="148"/>
      <c r="SNM58" s="148"/>
      <c r="SNN58" s="148"/>
      <c r="SNO58" s="148"/>
      <c r="SNP58" s="148"/>
      <c r="SNQ58" s="148"/>
      <c r="SNR58" s="148"/>
      <c r="SNS58" s="148"/>
      <c r="SNT58" s="148"/>
      <c r="SNU58" s="148"/>
      <c r="SNV58" s="148"/>
      <c r="SNW58" s="148"/>
      <c r="SNX58" s="148"/>
      <c r="SNY58" s="148"/>
      <c r="SNZ58" s="148"/>
      <c r="SOA58" s="148"/>
      <c r="SOB58" s="148"/>
      <c r="SOC58" s="148"/>
      <c r="SOD58" s="148"/>
      <c r="SOE58" s="148"/>
      <c r="SOF58" s="148"/>
      <c r="SOG58" s="148"/>
      <c r="SOH58" s="148"/>
      <c r="SOI58" s="148"/>
      <c r="SOJ58" s="148"/>
      <c r="SOK58" s="148"/>
      <c r="SOL58" s="148"/>
      <c r="SOM58" s="148"/>
      <c r="SON58" s="148"/>
      <c r="SOO58" s="148"/>
      <c r="SOP58" s="148"/>
      <c r="SOQ58" s="148"/>
      <c r="SOR58" s="148"/>
      <c r="SOS58" s="148"/>
      <c r="SOT58" s="148"/>
      <c r="SOU58" s="148"/>
      <c r="SOV58" s="148"/>
      <c r="SOW58" s="148"/>
      <c r="SOX58" s="148"/>
      <c r="SOY58" s="148"/>
      <c r="SOZ58" s="148"/>
      <c r="SPA58" s="148"/>
      <c r="SPB58" s="148"/>
      <c r="SPC58" s="148"/>
      <c r="SPD58" s="148"/>
      <c r="SPE58" s="148"/>
      <c r="SPF58" s="148"/>
      <c r="SPG58" s="148"/>
      <c r="SPH58" s="148"/>
      <c r="SPI58" s="148"/>
      <c r="SPJ58" s="148"/>
      <c r="SPK58" s="148"/>
      <c r="SPL58" s="148"/>
      <c r="SPM58" s="148"/>
      <c r="SPN58" s="148"/>
      <c r="SPO58" s="148"/>
      <c r="SPP58" s="148"/>
      <c r="SPQ58" s="148"/>
      <c r="SPR58" s="148"/>
      <c r="SPS58" s="148"/>
      <c r="SPT58" s="148"/>
      <c r="SPU58" s="148"/>
      <c r="SPV58" s="148"/>
      <c r="SPW58" s="148"/>
      <c r="SPX58" s="148"/>
      <c r="SPY58" s="148"/>
      <c r="SPZ58" s="148"/>
      <c r="SQA58" s="148"/>
      <c r="SQB58" s="148"/>
      <c r="SQC58" s="148"/>
      <c r="SQD58" s="148"/>
      <c r="SQE58" s="148"/>
      <c r="SQF58" s="148"/>
      <c r="SQG58" s="148"/>
      <c r="SQH58" s="148"/>
      <c r="SQI58" s="148"/>
      <c r="SQJ58" s="148"/>
      <c r="SQK58" s="148"/>
      <c r="SQL58" s="148"/>
      <c r="SQM58" s="148"/>
      <c r="SQN58" s="148"/>
      <c r="SQO58" s="148"/>
      <c r="SQP58" s="148"/>
      <c r="SQQ58" s="148"/>
      <c r="SQR58" s="148"/>
      <c r="SQS58" s="148"/>
      <c r="SQT58" s="148"/>
      <c r="SQU58" s="148"/>
      <c r="SQV58" s="148"/>
      <c r="SQW58" s="148"/>
      <c r="SQX58" s="148"/>
      <c r="SQY58" s="148"/>
      <c r="SQZ58" s="148"/>
      <c r="SRA58" s="148"/>
      <c r="SRB58" s="148"/>
      <c r="SRC58" s="148"/>
      <c r="SRD58" s="148"/>
      <c r="SRE58" s="148"/>
      <c r="SRF58" s="148"/>
      <c r="SRG58" s="148"/>
      <c r="SRH58" s="148"/>
      <c r="SRI58" s="148"/>
      <c r="SRJ58" s="148"/>
      <c r="SRK58" s="148"/>
      <c r="SRL58" s="148"/>
      <c r="SRM58" s="148"/>
      <c r="SRN58" s="148"/>
      <c r="SRO58" s="148"/>
      <c r="SRP58" s="148"/>
      <c r="SRQ58" s="148"/>
      <c r="SRR58" s="148"/>
      <c r="SRS58" s="148"/>
      <c r="SRT58" s="148"/>
      <c r="SRU58" s="148"/>
      <c r="SRV58" s="148"/>
      <c r="SRW58" s="148"/>
      <c r="SRX58" s="148"/>
      <c r="SRY58" s="148"/>
      <c r="SRZ58" s="148"/>
      <c r="SSA58" s="148"/>
      <c r="SSB58" s="148"/>
      <c r="SSC58" s="148"/>
      <c r="SSD58" s="148"/>
      <c r="SSE58" s="148"/>
      <c r="SSF58" s="148"/>
      <c r="SSG58" s="148"/>
      <c r="SSH58" s="148"/>
      <c r="SSI58" s="148"/>
      <c r="SSJ58" s="148"/>
      <c r="SSK58" s="148"/>
      <c r="SSL58" s="148"/>
      <c r="SSM58" s="148"/>
      <c r="SSN58" s="148"/>
      <c r="SSO58" s="148"/>
      <c r="SSP58" s="148"/>
      <c r="SSQ58" s="148"/>
      <c r="SSR58" s="148"/>
      <c r="SSS58" s="148"/>
      <c r="SST58" s="148"/>
      <c r="SSU58" s="148"/>
      <c r="SSV58" s="148"/>
      <c r="SSW58" s="148"/>
      <c r="SSX58" s="148"/>
      <c r="SSY58" s="148"/>
      <c r="SSZ58" s="148"/>
      <c r="STA58" s="148"/>
      <c r="STB58" s="148"/>
      <c r="STC58" s="148"/>
      <c r="STD58" s="148"/>
      <c r="STE58" s="148"/>
      <c r="STF58" s="148"/>
      <c r="STG58" s="148"/>
      <c r="STH58" s="148"/>
      <c r="STI58" s="148"/>
      <c r="STJ58" s="148"/>
      <c r="STK58" s="148"/>
      <c r="STL58" s="148"/>
      <c r="STM58" s="148"/>
      <c r="STN58" s="148"/>
      <c r="STO58" s="148"/>
      <c r="STP58" s="148"/>
      <c r="STQ58" s="148"/>
      <c r="STR58" s="148"/>
      <c r="STS58" s="148"/>
      <c r="STT58" s="148"/>
      <c r="STU58" s="148"/>
      <c r="STV58" s="148"/>
      <c r="STW58" s="148"/>
      <c r="STX58" s="148"/>
      <c r="STY58" s="148"/>
      <c r="STZ58" s="148"/>
      <c r="SUA58" s="148"/>
      <c r="SUB58" s="148"/>
      <c r="SUC58" s="148"/>
      <c r="SUD58" s="148"/>
      <c r="SUE58" s="148"/>
      <c r="SUF58" s="148"/>
      <c r="SUG58" s="148"/>
      <c r="SUH58" s="148"/>
      <c r="SUI58" s="148"/>
      <c r="SUJ58" s="148"/>
      <c r="SUK58" s="148"/>
      <c r="SUL58" s="148"/>
      <c r="SUM58" s="148"/>
      <c r="SUN58" s="148"/>
      <c r="SUO58" s="148"/>
      <c r="SUP58" s="148"/>
      <c r="SUQ58" s="148"/>
      <c r="SUR58" s="148"/>
      <c r="SUS58" s="148"/>
      <c r="SUT58" s="148"/>
      <c r="SUU58" s="148"/>
      <c r="SUV58" s="148"/>
      <c r="SUW58" s="148"/>
      <c r="SUX58" s="148"/>
      <c r="SUY58" s="148"/>
      <c r="SUZ58" s="148"/>
      <c r="SVA58" s="148"/>
      <c r="SVB58" s="148"/>
      <c r="SVC58" s="148"/>
      <c r="SVD58" s="148"/>
      <c r="SVE58" s="148"/>
      <c r="SVF58" s="148"/>
      <c r="SVG58" s="148"/>
      <c r="SVH58" s="148"/>
      <c r="SVI58" s="148"/>
      <c r="SVJ58" s="148"/>
      <c r="SVK58" s="148"/>
      <c r="SVL58" s="148"/>
      <c r="SVM58" s="148"/>
      <c r="SVN58" s="148"/>
      <c r="SVO58" s="148"/>
      <c r="SVP58" s="148"/>
      <c r="SVQ58" s="148"/>
      <c r="SVR58" s="148"/>
      <c r="SVS58" s="148"/>
      <c r="SVT58" s="148"/>
      <c r="SVU58" s="148"/>
      <c r="SVV58" s="148"/>
      <c r="SVW58" s="148"/>
      <c r="SVX58" s="148"/>
      <c r="SVY58" s="148"/>
      <c r="SVZ58" s="148"/>
      <c r="SWA58" s="148"/>
      <c r="SWB58" s="148"/>
      <c r="SWC58" s="148"/>
      <c r="SWD58" s="148"/>
      <c r="SWE58" s="148"/>
      <c r="SWF58" s="148"/>
      <c r="SWG58" s="148"/>
      <c r="SWH58" s="148"/>
      <c r="SWI58" s="148"/>
      <c r="SWJ58" s="148"/>
      <c r="SWK58" s="148"/>
      <c r="SWL58" s="148"/>
      <c r="SWM58" s="148"/>
      <c r="SWN58" s="148"/>
      <c r="SWO58" s="148"/>
      <c r="SWP58" s="148"/>
      <c r="SWQ58" s="148"/>
      <c r="SWR58" s="148"/>
      <c r="SWS58" s="148"/>
      <c r="SWT58" s="148"/>
      <c r="SWU58" s="148"/>
      <c r="SWV58" s="148"/>
      <c r="SWW58" s="148"/>
      <c r="SWX58" s="148"/>
      <c r="SWY58" s="148"/>
      <c r="SWZ58" s="148"/>
      <c r="SXA58" s="148"/>
      <c r="SXB58" s="148"/>
      <c r="SXC58" s="148"/>
      <c r="SXD58" s="148"/>
      <c r="SXE58" s="148"/>
      <c r="SXF58" s="148"/>
      <c r="SXG58" s="148"/>
      <c r="SXH58" s="148"/>
      <c r="SXI58" s="148"/>
      <c r="SXJ58" s="148"/>
      <c r="SXK58" s="148"/>
      <c r="SXL58" s="148"/>
      <c r="SXM58" s="148"/>
      <c r="SXN58" s="148"/>
      <c r="SXO58" s="148"/>
      <c r="SXP58" s="148"/>
      <c r="SXQ58" s="148"/>
      <c r="SXR58" s="148"/>
      <c r="SXS58" s="148"/>
      <c r="SXT58" s="148"/>
      <c r="SXU58" s="148"/>
      <c r="SXV58" s="148"/>
      <c r="SXW58" s="148"/>
      <c r="SXX58" s="148"/>
      <c r="SXY58" s="148"/>
      <c r="SXZ58" s="148"/>
      <c r="SYA58" s="148"/>
      <c r="SYB58" s="148"/>
      <c r="SYC58" s="148"/>
      <c r="SYD58" s="148"/>
      <c r="SYE58" s="148"/>
      <c r="SYF58" s="148"/>
      <c r="SYG58" s="148"/>
      <c r="SYH58" s="148"/>
      <c r="SYI58" s="148"/>
      <c r="SYJ58" s="148"/>
      <c r="SYK58" s="148"/>
      <c r="SYL58" s="148"/>
      <c r="SYM58" s="148"/>
      <c r="SYN58" s="148"/>
      <c r="SYO58" s="148"/>
      <c r="SYP58" s="148"/>
      <c r="SYQ58" s="148"/>
      <c r="SYR58" s="148"/>
      <c r="SYS58" s="148"/>
      <c r="SYT58" s="148"/>
      <c r="SYU58" s="148"/>
      <c r="SYV58" s="148"/>
      <c r="SYW58" s="148"/>
      <c r="SYX58" s="148"/>
      <c r="SYY58" s="148"/>
      <c r="SYZ58" s="148"/>
      <c r="SZA58" s="148"/>
      <c r="SZB58" s="148"/>
      <c r="SZC58" s="148"/>
      <c r="SZD58" s="148"/>
      <c r="SZE58" s="148"/>
      <c r="SZF58" s="148"/>
      <c r="SZG58" s="148"/>
      <c r="SZH58" s="148"/>
      <c r="SZI58" s="148"/>
      <c r="SZJ58" s="148"/>
      <c r="SZK58" s="148"/>
      <c r="SZL58" s="148"/>
      <c r="SZM58" s="148"/>
      <c r="SZN58" s="148"/>
      <c r="SZO58" s="148"/>
      <c r="SZP58" s="148"/>
      <c r="SZQ58" s="148"/>
      <c r="SZR58" s="148"/>
      <c r="SZS58" s="148"/>
      <c r="SZT58" s="148"/>
      <c r="SZU58" s="148"/>
      <c r="SZV58" s="148"/>
      <c r="SZW58" s="148"/>
      <c r="SZX58" s="148"/>
      <c r="SZY58" s="148"/>
      <c r="SZZ58" s="148"/>
      <c r="TAA58" s="148"/>
      <c r="TAB58" s="148"/>
      <c r="TAC58" s="148"/>
      <c r="TAD58" s="148"/>
      <c r="TAE58" s="148"/>
      <c r="TAF58" s="148"/>
      <c r="TAG58" s="148"/>
      <c r="TAH58" s="148"/>
      <c r="TAI58" s="148"/>
      <c r="TAJ58" s="148"/>
      <c r="TAK58" s="148"/>
      <c r="TAL58" s="148"/>
      <c r="TAM58" s="148"/>
      <c r="TAN58" s="148"/>
      <c r="TAO58" s="148"/>
      <c r="TAP58" s="148"/>
      <c r="TAQ58" s="148"/>
      <c r="TAR58" s="148"/>
      <c r="TAS58" s="148"/>
      <c r="TAT58" s="148"/>
      <c r="TAU58" s="148"/>
      <c r="TAV58" s="148"/>
      <c r="TAW58" s="148"/>
      <c r="TAX58" s="148"/>
      <c r="TAY58" s="148"/>
      <c r="TAZ58" s="148"/>
      <c r="TBA58" s="148"/>
      <c r="TBB58" s="148"/>
      <c r="TBC58" s="148"/>
      <c r="TBD58" s="148"/>
      <c r="TBE58" s="148"/>
      <c r="TBF58" s="148"/>
      <c r="TBG58" s="148"/>
      <c r="TBH58" s="148"/>
      <c r="TBI58" s="148"/>
      <c r="TBJ58" s="148"/>
      <c r="TBK58" s="148"/>
      <c r="TBL58" s="148"/>
      <c r="TBM58" s="148"/>
      <c r="TBN58" s="148"/>
      <c r="TBO58" s="148"/>
      <c r="TBP58" s="148"/>
      <c r="TBQ58" s="148"/>
      <c r="TBR58" s="148"/>
      <c r="TBS58" s="148"/>
      <c r="TBT58" s="148"/>
      <c r="TBU58" s="148"/>
      <c r="TBV58" s="148"/>
      <c r="TBW58" s="148"/>
      <c r="TBX58" s="148"/>
      <c r="TBY58" s="148"/>
      <c r="TBZ58" s="148"/>
      <c r="TCA58" s="148"/>
      <c r="TCB58" s="148"/>
      <c r="TCC58" s="148"/>
      <c r="TCD58" s="148"/>
      <c r="TCE58" s="148"/>
      <c r="TCF58" s="148"/>
      <c r="TCG58" s="148"/>
      <c r="TCH58" s="148"/>
      <c r="TCI58" s="148"/>
      <c r="TCJ58" s="148"/>
      <c r="TCK58" s="148"/>
      <c r="TCL58" s="148"/>
      <c r="TCM58" s="148"/>
      <c r="TCN58" s="148"/>
      <c r="TCO58" s="148"/>
      <c r="TCP58" s="148"/>
      <c r="TCQ58" s="148"/>
      <c r="TCR58" s="148"/>
      <c r="TCS58" s="148"/>
      <c r="TCT58" s="148"/>
      <c r="TCU58" s="148"/>
      <c r="TCV58" s="148"/>
      <c r="TCW58" s="148"/>
      <c r="TCX58" s="148"/>
      <c r="TCY58" s="148"/>
      <c r="TCZ58" s="148"/>
      <c r="TDA58" s="148"/>
      <c r="TDB58" s="148"/>
      <c r="TDC58" s="148"/>
      <c r="TDD58" s="148"/>
      <c r="TDE58" s="148"/>
      <c r="TDF58" s="148"/>
      <c r="TDG58" s="148"/>
      <c r="TDH58" s="148"/>
      <c r="TDI58" s="148"/>
      <c r="TDJ58" s="148"/>
      <c r="TDK58" s="148"/>
      <c r="TDL58" s="148"/>
      <c r="TDM58" s="148"/>
      <c r="TDN58" s="148"/>
      <c r="TDO58" s="148"/>
      <c r="TDP58" s="148"/>
      <c r="TDQ58" s="148"/>
      <c r="TDR58" s="148"/>
      <c r="TDS58" s="148"/>
      <c r="TDT58" s="148"/>
      <c r="TDU58" s="148"/>
      <c r="TDV58" s="148"/>
      <c r="TDW58" s="148"/>
      <c r="TDX58" s="148"/>
      <c r="TDY58" s="148"/>
      <c r="TDZ58" s="148"/>
      <c r="TEA58" s="148"/>
      <c r="TEB58" s="148"/>
      <c r="TEC58" s="148"/>
      <c r="TED58" s="148"/>
      <c r="TEE58" s="148"/>
      <c r="TEF58" s="148"/>
      <c r="TEG58" s="148"/>
      <c r="TEH58" s="148"/>
      <c r="TEI58" s="148"/>
      <c r="TEJ58" s="148"/>
      <c r="TEK58" s="148"/>
      <c r="TEL58" s="148"/>
      <c r="TEM58" s="148"/>
      <c r="TEN58" s="148"/>
      <c r="TEO58" s="148"/>
      <c r="TEP58" s="148"/>
      <c r="TEQ58" s="148"/>
      <c r="TER58" s="148"/>
      <c r="TES58" s="148"/>
      <c r="TET58" s="148"/>
      <c r="TEU58" s="148"/>
      <c r="TEV58" s="148"/>
      <c r="TEW58" s="148"/>
      <c r="TEX58" s="148"/>
      <c r="TEY58" s="148"/>
      <c r="TEZ58" s="148"/>
      <c r="TFA58" s="148"/>
      <c r="TFB58" s="148"/>
      <c r="TFC58" s="148"/>
      <c r="TFD58" s="148"/>
      <c r="TFE58" s="148"/>
      <c r="TFF58" s="148"/>
      <c r="TFG58" s="148"/>
      <c r="TFH58" s="148"/>
      <c r="TFI58" s="148"/>
      <c r="TFJ58" s="148"/>
      <c r="TFK58" s="148"/>
      <c r="TFL58" s="148"/>
      <c r="TFM58" s="148"/>
      <c r="TFN58" s="148"/>
      <c r="TFO58" s="148"/>
      <c r="TFP58" s="148"/>
      <c r="TFQ58" s="148"/>
      <c r="TFR58" s="148"/>
      <c r="TFS58" s="148"/>
      <c r="TFT58" s="148"/>
      <c r="TFU58" s="148"/>
      <c r="TFV58" s="148"/>
      <c r="TFW58" s="148"/>
      <c r="TFX58" s="148"/>
      <c r="TFY58" s="148"/>
      <c r="TFZ58" s="148"/>
      <c r="TGA58" s="148"/>
      <c r="TGB58" s="148"/>
      <c r="TGC58" s="148"/>
      <c r="TGD58" s="148"/>
      <c r="TGE58" s="148"/>
      <c r="TGF58" s="148"/>
      <c r="TGG58" s="148"/>
      <c r="TGH58" s="148"/>
      <c r="TGI58" s="148"/>
      <c r="TGJ58" s="148"/>
      <c r="TGK58" s="148"/>
      <c r="TGL58" s="148"/>
      <c r="TGM58" s="148"/>
      <c r="TGN58" s="148"/>
      <c r="TGO58" s="148"/>
      <c r="TGP58" s="148"/>
      <c r="TGQ58" s="148"/>
      <c r="TGR58" s="148"/>
      <c r="TGS58" s="148"/>
      <c r="TGT58" s="148"/>
      <c r="TGU58" s="148"/>
      <c r="TGV58" s="148"/>
      <c r="TGW58" s="148"/>
      <c r="TGX58" s="148"/>
      <c r="TGY58" s="148"/>
      <c r="TGZ58" s="148"/>
      <c r="THA58" s="148"/>
      <c r="THB58" s="148"/>
      <c r="THC58" s="148"/>
      <c r="THD58" s="148"/>
      <c r="THE58" s="148"/>
      <c r="THF58" s="148"/>
      <c r="THG58" s="148"/>
      <c r="THH58" s="148"/>
      <c r="THI58" s="148"/>
      <c r="THJ58" s="148"/>
      <c r="THK58" s="148"/>
      <c r="THL58" s="148"/>
      <c r="THM58" s="148"/>
      <c r="THN58" s="148"/>
      <c r="THO58" s="148"/>
      <c r="THP58" s="148"/>
      <c r="THQ58" s="148"/>
      <c r="THR58" s="148"/>
      <c r="THS58" s="148"/>
      <c r="THT58" s="148"/>
      <c r="THU58" s="148"/>
      <c r="THV58" s="148"/>
      <c r="THW58" s="148"/>
      <c r="THX58" s="148"/>
      <c r="THY58" s="148"/>
      <c r="THZ58" s="148"/>
      <c r="TIA58" s="148"/>
      <c r="TIB58" s="148"/>
      <c r="TIC58" s="148"/>
      <c r="TID58" s="148"/>
      <c r="TIE58" s="148"/>
      <c r="TIF58" s="148"/>
      <c r="TIG58" s="148"/>
      <c r="TIH58" s="148"/>
      <c r="TII58" s="148"/>
      <c r="TIJ58" s="148"/>
      <c r="TIK58" s="148"/>
      <c r="TIL58" s="148"/>
      <c r="TIM58" s="148"/>
      <c r="TIN58" s="148"/>
      <c r="TIO58" s="148"/>
      <c r="TIP58" s="148"/>
      <c r="TIQ58" s="148"/>
      <c r="TIR58" s="148"/>
      <c r="TIS58" s="148"/>
      <c r="TIT58" s="148"/>
      <c r="TIU58" s="148"/>
      <c r="TIV58" s="148"/>
      <c r="TIW58" s="148"/>
      <c r="TIX58" s="148"/>
      <c r="TIY58" s="148"/>
      <c r="TIZ58" s="148"/>
      <c r="TJA58" s="148"/>
      <c r="TJB58" s="148"/>
      <c r="TJC58" s="148"/>
      <c r="TJD58" s="148"/>
      <c r="TJE58" s="148"/>
      <c r="TJF58" s="148"/>
      <c r="TJG58" s="148"/>
      <c r="TJH58" s="148"/>
      <c r="TJI58" s="148"/>
      <c r="TJJ58" s="148"/>
      <c r="TJK58" s="148"/>
      <c r="TJL58" s="148"/>
      <c r="TJM58" s="148"/>
      <c r="TJN58" s="148"/>
      <c r="TJO58" s="148"/>
      <c r="TJP58" s="148"/>
      <c r="TJQ58" s="148"/>
      <c r="TJR58" s="148"/>
      <c r="TJS58" s="148"/>
      <c r="TJT58" s="148"/>
      <c r="TJU58" s="148"/>
      <c r="TJV58" s="148"/>
      <c r="TJW58" s="148"/>
      <c r="TJX58" s="148"/>
      <c r="TJY58" s="148"/>
      <c r="TJZ58" s="148"/>
      <c r="TKA58" s="148"/>
      <c r="TKB58" s="148"/>
      <c r="TKC58" s="148"/>
      <c r="TKD58" s="148"/>
      <c r="TKE58" s="148"/>
      <c r="TKF58" s="148"/>
      <c r="TKG58" s="148"/>
      <c r="TKH58" s="148"/>
      <c r="TKI58" s="148"/>
      <c r="TKJ58" s="148"/>
      <c r="TKK58" s="148"/>
      <c r="TKL58" s="148"/>
      <c r="TKM58" s="148"/>
      <c r="TKN58" s="148"/>
      <c r="TKO58" s="148"/>
      <c r="TKP58" s="148"/>
      <c r="TKQ58" s="148"/>
      <c r="TKR58" s="148"/>
      <c r="TKS58" s="148"/>
      <c r="TKT58" s="148"/>
      <c r="TKU58" s="148"/>
      <c r="TKV58" s="148"/>
      <c r="TKW58" s="148"/>
      <c r="TKX58" s="148"/>
      <c r="TKY58" s="148"/>
      <c r="TKZ58" s="148"/>
      <c r="TLA58" s="148"/>
      <c r="TLB58" s="148"/>
      <c r="TLC58" s="148"/>
      <c r="TLD58" s="148"/>
      <c r="TLE58" s="148"/>
      <c r="TLF58" s="148"/>
      <c r="TLG58" s="148"/>
      <c r="TLH58" s="148"/>
      <c r="TLI58" s="148"/>
      <c r="TLJ58" s="148"/>
      <c r="TLK58" s="148"/>
      <c r="TLL58" s="148"/>
      <c r="TLM58" s="148"/>
      <c r="TLN58" s="148"/>
      <c r="TLO58" s="148"/>
      <c r="TLP58" s="148"/>
      <c r="TLQ58" s="148"/>
      <c r="TLR58" s="148"/>
      <c r="TLS58" s="148"/>
      <c r="TLT58" s="148"/>
      <c r="TLU58" s="148"/>
      <c r="TLV58" s="148"/>
      <c r="TLW58" s="148"/>
      <c r="TLX58" s="148"/>
      <c r="TLY58" s="148"/>
      <c r="TLZ58" s="148"/>
      <c r="TMA58" s="148"/>
      <c r="TMB58" s="148"/>
      <c r="TMC58" s="148"/>
      <c r="TMD58" s="148"/>
      <c r="TME58" s="148"/>
      <c r="TMF58" s="148"/>
      <c r="TMG58" s="148"/>
      <c r="TMH58" s="148"/>
      <c r="TMI58" s="148"/>
      <c r="TMJ58" s="148"/>
      <c r="TMK58" s="148"/>
      <c r="TML58" s="148"/>
      <c r="TMM58" s="148"/>
      <c r="TMN58" s="148"/>
      <c r="TMO58" s="148"/>
      <c r="TMP58" s="148"/>
      <c r="TMQ58" s="148"/>
      <c r="TMR58" s="148"/>
      <c r="TMS58" s="148"/>
      <c r="TMT58" s="148"/>
      <c r="TMU58" s="148"/>
      <c r="TMV58" s="148"/>
      <c r="TMW58" s="148"/>
      <c r="TMX58" s="148"/>
      <c r="TMY58" s="148"/>
      <c r="TMZ58" s="148"/>
      <c r="TNA58" s="148"/>
      <c r="TNB58" s="148"/>
      <c r="TNC58" s="148"/>
      <c r="TND58" s="148"/>
      <c r="TNE58" s="148"/>
      <c r="TNF58" s="148"/>
      <c r="TNG58" s="148"/>
      <c r="TNH58" s="148"/>
      <c r="TNI58" s="148"/>
      <c r="TNJ58" s="148"/>
      <c r="TNK58" s="148"/>
      <c r="TNL58" s="148"/>
      <c r="TNM58" s="148"/>
      <c r="TNN58" s="148"/>
      <c r="TNO58" s="148"/>
      <c r="TNP58" s="148"/>
      <c r="TNQ58" s="148"/>
      <c r="TNR58" s="148"/>
      <c r="TNS58" s="148"/>
      <c r="TNT58" s="148"/>
      <c r="TNU58" s="148"/>
      <c r="TNV58" s="148"/>
      <c r="TNW58" s="148"/>
      <c r="TNX58" s="148"/>
      <c r="TNY58" s="148"/>
      <c r="TNZ58" s="148"/>
      <c r="TOA58" s="148"/>
      <c r="TOB58" s="148"/>
      <c r="TOC58" s="148"/>
      <c r="TOD58" s="148"/>
      <c r="TOE58" s="148"/>
      <c r="TOF58" s="148"/>
      <c r="TOG58" s="148"/>
      <c r="TOH58" s="148"/>
      <c r="TOI58" s="148"/>
      <c r="TOJ58" s="148"/>
      <c r="TOK58" s="148"/>
      <c r="TOL58" s="148"/>
      <c r="TOM58" s="148"/>
      <c r="TON58" s="148"/>
      <c r="TOO58" s="148"/>
      <c r="TOP58" s="148"/>
      <c r="TOQ58" s="148"/>
      <c r="TOR58" s="148"/>
      <c r="TOS58" s="148"/>
      <c r="TOT58" s="148"/>
      <c r="TOU58" s="148"/>
      <c r="TOV58" s="148"/>
      <c r="TOW58" s="148"/>
      <c r="TOX58" s="148"/>
      <c r="TOY58" s="148"/>
      <c r="TOZ58" s="148"/>
      <c r="TPA58" s="148"/>
      <c r="TPB58" s="148"/>
      <c r="TPC58" s="148"/>
      <c r="TPD58" s="148"/>
      <c r="TPE58" s="148"/>
      <c r="TPF58" s="148"/>
      <c r="TPG58" s="148"/>
      <c r="TPH58" s="148"/>
      <c r="TPI58" s="148"/>
      <c r="TPJ58" s="148"/>
      <c r="TPK58" s="148"/>
      <c r="TPL58" s="148"/>
      <c r="TPM58" s="148"/>
      <c r="TPN58" s="148"/>
      <c r="TPO58" s="148"/>
      <c r="TPP58" s="148"/>
      <c r="TPQ58" s="148"/>
      <c r="TPR58" s="148"/>
      <c r="TPS58" s="148"/>
      <c r="TPT58" s="148"/>
      <c r="TPU58" s="148"/>
      <c r="TPV58" s="148"/>
      <c r="TPW58" s="148"/>
      <c r="TPX58" s="148"/>
      <c r="TPY58" s="148"/>
      <c r="TPZ58" s="148"/>
      <c r="TQA58" s="148"/>
      <c r="TQB58" s="148"/>
      <c r="TQC58" s="148"/>
      <c r="TQD58" s="148"/>
      <c r="TQE58" s="148"/>
      <c r="TQF58" s="148"/>
      <c r="TQG58" s="148"/>
      <c r="TQH58" s="148"/>
      <c r="TQI58" s="148"/>
      <c r="TQJ58" s="148"/>
      <c r="TQK58" s="148"/>
      <c r="TQL58" s="148"/>
      <c r="TQM58" s="148"/>
      <c r="TQN58" s="148"/>
      <c r="TQO58" s="148"/>
      <c r="TQP58" s="148"/>
      <c r="TQQ58" s="148"/>
      <c r="TQR58" s="148"/>
      <c r="TQS58" s="148"/>
      <c r="TQT58" s="148"/>
      <c r="TQU58" s="148"/>
      <c r="TQV58" s="148"/>
      <c r="TQW58" s="148"/>
      <c r="TQX58" s="148"/>
      <c r="TQY58" s="148"/>
      <c r="TQZ58" s="148"/>
      <c r="TRA58" s="148"/>
      <c r="TRB58" s="148"/>
      <c r="TRC58" s="148"/>
      <c r="TRD58" s="148"/>
      <c r="TRE58" s="148"/>
      <c r="TRF58" s="148"/>
      <c r="TRG58" s="148"/>
      <c r="TRH58" s="148"/>
      <c r="TRI58" s="148"/>
      <c r="TRJ58" s="148"/>
      <c r="TRK58" s="148"/>
      <c r="TRL58" s="148"/>
      <c r="TRM58" s="148"/>
      <c r="TRN58" s="148"/>
      <c r="TRO58" s="148"/>
      <c r="TRP58" s="148"/>
      <c r="TRQ58" s="148"/>
      <c r="TRR58" s="148"/>
      <c r="TRS58" s="148"/>
      <c r="TRT58" s="148"/>
      <c r="TRU58" s="148"/>
      <c r="TRV58" s="148"/>
      <c r="TRW58" s="148"/>
      <c r="TRX58" s="148"/>
      <c r="TRY58" s="148"/>
      <c r="TRZ58" s="148"/>
      <c r="TSA58" s="148"/>
      <c r="TSB58" s="148"/>
      <c r="TSC58" s="148"/>
      <c r="TSD58" s="148"/>
      <c r="TSE58" s="148"/>
      <c r="TSF58" s="148"/>
      <c r="TSG58" s="148"/>
      <c r="TSH58" s="148"/>
      <c r="TSI58" s="148"/>
      <c r="TSJ58" s="148"/>
      <c r="TSK58" s="148"/>
      <c r="TSL58" s="148"/>
      <c r="TSM58" s="148"/>
      <c r="TSN58" s="148"/>
      <c r="TSO58" s="148"/>
      <c r="TSP58" s="148"/>
      <c r="TSQ58" s="148"/>
      <c r="TSR58" s="148"/>
      <c r="TSS58" s="148"/>
      <c r="TST58" s="148"/>
      <c r="TSU58" s="148"/>
      <c r="TSV58" s="148"/>
      <c r="TSW58" s="148"/>
      <c r="TSX58" s="148"/>
      <c r="TSY58" s="148"/>
      <c r="TSZ58" s="148"/>
      <c r="TTA58" s="148"/>
      <c r="TTB58" s="148"/>
      <c r="TTC58" s="148"/>
      <c r="TTD58" s="148"/>
      <c r="TTE58" s="148"/>
      <c r="TTF58" s="148"/>
      <c r="TTG58" s="148"/>
      <c r="TTH58" s="148"/>
      <c r="TTI58" s="148"/>
      <c r="TTJ58" s="148"/>
      <c r="TTK58" s="148"/>
      <c r="TTL58" s="148"/>
      <c r="TTM58" s="148"/>
      <c r="TTN58" s="148"/>
      <c r="TTO58" s="148"/>
      <c r="TTP58" s="148"/>
      <c r="TTQ58" s="148"/>
      <c r="TTR58" s="148"/>
      <c r="TTS58" s="148"/>
      <c r="TTT58" s="148"/>
      <c r="TTU58" s="148"/>
      <c r="TTV58" s="148"/>
      <c r="TTW58" s="148"/>
      <c r="TTX58" s="148"/>
      <c r="TTY58" s="148"/>
      <c r="TTZ58" s="148"/>
      <c r="TUA58" s="148"/>
      <c r="TUB58" s="148"/>
      <c r="TUC58" s="148"/>
      <c r="TUD58" s="148"/>
      <c r="TUE58" s="148"/>
      <c r="TUF58" s="148"/>
      <c r="TUG58" s="148"/>
      <c r="TUH58" s="148"/>
      <c r="TUI58" s="148"/>
      <c r="TUJ58" s="148"/>
      <c r="TUK58" s="148"/>
      <c r="TUL58" s="148"/>
      <c r="TUM58" s="148"/>
      <c r="TUN58" s="148"/>
      <c r="TUO58" s="148"/>
      <c r="TUP58" s="148"/>
      <c r="TUQ58" s="148"/>
      <c r="TUR58" s="148"/>
      <c r="TUS58" s="148"/>
      <c r="TUT58" s="148"/>
      <c r="TUU58" s="148"/>
      <c r="TUV58" s="148"/>
      <c r="TUW58" s="148"/>
      <c r="TUX58" s="148"/>
      <c r="TUY58" s="148"/>
      <c r="TUZ58" s="148"/>
      <c r="TVA58" s="148"/>
      <c r="TVB58" s="148"/>
      <c r="TVC58" s="148"/>
      <c r="TVD58" s="148"/>
      <c r="TVE58" s="148"/>
      <c r="TVF58" s="148"/>
      <c r="TVG58" s="148"/>
      <c r="TVH58" s="148"/>
      <c r="TVI58" s="148"/>
      <c r="TVJ58" s="148"/>
      <c r="TVK58" s="148"/>
      <c r="TVL58" s="148"/>
      <c r="TVM58" s="148"/>
      <c r="TVN58" s="148"/>
      <c r="TVO58" s="148"/>
      <c r="TVP58" s="148"/>
      <c r="TVQ58" s="148"/>
      <c r="TVR58" s="148"/>
      <c r="TVS58" s="148"/>
      <c r="TVT58" s="148"/>
      <c r="TVU58" s="148"/>
      <c r="TVV58" s="148"/>
      <c r="TVW58" s="148"/>
      <c r="TVX58" s="148"/>
      <c r="TVY58" s="148"/>
      <c r="TVZ58" s="148"/>
      <c r="TWA58" s="148"/>
      <c r="TWB58" s="148"/>
      <c r="TWC58" s="148"/>
      <c r="TWD58" s="148"/>
      <c r="TWE58" s="148"/>
      <c r="TWF58" s="148"/>
      <c r="TWG58" s="148"/>
      <c r="TWH58" s="148"/>
      <c r="TWI58" s="148"/>
      <c r="TWJ58" s="148"/>
      <c r="TWK58" s="148"/>
      <c r="TWL58" s="148"/>
      <c r="TWM58" s="148"/>
      <c r="TWN58" s="148"/>
      <c r="TWO58" s="148"/>
      <c r="TWP58" s="148"/>
      <c r="TWQ58" s="148"/>
      <c r="TWR58" s="148"/>
      <c r="TWS58" s="148"/>
      <c r="TWT58" s="148"/>
      <c r="TWU58" s="148"/>
      <c r="TWV58" s="148"/>
      <c r="TWW58" s="148"/>
      <c r="TWX58" s="148"/>
      <c r="TWY58" s="148"/>
      <c r="TWZ58" s="148"/>
      <c r="TXA58" s="148"/>
      <c r="TXB58" s="148"/>
      <c r="TXC58" s="148"/>
      <c r="TXD58" s="148"/>
      <c r="TXE58" s="148"/>
      <c r="TXF58" s="148"/>
      <c r="TXG58" s="148"/>
      <c r="TXH58" s="148"/>
      <c r="TXI58" s="148"/>
      <c r="TXJ58" s="148"/>
      <c r="TXK58" s="148"/>
      <c r="TXL58" s="148"/>
      <c r="TXM58" s="148"/>
      <c r="TXN58" s="148"/>
      <c r="TXO58" s="148"/>
      <c r="TXP58" s="148"/>
      <c r="TXQ58" s="148"/>
      <c r="TXR58" s="148"/>
      <c r="TXS58" s="148"/>
      <c r="TXT58" s="148"/>
      <c r="TXU58" s="148"/>
      <c r="TXV58" s="148"/>
      <c r="TXW58" s="148"/>
      <c r="TXX58" s="148"/>
      <c r="TXY58" s="148"/>
      <c r="TXZ58" s="148"/>
      <c r="TYA58" s="148"/>
      <c r="TYB58" s="148"/>
      <c r="TYC58" s="148"/>
      <c r="TYD58" s="148"/>
      <c r="TYE58" s="148"/>
      <c r="TYF58" s="148"/>
      <c r="TYG58" s="148"/>
      <c r="TYH58" s="148"/>
      <c r="TYI58" s="148"/>
      <c r="TYJ58" s="148"/>
      <c r="TYK58" s="148"/>
      <c r="TYL58" s="148"/>
      <c r="TYM58" s="148"/>
      <c r="TYN58" s="148"/>
      <c r="TYO58" s="148"/>
      <c r="TYP58" s="148"/>
      <c r="TYQ58" s="148"/>
      <c r="TYR58" s="148"/>
      <c r="TYS58" s="148"/>
      <c r="TYT58" s="148"/>
      <c r="TYU58" s="148"/>
      <c r="TYV58" s="148"/>
      <c r="TYW58" s="148"/>
      <c r="TYX58" s="148"/>
      <c r="TYY58" s="148"/>
      <c r="TYZ58" s="148"/>
      <c r="TZA58" s="148"/>
      <c r="TZB58" s="148"/>
      <c r="TZC58" s="148"/>
      <c r="TZD58" s="148"/>
      <c r="TZE58" s="148"/>
      <c r="TZF58" s="148"/>
      <c r="TZG58" s="148"/>
      <c r="TZH58" s="148"/>
      <c r="TZI58" s="148"/>
      <c r="TZJ58" s="148"/>
      <c r="TZK58" s="148"/>
      <c r="TZL58" s="148"/>
      <c r="TZM58" s="148"/>
      <c r="TZN58" s="148"/>
      <c r="TZO58" s="148"/>
      <c r="TZP58" s="148"/>
      <c r="TZQ58" s="148"/>
      <c r="TZR58" s="148"/>
      <c r="TZS58" s="148"/>
      <c r="TZT58" s="148"/>
      <c r="TZU58" s="148"/>
      <c r="TZV58" s="148"/>
      <c r="TZW58" s="148"/>
      <c r="TZX58" s="148"/>
      <c r="TZY58" s="148"/>
      <c r="TZZ58" s="148"/>
      <c r="UAA58" s="148"/>
      <c r="UAB58" s="148"/>
      <c r="UAC58" s="148"/>
      <c r="UAD58" s="148"/>
      <c r="UAE58" s="148"/>
      <c r="UAF58" s="148"/>
      <c r="UAG58" s="148"/>
      <c r="UAH58" s="148"/>
      <c r="UAI58" s="148"/>
      <c r="UAJ58" s="148"/>
      <c r="UAK58" s="148"/>
      <c r="UAL58" s="148"/>
      <c r="UAM58" s="148"/>
      <c r="UAN58" s="148"/>
      <c r="UAO58" s="148"/>
      <c r="UAP58" s="148"/>
      <c r="UAQ58" s="148"/>
      <c r="UAR58" s="148"/>
      <c r="UAS58" s="148"/>
      <c r="UAT58" s="148"/>
      <c r="UAU58" s="148"/>
      <c r="UAV58" s="148"/>
      <c r="UAW58" s="148"/>
      <c r="UAX58" s="148"/>
      <c r="UAY58" s="148"/>
      <c r="UAZ58" s="148"/>
      <c r="UBA58" s="148"/>
      <c r="UBB58" s="148"/>
      <c r="UBC58" s="148"/>
      <c r="UBD58" s="148"/>
      <c r="UBE58" s="148"/>
      <c r="UBF58" s="148"/>
      <c r="UBG58" s="148"/>
      <c r="UBH58" s="148"/>
      <c r="UBI58" s="148"/>
      <c r="UBJ58" s="148"/>
      <c r="UBK58" s="148"/>
      <c r="UBL58" s="148"/>
      <c r="UBM58" s="148"/>
      <c r="UBN58" s="148"/>
      <c r="UBO58" s="148"/>
      <c r="UBP58" s="148"/>
      <c r="UBQ58" s="148"/>
      <c r="UBR58" s="148"/>
      <c r="UBS58" s="148"/>
      <c r="UBT58" s="148"/>
      <c r="UBU58" s="148"/>
      <c r="UBV58" s="148"/>
      <c r="UBW58" s="148"/>
      <c r="UBX58" s="148"/>
      <c r="UBY58" s="148"/>
      <c r="UBZ58" s="148"/>
      <c r="UCA58" s="148"/>
      <c r="UCB58" s="148"/>
      <c r="UCC58" s="148"/>
      <c r="UCD58" s="148"/>
      <c r="UCE58" s="148"/>
      <c r="UCF58" s="148"/>
      <c r="UCG58" s="148"/>
      <c r="UCH58" s="148"/>
      <c r="UCI58" s="148"/>
      <c r="UCJ58" s="148"/>
      <c r="UCK58" s="148"/>
      <c r="UCL58" s="148"/>
      <c r="UCM58" s="148"/>
      <c r="UCN58" s="148"/>
      <c r="UCO58" s="148"/>
      <c r="UCP58" s="148"/>
      <c r="UCQ58" s="148"/>
      <c r="UCR58" s="148"/>
      <c r="UCS58" s="148"/>
      <c r="UCT58" s="148"/>
      <c r="UCU58" s="148"/>
      <c r="UCV58" s="148"/>
      <c r="UCW58" s="148"/>
      <c r="UCX58" s="148"/>
      <c r="UCY58" s="148"/>
      <c r="UCZ58" s="148"/>
      <c r="UDA58" s="148"/>
      <c r="UDB58" s="148"/>
      <c r="UDC58" s="148"/>
      <c r="UDD58" s="148"/>
      <c r="UDE58" s="148"/>
      <c r="UDF58" s="148"/>
      <c r="UDG58" s="148"/>
      <c r="UDH58" s="148"/>
      <c r="UDI58" s="148"/>
      <c r="UDJ58" s="148"/>
      <c r="UDK58" s="148"/>
      <c r="UDL58" s="148"/>
      <c r="UDM58" s="148"/>
      <c r="UDN58" s="148"/>
      <c r="UDO58" s="148"/>
      <c r="UDP58" s="148"/>
      <c r="UDQ58" s="148"/>
      <c r="UDR58" s="148"/>
      <c r="UDS58" s="148"/>
      <c r="UDT58" s="148"/>
      <c r="UDU58" s="148"/>
      <c r="UDV58" s="148"/>
      <c r="UDW58" s="148"/>
      <c r="UDX58" s="148"/>
      <c r="UDY58" s="148"/>
      <c r="UDZ58" s="148"/>
      <c r="UEA58" s="148"/>
      <c r="UEB58" s="148"/>
      <c r="UEC58" s="148"/>
      <c r="UED58" s="148"/>
      <c r="UEE58" s="148"/>
      <c r="UEF58" s="148"/>
      <c r="UEG58" s="148"/>
      <c r="UEH58" s="148"/>
      <c r="UEI58" s="148"/>
      <c r="UEJ58" s="148"/>
      <c r="UEK58" s="148"/>
      <c r="UEL58" s="148"/>
      <c r="UEM58" s="148"/>
      <c r="UEN58" s="148"/>
      <c r="UEO58" s="148"/>
      <c r="UEP58" s="148"/>
      <c r="UEQ58" s="148"/>
      <c r="UER58" s="148"/>
      <c r="UES58" s="148"/>
      <c r="UET58" s="148"/>
      <c r="UEU58" s="148"/>
      <c r="UEV58" s="148"/>
      <c r="UEW58" s="148"/>
      <c r="UEX58" s="148"/>
      <c r="UEY58" s="148"/>
      <c r="UEZ58" s="148"/>
      <c r="UFA58" s="148"/>
      <c r="UFB58" s="148"/>
      <c r="UFC58" s="148"/>
      <c r="UFD58" s="148"/>
      <c r="UFE58" s="148"/>
      <c r="UFF58" s="148"/>
      <c r="UFG58" s="148"/>
      <c r="UFH58" s="148"/>
      <c r="UFI58" s="148"/>
      <c r="UFJ58" s="148"/>
      <c r="UFK58" s="148"/>
      <c r="UFL58" s="148"/>
      <c r="UFM58" s="148"/>
      <c r="UFN58" s="148"/>
      <c r="UFO58" s="148"/>
      <c r="UFP58" s="148"/>
      <c r="UFQ58" s="148"/>
      <c r="UFR58" s="148"/>
      <c r="UFS58" s="148"/>
      <c r="UFT58" s="148"/>
      <c r="UFU58" s="148"/>
      <c r="UFV58" s="148"/>
      <c r="UFW58" s="148"/>
      <c r="UFX58" s="148"/>
      <c r="UFY58" s="148"/>
      <c r="UFZ58" s="148"/>
      <c r="UGA58" s="148"/>
      <c r="UGB58" s="148"/>
      <c r="UGC58" s="148"/>
      <c r="UGD58" s="148"/>
      <c r="UGE58" s="148"/>
      <c r="UGF58" s="148"/>
      <c r="UGG58" s="148"/>
      <c r="UGH58" s="148"/>
      <c r="UGI58" s="148"/>
      <c r="UGJ58" s="148"/>
      <c r="UGK58" s="148"/>
      <c r="UGL58" s="148"/>
      <c r="UGM58" s="148"/>
      <c r="UGN58" s="148"/>
      <c r="UGO58" s="148"/>
      <c r="UGP58" s="148"/>
      <c r="UGQ58" s="148"/>
      <c r="UGR58" s="148"/>
      <c r="UGS58" s="148"/>
      <c r="UGT58" s="148"/>
      <c r="UGU58" s="148"/>
      <c r="UGV58" s="148"/>
      <c r="UGW58" s="148"/>
      <c r="UGX58" s="148"/>
      <c r="UGY58" s="148"/>
      <c r="UGZ58" s="148"/>
      <c r="UHA58" s="148"/>
      <c r="UHB58" s="148"/>
      <c r="UHC58" s="148"/>
      <c r="UHD58" s="148"/>
      <c r="UHE58" s="148"/>
      <c r="UHF58" s="148"/>
      <c r="UHG58" s="148"/>
      <c r="UHH58" s="148"/>
      <c r="UHI58" s="148"/>
      <c r="UHJ58" s="148"/>
      <c r="UHK58" s="148"/>
      <c r="UHL58" s="148"/>
      <c r="UHM58" s="148"/>
      <c r="UHN58" s="148"/>
      <c r="UHO58" s="148"/>
      <c r="UHP58" s="148"/>
      <c r="UHQ58" s="148"/>
      <c r="UHR58" s="148"/>
      <c r="UHS58" s="148"/>
      <c r="UHT58" s="148"/>
      <c r="UHU58" s="148"/>
      <c r="UHV58" s="148"/>
      <c r="UHW58" s="148"/>
      <c r="UHX58" s="148"/>
      <c r="UHY58" s="148"/>
      <c r="UHZ58" s="148"/>
      <c r="UIA58" s="148"/>
      <c r="UIB58" s="148"/>
      <c r="UIC58" s="148"/>
      <c r="UID58" s="148"/>
      <c r="UIE58" s="148"/>
      <c r="UIF58" s="148"/>
      <c r="UIG58" s="148"/>
      <c r="UIH58" s="148"/>
      <c r="UII58" s="148"/>
      <c r="UIJ58" s="148"/>
      <c r="UIK58" s="148"/>
      <c r="UIL58" s="148"/>
      <c r="UIM58" s="148"/>
      <c r="UIN58" s="148"/>
      <c r="UIO58" s="148"/>
      <c r="UIP58" s="148"/>
      <c r="UIQ58" s="148"/>
      <c r="UIR58" s="148"/>
      <c r="UIS58" s="148"/>
      <c r="UIT58" s="148"/>
      <c r="UIU58" s="148"/>
      <c r="UIV58" s="148"/>
      <c r="UIW58" s="148"/>
      <c r="UIX58" s="148"/>
      <c r="UIY58" s="148"/>
      <c r="UIZ58" s="148"/>
      <c r="UJA58" s="148"/>
      <c r="UJB58" s="148"/>
      <c r="UJC58" s="148"/>
      <c r="UJD58" s="148"/>
      <c r="UJE58" s="148"/>
      <c r="UJF58" s="148"/>
      <c r="UJG58" s="148"/>
      <c r="UJH58" s="148"/>
      <c r="UJI58" s="148"/>
      <c r="UJJ58" s="148"/>
      <c r="UJK58" s="148"/>
      <c r="UJL58" s="148"/>
      <c r="UJM58" s="148"/>
      <c r="UJN58" s="148"/>
      <c r="UJO58" s="148"/>
      <c r="UJP58" s="148"/>
      <c r="UJQ58" s="148"/>
      <c r="UJR58" s="148"/>
      <c r="UJS58" s="148"/>
      <c r="UJT58" s="148"/>
      <c r="UJU58" s="148"/>
      <c r="UJV58" s="148"/>
      <c r="UJW58" s="148"/>
      <c r="UJX58" s="148"/>
      <c r="UJY58" s="148"/>
      <c r="UJZ58" s="148"/>
      <c r="UKA58" s="148"/>
      <c r="UKB58" s="148"/>
      <c r="UKC58" s="148"/>
      <c r="UKD58" s="148"/>
      <c r="UKE58" s="148"/>
      <c r="UKF58" s="148"/>
      <c r="UKG58" s="148"/>
      <c r="UKH58" s="148"/>
      <c r="UKI58" s="148"/>
      <c r="UKJ58" s="148"/>
      <c r="UKK58" s="148"/>
      <c r="UKL58" s="148"/>
      <c r="UKM58" s="148"/>
      <c r="UKN58" s="148"/>
      <c r="UKO58" s="148"/>
      <c r="UKP58" s="148"/>
      <c r="UKQ58" s="148"/>
      <c r="UKR58" s="148"/>
      <c r="UKS58" s="148"/>
      <c r="UKT58" s="148"/>
      <c r="UKU58" s="148"/>
      <c r="UKV58" s="148"/>
      <c r="UKW58" s="148"/>
      <c r="UKX58" s="148"/>
      <c r="UKY58" s="148"/>
      <c r="UKZ58" s="148"/>
      <c r="ULA58" s="148"/>
      <c r="ULB58" s="148"/>
      <c r="ULC58" s="148"/>
      <c r="ULD58" s="148"/>
      <c r="ULE58" s="148"/>
      <c r="ULF58" s="148"/>
      <c r="ULG58" s="148"/>
      <c r="ULH58" s="148"/>
      <c r="ULI58" s="148"/>
      <c r="ULJ58" s="148"/>
      <c r="ULK58" s="148"/>
      <c r="ULL58" s="148"/>
      <c r="ULM58" s="148"/>
      <c r="ULN58" s="148"/>
      <c r="ULO58" s="148"/>
      <c r="ULP58" s="148"/>
      <c r="ULQ58" s="148"/>
      <c r="ULR58" s="148"/>
      <c r="ULS58" s="148"/>
      <c r="ULT58" s="148"/>
      <c r="ULU58" s="148"/>
      <c r="ULV58" s="148"/>
      <c r="ULW58" s="148"/>
      <c r="ULX58" s="148"/>
      <c r="ULY58" s="148"/>
      <c r="ULZ58" s="148"/>
      <c r="UMA58" s="148"/>
      <c r="UMB58" s="148"/>
      <c r="UMC58" s="148"/>
      <c r="UMD58" s="148"/>
      <c r="UME58" s="148"/>
      <c r="UMF58" s="148"/>
      <c r="UMG58" s="148"/>
      <c r="UMH58" s="148"/>
      <c r="UMI58" s="148"/>
      <c r="UMJ58" s="148"/>
      <c r="UMK58" s="148"/>
      <c r="UML58" s="148"/>
      <c r="UMM58" s="148"/>
      <c r="UMN58" s="148"/>
      <c r="UMO58" s="148"/>
      <c r="UMP58" s="148"/>
      <c r="UMQ58" s="148"/>
      <c r="UMR58" s="148"/>
      <c r="UMS58" s="148"/>
      <c r="UMT58" s="148"/>
      <c r="UMU58" s="148"/>
      <c r="UMV58" s="148"/>
      <c r="UMW58" s="148"/>
      <c r="UMX58" s="148"/>
      <c r="UMY58" s="148"/>
      <c r="UMZ58" s="148"/>
      <c r="UNA58" s="148"/>
      <c r="UNB58" s="148"/>
      <c r="UNC58" s="148"/>
      <c r="UND58" s="148"/>
      <c r="UNE58" s="148"/>
      <c r="UNF58" s="148"/>
      <c r="UNG58" s="148"/>
      <c r="UNH58" s="148"/>
      <c r="UNI58" s="148"/>
      <c r="UNJ58" s="148"/>
      <c r="UNK58" s="148"/>
      <c r="UNL58" s="148"/>
      <c r="UNM58" s="148"/>
      <c r="UNN58" s="148"/>
      <c r="UNO58" s="148"/>
      <c r="UNP58" s="148"/>
      <c r="UNQ58" s="148"/>
      <c r="UNR58" s="148"/>
      <c r="UNS58" s="148"/>
      <c r="UNT58" s="148"/>
      <c r="UNU58" s="148"/>
      <c r="UNV58" s="148"/>
      <c r="UNW58" s="148"/>
      <c r="UNX58" s="148"/>
      <c r="UNY58" s="148"/>
      <c r="UNZ58" s="148"/>
      <c r="UOA58" s="148"/>
      <c r="UOB58" s="148"/>
      <c r="UOC58" s="148"/>
      <c r="UOD58" s="148"/>
      <c r="UOE58" s="148"/>
      <c r="UOF58" s="148"/>
      <c r="UOG58" s="148"/>
      <c r="UOH58" s="148"/>
      <c r="UOI58" s="148"/>
      <c r="UOJ58" s="148"/>
      <c r="UOK58" s="148"/>
      <c r="UOL58" s="148"/>
      <c r="UOM58" s="148"/>
      <c r="UON58" s="148"/>
      <c r="UOO58" s="148"/>
      <c r="UOP58" s="148"/>
      <c r="UOQ58" s="148"/>
      <c r="UOR58" s="148"/>
      <c r="UOS58" s="148"/>
      <c r="UOT58" s="148"/>
      <c r="UOU58" s="148"/>
      <c r="UOV58" s="148"/>
      <c r="UOW58" s="148"/>
      <c r="UOX58" s="148"/>
      <c r="UOY58" s="148"/>
      <c r="UOZ58" s="148"/>
      <c r="UPA58" s="148"/>
      <c r="UPB58" s="148"/>
      <c r="UPC58" s="148"/>
      <c r="UPD58" s="148"/>
      <c r="UPE58" s="148"/>
      <c r="UPF58" s="148"/>
      <c r="UPG58" s="148"/>
      <c r="UPH58" s="148"/>
      <c r="UPI58" s="148"/>
      <c r="UPJ58" s="148"/>
      <c r="UPK58" s="148"/>
      <c r="UPL58" s="148"/>
      <c r="UPM58" s="148"/>
      <c r="UPN58" s="148"/>
      <c r="UPO58" s="148"/>
      <c r="UPP58" s="148"/>
      <c r="UPQ58" s="148"/>
      <c r="UPR58" s="148"/>
      <c r="UPS58" s="148"/>
      <c r="UPT58" s="148"/>
      <c r="UPU58" s="148"/>
      <c r="UPV58" s="148"/>
      <c r="UPW58" s="148"/>
      <c r="UPX58" s="148"/>
      <c r="UPY58" s="148"/>
      <c r="UPZ58" s="148"/>
      <c r="UQA58" s="148"/>
      <c r="UQB58" s="148"/>
      <c r="UQC58" s="148"/>
      <c r="UQD58" s="148"/>
      <c r="UQE58" s="148"/>
      <c r="UQF58" s="148"/>
      <c r="UQG58" s="148"/>
      <c r="UQH58" s="148"/>
      <c r="UQI58" s="148"/>
      <c r="UQJ58" s="148"/>
      <c r="UQK58" s="148"/>
      <c r="UQL58" s="148"/>
      <c r="UQM58" s="148"/>
      <c r="UQN58" s="148"/>
      <c r="UQO58" s="148"/>
      <c r="UQP58" s="148"/>
      <c r="UQQ58" s="148"/>
      <c r="UQR58" s="148"/>
      <c r="UQS58" s="148"/>
      <c r="UQT58" s="148"/>
      <c r="UQU58" s="148"/>
      <c r="UQV58" s="148"/>
      <c r="UQW58" s="148"/>
      <c r="UQX58" s="148"/>
      <c r="UQY58" s="148"/>
      <c r="UQZ58" s="148"/>
      <c r="URA58" s="148"/>
      <c r="URB58" s="148"/>
      <c r="URC58" s="148"/>
      <c r="URD58" s="148"/>
      <c r="URE58" s="148"/>
      <c r="URF58" s="148"/>
      <c r="URG58" s="148"/>
      <c r="URH58" s="148"/>
      <c r="URI58" s="148"/>
      <c r="URJ58" s="148"/>
      <c r="URK58" s="148"/>
      <c r="URL58" s="148"/>
      <c r="URM58" s="148"/>
      <c r="URN58" s="148"/>
      <c r="URO58" s="148"/>
      <c r="URP58" s="148"/>
      <c r="URQ58" s="148"/>
      <c r="URR58" s="148"/>
      <c r="URS58" s="148"/>
      <c r="URT58" s="148"/>
      <c r="URU58" s="148"/>
      <c r="URV58" s="148"/>
      <c r="URW58" s="148"/>
      <c r="URX58" s="148"/>
      <c r="URY58" s="148"/>
      <c r="URZ58" s="148"/>
      <c r="USA58" s="148"/>
      <c r="USB58" s="148"/>
      <c r="USC58" s="148"/>
      <c r="USD58" s="148"/>
      <c r="USE58" s="148"/>
      <c r="USF58" s="148"/>
      <c r="USG58" s="148"/>
      <c r="USH58" s="148"/>
      <c r="USI58" s="148"/>
      <c r="USJ58" s="148"/>
      <c r="USK58" s="148"/>
      <c r="USL58" s="148"/>
      <c r="USM58" s="148"/>
      <c r="USN58" s="148"/>
      <c r="USO58" s="148"/>
      <c r="USP58" s="148"/>
      <c r="USQ58" s="148"/>
      <c r="USR58" s="148"/>
      <c r="USS58" s="148"/>
      <c r="UST58" s="148"/>
      <c r="USU58" s="148"/>
      <c r="USV58" s="148"/>
      <c r="USW58" s="148"/>
      <c r="USX58" s="148"/>
      <c r="USY58" s="148"/>
      <c r="USZ58" s="148"/>
      <c r="UTA58" s="148"/>
      <c r="UTB58" s="148"/>
      <c r="UTC58" s="148"/>
      <c r="UTD58" s="148"/>
      <c r="UTE58" s="148"/>
      <c r="UTF58" s="148"/>
      <c r="UTG58" s="148"/>
      <c r="UTH58" s="148"/>
      <c r="UTI58" s="148"/>
      <c r="UTJ58" s="148"/>
      <c r="UTK58" s="148"/>
      <c r="UTL58" s="148"/>
      <c r="UTM58" s="148"/>
      <c r="UTN58" s="148"/>
      <c r="UTO58" s="148"/>
      <c r="UTP58" s="148"/>
      <c r="UTQ58" s="148"/>
      <c r="UTR58" s="148"/>
      <c r="UTS58" s="148"/>
      <c r="UTT58" s="148"/>
      <c r="UTU58" s="148"/>
      <c r="UTV58" s="148"/>
      <c r="UTW58" s="148"/>
      <c r="UTX58" s="148"/>
      <c r="UTY58" s="148"/>
      <c r="UTZ58" s="148"/>
      <c r="UUA58" s="148"/>
      <c r="UUB58" s="148"/>
      <c r="UUC58" s="148"/>
      <c r="UUD58" s="148"/>
      <c r="UUE58" s="148"/>
      <c r="UUF58" s="148"/>
      <c r="UUG58" s="148"/>
      <c r="UUH58" s="148"/>
      <c r="UUI58" s="148"/>
      <c r="UUJ58" s="148"/>
      <c r="UUK58" s="148"/>
      <c r="UUL58" s="148"/>
      <c r="UUM58" s="148"/>
      <c r="UUN58" s="148"/>
      <c r="UUO58" s="148"/>
      <c r="UUP58" s="148"/>
      <c r="UUQ58" s="148"/>
      <c r="UUR58" s="148"/>
      <c r="UUS58" s="148"/>
      <c r="UUT58" s="148"/>
      <c r="UUU58" s="148"/>
      <c r="UUV58" s="148"/>
      <c r="UUW58" s="148"/>
      <c r="UUX58" s="148"/>
      <c r="UUY58" s="148"/>
      <c r="UUZ58" s="148"/>
      <c r="UVA58" s="148"/>
      <c r="UVB58" s="148"/>
      <c r="UVC58" s="148"/>
      <c r="UVD58" s="148"/>
      <c r="UVE58" s="148"/>
      <c r="UVF58" s="148"/>
      <c r="UVG58" s="148"/>
      <c r="UVH58" s="148"/>
      <c r="UVI58" s="148"/>
      <c r="UVJ58" s="148"/>
      <c r="UVK58" s="148"/>
      <c r="UVL58" s="148"/>
      <c r="UVM58" s="148"/>
      <c r="UVN58" s="148"/>
      <c r="UVO58" s="148"/>
      <c r="UVP58" s="148"/>
      <c r="UVQ58" s="148"/>
      <c r="UVR58" s="148"/>
      <c r="UVS58" s="148"/>
      <c r="UVT58" s="148"/>
      <c r="UVU58" s="148"/>
      <c r="UVV58" s="148"/>
      <c r="UVW58" s="148"/>
      <c r="UVX58" s="148"/>
      <c r="UVY58" s="148"/>
      <c r="UVZ58" s="148"/>
      <c r="UWA58" s="148"/>
      <c r="UWB58" s="148"/>
      <c r="UWC58" s="148"/>
      <c r="UWD58" s="148"/>
      <c r="UWE58" s="148"/>
      <c r="UWF58" s="148"/>
      <c r="UWG58" s="148"/>
      <c r="UWH58" s="148"/>
      <c r="UWI58" s="148"/>
      <c r="UWJ58" s="148"/>
      <c r="UWK58" s="148"/>
      <c r="UWL58" s="148"/>
      <c r="UWM58" s="148"/>
      <c r="UWN58" s="148"/>
      <c r="UWO58" s="148"/>
      <c r="UWP58" s="148"/>
      <c r="UWQ58" s="148"/>
      <c r="UWR58" s="148"/>
      <c r="UWS58" s="148"/>
      <c r="UWT58" s="148"/>
      <c r="UWU58" s="148"/>
      <c r="UWV58" s="148"/>
      <c r="UWW58" s="148"/>
      <c r="UWX58" s="148"/>
      <c r="UWY58" s="148"/>
      <c r="UWZ58" s="148"/>
      <c r="UXA58" s="148"/>
      <c r="UXB58" s="148"/>
      <c r="UXC58" s="148"/>
      <c r="UXD58" s="148"/>
      <c r="UXE58" s="148"/>
      <c r="UXF58" s="148"/>
      <c r="UXG58" s="148"/>
      <c r="UXH58" s="148"/>
      <c r="UXI58" s="148"/>
      <c r="UXJ58" s="148"/>
      <c r="UXK58" s="148"/>
      <c r="UXL58" s="148"/>
      <c r="UXM58" s="148"/>
      <c r="UXN58" s="148"/>
      <c r="UXO58" s="148"/>
      <c r="UXP58" s="148"/>
      <c r="UXQ58" s="148"/>
      <c r="UXR58" s="148"/>
      <c r="UXS58" s="148"/>
      <c r="UXT58" s="148"/>
      <c r="UXU58" s="148"/>
      <c r="UXV58" s="148"/>
      <c r="UXW58" s="148"/>
      <c r="UXX58" s="148"/>
      <c r="UXY58" s="148"/>
      <c r="UXZ58" s="148"/>
      <c r="UYA58" s="148"/>
      <c r="UYB58" s="148"/>
      <c r="UYC58" s="148"/>
      <c r="UYD58" s="148"/>
      <c r="UYE58" s="148"/>
      <c r="UYF58" s="148"/>
      <c r="UYG58" s="148"/>
      <c r="UYH58" s="148"/>
      <c r="UYI58" s="148"/>
      <c r="UYJ58" s="148"/>
      <c r="UYK58" s="148"/>
      <c r="UYL58" s="148"/>
      <c r="UYM58" s="148"/>
      <c r="UYN58" s="148"/>
      <c r="UYO58" s="148"/>
      <c r="UYP58" s="148"/>
      <c r="UYQ58" s="148"/>
      <c r="UYR58" s="148"/>
      <c r="UYS58" s="148"/>
      <c r="UYT58" s="148"/>
      <c r="UYU58" s="148"/>
      <c r="UYV58" s="148"/>
      <c r="UYW58" s="148"/>
      <c r="UYX58" s="148"/>
      <c r="UYY58" s="148"/>
      <c r="UYZ58" s="148"/>
      <c r="UZA58" s="148"/>
      <c r="UZB58" s="148"/>
      <c r="UZC58" s="148"/>
      <c r="UZD58" s="148"/>
      <c r="UZE58" s="148"/>
      <c r="UZF58" s="148"/>
      <c r="UZG58" s="148"/>
      <c r="UZH58" s="148"/>
      <c r="UZI58" s="148"/>
      <c r="UZJ58" s="148"/>
      <c r="UZK58" s="148"/>
      <c r="UZL58" s="148"/>
      <c r="UZM58" s="148"/>
      <c r="UZN58" s="148"/>
      <c r="UZO58" s="148"/>
      <c r="UZP58" s="148"/>
      <c r="UZQ58" s="148"/>
      <c r="UZR58" s="148"/>
      <c r="UZS58" s="148"/>
      <c r="UZT58" s="148"/>
      <c r="UZU58" s="148"/>
      <c r="UZV58" s="148"/>
      <c r="UZW58" s="148"/>
      <c r="UZX58" s="148"/>
      <c r="UZY58" s="148"/>
      <c r="UZZ58" s="148"/>
      <c r="VAA58" s="148"/>
      <c r="VAB58" s="148"/>
      <c r="VAC58" s="148"/>
      <c r="VAD58" s="148"/>
      <c r="VAE58" s="148"/>
      <c r="VAF58" s="148"/>
      <c r="VAG58" s="148"/>
      <c r="VAH58" s="148"/>
      <c r="VAI58" s="148"/>
      <c r="VAJ58" s="148"/>
      <c r="VAK58" s="148"/>
      <c r="VAL58" s="148"/>
      <c r="VAM58" s="148"/>
      <c r="VAN58" s="148"/>
      <c r="VAO58" s="148"/>
      <c r="VAP58" s="148"/>
      <c r="VAQ58" s="148"/>
      <c r="VAR58" s="148"/>
      <c r="VAS58" s="148"/>
      <c r="VAT58" s="148"/>
      <c r="VAU58" s="148"/>
      <c r="VAV58" s="148"/>
      <c r="VAW58" s="148"/>
      <c r="VAX58" s="148"/>
      <c r="VAY58" s="148"/>
      <c r="VAZ58" s="148"/>
      <c r="VBA58" s="148"/>
      <c r="VBB58" s="148"/>
      <c r="VBC58" s="148"/>
      <c r="VBD58" s="148"/>
      <c r="VBE58" s="148"/>
      <c r="VBF58" s="148"/>
      <c r="VBG58" s="148"/>
      <c r="VBH58" s="148"/>
      <c r="VBI58" s="148"/>
      <c r="VBJ58" s="148"/>
      <c r="VBK58" s="148"/>
      <c r="VBL58" s="148"/>
      <c r="VBM58" s="148"/>
      <c r="VBN58" s="148"/>
      <c r="VBO58" s="148"/>
      <c r="VBP58" s="148"/>
      <c r="VBQ58" s="148"/>
      <c r="VBR58" s="148"/>
      <c r="VBS58" s="148"/>
      <c r="VBT58" s="148"/>
      <c r="VBU58" s="148"/>
      <c r="VBV58" s="148"/>
      <c r="VBW58" s="148"/>
      <c r="VBX58" s="148"/>
      <c r="VBY58" s="148"/>
      <c r="VBZ58" s="148"/>
      <c r="VCA58" s="148"/>
      <c r="VCB58" s="148"/>
      <c r="VCC58" s="148"/>
      <c r="VCD58" s="148"/>
      <c r="VCE58" s="148"/>
      <c r="VCF58" s="148"/>
      <c r="VCG58" s="148"/>
      <c r="VCH58" s="148"/>
      <c r="VCI58" s="148"/>
      <c r="VCJ58" s="148"/>
      <c r="VCK58" s="148"/>
      <c r="VCL58" s="148"/>
      <c r="VCM58" s="148"/>
      <c r="VCN58" s="148"/>
      <c r="VCO58" s="148"/>
      <c r="VCP58" s="148"/>
      <c r="VCQ58" s="148"/>
      <c r="VCR58" s="148"/>
      <c r="VCS58" s="148"/>
      <c r="VCT58" s="148"/>
      <c r="VCU58" s="148"/>
      <c r="VCV58" s="148"/>
      <c r="VCW58" s="148"/>
      <c r="VCX58" s="148"/>
      <c r="VCY58" s="148"/>
      <c r="VCZ58" s="148"/>
      <c r="VDA58" s="148"/>
      <c r="VDB58" s="148"/>
      <c r="VDC58" s="148"/>
      <c r="VDD58" s="148"/>
      <c r="VDE58" s="148"/>
      <c r="VDF58" s="148"/>
      <c r="VDG58" s="148"/>
      <c r="VDH58" s="148"/>
      <c r="VDI58" s="148"/>
      <c r="VDJ58" s="148"/>
      <c r="VDK58" s="148"/>
      <c r="VDL58" s="148"/>
      <c r="VDM58" s="148"/>
      <c r="VDN58" s="148"/>
      <c r="VDO58" s="148"/>
      <c r="VDP58" s="148"/>
      <c r="VDQ58" s="148"/>
      <c r="VDR58" s="148"/>
      <c r="VDS58" s="148"/>
      <c r="VDT58" s="148"/>
      <c r="VDU58" s="148"/>
      <c r="VDV58" s="148"/>
      <c r="VDW58" s="148"/>
      <c r="VDX58" s="148"/>
      <c r="VDY58" s="148"/>
      <c r="VDZ58" s="148"/>
      <c r="VEA58" s="148"/>
      <c r="VEB58" s="148"/>
      <c r="VEC58" s="148"/>
      <c r="VED58" s="148"/>
      <c r="VEE58" s="148"/>
      <c r="VEF58" s="148"/>
      <c r="VEG58" s="148"/>
      <c r="VEH58" s="148"/>
      <c r="VEI58" s="148"/>
      <c r="VEJ58" s="148"/>
      <c r="VEK58" s="148"/>
      <c r="VEL58" s="148"/>
      <c r="VEM58" s="148"/>
      <c r="VEN58" s="148"/>
      <c r="VEO58" s="148"/>
      <c r="VEP58" s="148"/>
      <c r="VEQ58" s="148"/>
      <c r="VER58" s="148"/>
      <c r="VES58" s="148"/>
      <c r="VET58" s="148"/>
      <c r="VEU58" s="148"/>
      <c r="VEV58" s="148"/>
      <c r="VEW58" s="148"/>
      <c r="VEX58" s="148"/>
      <c r="VEY58" s="148"/>
      <c r="VEZ58" s="148"/>
      <c r="VFA58" s="148"/>
      <c r="VFB58" s="148"/>
      <c r="VFC58" s="148"/>
      <c r="VFD58" s="148"/>
      <c r="VFE58" s="148"/>
      <c r="VFF58" s="148"/>
      <c r="VFG58" s="148"/>
      <c r="VFH58" s="148"/>
      <c r="VFI58" s="148"/>
      <c r="VFJ58" s="148"/>
      <c r="VFK58" s="148"/>
      <c r="VFL58" s="148"/>
      <c r="VFM58" s="148"/>
      <c r="VFN58" s="148"/>
      <c r="VFO58" s="148"/>
      <c r="VFP58" s="148"/>
      <c r="VFQ58" s="148"/>
      <c r="VFR58" s="148"/>
      <c r="VFS58" s="148"/>
      <c r="VFT58" s="148"/>
      <c r="VFU58" s="148"/>
      <c r="VFV58" s="148"/>
      <c r="VFW58" s="148"/>
      <c r="VFX58" s="148"/>
      <c r="VFY58" s="148"/>
      <c r="VFZ58" s="148"/>
      <c r="VGA58" s="148"/>
      <c r="VGB58" s="148"/>
      <c r="VGC58" s="148"/>
      <c r="VGD58" s="148"/>
      <c r="VGE58" s="148"/>
      <c r="VGF58" s="148"/>
      <c r="VGG58" s="148"/>
      <c r="VGH58" s="148"/>
      <c r="VGI58" s="148"/>
      <c r="VGJ58" s="148"/>
      <c r="VGK58" s="148"/>
      <c r="VGL58" s="148"/>
      <c r="VGM58" s="148"/>
      <c r="VGN58" s="148"/>
      <c r="VGO58" s="148"/>
      <c r="VGP58" s="148"/>
      <c r="VGQ58" s="148"/>
      <c r="VGR58" s="148"/>
      <c r="VGS58" s="148"/>
      <c r="VGT58" s="148"/>
      <c r="VGU58" s="148"/>
      <c r="VGV58" s="148"/>
      <c r="VGW58" s="148"/>
      <c r="VGX58" s="148"/>
      <c r="VGY58" s="148"/>
      <c r="VGZ58" s="148"/>
      <c r="VHA58" s="148"/>
      <c r="VHB58" s="148"/>
      <c r="VHC58" s="148"/>
      <c r="VHD58" s="148"/>
      <c r="VHE58" s="148"/>
      <c r="VHF58" s="148"/>
      <c r="VHG58" s="148"/>
      <c r="VHH58" s="148"/>
      <c r="VHI58" s="148"/>
      <c r="VHJ58" s="148"/>
      <c r="VHK58" s="148"/>
      <c r="VHL58" s="148"/>
      <c r="VHM58" s="148"/>
      <c r="VHN58" s="148"/>
      <c r="VHO58" s="148"/>
      <c r="VHP58" s="148"/>
      <c r="VHQ58" s="148"/>
      <c r="VHR58" s="148"/>
      <c r="VHS58" s="148"/>
      <c r="VHT58" s="148"/>
      <c r="VHU58" s="148"/>
      <c r="VHV58" s="148"/>
      <c r="VHW58" s="148"/>
      <c r="VHX58" s="148"/>
      <c r="VHY58" s="148"/>
      <c r="VHZ58" s="148"/>
      <c r="VIA58" s="148"/>
      <c r="VIB58" s="148"/>
      <c r="VIC58" s="148"/>
      <c r="VID58" s="148"/>
      <c r="VIE58" s="148"/>
      <c r="VIF58" s="148"/>
      <c r="VIG58" s="148"/>
      <c r="VIH58" s="148"/>
      <c r="VII58" s="148"/>
      <c r="VIJ58" s="148"/>
      <c r="VIK58" s="148"/>
      <c r="VIL58" s="148"/>
      <c r="VIM58" s="148"/>
      <c r="VIN58" s="148"/>
      <c r="VIO58" s="148"/>
      <c r="VIP58" s="148"/>
      <c r="VIQ58" s="148"/>
      <c r="VIR58" s="148"/>
      <c r="VIS58" s="148"/>
      <c r="VIT58" s="148"/>
      <c r="VIU58" s="148"/>
      <c r="VIV58" s="148"/>
      <c r="VIW58" s="148"/>
      <c r="VIX58" s="148"/>
      <c r="VIY58" s="148"/>
      <c r="VIZ58" s="148"/>
      <c r="VJA58" s="148"/>
      <c r="VJB58" s="148"/>
      <c r="VJC58" s="148"/>
      <c r="VJD58" s="148"/>
      <c r="VJE58" s="148"/>
      <c r="VJF58" s="148"/>
      <c r="VJG58" s="148"/>
      <c r="VJH58" s="148"/>
      <c r="VJI58" s="148"/>
      <c r="VJJ58" s="148"/>
      <c r="VJK58" s="148"/>
      <c r="VJL58" s="148"/>
      <c r="VJM58" s="148"/>
      <c r="VJN58" s="148"/>
      <c r="VJO58" s="148"/>
      <c r="VJP58" s="148"/>
      <c r="VJQ58" s="148"/>
      <c r="VJR58" s="148"/>
      <c r="VJS58" s="148"/>
      <c r="VJT58" s="148"/>
      <c r="VJU58" s="148"/>
      <c r="VJV58" s="148"/>
      <c r="VJW58" s="148"/>
      <c r="VJX58" s="148"/>
      <c r="VJY58" s="148"/>
      <c r="VJZ58" s="148"/>
      <c r="VKA58" s="148"/>
      <c r="VKB58" s="148"/>
      <c r="VKC58" s="148"/>
      <c r="VKD58" s="148"/>
      <c r="VKE58" s="148"/>
      <c r="VKF58" s="148"/>
      <c r="VKG58" s="148"/>
      <c r="VKH58" s="148"/>
      <c r="VKI58" s="148"/>
      <c r="VKJ58" s="148"/>
      <c r="VKK58" s="148"/>
      <c r="VKL58" s="148"/>
      <c r="VKM58" s="148"/>
      <c r="VKN58" s="148"/>
      <c r="VKO58" s="148"/>
      <c r="VKP58" s="148"/>
      <c r="VKQ58" s="148"/>
      <c r="VKR58" s="148"/>
      <c r="VKS58" s="148"/>
      <c r="VKT58" s="148"/>
      <c r="VKU58" s="148"/>
      <c r="VKV58" s="148"/>
      <c r="VKW58" s="148"/>
      <c r="VKX58" s="148"/>
      <c r="VKY58" s="148"/>
      <c r="VKZ58" s="148"/>
      <c r="VLA58" s="148"/>
      <c r="VLB58" s="148"/>
      <c r="VLC58" s="148"/>
      <c r="VLD58" s="148"/>
      <c r="VLE58" s="148"/>
      <c r="VLF58" s="148"/>
      <c r="VLG58" s="148"/>
      <c r="VLH58" s="148"/>
      <c r="VLI58" s="148"/>
      <c r="VLJ58" s="148"/>
      <c r="VLK58" s="148"/>
      <c r="VLL58" s="148"/>
      <c r="VLM58" s="148"/>
      <c r="VLN58" s="148"/>
      <c r="VLO58" s="148"/>
      <c r="VLP58" s="148"/>
      <c r="VLQ58" s="148"/>
      <c r="VLR58" s="148"/>
      <c r="VLS58" s="148"/>
      <c r="VLT58" s="148"/>
      <c r="VLU58" s="148"/>
      <c r="VLV58" s="148"/>
      <c r="VLW58" s="148"/>
      <c r="VLX58" s="148"/>
      <c r="VLY58" s="148"/>
      <c r="VLZ58" s="148"/>
      <c r="VMA58" s="148"/>
      <c r="VMB58" s="148"/>
      <c r="VMC58" s="148"/>
      <c r="VMD58" s="148"/>
      <c r="VME58" s="148"/>
      <c r="VMF58" s="148"/>
      <c r="VMG58" s="148"/>
      <c r="VMH58" s="148"/>
      <c r="VMI58" s="148"/>
      <c r="VMJ58" s="148"/>
      <c r="VMK58" s="148"/>
      <c r="VML58" s="148"/>
      <c r="VMM58" s="148"/>
      <c r="VMN58" s="148"/>
      <c r="VMO58" s="148"/>
      <c r="VMP58" s="148"/>
      <c r="VMQ58" s="148"/>
      <c r="VMR58" s="148"/>
      <c r="VMS58" s="148"/>
      <c r="VMT58" s="148"/>
      <c r="VMU58" s="148"/>
      <c r="VMV58" s="148"/>
      <c r="VMW58" s="148"/>
      <c r="VMX58" s="148"/>
      <c r="VMY58" s="148"/>
      <c r="VMZ58" s="148"/>
      <c r="VNA58" s="148"/>
      <c r="VNB58" s="148"/>
      <c r="VNC58" s="148"/>
      <c r="VND58" s="148"/>
      <c r="VNE58" s="148"/>
      <c r="VNF58" s="148"/>
      <c r="VNG58" s="148"/>
      <c r="VNH58" s="148"/>
      <c r="VNI58" s="148"/>
      <c r="VNJ58" s="148"/>
      <c r="VNK58" s="148"/>
      <c r="VNL58" s="148"/>
      <c r="VNM58" s="148"/>
      <c r="VNN58" s="148"/>
      <c r="VNO58" s="148"/>
      <c r="VNP58" s="148"/>
      <c r="VNQ58" s="148"/>
      <c r="VNR58" s="148"/>
      <c r="VNS58" s="148"/>
      <c r="VNT58" s="148"/>
      <c r="VNU58" s="148"/>
      <c r="VNV58" s="148"/>
      <c r="VNW58" s="148"/>
      <c r="VNX58" s="148"/>
      <c r="VNY58" s="148"/>
      <c r="VNZ58" s="148"/>
      <c r="VOA58" s="148"/>
      <c r="VOB58" s="148"/>
      <c r="VOC58" s="148"/>
      <c r="VOD58" s="148"/>
      <c r="VOE58" s="148"/>
      <c r="VOF58" s="148"/>
      <c r="VOG58" s="148"/>
      <c r="VOH58" s="148"/>
      <c r="VOI58" s="148"/>
      <c r="VOJ58" s="148"/>
      <c r="VOK58" s="148"/>
      <c r="VOL58" s="148"/>
      <c r="VOM58" s="148"/>
      <c r="VON58" s="148"/>
      <c r="VOO58" s="148"/>
      <c r="VOP58" s="148"/>
      <c r="VOQ58" s="148"/>
      <c r="VOR58" s="148"/>
      <c r="VOS58" s="148"/>
      <c r="VOT58" s="148"/>
      <c r="VOU58" s="148"/>
      <c r="VOV58" s="148"/>
      <c r="VOW58" s="148"/>
      <c r="VOX58" s="148"/>
      <c r="VOY58" s="148"/>
      <c r="VOZ58" s="148"/>
      <c r="VPA58" s="148"/>
      <c r="VPB58" s="148"/>
      <c r="VPC58" s="148"/>
      <c r="VPD58" s="148"/>
      <c r="VPE58" s="148"/>
      <c r="VPF58" s="148"/>
      <c r="VPG58" s="148"/>
      <c r="VPH58" s="148"/>
      <c r="VPI58" s="148"/>
      <c r="VPJ58" s="148"/>
      <c r="VPK58" s="148"/>
      <c r="VPL58" s="148"/>
      <c r="VPM58" s="148"/>
      <c r="VPN58" s="148"/>
      <c r="VPO58" s="148"/>
      <c r="VPP58" s="148"/>
      <c r="VPQ58" s="148"/>
      <c r="VPR58" s="148"/>
      <c r="VPS58" s="148"/>
      <c r="VPT58" s="148"/>
      <c r="VPU58" s="148"/>
      <c r="VPV58" s="148"/>
      <c r="VPW58" s="148"/>
      <c r="VPX58" s="148"/>
      <c r="VPY58" s="148"/>
      <c r="VPZ58" s="148"/>
      <c r="VQA58" s="148"/>
      <c r="VQB58" s="148"/>
      <c r="VQC58" s="148"/>
      <c r="VQD58" s="148"/>
      <c r="VQE58" s="148"/>
      <c r="VQF58" s="148"/>
      <c r="VQG58" s="148"/>
      <c r="VQH58" s="148"/>
      <c r="VQI58" s="148"/>
      <c r="VQJ58" s="148"/>
      <c r="VQK58" s="148"/>
      <c r="VQL58" s="148"/>
      <c r="VQM58" s="148"/>
      <c r="VQN58" s="148"/>
      <c r="VQO58" s="148"/>
      <c r="VQP58" s="148"/>
      <c r="VQQ58" s="148"/>
      <c r="VQR58" s="148"/>
      <c r="VQS58" s="148"/>
      <c r="VQT58" s="148"/>
      <c r="VQU58" s="148"/>
      <c r="VQV58" s="148"/>
      <c r="VQW58" s="148"/>
      <c r="VQX58" s="148"/>
      <c r="VQY58" s="148"/>
      <c r="VQZ58" s="148"/>
      <c r="VRA58" s="148"/>
      <c r="VRB58" s="148"/>
      <c r="VRC58" s="148"/>
      <c r="VRD58" s="148"/>
      <c r="VRE58" s="148"/>
      <c r="VRF58" s="148"/>
      <c r="VRG58" s="148"/>
      <c r="VRH58" s="148"/>
      <c r="VRI58" s="148"/>
      <c r="VRJ58" s="148"/>
      <c r="VRK58" s="148"/>
      <c r="VRL58" s="148"/>
      <c r="VRM58" s="148"/>
      <c r="VRN58" s="148"/>
      <c r="VRO58" s="148"/>
      <c r="VRP58" s="148"/>
      <c r="VRQ58" s="148"/>
      <c r="VRR58" s="148"/>
      <c r="VRS58" s="148"/>
      <c r="VRT58" s="148"/>
      <c r="VRU58" s="148"/>
      <c r="VRV58" s="148"/>
      <c r="VRW58" s="148"/>
      <c r="VRX58" s="148"/>
      <c r="VRY58" s="148"/>
      <c r="VRZ58" s="148"/>
      <c r="VSA58" s="148"/>
      <c r="VSB58" s="148"/>
      <c r="VSC58" s="148"/>
      <c r="VSD58" s="148"/>
      <c r="VSE58" s="148"/>
      <c r="VSF58" s="148"/>
      <c r="VSG58" s="148"/>
      <c r="VSH58" s="148"/>
      <c r="VSI58" s="148"/>
      <c r="VSJ58" s="148"/>
      <c r="VSK58" s="148"/>
      <c r="VSL58" s="148"/>
      <c r="VSM58" s="148"/>
      <c r="VSN58" s="148"/>
      <c r="VSO58" s="148"/>
      <c r="VSP58" s="148"/>
      <c r="VSQ58" s="148"/>
      <c r="VSR58" s="148"/>
      <c r="VSS58" s="148"/>
      <c r="VST58" s="148"/>
      <c r="VSU58" s="148"/>
      <c r="VSV58" s="148"/>
      <c r="VSW58" s="148"/>
      <c r="VSX58" s="148"/>
      <c r="VSY58" s="148"/>
      <c r="VSZ58" s="148"/>
      <c r="VTA58" s="148"/>
      <c r="VTB58" s="148"/>
      <c r="VTC58" s="148"/>
      <c r="VTD58" s="148"/>
      <c r="VTE58" s="148"/>
      <c r="VTF58" s="148"/>
      <c r="VTG58" s="148"/>
      <c r="VTH58" s="148"/>
      <c r="VTI58" s="148"/>
      <c r="VTJ58" s="148"/>
      <c r="VTK58" s="148"/>
      <c r="VTL58" s="148"/>
      <c r="VTM58" s="148"/>
      <c r="VTN58" s="148"/>
      <c r="VTO58" s="148"/>
      <c r="VTP58" s="148"/>
      <c r="VTQ58" s="148"/>
      <c r="VTR58" s="148"/>
      <c r="VTS58" s="148"/>
      <c r="VTT58" s="148"/>
      <c r="VTU58" s="148"/>
      <c r="VTV58" s="148"/>
      <c r="VTW58" s="148"/>
      <c r="VTX58" s="148"/>
      <c r="VTY58" s="148"/>
      <c r="VTZ58" s="148"/>
      <c r="VUA58" s="148"/>
      <c r="VUB58" s="148"/>
      <c r="VUC58" s="148"/>
      <c r="VUD58" s="148"/>
      <c r="VUE58" s="148"/>
      <c r="VUF58" s="148"/>
      <c r="VUG58" s="148"/>
      <c r="VUH58" s="148"/>
      <c r="VUI58" s="148"/>
      <c r="VUJ58" s="148"/>
      <c r="VUK58" s="148"/>
      <c r="VUL58" s="148"/>
      <c r="VUM58" s="148"/>
      <c r="VUN58" s="148"/>
      <c r="VUO58" s="148"/>
      <c r="VUP58" s="148"/>
      <c r="VUQ58" s="148"/>
      <c r="VUR58" s="148"/>
      <c r="VUS58" s="148"/>
      <c r="VUT58" s="148"/>
      <c r="VUU58" s="148"/>
      <c r="VUV58" s="148"/>
      <c r="VUW58" s="148"/>
      <c r="VUX58" s="148"/>
      <c r="VUY58" s="148"/>
      <c r="VUZ58" s="148"/>
      <c r="VVA58" s="148"/>
      <c r="VVB58" s="148"/>
      <c r="VVC58" s="148"/>
      <c r="VVD58" s="148"/>
      <c r="VVE58" s="148"/>
      <c r="VVF58" s="148"/>
      <c r="VVG58" s="148"/>
      <c r="VVH58" s="148"/>
      <c r="VVI58" s="148"/>
      <c r="VVJ58" s="148"/>
      <c r="VVK58" s="148"/>
      <c r="VVL58" s="148"/>
      <c r="VVM58" s="148"/>
      <c r="VVN58" s="148"/>
      <c r="VVO58" s="148"/>
      <c r="VVP58" s="148"/>
      <c r="VVQ58" s="148"/>
      <c r="VVR58" s="148"/>
      <c r="VVS58" s="148"/>
      <c r="VVT58" s="148"/>
      <c r="VVU58" s="148"/>
      <c r="VVV58" s="148"/>
      <c r="VVW58" s="148"/>
      <c r="VVX58" s="148"/>
      <c r="VVY58" s="148"/>
      <c r="VVZ58" s="148"/>
      <c r="VWA58" s="148"/>
      <c r="VWB58" s="148"/>
      <c r="VWC58" s="148"/>
      <c r="VWD58" s="148"/>
      <c r="VWE58" s="148"/>
      <c r="VWF58" s="148"/>
      <c r="VWG58" s="148"/>
      <c r="VWH58" s="148"/>
      <c r="VWI58" s="148"/>
      <c r="VWJ58" s="148"/>
      <c r="VWK58" s="148"/>
      <c r="VWL58" s="148"/>
      <c r="VWM58" s="148"/>
      <c r="VWN58" s="148"/>
      <c r="VWO58" s="148"/>
      <c r="VWP58" s="148"/>
      <c r="VWQ58" s="148"/>
      <c r="VWR58" s="148"/>
      <c r="VWS58" s="148"/>
      <c r="VWT58" s="148"/>
      <c r="VWU58" s="148"/>
      <c r="VWV58" s="148"/>
      <c r="VWW58" s="148"/>
      <c r="VWX58" s="148"/>
      <c r="VWY58" s="148"/>
      <c r="VWZ58" s="148"/>
      <c r="VXA58" s="148"/>
      <c r="VXB58" s="148"/>
      <c r="VXC58" s="148"/>
      <c r="VXD58" s="148"/>
      <c r="VXE58" s="148"/>
      <c r="VXF58" s="148"/>
      <c r="VXG58" s="148"/>
      <c r="VXH58" s="148"/>
      <c r="VXI58" s="148"/>
      <c r="VXJ58" s="148"/>
      <c r="VXK58" s="148"/>
      <c r="VXL58" s="148"/>
      <c r="VXM58" s="148"/>
      <c r="VXN58" s="148"/>
      <c r="VXO58" s="148"/>
      <c r="VXP58" s="148"/>
      <c r="VXQ58" s="148"/>
      <c r="VXR58" s="148"/>
      <c r="VXS58" s="148"/>
      <c r="VXT58" s="148"/>
      <c r="VXU58" s="148"/>
      <c r="VXV58" s="148"/>
      <c r="VXW58" s="148"/>
      <c r="VXX58" s="148"/>
      <c r="VXY58" s="148"/>
      <c r="VXZ58" s="148"/>
      <c r="VYA58" s="148"/>
      <c r="VYB58" s="148"/>
      <c r="VYC58" s="148"/>
      <c r="VYD58" s="148"/>
      <c r="VYE58" s="148"/>
      <c r="VYF58" s="148"/>
      <c r="VYG58" s="148"/>
      <c r="VYH58" s="148"/>
      <c r="VYI58" s="148"/>
      <c r="VYJ58" s="148"/>
      <c r="VYK58" s="148"/>
      <c r="VYL58" s="148"/>
      <c r="VYM58" s="148"/>
      <c r="VYN58" s="148"/>
      <c r="VYO58" s="148"/>
      <c r="VYP58" s="148"/>
      <c r="VYQ58" s="148"/>
      <c r="VYR58" s="148"/>
      <c r="VYS58" s="148"/>
      <c r="VYT58" s="148"/>
      <c r="VYU58" s="148"/>
      <c r="VYV58" s="148"/>
      <c r="VYW58" s="148"/>
      <c r="VYX58" s="148"/>
      <c r="VYY58" s="148"/>
      <c r="VYZ58" s="148"/>
      <c r="VZA58" s="148"/>
      <c r="VZB58" s="148"/>
      <c r="VZC58" s="148"/>
      <c r="VZD58" s="148"/>
      <c r="VZE58" s="148"/>
      <c r="VZF58" s="148"/>
      <c r="VZG58" s="148"/>
      <c r="VZH58" s="148"/>
      <c r="VZI58" s="148"/>
      <c r="VZJ58" s="148"/>
      <c r="VZK58" s="148"/>
      <c r="VZL58" s="148"/>
      <c r="VZM58" s="148"/>
      <c r="VZN58" s="148"/>
      <c r="VZO58" s="148"/>
      <c r="VZP58" s="148"/>
      <c r="VZQ58" s="148"/>
      <c r="VZR58" s="148"/>
      <c r="VZS58" s="148"/>
      <c r="VZT58" s="148"/>
      <c r="VZU58" s="148"/>
      <c r="VZV58" s="148"/>
      <c r="VZW58" s="148"/>
      <c r="VZX58" s="148"/>
      <c r="VZY58" s="148"/>
      <c r="VZZ58" s="148"/>
      <c r="WAA58" s="148"/>
      <c r="WAB58" s="148"/>
      <c r="WAC58" s="148"/>
      <c r="WAD58" s="148"/>
      <c r="WAE58" s="148"/>
      <c r="WAF58" s="148"/>
      <c r="WAG58" s="148"/>
      <c r="WAH58" s="148"/>
      <c r="WAI58" s="148"/>
      <c r="WAJ58" s="148"/>
      <c r="WAK58" s="148"/>
      <c r="WAL58" s="148"/>
      <c r="WAM58" s="148"/>
      <c r="WAN58" s="148"/>
      <c r="WAO58" s="148"/>
      <c r="WAP58" s="148"/>
      <c r="WAQ58" s="148"/>
      <c r="WAR58" s="148"/>
      <c r="WAS58" s="148"/>
      <c r="WAT58" s="148"/>
      <c r="WAU58" s="148"/>
      <c r="WAV58" s="148"/>
      <c r="WAW58" s="148"/>
      <c r="WAX58" s="148"/>
      <c r="WAY58" s="148"/>
      <c r="WAZ58" s="148"/>
      <c r="WBA58" s="148"/>
      <c r="WBB58" s="148"/>
      <c r="WBC58" s="148"/>
      <c r="WBD58" s="148"/>
      <c r="WBE58" s="148"/>
      <c r="WBF58" s="148"/>
      <c r="WBG58" s="148"/>
      <c r="WBH58" s="148"/>
      <c r="WBI58" s="148"/>
      <c r="WBJ58" s="148"/>
      <c r="WBK58" s="148"/>
      <c r="WBL58" s="148"/>
      <c r="WBM58" s="148"/>
      <c r="WBN58" s="148"/>
      <c r="WBO58" s="148"/>
      <c r="WBP58" s="148"/>
      <c r="WBQ58" s="148"/>
      <c r="WBR58" s="148"/>
      <c r="WBS58" s="148"/>
      <c r="WBT58" s="148"/>
      <c r="WBU58" s="148"/>
      <c r="WBV58" s="148"/>
      <c r="WBW58" s="148"/>
      <c r="WBX58" s="148"/>
      <c r="WBY58" s="148"/>
      <c r="WBZ58" s="148"/>
      <c r="WCA58" s="148"/>
      <c r="WCB58" s="148"/>
      <c r="WCC58" s="148"/>
      <c r="WCD58" s="148"/>
      <c r="WCE58" s="148"/>
      <c r="WCF58" s="148"/>
      <c r="WCG58" s="148"/>
      <c r="WCH58" s="148"/>
      <c r="WCI58" s="148"/>
      <c r="WCJ58" s="148"/>
      <c r="WCK58" s="148"/>
      <c r="WCL58" s="148"/>
      <c r="WCM58" s="148"/>
      <c r="WCN58" s="148"/>
      <c r="WCO58" s="148"/>
      <c r="WCP58" s="148"/>
      <c r="WCQ58" s="148"/>
      <c r="WCR58" s="148"/>
      <c r="WCS58" s="148"/>
      <c r="WCT58" s="148"/>
      <c r="WCU58" s="148"/>
      <c r="WCV58" s="148"/>
      <c r="WCW58" s="148"/>
      <c r="WCX58" s="148"/>
      <c r="WCY58" s="148"/>
      <c r="WCZ58" s="148"/>
      <c r="WDA58" s="148"/>
      <c r="WDB58" s="148"/>
      <c r="WDC58" s="148"/>
      <c r="WDD58" s="148"/>
      <c r="WDE58" s="148"/>
      <c r="WDF58" s="148"/>
      <c r="WDG58" s="148"/>
      <c r="WDH58" s="148"/>
      <c r="WDI58" s="148"/>
      <c r="WDJ58" s="148"/>
      <c r="WDK58" s="148"/>
      <c r="WDL58" s="148"/>
      <c r="WDM58" s="148"/>
      <c r="WDN58" s="148"/>
      <c r="WDO58" s="148"/>
      <c r="WDP58" s="148"/>
      <c r="WDQ58" s="148"/>
      <c r="WDR58" s="148"/>
      <c r="WDS58" s="148"/>
      <c r="WDT58" s="148"/>
      <c r="WDU58" s="148"/>
      <c r="WDV58" s="148"/>
      <c r="WDW58" s="148"/>
      <c r="WDX58" s="148"/>
      <c r="WDY58" s="148"/>
      <c r="WDZ58" s="148"/>
      <c r="WEA58" s="148"/>
      <c r="WEB58" s="148"/>
      <c r="WEC58" s="148"/>
      <c r="WED58" s="148"/>
      <c r="WEE58" s="148"/>
      <c r="WEF58" s="148"/>
      <c r="WEG58" s="148"/>
      <c r="WEH58" s="148"/>
      <c r="WEI58" s="148"/>
      <c r="WEJ58" s="148"/>
      <c r="WEK58" s="148"/>
      <c r="WEL58" s="148"/>
      <c r="WEM58" s="148"/>
      <c r="WEN58" s="148"/>
      <c r="WEO58" s="148"/>
      <c r="WEP58" s="148"/>
      <c r="WEQ58" s="148"/>
      <c r="WER58" s="148"/>
      <c r="WES58" s="148"/>
      <c r="WET58" s="148"/>
      <c r="WEU58" s="148"/>
      <c r="WEV58" s="148"/>
      <c r="WEW58" s="148"/>
      <c r="WEX58" s="148"/>
      <c r="WEY58" s="148"/>
      <c r="WEZ58" s="148"/>
      <c r="WFA58" s="148"/>
      <c r="WFB58" s="148"/>
      <c r="WFC58" s="148"/>
      <c r="WFD58" s="148"/>
      <c r="WFE58" s="148"/>
      <c r="WFF58" s="148"/>
      <c r="WFG58" s="148"/>
      <c r="WFH58" s="148"/>
      <c r="WFI58" s="148"/>
      <c r="WFJ58" s="148"/>
      <c r="WFK58" s="148"/>
      <c r="WFL58" s="148"/>
      <c r="WFM58" s="148"/>
      <c r="WFN58" s="148"/>
      <c r="WFO58" s="148"/>
      <c r="WFP58" s="148"/>
      <c r="WFQ58" s="148"/>
      <c r="WFR58" s="148"/>
      <c r="WFS58" s="148"/>
      <c r="WFT58" s="148"/>
      <c r="WFU58" s="148"/>
      <c r="WFV58" s="148"/>
      <c r="WFW58" s="148"/>
      <c r="WFX58" s="148"/>
      <c r="WFY58" s="148"/>
      <c r="WFZ58" s="148"/>
      <c r="WGA58" s="148"/>
      <c r="WGB58" s="148"/>
      <c r="WGC58" s="148"/>
      <c r="WGD58" s="148"/>
      <c r="WGE58" s="148"/>
      <c r="WGF58" s="148"/>
      <c r="WGG58" s="148"/>
      <c r="WGH58" s="148"/>
      <c r="WGI58" s="148"/>
      <c r="WGJ58" s="148"/>
      <c r="WGK58" s="148"/>
      <c r="WGL58" s="148"/>
      <c r="WGM58" s="148"/>
      <c r="WGN58" s="148"/>
      <c r="WGO58" s="148"/>
      <c r="WGP58" s="148"/>
      <c r="WGQ58" s="148"/>
      <c r="WGR58" s="148"/>
      <c r="WGS58" s="148"/>
      <c r="WGT58" s="148"/>
      <c r="WGU58" s="148"/>
      <c r="WGV58" s="148"/>
      <c r="WGW58" s="148"/>
      <c r="WGX58" s="148"/>
      <c r="WGY58" s="148"/>
      <c r="WGZ58" s="148"/>
      <c r="WHA58" s="148"/>
      <c r="WHB58" s="148"/>
      <c r="WHC58" s="148"/>
      <c r="WHD58" s="148"/>
      <c r="WHE58" s="148"/>
      <c r="WHF58" s="148"/>
      <c r="WHG58" s="148"/>
      <c r="WHH58" s="148"/>
      <c r="WHI58" s="148"/>
      <c r="WHJ58" s="148"/>
      <c r="WHK58" s="148"/>
      <c r="WHL58" s="148"/>
      <c r="WHM58" s="148"/>
      <c r="WHN58" s="148"/>
      <c r="WHO58" s="148"/>
      <c r="WHP58" s="148"/>
      <c r="WHQ58" s="148"/>
      <c r="WHR58" s="148"/>
      <c r="WHS58" s="148"/>
      <c r="WHT58" s="148"/>
      <c r="WHU58" s="148"/>
      <c r="WHV58" s="148"/>
      <c r="WHW58" s="148"/>
      <c r="WHX58" s="148"/>
      <c r="WHY58" s="148"/>
      <c r="WHZ58" s="148"/>
      <c r="WIA58" s="148"/>
      <c r="WIB58" s="148"/>
      <c r="WIC58" s="148"/>
      <c r="WID58" s="148"/>
      <c r="WIE58" s="148"/>
      <c r="WIF58" s="148"/>
      <c r="WIG58" s="148"/>
      <c r="WIH58" s="148"/>
      <c r="WII58" s="148"/>
      <c r="WIJ58" s="148"/>
      <c r="WIK58" s="148"/>
      <c r="WIL58" s="148"/>
      <c r="WIM58" s="148"/>
      <c r="WIN58" s="148"/>
      <c r="WIO58" s="148"/>
      <c r="WIP58" s="148"/>
      <c r="WIQ58" s="148"/>
      <c r="WIR58" s="148"/>
      <c r="WIS58" s="148"/>
      <c r="WIT58" s="148"/>
      <c r="WIU58" s="148"/>
      <c r="WIV58" s="148"/>
      <c r="WIW58" s="148"/>
      <c r="WIX58" s="148"/>
      <c r="WIY58" s="148"/>
      <c r="WIZ58" s="148"/>
      <c r="WJA58" s="148"/>
      <c r="WJB58" s="148"/>
      <c r="WJC58" s="148"/>
      <c r="WJD58" s="148"/>
      <c r="WJE58" s="148"/>
      <c r="WJF58" s="148"/>
      <c r="WJG58" s="148"/>
      <c r="WJH58" s="148"/>
      <c r="WJI58" s="148"/>
      <c r="WJJ58" s="148"/>
      <c r="WJK58" s="148"/>
      <c r="WJL58" s="148"/>
      <c r="WJM58" s="148"/>
      <c r="WJN58" s="148"/>
      <c r="WJO58" s="148"/>
      <c r="WJP58" s="148"/>
      <c r="WJQ58" s="148"/>
      <c r="WJR58" s="148"/>
      <c r="WJS58" s="148"/>
      <c r="WJT58" s="148"/>
      <c r="WJU58" s="148"/>
      <c r="WJV58" s="148"/>
      <c r="WJW58" s="148"/>
      <c r="WJX58" s="148"/>
      <c r="WJY58" s="148"/>
      <c r="WJZ58" s="148"/>
      <c r="WKA58" s="148"/>
      <c r="WKB58" s="148"/>
      <c r="WKC58" s="148"/>
      <c r="WKD58" s="148"/>
      <c r="WKE58" s="148"/>
      <c r="WKF58" s="148"/>
      <c r="WKG58" s="148"/>
      <c r="WKH58" s="148"/>
      <c r="WKI58" s="148"/>
      <c r="WKJ58" s="148"/>
      <c r="WKK58" s="148"/>
      <c r="WKL58" s="148"/>
      <c r="WKM58" s="148"/>
      <c r="WKN58" s="148"/>
      <c r="WKO58" s="148"/>
      <c r="WKP58" s="148"/>
      <c r="WKQ58" s="148"/>
      <c r="WKR58" s="148"/>
      <c r="WKS58" s="148"/>
      <c r="WKT58" s="148"/>
      <c r="WKU58" s="148"/>
      <c r="WKV58" s="148"/>
      <c r="WKW58" s="148"/>
      <c r="WKX58" s="148"/>
      <c r="WKY58" s="148"/>
      <c r="WKZ58" s="148"/>
      <c r="WLA58" s="148"/>
      <c r="WLB58" s="148"/>
      <c r="WLC58" s="148"/>
      <c r="WLD58" s="148"/>
      <c r="WLE58" s="148"/>
      <c r="WLF58" s="148"/>
      <c r="WLG58" s="148"/>
      <c r="WLH58" s="148"/>
      <c r="WLI58" s="148"/>
      <c r="WLJ58" s="148"/>
      <c r="WLK58" s="148"/>
      <c r="WLL58" s="148"/>
      <c r="WLM58" s="148"/>
      <c r="WLN58" s="148"/>
      <c r="WLO58" s="148"/>
      <c r="WLP58" s="148"/>
      <c r="WLQ58" s="148"/>
      <c r="WLR58" s="148"/>
      <c r="WLS58" s="148"/>
      <c r="WLT58" s="148"/>
      <c r="WLU58" s="148"/>
      <c r="WLV58" s="148"/>
      <c r="WLW58" s="148"/>
      <c r="WLX58" s="148"/>
      <c r="WLY58" s="148"/>
      <c r="WLZ58" s="148"/>
      <c r="WMA58" s="148"/>
      <c r="WMB58" s="148"/>
      <c r="WMC58" s="148"/>
      <c r="WMD58" s="148"/>
      <c r="WME58" s="148"/>
      <c r="WMF58" s="148"/>
      <c r="WMG58" s="148"/>
      <c r="WMH58" s="148"/>
      <c r="WMI58" s="148"/>
      <c r="WMJ58" s="148"/>
      <c r="WMK58" s="148"/>
      <c r="WML58" s="148"/>
      <c r="WMM58" s="148"/>
      <c r="WMN58" s="148"/>
      <c r="WMO58" s="148"/>
      <c r="WMP58" s="148"/>
      <c r="WMQ58" s="148"/>
      <c r="WMR58" s="148"/>
      <c r="WMS58" s="148"/>
      <c r="WMT58" s="148"/>
      <c r="WMU58" s="148"/>
      <c r="WMV58" s="148"/>
      <c r="WMW58" s="148"/>
      <c r="WMX58" s="148"/>
      <c r="WMY58" s="148"/>
      <c r="WMZ58" s="148"/>
      <c r="WNA58" s="148"/>
      <c r="WNB58" s="148"/>
      <c r="WNC58" s="148"/>
      <c r="WND58" s="148"/>
      <c r="WNE58" s="148"/>
      <c r="WNF58" s="148"/>
      <c r="WNG58" s="148"/>
      <c r="WNH58" s="148"/>
      <c r="WNI58" s="148"/>
      <c r="WNJ58" s="148"/>
      <c r="WNK58" s="148"/>
      <c r="WNL58" s="148"/>
      <c r="WNM58" s="148"/>
      <c r="WNN58" s="148"/>
      <c r="WNO58" s="148"/>
      <c r="WNP58" s="148"/>
      <c r="WNQ58" s="148"/>
      <c r="WNR58" s="148"/>
      <c r="WNS58" s="148"/>
      <c r="WNT58" s="148"/>
      <c r="WNU58" s="148"/>
      <c r="WNV58" s="148"/>
      <c r="WNW58" s="148"/>
      <c r="WNX58" s="148"/>
      <c r="WNY58" s="148"/>
      <c r="WNZ58" s="148"/>
      <c r="WOA58" s="148"/>
      <c r="WOB58" s="148"/>
      <c r="WOC58" s="148"/>
      <c r="WOD58" s="148"/>
      <c r="WOE58" s="148"/>
      <c r="WOF58" s="148"/>
      <c r="WOG58" s="148"/>
      <c r="WOH58" s="148"/>
      <c r="WOI58" s="148"/>
      <c r="WOJ58" s="148"/>
      <c r="WOK58" s="148"/>
      <c r="WOL58" s="148"/>
      <c r="WOM58" s="148"/>
      <c r="WON58" s="148"/>
      <c r="WOO58" s="148"/>
      <c r="WOP58" s="148"/>
      <c r="WOQ58" s="148"/>
      <c r="WOR58" s="148"/>
      <c r="WOS58" s="148"/>
      <c r="WOT58" s="148"/>
      <c r="WOU58" s="148"/>
      <c r="WOV58" s="148"/>
      <c r="WOW58" s="148"/>
      <c r="WOX58" s="148"/>
      <c r="WOY58" s="148"/>
      <c r="WOZ58" s="148"/>
      <c r="WPA58" s="148"/>
      <c r="WPB58" s="148"/>
      <c r="WPC58" s="148"/>
      <c r="WPD58" s="148"/>
      <c r="WPE58" s="148"/>
      <c r="WPF58" s="148"/>
      <c r="WPG58" s="148"/>
      <c r="WPH58" s="148"/>
      <c r="WPI58" s="148"/>
      <c r="WPJ58" s="148"/>
      <c r="WPK58" s="148"/>
      <c r="WPL58" s="148"/>
      <c r="WPM58" s="148"/>
      <c r="WPN58" s="148"/>
      <c r="WPO58" s="148"/>
      <c r="WPP58" s="148"/>
      <c r="WPQ58" s="148"/>
      <c r="WPR58" s="148"/>
      <c r="WPS58" s="148"/>
      <c r="WPT58" s="148"/>
      <c r="WPU58" s="148"/>
      <c r="WPV58" s="148"/>
      <c r="WPW58" s="148"/>
      <c r="WPX58" s="148"/>
      <c r="WPY58" s="148"/>
      <c r="WPZ58" s="148"/>
      <c r="WQA58" s="148"/>
      <c r="WQB58" s="148"/>
      <c r="WQC58" s="148"/>
      <c r="WQD58" s="148"/>
      <c r="WQE58" s="148"/>
      <c r="WQF58" s="148"/>
      <c r="WQG58" s="148"/>
      <c r="WQH58" s="148"/>
      <c r="WQI58" s="148"/>
      <c r="WQJ58" s="148"/>
      <c r="WQK58" s="148"/>
      <c r="WQL58" s="148"/>
      <c r="WQM58" s="148"/>
      <c r="WQN58" s="148"/>
      <c r="WQO58" s="148"/>
      <c r="WQP58" s="148"/>
      <c r="WQQ58" s="148"/>
      <c r="WQR58" s="148"/>
      <c r="WQS58" s="148"/>
      <c r="WQT58" s="148"/>
      <c r="WQU58" s="148"/>
      <c r="WQV58" s="148"/>
      <c r="WQW58" s="148"/>
      <c r="WQX58" s="148"/>
      <c r="WQY58" s="148"/>
      <c r="WQZ58" s="148"/>
      <c r="WRA58" s="148"/>
      <c r="WRB58" s="148"/>
      <c r="WRC58" s="148"/>
      <c r="WRD58" s="148"/>
      <c r="WRE58" s="148"/>
      <c r="WRF58" s="148"/>
      <c r="WRG58" s="148"/>
      <c r="WRH58" s="148"/>
      <c r="WRI58" s="148"/>
      <c r="WRJ58" s="148"/>
      <c r="WRK58" s="148"/>
      <c r="WRL58" s="148"/>
      <c r="WRM58" s="148"/>
      <c r="WRN58" s="148"/>
      <c r="WRO58" s="148"/>
      <c r="WRP58" s="148"/>
      <c r="WRQ58" s="148"/>
      <c r="WRR58" s="148"/>
      <c r="WRS58" s="148"/>
      <c r="WRT58" s="148"/>
      <c r="WRU58" s="148"/>
      <c r="WRV58" s="148"/>
      <c r="WRW58" s="148"/>
      <c r="WRX58" s="148"/>
      <c r="WRY58" s="148"/>
      <c r="WRZ58" s="148"/>
      <c r="WSA58" s="148"/>
      <c r="WSB58" s="148"/>
      <c r="WSC58" s="148"/>
      <c r="WSD58" s="148"/>
      <c r="WSE58" s="148"/>
      <c r="WSF58" s="148"/>
      <c r="WSG58" s="148"/>
      <c r="WSH58" s="148"/>
      <c r="WSI58" s="148"/>
      <c r="WSJ58" s="148"/>
      <c r="WSK58" s="148"/>
      <c r="WSL58" s="148"/>
      <c r="WSM58" s="148"/>
      <c r="WSN58" s="148"/>
      <c r="WSO58" s="148"/>
      <c r="WSP58" s="148"/>
      <c r="WSQ58" s="148"/>
      <c r="WSR58" s="148"/>
      <c r="WSS58" s="148"/>
      <c r="WST58" s="148"/>
      <c r="WSU58" s="148"/>
      <c r="WSV58" s="148"/>
      <c r="WSW58" s="148"/>
      <c r="WSX58" s="148"/>
      <c r="WSY58" s="148"/>
      <c r="WSZ58" s="148"/>
      <c r="WTA58" s="148"/>
      <c r="WTB58" s="148"/>
      <c r="WTC58" s="148"/>
      <c r="WTD58" s="148"/>
      <c r="WTE58" s="148"/>
      <c r="WTF58" s="148"/>
      <c r="WTG58" s="148"/>
      <c r="WTH58" s="148"/>
      <c r="WTI58" s="148"/>
      <c r="WTJ58" s="148"/>
      <c r="WTK58" s="148"/>
      <c r="WTL58" s="148"/>
      <c r="WTM58" s="148"/>
      <c r="WTN58" s="148"/>
      <c r="WTO58" s="148"/>
      <c r="WTP58" s="148"/>
      <c r="WTQ58" s="148"/>
      <c r="WTR58" s="148"/>
      <c r="WTS58" s="148"/>
      <c r="WTT58" s="148"/>
      <c r="WTU58" s="148"/>
      <c r="WTV58" s="148"/>
      <c r="WTW58" s="148"/>
      <c r="WTX58" s="148"/>
      <c r="WTY58" s="148"/>
      <c r="WTZ58" s="148"/>
      <c r="WUA58" s="148"/>
      <c r="WUB58" s="148"/>
      <c r="WUC58" s="148"/>
      <c r="WUD58" s="148"/>
      <c r="WUE58" s="148"/>
      <c r="WUF58" s="148"/>
      <c r="WUG58" s="148"/>
      <c r="WUH58" s="148"/>
      <c r="WUI58" s="148"/>
      <c r="WUJ58" s="148"/>
      <c r="WUK58" s="148"/>
      <c r="WUL58" s="148"/>
      <c r="WUM58" s="148"/>
      <c r="WUN58" s="148"/>
      <c r="WUO58" s="148"/>
      <c r="WUP58" s="148"/>
      <c r="WUQ58" s="148"/>
      <c r="WUR58" s="148"/>
      <c r="WUS58" s="148"/>
      <c r="WUT58" s="148"/>
      <c r="WUU58" s="148"/>
      <c r="WUV58" s="148"/>
      <c r="WUW58" s="148"/>
      <c r="WUX58" s="148"/>
      <c r="WUY58" s="148"/>
      <c r="WUZ58" s="148"/>
      <c r="WVA58" s="148"/>
      <c r="WVB58" s="148"/>
      <c r="WVC58" s="148"/>
      <c r="WVD58" s="148"/>
      <c r="WVE58" s="148"/>
      <c r="WVF58" s="148"/>
      <c r="WVG58" s="148"/>
      <c r="WVH58" s="148"/>
      <c r="WVI58" s="148"/>
      <c r="WVJ58" s="148"/>
      <c r="WVK58" s="148"/>
      <c r="WVL58" s="148"/>
      <c r="WVM58" s="148"/>
      <c r="WVN58" s="148"/>
      <c r="WVO58" s="148"/>
      <c r="WVP58" s="148"/>
      <c r="WVQ58" s="148"/>
      <c r="WVR58" s="148"/>
      <c r="WVS58" s="148"/>
      <c r="WVT58" s="148"/>
      <c r="WVU58" s="148"/>
      <c r="WVV58" s="148"/>
      <c r="WVW58" s="148"/>
      <c r="WVX58" s="148"/>
      <c r="WVY58" s="148"/>
      <c r="WVZ58" s="148"/>
      <c r="WWA58" s="148"/>
      <c r="WWB58" s="148"/>
      <c r="WWC58" s="148"/>
      <c r="WWD58" s="148"/>
      <c r="WWE58" s="148"/>
      <c r="WWF58" s="148"/>
      <c r="WWG58" s="148"/>
      <c r="WWH58" s="148"/>
      <c r="WWI58" s="148"/>
      <c r="WWJ58" s="148"/>
      <c r="WWK58" s="148"/>
      <c r="WWL58" s="148"/>
      <c r="WWM58" s="148"/>
      <c r="WWN58" s="148"/>
      <c r="WWO58" s="148"/>
      <c r="WWP58" s="148"/>
      <c r="WWQ58" s="148"/>
      <c r="WWR58" s="148"/>
      <c r="WWS58" s="148"/>
      <c r="WWT58" s="148"/>
      <c r="WWU58" s="148"/>
      <c r="WWV58" s="148"/>
      <c r="WWW58" s="148"/>
      <c r="WWX58" s="148"/>
      <c r="WWY58" s="148"/>
      <c r="WWZ58" s="148"/>
      <c r="WXA58" s="148"/>
      <c r="WXB58" s="148"/>
      <c r="WXC58" s="148"/>
      <c r="WXD58" s="148"/>
      <c r="WXE58" s="148"/>
      <c r="WXF58" s="148"/>
      <c r="WXG58" s="148"/>
      <c r="WXH58" s="148"/>
      <c r="WXI58" s="148"/>
      <c r="WXJ58" s="148"/>
      <c r="WXK58" s="148"/>
      <c r="WXL58" s="148"/>
      <c r="WXM58" s="148"/>
      <c r="WXN58" s="148"/>
      <c r="WXO58" s="148"/>
      <c r="WXP58" s="148"/>
      <c r="WXQ58" s="148"/>
      <c r="WXR58" s="148"/>
      <c r="WXS58" s="148"/>
      <c r="WXT58" s="148"/>
      <c r="WXU58" s="148"/>
      <c r="WXV58" s="148"/>
      <c r="WXW58" s="148"/>
      <c r="WXX58" s="148"/>
      <c r="WXY58" s="148"/>
      <c r="WXZ58" s="148"/>
      <c r="WYA58" s="148"/>
      <c r="WYB58" s="148"/>
      <c r="WYC58" s="148"/>
      <c r="WYD58" s="148"/>
      <c r="WYE58" s="148"/>
      <c r="WYF58" s="148"/>
      <c r="WYG58" s="148"/>
      <c r="WYH58" s="148"/>
      <c r="WYI58" s="148"/>
      <c r="WYJ58" s="148"/>
      <c r="WYK58" s="148"/>
      <c r="WYL58" s="148"/>
      <c r="WYM58" s="148"/>
      <c r="WYN58" s="148"/>
      <c r="WYO58" s="148"/>
      <c r="WYP58" s="148"/>
      <c r="WYQ58" s="148"/>
      <c r="WYR58" s="148"/>
      <c r="WYS58" s="148"/>
      <c r="WYT58" s="148"/>
      <c r="WYU58" s="148"/>
      <c r="WYV58" s="148"/>
      <c r="WYW58" s="148"/>
      <c r="WYX58" s="148"/>
      <c r="WYY58" s="148"/>
      <c r="WYZ58" s="148"/>
      <c r="WZA58" s="148"/>
      <c r="WZB58" s="148"/>
      <c r="WZC58" s="148"/>
      <c r="WZD58" s="148"/>
      <c r="WZE58" s="148"/>
      <c r="WZF58" s="148"/>
      <c r="WZG58" s="148"/>
      <c r="WZH58" s="148"/>
      <c r="WZI58" s="148"/>
      <c r="WZJ58" s="148"/>
      <c r="WZK58" s="148"/>
      <c r="WZL58" s="148"/>
      <c r="WZM58" s="148"/>
      <c r="WZN58" s="148"/>
      <c r="WZO58" s="148"/>
      <c r="WZP58" s="148"/>
      <c r="WZQ58" s="148"/>
      <c r="WZR58" s="148"/>
      <c r="WZS58" s="148"/>
      <c r="WZT58" s="148"/>
      <c r="WZU58" s="148"/>
      <c r="WZV58" s="148"/>
      <c r="WZW58" s="148"/>
      <c r="WZX58" s="148"/>
      <c r="WZY58" s="148"/>
      <c r="WZZ58" s="148"/>
      <c r="XAA58" s="148"/>
      <c r="XAB58" s="148"/>
      <c r="XAC58" s="148"/>
      <c r="XAD58" s="148"/>
      <c r="XAE58" s="148"/>
      <c r="XAF58" s="148"/>
      <c r="XAG58" s="148"/>
      <c r="XAH58" s="148"/>
      <c r="XAI58" s="148"/>
      <c r="XAJ58" s="148"/>
      <c r="XAK58" s="148"/>
      <c r="XAL58" s="148"/>
      <c r="XAM58" s="148"/>
      <c r="XAN58" s="148"/>
      <c r="XAO58" s="148"/>
      <c r="XAP58" s="148"/>
      <c r="XAQ58" s="148"/>
      <c r="XAR58" s="148"/>
      <c r="XAS58" s="148"/>
      <c r="XAT58" s="148"/>
      <c r="XAU58" s="148"/>
      <c r="XAV58" s="148"/>
      <c r="XAW58" s="148"/>
      <c r="XAX58" s="148"/>
      <c r="XAY58" s="148"/>
      <c r="XAZ58" s="148"/>
      <c r="XBA58" s="148"/>
      <c r="XBB58" s="148"/>
      <c r="XBC58" s="148"/>
      <c r="XBD58" s="148"/>
      <c r="XBE58" s="148"/>
      <c r="XBF58" s="148"/>
      <c r="XBG58" s="148"/>
      <c r="XBH58" s="148"/>
      <c r="XBI58" s="148"/>
      <c r="XBJ58" s="148"/>
      <c r="XBK58" s="148"/>
      <c r="XBL58" s="148"/>
      <c r="XBM58" s="148"/>
      <c r="XBN58" s="148"/>
      <c r="XBO58" s="148"/>
      <c r="XBP58" s="148"/>
      <c r="XBQ58" s="148"/>
      <c r="XBR58" s="148"/>
      <c r="XBS58" s="148"/>
      <c r="XBT58" s="148"/>
      <c r="XBU58" s="148"/>
      <c r="XBV58" s="148"/>
      <c r="XBW58" s="148"/>
      <c r="XBX58" s="148"/>
      <c r="XBY58" s="148"/>
      <c r="XBZ58" s="148"/>
      <c r="XCA58" s="148"/>
      <c r="XCB58" s="148"/>
      <c r="XCC58" s="148"/>
      <c r="XCD58" s="148"/>
      <c r="XCE58" s="148"/>
      <c r="XCF58" s="148"/>
      <c r="XCG58" s="148"/>
      <c r="XCH58" s="148"/>
      <c r="XCI58" s="148"/>
      <c r="XCJ58" s="148"/>
      <c r="XCK58" s="148"/>
      <c r="XCL58" s="148"/>
      <c r="XCM58" s="148"/>
      <c r="XCN58" s="148"/>
      <c r="XCO58" s="148"/>
      <c r="XCP58" s="148"/>
      <c r="XCQ58" s="148"/>
      <c r="XCR58" s="148"/>
      <c r="XCS58" s="148"/>
      <c r="XCT58" s="148"/>
      <c r="XCU58" s="148"/>
      <c r="XCV58" s="148"/>
      <c r="XCW58" s="148"/>
      <c r="XCX58" s="148"/>
      <c r="XCY58" s="148"/>
      <c r="XCZ58" s="148"/>
      <c r="XDA58" s="148"/>
      <c r="XDB58" s="148"/>
      <c r="XDC58" s="148"/>
      <c r="XDD58" s="148"/>
      <c r="XDE58" s="148"/>
      <c r="XDF58" s="148"/>
      <c r="XDG58" s="148"/>
      <c r="XDH58" s="148"/>
      <c r="XDI58" s="148"/>
      <c r="XDJ58" s="148"/>
      <c r="XDK58" s="148"/>
      <c r="XDL58" s="148"/>
      <c r="XDM58" s="148"/>
      <c r="XDN58" s="148"/>
      <c r="XDO58" s="148"/>
      <c r="XDP58" s="148"/>
      <c r="XDQ58" s="148"/>
      <c r="XDR58" s="148"/>
      <c r="XDS58" s="148"/>
      <c r="XDT58" s="148"/>
      <c r="XDU58" s="148"/>
      <c r="XDV58" s="148"/>
      <c r="XDW58" s="148"/>
      <c r="XDX58" s="148"/>
      <c r="XDY58" s="148"/>
      <c r="XDZ58" s="148"/>
      <c r="XEA58" s="148"/>
      <c r="XEB58" s="148"/>
      <c r="XEC58" s="148"/>
      <c r="XED58" s="148"/>
      <c r="XEE58" s="148"/>
      <c r="XEF58" s="148"/>
      <c r="XEG58" s="148"/>
      <c r="XEH58" s="148"/>
      <c r="XEI58" s="148"/>
      <c r="XEJ58" s="148"/>
      <c r="XEK58" s="148"/>
      <c r="XEL58" s="148"/>
      <c r="XEM58" s="148"/>
      <c r="XEN58" s="148"/>
      <c r="XEO58" s="148"/>
      <c r="XEP58" s="148"/>
      <c r="XEQ58" s="148"/>
      <c r="XER58" s="148"/>
      <c r="XES58" s="148"/>
      <c r="XET58" s="148"/>
      <c r="XEU58" s="148"/>
      <c r="XEV58" s="148"/>
      <c r="XEW58" s="148"/>
      <c r="XEX58" s="148"/>
      <c r="XEY58" s="148"/>
      <c r="XEZ58" s="148"/>
      <c r="XFA58" s="148"/>
      <c r="XFB58" s="148"/>
      <c r="XFC58" s="148"/>
    </row>
    <row r="59" spans="1:16383" s="158" customFormat="1" ht="15">
      <c r="A59" s="158" t="str">
        <f>Dashboard!D5</f>
        <v>Inner London</v>
      </c>
      <c r="B59" s="169">
        <f>INDEX(B21:B56,MATCH($A$59,$A$21:$A$56,0))</f>
        <v>207507276.25</v>
      </c>
      <c r="C59" s="169">
        <f>INDEX(C21:C56,MATCH($A$59,$A$21:$A$56,0))</f>
        <v>207507276.25</v>
      </c>
      <c r="D59" s="169">
        <f t="shared" ref="D59:AF59" si="10">INDEX(D21:D56,MATCH($A$59,$A$21:$A$56,0))</f>
        <v>0</v>
      </c>
      <c r="E59" s="169">
        <f>INDEX(E21:E56,MATCH($A$59,$A$21:$A$56,0))</f>
        <v>415014552.5</v>
      </c>
      <c r="F59" s="169">
        <f t="shared" si="10"/>
        <v>76882130.406329587</v>
      </c>
      <c r="G59" s="169">
        <f>INDEX(G21:G56,MATCH($A$59,$A$21:$A$56,0))</f>
        <v>568470706.39739239</v>
      </c>
      <c r="H59" s="169">
        <f t="shared" si="10"/>
        <v>12575779.12661119</v>
      </c>
      <c r="I59" s="169">
        <f t="shared" si="10"/>
        <v>0</v>
      </c>
      <c r="J59" s="169">
        <f t="shared" si="10"/>
        <v>0</v>
      </c>
      <c r="K59" s="169">
        <f t="shared" si="10"/>
        <v>0</v>
      </c>
      <c r="L59" s="169">
        <f t="shared" si="10"/>
        <v>0</v>
      </c>
      <c r="M59" s="169">
        <f t="shared" si="10"/>
        <v>0</v>
      </c>
      <c r="N59" s="169">
        <f t="shared" si="10"/>
        <v>0</v>
      </c>
      <c r="O59" s="169">
        <f t="shared" si="10"/>
        <v>263068427.42397553</v>
      </c>
      <c r="P59" s="169">
        <f t="shared" si="10"/>
        <v>230249260.83857709</v>
      </c>
      <c r="Q59" s="169">
        <f>INDEX(Q21:Q56,MATCH($A$59,$A$21:$A$56,0))</f>
        <v>493317688.26255262</v>
      </c>
      <c r="R59" s="169">
        <f t="shared" si="10"/>
        <v>0</v>
      </c>
      <c r="S59" s="169">
        <f>INDEX(S21:S56,MATCH($A$59,$A$21:$A$56,0))</f>
        <v>269879079.99798065</v>
      </c>
      <c r="T59" s="169">
        <f t="shared" si="10"/>
        <v>0</v>
      </c>
      <c r="U59" s="169">
        <f t="shared" si="10"/>
        <v>18706414.825876731</v>
      </c>
      <c r="V59" s="169">
        <f>INDEX(V21:V56,MATCH($A$59,$A$21:$A$56,0))</f>
        <v>0</v>
      </c>
      <c r="W59" s="169">
        <f t="shared" si="10"/>
        <v>16326912.896283902</v>
      </c>
      <c r="X59" s="169">
        <f t="shared" si="10"/>
        <v>52042927.197006814</v>
      </c>
      <c r="Y59" s="169">
        <f t="shared" si="10"/>
        <v>0</v>
      </c>
      <c r="Z59" s="169">
        <f t="shared" si="10"/>
        <v>566008794.45485187</v>
      </c>
      <c r="AA59" s="169">
        <f t="shared" si="10"/>
        <v>0</v>
      </c>
      <c r="AB59" s="169">
        <f t="shared" si="10"/>
        <v>0</v>
      </c>
      <c r="AC59" s="169">
        <f>INDEX(AC21:AC56,MATCH($A$59,$A$21:$A$56,0))</f>
        <v>230741032.34299994</v>
      </c>
      <c r="AD59" s="169">
        <f>INDEX(AD21:AD56,MATCH($A$59,$A$21:$A$56,0))</f>
        <v>0</v>
      </c>
      <c r="AE59" s="169">
        <f t="shared" si="10"/>
        <v>796749826.7978518</v>
      </c>
      <c r="AF59" s="169">
        <f t="shared" si="10"/>
        <v>1441861.4727131038</v>
      </c>
      <c r="AG59" s="169"/>
      <c r="AH59" s="169"/>
      <c r="AI59" s="169"/>
      <c r="AJ59" s="169"/>
      <c r="AK59" s="169"/>
      <c r="AL59" s="169"/>
      <c r="AM59" s="169"/>
      <c r="AN59" s="169"/>
      <c r="AO59" s="169"/>
      <c r="AP59" s="169"/>
      <c r="AQ59" s="169"/>
      <c r="AR59" s="169"/>
      <c r="AS59" s="169"/>
      <c r="AT59" s="169"/>
      <c r="AU59" s="169"/>
      <c r="AV59" s="169"/>
      <c r="AW59" s="169"/>
      <c r="AX59" s="169"/>
      <c r="AY59" s="169"/>
      <c r="AZ59" s="169"/>
      <c r="BA59" s="169"/>
      <c r="BB59" s="169"/>
      <c r="BC59" s="169"/>
      <c r="BD59" s="169"/>
      <c r="BE59" s="169"/>
      <c r="BF59" s="169"/>
      <c r="BG59" s="169"/>
      <c r="BH59" s="169"/>
      <c r="BI59" s="169"/>
      <c r="BJ59" s="169"/>
      <c r="BK59" s="169"/>
      <c r="BL59" s="169"/>
      <c r="BM59" s="169"/>
      <c r="BN59" s="169"/>
      <c r="BO59" s="169"/>
      <c r="BP59" s="169"/>
      <c r="BQ59" s="169"/>
      <c r="BR59" s="169"/>
      <c r="BS59" s="169"/>
      <c r="BT59" s="169"/>
      <c r="BU59" s="169"/>
      <c r="BV59" s="169"/>
      <c r="BW59" s="169"/>
      <c r="BX59" s="169"/>
      <c r="BY59" s="169"/>
      <c r="BZ59" s="169"/>
      <c r="CA59" s="169"/>
      <c r="CB59" s="169"/>
      <c r="CC59" s="169"/>
      <c r="CD59" s="169"/>
      <c r="CE59" s="169"/>
      <c r="CF59" s="169"/>
      <c r="CG59" s="169"/>
      <c r="CH59" s="169"/>
      <c r="CI59" s="169"/>
      <c r="CJ59" s="169"/>
      <c r="CK59" s="169"/>
      <c r="CL59" s="169"/>
      <c r="CM59" s="169"/>
      <c r="CN59" s="169"/>
      <c r="CO59" s="169"/>
      <c r="CP59" s="169"/>
      <c r="CQ59" s="169"/>
      <c r="CR59" s="169"/>
      <c r="CS59" s="169"/>
      <c r="CT59" s="169"/>
      <c r="CU59" s="169"/>
      <c r="CV59" s="169"/>
      <c r="CW59" s="169"/>
      <c r="CX59" s="169"/>
      <c r="CY59" s="169"/>
      <c r="CZ59" s="169"/>
      <c r="DA59" s="169"/>
      <c r="DB59" s="169"/>
      <c r="DC59" s="169"/>
      <c r="DD59" s="169"/>
      <c r="DE59" s="169"/>
      <c r="DF59" s="169"/>
      <c r="DG59" s="169"/>
      <c r="DH59" s="169"/>
      <c r="DI59" s="169"/>
      <c r="DJ59" s="169"/>
      <c r="DK59" s="169"/>
      <c r="DL59" s="169"/>
      <c r="DM59" s="169"/>
      <c r="DN59" s="169"/>
      <c r="DO59" s="169"/>
      <c r="DP59" s="169"/>
      <c r="DQ59" s="169"/>
      <c r="DR59" s="169"/>
      <c r="DS59" s="169"/>
      <c r="DT59" s="169"/>
      <c r="DU59" s="169"/>
      <c r="DV59" s="169"/>
      <c r="DW59" s="169"/>
      <c r="DX59" s="169"/>
      <c r="DY59" s="169"/>
      <c r="DZ59" s="169"/>
      <c r="EA59" s="169"/>
      <c r="EB59" s="169"/>
      <c r="EC59" s="169"/>
      <c r="ED59" s="169"/>
      <c r="EE59" s="169"/>
      <c r="EF59" s="169"/>
      <c r="EG59" s="169"/>
      <c r="EH59" s="169"/>
      <c r="EI59" s="169"/>
      <c r="EJ59" s="169"/>
      <c r="EK59" s="169"/>
      <c r="EL59" s="169"/>
      <c r="EM59" s="169"/>
      <c r="EN59" s="169"/>
      <c r="EO59" s="169"/>
      <c r="EP59" s="169"/>
      <c r="EQ59" s="169"/>
      <c r="ER59" s="169"/>
      <c r="ES59" s="169"/>
      <c r="ET59" s="169"/>
      <c r="EU59" s="169"/>
      <c r="EV59" s="169"/>
      <c r="EW59" s="169"/>
      <c r="EX59" s="169"/>
      <c r="EY59" s="169"/>
      <c r="EZ59" s="169"/>
      <c r="FA59" s="169"/>
      <c r="FB59" s="169"/>
      <c r="FC59" s="169"/>
      <c r="FD59" s="169"/>
      <c r="FE59" s="169"/>
      <c r="FF59" s="169"/>
      <c r="FG59" s="169"/>
      <c r="FH59" s="169"/>
      <c r="FI59" s="169"/>
      <c r="FJ59" s="169"/>
      <c r="FK59" s="169"/>
      <c r="FL59" s="169"/>
      <c r="FM59" s="169"/>
      <c r="FN59" s="169"/>
      <c r="FO59" s="169"/>
      <c r="FP59" s="169"/>
      <c r="FQ59" s="169"/>
      <c r="FR59" s="169"/>
      <c r="FS59" s="169"/>
      <c r="FT59" s="169"/>
      <c r="FU59" s="169"/>
      <c r="FV59" s="169"/>
      <c r="FW59" s="169"/>
      <c r="FX59" s="169"/>
      <c r="FY59" s="169"/>
      <c r="FZ59" s="169"/>
      <c r="GA59" s="169"/>
      <c r="GB59" s="169"/>
      <c r="GC59" s="169"/>
      <c r="GD59" s="169"/>
      <c r="GE59" s="169"/>
      <c r="GF59" s="169"/>
      <c r="GG59" s="169"/>
      <c r="GH59" s="169"/>
      <c r="GI59" s="169"/>
      <c r="GJ59" s="169"/>
      <c r="GK59" s="169"/>
      <c r="GL59" s="169"/>
      <c r="GM59" s="169"/>
      <c r="GN59" s="169"/>
      <c r="GO59" s="169"/>
      <c r="GP59" s="169"/>
      <c r="GQ59" s="169"/>
      <c r="GR59" s="169"/>
      <c r="GS59" s="169"/>
      <c r="GT59" s="169"/>
      <c r="GU59" s="169"/>
      <c r="GV59" s="169"/>
      <c r="GW59" s="169"/>
      <c r="GX59" s="169"/>
      <c r="GY59" s="169"/>
      <c r="GZ59" s="169"/>
      <c r="HA59" s="169"/>
      <c r="HB59" s="169"/>
      <c r="HC59" s="169"/>
      <c r="HD59" s="169"/>
      <c r="HE59" s="169"/>
      <c r="HF59" s="169"/>
      <c r="HG59" s="169"/>
      <c r="HH59" s="169"/>
      <c r="HI59" s="169"/>
      <c r="HJ59" s="169"/>
      <c r="HK59" s="169"/>
      <c r="HL59" s="169"/>
      <c r="HM59" s="169"/>
      <c r="HN59" s="169"/>
      <c r="HO59" s="169"/>
      <c r="HP59" s="169"/>
      <c r="HQ59" s="169"/>
      <c r="HR59" s="169"/>
      <c r="HS59" s="169"/>
      <c r="HT59" s="169"/>
      <c r="HU59" s="169"/>
      <c r="HV59" s="169"/>
      <c r="HW59" s="169"/>
      <c r="HX59" s="169"/>
      <c r="HY59" s="169"/>
      <c r="HZ59" s="169"/>
      <c r="IA59" s="169"/>
      <c r="IB59" s="169"/>
      <c r="IC59" s="169"/>
      <c r="ID59" s="169"/>
      <c r="IE59" s="169"/>
      <c r="IF59" s="169"/>
      <c r="IG59" s="169"/>
      <c r="IH59" s="169"/>
      <c r="II59" s="169"/>
      <c r="IJ59" s="169"/>
      <c r="IK59" s="169"/>
      <c r="IL59" s="169"/>
      <c r="IM59" s="169"/>
      <c r="IN59" s="169"/>
      <c r="IO59" s="169"/>
      <c r="IP59" s="169"/>
      <c r="IQ59" s="169"/>
      <c r="IR59" s="169"/>
      <c r="IS59" s="169"/>
      <c r="IT59" s="169"/>
      <c r="IU59" s="169"/>
      <c r="IV59" s="169"/>
      <c r="IW59" s="169"/>
      <c r="IX59" s="169"/>
      <c r="IY59" s="169"/>
      <c r="IZ59" s="169"/>
      <c r="JA59" s="169"/>
      <c r="JB59" s="169"/>
      <c r="JC59" s="169"/>
      <c r="JD59" s="169"/>
      <c r="JE59" s="169"/>
      <c r="JF59" s="169"/>
      <c r="JG59" s="169"/>
      <c r="JH59" s="169"/>
      <c r="JI59" s="169"/>
      <c r="JJ59" s="169"/>
      <c r="JK59" s="169"/>
      <c r="JL59" s="169"/>
      <c r="JM59" s="169"/>
      <c r="JN59" s="169"/>
      <c r="JO59" s="169"/>
      <c r="JP59" s="169"/>
      <c r="JQ59" s="169"/>
      <c r="JR59" s="169"/>
      <c r="JS59" s="169"/>
      <c r="JT59" s="169"/>
      <c r="JU59" s="169"/>
      <c r="JV59" s="169"/>
      <c r="JW59" s="169"/>
      <c r="JX59" s="169"/>
      <c r="JY59" s="169"/>
      <c r="JZ59" s="169"/>
      <c r="KA59" s="169"/>
      <c r="KB59" s="169"/>
      <c r="KC59" s="169"/>
      <c r="KD59" s="169"/>
      <c r="KE59" s="169"/>
      <c r="KF59" s="169"/>
      <c r="KG59" s="169"/>
      <c r="KH59" s="169"/>
      <c r="KI59" s="169"/>
      <c r="KJ59" s="169"/>
      <c r="KK59" s="169"/>
      <c r="KL59" s="169"/>
      <c r="KM59" s="169"/>
      <c r="KN59" s="169"/>
      <c r="KO59" s="169"/>
      <c r="KP59" s="169"/>
      <c r="KQ59" s="169"/>
      <c r="KR59" s="169"/>
      <c r="KS59" s="169"/>
      <c r="KT59" s="169"/>
      <c r="KU59" s="169"/>
      <c r="KV59" s="169"/>
      <c r="KW59" s="169"/>
      <c r="KX59" s="169"/>
      <c r="KY59" s="169"/>
      <c r="KZ59" s="169"/>
      <c r="LA59" s="169"/>
      <c r="LB59" s="169"/>
      <c r="LC59" s="169"/>
      <c r="LD59" s="169"/>
      <c r="LE59" s="169"/>
      <c r="LF59" s="169"/>
      <c r="LG59" s="169"/>
      <c r="LH59" s="169"/>
      <c r="LI59" s="169"/>
      <c r="LJ59" s="169"/>
      <c r="LK59" s="169"/>
      <c r="LL59" s="169"/>
      <c r="LM59" s="169"/>
      <c r="LN59" s="169"/>
      <c r="LO59" s="169"/>
      <c r="LP59" s="169"/>
      <c r="LQ59" s="169"/>
      <c r="LR59" s="169"/>
      <c r="LS59" s="169"/>
      <c r="LT59" s="169"/>
      <c r="LU59" s="169"/>
      <c r="LV59" s="169"/>
      <c r="LW59" s="169"/>
      <c r="LX59" s="169"/>
      <c r="LY59" s="169"/>
      <c r="LZ59" s="169"/>
      <c r="MA59" s="169"/>
      <c r="MB59" s="169"/>
      <c r="MC59" s="169"/>
      <c r="MD59" s="169"/>
      <c r="ME59" s="169"/>
      <c r="MF59" s="169"/>
      <c r="MG59" s="169"/>
      <c r="MH59" s="169"/>
      <c r="MI59" s="169"/>
      <c r="MJ59" s="169"/>
      <c r="MK59" s="169"/>
      <c r="ML59" s="169"/>
      <c r="MM59" s="169"/>
      <c r="MN59" s="169"/>
      <c r="MO59" s="169"/>
      <c r="MP59" s="169"/>
      <c r="MQ59" s="169"/>
      <c r="MR59" s="169"/>
      <c r="MS59" s="169"/>
      <c r="MT59" s="169"/>
      <c r="MU59" s="169"/>
      <c r="MV59" s="169"/>
      <c r="MW59" s="169"/>
      <c r="MX59" s="169"/>
      <c r="MY59" s="169"/>
      <c r="MZ59" s="169"/>
      <c r="NA59" s="169"/>
      <c r="NB59" s="169"/>
      <c r="NC59" s="169"/>
      <c r="ND59" s="169"/>
      <c r="NE59" s="169"/>
      <c r="NF59" s="169"/>
      <c r="NG59" s="169"/>
      <c r="NH59" s="169"/>
      <c r="NI59" s="169"/>
      <c r="NJ59" s="169"/>
      <c r="NK59" s="169"/>
      <c r="NL59" s="169"/>
      <c r="NM59" s="169"/>
      <c r="NN59" s="169"/>
      <c r="NO59" s="169"/>
      <c r="NP59" s="169"/>
      <c r="NQ59" s="169"/>
      <c r="NR59" s="169"/>
      <c r="NS59" s="169"/>
      <c r="NT59" s="169"/>
      <c r="NU59" s="169"/>
      <c r="NV59" s="169"/>
      <c r="NW59" s="169"/>
      <c r="NX59" s="169"/>
      <c r="NY59" s="169"/>
      <c r="NZ59" s="169"/>
      <c r="OA59" s="169"/>
      <c r="OB59" s="169"/>
      <c r="OC59" s="169"/>
      <c r="OD59" s="169"/>
      <c r="OE59" s="169"/>
      <c r="OF59" s="169"/>
      <c r="OG59" s="169"/>
      <c r="OH59" s="169"/>
      <c r="OI59" s="169"/>
      <c r="OJ59" s="169"/>
      <c r="OK59" s="169"/>
      <c r="OL59" s="169"/>
      <c r="OM59" s="169"/>
      <c r="ON59" s="169"/>
      <c r="OO59" s="169"/>
      <c r="OP59" s="169"/>
      <c r="OQ59" s="169"/>
      <c r="OR59" s="169"/>
      <c r="OS59" s="169"/>
      <c r="OT59" s="169"/>
      <c r="OU59" s="169"/>
      <c r="OV59" s="169"/>
      <c r="OW59" s="169"/>
      <c r="OX59" s="169"/>
      <c r="OY59" s="169"/>
      <c r="OZ59" s="169"/>
      <c r="PA59" s="169"/>
      <c r="PB59" s="169"/>
      <c r="PC59" s="169"/>
      <c r="PD59" s="169"/>
      <c r="PE59" s="169"/>
      <c r="PF59" s="169"/>
      <c r="PG59" s="169"/>
      <c r="PH59" s="169"/>
      <c r="PI59" s="169"/>
      <c r="PJ59" s="169"/>
      <c r="PK59" s="169"/>
      <c r="PL59" s="169"/>
      <c r="PM59" s="169"/>
      <c r="PN59" s="169"/>
      <c r="PO59" s="169"/>
      <c r="PP59" s="169"/>
      <c r="PQ59" s="169"/>
      <c r="PR59" s="169"/>
      <c r="PS59" s="169"/>
      <c r="PT59" s="169"/>
      <c r="PU59" s="169"/>
      <c r="PV59" s="169"/>
      <c r="PW59" s="169"/>
      <c r="PX59" s="169"/>
      <c r="PY59" s="169"/>
      <c r="PZ59" s="169"/>
      <c r="QA59" s="169"/>
      <c r="QB59" s="169"/>
      <c r="QC59" s="169"/>
      <c r="QD59" s="169"/>
      <c r="QE59" s="169"/>
      <c r="QF59" s="169"/>
      <c r="QG59" s="169"/>
      <c r="QH59" s="169"/>
      <c r="QI59" s="169"/>
      <c r="QJ59" s="169"/>
      <c r="QK59" s="169"/>
      <c r="QL59" s="169"/>
      <c r="QM59" s="169"/>
      <c r="QN59" s="169"/>
      <c r="QO59" s="169"/>
      <c r="QP59" s="169"/>
      <c r="QQ59" s="169"/>
      <c r="QR59" s="169"/>
      <c r="QS59" s="169"/>
      <c r="QT59" s="169"/>
      <c r="QU59" s="169"/>
      <c r="QV59" s="169"/>
      <c r="QW59" s="169"/>
      <c r="QX59" s="169"/>
      <c r="QY59" s="169"/>
      <c r="QZ59" s="169"/>
      <c r="RA59" s="169"/>
      <c r="RB59" s="169"/>
      <c r="RC59" s="169"/>
      <c r="RD59" s="169"/>
      <c r="RE59" s="169"/>
      <c r="RF59" s="169"/>
      <c r="RG59" s="169"/>
      <c r="RH59" s="169"/>
      <c r="RI59" s="169"/>
      <c r="RJ59" s="169"/>
      <c r="RK59" s="169"/>
      <c r="RL59" s="169"/>
      <c r="RM59" s="169"/>
      <c r="RN59" s="169"/>
      <c r="RO59" s="169"/>
      <c r="RP59" s="169"/>
      <c r="RQ59" s="169"/>
      <c r="RR59" s="169"/>
      <c r="RS59" s="169"/>
      <c r="RT59" s="169"/>
      <c r="RU59" s="169"/>
      <c r="RV59" s="169"/>
      <c r="RW59" s="169"/>
      <c r="RX59" s="169"/>
      <c r="RY59" s="169"/>
      <c r="RZ59" s="169"/>
      <c r="SA59" s="169"/>
      <c r="SB59" s="169"/>
      <c r="SC59" s="169"/>
      <c r="SD59" s="169"/>
      <c r="SE59" s="169"/>
      <c r="SF59" s="169"/>
      <c r="SG59" s="169"/>
      <c r="SH59" s="169"/>
      <c r="SI59" s="169"/>
      <c r="SJ59" s="169"/>
      <c r="SK59" s="169"/>
      <c r="SL59" s="169"/>
      <c r="SM59" s="169"/>
      <c r="SN59" s="169"/>
      <c r="SO59" s="169"/>
      <c r="SP59" s="169"/>
      <c r="SQ59" s="169"/>
      <c r="SR59" s="169"/>
      <c r="SS59" s="169"/>
      <c r="ST59" s="169"/>
      <c r="SU59" s="169"/>
      <c r="SV59" s="169"/>
      <c r="SW59" s="169"/>
      <c r="SX59" s="169"/>
      <c r="SY59" s="169"/>
      <c r="SZ59" s="169"/>
      <c r="TA59" s="169"/>
      <c r="TB59" s="169"/>
      <c r="TC59" s="169"/>
      <c r="TD59" s="169"/>
      <c r="TE59" s="169"/>
      <c r="TF59" s="169"/>
      <c r="TG59" s="169"/>
      <c r="TH59" s="169"/>
      <c r="TI59" s="169"/>
      <c r="TJ59" s="169"/>
      <c r="TK59" s="169"/>
      <c r="TL59" s="169"/>
      <c r="TM59" s="169"/>
      <c r="TN59" s="169"/>
      <c r="TO59" s="169"/>
      <c r="TP59" s="169"/>
      <c r="TQ59" s="169"/>
      <c r="TR59" s="169"/>
      <c r="TS59" s="169"/>
      <c r="TT59" s="169"/>
      <c r="TU59" s="169"/>
      <c r="TV59" s="169"/>
      <c r="TW59" s="169"/>
      <c r="TX59" s="169"/>
      <c r="TY59" s="169"/>
      <c r="TZ59" s="169"/>
      <c r="UA59" s="169"/>
      <c r="UB59" s="169"/>
      <c r="UC59" s="169"/>
      <c r="UD59" s="169"/>
      <c r="UE59" s="169"/>
      <c r="UF59" s="169"/>
      <c r="UG59" s="169"/>
      <c r="UH59" s="169"/>
      <c r="UI59" s="169"/>
      <c r="UJ59" s="169"/>
      <c r="UK59" s="169"/>
      <c r="UL59" s="169"/>
      <c r="UM59" s="169"/>
      <c r="UN59" s="169"/>
      <c r="UO59" s="169"/>
      <c r="UP59" s="169"/>
      <c r="UQ59" s="169"/>
      <c r="UR59" s="169"/>
      <c r="US59" s="169"/>
      <c r="UT59" s="169"/>
      <c r="UU59" s="169"/>
      <c r="UV59" s="169"/>
      <c r="UW59" s="169"/>
      <c r="UX59" s="169"/>
      <c r="UY59" s="169"/>
      <c r="UZ59" s="169"/>
      <c r="VA59" s="169"/>
      <c r="VB59" s="169"/>
      <c r="VC59" s="169"/>
      <c r="VD59" s="169"/>
      <c r="VE59" s="169"/>
      <c r="VF59" s="169"/>
      <c r="VG59" s="169"/>
      <c r="VH59" s="169"/>
      <c r="VI59" s="169"/>
      <c r="VJ59" s="169"/>
      <c r="VK59" s="169"/>
      <c r="VL59" s="169"/>
      <c r="VM59" s="169"/>
      <c r="VN59" s="169"/>
      <c r="VO59" s="169"/>
      <c r="VP59" s="169"/>
      <c r="VQ59" s="169"/>
      <c r="VR59" s="169"/>
      <c r="VS59" s="169"/>
      <c r="VT59" s="169"/>
      <c r="VU59" s="169"/>
      <c r="VV59" s="169"/>
      <c r="VW59" s="169"/>
      <c r="VX59" s="169"/>
      <c r="VY59" s="169"/>
      <c r="VZ59" s="169"/>
      <c r="WA59" s="169"/>
      <c r="WB59" s="169"/>
      <c r="WC59" s="169"/>
      <c r="WD59" s="169"/>
      <c r="WE59" s="169"/>
      <c r="WF59" s="169"/>
      <c r="WG59" s="169"/>
      <c r="WH59" s="169"/>
      <c r="WI59" s="169"/>
      <c r="WJ59" s="169"/>
      <c r="WK59" s="169"/>
      <c r="WL59" s="169"/>
      <c r="WM59" s="169"/>
      <c r="WN59" s="169"/>
      <c r="WO59" s="169"/>
      <c r="WP59" s="169"/>
      <c r="WQ59" s="169"/>
      <c r="WR59" s="169"/>
      <c r="WS59" s="169"/>
      <c r="WT59" s="169"/>
      <c r="WU59" s="169"/>
      <c r="WV59" s="169"/>
      <c r="WW59" s="169"/>
      <c r="WX59" s="169"/>
      <c r="WY59" s="169"/>
      <c r="WZ59" s="169"/>
      <c r="XA59" s="169"/>
      <c r="XB59" s="169"/>
      <c r="XC59" s="169"/>
      <c r="XD59" s="169"/>
      <c r="XE59" s="169"/>
      <c r="XF59" s="169"/>
      <c r="XG59" s="169"/>
      <c r="XH59" s="169"/>
      <c r="XI59" s="169"/>
      <c r="XJ59" s="169"/>
      <c r="XK59" s="169"/>
      <c r="XL59" s="169"/>
      <c r="XM59" s="169"/>
      <c r="XN59" s="169"/>
      <c r="XO59" s="169"/>
      <c r="XP59" s="169"/>
      <c r="XQ59" s="169"/>
      <c r="XR59" s="169"/>
      <c r="XS59" s="169"/>
      <c r="XT59" s="169"/>
      <c r="XU59" s="169"/>
      <c r="XV59" s="169"/>
      <c r="XW59" s="169"/>
      <c r="XX59" s="169"/>
      <c r="XY59" s="169"/>
      <c r="XZ59" s="169"/>
      <c r="YA59" s="169"/>
      <c r="YB59" s="169"/>
      <c r="YC59" s="169"/>
      <c r="YD59" s="169"/>
      <c r="YE59" s="169"/>
      <c r="YF59" s="169"/>
      <c r="YG59" s="169"/>
      <c r="YH59" s="169"/>
      <c r="YI59" s="169"/>
      <c r="YJ59" s="169"/>
      <c r="YK59" s="169"/>
      <c r="YL59" s="169"/>
      <c r="YM59" s="169"/>
      <c r="YN59" s="169"/>
      <c r="YO59" s="169"/>
      <c r="YP59" s="169"/>
      <c r="YQ59" s="169"/>
      <c r="YR59" s="169"/>
      <c r="YS59" s="169"/>
      <c r="YT59" s="169"/>
      <c r="YU59" s="169"/>
      <c r="YV59" s="169"/>
      <c r="YW59" s="169"/>
      <c r="YX59" s="169"/>
      <c r="YY59" s="169"/>
      <c r="YZ59" s="169"/>
      <c r="ZA59" s="169"/>
      <c r="ZB59" s="169"/>
      <c r="ZC59" s="169"/>
      <c r="ZD59" s="169"/>
      <c r="ZE59" s="169"/>
      <c r="ZF59" s="169"/>
      <c r="ZG59" s="169"/>
      <c r="ZH59" s="169"/>
      <c r="ZI59" s="169"/>
      <c r="ZJ59" s="169"/>
      <c r="ZK59" s="169"/>
      <c r="ZL59" s="169"/>
      <c r="ZM59" s="169"/>
      <c r="ZN59" s="169"/>
      <c r="ZO59" s="169"/>
      <c r="ZP59" s="169"/>
      <c r="ZQ59" s="169"/>
      <c r="ZR59" s="169"/>
      <c r="ZS59" s="169"/>
      <c r="ZT59" s="169"/>
      <c r="ZU59" s="169"/>
      <c r="ZV59" s="169"/>
      <c r="ZW59" s="169"/>
      <c r="ZX59" s="169"/>
      <c r="ZY59" s="169"/>
      <c r="ZZ59" s="169"/>
      <c r="AAA59" s="169"/>
      <c r="AAB59" s="169"/>
      <c r="AAC59" s="169"/>
      <c r="AAD59" s="169"/>
      <c r="AAE59" s="169"/>
      <c r="AAF59" s="169"/>
      <c r="AAG59" s="169"/>
      <c r="AAH59" s="169"/>
      <c r="AAI59" s="169"/>
      <c r="AAJ59" s="169"/>
      <c r="AAK59" s="169"/>
      <c r="AAL59" s="169"/>
      <c r="AAM59" s="169"/>
      <c r="AAN59" s="169"/>
      <c r="AAO59" s="169"/>
      <c r="AAP59" s="169"/>
      <c r="AAQ59" s="169"/>
      <c r="AAR59" s="169"/>
      <c r="AAS59" s="169"/>
      <c r="AAT59" s="169"/>
      <c r="AAU59" s="169"/>
      <c r="AAV59" s="169"/>
      <c r="AAW59" s="169"/>
      <c r="AAX59" s="169"/>
      <c r="AAY59" s="169"/>
      <c r="AAZ59" s="169"/>
      <c r="ABA59" s="169"/>
      <c r="ABB59" s="169"/>
      <c r="ABC59" s="169"/>
      <c r="ABD59" s="169"/>
      <c r="ABE59" s="169"/>
      <c r="ABF59" s="169"/>
      <c r="ABG59" s="169"/>
      <c r="ABH59" s="169"/>
      <c r="ABI59" s="169"/>
      <c r="ABJ59" s="169"/>
      <c r="ABK59" s="169"/>
      <c r="ABL59" s="169"/>
      <c r="ABM59" s="169"/>
      <c r="ABN59" s="169"/>
      <c r="ABO59" s="169"/>
      <c r="ABP59" s="169"/>
      <c r="ABQ59" s="169"/>
      <c r="ABR59" s="169"/>
      <c r="ABS59" s="169"/>
      <c r="ABT59" s="169"/>
      <c r="ABU59" s="169"/>
      <c r="ABV59" s="169"/>
      <c r="ABW59" s="169"/>
      <c r="ABX59" s="169"/>
      <c r="ABY59" s="169"/>
      <c r="ABZ59" s="169"/>
      <c r="ACA59" s="169"/>
      <c r="ACB59" s="169"/>
      <c r="ACC59" s="169"/>
      <c r="ACD59" s="169"/>
      <c r="ACE59" s="169"/>
      <c r="ACF59" s="169"/>
      <c r="ACG59" s="169"/>
      <c r="ACH59" s="169"/>
      <c r="ACI59" s="169"/>
      <c r="ACJ59" s="169"/>
      <c r="ACK59" s="169"/>
      <c r="ACL59" s="169"/>
      <c r="ACM59" s="169"/>
      <c r="ACN59" s="169"/>
      <c r="ACO59" s="169"/>
      <c r="ACP59" s="169"/>
      <c r="ACQ59" s="169"/>
      <c r="ACR59" s="169"/>
      <c r="ACS59" s="169"/>
      <c r="ACT59" s="169"/>
      <c r="ACU59" s="169"/>
      <c r="ACV59" s="169"/>
      <c r="ACW59" s="169"/>
      <c r="ACX59" s="169"/>
      <c r="ACY59" s="169"/>
      <c r="ACZ59" s="169"/>
      <c r="ADA59" s="169"/>
      <c r="ADB59" s="169"/>
      <c r="ADC59" s="169"/>
      <c r="ADD59" s="169"/>
      <c r="ADE59" s="169"/>
      <c r="ADF59" s="169"/>
      <c r="ADG59" s="169"/>
      <c r="ADH59" s="169"/>
      <c r="ADI59" s="169"/>
      <c r="ADJ59" s="169"/>
      <c r="ADK59" s="169"/>
      <c r="ADL59" s="169"/>
      <c r="ADM59" s="169"/>
      <c r="ADN59" s="169"/>
      <c r="ADO59" s="169"/>
      <c r="ADP59" s="169"/>
      <c r="ADQ59" s="169"/>
      <c r="ADR59" s="169"/>
      <c r="ADS59" s="169"/>
      <c r="ADT59" s="169"/>
      <c r="ADU59" s="169"/>
      <c r="ADV59" s="169"/>
      <c r="ADW59" s="169"/>
      <c r="ADX59" s="169"/>
      <c r="ADY59" s="169"/>
      <c r="ADZ59" s="169"/>
      <c r="AEA59" s="169"/>
      <c r="AEB59" s="169"/>
      <c r="AEC59" s="169"/>
      <c r="AED59" s="169"/>
      <c r="AEE59" s="169"/>
      <c r="AEF59" s="169"/>
      <c r="AEG59" s="169"/>
      <c r="AEH59" s="169"/>
      <c r="AEI59" s="169"/>
      <c r="AEJ59" s="169"/>
      <c r="AEK59" s="169"/>
      <c r="AEL59" s="169"/>
      <c r="AEM59" s="169"/>
      <c r="AEN59" s="169"/>
      <c r="AEO59" s="169"/>
      <c r="AEP59" s="169"/>
      <c r="AEQ59" s="169"/>
      <c r="AER59" s="169"/>
      <c r="AES59" s="169"/>
      <c r="AET59" s="169"/>
      <c r="AEU59" s="169"/>
      <c r="AEV59" s="169"/>
      <c r="AEW59" s="169"/>
      <c r="AEX59" s="169"/>
      <c r="AEY59" s="169"/>
      <c r="AEZ59" s="169"/>
      <c r="AFA59" s="169"/>
      <c r="AFB59" s="169"/>
      <c r="AFC59" s="169"/>
      <c r="AFD59" s="169"/>
      <c r="AFE59" s="169"/>
      <c r="AFF59" s="169"/>
      <c r="AFG59" s="169"/>
      <c r="AFH59" s="169"/>
      <c r="AFI59" s="169"/>
      <c r="AFJ59" s="169"/>
      <c r="AFK59" s="169"/>
      <c r="AFL59" s="169"/>
      <c r="AFM59" s="169"/>
      <c r="AFN59" s="169"/>
      <c r="AFO59" s="169"/>
      <c r="AFP59" s="169"/>
      <c r="AFQ59" s="169"/>
      <c r="AFR59" s="169"/>
      <c r="AFS59" s="169"/>
      <c r="AFT59" s="169"/>
      <c r="AFU59" s="169"/>
      <c r="AFV59" s="169"/>
      <c r="AFW59" s="169"/>
      <c r="AFX59" s="169"/>
      <c r="AFY59" s="169"/>
      <c r="AFZ59" s="169"/>
      <c r="AGA59" s="169"/>
      <c r="AGB59" s="169"/>
      <c r="AGC59" s="169"/>
      <c r="AGD59" s="169"/>
      <c r="AGE59" s="169"/>
      <c r="AGF59" s="169"/>
      <c r="AGG59" s="169"/>
      <c r="AGH59" s="169"/>
      <c r="AGI59" s="169"/>
      <c r="AGJ59" s="169"/>
      <c r="AGK59" s="169"/>
      <c r="AGL59" s="169"/>
      <c r="AGM59" s="169"/>
      <c r="AGN59" s="169"/>
      <c r="AGO59" s="169"/>
      <c r="AGP59" s="169"/>
      <c r="AGQ59" s="169"/>
      <c r="AGR59" s="169"/>
      <c r="AGS59" s="169"/>
      <c r="AGT59" s="169"/>
      <c r="AGU59" s="169"/>
      <c r="AGV59" s="169"/>
      <c r="AGW59" s="169"/>
      <c r="AGX59" s="169"/>
      <c r="AGY59" s="169"/>
      <c r="AGZ59" s="169"/>
      <c r="AHA59" s="169"/>
      <c r="AHB59" s="169"/>
      <c r="AHC59" s="169"/>
      <c r="AHD59" s="169"/>
      <c r="AHE59" s="169"/>
      <c r="AHF59" s="169"/>
      <c r="AHG59" s="169"/>
      <c r="AHH59" s="169"/>
      <c r="AHI59" s="169"/>
      <c r="AHJ59" s="169"/>
      <c r="AHK59" s="169"/>
      <c r="AHL59" s="169"/>
      <c r="AHM59" s="169"/>
      <c r="AHN59" s="169"/>
      <c r="AHO59" s="169"/>
      <c r="AHP59" s="169"/>
      <c r="AHQ59" s="169"/>
      <c r="AHR59" s="169"/>
      <c r="AHS59" s="169"/>
      <c r="AHT59" s="169"/>
      <c r="AHU59" s="169"/>
      <c r="AHV59" s="169"/>
      <c r="AHW59" s="169"/>
      <c r="AHX59" s="169"/>
      <c r="AHY59" s="169"/>
      <c r="AHZ59" s="169"/>
      <c r="AIA59" s="169"/>
      <c r="AIB59" s="169"/>
      <c r="AIC59" s="169"/>
      <c r="AID59" s="169"/>
      <c r="AIE59" s="169"/>
      <c r="AIF59" s="169"/>
      <c r="AIG59" s="169"/>
      <c r="AIH59" s="169"/>
      <c r="AII59" s="169"/>
      <c r="AIJ59" s="169"/>
      <c r="AIK59" s="169"/>
      <c r="AIL59" s="169"/>
      <c r="AIM59" s="169"/>
      <c r="AIN59" s="169"/>
      <c r="AIO59" s="169"/>
      <c r="AIP59" s="169"/>
      <c r="AIQ59" s="169"/>
      <c r="AIR59" s="169"/>
      <c r="AIS59" s="169"/>
      <c r="AIT59" s="169"/>
      <c r="AIU59" s="169"/>
      <c r="AIV59" s="169"/>
      <c r="AIW59" s="169"/>
      <c r="AIX59" s="169"/>
      <c r="AIY59" s="169"/>
      <c r="AIZ59" s="169"/>
      <c r="AJA59" s="169"/>
      <c r="AJB59" s="169"/>
      <c r="AJC59" s="169"/>
      <c r="AJD59" s="169"/>
      <c r="AJE59" s="169"/>
      <c r="AJF59" s="169"/>
      <c r="AJG59" s="169"/>
      <c r="AJH59" s="169"/>
      <c r="AJI59" s="169"/>
      <c r="AJJ59" s="169"/>
      <c r="AJK59" s="169"/>
      <c r="AJL59" s="169"/>
      <c r="AJM59" s="169"/>
      <c r="AJN59" s="169"/>
      <c r="AJO59" s="169"/>
      <c r="AJP59" s="169"/>
      <c r="AJQ59" s="169"/>
      <c r="AJR59" s="169"/>
      <c r="AJS59" s="169"/>
      <c r="AJT59" s="169"/>
      <c r="AJU59" s="169"/>
      <c r="AJV59" s="169"/>
      <c r="AJW59" s="169"/>
      <c r="AJX59" s="169"/>
      <c r="AJY59" s="169"/>
      <c r="AJZ59" s="169"/>
      <c r="AKA59" s="169"/>
      <c r="AKB59" s="169"/>
      <c r="AKC59" s="169"/>
      <c r="AKD59" s="169"/>
      <c r="AKE59" s="169"/>
      <c r="AKF59" s="169"/>
      <c r="AKG59" s="169"/>
      <c r="AKH59" s="169"/>
      <c r="AKI59" s="169"/>
      <c r="AKJ59" s="169"/>
      <c r="AKK59" s="169"/>
      <c r="AKL59" s="169"/>
      <c r="AKM59" s="169"/>
      <c r="AKN59" s="169"/>
      <c r="AKO59" s="169"/>
      <c r="AKP59" s="169"/>
      <c r="AKQ59" s="169"/>
      <c r="AKR59" s="169"/>
      <c r="AKS59" s="169"/>
      <c r="AKT59" s="169"/>
      <c r="AKU59" s="169"/>
      <c r="AKV59" s="169"/>
      <c r="AKW59" s="169"/>
      <c r="AKX59" s="169"/>
      <c r="AKY59" s="169"/>
      <c r="AKZ59" s="169"/>
      <c r="ALA59" s="169"/>
      <c r="ALB59" s="169"/>
      <c r="ALC59" s="169"/>
      <c r="ALD59" s="169"/>
      <c r="ALE59" s="169"/>
      <c r="ALF59" s="169"/>
      <c r="ALG59" s="169"/>
      <c r="ALH59" s="169"/>
      <c r="ALI59" s="169"/>
      <c r="ALJ59" s="169"/>
      <c r="ALK59" s="169"/>
      <c r="ALL59" s="169"/>
      <c r="ALM59" s="169"/>
      <c r="ALN59" s="169"/>
      <c r="ALO59" s="169"/>
      <c r="ALP59" s="169"/>
      <c r="ALQ59" s="169"/>
      <c r="ALR59" s="169"/>
      <c r="ALS59" s="169"/>
      <c r="ALT59" s="169"/>
      <c r="ALU59" s="169"/>
      <c r="ALV59" s="169"/>
      <c r="ALW59" s="169"/>
      <c r="ALX59" s="169"/>
      <c r="ALY59" s="169"/>
      <c r="ALZ59" s="169"/>
      <c r="AMA59" s="169"/>
      <c r="AMB59" s="169"/>
      <c r="AMC59" s="169"/>
      <c r="AMD59" s="169"/>
      <c r="AME59" s="169"/>
      <c r="AMF59" s="169"/>
      <c r="AMG59" s="169"/>
      <c r="AMH59" s="169"/>
      <c r="AMI59" s="169"/>
      <c r="AMJ59" s="169"/>
      <c r="AMK59" s="169"/>
      <c r="AML59" s="169"/>
      <c r="AMM59" s="169"/>
      <c r="AMN59" s="169"/>
      <c r="AMO59" s="169"/>
      <c r="AMP59" s="169"/>
      <c r="AMQ59" s="169"/>
      <c r="AMR59" s="169"/>
      <c r="AMS59" s="169"/>
      <c r="AMT59" s="169"/>
      <c r="AMU59" s="169"/>
      <c r="AMV59" s="169"/>
      <c r="AMW59" s="169"/>
      <c r="AMX59" s="169"/>
      <c r="AMY59" s="169"/>
      <c r="AMZ59" s="169"/>
      <c r="ANA59" s="169"/>
      <c r="ANB59" s="169"/>
      <c r="ANC59" s="169"/>
      <c r="AND59" s="169"/>
      <c r="ANE59" s="169"/>
      <c r="ANF59" s="169"/>
      <c r="ANG59" s="169"/>
      <c r="ANH59" s="169"/>
      <c r="ANI59" s="169"/>
      <c r="ANJ59" s="169"/>
      <c r="ANK59" s="169"/>
      <c r="ANL59" s="169"/>
      <c r="ANM59" s="169"/>
      <c r="ANN59" s="169"/>
      <c r="ANO59" s="169"/>
      <c r="ANP59" s="169"/>
      <c r="ANQ59" s="169"/>
      <c r="ANR59" s="169"/>
      <c r="ANS59" s="169"/>
      <c r="ANT59" s="169"/>
      <c r="ANU59" s="169"/>
      <c r="ANV59" s="169"/>
      <c r="ANW59" s="169"/>
      <c r="ANX59" s="169"/>
      <c r="ANY59" s="169"/>
      <c r="ANZ59" s="169"/>
      <c r="AOA59" s="169"/>
      <c r="AOB59" s="169"/>
      <c r="AOC59" s="169"/>
      <c r="AOD59" s="169"/>
      <c r="AOE59" s="169"/>
      <c r="AOF59" s="169"/>
      <c r="AOG59" s="169"/>
      <c r="AOH59" s="169"/>
      <c r="AOI59" s="169"/>
      <c r="AOJ59" s="169"/>
      <c r="AOK59" s="169"/>
      <c r="AOL59" s="169"/>
      <c r="AOM59" s="169"/>
      <c r="AON59" s="169"/>
      <c r="AOO59" s="169"/>
      <c r="AOP59" s="169"/>
      <c r="AOQ59" s="169"/>
      <c r="AOR59" s="169"/>
      <c r="AOS59" s="169"/>
      <c r="AOT59" s="169"/>
      <c r="AOU59" s="169"/>
      <c r="AOV59" s="169"/>
      <c r="AOW59" s="169"/>
      <c r="AOX59" s="169"/>
      <c r="AOY59" s="169"/>
      <c r="AOZ59" s="169"/>
      <c r="APA59" s="169"/>
      <c r="APB59" s="169"/>
      <c r="APC59" s="169"/>
      <c r="APD59" s="169"/>
      <c r="APE59" s="169"/>
      <c r="APF59" s="169"/>
      <c r="APG59" s="169"/>
      <c r="APH59" s="169"/>
      <c r="API59" s="169"/>
      <c r="APJ59" s="169"/>
      <c r="APK59" s="169"/>
      <c r="APL59" s="169"/>
      <c r="APM59" s="169"/>
      <c r="APN59" s="169"/>
      <c r="APO59" s="169"/>
      <c r="APP59" s="169"/>
      <c r="APQ59" s="169"/>
      <c r="APR59" s="169"/>
      <c r="APS59" s="169"/>
      <c r="APT59" s="169"/>
      <c r="APU59" s="169"/>
      <c r="APV59" s="169"/>
      <c r="APW59" s="169"/>
      <c r="APX59" s="169"/>
      <c r="APY59" s="169"/>
      <c r="APZ59" s="169"/>
      <c r="AQA59" s="169"/>
      <c r="AQB59" s="169"/>
      <c r="AQC59" s="169"/>
      <c r="AQD59" s="169"/>
      <c r="AQE59" s="169"/>
      <c r="AQF59" s="169"/>
      <c r="AQG59" s="169"/>
      <c r="AQH59" s="169"/>
      <c r="AQI59" s="169"/>
      <c r="AQJ59" s="169"/>
      <c r="AQK59" s="169"/>
      <c r="AQL59" s="169"/>
      <c r="AQM59" s="169"/>
      <c r="AQN59" s="169"/>
      <c r="AQO59" s="169"/>
      <c r="AQP59" s="169"/>
      <c r="AQQ59" s="169"/>
      <c r="AQR59" s="169"/>
      <c r="AQS59" s="169"/>
      <c r="AQT59" s="169"/>
      <c r="AQU59" s="169"/>
      <c r="AQV59" s="169"/>
      <c r="AQW59" s="169"/>
      <c r="AQX59" s="169"/>
      <c r="AQY59" s="169"/>
      <c r="AQZ59" s="169"/>
      <c r="ARA59" s="169"/>
      <c r="ARB59" s="169"/>
      <c r="ARC59" s="169"/>
      <c r="ARD59" s="169"/>
      <c r="ARE59" s="169"/>
      <c r="ARF59" s="169"/>
      <c r="ARG59" s="169"/>
      <c r="ARH59" s="169"/>
      <c r="ARI59" s="169"/>
      <c r="ARJ59" s="169"/>
      <c r="ARK59" s="169"/>
      <c r="ARL59" s="169"/>
      <c r="ARM59" s="169"/>
      <c r="ARN59" s="169"/>
      <c r="ARO59" s="169"/>
      <c r="ARP59" s="169"/>
      <c r="ARQ59" s="169"/>
      <c r="ARR59" s="169"/>
      <c r="ARS59" s="169"/>
      <c r="ART59" s="169"/>
      <c r="ARU59" s="169"/>
      <c r="ARV59" s="169"/>
      <c r="ARW59" s="169"/>
      <c r="ARX59" s="169"/>
      <c r="ARY59" s="169"/>
      <c r="ARZ59" s="169"/>
      <c r="ASA59" s="169"/>
      <c r="ASB59" s="169"/>
      <c r="ASC59" s="169"/>
      <c r="ASD59" s="169"/>
      <c r="ASE59" s="169"/>
      <c r="ASF59" s="169"/>
      <c r="ASG59" s="169"/>
      <c r="ASH59" s="169"/>
      <c r="ASI59" s="169"/>
      <c r="ASJ59" s="169"/>
      <c r="ASK59" s="169"/>
      <c r="ASL59" s="169"/>
      <c r="ASM59" s="169"/>
      <c r="ASN59" s="169"/>
      <c r="ASO59" s="169"/>
      <c r="ASP59" s="169"/>
      <c r="ASQ59" s="169"/>
      <c r="ASR59" s="169"/>
      <c r="ASS59" s="169"/>
      <c r="AST59" s="169"/>
      <c r="ASU59" s="169"/>
      <c r="ASV59" s="169"/>
      <c r="ASW59" s="169"/>
      <c r="ASX59" s="169"/>
      <c r="ASY59" s="169"/>
      <c r="ASZ59" s="169"/>
      <c r="ATA59" s="169"/>
      <c r="ATB59" s="169"/>
      <c r="ATC59" s="169"/>
      <c r="ATD59" s="169"/>
      <c r="ATE59" s="169"/>
      <c r="ATF59" s="169"/>
      <c r="ATG59" s="169"/>
      <c r="ATH59" s="169"/>
      <c r="ATI59" s="169"/>
      <c r="ATJ59" s="169"/>
      <c r="ATK59" s="169"/>
      <c r="ATL59" s="169"/>
      <c r="ATM59" s="169"/>
      <c r="ATN59" s="169"/>
      <c r="ATO59" s="169"/>
      <c r="ATP59" s="169"/>
      <c r="ATQ59" s="169"/>
      <c r="ATR59" s="169"/>
      <c r="ATS59" s="169"/>
      <c r="ATT59" s="169"/>
      <c r="ATU59" s="169"/>
      <c r="ATV59" s="169"/>
      <c r="ATW59" s="169"/>
      <c r="ATX59" s="169"/>
      <c r="ATY59" s="169"/>
      <c r="ATZ59" s="169"/>
      <c r="AUA59" s="169"/>
      <c r="AUB59" s="169"/>
      <c r="AUC59" s="169"/>
      <c r="AUD59" s="169"/>
      <c r="AUE59" s="169"/>
      <c r="AUF59" s="169"/>
      <c r="AUG59" s="169"/>
      <c r="AUH59" s="169"/>
      <c r="AUI59" s="169"/>
      <c r="AUJ59" s="169"/>
      <c r="AUK59" s="169"/>
      <c r="AUL59" s="169"/>
      <c r="AUM59" s="169"/>
      <c r="AUN59" s="169"/>
      <c r="AUO59" s="169"/>
      <c r="AUP59" s="169"/>
      <c r="AUQ59" s="169"/>
      <c r="AUR59" s="169"/>
      <c r="AUS59" s="169"/>
      <c r="AUT59" s="169"/>
      <c r="AUU59" s="169"/>
      <c r="AUV59" s="169"/>
      <c r="AUW59" s="169"/>
      <c r="AUX59" s="169"/>
      <c r="AUY59" s="169"/>
      <c r="AUZ59" s="169"/>
      <c r="AVA59" s="169"/>
      <c r="AVB59" s="169"/>
      <c r="AVC59" s="169"/>
      <c r="AVD59" s="169"/>
      <c r="AVE59" s="169"/>
      <c r="AVF59" s="169"/>
      <c r="AVG59" s="169"/>
      <c r="AVH59" s="169"/>
      <c r="AVI59" s="169"/>
      <c r="AVJ59" s="169"/>
      <c r="AVK59" s="169"/>
      <c r="AVL59" s="169"/>
      <c r="AVM59" s="169"/>
      <c r="AVN59" s="169"/>
      <c r="AVO59" s="169"/>
      <c r="AVP59" s="169"/>
      <c r="AVQ59" s="169"/>
      <c r="AVR59" s="169"/>
      <c r="AVS59" s="169"/>
      <c r="AVT59" s="169"/>
      <c r="AVU59" s="169"/>
      <c r="AVV59" s="169"/>
      <c r="AVW59" s="169"/>
      <c r="AVX59" s="169"/>
      <c r="AVY59" s="169"/>
      <c r="AVZ59" s="169"/>
      <c r="AWA59" s="169"/>
      <c r="AWB59" s="169"/>
      <c r="AWC59" s="169"/>
      <c r="AWD59" s="169"/>
      <c r="AWE59" s="169"/>
      <c r="AWF59" s="169"/>
      <c r="AWG59" s="169"/>
      <c r="AWH59" s="169"/>
      <c r="AWI59" s="169"/>
      <c r="AWJ59" s="169"/>
      <c r="AWK59" s="169"/>
      <c r="AWL59" s="169"/>
      <c r="AWM59" s="169"/>
      <c r="AWN59" s="169"/>
      <c r="AWO59" s="169"/>
      <c r="AWP59" s="169"/>
      <c r="AWQ59" s="169"/>
      <c r="AWR59" s="169"/>
      <c r="AWS59" s="169"/>
      <c r="AWT59" s="169"/>
      <c r="AWU59" s="169"/>
      <c r="AWV59" s="169"/>
      <c r="AWW59" s="169"/>
      <c r="AWX59" s="169"/>
      <c r="AWY59" s="169"/>
      <c r="AWZ59" s="169"/>
      <c r="AXA59" s="169"/>
      <c r="AXB59" s="169"/>
      <c r="AXC59" s="169"/>
      <c r="AXD59" s="169"/>
      <c r="AXE59" s="169"/>
      <c r="AXF59" s="169"/>
      <c r="AXG59" s="169"/>
      <c r="AXH59" s="169"/>
      <c r="AXI59" s="169"/>
      <c r="AXJ59" s="169"/>
      <c r="AXK59" s="169"/>
      <c r="AXL59" s="169"/>
      <c r="AXM59" s="169"/>
      <c r="AXN59" s="169"/>
      <c r="AXO59" s="169"/>
      <c r="AXP59" s="169"/>
      <c r="AXQ59" s="169"/>
      <c r="AXR59" s="169"/>
      <c r="AXS59" s="169"/>
      <c r="AXT59" s="169"/>
      <c r="AXU59" s="169"/>
      <c r="AXV59" s="169"/>
      <c r="AXW59" s="169"/>
      <c r="AXX59" s="169"/>
      <c r="AXY59" s="169"/>
      <c r="AXZ59" s="169"/>
      <c r="AYA59" s="169"/>
      <c r="AYB59" s="169"/>
      <c r="AYC59" s="169"/>
      <c r="AYD59" s="169"/>
      <c r="AYE59" s="169"/>
      <c r="AYF59" s="169"/>
      <c r="AYG59" s="169"/>
      <c r="AYH59" s="169"/>
      <c r="AYI59" s="169"/>
      <c r="AYJ59" s="169"/>
      <c r="AYK59" s="169"/>
      <c r="AYL59" s="169"/>
      <c r="AYM59" s="169"/>
      <c r="AYN59" s="169"/>
      <c r="AYO59" s="169"/>
      <c r="AYP59" s="169"/>
      <c r="AYQ59" s="169"/>
      <c r="AYR59" s="169"/>
      <c r="AYS59" s="169"/>
      <c r="AYT59" s="169"/>
      <c r="AYU59" s="169"/>
      <c r="AYV59" s="169"/>
      <c r="AYW59" s="169"/>
      <c r="AYX59" s="169"/>
      <c r="AYY59" s="169"/>
      <c r="AYZ59" s="169"/>
      <c r="AZA59" s="169"/>
      <c r="AZB59" s="169"/>
      <c r="AZC59" s="169"/>
      <c r="AZD59" s="169"/>
      <c r="AZE59" s="169"/>
      <c r="AZF59" s="169"/>
      <c r="AZG59" s="169"/>
      <c r="AZH59" s="169"/>
      <c r="AZI59" s="169"/>
      <c r="AZJ59" s="169"/>
      <c r="AZK59" s="169"/>
      <c r="AZL59" s="169"/>
      <c r="AZM59" s="169"/>
      <c r="AZN59" s="169"/>
      <c r="AZO59" s="169"/>
      <c r="AZP59" s="169"/>
      <c r="AZQ59" s="169"/>
      <c r="AZR59" s="169"/>
      <c r="AZS59" s="169"/>
      <c r="AZT59" s="169"/>
      <c r="AZU59" s="169"/>
      <c r="AZV59" s="169"/>
      <c r="AZW59" s="169"/>
      <c r="AZX59" s="169"/>
      <c r="AZY59" s="169"/>
      <c r="AZZ59" s="169"/>
      <c r="BAA59" s="169"/>
      <c r="BAB59" s="169"/>
      <c r="BAC59" s="169"/>
      <c r="BAD59" s="169"/>
      <c r="BAE59" s="169"/>
      <c r="BAF59" s="169"/>
      <c r="BAG59" s="169"/>
      <c r="BAH59" s="169"/>
      <c r="BAI59" s="169"/>
      <c r="BAJ59" s="169"/>
      <c r="BAK59" s="169"/>
      <c r="BAL59" s="169"/>
      <c r="BAM59" s="169"/>
      <c r="BAN59" s="169"/>
      <c r="BAO59" s="169"/>
      <c r="BAP59" s="169"/>
      <c r="BAQ59" s="169"/>
      <c r="BAR59" s="169"/>
      <c r="BAS59" s="169"/>
      <c r="BAT59" s="169"/>
      <c r="BAU59" s="169"/>
      <c r="BAV59" s="169"/>
      <c r="BAW59" s="169"/>
      <c r="BAX59" s="169"/>
      <c r="BAY59" s="169"/>
      <c r="BAZ59" s="169"/>
      <c r="BBA59" s="169"/>
      <c r="BBB59" s="169"/>
      <c r="BBC59" s="169"/>
      <c r="BBD59" s="169"/>
      <c r="BBE59" s="169"/>
      <c r="BBF59" s="169"/>
      <c r="BBG59" s="169"/>
      <c r="BBH59" s="169"/>
      <c r="BBI59" s="169"/>
      <c r="BBJ59" s="169"/>
      <c r="BBK59" s="169"/>
      <c r="BBL59" s="169"/>
      <c r="BBM59" s="169"/>
      <c r="BBN59" s="169"/>
      <c r="BBO59" s="169"/>
      <c r="BBP59" s="169"/>
      <c r="BBQ59" s="169"/>
      <c r="BBR59" s="169"/>
      <c r="BBS59" s="169"/>
      <c r="BBT59" s="169"/>
      <c r="BBU59" s="169"/>
      <c r="BBV59" s="169"/>
      <c r="BBW59" s="169"/>
      <c r="BBX59" s="169"/>
      <c r="BBY59" s="169"/>
      <c r="BBZ59" s="169"/>
      <c r="BCA59" s="169"/>
      <c r="BCB59" s="169"/>
      <c r="BCC59" s="169"/>
      <c r="BCD59" s="169"/>
      <c r="BCE59" s="169"/>
      <c r="BCF59" s="169"/>
      <c r="BCG59" s="169"/>
      <c r="BCH59" s="169"/>
      <c r="BCI59" s="169"/>
      <c r="BCJ59" s="169"/>
      <c r="BCK59" s="169"/>
      <c r="BCL59" s="169"/>
      <c r="BCM59" s="169"/>
      <c r="BCN59" s="169"/>
      <c r="BCO59" s="169"/>
      <c r="BCP59" s="169"/>
      <c r="BCQ59" s="169"/>
      <c r="BCR59" s="169"/>
      <c r="BCS59" s="169"/>
      <c r="BCT59" s="169"/>
      <c r="BCU59" s="169"/>
      <c r="BCV59" s="169"/>
      <c r="BCW59" s="169"/>
      <c r="BCX59" s="169"/>
      <c r="BCY59" s="169"/>
      <c r="BCZ59" s="169"/>
      <c r="BDA59" s="169"/>
      <c r="BDB59" s="169"/>
      <c r="BDC59" s="169"/>
      <c r="BDD59" s="169"/>
      <c r="BDE59" s="169"/>
      <c r="BDF59" s="169"/>
      <c r="BDG59" s="169"/>
      <c r="BDH59" s="169"/>
      <c r="BDI59" s="169"/>
      <c r="BDJ59" s="169"/>
      <c r="BDK59" s="169"/>
      <c r="BDL59" s="169"/>
      <c r="BDM59" s="169"/>
      <c r="BDN59" s="169"/>
      <c r="BDO59" s="169"/>
      <c r="BDP59" s="169"/>
      <c r="BDQ59" s="169"/>
      <c r="BDR59" s="169"/>
      <c r="BDS59" s="169"/>
      <c r="BDT59" s="169"/>
      <c r="BDU59" s="169"/>
      <c r="BDV59" s="169"/>
      <c r="BDW59" s="169"/>
      <c r="BDX59" s="169"/>
      <c r="BDY59" s="169"/>
      <c r="BDZ59" s="169"/>
      <c r="BEA59" s="169"/>
      <c r="BEB59" s="169"/>
      <c r="BEC59" s="169"/>
      <c r="BED59" s="169"/>
      <c r="BEE59" s="169"/>
      <c r="BEF59" s="169"/>
      <c r="BEG59" s="169"/>
      <c r="BEH59" s="169"/>
      <c r="BEI59" s="169"/>
      <c r="BEJ59" s="169"/>
      <c r="BEK59" s="169"/>
      <c r="BEL59" s="169"/>
      <c r="BEM59" s="169"/>
      <c r="BEN59" s="169"/>
      <c r="BEO59" s="169"/>
      <c r="BEP59" s="169"/>
      <c r="BEQ59" s="169"/>
      <c r="BER59" s="169"/>
      <c r="BES59" s="169"/>
      <c r="BET59" s="169"/>
      <c r="BEU59" s="169"/>
      <c r="BEV59" s="169"/>
      <c r="BEW59" s="169"/>
      <c r="BEX59" s="169"/>
      <c r="BEY59" s="169"/>
      <c r="BEZ59" s="169"/>
      <c r="BFA59" s="169"/>
      <c r="BFB59" s="169"/>
      <c r="BFC59" s="169"/>
      <c r="BFD59" s="169"/>
      <c r="BFE59" s="169"/>
      <c r="BFF59" s="169"/>
      <c r="BFG59" s="169"/>
      <c r="BFH59" s="169"/>
      <c r="BFI59" s="169"/>
      <c r="BFJ59" s="169"/>
      <c r="BFK59" s="169"/>
      <c r="BFL59" s="169"/>
      <c r="BFM59" s="169"/>
      <c r="BFN59" s="169"/>
      <c r="BFO59" s="169"/>
      <c r="BFP59" s="169"/>
      <c r="BFQ59" s="169"/>
      <c r="BFR59" s="169"/>
      <c r="BFS59" s="169"/>
      <c r="BFT59" s="169"/>
      <c r="BFU59" s="169"/>
      <c r="BFV59" s="169"/>
      <c r="BFW59" s="169"/>
      <c r="BFX59" s="169"/>
      <c r="BFY59" s="169"/>
      <c r="BFZ59" s="169"/>
      <c r="BGA59" s="169"/>
      <c r="BGB59" s="169"/>
      <c r="BGC59" s="169"/>
      <c r="BGD59" s="169"/>
      <c r="BGE59" s="169"/>
      <c r="BGF59" s="169"/>
      <c r="BGG59" s="169"/>
      <c r="BGH59" s="169"/>
      <c r="BGI59" s="169"/>
      <c r="BGJ59" s="169"/>
      <c r="BGK59" s="169"/>
      <c r="BGL59" s="169"/>
      <c r="BGM59" s="169"/>
      <c r="BGN59" s="169"/>
      <c r="BGO59" s="169"/>
      <c r="BGP59" s="169"/>
      <c r="BGQ59" s="169"/>
      <c r="BGR59" s="169"/>
      <c r="BGS59" s="169"/>
      <c r="BGT59" s="169"/>
      <c r="BGU59" s="169"/>
      <c r="BGV59" s="169"/>
      <c r="BGW59" s="169"/>
      <c r="BGX59" s="169"/>
      <c r="BGY59" s="169"/>
      <c r="BGZ59" s="169"/>
      <c r="BHA59" s="169"/>
      <c r="BHB59" s="169"/>
      <c r="BHC59" s="169"/>
      <c r="BHD59" s="169"/>
      <c r="BHE59" s="169"/>
      <c r="BHF59" s="169"/>
      <c r="BHG59" s="169"/>
      <c r="BHH59" s="169"/>
      <c r="BHI59" s="169"/>
      <c r="BHJ59" s="169"/>
      <c r="BHK59" s="169"/>
      <c r="BHL59" s="169"/>
      <c r="BHM59" s="169"/>
      <c r="BHN59" s="169"/>
      <c r="BHO59" s="169"/>
      <c r="BHP59" s="169"/>
      <c r="BHQ59" s="169"/>
      <c r="BHR59" s="169"/>
      <c r="BHS59" s="169"/>
      <c r="BHT59" s="169"/>
      <c r="BHU59" s="169"/>
      <c r="BHV59" s="169"/>
      <c r="BHW59" s="169"/>
      <c r="BHX59" s="169"/>
      <c r="BHY59" s="169"/>
      <c r="BHZ59" s="169"/>
      <c r="BIA59" s="169"/>
      <c r="BIB59" s="169"/>
      <c r="BIC59" s="169"/>
      <c r="BID59" s="169"/>
      <c r="BIE59" s="169"/>
      <c r="BIF59" s="169"/>
      <c r="BIG59" s="169"/>
      <c r="BIH59" s="169"/>
      <c r="BII59" s="169"/>
      <c r="BIJ59" s="169"/>
      <c r="BIK59" s="169"/>
      <c r="BIL59" s="169"/>
      <c r="BIM59" s="169"/>
      <c r="BIN59" s="169"/>
      <c r="BIO59" s="169"/>
      <c r="BIP59" s="169"/>
      <c r="BIQ59" s="169"/>
      <c r="BIR59" s="169"/>
      <c r="BIS59" s="169"/>
      <c r="BIT59" s="169"/>
      <c r="BIU59" s="169"/>
      <c r="BIV59" s="169"/>
      <c r="BIW59" s="169"/>
      <c r="BIX59" s="169"/>
      <c r="BIY59" s="169"/>
      <c r="BIZ59" s="169"/>
      <c r="BJA59" s="169"/>
      <c r="BJB59" s="169"/>
      <c r="BJC59" s="169"/>
      <c r="BJD59" s="169"/>
      <c r="BJE59" s="169"/>
      <c r="BJF59" s="169"/>
      <c r="BJG59" s="169"/>
      <c r="BJH59" s="169"/>
      <c r="BJI59" s="169"/>
      <c r="BJJ59" s="169"/>
      <c r="BJK59" s="169"/>
      <c r="BJL59" s="169"/>
      <c r="BJM59" s="169"/>
      <c r="BJN59" s="169"/>
      <c r="BJO59" s="169"/>
      <c r="BJP59" s="169"/>
      <c r="BJQ59" s="169"/>
      <c r="BJR59" s="169"/>
      <c r="BJS59" s="169"/>
      <c r="BJT59" s="169"/>
      <c r="BJU59" s="169"/>
      <c r="BJV59" s="169"/>
      <c r="BJW59" s="169"/>
      <c r="BJX59" s="169"/>
      <c r="BJY59" s="169"/>
      <c r="BJZ59" s="169"/>
      <c r="BKA59" s="169"/>
      <c r="BKB59" s="169"/>
      <c r="BKC59" s="169"/>
      <c r="BKD59" s="169"/>
      <c r="BKE59" s="169"/>
      <c r="BKF59" s="169"/>
      <c r="BKG59" s="169"/>
      <c r="BKH59" s="169"/>
      <c r="BKI59" s="169"/>
      <c r="BKJ59" s="169"/>
      <c r="BKK59" s="169"/>
      <c r="BKL59" s="169"/>
      <c r="BKM59" s="169"/>
      <c r="BKN59" s="169"/>
      <c r="BKO59" s="169"/>
      <c r="BKP59" s="169"/>
      <c r="BKQ59" s="169"/>
      <c r="BKR59" s="169"/>
      <c r="BKS59" s="169"/>
      <c r="BKT59" s="169"/>
      <c r="BKU59" s="169"/>
      <c r="BKV59" s="169"/>
      <c r="BKW59" s="169"/>
      <c r="BKX59" s="169"/>
      <c r="BKY59" s="169"/>
      <c r="BKZ59" s="169"/>
      <c r="BLA59" s="169"/>
      <c r="BLB59" s="169"/>
      <c r="BLC59" s="169"/>
      <c r="BLD59" s="169"/>
      <c r="BLE59" s="169"/>
      <c r="BLF59" s="169"/>
      <c r="BLG59" s="169"/>
      <c r="BLH59" s="169"/>
      <c r="BLI59" s="169"/>
      <c r="BLJ59" s="169"/>
      <c r="BLK59" s="169"/>
      <c r="BLL59" s="169"/>
      <c r="BLM59" s="169"/>
      <c r="BLN59" s="169"/>
      <c r="BLO59" s="169"/>
      <c r="BLP59" s="169"/>
      <c r="BLQ59" s="169"/>
      <c r="BLR59" s="169"/>
      <c r="BLS59" s="169"/>
      <c r="BLT59" s="169"/>
      <c r="BLU59" s="169"/>
      <c r="BLV59" s="169"/>
      <c r="BLW59" s="169"/>
      <c r="BLX59" s="169"/>
      <c r="BLY59" s="169"/>
      <c r="BLZ59" s="169"/>
      <c r="BMA59" s="169"/>
      <c r="BMB59" s="169"/>
      <c r="BMC59" s="169"/>
      <c r="BMD59" s="169"/>
      <c r="BME59" s="169"/>
      <c r="BMF59" s="169"/>
      <c r="BMG59" s="169"/>
      <c r="BMH59" s="169"/>
      <c r="BMI59" s="169"/>
      <c r="BMJ59" s="169"/>
      <c r="BMK59" s="169"/>
      <c r="BML59" s="169"/>
      <c r="BMM59" s="169"/>
      <c r="BMN59" s="169"/>
      <c r="BMO59" s="169"/>
      <c r="BMP59" s="169"/>
      <c r="BMQ59" s="169"/>
      <c r="BMR59" s="169"/>
      <c r="BMS59" s="169"/>
      <c r="BMT59" s="169"/>
      <c r="BMU59" s="169"/>
      <c r="BMV59" s="169"/>
      <c r="BMW59" s="169"/>
      <c r="BMX59" s="169"/>
      <c r="BMY59" s="169"/>
      <c r="BMZ59" s="169"/>
      <c r="BNA59" s="169"/>
      <c r="BNB59" s="169"/>
      <c r="BNC59" s="169"/>
      <c r="BND59" s="169"/>
      <c r="BNE59" s="169"/>
      <c r="BNF59" s="169"/>
      <c r="BNG59" s="169"/>
      <c r="BNH59" s="169"/>
      <c r="BNI59" s="169"/>
      <c r="BNJ59" s="169"/>
      <c r="BNK59" s="169"/>
      <c r="BNL59" s="169"/>
      <c r="BNM59" s="169"/>
      <c r="BNN59" s="169"/>
      <c r="BNO59" s="169"/>
      <c r="BNP59" s="169"/>
      <c r="BNQ59" s="169"/>
      <c r="BNR59" s="169"/>
      <c r="BNS59" s="169"/>
      <c r="BNT59" s="169"/>
      <c r="BNU59" s="169"/>
      <c r="BNV59" s="169"/>
      <c r="BNW59" s="169"/>
      <c r="BNX59" s="169"/>
      <c r="BNY59" s="169"/>
      <c r="BNZ59" s="169"/>
      <c r="BOA59" s="169"/>
      <c r="BOB59" s="169"/>
      <c r="BOC59" s="169"/>
      <c r="BOD59" s="169"/>
      <c r="BOE59" s="169"/>
      <c r="BOF59" s="169"/>
      <c r="BOG59" s="169"/>
      <c r="BOH59" s="169"/>
      <c r="BOI59" s="169"/>
      <c r="BOJ59" s="169"/>
      <c r="BOK59" s="169"/>
      <c r="BOL59" s="169"/>
      <c r="BOM59" s="169"/>
      <c r="BON59" s="169"/>
      <c r="BOO59" s="169"/>
      <c r="BOP59" s="169"/>
      <c r="BOQ59" s="169"/>
      <c r="BOR59" s="169"/>
      <c r="BOS59" s="169"/>
      <c r="BOT59" s="169"/>
      <c r="BOU59" s="169"/>
      <c r="BOV59" s="169"/>
      <c r="BOW59" s="169"/>
      <c r="BOX59" s="169"/>
      <c r="BOY59" s="169"/>
      <c r="BOZ59" s="169"/>
      <c r="BPA59" s="169"/>
      <c r="BPB59" s="169"/>
      <c r="BPC59" s="169"/>
      <c r="BPD59" s="169"/>
      <c r="BPE59" s="169"/>
      <c r="BPF59" s="169"/>
      <c r="BPG59" s="169"/>
      <c r="BPH59" s="169"/>
      <c r="BPI59" s="169"/>
      <c r="BPJ59" s="169"/>
      <c r="BPK59" s="169"/>
      <c r="BPL59" s="169"/>
      <c r="BPM59" s="169"/>
      <c r="BPN59" s="169"/>
      <c r="BPO59" s="169"/>
      <c r="BPP59" s="169"/>
      <c r="BPQ59" s="169"/>
      <c r="BPR59" s="169"/>
      <c r="BPS59" s="169"/>
      <c r="BPT59" s="169"/>
      <c r="BPU59" s="169"/>
      <c r="BPV59" s="169"/>
      <c r="BPW59" s="169"/>
      <c r="BPX59" s="169"/>
      <c r="BPY59" s="169"/>
      <c r="BPZ59" s="169"/>
      <c r="BQA59" s="169"/>
      <c r="BQB59" s="169"/>
      <c r="BQC59" s="169"/>
      <c r="BQD59" s="169"/>
      <c r="BQE59" s="169"/>
      <c r="BQF59" s="169"/>
      <c r="BQG59" s="169"/>
      <c r="BQH59" s="169"/>
      <c r="BQI59" s="169"/>
      <c r="BQJ59" s="169"/>
      <c r="BQK59" s="169"/>
      <c r="BQL59" s="169"/>
      <c r="BQM59" s="169"/>
      <c r="BQN59" s="169"/>
      <c r="BQO59" s="169"/>
      <c r="BQP59" s="169"/>
      <c r="BQQ59" s="169"/>
      <c r="BQR59" s="169"/>
      <c r="BQS59" s="169"/>
      <c r="BQT59" s="169"/>
      <c r="BQU59" s="169"/>
      <c r="BQV59" s="169"/>
      <c r="BQW59" s="169"/>
      <c r="BQX59" s="169"/>
      <c r="BQY59" s="169"/>
      <c r="BQZ59" s="169"/>
      <c r="BRA59" s="169"/>
      <c r="BRB59" s="169"/>
      <c r="BRC59" s="169"/>
      <c r="BRD59" s="169"/>
      <c r="BRE59" s="169"/>
      <c r="BRF59" s="169"/>
      <c r="BRG59" s="169"/>
      <c r="BRH59" s="169"/>
      <c r="BRI59" s="169"/>
      <c r="BRJ59" s="169"/>
      <c r="BRK59" s="169"/>
      <c r="BRL59" s="169"/>
      <c r="BRM59" s="169"/>
      <c r="BRN59" s="169"/>
      <c r="BRO59" s="169"/>
      <c r="BRP59" s="169"/>
      <c r="BRQ59" s="169"/>
      <c r="BRR59" s="169"/>
      <c r="BRS59" s="169"/>
      <c r="BRT59" s="169"/>
      <c r="BRU59" s="169"/>
      <c r="BRV59" s="169"/>
      <c r="BRW59" s="169"/>
      <c r="BRX59" s="169"/>
      <c r="BRY59" s="169"/>
      <c r="BRZ59" s="169"/>
      <c r="BSA59" s="169"/>
      <c r="BSB59" s="169"/>
      <c r="BSC59" s="169"/>
      <c r="BSD59" s="169"/>
      <c r="BSE59" s="169"/>
      <c r="BSF59" s="169"/>
      <c r="BSG59" s="169"/>
      <c r="BSH59" s="169"/>
      <c r="BSI59" s="169"/>
      <c r="BSJ59" s="169"/>
      <c r="BSK59" s="169"/>
      <c r="BSL59" s="169"/>
      <c r="BSM59" s="169"/>
      <c r="BSN59" s="169"/>
      <c r="BSO59" s="169"/>
      <c r="BSP59" s="169"/>
      <c r="BSQ59" s="169"/>
      <c r="BSR59" s="169"/>
      <c r="BSS59" s="169"/>
      <c r="BST59" s="169"/>
      <c r="BSU59" s="169"/>
      <c r="BSV59" s="169"/>
      <c r="BSW59" s="169"/>
      <c r="BSX59" s="169"/>
      <c r="BSY59" s="169"/>
      <c r="BSZ59" s="169"/>
      <c r="BTA59" s="169"/>
      <c r="BTB59" s="169"/>
      <c r="BTC59" s="169"/>
      <c r="BTD59" s="169"/>
      <c r="BTE59" s="169"/>
      <c r="BTF59" s="169"/>
      <c r="BTG59" s="169"/>
      <c r="BTH59" s="169"/>
      <c r="BTI59" s="169"/>
      <c r="BTJ59" s="169"/>
      <c r="BTK59" s="169"/>
      <c r="BTL59" s="169"/>
      <c r="BTM59" s="169"/>
      <c r="BTN59" s="169"/>
      <c r="BTO59" s="169"/>
      <c r="BTP59" s="169"/>
      <c r="BTQ59" s="169"/>
      <c r="BTR59" s="169"/>
      <c r="BTS59" s="169"/>
      <c r="BTT59" s="169"/>
      <c r="BTU59" s="169"/>
      <c r="BTV59" s="169"/>
      <c r="BTW59" s="169"/>
      <c r="BTX59" s="169"/>
      <c r="BTY59" s="169"/>
      <c r="BTZ59" s="169"/>
      <c r="BUA59" s="169"/>
      <c r="BUB59" s="169"/>
      <c r="BUC59" s="169"/>
      <c r="BUD59" s="169"/>
      <c r="BUE59" s="169"/>
      <c r="BUF59" s="169"/>
      <c r="BUG59" s="169"/>
      <c r="BUH59" s="169"/>
      <c r="BUI59" s="169"/>
      <c r="BUJ59" s="169"/>
      <c r="BUK59" s="169"/>
      <c r="BUL59" s="169"/>
      <c r="BUM59" s="169"/>
      <c r="BUN59" s="169"/>
      <c r="BUO59" s="169"/>
      <c r="BUP59" s="169"/>
      <c r="BUQ59" s="169"/>
      <c r="BUR59" s="169"/>
      <c r="BUS59" s="169"/>
      <c r="BUT59" s="169"/>
      <c r="BUU59" s="169"/>
      <c r="BUV59" s="169"/>
      <c r="BUW59" s="169"/>
      <c r="BUX59" s="169"/>
      <c r="BUY59" s="169"/>
      <c r="BUZ59" s="169"/>
      <c r="BVA59" s="169"/>
      <c r="BVB59" s="169"/>
      <c r="BVC59" s="169"/>
      <c r="BVD59" s="169"/>
      <c r="BVE59" s="169"/>
      <c r="BVF59" s="169"/>
      <c r="BVG59" s="169"/>
      <c r="BVH59" s="169"/>
      <c r="BVI59" s="169"/>
      <c r="BVJ59" s="169"/>
      <c r="BVK59" s="169"/>
      <c r="BVL59" s="169"/>
      <c r="BVM59" s="169"/>
      <c r="BVN59" s="169"/>
      <c r="BVO59" s="169"/>
      <c r="BVP59" s="169"/>
      <c r="BVQ59" s="169"/>
      <c r="BVR59" s="169"/>
      <c r="BVS59" s="169"/>
      <c r="BVT59" s="169"/>
      <c r="BVU59" s="169"/>
      <c r="BVV59" s="169"/>
      <c r="BVW59" s="169"/>
      <c r="BVX59" s="169"/>
      <c r="BVY59" s="169"/>
      <c r="BVZ59" s="169"/>
      <c r="BWA59" s="169"/>
      <c r="BWB59" s="169"/>
      <c r="BWC59" s="169"/>
      <c r="BWD59" s="169"/>
      <c r="BWE59" s="169"/>
      <c r="BWF59" s="169"/>
      <c r="BWG59" s="169"/>
      <c r="BWH59" s="169"/>
      <c r="BWI59" s="169"/>
      <c r="BWJ59" s="169"/>
      <c r="BWK59" s="169"/>
      <c r="BWL59" s="169"/>
      <c r="BWM59" s="169"/>
      <c r="BWN59" s="169"/>
      <c r="BWO59" s="169"/>
      <c r="BWP59" s="169"/>
      <c r="BWQ59" s="169"/>
      <c r="BWR59" s="169"/>
      <c r="BWS59" s="169"/>
      <c r="BWT59" s="169"/>
      <c r="BWU59" s="169"/>
      <c r="BWV59" s="169"/>
      <c r="BWW59" s="169"/>
      <c r="BWX59" s="169"/>
      <c r="BWY59" s="169"/>
      <c r="BWZ59" s="169"/>
      <c r="BXA59" s="169"/>
      <c r="BXB59" s="169"/>
      <c r="BXC59" s="169"/>
      <c r="BXD59" s="169"/>
      <c r="BXE59" s="169"/>
      <c r="BXF59" s="169"/>
      <c r="BXG59" s="169"/>
      <c r="BXH59" s="169"/>
      <c r="BXI59" s="169"/>
      <c r="BXJ59" s="169"/>
      <c r="BXK59" s="169"/>
      <c r="BXL59" s="169"/>
      <c r="BXM59" s="169"/>
      <c r="BXN59" s="169"/>
      <c r="BXO59" s="169"/>
      <c r="BXP59" s="169"/>
      <c r="BXQ59" s="169"/>
      <c r="BXR59" s="169"/>
      <c r="BXS59" s="169"/>
      <c r="BXT59" s="169"/>
      <c r="BXU59" s="169"/>
      <c r="BXV59" s="169"/>
      <c r="BXW59" s="169"/>
      <c r="BXX59" s="169"/>
      <c r="BXY59" s="169"/>
      <c r="BXZ59" s="169"/>
      <c r="BYA59" s="169"/>
      <c r="BYB59" s="169"/>
      <c r="BYC59" s="169"/>
      <c r="BYD59" s="169"/>
      <c r="BYE59" s="169"/>
      <c r="BYF59" s="169"/>
      <c r="BYG59" s="169"/>
      <c r="BYH59" s="169"/>
      <c r="BYI59" s="169"/>
      <c r="BYJ59" s="169"/>
      <c r="BYK59" s="169"/>
      <c r="BYL59" s="169"/>
      <c r="BYM59" s="169"/>
      <c r="BYN59" s="169"/>
      <c r="BYO59" s="169"/>
      <c r="BYP59" s="169"/>
      <c r="BYQ59" s="169"/>
      <c r="BYR59" s="169"/>
      <c r="BYS59" s="169"/>
      <c r="BYT59" s="169"/>
      <c r="BYU59" s="169"/>
      <c r="BYV59" s="169"/>
      <c r="BYW59" s="169"/>
      <c r="BYX59" s="169"/>
      <c r="BYY59" s="169"/>
      <c r="BYZ59" s="169"/>
      <c r="BZA59" s="169"/>
      <c r="BZB59" s="169"/>
      <c r="BZC59" s="169"/>
      <c r="BZD59" s="169"/>
      <c r="BZE59" s="169"/>
      <c r="BZF59" s="169"/>
      <c r="BZG59" s="169"/>
      <c r="BZH59" s="169"/>
      <c r="BZI59" s="169"/>
      <c r="BZJ59" s="169"/>
      <c r="BZK59" s="169"/>
      <c r="BZL59" s="169"/>
      <c r="BZM59" s="169"/>
      <c r="BZN59" s="169"/>
      <c r="BZO59" s="169"/>
      <c r="BZP59" s="169"/>
      <c r="BZQ59" s="169"/>
      <c r="BZR59" s="169"/>
      <c r="BZS59" s="169"/>
      <c r="BZT59" s="169"/>
      <c r="BZU59" s="169"/>
      <c r="BZV59" s="169"/>
      <c r="BZW59" s="169"/>
      <c r="BZX59" s="169"/>
      <c r="BZY59" s="169"/>
      <c r="BZZ59" s="169"/>
      <c r="CAA59" s="169"/>
      <c r="CAB59" s="169"/>
      <c r="CAC59" s="169"/>
      <c r="CAD59" s="169"/>
      <c r="CAE59" s="169"/>
      <c r="CAF59" s="169"/>
      <c r="CAG59" s="169"/>
      <c r="CAH59" s="169"/>
      <c r="CAI59" s="169"/>
      <c r="CAJ59" s="169"/>
      <c r="CAK59" s="169"/>
      <c r="CAL59" s="169"/>
      <c r="CAM59" s="169"/>
      <c r="CAN59" s="169"/>
      <c r="CAO59" s="169"/>
      <c r="CAP59" s="169"/>
      <c r="CAQ59" s="169"/>
      <c r="CAR59" s="169"/>
      <c r="CAS59" s="169"/>
      <c r="CAT59" s="169"/>
      <c r="CAU59" s="169"/>
      <c r="CAV59" s="169"/>
      <c r="CAW59" s="169"/>
      <c r="CAX59" s="169"/>
      <c r="CAY59" s="169"/>
      <c r="CAZ59" s="169"/>
      <c r="CBA59" s="169"/>
      <c r="CBB59" s="169"/>
      <c r="CBC59" s="169"/>
      <c r="CBD59" s="169"/>
      <c r="CBE59" s="169"/>
      <c r="CBF59" s="169"/>
      <c r="CBG59" s="169"/>
      <c r="CBH59" s="169"/>
      <c r="CBI59" s="169"/>
      <c r="CBJ59" s="169"/>
      <c r="CBK59" s="169"/>
      <c r="CBL59" s="169"/>
      <c r="CBM59" s="169"/>
      <c r="CBN59" s="169"/>
      <c r="CBO59" s="169"/>
      <c r="CBP59" s="169"/>
      <c r="CBQ59" s="169"/>
      <c r="CBR59" s="169"/>
      <c r="CBS59" s="169"/>
      <c r="CBT59" s="169"/>
      <c r="CBU59" s="169"/>
      <c r="CBV59" s="169"/>
      <c r="CBW59" s="169"/>
      <c r="CBX59" s="169"/>
      <c r="CBY59" s="169"/>
      <c r="CBZ59" s="169"/>
      <c r="CCA59" s="169"/>
      <c r="CCB59" s="169"/>
      <c r="CCC59" s="169"/>
      <c r="CCD59" s="169"/>
      <c r="CCE59" s="169"/>
      <c r="CCF59" s="169"/>
      <c r="CCG59" s="169"/>
      <c r="CCH59" s="169"/>
      <c r="CCI59" s="169"/>
      <c r="CCJ59" s="169"/>
      <c r="CCK59" s="169"/>
      <c r="CCL59" s="169"/>
      <c r="CCM59" s="169"/>
      <c r="CCN59" s="169"/>
      <c r="CCO59" s="169"/>
      <c r="CCP59" s="169"/>
      <c r="CCQ59" s="169"/>
      <c r="CCR59" s="169"/>
      <c r="CCS59" s="169"/>
      <c r="CCT59" s="169"/>
      <c r="CCU59" s="169"/>
      <c r="CCV59" s="169"/>
      <c r="CCW59" s="169"/>
      <c r="CCX59" s="169"/>
      <c r="CCY59" s="169"/>
      <c r="CCZ59" s="169"/>
      <c r="CDA59" s="169"/>
      <c r="CDB59" s="169"/>
      <c r="CDC59" s="169"/>
      <c r="CDD59" s="169"/>
      <c r="CDE59" s="169"/>
      <c r="CDF59" s="169"/>
      <c r="CDG59" s="169"/>
      <c r="CDH59" s="169"/>
      <c r="CDI59" s="169"/>
      <c r="CDJ59" s="169"/>
      <c r="CDK59" s="169"/>
      <c r="CDL59" s="169"/>
      <c r="CDM59" s="169"/>
      <c r="CDN59" s="169"/>
      <c r="CDO59" s="169"/>
      <c r="CDP59" s="169"/>
      <c r="CDQ59" s="169"/>
      <c r="CDR59" s="169"/>
      <c r="CDS59" s="169"/>
      <c r="CDT59" s="169"/>
      <c r="CDU59" s="169"/>
      <c r="CDV59" s="169"/>
      <c r="CDW59" s="169"/>
      <c r="CDX59" s="169"/>
      <c r="CDY59" s="169"/>
      <c r="CDZ59" s="169"/>
      <c r="CEA59" s="169"/>
      <c r="CEB59" s="169"/>
      <c r="CEC59" s="169"/>
      <c r="CED59" s="169"/>
      <c r="CEE59" s="169"/>
      <c r="CEF59" s="169"/>
      <c r="CEG59" s="169"/>
      <c r="CEH59" s="169"/>
      <c r="CEI59" s="169"/>
      <c r="CEJ59" s="169"/>
      <c r="CEK59" s="169"/>
      <c r="CEL59" s="169"/>
      <c r="CEM59" s="169"/>
      <c r="CEN59" s="169"/>
      <c r="CEO59" s="169"/>
      <c r="CEP59" s="169"/>
      <c r="CEQ59" s="169"/>
      <c r="CER59" s="169"/>
      <c r="CES59" s="169"/>
      <c r="CET59" s="169"/>
      <c r="CEU59" s="169"/>
      <c r="CEV59" s="169"/>
      <c r="CEW59" s="169"/>
      <c r="CEX59" s="169"/>
      <c r="CEY59" s="169"/>
      <c r="CEZ59" s="169"/>
      <c r="CFA59" s="169"/>
      <c r="CFB59" s="169"/>
      <c r="CFC59" s="169"/>
      <c r="CFD59" s="169"/>
      <c r="CFE59" s="169"/>
      <c r="CFF59" s="169"/>
      <c r="CFG59" s="169"/>
      <c r="CFH59" s="169"/>
      <c r="CFI59" s="169"/>
      <c r="CFJ59" s="169"/>
      <c r="CFK59" s="169"/>
      <c r="CFL59" s="169"/>
      <c r="CFM59" s="169"/>
      <c r="CFN59" s="169"/>
      <c r="CFO59" s="169"/>
      <c r="CFP59" s="169"/>
      <c r="CFQ59" s="169"/>
      <c r="CFR59" s="169"/>
      <c r="CFS59" s="169"/>
      <c r="CFT59" s="169"/>
      <c r="CFU59" s="169"/>
      <c r="CFV59" s="169"/>
      <c r="CFW59" s="169"/>
      <c r="CFX59" s="169"/>
      <c r="CFY59" s="169"/>
      <c r="CFZ59" s="169"/>
      <c r="CGA59" s="169"/>
      <c r="CGB59" s="169"/>
      <c r="CGC59" s="169"/>
      <c r="CGD59" s="169"/>
      <c r="CGE59" s="169"/>
      <c r="CGF59" s="169"/>
      <c r="CGG59" s="169"/>
      <c r="CGH59" s="169"/>
      <c r="CGI59" s="169"/>
      <c r="CGJ59" s="169"/>
      <c r="CGK59" s="169"/>
      <c r="CGL59" s="169"/>
      <c r="CGM59" s="169"/>
      <c r="CGN59" s="169"/>
      <c r="CGO59" s="169"/>
      <c r="CGP59" s="169"/>
      <c r="CGQ59" s="169"/>
      <c r="CGR59" s="169"/>
      <c r="CGS59" s="169"/>
      <c r="CGT59" s="169"/>
      <c r="CGU59" s="169"/>
      <c r="CGV59" s="169"/>
      <c r="CGW59" s="169"/>
      <c r="CGX59" s="169"/>
      <c r="CGY59" s="169"/>
      <c r="CGZ59" s="169"/>
      <c r="CHA59" s="169"/>
      <c r="CHB59" s="169"/>
      <c r="CHC59" s="169"/>
      <c r="CHD59" s="169"/>
      <c r="CHE59" s="169"/>
      <c r="CHF59" s="169"/>
      <c r="CHG59" s="169"/>
      <c r="CHH59" s="169"/>
      <c r="CHI59" s="169"/>
      <c r="CHJ59" s="169"/>
      <c r="CHK59" s="169"/>
      <c r="CHL59" s="169"/>
      <c r="CHM59" s="169"/>
      <c r="CHN59" s="169"/>
      <c r="CHO59" s="169"/>
      <c r="CHP59" s="169"/>
      <c r="CHQ59" s="169"/>
      <c r="CHR59" s="169"/>
      <c r="CHS59" s="169"/>
      <c r="CHT59" s="169"/>
      <c r="CHU59" s="169"/>
      <c r="CHV59" s="169"/>
      <c r="CHW59" s="169"/>
      <c r="CHX59" s="169"/>
      <c r="CHY59" s="169"/>
      <c r="CHZ59" s="169"/>
      <c r="CIA59" s="169"/>
      <c r="CIB59" s="169"/>
      <c r="CIC59" s="169"/>
      <c r="CID59" s="169"/>
      <c r="CIE59" s="169"/>
      <c r="CIF59" s="169"/>
      <c r="CIG59" s="169"/>
      <c r="CIH59" s="169"/>
      <c r="CII59" s="169"/>
      <c r="CIJ59" s="169"/>
      <c r="CIK59" s="169"/>
      <c r="CIL59" s="169"/>
      <c r="CIM59" s="169"/>
      <c r="CIN59" s="169"/>
      <c r="CIO59" s="169"/>
      <c r="CIP59" s="169"/>
      <c r="CIQ59" s="169"/>
      <c r="CIR59" s="169"/>
      <c r="CIS59" s="169"/>
      <c r="CIT59" s="169"/>
      <c r="CIU59" s="169"/>
      <c r="CIV59" s="169"/>
      <c r="CIW59" s="169"/>
      <c r="CIX59" s="169"/>
      <c r="CIY59" s="169"/>
      <c r="CIZ59" s="169"/>
      <c r="CJA59" s="169"/>
      <c r="CJB59" s="169"/>
      <c r="CJC59" s="169"/>
      <c r="CJD59" s="169"/>
      <c r="CJE59" s="169"/>
      <c r="CJF59" s="169"/>
      <c r="CJG59" s="169"/>
      <c r="CJH59" s="169"/>
      <c r="CJI59" s="169"/>
      <c r="CJJ59" s="169"/>
      <c r="CJK59" s="169"/>
      <c r="CJL59" s="169"/>
      <c r="CJM59" s="169"/>
      <c r="CJN59" s="169"/>
      <c r="CJO59" s="169"/>
      <c r="CJP59" s="169"/>
      <c r="CJQ59" s="169"/>
      <c r="CJR59" s="169"/>
      <c r="CJS59" s="169"/>
      <c r="CJT59" s="169"/>
      <c r="CJU59" s="169"/>
      <c r="CJV59" s="169"/>
      <c r="CJW59" s="169"/>
      <c r="CJX59" s="169"/>
      <c r="CJY59" s="169"/>
      <c r="CJZ59" s="169"/>
      <c r="CKA59" s="169"/>
      <c r="CKB59" s="169"/>
      <c r="CKC59" s="169"/>
      <c r="CKD59" s="169"/>
      <c r="CKE59" s="169"/>
      <c r="CKF59" s="169"/>
      <c r="CKG59" s="169"/>
      <c r="CKH59" s="169"/>
      <c r="CKI59" s="169"/>
      <c r="CKJ59" s="169"/>
      <c r="CKK59" s="169"/>
      <c r="CKL59" s="169"/>
      <c r="CKM59" s="169"/>
      <c r="CKN59" s="169"/>
      <c r="CKO59" s="169"/>
      <c r="CKP59" s="169"/>
      <c r="CKQ59" s="169"/>
      <c r="CKR59" s="169"/>
      <c r="CKS59" s="169"/>
      <c r="CKT59" s="169"/>
      <c r="CKU59" s="169"/>
      <c r="CKV59" s="169"/>
      <c r="CKW59" s="169"/>
      <c r="CKX59" s="169"/>
      <c r="CKY59" s="169"/>
      <c r="CKZ59" s="169"/>
      <c r="CLA59" s="169"/>
      <c r="CLB59" s="169"/>
      <c r="CLC59" s="169"/>
      <c r="CLD59" s="169"/>
      <c r="CLE59" s="169"/>
      <c r="CLF59" s="169"/>
      <c r="CLG59" s="169"/>
      <c r="CLH59" s="169"/>
      <c r="CLI59" s="169"/>
      <c r="CLJ59" s="169"/>
      <c r="CLK59" s="169"/>
      <c r="CLL59" s="169"/>
      <c r="CLM59" s="169"/>
      <c r="CLN59" s="169"/>
      <c r="CLO59" s="169"/>
      <c r="CLP59" s="169"/>
      <c r="CLQ59" s="169"/>
      <c r="CLR59" s="169"/>
      <c r="CLS59" s="169"/>
      <c r="CLT59" s="169"/>
      <c r="CLU59" s="169"/>
      <c r="CLV59" s="169"/>
      <c r="CLW59" s="169"/>
      <c r="CLX59" s="169"/>
      <c r="CLY59" s="169"/>
      <c r="CLZ59" s="169"/>
      <c r="CMA59" s="169"/>
      <c r="CMB59" s="169"/>
      <c r="CMC59" s="169"/>
      <c r="CMD59" s="169"/>
      <c r="CME59" s="169"/>
      <c r="CMF59" s="169"/>
      <c r="CMG59" s="169"/>
      <c r="CMH59" s="169"/>
      <c r="CMI59" s="169"/>
      <c r="CMJ59" s="169"/>
      <c r="CMK59" s="169"/>
      <c r="CML59" s="169"/>
      <c r="CMM59" s="169"/>
      <c r="CMN59" s="169"/>
      <c r="CMO59" s="169"/>
      <c r="CMP59" s="169"/>
      <c r="CMQ59" s="169"/>
      <c r="CMR59" s="169"/>
      <c r="CMS59" s="169"/>
      <c r="CMT59" s="169"/>
      <c r="CMU59" s="169"/>
      <c r="CMV59" s="169"/>
      <c r="CMW59" s="169"/>
      <c r="CMX59" s="169"/>
      <c r="CMY59" s="169"/>
      <c r="CMZ59" s="169"/>
      <c r="CNA59" s="169"/>
      <c r="CNB59" s="169"/>
      <c r="CNC59" s="169"/>
      <c r="CND59" s="169"/>
      <c r="CNE59" s="169"/>
      <c r="CNF59" s="169"/>
      <c r="CNG59" s="169"/>
      <c r="CNH59" s="169"/>
      <c r="CNI59" s="169"/>
      <c r="CNJ59" s="169"/>
      <c r="CNK59" s="169"/>
      <c r="CNL59" s="169"/>
      <c r="CNM59" s="169"/>
      <c r="CNN59" s="169"/>
      <c r="CNO59" s="169"/>
      <c r="CNP59" s="169"/>
      <c r="CNQ59" s="169"/>
      <c r="CNR59" s="169"/>
      <c r="CNS59" s="169"/>
      <c r="CNT59" s="169"/>
      <c r="CNU59" s="169"/>
      <c r="CNV59" s="169"/>
      <c r="CNW59" s="169"/>
      <c r="CNX59" s="169"/>
      <c r="CNY59" s="169"/>
      <c r="CNZ59" s="169"/>
      <c r="COA59" s="169"/>
      <c r="COB59" s="169"/>
      <c r="COC59" s="169"/>
      <c r="COD59" s="169"/>
      <c r="COE59" s="169"/>
      <c r="COF59" s="169"/>
      <c r="COG59" s="169"/>
      <c r="COH59" s="169"/>
      <c r="COI59" s="169"/>
      <c r="COJ59" s="169"/>
      <c r="COK59" s="169"/>
      <c r="COL59" s="169"/>
      <c r="COM59" s="169"/>
      <c r="CON59" s="169"/>
      <c r="COO59" s="169"/>
      <c r="COP59" s="169"/>
      <c r="COQ59" s="169"/>
      <c r="COR59" s="169"/>
      <c r="COS59" s="169"/>
      <c r="COT59" s="169"/>
      <c r="COU59" s="169"/>
      <c r="COV59" s="169"/>
      <c r="COW59" s="169"/>
      <c r="COX59" s="169"/>
      <c r="COY59" s="169"/>
      <c r="COZ59" s="169"/>
      <c r="CPA59" s="169"/>
      <c r="CPB59" s="169"/>
      <c r="CPC59" s="169"/>
      <c r="CPD59" s="169"/>
      <c r="CPE59" s="169"/>
      <c r="CPF59" s="169"/>
      <c r="CPG59" s="169"/>
      <c r="CPH59" s="169"/>
      <c r="CPI59" s="169"/>
      <c r="CPJ59" s="169"/>
      <c r="CPK59" s="169"/>
      <c r="CPL59" s="169"/>
      <c r="CPM59" s="169"/>
      <c r="CPN59" s="169"/>
      <c r="CPO59" s="169"/>
      <c r="CPP59" s="169"/>
      <c r="CPQ59" s="169"/>
      <c r="CPR59" s="169"/>
      <c r="CPS59" s="169"/>
      <c r="CPT59" s="169"/>
      <c r="CPU59" s="169"/>
      <c r="CPV59" s="169"/>
      <c r="CPW59" s="169"/>
      <c r="CPX59" s="169"/>
      <c r="CPY59" s="169"/>
      <c r="CPZ59" s="169"/>
      <c r="CQA59" s="169"/>
      <c r="CQB59" s="169"/>
      <c r="CQC59" s="169"/>
      <c r="CQD59" s="169"/>
      <c r="CQE59" s="169"/>
      <c r="CQF59" s="169"/>
      <c r="CQG59" s="169"/>
      <c r="CQH59" s="169"/>
      <c r="CQI59" s="169"/>
      <c r="CQJ59" s="169"/>
      <c r="CQK59" s="169"/>
      <c r="CQL59" s="169"/>
      <c r="CQM59" s="169"/>
      <c r="CQN59" s="169"/>
      <c r="CQO59" s="169"/>
      <c r="CQP59" s="169"/>
      <c r="CQQ59" s="169"/>
      <c r="CQR59" s="169"/>
      <c r="CQS59" s="169"/>
      <c r="CQT59" s="169"/>
      <c r="CQU59" s="169"/>
      <c r="CQV59" s="169"/>
      <c r="CQW59" s="169"/>
      <c r="CQX59" s="169"/>
      <c r="CQY59" s="169"/>
      <c r="CQZ59" s="169"/>
      <c r="CRA59" s="169"/>
      <c r="CRB59" s="169"/>
      <c r="CRC59" s="169"/>
      <c r="CRD59" s="169"/>
      <c r="CRE59" s="169"/>
      <c r="CRF59" s="169"/>
      <c r="CRG59" s="169"/>
      <c r="CRH59" s="169"/>
      <c r="CRI59" s="169"/>
      <c r="CRJ59" s="169"/>
      <c r="CRK59" s="169"/>
      <c r="CRL59" s="169"/>
      <c r="CRM59" s="169"/>
      <c r="CRN59" s="169"/>
      <c r="CRO59" s="169"/>
      <c r="CRP59" s="169"/>
      <c r="CRQ59" s="169"/>
      <c r="CRR59" s="169"/>
      <c r="CRS59" s="169"/>
      <c r="CRT59" s="169"/>
      <c r="CRU59" s="169"/>
      <c r="CRV59" s="169"/>
      <c r="CRW59" s="169"/>
      <c r="CRX59" s="169"/>
      <c r="CRY59" s="169"/>
      <c r="CRZ59" s="169"/>
      <c r="CSA59" s="169"/>
      <c r="CSB59" s="169"/>
      <c r="CSC59" s="169"/>
      <c r="CSD59" s="169"/>
      <c r="CSE59" s="169"/>
      <c r="CSF59" s="169"/>
      <c r="CSG59" s="169"/>
      <c r="CSH59" s="169"/>
      <c r="CSI59" s="169"/>
      <c r="CSJ59" s="169"/>
      <c r="CSK59" s="169"/>
      <c r="CSL59" s="169"/>
      <c r="CSM59" s="169"/>
      <c r="CSN59" s="169"/>
      <c r="CSO59" s="169"/>
      <c r="CSP59" s="169"/>
      <c r="CSQ59" s="169"/>
      <c r="CSR59" s="169"/>
      <c r="CSS59" s="169"/>
      <c r="CST59" s="169"/>
      <c r="CSU59" s="169"/>
      <c r="CSV59" s="169"/>
      <c r="CSW59" s="169"/>
      <c r="CSX59" s="169"/>
      <c r="CSY59" s="169"/>
      <c r="CSZ59" s="169"/>
      <c r="CTA59" s="169"/>
      <c r="CTB59" s="169"/>
      <c r="CTC59" s="169"/>
      <c r="CTD59" s="169"/>
      <c r="CTE59" s="169"/>
      <c r="CTF59" s="169"/>
      <c r="CTG59" s="169"/>
      <c r="CTH59" s="169"/>
      <c r="CTI59" s="169"/>
      <c r="CTJ59" s="169"/>
      <c r="CTK59" s="169"/>
      <c r="CTL59" s="169"/>
      <c r="CTM59" s="169"/>
      <c r="CTN59" s="169"/>
      <c r="CTO59" s="169"/>
      <c r="CTP59" s="169"/>
      <c r="CTQ59" s="169"/>
      <c r="CTR59" s="169"/>
      <c r="CTS59" s="169"/>
      <c r="CTT59" s="169"/>
      <c r="CTU59" s="169"/>
      <c r="CTV59" s="169"/>
      <c r="CTW59" s="169"/>
      <c r="CTX59" s="169"/>
      <c r="CTY59" s="169"/>
      <c r="CTZ59" s="169"/>
      <c r="CUA59" s="169"/>
      <c r="CUB59" s="169"/>
      <c r="CUC59" s="169"/>
      <c r="CUD59" s="169"/>
      <c r="CUE59" s="169"/>
      <c r="CUF59" s="169"/>
      <c r="CUG59" s="169"/>
      <c r="CUH59" s="169"/>
      <c r="CUI59" s="169"/>
      <c r="CUJ59" s="169"/>
      <c r="CUK59" s="169"/>
      <c r="CUL59" s="169"/>
      <c r="CUM59" s="169"/>
      <c r="CUN59" s="169"/>
      <c r="CUO59" s="169"/>
      <c r="CUP59" s="169"/>
      <c r="CUQ59" s="169"/>
      <c r="CUR59" s="169"/>
      <c r="CUS59" s="169"/>
      <c r="CUT59" s="169"/>
      <c r="CUU59" s="169"/>
      <c r="CUV59" s="169"/>
      <c r="CUW59" s="169"/>
      <c r="CUX59" s="169"/>
      <c r="CUY59" s="169"/>
      <c r="CUZ59" s="169"/>
      <c r="CVA59" s="169"/>
      <c r="CVB59" s="169"/>
      <c r="CVC59" s="169"/>
      <c r="CVD59" s="169"/>
      <c r="CVE59" s="169"/>
      <c r="CVF59" s="169"/>
      <c r="CVG59" s="169"/>
      <c r="CVH59" s="169"/>
      <c r="CVI59" s="169"/>
      <c r="CVJ59" s="169"/>
      <c r="CVK59" s="169"/>
      <c r="CVL59" s="169"/>
      <c r="CVM59" s="169"/>
      <c r="CVN59" s="169"/>
      <c r="CVO59" s="169"/>
      <c r="CVP59" s="169"/>
      <c r="CVQ59" s="169"/>
      <c r="CVR59" s="169"/>
      <c r="CVS59" s="169"/>
      <c r="CVT59" s="169"/>
      <c r="CVU59" s="169"/>
      <c r="CVV59" s="169"/>
      <c r="CVW59" s="169"/>
      <c r="CVX59" s="169"/>
      <c r="CVY59" s="169"/>
      <c r="CVZ59" s="169"/>
      <c r="CWA59" s="169"/>
      <c r="CWB59" s="169"/>
      <c r="CWC59" s="169"/>
      <c r="CWD59" s="169"/>
      <c r="CWE59" s="169"/>
      <c r="CWF59" s="169"/>
      <c r="CWG59" s="169"/>
      <c r="CWH59" s="169"/>
      <c r="CWI59" s="169"/>
      <c r="CWJ59" s="169"/>
      <c r="CWK59" s="169"/>
      <c r="CWL59" s="169"/>
      <c r="CWM59" s="169"/>
      <c r="CWN59" s="169"/>
      <c r="CWO59" s="169"/>
      <c r="CWP59" s="169"/>
      <c r="CWQ59" s="169"/>
      <c r="CWR59" s="169"/>
      <c r="CWS59" s="169"/>
      <c r="CWT59" s="169"/>
      <c r="CWU59" s="169"/>
      <c r="CWV59" s="169"/>
      <c r="CWW59" s="169"/>
      <c r="CWX59" s="169"/>
      <c r="CWY59" s="169"/>
      <c r="CWZ59" s="169"/>
      <c r="CXA59" s="169"/>
      <c r="CXB59" s="169"/>
      <c r="CXC59" s="169"/>
      <c r="CXD59" s="169"/>
      <c r="CXE59" s="169"/>
      <c r="CXF59" s="169"/>
      <c r="CXG59" s="169"/>
      <c r="CXH59" s="169"/>
      <c r="CXI59" s="169"/>
      <c r="CXJ59" s="169"/>
      <c r="CXK59" s="169"/>
      <c r="CXL59" s="169"/>
      <c r="CXM59" s="169"/>
      <c r="CXN59" s="169"/>
      <c r="CXO59" s="169"/>
      <c r="CXP59" s="169"/>
      <c r="CXQ59" s="169"/>
      <c r="CXR59" s="169"/>
      <c r="CXS59" s="169"/>
      <c r="CXT59" s="169"/>
      <c r="CXU59" s="169"/>
      <c r="CXV59" s="169"/>
      <c r="CXW59" s="169"/>
      <c r="CXX59" s="169"/>
      <c r="CXY59" s="169"/>
      <c r="CXZ59" s="169"/>
      <c r="CYA59" s="169"/>
      <c r="CYB59" s="169"/>
      <c r="CYC59" s="169"/>
      <c r="CYD59" s="169"/>
      <c r="CYE59" s="169"/>
      <c r="CYF59" s="169"/>
      <c r="CYG59" s="169"/>
      <c r="CYH59" s="169"/>
      <c r="CYI59" s="169"/>
      <c r="CYJ59" s="169"/>
      <c r="CYK59" s="169"/>
      <c r="CYL59" s="169"/>
      <c r="CYM59" s="169"/>
      <c r="CYN59" s="169"/>
      <c r="CYO59" s="169"/>
      <c r="CYP59" s="169"/>
      <c r="CYQ59" s="169"/>
      <c r="CYR59" s="169"/>
      <c r="CYS59" s="169"/>
      <c r="CYT59" s="169"/>
      <c r="CYU59" s="169"/>
      <c r="CYV59" s="169"/>
      <c r="CYW59" s="169"/>
      <c r="CYX59" s="169"/>
      <c r="CYY59" s="169"/>
      <c r="CYZ59" s="169"/>
      <c r="CZA59" s="169"/>
      <c r="CZB59" s="169"/>
      <c r="CZC59" s="169"/>
      <c r="CZD59" s="169"/>
      <c r="CZE59" s="169"/>
      <c r="CZF59" s="169"/>
      <c r="CZG59" s="169"/>
      <c r="CZH59" s="169"/>
      <c r="CZI59" s="169"/>
      <c r="CZJ59" s="169"/>
      <c r="CZK59" s="169"/>
      <c r="CZL59" s="169"/>
      <c r="CZM59" s="169"/>
      <c r="CZN59" s="169"/>
      <c r="CZO59" s="169"/>
      <c r="CZP59" s="169"/>
      <c r="CZQ59" s="169"/>
      <c r="CZR59" s="169"/>
      <c r="CZS59" s="169"/>
      <c r="CZT59" s="169"/>
      <c r="CZU59" s="169"/>
      <c r="CZV59" s="169"/>
      <c r="CZW59" s="169"/>
      <c r="CZX59" s="169"/>
      <c r="CZY59" s="169"/>
      <c r="CZZ59" s="169"/>
      <c r="DAA59" s="169"/>
      <c r="DAB59" s="169"/>
      <c r="DAC59" s="169"/>
      <c r="DAD59" s="169"/>
      <c r="DAE59" s="169"/>
      <c r="DAF59" s="169"/>
      <c r="DAG59" s="169"/>
      <c r="DAH59" s="169"/>
      <c r="DAI59" s="169"/>
      <c r="DAJ59" s="169"/>
      <c r="DAK59" s="169"/>
      <c r="DAL59" s="169"/>
      <c r="DAM59" s="169"/>
      <c r="DAN59" s="169"/>
      <c r="DAO59" s="169"/>
      <c r="DAP59" s="169"/>
      <c r="DAQ59" s="169"/>
      <c r="DAR59" s="169"/>
      <c r="DAS59" s="169"/>
      <c r="DAT59" s="169"/>
      <c r="DAU59" s="169"/>
      <c r="DAV59" s="169"/>
      <c r="DAW59" s="169"/>
      <c r="DAX59" s="169"/>
      <c r="DAY59" s="169"/>
      <c r="DAZ59" s="169"/>
      <c r="DBA59" s="169"/>
      <c r="DBB59" s="169"/>
      <c r="DBC59" s="169"/>
      <c r="DBD59" s="169"/>
      <c r="DBE59" s="169"/>
      <c r="DBF59" s="169"/>
      <c r="DBG59" s="169"/>
      <c r="DBH59" s="169"/>
      <c r="DBI59" s="169"/>
      <c r="DBJ59" s="169"/>
      <c r="DBK59" s="169"/>
      <c r="DBL59" s="169"/>
      <c r="DBM59" s="169"/>
      <c r="DBN59" s="169"/>
      <c r="DBO59" s="169"/>
      <c r="DBP59" s="169"/>
      <c r="DBQ59" s="169"/>
      <c r="DBR59" s="169"/>
      <c r="DBS59" s="169"/>
      <c r="DBT59" s="169"/>
      <c r="DBU59" s="169"/>
      <c r="DBV59" s="169"/>
      <c r="DBW59" s="169"/>
      <c r="DBX59" s="169"/>
      <c r="DBY59" s="169"/>
      <c r="DBZ59" s="169"/>
      <c r="DCA59" s="169"/>
      <c r="DCB59" s="169"/>
      <c r="DCC59" s="169"/>
      <c r="DCD59" s="169"/>
      <c r="DCE59" s="169"/>
      <c r="DCF59" s="169"/>
      <c r="DCG59" s="169"/>
      <c r="DCH59" s="169"/>
      <c r="DCI59" s="169"/>
      <c r="DCJ59" s="169"/>
      <c r="DCK59" s="169"/>
      <c r="DCL59" s="169"/>
      <c r="DCM59" s="169"/>
      <c r="DCN59" s="169"/>
      <c r="DCO59" s="169"/>
      <c r="DCP59" s="169"/>
      <c r="DCQ59" s="169"/>
      <c r="DCR59" s="169"/>
      <c r="DCS59" s="169"/>
      <c r="DCT59" s="169"/>
      <c r="DCU59" s="169"/>
      <c r="DCV59" s="169"/>
      <c r="DCW59" s="169"/>
      <c r="DCX59" s="169"/>
      <c r="DCY59" s="169"/>
      <c r="DCZ59" s="169"/>
      <c r="DDA59" s="169"/>
      <c r="DDB59" s="169"/>
      <c r="DDC59" s="169"/>
      <c r="DDD59" s="169"/>
      <c r="DDE59" s="169"/>
      <c r="DDF59" s="169"/>
      <c r="DDG59" s="169"/>
      <c r="DDH59" s="169"/>
      <c r="DDI59" s="169"/>
      <c r="DDJ59" s="169"/>
      <c r="DDK59" s="169"/>
      <c r="DDL59" s="169"/>
      <c r="DDM59" s="169"/>
      <c r="DDN59" s="169"/>
      <c r="DDO59" s="169"/>
      <c r="DDP59" s="169"/>
      <c r="DDQ59" s="169"/>
      <c r="DDR59" s="169"/>
      <c r="DDS59" s="169"/>
      <c r="DDT59" s="169"/>
      <c r="DDU59" s="169"/>
      <c r="DDV59" s="169"/>
      <c r="DDW59" s="169"/>
      <c r="DDX59" s="169"/>
      <c r="DDY59" s="169"/>
      <c r="DDZ59" s="169"/>
      <c r="DEA59" s="169"/>
      <c r="DEB59" s="169"/>
      <c r="DEC59" s="169"/>
      <c r="DED59" s="169"/>
      <c r="DEE59" s="169"/>
      <c r="DEF59" s="169"/>
      <c r="DEG59" s="169"/>
      <c r="DEH59" s="169"/>
      <c r="DEI59" s="169"/>
      <c r="DEJ59" s="169"/>
      <c r="DEK59" s="169"/>
      <c r="DEL59" s="169"/>
      <c r="DEM59" s="169"/>
      <c r="DEN59" s="169"/>
      <c r="DEO59" s="169"/>
      <c r="DEP59" s="169"/>
      <c r="DEQ59" s="169"/>
      <c r="DER59" s="169"/>
      <c r="DES59" s="169"/>
      <c r="DET59" s="169"/>
      <c r="DEU59" s="169"/>
      <c r="DEV59" s="169"/>
      <c r="DEW59" s="169"/>
      <c r="DEX59" s="169"/>
      <c r="DEY59" s="169"/>
      <c r="DEZ59" s="169"/>
      <c r="DFA59" s="169"/>
      <c r="DFB59" s="169"/>
      <c r="DFC59" s="169"/>
      <c r="DFD59" s="169"/>
      <c r="DFE59" s="169"/>
      <c r="DFF59" s="169"/>
      <c r="DFG59" s="169"/>
      <c r="DFH59" s="169"/>
      <c r="DFI59" s="169"/>
      <c r="DFJ59" s="169"/>
      <c r="DFK59" s="169"/>
      <c r="DFL59" s="169"/>
      <c r="DFM59" s="169"/>
      <c r="DFN59" s="169"/>
      <c r="DFO59" s="169"/>
      <c r="DFP59" s="169"/>
      <c r="DFQ59" s="169"/>
      <c r="DFR59" s="169"/>
      <c r="DFS59" s="169"/>
      <c r="DFT59" s="169"/>
      <c r="DFU59" s="169"/>
      <c r="DFV59" s="169"/>
      <c r="DFW59" s="169"/>
      <c r="DFX59" s="169"/>
      <c r="DFY59" s="169"/>
      <c r="DFZ59" s="169"/>
      <c r="DGA59" s="169"/>
      <c r="DGB59" s="169"/>
      <c r="DGC59" s="169"/>
      <c r="DGD59" s="169"/>
      <c r="DGE59" s="169"/>
      <c r="DGF59" s="169"/>
      <c r="DGG59" s="169"/>
      <c r="DGH59" s="169"/>
      <c r="DGI59" s="169"/>
      <c r="DGJ59" s="169"/>
      <c r="DGK59" s="169"/>
      <c r="DGL59" s="169"/>
      <c r="DGM59" s="169"/>
      <c r="DGN59" s="169"/>
      <c r="DGO59" s="169"/>
      <c r="DGP59" s="169"/>
      <c r="DGQ59" s="169"/>
      <c r="DGR59" s="169"/>
      <c r="DGS59" s="169"/>
      <c r="DGT59" s="169"/>
      <c r="DGU59" s="169"/>
      <c r="DGV59" s="169"/>
      <c r="DGW59" s="169"/>
      <c r="DGX59" s="169"/>
      <c r="DGY59" s="169"/>
      <c r="DGZ59" s="169"/>
      <c r="DHA59" s="169"/>
      <c r="DHB59" s="169"/>
      <c r="DHC59" s="169"/>
      <c r="DHD59" s="169"/>
      <c r="DHE59" s="169"/>
      <c r="DHF59" s="169"/>
      <c r="DHG59" s="169"/>
      <c r="DHH59" s="169"/>
      <c r="DHI59" s="169"/>
      <c r="DHJ59" s="169"/>
      <c r="DHK59" s="169"/>
      <c r="DHL59" s="169"/>
      <c r="DHM59" s="169"/>
      <c r="DHN59" s="169"/>
      <c r="DHO59" s="169"/>
      <c r="DHP59" s="169"/>
      <c r="DHQ59" s="169"/>
      <c r="DHR59" s="169"/>
      <c r="DHS59" s="169"/>
      <c r="DHT59" s="169"/>
      <c r="DHU59" s="169"/>
      <c r="DHV59" s="169"/>
      <c r="DHW59" s="169"/>
      <c r="DHX59" s="169"/>
      <c r="DHY59" s="169"/>
      <c r="DHZ59" s="169"/>
      <c r="DIA59" s="169"/>
      <c r="DIB59" s="169"/>
      <c r="DIC59" s="169"/>
      <c r="DID59" s="169"/>
      <c r="DIE59" s="169"/>
      <c r="DIF59" s="169"/>
      <c r="DIG59" s="169"/>
      <c r="DIH59" s="169"/>
      <c r="DII59" s="169"/>
      <c r="DIJ59" s="169"/>
      <c r="DIK59" s="169"/>
      <c r="DIL59" s="169"/>
      <c r="DIM59" s="169"/>
      <c r="DIN59" s="169"/>
      <c r="DIO59" s="169"/>
      <c r="DIP59" s="169"/>
      <c r="DIQ59" s="169"/>
      <c r="DIR59" s="169"/>
      <c r="DIS59" s="169"/>
      <c r="DIT59" s="169"/>
      <c r="DIU59" s="169"/>
      <c r="DIV59" s="169"/>
      <c r="DIW59" s="169"/>
      <c r="DIX59" s="169"/>
      <c r="DIY59" s="169"/>
      <c r="DIZ59" s="169"/>
      <c r="DJA59" s="169"/>
      <c r="DJB59" s="169"/>
      <c r="DJC59" s="169"/>
      <c r="DJD59" s="169"/>
      <c r="DJE59" s="169"/>
      <c r="DJF59" s="169"/>
      <c r="DJG59" s="169"/>
      <c r="DJH59" s="169"/>
      <c r="DJI59" s="169"/>
      <c r="DJJ59" s="169"/>
      <c r="DJK59" s="169"/>
      <c r="DJL59" s="169"/>
      <c r="DJM59" s="169"/>
      <c r="DJN59" s="169"/>
      <c r="DJO59" s="169"/>
      <c r="DJP59" s="169"/>
      <c r="DJQ59" s="169"/>
      <c r="DJR59" s="169"/>
      <c r="DJS59" s="169"/>
      <c r="DJT59" s="169"/>
      <c r="DJU59" s="169"/>
      <c r="DJV59" s="169"/>
      <c r="DJW59" s="169"/>
      <c r="DJX59" s="169"/>
      <c r="DJY59" s="169"/>
      <c r="DJZ59" s="169"/>
      <c r="DKA59" s="169"/>
      <c r="DKB59" s="169"/>
      <c r="DKC59" s="169"/>
      <c r="DKD59" s="169"/>
      <c r="DKE59" s="169"/>
      <c r="DKF59" s="169"/>
      <c r="DKG59" s="169"/>
      <c r="DKH59" s="169"/>
      <c r="DKI59" s="169"/>
      <c r="DKJ59" s="169"/>
      <c r="DKK59" s="169"/>
      <c r="DKL59" s="169"/>
      <c r="DKM59" s="169"/>
      <c r="DKN59" s="169"/>
      <c r="DKO59" s="169"/>
      <c r="DKP59" s="169"/>
      <c r="DKQ59" s="169"/>
      <c r="DKR59" s="169"/>
      <c r="DKS59" s="169"/>
      <c r="DKT59" s="169"/>
      <c r="DKU59" s="169"/>
      <c r="DKV59" s="169"/>
      <c r="DKW59" s="169"/>
      <c r="DKX59" s="169"/>
      <c r="DKY59" s="169"/>
      <c r="DKZ59" s="169"/>
      <c r="DLA59" s="169"/>
      <c r="DLB59" s="169"/>
      <c r="DLC59" s="169"/>
      <c r="DLD59" s="169"/>
      <c r="DLE59" s="169"/>
      <c r="DLF59" s="169"/>
      <c r="DLG59" s="169"/>
      <c r="DLH59" s="169"/>
      <c r="DLI59" s="169"/>
      <c r="DLJ59" s="169"/>
      <c r="DLK59" s="169"/>
      <c r="DLL59" s="169"/>
      <c r="DLM59" s="169"/>
      <c r="DLN59" s="169"/>
      <c r="DLO59" s="169"/>
      <c r="DLP59" s="169"/>
      <c r="DLQ59" s="169"/>
      <c r="DLR59" s="169"/>
      <c r="DLS59" s="169"/>
      <c r="DLT59" s="169"/>
      <c r="DLU59" s="169"/>
      <c r="DLV59" s="169"/>
      <c r="DLW59" s="169"/>
      <c r="DLX59" s="169"/>
      <c r="DLY59" s="169"/>
      <c r="DLZ59" s="169"/>
      <c r="DMA59" s="169"/>
      <c r="DMB59" s="169"/>
      <c r="DMC59" s="169"/>
      <c r="DMD59" s="169"/>
      <c r="DME59" s="169"/>
      <c r="DMF59" s="169"/>
      <c r="DMG59" s="169"/>
      <c r="DMH59" s="169"/>
      <c r="DMI59" s="169"/>
      <c r="DMJ59" s="169"/>
      <c r="DMK59" s="169"/>
      <c r="DML59" s="169"/>
      <c r="DMM59" s="169"/>
      <c r="DMN59" s="169"/>
      <c r="DMO59" s="169"/>
      <c r="DMP59" s="169"/>
      <c r="DMQ59" s="169"/>
      <c r="DMR59" s="169"/>
      <c r="DMS59" s="169"/>
      <c r="DMT59" s="169"/>
      <c r="DMU59" s="169"/>
      <c r="DMV59" s="169"/>
      <c r="DMW59" s="169"/>
      <c r="DMX59" s="169"/>
      <c r="DMY59" s="169"/>
      <c r="DMZ59" s="169"/>
      <c r="DNA59" s="169"/>
      <c r="DNB59" s="169"/>
      <c r="DNC59" s="169"/>
      <c r="DND59" s="169"/>
      <c r="DNE59" s="169"/>
      <c r="DNF59" s="169"/>
      <c r="DNG59" s="169"/>
      <c r="DNH59" s="169"/>
      <c r="DNI59" s="169"/>
      <c r="DNJ59" s="169"/>
      <c r="DNK59" s="169"/>
      <c r="DNL59" s="169"/>
      <c r="DNM59" s="169"/>
      <c r="DNN59" s="169"/>
      <c r="DNO59" s="169"/>
      <c r="DNP59" s="169"/>
      <c r="DNQ59" s="169"/>
      <c r="DNR59" s="169"/>
      <c r="DNS59" s="169"/>
      <c r="DNT59" s="169"/>
      <c r="DNU59" s="169"/>
      <c r="DNV59" s="169"/>
      <c r="DNW59" s="169"/>
      <c r="DNX59" s="169"/>
      <c r="DNY59" s="169"/>
      <c r="DNZ59" s="169"/>
      <c r="DOA59" s="169"/>
      <c r="DOB59" s="169"/>
      <c r="DOC59" s="169"/>
      <c r="DOD59" s="169"/>
      <c r="DOE59" s="169"/>
      <c r="DOF59" s="169"/>
      <c r="DOG59" s="169"/>
      <c r="DOH59" s="169"/>
      <c r="DOI59" s="169"/>
      <c r="DOJ59" s="169"/>
      <c r="DOK59" s="169"/>
      <c r="DOL59" s="169"/>
      <c r="DOM59" s="169"/>
      <c r="DON59" s="169"/>
      <c r="DOO59" s="169"/>
      <c r="DOP59" s="169"/>
      <c r="DOQ59" s="169"/>
      <c r="DOR59" s="169"/>
      <c r="DOS59" s="169"/>
      <c r="DOT59" s="169"/>
      <c r="DOU59" s="169"/>
      <c r="DOV59" s="169"/>
      <c r="DOW59" s="169"/>
      <c r="DOX59" s="169"/>
      <c r="DOY59" s="169"/>
      <c r="DOZ59" s="169"/>
      <c r="DPA59" s="169"/>
      <c r="DPB59" s="169"/>
      <c r="DPC59" s="169"/>
      <c r="DPD59" s="169"/>
      <c r="DPE59" s="169"/>
      <c r="DPF59" s="169"/>
      <c r="DPG59" s="169"/>
      <c r="DPH59" s="169"/>
      <c r="DPI59" s="169"/>
      <c r="DPJ59" s="169"/>
      <c r="DPK59" s="169"/>
      <c r="DPL59" s="169"/>
      <c r="DPM59" s="169"/>
      <c r="DPN59" s="169"/>
      <c r="DPO59" s="169"/>
      <c r="DPP59" s="169"/>
      <c r="DPQ59" s="169"/>
      <c r="DPR59" s="169"/>
      <c r="DPS59" s="169"/>
      <c r="DPT59" s="169"/>
      <c r="DPU59" s="169"/>
      <c r="DPV59" s="169"/>
      <c r="DPW59" s="169"/>
      <c r="DPX59" s="169"/>
      <c r="DPY59" s="169"/>
      <c r="DPZ59" s="169"/>
      <c r="DQA59" s="169"/>
      <c r="DQB59" s="169"/>
      <c r="DQC59" s="169"/>
      <c r="DQD59" s="169"/>
      <c r="DQE59" s="169"/>
      <c r="DQF59" s="169"/>
      <c r="DQG59" s="169"/>
      <c r="DQH59" s="169"/>
      <c r="DQI59" s="169"/>
      <c r="DQJ59" s="169"/>
      <c r="DQK59" s="169"/>
      <c r="DQL59" s="169"/>
      <c r="DQM59" s="169"/>
      <c r="DQN59" s="169"/>
      <c r="DQO59" s="169"/>
      <c r="DQP59" s="169"/>
      <c r="DQQ59" s="169"/>
      <c r="DQR59" s="169"/>
      <c r="DQS59" s="169"/>
      <c r="DQT59" s="169"/>
      <c r="DQU59" s="169"/>
      <c r="DQV59" s="169"/>
      <c r="DQW59" s="169"/>
      <c r="DQX59" s="169"/>
      <c r="DQY59" s="169"/>
      <c r="DQZ59" s="169"/>
      <c r="DRA59" s="169"/>
      <c r="DRB59" s="169"/>
      <c r="DRC59" s="169"/>
      <c r="DRD59" s="169"/>
      <c r="DRE59" s="169"/>
      <c r="DRF59" s="169"/>
      <c r="DRG59" s="169"/>
      <c r="DRH59" s="169"/>
      <c r="DRI59" s="169"/>
      <c r="DRJ59" s="169"/>
      <c r="DRK59" s="169"/>
      <c r="DRL59" s="169"/>
      <c r="DRM59" s="169"/>
      <c r="DRN59" s="169"/>
      <c r="DRO59" s="169"/>
      <c r="DRP59" s="169"/>
      <c r="DRQ59" s="169"/>
      <c r="DRR59" s="169"/>
      <c r="DRS59" s="169"/>
      <c r="DRT59" s="169"/>
      <c r="DRU59" s="169"/>
      <c r="DRV59" s="169"/>
      <c r="DRW59" s="169"/>
      <c r="DRX59" s="169"/>
      <c r="DRY59" s="169"/>
      <c r="DRZ59" s="169"/>
      <c r="DSA59" s="169"/>
      <c r="DSB59" s="169"/>
      <c r="DSC59" s="169"/>
      <c r="DSD59" s="169"/>
      <c r="DSE59" s="169"/>
      <c r="DSF59" s="169"/>
      <c r="DSG59" s="169"/>
      <c r="DSH59" s="169"/>
      <c r="DSI59" s="169"/>
      <c r="DSJ59" s="169"/>
      <c r="DSK59" s="169"/>
      <c r="DSL59" s="169"/>
      <c r="DSM59" s="169"/>
      <c r="DSN59" s="169"/>
      <c r="DSO59" s="169"/>
      <c r="DSP59" s="169"/>
      <c r="DSQ59" s="169"/>
      <c r="DSR59" s="169"/>
      <c r="DSS59" s="169"/>
      <c r="DST59" s="169"/>
      <c r="DSU59" s="169"/>
      <c r="DSV59" s="169"/>
      <c r="DSW59" s="169"/>
      <c r="DSX59" s="169"/>
      <c r="DSY59" s="169"/>
      <c r="DSZ59" s="169"/>
      <c r="DTA59" s="169"/>
      <c r="DTB59" s="169"/>
      <c r="DTC59" s="169"/>
      <c r="DTD59" s="169"/>
      <c r="DTE59" s="169"/>
      <c r="DTF59" s="169"/>
      <c r="DTG59" s="169"/>
      <c r="DTH59" s="169"/>
      <c r="DTI59" s="169"/>
      <c r="DTJ59" s="169"/>
      <c r="DTK59" s="169"/>
      <c r="DTL59" s="169"/>
      <c r="DTM59" s="169"/>
      <c r="DTN59" s="169"/>
      <c r="DTO59" s="169"/>
      <c r="DTP59" s="169"/>
      <c r="DTQ59" s="169"/>
      <c r="DTR59" s="169"/>
      <c r="DTS59" s="169"/>
      <c r="DTT59" s="169"/>
      <c r="DTU59" s="169"/>
      <c r="DTV59" s="169"/>
      <c r="DTW59" s="169"/>
      <c r="DTX59" s="169"/>
      <c r="DTY59" s="169"/>
      <c r="DTZ59" s="169"/>
      <c r="DUA59" s="169"/>
      <c r="DUB59" s="169"/>
      <c r="DUC59" s="169"/>
      <c r="DUD59" s="169"/>
      <c r="DUE59" s="169"/>
      <c r="DUF59" s="169"/>
      <c r="DUG59" s="169"/>
      <c r="DUH59" s="169"/>
      <c r="DUI59" s="169"/>
      <c r="DUJ59" s="169"/>
      <c r="DUK59" s="169"/>
      <c r="DUL59" s="169"/>
      <c r="DUM59" s="169"/>
      <c r="DUN59" s="169"/>
      <c r="DUO59" s="169"/>
      <c r="DUP59" s="169"/>
      <c r="DUQ59" s="169"/>
      <c r="DUR59" s="169"/>
      <c r="DUS59" s="169"/>
      <c r="DUT59" s="169"/>
      <c r="DUU59" s="169"/>
      <c r="DUV59" s="169"/>
      <c r="DUW59" s="169"/>
      <c r="DUX59" s="169"/>
      <c r="DUY59" s="169"/>
      <c r="DUZ59" s="169"/>
      <c r="DVA59" s="169"/>
      <c r="DVB59" s="169"/>
      <c r="DVC59" s="169"/>
      <c r="DVD59" s="169"/>
      <c r="DVE59" s="169"/>
      <c r="DVF59" s="169"/>
      <c r="DVG59" s="169"/>
      <c r="DVH59" s="169"/>
      <c r="DVI59" s="169"/>
      <c r="DVJ59" s="169"/>
      <c r="DVK59" s="169"/>
      <c r="DVL59" s="169"/>
      <c r="DVM59" s="169"/>
      <c r="DVN59" s="169"/>
      <c r="DVO59" s="169"/>
      <c r="DVP59" s="169"/>
      <c r="DVQ59" s="169"/>
      <c r="DVR59" s="169"/>
      <c r="DVS59" s="169"/>
      <c r="DVT59" s="169"/>
      <c r="DVU59" s="169"/>
      <c r="DVV59" s="169"/>
      <c r="DVW59" s="169"/>
      <c r="DVX59" s="169"/>
      <c r="DVY59" s="169"/>
      <c r="DVZ59" s="169"/>
      <c r="DWA59" s="169"/>
      <c r="DWB59" s="169"/>
      <c r="DWC59" s="169"/>
      <c r="DWD59" s="169"/>
      <c r="DWE59" s="169"/>
      <c r="DWF59" s="169"/>
      <c r="DWG59" s="169"/>
      <c r="DWH59" s="169"/>
      <c r="DWI59" s="169"/>
      <c r="DWJ59" s="169"/>
      <c r="DWK59" s="169"/>
      <c r="DWL59" s="169"/>
      <c r="DWM59" s="169"/>
      <c r="DWN59" s="169"/>
      <c r="DWO59" s="169"/>
      <c r="DWP59" s="169"/>
      <c r="DWQ59" s="169"/>
      <c r="DWR59" s="169"/>
      <c r="DWS59" s="169"/>
      <c r="DWT59" s="169"/>
      <c r="DWU59" s="169"/>
      <c r="DWV59" s="169"/>
      <c r="DWW59" s="169"/>
      <c r="DWX59" s="169"/>
      <c r="DWY59" s="169"/>
      <c r="DWZ59" s="169"/>
      <c r="DXA59" s="169"/>
      <c r="DXB59" s="169"/>
      <c r="DXC59" s="169"/>
      <c r="DXD59" s="169"/>
      <c r="DXE59" s="169"/>
      <c r="DXF59" s="169"/>
      <c r="DXG59" s="169"/>
      <c r="DXH59" s="169"/>
      <c r="DXI59" s="169"/>
      <c r="DXJ59" s="169"/>
      <c r="DXK59" s="169"/>
      <c r="DXL59" s="169"/>
      <c r="DXM59" s="169"/>
      <c r="DXN59" s="169"/>
      <c r="DXO59" s="169"/>
      <c r="DXP59" s="169"/>
      <c r="DXQ59" s="169"/>
      <c r="DXR59" s="169"/>
      <c r="DXS59" s="169"/>
      <c r="DXT59" s="169"/>
      <c r="DXU59" s="169"/>
      <c r="DXV59" s="169"/>
      <c r="DXW59" s="169"/>
      <c r="DXX59" s="169"/>
      <c r="DXY59" s="169"/>
      <c r="DXZ59" s="169"/>
      <c r="DYA59" s="169"/>
      <c r="DYB59" s="169"/>
      <c r="DYC59" s="169"/>
      <c r="DYD59" s="169"/>
      <c r="DYE59" s="169"/>
      <c r="DYF59" s="169"/>
      <c r="DYG59" s="169"/>
      <c r="DYH59" s="169"/>
      <c r="DYI59" s="169"/>
      <c r="DYJ59" s="169"/>
      <c r="DYK59" s="169"/>
      <c r="DYL59" s="169"/>
      <c r="DYM59" s="169"/>
      <c r="DYN59" s="169"/>
      <c r="DYO59" s="169"/>
      <c r="DYP59" s="169"/>
      <c r="DYQ59" s="169"/>
      <c r="DYR59" s="169"/>
      <c r="DYS59" s="169"/>
      <c r="DYT59" s="169"/>
      <c r="DYU59" s="169"/>
      <c r="DYV59" s="169"/>
      <c r="DYW59" s="169"/>
      <c r="DYX59" s="169"/>
      <c r="DYY59" s="169"/>
      <c r="DYZ59" s="169"/>
      <c r="DZA59" s="169"/>
      <c r="DZB59" s="169"/>
      <c r="DZC59" s="169"/>
      <c r="DZD59" s="169"/>
      <c r="DZE59" s="169"/>
      <c r="DZF59" s="169"/>
      <c r="DZG59" s="169"/>
      <c r="DZH59" s="169"/>
      <c r="DZI59" s="169"/>
      <c r="DZJ59" s="169"/>
      <c r="DZK59" s="169"/>
      <c r="DZL59" s="169"/>
      <c r="DZM59" s="169"/>
      <c r="DZN59" s="169"/>
      <c r="DZO59" s="169"/>
      <c r="DZP59" s="169"/>
      <c r="DZQ59" s="169"/>
      <c r="DZR59" s="169"/>
      <c r="DZS59" s="169"/>
      <c r="DZT59" s="169"/>
      <c r="DZU59" s="169"/>
      <c r="DZV59" s="169"/>
      <c r="DZW59" s="169"/>
      <c r="DZX59" s="169"/>
      <c r="DZY59" s="169"/>
      <c r="DZZ59" s="169"/>
      <c r="EAA59" s="169"/>
      <c r="EAB59" s="169"/>
      <c r="EAC59" s="169"/>
      <c r="EAD59" s="169"/>
      <c r="EAE59" s="169"/>
      <c r="EAF59" s="169"/>
      <c r="EAG59" s="169"/>
      <c r="EAH59" s="169"/>
      <c r="EAI59" s="169"/>
      <c r="EAJ59" s="169"/>
      <c r="EAK59" s="169"/>
      <c r="EAL59" s="169"/>
      <c r="EAM59" s="169"/>
      <c r="EAN59" s="169"/>
      <c r="EAO59" s="169"/>
      <c r="EAP59" s="169"/>
      <c r="EAQ59" s="169"/>
      <c r="EAR59" s="169"/>
      <c r="EAS59" s="169"/>
      <c r="EAT59" s="169"/>
      <c r="EAU59" s="169"/>
      <c r="EAV59" s="169"/>
      <c r="EAW59" s="169"/>
      <c r="EAX59" s="169"/>
      <c r="EAY59" s="169"/>
      <c r="EAZ59" s="169"/>
      <c r="EBA59" s="169"/>
      <c r="EBB59" s="169"/>
      <c r="EBC59" s="169"/>
      <c r="EBD59" s="169"/>
      <c r="EBE59" s="169"/>
      <c r="EBF59" s="169"/>
      <c r="EBG59" s="169"/>
      <c r="EBH59" s="169"/>
      <c r="EBI59" s="169"/>
      <c r="EBJ59" s="169"/>
      <c r="EBK59" s="169"/>
      <c r="EBL59" s="169"/>
      <c r="EBM59" s="169"/>
      <c r="EBN59" s="169"/>
      <c r="EBO59" s="169"/>
      <c r="EBP59" s="169"/>
      <c r="EBQ59" s="169"/>
      <c r="EBR59" s="169"/>
      <c r="EBS59" s="169"/>
      <c r="EBT59" s="169"/>
      <c r="EBU59" s="169"/>
      <c r="EBV59" s="169"/>
      <c r="EBW59" s="169"/>
      <c r="EBX59" s="169"/>
      <c r="EBY59" s="169"/>
      <c r="EBZ59" s="169"/>
      <c r="ECA59" s="169"/>
      <c r="ECB59" s="169"/>
      <c r="ECC59" s="169"/>
      <c r="ECD59" s="169"/>
      <c r="ECE59" s="169"/>
      <c r="ECF59" s="169"/>
      <c r="ECG59" s="169"/>
      <c r="ECH59" s="169"/>
      <c r="ECI59" s="169"/>
      <c r="ECJ59" s="169"/>
      <c r="ECK59" s="169"/>
      <c r="ECL59" s="169"/>
      <c r="ECM59" s="169"/>
      <c r="ECN59" s="169"/>
      <c r="ECO59" s="169"/>
      <c r="ECP59" s="169"/>
      <c r="ECQ59" s="169"/>
      <c r="ECR59" s="169"/>
      <c r="ECS59" s="169"/>
      <c r="ECT59" s="169"/>
      <c r="ECU59" s="169"/>
      <c r="ECV59" s="169"/>
      <c r="ECW59" s="169"/>
      <c r="ECX59" s="169"/>
      <c r="ECY59" s="169"/>
      <c r="ECZ59" s="169"/>
      <c r="EDA59" s="169"/>
      <c r="EDB59" s="169"/>
      <c r="EDC59" s="169"/>
      <c r="EDD59" s="169"/>
      <c r="EDE59" s="169"/>
      <c r="EDF59" s="169"/>
      <c r="EDG59" s="169"/>
      <c r="EDH59" s="169"/>
      <c r="EDI59" s="169"/>
      <c r="EDJ59" s="169"/>
      <c r="EDK59" s="169"/>
      <c r="EDL59" s="169"/>
      <c r="EDM59" s="169"/>
      <c r="EDN59" s="169"/>
      <c r="EDO59" s="169"/>
      <c r="EDP59" s="169"/>
      <c r="EDQ59" s="169"/>
      <c r="EDR59" s="169"/>
      <c r="EDS59" s="169"/>
      <c r="EDT59" s="169"/>
      <c r="EDU59" s="169"/>
      <c r="EDV59" s="169"/>
      <c r="EDW59" s="169"/>
      <c r="EDX59" s="169"/>
      <c r="EDY59" s="169"/>
      <c r="EDZ59" s="169"/>
      <c r="EEA59" s="169"/>
      <c r="EEB59" s="169"/>
      <c r="EEC59" s="169"/>
      <c r="EED59" s="169"/>
      <c r="EEE59" s="169"/>
      <c r="EEF59" s="169"/>
      <c r="EEG59" s="169"/>
      <c r="EEH59" s="169"/>
      <c r="EEI59" s="169"/>
      <c r="EEJ59" s="169"/>
      <c r="EEK59" s="169"/>
      <c r="EEL59" s="169"/>
      <c r="EEM59" s="169"/>
      <c r="EEN59" s="169"/>
      <c r="EEO59" s="169"/>
      <c r="EEP59" s="169"/>
      <c r="EEQ59" s="169"/>
      <c r="EER59" s="169"/>
      <c r="EES59" s="169"/>
      <c r="EET59" s="169"/>
      <c r="EEU59" s="169"/>
      <c r="EEV59" s="169"/>
      <c r="EEW59" s="169"/>
      <c r="EEX59" s="169"/>
      <c r="EEY59" s="169"/>
      <c r="EEZ59" s="169"/>
      <c r="EFA59" s="169"/>
      <c r="EFB59" s="169"/>
      <c r="EFC59" s="169"/>
      <c r="EFD59" s="169"/>
      <c r="EFE59" s="169"/>
      <c r="EFF59" s="169"/>
      <c r="EFG59" s="169"/>
      <c r="EFH59" s="169"/>
      <c r="EFI59" s="169"/>
      <c r="EFJ59" s="169"/>
      <c r="EFK59" s="169"/>
      <c r="EFL59" s="169"/>
      <c r="EFM59" s="169"/>
      <c r="EFN59" s="169"/>
      <c r="EFO59" s="169"/>
      <c r="EFP59" s="169"/>
      <c r="EFQ59" s="169"/>
      <c r="EFR59" s="169"/>
      <c r="EFS59" s="169"/>
      <c r="EFT59" s="169"/>
      <c r="EFU59" s="169"/>
      <c r="EFV59" s="169"/>
      <c r="EFW59" s="169"/>
      <c r="EFX59" s="169"/>
      <c r="EFY59" s="169"/>
      <c r="EFZ59" s="169"/>
      <c r="EGA59" s="169"/>
      <c r="EGB59" s="169"/>
      <c r="EGC59" s="169"/>
      <c r="EGD59" s="169"/>
      <c r="EGE59" s="169"/>
      <c r="EGF59" s="169"/>
      <c r="EGG59" s="169"/>
      <c r="EGH59" s="169"/>
      <c r="EGI59" s="169"/>
      <c r="EGJ59" s="169"/>
      <c r="EGK59" s="169"/>
      <c r="EGL59" s="169"/>
      <c r="EGM59" s="169"/>
      <c r="EGN59" s="169"/>
      <c r="EGO59" s="169"/>
      <c r="EGP59" s="169"/>
      <c r="EGQ59" s="169"/>
      <c r="EGR59" s="169"/>
      <c r="EGS59" s="169"/>
      <c r="EGT59" s="169"/>
      <c r="EGU59" s="169"/>
      <c r="EGV59" s="169"/>
      <c r="EGW59" s="169"/>
      <c r="EGX59" s="169"/>
      <c r="EGY59" s="169"/>
      <c r="EGZ59" s="169"/>
      <c r="EHA59" s="169"/>
      <c r="EHB59" s="169"/>
      <c r="EHC59" s="169"/>
      <c r="EHD59" s="169"/>
      <c r="EHE59" s="169"/>
      <c r="EHF59" s="169"/>
      <c r="EHG59" s="169"/>
      <c r="EHH59" s="169"/>
      <c r="EHI59" s="169"/>
      <c r="EHJ59" s="169"/>
      <c r="EHK59" s="169"/>
      <c r="EHL59" s="169"/>
      <c r="EHM59" s="169"/>
      <c r="EHN59" s="169"/>
      <c r="EHO59" s="169"/>
      <c r="EHP59" s="169"/>
      <c r="EHQ59" s="169"/>
      <c r="EHR59" s="169"/>
      <c r="EHS59" s="169"/>
      <c r="EHT59" s="169"/>
      <c r="EHU59" s="169"/>
      <c r="EHV59" s="169"/>
      <c r="EHW59" s="169"/>
      <c r="EHX59" s="169"/>
      <c r="EHY59" s="169"/>
      <c r="EHZ59" s="169"/>
      <c r="EIA59" s="169"/>
      <c r="EIB59" s="169"/>
      <c r="EIC59" s="169"/>
      <c r="EID59" s="169"/>
      <c r="EIE59" s="169"/>
      <c r="EIF59" s="169"/>
      <c r="EIG59" s="169"/>
      <c r="EIH59" s="169"/>
      <c r="EII59" s="169"/>
      <c r="EIJ59" s="169"/>
      <c r="EIK59" s="169"/>
      <c r="EIL59" s="169"/>
      <c r="EIM59" s="169"/>
      <c r="EIN59" s="169"/>
      <c r="EIO59" s="169"/>
      <c r="EIP59" s="169"/>
      <c r="EIQ59" s="169"/>
      <c r="EIR59" s="169"/>
      <c r="EIS59" s="169"/>
      <c r="EIT59" s="169"/>
      <c r="EIU59" s="169"/>
      <c r="EIV59" s="169"/>
      <c r="EIW59" s="169"/>
      <c r="EIX59" s="169"/>
      <c r="EIY59" s="169"/>
      <c r="EIZ59" s="169"/>
      <c r="EJA59" s="169"/>
      <c r="EJB59" s="169"/>
      <c r="EJC59" s="169"/>
      <c r="EJD59" s="169"/>
      <c r="EJE59" s="169"/>
      <c r="EJF59" s="169"/>
      <c r="EJG59" s="169"/>
      <c r="EJH59" s="169"/>
      <c r="EJI59" s="169"/>
      <c r="EJJ59" s="169"/>
      <c r="EJK59" s="169"/>
      <c r="EJL59" s="169"/>
      <c r="EJM59" s="169"/>
      <c r="EJN59" s="169"/>
      <c r="EJO59" s="169"/>
      <c r="EJP59" s="169"/>
      <c r="EJQ59" s="169"/>
      <c r="EJR59" s="169"/>
      <c r="EJS59" s="169"/>
      <c r="EJT59" s="169"/>
      <c r="EJU59" s="169"/>
      <c r="EJV59" s="169"/>
      <c r="EJW59" s="169"/>
      <c r="EJX59" s="169"/>
      <c r="EJY59" s="169"/>
      <c r="EJZ59" s="169"/>
      <c r="EKA59" s="169"/>
      <c r="EKB59" s="169"/>
      <c r="EKC59" s="169"/>
      <c r="EKD59" s="169"/>
      <c r="EKE59" s="169"/>
      <c r="EKF59" s="169"/>
      <c r="EKG59" s="169"/>
      <c r="EKH59" s="169"/>
      <c r="EKI59" s="169"/>
      <c r="EKJ59" s="169"/>
      <c r="EKK59" s="169"/>
      <c r="EKL59" s="169"/>
      <c r="EKM59" s="169"/>
      <c r="EKN59" s="169"/>
      <c r="EKO59" s="169"/>
      <c r="EKP59" s="169"/>
      <c r="EKQ59" s="169"/>
      <c r="EKR59" s="169"/>
      <c r="EKS59" s="169"/>
      <c r="EKT59" s="169"/>
      <c r="EKU59" s="169"/>
      <c r="EKV59" s="169"/>
      <c r="EKW59" s="169"/>
      <c r="EKX59" s="169"/>
      <c r="EKY59" s="169"/>
      <c r="EKZ59" s="169"/>
      <c r="ELA59" s="169"/>
      <c r="ELB59" s="169"/>
      <c r="ELC59" s="169"/>
      <c r="ELD59" s="169"/>
      <c r="ELE59" s="169"/>
      <c r="ELF59" s="169"/>
      <c r="ELG59" s="169"/>
      <c r="ELH59" s="169"/>
      <c r="ELI59" s="169"/>
      <c r="ELJ59" s="169"/>
      <c r="ELK59" s="169"/>
      <c r="ELL59" s="169"/>
      <c r="ELM59" s="169"/>
      <c r="ELN59" s="169"/>
      <c r="ELO59" s="169"/>
      <c r="ELP59" s="169"/>
      <c r="ELQ59" s="169"/>
      <c r="ELR59" s="169"/>
      <c r="ELS59" s="169"/>
      <c r="ELT59" s="169"/>
      <c r="ELU59" s="169"/>
      <c r="ELV59" s="169"/>
      <c r="ELW59" s="169"/>
      <c r="ELX59" s="169"/>
      <c r="ELY59" s="169"/>
      <c r="ELZ59" s="169"/>
      <c r="EMA59" s="169"/>
      <c r="EMB59" s="169"/>
      <c r="EMC59" s="169"/>
      <c r="EMD59" s="169"/>
      <c r="EME59" s="169"/>
      <c r="EMF59" s="169"/>
      <c r="EMG59" s="169"/>
      <c r="EMH59" s="169"/>
      <c r="EMI59" s="169"/>
      <c r="EMJ59" s="169"/>
      <c r="EMK59" s="169"/>
      <c r="EML59" s="169"/>
      <c r="EMM59" s="169"/>
      <c r="EMN59" s="169"/>
      <c r="EMO59" s="169"/>
      <c r="EMP59" s="169"/>
      <c r="EMQ59" s="169"/>
      <c r="EMR59" s="169"/>
      <c r="EMS59" s="169"/>
      <c r="EMT59" s="169"/>
      <c r="EMU59" s="169"/>
      <c r="EMV59" s="169"/>
      <c r="EMW59" s="169"/>
      <c r="EMX59" s="169"/>
      <c r="EMY59" s="169"/>
      <c r="EMZ59" s="169"/>
      <c r="ENA59" s="169"/>
      <c r="ENB59" s="169"/>
      <c r="ENC59" s="169"/>
      <c r="END59" s="169"/>
      <c r="ENE59" s="169"/>
      <c r="ENF59" s="169"/>
      <c r="ENG59" s="169"/>
      <c r="ENH59" s="169"/>
      <c r="ENI59" s="169"/>
      <c r="ENJ59" s="169"/>
      <c r="ENK59" s="169"/>
      <c r="ENL59" s="169"/>
      <c r="ENM59" s="169"/>
      <c r="ENN59" s="169"/>
      <c r="ENO59" s="169"/>
      <c r="ENP59" s="169"/>
      <c r="ENQ59" s="169"/>
      <c r="ENR59" s="169"/>
      <c r="ENS59" s="169"/>
      <c r="ENT59" s="169"/>
      <c r="ENU59" s="169"/>
      <c r="ENV59" s="169"/>
      <c r="ENW59" s="169"/>
      <c r="ENX59" s="169"/>
      <c r="ENY59" s="169"/>
      <c r="ENZ59" s="169"/>
      <c r="EOA59" s="169"/>
      <c r="EOB59" s="169"/>
      <c r="EOC59" s="169"/>
      <c r="EOD59" s="169"/>
      <c r="EOE59" s="169"/>
      <c r="EOF59" s="169"/>
      <c r="EOG59" s="169"/>
      <c r="EOH59" s="169"/>
      <c r="EOI59" s="169"/>
      <c r="EOJ59" s="169"/>
      <c r="EOK59" s="169"/>
      <c r="EOL59" s="169"/>
      <c r="EOM59" s="169"/>
      <c r="EON59" s="169"/>
      <c r="EOO59" s="169"/>
      <c r="EOP59" s="169"/>
      <c r="EOQ59" s="169"/>
      <c r="EOR59" s="169"/>
      <c r="EOS59" s="169"/>
      <c r="EOT59" s="169"/>
      <c r="EOU59" s="169"/>
      <c r="EOV59" s="169"/>
      <c r="EOW59" s="169"/>
      <c r="EOX59" s="169"/>
      <c r="EOY59" s="169"/>
      <c r="EOZ59" s="169"/>
      <c r="EPA59" s="169"/>
      <c r="EPB59" s="169"/>
      <c r="EPC59" s="169"/>
      <c r="EPD59" s="169"/>
      <c r="EPE59" s="169"/>
      <c r="EPF59" s="169"/>
      <c r="EPG59" s="169"/>
      <c r="EPH59" s="169"/>
      <c r="EPI59" s="169"/>
      <c r="EPJ59" s="169"/>
      <c r="EPK59" s="169"/>
      <c r="EPL59" s="169"/>
      <c r="EPM59" s="169"/>
      <c r="EPN59" s="169"/>
      <c r="EPO59" s="169"/>
      <c r="EPP59" s="169"/>
      <c r="EPQ59" s="169"/>
      <c r="EPR59" s="169"/>
      <c r="EPS59" s="169"/>
      <c r="EPT59" s="169"/>
      <c r="EPU59" s="169"/>
      <c r="EPV59" s="169"/>
      <c r="EPW59" s="169"/>
      <c r="EPX59" s="169"/>
      <c r="EPY59" s="169"/>
      <c r="EPZ59" s="169"/>
      <c r="EQA59" s="169"/>
      <c r="EQB59" s="169"/>
      <c r="EQC59" s="169"/>
      <c r="EQD59" s="169"/>
      <c r="EQE59" s="169"/>
      <c r="EQF59" s="169"/>
      <c r="EQG59" s="169"/>
      <c r="EQH59" s="169"/>
      <c r="EQI59" s="169"/>
      <c r="EQJ59" s="169"/>
      <c r="EQK59" s="169"/>
      <c r="EQL59" s="169"/>
      <c r="EQM59" s="169"/>
      <c r="EQN59" s="169"/>
      <c r="EQO59" s="169"/>
      <c r="EQP59" s="169"/>
      <c r="EQQ59" s="169"/>
      <c r="EQR59" s="169"/>
      <c r="EQS59" s="169"/>
      <c r="EQT59" s="169"/>
      <c r="EQU59" s="169"/>
      <c r="EQV59" s="169"/>
      <c r="EQW59" s="169"/>
      <c r="EQX59" s="169"/>
      <c r="EQY59" s="169"/>
      <c r="EQZ59" s="169"/>
      <c r="ERA59" s="169"/>
      <c r="ERB59" s="169"/>
      <c r="ERC59" s="169"/>
      <c r="ERD59" s="169"/>
      <c r="ERE59" s="169"/>
      <c r="ERF59" s="169"/>
      <c r="ERG59" s="169"/>
      <c r="ERH59" s="169"/>
      <c r="ERI59" s="169"/>
      <c r="ERJ59" s="169"/>
      <c r="ERK59" s="169"/>
      <c r="ERL59" s="169"/>
      <c r="ERM59" s="169"/>
      <c r="ERN59" s="169"/>
      <c r="ERO59" s="169"/>
      <c r="ERP59" s="169"/>
      <c r="ERQ59" s="169"/>
      <c r="ERR59" s="169"/>
      <c r="ERS59" s="169"/>
      <c r="ERT59" s="169"/>
      <c r="ERU59" s="169"/>
      <c r="ERV59" s="169"/>
      <c r="ERW59" s="169"/>
      <c r="ERX59" s="169"/>
      <c r="ERY59" s="169"/>
      <c r="ERZ59" s="169"/>
      <c r="ESA59" s="169"/>
      <c r="ESB59" s="169"/>
      <c r="ESC59" s="169"/>
      <c r="ESD59" s="169"/>
      <c r="ESE59" s="169"/>
      <c r="ESF59" s="169"/>
      <c r="ESG59" s="169"/>
      <c r="ESH59" s="169"/>
      <c r="ESI59" s="169"/>
      <c r="ESJ59" s="169"/>
      <c r="ESK59" s="169"/>
      <c r="ESL59" s="169"/>
      <c r="ESM59" s="169"/>
      <c r="ESN59" s="169"/>
      <c r="ESO59" s="169"/>
      <c r="ESP59" s="169"/>
      <c r="ESQ59" s="169"/>
      <c r="ESR59" s="169"/>
      <c r="ESS59" s="169"/>
      <c r="EST59" s="169"/>
      <c r="ESU59" s="169"/>
      <c r="ESV59" s="169"/>
      <c r="ESW59" s="169"/>
      <c r="ESX59" s="169"/>
      <c r="ESY59" s="169"/>
      <c r="ESZ59" s="169"/>
      <c r="ETA59" s="169"/>
      <c r="ETB59" s="169"/>
      <c r="ETC59" s="169"/>
      <c r="ETD59" s="169"/>
      <c r="ETE59" s="169"/>
      <c r="ETF59" s="169"/>
      <c r="ETG59" s="169"/>
      <c r="ETH59" s="169"/>
      <c r="ETI59" s="169"/>
      <c r="ETJ59" s="169"/>
      <c r="ETK59" s="169"/>
      <c r="ETL59" s="169"/>
      <c r="ETM59" s="169"/>
      <c r="ETN59" s="169"/>
      <c r="ETO59" s="169"/>
      <c r="ETP59" s="169"/>
      <c r="ETQ59" s="169"/>
      <c r="ETR59" s="169"/>
      <c r="ETS59" s="169"/>
      <c r="ETT59" s="169"/>
      <c r="ETU59" s="169"/>
      <c r="ETV59" s="169"/>
      <c r="ETW59" s="169"/>
      <c r="ETX59" s="169"/>
      <c r="ETY59" s="169"/>
      <c r="ETZ59" s="169"/>
      <c r="EUA59" s="169"/>
      <c r="EUB59" s="169"/>
      <c r="EUC59" s="169"/>
      <c r="EUD59" s="169"/>
      <c r="EUE59" s="169"/>
      <c r="EUF59" s="169"/>
      <c r="EUG59" s="169"/>
      <c r="EUH59" s="169"/>
      <c r="EUI59" s="169"/>
      <c r="EUJ59" s="169"/>
      <c r="EUK59" s="169"/>
      <c r="EUL59" s="169"/>
      <c r="EUM59" s="169"/>
      <c r="EUN59" s="169"/>
      <c r="EUO59" s="169"/>
      <c r="EUP59" s="169"/>
      <c r="EUQ59" s="169"/>
      <c r="EUR59" s="169"/>
      <c r="EUS59" s="169"/>
      <c r="EUT59" s="169"/>
      <c r="EUU59" s="169"/>
      <c r="EUV59" s="169"/>
      <c r="EUW59" s="169"/>
      <c r="EUX59" s="169"/>
      <c r="EUY59" s="169"/>
      <c r="EUZ59" s="169"/>
      <c r="EVA59" s="169"/>
      <c r="EVB59" s="169"/>
      <c r="EVC59" s="169"/>
      <c r="EVD59" s="169"/>
      <c r="EVE59" s="169"/>
      <c r="EVF59" s="169"/>
      <c r="EVG59" s="169"/>
      <c r="EVH59" s="169"/>
      <c r="EVI59" s="169"/>
      <c r="EVJ59" s="169"/>
      <c r="EVK59" s="169"/>
      <c r="EVL59" s="169"/>
      <c r="EVM59" s="169"/>
      <c r="EVN59" s="169"/>
      <c r="EVO59" s="169"/>
      <c r="EVP59" s="169"/>
      <c r="EVQ59" s="169"/>
      <c r="EVR59" s="169"/>
      <c r="EVS59" s="169"/>
      <c r="EVT59" s="169"/>
      <c r="EVU59" s="169"/>
      <c r="EVV59" s="169"/>
      <c r="EVW59" s="169"/>
      <c r="EVX59" s="169"/>
      <c r="EVY59" s="169"/>
      <c r="EVZ59" s="169"/>
      <c r="EWA59" s="169"/>
      <c r="EWB59" s="169"/>
      <c r="EWC59" s="169"/>
      <c r="EWD59" s="169"/>
      <c r="EWE59" s="169"/>
      <c r="EWF59" s="169"/>
      <c r="EWG59" s="169"/>
      <c r="EWH59" s="169"/>
      <c r="EWI59" s="169"/>
      <c r="EWJ59" s="169"/>
      <c r="EWK59" s="169"/>
      <c r="EWL59" s="169"/>
      <c r="EWM59" s="169"/>
      <c r="EWN59" s="169"/>
      <c r="EWO59" s="169"/>
      <c r="EWP59" s="169"/>
      <c r="EWQ59" s="169"/>
      <c r="EWR59" s="169"/>
      <c r="EWS59" s="169"/>
      <c r="EWT59" s="169"/>
      <c r="EWU59" s="169"/>
      <c r="EWV59" s="169"/>
      <c r="EWW59" s="169"/>
      <c r="EWX59" s="169"/>
      <c r="EWY59" s="169"/>
      <c r="EWZ59" s="169"/>
      <c r="EXA59" s="169"/>
      <c r="EXB59" s="169"/>
      <c r="EXC59" s="169"/>
      <c r="EXD59" s="169"/>
      <c r="EXE59" s="169"/>
      <c r="EXF59" s="169"/>
      <c r="EXG59" s="169"/>
      <c r="EXH59" s="169"/>
      <c r="EXI59" s="169"/>
      <c r="EXJ59" s="169"/>
      <c r="EXK59" s="169"/>
      <c r="EXL59" s="169"/>
      <c r="EXM59" s="169"/>
      <c r="EXN59" s="169"/>
      <c r="EXO59" s="169"/>
      <c r="EXP59" s="169"/>
      <c r="EXQ59" s="169"/>
      <c r="EXR59" s="169"/>
      <c r="EXS59" s="169"/>
      <c r="EXT59" s="169"/>
      <c r="EXU59" s="169"/>
      <c r="EXV59" s="169"/>
      <c r="EXW59" s="169"/>
      <c r="EXX59" s="169"/>
      <c r="EXY59" s="169"/>
      <c r="EXZ59" s="169"/>
      <c r="EYA59" s="169"/>
      <c r="EYB59" s="169"/>
      <c r="EYC59" s="169"/>
      <c r="EYD59" s="169"/>
      <c r="EYE59" s="169"/>
      <c r="EYF59" s="169"/>
      <c r="EYG59" s="169"/>
      <c r="EYH59" s="169"/>
      <c r="EYI59" s="169"/>
      <c r="EYJ59" s="169"/>
      <c r="EYK59" s="169"/>
      <c r="EYL59" s="169"/>
      <c r="EYM59" s="169"/>
      <c r="EYN59" s="169"/>
      <c r="EYO59" s="169"/>
      <c r="EYP59" s="169"/>
      <c r="EYQ59" s="169"/>
      <c r="EYR59" s="169"/>
      <c r="EYS59" s="169"/>
      <c r="EYT59" s="169"/>
      <c r="EYU59" s="169"/>
      <c r="EYV59" s="169"/>
      <c r="EYW59" s="169"/>
      <c r="EYX59" s="169"/>
      <c r="EYY59" s="169"/>
      <c r="EYZ59" s="169"/>
      <c r="EZA59" s="169"/>
      <c r="EZB59" s="169"/>
      <c r="EZC59" s="169"/>
      <c r="EZD59" s="169"/>
      <c r="EZE59" s="169"/>
      <c r="EZF59" s="169"/>
      <c r="EZG59" s="169"/>
      <c r="EZH59" s="169"/>
      <c r="EZI59" s="169"/>
      <c r="EZJ59" s="169"/>
      <c r="EZK59" s="169"/>
      <c r="EZL59" s="169"/>
      <c r="EZM59" s="169"/>
      <c r="EZN59" s="169"/>
      <c r="EZO59" s="169"/>
      <c r="EZP59" s="169"/>
      <c r="EZQ59" s="169"/>
      <c r="EZR59" s="169"/>
      <c r="EZS59" s="169"/>
      <c r="EZT59" s="169"/>
      <c r="EZU59" s="169"/>
      <c r="EZV59" s="169"/>
      <c r="EZW59" s="169"/>
      <c r="EZX59" s="169"/>
      <c r="EZY59" s="169"/>
      <c r="EZZ59" s="169"/>
      <c r="FAA59" s="169"/>
      <c r="FAB59" s="169"/>
      <c r="FAC59" s="169"/>
      <c r="FAD59" s="169"/>
      <c r="FAE59" s="169"/>
      <c r="FAF59" s="169"/>
      <c r="FAG59" s="169"/>
      <c r="FAH59" s="169"/>
      <c r="FAI59" s="169"/>
      <c r="FAJ59" s="169"/>
      <c r="FAK59" s="169"/>
      <c r="FAL59" s="169"/>
      <c r="FAM59" s="169"/>
      <c r="FAN59" s="169"/>
      <c r="FAO59" s="169"/>
      <c r="FAP59" s="169"/>
      <c r="FAQ59" s="169"/>
      <c r="FAR59" s="169"/>
      <c r="FAS59" s="169"/>
      <c r="FAT59" s="169"/>
      <c r="FAU59" s="169"/>
      <c r="FAV59" s="169"/>
      <c r="FAW59" s="169"/>
      <c r="FAX59" s="169"/>
      <c r="FAY59" s="169"/>
      <c r="FAZ59" s="169"/>
      <c r="FBA59" s="169"/>
      <c r="FBB59" s="169"/>
      <c r="FBC59" s="169"/>
      <c r="FBD59" s="169"/>
      <c r="FBE59" s="169"/>
      <c r="FBF59" s="169"/>
      <c r="FBG59" s="169"/>
      <c r="FBH59" s="169"/>
      <c r="FBI59" s="169"/>
      <c r="FBJ59" s="169"/>
      <c r="FBK59" s="169"/>
      <c r="FBL59" s="169"/>
      <c r="FBM59" s="169"/>
      <c r="FBN59" s="169"/>
      <c r="FBO59" s="169"/>
      <c r="FBP59" s="169"/>
      <c r="FBQ59" s="169"/>
      <c r="FBR59" s="169"/>
      <c r="FBS59" s="169"/>
      <c r="FBT59" s="169"/>
      <c r="FBU59" s="169"/>
      <c r="FBV59" s="169"/>
      <c r="FBW59" s="169"/>
      <c r="FBX59" s="169"/>
      <c r="FBY59" s="169"/>
      <c r="FBZ59" s="169"/>
      <c r="FCA59" s="169"/>
      <c r="FCB59" s="169"/>
      <c r="FCC59" s="169"/>
      <c r="FCD59" s="169"/>
      <c r="FCE59" s="169"/>
      <c r="FCF59" s="169"/>
      <c r="FCG59" s="169"/>
      <c r="FCH59" s="169"/>
      <c r="FCI59" s="169"/>
      <c r="FCJ59" s="169"/>
      <c r="FCK59" s="169"/>
      <c r="FCL59" s="169"/>
      <c r="FCM59" s="169"/>
      <c r="FCN59" s="169"/>
      <c r="FCO59" s="169"/>
      <c r="FCP59" s="169"/>
      <c r="FCQ59" s="169"/>
      <c r="FCR59" s="169"/>
      <c r="FCS59" s="169"/>
      <c r="FCT59" s="169"/>
      <c r="FCU59" s="169"/>
      <c r="FCV59" s="169"/>
      <c r="FCW59" s="169"/>
      <c r="FCX59" s="169"/>
      <c r="FCY59" s="169"/>
      <c r="FCZ59" s="169"/>
      <c r="FDA59" s="169"/>
      <c r="FDB59" s="169"/>
      <c r="FDC59" s="169"/>
      <c r="FDD59" s="169"/>
      <c r="FDE59" s="169"/>
      <c r="FDF59" s="169"/>
      <c r="FDG59" s="169"/>
      <c r="FDH59" s="169"/>
      <c r="FDI59" s="169"/>
      <c r="FDJ59" s="169"/>
      <c r="FDK59" s="169"/>
      <c r="FDL59" s="169"/>
      <c r="FDM59" s="169"/>
      <c r="FDN59" s="169"/>
      <c r="FDO59" s="169"/>
      <c r="FDP59" s="169"/>
      <c r="FDQ59" s="169"/>
      <c r="FDR59" s="169"/>
      <c r="FDS59" s="169"/>
      <c r="FDT59" s="169"/>
      <c r="FDU59" s="169"/>
      <c r="FDV59" s="169"/>
      <c r="FDW59" s="169"/>
      <c r="FDX59" s="169"/>
      <c r="FDY59" s="169"/>
      <c r="FDZ59" s="169"/>
      <c r="FEA59" s="169"/>
      <c r="FEB59" s="169"/>
      <c r="FEC59" s="169"/>
      <c r="FED59" s="169"/>
      <c r="FEE59" s="169"/>
      <c r="FEF59" s="169"/>
      <c r="FEG59" s="169"/>
      <c r="FEH59" s="169"/>
      <c r="FEI59" s="169"/>
      <c r="FEJ59" s="169"/>
      <c r="FEK59" s="169"/>
      <c r="FEL59" s="169"/>
      <c r="FEM59" s="169"/>
      <c r="FEN59" s="169"/>
      <c r="FEO59" s="169"/>
      <c r="FEP59" s="169"/>
      <c r="FEQ59" s="169"/>
      <c r="FER59" s="169"/>
      <c r="FES59" s="169"/>
      <c r="FET59" s="169"/>
      <c r="FEU59" s="169"/>
      <c r="FEV59" s="169"/>
      <c r="FEW59" s="169"/>
      <c r="FEX59" s="169"/>
      <c r="FEY59" s="169"/>
      <c r="FEZ59" s="169"/>
      <c r="FFA59" s="169"/>
      <c r="FFB59" s="169"/>
      <c r="FFC59" s="169"/>
      <c r="FFD59" s="169"/>
      <c r="FFE59" s="169"/>
      <c r="FFF59" s="169"/>
      <c r="FFG59" s="169"/>
      <c r="FFH59" s="169"/>
      <c r="FFI59" s="169"/>
      <c r="FFJ59" s="169"/>
      <c r="FFK59" s="169"/>
      <c r="FFL59" s="169"/>
      <c r="FFM59" s="169"/>
      <c r="FFN59" s="169"/>
      <c r="FFO59" s="169"/>
      <c r="FFP59" s="169"/>
      <c r="FFQ59" s="169"/>
      <c r="FFR59" s="169"/>
      <c r="FFS59" s="169"/>
      <c r="FFT59" s="169"/>
      <c r="FFU59" s="169"/>
      <c r="FFV59" s="169"/>
      <c r="FFW59" s="169"/>
      <c r="FFX59" s="169"/>
      <c r="FFY59" s="169"/>
      <c r="FFZ59" s="169"/>
      <c r="FGA59" s="169"/>
      <c r="FGB59" s="169"/>
      <c r="FGC59" s="169"/>
      <c r="FGD59" s="169"/>
      <c r="FGE59" s="169"/>
      <c r="FGF59" s="169"/>
      <c r="FGG59" s="169"/>
      <c r="FGH59" s="169"/>
      <c r="FGI59" s="169"/>
      <c r="FGJ59" s="169"/>
      <c r="FGK59" s="169"/>
      <c r="FGL59" s="169"/>
      <c r="FGM59" s="169"/>
      <c r="FGN59" s="169"/>
      <c r="FGO59" s="169"/>
      <c r="FGP59" s="169"/>
      <c r="FGQ59" s="169"/>
      <c r="FGR59" s="169"/>
      <c r="FGS59" s="169"/>
      <c r="FGT59" s="169"/>
      <c r="FGU59" s="169"/>
      <c r="FGV59" s="169"/>
      <c r="FGW59" s="169"/>
      <c r="FGX59" s="169"/>
      <c r="FGY59" s="169"/>
      <c r="FGZ59" s="169"/>
      <c r="FHA59" s="169"/>
      <c r="FHB59" s="169"/>
      <c r="FHC59" s="169"/>
      <c r="FHD59" s="169"/>
      <c r="FHE59" s="169"/>
      <c r="FHF59" s="169"/>
      <c r="FHG59" s="169"/>
      <c r="FHH59" s="169"/>
      <c r="FHI59" s="169"/>
      <c r="FHJ59" s="169"/>
      <c r="FHK59" s="169"/>
      <c r="FHL59" s="169"/>
      <c r="FHM59" s="169"/>
      <c r="FHN59" s="169"/>
      <c r="FHO59" s="169"/>
      <c r="FHP59" s="169"/>
      <c r="FHQ59" s="169"/>
      <c r="FHR59" s="169"/>
      <c r="FHS59" s="169"/>
      <c r="FHT59" s="169"/>
      <c r="FHU59" s="169"/>
      <c r="FHV59" s="169"/>
      <c r="FHW59" s="169"/>
      <c r="FHX59" s="169"/>
      <c r="FHY59" s="169"/>
      <c r="FHZ59" s="169"/>
      <c r="FIA59" s="169"/>
      <c r="FIB59" s="169"/>
      <c r="FIC59" s="169"/>
      <c r="FID59" s="169"/>
      <c r="FIE59" s="169"/>
      <c r="FIF59" s="169"/>
      <c r="FIG59" s="169"/>
      <c r="FIH59" s="169"/>
      <c r="FII59" s="169"/>
      <c r="FIJ59" s="169"/>
      <c r="FIK59" s="169"/>
      <c r="FIL59" s="169"/>
      <c r="FIM59" s="169"/>
      <c r="FIN59" s="169"/>
      <c r="FIO59" s="169"/>
      <c r="FIP59" s="169"/>
      <c r="FIQ59" s="169"/>
      <c r="FIR59" s="169"/>
      <c r="FIS59" s="169"/>
      <c r="FIT59" s="169"/>
      <c r="FIU59" s="169"/>
      <c r="FIV59" s="169"/>
      <c r="FIW59" s="169"/>
      <c r="FIX59" s="169"/>
      <c r="FIY59" s="169"/>
      <c r="FIZ59" s="169"/>
      <c r="FJA59" s="169"/>
      <c r="FJB59" s="169"/>
      <c r="FJC59" s="169"/>
      <c r="FJD59" s="169"/>
      <c r="FJE59" s="169"/>
      <c r="FJF59" s="169"/>
      <c r="FJG59" s="169"/>
      <c r="FJH59" s="169"/>
      <c r="FJI59" s="169"/>
      <c r="FJJ59" s="169"/>
      <c r="FJK59" s="169"/>
      <c r="FJL59" s="169"/>
      <c r="FJM59" s="169"/>
      <c r="FJN59" s="169"/>
      <c r="FJO59" s="169"/>
      <c r="FJP59" s="169"/>
      <c r="FJQ59" s="169"/>
      <c r="FJR59" s="169"/>
      <c r="FJS59" s="169"/>
      <c r="FJT59" s="169"/>
      <c r="FJU59" s="169"/>
      <c r="FJV59" s="169"/>
      <c r="FJW59" s="169"/>
      <c r="FJX59" s="169"/>
      <c r="FJY59" s="169"/>
      <c r="FJZ59" s="169"/>
      <c r="FKA59" s="169"/>
      <c r="FKB59" s="169"/>
      <c r="FKC59" s="169"/>
      <c r="FKD59" s="169"/>
      <c r="FKE59" s="169"/>
      <c r="FKF59" s="169"/>
      <c r="FKG59" s="169"/>
      <c r="FKH59" s="169"/>
      <c r="FKI59" s="169"/>
      <c r="FKJ59" s="169"/>
      <c r="FKK59" s="169"/>
      <c r="FKL59" s="169"/>
      <c r="FKM59" s="169"/>
      <c r="FKN59" s="169"/>
      <c r="FKO59" s="169"/>
      <c r="FKP59" s="169"/>
      <c r="FKQ59" s="169"/>
      <c r="FKR59" s="169"/>
      <c r="FKS59" s="169"/>
      <c r="FKT59" s="169"/>
      <c r="FKU59" s="169"/>
      <c r="FKV59" s="169"/>
      <c r="FKW59" s="169"/>
      <c r="FKX59" s="169"/>
      <c r="FKY59" s="169"/>
      <c r="FKZ59" s="169"/>
      <c r="FLA59" s="169"/>
      <c r="FLB59" s="169"/>
      <c r="FLC59" s="169"/>
      <c r="FLD59" s="169"/>
      <c r="FLE59" s="169"/>
      <c r="FLF59" s="169"/>
      <c r="FLG59" s="169"/>
      <c r="FLH59" s="169"/>
      <c r="FLI59" s="169"/>
      <c r="FLJ59" s="169"/>
      <c r="FLK59" s="169"/>
      <c r="FLL59" s="169"/>
      <c r="FLM59" s="169"/>
      <c r="FLN59" s="169"/>
      <c r="FLO59" s="169"/>
      <c r="FLP59" s="169"/>
      <c r="FLQ59" s="169"/>
      <c r="FLR59" s="169"/>
      <c r="FLS59" s="169"/>
      <c r="FLT59" s="169"/>
      <c r="FLU59" s="169"/>
      <c r="FLV59" s="169"/>
      <c r="FLW59" s="169"/>
      <c r="FLX59" s="169"/>
      <c r="FLY59" s="169"/>
      <c r="FLZ59" s="169"/>
      <c r="FMA59" s="169"/>
      <c r="FMB59" s="169"/>
      <c r="FMC59" s="169"/>
      <c r="FMD59" s="169"/>
      <c r="FME59" s="169"/>
      <c r="FMF59" s="169"/>
      <c r="FMG59" s="169"/>
      <c r="FMH59" s="169"/>
      <c r="FMI59" s="169"/>
      <c r="FMJ59" s="169"/>
      <c r="FMK59" s="169"/>
      <c r="FML59" s="169"/>
      <c r="FMM59" s="169"/>
      <c r="FMN59" s="169"/>
      <c r="FMO59" s="169"/>
      <c r="FMP59" s="169"/>
      <c r="FMQ59" s="169"/>
      <c r="FMR59" s="169"/>
      <c r="FMS59" s="169"/>
      <c r="FMT59" s="169"/>
      <c r="FMU59" s="169"/>
      <c r="FMV59" s="169"/>
      <c r="FMW59" s="169"/>
      <c r="FMX59" s="169"/>
      <c r="FMY59" s="169"/>
      <c r="FMZ59" s="169"/>
      <c r="FNA59" s="169"/>
      <c r="FNB59" s="169"/>
      <c r="FNC59" s="169"/>
      <c r="FND59" s="169"/>
      <c r="FNE59" s="169"/>
      <c r="FNF59" s="169"/>
      <c r="FNG59" s="169"/>
      <c r="FNH59" s="169"/>
      <c r="FNI59" s="169"/>
      <c r="FNJ59" s="169"/>
      <c r="FNK59" s="169"/>
      <c r="FNL59" s="169"/>
      <c r="FNM59" s="169"/>
      <c r="FNN59" s="169"/>
      <c r="FNO59" s="169"/>
      <c r="FNP59" s="169"/>
      <c r="FNQ59" s="169"/>
      <c r="FNR59" s="169"/>
      <c r="FNS59" s="169"/>
      <c r="FNT59" s="169"/>
      <c r="FNU59" s="169"/>
      <c r="FNV59" s="169"/>
      <c r="FNW59" s="169"/>
      <c r="FNX59" s="169"/>
      <c r="FNY59" s="169"/>
      <c r="FNZ59" s="169"/>
      <c r="FOA59" s="169"/>
      <c r="FOB59" s="169"/>
      <c r="FOC59" s="169"/>
      <c r="FOD59" s="169"/>
      <c r="FOE59" s="169"/>
      <c r="FOF59" s="169"/>
      <c r="FOG59" s="169"/>
      <c r="FOH59" s="169"/>
      <c r="FOI59" s="169"/>
      <c r="FOJ59" s="169"/>
      <c r="FOK59" s="169"/>
      <c r="FOL59" s="169"/>
      <c r="FOM59" s="169"/>
      <c r="FON59" s="169"/>
      <c r="FOO59" s="169"/>
      <c r="FOP59" s="169"/>
      <c r="FOQ59" s="169"/>
      <c r="FOR59" s="169"/>
      <c r="FOS59" s="169"/>
      <c r="FOT59" s="169"/>
      <c r="FOU59" s="169"/>
      <c r="FOV59" s="169"/>
      <c r="FOW59" s="169"/>
      <c r="FOX59" s="169"/>
      <c r="FOY59" s="169"/>
      <c r="FOZ59" s="169"/>
      <c r="FPA59" s="169"/>
      <c r="FPB59" s="169"/>
      <c r="FPC59" s="169"/>
      <c r="FPD59" s="169"/>
      <c r="FPE59" s="169"/>
      <c r="FPF59" s="169"/>
      <c r="FPG59" s="169"/>
      <c r="FPH59" s="169"/>
      <c r="FPI59" s="169"/>
      <c r="FPJ59" s="169"/>
      <c r="FPK59" s="169"/>
      <c r="FPL59" s="169"/>
      <c r="FPM59" s="169"/>
      <c r="FPN59" s="169"/>
      <c r="FPO59" s="169"/>
      <c r="FPP59" s="169"/>
      <c r="FPQ59" s="169"/>
      <c r="FPR59" s="169"/>
      <c r="FPS59" s="169"/>
      <c r="FPT59" s="169"/>
      <c r="FPU59" s="169"/>
      <c r="FPV59" s="169"/>
      <c r="FPW59" s="169"/>
      <c r="FPX59" s="169"/>
      <c r="FPY59" s="169"/>
      <c r="FPZ59" s="169"/>
      <c r="FQA59" s="169"/>
      <c r="FQB59" s="169"/>
      <c r="FQC59" s="169"/>
      <c r="FQD59" s="169"/>
      <c r="FQE59" s="169"/>
      <c r="FQF59" s="169"/>
      <c r="FQG59" s="169"/>
      <c r="FQH59" s="169"/>
      <c r="FQI59" s="169"/>
      <c r="FQJ59" s="169"/>
      <c r="FQK59" s="169"/>
      <c r="FQL59" s="169"/>
      <c r="FQM59" s="169"/>
      <c r="FQN59" s="169"/>
      <c r="FQO59" s="169"/>
      <c r="FQP59" s="169"/>
      <c r="FQQ59" s="169"/>
      <c r="FQR59" s="169"/>
      <c r="FQS59" s="169"/>
      <c r="FQT59" s="169"/>
      <c r="FQU59" s="169"/>
      <c r="FQV59" s="169"/>
      <c r="FQW59" s="169"/>
      <c r="FQX59" s="169"/>
      <c r="FQY59" s="169"/>
      <c r="FQZ59" s="169"/>
      <c r="FRA59" s="169"/>
      <c r="FRB59" s="169"/>
      <c r="FRC59" s="169"/>
      <c r="FRD59" s="169"/>
      <c r="FRE59" s="169"/>
      <c r="FRF59" s="169"/>
      <c r="FRG59" s="169"/>
      <c r="FRH59" s="169"/>
      <c r="FRI59" s="169"/>
      <c r="FRJ59" s="169"/>
      <c r="FRK59" s="169"/>
      <c r="FRL59" s="169"/>
      <c r="FRM59" s="169"/>
      <c r="FRN59" s="169"/>
      <c r="FRO59" s="169"/>
      <c r="FRP59" s="169"/>
      <c r="FRQ59" s="169"/>
      <c r="FRR59" s="169"/>
      <c r="FRS59" s="169"/>
      <c r="FRT59" s="169"/>
      <c r="FRU59" s="169"/>
      <c r="FRV59" s="169"/>
      <c r="FRW59" s="169"/>
      <c r="FRX59" s="169"/>
      <c r="FRY59" s="169"/>
      <c r="FRZ59" s="169"/>
      <c r="FSA59" s="169"/>
      <c r="FSB59" s="169"/>
      <c r="FSC59" s="169"/>
      <c r="FSD59" s="169"/>
      <c r="FSE59" s="169"/>
      <c r="FSF59" s="169"/>
      <c r="FSG59" s="169"/>
      <c r="FSH59" s="169"/>
      <c r="FSI59" s="169"/>
      <c r="FSJ59" s="169"/>
      <c r="FSK59" s="169"/>
      <c r="FSL59" s="169"/>
      <c r="FSM59" s="169"/>
      <c r="FSN59" s="169"/>
      <c r="FSO59" s="169"/>
      <c r="FSP59" s="169"/>
      <c r="FSQ59" s="169"/>
      <c r="FSR59" s="169"/>
      <c r="FSS59" s="169"/>
      <c r="FST59" s="169"/>
      <c r="FSU59" s="169"/>
      <c r="FSV59" s="169"/>
      <c r="FSW59" s="169"/>
      <c r="FSX59" s="169"/>
      <c r="FSY59" s="169"/>
      <c r="FSZ59" s="169"/>
      <c r="FTA59" s="169"/>
      <c r="FTB59" s="169"/>
      <c r="FTC59" s="169"/>
      <c r="FTD59" s="169"/>
      <c r="FTE59" s="169"/>
      <c r="FTF59" s="169"/>
      <c r="FTG59" s="169"/>
      <c r="FTH59" s="169"/>
      <c r="FTI59" s="169"/>
      <c r="FTJ59" s="169"/>
      <c r="FTK59" s="169"/>
      <c r="FTL59" s="169"/>
      <c r="FTM59" s="169"/>
      <c r="FTN59" s="169"/>
      <c r="FTO59" s="169"/>
      <c r="FTP59" s="169"/>
      <c r="FTQ59" s="169"/>
      <c r="FTR59" s="169"/>
      <c r="FTS59" s="169"/>
      <c r="FTT59" s="169"/>
      <c r="FTU59" s="169"/>
      <c r="FTV59" s="169"/>
      <c r="FTW59" s="169"/>
      <c r="FTX59" s="169"/>
      <c r="FTY59" s="169"/>
      <c r="FTZ59" s="169"/>
      <c r="FUA59" s="169"/>
      <c r="FUB59" s="169"/>
      <c r="FUC59" s="169"/>
      <c r="FUD59" s="169"/>
      <c r="FUE59" s="169"/>
      <c r="FUF59" s="169"/>
      <c r="FUG59" s="169"/>
      <c r="FUH59" s="169"/>
      <c r="FUI59" s="169"/>
      <c r="FUJ59" s="169"/>
      <c r="FUK59" s="169"/>
      <c r="FUL59" s="169"/>
      <c r="FUM59" s="169"/>
      <c r="FUN59" s="169"/>
      <c r="FUO59" s="169"/>
      <c r="FUP59" s="169"/>
      <c r="FUQ59" s="169"/>
      <c r="FUR59" s="169"/>
      <c r="FUS59" s="169"/>
      <c r="FUT59" s="169"/>
      <c r="FUU59" s="169"/>
      <c r="FUV59" s="169"/>
      <c r="FUW59" s="169"/>
      <c r="FUX59" s="169"/>
      <c r="FUY59" s="169"/>
      <c r="FUZ59" s="169"/>
      <c r="FVA59" s="169"/>
      <c r="FVB59" s="169"/>
      <c r="FVC59" s="169"/>
      <c r="FVD59" s="169"/>
      <c r="FVE59" s="169"/>
      <c r="FVF59" s="169"/>
      <c r="FVG59" s="169"/>
      <c r="FVH59" s="169"/>
      <c r="FVI59" s="169"/>
      <c r="FVJ59" s="169"/>
      <c r="FVK59" s="169"/>
      <c r="FVL59" s="169"/>
      <c r="FVM59" s="169"/>
      <c r="FVN59" s="169"/>
      <c r="FVO59" s="169"/>
      <c r="FVP59" s="169"/>
      <c r="FVQ59" s="169"/>
      <c r="FVR59" s="169"/>
      <c r="FVS59" s="169"/>
      <c r="FVT59" s="169"/>
      <c r="FVU59" s="169"/>
      <c r="FVV59" s="169"/>
      <c r="FVW59" s="169"/>
      <c r="FVX59" s="169"/>
      <c r="FVY59" s="169"/>
      <c r="FVZ59" s="169"/>
      <c r="FWA59" s="169"/>
      <c r="FWB59" s="169"/>
      <c r="FWC59" s="169"/>
      <c r="FWD59" s="169"/>
      <c r="FWE59" s="169"/>
      <c r="FWF59" s="169"/>
      <c r="FWG59" s="169"/>
      <c r="FWH59" s="169"/>
      <c r="FWI59" s="169"/>
      <c r="FWJ59" s="169"/>
      <c r="FWK59" s="169"/>
      <c r="FWL59" s="169"/>
      <c r="FWM59" s="169"/>
      <c r="FWN59" s="169"/>
      <c r="FWO59" s="169"/>
      <c r="FWP59" s="169"/>
      <c r="FWQ59" s="169"/>
      <c r="FWR59" s="169"/>
      <c r="FWS59" s="169"/>
      <c r="FWT59" s="169"/>
      <c r="FWU59" s="169"/>
      <c r="FWV59" s="169"/>
      <c r="FWW59" s="169"/>
      <c r="FWX59" s="169"/>
      <c r="FWY59" s="169"/>
      <c r="FWZ59" s="169"/>
      <c r="FXA59" s="169"/>
      <c r="FXB59" s="169"/>
      <c r="FXC59" s="169"/>
      <c r="FXD59" s="169"/>
      <c r="FXE59" s="169"/>
      <c r="FXF59" s="169"/>
      <c r="FXG59" s="169"/>
      <c r="FXH59" s="169"/>
      <c r="FXI59" s="169"/>
      <c r="FXJ59" s="169"/>
      <c r="FXK59" s="169"/>
      <c r="FXL59" s="169"/>
      <c r="FXM59" s="169"/>
      <c r="FXN59" s="169"/>
      <c r="FXO59" s="169"/>
      <c r="FXP59" s="169"/>
      <c r="FXQ59" s="169"/>
      <c r="FXR59" s="169"/>
      <c r="FXS59" s="169"/>
      <c r="FXT59" s="169"/>
      <c r="FXU59" s="169"/>
      <c r="FXV59" s="169"/>
      <c r="FXW59" s="169"/>
      <c r="FXX59" s="169"/>
      <c r="FXY59" s="169"/>
      <c r="FXZ59" s="169"/>
      <c r="FYA59" s="169"/>
      <c r="FYB59" s="169"/>
      <c r="FYC59" s="169"/>
      <c r="FYD59" s="169"/>
      <c r="FYE59" s="169"/>
      <c r="FYF59" s="169"/>
      <c r="FYG59" s="169"/>
      <c r="FYH59" s="169"/>
      <c r="FYI59" s="169"/>
      <c r="FYJ59" s="169"/>
      <c r="FYK59" s="169"/>
      <c r="FYL59" s="169"/>
      <c r="FYM59" s="169"/>
      <c r="FYN59" s="169"/>
      <c r="FYO59" s="169"/>
      <c r="FYP59" s="169"/>
      <c r="FYQ59" s="169"/>
      <c r="FYR59" s="169"/>
      <c r="FYS59" s="169"/>
      <c r="FYT59" s="169"/>
      <c r="FYU59" s="169"/>
      <c r="FYV59" s="169"/>
      <c r="FYW59" s="169"/>
      <c r="FYX59" s="169"/>
      <c r="FYY59" s="169"/>
      <c r="FYZ59" s="169"/>
      <c r="FZA59" s="169"/>
      <c r="FZB59" s="169"/>
      <c r="FZC59" s="169"/>
      <c r="FZD59" s="169"/>
      <c r="FZE59" s="169"/>
      <c r="FZF59" s="169"/>
      <c r="FZG59" s="169"/>
      <c r="FZH59" s="169"/>
      <c r="FZI59" s="169"/>
      <c r="FZJ59" s="169"/>
      <c r="FZK59" s="169"/>
      <c r="FZL59" s="169"/>
      <c r="FZM59" s="169"/>
      <c r="FZN59" s="169"/>
      <c r="FZO59" s="169"/>
      <c r="FZP59" s="169"/>
      <c r="FZQ59" s="169"/>
      <c r="FZR59" s="169"/>
      <c r="FZS59" s="169"/>
      <c r="FZT59" s="169"/>
      <c r="FZU59" s="169"/>
      <c r="FZV59" s="169"/>
      <c r="FZW59" s="169"/>
      <c r="FZX59" s="169"/>
      <c r="FZY59" s="169"/>
      <c r="FZZ59" s="169"/>
      <c r="GAA59" s="169"/>
      <c r="GAB59" s="169"/>
      <c r="GAC59" s="169"/>
      <c r="GAD59" s="169"/>
      <c r="GAE59" s="169"/>
      <c r="GAF59" s="169"/>
      <c r="GAG59" s="169"/>
      <c r="GAH59" s="169"/>
      <c r="GAI59" s="169"/>
      <c r="GAJ59" s="169"/>
      <c r="GAK59" s="169"/>
      <c r="GAL59" s="169"/>
      <c r="GAM59" s="169"/>
      <c r="GAN59" s="169"/>
      <c r="GAO59" s="169"/>
      <c r="GAP59" s="169"/>
      <c r="GAQ59" s="169"/>
      <c r="GAR59" s="169"/>
      <c r="GAS59" s="169"/>
      <c r="GAT59" s="169"/>
      <c r="GAU59" s="169"/>
      <c r="GAV59" s="169"/>
      <c r="GAW59" s="169"/>
      <c r="GAX59" s="169"/>
      <c r="GAY59" s="169"/>
      <c r="GAZ59" s="169"/>
      <c r="GBA59" s="169"/>
      <c r="GBB59" s="169"/>
      <c r="GBC59" s="169"/>
      <c r="GBD59" s="169"/>
      <c r="GBE59" s="169"/>
      <c r="GBF59" s="169"/>
      <c r="GBG59" s="169"/>
      <c r="GBH59" s="169"/>
      <c r="GBI59" s="169"/>
      <c r="GBJ59" s="169"/>
      <c r="GBK59" s="169"/>
      <c r="GBL59" s="169"/>
      <c r="GBM59" s="169"/>
      <c r="GBN59" s="169"/>
      <c r="GBO59" s="169"/>
      <c r="GBP59" s="169"/>
      <c r="GBQ59" s="169"/>
      <c r="GBR59" s="169"/>
      <c r="GBS59" s="169"/>
      <c r="GBT59" s="169"/>
      <c r="GBU59" s="169"/>
      <c r="GBV59" s="169"/>
      <c r="GBW59" s="169"/>
      <c r="GBX59" s="169"/>
      <c r="GBY59" s="169"/>
      <c r="GBZ59" s="169"/>
      <c r="GCA59" s="169"/>
      <c r="GCB59" s="169"/>
      <c r="GCC59" s="169"/>
      <c r="GCD59" s="169"/>
      <c r="GCE59" s="169"/>
      <c r="GCF59" s="169"/>
      <c r="GCG59" s="169"/>
      <c r="GCH59" s="169"/>
      <c r="GCI59" s="169"/>
      <c r="GCJ59" s="169"/>
      <c r="GCK59" s="169"/>
      <c r="GCL59" s="169"/>
      <c r="GCM59" s="169"/>
      <c r="GCN59" s="169"/>
      <c r="GCO59" s="169"/>
      <c r="GCP59" s="169"/>
      <c r="GCQ59" s="169"/>
      <c r="GCR59" s="169"/>
      <c r="GCS59" s="169"/>
      <c r="GCT59" s="169"/>
      <c r="GCU59" s="169"/>
      <c r="GCV59" s="169"/>
      <c r="GCW59" s="169"/>
      <c r="GCX59" s="169"/>
      <c r="GCY59" s="169"/>
      <c r="GCZ59" s="169"/>
      <c r="GDA59" s="169"/>
      <c r="GDB59" s="169"/>
      <c r="GDC59" s="169"/>
      <c r="GDD59" s="169"/>
      <c r="GDE59" s="169"/>
      <c r="GDF59" s="169"/>
      <c r="GDG59" s="169"/>
      <c r="GDH59" s="169"/>
      <c r="GDI59" s="169"/>
      <c r="GDJ59" s="169"/>
      <c r="GDK59" s="169"/>
      <c r="GDL59" s="169"/>
      <c r="GDM59" s="169"/>
      <c r="GDN59" s="169"/>
      <c r="GDO59" s="169"/>
      <c r="GDP59" s="169"/>
      <c r="GDQ59" s="169"/>
      <c r="GDR59" s="169"/>
      <c r="GDS59" s="169"/>
      <c r="GDT59" s="169"/>
      <c r="GDU59" s="169"/>
      <c r="GDV59" s="169"/>
      <c r="GDW59" s="169"/>
      <c r="GDX59" s="169"/>
      <c r="GDY59" s="169"/>
      <c r="GDZ59" s="169"/>
      <c r="GEA59" s="169"/>
      <c r="GEB59" s="169"/>
      <c r="GEC59" s="169"/>
      <c r="GED59" s="169"/>
      <c r="GEE59" s="169"/>
      <c r="GEF59" s="169"/>
      <c r="GEG59" s="169"/>
      <c r="GEH59" s="169"/>
      <c r="GEI59" s="169"/>
      <c r="GEJ59" s="169"/>
      <c r="GEK59" s="169"/>
      <c r="GEL59" s="169"/>
      <c r="GEM59" s="169"/>
      <c r="GEN59" s="169"/>
      <c r="GEO59" s="169"/>
      <c r="GEP59" s="169"/>
      <c r="GEQ59" s="169"/>
      <c r="GER59" s="169"/>
      <c r="GES59" s="169"/>
      <c r="GET59" s="169"/>
      <c r="GEU59" s="169"/>
      <c r="GEV59" s="169"/>
      <c r="GEW59" s="169"/>
      <c r="GEX59" s="169"/>
      <c r="GEY59" s="169"/>
      <c r="GEZ59" s="169"/>
      <c r="GFA59" s="169"/>
      <c r="GFB59" s="169"/>
      <c r="GFC59" s="169"/>
      <c r="GFD59" s="169"/>
      <c r="GFE59" s="169"/>
      <c r="GFF59" s="169"/>
      <c r="GFG59" s="169"/>
      <c r="GFH59" s="169"/>
      <c r="GFI59" s="169"/>
      <c r="GFJ59" s="169"/>
      <c r="GFK59" s="169"/>
      <c r="GFL59" s="169"/>
      <c r="GFM59" s="169"/>
      <c r="GFN59" s="169"/>
      <c r="GFO59" s="169"/>
      <c r="GFP59" s="169"/>
      <c r="GFQ59" s="169"/>
      <c r="GFR59" s="169"/>
      <c r="GFS59" s="169"/>
      <c r="GFT59" s="169"/>
      <c r="GFU59" s="169"/>
      <c r="GFV59" s="169"/>
      <c r="GFW59" s="169"/>
      <c r="GFX59" s="169"/>
      <c r="GFY59" s="169"/>
      <c r="GFZ59" s="169"/>
      <c r="GGA59" s="169"/>
      <c r="GGB59" s="169"/>
      <c r="GGC59" s="169"/>
      <c r="GGD59" s="169"/>
      <c r="GGE59" s="169"/>
      <c r="GGF59" s="169"/>
      <c r="GGG59" s="169"/>
      <c r="GGH59" s="169"/>
      <c r="GGI59" s="169"/>
      <c r="GGJ59" s="169"/>
      <c r="GGK59" s="169"/>
      <c r="GGL59" s="169"/>
      <c r="GGM59" s="169"/>
      <c r="GGN59" s="169"/>
      <c r="GGO59" s="169"/>
      <c r="GGP59" s="169"/>
      <c r="GGQ59" s="169"/>
      <c r="GGR59" s="169"/>
      <c r="GGS59" s="169"/>
      <c r="GGT59" s="169"/>
      <c r="GGU59" s="169"/>
      <c r="GGV59" s="169"/>
      <c r="GGW59" s="169"/>
      <c r="GGX59" s="169"/>
      <c r="GGY59" s="169"/>
      <c r="GGZ59" s="169"/>
      <c r="GHA59" s="169"/>
      <c r="GHB59" s="169"/>
      <c r="GHC59" s="169"/>
      <c r="GHD59" s="169"/>
      <c r="GHE59" s="169"/>
      <c r="GHF59" s="169"/>
      <c r="GHG59" s="169"/>
      <c r="GHH59" s="169"/>
      <c r="GHI59" s="169"/>
      <c r="GHJ59" s="169"/>
      <c r="GHK59" s="169"/>
      <c r="GHL59" s="169"/>
      <c r="GHM59" s="169"/>
      <c r="GHN59" s="169"/>
      <c r="GHO59" s="169"/>
      <c r="GHP59" s="169"/>
      <c r="GHQ59" s="169"/>
      <c r="GHR59" s="169"/>
      <c r="GHS59" s="169"/>
      <c r="GHT59" s="169"/>
      <c r="GHU59" s="169"/>
      <c r="GHV59" s="169"/>
      <c r="GHW59" s="169"/>
      <c r="GHX59" s="169"/>
      <c r="GHY59" s="169"/>
      <c r="GHZ59" s="169"/>
      <c r="GIA59" s="169"/>
      <c r="GIB59" s="169"/>
      <c r="GIC59" s="169"/>
      <c r="GID59" s="169"/>
      <c r="GIE59" s="169"/>
      <c r="GIF59" s="169"/>
      <c r="GIG59" s="169"/>
      <c r="GIH59" s="169"/>
      <c r="GII59" s="169"/>
      <c r="GIJ59" s="169"/>
      <c r="GIK59" s="169"/>
      <c r="GIL59" s="169"/>
      <c r="GIM59" s="169"/>
      <c r="GIN59" s="169"/>
      <c r="GIO59" s="169"/>
      <c r="GIP59" s="169"/>
      <c r="GIQ59" s="169"/>
      <c r="GIR59" s="169"/>
      <c r="GIS59" s="169"/>
      <c r="GIT59" s="169"/>
      <c r="GIU59" s="169"/>
      <c r="GIV59" s="169"/>
      <c r="GIW59" s="169"/>
      <c r="GIX59" s="169"/>
      <c r="GIY59" s="169"/>
      <c r="GIZ59" s="169"/>
      <c r="GJA59" s="169"/>
      <c r="GJB59" s="169"/>
      <c r="GJC59" s="169"/>
      <c r="GJD59" s="169"/>
      <c r="GJE59" s="169"/>
      <c r="GJF59" s="169"/>
      <c r="GJG59" s="169"/>
      <c r="GJH59" s="169"/>
      <c r="GJI59" s="169"/>
      <c r="GJJ59" s="169"/>
      <c r="GJK59" s="169"/>
      <c r="GJL59" s="169"/>
      <c r="GJM59" s="169"/>
      <c r="GJN59" s="169"/>
      <c r="GJO59" s="169"/>
      <c r="GJP59" s="169"/>
      <c r="GJQ59" s="169"/>
      <c r="GJR59" s="169"/>
      <c r="GJS59" s="169"/>
      <c r="GJT59" s="169"/>
      <c r="GJU59" s="169"/>
      <c r="GJV59" s="169"/>
      <c r="GJW59" s="169"/>
      <c r="GJX59" s="169"/>
      <c r="GJY59" s="169"/>
      <c r="GJZ59" s="169"/>
      <c r="GKA59" s="169"/>
      <c r="GKB59" s="169"/>
      <c r="GKC59" s="169"/>
      <c r="GKD59" s="169"/>
      <c r="GKE59" s="169"/>
      <c r="GKF59" s="169"/>
      <c r="GKG59" s="169"/>
      <c r="GKH59" s="169"/>
      <c r="GKI59" s="169"/>
      <c r="GKJ59" s="169"/>
      <c r="GKK59" s="169"/>
      <c r="GKL59" s="169"/>
      <c r="GKM59" s="169"/>
      <c r="GKN59" s="169"/>
      <c r="GKO59" s="169"/>
      <c r="GKP59" s="169"/>
      <c r="GKQ59" s="169"/>
      <c r="GKR59" s="169"/>
      <c r="GKS59" s="169"/>
      <c r="GKT59" s="169"/>
      <c r="GKU59" s="169"/>
      <c r="GKV59" s="169"/>
      <c r="GKW59" s="169"/>
      <c r="GKX59" s="169"/>
      <c r="GKY59" s="169"/>
      <c r="GKZ59" s="169"/>
      <c r="GLA59" s="169"/>
      <c r="GLB59" s="169"/>
      <c r="GLC59" s="169"/>
      <c r="GLD59" s="169"/>
      <c r="GLE59" s="169"/>
      <c r="GLF59" s="169"/>
      <c r="GLG59" s="169"/>
      <c r="GLH59" s="169"/>
      <c r="GLI59" s="169"/>
      <c r="GLJ59" s="169"/>
      <c r="GLK59" s="169"/>
      <c r="GLL59" s="169"/>
      <c r="GLM59" s="169"/>
      <c r="GLN59" s="169"/>
      <c r="GLO59" s="169"/>
      <c r="GLP59" s="169"/>
      <c r="GLQ59" s="169"/>
      <c r="GLR59" s="169"/>
      <c r="GLS59" s="169"/>
      <c r="GLT59" s="169"/>
      <c r="GLU59" s="169"/>
      <c r="GLV59" s="169"/>
      <c r="GLW59" s="169"/>
      <c r="GLX59" s="169"/>
      <c r="GLY59" s="169"/>
      <c r="GLZ59" s="169"/>
      <c r="GMA59" s="169"/>
      <c r="GMB59" s="169"/>
      <c r="GMC59" s="169"/>
      <c r="GMD59" s="169"/>
      <c r="GME59" s="169"/>
      <c r="GMF59" s="169"/>
      <c r="GMG59" s="169"/>
      <c r="GMH59" s="169"/>
      <c r="GMI59" s="169"/>
      <c r="GMJ59" s="169"/>
      <c r="GMK59" s="169"/>
      <c r="GML59" s="169"/>
      <c r="GMM59" s="169"/>
      <c r="GMN59" s="169"/>
      <c r="GMO59" s="169"/>
      <c r="GMP59" s="169"/>
      <c r="GMQ59" s="169"/>
      <c r="GMR59" s="169"/>
      <c r="GMS59" s="169"/>
      <c r="GMT59" s="169"/>
      <c r="GMU59" s="169"/>
      <c r="GMV59" s="169"/>
      <c r="GMW59" s="169"/>
      <c r="GMX59" s="169"/>
      <c r="GMY59" s="169"/>
      <c r="GMZ59" s="169"/>
      <c r="GNA59" s="169"/>
      <c r="GNB59" s="169"/>
      <c r="GNC59" s="169"/>
      <c r="GND59" s="169"/>
      <c r="GNE59" s="169"/>
      <c r="GNF59" s="169"/>
      <c r="GNG59" s="169"/>
      <c r="GNH59" s="169"/>
      <c r="GNI59" s="169"/>
      <c r="GNJ59" s="169"/>
      <c r="GNK59" s="169"/>
      <c r="GNL59" s="169"/>
      <c r="GNM59" s="169"/>
      <c r="GNN59" s="169"/>
      <c r="GNO59" s="169"/>
      <c r="GNP59" s="169"/>
      <c r="GNQ59" s="169"/>
      <c r="GNR59" s="169"/>
      <c r="GNS59" s="169"/>
      <c r="GNT59" s="169"/>
      <c r="GNU59" s="169"/>
      <c r="GNV59" s="169"/>
      <c r="GNW59" s="169"/>
      <c r="GNX59" s="169"/>
      <c r="GNY59" s="169"/>
      <c r="GNZ59" s="169"/>
      <c r="GOA59" s="169"/>
      <c r="GOB59" s="169"/>
      <c r="GOC59" s="169"/>
      <c r="GOD59" s="169"/>
      <c r="GOE59" s="169"/>
      <c r="GOF59" s="169"/>
      <c r="GOG59" s="169"/>
      <c r="GOH59" s="169"/>
      <c r="GOI59" s="169"/>
      <c r="GOJ59" s="169"/>
      <c r="GOK59" s="169"/>
      <c r="GOL59" s="169"/>
      <c r="GOM59" s="169"/>
      <c r="GON59" s="169"/>
      <c r="GOO59" s="169"/>
      <c r="GOP59" s="169"/>
      <c r="GOQ59" s="169"/>
      <c r="GOR59" s="169"/>
      <c r="GOS59" s="169"/>
      <c r="GOT59" s="169"/>
      <c r="GOU59" s="169"/>
      <c r="GOV59" s="169"/>
      <c r="GOW59" s="169"/>
      <c r="GOX59" s="169"/>
      <c r="GOY59" s="169"/>
      <c r="GOZ59" s="169"/>
      <c r="GPA59" s="169"/>
      <c r="GPB59" s="169"/>
      <c r="GPC59" s="169"/>
      <c r="GPD59" s="169"/>
      <c r="GPE59" s="169"/>
      <c r="GPF59" s="169"/>
      <c r="GPG59" s="169"/>
      <c r="GPH59" s="169"/>
      <c r="GPI59" s="169"/>
      <c r="GPJ59" s="169"/>
      <c r="GPK59" s="169"/>
      <c r="GPL59" s="169"/>
      <c r="GPM59" s="169"/>
      <c r="GPN59" s="169"/>
      <c r="GPO59" s="169"/>
      <c r="GPP59" s="169"/>
      <c r="GPQ59" s="169"/>
      <c r="GPR59" s="169"/>
      <c r="GPS59" s="169"/>
      <c r="GPT59" s="169"/>
      <c r="GPU59" s="169"/>
      <c r="GPV59" s="169"/>
      <c r="GPW59" s="169"/>
      <c r="GPX59" s="169"/>
      <c r="GPY59" s="169"/>
      <c r="GPZ59" s="169"/>
      <c r="GQA59" s="169"/>
      <c r="GQB59" s="169"/>
      <c r="GQC59" s="169"/>
      <c r="GQD59" s="169"/>
      <c r="GQE59" s="169"/>
      <c r="GQF59" s="169"/>
      <c r="GQG59" s="169"/>
      <c r="GQH59" s="169"/>
      <c r="GQI59" s="169"/>
      <c r="GQJ59" s="169"/>
      <c r="GQK59" s="169"/>
      <c r="GQL59" s="169"/>
      <c r="GQM59" s="169"/>
      <c r="GQN59" s="169"/>
      <c r="GQO59" s="169"/>
      <c r="GQP59" s="169"/>
      <c r="GQQ59" s="169"/>
      <c r="GQR59" s="169"/>
      <c r="GQS59" s="169"/>
      <c r="GQT59" s="169"/>
      <c r="GQU59" s="169"/>
      <c r="GQV59" s="169"/>
      <c r="GQW59" s="169"/>
      <c r="GQX59" s="169"/>
      <c r="GQY59" s="169"/>
      <c r="GQZ59" s="169"/>
      <c r="GRA59" s="169"/>
      <c r="GRB59" s="169"/>
      <c r="GRC59" s="169"/>
      <c r="GRD59" s="169"/>
      <c r="GRE59" s="169"/>
      <c r="GRF59" s="169"/>
      <c r="GRG59" s="169"/>
      <c r="GRH59" s="169"/>
      <c r="GRI59" s="169"/>
      <c r="GRJ59" s="169"/>
      <c r="GRK59" s="169"/>
      <c r="GRL59" s="169"/>
      <c r="GRM59" s="169"/>
      <c r="GRN59" s="169"/>
      <c r="GRO59" s="169"/>
      <c r="GRP59" s="169"/>
      <c r="GRQ59" s="169"/>
      <c r="GRR59" s="169"/>
      <c r="GRS59" s="169"/>
      <c r="GRT59" s="169"/>
      <c r="GRU59" s="169"/>
      <c r="GRV59" s="169"/>
      <c r="GRW59" s="169"/>
      <c r="GRX59" s="169"/>
      <c r="GRY59" s="169"/>
      <c r="GRZ59" s="169"/>
      <c r="GSA59" s="169"/>
      <c r="GSB59" s="169"/>
      <c r="GSC59" s="169"/>
      <c r="GSD59" s="169"/>
      <c r="GSE59" s="169"/>
      <c r="GSF59" s="169"/>
      <c r="GSG59" s="169"/>
      <c r="GSH59" s="169"/>
      <c r="GSI59" s="169"/>
      <c r="GSJ59" s="169"/>
      <c r="GSK59" s="169"/>
      <c r="GSL59" s="169"/>
      <c r="GSM59" s="169"/>
      <c r="GSN59" s="169"/>
      <c r="GSO59" s="169"/>
      <c r="GSP59" s="169"/>
      <c r="GSQ59" s="169"/>
      <c r="GSR59" s="169"/>
      <c r="GSS59" s="169"/>
      <c r="GST59" s="169"/>
      <c r="GSU59" s="169"/>
      <c r="GSV59" s="169"/>
      <c r="GSW59" s="169"/>
      <c r="GSX59" s="169"/>
      <c r="GSY59" s="169"/>
      <c r="GSZ59" s="169"/>
      <c r="GTA59" s="169"/>
      <c r="GTB59" s="169"/>
      <c r="GTC59" s="169"/>
      <c r="GTD59" s="169"/>
      <c r="GTE59" s="169"/>
      <c r="GTF59" s="169"/>
      <c r="GTG59" s="169"/>
      <c r="GTH59" s="169"/>
      <c r="GTI59" s="169"/>
      <c r="GTJ59" s="169"/>
      <c r="GTK59" s="169"/>
      <c r="GTL59" s="169"/>
      <c r="GTM59" s="169"/>
      <c r="GTN59" s="169"/>
      <c r="GTO59" s="169"/>
      <c r="GTP59" s="169"/>
      <c r="GTQ59" s="169"/>
      <c r="GTR59" s="169"/>
      <c r="GTS59" s="169"/>
      <c r="GTT59" s="169"/>
      <c r="GTU59" s="169"/>
      <c r="GTV59" s="169"/>
      <c r="GTW59" s="169"/>
      <c r="GTX59" s="169"/>
      <c r="GTY59" s="169"/>
      <c r="GTZ59" s="169"/>
      <c r="GUA59" s="169"/>
      <c r="GUB59" s="169"/>
      <c r="GUC59" s="169"/>
      <c r="GUD59" s="169"/>
      <c r="GUE59" s="169"/>
      <c r="GUF59" s="169"/>
      <c r="GUG59" s="169"/>
      <c r="GUH59" s="169"/>
      <c r="GUI59" s="169"/>
      <c r="GUJ59" s="169"/>
      <c r="GUK59" s="169"/>
      <c r="GUL59" s="169"/>
      <c r="GUM59" s="169"/>
      <c r="GUN59" s="169"/>
      <c r="GUO59" s="169"/>
      <c r="GUP59" s="169"/>
      <c r="GUQ59" s="169"/>
      <c r="GUR59" s="169"/>
      <c r="GUS59" s="169"/>
      <c r="GUT59" s="169"/>
      <c r="GUU59" s="169"/>
      <c r="GUV59" s="169"/>
      <c r="GUW59" s="169"/>
      <c r="GUX59" s="169"/>
      <c r="GUY59" s="169"/>
      <c r="GUZ59" s="169"/>
      <c r="GVA59" s="169"/>
      <c r="GVB59" s="169"/>
      <c r="GVC59" s="169"/>
      <c r="GVD59" s="169"/>
      <c r="GVE59" s="169"/>
      <c r="GVF59" s="169"/>
      <c r="GVG59" s="169"/>
      <c r="GVH59" s="169"/>
      <c r="GVI59" s="169"/>
      <c r="GVJ59" s="169"/>
      <c r="GVK59" s="169"/>
      <c r="GVL59" s="169"/>
      <c r="GVM59" s="169"/>
      <c r="GVN59" s="169"/>
      <c r="GVO59" s="169"/>
      <c r="GVP59" s="169"/>
      <c r="GVQ59" s="169"/>
      <c r="GVR59" s="169"/>
      <c r="GVS59" s="169"/>
      <c r="GVT59" s="169"/>
      <c r="GVU59" s="169"/>
      <c r="GVV59" s="169"/>
      <c r="GVW59" s="169"/>
      <c r="GVX59" s="169"/>
      <c r="GVY59" s="169"/>
      <c r="GVZ59" s="169"/>
      <c r="GWA59" s="169"/>
      <c r="GWB59" s="169"/>
      <c r="GWC59" s="169"/>
      <c r="GWD59" s="169"/>
      <c r="GWE59" s="169"/>
      <c r="GWF59" s="169"/>
      <c r="GWG59" s="169"/>
      <c r="GWH59" s="169"/>
      <c r="GWI59" s="169"/>
      <c r="GWJ59" s="169"/>
      <c r="GWK59" s="169"/>
      <c r="GWL59" s="169"/>
      <c r="GWM59" s="169"/>
      <c r="GWN59" s="169"/>
      <c r="GWO59" s="169"/>
      <c r="GWP59" s="169"/>
      <c r="GWQ59" s="169"/>
      <c r="GWR59" s="169"/>
      <c r="GWS59" s="169"/>
      <c r="GWT59" s="169"/>
      <c r="GWU59" s="169"/>
      <c r="GWV59" s="169"/>
      <c r="GWW59" s="169"/>
      <c r="GWX59" s="169"/>
      <c r="GWY59" s="169"/>
      <c r="GWZ59" s="169"/>
      <c r="GXA59" s="169"/>
      <c r="GXB59" s="169"/>
      <c r="GXC59" s="169"/>
      <c r="GXD59" s="169"/>
      <c r="GXE59" s="169"/>
      <c r="GXF59" s="169"/>
      <c r="GXG59" s="169"/>
      <c r="GXH59" s="169"/>
      <c r="GXI59" s="169"/>
      <c r="GXJ59" s="169"/>
      <c r="GXK59" s="169"/>
      <c r="GXL59" s="169"/>
      <c r="GXM59" s="169"/>
      <c r="GXN59" s="169"/>
      <c r="GXO59" s="169"/>
      <c r="GXP59" s="169"/>
      <c r="GXQ59" s="169"/>
      <c r="GXR59" s="169"/>
      <c r="GXS59" s="169"/>
      <c r="GXT59" s="169"/>
      <c r="GXU59" s="169"/>
      <c r="GXV59" s="169"/>
      <c r="GXW59" s="169"/>
      <c r="GXX59" s="169"/>
      <c r="GXY59" s="169"/>
      <c r="GXZ59" s="169"/>
      <c r="GYA59" s="169"/>
      <c r="GYB59" s="169"/>
      <c r="GYC59" s="169"/>
      <c r="GYD59" s="169"/>
      <c r="GYE59" s="169"/>
      <c r="GYF59" s="169"/>
      <c r="GYG59" s="169"/>
      <c r="GYH59" s="169"/>
      <c r="GYI59" s="169"/>
      <c r="GYJ59" s="169"/>
      <c r="GYK59" s="169"/>
      <c r="GYL59" s="169"/>
      <c r="GYM59" s="169"/>
      <c r="GYN59" s="169"/>
      <c r="GYO59" s="169"/>
      <c r="GYP59" s="169"/>
      <c r="GYQ59" s="169"/>
      <c r="GYR59" s="169"/>
      <c r="GYS59" s="169"/>
      <c r="GYT59" s="169"/>
      <c r="GYU59" s="169"/>
      <c r="GYV59" s="169"/>
      <c r="GYW59" s="169"/>
      <c r="GYX59" s="169"/>
      <c r="GYY59" s="169"/>
      <c r="GYZ59" s="169"/>
      <c r="GZA59" s="169"/>
      <c r="GZB59" s="169"/>
      <c r="GZC59" s="169"/>
      <c r="GZD59" s="169"/>
      <c r="GZE59" s="169"/>
      <c r="GZF59" s="169"/>
      <c r="GZG59" s="169"/>
      <c r="GZH59" s="169"/>
      <c r="GZI59" s="169"/>
      <c r="GZJ59" s="169"/>
      <c r="GZK59" s="169"/>
      <c r="GZL59" s="169"/>
      <c r="GZM59" s="169"/>
      <c r="GZN59" s="169"/>
      <c r="GZO59" s="169"/>
      <c r="GZP59" s="169"/>
      <c r="GZQ59" s="169"/>
      <c r="GZR59" s="169"/>
      <c r="GZS59" s="169"/>
      <c r="GZT59" s="169"/>
      <c r="GZU59" s="169"/>
      <c r="GZV59" s="169"/>
      <c r="GZW59" s="169"/>
      <c r="GZX59" s="169"/>
      <c r="GZY59" s="169"/>
      <c r="GZZ59" s="169"/>
      <c r="HAA59" s="169"/>
      <c r="HAB59" s="169"/>
      <c r="HAC59" s="169"/>
      <c r="HAD59" s="169"/>
      <c r="HAE59" s="169"/>
      <c r="HAF59" s="169"/>
      <c r="HAG59" s="169"/>
      <c r="HAH59" s="169"/>
      <c r="HAI59" s="169"/>
      <c r="HAJ59" s="169"/>
      <c r="HAK59" s="169"/>
      <c r="HAL59" s="169"/>
      <c r="HAM59" s="169"/>
      <c r="HAN59" s="169"/>
      <c r="HAO59" s="169"/>
      <c r="HAP59" s="169"/>
      <c r="HAQ59" s="169"/>
      <c r="HAR59" s="169"/>
      <c r="HAS59" s="169"/>
      <c r="HAT59" s="169"/>
      <c r="HAU59" s="169"/>
      <c r="HAV59" s="169"/>
      <c r="HAW59" s="169"/>
      <c r="HAX59" s="169"/>
      <c r="HAY59" s="169"/>
      <c r="HAZ59" s="169"/>
      <c r="HBA59" s="169"/>
      <c r="HBB59" s="169"/>
      <c r="HBC59" s="169"/>
      <c r="HBD59" s="169"/>
      <c r="HBE59" s="169"/>
      <c r="HBF59" s="169"/>
      <c r="HBG59" s="169"/>
      <c r="HBH59" s="169"/>
      <c r="HBI59" s="169"/>
      <c r="HBJ59" s="169"/>
      <c r="HBK59" s="169"/>
      <c r="HBL59" s="169"/>
      <c r="HBM59" s="169"/>
      <c r="HBN59" s="169"/>
      <c r="HBO59" s="169"/>
      <c r="HBP59" s="169"/>
      <c r="HBQ59" s="169"/>
      <c r="HBR59" s="169"/>
      <c r="HBS59" s="169"/>
      <c r="HBT59" s="169"/>
      <c r="HBU59" s="169"/>
      <c r="HBV59" s="169"/>
      <c r="HBW59" s="169"/>
      <c r="HBX59" s="169"/>
      <c r="HBY59" s="169"/>
      <c r="HBZ59" s="169"/>
      <c r="HCA59" s="169"/>
      <c r="HCB59" s="169"/>
      <c r="HCC59" s="169"/>
      <c r="HCD59" s="169"/>
      <c r="HCE59" s="169"/>
      <c r="HCF59" s="169"/>
      <c r="HCG59" s="169"/>
      <c r="HCH59" s="169"/>
      <c r="HCI59" s="169"/>
      <c r="HCJ59" s="169"/>
      <c r="HCK59" s="169"/>
      <c r="HCL59" s="169"/>
      <c r="HCM59" s="169"/>
      <c r="HCN59" s="169"/>
      <c r="HCO59" s="169"/>
      <c r="HCP59" s="169"/>
      <c r="HCQ59" s="169"/>
      <c r="HCR59" s="169"/>
      <c r="HCS59" s="169"/>
      <c r="HCT59" s="169"/>
      <c r="HCU59" s="169"/>
      <c r="HCV59" s="169"/>
      <c r="HCW59" s="169"/>
      <c r="HCX59" s="169"/>
      <c r="HCY59" s="169"/>
      <c r="HCZ59" s="169"/>
      <c r="HDA59" s="169"/>
      <c r="HDB59" s="169"/>
      <c r="HDC59" s="169"/>
      <c r="HDD59" s="169"/>
      <c r="HDE59" s="169"/>
      <c r="HDF59" s="169"/>
      <c r="HDG59" s="169"/>
      <c r="HDH59" s="169"/>
      <c r="HDI59" s="169"/>
      <c r="HDJ59" s="169"/>
      <c r="HDK59" s="169"/>
      <c r="HDL59" s="169"/>
      <c r="HDM59" s="169"/>
      <c r="HDN59" s="169"/>
      <c r="HDO59" s="169"/>
      <c r="HDP59" s="169"/>
      <c r="HDQ59" s="169"/>
      <c r="HDR59" s="169"/>
      <c r="HDS59" s="169"/>
      <c r="HDT59" s="169"/>
      <c r="HDU59" s="169"/>
      <c r="HDV59" s="169"/>
      <c r="HDW59" s="169"/>
      <c r="HDX59" s="169"/>
      <c r="HDY59" s="169"/>
      <c r="HDZ59" s="169"/>
      <c r="HEA59" s="169"/>
      <c r="HEB59" s="169"/>
      <c r="HEC59" s="169"/>
      <c r="HED59" s="169"/>
      <c r="HEE59" s="169"/>
      <c r="HEF59" s="169"/>
      <c r="HEG59" s="169"/>
      <c r="HEH59" s="169"/>
      <c r="HEI59" s="169"/>
      <c r="HEJ59" s="169"/>
      <c r="HEK59" s="169"/>
      <c r="HEL59" s="169"/>
      <c r="HEM59" s="169"/>
      <c r="HEN59" s="169"/>
      <c r="HEO59" s="169"/>
      <c r="HEP59" s="169"/>
      <c r="HEQ59" s="169"/>
      <c r="HER59" s="169"/>
      <c r="HES59" s="169"/>
      <c r="HET59" s="169"/>
      <c r="HEU59" s="169"/>
      <c r="HEV59" s="169"/>
      <c r="HEW59" s="169"/>
      <c r="HEX59" s="169"/>
      <c r="HEY59" s="169"/>
      <c r="HEZ59" s="169"/>
      <c r="HFA59" s="169"/>
      <c r="HFB59" s="169"/>
      <c r="HFC59" s="169"/>
      <c r="HFD59" s="169"/>
      <c r="HFE59" s="169"/>
      <c r="HFF59" s="169"/>
      <c r="HFG59" s="169"/>
      <c r="HFH59" s="169"/>
      <c r="HFI59" s="169"/>
      <c r="HFJ59" s="169"/>
      <c r="HFK59" s="169"/>
      <c r="HFL59" s="169"/>
      <c r="HFM59" s="169"/>
      <c r="HFN59" s="169"/>
      <c r="HFO59" s="169"/>
      <c r="HFP59" s="169"/>
      <c r="HFQ59" s="169"/>
      <c r="HFR59" s="169"/>
      <c r="HFS59" s="169"/>
      <c r="HFT59" s="169"/>
      <c r="HFU59" s="169"/>
      <c r="HFV59" s="169"/>
      <c r="HFW59" s="169"/>
      <c r="HFX59" s="169"/>
      <c r="HFY59" s="169"/>
      <c r="HFZ59" s="169"/>
      <c r="HGA59" s="169"/>
      <c r="HGB59" s="169"/>
      <c r="HGC59" s="169"/>
      <c r="HGD59" s="169"/>
      <c r="HGE59" s="169"/>
      <c r="HGF59" s="169"/>
      <c r="HGG59" s="169"/>
      <c r="HGH59" s="169"/>
      <c r="HGI59" s="169"/>
      <c r="HGJ59" s="169"/>
      <c r="HGK59" s="169"/>
      <c r="HGL59" s="169"/>
      <c r="HGM59" s="169"/>
      <c r="HGN59" s="169"/>
      <c r="HGO59" s="169"/>
      <c r="HGP59" s="169"/>
      <c r="HGQ59" s="169"/>
      <c r="HGR59" s="169"/>
      <c r="HGS59" s="169"/>
      <c r="HGT59" s="169"/>
      <c r="HGU59" s="169"/>
      <c r="HGV59" s="169"/>
      <c r="HGW59" s="169"/>
      <c r="HGX59" s="169"/>
      <c r="HGY59" s="169"/>
      <c r="HGZ59" s="169"/>
      <c r="HHA59" s="169"/>
      <c r="HHB59" s="169"/>
      <c r="HHC59" s="169"/>
      <c r="HHD59" s="169"/>
      <c r="HHE59" s="169"/>
      <c r="HHF59" s="169"/>
      <c r="HHG59" s="169"/>
      <c r="HHH59" s="169"/>
      <c r="HHI59" s="169"/>
      <c r="HHJ59" s="169"/>
      <c r="HHK59" s="169"/>
      <c r="HHL59" s="169"/>
      <c r="HHM59" s="169"/>
      <c r="HHN59" s="169"/>
      <c r="HHO59" s="169"/>
      <c r="HHP59" s="169"/>
      <c r="HHQ59" s="169"/>
      <c r="HHR59" s="169"/>
      <c r="HHS59" s="169"/>
      <c r="HHT59" s="169"/>
      <c r="HHU59" s="169"/>
      <c r="HHV59" s="169"/>
      <c r="HHW59" s="169"/>
      <c r="HHX59" s="169"/>
      <c r="HHY59" s="169"/>
      <c r="HHZ59" s="169"/>
      <c r="HIA59" s="169"/>
      <c r="HIB59" s="169"/>
      <c r="HIC59" s="169"/>
      <c r="HID59" s="169"/>
      <c r="HIE59" s="169"/>
      <c r="HIF59" s="169"/>
      <c r="HIG59" s="169"/>
      <c r="HIH59" s="169"/>
      <c r="HII59" s="169"/>
      <c r="HIJ59" s="169"/>
      <c r="HIK59" s="169"/>
      <c r="HIL59" s="169"/>
      <c r="HIM59" s="169"/>
      <c r="HIN59" s="169"/>
      <c r="HIO59" s="169"/>
      <c r="HIP59" s="169"/>
      <c r="HIQ59" s="169"/>
      <c r="HIR59" s="169"/>
      <c r="HIS59" s="169"/>
      <c r="HIT59" s="169"/>
      <c r="HIU59" s="169"/>
      <c r="HIV59" s="169"/>
      <c r="HIW59" s="169"/>
      <c r="HIX59" s="169"/>
      <c r="HIY59" s="169"/>
      <c r="HIZ59" s="169"/>
      <c r="HJA59" s="169"/>
      <c r="HJB59" s="169"/>
      <c r="HJC59" s="169"/>
      <c r="HJD59" s="169"/>
      <c r="HJE59" s="169"/>
      <c r="HJF59" s="169"/>
      <c r="HJG59" s="169"/>
      <c r="HJH59" s="169"/>
      <c r="HJI59" s="169"/>
      <c r="HJJ59" s="169"/>
      <c r="HJK59" s="169"/>
      <c r="HJL59" s="169"/>
      <c r="HJM59" s="169"/>
      <c r="HJN59" s="169"/>
      <c r="HJO59" s="169"/>
      <c r="HJP59" s="169"/>
      <c r="HJQ59" s="169"/>
      <c r="HJR59" s="169"/>
      <c r="HJS59" s="169"/>
      <c r="HJT59" s="169"/>
      <c r="HJU59" s="169"/>
      <c r="HJV59" s="169"/>
      <c r="HJW59" s="169"/>
      <c r="HJX59" s="169"/>
      <c r="HJY59" s="169"/>
      <c r="HJZ59" s="169"/>
      <c r="HKA59" s="169"/>
      <c r="HKB59" s="169"/>
      <c r="HKC59" s="169"/>
      <c r="HKD59" s="169"/>
      <c r="HKE59" s="169"/>
      <c r="HKF59" s="169"/>
      <c r="HKG59" s="169"/>
      <c r="HKH59" s="169"/>
      <c r="HKI59" s="169"/>
      <c r="HKJ59" s="169"/>
      <c r="HKK59" s="169"/>
      <c r="HKL59" s="169"/>
      <c r="HKM59" s="169"/>
      <c r="HKN59" s="169"/>
      <c r="HKO59" s="169"/>
      <c r="HKP59" s="169"/>
      <c r="HKQ59" s="169"/>
      <c r="HKR59" s="169"/>
      <c r="HKS59" s="169"/>
      <c r="HKT59" s="169"/>
      <c r="HKU59" s="169"/>
      <c r="HKV59" s="169"/>
      <c r="HKW59" s="169"/>
      <c r="HKX59" s="169"/>
      <c r="HKY59" s="169"/>
      <c r="HKZ59" s="169"/>
      <c r="HLA59" s="169"/>
      <c r="HLB59" s="169"/>
      <c r="HLC59" s="169"/>
      <c r="HLD59" s="169"/>
      <c r="HLE59" s="169"/>
      <c r="HLF59" s="169"/>
      <c r="HLG59" s="169"/>
      <c r="HLH59" s="169"/>
      <c r="HLI59" s="169"/>
      <c r="HLJ59" s="169"/>
      <c r="HLK59" s="169"/>
      <c r="HLL59" s="169"/>
      <c r="HLM59" s="169"/>
      <c r="HLN59" s="169"/>
      <c r="HLO59" s="169"/>
      <c r="HLP59" s="169"/>
      <c r="HLQ59" s="169"/>
      <c r="HLR59" s="169"/>
      <c r="HLS59" s="169"/>
      <c r="HLT59" s="169"/>
      <c r="HLU59" s="169"/>
      <c r="HLV59" s="169"/>
      <c r="HLW59" s="169"/>
      <c r="HLX59" s="169"/>
      <c r="HLY59" s="169"/>
      <c r="HLZ59" s="169"/>
      <c r="HMA59" s="169"/>
      <c r="HMB59" s="169"/>
      <c r="HMC59" s="169"/>
      <c r="HMD59" s="169"/>
      <c r="HME59" s="169"/>
      <c r="HMF59" s="169"/>
      <c r="HMG59" s="169"/>
      <c r="HMH59" s="169"/>
      <c r="HMI59" s="169"/>
      <c r="HMJ59" s="169"/>
      <c r="HMK59" s="169"/>
      <c r="HML59" s="169"/>
      <c r="HMM59" s="169"/>
      <c r="HMN59" s="169"/>
      <c r="HMO59" s="169"/>
      <c r="HMP59" s="169"/>
      <c r="HMQ59" s="169"/>
      <c r="HMR59" s="169"/>
      <c r="HMS59" s="169"/>
      <c r="HMT59" s="169"/>
      <c r="HMU59" s="169"/>
      <c r="HMV59" s="169"/>
      <c r="HMW59" s="169"/>
      <c r="HMX59" s="169"/>
      <c r="HMY59" s="169"/>
      <c r="HMZ59" s="169"/>
      <c r="HNA59" s="169"/>
      <c r="HNB59" s="169"/>
      <c r="HNC59" s="169"/>
      <c r="HND59" s="169"/>
      <c r="HNE59" s="169"/>
      <c r="HNF59" s="169"/>
      <c r="HNG59" s="169"/>
      <c r="HNH59" s="169"/>
      <c r="HNI59" s="169"/>
      <c r="HNJ59" s="169"/>
      <c r="HNK59" s="169"/>
      <c r="HNL59" s="169"/>
      <c r="HNM59" s="169"/>
      <c r="HNN59" s="169"/>
      <c r="HNO59" s="169"/>
      <c r="HNP59" s="169"/>
      <c r="HNQ59" s="169"/>
      <c r="HNR59" s="169"/>
      <c r="HNS59" s="169"/>
      <c r="HNT59" s="169"/>
      <c r="HNU59" s="169"/>
      <c r="HNV59" s="169"/>
      <c r="HNW59" s="169"/>
      <c r="HNX59" s="169"/>
      <c r="HNY59" s="169"/>
      <c r="HNZ59" s="169"/>
      <c r="HOA59" s="169"/>
      <c r="HOB59" s="169"/>
      <c r="HOC59" s="169"/>
      <c r="HOD59" s="169"/>
      <c r="HOE59" s="169"/>
      <c r="HOF59" s="169"/>
      <c r="HOG59" s="169"/>
      <c r="HOH59" s="169"/>
      <c r="HOI59" s="169"/>
      <c r="HOJ59" s="169"/>
      <c r="HOK59" s="169"/>
      <c r="HOL59" s="169"/>
      <c r="HOM59" s="169"/>
      <c r="HON59" s="169"/>
      <c r="HOO59" s="169"/>
      <c r="HOP59" s="169"/>
      <c r="HOQ59" s="169"/>
      <c r="HOR59" s="169"/>
      <c r="HOS59" s="169"/>
      <c r="HOT59" s="169"/>
      <c r="HOU59" s="169"/>
      <c r="HOV59" s="169"/>
      <c r="HOW59" s="169"/>
      <c r="HOX59" s="169"/>
      <c r="HOY59" s="169"/>
      <c r="HOZ59" s="169"/>
      <c r="HPA59" s="169"/>
      <c r="HPB59" s="169"/>
      <c r="HPC59" s="169"/>
      <c r="HPD59" s="169"/>
      <c r="HPE59" s="169"/>
      <c r="HPF59" s="169"/>
      <c r="HPG59" s="169"/>
      <c r="HPH59" s="169"/>
      <c r="HPI59" s="169"/>
      <c r="HPJ59" s="169"/>
      <c r="HPK59" s="169"/>
      <c r="HPL59" s="169"/>
      <c r="HPM59" s="169"/>
      <c r="HPN59" s="169"/>
      <c r="HPO59" s="169"/>
      <c r="HPP59" s="169"/>
      <c r="HPQ59" s="169"/>
      <c r="HPR59" s="169"/>
      <c r="HPS59" s="169"/>
      <c r="HPT59" s="169"/>
      <c r="HPU59" s="169"/>
      <c r="HPV59" s="169"/>
      <c r="HPW59" s="169"/>
      <c r="HPX59" s="169"/>
      <c r="HPY59" s="169"/>
      <c r="HPZ59" s="169"/>
      <c r="HQA59" s="169"/>
      <c r="HQB59" s="169"/>
      <c r="HQC59" s="169"/>
      <c r="HQD59" s="169"/>
      <c r="HQE59" s="169"/>
      <c r="HQF59" s="169"/>
      <c r="HQG59" s="169"/>
      <c r="HQH59" s="169"/>
      <c r="HQI59" s="169"/>
      <c r="HQJ59" s="169"/>
      <c r="HQK59" s="169"/>
      <c r="HQL59" s="169"/>
      <c r="HQM59" s="169"/>
      <c r="HQN59" s="169"/>
      <c r="HQO59" s="169"/>
      <c r="HQP59" s="169"/>
      <c r="HQQ59" s="169"/>
      <c r="HQR59" s="169"/>
      <c r="HQS59" s="169"/>
      <c r="HQT59" s="169"/>
      <c r="HQU59" s="169"/>
      <c r="HQV59" s="169"/>
      <c r="HQW59" s="169"/>
      <c r="HQX59" s="169"/>
      <c r="HQY59" s="169"/>
      <c r="HQZ59" s="169"/>
      <c r="HRA59" s="169"/>
      <c r="HRB59" s="169"/>
      <c r="HRC59" s="169"/>
      <c r="HRD59" s="169"/>
      <c r="HRE59" s="169"/>
      <c r="HRF59" s="169"/>
      <c r="HRG59" s="169"/>
      <c r="HRH59" s="169"/>
      <c r="HRI59" s="169"/>
      <c r="HRJ59" s="169"/>
      <c r="HRK59" s="169"/>
      <c r="HRL59" s="169"/>
      <c r="HRM59" s="169"/>
      <c r="HRN59" s="169"/>
      <c r="HRO59" s="169"/>
      <c r="HRP59" s="169"/>
      <c r="HRQ59" s="169"/>
      <c r="HRR59" s="169"/>
      <c r="HRS59" s="169"/>
      <c r="HRT59" s="169"/>
      <c r="HRU59" s="169"/>
      <c r="HRV59" s="169"/>
      <c r="HRW59" s="169"/>
      <c r="HRX59" s="169"/>
      <c r="HRY59" s="169"/>
      <c r="HRZ59" s="169"/>
      <c r="HSA59" s="169"/>
      <c r="HSB59" s="169"/>
      <c r="HSC59" s="169"/>
      <c r="HSD59" s="169"/>
      <c r="HSE59" s="169"/>
      <c r="HSF59" s="169"/>
      <c r="HSG59" s="169"/>
      <c r="HSH59" s="169"/>
      <c r="HSI59" s="169"/>
      <c r="HSJ59" s="169"/>
      <c r="HSK59" s="169"/>
      <c r="HSL59" s="169"/>
      <c r="HSM59" s="169"/>
      <c r="HSN59" s="169"/>
      <c r="HSO59" s="169"/>
      <c r="HSP59" s="169"/>
      <c r="HSQ59" s="169"/>
      <c r="HSR59" s="169"/>
      <c r="HSS59" s="169"/>
      <c r="HST59" s="169"/>
      <c r="HSU59" s="169"/>
      <c r="HSV59" s="169"/>
      <c r="HSW59" s="169"/>
      <c r="HSX59" s="169"/>
      <c r="HSY59" s="169"/>
      <c r="HSZ59" s="169"/>
      <c r="HTA59" s="169"/>
      <c r="HTB59" s="169"/>
      <c r="HTC59" s="169"/>
      <c r="HTD59" s="169"/>
      <c r="HTE59" s="169"/>
      <c r="HTF59" s="169"/>
      <c r="HTG59" s="169"/>
      <c r="HTH59" s="169"/>
      <c r="HTI59" s="169"/>
      <c r="HTJ59" s="169"/>
      <c r="HTK59" s="169"/>
      <c r="HTL59" s="169"/>
      <c r="HTM59" s="169"/>
      <c r="HTN59" s="169"/>
      <c r="HTO59" s="169"/>
      <c r="HTP59" s="169"/>
      <c r="HTQ59" s="169"/>
      <c r="HTR59" s="169"/>
      <c r="HTS59" s="169"/>
      <c r="HTT59" s="169"/>
      <c r="HTU59" s="169"/>
      <c r="HTV59" s="169"/>
      <c r="HTW59" s="169"/>
      <c r="HTX59" s="169"/>
      <c r="HTY59" s="169"/>
      <c r="HTZ59" s="169"/>
      <c r="HUA59" s="169"/>
      <c r="HUB59" s="169"/>
      <c r="HUC59" s="169"/>
      <c r="HUD59" s="169"/>
      <c r="HUE59" s="169"/>
      <c r="HUF59" s="169"/>
      <c r="HUG59" s="169"/>
      <c r="HUH59" s="169"/>
      <c r="HUI59" s="169"/>
      <c r="HUJ59" s="169"/>
      <c r="HUK59" s="169"/>
      <c r="HUL59" s="169"/>
      <c r="HUM59" s="169"/>
      <c r="HUN59" s="169"/>
      <c r="HUO59" s="169"/>
      <c r="HUP59" s="169"/>
      <c r="HUQ59" s="169"/>
      <c r="HUR59" s="169"/>
      <c r="HUS59" s="169"/>
      <c r="HUT59" s="169"/>
      <c r="HUU59" s="169"/>
      <c r="HUV59" s="169"/>
      <c r="HUW59" s="169"/>
      <c r="HUX59" s="169"/>
      <c r="HUY59" s="169"/>
      <c r="HUZ59" s="169"/>
      <c r="HVA59" s="169"/>
      <c r="HVB59" s="169"/>
      <c r="HVC59" s="169"/>
      <c r="HVD59" s="169"/>
      <c r="HVE59" s="169"/>
      <c r="HVF59" s="169"/>
      <c r="HVG59" s="169"/>
      <c r="HVH59" s="169"/>
      <c r="HVI59" s="169"/>
      <c r="HVJ59" s="169"/>
      <c r="HVK59" s="169"/>
      <c r="HVL59" s="169"/>
      <c r="HVM59" s="169"/>
      <c r="HVN59" s="169"/>
      <c r="HVO59" s="169"/>
      <c r="HVP59" s="169"/>
      <c r="HVQ59" s="169"/>
      <c r="HVR59" s="169"/>
      <c r="HVS59" s="169"/>
      <c r="HVT59" s="169"/>
      <c r="HVU59" s="169"/>
      <c r="HVV59" s="169"/>
      <c r="HVW59" s="169"/>
      <c r="HVX59" s="169"/>
      <c r="HVY59" s="169"/>
      <c r="HVZ59" s="169"/>
      <c r="HWA59" s="169"/>
      <c r="HWB59" s="169"/>
      <c r="HWC59" s="169"/>
      <c r="HWD59" s="169"/>
      <c r="HWE59" s="169"/>
      <c r="HWF59" s="169"/>
      <c r="HWG59" s="169"/>
      <c r="HWH59" s="169"/>
      <c r="HWI59" s="169"/>
      <c r="HWJ59" s="169"/>
      <c r="HWK59" s="169"/>
      <c r="HWL59" s="169"/>
      <c r="HWM59" s="169"/>
      <c r="HWN59" s="169"/>
      <c r="HWO59" s="169"/>
      <c r="HWP59" s="169"/>
      <c r="HWQ59" s="169"/>
      <c r="HWR59" s="169"/>
      <c r="HWS59" s="169"/>
      <c r="HWT59" s="169"/>
      <c r="HWU59" s="169"/>
      <c r="HWV59" s="169"/>
      <c r="HWW59" s="169"/>
      <c r="HWX59" s="169"/>
      <c r="HWY59" s="169"/>
      <c r="HWZ59" s="169"/>
      <c r="HXA59" s="169"/>
      <c r="HXB59" s="169"/>
      <c r="HXC59" s="169"/>
      <c r="HXD59" s="169"/>
      <c r="HXE59" s="169"/>
      <c r="HXF59" s="169"/>
      <c r="HXG59" s="169"/>
      <c r="HXH59" s="169"/>
      <c r="HXI59" s="169"/>
      <c r="HXJ59" s="169"/>
      <c r="HXK59" s="169"/>
      <c r="HXL59" s="169"/>
      <c r="HXM59" s="169"/>
      <c r="HXN59" s="169"/>
      <c r="HXO59" s="169"/>
      <c r="HXP59" s="169"/>
      <c r="HXQ59" s="169"/>
      <c r="HXR59" s="169"/>
      <c r="HXS59" s="169"/>
      <c r="HXT59" s="169"/>
      <c r="HXU59" s="169"/>
      <c r="HXV59" s="169"/>
      <c r="HXW59" s="169"/>
      <c r="HXX59" s="169"/>
      <c r="HXY59" s="169"/>
      <c r="HXZ59" s="169"/>
      <c r="HYA59" s="169"/>
      <c r="HYB59" s="169"/>
      <c r="HYC59" s="169"/>
      <c r="HYD59" s="169"/>
      <c r="HYE59" s="169"/>
      <c r="HYF59" s="169"/>
      <c r="HYG59" s="169"/>
      <c r="HYH59" s="169"/>
      <c r="HYI59" s="169"/>
      <c r="HYJ59" s="169"/>
      <c r="HYK59" s="169"/>
      <c r="HYL59" s="169"/>
      <c r="HYM59" s="169"/>
      <c r="HYN59" s="169"/>
      <c r="HYO59" s="169"/>
      <c r="HYP59" s="169"/>
      <c r="HYQ59" s="169"/>
      <c r="HYR59" s="169"/>
      <c r="HYS59" s="169"/>
      <c r="HYT59" s="169"/>
      <c r="HYU59" s="169"/>
      <c r="HYV59" s="169"/>
      <c r="HYW59" s="169"/>
      <c r="HYX59" s="169"/>
      <c r="HYY59" s="169"/>
      <c r="HYZ59" s="169"/>
      <c r="HZA59" s="169"/>
      <c r="HZB59" s="169"/>
      <c r="HZC59" s="169"/>
      <c r="HZD59" s="169"/>
      <c r="HZE59" s="169"/>
      <c r="HZF59" s="169"/>
      <c r="HZG59" s="169"/>
      <c r="HZH59" s="169"/>
      <c r="HZI59" s="169"/>
      <c r="HZJ59" s="169"/>
      <c r="HZK59" s="169"/>
      <c r="HZL59" s="169"/>
      <c r="HZM59" s="169"/>
      <c r="HZN59" s="169"/>
      <c r="HZO59" s="169"/>
      <c r="HZP59" s="169"/>
      <c r="HZQ59" s="169"/>
      <c r="HZR59" s="169"/>
      <c r="HZS59" s="169"/>
      <c r="HZT59" s="169"/>
      <c r="HZU59" s="169"/>
      <c r="HZV59" s="169"/>
      <c r="HZW59" s="169"/>
      <c r="HZX59" s="169"/>
      <c r="HZY59" s="169"/>
      <c r="HZZ59" s="169"/>
      <c r="IAA59" s="169"/>
      <c r="IAB59" s="169"/>
      <c r="IAC59" s="169"/>
      <c r="IAD59" s="169"/>
      <c r="IAE59" s="169"/>
      <c r="IAF59" s="169"/>
      <c r="IAG59" s="169"/>
      <c r="IAH59" s="169"/>
      <c r="IAI59" s="169"/>
      <c r="IAJ59" s="169"/>
      <c r="IAK59" s="169"/>
      <c r="IAL59" s="169"/>
      <c r="IAM59" s="169"/>
      <c r="IAN59" s="169"/>
      <c r="IAO59" s="169"/>
      <c r="IAP59" s="169"/>
      <c r="IAQ59" s="169"/>
      <c r="IAR59" s="169"/>
      <c r="IAS59" s="169"/>
      <c r="IAT59" s="169"/>
      <c r="IAU59" s="169"/>
      <c r="IAV59" s="169"/>
      <c r="IAW59" s="169"/>
      <c r="IAX59" s="169"/>
      <c r="IAY59" s="169"/>
      <c r="IAZ59" s="169"/>
      <c r="IBA59" s="169"/>
      <c r="IBB59" s="169"/>
      <c r="IBC59" s="169"/>
      <c r="IBD59" s="169"/>
      <c r="IBE59" s="169"/>
      <c r="IBF59" s="169"/>
      <c r="IBG59" s="169"/>
      <c r="IBH59" s="169"/>
      <c r="IBI59" s="169"/>
      <c r="IBJ59" s="169"/>
      <c r="IBK59" s="169"/>
      <c r="IBL59" s="169"/>
      <c r="IBM59" s="169"/>
      <c r="IBN59" s="169"/>
      <c r="IBO59" s="169"/>
      <c r="IBP59" s="169"/>
      <c r="IBQ59" s="169"/>
      <c r="IBR59" s="169"/>
      <c r="IBS59" s="169"/>
      <c r="IBT59" s="169"/>
      <c r="IBU59" s="169"/>
      <c r="IBV59" s="169"/>
      <c r="IBW59" s="169"/>
      <c r="IBX59" s="169"/>
      <c r="IBY59" s="169"/>
      <c r="IBZ59" s="169"/>
      <c r="ICA59" s="169"/>
      <c r="ICB59" s="169"/>
      <c r="ICC59" s="169"/>
      <c r="ICD59" s="169"/>
      <c r="ICE59" s="169"/>
      <c r="ICF59" s="169"/>
      <c r="ICG59" s="169"/>
      <c r="ICH59" s="169"/>
      <c r="ICI59" s="169"/>
      <c r="ICJ59" s="169"/>
      <c r="ICK59" s="169"/>
      <c r="ICL59" s="169"/>
      <c r="ICM59" s="169"/>
      <c r="ICN59" s="169"/>
      <c r="ICO59" s="169"/>
      <c r="ICP59" s="169"/>
      <c r="ICQ59" s="169"/>
      <c r="ICR59" s="169"/>
      <c r="ICS59" s="169"/>
      <c r="ICT59" s="169"/>
      <c r="ICU59" s="169"/>
      <c r="ICV59" s="169"/>
      <c r="ICW59" s="169"/>
      <c r="ICX59" s="169"/>
      <c r="ICY59" s="169"/>
      <c r="ICZ59" s="169"/>
      <c r="IDA59" s="169"/>
      <c r="IDB59" s="169"/>
      <c r="IDC59" s="169"/>
      <c r="IDD59" s="169"/>
      <c r="IDE59" s="169"/>
      <c r="IDF59" s="169"/>
      <c r="IDG59" s="169"/>
      <c r="IDH59" s="169"/>
      <c r="IDI59" s="169"/>
      <c r="IDJ59" s="169"/>
      <c r="IDK59" s="169"/>
      <c r="IDL59" s="169"/>
      <c r="IDM59" s="169"/>
      <c r="IDN59" s="169"/>
      <c r="IDO59" s="169"/>
      <c r="IDP59" s="169"/>
      <c r="IDQ59" s="169"/>
      <c r="IDR59" s="169"/>
      <c r="IDS59" s="169"/>
      <c r="IDT59" s="169"/>
      <c r="IDU59" s="169"/>
      <c r="IDV59" s="169"/>
      <c r="IDW59" s="169"/>
      <c r="IDX59" s="169"/>
      <c r="IDY59" s="169"/>
      <c r="IDZ59" s="169"/>
      <c r="IEA59" s="169"/>
      <c r="IEB59" s="169"/>
      <c r="IEC59" s="169"/>
      <c r="IED59" s="169"/>
      <c r="IEE59" s="169"/>
      <c r="IEF59" s="169"/>
      <c r="IEG59" s="169"/>
      <c r="IEH59" s="169"/>
      <c r="IEI59" s="169"/>
      <c r="IEJ59" s="169"/>
      <c r="IEK59" s="169"/>
      <c r="IEL59" s="169"/>
      <c r="IEM59" s="169"/>
      <c r="IEN59" s="169"/>
      <c r="IEO59" s="169"/>
      <c r="IEP59" s="169"/>
      <c r="IEQ59" s="169"/>
      <c r="IER59" s="169"/>
      <c r="IES59" s="169"/>
      <c r="IET59" s="169"/>
      <c r="IEU59" s="169"/>
      <c r="IEV59" s="169"/>
      <c r="IEW59" s="169"/>
      <c r="IEX59" s="169"/>
      <c r="IEY59" s="169"/>
      <c r="IEZ59" s="169"/>
      <c r="IFA59" s="169"/>
      <c r="IFB59" s="169"/>
      <c r="IFC59" s="169"/>
      <c r="IFD59" s="169"/>
      <c r="IFE59" s="169"/>
      <c r="IFF59" s="169"/>
      <c r="IFG59" s="169"/>
      <c r="IFH59" s="169"/>
      <c r="IFI59" s="169"/>
      <c r="IFJ59" s="169"/>
      <c r="IFK59" s="169"/>
      <c r="IFL59" s="169"/>
      <c r="IFM59" s="169"/>
      <c r="IFN59" s="169"/>
      <c r="IFO59" s="169"/>
      <c r="IFP59" s="169"/>
      <c r="IFQ59" s="169"/>
      <c r="IFR59" s="169"/>
      <c r="IFS59" s="169"/>
      <c r="IFT59" s="169"/>
      <c r="IFU59" s="169"/>
      <c r="IFV59" s="169"/>
      <c r="IFW59" s="169"/>
      <c r="IFX59" s="169"/>
      <c r="IFY59" s="169"/>
      <c r="IFZ59" s="169"/>
      <c r="IGA59" s="169"/>
      <c r="IGB59" s="169"/>
      <c r="IGC59" s="169"/>
      <c r="IGD59" s="169"/>
      <c r="IGE59" s="169"/>
      <c r="IGF59" s="169"/>
      <c r="IGG59" s="169"/>
      <c r="IGH59" s="169"/>
      <c r="IGI59" s="169"/>
      <c r="IGJ59" s="169"/>
      <c r="IGK59" s="169"/>
      <c r="IGL59" s="169"/>
      <c r="IGM59" s="169"/>
      <c r="IGN59" s="169"/>
      <c r="IGO59" s="169"/>
      <c r="IGP59" s="169"/>
      <c r="IGQ59" s="169"/>
      <c r="IGR59" s="169"/>
      <c r="IGS59" s="169"/>
      <c r="IGT59" s="169"/>
      <c r="IGU59" s="169"/>
      <c r="IGV59" s="169"/>
      <c r="IGW59" s="169"/>
      <c r="IGX59" s="169"/>
      <c r="IGY59" s="169"/>
      <c r="IGZ59" s="169"/>
      <c r="IHA59" s="169"/>
      <c r="IHB59" s="169"/>
      <c r="IHC59" s="169"/>
      <c r="IHD59" s="169"/>
      <c r="IHE59" s="169"/>
      <c r="IHF59" s="169"/>
      <c r="IHG59" s="169"/>
      <c r="IHH59" s="169"/>
      <c r="IHI59" s="169"/>
      <c r="IHJ59" s="169"/>
      <c r="IHK59" s="169"/>
      <c r="IHL59" s="169"/>
      <c r="IHM59" s="169"/>
      <c r="IHN59" s="169"/>
      <c r="IHO59" s="169"/>
      <c r="IHP59" s="169"/>
      <c r="IHQ59" s="169"/>
      <c r="IHR59" s="169"/>
      <c r="IHS59" s="169"/>
      <c r="IHT59" s="169"/>
      <c r="IHU59" s="169"/>
      <c r="IHV59" s="169"/>
      <c r="IHW59" s="169"/>
      <c r="IHX59" s="169"/>
      <c r="IHY59" s="169"/>
      <c r="IHZ59" s="169"/>
      <c r="IIA59" s="169"/>
      <c r="IIB59" s="169"/>
      <c r="IIC59" s="169"/>
      <c r="IID59" s="169"/>
      <c r="IIE59" s="169"/>
      <c r="IIF59" s="169"/>
      <c r="IIG59" s="169"/>
      <c r="IIH59" s="169"/>
      <c r="III59" s="169"/>
      <c r="IIJ59" s="169"/>
      <c r="IIK59" s="169"/>
      <c r="IIL59" s="169"/>
      <c r="IIM59" s="169"/>
      <c r="IIN59" s="169"/>
      <c r="IIO59" s="169"/>
      <c r="IIP59" s="169"/>
      <c r="IIQ59" s="169"/>
      <c r="IIR59" s="169"/>
      <c r="IIS59" s="169"/>
      <c r="IIT59" s="169"/>
      <c r="IIU59" s="169"/>
      <c r="IIV59" s="169"/>
      <c r="IIW59" s="169"/>
      <c r="IIX59" s="169"/>
      <c r="IIY59" s="169"/>
      <c r="IIZ59" s="169"/>
      <c r="IJA59" s="169"/>
      <c r="IJB59" s="169"/>
      <c r="IJC59" s="169"/>
      <c r="IJD59" s="169"/>
      <c r="IJE59" s="169"/>
      <c r="IJF59" s="169"/>
      <c r="IJG59" s="169"/>
      <c r="IJH59" s="169"/>
      <c r="IJI59" s="169"/>
      <c r="IJJ59" s="169"/>
      <c r="IJK59" s="169"/>
      <c r="IJL59" s="169"/>
      <c r="IJM59" s="169"/>
      <c r="IJN59" s="169"/>
      <c r="IJO59" s="169"/>
      <c r="IJP59" s="169"/>
      <c r="IJQ59" s="169"/>
      <c r="IJR59" s="169"/>
      <c r="IJS59" s="169"/>
      <c r="IJT59" s="169"/>
      <c r="IJU59" s="169"/>
      <c r="IJV59" s="169"/>
      <c r="IJW59" s="169"/>
      <c r="IJX59" s="169"/>
      <c r="IJY59" s="169"/>
      <c r="IJZ59" s="169"/>
      <c r="IKA59" s="169"/>
      <c r="IKB59" s="169"/>
      <c r="IKC59" s="169"/>
      <c r="IKD59" s="169"/>
      <c r="IKE59" s="169"/>
      <c r="IKF59" s="169"/>
      <c r="IKG59" s="169"/>
      <c r="IKH59" s="169"/>
      <c r="IKI59" s="169"/>
      <c r="IKJ59" s="169"/>
      <c r="IKK59" s="169"/>
      <c r="IKL59" s="169"/>
      <c r="IKM59" s="169"/>
      <c r="IKN59" s="169"/>
      <c r="IKO59" s="169"/>
      <c r="IKP59" s="169"/>
      <c r="IKQ59" s="169"/>
      <c r="IKR59" s="169"/>
      <c r="IKS59" s="169"/>
      <c r="IKT59" s="169"/>
      <c r="IKU59" s="169"/>
      <c r="IKV59" s="169"/>
      <c r="IKW59" s="169"/>
      <c r="IKX59" s="169"/>
      <c r="IKY59" s="169"/>
      <c r="IKZ59" s="169"/>
      <c r="ILA59" s="169"/>
      <c r="ILB59" s="169"/>
      <c r="ILC59" s="169"/>
      <c r="ILD59" s="169"/>
      <c r="ILE59" s="169"/>
      <c r="ILF59" s="169"/>
      <c r="ILG59" s="169"/>
      <c r="ILH59" s="169"/>
      <c r="ILI59" s="169"/>
      <c r="ILJ59" s="169"/>
      <c r="ILK59" s="169"/>
      <c r="ILL59" s="169"/>
      <c r="ILM59" s="169"/>
      <c r="ILN59" s="169"/>
      <c r="ILO59" s="169"/>
      <c r="ILP59" s="169"/>
      <c r="ILQ59" s="169"/>
      <c r="ILR59" s="169"/>
      <c r="ILS59" s="169"/>
      <c r="ILT59" s="169"/>
      <c r="ILU59" s="169"/>
      <c r="ILV59" s="169"/>
      <c r="ILW59" s="169"/>
      <c r="ILX59" s="169"/>
      <c r="ILY59" s="169"/>
      <c r="ILZ59" s="169"/>
      <c r="IMA59" s="169"/>
      <c r="IMB59" s="169"/>
      <c r="IMC59" s="169"/>
      <c r="IMD59" s="169"/>
      <c r="IME59" s="169"/>
      <c r="IMF59" s="169"/>
      <c r="IMG59" s="169"/>
      <c r="IMH59" s="169"/>
      <c r="IMI59" s="169"/>
      <c r="IMJ59" s="169"/>
      <c r="IMK59" s="169"/>
      <c r="IML59" s="169"/>
      <c r="IMM59" s="169"/>
      <c r="IMN59" s="169"/>
      <c r="IMO59" s="169"/>
      <c r="IMP59" s="169"/>
      <c r="IMQ59" s="169"/>
      <c r="IMR59" s="169"/>
      <c r="IMS59" s="169"/>
      <c r="IMT59" s="169"/>
      <c r="IMU59" s="169"/>
      <c r="IMV59" s="169"/>
      <c r="IMW59" s="169"/>
      <c r="IMX59" s="169"/>
      <c r="IMY59" s="169"/>
      <c r="IMZ59" s="169"/>
      <c r="INA59" s="169"/>
      <c r="INB59" s="169"/>
      <c r="INC59" s="169"/>
      <c r="IND59" s="169"/>
      <c r="INE59" s="169"/>
      <c r="INF59" s="169"/>
      <c r="ING59" s="169"/>
      <c r="INH59" s="169"/>
      <c r="INI59" s="169"/>
      <c r="INJ59" s="169"/>
      <c r="INK59" s="169"/>
      <c r="INL59" s="169"/>
      <c r="INM59" s="169"/>
      <c r="INN59" s="169"/>
      <c r="INO59" s="169"/>
      <c r="INP59" s="169"/>
      <c r="INQ59" s="169"/>
      <c r="INR59" s="169"/>
      <c r="INS59" s="169"/>
      <c r="INT59" s="169"/>
      <c r="INU59" s="169"/>
      <c r="INV59" s="169"/>
      <c r="INW59" s="169"/>
      <c r="INX59" s="169"/>
      <c r="INY59" s="169"/>
      <c r="INZ59" s="169"/>
      <c r="IOA59" s="169"/>
      <c r="IOB59" s="169"/>
      <c r="IOC59" s="169"/>
      <c r="IOD59" s="169"/>
      <c r="IOE59" s="169"/>
      <c r="IOF59" s="169"/>
      <c r="IOG59" s="169"/>
      <c r="IOH59" s="169"/>
      <c r="IOI59" s="169"/>
      <c r="IOJ59" s="169"/>
      <c r="IOK59" s="169"/>
      <c r="IOL59" s="169"/>
      <c r="IOM59" s="169"/>
      <c r="ION59" s="169"/>
      <c r="IOO59" s="169"/>
      <c r="IOP59" s="169"/>
      <c r="IOQ59" s="169"/>
      <c r="IOR59" s="169"/>
      <c r="IOS59" s="169"/>
      <c r="IOT59" s="169"/>
      <c r="IOU59" s="169"/>
      <c r="IOV59" s="169"/>
      <c r="IOW59" s="169"/>
      <c r="IOX59" s="169"/>
      <c r="IOY59" s="169"/>
      <c r="IOZ59" s="169"/>
      <c r="IPA59" s="169"/>
      <c r="IPB59" s="169"/>
      <c r="IPC59" s="169"/>
      <c r="IPD59" s="169"/>
      <c r="IPE59" s="169"/>
      <c r="IPF59" s="169"/>
      <c r="IPG59" s="169"/>
      <c r="IPH59" s="169"/>
      <c r="IPI59" s="169"/>
      <c r="IPJ59" s="169"/>
      <c r="IPK59" s="169"/>
      <c r="IPL59" s="169"/>
      <c r="IPM59" s="169"/>
      <c r="IPN59" s="169"/>
      <c r="IPO59" s="169"/>
      <c r="IPP59" s="169"/>
      <c r="IPQ59" s="169"/>
      <c r="IPR59" s="169"/>
      <c r="IPS59" s="169"/>
      <c r="IPT59" s="169"/>
      <c r="IPU59" s="169"/>
      <c r="IPV59" s="169"/>
      <c r="IPW59" s="169"/>
      <c r="IPX59" s="169"/>
      <c r="IPY59" s="169"/>
      <c r="IPZ59" s="169"/>
      <c r="IQA59" s="169"/>
      <c r="IQB59" s="169"/>
      <c r="IQC59" s="169"/>
      <c r="IQD59" s="169"/>
      <c r="IQE59" s="169"/>
      <c r="IQF59" s="169"/>
      <c r="IQG59" s="169"/>
      <c r="IQH59" s="169"/>
      <c r="IQI59" s="169"/>
      <c r="IQJ59" s="169"/>
      <c r="IQK59" s="169"/>
      <c r="IQL59" s="169"/>
      <c r="IQM59" s="169"/>
      <c r="IQN59" s="169"/>
      <c r="IQO59" s="169"/>
      <c r="IQP59" s="169"/>
      <c r="IQQ59" s="169"/>
      <c r="IQR59" s="169"/>
      <c r="IQS59" s="169"/>
      <c r="IQT59" s="169"/>
      <c r="IQU59" s="169"/>
      <c r="IQV59" s="169"/>
      <c r="IQW59" s="169"/>
      <c r="IQX59" s="169"/>
      <c r="IQY59" s="169"/>
      <c r="IQZ59" s="169"/>
      <c r="IRA59" s="169"/>
      <c r="IRB59" s="169"/>
      <c r="IRC59" s="169"/>
      <c r="IRD59" s="169"/>
      <c r="IRE59" s="169"/>
      <c r="IRF59" s="169"/>
      <c r="IRG59" s="169"/>
      <c r="IRH59" s="169"/>
      <c r="IRI59" s="169"/>
      <c r="IRJ59" s="169"/>
      <c r="IRK59" s="169"/>
      <c r="IRL59" s="169"/>
      <c r="IRM59" s="169"/>
      <c r="IRN59" s="169"/>
      <c r="IRO59" s="169"/>
      <c r="IRP59" s="169"/>
      <c r="IRQ59" s="169"/>
      <c r="IRR59" s="169"/>
      <c r="IRS59" s="169"/>
      <c r="IRT59" s="169"/>
      <c r="IRU59" s="169"/>
      <c r="IRV59" s="169"/>
      <c r="IRW59" s="169"/>
      <c r="IRX59" s="169"/>
      <c r="IRY59" s="169"/>
      <c r="IRZ59" s="169"/>
      <c r="ISA59" s="169"/>
      <c r="ISB59" s="169"/>
      <c r="ISC59" s="169"/>
      <c r="ISD59" s="169"/>
      <c r="ISE59" s="169"/>
      <c r="ISF59" s="169"/>
      <c r="ISG59" s="169"/>
      <c r="ISH59" s="169"/>
      <c r="ISI59" s="169"/>
      <c r="ISJ59" s="169"/>
      <c r="ISK59" s="169"/>
      <c r="ISL59" s="169"/>
      <c r="ISM59" s="169"/>
      <c r="ISN59" s="169"/>
      <c r="ISO59" s="169"/>
      <c r="ISP59" s="169"/>
      <c r="ISQ59" s="169"/>
      <c r="ISR59" s="169"/>
      <c r="ISS59" s="169"/>
      <c r="IST59" s="169"/>
      <c r="ISU59" s="169"/>
      <c r="ISV59" s="169"/>
      <c r="ISW59" s="169"/>
      <c r="ISX59" s="169"/>
      <c r="ISY59" s="169"/>
      <c r="ISZ59" s="169"/>
      <c r="ITA59" s="169"/>
      <c r="ITB59" s="169"/>
      <c r="ITC59" s="169"/>
      <c r="ITD59" s="169"/>
      <c r="ITE59" s="169"/>
      <c r="ITF59" s="169"/>
      <c r="ITG59" s="169"/>
      <c r="ITH59" s="169"/>
      <c r="ITI59" s="169"/>
      <c r="ITJ59" s="169"/>
      <c r="ITK59" s="169"/>
      <c r="ITL59" s="169"/>
      <c r="ITM59" s="169"/>
      <c r="ITN59" s="169"/>
      <c r="ITO59" s="169"/>
      <c r="ITP59" s="169"/>
      <c r="ITQ59" s="169"/>
      <c r="ITR59" s="169"/>
      <c r="ITS59" s="169"/>
      <c r="ITT59" s="169"/>
      <c r="ITU59" s="169"/>
      <c r="ITV59" s="169"/>
      <c r="ITW59" s="169"/>
      <c r="ITX59" s="169"/>
      <c r="ITY59" s="169"/>
      <c r="ITZ59" s="169"/>
      <c r="IUA59" s="169"/>
      <c r="IUB59" s="169"/>
      <c r="IUC59" s="169"/>
      <c r="IUD59" s="169"/>
      <c r="IUE59" s="169"/>
      <c r="IUF59" s="169"/>
      <c r="IUG59" s="169"/>
      <c r="IUH59" s="169"/>
      <c r="IUI59" s="169"/>
      <c r="IUJ59" s="169"/>
      <c r="IUK59" s="169"/>
      <c r="IUL59" s="169"/>
      <c r="IUM59" s="169"/>
      <c r="IUN59" s="169"/>
      <c r="IUO59" s="169"/>
      <c r="IUP59" s="169"/>
      <c r="IUQ59" s="169"/>
      <c r="IUR59" s="169"/>
      <c r="IUS59" s="169"/>
      <c r="IUT59" s="169"/>
      <c r="IUU59" s="169"/>
      <c r="IUV59" s="169"/>
      <c r="IUW59" s="169"/>
      <c r="IUX59" s="169"/>
      <c r="IUY59" s="169"/>
      <c r="IUZ59" s="169"/>
      <c r="IVA59" s="169"/>
      <c r="IVB59" s="169"/>
      <c r="IVC59" s="169"/>
      <c r="IVD59" s="169"/>
      <c r="IVE59" s="169"/>
      <c r="IVF59" s="169"/>
      <c r="IVG59" s="169"/>
      <c r="IVH59" s="169"/>
      <c r="IVI59" s="169"/>
      <c r="IVJ59" s="169"/>
      <c r="IVK59" s="169"/>
      <c r="IVL59" s="169"/>
      <c r="IVM59" s="169"/>
      <c r="IVN59" s="169"/>
      <c r="IVO59" s="169"/>
      <c r="IVP59" s="169"/>
      <c r="IVQ59" s="169"/>
      <c r="IVR59" s="169"/>
      <c r="IVS59" s="169"/>
      <c r="IVT59" s="169"/>
      <c r="IVU59" s="169"/>
      <c r="IVV59" s="169"/>
      <c r="IVW59" s="169"/>
      <c r="IVX59" s="169"/>
      <c r="IVY59" s="169"/>
      <c r="IVZ59" s="169"/>
      <c r="IWA59" s="169"/>
      <c r="IWB59" s="169"/>
      <c r="IWC59" s="169"/>
      <c r="IWD59" s="169"/>
      <c r="IWE59" s="169"/>
      <c r="IWF59" s="169"/>
      <c r="IWG59" s="169"/>
      <c r="IWH59" s="169"/>
      <c r="IWI59" s="169"/>
      <c r="IWJ59" s="169"/>
      <c r="IWK59" s="169"/>
      <c r="IWL59" s="169"/>
      <c r="IWM59" s="169"/>
      <c r="IWN59" s="169"/>
      <c r="IWO59" s="169"/>
      <c r="IWP59" s="169"/>
      <c r="IWQ59" s="169"/>
      <c r="IWR59" s="169"/>
      <c r="IWS59" s="169"/>
      <c r="IWT59" s="169"/>
      <c r="IWU59" s="169"/>
      <c r="IWV59" s="169"/>
      <c r="IWW59" s="169"/>
      <c r="IWX59" s="169"/>
      <c r="IWY59" s="169"/>
      <c r="IWZ59" s="169"/>
      <c r="IXA59" s="169"/>
      <c r="IXB59" s="169"/>
      <c r="IXC59" s="169"/>
      <c r="IXD59" s="169"/>
      <c r="IXE59" s="169"/>
      <c r="IXF59" s="169"/>
      <c r="IXG59" s="169"/>
      <c r="IXH59" s="169"/>
      <c r="IXI59" s="169"/>
      <c r="IXJ59" s="169"/>
      <c r="IXK59" s="169"/>
      <c r="IXL59" s="169"/>
      <c r="IXM59" s="169"/>
      <c r="IXN59" s="169"/>
      <c r="IXO59" s="169"/>
      <c r="IXP59" s="169"/>
      <c r="IXQ59" s="169"/>
      <c r="IXR59" s="169"/>
      <c r="IXS59" s="169"/>
      <c r="IXT59" s="169"/>
      <c r="IXU59" s="169"/>
      <c r="IXV59" s="169"/>
      <c r="IXW59" s="169"/>
      <c r="IXX59" s="169"/>
      <c r="IXY59" s="169"/>
      <c r="IXZ59" s="169"/>
      <c r="IYA59" s="169"/>
      <c r="IYB59" s="169"/>
      <c r="IYC59" s="169"/>
      <c r="IYD59" s="169"/>
      <c r="IYE59" s="169"/>
      <c r="IYF59" s="169"/>
      <c r="IYG59" s="169"/>
      <c r="IYH59" s="169"/>
      <c r="IYI59" s="169"/>
      <c r="IYJ59" s="169"/>
      <c r="IYK59" s="169"/>
      <c r="IYL59" s="169"/>
      <c r="IYM59" s="169"/>
      <c r="IYN59" s="169"/>
      <c r="IYO59" s="169"/>
      <c r="IYP59" s="169"/>
      <c r="IYQ59" s="169"/>
      <c r="IYR59" s="169"/>
      <c r="IYS59" s="169"/>
      <c r="IYT59" s="169"/>
      <c r="IYU59" s="169"/>
      <c r="IYV59" s="169"/>
      <c r="IYW59" s="169"/>
      <c r="IYX59" s="169"/>
      <c r="IYY59" s="169"/>
      <c r="IYZ59" s="169"/>
      <c r="IZA59" s="169"/>
      <c r="IZB59" s="169"/>
      <c r="IZC59" s="169"/>
      <c r="IZD59" s="169"/>
      <c r="IZE59" s="169"/>
      <c r="IZF59" s="169"/>
      <c r="IZG59" s="169"/>
      <c r="IZH59" s="169"/>
      <c r="IZI59" s="169"/>
      <c r="IZJ59" s="169"/>
      <c r="IZK59" s="169"/>
      <c r="IZL59" s="169"/>
      <c r="IZM59" s="169"/>
      <c r="IZN59" s="169"/>
      <c r="IZO59" s="169"/>
      <c r="IZP59" s="169"/>
      <c r="IZQ59" s="169"/>
      <c r="IZR59" s="169"/>
      <c r="IZS59" s="169"/>
      <c r="IZT59" s="169"/>
      <c r="IZU59" s="169"/>
      <c r="IZV59" s="169"/>
      <c r="IZW59" s="169"/>
      <c r="IZX59" s="169"/>
      <c r="IZY59" s="169"/>
      <c r="IZZ59" s="169"/>
      <c r="JAA59" s="169"/>
      <c r="JAB59" s="169"/>
      <c r="JAC59" s="169"/>
      <c r="JAD59" s="169"/>
      <c r="JAE59" s="169"/>
      <c r="JAF59" s="169"/>
      <c r="JAG59" s="169"/>
      <c r="JAH59" s="169"/>
      <c r="JAI59" s="169"/>
      <c r="JAJ59" s="169"/>
      <c r="JAK59" s="169"/>
      <c r="JAL59" s="169"/>
      <c r="JAM59" s="169"/>
      <c r="JAN59" s="169"/>
      <c r="JAO59" s="169"/>
      <c r="JAP59" s="169"/>
      <c r="JAQ59" s="169"/>
      <c r="JAR59" s="169"/>
      <c r="JAS59" s="169"/>
      <c r="JAT59" s="169"/>
      <c r="JAU59" s="169"/>
      <c r="JAV59" s="169"/>
      <c r="JAW59" s="169"/>
      <c r="JAX59" s="169"/>
      <c r="JAY59" s="169"/>
      <c r="JAZ59" s="169"/>
      <c r="JBA59" s="169"/>
      <c r="JBB59" s="169"/>
      <c r="JBC59" s="169"/>
      <c r="JBD59" s="169"/>
      <c r="JBE59" s="169"/>
      <c r="JBF59" s="169"/>
      <c r="JBG59" s="169"/>
      <c r="JBH59" s="169"/>
      <c r="JBI59" s="169"/>
      <c r="JBJ59" s="169"/>
      <c r="JBK59" s="169"/>
      <c r="JBL59" s="169"/>
      <c r="JBM59" s="169"/>
      <c r="JBN59" s="169"/>
      <c r="JBO59" s="169"/>
      <c r="JBP59" s="169"/>
      <c r="JBQ59" s="169"/>
      <c r="JBR59" s="169"/>
      <c r="JBS59" s="169"/>
      <c r="JBT59" s="169"/>
      <c r="JBU59" s="169"/>
      <c r="JBV59" s="169"/>
      <c r="JBW59" s="169"/>
      <c r="JBX59" s="169"/>
      <c r="JBY59" s="169"/>
      <c r="JBZ59" s="169"/>
      <c r="JCA59" s="169"/>
      <c r="JCB59" s="169"/>
      <c r="JCC59" s="169"/>
      <c r="JCD59" s="169"/>
      <c r="JCE59" s="169"/>
      <c r="JCF59" s="169"/>
      <c r="JCG59" s="169"/>
      <c r="JCH59" s="169"/>
      <c r="JCI59" s="169"/>
      <c r="JCJ59" s="169"/>
      <c r="JCK59" s="169"/>
      <c r="JCL59" s="169"/>
      <c r="JCM59" s="169"/>
      <c r="JCN59" s="169"/>
      <c r="JCO59" s="169"/>
      <c r="JCP59" s="169"/>
      <c r="JCQ59" s="169"/>
      <c r="JCR59" s="169"/>
      <c r="JCS59" s="169"/>
      <c r="JCT59" s="169"/>
      <c r="JCU59" s="169"/>
      <c r="JCV59" s="169"/>
      <c r="JCW59" s="169"/>
      <c r="JCX59" s="169"/>
      <c r="JCY59" s="169"/>
      <c r="JCZ59" s="169"/>
      <c r="JDA59" s="169"/>
      <c r="JDB59" s="169"/>
      <c r="JDC59" s="169"/>
      <c r="JDD59" s="169"/>
      <c r="JDE59" s="169"/>
      <c r="JDF59" s="169"/>
      <c r="JDG59" s="169"/>
      <c r="JDH59" s="169"/>
      <c r="JDI59" s="169"/>
      <c r="JDJ59" s="169"/>
      <c r="JDK59" s="169"/>
      <c r="JDL59" s="169"/>
      <c r="JDM59" s="169"/>
      <c r="JDN59" s="169"/>
      <c r="JDO59" s="169"/>
      <c r="JDP59" s="169"/>
      <c r="JDQ59" s="169"/>
      <c r="JDR59" s="169"/>
      <c r="JDS59" s="169"/>
      <c r="JDT59" s="169"/>
      <c r="JDU59" s="169"/>
      <c r="JDV59" s="169"/>
      <c r="JDW59" s="169"/>
      <c r="JDX59" s="169"/>
      <c r="JDY59" s="169"/>
      <c r="JDZ59" s="169"/>
      <c r="JEA59" s="169"/>
      <c r="JEB59" s="169"/>
      <c r="JEC59" s="169"/>
      <c r="JED59" s="169"/>
      <c r="JEE59" s="169"/>
      <c r="JEF59" s="169"/>
      <c r="JEG59" s="169"/>
      <c r="JEH59" s="169"/>
      <c r="JEI59" s="169"/>
      <c r="JEJ59" s="169"/>
      <c r="JEK59" s="169"/>
      <c r="JEL59" s="169"/>
      <c r="JEM59" s="169"/>
      <c r="JEN59" s="169"/>
      <c r="JEO59" s="169"/>
      <c r="JEP59" s="169"/>
      <c r="JEQ59" s="169"/>
      <c r="JER59" s="169"/>
      <c r="JES59" s="169"/>
      <c r="JET59" s="169"/>
      <c r="JEU59" s="169"/>
      <c r="JEV59" s="169"/>
      <c r="JEW59" s="169"/>
      <c r="JEX59" s="169"/>
      <c r="JEY59" s="169"/>
      <c r="JEZ59" s="169"/>
      <c r="JFA59" s="169"/>
      <c r="JFB59" s="169"/>
      <c r="JFC59" s="169"/>
      <c r="JFD59" s="169"/>
      <c r="JFE59" s="169"/>
      <c r="JFF59" s="169"/>
      <c r="JFG59" s="169"/>
      <c r="JFH59" s="169"/>
      <c r="JFI59" s="169"/>
      <c r="JFJ59" s="169"/>
      <c r="JFK59" s="169"/>
      <c r="JFL59" s="169"/>
      <c r="JFM59" s="169"/>
      <c r="JFN59" s="169"/>
      <c r="JFO59" s="169"/>
      <c r="JFP59" s="169"/>
      <c r="JFQ59" s="169"/>
      <c r="JFR59" s="169"/>
      <c r="JFS59" s="169"/>
      <c r="JFT59" s="169"/>
      <c r="JFU59" s="169"/>
      <c r="JFV59" s="169"/>
      <c r="JFW59" s="169"/>
      <c r="JFX59" s="169"/>
      <c r="JFY59" s="169"/>
      <c r="JFZ59" s="169"/>
      <c r="JGA59" s="169"/>
      <c r="JGB59" s="169"/>
      <c r="JGC59" s="169"/>
      <c r="JGD59" s="169"/>
      <c r="JGE59" s="169"/>
      <c r="JGF59" s="169"/>
      <c r="JGG59" s="169"/>
      <c r="JGH59" s="169"/>
      <c r="JGI59" s="169"/>
      <c r="JGJ59" s="169"/>
      <c r="JGK59" s="169"/>
      <c r="JGL59" s="169"/>
      <c r="JGM59" s="169"/>
      <c r="JGN59" s="169"/>
      <c r="JGO59" s="169"/>
      <c r="JGP59" s="169"/>
      <c r="JGQ59" s="169"/>
      <c r="JGR59" s="169"/>
      <c r="JGS59" s="169"/>
      <c r="JGT59" s="169"/>
      <c r="JGU59" s="169"/>
      <c r="JGV59" s="169"/>
      <c r="JGW59" s="169"/>
      <c r="JGX59" s="169"/>
      <c r="JGY59" s="169"/>
      <c r="JGZ59" s="169"/>
      <c r="JHA59" s="169"/>
      <c r="JHB59" s="169"/>
      <c r="JHC59" s="169"/>
      <c r="JHD59" s="169"/>
      <c r="JHE59" s="169"/>
      <c r="JHF59" s="169"/>
      <c r="JHG59" s="169"/>
      <c r="JHH59" s="169"/>
      <c r="JHI59" s="169"/>
      <c r="JHJ59" s="169"/>
      <c r="JHK59" s="169"/>
      <c r="JHL59" s="169"/>
      <c r="JHM59" s="169"/>
      <c r="JHN59" s="169"/>
      <c r="JHO59" s="169"/>
      <c r="JHP59" s="169"/>
      <c r="JHQ59" s="169"/>
      <c r="JHR59" s="169"/>
      <c r="JHS59" s="169"/>
      <c r="JHT59" s="169"/>
      <c r="JHU59" s="169"/>
      <c r="JHV59" s="169"/>
      <c r="JHW59" s="169"/>
      <c r="JHX59" s="169"/>
      <c r="JHY59" s="169"/>
      <c r="JHZ59" s="169"/>
      <c r="JIA59" s="169"/>
      <c r="JIB59" s="169"/>
      <c r="JIC59" s="169"/>
      <c r="JID59" s="169"/>
      <c r="JIE59" s="169"/>
      <c r="JIF59" s="169"/>
      <c r="JIG59" s="169"/>
      <c r="JIH59" s="169"/>
      <c r="JII59" s="169"/>
      <c r="JIJ59" s="169"/>
      <c r="JIK59" s="169"/>
      <c r="JIL59" s="169"/>
      <c r="JIM59" s="169"/>
      <c r="JIN59" s="169"/>
      <c r="JIO59" s="169"/>
      <c r="JIP59" s="169"/>
      <c r="JIQ59" s="169"/>
      <c r="JIR59" s="169"/>
      <c r="JIS59" s="169"/>
      <c r="JIT59" s="169"/>
      <c r="JIU59" s="169"/>
      <c r="JIV59" s="169"/>
      <c r="JIW59" s="169"/>
      <c r="JIX59" s="169"/>
      <c r="JIY59" s="169"/>
      <c r="JIZ59" s="169"/>
      <c r="JJA59" s="169"/>
      <c r="JJB59" s="169"/>
      <c r="JJC59" s="169"/>
      <c r="JJD59" s="169"/>
      <c r="JJE59" s="169"/>
      <c r="JJF59" s="169"/>
      <c r="JJG59" s="169"/>
      <c r="JJH59" s="169"/>
      <c r="JJI59" s="169"/>
      <c r="JJJ59" s="169"/>
      <c r="JJK59" s="169"/>
      <c r="JJL59" s="169"/>
      <c r="JJM59" s="169"/>
      <c r="JJN59" s="169"/>
      <c r="JJO59" s="169"/>
      <c r="JJP59" s="169"/>
      <c r="JJQ59" s="169"/>
      <c r="JJR59" s="169"/>
      <c r="JJS59" s="169"/>
      <c r="JJT59" s="169"/>
      <c r="JJU59" s="169"/>
      <c r="JJV59" s="169"/>
      <c r="JJW59" s="169"/>
      <c r="JJX59" s="169"/>
      <c r="JJY59" s="169"/>
      <c r="JJZ59" s="169"/>
      <c r="JKA59" s="169"/>
      <c r="JKB59" s="169"/>
      <c r="JKC59" s="169"/>
      <c r="JKD59" s="169"/>
      <c r="JKE59" s="169"/>
      <c r="JKF59" s="169"/>
      <c r="JKG59" s="169"/>
      <c r="JKH59" s="169"/>
      <c r="JKI59" s="169"/>
      <c r="JKJ59" s="169"/>
      <c r="JKK59" s="169"/>
      <c r="JKL59" s="169"/>
      <c r="JKM59" s="169"/>
      <c r="JKN59" s="169"/>
      <c r="JKO59" s="169"/>
      <c r="JKP59" s="169"/>
      <c r="JKQ59" s="169"/>
      <c r="JKR59" s="169"/>
      <c r="JKS59" s="169"/>
      <c r="JKT59" s="169"/>
      <c r="JKU59" s="169"/>
      <c r="JKV59" s="169"/>
      <c r="JKW59" s="169"/>
      <c r="JKX59" s="169"/>
      <c r="JKY59" s="169"/>
      <c r="JKZ59" s="169"/>
      <c r="JLA59" s="169"/>
      <c r="JLB59" s="169"/>
      <c r="JLC59" s="169"/>
      <c r="JLD59" s="169"/>
      <c r="JLE59" s="169"/>
      <c r="JLF59" s="169"/>
      <c r="JLG59" s="169"/>
      <c r="JLH59" s="169"/>
      <c r="JLI59" s="169"/>
      <c r="JLJ59" s="169"/>
      <c r="JLK59" s="169"/>
      <c r="JLL59" s="169"/>
      <c r="JLM59" s="169"/>
      <c r="JLN59" s="169"/>
      <c r="JLO59" s="169"/>
      <c r="JLP59" s="169"/>
      <c r="JLQ59" s="169"/>
      <c r="JLR59" s="169"/>
      <c r="JLS59" s="169"/>
      <c r="JLT59" s="169"/>
      <c r="JLU59" s="169"/>
      <c r="JLV59" s="169"/>
      <c r="JLW59" s="169"/>
      <c r="JLX59" s="169"/>
      <c r="JLY59" s="169"/>
      <c r="JLZ59" s="169"/>
      <c r="JMA59" s="169"/>
      <c r="JMB59" s="169"/>
      <c r="JMC59" s="169"/>
      <c r="JMD59" s="169"/>
      <c r="JME59" s="169"/>
      <c r="JMF59" s="169"/>
      <c r="JMG59" s="169"/>
      <c r="JMH59" s="169"/>
      <c r="JMI59" s="169"/>
      <c r="JMJ59" s="169"/>
      <c r="JMK59" s="169"/>
      <c r="JML59" s="169"/>
      <c r="JMM59" s="169"/>
      <c r="JMN59" s="169"/>
      <c r="JMO59" s="169"/>
      <c r="JMP59" s="169"/>
      <c r="JMQ59" s="169"/>
      <c r="JMR59" s="169"/>
      <c r="JMS59" s="169"/>
      <c r="JMT59" s="169"/>
      <c r="JMU59" s="169"/>
      <c r="JMV59" s="169"/>
      <c r="JMW59" s="169"/>
      <c r="JMX59" s="169"/>
      <c r="JMY59" s="169"/>
      <c r="JMZ59" s="169"/>
      <c r="JNA59" s="169"/>
      <c r="JNB59" s="169"/>
      <c r="JNC59" s="169"/>
      <c r="JND59" s="169"/>
      <c r="JNE59" s="169"/>
      <c r="JNF59" s="169"/>
      <c r="JNG59" s="169"/>
      <c r="JNH59" s="169"/>
      <c r="JNI59" s="169"/>
      <c r="JNJ59" s="169"/>
      <c r="JNK59" s="169"/>
      <c r="JNL59" s="169"/>
      <c r="JNM59" s="169"/>
      <c r="JNN59" s="169"/>
      <c r="JNO59" s="169"/>
      <c r="JNP59" s="169"/>
      <c r="JNQ59" s="169"/>
      <c r="JNR59" s="169"/>
      <c r="JNS59" s="169"/>
      <c r="JNT59" s="169"/>
      <c r="JNU59" s="169"/>
      <c r="JNV59" s="169"/>
      <c r="JNW59" s="169"/>
      <c r="JNX59" s="169"/>
      <c r="JNY59" s="169"/>
      <c r="JNZ59" s="169"/>
      <c r="JOA59" s="169"/>
      <c r="JOB59" s="169"/>
      <c r="JOC59" s="169"/>
      <c r="JOD59" s="169"/>
      <c r="JOE59" s="169"/>
      <c r="JOF59" s="169"/>
      <c r="JOG59" s="169"/>
      <c r="JOH59" s="169"/>
      <c r="JOI59" s="169"/>
      <c r="JOJ59" s="169"/>
      <c r="JOK59" s="169"/>
      <c r="JOL59" s="169"/>
      <c r="JOM59" s="169"/>
      <c r="JON59" s="169"/>
      <c r="JOO59" s="169"/>
      <c r="JOP59" s="169"/>
      <c r="JOQ59" s="169"/>
      <c r="JOR59" s="169"/>
      <c r="JOS59" s="169"/>
      <c r="JOT59" s="169"/>
      <c r="JOU59" s="169"/>
      <c r="JOV59" s="169"/>
      <c r="JOW59" s="169"/>
      <c r="JOX59" s="169"/>
      <c r="JOY59" s="169"/>
      <c r="JOZ59" s="169"/>
      <c r="JPA59" s="169"/>
      <c r="JPB59" s="169"/>
      <c r="JPC59" s="169"/>
      <c r="JPD59" s="169"/>
      <c r="JPE59" s="169"/>
      <c r="JPF59" s="169"/>
      <c r="JPG59" s="169"/>
      <c r="JPH59" s="169"/>
      <c r="JPI59" s="169"/>
      <c r="JPJ59" s="169"/>
      <c r="JPK59" s="169"/>
      <c r="JPL59" s="169"/>
      <c r="JPM59" s="169"/>
      <c r="JPN59" s="169"/>
      <c r="JPO59" s="169"/>
      <c r="JPP59" s="169"/>
      <c r="JPQ59" s="169"/>
      <c r="JPR59" s="169"/>
      <c r="JPS59" s="169"/>
      <c r="JPT59" s="169"/>
      <c r="JPU59" s="169"/>
      <c r="JPV59" s="169"/>
      <c r="JPW59" s="169"/>
      <c r="JPX59" s="169"/>
      <c r="JPY59" s="169"/>
      <c r="JPZ59" s="169"/>
      <c r="JQA59" s="169"/>
      <c r="JQB59" s="169"/>
      <c r="JQC59" s="169"/>
      <c r="JQD59" s="169"/>
      <c r="JQE59" s="169"/>
      <c r="JQF59" s="169"/>
      <c r="JQG59" s="169"/>
      <c r="JQH59" s="169"/>
      <c r="JQI59" s="169"/>
      <c r="JQJ59" s="169"/>
      <c r="JQK59" s="169"/>
      <c r="JQL59" s="169"/>
      <c r="JQM59" s="169"/>
      <c r="JQN59" s="169"/>
      <c r="JQO59" s="169"/>
      <c r="JQP59" s="169"/>
      <c r="JQQ59" s="169"/>
      <c r="JQR59" s="169"/>
      <c r="JQS59" s="169"/>
      <c r="JQT59" s="169"/>
      <c r="JQU59" s="169"/>
      <c r="JQV59" s="169"/>
      <c r="JQW59" s="169"/>
      <c r="JQX59" s="169"/>
      <c r="JQY59" s="169"/>
      <c r="JQZ59" s="169"/>
      <c r="JRA59" s="169"/>
      <c r="JRB59" s="169"/>
      <c r="JRC59" s="169"/>
      <c r="JRD59" s="169"/>
      <c r="JRE59" s="169"/>
      <c r="JRF59" s="169"/>
      <c r="JRG59" s="169"/>
      <c r="JRH59" s="169"/>
      <c r="JRI59" s="169"/>
      <c r="JRJ59" s="169"/>
      <c r="JRK59" s="169"/>
      <c r="JRL59" s="169"/>
      <c r="JRM59" s="169"/>
      <c r="JRN59" s="169"/>
      <c r="JRO59" s="169"/>
      <c r="JRP59" s="169"/>
      <c r="JRQ59" s="169"/>
      <c r="JRR59" s="169"/>
      <c r="JRS59" s="169"/>
      <c r="JRT59" s="169"/>
      <c r="JRU59" s="169"/>
      <c r="JRV59" s="169"/>
      <c r="JRW59" s="169"/>
      <c r="JRX59" s="169"/>
      <c r="JRY59" s="169"/>
      <c r="JRZ59" s="169"/>
      <c r="JSA59" s="169"/>
      <c r="JSB59" s="169"/>
      <c r="JSC59" s="169"/>
      <c r="JSD59" s="169"/>
      <c r="JSE59" s="169"/>
      <c r="JSF59" s="169"/>
      <c r="JSG59" s="169"/>
      <c r="JSH59" s="169"/>
      <c r="JSI59" s="169"/>
      <c r="JSJ59" s="169"/>
      <c r="JSK59" s="169"/>
      <c r="JSL59" s="169"/>
      <c r="JSM59" s="169"/>
      <c r="JSN59" s="169"/>
      <c r="JSO59" s="169"/>
      <c r="JSP59" s="169"/>
      <c r="JSQ59" s="169"/>
      <c r="JSR59" s="169"/>
      <c r="JSS59" s="169"/>
      <c r="JST59" s="169"/>
      <c r="JSU59" s="169"/>
      <c r="JSV59" s="169"/>
      <c r="JSW59" s="169"/>
      <c r="JSX59" s="169"/>
      <c r="JSY59" s="169"/>
      <c r="JSZ59" s="169"/>
      <c r="JTA59" s="169"/>
      <c r="JTB59" s="169"/>
      <c r="JTC59" s="169"/>
      <c r="JTD59" s="169"/>
      <c r="JTE59" s="169"/>
      <c r="JTF59" s="169"/>
      <c r="JTG59" s="169"/>
      <c r="JTH59" s="169"/>
      <c r="JTI59" s="169"/>
      <c r="JTJ59" s="169"/>
      <c r="JTK59" s="169"/>
      <c r="JTL59" s="169"/>
      <c r="JTM59" s="169"/>
      <c r="JTN59" s="169"/>
      <c r="JTO59" s="169"/>
      <c r="JTP59" s="169"/>
      <c r="JTQ59" s="169"/>
      <c r="JTR59" s="169"/>
      <c r="JTS59" s="169"/>
      <c r="JTT59" s="169"/>
      <c r="JTU59" s="169"/>
      <c r="JTV59" s="169"/>
      <c r="JTW59" s="169"/>
      <c r="JTX59" s="169"/>
      <c r="JTY59" s="169"/>
      <c r="JTZ59" s="169"/>
      <c r="JUA59" s="169"/>
      <c r="JUB59" s="169"/>
      <c r="JUC59" s="169"/>
      <c r="JUD59" s="169"/>
      <c r="JUE59" s="169"/>
      <c r="JUF59" s="169"/>
      <c r="JUG59" s="169"/>
      <c r="JUH59" s="169"/>
      <c r="JUI59" s="169"/>
      <c r="JUJ59" s="169"/>
      <c r="JUK59" s="169"/>
      <c r="JUL59" s="169"/>
      <c r="JUM59" s="169"/>
      <c r="JUN59" s="169"/>
      <c r="JUO59" s="169"/>
      <c r="JUP59" s="169"/>
      <c r="JUQ59" s="169"/>
      <c r="JUR59" s="169"/>
      <c r="JUS59" s="169"/>
      <c r="JUT59" s="169"/>
      <c r="JUU59" s="169"/>
      <c r="JUV59" s="169"/>
      <c r="JUW59" s="169"/>
      <c r="JUX59" s="169"/>
      <c r="JUY59" s="169"/>
      <c r="JUZ59" s="169"/>
      <c r="JVA59" s="169"/>
      <c r="JVB59" s="169"/>
      <c r="JVC59" s="169"/>
      <c r="JVD59" s="169"/>
      <c r="JVE59" s="169"/>
      <c r="JVF59" s="169"/>
      <c r="JVG59" s="169"/>
      <c r="JVH59" s="169"/>
      <c r="JVI59" s="169"/>
      <c r="JVJ59" s="169"/>
      <c r="JVK59" s="169"/>
      <c r="JVL59" s="169"/>
      <c r="JVM59" s="169"/>
      <c r="JVN59" s="169"/>
      <c r="JVO59" s="169"/>
      <c r="JVP59" s="169"/>
      <c r="JVQ59" s="169"/>
      <c r="JVR59" s="169"/>
      <c r="JVS59" s="169"/>
      <c r="JVT59" s="169"/>
      <c r="JVU59" s="169"/>
      <c r="JVV59" s="169"/>
      <c r="JVW59" s="169"/>
      <c r="JVX59" s="169"/>
      <c r="JVY59" s="169"/>
      <c r="JVZ59" s="169"/>
      <c r="JWA59" s="169"/>
      <c r="JWB59" s="169"/>
      <c r="JWC59" s="169"/>
      <c r="JWD59" s="169"/>
      <c r="JWE59" s="169"/>
      <c r="JWF59" s="169"/>
      <c r="JWG59" s="169"/>
      <c r="JWH59" s="169"/>
      <c r="JWI59" s="169"/>
      <c r="JWJ59" s="169"/>
      <c r="JWK59" s="169"/>
      <c r="JWL59" s="169"/>
      <c r="JWM59" s="169"/>
      <c r="JWN59" s="169"/>
      <c r="JWO59" s="169"/>
      <c r="JWP59" s="169"/>
      <c r="JWQ59" s="169"/>
      <c r="JWR59" s="169"/>
      <c r="JWS59" s="169"/>
      <c r="JWT59" s="169"/>
      <c r="JWU59" s="169"/>
      <c r="JWV59" s="169"/>
      <c r="JWW59" s="169"/>
      <c r="JWX59" s="169"/>
      <c r="JWY59" s="169"/>
      <c r="JWZ59" s="169"/>
      <c r="JXA59" s="169"/>
      <c r="JXB59" s="169"/>
      <c r="JXC59" s="169"/>
      <c r="JXD59" s="169"/>
      <c r="JXE59" s="169"/>
      <c r="JXF59" s="169"/>
      <c r="JXG59" s="169"/>
      <c r="JXH59" s="169"/>
      <c r="JXI59" s="169"/>
      <c r="JXJ59" s="169"/>
      <c r="JXK59" s="169"/>
      <c r="JXL59" s="169"/>
      <c r="JXM59" s="169"/>
      <c r="JXN59" s="169"/>
      <c r="JXO59" s="169"/>
      <c r="JXP59" s="169"/>
      <c r="JXQ59" s="169"/>
      <c r="JXR59" s="169"/>
      <c r="JXS59" s="169"/>
      <c r="JXT59" s="169"/>
      <c r="JXU59" s="169"/>
      <c r="JXV59" s="169"/>
      <c r="JXW59" s="169"/>
      <c r="JXX59" s="169"/>
      <c r="JXY59" s="169"/>
      <c r="JXZ59" s="169"/>
      <c r="JYA59" s="169"/>
      <c r="JYB59" s="169"/>
      <c r="JYC59" s="169"/>
      <c r="JYD59" s="169"/>
      <c r="JYE59" s="169"/>
      <c r="JYF59" s="169"/>
      <c r="JYG59" s="169"/>
      <c r="JYH59" s="169"/>
      <c r="JYI59" s="169"/>
      <c r="JYJ59" s="169"/>
      <c r="JYK59" s="169"/>
      <c r="JYL59" s="169"/>
      <c r="JYM59" s="169"/>
      <c r="JYN59" s="169"/>
      <c r="JYO59" s="169"/>
      <c r="JYP59" s="169"/>
      <c r="JYQ59" s="169"/>
      <c r="JYR59" s="169"/>
      <c r="JYS59" s="169"/>
      <c r="JYT59" s="169"/>
      <c r="JYU59" s="169"/>
      <c r="JYV59" s="169"/>
      <c r="JYW59" s="169"/>
      <c r="JYX59" s="169"/>
      <c r="JYY59" s="169"/>
      <c r="JYZ59" s="169"/>
      <c r="JZA59" s="169"/>
      <c r="JZB59" s="169"/>
      <c r="JZC59" s="169"/>
      <c r="JZD59" s="169"/>
      <c r="JZE59" s="169"/>
      <c r="JZF59" s="169"/>
      <c r="JZG59" s="169"/>
      <c r="JZH59" s="169"/>
      <c r="JZI59" s="169"/>
      <c r="JZJ59" s="169"/>
      <c r="JZK59" s="169"/>
      <c r="JZL59" s="169"/>
      <c r="JZM59" s="169"/>
      <c r="JZN59" s="169"/>
      <c r="JZO59" s="169"/>
      <c r="JZP59" s="169"/>
      <c r="JZQ59" s="169"/>
      <c r="JZR59" s="169"/>
      <c r="JZS59" s="169"/>
      <c r="JZT59" s="169"/>
      <c r="JZU59" s="169"/>
      <c r="JZV59" s="169"/>
      <c r="JZW59" s="169"/>
      <c r="JZX59" s="169"/>
      <c r="JZY59" s="169"/>
      <c r="JZZ59" s="169"/>
      <c r="KAA59" s="169"/>
      <c r="KAB59" s="169"/>
      <c r="KAC59" s="169"/>
      <c r="KAD59" s="169"/>
      <c r="KAE59" s="169"/>
      <c r="KAF59" s="169"/>
      <c r="KAG59" s="169"/>
      <c r="KAH59" s="169"/>
      <c r="KAI59" s="169"/>
      <c r="KAJ59" s="169"/>
      <c r="KAK59" s="169"/>
      <c r="KAL59" s="169"/>
      <c r="KAM59" s="169"/>
      <c r="KAN59" s="169"/>
      <c r="KAO59" s="169"/>
      <c r="KAP59" s="169"/>
      <c r="KAQ59" s="169"/>
      <c r="KAR59" s="169"/>
      <c r="KAS59" s="169"/>
      <c r="KAT59" s="169"/>
      <c r="KAU59" s="169"/>
      <c r="KAV59" s="169"/>
      <c r="KAW59" s="169"/>
      <c r="KAX59" s="169"/>
      <c r="KAY59" s="169"/>
      <c r="KAZ59" s="169"/>
      <c r="KBA59" s="169"/>
      <c r="KBB59" s="169"/>
      <c r="KBC59" s="169"/>
      <c r="KBD59" s="169"/>
      <c r="KBE59" s="169"/>
      <c r="KBF59" s="169"/>
      <c r="KBG59" s="169"/>
      <c r="KBH59" s="169"/>
      <c r="KBI59" s="169"/>
      <c r="KBJ59" s="169"/>
      <c r="KBK59" s="169"/>
      <c r="KBL59" s="169"/>
      <c r="KBM59" s="169"/>
      <c r="KBN59" s="169"/>
      <c r="KBO59" s="169"/>
      <c r="KBP59" s="169"/>
      <c r="KBQ59" s="169"/>
      <c r="KBR59" s="169"/>
      <c r="KBS59" s="169"/>
      <c r="KBT59" s="169"/>
      <c r="KBU59" s="169"/>
      <c r="KBV59" s="169"/>
      <c r="KBW59" s="169"/>
      <c r="KBX59" s="169"/>
      <c r="KBY59" s="169"/>
      <c r="KBZ59" s="169"/>
      <c r="KCA59" s="169"/>
      <c r="KCB59" s="169"/>
      <c r="KCC59" s="169"/>
      <c r="KCD59" s="169"/>
      <c r="KCE59" s="169"/>
      <c r="KCF59" s="169"/>
      <c r="KCG59" s="169"/>
      <c r="KCH59" s="169"/>
      <c r="KCI59" s="169"/>
      <c r="KCJ59" s="169"/>
      <c r="KCK59" s="169"/>
      <c r="KCL59" s="169"/>
      <c r="KCM59" s="169"/>
      <c r="KCN59" s="169"/>
      <c r="KCO59" s="169"/>
      <c r="KCP59" s="169"/>
      <c r="KCQ59" s="169"/>
      <c r="KCR59" s="169"/>
      <c r="KCS59" s="169"/>
      <c r="KCT59" s="169"/>
      <c r="KCU59" s="169"/>
      <c r="KCV59" s="169"/>
      <c r="KCW59" s="169"/>
      <c r="KCX59" s="169"/>
      <c r="KCY59" s="169"/>
      <c r="KCZ59" s="169"/>
      <c r="KDA59" s="169"/>
      <c r="KDB59" s="169"/>
      <c r="KDC59" s="169"/>
      <c r="KDD59" s="169"/>
      <c r="KDE59" s="169"/>
      <c r="KDF59" s="169"/>
      <c r="KDG59" s="169"/>
      <c r="KDH59" s="169"/>
      <c r="KDI59" s="169"/>
      <c r="KDJ59" s="169"/>
      <c r="KDK59" s="169"/>
      <c r="KDL59" s="169"/>
      <c r="KDM59" s="169"/>
      <c r="KDN59" s="169"/>
      <c r="KDO59" s="169"/>
      <c r="KDP59" s="169"/>
      <c r="KDQ59" s="169"/>
      <c r="KDR59" s="169"/>
      <c r="KDS59" s="169"/>
      <c r="KDT59" s="169"/>
      <c r="KDU59" s="169"/>
      <c r="KDV59" s="169"/>
      <c r="KDW59" s="169"/>
      <c r="KDX59" s="169"/>
      <c r="KDY59" s="169"/>
      <c r="KDZ59" s="169"/>
      <c r="KEA59" s="169"/>
      <c r="KEB59" s="169"/>
      <c r="KEC59" s="169"/>
      <c r="KED59" s="169"/>
      <c r="KEE59" s="169"/>
      <c r="KEF59" s="169"/>
      <c r="KEG59" s="169"/>
      <c r="KEH59" s="169"/>
      <c r="KEI59" s="169"/>
      <c r="KEJ59" s="169"/>
      <c r="KEK59" s="169"/>
      <c r="KEL59" s="169"/>
      <c r="KEM59" s="169"/>
      <c r="KEN59" s="169"/>
      <c r="KEO59" s="169"/>
      <c r="KEP59" s="169"/>
      <c r="KEQ59" s="169"/>
      <c r="KER59" s="169"/>
      <c r="KES59" s="169"/>
      <c r="KET59" s="169"/>
      <c r="KEU59" s="169"/>
      <c r="KEV59" s="169"/>
      <c r="KEW59" s="169"/>
      <c r="KEX59" s="169"/>
      <c r="KEY59" s="169"/>
      <c r="KEZ59" s="169"/>
      <c r="KFA59" s="169"/>
      <c r="KFB59" s="169"/>
      <c r="KFC59" s="169"/>
      <c r="KFD59" s="169"/>
      <c r="KFE59" s="169"/>
      <c r="KFF59" s="169"/>
      <c r="KFG59" s="169"/>
      <c r="KFH59" s="169"/>
      <c r="KFI59" s="169"/>
      <c r="KFJ59" s="169"/>
      <c r="KFK59" s="169"/>
      <c r="KFL59" s="169"/>
      <c r="KFM59" s="169"/>
      <c r="KFN59" s="169"/>
      <c r="KFO59" s="169"/>
      <c r="KFP59" s="169"/>
      <c r="KFQ59" s="169"/>
      <c r="KFR59" s="169"/>
      <c r="KFS59" s="169"/>
      <c r="KFT59" s="169"/>
      <c r="KFU59" s="169"/>
      <c r="KFV59" s="169"/>
      <c r="KFW59" s="169"/>
      <c r="KFX59" s="169"/>
      <c r="KFY59" s="169"/>
      <c r="KFZ59" s="169"/>
      <c r="KGA59" s="169"/>
      <c r="KGB59" s="169"/>
      <c r="KGC59" s="169"/>
      <c r="KGD59" s="169"/>
      <c r="KGE59" s="169"/>
      <c r="KGF59" s="169"/>
      <c r="KGG59" s="169"/>
      <c r="KGH59" s="169"/>
      <c r="KGI59" s="169"/>
      <c r="KGJ59" s="169"/>
      <c r="KGK59" s="169"/>
      <c r="KGL59" s="169"/>
      <c r="KGM59" s="169"/>
      <c r="KGN59" s="169"/>
      <c r="KGO59" s="169"/>
      <c r="KGP59" s="169"/>
      <c r="KGQ59" s="169"/>
      <c r="KGR59" s="169"/>
      <c r="KGS59" s="169"/>
      <c r="KGT59" s="169"/>
      <c r="KGU59" s="169"/>
      <c r="KGV59" s="169"/>
      <c r="KGW59" s="169"/>
      <c r="KGX59" s="169"/>
      <c r="KGY59" s="169"/>
      <c r="KGZ59" s="169"/>
      <c r="KHA59" s="169"/>
      <c r="KHB59" s="169"/>
      <c r="KHC59" s="169"/>
      <c r="KHD59" s="169"/>
      <c r="KHE59" s="169"/>
      <c r="KHF59" s="169"/>
      <c r="KHG59" s="169"/>
      <c r="KHH59" s="169"/>
      <c r="KHI59" s="169"/>
      <c r="KHJ59" s="169"/>
      <c r="KHK59" s="169"/>
      <c r="KHL59" s="169"/>
      <c r="KHM59" s="169"/>
      <c r="KHN59" s="169"/>
      <c r="KHO59" s="169"/>
      <c r="KHP59" s="169"/>
      <c r="KHQ59" s="169"/>
      <c r="KHR59" s="169"/>
      <c r="KHS59" s="169"/>
      <c r="KHT59" s="169"/>
      <c r="KHU59" s="169"/>
      <c r="KHV59" s="169"/>
      <c r="KHW59" s="169"/>
      <c r="KHX59" s="169"/>
      <c r="KHY59" s="169"/>
      <c r="KHZ59" s="169"/>
      <c r="KIA59" s="169"/>
      <c r="KIB59" s="169"/>
      <c r="KIC59" s="169"/>
      <c r="KID59" s="169"/>
      <c r="KIE59" s="169"/>
      <c r="KIF59" s="169"/>
      <c r="KIG59" s="169"/>
      <c r="KIH59" s="169"/>
      <c r="KII59" s="169"/>
      <c r="KIJ59" s="169"/>
      <c r="KIK59" s="169"/>
      <c r="KIL59" s="169"/>
      <c r="KIM59" s="169"/>
      <c r="KIN59" s="169"/>
      <c r="KIO59" s="169"/>
      <c r="KIP59" s="169"/>
      <c r="KIQ59" s="169"/>
      <c r="KIR59" s="169"/>
      <c r="KIS59" s="169"/>
      <c r="KIT59" s="169"/>
      <c r="KIU59" s="169"/>
      <c r="KIV59" s="169"/>
      <c r="KIW59" s="169"/>
      <c r="KIX59" s="169"/>
      <c r="KIY59" s="169"/>
      <c r="KIZ59" s="169"/>
      <c r="KJA59" s="169"/>
      <c r="KJB59" s="169"/>
      <c r="KJC59" s="169"/>
      <c r="KJD59" s="169"/>
      <c r="KJE59" s="169"/>
      <c r="KJF59" s="169"/>
      <c r="KJG59" s="169"/>
      <c r="KJH59" s="169"/>
      <c r="KJI59" s="169"/>
      <c r="KJJ59" s="169"/>
      <c r="KJK59" s="169"/>
      <c r="KJL59" s="169"/>
      <c r="KJM59" s="169"/>
      <c r="KJN59" s="169"/>
      <c r="KJO59" s="169"/>
      <c r="KJP59" s="169"/>
      <c r="KJQ59" s="169"/>
      <c r="KJR59" s="169"/>
      <c r="KJS59" s="169"/>
      <c r="KJT59" s="169"/>
      <c r="KJU59" s="169"/>
      <c r="KJV59" s="169"/>
      <c r="KJW59" s="169"/>
      <c r="KJX59" s="169"/>
      <c r="KJY59" s="169"/>
      <c r="KJZ59" s="169"/>
      <c r="KKA59" s="169"/>
      <c r="KKB59" s="169"/>
      <c r="KKC59" s="169"/>
      <c r="KKD59" s="169"/>
      <c r="KKE59" s="169"/>
      <c r="KKF59" s="169"/>
      <c r="KKG59" s="169"/>
      <c r="KKH59" s="169"/>
      <c r="KKI59" s="169"/>
      <c r="KKJ59" s="169"/>
      <c r="KKK59" s="169"/>
      <c r="KKL59" s="169"/>
      <c r="KKM59" s="169"/>
      <c r="KKN59" s="169"/>
      <c r="KKO59" s="169"/>
      <c r="KKP59" s="169"/>
      <c r="KKQ59" s="169"/>
      <c r="KKR59" s="169"/>
      <c r="KKS59" s="169"/>
      <c r="KKT59" s="169"/>
      <c r="KKU59" s="169"/>
      <c r="KKV59" s="169"/>
      <c r="KKW59" s="169"/>
      <c r="KKX59" s="169"/>
      <c r="KKY59" s="169"/>
      <c r="KKZ59" s="169"/>
      <c r="KLA59" s="169"/>
      <c r="KLB59" s="169"/>
      <c r="KLC59" s="169"/>
      <c r="KLD59" s="169"/>
      <c r="KLE59" s="169"/>
      <c r="KLF59" s="169"/>
      <c r="KLG59" s="169"/>
      <c r="KLH59" s="169"/>
      <c r="KLI59" s="169"/>
      <c r="KLJ59" s="169"/>
      <c r="KLK59" s="169"/>
      <c r="KLL59" s="169"/>
      <c r="KLM59" s="169"/>
      <c r="KLN59" s="169"/>
      <c r="KLO59" s="169"/>
      <c r="KLP59" s="169"/>
      <c r="KLQ59" s="169"/>
      <c r="KLR59" s="169"/>
      <c r="KLS59" s="169"/>
      <c r="KLT59" s="169"/>
      <c r="KLU59" s="169"/>
      <c r="KLV59" s="169"/>
      <c r="KLW59" s="169"/>
      <c r="KLX59" s="169"/>
      <c r="KLY59" s="169"/>
      <c r="KLZ59" s="169"/>
      <c r="KMA59" s="169"/>
      <c r="KMB59" s="169"/>
      <c r="KMC59" s="169"/>
      <c r="KMD59" s="169"/>
      <c r="KME59" s="169"/>
      <c r="KMF59" s="169"/>
      <c r="KMG59" s="169"/>
      <c r="KMH59" s="169"/>
      <c r="KMI59" s="169"/>
      <c r="KMJ59" s="169"/>
      <c r="KMK59" s="169"/>
      <c r="KML59" s="169"/>
      <c r="KMM59" s="169"/>
      <c r="KMN59" s="169"/>
      <c r="KMO59" s="169"/>
      <c r="KMP59" s="169"/>
      <c r="KMQ59" s="169"/>
      <c r="KMR59" s="169"/>
      <c r="KMS59" s="169"/>
      <c r="KMT59" s="169"/>
      <c r="KMU59" s="169"/>
      <c r="KMV59" s="169"/>
      <c r="KMW59" s="169"/>
      <c r="KMX59" s="169"/>
      <c r="KMY59" s="169"/>
      <c r="KMZ59" s="169"/>
      <c r="KNA59" s="169"/>
      <c r="KNB59" s="169"/>
      <c r="KNC59" s="169"/>
      <c r="KND59" s="169"/>
      <c r="KNE59" s="169"/>
      <c r="KNF59" s="169"/>
      <c r="KNG59" s="169"/>
      <c r="KNH59" s="169"/>
      <c r="KNI59" s="169"/>
      <c r="KNJ59" s="169"/>
      <c r="KNK59" s="169"/>
      <c r="KNL59" s="169"/>
      <c r="KNM59" s="169"/>
      <c r="KNN59" s="169"/>
      <c r="KNO59" s="169"/>
      <c r="KNP59" s="169"/>
      <c r="KNQ59" s="169"/>
      <c r="KNR59" s="169"/>
      <c r="KNS59" s="169"/>
      <c r="KNT59" s="169"/>
      <c r="KNU59" s="169"/>
      <c r="KNV59" s="169"/>
      <c r="KNW59" s="169"/>
      <c r="KNX59" s="169"/>
      <c r="KNY59" s="169"/>
      <c r="KNZ59" s="169"/>
      <c r="KOA59" s="169"/>
      <c r="KOB59" s="169"/>
      <c r="KOC59" s="169"/>
      <c r="KOD59" s="169"/>
      <c r="KOE59" s="169"/>
      <c r="KOF59" s="169"/>
      <c r="KOG59" s="169"/>
      <c r="KOH59" s="169"/>
      <c r="KOI59" s="169"/>
      <c r="KOJ59" s="169"/>
      <c r="KOK59" s="169"/>
      <c r="KOL59" s="169"/>
      <c r="KOM59" s="169"/>
      <c r="KON59" s="169"/>
      <c r="KOO59" s="169"/>
      <c r="KOP59" s="169"/>
      <c r="KOQ59" s="169"/>
      <c r="KOR59" s="169"/>
      <c r="KOS59" s="169"/>
      <c r="KOT59" s="169"/>
      <c r="KOU59" s="169"/>
      <c r="KOV59" s="169"/>
      <c r="KOW59" s="169"/>
      <c r="KOX59" s="169"/>
      <c r="KOY59" s="169"/>
      <c r="KOZ59" s="169"/>
      <c r="KPA59" s="169"/>
      <c r="KPB59" s="169"/>
      <c r="KPC59" s="169"/>
      <c r="KPD59" s="169"/>
      <c r="KPE59" s="169"/>
      <c r="KPF59" s="169"/>
      <c r="KPG59" s="169"/>
      <c r="KPH59" s="169"/>
      <c r="KPI59" s="169"/>
      <c r="KPJ59" s="169"/>
      <c r="KPK59" s="169"/>
      <c r="KPL59" s="169"/>
      <c r="KPM59" s="169"/>
      <c r="KPN59" s="169"/>
      <c r="KPO59" s="169"/>
      <c r="KPP59" s="169"/>
      <c r="KPQ59" s="169"/>
      <c r="KPR59" s="169"/>
      <c r="KPS59" s="169"/>
      <c r="KPT59" s="169"/>
      <c r="KPU59" s="169"/>
      <c r="KPV59" s="169"/>
      <c r="KPW59" s="169"/>
      <c r="KPX59" s="169"/>
      <c r="KPY59" s="169"/>
      <c r="KPZ59" s="169"/>
      <c r="KQA59" s="169"/>
      <c r="KQB59" s="169"/>
      <c r="KQC59" s="169"/>
      <c r="KQD59" s="169"/>
      <c r="KQE59" s="169"/>
      <c r="KQF59" s="169"/>
      <c r="KQG59" s="169"/>
      <c r="KQH59" s="169"/>
      <c r="KQI59" s="169"/>
      <c r="KQJ59" s="169"/>
      <c r="KQK59" s="169"/>
      <c r="KQL59" s="169"/>
      <c r="KQM59" s="169"/>
      <c r="KQN59" s="169"/>
      <c r="KQO59" s="169"/>
      <c r="KQP59" s="169"/>
      <c r="KQQ59" s="169"/>
      <c r="KQR59" s="169"/>
      <c r="KQS59" s="169"/>
      <c r="KQT59" s="169"/>
      <c r="KQU59" s="169"/>
      <c r="KQV59" s="169"/>
      <c r="KQW59" s="169"/>
      <c r="KQX59" s="169"/>
      <c r="KQY59" s="169"/>
      <c r="KQZ59" s="169"/>
      <c r="KRA59" s="169"/>
      <c r="KRB59" s="169"/>
      <c r="KRC59" s="169"/>
      <c r="KRD59" s="169"/>
      <c r="KRE59" s="169"/>
      <c r="KRF59" s="169"/>
      <c r="KRG59" s="169"/>
      <c r="KRH59" s="169"/>
      <c r="KRI59" s="169"/>
      <c r="KRJ59" s="169"/>
      <c r="KRK59" s="169"/>
      <c r="KRL59" s="169"/>
      <c r="KRM59" s="169"/>
      <c r="KRN59" s="169"/>
      <c r="KRO59" s="169"/>
      <c r="KRP59" s="169"/>
      <c r="KRQ59" s="169"/>
      <c r="KRR59" s="169"/>
      <c r="KRS59" s="169"/>
      <c r="KRT59" s="169"/>
      <c r="KRU59" s="169"/>
      <c r="KRV59" s="169"/>
      <c r="KRW59" s="169"/>
      <c r="KRX59" s="169"/>
      <c r="KRY59" s="169"/>
      <c r="KRZ59" s="169"/>
      <c r="KSA59" s="169"/>
      <c r="KSB59" s="169"/>
      <c r="KSC59" s="169"/>
      <c r="KSD59" s="169"/>
      <c r="KSE59" s="169"/>
      <c r="KSF59" s="169"/>
      <c r="KSG59" s="169"/>
      <c r="KSH59" s="169"/>
      <c r="KSI59" s="169"/>
      <c r="KSJ59" s="169"/>
      <c r="KSK59" s="169"/>
      <c r="KSL59" s="169"/>
      <c r="KSM59" s="169"/>
      <c r="KSN59" s="169"/>
      <c r="KSO59" s="169"/>
      <c r="KSP59" s="169"/>
      <c r="KSQ59" s="169"/>
      <c r="KSR59" s="169"/>
      <c r="KSS59" s="169"/>
      <c r="KST59" s="169"/>
      <c r="KSU59" s="169"/>
      <c r="KSV59" s="169"/>
      <c r="KSW59" s="169"/>
      <c r="KSX59" s="169"/>
      <c r="KSY59" s="169"/>
      <c r="KSZ59" s="169"/>
      <c r="KTA59" s="169"/>
      <c r="KTB59" s="169"/>
      <c r="KTC59" s="169"/>
      <c r="KTD59" s="169"/>
      <c r="KTE59" s="169"/>
      <c r="KTF59" s="169"/>
      <c r="KTG59" s="169"/>
      <c r="KTH59" s="169"/>
      <c r="KTI59" s="169"/>
      <c r="KTJ59" s="169"/>
      <c r="KTK59" s="169"/>
      <c r="KTL59" s="169"/>
      <c r="KTM59" s="169"/>
      <c r="KTN59" s="169"/>
      <c r="KTO59" s="169"/>
      <c r="KTP59" s="169"/>
      <c r="KTQ59" s="169"/>
      <c r="KTR59" s="169"/>
      <c r="KTS59" s="169"/>
      <c r="KTT59" s="169"/>
      <c r="KTU59" s="169"/>
      <c r="KTV59" s="169"/>
      <c r="KTW59" s="169"/>
      <c r="KTX59" s="169"/>
      <c r="KTY59" s="169"/>
      <c r="KTZ59" s="169"/>
      <c r="KUA59" s="169"/>
      <c r="KUB59" s="169"/>
      <c r="KUC59" s="169"/>
      <c r="KUD59" s="169"/>
      <c r="KUE59" s="169"/>
      <c r="KUF59" s="169"/>
      <c r="KUG59" s="169"/>
      <c r="KUH59" s="169"/>
      <c r="KUI59" s="169"/>
      <c r="KUJ59" s="169"/>
      <c r="KUK59" s="169"/>
      <c r="KUL59" s="169"/>
      <c r="KUM59" s="169"/>
      <c r="KUN59" s="169"/>
      <c r="KUO59" s="169"/>
      <c r="KUP59" s="169"/>
      <c r="KUQ59" s="169"/>
      <c r="KUR59" s="169"/>
      <c r="KUS59" s="169"/>
      <c r="KUT59" s="169"/>
      <c r="KUU59" s="169"/>
      <c r="KUV59" s="169"/>
      <c r="KUW59" s="169"/>
      <c r="KUX59" s="169"/>
      <c r="KUY59" s="169"/>
      <c r="KUZ59" s="169"/>
      <c r="KVA59" s="169"/>
      <c r="KVB59" s="169"/>
      <c r="KVC59" s="169"/>
      <c r="KVD59" s="169"/>
      <c r="KVE59" s="169"/>
      <c r="KVF59" s="169"/>
      <c r="KVG59" s="169"/>
      <c r="KVH59" s="169"/>
      <c r="KVI59" s="169"/>
      <c r="KVJ59" s="169"/>
      <c r="KVK59" s="169"/>
      <c r="KVL59" s="169"/>
      <c r="KVM59" s="169"/>
      <c r="KVN59" s="169"/>
      <c r="KVO59" s="169"/>
      <c r="KVP59" s="169"/>
      <c r="KVQ59" s="169"/>
      <c r="KVR59" s="169"/>
      <c r="KVS59" s="169"/>
      <c r="KVT59" s="169"/>
      <c r="KVU59" s="169"/>
      <c r="KVV59" s="169"/>
      <c r="KVW59" s="169"/>
      <c r="KVX59" s="169"/>
      <c r="KVY59" s="169"/>
      <c r="KVZ59" s="169"/>
      <c r="KWA59" s="169"/>
      <c r="KWB59" s="169"/>
      <c r="KWC59" s="169"/>
      <c r="KWD59" s="169"/>
      <c r="KWE59" s="169"/>
      <c r="KWF59" s="169"/>
      <c r="KWG59" s="169"/>
      <c r="KWH59" s="169"/>
      <c r="KWI59" s="169"/>
      <c r="KWJ59" s="169"/>
      <c r="KWK59" s="169"/>
      <c r="KWL59" s="169"/>
      <c r="KWM59" s="169"/>
      <c r="KWN59" s="169"/>
      <c r="KWO59" s="169"/>
      <c r="KWP59" s="169"/>
      <c r="KWQ59" s="169"/>
      <c r="KWR59" s="169"/>
      <c r="KWS59" s="169"/>
      <c r="KWT59" s="169"/>
      <c r="KWU59" s="169"/>
      <c r="KWV59" s="169"/>
      <c r="KWW59" s="169"/>
      <c r="KWX59" s="169"/>
      <c r="KWY59" s="169"/>
      <c r="KWZ59" s="169"/>
      <c r="KXA59" s="169"/>
      <c r="KXB59" s="169"/>
      <c r="KXC59" s="169"/>
      <c r="KXD59" s="169"/>
      <c r="KXE59" s="169"/>
      <c r="KXF59" s="169"/>
      <c r="KXG59" s="169"/>
      <c r="KXH59" s="169"/>
      <c r="KXI59" s="169"/>
      <c r="KXJ59" s="169"/>
      <c r="KXK59" s="169"/>
      <c r="KXL59" s="169"/>
      <c r="KXM59" s="169"/>
      <c r="KXN59" s="169"/>
      <c r="KXO59" s="169"/>
      <c r="KXP59" s="169"/>
      <c r="KXQ59" s="169"/>
      <c r="KXR59" s="169"/>
      <c r="KXS59" s="169"/>
      <c r="KXT59" s="169"/>
      <c r="KXU59" s="169"/>
      <c r="KXV59" s="169"/>
      <c r="KXW59" s="169"/>
      <c r="KXX59" s="169"/>
      <c r="KXY59" s="169"/>
      <c r="KXZ59" s="169"/>
      <c r="KYA59" s="169"/>
      <c r="KYB59" s="169"/>
      <c r="KYC59" s="169"/>
      <c r="KYD59" s="169"/>
      <c r="KYE59" s="169"/>
      <c r="KYF59" s="169"/>
      <c r="KYG59" s="169"/>
      <c r="KYH59" s="169"/>
      <c r="KYI59" s="169"/>
      <c r="KYJ59" s="169"/>
      <c r="KYK59" s="169"/>
      <c r="KYL59" s="169"/>
      <c r="KYM59" s="169"/>
      <c r="KYN59" s="169"/>
      <c r="KYO59" s="169"/>
      <c r="KYP59" s="169"/>
      <c r="KYQ59" s="169"/>
      <c r="KYR59" s="169"/>
      <c r="KYS59" s="169"/>
      <c r="KYT59" s="169"/>
      <c r="KYU59" s="169"/>
      <c r="KYV59" s="169"/>
      <c r="KYW59" s="169"/>
      <c r="KYX59" s="169"/>
      <c r="KYY59" s="169"/>
      <c r="KYZ59" s="169"/>
      <c r="KZA59" s="169"/>
      <c r="KZB59" s="169"/>
      <c r="KZC59" s="169"/>
      <c r="KZD59" s="169"/>
      <c r="KZE59" s="169"/>
      <c r="KZF59" s="169"/>
      <c r="KZG59" s="169"/>
      <c r="KZH59" s="169"/>
      <c r="KZI59" s="169"/>
      <c r="KZJ59" s="169"/>
      <c r="KZK59" s="169"/>
      <c r="KZL59" s="169"/>
      <c r="KZM59" s="169"/>
      <c r="KZN59" s="169"/>
      <c r="KZO59" s="169"/>
      <c r="KZP59" s="169"/>
      <c r="KZQ59" s="169"/>
      <c r="KZR59" s="169"/>
      <c r="KZS59" s="169"/>
      <c r="KZT59" s="169"/>
      <c r="KZU59" s="169"/>
      <c r="KZV59" s="169"/>
      <c r="KZW59" s="169"/>
      <c r="KZX59" s="169"/>
      <c r="KZY59" s="169"/>
      <c r="KZZ59" s="169"/>
      <c r="LAA59" s="169"/>
      <c r="LAB59" s="169"/>
      <c r="LAC59" s="169"/>
      <c r="LAD59" s="169"/>
      <c r="LAE59" s="169"/>
      <c r="LAF59" s="169"/>
      <c r="LAG59" s="169"/>
      <c r="LAH59" s="169"/>
      <c r="LAI59" s="169"/>
      <c r="LAJ59" s="169"/>
      <c r="LAK59" s="169"/>
      <c r="LAL59" s="169"/>
      <c r="LAM59" s="169"/>
      <c r="LAN59" s="169"/>
      <c r="LAO59" s="169"/>
      <c r="LAP59" s="169"/>
      <c r="LAQ59" s="169"/>
      <c r="LAR59" s="169"/>
      <c r="LAS59" s="169"/>
      <c r="LAT59" s="169"/>
      <c r="LAU59" s="169"/>
      <c r="LAV59" s="169"/>
      <c r="LAW59" s="169"/>
      <c r="LAX59" s="169"/>
      <c r="LAY59" s="169"/>
      <c r="LAZ59" s="169"/>
      <c r="LBA59" s="169"/>
      <c r="LBB59" s="169"/>
      <c r="LBC59" s="169"/>
      <c r="LBD59" s="169"/>
      <c r="LBE59" s="169"/>
      <c r="LBF59" s="169"/>
      <c r="LBG59" s="169"/>
      <c r="LBH59" s="169"/>
      <c r="LBI59" s="169"/>
      <c r="LBJ59" s="169"/>
      <c r="LBK59" s="169"/>
      <c r="LBL59" s="169"/>
      <c r="LBM59" s="169"/>
      <c r="LBN59" s="169"/>
      <c r="LBO59" s="169"/>
      <c r="LBP59" s="169"/>
      <c r="LBQ59" s="169"/>
      <c r="LBR59" s="169"/>
      <c r="LBS59" s="169"/>
      <c r="LBT59" s="169"/>
      <c r="LBU59" s="169"/>
      <c r="LBV59" s="169"/>
      <c r="LBW59" s="169"/>
      <c r="LBX59" s="169"/>
      <c r="LBY59" s="169"/>
      <c r="LBZ59" s="169"/>
      <c r="LCA59" s="169"/>
      <c r="LCB59" s="169"/>
      <c r="LCC59" s="169"/>
      <c r="LCD59" s="169"/>
      <c r="LCE59" s="169"/>
      <c r="LCF59" s="169"/>
      <c r="LCG59" s="169"/>
      <c r="LCH59" s="169"/>
      <c r="LCI59" s="169"/>
      <c r="LCJ59" s="169"/>
      <c r="LCK59" s="169"/>
      <c r="LCL59" s="169"/>
      <c r="LCM59" s="169"/>
      <c r="LCN59" s="169"/>
      <c r="LCO59" s="169"/>
      <c r="LCP59" s="169"/>
      <c r="LCQ59" s="169"/>
      <c r="LCR59" s="169"/>
      <c r="LCS59" s="169"/>
      <c r="LCT59" s="169"/>
      <c r="LCU59" s="169"/>
      <c r="LCV59" s="169"/>
      <c r="LCW59" s="169"/>
      <c r="LCX59" s="169"/>
      <c r="LCY59" s="169"/>
      <c r="LCZ59" s="169"/>
      <c r="LDA59" s="169"/>
      <c r="LDB59" s="169"/>
      <c r="LDC59" s="169"/>
      <c r="LDD59" s="169"/>
      <c r="LDE59" s="169"/>
      <c r="LDF59" s="169"/>
      <c r="LDG59" s="169"/>
      <c r="LDH59" s="169"/>
      <c r="LDI59" s="169"/>
      <c r="LDJ59" s="169"/>
      <c r="LDK59" s="169"/>
      <c r="LDL59" s="169"/>
      <c r="LDM59" s="169"/>
      <c r="LDN59" s="169"/>
      <c r="LDO59" s="169"/>
      <c r="LDP59" s="169"/>
      <c r="LDQ59" s="169"/>
      <c r="LDR59" s="169"/>
      <c r="LDS59" s="169"/>
      <c r="LDT59" s="169"/>
      <c r="LDU59" s="169"/>
      <c r="LDV59" s="169"/>
      <c r="LDW59" s="169"/>
      <c r="LDX59" s="169"/>
      <c r="LDY59" s="169"/>
      <c r="LDZ59" s="169"/>
      <c r="LEA59" s="169"/>
      <c r="LEB59" s="169"/>
      <c r="LEC59" s="169"/>
      <c r="LED59" s="169"/>
      <c r="LEE59" s="169"/>
      <c r="LEF59" s="169"/>
      <c r="LEG59" s="169"/>
      <c r="LEH59" s="169"/>
      <c r="LEI59" s="169"/>
      <c r="LEJ59" s="169"/>
      <c r="LEK59" s="169"/>
      <c r="LEL59" s="169"/>
      <c r="LEM59" s="169"/>
      <c r="LEN59" s="169"/>
      <c r="LEO59" s="169"/>
      <c r="LEP59" s="169"/>
      <c r="LEQ59" s="169"/>
      <c r="LER59" s="169"/>
      <c r="LES59" s="169"/>
      <c r="LET59" s="169"/>
      <c r="LEU59" s="169"/>
      <c r="LEV59" s="169"/>
      <c r="LEW59" s="169"/>
      <c r="LEX59" s="169"/>
      <c r="LEY59" s="169"/>
      <c r="LEZ59" s="169"/>
      <c r="LFA59" s="169"/>
      <c r="LFB59" s="169"/>
      <c r="LFC59" s="169"/>
      <c r="LFD59" s="169"/>
      <c r="LFE59" s="169"/>
      <c r="LFF59" s="169"/>
      <c r="LFG59" s="169"/>
      <c r="LFH59" s="169"/>
      <c r="LFI59" s="169"/>
      <c r="LFJ59" s="169"/>
      <c r="LFK59" s="169"/>
      <c r="LFL59" s="169"/>
      <c r="LFM59" s="169"/>
      <c r="LFN59" s="169"/>
      <c r="LFO59" s="169"/>
      <c r="LFP59" s="169"/>
      <c r="LFQ59" s="169"/>
      <c r="LFR59" s="169"/>
      <c r="LFS59" s="169"/>
      <c r="LFT59" s="169"/>
      <c r="LFU59" s="169"/>
      <c r="LFV59" s="169"/>
      <c r="LFW59" s="169"/>
      <c r="LFX59" s="169"/>
      <c r="LFY59" s="169"/>
      <c r="LFZ59" s="169"/>
      <c r="LGA59" s="169"/>
      <c r="LGB59" s="169"/>
      <c r="LGC59" s="169"/>
      <c r="LGD59" s="169"/>
      <c r="LGE59" s="169"/>
      <c r="LGF59" s="169"/>
      <c r="LGG59" s="169"/>
      <c r="LGH59" s="169"/>
      <c r="LGI59" s="169"/>
      <c r="LGJ59" s="169"/>
      <c r="LGK59" s="169"/>
      <c r="LGL59" s="169"/>
      <c r="LGM59" s="169"/>
      <c r="LGN59" s="169"/>
      <c r="LGO59" s="169"/>
      <c r="LGP59" s="169"/>
      <c r="LGQ59" s="169"/>
      <c r="LGR59" s="169"/>
      <c r="LGS59" s="169"/>
      <c r="LGT59" s="169"/>
      <c r="LGU59" s="169"/>
      <c r="LGV59" s="169"/>
      <c r="LGW59" s="169"/>
      <c r="LGX59" s="169"/>
      <c r="LGY59" s="169"/>
      <c r="LGZ59" s="169"/>
      <c r="LHA59" s="169"/>
      <c r="LHB59" s="169"/>
      <c r="LHC59" s="169"/>
      <c r="LHD59" s="169"/>
      <c r="LHE59" s="169"/>
      <c r="LHF59" s="169"/>
      <c r="LHG59" s="169"/>
      <c r="LHH59" s="169"/>
      <c r="LHI59" s="169"/>
      <c r="LHJ59" s="169"/>
      <c r="LHK59" s="169"/>
      <c r="LHL59" s="169"/>
      <c r="LHM59" s="169"/>
      <c r="LHN59" s="169"/>
      <c r="LHO59" s="169"/>
      <c r="LHP59" s="169"/>
      <c r="LHQ59" s="169"/>
      <c r="LHR59" s="169"/>
      <c r="LHS59" s="169"/>
      <c r="LHT59" s="169"/>
      <c r="LHU59" s="169"/>
      <c r="LHV59" s="169"/>
      <c r="LHW59" s="169"/>
      <c r="LHX59" s="169"/>
      <c r="LHY59" s="169"/>
      <c r="LHZ59" s="169"/>
      <c r="LIA59" s="169"/>
      <c r="LIB59" s="169"/>
      <c r="LIC59" s="169"/>
      <c r="LID59" s="169"/>
      <c r="LIE59" s="169"/>
      <c r="LIF59" s="169"/>
      <c r="LIG59" s="169"/>
      <c r="LIH59" s="169"/>
      <c r="LII59" s="169"/>
      <c r="LIJ59" s="169"/>
      <c r="LIK59" s="169"/>
      <c r="LIL59" s="169"/>
      <c r="LIM59" s="169"/>
      <c r="LIN59" s="169"/>
      <c r="LIO59" s="169"/>
      <c r="LIP59" s="169"/>
      <c r="LIQ59" s="169"/>
      <c r="LIR59" s="169"/>
      <c r="LIS59" s="169"/>
      <c r="LIT59" s="169"/>
      <c r="LIU59" s="169"/>
      <c r="LIV59" s="169"/>
      <c r="LIW59" s="169"/>
      <c r="LIX59" s="169"/>
      <c r="LIY59" s="169"/>
      <c r="LIZ59" s="169"/>
      <c r="LJA59" s="169"/>
      <c r="LJB59" s="169"/>
      <c r="LJC59" s="169"/>
      <c r="LJD59" s="169"/>
      <c r="LJE59" s="169"/>
      <c r="LJF59" s="169"/>
      <c r="LJG59" s="169"/>
      <c r="LJH59" s="169"/>
      <c r="LJI59" s="169"/>
      <c r="LJJ59" s="169"/>
      <c r="LJK59" s="169"/>
      <c r="LJL59" s="169"/>
      <c r="LJM59" s="169"/>
      <c r="LJN59" s="169"/>
      <c r="LJO59" s="169"/>
      <c r="LJP59" s="169"/>
      <c r="LJQ59" s="169"/>
      <c r="LJR59" s="169"/>
      <c r="LJS59" s="169"/>
      <c r="LJT59" s="169"/>
      <c r="LJU59" s="169"/>
      <c r="LJV59" s="169"/>
      <c r="LJW59" s="169"/>
      <c r="LJX59" s="169"/>
      <c r="LJY59" s="169"/>
      <c r="LJZ59" s="169"/>
      <c r="LKA59" s="169"/>
      <c r="LKB59" s="169"/>
      <c r="LKC59" s="169"/>
      <c r="LKD59" s="169"/>
      <c r="LKE59" s="169"/>
      <c r="LKF59" s="169"/>
      <c r="LKG59" s="169"/>
      <c r="LKH59" s="169"/>
      <c r="LKI59" s="169"/>
      <c r="LKJ59" s="169"/>
      <c r="LKK59" s="169"/>
      <c r="LKL59" s="169"/>
      <c r="LKM59" s="169"/>
      <c r="LKN59" s="169"/>
      <c r="LKO59" s="169"/>
      <c r="LKP59" s="169"/>
      <c r="LKQ59" s="169"/>
      <c r="LKR59" s="169"/>
      <c r="LKS59" s="169"/>
      <c r="LKT59" s="169"/>
      <c r="LKU59" s="169"/>
      <c r="LKV59" s="169"/>
      <c r="LKW59" s="169"/>
      <c r="LKX59" s="169"/>
      <c r="LKY59" s="169"/>
      <c r="LKZ59" s="169"/>
      <c r="LLA59" s="169"/>
      <c r="LLB59" s="169"/>
      <c r="LLC59" s="169"/>
      <c r="LLD59" s="169"/>
      <c r="LLE59" s="169"/>
      <c r="LLF59" s="169"/>
      <c r="LLG59" s="169"/>
      <c r="LLH59" s="169"/>
      <c r="LLI59" s="169"/>
      <c r="LLJ59" s="169"/>
      <c r="LLK59" s="169"/>
      <c r="LLL59" s="169"/>
      <c r="LLM59" s="169"/>
      <c r="LLN59" s="169"/>
      <c r="LLO59" s="169"/>
      <c r="LLP59" s="169"/>
      <c r="LLQ59" s="169"/>
      <c r="LLR59" s="169"/>
      <c r="LLS59" s="169"/>
      <c r="LLT59" s="169"/>
      <c r="LLU59" s="169"/>
      <c r="LLV59" s="169"/>
      <c r="LLW59" s="169"/>
      <c r="LLX59" s="169"/>
      <c r="LLY59" s="169"/>
      <c r="LLZ59" s="169"/>
      <c r="LMA59" s="169"/>
      <c r="LMB59" s="169"/>
      <c r="LMC59" s="169"/>
      <c r="LMD59" s="169"/>
      <c r="LME59" s="169"/>
      <c r="LMF59" s="169"/>
      <c r="LMG59" s="169"/>
      <c r="LMH59" s="169"/>
      <c r="LMI59" s="169"/>
      <c r="LMJ59" s="169"/>
      <c r="LMK59" s="169"/>
      <c r="LML59" s="169"/>
      <c r="LMM59" s="169"/>
      <c r="LMN59" s="169"/>
      <c r="LMO59" s="169"/>
      <c r="LMP59" s="169"/>
      <c r="LMQ59" s="169"/>
      <c r="LMR59" s="169"/>
      <c r="LMS59" s="169"/>
      <c r="LMT59" s="169"/>
      <c r="LMU59" s="169"/>
      <c r="LMV59" s="169"/>
      <c r="LMW59" s="169"/>
      <c r="LMX59" s="169"/>
      <c r="LMY59" s="169"/>
      <c r="LMZ59" s="169"/>
      <c r="LNA59" s="169"/>
      <c r="LNB59" s="169"/>
      <c r="LNC59" s="169"/>
      <c r="LND59" s="169"/>
      <c r="LNE59" s="169"/>
      <c r="LNF59" s="169"/>
      <c r="LNG59" s="169"/>
      <c r="LNH59" s="169"/>
      <c r="LNI59" s="169"/>
      <c r="LNJ59" s="169"/>
      <c r="LNK59" s="169"/>
      <c r="LNL59" s="169"/>
      <c r="LNM59" s="169"/>
      <c r="LNN59" s="169"/>
      <c r="LNO59" s="169"/>
      <c r="LNP59" s="169"/>
      <c r="LNQ59" s="169"/>
      <c r="LNR59" s="169"/>
      <c r="LNS59" s="169"/>
      <c r="LNT59" s="169"/>
      <c r="LNU59" s="169"/>
      <c r="LNV59" s="169"/>
      <c r="LNW59" s="169"/>
      <c r="LNX59" s="169"/>
      <c r="LNY59" s="169"/>
      <c r="LNZ59" s="169"/>
      <c r="LOA59" s="169"/>
      <c r="LOB59" s="169"/>
      <c r="LOC59" s="169"/>
      <c r="LOD59" s="169"/>
      <c r="LOE59" s="169"/>
      <c r="LOF59" s="169"/>
      <c r="LOG59" s="169"/>
      <c r="LOH59" s="169"/>
      <c r="LOI59" s="169"/>
      <c r="LOJ59" s="169"/>
      <c r="LOK59" s="169"/>
      <c r="LOL59" s="169"/>
      <c r="LOM59" s="169"/>
      <c r="LON59" s="169"/>
      <c r="LOO59" s="169"/>
      <c r="LOP59" s="169"/>
      <c r="LOQ59" s="169"/>
      <c r="LOR59" s="169"/>
      <c r="LOS59" s="169"/>
      <c r="LOT59" s="169"/>
      <c r="LOU59" s="169"/>
      <c r="LOV59" s="169"/>
      <c r="LOW59" s="169"/>
      <c r="LOX59" s="169"/>
      <c r="LOY59" s="169"/>
      <c r="LOZ59" s="169"/>
      <c r="LPA59" s="169"/>
      <c r="LPB59" s="169"/>
      <c r="LPC59" s="169"/>
      <c r="LPD59" s="169"/>
      <c r="LPE59" s="169"/>
      <c r="LPF59" s="169"/>
      <c r="LPG59" s="169"/>
      <c r="LPH59" s="169"/>
      <c r="LPI59" s="169"/>
      <c r="LPJ59" s="169"/>
      <c r="LPK59" s="169"/>
      <c r="LPL59" s="169"/>
      <c r="LPM59" s="169"/>
      <c r="LPN59" s="169"/>
      <c r="LPO59" s="169"/>
      <c r="LPP59" s="169"/>
      <c r="LPQ59" s="169"/>
      <c r="LPR59" s="169"/>
      <c r="LPS59" s="169"/>
      <c r="LPT59" s="169"/>
      <c r="LPU59" s="169"/>
      <c r="LPV59" s="169"/>
      <c r="LPW59" s="169"/>
      <c r="LPX59" s="169"/>
      <c r="LPY59" s="169"/>
      <c r="LPZ59" s="169"/>
      <c r="LQA59" s="169"/>
      <c r="LQB59" s="169"/>
      <c r="LQC59" s="169"/>
      <c r="LQD59" s="169"/>
      <c r="LQE59" s="169"/>
      <c r="LQF59" s="169"/>
      <c r="LQG59" s="169"/>
      <c r="LQH59" s="169"/>
      <c r="LQI59" s="169"/>
      <c r="LQJ59" s="169"/>
      <c r="LQK59" s="169"/>
      <c r="LQL59" s="169"/>
      <c r="LQM59" s="169"/>
      <c r="LQN59" s="169"/>
      <c r="LQO59" s="169"/>
      <c r="LQP59" s="169"/>
      <c r="LQQ59" s="169"/>
      <c r="LQR59" s="169"/>
      <c r="LQS59" s="169"/>
      <c r="LQT59" s="169"/>
      <c r="LQU59" s="169"/>
      <c r="LQV59" s="169"/>
      <c r="LQW59" s="169"/>
      <c r="LQX59" s="169"/>
      <c r="LQY59" s="169"/>
      <c r="LQZ59" s="169"/>
      <c r="LRA59" s="169"/>
      <c r="LRB59" s="169"/>
      <c r="LRC59" s="169"/>
      <c r="LRD59" s="169"/>
      <c r="LRE59" s="169"/>
      <c r="LRF59" s="169"/>
      <c r="LRG59" s="169"/>
      <c r="LRH59" s="169"/>
      <c r="LRI59" s="169"/>
      <c r="LRJ59" s="169"/>
      <c r="LRK59" s="169"/>
      <c r="LRL59" s="169"/>
      <c r="LRM59" s="169"/>
      <c r="LRN59" s="169"/>
      <c r="LRO59" s="169"/>
      <c r="LRP59" s="169"/>
      <c r="LRQ59" s="169"/>
      <c r="LRR59" s="169"/>
      <c r="LRS59" s="169"/>
      <c r="LRT59" s="169"/>
      <c r="LRU59" s="169"/>
      <c r="LRV59" s="169"/>
      <c r="LRW59" s="169"/>
      <c r="LRX59" s="169"/>
      <c r="LRY59" s="169"/>
      <c r="LRZ59" s="169"/>
      <c r="LSA59" s="169"/>
      <c r="LSB59" s="169"/>
      <c r="LSC59" s="169"/>
      <c r="LSD59" s="169"/>
      <c r="LSE59" s="169"/>
      <c r="LSF59" s="169"/>
      <c r="LSG59" s="169"/>
      <c r="LSH59" s="169"/>
      <c r="LSI59" s="169"/>
      <c r="LSJ59" s="169"/>
      <c r="LSK59" s="169"/>
      <c r="LSL59" s="169"/>
      <c r="LSM59" s="169"/>
      <c r="LSN59" s="169"/>
      <c r="LSO59" s="169"/>
      <c r="LSP59" s="169"/>
      <c r="LSQ59" s="169"/>
      <c r="LSR59" s="169"/>
      <c r="LSS59" s="169"/>
      <c r="LST59" s="169"/>
      <c r="LSU59" s="169"/>
      <c r="LSV59" s="169"/>
      <c r="LSW59" s="169"/>
      <c r="LSX59" s="169"/>
      <c r="LSY59" s="169"/>
      <c r="LSZ59" s="169"/>
      <c r="LTA59" s="169"/>
      <c r="LTB59" s="169"/>
      <c r="LTC59" s="169"/>
      <c r="LTD59" s="169"/>
      <c r="LTE59" s="169"/>
      <c r="LTF59" s="169"/>
      <c r="LTG59" s="169"/>
      <c r="LTH59" s="169"/>
      <c r="LTI59" s="169"/>
      <c r="LTJ59" s="169"/>
      <c r="LTK59" s="169"/>
      <c r="LTL59" s="169"/>
      <c r="LTM59" s="169"/>
      <c r="LTN59" s="169"/>
      <c r="LTO59" s="169"/>
      <c r="LTP59" s="169"/>
      <c r="LTQ59" s="169"/>
      <c r="LTR59" s="169"/>
      <c r="LTS59" s="169"/>
      <c r="LTT59" s="169"/>
      <c r="LTU59" s="169"/>
      <c r="LTV59" s="169"/>
      <c r="LTW59" s="169"/>
      <c r="LTX59" s="169"/>
      <c r="LTY59" s="169"/>
      <c r="LTZ59" s="169"/>
      <c r="LUA59" s="169"/>
      <c r="LUB59" s="169"/>
      <c r="LUC59" s="169"/>
      <c r="LUD59" s="169"/>
      <c r="LUE59" s="169"/>
      <c r="LUF59" s="169"/>
      <c r="LUG59" s="169"/>
      <c r="LUH59" s="169"/>
      <c r="LUI59" s="169"/>
      <c r="LUJ59" s="169"/>
      <c r="LUK59" s="169"/>
      <c r="LUL59" s="169"/>
      <c r="LUM59" s="169"/>
      <c r="LUN59" s="169"/>
      <c r="LUO59" s="169"/>
      <c r="LUP59" s="169"/>
      <c r="LUQ59" s="169"/>
      <c r="LUR59" s="169"/>
      <c r="LUS59" s="169"/>
      <c r="LUT59" s="169"/>
      <c r="LUU59" s="169"/>
      <c r="LUV59" s="169"/>
      <c r="LUW59" s="169"/>
      <c r="LUX59" s="169"/>
      <c r="LUY59" s="169"/>
      <c r="LUZ59" s="169"/>
      <c r="LVA59" s="169"/>
      <c r="LVB59" s="169"/>
      <c r="LVC59" s="169"/>
      <c r="LVD59" s="169"/>
      <c r="LVE59" s="169"/>
      <c r="LVF59" s="169"/>
      <c r="LVG59" s="169"/>
      <c r="LVH59" s="169"/>
      <c r="LVI59" s="169"/>
      <c r="LVJ59" s="169"/>
      <c r="LVK59" s="169"/>
      <c r="LVL59" s="169"/>
      <c r="LVM59" s="169"/>
      <c r="LVN59" s="169"/>
      <c r="LVO59" s="169"/>
      <c r="LVP59" s="169"/>
      <c r="LVQ59" s="169"/>
      <c r="LVR59" s="169"/>
      <c r="LVS59" s="169"/>
      <c r="LVT59" s="169"/>
      <c r="LVU59" s="169"/>
      <c r="LVV59" s="169"/>
      <c r="LVW59" s="169"/>
      <c r="LVX59" s="169"/>
      <c r="LVY59" s="169"/>
      <c r="LVZ59" s="169"/>
      <c r="LWA59" s="169"/>
      <c r="LWB59" s="169"/>
      <c r="LWC59" s="169"/>
      <c r="LWD59" s="169"/>
      <c r="LWE59" s="169"/>
      <c r="LWF59" s="169"/>
      <c r="LWG59" s="169"/>
      <c r="LWH59" s="169"/>
      <c r="LWI59" s="169"/>
      <c r="LWJ59" s="169"/>
      <c r="LWK59" s="169"/>
      <c r="LWL59" s="169"/>
      <c r="LWM59" s="169"/>
      <c r="LWN59" s="169"/>
      <c r="LWO59" s="169"/>
      <c r="LWP59" s="169"/>
      <c r="LWQ59" s="169"/>
      <c r="LWR59" s="169"/>
      <c r="LWS59" s="169"/>
      <c r="LWT59" s="169"/>
      <c r="LWU59" s="169"/>
      <c r="LWV59" s="169"/>
      <c r="LWW59" s="169"/>
      <c r="LWX59" s="169"/>
      <c r="LWY59" s="169"/>
      <c r="LWZ59" s="169"/>
      <c r="LXA59" s="169"/>
      <c r="LXB59" s="169"/>
      <c r="LXC59" s="169"/>
      <c r="LXD59" s="169"/>
      <c r="LXE59" s="169"/>
      <c r="LXF59" s="169"/>
      <c r="LXG59" s="169"/>
      <c r="LXH59" s="169"/>
      <c r="LXI59" s="169"/>
      <c r="LXJ59" s="169"/>
      <c r="LXK59" s="169"/>
      <c r="LXL59" s="169"/>
      <c r="LXM59" s="169"/>
      <c r="LXN59" s="169"/>
      <c r="LXO59" s="169"/>
      <c r="LXP59" s="169"/>
      <c r="LXQ59" s="169"/>
      <c r="LXR59" s="169"/>
      <c r="LXS59" s="169"/>
      <c r="LXT59" s="169"/>
      <c r="LXU59" s="169"/>
      <c r="LXV59" s="169"/>
      <c r="LXW59" s="169"/>
      <c r="LXX59" s="169"/>
      <c r="LXY59" s="169"/>
      <c r="LXZ59" s="169"/>
      <c r="LYA59" s="169"/>
      <c r="LYB59" s="169"/>
      <c r="LYC59" s="169"/>
      <c r="LYD59" s="169"/>
      <c r="LYE59" s="169"/>
      <c r="LYF59" s="169"/>
      <c r="LYG59" s="169"/>
      <c r="LYH59" s="169"/>
      <c r="LYI59" s="169"/>
      <c r="LYJ59" s="169"/>
      <c r="LYK59" s="169"/>
      <c r="LYL59" s="169"/>
      <c r="LYM59" s="169"/>
      <c r="LYN59" s="169"/>
      <c r="LYO59" s="169"/>
      <c r="LYP59" s="169"/>
      <c r="LYQ59" s="169"/>
      <c r="LYR59" s="169"/>
      <c r="LYS59" s="169"/>
      <c r="LYT59" s="169"/>
      <c r="LYU59" s="169"/>
      <c r="LYV59" s="169"/>
      <c r="LYW59" s="169"/>
      <c r="LYX59" s="169"/>
      <c r="LYY59" s="169"/>
      <c r="LYZ59" s="169"/>
      <c r="LZA59" s="169"/>
      <c r="LZB59" s="169"/>
      <c r="LZC59" s="169"/>
      <c r="LZD59" s="169"/>
      <c r="LZE59" s="169"/>
      <c r="LZF59" s="169"/>
      <c r="LZG59" s="169"/>
      <c r="LZH59" s="169"/>
      <c r="LZI59" s="169"/>
      <c r="LZJ59" s="169"/>
      <c r="LZK59" s="169"/>
      <c r="LZL59" s="169"/>
      <c r="LZM59" s="169"/>
      <c r="LZN59" s="169"/>
      <c r="LZO59" s="169"/>
      <c r="LZP59" s="169"/>
      <c r="LZQ59" s="169"/>
      <c r="LZR59" s="169"/>
      <c r="LZS59" s="169"/>
      <c r="LZT59" s="169"/>
      <c r="LZU59" s="169"/>
      <c r="LZV59" s="169"/>
      <c r="LZW59" s="169"/>
      <c r="LZX59" s="169"/>
      <c r="LZY59" s="169"/>
      <c r="LZZ59" s="169"/>
      <c r="MAA59" s="169"/>
      <c r="MAB59" s="169"/>
      <c r="MAC59" s="169"/>
      <c r="MAD59" s="169"/>
      <c r="MAE59" s="169"/>
      <c r="MAF59" s="169"/>
      <c r="MAG59" s="169"/>
      <c r="MAH59" s="169"/>
      <c r="MAI59" s="169"/>
      <c r="MAJ59" s="169"/>
      <c r="MAK59" s="169"/>
      <c r="MAL59" s="169"/>
      <c r="MAM59" s="169"/>
      <c r="MAN59" s="169"/>
      <c r="MAO59" s="169"/>
      <c r="MAP59" s="169"/>
      <c r="MAQ59" s="169"/>
      <c r="MAR59" s="169"/>
      <c r="MAS59" s="169"/>
      <c r="MAT59" s="169"/>
      <c r="MAU59" s="169"/>
      <c r="MAV59" s="169"/>
      <c r="MAW59" s="169"/>
      <c r="MAX59" s="169"/>
      <c r="MAY59" s="169"/>
      <c r="MAZ59" s="169"/>
      <c r="MBA59" s="169"/>
      <c r="MBB59" s="169"/>
      <c r="MBC59" s="169"/>
      <c r="MBD59" s="169"/>
      <c r="MBE59" s="169"/>
      <c r="MBF59" s="169"/>
      <c r="MBG59" s="169"/>
      <c r="MBH59" s="169"/>
      <c r="MBI59" s="169"/>
      <c r="MBJ59" s="169"/>
      <c r="MBK59" s="169"/>
      <c r="MBL59" s="169"/>
      <c r="MBM59" s="169"/>
      <c r="MBN59" s="169"/>
      <c r="MBO59" s="169"/>
      <c r="MBP59" s="169"/>
      <c r="MBQ59" s="169"/>
      <c r="MBR59" s="169"/>
      <c r="MBS59" s="169"/>
      <c r="MBT59" s="169"/>
      <c r="MBU59" s="169"/>
      <c r="MBV59" s="169"/>
      <c r="MBW59" s="169"/>
      <c r="MBX59" s="169"/>
      <c r="MBY59" s="169"/>
      <c r="MBZ59" s="169"/>
      <c r="MCA59" s="169"/>
      <c r="MCB59" s="169"/>
      <c r="MCC59" s="169"/>
      <c r="MCD59" s="169"/>
      <c r="MCE59" s="169"/>
      <c r="MCF59" s="169"/>
      <c r="MCG59" s="169"/>
      <c r="MCH59" s="169"/>
      <c r="MCI59" s="169"/>
      <c r="MCJ59" s="169"/>
      <c r="MCK59" s="169"/>
      <c r="MCL59" s="169"/>
      <c r="MCM59" s="169"/>
      <c r="MCN59" s="169"/>
      <c r="MCO59" s="169"/>
      <c r="MCP59" s="169"/>
      <c r="MCQ59" s="169"/>
      <c r="MCR59" s="169"/>
      <c r="MCS59" s="169"/>
      <c r="MCT59" s="169"/>
      <c r="MCU59" s="169"/>
      <c r="MCV59" s="169"/>
      <c r="MCW59" s="169"/>
      <c r="MCX59" s="169"/>
      <c r="MCY59" s="169"/>
      <c r="MCZ59" s="169"/>
      <c r="MDA59" s="169"/>
      <c r="MDB59" s="169"/>
      <c r="MDC59" s="169"/>
      <c r="MDD59" s="169"/>
      <c r="MDE59" s="169"/>
      <c r="MDF59" s="169"/>
      <c r="MDG59" s="169"/>
      <c r="MDH59" s="169"/>
      <c r="MDI59" s="169"/>
      <c r="MDJ59" s="169"/>
      <c r="MDK59" s="169"/>
      <c r="MDL59" s="169"/>
      <c r="MDM59" s="169"/>
      <c r="MDN59" s="169"/>
      <c r="MDO59" s="169"/>
      <c r="MDP59" s="169"/>
      <c r="MDQ59" s="169"/>
      <c r="MDR59" s="169"/>
      <c r="MDS59" s="169"/>
      <c r="MDT59" s="169"/>
      <c r="MDU59" s="169"/>
      <c r="MDV59" s="169"/>
      <c r="MDW59" s="169"/>
      <c r="MDX59" s="169"/>
      <c r="MDY59" s="169"/>
      <c r="MDZ59" s="169"/>
      <c r="MEA59" s="169"/>
      <c r="MEB59" s="169"/>
      <c r="MEC59" s="169"/>
      <c r="MED59" s="169"/>
      <c r="MEE59" s="169"/>
      <c r="MEF59" s="169"/>
      <c r="MEG59" s="169"/>
      <c r="MEH59" s="169"/>
      <c r="MEI59" s="169"/>
      <c r="MEJ59" s="169"/>
      <c r="MEK59" s="169"/>
      <c r="MEL59" s="169"/>
      <c r="MEM59" s="169"/>
      <c r="MEN59" s="169"/>
      <c r="MEO59" s="169"/>
      <c r="MEP59" s="169"/>
      <c r="MEQ59" s="169"/>
      <c r="MER59" s="169"/>
      <c r="MES59" s="169"/>
      <c r="MET59" s="169"/>
      <c r="MEU59" s="169"/>
      <c r="MEV59" s="169"/>
      <c r="MEW59" s="169"/>
      <c r="MEX59" s="169"/>
      <c r="MEY59" s="169"/>
      <c r="MEZ59" s="169"/>
      <c r="MFA59" s="169"/>
      <c r="MFB59" s="169"/>
      <c r="MFC59" s="169"/>
      <c r="MFD59" s="169"/>
      <c r="MFE59" s="169"/>
      <c r="MFF59" s="169"/>
      <c r="MFG59" s="169"/>
      <c r="MFH59" s="169"/>
      <c r="MFI59" s="169"/>
      <c r="MFJ59" s="169"/>
      <c r="MFK59" s="169"/>
      <c r="MFL59" s="169"/>
      <c r="MFM59" s="169"/>
      <c r="MFN59" s="169"/>
      <c r="MFO59" s="169"/>
      <c r="MFP59" s="169"/>
      <c r="MFQ59" s="169"/>
      <c r="MFR59" s="169"/>
      <c r="MFS59" s="169"/>
      <c r="MFT59" s="169"/>
      <c r="MFU59" s="169"/>
      <c r="MFV59" s="169"/>
      <c r="MFW59" s="169"/>
      <c r="MFX59" s="169"/>
      <c r="MFY59" s="169"/>
      <c r="MFZ59" s="169"/>
      <c r="MGA59" s="169"/>
      <c r="MGB59" s="169"/>
      <c r="MGC59" s="169"/>
      <c r="MGD59" s="169"/>
      <c r="MGE59" s="169"/>
      <c r="MGF59" s="169"/>
      <c r="MGG59" s="169"/>
      <c r="MGH59" s="169"/>
      <c r="MGI59" s="169"/>
      <c r="MGJ59" s="169"/>
      <c r="MGK59" s="169"/>
      <c r="MGL59" s="169"/>
      <c r="MGM59" s="169"/>
      <c r="MGN59" s="169"/>
      <c r="MGO59" s="169"/>
      <c r="MGP59" s="169"/>
      <c r="MGQ59" s="169"/>
      <c r="MGR59" s="169"/>
      <c r="MGS59" s="169"/>
      <c r="MGT59" s="169"/>
      <c r="MGU59" s="169"/>
      <c r="MGV59" s="169"/>
      <c r="MGW59" s="169"/>
      <c r="MGX59" s="169"/>
      <c r="MGY59" s="169"/>
      <c r="MGZ59" s="169"/>
      <c r="MHA59" s="169"/>
      <c r="MHB59" s="169"/>
      <c r="MHC59" s="169"/>
      <c r="MHD59" s="169"/>
      <c r="MHE59" s="169"/>
      <c r="MHF59" s="169"/>
      <c r="MHG59" s="169"/>
      <c r="MHH59" s="169"/>
      <c r="MHI59" s="169"/>
      <c r="MHJ59" s="169"/>
      <c r="MHK59" s="169"/>
      <c r="MHL59" s="169"/>
      <c r="MHM59" s="169"/>
      <c r="MHN59" s="169"/>
      <c r="MHO59" s="169"/>
      <c r="MHP59" s="169"/>
      <c r="MHQ59" s="169"/>
      <c r="MHR59" s="169"/>
      <c r="MHS59" s="169"/>
      <c r="MHT59" s="169"/>
      <c r="MHU59" s="169"/>
      <c r="MHV59" s="169"/>
      <c r="MHW59" s="169"/>
      <c r="MHX59" s="169"/>
      <c r="MHY59" s="169"/>
      <c r="MHZ59" s="169"/>
      <c r="MIA59" s="169"/>
      <c r="MIB59" s="169"/>
      <c r="MIC59" s="169"/>
      <c r="MID59" s="169"/>
      <c r="MIE59" s="169"/>
      <c r="MIF59" s="169"/>
      <c r="MIG59" s="169"/>
      <c r="MIH59" s="169"/>
      <c r="MII59" s="169"/>
      <c r="MIJ59" s="169"/>
      <c r="MIK59" s="169"/>
      <c r="MIL59" s="169"/>
      <c r="MIM59" s="169"/>
      <c r="MIN59" s="169"/>
      <c r="MIO59" s="169"/>
      <c r="MIP59" s="169"/>
      <c r="MIQ59" s="169"/>
      <c r="MIR59" s="169"/>
      <c r="MIS59" s="169"/>
      <c r="MIT59" s="169"/>
      <c r="MIU59" s="169"/>
      <c r="MIV59" s="169"/>
      <c r="MIW59" s="169"/>
      <c r="MIX59" s="169"/>
      <c r="MIY59" s="169"/>
      <c r="MIZ59" s="169"/>
      <c r="MJA59" s="169"/>
      <c r="MJB59" s="169"/>
      <c r="MJC59" s="169"/>
      <c r="MJD59" s="169"/>
      <c r="MJE59" s="169"/>
      <c r="MJF59" s="169"/>
      <c r="MJG59" s="169"/>
      <c r="MJH59" s="169"/>
      <c r="MJI59" s="169"/>
      <c r="MJJ59" s="169"/>
      <c r="MJK59" s="169"/>
      <c r="MJL59" s="169"/>
      <c r="MJM59" s="169"/>
      <c r="MJN59" s="169"/>
      <c r="MJO59" s="169"/>
      <c r="MJP59" s="169"/>
      <c r="MJQ59" s="169"/>
      <c r="MJR59" s="169"/>
      <c r="MJS59" s="169"/>
      <c r="MJT59" s="169"/>
      <c r="MJU59" s="169"/>
      <c r="MJV59" s="169"/>
      <c r="MJW59" s="169"/>
      <c r="MJX59" s="169"/>
      <c r="MJY59" s="169"/>
      <c r="MJZ59" s="169"/>
      <c r="MKA59" s="169"/>
      <c r="MKB59" s="169"/>
      <c r="MKC59" s="169"/>
      <c r="MKD59" s="169"/>
      <c r="MKE59" s="169"/>
      <c r="MKF59" s="169"/>
      <c r="MKG59" s="169"/>
      <c r="MKH59" s="169"/>
      <c r="MKI59" s="169"/>
      <c r="MKJ59" s="169"/>
      <c r="MKK59" s="169"/>
      <c r="MKL59" s="169"/>
      <c r="MKM59" s="169"/>
      <c r="MKN59" s="169"/>
      <c r="MKO59" s="169"/>
      <c r="MKP59" s="169"/>
      <c r="MKQ59" s="169"/>
      <c r="MKR59" s="169"/>
      <c r="MKS59" s="169"/>
      <c r="MKT59" s="169"/>
      <c r="MKU59" s="169"/>
      <c r="MKV59" s="169"/>
      <c r="MKW59" s="169"/>
      <c r="MKX59" s="169"/>
      <c r="MKY59" s="169"/>
      <c r="MKZ59" s="169"/>
      <c r="MLA59" s="169"/>
      <c r="MLB59" s="169"/>
      <c r="MLC59" s="169"/>
      <c r="MLD59" s="169"/>
      <c r="MLE59" s="169"/>
      <c r="MLF59" s="169"/>
      <c r="MLG59" s="169"/>
      <c r="MLH59" s="169"/>
      <c r="MLI59" s="169"/>
      <c r="MLJ59" s="169"/>
      <c r="MLK59" s="169"/>
      <c r="MLL59" s="169"/>
      <c r="MLM59" s="169"/>
      <c r="MLN59" s="169"/>
      <c r="MLO59" s="169"/>
      <c r="MLP59" s="169"/>
      <c r="MLQ59" s="169"/>
      <c r="MLR59" s="169"/>
      <c r="MLS59" s="169"/>
      <c r="MLT59" s="169"/>
      <c r="MLU59" s="169"/>
      <c r="MLV59" s="169"/>
      <c r="MLW59" s="169"/>
      <c r="MLX59" s="169"/>
      <c r="MLY59" s="169"/>
      <c r="MLZ59" s="169"/>
      <c r="MMA59" s="169"/>
      <c r="MMB59" s="169"/>
      <c r="MMC59" s="169"/>
      <c r="MMD59" s="169"/>
      <c r="MME59" s="169"/>
      <c r="MMF59" s="169"/>
      <c r="MMG59" s="169"/>
      <c r="MMH59" s="169"/>
      <c r="MMI59" s="169"/>
      <c r="MMJ59" s="169"/>
      <c r="MMK59" s="169"/>
      <c r="MML59" s="169"/>
      <c r="MMM59" s="169"/>
      <c r="MMN59" s="169"/>
      <c r="MMO59" s="169"/>
      <c r="MMP59" s="169"/>
      <c r="MMQ59" s="169"/>
      <c r="MMR59" s="169"/>
      <c r="MMS59" s="169"/>
      <c r="MMT59" s="169"/>
      <c r="MMU59" s="169"/>
      <c r="MMV59" s="169"/>
      <c r="MMW59" s="169"/>
      <c r="MMX59" s="169"/>
      <c r="MMY59" s="169"/>
      <c r="MMZ59" s="169"/>
      <c r="MNA59" s="169"/>
      <c r="MNB59" s="169"/>
      <c r="MNC59" s="169"/>
      <c r="MND59" s="169"/>
      <c r="MNE59" s="169"/>
      <c r="MNF59" s="169"/>
      <c r="MNG59" s="169"/>
      <c r="MNH59" s="169"/>
      <c r="MNI59" s="169"/>
      <c r="MNJ59" s="169"/>
      <c r="MNK59" s="169"/>
      <c r="MNL59" s="169"/>
      <c r="MNM59" s="169"/>
      <c r="MNN59" s="169"/>
      <c r="MNO59" s="169"/>
      <c r="MNP59" s="169"/>
      <c r="MNQ59" s="169"/>
      <c r="MNR59" s="169"/>
      <c r="MNS59" s="169"/>
      <c r="MNT59" s="169"/>
      <c r="MNU59" s="169"/>
      <c r="MNV59" s="169"/>
      <c r="MNW59" s="169"/>
      <c r="MNX59" s="169"/>
      <c r="MNY59" s="169"/>
      <c r="MNZ59" s="169"/>
      <c r="MOA59" s="169"/>
      <c r="MOB59" s="169"/>
      <c r="MOC59" s="169"/>
      <c r="MOD59" s="169"/>
      <c r="MOE59" s="169"/>
      <c r="MOF59" s="169"/>
      <c r="MOG59" s="169"/>
      <c r="MOH59" s="169"/>
      <c r="MOI59" s="169"/>
      <c r="MOJ59" s="169"/>
      <c r="MOK59" s="169"/>
      <c r="MOL59" s="169"/>
      <c r="MOM59" s="169"/>
      <c r="MON59" s="169"/>
      <c r="MOO59" s="169"/>
      <c r="MOP59" s="169"/>
      <c r="MOQ59" s="169"/>
      <c r="MOR59" s="169"/>
      <c r="MOS59" s="169"/>
      <c r="MOT59" s="169"/>
      <c r="MOU59" s="169"/>
      <c r="MOV59" s="169"/>
      <c r="MOW59" s="169"/>
      <c r="MOX59" s="169"/>
      <c r="MOY59" s="169"/>
      <c r="MOZ59" s="169"/>
      <c r="MPA59" s="169"/>
      <c r="MPB59" s="169"/>
      <c r="MPC59" s="169"/>
      <c r="MPD59" s="169"/>
      <c r="MPE59" s="169"/>
      <c r="MPF59" s="169"/>
      <c r="MPG59" s="169"/>
      <c r="MPH59" s="169"/>
      <c r="MPI59" s="169"/>
      <c r="MPJ59" s="169"/>
      <c r="MPK59" s="169"/>
      <c r="MPL59" s="169"/>
      <c r="MPM59" s="169"/>
      <c r="MPN59" s="169"/>
      <c r="MPO59" s="169"/>
      <c r="MPP59" s="169"/>
      <c r="MPQ59" s="169"/>
      <c r="MPR59" s="169"/>
      <c r="MPS59" s="169"/>
      <c r="MPT59" s="169"/>
      <c r="MPU59" s="169"/>
      <c r="MPV59" s="169"/>
      <c r="MPW59" s="169"/>
      <c r="MPX59" s="169"/>
      <c r="MPY59" s="169"/>
      <c r="MPZ59" s="169"/>
      <c r="MQA59" s="169"/>
      <c r="MQB59" s="169"/>
      <c r="MQC59" s="169"/>
      <c r="MQD59" s="169"/>
      <c r="MQE59" s="169"/>
      <c r="MQF59" s="169"/>
      <c r="MQG59" s="169"/>
      <c r="MQH59" s="169"/>
      <c r="MQI59" s="169"/>
      <c r="MQJ59" s="169"/>
      <c r="MQK59" s="169"/>
      <c r="MQL59" s="169"/>
      <c r="MQM59" s="169"/>
      <c r="MQN59" s="169"/>
      <c r="MQO59" s="169"/>
      <c r="MQP59" s="169"/>
      <c r="MQQ59" s="169"/>
      <c r="MQR59" s="169"/>
      <c r="MQS59" s="169"/>
      <c r="MQT59" s="169"/>
      <c r="MQU59" s="169"/>
      <c r="MQV59" s="169"/>
      <c r="MQW59" s="169"/>
      <c r="MQX59" s="169"/>
      <c r="MQY59" s="169"/>
      <c r="MQZ59" s="169"/>
      <c r="MRA59" s="169"/>
      <c r="MRB59" s="169"/>
      <c r="MRC59" s="169"/>
      <c r="MRD59" s="169"/>
      <c r="MRE59" s="169"/>
      <c r="MRF59" s="169"/>
      <c r="MRG59" s="169"/>
      <c r="MRH59" s="169"/>
      <c r="MRI59" s="169"/>
      <c r="MRJ59" s="169"/>
      <c r="MRK59" s="169"/>
      <c r="MRL59" s="169"/>
      <c r="MRM59" s="169"/>
      <c r="MRN59" s="169"/>
      <c r="MRO59" s="169"/>
      <c r="MRP59" s="169"/>
      <c r="MRQ59" s="169"/>
      <c r="MRR59" s="169"/>
      <c r="MRS59" s="169"/>
      <c r="MRT59" s="169"/>
      <c r="MRU59" s="169"/>
      <c r="MRV59" s="169"/>
      <c r="MRW59" s="169"/>
      <c r="MRX59" s="169"/>
      <c r="MRY59" s="169"/>
      <c r="MRZ59" s="169"/>
      <c r="MSA59" s="169"/>
      <c r="MSB59" s="169"/>
      <c r="MSC59" s="169"/>
      <c r="MSD59" s="169"/>
      <c r="MSE59" s="169"/>
      <c r="MSF59" s="169"/>
      <c r="MSG59" s="169"/>
      <c r="MSH59" s="169"/>
      <c r="MSI59" s="169"/>
      <c r="MSJ59" s="169"/>
      <c r="MSK59" s="169"/>
      <c r="MSL59" s="169"/>
      <c r="MSM59" s="169"/>
      <c r="MSN59" s="169"/>
      <c r="MSO59" s="169"/>
      <c r="MSP59" s="169"/>
      <c r="MSQ59" s="169"/>
      <c r="MSR59" s="169"/>
      <c r="MSS59" s="169"/>
      <c r="MST59" s="169"/>
      <c r="MSU59" s="169"/>
      <c r="MSV59" s="169"/>
      <c r="MSW59" s="169"/>
      <c r="MSX59" s="169"/>
      <c r="MSY59" s="169"/>
      <c r="MSZ59" s="169"/>
      <c r="MTA59" s="169"/>
      <c r="MTB59" s="169"/>
      <c r="MTC59" s="169"/>
      <c r="MTD59" s="169"/>
      <c r="MTE59" s="169"/>
      <c r="MTF59" s="169"/>
      <c r="MTG59" s="169"/>
      <c r="MTH59" s="169"/>
      <c r="MTI59" s="169"/>
      <c r="MTJ59" s="169"/>
      <c r="MTK59" s="169"/>
      <c r="MTL59" s="169"/>
      <c r="MTM59" s="169"/>
      <c r="MTN59" s="169"/>
      <c r="MTO59" s="169"/>
      <c r="MTP59" s="169"/>
      <c r="MTQ59" s="169"/>
      <c r="MTR59" s="169"/>
      <c r="MTS59" s="169"/>
      <c r="MTT59" s="169"/>
      <c r="MTU59" s="169"/>
      <c r="MTV59" s="169"/>
      <c r="MTW59" s="169"/>
      <c r="MTX59" s="169"/>
      <c r="MTY59" s="169"/>
      <c r="MTZ59" s="169"/>
      <c r="MUA59" s="169"/>
      <c r="MUB59" s="169"/>
      <c r="MUC59" s="169"/>
      <c r="MUD59" s="169"/>
      <c r="MUE59" s="169"/>
      <c r="MUF59" s="169"/>
      <c r="MUG59" s="169"/>
      <c r="MUH59" s="169"/>
      <c r="MUI59" s="169"/>
      <c r="MUJ59" s="169"/>
      <c r="MUK59" s="169"/>
      <c r="MUL59" s="169"/>
      <c r="MUM59" s="169"/>
      <c r="MUN59" s="169"/>
      <c r="MUO59" s="169"/>
      <c r="MUP59" s="169"/>
      <c r="MUQ59" s="169"/>
      <c r="MUR59" s="169"/>
      <c r="MUS59" s="169"/>
      <c r="MUT59" s="169"/>
      <c r="MUU59" s="169"/>
      <c r="MUV59" s="169"/>
      <c r="MUW59" s="169"/>
      <c r="MUX59" s="169"/>
      <c r="MUY59" s="169"/>
      <c r="MUZ59" s="169"/>
      <c r="MVA59" s="169"/>
      <c r="MVB59" s="169"/>
      <c r="MVC59" s="169"/>
      <c r="MVD59" s="169"/>
      <c r="MVE59" s="169"/>
      <c r="MVF59" s="169"/>
      <c r="MVG59" s="169"/>
      <c r="MVH59" s="169"/>
      <c r="MVI59" s="169"/>
      <c r="MVJ59" s="169"/>
      <c r="MVK59" s="169"/>
      <c r="MVL59" s="169"/>
      <c r="MVM59" s="169"/>
      <c r="MVN59" s="169"/>
      <c r="MVO59" s="169"/>
      <c r="MVP59" s="169"/>
      <c r="MVQ59" s="169"/>
      <c r="MVR59" s="169"/>
      <c r="MVS59" s="169"/>
      <c r="MVT59" s="169"/>
      <c r="MVU59" s="169"/>
      <c r="MVV59" s="169"/>
      <c r="MVW59" s="169"/>
      <c r="MVX59" s="169"/>
      <c r="MVY59" s="169"/>
      <c r="MVZ59" s="169"/>
      <c r="MWA59" s="169"/>
      <c r="MWB59" s="169"/>
      <c r="MWC59" s="169"/>
      <c r="MWD59" s="169"/>
      <c r="MWE59" s="169"/>
      <c r="MWF59" s="169"/>
      <c r="MWG59" s="169"/>
      <c r="MWH59" s="169"/>
      <c r="MWI59" s="169"/>
      <c r="MWJ59" s="169"/>
      <c r="MWK59" s="169"/>
      <c r="MWL59" s="169"/>
      <c r="MWM59" s="169"/>
      <c r="MWN59" s="169"/>
      <c r="MWO59" s="169"/>
      <c r="MWP59" s="169"/>
      <c r="MWQ59" s="169"/>
      <c r="MWR59" s="169"/>
      <c r="MWS59" s="169"/>
      <c r="MWT59" s="169"/>
      <c r="MWU59" s="169"/>
      <c r="MWV59" s="169"/>
      <c r="MWW59" s="169"/>
      <c r="MWX59" s="169"/>
      <c r="MWY59" s="169"/>
      <c r="MWZ59" s="169"/>
      <c r="MXA59" s="169"/>
      <c r="MXB59" s="169"/>
      <c r="MXC59" s="169"/>
      <c r="MXD59" s="169"/>
      <c r="MXE59" s="169"/>
      <c r="MXF59" s="169"/>
      <c r="MXG59" s="169"/>
      <c r="MXH59" s="169"/>
      <c r="MXI59" s="169"/>
      <c r="MXJ59" s="169"/>
      <c r="MXK59" s="169"/>
      <c r="MXL59" s="169"/>
      <c r="MXM59" s="169"/>
      <c r="MXN59" s="169"/>
      <c r="MXO59" s="169"/>
      <c r="MXP59" s="169"/>
      <c r="MXQ59" s="169"/>
      <c r="MXR59" s="169"/>
      <c r="MXS59" s="169"/>
      <c r="MXT59" s="169"/>
      <c r="MXU59" s="169"/>
      <c r="MXV59" s="169"/>
      <c r="MXW59" s="169"/>
      <c r="MXX59" s="169"/>
      <c r="MXY59" s="169"/>
      <c r="MXZ59" s="169"/>
      <c r="MYA59" s="169"/>
      <c r="MYB59" s="169"/>
      <c r="MYC59" s="169"/>
      <c r="MYD59" s="169"/>
      <c r="MYE59" s="169"/>
      <c r="MYF59" s="169"/>
      <c r="MYG59" s="169"/>
      <c r="MYH59" s="169"/>
      <c r="MYI59" s="169"/>
      <c r="MYJ59" s="169"/>
      <c r="MYK59" s="169"/>
      <c r="MYL59" s="169"/>
      <c r="MYM59" s="169"/>
      <c r="MYN59" s="169"/>
      <c r="MYO59" s="169"/>
      <c r="MYP59" s="169"/>
      <c r="MYQ59" s="169"/>
      <c r="MYR59" s="169"/>
      <c r="MYS59" s="169"/>
      <c r="MYT59" s="169"/>
      <c r="MYU59" s="169"/>
      <c r="MYV59" s="169"/>
      <c r="MYW59" s="169"/>
      <c r="MYX59" s="169"/>
      <c r="MYY59" s="169"/>
      <c r="MYZ59" s="169"/>
      <c r="MZA59" s="169"/>
      <c r="MZB59" s="169"/>
      <c r="MZC59" s="169"/>
      <c r="MZD59" s="169"/>
      <c r="MZE59" s="169"/>
      <c r="MZF59" s="169"/>
      <c r="MZG59" s="169"/>
      <c r="MZH59" s="169"/>
      <c r="MZI59" s="169"/>
      <c r="MZJ59" s="169"/>
      <c r="MZK59" s="169"/>
      <c r="MZL59" s="169"/>
      <c r="MZM59" s="169"/>
      <c r="MZN59" s="169"/>
      <c r="MZO59" s="169"/>
      <c r="MZP59" s="169"/>
      <c r="MZQ59" s="169"/>
      <c r="MZR59" s="169"/>
      <c r="MZS59" s="169"/>
      <c r="MZT59" s="169"/>
      <c r="MZU59" s="169"/>
      <c r="MZV59" s="169"/>
      <c r="MZW59" s="169"/>
      <c r="MZX59" s="169"/>
      <c r="MZY59" s="169"/>
      <c r="MZZ59" s="169"/>
      <c r="NAA59" s="169"/>
      <c r="NAB59" s="169"/>
      <c r="NAC59" s="169"/>
      <c r="NAD59" s="169"/>
      <c r="NAE59" s="169"/>
      <c r="NAF59" s="169"/>
      <c r="NAG59" s="169"/>
      <c r="NAH59" s="169"/>
      <c r="NAI59" s="169"/>
      <c r="NAJ59" s="169"/>
      <c r="NAK59" s="169"/>
      <c r="NAL59" s="169"/>
      <c r="NAM59" s="169"/>
      <c r="NAN59" s="169"/>
      <c r="NAO59" s="169"/>
      <c r="NAP59" s="169"/>
      <c r="NAQ59" s="169"/>
      <c r="NAR59" s="169"/>
      <c r="NAS59" s="169"/>
      <c r="NAT59" s="169"/>
      <c r="NAU59" s="169"/>
      <c r="NAV59" s="169"/>
      <c r="NAW59" s="169"/>
      <c r="NAX59" s="169"/>
      <c r="NAY59" s="169"/>
      <c r="NAZ59" s="169"/>
      <c r="NBA59" s="169"/>
      <c r="NBB59" s="169"/>
      <c r="NBC59" s="169"/>
      <c r="NBD59" s="169"/>
      <c r="NBE59" s="169"/>
      <c r="NBF59" s="169"/>
      <c r="NBG59" s="169"/>
      <c r="NBH59" s="169"/>
      <c r="NBI59" s="169"/>
      <c r="NBJ59" s="169"/>
      <c r="NBK59" s="169"/>
      <c r="NBL59" s="169"/>
      <c r="NBM59" s="169"/>
      <c r="NBN59" s="169"/>
      <c r="NBO59" s="169"/>
      <c r="NBP59" s="169"/>
      <c r="NBQ59" s="169"/>
      <c r="NBR59" s="169"/>
      <c r="NBS59" s="169"/>
      <c r="NBT59" s="169"/>
      <c r="NBU59" s="169"/>
      <c r="NBV59" s="169"/>
      <c r="NBW59" s="169"/>
      <c r="NBX59" s="169"/>
      <c r="NBY59" s="169"/>
      <c r="NBZ59" s="169"/>
      <c r="NCA59" s="169"/>
      <c r="NCB59" s="169"/>
      <c r="NCC59" s="169"/>
      <c r="NCD59" s="169"/>
      <c r="NCE59" s="169"/>
      <c r="NCF59" s="169"/>
      <c r="NCG59" s="169"/>
      <c r="NCH59" s="169"/>
      <c r="NCI59" s="169"/>
      <c r="NCJ59" s="169"/>
      <c r="NCK59" s="169"/>
      <c r="NCL59" s="169"/>
      <c r="NCM59" s="169"/>
      <c r="NCN59" s="169"/>
      <c r="NCO59" s="169"/>
      <c r="NCP59" s="169"/>
      <c r="NCQ59" s="169"/>
      <c r="NCR59" s="169"/>
      <c r="NCS59" s="169"/>
      <c r="NCT59" s="169"/>
      <c r="NCU59" s="169"/>
      <c r="NCV59" s="169"/>
      <c r="NCW59" s="169"/>
      <c r="NCX59" s="169"/>
      <c r="NCY59" s="169"/>
      <c r="NCZ59" s="169"/>
      <c r="NDA59" s="169"/>
      <c r="NDB59" s="169"/>
      <c r="NDC59" s="169"/>
      <c r="NDD59" s="169"/>
      <c r="NDE59" s="169"/>
      <c r="NDF59" s="169"/>
      <c r="NDG59" s="169"/>
      <c r="NDH59" s="169"/>
      <c r="NDI59" s="169"/>
      <c r="NDJ59" s="169"/>
      <c r="NDK59" s="169"/>
      <c r="NDL59" s="169"/>
      <c r="NDM59" s="169"/>
      <c r="NDN59" s="169"/>
      <c r="NDO59" s="169"/>
      <c r="NDP59" s="169"/>
      <c r="NDQ59" s="169"/>
      <c r="NDR59" s="169"/>
      <c r="NDS59" s="169"/>
      <c r="NDT59" s="169"/>
      <c r="NDU59" s="169"/>
      <c r="NDV59" s="169"/>
      <c r="NDW59" s="169"/>
      <c r="NDX59" s="169"/>
      <c r="NDY59" s="169"/>
      <c r="NDZ59" s="169"/>
      <c r="NEA59" s="169"/>
      <c r="NEB59" s="169"/>
      <c r="NEC59" s="169"/>
      <c r="NED59" s="169"/>
      <c r="NEE59" s="169"/>
      <c r="NEF59" s="169"/>
      <c r="NEG59" s="169"/>
      <c r="NEH59" s="169"/>
      <c r="NEI59" s="169"/>
      <c r="NEJ59" s="169"/>
      <c r="NEK59" s="169"/>
      <c r="NEL59" s="169"/>
      <c r="NEM59" s="169"/>
      <c r="NEN59" s="169"/>
      <c r="NEO59" s="169"/>
      <c r="NEP59" s="169"/>
      <c r="NEQ59" s="169"/>
      <c r="NER59" s="169"/>
      <c r="NES59" s="169"/>
      <c r="NET59" s="169"/>
      <c r="NEU59" s="169"/>
      <c r="NEV59" s="169"/>
      <c r="NEW59" s="169"/>
      <c r="NEX59" s="169"/>
      <c r="NEY59" s="169"/>
      <c r="NEZ59" s="169"/>
      <c r="NFA59" s="169"/>
      <c r="NFB59" s="169"/>
      <c r="NFC59" s="169"/>
      <c r="NFD59" s="169"/>
      <c r="NFE59" s="169"/>
      <c r="NFF59" s="169"/>
      <c r="NFG59" s="169"/>
      <c r="NFH59" s="169"/>
      <c r="NFI59" s="169"/>
      <c r="NFJ59" s="169"/>
      <c r="NFK59" s="169"/>
      <c r="NFL59" s="169"/>
      <c r="NFM59" s="169"/>
      <c r="NFN59" s="169"/>
      <c r="NFO59" s="169"/>
      <c r="NFP59" s="169"/>
      <c r="NFQ59" s="169"/>
      <c r="NFR59" s="169"/>
      <c r="NFS59" s="169"/>
      <c r="NFT59" s="169"/>
      <c r="NFU59" s="169"/>
      <c r="NFV59" s="169"/>
      <c r="NFW59" s="169"/>
      <c r="NFX59" s="169"/>
      <c r="NFY59" s="169"/>
      <c r="NFZ59" s="169"/>
      <c r="NGA59" s="169"/>
      <c r="NGB59" s="169"/>
      <c r="NGC59" s="169"/>
      <c r="NGD59" s="169"/>
      <c r="NGE59" s="169"/>
      <c r="NGF59" s="169"/>
      <c r="NGG59" s="169"/>
      <c r="NGH59" s="169"/>
      <c r="NGI59" s="169"/>
      <c r="NGJ59" s="169"/>
      <c r="NGK59" s="169"/>
      <c r="NGL59" s="169"/>
      <c r="NGM59" s="169"/>
      <c r="NGN59" s="169"/>
      <c r="NGO59" s="169"/>
      <c r="NGP59" s="169"/>
      <c r="NGQ59" s="169"/>
      <c r="NGR59" s="169"/>
      <c r="NGS59" s="169"/>
      <c r="NGT59" s="169"/>
      <c r="NGU59" s="169"/>
      <c r="NGV59" s="169"/>
      <c r="NGW59" s="169"/>
      <c r="NGX59" s="169"/>
      <c r="NGY59" s="169"/>
      <c r="NGZ59" s="169"/>
      <c r="NHA59" s="169"/>
      <c r="NHB59" s="169"/>
      <c r="NHC59" s="169"/>
      <c r="NHD59" s="169"/>
      <c r="NHE59" s="169"/>
      <c r="NHF59" s="169"/>
      <c r="NHG59" s="169"/>
      <c r="NHH59" s="169"/>
      <c r="NHI59" s="169"/>
      <c r="NHJ59" s="169"/>
      <c r="NHK59" s="169"/>
      <c r="NHL59" s="169"/>
      <c r="NHM59" s="169"/>
      <c r="NHN59" s="169"/>
      <c r="NHO59" s="169"/>
      <c r="NHP59" s="169"/>
      <c r="NHQ59" s="169"/>
      <c r="NHR59" s="169"/>
      <c r="NHS59" s="169"/>
      <c r="NHT59" s="169"/>
      <c r="NHU59" s="169"/>
      <c r="NHV59" s="169"/>
      <c r="NHW59" s="169"/>
      <c r="NHX59" s="169"/>
      <c r="NHY59" s="169"/>
      <c r="NHZ59" s="169"/>
      <c r="NIA59" s="169"/>
      <c r="NIB59" s="169"/>
      <c r="NIC59" s="169"/>
      <c r="NID59" s="169"/>
      <c r="NIE59" s="169"/>
      <c r="NIF59" s="169"/>
      <c r="NIG59" s="169"/>
      <c r="NIH59" s="169"/>
      <c r="NII59" s="169"/>
      <c r="NIJ59" s="169"/>
      <c r="NIK59" s="169"/>
      <c r="NIL59" s="169"/>
      <c r="NIM59" s="169"/>
      <c r="NIN59" s="169"/>
      <c r="NIO59" s="169"/>
      <c r="NIP59" s="169"/>
      <c r="NIQ59" s="169"/>
      <c r="NIR59" s="169"/>
      <c r="NIS59" s="169"/>
      <c r="NIT59" s="169"/>
      <c r="NIU59" s="169"/>
      <c r="NIV59" s="169"/>
      <c r="NIW59" s="169"/>
      <c r="NIX59" s="169"/>
      <c r="NIY59" s="169"/>
      <c r="NIZ59" s="169"/>
      <c r="NJA59" s="169"/>
      <c r="NJB59" s="169"/>
      <c r="NJC59" s="169"/>
      <c r="NJD59" s="169"/>
      <c r="NJE59" s="169"/>
      <c r="NJF59" s="169"/>
      <c r="NJG59" s="169"/>
      <c r="NJH59" s="169"/>
      <c r="NJI59" s="169"/>
      <c r="NJJ59" s="169"/>
      <c r="NJK59" s="169"/>
      <c r="NJL59" s="169"/>
      <c r="NJM59" s="169"/>
      <c r="NJN59" s="169"/>
      <c r="NJO59" s="169"/>
      <c r="NJP59" s="169"/>
      <c r="NJQ59" s="169"/>
      <c r="NJR59" s="169"/>
      <c r="NJS59" s="169"/>
      <c r="NJT59" s="169"/>
      <c r="NJU59" s="169"/>
      <c r="NJV59" s="169"/>
      <c r="NJW59" s="169"/>
      <c r="NJX59" s="169"/>
      <c r="NJY59" s="169"/>
      <c r="NJZ59" s="169"/>
      <c r="NKA59" s="169"/>
      <c r="NKB59" s="169"/>
      <c r="NKC59" s="169"/>
      <c r="NKD59" s="169"/>
      <c r="NKE59" s="169"/>
      <c r="NKF59" s="169"/>
      <c r="NKG59" s="169"/>
      <c r="NKH59" s="169"/>
      <c r="NKI59" s="169"/>
      <c r="NKJ59" s="169"/>
      <c r="NKK59" s="169"/>
      <c r="NKL59" s="169"/>
      <c r="NKM59" s="169"/>
      <c r="NKN59" s="169"/>
      <c r="NKO59" s="169"/>
      <c r="NKP59" s="169"/>
      <c r="NKQ59" s="169"/>
      <c r="NKR59" s="169"/>
      <c r="NKS59" s="169"/>
      <c r="NKT59" s="169"/>
      <c r="NKU59" s="169"/>
      <c r="NKV59" s="169"/>
      <c r="NKW59" s="169"/>
      <c r="NKX59" s="169"/>
      <c r="NKY59" s="169"/>
      <c r="NKZ59" s="169"/>
      <c r="NLA59" s="169"/>
      <c r="NLB59" s="169"/>
      <c r="NLC59" s="169"/>
      <c r="NLD59" s="169"/>
      <c r="NLE59" s="169"/>
      <c r="NLF59" s="169"/>
      <c r="NLG59" s="169"/>
      <c r="NLH59" s="169"/>
      <c r="NLI59" s="169"/>
      <c r="NLJ59" s="169"/>
      <c r="NLK59" s="169"/>
      <c r="NLL59" s="169"/>
      <c r="NLM59" s="169"/>
      <c r="NLN59" s="169"/>
      <c r="NLO59" s="169"/>
      <c r="NLP59" s="169"/>
      <c r="NLQ59" s="169"/>
      <c r="NLR59" s="169"/>
      <c r="NLS59" s="169"/>
      <c r="NLT59" s="169"/>
      <c r="NLU59" s="169"/>
      <c r="NLV59" s="169"/>
      <c r="NLW59" s="169"/>
      <c r="NLX59" s="169"/>
      <c r="NLY59" s="169"/>
      <c r="NLZ59" s="169"/>
      <c r="NMA59" s="169"/>
      <c r="NMB59" s="169"/>
      <c r="NMC59" s="169"/>
      <c r="NMD59" s="169"/>
      <c r="NME59" s="169"/>
      <c r="NMF59" s="169"/>
      <c r="NMG59" s="169"/>
      <c r="NMH59" s="169"/>
      <c r="NMI59" s="169"/>
      <c r="NMJ59" s="169"/>
      <c r="NMK59" s="169"/>
      <c r="NML59" s="169"/>
      <c r="NMM59" s="169"/>
      <c r="NMN59" s="169"/>
      <c r="NMO59" s="169"/>
      <c r="NMP59" s="169"/>
      <c r="NMQ59" s="169"/>
      <c r="NMR59" s="169"/>
      <c r="NMS59" s="169"/>
      <c r="NMT59" s="169"/>
      <c r="NMU59" s="169"/>
      <c r="NMV59" s="169"/>
      <c r="NMW59" s="169"/>
      <c r="NMX59" s="169"/>
      <c r="NMY59" s="169"/>
      <c r="NMZ59" s="169"/>
      <c r="NNA59" s="169"/>
      <c r="NNB59" s="169"/>
      <c r="NNC59" s="169"/>
      <c r="NND59" s="169"/>
      <c r="NNE59" s="169"/>
      <c r="NNF59" s="169"/>
      <c r="NNG59" s="169"/>
      <c r="NNH59" s="169"/>
      <c r="NNI59" s="169"/>
      <c r="NNJ59" s="169"/>
      <c r="NNK59" s="169"/>
      <c r="NNL59" s="169"/>
      <c r="NNM59" s="169"/>
      <c r="NNN59" s="169"/>
      <c r="NNO59" s="169"/>
      <c r="NNP59" s="169"/>
      <c r="NNQ59" s="169"/>
      <c r="NNR59" s="169"/>
      <c r="NNS59" s="169"/>
      <c r="NNT59" s="169"/>
      <c r="NNU59" s="169"/>
      <c r="NNV59" s="169"/>
      <c r="NNW59" s="169"/>
      <c r="NNX59" s="169"/>
      <c r="NNY59" s="169"/>
      <c r="NNZ59" s="169"/>
      <c r="NOA59" s="169"/>
      <c r="NOB59" s="169"/>
      <c r="NOC59" s="169"/>
      <c r="NOD59" s="169"/>
      <c r="NOE59" s="169"/>
      <c r="NOF59" s="169"/>
      <c r="NOG59" s="169"/>
      <c r="NOH59" s="169"/>
      <c r="NOI59" s="169"/>
      <c r="NOJ59" s="169"/>
      <c r="NOK59" s="169"/>
      <c r="NOL59" s="169"/>
      <c r="NOM59" s="169"/>
      <c r="NON59" s="169"/>
      <c r="NOO59" s="169"/>
      <c r="NOP59" s="169"/>
      <c r="NOQ59" s="169"/>
      <c r="NOR59" s="169"/>
      <c r="NOS59" s="169"/>
      <c r="NOT59" s="169"/>
      <c r="NOU59" s="169"/>
      <c r="NOV59" s="169"/>
      <c r="NOW59" s="169"/>
      <c r="NOX59" s="169"/>
      <c r="NOY59" s="169"/>
      <c r="NOZ59" s="169"/>
      <c r="NPA59" s="169"/>
      <c r="NPB59" s="169"/>
      <c r="NPC59" s="169"/>
      <c r="NPD59" s="169"/>
      <c r="NPE59" s="169"/>
      <c r="NPF59" s="169"/>
      <c r="NPG59" s="169"/>
      <c r="NPH59" s="169"/>
      <c r="NPI59" s="169"/>
      <c r="NPJ59" s="169"/>
      <c r="NPK59" s="169"/>
      <c r="NPL59" s="169"/>
      <c r="NPM59" s="169"/>
      <c r="NPN59" s="169"/>
      <c r="NPO59" s="169"/>
      <c r="NPP59" s="169"/>
      <c r="NPQ59" s="169"/>
      <c r="NPR59" s="169"/>
      <c r="NPS59" s="169"/>
      <c r="NPT59" s="169"/>
      <c r="NPU59" s="169"/>
      <c r="NPV59" s="169"/>
      <c r="NPW59" s="169"/>
      <c r="NPX59" s="169"/>
      <c r="NPY59" s="169"/>
      <c r="NPZ59" s="169"/>
      <c r="NQA59" s="169"/>
      <c r="NQB59" s="169"/>
      <c r="NQC59" s="169"/>
      <c r="NQD59" s="169"/>
      <c r="NQE59" s="169"/>
      <c r="NQF59" s="169"/>
      <c r="NQG59" s="169"/>
      <c r="NQH59" s="169"/>
      <c r="NQI59" s="169"/>
      <c r="NQJ59" s="169"/>
      <c r="NQK59" s="169"/>
      <c r="NQL59" s="169"/>
      <c r="NQM59" s="169"/>
      <c r="NQN59" s="169"/>
      <c r="NQO59" s="169"/>
      <c r="NQP59" s="169"/>
      <c r="NQQ59" s="169"/>
      <c r="NQR59" s="169"/>
      <c r="NQS59" s="169"/>
      <c r="NQT59" s="169"/>
      <c r="NQU59" s="169"/>
      <c r="NQV59" s="169"/>
      <c r="NQW59" s="169"/>
      <c r="NQX59" s="169"/>
      <c r="NQY59" s="169"/>
      <c r="NQZ59" s="169"/>
      <c r="NRA59" s="169"/>
      <c r="NRB59" s="169"/>
      <c r="NRC59" s="169"/>
      <c r="NRD59" s="169"/>
      <c r="NRE59" s="169"/>
      <c r="NRF59" s="169"/>
      <c r="NRG59" s="169"/>
      <c r="NRH59" s="169"/>
      <c r="NRI59" s="169"/>
      <c r="NRJ59" s="169"/>
      <c r="NRK59" s="169"/>
      <c r="NRL59" s="169"/>
      <c r="NRM59" s="169"/>
      <c r="NRN59" s="169"/>
      <c r="NRO59" s="169"/>
      <c r="NRP59" s="169"/>
      <c r="NRQ59" s="169"/>
      <c r="NRR59" s="169"/>
      <c r="NRS59" s="169"/>
      <c r="NRT59" s="169"/>
      <c r="NRU59" s="169"/>
      <c r="NRV59" s="169"/>
      <c r="NRW59" s="169"/>
      <c r="NRX59" s="169"/>
      <c r="NRY59" s="169"/>
      <c r="NRZ59" s="169"/>
      <c r="NSA59" s="169"/>
      <c r="NSB59" s="169"/>
      <c r="NSC59" s="169"/>
      <c r="NSD59" s="169"/>
      <c r="NSE59" s="169"/>
      <c r="NSF59" s="169"/>
      <c r="NSG59" s="169"/>
      <c r="NSH59" s="169"/>
      <c r="NSI59" s="169"/>
      <c r="NSJ59" s="169"/>
      <c r="NSK59" s="169"/>
      <c r="NSL59" s="169"/>
      <c r="NSM59" s="169"/>
      <c r="NSN59" s="169"/>
      <c r="NSO59" s="169"/>
      <c r="NSP59" s="169"/>
      <c r="NSQ59" s="169"/>
      <c r="NSR59" s="169"/>
      <c r="NSS59" s="169"/>
      <c r="NST59" s="169"/>
      <c r="NSU59" s="169"/>
      <c r="NSV59" s="169"/>
      <c r="NSW59" s="169"/>
      <c r="NSX59" s="169"/>
      <c r="NSY59" s="169"/>
      <c r="NSZ59" s="169"/>
      <c r="NTA59" s="169"/>
      <c r="NTB59" s="169"/>
      <c r="NTC59" s="169"/>
      <c r="NTD59" s="169"/>
      <c r="NTE59" s="169"/>
      <c r="NTF59" s="169"/>
      <c r="NTG59" s="169"/>
      <c r="NTH59" s="169"/>
      <c r="NTI59" s="169"/>
      <c r="NTJ59" s="169"/>
      <c r="NTK59" s="169"/>
      <c r="NTL59" s="169"/>
      <c r="NTM59" s="169"/>
      <c r="NTN59" s="169"/>
      <c r="NTO59" s="169"/>
      <c r="NTP59" s="169"/>
      <c r="NTQ59" s="169"/>
      <c r="NTR59" s="169"/>
      <c r="NTS59" s="169"/>
      <c r="NTT59" s="169"/>
      <c r="NTU59" s="169"/>
      <c r="NTV59" s="169"/>
      <c r="NTW59" s="169"/>
      <c r="NTX59" s="169"/>
      <c r="NTY59" s="169"/>
      <c r="NTZ59" s="169"/>
      <c r="NUA59" s="169"/>
      <c r="NUB59" s="169"/>
      <c r="NUC59" s="169"/>
      <c r="NUD59" s="169"/>
      <c r="NUE59" s="169"/>
      <c r="NUF59" s="169"/>
      <c r="NUG59" s="169"/>
      <c r="NUH59" s="169"/>
      <c r="NUI59" s="169"/>
      <c r="NUJ59" s="169"/>
      <c r="NUK59" s="169"/>
      <c r="NUL59" s="169"/>
      <c r="NUM59" s="169"/>
      <c r="NUN59" s="169"/>
      <c r="NUO59" s="169"/>
      <c r="NUP59" s="169"/>
      <c r="NUQ59" s="169"/>
      <c r="NUR59" s="169"/>
      <c r="NUS59" s="169"/>
      <c r="NUT59" s="169"/>
      <c r="NUU59" s="169"/>
      <c r="NUV59" s="169"/>
      <c r="NUW59" s="169"/>
      <c r="NUX59" s="169"/>
      <c r="NUY59" s="169"/>
      <c r="NUZ59" s="169"/>
      <c r="NVA59" s="169"/>
      <c r="NVB59" s="169"/>
      <c r="NVC59" s="169"/>
      <c r="NVD59" s="169"/>
      <c r="NVE59" s="169"/>
      <c r="NVF59" s="169"/>
      <c r="NVG59" s="169"/>
      <c r="NVH59" s="169"/>
      <c r="NVI59" s="169"/>
      <c r="NVJ59" s="169"/>
      <c r="NVK59" s="169"/>
      <c r="NVL59" s="169"/>
      <c r="NVM59" s="169"/>
      <c r="NVN59" s="169"/>
      <c r="NVO59" s="169"/>
      <c r="NVP59" s="169"/>
      <c r="NVQ59" s="169"/>
      <c r="NVR59" s="169"/>
      <c r="NVS59" s="169"/>
      <c r="NVT59" s="169"/>
      <c r="NVU59" s="169"/>
      <c r="NVV59" s="169"/>
      <c r="NVW59" s="169"/>
      <c r="NVX59" s="169"/>
      <c r="NVY59" s="169"/>
      <c r="NVZ59" s="169"/>
      <c r="NWA59" s="169"/>
      <c r="NWB59" s="169"/>
      <c r="NWC59" s="169"/>
      <c r="NWD59" s="169"/>
      <c r="NWE59" s="169"/>
      <c r="NWF59" s="169"/>
      <c r="NWG59" s="169"/>
      <c r="NWH59" s="169"/>
      <c r="NWI59" s="169"/>
      <c r="NWJ59" s="169"/>
      <c r="NWK59" s="169"/>
      <c r="NWL59" s="169"/>
      <c r="NWM59" s="169"/>
      <c r="NWN59" s="169"/>
      <c r="NWO59" s="169"/>
      <c r="NWP59" s="169"/>
      <c r="NWQ59" s="169"/>
      <c r="NWR59" s="169"/>
      <c r="NWS59" s="169"/>
      <c r="NWT59" s="169"/>
      <c r="NWU59" s="169"/>
      <c r="NWV59" s="169"/>
      <c r="NWW59" s="169"/>
      <c r="NWX59" s="169"/>
      <c r="NWY59" s="169"/>
      <c r="NWZ59" s="169"/>
      <c r="NXA59" s="169"/>
      <c r="NXB59" s="169"/>
      <c r="NXC59" s="169"/>
      <c r="NXD59" s="169"/>
      <c r="NXE59" s="169"/>
      <c r="NXF59" s="169"/>
      <c r="NXG59" s="169"/>
      <c r="NXH59" s="169"/>
      <c r="NXI59" s="169"/>
      <c r="NXJ59" s="169"/>
      <c r="NXK59" s="169"/>
      <c r="NXL59" s="169"/>
      <c r="NXM59" s="169"/>
      <c r="NXN59" s="169"/>
      <c r="NXO59" s="169"/>
      <c r="NXP59" s="169"/>
      <c r="NXQ59" s="169"/>
      <c r="NXR59" s="169"/>
      <c r="NXS59" s="169"/>
      <c r="NXT59" s="169"/>
      <c r="NXU59" s="169"/>
      <c r="NXV59" s="169"/>
      <c r="NXW59" s="169"/>
      <c r="NXX59" s="169"/>
      <c r="NXY59" s="169"/>
      <c r="NXZ59" s="169"/>
      <c r="NYA59" s="169"/>
      <c r="NYB59" s="169"/>
      <c r="NYC59" s="169"/>
      <c r="NYD59" s="169"/>
      <c r="NYE59" s="169"/>
      <c r="NYF59" s="169"/>
      <c r="NYG59" s="169"/>
      <c r="NYH59" s="169"/>
      <c r="NYI59" s="169"/>
      <c r="NYJ59" s="169"/>
      <c r="NYK59" s="169"/>
      <c r="NYL59" s="169"/>
      <c r="NYM59" s="169"/>
      <c r="NYN59" s="169"/>
      <c r="NYO59" s="169"/>
      <c r="NYP59" s="169"/>
      <c r="NYQ59" s="169"/>
      <c r="NYR59" s="169"/>
      <c r="NYS59" s="169"/>
      <c r="NYT59" s="169"/>
      <c r="NYU59" s="169"/>
      <c r="NYV59" s="169"/>
      <c r="NYW59" s="169"/>
      <c r="NYX59" s="169"/>
      <c r="NYY59" s="169"/>
      <c r="NYZ59" s="169"/>
      <c r="NZA59" s="169"/>
      <c r="NZB59" s="169"/>
      <c r="NZC59" s="169"/>
      <c r="NZD59" s="169"/>
      <c r="NZE59" s="169"/>
      <c r="NZF59" s="169"/>
      <c r="NZG59" s="169"/>
      <c r="NZH59" s="169"/>
      <c r="NZI59" s="169"/>
      <c r="NZJ59" s="169"/>
      <c r="NZK59" s="169"/>
      <c r="NZL59" s="169"/>
      <c r="NZM59" s="169"/>
      <c r="NZN59" s="169"/>
      <c r="NZO59" s="169"/>
      <c r="NZP59" s="169"/>
      <c r="NZQ59" s="169"/>
      <c r="NZR59" s="169"/>
      <c r="NZS59" s="169"/>
      <c r="NZT59" s="169"/>
      <c r="NZU59" s="169"/>
      <c r="NZV59" s="169"/>
      <c r="NZW59" s="169"/>
      <c r="NZX59" s="169"/>
      <c r="NZY59" s="169"/>
      <c r="NZZ59" s="169"/>
      <c r="OAA59" s="169"/>
      <c r="OAB59" s="169"/>
      <c r="OAC59" s="169"/>
      <c r="OAD59" s="169"/>
      <c r="OAE59" s="169"/>
      <c r="OAF59" s="169"/>
      <c r="OAG59" s="169"/>
      <c r="OAH59" s="169"/>
      <c r="OAI59" s="169"/>
      <c r="OAJ59" s="169"/>
      <c r="OAK59" s="169"/>
      <c r="OAL59" s="169"/>
      <c r="OAM59" s="169"/>
      <c r="OAN59" s="169"/>
      <c r="OAO59" s="169"/>
      <c r="OAP59" s="169"/>
      <c r="OAQ59" s="169"/>
      <c r="OAR59" s="169"/>
      <c r="OAS59" s="169"/>
      <c r="OAT59" s="169"/>
      <c r="OAU59" s="169"/>
      <c r="OAV59" s="169"/>
      <c r="OAW59" s="169"/>
      <c r="OAX59" s="169"/>
      <c r="OAY59" s="169"/>
      <c r="OAZ59" s="169"/>
      <c r="OBA59" s="169"/>
      <c r="OBB59" s="169"/>
      <c r="OBC59" s="169"/>
      <c r="OBD59" s="169"/>
      <c r="OBE59" s="169"/>
      <c r="OBF59" s="169"/>
      <c r="OBG59" s="169"/>
      <c r="OBH59" s="169"/>
      <c r="OBI59" s="169"/>
      <c r="OBJ59" s="169"/>
      <c r="OBK59" s="169"/>
      <c r="OBL59" s="169"/>
      <c r="OBM59" s="169"/>
      <c r="OBN59" s="169"/>
      <c r="OBO59" s="169"/>
      <c r="OBP59" s="169"/>
      <c r="OBQ59" s="169"/>
      <c r="OBR59" s="169"/>
      <c r="OBS59" s="169"/>
      <c r="OBT59" s="169"/>
      <c r="OBU59" s="169"/>
      <c r="OBV59" s="169"/>
      <c r="OBW59" s="169"/>
      <c r="OBX59" s="169"/>
      <c r="OBY59" s="169"/>
      <c r="OBZ59" s="169"/>
      <c r="OCA59" s="169"/>
      <c r="OCB59" s="169"/>
      <c r="OCC59" s="169"/>
      <c r="OCD59" s="169"/>
      <c r="OCE59" s="169"/>
      <c r="OCF59" s="169"/>
      <c r="OCG59" s="169"/>
      <c r="OCH59" s="169"/>
      <c r="OCI59" s="169"/>
      <c r="OCJ59" s="169"/>
      <c r="OCK59" s="169"/>
      <c r="OCL59" s="169"/>
      <c r="OCM59" s="169"/>
      <c r="OCN59" s="169"/>
      <c r="OCO59" s="169"/>
      <c r="OCP59" s="169"/>
      <c r="OCQ59" s="169"/>
      <c r="OCR59" s="169"/>
      <c r="OCS59" s="169"/>
      <c r="OCT59" s="169"/>
      <c r="OCU59" s="169"/>
      <c r="OCV59" s="169"/>
      <c r="OCW59" s="169"/>
      <c r="OCX59" s="169"/>
      <c r="OCY59" s="169"/>
      <c r="OCZ59" s="169"/>
      <c r="ODA59" s="169"/>
      <c r="ODB59" s="169"/>
      <c r="ODC59" s="169"/>
      <c r="ODD59" s="169"/>
      <c r="ODE59" s="169"/>
      <c r="ODF59" s="169"/>
      <c r="ODG59" s="169"/>
      <c r="ODH59" s="169"/>
      <c r="ODI59" s="169"/>
      <c r="ODJ59" s="169"/>
      <c r="ODK59" s="169"/>
      <c r="ODL59" s="169"/>
      <c r="ODM59" s="169"/>
      <c r="ODN59" s="169"/>
      <c r="ODO59" s="169"/>
      <c r="ODP59" s="169"/>
      <c r="ODQ59" s="169"/>
      <c r="ODR59" s="169"/>
      <c r="ODS59" s="169"/>
      <c r="ODT59" s="169"/>
      <c r="ODU59" s="169"/>
      <c r="ODV59" s="169"/>
      <c r="ODW59" s="169"/>
      <c r="ODX59" s="169"/>
      <c r="ODY59" s="169"/>
      <c r="ODZ59" s="169"/>
      <c r="OEA59" s="169"/>
      <c r="OEB59" s="169"/>
      <c r="OEC59" s="169"/>
      <c r="OED59" s="169"/>
      <c r="OEE59" s="169"/>
      <c r="OEF59" s="169"/>
      <c r="OEG59" s="169"/>
      <c r="OEH59" s="169"/>
      <c r="OEI59" s="169"/>
      <c r="OEJ59" s="169"/>
      <c r="OEK59" s="169"/>
      <c r="OEL59" s="169"/>
      <c r="OEM59" s="169"/>
      <c r="OEN59" s="169"/>
      <c r="OEO59" s="169"/>
      <c r="OEP59" s="169"/>
      <c r="OEQ59" s="169"/>
      <c r="OER59" s="169"/>
      <c r="OES59" s="169"/>
      <c r="OET59" s="169"/>
      <c r="OEU59" s="169"/>
      <c r="OEV59" s="169"/>
      <c r="OEW59" s="169"/>
      <c r="OEX59" s="169"/>
      <c r="OEY59" s="169"/>
      <c r="OEZ59" s="169"/>
      <c r="OFA59" s="169"/>
      <c r="OFB59" s="169"/>
      <c r="OFC59" s="169"/>
      <c r="OFD59" s="169"/>
      <c r="OFE59" s="169"/>
      <c r="OFF59" s="169"/>
      <c r="OFG59" s="169"/>
      <c r="OFH59" s="169"/>
      <c r="OFI59" s="169"/>
      <c r="OFJ59" s="169"/>
      <c r="OFK59" s="169"/>
      <c r="OFL59" s="169"/>
      <c r="OFM59" s="169"/>
      <c r="OFN59" s="169"/>
      <c r="OFO59" s="169"/>
      <c r="OFP59" s="169"/>
      <c r="OFQ59" s="169"/>
      <c r="OFR59" s="169"/>
      <c r="OFS59" s="169"/>
      <c r="OFT59" s="169"/>
      <c r="OFU59" s="169"/>
      <c r="OFV59" s="169"/>
      <c r="OFW59" s="169"/>
      <c r="OFX59" s="169"/>
      <c r="OFY59" s="169"/>
      <c r="OFZ59" s="169"/>
      <c r="OGA59" s="169"/>
      <c r="OGB59" s="169"/>
      <c r="OGC59" s="169"/>
      <c r="OGD59" s="169"/>
      <c r="OGE59" s="169"/>
      <c r="OGF59" s="169"/>
      <c r="OGG59" s="169"/>
      <c r="OGH59" s="169"/>
      <c r="OGI59" s="169"/>
      <c r="OGJ59" s="169"/>
      <c r="OGK59" s="169"/>
      <c r="OGL59" s="169"/>
      <c r="OGM59" s="169"/>
      <c r="OGN59" s="169"/>
      <c r="OGO59" s="169"/>
      <c r="OGP59" s="169"/>
      <c r="OGQ59" s="169"/>
      <c r="OGR59" s="169"/>
      <c r="OGS59" s="169"/>
      <c r="OGT59" s="169"/>
      <c r="OGU59" s="169"/>
      <c r="OGV59" s="169"/>
      <c r="OGW59" s="169"/>
      <c r="OGX59" s="169"/>
      <c r="OGY59" s="169"/>
      <c r="OGZ59" s="169"/>
      <c r="OHA59" s="169"/>
      <c r="OHB59" s="169"/>
      <c r="OHC59" s="169"/>
      <c r="OHD59" s="169"/>
      <c r="OHE59" s="169"/>
      <c r="OHF59" s="169"/>
      <c r="OHG59" s="169"/>
      <c r="OHH59" s="169"/>
      <c r="OHI59" s="169"/>
      <c r="OHJ59" s="169"/>
      <c r="OHK59" s="169"/>
      <c r="OHL59" s="169"/>
      <c r="OHM59" s="169"/>
      <c r="OHN59" s="169"/>
      <c r="OHO59" s="169"/>
      <c r="OHP59" s="169"/>
      <c r="OHQ59" s="169"/>
      <c r="OHR59" s="169"/>
      <c r="OHS59" s="169"/>
      <c r="OHT59" s="169"/>
      <c r="OHU59" s="169"/>
      <c r="OHV59" s="169"/>
      <c r="OHW59" s="169"/>
      <c r="OHX59" s="169"/>
      <c r="OHY59" s="169"/>
      <c r="OHZ59" s="169"/>
      <c r="OIA59" s="169"/>
      <c r="OIB59" s="169"/>
      <c r="OIC59" s="169"/>
      <c r="OID59" s="169"/>
      <c r="OIE59" s="169"/>
      <c r="OIF59" s="169"/>
      <c r="OIG59" s="169"/>
      <c r="OIH59" s="169"/>
      <c r="OII59" s="169"/>
      <c r="OIJ59" s="169"/>
      <c r="OIK59" s="169"/>
      <c r="OIL59" s="169"/>
      <c r="OIM59" s="169"/>
      <c r="OIN59" s="169"/>
      <c r="OIO59" s="169"/>
      <c r="OIP59" s="169"/>
      <c r="OIQ59" s="169"/>
      <c r="OIR59" s="169"/>
      <c r="OIS59" s="169"/>
      <c r="OIT59" s="169"/>
      <c r="OIU59" s="169"/>
      <c r="OIV59" s="169"/>
      <c r="OIW59" s="169"/>
      <c r="OIX59" s="169"/>
      <c r="OIY59" s="169"/>
      <c r="OIZ59" s="169"/>
      <c r="OJA59" s="169"/>
      <c r="OJB59" s="169"/>
      <c r="OJC59" s="169"/>
      <c r="OJD59" s="169"/>
      <c r="OJE59" s="169"/>
      <c r="OJF59" s="169"/>
      <c r="OJG59" s="169"/>
      <c r="OJH59" s="169"/>
      <c r="OJI59" s="169"/>
      <c r="OJJ59" s="169"/>
      <c r="OJK59" s="169"/>
      <c r="OJL59" s="169"/>
      <c r="OJM59" s="169"/>
      <c r="OJN59" s="169"/>
      <c r="OJO59" s="169"/>
      <c r="OJP59" s="169"/>
      <c r="OJQ59" s="169"/>
      <c r="OJR59" s="169"/>
      <c r="OJS59" s="169"/>
      <c r="OJT59" s="169"/>
      <c r="OJU59" s="169"/>
      <c r="OJV59" s="169"/>
      <c r="OJW59" s="169"/>
      <c r="OJX59" s="169"/>
      <c r="OJY59" s="169"/>
      <c r="OJZ59" s="169"/>
      <c r="OKA59" s="169"/>
      <c r="OKB59" s="169"/>
      <c r="OKC59" s="169"/>
      <c r="OKD59" s="169"/>
      <c r="OKE59" s="169"/>
      <c r="OKF59" s="169"/>
      <c r="OKG59" s="169"/>
      <c r="OKH59" s="169"/>
      <c r="OKI59" s="169"/>
      <c r="OKJ59" s="169"/>
      <c r="OKK59" s="169"/>
      <c r="OKL59" s="169"/>
      <c r="OKM59" s="169"/>
      <c r="OKN59" s="169"/>
      <c r="OKO59" s="169"/>
      <c r="OKP59" s="169"/>
      <c r="OKQ59" s="169"/>
      <c r="OKR59" s="169"/>
      <c r="OKS59" s="169"/>
      <c r="OKT59" s="169"/>
      <c r="OKU59" s="169"/>
      <c r="OKV59" s="169"/>
      <c r="OKW59" s="169"/>
      <c r="OKX59" s="169"/>
      <c r="OKY59" s="169"/>
      <c r="OKZ59" s="169"/>
      <c r="OLA59" s="169"/>
      <c r="OLB59" s="169"/>
      <c r="OLC59" s="169"/>
      <c r="OLD59" s="169"/>
      <c r="OLE59" s="169"/>
      <c r="OLF59" s="169"/>
      <c r="OLG59" s="169"/>
      <c r="OLH59" s="169"/>
      <c r="OLI59" s="169"/>
      <c r="OLJ59" s="169"/>
      <c r="OLK59" s="169"/>
      <c r="OLL59" s="169"/>
      <c r="OLM59" s="169"/>
      <c r="OLN59" s="169"/>
      <c r="OLO59" s="169"/>
      <c r="OLP59" s="169"/>
      <c r="OLQ59" s="169"/>
      <c r="OLR59" s="169"/>
      <c r="OLS59" s="169"/>
      <c r="OLT59" s="169"/>
      <c r="OLU59" s="169"/>
      <c r="OLV59" s="169"/>
      <c r="OLW59" s="169"/>
      <c r="OLX59" s="169"/>
      <c r="OLY59" s="169"/>
      <c r="OLZ59" s="169"/>
      <c r="OMA59" s="169"/>
      <c r="OMB59" s="169"/>
      <c r="OMC59" s="169"/>
      <c r="OMD59" s="169"/>
      <c r="OME59" s="169"/>
      <c r="OMF59" s="169"/>
      <c r="OMG59" s="169"/>
      <c r="OMH59" s="169"/>
      <c r="OMI59" s="169"/>
      <c r="OMJ59" s="169"/>
      <c r="OMK59" s="169"/>
      <c r="OML59" s="169"/>
      <c r="OMM59" s="169"/>
      <c r="OMN59" s="169"/>
      <c r="OMO59" s="169"/>
      <c r="OMP59" s="169"/>
      <c r="OMQ59" s="169"/>
      <c r="OMR59" s="169"/>
      <c r="OMS59" s="169"/>
      <c r="OMT59" s="169"/>
      <c r="OMU59" s="169"/>
      <c r="OMV59" s="169"/>
      <c r="OMW59" s="169"/>
      <c r="OMX59" s="169"/>
      <c r="OMY59" s="169"/>
      <c r="OMZ59" s="169"/>
      <c r="ONA59" s="169"/>
      <c r="ONB59" s="169"/>
      <c r="ONC59" s="169"/>
      <c r="OND59" s="169"/>
      <c r="ONE59" s="169"/>
      <c r="ONF59" s="169"/>
      <c r="ONG59" s="169"/>
      <c r="ONH59" s="169"/>
      <c r="ONI59" s="169"/>
      <c r="ONJ59" s="169"/>
      <c r="ONK59" s="169"/>
      <c r="ONL59" s="169"/>
      <c r="ONM59" s="169"/>
      <c r="ONN59" s="169"/>
      <c r="ONO59" s="169"/>
      <c r="ONP59" s="169"/>
      <c r="ONQ59" s="169"/>
      <c r="ONR59" s="169"/>
      <c r="ONS59" s="169"/>
      <c r="ONT59" s="169"/>
      <c r="ONU59" s="169"/>
      <c r="ONV59" s="169"/>
      <c r="ONW59" s="169"/>
      <c r="ONX59" s="169"/>
      <c r="ONY59" s="169"/>
      <c r="ONZ59" s="169"/>
      <c r="OOA59" s="169"/>
      <c r="OOB59" s="169"/>
      <c r="OOC59" s="169"/>
      <c r="OOD59" s="169"/>
      <c r="OOE59" s="169"/>
      <c r="OOF59" s="169"/>
      <c r="OOG59" s="169"/>
      <c r="OOH59" s="169"/>
      <c r="OOI59" s="169"/>
      <c r="OOJ59" s="169"/>
      <c r="OOK59" s="169"/>
      <c r="OOL59" s="169"/>
      <c r="OOM59" s="169"/>
      <c r="OON59" s="169"/>
      <c r="OOO59" s="169"/>
      <c r="OOP59" s="169"/>
      <c r="OOQ59" s="169"/>
      <c r="OOR59" s="169"/>
      <c r="OOS59" s="169"/>
      <c r="OOT59" s="169"/>
      <c r="OOU59" s="169"/>
      <c r="OOV59" s="169"/>
      <c r="OOW59" s="169"/>
      <c r="OOX59" s="169"/>
      <c r="OOY59" s="169"/>
      <c r="OOZ59" s="169"/>
      <c r="OPA59" s="169"/>
      <c r="OPB59" s="169"/>
      <c r="OPC59" s="169"/>
      <c r="OPD59" s="169"/>
      <c r="OPE59" s="169"/>
      <c r="OPF59" s="169"/>
      <c r="OPG59" s="169"/>
      <c r="OPH59" s="169"/>
      <c r="OPI59" s="169"/>
      <c r="OPJ59" s="169"/>
      <c r="OPK59" s="169"/>
      <c r="OPL59" s="169"/>
      <c r="OPM59" s="169"/>
      <c r="OPN59" s="169"/>
      <c r="OPO59" s="169"/>
      <c r="OPP59" s="169"/>
      <c r="OPQ59" s="169"/>
      <c r="OPR59" s="169"/>
      <c r="OPS59" s="169"/>
      <c r="OPT59" s="169"/>
      <c r="OPU59" s="169"/>
      <c r="OPV59" s="169"/>
      <c r="OPW59" s="169"/>
      <c r="OPX59" s="169"/>
      <c r="OPY59" s="169"/>
      <c r="OPZ59" s="169"/>
      <c r="OQA59" s="169"/>
      <c r="OQB59" s="169"/>
      <c r="OQC59" s="169"/>
      <c r="OQD59" s="169"/>
      <c r="OQE59" s="169"/>
      <c r="OQF59" s="169"/>
      <c r="OQG59" s="169"/>
      <c r="OQH59" s="169"/>
      <c r="OQI59" s="169"/>
      <c r="OQJ59" s="169"/>
      <c r="OQK59" s="169"/>
      <c r="OQL59" s="169"/>
      <c r="OQM59" s="169"/>
      <c r="OQN59" s="169"/>
      <c r="OQO59" s="169"/>
      <c r="OQP59" s="169"/>
      <c r="OQQ59" s="169"/>
      <c r="OQR59" s="169"/>
      <c r="OQS59" s="169"/>
      <c r="OQT59" s="169"/>
      <c r="OQU59" s="169"/>
      <c r="OQV59" s="169"/>
      <c r="OQW59" s="169"/>
      <c r="OQX59" s="169"/>
      <c r="OQY59" s="169"/>
      <c r="OQZ59" s="169"/>
      <c r="ORA59" s="169"/>
      <c r="ORB59" s="169"/>
      <c r="ORC59" s="169"/>
      <c r="ORD59" s="169"/>
      <c r="ORE59" s="169"/>
      <c r="ORF59" s="169"/>
      <c r="ORG59" s="169"/>
      <c r="ORH59" s="169"/>
      <c r="ORI59" s="169"/>
      <c r="ORJ59" s="169"/>
      <c r="ORK59" s="169"/>
      <c r="ORL59" s="169"/>
      <c r="ORM59" s="169"/>
      <c r="ORN59" s="169"/>
      <c r="ORO59" s="169"/>
      <c r="ORP59" s="169"/>
      <c r="ORQ59" s="169"/>
      <c r="ORR59" s="169"/>
      <c r="ORS59" s="169"/>
      <c r="ORT59" s="169"/>
      <c r="ORU59" s="169"/>
      <c r="ORV59" s="169"/>
      <c r="ORW59" s="169"/>
      <c r="ORX59" s="169"/>
      <c r="ORY59" s="169"/>
      <c r="ORZ59" s="169"/>
      <c r="OSA59" s="169"/>
      <c r="OSB59" s="169"/>
      <c r="OSC59" s="169"/>
      <c r="OSD59" s="169"/>
      <c r="OSE59" s="169"/>
      <c r="OSF59" s="169"/>
      <c r="OSG59" s="169"/>
      <c r="OSH59" s="169"/>
      <c r="OSI59" s="169"/>
      <c r="OSJ59" s="169"/>
      <c r="OSK59" s="169"/>
      <c r="OSL59" s="169"/>
      <c r="OSM59" s="169"/>
      <c r="OSN59" s="169"/>
      <c r="OSO59" s="169"/>
      <c r="OSP59" s="169"/>
      <c r="OSQ59" s="169"/>
      <c r="OSR59" s="169"/>
      <c r="OSS59" s="169"/>
      <c r="OST59" s="169"/>
      <c r="OSU59" s="169"/>
      <c r="OSV59" s="169"/>
      <c r="OSW59" s="169"/>
      <c r="OSX59" s="169"/>
      <c r="OSY59" s="169"/>
      <c r="OSZ59" s="169"/>
      <c r="OTA59" s="169"/>
      <c r="OTB59" s="169"/>
      <c r="OTC59" s="169"/>
      <c r="OTD59" s="169"/>
      <c r="OTE59" s="169"/>
      <c r="OTF59" s="169"/>
      <c r="OTG59" s="169"/>
      <c r="OTH59" s="169"/>
      <c r="OTI59" s="169"/>
      <c r="OTJ59" s="169"/>
      <c r="OTK59" s="169"/>
      <c r="OTL59" s="169"/>
      <c r="OTM59" s="169"/>
      <c r="OTN59" s="169"/>
      <c r="OTO59" s="169"/>
      <c r="OTP59" s="169"/>
      <c r="OTQ59" s="169"/>
      <c r="OTR59" s="169"/>
      <c r="OTS59" s="169"/>
      <c r="OTT59" s="169"/>
      <c r="OTU59" s="169"/>
      <c r="OTV59" s="169"/>
      <c r="OTW59" s="169"/>
      <c r="OTX59" s="169"/>
      <c r="OTY59" s="169"/>
      <c r="OTZ59" s="169"/>
      <c r="OUA59" s="169"/>
      <c r="OUB59" s="169"/>
      <c r="OUC59" s="169"/>
      <c r="OUD59" s="169"/>
      <c r="OUE59" s="169"/>
      <c r="OUF59" s="169"/>
      <c r="OUG59" s="169"/>
      <c r="OUH59" s="169"/>
      <c r="OUI59" s="169"/>
      <c r="OUJ59" s="169"/>
      <c r="OUK59" s="169"/>
      <c r="OUL59" s="169"/>
      <c r="OUM59" s="169"/>
      <c r="OUN59" s="169"/>
      <c r="OUO59" s="169"/>
      <c r="OUP59" s="169"/>
      <c r="OUQ59" s="169"/>
      <c r="OUR59" s="169"/>
      <c r="OUS59" s="169"/>
      <c r="OUT59" s="169"/>
      <c r="OUU59" s="169"/>
      <c r="OUV59" s="169"/>
      <c r="OUW59" s="169"/>
      <c r="OUX59" s="169"/>
      <c r="OUY59" s="169"/>
      <c r="OUZ59" s="169"/>
      <c r="OVA59" s="169"/>
      <c r="OVB59" s="169"/>
      <c r="OVC59" s="169"/>
      <c r="OVD59" s="169"/>
      <c r="OVE59" s="169"/>
      <c r="OVF59" s="169"/>
      <c r="OVG59" s="169"/>
      <c r="OVH59" s="169"/>
      <c r="OVI59" s="169"/>
      <c r="OVJ59" s="169"/>
      <c r="OVK59" s="169"/>
      <c r="OVL59" s="169"/>
      <c r="OVM59" s="169"/>
      <c r="OVN59" s="169"/>
      <c r="OVO59" s="169"/>
      <c r="OVP59" s="169"/>
      <c r="OVQ59" s="169"/>
      <c r="OVR59" s="169"/>
      <c r="OVS59" s="169"/>
      <c r="OVT59" s="169"/>
      <c r="OVU59" s="169"/>
      <c r="OVV59" s="169"/>
      <c r="OVW59" s="169"/>
      <c r="OVX59" s="169"/>
      <c r="OVY59" s="169"/>
      <c r="OVZ59" s="169"/>
      <c r="OWA59" s="169"/>
      <c r="OWB59" s="169"/>
      <c r="OWC59" s="169"/>
      <c r="OWD59" s="169"/>
      <c r="OWE59" s="169"/>
      <c r="OWF59" s="169"/>
      <c r="OWG59" s="169"/>
      <c r="OWH59" s="169"/>
      <c r="OWI59" s="169"/>
      <c r="OWJ59" s="169"/>
      <c r="OWK59" s="169"/>
      <c r="OWL59" s="169"/>
      <c r="OWM59" s="169"/>
      <c r="OWN59" s="169"/>
      <c r="OWO59" s="169"/>
      <c r="OWP59" s="169"/>
      <c r="OWQ59" s="169"/>
      <c r="OWR59" s="169"/>
      <c r="OWS59" s="169"/>
      <c r="OWT59" s="169"/>
      <c r="OWU59" s="169"/>
      <c r="OWV59" s="169"/>
      <c r="OWW59" s="169"/>
      <c r="OWX59" s="169"/>
      <c r="OWY59" s="169"/>
      <c r="OWZ59" s="169"/>
      <c r="OXA59" s="169"/>
      <c r="OXB59" s="169"/>
      <c r="OXC59" s="169"/>
      <c r="OXD59" s="169"/>
      <c r="OXE59" s="169"/>
      <c r="OXF59" s="169"/>
      <c r="OXG59" s="169"/>
      <c r="OXH59" s="169"/>
      <c r="OXI59" s="169"/>
      <c r="OXJ59" s="169"/>
      <c r="OXK59" s="169"/>
      <c r="OXL59" s="169"/>
      <c r="OXM59" s="169"/>
      <c r="OXN59" s="169"/>
      <c r="OXO59" s="169"/>
      <c r="OXP59" s="169"/>
      <c r="OXQ59" s="169"/>
      <c r="OXR59" s="169"/>
      <c r="OXS59" s="169"/>
      <c r="OXT59" s="169"/>
      <c r="OXU59" s="169"/>
      <c r="OXV59" s="169"/>
      <c r="OXW59" s="169"/>
      <c r="OXX59" s="169"/>
      <c r="OXY59" s="169"/>
      <c r="OXZ59" s="169"/>
      <c r="OYA59" s="169"/>
      <c r="OYB59" s="169"/>
      <c r="OYC59" s="169"/>
      <c r="OYD59" s="169"/>
      <c r="OYE59" s="169"/>
      <c r="OYF59" s="169"/>
      <c r="OYG59" s="169"/>
      <c r="OYH59" s="169"/>
      <c r="OYI59" s="169"/>
      <c r="OYJ59" s="169"/>
      <c r="OYK59" s="169"/>
      <c r="OYL59" s="169"/>
      <c r="OYM59" s="169"/>
      <c r="OYN59" s="169"/>
      <c r="OYO59" s="169"/>
      <c r="OYP59" s="169"/>
      <c r="OYQ59" s="169"/>
      <c r="OYR59" s="169"/>
      <c r="OYS59" s="169"/>
      <c r="OYT59" s="169"/>
      <c r="OYU59" s="169"/>
      <c r="OYV59" s="169"/>
      <c r="OYW59" s="169"/>
      <c r="OYX59" s="169"/>
      <c r="OYY59" s="169"/>
      <c r="OYZ59" s="169"/>
      <c r="OZA59" s="169"/>
      <c r="OZB59" s="169"/>
      <c r="OZC59" s="169"/>
      <c r="OZD59" s="169"/>
      <c r="OZE59" s="169"/>
      <c r="OZF59" s="169"/>
      <c r="OZG59" s="169"/>
      <c r="OZH59" s="169"/>
      <c r="OZI59" s="169"/>
      <c r="OZJ59" s="169"/>
      <c r="OZK59" s="169"/>
      <c r="OZL59" s="169"/>
      <c r="OZM59" s="169"/>
      <c r="OZN59" s="169"/>
      <c r="OZO59" s="169"/>
      <c r="OZP59" s="169"/>
      <c r="OZQ59" s="169"/>
      <c r="OZR59" s="169"/>
      <c r="OZS59" s="169"/>
      <c r="OZT59" s="169"/>
      <c r="OZU59" s="169"/>
      <c r="OZV59" s="169"/>
      <c r="OZW59" s="169"/>
      <c r="OZX59" s="169"/>
      <c r="OZY59" s="169"/>
      <c r="OZZ59" s="169"/>
      <c r="PAA59" s="169"/>
      <c r="PAB59" s="169"/>
      <c r="PAC59" s="169"/>
      <c r="PAD59" s="169"/>
      <c r="PAE59" s="169"/>
      <c r="PAF59" s="169"/>
      <c r="PAG59" s="169"/>
      <c r="PAH59" s="169"/>
      <c r="PAI59" s="169"/>
      <c r="PAJ59" s="169"/>
      <c r="PAK59" s="169"/>
      <c r="PAL59" s="169"/>
      <c r="PAM59" s="169"/>
      <c r="PAN59" s="169"/>
      <c r="PAO59" s="169"/>
      <c r="PAP59" s="169"/>
      <c r="PAQ59" s="169"/>
      <c r="PAR59" s="169"/>
      <c r="PAS59" s="169"/>
      <c r="PAT59" s="169"/>
      <c r="PAU59" s="169"/>
      <c r="PAV59" s="169"/>
      <c r="PAW59" s="169"/>
      <c r="PAX59" s="169"/>
      <c r="PAY59" s="169"/>
      <c r="PAZ59" s="169"/>
      <c r="PBA59" s="169"/>
      <c r="PBB59" s="169"/>
      <c r="PBC59" s="169"/>
      <c r="PBD59" s="169"/>
      <c r="PBE59" s="169"/>
      <c r="PBF59" s="169"/>
      <c r="PBG59" s="169"/>
      <c r="PBH59" s="169"/>
      <c r="PBI59" s="169"/>
      <c r="PBJ59" s="169"/>
      <c r="PBK59" s="169"/>
      <c r="PBL59" s="169"/>
      <c r="PBM59" s="169"/>
      <c r="PBN59" s="169"/>
      <c r="PBO59" s="169"/>
      <c r="PBP59" s="169"/>
      <c r="PBQ59" s="169"/>
      <c r="PBR59" s="169"/>
      <c r="PBS59" s="169"/>
      <c r="PBT59" s="169"/>
      <c r="PBU59" s="169"/>
      <c r="PBV59" s="169"/>
      <c r="PBW59" s="169"/>
      <c r="PBX59" s="169"/>
      <c r="PBY59" s="169"/>
      <c r="PBZ59" s="169"/>
      <c r="PCA59" s="169"/>
      <c r="PCB59" s="169"/>
      <c r="PCC59" s="169"/>
      <c r="PCD59" s="169"/>
      <c r="PCE59" s="169"/>
      <c r="PCF59" s="169"/>
      <c r="PCG59" s="169"/>
      <c r="PCH59" s="169"/>
      <c r="PCI59" s="169"/>
      <c r="PCJ59" s="169"/>
      <c r="PCK59" s="169"/>
      <c r="PCL59" s="169"/>
      <c r="PCM59" s="169"/>
      <c r="PCN59" s="169"/>
      <c r="PCO59" s="169"/>
      <c r="PCP59" s="169"/>
      <c r="PCQ59" s="169"/>
      <c r="PCR59" s="169"/>
      <c r="PCS59" s="169"/>
      <c r="PCT59" s="169"/>
      <c r="PCU59" s="169"/>
      <c r="PCV59" s="169"/>
      <c r="PCW59" s="169"/>
      <c r="PCX59" s="169"/>
      <c r="PCY59" s="169"/>
      <c r="PCZ59" s="169"/>
      <c r="PDA59" s="169"/>
      <c r="PDB59" s="169"/>
      <c r="PDC59" s="169"/>
      <c r="PDD59" s="169"/>
      <c r="PDE59" s="169"/>
      <c r="PDF59" s="169"/>
      <c r="PDG59" s="169"/>
      <c r="PDH59" s="169"/>
      <c r="PDI59" s="169"/>
      <c r="PDJ59" s="169"/>
      <c r="PDK59" s="169"/>
      <c r="PDL59" s="169"/>
      <c r="PDM59" s="169"/>
      <c r="PDN59" s="169"/>
      <c r="PDO59" s="169"/>
      <c r="PDP59" s="169"/>
      <c r="PDQ59" s="169"/>
      <c r="PDR59" s="169"/>
      <c r="PDS59" s="169"/>
      <c r="PDT59" s="169"/>
      <c r="PDU59" s="169"/>
      <c r="PDV59" s="169"/>
      <c r="PDW59" s="169"/>
      <c r="PDX59" s="169"/>
      <c r="PDY59" s="169"/>
      <c r="PDZ59" s="169"/>
      <c r="PEA59" s="169"/>
      <c r="PEB59" s="169"/>
      <c r="PEC59" s="169"/>
      <c r="PED59" s="169"/>
      <c r="PEE59" s="169"/>
      <c r="PEF59" s="169"/>
      <c r="PEG59" s="169"/>
      <c r="PEH59" s="169"/>
      <c r="PEI59" s="169"/>
      <c r="PEJ59" s="169"/>
      <c r="PEK59" s="169"/>
      <c r="PEL59" s="169"/>
      <c r="PEM59" s="169"/>
      <c r="PEN59" s="169"/>
      <c r="PEO59" s="169"/>
      <c r="PEP59" s="169"/>
      <c r="PEQ59" s="169"/>
      <c r="PER59" s="169"/>
      <c r="PES59" s="169"/>
      <c r="PET59" s="169"/>
      <c r="PEU59" s="169"/>
      <c r="PEV59" s="169"/>
      <c r="PEW59" s="169"/>
      <c r="PEX59" s="169"/>
      <c r="PEY59" s="169"/>
      <c r="PEZ59" s="169"/>
      <c r="PFA59" s="169"/>
      <c r="PFB59" s="169"/>
      <c r="PFC59" s="169"/>
      <c r="PFD59" s="169"/>
      <c r="PFE59" s="169"/>
      <c r="PFF59" s="169"/>
      <c r="PFG59" s="169"/>
      <c r="PFH59" s="169"/>
      <c r="PFI59" s="169"/>
      <c r="PFJ59" s="169"/>
      <c r="PFK59" s="169"/>
      <c r="PFL59" s="169"/>
      <c r="PFM59" s="169"/>
      <c r="PFN59" s="169"/>
      <c r="PFO59" s="169"/>
      <c r="PFP59" s="169"/>
      <c r="PFQ59" s="169"/>
      <c r="PFR59" s="169"/>
      <c r="PFS59" s="169"/>
      <c r="PFT59" s="169"/>
      <c r="PFU59" s="169"/>
      <c r="PFV59" s="169"/>
      <c r="PFW59" s="169"/>
      <c r="PFX59" s="169"/>
      <c r="PFY59" s="169"/>
      <c r="PFZ59" s="169"/>
      <c r="PGA59" s="169"/>
      <c r="PGB59" s="169"/>
      <c r="PGC59" s="169"/>
      <c r="PGD59" s="169"/>
      <c r="PGE59" s="169"/>
      <c r="PGF59" s="169"/>
      <c r="PGG59" s="169"/>
      <c r="PGH59" s="169"/>
      <c r="PGI59" s="169"/>
      <c r="PGJ59" s="169"/>
      <c r="PGK59" s="169"/>
      <c r="PGL59" s="169"/>
      <c r="PGM59" s="169"/>
      <c r="PGN59" s="169"/>
      <c r="PGO59" s="169"/>
      <c r="PGP59" s="169"/>
      <c r="PGQ59" s="169"/>
      <c r="PGR59" s="169"/>
      <c r="PGS59" s="169"/>
      <c r="PGT59" s="169"/>
      <c r="PGU59" s="169"/>
      <c r="PGV59" s="169"/>
      <c r="PGW59" s="169"/>
      <c r="PGX59" s="169"/>
      <c r="PGY59" s="169"/>
      <c r="PGZ59" s="169"/>
      <c r="PHA59" s="169"/>
      <c r="PHB59" s="169"/>
      <c r="PHC59" s="169"/>
      <c r="PHD59" s="169"/>
      <c r="PHE59" s="169"/>
      <c r="PHF59" s="169"/>
      <c r="PHG59" s="169"/>
      <c r="PHH59" s="169"/>
      <c r="PHI59" s="169"/>
      <c r="PHJ59" s="169"/>
      <c r="PHK59" s="169"/>
      <c r="PHL59" s="169"/>
      <c r="PHM59" s="169"/>
      <c r="PHN59" s="169"/>
      <c r="PHO59" s="169"/>
      <c r="PHP59" s="169"/>
      <c r="PHQ59" s="169"/>
      <c r="PHR59" s="169"/>
      <c r="PHS59" s="169"/>
      <c r="PHT59" s="169"/>
      <c r="PHU59" s="169"/>
      <c r="PHV59" s="169"/>
      <c r="PHW59" s="169"/>
      <c r="PHX59" s="169"/>
      <c r="PHY59" s="169"/>
      <c r="PHZ59" s="169"/>
      <c r="PIA59" s="169"/>
      <c r="PIB59" s="169"/>
      <c r="PIC59" s="169"/>
      <c r="PID59" s="169"/>
      <c r="PIE59" s="169"/>
      <c r="PIF59" s="169"/>
      <c r="PIG59" s="169"/>
      <c r="PIH59" s="169"/>
      <c r="PII59" s="169"/>
      <c r="PIJ59" s="169"/>
      <c r="PIK59" s="169"/>
      <c r="PIL59" s="169"/>
      <c r="PIM59" s="169"/>
      <c r="PIN59" s="169"/>
      <c r="PIO59" s="169"/>
      <c r="PIP59" s="169"/>
      <c r="PIQ59" s="169"/>
      <c r="PIR59" s="169"/>
      <c r="PIS59" s="169"/>
      <c r="PIT59" s="169"/>
      <c r="PIU59" s="169"/>
      <c r="PIV59" s="169"/>
      <c r="PIW59" s="169"/>
      <c r="PIX59" s="169"/>
      <c r="PIY59" s="169"/>
      <c r="PIZ59" s="169"/>
      <c r="PJA59" s="169"/>
      <c r="PJB59" s="169"/>
      <c r="PJC59" s="169"/>
      <c r="PJD59" s="169"/>
      <c r="PJE59" s="169"/>
      <c r="PJF59" s="169"/>
      <c r="PJG59" s="169"/>
      <c r="PJH59" s="169"/>
      <c r="PJI59" s="169"/>
      <c r="PJJ59" s="169"/>
      <c r="PJK59" s="169"/>
      <c r="PJL59" s="169"/>
      <c r="PJM59" s="169"/>
      <c r="PJN59" s="169"/>
      <c r="PJO59" s="169"/>
      <c r="PJP59" s="169"/>
      <c r="PJQ59" s="169"/>
      <c r="PJR59" s="169"/>
      <c r="PJS59" s="169"/>
      <c r="PJT59" s="169"/>
      <c r="PJU59" s="169"/>
      <c r="PJV59" s="169"/>
      <c r="PJW59" s="169"/>
      <c r="PJX59" s="169"/>
      <c r="PJY59" s="169"/>
      <c r="PJZ59" s="169"/>
      <c r="PKA59" s="169"/>
      <c r="PKB59" s="169"/>
      <c r="PKC59" s="169"/>
      <c r="PKD59" s="169"/>
      <c r="PKE59" s="169"/>
      <c r="PKF59" s="169"/>
      <c r="PKG59" s="169"/>
      <c r="PKH59" s="169"/>
      <c r="PKI59" s="169"/>
      <c r="PKJ59" s="169"/>
      <c r="PKK59" s="169"/>
      <c r="PKL59" s="169"/>
      <c r="PKM59" s="169"/>
      <c r="PKN59" s="169"/>
      <c r="PKO59" s="169"/>
      <c r="PKP59" s="169"/>
      <c r="PKQ59" s="169"/>
      <c r="PKR59" s="169"/>
      <c r="PKS59" s="169"/>
      <c r="PKT59" s="169"/>
      <c r="PKU59" s="169"/>
      <c r="PKV59" s="169"/>
      <c r="PKW59" s="169"/>
      <c r="PKX59" s="169"/>
      <c r="PKY59" s="169"/>
      <c r="PKZ59" s="169"/>
      <c r="PLA59" s="169"/>
      <c r="PLB59" s="169"/>
      <c r="PLC59" s="169"/>
      <c r="PLD59" s="169"/>
      <c r="PLE59" s="169"/>
      <c r="PLF59" s="169"/>
      <c r="PLG59" s="169"/>
      <c r="PLH59" s="169"/>
      <c r="PLI59" s="169"/>
      <c r="PLJ59" s="169"/>
      <c r="PLK59" s="169"/>
      <c r="PLL59" s="169"/>
      <c r="PLM59" s="169"/>
      <c r="PLN59" s="169"/>
      <c r="PLO59" s="169"/>
      <c r="PLP59" s="169"/>
      <c r="PLQ59" s="169"/>
      <c r="PLR59" s="169"/>
      <c r="PLS59" s="169"/>
      <c r="PLT59" s="169"/>
      <c r="PLU59" s="169"/>
      <c r="PLV59" s="169"/>
      <c r="PLW59" s="169"/>
      <c r="PLX59" s="169"/>
      <c r="PLY59" s="169"/>
      <c r="PLZ59" s="169"/>
      <c r="PMA59" s="169"/>
      <c r="PMB59" s="169"/>
      <c r="PMC59" s="169"/>
      <c r="PMD59" s="169"/>
      <c r="PME59" s="169"/>
      <c r="PMF59" s="169"/>
      <c r="PMG59" s="169"/>
      <c r="PMH59" s="169"/>
      <c r="PMI59" s="169"/>
      <c r="PMJ59" s="169"/>
      <c r="PMK59" s="169"/>
      <c r="PML59" s="169"/>
      <c r="PMM59" s="169"/>
      <c r="PMN59" s="169"/>
      <c r="PMO59" s="169"/>
      <c r="PMP59" s="169"/>
      <c r="PMQ59" s="169"/>
      <c r="PMR59" s="169"/>
      <c r="PMS59" s="169"/>
      <c r="PMT59" s="169"/>
      <c r="PMU59" s="169"/>
      <c r="PMV59" s="169"/>
      <c r="PMW59" s="169"/>
      <c r="PMX59" s="169"/>
      <c r="PMY59" s="169"/>
      <c r="PMZ59" s="169"/>
      <c r="PNA59" s="169"/>
      <c r="PNB59" s="169"/>
      <c r="PNC59" s="169"/>
      <c r="PND59" s="169"/>
      <c r="PNE59" s="169"/>
      <c r="PNF59" s="169"/>
      <c r="PNG59" s="169"/>
      <c r="PNH59" s="169"/>
      <c r="PNI59" s="169"/>
      <c r="PNJ59" s="169"/>
      <c r="PNK59" s="169"/>
      <c r="PNL59" s="169"/>
      <c r="PNM59" s="169"/>
      <c r="PNN59" s="169"/>
      <c r="PNO59" s="169"/>
      <c r="PNP59" s="169"/>
      <c r="PNQ59" s="169"/>
      <c r="PNR59" s="169"/>
      <c r="PNS59" s="169"/>
      <c r="PNT59" s="169"/>
      <c r="PNU59" s="169"/>
      <c r="PNV59" s="169"/>
      <c r="PNW59" s="169"/>
      <c r="PNX59" s="169"/>
      <c r="PNY59" s="169"/>
      <c r="PNZ59" s="169"/>
      <c r="POA59" s="169"/>
      <c r="POB59" s="169"/>
      <c r="POC59" s="169"/>
      <c r="POD59" s="169"/>
      <c r="POE59" s="169"/>
      <c r="POF59" s="169"/>
      <c r="POG59" s="169"/>
      <c r="POH59" s="169"/>
      <c r="POI59" s="169"/>
      <c r="POJ59" s="169"/>
      <c r="POK59" s="169"/>
      <c r="POL59" s="169"/>
      <c r="POM59" s="169"/>
      <c r="PON59" s="169"/>
      <c r="POO59" s="169"/>
      <c r="POP59" s="169"/>
      <c r="POQ59" s="169"/>
      <c r="POR59" s="169"/>
      <c r="POS59" s="169"/>
      <c r="POT59" s="169"/>
      <c r="POU59" s="169"/>
      <c r="POV59" s="169"/>
      <c r="POW59" s="169"/>
      <c r="POX59" s="169"/>
      <c r="POY59" s="169"/>
      <c r="POZ59" s="169"/>
      <c r="PPA59" s="169"/>
      <c r="PPB59" s="169"/>
      <c r="PPC59" s="169"/>
      <c r="PPD59" s="169"/>
      <c r="PPE59" s="169"/>
      <c r="PPF59" s="169"/>
      <c r="PPG59" s="169"/>
      <c r="PPH59" s="169"/>
      <c r="PPI59" s="169"/>
      <c r="PPJ59" s="169"/>
      <c r="PPK59" s="169"/>
      <c r="PPL59" s="169"/>
      <c r="PPM59" s="169"/>
      <c r="PPN59" s="169"/>
      <c r="PPO59" s="169"/>
      <c r="PPP59" s="169"/>
      <c r="PPQ59" s="169"/>
      <c r="PPR59" s="169"/>
      <c r="PPS59" s="169"/>
      <c r="PPT59" s="169"/>
      <c r="PPU59" s="169"/>
      <c r="PPV59" s="169"/>
      <c r="PPW59" s="169"/>
      <c r="PPX59" s="169"/>
      <c r="PPY59" s="169"/>
      <c r="PPZ59" s="169"/>
      <c r="PQA59" s="169"/>
      <c r="PQB59" s="169"/>
      <c r="PQC59" s="169"/>
      <c r="PQD59" s="169"/>
      <c r="PQE59" s="169"/>
      <c r="PQF59" s="169"/>
      <c r="PQG59" s="169"/>
      <c r="PQH59" s="169"/>
      <c r="PQI59" s="169"/>
      <c r="PQJ59" s="169"/>
      <c r="PQK59" s="169"/>
      <c r="PQL59" s="169"/>
      <c r="PQM59" s="169"/>
      <c r="PQN59" s="169"/>
      <c r="PQO59" s="169"/>
      <c r="PQP59" s="169"/>
      <c r="PQQ59" s="169"/>
      <c r="PQR59" s="169"/>
      <c r="PQS59" s="169"/>
      <c r="PQT59" s="169"/>
      <c r="PQU59" s="169"/>
      <c r="PQV59" s="169"/>
      <c r="PQW59" s="169"/>
      <c r="PQX59" s="169"/>
      <c r="PQY59" s="169"/>
      <c r="PQZ59" s="169"/>
      <c r="PRA59" s="169"/>
      <c r="PRB59" s="169"/>
      <c r="PRC59" s="169"/>
      <c r="PRD59" s="169"/>
      <c r="PRE59" s="169"/>
      <c r="PRF59" s="169"/>
      <c r="PRG59" s="169"/>
      <c r="PRH59" s="169"/>
      <c r="PRI59" s="169"/>
      <c r="PRJ59" s="169"/>
      <c r="PRK59" s="169"/>
      <c r="PRL59" s="169"/>
      <c r="PRM59" s="169"/>
      <c r="PRN59" s="169"/>
      <c r="PRO59" s="169"/>
      <c r="PRP59" s="169"/>
      <c r="PRQ59" s="169"/>
      <c r="PRR59" s="169"/>
      <c r="PRS59" s="169"/>
      <c r="PRT59" s="169"/>
      <c r="PRU59" s="169"/>
      <c r="PRV59" s="169"/>
      <c r="PRW59" s="169"/>
      <c r="PRX59" s="169"/>
      <c r="PRY59" s="169"/>
      <c r="PRZ59" s="169"/>
      <c r="PSA59" s="169"/>
      <c r="PSB59" s="169"/>
      <c r="PSC59" s="169"/>
      <c r="PSD59" s="169"/>
      <c r="PSE59" s="169"/>
      <c r="PSF59" s="169"/>
      <c r="PSG59" s="169"/>
      <c r="PSH59" s="169"/>
      <c r="PSI59" s="169"/>
      <c r="PSJ59" s="169"/>
      <c r="PSK59" s="169"/>
      <c r="PSL59" s="169"/>
      <c r="PSM59" s="169"/>
      <c r="PSN59" s="169"/>
      <c r="PSO59" s="169"/>
      <c r="PSP59" s="169"/>
      <c r="PSQ59" s="169"/>
      <c r="PSR59" s="169"/>
      <c r="PSS59" s="169"/>
      <c r="PST59" s="169"/>
      <c r="PSU59" s="169"/>
      <c r="PSV59" s="169"/>
      <c r="PSW59" s="169"/>
      <c r="PSX59" s="169"/>
      <c r="PSY59" s="169"/>
      <c r="PSZ59" s="169"/>
      <c r="PTA59" s="169"/>
      <c r="PTB59" s="169"/>
      <c r="PTC59" s="169"/>
      <c r="PTD59" s="169"/>
      <c r="PTE59" s="169"/>
      <c r="PTF59" s="169"/>
      <c r="PTG59" s="169"/>
      <c r="PTH59" s="169"/>
      <c r="PTI59" s="169"/>
      <c r="PTJ59" s="169"/>
      <c r="PTK59" s="169"/>
      <c r="PTL59" s="169"/>
      <c r="PTM59" s="169"/>
      <c r="PTN59" s="169"/>
      <c r="PTO59" s="169"/>
      <c r="PTP59" s="169"/>
      <c r="PTQ59" s="169"/>
      <c r="PTR59" s="169"/>
      <c r="PTS59" s="169"/>
      <c r="PTT59" s="169"/>
      <c r="PTU59" s="169"/>
      <c r="PTV59" s="169"/>
      <c r="PTW59" s="169"/>
      <c r="PTX59" s="169"/>
      <c r="PTY59" s="169"/>
      <c r="PTZ59" s="169"/>
      <c r="PUA59" s="169"/>
      <c r="PUB59" s="169"/>
      <c r="PUC59" s="169"/>
      <c r="PUD59" s="169"/>
      <c r="PUE59" s="169"/>
      <c r="PUF59" s="169"/>
      <c r="PUG59" s="169"/>
      <c r="PUH59" s="169"/>
      <c r="PUI59" s="169"/>
      <c r="PUJ59" s="169"/>
      <c r="PUK59" s="169"/>
      <c r="PUL59" s="169"/>
      <c r="PUM59" s="169"/>
      <c r="PUN59" s="169"/>
      <c r="PUO59" s="169"/>
      <c r="PUP59" s="169"/>
      <c r="PUQ59" s="169"/>
      <c r="PUR59" s="169"/>
      <c r="PUS59" s="169"/>
      <c r="PUT59" s="169"/>
      <c r="PUU59" s="169"/>
      <c r="PUV59" s="169"/>
      <c r="PUW59" s="169"/>
      <c r="PUX59" s="169"/>
      <c r="PUY59" s="169"/>
      <c r="PUZ59" s="169"/>
      <c r="PVA59" s="169"/>
      <c r="PVB59" s="169"/>
      <c r="PVC59" s="169"/>
      <c r="PVD59" s="169"/>
      <c r="PVE59" s="169"/>
      <c r="PVF59" s="169"/>
      <c r="PVG59" s="169"/>
      <c r="PVH59" s="169"/>
      <c r="PVI59" s="169"/>
      <c r="PVJ59" s="169"/>
      <c r="PVK59" s="169"/>
      <c r="PVL59" s="169"/>
      <c r="PVM59" s="169"/>
      <c r="PVN59" s="169"/>
      <c r="PVO59" s="169"/>
      <c r="PVP59" s="169"/>
      <c r="PVQ59" s="169"/>
      <c r="PVR59" s="169"/>
      <c r="PVS59" s="169"/>
      <c r="PVT59" s="169"/>
      <c r="PVU59" s="169"/>
      <c r="PVV59" s="169"/>
      <c r="PVW59" s="169"/>
      <c r="PVX59" s="169"/>
      <c r="PVY59" s="169"/>
      <c r="PVZ59" s="169"/>
      <c r="PWA59" s="169"/>
      <c r="PWB59" s="169"/>
      <c r="PWC59" s="169"/>
      <c r="PWD59" s="169"/>
      <c r="PWE59" s="169"/>
      <c r="PWF59" s="169"/>
      <c r="PWG59" s="169"/>
      <c r="PWH59" s="169"/>
      <c r="PWI59" s="169"/>
      <c r="PWJ59" s="169"/>
      <c r="PWK59" s="169"/>
      <c r="PWL59" s="169"/>
      <c r="PWM59" s="169"/>
      <c r="PWN59" s="169"/>
      <c r="PWO59" s="169"/>
      <c r="PWP59" s="169"/>
      <c r="PWQ59" s="169"/>
      <c r="PWR59" s="169"/>
      <c r="PWS59" s="169"/>
      <c r="PWT59" s="169"/>
      <c r="PWU59" s="169"/>
      <c r="PWV59" s="169"/>
      <c r="PWW59" s="169"/>
      <c r="PWX59" s="169"/>
      <c r="PWY59" s="169"/>
      <c r="PWZ59" s="169"/>
      <c r="PXA59" s="169"/>
      <c r="PXB59" s="169"/>
      <c r="PXC59" s="169"/>
      <c r="PXD59" s="169"/>
      <c r="PXE59" s="169"/>
      <c r="PXF59" s="169"/>
      <c r="PXG59" s="169"/>
      <c r="PXH59" s="169"/>
      <c r="PXI59" s="169"/>
      <c r="PXJ59" s="169"/>
      <c r="PXK59" s="169"/>
      <c r="PXL59" s="169"/>
      <c r="PXM59" s="169"/>
      <c r="PXN59" s="169"/>
      <c r="PXO59" s="169"/>
      <c r="PXP59" s="169"/>
      <c r="PXQ59" s="169"/>
      <c r="PXR59" s="169"/>
      <c r="PXS59" s="169"/>
      <c r="PXT59" s="169"/>
      <c r="PXU59" s="169"/>
      <c r="PXV59" s="169"/>
      <c r="PXW59" s="169"/>
      <c r="PXX59" s="169"/>
      <c r="PXY59" s="169"/>
      <c r="PXZ59" s="169"/>
      <c r="PYA59" s="169"/>
      <c r="PYB59" s="169"/>
      <c r="PYC59" s="169"/>
      <c r="PYD59" s="169"/>
      <c r="PYE59" s="169"/>
      <c r="PYF59" s="169"/>
      <c r="PYG59" s="169"/>
      <c r="PYH59" s="169"/>
      <c r="PYI59" s="169"/>
      <c r="PYJ59" s="169"/>
      <c r="PYK59" s="169"/>
      <c r="PYL59" s="169"/>
      <c r="PYM59" s="169"/>
      <c r="PYN59" s="169"/>
      <c r="PYO59" s="169"/>
      <c r="PYP59" s="169"/>
      <c r="PYQ59" s="169"/>
      <c r="PYR59" s="169"/>
      <c r="PYS59" s="169"/>
      <c r="PYT59" s="169"/>
      <c r="PYU59" s="169"/>
      <c r="PYV59" s="169"/>
      <c r="PYW59" s="169"/>
      <c r="PYX59" s="169"/>
      <c r="PYY59" s="169"/>
      <c r="PYZ59" s="169"/>
      <c r="PZA59" s="169"/>
      <c r="PZB59" s="169"/>
      <c r="PZC59" s="169"/>
      <c r="PZD59" s="169"/>
      <c r="PZE59" s="169"/>
      <c r="PZF59" s="169"/>
      <c r="PZG59" s="169"/>
      <c r="PZH59" s="169"/>
      <c r="PZI59" s="169"/>
      <c r="PZJ59" s="169"/>
      <c r="PZK59" s="169"/>
      <c r="PZL59" s="169"/>
      <c r="PZM59" s="169"/>
      <c r="PZN59" s="169"/>
      <c r="PZO59" s="169"/>
      <c r="PZP59" s="169"/>
      <c r="PZQ59" s="169"/>
      <c r="PZR59" s="169"/>
      <c r="PZS59" s="169"/>
      <c r="PZT59" s="169"/>
      <c r="PZU59" s="169"/>
      <c r="PZV59" s="169"/>
      <c r="PZW59" s="169"/>
      <c r="PZX59" s="169"/>
      <c r="PZY59" s="169"/>
      <c r="PZZ59" s="169"/>
      <c r="QAA59" s="169"/>
      <c r="QAB59" s="169"/>
      <c r="QAC59" s="169"/>
      <c r="QAD59" s="169"/>
      <c r="QAE59" s="169"/>
      <c r="QAF59" s="169"/>
      <c r="QAG59" s="169"/>
      <c r="QAH59" s="169"/>
      <c r="QAI59" s="169"/>
      <c r="QAJ59" s="169"/>
      <c r="QAK59" s="169"/>
      <c r="QAL59" s="169"/>
      <c r="QAM59" s="169"/>
      <c r="QAN59" s="169"/>
      <c r="QAO59" s="169"/>
      <c r="QAP59" s="169"/>
      <c r="QAQ59" s="169"/>
      <c r="QAR59" s="169"/>
      <c r="QAS59" s="169"/>
      <c r="QAT59" s="169"/>
      <c r="QAU59" s="169"/>
      <c r="QAV59" s="169"/>
      <c r="QAW59" s="169"/>
      <c r="QAX59" s="169"/>
      <c r="QAY59" s="169"/>
      <c r="QAZ59" s="169"/>
      <c r="QBA59" s="169"/>
      <c r="QBB59" s="169"/>
      <c r="QBC59" s="169"/>
      <c r="QBD59" s="169"/>
      <c r="QBE59" s="169"/>
      <c r="QBF59" s="169"/>
      <c r="QBG59" s="169"/>
      <c r="QBH59" s="169"/>
      <c r="QBI59" s="169"/>
      <c r="QBJ59" s="169"/>
      <c r="QBK59" s="169"/>
      <c r="QBL59" s="169"/>
      <c r="QBM59" s="169"/>
      <c r="QBN59" s="169"/>
      <c r="QBO59" s="169"/>
      <c r="QBP59" s="169"/>
      <c r="QBQ59" s="169"/>
      <c r="QBR59" s="169"/>
      <c r="QBS59" s="169"/>
      <c r="QBT59" s="169"/>
      <c r="QBU59" s="169"/>
      <c r="QBV59" s="169"/>
      <c r="QBW59" s="169"/>
      <c r="QBX59" s="169"/>
      <c r="QBY59" s="169"/>
      <c r="QBZ59" s="169"/>
      <c r="QCA59" s="169"/>
      <c r="QCB59" s="169"/>
      <c r="QCC59" s="169"/>
      <c r="QCD59" s="169"/>
      <c r="QCE59" s="169"/>
      <c r="QCF59" s="169"/>
      <c r="QCG59" s="169"/>
      <c r="QCH59" s="169"/>
      <c r="QCI59" s="169"/>
      <c r="QCJ59" s="169"/>
      <c r="QCK59" s="169"/>
      <c r="QCL59" s="169"/>
      <c r="QCM59" s="169"/>
      <c r="QCN59" s="169"/>
      <c r="QCO59" s="169"/>
      <c r="QCP59" s="169"/>
      <c r="QCQ59" s="169"/>
      <c r="QCR59" s="169"/>
      <c r="QCS59" s="169"/>
      <c r="QCT59" s="169"/>
      <c r="QCU59" s="169"/>
      <c r="QCV59" s="169"/>
      <c r="QCW59" s="169"/>
      <c r="QCX59" s="169"/>
      <c r="QCY59" s="169"/>
      <c r="QCZ59" s="169"/>
      <c r="QDA59" s="169"/>
      <c r="QDB59" s="169"/>
      <c r="QDC59" s="169"/>
      <c r="QDD59" s="169"/>
      <c r="QDE59" s="169"/>
      <c r="QDF59" s="169"/>
      <c r="QDG59" s="169"/>
      <c r="QDH59" s="169"/>
      <c r="QDI59" s="169"/>
      <c r="QDJ59" s="169"/>
      <c r="QDK59" s="169"/>
      <c r="QDL59" s="169"/>
      <c r="QDM59" s="169"/>
      <c r="QDN59" s="169"/>
      <c r="QDO59" s="169"/>
      <c r="QDP59" s="169"/>
      <c r="QDQ59" s="169"/>
      <c r="QDR59" s="169"/>
      <c r="QDS59" s="169"/>
      <c r="QDT59" s="169"/>
      <c r="QDU59" s="169"/>
      <c r="QDV59" s="169"/>
      <c r="QDW59" s="169"/>
      <c r="QDX59" s="169"/>
      <c r="QDY59" s="169"/>
      <c r="QDZ59" s="169"/>
      <c r="QEA59" s="169"/>
      <c r="QEB59" s="169"/>
      <c r="QEC59" s="169"/>
      <c r="QED59" s="169"/>
      <c r="QEE59" s="169"/>
      <c r="QEF59" s="169"/>
      <c r="QEG59" s="169"/>
      <c r="QEH59" s="169"/>
      <c r="QEI59" s="169"/>
      <c r="QEJ59" s="169"/>
      <c r="QEK59" s="169"/>
      <c r="QEL59" s="169"/>
      <c r="QEM59" s="169"/>
      <c r="QEN59" s="169"/>
      <c r="QEO59" s="169"/>
      <c r="QEP59" s="169"/>
      <c r="QEQ59" s="169"/>
      <c r="QER59" s="169"/>
      <c r="QES59" s="169"/>
      <c r="QET59" s="169"/>
      <c r="QEU59" s="169"/>
      <c r="QEV59" s="169"/>
      <c r="QEW59" s="169"/>
      <c r="QEX59" s="169"/>
      <c r="QEY59" s="169"/>
      <c r="QEZ59" s="169"/>
      <c r="QFA59" s="169"/>
      <c r="QFB59" s="169"/>
      <c r="QFC59" s="169"/>
      <c r="QFD59" s="169"/>
      <c r="QFE59" s="169"/>
      <c r="QFF59" s="169"/>
      <c r="QFG59" s="169"/>
      <c r="QFH59" s="169"/>
      <c r="QFI59" s="169"/>
      <c r="QFJ59" s="169"/>
      <c r="QFK59" s="169"/>
      <c r="QFL59" s="169"/>
      <c r="QFM59" s="169"/>
      <c r="QFN59" s="169"/>
      <c r="QFO59" s="169"/>
      <c r="QFP59" s="169"/>
      <c r="QFQ59" s="169"/>
      <c r="QFR59" s="169"/>
      <c r="QFS59" s="169"/>
      <c r="QFT59" s="169"/>
      <c r="QFU59" s="169"/>
      <c r="QFV59" s="169"/>
      <c r="QFW59" s="169"/>
      <c r="QFX59" s="169"/>
      <c r="QFY59" s="169"/>
      <c r="QFZ59" s="169"/>
      <c r="QGA59" s="169"/>
      <c r="QGB59" s="169"/>
      <c r="QGC59" s="169"/>
      <c r="QGD59" s="169"/>
      <c r="QGE59" s="169"/>
      <c r="QGF59" s="169"/>
      <c r="QGG59" s="169"/>
      <c r="QGH59" s="169"/>
      <c r="QGI59" s="169"/>
      <c r="QGJ59" s="169"/>
      <c r="QGK59" s="169"/>
      <c r="QGL59" s="169"/>
      <c r="QGM59" s="169"/>
      <c r="QGN59" s="169"/>
      <c r="QGO59" s="169"/>
      <c r="QGP59" s="169"/>
      <c r="QGQ59" s="169"/>
      <c r="QGR59" s="169"/>
      <c r="QGS59" s="169"/>
      <c r="QGT59" s="169"/>
      <c r="QGU59" s="169"/>
      <c r="QGV59" s="169"/>
      <c r="QGW59" s="169"/>
      <c r="QGX59" s="169"/>
      <c r="QGY59" s="169"/>
      <c r="QGZ59" s="169"/>
      <c r="QHA59" s="169"/>
      <c r="QHB59" s="169"/>
      <c r="QHC59" s="169"/>
      <c r="QHD59" s="169"/>
      <c r="QHE59" s="169"/>
      <c r="QHF59" s="169"/>
      <c r="QHG59" s="169"/>
      <c r="QHH59" s="169"/>
      <c r="QHI59" s="169"/>
      <c r="QHJ59" s="169"/>
      <c r="QHK59" s="169"/>
      <c r="QHL59" s="169"/>
      <c r="QHM59" s="169"/>
      <c r="QHN59" s="169"/>
      <c r="QHO59" s="169"/>
      <c r="QHP59" s="169"/>
      <c r="QHQ59" s="169"/>
      <c r="QHR59" s="169"/>
      <c r="QHS59" s="169"/>
      <c r="QHT59" s="169"/>
      <c r="QHU59" s="169"/>
      <c r="QHV59" s="169"/>
      <c r="QHW59" s="169"/>
      <c r="QHX59" s="169"/>
      <c r="QHY59" s="169"/>
      <c r="QHZ59" s="169"/>
      <c r="QIA59" s="169"/>
      <c r="QIB59" s="169"/>
      <c r="QIC59" s="169"/>
      <c r="QID59" s="169"/>
      <c r="QIE59" s="169"/>
      <c r="QIF59" s="169"/>
      <c r="QIG59" s="169"/>
      <c r="QIH59" s="169"/>
      <c r="QII59" s="169"/>
      <c r="QIJ59" s="169"/>
      <c r="QIK59" s="169"/>
      <c r="QIL59" s="169"/>
      <c r="QIM59" s="169"/>
      <c r="QIN59" s="169"/>
      <c r="QIO59" s="169"/>
      <c r="QIP59" s="169"/>
      <c r="QIQ59" s="169"/>
      <c r="QIR59" s="169"/>
      <c r="QIS59" s="169"/>
      <c r="QIT59" s="169"/>
      <c r="QIU59" s="169"/>
      <c r="QIV59" s="169"/>
      <c r="QIW59" s="169"/>
      <c r="QIX59" s="169"/>
      <c r="QIY59" s="169"/>
      <c r="QIZ59" s="169"/>
      <c r="QJA59" s="169"/>
      <c r="QJB59" s="169"/>
      <c r="QJC59" s="169"/>
      <c r="QJD59" s="169"/>
      <c r="QJE59" s="169"/>
      <c r="QJF59" s="169"/>
      <c r="QJG59" s="169"/>
      <c r="QJH59" s="169"/>
      <c r="QJI59" s="169"/>
      <c r="QJJ59" s="169"/>
      <c r="QJK59" s="169"/>
      <c r="QJL59" s="169"/>
      <c r="QJM59" s="169"/>
      <c r="QJN59" s="169"/>
      <c r="QJO59" s="169"/>
      <c r="QJP59" s="169"/>
      <c r="QJQ59" s="169"/>
      <c r="QJR59" s="169"/>
      <c r="QJS59" s="169"/>
      <c r="QJT59" s="169"/>
      <c r="QJU59" s="169"/>
      <c r="QJV59" s="169"/>
      <c r="QJW59" s="169"/>
      <c r="QJX59" s="169"/>
      <c r="QJY59" s="169"/>
      <c r="QJZ59" s="169"/>
      <c r="QKA59" s="169"/>
      <c r="QKB59" s="169"/>
      <c r="QKC59" s="169"/>
      <c r="QKD59" s="169"/>
      <c r="QKE59" s="169"/>
      <c r="QKF59" s="169"/>
      <c r="QKG59" s="169"/>
      <c r="QKH59" s="169"/>
      <c r="QKI59" s="169"/>
      <c r="QKJ59" s="169"/>
      <c r="QKK59" s="169"/>
      <c r="QKL59" s="169"/>
      <c r="QKM59" s="169"/>
      <c r="QKN59" s="169"/>
      <c r="QKO59" s="169"/>
      <c r="QKP59" s="169"/>
      <c r="QKQ59" s="169"/>
      <c r="QKR59" s="169"/>
      <c r="QKS59" s="169"/>
      <c r="QKT59" s="169"/>
      <c r="QKU59" s="169"/>
      <c r="QKV59" s="169"/>
      <c r="QKW59" s="169"/>
      <c r="QKX59" s="169"/>
      <c r="QKY59" s="169"/>
      <c r="QKZ59" s="169"/>
      <c r="QLA59" s="169"/>
      <c r="QLB59" s="169"/>
      <c r="QLC59" s="169"/>
      <c r="QLD59" s="169"/>
      <c r="QLE59" s="169"/>
      <c r="QLF59" s="169"/>
      <c r="QLG59" s="169"/>
      <c r="QLH59" s="169"/>
      <c r="QLI59" s="169"/>
      <c r="QLJ59" s="169"/>
      <c r="QLK59" s="169"/>
      <c r="QLL59" s="169"/>
      <c r="QLM59" s="169"/>
      <c r="QLN59" s="169"/>
      <c r="QLO59" s="169"/>
      <c r="QLP59" s="169"/>
      <c r="QLQ59" s="169"/>
      <c r="QLR59" s="169"/>
      <c r="QLS59" s="169"/>
      <c r="QLT59" s="169"/>
      <c r="QLU59" s="169"/>
      <c r="QLV59" s="169"/>
      <c r="QLW59" s="169"/>
      <c r="QLX59" s="169"/>
      <c r="QLY59" s="169"/>
      <c r="QLZ59" s="169"/>
      <c r="QMA59" s="169"/>
      <c r="QMB59" s="169"/>
      <c r="QMC59" s="169"/>
      <c r="QMD59" s="169"/>
      <c r="QME59" s="169"/>
      <c r="QMF59" s="169"/>
      <c r="QMG59" s="169"/>
      <c r="QMH59" s="169"/>
      <c r="QMI59" s="169"/>
      <c r="QMJ59" s="169"/>
      <c r="QMK59" s="169"/>
      <c r="QML59" s="169"/>
      <c r="QMM59" s="169"/>
      <c r="QMN59" s="169"/>
      <c r="QMO59" s="169"/>
      <c r="QMP59" s="169"/>
      <c r="QMQ59" s="169"/>
      <c r="QMR59" s="169"/>
      <c r="QMS59" s="169"/>
      <c r="QMT59" s="169"/>
      <c r="QMU59" s="169"/>
      <c r="QMV59" s="169"/>
      <c r="QMW59" s="169"/>
      <c r="QMX59" s="169"/>
      <c r="QMY59" s="169"/>
      <c r="QMZ59" s="169"/>
      <c r="QNA59" s="169"/>
      <c r="QNB59" s="169"/>
      <c r="QNC59" s="169"/>
      <c r="QND59" s="169"/>
      <c r="QNE59" s="169"/>
      <c r="QNF59" s="169"/>
      <c r="QNG59" s="169"/>
      <c r="QNH59" s="169"/>
      <c r="QNI59" s="169"/>
      <c r="QNJ59" s="169"/>
      <c r="QNK59" s="169"/>
      <c r="QNL59" s="169"/>
      <c r="QNM59" s="169"/>
      <c r="QNN59" s="169"/>
      <c r="QNO59" s="169"/>
      <c r="QNP59" s="169"/>
      <c r="QNQ59" s="169"/>
      <c r="QNR59" s="169"/>
      <c r="QNS59" s="169"/>
      <c r="QNT59" s="169"/>
      <c r="QNU59" s="169"/>
      <c r="QNV59" s="169"/>
      <c r="QNW59" s="169"/>
      <c r="QNX59" s="169"/>
      <c r="QNY59" s="169"/>
      <c r="QNZ59" s="169"/>
      <c r="QOA59" s="169"/>
      <c r="QOB59" s="169"/>
      <c r="QOC59" s="169"/>
      <c r="QOD59" s="169"/>
      <c r="QOE59" s="169"/>
      <c r="QOF59" s="169"/>
      <c r="QOG59" s="169"/>
      <c r="QOH59" s="169"/>
      <c r="QOI59" s="169"/>
      <c r="QOJ59" s="169"/>
      <c r="QOK59" s="169"/>
      <c r="QOL59" s="169"/>
      <c r="QOM59" s="169"/>
      <c r="QON59" s="169"/>
      <c r="QOO59" s="169"/>
      <c r="QOP59" s="169"/>
      <c r="QOQ59" s="169"/>
      <c r="QOR59" s="169"/>
      <c r="QOS59" s="169"/>
      <c r="QOT59" s="169"/>
      <c r="QOU59" s="169"/>
      <c r="QOV59" s="169"/>
      <c r="QOW59" s="169"/>
      <c r="QOX59" s="169"/>
      <c r="QOY59" s="169"/>
      <c r="QOZ59" s="169"/>
      <c r="QPA59" s="169"/>
      <c r="QPB59" s="169"/>
      <c r="QPC59" s="169"/>
      <c r="QPD59" s="169"/>
      <c r="QPE59" s="169"/>
      <c r="QPF59" s="169"/>
      <c r="QPG59" s="169"/>
      <c r="QPH59" s="169"/>
      <c r="QPI59" s="169"/>
      <c r="QPJ59" s="169"/>
      <c r="QPK59" s="169"/>
      <c r="QPL59" s="169"/>
      <c r="QPM59" s="169"/>
      <c r="QPN59" s="169"/>
      <c r="QPO59" s="169"/>
      <c r="QPP59" s="169"/>
      <c r="QPQ59" s="169"/>
      <c r="QPR59" s="169"/>
      <c r="QPS59" s="169"/>
      <c r="QPT59" s="169"/>
      <c r="QPU59" s="169"/>
      <c r="QPV59" s="169"/>
      <c r="QPW59" s="169"/>
      <c r="QPX59" s="169"/>
      <c r="QPY59" s="169"/>
      <c r="QPZ59" s="169"/>
      <c r="QQA59" s="169"/>
      <c r="QQB59" s="169"/>
      <c r="QQC59" s="169"/>
      <c r="QQD59" s="169"/>
      <c r="QQE59" s="169"/>
      <c r="QQF59" s="169"/>
      <c r="QQG59" s="169"/>
      <c r="QQH59" s="169"/>
      <c r="QQI59" s="169"/>
      <c r="QQJ59" s="169"/>
      <c r="QQK59" s="169"/>
      <c r="QQL59" s="169"/>
      <c r="QQM59" s="169"/>
      <c r="QQN59" s="169"/>
      <c r="QQO59" s="169"/>
      <c r="QQP59" s="169"/>
      <c r="QQQ59" s="169"/>
      <c r="QQR59" s="169"/>
      <c r="QQS59" s="169"/>
      <c r="QQT59" s="169"/>
      <c r="QQU59" s="169"/>
      <c r="QQV59" s="169"/>
      <c r="QQW59" s="169"/>
      <c r="QQX59" s="169"/>
      <c r="QQY59" s="169"/>
      <c r="QQZ59" s="169"/>
      <c r="QRA59" s="169"/>
      <c r="QRB59" s="169"/>
      <c r="QRC59" s="169"/>
      <c r="QRD59" s="169"/>
      <c r="QRE59" s="169"/>
      <c r="QRF59" s="169"/>
      <c r="QRG59" s="169"/>
      <c r="QRH59" s="169"/>
      <c r="QRI59" s="169"/>
      <c r="QRJ59" s="169"/>
      <c r="QRK59" s="169"/>
      <c r="QRL59" s="169"/>
      <c r="QRM59" s="169"/>
      <c r="QRN59" s="169"/>
      <c r="QRO59" s="169"/>
      <c r="QRP59" s="169"/>
      <c r="QRQ59" s="169"/>
      <c r="QRR59" s="169"/>
      <c r="QRS59" s="169"/>
      <c r="QRT59" s="169"/>
      <c r="QRU59" s="169"/>
      <c r="QRV59" s="169"/>
      <c r="QRW59" s="169"/>
      <c r="QRX59" s="169"/>
      <c r="QRY59" s="169"/>
      <c r="QRZ59" s="169"/>
      <c r="QSA59" s="169"/>
      <c r="QSB59" s="169"/>
      <c r="QSC59" s="169"/>
      <c r="QSD59" s="169"/>
      <c r="QSE59" s="169"/>
      <c r="QSF59" s="169"/>
      <c r="QSG59" s="169"/>
      <c r="QSH59" s="169"/>
      <c r="QSI59" s="169"/>
      <c r="QSJ59" s="169"/>
      <c r="QSK59" s="169"/>
      <c r="QSL59" s="169"/>
      <c r="QSM59" s="169"/>
      <c r="QSN59" s="169"/>
      <c r="QSO59" s="169"/>
      <c r="QSP59" s="169"/>
      <c r="QSQ59" s="169"/>
      <c r="QSR59" s="169"/>
      <c r="QSS59" s="169"/>
      <c r="QST59" s="169"/>
      <c r="QSU59" s="169"/>
      <c r="QSV59" s="169"/>
      <c r="QSW59" s="169"/>
      <c r="QSX59" s="169"/>
      <c r="QSY59" s="169"/>
      <c r="QSZ59" s="169"/>
      <c r="QTA59" s="169"/>
      <c r="QTB59" s="169"/>
      <c r="QTC59" s="169"/>
      <c r="QTD59" s="169"/>
      <c r="QTE59" s="169"/>
      <c r="QTF59" s="169"/>
      <c r="QTG59" s="169"/>
      <c r="QTH59" s="169"/>
      <c r="QTI59" s="169"/>
      <c r="QTJ59" s="169"/>
      <c r="QTK59" s="169"/>
      <c r="QTL59" s="169"/>
      <c r="QTM59" s="169"/>
      <c r="QTN59" s="169"/>
      <c r="QTO59" s="169"/>
      <c r="QTP59" s="169"/>
      <c r="QTQ59" s="169"/>
      <c r="QTR59" s="169"/>
      <c r="QTS59" s="169"/>
      <c r="QTT59" s="169"/>
      <c r="QTU59" s="169"/>
      <c r="QTV59" s="169"/>
      <c r="QTW59" s="169"/>
      <c r="QTX59" s="169"/>
      <c r="QTY59" s="169"/>
      <c r="QTZ59" s="169"/>
      <c r="QUA59" s="169"/>
      <c r="QUB59" s="169"/>
      <c r="QUC59" s="169"/>
      <c r="QUD59" s="169"/>
      <c r="QUE59" s="169"/>
      <c r="QUF59" s="169"/>
      <c r="QUG59" s="169"/>
      <c r="QUH59" s="169"/>
      <c r="QUI59" s="169"/>
      <c r="QUJ59" s="169"/>
      <c r="QUK59" s="169"/>
      <c r="QUL59" s="169"/>
      <c r="QUM59" s="169"/>
      <c r="QUN59" s="169"/>
      <c r="QUO59" s="169"/>
      <c r="QUP59" s="169"/>
      <c r="QUQ59" s="169"/>
      <c r="QUR59" s="169"/>
      <c r="QUS59" s="169"/>
      <c r="QUT59" s="169"/>
      <c r="QUU59" s="169"/>
      <c r="QUV59" s="169"/>
      <c r="QUW59" s="169"/>
      <c r="QUX59" s="169"/>
      <c r="QUY59" s="169"/>
      <c r="QUZ59" s="169"/>
      <c r="QVA59" s="169"/>
      <c r="QVB59" s="169"/>
      <c r="QVC59" s="169"/>
      <c r="QVD59" s="169"/>
      <c r="QVE59" s="169"/>
      <c r="QVF59" s="169"/>
      <c r="QVG59" s="169"/>
      <c r="QVH59" s="169"/>
      <c r="QVI59" s="169"/>
      <c r="QVJ59" s="169"/>
      <c r="QVK59" s="169"/>
      <c r="QVL59" s="169"/>
      <c r="QVM59" s="169"/>
      <c r="QVN59" s="169"/>
      <c r="QVO59" s="169"/>
      <c r="QVP59" s="169"/>
      <c r="QVQ59" s="169"/>
      <c r="QVR59" s="169"/>
      <c r="QVS59" s="169"/>
      <c r="QVT59" s="169"/>
      <c r="QVU59" s="169"/>
      <c r="QVV59" s="169"/>
      <c r="QVW59" s="169"/>
      <c r="QVX59" s="169"/>
      <c r="QVY59" s="169"/>
      <c r="QVZ59" s="169"/>
      <c r="QWA59" s="169"/>
      <c r="QWB59" s="169"/>
      <c r="QWC59" s="169"/>
      <c r="QWD59" s="169"/>
      <c r="QWE59" s="169"/>
      <c r="QWF59" s="169"/>
      <c r="QWG59" s="169"/>
      <c r="QWH59" s="169"/>
      <c r="QWI59" s="169"/>
      <c r="QWJ59" s="169"/>
      <c r="QWK59" s="169"/>
      <c r="QWL59" s="169"/>
      <c r="QWM59" s="169"/>
      <c r="QWN59" s="169"/>
      <c r="QWO59" s="169"/>
      <c r="QWP59" s="169"/>
      <c r="QWQ59" s="169"/>
      <c r="QWR59" s="169"/>
      <c r="QWS59" s="169"/>
      <c r="QWT59" s="169"/>
      <c r="QWU59" s="169"/>
      <c r="QWV59" s="169"/>
      <c r="QWW59" s="169"/>
      <c r="QWX59" s="169"/>
      <c r="QWY59" s="169"/>
      <c r="QWZ59" s="169"/>
      <c r="QXA59" s="169"/>
      <c r="QXB59" s="169"/>
      <c r="QXC59" s="169"/>
      <c r="QXD59" s="169"/>
      <c r="QXE59" s="169"/>
      <c r="QXF59" s="169"/>
      <c r="QXG59" s="169"/>
      <c r="QXH59" s="169"/>
      <c r="QXI59" s="169"/>
      <c r="QXJ59" s="169"/>
      <c r="QXK59" s="169"/>
      <c r="QXL59" s="169"/>
      <c r="QXM59" s="169"/>
      <c r="QXN59" s="169"/>
      <c r="QXO59" s="169"/>
      <c r="QXP59" s="169"/>
      <c r="QXQ59" s="169"/>
      <c r="QXR59" s="169"/>
      <c r="QXS59" s="169"/>
      <c r="QXT59" s="169"/>
      <c r="QXU59" s="169"/>
      <c r="QXV59" s="169"/>
      <c r="QXW59" s="169"/>
      <c r="QXX59" s="169"/>
      <c r="QXY59" s="169"/>
      <c r="QXZ59" s="169"/>
      <c r="QYA59" s="169"/>
      <c r="QYB59" s="169"/>
      <c r="QYC59" s="169"/>
      <c r="QYD59" s="169"/>
      <c r="QYE59" s="169"/>
      <c r="QYF59" s="169"/>
      <c r="QYG59" s="169"/>
      <c r="QYH59" s="169"/>
      <c r="QYI59" s="169"/>
      <c r="QYJ59" s="169"/>
      <c r="QYK59" s="169"/>
      <c r="QYL59" s="169"/>
      <c r="QYM59" s="169"/>
      <c r="QYN59" s="169"/>
      <c r="QYO59" s="169"/>
      <c r="QYP59" s="169"/>
      <c r="QYQ59" s="169"/>
      <c r="QYR59" s="169"/>
      <c r="QYS59" s="169"/>
      <c r="QYT59" s="169"/>
      <c r="QYU59" s="169"/>
      <c r="QYV59" s="169"/>
      <c r="QYW59" s="169"/>
      <c r="QYX59" s="169"/>
      <c r="QYY59" s="169"/>
      <c r="QYZ59" s="169"/>
      <c r="QZA59" s="169"/>
      <c r="QZB59" s="169"/>
      <c r="QZC59" s="169"/>
      <c r="QZD59" s="169"/>
      <c r="QZE59" s="169"/>
      <c r="QZF59" s="169"/>
      <c r="QZG59" s="169"/>
      <c r="QZH59" s="169"/>
      <c r="QZI59" s="169"/>
      <c r="QZJ59" s="169"/>
      <c r="QZK59" s="169"/>
      <c r="QZL59" s="169"/>
      <c r="QZM59" s="169"/>
      <c r="QZN59" s="169"/>
      <c r="QZO59" s="169"/>
      <c r="QZP59" s="169"/>
      <c r="QZQ59" s="169"/>
      <c r="QZR59" s="169"/>
      <c r="QZS59" s="169"/>
      <c r="QZT59" s="169"/>
      <c r="QZU59" s="169"/>
      <c r="QZV59" s="169"/>
      <c r="QZW59" s="169"/>
      <c r="QZX59" s="169"/>
      <c r="QZY59" s="169"/>
      <c r="QZZ59" s="169"/>
      <c r="RAA59" s="169"/>
      <c r="RAB59" s="169"/>
      <c r="RAC59" s="169"/>
      <c r="RAD59" s="169"/>
      <c r="RAE59" s="169"/>
      <c r="RAF59" s="169"/>
      <c r="RAG59" s="169"/>
      <c r="RAH59" s="169"/>
      <c r="RAI59" s="169"/>
      <c r="RAJ59" s="169"/>
      <c r="RAK59" s="169"/>
      <c r="RAL59" s="169"/>
      <c r="RAM59" s="169"/>
      <c r="RAN59" s="169"/>
      <c r="RAO59" s="169"/>
      <c r="RAP59" s="169"/>
      <c r="RAQ59" s="169"/>
      <c r="RAR59" s="169"/>
      <c r="RAS59" s="169"/>
      <c r="RAT59" s="169"/>
      <c r="RAU59" s="169"/>
      <c r="RAV59" s="169"/>
      <c r="RAW59" s="169"/>
      <c r="RAX59" s="169"/>
      <c r="RAY59" s="169"/>
      <c r="RAZ59" s="169"/>
      <c r="RBA59" s="169"/>
      <c r="RBB59" s="169"/>
      <c r="RBC59" s="169"/>
      <c r="RBD59" s="169"/>
      <c r="RBE59" s="169"/>
      <c r="RBF59" s="169"/>
      <c r="RBG59" s="169"/>
      <c r="RBH59" s="169"/>
      <c r="RBI59" s="169"/>
      <c r="RBJ59" s="169"/>
      <c r="RBK59" s="169"/>
      <c r="RBL59" s="169"/>
      <c r="RBM59" s="169"/>
      <c r="RBN59" s="169"/>
      <c r="RBO59" s="169"/>
      <c r="RBP59" s="169"/>
      <c r="RBQ59" s="169"/>
      <c r="RBR59" s="169"/>
      <c r="RBS59" s="169"/>
      <c r="RBT59" s="169"/>
      <c r="RBU59" s="169"/>
      <c r="RBV59" s="169"/>
      <c r="RBW59" s="169"/>
      <c r="RBX59" s="169"/>
      <c r="RBY59" s="169"/>
      <c r="RBZ59" s="169"/>
      <c r="RCA59" s="169"/>
      <c r="RCB59" s="169"/>
      <c r="RCC59" s="169"/>
      <c r="RCD59" s="169"/>
      <c r="RCE59" s="169"/>
      <c r="RCF59" s="169"/>
      <c r="RCG59" s="169"/>
      <c r="RCH59" s="169"/>
      <c r="RCI59" s="169"/>
      <c r="RCJ59" s="169"/>
      <c r="RCK59" s="169"/>
      <c r="RCL59" s="169"/>
      <c r="RCM59" s="169"/>
      <c r="RCN59" s="169"/>
      <c r="RCO59" s="169"/>
      <c r="RCP59" s="169"/>
      <c r="RCQ59" s="169"/>
      <c r="RCR59" s="169"/>
      <c r="RCS59" s="169"/>
      <c r="RCT59" s="169"/>
      <c r="RCU59" s="169"/>
      <c r="RCV59" s="169"/>
      <c r="RCW59" s="169"/>
      <c r="RCX59" s="169"/>
      <c r="RCY59" s="169"/>
      <c r="RCZ59" s="169"/>
      <c r="RDA59" s="169"/>
      <c r="RDB59" s="169"/>
      <c r="RDC59" s="169"/>
      <c r="RDD59" s="169"/>
      <c r="RDE59" s="169"/>
      <c r="RDF59" s="169"/>
      <c r="RDG59" s="169"/>
      <c r="RDH59" s="169"/>
      <c r="RDI59" s="169"/>
      <c r="RDJ59" s="169"/>
      <c r="RDK59" s="169"/>
      <c r="RDL59" s="169"/>
      <c r="RDM59" s="169"/>
      <c r="RDN59" s="169"/>
      <c r="RDO59" s="169"/>
      <c r="RDP59" s="169"/>
      <c r="RDQ59" s="169"/>
      <c r="RDR59" s="169"/>
      <c r="RDS59" s="169"/>
      <c r="RDT59" s="169"/>
      <c r="RDU59" s="169"/>
      <c r="RDV59" s="169"/>
      <c r="RDW59" s="169"/>
      <c r="RDX59" s="169"/>
      <c r="RDY59" s="169"/>
      <c r="RDZ59" s="169"/>
      <c r="REA59" s="169"/>
      <c r="REB59" s="169"/>
      <c r="REC59" s="169"/>
      <c r="RED59" s="169"/>
      <c r="REE59" s="169"/>
      <c r="REF59" s="169"/>
      <c r="REG59" s="169"/>
      <c r="REH59" s="169"/>
      <c r="REI59" s="169"/>
      <c r="REJ59" s="169"/>
      <c r="REK59" s="169"/>
      <c r="REL59" s="169"/>
      <c r="REM59" s="169"/>
      <c r="REN59" s="169"/>
      <c r="REO59" s="169"/>
      <c r="REP59" s="169"/>
      <c r="REQ59" s="169"/>
      <c r="RER59" s="169"/>
      <c r="RES59" s="169"/>
      <c r="RET59" s="169"/>
      <c r="REU59" s="169"/>
      <c r="REV59" s="169"/>
      <c r="REW59" s="169"/>
      <c r="REX59" s="169"/>
      <c r="REY59" s="169"/>
      <c r="REZ59" s="169"/>
      <c r="RFA59" s="169"/>
      <c r="RFB59" s="169"/>
      <c r="RFC59" s="169"/>
      <c r="RFD59" s="169"/>
      <c r="RFE59" s="169"/>
      <c r="RFF59" s="169"/>
      <c r="RFG59" s="169"/>
      <c r="RFH59" s="169"/>
      <c r="RFI59" s="169"/>
      <c r="RFJ59" s="169"/>
      <c r="RFK59" s="169"/>
      <c r="RFL59" s="169"/>
      <c r="RFM59" s="169"/>
      <c r="RFN59" s="169"/>
      <c r="RFO59" s="169"/>
      <c r="RFP59" s="169"/>
      <c r="RFQ59" s="169"/>
      <c r="RFR59" s="169"/>
      <c r="RFS59" s="169"/>
      <c r="RFT59" s="169"/>
      <c r="RFU59" s="169"/>
      <c r="RFV59" s="169"/>
      <c r="RFW59" s="169"/>
      <c r="RFX59" s="169"/>
      <c r="RFY59" s="169"/>
      <c r="RFZ59" s="169"/>
      <c r="RGA59" s="169"/>
      <c r="RGB59" s="169"/>
      <c r="RGC59" s="169"/>
      <c r="RGD59" s="169"/>
      <c r="RGE59" s="169"/>
      <c r="RGF59" s="169"/>
      <c r="RGG59" s="169"/>
      <c r="RGH59" s="169"/>
      <c r="RGI59" s="169"/>
      <c r="RGJ59" s="169"/>
      <c r="RGK59" s="169"/>
      <c r="RGL59" s="169"/>
      <c r="RGM59" s="169"/>
      <c r="RGN59" s="169"/>
      <c r="RGO59" s="169"/>
      <c r="RGP59" s="169"/>
      <c r="RGQ59" s="169"/>
      <c r="RGR59" s="169"/>
      <c r="RGS59" s="169"/>
      <c r="RGT59" s="169"/>
      <c r="RGU59" s="169"/>
      <c r="RGV59" s="169"/>
      <c r="RGW59" s="169"/>
      <c r="RGX59" s="169"/>
      <c r="RGY59" s="169"/>
      <c r="RGZ59" s="169"/>
      <c r="RHA59" s="169"/>
      <c r="RHB59" s="169"/>
      <c r="RHC59" s="169"/>
      <c r="RHD59" s="169"/>
      <c r="RHE59" s="169"/>
      <c r="RHF59" s="169"/>
      <c r="RHG59" s="169"/>
      <c r="RHH59" s="169"/>
      <c r="RHI59" s="169"/>
      <c r="RHJ59" s="169"/>
      <c r="RHK59" s="169"/>
      <c r="RHL59" s="169"/>
      <c r="RHM59" s="169"/>
      <c r="RHN59" s="169"/>
      <c r="RHO59" s="169"/>
      <c r="RHP59" s="169"/>
      <c r="RHQ59" s="169"/>
      <c r="RHR59" s="169"/>
      <c r="RHS59" s="169"/>
      <c r="RHT59" s="169"/>
      <c r="RHU59" s="169"/>
      <c r="RHV59" s="169"/>
      <c r="RHW59" s="169"/>
      <c r="RHX59" s="169"/>
      <c r="RHY59" s="169"/>
      <c r="RHZ59" s="169"/>
      <c r="RIA59" s="169"/>
      <c r="RIB59" s="169"/>
      <c r="RIC59" s="169"/>
      <c r="RID59" s="169"/>
      <c r="RIE59" s="169"/>
      <c r="RIF59" s="169"/>
      <c r="RIG59" s="169"/>
      <c r="RIH59" s="169"/>
      <c r="RII59" s="169"/>
      <c r="RIJ59" s="169"/>
      <c r="RIK59" s="169"/>
      <c r="RIL59" s="169"/>
      <c r="RIM59" s="169"/>
      <c r="RIN59" s="169"/>
      <c r="RIO59" s="169"/>
      <c r="RIP59" s="169"/>
      <c r="RIQ59" s="169"/>
      <c r="RIR59" s="169"/>
      <c r="RIS59" s="169"/>
      <c r="RIT59" s="169"/>
      <c r="RIU59" s="169"/>
      <c r="RIV59" s="169"/>
      <c r="RIW59" s="169"/>
      <c r="RIX59" s="169"/>
      <c r="RIY59" s="169"/>
      <c r="RIZ59" s="169"/>
      <c r="RJA59" s="169"/>
      <c r="RJB59" s="169"/>
      <c r="RJC59" s="169"/>
      <c r="RJD59" s="169"/>
      <c r="RJE59" s="169"/>
      <c r="RJF59" s="169"/>
      <c r="RJG59" s="169"/>
      <c r="RJH59" s="169"/>
      <c r="RJI59" s="169"/>
      <c r="RJJ59" s="169"/>
      <c r="RJK59" s="169"/>
      <c r="RJL59" s="169"/>
      <c r="RJM59" s="169"/>
      <c r="RJN59" s="169"/>
      <c r="RJO59" s="169"/>
      <c r="RJP59" s="169"/>
      <c r="RJQ59" s="169"/>
      <c r="RJR59" s="169"/>
      <c r="RJS59" s="169"/>
      <c r="RJT59" s="169"/>
      <c r="RJU59" s="169"/>
      <c r="RJV59" s="169"/>
      <c r="RJW59" s="169"/>
      <c r="RJX59" s="169"/>
      <c r="RJY59" s="169"/>
      <c r="RJZ59" s="169"/>
      <c r="RKA59" s="169"/>
      <c r="RKB59" s="169"/>
      <c r="RKC59" s="169"/>
      <c r="RKD59" s="169"/>
      <c r="RKE59" s="169"/>
      <c r="RKF59" s="169"/>
      <c r="RKG59" s="169"/>
      <c r="RKH59" s="169"/>
      <c r="RKI59" s="169"/>
      <c r="RKJ59" s="169"/>
      <c r="RKK59" s="169"/>
      <c r="RKL59" s="169"/>
      <c r="RKM59" s="169"/>
      <c r="RKN59" s="169"/>
      <c r="RKO59" s="169"/>
      <c r="RKP59" s="169"/>
      <c r="RKQ59" s="169"/>
      <c r="RKR59" s="169"/>
      <c r="RKS59" s="169"/>
      <c r="RKT59" s="169"/>
      <c r="RKU59" s="169"/>
      <c r="RKV59" s="169"/>
      <c r="RKW59" s="169"/>
      <c r="RKX59" s="169"/>
      <c r="RKY59" s="169"/>
      <c r="RKZ59" s="169"/>
      <c r="RLA59" s="169"/>
      <c r="RLB59" s="169"/>
      <c r="RLC59" s="169"/>
      <c r="RLD59" s="169"/>
      <c r="RLE59" s="169"/>
      <c r="RLF59" s="169"/>
      <c r="RLG59" s="169"/>
      <c r="RLH59" s="169"/>
      <c r="RLI59" s="169"/>
      <c r="RLJ59" s="169"/>
      <c r="RLK59" s="169"/>
      <c r="RLL59" s="169"/>
      <c r="RLM59" s="169"/>
      <c r="RLN59" s="169"/>
      <c r="RLO59" s="169"/>
      <c r="RLP59" s="169"/>
      <c r="RLQ59" s="169"/>
      <c r="RLR59" s="169"/>
      <c r="RLS59" s="169"/>
      <c r="RLT59" s="169"/>
      <c r="RLU59" s="169"/>
      <c r="RLV59" s="169"/>
      <c r="RLW59" s="169"/>
      <c r="RLX59" s="169"/>
      <c r="RLY59" s="169"/>
      <c r="RLZ59" s="169"/>
      <c r="RMA59" s="169"/>
      <c r="RMB59" s="169"/>
      <c r="RMC59" s="169"/>
      <c r="RMD59" s="169"/>
      <c r="RME59" s="169"/>
      <c r="RMF59" s="169"/>
      <c r="RMG59" s="169"/>
      <c r="RMH59" s="169"/>
      <c r="RMI59" s="169"/>
      <c r="RMJ59" s="169"/>
      <c r="RMK59" s="169"/>
      <c r="RML59" s="169"/>
      <c r="RMM59" s="169"/>
      <c r="RMN59" s="169"/>
      <c r="RMO59" s="169"/>
      <c r="RMP59" s="169"/>
      <c r="RMQ59" s="169"/>
      <c r="RMR59" s="169"/>
      <c r="RMS59" s="169"/>
      <c r="RMT59" s="169"/>
      <c r="RMU59" s="169"/>
      <c r="RMV59" s="169"/>
      <c r="RMW59" s="169"/>
      <c r="RMX59" s="169"/>
      <c r="RMY59" s="169"/>
      <c r="RMZ59" s="169"/>
      <c r="RNA59" s="169"/>
      <c r="RNB59" s="169"/>
      <c r="RNC59" s="169"/>
      <c r="RND59" s="169"/>
      <c r="RNE59" s="169"/>
      <c r="RNF59" s="169"/>
      <c r="RNG59" s="169"/>
      <c r="RNH59" s="169"/>
      <c r="RNI59" s="169"/>
      <c r="RNJ59" s="169"/>
      <c r="RNK59" s="169"/>
      <c r="RNL59" s="169"/>
      <c r="RNM59" s="169"/>
      <c r="RNN59" s="169"/>
      <c r="RNO59" s="169"/>
      <c r="RNP59" s="169"/>
      <c r="RNQ59" s="169"/>
      <c r="RNR59" s="169"/>
      <c r="RNS59" s="169"/>
      <c r="RNT59" s="169"/>
      <c r="RNU59" s="169"/>
      <c r="RNV59" s="169"/>
      <c r="RNW59" s="169"/>
      <c r="RNX59" s="169"/>
      <c r="RNY59" s="169"/>
      <c r="RNZ59" s="169"/>
      <c r="ROA59" s="169"/>
      <c r="ROB59" s="169"/>
      <c r="ROC59" s="169"/>
      <c r="ROD59" s="169"/>
      <c r="ROE59" s="169"/>
      <c r="ROF59" s="169"/>
      <c r="ROG59" s="169"/>
      <c r="ROH59" s="169"/>
      <c r="ROI59" s="169"/>
      <c r="ROJ59" s="169"/>
      <c r="ROK59" s="169"/>
      <c r="ROL59" s="169"/>
      <c r="ROM59" s="169"/>
      <c r="RON59" s="169"/>
      <c r="ROO59" s="169"/>
      <c r="ROP59" s="169"/>
      <c r="ROQ59" s="169"/>
      <c r="ROR59" s="169"/>
      <c r="ROS59" s="169"/>
      <c r="ROT59" s="169"/>
      <c r="ROU59" s="169"/>
      <c r="ROV59" s="169"/>
      <c r="ROW59" s="169"/>
      <c r="ROX59" s="169"/>
      <c r="ROY59" s="169"/>
      <c r="ROZ59" s="169"/>
      <c r="RPA59" s="169"/>
      <c r="RPB59" s="169"/>
      <c r="RPC59" s="169"/>
      <c r="RPD59" s="169"/>
      <c r="RPE59" s="169"/>
      <c r="RPF59" s="169"/>
      <c r="RPG59" s="169"/>
      <c r="RPH59" s="169"/>
      <c r="RPI59" s="169"/>
      <c r="RPJ59" s="169"/>
      <c r="RPK59" s="169"/>
      <c r="RPL59" s="169"/>
      <c r="RPM59" s="169"/>
      <c r="RPN59" s="169"/>
      <c r="RPO59" s="169"/>
      <c r="RPP59" s="169"/>
      <c r="RPQ59" s="169"/>
      <c r="RPR59" s="169"/>
      <c r="RPS59" s="169"/>
      <c r="RPT59" s="169"/>
      <c r="RPU59" s="169"/>
      <c r="RPV59" s="169"/>
      <c r="RPW59" s="169"/>
      <c r="RPX59" s="169"/>
      <c r="RPY59" s="169"/>
      <c r="RPZ59" s="169"/>
      <c r="RQA59" s="169"/>
      <c r="RQB59" s="169"/>
      <c r="RQC59" s="169"/>
      <c r="RQD59" s="169"/>
      <c r="RQE59" s="169"/>
      <c r="RQF59" s="169"/>
      <c r="RQG59" s="169"/>
      <c r="RQH59" s="169"/>
      <c r="RQI59" s="169"/>
      <c r="RQJ59" s="169"/>
      <c r="RQK59" s="169"/>
      <c r="RQL59" s="169"/>
      <c r="RQM59" s="169"/>
      <c r="RQN59" s="169"/>
      <c r="RQO59" s="169"/>
      <c r="RQP59" s="169"/>
      <c r="RQQ59" s="169"/>
      <c r="RQR59" s="169"/>
      <c r="RQS59" s="169"/>
      <c r="RQT59" s="169"/>
      <c r="RQU59" s="169"/>
      <c r="RQV59" s="169"/>
      <c r="RQW59" s="169"/>
      <c r="RQX59" s="169"/>
      <c r="RQY59" s="169"/>
      <c r="RQZ59" s="169"/>
      <c r="RRA59" s="169"/>
      <c r="RRB59" s="169"/>
      <c r="RRC59" s="169"/>
      <c r="RRD59" s="169"/>
      <c r="RRE59" s="169"/>
      <c r="RRF59" s="169"/>
      <c r="RRG59" s="169"/>
      <c r="RRH59" s="169"/>
      <c r="RRI59" s="169"/>
      <c r="RRJ59" s="169"/>
      <c r="RRK59" s="169"/>
      <c r="RRL59" s="169"/>
      <c r="RRM59" s="169"/>
      <c r="RRN59" s="169"/>
      <c r="RRO59" s="169"/>
      <c r="RRP59" s="169"/>
      <c r="RRQ59" s="169"/>
      <c r="RRR59" s="169"/>
      <c r="RRS59" s="169"/>
      <c r="RRT59" s="169"/>
      <c r="RRU59" s="169"/>
      <c r="RRV59" s="169"/>
      <c r="RRW59" s="169"/>
      <c r="RRX59" s="169"/>
      <c r="RRY59" s="169"/>
      <c r="RRZ59" s="169"/>
      <c r="RSA59" s="169"/>
      <c r="RSB59" s="169"/>
      <c r="RSC59" s="169"/>
      <c r="RSD59" s="169"/>
      <c r="RSE59" s="169"/>
      <c r="RSF59" s="169"/>
      <c r="RSG59" s="169"/>
      <c r="RSH59" s="169"/>
      <c r="RSI59" s="169"/>
      <c r="RSJ59" s="169"/>
      <c r="RSK59" s="169"/>
      <c r="RSL59" s="169"/>
      <c r="RSM59" s="169"/>
      <c r="RSN59" s="169"/>
      <c r="RSO59" s="169"/>
      <c r="RSP59" s="169"/>
      <c r="RSQ59" s="169"/>
      <c r="RSR59" s="169"/>
      <c r="RSS59" s="169"/>
      <c r="RST59" s="169"/>
      <c r="RSU59" s="169"/>
      <c r="RSV59" s="169"/>
      <c r="RSW59" s="169"/>
      <c r="RSX59" s="169"/>
      <c r="RSY59" s="169"/>
      <c r="RSZ59" s="169"/>
      <c r="RTA59" s="169"/>
      <c r="RTB59" s="169"/>
      <c r="RTC59" s="169"/>
      <c r="RTD59" s="169"/>
      <c r="RTE59" s="169"/>
      <c r="RTF59" s="169"/>
      <c r="RTG59" s="169"/>
      <c r="RTH59" s="169"/>
      <c r="RTI59" s="169"/>
      <c r="RTJ59" s="169"/>
      <c r="RTK59" s="169"/>
      <c r="RTL59" s="169"/>
      <c r="RTM59" s="169"/>
      <c r="RTN59" s="169"/>
      <c r="RTO59" s="169"/>
      <c r="RTP59" s="169"/>
      <c r="RTQ59" s="169"/>
      <c r="RTR59" s="169"/>
      <c r="RTS59" s="169"/>
      <c r="RTT59" s="169"/>
      <c r="RTU59" s="169"/>
      <c r="RTV59" s="169"/>
      <c r="RTW59" s="169"/>
      <c r="RTX59" s="169"/>
      <c r="RTY59" s="169"/>
      <c r="RTZ59" s="169"/>
      <c r="RUA59" s="169"/>
      <c r="RUB59" s="169"/>
      <c r="RUC59" s="169"/>
      <c r="RUD59" s="169"/>
      <c r="RUE59" s="169"/>
      <c r="RUF59" s="169"/>
      <c r="RUG59" s="169"/>
      <c r="RUH59" s="169"/>
      <c r="RUI59" s="169"/>
      <c r="RUJ59" s="169"/>
      <c r="RUK59" s="169"/>
      <c r="RUL59" s="169"/>
      <c r="RUM59" s="169"/>
      <c r="RUN59" s="169"/>
      <c r="RUO59" s="169"/>
      <c r="RUP59" s="169"/>
      <c r="RUQ59" s="169"/>
      <c r="RUR59" s="169"/>
      <c r="RUS59" s="169"/>
      <c r="RUT59" s="169"/>
      <c r="RUU59" s="169"/>
      <c r="RUV59" s="169"/>
      <c r="RUW59" s="169"/>
      <c r="RUX59" s="169"/>
      <c r="RUY59" s="169"/>
      <c r="RUZ59" s="169"/>
      <c r="RVA59" s="169"/>
      <c r="RVB59" s="169"/>
      <c r="RVC59" s="169"/>
      <c r="RVD59" s="169"/>
      <c r="RVE59" s="169"/>
      <c r="RVF59" s="169"/>
      <c r="RVG59" s="169"/>
      <c r="RVH59" s="169"/>
      <c r="RVI59" s="169"/>
      <c r="RVJ59" s="169"/>
      <c r="RVK59" s="169"/>
      <c r="RVL59" s="169"/>
      <c r="RVM59" s="169"/>
      <c r="RVN59" s="169"/>
      <c r="RVO59" s="169"/>
      <c r="RVP59" s="169"/>
      <c r="RVQ59" s="169"/>
      <c r="RVR59" s="169"/>
      <c r="RVS59" s="169"/>
      <c r="RVT59" s="169"/>
      <c r="RVU59" s="169"/>
      <c r="RVV59" s="169"/>
      <c r="RVW59" s="169"/>
      <c r="RVX59" s="169"/>
      <c r="RVY59" s="169"/>
      <c r="RVZ59" s="169"/>
      <c r="RWA59" s="169"/>
      <c r="RWB59" s="169"/>
      <c r="RWC59" s="169"/>
      <c r="RWD59" s="169"/>
      <c r="RWE59" s="169"/>
      <c r="RWF59" s="169"/>
      <c r="RWG59" s="169"/>
      <c r="RWH59" s="169"/>
      <c r="RWI59" s="169"/>
      <c r="RWJ59" s="169"/>
      <c r="RWK59" s="169"/>
      <c r="RWL59" s="169"/>
      <c r="RWM59" s="169"/>
      <c r="RWN59" s="169"/>
      <c r="RWO59" s="169"/>
      <c r="RWP59" s="169"/>
      <c r="RWQ59" s="169"/>
      <c r="RWR59" s="169"/>
      <c r="RWS59" s="169"/>
      <c r="RWT59" s="169"/>
      <c r="RWU59" s="169"/>
      <c r="RWV59" s="169"/>
      <c r="RWW59" s="169"/>
      <c r="RWX59" s="169"/>
      <c r="RWY59" s="169"/>
      <c r="RWZ59" s="169"/>
      <c r="RXA59" s="169"/>
      <c r="RXB59" s="169"/>
      <c r="RXC59" s="169"/>
      <c r="RXD59" s="169"/>
      <c r="RXE59" s="169"/>
      <c r="RXF59" s="169"/>
      <c r="RXG59" s="169"/>
      <c r="RXH59" s="169"/>
      <c r="RXI59" s="169"/>
      <c r="RXJ59" s="169"/>
      <c r="RXK59" s="169"/>
      <c r="RXL59" s="169"/>
      <c r="RXM59" s="169"/>
      <c r="RXN59" s="169"/>
      <c r="RXO59" s="169"/>
      <c r="RXP59" s="169"/>
      <c r="RXQ59" s="169"/>
      <c r="RXR59" s="169"/>
      <c r="RXS59" s="169"/>
      <c r="RXT59" s="169"/>
      <c r="RXU59" s="169"/>
      <c r="RXV59" s="169"/>
      <c r="RXW59" s="169"/>
      <c r="RXX59" s="169"/>
      <c r="RXY59" s="169"/>
      <c r="RXZ59" s="169"/>
      <c r="RYA59" s="169"/>
      <c r="RYB59" s="169"/>
      <c r="RYC59" s="169"/>
      <c r="RYD59" s="169"/>
      <c r="RYE59" s="169"/>
      <c r="RYF59" s="169"/>
      <c r="RYG59" s="169"/>
      <c r="RYH59" s="169"/>
      <c r="RYI59" s="169"/>
      <c r="RYJ59" s="169"/>
      <c r="RYK59" s="169"/>
      <c r="RYL59" s="169"/>
      <c r="RYM59" s="169"/>
      <c r="RYN59" s="169"/>
      <c r="RYO59" s="169"/>
      <c r="RYP59" s="169"/>
      <c r="RYQ59" s="169"/>
      <c r="RYR59" s="169"/>
      <c r="RYS59" s="169"/>
      <c r="RYT59" s="169"/>
      <c r="RYU59" s="169"/>
      <c r="RYV59" s="169"/>
      <c r="RYW59" s="169"/>
      <c r="RYX59" s="169"/>
      <c r="RYY59" s="169"/>
      <c r="RYZ59" s="169"/>
      <c r="RZA59" s="169"/>
      <c r="RZB59" s="169"/>
      <c r="RZC59" s="169"/>
      <c r="RZD59" s="169"/>
      <c r="RZE59" s="169"/>
      <c r="RZF59" s="169"/>
      <c r="RZG59" s="169"/>
      <c r="RZH59" s="169"/>
      <c r="RZI59" s="169"/>
      <c r="RZJ59" s="169"/>
      <c r="RZK59" s="169"/>
      <c r="RZL59" s="169"/>
      <c r="RZM59" s="169"/>
      <c r="RZN59" s="169"/>
      <c r="RZO59" s="169"/>
      <c r="RZP59" s="169"/>
      <c r="RZQ59" s="169"/>
      <c r="RZR59" s="169"/>
      <c r="RZS59" s="169"/>
      <c r="RZT59" s="169"/>
      <c r="RZU59" s="169"/>
      <c r="RZV59" s="169"/>
      <c r="RZW59" s="169"/>
      <c r="RZX59" s="169"/>
      <c r="RZY59" s="169"/>
      <c r="RZZ59" s="169"/>
      <c r="SAA59" s="169"/>
      <c r="SAB59" s="169"/>
      <c r="SAC59" s="169"/>
      <c r="SAD59" s="169"/>
      <c r="SAE59" s="169"/>
      <c r="SAF59" s="169"/>
      <c r="SAG59" s="169"/>
      <c r="SAH59" s="169"/>
      <c r="SAI59" s="169"/>
      <c r="SAJ59" s="169"/>
      <c r="SAK59" s="169"/>
      <c r="SAL59" s="169"/>
      <c r="SAM59" s="169"/>
      <c r="SAN59" s="169"/>
      <c r="SAO59" s="169"/>
      <c r="SAP59" s="169"/>
      <c r="SAQ59" s="169"/>
      <c r="SAR59" s="169"/>
      <c r="SAS59" s="169"/>
      <c r="SAT59" s="169"/>
      <c r="SAU59" s="169"/>
      <c r="SAV59" s="169"/>
      <c r="SAW59" s="169"/>
      <c r="SAX59" s="169"/>
      <c r="SAY59" s="169"/>
      <c r="SAZ59" s="169"/>
      <c r="SBA59" s="169"/>
      <c r="SBB59" s="169"/>
      <c r="SBC59" s="169"/>
      <c r="SBD59" s="169"/>
      <c r="SBE59" s="169"/>
      <c r="SBF59" s="169"/>
      <c r="SBG59" s="169"/>
      <c r="SBH59" s="169"/>
      <c r="SBI59" s="169"/>
      <c r="SBJ59" s="169"/>
      <c r="SBK59" s="169"/>
      <c r="SBL59" s="169"/>
      <c r="SBM59" s="169"/>
      <c r="SBN59" s="169"/>
      <c r="SBO59" s="169"/>
      <c r="SBP59" s="169"/>
      <c r="SBQ59" s="169"/>
      <c r="SBR59" s="169"/>
      <c r="SBS59" s="169"/>
      <c r="SBT59" s="169"/>
      <c r="SBU59" s="169"/>
      <c r="SBV59" s="169"/>
      <c r="SBW59" s="169"/>
      <c r="SBX59" s="169"/>
      <c r="SBY59" s="169"/>
      <c r="SBZ59" s="169"/>
      <c r="SCA59" s="169"/>
      <c r="SCB59" s="169"/>
      <c r="SCC59" s="169"/>
      <c r="SCD59" s="169"/>
      <c r="SCE59" s="169"/>
      <c r="SCF59" s="169"/>
      <c r="SCG59" s="169"/>
      <c r="SCH59" s="169"/>
      <c r="SCI59" s="169"/>
      <c r="SCJ59" s="169"/>
      <c r="SCK59" s="169"/>
      <c r="SCL59" s="169"/>
      <c r="SCM59" s="169"/>
      <c r="SCN59" s="169"/>
      <c r="SCO59" s="169"/>
      <c r="SCP59" s="169"/>
      <c r="SCQ59" s="169"/>
      <c r="SCR59" s="169"/>
      <c r="SCS59" s="169"/>
      <c r="SCT59" s="169"/>
      <c r="SCU59" s="169"/>
      <c r="SCV59" s="169"/>
      <c r="SCW59" s="169"/>
      <c r="SCX59" s="169"/>
      <c r="SCY59" s="169"/>
      <c r="SCZ59" s="169"/>
      <c r="SDA59" s="169"/>
      <c r="SDB59" s="169"/>
      <c r="SDC59" s="169"/>
      <c r="SDD59" s="169"/>
      <c r="SDE59" s="169"/>
      <c r="SDF59" s="169"/>
      <c r="SDG59" s="169"/>
      <c r="SDH59" s="169"/>
      <c r="SDI59" s="169"/>
      <c r="SDJ59" s="169"/>
      <c r="SDK59" s="169"/>
      <c r="SDL59" s="169"/>
      <c r="SDM59" s="169"/>
      <c r="SDN59" s="169"/>
      <c r="SDO59" s="169"/>
      <c r="SDP59" s="169"/>
      <c r="SDQ59" s="169"/>
      <c r="SDR59" s="169"/>
      <c r="SDS59" s="169"/>
      <c r="SDT59" s="169"/>
      <c r="SDU59" s="169"/>
      <c r="SDV59" s="169"/>
      <c r="SDW59" s="169"/>
      <c r="SDX59" s="169"/>
      <c r="SDY59" s="169"/>
      <c r="SDZ59" s="169"/>
      <c r="SEA59" s="169"/>
      <c r="SEB59" s="169"/>
      <c r="SEC59" s="169"/>
      <c r="SED59" s="169"/>
      <c r="SEE59" s="169"/>
      <c r="SEF59" s="169"/>
      <c r="SEG59" s="169"/>
      <c r="SEH59" s="169"/>
      <c r="SEI59" s="169"/>
      <c r="SEJ59" s="169"/>
      <c r="SEK59" s="169"/>
      <c r="SEL59" s="169"/>
      <c r="SEM59" s="169"/>
      <c r="SEN59" s="169"/>
      <c r="SEO59" s="169"/>
      <c r="SEP59" s="169"/>
      <c r="SEQ59" s="169"/>
      <c r="SER59" s="169"/>
      <c r="SES59" s="169"/>
      <c r="SET59" s="169"/>
      <c r="SEU59" s="169"/>
      <c r="SEV59" s="169"/>
      <c r="SEW59" s="169"/>
      <c r="SEX59" s="169"/>
      <c r="SEY59" s="169"/>
      <c r="SEZ59" s="169"/>
      <c r="SFA59" s="169"/>
      <c r="SFB59" s="169"/>
      <c r="SFC59" s="169"/>
      <c r="SFD59" s="169"/>
      <c r="SFE59" s="169"/>
      <c r="SFF59" s="169"/>
      <c r="SFG59" s="169"/>
      <c r="SFH59" s="169"/>
      <c r="SFI59" s="169"/>
      <c r="SFJ59" s="169"/>
      <c r="SFK59" s="169"/>
      <c r="SFL59" s="169"/>
      <c r="SFM59" s="169"/>
      <c r="SFN59" s="169"/>
      <c r="SFO59" s="169"/>
      <c r="SFP59" s="169"/>
      <c r="SFQ59" s="169"/>
      <c r="SFR59" s="169"/>
      <c r="SFS59" s="169"/>
      <c r="SFT59" s="169"/>
      <c r="SFU59" s="169"/>
      <c r="SFV59" s="169"/>
      <c r="SFW59" s="169"/>
      <c r="SFX59" s="169"/>
      <c r="SFY59" s="169"/>
      <c r="SFZ59" s="169"/>
      <c r="SGA59" s="169"/>
      <c r="SGB59" s="169"/>
      <c r="SGC59" s="169"/>
      <c r="SGD59" s="169"/>
      <c r="SGE59" s="169"/>
      <c r="SGF59" s="169"/>
      <c r="SGG59" s="169"/>
      <c r="SGH59" s="169"/>
      <c r="SGI59" s="169"/>
      <c r="SGJ59" s="169"/>
      <c r="SGK59" s="169"/>
      <c r="SGL59" s="169"/>
      <c r="SGM59" s="169"/>
      <c r="SGN59" s="169"/>
      <c r="SGO59" s="169"/>
      <c r="SGP59" s="169"/>
      <c r="SGQ59" s="169"/>
      <c r="SGR59" s="169"/>
      <c r="SGS59" s="169"/>
      <c r="SGT59" s="169"/>
      <c r="SGU59" s="169"/>
      <c r="SGV59" s="169"/>
      <c r="SGW59" s="169"/>
      <c r="SGX59" s="169"/>
      <c r="SGY59" s="169"/>
      <c r="SGZ59" s="169"/>
      <c r="SHA59" s="169"/>
      <c r="SHB59" s="169"/>
      <c r="SHC59" s="169"/>
      <c r="SHD59" s="169"/>
      <c r="SHE59" s="169"/>
      <c r="SHF59" s="169"/>
      <c r="SHG59" s="169"/>
      <c r="SHH59" s="169"/>
      <c r="SHI59" s="169"/>
      <c r="SHJ59" s="169"/>
      <c r="SHK59" s="169"/>
      <c r="SHL59" s="169"/>
      <c r="SHM59" s="169"/>
      <c r="SHN59" s="169"/>
      <c r="SHO59" s="169"/>
      <c r="SHP59" s="169"/>
      <c r="SHQ59" s="169"/>
      <c r="SHR59" s="169"/>
      <c r="SHS59" s="169"/>
      <c r="SHT59" s="169"/>
      <c r="SHU59" s="169"/>
      <c r="SHV59" s="169"/>
      <c r="SHW59" s="169"/>
      <c r="SHX59" s="169"/>
      <c r="SHY59" s="169"/>
      <c r="SHZ59" s="169"/>
      <c r="SIA59" s="169"/>
      <c r="SIB59" s="169"/>
      <c r="SIC59" s="169"/>
      <c r="SID59" s="169"/>
      <c r="SIE59" s="169"/>
      <c r="SIF59" s="169"/>
      <c r="SIG59" s="169"/>
      <c r="SIH59" s="169"/>
      <c r="SII59" s="169"/>
      <c r="SIJ59" s="169"/>
      <c r="SIK59" s="169"/>
      <c r="SIL59" s="169"/>
      <c r="SIM59" s="169"/>
      <c r="SIN59" s="169"/>
      <c r="SIO59" s="169"/>
      <c r="SIP59" s="169"/>
      <c r="SIQ59" s="169"/>
      <c r="SIR59" s="169"/>
      <c r="SIS59" s="169"/>
      <c r="SIT59" s="169"/>
      <c r="SIU59" s="169"/>
      <c r="SIV59" s="169"/>
      <c r="SIW59" s="169"/>
      <c r="SIX59" s="169"/>
      <c r="SIY59" s="169"/>
      <c r="SIZ59" s="169"/>
      <c r="SJA59" s="169"/>
      <c r="SJB59" s="169"/>
      <c r="SJC59" s="169"/>
      <c r="SJD59" s="169"/>
      <c r="SJE59" s="169"/>
      <c r="SJF59" s="169"/>
      <c r="SJG59" s="169"/>
      <c r="SJH59" s="169"/>
      <c r="SJI59" s="169"/>
      <c r="SJJ59" s="169"/>
      <c r="SJK59" s="169"/>
      <c r="SJL59" s="169"/>
      <c r="SJM59" s="169"/>
      <c r="SJN59" s="169"/>
      <c r="SJO59" s="169"/>
      <c r="SJP59" s="169"/>
      <c r="SJQ59" s="169"/>
      <c r="SJR59" s="169"/>
      <c r="SJS59" s="169"/>
      <c r="SJT59" s="169"/>
      <c r="SJU59" s="169"/>
      <c r="SJV59" s="169"/>
      <c r="SJW59" s="169"/>
      <c r="SJX59" s="169"/>
      <c r="SJY59" s="169"/>
      <c r="SJZ59" s="169"/>
      <c r="SKA59" s="169"/>
      <c r="SKB59" s="169"/>
      <c r="SKC59" s="169"/>
      <c r="SKD59" s="169"/>
      <c r="SKE59" s="169"/>
      <c r="SKF59" s="169"/>
      <c r="SKG59" s="169"/>
      <c r="SKH59" s="169"/>
      <c r="SKI59" s="169"/>
      <c r="SKJ59" s="169"/>
      <c r="SKK59" s="169"/>
      <c r="SKL59" s="169"/>
      <c r="SKM59" s="169"/>
      <c r="SKN59" s="169"/>
      <c r="SKO59" s="169"/>
      <c r="SKP59" s="169"/>
      <c r="SKQ59" s="169"/>
      <c r="SKR59" s="169"/>
      <c r="SKS59" s="169"/>
      <c r="SKT59" s="169"/>
      <c r="SKU59" s="169"/>
      <c r="SKV59" s="169"/>
      <c r="SKW59" s="169"/>
      <c r="SKX59" s="169"/>
      <c r="SKY59" s="169"/>
      <c r="SKZ59" s="169"/>
      <c r="SLA59" s="169"/>
      <c r="SLB59" s="169"/>
      <c r="SLC59" s="169"/>
      <c r="SLD59" s="169"/>
      <c r="SLE59" s="169"/>
      <c r="SLF59" s="169"/>
      <c r="SLG59" s="169"/>
      <c r="SLH59" s="169"/>
      <c r="SLI59" s="169"/>
      <c r="SLJ59" s="169"/>
      <c r="SLK59" s="169"/>
      <c r="SLL59" s="169"/>
      <c r="SLM59" s="169"/>
      <c r="SLN59" s="169"/>
      <c r="SLO59" s="169"/>
      <c r="SLP59" s="169"/>
      <c r="SLQ59" s="169"/>
      <c r="SLR59" s="169"/>
      <c r="SLS59" s="169"/>
      <c r="SLT59" s="169"/>
      <c r="SLU59" s="169"/>
      <c r="SLV59" s="169"/>
      <c r="SLW59" s="169"/>
      <c r="SLX59" s="169"/>
      <c r="SLY59" s="169"/>
      <c r="SLZ59" s="169"/>
      <c r="SMA59" s="169"/>
      <c r="SMB59" s="169"/>
      <c r="SMC59" s="169"/>
      <c r="SMD59" s="169"/>
      <c r="SME59" s="169"/>
      <c r="SMF59" s="169"/>
      <c r="SMG59" s="169"/>
      <c r="SMH59" s="169"/>
      <c r="SMI59" s="169"/>
      <c r="SMJ59" s="169"/>
      <c r="SMK59" s="169"/>
      <c r="SML59" s="169"/>
      <c r="SMM59" s="169"/>
      <c r="SMN59" s="169"/>
      <c r="SMO59" s="169"/>
      <c r="SMP59" s="169"/>
      <c r="SMQ59" s="169"/>
      <c r="SMR59" s="169"/>
      <c r="SMS59" s="169"/>
      <c r="SMT59" s="169"/>
      <c r="SMU59" s="169"/>
      <c r="SMV59" s="169"/>
      <c r="SMW59" s="169"/>
      <c r="SMX59" s="169"/>
      <c r="SMY59" s="169"/>
      <c r="SMZ59" s="169"/>
      <c r="SNA59" s="169"/>
      <c r="SNB59" s="169"/>
      <c r="SNC59" s="169"/>
      <c r="SND59" s="169"/>
      <c r="SNE59" s="169"/>
      <c r="SNF59" s="169"/>
      <c r="SNG59" s="169"/>
      <c r="SNH59" s="169"/>
      <c r="SNI59" s="169"/>
      <c r="SNJ59" s="169"/>
      <c r="SNK59" s="169"/>
      <c r="SNL59" s="169"/>
      <c r="SNM59" s="169"/>
      <c r="SNN59" s="169"/>
      <c r="SNO59" s="169"/>
      <c r="SNP59" s="169"/>
      <c r="SNQ59" s="169"/>
      <c r="SNR59" s="169"/>
      <c r="SNS59" s="169"/>
      <c r="SNT59" s="169"/>
      <c r="SNU59" s="169"/>
      <c r="SNV59" s="169"/>
      <c r="SNW59" s="169"/>
      <c r="SNX59" s="169"/>
      <c r="SNY59" s="169"/>
      <c r="SNZ59" s="169"/>
      <c r="SOA59" s="169"/>
      <c r="SOB59" s="169"/>
      <c r="SOC59" s="169"/>
      <c r="SOD59" s="169"/>
      <c r="SOE59" s="169"/>
      <c r="SOF59" s="169"/>
      <c r="SOG59" s="169"/>
      <c r="SOH59" s="169"/>
      <c r="SOI59" s="169"/>
      <c r="SOJ59" s="169"/>
      <c r="SOK59" s="169"/>
      <c r="SOL59" s="169"/>
      <c r="SOM59" s="169"/>
      <c r="SON59" s="169"/>
      <c r="SOO59" s="169"/>
      <c r="SOP59" s="169"/>
      <c r="SOQ59" s="169"/>
      <c r="SOR59" s="169"/>
      <c r="SOS59" s="169"/>
      <c r="SOT59" s="169"/>
      <c r="SOU59" s="169"/>
      <c r="SOV59" s="169"/>
      <c r="SOW59" s="169"/>
      <c r="SOX59" s="169"/>
      <c r="SOY59" s="169"/>
      <c r="SOZ59" s="169"/>
      <c r="SPA59" s="169"/>
      <c r="SPB59" s="169"/>
      <c r="SPC59" s="169"/>
      <c r="SPD59" s="169"/>
      <c r="SPE59" s="169"/>
      <c r="SPF59" s="169"/>
      <c r="SPG59" s="169"/>
      <c r="SPH59" s="169"/>
      <c r="SPI59" s="169"/>
      <c r="SPJ59" s="169"/>
      <c r="SPK59" s="169"/>
      <c r="SPL59" s="169"/>
      <c r="SPM59" s="169"/>
      <c r="SPN59" s="169"/>
      <c r="SPO59" s="169"/>
      <c r="SPP59" s="169"/>
      <c r="SPQ59" s="169"/>
      <c r="SPR59" s="169"/>
      <c r="SPS59" s="169"/>
      <c r="SPT59" s="169"/>
      <c r="SPU59" s="169"/>
      <c r="SPV59" s="169"/>
      <c r="SPW59" s="169"/>
      <c r="SPX59" s="169"/>
      <c r="SPY59" s="169"/>
      <c r="SPZ59" s="169"/>
      <c r="SQA59" s="169"/>
      <c r="SQB59" s="169"/>
      <c r="SQC59" s="169"/>
      <c r="SQD59" s="169"/>
      <c r="SQE59" s="169"/>
      <c r="SQF59" s="169"/>
      <c r="SQG59" s="169"/>
      <c r="SQH59" s="169"/>
      <c r="SQI59" s="169"/>
      <c r="SQJ59" s="169"/>
      <c r="SQK59" s="169"/>
      <c r="SQL59" s="169"/>
      <c r="SQM59" s="169"/>
      <c r="SQN59" s="169"/>
      <c r="SQO59" s="169"/>
      <c r="SQP59" s="169"/>
      <c r="SQQ59" s="169"/>
      <c r="SQR59" s="169"/>
      <c r="SQS59" s="169"/>
      <c r="SQT59" s="169"/>
      <c r="SQU59" s="169"/>
      <c r="SQV59" s="169"/>
      <c r="SQW59" s="169"/>
      <c r="SQX59" s="169"/>
      <c r="SQY59" s="169"/>
      <c r="SQZ59" s="169"/>
      <c r="SRA59" s="169"/>
      <c r="SRB59" s="169"/>
      <c r="SRC59" s="169"/>
      <c r="SRD59" s="169"/>
      <c r="SRE59" s="169"/>
      <c r="SRF59" s="169"/>
      <c r="SRG59" s="169"/>
      <c r="SRH59" s="169"/>
      <c r="SRI59" s="169"/>
      <c r="SRJ59" s="169"/>
      <c r="SRK59" s="169"/>
      <c r="SRL59" s="169"/>
      <c r="SRM59" s="169"/>
      <c r="SRN59" s="169"/>
      <c r="SRO59" s="169"/>
      <c r="SRP59" s="169"/>
      <c r="SRQ59" s="169"/>
      <c r="SRR59" s="169"/>
      <c r="SRS59" s="169"/>
      <c r="SRT59" s="169"/>
      <c r="SRU59" s="169"/>
      <c r="SRV59" s="169"/>
      <c r="SRW59" s="169"/>
      <c r="SRX59" s="169"/>
      <c r="SRY59" s="169"/>
      <c r="SRZ59" s="169"/>
      <c r="SSA59" s="169"/>
      <c r="SSB59" s="169"/>
      <c r="SSC59" s="169"/>
      <c r="SSD59" s="169"/>
      <c r="SSE59" s="169"/>
      <c r="SSF59" s="169"/>
      <c r="SSG59" s="169"/>
      <c r="SSH59" s="169"/>
      <c r="SSI59" s="169"/>
      <c r="SSJ59" s="169"/>
      <c r="SSK59" s="169"/>
      <c r="SSL59" s="169"/>
      <c r="SSM59" s="169"/>
      <c r="SSN59" s="169"/>
      <c r="SSO59" s="169"/>
      <c r="SSP59" s="169"/>
      <c r="SSQ59" s="169"/>
      <c r="SSR59" s="169"/>
      <c r="SSS59" s="169"/>
      <c r="SST59" s="169"/>
      <c r="SSU59" s="169"/>
      <c r="SSV59" s="169"/>
      <c r="SSW59" s="169"/>
      <c r="SSX59" s="169"/>
      <c r="SSY59" s="169"/>
      <c r="SSZ59" s="169"/>
      <c r="STA59" s="169"/>
      <c r="STB59" s="169"/>
      <c r="STC59" s="169"/>
      <c r="STD59" s="169"/>
      <c r="STE59" s="169"/>
      <c r="STF59" s="169"/>
      <c r="STG59" s="169"/>
      <c r="STH59" s="169"/>
      <c r="STI59" s="169"/>
      <c r="STJ59" s="169"/>
      <c r="STK59" s="169"/>
      <c r="STL59" s="169"/>
      <c r="STM59" s="169"/>
      <c r="STN59" s="169"/>
      <c r="STO59" s="169"/>
      <c r="STP59" s="169"/>
      <c r="STQ59" s="169"/>
      <c r="STR59" s="169"/>
      <c r="STS59" s="169"/>
      <c r="STT59" s="169"/>
      <c r="STU59" s="169"/>
      <c r="STV59" s="169"/>
      <c r="STW59" s="169"/>
      <c r="STX59" s="169"/>
      <c r="STY59" s="169"/>
      <c r="STZ59" s="169"/>
      <c r="SUA59" s="169"/>
      <c r="SUB59" s="169"/>
      <c r="SUC59" s="169"/>
      <c r="SUD59" s="169"/>
      <c r="SUE59" s="169"/>
      <c r="SUF59" s="169"/>
      <c r="SUG59" s="169"/>
      <c r="SUH59" s="169"/>
      <c r="SUI59" s="169"/>
      <c r="SUJ59" s="169"/>
      <c r="SUK59" s="169"/>
      <c r="SUL59" s="169"/>
      <c r="SUM59" s="169"/>
      <c r="SUN59" s="169"/>
      <c r="SUO59" s="169"/>
      <c r="SUP59" s="169"/>
      <c r="SUQ59" s="169"/>
      <c r="SUR59" s="169"/>
      <c r="SUS59" s="169"/>
      <c r="SUT59" s="169"/>
      <c r="SUU59" s="169"/>
      <c r="SUV59" s="169"/>
      <c r="SUW59" s="169"/>
      <c r="SUX59" s="169"/>
      <c r="SUY59" s="169"/>
      <c r="SUZ59" s="169"/>
      <c r="SVA59" s="169"/>
      <c r="SVB59" s="169"/>
      <c r="SVC59" s="169"/>
      <c r="SVD59" s="169"/>
      <c r="SVE59" s="169"/>
      <c r="SVF59" s="169"/>
      <c r="SVG59" s="169"/>
      <c r="SVH59" s="169"/>
      <c r="SVI59" s="169"/>
      <c r="SVJ59" s="169"/>
      <c r="SVK59" s="169"/>
      <c r="SVL59" s="169"/>
      <c r="SVM59" s="169"/>
      <c r="SVN59" s="169"/>
      <c r="SVO59" s="169"/>
      <c r="SVP59" s="169"/>
      <c r="SVQ59" s="169"/>
      <c r="SVR59" s="169"/>
      <c r="SVS59" s="169"/>
      <c r="SVT59" s="169"/>
      <c r="SVU59" s="169"/>
      <c r="SVV59" s="169"/>
      <c r="SVW59" s="169"/>
      <c r="SVX59" s="169"/>
      <c r="SVY59" s="169"/>
      <c r="SVZ59" s="169"/>
      <c r="SWA59" s="169"/>
      <c r="SWB59" s="169"/>
      <c r="SWC59" s="169"/>
      <c r="SWD59" s="169"/>
      <c r="SWE59" s="169"/>
      <c r="SWF59" s="169"/>
      <c r="SWG59" s="169"/>
      <c r="SWH59" s="169"/>
      <c r="SWI59" s="169"/>
      <c r="SWJ59" s="169"/>
      <c r="SWK59" s="169"/>
      <c r="SWL59" s="169"/>
      <c r="SWM59" s="169"/>
      <c r="SWN59" s="169"/>
      <c r="SWO59" s="169"/>
      <c r="SWP59" s="169"/>
      <c r="SWQ59" s="169"/>
      <c r="SWR59" s="169"/>
      <c r="SWS59" s="169"/>
      <c r="SWT59" s="169"/>
      <c r="SWU59" s="169"/>
      <c r="SWV59" s="169"/>
      <c r="SWW59" s="169"/>
      <c r="SWX59" s="169"/>
      <c r="SWY59" s="169"/>
      <c r="SWZ59" s="169"/>
      <c r="SXA59" s="169"/>
      <c r="SXB59" s="169"/>
      <c r="SXC59" s="169"/>
      <c r="SXD59" s="169"/>
      <c r="SXE59" s="169"/>
      <c r="SXF59" s="169"/>
      <c r="SXG59" s="169"/>
      <c r="SXH59" s="169"/>
      <c r="SXI59" s="169"/>
      <c r="SXJ59" s="169"/>
      <c r="SXK59" s="169"/>
      <c r="SXL59" s="169"/>
      <c r="SXM59" s="169"/>
      <c r="SXN59" s="169"/>
      <c r="SXO59" s="169"/>
      <c r="SXP59" s="169"/>
      <c r="SXQ59" s="169"/>
      <c r="SXR59" s="169"/>
      <c r="SXS59" s="169"/>
      <c r="SXT59" s="169"/>
      <c r="SXU59" s="169"/>
      <c r="SXV59" s="169"/>
      <c r="SXW59" s="169"/>
      <c r="SXX59" s="169"/>
      <c r="SXY59" s="169"/>
      <c r="SXZ59" s="169"/>
      <c r="SYA59" s="169"/>
      <c r="SYB59" s="169"/>
      <c r="SYC59" s="169"/>
      <c r="SYD59" s="169"/>
      <c r="SYE59" s="169"/>
      <c r="SYF59" s="169"/>
      <c r="SYG59" s="169"/>
      <c r="SYH59" s="169"/>
      <c r="SYI59" s="169"/>
      <c r="SYJ59" s="169"/>
      <c r="SYK59" s="169"/>
      <c r="SYL59" s="169"/>
      <c r="SYM59" s="169"/>
      <c r="SYN59" s="169"/>
      <c r="SYO59" s="169"/>
      <c r="SYP59" s="169"/>
      <c r="SYQ59" s="169"/>
      <c r="SYR59" s="169"/>
      <c r="SYS59" s="169"/>
      <c r="SYT59" s="169"/>
      <c r="SYU59" s="169"/>
      <c r="SYV59" s="169"/>
      <c r="SYW59" s="169"/>
      <c r="SYX59" s="169"/>
      <c r="SYY59" s="169"/>
      <c r="SYZ59" s="169"/>
      <c r="SZA59" s="169"/>
      <c r="SZB59" s="169"/>
      <c r="SZC59" s="169"/>
      <c r="SZD59" s="169"/>
      <c r="SZE59" s="169"/>
      <c r="SZF59" s="169"/>
      <c r="SZG59" s="169"/>
      <c r="SZH59" s="169"/>
      <c r="SZI59" s="169"/>
      <c r="SZJ59" s="169"/>
      <c r="SZK59" s="169"/>
      <c r="SZL59" s="169"/>
      <c r="SZM59" s="169"/>
      <c r="SZN59" s="169"/>
      <c r="SZO59" s="169"/>
      <c r="SZP59" s="169"/>
      <c r="SZQ59" s="169"/>
      <c r="SZR59" s="169"/>
      <c r="SZS59" s="169"/>
      <c r="SZT59" s="169"/>
      <c r="SZU59" s="169"/>
      <c r="SZV59" s="169"/>
      <c r="SZW59" s="169"/>
      <c r="SZX59" s="169"/>
      <c r="SZY59" s="169"/>
      <c r="SZZ59" s="169"/>
      <c r="TAA59" s="169"/>
      <c r="TAB59" s="169"/>
      <c r="TAC59" s="169"/>
      <c r="TAD59" s="169"/>
      <c r="TAE59" s="169"/>
      <c r="TAF59" s="169"/>
      <c r="TAG59" s="169"/>
      <c r="TAH59" s="169"/>
      <c r="TAI59" s="169"/>
      <c r="TAJ59" s="169"/>
      <c r="TAK59" s="169"/>
      <c r="TAL59" s="169"/>
      <c r="TAM59" s="169"/>
      <c r="TAN59" s="169"/>
      <c r="TAO59" s="169"/>
      <c r="TAP59" s="169"/>
      <c r="TAQ59" s="169"/>
      <c r="TAR59" s="169"/>
      <c r="TAS59" s="169"/>
      <c r="TAT59" s="169"/>
      <c r="TAU59" s="169"/>
      <c r="TAV59" s="169"/>
      <c r="TAW59" s="169"/>
      <c r="TAX59" s="169"/>
      <c r="TAY59" s="169"/>
      <c r="TAZ59" s="169"/>
      <c r="TBA59" s="169"/>
      <c r="TBB59" s="169"/>
      <c r="TBC59" s="169"/>
      <c r="TBD59" s="169"/>
      <c r="TBE59" s="169"/>
      <c r="TBF59" s="169"/>
      <c r="TBG59" s="169"/>
      <c r="TBH59" s="169"/>
      <c r="TBI59" s="169"/>
      <c r="TBJ59" s="169"/>
      <c r="TBK59" s="169"/>
      <c r="TBL59" s="169"/>
      <c r="TBM59" s="169"/>
      <c r="TBN59" s="169"/>
      <c r="TBO59" s="169"/>
      <c r="TBP59" s="169"/>
      <c r="TBQ59" s="169"/>
      <c r="TBR59" s="169"/>
      <c r="TBS59" s="169"/>
      <c r="TBT59" s="169"/>
      <c r="TBU59" s="169"/>
      <c r="TBV59" s="169"/>
      <c r="TBW59" s="169"/>
      <c r="TBX59" s="169"/>
      <c r="TBY59" s="169"/>
      <c r="TBZ59" s="169"/>
      <c r="TCA59" s="169"/>
      <c r="TCB59" s="169"/>
      <c r="TCC59" s="169"/>
      <c r="TCD59" s="169"/>
      <c r="TCE59" s="169"/>
      <c r="TCF59" s="169"/>
      <c r="TCG59" s="169"/>
      <c r="TCH59" s="169"/>
      <c r="TCI59" s="169"/>
      <c r="TCJ59" s="169"/>
      <c r="TCK59" s="169"/>
      <c r="TCL59" s="169"/>
      <c r="TCM59" s="169"/>
      <c r="TCN59" s="169"/>
      <c r="TCO59" s="169"/>
      <c r="TCP59" s="169"/>
      <c r="TCQ59" s="169"/>
      <c r="TCR59" s="169"/>
      <c r="TCS59" s="169"/>
      <c r="TCT59" s="169"/>
      <c r="TCU59" s="169"/>
      <c r="TCV59" s="169"/>
      <c r="TCW59" s="169"/>
      <c r="TCX59" s="169"/>
      <c r="TCY59" s="169"/>
      <c r="TCZ59" s="169"/>
      <c r="TDA59" s="169"/>
      <c r="TDB59" s="169"/>
      <c r="TDC59" s="169"/>
      <c r="TDD59" s="169"/>
      <c r="TDE59" s="169"/>
      <c r="TDF59" s="169"/>
      <c r="TDG59" s="169"/>
      <c r="TDH59" s="169"/>
      <c r="TDI59" s="169"/>
      <c r="TDJ59" s="169"/>
      <c r="TDK59" s="169"/>
      <c r="TDL59" s="169"/>
      <c r="TDM59" s="169"/>
      <c r="TDN59" s="169"/>
      <c r="TDO59" s="169"/>
      <c r="TDP59" s="169"/>
      <c r="TDQ59" s="169"/>
      <c r="TDR59" s="169"/>
      <c r="TDS59" s="169"/>
      <c r="TDT59" s="169"/>
      <c r="TDU59" s="169"/>
      <c r="TDV59" s="169"/>
      <c r="TDW59" s="169"/>
      <c r="TDX59" s="169"/>
      <c r="TDY59" s="169"/>
      <c r="TDZ59" s="169"/>
      <c r="TEA59" s="169"/>
      <c r="TEB59" s="169"/>
      <c r="TEC59" s="169"/>
      <c r="TED59" s="169"/>
      <c r="TEE59" s="169"/>
      <c r="TEF59" s="169"/>
      <c r="TEG59" s="169"/>
      <c r="TEH59" s="169"/>
      <c r="TEI59" s="169"/>
      <c r="TEJ59" s="169"/>
      <c r="TEK59" s="169"/>
      <c r="TEL59" s="169"/>
      <c r="TEM59" s="169"/>
      <c r="TEN59" s="169"/>
      <c r="TEO59" s="169"/>
      <c r="TEP59" s="169"/>
      <c r="TEQ59" s="169"/>
      <c r="TER59" s="169"/>
      <c r="TES59" s="169"/>
      <c r="TET59" s="169"/>
      <c r="TEU59" s="169"/>
      <c r="TEV59" s="169"/>
      <c r="TEW59" s="169"/>
      <c r="TEX59" s="169"/>
      <c r="TEY59" s="169"/>
      <c r="TEZ59" s="169"/>
      <c r="TFA59" s="169"/>
      <c r="TFB59" s="169"/>
      <c r="TFC59" s="169"/>
      <c r="TFD59" s="169"/>
      <c r="TFE59" s="169"/>
      <c r="TFF59" s="169"/>
      <c r="TFG59" s="169"/>
      <c r="TFH59" s="169"/>
      <c r="TFI59" s="169"/>
      <c r="TFJ59" s="169"/>
      <c r="TFK59" s="169"/>
      <c r="TFL59" s="169"/>
      <c r="TFM59" s="169"/>
      <c r="TFN59" s="169"/>
      <c r="TFO59" s="169"/>
      <c r="TFP59" s="169"/>
      <c r="TFQ59" s="169"/>
      <c r="TFR59" s="169"/>
      <c r="TFS59" s="169"/>
      <c r="TFT59" s="169"/>
      <c r="TFU59" s="169"/>
      <c r="TFV59" s="169"/>
      <c r="TFW59" s="169"/>
      <c r="TFX59" s="169"/>
      <c r="TFY59" s="169"/>
      <c r="TFZ59" s="169"/>
      <c r="TGA59" s="169"/>
      <c r="TGB59" s="169"/>
      <c r="TGC59" s="169"/>
      <c r="TGD59" s="169"/>
      <c r="TGE59" s="169"/>
      <c r="TGF59" s="169"/>
      <c r="TGG59" s="169"/>
      <c r="TGH59" s="169"/>
      <c r="TGI59" s="169"/>
      <c r="TGJ59" s="169"/>
      <c r="TGK59" s="169"/>
      <c r="TGL59" s="169"/>
      <c r="TGM59" s="169"/>
      <c r="TGN59" s="169"/>
      <c r="TGO59" s="169"/>
      <c r="TGP59" s="169"/>
      <c r="TGQ59" s="169"/>
      <c r="TGR59" s="169"/>
      <c r="TGS59" s="169"/>
      <c r="TGT59" s="169"/>
      <c r="TGU59" s="169"/>
      <c r="TGV59" s="169"/>
      <c r="TGW59" s="169"/>
      <c r="TGX59" s="169"/>
      <c r="TGY59" s="169"/>
      <c r="TGZ59" s="169"/>
      <c r="THA59" s="169"/>
      <c r="THB59" s="169"/>
      <c r="THC59" s="169"/>
      <c r="THD59" s="169"/>
      <c r="THE59" s="169"/>
      <c r="THF59" s="169"/>
      <c r="THG59" s="169"/>
      <c r="THH59" s="169"/>
      <c r="THI59" s="169"/>
      <c r="THJ59" s="169"/>
      <c r="THK59" s="169"/>
      <c r="THL59" s="169"/>
      <c r="THM59" s="169"/>
      <c r="THN59" s="169"/>
      <c r="THO59" s="169"/>
      <c r="THP59" s="169"/>
      <c r="THQ59" s="169"/>
      <c r="THR59" s="169"/>
      <c r="THS59" s="169"/>
      <c r="THT59" s="169"/>
      <c r="THU59" s="169"/>
      <c r="THV59" s="169"/>
      <c r="THW59" s="169"/>
      <c r="THX59" s="169"/>
      <c r="THY59" s="169"/>
      <c r="THZ59" s="169"/>
      <c r="TIA59" s="169"/>
      <c r="TIB59" s="169"/>
      <c r="TIC59" s="169"/>
      <c r="TID59" s="169"/>
      <c r="TIE59" s="169"/>
      <c r="TIF59" s="169"/>
      <c r="TIG59" s="169"/>
      <c r="TIH59" s="169"/>
      <c r="TII59" s="169"/>
      <c r="TIJ59" s="169"/>
      <c r="TIK59" s="169"/>
      <c r="TIL59" s="169"/>
      <c r="TIM59" s="169"/>
      <c r="TIN59" s="169"/>
      <c r="TIO59" s="169"/>
      <c r="TIP59" s="169"/>
      <c r="TIQ59" s="169"/>
      <c r="TIR59" s="169"/>
      <c r="TIS59" s="169"/>
      <c r="TIT59" s="169"/>
      <c r="TIU59" s="169"/>
      <c r="TIV59" s="169"/>
      <c r="TIW59" s="169"/>
      <c r="TIX59" s="169"/>
      <c r="TIY59" s="169"/>
      <c r="TIZ59" s="169"/>
      <c r="TJA59" s="169"/>
      <c r="TJB59" s="169"/>
      <c r="TJC59" s="169"/>
      <c r="TJD59" s="169"/>
      <c r="TJE59" s="169"/>
      <c r="TJF59" s="169"/>
      <c r="TJG59" s="169"/>
      <c r="TJH59" s="169"/>
      <c r="TJI59" s="169"/>
      <c r="TJJ59" s="169"/>
      <c r="TJK59" s="169"/>
      <c r="TJL59" s="169"/>
      <c r="TJM59" s="169"/>
      <c r="TJN59" s="169"/>
      <c r="TJO59" s="169"/>
      <c r="TJP59" s="169"/>
      <c r="TJQ59" s="169"/>
      <c r="TJR59" s="169"/>
      <c r="TJS59" s="169"/>
      <c r="TJT59" s="169"/>
      <c r="TJU59" s="169"/>
      <c r="TJV59" s="169"/>
      <c r="TJW59" s="169"/>
      <c r="TJX59" s="169"/>
      <c r="TJY59" s="169"/>
      <c r="TJZ59" s="169"/>
      <c r="TKA59" s="169"/>
      <c r="TKB59" s="169"/>
      <c r="TKC59" s="169"/>
      <c r="TKD59" s="169"/>
      <c r="TKE59" s="169"/>
      <c r="TKF59" s="169"/>
      <c r="TKG59" s="169"/>
      <c r="TKH59" s="169"/>
      <c r="TKI59" s="169"/>
      <c r="TKJ59" s="169"/>
      <c r="TKK59" s="169"/>
      <c r="TKL59" s="169"/>
      <c r="TKM59" s="169"/>
      <c r="TKN59" s="169"/>
      <c r="TKO59" s="169"/>
      <c r="TKP59" s="169"/>
      <c r="TKQ59" s="169"/>
      <c r="TKR59" s="169"/>
      <c r="TKS59" s="169"/>
      <c r="TKT59" s="169"/>
      <c r="TKU59" s="169"/>
      <c r="TKV59" s="169"/>
      <c r="TKW59" s="169"/>
      <c r="TKX59" s="169"/>
      <c r="TKY59" s="169"/>
      <c r="TKZ59" s="169"/>
      <c r="TLA59" s="169"/>
      <c r="TLB59" s="169"/>
      <c r="TLC59" s="169"/>
      <c r="TLD59" s="169"/>
      <c r="TLE59" s="169"/>
      <c r="TLF59" s="169"/>
      <c r="TLG59" s="169"/>
      <c r="TLH59" s="169"/>
      <c r="TLI59" s="169"/>
      <c r="TLJ59" s="169"/>
      <c r="TLK59" s="169"/>
      <c r="TLL59" s="169"/>
      <c r="TLM59" s="169"/>
      <c r="TLN59" s="169"/>
      <c r="TLO59" s="169"/>
      <c r="TLP59" s="169"/>
      <c r="TLQ59" s="169"/>
      <c r="TLR59" s="169"/>
      <c r="TLS59" s="169"/>
      <c r="TLT59" s="169"/>
      <c r="TLU59" s="169"/>
      <c r="TLV59" s="169"/>
      <c r="TLW59" s="169"/>
      <c r="TLX59" s="169"/>
      <c r="TLY59" s="169"/>
      <c r="TLZ59" s="169"/>
      <c r="TMA59" s="169"/>
      <c r="TMB59" s="169"/>
      <c r="TMC59" s="169"/>
      <c r="TMD59" s="169"/>
      <c r="TME59" s="169"/>
      <c r="TMF59" s="169"/>
      <c r="TMG59" s="169"/>
      <c r="TMH59" s="169"/>
      <c r="TMI59" s="169"/>
      <c r="TMJ59" s="169"/>
      <c r="TMK59" s="169"/>
      <c r="TML59" s="169"/>
      <c r="TMM59" s="169"/>
      <c r="TMN59" s="169"/>
      <c r="TMO59" s="169"/>
      <c r="TMP59" s="169"/>
      <c r="TMQ59" s="169"/>
      <c r="TMR59" s="169"/>
      <c r="TMS59" s="169"/>
      <c r="TMT59" s="169"/>
      <c r="TMU59" s="169"/>
      <c r="TMV59" s="169"/>
      <c r="TMW59" s="169"/>
      <c r="TMX59" s="169"/>
      <c r="TMY59" s="169"/>
      <c r="TMZ59" s="169"/>
      <c r="TNA59" s="169"/>
      <c r="TNB59" s="169"/>
      <c r="TNC59" s="169"/>
      <c r="TND59" s="169"/>
      <c r="TNE59" s="169"/>
      <c r="TNF59" s="169"/>
      <c r="TNG59" s="169"/>
      <c r="TNH59" s="169"/>
      <c r="TNI59" s="169"/>
      <c r="TNJ59" s="169"/>
      <c r="TNK59" s="169"/>
      <c r="TNL59" s="169"/>
      <c r="TNM59" s="169"/>
      <c r="TNN59" s="169"/>
      <c r="TNO59" s="169"/>
      <c r="TNP59" s="169"/>
      <c r="TNQ59" s="169"/>
      <c r="TNR59" s="169"/>
      <c r="TNS59" s="169"/>
      <c r="TNT59" s="169"/>
      <c r="TNU59" s="169"/>
      <c r="TNV59" s="169"/>
      <c r="TNW59" s="169"/>
      <c r="TNX59" s="169"/>
      <c r="TNY59" s="169"/>
      <c r="TNZ59" s="169"/>
      <c r="TOA59" s="169"/>
      <c r="TOB59" s="169"/>
      <c r="TOC59" s="169"/>
      <c r="TOD59" s="169"/>
      <c r="TOE59" s="169"/>
      <c r="TOF59" s="169"/>
      <c r="TOG59" s="169"/>
      <c r="TOH59" s="169"/>
      <c r="TOI59" s="169"/>
      <c r="TOJ59" s="169"/>
      <c r="TOK59" s="169"/>
      <c r="TOL59" s="169"/>
      <c r="TOM59" s="169"/>
      <c r="TON59" s="169"/>
      <c r="TOO59" s="169"/>
      <c r="TOP59" s="169"/>
      <c r="TOQ59" s="169"/>
      <c r="TOR59" s="169"/>
      <c r="TOS59" s="169"/>
      <c r="TOT59" s="169"/>
      <c r="TOU59" s="169"/>
      <c r="TOV59" s="169"/>
      <c r="TOW59" s="169"/>
      <c r="TOX59" s="169"/>
      <c r="TOY59" s="169"/>
      <c r="TOZ59" s="169"/>
      <c r="TPA59" s="169"/>
      <c r="TPB59" s="169"/>
      <c r="TPC59" s="169"/>
      <c r="TPD59" s="169"/>
      <c r="TPE59" s="169"/>
      <c r="TPF59" s="169"/>
      <c r="TPG59" s="169"/>
      <c r="TPH59" s="169"/>
      <c r="TPI59" s="169"/>
      <c r="TPJ59" s="169"/>
      <c r="TPK59" s="169"/>
      <c r="TPL59" s="169"/>
      <c r="TPM59" s="169"/>
      <c r="TPN59" s="169"/>
      <c r="TPO59" s="169"/>
      <c r="TPP59" s="169"/>
      <c r="TPQ59" s="169"/>
      <c r="TPR59" s="169"/>
      <c r="TPS59" s="169"/>
      <c r="TPT59" s="169"/>
      <c r="TPU59" s="169"/>
      <c r="TPV59" s="169"/>
      <c r="TPW59" s="169"/>
      <c r="TPX59" s="169"/>
      <c r="TPY59" s="169"/>
      <c r="TPZ59" s="169"/>
      <c r="TQA59" s="169"/>
      <c r="TQB59" s="169"/>
      <c r="TQC59" s="169"/>
      <c r="TQD59" s="169"/>
      <c r="TQE59" s="169"/>
      <c r="TQF59" s="169"/>
      <c r="TQG59" s="169"/>
      <c r="TQH59" s="169"/>
      <c r="TQI59" s="169"/>
      <c r="TQJ59" s="169"/>
      <c r="TQK59" s="169"/>
      <c r="TQL59" s="169"/>
      <c r="TQM59" s="169"/>
      <c r="TQN59" s="169"/>
      <c r="TQO59" s="169"/>
      <c r="TQP59" s="169"/>
      <c r="TQQ59" s="169"/>
      <c r="TQR59" s="169"/>
      <c r="TQS59" s="169"/>
      <c r="TQT59" s="169"/>
      <c r="TQU59" s="169"/>
      <c r="TQV59" s="169"/>
      <c r="TQW59" s="169"/>
      <c r="TQX59" s="169"/>
      <c r="TQY59" s="169"/>
      <c r="TQZ59" s="169"/>
      <c r="TRA59" s="169"/>
      <c r="TRB59" s="169"/>
      <c r="TRC59" s="169"/>
      <c r="TRD59" s="169"/>
      <c r="TRE59" s="169"/>
      <c r="TRF59" s="169"/>
      <c r="TRG59" s="169"/>
      <c r="TRH59" s="169"/>
      <c r="TRI59" s="169"/>
      <c r="TRJ59" s="169"/>
      <c r="TRK59" s="169"/>
      <c r="TRL59" s="169"/>
      <c r="TRM59" s="169"/>
      <c r="TRN59" s="169"/>
      <c r="TRO59" s="169"/>
      <c r="TRP59" s="169"/>
      <c r="TRQ59" s="169"/>
      <c r="TRR59" s="169"/>
      <c r="TRS59" s="169"/>
      <c r="TRT59" s="169"/>
      <c r="TRU59" s="169"/>
      <c r="TRV59" s="169"/>
      <c r="TRW59" s="169"/>
      <c r="TRX59" s="169"/>
      <c r="TRY59" s="169"/>
      <c r="TRZ59" s="169"/>
      <c r="TSA59" s="169"/>
      <c r="TSB59" s="169"/>
      <c r="TSC59" s="169"/>
      <c r="TSD59" s="169"/>
      <c r="TSE59" s="169"/>
      <c r="TSF59" s="169"/>
      <c r="TSG59" s="169"/>
      <c r="TSH59" s="169"/>
      <c r="TSI59" s="169"/>
      <c r="TSJ59" s="169"/>
      <c r="TSK59" s="169"/>
      <c r="TSL59" s="169"/>
      <c r="TSM59" s="169"/>
      <c r="TSN59" s="169"/>
      <c r="TSO59" s="169"/>
      <c r="TSP59" s="169"/>
      <c r="TSQ59" s="169"/>
      <c r="TSR59" s="169"/>
      <c r="TSS59" s="169"/>
      <c r="TST59" s="169"/>
      <c r="TSU59" s="169"/>
      <c r="TSV59" s="169"/>
      <c r="TSW59" s="169"/>
      <c r="TSX59" s="169"/>
      <c r="TSY59" s="169"/>
      <c r="TSZ59" s="169"/>
      <c r="TTA59" s="169"/>
      <c r="TTB59" s="169"/>
      <c r="TTC59" s="169"/>
      <c r="TTD59" s="169"/>
      <c r="TTE59" s="169"/>
      <c r="TTF59" s="169"/>
      <c r="TTG59" s="169"/>
      <c r="TTH59" s="169"/>
      <c r="TTI59" s="169"/>
      <c r="TTJ59" s="169"/>
      <c r="TTK59" s="169"/>
      <c r="TTL59" s="169"/>
      <c r="TTM59" s="169"/>
      <c r="TTN59" s="169"/>
      <c r="TTO59" s="169"/>
      <c r="TTP59" s="169"/>
      <c r="TTQ59" s="169"/>
      <c r="TTR59" s="169"/>
      <c r="TTS59" s="169"/>
      <c r="TTT59" s="169"/>
      <c r="TTU59" s="169"/>
      <c r="TTV59" s="169"/>
      <c r="TTW59" s="169"/>
      <c r="TTX59" s="169"/>
      <c r="TTY59" s="169"/>
      <c r="TTZ59" s="169"/>
      <c r="TUA59" s="169"/>
      <c r="TUB59" s="169"/>
      <c r="TUC59" s="169"/>
      <c r="TUD59" s="169"/>
      <c r="TUE59" s="169"/>
      <c r="TUF59" s="169"/>
      <c r="TUG59" s="169"/>
      <c r="TUH59" s="169"/>
      <c r="TUI59" s="169"/>
      <c r="TUJ59" s="169"/>
      <c r="TUK59" s="169"/>
      <c r="TUL59" s="169"/>
      <c r="TUM59" s="169"/>
      <c r="TUN59" s="169"/>
      <c r="TUO59" s="169"/>
      <c r="TUP59" s="169"/>
      <c r="TUQ59" s="169"/>
      <c r="TUR59" s="169"/>
      <c r="TUS59" s="169"/>
      <c r="TUT59" s="169"/>
      <c r="TUU59" s="169"/>
      <c r="TUV59" s="169"/>
      <c r="TUW59" s="169"/>
      <c r="TUX59" s="169"/>
      <c r="TUY59" s="169"/>
      <c r="TUZ59" s="169"/>
      <c r="TVA59" s="169"/>
      <c r="TVB59" s="169"/>
      <c r="TVC59" s="169"/>
      <c r="TVD59" s="169"/>
      <c r="TVE59" s="169"/>
      <c r="TVF59" s="169"/>
      <c r="TVG59" s="169"/>
      <c r="TVH59" s="169"/>
      <c r="TVI59" s="169"/>
      <c r="TVJ59" s="169"/>
      <c r="TVK59" s="169"/>
      <c r="TVL59" s="169"/>
      <c r="TVM59" s="169"/>
      <c r="TVN59" s="169"/>
      <c r="TVO59" s="169"/>
      <c r="TVP59" s="169"/>
      <c r="TVQ59" s="169"/>
      <c r="TVR59" s="169"/>
      <c r="TVS59" s="169"/>
      <c r="TVT59" s="169"/>
      <c r="TVU59" s="169"/>
      <c r="TVV59" s="169"/>
      <c r="TVW59" s="169"/>
      <c r="TVX59" s="169"/>
      <c r="TVY59" s="169"/>
      <c r="TVZ59" s="169"/>
      <c r="TWA59" s="169"/>
      <c r="TWB59" s="169"/>
      <c r="TWC59" s="169"/>
      <c r="TWD59" s="169"/>
      <c r="TWE59" s="169"/>
      <c r="TWF59" s="169"/>
      <c r="TWG59" s="169"/>
      <c r="TWH59" s="169"/>
      <c r="TWI59" s="169"/>
      <c r="TWJ59" s="169"/>
      <c r="TWK59" s="169"/>
      <c r="TWL59" s="169"/>
      <c r="TWM59" s="169"/>
      <c r="TWN59" s="169"/>
      <c r="TWO59" s="169"/>
      <c r="TWP59" s="169"/>
      <c r="TWQ59" s="169"/>
      <c r="TWR59" s="169"/>
      <c r="TWS59" s="169"/>
      <c r="TWT59" s="169"/>
      <c r="TWU59" s="169"/>
      <c r="TWV59" s="169"/>
      <c r="TWW59" s="169"/>
      <c r="TWX59" s="169"/>
      <c r="TWY59" s="169"/>
      <c r="TWZ59" s="169"/>
      <c r="TXA59" s="169"/>
      <c r="TXB59" s="169"/>
      <c r="TXC59" s="169"/>
      <c r="TXD59" s="169"/>
      <c r="TXE59" s="169"/>
      <c r="TXF59" s="169"/>
      <c r="TXG59" s="169"/>
      <c r="TXH59" s="169"/>
      <c r="TXI59" s="169"/>
      <c r="TXJ59" s="169"/>
      <c r="TXK59" s="169"/>
      <c r="TXL59" s="169"/>
      <c r="TXM59" s="169"/>
      <c r="TXN59" s="169"/>
      <c r="TXO59" s="169"/>
      <c r="TXP59" s="169"/>
      <c r="TXQ59" s="169"/>
      <c r="TXR59" s="169"/>
      <c r="TXS59" s="169"/>
      <c r="TXT59" s="169"/>
      <c r="TXU59" s="169"/>
      <c r="TXV59" s="169"/>
      <c r="TXW59" s="169"/>
      <c r="TXX59" s="169"/>
      <c r="TXY59" s="169"/>
      <c r="TXZ59" s="169"/>
      <c r="TYA59" s="169"/>
      <c r="TYB59" s="169"/>
      <c r="TYC59" s="169"/>
      <c r="TYD59" s="169"/>
      <c r="TYE59" s="169"/>
      <c r="TYF59" s="169"/>
      <c r="TYG59" s="169"/>
      <c r="TYH59" s="169"/>
      <c r="TYI59" s="169"/>
      <c r="TYJ59" s="169"/>
      <c r="TYK59" s="169"/>
      <c r="TYL59" s="169"/>
      <c r="TYM59" s="169"/>
      <c r="TYN59" s="169"/>
      <c r="TYO59" s="169"/>
      <c r="TYP59" s="169"/>
      <c r="TYQ59" s="169"/>
      <c r="TYR59" s="169"/>
      <c r="TYS59" s="169"/>
      <c r="TYT59" s="169"/>
      <c r="TYU59" s="169"/>
      <c r="TYV59" s="169"/>
      <c r="TYW59" s="169"/>
      <c r="TYX59" s="169"/>
      <c r="TYY59" s="169"/>
      <c r="TYZ59" s="169"/>
      <c r="TZA59" s="169"/>
      <c r="TZB59" s="169"/>
      <c r="TZC59" s="169"/>
      <c r="TZD59" s="169"/>
      <c r="TZE59" s="169"/>
      <c r="TZF59" s="169"/>
      <c r="TZG59" s="169"/>
      <c r="TZH59" s="169"/>
      <c r="TZI59" s="169"/>
      <c r="TZJ59" s="169"/>
      <c r="TZK59" s="169"/>
      <c r="TZL59" s="169"/>
      <c r="TZM59" s="169"/>
      <c r="TZN59" s="169"/>
      <c r="TZO59" s="169"/>
      <c r="TZP59" s="169"/>
      <c r="TZQ59" s="169"/>
      <c r="TZR59" s="169"/>
      <c r="TZS59" s="169"/>
      <c r="TZT59" s="169"/>
      <c r="TZU59" s="169"/>
      <c r="TZV59" s="169"/>
      <c r="TZW59" s="169"/>
      <c r="TZX59" s="169"/>
      <c r="TZY59" s="169"/>
      <c r="TZZ59" s="169"/>
      <c r="UAA59" s="169"/>
      <c r="UAB59" s="169"/>
      <c r="UAC59" s="169"/>
      <c r="UAD59" s="169"/>
      <c r="UAE59" s="169"/>
      <c r="UAF59" s="169"/>
      <c r="UAG59" s="169"/>
      <c r="UAH59" s="169"/>
      <c r="UAI59" s="169"/>
      <c r="UAJ59" s="169"/>
      <c r="UAK59" s="169"/>
      <c r="UAL59" s="169"/>
      <c r="UAM59" s="169"/>
      <c r="UAN59" s="169"/>
      <c r="UAO59" s="169"/>
      <c r="UAP59" s="169"/>
      <c r="UAQ59" s="169"/>
      <c r="UAR59" s="169"/>
      <c r="UAS59" s="169"/>
      <c r="UAT59" s="169"/>
      <c r="UAU59" s="169"/>
      <c r="UAV59" s="169"/>
      <c r="UAW59" s="169"/>
      <c r="UAX59" s="169"/>
      <c r="UAY59" s="169"/>
      <c r="UAZ59" s="169"/>
      <c r="UBA59" s="169"/>
      <c r="UBB59" s="169"/>
      <c r="UBC59" s="169"/>
      <c r="UBD59" s="169"/>
      <c r="UBE59" s="169"/>
      <c r="UBF59" s="169"/>
      <c r="UBG59" s="169"/>
      <c r="UBH59" s="169"/>
      <c r="UBI59" s="169"/>
      <c r="UBJ59" s="169"/>
      <c r="UBK59" s="169"/>
      <c r="UBL59" s="169"/>
      <c r="UBM59" s="169"/>
      <c r="UBN59" s="169"/>
      <c r="UBO59" s="169"/>
      <c r="UBP59" s="169"/>
      <c r="UBQ59" s="169"/>
      <c r="UBR59" s="169"/>
      <c r="UBS59" s="169"/>
      <c r="UBT59" s="169"/>
      <c r="UBU59" s="169"/>
      <c r="UBV59" s="169"/>
      <c r="UBW59" s="169"/>
      <c r="UBX59" s="169"/>
      <c r="UBY59" s="169"/>
      <c r="UBZ59" s="169"/>
      <c r="UCA59" s="169"/>
      <c r="UCB59" s="169"/>
      <c r="UCC59" s="169"/>
      <c r="UCD59" s="169"/>
      <c r="UCE59" s="169"/>
      <c r="UCF59" s="169"/>
      <c r="UCG59" s="169"/>
      <c r="UCH59" s="169"/>
      <c r="UCI59" s="169"/>
      <c r="UCJ59" s="169"/>
      <c r="UCK59" s="169"/>
      <c r="UCL59" s="169"/>
      <c r="UCM59" s="169"/>
      <c r="UCN59" s="169"/>
      <c r="UCO59" s="169"/>
      <c r="UCP59" s="169"/>
      <c r="UCQ59" s="169"/>
      <c r="UCR59" s="169"/>
      <c r="UCS59" s="169"/>
      <c r="UCT59" s="169"/>
      <c r="UCU59" s="169"/>
      <c r="UCV59" s="169"/>
      <c r="UCW59" s="169"/>
      <c r="UCX59" s="169"/>
      <c r="UCY59" s="169"/>
      <c r="UCZ59" s="169"/>
      <c r="UDA59" s="169"/>
      <c r="UDB59" s="169"/>
      <c r="UDC59" s="169"/>
      <c r="UDD59" s="169"/>
      <c r="UDE59" s="169"/>
      <c r="UDF59" s="169"/>
      <c r="UDG59" s="169"/>
      <c r="UDH59" s="169"/>
      <c r="UDI59" s="169"/>
      <c r="UDJ59" s="169"/>
      <c r="UDK59" s="169"/>
      <c r="UDL59" s="169"/>
      <c r="UDM59" s="169"/>
      <c r="UDN59" s="169"/>
      <c r="UDO59" s="169"/>
      <c r="UDP59" s="169"/>
      <c r="UDQ59" s="169"/>
      <c r="UDR59" s="169"/>
      <c r="UDS59" s="169"/>
      <c r="UDT59" s="169"/>
      <c r="UDU59" s="169"/>
      <c r="UDV59" s="169"/>
      <c r="UDW59" s="169"/>
      <c r="UDX59" s="169"/>
      <c r="UDY59" s="169"/>
      <c r="UDZ59" s="169"/>
      <c r="UEA59" s="169"/>
      <c r="UEB59" s="169"/>
      <c r="UEC59" s="169"/>
      <c r="UED59" s="169"/>
      <c r="UEE59" s="169"/>
      <c r="UEF59" s="169"/>
      <c r="UEG59" s="169"/>
      <c r="UEH59" s="169"/>
      <c r="UEI59" s="169"/>
      <c r="UEJ59" s="169"/>
      <c r="UEK59" s="169"/>
      <c r="UEL59" s="169"/>
      <c r="UEM59" s="169"/>
      <c r="UEN59" s="169"/>
      <c r="UEO59" s="169"/>
      <c r="UEP59" s="169"/>
      <c r="UEQ59" s="169"/>
      <c r="UER59" s="169"/>
      <c r="UES59" s="169"/>
      <c r="UET59" s="169"/>
      <c r="UEU59" s="169"/>
      <c r="UEV59" s="169"/>
      <c r="UEW59" s="169"/>
      <c r="UEX59" s="169"/>
      <c r="UEY59" s="169"/>
      <c r="UEZ59" s="169"/>
      <c r="UFA59" s="169"/>
      <c r="UFB59" s="169"/>
      <c r="UFC59" s="169"/>
      <c r="UFD59" s="169"/>
      <c r="UFE59" s="169"/>
      <c r="UFF59" s="169"/>
      <c r="UFG59" s="169"/>
      <c r="UFH59" s="169"/>
      <c r="UFI59" s="169"/>
      <c r="UFJ59" s="169"/>
      <c r="UFK59" s="169"/>
      <c r="UFL59" s="169"/>
      <c r="UFM59" s="169"/>
      <c r="UFN59" s="169"/>
      <c r="UFO59" s="169"/>
      <c r="UFP59" s="169"/>
      <c r="UFQ59" s="169"/>
      <c r="UFR59" s="169"/>
      <c r="UFS59" s="169"/>
      <c r="UFT59" s="169"/>
      <c r="UFU59" s="169"/>
      <c r="UFV59" s="169"/>
      <c r="UFW59" s="169"/>
      <c r="UFX59" s="169"/>
      <c r="UFY59" s="169"/>
      <c r="UFZ59" s="169"/>
      <c r="UGA59" s="169"/>
      <c r="UGB59" s="169"/>
      <c r="UGC59" s="169"/>
      <c r="UGD59" s="169"/>
      <c r="UGE59" s="169"/>
      <c r="UGF59" s="169"/>
      <c r="UGG59" s="169"/>
      <c r="UGH59" s="169"/>
      <c r="UGI59" s="169"/>
      <c r="UGJ59" s="169"/>
      <c r="UGK59" s="169"/>
      <c r="UGL59" s="169"/>
      <c r="UGM59" s="169"/>
      <c r="UGN59" s="169"/>
      <c r="UGO59" s="169"/>
      <c r="UGP59" s="169"/>
      <c r="UGQ59" s="169"/>
      <c r="UGR59" s="169"/>
      <c r="UGS59" s="169"/>
      <c r="UGT59" s="169"/>
      <c r="UGU59" s="169"/>
      <c r="UGV59" s="169"/>
      <c r="UGW59" s="169"/>
      <c r="UGX59" s="169"/>
      <c r="UGY59" s="169"/>
      <c r="UGZ59" s="169"/>
      <c r="UHA59" s="169"/>
      <c r="UHB59" s="169"/>
      <c r="UHC59" s="169"/>
      <c r="UHD59" s="169"/>
      <c r="UHE59" s="169"/>
      <c r="UHF59" s="169"/>
      <c r="UHG59" s="169"/>
      <c r="UHH59" s="169"/>
      <c r="UHI59" s="169"/>
      <c r="UHJ59" s="169"/>
      <c r="UHK59" s="169"/>
      <c r="UHL59" s="169"/>
      <c r="UHM59" s="169"/>
      <c r="UHN59" s="169"/>
      <c r="UHO59" s="169"/>
      <c r="UHP59" s="169"/>
      <c r="UHQ59" s="169"/>
      <c r="UHR59" s="169"/>
      <c r="UHS59" s="169"/>
      <c r="UHT59" s="169"/>
      <c r="UHU59" s="169"/>
      <c r="UHV59" s="169"/>
      <c r="UHW59" s="169"/>
      <c r="UHX59" s="169"/>
      <c r="UHY59" s="169"/>
      <c r="UHZ59" s="169"/>
      <c r="UIA59" s="169"/>
      <c r="UIB59" s="169"/>
      <c r="UIC59" s="169"/>
      <c r="UID59" s="169"/>
      <c r="UIE59" s="169"/>
      <c r="UIF59" s="169"/>
      <c r="UIG59" s="169"/>
      <c r="UIH59" s="169"/>
      <c r="UII59" s="169"/>
      <c r="UIJ59" s="169"/>
      <c r="UIK59" s="169"/>
      <c r="UIL59" s="169"/>
      <c r="UIM59" s="169"/>
      <c r="UIN59" s="169"/>
      <c r="UIO59" s="169"/>
      <c r="UIP59" s="169"/>
      <c r="UIQ59" s="169"/>
      <c r="UIR59" s="169"/>
      <c r="UIS59" s="169"/>
      <c r="UIT59" s="169"/>
      <c r="UIU59" s="169"/>
      <c r="UIV59" s="169"/>
      <c r="UIW59" s="169"/>
      <c r="UIX59" s="169"/>
      <c r="UIY59" s="169"/>
      <c r="UIZ59" s="169"/>
      <c r="UJA59" s="169"/>
      <c r="UJB59" s="169"/>
      <c r="UJC59" s="169"/>
      <c r="UJD59" s="169"/>
      <c r="UJE59" s="169"/>
      <c r="UJF59" s="169"/>
      <c r="UJG59" s="169"/>
      <c r="UJH59" s="169"/>
      <c r="UJI59" s="169"/>
      <c r="UJJ59" s="169"/>
      <c r="UJK59" s="169"/>
      <c r="UJL59" s="169"/>
      <c r="UJM59" s="169"/>
      <c r="UJN59" s="169"/>
      <c r="UJO59" s="169"/>
      <c r="UJP59" s="169"/>
      <c r="UJQ59" s="169"/>
      <c r="UJR59" s="169"/>
      <c r="UJS59" s="169"/>
      <c r="UJT59" s="169"/>
      <c r="UJU59" s="169"/>
      <c r="UJV59" s="169"/>
      <c r="UJW59" s="169"/>
      <c r="UJX59" s="169"/>
      <c r="UJY59" s="169"/>
      <c r="UJZ59" s="169"/>
      <c r="UKA59" s="169"/>
      <c r="UKB59" s="169"/>
      <c r="UKC59" s="169"/>
      <c r="UKD59" s="169"/>
      <c r="UKE59" s="169"/>
      <c r="UKF59" s="169"/>
      <c r="UKG59" s="169"/>
      <c r="UKH59" s="169"/>
      <c r="UKI59" s="169"/>
      <c r="UKJ59" s="169"/>
      <c r="UKK59" s="169"/>
      <c r="UKL59" s="169"/>
      <c r="UKM59" s="169"/>
      <c r="UKN59" s="169"/>
      <c r="UKO59" s="169"/>
      <c r="UKP59" s="169"/>
      <c r="UKQ59" s="169"/>
      <c r="UKR59" s="169"/>
      <c r="UKS59" s="169"/>
      <c r="UKT59" s="169"/>
      <c r="UKU59" s="169"/>
      <c r="UKV59" s="169"/>
      <c r="UKW59" s="169"/>
      <c r="UKX59" s="169"/>
      <c r="UKY59" s="169"/>
      <c r="UKZ59" s="169"/>
      <c r="ULA59" s="169"/>
      <c r="ULB59" s="169"/>
      <c r="ULC59" s="169"/>
      <c r="ULD59" s="169"/>
      <c r="ULE59" s="169"/>
      <c r="ULF59" s="169"/>
      <c r="ULG59" s="169"/>
      <c r="ULH59" s="169"/>
      <c r="ULI59" s="169"/>
      <c r="ULJ59" s="169"/>
      <c r="ULK59" s="169"/>
      <c r="ULL59" s="169"/>
      <c r="ULM59" s="169"/>
      <c r="ULN59" s="169"/>
      <c r="ULO59" s="169"/>
      <c r="ULP59" s="169"/>
      <c r="ULQ59" s="169"/>
      <c r="ULR59" s="169"/>
      <c r="ULS59" s="169"/>
      <c r="ULT59" s="169"/>
      <c r="ULU59" s="169"/>
      <c r="ULV59" s="169"/>
      <c r="ULW59" s="169"/>
      <c r="ULX59" s="169"/>
      <c r="ULY59" s="169"/>
      <c r="ULZ59" s="169"/>
      <c r="UMA59" s="169"/>
      <c r="UMB59" s="169"/>
      <c r="UMC59" s="169"/>
      <c r="UMD59" s="169"/>
      <c r="UME59" s="169"/>
      <c r="UMF59" s="169"/>
      <c r="UMG59" s="169"/>
      <c r="UMH59" s="169"/>
      <c r="UMI59" s="169"/>
      <c r="UMJ59" s="169"/>
      <c r="UMK59" s="169"/>
      <c r="UML59" s="169"/>
      <c r="UMM59" s="169"/>
      <c r="UMN59" s="169"/>
      <c r="UMO59" s="169"/>
      <c r="UMP59" s="169"/>
      <c r="UMQ59" s="169"/>
      <c r="UMR59" s="169"/>
      <c r="UMS59" s="169"/>
      <c r="UMT59" s="169"/>
      <c r="UMU59" s="169"/>
      <c r="UMV59" s="169"/>
      <c r="UMW59" s="169"/>
      <c r="UMX59" s="169"/>
      <c r="UMY59" s="169"/>
      <c r="UMZ59" s="169"/>
      <c r="UNA59" s="169"/>
      <c r="UNB59" s="169"/>
      <c r="UNC59" s="169"/>
      <c r="UND59" s="169"/>
      <c r="UNE59" s="169"/>
      <c r="UNF59" s="169"/>
      <c r="UNG59" s="169"/>
      <c r="UNH59" s="169"/>
      <c r="UNI59" s="169"/>
      <c r="UNJ59" s="169"/>
      <c r="UNK59" s="169"/>
      <c r="UNL59" s="169"/>
      <c r="UNM59" s="169"/>
      <c r="UNN59" s="169"/>
      <c r="UNO59" s="169"/>
      <c r="UNP59" s="169"/>
      <c r="UNQ59" s="169"/>
      <c r="UNR59" s="169"/>
      <c r="UNS59" s="169"/>
      <c r="UNT59" s="169"/>
      <c r="UNU59" s="169"/>
      <c r="UNV59" s="169"/>
      <c r="UNW59" s="169"/>
      <c r="UNX59" s="169"/>
      <c r="UNY59" s="169"/>
      <c r="UNZ59" s="169"/>
      <c r="UOA59" s="169"/>
      <c r="UOB59" s="169"/>
      <c r="UOC59" s="169"/>
      <c r="UOD59" s="169"/>
      <c r="UOE59" s="169"/>
      <c r="UOF59" s="169"/>
      <c r="UOG59" s="169"/>
      <c r="UOH59" s="169"/>
      <c r="UOI59" s="169"/>
      <c r="UOJ59" s="169"/>
      <c r="UOK59" s="169"/>
      <c r="UOL59" s="169"/>
      <c r="UOM59" s="169"/>
      <c r="UON59" s="169"/>
      <c r="UOO59" s="169"/>
      <c r="UOP59" s="169"/>
      <c r="UOQ59" s="169"/>
      <c r="UOR59" s="169"/>
      <c r="UOS59" s="169"/>
      <c r="UOT59" s="169"/>
      <c r="UOU59" s="169"/>
      <c r="UOV59" s="169"/>
      <c r="UOW59" s="169"/>
      <c r="UOX59" s="169"/>
      <c r="UOY59" s="169"/>
      <c r="UOZ59" s="169"/>
      <c r="UPA59" s="169"/>
      <c r="UPB59" s="169"/>
      <c r="UPC59" s="169"/>
      <c r="UPD59" s="169"/>
      <c r="UPE59" s="169"/>
      <c r="UPF59" s="169"/>
      <c r="UPG59" s="169"/>
      <c r="UPH59" s="169"/>
      <c r="UPI59" s="169"/>
      <c r="UPJ59" s="169"/>
      <c r="UPK59" s="169"/>
      <c r="UPL59" s="169"/>
      <c r="UPM59" s="169"/>
      <c r="UPN59" s="169"/>
      <c r="UPO59" s="169"/>
      <c r="UPP59" s="169"/>
      <c r="UPQ59" s="169"/>
      <c r="UPR59" s="169"/>
      <c r="UPS59" s="169"/>
      <c r="UPT59" s="169"/>
      <c r="UPU59" s="169"/>
      <c r="UPV59" s="169"/>
      <c r="UPW59" s="169"/>
      <c r="UPX59" s="169"/>
      <c r="UPY59" s="169"/>
      <c r="UPZ59" s="169"/>
      <c r="UQA59" s="169"/>
      <c r="UQB59" s="169"/>
      <c r="UQC59" s="169"/>
      <c r="UQD59" s="169"/>
      <c r="UQE59" s="169"/>
      <c r="UQF59" s="169"/>
      <c r="UQG59" s="169"/>
      <c r="UQH59" s="169"/>
      <c r="UQI59" s="169"/>
      <c r="UQJ59" s="169"/>
      <c r="UQK59" s="169"/>
      <c r="UQL59" s="169"/>
      <c r="UQM59" s="169"/>
      <c r="UQN59" s="169"/>
      <c r="UQO59" s="169"/>
      <c r="UQP59" s="169"/>
      <c r="UQQ59" s="169"/>
      <c r="UQR59" s="169"/>
      <c r="UQS59" s="169"/>
      <c r="UQT59" s="169"/>
      <c r="UQU59" s="169"/>
      <c r="UQV59" s="169"/>
      <c r="UQW59" s="169"/>
      <c r="UQX59" s="169"/>
      <c r="UQY59" s="169"/>
      <c r="UQZ59" s="169"/>
      <c r="URA59" s="169"/>
      <c r="URB59" s="169"/>
      <c r="URC59" s="169"/>
      <c r="URD59" s="169"/>
      <c r="URE59" s="169"/>
      <c r="URF59" s="169"/>
      <c r="URG59" s="169"/>
      <c r="URH59" s="169"/>
      <c r="URI59" s="169"/>
      <c r="URJ59" s="169"/>
      <c r="URK59" s="169"/>
      <c r="URL59" s="169"/>
      <c r="URM59" s="169"/>
      <c r="URN59" s="169"/>
      <c r="URO59" s="169"/>
      <c r="URP59" s="169"/>
      <c r="URQ59" s="169"/>
      <c r="URR59" s="169"/>
      <c r="URS59" s="169"/>
      <c r="URT59" s="169"/>
      <c r="URU59" s="169"/>
      <c r="URV59" s="169"/>
      <c r="URW59" s="169"/>
      <c r="URX59" s="169"/>
      <c r="URY59" s="169"/>
      <c r="URZ59" s="169"/>
      <c r="USA59" s="169"/>
      <c r="USB59" s="169"/>
      <c r="USC59" s="169"/>
      <c r="USD59" s="169"/>
      <c r="USE59" s="169"/>
      <c r="USF59" s="169"/>
      <c r="USG59" s="169"/>
      <c r="USH59" s="169"/>
      <c r="USI59" s="169"/>
      <c r="USJ59" s="169"/>
      <c r="USK59" s="169"/>
      <c r="USL59" s="169"/>
      <c r="USM59" s="169"/>
      <c r="USN59" s="169"/>
      <c r="USO59" s="169"/>
      <c r="USP59" s="169"/>
      <c r="USQ59" s="169"/>
      <c r="USR59" s="169"/>
      <c r="USS59" s="169"/>
      <c r="UST59" s="169"/>
      <c r="USU59" s="169"/>
      <c r="USV59" s="169"/>
      <c r="USW59" s="169"/>
      <c r="USX59" s="169"/>
      <c r="USY59" s="169"/>
      <c r="USZ59" s="169"/>
      <c r="UTA59" s="169"/>
      <c r="UTB59" s="169"/>
      <c r="UTC59" s="169"/>
      <c r="UTD59" s="169"/>
      <c r="UTE59" s="169"/>
      <c r="UTF59" s="169"/>
      <c r="UTG59" s="169"/>
      <c r="UTH59" s="169"/>
      <c r="UTI59" s="169"/>
      <c r="UTJ59" s="169"/>
      <c r="UTK59" s="169"/>
      <c r="UTL59" s="169"/>
      <c r="UTM59" s="169"/>
      <c r="UTN59" s="169"/>
      <c r="UTO59" s="169"/>
      <c r="UTP59" s="169"/>
      <c r="UTQ59" s="169"/>
      <c r="UTR59" s="169"/>
      <c r="UTS59" s="169"/>
      <c r="UTT59" s="169"/>
      <c r="UTU59" s="169"/>
      <c r="UTV59" s="169"/>
      <c r="UTW59" s="169"/>
      <c r="UTX59" s="169"/>
      <c r="UTY59" s="169"/>
      <c r="UTZ59" s="169"/>
      <c r="UUA59" s="169"/>
      <c r="UUB59" s="169"/>
      <c r="UUC59" s="169"/>
      <c r="UUD59" s="169"/>
      <c r="UUE59" s="169"/>
      <c r="UUF59" s="169"/>
      <c r="UUG59" s="169"/>
      <c r="UUH59" s="169"/>
      <c r="UUI59" s="169"/>
      <c r="UUJ59" s="169"/>
      <c r="UUK59" s="169"/>
      <c r="UUL59" s="169"/>
      <c r="UUM59" s="169"/>
      <c r="UUN59" s="169"/>
      <c r="UUO59" s="169"/>
      <c r="UUP59" s="169"/>
      <c r="UUQ59" s="169"/>
      <c r="UUR59" s="169"/>
      <c r="UUS59" s="169"/>
      <c r="UUT59" s="169"/>
      <c r="UUU59" s="169"/>
      <c r="UUV59" s="169"/>
      <c r="UUW59" s="169"/>
      <c r="UUX59" s="169"/>
      <c r="UUY59" s="169"/>
      <c r="UUZ59" s="169"/>
      <c r="UVA59" s="169"/>
      <c r="UVB59" s="169"/>
      <c r="UVC59" s="169"/>
      <c r="UVD59" s="169"/>
      <c r="UVE59" s="169"/>
      <c r="UVF59" s="169"/>
      <c r="UVG59" s="169"/>
      <c r="UVH59" s="169"/>
      <c r="UVI59" s="169"/>
      <c r="UVJ59" s="169"/>
      <c r="UVK59" s="169"/>
      <c r="UVL59" s="169"/>
      <c r="UVM59" s="169"/>
      <c r="UVN59" s="169"/>
      <c r="UVO59" s="169"/>
      <c r="UVP59" s="169"/>
      <c r="UVQ59" s="169"/>
      <c r="UVR59" s="169"/>
      <c r="UVS59" s="169"/>
      <c r="UVT59" s="169"/>
      <c r="UVU59" s="169"/>
      <c r="UVV59" s="169"/>
      <c r="UVW59" s="169"/>
      <c r="UVX59" s="169"/>
      <c r="UVY59" s="169"/>
      <c r="UVZ59" s="169"/>
      <c r="UWA59" s="169"/>
      <c r="UWB59" s="169"/>
      <c r="UWC59" s="169"/>
      <c r="UWD59" s="169"/>
      <c r="UWE59" s="169"/>
      <c r="UWF59" s="169"/>
      <c r="UWG59" s="169"/>
      <c r="UWH59" s="169"/>
      <c r="UWI59" s="169"/>
      <c r="UWJ59" s="169"/>
      <c r="UWK59" s="169"/>
      <c r="UWL59" s="169"/>
      <c r="UWM59" s="169"/>
      <c r="UWN59" s="169"/>
      <c r="UWO59" s="169"/>
      <c r="UWP59" s="169"/>
      <c r="UWQ59" s="169"/>
      <c r="UWR59" s="169"/>
      <c r="UWS59" s="169"/>
      <c r="UWT59" s="169"/>
      <c r="UWU59" s="169"/>
      <c r="UWV59" s="169"/>
      <c r="UWW59" s="169"/>
      <c r="UWX59" s="169"/>
      <c r="UWY59" s="169"/>
      <c r="UWZ59" s="169"/>
      <c r="UXA59" s="169"/>
      <c r="UXB59" s="169"/>
      <c r="UXC59" s="169"/>
      <c r="UXD59" s="169"/>
      <c r="UXE59" s="169"/>
      <c r="UXF59" s="169"/>
      <c r="UXG59" s="169"/>
      <c r="UXH59" s="169"/>
      <c r="UXI59" s="169"/>
      <c r="UXJ59" s="169"/>
      <c r="UXK59" s="169"/>
      <c r="UXL59" s="169"/>
      <c r="UXM59" s="169"/>
      <c r="UXN59" s="169"/>
      <c r="UXO59" s="169"/>
      <c r="UXP59" s="169"/>
      <c r="UXQ59" s="169"/>
      <c r="UXR59" s="169"/>
      <c r="UXS59" s="169"/>
      <c r="UXT59" s="169"/>
      <c r="UXU59" s="169"/>
      <c r="UXV59" s="169"/>
      <c r="UXW59" s="169"/>
      <c r="UXX59" s="169"/>
      <c r="UXY59" s="169"/>
      <c r="UXZ59" s="169"/>
      <c r="UYA59" s="169"/>
      <c r="UYB59" s="169"/>
      <c r="UYC59" s="169"/>
      <c r="UYD59" s="169"/>
      <c r="UYE59" s="169"/>
      <c r="UYF59" s="169"/>
      <c r="UYG59" s="169"/>
      <c r="UYH59" s="169"/>
      <c r="UYI59" s="169"/>
      <c r="UYJ59" s="169"/>
      <c r="UYK59" s="169"/>
      <c r="UYL59" s="169"/>
      <c r="UYM59" s="169"/>
      <c r="UYN59" s="169"/>
      <c r="UYO59" s="169"/>
      <c r="UYP59" s="169"/>
      <c r="UYQ59" s="169"/>
      <c r="UYR59" s="169"/>
      <c r="UYS59" s="169"/>
      <c r="UYT59" s="169"/>
      <c r="UYU59" s="169"/>
      <c r="UYV59" s="169"/>
      <c r="UYW59" s="169"/>
      <c r="UYX59" s="169"/>
      <c r="UYY59" s="169"/>
      <c r="UYZ59" s="169"/>
      <c r="UZA59" s="169"/>
      <c r="UZB59" s="169"/>
      <c r="UZC59" s="169"/>
      <c r="UZD59" s="169"/>
      <c r="UZE59" s="169"/>
      <c r="UZF59" s="169"/>
      <c r="UZG59" s="169"/>
      <c r="UZH59" s="169"/>
      <c r="UZI59" s="169"/>
      <c r="UZJ59" s="169"/>
      <c r="UZK59" s="169"/>
      <c r="UZL59" s="169"/>
      <c r="UZM59" s="169"/>
      <c r="UZN59" s="169"/>
      <c r="UZO59" s="169"/>
      <c r="UZP59" s="169"/>
      <c r="UZQ59" s="169"/>
      <c r="UZR59" s="169"/>
      <c r="UZS59" s="169"/>
      <c r="UZT59" s="169"/>
      <c r="UZU59" s="169"/>
      <c r="UZV59" s="169"/>
      <c r="UZW59" s="169"/>
      <c r="UZX59" s="169"/>
      <c r="UZY59" s="169"/>
      <c r="UZZ59" s="169"/>
      <c r="VAA59" s="169"/>
      <c r="VAB59" s="169"/>
      <c r="VAC59" s="169"/>
      <c r="VAD59" s="169"/>
      <c r="VAE59" s="169"/>
      <c r="VAF59" s="169"/>
      <c r="VAG59" s="169"/>
      <c r="VAH59" s="169"/>
      <c r="VAI59" s="169"/>
      <c r="VAJ59" s="169"/>
      <c r="VAK59" s="169"/>
      <c r="VAL59" s="169"/>
      <c r="VAM59" s="169"/>
      <c r="VAN59" s="169"/>
      <c r="VAO59" s="169"/>
      <c r="VAP59" s="169"/>
      <c r="VAQ59" s="169"/>
      <c r="VAR59" s="169"/>
      <c r="VAS59" s="169"/>
      <c r="VAT59" s="169"/>
      <c r="VAU59" s="169"/>
      <c r="VAV59" s="169"/>
      <c r="VAW59" s="169"/>
      <c r="VAX59" s="169"/>
      <c r="VAY59" s="169"/>
      <c r="VAZ59" s="169"/>
      <c r="VBA59" s="169"/>
      <c r="VBB59" s="169"/>
      <c r="VBC59" s="169"/>
      <c r="VBD59" s="169"/>
      <c r="VBE59" s="169"/>
      <c r="VBF59" s="169"/>
      <c r="VBG59" s="169"/>
      <c r="VBH59" s="169"/>
      <c r="VBI59" s="169"/>
      <c r="VBJ59" s="169"/>
      <c r="VBK59" s="169"/>
      <c r="VBL59" s="169"/>
      <c r="VBM59" s="169"/>
      <c r="VBN59" s="169"/>
      <c r="VBO59" s="169"/>
      <c r="VBP59" s="169"/>
      <c r="VBQ59" s="169"/>
      <c r="VBR59" s="169"/>
      <c r="VBS59" s="169"/>
      <c r="VBT59" s="169"/>
      <c r="VBU59" s="169"/>
      <c r="VBV59" s="169"/>
      <c r="VBW59" s="169"/>
      <c r="VBX59" s="169"/>
      <c r="VBY59" s="169"/>
      <c r="VBZ59" s="169"/>
      <c r="VCA59" s="169"/>
      <c r="VCB59" s="169"/>
      <c r="VCC59" s="169"/>
      <c r="VCD59" s="169"/>
      <c r="VCE59" s="169"/>
      <c r="VCF59" s="169"/>
      <c r="VCG59" s="169"/>
      <c r="VCH59" s="169"/>
      <c r="VCI59" s="169"/>
      <c r="VCJ59" s="169"/>
      <c r="VCK59" s="169"/>
      <c r="VCL59" s="169"/>
      <c r="VCM59" s="169"/>
      <c r="VCN59" s="169"/>
      <c r="VCO59" s="169"/>
      <c r="VCP59" s="169"/>
      <c r="VCQ59" s="169"/>
      <c r="VCR59" s="169"/>
      <c r="VCS59" s="169"/>
      <c r="VCT59" s="169"/>
      <c r="VCU59" s="169"/>
      <c r="VCV59" s="169"/>
      <c r="VCW59" s="169"/>
      <c r="VCX59" s="169"/>
      <c r="VCY59" s="169"/>
      <c r="VCZ59" s="169"/>
      <c r="VDA59" s="169"/>
      <c r="VDB59" s="169"/>
      <c r="VDC59" s="169"/>
      <c r="VDD59" s="169"/>
      <c r="VDE59" s="169"/>
      <c r="VDF59" s="169"/>
      <c r="VDG59" s="169"/>
      <c r="VDH59" s="169"/>
      <c r="VDI59" s="169"/>
      <c r="VDJ59" s="169"/>
      <c r="VDK59" s="169"/>
      <c r="VDL59" s="169"/>
      <c r="VDM59" s="169"/>
      <c r="VDN59" s="169"/>
      <c r="VDO59" s="169"/>
      <c r="VDP59" s="169"/>
      <c r="VDQ59" s="169"/>
      <c r="VDR59" s="169"/>
      <c r="VDS59" s="169"/>
      <c r="VDT59" s="169"/>
      <c r="VDU59" s="169"/>
      <c r="VDV59" s="169"/>
      <c r="VDW59" s="169"/>
      <c r="VDX59" s="169"/>
      <c r="VDY59" s="169"/>
      <c r="VDZ59" s="169"/>
      <c r="VEA59" s="169"/>
      <c r="VEB59" s="169"/>
      <c r="VEC59" s="169"/>
      <c r="VED59" s="169"/>
      <c r="VEE59" s="169"/>
      <c r="VEF59" s="169"/>
      <c r="VEG59" s="169"/>
      <c r="VEH59" s="169"/>
      <c r="VEI59" s="169"/>
      <c r="VEJ59" s="169"/>
      <c r="VEK59" s="169"/>
      <c r="VEL59" s="169"/>
      <c r="VEM59" s="169"/>
      <c r="VEN59" s="169"/>
      <c r="VEO59" s="169"/>
      <c r="VEP59" s="169"/>
      <c r="VEQ59" s="169"/>
      <c r="VER59" s="169"/>
      <c r="VES59" s="169"/>
      <c r="VET59" s="169"/>
      <c r="VEU59" s="169"/>
      <c r="VEV59" s="169"/>
      <c r="VEW59" s="169"/>
      <c r="VEX59" s="169"/>
      <c r="VEY59" s="169"/>
      <c r="VEZ59" s="169"/>
      <c r="VFA59" s="169"/>
      <c r="VFB59" s="169"/>
      <c r="VFC59" s="169"/>
      <c r="VFD59" s="169"/>
      <c r="VFE59" s="169"/>
      <c r="VFF59" s="169"/>
      <c r="VFG59" s="169"/>
      <c r="VFH59" s="169"/>
      <c r="VFI59" s="169"/>
      <c r="VFJ59" s="169"/>
      <c r="VFK59" s="169"/>
      <c r="VFL59" s="169"/>
      <c r="VFM59" s="169"/>
      <c r="VFN59" s="169"/>
      <c r="VFO59" s="169"/>
      <c r="VFP59" s="169"/>
      <c r="VFQ59" s="169"/>
      <c r="VFR59" s="169"/>
      <c r="VFS59" s="169"/>
      <c r="VFT59" s="169"/>
      <c r="VFU59" s="169"/>
      <c r="VFV59" s="169"/>
      <c r="VFW59" s="169"/>
      <c r="VFX59" s="169"/>
      <c r="VFY59" s="169"/>
      <c r="VFZ59" s="169"/>
      <c r="VGA59" s="169"/>
      <c r="VGB59" s="169"/>
      <c r="VGC59" s="169"/>
      <c r="VGD59" s="169"/>
      <c r="VGE59" s="169"/>
      <c r="VGF59" s="169"/>
      <c r="VGG59" s="169"/>
      <c r="VGH59" s="169"/>
      <c r="VGI59" s="169"/>
      <c r="VGJ59" s="169"/>
      <c r="VGK59" s="169"/>
      <c r="VGL59" s="169"/>
      <c r="VGM59" s="169"/>
      <c r="VGN59" s="169"/>
      <c r="VGO59" s="169"/>
      <c r="VGP59" s="169"/>
      <c r="VGQ59" s="169"/>
      <c r="VGR59" s="169"/>
      <c r="VGS59" s="169"/>
      <c r="VGT59" s="169"/>
      <c r="VGU59" s="169"/>
      <c r="VGV59" s="169"/>
      <c r="VGW59" s="169"/>
      <c r="VGX59" s="169"/>
      <c r="VGY59" s="169"/>
      <c r="VGZ59" s="169"/>
      <c r="VHA59" s="169"/>
      <c r="VHB59" s="169"/>
      <c r="VHC59" s="169"/>
      <c r="VHD59" s="169"/>
      <c r="VHE59" s="169"/>
      <c r="VHF59" s="169"/>
      <c r="VHG59" s="169"/>
      <c r="VHH59" s="169"/>
      <c r="VHI59" s="169"/>
      <c r="VHJ59" s="169"/>
      <c r="VHK59" s="169"/>
      <c r="VHL59" s="169"/>
      <c r="VHM59" s="169"/>
      <c r="VHN59" s="169"/>
      <c r="VHO59" s="169"/>
      <c r="VHP59" s="169"/>
      <c r="VHQ59" s="169"/>
      <c r="VHR59" s="169"/>
      <c r="VHS59" s="169"/>
      <c r="VHT59" s="169"/>
      <c r="VHU59" s="169"/>
      <c r="VHV59" s="169"/>
      <c r="VHW59" s="169"/>
      <c r="VHX59" s="169"/>
      <c r="VHY59" s="169"/>
      <c r="VHZ59" s="169"/>
      <c r="VIA59" s="169"/>
      <c r="VIB59" s="169"/>
      <c r="VIC59" s="169"/>
      <c r="VID59" s="169"/>
      <c r="VIE59" s="169"/>
      <c r="VIF59" s="169"/>
      <c r="VIG59" s="169"/>
      <c r="VIH59" s="169"/>
      <c r="VII59" s="169"/>
      <c r="VIJ59" s="169"/>
      <c r="VIK59" s="169"/>
      <c r="VIL59" s="169"/>
      <c r="VIM59" s="169"/>
      <c r="VIN59" s="169"/>
      <c r="VIO59" s="169"/>
      <c r="VIP59" s="169"/>
      <c r="VIQ59" s="169"/>
      <c r="VIR59" s="169"/>
      <c r="VIS59" s="169"/>
      <c r="VIT59" s="169"/>
      <c r="VIU59" s="169"/>
      <c r="VIV59" s="169"/>
      <c r="VIW59" s="169"/>
      <c r="VIX59" s="169"/>
      <c r="VIY59" s="169"/>
      <c r="VIZ59" s="169"/>
      <c r="VJA59" s="169"/>
      <c r="VJB59" s="169"/>
      <c r="VJC59" s="169"/>
      <c r="VJD59" s="169"/>
      <c r="VJE59" s="169"/>
      <c r="VJF59" s="169"/>
      <c r="VJG59" s="169"/>
      <c r="VJH59" s="169"/>
      <c r="VJI59" s="169"/>
      <c r="VJJ59" s="169"/>
      <c r="VJK59" s="169"/>
      <c r="VJL59" s="169"/>
      <c r="VJM59" s="169"/>
      <c r="VJN59" s="169"/>
      <c r="VJO59" s="169"/>
      <c r="VJP59" s="169"/>
      <c r="VJQ59" s="169"/>
      <c r="VJR59" s="169"/>
      <c r="VJS59" s="169"/>
      <c r="VJT59" s="169"/>
      <c r="VJU59" s="169"/>
      <c r="VJV59" s="169"/>
      <c r="VJW59" s="169"/>
      <c r="VJX59" s="169"/>
      <c r="VJY59" s="169"/>
      <c r="VJZ59" s="169"/>
      <c r="VKA59" s="169"/>
      <c r="VKB59" s="169"/>
      <c r="VKC59" s="169"/>
      <c r="VKD59" s="169"/>
      <c r="VKE59" s="169"/>
      <c r="VKF59" s="169"/>
      <c r="VKG59" s="169"/>
      <c r="VKH59" s="169"/>
      <c r="VKI59" s="169"/>
      <c r="VKJ59" s="169"/>
      <c r="VKK59" s="169"/>
      <c r="VKL59" s="169"/>
      <c r="VKM59" s="169"/>
      <c r="VKN59" s="169"/>
      <c r="VKO59" s="169"/>
      <c r="VKP59" s="169"/>
      <c r="VKQ59" s="169"/>
      <c r="VKR59" s="169"/>
      <c r="VKS59" s="169"/>
      <c r="VKT59" s="169"/>
      <c r="VKU59" s="169"/>
      <c r="VKV59" s="169"/>
      <c r="VKW59" s="169"/>
      <c r="VKX59" s="169"/>
      <c r="VKY59" s="169"/>
      <c r="VKZ59" s="169"/>
      <c r="VLA59" s="169"/>
      <c r="VLB59" s="169"/>
      <c r="VLC59" s="169"/>
      <c r="VLD59" s="169"/>
      <c r="VLE59" s="169"/>
      <c r="VLF59" s="169"/>
      <c r="VLG59" s="169"/>
      <c r="VLH59" s="169"/>
      <c r="VLI59" s="169"/>
      <c r="VLJ59" s="169"/>
      <c r="VLK59" s="169"/>
      <c r="VLL59" s="169"/>
      <c r="VLM59" s="169"/>
      <c r="VLN59" s="169"/>
      <c r="VLO59" s="169"/>
      <c r="VLP59" s="169"/>
      <c r="VLQ59" s="169"/>
      <c r="VLR59" s="169"/>
      <c r="VLS59" s="169"/>
      <c r="VLT59" s="169"/>
      <c r="VLU59" s="169"/>
      <c r="VLV59" s="169"/>
      <c r="VLW59" s="169"/>
      <c r="VLX59" s="169"/>
      <c r="VLY59" s="169"/>
      <c r="VLZ59" s="169"/>
      <c r="VMA59" s="169"/>
      <c r="VMB59" s="169"/>
      <c r="VMC59" s="169"/>
      <c r="VMD59" s="169"/>
      <c r="VME59" s="169"/>
      <c r="VMF59" s="169"/>
      <c r="VMG59" s="169"/>
      <c r="VMH59" s="169"/>
      <c r="VMI59" s="169"/>
      <c r="VMJ59" s="169"/>
      <c r="VMK59" s="169"/>
      <c r="VML59" s="169"/>
      <c r="VMM59" s="169"/>
      <c r="VMN59" s="169"/>
      <c r="VMO59" s="169"/>
      <c r="VMP59" s="169"/>
      <c r="VMQ59" s="169"/>
      <c r="VMR59" s="169"/>
      <c r="VMS59" s="169"/>
      <c r="VMT59" s="169"/>
      <c r="VMU59" s="169"/>
      <c r="VMV59" s="169"/>
      <c r="VMW59" s="169"/>
      <c r="VMX59" s="169"/>
      <c r="VMY59" s="169"/>
      <c r="VMZ59" s="169"/>
      <c r="VNA59" s="169"/>
      <c r="VNB59" s="169"/>
      <c r="VNC59" s="169"/>
      <c r="VND59" s="169"/>
      <c r="VNE59" s="169"/>
      <c r="VNF59" s="169"/>
      <c r="VNG59" s="169"/>
      <c r="VNH59" s="169"/>
      <c r="VNI59" s="169"/>
      <c r="VNJ59" s="169"/>
      <c r="VNK59" s="169"/>
      <c r="VNL59" s="169"/>
      <c r="VNM59" s="169"/>
      <c r="VNN59" s="169"/>
      <c r="VNO59" s="169"/>
      <c r="VNP59" s="169"/>
      <c r="VNQ59" s="169"/>
      <c r="VNR59" s="169"/>
      <c r="VNS59" s="169"/>
      <c r="VNT59" s="169"/>
      <c r="VNU59" s="169"/>
      <c r="VNV59" s="169"/>
      <c r="VNW59" s="169"/>
      <c r="VNX59" s="169"/>
      <c r="VNY59" s="169"/>
      <c r="VNZ59" s="169"/>
      <c r="VOA59" s="169"/>
      <c r="VOB59" s="169"/>
      <c r="VOC59" s="169"/>
      <c r="VOD59" s="169"/>
      <c r="VOE59" s="169"/>
      <c r="VOF59" s="169"/>
      <c r="VOG59" s="169"/>
      <c r="VOH59" s="169"/>
      <c r="VOI59" s="169"/>
      <c r="VOJ59" s="169"/>
      <c r="VOK59" s="169"/>
      <c r="VOL59" s="169"/>
      <c r="VOM59" s="169"/>
      <c r="VON59" s="169"/>
      <c r="VOO59" s="169"/>
      <c r="VOP59" s="169"/>
      <c r="VOQ59" s="169"/>
      <c r="VOR59" s="169"/>
      <c r="VOS59" s="169"/>
      <c r="VOT59" s="169"/>
      <c r="VOU59" s="169"/>
      <c r="VOV59" s="169"/>
      <c r="VOW59" s="169"/>
      <c r="VOX59" s="169"/>
      <c r="VOY59" s="169"/>
      <c r="VOZ59" s="169"/>
      <c r="VPA59" s="169"/>
      <c r="VPB59" s="169"/>
      <c r="VPC59" s="169"/>
      <c r="VPD59" s="169"/>
      <c r="VPE59" s="169"/>
      <c r="VPF59" s="169"/>
      <c r="VPG59" s="169"/>
      <c r="VPH59" s="169"/>
      <c r="VPI59" s="169"/>
      <c r="VPJ59" s="169"/>
      <c r="VPK59" s="169"/>
      <c r="VPL59" s="169"/>
      <c r="VPM59" s="169"/>
      <c r="VPN59" s="169"/>
      <c r="VPO59" s="169"/>
      <c r="VPP59" s="169"/>
      <c r="VPQ59" s="169"/>
      <c r="VPR59" s="169"/>
      <c r="VPS59" s="169"/>
      <c r="VPT59" s="169"/>
      <c r="VPU59" s="169"/>
      <c r="VPV59" s="169"/>
      <c r="VPW59" s="169"/>
      <c r="VPX59" s="169"/>
      <c r="VPY59" s="169"/>
      <c r="VPZ59" s="169"/>
      <c r="VQA59" s="169"/>
      <c r="VQB59" s="169"/>
      <c r="VQC59" s="169"/>
      <c r="VQD59" s="169"/>
      <c r="VQE59" s="169"/>
      <c r="VQF59" s="169"/>
      <c r="VQG59" s="169"/>
      <c r="VQH59" s="169"/>
      <c r="VQI59" s="169"/>
      <c r="VQJ59" s="169"/>
      <c r="VQK59" s="169"/>
      <c r="VQL59" s="169"/>
      <c r="VQM59" s="169"/>
      <c r="VQN59" s="169"/>
      <c r="VQO59" s="169"/>
      <c r="VQP59" s="169"/>
      <c r="VQQ59" s="169"/>
      <c r="VQR59" s="169"/>
      <c r="VQS59" s="169"/>
      <c r="VQT59" s="169"/>
      <c r="VQU59" s="169"/>
      <c r="VQV59" s="169"/>
      <c r="VQW59" s="169"/>
      <c r="VQX59" s="169"/>
      <c r="VQY59" s="169"/>
      <c r="VQZ59" s="169"/>
      <c r="VRA59" s="169"/>
      <c r="VRB59" s="169"/>
      <c r="VRC59" s="169"/>
      <c r="VRD59" s="169"/>
      <c r="VRE59" s="169"/>
      <c r="VRF59" s="169"/>
      <c r="VRG59" s="169"/>
      <c r="VRH59" s="169"/>
      <c r="VRI59" s="169"/>
      <c r="VRJ59" s="169"/>
      <c r="VRK59" s="169"/>
      <c r="VRL59" s="169"/>
      <c r="VRM59" s="169"/>
      <c r="VRN59" s="169"/>
      <c r="VRO59" s="169"/>
      <c r="VRP59" s="169"/>
      <c r="VRQ59" s="169"/>
      <c r="VRR59" s="169"/>
      <c r="VRS59" s="169"/>
      <c r="VRT59" s="169"/>
      <c r="VRU59" s="169"/>
      <c r="VRV59" s="169"/>
      <c r="VRW59" s="169"/>
      <c r="VRX59" s="169"/>
      <c r="VRY59" s="169"/>
      <c r="VRZ59" s="169"/>
      <c r="VSA59" s="169"/>
      <c r="VSB59" s="169"/>
      <c r="VSC59" s="169"/>
      <c r="VSD59" s="169"/>
      <c r="VSE59" s="169"/>
      <c r="VSF59" s="169"/>
      <c r="VSG59" s="169"/>
      <c r="VSH59" s="169"/>
      <c r="VSI59" s="169"/>
      <c r="VSJ59" s="169"/>
      <c r="VSK59" s="169"/>
      <c r="VSL59" s="169"/>
      <c r="VSM59" s="169"/>
      <c r="VSN59" s="169"/>
      <c r="VSO59" s="169"/>
      <c r="VSP59" s="169"/>
      <c r="VSQ59" s="169"/>
      <c r="VSR59" s="169"/>
      <c r="VSS59" s="169"/>
      <c r="VST59" s="169"/>
      <c r="VSU59" s="169"/>
      <c r="VSV59" s="169"/>
      <c r="VSW59" s="169"/>
      <c r="VSX59" s="169"/>
      <c r="VSY59" s="169"/>
      <c r="VSZ59" s="169"/>
      <c r="VTA59" s="169"/>
      <c r="VTB59" s="169"/>
      <c r="VTC59" s="169"/>
      <c r="VTD59" s="169"/>
      <c r="VTE59" s="169"/>
      <c r="VTF59" s="169"/>
      <c r="VTG59" s="169"/>
      <c r="VTH59" s="169"/>
      <c r="VTI59" s="169"/>
      <c r="VTJ59" s="169"/>
      <c r="VTK59" s="169"/>
      <c r="VTL59" s="169"/>
      <c r="VTM59" s="169"/>
      <c r="VTN59" s="169"/>
      <c r="VTO59" s="169"/>
      <c r="VTP59" s="169"/>
      <c r="VTQ59" s="169"/>
      <c r="VTR59" s="169"/>
      <c r="VTS59" s="169"/>
      <c r="VTT59" s="169"/>
      <c r="VTU59" s="169"/>
      <c r="VTV59" s="169"/>
      <c r="VTW59" s="169"/>
      <c r="VTX59" s="169"/>
      <c r="VTY59" s="169"/>
      <c r="VTZ59" s="169"/>
      <c r="VUA59" s="169"/>
      <c r="VUB59" s="169"/>
      <c r="VUC59" s="169"/>
      <c r="VUD59" s="169"/>
      <c r="VUE59" s="169"/>
      <c r="VUF59" s="169"/>
      <c r="VUG59" s="169"/>
      <c r="VUH59" s="169"/>
      <c r="VUI59" s="169"/>
      <c r="VUJ59" s="169"/>
      <c r="VUK59" s="169"/>
      <c r="VUL59" s="169"/>
      <c r="VUM59" s="169"/>
      <c r="VUN59" s="169"/>
      <c r="VUO59" s="169"/>
      <c r="VUP59" s="169"/>
      <c r="VUQ59" s="169"/>
      <c r="VUR59" s="169"/>
      <c r="VUS59" s="169"/>
      <c r="VUT59" s="169"/>
      <c r="VUU59" s="169"/>
      <c r="VUV59" s="169"/>
      <c r="VUW59" s="169"/>
      <c r="VUX59" s="169"/>
      <c r="VUY59" s="169"/>
      <c r="VUZ59" s="169"/>
      <c r="VVA59" s="169"/>
      <c r="VVB59" s="169"/>
      <c r="VVC59" s="169"/>
      <c r="VVD59" s="169"/>
      <c r="VVE59" s="169"/>
      <c r="VVF59" s="169"/>
      <c r="VVG59" s="169"/>
      <c r="VVH59" s="169"/>
      <c r="VVI59" s="169"/>
      <c r="VVJ59" s="169"/>
      <c r="VVK59" s="169"/>
      <c r="VVL59" s="169"/>
      <c r="VVM59" s="169"/>
      <c r="VVN59" s="169"/>
      <c r="VVO59" s="169"/>
      <c r="VVP59" s="169"/>
      <c r="VVQ59" s="169"/>
      <c r="VVR59" s="169"/>
      <c r="VVS59" s="169"/>
      <c r="VVT59" s="169"/>
      <c r="VVU59" s="169"/>
      <c r="VVV59" s="169"/>
      <c r="VVW59" s="169"/>
      <c r="VVX59" s="169"/>
      <c r="VVY59" s="169"/>
      <c r="VVZ59" s="169"/>
      <c r="VWA59" s="169"/>
      <c r="VWB59" s="169"/>
      <c r="VWC59" s="169"/>
      <c r="VWD59" s="169"/>
      <c r="VWE59" s="169"/>
      <c r="VWF59" s="169"/>
      <c r="VWG59" s="169"/>
      <c r="VWH59" s="169"/>
      <c r="VWI59" s="169"/>
      <c r="VWJ59" s="169"/>
      <c r="VWK59" s="169"/>
      <c r="VWL59" s="169"/>
      <c r="VWM59" s="169"/>
      <c r="VWN59" s="169"/>
      <c r="VWO59" s="169"/>
      <c r="VWP59" s="169"/>
      <c r="VWQ59" s="169"/>
      <c r="VWR59" s="169"/>
      <c r="VWS59" s="169"/>
      <c r="VWT59" s="169"/>
      <c r="VWU59" s="169"/>
      <c r="VWV59" s="169"/>
      <c r="VWW59" s="169"/>
      <c r="VWX59" s="169"/>
      <c r="VWY59" s="169"/>
      <c r="VWZ59" s="169"/>
      <c r="VXA59" s="169"/>
      <c r="VXB59" s="169"/>
      <c r="VXC59" s="169"/>
      <c r="VXD59" s="169"/>
      <c r="VXE59" s="169"/>
      <c r="VXF59" s="169"/>
      <c r="VXG59" s="169"/>
      <c r="VXH59" s="169"/>
      <c r="VXI59" s="169"/>
      <c r="VXJ59" s="169"/>
      <c r="VXK59" s="169"/>
      <c r="VXL59" s="169"/>
      <c r="VXM59" s="169"/>
      <c r="VXN59" s="169"/>
      <c r="VXO59" s="169"/>
      <c r="VXP59" s="169"/>
      <c r="VXQ59" s="169"/>
      <c r="VXR59" s="169"/>
      <c r="VXS59" s="169"/>
      <c r="VXT59" s="169"/>
      <c r="VXU59" s="169"/>
      <c r="VXV59" s="169"/>
      <c r="VXW59" s="169"/>
      <c r="VXX59" s="169"/>
      <c r="VXY59" s="169"/>
      <c r="VXZ59" s="169"/>
      <c r="VYA59" s="169"/>
      <c r="VYB59" s="169"/>
      <c r="VYC59" s="169"/>
      <c r="VYD59" s="169"/>
      <c r="VYE59" s="169"/>
      <c r="VYF59" s="169"/>
      <c r="VYG59" s="169"/>
      <c r="VYH59" s="169"/>
      <c r="VYI59" s="169"/>
      <c r="VYJ59" s="169"/>
      <c r="VYK59" s="169"/>
      <c r="VYL59" s="169"/>
      <c r="VYM59" s="169"/>
      <c r="VYN59" s="169"/>
      <c r="VYO59" s="169"/>
      <c r="VYP59" s="169"/>
      <c r="VYQ59" s="169"/>
      <c r="VYR59" s="169"/>
      <c r="VYS59" s="169"/>
      <c r="VYT59" s="169"/>
      <c r="VYU59" s="169"/>
      <c r="VYV59" s="169"/>
      <c r="VYW59" s="169"/>
      <c r="VYX59" s="169"/>
      <c r="VYY59" s="169"/>
      <c r="VYZ59" s="169"/>
      <c r="VZA59" s="169"/>
      <c r="VZB59" s="169"/>
      <c r="VZC59" s="169"/>
      <c r="VZD59" s="169"/>
      <c r="VZE59" s="169"/>
      <c r="VZF59" s="169"/>
      <c r="VZG59" s="169"/>
      <c r="VZH59" s="169"/>
      <c r="VZI59" s="169"/>
      <c r="VZJ59" s="169"/>
      <c r="VZK59" s="169"/>
      <c r="VZL59" s="169"/>
      <c r="VZM59" s="169"/>
      <c r="VZN59" s="169"/>
      <c r="VZO59" s="169"/>
      <c r="VZP59" s="169"/>
      <c r="VZQ59" s="169"/>
      <c r="VZR59" s="169"/>
      <c r="VZS59" s="169"/>
      <c r="VZT59" s="169"/>
      <c r="VZU59" s="169"/>
      <c r="VZV59" s="169"/>
      <c r="VZW59" s="169"/>
      <c r="VZX59" s="169"/>
      <c r="VZY59" s="169"/>
      <c r="VZZ59" s="169"/>
      <c r="WAA59" s="169"/>
      <c r="WAB59" s="169"/>
      <c r="WAC59" s="169"/>
      <c r="WAD59" s="169"/>
      <c r="WAE59" s="169"/>
      <c r="WAF59" s="169"/>
      <c r="WAG59" s="169"/>
      <c r="WAH59" s="169"/>
      <c r="WAI59" s="169"/>
      <c r="WAJ59" s="169"/>
      <c r="WAK59" s="169"/>
      <c r="WAL59" s="169"/>
      <c r="WAM59" s="169"/>
      <c r="WAN59" s="169"/>
      <c r="WAO59" s="169"/>
      <c r="WAP59" s="169"/>
      <c r="WAQ59" s="169"/>
      <c r="WAR59" s="169"/>
      <c r="WAS59" s="169"/>
      <c r="WAT59" s="169"/>
      <c r="WAU59" s="169"/>
      <c r="WAV59" s="169"/>
      <c r="WAW59" s="169"/>
      <c r="WAX59" s="169"/>
      <c r="WAY59" s="169"/>
      <c r="WAZ59" s="169"/>
      <c r="WBA59" s="169"/>
      <c r="WBB59" s="169"/>
      <c r="WBC59" s="169"/>
      <c r="WBD59" s="169"/>
      <c r="WBE59" s="169"/>
      <c r="WBF59" s="169"/>
      <c r="WBG59" s="169"/>
      <c r="WBH59" s="169"/>
      <c r="WBI59" s="169"/>
      <c r="WBJ59" s="169"/>
      <c r="WBK59" s="169"/>
      <c r="WBL59" s="169"/>
      <c r="WBM59" s="169"/>
      <c r="WBN59" s="169"/>
      <c r="WBO59" s="169"/>
      <c r="WBP59" s="169"/>
      <c r="WBQ59" s="169"/>
      <c r="WBR59" s="169"/>
      <c r="WBS59" s="169"/>
      <c r="WBT59" s="169"/>
      <c r="WBU59" s="169"/>
      <c r="WBV59" s="169"/>
      <c r="WBW59" s="169"/>
      <c r="WBX59" s="169"/>
      <c r="WBY59" s="169"/>
      <c r="WBZ59" s="169"/>
      <c r="WCA59" s="169"/>
      <c r="WCB59" s="169"/>
      <c r="WCC59" s="169"/>
      <c r="WCD59" s="169"/>
      <c r="WCE59" s="169"/>
      <c r="WCF59" s="169"/>
      <c r="WCG59" s="169"/>
      <c r="WCH59" s="169"/>
      <c r="WCI59" s="169"/>
      <c r="WCJ59" s="169"/>
      <c r="WCK59" s="169"/>
      <c r="WCL59" s="169"/>
      <c r="WCM59" s="169"/>
      <c r="WCN59" s="169"/>
      <c r="WCO59" s="169"/>
      <c r="WCP59" s="169"/>
      <c r="WCQ59" s="169"/>
      <c r="WCR59" s="169"/>
      <c r="WCS59" s="169"/>
      <c r="WCT59" s="169"/>
      <c r="WCU59" s="169"/>
      <c r="WCV59" s="169"/>
      <c r="WCW59" s="169"/>
      <c r="WCX59" s="169"/>
      <c r="WCY59" s="169"/>
      <c r="WCZ59" s="169"/>
      <c r="WDA59" s="169"/>
      <c r="WDB59" s="169"/>
      <c r="WDC59" s="169"/>
      <c r="WDD59" s="169"/>
      <c r="WDE59" s="169"/>
      <c r="WDF59" s="169"/>
      <c r="WDG59" s="169"/>
      <c r="WDH59" s="169"/>
      <c r="WDI59" s="169"/>
      <c r="WDJ59" s="169"/>
      <c r="WDK59" s="169"/>
      <c r="WDL59" s="169"/>
      <c r="WDM59" s="169"/>
      <c r="WDN59" s="169"/>
      <c r="WDO59" s="169"/>
      <c r="WDP59" s="169"/>
      <c r="WDQ59" s="169"/>
      <c r="WDR59" s="169"/>
      <c r="WDS59" s="169"/>
      <c r="WDT59" s="169"/>
      <c r="WDU59" s="169"/>
      <c r="WDV59" s="169"/>
      <c r="WDW59" s="169"/>
      <c r="WDX59" s="169"/>
      <c r="WDY59" s="169"/>
      <c r="WDZ59" s="169"/>
      <c r="WEA59" s="169"/>
      <c r="WEB59" s="169"/>
      <c r="WEC59" s="169"/>
      <c r="WED59" s="169"/>
      <c r="WEE59" s="169"/>
      <c r="WEF59" s="169"/>
      <c r="WEG59" s="169"/>
      <c r="WEH59" s="169"/>
      <c r="WEI59" s="169"/>
      <c r="WEJ59" s="169"/>
      <c r="WEK59" s="169"/>
      <c r="WEL59" s="169"/>
      <c r="WEM59" s="169"/>
      <c r="WEN59" s="169"/>
      <c r="WEO59" s="169"/>
      <c r="WEP59" s="169"/>
      <c r="WEQ59" s="169"/>
      <c r="WER59" s="169"/>
      <c r="WES59" s="169"/>
      <c r="WET59" s="169"/>
      <c r="WEU59" s="169"/>
      <c r="WEV59" s="169"/>
      <c r="WEW59" s="169"/>
      <c r="WEX59" s="169"/>
      <c r="WEY59" s="169"/>
      <c r="WEZ59" s="169"/>
      <c r="WFA59" s="169"/>
      <c r="WFB59" s="169"/>
      <c r="WFC59" s="169"/>
      <c r="WFD59" s="169"/>
      <c r="WFE59" s="169"/>
      <c r="WFF59" s="169"/>
      <c r="WFG59" s="169"/>
      <c r="WFH59" s="169"/>
      <c r="WFI59" s="169"/>
      <c r="WFJ59" s="169"/>
      <c r="WFK59" s="169"/>
      <c r="WFL59" s="169"/>
      <c r="WFM59" s="169"/>
      <c r="WFN59" s="169"/>
      <c r="WFO59" s="169"/>
      <c r="WFP59" s="169"/>
      <c r="WFQ59" s="169"/>
      <c r="WFR59" s="169"/>
      <c r="WFS59" s="169"/>
      <c r="WFT59" s="169"/>
      <c r="WFU59" s="169"/>
      <c r="WFV59" s="169"/>
      <c r="WFW59" s="169"/>
      <c r="WFX59" s="169"/>
      <c r="WFY59" s="169"/>
      <c r="WFZ59" s="169"/>
      <c r="WGA59" s="169"/>
      <c r="WGB59" s="169"/>
      <c r="WGC59" s="169"/>
      <c r="WGD59" s="169"/>
      <c r="WGE59" s="169"/>
      <c r="WGF59" s="169"/>
      <c r="WGG59" s="169"/>
      <c r="WGH59" s="169"/>
      <c r="WGI59" s="169"/>
      <c r="WGJ59" s="169"/>
      <c r="WGK59" s="169"/>
      <c r="WGL59" s="169"/>
      <c r="WGM59" s="169"/>
      <c r="WGN59" s="169"/>
      <c r="WGO59" s="169"/>
      <c r="WGP59" s="169"/>
      <c r="WGQ59" s="169"/>
      <c r="WGR59" s="169"/>
      <c r="WGS59" s="169"/>
      <c r="WGT59" s="169"/>
      <c r="WGU59" s="169"/>
      <c r="WGV59" s="169"/>
      <c r="WGW59" s="169"/>
      <c r="WGX59" s="169"/>
      <c r="WGY59" s="169"/>
      <c r="WGZ59" s="169"/>
      <c r="WHA59" s="169"/>
      <c r="WHB59" s="169"/>
      <c r="WHC59" s="169"/>
      <c r="WHD59" s="169"/>
      <c r="WHE59" s="169"/>
      <c r="WHF59" s="169"/>
      <c r="WHG59" s="169"/>
      <c r="WHH59" s="169"/>
      <c r="WHI59" s="169"/>
      <c r="WHJ59" s="169"/>
      <c r="WHK59" s="169"/>
      <c r="WHL59" s="169"/>
      <c r="WHM59" s="169"/>
      <c r="WHN59" s="169"/>
      <c r="WHO59" s="169"/>
      <c r="WHP59" s="169"/>
      <c r="WHQ59" s="169"/>
      <c r="WHR59" s="169"/>
      <c r="WHS59" s="169"/>
      <c r="WHT59" s="169"/>
      <c r="WHU59" s="169"/>
      <c r="WHV59" s="169"/>
      <c r="WHW59" s="169"/>
      <c r="WHX59" s="169"/>
      <c r="WHY59" s="169"/>
      <c r="WHZ59" s="169"/>
      <c r="WIA59" s="169"/>
      <c r="WIB59" s="169"/>
      <c r="WIC59" s="169"/>
      <c r="WID59" s="169"/>
      <c r="WIE59" s="169"/>
      <c r="WIF59" s="169"/>
      <c r="WIG59" s="169"/>
      <c r="WIH59" s="169"/>
      <c r="WII59" s="169"/>
      <c r="WIJ59" s="169"/>
      <c r="WIK59" s="169"/>
      <c r="WIL59" s="169"/>
      <c r="WIM59" s="169"/>
      <c r="WIN59" s="169"/>
      <c r="WIO59" s="169"/>
      <c r="WIP59" s="169"/>
      <c r="WIQ59" s="169"/>
      <c r="WIR59" s="169"/>
      <c r="WIS59" s="169"/>
      <c r="WIT59" s="169"/>
      <c r="WIU59" s="169"/>
      <c r="WIV59" s="169"/>
      <c r="WIW59" s="169"/>
      <c r="WIX59" s="169"/>
      <c r="WIY59" s="169"/>
      <c r="WIZ59" s="169"/>
      <c r="WJA59" s="169"/>
      <c r="WJB59" s="169"/>
      <c r="WJC59" s="169"/>
      <c r="WJD59" s="169"/>
      <c r="WJE59" s="169"/>
      <c r="WJF59" s="169"/>
      <c r="WJG59" s="169"/>
      <c r="WJH59" s="169"/>
      <c r="WJI59" s="169"/>
      <c r="WJJ59" s="169"/>
      <c r="WJK59" s="169"/>
      <c r="WJL59" s="169"/>
      <c r="WJM59" s="169"/>
      <c r="WJN59" s="169"/>
      <c r="WJO59" s="169"/>
      <c r="WJP59" s="169"/>
      <c r="WJQ59" s="169"/>
      <c r="WJR59" s="169"/>
      <c r="WJS59" s="169"/>
      <c r="WJT59" s="169"/>
      <c r="WJU59" s="169"/>
      <c r="WJV59" s="169"/>
      <c r="WJW59" s="169"/>
      <c r="WJX59" s="169"/>
      <c r="WJY59" s="169"/>
      <c r="WJZ59" s="169"/>
      <c r="WKA59" s="169"/>
      <c r="WKB59" s="169"/>
      <c r="WKC59" s="169"/>
      <c r="WKD59" s="169"/>
      <c r="WKE59" s="169"/>
      <c r="WKF59" s="169"/>
      <c r="WKG59" s="169"/>
      <c r="WKH59" s="169"/>
      <c r="WKI59" s="169"/>
      <c r="WKJ59" s="169"/>
      <c r="WKK59" s="169"/>
      <c r="WKL59" s="169"/>
      <c r="WKM59" s="169"/>
      <c r="WKN59" s="169"/>
      <c r="WKO59" s="169"/>
      <c r="WKP59" s="169"/>
      <c r="WKQ59" s="169"/>
      <c r="WKR59" s="169"/>
      <c r="WKS59" s="169"/>
      <c r="WKT59" s="169"/>
      <c r="WKU59" s="169"/>
      <c r="WKV59" s="169"/>
      <c r="WKW59" s="169"/>
      <c r="WKX59" s="169"/>
      <c r="WKY59" s="169"/>
      <c r="WKZ59" s="169"/>
      <c r="WLA59" s="169"/>
      <c r="WLB59" s="169"/>
      <c r="WLC59" s="169"/>
      <c r="WLD59" s="169"/>
      <c r="WLE59" s="169"/>
      <c r="WLF59" s="169"/>
      <c r="WLG59" s="169"/>
      <c r="WLH59" s="169"/>
      <c r="WLI59" s="169"/>
      <c r="WLJ59" s="169"/>
      <c r="WLK59" s="169"/>
      <c r="WLL59" s="169"/>
      <c r="WLM59" s="169"/>
      <c r="WLN59" s="169"/>
      <c r="WLO59" s="169"/>
      <c r="WLP59" s="169"/>
      <c r="WLQ59" s="169"/>
      <c r="WLR59" s="169"/>
      <c r="WLS59" s="169"/>
      <c r="WLT59" s="169"/>
      <c r="WLU59" s="169"/>
      <c r="WLV59" s="169"/>
      <c r="WLW59" s="169"/>
      <c r="WLX59" s="169"/>
      <c r="WLY59" s="169"/>
      <c r="WLZ59" s="169"/>
      <c r="WMA59" s="169"/>
      <c r="WMB59" s="169"/>
      <c r="WMC59" s="169"/>
      <c r="WMD59" s="169"/>
      <c r="WME59" s="169"/>
      <c r="WMF59" s="169"/>
      <c r="WMG59" s="169"/>
      <c r="WMH59" s="169"/>
      <c r="WMI59" s="169"/>
      <c r="WMJ59" s="169"/>
      <c r="WMK59" s="169"/>
      <c r="WML59" s="169"/>
      <c r="WMM59" s="169"/>
      <c r="WMN59" s="169"/>
      <c r="WMO59" s="169"/>
      <c r="WMP59" s="169"/>
      <c r="WMQ59" s="169"/>
      <c r="WMR59" s="169"/>
      <c r="WMS59" s="169"/>
      <c r="WMT59" s="169"/>
      <c r="WMU59" s="169"/>
      <c r="WMV59" s="169"/>
      <c r="WMW59" s="169"/>
      <c r="WMX59" s="169"/>
      <c r="WMY59" s="169"/>
      <c r="WMZ59" s="169"/>
      <c r="WNA59" s="169"/>
      <c r="WNB59" s="169"/>
      <c r="WNC59" s="169"/>
      <c r="WND59" s="169"/>
      <c r="WNE59" s="169"/>
      <c r="WNF59" s="169"/>
      <c r="WNG59" s="169"/>
      <c r="WNH59" s="169"/>
      <c r="WNI59" s="169"/>
      <c r="WNJ59" s="169"/>
      <c r="WNK59" s="169"/>
      <c r="WNL59" s="169"/>
      <c r="WNM59" s="169"/>
      <c r="WNN59" s="169"/>
      <c r="WNO59" s="169"/>
      <c r="WNP59" s="169"/>
      <c r="WNQ59" s="169"/>
      <c r="WNR59" s="169"/>
      <c r="WNS59" s="169"/>
      <c r="WNT59" s="169"/>
      <c r="WNU59" s="169"/>
      <c r="WNV59" s="169"/>
      <c r="WNW59" s="169"/>
      <c r="WNX59" s="169"/>
      <c r="WNY59" s="169"/>
      <c r="WNZ59" s="169"/>
      <c r="WOA59" s="169"/>
      <c r="WOB59" s="169"/>
      <c r="WOC59" s="169"/>
      <c r="WOD59" s="169"/>
      <c r="WOE59" s="169"/>
      <c r="WOF59" s="169"/>
      <c r="WOG59" s="169"/>
      <c r="WOH59" s="169"/>
      <c r="WOI59" s="169"/>
      <c r="WOJ59" s="169"/>
      <c r="WOK59" s="169"/>
      <c r="WOL59" s="169"/>
      <c r="WOM59" s="169"/>
      <c r="WON59" s="169"/>
      <c r="WOO59" s="169"/>
      <c r="WOP59" s="169"/>
      <c r="WOQ59" s="169"/>
      <c r="WOR59" s="169"/>
      <c r="WOS59" s="169"/>
      <c r="WOT59" s="169"/>
      <c r="WOU59" s="169"/>
      <c r="WOV59" s="169"/>
      <c r="WOW59" s="169"/>
      <c r="WOX59" s="169"/>
      <c r="WOY59" s="169"/>
      <c r="WOZ59" s="169"/>
      <c r="WPA59" s="169"/>
      <c r="WPB59" s="169"/>
      <c r="WPC59" s="169"/>
      <c r="WPD59" s="169"/>
      <c r="WPE59" s="169"/>
      <c r="WPF59" s="169"/>
      <c r="WPG59" s="169"/>
      <c r="WPH59" s="169"/>
      <c r="WPI59" s="169"/>
      <c r="WPJ59" s="169"/>
      <c r="WPK59" s="169"/>
      <c r="WPL59" s="169"/>
      <c r="WPM59" s="169"/>
      <c r="WPN59" s="169"/>
      <c r="WPO59" s="169"/>
      <c r="WPP59" s="169"/>
      <c r="WPQ59" s="169"/>
      <c r="WPR59" s="169"/>
      <c r="WPS59" s="169"/>
      <c r="WPT59" s="169"/>
      <c r="WPU59" s="169"/>
      <c r="WPV59" s="169"/>
      <c r="WPW59" s="169"/>
      <c r="WPX59" s="169"/>
      <c r="WPY59" s="169"/>
      <c r="WPZ59" s="169"/>
      <c r="WQA59" s="169"/>
      <c r="WQB59" s="169"/>
      <c r="WQC59" s="169"/>
      <c r="WQD59" s="169"/>
      <c r="WQE59" s="169"/>
      <c r="WQF59" s="169"/>
      <c r="WQG59" s="169"/>
      <c r="WQH59" s="169"/>
      <c r="WQI59" s="169"/>
      <c r="WQJ59" s="169"/>
      <c r="WQK59" s="169"/>
      <c r="WQL59" s="169"/>
      <c r="WQM59" s="169"/>
      <c r="WQN59" s="169"/>
      <c r="WQO59" s="169"/>
      <c r="WQP59" s="169"/>
      <c r="WQQ59" s="169"/>
      <c r="WQR59" s="169"/>
      <c r="WQS59" s="169"/>
      <c r="WQT59" s="169"/>
      <c r="WQU59" s="169"/>
      <c r="WQV59" s="169"/>
      <c r="WQW59" s="169"/>
      <c r="WQX59" s="169"/>
      <c r="WQY59" s="169"/>
      <c r="WQZ59" s="169"/>
      <c r="WRA59" s="169"/>
      <c r="WRB59" s="169"/>
      <c r="WRC59" s="169"/>
      <c r="WRD59" s="169"/>
      <c r="WRE59" s="169"/>
      <c r="WRF59" s="169"/>
      <c r="WRG59" s="169"/>
      <c r="WRH59" s="169"/>
      <c r="WRI59" s="169"/>
      <c r="WRJ59" s="169"/>
      <c r="WRK59" s="169"/>
      <c r="WRL59" s="169"/>
      <c r="WRM59" s="169"/>
      <c r="WRN59" s="169"/>
      <c r="WRO59" s="169"/>
      <c r="WRP59" s="169"/>
      <c r="WRQ59" s="169"/>
      <c r="WRR59" s="169"/>
      <c r="WRS59" s="169"/>
      <c r="WRT59" s="169"/>
      <c r="WRU59" s="169"/>
      <c r="WRV59" s="169"/>
      <c r="WRW59" s="169"/>
      <c r="WRX59" s="169"/>
      <c r="WRY59" s="169"/>
      <c r="WRZ59" s="169"/>
      <c r="WSA59" s="169"/>
      <c r="WSB59" s="169"/>
      <c r="WSC59" s="169"/>
      <c r="WSD59" s="169"/>
      <c r="WSE59" s="169"/>
      <c r="WSF59" s="169"/>
      <c r="WSG59" s="169"/>
      <c r="WSH59" s="169"/>
      <c r="WSI59" s="169"/>
      <c r="WSJ59" s="169"/>
      <c r="WSK59" s="169"/>
      <c r="WSL59" s="169"/>
      <c r="WSM59" s="169"/>
      <c r="WSN59" s="169"/>
      <c r="WSO59" s="169"/>
      <c r="WSP59" s="169"/>
      <c r="WSQ59" s="169"/>
      <c r="WSR59" s="169"/>
      <c r="WSS59" s="169"/>
      <c r="WST59" s="169"/>
      <c r="WSU59" s="169"/>
      <c r="WSV59" s="169"/>
      <c r="WSW59" s="169"/>
      <c r="WSX59" s="169"/>
      <c r="WSY59" s="169"/>
      <c r="WSZ59" s="169"/>
      <c r="WTA59" s="169"/>
      <c r="WTB59" s="169"/>
      <c r="WTC59" s="169"/>
      <c r="WTD59" s="169"/>
      <c r="WTE59" s="169"/>
      <c r="WTF59" s="169"/>
      <c r="WTG59" s="169"/>
      <c r="WTH59" s="169"/>
      <c r="WTI59" s="169"/>
      <c r="WTJ59" s="169"/>
      <c r="WTK59" s="169"/>
      <c r="WTL59" s="169"/>
      <c r="WTM59" s="169"/>
      <c r="WTN59" s="169"/>
      <c r="WTO59" s="169"/>
      <c r="WTP59" s="169"/>
      <c r="WTQ59" s="169"/>
      <c r="WTR59" s="169"/>
      <c r="WTS59" s="169"/>
      <c r="WTT59" s="169"/>
      <c r="WTU59" s="169"/>
      <c r="WTV59" s="169"/>
      <c r="WTW59" s="169"/>
      <c r="WTX59" s="169"/>
      <c r="WTY59" s="169"/>
      <c r="WTZ59" s="169"/>
      <c r="WUA59" s="169"/>
      <c r="WUB59" s="169"/>
      <c r="WUC59" s="169"/>
      <c r="WUD59" s="169"/>
      <c r="WUE59" s="169"/>
      <c r="WUF59" s="169"/>
      <c r="WUG59" s="169"/>
      <c r="WUH59" s="169"/>
      <c r="WUI59" s="169"/>
      <c r="WUJ59" s="169"/>
      <c r="WUK59" s="169"/>
      <c r="WUL59" s="169"/>
      <c r="WUM59" s="169"/>
      <c r="WUN59" s="169"/>
      <c r="WUO59" s="169"/>
      <c r="WUP59" s="169"/>
      <c r="WUQ59" s="169"/>
      <c r="WUR59" s="169"/>
      <c r="WUS59" s="169"/>
      <c r="WUT59" s="169"/>
      <c r="WUU59" s="169"/>
      <c r="WUV59" s="169"/>
      <c r="WUW59" s="169"/>
      <c r="WUX59" s="169"/>
      <c r="WUY59" s="169"/>
      <c r="WUZ59" s="169"/>
      <c r="WVA59" s="169"/>
      <c r="WVB59" s="169"/>
      <c r="WVC59" s="169"/>
      <c r="WVD59" s="169"/>
      <c r="WVE59" s="169"/>
      <c r="WVF59" s="169"/>
      <c r="WVG59" s="169"/>
      <c r="WVH59" s="169"/>
      <c r="WVI59" s="169"/>
      <c r="WVJ59" s="169"/>
      <c r="WVK59" s="169"/>
      <c r="WVL59" s="169"/>
      <c r="WVM59" s="169"/>
      <c r="WVN59" s="169"/>
      <c r="WVO59" s="169"/>
      <c r="WVP59" s="169"/>
      <c r="WVQ59" s="169"/>
      <c r="WVR59" s="169"/>
      <c r="WVS59" s="169"/>
      <c r="WVT59" s="169"/>
      <c r="WVU59" s="169"/>
      <c r="WVV59" s="169"/>
      <c r="WVW59" s="169"/>
      <c r="WVX59" s="169"/>
      <c r="WVY59" s="169"/>
      <c r="WVZ59" s="169"/>
      <c r="WWA59" s="169"/>
      <c r="WWB59" s="169"/>
      <c r="WWC59" s="169"/>
      <c r="WWD59" s="169"/>
      <c r="WWE59" s="169"/>
      <c r="WWF59" s="169"/>
      <c r="WWG59" s="169"/>
      <c r="WWH59" s="169"/>
      <c r="WWI59" s="169"/>
      <c r="WWJ59" s="169"/>
      <c r="WWK59" s="169"/>
      <c r="WWL59" s="169"/>
      <c r="WWM59" s="169"/>
      <c r="WWN59" s="169"/>
      <c r="WWO59" s="169"/>
      <c r="WWP59" s="169"/>
      <c r="WWQ59" s="169"/>
      <c r="WWR59" s="169"/>
      <c r="WWS59" s="169"/>
      <c r="WWT59" s="169"/>
      <c r="WWU59" s="169"/>
      <c r="WWV59" s="169"/>
      <c r="WWW59" s="169"/>
      <c r="WWX59" s="169"/>
      <c r="WWY59" s="169"/>
      <c r="WWZ59" s="169"/>
      <c r="WXA59" s="169"/>
      <c r="WXB59" s="169"/>
      <c r="WXC59" s="169"/>
      <c r="WXD59" s="169"/>
      <c r="WXE59" s="169"/>
      <c r="WXF59" s="169"/>
      <c r="WXG59" s="169"/>
      <c r="WXH59" s="169"/>
      <c r="WXI59" s="169"/>
      <c r="WXJ59" s="169"/>
      <c r="WXK59" s="169"/>
      <c r="WXL59" s="169"/>
      <c r="WXM59" s="169"/>
      <c r="WXN59" s="169"/>
      <c r="WXO59" s="169"/>
      <c r="WXP59" s="169"/>
      <c r="WXQ59" s="169"/>
      <c r="WXR59" s="169"/>
      <c r="WXS59" s="169"/>
      <c r="WXT59" s="169"/>
      <c r="WXU59" s="169"/>
      <c r="WXV59" s="169"/>
      <c r="WXW59" s="169"/>
      <c r="WXX59" s="169"/>
      <c r="WXY59" s="169"/>
      <c r="WXZ59" s="169"/>
      <c r="WYA59" s="169"/>
      <c r="WYB59" s="169"/>
      <c r="WYC59" s="169"/>
      <c r="WYD59" s="169"/>
      <c r="WYE59" s="169"/>
      <c r="WYF59" s="169"/>
      <c r="WYG59" s="169"/>
      <c r="WYH59" s="169"/>
      <c r="WYI59" s="169"/>
      <c r="WYJ59" s="169"/>
      <c r="WYK59" s="169"/>
      <c r="WYL59" s="169"/>
      <c r="WYM59" s="169"/>
      <c r="WYN59" s="169"/>
      <c r="WYO59" s="169"/>
      <c r="WYP59" s="169"/>
      <c r="WYQ59" s="169"/>
      <c r="WYR59" s="169"/>
      <c r="WYS59" s="169"/>
      <c r="WYT59" s="169"/>
      <c r="WYU59" s="169"/>
      <c r="WYV59" s="169"/>
      <c r="WYW59" s="169"/>
      <c r="WYX59" s="169"/>
      <c r="WYY59" s="169"/>
      <c r="WYZ59" s="169"/>
      <c r="WZA59" s="169"/>
      <c r="WZB59" s="169"/>
      <c r="WZC59" s="169"/>
      <c r="WZD59" s="169"/>
      <c r="WZE59" s="169"/>
      <c r="WZF59" s="169"/>
      <c r="WZG59" s="169"/>
      <c r="WZH59" s="169"/>
      <c r="WZI59" s="169"/>
      <c r="WZJ59" s="169"/>
      <c r="WZK59" s="169"/>
      <c r="WZL59" s="169"/>
      <c r="WZM59" s="169"/>
      <c r="WZN59" s="169"/>
      <c r="WZO59" s="169"/>
      <c r="WZP59" s="169"/>
      <c r="WZQ59" s="169"/>
      <c r="WZR59" s="169"/>
      <c r="WZS59" s="169"/>
      <c r="WZT59" s="169"/>
      <c r="WZU59" s="169"/>
      <c r="WZV59" s="169"/>
      <c r="WZW59" s="169"/>
      <c r="WZX59" s="169"/>
      <c r="WZY59" s="169"/>
      <c r="WZZ59" s="169"/>
      <c r="XAA59" s="169"/>
      <c r="XAB59" s="169"/>
      <c r="XAC59" s="169"/>
      <c r="XAD59" s="169"/>
      <c r="XAE59" s="169"/>
      <c r="XAF59" s="169"/>
      <c r="XAG59" s="169"/>
      <c r="XAH59" s="169"/>
      <c r="XAI59" s="169"/>
      <c r="XAJ59" s="169"/>
      <c r="XAK59" s="169"/>
      <c r="XAL59" s="169"/>
      <c r="XAM59" s="169"/>
      <c r="XAN59" s="169"/>
      <c r="XAO59" s="169"/>
      <c r="XAP59" s="169"/>
      <c r="XAQ59" s="169"/>
      <c r="XAR59" s="169"/>
      <c r="XAS59" s="169"/>
      <c r="XAT59" s="169"/>
      <c r="XAU59" s="169"/>
      <c r="XAV59" s="169"/>
      <c r="XAW59" s="169"/>
      <c r="XAX59" s="169"/>
      <c r="XAY59" s="169"/>
      <c r="XAZ59" s="169"/>
      <c r="XBA59" s="169"/>
      <c r="XBB59" s="169"/>
      <c r="XBC59" s="169"/>
      <c r="XBD59" s="169"/>
      <c r="XBE59" s="169"/>
      <c r="XBF59" s="169"/>
      <c r="XBG59" s="169"/>
      <c r="XBH59" s="169"/>
      <c r="XBI59" s="169"/>
      <c r="XBJ59" s="169"/>
      <c r="XBK59" s="169"/>
      <c r="XBL59" s="169"/>
      <c r="XBM59" s="169"/>
      <c r="XBN59" s="169"/>
      <c r="XBO59" s="169"/>
      <c r="XBP59" s="169"/>
      <c r="XBQ59" s="169"/>
      <c r="XBR59" s="169"/>
      <c r="XBS59" s="169"/>
      <c r="XBT59" s="169"/>
      <c r="XBU59" s="169"/>
      <c r="XBV59" s="169"/>
      <c r="XBW59" s="169"/>
      <c r="XBX59" s="169"/>
      <c r="XBY59" s="169"/>
      <c r="XBZ59" s="169"/>
      <c r="XCA59" s="169"/>
      <c r="XCB59" s="169"/>
      <c r="XCC59" s="169"/>
      <c r="XCD59" s="169"/>
      <c r="XCE59" s="169"/>
      <c r="XCF59" s="169"/>
      <c r="XCG59" s="169"/>
      <c r="XCH59" s="169"/>
      <c r="XCI59" s="169"/>
      <c r="XCJ59" s="169"/>
      <c r="XCK59" s="169"/>
      <c r="XCL59" s="169"/>
      <c r="XCM59" s="169"/>
      <c r="XCN59" s="169"/>
      <c r="XCO59" s="169"/>
      <c r="XCP59" s="169"/>
      <c r="XCQ59" s="169"/>
      <c r="XCR59" s="169"/>
      <c r="XCS59" s="169"/>
      <c r="XCT59" s="169"/>
      <c r="XCU59" s="169"/>
      <c r="XCV59" s="169"/>
      <c r="XCW59" s="169"/>
      <c r="XCX59" s="169"/>
      <c r="XCY59" s="169"/>
      <c r="XCZ59" s="169"/>
      <c r="XDA59" s="169"/>
      <c r="XDB59" s="169"/>
      <c r="XDC59" s="169"/>
      <c r="XDD59" s="169"/>
      <c r="XDE59" s="169"/>
      <c r="XDF59" s="169"/>
      <c r="XDG59" s="169"/>
      <c r="XDH59" s="169"/>
      <c r="XDI59" s="169"/>
      <c r="XDJ59" s="169"/>
      <c r="XDK59" s="169"/>
      <c r="XDL59" s="169"/>
      <c r="XDM59" s="169"/>
      <c r="XDN59" s="169"/>
      <c r="XDO59" s="169"/>
      <c r="XDP59" s="169"/>
      <c r="XDQ59" s="169"/>
      <c r="XDR59" s="169"/>
      <c r="XDS59" s="169"/>
      <c r="XDT59" s="169"/>
      <c r="XDU59" s="169"/>
      <c r="XDV59" s="169"/>
      <c r="XDW59" s="169"/>
      <c r="XDX59" s="169"/>
      <c r="XDY59" s="169"/>
      <c r="XDZ59" s="169"/>
      <c r="XEA59" s="169"/>
      <c r="XEB59" s="169"/>
      <c r="XEC59" s="169"/>
      <c r="XED59" s="169"/>
      <c r="XEE59" s="169"/>
      <c r="XEF59" s="169"/>
      <c r="XEG59" s="169"/>
      <c r="XEH59" s="169"/>
      <c r="XEI59" s="169"/>
      <c r="XEJ59" s="169"/>
      <c r="XEK59" s="169"/>
      <c r="XEL59" s="169"/>
      <c r="XEM59" s="169"/>
      <c r="XEN59" s="169"/>
      <c r="XEO59" s="169"/>
      <c r="XEP59" s="169"/>
      <c r="XEQ59" s="169"/>
      <c r="XER59" s="169"/>
      <c r="XES59" s="169"/>
      <c r="XET59" s="169"/>
      <c r="XEU59" s="169"/>
      <c r="XEV59" s="169"/>
      <c r="XEW59" s="169"/>
      <c r="XEX59" s="169"/>
      <c r="XEY59" s="169"/>
      <c r="XEZ59" s="169"/>
      <c r="XFA59" s="169"/>
      <c r="XFB59" s="169"/>
      <c r="XFC59" s="169"/>
    </row>
    <row r="60" spans="1:16383">
      <c r="B60" s="148"/>
      <c r="C60" s="148"/>
      <c r="D60" s="148"/>
      <c r="E60" s="148"/>
      <c r="F60" s="148"/>
      <c r="G60" s="148"/>
      <c r="H60" s="148"/>
      <c r="I60" s="148"/>
      <c r="J60" s="148"/>
      <c r="K60" s="148"/>
      <c r="L60" s="148"/>
      <c r="M60" s="148"/>
      <c r="N60" s="148"/>
      <c r="O60" s="148"/>
      <c r="P60" s="148"/>
      <c r="Q60" s="148"/>
      <c r="R60" s="148"/>
      <c r="S60" s="148"/>
      <c r="T60" s="148"/>
      <c r="U60" s="148"/>
      <c r="V60" s="148"/>
      <c r="W60" s="148"/>
      <c r="X60" s="148"/>
      <c r="Y60" s="148"/>
      <c r="Z60" s="148"/>
      <c r="AA60" s="148"/>
      <c r="AB60" s="148"/>
      <c r="AC60" s="148"/>
      <c r="AD60" s="148"/>
      <c r="AE60" s="148"/>
    </row>
    <row r="61" spans="1:16383">
      <c r="B61" s="148"/>
      <c r="C61" s="148"/>
      <c r="D61" s="148"/>
      <c r="E61" s="148"/>
      <c r="F61" s="148"/>
      <c r="G61" s="148"/>
      <c r="H61" s="148"/>
      <c r="I61" s="148"/>
      <c r="J61" s="148"/>
      <c r="K61" s="148"/>
      <c r="L61" s="148"/>
      <c r="M61" s="148"/>
      <c r="N61" s="148"/>
      <c r="O61" s="148"/>
      <c r="P61" s="148"/>
      <c r="Q61" s="148"/>
      <c r="R61" s="148"/>
      <c r="S61" s="148"/>
      <c r="T61" s="148"/>
      <c r="U61" s="148"/>
      <c r="V61" s="148"/>
      <c r="W61" s="148"/>
      <c r="X61" s="148"/>
      <c r="Y61" s="148"/>
      <c r="Z61" s="148"/>
      <c r="AA61" s="148"/>
      <c r="AB61" s="148"/>
      <c r="AC61" s="148"/>
      <c r="AD61" s="148"/>
      <c r="AE61" s="148"/>
    </row>
    <row r="62" spans="1:16383">
      <c r="B62" s="148"/>
      <c r="C62" s="148"/>
      <c r="D62" s="148"/>
      <c r="E62" s="148"/>
      <c r="F62" s="148"/>
      <c r="G62" s="148"/>
      <c r="H62" s="148"/>
      <c r="I62" s="148"/>
      <c r="J62" s="148"/>
      <c r="K62" s="148"/>
      <c r="L62" s="148"/>
      <c r="M62" s="148"/>
      <c r="N62" s="148"/>
      <c r="O62" s="148"/>
      <c r="P62" s="148"/>
      <c r="Q62" s="148"/>
      <c r="R62" s="148"/>
      <c r="S62" s="148"/>
      <c r="T62" s="148"/>
      <c r="U62" s="148"/>
      <c r="V62" s="148"/>
      <c r="W62" s="148"/>
      <c r="X62" s="148"/>
      <c r="Y62" s="148"/>
      <c r="Z62" s="148"/>
      <c r="AA62" s="148"/>
      <c r="AB62" s="148"/>
      <c r="AC62" s="148"/>
      <c r="AD62" s="148"/>
      <c r="AE62" s="148"/>
    </row>
    <row r="63" spans="1:16383" s="148" customFormat="1" ht="15">
      <c r="A63" s="114" t="s">
        <v>1246</v>
      </c>
      <c r="B63" s="561">
        <f>INDEX(B66:B101,MATCH($A$59,$A$66:$A$101,0))</f>
        <v>0.47903992050293848</v>
      </c>
      <c r="C63" s="561">
        <f>INDEX(C66:C101,MATCH($A$59,$A$66:$A$101,0))</f>
        <v>0.47266764271203415</v>
      </c>
      <c r="D63" s="561">
        <f>INDEX(D66:D101,MATCH($A$59,$A$66:$A$101,0))</f>
        <v>0.46629536492112988</v>
      </c>
      <c r="E63" s="561">
        <f t="shared" ref="E63:AK63" si="11">INDEX(E66:E101,MATCH($A$59,$A$66:$A$101,0))</f>
        <v>0.45992308713022545</v>
      </c>
      <c r="F63" s="561">
        <f t="shared" si="11"/>
        <v>0.45355080933932118</v>
      </c>
      <c r="G63" s="561">
        <f t="shared" si="11"/>
        <v>0.4471785315484168</v>
      </c>
      <c r="H63" s="561">
        <f t="shared" si="11"/>
        <v>0.44080625375751248</v>
      </c>
      <c r="I63" s="561">
        <f t="shared" si="11"/>
        <v>0.43443397596660815</v>
      </c>
      <c r="J63" s="561">
        <f t="shared" si="11"/>
        <v>0.42806169817570389</v>
      </c>
      <c r="K63" s="561">
        <f t="shared" si="11"/>
        <v>0.42168942038479956</v>
      </c>
      <c r="L63" s="561">
        <f t="shared" si="11"/>
        <v>0.41531714259389518</v>
      </c>
      <c r="M63" s="561">
        <f t="shared" si="11"/>
        <v>0.4063578674306359</v>
      </c>
      <c r="N63" s="561">
        <f t="shared" si="11"/>
        <v>0.39739859226737678</v>
      </c>
      <c r="O63" s="561">
        <f t="shared" si="11"/>
        <v>0.3884393171041175</v>
      </c>
      <c r="P63" s="561">
        <f t="shared" si="11"/>
        <v>0.37948004194085833</v>
      </c>
      <c r="Q63" s="561">
        <f t="shared" si="11"/>
        <v>0.37052076677759904</v>
      </c>
      <c r="R63" s="561">
        <f t="shared" si="11"/>
        <v>0.36156149161433981</v>
      </c>
      <c r="S63" s="561">
        <f t="shared" si="11"/>
        <v>0.35260221645108064</v>
      </c>
      <c r="T63" s="561">
        <f t="shared" si="11"/>
        <v>0.34364294128782136</v>
      </c>
      <c r="U63" s="561">
        <f t="shared" si="11"/>
        <v>0.33468366612456213</v>
      </c>
      <c r="V63" s="561">
        <f t="shared" si="11"/>
        <v>0.32572439096130285</v>
      </c>
      <c r="W63" s="561">
        <f t="shared" si="11"/>
        <v>0.31676511579804362</v>
      </c>
      <c r="X63" s="561">
        <f t="shared" si="11"/>
        <v>0.30780584063478433</v>
      </c>
      <c r="Y63" s="561">
        <f t="shared" si="11"/>
        <v>0.29884656547152516</v>
      </c>
      <c r="Z63" s="561">
        <f t="shared" si="11"/>
        <v>0.28988729030826588</v>
      </c>
      <c r="AA63" s="561">
        <f t="shared" si="11"/>
        <v>0.2809280151450067</v>
      </c>
      <c r="AB63" s="561">
        <f t="shared" si="11"/>
        <v>0.27196873998174742</v>
      </c>
      <c r="AC63" s="561">
        <f t="shared" si="11"/>
        <v>0.26300946481848825</v>
      </c>
      <c r="AD63" s="561">
        <f t="shared" si="11"/>
        <v>0.25405018965522896</v>
      </c>
      <c r="AE63" s="561">
        <f t="shared" si="11"/>
        <v>0.24509091449196974</v>
      </c>
      <c r="AF63" s="561">
        <f t="shared" si="11"/>
        <v>0.23613163932871048</v>
      </c>
      <c r="AG63" s="561">
        <f t="shared" si="11"/>
        <v>0.22717236416545125</v>
      </c>
      <c r="AH63" s="561">
        <f t="shared" si="11"/>
        <v>0.218213089002192</v>
      </c>
      <c r="AI63" s="561">
        <f t="shared" si="11"/>
        <v>0.20925381383893277</v>
      </c>
      <c r="AJ63" s="561">
        <f t="shared" si="11"/>
        <v>0.20029453867567351</v>
      </c>
      <c r="AK63" s="561">
        <f t="shared" si="11"/>
        <v>0.19133526351241439</v>
      </c>
    </row>
    <row r="64" spans="1:16383" s="148" customFormat="1" ht="15">
      <c r="A64" s="38"/>
    </row>
    <row r="65" spans="1:37" s="38" customFormat="1" ht="15">
      <c r="B65" s="60">
        <v>2015</v>
      </c>
      <c r="C65" s="60">
        <f>B65+1</f>
        <v>2016</v>
      </c>
      <c r="D65" s="60">
        <f t="shared" ref="D65:AK65" si="12">C65+1</f>
        <v>2017</v>
      </c>
      <c r="E65" s="60">
        <f t="shared" si="12"/>
        <v>2018</v>
      </c>
      <c r="F65" s="60">
        <f t="shared" si="12"/>
        <v>2019</v>
      </c>
      <c r="G65" s="60">
        <f t="shared" si="12"/>
        <v>2020</v>
      </c>
      <c r="H65" s="60">
        <f t="shared" si="12"/>
        <v>2021</v>
      </c>
      <c r="I65" s="60">
        <f t="shared" si="12"/>
        <v>2022</v>
      </c>
      <c r="J65" s="60">
        <f t="shared" si="12"/>
        <v>2023</v>
      </c>
      <c r="K65" s="60">
        <f t="shared" si="12"/>
        <v>2024</v>
      </c>
      <c r="L65" s="60">
        <f t="shared" si="12"/>
        <v>2025</v>
      </c>
      <c r="M65" s="60">
        <f t="shared" si="12"/>
        <v>2026</v>
      </c>
      <c r="N65" s="60">
        <f t="shared" si="12"/>
        <v>2027</v>
      </c>
      <c r="O65" s="60">
        <f t="shared" si="12"/>
        <v>2028</v>
      </c>
      <c r="P65" s="60">
        <f t="shared" si="12"/>
        <v>2029</v>
      </c>
      <c r="Q65" s="60">
        <f t="shared" si="12"/>
        <v>2030</v>
      </c>
      <c r="R65" s="60">
        <f t="shared" si="12"/>
        <v>2031</v>
      </c>
      <c r="S65" s="60">
        <f t="shared" si="12"/>
        <v>2032</v>
      </c>
      <c r="T65" s="60">
        <f t="shared" si="12"/>
        <v>2033</v>
      </c>
      <c r="U65" s="60">
        <f t="shared" si="12"/>
        <v>2034</v>
      </c>
      <c r="V65" s="60">
        <f t="shared" si="12"/>
        <v>2035</v>
      </c>
      <c r="W65" s="60">
        <f t="shared" si="12"/>
        <v>2036</v>
      </c>
      <c r="X65" s="60">
        <f t="shared" si="12"/>
        <v>2037</v>
      </c>
      <c r="Y65" s="60">
        <f t="shared" si="12"/>
        <v>2038</v>
      </c>
      <c r="Z65" s="60">
        <f t="shared" si="12"/>
        <v>2039</v>
      </c>
      <c r="AA65" s="60">
        <f t="shared" si="12"/>
        <v>2040</v>
      </c>
      <c r="AB65" s="60">
        <f t="shared" si="12"/>
        <v>2041</v>
      </c>
      <c r="AC65" s="60">
        <f t="shared" si="12"/>
        <v>2042</v>
      </c>
      <c r="AD65" s="60">
        <f t="shared" si="12"/>
        <v>2043</v>
      </c>
      <c r="AE65" s="60">
        <f t="shared" si="12"/>
        <v>2044</v>
      </c>
      <c r="AF65" s="60">
        <f t="shared" si="12"/>
        <v>2045</v>
      </c>
      <c r="AG65" s="60">
        <f t="shared" si="12"/>
        <v>2046</v>
      </c>
      <c r="AH65" s="60">
        <f t="shared" si="12"/>
        <v>2047</v>
      </c>
      <c r="AI65" s="60">
        <f t="shared" si="12"/>
        <v>2048</v>
      </c>
      <c r="AJ65" s="60">
        <f t="shared" si="12"/>
        <v>2049</v>
      </c>
      <c r="AK65" s="60">
        <f t="shared" si="12"/>
        <v>2050</v>
      </c>
    </row>
    <row r="66" spans="1:37" s="38" customFormat="1" ht="15">
      <c r="A66" s="142" t="s">
        <v>626</v>
      </c>
      <c r="B66" s="559">
        <v>1.8210421843489033E-2</v>
      </c>
      <c r="C66" s="559">
        <v>1.7494455968553407E-2</v>
      </c>
      <c r="D66" s="559">
        <v>1.677849009361778E-2</v>
      </c>
      <c r="E66" s="559">
        <v>1.6062524218682154E-2</v>
      </c>
      <c r="F66" s="559">
        <v>1.5346558343746527E-2</v>
      </c>
      <c r="G66" s="559">
        <v>1.4630592468810901E-2</v>
      </c>
      <c r="H66" s="559">
        <v>1.3914626593875275E-2</v>
      </c>
      <c r="I66" s="559">
        <v>1.3198660718939648E-2</v>
      </c>
      <c r="J66" s="559">
        <v>1.2482694844004022E-2</v>
      </c>
      <c r="K66" s="559">
        <v>1.1766728969068396E-2</v>
      </c>
      <c r="L66" s="559">
        <v>1.1050763094132774E-2</v>
      </c>
      <c r="M66" s="560">
        <v>1.0792075328844434E-2</v>
      </c>
      <c r="N66" s="560">
        <v>1.0533387563556094E-2</v>
      </c>
      <c r="O66" s="560">
        <v>1.0274699798267754E-2</v>
      </c>
      <c r="P66" s="560">
        <v>1.0016012032979414E-2</v>
      </c>
      <c r="Q66" s="560">
        <v>9.7573242676910737E-3</v>
      </c>
      <c r="R66" s="560">
        <v>9.4986365024027335E-3</v>
      </c>
      <c r="S66" s="560">
        <v>9.2399487371143934E-3</v>
      </c>
      <c r="T66" s="560">
        <v>8.9812609718260532E-3</v>
      </c>
      <c r="U66" s="560">
        <v>8.7225732065377131E-3</v>
      </c>
      <c r="V66" s="560">
        <v>8.463885441249373E-3</v>
      </c>
      <c r="W66" s="560">
        <v>8.2051976759610328E-3</v>
      </c>
      <c r="X66" s="560">
        <v>7.9465099106726927E-3</v>
      </c>
      <c r="Y66" s="560">
        <v>7.6878221453843525E-3</v>
      </c>
      <c r="Z66" s="560">
        <v>7.4291343800960124E-3</v>
      </c>
      <c r="AA66" s="560">
        <v>7.1704466148076722E-3</v>
      </c>
      <c r="AB66" s="560">
        <v>6.9117588495193321E-3</v>
      </c>
      <c r="AC66" s="560">
        <v>6.653071084230992E-3</v>
      </c>
      <c r="AD66" s="560">
        <v>6.3943833189426518E-3</v>
      </c>
      <c r="AE66" s="560">
        <v>6.1356955536543117E-3</v>
      </c>
      <c r="AF66" s="560">
        <v>5.8770077883659715E-3</v>
      </c>
      <c r="AG66" s="560">
        <v>5.6183200230776314E-3</v>
      </c>
      <c r="AH66" s="560">
        <v>5.3596322577892912E-3</v>
      </c>
      <c r="AI66" s="560">
        <v>5.1009444925009511E-3</v>
      </c>
      <c r="AJ66" s="560">
        <v>4.842256727212611E-3</v>
      </c>
      <c r="AK66" s="38">
        <v>4.5835689619242743E-3</v>
      </c>
    </row>
    <row r="67" spans="1:37" s="38" customFormat="1" ht="15">
      <c r="A67" s="143" t="s">
        <v>627</v>
      </c>
      <c r="B67" s="559">
        <v>5.6554451027309091E-2</v>
      </c>
      <c r="C67" s="559">
        <v>5.4090279501305093E-2</v>
      </c>
      <c r="D67" s="559">
        <v>5.1626107975301094E-2</v>
      </c>
      <c r="E67" s="559">
        <v>4.9161936449297096E-2</v>
      </c>
      <c r="F67" s="559">
        <v>4.6697764923293097E-2</v>
      </c>
      <c r="G67" s="559">
        <v>4.4233593397289099E-2</v>
      </c>
      <c r="H67" s="559">
        <v>4.1769421871285101E-2</v>
      </c>
      <c r="I67" s="559">
        <v>3.9305250345281102E-2</v>
      </c>
      <c r="J67" s="559">
        <v>3.6841078819277104E-2</v>
      </c>
      <c r="K67" s="559">
        <v>3.4376907293273105E-2</v>
      </c>
      <c r="L67" s="559">
        <v>3.1912735767269079E-2</v>
      </c>
      <c r="M67" s="560">
        <v>3.0972717993560949E-2</v>
      </c>
      <c r="N67" s="560">
        <v>3.0032700219852819E-2</v>
      </c>
      <c r="O67" s="560">
        <v>2.9092682446144689E-2</v>
      </c>
      <c r="P67" s="560">
        <v>2.8152664672436559E-2</v>
      </c>
      <c r="Q67" s="560">
        <v>2.7212646898728429E-2</v>
      </c>
      <c r="R67" s="560">
        <v>2.6272629125020298E-2</v>
      </c>
      <c r="S67" s="560">
        <v>2.5332611351312168E-2</v>
      </c>
      <c r="T67" s="560">
        <v>2.4392593577604038E-2</v>
      </c>
      <c r="U67" s="560">
        <v>2.3452575803895908E-2</v>
      </c>
      <c r="V67" s="560">
        <v>2.2512558030187778E-2</v>
      </c>
      <c r="W67" s="560">
        <v>2.1572540256479648E-2</v>
      </c>
      <c r="X67" s="560">
        <v>2.0632522482771518E-2</v>
      </c>
      <c r="Y67" s="560">
        <v>1.9692504709063387E-2</v>
      </c>
      <c r="Z67" s="560">
        <v>1.8752486935355257E-2</v>
      </c>
      <c r="AA67" s="560">
        <v>1.7812469161647127E-2</v>
      </c>
      <c r="AB67" s="560">
        <v>1.6872451387938997E-2</v>
      </c>
      <c r="AC67" s="560">
        <v>1.5932433614230867E-2</v>
      </c>
      <c r="AD67" s="560">
        <v>1.4992415840522735E-2</v>
      </c>
      <c r="AE67" s="560">
        <v>1.4052398066814603E-2</v>
      </c>
      <c r="AF67" s="560">
        <v>1.3112380293106471E-2</v>
      </c>
      <c r="AG67" s="560">
        <v>1.2172362519398339E-2</v>
      </c>
      <c r="AH67" s="560">
        <v>1.1232344745690208E-2</v>
      </c>
      <c r="AI67" s="560">
        <v>1.0292326971982076E-2</v>
      </c>
      <c r="AJ67" s="560">
        <v>9.3523091982739438E-3</v>
      </c>
      <c r="AK67" s="38">
        <v>8.4122914245657893E-3</v>
      </c>
    </row>
    <row r="68" spans="1:37" s="38" customFormat="1" ht="15">
      <c r="A68" s="143" t="s">
        <v>628</v>
      </c>
      <c r="B68" s="559">
        <v>4.6580554757544397E-3</v>
      </c>
      <c r="C68" s="559">
        <v>4.6342096455212122E-3</v>
      </c>
      <c r="D68" s="559">
        <v>4.6103638152879848E-3</v>
      </c>
      <c r="E68" s="559">
        <v>4.5865179850547574E-3</v>
      </c>
      <c r="F68" s="559">
        <v>4.56267215482153E-3</v>
      </c>
      <c r="G68" s="559">
        <v>4.5388263245883026E-3</v>
      </c>
      <c r="H68" s="559">
        <v>4.5149804943550751E-3</v>
      </c>
      <c r="I68" s="559">
        <v>4.4911346641218477E-3</v>
      </c>
      <c r="J68" s="559">
        <v>4.4672888338886203E-3</v>
      </c>
      <c r="K68" s="559">
        <v>4.4434430036553929E-3</v>
      </c>
      <c r="L68" s="559">
        <v>4.419597173422162E-3</v>
      </c>
      <c r="M68" s="560">
        <v>4.3037947097696542E-3</v>
      </c>
      <c r="N68" s="560">
        <v>4.1879922461171464E-3</v>
      </c>
      <c r="O68" s="560">
        <v>4.0721897824646386E-3</v>
      </c>
      <c r="P68" s="560">
        <v>3.9563873188121308E-3</v>
      </c>
      <c r="Q68" s="560">
        <v>3.8405848551596226E-3</v>
      </c>
      <c r="R68" s="560">
        <v>3.7247823915071143E-3</v>
      </c>
      <c r="S68" s="560">
        <v>3.6089799278546061E-3</v>
      </c>
      <c r="T68" s="560">
        <v>3.4931774642020979E-3</v>
      </c>
      <c r="U68" s="560">
        <v>3.3773750005495896E-3</v>
      </c>
      <c r="V68" s="560">
        <v>3.2615725368970814E-3</v>
      </c>
      <c r="W68" s="560">
        <v>3.1457700732445732E-3</v>
      </c>
      <c r="X68" s="560">
        <v>3.0299676095920649E-3</v>
      </c>
      <c r="Y68" s="560">
        <v>2.9141651459395567E-3</v>
      </c>
      <c r="Z68" s="560">
        <v>2.7983626822870485E-3</v>
      </c>
      <c r="AA68" s="560">
        <v>2.6825602186345402E-3</v>
      </c>
      <c r="AB68" s="560">
        <v>2.566757754982032E-3</v>
      </c>
      <c r="AC68" s="560">
        <v>2.4509552913295238E-3</v>
      </c>
      <c r="AD68" s="560">
        <v>2.3351528276770155E-3</v>
      </c>
      <c r="AE68" s="560">
        <v>2.2193503640245073E-3</v>
      </c>
      <c r="AF68" s="560">
        <v>2.1035479003719991E-3</v>
      </c>
      <c r="AG68" s="560">
        <v>1.9877454367194908E-3</v>
      </c>
      <c r="AH68" s="560">
        <v>1.8719429730669828E-3</v>
      </c>
      <c r="AI68" s="560">
        <v>1.7561405094144748E-3</v>
      </c>
      <c r="AJ68" s="560">
        <v>1.6403380457619668E-3</v>
      </c>
      <c r="AK68" s="38">
        <v>1.5245355821094594E-3</v>
      </c>
    </row>
    <row r="69" spans="1:37" s="38" customFormat="1" ht="15">
      <c r="A69" s="143" t="s">
        <v>629</v>
      </c>
      <c r="B69" s="559">
        <v>1.9812390593896185E-2</v>
      </c>
      <c r="C69" s="559">
        <v>2.0670273345612424E-2</v>
      </c>
      <c r="D69" s="559">
        <v>2.1528156097328662E-2</v>
      </c>
      <c r="E69" s="559">
        <v>2.2386038849044901E-2</v>
      </c>
      <c r="F69" s="559">
        <v>2.3243921600761139E-2</v>
      </c>
      <c r="G69" s="559">
        <v>2.4101804352477378E-2</v>
      </c>
      <c r="H69" s="559">
        <v>2.4959687104193617E-2</v>
      </c>
      <c r="I69" s="559">
        <v>2.5817569855909855E-2</v>
      </c>
      <c r="J69" s="559">
        <v>2.6675452607626094E-2</v>
      </c>
      <c r="K69" s="559">
        <v>2.7533335359342333E-2</v>
      </c>
      <c r="L69" s="559">
        <v>2.8391218111058561E-2</v>
      </c>
      <c r="M69" s="560">
        <v>2.7756805077528649E-2</v>
      </c>
      <c r="N69" s="560">
        <v>2.7122392043998737E-2</v>
      </c>
      <c r="O69" s="560">
        <v>2.6487979010468825E-2</v>
      </c>
      <c r="P69" s="560">
        <v>2.5853565976938914E-2</v>
      </c>
      <c r="Q69" s="560">
        <v>2.5219152943409002E-2</v>
      </c>
      <c r="R69" s="560">
        <v>2.458473990987909E-2</v>
      </c>
      <c r="S69" s="560">
        <v>2.3950326876349178E-2</v>
      </c>
      <c r="T69" s="560">
        <v>2.3315913842819266E-2</v>
      </c>
      <c r="U69" s="560">
        <v>2.2681500809289355E-2</v>
      </c>
      <c r="V69" s="560">
        <v>2.2047087775759443E-2</v>
      </c>
      <c r="W69" s="560">
        <v>2.1412674742229531E-2</v>
      </c>
      <c r="X69" s="560">
        <v>2.0778261708699619E-2</v>
      </c>
      <c r="Y69" s="560">
        <v>2.0143848675169707E-2</v>
      </c>
      <c r="Z69" s="560">
        <v>1.9509435641639795E-2</v>
      </c>
      <c r="AA69" s="560">
        <v>1.8875022608109884E-2</v>
      </c>
      <c r="AB69" s="560">
        <v>1.8240609574579972E-2</v>
      </c>
      <c r="AC69" s="560">
        <v>1.760619654105006E-2</v>
      </c>
      <c r="AD69" s="560">
        <v>1.6971783507520148E-2</v>
      </c>
      <c r="AE69" s="560">
        <v>1.6337370473990236E-2</v>
      </c>
      <c r="AF69" s="560">
        <v>1.5702957440460324E-2</v>
      </c>
      <c r="AG69" s="560">
        <v>1.5068544406930414E-2</v>
      </c>
      <c r="AH69" s="560">
        <v>1.4434131373400504E-2</v>
      </c>
      <c r="AI69" s="560">
        <v>1.3799718339870594E-2</v>
      </c>
      <c r="AJ69" s="560">
        <v>1.3165305306340684E-2</v>
      </c>
      <c r="AK69" s="38">
        <v>1.2530892272810793E-2</v>
      </c>
    </row>
    <row r="70" spans="1:37" s="38" customFormat="1" ht="15">
      <c r="A70" s="143" t="s">
        <v>630</v>
      </c>
      <c r="B70" s="559">
        <v>1.644411353373208E-3</v>
      </c>
      <c r="C70" s="559">
        <v>2.0987470683713114E-3</v>
      </c>
      <c r="D70" s="559">
        <v>2.5530827833694148E-3</v>
      </c>
      <c r="E70" s="559">
        <v>3.0074184983675182E-3</v>
      </c>
      <c r="F70" s="559">
        <v>3.4617542133656217E-3</v>
      </c>
      <c r="G70" s="559">
        <v>3.9160899283637246E-3</v>
      </c>
      <c r="H70" s="559">
        <v>4.3704256433618281E-3</v>
      </c>
      <c r="I70" s="559">
        <v>4.8247613583599315E-3</v>
      </c>
      <c r="J70" s="559">
        <v>5.2790970733580349E-3</v>
      </c>
      <c r="K70" s="559">
        <v>5.7334327883561383E-3</v>
      </c>
      <c r="L70" s="559">
        <v>6.18776850335424E-3</v>
      </c>
      <c r="M70" s="560">
        <v>6.1212796459503022E-3</v>
      </c>
      <c r="N70" s="560">
        <v>6.0547907885463645E-3</v>
      </c>
      <c r="O70" s="560">
        <v>5.9883019311424267E-3</v>
      </c>
      <c r="P70" s="560">
        <v>5.921813073738489E-3</v>
      </c>
      <c r="Q70" s="560">
        <v>5.8553242163345513E-3</v>
      </c>
      <c r="R70" s="560">
        <v>5.7888353589306135E-3</v>
      </c>
      <c r="S70" s="560">
        <v>5.7223465015266758E-3</v>
      </c>
      <c r="T70" s="560">
        <v>5.655857644122738E-3</v>
      </c>
      <c r="U70" s="560">
        <v>5.5893687867188003E-3</v>
      </c>
      <c r="V70" s="560">
        <v>5.5228799293148625E-3</v>
      </c>
      <c r="W70" s="560">
        <v>5.4563910719109248E-3</v>
      </c>
      <c r="X70" s="560">
        <v>5.3899022145069871E-3</v>
      </c>
      <c r="Y70" s="560">
        <v>5.3234133571030493E-3</v>
      </c>
      <c r="Z70" s="560">
        <v>5.2569244996991116E-3</v>
      </c>
      <c r="AA70" s="560">
        <v>5.1904356422951738E-3</v>
      </c>
      <c r="AB70" s="560">
        <v>5.1239467848912361E-3</v>
      </c>
      <c r="AC70" s="560">
        <v>5.0574579274872983E-3</v>
      </c>
      <c r="AD70" s="560">
        <v>4.9909690700833606E-3</v>
      </c>
      <c r="AE70" s="560">
        <v>4.9244802126794229E-3</v>
      </c>
      <c r="AF70" s="560">
        <v>4.8579913552754851E-3</v>
      </c>
      <c r="AG70" s="560">
        <v>4.7915024978715474E-3</v>
      </c>
      <c r="AH70" s="560">
        <v>4.7250136404676096E-3</v>
      </c>
      <c r="AI70" s="560">
        <v>4.6585247830636719E-3</v>
      </c>
      <c r="AJ70" s="560">
        <v>4.5920359256597341E-3</v>
      </c>
      <c r="AK70" s="38">
        <v>4.5255470682557921E-3</v>
      </c>
    </row>
    <row r="71" spans="1:37" s="38" customFormat="1" ht="15">
      <c r="A71" s="143" t="s">
        <v>631</v>
      </c>
      <c r="B71" s="559">
        <v>6.8978031148305433E-2</v>
      </c>
      <c r="C71" s="559">
        <v>6.9936531770307994E-2</v>
      </c>
      <c r="D71" s="559">
        <v>7.0895032392310556E-2</v>
      </c>
      <c r="E71" s="559">
        <v>7.1853533014313117E-2</v>
      </c>
      <c r="F71" s="559">
        <v>7.2812033636315679E-2</v>
      </c>
      <c r="G71" s="559">
        <v>7.3770534258318241E-2</v>
      </c>
      <c r="H71" s="559">
        <v>7.4729034880320802E-2</v>
      </c>
      <c r="I71" s="559">
        <v>7.5687535502323364E-2</v>
      </c>
      <c r="J71" s="559">
        <v>7.6646036124325925E-2</v>
      </c>
      <c r="K71" s="559">
        <v>7.7604536746328487E-2</v>
      </c>
      <c r="L71" s="559">
        <v>7.8563037368331104E-2</v>
      </c>
      <c r="M71" s="560">
        <v>7.8718467097947067E-2</v>
      </c>
      <c r="N71" s="560">
        <v>7.8873896827563031E-2</v>
      </c>
      <c r="O71" s="560">
        <v>7.9029326557178994E-2</v>
      </c>
      <c r="P71" s="560">
        <v>7.9184756286794958E-2</v>
      </c>
      <c r="Q71" s="560">
        <v>7.9340186016410921E-2</v>
      </c>
      <c r="R71" s="560">
        <v>7.9495615746026885E-2</v>
      </c>
      <c r="S71" s="560">
        <v>7.9651045475642848E-2</v>
      </c>
      <c r="T71" s="560">
        <v>7.9806475205258812E-2</v>
      </c>
      <c r="U71" s="560">
        <v>7.9961904934874775E-2</v>
      </c>
      <c r="V71" s="560">
        <v>8.0117334664490739E-2</v>
      </c>
      <c r="W71" s="560">
        <v>8.0272764394106702E-2</v>
      </c>
      <c r="X71" s="560">
        <v>8.0428194123722666E-2</v>
      </c>
      <c r="Y71" s="560">
        <v>8.0583623853338629E-2</v>
      </c>
      <c r="Z71" s="560">
        <v>8.0739053582954592E-2</v>
      </c>
      <c r="AA71" s="560">
        <v>8.0894483312570556E-2</v>
      </c>
      <c r="AB71" s="560">
        <v>8.1049913042186519E-2</v>
      </c>
      <c r="AC71" s="560">
        <v>8.1205342771802483E-2</v>
      </c>
      <c r="AD71" s="560">
        <v>8.1360772501418446E-2</v>
      </c>
      <c r="AE71" s="560">
        <v>8.151620223103441E-2</v>
      </c>
      <c r="AF71" s="560">
        <v>8.1671631960650373E-2</v>
      </c>
      <c r="AG71" s="560">
        <v>8.1827061690266337E-2</v>
      </c>
      <c r="AH71" s="560">
        <v>8.19824914198823E-2</v>
      </c>
      <c r="AI71" s="560">
        <v>8.2137921149498264E-2</v>
      </c>
      <c r="AJ71" s="560">
        <v>8.2293350879114227E-2</v>
      </c>
      <c r="AK71" s="38">
        <v>8.2448780608730107E-2</v>
      </c>
    </row>
    <row r="72" spans="1:37" s="38" customFormat="1" ht="15">
      <c r="A72" s="143" t="s">
        <v>632</v>
      </c>
      <c r="B72" s="559">
        <v>1.0902872160603063E-2</v>
      </c>
      <c r="C72" s="559">
        <v>1.0993482678567371E-2</v>
      </c>
      <c r="D72" s="559">
        <v>1.108409319653168E-2</v>
      </c>
      <c r="E72" s="559">
        <v>1.1174703714495988E-2</v>
      </c>
      <c r="F72" s="559">
        <v>1.1265314232460296E-2</v>
      </c>
      <c r="G72" s="559">
        <v>1.1355924750424604E-2</v>
      </c>
      <c r="H72" s="559">
        <v>1.1446535268388913E-2</v>
      </c>
      <c r="I72" s="559">
        <v>1.1537145786353221E-2</v>
      </c>
      <c r="J72" s="559">
        <v>1.1627756304317529E-2</v>
      </c>
      <c r="K72" s="559">
        <v>1.1718366822281837E-2</v>
      </c>
      <c r="L72" s="559">
        <v>1.1808977340246144E-2</v>
      </c>
      <c r="M72" s="560">
        <v>1.1911340262445337E-2</v>
      </c>
      <c r="N72" s="560">
        <v>1.2013703184644531E-2</v>
      </c>
      <c r="O72" s="560">
        <v>1.2116066106843725E-2</v>
      </c>
      <c r="P72" s="560">
        <v>1.2218429029042919E-2</v>
      </c>
      <c r="Q72" s="560">
        <v>1.2320791951242112E-2</v>
      </c>
      <c r="R72" s="560">
        <v>1.2423154873441306E-2</v>
      </c>
      <c r="S72" s="560">
        <v>1.25255177956405E-2</v>
      </c>
      <c r="T72" s="560">
        <v>1.2627880717839693E-2</v>
      </c>
      <c r="U72" s="560">
        <v>1.2730243640038887E-2</v>
      </c>
      <c r="V72" s="560">
        <v>1.2832606562238081E-2</v>
      </c>
      <c r="W72" s="560">
        <v>1.2934969484437274E-2</v>
      </c>
      <c r="X72" s="560">
        <v>1.3037332406636468E-2</v>
      </c>
      <c r="Y72" s="560">
        <v>1.3139695328835662E-2</v>
      </c>
      <c r="Z72" s="560">
        <v>1.3242058251034855E-2</v>
      </c>
      <c r="AA72" s="560">
        <v>1.3344421173234049E-2</v>
      </c>
      <c r="AB72" s="560">
        <v>1.3446784095433243E-2</v>
      </c>
      <c r="AC72" s="560">
        <v>1.3549147017632436E-2</v>
      </c>
      <c r="AD72" s="560">
        <v>1.365150993983163E-2</v>
      </c>
      <c r="AE72" s="560">
        <v>1.3753872862030824E-2</v>
      </c>
      <c r="AF72" s="560">
        <v>1.3856235784230017E-2</v>
      </c>
      <c r="AG72" s="560">
        <v>1.3958598706429211E-2</v>
      </c>
      <c r="AH72" s="560">
        <v>1.4060961628628405E-2</v>
      </c>
      <c r="AI72" s="560">
        <v>1.4163324550827599E-2</v>
      </c>
      <c r="AJ72" s="560">
        <v>1.4265687473026792E-2</v>
      </c>
      <c r="AK72" s="38">
        <v>1.4368050395225989E-2</v>
      </c>
    </row>
    <row r="73" spans="1:37" s="38" customFormat="1" ht="15">
      <c r="A73" s="143" t="s">
        <v>634</v>
      </c>
      <c r="B73" s="559">
        <v>2.3577093916479924E-2</v>
      </c>
      <c r="C73" s="559">
        <v>2.3072937953079669E-2</v>
      </c>
      <c r="D73" s="559">
        <v>2.2568781989679414E-2</v>
      </c>
      <c r="E73" s="559">
        <v>2.206462602627916E-2</v>
      </c>
      <c r="F73" s="559">
        <v>2.1560470062878905E-2</v>
      </c>
      <c r="G73" s="559">
        <v>2.1056314099478651E-2</v>
      </c>
      <c r="H73" s="559">
        <v>2.0552158136078396E-2</v>
      </c>
      <c r="I73" s="559">
        <v>2.0048002172678141E-2</v>
      </c>
      <c r="J73" s="559">
        <v>1.9543846209277887E-2</v>
      </c>
      <c r="K73" s="559">
        <v>1.9039690245877632E-2</v>
      </c>
      <c r="L73" s="559">
        <v>1.8535534282477385E-2</v>
      </c>
      <c r="M73" s="560">
        <v>1.8038948468820096E-2</v>
      </c>
      <c r="N73" s="560">
        <v>1.7542362655162808E-2</v>
      </c>
      <c r="O73" s="560">
        <v>1.704577684150552E-2</v>
      </c>
      <c r="P73" s="560">
        <v>1.6549191027848232E-2</v>
      </c>
      <c r="Q73" s="560">
        <v>1.6052605214190944E-2</v>
      </c>
      <c r="R73" s="560">
        <v>1.5556019400533657E-2</v>
      </c>
      <c r="S73" s="560">
        <v>1.5059433586876371E-2</v>
      </c>
      <c r="T73" s="560">
        <v>1.4562847773219085E-2</v>
      </c>
      <c r="U73" s="560">
        <v>1.4066261959561798E-2</v>
      </c>
      <c r="V73" s="560">
        <v>1.3569676145904512E-2</v>
      </c>
      <c r="W73" s="560">
        <v>1.3073090332247225E-2</v>
      </c>
      <c r="X73" s="560">
        <v>1.2576504518589939E-2</v>
      </c>
      <c r="Y73" s="560">
        <v>1.2079918704932652E-2</v>
      </c>
      <c r="Z73" s="560">
        <v>1.1583332891275366E-2</v>
      </c>
      <c r="AA73" s="560">
        <v>1.108674707761808E-2</v>
      </c>
      <c r="AB73" s="560">
        <v>1.0590161263960793E-2</v>
      </c>
      <c r="AC73" s="560">
        <v>1.0093575450303507E-2</v>
      </c>
      <c r="AD73" s="560">
        <v>9.5969896366462203E-3</v>
      </c>
      <c r="AE73" s="560">
        <v>9.1004038229889339E-3</v>
      </c>
      <c r="AF73" s="560">
        <v>8.6038180093316475E-3</v>
      </c>
      <c r="AG73" s="560">
        <v>8.1072321956743611E-3</v>
      </c>
      <c r="AH73" s="560">
        <v>7.6106463820170738E-3</v>
      </c>
      <c r="AI73" s="560">
        <v>7.1140605683597865E-3</v>
      </c>
      <c r="AJ73" s="560">
        <v>6.6174747547024992E-3</v>
      </c>
      <c r="AK73" s="38">
        <v>6.1208889410452093E-3</v>
      </c>
    </row>
    <row r="74" spans="1:37" s="38" customFormat="1" ht="15">
      <c r="A74" s="143" t="s">
        <v>635</v>
      </c>
      <c r="B74" s="559">
        <v>1.676130764020671E-2</v>
      </c>
      <c r="C74" s="559">
        <v>1.6803985025999651E-2</v>
      </c>
      <c r="D74" s="559">
        <v>1.6846662411792591E-2</v>
      </c>
      <c r="E74" s="559">
        <v>1.6889339797585532E-2</v>
      </c>
      <c r="F74" s="559">
        <v>1.6932017183378473E-2</v>
      </c>
      <c r="G74" s="559">
        <v>1.6974694569171413E-2</v>
      </c>
      <c r="H74" s="559">
        <v>1.7017371954964354E-2</v>
      </c>
      <c r="I74" s="559">
        <v>1.7060049340757295E-2</v>
      </c>
      <c r="J74" s="559">
        <v>1.7102726726550235E-2</v>
      </c>
      <c r="K74" s="559">
        <v>1.7145404112343176E-2</v>
      </c>
      <c r="L74" s="559">
        <v>1.718808149813611E-2</v>
      </c>
      <c r="M74" s="560">
        <v>1.6781343834302746E-2</v>
      </c>
      <c r="N74" s="560">
        <v>1.6374606170469382E-2</v>
      </c>
      <c r="O74" s="560">
        <v>1.5967868506636018E-2</v>
      </c>
      <c r="P74" s="560">
        <v>1.5561130842802653E-2</v>
      </c>
      <c r="Q74" s="560">
        <v>1.5154393178969289E-2</v>
      </c>
      <c r="R74" s="560">
        <v>1.4747655515135925E-2</v>
      </c>
      <c r="S74" s="560">
        <v>1.4340917851302561E-2</v>
      </c>
      <c r="T74" s="560">
        <v>1.3934180187469197E-2</v>
      </c>
      <c r="U74" s="560">
        <v>1.3527442523635833E-2</v>
      </c>
      <c r="V74" s="560">
        <v>1.3120704859802469E-2</v>
      </c>
      <c r="W74" s="560">
        <v>1.2713967195969105E-2</v>
      </c>
      <c r="X74" s="560">
        <v>1.2307229532135741E-2</v>
      </c>
      <c r="Y74" s="560">
        <v>1.1900491868302377E-2</v>
      </c>
      <c r="Z74" s="560">
        <v>1.1493754204469013E-2</v>
      </c>
      <c r="AA74" s="560">
        <v>1.1087016540635649E-2</v>
      </c>
      <c r="AB74" s="560">
        <v>1.0680278876802285E-2</v>
      </c>
      <c r="AC74" s="560">
        <v>1.0273541212968921E-2</v>
      </c>
      <c r="AD74" s="560">
        <v>9.8668035491355569E-3</v>
      </c>
      <c r="AE74" s="560">
        <v>9.4600658853021928E-3</v>
      </c>
      <c r="AF74" s="560">
        <v>9.0533282214688288E-3</v>
      </c>
      <c r="AG74" s="560">
        <v>8.6465905576354647E-3</v>
      </c>
      <c r="AH74" s="560">
        <v>8.2398528938021007E-3</v>
      </c>
      <c r="AI74" s="560">
        <v>7.8331152299687366E-3</v>
      </c>
      <c r="AJ74" s="560">
        <v>7.4263775661353735E-3</v>
      </c>
      <c r="AK74" s="38">
        <v>7.0196399023020224E-3</v>
      </c>
    </row>
    <row r="75" spans="1:37" s="38" customFormat="1" ht="15">
      <c r="A75" s="143" t="s">
        <v>636</v>
      </c>
      <c r="B75" s="559">
        <v>4.9790644531239013E-3</v>
      </c>
      <c r="C75" s="559">
        <v>5.0457845260279211E-3</v>
      </c>
      <c r="D75" s="559">
        <v>5.1125045989319409E-3</v>
      </c>
      <c r="E75" s="559">
        <v>5.1792246718359606E-3</v>
      </c>
      <c r="F75" s="559">
        <v>5.2459447447399804E-3</v>
      </c>
      <c r="G75" s="559">
        <v>5.3126648176440002E-3</v>
      </c>
      <c r="H75" s="559">
        <v>5.37938489054802E-3</v>
      </c>
      <c r="I75" s="559">
        <v>5.4461049634520397E-3</v>
      </c>
      <c r="J75" s="559">
        <v>5.5128250363560595E-3</v>
      </c>
      <c r="K75" s="559">
        <v>5.5795451092600793E-3</v>
      </c>
      <c r="L75" s="559">
        <v>5.6462651821640982E-3</v>
      </c>
      <c r="M75" s="560">
        <v>5.5487887601512959E-3</v>
      </c>
      <c r="N75" s="560">
        <v>5.4513123381384936E-3</v>
      </c>
      <c r="O75" s="560">
        <v>5.3538359161256913E-3</v>
      </c>
      <c r="P75" s="560">
        <v>5.256359494112889E-3</v>
      </c>
      <c r="Q75" s="560">
        <v>5.1588830721000867E-3</v>
      </c>
      <c r="R75" s="560">
        <v>5.0614066500872844E-3</v>
      </c>
      <c r="S75" s="560">
        <v>4.9639302280744821E-3</v>
      </c>
      <c r="T75" s="560">
        <v>4.8664538060616798E-3</v>
      </c>
      <c r="U75" s="560">
        <v>4.7689773840488775E-3</v>
      </c>
      <c r="V75" s="560">
        <v>4.6715009620360752E-3</v>
      </c>
      <c r="W75" s="560">
        <v>4.5740245400232729E-3</v>
      </c>
      <c r="X75" s="560">
        <v>4.4765481180104707E-3</v>
      </c>
      <c r="Y75" s="560">
        <v>4.3790716959976684E-3</v>
      </c>
      <c r="Z75" s="560">
        <v>4.2815952739848661E-3</v>
      </c>
      <c r="AA75" s="560">
        <v>4.1841188519720638E-3</v>
      </c>
      <c r="AB75" s="560">
        <v>4.0866424299592615E-3</v>
      </c>
      <c r="AC75" s="560">
        <v>3.9891660079464592E-3</v>
      </c>
      <c r="AD75" s="560">
        <v>3.8916895859336573E-3</v>
      </c>
      <c r="AE75" s="560">
        <v>3.7942131639208555E-3</v>
      </c>
      <c r="AF75" s="560">
        <v>3.6967367419080536E-3</v>
      </c>
      <c r="AG75" s="560">
        <v>3.5992603198952517E-3</v>
      </c>
      <c r="AH75" s="560">
        <v>3.5017838978824499E-3</v>
      </c>
      <c r="AI75" s="560">
        <v>3.404307475869648E-3</v>
      </c>
      <c r="AJ75" s="560">
        <v>3.3068310538568462E-3</v>
      </c>
      <c r="AK75" s="38">
        <v>3.2093546318440499E-3</v>
      </c>
    </row>
    <row r="76" spans="1:37" s="38" customFormat="1" ht="15">
      <c r="A76" s="143" t="s">
        <v>637</v>
      </c>
      <c r="B76" s="559">
        <v>3.8176775086192064E-2</v>
      </c>
      <c r="C76" s="559">
        <v>3.7299389365634636E-2</v>
      </c>
      <c r="D76" s="559">
        <v>3.6422003645077208E-2</v>
      </c>
      <c r="E76" s="559">
        <v>3.5544617924519781E-2</v>
      </c>
      <c r="F76" s="559">
        <v>3.4667232203962353E-2</v>
      </c>
      <c r="G76" s="559">
        <v>3.3789846483404926E-2</v>
      </c>
      <c r="H76" s="559">
        <v>3.2912460762847498E-2</v>
      </c>
      <c r="I76" s="559">
        <v>3.203507504229007E-2</v>
      </c>
      <c r="J76" s="559">
        <v>3.1157689321732639E-2</v>
      </c>
      <c r="K76" s="559">
        <v>3.0280303601175208E-2</v>
      </c>
      <c r="L76" s="559">
        <v>2.9402917880617763E-2</v>
      </c>
      <c r="M76" s="560">
        <v>2.8645373605265104E-2</v>
      </c>
      <c r="N76" s="560">
        <v>2.7887829329912444E-2</v>
      </c>
      <c r="O76" s="560">
        <v>2.7130285054559784E-2</v>
      </c>
      <c r="P76" s="560">
        <v>2.6372740779207125E-2</v>
      </c>
      <c r="Q76" s="560">
        <v>2.5615196503854465E-2</v>
      </c>
      <c r="R76" s="560">
        <v>2.4857652228501805E-2</v>
      </c>
      <c r="S76" s="560">
        <v>2.4100107953149146E-2</v>
      </c>
      <c r="T76" s="560">
        <v>2.3342563677796486E-2</v>
      </c>
      <c r="U76" s="560">
        <v>2.2585019402443826E-2</v>
      </c>
      <c r="V76" s="560">
        <v>2.1827475127091166E-2</v>
      </c>
      <c r="W76" s="560">
        <v>2.1069930851738507E-2</v>
      </c>
      <c r="X76" s="560">
        <v>2.0312386576385847E-2</v>
      </c>
      <c r="Y76" s="560">
        <v>1.9554842301033187E-2</v>
      </c>
      <c r="Z76" s="560">
        <v>1.8797298025680528E-2</v>
      </c>
      <c r="AA76" s="560">
        <v>1.8039753750327868E-2</v>
      </c>
      <c r="AB76" s="560">
        <v>1.7282209474975208E-2</v>
      </c>
      <c r="AC76" s="560">
        <v>1.6524665199622549E-2</v>
      </c>
      <c r="AD76" s="560">
        <v>1.5767120924269889E-2</v>
      </c>
      <c r="AE76" s="560">
        <v>1.5009576648917229E-2</v>
      </c>
      <c r="AF76" s="560">
        <v>1.4252032373564569E-2</v>
      </c>
      <c r="AG76" s="560">
        <v>1.349448809821191E-2</v>
      </c>
      <c r="AH76" s="560">
        <v>1.273694382285925E-2</v>
      </c>
      <c r="AI76" s="560">
        <v>1.197939954750659E-2</v>
      </c>
      <c r="AJ76" s="560">
        <v>1.1221855272153931E-2</v>
      </c>
      <c r="AK76" s="38">
        <v>1.0464310996801287E-2</v>
      </c>
    </row>
    <row r="77" spans="1:37" s="38" customFormat="1" ht="15">
      <c r="A77" s="143" t="s">
        <v>638</v>
      </c>
      <c r="B77" s="559">
        <v>3.3637211462694369E-2</v>
      </c>
      <c r="C77" s="559">
        <v>3.5944951972687156E-2</v>
      </c>
      <c r="D77" s="559">
        <v>3.8252692482679942E-2</v>
      </c>
      <c r="E77" s="559">
        <v>4.0560432992672729E-2</v>
      </c>
      <c r="F77" s="559">
        <v>4.2868173502665516E-2</v>
      </c>
      <c r="G77" s="559">
        <v>4.5175914012658303E-2</v>
      </c>
      <c r="H77" s="559">
        <v>4.7483654522651089E-2</v>
      </c>
      <c r="I77" s="559">
        <v>4.9791395032643876E-2</v>
      </c>
      <c r="J77" s="559">
        <v>5.2099135542636663E-2</v>
      </c>
      <c r="K77" s="559">
        <v>5.4406876052629449E-2</v>
      </c>
      <c r="L77" s="559">
        <v>5.6714616562622201E-2</v>
      </c>
      <c r="M77" s="560">
        <v>5.5943630378491302E-2</v>
      </c>
      <c r="N77" s="560">
        <v>5.5172644194360403E-2</v>
      </c>
      <c r="O77" s="560">
        <v>5.4401658010229503E-2</v>
      </c>
      <c r="P77" s="560">
        <v>5.3630671826098604E-2</v>
      </c>
      <c r="Q77" s="560">
        <v>5.2859685641967705E-2</v>
      </c>
      <c r="R77" s="560">
        <v>5.2088699457836805E-2</v>
      </c>
      <c r="S77" s="560">
        <v>5.1317713273705906E-2</v>
      </c>
      <c r="T77" s="560">
        <v>5.0546727089575007E-2</v>
      </c>
      <c r="U77" s="560">
        <v>4.9775740905444107E-2</v>
      </c>
      <c r="V77" s="560">
        <v>4.9004754721313208E-2</v>
      </c>
      <c r="W77" s="560">
        <v>4.8233768537182309E-2</v>
      </c>
      <c r="X77" s="560">
        <v>4.746278235305141E-2</v>
      </c>
      <c r="Y77" s="560">
        <v>4.669179616892051E-2</v>
      </c>
      <c r="Z77" s="560">
        <v>4.5920809984789611E-2</v>
      </c>
      <c r="AA77" s="560">
        <v>4.5149823800658712E-2</v>
      </c>
      <c r="AB77" s="560">
        <v>4.4378837616527812E-2</v>
      </c>
      <c r="AC77" s="560">
        <v>4.3607851432396913E-2</v>
      </c>
      <c r="AD77" s="560">
        <v>4.2836865248266014E-2</v>
      </c>
      <c r="AE77" s="560">
        <v>4.2065879064135114E-2</v>
      </c>
      <c r="AF77" s="560">
        <v>4.1294892880004215E-2</v>
      </c>
      <c r="AG77" s="560">
        <v>4.0523906695873316E-2</v>
      </c>
      <c r="AH77" s="560">
        <v>3.9752920511742416E-2</v>
      </c>
      <c r="AI77" s="560">
        <v>3.8981934327611517E-2</v>
      </c>
      <c r="AJ77" s="560">
        <v>3.8210948143480618E-2</v>
      </c>
      <c r="AK77" s="38">
        <v>3.7439961959349635E-2</v>
      </c>
    </row>
    <row r="78" spans="1:37" s="38" customFormat="1" ht="15">
      <c r="A78" s="143" t="s">
        <v>639</v>
      </c>
      <c r="B78" s="559">
        <v>6.0998308139386316E-2</v>
      </c>
      <c r="C78" s="559">
        <v>6.030365866435522E-2</v>
      </c>
      <c r="D78" s="559">
        <v>5.9609009189324123E-2</v>
      </c>
      <c r="E78" s="559">
        <v>5.8914359714293027E-2</v>
      </c>
      <c r="F78" s="559">
        <v>5.8219710239261931E-2</v>
      </c>
      <c r="G78" s="559">
        <v>5.7525060764230834E-2</v>
      </c>
      <c r="H78" s="559">
        <v>5.6830411289199738E-2</v>
      </c>
      <c r="I78" s="559">
        <v>5.6135761814168642E-2</v>
      </c>
      <c r="J78" s="559">
        <v>5.5441112339137545E-2</v>
      </c>
      <c r="K78" s="559">
        <v>5.4746462864106449E-2</v>
      </c>
      <c r="L78" s="559">
        <v>5.4051813389075373E-2</v>
      </c>
      <c r="M78" s="560">
        <v>5.4215763430740326E-2</v>
      </c>
      <c r="N78" s="560">
        <v>5.4379713472405278E-2</v>
      </c>
      <c r="O78" s="560">
        <v>5.454366351407023E-2</v>
      </c>
      <c r="P78" s="560">
        <v>5.4707613555735182E-2</v>
      </c>
      <c r="Q78" s="560">
        <v>5.4871563597400135E-2</v>
      </c>
      <c r="R78" s="560">
        <v>5.5035513639065087E-2</v>
      </c>
      <c r="S78" s="560">
        <v>5.5199463680730039E-2</v>
      </c>
      <c r="T78" s="560">
        <v>5.5363413722394991E-2</v>
      </c>
      <c r="U78" s="560">
        <v>5.5527363764059944E-2</v>
      </c>
      <c r="V78" s="560">
        <v>5.5691313805724896E-2</v>
      </c>
      <c r="W78" s="560">
        <v>5.5855263847389848E-2</v>
      </c>
      <c r="X78" s="560">
        <v>5.60192138890548E-2</v>
      </c>
      <c r="Y78" s="560">
        <v>5.6183163930719753E-2</v>
      </c>
      <c r="Z78" s="560">
        <v>5.6347113972384705E-2</v>
      </c>
      <c r="AA78" s="560">
        <v>5.6511064014049657E-2</v>
      </c>
      <c r="AB78" s="560">
        <v>5.6675014055714609E-2</v>
      </c>
      <c r="AC78" s="560">
        <v>5.6838964097379562E-2</v>
      </c>
      <c r="AD78" s="560">
        <v>5.7002914139044514E-2</v>
      </c>
      <c r="AE78" s="560">
        <v>5.7166864180709466E-2</v>
      </c>
      <c r="AF78" s="560">
        <v>5.7330814222374418E-2</v>
      </c>
      <c r="AG78" s="560">
        <v>5.7494764264039371E-2</v>
      </c>
      <c r="AH78" s="560">
        <v>5.7658714305704323E-2</v>
      </c>
      <c r="AI78" s="560">
        <v>5.7822664347369275E-2</v>
      </c>
      <c r="AJ78" s="560">
        <v>5.7986614389034227E-2</v>
      </c>
      <c r="AK78" s="38">
        <v>5.8150564430699263E-2</v>
      </c>
    </row>
    <row r="79" spans="1:37" s="38" customFormat="1" ht="15">
      <c r="A79" s="143" t="s">
        <v>640</v>
      </c>
      <c r="B79" s="559">
        <v>9.0675614356894377E-3</v>
      </c>
      <c r="C79" s="559">
        <v>1.0469251919283785E-2</v>
      </c>
      <c r="D79" s="559">
        <v>1.1870942402878133E-2</v>
      </c>
      <c r="E79" s="559">
        <v>1.327263288647248E-2</v>
      </c>
      <c r="F79" s="559">
        <v>1.4674323370066827E-2</v>
      </c>
      <c r="G79" s="559">
        <v>1.6076013853661173E-2</v>
      </c>
      <c r="H79" s="559">
        <v>1.7477704337255519E-2</v>
      </c>
      <c r="I79" s="559">
        <v>1.8879394820849865E-2</v>
      </c>
      <c r="J79" s="559">
        <v>2.028108530444421E-2</v>
      </c>
      <c r="K79" s="559">
        <v>2.1682775788038556E-2</v>
      </c>
      <c r="L79" s="559">
        <v>2.3084466271632905E-2</v>
      </c>
      <c r="M79" s="560">
        <v>2.2673734110208683E-2</v>
      </c>
      <c r="N79" s="560">
        <v>2.2263001948784462E-2</v>
      </c>
      <c r="O79" s="560">
        <v>2.185226978736024E-2</v>
      </c>
      <c r="P79" s="560">
        <v>2.1441537625936018E-2</v>
      </c>
      <c r="Q79" s="560">
        <v>2.1030805464511797E-2</v>
      </c>
      <c r="R79" s="560">
        <v>2.0620073303087575E-2</v>
      </c>
      <c r="S79" s="560">
        <v>2.0209341141663353E-2</v>
      </c>
      <c r="T79" s="560">
        <v>1.9798608980239132E-2</v>
      </c>
      <c r="U79" s="560">
        <v>1.938787681881491E-2</v>
      </c>
      <c r="V79" s="560">
        <v>1.8977144657390688E-2</v>
      </c>
      <c r="W79" s="560">
        <v>1.8566412495966467E-2</v>
      </c>
      <c r="X79" s="560">
        <v>1.8155680334542245E-2</v>
      </c>
      <c r="Y79" s="560">
        <v>1.7744948173118023E-2</v>
      </c>
      <c r="Z79" s="560">
        <v>1.7334216011693802E-2</v>
      </c>
      <c r="AA79" s="560">
        <v>1.692348385026958E-2</v>
      </c>
      <c r="AB79" s="560">
        <v>1.6512751688845358E-2</v>
      </c>
      <c r="AC79" s="560">
        <v>1.6102019527421137E-2</v>
      </c>
      <c r="AD79" s="560">
        <v>1.5691287365996915E-2</v>
      </c>
      <c r="AE79" s="560">
        <v>1.5280555204572695E-2</v>
      </c>
      <c r="AF79" s="560">
        <v>1.4869823043148475E-2</v>
      </c>
      <c r="AG79" s="560">
        <v>1.4459090881724255E-2</v>
      </c>
      <c r="AH79" s="560">
        <v>1.4048358720300035E-2</v>
      </c>
      <c r="AI79" s="560">
        <v>1.3637626558875815E-2</v>
      </c>
      <c r="AJ79" s="560">
        <v>1.3226894397451595E-2</v>
      </c>
      <c r="AK79" s="38">
        <v>1.28161622360274E-2</v>
      </c>
    </row>
    <row r="80" spans="1:37" s="38" customFormat="1" ht="15">
      <c r="A80" s="143" t="s">
        <v>641</v>
      </c>
      <c r="B80" s="559">
        <v>9.9822762887348815E-3</v>
      </c>
      <c r="C80" s="559">
        <v>1.059292213538208E-2</v>
      </c>
      <c r="D80" s="559">
        <v>1.1203567982029278E-2</v>
      </c>
      <c r="E80" s="559">
        <v>1.1814213828676477E-2</v>
      </c>
      <c r="F80" s="559">
        <v>1.2424859675323675E-2</v>
      </c>
      <c r="G80" s="559">
        <v>1.3035505521970874E-2</v>
      </c>
      <c r="H80" s="559">
        <v>1.3646151368618072E-2</v>
      </c>
      <c r="I80" s="559">
        <v>1.4256797215265271E-2</v>
      </c>
      <c r="J80" s="559">
        <v>1.4867443061912469E-2</v>
      </c>
      <c r="K80" s="559">
        <v>1.5478088908559668E-2</v>
      </c>
      <c r="L80" s="559">
        <v>1.6088734755206859E-2</v>
      </c>
      <c r="M80" s="560">
        <v>1.5755072428453233E-2</v>
      </c>
      <c r="N80" s="560">
        <v>1.5421410101699605E-2</v>
      </c>
      <c r="O80" s="560">
        <v>1.5087747774945977E-2</v>
      </c>
      <c r="P80" s="560">
        <v>1.475408544819235E-2</v>
      </c>
      <c r="Q80" s="560">
        <v>1.4420423121438722E-2</v>
      </c>
      <c r="R80" s="560">
        <v>1.4086760794685094E-2</v>
      </c>
      <c r="S80" s="560">
        <v>1.3753098467931466E-2</v>
      </c>
      <c r="T80" s="560">
        <v>1.3419436141177838E-2</v>
      </c>
      <c r="U80" s="560">
        <v>1.3085773814424211E-2</v>
      </c>
      <c r="V80" s="560">
        <v>1.2752111487670583E-2</v>
      </c>
      <c r="W80" s="560">
        <v>1.2418449160916955E-2</v>
      </c>
      <c r="X80" s="560">
        <v>1.2084786834163327E-2</v>
      </c>
      <c r="Y80" s="560">
        <v>1.1751124507409699E-2</v>
      </c>
      <c r="Z80" s="560">
        <v>1.1417462180656071E-2</v>
      </c>
      <c r="AA80" s="560">
        <v>1.1083799853902444E-2</v>
      </c>
      <c r="AB80" s="560">
        <v>1.0750137527148816E-2</v>
      </c>
      <c r="AC80" s="560">
        <v>1.0416475200395188E-2</v>
      </c>
      <c r="AD80" s="560">
        <v>1.008281287364156E-2</v>
      </c>
      <c r="AE80" s="560">
        <v>9.7491505468879323E-3</v>
      </c>
      <c r="AF80" s="560">
        <v>9.4154882201343045E-3</v>
      </c>
      <c r="AG80" s="560">
        <v>9.0818258933806767E-3</v>
      </c>
      <c r="AH80" s="560">
        <v>8.7481635666270489E-3</v>
      </c>
      <c r="AI80" s="560">
        <v>8.4145012398734211E-3</v>
      </c>
      <c r="AJ80" s="560">
        <v>8.0808389131197932E-3</v>
      </c>
      <c r="AK80" s="38">
        <v>7.7471765863661706E-3</v>
      </c>
    </row>
    <row r="81" spans="1:37" s="38" customFormat="1" ht="15">
      <c r="A81" s="143" t="s">
        <v>642</v>
      </c>
      <c r="B81" s="559">
        <v>4.3520693560842767E-3</v>
      </c>
      <c r="C81" s="559">
        <v>4.3341105408539939E-3</v>
      </c>
      <c r="D81" s="559">
        <v>4.3161517256237111E-3</v>
      </c>
      <c r="E81" s="559">
        <v>4.2981929103934283E-3</v>
      </c>
      <c r="F81" s="559">
        <v>4.2802340951631455E-3</v>
      </c>
      <c r="G81" s="559">
        <v>4.2622752799328627E-3</v>
      </c>
      <c r="H81" s="559">
        <v>4.2443164647025799E-3</v>
      </c>
      <c r="I81" s="559">
        <v>4.2263576494722972E-3</v>
      </c>
      <c r="J81" s="559">
        <v>4.2083988342420144E-3</v>
      </c>
      <c r="K81" s="559">
        <v>4.1904400190117316E-3</v>
      </c>
      <c r="L81" s="559">
        <v>4.172481203781447E-3</v>
      </c>
      <c r="M81" s="560">
        <v>4.0823643803210609E-3</v>
      </c>
      <c r="N81" s="560">
        <v>3.9922475568606747E-3</v>
      </c>
      <c r="O81" s="560">
        <v>3.902130733400289E-3</v>
      </c>
      <c r="P81" s="560">
        <v>3.8120139099399033E-3</v>
      </c>
      <c r="Q81" s="560">
        <v>3.7218970864795176E-3</v>
      </c>
      <c r="R81" s="560">
        <v>3.6317802630191319E-3</v>
      </c>
      <c r="S81" s="560">
        <v>3.5416634395587462E-3</v>
      </c>
      <c r="T81" s="560">
        <v>3.4515466160983605E-3</v>
      </c>
      <c r="U81" s="560">
        <v>3.3614297926379748E-3</v>
      </c>
      <c r="V81" s="560">
        <v>3.2713129691775891E-3</v>
      </c>
      <c r="W81" s="560">
        <v>3.1811961457172033E-3</v>
      </c>
      <c r="X81" s="560">
        <v>3.0910793222568176E-3</v>
      </c>
      <c r="Y81" s="560">
        <v>3.0009624987964319E-3</v>
      </c>
      <c r="Z81" s="560">
        <v>2.9108456753360462E-3</v>
      </c>
      <c r="AA81" s="560">
        <v>2.8207288518756605E-3</v>
      </c>
      <c r="AB81" s="560">
        <v>2.7306120284152748E-3</v>
      </c>
      <c r="AC81" s="560">
        <v>2.6404952049548891E-3</v>
      </c>
      <c r="AD81" s="560">
        <v>2.5503783814945034E-3</v>
      </c>
      <c r="AE81" s="560">
        <v>2.4602615580341177E-3</v>
      </c>
      <c r="AF81" s="560">
        <v>2.3701447345737319E-3</v>
      </c>
      <c r="AG81" s="560">
        <v>2.2800279111133462E-3</v>
      </c>
      <c r="AH81" s="560">
        <v>2.1899110876529605E-3</v>
      </c>
      <c r="AI81" s="560">
        <v>2.0997942641925748E-3</v>
      </c>
      <c r="AJ81" s="560">
        <v>2.0096774407321891E-3</v>
      </c>
      <c r="AK81" s="38">
        <v>1.9195606172717993E-3</v>
      </c>
    </row>
    <row r="82" spans="1:37" s="38" customFormat="1" ht="15">
      <c r="A82" s="143" t="s">
        <v>643</v>
      </c>
      <c r="B82" s="559">
        <v>1.3219145186411343E-2</v>
      </c>
      <c r="C82" s="559">
        <v>1.3519612645186817E-2</v>
      </c>
      <c r="D82" s="559">
        <v>1.3820080103962292E-2</v>
      </c>
      <c r="E82" s="559">
        <v>1.4120547562737767E-2</v>
      </c>
      <c r="F82" s="559">
        <v>1.4421015021513241E-2</v>
      </c>
      <c r="G82" s="559">
        <v>1.4721482480288716E-2</v>
      </c>
      <c r="H82" s="559">
        <v>1.5021949939064191E-2</v>
      </c>
      <c r="I82" s="559">
        <v>1.5322417397839665E-2</v>
      </c>
      <c r="J82" s="559">
        <v>1.562288485661514E-2</v>
      </c>
      <c r="K82" s="559">
        <v>1.5923352315390615E-2</v>
      </c>
      <c r="L82" s="559">
        <v>1.6223819774166086E-2</v>
      </c>
      <c r="M82" s="560">
        <v>1.5886054318389804E-2</v>
      </c>
      <c r="N82" s="560">
        <v>1.5548288862613523E-2</v>
      </c>
      <c r="O82" s="560">
        <v>1.5210523406837241E-2</v>
      </c>
      <c r="P82" s="560">
        <v>1.4872757951060959E-2</v>
      </c>
      <c r="Q82" s="560">
        <v>1.4534992495284678E-2</v>
      </c>
      <c r="R82" s="560">
        <v>1.4197227039508396E-2</v>
      </c>
      <c r="S82" s="560">
        <v>1.3859461583732115E-2</v>
      </c>
      <c r="T82" s="560">
        <v>1.3521696127955833E-2</v>
      </c>
      <c r="U82" s="560">
        <v>1.3183930672179552E-2</v>
      </c>
      <c r="V82" s="560">
        <v>1.284616521640327E-2</v>
      </c>
      <c r="W82" s="560">
        <v>1.2508399760626988E-2</v>
      </c>
      <c r="X82" s="560">
        <v>1.2170634304850707E-2</v>
      </c>
      <c r="Y82" s="560">
        <v>1.1832868849074425E-2</v>
      </c>
      <c r="Z82" s="560">
        <v>1.1495103393298144E-2</v>
      </c>
      <c r="AA82" s="560">
        <v>1.1157337937521862E-2</v>
      </c>
      <c r="AB82" s="560">
        <v>1.081957248174558E-2</v>
      </c>
      <c r="AC82" s="560">
        <v>1.0481807025969299E-2</v>
      </c>
      <c r="AD82" s="560">
        <v>1.0144041570193017E-2</v>
      </c>
      <c r="AE82" s="560">
        <v>9.8062761144167357E-3</v>
      </c>
      <c r="AF82" s="560">
        <v>9.4685106586404541E-3</v>
      </c>
      <c r="AG82" s="560">
        <v>9.1307452028641725E-3</v>
      </c>
      <c r="AH82" s="560">
        <v>8.7929797470878909E-3</v>
      </c>
      <c r="AI82" s="560">
        <v>8.4552142913116093E-3</v>
      </c>
      <c r="AJ82" s="560">
        <v>8.1174488355353278E-3</v>
      </c>
      <c r="AK82" s="38">
        <v>7.7796833797590349E-3</v>
      </c>
    </row>
    <row r="83" spans="1:37" s="38" customFormat="1" ht="15">
      <c r="A83" s="143" t="s">
        <v>644</v>
      </c>
      <c r="B83" s="559">
        <v>1.0441492094120135E-2</v>
      </c>
      <c r="C83" s="559">
        <v>1.139566114762448E-2</v>
      </c>
      <c r="D83" s="559">
        <v>1.2349830201128825E-2</v>
      </c>
      <c r="E83" s="559">
        <v>1.3303999254633169E-2</v>
      </c>
      <c r="F83" s="559">
        <v>1.4258168308137514E-2</v>
      </c>
      <c r="G83" s="559">
        <v>1.5212337361641858E-2</v>
      </c>
      <c r="H83" s="559">
        <v>1.6166506415146203E-2</v>
      </c>
      <c r="I83" s="559">
        <v>1.7120675468650547E-2</v>
      </c>
      <c r="J83" s="559">
        <v>1.8074844522154892E-2</v>
      </c>
      <c r="K83" s="559">
        <v>1.9029013575659236E-2</v>
      </c>
      <c r="L83" s="559">
        <v>1.9983182629163578E-2</v>
      </c>
      <c r="M83" s="560">
        <v>1.9558586030584139E-2</v>
      </c>
      <c r="N83" s="560">
        <v>1.91339894320047E-2</v>
      </c>
      <c r="O83" s="560">
        <v>1.8709392833425261E-2</v>
      </c>
      <c r="P83" s="560">
        <v>1.8284796234845822E-2</v>
      </c>
      <c r="Q83" s="560">
        <v>1.7860199636266384E-2</v>
      </c>
      <c r="R83" s="560">
        <v>1.7435603037686945E-2</v>
      </c>
      <c r="S83" s="560">
        <v>1.7011006439107506E-2</v>
      </c>
      <c r="T83" s="560">
        <v>1.6586409840528067E-2</v>
      </c>
      <c r="U83" s="560">
        <v>1.6161813241948628E-2</v>
      </c>
      <c r="V83" s="560">
        <v>1.573721664336919E-2</v>
      </c>
      <c r="W83" s="560">
        <v>1.5312620044789749E-2</v>
      </c>
      <c r="X83" s="560">
        <v>1.4888023446210309E-2</v>
      </c>
      <c r="Y83" s="560">
        <v>1.4463426847630868E-2</v>
      </c>
      <c r="Z83" s="560">
        <v>1.4038830249051427E-2</v>
      </c>
      <c r="AA83" s="560">
        <v>1.3614233650471987E-2</v>
      </c>
      <c r="AB83" s="560">
        <v>1.3189637051892546E-2</v>
      </c>
      <c r="AC83" s="560">
        <v>1.2765040453313106E-2</v>
      </c>
      <c r="AD83" s="560">
        <v>1.2340443854733665E-2</v>
      </c>
      <c r="AE83" s="560">
        <v>1.1915847256154225E-2</v>
      </c>
      <c r="AF83" s="560">
        <v>1.1491250657574784E-2</v>
      </c>
      <c r="AG83" s="560">
        <v>1.1066654058995344E-2</v>
      </c>
      <c r="AH83" s="560">
        <v>1.0642057460415903E-2</v>
      </c>
      <c r="AI83" s="560">
        <v>1.0217460861836463E-2</v>
      </c>
      <c r="AJ83" s="560">
        <v>9.7928642632570222E-3</v>
      </c>
      <c r="AK83" s="38">
        <v>9.3682676646775695E-3</v>
      </c>
    </row>
    <row r="84" spans="1:37" s="38" customFormat="1" ht="15">
      <c r="A84" s="143" t="s">
        <v>645</v>
      </c>
      <c r="B84" s="559">
        <v>3.8417908400650153E-2</v>
      </c>
      <c r="C84" s="559">
        <v>4.0266409135624022E-2</v>
      </c>
      <c r="D84" s="559">
        <v>4.2114909870597891E-2</v>
      </c>
      <c r="E84" s="559">
        <v>4.3963410605571761E-2</v>
      </c>
      <c r="F84" s="559">
        <v>4.581191134054563E-2</v>
      </c>
      <c r="G84" s="559">
        <v>4.76604120755195E-2</v>
      </c>
      <c r="H84" s="559">
        <v>4.9508912810493369E-2</v>
      </c>
      <c r="I84" s="559">
        <v>5.1357413545467238E-2</v>
      </c>
      <c r="J84" s="559">
        <v>5.3205914280441108E-2</v>
      </c>
      <c r="K84" s="559">
        <v>5.5054415015414977E-2</v>
      </c>
      <c r="L84" s="559">
        <v>5.6902915750388819E-2</v>
      </c>
      <c r="M84" s="560">
        <v>5.7434055750180867E-2</v>
      </c>
      <c r="N84" s="560">
        <v>5.7965195749972914E-2</v>
      </c>
      <c r="O84" s="560">
        <v>5.8496335749764962E-2</v>
      </c>
      <c r="P84" s="560">
        <v>5.902747574955701E-2</v>
      </c>
      <c r="Q84" s="560">
        <v>5.9558615749349057E-2</v>
      </c>
      <c r="R84" s="560">
        <v>6.0089755749141105E-2</v>
      </c>
      <c r="S84" s="560">
        <v>6.0620895748933153E-2</v>
      </c>
      <c r="T84" s="560">
        <v>6.11520357487252E-2</v>
      </c>
      <c r="U84" s="560">
        <v>6.1683175748517248E-2</v>
      </c>
      <c r="V84" s="560">
        <v>6.2214315748309296E-2</v>
      </c>
      <c r="W84" s="560">
        <v>6.274545574810135E-2</v>
      </c>
      <c r="X84" s="560">
        <v>6.3276595747893405E-2</v>
      </c>
      <c r="Y84" s="560">
        <v>6.380773574768546E-2</v>
      </c>
      <c r="Z84" s="560">
        <v>6.4338875747477514E-2</v>
      </c>
      <c r="AA84" s="560">
        <v>6.4870015747269569E-2</v>
      </c>
      <c r="AB84" s="560">
        <v>6.5401155747061623E-2</v>
      </c>
      <c r="AC84" s="560">
        <v>6.5932295746853678E-2</v>
      </c>
      <c r="AD84" s="560">
        <v>6.6463435746645733E-2</v>
      </c>
      <c r="AE84" s="560">
        <v>6.6994575746437787E-2</v>
      </c>
      <c r="AF84" s="560">
        <v>6.7525715746229842E-2</v>
      </c>
      <c r="AG84" s="560">
        <v>6.8056855746021896E-2</v>
      </c>
      <c r="AH84" s="560">
        <v>6.8587995745813951E-2</v>
      </c>
      <c r="AI84" s="560">
        <v>6.9119135745606006E-2</v>
      </c>
      <c r="AJ84" s="560">
        <v>6.965027574539806E-2</v>
      </c>
      <c r="AK84" s="38">
        <v>7.0181415745190032E-2</v>
      </c>
    </row>
    <row r="85" spans="1:37" s="38" customFormat="1" ht="15">
      <c r="A85" s="143" t="s">
        <v>646</v>
      </c>
      <c r="B85" s="559">
        <v>9.4310880437430064E-3</v>
      </c>
      <c r="C85" s="559">
        <v>1.2182860637613119E-2</v>
      </c>
      <c r="D85" s="559">
        <v>1.4934633231483231E-2</v>
      </c>
      <c r="E85" s="559">
        <v>1.7686405825353343E-2</v>
      </c>
      <c r="F85" s="559">
        <v>2.0438178419223456E-2</v>
      </c>
      <c r="G85" s="559">
        <v>2.3189951013093568E-2</v>
      </c>
      <c r="H85" s="559">
        <v>2.5941723606963681E-2</v>
      </c>
      <c r="I85" s="559">
        <v>2.8693496200833793E-2</v>
      </c>
      <c r="J85" s="559">
        <v>3.1445268794703905E-2</v>
      </c>
      <c r="K85" s="559">
        <v>3.4197041388574018E-2</v>
      </c>
      <c r="L85" s="559">
        <v>3.6948813982444123E-2</v>
      </c>
      <c r="M85" s="560">
        <v>3.9428792054379755E-2</v>
      </c>
      <c r="N85" s="560">
        <v>4.1908770126315387E-2</v>
      </c>
      <c r="O85" s="560">
        <v>4.4388748198251018E-2</v>
      </c>
      <c r="P85" s="560">
        <v>4.686872627018665E-2</v>
      </c>
      <c r="Q85" s="560">
        <v>4.9348704342122282E-2</v>
      </c>
      <c r="R85" s="560">
        <v>5.1828682414057914E-2</v>
      </c>
      <c r="S85" s="560">
        <v>5.4308660485993546E-2</v>
      </c>
      <c r="T85" s="560">
        <v>5.6788638557929177E-2</v>
      </c>
      <c r="U85" s="560">
        <v>5.9268616629864809E-2</v>
      </c>
      <c r="V85" s="560">
        <v>6.1748594701800441E-2</v>
      </c>
      <c r="W85" s="560">
        <v>6.4228572773736073E-2</v>
      </c>
      <c r="X85" s="560">
        <v>6.6708550845671705E-2</v>
      </c>
      <c r="Y85" s="560">
        <v>6.9188528917607336E-2</v>
      </c>
      <c r="Z85" s="560">
        <v>7.1668506989542968E-2</v>
      </c>
      <c r="AA85" s="560">
        <v>7.41484850614786E-2</v>
      </c>
      <c r="AB85" s="560">
        <v>7.6628463133414232E-2</v>
      </c>
      <c r="AC85" s="560">
        <v>7.9108441205349864E-2</v>
      </c>
      <c r="AD85" s="560">
        <v>8.1588419277285495E-2</v>
      </c>
      <c r="AE85" s="560">
        <v>8.4068397349221127E-2</v>
      </c>
      <c r="AF85" s="560">
        <v>8.6548375421156759E-2</v>
      </c>
      <c r="AG85" s="560">
        <v>8.9028353493092391E-2</v>
      </c>
      <c r="AH85" s="560">
        <v>9.1508331565028023E-2</v>
      </c>
      <c r="AI85" s="560">
        <v>9.3988309636963654E-2</v>
      </c>
      <c r="AJ85" s="560">
        <v>9.6468287708899286E-2</v>
      </c>
      <c r="AK85" s="38">
        <v>9.8948265780834932E-2</v>
      </c>
    </row>
    <row r="86" spans="1:37" s="38" customFormat="1" ht="15">
      <c r="A86" s="143" t="s">
        <v>648</v>
      </c>
      <c r="B86" s="559">
        <v>1.7183136556550072E-3</v>
      </c>
      <c r="C86" s="559">
        <v>2.3099159799427954E-3</v>
      </c>
      <c r="D86" s="559">
        <v>2.9015183042305839E-3</v>
      </c>
      <c r="E86" s="559">
        <v>3.4931206285183725E-3</v>
      </c>
      <c r="F86" s="559">
        <v>4.0847229528061611E-3</v>
      </c>
      <c r="G86" s="559">
        <v>4.6763252770939496E-3</v>
      </c>
      <c r="H86" s="559">
        <v>5.2679276013817382E-3</v>
      </c>
      <c r="I86" s="559">
        <v>5.8595299256695267E-3</v>
      </c>
      <c r="J86" s="559">
        <v>6.4511322499573153E-3</v>
      </c>
      <c r="K86" s="559">
        <v>7.0427345742451039E-3</v>
      </c>
      <c r="L86" s="559">
        <v>7.6343368985328907E-3</v>
      </c>
      <c r="M86" s="560">
        <v>7.466251688129223E-3</v>
      </c>
      <c r="N86" s="560">
        <v>7.2981664777255553E-3</v>
      </c>
      <c r="O86" s="560">
        <v>7.1300812673218876E-3</v>
      </c>
      <c r="P86" s="560">
        <v>6.9619960569182199E-3</v>
      </c>
      <c r="Q86" s="560">
        <v>6.7939108465145523E-3</v>
      </c>
      <c r="R86" s="560">
        <v>6.6258256361108846E-3</v>
      </c>
      <c r="S86" s="560">
        <v>6.4577404257072169E-3</v>
      </c>
      <c r="T86" s="560">
        <v>6.2896552153035492E-3</v>
      </c>
      <c r="U86" s="560">
        <v>6.1215700048998815E-3</v>
      </c>
      <c r="V86" s="560">
        <v>5.9534847944962138E-3</v>
      </c>
      <c r="W86" s="560">
        <v>5.7853995840925461E-3</v>
      </c>
      <c r="X86" s="560">
        <v>5.6173143736888784E-3</v>
      </c>
      <c r="Y86" s="560">
        <v>5.4492291632852108E-3</v>
      </c>
      <c r="Z86" s="560">
        <v>5.2811439528815431E-3</v>
      </c>
      <c r="AA86" s="560">
        <v>5.1130587424778754E-3</v>
      </c>
      <c r="AB86" s="560">
        <v>4.9449735320742077E-3</v>
      </c>
      <c r="AC86" s="560">
        <v>4.77688832167054E-3</v>
      </c>
      <c r="AD86" s="560">
        <v>4.6088031112668723E-3</v>
      </c>
      <c r="AE86" s="560">
        <v>4.4407179008632046E-3</v>
      </c>
      <c r="AF86" s="560">
        <v>4.2726326904595369E-3</v>
      </c>
      <c r="AG86" s="560">
        <v>4.1045474800558692E-3</v>
      </c>
      <c r="AH86" s="560">
        <v>3.9364622696522016E-3</v>
      </c>
      <c r="AI86" s="560">
        <v>3.7683770592485343E-3</v>
      </c>
      <c r="AJ86" s="560">
        <v>3.600291848844867E-3</v>
      </c>
      <c r="AK86" s="38">
        <v>3.4322066384412054E-3</v>
      </c>
    </row>
    <row r="87" spans="1:37" s="38" customFormat="1" ht="15">
      <c r="A87" s="143" t="s">
        <v>649</v>
      </c>
      <c r="B87" s="559">
        <v>3.0639242362023197E-2</v>
      </c>
      <c r="C87" s="559">
        <v>3.1953751496293467E-2</v>
      </c>
      <c r="D87" s="559">
        <v>3.3268260630563734E-2</v>
      </c>
      <c r="E87" s="559">
        <v>3.4582769764834001E-2</v>
      </c>
      <c r="F87" s="559">
        <v>3.5897278899104268E-2</v>
      </c>
      <c r="G87" s="559">
        <v>3.7211788033374535E-2</v>
      </c>
      <c r="H87" s="559">
        <v>3.8526297167644802E-2</v>
      </c>
      <c r="I87" s="559">
        <v>3.9840806301915069E-2</v>
      </c>
      <c r="J87" s="559">
        <v>4.1155315436185336E-2</v>
      </c>
      <c r="K87" s="559">
        <v>4.2469824570455603E-2</v>
      </c>
      <c r="L87" s="559">
        <v>4.3784333704725877E-2</v>
      </c>
      <c r="M87" s="560">
        <v>4.4055373424965204E-2</v>
      </c>
      <c r="N87" s="560">
        <v>4.4326413145204531E-2</v>
      </c>
      <c r="O87" s="560">
        <v>4.4597452865443858E-2</v>
      </c>
      <c r="P87" s="560">
        <v>4.4868492585683185E-2</v>
      </c>
      <c r="Q87" s="560">
        <v>4.5139532305922513E-2</v>
      </c>
      <c r="R87" s="560">
        <v>4.541057202616184E-2</v>
      </c>
      <c r="S87" s="560">
        <v>4.5681611746401167E-2</v>
      </c>
      <c r="T87" s="560">
        <v>4.5952651466640494E-2</v>
      </c>
      <c r="U87" s="560">
        <v>4.6223691186879821E-2</v>
      </c>
      <c r="V87" s="560">
        <v>4.6494730907119149E-2</v>
      </c>
      <c r="W87" s="560">
        <v>4.6765770627358476E-2</v>
      </c>
      <c r="X87" s="560">
        <v>4.7036810347597803E-2</v>
      </c>
      <c r="Y87" s="560">
        <v>4.730785006783713E-2</v>
      </c>
      <c r="Z87" s="560">
        <v>4.7578889788076457E-2</v>
      </c>
      <c r="AA87" s="560">
        <v>4.7849929508315785E-2</v>
      </c>
      <c r="AB87" s="560">
        <v>4.8120969228555112E-2</v>
      </c>
      <c r="AC87" s="560">
        <v>4.8392008948794439E-2</v>
      </c>
      <c r="AD87" s="560">
        <v>4.8663048669033766E-2</v>
      </c>
      <c r="AE87" s="560">
        <v>4.8934088389273094E-2</v>
      </c>
      <c r="AF87" s="560">
        <v>4.9205128109512421E-2</v>
      </c>
      <c r="AG87" s="560">
        <v>4.9476167829751748E-2</v>
      </c>
      <c r="AH87" s="560">
        <v>4.9747207549991075E-2</v>
      </c>
      <c r="AI87" s="560">
        <v>5.0018247270230402E-2</v>
      </c>
      <c r="AJ87" s="560">
        <v>5.028928699046973E-2</v>
      </c>
      <c r="AK87" s="38">
        <v>5.0560326710709001E-2</v>
      </c>
    </row>
    <row r="88" spans="1:37" s="38" customFormat="1" ht="15">
      <c r="A88" s="143" t="s">
        <v>650</v>
      </c>
      <c r="B88" s="559">
        <v>2.3985155246560627E-2</v>
      </c>
      <c r="C88" s="559">
        <v>2.3108533868051478E-2</v>
      </c>
      <c r="D88" s="559">
        <v>2.223191248954233E-2</v>
      </c>
      <c r="E88" s="559">
        <v>2.1355291111033181E-2</v>
      </c>
      <c r="F88" s="559">
        <v>2.0478669732524032E-2</v>
      </c>
      <c r="G88" s="559">
        <v>1.9602048354014884E-2</v>
      </c>
      <c r="H88" s="559">
        <v>1.8725426975505735E-2</v>
      </c>
      <c r="I88" s="559">
        <v>1.7848805596996586E-2</v>
      </c>
      <c r="J88" s="559">
        <v>1.6972184218487438E-2</v>
      </c>
      <c r="K88" s="559">
        <v>1.6095562839978289E-2</v>
      </c>
      <c r="L88" s="559">
        <v>1.5218941461469142E-2</v>
      </c>
      <c r="M88" s="560">
        <v>1.4803728645300166E-2</v>
      </c>
      <c r="N88" s="560">
        <v>1.438851582913119E-2</v>
      </c>
      <c r="O88" s="560">
        <v>1.3973303012962214E-2</v>
      </c>
      <c r="P88" s="560">
        <v>1.3558090196793238E-2</v>
      </c>
      <c r="Q88" s="560">
        <v>1.3142877380624262E-2</v>
      </c>
      <c r="R88" s="560">
        <v>1.2727664564455286E-2</v>
      </c>
      <c r="S88" s="560">
        <v>1.231245174828631E-2</v>
      </c>
      <c r="T88" s="560">
        <v>1.1897238932117334E-2</v>
      </c>
      <c r="U88" s="560">
        <v>1.1482026115948358E-2</v>
      </c>
      <c r="V88" s="560">
        <v>1.1066813299779382E-2</v>
      </c>
      <c r="W88" s="560">
        <v>1.0651600483610406E-2</v>
      </c>
      <c r="X88" s="560">
        <v>1.023638766744143E-2</v>
      </c>
      <c r="Y88" s="560">
        <v>9.8211748512724538E-3</v>
      </c>
      <c r="Z88" s="560">
        <v>9.4059620351034778E-3</v>
      </c>
      <c r="AA88" s="560">
        <v>8.9907492189345017E-3</v>
      </c>
      <c r="AB88" s="560">
        <v>8.5755364027655257E-3</v>
      </c>
      <c r="AC88" s="560">
        <v>8.1603235865965497E-3</v>
      </c>
      <c r="AD88" s="560">
        <v>7.7451107704275728E-3</v>
      </c>
      <c r="AE88" s="560">
        <v>7.3298979542585959E-3</v>
      </c>
      <c r="AF88" s="560">
        <v>6.914685138089619E-3</v>
      </c>
      <c r="AG88" s="560">
        <v>6.4994723219206421E-3</v>
      </c>
      <c r="AH88" s="560">
        <v>6.0842595057516652E-3</v>
      </c>
      <c r="AI88" s="560">
        <v>5.6690466895826883E-3</v>
      </c>
      <c r="AJ88" s="560">
        <v>5.2538338734137114E-3</v>
      </c>
      <c r="AK88" s="38">
        <v>4.8386210572447293E-3</v>
      </c>
    </row>
    <row r="89" spans="1:37" s="38" customFormat="1" ht="15">
      <c r="A89" s="143" t="s">
        <v>651</v>
      </c>
      <c r="B89" s="559">
        <v>7.2751492514131074E-4</v>
      </c>
      <c r="C89" s="559">
        <v>8.6349860238751214E-4</v>
      </c>
      <c r="D89" s="559">
        <v>9.9948227963371364E-4</v>
      </c>
      <c r="E89" s="559">
        <v>1.1354659568799151E-3</v>
      </c>
      <c r="F89" s="559">
        <v>1.2714496341261167E-3</v>
      </c>
      <c r="G89" s="559">
        <v>1.4074333113723182E-3</v>
      </c>
      <c r="H89" s="559">
        <v>1.5434169886185197E-3</v>
      </c>
      <c r="I89" s="559">
        <v>1.6794006658647212E-3</v>
      </c>
      <c r="J89" s="559">
        <v>1.8153843431109227E-3</v>
      </c>
      <c r="K89" s="559">
        <v>1.9513680203571242E-3</v>
      </c>
      <c r="L89" s="559">
        <v>2.0873516976033252E-3</v>
      </c>
      <c r="M89" s="560">
        <v>2.0482444521509164E-3</v>
      </c>
      <c r="N89" s="560">
        <v>2.0091372066985075E-3</v>
      </c>
      <c r="O89" s="560">
        <v>1.9700299612460987E-3</v>
      </c>
      <c r="P89" s="560">
        <v>1.93092271579369E-3</v>
      </c>
      <c r="Q89" s="560">
        <v>1.8918154703412814E-3</v>
      </c>
      <c r="R89" s="560">
        <v>1.8527082248888727E-3</v>
      </c>
      <c r="S89" s="560">
        <v>1.8136009794364641E-3</v>
      </c>
      <c r="T89" s="560">
        <v>1.7744937339840554E-3</v>
      </c>
      <c r="U89" s="560">
        <v>1.7353864885316468E-3</v>
      </c>
      <c r="V89" s="560">
        <v>1.6962792430792381E-3</v>
      </c>
      <c r="W89" s="560">
        <v>1.6571719976268295E-3</v>
      </c>
      <c r="X89" s="560">
        <v>1.6180647521744208E-3</v>
      </c>
      <c r="Y89" s="560">
        <v>1.5789575067220122E-3</v>
      </c>
      <c r="Z89" s="560">
        <v>1.5398502612696036E-3</v>
      </c>
      <c r="AA89" s="560">
        <v>1.5007430158171949E-3</v>
      </c>
      <c r="AB89" s="560">
        <v>1.4616357703647863E-3</v>
      </c>
      <c r="AC89" s="560">
        <v>1.4225285249123776E-3</v>
      </c>
      <c r="AD89" s="560">
        <v>1.383421279459969E-3</v>
      </c>
      <c r="AE89" s="560">
        <v>1.3443140340075603E-3</v>
      </c>
      <c r="AF89" s="560">
        <v>1.3052067885551517E-3</v>
      </c>
      <c r="AG89" s="560">
        <v>1.266099543102743E-3</v>
      </c>
      <c r="AH89" s="560">
        <v>1.2269922976503344E-3</v>
      </c>
      <c r="AI89" s="560">
        <v>1.1878850521979257E-3</v>
      </c>
      <c r="AJ89" s="560">
        <v>1.1487778067455171E-3</v>
      </c>
      <c r="AK89" s="38">
        <v>1.1096705612931071E-3</v>
      </c>
    </row>
    <row r="90" spans="1:37" s="38" customFormat="1" ht="15">
      <c r="A90" s="143" t="s">
        <v>652</v>
      </c>
      <c r="B90" s="559">
        <v>0.16857118036159871</v>
      </c>
      <c r="C90" s="559">
        <v>0.16305759808439915</v>
      </c>
      <c r="D90" s="559">
        <v>0.15754401580719959</v>
      </c>
      <c r="E90" s="559">
        <v>0.15203043353000004</v>
      </c>
      <c r="F90" s="559">
        <v>0.14651685125280048</v>
      </c>
      <c r="G90" s="559">
        <v>0.14100326897560092</v>
      </c>
      <c r="H90" s="559">
        <v>0.13548968669840136</v>
      </c>
      <c r="I90" s="559">
        <v>0.1299761044212018</v>
      </c>
      <c r="J90" s="559">
        <v>0.12446252214400226</v>
      </c>
      <c r="K90" s="559">
        <v>0.11894893986680272</v>
      </c>
      <c r="L90" s="559">
        <v>0.11343535758960321</v>
      </c>
      <c r="M90" s="560">
        <v>0.11077673164458293</v>
      </c>
      <c r="N90" s="560">
        <v>0.10811810569956265</v>
      </c>
      <c r="O90" s="560">
        <v>0.10545947975454237</v>
      </c>
      <c r="P90" s="560">
        <v>0.10280085380952209</v>
      </c>
      <c r="Q90" s="560">
        <v>0.1001422278645018</v>
      </c>
      <c r="R90" s="560">
        <v>9.7483601919481522E-2</v>
      </c>
      <c r="S90" s="560">
        <v>9.482497597446124E-2</v>
      </c>
      <c r="T90" s="560">
        <v>9.2166350029440958E-2</v>
      </c>
      <c r="U90" s="560">
        <v>8.9507724084420676E-2</v>
      </c>
      <c r="V90" s="560">
        <v>8.6849098139400394E-2</v>
      </c>
      <c r="W90" s="560">
        <v>8.4190472194380112E-2</v>
      </c>
      <c r="X90" s="560">
        <v>8.1531846249359829E-2</v>
      </c>
      <c r="Y90" s="560">
        <v>7.8873220304339547E-2</v>
      </c>
      <c r="Z90" s="560">
        <v>7.6214594359319265E-2</v>
      </c>
      <c r="AA90" s="560">
        <v>7.3555968414298983E-2</v>
      </c>
      <c r="AB90" s="560">
        <v>7.0897342469278701E-2</v>
      </c>
      <c r="AC90" s="560">
        <v>6.8238716524258419E-2</v>
      </c>
      <c r="AD90" s="560">
        <v>6.5580090579238137E-2</v>
      </c>
      <c r="AE90" s="560">
        <v>6.2921464634217855E-2</v>
      </c>
      <c r="AF90" s="560">
        <v>6.0262838689197573E-2</v>
      </c>
      <c r="AG90" s="560">
        <v>5.7604212744177291E-2</v>
      </c>
      <c r="AH90" s="560">
        <v>5.4945586799157009E-2</v>
      </c>
      <c r="AI90" s="560">
        <v>5.2286960854136727E-2</v>
      </c>
      <c r="AJ90" s="560">
        <v>4.9628334909116445E-2</v>
      </c>
      <c r="AK90" s="38">
        <v>4.6969708964096232E-2</v>
      </c>
    </row>
    <row r="91" spans="1:37" s="38" customFormat="1" ht="15">
      <c r="A91" s="143" t="s">
        <v>653</v>
      </c>
      <c r="B91" s="559">
        <v>7.0947941599405404E-4</v>
      </c>
      <c r="C91" s="559">
        <v>1.0898814953557009E-3</v>
      </c>
      <c r="D91" s="559">
        <v>1.4702835747173477E-3</v>
      </c>
      <c r="E91" s="559">
        <v>1.8506856540789944E-3</v>
      </c>
      <c r="F91" s="559">
        <v>2.2310877334406412E-3</v>
      </c>
      <c r="G91" s="559">
        <v>2.611489812802288E-3</v>
      </c>
      <c r="H91" s="559">
        <v>2.9918918921639347E-3</v>
      </c>
      <c r="I91" s="559">
        <v>3.3722939715255815E-3</v>
      </c>
      <c r="J91" s="559">
        <v>3.7526960508872283E-3</v>
      </c>
      <c r="K91" s="559">
        <v>4.133098130248875E-3</v>
      </c>
      <c r="L91" s="559">
        <v>4.5135002096105218E-3</v>
      </c>
      <c r="M91" s="560">
        <v>4.4619418045930993E-3</v>
      </c>
      <c r="N91" s="560">
        <v>4.4103833995756767E-3</v>
      </c>
      <c r="O91" s="560">
        <v>4.3588249945582542E-3</v>
      </c>
      <c r="P91" s="560">
        <v>4.3072665895408316E-3</v>
      </c>
      <c r="Q91" s="560">
        <v>4.2557081845234091E-3</v>
      </c>
      <c r="R91" s="560">
        <v>4.2041497795059866E-3</v>
      </c>
      <c r="S91" s="560">
        <v>4.152591374488564E-3</v>
      </c>
      <c r="T91" s="560">
        <v>4.1010329694711415E-3</v>
      </c>
      <c r="U91" s="560">
        <v>4.049474564453719E-3</v>
      </c>
      <c r="V91" s="560">
        <v>3.9979161594362964E-3</v>
      </c>
      <c r="W91" s="560">
        <v>3.9463577544188739E-3</v>
      </c>
      <c r="X91" s="560">
        <v>3.8947993494014514E-3</v>
      </c>
      <c r="Y91" s="560">
        <v>3.8432409443840288E-3</v>
      </c>
      <c r="Z91" s="560">
        <v>3.7916825393666063E-3</v>
      </c>
      <c r="AA91" s="560">
        <v>3.7401241343491837E-3</v>
      </c>
      <c r="AB91" s="560">
        <v>3.6885657293317612E-3</v>
      </c>
      <c r="AC91" s="560">
        <v>3.6370073243143387E-3</v>
      </c>
      <c r="AD91" s="560">
        <v>3.5854489192969161E-3</v>
      </c>
      <c r="AE91" s="560">
        <v>3.5338905142794936E-3</v>
      </c>
      <c r="AF91" s="560">
        <v>3.4823321092620711E-3</v>
      </c>
      <c r="AG91" s="560">
        <v>3.4307737042446485E-3</v>
      </c>
      <c r="AH91" s="560">
        <v>3.379215299227226E-3</v>
      </c>
      <c r="AI91" s="560">
        <v>3.3276568942098034E-3</v>
      </c>
      <c r="AJ91" s="560">
        <v>3.2760984891923809E-3</v>
      </c>
      <c r="AK91" s="38">
        <v>3.2245400841749623E-3</v>
      </c>
    </row>
    <row r="92" spans="1:37" s="38" customFormat="1" ht="15">
      <c r="A92" s="143" t="s">
        <v>654</v>
      </c>
      <c r="B92" s="559">
        <v>1.060083942453798E-3</v>
      </c>
      <c r="C92" s="559">
        <v>1.1503402039562561E-3</v>
      </c>
      <c r="D92" s="559">
        <v>1.2405964654587142E-3</v>
      </c>
      <c r="E92" s="559">
        <v>1.3308527269611722E-3</v>
      </c>
      <c r="F92" s="559">
        <v>1.4211089884636303E-3</v>
      </c>
      <c r="G92" s="559">
        <v>1.5113652499660884E-3</v>
      </c>
      <c r="H92" s="559">
        <v>1.6016215114685465E-3</v>
      </c>
      <c r="I92" s="559">
        <v>1.6918777729710045E-3</v>
      </c>
      <c r="J92" s="559">
        <v>1.7821340344734626E-3</v>
      </c>
      <c r="K92" s="559">
        <v>1.8723902959759207E-3</v>
      </c>
      <c r="L92" s="559">
        <v>1.9626465574783783E-3</v>
      </c>
      <c r="M92" s="560">
        <v>1.91577309231635E-3</v>
      </c>
      <c r="N92" s="560">
        <v>1.8688996271543218E-3</v>
      </c>
      <c r="O92" s="560">
        <v>1.8220261619922935E-3</v>
      </c>
      <c r="P92" s="560">
        <v>1.7751526968302653E-3</v>
      </c>
      <c r="Q92" s="560">
        <v>1.728279231668237E-3</v>
      </c>
      <c r="R92" s="560">
        <v>1.6814057665062087E-3</v>
      </c>
      <c r="S92" s="560">
        <v>1.6345323013441805E-3</v>
      </c>
      <c r="T92" s="560">
        <v>1.5876588361821522E-3</v>
      </c>
      <c r="U92" s="560">
        <v>1.5407853710201239E-3</v>
      </c>
      <c r="V92" s="560">
        <v>1.4939119058580957E-3</v>
      </c>
      <c r="W92" s="560">
        <v>1.4470384406960674E-3</v>
      </c>
      <c r="X92" s="560">
        <v>1.4001649755340391E-3</v>
      </c>
      <c r="Y92" s="560">
        <v>1.3532915103720109E-3</v>
      </c>
      <c r="Z92" s="560">
        <v>1.3064180452099826E-3</v>
      </c>
      <c r="AA92" s="560">
        <v>1.2595445800479544E-3</v>
      </c>
      <c r="AB92" s="560">
        <v>1.2126711148859261E-3</v>
      </c>
      <c r="AC92" s="560">
        <v>1.1657976497238978E-3</v>
      </c>
      <c r="AD92" s="560">
        <v>1.1189241845618696E-3</v>
      </c>
      <c r="AE92" s="560">
        <v>1.0720507193998413E-3</v>
      </c>
      <c r="AF92" s="560">
        <v>1.025177254237813E-3</v>
      </c>
      <c r="AG92" s="560">
        <v>9.7830378907578478E-4</v>
      </c>
      <c r="AH92" s="560">
        <v>9.3143032391375651E-4</v>
      </c>
      <c r="AI92" s="560">
        <v>8.8455685875172825E-4</v>
      </c>
      <c r="AJ92" s="560">
        <v>8.3768339358969999E-4</v>
      </c>
      <c r="AK92" s="38">
        <v>7.9080992842767096E-4</v>
      </c>
    </row>
    <row r="93" spans="1:37" s="38" customFormat="1" ht="15">
      <c r="A93" s="143" t="s">
        <v>655</v>
      </c>
      <c r="B93" s="559">
        <v>3.9526575676224453E-2</v>
      </c>
      <c r="C93" s="559">
        <v>3.955303694177479E-2</v>
      </c>
      <c r="D93" s="559">
        <v>3.9579498207325127E-2</v>
      </c>
      <c r="E93" s="559">
        <v>3.9605959472875464E-2</v>
      </c>
      <c r="F93" s="559">
        <v>3.9632420738425801E-2</v>
      </c>
      <c r="G93" s="559">
        <v>3.9658882003976138E-2</v>
      </c>
      <c r="H93" s="559">
        <v>3.9685343269526475E-2</v>
      </c>
      <c r="I93" s="559">
        <v>3.9711804535076813E-2</v>
      </c>
      <c r="J93" s="559">
        <v>3.973826580062715E-2</v>
      </c>
      <c r="K93" s="559">
        <v>3.9764727066177487E-2</v>
      </c>
      <c r="L93" s="559">
        <v>3.979118833172781E-2</v>
      </c>
      <c r="M93" s="560">
        <v>4.0705292926128206E-2</v>
      </c>
      <c r="N93" s="560">
        <v>4.1619397520528602E-2</v>
      </c>
      <c r="O93" s="560">
        <v>4.2533502114928998E-2</v>
      </c>
      <c r="P93" s="560">
        <v>4.3447606709329394E-2</v>
      </c>
      <c r="Q93" s="560">
        <v>4.4361711303729789E-2</v>
      </c>
      <c r="R93" s="560">
        <v>4.5275815898130185E-2</v>
      </c>
      <c r="S93" s="560">
        <v>4.6189920492530581E-2</v>
      </c>
      <c r="T93" s="560">
        <v>4.7104025086930977E-2</v>
      </c>
      <c r="U93" s="560">
        <v>4.8018129681331373E-2</v>
      </c>
      <c r="V93" s="560">
        <v>4.8932234275731769E-2</v>
      </c>
      <c r="W93" s="560">
        <v>4.9846338870132165E-2</v>
      </c>
      <c r="X93" s="560">
        <v>5.0760443464532561E-2</v>
      </c>
      <c r="Y93" s="560">
        <v>5.1674548058932956E-2</v>
      </c>
      <c r="Z93" s="560">
        <v>5.2588652653333352E-2</v>
      </c>
      <c r="AA93" s="560">
        <v>5.3502757247733748E-2</v>
      </c>
      <c r="AB93" s="560">
        <v>5.4416861842134144E-2</v>
      </c>
      <c r="AC93" s="560">
        <v>5.533096643653454E-2</v>
      </c>
      <c r="AD93" s="560">
        <v>5.6245071030934936E-2</v>
      </c>
      <c r="AE93" s="560">
        <v>5.7159175625335332E-2</v>
      </c>
      <c r="AF93" s="560">
        <v>5.8073280219735728E-2</v>
      </c>
      <c r="AG93" s="560">
        <v>5.8987384814136123E-2</v>
      </c>
      <c r="AH93" s="560">
        <v>5.9901489408536519E-2</v>
      </c>
      <c r="AI93" s="560">
        <v>6.0815594002936915E-2</v>
      </c>
      <c r="AJ93" s="560">
        <v>6.1729698597337311E-2</v>
      </c>
      <c r="AK93" s="38">
        <v>6.2643803191737693E-2</v>
      </c>
    </row>
    <row r="94" spans="1:37" s="38" customFormat="1" ht="15">
      <c r="A94" s="143" t="s">
        <v>656</v>
      </c>
      <c r="B94" s="559">
        <v>5.7914645841973247E-3</v>
      </c>
      <c r="C94" s="559">
        <v>5.6970346173314699E-3</v>
      </c>
      <c r="D94" s="559">
        <v>5.6026046504656151E-3</v>
      </c>
      <c r="E94" s="559">
        <v>5.5081746835997604E-3</v>
      </c>
      <c r="F94" s="559">
        <v>5.4137447167339056E-3</v>
      </c>
      <c r="G94" s="559">
        <v>5.3193147498680508E-3</v>
      </c>
      <c r="H94" s="559">
        <v>5.224884783002196E-3</v>
      </c>
      <c r="I94" s="559">
        <v>5.1304548161363412E-3</v>
      </c>
      <c r="J94" s="559">
        <v>5.0360248492704865E-3</v>
      </c>
      <c r="K94" s="559">
        <v>4.9415948824046317E-3</v>
      </c>
      <c r="L94" s="559">
        <v>4.8471649155387778E-3</v>
      </c>
      <c r="M94" s="560">
        <v>4.7534835109231677E-3</v>
      </c>
      <c r="N94" s="560">
        <v>4.6598021063075576E-3</v>
      </c>
      <c r="O94" s="560">
        <v>4.5661207016919475E-3</v>
      </c>
      <c r="P94" s="560">
        <v>4.4724392970763374E-3</v>
      </c>
      <c r="Q94" s="560">
        <v>4.3787578924607273E-3</v>
      </c>
      <c r="R94" s="560">
        <v>4.2850764878451172E-3</v>
      </c>
      <c r="S94" s="560">
        <v>4.1913950832295072E-3</v>
      </c>
      <c r="T94" s="560">
        <v>4.0977136786138971E-3</v>
      </c>
      <c r="U94" s="560">
        <v>4.004032273998287E-3</v>
      </c>
      <c r="V94" s="560">
        <v>3.9103508693826769E-3</v>
      </c>
      <c r="W94" s="560">
        <v>3.8166694647670672E-3</v>
      </c>
      <c r="X94" s="560">
        <v>3.7229880601514576E-3</v>
      </c>
      <c r="Y94" s="560">
        <v>3.6293066555358479E-3</v>
      </c>
      <c r="Z94" s="560">
        <v>3.5356252509202383E-3</v>
      </c>
      <c r="AA94" s="560">
        <v>3.4419438463046286E-3</v>
      </c>
      <c r="AB94" s="560">
        <v>3.348262441689019E-3</v>
      </c>
      <c r="AC94" s="560">
        <v>3.2545810370734093E-3</v>
      </c>
      <c r="AD94" s="560">
        <v>3.1608996324577997E-3</v>
      </c>
      <c r="AE94" s="560">
        <v>3.06721822784219E-3</v>
      </c>
      <c r="AF94" s="560">
        <v>2.9735368232265804E-3</v>
      </c>
      <c r="AG94" s="560">
        <v>2.8798554186109707E-3</v>
      </c>
      <c r="AH94" s="560">
        <v>2.7861740139953611E-3</v>
      </c>
      <c r="AI94" s="560">
        <v>2.6924926093797514E-3</v>
      </c>
      <c r="AJ94" s="560">
        <v>2.5988112047641418E-3</v>
      </c>
      <c r="AK94" s="38">
        <v>2.5051298001485364E-3</v>
      </c>
    </row>
    <row r="95" spans="1:37" s="38" customFormat="1" ht="15">
      <c r="A95" s="143" t="s">
        <v>657</v>
      </c>
      <c r="B95" s="559">
        <v>9.2843603755016088E-2</v>
      </c>
      <c r="C95" s="559">
        <v>9.2368932691275191E-2</v>
      </c>
      <c r="D95" s="559">
        <v>9.1894261627534307E-2</v>
      </c>
      <c r="E95" s="559">
        <v>9.1419590563793424E-2</v>
      </c>
      <c r="F95" s="559">
        <v>9.094491950005254E-2</v>
      </c>
      <c r="G95" s="559">
        <v>9.0470248436311657E-2</v>
      </c>
      <c r="H95" s="559">
        <v>8.9995577372570773E-2</v>
      </c>
      <c r="I95" s="559">
        <v>8.952090630882989E-2</v>
      </c>
      <c r="J95" s="559">
        <v>8.9046235245089006E-2</v>
      </c>
      <c r="K95" s="559">
        <v>8.8571564181348122E-2</v>
      </c>
      <c r="L95" s="559">
        <v>8.8096893117607183E-2</v>
      </c>
      <c r="M95" s="560">
        <v>8.8221017311305869E-2</v>
      </c>
      <c r="N95" s="560">
        <v>8.8345141505004554E-2</v>
      </c>
      <c r="O95" s="560">
        <v>8.8469265698703239E-2</v>
      </c>
      <c r="P95" s="560">
        <v>8.8593389892401925E-2</v>
      </c>
      <c r="Q95" s="560">
        <v>8.871751408610061E-2</v>
      </c>
      <c r="R95" s="560">
        <v>8.8841638279799295E-2</v>
      </c>
      <c r="S95" s="560">
        <v>8.8965762473497981E-2</v>
      </c>
      <c r="T95" s="560">
        <v>8.9089886667196666E-2</v>
      </c>
      <c r="U95" s="560">
        <v>8.9214010860895351E-2</v>
      </c>
      <c r="V95" s="560">
        <v>8.9338135054594037E-2</v>
      </c>
      <c r="W95" s="560">
        <v>8.9462259248292722E-2</v>
      </c>
      <c r="X95" s="560">
        <v>8.9586383441991407E-2</v>
      </c>
      <c r="Y95" s="560">
        <v>8.9710507635690093E-2</v>
      </c>
      <c r="Z95" s="560">
        <v>8.9834631829388778E-2</v>
      </c>
      <c r="AA95" s="560">
        <v>8.9958756023087463E-2</v>
      </c>
      <c r="AB95" s="560">
        <v>9.0082880216786149E-2</v>
      </c>
      <c r="AC95" s="560">
        <v>9.0207004410484834E-2</v>
      </c>
      <c r="AD95" s="560">
        <v>9.0331128604183519E-2</v>
      </c>
      <c r="AE95" s="560">
        <v>9.0455252797882205E-2</v>
      </c>
      <c r="AF95" s="560">
        <v>9.057937699158089E-2</v>
      </c>
      <c r="AG95" s="560">
        <v>9.0703501185279575E-2</v>
      </c>
      <c r="AH95" s="560">
        <v>9.0827625378978261E-2</v>
      </c>
      <c r="AI95" s="560">
        <v>9.0951749572676946E-2</v>
      </c>
      <c r="AJ95" s="560">
        <v>9.1075873766375631E-2</v>
      </c>
      <c r="AK95" s="38">
        <v>9.1199997960074233E-2</v>
      </c>
    </row>
    <row r="96" spans="1:37" s="38" customFormat="1" ht="15">
      <c r="A96" s="143" t="s">
        <v>658</v>
      </c>
      <c r="B96" s="559">
        <v>8.0728324070223692E-3</v>
      </c>
      <c r="C96" s="559">
        <v>8.1618147625924231E-3</v>
      </c>
      <c r="D96" s="559">
        <v>8.250797118162477E-3</v>
      </c>
      <c r="E96" s="559">
        <v>8.3397794737325309E-3</v>
      </c>
      <c r="F96" s="559">
        <v>8.4287618293025848E-3</v>
      </c>
      <c r="G96" s="559">
        <v>8.5177441848726387E-3</v>
      </c>
      <c r="H96" s="559">
        <v>8.6067265404426926E-3</v>
      </c>
      <c r="I96" s="559">
        <v>8.6957088960127465E-3</v>
      </c>
      <c r="J96" s="559">
        <v>8.7846912515828005E-3</v>
      </c>
      <c r="K96" s="559">
        <v>8.8736736071528544E-3</v>
      </c>
      <c r="L96" s="559">
        <v>8.9626559627229169E-3</v>
      </c>
      <c r="M96" s="560">
        <v>8.730446193436556E-3</v>
      </c>
      <c r="N96" s="560">
        <v>8.4982364241501952E-3</v>
      </c>
      <c r="O96" s="560">
        <v>8.2660266548638343E-3</v>
      </c>
      <c r="P96" s="560">
        <v>8.0338168855774734E-3</v>
      </c>
      <c r="Q96" s="560">
        <v>7.8016071162911116E-3</v>
      </c>
      <c r="R96" s="560">
        <v>7.5693973470047499E-3</v>
      </c>
      <c r="S96" s="560">
        <v>7.3371875777183881E-3</v>
      </c>
      <c r="T96" s="560">
        <v>7.1049778084320264E-3</v>
      </c>
      <c r="U96" s="560">
        <v>6.8727680391456646E-3</v>
      </c>
      <c r="V96" s="560">
        <v>6.6405582698593028E-3</v>
      </c>
      <c r="W96" s="560">
        <v>6.4083485005729411E-3</v>
      </c>
      <c r="X96" s="560">
        <v>6.1761387312865793E-3</v>
      </c>
      <c r="Y96" s="560">
        <v>5.9439289620002176E-3</v>
      </c>
      <c r="Z96" s="560">
        <v>5.7117191927138558E-3</v>
      </c>
      <c r="AA96" s="560">
        <v>5.4795094234274941E-3</v>
      </c>
      <c r="AB96" s="560">
        <v>5.2472996541411323E-3</v>
      </c>
      <c r="AC96" s="560">
        <v>5.0150898848547705E-3</v>
      </c>
      <c r="AD96" s="560">
        <v>4.7828801155684088E-3</v>
      </c>
      <c r="AE96" s="560">
        <v>4.550670346282047E-3</v>
      </c>
      <c r="AF96" s="560">
        <v>4.3184605769956853E-3</v>
      </c>
      <c r="AG96" s="560">
        <v>4.0862508077093235E-3</v>
      </c>
      <c r="AH96" s="560">
        <v>3.8540410384229622E-3</v>
      </c>
      <c r="AI96" s="560">
        <v>3.6218312691366009E-3</v>
      </c>
      <c r="AJ96" s="560">
        <v>3.3896214998502395E-3</v>
      </c>
      <c r="AK96" s="38">
        <v>3.1574117305638799E-3</v>
      </c>
    </row>
    <row r="97" spans="1:85" s="38" customFormat="1" ht="15">
      <c r="A97" s="143" t="s">
        <v>659</v>
      </c>
      <c r="B97" s="559">
        <v>9.9129310546203372E-2</v>
      </c>
      <c r="C97" s="559">
        <v>9.6115327543267029E-2</v>
      </c>
      <c r="D97" s="559">
        <v>9.3101344540330686E-2</v>
      </c>
      <c r="E97" s="559">
        <v>9.0087361537394342E-2</v>
      </c>
      <c r="F97" s="559">
        <v>8.7073378534457999E-2</v>
      </c>
      <c r="G97" s="559">
        <v>8.4059395531521655E-2</v>
      </c>
      <c r="H97" s="559">
        <v>8.1045412528585312E-2</v>
      </c>
      <c r="I97" s="559">
        <v>7.8031429525648968E-2</v>
      </c>
      <c r="J97" s="559">
        <v>7.5017446522712625E-2</v>
      </c>
      <c r="K97" s="559">
        <v>7.2003463519776281E-2</v>
      </c>
      <c r="L97" s="559">
        <v>6.898948051683991E-2</v>
      </c>
      <c r="M97" s="560">
        <v>6.7933429957618696E-2</v>
      </c>
      <c r="N97" s="560">
        <v>6.6877379398397482E-2</v>
      </c>
      <c r="O97" s="560">
        <v>6.5821328839176269E-2</v>
      </c>
      <c r="P97" s="560">
        <v>6.4765278279955055E-2</v>
      </c>
      <c r="Q97" s="560">
        <v>6.3709227720733841E-2</v>
      </c>
      <c r="R97" s="560">
        <v>6.2653177161512627E-2</v>
      </c>
      <c r="S97" s="560">
        <v>6.1597126602291406E-2</v>
      </c>
      <c r="T97" s="560">
        <v>6.0541076043070186E-2</v>
      </c>
      <c r="U97" s="560">
        <v>5.9485025483848965E-2</v>
      </c>
      <c r="V97" s="560">
        <v>5.8428974924627744E-2</v>
      </c>
      <c r="W97" s="560">
        <v>5.7372924365406523E-2</v>
      </c>
      <c r="X97" s="560">
        <v>5.6316873806185302E-2</v>
      </c>
      <c r="Y97" s="560">
        <v>5.5260823246964082E-2</v>
      </c>
      <c r="Z97" s="560">
        <v>5.4204772687742861E-2</v>
      </c>
      <c r="AA97" s="560">
        <v>5.314872212852164E-2</v>
      </c>
      <c r="AB97" s="560">
        <v>5.2092671569300419E-2</v>
      </c>
      <c r="AC97" s="560">
        <v>5.1036621010079199E-2</v>
      </c>
      <c r="AD97" s="560">
        <v>4.9980570450857978E-2</v>
      </c>
      <c r="AE97" s="560">
        <v>4.8924519891636757E-2</v>
      </c>
      <c r="AF97" s="560">
        <v>4.7868469332415536E-2</v>
      </c>
      <c r="AG97" s="560">
        <v>4.6812418773194316E-2</v>
      </c>
      <c r="AH97" s="560">
        <v>4.5756368213973095E-2</v>
      </c>
      <c r="AI97" s="560">
        <v>4.4700317654751874E-2</v>
      </c>
      <c r="AJ97" s="560">
        <v>4.3644267095530653E-2</v>
      </c>
      <c r="AK97" s="38">
        <v>4.2588216536309419E-2</v>
      </c>
    </row>
    <row r="98" spans="1:85" s="38" customFormat="1" ht="15">
      <c r="A98" s="143" t="s">
        <v>633</v>
      </c>
      <c r="B98" s="559">
        <v>7.3423308015662728E-2</v>
      </c>
      <c r="C98" s="559">
        <v>7.3420818065781365E-2</v>
      </c>
      <c r="D98" s="559">
        <v>7.3418328115900003E-2</v>
      </c>
      <c r="E98" s="559">
        <v>7.341583816601864E-2</v>
      </c>
      <c r="F98" s="559">
        <v>7.3413348216137278E-2</v>
      </c>
      <c r="G98" s="559">
        <v>7.3410858266255916E-2</v>
      </c>
      <c r="H98" s="559">
        <v>7.3408368316374553E-2</v>
      </c>
      <c r="I98" s="559">
        <v>7.3405878366493191E-2</v>
      </c>
      <c r="J98" s="559">
        <v>7.3403388416611828E-2</v>
      </c>
      <c r="K98" s="559">
        <v>7.3400898466730466E-2</v>
      </c>
      <c r="L98" s="559">
        <v>7.3398408516849145E-2</v>
      </c>
      <c r="M98" s="560">
        <v>7.955929768221473E-2</v>
      </c>
      <c r="N98" s="560">
        <v>8.5720186847580315E-2</v>
      </c>
      <c r="O98" s="560">
        <v>9.18810760129459E-2</v>
      </c>
      <c r="P98" s="560">
        <v>9.8041965178311485E-2</v>
      </c>
      <c r="Q98" s="560">
        <v>0.10420285434367707</v>
      </c>
      <c r="R98" s="560">
        <v>0.11036374350904266</v>
      </c>
      <c r="S98" s="560">
        <v>0.11652463267440824</v>
      </c>
      <c r="T98" s="560">
        <v>0.12268552183977383</v>
      </c>
      <c r="U98" s="560">
        <v>0.12884641100513941</v>
      </c>
      <c r="V98" s="560">
        <v>0.135007300170505</v>
      </c>
      <c r="W98" s="560">
        <v>0.14116818933587058</v>
      </c>
      <c r="X98" s="560">
        <v>0.14732907850123617</v>
      </c>
      <c r="Y98" s="560">
        <v>0.15348996766660175</v>
      </c>
      <c r="Z98" s="560">
        <v>0.15965085683196734</v>
      </c>
      <c r="AA98" s="560">
        <v>0.16581174599733292</v>
      </c>
      <c r="AB98" s="560">
        <v>0.17197263516269851</v>
      </c>
      <c r="AC98" s="560">
        <v>0.17813352432806409</v>
      </c>
      <c r="AD98" s="560">
        <v>0.18429441349342968</v>
      </c>
      <c r="AE98" s="560">
        <v>0.19045530265879526</v>
      </c>
      <c r="AF98" s="560">
        <v>0.19661619182416085</v>
      </c>
      <c r="AG98" s="560">
        <v>0.20277708098952643</v>
      </c>
      <c r="AH98" s="560">
        <v>0.20893797015489202</v>
      </c>
      <c r="AI98" s="560">
        <v>0.2150988593202576</v>
      </c>
      <c r="AJ98" s="560">
        <v>0.22125974848562319</v>
      </c>
      <c r="AK98" s="38">
        <v>0.2274206376509888</v>
      </c>
    </row>
    <row r="99" spans="1:85" s="38" customFormat="1" ht="15">
      <c r="A99" s="38" t="s">
        <v>660</v>
      </c>
      <c r="B99" s="574">
        <v>0.47903992050293848</v>
      </c>
      <c r="C99" s="574">
        <v>0.47266764271203415</v>
      </c>
      <c r="D99" s="574">
        <v>0.46629536492112988</v>
      </c>
      <c r="E99" s="574">
        <v>0.45992308713022545</v>
      </c>
      <c r="F99" s="574">
        <v>0.45355080933932118</v>
      </c>
      <c r="G99" s="574">
        <v>0.4471785315484168</v>
      </c>
      <c r="H99" s="574">
        <v>0.44080625375751248</v>
      </c>
      <c r="I99" s="574">
        <v>0.43443397596660815</v>
      </c>
      <c r="J99" s="574">
        <v>0.42806169817570389</v>
      </c>
      <c r="K99" s="574">
        <v>0.42168942038479956</v>
      </c>
      <c r="L99" s="574">
        <v>0.41531714259389518</v>
      </c>
      <c r="M99" s="574">
        <v>0.4063578674306359</v>
      </c>
      <c r="N99" s="574">
        <v>0.39739859226737678</v>
      </c>
      <c r="O99" s="574">
        <v>0.3884393171041175</v>
      </c>
      <c r="P99" s="574">
        <v>0.37948004194085833</v>
      </c>
      <c r="Q99" s="574">
        <v>0.37052076677759904</v>
      </c>
      <c r="R99" s="574">
        <v>0.36156149161433981</v>
      </c>
      <c r="S99" s="574">
        <v>0.35260221645108064</v>
      </c>
      <c r="T99" s="574">
        <v>0.34364294128782136</v>
      </c>
      <c r="U99" s="574">
        <v>0.33468366612456213</v>
      </c>
      <c r="V99" s="574">
        <v>0.32572439096130285</v>
      </c>
      <c r="W99" s="574">
        <v>0.31676511579804362</v>
      </c>
      <c r="X99" s="574">
        <v>0.30780584063478433</v>
      </c>
      <c r="Y99" s="574">
        <v>0.29884656547152516</v>
      </c>
      <c r="Z99" s="574">
        <v>0.28988729030826588</v>
      </c>
      <c r="AA99" s="574">
        <v>0.2809280151450067</v>
      </c>
      <c r="AB99" s="574">
        <v>0.27196873998174742</v>
      </c>
      <c r="AC99" s="574">
        <v>0.26300946481848825</v>
      </c>
      <c r="AD99" s="574">
        <v>0.25405018965522896</v>
      </c>
      <c r="AE99" s="574">
        <v>0.24509091449196974</v>
      </c>
      <c r="AF99" s="574">
        <v>0.23613163932871048</v>
      </c>
      <c r="AG99" s="574">
        <v>0.22717236416545125</v>
      </c>
      <c r="AH99" s="574">
        <v>0.218213089002192</v>
      </c>
      <c r="AI99" s="574">
        <v>0.20925381383893277</v>
      </c>
      <c r="AJ99" s="574">
        <v>0.20029453867567351</v>
      </c>
      <c r="AK99" s="574">
        <v>0.19133526351241439</v>
      </c>
    </row>
    <row r="100" spans="1:85" s="38" customFormat="1" ht="15">
      <c r="A100" s="38" t="s">
        <v>661</v>
      </c>
      <c r="B100" s="574">
        <v>0.52096007949706158</v>
      </c>
      <c r="C100" s="574">
        <v>0.5273323572879659</v>
      </c>
      <c r="D100" s="574">
        <v>0.53370463507887023</v>
      </c>
      <c r="E100" s="574">
        <v>0.54007691286977444</v>
      </c>
      <c r="F100" s="574">
        <v>0.54644919066067887</v>
      </c>
      <c r="G100" s="574">
        <v>0.5528214684515832</v>
      </c>
      <c r="H100" s="574">
        <v>0.55919374624248741</v>
      </c>
      <c r="I100" s="574">
        <v>0.56556602403339173</v>
      </c>
      <c r="J100" s="574">
        <v>0.57193830182429617</v>
      </c>
      <c r="K100" s="574">
        <v>0.57831057961520049</v>
      </c>
      <c r="L100" s="574">
        <v>0.58468285740610471</v>
      </c>
      <c r="M100" s="574">
        <v>0.59364213256936382</v>
      </c>
      <c r="N100" s="574">
        <v>0.60260140773262316</v>
      </c>
      <c r="O100" s="574">
        <v>0.6115606828958825</v>
      </c>
      <c r="P100" s="574">
        <v>0.62051995805914162</v>
      </c>
      <c r="Q100" s="574">
        <v>0.62947923322240085</v>
      </c>
      <c r="R100" s="574">
        <v>0.63843850838566019</v>
      </c>
      <c r="S100" s="574">
        <v>0.64739778354891941</v>
      </c>
      <c r="T100" s="574">
        <v>0.65635705871217875</v>
      </c>
      <c r="U100" s="574">
        <v>0.66531633387543787</v>
      </c>
      <c r="V100" s="574">
        <v>0.67427560903869721</v>
      </c>
      <c r="W100" s="574">
        <v>0.68323488420195644</v>
      </c>
      <c r="X100" s="574">
        <v>0.69219415936521567</v>
      </c>
      <c r="Y100" s="574">
        <v>0.70115343452847489</v>
      </c>
      <c r="Z100" s="574">
        <v>0.71011270969173412</v>
      </c>
      <c r="AA100" s="574">
        <v>0.71907198485499346</v>
      </c>
      <c r="AB100" s="574">
        <v>0.72803126001825258</v>
      </c>
      <c r="AC100" s="574">
        <v>0.73699053518151192</v>
      </c>
      <c r="AD100" s="574">
        <v>0.74594981034477126</v>
      </c>
      <c r="AE100" s="574">
        <v>0.75490908550803049</v>
      </c>
      <c r="AF100" s="574">
        <v>0.76386836067128971</v>
      </c>
      <c r="AG100" s="574">
        <v>0.77282763583454894</v>
      </c>
      <c r="AH100" s="574">
        <v>0.78178691099780817</v>
      </c>
      <c r="AI100" s="574">
        <v>0.79074618616106751</v>
      </c>
      <c r="AJ100" s="574">
        <v>0.79970546132432685</v>
      </c>
      <c r="AK100" s="574">
        <v>0.80866473648758563</v>
      </c>
    </row>
    <row r="101" spans="1:85" s="318" customFormat="1" ht="15">
      <c r="A101" s="318" t="s">
        <v>122</v>
      </c>
      <c r="B101" s="559">
        <v>1</v>
      </c>
      <c r="C101" s="559">
        <v>1</v>
      </c>
      <c r="D101" s="559">
        <v>1</v>
      </c>
      <c r="E101" s="559">
        <v>1</v>
      </c>
      <c r="F101" s="559">
        <v>1</v>
      </c>
      <c r="G101" s="559">
        <v>1</v>
      </c>
      <c r="H101" s="559">
        <v>1</v>
      </c>
      <c r="I101" s="559">
        <v>1</v>
      </c>
      <c r="J101" s="559">
        <v>1</v>
      </c>
      <c r="K101" s="559">
        <v>1</v>
      </c>
      <c r="L101" s="559">
        <v>1</v>
      </c>
      <c r="M101" s="560">
        <v>1</v>
      </c>
      <c r="N101" s="560">
        <v>1</v>
      </c>
      <c r="O101" s="560">
        <v>1</v>
      </c>
      <c r="P101" s="560">
        <v>1</v>
      </c>
      <c r="Q101" s="560">
        <v>1</v>
      </c>
      <c r="R101" s="560">
        <v>1</v>
      </c>
      <c r="S101" s="560">
        <v>1</v>
      </c>
      <c r="T101" s="560">
        <v>1</v>
      </c>
      <c r="U101" s="560">
        <v>1</v>
      </c>
      <c r="V101" s="560">
        <v>1</v>
      </c>
      <c r="W101" s="560">
        <v>1</v>
      </c>
      <c r="X101" s="560">
        <v>1</v>
      </c>
      <c r="Y101" s="560">
        <v>1</v>
      </c>
      <c r="Z101" s="560">
        <v>1</v>
      </c>
      <c r="AA101" s="560">
        <v>1</v>
      </c>
      <c r="AB101" s="560">
        <v>1</v>
      </c>
      <c r="AC101" s="560">
        <v>1</v>
      </c>
      <c r="AD101" s="560">
        <v>1</v>
      </c>
      <c r="AE101" s="560">
        <v>1</v>
      </c>
      <c r="AF101" s="560">
        <v>1</v>
      </c>
      <c r="AG101" s="560">
        <v>1</v>
      </c>
      <c r="AH101" s="560">
        <v>1</v>
      </c>
      <c r="AI101" s="560">
        <v>1</v>
      </c>
      <c r="AJ101" s="560">
        <v>1</v>
      </c>
      <c r="AK101" s="38">
        <v>1</v>
      </c>
      <c r="AM101" s="38"/>
      <c r="AN101" s="38"/>
      <c r="AO101" s="38"/>
      <c r="AP101" s="38"/>
      <c r="AQ101" s="38"/>
      <c r="AR101" s="38"/>
      <c r="AS101" s="38"/>
      <c r="AT101" s="38"/>
      <c r="AU101" s="38"/>
      <c r="AV101" s="38"/>
      <c r="AW101" s="38"/>
      <c r="AX101" s="38"/>
      <c r="AY101" s="38"/>
      <c r="AZ101" s="38"/>
      <c r="BA101" s="38"/>
      <c r="BB101" s="38"/>
      <c r="BC101" s="38"/>
      <c r="BD101" s="38"/>
      <c r="BE101" s="38"/>
      <c r="BF101" s="38"/>
      <c r="BG101" s="38"/>
      <c r="BH101" s="38"/>
      <c r="BI101" s="38"/>
      <c r="BJ101" s="38"/>
      <c r="BK101" s="38"/>
      <c r="BL101" s="38"/>
      <c r="BM101" s="38"/>
      <c r="BN101" s="38"/>
      <c r="BO101" s="38"/>
      <c r="BP101" s="38"/>
      <c r="BQ101" s="38"/>
      <c r="BR101" s="38"/>
      <c r="BS101" s="38"/>
      <c r="BT101" s="38"/>
      <c r="BU101" s="38"/>
      <c r="BV101" s="38"/>
      <c r="BW101" s="38"/>
      <c r="BX101" s="38"/>
      <c r="BY101" s="38"/>
      <c r="BZ101" s="38"/>
      <c r="CA101" s="38"/>
      <c r="CB101" s="38"/>
      <c r="CC101" s="38"/>
      <c r="CD101" s="38"/>
      <c r="CE101" s="38"/>
      <c r="CF101" s="38"/>
      <c r="CG101" s="38"/>
    </row>
    <row r="102" spans="1:85">
      <c r="B102" s="148"/>
      <c r="C102" s="148"/>
      <c r="D102" s="148"/>
      <c r="E102" s="148"/>
      <c r="F102" s="148"/>
      <c r="G102" s="148"/>
      <c r="H102" s="148"/>
      <c r="I102" s="148"/>
      <c r="J102" s="148"/>
      <c r="K102" s="148"/>
      <c r="L102" s="148"/>
      <c r="M102" s="148"/>
      <c r="N102" s="148"/>
      <c r="O102" s="148"/>
      <c r="P102" s="148"/>
      <c r="Q102" s="148"/>
      <c r="R102" s="148"/>
      <c r="S102" s="148"/>
      <c r="T102" s="148"/>
      <c r="U102" s="148"/>
      <c r="V102" s="148"/>
      <c r="W102" s="148"/>
      <c r="X102" s="148"/>
      <c r="Y102" s="148"/>
      <c r="Z102" s="148"/>
      <c r="AA102" s="148"/>
      <c r="AB102" s="148"/>
      <c r="AC102" s="148"/>
      <c r="AD102" s="148"/>
      <c r="AE102" s="148"/>
    </row>
    <row r="103" spans="1:85">
      <c r="B103" s="148"/>
      <c r="C103" s="148"/>
      <c r="D103" s="148"/>
      <c r="E103" s="148"/>
      <c r="F103" s="148"/>
      <c r="G103" s="148"/>
      <c r="H103" s="148"/>
      <c r="I103" s="148"/>
      <c r="J103" s="148"/>
      <c r="K103" s="148"/>
      <c r="L103" s="148"/>
      <c r="M103" s="148"/>
      <c r="N103" s="148"/>
      <c r="O103" s="148"/>
      <c r="P103" s="148"/>
      <c r="Q103" s="148"/>
      <c r="R103" s="148"/>
      <c r="S103" s="148"/>
      <c r="T103" s="148"/>
      <c r="U103" s="148"/>
      <c r="V103" s="148"/>
      <c r="W103" s="148"/>
      <c r="X103" s="148"/>
      <c r="Y103" s="148"/>
      <c r="Z103" s="148"/>
      <c r="AA103" s="148"/>
      <c r="AB103" s="148"/>
      <c r="AC103" s="148"/>
      <c r="AD103" s="148"/>
      <c r="AE103" s="148"/>
    </row>
    <row r="104" spans="1:85">
      <c r="B104" s="148"/>
      <c r="C104" s="148"/>
      <c r="D104" s="148"/>
      <c r="E104" s="148"/>
      <c r="F104" s="148"/>
      <c r="G104" s="148"/>
      <c r="H104" s="148"/>
      <c r="I104" s="148"/>
      <c r="J104" s="148"/>
      <c r="K104" s="148"/>
      <c r="L104" s="148"/>
      <c r="M104" s="148"/>
      <c r="N104" s="148"/>
      <c r="O104" s="148"/>
      <c r="P104" s="148"/>
      <c r="Q104" s="148"/>
      <c r="R104" s="148"/>
      <c r="S104" s="148"/>
      <c r="T104" s="148"/>
      <c r="U104" s="148"/>
      <c r="V104" s="148"/>
      <c r="W104" s="148"/>
      <c r="X104" s="148"/>
      <c r="Y104" s="148"/>
      <c r="Z104" s="148"/>
      <c r="AA104" s="148"/>
      <c r="AB104" s="148"/>
      <c r="AC104" s="148"/>
      <c r="AD104" s="148"/>
      <c r="AE104" s="148"/>
    </row>
    <row r="105" spans="1:85">
      <c r="B105" s="148"/>
      <c r="C105" s="148"/>
      <c r="D105" s="148"/>
      <c r="E105" s="148"/>
      <c r="F105" s="148"/>
      <c r="G105" s="148"/>
      <c r="H105" s="148"/>
      <c r="I105" s="148"/>
      <c r="J105" s="148"/>
      <c r="K105" s="148"/>
      <c r="L105" s="148"/>
      <c r="M105" s="148"/>
      <c r="N105" s="148"/>
      <c r="O105" s="148"/>
      <c r="P105" s="148"/>
      <c r="Q105" s="148"/>
      <c r="R105" s="148"/>
      <c r="S105" s="148"/>
      <c r="T105" s="148"/>
      <c r="U105" s="148"/>
      <c r="V105" s="148"/>
      <c r="W105" s="148"/>
      <c r="X105" s="148"/>
      <c r="Y105" s="148"/>
      <c r="Z105" s="148"/>
      <c r="AA105" s="148"/>
      <c r="AB105" s="148"/>
      <c r="AC105" s="148"/>
      <c r="AD105" s="148"/>
      <c r="AE105" s="148"/>
    </row>
    <row r="106" spans="1:85">
      <c r="B106" s="148"/>
      <c r="C106" s="148"/>
      <c r="D106" s="148"/>
      <c r="E106" s="148"/>
      <c r="F106" s="148"/>
      <c r="G106" s="148"/>
      <c r="H106" s="148"/>
      <c r="I106" s="148"/>
      <c r="J106" s="148"/>
      <c r="K106" s="148"/>
      <c r="L106" s="148"/>
      <c r="M106" s="148"/>
      <c r="N106" s="148"/>
      <c r="O106" s="148"/>
      <c r="P106" s="148"/>
      <c r="Q106" s="148"/>
      <c r="R106" s="148"/>
      <c r="S106" s="148"/>
      <c r="T106" s="148"/>
      <c r="U106" s="148"/>
      <c r="V106" s="148"/>
      <c r="W106" s="148"/>
      <c r="X106" s="148"/>
      <c r="Y106" s="148"/>
      <c r="Z106" s="148"/>
      <c r="AA106" s="148"/>
      <c r="AB106" s="148"/>
      <c r="AC106" s="148"/>
      <c r="AD106" s="148"/>
      <c r="AE106" s="148"/>
    </row>
    <row r="107" spans="1:85">
      <c r="B107" s="148"/>
      <c r="C107" s="148"/>
      <c r="D107" s="148"/>
      <c r="E107" s="148"/>
      <c r="F107" s="148"/>
      <c r="G107" s="148"/>
      <c r="H107" s="148"/>
      <c r="I107" s="148"/>
      <c r="J107" s="148"/>
      <c r="K107" s="148"/>
      <c r="L107" s="148"/>
      <c r="M107" s="148"/>
      <c r="N107" s="148"/>
      <c r="O107" s="148"/>
      <c r="P107" s="148"/>
      <c r="Q107" s="148"/>
      <c r="R107" s="148"/>
      <c r="S107" s="148"/>
      <c r="T107" s="148"/>
      <c r="U107" s="148"/>
      <c r="V107" s="148"/>
      <c r="W107" s="148"/>
      <c r="X107" s="148"/>
      <c r="Y107" s="148"/>
      <c r="Z107" s="148"/>
      <c r="AA107" s="148"/>
      <c r="AB107" s="148"/>
      <c r="AC107" s="148"/>
      <c r="AD107" s="148"/>
      <c r="AE107" s="148"/>
    </row>
    <row r="108" spans="1:85">
      <c r="B108" s="148"/>
      <c r="C108" s="148"/>
      <c r="D108" s="148"/>
      <c r="E108" s="148"/>
      <c r="F108" s="148"/>
      <c r="G108" s="148"/>
      <c r="H108" s="148"/>
      <c r="I108" s="148"/>
      <c r="J108" s="148"/>
      <c r="K108" s="148"/>
      <c r="L108" s="148"/>
      <c r="M108" s="148"/>
      <c r="N108" s="148"/>
      <c r="O108" s="148"/>
      <c r="P108" s="148"/>
      <c r="Q108" s="148"/>
      <c r="R108" s="148"/>
      <c r="S108" s="148"/>
      <c r="T108" s="148"/>
      <c r="U108" s="148"/>
      <c r="V108" s="148"/>
      <c r="W108" s="148"/>
      <c r="X108" s="148"/>
      <c r="Y108" s="148"/>
      <c r="Z108" s="148"/>
      <c r="AA108" s="148"/>
      <c r="AB108" s="148"/>
      <c r="AC108" s="148"/>
      <c r="AD108" s="148"/>
      <c r="AE108" s="148"/>
    </row>
    <row r="109" spans="1:85">
      <c r="B109" s="148"/>
      <c r="C109" s="148"/>
      <c r="D109" s="148"/>
      <c r="E109" s="148"/>
      <c r="F109" s="148"/>
      <c r="G109" s="148"/>
      <c r="H109" s="148"/>
      <c r="I109" s="148"/>
      <c r="J109" s="148"/>
      <c r="K109" s="148"/>
      <c r="L109" s="148"/>
      <c r="M109" s="148"/>
      <c r="N109" s="148"/>
      <c r="O109" s="148"/>
      <c r="P109" s="148"/>
      <c r="Q109" s="148"/>
      <c r="R109" s="148"/>
      <c r="S109" s="148"/>
      <c r="T109" s="148"/>
      <c r="U109" s="148"/>
      <c r="V109" s="148"/>
      <c r="W109" s="148"/>
      <c r="X109" s="148"/>
      <c r="Y109" s="148"/>
      <c r="Z109" s="148"/>
      <c r="AA109" s="148"/>
      <c r="AB109" s="148"/>
      <c r="AC109" s="148"/>
      <c r="AD109" s="148"/>
      <c r="AE109" s="148"/>
    </row>
    <row r="110" spans="1:85">
      <c r="B110" s="148"/>
      <c r="C110" s="148"/>
      <c r="D110" s="148"/>
      <c r="E110" s="148"/>
      <c r="F110" s="148"/>
      <c r="G110" s="148"/>
      <c r="H110" s="148"/>
      <c r="I110" s="148"/>
      <c r="J110" s="148"/>
      <c r="K110" s="148"/>
      <c r="L110" s="148"/>
      <c r="M110" s="148"/>
      <c r="N110" s="148"/>
      <c r="O110" s="148"/>
      <c r="P110" s="148"/>
      <c r="Q110" s="148"/>
      <c r="R110" s="148"/>
      <c r="S110" s="148"/>
      <c r="T110" s="148"/>
      <c r="U110" s="148"/>
      <c r="V110" s="148"/>
      <c r="W110" s="148"/>
      <c r="X110" s="148"/>
      <c r="Y110" s="148"/>
      <c r="Z110" s="148"/>
      <c r="AA110" s="148"/>
      <c r="AB110" s="148"/>
      <c r="AC110" s="148"/>
      <c r="AD110" s="148"/>
      <c r="AE110" s="148"/>
    </row>
    <row r="111" spans="1:85">
      <c r="B111" s="148"/>
      <c r="C111" s="148"/>
      <c r="D111" s="148"/>
      <c r="E111" s="148"/>
      <c r="F111" s="148"/>
      <c r="G111" s="148"/>
      <c r="H111" s="148"/>
      <c r="I111" s="148"/>
      <c r="J111" s="148"/>
      <c r="K111" s="148"/>
      <c r="L111" s="148"/>
      <c r="M111" s="148"/>
      <c r="N111" s="148"/>
      <c r="O111" s="148"/>
      <c r="P111" s="148"/>
      <c r="Q111" s="148"/>
      <c r="R111" s="148"/>
      <c r="S111" s="148"/>
      <c r="T111" s="148"/>
      <c r="U111" s="148"/>
      <c r="V111" s="148"/>
      <c r="W111" s="148"/>
      <c r="X111" s="148"/>
      <c r="Y111" s="148"/>
      <c r="Z111" s="148"/>
      <c r="AA111" s="148"/>
      <c r="AB111" s="148"/>
      <c r="AC111" s="148"/>
      <c r="AD111" s="148"/>
      <c r="AE111" s="148"/>
    </row>
    <row r="112" spans="1:85">
      <c r="B112" s="148"/>
      <c r="C112" s="148"/>
      <c r="D112" s="148"/>
      <c r="E112" s="148"/>
      <c r="F112" s="148"/>
      <c r="G112" s="148"/>
      <c r="H112" s="148"/>
      <c r="I112" s="148"/>
      <c r="J112" s="148"/>
      <c r="K112" s="148"/>
      <c r="L112" s="148"/>
      <c r="M112" s="148"/>
      <c r="N112" s="148"/>
      <c r="O112" s="148"/>
      <c r="P112" s="148"/>
      <c r="Q112" s="148"/>
      <c r="R112" s="148"/>
      <c r="S112" s="148"/>
      <c r="T112" s="148"/>
      <c r="U112" s="148"/>
      <c r="V112" s="148"/>
      <c r="W112" s="148"/>
      <c r="X112" s="148"/>
      <c r="Y112" s="148"/>
      <c r="Z112" s="148"/>
      <c r="AA112" s="148"/>
      <c r="AB112" s="148"/>
      <c r="AC112" s="148"/>
      <c r="AD112" s="148"/>
      <c r="AE112" s="148"/>
    </row>
    <row r="113" spans="2:31">
      <c r="B113" s="148"/>
      <c r="C113" s="148"/>
      <c r="D113" s="148"/>
      <c r="E113" s="148"/>
      <c r="F113" s="148"/>
      <c r="G113" s="148"/>
      <c r="H113" s="148"/>
      <c r="I113" s="148"/>
      <c r="J113" s="148"/>
      <c r="K113" s="148"/>
      <c r="L113" s="148"/>
      <c r="M113" s="148"/>
      <c r="N113" s="148"/>
      <c r="O113" s="148"/>
      <c r="P113" s="148"/>
      <c r="Q113" s="148"/>
      <c r="R113" s="148"/>
      <c r="S113" s="148"/>
      <c r="T113" s="148"/>
      <c r="U113" s="148"/>
      <c r="V113" s="148"/>
      <c r="W113" s="148"/>
      <c r="X113" s="148"/>
      <c r="Y113" s="148"/>
      <c r="Z113" s="148"/>
      <c r="AA113" s="148"/>
      <c r="AB113" s="148"/>
      <c r="AC113" s="148"/>
      <c r="AD113" s="148"/>
      <c r="AE113" s="148"/>
    </row>
    <row r="114" spans="2:31">
      <c r="B114" s="148"/>
      <c r="C114" s="148"/>
      <c r="D114" s="148"/>
      <c r="E114" s="148"/>
      <c r="F114" s="148"/>
      <c r="G114" s="148"/>
      <c r="H114" s="148"/>
      <c r="I114" s="148"/>
      <c r="J114" s="148"/>
      <c r="K114" s="148"/>
      <c r="L114" s="148"/>
      <c r="M114" s="148"/>
      <c r="N114" s="148"/>
      <c r="O114" s="148"/>
      <c r="P114" s="148"/>
      <c r="Q114" s="148"/>
      <c r="R114" s="148"/>
      <c r="S114" s="148"/>
      <c r="T114" s="148"/>
      <c r="U114" s="148"/>
      <c r="V114" s="148"/>
      <c r="W114" s="148"/>
      <c r="X114" s="148"/>
      <c r="Y114" s="148"/>
      <c r="Z114" s="148"/>
      <c r="AA114" s="148"/>
      <c r="AB114" s="148"/>
      <c r="AC114" s="148"/>
      <c r="AD114" s="148"/>
      <c r="AE114" s="148"/>
    </row>
    <row r="115" spans="2:31">
      <c r="B115" s="148"/>
      <c r="C115" s="148"/>
      <c r="D115" s="148"/>
      <c r="E115" s="148"/>
      <c r="F115" s="148"/>
      <c r="G115" s="148"/>
      <c r="H115" s="148"/>
      <c r="I115" s="148"/>
      <c r="J115" s="148"/>
      <c r="K115" s="148"/>
      <c r="L115" s="148"/>
      <c r="M115" s="148"/>
      <c r="N115" s="148"/>
      <c r="O115" s="148"/>
      <c r="P115" s="148"/>
      <c r="Q115" s="148"/>
      <c r="R115" s="148"/>
      <c r="S115" s="148"/>
      <c r="T115" s="148"/>
      <c r="U115" s="148"/>
      <c r="V115" s="148"/>
      <c r="W115" s="148"/>
      <c r="X115" s="148"/>
      <c r="Y115" s="148"/>
      <c r="Z115" s="148"/>
      <c r="AA115" s="148"/>
      <c r="AB115" s="148"/>
      <c r="AC115" s="148"/>
      <c r="AD115" s="148"/>
      <c r="AE115" s="148"/>
    </row>
    <row r="116" spans="2:31">
      <c r="B116" s="148"/>
      <c r="C116" s="148"/>
      <c r="D116" s="148"/>
      <c r="E116" s="148"/>
      <c r="F116" s="148"/>
      <c r="G116" s="148"/>
      <c r="H116" s="148"/>
      <c r="I116" s="148"/>
      <c r="J116" s="148"/>
      <c r="K116" s="148"/>
      <c r="L116" s="148"/>
      <c r="M116" s="148"/>
      <c r="N116" s="148"/>
      <c r="O116" s="148"/>
      <c r="P116" s="148"/>
      <c r="Q116" s="148"/>
      <c r="R116" s="148"/>
      <c r="S116" s="148"/>
      <c r="T116" s="148"/>
      <c r="U116" s="148"/>
      <c r="V116" s="148"/>
      <c r="W116" s="148"/>
      <c r="X116" s="148"/>
      <c r="Y116" s="148"/>
      <c r="Z116" s="148"/>
      <c r="AA116" s="148"/>
      <c r="AB116" s="148"/>
      <c r="AC116" s="148"/>
      <c r="AD116" s="148"/>
      <c r="AE116" s="148"/>
    </row>
    <row r="117" spans="2:31">
      <c r="B117" s="148"/>
      <c r="C117" s="148"/>
      <c r="D117" s="148"/>
      <c r="E117" s="148"/>
      <c r="F117" s="148"/>
      <c r="G117" s="148"/>
      <c r="H117" s="148"/>
      <c r="I117" s="148"/>
      <c r="J117" s="148"/>
      <c r="K117" s="148"/>
      <c r="L117" s="148"/>
      <c r="M117" s="148"/>
      <c r="N117" s="148"/>
      <c r="O117" s="148"/>
      <c r="P117" s="148"/>
      <c r="Q117" s="148"/>
      <c r="R117" s="148"/>
      <c r="S117" s="148"/>
      <c r="T117" s="148"/>
      <c r="U117" s="148"/>
      <c r="V117" s="148"/>
      <c r="W117" s="148"/>
      <c r="X117" s="148"/>
      <c r="Y117" s="148"/>
      <c r="Z117" s="148"/>
      <c r="AA117" s="148"/>
      <c r="AB117" s="148"/>
      <c r="AC117" s="148"/>
      <c r="AD117" s="148"/>
      <c r="AE117" s="148"/>
    </row>
    <row r="118" spans="2:31">
      <c r="B118" s="148"/>
      <c r="C118" s="148"/>
      <c r="D118" s="148"/>
      <c r="E118" s="148"/>
      <c r="F118" s="148"/>
      <c r="G118" s="148"/>
      <c r="H118" s="148"/>
      <c r="I118" s="148"/>
      <c r="J118" s="148"/>
      <c r="K118" s="148"/>
      <c r="L118" s="148"/>
      <c r="M118" s="148"/>
      <c r="N118" s="148"/>
      <c r="O118" s="148"/>
      <c r="P118" s="148"/>
      <c r="Q118" s="148"/>
      <c r="R118" s="148"/>
      <c r="S118" s="148"/>
      <c r="T118" s="148"/>
      <c r="U118" s="148"/>
      <c r="V118" s="148"/>
      <c r="W118" s="148"/>
      <c r="X118" s="148"/>
      <c r="Y118" s="148"/>
      <c r="Z118" s="148"/>
      <c r="AA118" s="148"/>
      <c r="AB118" s="148"/>
      <c r="AC118" s="148"/>
      <c r="AD118" s="148"/>
      <c r="AE118" s="148"/>
    </row>
    <row r="119" spans="2:31">
      <c r="B119" s="148"/>
      <c r="C119" s="148"/>
      <c r="D119" s="148"/>
      <c r="E119" s="148"/>
      <c r="F119" s="148"/>
      <c r="G119" s="148"/>
      <c r="H119" s="148"/>
      <c r="I119" s="148"/>
      <c r="J119" s="148"/>
      <c r="K119" s="148"/>
      <c r="L119" s="148"/>
      <c r="M119" s="148"/>
      <c r="N119" s="148"/>
      <c r="O119" s="148"/>
      <c r="P119" s="148"/>
      <c r="Q119" s="148"/>
      <c r="R119" s="148"/>
      <c r="S119" s="148"/>
      <c r="T119" s="148"/>
      <c r="U119" s="148"/>
      <c r="V119" s="148"/>
      <c r="W119" s="148"/>
      <c r="X119" s="148"/>
      <c r="Y119" s="148"/>
      <c r="Z119" s="148"/>
      <c r="AA119" s="148"/>
      <c r="AB119" s="148"/>
      <c r="AC119" s="148"/>
      <c r="AD119" s="148"/>
      <c r="AE119" s="148"/>
    </row>
    <row r="120" spans="2:31">
      <c r="B120" s="148"/>
      <c r="C120" s="148"/>
      <c r="D120" s="148"/>
      <c r="E120" s="148"/>
      <c r="F120" s="148"/>
      <c r="G120" s="148"/>
      <c r="H120" s="148"/>
      <c r="I120" s="148"/>
      <c r="J120" s="148"/>
      <c r="K120" s="148"/>
      <c r="L120" s="148"/>
      <c r="M120" s="148"/>
      <c r="N120" s="148"/>
      <c r="O120" s="148"/>
      <c r="P120" s="148"/>
      <c r="Q120" s="148"/>
      <c r="R120" s="148"/>
      <c r="S120" s="148"/>
      <c r="T120" s="148"/>
      <c r="U120" s="148"/>
      <c r="V120" s="148"/>
      <c r="W120" s="148"/>
      <c r="X120" s="148"/>
      <c r="Y120" s="148"/>
      <c r="Z120" s="148"/>
      <c r="AA120" s="148"/>
      <c r="AB120" s="148"/>
      <c r="AC120" s="148"/>
      <c r="AD120" s="148"/>
      <c r="AE120" s="148"/>
    </row>
    <row r="121" spans="2:31">
      <c r="B121" s="148"/>
      <c r="C121" s="148"/>
      <c r="D121" s="148"/>
      <c r="E121" s="148"/>
      <c r="F121" s="148"/>
      <c r="G121" s="148"/>
      <c r="H121" s="148"/>
      <c r="I121" s="148"/>
      <c r="J121" s="148"/>
      <c r="K121" s="148"/>
      <c r="L121" s="148"/>
      <c r="M121" s="148"/>
      <c r="N121" s="148"/>
      <c r="O121" s="148"/>
      <c r="P121" s="148"/>
      <c r="Q121" s="148"/>
      <c r="R121" s="148"/>
      <c r="S121" s="148"/>
      <c r="T121" s="148"/>
      <c r="U121" s="148"/>
      <c r="V121" s="148"/>
      <c r="W121" s="148"/>
      <c r="X121" s="148"/>
      <c r="Y121" s="148"/>
      <c r="Z121" s="148"/>
      <c r="AA121" s="148"/>
      <c r="AB121" s="148"/>
      <c r="AC121" s="148"/>
      <c r="AD121" s="148"/>
      <c r="AE121" s="148"/>
    </row>
    <row r="122" spans="2:31">
      <c r="B122" s="148"/>
      <c r="C122" s="148"/>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8"/>
      <c r="AB122" s="148"/>
      <c r="AC122" s="148"/>
      <c r="AD122" s="148"/>
      <c r="AE122" s="148"/>
    </row>
    <row r="123" spans="2:31">
      <c r="B123" s="148"/>
      <c r="C123" s="148"/>
      <c r="D123" s="148"/>
      <c r="E123" s="148"/>
      <c r="F123" s="148"/>
      <c r="G123" s="148"/>
      <c r="H123" s="148"/>
      <c r="I123" s="148"/>
      <c r="J123" s="148"/>
      <c r="K123" s="148"/>
      <c r="L123" s="148"/>
      <c r="M123" s="148"/>
      <c r="N123" s="148"/>
      <c r="O123" s="148"/>
      <c r="P123" s="148"/>
      <c r="Q123" s="148"/>
      <c r="R123" s="148"/>
      <c r="S123" s="148"/>
      <c r="T123" s="148"/>
      <c r="U123" s="148"/>
      <c r="V123" s="148"/>
      <c r="W123" s="148"/>
      <c r="X123" s="148"/>
      <c r="Y123" s="148"/>
      <c r="Z123" s="148"/>
      <c r="AA123" s="148"/>
      <c r="AB123" s="148"/>
      <c r="AC123" s="148"/>
      <c r="AD123" s="148"/>
      <c r="AE123" s="148"/>
    </row>
    <row r="124" spans="2:31">
      <c r="B124" s="148"/>
      <c r="C124" s="148"/>
      <c r="D124" s="148"/>
      <c r="E124" s="148"/>
      <c r="F124" s="148"/>
      <c r="G124" s="148"/>
      <c r="H124" s="148"/>
      <c r="I124" s="148"/>
      <c r="J124" s="148"/>
      <c r="K124" s="148"/>
      <c r="L124" s="148"/>
      <c r="M124" s="148"/>
      <c r="N124" s="148"/>
      <c r="O124" s="148"/>
      <c r="P124" s="148"/>
      <c r="Q124" s="148"/>
      <c r="R124" s="148"/>
      <c r="S124" s="148"/>
      <c r="T124" s="148"/>
      <c r="U124" s="148"/>
      <c r="V124" s="148"/>
      <c r="W124" s="148"/>
      <c r="X124" s="148"/>
      <c r="Y124" s="148"/>
      <c r="Z124" s="148"/>
      <c r="AA124" s="148"/>
      <c r="AB124" s="148"/>
      <c r="AC124" s="148"/>
      <c r="AD124" s="148"/>
      <c r="AE124" s="148"/>
    </row>
    <row r="125" spans="2:31">
      <c r="B125" s="148"/>
      <c r="C125" s="148"/>
      <c r="D125" s="148"/>
      <c r="E125" s="148"/>
      <c r="F125" s="148"/>
      <c r="G125" s="148"/>
      <c r="H125" s="148"/>
      <c r="I125" s="148"/>
      <c r="J125" s="148"/>
      <c r="K125" s="148"/>
      <c r="L125" s="148"/>
      <c r="M125" s="148"/>
      <c r="N125" s="148"/>
      <c r="O125" s="148"/>
      <c r="P125" s="148"/>
      <c r="Q125" s="148"/>
      <c r="R125" s="148"/>
      <c r="S125" s="148"/>
      <c r="T125" s="148"/>
      <c r="U125" s="148"/>
      <c r="V125" s="148"/>
      <c r="W125" s="148"/>
      <c r="X125" s="148"/>
      <c r="Y125" s="148"/>
      <c r="Z125" s="148"/>
      <c r="AA125" s="148"/>
      <c r="AB125" s="148"/>
      <c r="AC125" s="148"/>
      <c r="AD125" s="148"/>
      <c r="AE125" s="148"/>
    </row>
    <row r="126" spans="2:31">
      <c r="B126" s="148"/>
      <c r="C126" s="148"/>
      <c r="D126" s="148"/>
      <c r="E126" s="148"/>
      <c r="F126" s="148"/>
      <c r="G126" s="148"/>
      <c r="H126" s="148"/>
      <c r="I126" s="148"/>
      <c r="J126" s="148"/>
      <c r="K126" s="148"/>
      <c r="L126" s="148"/>
      <c r="M126" s="148"/>
      <c r="N126" s="148"/>
      <c r="O126" s="148"/>
      <c r="P126" s="148"/>
      <c r="Q126" s="148"/>
      <c r="R126" s="148"/>
      <c r="S126" s="148"/>
      <c r="T126" s="148"/>
      <c r="U126" s="148"/>
      <c r="V126" s="148"/>
      <c r="W126" s="148"/>
      <c r="X126" s="148"/>
      <c r="Y126" s="148"/>
      <c r="Z126" s="148"/>
      <c r="AA126" s="148"/>
      <c r="AB126" s="148"/>
      <c r="AC126" s="148"/>
      <c r="AD126" s="148"/>
      <c r="AE126" s="148"/>
    </row>
    <row r="127" spans="2:31">
      <c r="B127" s="148"/>
      <c r="C127" s="148"/>
      <c r="D127" s="148"/>
      <c r="E127" s="148"/>
      <c r="F127" s="148"/>
      <c r="G127" s="148"/>
      <c r="H127" s="148"/>
      <c r="I127" s="148"/>
      <c r="J127" s="148"/>
      <c r="K127" s="148"/>
      <c r="L127" s="148"/>
      <c r="M127" s="148"/>
      <c r="N127" s="148"/>
      <c r="O127" s="148"/>
      <c r="P127" s="148"/>
      <c r="Q127" s="148"/>
      <c r="R127" s="148"/>
      <c r="S127" s="148"/>
      <c r="T127" s="148"/>
      <c r="U127" s="148"/>
      <c r="V127" s="148"/>
      <c r="W127" s="148"/>
      <c r="X127" s="148"/>
      <c r="Y127" s="148"/>
      <c r="Z127" s="148"/>
      <c r="AA127" s="148"/>
      <c r="AB127" s="148"/>
      <c r="AC127" s="148"/>
      <c r="AD127" s="148"/>
      <c r="AE127" s="148"/>
    </row>
    <row r="128" spans="2:31">
      <c r="B128" s="148"/>
      <c r="C128" s="148"/>
      <c r="D128" s="148"/>
      <c r="E128" s="148"/>
      <c r="F128" s="148"/>
      <c r="G128" s="148"/>
      <c r="H128" s="148"/>
      <c r="I128" s="148"/>
      <c r="J128" s="148"/>
      <c r="K128" s="148"/>
      <c r="L128" s="148"/>
      <c r="M128" s="148"/>
      <c r="N128" s="148"/>
      <c r="O128" s="148"/>
      <c r="P128" s="148"/>
      <c r="Q128" s="148"/>
      <c r="R128" s="148"/>
      <c r="S128" s="148"/>
      <c r="T128" s="148"/>
      <c r="U128" s="148"/>
      <c r="V128" s="148"/>
      <c r="W128" s="148"/>
      <c r="X128" s="148"/>
      <c r="Y128" s="148"/>
      <c r="Z128" s="148"/>
      <c r="AA128" s="148"/>
      <c r="AB128" s="148"/>
      <c r="AC128" s="148"/>
      <c r="AD128" s="148"/>
      <c r="AE128" s="148"/>
    </row>
    <row r="129" spans="2:31">
      <c r="B129" s="148"/>
      <c r="C129" s="148"/>
      <c r="D129" s="148"/>
      <c r="E129" s="148"/>
      <c r="F129" s="148"/>
      <c r="G129" s="148"/>
      <c r="H129" s="148"/>
      <c r="I129" s="148"/>
      <c r="J129" s="148"/>
      <c r="K129" s="148"/>
      <c r="L129" s="148"/>
      <c r="M129" s="148"/>
      <c r="N129" s="148"/>
      <c r="O129" s="148"/>
      <c r="P129" s="148"/>
      <c r="Q129" s="148"/>
      <c r="R129" s="148"/>
      <c r="S129" s="148"/>
      <c r="T129" s="148"/>
      <c r="U129" s="148"/>
      <c r="V129" s="148"/>
      <c r="W129" s="148"/>
      <c r="X129" s="148"/>
      <c r="Y129" s="148"/>
      <c r="Z129" s="148"/>
      <c r="AA129" s="148"/>
      <c r="AB129" s="148"/>
      <c r="AC129" s="148"/>
      <c r="AD129" s="148"/>
      <c r="AE129" s="148"/>
    </row>
    <row r="130" spans="2:31">
      <c r="B130" s="148"/>
      <c r="C130" s="148"/>
      <c r="D130" s="148"/>
      <c r="E130" s="148"/>
      <c r="F130" s="148"/>
      <c r="G130" s="148"/>
      <c r="H130" s="148"/>
      <c r="I130" s="148"/>
      <c r="J130" s="148"/>
      <c r="K130" s="148"/>
      <c r="L130" s="148"/>
      <c r="M130" s="148"/>
      <c r="N130" s="148"/>
      <c r="O130" s="148"/>
      <c r="P130" s="148"/>
      <c r="Q130" s="148"/>
      <c r="R130" s="148"/>
      <c r="S130" s="148"/>
      <c r="T130" s="148"/>
      <c r="U130" s="148"/>
      <c r="V130" s="148"/>
      <c r="W130" s="148"/>
      <c r="X130" s="148"/>
      <c r="Y130" s="148"/>
      <c r="Z130" s="148"/>
      <c r="AA130" s="148"/>
      <c r="AB130" s="148"/>
      <c r="AC130" s="148"/>
      <c r="AD130" s="148"/>
      <c r="AE130" s="148"/>
    </row>
    <row r="131" spans="2:31">
      <c r="B131" s="148"/>
      <c r="C131" s="148"/>
      <c r="D131" s="148"/>
      <c r="E131" s="148"/>
      <c r="F131" s="148"/>
      <c r="G131" s="148"/>
      <c r="H131" s="148"/>
      <c r="I131" s="148"/>
      <c r="J131" s="148"/>
      <c r="K131" s="148"/>
      <c r="L131" s="148"/>
      <c r="M131" s="148"/>
      <c r="N131" s="148"/>
      <c r="O131" s="148"/>
      <c r="P131" s="148"/>
      <c r="Q131" s="148"/>
      <c r="R131" s="148"/>
      <c r="S131" s="148"/>
      <c r="T131" s="148"/>
      <c r="U131" s="148"/>
      <c r="V131" s="148"/>
      <c r="W131" s="148"/>
      <c r="X131" s="148"/>
      <c r="Y131" s="148"/>
      <c r="Z131" s="148"/>
      <c r="AA131" s="148"/>
      <c r="AB131" s="148"/>
      <c r="AC131" s="148"/>
      <c r="AD131" s="148"/>
      <c r="AE131" s="148"/>
    </row>
    <row r="132" spans="2:31">
      <c r="B132" s="148"/>
      <c r="C132" s="148"/>
      <c r="D132" s="148"/>
      <c r="E132" s="148"/>
      <c r="F132" s="148"/>
      <c r="G132" s="148"/>
      <c r="H132" s="148"/>
      <c r="I132" s="148"/>
      <c r="J132" s="148"/>
      <c r="K132" s="148"/>
      <c r="L132" s="148"/>
      <c r="M132" s="148"/>
      <c r="N132" s="148"/>
      <c r="O132" s="148"/>
      <c r="P132" s="148"/>
      <c r="Q132" s="148"/>
      <c r="R132" s="148"/>
      <c r="S132" s="148"/>
      <c r="T132" s="148"/>
      <c r="U132" s="148"/>
      <c r="V132" s="148"/>
      <c r="W132" s="148"/>
      <c r="X132" s="148"/>
      <c r="Y132" s="148"/>
      <c r="Z132" s="148"/>
      <c r="AA132" s="148"/>
      <c r="AB132" s="148"/>
      <c r="AC132" s="148"/>
      <c r="AD132" s="148"/>
      <c r="AE132" s="148"/>
    </row>
    <row r="133" spans="2:31">
      <c r="B133" s="148"/>
      <c r="C133" s="148"/>
      <c r="D133" s="148"/>
      <c r="E133" s="148"/>
      <c r="F133" s="148"/>
      <c r="G133" s="148"/>
      <c r="H133" s="148"/>
      <c r="I133" s="148"/>
      <c r="J133" s="148"/>
      <c r="K133" s="148"/>
      <c r="L133" s="148"/>
      <c r="M133" s="148"/>
      <c r="N133" s="148"/>
      <c r="O133" s="148"/>
      <c r="P133" s="148"/>
      <c r="Q133" s="148"/>
      <c r="R133" s="148"/>
      <c r="S133" s="148"/>
      <c r="T133" s="148"/>
      <c r="U133" s="148"/>
      <c r="V133" s="148"/>
      <c r="W133" s="148"/>
      <c r="X133" s="148"/>
      <c r="Y133" s="148"/>
      <c r="Z133" s="148"/>
      <c r="AA133" s="148"/>
      <c r="AB133" s="148"/>
      <c r="AC133" s="148"/>
      <c r="AD133" s="148"/>
      <c r="AE133" s="148"/>
    </row>
    <row r="134" spans="2:31">
      <c r="B134" s="148"/>
      <c r="C134" s="148"/>
      <c r="D134" s="148"/>
      <c r="E134" s="148"/>
      <c r="F134" s="148"/>
      <c r="G134" s="148"/>
      <c r="H134" s="148"/>
      <c r="I134" s="148"/>
      <c r="J134" s="148"/>
      <c r="K134" s="148"/>
      <c r="L134" s="148"/>
      <c r="M134" s="148"/>
      <c r="N134" s="148"/>
      <c r="O134" s="148"/>
      <c r="P134" s="148"/>
      <c r="Q134" s="148"/>
      <c r="R134" s="148"/>
      <c r="S134" s="148"/>
      <c r="T134" s="148"/>
      <c r="U134" s="148"/>
      <c r="V134" s="148"/>
      <c r="W134" s="148"/>
      <c r="X134" s="148"/>
      <c r="Y134" s="148"/>
      <c r="Z134" s="148"/>
      <c r="AA134" s="148"/>
      <c r="AB134" s="148"/>
      <c r="AC134" s="148"/>
      <c r="AD134" s="148"/>
      <c r="AE134" s="148"/>
    </row>
    <row r="135" spans="2:31">
      <c r="B135" s="148"/>
      <c r="C135" s="148"/>
      <c r="D135" s="148"/>
      <c r="E135" s="148"/>
      <c r="F135" s="148"/>
      <c r="G135" s="148"/>
      <c r="H135" s="148"/>
      <c r="I135" s="148"/>
      <c r="J135" s="148"/>
      <c r="K135" s="148"/>
      <c r="L135" s="148"/>
      <c r="M135" s="148"/>
      <c r="N135" s="148"/>
      <c r="O135" s="148"/>
      <c r="P135" s="148"/>
      <c r="Q135" s="148"/>
      <c r="R135" s="148"/>
      <c r="S135" s="148"/>
      <c r="T135" s="148"/>
      <c r="U135" s="148"/>
      <c r="V135" s="148"/>
      <c r="W135" s="148"/>
      <c r="X135" s="148"/>
      <c r="Y135" s="148"/>
      <c r="Z135" s="148"/>
      <c r="AA135" s="148"/>
      <c r="AB135" s="148"/>
      <c r="AC135" s="148"/>
      <c r="AD135" s="148"/>
      <c r="AE135" s="148"/>
    </row>
    <row r="136" spans="2:31">
      <c r="B136" s="148"/>
      <c r="C136" s="148"/>
      <c r="D136" s="148"/>
      <c r="E136" s="148"/>
      <c r="F136" s="148"/>
      <c r="G136" s="148"/>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148"/>
    </row>
    <row r="137" spans="2:31">
      <c r="B137" s="148"/>
      <c r="C137" s="148"/>
      <c r="D137" s="148"/>
      <c r="E137" s="148"/>
      <c r="F137" s="148"/>
      <c r="G137" s="148"/>
      <c r="H137" s="148"/>
      <c r="I137" s="148"/>
      <c r="J137" s="148"/>
      <c r="K137" s="148"/>
      <c r="L137" s="148"/>
      <c r="M137" s="148"/>
      <c r="N137" s="148"/>
      <c r="O137" s="148"/>
      <c r="P137" s="148"/>
      <c r="Q137" s="148"/>
      <c r="R137" s="148"/>
      <c r="S137" s="148"/>
      <c r="T137" s="148"/>
      <c r="U137" s="148"/>
      <c r="V137" s="148"/>
      <c r="W137" s="148"/>
      <c r="X137" s="148"/>
      <c r="Y137" s="148"/>
      <c r="Z137" s="148"/>
      <c r="AA137" s="148"/>
      <c r="AB137" s="148"/>
      <c r="AC137" s="148"/>
      <c r="AD137" s="148"/>
      <c r="AE137" s="148"/>
    </row>
    <row r="138" spans="2:31">
      <c r="B138" s="148"/>
      <c r="C138" s="148"/>
      <c r="D138" s="148"/>
      <c r="E138" s="148"/>
      <c r="F138" s="148"/>
      <c r="G138" s="148"/>
      <c r="H138" s="148"/>
      <c r="I138" s="148"/>
      <c r="J138" s="148"/>
      <c r="K138" s="148"/>
      <c r="L138" s="148"/>
      <c r="M138" s="148"/>
      <c r="N138" s="148"/>
      <c r="O138" s="148"/>
      <c r="P138" s="148"/>
      <c r="Q138" s="148"/>
      <c r="R138" s="148"/>
      <c r="S138" s="148"/>
      <c r="T138" s="148"/>
      <c r="U138" s="148"/>
      <c r="V138" s="148"/>
      <c r="W138" s="148"/>
      <c r="X138" s="148"/>
      <c r="Y138" s="148"/>
      <c r="Z138" s="148"/>
      <c r="AA138" s="148"/>
      <c r="AB138" s="148"/>
      <c r="AC138" s="148"/>
      <c r="AD138" s="148"/>
      <c r="AE138" s="148"/>
    </row>
    <row r="139" spans="2:31">
      <c r="B139" s="148"/>
      <c r="C139" s="148"/>
      <c r="D139" s="148"/>
      <c r="E139" s="148"/>
      <c r="F139" s="148"/>
      <c r="G139" s="148"/>
      <c r="H139" s="148"/>
      <c r="I139" s="148"/>
      <c r="J139" s="148"/>
      <c r="K139" s="148"/>
      <c r="L139" s="148"/>
      <c r="M139" s="148"/>
      <c r="N139" s="148"/>
      <c r="O139" s="148"/>
      <c r="P139" s="148"/>
      <c r="Q139" s="148"/>
      <c r="R139" s="148"/>
      <c r="S139" s="148"/>
      <c r="T139" s="148"/>
      <c r="U139" s="148"/>
      <c r="V139" s="148"/>
      <c r="W139" s="148"/>
      <c r="X139" s="148"/>
      <c r="Y139" s="148"/>
      <c r="Z139" s="148"/>
      <c r="AA139" s="148"/>
      <c r="AB139" s="148"/>
      <c r="AC139" s="148"/>
      <c r="AD139" s="148"/>
      <c r="AE139" s="148"/>
    </row>
    <row r="140" spans="2:31">
      <c r="B140" s="148"/>
      <c r="C140" s="148"/>
      <c r="D140" s="148"/>
      <c r="E140" s="148"/>
      <c r="F140" s="148"/>
      <c r="G140" s="148"/>
      <c r="H140" s="148"/>
      <c r="I140" s="148"/>
      <c r="J140" s="148"/>
      <c r="K140" s="148"/>
      <c r="L140" s="148"/>
      <c r="M140" s="148"/>
      <c r="N140" s="148"/>
      <c r="O140" s="148"/>
      <c r="P140" s="148"/>
      <c r="Q140" s="148"/>
      <c r="R140" s="148"/>
      <c r="S140" s="148"/>
      <c r="T140" s="148"/>
      <c r="U140" s="148"/>
      <c r="V140" s="148"/>
      <c r="W140" s="148"/>
      <c r="X140" s="148"/>
      <c r="Y140" s="148"/>
      <c r="Z140" s="148"/>
      <c r="AA140" s="148"/>
      <c r="AB140" s="148"/>
      <c r="AC140" s="148"/>
      <c r="AD140" s="148"/>
      <c r="AE140" s="148"/>
    </row>
    <row r="141" spans="2:31">
      <c r="B141" s="148"/>
      <c r="C141" s="148"/>
      <c r="D141" s="148"/>
      <c r="E141" s="148"/>
      <c r="F141" s="148"/>
      <c r="G141" s="148"/>
      <c r="H141" s="148"/>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row>
    <row r="142" spans="2:31">
      <c r="B142" s="148"/>
      <c r="C142" s="148"/>
      <c r="D142" s="148"/>
      <c r="E142" s="148"/>
      <c r="F142" s="148"/>
      <c r="G142" s="148"/>
      <c r="H142" s="148"/>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row>
    <row r="143" spans="2:31">
      <c r="B143" s="148"/>
      <c r="C143" s="148"/>
      <c r="D143" s="148"/>
      <c r="E143" s="148"/>
      <c r="F143" s="148"/>
      <c r="G143" s="148"/>
      <c r="H143" s="148"/>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row>
    <row r="144" spans="2:31">
      <c r="B144" s="148"/>
      <c r="C144" s="148"/>
      <c r="D144" s="148"/>
      <c r="E144" s="148"/>
      <c r="F144" s="148"/>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row>
    <row r="145" spans="2:31">
      <c r="B145" s="148"/>
      <c r="C145" s="148"/>
      <c r="D145" s="148"/>
      <c r="E145" s="148"/>
      <c r="F145" s="148"/>
      <c r="G145" s="148"/>
      <c r="H145" s="148"/>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row>
    <row r="146" spans="2:31">
      <c r="B146" s="148"/>
      <c r="C146" s="148"/>
      <c r="D146" s="148"/>
      <c r="E146" s="148"/>
      <c r="F146" s="148"/>
      <c r="G146" s="148"/>
      <c r="H146" s="148"/>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row>
    <row r="147" spans="2:31">
      <c r="B147" s="148"/>
      <c r="C147" s="148"/>
      <c r="D147" s="148"/>
      <c r="E147" s="148"/>
      <c r="F147" s="148"/>
      <c r="G147" s="148"/>
      <c r="H147" s="148"/>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row>
    <row r="148" spans="2:31">
      <c r="B148" s="148"/>
      <c r="C148" s="148"/>
      <c r="D148" s="148"/>
      <c r="E148" s="148"/>
      <c r="F148" s="148"/>
      <c r="G148" s="148"/>
      <c r="H148" s="148"/>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row>
    <row r="149" spans="2:31">
      <c r="B149" s="148"/>
      <c r="C149" s="148"/>
      <c r="D149" s="148"/>
      <c r="E149" s="148"/>
      <c r="F149" s="148"/>
      <c r="G149" s="148"/>
      <c r="H149" s="148"/>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row>
    <row r="150" spans="2:31">
      <c r="B150" s="148"/>
      <c r="C150" s="148"/>
      <c r="D150" s="148"/>
      <c r="E150" s="148"/>
      <c r="F150" s="148"/>
      <c r="G150" s="148"/>
      <c r="H150" s="148"/>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row>
    <row r="151" spans="2:31">
      <c r="B151" s="148"/>
      <c r="C151" s="148"/>
      <c r="D151" s="148"/>
      <c r="E151" s="148"/>
      <c r="F151" s="148"/>
      <c r="G151" s="148"/>
      <c r="H151" s="148"/>
      <c r="I151" s="148"/>
      <c r="J151" s="148"/>
      <c r="K151" s="148"/>
      <c r="L151" s="148"/>
      <c r="M151" s="148"/>
      <c r="N151" s="148"/>
      <c r="O151" s="148"/>
      <c r="P151" s="148"/>
      <c r="Q151" s="148"/>
      <c r="R151" s="148"/>
      <c r="S151" s="148"/>
      <c r="T151" s="148"/>
      <c r="U151" s="148"/>
      <c r="V151" s="148"/>
      <c r="W151" s="148"/>
      <c r="X151" s="148"/>
      <c r="Y151" s="148"/>
      <c r="Z151" s="148"/>
      <c r="AA151" s="148"/>
      <c r="AB151" s="148"/>
      <c r="AC151" s="148"/>
      <c r="AD151" s="148"/>
      <c r="AE151" s="148"/>
    </row>
    <row r="152" spans="2:31">
      <c r="B152" s="148"/>
      <c r="C152" s="148"/>
      <c r="D152" s="148"/>
      <c r="E152" s="148"/>
      <c r="F152" s="148"/>
      <c r="G152" s="148"/>
      <c r="H152" s="148"/>
      <c r="I152" s="148"/>
      <c r="J152" s="148"/>
      <c r="K152" s="148"/>
      <c r="L152" s="148"/>
      <c r="M152" s="148"/>
      <c r="N152" s="148"/>
      <c r="O152" s="148"/>
      <c r="P152" s="148"/>
      <c r="Q152" s="148"/>
      <c r="R152" s="148"/>
      <c r="S152" s="148"/>
      <c r="T152" s="148"/>
      <c r="U152" s="148"/>
      <c r="V152" s="148"/>
      <c r="W152" s="148"/>
      <c r="X152" s="148"/>
      <c r="Y152" s="148"/>
      <c r="Z152" s="148"/>
      <c r="AA152" s="148"/>
      <c r="AB152" s="148"/>
      <c r="AC152" s="148"/>
      <c r="AD152" s="148"/>
      <c r="AE152" s="148"/>
    </row>
    <row r="153" spans="2:31">
      <c r="B153" s="148"/>
      <c r="C153" s="148"/>
      <c r="D153" s="148"/>
      <c r="E153" s="148"/>
      <c r="F153" s="148"/>
      <c r="G153" s="148"/>
      <c r="H153" s="148"/>
      <c r="I153" s="148"/>
      <c r="J153" s="148"/>
      <c r="K153" s="148"/>
      <c r="L153" s="148"/>
      <c r="M153" s="148"/>
      <c r="N153" s="148"/>
      <c r="O153" s="148"/>
      <c r="P153" s="148"/>
      <c r="Q153" s="148"/>
      <c r="R153" s="148"/>
      <c r="S153" s="148"/>
      <c r="T153" s="148"/>
      <c r="U153" s="148"/>
      <c r="V153" s="148"/>
      <c r="W153" s="148"/>
      <c r="X153" s="148"/>
      <c r="Y153" s="148"/>
      <c r="Z153" s="148"/>
      <c r="AA153" s="148"/>
      <c r="AB153" s="148"/>
      <c r="AC153" s="148"/>
      <c r="AD153" s="148"/>
      <c r="AE153" s="148"/>
    </row>
    <row r="154" spans="2:31">
      <c r="B154" s="148"/>
      <c r="C154" s="148"/>
      <c r="D154" s="148"/>
      <c r="E154" s="148"/>
      <c r="F154" s="148"/>
      <c r="G154" s="148"/>
      <c r="H154" s="148"/>
      <c r="I154" s="148"/>
      <c r="J154" s="148"/>
      <c r="K154" s="148"/>
      <c r="L154" s="148"/>
      <c r="M154" s="148"/>
      <c r="N154" s="148"/>
      <c r="O154" s="148"/>
      <c r="P154" s="148"/>
      <c r="Q154" s="148"/>
      <c r="R154" s="148"/>
      <c r="S154" s="148"/>
      <c r="T154" s="148"/>
      <c r="U154" s="148"/>
      <c r="V154" s="148"/>
      <c r="W154" s="148"/>
      <c r="X154" s="148"/>
      <c r="Y154" s="148"/>
      <c r="Z154" s="148"/>
      <c r="AA154" s="148"/>
      <c r="AB154" s="148"/>
      <c r="AC154" s="148"/>
      <c r="AD154" s="148"/>
      <c r="AE154" s="148"/>
    </row>
    <row r="155" spans="2:31">
      <c r="B155" s="148"/>
      <c r="C155" s="148"/>
      <c r="D155" s="148"/>
      <c r="E155" s="148"/>
      <c r="F155" s="148"/>
      <c r="G155" s="148"/>
      <c r="H155" s="148"/>
      <c r="I155" s="148"/>
      <c r="J155" s="148"/>
      <c r="K155" s="148"/>
      <c r="L155" s="148"/>
      <c r="M155" s="148"/>
      <c r="N155" s="148"/>
      <c r="O155" s="148"/>
      <c r="P155" s="148"/>
      <c r="Q155" s="148"/>
      <c r="R155" s="148"/>
      <c r="S155" s="148"/>
      <c r="T155" s="148"/>
      <c r="U155" s="148"/>
      <c r="V155" s="148"/>
      <c r="W155" s="148"/>
      <c r="X155" s="148"/>
      <c r="Y155" s="148"/>
      <c r="Z155" s="148"/>
      <c r="AA155" s="148"/>
      <c r="AB155" s="148"/>
      <c r="AC155" s="148"/>
      <c r="AD155" s="148"/>
      <c r="AE155" s="148"/>
    </row>
    <row r="156" spans="2:31">
      <c r="B156" s="148"/>
      <c r="C156" s="148"/>
      <c r="D156" s="148"/>
      <c r="E156" s="148"/>
      <c r="F156" s="148"/>
      <c r="G156" s="148"/>
      <c r="H156" s="148"/>
      <c r="I156" s="148"/>
      <c r="J156" s="148"/>
      <c r="K156" s="148"/>
      <c r="L156" s="148"/>
      <c r="M156" s="148"/>
      <c r="N156" s="148"/>
      <c r="O156" s="148"/>
      <c r="P156" s="148"/>
      <c r="Q156" s="148"/>
      <c r="R156" s="148"/>
      <c r="S156" s="148"/>
      <c r="T156" s="148"/>
      <c r="U156" s="148"/>
      <c r="V156" s="148"/>
      <c r="W156" s="148"/>
      <c r="X156" s="148"/>
      <c r="Y156" s="148"/>
      <c r="Z156" s="148"/>
      <c r="AA156" s="148"/>
      <c r="AB156" s="148"/>
      <c r="AC156" s="148"/>
      <c r="AD156" s="148"/>
      <c r="AE156" s="148"/>
    </row>
    <row r="157" spans="2:31">
      <c r="B157" s="148"/>
      <c r="C157" s="148"/>
      <c r="D157" s="148"/>
      <c r="E157" s="148"/>
      <c r="F157" s="148"/>
      <c r="G157" s="148"/>
      <c r="H157" s="148"/>
      <c r="I157" s="148"/>
      <c r="J157" s="148"/>
      <c r="K157" s="148"/>
      <c r="L157" s="148"/>
      <c r="M157" s="148"/>
      <c r="N157" s="148"/>
      <c r="O157" s="148"/>
      <c r="P157" s="148"/>
      <c r="Q157" s="148"/>
      <c r="R157" s="148"/>
      <c r="S157" s="148"/>
      <c r="T157" s="148"/>
      <c r="U157" s="148"/>
      <c r="V157" s="148"/>
      <c r="W157" s="148"/>
      <c r="X157" s="148"/>
      <c r="Y157" s="148"/>
      <c r="Z157" s="148"/>
      <c r="AA157" s="148"/>
      <c r="AB157" s="148"/>
      <c r="AC157" s="148"/>
      <c r="AD157" s="148"/>
      <c r="AE157" s="148"/>
    </row>
    <row r="158" spans="2:31">
      <c r="B158" s="148"/>
      <c r="C158" s="148"/>
      <c r="D158" s="148"/>
      <c r="E158" s="148"/>
      <c r="F158" s="148"/>
      <c r="G158" s="148"/>
      <c r="H158" s="148"/>
      <c r="I158" s="148"/>
      <c r="J158" s="148"/>
      <c r="K158" s="148"/>
      <c r="L158" s="148"/>
      <c r="M158" s="148"/>
      <c r="N158" s="148"/>
      <c r="O158" s="148"/>
      <c r="P158" s="148"/>
      <c r="Q158" s="148"/>
      <c r="R158" s="148"/>
      <c r="S158" s="148"/>
      <c r="T158" s="148"/>
      <c r="U158" s="148"/>
      <c r="V158" s="148"/>
      <c r="W158" s="148"/>
      <c r="X158" s="148"/>
      <c r="Y158" s="148"/>
      <c r="Z158" s="148"/>
      <c r="AA158" s="148"/>
      <c r="AB158" s="148"/>
      <c r="AC158" s="148"/>
      <c r="AD158" s="148"/>
      <c r="AE158" s="148"/>
    </row>
    <row r="159" spans="2:31">
      <c r="B159" s="148"/>
      <c r="C159" s="148"/>
      <c r="D159" s="148"/>
      <c r="E159" s="148"/>
      <c r="F159" s="148"/>
      <c r="G159" s="148"/>
      <c r="H159" s="148"/>
      <c r="I159" s="148"/>
      <c r="J159" s="148"/>
      <c r="K159" s="148"/>
      <c r="L159" s="148"/>
      <c r="M159" s="148"/>
      <c r="N159" s="148"/>
      <c r="O159" s="148"/>
      <c r="P159" s="148"/>
      <c r="Q159" s="148"/>
      <c r="R159" s="148"/>
      <c r="S159" s="148"/>
      <c r="T159" s="148"/>
      <c r="U159" s="148"/>
      <c r="V159" s="148"/>
      <c r="W159" s="148"/>
      <c r="X159" s="148"/>
      <c r="Y159" s="148"/>
      <c r="Z159" s="148"/>
      <c r="AA159" s="148"/>
      <c r="AB159" s="148"/>
      <c r="AC159" s="148"/>
      <c r="AD159" s="148"/>
      <c r="AE159" s="148"/>
    </row>
    <row r="160" spans="2:31">
      <c r="B160" s="148"/>
      <c r="C160" s="148"/>
      <c r="D160" s="148"/>
      <c r="E160" s="148"/>
      <c r="F160" s="148"/>
      <c r="G160" s="148"/>
      <c r="H160" s="148"/>
      <c r="I160" s="148"/>
      <c r="J160" s="148"/>
      <c r="K160" s="148"/>
      <c r="L160" s="148"/>
      <c r="M160" s="148"/>
      <c r="N160" s="148"/>
      <c r="O160" s="148"/>
      <c r="P160" s="148"/>
      <c r="Q160" s="148"/>
      <c r="R160" s="148"/>
      <c r="S160" s="148"/>
      <c r="T160" s="148"/>
      <c r="U160" s="148"/>
      <c r="V160" s="148"/>
      <c r="W160" s="148"/>
      <c r="X160" s="148"/>
      <c r="Y160" s="148"/>
      <c r="Z160" s="148"/>
      <c r="AA160" s="148"/>
      <c r="AB160" s="148"/>
      <c r="AC160" s="148"/>
      <c r="AD160" s="148"/>
      <c r="AE160" s="148"/>
    </row>
    <row r="161" spans="2:31">
      <c r="B161" s="148"/>
      <c r="C161" s="148"/>
      <c r="D161" s="148"/>
      <c r="E161" s="148"/>
      <c r="F161" s="148"/>
      <c r="G161" s="148"/>
      <c r="H161" s="148"/>
      <c r="I161" s="148"/>
      <c r="J161" s="148"/>
      <c r="K161" s="148"/>
      <c r="L161" s="148"/>
      <c r="M161" s="148"/>
      <c r="N161" s="148"/>
      <c r="O161" s="148"/>
      <c r="P161" s="148"/>
      <c r="Q161" s="148"/>
      <c r="R161" s="148"/>
      <c r="S161" s="148"/>
      <c r="T161" s="148"/>
      <c r="U161" s="148"/>
      <c r="V161" s="148"/>
      <c r="W161" s="148"/>
      <c r="X161" s="148"/>
      <c r="Y161" s="148"/>
      <c r="Z161" s="148"/>
      <c r="AA161" s="148"/>
      <c r="AB161" s="148"/>
      <c r="AC161" s="148"/>
      <c r="AD161" s="148"/>
      <c r="AE161" s="148"/>
    </row>
    <row r="162" spans="2:31">
      <c r="B162" s="148"/>
      <c r="C162" s="148"/>
      <c r="D162" s="148"/>
      <c r="E162" s="148"/>
      <c r="F162" s="148"/>
      <c r="G162" s="148"/>
      <c r="H162" s="148"/>
      <c r="I162" s="148"/>
      <c r="J162" s="148"/>
      <c r="K162" s="148"/>
      <c r="L162" s="148"/>
      <c r="M162" s="148"/>
      <c r="N162" s="148"/>
      <c r="O162" s="148"/>
      <c r="P162" s="148"/>
      <c r="Q162" s="148"/>
      <c r="R162" s="148"/>
      <c r="S162" s="148"/>
      <c r="T162" s="148"/>
      <c r="U162" s="148"/>
      <c r="V162" s="148"/>
      <c r="W162" s="148"/>
      <c r="X162" s="148"/>
      <c r="Y162" s="148"/>
      <c r="Z162" s="148"/>
      <c r="AA162" s="148"/>
      <c r="AB162" s="148"/>
      <c r="AC162" s="148"/>
      <c r="AD162" s="148"/>
      <c r="AE162" s="148"/>
    </row>
    <row r="163" spans="2:31">
      <c r="B163" s="148"/>
      <c r="C163" s="148"/>
      <c r="D163" s="148"/>
      <c r="E163" s="148"/>
      <c r="F163" s="148"/>
      <c r="G163" s="148"/>
      <c r="H163" s="148"/>
      <c r="I163" s="148"/>
      <c r="J163" s="148"/>
      <c r="K163" s="148"/>
      <c r="L163" s="148"/>
      <c r="M163" s="148"/>
      <c r="N163" s="148"/>
      <c r="O163" s="148"/>
      <c r="P163" s="148"/>
      <c r="Q163" s="148"/>
      <c r="R163" s="148"/>
      <c r="S163" s="148"/>
      <c r="T163" s="148"/>
      <c r="U163" s="148"/>
      <c r="V163" s="148"/>
      <c r="W163" s="148"/>
      <c r="X163" s="148"/>
      <c r="Y163" s="148"/>
      <c r="Z163" s="148"/>
      <c r="AA163" s="148"/>
      <c r="AB163" s="148"/>
      <c r="AC163" s="148"/>
      <c r="AD163" s="148"/>
      <c r="AE163" s="148"/>
    </row>
    <row r="164" spans="2:31">
      <c r="B164" s="148"/>
      <c r="C164" s="148"/>
      <c r="D164" s="148"/>
      <c r="E164" s="148"/>
      <c r="F164" s="148"/>
      <c r="G164" s="148"/>
      <c r="H164" s="148"/>
      <c r="I164" s="148"/>
      <c r="J164" s="148"/>
      <c r="K164" s="148"/>
      <c r="L164" s="148"/>
      <c r="M164" s="148"/>
      <c r="N164" s="148"/>
      <c r="O164" s="148"/>
      <c r="P164" s="148"/>
      <c r="Q164" s="148"/>
      <c r="R164" s="148"/>
      <c r="S164" s="148"/>
      <c r="T164" s="148"/>
      <c r="U164" s="148"/>
      <c r="V164" s="148"/>
      <c r="W164" s="148"/>
      <c r="X164" s="148"/>
      <c r="Y164" s="148"/>
      <c r="Z164" s="148"/>
      <c r="AA164" s="148"/>
      <c r="AB164" s="148"/>
      <c r="AC164" s="148"/>
      <c r="AD164" s="148"/>
      <c r="AE164" s="148"/>
    </row>
    <row r="165" spans="2:31">
      <c r="B165" s="148"/>
      <c r="C165" s="148"/>
      <c r="D165" s="148"/>
      <c r="E165" s="148"/>
      <c r="F165" s="148"/>
      <c r="G165" s="148"/>
      <c r="H165" s="148"/>
      <c r="I165" s="148"/>
      <c r="J165" s="148"/>
      <c r="K165" s="148"/>
      <c r="L165" s="148"/>
      <c r="M165" s="148"/>
      <c r="N165" s="148"/>
      <c r="O165" s="148"/>
      <c r="P165" s="148"/>
      <c r="Q165" s="148"/>
      <c r="R165" s="148"/>
      <c r="S165" s="148"/>
      <c r="T165" s="148"/>
      <c r="U165" s="148"/>
      <c r="V165" s="148"/>
      <c r="W165" s="148"/>
      <c r="X165" s="148"/>
      <c r="Y165" s="148"/>
      <c r="Z165" s="148"/>
      <c r="AA165" s="148"/>
      <c r="AB165" s="148"/>
      <c r="AC165" s="148"/>
      <c r="AD165" s="148"/>
      <c r="AE165" s="148"/>
    </row>
    <row r="166" spans="2:31">
      <c r="B166" s="148"/>
      <c r="C166" s="148"/>
      <c r="D166" s="148"/>
      <c r="E166" s="148"/>
      <c r="F166" s="148"/>
      <c r="G166" s="148"/>
      <c r="H166" s="148"/>
      <c r="I166" s="148"/>
      <c r="J166" s="148"/>
      <c r="K166" s="148"/>
      <c r="L166" s="148"/>
      <c r="M166" s="148"/>
      <c r="N166" s="148"/>
      <c r="O166" s="148"/>
      <c r="P166" s="148"/>
      <c r="Q166" s="148"/>
      <c r="R166" s="148"/>
      <c r="S166" s="148"/>
      <c r="T166" s="148"/>
      <c r="U166" s="148"/>
      <c r="V166" s="148"/>
      <c r="W166" s="148"/>
      <c r="X166" s="148"/>
      <c r="Y166" s="148"/>
      <c r="Z166" s="148"/>
      <c r="AA166" s="148"/>
      <c r="AB166" s="148"/>
      <c r="AC166" s="148"/>
      <c r="AD166" s="148"/>
      <c r="AE166" s="148"/>
    </row>
    <row r="167" spans="2:31">
      <c r="B167" s="148"/>
      <c r="C167" s="148"/>
      <c r="D167" s="148"/>
      <c r="E167" s="148"/>
      <c r="F167" s="148"/>
      <c r="G167" s="148"/>
      <c r="H167" s="148"/>
      <c r="I167" s="148"/>
      <c r="J167" s="148"/>
      <c r="K167" s="148"/>
      <c r="L167" s="148"/>
      <c r="M167" s="148"/>
      <c r="N167" s="148"/>
      <c r="O167" s="148"/>
      <c r="P167" s="148"/>
      <c r="Q167" s="148"/>
      <c r="R167" s="148"/>
      <c r="S167" s="148"/>
      <c r="T167" s="148"/>
      <c r="U167" s="148"/>
      <c r="V167" s="148"/>
      <c r="W167" s="148"/>
      <c r="X167" s="148"/>
      <c r="Y167" s="148"/>
      <c r="Z167" s="148"/>
      <c r="AA167" s="148"/>
      <c r="AB167" s="148"/>
      <c r="AC167" s="148"/>
      <c r="AD167" s="148"/>
      <c r="AE167" s="148"/>
    </row>
    <row r="168" spans="2:31">
      <c r="B168" s="148"/>
      <c r="C168" s="148"/>
      <c r="D168" s="148"/>
      <c r="E168" s="148"/>
      <c r="F168" s="148"/>
      <c r="G168" s="148"/>
      <c r="H168" s="148"/>
      <c r="I168" s="148"/>
      <c r="J168" s="148"/>
      <c r="K168" s="148"/>
      <c r="L168" s="148"/>
      <c r="M168" s="148"/>
      <c r="N168" s="148"/>
      <c r="O168" s="148"/>
      <c r="P168" s="148"/>
      <c r="Q168" s="148"/>
      <c r="R168" s="148"/>
      <c r="S168" s="148"/>
      <c r="T168" s="148"/>
      <c r="U168" s="148"/>
      <c r="V168" s="148"/>
      <c r="W168" s="148"/>
      <c r="X168" s="148"/>
      <c r="Y168" s="148"/>
      <c r="Z168" s="148"/>
      <c r="AA168" s="148"/>
      <c r="AB168" s="148"/>
      <c r="AC168" s="148"/>
      <c r="AD168" s="148"/>
      <c r="AE168" s="148"/>
    </row>
    <row r="169" spans="2:31">
      <c r="B169" s="148"/>
      <c r="C169" s="148"/>
      <c r="D169" s="148"/>
      <c r="E169" s="148"/>
      <c r="F169" s="148"/>
      <c r="G169" s="148"/>
      <c r="H169" s="148"/>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148"/>
      <c r="AE169" s="148"/>
    </row>
    <row r="170" spans="2:31">
      <c r="B170" s="148"/>
      <c r="C170" s="148"/>
      <c r="D170" s="148"/>
      <c r="E170" s="148"/>
      <c r="F170" s="148"/>
      <c r="G170" s="148"/>
      <c r="H170" s="148"/>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148"/>
      <c r="AE170" s="148"/>
    </row>
    <row r="171" spans="2:31">
      <c r="B171" s="148"/>
      <c r="C171" s="148"/>
      <c r="D171" s="148"/>
      <c r="E171" s="148"/>
      <c r="F171" s="148"/>
      <c r="G171" s="148"/>
      <c r="H171" s="148"/>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148"/>
      <c r="AE171" s="148"/>
    </row>
    <row r="172" spans="2:31">
      <c r="B172" s="148"/>
      <c r="C172" s="148"/>
      <c r="D172" s="148"/>
      <c r="E172" s="148"/>
      <c r="F172" s="148"/>
      <c r="G172" s="148"/>
      <c r="H172" s="148"/>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148"/>
      <c r="AE172" s="148"/>
    </row>
    <row r="173" spans="2:31">
      <c r="B173" s="148"/>
      <c r="C173" s="148"/>
      <c r="D173" s="148"/>
      <c r="E173" s="148"/>
      <c r="F173" s="148"/>
      <c r="G173" s="148"/>
      <c r="H173" s="148"/>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148"/>
      <c r="AE173" s="148"/>
    </row>
    <row r="174" spans="2:31">
      <c r="B174" s="148"/>
      <c r="C174" s="148"/>
      <c r="D174" s="148"/>
      <c r="E174" s="148"/>
      <c r="F174" s="148"/>
      <c r="G174" s="148"/>
      <c r="H174" s="148"/>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148"/>
      <c r="AE174" s="148"/>
    </row>
    <row r="175" spans="2:31">
      <c r="B175" s="148"/>
      <c r="C175" s="148"/>
      <c r="D175" s="148"/>
      <c r="E175" s="148"/>
      <c r="F175" s="148"/>
      <c r="G175" s="148"/>
      <c r="H175" s="148"/>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148"/>
      <c r="AE175" s="148"/>
    </row>
    <row r="176" spans="2:31">
      <c r="B176" s="148"/>
      <c r="C176" s="148"/>
      <c r="D176" s="148"/>
      <c r="E176" s="148"/>
      <c r="F176" s="148"/>
      <c r="G176" s="148"/>
      <c r="H176" s="148"/>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148"/>
      <c r="AE176" s="148"/>
    </row>
    <row r="177" spans="2:31">
      <c r="B177" s="148"/>
      <c r="C177" s="148"/>
      <c r="D177" s="148"/>
      <c r="E177" s="148"/>
      <c r="F177" s="148"/>
      <c r="G177" s="148"/>
      <c r="H177" s="148"/>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148"/>
      <c r="AE177" s="148"/>
    </row>
    <row r="178" spans="2:31">
      <c r="B178" s="148"/>
      <c r="C178" s="148"/>
      <c r="D178" s="148"/>
      <c r="E178" s="148"/>
      <c r="F178" s="148"/>
      <c r="G178" s="148"/>
      <c r="H178" s="148"/>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148"/>
      <c r="AE178" s="148"/>
    </row>
    <row r="179" spans="2:31">
      <c r="B179" s="148"/>
      <c r="C179" s="148"/>
      <c r="D179" s="148"/>
      <c r="E179" s="148"/>
      <c r="F179" s="148"/>
      <c r="G179" s="148"/>
      <c r="H179" s="148"/>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148"/>
      <c r="AE179" s="148"/>
    </row>
    <row r="180" spans="2:31">
      <c r="B180" s="148"/>
      <c r="C180" s="148"/>
      <c r="D180" s="148"/>
      <c r="E180" s="148"/>
      <c r="F180" s="148"/>
      <c r="G180" s="148"/>
      <c r="H180" s="148"/>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148"/>
      <c r="AE180" s="148"/>
    </row>
    <row r="181" spans="2:31">
      <c r="B181" s="148"/>
      <c r="C181" s="148"/>
      <c r="D181" s="148"/>
      <c r="E181" s="148"/>
      <c r="F181" s="148"/>
      <c r="G181" s="148"/>
      <c r="H181" s="148"/>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148"/>
      <c r="AE181" s="148"/>
    </row>
    <row r="182" spans="2:31">
      <c r="B182" s="148"/>
      <c r="C182" s="148"/>
      <c r="D182" s="148"/>
      <c r="E182" s="148"/>
      <c r="F182" s="148"/>
      <c r="G182" s="148"/>
      <c r="H182" s="148"/>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148"/>
    </row>
    <row r="183" spans="2:31">
      <c r="B183" s="148"/>
      <c r="C183" s="148"/>
      <c r="D183" s="148"/>
      <c r="E183" s="148"/>
      <c r="F183" s="148"/>
      <c r="G183" s="148"/>
      <c r="H183" s="148"/>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148"/>
    </row>
    <row r="184" spans="2:31">
      <c r="B184" s="148"/>
      <c r="C184" s="148"/>
      <c r="D184" s="148"/>
      <c r="E184" s="148"/>
      <c r="F184" s="148"/>
      <c r="G184" s="148"/>
      <c r="H184" s="148"/>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148"/>
    </row>
    <row r="185" spans="2:31">
      <c r="B185" s="148"/>
      <c r="C185" s="148"/>
      <c r="D185" s="148"/>
      <c r="E185" s="148"/>
      <c r="F185" s="148"/>
      <c r="G185" s="148"/>
      <c r="H185" s="148"/>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148"/>
    </row>
    <row r="186" spans="2:31">
      <c r="B186" s="148"/>
      <c r="C186" s="148"/>
      <c r="D186" s="148"/>
      <c r="E186" s="148"/>
      <c r="F186" s="148"/>
      <c r="G186" s="148"/>
      <c r="H186" s="148"/>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148"/>
    </row>
    <row r="187" spans="2:31">
      <c r="B187" s="148"/>
      <c r="C187" s="148"/>
      <c r="D187" s="148"/>
      <c r="E187" s="148"/>
      <c r="F187" s="148"/>
      <c r="G187" s="148"/>
      <c r="H187" s="148"/>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148"/>
    </row>
    <row r="188" spans="2:31">
      <c r="B188" s="148"/>
      <c r="C188" s="148"/>
      <c r="D188" s="148"/>
      <c r="E188" s="148"/>
      <c r="F188" s="148"/>
      <c r="G188" s="148"/>
      <c r="H188" s="148"/>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row>
    <row r="189" spans="2:31">
      <c r="B189" s="148"/>
      <c r="C189" s="148"/>
      <c r="D189" s="148"/>
      <c r="E189" s="148"/>
      <c r="F189" s="148"/>
      <c r="G189" s="148"/>
      <c r="H189" s="148"/>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row>
    <row r="190" spans="2:31">
      <c r="B190" s="148"/>
      <c r="C190" s="148"/>
      <c r="D190" s="148"/>
      <c r="E190" s="148"/>
      <c r="F190" s="148"/>
      <c r="G190" s="148"/>
      <c r="H190" s="148"/>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row>
    <row r="191" spans="2:31">
      <c r="B191" s="148"/>
      <c r="C191" s="148"/>
      <c r="D191" s="148"/>
      <c r="E191" s="148"/>
      <c r="F191" s="148"/>
      <c r="G191" s="148"/>
      <c r="H191" s="148"/>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row>
    <row r="192" spans="2:31">
      <c r="B192" s="148"/>
      <c r="C192" s="148"/>
      <c r="D192" s="148"/>
      <c r="E192" s="148"/>
      <c r="F192" s="148"/>
      <c r="G192" s="148"/>
      <c r="H192" s="148"/>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row>
    <row r="193" spans="2:31">
      <c r="B193" s="148"/>
      <c r="C193" s="148"/>
      <c r="D193" s="148"/>
      <c r="E193" s="148"/>
      <c r="F193" s="148"/>
      <c r="G193" s="148"/>
      <c r="H193" s="148"/>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row>
    <row r="194" spans="2:31">
      <c r="B194" s="148"/>
      <c r="C194" s="148"/>
      <c r="D194" s="148"/>
      <c r="E194" s="148"/>
      <c r="F194" s="148"/>
      <c r="G194" s="148"/>
      <c r="H194" s="148"/>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row>
    <row r="195" spans="2:31">
      <c r="B195" s="148"/>
      <c r="C195" s="148"/>
      <c r="D195" s="148"/>
      <c r="E195" s="148"/>
      <c r="F195" s="148"/>
      <c r="G195" s="148"/>
      <c r="H195" s="148"/>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row>
    <row r="196" spans="2:31">
      <c r="B196" s="148"/>
      <c r="C196" s="148"/>
      <c r="D196" s="148"/>
      <c r="E196" s="148"/>
      <c r="F196" s="148"/>
      <c r="G196" s="148"/>
      <c r="H196" s="148"/>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row>
    <row r="197" spans="2:31">
      <c r="B197" s="148"/>
      <c r="C197" s="148"/>
      <c r="D197" s="148"/>
      <c r="E197" s="148"/>
      <c r="F197" s="148"/>
      <c r="G197" s="148"/>
      <c r="H197" s="148"/>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row>
    <row r="198" spans="2:31">
      <c r="B198" s="148"/>
      <c r="C198" s="148"/>
      <c r="D198" s="148"/>
      <c r="E198" s="148"/>
      <c r="F198" s="148"/>
      <c r="G198" s="148"/>
      <c r="H198" s="148"/>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row>
    <row r="199" spans="2:31">
      <c r="B199" s="148"/>
      <c r="C199" s="148"/>
      <c r="D199" s="148"/>
      <c r="E199" s="148"/>
      <c r="F199" s="148"/>
      <c r="G199" s="148"/>
      <c r="H199" s="148"/>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row>
    <row r="200" spans="2:31">
      <c r="B200" s="148"/>
      <c r="C200" s="148"/>
      <c r="D200" s="148"/>
      <c r="E200" s="148"/>
      <c r="F200" s="148"/>
      <c r="G200" s="148"/>
      <c r="H200" s="148"/>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row>
    <row r="201" spans="2:31">
      <c r="B201" s="148"/>
      <c r="C201" s="148"/>
      <c r="D201" s="148"/>
      <c r="E201" s="148"/>
      <c r="F201" s="148"/>
      <c r="G201" s="148"/>
      <c r="H201" s="148"/>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row>
    <row r="202" spans="2:31">
      <c r="B202" s="148"/>
      <c r="C202" s="148"/>
      <c r="D202" s="148"/>
      <c r="E202" s="148"/>
      <c r="F202" s="148"/>
      <c r="G202" s="148"/>
      <c r="H202" s="148"/>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row>
    <row r="203" spans="2:31">
      <c r="B203" s="148"/>
      <c r="C203" s="148"/>
      <c r="D203" s="148"/>
      <c r="E203" s="148"/>
      <c r="F203" s="148"/>
      <c r="G203" s="148"/>
      <c r="H203" s="148"/>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row>
    <row r="204" spans="2:31">
      <c r="B204" s="148"/>
      <c r="C204" s="148"/>
      <c r="D204" s="148"/>
      <c r="E204" s="148"/>
      <c r="F204" s="148"/>
      <c r="G204" s="148"/>
      <c r="H204" s="148"/>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row>
    <row r="205" spans="2:31">
      <c r="B205" s="148"/>
      <c r="C205" s="148"/>
      <c r="D205" s="148"/>
      <c r="E205" s="148"/>
      <c r="F205" s="148"/>
      <c r="G205" s="148"/>
      <c r="H205" s="148"/>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row>
    <row r="206" spans="2:31">
      <c r="B206" s="148"/>
      <c r="C206" s="148"/>
      <c r="D206" s="148"/>
      <c r="E206" s="148"/>
      <c r="F206" s="148"/>
      <c r="G206" s="148"/>
      <c r="H206" s="148"/>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row>
    <row r="207" spans="2:31">
      <c r="B207" s="148"/>
      <c r="C207" s="148"/>
      <c r="D207" s="148"/>
      <c r="E207" s="148"/>
      <c r="F207" s="148"/>
      <c r="G207" s="148"/>
      <c r="H207" s="148"/>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row>
    <row r="208" spans="2:31">
      <c r="B208" s="148"/>
      <c r="C208" s="148"/>
      <c r="D208" s="148"/>
      <c r="E208" s="148"/>
      <c r="F208" s="148"/>
      <c r="G208" s="148"/>
      <c r="H208" s="148"/>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row>
    <row r="209" spans="2:31">
      <c r="B209" s="148"/>
      <c r="C209" s="148"/>
      <c r="D209" s="148"/>
      <c r="E209" s="148"/>
      <c r="F209" s="148"/>
      <c r="G209" s="148"/>
      <c r="H209" s="148"/>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row>
    <row r="210" spans="2:31">
      <c r="B210" s="148"/>
      <c r="C210" s="148"/>
      <c r="D210" s="148"/>
      <c r="E210" s="148"/>
      <c r="F210" s="148"/>
      <c r="G210" s="148"/>
      <c r="H210" s="148"/>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row>
    <row r="211" spans="2:31">
      <c r="B211" s="148"/>
      <c r="C211" s="148"/>
      <c r="D211" s="148"/>
      <c r="E211" s="148"/>
      <c r="F211" s="148"/>
      <c r="G211" s="148"/>
      <c r="H211" s="148"/>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row>
    <row r="212" spans="2:31">
      <c r="B212" s="148"/>
      <c r="C212" s="148"/>
      <c r="D212" s="148"/>
      <c r="E212" s="148"/>
      <c r="F212" s="148"/>
      <c r="G212" s="148"/>
      <c r="H212" s="148"/>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row>
    <row r="213" spans="2:31">
      <c r="B213" s="148"/>
      <c r="C213" s="148"/>
      <c r="D213" s="148"/>
      <c r="E213" s="148"/>
      <c r="F213" s="148"/>
      <c r="G213" s="148"/>
      <c r="H213" s="148"/>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row>
    <row r="214" spans="2:31">
      <c r="B214" s="148"/>
      <c r="C214" s="148"/>
      <c r="D214" s="148"/>
      <c r="E214" s="148"/>
      <c r="F214" s="148"/>
      <c r="G214" s="148"/>
      <c r="H214" s="148"/>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row>
    <row r="215" spans="2:31">
      <c r="B215" s="148"/>
      <c r="C215" s="148"/>
      <c r="D215" s="148"/>
      <c r="E215" s="148"/>
      <c r="F215" s="148"/>
      <c r="G215" s="148"/>
      <c r="H215" s="148"/>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row>
    <row r="216" spans="2:31">
      <c r="B216" s="148"/>
      <c r="C216" s="148"/>
      <c r="D216" s="148"/>
      <c r="E216" s="148"/>
      <c r="F216" s="148"/>
      <c r="G216" s="148"/>
      <c r="H216" s="148"/>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row>
    <row r="217" spans="2:31">
      <c r="B217" s="148"/>
      <c r="C217" s="148"/>
      <c r="D217" s="148"/>
      <c r="E217" s="148"/>
      <c r="F217" s="148"/>
      <c r="G217" s="148"/>
      <c r="H217" s="148"/>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row>
    <row r="218" spans="2:31">
      <c r="B218" s="148"/>
      <c r="C218" s="148"/>
      <c r="D218" s="148"/>
      <c r="E218" s="148"/>
      <c r="F218" s="148"/>
      <c r="G218" s="148"/>
      <c r="H218" s="148"/>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row>
    <row r="219" spans="2:31">
      <c r="B219" s="148"/>
      <c r="C219" s="148"/>
      <c r="D219" s="148"/>
      <c r="E219" s="148"/>
      <c r="F219" s="148"/>
      <c r="G219" s="148"/>
      <c r="H219" s="148"/>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row>
    <row r="220" spans="2:31">
      <c r="B220" s="148"/>
      <c r="C220" s="148"/>
      <c r="D220" s="148"/>
      <c r="E220" s="148"/>
      <c r="F220" s="148"/>
      <c r="G220" s="148"/>
      <c r="H220" s="148"/>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row>
    <row r="221" spans="2:31">
      <c r="B221" s="148"/>
      <c r="C221" s="148"/>
      <c r="D221" s="148"/>
      <c r="E221" s="148"/>
      <c r="F221" s="148"/>
      <c r="G221" s="148"/>
      <c r="H221" s="148"/>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row>
    <row r="222" spans="2:31">
      <c r="B222" s="148"/>
      <c r="C222" s="148"/>
      <c r="D222" s="148"/>
      <c r="E222" s="148"/>
      <c r="F222" s="148"/>
      <c r="G222" s="148"/>
      <c r="H222" s="148"/>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row>
    <row r="223" spans="2:31">
      <c r="B223" s="148"/>
      <c r="C223" s="148"/>
      <c r="D223" s="148"/>
      <c r="E223" s="148"/>
      <c r="F223" s="148"/>
      <c r="G223" s="148"/>
      <c r="H223" s="148"/>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row>
    <row r="224" spans="2:31">
      <c r="B224" s="148"/>
      <c r="C224" s="148"/>
      <c r="D224" s="148"/>
      <c r="E224" s="148"/>
      <c r="F224" s="148"/>
      <c r="G224" s="148"/>
      <c r="H224" s="148"/>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row>
    <row r="225" spans="2:31">
      <c r="B225" s="148"/>
      <c r="C225" s="148"/>
      <c r="D225" s="148"/>
      <c r="E225" s="148"/>
      <c r="F225" s="148"/>
      <c r="G225" s="148"/>
      <c r="H225" s="148"/>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row>
    <row r="226" spans="2:31">
      <c r="B226" s="148"/>
      <c r="C226" s="148"/>
      <c r="D226" s="148"/>
      <c r="E226" s="148"/>
      <c r="F226" s="148"/>
      <c r="G226" s="148"/>
      <c r="H226" s="148"/>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row>
    <row r="227" spans="2:31">
      <c r="B227" s="148"/>
      <c r="C227" s="148"/>
      <c r="D227" s="148"/>
      <c r="E227" s="148"/>
      <c r="F227" s="148"/>
      <c r="G227" s="148"/>
      <c r="H227" s="148"/>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row>
    <row r="228" spans="2:31">
      <c r="B228" s="148"/>
      <c r="C228" s="148"/>
      <c r="D228" s="148"/>
      <c r="E228" s="148"/>
      <c r="F228" s="148"/>
      <c r="G228" s="148"/>
      <c r="H228" s="148"/>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row>
    <row r="229" spans="2:31">
      <c r="B229" s="148"/>
      <c r="C229" s="148"/>
      <c r="D229" s="148"/>
      <c r="E229" s="148"/>
      <c r="F229" s="148"/>
      <c r="G229" s="148"/>
      <c r="H229" s="148"/>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row>
    <row r="230" spans="2:31">
      <c r="B230" s="148"/>
      <c r="C230" s="148"/>
      <c r="D230" s="148"/>
      <c r="E230" s="148"/>
      <c r="F230" s="148"/>
      <c r="G230" s="148"/>
      <c r="H230" s="148"/>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row>
    <row r="231" spans="2:31">
      <c r="B231" s="148"/>
      <c r="C231" s="148"/>
      <c r="D231" s="148"/>
      <c r="E231" s="148"/>
      <c r="F231" s="148"/>
      <c r="G231" s="148"/>
      <c r="H231" s="148"/>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row>
    <row r="232" spans="2:31">
      <c r="B232" s="148"/>
      <c r="C232" s="148"/>
      <c r="D232" s="148"/>
      <c r="E232" s="148"/>
      <c r="F232" s="148"/>
      <c r="G232" s="148"/>
      <c r="H232" s="148"/>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row>
    <row r="233" spans="2:31">
      <c r="B233" s="148"/>
      <c r="C233" s="148"/>
      <c r="D233" s="148"/>
      <c r="E233" s="148"/>
      <c r="F233" s="148"/>
      <c r="G233" s="148"/>
      <c r="H233" s="148"/>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row>
    <row r="234" spans="2:31">
      <c r="B234" s="148"/>
      <c r="C234" s="148"/>
      <c r="D234" s="148"/>
      <c r="E234" s="148"/>
      <c r="F234" s="148"/>
      <c r="G234" s="148"/>
      <c r="H234" s="148"/>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row>
    <row r="235" spans="2:31">
      <c r="B235" s="148"/>
      <c r="C235" s="148"/>
      <c r="D235" s="148"/>
      <c r="E235" s="148"/>
      <c r="F235" s="148"/>
      <c r="G235" s="148"/>
      <c r="H235" s="148"/>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row>
    <row r="236" spans="2:31">
      <c r="B236" s="148"/>
      <c r="C236" s="148"/>
      <c r="D236" s="148"/>
      <c r="E236" s="148"/>
      <c r="F236" s="148"/>
      <c r="G236" s="148"/>
      <c r="H236" s="148"/>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row>
    <row r="237" spans="2:31">
      <c r="B237" s="148"/>
      <c r="C237" s="148"/>
      <c r="D237" s="148"/>
      <c r="E237" s="148"/>
      <c r="F237" s="148"/>
      <c r="G237" s="148"/>
      <c r="H237" s="148"/>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row>
    <row r="238" spans="2:31">
      <c r="B238" s="148"/>
      <c r="C238" s="148"/>
      <c r="D238" s="148"/>
      <c r="E238" s="148"/>
      <c r="F238" s="148"/>
      <c r="G238" s="148"/>
      <c r="H238" s="148"/>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row>
    <row r="239" spans="2:31">
      <c r="B239" s="148"/>
      <c r="C239" s="148"/>
      <c r="D239" s="148"/>
      <c r="E239" s="148"/>
      <c r="F239" s="148"/>
      <c r="G239" s="148"/>
      <c r="H239" s="148"/>
      <c r="I239" s="148"/>
      <c r="J239" s="148"/>
      <c r="K239" s="148"/>
      <c r="L239" s="148"/>
      <c r="M239" s="148"/>
      <c r="N239" s="148"/>
      <c r="O239" s="148"/>
      <c r="P239" s="148"/>
      <c r="Q239" s="148"/>
      <c r="R239" s="148"/>
      <c r="S239" s="148"/>
      <c r="T239" s="148"/>
      <c r="U239" s="148"/>
      <c r="V239" s="148"/>
      <c r="W239" s="148"/>
      <c r="X239" s="148"/>
      <c r="Y239" s="148"/>
      <c r="Z239" s="148"/>
      <c r="AA239" s="148"/>
      <c r="AB239" s="148"/>
      <c r="AC239" s="148"/>
      <c r="AD239" s="148"/>
      <c r="AE239" s="148"/>
    </row>
    <row r="240" spans="2:31">
      <c r="B240" s="148"/>
      <c r="C240" s="148"/>
      <c r="D240" s="148"/>
      <c r="E240" s="148"/>
      <c r="F240" s="148"/>
      <c r="G240" s="148"/>
      <c r="H240" s="148"/>
      <c r="I240" s="148"/>
      <c r="J240" s="148"/>
      <c r="K240" s="148"/>
      <c r="L240" s="148"/>
      <c r="M240" s="148"/>
      <c r="N240" s="148"/>
      <c r="O240" s="148"/>
      <c r="P240" s="148"/>
      <c r="Q240" s="148"/>
      <c r="R240" s="148"/>
      <c r="S240" s="148"/>
      <c r="T240" s="148"/>
      <c r="U240" s="148"/>
      <c r="V240" s="148"/>
      <c r="W240" s="148"/>
      <c r="X240" s="148"/>
      <c r="Y240" s="148"/>
      <c r="Z240" s="148"/>
      <c r="AA240" s="148"/>
      <c r="AB240" s="148"/>
      <c r="AC240" s="148"/>
      <c r="AD240" s="148"/>
      <c r="AE240" s="148"/>
    </row>
    <row r="241" spans="2:31">
      <c r="B241" s="148"/>
      <c r="C241" s="148"/>
      <c r="D241" s="148"/>
      <c r="E241" s="148"/>
      <c r="F241" s="148"/>
      <c r="G241" s="148"/>
      <c r="H241" s="148"/>
      <c r="I241" s="148"/>
      <c r="J241" s="148"/>
      <c r="K241" s="148"/>
      <c r="L241" s="148"/>
      <c r="M241" s="148"/>
      <c r="N241" s="148"/>
      <c r="O241" s="148"/>
      <c r="P241" s="148"/>
      <c r="Q241" s="148"/>
      <c r="R241" s="148"/>
      <c r="S241" s="148"/>
      <c r="T241" s="148"/>
      <c r="U241" s="148"/>
      <c r="V241" s="148"/>
      <c r="W241" s="148"/>
      <c r="X241" s="148"/>
      <c r="Y241" s="148"/>
      <c r="Z241" s="148"/>
      <c r="AA241" s="148"/>
      <c r="AB241" s="148"/>
      <c r="AC241" s="148"/>
      <c r="AD241" s="148"/>
      <c r="AE241" s="148"/>
    </row>
    <row r="242" spans="2:31">
      <c r="B242" s="148"/>
      <c r="C242" s="148"/>
      <c r="D242" s="148"/>
      <c r="E242" s="148"/>
      <c r="F242" s="148"/>
      <c r="G242" s="148"/>
      <c r="H242" s="148"/>
      <c r="I242" s="148"/>
      <c r="J242" s="148"/>
      <c r="K242" s="148"/>
      <c r="L242" s="148"/>
      <c r="M242" s="148"/>
      <c r="N242" s="148"/>
      <c r="O242" s="148"/>
      <c r="P242" s="148"/>
      <c r="Q242" s="148"/>
      <c r="R242" s="148"/>
      <c r="S242" s="148"/>
      <c r="T242" s="148"/>
      <c r="U242" s="148"/>
      <c r="V242" s="148"/>
      <c r="W242" s="148"/>
      <c r="X242" s="148"/>
      <c r="Y242" s="148"/>
      <c r="Z242" s="148"/>
      <c r="AA242" s="148"/>
      <c r="AB242" s="148"/>
      <c r="AC242" s="148"/>
      <c r="AD242" s="148"/>
      <c r="AE242" s="148"/>
    </row>
    <row r="243" spans="2:31">
      <c r="B243" s="148"/>
      <c r="C243" s="148"/>
      <c r="D243" s="148"/>
      <c r="E243" s="148"/>
      <c r="F243" s="148"/>
      <c r="G243" s="148"/>
      <c r="H243" s="148"/>
      <c r="I243" s="148"/>
      <c r="J243" s="148"/>
      <c r="K243" s="148"/>
      <c r="L243" s="148"/>
      <c r="M243" s="148"/>
      <c r="N243" s="148"/>
      <c r="O243" s="148"/>
      <c r="P243" s="148"/>
      <c r="Q243" s="148"/>
      <c r="R243" s="148"/>
      <c r="S243" s="148"/>
      <c r="T243" s="148"/>
      <c r="U243" s="148"/>
      <c r="V243" s="148"/>
      <c r="W243" s="148"/>
      <c r="X243" s="148"/>
      <c r="Y243" s="148"/>
      <c r="Z243" s="148"/>
      <c r="AA243" s="148"/>
      <c r="AB243" s="148"/>
      <c r="AC243" s="148"/>
      <c r="AD243" s="148"/>
      <c r="AE243" s="148"/>
    </row>
    <row r="244" spans="2:31">
      <c r="B244" s="148"/>
      <c r="C244" s="148"/>
      <c r="D244" s="148"/>
      <c r="E244" s="148"/>
      <c r="F244" s="148"/>
      <c r="G244" s="148"/>
      <c r="H244" s="148"/>
      <c r="I244" s="148"/>
      <c r="J244" s="148"/>
      <c r="K244" s="148"/>
      <c r="L244" s="148"/>
      <c r="M244" s="148"/>
      <c r="N244" s="148"/>
      <c r="O244" s="148"/>
      <c r="P244" s="148"/>
      <c r="Q244" s="148"/>
      <c r="R244" s="148"/>
      <c r="S244" s="148"/>
      <c r="T244" s="148"/>
      <c r="U244" s="148"/>
      <c r="V244" s="148"/>
      <c r="W244" s="148"/>
      <c r="X244" s="148"/>
      <c r="Y244" s="148"/>
      <c r="Z244" s="148"/>
      <c r="AA244" s="148"/>
      <c r="AB244" s="148"/>
      <c r="AC244" s="148"/>
      <c r="AD244" s="148"/>
      <c r="AE244" s="148"/>
    </row>
    <row r="245" spans="2:31">
      <c r="B245" s="148"/>
      <c r="C245" s="148"/>
      <c r="D245" s="148"/>
      <c r="E245" s="148"/>
      <c r="F245" s="148"/>
      <c r="G245" s="148"/>
      <c r="H245" s="148"/>
      <c r="I245" s="148"/>
      <c r="J245" s="148"/>
      <c r="K245" s="148"/>
      <c r="L245" s="148"/>
      <c r="M245" s="148"/>
      <c r="N245" s="148"/>
      <c r="O245" s="148"/>
      <c r="P245" s="148"/>
      <c r="Q245" s="148"/>
      <c r="R245" s="148"/>
      <c r="S245" s="148"/>
      <c r="T245" s="148"/>
      <c r="U245" s="148"/>
      <c r="V245" s="148"/>
      <c r="W245" s="148"/>
      <c r="X245" s="148"/>
      <c r="Y245" s="148"/>
      <c r="Z245" s="148"/>
      <c r="AA245" s="148"/>
      <c r="AB245" s="148"/>
      <c r="AC245" s="148"/>
      <c r="AD245" s="148"/>
      <c r="AE245" s="148"/>
    </row>
    <row r="246" spans="2:31">
      <c r="B246" s="148"/>
      <c r="C246" s="148"/>
      <c r="D246" s="148"/>
      <c r="E246" s="148"/>
      <c r="F246" s="148"/>
      <c r="G246" s="148"/>
      <c r="H246" s="148"/>
      <c r="I246" s="148"/>
      <c r="J246" s="148"/>
      <c r="K246" s="148"/>
      <c r="L246" s="148"/>
      <c r="M246" s="148"/>
      <c r="N246" s="148"/>
      <c r="O246" s="148"/>
      <c r="P246" s="148"/>
      <c r="Q246" s="148"/>
      <c r="R246" s="148"/>
      <c r="S246" s="148"/>
      <c r="T246" s="148"/>
      <c r="U246" s="148"/>
      <c r="V246" s="148"/>
      <c r="W246" s="148"/>
      <c r="X246" s="148"/>
      <c r="Y246" s="148"/>
      <c r="Z246" s="148"/>
      <c r="AA246" s="148"/>
      <c r="AB246" s="148"/>
      <c r="AC246" s="148"/>
      <c r="AD246" s="148"/>
      <c r="AE246" s="148"/>
    </row>
    <row r="247" spans="2:31">
      <c r="B247" s="148"/>
      <c r="C247" s="148"/>
      <c r="D247" s="148"/>
      <c r="E247" s="148"/>
      <c r="F247" s="148"/>
      <c r="G247" s="148"/>
      <c r="H247" s="148"/>
      <c r="I247" s="148"/>
      <c r="J247" s="148"/>
      <c r="K247" s="148"/>
      <c r="L247" s="148"/>
      <c r="M247" s="148"/>
      <c r="N247" s="148"/>
      <c r="O247" s="148"/>
      <c r="P247" s="148"/>
      <c r="Q247" s="148"/>
      <c r="R247" s="148"/>
      <c r="S247" s="148"/>
      <c r="T247" s="148"/>
      <c r="U247" s="148"/>
      <c r="V247" s="148"/>
      <c r="W247" s="148"/>
      <c r="X247" s="148"/>
      <c r="Y247" s="148"/>
      <c r="Z247" s="148"/>
      <c r="AA247" s="148"/>
      <c r="AB247" s="148"/>
      <c r="AC247" s="148"/>
      <c r="AD247" s="148"/>
      <c r="AE247" s="148"/>
    </row>
    <row r="248" spans="2:31">
      <c r="B248" s="148"/>
      <c r="C248" s="148"/>
      <c r="D248" s="148"/>
      <c r="E248" s="148"/>
      <c r="F248" s="148"/>
      <c r="G248" s="148"/>
      <c r="H248" s="148"/>
      <c r="I248" s="148"/>
      <c r="J248" s="148"/>
      <c r="K248" s="148"/>
      <c r="L248" s="148"/>
      <c r="M248" s="148"/>
      <c r="N248" s="148"/>
      <c r="O248" s="148"/>
      <c r="P248" s="148"/>
      <c r="Q248" s="148"/>
      <c r="R248" s="148"/>
      <c r="S248" s="148"/>
      <c r="T248" s="148"/>
      <c r="U248" s="148"/>
      <c r="V248" s="148"/>
      <c r="W248" s="148"/>
      <c r="X248" s="148"/>
      <c r="Y248" s="148"/>
      <c r="Z248" s="148"/>
      <c r="AA248" s="148"/>
      <c r="AB248" s="148"/>
      <c r="AC248" s="148"/>
      <c r="AD248" s="148"/>
      <c r="AE248" s="148"/>
    </row>
    <row r="249" spans="2:31">
      <c r="B249" s="148"/>
      <c r="C249" s="148"/>
      <c r="D249" s="148"/>
      <c r="E249" s="148"/>
      <c r="F249" s="148"/>
      <c r="G249" s="148"/>
      <c r="H249" s="148"/>
      <c r="I249" s="148"/>
      <c r="J249" s="148"/>
      <c r="K249" s="148"/>
      <c r="L249" s="148"/>
      <c r="M249" s="148"/>
      <c r="N249" s="148"/>
      <c r="O249" s="148"/>
      <c r="P249" s="148"/>
      <c r="Q249" s="148"/>
      <c r="R249" s="148"/>
      <c r="S249" s="148"/>
      <c r="T249" s="148"/>
      <c r="U249" s="148"/>
      <c r="V249" s="148"/>
      <c r="W249" s="148"/>
      <c r="X249" s="148"/>
      <c r="Y249" s="148"/>
      <c r="Z249" s="148"/>
      <c r="AA249" s="148"/>
      <c r="AB249" s="148"/>
      <c r="AC249" s="148"/>
      <c r="AD249" s="148"/>
      <c r="AE249" s="148"/>
    </row>
    <row r="250" spans="2:31">
      <c r="B250" s="148"/>
      <c r="C250" s="148"/>
      <c r="D250" s="148"/>
      <c r="E250" s="148"/>
      <c r="F250" s="148"/>
      <c r="G250" s="148"/>
      <c r="H250" s="148"/>
      <c r="I250" s="148"/>
      <c r="J250" s="148"/>
      <c r="K250" s="148"/>
      <c r="L250" s="148"/>
      <c r="M250" s="148"/>
      <c r="N250" s="148"/>
      <c r="O250" s="148"/>
      <c r="P250" s="148"/>
      <c r="Q250" s="148"/>
      <c r="R250" s="148"/>
      <c r="S250" s="148"/>
      <c r="T250" s="148"/>
      <c r="U250" s="148"/>
      <c r="V250" s="148"/>
      <c r="W250" s="148"/>
      <c r="X250" s="148"/>
      <c r="Y250" s="148"/>
      <c r="Z250" s="148"/>
      <c r="AA250" s="148"/>
      <c r="AB250" s="148"/>
      <c r="AC250" s="148"/>
      <c r="AD250" s="148"/>
      <c r="AE250" s="148"/>
    </row>
    <row r="251" spans="2:31">
      <c r="B251" s="148"/>
      <c r="C251" s="148"/>
      <c r="D251" s="148"/>
      <c r="E251" s="148"/>
      <c r="F251" s="148"/>
      <c r="G251" s="148"/>
      <c r="H251" s="148"/>
      <c r="I251" s="148"/>
      <c r="J251" s="148"/>
      <c r="K251" s="148"/>
      <c r="L251" s="148"/>
      <c r="M251" s="148"/>
      <c r="N251" s="148"/>
      <c r="O251" s="148"/>
      <c r="P251" s="148"/>
      <c r="Q251" s="148"/>
      <c r="R251" s="148"/>
      <c r="S251" s="148"/>
      <c r="T251" s="148"/>
      <c r="U251" s="148"/>
      <c r="V251" s="148"/>
      <c r="W251" s="148"/>
      <c r="X251" s="148"/>
      <c r="Y251" s="148"/>
      <c r="Z251" s="148"/>
      <c r="AA251" s="148"/>
      <c r="AB251" s="148"/>
      <c r="AC251" s="148"/>
      <c r="AD251" s="148"/>
      <c r="AE251" s="148"/>
    </row>
    <row r="252" spans="2:31">
      <c r="B252" s="148"/>
      <c r="C252" s="148"/>
      <c r="D252" s="148"/>
      <c r="E252" s="148"/>
      <c r="F252" s="148"/>
      <c r="G252" s="148"/>
      <c r="H252" s="148"/>
      <c r="I252" s="148"/>
      <c r="J252" s="148"/>
      <c r="K252" s="148"/>
      <c r="L252" s="148"/>
      <c r="M252" s="148"/>
      <c r="N252" s="148"/>
      <c r="O252" s="148"/>
      <c r="P252" s="148"/>
      <c r="Q252" s="148"/>
      <c r="R252" s="148"/>
      <c r="S252" s="148"/>
      <c r="T252" s="148"/>
      <c r="U252" s="148"/>
      <c r="V252" s="148"/>
      <c r="W252" s="148"/>
      <c r="X252" s="148"/>
      <c r="Y252" s="148"/>
      <c r="Z252" s="148"/>
      <c r="AA252" s="148"/>
      <c r="AB252" s="148"/>
      <c r="AC252" s="148"/>
      <c r="AD252" s="148"/>
      <c r="AE252" s="148"/>
    </row>
    <row r="253" spans="2:31">
      <c r="B253" s="148"/>
      <c r="C253" s="148"/>
      <c r="D253" s="148"/>
      <c r="E253" s="148"/>
      <c r="F253" s="148"/>
      <c r="G253" s="148"/>
      <c r="H253" s="148"/>
      <c r="I253" s="148"/>
      <c r="J253" s="148"/>
      <c r="K253" s="148"/>
      <c r="L253" s="148"/>
      <c r="M253" s="148"/>
      <c r="N253" s="148"/>
      <c r="O253" s="148"/>
      <c r="P253" s="148"/>
      <c r="Q253" s="148"/>
      <c r="R253" s="148"/>
      <c r="S253" s="148"/>
      <c r="T253" s="148"/>
      <c r="U253" s="148"/>
      <c r="V253" s="148"/>
      <c r="W253" s="148"/>
      <c r="X253" s="148"/>
      <c r="Y253" s="148"/>
      <c r="Z253" s="148"/>
      <c r="AA253" s="148"/>
      <c r="AB253" s="148"/>
      <c r="AC253" s="148"/>
      <c r="AD253" s="148"/>
      <c r="AE253" s="148"/>
    </row>
    <row r="254" spans="2:31">
      <c r="B254" s="148"/>
      <c r="C254" s="148"/>
      <c r="D254" s="148"/>
      <c r="E254" s="148"/>
      <c r="F254" s="148"/>
      <c r="G254" s="148"/>
      <c r="H254" s="148"/>
      <c r="I254" s="148"/>
      <c r="J254" s="148"/>
      <c r="K254" s="148"/>
      <c r="L254" s="148"/>
      <c r="M254" s="148"/>
      <c r="N254" s="148"/>
      <c r="O254" s="148"/>
      <c r="P254" s="148"/>
      <c r="Q254" s="148"/>
      <c r="R254" s="148"/>
      <c r="S254" s="148"/>
      <c r="T254" s="148"/>
      <c r="U254" s="148"/>
      <c r="V254" s="148"/>
      <c r="W254" s="148"/>
      <c r="X254" s="148"/>
      <c r="Y254" s="148"/>
      <c r="Z254" s="148"/>
      <c r="AA254" s="148"/>
      <c r="AB254" s="148"/>
      <c r="AC254" s="148"/>
      <c r="AD254" s="148"/>
      <c r="AE254" s="148"/>
    </row>
    <row r="255" spans="2:31">
      <c r="B255" s="148"/>
      <c r="C255" s="148"/>
      <c r="D255" s="148"/>
      <c r="E255" s="148"/>
      <c r="F255" s="148"/>
      <c r="G255" s="148"/>
      <c r="H255" s="148"/>
      <c r="I255" s="148"/>
      <c r="J255" s="148"/>
      <c r="K255" s="148"/>
      <c r="L255" s="148"/>
      <c r="M255" s="148"/>
      <c r="N255" s="148"/>
      <c r="O255" s="148"/>
      <c r="P255" s="148"/>
      <c r="Q255" s="148"/>
      <c r="R255" s="148"/>
      <c r="S255" s="148"/>
      <c r="T255" s="148"/>
      <c r="U255" s="148"/>
      <c r="V255" s="148"/>
      <c r="W255" s="148"/>
      <c r="X255" s="148"/>
      <c r="Y255" s="148"/>
      <c r="Z255" s="148"/>
      <c r="AA255" s="148"/>
      <c r="AB255" s="148"/>
      <c r="AC255" s="148"/>
      <c r="AD255" s="148"/>
      <c r="AE255" s="148"/>
    </row>
    <row r="256" spans="2:31">
      <c r="B256" s="148"/>
      <c r="C256" s="148"/>
      <c r="D256" s="148"/>
      <c r="E256" s="148"/>
      <c r="F256" s="148"/>
      <c r="G256" s="148"/>
      <c r="H256" s="148"/>
      <c r="I256" s="148"/>
      <c r="J256" s="148"/>
      <c r="K256" s="148"/>
      <c r="L256" s="148"/>
      <c r="M256" s="148"/>
      <c r="N256" s="148"/>
      <c r="O256" s="148"/>
      <c r="P256" s="148"/>
      <c r="Q256" s="148"/>
      <c r="R256" s="148"/>
      <c r="S256" s="148"/>
      <c r="T256" s="148"/>
      <c r="U256" s="148"/>
      <c r="V256" s="148"/>
      <c r="W256" s="148"/>
      <c r="X256" s="148"/>
      <c r="Y256" s="148"/>
      <c r="Z256" s="148"/>
      <c r="AA256" s="148"/>
      <c r="AB256" s="148"/>
      <c r="AC256" s="148"/>
      <c r="AD256" s="148"/>
      <c r="AE256" s="148"/>
    </row>
    <row r="257" spans="2:31">
      <c r="B257" s="148"/>
      <c r="C257" s="148"/>
      <c r="D257" s="148"/>
      <c r="E257" s="148"/>
      <c r="F257" s="148"/>
      <c r="G257" s="148"/>
      <c r="H257" s="148"/>
      <c r="I257" s="148"/>
      <c r="J257" s="148"/>
      <c r="K257" s="148"/>
      <c r="L257" s="148"/>
      <c r="M257" s="148"/>
      <c r="N257" s="148"/>
      <c r="O257" s="148"/>
      <c r="P257" s="148"/>
      <c r="Q257" s="148"/>
      <c r="R257" s="148"/>
      <c r="S257" s="148"/>
      <c r="T257" s="148"/>
      <c r="U257" s="148"/>
      <c r="V257" s="148"/>
      <c r="W257" s="148"/>
      <c r="X257" s="148"/>
      <c r="Y257" s="148"/>
      <c r="Z257" s="148"/>
      <c r="AA257" s="148"/>
      <c r="AB257" s="148"/>
      <c r="AC257" s="148"/>
      <c r="AD257" s="148"/>
      <c r="AE257" s="148"/>
    </row>
    <row r="258" spans="2:31">
      <c r="B258" s="148"/>
      <c r="C258" s="148"/>
      <c r="D258" s="148"/>
      <c r="E258" s="148"/>
      <c r="F258" s="148"/>
      <c r="G258" s="148"/>
      <c r="H258" s="148"/>
      <c r="I258" s="148"/>
      <c r="J258" s="148"/>
      <c r="K258" s="148"/>
      <c r="L258" s="148"/>
      <c r="M258" s="148"/>
      <c r="N258" s="148"/>
      <c r="O258" s="148"/>
      <c r="P258" s="148"/>
      <c r="Q258" s="148"/>
      <c r="R258" s="148"/>
      <c r="S258" s="148"/>
      <c r="T258" s="148"/>
      <c r="U258" s="148"/>
      <c r="V258" s="148"/>
      <c r="W258" s="148"/>
      <c r="X258" s="148"/>
      <c r="Y258" s="148"/>
      <c r="Z258" s="148"/>
      <c r="AA258" s="148"/>
      <c r="AB258" s="148"/>
      <c r="AC258" s="148"/>
      <c r="AD258" s="148"/>
      <c r="AE258" s="148"/>
    </row>
    <row r="259" spans="2:31">
      <c r="B259" s="148"/>
      <c r="C259" s="148"/>
      <c r="D259" s="148"/>
      <c r="E259" s="148"/>
      <c r="F259" s="148"/>
      <c r="G259" s="148"/>
      <c r="H259" s="148"/>
      <c r="I259" s="148"/>
      <c r="J259" s="148"/>
      <c r="K259" s="148"/>
      <c r="L259" s="148"/>
      <c r="M259" s="148"/>
      <c r="N259" s="148"/>
      <c r="O259" s="148"/>
      <c r="P259" s="148"/>
      <c r="Q259" s="148"/>
      <c r="R259" s="148"/>
      <c r="S259" s="148"/>
      <c r="T259" s="148"/>
      <c r="U259" s="148"/>
      <c r="V259" s="148"/>
      <c r="W259" s="148"/>
      <c r="X259" s="148"/>
      <c r="Y259" s="148"/>
      <c r="Z259" s="148"/>
      <c r="AA259" s="148"/>
      <c r="AB259" s="148"/>
      <c r="AC259" s="148"/>
      <c r="AD259" s="148"/>
      <c r="AE259" s="148"/>
    </row>
    <row r="260" spans="2:31">
      <c r="B260" s="148"/>
      <c r="C260" s="148"/>
      <c r="D260" s="148"/>
      <c r="E260" s="148"/>
      <c r="F260" s="148"/>
      <c r="G260" s="148"/>
      <c r="H260" s="148"/>
      <c r="I260" s="148"/>
      <c r="J260" s="148"/>
      <c r="K260" s="148"/>
      <c r="L260" s="148"/>
      <c r="M260" s="148"/>
      <c r="N260" s="148"/>
      <c r="O260" s="148"/>
      <c r="P260" s="148"/>
      <c r="Q260" s="148"/>
      <c r="R260" s="148"/>
      <c r="S260" s="148"/>
      <c r="T260" s="148"/>
      <c r="U260" s="148"/>
      <c r="V260" s="148"/>
      <c r="W260" s="148"/>
      <c r="X260" s="148"/>
      <c r="Y260" s="148"/>
      <c r="Z260" s="148"/>
      <c r="AA260" s="148"/>
      <c r="AB260" s="148"/>
      <c r="AC260" s="148"/>
      <c r="AD260" s="148"/>
      <c r="AE260" s="148"/>
    </row>
    <row r="261" spans="2:31">
      <c r="B261" s="148"/>
      <c r="C261" s="148"/>
      <c r="D261" s="148"/>
      <c r="E261" s="148"/>
      <c r="F261" s="148"/>
      <c r="G261" s="148"/>
      <c r="H261" s="148"/>
      <c r="I261" s="148"/>
      <c r="J261" s="148"/>
      <c r="K261" s="148"/>
      <c r="L261" s="148"/>
      <c r="M261" s="148"/>
      <c r="N261" s="148"/>
      <c r="O261" s="148"/>
      <c r="P261" s="148"/>
      <c r="Q261" s="148"/>
      <c r="R261" s="148"/>
      <c r="S261" s="148"/>
      <c r="T261" s="148"/>
      <c r="U261" s="148"/>
      <c r="V261" s="148"/>
      <c r="W261" s="148"/>
      <c r="X261" s="148"/>
      <c r="Y261" s="148"/>
      <c r="Z261" s="148"/>
      <c r="AA261" s="148"/>
      <c r="AB261" s="148"/>
      <c r="AC261" s="148"/>
      <c r="AD261" s="148"/>
      <c r="AE261" s="148"/>
    </row>
    <row r="262" spans="2:31">
      <c r="B262" s="148"/>
      <c r="C262" s="148"/>
      <c r="D262" s="148"/>
      <c r="E262" s="148"/>
      <c r="F262" s="148"/>
      <c r="G262" s="148"/>
      <c r="H262" s="148"/>
      <c r="I262" s="148"/>
      <c r="J262" s="148"/>
      <c r="K262" s="148"/>
      <c r="L262" s="148"/>
      <c r="M262" s="148"/>
      <c r="N262" s="148"/>
      <c r="O262" s="148"/>
      <c r="P262" s="148"/>
      <c r="Q262" s="148"/>
      <c r="R262" s="148"/>
      <c r="S262" s="148"/>
      <c r="T262" s="148"/>
      <c r="U262" s="148"/>
      <c r="V262" s="148"/>
      <c r="W262" s="148"/>
      <c r="X262" s="148"/>
      <c r="Y262" s="148"/>
      <c r="Z262" s="148"/>
      <c r="AA262" s="148"/>
      <c r="AB262" s="148"/>
      <c r="AC262" s="148"/>
      <c r="AD262" s="148"/>
      <c r="AE262" s="148"/>
    </row>
    <row r="263" spans="2:31">
      <c r="B263" s="148"/>
      <c r="C263" s="148"/>
      <c r="D263" s="148"/>
      <c r="E263" s="148"/>
      <c r="F263" s="148"/>
      <c r="G263" s="148"/>
      <c r="H263" s="148"/>
      <c r="I263" s="148"/>
      <c r="J263" s="148"/>
      <c r="K263" s="148"/>
      <c r="L263" s="148"/>
      <c r="M263" s="148"/>
      <c r="N263" s="148"/>
      <c r="O263" s="148"/>
      <c r="P263" s="148"/>
      <c r="Q263" s="148"/>
      <c r="R263" s="148"/>
      <c r="S263" s="148"/>
      <c r="T263" s="148"/>
      <c r="U263" s="148"/>
      <c r="V263" s="148"/>
      <c r="W263" s="148"/>
      <c r="X263" s="148"/>
      <c r="Y263" s="148"/>
      <c r="Z263" s="148"/>
      <c r="AA263" s="148"/>
      <c r="AB263" s="148"/>
      <c r="AC263" s="148"/>
      <c r="AD263" s="148"/>
      <c r="AE263" s="148"/>
    </row>
    <row r="264" spans="2:31">
      <c r="B264" s="148"/>
      <c r="C264" s="148"/>
      <c r="D264" s="148"/>
      <c r="E264" s="148"/>
      <c r="F264" s="148"/>
      <c r="G264" s="148"/>
      <c r="H264" s="148"/>
      <c r="I264" s="148"/>
      <c r="J264" s="148"/>
      <c r="K264" s="148"/>
      <c r="L264" s="148"/>
      <c r="M264" s="148"/>
      <c r="N264" s="148"/>
      <c r="O264" s="148"/>
      <c r="P264" s="148"/>
      <c r="Q264" s="148"/>
      <c r="R264" s="148"/>
      <c r="S264" s="148"/>
      <c r="T264" s="148"/>
      <c r="U264" s="148"/>
      <c r="V264" s="148"/>
      <c r="W264" s="148"/>
      <c r="X264" s="148"/>
      <c r="Y264" s="148"/>
      <c r="Z264" s="148"/>
      <c r="AA264" s="148"/>
      <c r="AB264" s="148"/>
      <c r="AC264" s="148"/>
      <c r="AD264" s="148"/>
      <c r="AE264" s="148"/>
    </row>
    <row r="265" spans="2:31">
      <c r="B265" s="148"/>
      <c r="C265" s="148"/>
      <c r="D265" s="148"/>
      <c r="E265" s="148"/>
      <c r="F265" s="148"/>
      <c r="G265" s="148"/>
      <c r="H265" s="148"/>
      <c r="I265" s="148"/>
      <c r="J265" s="148"/>
      <c r="K265" s="148"/>
      <c r="L265" s="148"/>
      <c r="M265" s="148"/>
      <c r="N265" s="148"/>
      <c r="O265" s="148"/>
      <c r="P265" s="148"/>
      <c r="Q265" s="148"/>
      <c r="R265" s="148"/>
      <c r="S265" s="148"/>
      <c r="T265" s="148"/>
      <c r="U265" s="148"/>
      <c r="V265" s="148"/>
      <c r="W265" s="148"/>
      <c r="X265" s="148"/>
      <c r="Y265" s="148"/>
      <c r="Z265" s="148"/>
      <c r="AA265" s="148"/>
      <c r="AB265" s="148"/>
      <c r="AC265" s="148"/>
      <c r="AD265" s="148"/>
      <c r="AE265" s="148"/>
    </row>
    <row r="266" spans="2:31">
      <c r="B266" s="148"/>
      <c r="C266" s="148"/>
      <c r="D266" s="148"/>
      <c r="E266" s="148"/>
      <c r="F266" s="148"/>
      <c r="G266" s="148"/>
      <c r="H266" s="148"/>
      <c r="I266" s="148"/>
      <c r="J266" s="148"/>
      <c r="K266" s="148"/>
      <c r="L266" s="148"/>
      <c r="M266" s="148"/>
      <c r="N266" s="148"/>
      <c r="O266" s="148"/>
      <c r="P266" s="148"/>
      <c r="Q266" s="148"/>
      <c r="R266" s="148"/>
      <c r="S266" s="148"/>
      <c r="T266" s="148"/>
      <c r="U266" s="148"/>
      <c r="V266" s="148"/>
      <c r="W266" s="148"/>
      <c r="X266" s="148"/>
      <c r="Y266" s="148"/>
      <c r="Z266" s="148"/>
      <c r="AA266" s="148"/>
      <c r="AB266" s="148"/>
      <c r="AC266" s="148"/>
      <c r="AD266" s="148"/>
      <c r="AE266" s="148"/>
    </row>
    <row r="267" spans="2:31">
      <c r="B267" s="148"/>
      <c r="C267" s="148"/>
      <c r="D267" s="148"/>
      <c r="E267" s="148"/>
      <c r="F267" s="148"/>
      <c r="G267" s="148"/>
      <c r="H267" s="148"/>
      <c r="I267" s="148"/>
      <c r="J267" s="148"/>
      <c r="K267" s="148"/>
      <c r="L267" s="148"/>
      <c r="M267" s="148"/>
      <c r="N267" s="148"/>
      <c r="O267" s="148"/>
      <c r="P267" s="148"/>
      <c r="Q267" s="148"/>
      <c r="R267" s="148"/>
      <c r="S267" s="148"/>
      <c r="T267" s="148"/>
      <c r="U267" s="148"/>
      <c r="V267" s="148"/>
      <c r="W267" s="148"/>
      <c r="X267" s="148"/>
      <c r="Y267" s="148"/>
      <c r="Z267" s="148"/>
      <c r="AA267" s="148"/>
      <c r="AB267" s="148"/>
      <c r="AC267" s="148"/>
      <c r="AD267" s="148"/>
      <c r="AE267" s="148"/>
    </row>
    <row r="268" spans="2:31">
      <c r="B268" s="148"/>
      <c r="C268" s="148"/>
      <c r="D268" s="148"/>
      <c r="E268" s="148"/>
      <c r="F268" s="148"/>
      <c r="G268" s="148"/>
      <c r="H268" s="148"/>
      <c r="I268" s="148"/>
      <c r="J268" s="148"/>
      <c r="K268" s="148"/>
      <c r="L268" s="148"/>
      <c r="M268" s="148"/>
      <c r="N268" s="148"/>
      <c r="O268" s="148"/>
      <c r="P268" s="148"/>
      <c r="Q268" s="148"/>
      <c r="R268" s="148"/>
      <c r="S268" s="148"/>
      <c r="T268" s="148"/>
      <c r="U268" s="148"/>
      <c r="V268" s="148"/>
      <c r="W268" s="148"/>
      <c r="X268" s="148"/>
      <c r="Y268" s="148"/>
      <c r="Z268" s="148"/>
      <c r="AA268" s="148"/>
      <c r="AB268" s="148"/>
      <c r="AC268" s="148"/>
      <c r="AD268" s="148"/>
      <c r="AE268" s="148"/>
    </row>
    <row r="269" spans="2:31">
      <c r="B269" s="148"/>
      <c r="C269" s="148"/>
      <c r="D269" s="148"/>
      <c r="E269" s="148"/>
      <c r="F269" s="148"/>
      <c r="G269" s="148"/>
      <c r="H269" s="148"/>
      <c r="I269" s="148"/>
      <c r="J269" s="148"/>
      <c r="K269" s="148"/>
      <c r="L269" s="148"/>
      <c r="M269" s="148"/>
      <c r="N269" s="148"/>
      <c r="O269" s="148"/>
      <c r="P269" s="148"/>
      <c r="Q269" s="148"/>
      <c r="R269" s="148"/>
      <c r="S269" s="148"/>
      <c r="T269" s="148"/>
      <c r="U269" s="148"/>
      <c r="V269" s="148"/>
      <c r="W269" s="148"/>
      <c r="X269" s="148"/>
      <c r="Y269" s="148"/>
      <c r="Z269" s="148"/>
      <c r="AA269" s="148"/>
      <c r="AB269" s="148"/>
      <c r="AC269" s="148"/>
      <c r="AD269" s="148"/>
      <c r="AE269" s="148"/>
    </row>
    <row r="270" spans="2:31">
      <c r="B270" s="148"/>
      <c r="C270" s="148"/>
      <c r="D270" s="148"/>
      <c r="E270" s="148"/>
      <c r="F270" s="148"/>
      <c r="G270" s="148"/>
      <c r="H270" s="148"/>
      <c r="I270" s="148"/>
      <c r="J270" s="148"/>
      <c r="K270" s="148"/>
      <c r="L270" s="148"/>
      <c r="M270" s="148"/>
      <c r="N270" s="148"/>
      <c r="O270" s="148"/>
      <c r="P270" s="148"/>
      <c r="Q270" s="148"/>
      <c r="R270" s="148"/>
      <c r="S270" s="148"/>
      <c r="T270" s="148"/>
      <c r="U270" s="148"/>
      <c r="V270" s="148"/>
      <c r="W270" s="148"/>
      <c r="X270" s="148"/>
      <c r="Y270" s="148"/>
      <c r="Z270" s="148"/>
      <c r="AA270" s="148"/>
      <c r="AB270" s="148"/>
      <c r="AC270" s="148"/>
      <c r="AD270" s="148"/>
      <c r="AE270" s="148"/>
    </row>
    <row r="271" spans="2:31">
      <c r="B271" s="148"/>
      <c r="C271" s="148"/>
      <c r="D271" s="148"/>
      <c r="E271" s="148"/>
      <c r="F271" s="148"/>
      <c r="G271" s="148"/>
      <c r="H271" s="148"/>
      <c r="I271" s="148"/>
      <c r="J271" s="148"/>
      <c r="K271" s="148"/>
      <c r="L271" s="148"/>
      <c r="M271" s="148"/>
      <c r="N271" s="148"/>
      <c r="O271" s="148"/>
      <c r="P271" s="148"/>
      <c r="Q271" s="148"/>
      <c r="R271" s="148"/>
      <c r="S271" s="148"/>
      <c r="T271" s="148"/>
      <c r="U271" s="148"/>
      <c r="V271" s="148"/>
      <c r="W271" s="148"/>
      <c r="X271" s="148"/>
      <c r="Y271" s="148"/>
      <c r="Z271" s="148"/>
      <c r="AA271" s="148"/>
      <c r="AB271" s="148"/>
      <c r="AC271" s="148"/>
      <c r="AD271" s="148"/>
      <c r="AE271" s="148"/>
    </row>
    <row r="272" spans="2:31">
      <c r="B272" s="148"/>
      <c r="C272" s="148"/>
      <c r="D272" s="148"/>
      <c r="E272" s="148"/>
      <c r="F272" s="148"/>
      <c r="G272" s="148"/>
      <c r="H272" s="148"/>
      <c r="I272" s="148"/>
      <c r="J272" s="148"/>
      <c r="K272" s="148"/>
      <c r="L272" s="148"/>
      <c r="M272" s="148"/>
      <c r="N272" s="148"/>
      <c r="O272" s="148"/>
      <c r="P272" s="148"/>
      <c r="Q272" s="148"/>
      <c r="R272" s="148"/>
      <c r="S272" s="148"/>
      <c r="T272" s="148"/>
      <c r="U272" s="148"/>
      <c r="V272" s="148"/>
      <c r="W272" s="148"/>
      <c r="X272" s="148"/>
      <c r="Y272" s="148"/>
      <c r="Z272" s="148"/>
      <c r="AA272" s="148"/>
      <c r="AB272" s="148"/>
      <c r="AC272" s="148"/>
      <c r="AD272" s="148"/>
      <c r="AE272" s="148"/>
    </row>
    <row r="273" spans="2:31">
      <c r="B273" s="148"/>
      <c r="C273" s="148"/>
      <c r="D273" s="148"/>
      <c r="E273" s="148"/>
      <c r="F273" s="148"/>
      <c r="G273" s="148"/>
      <c r="H273" s="148"/>
      <c r="I273" s="148"/>
      <c r="J273" s="148"/>
      <c r="K273" s="148"/>
      <c r="L273" s="148"/>
      <c r="M273" s="148"/>
      <c r="N273" s="148"/>
      <c r="O273" s="148"/>
      <c r="P273" s="148"/>
      <c r="Q273" s="148"/>
      <c r="R273" s="148"/>
      <c r="S273" s="148"/>
      <c r="T273" s="148"/>
      <c r="U273" s="148"/>
      <c r="V273" s="148"/>
      <c r="W273" s="148"/>
      <c r="X273" s="148"/>
      <c r="Y273" s="148"/>
      <c r="Z273" s="148"/>
      <c r="AA273" s="148"/>
      <c r="AB273" s="148"/>
      <c r="AC273" s="148"/>
      <c r="AD273" s="148"/>
      <c r="AE273" s="148"/>
    </row>
    <row r="274" spans="2:31">
      <c r="B274" s="148"/>
      <c r="C274" s="148"/>
      <c r="D274" s="148"/>
      <c r="E274" s="148"/>
      <c r="F274" s="148"/>
      <c r="G274" s="148"/>
      <c r="H274" s="148"/>
      <c r="I274" s="148"/>
      <c r="J274" s="148"/>
      <c r="K274" s="148"/>
      <c r="L274" s="148"/>
      <c r="M274" s="148"/>
      <c r="N274" s="148"/>
      <c r="O274" s="148"/>
      <c r="P274" s="148"/>
      <c r="Q274" s="148"/>
      <c r="R274" s="148"/>
      <c r="S274" s="148"/>
      <c r="T274" s="148"/>
      <c r="U274" s="148"/>
      <c r="V274" s="148"/>
      <c r="W274" s="148"/>
      <c r="X274" s="148"/>
      <c r="Y274" s="148"/>
      <c r="Z274" s="148"/>
      <c r="AA274" s="148"/>
      <c r="AB274" s="148"/>
      <c r="AC274" s="148"/>
      <c r="AD274" s="148"/>
      <c r="AE274" s="148"/>
    </row>
    <row r="275" spans="2:31">
      <c r="B275" s="148"/>
      <c r="C275" s="148"/>
      <c r="D275" s="148"/>
      <c r="E275" s="148"/>
      <c r="F275" s="148"/>
      <c r="G275" s="148"/>
      <c r="H275" s="148"/>
      <c r="I275" s="148"/>
      <c r="J275" s="148"/>
      <c r="K275" s="148"/>
      <c r="L275" s="148"/>
      <c r="M275" s="148"/>
      <c r="N275" s="148"/>
      <c r="O275" s="148"/>
      <c r="P275" s="148"/>
      <c r="Q275" s="148"/>
      <c r="R275" s="148"/>
      <c r="S275" s="148"/>
      <c r="T275" s="148"/>
      <c r="U275" s="148"/>
      <c r="V275" s="148"/>
      <c r="W275" s="148"/>
      <c r="X275" s="148"/>
      <c r="Y275" s="148"/>
      <c r="Z275" s="148"/>
      <c r="AA275" s="148"/>
      <c r="AB275" s="148"/>
      <c r="AC275" s="148"/>
      <c r="AD275" s="148"/>
      <c r="AE275" s="148"/>
    </row>
    <row r="276" spans="2:31">
      <c r="B276" s="148"/>
      <c r="C276" s="148"/>
      <c r="D276" s="148"/>
      <c r="E276" s="148"/>
      <c r="F276" s="148"/>
      <c r="G276" s="148"/>
      <c r="H276" s="148"/>
      <c r="I276" s="148"/>
      <c r="J276" s="148"/>
      <c r="K276" s="148"/>
      <c r="L276" s="148"/>
      <c r="M276" s="148"/>
      <c r="N276" s="148"/>
      <c r="O276" s="148"/>
      <c r="P276" s="148"/>
      <c r="Q276" s="148"/>
      <c r="R276" s="148"/>
      <c r="S276" s="148"/>
      <c r="T276" s="148"/>
      <c r="U276" s="148"/>
      <c r="V276" s="148"/>
      <c r="W276" s="148"/>
      <c r="X276" s="148"/>
      <c r="Y276" s="148"/>
      <c r="Z276" s="148"/>
      <c r="AA276" s="148"/>
      <c r="AB276" s="148"/>
      <c r="AC276" s="148"/>
      <c r="AD276" s="148"/>
      <c r="AE276" s="148"/>
    </row>
    <row r="277" spans="2:31">
      <c r="B277" s="148"/>
      <c r="C277" s="148"/>
      <c r="D277" s="148"/>
      <c r="E277" s="148"/>
      <c r="F277" s="148"/>
      <c r="G277" s="148"/>
      <c r="H277" s="148"/>
      <c r="I277" s="148"/>
      <c r="J277" s="148"/>
      <c r="K277" s="148"/>
      <c r="L277" s="148"/>
      <c r="M277" s="148"/>
      <c r="N277" s="148"/>
      <c r="O277" s="148"/>
      <c r="P277" s="148"/>
      <c r="Q277" s="148"/>
      <c r="R277" s="148"/>
      <c r="S277" s="148"/>
      <c r="T277" s="148"/>
      <c r="U277" s="148"/>
      <c r="V277" s="148"/>
      <c r="W277" s="148"/>
      <c r="X277" s="148"/>
      <c r="Y277" s="148"/>
      <c r="Z277" s="148"/>
      <c r="AA277" s="148"/>
      <c r="AB277" s="148"/>
      <c r="AC277" s="148"/>
      <c r="AD277" s="148"/>
      <c r="AE277" s="148"/>
    </row>
    <row r="278" spans="2:31">
      <c r="B278" s="148"/>
      <c r="C278" s="148"/>
      <c r="D278" s="148"/>
      <c r="E278" s="148"/>
      <c r="F278" s="148"/>
      <c r="G278" s="148"/>
      <c r="H278" s="148"/>
      <c r="I278" s="148"/>
      <c r="J278" s="148"/>
      <c r="K278" s="148"/>
      <c r="L278" s="148"/>
      <c r="M278" s="148"/>
      <c r="N278" s="148"/>
      <c r="O278" s="148"/>
      <c r="P278" s="148"/>
      <c r="Q278" s="148"/>
      <c r="R278" s="148"/>
      <c r="S278" s="148"/>
      <c r="T278" s="148"/>
      <c r="U278" s="148"/>
      <c r="V278" s="148"/>
      <c r="W278" s="148"/>
      <c r="X278" s="148"/>
      <c r="Y278" s="148"/>
      <c r="Z278" s="148"/>
      <c r="AA278" s="148"/>
      <c r="AB278" s="148"/>
      <c r="AC278" s="148"/>
      <c r="AD278" s="148"/>
      <c r="AE278" s="148"/>
    </row>
    <row r="279" spans="2:31">
      <c r="B279" s="148"/>
      <c r="C279" s="148"/>
      <c r="D279" s="148"/>
      <c r="E279" s="148"/>
      <c r="F279" s="148"/>
      <c r="G279" s="148"/>
      <c r="H279" s="148"/>
      <c r="I279" s="148"/>
      <c r="J279" s="148"/>
      <c r="K279" s="148"/>
      <c r="L279" s="148"/>
      <c r="M279" s="148"/>
      <c r="N279" s="148"/>
      <c r="O279" s="148"/>
      <c r="P279" s="148"/>
      <c r="Q279" s="148"/>
      <c r="R279" s="148"/>
      <c r="S279" s="148"/>
      <c r="T279" s="148"/>
      <c r="U279" s="148"/>
      <c r="V279" s="148"/>
      <c r="W279" s="148"/>
      <c r="X279" s="148"/>
      <c r="Y279" s="148"/>
      <c r="Z279" s="148"/>
      <c r="AA279" s="148"/>
      <c r="AB279" s="148"/>
      <c r="AC279" s="148"/>
      <c r="AD279" s="148"/>
      <c r="AE279" s="148"/>
    </row>
    <row r="280" spans="2:31">
      <c r="B280" s="148"/>
      <c r="C280" s="148"/>
      <c r="D280" s="148"/>
      <c r="E280" s="148"/>
      <c r="F280" s="148"/>
      <c r="G280" s="148"/>
      <c r="H280" s="148"/>
      <c r="I280" s="148"/>
      <c r="J280" s="148"/>
      <c r="K280" s="148"/>
      <c r="L280" s="148"/>
      <c r="M280" s="148"/>
      <c r="N280" s="148"/>
      <c r="O280" s="148"/>
      <c r="P280" s="148"/>
      <c r="Q280" s="148"/>
      <c r="R280" s="148"/>
      <c r="S280" s="148"/>
      <c r="T280" s="148"/>
      <c r="U280" s="148"/>
      <c r="V280" s="148"/>
      <c r="W280" s="148"/>
      <c r="X280" s="148"/>
      <c r="Y280" s="148"/>
      <c r="Z280" s="148"/>
      <c r="AA280" s="148"/>
      <c r="AB280" s="148"/>
      <c r="AC280" s="148"/>
      <c r="AD280" s="148"/>
      <c r="AE280" s="148"/>
    </row>
    <row r="281" spans="2:31">
      <c r="B281" s="148"/>
      <c r="C281" s="148"/>
      <c r="D281" s="148"/>
      <c r="E281" s="148"/>
      <c r="F281" s="148"/>
      <c r="G281" s="148"/>
      <c r="H281" s="148"/>
      <c r="I281" s="148"/>
      <c r="J281" s="148"/>
      <c r="K281" s="148"/>
      <c r="L281" s="148"/>
      <c r="M281" s="148"/>
      <c r="N281" s="148"/>
      <c r="O281" s="148"/>
      <c r="P281" s="148"/>
      <c r="Q281" s="148"/>
      <c r="R281" s="148"/>
      <c r="S281" s="148"/>
      <c r="T281" s="148"/>
      <c r="U281" s="148"/>
      <c r="V281" s="148"/>
      <c r="W281" s="148"/>
      <c r="X281" s="148"/>
      <c r="Y281" s="148"/>
      <c r="Z281" s="148"/>
      <c r="AA281" s="148"/>
      <c r="AB281" s="148"/>
      <c r="AC281" s="148"/>
      <c r="AD281" s="148"/>
      <c r="AE281" s="148"/>
    </row>
    <row r="282" spans="2:31">
      <c r="B282" s="148"/>
      <c r="C282" s="148"/>
      <c r="D282" s="148"/>
      <c r="E282" s="148"/>
      <c r="F282" s="148"/>
      <c r="G282" s="148"/>
      <c r="H282" s="148"/>
      <c r="I282" s="148"/>
      <c r="J282" s="148"/>
      <c r="K282" s="148"/>
      <c r="L282" s="148"/>
      <c r="M282" s="148"/>
      <c r="N282" s="148"/>
      <c r="O282" s="148"/>
      <c r="P282" s="148"/>
      <c r="Q282" s="148"/>
      <c r="R282" s="148"/>
      <c r="S282" s="148"/>
      <c r="T282" s="148"/>
      <c r="U282" s="148"/>
      <c r="V282" s="148"/>
      <c r="W282" s="148"/>
      <c r="X282" s="148"/>
      <c r="Y282" s="148"/>
      <c r="Z282" s="148"/>
      <c r="AA282" s="148"/>
      <c r="AB282" s="148"/>
      <c r="AC282" s="148"/>
      <c r="AD282" s="148"/>
      <c r="AE282" s="148"/>
    </row>
    <row r="283" spans="2:31">
      <c r="B283" s="148"/>
      <c r="C283" s="148"/>
      <c r="D283" s="148"/>
      <c r="E283" s="148"/>
      <c r="F283" s="148"/>
      <c r="G283" s="148"/>
      <c r="H283" s="148"/>
      <c r="I283" s="148"/>
      <c r="J283" s="148"/>
      <c r="K283" s="148"/>
      <c r="L283" s="148"/>
      <c r="M283" s="148"/>
      <c r="N283" s="148"/>
      <c r="O283" s="148"/>
      <c r="P283" s="148"/>
      <c r="Q283" s="148"/>
      <c r="R283" s="148"/>
      <c r="S283" s="148"/>
      <c r="T283" s="148"/>
      <c r="U283" s="148"/>
      <c r="V283" s="148"/>
      <c r="W283" s="148"/>
      <c r="X283" s="148"/>
      <c r="Y283" s="148"/>
      <c r="Z283" s="148"/>
      <c r="AA283" s="148"/>
      <c r="AB283" s="148"/>
      <c r="AC283" s="148"/>
      <c r="AD283" s="148"/>
      <c r="AE283" s="148"/>
    </row>
    <row r="284" spans="2:31">
      <c r="B284" s="148"/>
      <c r="C284" s="148"/>
      <c r="D284" s="148"/>
      <c r="E284" s="148"/>
      <c r="F284" s="148"/>
      <c r="G284" s="148"/>
      <c r="H284" s="148"/>
      <c r="I284" s="148"/>
      <c r="J284" s="148"/>
      <c r="K284" s="148"/>
      <c r="L284" s="148"/>
      <c r="M284" s="148"/>
      <c r="N284" s="148"/>
      <c r="O284" s="148"/>
      <c r="P284" s="148"/>
      <c r="Q284" s="148"/>
      <c r="R284" s="148"/>
      <c r="S284" s="148"/>
      <c r="T284" s="148"/>
      <c r="U284" s="148"/>
      <c r="V284" s="148"/>
      <c r="W284" s="148"/>
      <c r="X284" s="148"/>
      <c r="Y284" s="148"/>
      <c r="Z284" s="148"/>
      <c r="AA284" s="148"/>
      <c r="AB284" s="148"/>
      <c r="AC284" s="148"/>
      <c r="AD284" s="148"/>
      <c r="AE284" s="148"/>
    </row>
    <row r="285" spans="2:31">
      <c r="B285" s="148"/>
      <c r="C285" s="148"/>
      <c r="D285" s="148"/>
      <c r="E285" s="148"/>
      <c r="F285" s="148"/>
      <c r="G285" s="148"/>
      <c r="H285" s="148"/>
      <c r="I285" s="148"/>
      <c r="J285" s="148"/>
      <c r="K285" s="148"/>
      <c r="L285" s="148"/>
      <c r="M285" s="148"/>
      <c r="N285" s="148"/>
      <c r="O285" s="148"/>
      <c r="P285" s="148"/>
      <c r="Q285" s="148"/>
      <c r="R285" s="148"/>
      <c r="S285" s="148"/>
      <c r="T285" s="148"/>
      <c r="U285" s="148"/>
      <c r="V285" s="148"/>
      <c r="W285" s="148"/>
      <c r="X285" s="148"/>
      <c r="Y285" s="148"/>
      <c r="Z285" s="148"/>
      <c r="AA285" s="148"/>
      <c r="AB285" s="148"/>
      <c r="AC285" s="148"/>
      <c r="AD285" s="148"/>
      <c r="AE285" s="148"/>
    </row>
    <row r="286" spans="2:31">
      <c r="B286" s="148"/>
      <c r="C286" s="148"/>
      <c r="D286" s="148"/>
      <c r="E286" s="148"/>
      <c r="F286" s="148"/>
      <c r="G286" s="148"/>
      <c r="H286" s="148"/>
      <c r="I286" s="148"/>
      <c r="J286" s="148"/>
      <c r="K286" s="148"/>
      <c r="L286" s="148"/>
      <c r="M286" s="148"/>
      <c r="N286" s="148"/>
      <c r="O286" s="148"/>
      <c r="P286" s="148"/>
      <c r="Q286" s="148"/>
      <c r="R286" s="148"/>
      <c r="S286" s="148"/>
      <c r="T286" s="148"/>
      <c r="U286" s="148"/>
      <c r="V286" s="148"/>
      <c r="W286" s="148"/>
      <c r="X286" s="148"/>
      <c r="Y286" s="148"/>
      <c r="Z286" s="148"/>
      <c r="AA286" s="148"/>
      <c r="AB286" s="148"/>
      <c r="AC286" s="148"/>
      <c r="AD286" s="148"/>
      <c r="AE286" s="148"/>
    </row>
    <row r="287" spans="2:31">
      <c r="B287" s="148"/>
      <c r="C287" s="148"/>
      <c r="D287" s="148"/>
      <c r="E287" s="148"/>
      <c r="F287" s="148"/>
      <c r="G287" s="148"/>
      <c r="H287" s="148"/>
      <c r="I287" s="148"/>
      <c r="J287" s="148"/>
      <c r="K287" s="148"/>
      <c r="L287" s="148"/>
      <c r="M287" s="148"/>
      <c r="N287" s="148"/>
      <c r="O287" s="148"/>
      <c r="P287" s="148"/>
      <c r="Q287" s="148"/>
      <c r="R287" s="148"/>
      <c r="S287" s="148"/>
      <c r="T287" s="148"/>
      <c r="U287" s="148"/>
      <c r="V287" s="148"/>
      <c r="W287" s="148"/>
      <c r="X287" s="148"/>
      <c r="Y287" s="148"/>
      <c r="Z287" s="148"/>
      <c r="AA287" s="148"/>
      <c r="AB287" s="148"/>
      <c r="AC287" s="148"/>
      <c r="AD287" s="148"/>
      <c r="AE287" s="148"/>
    </row>
    <row r="288" spans="2:31">
      <c r="B288" s="148"/>
      <c r="C288" s="148"/>
      <c r="D288" s="148"/>
      <c r="E288" s="148"/>
      <c r="F288" s="148"/>
      <c r="G288" s="148"/>
      <c r="H288" s="148"/>
      <c r="I288" s="148"/>
      <c r="J288" s="148"/>
      <c r="K288" s="148"/>
      <c r="L288" s="148"/>
      <c r="M288" s="148"/>
      <c r="N288" s="148"/>
      <c r="O288" s="148"/>
      <c r="P288" s="148"/>
      <c r="Q288" s="148"/>
      <c r="R288" s="148"/>
      <c r="S288" s="148"/>
      <c r="T288" s="148"/>
      <c r="U288" s="148"/>
      <c r="V288" s="148"/>
      <c r="W288" s="148"/>
      <c r="X288" s="148"/>
      <c r="Y288" s="148"/>
      <c r="Z288" s="148"/>
      <c r="AA288" s="148"/>
      <c r="AB288" s="148"/>
      <c r="AC288" s="148"/>
      <c r="AD288" s="148"/>
      <c r="AE288" s="148"/>
    </row>
    <row r="289" spans="2:31">
      <c r="B289" s="148"/>
      <c r="C289" s="148"/>
      <c r="D289" s="148"/>
      <c r="E289" s="148"/>
      <c r="F289" s="148"/>
      <c r="G289" s="148"/>
      <c r="H289" s="148"/>
      <c r="I289" s="148"/>
      <c r="J289" s="148"/>
      <c r="K289" s="148"/>
      <c r="L289" s="148"/>
      <c r="M289" s="148"/>
      <c r="N289" s="148"/>
      <c r="O289" s="148"/>
      <c r="P289" s="148"/>
      <c r="Q289" s="148"/>
      <c r="R289" s="148"/>
      <c r="S289" s="148"/>
      <c r="T289" s="148"/>
      <c r="U289" s="148"/>
      <c r="V289" s="148"/>
      <c r="W289" s="148"/>
      <c r="X289" s="148"/>
      <c r="Y289" s="148"/>
      <c r="Z289" s="148"/>
      <c r="AA289" s="148"/>
      <c r="AB289" s="148"/>
      <c r="AC289" s="148"/>
      <c r="AD289" s="148"/>
      <c r="AE289" s="148"/>
    </row>
    <row r="290" spans="2:31">
      <c r="B290" s="148"/>
      <c r="C290" s="148"/>
      <c r="D290" s="148"/>
      <c r="E290" s="148"/>
      <c r="F290" s="148"/>
      <c r="G290" s="148"/>
      <c r="H290" s="148"/>
      <c r="I290" s="148"/>
      <c r="J290" s="148"/>
      <c r="K290" s="148"/>
      <c r="L290" s="148"/>
      <c r="M290" s="148"/>
      <c r="N290" s="148"/>
      <c r="O290" s="148"/>
      <c r="P290" s="148"/>
      <c r="Q290" s="148"/>
      <c r="R290" s="148"/>
      <c r="S290" s="148"/>
      <c r="T290" s="148"/>
      <c r="U290" s="148"/>
      <c r="V290" s="148"/>
      <c r="W290" s="148"/>
      <c r="X290" s="148"/>
      <c r="Y290" s="148"/>
      <c r="Z290" s="148"/>
      <c r="AA290" s="148"/>
      <c r="AB290" s="148"/>
      <c r="AC290" s="148"/>
      <c r="AD290" s="148"/>
      <c r="AE290" s="148"/>
    </row>
    <row r="291" spans="2:31">
      <c r="B291" s="148"/>
      <c r="C291" s="148"/>
      <c r="D291" s="148"/>
      <c r="E291" s="148"/>
      <c r="F291" s="148"/>
      <c r="G291" s="148"/>
      <c r="H291" s="148"/>
      <c r="I291" s="148"/>
      <c r="J291" s="148"/>
      <c r="K291" s="148"/>
      <c r="L291" s="148"/>
      <c r="M291" s="148"/>
      <c r="N291" s="148"/>
      <c r="O291" s="148"/>
      <c r="P291" s="148"/>
      <c r="Q291" s="148"/>
      <c r="R291" s="148"/>
      <c r="S291" s="148"/>
      <c r="T291" s="148"/>
      <c r="U291" s="148"/>
      <c r="V291" s="148"/>
      <c r="W291" s="148"/>
      <c r="X291" s="148"/>
      <c r="Y291" s="148"/>
      <c r="Z291" s="148"/>
      <c r="AA291" s="148"/>
      <c r="AB291" s="148"/>
      <c r="AC291" s="148"/>
      <c r="AD291" s="148"/>
      <c r="AE291" s="148"/>
    </row>
    <row r="292" spans="2:31">
      <c r="B292" s="148"/>
      <c r="C292" s="148"/>
      <c r="D292" s="148"/>
      <c r="E292" s="148"/>
      <c r="F292" s="148"/>
      <c r="G292" s="148"/>
      <c r="H292" s="148"/>
      <c r="I292" s="148"/>
      <c r="J292" s="148"/>
      <c r="K292" s="148"/>
      <c r="L292" s="148"/>
      <c r="M292" s="148"/>
      <c r="N292" s="148"/>
      <c r="O292" s="148"/>
      <c r="P292" s="148"/>
      <c r="Q292" s="148"/>
      <c r="R292" s="148"/>
      <c r="S292" s="148"/>
      <c r="T292" s="148"/>
      <c r="U292" s="148"/>
      <c r="V292" s="148"/>
      <c r="W292" s="148"/>
      <c r="X292" s="148"/>
      <c r="Y292" s="148"/>
      <c r="Z292" s="148"/>
      <c r="AA292" s="148"/>
      <c r="AB292" s="148"/>
      <c r="AC292" s="148"/>
      <c r="AD292" s="148"/>
      <c r="AE292" s="148"/>
    </row>
    <row r="293" spans="2:31">
      <c r="B293" s="148"/>
      <c r="C293" s="148"/>
      <c r="D293" s="148"/>
      <c r="E293" s="148"/>
      <c r="F293" s="148"/>
      <c r="G293" s="148"/>
      <c r="H293" s="148"/>
      <c r="I293" s="148"/>
      <c r="J293" s="148"/>
      <c r="K293" s="148"/>
      <c r="L293" s="148"/>
      <c r="M293" s="148"/>
      <c r="N293" s="148"/>
      <c r="O293" s="148"/>
      <c r="P293" s="148"/>
      <c r="Q293" s="148"/>
      <c r="R293" s="148"/>
      <c r="S293" s="148"/>
      <c r="T293" s="148"/>
      <c r="U293" s="148"/>
      <c r="V293" s="148"/>
      <c r="W293" s="148"/>
      <c r="X293" s="148"/>
      <c r="Y293" s="148"/>
      <c r="Z293" s="148"/>
      <c r="AA293" s="148"/>
      <c r="AB293" s="148"/>
      <c r="AC293" s="148"/>
      <c r="AD293" s="148"/>
      <c r="AE293" s="148"/>
    </row>
    <row r="294" spans="2:31">
      <c r="B294" s="148"/>
      <c r="C294" s="148"/>
      <c r="D294" s="148"/>
      <c r="E294" s="148"/>
      <c r="F294" s="148"/>
      <c r="G294" s="148"/>
      <c r="H294" s="148"/>
      <c r="I294" s="148"/>
      <c r="J294" s="148"/>
      <c r="K294" s="148"/>
      <c r="L294" s="148"/>
      <c r="M294" s="148"/>
      <c r="N294" s="148"/>
      <c r="O294" s="148"/>
      <c r="P294" s="148"/>
      <c r="Q294" s="148"/>
      <c r="R294" s="148"/>
      <c r="S294" s="148"/>
      <c r="T294" s="148"/>
      <c r="U294" s="148"/>
      <c r="V294" s="148"/>
      <c r="W294" s="148"/>
      <c r="X294" s="148"/>
      <c r="Y294" s="148"/>
      <c r="Z294" s="148"/>
      <c r="AA294" s="148"/>
      <c r="AB294" s="148"/>
      <c r="AC294" s="148"/>
      <c r="AD294" s="148"/>
      <c r="AE294" s="148"/>
    </row>
    <row r="295" spans="2:31">
      <c r="B295" s="148"/>
      <c r="C295" s="148"/>
      <c r="D295" s="148"/>
      <c r="E295" s="148"/>
      <c r="F295" s="148"/>
      <c r="G295" s="148"/>
      <c r="H295" s="148"/>
      <c r="I295" s="148"/>
      <c r="J295" s="148"/>
      <c r="K295" s="148"/>
      <c r="L295" s="148"/>
      <c r="M295" s="148"/>
      <c r="N295" s="148"/>
      <c r="O295" s="148"/>
      <c r="P295" s="148"/>
      <c r="Q295" s="148"/>
      <c r="R295" s="148"/>
      <c r="S295" s="148"/>
      <c r="T295" s="148"/>
      <c r="U295" s="148"/>
      <c r="V295" s="148"/>
      <c r="W295" s="148"/>
      <c r="X295" s="148"/>
      <c r="Y295" s="148"/>
      <c r="Z295" s="148"/>
      <c r="AA295" s="148"/>
      <c r="AB295" s="148"/>
      <c r="AC295" s="148"/>
      <c r="AD295" s="148"/>
      <c r="AE295" s="148"/>
    </row>
    <row r="296" spans="2:31">
      <c r="B296" s="148"/>
      <c r="C296" s="148"/>
      <c r="D296" s="148"/>
      <c r="E296" s="148"/>
      <c r="F296" s="148"/>
      <c r="G296" s="148"/>
      <c r="H296" s="148"/>
      <c r="I296" s="148"/>
      <c r="J296" s="148"/>
      <c r="K296" s="148"/>
      <c r="L296" s="148"/>
      <c r="M296" s="148"/>
      <c r="N296" s="148"/>
      <c r="O296" s="148"/>
      <c r="P296" s="148"/>
      <c r="Q296" s="148"/>
      <c r="R296" s="148"/>
      <c r="S296" s="148"/>
      <c r="T296" s="148"/>
      <c r="U296" s="148"/>
      <c r="V296" s="148"/>
      <c r="W296" s="148"/>
      <c r="X296" s="148"/>
      <c r="Y296" s="148"/>
      <c r="Z296" s="148"/>
      <c r="AA296" s="148"/>
      <c r="AB296" s="148"/>
      <c r="AC296" s="148"/>
      <c r="AD296" s="148"/>
      <c r="AE296" s="148"/>
    </row>
    <row r="297" spans="2:31">
      <c r="B297" s="148"/>
      <c r="C297" s="148"/>
      <c r="D297" s="148"/>
      <c r="E297" s="148"/>
      <c r="F297" s="148"/>
      <c r="G297" s="148"/>
      <c r="H297" s="148"/>
      <c r="I297" s="148"/>
      <c r="J297" s="148"/>
      <c r="K297" s="148"/>
      <c r="L297" s="148"/>
      <c r="M297" s="148"/>
      <c r="N297" s="148"/>
      <c r="O297" s="148"/>
      <c r="P297" s="148"/>
      <c r="Q297" s="148"/>
      <c r="R297" s="148"/>
      <c r="S297" s="148"/>
      <c r="T297" s="148"/>
      <c r="U297" s="148"/>
      <c r="V297" s="148"/>
      <c r="W297" s="148"/>
      <c r="X297" s="148"/>
      <c r="Y297" s="148"/>
      <c r="Z297" s="148"/>
      <c r="AA297" s="148"/>
      <c r="AB297" s="148"/>
      <c r="AC297" s="148"/>
      <c r="AD297" s="148"/>
      <c r="AE297" s="148"/>
    </row>
    <row r="298" spans="2:31">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row>
    <row r="299" spans="2:31">
      <c r="B299" s="148"/>
      <c r="C299" s="148"/>
      <c r="D299" s="148"/>
      <c r="E299" s="148"/>
      <c r="F299" s="148"/>
      <c r="G299" s="148"/>
      <c r="H299" s="148"/>
      <c r="I299" s="148"/>
      <c r="J299" s="148"/>
      <c r="K299" s="148"/>
      <c r="L299" s="148"/>
      <c r="M299" s="148"/>
      <c r="N299" s="148"/>
      <c r="O299" s="148"/>
      <c r="P299" s="148"/>
      <c r="Q299" s="148"/>
      <c r="R299" s="148"/>
      <c r="S299" s="148"/>
      <c r="T299" s="148"/>
      <c r="U299" s="148"/>
      <c r="V299" s="148"/>
      <c r="W299" s="148"/>
      <c r="X299" s="148"/>
      <c r="Y299" s="148"/>
      <c r="Z299" s="148"/>
      <c r="AA299" s="148"/>
      <c r="AB299" s="148"/>
      <c r="AC299" s="148"/>
      <c r="AD299" s="148"/>
      <c r="AE299" s="148"/>
    </row>
    <row r="300" spans="2:31">
      <c r="B300" s="148"/>
      <c r="C300" s="148"/>
      <c r="D300" s="148"/>
      <c r="E300" s="148"/>
      <c r="F300" s="148"/>
      <c r="G300" s="148"/>
      <c r="H300" s="148"/>
      <c r="I300" s="148"/>
      <c r="J300" s="148"/>
      <c r="K300" s="148"/>
      <c r="L300" s="148"/>
      <c r="M300" s="148"/>
      <c r="N300" s="148"/>
      <c r="O300" s="148"/>
      <c r="P300" s="148"/>
      <c r="Q300" s="148"/>
      <c r="R300" s="148"/>
      <c r="S300" s="148"/>
      <c r="T300" s="148"/>
      <c r="U300" s="148"/>
      <c r="V300" s="148"/>
      <c r="W300" s="148"/>
      <c r="X300" s="148"/>
      <c r="Y300" s="148"/>
      <c r="Z300" s="148"/>
      <c r="AA300" s="148"/>
      <c r="AB300" s="148"/>
      <c r="AC300" s="148"/>
      <c r="AD300" s="148"/>
      <c r="AE300" s="148"/>
    </row>
    <row r="301" spans="2:31">
      <c r="B301" s="148"/>
      <c r="C301" s="148"/>
      <c r="D301" s="148"/>
      <c r="E301" s="148"/>
      <c r="F301" s="148"/>
      <c r="G301" s="148"/>
      <c r="H301" s="148"/>
      <c r="I301" s="148"/>
      <c r="J301" s="148"/>
      <c r="K301" s="148"/>
      <c r="L301" s="148"/>
      <c r="M301" s="148"/>
      <c r="N301" s="148"/>
      <c r="O301" s="148"/>
      <c r="P301" s="148"/>
      <c r="Q301" s="148"/>
      <c r="R301" s="148"/>
      <c r="S301" s="148"/>
      <c r="T301" s="148"/>
      <c r="U301" s="148"/>
      <c r="V301" s="148"/>
      <c r="W301" s="148"/>
      <c r="X301" s="148"/>
      <c r="Y301" s="148"/>
      <c r="Z301" s="148"/>
      <c r="AA301" s="148"/>
      <c r="AB301" s="148"/>
      <c r="AC301" s="148"/>
      <c r="AD301" s="148"/>
      <c r="AE301" s="148"/>
    </row>
    <row r="302" spans="2:31">
      <c r="B302" s="148"/>
      <c r="C302" s="148"/>
      <c r="D302" s="148"/>
      <c r="E302" s="148"/>
      <c r="F302" s="148"/>
      <c r="G302" s="148"/>
      <c r="H302" s="148"/>
      <c r="I302" s="148"/>
      <c r="J302" s="148"/>
      <c r="K302" s="148"/>
      <c r="L302" s="148"/>
      <c r="M302" s="148"/>
      <c r="N302" s="148"/>
      <c r="O302" s="148"/>
      <c r="P302" s="148"/>
      <c r="Q302" s="148"/>
      <c r="R302" s="148"/>
      <c r="S302" s="148"/>
      <c r="T302" s="148"/>
      <c r="U302" s="148"/>
      <c r="V302" s="148"/>
      <c r="W302" s="148"/>
      <c r="X302" s="148"/>
      <c r="Y302" s="148"/>
      <c r="Z302" s="148"/>
      <c r="AA302" s="148"/>
      <c r="AB302" s="148"/>
      <c r="AC302" s="148"/>
      <c r="AD302" s="148"/>
      <c r="AE302" s="148"/>
    </row>
    <row r="303" spans="2:31">
      <c r="B303" s="148"/>
      <c r="C303" s="148"/>
      <c r="D303" s="148"/>
      <c r="E303" s="148"/>
      <c r="F303" s="148"/>
      <c r="G303" s="148"/>
      <c r="H303" s="148"/>
      <c r="I303" s="148"/>
      <c r="J303" s="148"/>
      <c r="K303" s="148"/>
      <c r="L303" s="148"/>
      <c r="M303" s="148"/>
      <c r="N303" s="148"/>
      <c r="O303" s="148"/>
      <c r="P303" s="148"/>
      <c r="Q303" s="148"/>
      <c r="R303" s="148"/>
      <c r="S303" s="148"/>
      <c r="T303" s="148"/>
      <c r="U303" s="148"/>
      <c r="V303" s="148"/>
      <c r="W303" s="148"/>
      <c r="X303" s="148"/>
      <c r="Y303" s="148"/>
      <c r="Z303" s="148"/>
      <c r="AA303" s="148"/>
      <c r="AB303" s="148"/>
      <c r="AC303" s="148"/>
      <c r="AD303" s="148"/>
      <c r="AE303" s="148"/>
    </row>
    <row r="304" spans="2:31">
      <c r="B304" s="148"/>
      <c r="C304" s="148"/>
      <c r="D304" s="148"/>
      <c r="E304" s="148"/>
      <c r="F304" s="148"/>
      <c r="G304" s="148"/>
      <c r="H304" s="148"/>
      <c r="I304" s="148"/>
      <c r="J304" s="148"/>
      <c r="K304" s="148"/>
      <c r="L304" s="148"/>
      <c r="M304" s="148"/>
      <c r="N304" s="148"/>
      <c r="O304" s="148"/>
      <c r="P304" s="148"/>
      <c r="Q304" s="148"/>
      <c r="R304" s="148"/>
      <c r="S304" s="148"/>
      <c r="T304" s="148"/>
      <c r="U304" s="148"/>
      <c r="V304" s="148"/>
      <c r="W304" s="148"/>
      <c r="X304" s="148"/>
      <c r="Y304" s="148"/>
      <c r="Z304" s="148"/>
      <c r="AA304" s="148"/>
      <c r="AB304" s="148"/>
      <c r="AC304" s="148"/>
      <c r="AD304" s="148"/>
      <c r="AE304" s="148"/>
    </row>
    <row r="305" spans="2:31">
      <c r="B305" s="148"/>
      <c r="C305" s="148"/>
      <c r="D305" s="148"/>
      <c r="E305" s="148"/>
      <c r="F305" s="148"/>
      <c r="G305" s="148"/>
      <c r="H305" s="148"/>
      <c r="I305" s="148"/>
      <c r="J305" s="148"/>
      <c r="K305" s="148"/>
      <c r="L305" s="148"/>
      <c r="M305" s="148"/>
      <c r="N305" s="148"/>
      <c r="O305" s="148"/>
      <c r="P305" s="148"/>
      <c r="Q305" s="148"/>
      <c r="R305" s="148"/>
      <c r="S305" s="148"/>
      <c r="T305" s="148"/>
      <c r="U305" s="148"/>
      <c r="V305" s="148"/>
      <c r="W305" s="148"/>
      <c r="X305" s="148"/>
      <c r="Y305" s="148"/>
      <c r="Z305" s="148"/>
      <c r="AA305" s="148"/>
      <c r="AB305" s="148"/>
      <c r="AC305" s="148"/>
      <c r="AD305" s="148"/>
      <c r="AE305" s="148"/>
    </row>
    <row r="306" spans="2:31">
      <c r="B306" s="148"/>
      <c r="C306" s="148"/>
      <c r="D306" s="148"/>
      <c r="E306" s="148"/>
      <c r="F306" s="148"/>
      <c r="G306" s="148"/>
      <c r="H306" s="148"/>
      <c r="I306" s="148"/>
      <c r="J306" s="148"/>
      <c r="K306" s="148"/>
      <c r="L306" s="148"/>
      <c r="M306" s="148"/>
      <c r="N306" s="148"/>
      <c r="O306" s="148"/>
      <c r="P306" s="148"/>
      <c r="Q306" s="148"/>
      <c r="R306" s="148"/>
      <c r="S306" s="148"/>
      <c r="T306" s="148"/>
      <c r="U306" s="148"/>
      <c r="V306" s="148"/>
      <c r="W306" s="148"/>
      <c r="X306" s="148"/>
      <c r="Y306" s="148"/>
      <c r="Z306" s="148"/>
      <c r="AA306" s="148"/>
      <c r="AB306" s="148"/>
      <c r="AC306" s="148"/>
      <c r="AD306" s="148"/>
      <c r="AE306" s="148"/>
    </row>
    <row r="307" spans="2:31">
      <c r="B307" s="148"/>
      <c r="C307" s="148"/>
      <c r="D307" s="148"/>
      <c r="E307" s="148"/>
      <c r="F307" s="148"/>
      <c r="G307" s="148"/>
      <c r="H307" s="148"/>
      <c r="I307" s="148"/>
      <c r="J307" s="148"/>
      <c r="K307" s="148"/>
      <c r="L307" s="148"/>
      <c r="M307" s="148"/>
      <c r="N307" s="148"/>
      <c r="O307" s="148"/>
      <c r="P307" s="148"/>
      <c r="Q307" s="148"/>
      <c r="R307" s="148"/>
      <c r="S307" s="148"/>
      <c r="T307" s="148"/>
      <c r="U307" s="148"/>
      <c r="V307" s="148"/>
      <c r="W307" s="148"/>
      <c r="X307" s="148"/>
      <c r="Y307" s="148"/>
      <c r="Z307" s="148"/>
      <c r="AA307" s="148"/>
      <c r="AB307" s="148"/>
      <c r="AC307" s="148"/>
      <c r="AD307" s="148"/>
      <c r="AE307" s="148"/>
    </row>
    <row r="308" spans="2:31">
      <c r="B308" s="148"/>
      <c r="C308" s="148"/>
      <c r="D308" s="148"/>
      <c r="E308" s="148"/>
      <c r="F308" s="148"/>
      <c r="G308" s="148"/>
      <c r="H308" s="148"/>
      <c r="I308" s="148"/>
      <c r="J308" s="148"/>
      <c r="K308" s="148"/>
      <c r="L308" s="148"/>
      <c r="M308" s="148"/>
      <c r="N308" s="148"/>
      <c r="O308" s="148"/>
      <c r="P308" s="148"/>
      <c r="Q308" s="148"/>
      <c r="R308" s="148"/>
      <c r="S308" s="148"/>
      <c r="T308" s="148"/>
      <c r="U308" s="148"/>
      <c r="V308" s="148"/>
      <c r="W308" s="148"/>
      <c r="X308" s="148"/>
      <c r="Y308" s="148"/>
      <c r="Z308" s="148"/>
      <c r="AA308" s="148"/>
      <c r="AB308" s="148"/>
      <c r="AC308" s="148"/>
      <c r="AD308" s="148"/>
      <c r="AE308" s="148"/>
    </row>
    <row r="309" spans="2:31">
      <c r="B309" s="148"/>
      <c r="C309" s="148"/>
      <c r="D309" s="148"/>
      <c r="E309" s="148"/>
      <c r="F309" s="148"/>
      <c r="G309" s="148"/>
      <c r="H309" s="148"/>
      <c r="I309" s="148"/>
      <c r="J309" s="148"/>
      <c r="K309" s="148"/>
      <c r="L309" s="148"/>
      <c r="M309" s="148"/>
      <c r="N309" s="148"/>
      <c r="O309" s="148"/>
      <c r="P309" s="148"/>
      <c r="Q309" s="148"/>
      <c r="R309" s="148"/>
      <c r="S309" s="148"/>
      <c r="T309" s="148"/>
      <c r="U309" s="148"/>
      <c r="V309" s="148"/>
      <c r="W309" s="148"/>
      <c r="X309" s="148"/>
      <c r="Y309" s="148"/>
      <c r="Z309" s="148"/>
      <c r="AA309" s="148"/>
      <c r="AB309" s="148"/>
      <c r="AC309" s="148"/>
      <c r="AD309" s="148"/>
      <c r="AE309" s="148"/>
    </row>
    <row r="310" spans="2:31">
      <c r="B310" s="148"/>
      <c r="C310" s="148"/>
      <c r="D310" s="148"/>
      <c r="E310" s="148"/>
      <c r="F310" s="148"/>
      <c r="G310" s="148"/>
      <c r="H310" s="148"/>
      <c r="I310" s="148"/>
      <c r="J310" s="148"/>
      <c r="K310" s="148"/>
      <c r="L310" s="148"/>
      <c r="M310" s="148"/>
      <c r="N310" s="148"/>
      <c r="O310" s="148"/>
      <c r="P310" s="148"/>
      <c r="Q310" s="148"/>
      <c r="R310" s="148"/>
      <c r="S310" s="148"/>
      <c r="T310" s="148"/>
      <c r="U310" s="148"/>
      <c r="V310" s="148"/>
      <c r="W310" s="148"/>
      <c r="X310" s="148"/>
      <c r="Y310" s="148"/>
      <c r="Z310" s="148"/>
      <c r="AA310" s="148"/>
      <c r="AB310" s="148"/>
      <c r="AC310" s="148"/>
      <c r="AD310" s="148"/>
      <c r="AE310" s="148"/>
    </row>
    <row r="311" spans="2:31">
      <c r="B311" s="148"/>
      <c r="C311" s="148"/>
      <c r="D311" s="148"/>
      <c r="E311" s="148"/>
      <c r="F311" s="148"/>
      <c r="G311" s="148"/>
      <c r="H311" s="148"/>
      <c r="I311" s="148"/>
      <c r="J311" s="148"/>
      <c r="K311" s="148"/>
      <c r="L311" s="148"/>
      <c r="M311" s="148"/>
      <c r="N311" s="148"/>
      <c r="O311" s="148"/>
      <c r="P311" s="148"/>
      <c r="Q311" s="148"/>
      <c r="R311" s="148"/>
      <c r="S311" s="148"/>
      <c r="T311" s="148"/>
      <c r="U311" s="148"/>
      <c r="V311" s="148"/>
      <c r="W311" s="148"/>
      <c r="X311" s="148"/>
      <c r="Y311" s="148"/>
      <c r="Z311" s="148"/>
      <c r="AA311" s="148"/>
      <c r="AB311" s="148"/>
      <c r="AC311" s="148"/>
      <c r="AD311" s="148"/>
      <c r="AE311" s="148"/>
    </row>
    <row r="312" spans="2:31">
      <c r="B312" s="148"/>
      <c r="C312" s="148"/>
      <c r="D312" s="148"/>
      <c r="E312" s="148"/>
      <c r="F312" s="148"/>
      <c r="G312" s="148"/>
      <c r="H312" s="148"/>
      <c r="I312" s="148"/>
      <c r="J312" s="148"/>
      <c r="K312" s="148"/>
      <c r="L312" s="148"/>
      <c r="M312" s="148"/>
      <c r="N312" s="148"/>
      <c r="O312" s="148"/>
      <c r="P312" s="148"/>
      <c r="Q312" s="148"/>
      <c r="R312" s="148"/>
      <c r="S312" s="148"/>
      <c r="T312" s="148"/>
      <c r="U312" s="148"/>
      <c r="V312" s="148"/>
      <c r="W312" s="148"/>
      <c r="X312" s="148"/>
      <c r="Y312" s="148"/>
      <c r="Z312" s="148"/>
      <c r="AA312" s="148"/>
      <c r="AB312" s="148"/>
      <c r="AC312" s="148"/>
      <c r="AD312" s="148"/>
      <c r="AE312" s="148"/>
    </row>
    <row r="313" spans="2:31">
      <c r="B313" s="148"/>
      <c r="C313" s="148"/>
      <c r="D313" s="148"/>
      <c r="E313" s="148"/>
      <c r="F313" s="148"/>
      <c r="G313" s="148"/>
      <c r="H313" s="148"/>
      <c r="I313" s="148"/>
      <c r="J313" s="148"/>
      <c r="K313" s="148"/>
      <c r="L313" s="148"/>
      <c r="M313" s="148"/>
      <c r="N313" s="148"/>
      <c r="O313" s="148"/>
      <c r="P313" s="148"/>
      <c r="Q313" s="148"/>
      <c r="R313" s="148"/>
      <c r="S313" s="148"/>
      <c r="T313" s="148"/>
      <c r="U313" s="148"/>
      <c r="V313" s="148"/>
      <c r="W313" s="148"/>
      <c r="X313" s="148"/>
      <c r="Y313" s="148"/>
      <c r="Z313" s="148"/>
      <c r="AA313" s="148"/>
      <c r="AB313" s="148"/>
      <c r="AC313" s="148"/>
      <c r="AD313" s="148"/>
      <c r="AE313" s="148"/>
    </row>
    <row r="314" spans="2:31">
      <c r="B314" s="148"/>
      <c r="C314" s="148"/>
      <c r="D314" s="148"/>
      <c r="E314" s="148"/>
      <c r="F314" s="148"/>
      <c r="G314" s="148"/>
      <c r="H314" s="148"/>
      <c r="I314" s="148"/>
      <c r="J314" s="148"/>
      <c r="K314" s="148"/>
      <c r="L314" s="148"/>
      <c r="M314" s="148"/>
      <c r="N314" s="148"/>
      <c r="O314" s="148"/>
      <c r="P314" s="148"/>
      <c r="Q314" s="148"/>
      <c r="R314" s="148"/>
      <c r="S314" s="148"/>
      <c r="T314" s="148"/>
      <c r="U314" s="148"/>
      <c r="V314" s="148"/>
      <c r="W314" s="148"/>
      <c r="X314" s="148"/>
      <c r="Y314" s="148"/>
      <c r="Z314" s="148"/>
      <c r="AA314" s="148"/>
      <c r="AB314" s="148"/>
      <c r="AC314" s="148"/>
      <c r="AD314" s="148"/>
      <c r="AE314" s="148"/>
    </row>
    <row r="315" spans="2:31">
      <c r="B315" s="148"/>
      <c r="C315" s="148"/>
      <c r="D315" s="148"/>
      <c r="E315" s="148"/>
      <c r="F315" s="148"/>
      <c r="G315" s="148"/>
      <c r="H315" s="148"/>
      <c r="I315" s="148"/>
      <c r="J315" s="148"/>
      <c r="K315" s="148"/>
      <c r="L315" s="148"/>
      <c r="M315" s="148"/>
      <c r="N315" s="148"/>
      <c r="O315" s="148"/>
      <c r="P315" s="148"/>
      <c r="Q315" s="148"/>
      <c r="R315" s="148"/>
      <c r="S315" s="148"/>
      <c r="T315" s="148"/>
      <c r="U315" s="148"/>
      <c r="V315" s="148"/>
      <c r="W315" s="148"/>
      <c r="X315" s="148"/>
      <c r="Y315" s="148"/>
      <c r="Z315" s="148"/>
      <c r="AA315" s="148"/>
      <c r="AB315" s="148"/>
      <c r="AC315" s="148"/>
      <c r="AD315" s="148"/>
      <c r="AE315" s="148"/>
    </row>
    <row r="316" spans="2:31">
      <c r="B316" s="148"/>
      <c r="C316" s="148"/>
      <c r="D316" s="148"/>
      <c r="E316" s="148"/>
      <c r="F316" s="148"/>
      <c r="G316" s="148"/>
      <c r="H316" s="148"/>
      <c r="I316" s="148"/>
      <c r="J316" s="148"/>
      <c r="K316" s="148"/>
      <c r="L316" s="148"/>
      <c r="M316" s="148"/>
      <c r="N316" s="148"/>
      <c r="O316" s="148"/>
      <c r="P316" s="148"/>
      <c r="Q316" s="148"/>
      <c r="R316" s="148"/>
      <c r="S316" s="148"/>
      <c r="T316" s="148"/>
      <c r="U316" s="148"/>
      <c r="V316" s="148"/>
      <c r="W316" s="148"/>
      <c r="X316" s="148"/>
      <c r="Y316" s="148"/>
      <c r="Z316" s="148"/>
      <c r="AA316" s="148"/>
      <c r="AB316" s="148"/>
      <c r="AC316" s="148"/>
      <c r="AD316" s="148"/>
      <c r="AE316" s="148"/>
    </row>
    <row r="317" spans="2:31">
      <c r="B317" s="148"/>
      <c r="C317" s="148"/>
      <c r="D317" s="148"/>
      <c r="E317" s="148"/>
      <c r="F317" s="148"/>
      <c r="G317" s="148"/>
      <c r="H317" s="148"/>
      <c r="I317" s="148"/>
      <c r="J317" s="148"/>
      <c r="K317" s="148"/>
      <c r="L317" s="148"/>
      <c r="M317" s="148"/>
      <c r="N317" s="148"/>
      <c r="O317" s="148"/>
      <c r="P317" s="148"/>
      <c r="Q317" s="148"/>
      <c r="R317" s="148"/>
      <c r="S317" s="148"/>
      <c r="T317" s="148"/>
      <c r="U317" s="148"/>
      <c r="V317" s="148"/>
      <c r="W317" s="148"/>
      <c r="X317" s="148"/>
      <c r="Y317" s="148"/>
      <c r="Z317" s="148"/>
      <c r="AA317" s="148"/>
      <c r="AB317" s="148"/>
      <c r="AC317" s="148"/>
      <c r="AD317" s="148"/>
      <c r="AE317" s="148"/>
    </row>
    <row r="318" spans="2:31">
      <c r="B318" s="148"/>
      <c r="C318" s="148"/>
      <c r="D318" s="148"/>
      <c r="E318" s="148"/>
      <c r="F318" s="148"/>
      <c r="G318" s="148"/>
      <c r="H318" s="148"/>
      <c r="I318" s="148"/>
      <c r="J318" s="148"/>
      <c r="K318" s="148"/>
      <c r="L318" s="148"/>
      <c r="M318" s="148"/>
      <c r="N318" s="148"/>
      <c r="O318" s="148"/>
      <c r="P318" s="148"/>
      <c r="Q318" s="148"/>
      <c r="R318" s="148"/>
      <c r="S318" s="148"/>
      <c r="T318" s="148"/>
      <c r="U318" s="148"/>
      <c r="V318" s="148"/>
      <c r="W318" s="148"/>
      <c r="X318" s="148"/>
      <c r="Y318" s="148"/>
      <c r="Z318" s="148"/>
      <c r="AA318" s="148"/>
      <c r="AB318" s="148"/>
      <c r="AC318" s="148"/>
      <c r="AD318" s="148"/>
      <c r="AE318" s="148"/>
    </row>
    <row r="319" spans="2:31">
      <c r="B319" s="148"/>
      <c r="C319" s="148"/>
      <c r="D319" s="148"/>
      <c r="E319" s="148"/>
      <c r="F319" s="148"/>
      <c r="G319" s="148"/>
      <c r="H319" s="148"/>
      <c r="I319" s="148"/>
      <c r="J319" s="148"/>
      <c r="K319" s="148"/>
      <c r="L319" s="148"/>
      <c r="M319" s="148"/>
      <c r="N319" s="148"/>
      <c r="O319" s="148"/>
      <c r="P319" s="148"/>
      <c r="Q319" s="148"/>
      <c r="R319" s="148"/>
      <c r="S319" s="148"/>
      <c r="T319" s="148"/>
      <c r="U319" s="148"/>
      <c r="V319" s="148"/>
      <c r="W319" s="148"/>
      <c r="X319" s="148"/>
      <c r="Y319" s="148"/>
      <c r="Z319" s="148"/>
      <c r="AA319" s="148"/>
      <c r="AB319" s="148"/>
      <c r="AC319" s="148"/>
      <c r="AD319" s="148"/>
      <c r="AE319" s="148"/>
    </row>
    <row r="320" spans="2:31">
      <c r="B320" s="148"/>
      <c r="C320" s="148"/>
      <c r="D320" s="148"/>
      <c r="E320" s="148"/>
      <c r="F320" s="148"/>
      <c r="G320" s="148"/>
      <c r="H320" s="148"/>
      <c r="I320" s="148"/>
      <c r="J320" s="148"/>
      <c r="K320" s="148"/>
      <c r="L320" s="148"/>
      <c r="M320" s="148"/>
      <c r="N320" s="148"/>
      <c r="O320" s="148"/>
      <c r="P320" s="148"/>
      <c r="Q320" s="148"/>
      <c r="R320" s="148"/>
      <c r="S320" s="148"/>
      <c r="T320" s="148"/>
      <c r="U320" s="148"/>
      <c r="V320" s="148"/>
      <c r="W320" s="148"/>
      <c r="X320" s="148"/>
      <c r="Y320" s="148"/>
      <c r="Z320" s="148"/>
      <c r="AA320" s="148"/>
      <c r="AB320" s="148"/>
      <c r="AC320" s="148"/>
      <c r="AD320" s="148"/>
      <c r="AE320" s="148"/>
    </row>
    <row r="321" spans="2:31">
      <c r="B321" s="148"/>
      <c r="C321" s="148"/>
      <c r="D321" s="148"/>
      <c r="E321" s="148"/>
      <c r="F321" s="148"/>
      <c r="G321" s="148"/>
      <c r="H321" s="148"/>
      <c r="I321" s="148"/>
      <c r="J321" s="148"/>
      <c r="K321" s="148"/>
      <c r="L321" s="148"/>
      <c r="M321" s="148"/>
      <c r="N321" s="148"/>
      <c r="O321" s="148"/>
      <c r="P321" s="148"/>
      <c r="Q321" s="148"/>
      <c r="R321" s="148"/>
      <c r="S321" s="148"/>
      <c r="T321" s="148"/>
      <c r="U321" s="148"/>
      <c r="V321" s="148"/>
      <c r="W321" s="148"/>
      <c r="X321" s="148"/>
      <c r="Y321" s="148"/>
      <c r="Z321" s="148"/>
      <c r="AA321" s="148"/>
      <c r="AB321" s="148"/>
      <c r="AC321" s="148"/>
      <c r="AD321" s="148"/>
      <c r="AE321" s="148"/>
    </row>
    <row r="322" spans="2:31">
      <c r="B322" s="148"/>
      <c r="C322" s="148"/>
      <c r="D322" s="148"/>
      <c r="E322" s="148"/>
      <c r="F322" s="148"/>
      <c r="G322" s="148"/>
      <c r="H322" s="148"/>
      <c r="I322" s="148"/>
      <c r="J322" s="148"/>
      <c r="K322" s="148"/>
      <c r="L322" s="148"/>
      <c r="M322" s="148"/>
      <c r="N322" s="148"/>
      <c r="O322" s="148"/>
      <c r="P322" s="148"/>
      <c r="Q322" s="148"/>
      <c r="R322" s="148"/>
      <c r="S322" s="148"/>
      <c r="T322" s="148"/>
      <c r="U322" s="148"/>
      <c r="V322" s="148"/>
      <c r="W322" s="148"/>
      <c r="X322" s="148"/>
      <c r="Y322" s="148"/>
      <c r="Z322" s="148"/>
      <c r="AA322" s="148"/>
      <c r="AB322" s="148"/>
      <c r="AC322" s="148"/>
      <c r="AD322" s="148"/>
      <c r="AE322" s="148"/>
    </row>
    <row r="323" spans="2:31">
      <c r="B323" s="148"/>
      <c r="C323" s="148"/>
      <c r="D323" s="148"/>
      <c r="E323" s="148"/>
      <c r="F323" s="148"/>
      <c r="G323" s="148"/>
      <c r="H323" s="148"/>
      <c r="I323" s="148"/>
      <c r="J323" s="148"/>
      <c r="K323" s="148"/>
      <c r="L323" s="148"/>
      <c r="M323" s="148"/>
      <c r="N323" s="148"/>
      <c r="O323" s="148"/>
      <c r="P323" s="148"/>
      <c r="Q323" s="148"/>
      <c r="R323" s="148"/>
      <c r="S323" s="148"/>
      <c r="T323" s="148"/>
      <c r="U323" s="148"/>
      <c r="V323" s="148"/>
      <c r="W323" s="148"/>
      <c r="X323" s="148"/>
      <c r="Y323" s="148"/>
      <c r="Z323" s="148"/>
      <c r="AA323" s="148"/>
      <c r="AB323" s="148"/>
      <c r="AC323" s="148"/>
      <c r="AD323" s="148"/>
      <c r="AE323" s="148"/>
    </row>
    <row r="324" spans="2:31">
      <c r="B324" s="148"/>
      <c r="C324" s="148"/>
      <c r="D324" s="148"/>
      <c r="E324" s="148"/>
      <c r="F324" s="148"/>
      <c r="G324" s="148"/>
      <c r="H324" s="148"/>
      <c r="I324" s="148"/>
      <c r="J324" s="148"/>
      <c r="K324" s="148"/>
      <c r="L324" s="148"/>
      <c r="M324" s="148"/>
      <c r="N324" s="148"/>
      <c r="O324" s="148"/>
      <c r="P324" s="148"/>
      <c r="Q324" s="148"/>
      <c r="R324" s="148"/>
      <c r="S324" s="148"/>
      <c r="T324" s="148"/>
      <c r="U324" s="148"/>
      <c r="V324" s="148"/>
      <c r="W324" s="148"/>
      <c r="X324" s="148"/>
      <c r="Y324" s="148"/>
      <c r="Z324" s="148"/>
      <c r="AA324" s="148"/>
      <c r="AB324" s="148"/>
      <c r="AC324" s="148"/>
      <c r="AD324" s="148"/>
      <c r="AE324" s="148"/>
    </row>
    <row r="325" spans="2:31">
      <c r="B325" s="148"/>
      <c r="C325" s="148"/>
      <c r="D325" s="148"/>
      <c r="E325" s="148"/>
      <c r="F325" s="148"/>
      <c r="G325" s="148"/>
      <c r="H325" s="148"/>
      <c r="I325" s="148"/>
      <c r="J325" s="148"/>
      <c r="K325" s="148"/>
      <c r="L325" s="148"/>
      <c r="M325" s="148"/>
      <c r="N325" s="148"/>
      <c r="O325" s="148"/>
      <c r="P325" s="148"/>
      <c r="Q325" s="148"/>
      <c r="R325" s="148"/>
      <c r="S325" s="148"/>
      <c r="T325" s="148"/>
      <c r="U325" s="148"/>
      <c r="V325" s="148"/>
      <c r="W325" s="148"/>
      <c r="X325" s="148"/>
      <c r="Y325" s="148"/>
      <c r="Z325" s="148"/>
      <c r="AA325" s="148"/>
      <c r="AB325" s="148"/>
      <c r="AC325" s="148"/>
      <c r="AD325" s="148"/>
      <c r="AE325" s="148"/>
    </row>
    <row r="326" spans="2:31">
      <c r="B326" s="148"/>
      <c r="C326" s="148"/>
      <c r="D326" s="148"/>
      <c r="E326" s="148"/>
      <c r="F326" s="148"/>
      <c r="G326" s="148"/>
      <c r="H326" s="148"/>
      <c r="I326" s="148"/>
      <c r="J326" s="148"/>
      <c r="K326" s="148"/>
      <c r="L326" s="148"/>
      <c r="M326" s="148"/>
      <c r="N326" s="148"/>
      <c r="O326" s="148"/>
      <c r="P326" s="148"/>
      <c r="Q326" s="148"/>
      <c r="R326" s="148"/>
      <c r="S326" s="148"/>
      <c r="T326" s="148"/>
      <c r="U326" s="148"/>
      <c r="V326" s="148"/>
      <c r="W326" s="148"/>
      <c r="X326" s="148"/>
      <c r="Y326" s="148"/>
      <c r="Z326" s="148"/>
      <c r="AA326" s="148"/>
      <c r="AB326" s="148"/>
      <c r="AC326" s="148"/>
      <c r="AD326" s="148"/>
      <c r="AE326" s="148"/>
    </row>
    <row r="327" spans="2:31">
      <c r="B327" s="148"/>
      <c r="C327" s="148"/>
      <c r="D327" s="148"/>
      <c r="E327" s="148"/>
      <c r="F327" s="148"/>
      <c r="G327" s="148"/>
      <c r="H327" s="148"/>
      <c r="I327" s="148"/>
      <c r="J327" s="148"/>
      <c r="K327" s="148"/>
      <c r="L327" s="148"/>
      <c r="M327" s="148"/>
      <c r="N327" s="148"/>
      <c r="O327" s="148"/>
      <c r="P327" s="148"/>
      <c r="Q327" s="148"/>
      <c r="R327" s="148"/>
      <c r="S327" s="148"/>
      <c r="T327" s="148"/>
      <c r="U327" s="148"/>
      <c r="V327" s="148"/>
      <c r="W327" s="148"/>
      <c r="X327" s="148"/>
      <c r="Y327" s="148"/>
      <c r="Z327" s="148"/>
      <c r="AA327" s="148"/>
      <c r="AB327" s="148"/>
      <c r="AC327" s="148"/>
      <c r="AD327" s="148"/>
      <c r="AE327" s="148"/>
    </row>
    <row r="328" spans="2:31">
      <c r="B328" s="148"/>
      <c r="C328" s="148"/>
      <c r="D328" s="148"/>
      <c r="E328" s="148"/>
      <c r="F328" s="148"/>
      <c r="G328" s="148"/>
      <c r="H328" s="148"/>
      <c r="I328" s="148"/>
      <c r="J328" s="148"/>
      <c r="K328" s="148"/>
      <c r="L328" s="148"/>
      <c r="M328" s="148"/>
      <c r="N328" s="148"/>
      <c r="O328" s="148"/>
      <c r="P328" s="148"/>
      <c r="Q328" s="148"/>
      <c r="R328" s="148"/>
      <c r="S328" s="148"/>
      <c r="T328" s="148"/>
      <c r="U328" s="148"/>
      <c r="V328" s="148"/>
      <c r="W328" s="148"/>
      <c r="X328" s="148"/>
      <c r="Y328" s="148"/>
      <c r="Z328" s="148"/>
      <c r="AA328" s="148"/>
      <c r="AB328" s="148"/>
      <c r="AC328" s="148"/>
      <c r="AD328" s="148"/>
      <c r="AE328" s="148"/>
    </row>
    <row r="329" spans="2:31">
      <c r="B329" s="148"/>
      <c r="C329" s="148"/>
      <c r="D329" s="148"/>
      <c r="E329" s="148"/>
      <c r="F329" s="148"/>
      <c r="G329" s="148"/>
      <c r="H329" s="148"/>
      <c r="I329" s="148"/>
      <c r="J329" s="148"/>
      <c r="K329" s="148"/>
      <c r="L329" s="148"/>
      <c r="M329" s="148"/>
      <c r="N329" s="148"/>
      <c r="O329" s="148"/>
      <c r="P329" s="148"/>
      <c r="Q329" s="148"/>
      <c r="R329" s="148"/>
      <c r="S329" s="148"/>
      <c r="T329" s="148"/>
      <c r="U329" s="148"/>
      <c r="V329" s="148"/>
      <c r="W329" s="148"/>
      <c r="X329" s="148"/>
      <c r="Y329" s="148"/>
      <c r="Z329" s="148"/>
      <c r="AA329" s="148"/>
      <c r="AB329" s="148"/>
      <c r="AC329" s="148"/>
      <c r="AD329" s="148"/>
      <c r="AE329" s="148"/>
    </row>
    <row r="330" spans="2:31">
      <c r="B330" s="148"/>
      <c r="C330" s="148"/>
      <c r="D330" s="148"/>
      <c r="E330" s="148"/>
      <c r="F330" s="148"/>
      <c r="G330" s="148"/>
      <c r="H330" s="148"/>
      <c r="I330" s="148"/>
      <c r="J330" s="148"/>
      <c r="K330" s="148"/>
      <c r="L330" s="148"/>
      <c r="M330" s="148"/>
      <c r="N330" s="148"/>
      <c r="O330" s="148"/>
      <c r="P330" s="148"/>
      <c r="Q330" s="148"/>
      <c r="R330" s="148"/>
      <c r="S330" s="148"/>
      <c r="T330" s="148"/>
      <c r="U330" s="148"/>
      <c r="V330" s="148"/>
      <c r="W330" s="148"/>
      <c r="X330" s="148"/>
      <c r="Y330" s="148"/>
      <c r="Z330" s="148"/>
      <c r="AA330" s="148"/>
      <c r="AB330" s="148"/>
      <c r="AC330" s="148"/>
      <c r="AD330" s="148"/>
      <c r="AE330" s="148"/>
    </row>
    <row r="331" spans="2:31">
      <c r="B331" s="148"/>
      <c r="C331" s="148"/>
      <c r="D331" s="148"/>
      <c r="E331" s="148"/>
      <c r="F331" s="148"/>
      <c r="G331" s="148"/>
      <c r="H331" s="148"/>
      <c r="I331" s="148"/>
      <c r="J331" s="148"/>
      <c r="K331" s="148"/>
      <c r="L331" s="148"/>
      <c r="M331" s="148"/>
      <c r="N331" s="148"/>
      <c r="O331" s="148"/>
      <c r="P331" s="148"/>
      <c r="Q331" s="148"/>
      <c r="R331" s="148"/>
      <c r="S331" s="148"/>
      <c r="T331" s="148"/>
      <c r="U331" s="148"/>
      <c r="V331" s="148"/>
      <c r="W331" s="148"/>
      <c r="X331" s="148"/>
      <c r="Y331" s="148"/>
      <c r="Z331" s="148"/>
      <c r="AA331" s="148"/>
      <c r="AB331" s="148"/>
      <c r="AC331" s="148"/>
      <c r="AD331" s="148"/>
      <c r="AE331" s="148"/>
    </row>
    <row r="332" spans="2:31">
      <c r="B332" s="148"/>
      <c r="C332" s="148"/>
      <c r="D332" s="148"/>
      <c r="E332" s="148"/>
      <c r="F332" s="148"/>
      <c r="G332" s="148"/>
      <c r="H332" s="148"/>
      <c r="I332" s="148"/>
      <c r="J332" s="148"/>
      <c r="K332" s="148"/>
      <c r="L332" s="148"/>
      <c r="M332" s="148"/>
      <c r="N332" s="148"/>
      <c r="O332" s="148"/>
      <c r="P332" s="148"/>
      <c r="Q332" s="148"/>
      <c r="R332" s="148"/>
      <c r="S332" s="148"/>
      <c r="T332" s="148"/>
      <c r="U332" s="148"/>
      <c r="V332" s="148"/>
      <c r="W332" s="148"/>
      <c r="X332" s="148"/>
      <c r="Y332" s="148"/>
      <c r="Z332" s="148"/>
      <c r="AA332" s="148"/>
      <c r="AB332" s="148"/>
      <c r="AC332" s="148"/>
      <c r="AD332" s="148"/>
      <c r="AE332" s="148"/>
    </row>
    <row r="333" spans="2:31">
      <c r="B333" s="148"/>
      <c r="C333" s="148"/>
      <c r="D333" s="148"/>
      <c r="E333" s="148"/>
      <c r="F333" s="148"/>
      <c r="G333" s="148"/>
      <c r="H333" s="148"/>
      <c r="I333" s="148"/>
      <c r="J333" s="148"/>
      <c r="K333" s="148"/>
      <c r="L333" s="148"/>
      <c r="M333" s="148"/>
      <c r="N333" s="148"/>
      <c r="O333" s="148"/>
      <c r="P333" s="148"/>
      <c r="Q333" s="148"/>
      <c r="R333" s="148"/>
      <c r="S333" s="148"/>
      <c r="T333" s="148"/>
      <c r="U333" s="148"/>
      <c r="V333" s="148"/>
      <c r="W333" s="148"/>
      <c r="X333" s="148"/>
      <c r="Y333" s="148"/>
      <c r="Z333" s="148"/>
      <c r="AA333" s="148"/>
      <c r="AB333" s="148"/>
      <c r="AC333" s="148"/>
      <c r="AD333" s="148"/>
      <c r="AE333" s="148"/>
    </row>
    <row r="334" spans="2:31">
      <c r="B334" s="148"/>
      <c r="C334" s="148"/>
      <c r="D334" s="148"/>
      <c r="E334" s="148"/>
      <c r="F334" s="148"/>
      <c r="G334" s="148"/>
      <c r="H334" s="148"/>
      <c r="I334" s="148"/>
      <c r="J334" s="148"/>
      <c r="K334" s="148"/>
      <c r="L334" s="148"/>
      <c r="M334" s="148"/>
      <c r="N334" s="148"/>
      <c r="O334" s="148"/>
      <c r="P334" s="148"/>
      <c r="Q334" s="148"/>
      <c r="R334" s="148"/>
      <c r="S334" s="148"/>
      <c r="T334" s="148"/>
      <c r="U334" s="148"/>
      <c r="V334" s="148"/>
      <c r="W334" s="148"/>
      <c r="X334" s="148"/>
      <c r="Y334" s="148"/>
      <c r="Z334" s="148"/>
      <c r="AA334" s="148"/>
      <c r="AB334" s="148"/>
      <c r="AC334" s="148"/>
      <c r="AD334" s="148"/>
      <c r="AE334" s="148"/>
    </row>
    <row r="335" spans="2:31">
      <c r="B335" s="148"/>
      <c r="C335" s="148"/>
      <c r="D335" s="148"/>
      <c r="E335" s="148"/>
      <c r="F335" s="148"/>
      <c r="G335" s="148"/>
      <c r="H335" s="148"/>
      <c r="I335" s="148"/>
      <c r="J335" s="148"/>
      <c r="K335" s="148"/>
      <c r="L335" s="148"/>
      <c r="M335" s="148"/>
      <c r="N335" s="148"/>
      <c r="O335" s="148"/>
      <c r="P335" s="148"/>
      <c r="Q335" s="148"/>
      <c r="R335" s="148"/>
      <c r="S335" s="148"/>
      <c r="T335" s="148"/>
      <c r="U335" s="148"/>
      <c r="V335" s="148"/>
      <c r="W335" s="148"/>
      <c r="X335" s="148"/>
      <c r="Y335" s="148"/>
      <c r="Z335" s="148"/>
      <c r="AA335" s="148"/>
      <c r="AB335" s="148"/>
      <c r="AC335" s="148"/>
      <c r="AD335" s="148"/>
      <c r="AE335" s="148"/>
    </row>
    <row r="336" spans="2:31">
      <c r="B336" s="148"/>
      <c r="C336" s="148"/>
      <c r="D336" s="148"/>
      <c r="E336" s="148"/>
      <c r="F336" s="148"/>
      <c r="G336" s="148"/>
      <c r="H336" s="148"/>
      <c r="I336" s="148"/>
      <c r="J336" s="148"/>
      <c r="K336" s="148"/>
      <c r="L336" s="148"/>
      <c r="M336" s="148"/>
      <c r="N336" s="148"/>
      <c r="O336" s="148"/>
      <c r="P336" s="148"/>
      <c r="Q336" s="148"/>
      <c r="R336" s="148"/>
      <c r="S336" s="148"/>
      <c r="T336" s="148"/>
      <c r="U336" s="148"/>
      <c r="V336" s="148"/>
      <c r="W336" s="148"/>
      <c r="X336" s="148"/>
      <c r="Y336" s="148"/>
      <c r="Z336" s="148"/>
      <c r="AA336" s="148"/>
      <c r="AB336" s="148"/>
      <c r="AC336" s="148"/>
      <c r="AD336" s="148"/>
      <c r="AE336" s="148"/>
    </row>
    <row r="337" spans="2:31">
      <c r="B337" s="148"/>
      <c r="C337" s="148"/>
      <c r="D337" s="148"/>
      <c r="E337" s="148"/>
      <c r="F337" s="148"/>
      <c r="G337" s="148"/>
      <c r="H337" s="148"/>
      <c r="I337" s="148"/>
      <c r="J337" s="148"/>
      <c r="K337" s="148"/>
      <c r="L337" s="148"/>
      <c r="M337" s="148"/>
      <c r="N337" s="148"/>
      <c r="O337" s="148"/>
      <c r="P337" s="148"/>
      <c r="Q337" s="148"/>
      <c r="R337" s="148"/>
      <c r="S337" s="148"/>
      <c r="T337" s="148"/>
      <c r="U337" s="148"/>
      <c r="V337" s="148"/>
      <c r="W337" s="148"/>
      <c r="X337" s="148"/>
      <c r="Y337" s="148"/>
      <c r="Z337" s="148"/>
      <c r="AA337" s="148"/>
      <c r="AB337" s="148"/>
      <c r="AC337" s="148"/>
      <c r="AD337" s="148"/>
      <c r="AE337" s="148"/>
    </row>
    <row r="338" spans="2:31">
      <c r="B338" s="148"/>
      <c r="C338" s="148"/>
      <c r="D338" s="148"/>
      <c r="E338" s="148"/>
      <c r="F338" s="148"/>
      <c r="G338" s="148"/>
      <c r="H338" s="148"/>
      <c r="I338" s="148"/>
      <c r="J338" s="148"/>
      <c r="K338" s="148"/>
      <c r="L338" s="148"/>
      <c r="M338" s="148"/>
      <c r="N338" s="148"/>
      <c r="O338" s="148"/>
      <c r="P338" s="148"/>
      <c r="Q338" s="148"/>
      <c r="R338" s="148"/>
      <c r="S338" s="148"/>
      <c r="T338" s="148"/>
      <c r="U338" s="148"/>
      <c r="V338" s="148"/>
      <c r="W338" s="148"/>
      <c r="X338" s="148"/>
      <c r="Y338" s="148"/>
      <c r="Z338" s="148"/>
      <c r="AA338" s="148"/>
      <c r="AB338" s="148"/>
      <c r="AC338" s="148"/>
      <c r="AD338" s="148"/>
      <c r="AE338" s="148"/>
    </row>
    <row r="339" spans="2:31">
      <c r="B339" s="148"/>
      <c r="C339" s="148"/>
      <c r="D339" s="148"/>
      <c r="E339" s="148"/>
      <c r="F339" s="148"/>
      <c r="G339" s="148"/>
      <c r="H339" s="148"/>
      <c r="I339" s="148"/>
      <c r="J339" s="148"/>
      <c r="K339" s="148"/>
      <c r="L339" s="148"/>
      <c r="M339" s="148"/>
      <c r="N339" s="148"/>
      <c r="O339" s="148"/>
      <c r="P339" s="148"/>
      <c r="Q339" s="148"/>
      <c r="R339" s="148"/>
      <c r="S339" s="148"/>
      <c r="T339" s="148"/>
      <c r="U339" s="148"/>
      <c r="V339" s="148"/>
      <c r="W339" s="148"/>
      <c r="X339" s="148"/>
      <c r="Y339" s="148"/>
      <c r="Z339" s="148"/>
      <c r="AA339" s="148"/>
      <c r="AB339" s="148"/>
      <c r="AC339" s="148"/>
      <c r="AD339" s="148"/>
      <c r="AE339" s="148"/>
    </row>
    <row r="340" spans="2:31">
      <c r="B340" s="148"/>
      <c r="C340" s="148"/>
      <c r="D340" s="148"/>
      <c r="E340" s="148"/>
      <c r="F340" s="148"/>
      <c r="G340" s="148"/>
      <c r="H340" s="148"/>
      <c r="I340" s="148"/>
      <c r="J340" s="148"/>
      <c r="K340" s="148"/>
      <c r="L340" s="148"/>
      <c r="M340" s="148"/>
      <c r="N340" s="148"/>
      <c r="O340" s="148"/>
      <c r="P340" s="148"/>
      <c r="Q340" s="148"/>
      <c r="R340" s="148"/>
      <c r="S340" s="148"/>
      <c r="T340" s="148"/>
      <c r="U340" s="148"/>
      <c r="V340" s="148"/>
      <c r="W340" s="148"/>
      <c r="X340" s="148"/>
      <c r="Y340" s="148"/>
      <c r="Z340" s="148"/>
      <c r="AA340" s="148"/>
      <c r="AB340" s="148"/>
      <c r="AC340" s="148"/>
      <c r="AD340" s="148"/>
      <c r="AE340" s="148"/>
    </row>
    <row r="341" spans="2:31">
      <c r="B341" s="148"/>
      <c r="C341" s="148"/>
      <c r="D341" s="148"/>
      <c r="E341" s="148"/>
      <c r="F341" s="148"/>
      <c r="G341" s="148"/>
      <c r="H341" s="148"/>
      <c r="I341" s="148"/>
      <c r="J341" s="148"/>
      <c r="K341" s="148"/>
      <c r="L341" s="148"/>
      <c r="M341" s="148"/>
      <c r="N341" s="148"/>
      <c r="O341" s="148"/>
      <c r="P341" s="148"/>
      <c r="Q341" s="148"/>
      <c r="R341" s="148"/>
      <c r="S341" s="148"/>
      <c r="T341" s="148"/>
      <c r="U341" s="148"/>
      <c r="V341" s="148"/>
      <c r="W341" s="148"/>
      <c r="X341" s="148"/>
      <c r="Y341" s="148"/>
      <c r="Z341" s="148"/>
      <c r="AA341" s="148"/>
      <c r="AB341" s="148"/>
      <c r="AC341" s="148"/>
      <c r="AD341" s="148"/>
      <c r="AE341" s="148"/>
    </row>
    <row r="342" spans="2:31">
      <c r="B342" s="148"/>
      <c r="C342" s="148"/>
      <c r="D342" s="148"/>
      <c r="E342" s="148"/>
      <c r="F342" s="148"/>
      <c r="G342" s="148"/>
      <c r="H342" s="148"/>
      <c r="I342" s="148"/>
      <c r="J342" s="148"/>
      <c r="K342" s="148"/>
      <c r="L342" s="148"/>
      <c r="M342" s="148"/>
      <c r="N342" s="148"/>
      <c r="O342" s="148"/>
      <c r="P342" s="148"/>
      <c r="Q342" s="148"/>
      <c r="R342" s="148"/>
      <c r="S342" s="148"/>
      <c r="T342" s="148"/>
      <c r="U342" s="148"/>
      <c r="V342" s="148"/>
      <c r="W342" s="148"/>
      <c r="X342" s="148"/>
      <c r="Y342" s="148"/>
      <c r="Z342" s="148"/>
      <c r="AA342" s="148"/>
      <c r="AB342" s="148"/>
      <c r="AC342" s="148"/>
      <c r="AD342" s="148"/>
      <c r="AE342" s="148"/>
    </row>
    <row r="343" spans="2:31">
      <c r="B343" s="148"/>
      <c r="C343" s="148"/>
      <c r="D343" s="148"/>
      <c r="E343" s="148"/>
      <c r="F343" s="148"/>
      <c r="G343" s="148"/>
      <c r="H343" s="148"/>
      <c r="I343" s="148"/>
      <c r="J343" s="148"/>
      <c r="K343" s="148"/>
      <c r="L343" s="148"/>
      <c r="M343" s="148"/>
      <c r="N343" s="148"/>
      <c r="O343" s="148"/>
      <c r="P343" s="148"/>
      <c r="Q343" s="148"/>
      <c r="R343" s="148"/>
      <c r="S343" s="148"/>
      <c r="T343" s="148"/>
      <c r="U343" s="148"/>
      <c r="V343" s="148"/>
      <c r="W343" s="148"/>
      <c r="X343" s="148"/>
      <c r="Y343" s="148"/>
      <c r="Z343" s="148"/>
      <c r="AA343" s="148"/>
      <c r="AB343" s="148"/>
      <c r="AC343" s="148"/>
      <c r="AD343" s="148"/>
      <c r="AE343" s="148"/>
    </row>
    <row r="344" spans="2:31">
      <c r="B344" s="148"/>
      <c r="C344" s="148"/>
      <c r="D344" s="148"/>
      <c r="E344" s="148"/>
      <c r="F344" s="148"/>
      <c r="G344" s="148"/>
      <c r="H344" s="148"/>
      <c r="I344" s="148"/>
      <c r="J344" s="148"/>
      <c r="K344" s="148"/>
      <c r="L344" s="148"/>
      <c r="M344" s="148"/>
      <c r="N344" s="148"/>
      <c r="O344" s="148"/>
      <c r="P344" s="148"/>
      <c r="Q344" s="148"/>
      <c r="R344" s="148"/>
      <c r="S344" s="148"/>
      <c r="T344" s="148"/>
      <c r="U344" s="148"/>
      <c r="V344" s="148"/>
      <c r="W344" s="148"/>
      <c r="X344" s="148"/>
      <c r="Y344" s="148"/>
      <c r="Z344" s="148"/>
      <c r="AA344" s="148"/>
      <c r="AB344" s="148"/>
      <c r="AC344" s="148"/>
      <c r="AD344" s="148"/>
      <c r="AE344" s="148"/>
    </row>
    <row r="345" spans="2:31">
      <c r="B345" s="148"/>
      <c r="C345" s="148"/>
      <c r="D345" s="148"/>
      <c r="E345" s="148"/>
      <c r="F345" s="148"/>
      <c r="G345" s="148"/>
      <c r="H345" s="148"/>
      <c r="I345" s="148"/>
      <c r="J345" s="148"/>
      <c r="K345" s="148"/>
      <c r="L345" s="148"/>
      <c r="M345" s="148"/>
      <c r="N345" s="148"/>
      <c r="O345" s="148"/>
      <c r="P345" s="148"/>
      <c r="Q345" s="148"/>
      <c r="R345" s="148"/>
      <c r="S345" s="148"/>
      <c r="T345" s="148"/>
      <c r="U345" s="148"/>
      <c r="V345" s="148"/>
      <c r="W345" s="148"/>
      <c r="X345" s="148"/>
      <c r="Y345" s="148"/>
      <c r="Z345" s="148"/>
      <c r="AA345" s="148"/>
      <c r="AB345" s="148"/>
      <c r="AC345" s="148"/>
      <c r="AD345" s="148"/>
      <c r="AE345" s="148"/>
    </row>
    <row r="346" spans="2:31">
      <c r="B346" s="148"/>
      <c r="C346" s="148"/>
      <c r="D346" s="148"/>
      <c r="E346" s="148"/>
      <c r="F346" s="148"/>
      <c r="G346" s="148"/>
      <c r="H346" s="148"/>
      <c r="I346" s="148"/>
      <c r="J346" s="148"/>
      <c r="K346" s="148"/>
      <c r="L346" s="148"/>
      <c r="M346" s="148"/>
      <c r="N346" s="148"/>
      <c r="O346" s="148"/>
      <c r="P346" s="148"/>
      <c r="Q346" s="148"/>
      <c r="R346" s="148"/>
      <c r="S346" s="148"/>
      <c r="T346" s="148"/>
      <c r="U346" s="148"/>
      <c r="V346" s="148"/>
      <c r="W346" s="148"/>
      <c r="X346" s="148"/>
      <c r="Y346" s="148"/>
      <c r="Z346" s="148"/>
      <c r="AA346" s="148"/>
      <c r="AB346" s="148"/>
      <c r="AC346" s="148"/>
      <c r="AD346" s="148"/>
      <c r="AE346" s="148"/>
    </row>
    <row r="347" spans="2:31">
      <c r="B347" s="148"/>
      <c r="C347" s="148"/>
      <c r="D347" s="148"/>
      <c r="E347" s="148"/>
      <c r="F347" s="148"/>
      <c r="G347" s="148"/>
      <c r="H347" s="148"/>
      <c r="I347" s="148"/>
      <c r="J347" s="148"/>
      <c r="K347" s="148"/>
      <c r="L347" s="148"/>
      <c r="M347" s="148"/>
      <c r="N347" s="148"/>
      <c r="O347" s="148"/>
      <c r="P347" s="148"/>
      <c r="Q347" s="148"/>
      <c r="R347" s="148"/>
      <c r="S347" s="148"/>
      <c r="T347" s="148"/>
      <c r="U347" s="148"/>
      <c r="V347" s="148"/>
      <c r="W347" s="148"/>
      <c r="X347" s="148"/>
      <c r="Y347" s="148"/>
      <c r="Z347" s="148"/>
      <c r="AA347" s="148"/>
      <c r="AB347" s="148"/>
      <c r="AC347" s="148"/>
      <c r="AD347" s="148"/>
      <c r="AE347" s="148"/>
    </row>
    <row r="348" spans="2:31">
      <c r="B348" s="148"/>
      <c r="C348" s="148"/>
      <c r="D348" s="148"/>
      <c r="E348" s="148"/>
      <c r="F348" s="148"/>
      <c r="G348" s="148"/>
      <c r="H348" s="148"/>
      <c r="I348" s="148"/>
      <c r="J348" s="148"/>
      <c r="K348" s="148"/>
      <c r="L348" s="148"/>
      <c r="M348" s="148"/>
      <c r="N348" s="148"/>
      <c r="O348" s="148"/>
      <c r="P348" s="148"/>
      <c r="Q348" s="148"/>
      <c r="R348" s="148"/>
      <c r="S348" s="148"/>
      <c r="T348" s="148"/>
      <c r="U348" s="148"/>
      <c r="V348" s="148"/>
      <c r="W348" s="148"/>
      <c r="X348" s="148"/>
      <c r="Y348" s="148"/>
      <c r="Z348" s="148"/>
      <c r="AA348" s="148"/>
      <c r="AB348" s="148"/>
      <c r="AC348" s="148"/>
      <c r="AD348" s="148"/>
      <c r="AE348" s="148"/>
    </row>
    <row r="349" spans="2:31">
      <c r="B349" s="148"/>
      <c r="C349" s="148"/>
      <c r="D349" s="148"/>
      <c r="E349" s="148"/>
      <c r="F349" s="148"/>
      <c r="G349" s="148"/>
      <c r="H349" s="148"/>
      <c r="I349" s="148"/>
      <c r="J349" s="148"/>
      <c r="K349" s="148"/>
      <c r="L349" s="148"/>
      <c r="M349" s="148"/>
      <c r="N349" s="148"/>
      <c r="O349" s="148"/>
      <c r="P349" s="148"/>
      <c r="Q349" s="148"/>
      <c r="R349" s="148"/>
      <c r="S349" s="148"/>
      <c r="T349" s="148"/>
      <c r="U349" s="148"/>
      <c r="V349" s="148"/>
      <c r="W349" s="148"/>
      <c r="X349" s="148"/>
      <c r="Y349" s="148"/>
      <c r="Z349" s="148"/>
      <c r="AA349" s="148"/>
      <c r="AB349" s="148"/>
      <c r="AC349" s="148"/>
      <c r="AD349" s="148"/>
      <c r="AE349" s="148"/>
    </row>
    <row r="350" spans="2:31">
      <c r="B350" s="148"/>
      <c r="C350" s="148"/>
      <c r="D350" s="148"/>
      <c r="E350" s="148"/>
      <c r="F350" s="148"/>
      <c r="G350" s="148"/>
      <c r="H350" s="148"/>
      <c r="I350" s="148"/>
      <c r="J350" s="148"/>
      <c r="K350" s="148"/>
      <c r="L350" s="148"/>
      <c r="M350" s="148"/>
      <c r="N350" s="148"/>
      <c r="O350" s="148"/>
      <c r="P350" s="148"/>
      <c r="Q350" s="148"/>
      <c r="R350" s="148"/>
      <c r="S350" s="148"/>
      <c r="T350" s="148"/>
      <c r="U350" s="148"/>
      <c r="V350" s="148"/>
      <c r="W350" s="148"/>
      <c r="X350" s="148"/>
      <c r="Y350" s="148"/>
      <c r="Z350" s="148"/>
      <c r="AA350" s="148"/>
      <c r="AB350" s="148"/>
      <c r="AC350" s="148"/>
      <c r="AD350" s="148"/>
      <c r="AE350" s="148"/>
    </row>
    <row r="351" spans="2:31">
      <c r="B351" s="148"/>
      <c r="C351" s="148"/>
      <c r="D351" s="148"/>
      <c r="E351" s="148"/>
      <c r="F351" s="148"/>
      <c r="G351" s="148"/>
      <c r="H351" s="148"/>
      <c r="I351" s="148"/>
      <c r="J351" s="148"/>
      <c r="K351" s="148"/>
      <c r="L351" s="148"/>
      <c r="M351" s="148"/>
      <c r="N351" s="148"/>
      <c r="O351" s="148"/>
      <c r="P351" s="148"/>
      <c r="Q351" s="148"/>
      <c r="R351" s="148"/>
      <c r="S351" s="148"/>
      <c r="T351" s="148"/>
      <c r="U351" s="148"/>
      <c r="V351" s="148"/>
      <c r="W351" s="148"/>
      <c r="X351" s="148"/>
      <c r="Y351" s="148"/>
      <c r="Z351" s="148"/>
      <c r="AA351" s="148"/>
      <c r="AB351" s="148"/>
      <c r="AC351" s="148"/>
      <c r="AD351" s="148"/>
      <c r="AE351" s="148"/>
    </row>
    <row r="352" spans="2:31">
      <c r="B352" s="148"/>
      <c r="C352" s="148"/>
      <c r="D352" s="148"/>
      <c r="E352" s="148"/>
      <c r="F352" s="148"/>
      <c r="G352" s="148"/>
      <c r="H352" s="148"/>
      <c r="I352" s="148"/>
      <c r="J352" s="148"/>
      <c r="K352" s="148"/>
      <c r="L352" s="148"/>
      <c r="M352" s="148"/>
      <c r="N352" s="148"/>
      <c r="O352" s="148"/>
      <c r="P352" s="148"/>
      <c r="Q352" s="148"/>
      <c r="R352" s="148"/>
      <c r="S352" s="148"/>
      <c r="T352" s="148"/>
      <c r="U352" s="148"/>
      <c r="V352" s="148"/>
      <c r="W352" s="148"/>
      <c r="X352" s="148"/>
      <c r="Y352" s="148"/>
      <c r="Z352" s="148"/>
      <c r="AA352" s="148"/>
      <c r="AB352" s="148"/>
      <c r="AC352" s="148"/>
      <c r="AD352" s="148"/>
      <c r="AE352" s="148"/>
    </row>
    <row r="353" spans="2:31">
      <c r="B353" s="148"/>
      <c r="C353" s="148"/>
      <c r="D353" s="148"/>
      <c r="E353" s="148"/>
      <c r="F353" s="148"/>
      <c r="G353" s="148"/>
      <c r="H353" s="148"/>
      <c r="I353" s="148"/>
      <c r="J353" s="148"/>
      <c r="K353" s="148"/>
      <c r="L353" s="148"/>
      <c r="M353" s="148"/>
      <c r="N353" s="148"/>
      <c r="O353" s="148"/>
      <c r="P353" s="148"/>
      <c r="Q353" s="148"/>
      <c r="R353" s="148"/>
      <c r="S353" s="148"/>
      <c r="T353" s="148"/>
      <c r="U353" s="148"/>
      <c r="V353" s="148"/>
      <c r="W353" s="148"/>
      <c r="X353" s="148"/>
      <c r="Y353" s="148"/>
      <c r="Z353" s="148"/>
      <c r="AA353" s="148"/>
      <c r="AB353" s="148"/>
      <c r="AC353" s="148"/>
      <c r="AD353" s="148"/>
      <c r="AE353" s="148"/>
    </row>
    <row r="354" spans="2:31">
      <c r="B354" s="148"/>
      <c r="C354" s="148"/>
      <c r="D354" s="148"/>
      <c r="E354" s="148"/>
      <c r="F354" s="148"/>
      <c r="G354" s="148"/>
      <c r="H354" s="148"/>
      <c r="I354" s="148"/>
      <c r="J354" s="148"/>
      <c r="K354" s="148"/>
      <c r="L354" s="148"/>
      <c r="M354" s="148"/>
      <c r="N354" s="148"/>
      <c r="O354" s="148"/>
      <c r="P354" s="148"/>
      <c r="Q354" s="148"/>
      <c r="R354" s="148"/>
      <c r="S354" s="148"/>
      <c r="T354" s="148"/>
      <c r="U354" s="148"/>
      <c r="V354" s="148"/>
      <c r="W354" s="148"/>
      <c r="X354" s="148"/>
      <c r="Y354" s="148"/>
      <c r="Z354" s="148"/>
      <c r="AA354" s="148"/>
      <c r="AB354" s="148"/>
      <c r="AC354" s="148"/>
      <c r="AD354" s="148"/>
      <c r="AE354" s="148"/>
    </row>
    <row r="355" spans="2:31">
      <c r="B355" s="148"/>
      <c r="C355" s="148"/>
      <c r="D355" s="148"/>
      <c r="E355" s="148"/>
      <c r="F355" s="148"/>
      <c r="G355" s="148"/>
      <c r="H355" s="148"/>
      <c r="I355" s="148"/>
      <c r="J355" s="148"/>
      <c r="K355" s="148"/>
      <c r="L355" s="148"/>
      <c r="M355" s="148"/>
      <c r="N355" s="148"/>
      <c r="O355" s="148"/>
      <c r="P355" s="148"/>
      <c r="Q355" s="148"/>
      <c r="R355" s="148"/>
      <c r="S355" s="148"/>
      <c r="T355" s="148"/>
      <c r="U355" s="148"/>
      <c r="V355" s="148"/>
      <c r="W355" s="148"/>
      <c r="X355" s="148"/>
      <c r="Y355" s="148"/>
      <c r="Z355" s="148"/>
      <c r="AA355" s="148"/>
      <c r="AB355" s="148"/>
      <c r="AC355" s="148"/>
      <c r="AD355" s="148"/>
      <c r="AE355" s="148"/>
    </row>
    <row r="356" spans="2:31">
      <c r="B356" s="148"/>
      <c r="C356" s="148"/>
      <c r="D356" s="148"/>
      <c r="E356" s="148"/>
      <c r="F356" s="148"/>
      <c r="G356" s="148"/>
      <c r="H356" s="148"/>
      <c r="I356" s="148"/>
      <c r="J356" s="148"/>
      <c r="K356" s="148"/>
      <c r="L356" s="148"/>
      <c r="M356" s="148"/>
      <c r="N356" s="148"/>
      <c r="O356" s="148"/>
      <c r="P356" s="148"/>
      <c r="Q356" s="148"/>
      <c r="R356" s="148"/>
      <c r="S356" s="148"/>
      <c r="T356" s="148"/>
      <c r="U356" s="148"/>
      <c r="V356" s="148"/>
      <c r="W356" s="148"/>
      <c r="X356" s="148"/>
      <c r="Y356" s="148"/>
      <c r="Z356" s="148"/>
      <c r="AA356" s="148"/>
      <c r="AB356" s="148"/>
      <c r="AC356" s="148"/>
      <c r="AD356" s="148"/>
      <c r="AE356" s="148"/>
    </row>
    <row r="357" spans="2:31">
      <c r="B357" s="148"/>
      <c r="C357" s="148"/>
      <c r="D357" s="148"/>
      <c r="E357" s="148"/>
      <c r="F357" s="148"/>
      <c r="G357" s="148"/>
      <c r="H357" s="148"/>
      <c r="I357" s="148"/>
      <c r="J357" s="148"/>
      <c r="K357" s="148"/>
      <c r="L357" s="148"/>
      <c r="M357" s="148"/>
      <c r="N357" s="148"/>
      <c r="O357" s="148"/>
      <c r="P357" s="148"/>
      <c r="Q357" s="148"/>
      <c r="R357" s="148"/>
      <c r="S357" s="148"/>
      <c r="T357" s="148"/>
      <c r="U357" s="148"/>
      <c r="V357" s="148"/>
      <c r="W357" s="148"/>
      <c r="X357" s="148"/>
      <c r="Y357" s="148"/>
      <c r="Z357" s="148"/>
      <c r="AA357" s="148"/>
      <c r="AB357" s="148"/>
      <c r="AC357" s="148"/>
      <c r="AD357" s="148"/>
      <c r="AE357" s="148"/>
    </row>
    <row r="358" spans="2:31">
      <c r="B358" s="148"/>
      <c r="C358" s="148"/>
      <c r="D358" s="148"/>
      <c r="E358" s="148"/>
      <c r="F358" s="148"/>
      <c r="G358" s="148"/>
      <c r="H358" s="148"/>
      <c r="I358" s="148"/>
      <c r="J358" s="148"/>
      <c r="K358" s="148"/>
      <c r="L358" s="148"/>
      <c r="M358" s="148"/>
      <c r="N358" s="148"/>
      <c r="O358" s="148"/>
      <c r="P358" s="148"/>
      <c r="Q358" s="148"/>
      <c r="R358" s="148"/>
      <c r="S358" s="148"/>
      <c r="T358" s="148"/>
      <c r="U358" s="148"/>
      <c r="V358" s="148"/>
      <c r="W358" s="148"/>
      <c r="X358" s="148"/>
      <c r="Y358" s="148"/>
      <c r="Z358" s="148"/>
      <c r="AA358" s="148"/>
      <c r="AB358" s="148"/>
      <c r="AC358" s="148"/>
      <c r="AD358" s="148"/>
      <c r="AE358" s="148"/>
    </row>
    <row r="359" spans="2:31">
      <c r="B359" s="148"/>
      <c r="C359" s="148"/>
      <c r="D359" s="148"/>
      <c r="E359" s="148"/>
      <c r="F359" s="148"/>
      <c r="G359" s="148"/>
      <c r="H359" s="148"/>
      <c r="I359" s="148"/>
      <c r="J359" s="148"/>
      <c r="K359" s="148"/>
      <c r="L359" s="148"/>
      <c r="M359" s="148"/>
      <c r="N359" s="148"/>
      <c r="O359" s="148"/>
      <c r="P359" s="148"/>
      <c r="Q359" s="148"/>
      <c r="R359" s="148"/>
      <c r="S359" s="148"/>
      <c r="T359" s="148"/>
      <c r="U359" s="148"/>
      <c r="V359" s="148"/>
      <c r="W359" s="148"/>
      <c r="X359" s="148"/>
      <c r="Y359" s="148"/>
      <c r="Z359" s="148"/>
      <c r="AA359" s="148"/>
      <c r="AB359" s="148"/>
      <c r="AC359" s="148"/>
      <c r="AD359" s="148"/>
      <c r="AE359" s="148"/>
    </row>
    <row r="360" spans="2:31">
      <c r="B360" s="148"/>
      <c r="C360" s="148"/>
      <c r="D360" s="148"/>
      <c r="E360" s="148"/>
      <c r="F360" s="148"/>
      <c r="G360" s="148"/>
      <c r="H360" s="148"/>
      <c r="I360" s="148"/>
      <c r="J360" s="148"/>
      <c r="K360" s="148"/>
      <c r="L360" s="148"/>
      <c r="M360" s="148"/>
      <c r="N360" s="148"/>
      <c r="O360" s="148"/>
      <c r="P360" s="148"/>
      <c r="Q360" s="148"/>
      <c r="R360" s="148"/>
      <c r="S360" s="148"/>
      <c r="T360" s="148"/>
      <c r="U360" s="148"/>
      <c r="V360" s="148"/>
      <c r="W360" s="148"/>
      <c r="X360" s="148"/>
      <c r="Y360" s="148"/>
      <c r="Z360" s="148"/>
      <c r="AA360" s="148"/>
      <c r="AB360" s="148"/>
      <c r="AC360" s="148"/>
      <c r="AD360" s="148"/>
      <c r="AE360" s="148"/>
    </row>
    <row r="361" spans="2:31">
      <c r="B361" s="148"/>
      <c r="C361" s="148"/>
      <c r="D361" s="148"/>
      <c r="E361" s="148"/>
      <c r="F361" s="148"/>
      <c r="G361" s="148"/>
      <c r="H361" s="148"/>
      <c r="I361" s="148"/>
      <c r="J361" s="148"/>
      <c r="K361" s="148"/>
      <c r="L361" s="148"/>
      <c r="M361" s="148"/>
      <c r="N361" s="148"/>
      <c r="O361" s="148"/>
      <c r="P361" s="148"/>
      <c r="Q361" s="148"/>
      <c r="R361" s="148"/>
      <c r="S361" s="148"/>
      <c r="T361" s="148"/>
      <c r="U361" s="148"/>
      <c r="V361" s="148"/>
      <c r="W361" s="148"/>
      <c r="X361" s="148"/>
      <c r="Y361" s="148"/>
      <c r="Z361" s="148"/>
      <c r="AA361" s="148"/>
      <c r="AB361" s="148"/>
      <c r="AC361" s="148"/>
      <c r="AD361" s="148"/>
      <c r="AE361" s="148"/>
    </row>
    <row r="362" spans="2:31">
      <c r="B362" s="148"/>
      <c r="C362" s="148"/>
      <c r="D362" s="148"/>
      <c r="E362" s="148"/>
      <c r="F362" s="148"/>
      <c r="G362" s="148"/>
      <c r="H362" s="148"/>
      <c r="I362" s="148"/>
      <c r="J362" s="148"/>
      <c r="K362" s="148"/>
      <c r="L362" s="148"/>
      <c r="M362" s="148"/>
      <c r="N362" s="148"/>
      <c r="O362" s="148"/>
      <c r="P362" s="148"/>
      <c r="Q362" s="148"/>
      <c r="R362" s="148"/>
      <c r="S362" s="148"/>
      <c r="T362" s="148"/>
      <c r="U362" s="148"/>
      <c r="V362" s="148"/>
      <c r="W362" s="148"/>
      <c r="X362" s="148"/>
      <c r="Y362" s="148"/>
      <c r="Z362" s="148"/>
      <c r="AA362" s="148"/>
      <c r="AB362" s="148"/>
      <c r="AC362" s="148"/>
      <c r="AD362" s="148"/>
      <c r="AE362" s="148"/>
    </row>
    <row r="363" spans="2:31">
      <c r="B363" s="148"/>
      <c r="C363" s="148"/>
      <c r="D363" s="148"/>
      <c r="E363" s="148"/>
      <c r="F363" s="148"/>
      <c r="G363" s="148"/>
      <c r="H363" s="148"/>
      <c r="I363" s="148"/>
      <c r="J363" s="148"/>
      <c r="K363" s="148"/>
      <c r="L363" s="148"/>
      <c r="M363" s="148"/>
      <c r="N363" s="148"/>
      <c r="O363" s="148"/>
      <c r="P363" s="148"/>
      <c r="Q363" s="148"/>
      <c r="R363" s="148"/>
      <c r="S363" s="148"/>
      <c r="T363" s="148"/>
      <c r="U363" s="148"/>
      <c r="V363" s="148"/>
      <c r="W363" s="148"/>
      <c r="X363" s="148"/>
      <c r="Y363" s="148"/>
      <c r="Z363" s="148"/>
      <c r="AA363" s="148"/>
      <c r="AB363" s="148"/>
      <c r="AC363" s="148"/>
      <c r="AD363" s="148"/>
      <c r="AE363" s="148"/>
    </row>
    <row r="364" spans="2:31">
      <c r="B364" s="148"/>
      <c r="C364" s="148"/>
      <c r="D364" s="148"/>
      <c r="E364" s="148"/>
      <c r="F364" s="148"/>
      <c r="G364" s="148"/>
      <c r="H364" s="148"/>
      <c r="I364" s="148"/>
      <c r="J364" s="148"/>
      <c r="K364" s="148"/>
      <c r="L364" s="148"/>
      <c r="M364" s="148"/>
      <c r="N364" s="148"/>
      <c r="O364" s="148"/>
      <c r="P364" s="148"/>
      <c r="Q364" s="148"/>
      <c r="R364" s="148"/>
      <c r="S364" s="148"/>
      <c r="T364" s="148"/>
      <c r="U364" s="148"/>
      <c r="V364" s="148"/>
      <c r="W364" s="148"/>
      <c r="X364" s="148"/>
      <c r="Y364" s="148"/>
      <c r="Z364" s="148"/>
      <c r="AA364" s="148"/>
      <c r="AB364" s="148"/>
      <c r="AC364" s="148"/>
      <c r="AD364" s="148"/>
      <c r="AE364" s="148"/>
    </row>
    <row r="365" spans="2:31">
      <c r="B365" s="148"/>
      <c r="C365" s="148"/>
      <c r="D365" s="148"/>
      <c r="E365" s="148"/>
      <c r="F365" s="148"/>
      <c r="G365" s="148"/>
      <c r="H365" s="148"/>
      <c r="I365" s="148"/>
      <c r="J365" s="148"/>
      <c r="K365" s="148"/>
      <c r="L365" s="148"/>
      <c r="M365" s="148"/>
      <c r="N365" s="148"/>
      <c r="O365" s="148"/>
      <c r="P365" s="148"/>
      <c r="Q365" s="148"/>
      <c r="R365" s="148"/>
      <c r="S365" s="148"/>
      <c r="T365" s="148"/>
      <c r="U365" s="148"/>
      <c r="V365" s="148"/>
      <c r="W365" s="148"/>
      <c r="X365" s="148"/>
      <c r="Y365" s="148"/>
      <c r="Z365" s="148"/>
      <c r="AA365" s="148"/>
      <c r="AB365" s="148"/>
      <c r="AC365" s="148"/>
      <c r="AD365" s="148"/>
      <c r="AE365" s="148"/>
    </row>
    <row r="366" spans="2:31">
      <c r="B366" s="148"/>
      <c r="C366" s="148"/>
      <c r="D366" s="148"/>
      <c r="E366" s="148"/>
      <c r="F366" s="148"/>
      <c r="G366" s="148"/>
      <c r="H366" s="148"/>
      <c r="I366" s="148"/>
      <c r="J366" s="148"/>
      <c r="K366" s="148"/>
      <c r="L366" s="148"/>
      <c r="M366" s="148"/>
      <c r="N366" s="148"/>
      <c r="O366" s="148"/>
      <c r="P366" s="148"/>
      <c r="Q366" s="148"/>
      <c r="R366" s="148"/>
      <c r="S366" s="148"/>
      <c r="T366" s="148"/>
      <c r="U366" s="148"/>
      <c r="V366" s="148"/>
      <c r="W366" s="148"/>
      <c r="X366" s="148"/>
      <c r="Y366" s="148"/>
      <c r="Z366" s="148"/>
      <c r="AA366" s="148"/>
      <c r="AB366" s="148"/>
      <c r="AC366" s="148"/>
      <c r="AD366" s="148"/>
      <c r="AE366" s="148"/>
    </row>
    <row r="367" spans="2:31">
      <c r="B367" s="148"/>
      <c r="C367" s="148"/>
      <c r="D367" s="148"/>
      <c r="E367" s="148"/>
      <c r="F367" s="148"/>
      <c r="G367" s="148"/>
      <c r="H367" s="148"/>
      <c r="I367" s="148"/>
      <c r="J367" s="148"/>
      <c r="K367" s="148"/>
      <c r="L367" s="148"/>
      <c r="M367" s="148"/>
      <c r="N367" s="148"/>
      <c r="O367" s="148"/>
      <c r="P367" s="148"/>
      <c r="Q367" s="148"/>
      <c r="R367" s="148"/>
      <c r="S367" s="148"/>
      <c r="T367" s="148"/>
      <c r="U367" s="148"/>
      <c r="V367" s="148"/>
      <c r="W367" s="148"/>
      <c r="X367" s="148"/>
      <c r="Y367" s="148"/>
      <c r="Z367" s="148"/>
      <c r="AA367" s="148"/>
      <c r="AB367" s="148"/>
      <c r="AC367" s="148"/>
      <c r="AD367" s="148"/>
      <c r="AE367" s="148"/>
    </row>
    <row r="368" spans="2:31">
      <c r="B368" s="148"/>
      <c r="C368" s="148"/>
      <c r="D368" s="148"/>
      <c r="E368" s="148"/>
      <c r="F368" s="148"/>
      <c r="G368" s="148"/>
      <c r="H368" s="148"/>
      <c r="I368" s="148"/>
      <c r="J368" s="148"/>
      <c r="K368" s="148"/>
      <c r="L368" s="148"/>
      <c r="M368" s="148"/>
      <c r="N368" s="148"/>
      <c r="O368" s="148"/>
      <c r="P368" s="148"/>
      <c r="Q368" s="148"/>
      <c r="R368" s="148"/>
      <c r="S368" s="148"/>
      <c r="T368" s="148"/>
      <c r="U368" s="148"/>
      <c r="V368" s="148"/>
      <c r="W368" s="148"/>
      <c r="X368" s="148"/>
      <c r="Y368" s="148"/>
      <c r="Z368" s="148"/>
      <c r="AA368" s="148"/>
      <c r="AB368" s="148"/>
      <c r="AC368" s="148"/>
      <c r="AD368" s="148"/>
      <c r="AE368" s="148"/>
    </row>
    <row r="369" spans="2:31">
      <c r="B369" s="148"/>
      <c r="C369" s="148"/>
      <c r="D369" s="148"/>
      <c r="E369" s="148"/>
      <c r="F369" s="148"/>
      <c r="G369" s="148"/>
      <c r="H369" s="148"/>
      <c r="I369" s="148"/>
      <c r="J369" s="148"/>
      <c r="K369" s="148"/>
      <c r="L369" s="148"/>
      <c r="M369" s="148"/>
      <c r="N369" s="148"/>
      <c r="O369" s="148"/>
      <c r="P369" s="148"/>
      <c r="Q369" s="148"/>
      <c r="R369" s="148"/>
      <c r="S369" s="148"/>
      <c r="T369" s="148"/>
      <c r="U369" s="148"/>
      <c r="V369" s="148"/>
      <c r="W369" s="148"/>
      <c r="X369" s="148"/>
      <c r="Y369" s="148"/>
      <c r="Z369" s="148"/>
      <c r="AA369" s="148"/>
      <c r="AB369" s="148"/>
      <c r="AC369" s="148"/>
      <c r="AD369" s="148"/>
      <c r="AE369" s="148"/>
    </row>
    <row r="370" spans="2:31">
      <c r="B370" s="148"/>
      <c r="C370" s="148"/>
      <c r="D370" s="148"/>
      <c r="E370" s="148"/>
      <c r="F370" s="148"/>
      <c r="G370" s="148"/>
      <c r="H370" s="148"/>
      <c r="I370" s="148"/>
      <c r="J370" s="148"/>
      <c r="K370" s="148"/>
      <c r="L370" s="148"/>
      <c r="M370" s="148"/>
      <c r="N370" s="148"/>
      <c r="O370" s="148"/>
      <c r="P370" s="148"/>
      <c r="Q370" s="148"/>
      <c r="R370" s="148"/>
      <c r="S370" s="148"/>
      <c r="T370" s="148"/>
      <c r="U370" s="148"/>
      <c r="V370" s="148"/>
      <c r="W370" s="148"/>
      <c r="X370" s="148"/>
      <c r="Y370" s="148"/>
      <c r="Z370" s="148"/>
      <c r="AA370" s="148"/>
      <c r="AB370" s="148"/>
      <c r="AC370" s="148"/>
      <c r="AD370" s="148"/>
      <c r="AE370" s="148"/>
    </row>
    <row r="371" spans="2:31">
      <c r="B371" s="148"/>
      <c r="C371" s="148"/>
      <c r="D371" s="148"/>
      <c r="E371" s="148"/>
      <c r="F371" s="148"/>
      <c r="G371" s="148"/>
      <c r="H371" s="148"/>
      <c r="I371" s="148"/>
      <c r="J371" s="148"/>
      <c r="K371" s="148"/>
      <c r="L371" s="148"/>
      <c r="M371" s="148"/>
      <c r="N371" s="148"/>
      <c r="O371" s="148"/>
      <c r="P371" s="148"/>
      <c r="Q371" s="148"/>
      <c r="R371" s="148"/>
      <c r="S371" s="148"/>
      <c r="T371" s="148"/>
      <c r="U371" s="148"/>
      <c r="V371" s="148"/>
      <c r="W371" s="148"/>
      <c r="X371" s="148"/>
      <c r="Y371" s="148"/>
      <c r="Z371" s="148"/>
      <c r="AA371" s="148"/>
      <c r="AB371" s="148"/>
      <c r="AC371" s="148"/>
      <c r="AD371" s="148"/>
      <c r="AE371" s="148"/>
    </row>
    <row r="372" spans="2:31">
      <c r="B372" s="148"/>
      <c r="C372" s="148"/>
      <c r="D372" s="148"/>
      <c r="E372" s="148"/>
      <c r="F372" s="148"/>
      <c r="G372" s="148"/>
      <c r="H372" s="148"/>
      <c r="I372" s="148"/>
      <c r="J372" s="148"/>
      <c r="K372" s="148"/>
      <c r="L372" s="148"/>
      <c r="M372" s="148"/>
      <c r="N372" s="148"/>
      <c r="O372" s="148"/>
      <c r="P372" s="148"/>
      <c r="Q372" s="148"/>
      <c r="R372" s="148"/>
      <c r="S372" s="148"/>
      <c r="T372" s="148"/>
      <c r="U372" s="148"/>
      <c r="V372" s="148"/>
      <c r="W372" s="148"/>
      <c r="X372" s="148"/>
      <c r="Y372" s="148"/>
      <c r="Z372" s="148"/>
      <c r="AA372" s="148"/>
      <c r="AB372" s="148"/>
      <c r="AC372" s="148"/>
      <c r="AD372" s="148"/>
      <c r="AE372" s="148"/>
    </row>
    <row r="373" spans="2:31">
      <c r="B373" s="148"/>
      <c r="C373" s="148"/>
      <c r="D373" s="148"/>
      <c r="E373" s="148"/>
      <c r="F373" s="148"/>
      <c r="G373" s="148"/>
      <c r="H373" s="148"/>
      <c r="I373" s="148"/>
      <c r="J373" s="148"/>
      <c r="K373" s="148"/>
      <c r="L373" s="148"/>
      <c r="M373" s="148"/>
      <c r="N373" s="148"/>
      <c r="O373" s="148"/>
      <c r="P373" s="148"/>
      <c r="Q373" s="148"/>
      <c r="R373" s="148"/>
      <c r="S373" s="148"/>
      <c r="T373" s="148"/>
      <c r="U373" s="148"/>
      <c r="V373" s="148"/>
      <c r="W373" s="148"/>
      <c r="X373" s="148"/>
      <c r="Y373" s="148"/>
      <c r="Z373" s="148"/>
      <c r="AA373" s="148"/>
      <c r="AB373" s="148"/>
      <c r="AC373" s="148"/>
      <c r="AD373" s="148"/>
      <c r="AE373" s="148"/>
    </row>
    <row r="374" spans="2:31">
      <c r="B374" s="148"/>
      <c r="C374" s="148"/>
      <c r="D374" s="148"/>
      <c r="E374" s="148"/>
      <c r="F374" s="148"/>
      <c r="G374" s="148"/>
      <c r="H374" s="148"/>
      <c r="I374" s="148"/>
      <c r="J374" s="148"/>
      <c r="K374" s="148"/>
      <c r="L374" s="148"/>
      <c r="M374" s="148"/>
      <c r="N374" s="148"/>
      <c r="O374" s="148"/>
      <c r="P374" s="148"/>
      <c r="Q374" s="148"/>
      <c r="R374" s="148"/>
      <c r="S374" s="148"/>
      <c r="T374" s="148"/>
      <c r="U374" s="148"/>
      <c r="V374" s="148"/>
      <c r="W374" s="148"/>
      <c r="X374" s="148"/>
      <c r="Y374" s="148"/>
      <c r="Z374" s="148"/>
      <c r="AA374" s="148"/>
      <c r="AB374" s="148"/>
      <c r="AC374" s="148"/>
      <c r="AD374" s="148"/>
      <c r="AE374" s="148"/>
    </row>
    <row r="375" spans="2:31">
      <c r="B375" s="148"/>
      <c r="C375" s="148"/>
      <c r="D375" s="148"/>
      <c r="E375" s="148"/>
      <c r="F375" s="148"/>
      <c r="G375" s="148"/>
      <c r="H375" s="148"/>
      <c r="I375" s="148"/>
      <c r="J375" s="148"/>
      <c r="K375" s="148"/>
      <c r="L375" s="148"/>
      <c r="M375" s="148"/>
      <c r="N375" s="148"/>
      <c r="O375" s="148"/>
      <c r="P375" s="148"/>
      <c r="Q375" s="148"/>
      <c r="R375" s="148"/>
      <c r="S375" s="148"/>
      <c r="T375" s="148"/>
      <c r="U375" s="148"/>
      <c r="V375" s="148"/>
      <c r="W375" s="148"/>
      <c r="X375" s="148"/>
      <c r="Y375" s="148"/>
      <c r="Z375" s="148"/>
      <c r="AA375" s="148"/>
      <c r="AB375" s="148"/>
      <c r="AC375" s="148"/>
      <c r="AD375" s="148"/>
      <c r="AE375" s="148"/>
    </row>
    <row r="376" spans="2:31">
      <c r="B376" s="148"/>
      <c r="C376" s="148"/>
      <c r="D376" s="148"/>
      <c r="E376" s="148"/>
      <c r="F376" s="148"/>
      <c r="G376" s="148"/>
      <c r="H376" s="148"/>
      <c r="I376" s="148"/>
      <c r="J376" s="148"/>
      <c r="K376" s="148"/>
      <c r="L376" s="148"/>
      <c r="M376" s="148"/>
      <c r="N376" s="148"/>
      <c r="O376" s="148"/>
      <c r="P376" s="148"/>
      <c r="Q376" s="148"/>
      <c r="R376" s="148"/>
      <c r="S376" s="148"/>
      <c r="T376" s="148"/>
      <c r="U376" s="148"/>
      <c r="V376" s="148"/>
      <c r="W376" s="148"/>
      <c r="X376" s="148"/>
      <c r="Y376" s="148"/>
      <c r="Z376" s="148"/>
      <c r="AA376" s="148"/>
      <c r="AB376" s="148"/>
      <c r="AC376" s="148"/>
      <c r="AD376" s="148"/>
      <c r="AE376" s="148"/>
    </row>
    <row r="377" spans="2:31">
      <c r="B377" s="148"/>
      <c r="C377" s="148"/>
      <c r="D377" s="148"/>
      <c r="E377" s="148"/>
      <c r="F377" s="148"/>
      <c r="G377" s="148"/>
      <c r="H377" s="148"/>
      <c r="I377" s="148"/>
      <c r="J377" s="148"/>
      <c r="K377" s="148"/>
      <c r="L377" s="148"/>
      <c r="M377" s="148"/>
      <c r="N377" s="148"/>
      <c r="O377" s="148"/>
      <c r="P377" s="148"/>
      <c r="Q377" s="148"/>
      <c r="R377" s="148"/>
      <c r="S377" s="148"/>
      <c r="T377" s="148"/>
      <c r="U377" s="148"/>
      <c r="V377" s="148"/>
      <c r="W377" s="148"/>
      <c r="X377" s="148"/>
      <c r="Y377" s="148"/>
      <c r="Z377" s="148"/>
      <c r="AA377" s="148"/>
      <c r="AB377" s="148"/>
      <c r="AC377" s="148"/>
      <c r="AD377" s="148"/>
      <c r="AE377" s="148"/>
    </row>
    <row r="378" spans="2:31">
      <c r="B378" s="148"/>
      <c r="C378" s="148"/>
      <c r="D378" s="148"/>
      <c r="E378" s="148"/>
      <c r="F378" s="148"/>
      <c r="G378" s="148"/>
      <c r="H378" s="148"/>
      <c r="I378" s="148"/>
      <c r="J378" s="148"/>
      <c r="K378" s="148"/>
      <c r="L378" s="148"/>
      <c r="M378" s="148"/>
      <c r="N378" s="148"/>
      <c r="O378" s="148"/>
      <c r="P378" s="148"/>
      <c r="Q378" s="148"/>
      <c r="R378" s="148"/>
      <c r="S378" s="148"/>
      <c r="T378" s="148"/>
      <c r="U378" s="148"/>
      <c r="V378" s="148"/>
      <c r="W378" s="148"/>
      <c r="X378" s="148"/>
      <c r="Y378" s="148"/>
      <c r="Z378" s="148"/>
      <c r="AA378" s="148"/>
      <c r="AB378" s="148"/>
      <c r="AC378" s="148"/>
      <c r="AD378" s="148"/>
      <c r="AE378" s="148"/>
    </row>
    <row r="379" spans="2:31">
      <c r="B379" s="148"/>
      <c r="C379" s="148"/>
      <c r="D379" s="148"/>
      <c r="E379" s="148"/>
      <c r="F379" s="148"/>
      <c r="G379" s="148"/>
      <c r="H379" s="148"/>
      <c r="I379" s="148"/>
      <c r="J379" s="148"/>
      <c r="K379" s="148"/>
      <c r="L379" s="148"/>
      <c r="M379" s="148"/>
      <c r="N379" s="148"/>
      <c r="O379" s="148"/>
      <c r="P379" s="148"/>
      <c r="Q379" s="148"/>
      <c r="R379" s="148"/>
      <c r="S379" s="148"/>
      <c r="T379" s="148"/>
      <c r="U379" s="148"/>
      <c r="V379" s="148"/>
      <c r="W379" s="148"/>
      <c r="X379" s="148"/>
      <c r="Y379" s="148"/>
      <c r="Z379" s="148"/>
      <c r="AA379" s="148"/>
      <c r="AB379" s="148"/>
      <c r="AC379" s="148"/>
      <c r="AD379" s="148"/>
      <c r="AE379" s="148"/>
    </row>
    <row r="380" spans="2:31">
      <c r="B380" s="148"/>
      <c r="C380" s="148"/>
      <c r="D380" s="148"/>
      <c r="E380" s="148"/>
      <c r="F380" s="148"/>
      <c r="G380" s="148"/>
      <c r="H380" s="148"/>
      <c r="I380" s="148"/>
      <c r="J380" s="148"/>
      <c r="K380" s="148"/>
      <c r="L380" s="148"/>
      <c r="M380" s="148"/>
      <c r="N380" s="148"/>
      <c r="O380" s="148"/>
      <c r="P380" s="148"/>
      <c r="Q380" s="148"/>
      <c r="R380" s="148"/>
      <c r="S380" s="148"/>
      <c r="T380" s="148"/>
      <c r="U380" s="148"/>
      <c r="V380" s="148"/>
      <c r="W380" s="148"/>
      <c r="X380" s="148"/>
      <c r="Y380" s="148"/>
      <c r="Z380" s="148"/>
      <c r="AA380" s="148"/>
      <c r="AB380" s="148"/>
      <c r="AC380" s="148"/>
      <c r="AD380" s="148"/>
      <c r="AE380" s="148"/>
    </row>
    <row r="381" spans="2:31">
      <c r="B381" s="148"/>
      <c r="C381" s="148"/>
      <c r="D381" s="148"/>
      <c r="E381" s="148"/>
      <c r="F381" s="148"/>
      <c r="G381" s="148"/>
      <c r="H381" s="148"/>
      <c r="I381" s="148"/>
      <c r="J381" s="148"/>
      <c r="K381" s="148"/>
      <c r="L381" s="148"/>
      <c r="M381" s="148"/>
      <c r="N381" s="148"/>
      <c r="O381" s="148"/>
      <c r="P381" s="148"/>
      <c r="Q381" s="148"/>
      <c r="R381" s="148"/>
      <c r="S381" s="148"/>
      <c r="T381" s="148"/>
      <c r="U381" s="148"/>
      <c r="V381" s="148"/>
      <c r="W381" s="148"/>
      <c r="X381" s="148"/>
      <c r="Y381" s="148"/>
      <c r="Z381" s="148"/>
      <c r="AA381" s="148"/>
      <c r="AB381" s="148"/>
      <c r="AC381" s="148"/>
      <c r="AD381" s="148"/>
      <c r="AE381" s="148"/>
    </row>
    <row r="382" spans="2:31">
      <c r="B382" s="148"/>
      <c r="C382" s="148"/>
      <c r="D382" s="148"/>
      <c r="E382" s="148"/>
      <c r="F382" s="148"/>
      <c r="G382" s="148"/>
      <c r="H382" s="148"/>
      <c r="I382" s="148"/>
      <c r="J382" s="148"/>
      <c r="K382" s="148"/>
      <c r="L382" s="148"/>
      <c r="M382" s="148"/>
      <c r="N382" s="148"/>
      <c r="O382" s="148"/>
      <c r="P382" s="148"/>
      <c r="Q382" s="148"/>
      <c r="R382" s="148"/>
      <c r="S382" s="148"/>
      <c r="T382" s="148"/>
      <c r="U382" s="148"/>
      <c r="V382" s="148"/>
      <c r="W382" s="148"/>
      <c r="X382" s="148"/>
      <c r="Y382" s="148"/>
      <c r="Z382" s="148"/>
      <c r="AA382" s="148"/>
      <c r="AB382" s="148"/>
      <c r="AC382" s="148"/>
      <c r="AD382" s="148"/>
      <c r="AE382" s="148"/>
    </row>
    <row r="383" spans="2:31">
      <c r="B383" s="148"/>
      <c r="C383" s="148"/>
      <c r="D383" s="148"/>
      <c r="E383" s="148"/>
      <c r="F383" s="148"/>
      <c r="G383" s="148"/>
      <c r="H383" s="148"/>
      <c r="I383" s="148"/>
      <c r="J383" s="148"/>
      <c r="K383" s="148"/>
      <c r="L383" s="148"/>
      <c r="M383" s="148"/>
      <c r="N383" s="148"/>
      <c r="O383" s="148"/>
      <c r="P383" s="148"/>
      <c r="Q383" s="148"/>
      <c r="R383" s="148"/>
      <c r="S383" s="148"/>
      <c r="T383" s="148"/>
      <c r="U383" s="148"/>
      <c r="V383" s="148"/>
      <c r="W383" s="148"/>
      <c r="X383" s="148"/>
      <c r="Y383" s="148"/>
      <c r="Z383" s="148"/>
      <c r="AA383" s="148"/>
      <c r="AB383" s="148"/>
      <c r="AC383" s="148"/>
      <c r="AD383" s="148"/>
      <c r="AE383" s="148"/>
    </row>
    <row r="384" spans="2:31">
      <c r="B384" s="148"/>
      <c r="C384" s="148"/>
      <c r="D384" s="148"/>
      <c r="E384" s="148"/>
      <c r="F384" s="148"/>
      <c r="G384" s="148"/>
      <c r="H384" s="148"/>
      <c r="I384" s="148"/>
      <c r="J384" s="148"/>
      <c r="K384" s="148"/>
      <c r="L384" s="148"/>
      <c r="M384" s="148"/>
      <c r="N384" s="148"/>
      <c r="O384" s="148"/>
      <c r="P384" s="148"/>
      <c r="Q384" s="148"/>
      <c r="R384" s="148"/>
      <c r="S384" s="148"/>
      <c r="T384" s="148"/>
      <c r="U384" s="148"/>
      <c r="V384" s="148"/>
      <c r="W384" s="148"/>
      <c r="X384" s="148"/>
      <c r="Y384" s="148"/>
      <c r="Z384" s="148"/>
      <c r="AA384" s="148"/>
      <c r="AB384" s="148"/>
      <c r="AC384" s="148"/>
      <c r="AD384" s="148"/>
      <c r="AE384" s="148"/>
    </row>
    <row r="385" spans="2:31">
      <c r="B385" s="148"/>
      <c r="C385" s="148"/>
      <c r="D385" s="148"/>
      <c r="E385" s="148"/>
      <c r="F385" s="148"/>
      <c r="G385" s="148"/>
      <c r="H385" s="148"/>
      <c r="I385" s="148"/>
      <c r="J385" s="148"/>
      <c r="K385" s="148"/>
      <c r="L385" s="148"/>
      <c r="M385" s="148"/>
      <c r="N385" s="148"/>
      <c r="O385" s="148"/>
      <c r="P385" s="148"/>
      <c r="Q385" s="148"/>
      <c r="R385" s="148"/>
      <c r="S385" s="148"/>
      <c r="T385" s="148"/>
      <c r="U385" s="148"/>
      <c r="V385" s="148"/>
      <c r="W385" s="148"/>
      <c r="X385" s="148"/>
      <c r="Y385" s="148"/>
      <c r="Z385" s="148"/>
      <c r="AA385" s="148"/>
      <c r="AB385" s="148"/>
      <c r="AC385" s="148"/>
      <c r="AD385" s="148"/>
      <c r="AE385" s="148"/>
    </row>
    <row r="386" spans="2:31">
      <c r="B386" s="148"/>
      <c r="C386" s="148"/>
      <c r="D386" s="148"/>
      <c r="E386" s="148"/>
      <c r="F386" s="148"/>
      <c r="G386" s="148"/>
      <c r="H386" s="148"/>
      <c r="I386" s="148"/>
      <c r="J386" s="148"/>
      <c r="K386" s="148"/>
      <c r="L386" s="148"/>
      <c r="M386" s="148"/>
      <c r="N386" s="148"/>
      <c r="O386" s="148"/>
      <c r="P386" s="148"/>
      <c r="Q386" s="148"/>
      <c r="R386" s="148"/>
      <c r="S386" s="148"/>
      <c r="T386" s="148"/>
      <c r="U386" s="148"/>
      <c r="V386" s="148"/>
      <c r="W386" s="148"/>
      <c r="X386" s="148"/>
      <c r="Y386" s="148"/>
      <c r="Z386" s="148"/>
      <c r="AA386" s="148"/>
      <c r="AB386" s="148"/>
      <c r="AC386" s="148"/>
      <c r="AD386" s="148"/>
      <c r="AE386" s="148"/>
    </row>
    <row r="387" spans="2:31">
      <c r="B387" s="148"/>
      <c r="C387" s="148"/>
      <c r="D387" s="148"/>
      <c r="E387" s="148"/>
      <c r="F387" s="148"/>
      <c r="G387" s="148"/>
      <c r="H387" s="148"/>
      <c r="I387" s="148"/>
      <c r="J387" s="148"/>
      <c r="K387" s="148"/>
      <c r="L387" s="148"/>
      <c r="M387" s="148"/>
      <c r="N387" s="148"/>
      <c r="O387" s="148"/>
      <c r="P387" s="148"/>
      <c r="Q387" s="148"/>
      <c r="R387" s="148"/>
      <c r="S387" s="148"/>
      <c r="T387" s="148"/>
      <c r="U387" s="148"/>
      <c r="V387" s="148"/>
      <c r="W387" s="148"/>
      <c r="X387" s="148"/>
      <c r="Y387" s="148"/>
      <c r="Z387" s="148"/>
      <c r="AA387" s="148"/>
      <c r="AB387" s="148"/>
      <c r="AC387" s="148"/>
      <c r="AD387" s="148"/>
      <c r="AE387" s="148"/>
    </row>
    <row r="388" spans="2:31">
      <c r="B388" s="148"/>
      <c r="C388" s="148"/>
      <c r="D388" s="148"/>
      <c r="E388" s="148"/>
      <c r="F388" s="148"/>
      <c r="G388" s="148"/>
      <c r="H388" s="148"/>
      <c r="I388" s="148"/>
      <c r="J388" s="148"/>
      <c r="K388" s="148"/>
      <c r="L388" s="148"/>
      <c r="M388" s="148"/>
      <c r="N388" s="148"/>
      <c r="O388" s="148"/>
      <c r="P388" s="148"/>
      <c r="Q388" s="148"/>
      <c r="R388" s="148"/>
      <c r="S388" s="148"/>
      <c r="T388" s="148"/>
      <c r="U388" s="148"/>
      <c r="V388" s="148"/>
      <c r="W388" s="148"/>
      <c r="X388" s="148"/>
      <c r="Y388" s="148"/>
      <c r="Z388" s="148"/>
      <c r="AA388" s="148"/>
      <c r="AB388" s="148"/>
      <c r="AC388" s="148"/>
      <c r="AD388" s="148"/>
      <c r="AE388" s="148"/>
    </row>
    <row r="389" spans="2:31">
      <c r="B389" s="148"/>
      <c r="C389" s="148"/>
      <c r="D389" s="148"/>
      <c r="E389" s="148"/>
      <c r="F389" s="148"/>
      <c r="G389" s="148"/>
      <c r="H389" s="148"/>
      <c r="I389" s="148"/>
      <c r="J389" s="148"/>
      <c r="K389" s="148"/>
      <c r="L389" s="148"/>
      <c r="M389" s="148"/>
      <c r="N389" s="148"/>
      <c r="O389" s="148"/>
      <c r="P389" s="148"/>
      <c r="Q389" s="148"/>
      <c r="R389" s="148"/>
      <c r="S389" s="148"/>
      <c r="T389" s="148"/>
      <c r="U389" s="148"/>
      <c r="V389" s="148"/>
      <c r="W389" s="148"/>
      <c r="X389" s="148"/>
      <c r="Y389" s="148"/>
      <c r="Z389" s="148"/>
      <c r="AA389" s="148"/>
      <c r="AB389" s="148"/>
      <c r="AC389" s="148"/>
      <c r="AD389" s="148"/>
      <c r="AE389" s="148"/>
    </row>
    <row r="390" spans="2:31">
      <c r="B390" s="148"/>
      <c r="C390" s="148"/>
      <c r="D390" s="148"/>
      <c r="E390" s="148"/>
      <c r="F390" s="148"/>
      <c r="G390" s="148"/>
      <c r="H390" s="148"/>
      <c r="I390" s="148"/>
      <c r="J390" s="148"/>
      <c r="K390" s="148"/>
      <c r="L390" s="148"/>
      <c r="M390" s="148"/>
      <c r="N390" s="148"/>
      <c r="O390" s="148"/>
      <c r="P390" s="148"/>
      <c r="Q390" s="148"/>
      <c r="R390" s="148"/>
      <c r="S390" s="148"/>
      <c r="T390" s="148"/>
      <c r="U390" s="148"/>
      <c r="V390" s="148"/>
      <c r="W390" s="148"/>
      <c r="X390" s="148"/>
      <c r="Y390" s="148"/>
      <c r="Z390" s="148"/>
      <c r="AA390" s="148"/>
      <c r="AB390" s="148"/>
      <c r="AC390" s="148"/>
      <c r="AD390" s="148"/>
      <c r="AE390" s="148"/>
    </row>
    <row r="391" spans="2:31">
      <c r="B391" s="148"/>
      <c r="C391" s="148"/>
      <c r="D391" s="148"/>
      <c r="E391" s="148"/>
      <c r="F391" s="148"/>
      <c r="G391" s="148"/>
      <c r="H391" s="148"/>
      <c r="I391" s="148"/>
      <c r="J391" s="148"/>
      <c r="K391" s="148"/>
      <c r="L391" s="148"/>
      <c r="M391" s="148"/>
      <c r="N391" s="148"/>
      <c r="O391" s="148"/>
      <c r="P391" s="148"/>
      <c r="Q391" s="148"/>
      <c r="R391" s="148"/>
      <c r="S391" s="148"/>
      <c r="T391" s="148"/>
      <c r="U391" s="148"/>
      <c r="V391" s="148"/>
      <c r="W391" s="148"/>
      <c r="X391" s="148"/>
      <c r="Y391" s="148"/>
      <c r="Z391" s="148"/>
      <c r="AA391" s="148"/>
      <c r="AB391" s="148"/>
      <c r="AC391" s="148"/>
      <c r="AD391" s="148"/>
      <c r="AE391" s="148"/>
    </row>
    <row r="392" spans="2:31">
      <c r="B392" s="148"/>
      <c r="C392" s="148"/>
      <c r="D392" s="148"/>
      <c r="E392" s="148"/>
      <c r="F392" s="148"/>
      <c r="G392" s="148"/>
      <c r="H392" s="148"/>
      <c r="I392" s="148"/>
      <c r="J392" s="148"/>
      <c r="K392" s="148"/>
      <c r="L392" s="148"/>
      <c r="M392" s="148"/>
      <c r="N392" s="148"/>
      <c r="O392" s="148"/>
      <c r="P392" s="148"/>
      <c r="Q392" s="148"/>
      <c r="R392" s="148"/>
      <c r="S392" s="148"/>
      <c r="T392" s="148"/>
      <c r="U392" s="148"/>
      <c r="V392" s="148"/>
      <c r="W392" s="148"/>
      <c r="X392" s="148"/>
      <c r="Y392" s="148"/>
      <c r="Z392" s="148"/>
      <c r="AA392" s="148"/>
      <c r="AB392" s="148"/>
      <c r="AC392" s="148"/>
      <c r="AD392" s="148"/>
      <c r="AE392" s="148"/>
    </row>
    <row r="393" spans="2:31">
      <c r="B393" s="148"/>
      <c r="C393" s="148"/>
      <c r="D393" s="148"/>
      <c r="E393" s="148"/>
      <c r="F393" s="148"/>
      <c r="G393" s="148"/>
      <c r="H393" s="148"/>
      <c r="I393" s="148"/>
      <c r="J393" s="148"/>
      <c r="K393" s="148"/>
      <c r="L393" s="148"/>
      <c r="M393" s="148"/>
      <c r="N393" s="148"/>
      <c r="O393" s="148"/>
      <c r="P393" s="148"/>
      <c r="Q393" s="148"/>
      <c r="R393" s="148"/>
      <c r="S393" s="148"/>
      <c r="T393" s="148"/>
      <c r="U393" s="148"/>
      <c r="V393" s="148"/>
      <c r="W393" s="148"/>
      <c r="X393" s="148"/>
      <c r="Y393" s="148"/>
      <c r="Z393" s="148"/>
      <c r="AA393" s="148"/>
      <c r="AB393" s="148"/>
      <c r="AC393" s="148"/>
      <c r="AD393" s="148"/>
      <c r="AE393" s="148"/>
    </row>
    <row r="394" spans="2:31">
      <c r="B394" s="148"/>
      <c r="C394" s="148"/>
      <c r="D394" s="148"/>
      <c r="E394" s="148"/>
      <c r="F394" s="148"/>
      <c r="G394" s="148"/>
      <c r="H394" s="148"/>
      <c r="I394" s="148"/>
      <c r="J394" s="148"/>
      <c r="K394" s="148"/>
      <c r="L394" s="148"/>
      <c r="M394" s="148"/>
      <c r="N394" s="148"/>
      <c r="O394" s="148"/>
      <c r="P394" s="148"/>
      <c r="Q394" s="148"/>
      <c r="R394" s="148"/>
      <c r="S394" s="148"/>
      <c r="T394" s="148"/>
      <c r="U394" s="148"/>
      <c r="V394" s="148"/>
      <c r="W394" s="148"/>
      <c r="X394" s="148"/>
      <c r="Y394" s="148"/>
      <c r="Z394" s="148"/>
      <c r="AA394" s="148"/>
      <c r="AB394" s="148"/>
      <c r="AC394" s="148"/>
      <c r="AD394" s="148"/>
      <c r="AE394" s="148"/>
    </row>
    <row r="395" spans="2:31">
      <c r="B395" s="148"/>
      <c r="C395" s="148"/>
      <c r="D395" s="148"/>
      <c r="E395" s="148"/>
      <c r="F395" s="148"/>
      <c r="G395" s="148"/>
      <c r="H395" s="148"/>
      <c r="I395" s="148"/>
      <c r="J395" s="148"/>
      <c r="K395" s="148"/>
      <c r="L395" s="148"/>
      <c r="M395" s="148"/>
      <c r="N395" s="148"/>
      <c r="O395" s="148"/>
      <c r="P395" s="148"/>
      <c r="Q395" s="148"/>
      <c r="R395" s="148"/>
      <c r="S395" s="148"/>
      <c r="T395" s="148"/>
      <c r="U395" s="148"/>
      <c r="V395" s="148"/>
      <c r="W395" s="148"/>
      <c r="X395" s="148"/>
      <c r="Y395" s="148"/>
      <c r="Z395" s="148"/>
      <c r="AA395" s="148"/>
      <c r="AB395" s="148"/>
      <c r="AC395" s="148"/>
      <c r="AD395" s="148"/>
      <c r="AE395" s="148"/>
    </row>
    <row r="396" spans="2:31">
      <c r="B396" s="148"/>
      <c r="C396" s="148"/>
      <c r="D396" s="148"/>
      <c r="E396" s="148"/>
      <c r="F396" s="148"/>
      <c r="G396" s="148"/>
      <c r="H396" s="148"/>
      <c r="I396" s="148"/>
      <c r="J396" s="148"/>
      <c r="K396" s="148"/>
      <c r="L396" s="148"/>
      <c r="M396" s="148"/>
      <c r="N396" s="148"/>
      <c r="O396" s="148"/>
      <c r="P396" s="148"/>
      <c r="Q396" s="148"/>
      <c r="R396" s="148"/>
      <c r="S396" s="148"/>
      <c r="T396" s="148"/>
      <c r="U396" s="148"/>
      <c r="V396" s="148"/>
      <c r="W396" s="148"/>
      <c r="X396" s="148"/>
      <c r="Y396" s="148"/>
      <c r="Z396" s="148"/>
      <c r="AA396" s="148"/>
      <c r="AB396" s="148"/>
      <c r="AC396" s="148"/>
      <c r="AD396" s="148"/>
      <c r="AE396" s="148"/>
    </row>
    <row r="397" spans="2:31">
      <c r="B397" s="148"/>
      <c r="C397" s="148"/>
      <c r="D397" s="148"/>
      <c r="E397" s="148"/>
      <c r="F397" s="148"/>
      <c r="G397" s="148"/>
      <c r="H397" s="148"/>
      <c r="I397" s="148"/>
      <c r="J397" s="148"/>
      <c r="K397" s="148"/>
      <c r="L397" s="148"/>
      <c r="M397" s="148"/>
      <c r="N397" s="148"/>
      <c r="O397" s="148"/>
      <c r="P397" s="148"/>
      <c r="Q397" s="148"/>
      <c r="R397" s="148"/>
      <c r="S397" s="148"/>
      <c r="T397" s="148"/>
      <c r="U397" s="148"/>
      <c r="V397" s="148"/>
      <c r="W397" s="148"/>
      <c r="X397" s="148"/>
      <c r="Y397" s="148"/>
      <c r="Z397" s="148"/>
      <c r="AA397" s="148"/>
      <c r="AB397" s="148"/>
      <c r="AC397" s="148"/>
      <c r="AD397" s="148"/>
      <c r="AE397" s="148"/>
    </row>
    <row r="398" spans="2:31">
      <c r="B398" s="148"/>
      <c r="C398" s="148"/>
      <c r="D398" s="148"/>
      <c r="E398" s="148"/>
      <c r="F398" s="148"/>
      <c r="G398" s="148"/>
      <c r="H398" s="148"/>
      <c r="I398" s="148"/>
      <c r="J398" s="148"/>
      <c r="K398" s="148"/>
      <c r="L398" s="148"/>
      <c r="M398" s="148"/>
      <c r="N398" s="148"/>
      <c r="O398" s="148"/>
      <c r="P398" s="148"/>
      <c r="Q398" s="148"/>
      <c r="R398" s="148"/>
      <c r="S398" s="148"/>
      <c r="T398" s="148"/>
      <c r="U398" s="148"/>
      <c r="V398" s="148"/>
      <c r="W398" s="148"/>
      <c r="X398" s="148"/>
      <c r="Y398" s="148"/>
      <c r="Z398" s="148"/>
      <c r="AA398" s="148"/>
      <c r="AB398" s="148"/>
      <c r="AC398" s="148"/>
      <c r="AD398" s="148"/>
      <c r="AE398" s="148"/>
    </row>
    <row r="399" spans="2:31">
      <c r="B399" s="148"/>
      <c r="C399" s="148"/>
      <c r="D399" s="148"/>
      <c r="E399" s="148"/>
      <c r="F399" s="148"/>
      <c r="G399" s="148"/>
      <c r="H399" s="148"/>
      <c r="I399" s="148"/>
      <c r="J399" s="148"/>
      <c r="K399" s="148"/>
      <c r="L399" s="148"/>
      <c r="M399" s="148"/>
      <c r="N399" s="148"/>
      <c r="O399" s="148"/>
      <c r="P399" s="148"/>
      <c r="Q399" s="148"/>
      <c r="R399" s="148"/>
      <c r="S399" s="148"/>
      <c r="T399" s="148"/>
      <c r="U399" s="148"/>
      <c r="V399" s="148"/>
      <c r="W399" s="148"/>
      <c r="X399" s="148"/>
      <c r="Y399" s="148"/>
      <c r="Z399" s="148"/>
      <c r="AA399" s="148"/>
      <c r="AB399" s="148"/>
      <c r="AC399" s="148"/>
      <c r="AD399" s="148"/>
      <c r="AE399" s="148"/>
    </row>
    <row r="400" spans="2:31">
      <c r="B400" s="148"/>
      <c r="C400" s="148"/>
      <c r="D400" s="148"/>
      <c r="E400" s="148"/>
      <c r="F400" s="148"/>
      <c r="G400" s="148"/>
      <c r="H400" s="148"/>
      <c r="I400" s="148"/>
      <c r="J400" s="148"/>
      <c r="K400" s="148"/>
      <c r="L400" s="148"/>
      <c r="M400" s="148"/>
      <c r="N400" s="148"/>
      <c r="O400" s="148"/>
      <c r="P400" s="148"/>
      <c r="Q400" s="148"/>
      <c r="R400" s="148"/>
      <c r="S400" s="148"/>
      <c r="T400" s="148"/>
      <c r="U400" s="148"/>
      <c r="V400" s="148"/>
      <c r="W400" s="148"/>
      <c r="X400" s="148"/>
      <c r="Y400" s="148"/>
      <c r="Z400" s="148"/>
      <c r="AA400" s="148"/>
      <c r="AB400" s="148"/>
      <c r="AC400" s="148"/>
      <c r="AD400" s="148"/>
      <c r="AE400" s="148"/>
    </row>
    <row r="401" spans="2:31">
      <c r="B401" s="148"/>
      <c r="C401" s="148"/>
      <c r="D401" s="148"/>
      <c r="E401" s="148"/>
      <c r="F401" s="148"/>
      <c r="G401" s="148"/>
      <c r="H401" s="148"/>
      <c r="I401" s="148"/>
      <c r="J401" s="148"/>
      <c r="K401" s="148"/>
      <c r="L401" s="148"/>
      <c r="M401" s="148"/>
      <c r="N401" s="148"/>
      <c r="O401" s="148"/>
      <c r="P401" s="148"/>
      <c r="Q401" s="148"/>
      <c r="R401" s="148"/>
      <c r="S401" s="148"/>
      <c r="T401" s="148"/>
      <c r="U401" s="148"/>
      <c r="V401" s="148"/>
      <c r="W401" s="148"/>
      <c r="X401" s="148"/>
      <c r="Y401" s="148"/>
      <c r="Z401" s="148"/>
      <c r="AA401" s="148"/>
      <c r="AB401" s="148"/>
      <c r="AC401" s="148"/>
      <c r="AD401" s="148"/>
      <c r="AE401" s="148"/>
    </row>
    <row r="402" spans="2:31">
      <c r="B402" s="148"/>
      <c r="C402" s="148"/>
      <c r="D402" s="148"/>
      <c r="E402" s="148"/>
      <c r="F402" s="148"/>
      <c r="G402" s="148"/>
      <c r="H402" s="148"/>
      <c r="I402" s="148"/>
      <c r="J402" s="148"/>
      <c r="K402" s="148"/>
      <c r="L402" s="148"/>
      <c r="M402" s="148"/>
      <c r="N402" s="148"/>
      <c r="O402" s="148"/>
      <c r="P402" s="148"/>
      <c r="Q402" s="148"/>
      <c r="R402" s="148"/>
      <c r="S402" s="148"/>
      <c r="T402" s="148"/>
      <c r="U402" s="148"/>
      <c r="V402" s="148"/>
      <c r="W402" s="148"/>
      <c r="X402" s="148"/>
      <c r="Y402" s="148"/>
      <c r="Z402" s="148"/>
      <c r="AA402" s="148"/>
      <c r="AB402" s="148"/>
      <c r="AC402" s="148"/>
      <c r="AD402" s="148"/>
      <c r="AE402" s="148"/>
    </row>
    <row r="403" spans="2:31">
      <c r="B403" s="148"/>
      <c r="C403" s="148"/>
      <c r="D403" s="148"/>
      <c r="E403" s="148"/>
      <c r="F403" s="148"/>
      <c r="G403" s="148"/>
      <c r="H403" s="148"/>
      <c r="I403" s="148"/>
      <c r="J403" s="148"/>
      <c r="K403" s="148"/>
      <c r="L403" s="148"/>
      <c r="M403" s="148"/>
      <c r="N403" s="148"/>
      <c r="O403" s="148"/>
      <c r="P403" s="148"/>
      <c r="Q403" s="148"/>
      <c r="R403" s="148"/>
      <c r="S403" s="148"/>
      <c r="T403" s="148"/>
      <c r="U403" s="148"/>
      <c r="V403" s="148"/>
      <c r="W403" s="148"/>
      <c r="X403" s="148"/>
      <c r="Y403" s="148"/>
      <c r="Z403" s="148"/>
      <c r="AA403" s="148"/>
      <c r="AB403" s="148"/>
      <c r="AC403" s="148"/>
      <c r="AD403" s="148"/>
      <c r="AE403" s="148"/>
    </row>
    <row r="404" spans="2:31">
      <c r="B404" s="148"/>
      <c r="C404" s="148"/>
      <c r="D404" s="148"/>
      <c r="E404" s="148"/>
      <c r="F404" s="148"/>
      <c r="G404" s="148"/>
      <c r="H404" s="148"/>
      <c r="I404" s="148"/>
      <c r="J404" s="148"/>
      <c r="K404" s="148"/>
      <c r="L404" s="148"/>
      <c r="M404" s="148"/>
      <c r="N404" s="148"/>
      <c r="O404" s="148"/>
      <c r="P404" s="148"/>
      <c r="Q404" s="148"/>
      <c r="R404" s="148"/>
      <c r="S404" s="148"/>
      <c r="T404" s="148"/>
      <c r="U404" s="148"/>
      <c r="V404" s="148"/>
      <c r="W404" s="148"/>
      <c r="X404" s="148"/>
      <c r="Y404" s="148"/>
      <c r="Z404" s="148"/>
      <c r="AA404" s="148"/>
      <c r="AB404" s="148"/>
      <c r="AC404" s="148"/>
      <c r="AD404" s="148"/>
      <c r="AE404" s="148"/>
    </row>
    <row r="405" spans="2:31">
      <c r="B405" s="148"/>
      <c r="C405" s="148"/>
      <c r="D405" s="148"/>
      <c r="E405" s="148"/>
      <c r="F405" s="148"/>
      <c r="G405" s="148"/>
      <c r="H405" s="148"/>
      <c r="I405" s="148"/>
      <c r="J405" s="148"/>
      <c r="K405" s="148"/>
      <c r="L405" s="148"/>
      <c r="M405" s="148"/>
      <c r="N405" s="148"/>
      <c r="O405" s="148"/>
      <c r="P405" s="148"/>
      <c r="Q405" s="148"/>
      <c r="R405" s="148"/>
      <c r="S405" s="148"/>
      <c r="T405" s="148"/>
      <c r="U405" s="148"/>
      <c r="V405" s="148"/>
      <c r="W405" s="148"/>
      <c r="X405" s="148"/>
      <c r="Y405" s="148"/>
      <c r="Z405" s="148"/>
      <c r="AA405" s="148"/>
      <c r="AB405" s="148"/>
      <c r="AC405" s="148"/>
      <c r="AD405" s="148"/>
      <c r="AE405" s="148"/>
    </row>
    <row r="406" spans="2:31">
      <c r="B406" s="148"/>
      <c r="C406" s="148"/>
      <c r="D406" s="148"/>
      <c r="E406" s="148"/>
      <c r="F406" s="148"/>
      <c r="G406" s="148"/>
      <c r="H406" s="148"/>
      <c r="I406" s="148"/>
      <c r="J406" s="148"/>
      <c r="K406" s="148"/>
      <c r="L406" s="148"/>
      <c r="M406" s="148"/>
      <c r="N406" s="148"/>
      <c r="O406" s="148"/>
      <c r="P406" s="148"/>
      <c r="Q406" s="148"/>
      <c r="R406" s="148"/>
      <c r="S406" s="148"/>
      <c r="T406" s="148"/>
      <c r="U406" s="148"/>
      <c r="V406" s="148"/>
      <c r="W406" s="148"/>
      <c r="X406" s="148"/>
      <c r="Y406" s="148"/>
      <c r="Z406" s="148"/>
      <c r="AA406" s="148"/>
      <c r="AB406" s="148"/>
      <c r="AC406" s="148"/>
      <c r="AD406" s="148"/>
      <c r="AE406" s="148"/>
    </row>
    <row r="407" spans="2:31">
      <c r="B407" s="148"/>
      <c r="C407" s="148"/>
      <c r="D407" s="148"/>
      <c r="E407" s="148"/>
      <c r="F407" s="148"/>
      <c r="G407" s="148"/>
      <c r="H407" s="148"/>
      <c r="I407" s="148"/>
      <c r="J407" s="148"/>
      <c r="K407" s="148"/>
      <c r="L407" s="148"/>
      <c r="M407" s="148"/>
      <c r="N407" s="148"/>
      <c r="O407" s="148"/>
      <c r="P407" s="148"/>
      <c r="Q407" s="148"/>
      <c r="R407" s="148"/>
      <c r="S407" s="148"/>
      <c r="T407" s="148"/>
      <c r="U407" s="148"/>
      <c r="V407" s="148"/>
      <c r="W407" s="148"/>
      <c r="X407" s="148"/>
      <c r="Y407" s="148"/>
      <c r="Z407" s="148"/>
      <c r="AA407" s="148"/>
      <c r="AB407" s="148"/>
      <c r="AC407" s="148"/>
      <c r="AD407" s="148"/>
      <c r="AE407" s="148"/>
    </row>
    <row r="408" spans="2:31">
      <c r="B408" s="148"/>
      <c r="C408" s="148"/>
      <c r="D408" s="148"/>
      <c r="E408" s="148"/>
      <c r="F408" s="148"/>
      <c r="G408" s="148"/>
      <c r="H408" s="148"/>
      <c r="I408" s="148"/>
      <c r="J408" s="148"/>
      <c r="K408" s="148"/>
      <c r="L408" s="148"/>
      <c r="M408" s="148"/>
      <c r="N408" s="148"/>
      <c r="O408" s="148"/>
      <c r="P408" s="148"/>
      <c r="Q408" s="148"/>
      <c r="R408" s="148"/>
      <c r="S408" s="148"/>
      <c r="T408" s="148"/>
      <c r="U408" s="148"/>
      <c r="V408" s="148"/>
      <c r="W408" s="148"/>
      <c r="X408" s="148"/>
      <c r="Y408" s="148"/>
      <c r="Z408" s="148"/>
      <c r="AA408" s="148"/>
      <c r="AB408" s="148"/>
      <c r="AC408" s="148"/>
      <c r="AD408" s="148"/>
      <c r="AE408" s="148"/>
    </row>
    <row r="409" spans="2:31">
      <c r="B409" s="148"/>
      <c r="C409" s="148"/>
      <c r="D409" s="148"/>
      <c r="E409" s="148"/>
      <c r="F409" s="148"/>
      <c r="G409" s="148"/>
      <c r="H409" s="148"/>
      <c r="I409" s="148"/>
      <c r="J409" s="148"/>
      <c r="K409" s="148"/>
      <c r="L409" s="148"/>
      <c r="M409" s="148"/>
      <c r="N409" s="148"/>
      <c r="O409" s="148"/>
      <c r="P409" s="148"/>
      <c r="Q409" s="148"/>
      <c r="R409" s="148"/>
      <c r="S409" s="148"/>
      <c r="T409" s="148"/>
      <c r="U409" s="148"/>
      <c r="V409" s="148"/>
      <c r="W409" s="148"/>
      <c r="X409" s="148"/>
      <c r="Y409" s="148"/>
      <c r="Z409" s="148"/>
      <c r="AA409" s="148"/>
      <c r="AB409" s="148"/>
      <c r="AC409" s="148"/>
      <c r="AD409" s="148"/>
      <c r="AE409" s="148"/>
    </row>
    <row r="410" spans="2:31">
      <c r="B410" s="148"/>
      <c r="C410" s="148"/>
      <c r="D410" s="148"/>
      <c r="E410" s="148"/>
      <c r="F410" s="148"/>
      <c r="G410" s="148"/>
      <c r="H410" s="148"/>
      <c r="I410" s="148"/>
      <c r="J410" s="148"/>
      <c r="K410" s="148"/>
      <c r="L410" s="148"/>
      <c r="M410" s="148"/>
      <c r="N410" s="148"/>
      <c r="O410" s="148"/>
      <c r="P410" s="148"/>
      <c r="Q410" s="148"/>
      <c r="R410" s="148"/>
      <c r="S410" s="148"/>
      <c r="T410" s="148"/>
      <c r="U410" s="148"/>
      <c r="V410" s="148"/>
      <c r="W410" s="148"/>
      <c r="X410" s="148"/>
      <c r="Y410" s="148"/>
      <c r="Z410" s="148"/>
      <c r="AA410" s="148"/>
      <c r="AB410" s="148"/>
      <c r="AC410" s="148"/>
      <c r="AD410" s="148"/>
      <c r="AE410" s="148"/>
    </row>
    <row r="411" spans="2:31">
      <c r="B411" s="148"/>
      <c r="C411" s="148"/>
      <c r="D411" s="148"/>
      <c r="E411" s="148"/>
      <c r="F411" s="148"/>
      <c r="G411" s="148"/>
      <c r="H411" s="148"/>
      <c r="I411" s="148"/>
      <c r="J411" s="148"/>
      <c r="K411" s="148"/>
      <c r="L411" s="148"/>
      <c r="M411" s="148"/>
      <c r="N411" s="148"/>
      <c r="O411" s="148"/>
      <c r="P411" s="148"/>
      <c r="Q411" s="148"/>
      <c r="R411" s="148"/>
      <c r="S411" s="148"/>
      <c r="T411" s="148"/>
      <c r="U411" s="148"/>
      <c r="V411" s="148"/>
      <c r="W411" s="148"/>
      <c r="X411" s="148"/>
      <c r="Y411" s="148"/>
      <c r="Z411" s="148"/>
      <c r="AA411" s="148"/>
      <c r="AB411" s="148"/>
      <c r="AC411" s="148"/>
      <c r="AD411" s="148"/>
      <c r="AE411" s="148"/>
    </row>
    <row r="412" spans="2:31">
      <c r="B412" s="148"/>
      <c r="C412" s="148"/>
      <c r="D412" s="148"/>
      <c r="E412" s="148"/>
      <c r="F412" s="148"/>
      <c r="G412" s="148"/>
      <c r="H412" s="148"/>
      <c r="I412" s="148"/>
      <c r="J412" s="148"/>
      <c r="K412" s="148"/>
      <c r="L412" s="148"/>
      <c r="M412" s="148"/>
      <c r="N412" s="148"/>
      <c r="O412" s="148"/>
      <c r="P412" s="148"/>
      <c r="Q412" s="148"/>
      <c r="R412" s="148"/>
      <c r="S412" s="148"/>
      <c r="T412" s="148"/>
      <c r="U412" s="148"/>
      <c r="V412" s="148"/>
      <c r="W412" s="148"/>
      <c r="X412" s="148"/>
      <c r="Y412" s="148"/>
      <c r="Z412" s="148"/>
      <c r="AA412" s="148"/>
      <c r="AB412" s="148"/>
      <c r="AC412" s="148"/>
      <c r="AD412" s="148"/>
      <c r="AE412" s="148"/>
    </row>
    <row r="413" spans="2:31">
      <c r="B413" s="148"/>
      <c r="C413" s="148"/>
      <c r="D413" s="148"/>
      <c r="E413" s="148"/>
      <c r="F413" s="148"/>
      <c r="G413" s="148"/>
      <c r="H413" s="148"/>
      <c r="I413" s="148"/>
      <c r="J413" s="148"/>
      <c r="K413" s="148"/>
      <c r="L413" s="148"/>
      <c r="M413" s="148"/>
      <c r="N413" s="148"/>
      <c r="O413" s="148"/>
      <c r="P413" s="148"/>
      <c r="Q413" s="148"/>
      <c r="R413" s="148"/>
      <c r="S413" s="148"/>
      <c r="T413" s="148"/>
      <c r="U413" s="148"/>
      <c r="V413" s="148"/>
      <c r="W413" s="148"/>
      <c r="X413" s="148"/>
      <c r="Y413" s="148"/>
      <c r="Z413" s="148"/>
      <c r="AA413" s="148"/>
      <c r="AB413" s="148"/>
      <c r="AC413" s="148"/>
      <c r="AD413" s="148"/>
      <c r="AE413" s="148"/>
    </row>
    <row r="414" spans="2:31">
      <c r="B414" s="148"/>
      <c r="C414" s="148"/>
      <c r="D414" s="148"/>
      <c r="E414" s="148"/>
      <c r="F414" s="148"/>
      <c r="G414" s="148"/>
      <c r="H414" s="148"/>
      <c r="I414" s="148"/>
      <c r="J414" s="148"/>
      <c r="K414" s="148"/>
      <c r="L414" s="148"/>
      <c r="M414" s="148"/>
      <c r="N414" s="148"/>
      <c r="O414" s="148"/>
      <c r="P414" s="148"/>
      <c r="Q414" s="148"/>
      <c r="R414" s="148"/>
      <c r="S414" s="148"/>
      <c r="T414" s="148"/>
      <c r="U414" s="148"/>
      <c r="V414" s="148"/>
      <c r="W414" s="148"/>
      <c r="X414" s="148"/>
      <c r="Y414" s="148"/>
      <c r="Z414" s="148"/>
      <c r="AA414" s="148"/>
      <c r="AB414" s="148"/>
      <c r="AC414" s="148"/>
      <c r="AD414" s="148"/>
      <c r="AE414" s="148"/>
    </row>
    <row r="415" spans="2:31">
      <c r="B415" s="148"/>
      <c r="C415" s="148"/>
      <c r="D415" s="148"/>
      <c r="E415" s="148"/>
      <c r="F415" s="148"/>
      <c r="G415" s="148"/>
      <c r="H415" s="148"/>
      <c r="I415" s="148"/>
      <c r="J415" s="148"/>
      <c r="K415" s="148"/>
      <c r="L415" s="148"/>
      <c r="M415" s="148"/>
      <c r="N415" s="148"/>
      <c r="O415" s="148"/>
      <c r="P415" s="148"/>
      <c r="Q415" s="148"/>
      <c r="R415" s="148"/>
      <c r="S415" s="148"/>
      <c r="T415" s="148"/>
      <c r="U415" s="148"/>
      <c r="V415" s="148"/>
      <c r="W415" s="148"/>
      <c r="X415" s="148"/>
      <c r="Y415" s="148"/>
      <c r="Z415" s="148"/>
      <c r="AA415" s="148"/>
      <c r="AB415" s="148"/>
      <c r="AC415" s="148"/>
      <c r="AD415" s="148"/>
      <c r="AE415" s="148"/>
    </row>
    <row r="416" spans="2:31">
      <c r="B416" s="148"/>
      <c r="C416" s="148"/>
      <c r="D416" s="148"/>
      <c r="E416" s="148"/>
      <c r="F416" s="148"/>
      <c r="G416" s="148"/>
      <c r="H416" s="148"/>
      <c r="I416" s="148"/>
      <c r="J416" s="148"/>
      <c r="K416" s="148"/>
      <c r="L416" s="148"/>
      <c r="M416" s="148"/>
      <c r="N416" s="148"/>
      <c r="O416" s="148"/>
      <c r="P416" s="148"/>
      <c r="Q416" s="148"/>
      <c r="R416" s="148"/>
      <c r="S416" s="148"/>
      <c r="T416" s="148"/>
      <c r="U416" s="148"/>
      <c r="V416" s="148"/>
      <c r="W416" s="148"/>
      <c r="X416" s="148"/>
      <c r="Y416" s="148"/>
      <c r="Z416" s="148"/>
      <c r="AA416" s="148"/>
      <c r="AB416" s="148"/>
      <c r="AC416" s="148"/>
      <c r="AD416" s="148"/>
      <c r="AE416" s="148"/>
    </row>
    <row r="417" spans="2:31">
      <c r="B417" s="148"/>
      <c r="C417" s="148"/>
      <c r="D417" s="148"/>
      <c r="E417" s="148"/>
      <c r="F417" s="148"/>
      <c r="G417" s="148"/>
      <c r="H417" s="148"/>
      <c r="I417" s="148"/>
      <c r="J417" s="148"/>
      <c r="K417" s="148"/>
      <c r="L417" s="148"/>
      <c r="M417" s="148"/>
      <c r="N417" s="148"/>
      <c r="O417" s="148"/>
      <c r="P417" s="148"/>
      <c r="Q417" s="148"/>
      <c r="R417" s="148"/>
      <c r="S417" s="148"/>
      <c r="T417" s="148"/>
      <c r="U417" s="148"/>
      <c r="V417" s="148"/>
      <c r="W417" s="148"/>
      <c r="X417" s="148"/>
      <c r="Y417" s="148"/>
      <c r="Z417" s="148"/>
      <c r="AA417" s="148"/>
      <c r="AB417" s="148"/>
      <c r="AC417" s="148"/>
      <c r="AD417" s="148"/>
      <c r="AE417" s="148"/>
    </row>
    <row r="418" spans="2:31">
      <c r="B418" s="148"/>
      <c r="C418" s="148"/>
      <c r="D418" s="148"/>
      <c r="E418" s="148"/>
      <c r="F418" s="148"/>
      <c r="G418" s="148"/>
      <c r="H418" s="148"/>
      <c r="I418" s="148"/>
      <c r="J418" s="148"/>
      <c r="K418" s="148"/>
      <c r="L418" s="148"/>
      <c r="M418" s="148"/>
      <c r="N418" s="148"/>
      <c r="O418" s="148"/>
      <c r="P418" s="148"/>
      <c r="Q418" s="148"/>
      <c r="R418" s="148"/>
      <c r="S418" s="148"/>
      <c r="T418" s="148"/>
      <c r="U418" s="148"/>
      <c r="V418" s="148"/>
      <c r="W418" s="148"/>
      <c r="X418" s="148"/>
      <c r="Y418" s="148"/>
      <c r="Z418" s="148"/>
      <c r="AA418" s="148"/>
      <c r="AB418" s="148"/>
      <c r="AC418" s="148"/>
      <c r="AD418" s="148"/>
      <c r="AE418" s="148"/>
    </row>
    <row r="419" spans="2:31">
      <c r="B419" s="148"/>
      <c r="C419" s="148"/>
      <c r="D419" s="148"/>
      <c r="E419" s="148"/>
      <c r="F419" s="148"/>
      <c r="G419" s="148"/>
      <c r="H419" s="148"/>
      <c r="I419" s="148"/>
      <c r="J419" s="148"/>
      <c r="K419" s="148"/>
      <c r="L419" s="148"/>
      <c r="M419" s="148"/>
      <c r="N419" s="148"/>
      <c r="O419" s="148"/>
      <c r="P419" s="148"/>
      <c r="Q419" s="148"/>
      <c r="R419" s="148"/>
      <c r="S419" s="148"/>
      <c r="T419" s="148"/>
      <c r="U419" s="148"/>
      <c r="V419" s="148"/>
      <c r="W419" s="148"/>
      <c r="X419" s="148"/>
      <c r="Y419" s="148"/>
      <c r="Z419" s="148"/>
      <c r="AA419" s="148"/>
      <c r="AB419" s="148"/>
      <c r="AC419" s="148"/>
      <c r="AD419" s="148"/>
      <c r="AE419" s="148"/>
    </row>
    <row r="420" spans="2:31">
      <c r="B420" s="148"/>
      <c r="C420" s="148"/>
      <c r="D420" s="148"/>
      <c r="E420" s="148"/>
      <c r="F420" s="148"/>
      <c r="G420" s="148"/>
      <c r="H420" s="148"/>
      <c r="I420" s="148"/>
      <c r="J420" s="148"/>
      <c r="K420" s="148"/>
      <c r="L420" s="148"/>
      <c r="M420" s="148"/>
      <c r="N420" s="148"/>
      <c r="O420" s="148"/>
      <c r="P420" s="148"/>
      <c r="Q420" s="148"/>
      <c r="R420" s="148"/>
      <c r="S420" s="148"/>
      <c r="T420" s="148"/>
      <c r="U420" s="148"/>
      <c r="V420" s="148"/>
      <c r="W420" s="148"/>
      <c r="X420" s="148"/>
      <c r="Y420" s="148"/>
      <c r="Z420" s="148"/>
      <c r="AA420" s="148"/>
      <c r="AB420" s="148"/>
      <c r="AC420" s="148"/>
      <c r="AD420" s="148"/>
      <c r="AE420" s="148"/>
    </row>
    <row r="421" spans="2:31">
      <c r="B421" s="148"/>
      <c r="C421" s="148"/>
      <c r="D421" s="148"/>
      <c r="E421" s="148"/>
      <c r="F421" s="148"/>
      <c r="G421" s="148"/>
      <c r="H421" s="148"/>
      <c r="I421" s="148"/>
      <c r="J421" s="148"/>
      <c r="K421" s="148"/>
      <c r="L421" s="148"/>
      <c r="M421" s="148"/>
      <c r="N421" s="148"/>
      <c r="O421" s="148"/>
      <c r="P421" s="148"/>
      <c r="Q421" s="148"/>
      <c r="R421" s="148"/>
      <c r="S421" s="148"/>
      <c r="T421" s="148"/>
      <c r="U421" s="148"/>
      <c r="V421" s="148"/>
      <c r="W421" s="148"/>
      <c r="X421" s="148"/>
      <c r="Y421" s="148"/>
      <c r="Z421" s="148"/>
      <c r="AA421" s="148"/>
      <c r="AB421" s="148"/>
      <c r="AC421" s="148"/>
      <c r="AD421" s="148"/>
      <c r="AE421" s="148"/>
    </row>
    <row r="422" spans="2:31">
      <c r="B422" s="148"/>
      <c r="C422" s="148"/>
      <c r="D422" s="148"/>
      <c r="E422" s="148"/>
      <c r="F422" s="148"/>
      <c r="G422" s="148"/>
      <c r="H422" s="148"/>
      <c r="I422" s="148"/>
      <c r="J422" s="148"/>
      <c r="K422" s="148"/>
      <c r="L422" s="148"/>
      <c r="M422" s="148"/>
      <c r="N422" s="148"/>
      <c r="O422" s="148"/>
      <c r="P422" s="148"/>
      <c r="Q422" s="148"/>
      <c r="R422" s="148"/>
      <c r="S422" s="148"/>
      <c r="T422" s="148"/>
      <c r="U422" s="148"/>
      <c r="V422" s="148"/>
      <c r="W422" s="148"/>
      <c r="X422" s="148"/>
      <c r="Y422" s="148"/>
      <c r="Z422" s="148"/>
      <c r="AA422" s="148"/>
      <c r="AB422" s="148"/>
      <c r="AC422" s="148"/>
      <c r="AD422" s="148"/>
      <c r="AE422" s="148"/>
    </row>
    <row r="423" spans="2:31">
      <c r="B423" s="148"/>
      <c r="C423" s="148"/>
      <c r="D423" s="148"/>
      <c r="E423" s="148"/>
      <c r="F423" s="148"/>
      <c r="G423" s="148"/>
      <c r="H423" s="148"/>
      <c r="I423" s="148"/>
      <c r="J423" s="148"/>
      <c r="K423" s="148"/>
      <c r="L423" s="148"/>
      <c r="M423" s="148"/>
      <c r="N423" s="148"/>
      <c r="O423" s="148"/>
      <c r="P423" s="148"/>
      <c r="Q423" s="148"/>
      <c r="R423" s="148"/>
      <c r="S423" s="148"/>
      <c r="T423" s="148"/>
      <c r="U423" s="148"/>
      <c r="V423" s="148"/>
      <c r="W423" s="148"/>
      <c r="X423" s="148"/>
      <c r="Y423" s="148"/>
      <c r="Z423" s="148"/>
      <c r="AA423" s="148"/>
      <c r="AB423" s="148"/>
      <c r="AC423" s="148"/>
      <c r="AD423" s="148"/>
      <c r="AE423" s="148"/>
    </row>
    <row r="424" spans="2:31">
      <c r="B424" s="148"/>
      <c r="C424" s="148"/>
      <c r="D424" s="148"/>
      <c r="E424" s="148"/>
      <c r="F424" s="148"/>
      <c r="G424" s="148"/>
      <c r="H424" s="148"/>
      <c r="I424" s="148"/>
      <c r="J424" s="148"/>
      <c r="K424" s="148"/>
      <c r="L424" s="148"/>
      <c r="M424" s="148"/>
      <c r="N424" s="148"/>
      <c r="O424" s="148"/>
      <c r="P424" s="148"/>
      <c r="Q424" s="148"/>
      <c r="R424" s="148"/>
      <c r="S424" s="148"/>
      <c r="T424" s="148"/>
      <c r="U424" s="148"/>
      <c r="V424" s="148"/>
      <c r="W424" s="148"/>
      <c r="X424" s="148"/>
      <c r="Y424" s="148"/>
      <c r="Z424" s="148"/>
      <c r="AA424" s="148"/>
      <c r="AB424" s="148"/>
      <c r="AC424" s="148"/>
      <c r="AD424" s="148"/>
      <c r="AE424" s="148"/>
    </row>
    <row r="425" spans="2:31">
      <c r="B425" s="148"/>
      <c r="C425" s="148"/>
      <c r="D425" s="148"/>
      <c r="E425" s="148"/>
      <c r="F425" s="148"/>
      <c r="G425" s="148"/>
      <c r="H425" s="148"/>
      <c r="I425" s="148"/>
      <c r="J425" s="148"/>
      <c r="K425" s="148"/>
      <c r="L425" s="148"/>
      <c r="M425" s="148"/>
      <c r="N425" s="148"/>
      <c r="O425" s="148"/>
      <c r="P425" s="148"/>
      <c r="Q425" s="148"/>
      <c r="R425" s="148"/>
      <c r="S425" s="148"/>
      <c r="T425" s="148"/>
      <c r="U425" s="148"/>
      <c r="V425" s="148"/>
      <c r="W425" s="148"/>
      <c r="X425" s="148"/>
      <c r="Y425" s="148"/>
      <c r="Z425" s="148"/>
      <c r="AA425" s="148"/>
      <c r="AB425" s="148"/>
      <c r="AC425" s="148"/>
      <c r="AD425" s="148"/>
      <c r="AE425" s="148"/>
    </row>
    <row r="426" spans="2:31">
      <c r="B426" s="148"/>
      <c r="C426" s="148"/>
      <c r="D426" s="148"/>
      <c r="E426" s="148"/>
      <c r="F426" s="148"/>
      <c r="G426" s="148"/>
      <c r="H426" s="148"/>
      <c r="I426" s="148"/>
      <c r="J426" s="148"/>
      <c r="K426" s="148"/>
      <c r="L426" s="148"/>
      <c r="M426" s="148"/>
      <c r="N426" s="148"/>
      <c r="O426" s="148"/>
      <c r="P426" s="148"/>
      <c r="Q426" s="148"/>
      <c r="R426" s="148"/>
      <c r="S426" s="148"/>
      <c r="T426" s="148"/>
      <c r="U426" s="148"/>
      <c r="V426" s="148"/>
      <c r="W426" s="148"/>
      <c r="X426" s="148"/>
      <c r="Y426" s="148"/>
      <c r="Z426" s="148"/>
      <c r="AA426" s="148"/>
      <c r="AB426" s="148"/>
      <c r="AC426" s="148"/>
      <c r="AD426" s="148"/>
      <c r="AE426" s="148"/>
    </row>
    <row r="427" spans="2:31">
      <c r="B427" s="148"/>
      <c r="C427" s="148"/>
      <c r="D427" s="148"/>
      <c r="E427" s="148"/>
      <c r="F427" s="148"/>
      <c r="G427" s="148"/>
      <c r="H427" s="148"/>
      <c r="I427" s="148"/>
      <c r="J427" s="148"/>
      <c r="K427" s="148"/>
      <c r="L427" s="148"/>
      <c r="M427" s="148"/>
      <c r="N427" s="148"/>
      <c r="O427" s="148"/>
      <c r="P427" s="148"/>
      <c r="Q427" s="148"/>
      <c r="R427" s="148"/>
      <c r="S427" s="148"/>
      <c r="T427" s="148"/>
      <c r="U427" s="148"/>
      <c r="V427" s="148"/>
      <c r="W427" s="148"/>
      <c r="X427" s="148"/>
      <c r="Y427" s="148"/>
      <c r="Z427" s="148"/>
      <c r="AA427" s="148"/>
      <c r="AB427" s="148"/>
      <c r="AC427" s="148"/>
      <c r="AD427" s="148"/>
      <c r="AE427" s="148"/>
    </row>
    <row r="428" spans="2:31">
      <c r="B428" s="148"/>
      <c r="C428" s="148"/>
      <c r="D428" s="148"/>
      <c r="E428" s="148"/>
      <c r="F428" s="148"/>
      <c r="G428" s="148"/>
      <c r="H428" s="148"/>
      <c r="I428" s="148"/>
      <c r="J428" s="148"/>
      <c r="K428" s="148"/>
      <c r="L428" s="148"/>
      <c r="M428" s="148"/>
      <c r="N428" s="148"/>
      <c r="O428" s="148"/>
      <c r="P428" s="148"/>
      <c r="Q428" s="148"/>
      <c r="R428" s="148"/>
      <c r="S428" s="148"/>
      <c r="T428" s="148"/>
      <c r="U428" s="148"/>
      <c r="V428" s="148"/>
      <c r="W428" s="148"/>
      <c r="X428" s="148"/>
      <c r="Y428" s="148"/>
      <c r="Z428" s="148"/>
      <c r="AA428" s="148"/>
      <c r="AB428" s="148"/>
      <c r="AC428" s="148"/>
      <c r="AD428" s="148"/>
      <c r="AE428" s="148"/>
    </row>
    <row r="429" spans="2:31">
      <c r="B429" s="148"/>
      <c r="C429" s="148"/>
      <c r="D429" s="148"/>
      <c r="E429" s="148"/>
      <c r="F429" s="148"/>
      <c r="G429" s="148"/>
      <c r="H429" s="148"/>
      <c r="I429" s="148"/>
      <c r="J429" s="148"/>
      <c r="K429" s="148"/>
      <c r="L429" s="148"/>
      <c r="M429" s="148"/>
      <c r="N429" s="148"/>
      <c r="O429" s="148"/>
      <c r="P429" s="148"/>
      <c r="Q429" s="148"/>
      <c r="R429" s="148"/>
      <c r="S429" s="148"/>
      <c r="T429" s="148"/>
      <c r="U429" s="148"/>
      <c r="V429" s="148"/>
      <c r="W429" s="148"/>
      <c r="X429" s="148"/>
      <c r="Y429" s="148"/>
      <c r="Z429" s="148"/>
      <c r="AA429" s="148"/>
      <c r="AB429" s="148"/>
      <c r="AC429" s="148"/>
      <c r="AD429" s="148"/>
      <c r="AE429" s="148"/>
    </row>
    <row r="430" spans="2:31">
      <c r="B430" s="148"/>
      <c r="C430" s="148"/>
      <c r="D430" s="148"/>
      <c r="E430" s="148"/>
      <c r="F430" s="148"/>
      <c r="G430" s="148"/>
      <c r="H430" s="148"/>
      <c r="I430" s="148"/>
      <c r="J430" s="148"/>
      <c r="K430" s="148"/>
      <c r="L430" s="148"/>
      <c r="M430" s="148"/>
      <c r="N430" s="148"/>
      <c r="O430" s="148"/>
      <c r="P430" s="148"/>
      <c r="Q430" s="148"/>
      <c r="R430" s="148"/>
      <c r="S430" s="148"/>
      <c r="T430" s="148"/>
      <c r="U430" s="148"/>
      <c r="V430" s="148"/>
      <c r="W430" s="148"/>
      <c r="X430" s="148"/>
      <c r="Y430" s="148"/>
      <c r="Z430" s="148"/>
      <c r="AA430" s="148"/>
      <c r="AB430" s="148"/>
      <c r="AC430" s="148"/>
      <c r="AD430" s="148"/>
      <c r="AE430" s="148"/>
    </row>
    <row r="431" spans="2:31">
      <c r="B431" s="148"/>
      <c r="C431" s="148"/>
      <c r="D431" s="148"/>
      <c r="E431" s="148"/>
      <c r="F431" s="148"/>
      <c r="G431" s="148"/>
      <c r="H431" s="148"/>
      <c r="I431" s="148"/>
      <c r="J431" s="148"/>
      <c r="K431" s="148"/>
      <c r="L431" s="148"/>
      <c r="M431" s="148"/>
      <c r="N431" s="148"/>
      <c r="O431" s="148"/>
      <c r="P431" s="148"/>
      <c r="Q431" s="148"/>
      <c r="R431" s="148"/>
      <c r="S431" s="148"/>
      <c r="T431" s="148"/>
      <c r="U431" s="148"/>
      <c r="V431" s="148"/>
      <c r="W431" s="148"/>
      <c r="X431" s="148"/>
      <c r="Y431" s="148"/>
      <c r="Z431" s="148"/>
      <c r="AA431" s="148"/>
      <c r="AB431" s="148"/>
      <c r="AC431" s="148"/>
      <c r="AD431" s="148"/>
      <c r="AE431" s="148"/>
    </row>
    <row r="432" spans="2:31">
      <c r="B432" s="148"/>
      <c r="C432" s="148"/>
      <c r="D432" s="148"/>
      <c r="E432" s="148"/>
      <c r="F432" s="148"/>
      <c r="G432" s="148"/>
      <c r="H432" s="148"/>
      <c r="I432" s="148"/>
      <c r="J432" s="148"/>
      <c r="K432" s="148"/>
      <c r="L432" s="148"/>
      <c r="M432" s="148"/>
      <c r="N432" s="148"/>
      <c r="O432" s="148"/>
      <c r="P432" s="148"/>
      <c r="Q432" s="148"/>
      <c r="R432" s="148"/>
      <c r="S432" s="148"/>
      <c r="T432" s="148"/>
      <c r="U432" s="148"/>
      <c r="V432" s="148"/>
      <c r="W432" s="148"/>
      <c r="X432" s="148"/>
      <c r="Y432" s="148"/>
      <c r="Z432" s="148"/>
      <c r="AA432" s="148"/>
      <c r="AB432" s="148"/>
      <c r="AC432" s="148"/>
      <c r="AD432" s="148"/>
      <c r="AE432" s="148"/>
    </row>
    <row r="433" spans="2:31">
      <c r="B433" s="148"/>
      <c r="C433" s="148"/>
      <c r="D433" s="148"/>
      <c r="E433" s="148"/>
      <c r="F433" s="148"/>
      <c r="G433" s="148"/>
      <c r="H433" s="148"/>
      <c r="I433" s="148"/>
      <c r="J433" s="148"/>
      <c r="K433" s="148"/>
      <c r="L433" s="148"/>
      <c r="M433" s="148"/>
      <c r="N433" s="148"/>
      <c r="O433" s="148"/>
      <c r="P433" s="148"/>
      <c r="Q433" s="148"/>
      <c r="R433" s="148"/>
      <c r="S433" s="148"/>
      <c r="T433" s="148"/>
      <c r="U433" s="148"/>
      <c r="V433" s="148"/>
      <c r="W433" s="148"/>
      <c r="X433" s="148"/>
      <c r="Y433" s="148"/>
      <c r="Z433" s="148"/>
      <c r="AA433" s="148"/>
      <c r="AB433" s="148"/>
      <c r="AC433" s="148"/>
      <c r="AD433" s="148"/>
      <c r="AE433" s="148"/>
    </row>
    <row r="434" spans="2:31">
      <c r="B434" s="148"/>
      <c r="C434" s="148"/>
      <c r="D434" s="148"/>
      <c r="E434" s="148"/>
      <c r="F434" s="148"/>
      <c r="G434" s="148"/>
      <c r="H434" s="148"/>
      <c r="I434" s="148"/>
      <c r="J434" s="148"/>
      <c r="K434" s="148"/>
      <c r="L434" s="148"/>
      <c r="M434" s="148"/>
      <c r="N434" s="148"/>
      <c r="O434" s="148"/>
      <c r="P434" s="148"/>
      <c r="Q434" s="148"/>
      <c r="R434" s="148"/>
      <c r="S434" s="148"/>
      <c r="T434" s="148"/>
      <c r="U434" s="148"/>
      <c r="V434" s="148"/>
      <c r="W434" s="148"/>
      <c r="X434" s="148"/>
      <c r="Y434" s="148"/>
      <c r="Z434" s="148"/>
      <c r="AA434" s="148"/>
      <c r="AB434" s="148"/>
      <c r="AC434" s="148"/>
      <c r="AD434" s="148"/>
      <c r="AE434" s="148"/>
    </row>
    <row r="435" spans="2:31">
      <c r="B435" s="148"/>
      <c r="C435" s="148"/>
      <c r="D435" s="148"/>
      <c r="E435" s="148"/>
      <c r="F435" s="148"/>
      <c r="G435" s="148"/>
      <c r="H435" s="148"/>
      <c r="I435" s="148"/>
      <c r="J435" s="148"/>
      <c r="K435" s="148"/>
      <c r="L435" s="148"/>
      <c r="M435" s="148"/>
      <c r="N435" s="148"/>
      <c r="O435" s="148"/>
      <c r="P435" s="148"/>
      <c r="Q435" s="148"/>
      <c r="R435" s="148"/>
      <c r="S435" s="148"/>
      <c r="T435" s="148"/>
      <c r="U435" s="148"/>
      <c r="V435" s="148"/>
      <c r="W435" s="148"/>
      <c r="X435" s="148"/>
      <c r="Y435" s="148"/>
      <c r="Z435" s="148"/>
      <c r="AA435" s="148"/>
      <c r="AB435" s="148"/>
      <c r="AC435" s="148"/>
      <c r="AD435" s="148"/>
      <c r="AE435" s="148"/>
    </row>
    <row r="436" spans="2:31">
      <c r="B436" s="148"/>
      <c r="C436" s="148"/>
      <c r="D436" s="148"/>
      <c r="E436" s="148"/>
      <c r="F436" s="148"/>
      <c r="G436" s="148"/>
      <c r="H436" s="148"/>
      <c r="I436" s="148"/>
      <c r="J436" s="148"/>
      <c r="K436" s="148"/>
      <c r="L436" s="148"/>
      <c r="M436" s="148"/>
      <c r="N436" s="148"/>
      <c r="O436" s="148"/>
      <c r="P436" s="148"/>
      <c r="Q436" s="148"/>
      <c r="R436" s="148"/>
      <c r="S436" s="148"/>
      <c r="T436" s="148"/>
      <c r="U436" s="148"/>
      <c r="V436" s="148"/>
      <c r="W436" s="148"/>
      <c r="X436" s="148"/>
      <c r="Y436" s="148"/>
      <c r="Z436" s="148"/>
      <c r="AA436" s="148"/>
      <c r="AB436" s="148"/>
      <c r="AC436" s="148"/>
      <c r="AD436" s="148"/>
      <c r="AE436" s="148"/>
    </row>
    <row r="437" spans="2:31">
      <c r="B437" s="148"/>
      <c r="C437" s="148"/>
      <c r="D437" s="148"/>
      <c r="E437" s="148"/>
      <c r="F437" s="148"/>
      <c r="G437" s="148"/>
      <c r="H437" s="148"/>
      <c r="I437" s="148"/>
      <c r="J437" s="148"/>
      <c r="K437" s="148"/>
      <c r="L437" s="148"/>
      <c r="M437" s="148"/>
      <c r="N437" s="148"/>
      <c r="O437" s="148"/>
      <c r="P437" s="148"/>
      <c r="Q437" s="148"/>
      <c r="R437" s="148"/>
      <c r="S437" s="148"/>
      <c r="T437" s="148"/>
      <c r="U437" s="148"/>
      <c r="V437" s="148"/>
      <c r="W437" s="148"/>
      <c r="X437" s="148"/>
      <c r="Y437" s="148"/>
      <c r="Z437" s="148"/>
      <c r="AA437" s="148"/>
      <c r="AB437" s="148"/>
      <c r="AC437" s="148"/>
      <c r="AD437" s="148"/>
      <c r="AE437" s="148"/>
    </row>
    <row r="438" spans="2:31">
      <c r="B438" s="148"/>
      <c r="C438" s="148"/>
      <c r="D438" s="148"/>
      <c r="E438" s="148"/>
      <c r="F438" s="148"/>
      <c r="G438" s="148"/>
      <c r="H438" s="148"/>
      <c r="I438" s="148"/>
      <c r="J438" s="148"/>
      <c r="K438" s="148"/>
      <c r="L438" s="148"/>
      <c r="M438" s="148"/>
      <c r="N438" s="148"/>
      <c r="O438" s="148"/>
      <c r="P438" s="148"/>
      <c r="Q438" s="148"/>
      <c r="R438" s="148"/>
      <c r="S438" s="148"/>
      <c r="T438" s="148"/>
      <c r="U438" s="148"/>
      <c r="V438" s="148"/>
      <c r="W438" s="148"/>
      <c r="X438" s="148"/>
      <c r="Y438" s="148"/>
      <c r="Z438" s="148"/>
      <c r="AA438" s="148"/>
      <c r="AB438" s="148"/>
      <c r="AC438" s="148"/>
      <c r="AD438" s="148"/>
      <c r="AE438" s="148"/>
    </row>
    <row r="439" spans="2:31">
      <c r="B439" s="148"/>
      <c r="C439" s="148"/>
      <c r="D439" s="148"/>
      <c r="E439" s="148"/>
      <c r="F439" s="148"/>
      <c r="G439" s="148"/>
      <c r="H439" s="148"/>
      <c r="I439" s="148"/>
      <c r="J439" s="148"/>
      <c r="K439" s="148"/>
      <c r="L439" s="148"/>
      <c r="M439" s="148"/>
      <c r="N439" s="148"/>
      <c r="O439" s="148"/>
      <c r="P439" s="148"/>
      <c r="Q439" s="148"/>
      <c r="R439" s="148"/>
      <c r="S439" s="148"/>
      <c r="T439" s="148"/>
      <c r="U439" s="148"/>
      <c r="V439" s="148"/>
      <c r="W439" s="148"/>
      <c r="X439" s="148"/>
      <c r="Y439" s="148"/>
      <c r="Z439" s="148"/>
      <c r="AA439" s="148"/>
      <c r="AB439" s="148"/>
      <c r="AC439" s="148"/>
      <c r="AD439" s="148"/>
      <c r="AE439" s="148"/>
    </row>
    <row r="440" spans="2:31">
      <c r="B440" s="148"/>
      <c r="C440" s="148"/>
      <c r="D440" s="148"/>
      <c r="E440" s="148"/>
      <c r="F440" s="148"/>
      <c r="G440" s="148"/>
      <c r="H440" s="148"/>
      <c r="I440" s="148"/>
      <c r="J440" s="148"/>
      <c r="K440" s="148"/>
      <c r="L440" s="148"/>
      <c r="M440" s="148"/>
      <c r="N440" s="148"/>
      <c r="O440" s="148"/>
      <c r="P440" s="148"/>
      <c r="Q440" s="148"/>
      <c r="R440" s="148"/>
      <c r="S440" s="148"/>
      <c r="T440" s="148"/>
      <c r="U440" s="148"/>
      <c r="V440" s="148"/>
      <c r="W440" s="148"/>
      <c r="X440" s="148"/>
      <c r="Y440" s="148"/>
      <c r="Z440" s="148"/>
      <c r="AA440" s="148"/>
      <c r="AB440" s="148"/>
      <c r="AC440" s="148"/>
      <c r="AD440" s="148"/>
      <c r="AE440" s="148"/>
    </row>
    <row r="441" spans="2:31">
      <c r="B441" s="148"/>
      <c r="C441" s="148"/>
      <c r="D441" s="148"/>
      <c r="E441" s="148"/>
      <c r="F441" s="148"/>
      <c r="G441" s="148"/>
      <c r="H441" s="148"/>
      <c r="I441" s="148"/>
      <c r="J441" s="148"/>
      <c r="K441" s="148"/>
      <c r="L441" s="148"/>
      <c r="M441" s="148"/>
      <c r="N441" s="148"/>
      <c r="O441" s="148"/>
      <c r="P441" s="148"/>
      <c r="Q441" s="148"/>
      <c r="R441" s="148"/>
      <c r="S441" s="148"/>
      <c r="T441" s="148"/>
      <c r="U441" s="148"/>
      <c r="V441" s="148"/>
      <c r="W441" s="148"/>
      <c r="X441" s="148"/>
      <c r="Y441" s="148"/>
      <c r="Z441" s="148"/>
      <c r="AA441" s="148"/>
      <c r="AB441" s="148"/>
      <c r="AC441" s="148"/>
      <c r="AD441" s="148"/>
      <c r="AE441" s="148"/>
    </row>
    <row r="442" spans="2:31">
      <c r="B442" s="148"/>
      <c r="C442" s="148"/>
      <c r="D442" s="148"/>
      <c r="E442" s="148"/>
      <c r="F442" s="148"/>
      <c r="G442" s="148"/>
      <c r="H442" s="148"/>
      <c r="I442" s="148"/>
      <c r="J442" s="148"/>
      <c r="K442" s="148"/>
      <c r="L442" s="148"/>
      <c r="M442" s="148"/>
      <c r="N442" s="148"/>
      <c r="O442" s="148"/>
      <c r="P442" s="148"/>
      <c r="Q442" s="148"/>
      <c r="R442" s="148"/>
      <c r="S442" s="148"/>
      <c r="T442" s="148"/>
      <c r="U442" s="148"/>
      <c r="V442" s="148"/>
      <c r="W442" s="148"/>
      <c r="X442" s="148"/>
      <c r="Y442" s="148"/>
      <c r="Z442" s="148"/>
      <c r="AA442" s="148"/>
      <c r="AB442" s="148"/>
      <c r="AC442" s="148"/>
      <c r="AD442" s="148"/>
      <c r="AE442" s="148"/>
    </row>
    <row r="443" spans="2:31">
      <c r="B443" s="148"/>
      <c r="C443" s="148"/>
      <c r="D443" s="148"/>
      <c r="E443" s="148"/>
      <c r="F443" s="148"/>
      <c r="G443" s="148"/>
      <c r="H443" s="148"/>
      <c r="I443" s="148"/>
      <c r="J443" s="148"/>
      <c r="K443" s="148"/>
      <c r="L443" s="148"/>
      <c r="M443" s="148"/>
      <c r="N443" s="148"/>
      <c r="O443" s="148"/>
      <c r="P443" s="148"/>
      <c r="Q443" s="148"/>
      <c r="R443" s="148"/>
      <c r="S443" s="148"/>
      <c r="T443" s="148"/>
      <c r="U443" s="148"/>
      <c r="V443" s="148"/>
      <c r="W443" s="148"/>
      <c r="X443" s="148"/>
      <c r="Y443" s="148"/>
      <c r="Z443" s="148"/>
      <c r="AA443" s="148"/>
      <c r="AB443" s="148"/>
      <c r="AC443" s="148"/>
      <c r="AD443" s="148"/>
      <c r="AE443" s="148"/>
    </row>
    <row r="444" spans="2:31">
      <c r="B444" s="148"/>
      <c r="C444" s="148"/>
      <c r="D444" s="148"/>
      <c r="E444" s="148"/>
      <c r="F444" s="148"/>
      <c r="G444" s="148"/>
      <c r="H444" s="148"/>
      <c r="I444" s="148"/>
      <c r="J444" s="148"/>
      <c r="K444" s="148"/>
      <c r="L444" s="148"/>
      <c r="M444" s="148"/>
      <c r="N444" s="148"/>
      <c r="O444" s="148"/>
      <c r="P444" s="148"/>
      <c r="Q444" s="148"/>
      <c r="R444" s="148"/>
      <c r="S444" s="148"/>
      <c r="T444" s="148"/>
      <c r="U444" s="148"/>
      <c r="V444" s="148"/>
      <c r="W444" s="148"/>
      <c r="X444" s="148"/>
      <c r="Y444" s="148"/>
      <c r="Z444" s="148"/>
      <c r="AA444" s="148"/>
      <c r="AB444" s="148"/>
      <c r="AC444" s="148"/>
      <c r="AD444" s="148"/>
      <c r="AE444" s="148"/>
    </row>
    <row r="445" spans="2:31">
      <c r="B445" s="148"/>
      <c r="C445" s="148"/>
      <c r="D445" s="148"/>
      <c r="E445" s="148"/>
      <c r="F445" s="148"/>
      <c r="G445" s="148"/>
      <c r="H445" s="148"/>
      <c r="I445" s="148"/>
      <c r="J445" s="148"/>
      <c r="K445" s="148"/>
      <c r="L445" s="148"/>
      <c r="M445" s="148"/>
      <c r="N445" s="148"/>
      <c r="O445" s="148"/>
      <c r="P445" s="148"/>
      <c r="Q445" s="148"/>
      <c r="R445" s="148"/>
      <c r="S445" s="148"/>
      <c r="T445" s="148"/>
      <c r="U445" s="148"/>
      <c r="V445" s="148"/>
      <c r="W445" s="148"/>
      <c r="X445" s="148"/>
      <c r="Y445" s="148"/>
      <c r="Z445" s="148"/>
      <c r="AA445" s="148"/>
      <c r="AB445" s="148"/>
      <c r="AC445" s="148"/>
      <c r="AD445" s="148"/>
      <c r="AE445" s="148"/>
    </row>
    <row r="446" spans="2:31">
      <c r="B446" s="148"/>
      <c r="C446" s="148"/>
      <c r="D446" s="148"/>
      <c r="E446" s="148"/>
      <c r="F446" s="148"/>
      <c r="G446" s="148"/>
      <c r="H446" s="148"/>
      <c r="I446" s="148"/>
      <c r="J446" s="148"/>
      <c r="K446" s="148"/>
      <c r="L446" s="148"/>
      <c r="M446" s="148"/>
      <c r="N446" s="148"/>
      <c r="O446" s="148"/>
      <c r="P446" s="148"/>
      <c r="Q446" s="148"/>
      <c r="R446" s="148"/>
      <c r="S446" s="148"/>
      <c r="T446" s="148"/>
      <c r="U446" s="148"/>
      <c r="V446" s="148"/>
      <c r="W446" s="148"/>
      <c r="X446" s="148"/>
      <c r="Y446" s="148"/>
      <c r="Z446" s="148"/>
      <c r="AA446" s="148"/>
      <c r="AB446" s="148"/>
      <c r="AC446" s="148"/>
      <c r="AD446" s="148"/>
      <c r="AE446" s="148"/>
    </row>
    <row r="447" spans="2:31">
      <c r="B447" s="148"/>
      <c r="C447" s="148"/>
      <c r="D447" s="148"/>
      <c r="E447" s="148"/>
      <c r="F447" s="148"/>
      <c r="G447" s="148"/>
      <c r="H447" s="148"/>
      <c r="I447" s="148"/>
      <c r="J447" s="148"/>
      <c r="K447" s="148"/>
      <c r="L447" s="148"/>
      <c r="M447" s="148"/>
      <c r="N447" s="148"/>
      <c r="O447" s="148"/>
      <c r="P447" s="148"/>
      <c r="Q447" s="148"/>
      <c r="R447" s="148"/>
      <c r="S447" s="148"/>
      <c r="T447" s="148"/>
      <c r="U447" s="148"/>
      <c r="V447" s="148"/>
      <c r="W447" s="148"/>
      <c r="X447" s="148"/>
      <c r="Y447" s="148"/>
      <c r="Z447" s="148"/>
      <c r="AA447" s="148"/>
      <c r="AB447" s="148"/>
      <c r="AC447" s="148"/>
      <c r="AD447" s="148"/>
      <c r="AE447" s="148"/>
    </row>
    <row r="448" spans="2:31">
      <c r="B448" s="148"/>
      <c r="C448" s="148"/>
      <c r="D448" s="148"/>
      <c r="E448" s="148"/>
      <c r="F448" s="148"/>
      <c r="G448" s="148"/>
      <c r="H448" s="148"/>
      <c r="I448" s="148"/>
      <c r="J448" s="148"/>
      <c r="K448" s="148"/>
      <c r="L448" s="148"/>
      <c r="M448" s="148"/>
      <c r="N448" s="148"/>
      <c r="O448" s="148"/>
      <c r="P448" s="148"/>
      <c r="Q448" s="148"/>
      <c r="R448" s="148"/>
      <c r="S448" s="148"/>
      <c r="T448" s="148"/>
      <c r="U448" s="148"/>
      <c r="V448" s="148"/>
      <c r="W448" s="148"/>
      <c r="X448" s="148"/>
      <c r="Y448" s="148"/>
      <c r="Z448" s="148"/>
      <c r="AA448" s="148"/>
      <c r="AB448" s="148"/>
      <c r="AC448" s="148"/>
      <c r="AD448" s="148"/>
      <c r="AE448" s="148"/>
    </row>
    <row r="449" spans="2:31">
      <c r="B449" s="148"/>
      <c r="C449" s="148"/>
      <c r="D449" s="148"/>
      <c r="E449" s="148"/>
      <c r="F449" s="148"/>
      <c r="G449" s="148"/>
      <c r="H449" s="148"/>
      <c r="I449" s="148"/>
      <c r="J449" s="148"/>
      <c r="K449" s="148"/>
      <c r="L449" s="148"/>
      <c r="M449" s="148"/>
      <c r="N449" s="148"/>
      <c r="O449" s="148"/>
      <c r="P449" s="148"/>
      <c r="Q449" s="148"/>
      <c r="R449" s="148"/>
      <c r="S449" s="148"/>
      <c r="T449" s="148"/>
      <c r="U449" s="148"/>
      <c r="V449" s="148"/>
      <c r="W449" s="148"/>
      <c r="X449" s="148"/>
      <c r="Y449" s="148"/>
      <c r="Z449" s="148"/>
      <c r="AA449" s="148"/>
      <c r="AB449" s="148"/>
      <c r="AC449" s="148"/>
      <c r="AD449" s="148"/>
      <c r="AE449" s="148"/>
    </row>
    <row r="450" spans="2:31">
      <c r="B450" s="148"/>
      <c r="C450" s="148"/>
      <c r="D450" s="148"/>
      <c r="E450" s="148"/>
      <c r="F450" s="148"/>
      <c r="G450" s="148"/>
      <c r="H450" s="148"/>
      <c r="I450" s="148"/>
      <c r="J450" s="148"/>
      <c r="K450" s="148"/>
      <c r="L450" s="148"/>
      <c r="M450" s="148"/>
      <c r="N450" s="148"/>
      <c r="O450" s="148"/>
      <c r="P450" s="148"/>
      <c r="Q450" s="148"/>
      <c r="R450" s="148"/>
      <c r="S450" s="148"/>
      <c r="T450" s="148"/>
      <c r="U450" s="148"/>
      <c r="V450" s="148"/>
      <c r="W450" s="148"/>
      <c r="X450" s="148"/>
      <c r="Y450" s="148"/>
      <c r="Z450" s="148"/>
      <c r="AA450" s="148"/>
      <c r="AB450" s="148"/>
      <c r="AC450" s="148"/>
      <c r="AD450" s="148"/>
      <c r="AE450" s="148"/>
    </row>
    <row r="451" spans="2:31">
      <c r="B451" s="148"/>
      <c r="C451" s="148"/>
      <c r="D451" s="148"/>
      <c r="E451" s="148"/>
      <c r="F451" s="148"/>
      <c r="G451" s="148"/>
      <c r="H451" s="148"/>
      <c r="I451" s="148"/>
      <c r="J451" s="148"/>
      <c r="K451" s="148"/>
      <c r="L451" s="148"/>
      <c r="M451" s="148"/>
      <c r="N451" s="148"/>
      <c r="O451" s="148"/>
      <c r="P451" s="148"/>
      <c r="Q451" s="148"/>
      <c r="R451" s="148"/>
      <c r="S451" s="148"/>
      <c r="T451" s="148"/>
      <c r="U451" s="148"/>
      <c r="V451" s="148"/>
      <c r="W451" s="148"/>
      <c r="X451" s="148"/>
      <c r="Y451" s="148"/>
      <c r="Z451" s="148"/>
      <c r="AA451" s="148"/>
      <c r="AB451" s="148"/>
      <c r="AC451" s="148"/>
      <c r="AD451" s="148"/>
      <c r="AE451" s="148"/>
    </row>
    <row r="452" spans="2:31">
      <c r="B452" s="148"/>
      <c r="C452" s="148"/>
      <c r="D452" s="148"/>
      <c r="E452" s="148"/>
      <c r="F452" s="148"/>
      <c r="G452" s="148"/>
      <c r="H452" s="148"/>
      <c r="I452" s="148"/>
      <c r="J452" s="148"/>
      <c r="K452" s="148"/>
      <c r="L452" s="148"/>
      <c r="M452" s="148"/>
      <c r="N452" s="148"/>
      <c r="O452" s="148"/>
      <c r="P452" s="148"/>
      <c r="Q452" s="148"/>
      <c r="R452" s="148"/>
      <c r="S452" s="148"/>
      <c r="T452" s="148"/>
      <c r="U452" s="148"/>
      <c r="V452" s="148"/>
      <c r="W452" s="148"/>
      <c r="X452" s="148"/>
      <c r="Y452" s="148"/>
      <c r="Z452" s="148"/>
      <c r="AA452" s="148"/>
      <c r="AB452" s="148"/>
      <c r="AC452" s="148"/>
      <c r="AD452" s="148"/>
      <c r="AE452" s="148"/>
    </row>
    <row r="453" spans="2:31">
      <c r="B453" s="148"/>
      <c r="C453" s="148"/>
      <c r="D453" s="148"/>
      <c r="E453" s="148"/>
      <c r="F453" s="148"/>
      <c r="G453" s="148"/>
      <c r="H453" s="148"/>
      <c r="I453" s="148"/>
      <c r="J453" s="148"/>
      <c r="K453" s="148"/>
      <c r="L453" s="148"/>
      <c r="M453" s="148"/>
      <c r="N453" s="148"/>
      <c r="O453" s="148"/>
      <c r="P453" s="148"/>
      <c r="Q453" s="148"/>
      <c r="R453" s="148"/>
      <c r="S453" s="148"/>
      <c r="T453" s="148"/>
      <c r="U453" s="148"/>
      <c r="V453" s="148"/>
      <c r="W453" s="148"/>
      <c r="X453" s="148"/>
      <c r="Y453" s="148"/>
      <c r="Z453" s="148"/>
      <c r="AA453" s="148"/>
      <c r="AB453" s="148"/>
      <c r="AC453" s="148"/>
      <c r="AD453" s="148"/>
      <c r="AE453" s="148"/>
    </row>
    <row r="454" spans="2:31">
      <c r="B454" s="148"/>
      <c r="C454" s="148"/>
      <c r="D454" s="148"/>
      <c r="E454" s="148"/>
      <c r="F454" s="148"/>
      <c r="G454" s="148"/>
      <c r="H454" s="148"/>
      <c r="I454" s="148"/>
      <c r="J454" s="148"/>
      <c r="K454" s="148"/>
      <c r="L454" s="148"/>
      <c r="M454" s="148"/>
      <c r="N454" s="148"/>
      <c r="O454" s="148"/>
      <c r="P454" s="148"/>
      <c r="Q454" s="148"/>
      <c r="R454" s="148"/>
      <c r="S454" s="148"/>
      <c r="T454" s="148"/>
      <c r="U454" s="148"/>
      <c r="V454" s="148"/>
      <c r="W454" s="148"/>
      <c r="X454" s="148"/>
      <c r="Y454" s="148"/>
      <c r="Z454" s="148"/>
      <c r="AA454" s="148"/>
      <c r="AB454" s="148"/>
      <c r="AC454" s="148"/>
      <c r="AD454" s="148"/>
      <c r="AE454" s="148"/>
    </row>
    <row r="455" spans="2:31">
      <c r="B455" s="148"/>
      <c r="C455" s="148"/>
      <c r="D455" s="148"/>
      <c r="E455" s="148"/>
      <c r="F455" s="148"/>
      <c r="G455" s="148"/>
      <c r="H455" s="148"/>
      <c r="I455" s="148"/>
      <c r="J455" s="148"/>
      <c r="K455" s="148"/>
      <c r="L455" s="148"/>
      <c r="M455" s="148"/>
      <c r="N455" s="148"/>
      <c r="O455" s="148"/>
      <c r="P455" s="148"/>
      <c r="Q455" s="148"/>
      <c r="R455" s="148"/>
      <c r="S455" s="148"/>
      <c r="T455" s="148"/>
      <c r="U455" s="148"/>
      <c r="V455" s="148"/>
      <c r="W455" s="148"/>
      <c r="X455" s="148"/>
      <c r="Y455" s="148"/>
      <c r="Z455" s="148"/>
      <c r="AA455" s="148"/>
      <c r="AB455" s="148"/>
      <c r="AC455" s="148"/>
      <c r="AD455" s="148"/>
      <c r="AE455" s="148"/>
    </row>
    <row r="456" spans="2:31">
      <c r="B456" s="148"/>
      <c r="C456" s="148"/>
      <c r="D456" s="148"/>
      <c r="E456" s="148"/>
      <c r="F456" s="148"/>
      <c r="G456" s="148"/>
      <c r="H456" s="148"/>
      <c r="I456" s="148"/>
      <c r="J456" s="148"/>
      <c r="K456" s="148"/>
      <c r="L456" s="148"/>
      <c r="M456" s="148"/>
      <c r="N456" s="148"/>
      <c r="O456" s="148"/>
      <c r="P456" s="148"/>
      <c r="Q456" s="148"/>
      <c r="R456" s="148"/>
      <c r="S456" s="148"/>
      <c r="T456" s="148"/>
      <c r="U456" s="148"/>
      <c r="V456" s="148"/>
      <c r="W456" s="148"/>
      <c r="X456" s="148"/>
      <c r="Y456" s="148"/>
      <c r="Z456" s="148"/>
      <c r="AA456" s="148"/>
      <c r="AB456" s="148"/>
      <c r="AC456" s="148"/>
      <c r="AD456" s="148"/>
      <c r="AE456" s="148"/>
    </row>
    <row r="457" spans="2:31">
      <c r="B457" s="148"/>
      <c r="C457" s="148"/>
      <c r="D457" s="148"/>
      <c r="E457" s="148"/>
      <c r="F457" s="148"/>
      <c r="G457" s="148"/>
      <c r="H457" s="148"/>
      <c r="I457" s="148"/>
      <c r="J457" s="148"/>
      <c r="K457" s="148"/>
      <c r="L457" s="148"/>
      <c r="M457" s="148"/>
      <c r="N457" s="148"/>
      <c r="O457" s="148"/>
      <c r="P457" s="148"/>
      <c r="Q457" s="148"/>
      <c r="R457" s="148"/>
      <c r="S457" s="148"/>
      <c r="T457" s="148"/>
      <c r="U457" s="148"/>
      <c r="V457" s="148"/>
      <c r="W457" s="148"/>
      <c r="X457" s="148"/>
      <c r="Y457" s="148"/>
      <c r="Z457" s="148"/>
      <c r="AA457" s="148"/>
      <c r="AB457" s="148"/>
      <c r="AC457" s="148"/>
      <c r="AD457" s="148"/>
      <c r="AE457" s="148"/>
    </row>
    <row r="458" spans="2:31">
      <c r="B458" s="148"/>
      <c r="C458" s="148"/>
      <c r="D458" s="148"/>
      <c r="E458" s="148"/>
      <c r="F458" s="148"/>
      <c r="G458" s="148"/>
      <c r="H458" s="148"/>
      <c r="I458" s="148"/>
      <c r="J458" s="148"/>
      <c r="K458" s="148"/>
      <c r="L458" s="148"/>
      <c r="M458" s="148"/>
      <c r="N458" s="148"/>
      <c r="O458" s="148"/>
      <c r="P458" s="148"/>
      <c r="Q458" s="148"/>
      <c r="R458" s="148"/>
      <c r="S458" s="148"/>
      <c r="T458" s="148"/>
      <c r="U458" s="148"/>
      <c r="V458" s="148"/>
      <c r="W458" s="148"/>
      <c r="X458" s="148"/>
      <c r="Y458" s="148"/>
      <c r="Z458" s="148"/>
      <c r="AA458" s="148"/>
      <c r="AB458" s="148"/>
      <c r="AC458" s="148"/>
      <c r="AD458" s="148"/>
      <c r="AE458" s="148"/>
    </row>
    <row r="459" spans="2:31">
      <c r="B459" s="148"/>
      <c r="C459" s="148"/>
      <c r="D459" s="148"/>
      <c r="E459" s="148"/>
      <c r="F459" s="148"/>
      <c r="G459" s="148"/>
      <c r="H459" s="148"/>
      <c r="I459" s="148"/>
      <c r="J459" s="148"/>
      <c r="K459" s="148"/>
      <c r="L459" s="148"/>
      <c r="M459" s="148"/>
      <c r="N459" s="148"/>
      <c r="O459" s="148"/>
      <c r="P459" s="148"/>
      <c r="Q459" s="148"/>
      <c r="R459" s="148"/>
      <c r="S459" s="148"/>
      <c r="T459" s="148"/>
      <c r="U459" s="148"/>
      <c r="V459" s="148"/>
      <c r="W459" s="148"/>
      <c r="X459" s="148"/>
      <c r="Y459" s="148"/>
      <c r="Z459" s="148"/>
      <c r="AA459" s="148"/>
      <c r="AB459" s="148"/>
      <c r="AC459" s="148"/>
      <c r="AD459" s="148"/>
      <c r="AE459" s="148"/>
    </row>
    <row r="460" spans="2:31">
      <c r="B460" s="148"/>
      <c r="C460" s="148"/>
      <c r="D460" s="148"/>
      <c r="E460" s="148"/>
      <c r="F460" s="148"/>
      <c r="G460" s="148"/>
      <c r="H460" s="148"/>
      <c r="I460" s="148"/>
      <c r="J460" s="148"/>
      <c r="K460" s="148"/>
      <c r="L460" s="148"/>
      <c r="M460" s="148"/>
      <c r="N460" s="148"/>
      <c r="O460" s="148"/>
      <c r="P460" s="148"/>
      <c r="Q460" s="148"/>
      <c r="R460" s="148"/>
      <c r="S460" s="148"/>
      <c r="T460" s="148"/>
      <c r="U460" s="148"/>
      <c r="V460" s="148"/>
      <c r="W460" s="148"/>
      <c r="X460" s="148"/>
      <c r="Y460" s="148"/>
      <c r="Z460" s="148"/>
      <c r="AA460" s="148"/>
      <c r="AB460" s="148"/>
      <c r="AC460" s="148"/>
      <c r="AD460" s="148"/>
      <c r="AE460" s="148"/>
    </row>
    <row r="461" spans="2:31">
      <c r="B461" s="148"/>
      <c r="C461" s="148"/>
      <c r="D461" s="148"/>
      <c r="E461" s="148"/>
      <c r="F461" s="148"/>
      <c r="G461" s="148"/>
      <c r="H461" s="148"/>
      <c r="I461" s="148"/>
      <c r="J461" s="148"/>
      <c r="K461" s="148"/>
      <c r="L461" s="148"/>
      <c r="M461" s="148"/>
      <c r="N461" s="148"/>
      <c r="O461" s="148"/>
      <c r="P461" s="148"/>
      <c r="Q461" s="148"/>
      <c r="R461" s="148"/>
      <c r="S461" s="148"/>
      <c r="T461" s="148"/>
      <c r="U461" s="148"/>
      <c r="V461" s="148"/>
      <c r="W461" s="148"/>
      <c r="X461" s="148"/>
      <c r="Y461" s="148"/>
      <c r="Z461" s="148"/>
      <c r="AA461" s="148"/>
      <c r="AB461" s="148"/>
      <c r="AC461" s="148"/>
      <c r="AD461" s="148"/>
      <c r="AE461" s="148"/>
    </row>
    <row r="462" spans="2:31">
      <c r="B462" s="148"/>
      <c r="C462" s="148"/>
      <c r="D462" s="148"/>
      <c r="E462" s="148"/>
      <c r="F462" s="148"/>
      <c r="G462" s="148"/>
      <c r="H462" s="148"/>
      <c r="I462" s="148"/>
      <c r="J462" s="148"/>
      <c r="K462" s="148"/>
      <c r="L462" s="148"/>
      <c r="M462" s="148"/>
      <c r="N462" s="148"/>
      <c r="O462" s="148"/>
      <c r="P462" s="148"/>
      <c r="Q462" s="148"/>
      <c r="R462" s="148"/>
      <c r="S462" s="148"/>
      <c r="T462" s="148"/>
      <c r="U462" s="148"/>
      <c r="V462" s="148"/>
      <c r="W462" s="148"/>
      <c r="X462" s="148"/>
      <c r="Y462" s="148"/>
      <c r="Z462" s="148"/>
      <c r="AA462" s="148"/>
      <c r="AB462" s="148"/>
      <c r="AC462" s="148"/>
      <c r="AD462" s="148"/>
      <c r="AE462" s="148"/>
    </row>
    <row r="463" spans="2:31">
      <c r="B463" s="148"/>
      <c r="C463" s="148"/>
      <c r="D463" s="148"/>
      <c r="E463" s="148"/>
      <c r="F463" s="148"/>
      <c r="G463" s="148"/>
      <c r="H463" s="148"/>
      <c r="I463" s="148"/>
      <c r="J463" s="148"/>
      <c r="K463" s="148"/>
      <c r="L463" s="148"/>
      <c r="M463" s="148"/>
      <c r="N463" s="148"/>
      <c r="O463" s="148"/>
      <c r="P463" s="148"/>
      <c r="Q463" s="148"/>
      <c r="R463" s="148"/>
      <c r="S463" s="148"/>
      <c r="T463" s="148"/>
      <c r="U463" s="148"/>
      <c r="V463" s="148"/>
      <c r="W463" s="148"/>
      <c r="X463" s="148"/>
      <c r="Y463" s="148"/>
      <c r="Z463" s="148"/>
      <c r="AA463" s="148"/>
      <c r="AB463" s="148"/>
      <c r="AC463" s="148"/>
      <c r="AD463" s="148"/>
      <c r="AE463" s="148"/>
    </row>
    <row r="464" spans="2:31">
      <c r="B464" s="148"/>
      <c r="C464" s="148"/>
      <c r="D464" s="148"/>
      <c r="E464" s="148"/>
      <c r="F464" s="148"/>
      <c r="G464" s="148"/>
      <c r="H464" s="148"/>
      <c r="I464" s="148"/>
      <c r="J464" s="148"/>
      <c r="K464" s="148"/>
      <c r="L464" s="148"/>
      <c r="M464" s="148"/>
      <c r="N464" s="148"/>
      <c r="O464" s="148"/>
      <c r="P464" s="148"/>
      <c r="Q464" s="148"/>
      <c r="R464" s="148"/>
      <c r="S464" s="148"/>
      <c r="T464" s="148"/>
      <c r="U464" s="148"/>
      <c r="V464" s="148"/>
      <c r="W464" s="148"/>
      <c r="X464" s="148"/>
      <c r="Y464" s="148"/>
      <c r="Z464" s="148"/>
      <c r="AA464" s="148"/>
      <c r="AB464" s="148"/>
      <c r="AC464" s="148"/>
      <c r="AD464" s="148"/>
      <c r="AE464" s="148"/>
    </row>
    <row r="465" spans="2:31">
      <c r="B465" s="148"/>
      <c r="C465" s="148"/>
      <c r="D465" s="148"/>
      <c r="E465" s="148"/>
      <c r="F465" s="148"/>
      <c r="G465" s="148"/>
      <c r="H465" s="148"/>
      <c r="I465" s="148"/>
      <c r="J465" s="148"/>
      <c r="K465" s="148"/>
      <c r="L465" s="148"/>
      <c r="M465" s="148"/>
      <c r="N465" s="148"/>
      <c r="O465" s="148"/>
      <c r="P465" s="148"/>
      <c r="Q465" s="148"/>
      <c r="R465" s="148"/>
      <c r="S465" s="148"/>
      <c r="T465" s="148"/>
      <c r="U465" s="148"/>
      <c r="V465" s="148"/>
      <c r="W465" s="148"/>
      <c r="X465" s="148"/>
      <c r="Y465" s="148"/>
      <c r="Z465" s="148"/>
      <c r="AA465" s="148"/>
      <c r="AB465" s="148"/>
      <c r="AC465" s="148"/>
      <c r="AD465" s="148"/>
      <c r="AE465" s="148"/>
    </row>
    <row r="466" spans="2:31">
      <c r="B466" s="148"/>
      <c r="C466" s="148"/>
      <c r="D466" s="148"/>
      <c r="E466" s="148"/>
      <c r="F466" s="148"/>
      <c r="G466" s="148"/>
      <c r="H466" s="148"/>
      <c r="I466" s="148"/>
      <c r="J466" s="148"/>
      <c r="K466" s="148"/>
      <c r="L466" s="148"/>
      <c r="M466" s="148"/>
      <c r="N466" s="148"/>
      <c r="O466" s="148"/>
      <c r="P466" s="148"/>
      <c r="Q466" s="148"/>
      <c r="R466" s="148"/>
      <c r="S466" s="148"/>
      <c r="T466" s="148"/>
      <c r="U466" s="148"/>
      <c r="V466" s="148"/>
      <c r="W466" s="148"/>
      <c r="X466" s="148"/>
      <c r="Y466" s="148"/>
      <c r="Z466" s="148"/>
      <c r="AA466" s="148"/>
      <c r="AB466" s="148"/>
      <c r="AC466" s="148"/>
      <c r="AD466" s="148"/>
      <c r="AE466" s="148"/>
    </row>
    <row r="467" spans="2:31">
      <c r="B467" s="148"/>
      <c r="C467" s="148"/>
      <c r="D467" s="148"/>
      <c r="E467" s="148"/>
      <c r="F467" s="148"/>
      <c r="G467" s="148"/>
      <c r="H467" s="148"/>
      <c r="I467" s="148"/>
      <c r="J467" s="148"/>
      <c r="K467" s="148"/>
      <c r="L467" s="148"/>
      <c r="M467" s="148"/>
      <c r="N467" s="148"/>
      <c r="O467" s="148"/>
      <c r="P467" s="148"/>
      <c r="Q467" s="148"/>
      <c r="R467" s="148"/>
      <c r="S467" s="148"/>
      <c r="T467" s="148"/>
      <c r="U467" s="148"/>
      <c r="V467" s="148"/>
      <c r="W467" s="148"/>
      <c r="X467" s="148"/>
      <c r="Y467" s="148"/>
      <c r="Z467" s="148"/>
      <c r="AA467" s="148"/>
      <c r="AB467" s="148"/>
      <c r="AC467" s="148"/>
      <c r="AD467" s="148"/>
      <c r="AE467" s="148"/>
    </row>
    <row r="468" spans="2:31">
      <c r="B468" s="148"/>
      <c r="C468" s="148"/>
      <c r="D468" s="148"/>
      <c r="E468" s="148"/>
      <c r="F468" s="148"/>
      <c r="G468" s="148"/>
      <c r="H468" s="148"/>
      <c r="I468" s="148"/>
      <c r="J468" s="148"/>
      <c r="K468" s="148"/>
      <c r="L468" s="148"/>
      <c r="M468" s="148"/>
      <c r="N468" s="148"/>
      <c r="O468" s="148"/>
      <c r="P468" s="148"/>
      <c r="Q468" s="148"/>
      <c r="R468" s="148"/>
      <c r="S468" s="148"/>
      <c r="T468" s="148"/>
      <c r="U468" s="148"/>
      <c r="V468" s="148"/>
      <c r="W468" s="148"/>
      <c r="X468" s="148"/>
      <c r="Y468" s="148"/>
      <c r="Z468" s="148"/>
      <c r="AA468" s="148"/>
      <c r="AB468" s="148"/>
      <c r="AC468" s="148"/>
      <c r="AD468" s="148"/>
      <c r="AE468" s="148"/>
    </row>
    <row r="469" spans="2:31">
      <c r="B469" s="148"/>
      <c r="C469" s="148"/>
      <c r="D469" s="148"/>
      <c r="E469" s="148"/>
      <c r="F469" s="148"/>
      <c r="G469" s="148"/>
      <c r="H469" s="148"/>
      <c r="I469" s="148"/>
      <c r="J469" s="148"/>
      <c r="K469" s="148"/>
      <c r="L469" s="148"/>
      <c r="M469" s="148"/>
      <c r="N469" s="148"/>
      <c r="O469" s="148"/>
      <c r="P469" s="148"/>
      <c r="Q469" s="148"/>
      <c r="R469" s="148"/>
      <c r="S469" s="148"/>
      <c r="T469" s="148"/>
      <c r="U469" s="148"/>
      <c r="V469" s="148"/>
      <c r="W469" s="148"/>
      <c r="X469" s="148"/>
      <c r="Y469" s="148"/>
      <c r="Z469" s="148"/>
      <c r="AA469" s="148"/>
      <c r="AB469" s="148"/>
      <c r="AC469" s="148"/>
      <c r="AD469" s="148"/>
      <c r="AE469" s="148"/>
    </row>
    <row r="470" spans="2:31">
      <c r="B470" s="148"/>
      <c r="C470" s="148"/>
      <c r="D470" s="148"/>
      <c r="E470" s="148"/>
      <c r="F470" s="148"/>
      <c r="G470" s="148"/>
      <c r="H470" s="148"/>
      <c r="I470" s="148"/>
      <c r="J470" s="148"/>
      <c r="K470" s="148"/>
      <c r="L470" s="148"/>
      <c r="M470" s="148"/>
      <c r="N470" s="148"/>
      <c r="O470" s="148"/>
      <c r="P470" s="148"/>
      <c r="Q470" s="148"/>
      <c r="R470" s="148"/>
      <c r="S470" s="148"/>
      <c r="T470" s="148"/>
      <c r="U470" s="148"/>
      <c r="V470" s="148"/>
      <c r="W470" s="148"/>
      <c r="X470" s="148"/>
      <c r="Y470" s="148"/>
      <c r="Z470" s="148"/>
      <c r="AA470" s="148"/>
      <c r="AB470" s="148"/>
      <c r="AC470" s="148"/>
      <c r="AD470" s="148"/>
      <c r="AE470" s="148"/>
    </row>
    <row r="471" spans="2:31">
      <c r="B471" s="148"/>
      <c r="C471" s="148"/>
      <c r="D471" s="148"/>
      <c r="E471" s="148"/>
      <c r="F471" s="148"/>
      <c r="G471" s="148"/>
      <c r="H471" s="148"/>
      <c r="I471" s="148"/>
      <c r="J471" s="148"/>
      <c r="K471" s="148"/>
      <c r="L471" s="148"/>
      <c r="M471" s="148"/>
      <c r="N471" s="148"/>
      <c r="O471" s="148"/>
      <c r="P471" s="148"/>
      <c r="Q471" s="148"/>
      <c r="R471" s="148"/>
      <c r="S471" s="148"/>
      <c r="T471" s="148"/>
      <c r="U471" s="148"/>
      <c r="V471" s="148"/>
      <c r="W471" s="148"/>
      <c r="X471" s="148"/>
      <c r="Y471" s="148"/>
      <c r="Z471" s="148"/>
      <c r="AA471" s="148"/>
      <c r="AB471" s="148"/>
      <c r="AC471" s="148"/>
      <c r="AD471" s="148"/>
      <c r="AE471" s="148"/>
    </row>
    <row r="472" spans="2:31">
      <c r="B472" s="148"/>
      <c r="C472" s="148"/>
      <c r="D472" s="148"/>
      <c r="E472" s="148"/>
      <c r="F472" s="148"/>
      <c r="G472" s="148"/>
      <c r="H472" s="148"/>
      <c r="I472" s="148"/>
      <c r="J472" s="148"/>
      <c r="K472" s="148"/>
      <c r="L472" s="148"/>
      <c r="M472" s="148"/>
      <c r="N472" s="148"/>
      <c r="O472" s="148"/>
      <c r="P472" s="148"/>
      <c r="Q472" s="148"/>
      <c r="R472" s="148"/>
      <c r="S472" s="148"/>
      <c r="T472" s="148"/>
      <c r="U472" s="148"/>
      <c r="V472" s="148"/>
      <c r="W472" s="148"/>
      <c r="X472" s="148"/>
      <c r="Y472" s="148"/>
      <c r="Z472" s="148"/>
      <c r="AA472" s="148"/>
      <c r="AB472" s="148"/>
      <c r="AC472" s="148"/>
      <c r="AD472" s="148"/>
      <c r="AE472" s="148"/>
    </row>
    <row r="473" spans="2:31">
      <c r="B473" s="148"/>
      <c r="C473" s="148"/>
      <c r="D473" s="148"/>
      <c r="E473" s="148"/>
      <c r="F473" s="148"/>
      <c r="G473" s="148"/>
      <c r="H473" s="148"/>
      <c r="I473" s="148"/>
      <c r="J473" s="148"/>
      <c r="K473" s="148"/>
      <c r="L473" s="148"/>
      <c r="M473" s="148"/>
      <c r="N473" s="148"/>
      <c r="O473" s="148"/>
      <c r="P473" s="148"/>
      <c r="Q473" s="148"/>
      <c r="R473" s="148"/>
      <c r="S473" s="148"/>
      <c r="T473" s="148"/>
      <c r="U473" s="148"/>
      <c r="V473" s="148"/>
      <c r="W473" s="148"/>
      <c r="X473" s="148"/>
      <c r="Y473" s="148"/>
      <c r="Z473" s="148"/>
      <c r="AA473" s="148"/>
      <c r="AB473" s="148"/>
      <c r="AC473" s="148"/>
      <c r="AD473" s="148"/>
      <c r="AE473" s="148"/>
    </row>
    <row r="474" spans="2:31">
      <c r="B474" s="148"/>
      <c r="C474" s="148"/>
      <c r="D474" s="148"/>
      <c r="E474" s="148"/>
      <c r="F474" s="148"/>
      <c r="G474" s="148"/>
      <c r="H474" s="148"/>
      <c r="I474" s="148"/>
      <c r="J474" s="148"/>
      <c r="K474" s="148"/>
      <c r="L474" s="148"/>
      <c r="M474" s="148"/>
      <c r="N474" s="148"/>
      <c r="O474" s="148"/>
      <c r="P474" s="148"/>
      <c r="Q474" s="148"/>
      <c r="R474" s="148"/>
      <c r="S474" s="148"/>
      <c r="T474" s="148"/>
      <c r="U474" s="148"/>
      <c r="V474" s="148"/>
      <c r="W474" s="148"/>
      <c r="X474" s="148"/>
      <c r="Y474" s="148"/>
      <c r="Z474" s="148"/>
      <c r="AA474" s="148"/>
      <c r="AB474" s="148"/>
      <c r="AC474" s="148"/>
      <c r="AD474" s="148"/>
      <c r="AE474" s="148"/>
    </row>
    <row r="475" spans="2:31">
      <c r="B475" s="148"/>
      <c r="C475" s="148"/>
      <c r="D475" s="148"/>
      <c r="E475" s="148"/>
      <c r="F475" s="148"/>
      <c r="G475" s="148"/>
      <c r="H475" s="148"/>
      <c r="I475" s="148"/>
      <c r="J475" s="148"/>
      <c r="K475" s="148"/>
      <c r="L475" s="148"/>
      <c r="M475" s="148"/>
      <c r="N475" s="148"/>
      <c r="O475" s="148"/>
      <c r="P475" s="148"/>
      <c r="Q475" s="148"/>
      <c r="R475" s="148"/>
      <c r="S475" s="148"/>
      <c r="T475" s="148"/>
      <c r="U475" s="148"/>
      <c r="V475" s="148"/>
      <c r="W475" s="148"/>
      <c r="X475" s="148"/>
      <c r="Y475" s="148"/>
      <c r="Z475" s="148"/>
      <c r="AA475" s="148"/>
      <c r="AB475" s="148"/>
      <c r="AC475" s="148"/>
      <c r="AD475" s="148"/>
      <c r="AE475" s="148"/>
    </row>
    <row r="476" spans="2:31">
      <c r="B476" s="148"/>
      <c r="C476" s="148"/>
      <c r="D476" s="148"/>
      <c r="E476" s="148"/>
      <c r="F476" s="148"/>
      <c r="G476" s="148"/>
      <c r="H476" s="148"/>
      <c r="I476" s="148"/>
      <c r="J476" s="148"/>
      <c r="K476" s="148"/>
      <c r="L476" s="148"/>
      <c r="M476" s="148"/>
      <c r="N476" s="148"/>
      <c r="O476" s="148"/>
      <c r="P476" s="148"/>
      <c r="Q476" s="148"/>
      <c r="R476" s="148"/>
      <c r="S476" s="148"/>
      <c r="T476" s="148"/>
      <c r="U476" s="148"/>
      <c r="V476" s="148"/>
      <c r="W476" s="148"/>
      <c r="X476" s="148"/>
      <c r="Y476" s="148"/>
      <c r="Z476" s="148"/>
      <c r="AA476" s="148"/>
      <c r="AB476" s="148"/>
      <c r="AC476" s="148"/>
      <c r="AD476" s="148"/>
      <c r="AE476" s="148"/>
    </row>
    <row r="477" spans="2:31">
      <c r="B477" s="148"/>
      <c r="C477" s="148"/>
      <c r="D477" s="148"/>
      <c r="E477" s="148"/>
      <c r="F477" s="148"/>
      <c r="G477" s="148"/>
      <c r="H477" s="148"/>
      <c r="I477" s="148"/>
      <c r="J477" s="148"/>
      <c r="K477" s="148"/>
      <c r="L477" s="148"/>
      <c r="M477" s="148"/>
      <c r="N477" s="148"/>
      <c r="O477" s="148"/>
      <c r="P477" s="148"/>
      <c r="Q477" s="148"/>
      <c r="R477" s="148"/>
      <c r="S477" s="148"/>
      <c r="T477" s="148"/>
      <c r="U477" s="148"/>
      <c r="V477" s="148"/>
      <c r="W477" s="148"/>
      <c r="X477" s="148"/>
      <c r="Y477" s="148"/>
      <c r="Z477" s="148"/>
      <c r="AA477" s="148"/>
      <c r="AB477" s="148"/>
      <c r="AC477" s="148"/>
      <c r="AD477" s="148"/>
      <c r="AE477" s="148"/>
    </row>
    <row r="478" spans="2:31">
      <c r="B478" s="148"/>
      <c r="C478" s="148"/>
      <c r="D478" s="148"/>
      <c r="E478" s="148"/>
      <c r="F478" s="148"/>
      <c r="G478" s="148"/>
      <c r="H478" s="148"/>
      <c r="I478" s="148"/>
      <c r="J478" s="148"/>
      <c r="K478" s="148"/>
      <c r="L478" s="148"/>
      <c r="M478" s="148"/>
      <c r="N478" s="148"/>
      <c r="O478" s="148"/>
      <c r="P478" s="148"/>
      <c r="Q478" s="148"/>
      <c r="R478" s="148"/>
      <c r="S478" s="148"/>
      <c r="T478" s="148"/>
      <c r="U478" s="148"/>
      <c r="V478" s="148"/>
      <c r="W478" s="148"/>
      <c r="X478" s="148"/>
      <c r="Y478" s="148"/>
      <c r="Z478" s="148"/>
      <c r="AA478" s="148"/>
      <c r="AB478" s="148"/>
      <c r="AC478" s="148"/>
      <c r="AD478" s="148"/>
      <c r="AE478" s="148"/>
    </row>
    <row r="479" spans="2:31">
      <c r="B479" s="148"/>
      <c r="C479" s="148"/>
      <c r="D479" s="148"/>
      <c r="E479" s="148"/>
      <c r="F479" s="148"/>
      <c r="G479" s="148"/>
      <c r="H479" s="148"/>
      <c r="I479" s="148"/>
      <c r="J479" s="148"/>
      <c r="K479" s="148"/>
      <c r="L479" s="148"/>
      <c r="M479" s="148"/>
      <c r="N479" s="148"/>
      <c r="O479" s="148"/>
      <c r="P479" s="148"/>
      <c r="Q479" s="148"/>
      <c r="R479" s="148"/>
      <c r="S479" s="148"/>
      <c r="T479" s="148"/>
      <c r="U479" s="148"/>
      <c r="V479" s="148"/>
      <c r="W479" s="148"/>
      <c r="X479" s="148"/>
      <c r="Y479" s="148"/>
      <c r="Z479" s="148"/>
      <c r="AA479" s="148"/>
      <c r="AB479" s="148"/>
      <c r="AC479" s="148"/>
      <c r="AD479" s="148"/>
      <c r="AE479" s="148"/>
    </row>
    <row r="480" spans="2:31">
      <c r="B480" s="148"/>
      <c r="C480" s="148"/>
      <c r="D480" s="148"/>
      <c r="E480" s="148"/>
      <c r="F480" s="148"/>
      <c r="G480" s="148"/>
      <c r="H480" s="148"/>
      <c r="I480" s="148"/>
      <c r="J480" s="148"/>
      <c r="K480" s="148"/>
      <c r="L480" s="148"/>
      <c r="M480" s="148"/>
      <c r="N480" s="148"/>
      <c r="O480" s="148"/>
      <c r="P480" s="148"/>
      <c r="Q480" s="148"/>
      <c r="R480" s="148"/>
      <c r="S480" s="148"/>
      <c r="T480" s="148"/>
      <c r="U480" s="148"/>
      <c r="V480" s="148"/>
      <c r="W480" s="148"/>
      <c r="X480" s="148"/>
      <c r="Y480" s="148"/>
      <c r="Z480" s="148"/>
      <c r="AA480" s="148"/>
      <c r="AB480" s="148"/>
      <c r="AC480" s="148"/>
      <c r="AD480" s="148"/>
      <c r="AE480" s="148"/>
    </row>
    <row r="481" spans="2:31">
      <c r="B481" s="148"/>
      <c r="C481" s="148"/>
      <c r="D481" s="148"/>
      <c r="E481" s="148"/>
      <c r="F481" s="148"/>
      <c r="G481" s="148"/>
      <c r="H481" s="148"/>
      <c r="I481" s="148"/>
      <c r="J481" s="148"/>
      <c r="K481" s="148"/>
      <c r="L481" s="148"/>
      <c r="M481" s="148"/>
      <c r="N481" s="148"/>
      <c r="O481" s="148"/>
      <c r="P481" s="148"/>
      <c r="Q481" s="148"/>
      <c r="R481" s="148"/>
      <c r="S481" s="148"/>
      <c r="T481" s="148"/>
      <c r="U481" s="148"/>
      <c r="V481" s="148"/>
      <c r="W481" s="148"/>
      <c r="X481" s="148"/>
      <c r="Y481" s="148"/>
      <c r="Z481" s="148"/>
      <c r="AA481" s="148"/>
      <c r="AB481" s="148"/>
      <c r="AC481" s="148"/>
      <c r="AD481" s="148"/>
      <c r="AE481" s="148"/>
    </row>
    <row r="482" spans="2:31">
      <c r="B482" s="148"/>
      <c r="C482" s="148"/>
      <c r="D482" s="148"/>
      <c r="E482" s="148"/>
      <c r="F482" s="148"/>
      <c r="G482" s="148"/>
      <c r="H482" s="148"/>
      <c r="I482" s="148"/>
      <c r="J482" s="148"/>
      <c r="K482" s="148"/>
      <c r="L482" s="148"/>
      <c r="M482" s="148"/>
      <c r="N482" s="148"/>
      <c r="O482" s="148"/>
      <c r="P482" s="148"/>
      <c r="Q482" s="148"/>
      <c r="R482" s="148"/>
      <c r="S482" s="148"/>
      <c r="T482" s="148"/>
      <c r="U482" s="148"/>
      <c r="V482" s="148"/>
      <c r="W482" s="148"/>
      <c r="X482" s="148"/>
      <c r="Y482" s="148"/>
      <c r="Z482" s="148"/>
      <c r="AA482" s="148"/>
      <c r="AB482" s="148"/>
      <c r="AC482" s="148"/>
      <c r="AD482" s="148"/>
      <c r="AE482" s="148"/>
    </row>
    <row r="483" spans="2:31">
      <c r="B483" s="148"/>
      <c r="C483" s="148"/>
      <c r="D483" s="148"/>
      <c r="E483" s="148"/>
      <c r="F483" s="148"/>
      <c r="G483" s="148"/>
      <c r="H483" s="148"/>
      <c r="I483" s="148"/>
      <c r="J483" s="148"/>
      <c r="K483" s="148"/>
      <c r="L483" s="148"/>
      <c r="M483" s="148"/>
      <c r="N483" s="148"/>
      <c r="O483" s="148"/>
      <c r="P483" s="148"/>
      <c r="Q483" s="148"/>
      <c r="R483" s="148"/>
      <c r="S483" s="148"/>
      <c r="T483" s="148"/>
      <c r="U483" s="148"/>
      <c r="V483" s="148"/>
      <c r="W483" s="148"/>
      <c r="X483" s="148"/>
      <c r="Y483" s="148"/>
      <c r="Z483" s="148"/>
      <c r="AA483" s="148"/>
      <c r="AB483" s="148"/>
      <c r="AC483" s="148"/>
      <c r="AD483" s="148"/>
      <c r="AE483" s="148"/>
    </row>
    <row r="484" spans="2:31">
      <c r="B484" s="148"/>
      <c r="C484" s="148"/>
      <c r="D484" s="148"/>
      <c r="E484" s="148"/>
      <c r="F484" s="148"/>
      <c r="G484" s="148"/>
      <c r="H484" s="148"/>
      <c r="I484" s="148"/>
      <c r="J484" s="148"/>
      <c r="K484" s="148"/>
      <c r="L484" s="148"/>
      <c r="M484" s="148"/>
      <c r="N484" s="148"/>
      <c r="O484" s="148"/>
      <c r="P484" s="148"/>
      <c r="Q484" s="148"/>
      <c r="R484" s="148"/>
      <c r="S484" s="148"/>
      <c r="T484" s="148"/>
      <c r="U484" s="148"/>
      <c r="V484" s="148"/>
      <c r="W484" s="148"/>
      <c r="X484" s="148"/>
      <c r="Y484" s="148"/>
      <c r="Z484" s="148"/>
      <c r="AA484" s="148"/>
      <c r="AB484" s="148"/>
      <c r="AC484" s="148"/>
      <c r="AD484" s="148"/>
      <c r="AE484" s="148"/>
    </row>
    <row r="485" spans="2:31">
      <c r="B485" s="148"/>
      <c r="C485" s="148"/>
      <c r="D485" s="148"/>
      <c r="E485" s="148"/>
      <c r="F485" s="148"/>
      <c r="G485" s="148"/>
      <c r="H485" s="148"/>
      <c r="I485" s="148"/>
      <c r="J485" s="148"/>
      <c r="K485" s="148"/>
      <c r="L485" s="148"/>
      <c r="M485" s="148"/>
      <c r="N485" s="148"/>
      <c r="O485" s="148"/>
      <c r="P485" s="148"/>
      <c r="Q485" s="148"/>
      <c r="R485" s="148"/>
      <c r="S485" s="148"/>
      <c r="T485" s="148"/>
      <c r="U485" s="148"/>
      <c r="V485" s="148"/>
      <c r="W485" s="148"/>
      <c r="X485" s="148"/>
      <c r="Y485" s="148"/>
      <c r="Z485" s="148"/>
      <c r="AA485" s="148"/>
      <c r="AB485" s="148"/>
      <c r="AC485" s="148"/>
      <c r="AD485" s="148"/>
      <c r="AE485" s="148"/>
    </row>
    <row r="486" spans="2:31">
      <c r="B486" s="148"/>
      <c r="C486" s="148"/>
      <c r="D486" s="148"/>
      <c r="E486" s="148"/>
      <c r="F486" s="148"/>
      <c r="G486" s="148"/>
      <c r="H486" s="148"/>
      <c r="I486" s="148"/>
      <c r="J486" s="148"/>
      <c r="K486" s="148"/>
      <c r="L486" s="148"/>
      <c r="M486" s="148"/>
      <c r="N486" s="148"/>
      <c r="O486" s="148"/>
      <c r="P486" s="148"/>
      <c r="Q486" s="148"/>
      <c r="R486" s="148"/>
      <c r="S486" s="148"/>
      <c r="T486" s="148"/>
      <c r="U486" s="148"/>
      <c r="V486" s="148"/>
      <c r="W486" s="148"/>
      <c r="X486" s="148"/>
      <c r="Y486" s="148"/>
      <c r="Z486" s="148"/>
      <c r="AA486" s="148"/>
      <c r="AB486" s="148"/>
      <c r="AC486" s="148"/>
      <c r="AD486" s="148"/>
      <c r="AE486" s="148"/>
    </row>
    <row r="487" spans="2:31">
      <c r="B487" s="148"/>
      <c r="C487" s="148"/>
      <c r="D487" s="148"/>
      <c r="E487" s="148"/>
      <c r="F487" s="148"/>
      <c r="G487" s="148"/>
      <c r="H487" s="148"/>
      <c r="I487" s="148"/>
      <c r="J487" s="148"/>
      <c r="K487" s="148"/>
      <c r="L487" s="148"/>
      <c r="M487" s="148"/>
      <c r="N487" s="148"/>
      <c r="O487" s="148"/>
      <c r="P487" s="148"/>
      <c r="Q487" s="148"/>
      <c r="R487" s="148"/>
      <c r="S487" s="148"/>
      <c r="T487" s="148"/>
      <c r="U487" s="148"/>
      <c r="V487" s="148"/>
      <c r="W487" s="148"/>
      <c r="X487" s="148"/>
      <c r="Y487" s="148"/>
      <c r="Z487" s="148"/>
      <c r="AA487" s="148"/>
      <c r="AB487" s="148"/>
      <c r="AC487" s="148"/>
      <c r="AD487" s="148"/>
      <c r="AE487" s="148"/>
    </row>
    <row r="488" spans="2:31">
      <c r="B488" s="148"/>
      <c r="C488" s="148"/>
      <c r="D488" s="148"/>
      <c r="E488" s="148"/>
      <c r="F488" s="148"/>
      <c r="G488" s="148"/>
      <c r="H488" s="148"/>
      <c r="I488" s="148"/>
      <c r="J488" s="148"/>
      <c r="K488" s="148"/>
      <c r="L488" s="148"/>
      <c r="M488" s="148"/>
      <c r="N488" s="148"/>
      <c r="O488" s="148"/>
      <c r="P488" s="148"/>
      <c r="Q488" s="148"/>
      <c r="R488" s="148"/>
      <c r="S488" s="148"/>
      <c r="T488" s="148"/>
      <c r="U488" s="148"/>
      <c r="V488" s="148"/>
      <c r="W488" s="148"/>
      <c r="X488" s="148"/>
      <c r="Y488" s="148"/>
      <c r="Z488" s="148"/>
      <c r="AA488" s="148"/>
      <c r="AB488" s="148"/>
      <c r="AC488" s="148"/>
      <c r="AD488" s="148"/>
      <c r="AE488" s="148"/>
    </row>
    <row r="489" spans="2:31">
      <c r="B489" s="148"/>
      <c r="C489" s="148"/>
      <c r="D489" s="148"/>
      <c r="E489" s="148"/>
      <c r="F489" s="148"/>
      <c r="G489" s="148"/>
      <c r="H489" s="148"/>
      <c r="I489" s="148"/>
      <c r="J489" s="148"/>
      <c r="K489" s="148"/>
      <c r="L489" s="148"/>
      <c r="M489" s="148"/>
      <c r="N489" s="148"/>
      <c r="O489" s="148"/>
      <c r="P489" s="148"/>
      <c r="Q489" s="148"/>
      <c r="R489" s="148"/>
      <c r="S489" s="148"/>
      <c r="T489" s="148"/>
      <c r="U489" s="148"/>
      <c r="V489" s="148"/>
      <c r="W489" s="148"/>
      <c r="X489" s="148"/>
      <c r="Y489" s="148"/>
      <c r="Z489" s="148"/>
      <c r="AA489" s="148"/>
      <c r="AB489" s="148"/>
      <c r="AC489" s="148"/>
      <c r="AD489" s="148"/>
      <c r="AE489" s="148"/>
    </row>
    <row r="490" spans="2:31">
      <c r="B490" s="148"/>
      <c r="C490" s="148"/>
      <c r="D490" s="148"/>
      <c r="E490" s="148"/>
      <c r="F490" s="148"/>
      <c r="G490" s="148"/>
      <c r="H490" s="148"/>
      <c r="I490" s="148"/>
      <c r="J490" s="148"/>
      <c r="K490" s="148"/>
      <c r="L490" s="148"/>
      <c r="M490" s="148"/>
      <c r="N490" s="148"/>
      <c r="O490" s="148"/>
      <c r="P490" s="148"/>
      <c r="Q490" s="148"/>
      <c r="R490" s="148"/>
      <c r="S490" s="148"/>
      <c r="T490" s="148"/>
      <c r="U490" s="148"/>
      <c r="V490" s="148"/>
      <c r="W490" s="148"/>
      <c r="X490" s="148"/>
      <c r="Y490" s="148"/>
      <c r="Z490" s="148"/>
      <c r="AA490" s="148"/>
      <c r="AB490" s="148"/>
      <c r="AC490" s="148"/>
      <c r="AD490" s="148"/>
      <c r="AE490" s="148"/>
    </row>
    <row r="491" spans="2:31">
      <c r="B491" s="148"/>
      <c r="C491" s="148"/>
      <c r="D491" s="148"/>
      <c r="E491" s="148"/>
      <c r="F491" s="148"/>
      <c r="G491" s="148"/>
      <c r="H491" s="148"/>
      <c r="I491" s="148"/>
      <c r="J491" s="148"/>
      <c r="K491" s="148"/>
      <c r="L491" s="148"/>
      <c r="M491" s="148"/>
      <c r="N491" s="148"/>
      <c r="O491" s="148"/>
      <c r="P491" s="148"/>
      <c r="Q491" s="148"/>
      <c r="R491" s="148"/>
      <c r="S491" s="148"/>
      <c r="T491" s="148"/>
      <c r="U491" s="148"/>
      <c r="V491" s="148"/>
      <c r="W491" s="148"/>
      <c r="X491" s="148"/>
      <c r="Y491" s="148"/>
      <c r="Z491" s="148"/>
      <c r="AA491" s="148"/>
      <c r="AB491" s="148"/>
      <c r="AC491" s="148"/>
      <c r="AD491" s="148"/>
      <c r="AE491" s="148"/>
    </row>
    <row r="492" spans="2:31">
      <c r="B492" s="148"/>
      <c r="C492" s="148"/>
      <c r="D492" s="148"/>
      <c r="E492" s="148"/>
      <c r="F492" s="148"/>
      <c r="G492" s="148"/>
      <c r="H492" s="148"/>
      <c r="I492" s="148"/>
      <c r="J492" s="148"/>
      <c r="K492" s="148"/>
      <c r="L492" s="148"/>
      <c r="M492" s="148"/>
      <c r="N492" s="148"/>
      <c r="O492" s="148"/>
      <c r="P492" s="148"/>
      <c r="Q492" s="148"/>
      <c r="R492" s="148"/>
      <c r="S492" s="148"/>
      <c r="T492" s="148"/>
      <c r="U492" s="148"/>
      <c r="V492" s="148"/>
      <c r="W492" s="148"/>
      <c r="X492" s="148"/>
      <c r="Y492" s="148"/>
      <c r="Z492" s="148"/>
      <c r="AA492" s="148"/>
      <c r="AB492" s="148"/>
      <c r="AC492" s="148"/>
      <c r="AD492" s="148"/>
      <c r="AE492" s="148"/>
    </row>
    <row r="493" spans="2:31">
      <c r="B493" s="148"/>
      <c r="C493" s="148"/>
      <c r="D493" s="148"/>
      <c r="E493" s="148"/>
      <c r="F493" s="148"/>
      <c r="G493" s="148"/>
      <c r="H493" s="148"/>
      <c r="I493" s="148"/>
      <c r="J493" s="148"/>
      <c r="K493" s="148"/>
      <c r="L493" s="148"/>
      <c r="M493" s="148"/>
      <c r="N493" s="148"/>
      <c r="O493" s="148"/>
      <c r="P493" s="148"/>
      <c r="Q493" s="148"/>
      <c r="R493" s="148"/>
      <c r="S493" s="148"/>
      <c r="T493" s="148"/>
      <c r="U493" s="148"/>
      <c r="V493" s="148"/>
      <c r="W493" s="148"/>
      <c r="X493" s="148"/>
      <c r="Y493" s="148"/>
      <c r="Z493" s="148"/>
      <c r="AA493" s="148"/>
      <c r="AB493" s="148"/>
      <c r="AC493" s="148"/>
      <c r="AD493" s="148"/>
      <c r="AE493" s="148"/>
    </row>
    <row r="494" spans="2:31">
      <c r="B494" s="148"/>
      <c r="C494" s="148"/>
      <c r="D494" s="148"/>
      <c r="E494" s="148"/>
      <c r="F494" s="148"/>
      <c r="G494" s="148"/>
      <c r="H494" s="148"/>
      <c r="I494" s="148"/>
      <c r="J494" s="148"/>
      <c r="K494" s="148"/>
      <c r="L494" s="148"/>
      <c r="M494" s="148"/>
      <c r="N494" s="148"/>
      <c r="O494" s="148"/>
      <c r="P494" s="148"/>
      <c r="Q494" s="148"/>
      <c r="R494" s="148"/>
      <c r="S494" s="148"/>
      <c r="T494" s="148"/>
      <c r="U494" s="148"/>
      <c r="V494" s="148"/>
      <c r="W494" s="148"/>
      <c r="X494" s="148"/>
      <c r="Y494" s="148"/>
      <c r="Z494" s="148"/>
      <c r="AA494" s="148"/>
      <c r="AB494" s="148"/>
      <c r="AC494" s="148"/>
      <c r="AD494" s="148"/>
      <c r="AE494" s="148"/>
    </row>
    <row r="495" spans="2:31">
      <c r="B495" s="148"/>
      <c r="C495" s="148"/>
      <c r="D495" s="148"/>
      <c r="E495" s="148"/>
      <c r="F495" s="148"/>
      <c r="G495" s="148"/>
      <c r="H495" s="148"/>
      <c r="I495" s="148"/>
      <c r="J495" s="148"/>
      <c r="K495" s="148"/>
      <c r="L495" s="148"/>
      <c r="M495" s="148"/>
      <c r="N495" s="148"/>
      <c r="O495" s="148"/>
      <c r="P495" s="148"/>
      <c r="Q495" s="148"/>
      <c r="R495" s="148"/>
      <c r="S495" s="148"/>
      <c r="T495" s="148"/>
      <c r="U495" s="148"/>
      <c r="V495" s="148"/>
      <c r="W495" s="148"/>
      <c r="X495" s="148"/>
      <c r="Y495" s="148"/>
      <c r="Z495" s="148"/>
      <c r="AA495" s="148"/>
      <c r="AB495" s="148"/>
      <c r="AC495" s="148"/>
      <c r="AD495" s="148"/>
      <c r="AE495" s="148"/>
    </row>
    <row r="496" spans="2:31">
      <c r="B496" s="148"/>
      <c r="C496" s="148"/>
      <c r="D496" s="148"/>
      <c r="E496" s="148"/>
      <c r="F496" s="148"/>
      <c r="G496" s="148"/>
      <c r="H496" s="148"/>
      <c r="I496" s="148"/>
      <c r="J496" s="148"/>
      <c r="K496" s="148"/>
      <c r="L496" s="148"/>
      <c r="M496" s="148"/>
      <c r="N496" s="148"/>
      <c r="O496" s="148"/>
      <c r="P496" s="148"/>
      <c r="Q496" s="148"/>
      <c r="R496" s="148"/>
      <c r="S496" s="148"/>
      <c r="T496" s="148"/>
      <c r="U496" s="148"/>
      <c r="V496" s="148"/>
      <c r="W496" s="148"/>
      <c r="X496" s="148"/>
      <c r="Y496" s="148"/>
      <c r="Z496" s="148"/>
      <c r="AA496" s="148"/>
      <c r="AB496" s="148"/>
      <c r="AC496" s="148"/>
      <c r="AD496" s="148"/>
      <c r="AE496" s="148"/>
    </row>
    <row r="497" spans="2:31">
      <c r="B497" s="148"/>
      <c r="C497" s="148"/>
      <c r="D497" s="148"/>
      <c r="E497" s="148"/>
      <c r="F497" s="148"/>
      <c r="G497" s="148"/>
      <c r="H497" s="148"/>
      <c r="I497" s="148"/>
      <c r="J497" s="148"/>
      <c r="K497" s="148"/>
      <c r="L497" s="148"/>
      <c r="M497" s="148"/>
      <c r="N497" s="148"/>
      <c r="O497" s="148"/>
      <c r="P497" s="148"/>
      <c r="Q497" s="148"/>
      <c r="R497" s="148"/>
      <c r="S497" s="148"/>
      <c r="T497" s="148"/>
      <c r="U497" s="148"/>
      <c r="V497" s="148"/>
      <c r="W497" s="148"/>
      <c r="X497" s="148"/>
      <c r="Y497" s="148"/>
      <c r="Z497" s="148"/>
      <c r="AA497" s="148"/>
      <c r="AB497" s="148"/>
      <c r="AC497" s="148"/>
      <c r="AD497" s="148"/>
      <c r="AE497" s="148"/>
    </row>
    <row r="498" spans="2:31">
      <c r="B498" s="148"/>
      <c r="C498" s="148"/>
      <c r="D498" s="148"/>
      <c r="E498" s="148"/>
      <c r="F498" s="148"/>
      <c r="G498" s="148"/>
      <c r="H498" s="148"/>
      <c r="I498" s="148"/>
      <c r="J498" s="148"/>
      <c r="K498" s="148"/>
      <c r="L498" s="148"/>
      <c r="M498" s="148"/>
      <c r="N498" s="148"/>
      <c r="O498" s="148"/>
      <c r="P498" s="148"/>
      <c r="Q498" s="148"/>
      <c r="R498" s="148"/>
      <c r="S498" s="148"/>
      <c r="T498" s="148"/>
      <c r="U498" s="148"/>
      <c r="V498" s="148"/>
      <c r="W498" s="148"/>
      <c r="X498" s="148"/>
      <c r="Y498" s="148"/>
      <c r="Z498" s="148"/>
      <c r="AA498" s="148"/>
      <c r="AB498" s="148"/>
      <c r="AC498" s="148"/>
      <c r="AD498" s="148"/>
      <c r="AE498" s="148"/>
    </row>
    <row r="499" spans="2:31">
      <c r="B499" s="148"/>
      <c r="C499" s="148"/>
      <c r="D499" s="148"/>
      <c r="E499" s="148"/>
      <c r="F499" s="148"/>
      <c r="G499" s="148"/>
      <c r="H499" s="148"/>
      <c r="I499" s="148"/>
      <c r="J499" s="148"/>
      <c r="K499" s="148"/>
      <c r="L499" s="148"/>
      <c r="M499" s="148"/>
      <c r="N499" s="148"/>
      <c r="O499" s="148"/>
      <c r="P499" s="148"/>
      <c r="Q499" s="148"/>
      <c r="R499" s="148"/>
      <c r="S499" s="148"/>
      <c r="T499" s="148"/>
      <c r="U499" s="148"/>
      <c r="V499" s="148"/>
      <c r="W499" s="148"/>
      <c r="X499" s="148"/>
      <c r="Y499" s="148"/>
      <c r="Z499" s="148"/>
      <c r="AA499" s="148"/>
      <c r="AB499" s="148"/>
      <c r="AC499" s="148"/>
      <c r="AD499" s="148"/>
      <c r="AE499" s="148"/>
    </row>
    <row r="500" spans="2:31">
      <c r="B500" s="148"/>
      <c r="C500" s="148"/>
      <c r="D500" s="148"/>
      <c r="E500" s="148"/>
      <c r="F500" s="148"/>
      <c r="G500" s="148"/>
      <c r="H500" s="148"/>
      <c r="I500" s="148"/>
      <c r="J500" s="148"/>
      <c r="K500" s="148"/>
      <c r="L500" s="148"/>
      <c r="M500" s="148"/>
      <c r="N500" s="148"/>
      <c r="O500" s="148"/>
      <c r="P500" s="148"/>
      <c r="Q500" s="148"/>
      <c r="R500" s="148"/>
      <c r="S500" s="148"/>
      <c r="T500" s="148"/>
      <c r="U500" s="148"/>
      <c r="V500" s="148"/>
      <c r="W500" s="148"/>
      <c r="X500" s="148"/>
      <c r="Y500" s="148"/>
      <c r="Z500" s="148"/>
      <c r="AA500" s="148"/>
      <c r="AB500" s="148"/>
      <c r="AC500" s="148"/>
      <c r="AD500" s="148"/>
      <c r="AE500" s="148"/>
    </row>
    <row r="501" spans="2:31">
      <c r="B501" s="148"/>
      <c r="C501" s="148"/>
      <c r="D501" s="148"/>
      <c r="E501" s="148"/>
      <c r="F501" s="148"/>
      <c r="G501" s="148"/>
      <c r="H501" s="148"/>
      <c r="I501" s="148"/>
      <c r="J501" s="148"/>
      <c r="K501" s="148"/>
      <c r="L501" s="148"/>
      <c r="M501" s="148"/>
      <c r="N501" s="148"/>
      <c r="O501" s="148"/>
      <c r="P501" s="148"/>
      <c r="Q501" s="148"/>
      <c r="R501" s="148"/>
      <c r="S501" s="148"/>
      <c r="T501" s="148"/>
      <c r="U501" s="148"/>
      <c r="V501" s="148"/>
      <c r="W501" s="148"/>
      <c r="X501" s="148"/>
      <c r="Y501" s="148"/>
      <c r="Z501" s="148"/>
      <c r="AA501" s="148"/>
      <c r="AB501" s="148"/>
      <c r="AC501" s="148"/>
      <c r="AD501" s="148"/>
      <c r="AE501" s="148"/>
    </row>
    <row r="502" spans="2:31">
      <c r="B502" s="148"/>
      <c r="C502" s="148"/>
      <c r="D502" s="148"/>
      <c r="E502" s="148"/>
      <c r="F502" s="148"/>
      <c r="G502" s="148"/>
      <c r="H502" s="148"/>
      <c r="I502" s="148"/>
      <c r="J502" s="148"/>
      <c r="K502" s="148"/>
      <c r="L502" s="148"/>
      <c r="M502" s="148"/>
      <c r="N502" s="148"/>
      <c r="O502" s="148"/>
      <c r="P502" s="148"/>
      <c r="Q502" s="148"/>
      <c r="R502" s="148"/>
      <c r="S502" s="148"/>
      <c r="T502" s="148"/>
      <c r="U502" s="148"/>
      <c r="V502" s="148"/>
      <c r="W502" s="148"/>
      <c r="X502" s="148"/>
      <c r="Y502" s="148"/>
      <c r="Z502" s="148"/>
      <c r="AA502" s="148"/>
      <c r="AB502" s="148"/>
      <c r="AC502" s="148"/>
      <c r="AD502" s="148"/>
      <c r="AE502" s="148"/>
    </row>
    <row r="503" spans="2:31">
      <c r="B503" s="148"/>
      <c r="C503" s="148"/>
      <c r="D503" s="148"/>
      <c r="E503" s="148"/>
      <c r="F503" s="148"/>
      <c r="G503" s="148"/>
      <c r="H503" s="148"/>
      <c r="I503" s="148"/>
      <c r="J503" s="148"/>
      <c r="K503" s="148"/>
      <c r="L503" s="148"/>
      <c r="M503" s="148"/>
      <c r="N503" s="148"/>
      <c r="O503" s="148"/>
      <c r="P503" s="148"/>
      <c r="Q503" s="148"/>
      <c r="R503" s="148"/>
      <c r="S503" s="148"/>
      <c r="T503" s="148"/>
      <c r="U503" s="148"/>
      <c r="V503" s="148"/>
      <c r="W503" s="148"/>
      <c r="X503" s="148"/>
      <c r="Y503" s="148"/>
      <c r="Z503" s="148"/>
      <c r="AA503" s="148"/>
      <c r="AB503" s="148"/>
      <c r="AC503" s="148"/>
      <c r="AD503" s="148"/>
      <c r="AE503" s="148"/>
    </row>
    <row r="504" spans="2:31">
      <c r="B504" s="148"/>
      <c r="C504" s="148"/>
      <c r="D504" s="148"/>
      <c r="E504" s="148"/>
      <c r="F504" s="148"/>
      <c r="G504" s="148"/>
      <c r="H504" s="148"/>
      <c r="I504" s="148"/>
      <c r="J504" s="148"/>
      <c r="K504" s="148"/>
      <c r="L504" s="148"/>
      <c r="M504" s="148"/>
      <c r="N504" s="148"/>
      <c r="O504" s="148"/>
      <c r="P504" s="148"/>
      <c r="Q504" s="148"/>
      <c r="R504" s="148"/>
      <c r="S504" s="148"/>
      <c r="T504" s="148"/>
      <c r="U504" s="148"/>
      <c r="V504" s="148"/>
      <c r="W504" s="148"/>
      <c r="X504" s="148"/>
      <c r="Y504" s="148"/>
      <c r="Z504" s="148"/>
      <c r="AA504" s="148"/>
      <c r="AB504" s="148"/>
      <c r="AC504" s="148"/>
      <c r="AD504" s="148"/>
      <c r="AE504" s="148"/>
    </row>
    <row r="505" spans="2:31">
      <c r="B505" s="148"/>
      <c r="C505" s="148"/>
      <c r="D505" s="148"/>
      <c r="E505" s="148"/>
      <c r="F505" s="148"/>
      <c r="G505" s="148"/>
      <c r="H505" s="148"/>
      <c r="I505" s="148"/>
      <c r="J505" s="148"/>
      <c r="K505" s="148"/>
      <c r="L505" s="148"/>
      <c r="M505" s="148"/>
      <c r="N505" s="148"/>
      <c r="O505" s="148"/>
      <c r="P505" s="148"/>
      <c r="Q505" s="148"/>
      <c r="R505" s="148"/>
      <c r="S505" s="148"/>
      <c r="T505" s="148"/>
      <c r="U505" s="148"/>
      <c r="V505" s="148"/>
      <c r="W505" s="148"/>
      <c r="X505" s="148"/>
      <c r="Y505" s="148"/>
      <c r="Z505" s="148"/>
      <c r="AA505" s="148"/>
      <c r="AB505" s="148"/>
      <c r="AC505" s="148"/>
      <c r="AD505" s="148"/>
      <c r="AE505" s="148"/>
    </row>
    <row r="506" spans="2:31">
      <c r="B506" s="148"/>
      <c r="C506" s="148"/>
      <c r="D506" s="148"/>
      <c r="E506" s="148"/>
      <c r="F506" s="148"/>
      <c r="G506" s="148"/>
      <c r="H506" s="148"/>
      <c r="I506" s="148"/>
      <c r="J506" s="148"/>
      <c r="K506" s="148"/>
      <c r="L506" s="148"/>
      <c r="M506" s="148"/>
      <c r="N506" s="148"/>
      <c r="O506" s="148"/>
      <c r="P506" s="148"/>
      <c r="Q506" s="148"/>
      <c r="R506" s="148"/>
      <c r="S506" s="148"/>
      <c r="T506" s="148"/>
      <c r="U506" s="148"/>
      <c r="V506" s="148"/>
      <c r="W506" s="148"/>
      <c r="X506" s="148"/>
      <c r="Y506" s="148"/>
      <c r="Z506" s="148"/>
      <c r="AA506" s="148"/>
      <c r="AB506" s="148"/>
      <c r="AC506" s="148"/>
      <c r="AD506" s="148"/>
      <c r="AE506" s="148"/>
    </row>
    <row r="507" spans="2:31">
      <c r="B507" s="148"/>
      <c r="C507" s="148"/>
      <c r="D507" s="148"/>
      <c r="E507" s="148"/>
      <c r="F507" s="148"/>
      <c r="G507" s="148"/>
      <c r="H507" s="148"/>
      <c r="I507" s="148"/>
      <c r="J507" s="148"/>
      <c r="K507" s="148"/>
      <c r="L507" s="148"/>
      <c r="M507" s="148"/>
      <c r="N507" s="148"/>
      <c r="O507" s="148"/>
      <c r="P507" s="148"/>
      <c r="Q507" s="148"/>
      <c r="R507" s="148"/>
      <c r="S507" s="148"/>
      <c r="T507" s="148"/>
      <c r="U507" s="148"/>
      <c r="V507" s="148"/>
      <c r="W507" s="148"/>
      <c r="X507" s="148"/>
      <c r="Y507" s="148"/>
      <c r="Z507" s="148"/>
      <c r="AA507" s="148"/>
      <c r="AB507" s="148"/>
      <c r="AC507" s="148"/>
      <c r="AD507" s="148"/>
      <c r="AE507" s="148"/>
    </row>
    <row r="508" spans="2:31">
      <c r="B508" s="148"/>
      <c r="C508" s="148"/>
      <c r="D508" s="148"/>
      <c r="E508" s="148"/>
      <c r="F508" s="148"/>
      <c r="G508" s="148"/>
      <c r="H508" s="148"/>
      <c r="I508" s="148"/>
      <c r="J508" s="148"/>
      <c r="K508" s="148"/>
      <c r="L508" s="148"/>
      <c r="M508" s="148"/>
      <c r="N508" s="148"/>
      <c r="O508" s="148"/>
      <c r="P508" s="148"/>
      <c r="Q508" s="148"/>
      <c r="R508" s="148"/>
      <c r="S508" s="148"/>
      <c r="T508" s="148"/>
      <c r="U508" s="148"/>
      <c r="V508" s="148"/>
      <c r="W508" s="148"/>
      <c r="X508" s="148"/>
      <c r="Y508" s="148"/>
      <c r="Z508" s="148"/>
      <c r="AA508" s="148"/>
      <c r="AB508" s="148"/>
      <c r="AC508" s="148"/>
      <c r="AD508" s="148"/>
      <c r="AE508" s="148"/>
    </row>
    <row r="509" spans="2:31">
      <c r="B509" s="148"/>
      <c r="C509" s="148"/>
      <c r="D509" s="148"/>
      <c r="E509" s="148"/>
      <c r="F509" s="148"/>
      <c r="G509" s="148"/>
      <c r="H509" s="148"/>
      <c r="I509" s="148"/>
      <c r="J509" s="148"/>
      <c r="K509" s="148"/>
      <c r="L509" s="148"/>
      <c r="M509" s="148"/>
      <c r="N509" s="148"/>
      <c r="O509" s="148"/>
      <c r="P509" s="148"/>
      <c r="Q509" s="148"/>
      <c r="R509" s="148"/>
      <c r="S509" s="148"/>
      <c r="T509" s="148"/>
      <c r="U509" s="148"/>
      <c r="V509" s="148"/>
      <c r="W509" s="148"/>
      <c r="X509" s="148"/>
      <c r="Y509" s="148"/>
      <c r="Z509" s="148"/>
      <c r="AA509" s="148"/>
      <c r="AB509" s="148"/>
      <c r="AC509" s="148"/>
      <c r="AD509" s="148"/>
      <c r="AE509" s="148"/>
    </row>
    <row r="510" spans="2:31">
      <c r="B510" s="148"/>
      <c r="C510" s="148"/>
      <c r="D510" s="148"/>
      <c r="E510" s="148"/>
      <c r="F510" s="148"/>
      <c r="G510" s="148"/>
      <c r="H510" s="148"/>
      <c r="I510" s="148"/>
      <c r="J510" s="148"/>
      <c r="K510" s="148"/>
      <c r="L510" s="148"/>
      <c r="M510" s="148"/>
      <c r="N510" s="148"/>
      <c r="O510" s="148"/>
      <c r="P510" s="148"/>
      <c r="Q510" s="148"/>
      <c r="R510" s="148"/>
      <c r="S510" s="148"/>
      <c r="T510" s="148"/>
      <c r="U510" s="148"/>
      <c r="V510" s="148"/>
      <c r="W510" s="148"/>
      <c r="X510" s="148"/>
      <c r="Y510" s="148"/>
      <c r="Z510" s="148"/>
      <c r="AA510" s="148"/>
      <c r="AB510" s="148"/>
      <c r="AC510" s="148"/>
      <c r="AD510" s="148"/>
      <c r="AE510" s="148"/>
    </row>
    <row r="511" spans="2:31">
      <c r="B511" s="148"/>
      <c r="C511" s="148"/>
      <c r="D511" s="148"/>
      <c r="E511" s="148"/>
      <c r="F511" s="148"/>
      <c r="G511" s="148"/>
      <c r="H511" s="148"/>
      <c r="I511" s="148"/>
      <c r="J511" s="148"/>
      <c r="K511" s="148"/>
      <c r="L511" s="148"/>
      <c r="M511" s="148"/>
      <c r="N511" s="148"/>
      <c r="O511" s="148"/>
      <c r="P511" s="148"/>
      <c r="Q511" s="148"/>
      <c r="R511" s="148"/>
      <c r="S511" s="148"/>
      <c r="T511" s="148"/>
      <c r="U511" s="148"/>
      <c r="V511" s="148"/>
      <c r="W511" s="148"/>
      <c r="X511" s="148"/>
      <c r="Y511" s="148"/>
      <c r="Z511" s="148"/>
      <c r="AA511" s="148"/>
      <c r="AB511" s="148"/>
      <c r="AC511" s="148"/>
      <c r="AD511" s="148"/>
      <c r="AE511" s="148"/>
    </row>
    <row r="512" spans="2:31">
      <c r="B512" s="148"/>
      <c r="C512" s="148"/>
      <c r="D512" s="148"/>
      <c r="E512" s="148"/>
      <c r="F512" s="148"/>
      <c r="G512" s="148"/>
      <c r="H512" s="148"/>
      <c r="I512" s="148"/>
      <c r="J512" s="148"/>
      <c r="K512" s="148"/>
      <c r="L512" s="148"/>
      <c r="M512" s="148"/>
      <c r="N512" s="148"/>
      <c r="O512" s="148"/>
      <c r="P512" s="148"/>
      <c r="Q512" s="148"/>
      <c r="R512" s="148"/>
      <c r="S512" s="148"/>
      <c r="T512" s="148"/>
      <c r="U512" s="148"/>
      <c r="V512" s="148"/>
      <c r="W512" s="148"/>
      <c r="X512" s="148"/>
      <c r="Y512" s="148"/>
      <c r="Z512" s="148"/>
      <c r="AA512" s="148"/>
      <c r="AB512" s="148"/>
      <c r="AC512" s="148"/>
      <c r="AD512" s="148"/>
      <c r="AE512" s="148"/>
    </row>
    <row r="513" spans="2:31">
      <c r="B513" s="148"/>
      <c r="C513" s="148"/>
      <c r="D513" s="148"/>
      <c r="E513" s="148"/>
      <c r="F513" s="148"/>
      <c r="G513" s="148"/>
      <c r="H513" s="148"/>
      <c r="I513" s="148"/>
      <c r="J513" s="148"/>
      <c r="K513" s="148"/>
      <c r="L513" s="148"/>
      <c r="M513" s="148"/>
      <c r="N513" s="148"/>
      <c r="O513" s="148"/>
      <c r="P513" s="148"/>
      <c r="Q513" s="148"/>
      <c r="R513" s="148"/>
      <c r="S513" s="148"/>
      <c r="T513" s="148"/>
      <c r="U513" s="148"/>
      <c r="V513" s="148"/>
      <c r="W513" s="148"/>
      <c r="X513" s="148"/>
      <c r="Y513" s="148"/>
      <c r="Z513" s="148"/>
      <c r="AA513" s="148"/>
      <c r="AB513" s="148"/>
      <c r="AC513" s="148"/>
      <c r="AD513" s="148"/>
      <c r="AE513" s="148"/>
    </row>
    <row r="514" spans="2:31">
      <c r="B514" s="148"/>
      <c r="C514" s="148"/>
      <c r="D514" s="148"/>
      <c r="E514" s="148"/>
      <c r="F514" s="148"/>
      <c r="G514" s="148"/>
      <c r="H514" s="148"/>
      <c r="I514" s="148"/>
      <c r="J514" s="148"/>
      <c r="K514" s="148"/>
      <c r="L514" s="148"/>
      <c r="M514" s="148"/>
      <c r="N514" s="148"/>
      <c r="O514" s="148"/>
      <c r="P514" s="148"/>
      <c r="Q514" s="148"/>
      <c r="R514" s="148"/>
      <c r="S514" s="148"/>
      <c r="T514" s="148"/>
      <c r="U514" s="148"/>
      <c r="V514" s="148"/>
      <c r="W514" s="148"/>
      <c r="X514" s="148"/>
      <c r="Y514" s="148"/>
      <c r="Z514" s="148"/>
      <c r="AA514" s="148"/>
      <c r="AB514" s="148"/>
      <c r="AC514" s="148"/>
      <c r="AD514" s="148"/>
      <c r="AE514" s="148"/>
    </row>
    <row r="515" spans="2:31">
      <c r="B515" s="148"/>
      <c r="C515" s="148"/>
      <c r="D515" s="148"/>
      <c r="E515" s="148"/>
      <c r="F515" s="148"/>
      <c r="G515" s="148"/>
      <c r="H515" s="148"/>
      <c r="I515" s="148"/>
      <c r="J515" s="148"/>
      <c r="K515" s="148"/>
      <c r="L515" s="148"/>
      <c r="M515" s="148"/>
      <c r="N515" s="148"/>
      <c r="O515" s="148"/>
      <c r="P515" s="148"/>
      <c r="Q515" s="148"/>
      <c r="R515" s="148"/>
      <c r="S515" s="148"/>
      <c r="T515" s="148"/>
      <c r="U515" s="148"/>
      <c r="V515" s="148"/>
      <c r="W515" s="148"/>
      <c r="X515" s="148"/>
      <c r="Y515" s="148"/>
      <c r="Z515" s="148"/>
      <c r="AA515" s="148"/>
      <c r="AB515" s="148"/>
      <c r="AC515" s="148"/>
      <c r="AD515" s="148"/>
      <c r="AE515" s="148"/>
    </row>
    <row r="516" spans="2:31">
      <c r="B516" s="148"/>
      <c r="C516" s="148"/>
      <c r="D516" s="148"/>
      <c r="E516" s="148"/>
      <c r="F516" s="148"/>
      <c r="G516" s="148"/>
      <c r="H516" s="148"/>
      <c r="I516" s="148"/>
      <c r="J516" s="148"/>
      <c r="K516" s="148"/>
      <c r="L516" s="148"/>
      <c r="M516" s="148"/>
      <c r="N516" s="148"/>
      <c r="O516" s="148"/>
      <c r="P516" s="148"/>
      <c r="Q516" s="148"/>
      <c r="R516" s="148"/>
      <c r="S516" s="148"/>
      <c r="T516" s="148"/>
      <c r="U516" s="148"/>
      <c r="V516" s="148"/>
      <c r="W516" s="148"/>
      <c r="X516" s="148"/>
      <c r="Y516" s="148"/>
      <c r="Z516" s="148"/>
      <c r="AA516" s="148"/>
      <c r="AB516" s="148"/>
      <c r="AC516" s="148"/>
      <c r="AD516" s="148"/>
      <c r="AE516" s="148"/>
    </row>
    <row r="517" spans="2:31">
      <c r="B517" s="148"/>
      <c r="C517" s="148"/>
      <c r="D517" s="148"/>
      <c r="E517" s="148"/>
      <c r="F517" s="148"/>
      <c r="G517" s="148"/>
      <c r="H517" s="148"/>
      <c r="I517" s="148"/>
      <c r="J517" s="148"/>
      <c r="K517" s="148"/>
      <c r="L517" s="148"/>
      <c r="M517" s="148"/>
      <c r="N517" s="148"/>
      <c r="O517" s="148"/>
      <c r="P517" s="148"/>
      <c r="Q517" s="148"/>
      <c r="R517" s="148"/>
      <c r="S517" s="148"/>
      <c r="T517" s="148"/>
      <c r="U517" s="148"/>
      <c r="V517" s="148"/>
      <c r="W517" s="148"/>
      <c r="X517" s="148"/>
      <c r="Y517" s="148"/>
      <c r="Z517" s="148"/>
      <c r="AA517" s="148"/>
      <c r="AB517" s="148"/>
      <c r="AC517" s="148"/>
      <c r="AD517" s="148"/>
      <c r="AE517" s="148"/>
    </row>
    <row r="518" spans="2:31">
      <c r="B518" s="148"/>
      <c r="C518" s="148"/>
      <c r="D518" s="148"/>
      <c r="E518" s="148"/>
      <c r="F518" s="148"/>
      <c r="G518" s="148"/>
      <c r="H518" s="148"/>
      <c r="I518" s="148"/>
      <c r="J518" s="148"/>
      <c r="K518" s="148"/>
      <c r="L518" s="148"/>
      <c r="M518" s="148"/>
      <c r="N518" s="148"/>
      <c r="O518" s="148"/>
      <c r="P518" s="148"/>
      <c r="Q518" s="148"/>
      <c r="R518" s="148"/>
      <c r="S518" s="148"/>
      <c r="T518" s="148"/>
      <c r="U518" s="148"/>
      <c r="V518" s="148"/>
      <c r="W518" s="148"/>
      <c r="X518" s="148"/>
      <c r="Y518" s="148"/>
      <c r="Z518" s="148"/>
      <c r="AA518" s="148"/>
      <c r="AB518" s="148"/>
      <c r="AC518" s="148"/>
      <c r="AD518" s="148"/>
      <c r="AE518" s="148"/>
    </row>
    <row r="519" spans="2:31">
      <c r="B519" s="148"/>
      <c r="C519" s="148"/>
      <c r="D519" s="148"/>
      <c r="E519" s="148"/>
      <c r="F519" s="148"/>
      <c r="G519" s="148"/>
      <c r="H519" s="148"/>
      <c r="I519" s="148"/>
      <c r="J519" s="148"/>
      <c r="K519" s="148"/>
      <c r="L519" s="148"/>
      <c r="M519" s="148"/>
      <c r="N519" s="148"/>
      <c r="O519" s="148"/>
      <c r="P519" s="148"/>
      <c r="Q519" s="148"/>
      <c r="R519" s="148"/>
      <c r="S519" s="148"/>
      <c r="T519" s="148"/>
      <c r="U519" s="148"/>
      <c r="V519" s="148"/>
      <c r="W519" s="148"/>
      <c r="X519" s="148"/>
      <c r="Y519" s="148"/>
      <c r="Z519" s="148"/>
      <c r="AA519" s="148"/>
      <c r="AB519" s="148"/>
      <c r="AC519" s="148"/>
      <c r="AD519" s="148"/>
      <c r="AE519" s="148"/>
    </row>
    <row r="520" spans="2:31">
      <c r="B520" s="148"/>
      <c r="C520" s="148"/>
      <c r="D520" s="148"/>
      <c r="E520" s="148"/>
      <c r="F520" s="148"/>
      <c r="G520" s="148"/>
      <c r="H520" s="148"/>
      <c r="I520" s="148"/>
      <c r="J520" s="148"/>
      <c r="K520" s="148"/>
      <c r="L520" s="148"/>
      <c r="M520" s="148"/>
      <c r="N520" s="148"/>
      <c r="O520" s="148"/>
      <c r="P520" s="148"/>
      <c r="Q520" s="148"/>
      <c r="R520" s="148"/>
      <c r="S520" s="148"/>
      <c r="T520" s="148"/>
      <c r="U520" s="148"/>
      <c r="V520" s="148"/>
      <c r="W520" s="148"/>
      <c r="X520" s="148"/>
      <c r="Y520" s="148"/>
      <c r="Z520" s="148"/>
      <c r="AA520" s="148"/>
      <c r="AB520" s="148"/>
      <c r="AC520" s="148"/>
      <c r="AD520" s="148"/>
      <c r="AE520" s="148"/>
    </row>
    <row r="521" spans="2:31">
      <c r="B521" s="148"/>
      <c r="C521" s="148"/>
      <c r="D521" s="148"/>
      <c r="E521" s="148"/>
      <c r="F521" s="148"/>
      <c r="G521" s="148"/>
      <c r="H521" s="148"/>
      <c r="I521" s="148"/>
      <c r="J521" s="148"/>
      <c r="K521" s="148"/>
      <c r="L521" s="148"/>
      <c r="M521" s="148"/>
      <c r="N521" s="148"/>
      <c r="O521" s="148"/>
      <c r="P521" s="148"/>
      <c r="Q521" s="148"/>
      <c r="R521" s="148"/>
      <c r="S521" s="148"/>
      <c r="T521" s="148"/>
      <c r="U521" s="148"/>
      <c r="V521" s="148"/>
      <c r="W521" s="148"/>
      <c r="X521" s="148"/>
      <c r="Y521" s="148"/>
      <c r="Z521" s="148"/>
      <c r="AA521" s="148"/>
      <c r="AB521" s="148"/>
      <c r="AC521" s="148"/>
      <c r="AD521" s="148"/>
      <c r="AE521" s="148"/>
    </row>
    <row r="522" spans="2:31">
      <c r="B522" s="148"/>
      <c r="C522" s="148"/>
      <c r="D522" s="148"/>
      <c r="E522" s="148"/>
      <c r="F522" s="148"/>
      <c r="G522" s="148"/>
      <c r="H522" s="148"/>
      <c r="I522" s="148"/>
      <c r="J522" s="148"/>
      <c r="K522" s="148"/>
      <c r="L522" s="148"/>
      <c r="M522" s="148"/>
      <c r="N522" s="148"/>
      <c r="O522" s="148"/>
      <c r="P522" s="148"/>
      <c r="Q522" s="148"/>
      <c r="R522" s="148"/>
      <c r="S522" s="148"/>
      <c r="T522" s="148"/>
      <c r="U522" s="148"/>
      <c r="V522" s="148"/>
      <c r="W522" s="148"/>
      <c r="X522" s="148"/>
      <c r="Y522" s="148"/>
      <c r="Z522" s="148"/>
      <c r="AA522" s="148"/>
      <c r="AB522" s="148"/>
      <c r="AC522" s="148"/>
      <c r="AD522" s="148"/>
      <c r="AE522" s="148"/>
    </row>
    <row r="523" spans="2:31">
      <c r="B523" s="148"/>
      <c r="C523" s="148"/>
      <c r="D523" s="148"/>
      <c r="E523" s="148"/>
      <c r="F523" s="148"/>
      <c r="G523" s="148"/>
      <c r="H523" s="148"/>
      <c r="I523" s="148"/>
      <c r="J523" s="148"/>
      <c r="K523" s="148"/>
      <c r="L523" s="148"/>
      <c r="M523" s="148"/>
      <c r="N523" s="148"/>
      <c r="O523" s="148"/>
      <c r="P523" s="148"/>
      <c r="Q523" s="148"/>
      <c r="R523" s="148"/>
      <c r="S523" s="148"/>
      <c r="T523" s="148"/>
      <c r="U523" s="148"/>
      <c r="V523" s="148"/>
      <c r="W523" s="148"/>
      <c r="X523" s="148"/>
      <c r="Y523" s="148"/>
      <c r="Z523" s="148"/>
      <c r="AA523" s="148"/>
      <c r="AB523" s="148"/>
      <c r="AC523" s="148"/>
      <c r="AD523" s="148"/>
      <c r="AE523" s="148"/>
    </row>
    <row r="524" spans="2:31">
      <c r="B524" s="148"/>
      <c r="C524" s="148"/>
      <c r="D524" s="148"/>
      <c r="E524" s="148"/>
      <c r="F524" s="148"/>
      <c r="G524" s="148"/>
      <c r="H524" s="148"/>
      <c r="I524" s="148"/>
      <c r="J524" s="148"/>
      <c r="K524" s="148"/>
      <c r="L524" s="148"/>
      <c r="M524" s="148"/>
      <c r="N524" s="148"/>
      <c r="O524" s="148"/>
      <c r="P524" s="148"/>
      <c r="Q524" s="148"/>
      <c r="R524" s="148"/>
      <c r="S524" s="148"/>
      <c r="T524" s="148"/>
      <c r="U524" s="148"/>
      <c r="V524" s="148"/>
      <c r="W524" s="148"/>
      <c r="X524" s="148"/>
      <c r="Y524" s="148"/>
      <c r="Z524" s="148"/>
      <c r="AA524" s="148"/>
      <c r="AB524" s="148"/>
      <c r="AC524" s="148"/>
      <c r="AD524" s="148"/>
      <c r="AE524" s="148"/>
    </row>
    <row r="525" spans="2:31">
      <c r="B525" s="148"/>
      <c r="C525" s="148"/>
      <c r="D525" s="148"/>
      <c r="E525" s="148"/>
      <c r="F525" s="148"/>
      <c r="G525" s="148"/>
      <c r="H525" s="148"/>
      <c r="I525" s="148"/>
      <c r="J525" s="148"/>
      <c r="K525" s="148"/>
      <c r="L525" s="148"/>
      <c r="M525" s="148"/>
      <c r="N525" s="148"/>
      <c r="O525" s="148"/>
      <c r="P525" s="148"/>
      <c r="Q525" s="148"/>
      <c r="R525" s="148"/>
      <c r="S525" s="148"/>
      <c r="T525" s="148"/>
      <c r="U525" s="148"/>
      <c r="V525" s="148"/>
      <c r="W525" s="148"/>
      <c r="X525" s="148"/>
      <c r="Y525" s="148"/>
      <c r="Z525" s="148"/>
      <c r="AA525" s="148"/>
      <c r="AB525" s="148"/>
      <c r="AC525" s="148"/>
      <c r="AD525" s="148"/>
      <c r="AE525" s="148"/>
    </row>
    <row r="526" spans="2:31">
      <c r="B526" s="148"/>
      <c r="C526" s="148"/>
      <c r="D526" s="148"/>
      <c r="E526" s="148"/>
      <c r="F526" s="148"/>
      <c r="G526" s="148"/>
      <c r="H526" s="148"/>
      <c r="I526" s="148"/>
      <c r="J526" s="148"/>
      <c r="K526" s="148"/>
      <c r="L526" s="148"/>
      <c r="M526" s="148"/>
      <c r="N526" s="148"/>
      <c r="O526" s="148"/>
      <c r="P526" s="148"/>
      <c r="Q526" s="148"/>
      <c r="R526" s="148"/>
      <c r="S526" s="148"/>
      <c r="T526" s="148"/>
      <c r="U526" s="148"/>
      <c r="V526" s="148"/>
      <c r="W526" s="148"/>
      <c r="X526" s="148"/>
      <c r="Y526" s="148"/>
      <c r="Z526" s="148"/>
      <c r="AA526" s="148"/>
      <c r="AB526" s="148"/>
      <c r="AC526" s="148"/>
      <c r="AD526" s="148"/>
      <c r="AE526" s="148"/>
    </row>
    <row r="527" spans="2:31">
      <c r="B527" s="148"/>
      <c r="C527" s="148"/>
      <c r="D527" s="148"/>
      <c r="E527" s="148"/>
      <c r="F527" s="148"/>
      <c r="G527" s="148"/>
      <c r="H527" s="148"/>
      <c r="I527" s="148"/>
      <c r="J527" s="148"/>
      <c r="K527" s="148"/>
      <c r="L527" s="148"/>
      <c r="M527" s="148"/>
      <c r="N527" s="148"/>
      <c r="O527" s="148"/>
      <c r="P527" s="148"/>
      <c r="Q527" s="148"/>
      <c r="R527" s="148"/>
      <c r="S527" s="148"/>
      <c r="T527" s="148"/>
      <c r="U527" s="148"/>
      <c r="V527" s="148"/>
      <c r="W527" s="148"/>
      <c r="X527" s="148"/>
      <c r="Y527" s="148"/>
      <c r="Z527" s="148"/>
      <c r="AA527" s="148"/>
      <c r="AB527" s="148"/>
      <c r="AC527" s="148"/>
      <c r="AD527" s="148"/>
      <c r="AE527" s="148"/>
    </row>
    <row r="528" spans="2:31">
      <c r="B528" s="148"/>
      <c r="C528" s="148"/>
      <c r="D528" s="148"/>
      <c r="E528" s="148"/>
      <c r="F528" s="148"/>
      <c r="G528" s="148"/>
      <c r="H528" s="148"/>
      <c r="I528" s="148"/>
      <c r="J528" s="148"/>
      <c r="K528" s="148"/>
      <c r="L528" s="148"/>
      <c r="M528" s="148"/>
      <c r="N528" s="148"/>
      <c r="O528" s="148"/>
      <c r="P528" s="148"/>
      <c r="Q528" s="148"/>
      <c r="R528" s="148"/>
      <c r="S528" s="148"/>
      <c r="T528" s="148"/>
      <c r="U528" s="148"/>
      <c r="V528" s="148"/>
      <c r="W528" s="148"/>
      <c r="X528" s="148"/>
      <c r="Y528" s="148"/>
      <c r="Z528" s="148"/>
      <c r="AA528" s="148"/>
      <c r="AB528" s="148"/>
      <c r="AC528" s="148"/>
      <c r="AD528" s="148"/>
      <c r="AE528" s="148"/>
    </row>
    <row r="529" spans="2:31">
      <c r="B529" s="148"/>
      <c r="C529" s="148"/>
      <c r="D529" s="148"/>
      <c r="E529" s="148"/>
      <c r="F529" s="148"/>
      <c r="G529" s="148"/>
      <c r="H529" s="148"/>
      <c r="I529" s="148"/>
      <c r="J529" s="148"/>
      <c r="K529" s="148"/>
      <c r="L529" s="148"/>
      <c r="M529" s="148"/>
      <c r="N529" s="148"/>
      <c r="O529" s="148"/>
      <c r="P529" s="148"/>
      <c r="Q529" s="148"/>
      <c r="R529" s="148"/>
      <c r="S529" s="148"/>
      <c r="T529" s="148"/>
      <c r="U529" s="148"/>
      <c r="V529" s="148"/>
      <c r="W529" s="148"/>
      <c r="X529" s="148"/>
      <c r="Y529" s="148"/>
      <c r="Z529" s="148"/>
      <c r="AA529" s="148"/>
      <c r="AB529" s="148"/>
      <c r="AC529" s="148"/>
      <c r="AD529" s="148"/>
      <c r="AE529" s="148"/>
    </row>
    <row r="530" spans="2:31">
      <c r="B530" s="148"/>
      <c r="C530" s="148"/>
      <c r="D530" s="148"/>
      <c r="E530" s="148"/>
      <c r="F530" s="148"/>
      <c r="G530" s="148"/>
      <c r="H530" s="148"/>
      <c r="I530" s="148"/>
      <c r="J530" s="148"/>
      <c r="K530" s="148"/>
      <c r="L530" s="148"/>
      <c r="M530" s="148"/>
      <c r="N530" s="148"/>
      <c r="O530" s="148"/>
      <c r="P530" s="148"/>
      <c r="Q530" s="148"/>
      <c r="R530" s="148"/>
      <c r="S530" s="148"/>
      <c r="T530" s="148"/>
      <c r="U530" s="148"/>
      <c r="V530" s="148"/>
      <c r="W530" s="148"/>
      <c r="X530" s="148"/>
      <c r="Y530" s="148"/>
      <c r="Z530" s="148"/>
      <c r="AA530" s="148"/>
      <c r="AB530" s="148"/>
      <c r="AC530" s="148"/>
      <c r="AD530" s="148"/>
      <c r="AE530" s="148"/>
    </row>
    <row r="531" spans="2:31">
      <c r="B531" s="148"/>
      <c r="C531" s="148"/>
      <c r="D531" s="148"/>
      <c r="E531" s="148"/>
      <c r="F531" s="148"/>
      <c r="G531" s="148"/>
      <c r="H531" s="148"/>
      <c r="I531" s="148"/>
      <c r="J531" s="148"/>
      <c r="K531" s="148"/>
      <c r="L531" s="148"/>
      <c r="M531" s="148"/>
      <c r="N531" s="148"/>
      <c r="O531" s="148"/>
      <c r="P531" s="148"/>
      <c r="Q531" s="148"/>
      <c r="R531" s="148"/>
      <c r="S531" s="148"/>
      <c r="T531" s="148"/>
      <c r="U531" s="148"/>
      <c r="V531" s="148"/>
      <c r="W531" s="148"/>
      <c r="X531" s="148"/>
      <c r="Y531" s="148"/>
      <c r="Z531" s="148"/>
      <c r="AA531" s="148"/>
      <c r="AB531" s="148"/>
      <c r="AC531" s="148"/>
      <c r="AD531" s="148"/>
      <c r="AE531" s="148"/>
    </row>
    <row r="532" spans="2:31">
      <c r="B532" s="148"/>
      <c r="C532" s="148"/>
      <c r="D532" s="148"/>
      <c r="E532" s="148"/>
      <c r="F532" s="148"/>
      <c r="G532" s="148"/>
      <c r="H532" s="148"/>
      <c r="I532" s="148"/>
      <c r="J532" s="148"/>
      <c r="K532" s="148"/>
      <c r="L532" s="148"/>
      <c r="M532" s="148"/>
      <c r="N532" s="148"/>
      <c r="O532" s="148"/>
      <c r="P532" s="148"/>
      <c r="Q532" s="148"/>
      <c r="R532" s="148"/>
      <c r="S532" s="148"/>
      <c r="T532" s="148"/>
      <c r="U532" s="148"/>
      <c r="V532" s="148"/>
      <c r="W532" s="148"/>
      <c r="X532" s="148"/>
      <c r="Y532" s="148"/>
      <c r="Z532" s="148"/>
      <c r="AA532" s="148"/>
      <c r="AB532" s="148"/>
      <c r="AC532" s="148"/>
      <c r="AD532" s="148"/>
      <c r="AE532" s="148"/>
    </row>
    <row r="533" spans="2:31">
      <c r="B533" s="148"/>
      <c r="C533" s="148"/>
      <c r="D533" s="148"/>
      <c r="E533" s="148"/>
      <c r="F533" s="148"/>
      <c r="G533" s="148"/>
      <c r="H533" s="148"/>
      <c r="I533" s="148"/>
      <c r="J533" s="148"/>
      <c r="K533" s="148"/>
      <c r="L533" s="148"/>
      <c r="M533" s="148"/>
      <c r="N533" s="148"/>
      <c r="O533" s="148"/>
      <c r="P533" s="148"/>
      <c r="Q533" s="148"/>
      <c r="R533" s="148"/>
      <c r="S533" s="148"/>
      <c r="T533" s="148"/>
      <c r="U533" s="148"/>
      <c r="V533" s="148"/>
      <c r="W533" s="148"/>
      <c r="X533" s="148"/>
      <c r="Y533" s="148"/>
      <c r="Z533" s="148"/>
      <c r="AA533" s="148"/>
      <c r="AB533" s="148"/>
      <c r="AC533" s="148"/>
      <c r="AD533" s="148"/>
      <c r="AE533" s="148"/>
    </row>
    <row r="534" spans="2:31">
      <c r="B534" s="148"/>
      <c r="C534" s="148"/>
      <c r="D534" s="148"/>
      <c r="E534" s="148"/>
      <c r="F534" s="148"/>
      <c r="G534" s="148"/>
      <c r="H534" s="148"/>
      <c r="I534" s="148"/>
      <c r="J534" s="148"/>
      <c r="K534" s="148"/>
      <c r="L534" s="148"/>
      <c r="M534" s="148"/>
      <c r="N534" s="148"/>
      <c r="O534" s="148"/>
      <c r="P534" s="148"/>
      <c r="Q534" s="148"/>
      <c r="R534" s="148"/>
      <c r="S534" s="148"/>
      <c r="T534" s="148"/>
      <c r="U534" s="148"/>
      <c r="V534" s="148"/>
      <c r="W534" s="148"/>
      <c r="X534" s="148"/>
      <c r="Y534" s="148"/>
      <c r="Z534" s="148"/>
      <c r="AA534" s="148"/>
      <c r="AB534" s="148"/>
      <c r="AC534" s="148"/>
      <c r="AD534" s="148"/>
      <c r="AE534" s="148"/>
    </row>
    <row r="535" spans="2:31">
      <c r="B535" s="148"/>
      <c r="C535" s="148"/>
      <c r="D535" s="148"/>
      <c r="E535" s="148"/>
      <c r="F535" s="148"/>
      <c r="G535" s="148"/>
      <c r="H535" s="148"/>
      <c r="I535" s="148"/>
      <c r="J535" s="148"/>
      <c r="K535" s="148"/>
      <c r="L535" s="148"/>
      <c r="M535" s="148"/>
      <c r="N535" s="148"/>
      <c r="O535" s="148"/>
      <c r="P535" s="148"/>
      <c r="Q535" s="148"/>
      <c r="R535" s="148"/>
      <c r="S535" s="148"/>
      <c r="T535" s="148"/>
      <c r="U535" s="148"/>
      <c r="V535" s="148"/>
      <c r="W535" s="148"/>
      <c r="X535" s="148"/>
      <c r="Y535" s="148"/>
      <c r="Z535" s="148"/>
      <c r="AA535" s="148"/>
      <c r="AB535" s="148"/>
      <c r="AC535" s="148"/>
      <c r="AD535" s="148"/>
      <c r="AE535" s="148"/>
    </row>
    <row r="536" spans="2:31">
      <c r="B536" s="148"/>
      <c r="C536" s="148"/>
      <c r="D536" s="148"/>
      <c r="E536" s="148"/>
      <c r="F536" s="148"/>
      <c r="G536" s="148"/>
      <c r="H536" s="148"/>
      <c r="I536" s="148"/>
      <c r="J536" s="148"/>
      <c r="K536" s="148"/>
      <c r="L536" s="148"/>
      <c r="M536" s="148"/>
      <c r="N536" s="148"/>
      <c r="O536" s="148"/>
      <c r="P536" s="148"/>
      <c r="Q536" s="148"/>
      <c r="R536" s="148"/>
      <c r="S536" s="148"/>
      <c r="T536" s="148"/>
      <c r="U536" s="148"/>
      <c r="V536" s="148"/>
      <c r="W536" s="148"/>
      <c r="X536" s="148"/>
      <c r="Y536" s="148"/>
      <c r="Z536" s="148"/>
      <c r="AA536" s="148"/>
      <c r="AB536" s="148"/>
      <c r="AC536" s="148"/>
      <c r="AD536" s="148"/>
      <c r="AE536" s="148"/>
    </row>
    <row r="537" spans="2:31">
      <c r="B537" s="148"/>
      <c r="C537" s="148"/>
      <c r="D537" s="148"/>
      <c r="E537" s="148"/>
      <c r="F537" s="148"/>
      <c r="G537" s="148"/>
      <c r="H537" s="148"/>
      <c r="I537" s="148"/>
      <c r="J537" s="148"/>
      <c r="K537" s="148"/>
      <c r="L537" s="148"/>
      <c r="M537" s="148"/>
      <c r="N537" s="148"/>
      <c r="O537" s="148"/>
      <c r="P537" s="148"/>
      <c r="Q537" s="148"/>
      <c r="R537" s="148"/>
      <c r="S537" s="148"/>
      <c r="T537" s="148"/>
      <c r="U537" s="148"/>
      <c r="V537" s="148"/>
      <c r="W537" s="148"/>
      <c r="X537" s="148"/>
      <c r="Y537" s="148"/>
      <c r="Z537" s="148"/>
      <c r="AA537" s="148"/>
      <c r="AB537" s="148"/>
      <c r="AC537" s="148"/>
      <c r="AD537" s="148"/>
      <c r="AE537" s="148"/>
    </row>
    <row r="538" spans="2:31">
      <c r="B538" s="148"/>
      <c r="C538" s="148"/>
      <c r="D538" s="148"/>
      <c r="E538" s="148"/>
      <c r="F538" s="148"/>
      <c r="G538" s="148"/>
      <c r="H538" s="148"/>
      <c r="I538" s="148"/>
      <c r="J538" s="148"/>
      <c r="K538" s="148"/>
      <c r="L538" s="148"/>
      <c r="M538" s="148"/>
      <c r="N538" s="148"/>
      <c r="O538" s="148"/>
      <c r="P538" s="148"/>
      <c r="Q538" s="148"/>
      <c r="R538" s="148"/>
      <c r="S538" s="148"/>
      <c r="T538" s="148"/>
      <c r="U538" s="148"/>
      <c r="V538" s="148"/>
      <c r="W538" s="148"/>
      <c r="X538" s="148"/>
      <c r="Y538" s="148"/>
      <c r="Z538" s="148"/>
      <c r="AA538" s="148"/>
      <c r="AB538" s="148"/>
      <c r="AC538" s="148"/>
      <c r="AD538" s="148"/>
      <c r="AE538" s="148"/>
    </row>
    <row r="539" spans="2:31">
      <c r="B539" s="148"/>
      <c r="C539" s="148"/>
      <c r="D539" s="148"/>
      <c r="E539" s="148"/>
      <c r="F539" s="148"/>
      <c r="G539" s="148"/>
      <c r="H539" s="148"/>
      <c r="I539" s="148"/>
      <c r="J539" s="148"/>
      <c r="K539" s="148"/>
      <c r="L539" s="148"/>
      <c r="M539" s="148"/>
      <c r="N539" s="148"/>
      <c r="O539" s="148"/>
      <c r="P539" s="148"/>
      <c r="Q539" s="148"/>
      <c r="R539" s="148"/>
      <c r="S539" s="148"/>
      <c r="T539" s="148"/>
      <c r="U539" s="148"/>
      <c r="V539" s="148"/>
      <c r="W539" s="148"/>
      <c r="X539" s="148"/>
      <c r="Y539" s="148"/>
      <c r="Z539" s="148"/>
      <c r="AA539" s="148"/>
      <c r="AB539" s="148"/>
      <c r="AC539" s="148"/>
      <c r="AD539" s="148"/>
      <c r="AE539" s="148"/>
    </row>
    <row r="540" spans="2:31">
      <c r="B540" s="148"/>
      <c r="C540" s="148"/>
      <c r="D540" s="148"/>
      <c r="E540" s="148"/>
      <c r="F540" s="148"/>
      <c r="G540" s="148"/>
      <c r="H540" s="148"/>
      <c r="I540" s="148"/>
      <c r="J540" s="148"/>
      <c r="K540" s="148"/>
      <c r="L540" s="148"/>
      <c r="M540" s="148"/>
      <c r="N540" s="148"/>
      <c r="O540" s="148"/>
      <c r="P540" s="148"/>
      <c r="Q540" s="148"/>
      <c r="R540" s="148"/>
      <c r="S540" s="148"/>
      <c r="T540" s="148"/>
      <c r="U540" s="148"/>
      <c r="V540" s="148"/>
      <c r="W540" s="148"/>
      <c r="X540" s="148"/>
      <c r="Y540" s="148"/>
      <c r="Z540" s="148"/>
      <c r="AA540" s="148"/>
      <c r="AB540" s="148"/>
      <c r="AC540" s="148"/>
      <c r="AD540" s="148"/>
      <c r="AE540" s="148"/>
    </row>
    <row r="541" spans="2:31">
      <c r="B541" s="148"/>
      <c r="C541" s="148"/>
      <c r="D541" s="148"/>
      <c r="E541" s="148"/>
      <c r="F541" s="148"/>
      <c r="G541" s="148"/>
      <c r="H541" s="148"/>
      <c r="I541" s="148"/>
      <c r="J541" s="148"/>
      <c r="K541" s="148"/>
      <c r="L541" s="148"/>
      <c r="M541" s="148"/>
      <c r="N541" s="148"/>
      <c r="O541" s="148"/>
      <c r="P541" s="148"/>
      <c r="Q541" s="148"/>
      <c r="R541" s="148"/>
      <c r="S541" s="148"/>
      <c r="T541" s="148"/>
      <c r="U541" s="148"/>
      <c r="V541" s="148"/>
      <c r="W541" s="148"/>
      <c r="X541" s="148"/>
      <c r="Y541" s="148"/>
      <c r="Z541" s="148"/>
      <c r="AA541" s="148"/>
      <c r="AB541" s="148"/>
      <c r="AC541" s="148"/>
      <c r="AD541" s="148"/>
      <c r="AE541" s="148"/>
    </row>
    <row r="542" spans="2:31">
      <c r="B542" s="148"/>
      <c r="C542" s="148"/>
      <c r="D542" s="148"/>
      <c r="E542" s="148"/>
      <c r="F542" s="148"/>
      <c r="G542" s="148"/>
      <c r="H542" s="148"/>
      <c r="I542" s="148"/>
      <c r="J542" s="148"/>
      <c r="K542" s="148"/>
      <c r="L542" s="148"/>
      <c r="M542" s="148"/>
      <c r="N542" s="148"/>
      <c r="O542" s="148"/>
      <c r="P542" s="148"/>
      <c r="Q542" s="148"/>
      <c r="R542" s="148"/>
      <c r="S542" s="148"/>
      <c r="T542" s="148"/>
      <c r="U542" s="148"/>
      <c r="V542" s="148"/>
      <c r="W542" s="148"/>
      <c r="X542" s="148"/>
      <c r="Y542" s="148"/>
      <c r="Z542" s="148"/>
      <c r="AA542" s="148"/>
      <c r="AB542" s="148"/>
      <c r="AC542" s="148"/>
      <c r="AD542" s="148"/>
      <c r="AE542" s="148"/>
    </row>
    <row r="543" spans="2:31">
      <c r="B543" s="148"/>
      <c r="C543" s="148"/>
      <c r="D543" s="148"/>
      <c r="E543" s="148"/>
      <c r="F543" s="148"/>
      <c r="G543" s="148"/>
      <c r="H543" s="148"/>
      <c r="I543" s="148"/>
      <c r="J543" s="148"/>
      <c r="K543" s="148"/>
      <c r="L543" s="148"/>
      <c r="M543" s="148"/>
      <c r="N543" s="148"/>
      <c r="O543" s="148"/>
      <c r="P543" s="148"/>
      <c r="Q543" s="148"/>
      <c r="R543" s="148"/>
      <c r="S543" s="148"/>
      <c r="T543" s="148"/>
      <c r="U543" s="148"/>
      <c r="V543" s="148"/>
      <c r="W543" s="148"/>
      <c r="X543" s="148"/>
      <c r="Y543" s="148"/>
      <c r="Z543" s="148"/>
      <c r="AA543" s="148"/>
      <c r="AB543" s="148"/>
      <c r="AC543" s="148"/>
      <c r="AD543" s="148"/>
      <c r="AE543" s="148"/>
    </row>
    <row r="544" spans="2:31">
      <c r="B544" s="148"/>
      <c r="C544" s="148"/>
      <c r="D544" s="148"/>
      <c r="E544" s="148"/>
      <c r="F544" s="148"/>
      <c r="G544" s="148"/>
      <c r="H544" s="148"/>
      <c r="I544" s="148"/>
      <c r="J544" s="148"/>
      <c r="K544" s="148"/>
      <c r="L544" s="148"/>
      <c r="M544" s="148"/>
      <c r="N544" s="148"/>
      <c r="O544" s="148"/>
      <c r="P544" s="148"/>
      <c r="Q544" s="148"/>
      <c r="R544" s="148"/>
      <c r="S544" s="148"/>
      <c r="T544" s="148"/>
      <c r="U544" s="148"/>
      <c r="V544" s="148"/>
      <c r="W544" s="148"/>
      <c r="X544" s="148"/>
      <c r="Y544" s="148"/>
      <c r="Z544" s="148"/>
      <c r="AA544" s="148"/>
      <c r="AB544" s="148"/>
      <c r="AC544" s="148"/>
      <c r="AD544" s="148"/>
      <c r="AE544" s="148"/>
    </row>
    <row r="545" spans="2:31">
      <c r="B545" s="148"/>
      <c r="C545" s="148"/>
      <c r="D545" s="148"/>
      <c r="E545" s="148"/>
      <c r="F545" s="148"/>
      <c r="G545" s="148"/>
      <c r="H545" s="148"/>
      <c r="I545" s="148"/>
      <c r="J545" s="148"/>
      <c r="K545" s="148"/>
      <c r="L545" s="148"/>
      <c r="M545" s="148"/>
      <c r="N545" s="148"/>
      <c r="O545" s="148"/>
      <c r="P545" s="148"/>
      <c r="Q545" s="148"/>
      <c r="R545" s="148"/>
      <c r="S545" s="148"/>
      <c r="T545" s="148"/>
      <c r="U545" s="148"/>
      <c r="V545" s="148"/>
      <c r="W545" s="148"/>
      <c r="X545" s="148"/>
      <c r="Y545" s="148"/>
      <c r="Z545" s="148"/>
      <c r="AA545" s="148"/>
      <c r="AB545" s="148"/>
      <c r="AC545" s="148"/>
      <c r="AD545" s="148"/>
      <c r="AE545" s="148"/>
    </row>
    <row r="546" spans="2:31">
      <c r="B546" s="148"/>
      <c r="C546" s="148"/>
      <c r="D546" s="148"/>
      <c r="E546" s="148"/>
      <c r="F546" s="148"/>
      <c r="G546" s="148"/>
      <c r="H546" s="148"/>
      <c r="I546" s="148"/>
      <c r="J546" s="148"/>
      <c r="K546" s="148"/>
      <c r="L546" s="148"/>
      <c r="M546" s="148"/>
      <c r="N546" s="148"/>
      <c r="O546" s="148"/>
      <c r="P546" s="148"/>
      <c r="Q546" s="148"/>
      <c r="R546" s="148"/>
      <c r="S546" s="148"/>
      <c r="T546" s="148"/>
      <c r="U546" s="148"/>
      <c r="V546" s="148"/>
      <c r="W546" s="148"/>
      <c r="X546" s="148"/>
      <c r="Y546" s="148"/>
      <c r="Z546" s="148"/>
      <c r="AA546" s="148"/>
      <c r="AB546" s="148"/>
      <c r="AC546" s="148"/>
      <c r="AD546" s="148"/>
      <c r="AE546" s="148"/>
    </row>
    <row r="547" spans="2:31">
      <c r="B547" s="148"/>
      <c r="C547" s="148"/>
      <c r="D547" s="148"/>
      <c r="E547" s="148"/>
      <c r="F547" s="148"/>
      <c r="G547" s="148"/>
      <c r="H547" s="148"/>
      <c r="I547" s="148"/>
      <c r="J547" s="148"/>
      <c r="K547" s="148"/>
      <c r="L547" s="148"/>
      <c r="M547" s="148"/>
      <c r="N547" s="148"/>
      <c r="O547" s="148"/>
      <c r="P547" s="148"/>
      <c r="Q547" s="148"/>
      <c r="R547" s="148"/>
      <c r="S547" s="148"/>
      <c r="T547" s="148"/>
      <c r="U547" s="148"/>
      <c r="V547" s="148"/>
      <c r="W547" s="148"/>
      <c r="X547" s="148"/>
      <c r="Y547" s="148"/>
      <c r="Z547" s="148"/>
      <c r="AA547" s="148"/>
      <c r="AB547" s="148"/>
      <c r="AC547" s="148"/>
      <c r="AD547" s="148"/>
      <c r="AE547" s="148"/>
    </row>
    <row r="548" spans="2:31">
      <c r="B548" s="148"/>
      <c r="C548" s="148"/>
      <c r="D548" s="148"/>
      <c r="E548" s="148"/>
      <c r="F548" s="148"/>
      <c r="G548" s="148"/>
      <c r="H548" s="148"/>
      <c r="I548" s="148"/>
      <c r="J548" s="148"/>
      <c r="K548" s="148"/>
      <c r="L548" s="148"/>
      <c r="M548" s="148"/>
      <c r="N548" s="148"/>
      <c r="O548" s="148"/>
      <c r="P548" s="148"/>
      <c r="Q548" s="148"/>
      <c r="R548" s="148"/>
      <c r="S548" s="148"/>
      <c r="T548" s="148"/>
      <c r="U548" s="148"/>
      <c r="V548" s="148"/>
      <c r="W548" s="148"/>
      <c r="X548" s="148"/>
      <c r="Y548" s="148"/>
      <c r="Z548" s="148"/>
      <c r="AA548" s="148"/>
      <c r="AB548" s="148"/>
      <c r="AC548" s="148"/>
      <c r="AD548" s="148"/>
      <c r="AE548" s="148"/>
    </row>
    <row r="549" spans="2:31">
      <c r="B549" s="148"/>
      <c r="C549" s="148"/>
      <c r="D549" s="148"/>
      <c r="E549" s="148"/>
      <c r="F549" s="148"/>
      <c r="G549" s="148"/>
      <c r="H549" s="148"/>
      <c r="I549" s="148"/>
      <c r="J549" s="148"/>
      <c r="K549" s="148"/>
      <c r="L549" s="148"/>
      <c r="M549" s="148"/>
      <c r="N549" s="148"/>
      <c r="O549" s="148"/>
      <c r="P549" s="148"/>
      <c r="Q549" s="148"/>
      <c r="R549" s="148"/>
      <c r="S549" s="148"/>
      <c r="T549" s="148"/>
      <c r="U549" s="148"/>
      <c r="V549" s="148"/>
      <c r="W549" s="148"/>
      <c r="X549" s="148"/>
      <c r="Y549" s="148"/>
      <c r="Z549" s="148"/>
      <c r="AA549" s="148"/>
      <c r="AB549" s="148"/>
      <c r="AC549" s="148"/>
      <c r="AD549" s="148"/>
      <c r="AE549" s="148"/>
    </row>
    <row r="550" spans="2:31">
      <c r="B550" s="148"/>
      <c r="C550" s="148"/>
      <c r="D550" s="148"/>
      <c r="E550" s="148"/>
      <c r="F550" s="148"/>
      <c r="G550" s="148"/>
      <c r="H550" s="148"/>
      <c r="I550" s="148"/>
      <c r="J550" s="148"/>
      <c r="K550" s="148"/>
      <c r="L550" s="148"/>
      <c r="M550" s="148"/>
      <c r="N550" s="148"/>
      <c r="O550" s="148"/>
      <c r="P550" s="148"/>
      <c r="Q550" s="148"/>
      <c r="R550" s="148"/>
      <c r="S550" s="148"/>
      <c r="T550" s="148"/>
      <c r="U550" s="148"/>
      <c r="V550" s="148"/>
      <c r="W550" s="148"/>
      <c r="X550" s="148"/>
      <c r="Y550" s="148"/>
      <c r="Z550" s="148"/>
      <c r="AA550" s="148"/>
      <c r="AB550" s="148"/>
      <c r="AC550" s="148"/>
      <c r="AD550" s="148"/>
      <c r="AE550" s="148"/>
    </row>
    <row r="551" spans="2:31">
      <c r="B551" s="148"/>
      <c r="C551" s="148"/>
      <c r="D551" s="148"/>
      <c r="E551" s="148"/>
      <c r="F551" s="148"/>
      <c r="G551" s="148"/>
      <c r="H551" s="148"/>
      <c r="I551" s="148"/>
      <c r="J551" s="148"/>
      <c r="K551" s="148"/>
      <c r="L551" s="148"/>
      <c r="M551" s="148"/>
      <c r="N551" s="148"/>
      <c r="O551" s="148"/>
      <c r="P551" s="148"/>
      <c r="Q551" s="148"/>
      <c r="R551" s="148"/>
      <c r="S551" s="148"/>
      <c r="T551" s="148"/>
      <c r="U551" s="148"/>
      <c r="V551" s="148"/>
      <c r="W551" s="148"/>
      <c r="X551" s="148"/>
      <c r="Y551" s="148"/>
      <c r="Z551" s="148"/>
      <c r="AA551" s="148"/>
      <c r="AB551" s="148"/>
      <c r="AC551" s="148"/>
      <c r="AD551" s="148"/>
      <c r="AE551" s="148"/>
    </row>
    <row r="552" spans="2:31">
      <c r="B552" s="148"/>
      <c r="C552" s="148"/>
      <c r="D552" s="148"/>
      <c r="E552" s="148"/>
      <c r="F552" s="148"/>
      <c r="G552" s="148"/>
      <c r="H552" s="148"/>
      <c r="I552" s="148"/>
      <c r="J552" s="148"/>
      <c r="K552" s="148"/>
      <c r="L552" s="148"/>
      <c r="M552" s="148"/>
      <c r="N552" s="148"/>
      <c r="O552" s="148"/>
      <c r="P552" s="148"/>
      <c r="Q552" s="148"/>
      <c r="R552" s="148"/>
      <c r="S552" s="148"/>
      <c r="T552" s="148"/>
      <c r="U552" s="148"/>
      <c r="V552" s="148"/>
      <c r="W552" s="148"/>
      <c r="X552" s="148"/>
      <c r="Y552" s="148"/>
      <c r="Z552" s="148"/>
      <c r="AA552" s="148"/>
      <c r="AB552" s="148"/>
      <c r="AC552" s="148"/>
      <c r="AD552" s="148"/>
      <c r="AE552" s="148"/>
    </row>
    <row r="553" spans="2:31">
      <c r="B553" s="148"/>
      <c r="C553" s="148"/>
      <c r="D553" s="148"/>
      <c r="E553" s="148"/>
      <c r="F553" s="148"/>
      <c r="G553" s="148"/>
      <c r="H553" s="148"/>
      <c r="I553" s="148"/>
      <c r="J553" s="148"/>
      <c r="K553" s="148"/>
      <c r="L553" s="148"/>
      <c r="M553" s="148"/>
      <c r="N553" s="148"/>
      <c r="O553" s="148"/>
      <c r="P553" s="148"/>
      <c r="Q553" s="148"/>
      <c r="R553" s="148"/>
      <c r="S553" s="148"/>
      <c r="T553" s="148"/>
      <c r="U553" s="148"/>
      <c r="V553" s="148"/>
      <c r="W553" s="148"/>
      <c r="X553" s="148"/>
      <c r="Y553" s="148"/>
      <c r="Z553" s="148"/>
      <c r="AA553" s="148"/>
      <c r="AB553" s="148"/>
      <c r="AC553" s="148"/>
      <c r="AD553" s="148"/>
      <c r="AE553" s="148"/>
    </row>
    <row r="554" spans="2:31">
      <c r="B554" s="148"/>
      <c r="C554" s="148"/>
      <c r="D554" s="148"/>
      <c r="E554" s="148"/>
      <c r="F554" s="148"/>
      <c r="G554" s="148"/>
      <c r="H554" s="148"/>
      <c r="I554" s="148"/>
      <c r="J554" s="148"/>
      <c r="K554" s="148"/>
      <c r="L554" s="148"/>
      <c r="M554" s="148"/>
      <c r="N554" s="148"/>
      <c r="O554" s="148"/>
      <c r="P554" s="148"/>
      <c r="Q554" s="148"/>
      <c r="R554" s="148"/>
      <c r="S554" s="148"/>
      <c r="T554" s="148"/>
      <c r="U554" s="148"/>
      <c r="V554" s="148"/>
      <c r="W554" s="148"/>
      <c r="X554" s="148"/>
      <c r="Y554" s="148"/>
      <c r="Z554" s="148"/>
      <c r="AA554" s="148"/>
      <c r="AB554" s="148"/>
      <c r="AC554" s="148"/>
      <c r="AD554" s="148"/>
      <c r="AE554" s="148"/>
    </row>
    <row r="555" spans="2:31">
      <c r="B555" s="148"/>
      <c r="C555" s="148"/>
      <c r="D555" s="148"/>
      <c r="E555" s="148"/>
      <c r="F555" s="148"/>
      <c r="G555" s="148"/>
      <c r="H555" s="148"/>
      <c r="I555" s="148"/>
      <c r="J555" s="148"/>
      <c r="K555" s="148"/>
      <c r="L555" s="148"/>
      <c r="M555" s="148"/>
      <c r="N555" s="148"/>
      <c r="O555" s="148"/>
      <c r="P555" s="148"/>
      <c r="Q555" s="148"/>
      <c r="R555" s="148"/>
      <c r="S555" s="148"/>
      <c r="T555" s="148"/>
      <c r="U555" s="148"/>
      <c r="V555" s="148"/>
      <c r="W555" s="148"/>
      <c r="X555" s="148"/>
      <c r="Y555" s="148"/>
      <c r="Z555" s="148"/>
      <c r="AA555" s="148"/>
      <c r="AB555" s="148"/>
      <c r="AC555" s="148"/>
      <c r="AD555" s="148"/>
      <c r="AE555" s="148"/>
    </row>
    <row r="556" spans="2:31">
      <c r="B556" s="148"/>
      <c r="C556" s="148"/>
      <c r="D556" s="148"/>
      <c r="E556" s="148"/>
      <c r="F556" s="148"/>
      <c r="G556" s="148"/>
      <c r="H556" s="148"/>
      <c r="I556" s="148"/>
      <c r="J556" s="148"/>
      <c r="K556" s="148"/>
      <c r="L556" s="148"/>
      <c r="M556" s="148"/>
      <c r="N556" s="148"/>
      <c r="O556" s="148"/>
      <c r="P556" s="148"/>
      <c r="Q556" s="148"/>
      <c r="R556" s="148"/>
      <c r="S556" s="148"/>
      <c r="T556" s="148"/>
      <c r="U556" s="148"/>
      <c r="V556" s="148"/>
      <c r="W556" s="148"/>
      <c r="X556" s="148"/>
      <c r="Y556" s="148"/>
      <c r="Z556" s="148"/>
      <c r="AA556" s="148"/>
      <c r="AB556" s="148"/>
      <c r="AC556" s="148"/>
      <c r="AD556" s="148"/>
      <c r="AE556" s="148"/>
    </row>
    <row r="557" spans="2:31">
      <c r="B557" s="148"/>
      <c r="C557" s="148"/>
      <c r="D557" s="148"/>
      <c r="E557" s="148"/>
      <c r="F557" s="148"/>
      <c r="G557" s="148"/>
      <c r="H557" s="148"/>
      <c r="I557" s="148"/>
      <c r="J557" s="148"/>
      <c r="K557" s="148"/>
      <c r="L557" s="148"/>
      <c r="M557" s="148"/>
      <c r="N557" s="148"/>
      <c r="O557" s="148"/>
      <c r="P557" s="148"/>
      <c r="Q557" s="148"/>
      <c r="R557" s="148"/>
      <c r="S557" s="148"/>
      <c r="T557" s="148"/>
      <c r="U557" s="148"/>
      <c r="V557" s="148"/>
      <c r="W557" s="148"/>
      <c r="X557" s="148"/>
      <c r="Y557" s="148"/>
      <c r="Z557" s="148"/>
      <c r="AA557" s="148"/>
      <c r="AB557" s="148"/>
      <c r="AC557" s="148"/>
      <c r="AD557" s="148"/>
      <c r="AE557" s="148"/>
    </row>
    <row r="558" spans="2:31">
      <c r="B558" s="148"/>
      <c r="C558" s="148"/>
      <c r="D558" s="148"/>
      <c r="E558" s="148"/>
      <c r="F558" s="148"/>
      <c r="G558" s="148"/>
      <c r="H558" s="148"/>
      <c r="I558" s="148"/>
      <c r="J558" s="148"/>
      <c r="K558" s="148"/>
      <c r="L558" s="148"/>
      <c r="M558" s="148"/>
      <c r="N558" s="148"/>
      <c r="O558" s="148"/>
      <c r="P558" s="148"/>
      <c r="Q558" s="148"/>
      <c r="R558" s="148"/>
      <c r="S558" s="148"/>
      <c r="T558" s="148"/>
      <c r="U558" s="148"/>
      <c r="V558" s="148"/>
      <c r="W558" s="148"/>
      <c r="X558" s="148"/>
      <c r="Y558" s="148"/>
      <c r="Z558" s="148"/>
      <c r="AA558" s="148"/>
      <c r="AB558" s="148"/>
      <c r="AC558" s="148"/>
      <c r="AD558" s="148"/>
      <c r="AE558" s="148"/>
    </row>
    <row r="559" spans="2:31">
      <c r="B559" s="148"/>
      <c r="C559" s="148"/>
      <c r="D559" s="148"/>
      <c r="E559" s="148"/>
      <c r="F559" s="148"/>
      <c r="G559" s="148"/>
      <c r="H559" s="148"/>
      <c r="I559" s="148"/>
      <c r="J559" s="148"/>
      <c r="K559" s="148"/>
      <c r="L559" s="148"/>
      <c r="M559" s="148"/>
      <c r="N559" s="148"/>
      <c r="O559" s="148"/>
      <c r="P559" s="148"/>
      <c r="Q559" s="148"/>
      <c r="R559" s="148"/>
      <c r="S559" s="148"/>
      <c r="T559" s="148"/>
      <c r="U559" s="148"/>
      <c r="V559" s="148"/>
      <c r="W559" s="148"/>
      <c r="X559" s="148"/>
      <c r="Y559" s="148"/>
      <c r="Z559" s="148"/>
      <c r="AA559" s="148"/>
      <c r="AB559" s="148"/>
      <c r="AC559" s="148"/>
      <c r="AD559" s="148"/>
      <c r="AE559" s="148"/>
    </row>
    <row r="560" spans="2:31">
      <c r="B560" s="148"/>
      <c r="C560" s="148"/>
      <c r="D560" s="148"/>
      <c r="E560" s="148"/>
      <c r="F560" s="148"/>
      <c r="G560" s="148"/>
      <c r="H560" s="148"/>
      <c r="I560" s="148"/>
      <c r="J560" s="148"/>
      <c r="K560" s="148"/>
      <c r="L560" s="148"/>
      <c r="M560" s="148"/>
      <c r="N560" s="148"/>
      <c r="O560" s="148"/>
      <c r="P560" s="148"/>
      <c r="Q560" s="148"/>
      <c r="R560" s="148"/>
      <c r="S560" s="148"/>
      <c r="T560" s="148"/>
      <c r="U560" s="148"/>
      <c r="V560" s="148"/>
      <c r="W560" s="148"/>
      <c r="X560" s="148"/>
      <c r="Y560" s="148"/>
      <c r="Z560" s="148"/>
      <c r="AA560" s="148"/>
      <c r="AB560" s="148"/>
      <c r="AC560" s="148"/>
      <c r="AD560" s="148"/>
      <c r="AE560" s="148"/>
    </row>
    <row r="561" spans="2:31">
      <c r="B561" s="148"/>
      <c r="C561" s="148"/>
      <c r="D561" s="148"/>
      <c r="E561" s="148"/>
      <c r="F561" s="148"/>
      <c r="G561" s="148"/>
      <c r="H561" s="148"/>
      <c r="I561" s="148"/>
      <c r="J561" s="148"/>
      <c r="K561" s="148"/>
      <c r="L561" s="148"/>
      <c r="M561" s="148"/>
      <c r="N561" s="148"/>
      <c r="O561" s="148"/>
      <c r="P561" s="148"/>
      <c r="Q561" s="148"/>
      <c r="R561" s="148"/>
      <c r="S561" s="148"/>
      <c r="T561" s="148"/>
      <c r="U561" s="148"/>
      <c r="V561" s="148"/>
      <c r="W561" s="148"/>
      <c r="X561" s="148"/>
      <c r="Y561" s="148"/>
      <c r="Z561" s="148"/>
      <c r="AA561" s="148"/>
      <c r="AB561" s="148"/>
      <c r="AC561" s="148"/>
      <c r="AD561" s="148"/>
      <c r="AE561" s="148"/>
    </row>
    <row r="562" spans="2:31">
      <c r="B562" s="148"/>
      <c r="C562" s="148"/>
      <c r="D562" s="148"/>
      <c r="E562" s="148"/>
      <c r="F562" s="148"/>
      <c r="G562" s="148"/>
      <c r="H562" s="148"/>
      <c r="I562" s="148"/>
      <c r="J562" s="148"/>
      <c r="K562" s="148"/>
      <c r="L562" s="148"/>
      <c r="M562" s="148"/>
      <c r="N562" s="148"/>
      <c r="O562" s="148"/>
      <c r="P562" s="148"/>
      <c r="Q562" s="148"/>
      <c r="R562" s="148"/>
      <c r="S562" s="148"/>
      <c r="T562" s="148"/>
      <c r="U562" s="148"/>
      <c r="V562" s="148"/>
      <c r="W562" s="148"/>
      <c r="X562" s="148"/>
      <c r="Y562" s="148"/>
      <c r="Z562" s="148"/>
      <c r="AA562" s="148"/>
      <c r="AB562" s="148"/>
      <c r="AC562" s="148"/>
      <c r="AD562" s="148"/>
      <c r="AE562" s="148"/>
    </row>
    <row r="563" spans="2:31">
      <c r="B563" s="148"/>
      <c r="C563" s="148"/>
      <c r="D563" s="148"/>
      <c r="E563" s="148"/>
      <c r="F563" s="148"/>
      <c r="G563" s="148"/>
      <c r="H563" s="148"/>
      <c r="I563" s="148"/>
      <c r="J563" s="148"/>
      <c r="K563" s="148"/>
      <c r="L563" s="148"/>
      <c r="M563" s="148"/>
      <c r="N563" s="148"/>
      <c r="O563" s="148"/>
      <c r="P563" s="148"/>
      <c r="Q563" s="148"/>
      <c r="R563" s="148"/>
      <c r="S563" s="148"/>
      <c r="T563" s="148"/>
      <c r="U563" s="148"/>
      <c r="V563" s="148"/>
      <c r="W563" s="148"/>
      <c r="X563" s="148"/>
      <c r="Y563" s="148"/>
      <c r="Z563" s="148"/>
      <c r="AA563" s="148"/>
      <c r="AB563" s="148"/>
      <c r="AC563" s="148"/>
      <c r="AD563" s="148"/>
      <c r="AE563" s="148"/>
    </row>
    <row r="564" spans="2:31">
      <c r="B564" s="148"/>
      <c r="C564" s="148"/>
      <c r="D564" s="148"/>
      <c r="E564" s="148"/>
      <c r="F564" s="148"/>
      <c r="G564" s="148"/>
      <c r="H564" s="148"/>
      <c r="I564" s="148"/>
      <c r="J564" s="148"/>
      <c r="K564" s="148"/>
      <c r="L564" s="148"/>
      <c r="M564" s="148"/>
      <c r="N564" s="148"/>
      <c r="O564" s="148"/>
      <c r="P564" s="148"/>
      <c r="Q564" s="148"/>
      <c r="R564" s="148"/>
      <c r="S564" s="148"/>
      <c r="T564" s="148"/>
      <c r="U564" s="148"/>
      <c r="V564" s="148"/>
      <c r="W564" s="148"/>
      <c r="X564" s="148"/>
      <c r="Y564" s="148"/>
      <c r="Z564" s="148"/>
      <c r="AA564" s="148"/>
      <c r="AB564" s="148"/>
      <c r="AC564" s="148"/>
      <c r="AD564" s="148"/>
      <c r="AE564" s="148"/>
    </row>
    <row r="565" spans="2:31">
      <c r="B565" s="148"/>
      <c r="C565" s="148"/>
      <c r="D565" s="148"/>
      <c r="E565" s="148"/>
      <c r="F565" s="148"/>
      <c r="G565" s="148"/>
      <c r="H565" s="148"/>
      <c r="I565" s="148"/>
      <c r="J565" s="148"/>
      <c r="K565" s="148"/>
      <c r="L565" s="148"/>
      <c r="M565" s="148"/>
      <c r="N565" s="148"/>
      <c r="O565" s="148"/>
      <c r="P565" s="148"/>
      <c r="Q565" s="148"/>
      <c r="R565" s="148"/>
      <c r="S565" s="148"/>
      <c r="T565" s="148"/>
      <c r="U565" s="148"/>
      <c r="V565" s="148"/>
      <c r="W565" s="148"/>
      <c r="X565" s="148"/>
      <c r="Y565" s="148"/>
      <c r="Z565" s="148"/>
      <c r="AA565" s="148"/>
      <c r="AB565" s="148"/>
      <c r="AC565" s="148"/>
      <c r="AD565" s="148"/>
      <c r="AE565" s="148"/>
    </row>
    <row r="566" spans="2:31">
      <c r="B566" s="148"/>
      <c r="C566" s="148"/>
      <c r="D566" s="148"/>
      <c r="E566" s="148"/>
      <c r="F566" s="148"/>
      <c r="G566" s="148"/>
      <c r="H566" s="148"/>
      <c r="I566" s="148"/>
      <c r="J566" s="148"/>
      <c r="K566" s="148"/>
      <c r="L566" s="148"/>
      <c r="M566" s="148"/>
      <c r="N566" s="148"/>
      <c r="O566" s="148"/>
      <c r="P566" s="148"/>
      <c r="Q566" s="148"/>
      <c r="R566" s="148"/>
      <c r="S566" s="148"/>
      <c r="T566" s="148"/>
      <c r="U566" s="148"/>
      <c r="V566" s="148"/>
      <c r="W566" s="148"/>
      <c r="X566" s="148"/>
      <c r="Y566" s="148"/>
      <c r="Z566" s="148"/>
      <c r="AA566" s="148"/>
      <c r="AB566" s="148"/>
      <c r="AC566" s="148"/>
      <c r="AD566" s="148"/>
      <c r="AE566" s="148"/>
    </row>
    <row r="567" spans="2:31">
      <c r="B567" s="148"/>
      <c r="C567" s="148"/>
      <c r="D567" s="148"/>
      <c r="E567" s="148"/>
      <c r="F567" s="148"/>
      <c r="G567" s="148"/>
      <c r="H567" s="148"/>
      <c r="I567" s="148"/>
      <c r="J567" s="148"/>
      <c r="K567" s="148"/>
      <c r="L567" s="148"/>
      <c r="M567" s="148"/>
      <c r="N567" s="148"/>
      <c r="O567" s="148"/>
      <c r="P567" s="148"/>
      <c r="Q567" s="148"/>
      <c r="R567" s="148"/>
      <c r="S567" s="148"/>
      <c r="T567" s="148"/>
      <c r="U567" s="148"/>
      <c r="V567" s="148"/>
      <c r="W567" s="148"/>
      <c r="X567" s="148"/>
      <c r="Y567" s="148"/>
      <c r="Z567" s="148"/>
      <c r="AA567" s="148"/>
      <c r="AB567" s="148"/>
      <c r="AC567" s="148"/>
      <c r="AD567" s="148"/>
      <c r="AE567" s="148"/>
    </row>
    <row r="568" spans="2:31">
      <c r="B568" s="148"/>
      <c r="C568" s="148"/>
      <c r="D568" s="148"/>
      <c r="E568" s="148"/>
      <c r="F568" s="148"/>
      <c r="G568" s="148"/>
      <c r="H568" s="148"/>
      <c r="I568" s="148"/>
      <c r="J568" s="148"/>
      <c r="K568" s="148"/>
      <c r="L568" s="148"/>
      <c r="M568" s="148"/>
      <c r="N568" s="148"/>
      <c r="O568" s="148"/>
      <c r="P568" s="148"/>
      <c r="Q568" s="148"/>
      <c r="R568" s="148"/>
      <c r="S568" s="148"/>
      <c r="T568" s="148"/>
      <c r="U568" s="148"/>
      <c r="V568" s="148"/>
      <c r="W568" s="148"/>
      <c r="X568" s="148"/>
      <c r="Y568" s="148"/>
      <c r="Z568" s="148"/>
      <c r="AA568" s="148"/>
      <c r="AB568" s="148"/>
      <c r="AC568" s="148"/>
      <c r="AD568" s="148"/>
      <c r="AE568" s="148"/>
    </row>
    <row r="569" spans="2:31">
      <c r="B569" s="148"/>
      <c r="C569" s="148"/>
      <c r="D569" s="148"/>
      <c r="E569" s="148"/>
      <c r="F569" s="148"/>
      <c r="G569" s="148"/>
      <c r="H569" s="148"/>
      <c r="I569" s="148"/>
      <c r="J569" s="148"/>
      <c r="K569" s="148"/>
      <c r="L569" s="148"/>
      <c r="M569" s="148"/>
      <c r="N569" s="148"/>
      <c r="O569" s="148"/>
      <c r="P569" s="148"/>
      <c r="Q569" s="148"/>
      <c r="R569" s="148"/>
      <c r="S569" s="148"/>
      <c r="T569" s="148"/>
      <c r="U569" s="148"/>
      <c r="V569" s="148"/>
      <c r="W569" s="148"/>
      <c r="X569" s="148"/>
      <c r="Y569" s="148"/>
      <c r="Z569" s="148"/>
      <c r="AA569" s="148"/>
      <c r="AB569" s="148"/>
      <c r="AC569" s="148"/>
      <c r="AD569" s="148"/>
      <c r="AE569" s="148"/>
    </row>
    <row r="570" spans="2:31">
      <c r="B570" s="148"/>
      <c r="C570" s="148"/>
      <c r="D570" s="148"/>
      <c r="E570" s="148"/>
      <c r="F570" s="148"/>
      <c r="G570" s="148"/>
      <c r="H570" s="148"/>
      <c r="I570" s="148"/>
      <c r="J570" s="148"/>
      <c r="K570" s="148"/>
      <c r="L570" s="148"/>
      <c r="M570" s="148"/>
      <c r="N570" s="148"/>
      <c r="O570" s="148"/>
      <c r="P570" s="148"/>
      <c r="Q570" s="148"/>
      <c r="R570" s="148"/>
      <c r="S570" s="148"/>
      <c r="T570" s="148"/>
      <c r="U570" s="148"/>
      <c r="V570" s="148"/>
      <c r="W570" s="148"/>
      <c r="X570" s="148"/>
      <c r="Y570" s="148"/>
      <c r="Z570" s="148"/>
      <c r="AA570" s="148"/>
      <c r="AB570" s="148"/>
      <c r="AC570" s="148"/>
      <c r="AD570" s="148"/>
      <c r="AE570" s="148"/>
    </row>
    <row r="571" spans="2:31">
      <c r="B571" s="148"/>
      <c r="C571" s="148"/>
      <c r="D571" s="148"/>
      <c r="E571" s="148"/>
      <c r="F571" s="148"/>
      <c r="G571" s="148"/>
      <c r="H571" s="148"/>
      <c r="I571" s="148"/>
      <c r="J571" s="148"/>
      <c r="K571" s="148"/>
      <c r="L571" s="148"/>
      <c r="M571" s="148"/>
      <c r="N571" s="148"/>
      <c r="O571" s="148"/>
      <c r="P571" s="148"/>
      <c r="Q571" s="148"/>
      <c r="R571" s="148"/>
      <c r="S571" s="148"/>
      <c r="T571" s="148"/>
      <c r="U571" s="148"/>
      <c r="V571" s="148"/>
      <c r="W571" s="148"/>
      <c r="X571" s="148"/>
      <c r="Y571" s="148"/>
      <c r="Z571" s="148"/>
      <c r="AA571" s="148"/>
      <c r="AB571" s="148"/>
      <c r="AC571" s="148"/>
      <c r="AD571" s="148"/>
      <c r="AE571" s="148"/>
    </row>
    <row r="572" spans="2:31">
      <c r="B572" s="148"/>
      <c r="C572" s="148"/>
      <c r="D572" s="148"/>
      <c r="E572" s="148"/>
      <c r="F572" s="148"/>
      <c r="G572" s="148"/>
      <c r="H572" s="148"/>
      <c r="I572" s="148"/>
      <c r="J572" s="148"/>
      <c r="K572" s="148"/>
      <c r="L572" s="148"/>
      <c r="M572" s="148"/>
      <c r="N572" s="148"/>
      <c r="O572" s="148"/>
      <c r="P572" s="148"/>
      <c r="Q572" s="148"/>
      <c r="R572" s="148"/>
      <c r="S572" s="148"/>
      <c r="T572" s="148"/>
      <c r="U572" s="148"/>
      <c r="V572" s="148"/>
      <c r="W572" s="148"/>
      <c r="X572" s="148"/>
      <c r="Y572" s="148"/>
      <c r="Z572" s="148"/>
      <c r="AA572" s="148"/>
      <c r="AB572" s="148"/>
      <c r="AC572" s="148"/>
      <c r="AD572" s="148"/>
      <c r="AE572" s="148"/>
    </row>
    <row r="573" spans="2:31">
      <c r="B573" s="148"/>
      <c r="C573" s="148"/>
      <c r="D573" s="148"/>
      <c r="E573" s="148"/>
      <c r="F573" s="148"/>
      <c r="G573" s="148"/>
      <c r="H573" s="148"/>
      <c r="I573" s="148"/>
      <c r="J573" s="148"/>
      <c r="K573" s="148"/>
      <c r="L573" s="148"/>
      <c r="M573" s="148"/>
      <c r="N573" s="148"/>
      <c r="O573" s="148"/>
      <c r="P573" s="148"/>
      <c r="Q573" s="148"/>
      <c r="R573" s="148"/>
      <c r="S573" s="148"/>
      <c r="T573" s="148"/>
      <c r="U573" s="148"/>
      <c r="V573" s="148"/>
      <c r="W573" s="148"/>
      <c r="X573" s="148"/>
      <c r="Y573" s="148"/>
      <c r="Z573" s="148"/>
      <c r="AA573" s="148"/>
      <c r="AB573" s="148"/>
      <c r="AC573" s="148"/>
      <c r="AD573" s="148"/>
      <c r="AE573" s="148"/>
    </row>
    <row r="574" spans="2:31">
      <c r="B574" s="148"/>
      <c r="C574" s="148"/>
      <c r="D574" s="148"/>
      <c r="E574" s="148"/>
      <c r="F574" s="148"/>
      <c r="G574" s="148"/>
      <c r="H574" s="148"/>
      <c r="I574" s="148"/>
      <c r="J574" s="148"/>
      <c r="K574" s="148"/>
      <c r="L574" s="148"/>
      <c r="M574" s="148"/>
      <c r="N574" s="148"/>
      <c r="O574" s="148"/>
      <c r="P574" s="148"/>
      <c r="Q574" s="148"/>
      <c r="R574" s="148"/>
      <c r="S574" s="148"/>
      <c r="T574" s="148"/>
      <c r="U574" s="148"/>
      <c r="V574" s="148"/>
      <c r="W574" s="148"/>
      <c r="X574" s="148"/>
      <c r="Y574" s="148"/>
      <c r="Z574" s="148"/>
      <c r="AA574" s="148"/>
      <c r="AB574" s="148"/>
      <c r="AC574" s="148"/>
      <c r="AD574" s="148"/>
      <c r="AE574" s="148"/>
    </row>
    <row r="575" spans="2:31">
      <c r="B575" s="148"/>
      <c r="C575" s="148"/>
      <c r="D575" s="148"/>
      <c r="E575" s="148"/>
      <c r="F575" s="148"/>
      <c r="G575" s="148"/>
      <c r="H575" s="148"/>
      <c r="I575" s="148"/>
      <c r="J575" s="148"/>
      <c r="K575" s="148"/>
      <c r="L575" s="148"/>
      <c r="M575" s="148"/>
      <c r="N575" s="148"/>
      <c r="O575" s="148"/>
      <c r="P575" s="148"/>
      <c r="Q575" s="148"/>
      <c r="R575" s="148"/>
      <c r="S575" s="148"/>
      <c r="T575" s="148"/>
      <c r="U575" s="148"/>
      <c r="V575" s="148"/>
      <c r="W575" s="148"/>
      <c r="X575" s="148"/>
      <c r="Y575" s="148"/>
      <c r="Z575" s="148"/>
      <c r="AA575" s="148"/>
      <c r="AB575" s="148"/>
      <c r="AC575" s="148"/>
      <c r="AD575" s="148"/>
      <c r="AE575" s="148"/>
    </row>
    <row r="576" spans="2:31">
      <c r="B576" s="148"/>
      <c r="C576" s="148"/>
      <c r="D576" s="148"/>
      <c r="E576" s="148"/>
      <c r="F576" s="148"/>
      <c r="G576" s="148"/>
      <c r="H576" s="148"/>
      <c r="I576" s="148"/>
      <c r="J576" s="148"/>
      <c r="K576" s="148"/>
      <c r="L576" s="148"/>
      <c r="M576" s="148"/>
      <c r="N576" s="148"/>
      <c r="O576" s="148"/>
      <c r="P576" s="148"/>
      <c r="Q576" s="148"/>
      <c r="R576" s="148"/>
      <c r="S576" s="148"/>
      <c r="T576" s="148"/>
      <c r="U576" s="148"/>
      <c r="V576" s="148"/>
      <c r="W576" s="148"/>
      <c r="X576" s="148"/>
      <c r="Y576" s="148"/>
      <c r="Z576" s="148"/>
      <c r="AA576" s="148"/>
      <c r="AB576" s="148"/>
      <c r="AC576" s="148"/>
      <c r="AD576" s="148"/>
      <c r="AE576" s="148"/>
    </row>
    <row r="577" spans="2:31">
      <c r="B577" s="148"/>
      <c r="C577" s="148"/>
      <c r="D577" s="148"/>
      <c r="E577" s="148"/>
      <c r="F577" s="148"/>
      <c r="G577" s="148"/>
      <c r="H577" s="148"/>
      <c r="I577" s="148"/>
      <c r="J577" s="148"/>
      <c r="K577" s="148"/>
      <c r="L577" s="148"/>
      <c r="M577" s="148"/>
      <c r="N577" s="148"/>
      <c r="O577" s="148"/>
      <c r="P577" s="148"/>
      <c r="Q577" s="148"/>
      <c r="R577" s="148"/>
      <c r="S577" s="148"/>
      <c r="T577" s="148"/>
      <c r="U577" s="148"/>
      <c r="V577" s="148"/>
      <c r="W577" s="148"/>
      <c r="X577" s="148"/>
      <c r="Y577" s="148"/>
      <c r="Z577" s="148"/>
      <c r="AA577" s="148"/>
      <c r="AB577" s="148"/>
      <c r="AC577" s="148"/>
      <c r="AD577" s="148"/>
      <c r="AE577" s="148"/>
    </row>
    <row r="578" spans="2:31">
      <c r="B578" s="148"/>
      <c r="C578" s="148"/>
      <c r="D578" s="148"/>
      <c r="E578" s="148"/>
      <c r="F578" s="148"/>
      <c r="G578" s="148"/>
      <c r="H578" s="148"/>
      <c r="I578" s="148"/>
      <c r="J578" s="148"/>
      <c r="K578" s="148"/>
      <c r="L578" s="148"/>
      <c r="M578" s="148"/>
      <c r="N578" s="148"/>
      <c r="O578" s="148"/>
      <c r="P578" s="148"/>
      <c r="Q578" s="148"/>
      <c r="R578" s="148"/>
      <c r="S578" s="148"/>
      <c r="T578" s="148"/>
      <c r="U578" s="148"/>
      <c r="V578" s="148"/>
      <c r="W578" s="148"/>
      <c r="X578" s="148"/>
      <c r="Y578" s="148"/>
      <c r="Z578" s="148"/>
      <c r="AA578" s="148"/>
      <c r="AB578" s="148"/>
      <c r="AC578" s="148"/>
      <c r="AD578" s="148"/>
      <c r="AE578" s="148"/>
    </row>
    <row r="579" spans="2:31">
      <c r="B579" s="148"/>
      <c r="C579" s="148"/>
      <c r="D579" s="148"/>
      <c r="E579" s="148"/>
      <c r="F579" s="148"/>
      <c r="G579" s="148"/>
      <c r="H579" s="148"/>
      <c r="I579" s="148"/>
      <c r="J579" s="148"/>
      <c r="K579" s="148"/>
      <c r="L579" s="148"/>
      <c r="M579" s="148"/>
      <c r="N579" s="148"/>
      <c r="O579" s="148"/>
      <c r="P579" s="148"/>
      <c r="Q579" s="148"/>
      <c r="R579" s="148"/>
      <c r="S579" s="148"/>
      <c r="T579" s="148"/>
      <c r="U579" s="148"/>
      <c r="V579" s="148"/>
      <c r="W579" s="148"/>
      <c r="X579" s="148"/>
      <c r="Y579" s="148"/>
      <c r="Z579" s="148"/>
      <c r="AA579" s="148"/>
      <c r="AB579" s="148"/>
      <c r="AC579" s="148"/>
      <c r="AD579" s="148"/>
      <c r="AE579" s="148"/>
    </row>
    <row r="580" spans="2:31">
      <c r="B580" s="148"/>
      <c r="C580" s="148"/>
      <c r="D580" s="148"/>
      <c r="E580" s="148"/>
      <c r="F580" s="148"/>
      <c r="G580" s="148"/>
      <c r="H580" s="148"/>
      <c r="I580" s="148"/>
      <c r="J580" s="148"/>
      <c r="K580" s="148"/>
      <c r="L580" s="148"/>
      <c r="M580" s="148"/>
      <c r="N580" s="148"/>
      <c r="O580" s="148"/>
      <c r="P580" s="148"/>
      <c r="Q580" s="148"/>
      <c r="R580" s="148"/>
      <c r="S580" s="148"/>
      <c r="T580" s="148"/>
      <c r="U580" s="148"/>
      <c r="V580" s="148"/>
      <c r="W580" s="148"/>
      <c r="X580" s="148"/>
      <c r="Y580" s="148"/>
      <c r="Z580" s="148"/>
      <c r="AA580" s="148"/>
      <c r="AB580" s="148"/>
      <c r="AC580" s="148"/>
      <c r="AD580" s="148"/>
      <c r="AE580" s="148"/>
    </row>
    <row r="581" spans="2:31">
      <c r="B581" s="148"/>
      <c r="C581" s="148"/>
      <c r="D581" s="148"/>
      <c r="E581" s="148"/>
      <c r="F581" s="148"/>
      <c r="G581" s="148"/>
      <c r="H581" s="148"/>
      <c r="I581" s="148"/>
      <c r="J581" s="148"/>
      <c r="K581" s="148"/>
      <c r="L581" s="148"/>
      <c r="M581" s="148"/>
      <c r="N581" s="148"/>
      <c r="O581" s="148"/>
      <c r="P581" s="148"/>
      <c r="Q581" s="148"/>
      <c r="R581" s="148"/>
      <c r="S581" s="148"/>
      <c r="T581" s="148"/>
      <c r="U581" s="148"/>
      <c r="V581" s="148"/>
      <c r="W581" s="148"/>
      <c r="X581" s="148"/>
      <c r="Y581" s="148"/>
      <c r="Z581" s="148"/>
      <c r="AA581" s="148"/>
      <c r="AB581" s="148"/>
      <c r="AC581" s="148"/>
      <c r="AD581" s="148"/>
      <c r="AE581" s="148"/>
    </row>
    <row r="582" spans="2:31">
      <c r="B582" s="148"/>
      <c r="C582" s="148"/>
      <c r="D582" s="148"/>
      <c r="E582" s="148"/>
      <c r="F582" s="148"/>
      <c r="G582" s="148"/>
      <c r="H582" s="148"/>
      <c r="I582" s="148"/>
      <c r="J582" s="148"/>
      <c r="K582" s="148"/>
      <c r="L582" s="148"/>
      <c r="M582" s="148"/>
      <c r="N582" s="148"/>
      <c r="O582" s="148"/>
      <c r="P582" s="148"/>
      <c r="Q582" s="148"/>
      <c r="R582" s="148"/>
      <c r="S582" s="148"/>
      <c r="T582" s="148"/>
      <c r="U582" s="148"/>
      <c r="V582" s="148"/>
      <c r="W582" s="148"/>
      <c r="X582" s="148"/>
      <c r="Y582" s="148"/>
      <c r="Z582" s="148"/>
      <c r="AA582" s="148"/>
      <c r="AB582" s="148"/>
      <c r="AC582" s="148"/>
      <c r="AD582" s="148"/>
      <c r="AE582" s="148"/>
    </row>
    <row r="583" spans="2:31">
      <c r="B583" s="148"/>
      <c r="C583" s="148"/>
      <c r="D583" s="148"/>
      <c r="E583" s="148"/>
      <c r="F583" s="148"/>
      <c r="G583" s="148"/>
      <c r="H583" s="148"/>
      <c r="I583" s="148"/>
      <c r="J583" s="148"/>
      <c r="K583" s="148"/>
      <c r="L583" s="148"/>
      <c r="M583" s="148"/>
      <c r="N583" s="148"/>
      <c r="O583" s="148"/>
      <c r="P583" s="148"/>
      <c r="Q583" s="148"/>
      <c r="R583" s="148"/>
      <c r="S583" s="148"/>
      <c r="T583" s="148"/>
      <c r="U583" s="148"/>
      <c r="V583" s="148"/>
      <c r="W583" s="148"/>
      <c r="X583" s="148"/>
      <c r="Y583" s="148"/>
      <c r="Z583" s="148"/>
      <c r="AA583" s="148"/>
      <c r="AB583" s="148"/>
      <c r="AC583" s="148"/>
      <c r="AD583" s="148"/>
      <c r="AE583" s="148"/>
    </row>
    <row r="584" spans="2:31">
      <c r="B584" s="148"/>
      <c r="C584" s="148"/>
      <c r="D584" s="148"/>
      <c r="E584" s="148"/>
      <c r="F584" s="148"/>
      <c r="G584" s="148"/>
      <c r="H584" s="148"/>
      <c r="I584" s="148"/>
      <c r="J584" s="148"/>
      <c r="K584" s="148"/>
      <c r="L584" s="148"/>
      <c r="M584" s="148"/>
      <c r="N584" s="148"/>
      <c r="O584" s="148"/>
      <c r="P584" s="148"/>
      <c r="Q584" s="148"/>
      <c r="R584" s="148"/>
      <c r="S584" s="148"/>
      <c r="T584" s="148"/>
      <c r="U584" s="148"/>
      <c r="V584" s="148"/>
      <c r="W584" s="148"/>
      <c r="X584" s="148"/>
      <c r="Y584" s="148"/>
      <c r="Z584" s="148"/>
      <c r="AA584" s="148"/>
      <c r="AB584" s="148"/>
      <c r="AC584" s="148"/>
      <c r="AD584" s="148"/>
      <c r="AE584" s="148"/>
    </row>
    <row r="585" spans="2:31">
      <c r="B585" s="148"/>
      <c r="C585" s="148"/>
      <c r="D585" s="148"/>
      <c r="E585" s="148"/>
      <c r="F585" s="148"/>
      <c r="G585" s="148"/>
      <c r="H585" s="148"/>
      <c r="I585" s="148"/>
      <c r="J585" s="148"/>
      <c r="K585" s="148"/>
      <c r="L585" s="148"/>
      <c r="M585" s="148"/>
      <c r="N585" s="148"/>
      <c r="O585" s="148"/>
      <c r="P585" s="148"/>
      <c r="Q585" s="148"/>
      <c r="R585" s="148"/>
      <c r="S585" s="148"/>
      <c r="T585" s="148"/>
      <c r="U585" s="148"/>
      <c r="V585" s="148"/>
      <c r="W585" s="148"/>
      <c r="X585" s="148"/>
      <c r="Y585" s="148"/>
      <c r="Z585" s="148"/>
      <c r="AA585" s="148"/>
      <c r="AB585" s="148"/>
      <c r="AC585" s="148"/>
      <c r="AD585" s="148"/>
      <c r="AE585" s="148"/>
    </row>
    <row r="586" spans="2:31">
      <c r="B586" s="148"/>
      <c r="C586" s="148"/>
      <c r="D586" s="148"/>
      <c r="E586" s="148"/>
      <c r="F586" s="148"/>
      <c r="G586" s="148"/>
      <c r="H586" s="148"/>
      <c r="I586" s="148"/>
      <c r="J586" s="148"/>
      <c r="K586" s="148"/>
      <c r="L586" s="148"/>
      <c r="M586" s="148"/>
      <c r="N586" s="148"/>
      <c r="O586" s="148"/>
      <c r="P586" s="148"/>
      <c r="Q586" s="148"/>
      <c r="R586" s="148"/>
      <c r="S586" s="148"/>
      <c r="T586" s="148"/>
      <c r="U586" s="148"/>
      <c r="V586" s="148"/>
      <c r="W586" s="148"/>
      <c r="X586" s="148"/>
      <c r="Y586" s="148"/>
      <c r="Z586" s="148"/>
      <c r="AA586" s="148"/>
      <c r="AB586" s="148"/>
      <c r="AC586" s="148"/>
      <c r="AD586" s="148"/>
      <c r="AE586" s="148"/>
    </row>
    <row r="587" spans="2:31">
      <c r="B587" s="148"/>
      <c r="C587" s="148"/>
      <c r="D587" s="148"/>
      <c r="E587" s="148"/>
      <c r="F587" s="148"/>
      <c r="G587" s="148"/>
      <c r="H587" s="148"/>
      <c r="I587" s="148"/>
      <c r="J587" s="148"/>
      <c r="K587" s="148"/>
      <c r="L587" s="148"/>
      <c r="M587" s="148"/>
      <c r="N587" s="148"/>
      <c r="O587" s="148"/>
      <c r="P587" s="148"/>
      <c r="Q587" s="148"/>
      <c r="R587" s="148"/>
      <c r="S587" s="148"/>
      <c r="T587" s="148"/>
      <c r="U587" s="148"/>
      <c r="V587" s="148"/>
      <c r="W587" s="148"/>
      <c r="X587" s="148"/>
      <c r="Y587" s="148"/>
      <c r="Z587" s="148"/>
      <c r="AA587" s="148"/>
      <c r="AB587" s="148"/>
      <c r="AC587" s="148"/>
      <c r="AD587" s="148"/>
      <c r="AE587" s="148"/>
    </row>
    <row r="588" spans="2:31">
      <c r="B588" s="148"/>
      <c r="C588" s="148"/>
      <c r="D588" s="148"/>
      <c r="E588" s="148"/>
      <c r="F588" s="148"/>
      <c r="G588" s="148"/>
      <c r="H588" s="148"/>
      <c r="I588" s="148"/>
      <c r="J588" s="148"/>
      <c r="K588" s="148"/>
      <c r="L588" s="148"/>
      <c r="M588" s="148"/>
      <c r="N588" s="148"/>
      <c r="O588" s="148"/>
      <c r="P588" s="148"/>
      <c r="Q588" s="148"/>
      <c r="R588" s="148"/>
      <c r="S588" s="148"/>
      <c r="T588" s="148"/>
      <c r="U588" s="148"/>
      <c r="V588" s="148"/>
      <c r="W588" s="148"/>
      <c r="X588" s="148"/>
      <c r="Y588" s="148"/>
      <c r="Z588" s="148"/>
      <c r="AA588" s="148"/>
      <c r="AB588" s="148"/>
      <c r="AC588" s="148"/>
      <c r="AD588" s="148"/>
      <c r="AE588" s="148"/>
    </row>
    <row r="589" spans="2:31">
      <c r="B589" s="148"/>
      <c r="C589" s="148"/>
      <c r="D589" s="148"/>
      <c r="E589" s="148"/>
      <c r="F589" s="148"/>
      <c r="G589" s="148"/>
      <c r="H589" s="148"/>
      <c r="I589" s="148"/>
      <c r="J589" s="148"/>
      <c r="K589" s="148"/>
      <c r="L589" s="148"/>
      <c r="M589" s="148"/>
      <c r="N589" s="148"/>
      <c r="O589" s="148"/>
      <c r="P589" s="148"/>
      <c r="Q589" s="148"/>
      <c r="R589" s="148"/>
      <c r="S589" s="148"/>
      <c r="T589" s="148"/>
      <c r="U589" s="148"/>
      <c r="V589" s="148"/>
      <c r="W589" s="148"/>
      <c r="X589" s="148"/>
      <c r="Y589" s="148"/>
      <c r="Z589" s="148"/>
      <c r="AA589" s="148"/>
      <c r="AB589" s="148"/>
      <c r="AC589" s="148"/>
      <c r="AD589" s="148"/>
      <c r="AE589" s="148"/>
    </row>
    <row r="590" spans="2:31">
      <c r="B590" s="148"/>
      <c r="C590" s="148"/>
      <c r="D590" s="148"/>
      <c r="E590" s="148"/>
      <c r="F590" s="148"/>
      <c r="G590" s="148"/>
      <c r="H590" s="148"/>
      <c r="I590" s="148"/>
      <c r="J590" s="148"/>
      <c r="K590" s="148"/>
      <c r="L590" s="148"/>
      <c r="M590" s="148"/>
      <c r="N590" s="148"/>
      <c r="O590" s="148"/>
      <c r="P590" s="148"/>
      <c r="Q590" s="148"/>
      <c r="R590" s="148"/>
      <c r="S590" s="148"/>
      <c r="T590" s="148"/>
      <c r="U590" s="148"/>
      <c r="V590" s="148"/>
      <c r="W590" s="148"/>
      <c r="X590" s="148"/>
      <c r="Y590" s="148"/>
      <c r="Z590" s="148"/>
      <c r="AA590" s="148"/>
      <c r="AB590" s="148"/>
      <c r="AC590" s="148"/>
      <c r="AD590" s="148"/>
      <c r="AE590" s="148"/>
    </row>
    <row r="591" spans="2:31">
      <c r="B591" s="148"/>
      <c r="C591" s="148"/>
      <c r="D591" s="148"/>
      <c r="E591" s="148"/>
      <c r="F591" s="148"/>
      <c r="G591" s="148"/>
      <c r="H591" s="148"/>
      <c r="I591" s="148"/>
      <c r="J591" s="148"/>
      <c r="K591" s="148"/>
      <c r="L591" s="148"/>
      <c r="M591" s="148"/>
      <c r="N591" s="148"/>
      <c r="O591" s="148"/>
      <c r="P591" s="148"/>
      <c r="Q591" s="148"/>
      <c r="R591" s="148"/>
      <c r="S591" s="148"/>
      <c r="T591" s="148"/>
      <c r="U591" s="148"/>
      <c r="V591" s="148"/>
      <c r="W591" s="148"/>
      <c r="X591" s="148"/>
      <c r="Y591" s="148"/>
      <c r="Z591" s="148"/>
      <c r="AA591" s="148"/>
      <c r="AB591" s="148"/>
      <c r="AC591" s="148"/>
      <c r="AD591" s="148"/>
      <c r="AE591" s="148"/>
    </row>
    <row r="592" spans="2:31">
      <c r="B592" s="148"/>
      <c r="C592" s="148"/>
      <c r="D592" s="148"/>
      <c r="E592" s="148"/>
      <c r="F592" s="148"/>
      <c r="G592" s="148"/>
      <c r="H592" s="148"/>
      <c r="I592" s="148"/>
      <c r="J592" s="148"/>
      <c r="K592" s="148"/>
      <c r="L592" s="148"/>
      <c r="M592" s="148"/>
      <c r="N592" s="148"/>
      <c r="O592" s="148"/>
      <c r="P592" s="148"/>
      <c r="Q592" s="148"/>
      <c r="R592" s="148"/>
      <c r="S592" s="148"/>
      <c r="T592" s="148"/>
      <c r="U592" s="148"/>
      <c r="V592" s="148"/>
      <c r="W592" s="148"/>
      <c r="X592" s="148"/>
      <c r="Y592" s="148"/>
      <c r="Z592" s="148"/>
      <c r="AA592" s="148"/>
      <c r="AB592" s="148"/>
      <c r="AC592" s="148"/>
      <c r="AD592" s="148"/>
      <c r="AE592" s="148"/>
    </row>
    <row r="593" spans="2:31">
      <c r="B593" s="148"/>
      <c r="C593" s="148"/>
      <c r="D593" s="148"/>
      <c r="E593" s="148"/>
      <c r="F593" s="148"/>
      <c r="G593" s="148"/>
      <c r="H593" s="148"/>
      <c r="I593" s="148"/>
      <c r="J593" s="148"/>
      <c r="K593" s="148"/>
      <c r="L593" s="148"/>
      <c r="M593" s="148"/>
      <c r="N593" s="148"/>
      <c r="O593" s="148"/>
      <c r="P593" s="148"/>
      <c r="Q593" s="148"/>
      <c r="R593" s="148"/>
      <c r="S593" s="148"/>
      <c r="T593" s="148"/>
      <c r="U593" s="148"/>
      <c r="V593" s="148"/>
      <c r="W593" s="148"/>
      <c r="X593" s="148"/>
      <c r="Y593" s="148"/>
      <c r="Z593" s="148"/>
      <c r="AA593" s="148"/>
      <c r="AB593" s="148"/>
      <c r="AC593" s="148"/>
      <c r="AD593" s="148"/>
      <c r="AE593" s="148"/>
    </row>
    <row r="594" spans="2:31">
      <c r="B594" s="148"/>
      <c r="C594" s="148"/>
      <c r="D594" s="148"/>
      <c r="E594" s="148"/>
      <c r="F594" s="148"/>
      <c r="G594" s="148"/>
      <c r="H594" s="148"/>
      <c r="I594" s="148"/>
      <c r="J594" s="148"/>
      <c r="K594" s="148"/>
      <c r="L594" s="148"/>
      <c r="M594" s="148"/>
      <c r="N594" s="148"/>
      <c r="O594" s="148"/>
      <c r="P594" s="148"/>
      <c r="Q594" s="148"/>
      <c r="R594" s="148"/>
      <c r="S594" s="148"/>
      <c r="T594" s="148"/>
      <c r="U594" s="148"/>
      <c r="V594" s="148"/>
      <c r="W594" s="148"/>
      <c r="X594" s="148"/>
      <c r="Y594" s="148"/>
      <c r="Z594" s="148"/>
      <c r="AA594" s="148"/>
      <c r="AB594" s="148"/>
      <c r="AC594" s="148"/>
      <c r="AD594" s="148"/>
      <c r="AE594" s="148"/>
    </row>
    <row r="595" spans="2:31">
      <c r="B595" s="148"/>
      <c r="C595" s="148"/>
      <c r="D595" s="148"/>
      <c r="E595" s="148"/>
      <c r="F595" s="148"/>
      <c r="G595" s="148"/>
      <c r="H595" s="148"/>
      <c r="I595" s="148"/>
      <c r="J595" s="148"/>
      <c r="K595" s="148"/>
      <c r="L595" s="148"/>
      <c r="M595" s="148"/>
      <c r="N595" s="148"/>
      <c r="O595" s="148"/>
      <c r="P595" s="148"/>
      <c r="Q595" s="148"/>
      <c r="R595" s="148"/>
      <c r="S595" s="148"/>
      <c r="T595" s="148"/>
      <c r="U595" s="148"/>
      <c r="V595" s="148"/>
      <c r="W595" s="148"/>
      <c r="X595" s="148"/>
      <c r="Y595" s="148"/>
      <c r="Z595" s="148"/>
      <c r="AA595" s="148"/>
      <c r="AB595" s="148"/>
      <c r="AC595" s="148"/>
      <c r="AD595" s="148"/>
      <c r="AE595" s="148"/>
    </row>
    <row r="596" spans="2:31">
      <c r="B596" s="148"/>
      <c r="C596" s="148"/>
      <c r="D596" s="148"/>
      <c r="E596" s="148"/>
      <c r="F596" s="148"/>
      <c r="G596" s="148"/>
      <c r="H596" s="148"/>
      <c r="I596" s="148"/>
      <c r="J596" s="148"/>
      <c r="K596" s="148"/>
      <c r="L596" s="148"/>
      <c r="M596" s="148"/>
      <c r="N596" s="148"/>
      <c r="O596" s="148"/>
      <c r="P596" s="148"/>
      <c r="Q596" s="148"/>
      <c r="R596" s="148"/>
      <c r="S596" s="148"/>
      <c r="T596" s="148"/>
      <c r="U596" s="148"/>
      <c r="V596" s="148"/>
      <c r="W596" s="148"/>
      <c r="X596" s="148"/>
      <c r="Y596" s="148"/>
      <c r="Z596" s="148"/>
      <c r="AA596" s="148"/>
      <c r="AB596" s="148"/>
      <c r="AC596" s="148"/>
      <c r="AD596" s="148"/>
      <c r="AE596" s="148"/>
    </row>
    <row r="597" spans="2:31">
      <c r="B597" s="148"/>
      <c r="C597" s="148"/>
      <c r="D597" s="148"/>
      <c r="E597" s="148"/>
      <c r="F597" s="148"/>
      <c r="G597" s="148"/>
      <c r="H597" s="148"/>
      <c r="I597" s="148"/>
      <c r="J597" s="148"/>
      <c r="K597" s="148"/>
      <c r="L597" s="148"/>
      <c r="M597" s="148"/>
      <c r="N597" s="148"/>
      <c r="O597" s="148"/>
      <c r="P597" s="148"/>
      <c r="Q597" s="148"/>
      <c r="R597" s="148"/>
      <c r="S597" s="148"/>
      <c r="T597" s="148"/>
      <c r="U597" s="148"/>
      <c r="V597" s="148"/>
      <c r="W597" s="148"/>
      <c r="X597" s="148"/>
      <c r="Y597" s="148"/>
      <c r="Z597" s="148"/>
      <c r="AA597" s="148"/>
      <c r="AB597" s="148"/>
      <c r="AC597" s="148"/>
      <c r="AD597" s="148"/>
      <c r="AE597" s="148"/>
    </row>
    <row r="598" spans="2:31">
      <c r="B598" s="148"/>
      <c r="C598" s="148"/>
      <c r="D598" s="148"/>
      <c r="E598" s="148"/>
      <c r="F598" s="148"/>
      <c r="G598" s="148"/>
      <c r="H598" s="148"/>
      <c r="I598" s="148"/>
      <c r="J598" s="148"/>
      <c r="K598" s="148"/>
      <c r="L598" s="148"/>
      <c r="M598" s="148"/>
      <c r="N598" s="148"/>
      <c r="O598" s="148"/>
      <c r="P598" s="148"/>
      <c r="Q598" s="148"/>
      <c r="R598" s="148"/>
      <c r="S598" s="148"/>
      <c r="T598" s="148"/>
      <c r="U598" s="148"/>
      <c r="V598" s="148"/>
      <c r="W598" s="148"/>
      <c r="X598" s="148"/>
      <c r="Y598" s="148"/>
      <c r="Z598" s="148"/>
      <c r="AA598" s="148"/>
      <c r="AB598" s="148"/>
      <c r="AC598" s="148"/>
      <c r="AD598" s="148"/>
      <c r="AE598" s="148"/>
    </row>
    <row r="599" spans="2:31">
      <c r="B599" s="148"/>
      <c r="C599" s="148"/>
      <c r="D599" s="148"/>
      <c r="E599" s="148"/>
      <c r="F599" s="148"/>
      <c r="G599" s="148"/>
      <c r="H599" s="148"/>
      <c r="I599" s="148"/>
      <c r="J599" s="148"/>
      <c r="K599" s="148"/>
      <c r="L599" s="148"/>
      <c r="M599" s="148"/>
      <c r="N599" s="148"/>
      <c r="O599" s="148"/>
      <c r="P599" s="148"/>
      <c r="Q599" s="148"/>
      <c r="R599" s="148"/>
      <c r="S599" s="148"/>
      <c r="T599" s="148"/>
      <c r="U599" s="148"/>
      <c r="V599" s="148"/>
      <c r="W599" s="148"/>
      <c r="X599" s="148"/>
      <c r="Y599" s="148"/>
      <c r="Z599" s="148"/>
      <c r="AA599" s="148"/>
      <c r="AB599" s="148"/>
      <c r="AC599" s="148"/>
      <c r="AD599" s="148"/>
      <c r="AE599" s="148"/>
    </row>
    <row r="600" spans="2:31">
      <c r="B600" s="148"/>
      <c r="C600" s="148"/>
      <c r="D600" s="148"/>
      <c r="E600" s="148"/>
      <c r="F600" s="148"/>
      <c r="G600" s="148"/>
      <c r="H600" s="148"/>
      <c r="I600" s="148"/>
      <c r="J600" s="148"/>
      <c r="K600" s="148"/>
      <c r="L600" s="148"/>
      <c r="M600" s="148"/>
      <c r="N600" s="148"/>
      <c r="O600" s="148"/>
      <c r="P600" s="148"/>
      <c r="Q600" s="148"/>
      <c r="R600" s="148"/>
      <c r="S600" s="148"/>
      <c r="T600" s="148"/>
      <c r="U600" s="148"/>
      <c r="V600" s="148"/>
      <c r="W600" s="148"/>
      <c r="X600" s="148"/>
      <c r="Y600" s="148"/>
      <c r="Z600" s="148"/>
      <c r="AA600" s="148"/>
      <c r="AB600" s="148"/>
      <c r="AC600" s="148"/>
      <c r="AD600" s="148"/>
      <c r="AE600" s="148"/>
    </row>
    <row r="601" spans="2:31">
      <c r="B601" s="148"/>
      <c r="C601" s="148"/>
      <c r="D601" s="148"/>
      <c r="E601" s="148"/>
      <c r="F601" s="148"/>
      <c r="G601" s="148"/>
      <c r="H601" s="148"/>
      <c r="I601" s="148"/>
      <c r="J601" s="148"/>
      <c r="K601" s="148"/>
      <c r="L601" s="148"/>
      <c r="M601" s="148"/>
      <c r="N601" s="148"/>
      <c r="O601" s="148"/>
      <c r="P601" s="148"/>
      <c r="Q601" s="148"/>
      <c r="R601" s="148"/>
      <c r="S601" s="148"/>
      <c r="T601" s="148"/>
      <c r="U601" s="148"/>
      <c r="V601" s="148"/>
      <c r="W601" s="148"/>
      <c r="X601" s="148"/>
      <c r="Y601" s="148"/>
      <c r="Z601" s="148"/>
      <c r="AA601" s="148"/>
      <c r="AB601" s="148"/>
      <c r="AC601" s="148"/>
      <c r="AD601" s="148"/>
      <c r="AE601" s="148"/>
    </row>
    <row r="602" spans="2:31">
      <c r="B602" s="148"/>
      <c r="C602" s="148"/>
      <c r="D602" s="148"/>
      <c r="E602" s="148"/>
      <c r="F602" s="148"/>
      <c r="G602" s="148"/>
      <c r="H602" s="148"/>
      <c r="I602" s="148"/>
      <c r="J602" s="148"/>
      <c r="K602" s="148"/>
      <c r="L602" s="148"/>
      <c r="M602" s="148"/>
      <c r="N602" s="148"/>
      <c r="O602" s="148"/>
      <c r="P602" s="148"/>
      <c r="Q602" s="148"/>
      <c r="R602" s="148"/>
      <c r="S602" s="148"/>
      <c r="T602" s="148"/>
      <c r="U602" s="148"/>
      <c r="V602" s="148"/>
      <c r="W602" s="148"/>
      <c r="X602" s="148"/>
      <c r="Y602" s="148"/>
      <c r="Z602" s="148"/>
      <c r="AA602" s="148"/>
      <c r="AB602" s="148"/>
      <c r="AC602" s="148"/>
      <c r="AD602" s="148"/>
      <c r="AE602" s="148"/>
    </row>
    <row r="603" spans="2:31">
      <c r="B603" s="148"/>
      <c r="C603" s="148"/>
      <c r="D603" s="148"/>
      <c r="E603" s="148"/>
      <c r="F603" s="148"/>
      <c r="G603" s="148"/>
      <c r="H603" s="148"/>
      <c r="I603" s="148"/>
      <c r="J603" s="148"/>
      <c r="K603" s="148"/>
      <c r="L603" s="148"/>
      <c r="M603" s="148"/>
      <c r="N603" s="148"/>
      <c r="O603" s="148"/>
      <c r="P603" s="148"/>
      <c r="Q603" s="148"/>
      <c r="R603" s="148"/>
      <c r="S603" s="148"/>
      <c r="T603" s="148"/>
      <c r="U603" s="148"/>
      <c r="V603" s="148"/>
      <c r="W603" s="148"/>
      <c r="X603" s="148"/>
      <c r="Y603" s="148"/>
      <c r="Z603" s="148"/>
      <c r="AA603" s="148"/>
      <c r="AB603" s="148"/>
      <c r="AC603" s="148"/>
      <c r="AD603" s="148"/>
      <c r="AE603" s="148"/>
    </row>
    <row r="604" spans="2:31">
      <c r="B604" s="148"/>
      <c r="C604" s="148"/>
      <c r="D604" s="148"/>
      <c r="E604" s="148"/>
      <c r="F604" s="148"/>
      <c r="G604" s="148"/>
      <c r="H604" s="148"/>
      <c r="I604" s="148"/>
      <c r="J604" s="148"/>
      <c r="K604" s="148"/>
      <c r="L604" s="148"/>
      <c r="M604" s="148"/>
      <c r="N604" s="148"/>
      <c r="O604" s="148"/>
      <c r="P604" s="148"/>
      <c r="Q604" s="148"/>
      <c r="R604" s="148"/>
      <c r="S604" s="148"/>
      <c r="T604" s="148"/>
      <c r="U604" s="148"/>
      <c r="V604" s="148"/>
      <c r="W604" s="148"/>
      <c r="X604" s="148"/>
      <c r="Y604" s="148"/>
      <c r="Z604" s="148"/>
      <c r="AA604" s="148"/>
      <c r="AB604" s="148"/>
      <c r="AC604" s="148"/>
      <c r="AD604" s="148"/>
      <c r="AE604" s="148"/>
    </row>
    <row r="605" spans="2:31">
      <c r="B605" s="148"/>
      <c r="C605" s="148"/>
      <c r="D605" s="148"/>
      <c r="E605" s="148"/>
      <c r="F605" s="148"/>
      <c r="G605" s="148"/>
      <c r="H605" s="148"/>
      <c r="I605" s="148"/>
      <c r="J605" s="148"/>
      <c r="K605" s="148"/>
      <c r="L605" s="148"/>
      <c r="M605" s="148"/>
      <c r="N605" s="148"/>
      <c r="O605" s="148"/>
      <c r="P605" s="148"/>
      <c r="Q605" s="148"/>
      <c r="R605" s="148"/>
      <c r="S605" s="148"/>
      <c r="T605" s="148"/>
      <c r="U605" s="148"/>
      <c r="V605" s="148"/>
      <c r="W605" s="148"/>
      <c r="X605" s="148"/>
      <c r="Y605" s="148"/>
      <c r="Z605" s="148"/>
      <c r="AA605" s="148"/>
      <c r="AB605" s="148"/>
      <c r="AC605" s="148"/>
      <c r="AD605" s="148"/>
      <c r="AE605" s="148"/>
    </row>
    <row r="606" spans="2:31">
      <c r="B606" s="148"/>
      <c r="C606" s="148"/>
      <c r="D606" s="148"/>
      <c r="E606" s="148"/>
      <c r="F606" s="148"/>
      <c r="G606" s="148"/>
      <c r="H606" s="148"/>
      <c r="I606" s="148"/>
      <c r="J606" s="148"/>
      <c r="K606" s="148"/>
      <c r="L606" s="148"/>
      <c r="M606" s="148"/>
      <c r="N606" s="148"/>
      <c r="O606" s="148"/>
      <c r="P606" s="148"/>
      <c r="Q606" s="148"/>
      <c r="R606" s="148"/>
      <c r="S606" s="148"/>
      <c r="T606" s="148"/>
      <c r="U606" s="148"/>
      <c r="V606" s="148"/>
      <c r="W606" s="148"/>
      <c r="X606" s="148"/>
      <c r="Y606" s="148"/>
      <c r="Z606" s="148"/>
      <c r="AA606" s="148"/>
      <c r="AB606" s="148"/>
      <c r="AC606" s="148"/>
      <c r="AD606" s="148"/>
      <c r="AE606" s="148"/>
    </row>
    <row r="607" spans="2:31">
      <c r="B607" s="148"/>
      <c r="C607" s="148"/>
      <c r="D607" s="148"/>
      <c r="E607" s="148"/>
      <c r="F607" s="148"/>
      <c r="G607" s="148"/>
      <c r="H607" s="148"/>
      <c r="I607" s="148"/>
      <c r="J607" s="148"/>
      <c r="K607" s="148"/>
      <c r="L607" s="148"/>
      <c r="M607" s="148"/>
      <c r="N607" s="148"/>
      <c r="O607" s="148"/>
      <c r="P607" s="148"/>
      <c r="Q607" s="148"/>
      <c r="R607" s="148"/>
      <c r="S607" s="148"/>
      <c r="T607" s="148"/>
      <c r="U607" s="148"/>
      <c r="V607" s="148"/>
      <c r="W607" s="148"/>
      <c r="X607" s="148"/>
      <c r="Y607" s="148"/>
      <c r="Z607" s="148"/>
      <c r="AA607" s="148"/>
      <c r="AB607" s="148"/>
      <c r="AC607" s="148"/>
      <c r="AD607" s="148"/>
      <c r="AE607" s="148"/>
    </row>
    <row r="608" spans="2:31">
      <c r="B608" s="148"/>
      <c r="C608" s="148"/>
      <c r="D608" s="148"/>
      <c r="E608" s="148"/>
      <c r="F608" s="148"/>
      <c r="G608" s="148"/>
      <c r="H608" s="148"/>
      <c r="I608" s="148"/>
      <c r="J608" s="148"/>
      <c r="K608" s="148"/>
      <c r="L608" s="148"/>
      <c r="M608" s="148"/>
      <c r="N608" s="148"/>
      <c r="O608" s="148"/>
      <c r="P608" s="148"/>
      <c r="Q608" s="148"/>
      <c r="R608" s="148"/>
      <c r="S608" s="148"/>
      <c r="T608" s="148"/>
      <c r="U608" s="148"/>
      <c r="V608" s="148"/>
      <c r="W608" s="148"/>
      <c r="X608" s="148"/>
      <c r="Y608" s="148"/>
      <c r="Z608" s="148"/>
      <c r="AA608" s="148"/>
      <c r="AB608" s="148"/>
      <c r="AC608" s="148"/>
      <c r="AD608" s="148"/>
      <c r="AE608" s="148"/>
    </row>
    <row r="609" spans="2:31">
      <c r="B609" s="148"/>
      <c r="C609" s="148"/>
      <c r="D609" s="148"/>
      <c r="E609" s="148"/>
      <c r="F609" s="148"/>
      <c r="G609" s="148"/>
      <c r="H609" s="148"/>
      <c r="I609" s="148"/>
      <c r="J609" s="148"/>
      <c r="K609" s="148"/>
      <c r="L609" s="148"/>
      <c r="M609" s="148"/>
      <c r="N609" s="148"/>
      <c r="O609" s="148"/>
      <c r="P609" s="148"/>
      <c r="Q609" s="148"/>
      <c r="R609" s="148"/>
      <c r="S609" s="148"/>
      <c r="T609" s="148"/>
      <c r="U609" s="148"/>
      <c r="V609" s="148"/>
      <c r="W609" s="148"/>
      <c r="X609" s="148"/>
      <c r="Y609" s="148"/>
      <c r="Z609" s="148"/>
      <c r="AA609" s="148"/>
      <c r="AB609" s="148"/>
      <c r="AC609" s="148"/>
      <c r="AD609" s="148"/>
      <c r="AE609" s="148"/>
    </row>
    <row r="610" spans="2:31">
      <c r="B610" s="148"/>
      <c r="C610" s="148"/>
      <c r="D610" s="148"/>
      <c r="E610" s="148"/>
      <c r="F610" s="148"/>
      <c r="G610" s="148"/>
      <c r="H610" s="148"/>
      <c r="I610" s="148"/>
      <c r="J610" s="148"/>
      <c r="K610" s="148"/>
      <c r="L610" s="148"/>
      <c r="M610" s="148"/>
      <c r="N610" s="148"/>
      <c r="O610" s="148"/>
      <c r="P610" s="148"/>
      <c r="Q610" s="148"/>
      <c r="R610" s="148"/>
      <c r="S610" s="148"/>
      <c r="T610" s="148"/>
      <c r="U610" s="148"/>
      <c r="V610" s="148"/>
      <c r="W610" s="148"/>
      <c r="X610" s="148"/>
      <c r="Y610" s="148"/>
      <c r="Z610" s="148"/>
      <c r="AA610" s="148"/>
      <c r="AB610" s="148"/>
      <c r="AC610" s="148"/>
      <c r="AD610" s="148"/>
      <c r="AE610" s="148"/>
    </row>
    <row r="611" spans="2:31">
      <c r="B611" s="148"/>
      <c r="C611" s="148"/>
      <c r="D611" s="148"/>
      <c r="E611" s="148"/>
      <c r="F611" s="148"/>
      <c r="G611" s="148"/>
      <c r="H611" s="148"/>
      <c r="I611" s="148"/>
      <c r="J611" s="148"/>
      <c r="K611" s="148"/>
      <c r="L611" s="148"/>
      <c r="M611" s="148"/>
      <c r="N611" s="148"/>
      <c r="O611" s="148"/>
      <c r="P611" s="148"/>
      <c r="Q611" s="148"/>
      <c r="R611" s="148"/>
      <c r="S611" s="148"/>
      <c r="T611" s="148"/>
      <c r="U611" s="148"/>
      <c r="V611" s="148"/>
      <c r="W611" s="148"/>
      <c r="X611" s="148"/>
      <c r="Y611" s="148"/>
      <c r="Z611" s="148"/>
      <c r="AA611" s="148"/>
      <c r="AB611" s="148"/>
      <c r="AC611" s="148"/>
      <c r="AD611" s="148"/>
      <c r="AE611" s="148"/>
    </row>
    <row r="612" spans="2:31">
      <c r="B612" s="148"/>
      <c r="C612" s="148"/>
      <c r="D612" s="148"/>
      <c r="E612" s="148"/>
      <c r="F612" s="148"/>
      <c r="G612" s="148"/>
      <c r="H612" s="148"/>
      <c r="I612" s="148"/>
      <c r="J612" s="148"/>
      <c r="K612" s="148"/>
      <c r="L612" s="148"/>
      <c r="M612" s="148"/>
      <c r="N612" s="148"/>
      <c r="O612" s="148"/>
      <c r="P612" s="148"/>
      <c r="Q612" s="148"/>
      <c r="R612" s="148"/>
      <c r="S612" s="148"/>
      <c r="T612" s="148"/>
      <c r="U612" s="148"/>
      <c r="V612" s="148"/>
      <c r="W612" s="148"/>
      <c r="X612" s="148"/>
      <c r="Y612" s="148"/>
      <c r="Z612" s="148"/>
      <c r="AA612" s="148"/>
      <c r="AB612" s="148"/>
      <c r="AC612" s="148"/>
      <c r="AD612" s="148"/>
      <c r="AE612" s="148"/>
    </row>
    <row r="613" spans="2:31">
      <c r="B613" s="148"/>
      <c r="C613" s="148"/>
      <c r="D613" s="148"/>
      <c r="E613" s="148"/>
      <c r="F613" s="148"/>
      <c r="G613" s="148"/>
      <c r="H613" s="148"/>
      <c r="I613" s="148"/>
      <c r="J613" s="148"/>
      <c r="K613" s="148"/>
      <c r="L613" s="148"/>
      <c r="M613" s="148"/>
      <c r="N613" s="148"/>
      <c r="O613" s="148"/>
      <c r="P613" s="148"/>
      <c r="Q613" s="148"/>
      <c r="R613" s="148"/>
      <c r="S613" s="148"/>
      <c r="T613" s="148"/>
      <c r="U613" s="148"/>
      <c r="V613" s="148"/>
      <c r="W613" s="148"/>
      <c r="X613" s="148"/>
      <c r="Y613" s="148"/>
      <c r="Z613" s="148"/>
      <c r="AA613" s="148"/>
      <c r="AB613" s="148"/>
      <c r="AC613" s="148"/>
      <c r="AD613" s="148"/>
      <c r="AE613" s="148"/>
    </row>
    <row r="614" spans="2:31">
      <c r="B614" s="148"/>
      <c r="C614" s="148"/>
      <c r="D614" s="148"/>
      <c r="E614" s="148"/>
      <c r="F614" s="148"/>
      <c r="G614" s="148"/>
      <c r="H614" s="148"/>
      <c r="I614" s="148"/>
      <c r="J614" s="148"/>
      <c r="K614" s="148"/>
      <c r="L614" s="148"/>
      <c r="M614" s="148"/>
      <c r="N614" s="148"/>
      <c r="O614" s="148"/>
      <c r="P614" s="148"/>
      <c r="Q614" s="148"/>
      <c r="R614" s="148"/>
      <c r="S614" s="148"/>
      <c r="T614" s="148"/>
      <c r="U614" s="148"/>
      <c r="V614" s="148"/>
      <c r="W614" s="148"/>
      <c r="X614" s="148"/>
      <c r="Y614" s="148"/>
      <c r="Z614" s="148"/>
      <c r="AA614" s="148"/>
      <c r="AB614" s="148"/>
      <c r="AC614" s="148"/>
      <c r="AD614" s="148"/>
      <c r="AE614" s="148"/>
    </row>
    <row r="615" spans="2:31">
      <c r="B615" s="148"/>
      <c r="C615" s="148"/>
      <c r="D615" s="148"/>
      <c r="E615" s="148"/>
      <c r="F615" s="148"/>
      <c r="G615" s="148"/>
      <c r="H615" s="148"/>
      <c r="I615" s="148"/>
      <c r="J615" s="148"/>
      <c r="K615" s="148"/>
      <c r="L615" s="148"/>
      <c r="M615" s="148"/>
      <c r="N615" s="148"/>
      <c r="O615" s="148"/>
      <c r="P615" s="148"/>
      <c r="Q615" s="148"/>
      <c r="R615" s="148"/>
      <c r="S615" s="148"/>
      <c r="T615" s="148"/>
      <c r="U615" s="148"/>
      <c r="V615" s="148"/>
      <c r="W615" s="148"/>
      <c r="X615" s="148"/>
      <c r="Y615" s="148"/>
      <c r="Z615" s="148"/>
      <c r="AA615" s="148"/>
      <c r="AB615" s="148"/>
      <c r="AC615" s="148"/>
      <c r="AD615" s="148"/>
      <c r="AE615" s="148"/>
    </row>
    <row r="616" spans="2:31">
      <c r="B616" s="148"/>
      <c r="C616" s="148"/>
      <c r="D616" s="148"/>
      <c r="E616" s="148"/>
      <c r="F616" s="148"/>
      <c r="G616" s="148"/>
      <c r="H616" s="148"/>
      <c r="I616" s="148"/>
      <c r="J616" s="148"/>
      <c r="K616" s="148"/>
      <c r="L616" s="148"/>
      <c r="M616" s="148"/>
      <c r="N616" s="148"/>
      <c r="O616" s="148"/>
      <c r="P616" s="148"/>
      <c r="Q616" s="148"/>
      <c r="R616" s="148"/>
      <c r="S616" s="148"/>
      <c r="T616" s="148"/>
      <c r="U616" s="148"/>
      <c r="V616" s="148"/>
      <c r="W616" s="148"/>
      <c r="X616" s="148"/>
      <c r="Y616" s="148"/>
      <c r="Z616" s="148"/>
      <c r="AA616" s="148"/>
      <c r="AB616" s="148"/>
      <c r="AC616" s="148"/>
      <c r="AD616" s="148"/>
      <c r="AE616" s="148"/>
    </row>
    <row r="617" spans="2:31">
      <c r="B617" s="148"/>
      <c r="C617" s="148"/>
      <c r="D617" s="148"/>
      <c r="E617" s="148"/>
      <c r="F617" s="148"/>
      <c r="G617" s="148"/>
      <c r="H617" s="148"/>
      <c r="I617" s="148"/>
      <c r="J617" s="148"/>
      <c r="K617" s="148"/>
      <c r="L617" s="148"/>
      <c r="M617" s="148"/>
      <c r="N617" s="148"/>
      <c r="O617" s="148"/>
      <c r="P617" s="148"/>
      <c r="Q617" s="148"/>
      <c r="R617" s="148"/>
      <c r="S617" s="148"/>
      <c r="T617" s="148"/>
      <c r="U617" s="148"/>
      <c r="V617" s="148"/>
      <c r="W617" s="148"/>
      <c r="X617" s="148"/>
      <c r="Y617" s="148"/>
      <c r="Z617" s="148"/>
      <c r="AA617" s="148"/>
      <c r="AB617" s="148"/>
      <c r="AC617" s="148"/>
      <c r="AD617" s="148"/>
      <c r="AE617" s="148"/>
    </row>
    <row r="618" spans="2:31">
      <c r="B618" s="148"/>
      <c r="C618" s="148"/>
      <c r="D618" s="148"/>
      <c r="E618" s="148"/>
      <c r="F618" s="148"/>
      <c r="G618" s="148"/>
      <c r="H618" s="148"/>
      <c r="I618" s="148"/>
      <c r="J618" s="148"/>
      <c r="K618" s="148"/>
      <c r="L618" s="148"/>
      <c r="M618" s="148"/>
      <c r="N618" s="148"/>
      <c r="O618" s="148"/>
      <c r="P618" s="148"/>
      <c r="Q618" s="148"/>
      <c r="R618" s="148"/>
      <c r="S618" s="148"/>
      <c r="T618" s="148"/>
      <c r="U618" s="148"/>
      <c r="V618" s="148"/>
      <c r="W618" s="148"/>
      <c r="X618" s="148"/>
      <c r="Y618" s="148"/>
      <c r="Z618" s="148"/>
      <c r="AA618" s="148"/>
      <c r="AB618" s="148"/>
      <c r="AC618" s="148"/>
      <c r="AD618" s="148"/>
      <c r="AE618" s="148"/>
    </row>
    <row r="619" spans="2:31">
      <c r="B619" s="148"/>
      <c r="C619" s="148"/>
      <c r="D619" s="148"/>
      <c r="E619" s="148"/>
      <c r="F619" s="148"/>
      <c r="G619" s="148"/>
      <c r="H619" s="148"/>
      <c r="I619" s="148"/>
      <c r="J619" s="148"/>
      <c r="K619" s="148"/>
      <c r="L619" s="148"/>
      <c r="M619" s="148"/>
      <c r="N619" s="148"/>
      <c r="O619" s="148"/>
      <c r="P619" s="148"/>
      <c r="Q619" s="148"/>
      <c r="R619" s="148"/>
      <c r="S619" s="148"/>
      <c r="T619" s="148"/>
      <c r="U619" s="148"/>
      <c r="V619" s="148"/>
      <c r="W619" s="148"/>
      <c r="X619" s="148"/>
      <c r="Y619" s="148"/>
      <c r="Z619" s="148"/>
      <c r="AA619" s="148"/>
      <c r="AB619" s="148"/>
      <c r="AC619" s="148"/>
      <c r="AD619" s="148"/>
      <c r="AE619" s="148"/>
    </row>
    <row r="620" spans="2:31">
      <c r="B620" s="148"/>
      <c r="C620" s="148"/>
      <c r="D620" s="148"/>
      <c r="E620" s="148"/>
      <c r="F620" s="148"/>
      <c r="G620" s="148"/>
      <c r="H620" s="148"/>
      <c r="I620" s="148"/>
      <c r="J620" s="148"/>
      <c r="K620" s="148"/>
      <c r="L620" s="148"/>
      <c r="M620" s="148"/>
      <c r="N620" s="148"/>
      <c r="O620" s="148"/>
      <c r="P620" s="148"/>
      <c r="Q620" s="148"/>
      <c r="R620" s="148"/>
      <c r="S620" s="148"/>
      <c r="T620" s="148"/>
      <c r="U620" s="148"/>
      <c r="V620" s="148"/>
      <c r="W620" s="148"/>
      <c r="X620" s="148"/>
      <c r="Y620" s="148"/>
      <c r="Z620" s="148"/>
      <c r="AA620" s="148"/>
      <c r="AB620" s="148"/>
      <c r="AC620" s="148"/>
      <c r="AD620" s="148"/>
      <c r="AE620" s="148"/>
    </row>
    <row r="621" spans="2:31">
      <c r="B621" s="148"/>
      <c r="C621" s="148"/>
      <c r="D621" s="148"/>
      <c r="E621" s="148"/>
      <c r="F621" s="148"/>
      <c r="G621" s="148"/>
      <c r="H621" s="148"/>
      <c r="I621" s="148"/>
      <c r="J621" s="148"/>
      <c r="K621" s="148"/>
      <c r="L621" s="148"/>
      <c r="M621" s="148"/>
      <c r="N621" s="148"/>
      <c r="O621" s="148"/>
      <c r="P621" s="148"/>
      <c r="Q621" s="148"/>
      <c r="R621" s="148"/>
      <c r="S621" s="148"/>
      <c r="T621" s="148"/>
      <c r="U621" s="148"/>
      <c r="V621" s="148"/>
      <c r="W621" s="148"/>
      <c r="X621" s="148"/>
      <c r="Y621" s="148"/>
      <c r="Z621" s="148"/>
      <c r="AA621" s="148"/>
      <c r="AB621" s="148"/>
      <c r="AC621" s="148"/>
      <c r="AD621" s="148"/>
      <c r="AE621" s="148"/>
    </row>
    <row r="622" spans="2:31">
      <c r="B622" s="148"/>
      <c r="C622" s="148"/>
      <c r="D622" s="148"/>
      <c r="E622" s="148"/>
      <c r="F622" s="148"/>
      <c r="G622" s="148"/>
      <c r="H622" s="148"/>
      <c r="I622" s="148"/>
      <c r="J622" s="148"/>
      <c r="K622" s="148"/>
      <c r="L622" s="148"/>
      <c r="M622" s="148"/>
      <c r="N622" s="148"/>
      <c r="O622" s="148"/>
      <c r="P622" s="148"/>
      <c r="Q622" s="148"/>
      <c r="R622" s="148"/>
      <c r="S622" s="148"/>
      <c r="T622" s="148"/>
      <c r="U622" s="148"/>
      <c r="V622" s="148"/>
      <c r="W622" s="148"/>
      <c r="X622" s="148"/>
      <c r="Y622" s="148"/>
      <c r="Z622" s="148"/>
      <c r="AA622" s="148"/>
      <c r="AB622" s="148"/>
      <c r="AC622" s="148"/>
      <c r="AD622" s="148"/>
      <c r="AE622" s="148"/>
    </row>
    <row r="623" spans="2:31">
      <c r="B623" s="148"/>
      <c r="C623" s="148"/>
      <c r="D623" s="148"/>
      <c r="E623" s="148"/>
      <c r="F623" s="148"/>
      <c r="G623" s="148"/>
      <c r="H623" s="148"/>
      <c r="I623" s="148"/>
      <c r="J623" s="148"/>
      <c r="K623" s="148"/>
      <c r="L623" s="148"/>
      <c r="M623" s="148"/>
      <c r="N623" s="148"/>
      <c r="O623" s="148"/>
      <c r="P623" s="148"/>
      <c r="Q623" s="148"/>
      <c r="R623" s="148"/>
      <c r="S623" s="148"/>
      <c r="T623" s="148"/>
      <c r="U623" s="148"/>
      <c r="V623" s="148"/>
      <c r="W623" s="148"/>
      <c r="X623" s="148"/>
      <c r="Y623" s="148"/>
      <c r="Z623" s="148"/>
      <c r="AA623" s="148"/>
      <c r="AB623" s="148"/>
      <c r="AC623" s="148"/>
      <c r="AD623" s="148"/>
      <c r="AE623" s="148"/>
    </row>
    <row r="624" spans="2:31">
      <c r="B624" s="148"/>
      <c r="C624" s="148"/>
      <c r="D624" s="148"/>
      <c r="E624" s="148"/>
      <c r="F624" s="148"/>
      <c r="G624" s="148"/>
      <c r="H624" s="148"/>
      <c r="I624" s="148"/>
      <c r="J624" s="148"/>
      <c r="K624" s="148"/>
      <c r="L624" s="148"/>
      <c r="M624" s="148"/>
      <c r="N624" s="148"/>
      <c r="O624" s="148"/>
      <c r="P624" s="148"/>
      <c r="Q624" s="148"/>
      <c r="R624" s="148"/>
      <c r="S624" s="148"/>
      <c r="T624" s="148"/>
      <c r="U624" s="148"/>
      <c r="V624" s="148"/>
      <c r="W624" s="148"/>
      <c r="X624" s="148"/>
      <c r="Y624" s="148"/>
      <c r="Z624" s="148"/>
      <c r="AA624" s="148"/>
      <c r="AB624" s="148"/>
      <c r="AC624" s="148"/>
      <c r="AD624" s="148"/>
      <c r="AE624" s="148"/>
    </row>
    <row r="625" spans="2:31">
      <c r="B625" s="148"/>
      <c r="C625" s="148"/>
      <c r="D625" s="148"/>
      <c r="E625" s="148"/>
      <c r="F625" s="148"/>
      <c r="G625" s="148"/>
      <c r="H625" s="148"/>
      <c r="I625" s="148"/>
      <c r="J625" s="148"/>
      <c r="K625" s="148"/>
      <c r="L625" s="148"/>
      <c r="M625" s="148"/>
      <c r="N625" s="148"/>
      <c r="O625" s="148"/>
      <c r="P625" s="148"/>
      <c r="Q625" s="148"/>
      <c r="R625" s="148"/>
      <c r="S625" s="148"/>
      <c r="T625" s="148"/>
      <c r="U625" s="148"/>
      <c r="V625" s="148"/>
      <c r="W625" s="148"/>
      <c r="X625" s="148"/>
      <c r="Y625" s="148"/>
      <c r="Z625" s="148"/>
      <c r="AA625" s="148"/>
      <c r="AB625" s="148"/>
      <c r="AC625" s="148"/>
      <c r="AD625" s="148"/>
      <c r="AE625" s="148"/>
    </row>
    <row r="626" spans="2:31">
      <c r="B626" s="148"/>
      <c r="C626" s="148"/>
      <c r="D626" s="148"/>
      <c r="E626" s="148"/>
      <c r="F626" s="148"/>
      <c r="G626" s="148"/>
      <c r="H626" s="148"/>
      <c r="I626" s="148"/>
      <c r="J626" s="148"/>
      <c r="K626" s="148"/>
      <c r="L626" s="148"/>
      <c r="M626" s="148"/>
      <c r="N626" s="148"/>
      <c r="O626" s="148"/>
      <c r="P626" s="148"/>
      <c r="Q626" s="148"/>
      <c r="R626" s="148"/>
      <c r="S626" s="148"/>
      <c r="T626" s="148"/>
      <c r="U626" s="148"/>
      <c r="V626" s="148"/>
      <c r="W626" s="148"/>
      <c r="X626" s="148"/>
      <c r="Y626" s="148"/>
      <c r="Z626" s="148"/>
      <c r="AA626" s="148"/>
      <c r="AB626" s="148"/>
      <c r="AC626" s="148"/>
      <c r="AD626" s="148"/>
      <c r="AE626" s="148"/>
    </row>
    <row r="627" spans="2:31">
      <c r="B627" s="148"/>
      <c r="C627" s="148"/>
      <c r="D627" s="148"/>
      <c r="E627" s="148"/>
      <c r="F627" s="148"/>
      <c r="G627" s="148"/>
      <c r="H627" s="148"/>
      <c r="I627" s="148"/>
      <c r="J627" s="148"/>
      <c r="K627" s="148"/>
      <c r="L627" s="148"/>
      <c r="M627" s="148"/>
      <c r="N627" s="148"/>
      <c r="O627" s="148"/>
      <c r="P627" s="148"/>
      <c r="Q627" s="148"/>
      <c r="R627" s="148"/>
      <c r="S627" s="148"/>
      <c r="T627" s="148"/>
      <c r="U627" s="148"/>
      <c r="V627" s="148"/>
      <c r="W627" s="148"/>
      <c r="X627" s="148"/>
      <c r="Y627" s="148"/>
      <c r="Z627" s="148"/>
      <c r="AA627" s="148"/>
      <c r="AB627" s="148"/>
      <c r="AC627" s="148"/>
      <c r="AD627" s="148"/>
      <c r="AE627" s="148"/>
    </row>
    <row r="628" spans="2:31">
      <c r="B628" s="148"/>
      <c r="C628" s="148"/>
      <c r="D628" s="148"/>
      <c r="E628" s="148"/>
      <c r="F628" s="148"/>
      <c r="G628" s="148"/>
      <c r="H628" s="148"/>
      <c r="I628" s="148"/>
      <c r="J628" s="148"/>
      <c r="K628" s="148"/>
      <c r="L628" s="148"/>
      <c r="M628" s="148"/>
      <c r="N628" s="148"/>
      <c r="O628" s="148"/>
      <c r="P628" s="148"/>
      <c r="Q628" s="148"/>
      <c r="R628" s="148"/>
      <c r="S628" s="148"/>
      <c r="T628" s="148"/>
      <c r="U628" s="148"/>
      <c r="V628" s="148"/>
      <c r="W628" s="148"/>
      <c r="X628" s="148"/>
      <c r="Y628" s="148"/>
      <c r="Z628" s="148"/>
      <c r="AA628" s="148"/>
      <c r="AB628" s="148"/>
      <c r="AC628" s="148"/>
      <c r="AD628" s="148"/>
      <c r="AE628" s="148"/>
    </row>
    <row r="629" spans="2:31">
      <c r="B629" s="148"/>
      <c r="C629" s="148"/>
      <c r="D629" s="148"/>
      <c r="E629" s="148"/>
      <c r="F629" s="148"/>
      <c r="G629" s="148"/>
      <c r="H629" s="148"/>
      <c r="I629" s="148"/>
      <c r="J629" s="148"/>
      <c r="K629" s="148"/>
      <c r="L629" s="148"/>
      <c r="M629" s="148"/>
      <c r="N629" s="148"/>
      <c r="O629" s="148"/>
      <c r="P629" s="148"/>
      <c r="Q629" s="148"/>
      <c r="R629" s="148"/>
      <c r="S629" s="148"/>
      <c r="T629" s="148"/>
      <c r="U629" s="148"/>
      <c r="V629" s="148"/>
      <c r="W629" s="148"/>
      <c r="X629" s="148"/>
      <c r="Y629" s="148"/>
      <c r="Z629" s="148"/>
      <c r="AA629" s="148"/>
      <c r="AB629" s="148"/>
      <c r="AC629" s="148"/>
      <c r="AD629" s="148"/>
      <c r="AE629" s="148"/>
    </row>
    <row r="630" spans="2:31">
      <c r="B630" s="148"/>
      <c r="C630" s="148"/>
      <c r="D630" s="148"/>
      <c r="E630" s="148"/>
      <c r="F630" s="148"/>
      <c r="G630" s="148"/>
      <c r="H630" s="148"/>
      <c r="I630" s="148"/>
      <c r="J630" s="148"/>
      <c r="K630" s="148"/>
      <c r="L630" s="148"/>
      <c r="M630" s="148"/>
      <c r="N630" s="148"/>
      <c r="O630" s="148"/>
      <c r="P630" s="148"/>
      <c r="Q630" s="148"/>
      <c r="R630" s="148"/>
      <c r="S630" s="148"/>
      <c r="T630" s="148"/>
      <c r="U630" s="148"/>
      <c r="V630" s="148"/>
      <c r="W630" s="148"/>
      <c r="X630" s="148"/>
      <c r="Y630" s="148"/>
      <c r="Z630" s="148"/>
      <c r="AA630" s="148"/>
      <c r="AB630" s="148"/>
      <c r="AC630" s="148"/>
      <c r="AD630" s="148"/>
      <c r="AE630" s="148"/>
    </row>
    <row r="631" spans="2:31">
      <c r="B631" s="148"/>
      <c r="C631" s="148"/>
      <c r="D631" s="148"/>
      <c r="E631" s="148"/>
      <c r="F631" s="148"/>
      <c r="G631" s="148"/>
      <c r="H631" s="148"/>
      <c r="I631" s="148"/>
      <c r="J631" s="148"/>
      <c r="K631" s="148"/>
      <c r="L631" s="148"/>
      <c r="M631" s="148"/>
      <c r="N631" s="148"/>
      <c r="O631" s="148"/>
      <c r="P631" s="148"/>
      <c r="Q631" s="148"/>
      <c r="R631" s="148"/>
      <c r="S631" s="148"/>
      <c r="T631" s="148"/>
      <c r="U631" s="148"/>
      <c r="V631" s="148"/>
      <c r="W631" s="148"/>
      <c r="X631" s="148"/>
      <c r="Y631" s="148"/>
      <c r="Z631" s="148"/>
      <c r="AA631" s="148"/>
      <c r="AB631" s="148"/>
      <c r="AC631" s="148"/>
      <c r="AD631" s="148"/>
      <c r="AE631" s="148"/>
    </row>
    <row r="632" spans="2:31">
      <c r="B632" s="148"/>
      <c r="C632" s="148"/>
      <c r="D632" s="148"/>
      <c r="E632" s="148"/>
      <c r="F632" s="148"/>
      <c r="G632" s="148"/>
      <c r="H632" s="148"/>
      <c r="I632" s="148"/>
      <c r="J632" s="148"/>
      <c r="K632" s="148"/>
      <c r="L632" s="148"/>
      <c r="M632" s="148"/>
      <c r="N632" s="148"/>
      <c r="O632" s="148"/>
      <c r="P632" s="148"/>
      <c r="Q632" s="148"/>
      <c r="R632" s="148"/>
      <c r="S632" s="148"/>
      <c r="T632" s="148"/>
      <c r="U632" s="148"/>
      <c r="V632" s="148"/>
      <c r="W632" s="148"/>
      <c r="X632" s="148"/>
      <c r="Y632" s="148"/>
      <c r="Z632" s="148"/>
      <c r="AA632" s="148"/>
      <c r="AB632" s="148"/>
      <c r="AC632" s="148"/>
      <c r="AD632" s="148"/>
      <c r="AE632" s="148"/>
    </row>
    <row r="633" spans="2:31">
      <c r="B633" s="148"/>
      <c r="C633" s="148"/>
      <c r="D633" s="148"/>
      <c r="E633" s="148"/>
      <c r="F633" s="148"/>
      <c r="G633" s="148"/>
      <c r="H633" s="148"/>
      <c r="I633" s="148"/>
      <c r="J633" s="148"/>
      <c r="K633" s="148"/>
      <c r="L633" s="148"/>
      <c r="M633" s="148"/>
      <c r="N633" s="148"/>
      <c r="O633" s="148"/>
      <c r="P633" s="148"/>
      <c r="Q633" s="148"/>
      <c r="R633" s="148"/>
      <c r="S633" s="148"/>
      <c r="T633" s="148"/>
      <c r="U633" s="148"/>
      <c r="V633" s="148"/>
      <c r="W633" s="148"/>
      <c r="X633" s="148"/>
      <c r="Y633" s="148"/>
      <c r="Z633" s="148"/>
      <c r="AA633" s="148"/>
      <c r="AB633" s="148"/>
      <c r="AC633" s="148"/>
      <c r="AD633" s="148"/>
      <c r="AE633" s="148"/>
    </row>
    <row r="634" spans="2:31">
      <c r="B634" s="148"/>
      <c r="C634" s="148"/>
      <c r="D634" s="148"/>
      <c r="E634" s="148"/>
      <c r="F634" s="148"/>
      <c r="G634" s="148"/>
      <c r="H634" s="148"/>
      <c r="I634" s="148"/>
      <c r="J634" s="148"/>
      <c r="K634" s="148"/>
      <c r="L634" s="148"/>
      <c r="M634" s="148"/>
      <c r="N634" s="148"/>
      <c r="O634" s="148"/>
      <c r="P634" s="148"/>
      <c r="Q634" s="148"/>
      <c r="R634" s="148"/>
      <c r="S634" s="148"/>
      <c r="T634" s="148"/>
      <c r="U634" s="148"/>
      <c r="V634" s="148"/>
      <c r="W634" s="148"/>
      <c r="X634" s="148"/>
      <c r="Y634" s="148"/>
      <c r="Z634" s="148"/>
      <c r="AA634" s="148"/>
      <c r="AB634" s="148"/>
      <c r="AC634" s="148"/>
      <c r="AD634" s="148"/>
      <c r="AE634" s="148"/>
    </row>
    <row r="635" spans="2:31">
      <c r="B635" s="148"/>
      <c r="C635" s="148"/>
      <c r="D635" s="148"/>
      <c r="E635" s="148"/>
      <c r="F635" s="148"/>
      <c r="G635" s="148"/>
      <c r="H635" s="148"/>
      <c r="I635" s="148"/>
      <c r="J635" s="148"/>
      <c r="K635" s="148"/>
      <c r="L635" s="148"/>
      <c r="M635" s="148"/>
      <c r="N635" s="148"/>
      <c r="O635" s="148"/>
      <c r="P635" s="148"/>
      <c r="Q635" s="148"/>
      <c r="R635" s="148"/>
      <c r="S635" s="148"/>
      <c r="T635" s="148"/>
      <c r="U635" s="148"/>
      <c r="V635" s="148"/>
      <c r="W635" s="148"/>
      <c r="X635" s="148"/>
      <c r="Y635" s="148"/>
      <c r="Z635" s="148"/>
      <c r="AA635" s="148"/>
      <c r="AB635" s="148"/>
      <c r="AC635" s="148"/>
      <c r="AD635" s="148"/>
      <c r="AE635" s="148"/>
    </row>
    <row r="636" spans="2:31">
      <c r="B636" s="148"/>
      <c r="C636" s="148"/>
      <c r="D636" s="148"/>
      <c r="E636" s="148"/>
      <c r="F636" s="148"/>
      <c r="G636" s="148"/>
      <c r="H636" s="148"/>
      <c r="I636" s="148"/>
      <c r="J636" s="148"/>
      <c r="K636" s="148"/>
      <c r="L636" s="148"/>
      <c r="M636" s="148"/>
      <c r="N636" s="148"/>
      <c r="O636" s="148"/>
      <c r="P636" s="148"/>
      <c r="Q636" s="148"/>
      <c r="R636" s="148"/>
      <c r="S636" s="148"/>
      <c r="T636" s="148"/>
      <c r="U636" s="148"/>
      <c r="V636" s="148"/>
      <c r="W636" s="148"/>
      <c r="X636" s="148"/>
      <c r="Y636" s="148"/>
      <c r="Z636" s="148"/>
      <c r="AA636" s="148"/>
      <c r="AB636" s="148"/>
      <c r="AC636" s="148"/>
      <c r="AD636" s="148"/>
      <c r="AE636" s="148"/>
    </row>
    <row r="637" spans="2:31">
      <c r="B637" s="148"/>
      <c r="C637" s="148"/>
      <c r="D637" s="148"/>
      <c r="E637" s="148"/>
      <c r="F637" s="148"/>
      <c r="G637" s="148"/>
      <c r="H637" s="148"/>
      <c r="I637" s="148"/>
      <c r="J637" s="148"/>
      <c r="K637" s="148"/>
      <c r="L637" s="148"/>
      <c r="M637" s="148"/>
      <c r="N637" s="148"/>
      <c r="O637" s="148"/>
      <c r="P637" s="148"/>
      <c r="Q637" s="148"/>
      <c r="R637" s="148"/>
      <c r="S637" s="148"/>
      <c r="T637" s="148"/>
      <c r="U637" s="148"/>
      <c r="V637" s="148"/>
      <c r="W637" s="148"/>
      <c r="X637" s="148"/>
      <c r="Y637" s="148"/>
      <c r="Z637" s="148"/>
      <c r="AA637" s="148"/>
      <c r="AB637" s="148"/>
      <c r="AC637" s="148"/>
      <c r="AD637" s="148"/>
      <c r="AE637" s="148"/>
    </row>
    <row r="638" spans="2:31">
      <c r="B638" s="148"/>
      <c r="C638" s="148"/>
      <c r="D638" s="148"/>
      <c r="E638" s="148"/>
      <c r="F638" s="148"/>
      <c r="G638" s="148"/>
      <c r="H638" s="148"/>
      <c r="I638" s="148"/>
      <c r="J638" s="148"/>
      <c r="K638" s="148"/>
      <c r="L638" s="148"/>
      <c r="M638" s="148"/>
      <c r="N638" s="148"/>
      <c r="O638" s="148"/>
      <c r="P638" s="148"/>
      <c r="Q638" s="148"/>
      <c r="R638" s="148"/>
      <c r="S638" s="148"/>
      <c r="T638" s="148"/>
      <c r="U638" s="148"/>
      <c r="V638" s="148"/>
      <c r="W638" s="148"/>
      <c r="X638" s="148"/>
      <c r="Y638" s="148"/>
      <c r="Z638" s="148"/>
      <c r="AA638" s="148"/>
      <c r="AB638" s="148"/>
      <c r="AC638" s="148"/>
      <c r="AD638" s="148"/>
      <c r="AE638" s="148"/>
    </row>
    <row r="639" spans="2:31">
      <c r="B639" s="148"/>
      <c r="C639" s="148"/>
      <c r="D639" s="148"/>
      <c r="E639" s="148"/>
      <c r="F639" s="148"/>
      <c r="G639" s="148"/>
      <c r="H639" s="148"/>
      <c r="I639" s="148"/>
      <c r="J639" s="148"/>
      <c r="K639" s="148"/>
      <c r="L639" s="148"/>
      <c r="M639" s="148"/>
      <c r="N639" s="148"/>
      <c r="O639" s="148"/>
      <c r="P639" s="148"/>
      <c r="Q639" s="148"/>
      <c r="R639" s="148"/>
      <c r="S639" s="148"/>
      <c r="T639" s="148"/>
      <c r="U639" s="148"/>
      <c r="V639" s="148"/>
      <c r="W639" s="148"/>
      <c r="X639" s="148"/>
      <c r="Y639" s="148"/>
      <c r="Z639" s="148"/>
      <c r="AA639" s="148"/>
      <c r="AB639" s="148"/>
      <c r="AC639" s="148"/>
      <c r="AD639" s="148"/>
      <c r="AE639" s="148"/>
    </row>
    <row r="640" spans="2:31">
      <c r="B640" s="148"/>
      <c r="C640" s="148"/>
      <c r="D640" s="148"/>
      <c r="E640" s="148"/>
      <c r="F640" s="148"/>
      <c r="G640" s="148"/>
      <c r="H640" s="148"/>
      <c r="I640" s="148"/>
      <c r="J640" s="148"/>
      <c r="K640" s="148"/>
      <c r="L640" s="148"/>
      <c r="M640" s="148"/>
      <c r="N640" s="148"/>
      <c r="O640" s="148"/>
      <c r="P640" s="148"/>
      <c r="Q640" s="148"/>
      <c r="R640" s="148"/>
      <c r="S640" s="148"/>
      <c r="T640" s="148"/>
      <c r="U640" s="148"/>
      <c r="V640" s="148"/>
      <c r="W640" s="148"/>
      <c r="X640" s="148"/>
      <c r="Y640" s="148"/>
      <c r="Z640" s="148"/>
      <c r="AA640" s="148"/>
      <c r="AB640" s="148"/>
      <c r="AC640" s="148"/>
      <c r="AD640" s="148"/>
      <c r="AE640" s="148"/>
    </row>
    <row r="641" spans="2:31">
      <c r="B641" s="148"/>
      <c r="C641" s="148"/>
      <c r="D641" s="148"/>
      <c r="E641" s="148"/>
      <c r="F641" s="148"/>
      <c r="G641" s="148"/>
      <c r="H641" s="148"/>
      <c r="I641" s="148"/>
      <c r="J641" s="148"/>
      <c r="K641" s="148"/>
      <c r="L641" s="148"/>
      <c r="M641" s="148"/>
      <c r="N641" s="148"/>
      <c r="O641" s="148"/>
      <c r="P641" s="148"/>
      <c r="Q641" s="148"/>
      <c r="R641" s="148"/>
      <c r="S641" s="148"/>
      <c r="T641" s="148"/>
      <c r="U641" s="148"/>
      <c r="V641" s="148"/>
      <c r="W641" s="148"/>
      <c r="X641" s="148"/>
      <c r="Y641" s="148"/>
      <c r="Z641" s="148"/>
      <c r="AA641" s="148"/>
      <c r="AB641" s="148"/>
      <c r="AC641" s="148"/>
      <c r="AD641" s="148"/>
      <c r="AE641" s="148"/>
    </row>
    <row r="642" spans="2:31">
      <c r="B642" s="148"/>
      <c r="C642" s="148"/>
      <c r="D642" s="148"/>
      <c r="E642" s="148"/>
      <c r="F642" s="148"/>
      <c r="G642" s="148"/>
      <c r="H642" s="148"/>
      <c r="I642" s="148"/>
      <c r="J642" s="148"/>
      <c r="K642" s="148"/>
      <c r="L642" s="148"/>
      <c r="M642" s="148"/>
      <c r="N642" s="148"/>
      <c r="O642" s="148"/>
      <c r="P642" s="148"/>
      <c r="Q642" s="148"/>
      <c r="R642" s="148"/>
      <c r="S642" s="148"/>
      <c r="T642" s="148"/>
      <c r="U642" s="148"/>
      <c r="V642" s="148"/>
      <c r="W642" s="148"/>
      <c r="X642" s="148"/>
      <c r="Y642" s="148"/>
      <c r="Z642" s="148"/>
      <c r="AA642" s="148"/>
      <c r="AB642" s="148"/>
      <c r="AC642" s="148"/>
      <c r="AD642" s="148"/>
      <c r="AE642" s="148"/>
    </row>
    <row r="643" spans="2:31">
      <c r="B643" s="148"/>
      <c r="C643" s="148"/>
      <c r="D643" s="148"/>
      <c r="E643" s="148"/>
      <c r="F643" s="148"/>
      <c r="G643" s="148"/>
      <c r="H643" s="148"/>
      <c r="I643" s="148"/>
      <c r="J643" s="148"/>
      <c r="K643" s="148"/>
      <c r="L643" s="148"/>
      <c r="M643" s="148"/>
      <c r="N643" s="148"/>
      <c r="O643" s="148"/>
      <c r="P643" s="148"/>
      <c r="Q643" s="148"/>
      <c r="R643" s="148"/>
      <c r="S643" s="148"/>
      <c r="T643" s="148"/>
      <c r="U643" s="148"/>
      <c r="V643" s="148"/>
      <c r="W643" s="148"/>
      <c r="X643" s="148"/>
      <c r="Y643" s="148"/>
      <c r="Z643" s="148"/>
      <c r="AA643" s="148"/>
      <c r="AB643" s="148"/>
      <c r="AC643" s="148"/>
      <c r="AD643" s="148"/>
      <c r="AE643" s="148"/>
    </row>
    <row r="644" spans="2:31">
      <c r="B644" s="148"/>
      <c r="C644" s="148"/>
      <c r="D644" s="148"/>
      <c r="E644" s="148"/>
      <c r="F644" s="148"/>
      <c r="G644" s="148"/>
      <c r="H644" s="148"/>
      <c r="I644" s="148"/>
      <c r="J644" s="148"/>
      <c r="K644" s="148"/>
      <c r="L644" s="148"/>
      <c r="M644" s="148"/>
      <c r="N644" s="148"/>
      <c r="O644" s="148"/>
      <c r="P644" s="148"/>
      <c r="Q644" s="148"/>
      <c r="R644" s="148"/>
      <c r="S644" s="148"/>
      <c r="T644" s="148"/>
      <c r="U644" s="148"/>
      <c r="V644" s="148"/>
      <c r="W644" s="148"/>
      <c r="X644" s="148"/>
      <c r="Y644" s="148"/>
      <c r="Z644" s="148"/>
      <c r="AA644" s="148"/>
      <c r="AB644" s="148"/>
      <c r="AC644" s="148"/>
      <c r="AD644" s="148"/>
      <c r="AE644" s="148"/>
    </row>
    <row r="645" spans="2:31">
      <c r="B645" s="148"/>
      <c r="C645" s="148"/>
      <c r="D645" s="148"/>
      <c r="E645" s="148"/>
      <c r="F645" s="148"/>
      <c r="G645" s="148"/>
      <c r="H645" s="148"/>
      <c r="I645" s="148"/>
      <c r="J645" s="148"/>
      <c r="K645" s="148"/>
      <c r="L645" s="148"/>
      <c r="M645" s="148"/>
      <c r="N645" s="148"/>
      <c r="O645" s="148"/>
      <c r="P645" s="148"/>
      <c r="Q645" s="148"/>
      <c r="R645" s="148"/>
      <c r="S645" s="148"/>
      <c r="T645" s="148"/>
      <c r="U645" s="148"/>
      <c r="V645" s="148"/>
      <c r="W645" s="148"/>
      <c r="X645" s="148"/>
      <c r="Y645" s="148"/>
      <c r="Z645" s="148"/>
      <c r="AA645" s="148"/>
      <c r="AB645" s="148"/>
      <c r="AC645" s="148"/>
      <c r="AD645" s="148"/>
      <c r="AE645" s="148"/>
    </row>
    <row r="646" spans="2:31">
      <c r="B646" s="148"/>
      <c r="C646" s="148"/>
      <c r="D646" s="148"/>
      <c r="E646" s="148"/>
      <c r="F646" s="148"/>
      <c r="G646" s="148"/>
      <c r="H646" s="148"/>
      <c r="I646" s="148"/>
      <c r="J646" s="148"/>
      <c r="K646" s="148"/>
      <c r="L646" s="148"/>
      <c r="M646" s="148"/>
      <c r="N646" s="148"/>
      <c r="O646" s="148"/>
      <c r="P646" s="148"/>
      <c r="Q646" s="148"/>
      <c r="R646" s="148"/>
      <c r="S646" s="148"/>
      <c r="T646" s="148"/>
      <c r="U646" s="148"/>
      <c r="V646" s="148"/>
      <c r="W646" s="148"/>
      <c r="X646" s="148"/>
      <c r="Y646" s="148"/>
      <c r="Z646" s="148"/>
      <c r="AA646" s="148"/>
      <c r="AB646" s="148"/>
      <c r="AC646" s="148"/>
      <c r="AD646" s="148"/>
      <c r="AE646" s="148"/>
    </row>
    <row r="647" spans="2:31">
      <c r="B647" s="148"/>
      <c r="C647" s="148"/>
      <c r="D647" s="148"/>
      <c r="E647" s="148"/>
      <c r="F647" s="148"/>
      <c r="G647" s="148"/>
      <c r="H647" s="148"/>
      <c r="I647" s="148"/>
      <c r="J647" s="148"/>
      <c r="K647" s="148"/>
      <c r="L647" s="148"/>
      <c r="M647" s="148"/>
      <c r="N647" s="148"/>
      <c r="O647" s="148"/>
      <c r="P647" s="148"/>
      <c r="Q647" s="148"/>
      <c r="R647" s="148"/>
      <c r="S647" s="148"/>
      <c r="T647" s="148"/>
      <c r="U647" s="148"/>
      <c r="V647" s="148"/>
      <c r="W647" s="148"/>
      <c r="X647" s="148"/>
      <c r="Y647" s="148"/>
      <c r="Z647" s="148"/>
      <c r="AA647" s="148"/>
      <c r="AB647" s="148"/>
      <c r="AC647" s="148"/>
      <c r="AD647" s="148"/>
      <c r="AE647" s="148"/>
    </row>
    <row r="648" spans="2:31">
      <c r="B648" s="148"/>
      <c r="C648" s="148"/>
      <c r="D648" s="148"/>
      <c r="E648" s="148"/>
      <c r="F648" s="148"/>
      <c r="G648" s="148"/>
      <c r="H648" s="148"/>
      <c r="I648" s="148"/>
      <c r="J648" s="148"/>
      <c r="K648" s="148"/>
      <c r="L648" s="148"/>
      <c r="M648" s="148"/>
      <c r="N648" s="148"/>
      <c r="O648" s="148"/>
      <c r="P648" s="148"/>
      <c r="Q648" s="148"/>
      <c r="R648" s="148"/>
      <c r="S648" s="148"/>
      <c r="T648" s="148"/>
      <c r="U648" s="148"/>
      <c r="V648" s="148"/>
      <c r="W648" s="148"/>
      <c r="X648" s="148"/>
      <c r="Y648" s="148"/>
      <c r="Z648" s="148"/>
      <c r="AA648" s="148"/>
      <c r="AB648" s="148"/>
      <c r="AC648" s="148"/>
      <c r="AD648" s="148"/>
      <c r="AE648" s="148"/>
    </row>
    <row r="649" spans="2:31">
      <c r="B649" s="148"/>
      <c r="C649" s="148"/>
      <c r="D649" s="148"/>
      <c r="E649" s="148"/>
      <c r="F649" s="148"/>
      <c r="G649" s="148"/>
      <c r="H649" s="148"/>
      <c r="I649" s="148"/>
      <c r="J649" s="148"/>
      <c r="K649" s="148"/>
      <c r="L649" s="148"/>
      <c r="M649" s="148"/>
      <c r="N649" s="148"/>
      <c r="O649" s="148"/>
      <c r="P649" s="148"/>
      <c r="Q649" s="148"/>
      <c r="R649" s="148"/>
      <c r="S649" s="148"/>
      <c r="T649" s="148"/>
      <c r="U649" s="148"/>
      <c r="V649" s="148"/>
      <c r="W649" s="148"/>
      <c r="X649" s="148"/>
      <c r="Y649" s="148"/>
      <c r="Z649" s="148"/>
      <c r="AA649" s="148"/>
      <c r="AB649" s="148"/>
      <c r="AC649" s="148"/>
      <c r="AD649" s="148"/>
      <c r="AE649" s="148"/>
    </row>
    <row r="650" spans="2:31">
      <c r="B650" s="148"/>
      <c r="C650" s="148"/>
      <c r="D650" s="148"/>
      <c r="E650" s="148"/>
      <c r="F650" s="148"/>
      <c r="G650" s="148"/>
      <c r="H650" s="148"/>
      <c r="I650" s="148"/>
      <c r="J650" s="148"/>
      <c r="K650" s="148"/>
      <c r="L650" s="148"/>
      <c r="M650" s="148"/>
      <c r="N650" s="148"/>
      <c r="O650" s="148"/>
      <c r="P650" s="148"/>
      <c r="Q650" s="148"/>
      <c r="R650" s="148"/>
      <c r="S650" s="148"/>
      <c r="T650" s="148"/>
      <c r="U650" s="148"/>
      <c r="V650" s="148"/>
      <c r="W650" s="148"/>
      <c r="X650" s="148"/>
      <c r="Y650" s="148"/>
      <c r="Z650" s="148"/>
      <c r="AA650" s="148"/>
      <c r="AB650" s="148"/>
      <c r="AC650" s="148"/>
      <c r="AD650" s="148"/>
      <c r="AE650" s="148"/>
    </row>
    <row r="651" spans="2:31">
      <c r="B651" s="148"/>
      <c r="C651" s="148"/>
      <c r="D651" s="148"/>
      <c r="E651" s="148"/>
      <c r="F651" s="148"/>
      <c r="G651" s="148"/>
      <c r="H651" s="148"/>
      <c r="I651" s="148"/>
      <c r="J651" s="148"/>
      <c r="K651" s="148"/>
      <c r="L651" s="148"/>
      <c r="M651" s="148"/>
      <c r="N651" s="148"/>
      <c r="O651" s="148"/>
      <c r="P651" s="148"/>
      <c r="Q651" s="148"/>
      <c r="R651" s="148"/>
      <c r="S651" s="148"/>
      <c r="T651" s="148"/>
      <c r="U651" s="148"/>
      <c r="V651" s="148"/>
      <c r="W651" s="148"/>
      <c r="X651" s="148"/>
      <c r="Y651" s="148"/>
      <c r="Z651" s="148"/>
      <c r="AA651" s="148"/>
      <c r="AB651" s="148"/>
      <c r="AC651" s="148"/>
      <c r="AD651" s="148"/>
      <c r="AE651" s="148"/>
    </row>
    <row r="652" spans="2:31">
      <c r="B652" s="148"/>
      <c r="C652" s="148"/>
      <c r="D652" s="148"/>
      <c r="E652" s="148"/>
      <c r="F652" s="148"/>
      <c r="G652" s="148"/>
      <c r="H652" s="148"/>
      <c r="I652" s="148"/>
      <c r="J652" s="148"/>
      <c r="K652" s="148"/>
      <c r="L652" s="148"/>
      <c r="M652" s="148"/>
      <c r="N652" s="148"/>
      <c r="O652" s="148"/>
      <c r="P652" s="148"/>
      <c r="Q652" s="148"/>
      <c r="R652" s="148"/>
      <c r="S652" s="148"/>
      <c r="T652" s="148"/>
      <c r="U652" s="148"/>
      <c r="V652" s="148"/>
      <c r="W652" s="148"/>
      <c r="X652" s="148"/>
      <c r="Y652" s="148"/>
      <c r="Z652" s="148"/>
      <c r="AA652" s="148"/>
      <c r="AB652" s="148"/>
      <c r="AC652" s="148"/>
      <c r="AD652" s="148"/>
      <c r="AE652" s="148"/>
    </row>
    <row r="653" spans="2:31">
      <c r="B653" s="148"/>
      <c r="C653" s="148"/>
      <c r="D653" s="148"/>
      <c r="E653" s="148"/>
      <c r="F653" s="148"/>
      <c r="G653" s="148"/>
      <c r="H653" s="148"/>
      <c r="I653" s="148"/>
      <c r="J653" s="148"/>
      <c r="K653" s="148"/>
      <c r="L653" s="148"/>
      <c r="M653" s="148"/>
      <c r="N653" s="148"/>
      <c r="O653" s="148"/>
      <c r="P653" s="148"/>
      <c r="Q653" s="148"/>
      <c r="R653" s="148"/>
      <c r="S653" s="148"/>
      <c r="T653" s="148"/>
      <c r="U653" s="148"/>
      <c r="V653" s="148"/>
      <c r="W653" s="148"/>
      <c r="X653" s="148"/>
      <c r="Y653" s="148"/>
      <c r="Z653" s="148"/>
      <c r="AA653" s="148"/>
      <c r="AB653" s="148"/>
      <c r="AC653" s="148"/>
      <c r="AD653" s="148"/>
      <c r="AE653" s="148"/>
    </row>
    <row r="654" spans="2:31">
      <c r="B654" s="148"/>
      <c r="C654" s="148"/>
      <c r="D654" s="148"/>
      <c r="E654" s="148"/>
      <c r="F654" s="148"/>
      <c r="G654" s="148"/>
      <c r="H654" s="148"/>
      <c r="I654" s="148"/>
      <c r="J654" s="148"/>
      <c r="K654" s="148"/>
      <c r="L654" s="148"/>
      <c r="M654" s="148"/>
      <c r="N654" s="148"/>
      <c r="O654" s="148"/>
      <c r="P654" s="148"/>
      <c r="Q654" s="148"/>
      <c r="R654" s="148"/>
      <c r="S654" s="148"/>
      <c r="T654" s="148"/>
      <c r="U654" s="148"/>
      <c r="V654" s="148"/>
      <c r="W654" s="148"/>
      <c r="X654" s="148"/>
      <c r="Y654" s="148"/>
      <c r="Z654" s="148"/>
      <c r="AA654" s="148"/>
      <c r="AB654" s="148"/>
      <c r="AC654" s="148"/>
      <c r="AD654" s="148"/>
      <c r="AE654" s="148"/>
    </row>
    <row r="655" spans="2:31">
      <c r="B655" s="148"/>
      <c r="C655" s="148"/>
      <c r="D655" s="148"/>
      <c r="E655" s="148"/>
      <c r="F655" s="148"/>
      <c r="G655" s="148"/>
      <c r="H655" s="148"/>
      <c r="I655" s="148"/>
      <c r="J655" s="148"/>
      <c r="K655" s="148"/>
      <c r="L655" s="148"/>
      <c r="M655" s="148"/>
      <c r="N655" s="148"/>
      <c r="O655" s="148"/>
      <c r="P655" s="148"/>
      <c r="Q655" s="148"/>
      <c r="R655" s="148"/>
      <c r="S655" s="148"/>
      <c r="T655" s="148"/>
      <c r="U655" s="148"/>
      <c r="V655" s="148"/>
      <c r="W655" s="148"/>
      <c r="X655" s="148"/>
      <c r="Y655" s="148"/>
      <c r="Z655" s="148"/>
      <c r="AA655" s="148"/>
      <c r="AB655" s="148"/>
      <c r="AC655" s="148"/>
      <c r="AD655" s="148"/>
      <c r="AE655" s="148"/>
    </row>
    <row r="656" spans="2:31">
      <c r="B656" s="148"/>
      <c r="C656" s="148"/>
      <c r="D656" s="148"/>
      <c r="E656" s="148"/>
      <c r="F656" s="148"/>
      <c r="G656" s="148"/>
      <c r="H656" s="148"/>
      <c r="I656" s="148"/>
      <c r="J656" s="148"/>
      <c r="K656" s="148"/>
      <c r="L656" s="148"/>
      <c r="M656" s="148"/>
      <c r="N656" s="148"/>
      <c r="O656" s="148"/>
      <c r="P656" s="148"/>
      <c r="Q656" s="148"/>
      <c r="R656" s="148"/>
      <c r="S656" s="148"/>
      <c r="T656" s="148"/>
      <c r="U656" s="148"/>
      <c r="V656" s="148"/>
      <c r="W656" s="148"/>
      <c r="X656" s="148"/>
      <c r="Y656" s="148"/>
      <c r="Z656" s="148"/>
      <c r="AA656" s="148"/>
      <c r="AB656" s="148"/>
      <c r="AC656" s="148"/>
      <c r="AD656" s="148"/>
      <c r="AE656" s="148"/>
    </row>
    <row r="657" spans="2:31">
      <c r="B657" s="148"/>
      <c r="C657" s="148"/>
      <c r="D657" s="148"/>
      <c r="E657" s="148"/>
      <c r="F657" s="148"/>
      <c r="G657" s="148"/>
      <c r="H657" s="148"/>
      <c r="I657" s="148"/>
      <c r="J657" s="148"/>
      <c r="K657" s="148"/>
      <c r="L657" s="148"/>
      <c r="M657" s="148"/>
      <c r="N657" s="148"/>
      <c r="O657" s="148"/>
      <c r="P657" s="148"/>
      <c r="Q657" s="148"/>
      <c r="R657" s="148"/>
      <c r="S657" s="148"/>
      <c r="T657" s="148"/>
      <c r="U657" s="148"/>
      <c r="V657" s="148"/>
      <c r="W657" s="148"/>
      <c r="X657" s="148"/>
      <c r="Y657" s="148"/>
      <c r="Z657" s="148"/>
      <c r="AA657" s="148"/>
      <c r="AB657" s="148"/>
      <c r="AC657" s="148"/>
      <c r="AD657" s="148"/>
      <c r="AE657" s="148"/>
    </row>
    <row r="658" spans="2:31">
      <c r="B658" s="148"/>
      <c r="C658" s="148"/>
      <c r="D658" s="148"/>
      <c r="E658" s="148"/>
      <c r="F658" s="148"/>
      <c r="G658" s="148"/>
      <c r="H658" s="148"/>
      <c r="I658" s="148"/>
      <c r="J658" s="148"/>
      <c r="K658" s="148"/>
      <c r="L658" s="148"/>
      <c r="M658" s="148"/>
      <c r="N658" s="148"/>
      <c r="O658" s="148"/>
      <c r="P658" s="148"/>
      <c r="Q658" s="148"/>
      <c r="R658" s="148"/>
      <c r="S658" s="148"/>
      <c r="T658" s="148"/>
      <c r="U658" s="148"/>
      <c r="V658" s="148"/>
      <c r="W658" s="148"/>
      <c r="X658" s="148"/>
      <c r="Y658" s="148"/>
      <c r="Z658" s="148"/>
      <c r="AA658" s="148"/>
      <c r="AB658" s="148"/>
      <c r="AC658" s="148"/>
      <c r="AD658" s="148"/>
      <c r="AE658" s="148"/>
    </row>
    <row r="659" spans="2:31">
      <c r="B659" s="148"/>
      <c r="C659" s="148"/>
      <c r="D659" s="148"/>
      <c r="E659" s="148"/>
      <c r="F659" s="148"/>
      <c r="G659" s="148"/>
      <c r="H659" s="148"/>
      <c r="I659" s="148"/>
      <c r="J659" s="148"/>
      <c r="K659" s="148"/>
      <c r="L659" s="148"/>
      <c r="M659" s="148"/>
      <c r="N659" s="148"/>
      <c r="O659" s="148"/>
      <c r="P659" s="148"/>
      <c r="Q659" s="148"/>
      <c r="R659" s="148"/>
      <c r="S659" s="148"/>
      <c r="T659" s="148"/>
      <c r="U659" s="148"/>
      <c r="V659" s="148"/>
      <c r="W659" s="148"/>
      <c r="X659" s="148"/>
      <c r="Y659" s="148"/>
      <c r="Z659" s="148"/>
      <c r="AA659" s="148"/>
      <c r="AB659" s="148"/>
      <c r="AC659" s="148"/>
      <c r="AD659" s="148"/>
      <c r="AE659" s="148"/>
    </row>
    <row r="660" spans="2:31">
      <c r="B660" s="148"/>
      <c r="C660" s="148"/>
      <c r="D660" s="148"/>
      <c r="E660" s="148"/>
      <c r="F660" s="148"/>
      <c r="G660" s="148"/>
      <c r="H660" s="148"/>
      <c r="I660" s="148"/>
      <c r="J660" s="148"/>
      <c r="K660" s="148"/>
      <c r="L660" s="148"/>
      <c r="M660" s="148"/>
      <c r="N660" s="148"/>
      <c r="O660" s="148"/>
      <c r="P660" s="148"/>
      <c r="Q660" s="148"/>
      <c r="R660" s="148"/>
      <c r="S660" s="148"/>
      <c r="T660" s="148"/>
      <c r="U660" s="148"/>
      <c r="V660" s="148"/>
      <c r="W660" s="148"/>
      <c r="X660" s="148"/>
      <c r="Y660" s="148"/>
      <c r="Z660" s="148"/>
      <c r="AA660" s="148"/>
      <c r="AB660" s="148"/>
      <c r="AC660" s="148"/>
      <c r="AD660" s="148"/>
      <c r="AE660" s="148"/>
    </row>
    <row r="661" spans="2:31">
      <c r="B661" s="148"/>
      <c r="C661" s="148"/>
      <c r="D661" s="148"/>
      <c r="E661" s="148"/>
      <c r="F661" s="148"/>
      <c r="G661" s="148"/>
      <c r="H661" s="148"/>
      <c r="I661" s="148"/>
      <c r="J661" s="148"/>
      <c r="K661" s="148"/>
      <c r="L661" s="148"/>
      <c r="M661" s="148"/>
      <c r="N661" s="148"/>
      <c r="O661" s="148"/>
      <c r="P661" s="148"/>
      <c r="Q661" s="148"/>
      <c r="R661" s="148"/>
      <c r="S661" s="148"/>
      <c r="T661" s="148"/>
      <c r="U661" s="148"/>
      <c r="V661" s="148"/>
      <c r="W661" s="148"/>
      <c r="X661" s="148"/>
      <c r="Y661" s="148"/>
      <c r="Z661" s="148"/>
      <c r="AA661" s="148"/>
      <c r="AB661" s="148"/>
      <c r="AC661" s="148"/>
      <c r="AD661" s="148"/>
      <c r="AE661" s="148"/>
    </row>
    <row r="662" spans="2:31">
      <c r="B662" s="148"/>
      <c r="C662" s="148"/>
      <c r="D662" s="148"/>
      <c r="E662" s="148"/>
      <c r="F662" s="148"/>
      <c r="G662" s="148"/>
      <c r="H662" s="148"/>
      <c r="I662" s="148"/>
      <c r="J662" s="148"/>
      <c r="K662" s="148"/>
      <c r="L662" s="148"/>
      <c r="M662" s="148"/>
      <c r="N662" s="148"/>
      <c r="O662" s="148"/>
      <c r="P662" s="148"/>
      <c r="Q662" s="148"/>
      <c r="R662" s="148"/>
      <c r="S662" s="148"/>
      <c r="T662" s="148"/>
      <c r="U662" s="148"/>
      <c r="V662" s="148"/>
      <c r="W662" s="148"/>
      <c r="X662" s="148"/>
      <c r="Y662" s="148"/>
      <c r="Z662" s="148"/>
      <c r="AA662" s="148"/>
      <c r="AB662" s="148"/>
      <c r="AC662" s="148"/>
      <c r="AD662" s="148"/>
      <c r="AE662" s="148"/>
    </row>
    <row r="663" spans="2:31">
      <c r="B663" s="148"/>
      <c r="C663" s="148"/>
      <c r="D663" s="148"/>
      <c r="E663" s="148"/>
      <c r="F663" s="148"/>
      <c r="G663" s="148"/>
      <c r="H663" s="148"/>
      <c r="I663" s="148"/>
      <c r="J663" s="148"/>
      <c r="K663" s="148"/>
      <c r="L663" s="148"/>
      <c r="M663" s="148"/>
      <c r="N663" s="148"/>
      <c r="O663" s="148"/>
      <c r="P663" s="148"/>
      <c r="Q663" s="148"/>
      <c r="R663" s="148"/>
      <c r="S663" s="148"/>
      <c r="T663" s="148"/>
      <c r="U663" s="148"/>
      <c r="V663" s="148"/>
      <c r="W663" s="148"/>
      <c r="X663" s="148"/>
      <c r="Y663" s="148"/>
      <c r="Z663" s="148"/>
      <c r="AA663" s="148"/>
      <c r="AB663" s="148"/>
      <c r="AC663" s="148"/>
      <c r="AD663" s="148"/>
      <c r="AE663" s="148"/>
    </row>
    <row r="664" spans="2:31">
      <c r="B664" s="148"/>
      <c r="C664" s="148"/>
      <c r="D664" s="148"/>
      <c r="E664" s="148"/>
      <c r="F664" s="148"/>
      <c r="G664" s="148"/>
      <c r="H664" s="148"/>
      <c r="I664" s="148"/>
      <c r="J664" s="148"/>
      <c r="K664" s="148"/>
      <c r="L664" s="148"/>
      <c r="M664" s="148"/>
      <c r="N664" s="148"/>
      <c r="O664" s="148"/>
      <c r="P664" s="148"/>
      <c r="Q664" s="148"/>
      <c r="R664" s="148"/>
      <c r="S664" s="148"/>
      <c r="T664" s="148"/>
      <c r="U664" s="148"/>
      <c r="V664" s="148"/>
      <c r="W664" s="148"/>
      <c r="X664" s="148"/>
      <c r="Y664" s="148"/>
      <c r="Z664" s="148"/>
      <c r="AA664" s="148"/>
      <c r="AB664" s="148"/>
      <c r="AC664" s="148"/>
      <c r="AD664" s="148"/>
      <c r="AE664" s="148"/>
    </row>
    <row r="665" spans="2:31">
      <c r="B665" s="148"/>
      <c r="C665" s="148"/>
      <c r="D665" s="148"/>
      <c r="E665" s="148"/>
      <c r="F665" s="148"/>
      <c r="G665" s="148"/>
      <c r="H665" s="148"/>
      <c r="I665" s="148"/>
      <c r="J665" s="148"/>
      <c r="K665" s="148"/>
      <c r="L665" s="148"/>
      <c r="M665" s="148"/>
      <c r="N665" s="148"/>
      <c r="O665" s="148"/>
      <c r="P665" s="148"/>
      <c r="Q665" s="148"/>
      <c r="R665" s="148"/>
      <c r="S665" s="148"/>
      <c r="T665" s="148"/>
      <c r="U665" s="148"/>
      <c r="V665" s="148"/>
      <c r="W665" s="148"/>
      <c r="X665" s="148"/>
      <c r="Y665" s="148"/>
      <c r="Z665" s="148"/>
      <c r="AA665" s="148"/>
      <c r="AB665" s="148"/>
      <c r="AC665" s="148"/>
      <c r="AD665" s="148"/>
      <c r="AE665" s="148"/>
    </row>
    <row r="666" spans="2:31">
      <c r="B666" s="148"/>
      <c r="C666" s="148"/>
      <c r="D666" s="148"/>
      <c r="E666" s="148"/>
      <c r="F666" s="148"/>
      <c r="G666" s="148"/>
      <c r="H666" s="148"/>
      <c r="I666" s="148"/>
      <c r="J666" s="148"/>
      <c r="K666" s="148"/>
      <c r="L666" s="148"/>
      <c r="M666" s="148"/>
      <c r="N666" s="148"/>
      <c r="O666" s="148"/>
      <c r="P666" s="148"/>
      <c r="Q666" s="148"/>
      <c r="R666" s="148"/>
      <c r="S666" s="148"/>
      <c r="T666" s="148"/>
      <c r="U666" s="148"/>
      <c r="V666" s="148"/>
      <c r="W666" s="148"/>
      <c r="X666" s="148"/>
      <c r="Y666" s="148"/>
      <c r="Z666" s="148"/>
      <c r="AA666" s="148"/>
      <c r="AB666" s="148"/>
      <c r="AC666" s="148"/>
      <c r="AD666" s="148"/>
      <c r="AE666" s="148"/>
    </row>
    <row r="667" spans="2:31">
      <c r="B667" s="148"/>
      <c r="C667" s="148"/>
      <c r="D667" s="148"/>
      <c r="E667" s="148"/>
      <c r="F667" s="148"/>
      <c r="G667" s="148"/>
      <c r="H667" s="148"/>
      <c r="I667" s="148"/>
      <c r="J667" s="148"/>
      <c r="K667" s="148"/>
      <c r="L667" s="148"/>
      <c r="M667" s="148"/>
      <c r="N667" s="148"/>
      <c r="O667" s="148"/>
      <c r="P667" s="148"/>
      <c r="Q667" s="148"/>
      <c r="R667" s="148"/>
      <c r="S667" s="148"/>
      <c r="T667" s="148"/>
      <c r="U667" s="148"/>
      <c r="V667" s="148"/>
      <c r="W667" s="148"/>
      <c r="X667" s="148"/>
      <c r="Y667" s="148"/>
      <c r="Z667" s="148"/>
      <c r="AA667" s="148"/>
      <c r="AB667" s="148"/>
      <c r="AC667" s="148"/>
      <c r="AD667" s="148"/>
      <c r="AE667" s="148"/>
    </row>
    <row r="668" spans="2:31">
      <c r="B668" s="148"/>
      <c r="C668" s="148"/>
      <c r="D668" s="148"/>
      <c r="E668" s="148"/>
      <c r="F668" s="148"/>
      <c r="G668" s="148"/>
      <c r="H668" s="148"/>
      <c r="I668" s="148"/>
      <c r="J668" s="148"/>
      <c r="K668" s="148"/>
      <c r="L668" s="148"/>
      <c r="M668" s="148"/>
      <c r="N668" s="148"/>
      <c r="O668" s="148"/>
      <c r="P668" s="148"/>
      <c r="Q668" s="148"/>
      <c r="R668" s="148"/>
      <c r="S668" s="148"/>
      <c r="T668" s="148"/>
      <c r="U668" s="148"/>
      <c r="V668" s="148"/>
      <c r="W668" s="148"/>
      <c r="X668" s="148"/>
      <c r="Y668" s="148"/>
      <c r="Z668" s="148"/>
      <c r="AA668" s="148"/>
      <c r="AB668" s="148"/>
      <c r="AC668" s="148"/>
      <c r="AD668" s="148"/>
      <c r="AE668" s="148"/>
    </row>
    <row r="669" spans="2:31">
      <c r="B669" s="148"/>
      <c r="C669" s="148"/>
      <c r="D669" s="148"/>
      <c r="E669" s="148"/>
      <c r="F669" s="148"/>
      <c r="G669" s="148"/>
      <c r="H669" s="148"/>
      <c r="I669" s="148"/>
      <c r="J669" s="148"/>
      <c r="K669" s="148"/>
      <c r="L669" s="148"/>
      <c r="M669" s="148"/>
      <c r="N669" s="148"/>
      <c r="O669" s="148"/>
      <c r="P669" s="148"/>
      <c r="Q669" s="148"/>
      <c r="R669" s="148"/>
      <c r="S669" s="148"/>
      <c r="T669" s="148"/>
      <c r="U669" s="148"/>
      <c r="V669" s="148"/>
      <c r="W669" s="148"/>
      <c r="X669" s="148"/>
      <c r="Y669" s="148"/>
      <c r="Z669" s="148"/>
      <c r="AA669" s="148"/>
      <c r="AB669" s="148"/>
      <c r="AC669" s="148"/>
      <c r="AD669" s="148"/>
      <c r="AE669" s="148"/>
    </row>
    <row r="670" spans="2:31">
      <c r="B670" s="148"/>
      <c r="C670" s="148"/>
      <c r="D670" s="148"/>
      <c r="E670" s="148"/>
      <c r="F670" s="148"/>
      <c r="G670" s="148"/>
      <c r="H670" s="148"/>
      <c r="I670" s="148"/>
      <c r="J670" s="148"/>
      <c r="K670" s="148"/>
      <c r="L670" s="148"/>
      <c r="M670" s="148"/>
      <c r="N670" s="148"/>
      <c r="O670" s="148"/>
      <c r="P670" s="148"/>
      <c r="Q670" s="148"/>
      <c r="R670" s="148"/>
      <c r="S670" s="148"/>
      <c r="T670" s="148"/>
      <c r="U670" s="148"/>
      <c r="V670" s="148"/>
      <c r="W670" s="148"/>
      <c r="X670" s="148"/>
      <c r="Y670" s="148"/>
      <c r="Z670" s="148"/>
      <c r="AA670" s="148"/>
      <c r="AB670" s="148"/>
      <c r="AC670" s="148"/>
      <c r="AD670" s="148"/>
      <c r="AE670" s="148"/>
    </row>
    <row r="671" spans="2:31">
      <c r="B671" s="148"/>
      <c r="C671" s="148"/>
      <c r="D671" s="148"/>
      <c r="E671" s="148"/>
      <c r="F671" s="148"/>
      <c r="G671" s="148"/>
      <c r="H671" s="148"/>
      <c r="I671" s="148"/>
      <c r="J671" s="148"/>
      <c r="K671" s="148"/>
      <c r="L671" s="148"/>
      <c r="M671" s="148"/>
      <c r="N671" s="148"/>
      <c r="O671" s="148"/>
      <c r="P671" s="148"/>
      <c r="Q671" s="148"/>
      <c r="R671" s="148"/>
      <c r="S671" s="148"/>
      <c r="T671" s="148"/>
      <c r="U671" s="148"/>
      <c r="V671" s="148"/>
      <c r="W671" s="148"/>
      <c r="X671" s="148"/>
      <c r="Y671" s="148"/>
      <c r="Z671" s="148"/>
      <c r="AA671" s="148"/>
      <c r="AB671" s="148"/>
      <c r="AC671" s="148"/>
      <c r="AD671" s="148"/>
      <c r="AE671" s="148"/>
    </row>
    <row r="672" spans="2:31">
      <c r="B672" s="148"/>
      <c r="C672" s="148"/>
      <c r="D672" s="148"/>
      <c r="E672" s="148"/>
      <c r="F672" s="148"/>
      <c r="G672" s="148"/>
      <c r="H672" s="148"/>
      <c r="I672" s="148"/>
      <c r="J672" s="148"/>
      <c r="K672" s="148"/>
      <c r="L672" s="148"/>
      <c r="M672" s="148"/>
      <c r="N672" s="148"/>
      <c r="O672" s="148"/>
      <c r="P672" s="148"/>
      <c r="Q672" s="148"/>
      <c r="R672" s="148"/>
      <c r="S672" s="148"/>
      <c r="T672" s="148"/>
      <c r="U672" s="148"/>
      <c r="V672" s="148"/>
      <c r="W672" s="148"/>
      <c r="X672" s="148"/>
      <c r="Y672" s="148"/>
      <c r="Z672" s="148"/>
      <c r="AA672" s="148"/>
      <c r="AB672" s="148"/>
      <c r="AC672" s="148"/>
      <c r="AD672" s="148"/>
      <c r="AE672" s="148"/>
    </row>
    <row r="673" spans="2:31">
      <c r="B673" s="148"/>
      <c r="C673" s="148"/>
      <c r="D673" s="148"/>
      <c r="E673" s="148"/>
      <c r="F673" s="148"/>
      <c r="G673" s="148"/>
      <c r="H673" s="148"/>
      <c r="I673" s="148"/>
      <c r="J673" s="148"/>
      <c r="K673" s="148"/>
      <c r="L673" s="148"/>
      <c r="M673" s="148"/>
      <c r="N673" s="148"/>
      <c r="O673" s="148"/>
      <c r="P673" s="148"/>
      <c r="Q673" s="148"/>
      <c r="R673" s="148"/>
      <c r="S673" s="148"/>
      <c r="T673" s="148"/>
      <c r="U673" s="148"/>
      <c r="V673" s="148"/>
      <c r="W673" s="148"/>
      <c r="X673" s="148"/>
      <c r="Y673" s="148"/>
      <c r="Z673" s="148"/>
      <c r="AA673" s="148"/>
      <c r="AB673" s="148"/>
      <c r="AC673" s="148"/>
      <c r="AD673" s="148"/>
      <c r="AE673" s="148"/>
    </row>
    <row r="674" spans="2:31">
      <c r="B674" s="148"/>
      <c r="C674" s="148"/>
      <c r="D674" s="148"/>
      <c r="E674" s="148"/>
      <c r="F674" s="148"/>
      <c r="G674" s="148"/>
      <c r="H674" s="148"/>
      <c r="I674" s="148"/>
      <c r="J674" s="148"/>
      <c r="K674" s="148"/>
      <c r="L674" s="148"/>
      <c r="M674" s="148"/>
      <c r="N674" s="148"/>
      <c r="O674" s="148"/>
      <c r="P674" s="148"/>
      <c r="Q674" s="148"/>
      <c r="R674" s="148"/>
      <c r="S674" s="148"/>
      <c r="T674" s="148"/>
      <c r="U674" s="148"/>
      <c r="V674" s="148"/>
      <c r="W674" s="148"/>
      <c r="X674" s="148"/>
      <c r="Y674" s="148"/>
      <c r="Z674" s="148"/>
      <c r="AA674" s="148"/>
      <c r="AB674" s="148"/>
      <c r="AC674" s="148"/>
      <c r="AD674" s="148"/>
      <c r="AE674" s="148"/>
    </row>
    <row r="675" spans="2:31">
      <c r="B675" s="148"/>
      <c r="C675" s="148"/>
      <c r="D675" s="148"/>
      <c r="E675" s="148"/>
      <c r="F675" s="148"/>
      <c r="G675" s="148"/>
      <c r="H675" s="148"/>
      <c r="I675" s="148"/>
      <c r="J675" s="148"/>
      <c r="K675" s="148"/>
      <c r="L675" s="148"/>
      <c r="M675" s="148"/>
      <c r="N675" s="148"/>
      <c r="O675" s="148"/>
      <c r="P675" s="148"/>
      <c r="Q675" s="148"/>
      <c r="R675" s="148"/>
      <c r="S675" s="148"/>
      <c r="T675" s="148"/>
      <c r="U675" s="148"/>
      <c r="V675" s="148"/>
      <c r="W675" s="148"/>
      <c r="X675" s="148"/>
      <c r="Y675" s="148"/>
      <c r="Z675" s="148"/>
      <c r="AA675" s="148"/>
      <c r="AB675" s="148"/>
      <c r="AC675" s="148"/>
      <c r="AD675" s="148"/>
      <c r="AE675" s="148"/>
    </row>
    <row r="676" spans="2:31">
      <c r="B676" s="148"/>
      <c r="C676" s="148"/>
      <c r="D676" s="148"/>
      <c r="E676" s="148"/>
      <c r="F676" s="148"/>
      <c r="G676" s="148"/>
      <c r="H676" s="148"/>
      <c r="I676" s="148"/>
      <c r="J676" s="148"/>
      <c r="K676" s="148"/>
      <c r="L676" s="148"/>
      <c r="M676" s="148"/>
      <c r="N676" s="148"/>
      <c r="O676" s="148"/>
      <c r="P676" s="148"/>
      <c r="Q676" s="148"/>
      <c r="R676" s="148"/>
      <c r="S676" s="148"/>
      <c r="T676" s="148"/>
      <c r="U676" s="148"/>
      <c r="V676" s="148"/>
      <c r="W676" s="148"/>
      <c r="X676" s="148"/>
      <c r="Y676" s="148"/>
      <c r="Z676" s="148"/>
      <c r="AA676" s="148"/>
      <c r="AB676" s="148"/>
      <c r="AC676" s="148"/>
      <c r="AD676" s="148"/>
      <c r="AE676" s="148"/>
    </row>
    <row r="677" spans="2:31">
      <c r="B677" s="148"/>
      <c r="C677" s="148"/>
      <c r="D677" s="148"/>
      <c r="E677" s="148"/>
      <c r="F677" s="148"/>
      <c r="G677" s="148"/>
      <c r="H677" s="148"/>
      <c r="I677" s="148"/>
      <c r="J677" s="148"/>
      <c r="K677" s="148"/>
      <c r="L677" s="148"/>
      <c r="M677" s="148"/>
      <c r="N677" s="148"/>
      <c r="O677" s="148"/>
      <c r="P677" s="148"/>
      <c r="Q677" s="148"/>
      <c r="R677" s="148"/>
      <c r="S677" s="148"/>
      <c r="T677" s="148"/>
      <c r="U677" s="148"/>
      <c r="V677" s="148"/>
      <c r="W677" s="148"/>
      <c r="X677" s="148"/>
      <c r="Y677" s="148"/>
      <c r="Z677" s="148"/>
      <c r="AA677" s="148"/>
      <c r="AB677" s="148"/>
      <c r="AC677" s="148"/>
      <c r="AD677" s="148"/>
      <c r="AE677" s="148"/>
    </row>
    <row r="678" spans="2:31">
      <c r="B678" s="148"/>
      <c r="C678" s="148"/>
      <c r="D678" s="148"/>
      <c r="E678" s="148"/>
      <c r="F678" s="148"/>
      <c r="G678" s="148"/>
      <c r="H678" s="148"/>
      <c r="I678" s="148"/>
      <c r="J678" s="148"/>
      <c r="K678" s="148"/>
      <c r="L678" s="148"/>
      <c r="M678" s="148"/>
      <c r="N678" s="148"/>
      <c r="O678" s="148"/>
      <c r="P678" s="148"/>
      <c r="Q678" s="148"/>
      <c r="R678" s="148"/>
      <c r="S678" s="148"/>
      <c r="T678" s="148"/>
      <c r="U678" s="148"/>
      <c r="V678" s="148"/>
      <c r="W678" s="148"/>
      <c r="X678" s="148"/>
      <c r="Y678" s="148"/>
      <c r="Z678" s="148"/>
      <c r="AA678" s="148"/>
      <c r="AB678" s="148"/>
      <c r="AC678" s="148"/>
      <c r="AD678" s="148"/>
      <c r="AE678" s="148"/>
    </row>
    <row r="679" spans="2:31">
      <c r="B679" s="148"/>
      <c r="C679" s="148"/>
      <c r="D679" s="148"/>
      <c r="E679" s="148"/>
      <c r="F679" s="148"/>
      <c r="G679" s="148"/>
      <c r="H679" s="148"/>
      <c r="I679" s="148"/>
      <c r="J679" s="148"/>
      <c r="K679" s="148"/>
      <c r="L679" s="148"/>
      <c r="M679" s="148"/>
      <c r="N679" s="148"/>
      <c r="O679" s="148"/>
      <c r="P679" s="148"/>
      <c r="Q679" s="148"/>
      <c r="R679" s="148"/>
      <c r="S679" s="148"/>
      <c r="T679" s="148"/>
      <c r="U679" s="148"/>
      <c r="V679" s="148"/>
      <c r="W679" s="148"/>
      <c r="X679" s="148"/>
      <c r="Y679" s="148"/>
      <c r="Z679" s="148"/>
      <c r="AA679" s="148"/>
      <c r="AB679" s="148"/>
      <c r="AC679" s="148"/>
      <c r="AD679" s="148"/>
      <c r="AE679" s="148"/>
    </row>
    <row r="680" spans="2:31">
      <c r="B680" s="148"/>
      <c r="C680" s="148"/>
      <c r="D680" s="148"/>
      <c r="E680" s="148"/>
      <c r="F680" s="148"/>
      <c r="G680" s="148"/>
      <c r="H680" s="148"/>
      <c r="I680" s="148"/>
      <c r="J680" s="148"/>
      <c r="K680" s="148"/>
      <c r="L680" s="148"/>
      <c r="M680" s="148"/>
      <c r="N680" s="148"/>
      <c r="O680" s="148"/>
      <c r="P680" s="148"/>
      <c r="Q680" s="148"/>
      <c r="R680" s="148"/>
      <c r="S680" s="148"/>
      <c r="T680" s="148"/>
      <c r="U680" s="148"/>
      <c r="V680" s="148"/>
      <c r="W680" s="148"/>
      <c r="X680" s="148"/>
      <c r="Y680" s="148"/>
      <c r="Z680" s="148"/>
      <c r="AA680" s="148"/>
      <c r="AB680" s="148"/>
      <c r="AC680" s="148"/>
      <c r="AD680" s="148"/>
      <c r="AE680" s="148"/>
    </row>
    <row r="681" spans="2:31">
      <c r="B681" s="148"/>
      <c r="C681" s="148"/>
      <c r="D681" s="148"/>
      <c r="E681" s="148"/>
      <c r="F681" s="148"/>
      <c r="G681" s="148"/>
      <c r="H681" s="148"/>
      <c r="I681" s="148"/>
      <c r="J681" s="148"/>
      <c r="K681" s="148"/>
      <c r="L681" s="148"/>
      <c r="M681" s="148"/>
      <c r="N681" s="148"/>
      <c r="O681" s="148"/>
      <c r="P681" s="148"/>
      <c r="Q681" s="148"/>
      <c r="R681" s="148"/>
      <c r="S681" s="148"/>
      <c r="T681" s="148"/>
      <c r="U681" s="148"/>
      <c r="V681" s="148"/>
      <c r="W681" s="148"/>
      <c r="X681" s="148"/>
      <c r="Y681" s="148"/>
      <c r="Z681" s="148"/>
      <c r="AA681" s="148"/>
      <c r="AB681" s="148"/>
      <c r="AC681" s="148"/>
      <c r="AD681" s="148"/>
      <c r="AE681" s="148"/>
    </row>
    <row r="682" spans="2:31">
      <c r="B682" s="148"/>
      <c r="C682" s="148"/>
      <c r="D682" s="148"/>
      <c r="E682" s="148"/>
      <c r="F682" s="148"/>
      <c r="G682" s="148"/>
      <c r="H682" s="148"/>
      <c r="I682" s="148"/>
      <c r="J682" s="148"/>
      <c r="K682" s="148"/>
      <c r="L682" s="148"/>
      <c r="M682" s="148"/>
      <c r="N682" s="148"/>
      <c r="O682" s="148"/>
      <c r="P682" s="148"/>
      <c r="Q682" s="148"/>
      <c r="R682" s="148"/>
      <c r="S682" s="148"/>
      <c r="T682" s="148"/>
      <c r="U682" s="148"/>
      <c r="V682" s="148"/>
      <c r="W682" s="148"/>
      <c r="X682" s="148"/>
      <c r="Y682" s="148"/>
      <c r="Z682" s="148"/>
      <c r="AA682" s="148"/>
      <c r="AB682" s="148"/>
      <c r="AC682" s="148"/>
      <c r="AD682" s="148"/>
      <c r="AE682" s="148"/>
    </row>
    <row r="683" spans="2:31">
      <c r="B683" s="148"/>
      <c r="C683" s="148"/>
      <c r="D683" s="148"/>
      <c r="E683" s="148"/>
      <c r="F683" s="148"/>
      <c r="G683" s="148"/>
      <c r="H683" s="148"/>
      <c r="I683" s="148"/>
      <c r="J683" s="148"/>
      <c r="K683" s="148"/>
      <c r="L683" s="148"/>
      <c r="M683" s="148"/>
      <c r="N683" s="148"/>
      <c r="O683" s="148"/>
      <c r="P683" s="148"/>
      <c r="Q683" s="148"/>
      <c r="R683" s="148"/>
      <c r="S683" s="148"/>
      <c r="T683" s="148"/>
      <c r="U683" s="148"/>
      <c r="V683" s="148"/>
      <c r="W683" s="148"/>
      <c r="X683" s="148"/>
      <c r="Y683" s="148"/>
      <c r="Z683" s="148"/>
      <c r="AA683" s="148"/>
      <c r="AB683" s="148"/>
      <c r="AC683" s="148"/>
      <c r="AD683" s="148"/>
      <c r="AE683" s="148"/>
    </row>
    <row r="684" spans="2:31">
      <c r="B684" s="148"/>
      <c r="C684" s="148"/>
      <c r="D684" s="148"/>
      <c r="E684" s="148"/>
      <c r="F684" s="148"/>
      <c r="G684" s="148"/>
      <c r="H684" s="148"/>
      <c r="I684" s="148"/>
      <c r="J684" s="148"/>
      <c r="K684" s="148"/>
      <c r="L684" s="148"/>
      <c r="M684" s="148"/>
      <c r="N684" s="148"/>
      <c r="O684" s="148"/>
      <c r="P684" s="148"/>
      <c r="Q684" s="148"/>
      <c r="R684" s="148"/>
      <c r="S684" s="148"/>
      <c r="T684" s="148"/>
      <c r="U684" s="148"/>
      <c r="V684" s="148"/>
      <c r="W684" s="148"/>
      <c r="X684" s="148"/>
      <c r="Y684" s="148"/>
      <c r="Z684" s="148"/>
      <c r="AA684" s="148"/>
      <c r="AB684" s="148"/>
      <c r="AC684" s="148"/>
      <c r="AD684" s="148"/>
      <c r="AE684" s="148"/>
    </row>
    <row r="685" spans="2:31">
      <c r="B685" s="148"/>
      <c r="C685" s="148"/>
      <c r="D685" s="148"/>
      <c r="E685" s="148"/>
      <c r="F685" s="148"/>
      <c r="G685" s="148"/>
      <c r="H685" s="148"/>
      <c r="I685" s="148"/>
      <c r="J685" s="148"/>
      <c r="K685" s="148"/>
      <c r="L685" s="148"/>
      <c r="M685" s="148"/>
      <c r="N685" s="148"/>
      <c r="O685" s="148"/>
      <c r="P685" s="148"/>
      <c r="Q685" s="148"/>
      <c r="R685" s="148"/>
      <c r="S685" s="148"/>
      <c r="T685" s="148"/>
      <c r="U685" s="148"/>
      <c r="V685" s="148"/>
      <c r="W685" s="148"/>
      <c r="X685" s="148"/>
      <c r="Y685" s="148"/>
      <c r="Z685" s="148"/>
      <c r="AA685" s="148"/>
      <c r="AB685" s="148"/>
      <c r="AC685" s="148"/>
      <c r="AD685" s="148"/>
      <c r="AE685" s="148"/>
    </row>
    <row r="686" spans="2:31">
      <c r="B686" s="148"/>
      <c r="C686" s="148"/>
      <c r="D686" s="148"/>
      <c r="E686" s="148"/>
      <c r="F686" s="148"/>
      <c r="G686" s="148"/>
      <c r="H686" s="148"/>
      <c r="I686" s="148"/>
      <c r="J686" s="148"/>
      <c r="K686" s="148"/>
      <c r="L686" s="148"/>
      <c r="M686" s="148"/>
      <c r="N686" s="148"/>
      <c r="O686" s="148"/>
      <c r="P686" s="148"/>
      <c r="Q686" s="148"/>
      <c r="R686" s="148"/>
      <c r="S686" s="148"/>
      <c r="T686" s="148"/>
      <c r="U686" s="148"/>
      <c r="V686" s="148"/>
      <c r="W686" s="148"/>
      <c r="X686" s="148"/>
      <c r="Y686" s="148"/>
      <c r="Z686" s="148"/>
      <c r="AA686" s="148"/>
      <c r="AB686" s="148"/>
      <c r="AC686" s="148"/>
      <c r="AD686" s="148"/>
      <c r="AE686" s="148"/>
    </row>
    <row r="687" spans="2:31">
      <c r="B687" s="148"/>
      <c r="C687" s="148"/>
      <c r="D687" s="148"/>
      <c r="E687" s="148"/>
      <c r="F687" s="148"/>
      <c r="G687" s="148"/>
      <c r="H687" s="148"/>
      <c r="I687" s="148"/>
      <c r="J687" s="148"/>
      <c r="K687" s="148"/>
      <c r="L687" s="148"/>
      <c r="M687" s="148"/>
      <c r="N687" s="148"/>
      <c r="O687" s="148"/>
      <c r="P687" s="148"/>
      <c r="Q687" s="148"/>
      <c r="R687" s="148"/>
      <c r="S687" s="148"/>
      <c r="T687" s="148"/>
      <c r="U687" s="148"/>
      <c r="V687" s="148"/>
      <c r="W687" s="148"/>
      <c r="X687" s="148"/>
      <c r="Y687" s="148"/>
      <c r="Z687" s="148"/>
      <c r="AA687" s="148"/>
      <c r="AB687" s="148"/>
      <c r="AC687" s="148"/>
      <c r="AD687" s="148"/>
      <c r="AE687" s="148"/>
    </row>
    <row r="688" spans="2:31">
      <c r="B688" s="148"/>
      <c r="C688" s="148"/>
      <c r="D688" s="148"/>
      <c r="E688" s="148"/>
      <c r="F688" s="148"/>
      <c r="G688" s="148"/>
      <c r="H688" s="148"/>
      <c r="I688" s="148"/>
      <c r="J688" s="148"/>
      <c r="K688" s="148"/>
      <c r="L688" s="148"/>
      <c r="M688" s="148"/>
      <c r="N688" s="148"/>
      <c r="O688" s="148"/>
      <c r="P688" s="148"/>
      <c r="Q688" s="148"/>
      <c r="R688" s="148"/>
      <c r="S688" s="148"/>
      <c r="T688" s="148"/>
      <c r="U688" s="148"/>
      <c r="V688" s="148"/>
      <c r="W688" s="148"/>
      <c r="X688" s="148"/>
      <c r="Y688" s="148"/>
      <c r="Z688" s="148"/>
      <c r="AA688" s="148"/>
      <c r="AB688" s="148"/>
      <c r="AC688" s="148"/>
      <c r="AD688" s="148"/>
      <c r="AE688" s="148"/>
    </row>
    <row r="689" spans="2:31">
      <c r="B689" s="148"/>
      <c r="C689" s="148"/>
      <c r="D689" s="148"/>
      <c r="E689" s="148"/>
      <c r="F689" s="148"/>
      <c r="G689" s="148"/>
      <c r="H689" s="148"/>
      <c r="I689" s="148"/>
      <c r="J689" s="148"/>
      <c r="K689" s="148"/>
      <c r="L689" s="148"/>
      <c r="M689" s="148"/>
      <c r="N689" s="148"/>
      <c r="O689" s="148"/>
      <c r="P689" s="148"/>
      <c r="Q689" s="148"/>
      <c r="R689" s="148"/>
      <c r="S689" s="148"/>
      <c r="T689" s="148"/>
      <c r="U689" s="148"/>
      <c r="V689" s="148"/>
      <c r="W689" s="148"/>
      <c r="X689" s="148"/>
      <c r="Y689" s="148"/>
      <c r="Z689" s="148"/>
      <c r="AA689" s="148"/>
      <c r="AB689" s="148"/>
      <c r="AC689" s="148"/>
      <c r="AD689" s="148"/>
      <c r="AE689" s="148"/>
    </row>
    <row r="690" spans="2:31">
      <c r="B690" s="148"/>
      <c r="C690" s="148"/>
      <c r="D690" s="148"/>
      <c r="E690" s="148"/>
      <c r="F690" s="148"/>
      <c r="G690" s="148"/>
      <c r="H690" s="148"/>
      <c r="I690" s="148"/>
      <c r="J690" s="148"/>
      <c r="K690" s="148"/>
      <c r="L690" s="148"/>
      <c r="M690" s="148"/>
      <c r="N690" s="148"/>
      <c r="O690" s="148"/>
      <c r="P690" s="148"/>
      <c r="Q690" s="148"/>
      <c r="R690" s="148"/>
      <c r="S690" s="148"/>
      <c r="T690" s="148"/>
      <c r="U690" s="148"/>
      <c r="V690" s="148"/>
      <c r="W690" s="148"/>
      <c r="X690" s="148"/>
      <c r="Y690" s="148"/>
      <c r="Z690" s="148"/>
      <c r="AA690" s="148"/>
      <c r="AB690" s="148"/>
      <c r="AC690" s="148"/>
      <c r="AD690" s="148"/>
      <c r="AE690" s="148"/>
    </row>
    <row r="691" spans="2:31">
      <c r="B691" s="148"/>
      <c r="C691" s="148"/>
      <c r="D691" s="148"/>
      <c r="E691" s="148"/>
      <c r="F691" s="148"/>
      <c r="G691" s="148"/>
      <c r="H691" s="148"/>
      <c r="I691" s="148"/>
      <c r="J691" s="148"/>
      <c r="K691" s="148"/>
      <c r="L691" s="148"/>
      <c r="M691" s="148"/>
      <c r="N691" s="148"/>
      <c r="O691" s="148"/>
      <c r="P691" s="148"/>
      <c r="Q691" s="148"/>
      <c r="R691" s="148"/>
      <c r="S691" s="148"/>
      <c r="T691" s="148"/>
      <c r="U691" s="148"/>
      <c r="V691" s="148"/>
      <c r="W691" s="148"/>
      <c r="X691" s="148"/>
      <c r="Y691" s="148"/>
      <c r="Z691" s="148"/>
      <c r="AA691" s="148"/>
      <c r="AB691" s="148"/>
      <c r="AC691" s="148"/>
      <c r="AD691" s="148"/>
      <c r="AE691" s="148"/>
    </row>
    <row r="692" spans="2:31">
      <c r="B692" s="148"/>
      <c r="C692" s="148"/>
      <c r="D692" s="148"/>
      <c r="E692" s="148"/>
      <c r="F692" s="148"/>
      <c r="G692" s="148"/>
      <c r="H692" s="148"/>
      <c r="I692" s="148"/>
      <c r="J692" s="148"/>
      <c r="K692" s="148"/>
      <c r="L692" s="148"/>
      <c r="M692" s="148"/>
      <c r="N692" s="148"/>
      <c r="O692" s="148"/>
      <c r="P692" s="148"/>
      <c r="Q692" s="148"/>
      <c r="R692" s="148"/>
      <c r="S692" s="148"/>
      <c r="T692" s="148"/>
      <c r="U692" s="148"/>
      <c r="V692" s="148"/>
      <c r="W692" s="148"/>
      <c r="X692" s="148"/>
      <c r="Y692" s="148"/>
      <c r="Z692" s="148"/>
      <c r="AA692" s="148"/>
      <c r="AB692" s="148"/>
      <c r="AC692" s="148"/>
      <c r="AD692" s="148"/>
      <c r="AE692" s="148"/>
    </row>
    <row r="693" spans="2:31">
      <c r="B693" s="148"/>
      <c r="C693" s="148"/>
      <c r="D693" s="148"/>
      <c r="E693" s="148"/>
      <c r="F693" s="148"/>
      <c r="G693" s="148"/>
      <c r="H693" s="148"/>
      <c r="I693" s="148"/>
      <c r="J693" s="148"/>
      <c r="K693" s="148"/>
      <c r="L693" s="148"/>
      <c r="M693" s="148"/>
      <c r="N693" s="148"/>
      <c r="O693" s="148"/>
      <c r="P693" s="148"/>
      <c r="Q693" s="148"/>
      <c r="R693" s="148"/>
      <c r="S693" s="148"/>
      <c r="T693" s="148"/>
      <c r="U693" s="148"/>
      <c r="V693" s="148"/>
      <c r="W693" s="148"/>
      <c r="X693" s="148"/>
      <c r="Y693" s="148"/>
      <c r="Z693" s="148"/>
      <c r="AA693" s="148"/>
      <c r="AB693" s="148"/>
      <c r="AC693" s="148"/>
      <c r="AD693" s="148"/>
      <c r="AE693" s="148"/>
    </row>
    <row r="694" spans="2:31">
      <c r="B694" s="148"/>
      <c r="C694" s="148"/>
      <c r="D694" s="148"/>
      <c r="E694" s="148"/>
      <c r="F694" s="148"/>
      <c r="G694" s="148"/>
      <c r="H694" s="148"/>
      <c r="I694" s="148"/>
      <c r="J694" s="148"/>
      <c r="K694" s="148"/>
      <c r="L694" s="148"/>
      <c r="M694" s="148"/>
      <c r="N694" s="148"/>
      <c r="O694" s="148"/>
      <c r="P694" s="148"/>
      <c r="Q694" s="148"/>
      <c r="R694" s="148"/>
      <c r="S694" s="148"/>
      <c r="T694" s="148"/>
      <c r="U694" s="148"/>
      <c r="V694" s="148"/>
      <c r="W694" s="148"/>
      <c r="X694" s="148"/>
      <c r="Y694" s="148"/>
      <c r="Z694" s="148"/>
      <c r="AA694" s="148"/>
      <c r="AB694" s="148"/>
      <c r="AC694" s="148"/>
      <c r="AD694" s="148"/>
      <c r="AE694" s="148"/>
    </row>
    <row r="695" spans="2:31">
      <c r="B695" s="148"/>
      <c r="C695" s="148"/>
      <c r="D695" s="148"/>
      <c r="E695" s="148"/>
      <c r="F695" s="148"/>
      <c r="G695" s="148"/>
      <c r="H695" s="148"/>
      <c r="I695" s="148"/>
      <c r="J695" s="148"/>
      <c r="K695" s="148"/>
      <c r="L695" s="148"/>
      <c r="M695" s="148"/>
      <c r="N695" s="148"/>
      <c r="O695" s="148"/>
      <c r="P695" s="148"/>
      <c r="Q695" s="148"/>
      <c r="R695" s="148"/>
      <c r="S695" s="148"/>
      <c r="T695" s="148"/>
      <c r="U695" s="148"/>
      <c r="V695" s="148"/>
      <c r="W695" s="148"/>
      <c r="X695" s="148"/>
      <c r="Y695" s="148"/>
      <c r="Z695" s="148"/>
      <c r="AA695" s="148"/>
      <c r="AB695" s="148"/>
      <c r="AC695" s="148"/>
      <c r="AD695" s="148"/>
      <c r="AE695" s="148"/>
    </row>
    <row r="696" spans="2:31">
      <c r="B696" s="148"/>
      <c r="C696" s="148"/>
      <c r="D696" s="148"/>
      <c r="E696" s="148"/>
      <c r="F696" s="148"/>
      <c r="G696" s="148"/>
      <c r="H696" s="148"/>
      <c r="I696" s="148"/>
      <c r="J696" s="148"/>
      <c r="K696" s="148"/>
      <c r="L696" s="148"/>
      <c r="M696" s="148"/>
      <c r="N696" s="148"/>
      <c r="O696" s="148"/>
      <c r="P696" s="148"/>
      <c r="Q696" s="148"/>
      <c r="R696" s="148"/>
      <c r="S696" s="148"/>
      <c r="T696" s="148"/>
      <c r="U696" s="148"/>
      <c r="V696" s="148"/>
      <c r="W696" s="148"/>
      <c r="X696" s="148"/>
      <c r="Y696" s="148"/>
      <c r="Z696" s="148"/>
      <c r="AA696" s="148"/>
      <c r="AB696" s="148"/>
      <c r="AC696" s="148"/>
      <c r="AD696" s="148"/>
      <c r="AE696" s="148"/>
    </row>
    <row r="697" spans="2:31">
      <c r="B697" s="148"/>
      <c r="C697" s="148"/>
      <c r="D697" s="148"/>
      <c r="E697" s="148"/>
      <c r="F697" s="148"/>
      <c r="G697" s="148"/>
      <c r="H697" s="148"/>
      <c r="I697" s="148"/>
      <c r="J697" s="148"/>
      <c r="K697" s="148"/>
      <c r="L697" s="148"/>
      <c r="M697" s="148"/>
      <c r="N697" s="148"/>
      <c r="O697" s="148"/>
      <c r="P697" s="148"/>
      <c r="Q697" s="148"/>
      <c r="R697" s="148"/>
      <c r="S697" s="148"/>
      <c r="T697" s="148"/>
      <c r="U697" s="148"/>
      <c r="V697" s="148"/>
      <c r="W697" s="148"/>
      <c r="X697" s="148"/>
      <c r="Y697" s="148"/>
      <c r="Z697" s="148"/>
      <c r="AA697" s="148"/>
      <c r="AB697" s="148"/>
      <c r="AC697" s="148"/>
      <c r="AD697" s="148"/>
      <c r="AE697" s="148"/>
    </row>
    <row r="698" spans="2:31">
      <c r="B698" s="148"/>
      <c r="C698" s="148"/>
      <c r="D698" s="148"/>
      <c r="E698" s="148"/>
      <c r="F698" s="148"/>
      <c r="G698" s="148"/>
      <c r="H698" s="148"/>
      <c r="I698" s="148"/>
      <c r="J698" s="148"/>
      <c r="K698" s="148"/>
      <c r="L698" s="148"/>
      <c r="M698" s="148"/>
      <c r="N698" s="148"/>
      <c r="O698" s="148"/>
      <c r="P698" s="148"/>
      <c r="Q698" s="148"/>
      <c r="R698" s="148"/>
      <c r="S698" s="148"/>
      <c r="T698" s="148"/>
      <c r="U698" s="148"/>
      <c r="V698" s="148"/>
      <c r="W698" s="148"/>
      <c r="X698" s="148"/>
      <c r="Y698" s="148"/>
      <c r="Z698" s="148"/>
      <c r="AA698" s="148"/>
      <c r="AB698" s="148"/>
      <c r="AC698" s="148"/>
      <c r="AD698" s="148"/>
      <c r="AE698" s="148"/>
    </row>
    <row r="699" spans="2:31">
      <c r="B699" s="148"/>
      <c r="C699" s="148"/>
      <c r="D699" s="148"/>
      <c r="E699" s="148"/>
      <c r="F699" s="148"/>
      <c r="G699" s="148"/>
      <c r="H699" s="148"/>
      <c r="I699" s="148"/>
      <c r="J699" s="148"/>
      <c r="K699" s="148"/>
      <c r="L699" s="148"/>
      <c r="M699" s="148"/>
      <c r="N699" s="148"/>
      <c r="O699" s="148"/>
      <c r="P699" s="148"/>
      <c r="Q699" s="148"/>
      <c r="R699" s="148"/>
      <c r="S699" s="148"/>
      <c r="T699" s="148"/>
      <c r="U699" s="148"/>
      <c r="V699" s="148"/>
      <c r="W699" s="148"/>
      <c r="X699" s="148"/>
      <c r="Y699" s="148"/>
      <c r="Z699" s="148"/>
      <c r="AA699" s="148"/>
      <c r="AB699" s="148"/>
      <c r="AC699" s="148"/>
      <c r="AD699" s="148"/>
      <c r="AE699" s="148"/>
    </row>
    <row r="700" spans="2:31">
      <c r="B700" s="148"/>
      <c r="C700" s="148"/>
      <c r="D700" s="148"/>
      <c r="E700" s="148"/>
      <c r="F700" s="148"/>
      <c r="G700" s="148"/>
      <c r="H700" s="148"/>
      <c r="I700" s="148"/>
      <c r="J700" s="148"/>
      <c r="K700" s="148"/>
      <c r="L700" s="148"/>
      <c r="M700" s="148"/>
      <c r="N700" s="148"/>
      <c r="O700" s="148"/>
      <c r="P700" s="148"/>
      <c r="Q700" s="148"/>
      <c r="R700" s="148"/>
      <c r="S700" s="148"/>
      <c r="T700" s="148"/>
      <c r="U700" s="148"/>
      <c r="V700" s="148"/>
      <c r="W700" s="148"/>
      <c r="X700" s="148"/>
      <c r="Y700" s="148"/>
      <c r="Z700" s="148"/>
      <c r="AA700" s="148"/>
      <c r="AB700" s="148"/>
      <c r="AC700" s="148"/>
      <c r="AD700" s="148"/>
      <c r="AE700" s="148"/>
    </row>
    <row r="701" spans="2:31">
      <c r="B701" s="148"/>
      <c r="C701" s="148"/>
      <c r="D701" s="148"/>
      <c r="E701" s="148"/>
      <c r="F701" s="148"/>
      <c r="G701" s="148"/>
      <c r="H701" s="148"/>
      <c r="I701" s="148"/>
      <c r="J701" s="148"/>
      <c r="K701" s="148"/>
      <c r="L701" s="148"/>
      <c r="M701" s="148"/>
      <c r="N701" s="148"/>
      <c r="O701" s="148"/>
      <c r="P701" s="148"/>
      <c r="Q701" s="148"/>
      <c r="R701" s="148"/>
      <c r="S701" s="148"/>
      <c r="T701" s="148"/>
      <c r="U701" s="148"/>
      <c r="V701" s="148"/>
      <c r="W701" s="148"/>
      <c r="X701" s="148"/>
      <c r="Y701" s="148"/>
      <c r="Z701" s="148"/>
      <c r="AA701" s="148"/>
      <c r="AB701" s="148"/>
      <c r="AC701" s="148"/>
      <c r="AD701" s="148"/>
      <c r="AE701" s="148"/>
    </row>
    <row r="702" spans="2:31">
      <c r="B702" s="148"/>
      <c r="C702" s="148"/>
      <c r="D702" s="148"/>
      <c r="E702" s="148"/>
      <c r="F702" s="148"/>
      <c r="G702" s="148"/>
      <c r="H702" s="148"/>
      <c r="I702" s="148"/>
      <c r="J702" s="148"/>
      <c r="K702" s="148"/>
      <c r="L702" s="148"/>
      <c r="M702" s="148"/>
      <c r="N702" s="148"/>
      <c r="O702" s="148"/>
      <c r="P702" s="148"/>
      <c r="Q702" s="148"/>
      <c r="R702" s="148"/>
      <c r="S702" s="148"/>
      <c r="T702" s="148"/>
      <c r="U702" s="148"/>
      <c r="V702" s="148"/>
      <c r="W702" s="148"/>
      <c r="X702" s="148"/>
      <c r="Y702" s="148"/>
      <c r="Z702" s="148"/>
      <c r="AA702" s="148"/>
      <c r="AB702" s="148"/>
      <c r="AC702" s="148"/>
      <c r="AD702" s="148"/>
      <c r="AE702" s="148"/>
    </row>
    <row r="703" spans="2:31">
      <c r="B703" s="148"/>
      <c r="C703" s="148"/>
      <c r="D703" s="148"/>
      <c r="E703" s="148"/>
      <c r="F703" s="148"/>
      <c r="G703" s="148"/>
      <c r="H703" s="148"/>
      <c r="I703" s="148"/>
      <c r="J703" s="148"/>
      <c r="K703" s="148"/>
      <c r="L703" s="148"/>
      <c r="M703" s="148"/>
      <c r="N703" s="148"/>
      <c r="O703" s="148"/>
      <c r="P703" s="148"/>
      <c r="Q703" s="148"/>
      <c r="R703" s="148"/>
      <c r="S703" s="148"/>
      <c r="T703" s="148"/>
      <c r="U703" s="148"/>
      <c r="V703" s="148"/>
      <c r="W703" s="148"/>
      <c r="X703" s="148"/>
      <c r="Y703" s="148"/>
      <c r="Z703" s="148"/>
      <c r="AA703" s="148"/>
      <c r="AB703" s="148"/>
      <c r="AC703" s="148"/>
      <c r="AD703" s="148"/>
      <c r="AE703" s="148"/>
    </row>
    <row r="704" spans="2:31">
      <c r="B704" s="148"/>
      <c r="C704" s="148"/>
      <c r="D704" s="148"/>
      <c r="E704" s="148"/>
      <c r="F704" s="148"/>
      <c r="G704" s="148"/>
      <c r="H704" s="148"/>
      <c r="I704" s="148"/>
      <c r="J704" s="148"/>
      <c r="K704" s="148"/>
      <c r="L704" s="148"/>
      <c r="M704" s="148"/>
      <c r="N704" s="148"/>
      <c r="O704" s="148"/>
      <c r="P704" s="148"/>
      <c r="Q704" s="148"/>
      <c r="R704" s="148"/>
      <c r="S704" s="148"/>
      <c r="T704" s="148"/>
      <c r="U704" s="148"/>
      <c r="V704" s="148"/>
      <c r="W704" s="148"/>
      <c r="X704" s="148"/>
      <c r="Y704" s="148"/>
      <c r="Z704" s="148"/>
      <c r="AA704" s="148"/>
      <c r="AB704" s="148"/>
      <c r="AC704" s="148"/>
      <c r="AD704" s="148"/>
      <c r="AE704" s="148"/>
    </row>
    <row r="705" spans="2:31">
      <c r="B705" s="148"/>
      <c r="C705" s="148"/>
      <c r="D705" s="148"/>
      <c r="E705" s="148"/>
      <c r="F705" s="148"/>
      <c r="G705" s="148"/>
      <c r="H705" s="148"/>
      <c r="I705" s="148"/>
      <c r="J705" s="148"/>
      <c r="K705" s="148"/>
      <c r="L705" s="148"/>
      <c r="M705" s="148"/>
      <c r="N705" s="148"/>
      <c r="O705" s="148"/>
      <c r="P705" s="148"/>
      <c r="Q705" s="148"/>
      <c r="R705" s="148"/>
      <c r="S705" s="148"/>
      <c r="T705" s="148"/>
      <c r="U705" s="148"/>
      <c r="V705" s="148"/>
      <c r="W705" s="148"/>
      <c r="X705" s="148"/>
      <c r="Y705" s="148"/>
      <c r="Z705" s="148"/>
      <c r="AA705" s="148"/>
      <c r="AB705" s="148"/>
      <c r="AC705" s="148"/>
      <c r="AD705" s="148"/>
      <c r="AE705" s="148"/>
    </row>
    <row r="706" spans="2:31">
      <c r="B706" s="148"/>
      <c r="C706" s="148"/>
      <c r="D706" s="148"/>
      <c r="E706" s="148"/>
      <c r="F706" s="148"/>
      <c r="G706" s="148"/>
      <c r="H706" s="148"/>
      <c r="I706" s="148"/>
      <c r="J706" s="148"/>
      <c r="K706" s="148"/>
      <c r="L706" s="148"/>
      <c r="M706" s="148"/>
      <c r="N706" s="148"/>
      <c r="O706" s="148"/>
      <c r="P706" s="148"/>
      <c r="Q706" s="148"/>
      <c r="R706" s="148"/>
      <c r="S706" s="148"/>
      <c r="T706" s="148"/>
      <c r="U706" s="148"/>
      <c r="V706" s="148"/>
      <c r="W706" s="148"/>
      <c r="X706" s="148"/>
      <c r="Y706" s="148"/>
      <c r="Z706" s="148"/>
      <c r="AA706" s="148"/>
      <c r="AB706" s="148"/>
      <c r="AC706" s="148"/>
      <c r="AD706" s="148"/>
      <c r="AE706" s="148"/>
    </row>
    <row r="707" spans="2:31">
      <c r="B707" s="148"/>
      <c r="C707" s="148"/>
      <c r="D707" s="148"/>
      <c r="E707" s="148"/>
      <c r="F707" s="148"/>
      <c r="G707" s="148"/>
      <c r="H707" s="148"/>
      <c r="I707" s="148"/>
      <c r="J707" s="148"/>
      <c r="K707" s="148"/>
      <c r="L707" s="148"/>
      <c r="M707" s="148"/>
      <c r="N707" s="148"/>
      <c r="O707" s="148"/>
      <c r="P707" s="148"/>
      <c r="Q707" s="148"/>
      <c r="R707" s="148"/>
      <c r="S707" s="148"/>
      <c r="T707" s="148"/>
      <c r="U707" s="148"/>
      <c r="V707" s="148"/>
      <c r="W707" s="148"/>
      <c r="X707" s="148"/>
      <c r="Y707" s="148"/>
      <c r="Z707" s="148"/>
      <c r="AA707" s="148"/>
      <c r="AB707" s="148"/>
      <c r="AC707" s="148"/>
      <c r="AD707" s="148"/>
      <c r="AE707" s="148"/>
    </row>
    <row r="708" spans="2:31">
      <c r="B708" s="148"/>
      <c r="C708" s="148"/>
      <c r="D708" s="148"/>
      <c r="E708" s="148"/>
      <c r="F708" s="148"/>
      <c r="G708" s="148"/>
      <c r="H708" s="148"/>
      <c r="I708" s="148"/>
      <c r="J708" s="148"/>
      <c r="K708" s="148"/>
      <c r="L708" s="148"/>
      <c r="M708" s="148"/>
      <c r="N708" s="148"/>
      <c r="O708" s="148"/>
      <c r="P708" s="148"/>
      <c r="Q708" s="148"/>
      <c r="R708" s="148"/>
      <c r="S708" s="148"/>
      <c r="T708" s="148"/>
      <c r="U708" s="148"/>
      <c r="V708" s="148"/>
      <c r="W708" s="148"/>
      <c r="X708" s="148"/>
      <c r="Y708" s="148"/>
      <c r="Z708" s="148"/>
      <c r="AA708" s="148"/>
      <c r="AB708" s="148"/>
      <c r="AC708" s="148"/>
      <c r="AD708" s="148"/>
      <c r="AE708" s="148"/>
    </row>
    <row r="709" spans="2:31">
      <c r="B709" s="148"/>
      <c r="C709" s="148"/>
      <c r="D709" s="148"/>
      <c r="E709" s="148"/>
      <c r="F709" s="148"/>
      <c r="G709" s="148"/>
      <c r="H709" s="148"/>
      <c r="I709" s="148"/>
      <c r="J709" s="148"/>
      <c r="K709" s="148"/>
      <c r="L709" s="148"/>
      <c r="M709" s="148"/>
      <c r="N709" s="148"/>
      <c r="O709" s="148"/>
      <c r="P709" s="148"/>
      <c r="Q709" s="148"/>
      <c r="R709" s="148"/>
      <c r="S709" s="148"/>
      <c r="T709" s="148"/>
      <c r="U709" s="148"/>
      <c r="V709" s="148"/>
      <c r="W709" s="148"/>
      <c r="X709" s="148"/>
      <c r="Y709" s="148"/>
      <c r="Z709" s="148"/>
      <c r="AA709" s="148"/>
      <c r="AB709" s="148"/>
      <c r="AC709" s="148"/>
      <c r="AD709" s="148"/>
      <c r="AE709" s="148"/>
    </row>
    <row r="710" spans="2:31">
      <c r="B710" s="148"/>
      <c r="C710" s="148"/>
      <c r="D710" s="148"/>
      <c r="E710" s="148"/>
      <c r="F710" s="148"/>
      <c r="G710" s="148"/>
      <c r="H710" s="148"/>
      <c r="I710" s="148"/>
      <c r="J710" s="148"/>
      <c r="K710" s="148"/>
      <c r="L710" s="148"/>
      <c r="M710" s="148"/>
      <c r="N710" s="148"/>
      <c r="O710" s="148"/>
      <c r="P710" s="148"/>
      <c r="Q710" s="148"/>
      <c r="R710" s="148"/>
      <c r="S710" s="148"/>
      <c r="T710" s="148"/>
      <c r="U710" s="148"/>
      <c r="V710" s="148"/>
      <c r="W710" s="148"/>
      <c r="X710" s="148"/>
      <c r="Y710" s="148"/>
      <c r="Z710" s="148"/>
      <c r="AA710" s="148"/>
      <c r="AB710" s="148"/>
      <c r="AC710" s="148"/>
      <c r="AD710" s="148"/>
      <c r="AE710" s="148"/>
    </row>
    <row r="711" spans="2:31">
      <c r="B711" s="148"/>
      <c r="C711" s="148"/>
      <c r="D711" s="148"/>
      <c r="E711" s="148"/>
      <c r="F711" s="148"/>
      <c r="G711" s="148"/>
      <c r="H711" s="148"/>
      <c r="I711" s="148"/>
      <c r="J711" s="148"/>
      <c r="K711" s="148"/>
      <c r="L711" s="148"/>
      <c r="M711" s="148"/>
      <c r="N711" s="148"/>
      <c r="O711" s="148"/>
      <c r="P711" s="148"/>
      <c r="Q711" s="148"/>
      <c r="R711" s="148"/>
      <c r="S711" s="148"/>
      <c r="T711" s="148"/>
      <c r="U711" s="148"/>
      <c r="V711" s="148"/>
      <c r="W711" s="148"/>
      <c r="X711" s="148"/>
      <c r="Y711" s="148"/>
      <c r="Z711" s="148"/>
      <c r="AA711" s="148"/>
      <c r="AB711" s="148"/>
      <c r="AC711" s="148"/>
      <c r="AD711" s="148"/>
      <c r="AE711" s="148"/>
    </row>
    <row r="712" spans="2:31">
      <c r="B712" s="148"/>
      <c r="C712" s="148"/>
      <c r="D712" s="148"/>
      <c r="E712" s="148"/>
      <c r="F712" s="148"/>
      <c r="G712" s="148"/>
      <c r="H712" s="148"/>
      <c r="I712" s="148"/>
      <c r="J712" s="148"/>
      <c r="K712" s="148"/>
      <c r="L712" s="148"/>
      <c r="M712" s="148"/>
      <c r="N712" s="148"/>
      <c r="O712" s="148"/>
      <c r="P712" s="148"/>
      <c r="Q712" s="148"/>
      <c r="R712" s="148"/>
      <c r="S712" s="148"/>
      <c r="T712" s="148"/>
      <c r="U712" s="148"/>
      <c r="V712" s="148"/>
      <c r="W712" s="148"/>
      <c r="X712" s="148"/>
      <c r="Y712" s="148"/>
      <c r="Z712" s="148"/>
      <c r="AA712" s="148"/>
      <c r="AB712" s="148"/>
      <c r="AC712" s="148"/>
      <c r="AD712" s="148"/>
      <c r="AE712" s="148"/>
    </row>
    <row r="713" spans="2:31">
      <c r="B713" s="148"/>
      <c r="C713" s="148"/>
      <c r="D713" s="148"/>
      <c r="E713" s="148"/>
      <c r="F713" s="148"/>
      <c r="G713" s="148"/>
      <c r="H713" s="148"/>
      <c r="I713" s="148"/>
      <c r="J713" s="148"/>
      <c r="K713" s="148"/>
      <c r="L713" s="148"/>
      <c r="M713" s="148"/>
      <c r="N713" s="148"/>
      <c r="O713" s="148"/>
      <c r="P713" s="148"/>
      <c r="Q713" s="148"/>
      <c r="R713" s="148"/>
      <c r="S713" s="148"/>
      <c r="T713" s="148"/>
      <c r="U713" s="148"/>
      <c r="V713" s="148"/>
      <c r="W713" s="148"/>
      <c r="X713" s="148"/>
      <c r="Y713" s="148"/>
      <c r="Z713" s="148"/>
      <c r="AA713" s="148"/>
      <c r="AB713" s="148"/>
      <c r="AC713" s="148"/>
      <c r="AD713" s="148"/>
      <c r="AE713" s="148"/>
    </row>
    <row r="714" spans="2:31">
      <c r="B714" s="148"/>
      <c r="C714" s="148"/>
      <c r="D714" s="148"/>
      <c r="E714" s="148"/>
      <c r="F714" s="148"/>
      <c r="G714" s="148"/>
      <c r="H714" s="148"/>
      <c r="I714" s="148"/>
      <c r="J714" s="148"/>
      <c r="K714" s="148"/>
      <c r="L714" s="148"/>
      <c r="M714" s="148"/>
      <c r="N714" s="148"/>
      <c r="O714" s="148"/>
      <c r="P714" s="148"/>
      <c r="Q714" s="148"/>
      <c r="R714" s="148"/>
      <c r="S714" s="148"/>
      <c r="T714" s="148"/>
      <c r="U714" s="148"/>
      <c r="V714" s="148"/>
      <c r="W714" s="148"/>
      <c r="X714" s="148"/>
      <c r="Y714" s="148"/>
      <c r="Z714" s="148"/>
      <c r="AA714" s="148"/>
      <c r="AB714" s="148"/>
      <c r="AC714" s="148"/>
      <c r="AD714" s="148"/>
      <c r="AE714" s="148"/>
    </row>
    <row r="715" spans="2:31">
      <c r="B715" s="148"/>
      <c r="C715" s="148"/>
      <c r="D715" s="148"/>
      <c r="E715" s="148"/>
      <c r="F715" s="148"/>
      <c r="G715" s="148"/>
      <c r="H715" s="148"/>
      <c r="I715" s="148"/>
      <c r="J715" s="148"/>
      <c r="K715" s="148"/>
      <c r="L715" s="148"/>
      <c r="M715" s="148"/>
      <c r="N715" s="148"/>
      <c r="O715" s="148"/>
      <c r="P715" s="148"/>
      <c r="Q715" s="148"/>
      <c r="R715" s="148"/>
      <c r="S715" s="148"/>
      <c r="T715" s="148"/>
      <c r="U715" s="148"/>
      <c r="V715" s="148"/>
      <c r="W715" s="148"/>
      <c r="X715" s="148"/>
      <c r="Y715" s="148"/>
      <c r="Z715" s="148"/>
      <c r="AA715" s="148"/>
      <c r="AB715" s="148"/>
      <c r="AC715" s="148"/>
      <c r="AD715" s="148"/>
      <c r="AE715" s="148"/>
    </row>
    <row r="716" spans="2:31">
      <c r="B716" s="148"/>
      <c r="C716" s="148"/>
      <c r="D716" s="148"/>
      <c r="E716" s="148"/>
      <c r="F716" s="148"/>
      <c r="G716" s="148"/>
      <c r="H716" s="148"/>
      <c r="I716" s="148"/>
      <c r="J716" s="148"/>
      <c r="K716" s="148"/>
      <c r="L716" s="148"/>
      <c r="M716" s="148"/>
      <c r="N716" s="148"/>
      <c r="O716" s="148"/>
      <c r="P716" s="148"/>
      <c r="Q716" s="148"/>
      <c r="R716" s="148"/>
      <c r="S716" s="148"/>
      <c r="T716" s="148"/>
      <c r="U716" s="148"/>
      <c r="V716" s="148"/>
      <c r="W716" s="148"/>
      <c r="X716" s="148"/>
      <c r="Y716" s="148"/>
      <c r="Z716" s="148"/>
      <c r="AA716" s="148"/>
      <c r="AB716" s="148"/>
      <c r="AC716" s="148"/>
      <c r="AD716" s="148"/>
      <c r="AE716" s="148"/>
    </row>
    <row r="717" spans="2:31">
      <c r="B717" s="148"/>
      <c r="C717" s="148"/>
      <c r="D717" s="148"/>
      <c r="E717" s="148"/>
      <c r="F717" s="148"/>
      <c r="G717" s="148"/>
      <c r="H717" s="148"/>
      <c r="I717" s="148"/>
      <c r="J717" s="148"/>
      <c r="K717" s="148"/>
      <c r="L717" s="148"/>
      <c r="M717" s="148"/>
      <c r="N717" s="148"/>
      <c r="O717" s="148"/>
      <c r="P717" s="148"/>
      <c r="Q717" s="148"/>
      <c r="R717" s="148"/>
      <c r="S717" s="148"/>
      <c r="T717" s="148"/>
      <c r="U717" s="148"/>
      <c r="V717" s="148"/>
      <c r="W717" s="148"/>
      <c r="X717" s="148"/>
      <c r="Y717" s="148"/>
      <c r="Z717" s="148"/>
      <c r="AA717" s="148"/>
      <c r="AB717" s="148"/>
      <c r="AC717" s="148"/>
      <c r="AD717" s="148"/>
      <c r="AE717" s="148"/>
    </row>
    <row r="718" spans="2:31">
      <c r="B718" s="148"/>
      <c r="C718" s="148"/>
      <c r="D718" s="148"/>
      <c r="E718" s="148"/>
      <c r="F718" s="148"/>
      <c r="G718" s="148"/>
      <c r="H718" s="148"/>
      <c r="I718" s="148"/>
      <c r="J718" s="148"/>
      <c r="K718" s="148"/>
      <c r="L718" s="148"/>
      <c r="M718" s="148"/>
      <c r="N718" s="148"/>
      <c r="O718" s="148"/>
      <c r="P718" s="148"/>
      <c r="Q718" s="148"/>
      <c r="R718" s="148"/>
      <c r="S718" s="148"/>
      <c r="T718" s="148"/>
      <c r="U718" s="148"/>
      <c r="V718" s="148"/>
      <c r="W718" s="148"/>
      <c r="X718" s="148"/>
      <c r="Y718" s="148"/>
      <c r="Z718" s="148"/>
      <c r="AA718" s="148"/>
      <c r="AB718" s="148"/>
      <c r="AC718" s="148"/>
      <c r="AD718" s="148"/>
      <c r="AE718" s="148"/>
    </row>
    <row r="719" spans="2:31">
      <c r="B719" s="148"/>
      <c r="C719" s="148"/>
      <c r="D719" s="148"/>
      <c r="E719" s="148"/>
      <c r="F719" s="148"/>
      <c r="G719" s="148"/>
      <c r="H719" s="148"/>
      <c r="I719" s="148"/>
      <c r="J719" s="148"/>
      <c r="K719" s="148"/>
      <c r="L719" s="148"/>
      <c r="M719" s="148"/>
      <c r="N719" s="148"/>
      <c r="O719" s="148"/>
      <c r="P719" s="148"/>
      <c r="Q719" s="148"/>
      <c r="R719" s="148"/>
      <c r="S719" s="148"/>
      <c r="T719" s="148"/>
      <c r="U719" s="148"/>
      <c r="V719" s="148"/>
      <c r="W719" s="148"/>
      <c r="X719" s="148"/>
      <c r="Y719" s="148"/>
      <c r="Z719" s="148"/>
      <c r="AA719" s="148"/>
      <c r="AB719" s="148"/>
      <c r="AC719" s="148"/>
      <c r="AD719" s="148"/>
      <c r="AE719" s="148"/>
    </row>
    <row r="720" spans="2:31">
      <c r="B720" s="148"/>
      <c r="C720" s="148"/>
      <c r="D720" s="148"/>
      <c r="E720" s="148"/>
      <c r="F720" s="148"/>
      <c r="G720" s="148"/>
      <c r="H720" s="148"/>
      <c r="I720" s="148"/>
      <c r="J720" s="148"/>
      <c r="K720" s="148"/>
      <c r="L720" s="148"/>
      <c r="M720" s="148"/>
      <c r="N720" s="148"/>
      <c r="O720" s="148"/>
      <c r="P720" s="148"/>
      <c r="Q720" s="148"/>
      <c r="R720" s="148"/>
      <c r="S720" s="148"/>
      <c r="T720" s="148"/>
      <c r="U720" s="148"/>
      <c r="V720" s="148"/>
      <c r="W720" s="148"/>
      <c r="X720" s="148"/>
      <c r="Y720" s="148"/>
      <c r="Z720" s="148"/>
      <c r="AA720" s="148"/>
      <c r="AB720" s="148"/>
      <c r="AC720" s="148"/>
      <c r="AD720" s="148"/>
      <c r="AE720" s="148"/>
    </row>
    <row r="721" spans="2:31">
      <c r="B721" s="148"/>
      <c r="C721" s="148"/>
      <c r="D721" s="148"/>
      <c r="E721" s="148"/>
      <c r="F721" s="148"/>
      <c r="G721" s="148"/>
      <c r="H721" s="148"/>
      <c r="I721" s="148"/>
      <c r="J721" s="148"/>
      <c r="K721" s="148"/>
      <c r="L721" s="148"/>
      <c r="M721" s="148"/>
      <c r="N721" s="148"/>
      <c r="O721" s="148"/>
      <c r="P721" s="148"/>
      <c r="Q721" s="148"/>
      <c r="R721" s="148"/>
      <c r="S721" s="148"/>
      <c r="T721" s="148"/>
      <c r="U721" s="148"/>
      <c r="V721" s="148"/>
      <c r="W721" s="148"/>
      <c r="X721" s="148"/>
      <c r="Y721" s="148"/>
      <c r="Z721" s="148"/>
      <c r="AA721" s="148"/>
      <c r="AB721" s="148"/>
      <c r="AC721" s="148"/>
      <c r="AD721" s="148"/>
      <c r="AE721" s="148"/>
    </row>
    <row r="722" spans="2:31">
      <c r="B722" s="148"/>
      <c r="C722" s="148"/>
      <c r="D722" s="148"/>
      <c r="E722" s="148"/>
      <c r="F722" s="148"/>
      <c r="G722" s="148"/>
      <c r="H722" s="148"/>
      <c r="I722" s="148"/>
      <c r="J722" s="148"/>
      <c r="K722" s="148"/>
      <c r="L722" s="148"/>
      <c r="M722" s="148"/>
      <c r="N722" s="148"/>
      <c r="O722" s="148"/>
      <c r="P722" s="148"/>
      <c r="Q722" s="148"/>
      <c r="R722" s="148"/>
      <c r="S722" s="148"/>
      <c r="T722" s="148"/>
      <c r="U722" s="148"/>
      <c r="V722" s="148"/>
      <c r="W722" s="148"/>
      <c r="X722" s="148"/>
      <c r="Y722" s="148"/>
      <c r="Z722" s="148"/>
      <c r="AA722" s="148"/>
      <c r="AB722" s="148"/>
      <c r="AC722" s="148"/>
      <c r="AD722" s="148"/>
      <c r="AE722" s="148"/>
    </row>
    <row r="723" spans="2:31">
      <c r="B723" s="148"/>
      <c r="C723" s="148"/>
      <c r="D723" s="148"/>
      <c r="E723" s="148"/>
      <c r="F723" s="148"/>
      <c r="G723" s="148"/>
      <c r="H723" s="148"/>
      <c r="I723" s="148"/>
      <c r="J723" s="148"/>
      <c r="K723" s="148"/>
      <c r="L723" s="148"/>
      <c r="M723" s="148"/>
      <c r="N723" s="148"/>
      <c r="O723" s="148"/>
      <c r="P723" s="148"/>
      <c r="Q723" s="148"/>
      <c r="R723" s="148"/>
      <c r="S723" s="148"/>
      <c r="T723" s="148"/>
      <c r="U723" s="148"/>
      <c r="V723" s="148"/>
      <c r="W723" s="148"/>
      <c r="X723" s="148"/>
      <c r="Y723" s="148"/>
      <c r="Z723" s="148"/>
      <c r="AA723" s="148"/>
      <c r="AB723" s="148"/>
      <c r="AC723" s="148"/>
      <c r="AD723" s="148"/>
      <c r="AE723" s="148"/>
    </row>
    <row r="724" spans="2:31">
      <c r="B724" s="148"/>
      <c r="C724" s="148"/>
      <c r="D724" s="148"/>
      <c r="E724" s="148"/>
      <c r="F724" s="148"/>
      <c r="G724" s="148"/>
      <c r="H724" s="148"/>
      <c r="I724" s="148"/>
      <c r="J724" s="148"/>
      <c r="K724" s="148"/>
      <c r="L724" s="148"/>
      <c r="M724" s="148"/>
      <c r="N724" s="148"/>
      <c r="O724" s="148"/>
      <c r="P724" s="148"/>
      <c r="Q724" s="148"/>
      <c r="R724" s="148"/>
      <c r="S724" s="148"/>
      <c r="T724" s="148"/>
      <c r="U724" s="148"/>
      <c r="V724" s="148"/>
      <c r="W724" s="148"/>
      <c r="X724" s="148"/>
      <c r="Y724" s="148"/>
      <c r="Z724" s="148"/>
      <c r="AA724" s="148"/>
      <c r="AB724" s="148"/>
      <c r="AC724" s="148"/>
      <c r="AD724" s="148"/>
      <c r="AE724" s="148"/>
    </row>
    <row r="725" spans="2:31">
      <c r="B725" s="148"/>
      <c r="C725" s="148"/>
      <c r="D725" s="148"/>
      <c r="E725" s="148"/>
      <c r="F725" s="148"/>
      <c r="G725" s="148"/>
      <c r="H725" s="148"/>
      <c r="I725" s="148"/>
      <c r="J725" s="148"/>
      <c r="K725" s="148"/>
      <c r="L725" s="148"/>
      <c r="M725" s="148"/>
      <c r="N725" s="148"/>
      <c r="O725" s="148"/>
      <c r="P725" s="148"/>
      <c r="Q725" s="148"/>
      <c r="R725" s="148"/>
      <c r="S725" s="148"/>
      <c r="T725" s="148"/>
      <c r="U725" s="148"/>
      <c r="V725" s="148"/>
      <c r="W725" s="148"/>
      <c r="X725" s="148"/>
      <c r="Y725" s="148"/>
      <c r="Z725" s="148"/>
      <c r="AA725" s="148"/>
      <c r="AB725" s="148"/>
      <c r="AC725" s="148"/>
      <c r="AD725" s="148"/>
      <c r="AE725" s="148"/>
    </row>
    <row r="726" spans="2:31">
      <c r="B726" s="148"/>
      <c r="C726" s="148"/>
      <c r="D726" s="148"/>
      <c r="E726" s="148"/>
      <c r="F726" s="148"/>
      <c r="G726" s="148"/>
      <c r="H726" s="148"/>
      <c r="I726" s="148"/>
      <c r="J726" s="148"/>
      <c r="K726" s="148"/>
      <c r="L726" s="148"/>
      <c r="M726" s="148"/>
      <c r="N726" s="148"/>
      <c r="O726" s="148"/>
      <c r="P726" s="148"/>
      <c r="Q726" s="148"/>
      <c r="R726" s="148"/>
      <c r="S726" s="148"/>
      <c r="T726" s="148"/>
      <c r="U726" s="148"/>
      <c r="V726" s="148"/>
      <c r="W726" s="148"/>
      <c r="X726" s="148"/>
      <c r="Y726" s="148"/>
      <c r="Z726" s="148"/>
      <c r="AA726" s="148"/>
      <c r="AB726" s="148"/>
      <c r="AC726" s="148"/>
      <c r="AD726" s="148"/>
      <c r="AE726" s="148"/>
    </row>
    <row r="727" spans="2:31">
      <c r="B727" s="148"/>
      <c r="C727" s="148"/>
      <c r="D727" s="148"/>
      <c r="E727" s="148"/>
      <c r="F727" s="148"/>
      <c r="G727" s="148"/>
      <c r="H727" s="148"/>
      <c r="I727" s="148"/>
      <c r="J727" s="148"/>
      <c r="K727" s="148"/>
      <c r="L727" s="148"/>
      <c r="M727" s="148"/>
      <c r="N727" s="148"/>
      <c r="O727" s="148"/>
      <c r="P727" s="148"/>
      <c r="Q727" s="148"/>
      <c r="R727" s="148"/>
      <c r="S727" s="148"/>
      <c r="T727" s="148"/>
      <c r="U727" s="148"/>
      <c r="V727" s="148"/>
      <c r="W727" s="148"/>
      <c r="X727" s="148"/>
      <c r="Y727" s="148"/>
      <c r="Z727" s="148"/>
      <c r="AA727" s="148"/>
      <c r="AB727" s="148"/>
      <c r="AC727" s="148"/>
      <c r="AD727" s="148"/>
      <c r="AE727" s="148"/>
    </row>
    <row r="728" spans="2:31">
      <c r="B728" s="148"/>
      <c r="C728" s="148"/>
      <c r="D728" s="148"/>
      <c r="E728" s="148"/>
      <c r="F728" s="148"/>
      <c r="G728" s="148"/>
      <c r="H728" s="148"/>
      <c r="I728" s="148"/>
      <c r="J728" s="148"/>
      <c r="K728" s="148"/>
      <c r="L728" s="148"/>
      <c r="M728" s="148"/>
      <c r="N728" s="148"/>
      <c r="O728" s="148"/>
      <c r="P728" s="148"/>
      <c r="Q728" s="148"/>
      <c r="R728" s="148"/>
      <c r="S728" s="148"/>
      <c r="T728" s="148"/>
      <c r="U728" s="148"/>
      <c r="V728" s="148"/>
      <c r="W728" s="148"/>
      <c r="X728" s="148"/>
      <c r="Y728" s="148"/>
      <c r="Z728" s="148"/>
      <c r="AA728" s="148"/>
      <c r="AB728" s="148"/>
      <c r="AC728" s="148"/>
      <c r="AD728" s="148"/>
      <c r="AE728" s="148"/>
    </row>
    <row r="729" spans="2:31">
      <c r="B729" s="148"/>
      <c r="C729" s="148"/>
      <c r="D729" s="148"/>
      <c r="E729" s="148"/>
      <c r="F729" s="148"/>
      <c r="G729" s="148"/>
      <c r="H729" s="148"/>
      <c r="I729" s="148"/>
      <c r="J729" s="148"/>
      <c r="K729" s="148"/>
      <c r="L729" s="148"/>
      <c r="M729" s="148"/>
      <c r="N729" s="148"/>
      <c r="O729" s="148"/>
      <c r="P729" s="148"/>
      <c r="Q729" s="148"/>
      <c r="R729" s="148"/>
      <c r="S729" s="148"/>
      <c r="T729" s="148"/>
      <c r="U729" s="148"/>
      <c r="V729" s="148"/>
      <c r="W729" s="148"/>
      <c r="X729" s="148"/>
      <c r="Y729" s="148"/>
      <c r="Z729" s="148"/>
      <c r="AA729" s="148"/>
      <c r="AB729" s="148"/>
      <c r="AC729" s="148"/>
      <c r="AD729" s="148"/>
      <c r="AE729" s="148"/>
    </row>
    <row r="730" spans="2:31">
      <c r="B730" s="148"/>
      <c r="C730" s="148"/>
      <c r="D730" s="148"/>
      <c r="E730" s="148"/>
      <c r="F730" s="148"/>
      <c r="G730" s="148"/>
      <c r="H730" s="148"/>
      <c r="I730" s="148"/>
      <c r="J730" s="148"/>
      <c r="K730" s="148"/>
      <c r="L730" s="148"/>
      <c r="M730" s="148"/>
      <c r="N730" s="148"/>
      <c r="O730" s="148"/>
      <c r="P730" s="148"/>
      <c r="Q730" s="148"/>
      <c r="R730" s="148"/>
      <c r="S730" s="148"/>
      <c r="T730" s="148"/>
      <c r="U730" s="148"/>
      <c r="V730" s="148"/>
      <c r="W730" s="148"/>
      <c r="X730" s="148"/>
      <c r="Y730" s="148"/>
      <c r="Z730" s="148"/>
      <c r="AA730" s="148"/>
      <c r="AB730" s="148"/>
      <c r="AC730" s="148"/>
      <c r="AD730" s="148"/>
      <c r="AE730" s="148"/>
    </row>
    <row r="731" spans="2:31">
      <c r="B731" s="148"/>
      <c r="C731" s="148"/>
      <c r="D731" s="148"/>
      <c r="E731" s="148"/>
      <c r="F731" s="148"/>
      <c r="G731" s="148"/>
      <c r="H731" s="148"/>
      <c r="I731" s="148"/>
      <c r="J731" s="148"/>
      <c r="K731" s="148"/>
      <c r="L731" s="148"/>
      <c r="M731" s="148"/>
      <c r="N731" s="148"/>
      <c r="O731" s="148"/>
      <c r="P731" s="148"/>
      <c r="Q731" s="148"/>
      <c r="R731" s="148"/>
      <c r="S731" s="148"/>
      <c r="T731" s="148"/>
      <c r="U731" s="148"/>
      <c r="V731" s="148"/>
      <c r="W731" s="148"/>
      <c r="X731" s="148"/>
      <c r="Y731" s="148"/>
      <c r="Z731" s="148"/>
      <c r="AA731" s="148"/>
      <c r="AB731" s="148"/>
      <c r="AC731" s="148"/>
      <c r="AD731" s="148"/>
      <c r="AE731" s="148"/>
    </row>
    <row r="732" spans="2:31">
      <c r="B732" s="148"/>
      <c r="C732" s="148"/>
      <c r="D732" s="148"/>
      <c r="E732" s="148"/>
      <c r="F732" s="148"/>
      <c r="G732" s="148"/>
      <c r="H732" s="148"/>
      <c r="I732" s="148"/>
      <c r="J732" s="148"/>
      <c r="K732" s="148"/>
      <c r="L732" s="148"/>
      <c r="M732" s="148"/>
      <c r="N732" s="148"/>
      <c r="O732" s="148"/>
      <c r="P732" s="148"/>
      <c r="Q732" s="148"/>
      <c r="R732" s="148"/>
      <c r="S732" s="148"/>
      <c r="T732" s="148"/>
      <c r="U732" s="148"/>
      <c r="V732" s="148"/>
      <c r="W732" s="148"/>
      <c r="X732" s="148"/>
      <c r="Y732" s="148"/>
      <c r="Z732" s="148"/>
      <c r="AA732" s="148"/>
      <c r="AB732" s="148"/>
      <c r="AC732" s="148"/>
      <c r="AD732" s="148"/>
      <c r="AE732" s="148"/>
    </row>
    <row r="733" spans="2:31">
      <c r="B733" s="148"/>
      <c r="C733" s="148"/>
      <c r="D733" s="148"/>
      <c r="E733" s="148"/>
      <c r="F733" s="148"/>
      <c r="G733" s="148"/>
      <c r="H733" s="148"/>
      <c r="I733" s="148"/>
      <c r="J733" s="148"/>
      <c r="K733" s="148"/>
      <c r="L733" s="148"/>
      <c r="M733" s="148"/>
      <c r="N733" s="148"/>
      <c r="O733" s="148"/>
      <c r="P733" s="148"/>
      <c r="Q733" s="148"/>
      <c r="R733" s="148"/>
      <c r="S733" s="148"/>
      <c r="T733" s="148"/>
      <c r="U733" s="148"/>
      <c r="V733" s="148"/>
      <c r="W733" s="148"/>
      <c r="X733" s="148"/>
      <c r="Y733" s="148"/>
      <c r="Z733" s="148"/>
      <c r="AA733" s="148"/>
      <c r="AB733" s="148"/>
      <c r="AC733" s="148"/>
      <c r="AD733" s="148"/>
      <c r="AE733" s="148"/>
    </row>
    <row r="734" spans="2:31">
      <c r="B734" s="148"/>
      <c r="C734" s="148"/>
      <c r="D734" s="148"/>
      <c r="E734" s="148"/>
      <c r="F734" s="148"/>
      <c r="G734" s="148"/>
      <c r="H734" s="148"/>
      <c r="I734" s="148"/>
      <c r="J734" s="148"/>
      <c r="K734" s="148"/>
      <c r="L734" s="148"/>
      <c r="M734" s="148"/>
      <c r="N734" s="148"/>
      <c r="O734" s="148"/>
      <c r="P734" s="148"/>
      <c r="Q734" s="148"/>
      <c r="R734" s="148"/>
      <c r="S734" s="148"/>
      <c r="T734" s="148"/>
      <c r="U734" s="148"/>
      <c r="V734" s="148"/>
      <c r="W734" s="148"/>
      <c r="X734" s="148"/>
      <c r="Y734" s="148"/>
      <c r="Z734" s="148"/>
      <c r="AA734" s="148"/>
      <c r="AB734" s="148"/>
      <c r="AC734" s="148"/>
      <c r="AD734" s="148"/>
      <c r="AE734" s="148"/>
    </row>
    <row r="735" spans="2:31">
      <c r="B735" s="148"/>
      <c r="C735" s="148"/>
      <c r="D735" s="148"/>
      <c r="E735" s="148"/>
      <c r="F735" s="148"/>
      <c r="G735" s="148"/>
      <c r="H735" s="148"/>
      <c r="I735" s="148"/>
      <c r="J735" s="148"/>
      <c r="K735" s="148"/>
      <c r="L735" s="148"/>
      <c r="M735" s="148"/>
      <c r="N735" s="148"/>
      <c r="O735" s="148"/>
      <c r="P735" s="148"/>
      <c r="Q735" s="148"/>
      <c r="R735" s="148"/>
      <c r="S735" s="148"/>
      <c r="T735" s="148"/>
      <c r="U735" s="148"/>
      <c r="V735" s="148"/>
      <c r="W735" s="148"/>
      <c r="X735" s="148"/>
      <c r="Y735" s="148"/>
      <c r="Z735" s="148"/>
      <c r="AA735" s="148"/>
      <c r="AB735" s="148"/>
      <c r="AC735" s="148"/>
      <c r="AD735" s="148"/>
      <c r="AE735" s="148"/>
    </row>
    <row r="736" spans="2:31">
      <c r="B736" s="148"/>
      <c r="C736" s="148"/>
      <c r="D736" s="148"/>
      <c r="E736" s="148"/>
      <c r="F736" s="148"/>
      <c r="G736" s="148"/>
      <c r="H736" s="148"/>
      <c r="I736" s="148"/>
      <c r="J736" s="148"/>
      <c r="K736" s="148"/>
      <c r="L736" s="148"/>
      <c r="M736" s="148"/>
      <c r="N736" s="148"/>
      <c r="O736" s="148"/>
      <c r="P736" s="148"/>
      <c r="Q736" s="148"/>
      <c r="R736" s="148"/>
      <c r="S736" s="148"/>
      <c r="T736" s="148"/>
      <c r="U736" s="148"/>
      <c r="V736" s="148"/>
      <c r="W736" s="148"/>
      <c r="X736" s="148"/>
      <c r="Y736" s="148"/>
      <c r="Z736" s="148"/>
      <c r="AA736" s="148"/>
      <c r="AB736" s="148"/>
      <c r="AC736" s="148"/>
      <c r="AD736" s="148"/>
      <c r="AE736" s="148"/>
    </row>
    <row r="737" spans="2:31">
      <c r="B737" s="148"/>
      <c r="C737" s="148"/>
      <c r="D737" s="148"/>
      <c r="E737" s="148"/>
      <c r="F737" s="148"/>
      <c r="G737" s="148"/>
      <c r="H737" s="148"/>
      <c r="I737" s="148"/>
      <c r="J737" s="148"/>
      <c r="K737" s="148"/>
      <c r="L737" s="148"/>
      <c r="M737" s="148"/>
      <c r="N737" s="148"/>
      <c r="O737" s="148"/>
      <c r="P737" s="148"/>
      <c r="Q737" s="148"/>
      <c r="R737" s="148"/>
      <c r="S737" s="148"/>
      <c r="T737" s="148"/>
      <c r="U737" s="148"/>
      <c r="V737" s="148"/>
      <c r="W737" s="148"/>
      <c r="X737" s="148"/>
      <c r="Y737" s="148"/>
      <c r="Z737" s="148"/>
      <c r="AA737" s="148"/>
      <c r="AB737" s="148"/>
      <c r="AC737" s="148"/>
      <c r="AD737" s="148"/>
      <c r="AE737" s="148"/>
    </row>
    <row r="738" spans="2:31">
      <c r="B738" s="148"/>
      <c r="C738" s="148"/>
      <c r="D738" s="148"/>
      <c r="E738" s="148"/>
      <c r="F738" s="148"/>
      <c r="G738" s="148"/>
      <c r="H738" s="148"/>
      <c r="I738" s="148"/>
      <c r="J738" s="148"/>
      <c r="K738" s="148"/>
      <c r="L738" s="148"/>
      <c r="M738" s="148"/>
      <c r="N738" s="148"/>
      <c r="O738" s="148"/>
      <c r="P738" s="148"/>
      <c r="Q738" s="148"/>
      <c r="R738" s="148"/>
      <c r="S738" s="148"/>
      <c r="T738" s="148"/>
      <c r="U738" s="148"/>
      <c r="V738" s="148"/>
      <c r="W738" s="148"/>
      <c r="X738" s="148"/>
      <c r="Y738" s="148"/>
      <c r="Z738" s="148"/>
      <c r="AA738" s="148"/>
      <c r="AB738" s="148"/>
      <c r="AC738" s="148"/>
      <c r="AD738" s="148"/>
      <c r="AE738" s="148"/>
    </row>
    <row r="739" spans="2:31">
      <c r="B739" s="148"/>
      <c r="C739" s="148"/>
      <c r="D739" s="148"/>
      <c r="E739" s="148"/>
      <c r="F739" s="148"/>
      <c r="G739" s="148"/>
      <c r="H739" s="148"/>
      <c r="I739" s="148"/>
      <c r="J739" s="148"/>
      <c r="K739" s="148"/>
      <c r="L739" s="148"/>
      <c r="M739" s="148"/>
      <c r="N739" s="148"/>
      <c r="O739" s="148"/>
      <c r="P739" s="148"/>
      <c r="Q739" s="148"/>
      <c r="R739" s="148"/>
      <c r="S739" s="148"/>
      <c r="T739" s="148"/>
      <c r="U739" s="148"/>
      <c r="V739" s="148"/>
      <c r="W739" s="148"/>
      <c r="X739" s="148"/>
      <c r="Y739" s="148"/>
      <c r="Z739" s="148"/>
      <c r="AA739" s="148"/>
      <c r="AB739" s="148"/>
      <c r="AC739" s="148"/>
      <c r="AD739" s="148"/>
      <c r="AE739" s="148"/>
    </row>
    <row r="740" spans="2:31">
      <c r="B740" s="148"/>
      <c r="C740" s="148"/>
      <c r="D740" s="148"/>
      <c r="E740" s="148"/>
      <c r="F740" s="148"/>
      <c r="G740" s="148"/>
      <c r="H740" s="148"/>
      <c r="I740" s="148"/>
      <c r="J740" s="148"/>
      <c r="K740" s="148"/>
      <c r="L740" s="148"/>
      <c r="M740" s="148"/>
      <c r="N740" s="148"/>
      <c r="O740" s="148"/>
      <c r="P740" s="148"/>
      <c r="Q740" s="148"/>
      <c r="R740" s="148"/>
      <c r="S740" s="148"/>
      <c r="T740" s="148"/>
      <c r="U740" s="148"/>
      <c r="V740" s="148"/>
      <c r="W740" s="148"/>
      <c r="X740" s="148"/>
      <c r="Y740" s="148"/>
      <c r="Z740" s="148"/>
      <c r="AA740" s="148"/>
      <c r="AB740" s="148"/>
      <c r="AC740" s="148"/>
      <c r="AD740" s="148"/>
      <c r="AE740" s="148"/>
    </row>
    <row r="741" spans="2:31">
      <c r="B741" s="148"/>
      <c r="C741" s="148"/>
      <c r="D741" s="148"/>
      <c r="E741" s="148"/>
      <c r="F741" s="148"/>
      <c r="G741" s="148"/>
      <c r="H741" s="148"/>
      <c r="I741" s="148"/>
      <c r="J741" s="148"/>
      <c r="K741" s="148"/>
      <c r="L741" s="148"/>
      <c r="M741" s="148"/>
      <c r="N741" s="148"/>
      <c r="O741" s="148"/>
      <c r="P741" s="148"/>
      <c r="Q741" s="148"/>
      <c r="R741" s="148"/>
      <c r="S741" s="148"/>
      <c r="T741" s="148"/>
      <c r="U741" s="148"/>
      <c r="V741" s="148"/>
      <c r="W741" s="148"/>
      <c r="X741" s="148"/>
      <c r="Y741" s="148"/>
      <c r="Z741" s="148"/>
      <c r="AA741" s="148"/>
      <c r="AB741" s="148"/>
      <c r="AC741" s="148"/>
      <c r="AD741" s="148"/>
      <c r="AE741" s="148"/>
    </row>
    <row r="742" spans="2:31">
      <c r="B742" s="148"/>
      <c r="C742" s="148"/>
      <c r="D742" s="148"/>
      <c r="E742" s="148"/>
      <c r="F742" s="148"/>
      <c r="G742" s="148"/>
      <c r="H742" s="148"/>
      <c r="I742" s="148"/>
      <c r="J742" s="148"/>
      <c r="K742" s="148"/>
      <c r="L742" s="148"/>
      <c r="M742" s="148"/>
      <c r="N742" s="148"/>
      <c r="O742" s="148"/>
      <c r="P742" s="148"/>
      <c r="Q742" s="148"/>
      <c r="R742" s="148"/>
      <c r="S742" s="148"/>
      <c r="T742" s="148"/>
      <c r="U742" s="148"/>
      <c r="V742" s="148"/>
      <c r="W742" s="148"/>
      <c r="X742" s="148"/>
      <c r="Y742" s="148"/>
      <c r="Z742" s="148"/>
      <c r="AA742" s="148"/>
      <c r="AB742" s="148"/>
      <c r="AC742" s="148"/>
      <c r="AD742" s="148"/>
      <c r="AE742" s="148"/>
    </row>
    <row r="743" spans="2:31">
      <c r="B743" s="148"/>
      <c r="C743" s="148"/>
      <c r="D743" s="148"/>
      <c r="E743" s="148"/>
      <c r="F743" s="148"/>
      <c r="G743" s="148"/>
      <c r="H743" s="148"/>
      <c r="I743" s="148"/>
      <c r="J743" s="148"/>
      <c r="K743" s="148"/>
      <c r="L743" s="148"/>
      <c r="M743" s="148"/>
      <c r="N743" s="148"/>
      <c r="O743" s="148"/>
      <c r="P743" s="148"/>
      <c r="Q743" s="148"/>
      <c r="R743" s="148"/>
      <c r="S743" s="148"/>
      <c r="T743" s="148"/>
      <c r="U743" s="148"/>
      <c r="V743" s="148"/>
      <c r="W743" s="148"/>
      <c r="X743" s="148"/>
      <c r="Y743" s="148"/>
      <c r="Z743" s="148"/>
      <c r="AA743" s="148"/>
      <c r="AB743" s="148"/>
      <c r="AC743" s="148"/>
      <c r="AD743" s="148"/>
      <c r="AE743" s="148"/>
    </row>
    <row r="744" spans="2:31">
      <c r="B744" s="148"/>
      <c r="C744" s="148"/>
      <c r="D744" s="148"/>
      <c r="E744" s="148"/>
      <c r="F744" s="148"/>
      <c r="G744" s="148"/>
      <c r="H744" s="148"/>
      <c r="I744" s="148"/>
      <c r="J744" s="148"/>
      <c r="K744" s="148"/>
      <c r="L744" s="148"/>
      <c r="M744" s="148"/>
      <c r="N744" s="148"/>
      <c r="O744" s="148"/>
      <c r="P744" s="148"/>
      <c r="Q744" s="148"/>
      <c r="R744" s="148"/>
      <c r="S744" s="148"/>
      <c r="T744" s="148"/>
      <c r="U744" s="148"/>
      <c r="V744" s="148"/>
      <c r="W744" s="148"/>
      <c r="X744" s="148"/>
      <c r="Y744" s="148"/>
      <c r="Z744" s="148"/>
      <c r="AA744" s="148"/>
      <c r="AB744" s="148"/>
      <c r="AC744" s="148"/>
      <c r="AD744" s="148"/>
      <c r="AE744" s="148"/>
    </row>
    <row r="745" spans="2:31">
      <c r="B745" s="148"/>
      <c r="C745" s="148"/>
      <c r="D745" s="148"/>
      <c r="E745" s="148"/>
      <c r="F745" s="148"/>
      <c r="G745" s="148"/>
      <c r="H745" s="148"/>
      <c r="I745" s="148"/>
      <c r="J745" s="148"/>
      <c r="K745" s="148"/>
      <c r="L745" s="148"/>
      <c r="M745" s="148"/>
      <c r="N745" s="148"/>
      <c r="O745" s="148"/>
      <c r="P745" s="148"/>
      <c r="Q745" s="148"/>
      <c r="R745" s="148"/>
      <c r="S745" s="148"/>
      <c r="T745" s="148"/>
      <c r="U745" s="148"/>
      <c r="V745" s="148"/>
      <c r="W745" s="148"/>
      <c r="X745" s="148"/>
      <c r="Y745" s="148"/>
      <c r="Z745" s="148"/>
      <c r="AA745" s="148"/>
      <c r="AB745" s="148"/>
      <c r="AC745" s="148"/>
      <c r="AD745" s="148"/>
      <c r="AE745" s="148"/>
    </row>
    <row r="746" spans="2:31">
      <c r="B746" s="148"/>
      <c r="C746" s="148"/>
      <c r="D746" s="148"/>
      <c r="E746" s="148"/>
      <c r="F746" s="148"/>
      <c r="G746" s="148"/>
      <c r="H746" s="148"/>
      <c r="I746" s="148"/>
      <c r="J746" s="148"/>
      <c r="K746" s="148"/>
      <c r="L746" s="148"/>
      <c r="M746" s="148"/>
      <c r="N746" s="148"/>
      <c r="O746" s="148"/>
      <c r="P746" s="148"/>
      <c r="Q746" s="148"/>
      <c r="R746" s="148"/>
      <c r="S746" s="148"/>
      <c r="T746" s="148"/>
      <c r="U746" s="148"/>
      <c r="V746" s="148"/>
      <c r="W746" s="148"/>
      <c r="X746" s="148"/>
      <c r="Y746" s="148"/>
      <c r="Z746" s="148"/>
      <c r="AA746" s="148"/>
      <c r="AB746" s="148"/>
      <c r="AC746" s="148"/>
      <c r="AD746" s="148"/>
      <c r="AE746" s="148"/>
    </row>
    <row r="747" spans="2:31">
      <c r="B747" s="148"/>
      <c r="C747" s="148"/>
      <c r="D747" s="148"/>
      <c r="E747" s="148"/>
      <c r="F747" s="148"/>
      <c r="G747" s="148"/>
      <c r="H747" s="148"/>
      <c r="I747" s="148"/>
      <c r="J747" s="148"/>
      <c r="K747" s="148"/>
      <c r="L747" s="148"/>
      <c r="M747" s="148"/>
      <c r="N747" s="148"/>
      <c r="O747" s="148"/>
      <c r="P747" s="148"/>
      <c r="Q747" s="148"/>
      <c r="R747" s="148"/>
      <c r="S747" s="148"/>
      <c r="T747" s="148"/>
      <c r="U747" s="148"/>
      <c r="V747" s="148"/>
      <c r="W747" s="148"/>
      <c r="X747" s="148"/>
      <c r="Y747" s="148"/>
      <c r="Z747" s="148"/>
      <c r="AA747" s="148"/>
      <c r="AB747" s="148"/>
      <c r="AC747" s="148"/>
      <c r="AD747" s="148"/>
      <c r="AE747" s="148"/>
    </row>
    <row r="748" spans="2:31">
      <c r="B748" s="148"/>
      <c r="C748" s="148"/>
      <c r="D748" s="148"/>
      <c r="E748" s="148"/>
      <c r="F748" s="148"/>
      <c r="G748" s="148"/>
      <c r="H748" s="148"/>
      <c r="I748" s="148"/>
      <c r="J748" s="148"/>
      <c r="K748" s="148"/>
      <c r="L748" s="148"/>
      <c r="M748" s="148"/>
      <c r="N748" s="148"/>
      <c r="O748" s="148"/>
      <c r="P748" s="148"/>
      <c r="Q748" s="148"/>
      <c r="R748" s="148"/>
      <c r="S748" s="148"/>
      <c r="T748" s="148"/>
      <c r="U748" s="148"/>
      <c r="V748" s="148"/>
      <c r="W748" s="148"/>
      <c r="X748" s="148"/>
      <c r="Y748" s="148"/>
      <c r="Z748" s="148"/>
      <c r="AA748" s="148"/>
      <c r="AB748" s="148"/>
      <c r="AC748" s="148"/>
      <c r="AD748" s="148"/>
      <c r="AE748" s="148"/>
    </row>
    <row r="749" spans="2:31">
      <c r="B749" s="148"/>
      <c r="C749" s="148"/>
      <c r="D749" s="148"/>
      <c r="E749" s="148"/>
      <c r="F749" s="148"/>
      <c r="G749" s="148"/>
      <c r="H749" s="148"/>
      <c r="I749" s="148"/>
      <c r="J749" s="148"/>
      <c r="K749" s="148"/>
      <c r="L749" s="148"/>
      <c r="M749" s="148"/>
      <c r="N749" s="148"/>
      <c r="O749" s="148"/>
      <c r="P749" s="148"/>
      <c r="Q749" s="148"/>
      <c r="R749" s="148"/>
      <c r="S749" s="148"/>
      <c r="T749" s="148"/>
      <c r="U749" s="148"/>
      <c r="V749" s="148"/>
      <c r="W749" s="148"/>
      <c r="X749" s="148"/>
      <c r="Y749" s="148"/>
      <c r="Z749" s="148"/>
      <c r="AA749" s="148"/>
      <c r="AB749" s="148"/>
      <c r="AC749" s="148"/>
      <c r="AD749" s="148"/>
      <c r="AE749" s="148"/>
    </row>
    <row r="750" spans="2:31">
      <c r="B750" s="148"/>
      <c r="C750" s="148"/>
      <c r="D750" s="148"/>
      <c r="E750" s="148"/>
      <c r="F750" s="148"/>
      <c r="G750" s="148"/>
      <c r="H750" s="148"/>
      <c r="I750" s="148"/>
      <c r="J750" s="148"/>
      <c r="K750" s="148"/>
      <c r="L750" s="148"/>
      <c r="M750" s="148"/>
      <c r="N750" s="148"/>
      <c r="O750" s="148"/>
      <c r="P750" s="148"/>
      <c r="Q750" s="148"/>
      <c r="R750" s="148"/>
      <c r="S750" s="148"/>
      <c r="T750" s="148"/>
      <c r="U750" s="148"/>
      <c r="V750" s="148"/>
      <c r="W750" s="148"/>
      <c r="X750" s="148"/>
      <c r="Y750" s="148"/>
      <c r="Z750" s="148"/>
      <c r="AA750" s="148"/>
      <c r="AB750" s="148"/>
      <c r="AC750" s="148"/>
      <c r="AD750" s="148"/>
      <c r="AE750" s="148"/>
    </row>
    <row r="751" spans="2:31">
      <c r="B751" s="148"/>
      <c r="C751" s="148"/>
      <c r="D751" s="148"/>
      <c r="E751" s="148"/>
      <c r="F751" s="148"/>
      <c r="G751" s="148"/>
      <c r="H751" s="148"/>
      <c r="I751" s="148"/>
      <c r="J751" s="148"/>
      <c r="K751" s="148"/>
      <c r="L751" s="148"/>
      <c r="M751" s="148"/>
      <c r="N751" s="148"/>
      <c r="O751" s="148"/>
      <c r="P751" s="148"/>
      <c r="Q751" s="148"/>
      <c r="R751" s="148"/>
      <c r="S751" s="148"/>
      <c r="T751" s="148"/>
      <c r="U751" s="148"/>
      <c r="V751" s="148"/>
      <c r="W751" s="148"/>
      <c r="X751" s="148"/>
      <c r="Y751" s="148"/>
      <c r="Z751" s="148"/>
      <c r="AA751" s="148"/>
      <c r="AB751" s="148"/>
      <c r="AC751" s="148"/>
      <c r="AD751" s="148"/>
      <c r="AE751" s="148"/>
    </row>
    <row r="752" spans="2:31">
      <c r="B752" s="148"/>
      <c r="C752" s="148"/>
      <c r="D752" s="148"/>
      <c r="E752" s="148"/>
      <c r="F752" s="148"/>
      <c r="G752" s="148"/>
      <c r="H752" s="148"/>
      <c r="I752" s="148"/>
      <c r="J752" s="148"/>
      <c r="K752" s="148"/>
      <c r="L752" s="148"/>
      <c r="M752" s="148"/>
      <c r="N752" s="148"/>
      <c r="O752" s="148"/>
      <c r="P752" s="148"/>
      <c r="Q752" s="148"/>
      <c r="R752" s="148"/>
      <c r="S752" s="148"/>
      <c r="T752" s="148"/>
      <c r="U752" s="148"/>
      <c r="V752" s="148"/>
      <c r="W752" s="148"/>
      <c r="X752" s="148"/>
      <c r="Y752" s="148"/>
      <c r="Z752" s="148"/>
      <c r="AA752" s="148"/>
      <c r="AB752" s="148"/>
      <c r="AC752" s="148"/>
      <c r="AD752" s="148"/>
      <c r="AE752" s="148"/>
    </row>
    <row r="753" spans="2:31">
      <c r="B753" s="148"/>
      <c r="C753" s="148"/>
      <c r="D753" s="148"/>
      <c r="E753" s="148"/>
      <c r="F753" s="148"/>
      <c r="G753" s="148"/>
      <c r="H753" s="148"/>
      <c r="I753" s="148"/>
      <c r="J753" s="148"/>
      <c r="K753" s="148"/>
      <c r="L753" s="148"/>
      <c r="M753" s="148"/>
      <c r="N753" s="148"/>
      <c r="O753" s="148"/>
      <c r="P753" s="148"/>
      <c r="Q753" s="148"/>
      <c r="R753" s="148"/>
      <c r="S753" s="148"/>
      <c r="T753" s="148"/>
      <c r="U753" s="148"/>
      <c r="V753" s="148"/>
      <c r="W753" s="148"/>
      <c r="X753" s="148"/>
      <c r="Y753" s="148"/>
      <c r="Z753" s="148"/>
      <c r="AA753" s="148"/>
      <c r="AB753" s="148"/>
      <c r="AC753" s="148"/>
      <c r="AD753" s="148"/>
      <c r="AE753" s="148"/>
    </row>
    <row r="754" spans="2:31">
      <c r="B754" s="148"/>
      <c r="C754" s="148"/>
      <c r="D754" s="148"/>
      <c r="E754" s="148"/>
      <c r="F754" s="148"/>
      <c r="G754" s="148"/>
      <c r="H754" s="148"/>
      <c r="I754" s="148"/>
      <c r="J754" s="148"/>
      <c r="K754" s="148"/>
      <c r="L754" s="148"/>
      <c r="M754" s="148"/>
      <c r="N754" s="148"/>
      <c r="O754" s="148"/>
      <c r="P754" s="148"/>
      <c r="Q754" s="148"/>
      <c r="R754" s="148"/>
      <c r="S754" s="148"/>
      <c r="T754" s="148"/>
      <c r="U754" s="148"/>
      <c r="V754" s="148"/>
      <c r="W754" s="148"/>
      <c r="X754" s="148"/>
      <c r="Y754" s="148"/>
      <c r="Z754" s="148"/>
      <c r="AA754" s="148"/>
      <c r="AB754" s="148"/>
      <c r="AC754" s="148"/>
      <c r="AD754" s="148"/>
      <c r="AE754" s="148"/>
    </row>
    <row r="755" spans="2:31">
      <c r="B755" s="148"/>
      <c r="C755" s="148"/>
      <c r="D755" s="148"/>
      <c r="E755" s="148"/>
      <c r="F755" s="148"/>
      <c r="G755" s="148"/>
      <c r="H755" s="148"/>
      <c r="I755" s="148"/>
      <c r="J755" s="148"/>
      <c r="K755" s="148"/>
      <c r="L755" s="148"/>
      <c r="M755" s="148"/>
      <c r="N755" s="148"/>
      <c r="O755" s="148"/>
      <c r="P755" s="148"/>
      <c r="Q755" s="148"/>
      <c r="R755" s="148"/>
      <c r="S755" s="148"/>
      <c r="T755" s="148"/>
      <c r="U755" s="148"/>
      <c r="V755" s="148"/>
      <c r="W755" s="148"/>
      <c r="X755" s="148"/>
      <c r="Y755" s="148"/>
      <c r="Z755" s="148"/>
      <c r="AA755" s="148"/>
      <c r="AB755" s="148"/>
      <c r="AC755" s="148"/>
      <c r="AD755" s="148"/>
      <c r="AE755" s="148"/>
    </row>
    <row r="756" spans="2:31">
      <c r="B756" s="148"/>
      <c r="C756" s="148"/>
      <c r="D756" s="148"/>
      <c r="E756" s="148"/>
      <c r="F756" s="148"/>
      <c r="G756" s="148"/>
      <c r="H756" s="148"/>
      <c r="I756" s="148"/>
      <c r="J756" s="148"/>
      <c r="K756" s="148"/>
      <c r="L756" s="148"/>
      <c r="M756" s="148"/>
      <c r="N756" s="148"/>
      <c r="O756" s="148"/>
      <c r="P756" s="148"/>
      <c r="Q756" s="148"/>
      <c r="R756" s="148"/>
      <c r="S756" s="148"/>
      <c r="T756" s="148"/>
      <c r="U756" s="148"/>
      <c r="V756" s="148"/>
      <c r="W756" s="148"/>
      <c r="X756" s="148"/>
      <c r="Y756" s="148"/>
      <c r="Z756" s="148"/>
      <c r="AA756" s="148"/>
      <c r="AB756" s="148"/>
      <c r="AC756" s="148"/>
      <c r="AD756" s="148"/>
      <c r="AE756" s="148"/>
    </row>
    <row r="757" spans="2:31">
      <c r="B757" s="148"/>
      <c r="C757" s="148"/>
      <c r="D757" s="148"/>
      <c r="E757" s="148"/>
      <c r="F757" s="148"/>
      <c r="G757" s="148"/>
      <c r="H757" s="148"/>
      <c r="I757" s="148"/>
      <c r="J757" s="148"/>
      <c r="K757" s="148"/>
      <c r="L757" s="148"/>
      <c r="M757" s="148"/>
      <c r="N757" s="148"/>
      <c r="O757" s="148"/>
      <c r="P757" s="148"/>
      <c r="Q757" s="148"/>
      <c r="R757" s="148"/>
      <c r="S757" s="148"/>
      <c r="T757" s="148"/>
      <c r="U757" s="148"/>
      <c r="V757" s="148"/>
      <c r="W757" s="148"/>
      <c r="X757" s="148"/>
      <c r="Y757" s="148"/>
      <c r="Z757" s="148"/>
      <c r="AA757" s="148"/>
      <c r="AB757" s="148"/>
      <c r="AC757" s="148"/>
      <c r="AD757" s="148"/>
      <c r="AE757" s="148"/>
    </row>
    <row r="758" spans="2:31">
      <c r="B758" s="148"/>
      <c r="C758" s="148"/>
      <c r="D758" s="148"/>
      <c r="E758" s="148"/>
      <c r="F758" s="148"/>
      <c r="G758" s="148"/>
      <c r="H758" s="148"/>
      <c r="I758" s="148"/>
      <c r="J758" s="148"/>
      <c r="K758" s="148"/>
      <c r="L758" s="148"/>
      <c r="M758" s="148"/>
      <c r="N758" s="148"/>
      <c r="O758" s="148"/>
      <c r="P758" s="148"/>
      <c r="Q758" s="148"/>
      <c r="R758" s="148"/>
      <c r="S758" s="148"/>
      <c r="T758" s="148"/>
      <c r="U758" s="148"/>
      <c r="V758" s="148"/>
      <c r="W758" s="148"/>
      <c r="X758" s="148"/>
      <c r="Y758" s="148"/>
      <c r="Z758" s="148"/>
      <c r="AA758" s="148"/>
      <c r="AB758" s="148"/>
      <c r="AC758" s="148"/>
      <c r="AD758" s="148"/>
      <c r="AE758" s="148"/>
    </row>
    <row r="759" spans="2:31">
      <c r="B759" s="148"/>
      <c r="C759" s="148"/>
      <c r="D759" s="148"/>
      <c r="E759" s="148"/>
      <c r="F759" s="148"/>
      <c r="G759" s="148"/>
      <c r="H759" s="148"/>
      <c r="I759" s="148"/>
      <c r="J759" s="148"/>
      <c r="K759" s="148"/>
      <c r="L759" s="148"/>
      <c r="M759" s="148"/>
      <c r="N759" s="148"/>
      <c r="O759" s="148"/>
      <c r="P759" s="148"/>
      <c r="Q759" s="148"/>
      <c r="R759" s="148"/>
      <c r="S759" s="148"/>
      <c r="T759" s="148"/>
      <c r="U759" s="148"/>
      <c r="V759" s="148"/>
      <c r="W759" s="148"/>
      <c r="X759" s="148"/>
      <c r="Y759" s="148"/>
      <c r="Z759" s="148"/>
      <c r="AA759" s="148"/>
      <c r="AB759" s="148"/>
      <c r="AC759" s="148"/>
      <c r="AD759" s="148"/>
      <c r="AE759" s="148"/>
    </row>
    <row r="760" spans="2:31">
      <c r="B760" s="148"/>
      <c r="C760" s="148"/>
      <c r="D760" s="148"/>
      <c r="E760" s="148"/>
      <c r="F760" s="148"/>
      <c r="G760" s="148"/>
      <c r="H760" s="148"/>
      <c r="I760" s="148"/>
      <c r="J760" s="148"/>
      <c r="K760" s="148"/>
      <c r="L760" s="148"/>
      <c r="M760" s="148"/>
      <c r="N760" s="148"/>
      <c r="O760" s="148"/>
      <c r="P760" s="148"/>
      <c r="Q760" s="148"/>
      <c r="R760" s="148"/>
      <c r="S760" s="148"/>
      <c r="T760" s="148"/>
      <c r="U760" s="148"/>
      <c r="V760" s="148"/>
      <c r="W760" s="148"/>
      <c r="X760" s="148"/>
      <c r="Y760" s="148"/>
      <c r="Z760" s="148"/>
      <c r="AA760" s="148"/>
      <c r="AB760" s="148"/>
      <c r="AC760" s="148"/>
      <c r="AD760" s="148"/>
      <c r="AE760" s="148"/>
    </row>
    <row r="761" spans="2:31">
      <c r="B761" s="148"/>
      <c r="C761" s="148"/>
      <c r="D761" s="148"/>
      <c r="E761" s="148"/>
      <c r="F761" s="148"/>
      <c r="G761" s="148"/>
      <c r="H761" s="148"/>
      <c r="I761" s="148"/>
      <c r="J761" s="148"/>
      <c r="K761" s="148"/>
      <c r="L761" s="148"/>
      <c r="M761" s="148"/>
      <c r="N761" s="148"/>
      <c r="O761" s="148"/>
      <c r="P761" s="148"/>
      <c r="Q761" s="148"/>
      <c r="R761" s="148"/>
      <c r="S761" s="148"/>
      <c r="T761" s="148"/>
      <c r="U761" s="148"/>
      <c r="V761" s="148"/>
      <c r="W761" s="148"/>
      <c r="X761" s="148"/>
      <c r="Y761" s="148"/>
      <c r="Z761" s="148"/>
      <c r="AA761" s="148"/>
      <c r="AB761" s="148"/>
      <c r="AC761" s="148"/>
      <c r="AD761" s="148"/>
      <c r="AE761" s="148"/>
    </row>
    <row r="762" spans="2:31">
      <c r="B762" s="148"/>
      <c r="C762" s="148"/>
      <c r="D762" s="148"/>
      <c r="E762" s="148"/>
      <c r="F762" s="148"/>
      <c r="G762" s="148"/>
      <c r="H762" s="148"/>
      <c r="I762" s="148"/>
      <c r="J762" s="148"/>
      <c r="K762" s="148"/>
      <c r="L762" s="148"/>
      <c r="M762" s="148"/>
      <c r="N762" s="148"/>
      <c r="O762" s="148"/>
      <c r="P762" s="148"/>
      <c r="Q762" s="148"/>
      <c r="R762" s="148"/>
      <c r="S762" s="148"/>
      <c r="T762" s="148"/>
      <c r="U762" s="148"/>
      <c r="V762" s="148"/>
      <c r="W762" s="148"/>
      <c r="X762" s="148"/>
      <c r="Y762" s="148"/>
      <c r="Z762" s="148"/>
      <c r="AA762" s="148"/>
      <c r="AB762" s="148"/>
      <c r="AC762" s="148"/>
      <c r="AD762" s="148"/>
      <c r="AE762" s="148"/>
    </row>
    <row r="763" spans="2:31">
      <c r="B763" s="148"/>
      <c r="C763" s="148"/>
      <c r="D763" s="148"/>
      <c r="E763" s="148"/>
      <c r="F763" s="148"/>
      <c r="G763" s="148"/>
      <c r="H763" s="148"/>
      <c r="I763" s="148"/>
      <c r="J763" s="148"/>
      <c r="K763" s="148"/>
      <c r="L763" s="148"/>
      <c r="M763" s="148"/>
      <c r="N763" s="148"/>
      <c r="O763" s="148"/>
      <c r="P763" s="148"/>
      <c r="Q763" s="148"/>
      <c r="R763" s="148"/>
      <c r="S763" s="148"/>
      <c r="T763" s="148"/>
      <c r="U763" s="148"/>
      <c r="V763" s="148"/>
      <c r="W763" s="148"/>
      <c r="X763" s="148"/>
      <c r="Y763" s="148"/>
      <c r="Z763" s="148"/>
      <c r="AA763" s="148"/>
      <c r="AB763" s="148"/>
      <c r="AC763" s="148"/>
      <c r="AD763" s="148"/>
      <c r="AE763" s="148"/>
    </row>
    <row r="764" spans="2:31">
      <c r="B764" s="148"/>
      <c r="C764" s="148"/>
      <c r="D764" s="148"/>
      <c r="E764" s="148"/>
      <c r="F764" s="148"/>
      <c r="G764" s="148"/>
      <c r="H764" s="148"/>
      <c r="I764" s="148"/>
      <c r="J764" s="148"/>
      <c r="K764" s="148"/>
      <c r="L764" s="148"/>
      <c r="M764" s="148"/>
      <c r="N764" s="148"/>
      <c r="O764" s="148"/>
      <c r="P764" s="148"/>
      <c r="Q764" s="148"/>
      <c r="R764" s="148"/>
      <c r="S764" s="148"/>
      <c r="T764" s="148"/>
      <c r="U764" s="148"/>
      <c r="V764" s="148"/>
      <c r="W764" s="148"/>
      <c r="X764" s="148"/>
      <c r="Y764" s="148"/>
      <c r="Z764" s="148"/>
      <c r="AA764" s="148"/>
      <c r="AB764" s="148"/>
      <c r="AC764" s="148"/>
      <c r="AD764" s="148"/>
      <c r="AE764" s="148"/>
    </row>
    <row r="765" spans="2:31">
      <c r="B765" s="148"/>
      <c r="C765" s="148"/>
      <c r="D765" s="148"/>
      <c r="E765" s="148"/>
      <c r="F765" s="148"/>
      <c r="G765" s="148"/>
      <c r="H765" s="148"/>
      <c r="I765" s="148"/>
      <c r="J765" s="148"/>
      <c r="K765" s="148"/>
      <c r="L765" s="148"/>
      <c r="M765" s="148"/>
      <c r="N765" s="148"/>
      <c r="O765" s="148"/>
      <c r="P765" s="148"/>
      <c r="Q765" s="148"/>
      <c r="R765" s="148"/>
      <c r="S765" s="148"/>
      <c r="T765" s="148"/>
      <c r="U765" s="148"/>
      <c r="V765" s="148"/>
      <c r="W765" s="148"/>
      <c r="X765" s="148"/>
      <c r="Y765" s="148"/>
      <c r="Z765" s="148"/>
      <c r="AA765" s="148"/>
      <c r="AB765" s="148"/>
      <c r="AC765" s="148"/>
      <c r="AD765" s="148"/>
      <c r="AE765" s="148"/>
    </row>
    <row r="766" spans="2:31">
      <c r="B766" s="148"/>
      <c r="C766" s="148"/>
      <c r="D766" s="148"/>
      <c r="E766" s="148"/>
      <c r="F766" s="148"/>
      <c r="G766" s="148"/>
      <c r="H766" s="148"/>
      <c r="I766" s="148"/>
      <c r="J766" s="148"/>
      <c r="K766" s="148"/>
      <c r="L766" s="148"/>
      <c r="M766" s="148"/>
      <c r="N766" s="148"/>
      <c r="O766" s="148"/>
      <c r="P766" s="148"/>
      <c r="Q766" s="148"/>
      <c r="R766" s="148"/>
      <c r="S766" s="148"/>
      <c r="T766" s="148"/>
      <c r="U766" s="148"/>
      <c r="V766" s="148"/>
      <c r="W766" s="148"/>
      <c r="X766" s="148"/>
      <c r="Y766" s="148"/>
      <c r="Z766" s="148"/>
      <c r="AA766" s="148"/>
      <c r="AB766" s="148"/>
      <c r="AC766" s="148"/>
      <c r="AD766" s="148"/>
      <c r="AE766" s="148"/>
    </row>
    <row r="767" spans="2:31">
      <c r="B767" s="148"/>
      <c r="C767" s="148"/>
      <c r="D767" s="148"/>
      <c r="E767" s="148"/>
      <c r="F767" s="148"/>
      <c r="G767" s="148"/>
      <c r="H767" s="148"/>
      <c r="I767" s="148"/>
      <c r="J767" s="148"/>
      <c r="K767" s="148"/>
      <c r="L767" s="148"/>
      <c r="M767" s="148"/>
      <c r="N767" s="148"/>
      <c r="O767" s="148"/>
      <c r="P767" s="148"/>
      <c r="Q767" s="148"/>
      <c r="R767" s="148"/>
      <c r="S767" s="148"/>
      <c r="T767" s="148"/>
      <c r="U767" s="148"/>
      <c r="V767" s="148"/>
      <c r="W767" s="148"/>
      <c r="X767" s="148"/>
      <c r="Y767" s="148"/>
      <c r="Z767" s="148"/>
      <c r="AA767" s="148"/>
      <c r="AB767" s="148"/>
      <c r="AC767" s="148"/>
      <c r="AD767" s="148"/>
      <c r="AE767" s="148"/>
    </row>
    <row r="768" spans="2:31">
      <c r="B768" s="148"/>
      <c r="C768" s="148"/>
      <c r="D768" s="148"/>
      <c r="E768" s="148"/>
      <c r="F768" s="148"/>
      <c r="G768" s="148"/>
      <c r="H768" s="148"/>
      <c r="I768" s="148"/>
      <c r="J768" s="148"/>
      <c r="K768" s="148"/>
      <c r="L768" s="148"/>
      <c r="M768" s="148"/>
      <c r="N768" s="148"/>
      <c r="O768" s="148"/>
      <c r="P768" s="148"/>
      <c r="Q768" s="148"/>
      <c r="R768" s="148"/>
      <c r="S768" s="148"/>
      <c r="T768" s="148"/>
      <c r="U768" s="148"/>
      <c r="V768" s="148"/>
      <c r="W768" s="148"/>
      <c r="X768" s="148"/>
      <c r="Y768" s="148"/>
      <c r="Z768" s="148"/>
      <c r="AA768" s="148"/>
      <c r="AB768" s="148"/>
      <c r="AC768" s="148"/>
      <c r="AD768" s="148"/>
      <c r="AE768" s="148"/>
    </row>
    <row r="769" spans="2:31">
      <c r="B769" s="148"/>
      <c r="C769" s="148"/>
      <c r="D769" s="148"/>
      <c r="E769" s="148"/>
      <c r="F769" s="148"/>
      <c r="G769" s="148"/>
      <c r="H769" s="148"/>
      <c r="I769" s="148"/>
      <c r="J769" s="148"/>
      <c r="K769" s="148"/>
      <c r="L769" s="148"/>
      <c r="M769" s="148"/>
      <c r="N769" s="148"/>
      <c r="O769" s="148"/>
      <c r="P769" s="148"/>
      <c r="Q769" s="148"/>
      <c r="R769" s="148"/>
      <c r="S769" s="148"/>
      <c r="T769" s="148"/>
      <c r="U769" s="148"/>
      <c r="V769" s="148"/>
      <c r="W769" s="148"/>
      <c r="X769" s="148"/>
      <c r="Y769" s="148"/>
      <c r="Z769" s="148"/>
      <c r="AA769" s="148"/>
      <c r="AB769" s="148"/>
      <c r="AC769" s="148"/>
      <c r="AD769" s="148"/>
      <c r="AE769" s="148"/>
    </row>
    <row r="770" spans="2:31">
      <c r="B770" s="148"/>
      <c r="C770" s="148"/>
      <c r="D770" s="148"/>
      <c r="E770" s="148"/>
      <c r="F770" s="148"/>
      <c r="G770" s="148"/>
      <c r="H770" s="148"/>
      <c r="I770" s="148"/>
      <c r="J770" s="148"/>
      <c r="K770" s="148"/>
      <c r="L770" s="148"/>
      <c r="M770" s="148"/>
      <c r="N770" s="148"/>
      <c r="O770" s="148"/>
      <c r="P770" s="148"/>
      <c r="Q770" s="148"/>
      <c r="R770" s="148"/>
      <c r="S770" s="148"/>
      <c r="T770" s="148"/>
      <c r="U770" s="148"/>
      <c r="V770" s="148"/>
      <c r="W770" s="148"/>
      <c r="X770" s="148"/>
      <c r="Y770" s="148"/>
      <c r="Z770" s="148"/>
      <c r="AA770" s="148"/>
      <c r="AB770" s="148"/>
      <c r="AC770" s="148"/>
      <c r="AD770" s="148"/>
      <c r="AE770" s="148"/>
    </row>
    <row r="771" spans="2:31">
      <c r="B771" s="148"/>
      <c r="C771" s="148"/>
      <c r="D771" s="148"/>
      <c r="E771" s="148"/>
      <c r="F771" s="148"/>
      <c r="G771" s="148"/>
      <c r="H771" s="148"/>
      <c r="I771" s="148"/>
      <c r="J771" s="148"/>
      <c r="K771" s="148"/>
      <c r="L771" s="148"/>
      <c r="M771" s="148"/>
      <c r="N771" s="148"/>
      <c r="O771" s="148"/>
      <c r="P771" s="148"/>
      <c r="Q771" s="148"/>
      <c r="R771" s="148"/>
      <c r="S771" s="148"/>
      <c r="T771" s="148"/>
      <c r="U771" s="148"/>
      <c r="V771" s="148"/>
      <c r="W771" s="148"/>
      <c r="X771" s="148"/>
      <c r="Y771" s="148"/>
      <c r="Z771" s="148"/>
      <c r="AA771" s="148"/>
      <c r="AB771" s="148"/>
      <c r="AC771" s="148"/>
      <c r="AD771" s="148"/>
      <c r="AE771" s="148"/>
    </row>
    <row r="772" spans="2:31">
      <c r="B772" s="148"/>
      <c r="C772" s="148"/>
      <c r="D772" s="148"/>
      <c r="E772" s="148"/>
      <c r="F772" s="148"/>
      <c r="G772" s="148"/>
      <c r="H772" s="148"/>
      <c r="I772" s="148"/>
      <c r="J772" s="148"/>
      <c r="K772" s="148"/>
      <c r="L772" s="148"/>
      <c r="M772" s="148"/>
      <c r="N772" s="148"/>
      <c r="O772" s="148"/>
      <c r="P772" s="148"/>
      <c r="Q772" s="148"/>
      <c r="R772" s="148"/>
      <c r="S772" s="148"/>
      <c r="T772" s="148"/>
      <c r="U772" s="148"/>
      <c r="V772" s="148"/>
      <c r="W772" s="148"/>
      <c r="X772" s="148"/>
      <c r="Y772" s="148"/>
      <c r="Z772" s="148"/>
      <c r="AA772" s="148"/>
      <c r="AB772" s="148"/>
      <c r="AC772" s="148"/>
      <c r="AD772" s="148"/>
      <c r="AE772" s="148"/>
    </row>
    <row r="773" spans="2:31">
      <c r="B773" s="148"/>
      <c r="C773" s="148"/>
      <c r="D773" s="148"/>
      <c r="E773" s="148"/>
      <c r="F773" s="148"/>
      <c r="G773" s="148"/>
      <c r="H773" s="148"/>
      <c r="I773" s="148"/>
      <c r="J773" s="148"/>
      <c r="K773" s="148"/>
      <c r="L773" s="148"/>
      <c r="M773" s="148"/>
      <c r="N773" s="148"/>
      <c r="O773" s="148"/>
      <c r="P773" s="148"/>
      <c r="Q773" s="148"/>
      <c r="R773" s="148"/>
      <c r="S773" s="148"/>
      <c r="T773" s="148"/>
      <c r="U773" s="148"/>
      <c r="V773" s="148"/>
      <c r="W773" s="148"/>
      <c r="X773" s="148"/>
      <c r="Y773" s="148"/>
      <c r="Z773" s="148"/>
      <c r="AA773" s="148"/>
      <c r="AB773" s="148"/>
      <c r="AC773" s="148"/>
      <c r="AD773" s="148"/>
      <c r="AE773" s="148"/>
    </row>
    <row r="774" spans="2:31">
      <c r="B774" s="148"/>
      <c r="C774" s="148"/>
      <c r="D774" s="148"/>
      <c r="E774" s="148"/>
      <c r="F774" s="148"/>
      <c r="G774" s="148"/>
      <c r="H774" s="148"/>
      <c r="I774" s="148"/>
      <c r="J774" s="148"/>
      <c r="K774" s="148"/>
      <c r="L774" s="148"/>
      <c r="M774" s="148"/>
      <c r="N774" s="148"/>
      <c r="O774" s="148"/>
      <c r="P774" s="148"/>
      <c r="Q774" s="148"/>
      <c r="R774" s="148"/>
      <c r="S774" s="148"/>
      <c r="T774" s="148"/>
      <c r="U774" s="148"/>
      <c r="V774" s="148"/>
      <c r="W774" s="148"/>
      <c r="X774" s="148"/>
      <c r="Y774" s="148"/>
      <c r="Z774" s="148"/>
      <c r="AA774" s="148"/>
      <c r="AB774" s="148"/>
      <c r="AC774" s="148"/>
      <c r="AD774" s="148"/>
      <c r="AE774" s="148"/>
    </row>
    <row r="775" spans="2:31">
      <c r="B775" s="148"/>
      <c r="C775" s="148"/>
      <c r="D775" s="148"/>
      <c r="E775" s="148"/>
      <c r="F775" s="148"/>
      <c r="G775" s="148"/>
      <c r="H775" s="148"/>
      <c r="I775" s="148"/>
      <c r="J775" s="148"/>
      <c r="K775" s="148"/>
      <c r="L775" s="148"/>
      <c r="M775" s="148"/>
      <c r="N775" s="148"/>
      <c r="O775" s="148"/>
      <c r="P775" s="148"/>
      <c r="Q775" s="148"/>
      <c r="R775" s="148"/>
      <c r="S775" s="148"/>
      <c r="T775" s="148"/>
      <c r="U775" s="148"/>
      <c r="V775" s="148"/>
      <c r="W775" s="148"/>
      <c r="X775" s="148"/>
      <c r="Y775" s="148"/>
      <c r="Z775" s="148"/>
      <c r="AA775" s="148"/>
      <c r="AB775" s="148"/>
      <c r="AC775" s="148"/>
      <c r="AD775" s="148"/>
      <c r="AE775" s="148"/>
    </row>
    <row r="776" spans="2:31">
      <c r="B776" s="148"/>
      <c r="C776" s="148"/>
      <c r="D776" s="148"/>
      <c r="E776" s="148"/>
      <c r="F776" s="148"/>
      <c r="G776" s="148"/>
      <c r="H776" s="148"/>
      <c r="I776" s="148"/>
      <c r="J776" s="148"/>
      <c r="K776" s="148"/>
      <c r="L776" s="148"/>
      <c r="M776" s="148"/>
      <c r="N776" s="148"/>
      <c r="O776" s="148"/>
      <c r="P776" s="148"/>
      <c r="Q776" s="148"/>
      <c r="R776" s="148"/>
      <c r="S776" s="148"/>
      <c r="T776" s="148"/>
      <c r="U776" s="148"/>
      <c r="V776" s="148"/>
      <c r="W776" s="148"/>
      <c r="X776" s="148"/>
      <c r="Y776" s="148"/>
      <c r="Z776" s="148"/>
      <c r="AA776" s="148"/>
      <c r="AB776" s="148"/>
      <c r="AC776" s="148"/>
      <c r="AD776" s="148"/>
      <c r="AE776" s="148"/>
    </row>
    <row r="777" spans="2:31">
      <c r="B777" s="148"/>
      <c r="C777" s="148"/>
      <c r="D777" s="148"/>
      <c r="E777" s="148"/>
      <c r="F777" s="148"/>
      <c r="G777" s="148"/>
      <c r="H777" s="148"/>
      <c r="I777" s="148"/>
      <c r="J777" s="148"/>
      <c r="K777" s="148"/>
      <c r="L777" s="148"/>
      <c r="M777" s="148"/>
      <c r="N777" s="148"/>
      <c r="O777" s="148"/>
      <c r="P777" s="148"/>
      <c r="Q777" s="148"/>
      <c r="R777" s="148"/>
      <c r="S777" s="148"/>
      <c r="T777" s="148"/>
      <c r="U777" s="148"/>
      <c r="V777" s="148"/>
      <c r="W777" s="148"/>
      <c r="X777" s="148"/>
      <c r="Y777" s="148"/>
      <c r="Z777" s="148"/>
      <c r="AA777" s="148"/>
      <c r="AB777" s="148"/>
      <c r="AC777" s="148"/>
      <c r="AD777" s="148"/>
      <c r="AE777" s="148"/>
    </row>
    <row r="778" spans="2:31">
      <c r="B778" s="148"/>
      <c r="C778" s="148"/>
      <c r="D778" s="148"/>
      <c r="E778" s="148"/>
      <c r="F778" s="148"/>
      <c r="G778" s="148"/>
      <c r="H778" s="148"/>
      <c r="I778" s="148"/>
      <c r="J778" s="148"/>
      <c r="K778" s="148"/>
      <c r="L778" s="148"/>
      <c r="M778" s="148"/>
      <c r="N778" s="148"/>
      <c r="O778" s="148"/>
      <c r="P778" s="148"/>
      <c r="Q778" s="148"/>
      <c r="R778" s="148"/>
      <c r="S778" s="148"/>
      <c r="T778" s="148"/>
      <c r="U778" s="148"/>
      <c r="V778" s="148"/>
      <c r="W778" s="148"/>
      <c r="X778" s="148"/>
      <c r="Y778" s="148"/>
      <c r="Z778" s="148"/>
      <c r="AA778" s="148"/>
      <c r="AB778" s="148"/>
      <c r="AC778" s="148"/>
      <c r="AD778" s="148"/>
      <c r="AE778" s="148"/>
    </row>
    <row r="779" spans="2:31">
      <c r="B779" s="148"/>
      <c r="C779" s="148"/>
      <c r="D779" s="148"/>
      <c r="E779" s="148"/>
      <c r="F779" s="148"/>
      <c r="G779" s="148"/>
      <c r="H779" s="148"/>
      <c r="I779" s="148"/>
      <c r="J779" s="148"/>
      <c r="K779" s="148"/>
      <c r="L779" s="148"/>
      <c r="M779" s="148"/>
      <c r="N779" s="148"/>
      <c r="O779" s="148"/>
      <c r="P779" s="148"/>
      <c r="Q779" s="148"/>
      <c r="R779" s="148"/>
      <c r="S779" s="148"/>
      <c r="T779" s="148"/>
      <c r="U779" s="148"/>
      <c r="V779" s="148"/>
      <c r="W779" s="148"/>
      <c r="X779" s="148"/>
      <c r="Y779" s="148"/>
      <c r="Z779" s="148"/>
      <c r="AA779" s="148"/>
      <c r="AB779" s="148"/>
      <c r="AC779" s="148"/>
      <c r="AD779" s="148"/>
      <c r="AE779" s="148"/>
    </row>
    <row r="780" spans="2:31">
      <c r="B780" s="148"/>
      <c r="C780" s="148"/>
      <c r="D780" s="148"/>
      <c r="E780" s="148"/>
      <c r="F780" s="148"/>
      <c r="G780" s="148"/>
      <c r="H780" s="148"/>
      <c r="I780" s="148"/>
      <c r="J780" s="148"/>
      <c r="K780" s="148"/>
      <c r="L780" s="148"/>
      <c r="M780" s="148"/>
      <c r="N780" s="148"/>
      <c r="O780" s="148"/>
      <c r="P780" s="148"/>
      <c r="Q780" s="148"/>
      <c r="R780" s="148"/>
      <c r="S780" s="148"/>
      <c r="T780" s="148"/>
      <c r="U780" s="148"/>
      <c r="V780" s="148"/>
      <c r="W780" s="148"/>
      <c r="X780" s="148"/>
      <c r="Y780" s="148"/>
      <c r="Z780" s="148"/>
      <c r="AA780" s="148"/>
      <c r="AB780" s="148"/>
      <c r="AC780" s="148"/>
      <c r="AD780" s="148"/>
      <c r="AE780" s="148"/>
    </row>
    <row r="781" spans="2:31">
      <c r="B781" s="148"/>
      <c r="C781" s="148"/>
      <c r="D781" s="148"/>
      <c r="E781" s="148"/>
      <c r="F781" s="148"/>
      <c r="G781" s="148"/>
      <c r="H781" s="148"/>
      <c r="I781" s="148"/>
      <c r="J781" s="148"/>
      <c r="K781" s="148"/>
      <c r="L781" s="148"/>
      <c r="M781" s="148"/>
      <c r="N781" s="148"/>
      <c r="O781" s="148"/>
      <c r="P781" s="148"/>
      <c r="Q781" s="148"/>
      <c r="R781" s="148"/>
      <c r="S781" s="148"/>
      <c r="T781" s="148"/>
      <c r="U781" s="148"/>
      <c r="V781" s="148"/>
      <c r="W781" s="148"/>
      <c r="X781" s="148"/>
      <c r="Y781" s="148"/>
      <c r="Z781" s="148"/>
      <c r="AA781" s="148"/>
      <c r="AB781" s="148"/>
      <c r="AC781" s="148"/>
      <c r="AD781" s="148"/>
      <c r="AE781" s="148"/>
    </row>
    <row r="782" spans="2:31">
      <c r="B782" s="148"/>
      <c r="C782" s="148"/>
      <c r="D782" s="148"/>
      <c r="E782" s="148"/>
      <c r="F782" s="148"/>
      <c r="G782" s="148"/>
      <c r="H782" s="148"/>
      <c r="I782" s="148"/>
      <c r="J782" s="148"/>
      <c r="K782" s="148"/>
      <c r="L782" s="148"/>
      <c r="M782" s="148"/>
      <c r="N782" s="148"/>
      <c r="O782" s="148"/>
      <c r="P782" s="148"/>
      <c r="Q782" s="148"/>
      <c r="R782" s="148"/>
      <c r="S782" s="148"/>
      <c r="T782" s="148"/>
      <c r="U782" s="148"/>
      <c r="V782" s="148"/>
      <c r="W782" s="148"/>
      <c r="X782" s="148"/>
      <c r="Y782" s="148"/>
      <c r="Z782" s="148"/>
      <c r="AA782" s="148"/>
      <c r="AB782" s="148"/>
      <c r="AC782" s="148"/>
      <c r="AD782" s="148"/>
      <c r="AE782" s="148"/>
    </row>
    <row r="783" spans="2:31">
      <c r="B783" s="148"/>
      <c r="C783" s="148"/>
      <c r="D783" s="148"/>
      <c r="E783" s="148"/>
      <c r="F783" s="148"/>
      <c r="G783" s="148"/>
      <c r="H783" s="148"/>
      <c r="I783" s="148"/>
      <c r="J783" s="148"/>
      <c r="K783" s="148"/>
      <c r="L783" s="148"/>
      <c r="M783" s="148"/>
      <c r="N783" s="148"/>
      <c r="O783" s="148"/>
      <c r="P783" s="148"/>
      <c r="Q783" s="148"/>
      <c r="R783" s="148"/>
      <c r="S783" s="148"/>
      <c r="T783" s="148"/>
      <c r="U783" s="148"/>
      <c r="V783" s="148"/>
      <c r="W783" s="148"/>
      <c r="X783" s="148"/>
      <c r="Y783" s="148"/>
      <c r="Z783" s="148"/>
      <c r="AA783" s="148"/>
      <c r="AB783" s="148"/>
      <c r="AC783" s="148"/>
      <c r="AD783" s="148"/>
      <c r="AE783" s="148"/>
    </row>
    <row r="784" spans="2:31">
      <c r="B784" s="148"/>
      <c r="C784" s="148"/>
      <c r="D784" s="148"/>
      <c r="E784" s="148"/>
      <c r="F784" s="148"/>
      <c r="G784" s="148"/>
      <c r="H784" s="148"/>
      <c r="I784" s="148"/>
      <c r="J784" s="148"/>
      <c r="K784" s="148"/>
      <c r="L784" s="148"/>
      <c r="M784" s="148"/>
      <c r="N784" s="148"/>
      <c r="O784" s="148"/>
      <c r="P784" s="148"/>
      <c r="Q784" s="148"/>
      <c r="R784" s="148"/>
      <c r="S784" s="148"/>
      <c r="T784" s="148"/>
      <c r="U784" s="148"/>
      <c r="V784" s="148"/>
      <c r="W784" s="148"/>
      <c r="X784" s="148"/>
      <c r="Y784" s="148"/>
      <c r="Z784" s="148"/>
      <c r="AA784" s="148"/>
      <c r="AB784" s="148"/>
      <c r="AC784" s="148"/>
      <c r="AD784" s="148"/>
      <c r="AE784" s="148"/>
    </row>
    <row r="785" spans="2:31">
      <c r="B785" s="148"/>
      <c r="C785" s="148"/>
      <c r="D785" s="148"/>
      <c r="E785" s="148"/>
      <c r="F785" s="148"/>
      <c r="G785" s="148"/>
      <c r="H785" s="148"/>
      <c r="I785" s="148"/>
      <c r="J785" s="148"/>
      <c r="K785" s="148"/>
      <c r="L785" s="148"/>
      <c r="M785" s="148"/>
      <c r="N785" s="148"/>
      <c r="O785" s="148"/>
      <c r="P785" s="148"/>
      <c r="Q785" s="148"/>
      <c r="R785" s="148"/>
      <c r="S785" s="148"/>
      <c r="T785" s="148"/>
      <c r="U785" s="148"/>
      <c r="V785" s="148"/>
      <c r="W785" s="148"/>
      <c r="X785" s="148"/>
      <c r="Y785" s="148"/>
      <c r="Z785" s="148"/>
      <c r="AA785" s="148"/>
      <c r="AB785" s="148"/>
      <c r="AC785" s="148"/>
      <c r="AD785" s="148"/>
      <c r="AE785" s="148"/>
    </row>
    <row r="786" spans="2:31">
      <c r="B786" s="148"/>
      <c r="C786" s="148"/>
      <c r="D786" s="148"/>
      <c r="E786" s="148"/>
      <c r="F786" s="148"/>
      <c r="G786" s="148"/>
      <c r="H786" s="148"/>
      <c r="I786" s="148"/>
      <c r="J786" s="148"/>
      <c r="K786" s="148"/>
      <c r="L786" s="148"/>
      <c r="M786" s="148"/>
      <c r="N786" s="148"/>
      <c r="O786" s="148"/>
      <c r="P786" s="148"/>
      <c r="Q786" s="148"/>
      <c r="R786" s="148"/>
      <c r="S786" s="148"/>
      <c r="T786" s="148"/>
      <c r="U786" s="148"/>
      <c r="V786" s="148"/>
      <c r="W786" s="148"/>
      <c r="X786" s="148"/>
      <c r="Y786" s="148"/>
      <c r="Z786" s="148"/>
      <c r="AA786" s="148"/>
      <c r="AB786" s="148"/>
      <c r="AC786" s="148"/>
      <c r="AD786" s="148"/>
      <c r="AE786" s="148"/>
    </row>
    <row r="787" spans="2:31">
      <c r="B787" s="148"/>
      <c r="C787" s="148"/>
      <c r="D787" s="148"/>
      <c r="E787" s="148"/>
      <c r="F787" s="148"/>
      <c r="G787" s="148"/>
      <c r="H787" s="148"/>
      <c r="I787" s="148"/>
      <c r="J787" s="148"/>
      <c r="K787" s="148"/>
      <c r="L787" s="148"/>
      <c r="M787" s="148"/>
      <c r="N787" s="148"/>
      <c r="O787" s="148"/>
      <c r="P787" s="148"/>
      <c r="Q787" s="148"/>
      <c r="R787" s="148"/>
      <c r="S787" s="148"/>
      <c r="T787" s="148"/>
      <c r="U787" s="148"/>
      <c r="V787" s="148"/>
      <c r="W787" s="148"/>
      <c r="X787" s="148"/>
      <c r="Y787" s="148"/>
      <c r="Z787" s="148"/>
      <c r="AA787" s="148"/>
      <c r="AB787" s="148"/>
      <c r="AC787" s="148"/>
      <c r="AD787" s="148"/>
      <c r="AE787" s="148"/>
    </row>
    <row r="788" spans="2:31">
      <c r="B788" s="148"/>
      <c r="C788" s="148"/>
      <c r="D788" s="148"/>
      <c r="E788" s="148"/>
      <c r="F788" s="148"/>
      <c r="G788" s="148"/>
      <c r="H788" s="148"/>
      <c r="I788" s="148"/>
      <c r="J788" s="148"/>
      <c r="K788" s="148"/>
      <c r="L788" s="148"/>
      <c r="M788" s="148"/>
      <c r="N788" s="148"/>
      <c r="O788" s="148"/>
      <c r="P788" s="148"/>
      <c r="Q788" s="148"/>
      <c r="R788" s="148"/>
      <c r="S788" s="148"/>
      <c r="T788" s="148"/>
      <c r="U788" s="148"/>
      <c r="V788" s="148"/>
      <c r="W788" s="148"/>
      <c r="X788" s="148"/>
      <c r="Y788" s="148"/>
      <c r="Z788" s="148"/>
      <c r="AA788" s="148"/>
      <c r="AB788" s="148"/>
      <c r="AC788" s="148"/>
      <c r="AD788" s="148"/>
      <c r="AE788" s="148"/>
    </row>
    <row r="789" spans="2:31">
      <c r="B789" s="148"/>
      <c r="C789" s="148"/>
      <c r="D789" s="148"/>
      <c r="E789" s="148"/>
      <c r="F789" s="148"/>
      <c r="G789" s="148"/>
      <c r="H789" s="148"/>
      <c r="I789" s="148"/>
      <c r="J789" s="148"/>
      <c r="K789" s="148"/>
      <c r="L789" s="148"/>
      <c r="M789" s="148"/>
      <c r="N789" s="148"/>
      <c r="O789" s="148"/>
      <c r="P789" s="148"/>
      <c r="Q789" s="148"/>
      <c r="R789" s="148"/>
      <c r="S789" s="148"/>
      <c r="T789" s="148"/>
      <c r="U789" s="148"/>
      <c r="V789" s="148"/>
      <c r="W789" s="148"/>
      <c r="X789" s="148"/>
      <c r="Y789" s="148"/>
      <c r="Z789" s="148"/>
      <c r="AA789" s="148"/>
      <c r="AB789" s="148"/>
      <c r="AC789" s="148"/>
      <c r="AD789" s="148"/>
      <c r="AE789" s="148"/>
    </row>
    <row r="790" spans="2:31">
      <c r="B790" s="148"/>
      <c r="C790" s="148"/>
      <c r="D790" s="148"/>
      <c r="E790" s="148"/>
      <c r="F790" s="148"/>
      <c r="G790" s="148"/>
      <c r="H790" s="148"/>
      <c r="I790" s="148"/>
      <c r="J790" s="148"/>
      <c r="K790" s="148"/>
      <c r="L790" s="148"/>
      <c r="M790" s="148"/>
      <c r="N790" s="148"/>
      <c r="O790" s="148"/>
      <c r="P790" s="148"/>
      <c r="Q790" s="148"/>
      <c r="R790" s="148"/>
      <c r="S790" s="148"/>
      <c r="T790" s="148"/>
      <c r="U790" s="148"/>
      <c r="V790" s="148"/>
      <c r="W790" s="148"/>
      <c r="X790" s="148"/>
      <c r="Y790" s="148"/>
      <c r="Z790" s="148"/>
      <c r="AA790" s="148"/>
      <c r="AB790" s="148"/>
      <c r="AC790" s="148"/>
      <c r="AD790" s="148"/>
      <c r="AE790" s="148"/>
    </row>
    <row r="791" spans="2:31">
      <c r="B791" s="148"/>
      <c r="C791" s="148"/>
      <c r="D791" s="148"/>
      <c r="E791" s="148"/>
      <c r="F791" s="148"/>
      <c r="G791" s="148"/>
      <c r="H791" s="148"/>
      <c r="I791" s="148"/>
      <c r="J791" s="148"/>
      <c r="K791" s="148"/>
      <c r="L791" s="148"/>
      <c r="M791" s="148"/>
      <c r="N791" s="148"/>
      <c r="O791" s="148"/>
      <c r="P791" s="148"/>
      <c r="Q791" s="148"/>
      <c r="R791" s="148"/>
      <c r="S791" s="148"/>
      <c r="T791" s="148"/>
      <c r="U791" s="148"/>
      <c r="V791" s="148"/>
      <c r="W791" s="148"/>
      <c r="X791" s="148"/>
      <c r="Y791" s="148"/>
      <c r="Z791" s="148"/>
      <c r="AA791" s="148"/>
      <c r="AB791" s="148"/>
      <c r="AC791" s="148"/>
      <c r="AD791" s="148"/>
      <c r="AE791" s="148"/>
    </row>
    <row r="792" spans="2:31">
      <c r="B792" s="148"/>
      <c r="C792" s="148"/>
      <c r="D792" s="148"/>
      <c r="E792" s="148"/>
      <c r="F792" s="148"/>
      <c r="G792" s="148"/>
      <c r="H792" s="148"/>
      <c r="I792" s="148"/>
      <c r="J792" s="148"/>
      <c r="K792" s="148"/>
      <c r="L792" s="148"/>
      <c r="M792" s="148"/>
      <c r="N792" s="148"/>
      <c r="O792" s="148"/>
      <c r="P792" s="148"/>
      <c r="Q792" s="148"/>
      <c r="R792" s="148"/>
      <c r="S792" s="148"/>
      <c r="T792" s="148"/>
      <c r="U792" s="148"/>
      <c r="V792" s="148"/>
      <c r="W792" s="148"/>
      <c r="X792" s="148"/>
      <c r="Y792" s="148"/>
      <c r="Z792" s="148"/>
      <c r="AA792" s="148"/>
      <c r="AB792" s="148"/>
      <c r="AC792" s="148"/>
      <c r="AD792" s="148"/>
      <c r="AE792" s="148"/>
    </row>
    <row r="793" spans="2:31">
      <c r="B793" s="148"/>
      <c r="C793" s="148"/>
      <c r="D793" s="148"/>
      <c r="E793" s="148"/>
      <c r="F793" s="148"/>
      <c r="G793" s="148"/>
      <c r="H793" s="148"/>
      <c r="I793" s="148"/>
      <c r="J793" s="148"/>
      <c r="K793" s="148"/>
      <c r="L793" s="148"/>
      <c r="M793" s="148"/>
      <c r="N793" s="148"/>
      <c r="O793" s="148"/>
      <c r="P793" s="148"/>
      <c r="Q793" s="148"/>
      <c r="R793" s="148"/>
      <c r="S793" s="148"/>
      <c r="T793" s="148"/>
      <c r="U793" s="148"/>
      <c r="V793" s="148"/>
      <c r="W793" s="148"/>
      <c r="X793" s="148"/>
      <c r="Y793" s="148"/>
      <c r="Z793" s="148"/>
      <c r="AA793" s="148"/>
      <c r="AB793" s="148"/>
      <c r="AC793" s="148"/>
      <c r="AD793" s="148"/>
      <c r="AE793" s="148"/>
    </row>
    <row r="794" spans="2:31">
      <c r="B794" s="148"/>
      <c r="C794" s="148"/>
      <c r="D794" s="148"/>
      <c r="E794" s="148"/>
      <c r="F794" s="148"/>
      <c r="G794" s="148"/>
      <c r="H794" s="148"/>
      <c r="I794" s="148"/>
      <c r="J794" s="148"/>
      <c r="K794" s="148"/>
      <c r="L794" s="148"/>
      <c r="M794" s="148"/>
      <c r="N794" s="148"/>
      <c r="O794" s="148"/>
      <c r="P794" s="148"/>
      <c r="Q794" s="148"/>
      <c r="R794" s="148"/>
      <c r="S794" s="148"/>
      <c r="T794" s="148"/>
      <c r="U794" s="148"/>
      <c r="V794" s="148"/>
      <c r="W794" s="148"/>
      <c r="X794" s="148"/>
      <c r="Y794" s="148"/>
      <c r="Z794" s="148"/>
      <c r="AA794" s="148"/>
      <c r="AB794" s="148"/>
      <c r="AC794" s="148"/>
      <c r="AD794" s="148"/>
      <c r="AE794" s="148"/>
    </row>
    <row r="795" spans="2:31">
      <c r="B795" s="148"/>
      <c r="C795" s="148"/>
      <c r="D795" s="148"/>
      <c r="E795" s="148"/>
      <c r="F795" s="148"/>
      <c r="G795" s="148"/>
      <c r="H795" s="148"/>
      <c r="I795" s="148"/>
      <c r="J795" s="148"/>
      <c r="K795" s="148"/>
      <c r="L795" s="148"/>
      <c r="M795" s="148"/>
      <c r="N795" s="148"/>
      <c r="O795" s="148"/>
      <c r="P795" s="148"/>
      <c r="Q795" s="148"/>
      <c r="R795" s="148"/>
      <c r="S795" s="148"/>
      <c r="T795" s="148"/>
      <c r="U795" s="148"/>
      <c r="V795" s="148"/>
      <c r="W795" s="148"/>
      <c r="X795" s="148"/>
      <c r="Y795" s="148"/>
      <c r="Z795" s="148"/>
      <c r="AA795" s="148"/>
      <c r="AB795" s="148"/>
      <c r="AC795" s="148"/>
      <c r="AD795" s="148"/>
      <c r="AE795" s="148"/>
    </row>
    <row r="796" spans="2:31">
      <c r="B796" s="148"/>
      <c r="C796" s="148"/>
      <c r="D796" s="148"/>
      <c r="E796" s="148"/>
      <c r="F796" s="148"/>
      <c r="G796" s="148"/>
      <c r="H796" s="148"/>
      <c r="I796" s="148"/>
      <c r="J796" s="148"/>
      <c r="K796" s="148"/>
      <c r="L796" s="148"/>
      <c r="M796" s="148"/>
      <c r="N796" s="148"/>
      <c r="O796" s="148"/>
      <c r="P796" s="148"/>
      <c r="Q796" s="148"/>
      <c r="R796" s="148"/>
      <c r="S796" s="148"/>
      <c r="T796" s="148"/>
      <c r="U796" s="148"/>
      <c r="V796" s="148"/>
      <c r="W796" s="148"/>
      <c r="X796" s="148"/>
      <c r="Y796" s="148"/>
      <c r="Z796" s="148"/>
      <c r="AA796" s="148"/>
      <c r="AB796" s="148"/>
      <c r="AC796" s="148"/>
      <c r="AD796" s="148"/>
      <c r="AE796" s="148"/>
    </row>
    <row r="797" spans="2:31">
      <c r="B797" s="148"/>
      <c r="C797" s="148"/>
      <c r="D797" s="148"/>
      <c r="E797" s="148"/>
      <c r="F797" s="148"/>
      <c r="G797" s="148"/>
      <c r="H797" s="148"/>
      <c r="I797" s="148"/>
      <c r="J797" s="148"/>
      <c r="K797" s="148"/>
      <c r="L797" s="148"/>
      <c r="M797" s="148"/>
      <c r="N797" s="148"/>
      <c r="O797" s="148"/>
      <c r="P797" s="148"/>
      <c r="Q797" s="148"/>
      <c r="R797" s="148"/>
      <c r="S797" s="148"/>
      <c r="T797" s="148"/>
      <c r="U797" s="148"/>
      <c r="V797" s="148"/>
      <c r="W797" s="148"/>
      <c r="X797" s="148"/>
      <c r="Y797" s="148"/>
      <c r="Z797" s="148"/>
      <c r="AA797" s="148"/>
      <c r="AB797" s="148"/>
      <c r="AC797" s="148"/>
      <c r="AD797" s="148"/>
      <c r="AE797" s="148"/>
    </row>
    <row r="798" spans="2:31">
      <c r="B798" s="148"/>
      <c r="C798" s="148"/>
      <c r="D798" s="148"/>
      <c r="E798" s="148"/>
      <c r="F798" s="148"/>
      <c r="G798" s="148"/>
      <c r="H798" s="148"/>
      <c r="I798" s="148"/>
      <c r="J798" s="148"/>
      <c r="K798" s="148"/>
      <c r="L798" s="148"/>
      <c r="M798" s="148"/>
      <c r="N798" s="148"/>
      <c r="O798" s="148"/>
      <c r="P798" s="148"/>
      <c r="Q798" s="148"/>
      <c r="R798" s="148"/>
      <c r="S798" s="148"/>
      <c r="T798" s="148"/>
      <c r="U798" s="148"/>
      <c r="V798" s="148"/>
      <c r="W798" s="148"/>
      <c r="X798" s="148"/>
      <c r="Y798" s="148"/>
      <c r="Z798" s="148"/>
      <c r="AA798" s="148"/>
      <c r="AB798" s="148"/>
      <c r="AC798" s="148"/>
      <c r="AD798" s="148"/>
      <c r="AE798" s="148"/>
    </row>
    <row r="799" spans="2:31">
      <c r="B799" s="148"/>
      <c r="C799" s="148"/>
      <c r="D799" s="148"/>
      <c r="E799" s="148"/>
      <c r="F799" s="148"/>
      <c r="G799" s="148"/>
      <c r="H799" s="148"/>
      <c r="I799" s="148"/>
      <c r="J799" s="148"/>
      <c r="K799" s="148"/>
      <c r="L799" s="148"/>
      <c r="M799" s="148"/>
      <c r="N799" s="148"/>
      <c r="O799" s="148"/>
      <c r="P799" s="148"/>
      <c r="Q799" s="148"/>
      <c r="R799" s="148"/>
      <c r="S799" s="148"/>
      <c r="T799" s="148"/>
      <c r="U799" s="148"/>
      <c r="V799" s="148"/>
      <c r="W799" s="148"/>
      <c r="X799" s="148"/>
      <c r="Y799" s="148"/>
      <c r="Z799" s="148"/>
      <c r="AA799" s="148"/>
      <c r="AB799" s="148"/>
      <c r="AC799" s="148"/>
      <c r="AD799" s="148"/>
      <c r="AE799" s="148"/>
    </row>
    <row r="800" spans="2:31">
      <c r="B800" s="148"/>
      <c r="C800" s="148"/>
      <c r="D800" s="148"/>
      <c r="E800" s="148"/>
      <c r="F800" s="148"/>
      <c r="G800" s="148"/>
      <c r="H800" s="148"/>
      <c r="I800" s="148"/>
      <c r="J800" s="148"/>
      <c r="K800" s="148"/>
      <c r="L800" s="148"/>
      <c r="M800" s="148"/>
      <c r="N800" s="148"/>
      <c r="O800" s="148"/>
      <c r="P800" s="148"/>
      <c r="Q800" s="148"/>
      <c r="R800" s="148"/>
      <c r="S800" s="148"/>
      <c r="T800" s="148"/>
      <c r="U800" s="148"/>
      <c r="V800" s="148"/>
      <c r="W800" s="148"/>
      <c r="X800" s="148"/>
      <c r="Y800" s="148"/>
      <c r="Z800" s="148"/>
      <c r="AA800" s="148"/>
      <c r="AB800" s="148"/>
      <c r="AC800" s="148"/>
      <c r="AD800" s="148"/>
      <c r="AE800" s="148"/>
    </row>
    <row r="801" spans="2:31">
      <c r="B801" s="148"/>
      <c r="C801" s="148"/>
      <c r="D801" s="148"/>
      <c r="E801" s="148"/>
      <c r="F801" s="148"/>
      <c r="G801" s="148"/>
      <c r="H801" s="148"/>
      <c r="I801" s="148"/>
      <c r="J801" s="148"/>
      <c r="K801" s="148"/>
      <c r="L801" s="148"/>
      <c r="M801" s="148"/>
      <c r="N801" s="148"/>
      <c r="O801" s="148"/>
      <c r="P801" s="148"/>
      <c r="Q801" s="148"/>
      <c r="R801" s="148"/>
      <c r="S801" s="148"/>
      <c r="T801" s="148"/>
      <c r="U801" s="148"/>
      <c r="V801" s="148"/>
      <c r="W801" s="148"/>
      <c r="X801" s="148"/>
      <c r="Y801" s="148"/>
      <c r="Z801" s="148"/>
      <c r="AA801" s="148"/>
      <c r="AB801" s="148"/>
      <c r="AC801" s="148"/>
      <c r="AD801" s="148"/>
      <c r="AE801" s="148"/>
    </row>
    <row r="802" spans="2:31">
      <c r="B802" s="148"/>
      <c r="C802" s="148"/>
      <c r="D802" s="148"/>
      <c r="E802" s="148"/>
      <c r="F802" s="148"/>
      <c r="G802" s="148"/>
      <c r="H802" s="148"/>
      <c r="I802" s="148"/>
      <c r="J802" s="148"/>
      <c r="K802" s="148"/>
      <c r="L802" s="148"/>
      <c r="M802" s="148"/>
      <c r="N802" s="148"/>
      <c r="O802" s="148"/>
      <c r="P802" s="148"/>
      <c r="Q802" s="148"/>
      <c r="R802" s="148"/>
      <c r="S802" s="148"/>
      <c r="T802" s="148"/>
      <c r="U802" s="148"/>
      <c r="V802" s="148"/>
      <c r="W802" s="148"/>
      <c r="X802" s="148"/>
      <c r="Y802" s="148"/>
      <c r="Z802" s="148"/>
      <c r="AA802" s="148"/>
      <c r="AB802" s="148"/>
      <c r="AC802" s="148"/>
      <c r="AD802" s="148"/>
      <c r="AE802" s="148"/>
    </row>
    <row r="803" spans="2:31">
      <c r="B803" s="148"/>
      <c r="C803" s="148"/>
      <c r="D803" s="148"/>
      <c r="E803" s="148"/>
      <c r="F803" s="148"/>
      <c r="G803" s="148"/>
      <c r="H803" s="148"/>
      <c r="I803" s="148"/>
      <c r="J803" s="148"/>
      <c r="K803" s="148"/>
      <c r="L803" s="148"/>
      <c r="M803" s="148"/>
      <c r="N803" s="148"/>
      <c r="O803" s="148"/>
      <c r="P803" s="148"/>
      <c r="Q803" s="148"/>
      <c r="R803" s="148"/>
      <c r="S803" s="148"/>
      <c r="T803" s="148"/>
      <c r="U803" s="148"/>
      <c r="V803" s="148"/>
      <c r="W803" s="148"/>
      <c r="X803" s="148"/>
      <c r="Y803" s="148"/>
      <c r="Z803" s="148"/>
      <c r="AA803" s="148"/>
      <c r="AB803" s="148"/>
      <c r="AC803" s="148"/>
      <c r="AD803" s="148"/>
      <c r="AE803" s="148"/>
    </row>
    <row r="804" spans="2:31">
      <c r="B804" s="148"/>
      <c r="C804" s="148"/>
      <c r="D804" s="148"/>
      <c r="E804" s="148"/>
      <c r="F804" s="148"/>
      <c r="G804" s="148"/>
      <c r="H804" s="148"/>
      <c r="I804" s="148"/>
      <c r="J804" s="148"/>
      <c r="K804" s="148"/>
      <c r="L804" s="148"/>
      <c r="M804" s="148"/>
      <c r="N804" s="148"/>
      <c r="O804" s="148"/>
      <c r="P804" s="148"/>
      <c r="Q804" s="148"/>
      <c r="R804" s="148"/>
      <c r="S804" s="148"/>
      <c r="T804" s="148"/>
      <c r="U804" s="148"/>
      <c r="V804" s="148"/>
      <c r="W804" s="148"/>
      <c r="X804" s="148"/>
      <c r="Y804" s="148"/>
      <c r="Z804" s="148"/>
      <c r="AA804" s="148"/>
      <c r="AB804" s="148"/>
      <c r="AC804" s="148"/>
      <c r="AD804" s="148"/>
      <c r="AE804" s="148"/>
    </row>
    <row r="805" spans="2:31">
      <c r="B805" s="148"/>
      <c r="C805" s="148"/>
      <c r="D805" s="148"/>
      <c r="E805" s="148"/>
      <c r="F805" s="148"/>
      <c r="G805" s="148"/>
      <c r="H805" s="148"/>
      <c r="I805" s="148"/>
      <c r="J805" s="148"/>
      <c r="K805" s="148"/>
      <c r="L805" s="148"/>
      <c r="M805" s="148"/>
      <c r="N805" s="148"/>
      <c r="O805" s="148"/>
      <c r="P805" s="148"/>
      <c r="Q805" s="148"/>
      <c r="R805" s="148"/>
      <c r="S805" s="148"/>
      <c r="T805" s="148"/>
      <c r="U805" s="148"/>
      <c r="V805" s="148"/>
      <c r="W805" s="148"/>
      <c r="X805" s="148"/>
      <c r="Y805" s="148"/>
      <c r="Z805" s="148"/>
      <c r="AA805" s="148"/>
      <c r="AB805" s="148"/>
      <c r="AC805" s="148"/>
      <c r="AD805" s="148"/>
      <c r="AE805" s="148"/>
    </row>
    <row r="806" spans="2:31">
      <c r="B806" s="148"/>
      <c r="C806" s="148"/>
      <c r="D806" s="148"/>
      <c r="E806" s="148"/>
      <c r="F806" s="148"/>
      <c r="G806" s="148"/>
      <c r="H806" s="148"/>
      <c r="I806" s="148"/>
      <c r="J806" s="148"/>
      <c r="K806" s="148"/>
      <c r="L806" s="148"/>
      <c r="M806" s="148"/>
      <c r="N806" s="148"/>
      <c r="O806" s="148"/>
      <c r="P806" s="148"/>
      <c r="Q806" s="148"/>
      <c r="R806" s="148"/>
      <c r="S806" s="148"/>
      <c r="T806" s="148"/>
      <c r="U806" s="148"/>
      <c r="V806" s="148"/>
      <c r="W806" s="148"/>
      <c r="X806" s="148"/>
      <c r="Y806" s="148"/>
      <c r="Z806" s="148"/>
      <c r="AA806" s="148"/>
      <c r="AB806" s="148"/>
      <c r="AC806" s="148"/>
      <c r="AD806" s="148"/>
      <c r="AE806" s="148"/>
    </row>
    <row r="807" spans="2:31">
      <c r="B807" s="148"/>
      <c r="C807" s="148"/>
      <c r="D807" s="148"/>
      <c r="E807" s="148"/>
      <c r="F807" s="148"/>
      <c r="G807" s="148"/>
      <c r="H807" s="148"/>
      <c r="I807" s="148"/>
      <c r="J807" s="148"/>
      <c r="K807" s="148"/>
      <c r="L807" s="148"/>
      <c r="M807" s="148"/>
      <c r="N807" s="148"/>
      <c r="O807" s="148"/>
      <c r="P807" s="148"/>
      <c r="Q807" s="148"/>
      <c r="R807" s="148"/>
      <c r="S807" s="148"/>
      <c r="T807" s="148"/>
      <c r="U807" s="148"/>
      <c r="V807" s="148"/>
      <c r="W807" s="148"/>
      <c r="X807" s="148"/>
      <c r="Y807" s="148"/>
      <c r="Z807" s="148"/>
      <c r="AA807" s="148"/>
      <c r="AB807" s="148"/>
      <c r="AC807" s="148"/>
      <c r="AD807" s="148"/>
      <c r="AE807" s="148"/>
    </row>
    <row r="808" spans="2:31">
      <c r="B808" s="148"/>
      <c r="C808" s="148"/>
      <c r="D808" s="148"/>
      <c r="E808" s="148"/>
      <c r="F808" s="148"/>
      <c r="G808" s="148"/>
      <c r="H808" s="148"/>
      <c r="I808" s="148"/>
      <c r="J808" s="148"/>
      <c r="K808" s="148"/>
      <c r="L808" s="148"/>
      <c r="M808" s="148"/>
      <c r="N808" s="148"/>
      <c r="O808" s="148"/>
      <c r="P808" s="148"/>
      <c r="Q808" s="148"/>
      <c r="R808" s="148"/>
      <c r="S808" s="148"/>
      <c r="T808" s="148"/>
      <c r="U808" s="148"/>
      <c r="V808" s="148"/>
      <c r="W808" s="148"/>
      <c r="X808" s="148"/>
      <c r="Y808" s="148"/>
      <c r="Z808" s="148"/>
      <c r="AA808" s="148"/>
      <c r="AB808" s="148"/>
      <c r="AC808" s="148"/>
      <c r="AD808" s="148"/>
      <c r="AE808" s="148"/>
    </row>
    <row r="809" spans="2:31">
      <c r="B809" s="148"/>
      <c r="C809" s="148"/>
      <c r="D809" s="148"/>
      <c r="E809" s="148"/>
      <c r="F809" s="148"/>
      <c r="G809" s="148"/>
      <c r="H809" s="148"/>
      <c r="I809" s="148"/>
      <c r="J809" s="148"/>
      <c r="K809" s="148"/>
      <c r="L809" s="148"/>
      <c r="M809" s="148"/>
      <c r="N809" s="148"/>
      <c r="O809" s="148"/>
      <c r="P809" s="148"/>
      <c r="Q809" s="148"/>
      <c r="R809" s="148"/>
      <c r="S809" s="148"/>
      <c r="T809" s="148"/>
      <c r="U809" s="148"/>
      <c r="V809" s="148"/>
      <c r="W809" s="148"/>
      <c r="X809" s="148"/>
      <c r="Y809" s="148"/>
      <c r="Z809" s="148"/>
      <c r="AA809" s="148"/>
      <c r="AB809" s="148"/>
      <c r="AC809" s="148"/>
      <c r="AD809" s="148"/>
      <c r="AE809" s="148"/>
    </row>
    <row r="810" spans="2:31">
      <c r="B810" s="148"/>
      <c r="C810" s="148"/>
      <c r="D810" s="148"/>
      <c r="E810" s="148"/>
      <c r="F810" s="148"/>
      <c r="G810" s="148"/>
      <c r="H810" s="148"/>
      <c r="I810" s="148"/>
      <c r="J810" s="148"/>
      <c r="K810" s="148"/>
      <c r="L810" s="148"/>
      <c r="M810" s="148"/>
      <c r="N810" s="148"/>
      <c r="O810" s="148"/>
      <c r="P810" s="148"/>
      <c r="Q810" s="148"/>
      <c r="R810" s="148"/>
      <c r="S810" s="148"/>
      <c r="T810" s="148"/>
      <c r="U810" s="148"/>
      <c r="V810" s="148"/>
      <c r="W810" s="148"/>
      <c r="X810" s="148"/>
      <c r="Y810" s="148"/>
      <c r="Z810" s="148"/>
      <c r="AA810" s="148"/>
      <c r="AB810" s="148"/>
      <c r="AC810" s="148"/>
      <c r="AD810" s="148"/>
      <c r="AE810" s="148"/>
    </row>
    <row r="811" spans="2:31">
      <c r="B811" s="148"/>
      <c r="C811" s="148"/>
      <c r="D811" s="148"/>
      <c r="E811" s="148"/>
      <c r="F811" s="148"/>
      <c r="G811" s="148"/>
      <c r="H811" s="148"/>
      <c r="I811" s="148"/>
      <c r="J811" s="148"/>
      <c r="K811" s="148"/>
      <c r="L811" s="148"/>
      <c r="M811" s="148"/>
      <c r="N811" s="148"/>
      <c r="O811" s="148"/>
      <c r="P811" s="148"/>
      <c r="Q811" s="148"/>
      <c r="R811" s="148"/>
      <c r="S811" s="148"/>
      <c r="T811" s="148"/>
      <c r="U811" s="148"/>
      <c r="V811" s="148"/>
      <c r="W811" s="148"/>
      <c r="X811" s="148"/>
      <c r="Y811" s="148"/>
      <c r="Z811" s="148"/>
      <c r="AA811" s="148"/>
      <c r="AB811" s="148"/>
      <c r="AC811" s="148"/>
      <c r="AD811" s="148"/>
      <c r="AE811" s="148"/>
    </row>
    <row r="812" spans="2:31">
      <c r="B812" s="148"/>
      <c r="C812" s="148"/>
      <c r="D812" s="148"/>
      <c r="E812" s="148"/>
      <c r="F812" s="148"/>
      <c r="G812" s="148"/>
      <c r="H812" s="148"/>
      <c r="I812" s="148"/>
      <c r="J812" s="148"/>
      <c r="K812" s="148"/>
      <c r="L812" s="148"/>
      <c r="M812" s="148"/>
      <c r="N812" s="148"/>
      <c r="O812" s="148"/>
      <c r="P812" s="148"/>
      <c r="Q812" s="148"/>
      <c r="R812" s="148"/>
      <c r="S812" s="148"/>
      <c r="T812" s="148"/>
      <c r="U812" s="148"/>
      <c r="V812" s="148"/>
      <c r="W812" s="148"/>
      <c r="X812" s="148"/>
      <c r="Y812" s="148"/>
      <c r="Z812" s="148"/>
      <c r="AA812" s="148"/>
      <c r="AB812" s="148"/>
      <c r="AC812" s="148"/>
      <c r="AD812" s="148"/>
      <c r="AE812" s="148"/>
    </row>
    <row r="813" spans="2:31">
      <c r="B813" s="148"/>
      <c r="C813" s="148"/>
      <c r="D813" s="148"/>
      <c r="E813" s="148"/>
      <c r="F813" s="148"/>
      <c r="G813" s="148"/>
      <c r="H813" s="148"/>
      <c r="I813" s="148"/>
      <c r="J813" s="148"/>
      <c r="K813" s="148"/>
      <c r="L813" s="148"/>
      <c r="M813" s="148"/>
      <c r="N813" s="148"/>
      <c r="O813" s="148"/>
      <c r="P813" s="148"/>
      <c r="Q813" s="148"/>
      <c r="R813" s="148"/>
      <c r="S813" s="148"/>
      <c r="T813" s="148"/>
      <c r="U813" s="148"/>
      <c r="V813" s="148"/>
      <c r="W813" s="148"/>
      <c r="X813" s="148"/>
      <c r="Y813" s="148"/>
      <c r="Z813" s="148"/>
      <c r="AA813" s="148"/>
      <c r="AB813" s="148"/>
      <c r="AC813" s="148"/>
      <c r="AD813" s="148"/>
      <c r="AE813" s="148"/>
    </row>
    <row r="814" spans="2:31">
      <c r="B814" s="148"/>
      <c r="C814" s="148"/>
      <c r="D814" s="148"/>
      <c r="E814" s="148"/>
      <c r="F814" s="148"/>
      <c r="G814" s="148"/>
      <c r="H814" s="148"/>
      <c r="I814" s="148"/>
      <c r="J814" s="148"/>
      <c r="K814" s="148"/>
      <c r="L814" s="148"/>
      <c r="M814" s="148"/>
      <c r="N814" s="148"/>
      <c r="O814" s="148"/>
      <c r="P814" s="148"/>
      <c r="Q814" s="148"/>
      <c r="R814" s="148"/>
      <c r="S814" s="148"/>
      <c r="T814" s="148"/>
      <c r="U814" s="148"/>
      <c r="V814" s="148"/>
      <c r="W814" s="148"/>
      <c r="X814" s="148"/>
      <c r="Y814" s="148"/>
      <c r="Z814" s="148"/>
      <c r="AA814" s="148"/>
      <c r="AB814" s="148"/>
      <c r="AC814" s="148"/>
      <c r="AD814" s="148"/>
      <c r="AE814" s="148"/>
    </row>
    <row r="815" spans="2:31">
      <c r="B815" s="148"/>
      <c r="C815" s="148"/>
      <c r="D815" s="148"/>
      <c r="E815" s="148"/>
      <c r="F815" s="148"/>
      <c r="G815" s="148"/>
      <c r="H815" s="148"/>
      <c r="I815" s="148"/>
      <c r="J815" s="148"/>
      <c r="K815" s="148"/>
      <c r="L815" s="148"/>
      <c r="M815" s="148"/>
      <c r="N815" s="148"/>
      <c r="O815" s="148"/>
      <c r="P815" s="148"/>
      <c r="Q815" s="148"/>
      <c r="R815" s="148"/>
      <c r="S815" s="148"/>
      <c r="T815" s="148"/>
      <c r="U815" s="148"/>
      <c r="V815" s="148"/>
      <c r="W815" s="148"/>
      <c r="X815" s="148"/>
      <c r="Y815" s="148"/>
      <c r="Z815" s="148"/>
      <c r="AA815" s="148"/>
      <c r="AB815" s="148"/>
      <c r="AC815" s="148"/>
      <c r="AD815" s="148"/>
      <c r="AE815" s="148"/>
    </row>
    <row r="816" spans="2:31">
      <c r="B816" s="148"/>
      <c r="C816" s="148"/>
      <c r="D816" s="148"/>
      <c r="E816" s="148"/>
      <c r="F816" s="148"/>
      <c r="G816" s="148"/>
      <c r="H816" s="148"/>
      <c r="I816" s="148"/>
      <c r="J816" s="148"/>
      <c r="K816" s="148"/>
      <c r="L816" s="148"/>
      <c r="M816" s="148"/>
      <c r="N816" s="148"/>
      <c r="O816" s="148"/>
      <c r="P816" s="148"/>
      <c r="Q816" s="148"/>
      <c r="R816" s="148"/>
      <c r="S816" s="148"/>
      <c r="T816" s="148"/>
      <c r="U816" s="148"/>
      <c r="V816" s="148"/>
      <c r="W816" s="148"/>
      <c r="X816" s="148"/>
      <c r="Y816" s="148"/>
      <c r="Z816" s="148"/>
      <c r="AA816" s="148"/>
      <c r="AB816" s="148"/>
      <c r="AC816" s="148"/>
      <c r="AD816" s="148"/>
      <c r="AE816" s="148"/>
    </row>
    <row r="817" spans="2:31">
      <c r="B817" s="148"/>
      <c r="C817" s="148"/>
      <c r="D817" s="148"/>
      <c r="E817" s="148"/>
      <c r="F817" s="148"/>
      <c r="G817" s="148"/>
      <c r="H817" s="148"/>
      <c r="I817" s="148"/>
      <c r="J817" s="148"/>
      <c r="K817" s="148"/>
      <c r="L817" s="148"/>
      <c r="M817" s="148"/>
      <c r="N817" s="148"/>
      <c r="O817" s="148"/>
      <c r="P817" s="148"/>
      <c r="Q817" s="148"/>
      <c r="R817" s="148"/>
      <c r="S817" s="148"/>
      <c r="T817" s="148"/>
      <c r="U817" s="148"/>
      <c r="V817" s="148"/>
      <c r="W817" s="148"/>
      <c r="X817" s="148"/>
      <c r="Y817" s="148"/>
      <c r="Z817" s="148"/>
      <c r="AA817" s="148"/>
      <c r="AB817" s="148"/>
      <c r="AC817" s="148"/>
      <c r="AD817" s="148"/>
      <c r="AE817" s="148"/>
    </row>
    <row r="818" spans="2:31">
      <c r="B818" s="148"/>
      <c r="C818" s="148"/>
      <c r="D818" s="148"/>
      <c r="E818" s="148"/>
      <c r="F818" s="148"/>
      <c r="G818" s="148"/>
      <c r="H818" s="148"/>
      <c r="I818" s="148"/>
      <c r="J818" s="148"/>
      <c r="K818" s="148"/>
      <c r="L818" s="148"/>
      <c r="M818" s="148"/>
      <c r="N818" s="148"/>
      <c r="O818" s="148"/>
      <c r="P818" s="148"/>
      <c r="Q818" s="148"/>
      <c r="R818" s="148"/>
      <c r="S818" s="148"/>
      <c r="T818" s="148"/>
      <c r="U818" s="148"/>
      <c r="V818" s="148"/>
      <c r="W818" s="148"/>
      <c r="X818" s="148"/>
      <c r="Y818" s="148"/>
      <c r="Z818" s="148"/>
      <c r="AA818" s="148"/>
      <c r="AB818" s="148"/>
      <c r="AC818" s="148"/>
      <c r="AD818" s="148"/>
      <c r="AE818" s="148"/>
    </row>
    <row r="819" spans="2:31">
      <c r="B819" s="148"/>
      <c r="C819" s="148"/>
      <c r="D819" s="148"/>
      <c r="E819" s="148"/>
      <c r="F819" s="148"/>
      <c r="G819" s="148"/>
      <c r="H819" s="148"/>
      <c r="I819" s="148"/>
      <c r="J819" s="148"/>
      <c r="K819" s="148"/>
      <c r="L819" s="148"/>
      <c r="M819" s="148"/>
      <c r="N819" s="148"/>
      <c r="O819" s="148"/>
      <c r="P819" s="148"/>
      <c r="Q819" s="148"/>
      <c r="R819" s="148"/>
      <c r="S819" s="148"/>
      <c r="T819" s="148"/>
      <c r="U819" s="148"/>
      <c r="V819" s="148"/>
      <c r="W819" s="148"/>
      <c r="X819" s="148"/>
      <c r="Y819" s="148"/>
      <c r="Z819" s="148"/>
      <c r="AA819" s="148"/>
      <c r="AB819" s="148"/>
      <c r="AC819" s="148"/>
      <c r="AD819" s="148"/>
      <c r="AE819" s="148"/>
    </row>
    <row r="820" spans="2:31">
      <c r="B820" s="148"/>
      <c r="C820" s="148"/>
      <c r="D820" s="148"/>
      <c r="E820" s="148"/>
      <c r="F820" s="148"/>
      <c r="G820" s="148"/>
      <c r="H820" s="148"/>
      <c r="I820" s="148"/>
      <c r="J820" s="148"/>
      <c r="K820" s="148"/>
      <c r="L820" s="148"/>
      <c r="M820" s="148"/>
      <c r="N820" s="148"/>
      <c r="O820" s="148"/>
      <c r="P820" s="148"/>
      <c r="Q820" s="148"/>
      <c r="R820" s="148"/>
      <c r="S820" s="148"/>
      <c r="T820" s="148"/>
      <c r="U820" s="148"/>
      <c r="V820" s="148"/>
      <c r="W820" s="148"/>
      <c r="X820" s="148"/>
      <c r="Y820" s="148"/>
      <c r="Z820" s="148"/>
      <c r="AA820" s="148"/>
      <c r="AB820" s="148"/>
      <c r="AC820" s="148"/>
      <c r="AD820" s="148"/>
      <c r="AE820" s="148"/>
    </row>
    <row r="821" spans="2:31">
      <c r="B821" s="148"/>
      <c r="C821" s="148"/>
      <c r="D821" s="148"/>
      <c r="E821" s="148"/>
      <c r="F821" s="148"/>
      <c r="G821" s="148"/>
      <c r="H821" s="148"/>
      <c r="I821" s="148"/>
      <c r="J821" s="148"/>
      <c r="K821" s="148"/>
      <c r="L821" s="148"/>
      <c r="M821" s="148"/>
      <c r="N821" s="148"/>
      <c r="O821" s="148"/>
      <c r="P821" s="148"/>
      <c r="Q821" s="148"/>
      <c r="R821" s="148"/>
      <c r="S821" s="148"/>
      <c r="T821" s="148"/>
      <c r="U821" s="148"/>
      <c r="V821" s="148"/>
      <c r="W821" s="148"/>
      <c r="X821" s="148"/>
      <c r="Y821" s="148"/>
      <c r="Z821" s="148"/>
      <c r="AA821" s="148"/>
      <c r="AB821" s="148"/>
      <c r="AC821" s="148"/>
      <c r="AD821" s="148"/>
      <c r="AE821" s="148"/>
    </row>
    <row r="822" spans="2:31">
      <c r="B822" s="148"/>
      <c r="C822" s="148"/>
      <c r="D822" s="148"/>
      <c r="E822" s="148"/>
      <c r="F822" s="148"/>
      <c r="G822" s="148"/>
      <c r="H822" s="148"/>
      <c r="I822" s="148"/>
      <c r="J822" s="148"/>
      <c r="K822" s="148"/>
      <c r="L822" s="148"/>
      <c r="M822" s="148"/>
      <c r="N822" s="148"/>
      <c r="O822" s="148"/>
      <c r="P822" s="148"/>
      <c r="Q822" s="148"/>
      <c r="R822" s="148"/>
      <c r="S822" s="148"/>
      <c r="T822" s="148"/>
      <c r="U822" s="148"/>
      <c r="V822" s="148"/>
      <c r="W822" s="148"/>
      <c r="X822" s="148"/>
      <c r="Y822" s="148"/>
      <c r="Z822" s="148"/>
      <c r="AA822" s="148"/>
      <c r="AB822" s="148"/>
      <c r="AC822" s="148"/>
      <c r="AD822" s="148"/>
      <c r="AE822" s="148"/>
    </row>
    <row r="823" spans="2:31">
      <c r="B823" s="148"/>
      <c r="C823" s="148"/>
      <c r="D823" s="148"/>
      <c r="E823" s="148"/>
      <c r="F823" s="148"/>
      <c r="G823" s="148"/>
      <c r="H823" s="148"/>
      <c r="I823" s="148"/>
      <c r="J823" s="148"/>
      <c r="K823" s="148"/>
      <c r="L823" s="148"/>
      <c r="M823" s="148"/>
      <c r="N823" s="148"/>
      <c r="O823" s="148"/>
      <c r="P823" s="148"/>
      <c r="Q823" s="148"/>
      <c r="R823" s="148"/>
      <c r="S823" s="148"/>
      <c r="T823" s="148"/>
      <c r="U823" s="148"/>
      <c r="V823" s="148"/>
      <c r="W823" s="148"/>
      <c r="X823" s="148"/>
      <c r="Y823" s="148"/>
      <c r="Z823" s="148"/>
      <c r="AA823" s="148"/>
      <c r="AB823" s="148"/>
      <c r="AC823" s="148"/>
      <c r="AD823" s="148"/>
      <c r="AE823" s="148"/>
    </row>
    <row r="824" spans="2:31">
      <c r="B824" s="148"/>
      <c r="C824" s="148"/>
      <c r="D824" s="148"/>
      <c r="E824" s="148"/>
      <c r="F824" s="148"/>
      <c r="G824" s="148"/>
      <c r="H824" s="148"/>
      <c r="I824" s="148"/>
      <c r="J824" s="148"/>
      <c r="K824" s="148"/>
      <c r="L824" s="148"/>
      <c r="M824" s="148"/>
      <c r="N824" s="148"/>
      <c r="O824" s="148"/>
      <c r="P824" s="148"/>
      <c r="Q824" s="148"/>
      <c r="R824" s="148"/>
      <c r="S824" s="148"/>
      <c r="T824" s="148"/>
      <c r="U824" s="148"/>
      <c r="V824" s="148"/>
      <c r="W824" s="148"/>
      <c r="X824" s="148"/>
      <c r="Y824" s="148"/>
      <c r="Z824" s="148"/>
      <c r="AA824" s="148"/>
      <c r="AB824" s="148"/>
      <c r="AC824" s="148"/>
      <c r="AD824" s="148"/>
      <c r="AE824" s="148"/>
    </row>
    <row r="825" spans="2:31">
      <c r="B825" s="148"/>
      <c r="C825" s="148"/>
      <c r="D825" s="148"/>
      <c r="E825" s="148"/>
      <c r="F825" s="148"/>
      <c r="G825" s="148"/>
      <c r="H825" s="148"/>
      <c r="I825" s="148"/>
      <c r="J825" s="148"/>
      <c r="K825" s="148"/>
      <c r="L825" s="148"/>
      <c r="M825" s="148"/>
      <c r="N825" s="148"/>
      <c r="O825" s="148"/>
      <c r="P825" s="148"/>
      <c r="Q825" s="148"/>
      <c r="R825" s="148"/>
      <c r="S825" s="148"/>
      <c r="T825" s="148"/>
      <c r="U825" s="148"/>
      <c r="V825" s="148"/>
      <c r="W825" s="148"/>
      <c r="X825" s="148"/>
      <c r="Y825" s="148"/>
      <c r="Z825" s="148"/>
      <c r="AA825" s="148"/>
      <c r="AB825" s="148"/>
      <c r="AC825" s="148"/>
      <c r="AD825" s="148"/>
      <c r="AE825" s="148"/>
    </row>
    <row r="826" spans="2:31">
      <c r="B826" s="148"/>
      <c r="C826" s="148"/>
      <c r="D826" s="148"/>
      <c r="E826" s="148"/>
      <c r="F826" s="148"/>
      <c r="G826" s="148"/>
      <c r="H826" s="148"/>
      <c r="I826" s="148"/>
      <c r="J826" s="148"/>
      <c r="K826" s="148"/>
      <c r="L826" s="148"/>
      <c r="M826" s="148"/>
      <c r="N826" s="148"/>
      <c r="O826" s="148"/>
      <c r="P826" s="148"/>
      <c r="Q826" s="148"/>
      <c r="R826" s="148"/>
      <c r="S826" s="148"/>
      <c r="T826" s="148"/>
      <c r="U826" s="148"/>
      <c r="V826" s="148"/>
      <c r="W826" s="148"/>
      <c r="X826" s="148"/>
      <c r="Y826" s="148"/>
      <c r="Z826" s="148"/>
      <c r="AA826" s="148"/>
      <c r="AB826" s="148"/>
      <c r="AC826" s="148"/>
      <c r="AD826" s="148"/>
      <c r="AE826" s="148"/>
    </row>
    <row r="827" spans="2:31">
      <c r="B827" s="148"/>
      <c r="C827" s="148"/>
      <c r="D827" s="148"/>
      <c r="E827" s="148"/>
      <c r="F827" s="148"/>
      <c r="G827" s="148"/>
      <c r="H827" s="148"/>
      <c r="I827" s="148"/>
      <c r="J827" s="148"/>
      <c r="K827" s="148"/>
      <c r="L827" s="148"/>
      <c r="M827" s="148"/>
      <c r="N827" s="148"/>
      <c r="O827" s="148"/>
      <c r="P827" s="148"/>
      <c r="Q827" s="148"/>
      <c r="R827" s="148"/>
      <c r="S827" s="148"/>
      <c r="T827" s="148"/>
      <c r="U827" s="148"/>
      <c r="V827" s="148"/>
      <c r="W827" s="148"/>
      <c r="X827" s="148"/>
      <c r="Y827" s="148"/>
      <c r="Z827" s="148"/>
      <c r="AA827" s="148"/>
      <c r="AB827" s="148"/>
      <c r="AC827" s="148"/>
      <c r="AD827" s="148"/>
      <c r="AE827" s="148"/>
    </row>
    <row r="828" spans="2:31">
      <c r="B828" s="148"/>
      <c r="C828" s="148"/>
      <c r="D828" s="148"/>
      <c r="E828" s="148"/>
      <c r="F828" s="148"/>
      <c r="G828" s="148"/>
      <c r="H828" s="148"/>
      <c r="I828" s="148"/>
      <c r="J828" s="148"/>
      <c r="K828" s="148"/>
      <c r="L828" s="148"/>
      <c r="M828" s="148"/>
      <c r="N828" s="148"/>
      <c r="O828" s="148"/>
      <c r="P828" s="148"/>
      <c r="Q828" s="148"/>
      <c r="R828" s="148"/>
      <c r="S828" s="148"/>
      <c r="T828" s="148"/>
      <c r="U828" s="148"/>
      <c r="V828" s="148"/>
      <c r="W828" s="148"/>
      <c r="X828" s="148"/>
      <c r="Y828" s="148"/>
      <c r="Z828" s="148"/>
      <c r="AA828" s="148"/>
      <c r="AB828" s="148"/>
      <c r="AC828" s="148"/>
      <c r="AD828" s="148"/>
      <c r="AE828" s="148"/>
    </row>
    <row r="829" spans="2:31">
      <c r="B829" s="148"/>
      <c r="C829" s="148"/>
      <c r="D829" s="148"/>
      <c r="E829" s="148"/>
      <c r="F829" s="148"/>
      <c r="G829" s="148"/>
      <c r="H829" s="148"/>
      <c r="I829" s="148"/>
      <c r="J829" s="148"/>
      <c r="K829" s="148"/>
      <c r="L829" s="148"/>
      <c r="M829" s="148"/>
      <c r="N829" s="148"/>
      <c r="O829" s="148"/>
      <c r="P829" s="148"/>
      <c r="Q829" s="148"/>
      <c r="R829" s="148"/>
      <c r="S829" s="148"/>
      <c r="T829" s="148"/>
      <c r="U829" s="148"/>
      <c r="V829" s="148"/>
      <c r="W829" s="148"/>
      <c r="X829" s="148"/>
      <c r="Y829" s="148"/>
      <c r="Z829" s="148"/>
      <c r="AA829" s="148"/>
      <c r="AB829" s="148"/>
      <c r="AC829" s="148"/>
      <c r="AD829" s="148"/>
      <c r="AE829" s="148"/>
    </row>
    <row r="830" spans="2:31">
      <c r="B830" s="148"/>
      <c r="C830" s="148"/>
      <c r="D830" s="148"/>
      <c r="E830" s="148"/>
      <c r="F830" s="148"/>
      <c r="G830" s="148"/>
      <c r="H830" s="148"/>
      <c r="I830" s="148"/>
      <c r="J830" s="148"/>
      <c r="K830" s="148"/>
      <c r="L830" s="148"/>
      <c r="M830" s="148"/>
      <c r="N830" s="148"/>
      <c r="O830" s="148"/>
      <c r="P830" s="148"/>
      <c r="Q830" s="148"/>
      <c r="R830" s="148"/>
      <c r="S830" s="148"/>
      <c r="T830" s="148"/>
      <c r="U830" s="148"/>
      <c r="V830" s="148"/>
      <c r="W830" s="148"/>
      <c r="X830" s="148"/>
      <c r="Y830" s="148"/>
      <c r="Z830" s="148"/>
      <c r="AA830" s="148"/>
      <c r="AB830" s="148"/>
      <c r="AC830" s="148"/>
      <c r="AD830" s="148"/>
      <c r="AE830" s="148"/>
    </row>
    <row r="831" spans="2:31">
      <c r="B831" s="148"/>
      <c r="C831" s="148"/>
      <c r="D831" s="148"/>
      <c r="E831" s="148"/>
      <c r="F831" s="148"/>
      <c r="G831" s="148"/>
      <c r="H831" s="148"/>
      <c r="I831" s="148"/>
      <c r="J831" s="148"/>
      <c r="K831" s="148"/>
      <c r="L831" s="148"/>
      <c r="M831" s="148"/>
      <c r="N831" s="148"/>
      <c r="O831" s="148"/>
      <c r="P831" s="148"/>
      <c r="Q831" s="148"/>
      <c r="R831" s="148"/>
      <c r="S831" s="148"/>
      <c r="T831" s="148"/>
      <c r="U831" s="148"/>
      <c r="V831" s="148"/>
      <c r="W831" s="148"/>
      <c r="X831" s="148"/>
      <c r="Y831" s="148"/>
      <c r="Z831" s="148"/>
      <c r="AA831" s="148"/>
      <c r="AB831" s="148"/>
      <c r="AC831" s="148"/>
      <c r="AD831" s="148"/>
      <c r="AE831" s="148"/>
    </row>
    <row r="832" spans="2:31">
      <c r="B832" s="148"/>
      <c r="C832" s="148"/>
      <c r="D832" s="148"/>
      <c r="E832" s="148"/>
      <c r="F832" s="148"/>
      <c r="G832" s="148"/>
      <c r="H832" s="148"/>
      <c r="I832" s="148"/>
      <c r="J832" s="148"/>
      <c r="K832" s="148"/>
      <c r="L832" s="148"/>
      <c r="M832" s="148"/>
      <c r="N832" s="148"/>
      <c r="O832" s="148"/>
      <c r="P832" s="148"/>
      <c r="Q832" s="148"/>
      <c r="R832" s="148"/>
      <c r="S832" s="148"/>
      <c r="T832" s="148"/>
      <c r="U832" s="148"/>
      <c r="V832" s="148"/>
      <c r="W832" s="148"/>
      <c r="X832" s="148"/>
      <c r="Y832" s="148"/>
      <c r="Z832" s="148"/>
      <c r="AA832" s="148"/>
      <c r="AB832" s="148"/>
      <c r="AC832" s="148"/>
      <c r="AD832" s="148"/>
      <c r="AE832" s="148"/>
    </row>
    <row r="833" spans="2:31">
      <c r="B833" s="148"/>
      <c r="C833" s="148"/>
      <c r="D833" s="148"/>
      <c r="E833" s="148"/>
      <c r="F833" s="148"/>
      <c r="G833" s="148"/>
      <c r="H833" s="148"/>
      <c r="I833" s="148"/>
      <c r="J833" s="148"/>
      <c r="K833" s="148"/>
      <c r="L833" s="148"/>
      <c r="M833" s="148"/>
      <c r="N833" s="148"/>
      <c r="O833" s="148"/>
      <c r="P833" s="148"/>
      <c r="Q833" s="148"/>
      <c r="R833" s="148"/>
      <c r="S833" s="148"/>
      <c r="T833" s="148"/>
      <c r="U833" s="148"/>
      <c r="V833" s="148"/>
      <c r="W833" s="148"/>
      <c r="X833" s="148"/>
      <c r="Y833" s="148"/>
      <c r="Z833" s="148"/>
      <c r="AA833" s="148"/>
      <c r="AB833" s="148"/>
      <c r="AC833" s="148"/>
      <c r="AD833" s="148"/>
      <c r="AE833" s="148"/>
    </row>
    <row r="834" spans="2:31">
      <c r="B834" s="148"/>
      <c r="C834" s="148"/>
      <c r="D834" s="148"/>
      <c r="E834" s="148"/>
      <c r="F834" s="148"/>
      <c r="G834" s="148"/>
      <c r="H834" s="148"/>
      <c r="I834" s="148"/>
      <c r="J834" s="148"/>
      <c r="K834" s="148"/>
      <c r="L834" s="148"/>
      <c r="M834" s="148"/>
      <c r="N834" s="148"/>
      <c r="O834" s="148"/>
      <c r="P834" s="148"/>
      <c r="Q834" s="148"/>
      <c r="R834" s="148"/>
      <c r="S834" s="148"/>
      <c r="T834" s="148"/>
      <c r="U834" s="148"/>
      <c r="V834" s="148"/>
      <c r="W834" s="148"/>
      <c r="X834" s="148"/>
      <c r="Y834" s="148"/>
      <c r="Z834" s="148"/>
      <c r="AA834" s="148"/>
      <c r="AB834" s="148"/>
      <c r="AC834" s="148"/>
      <c r="AD834" s="148"/>
      <c r="AE834" s="148"/>
    </row>
    <row r="835" spans="2:31">
      <c r="B835" s="148"/>
      <c r="C835" s="148"/>
      <c r="D835" s="148"/>
      <c r="E835" s="148"/>
      <c r="F835" s="148"/>
      <c r="G835" s="148"/>
      <c r="H835" s="148"/>
      <c r="I835" s="148"/>
      <c r="J835" s="148"/>
      <c r="K835" s="148"/>
      <c r="L835" s="148"/>
      <c r="M835" s="148"/>
      <c r="N835" s="148"/>
      <c r="O835" s="148"/>
      <c r="P835" s="148"/>
      <c r="Q835" s="148"/>
      <c r="R835" s="148"/>
      <c r="S835" s="148"/>
      <c r="T835" s="148"/>
      <c r="U835" s="148"/>
      <c r="V835" s="148"/>
      <c r="W835" s="148"/>
      <c r="X835" s="148"/>
      <c r="Y835" s="148"/>
      <c r="Z835" s="148"/>
      <c r="AA835" s="148"/>
      <c r="AB835" s="148"/>
      <c r="AC835" s="148"/>
      <c r="AD835" s="148"/>
      <c r="AE835" s="148"/>
    </row>
    <row r="836" spans="2:31">
      <c r="B836" s="148"/>
      <c r="C836" s="148"/>
      <c r="D836" s="148"/>
      <c r="E836" s="148"/>
      <c r="F836" s="148"/>
      <c r="G836" s="148"/>
      <c r="H836" s="148"/>
      <c r="I836" s="148"/>
      <c r="J836" s="148"/>
      <c r="K836" s="148"/>
      <c r="L836" s="148"/>
      <c r="M836" s="148"/>
      <c r="N836" s="148"/>
      <c r="O836" s="148"/>
      <c r="P836" s="148"/>
      <c r="Q836" s="148"/>
      <c r="R836" s="148"/>
      <c r="S836" s="148"/>
      <c r="T836" s="148"/>
      <c r="U836" s="148"/>
      <c r="V836" s="148"/>
      <c r="W836" s="148"/>
      <c r="X836" s="148"/>
      <c r="Y836" s="148"/>
      <c r="Z836" s="148"/>
      <c r="AA836" s="148"/>
      <c r="AB836" s="148"/>
      <c r="AC836" s="148"/>
      <c r="AD836" s="148"/>
      <c r="AE836" s="148"/>
    </row>
    <row r="837" spans="2:31">
      <c r="B837" s="148"/>
      <c r="C837" s="148"/>
      <c r="D837" s="148"/>
      <c r="E837" s="148"/>
      <c r="F837" s="148"/>
      <c r="G837" s="148"/>
      <c r="H837" s="148"/>
      <c r="I837" s="148"/>
      <c r="J837" s="148"/>
      <c r="K837" s="148"/>
      <c r="L837" s="148"/>
      <c r="M837" s="148"/>
      <c r="N837" s="148"/>
      <c r="O837" s="148"/>
      <c r="P837" s="148"/>
      <c r="Q837" s="148"/>
      <c r="R837" s="148"/>
      <c r="S837" s="148"/>
      <c r="T837" s="148"/>
      <c r="U837" s="148"/>
      <c r="V837" s="148"/>
      <c r="W837" s="148"/>
      <c r="X837" s="148"/>
      <c r="Y837" s="148"/>
      <c r="Z837" s="148"/>
      <c r="AA837" s="148"/>
      <c r="AB837" s="148"/>
      <c r="AC837" s="148"/>
      <c r="AD837" s="148"/>
      <c r="AE837" s="148"/>
    </row>
    <row r="838" spans="2:31">
      <c r="B838" s="148"/>
      <c r="C838" s="148"/>
      <c r="D838" s="148"/>
      <c r="E838" s="148"/>
      <c r="F838" s="148"/>
      <c r="G838" s="148"/>
      <c r="H838" s="148"/>
      <c r="I838" s="148"/>
      <c r="J838" s="148"/>
      <c r="K838" s="148"/>
      <c r="L838" s="148"/>
      <c r="M838" s="148"/>
      <c r="N838" s="148"/>
      <c r="O838" s="148"/>
      <c r="P838" s="148"/>
      <c r="Q838" s="148"/>
      <c r="R838" s="148"/>
      <c r="S838" s="148"/>
      <c r="T838" s="148"/>
      <c r="U838" s="148"/>
      <c r="V838" s="148"/>
      <c r="W838" s="148"/>
      <c r="X838" s="148"/>
      <c r="Y838" s="148"/>
      <c r="Z838" s="148"/>
      <c r="AA838" s="148"/>
      <c r="AB838" s="148"/>
      <c r="AC838" s="148"/>
      <c r="AD838" s="148"/>
      <c r="AE838" s="148"/>
    </row>
    <row r="839" spans="2:31">
      <c r="B839" s="148"/>
      <c r="C839" s="148"/>
      <c r="D839" s="148"/>
      <c r="E839" s="148"/>
      <c r="F839" s="148"/>
      <c r="G839" s="148"/>
      <c r="H839" s="148"/>
      <c r="I839" s="148"/>
      <c r="J839" s="148"/>
      <c r="K839" s="148"/>
      <c r="L839" s="148"/>
      <c r="M839" s="148"/>
      <c r="N839" s="148"/>
      <c r="O839" s="148"/>
      <c r="P839" s="148"/>
      <c r="Q839" s="148"/>
      <c r="R839" s="148"/>
      <c r="S839" s="148"/>
      <c r="T839" s="148"/>
      <c r="U839" s="148"/>
      <c r="V839" s="148"/>
      <c r="W839" s="148"/>
      <c r="X839" s="148"/>
      <c r="Y839" s="148"/>
      <c r="Z839" s="148"/>
      <c r="AA839" s="148"/>
      <c r="AB839" s="148"/>
      <c r="AC839" s="148"/>
      <c r="AD839" s="148"/>
      <c r="AE839" s="148"/>
    </row>
    <row r="840" spans="2:31">
      <c r="B840" s="148"/>
      <c r="C840" s="148"/>
      <c r="D840" s="148"/>
      <c r="E840" s="148"/>
      <c r="F840" s="148"/>
      <c r="G840" s="148"/>
      <c r="H840" s="148"/>
      <c r="I840" s="148"/>
      <c r="J840" s="148"/>
      <c r="K840" s="148"/>
      <c r="L840" s="148"/>
      <c r="M840" s="148"/>
      <c r="N840" s="148"/>
      <c r="O840" s="148"/>
      <c r="P840" s="148"/>
      <c r="Q840" s="148"/>
      <c r="R840" s="148"/>
      <c r="S840" s="148"/>
      <c r="T840" s="148"/>
      <c r="U840" s="148"/>
      <c r="V840" s="148"/>
      <c r="W840" s="148"/>
      <c r="X840" s="148"/>
      <c r="Y840" s="148"/>
      <c r="Z840" s="148"/>
      <c r="AA840" s="148"/>
      <c r="AB840" s="148"/>
      <c r="AC840" s="148"/>
      <c r="AD840" s="148"/>
      <c r="AE840" s="148"/>
    </row>
    <row r="841" spans="2:31">
      <c r="B841" s="148"/>
      <c r="C841" s="148"/>
      <c r="D841" s="148"/>
      <c r="E841" s="148"/>
      <c r="F841" s="148"/>
      <c r="G841" s="148"/>
      <c r="H841" s="148"/>
      <c r="I841" s="148"/>
      <c r="J841" s="148"/>
      <c r="K841" s="148"/>
      <c r="L841" s="148"/>
      <c r="M841" s="148"/>
      <c r="N841" s="148"/>
      <c r="O841" s="148"/>
      <c r="P841" s="148"/>
      <c r="Q841" s="148"/>
      <c r="R841" s="148"/>
      <c r="S841" s="148"/>
      <c r="T841" s="148"/>
      <c r="U841" s="148"/>
      <c r="V841" s="148"/>
      <c r="W841" s="148"/>
      <c r="X841" s="148"/>
      <c r="Y841" s="148"/>
      <c r="Z841" s="148"/>
      <c r="AA841" s="148"/>
      <c r="AB841" s="148"/>
      <c r="AC841" s="148"/>
      <c r="AD841" s="148"/>
      <c r="AE841" s="148"/>
    </row>
    <row r="842" spans="2:31">
      <c r="B842" s="148"/>
      <c r="C842" s="148"/>
      <c r="D842" s="148"/>
      <c r="E842" s="148"/>
      <c r="F842" s="148"/>
      <c r="G842" s="148"/>
      <c r="H842" s="148"/>
      <c r="I842" s="148"/>
      <c r="J842" s="148"/>
      <c r="K842" s="148"/>
      <c r="L842" s="148"/>
      <c r="M842" s="148"/>
      <c r="N842" s="148"/>
      <c r="O842" s="148"/>
      <c r="P842" s="148"/>
      <c r="Q842" s="148"/>
      <c r="R842" s="148"/>
      <c r="S842" s="148"/>
      <c r="T842" s="148"/>
      <c r="U842" s="148"/>
      <c r="V842" s="148"/>
      <c r="W842" s="148"/>
      <c r="X842" s="148"/>
      <c r="Y842" s="148"/>
      <c r="Z842" s="148"/>
      <c r="AA842" s="148"/>
      <c r="AB842" s="148"/>
      <c r="AC842" s="148"/>
      <c r="AD842" s="148"/>
      <c r="AE842" s="148"/>
    </row>
    <row r="843" spans="2:31">
      <c r="B843" s="148"/>
      <c r="C843" s="148"/>
      <c r="D843" s="148"/>
      <c r="E843" s="148"/>
      <c r="F843" s="148"/>
      <c r="G843" s="148"/>
      <c r="H843" s="148"/>
      <c r="I843" s="148"/>
      <c r="J843" s="148"/>
      <c r="K843" s="148"/>
      <c r="L843" s="148"/>
      <c r="M843" s="148"/>
      <c r="N843" s="148"/>
      <c r="O843" s="148"/>
      <c r="P843" s="148"/>
      <c r="Q843" s="148"/>
      <c r="R843" s="148"/>
      <c r="S843" s="148"/>
      <c r="T843" s="148"/>
      <c r="U843" s="148"/>
      <c r="V843" s="148"/>
      <c r="W843" s="148"/>
      <c r="X843" s="148"/>
      <c r="Y843" s="148"/>
      <c r="Z843" s="148"/>
      <c r="AA843" s="148"/>
      <c r="AB843" s="148"/>
      <c r="AC843" s="148"/>
      <c r="AD843" s="148"/>
      <c r="AE843" s="148"/>
    </row>
    <row r="844" spans="2:31">
      <c r="B844" s="148"/>
      <c r="C844" s="148"/>
      <c r="D844" s="148"/>
      <c r="E844" s="148"/>
      <c r="F844" s="148"/>
      <c r="G844" s="148"/>
      <c r="H844" s="148"/>
      <c r="I844" s="148"/>
      <c r="J844" s="148"/>
      <c r="K844" s="148"/>
      <c r="L844" s="148"/>
      <c r="M844" s="148"/>
      <c r="N844" s="148"/>
      <c r="O844" s="148"/>
      <c r="P844" s="148"/>
      <c r="Q844" s="148"/>
      <c r="R844" s="148"/>
      <c r="S844" s="148"/>
      <c r="T844" s="148"/>
      <c r="U844" s="148"/>
      <c r="V844" s="148"/>
      <c r="W844" s="148"/>
      <c r="X844" s="148"/>
      <c r="Y844" s="148"/>
      <c r="Z844" s="148"/>
      <c r="AA844" s="148"/>
      <c r="AB844" s="148"/>
      <c r="AC844" s="148"/>
      <c r="AD844" s="148"/>
      <c r="AE844" s="148"/>
    </row>
    <row r="845" spans="2:31">
      <c r="B845" s="148"/>
      <c r="C845" s="148"/>
      <c r="D845" s="148"/>
      <c r="E845" s="148"/>
      <c r="F845" s="148"/>
      <c r="G845" s="148"/>
      <c r="H845" s="148"/>
      <c r="I845" s="148"/>
      <c r="J845" s="148"/>
      <c r="K845" s="148"/>
      <c r="L845" s="148"/>
      <c r="M845" s="148"/>
      <c r="N845" s="148"/>
      <c r="O845" s="148"/>
      <c r="P845" s="148"/>
      <c r="Q845" s="148"/>
      <c r="R845" s="148"/>
      <c r="S845" s="148"/>
      <c r="T845" s="148"/>
      <c r="U845" s="148"/>
      <c r="V845" s="148"/>
      <c r="W845" s="148"/>
      <c r="X845" s="148"/>
      <c r="Y845" s="148"/>
      <c r="Z845" s="148"/>
      <c r="AA845" s="148"/>
      <c r="AB845" s="148"/>
      <c r="AC845" s="148"/>
      <c r="AD845" s="148"/>
      <c r="AE845" s="148"/>
    </row>
    <row r="846" spans="2:31">
      <c r="B846" s="148"/>
      <c r="C846" s="148"/>
      <c r="D846" s="148"/>
      <c r="E846" s="148"/>
      <c r="F846" s="148"/>
      <c r="G846" s="148"/>
      <c r="H846" s="148"/>
      <c r="I846" s="148"/>
      <c r="J846" s="148"/>
      <c r="K846" s="148"/>
      <c r="L846" s="148"/>
      <c r="M846" s="148"/>
      <c r="N846" s="148"/>
      <c r="O846" s="148"/>
      <c r="P846" s="148"/>
      <c r="Q846" s="148"/>
      <c r="R846" s="148"/>
      <c r="S846" s="148"/>
      <c r="T846" s="148"/>
      <c r="U846" s="148"/>
      <c r="V846" s="148"/>
      <c r="W846" s="148"/>
      <c r="X846" s="148"/>
      <c r="Y846" s="148"/>
      <c r="Z846" s="148"/>
      <c r="AA846" s="148"/>
      <c r="AB846" s="148"/>
      <c r="AC846" s="148"/>
      <c r="AD846" s="148"/>
      <c r="AE846" s="148"/>
    </row>
    <row r="847" spans="2:31">
      <c r="B847" s="148"/>
      <c r="C847" s="148"/>
      <c r="D847" s="148"/>
      <c r="E847" s="148"/>
      <c r="F847" s="148"/>
      <c r="G847" s="148"/>
      <c r="H847" s="148"/>
      <c r="I847" s="148"/>
      <c r="J847" s="148"/>
      <c r="K847" s="148"/>
      <c r="L847" s="148"/>
      <c r="M847" s="148"/>
      <c r="N847" s="148"/>
      <c r="O847" s="148"/>
      <c r="P847" s="148"/>
      <c r="Q847" s="148"/>
      <c r="R847" s="148"/>
      <c r="S847" s="148"/>
      <c r="T847" s="148"/>
      <c r="U847" s="148"/>
      <c r="V847" s="148"/>
      <c r="W847" s="148"/>
      <c r="X847" s="148"/>
      <c r="Y847" s="148"/>
      <c r="Z847" s="148"/>
      <c r="AA847" s="148"/>
      <c r="AB847" s="148"/>
      <c r="AC847" s="148"/>
      <c r="AD847" s="148"/>
      <c r="AE847" s="148"/>
    </row>
    <row r="848" spans="2:31">
      <c r="B848" s="148"/>
      <c r="C848" s="148"/>
      <c r="D848" s="148"/>
      <c r="E848" s="148"/>
      <c r="F848" s="148"/>
      <c r="G848" s="148"/>
      <c r="H848" s="148"/>
      <c r="I848" s="148"/>
      <c r="J848" s="148"/>
      <c r="K848" s="148"/>
      <c r="L848" s="148"/>
      <c r="M848" s="148"/>
      <c r="N848" s="148"/>
      <c r="O848" s="148"/>
      <c r="P848" s="148"/>
      <c r="Q848" s="148"/>
      <c r="R848" s="148"/>
      <c r="S848" s="148"/>
      <c r="T848" s="148"/>
      <c r="U848" s="148"/>
      <c r="V848" s="148"/>
      <c r="W848" s="148"/>
      <c r="X848" s="148"/>
      <c r="Y848" s="148"/>
      <c r="Z848" s="148"/>
      <c r="AA848" s="148"/>
      <c r="AB848" s="148"/>
      <c r="AC848" s="148"/>
      <c r="AD848" s="148"/>
      <c r="AE848" s="148"/>
    </row>
    <row r="849" spans="2:31">
      <c r="B849" s="148"/>
      <c r="C849" s="148"/>
      <c r="D849" s="148"/>
      <c r="E849" s="148"/>
      <c r="F849" s="148"/>
      <c r="G849" s="148"/>
      <c r="H849" s="148"/>
      <c r="I849" s="148"/>
      <c r="J849" s="148"/>
      <c r="K849" s="148"/>
      <c r="L849" s="148"/>
      <c r="M849" s="148"/>
      <c r="N849" s="148"/>
      <c r="O849" s="148"/>
      <c r="P849" s="148"/>
      <c r="Q849" s="148"/>
      <c r="R849" s="148"/>
      <c r="S849" s="148"/>
      <c r="T849" s="148"/>
      <c r="U849" s="148"/>
      <c r="V849" s="148"/>
      <c r="W849" s="148"/>
      <c r="X849" s="148"/>
      <c r="Y849" s="148"/>
      <c r="Z849" s="148"/>
      <c r="AA849" s="148"/>
      <c r="AB849" s="148"/>
      <c r="AC849" s="148"/>
      <c r="AD849" s="148"/>
      <c r="AE849" s="148"/>
    </row>
    <row r="850" spans="2:31">
      <c r="B850" s="148"/>
      <c r="C850" s="148"/>
      <c r="D850" s="148"/>
      <c r="E850" s="148"/>
      <c r="F850" s="148"/>
      <c r="G850" s="148"/>
      <c r="H850" s="148"/>
      <c r="I850" s="148"/>
      <c r="J850" s="148"/>
      <c r="K850" s="148"/>
      <c r="L850" s="148"/>
      <c r="M850" s="148"/>
      <c r="N850" s="148"/>
      <c r="O850" s="148"/>
      <c r="P850" s="148"/>
      <c r="Q850" s="148"/>
      <c r="R850" s="148"/>
      <c r="S850" s="148"/>
      <c r="T850" s="148"/>
      <c r="U850" s="148"/>
      <c r="V850" s="148"/>
      <c r="W850" s="148"/>
      <c r="X850" s="148"/>
      <c r="Y850" s="148"/>
      <c r="Z850" s="148"/>
      <c r="AA850" s="148"/>
      <c r="AB850" s="148"/>
      <c r="AC850" s="148"/>
      <c r="AD850" s="148"/>
      <c r="AE850" s="148"/>
    </row>
    <row r="851" spans="2:31">
      <c r="B851" s="148"/>
      <c r="C851" s="148"/>
      <c r="D851" s="148"/>
      <c r="E851" s="148"/>
      <c r="F851" s="148"/>
      <c r="G851" s="148"/>
      <c r="H851" s="148"/>
      <c r="I851" s="148"/>
      <c r="J851" s="148"/>
      <c r="K851" s="148"/>
      <c r="L851" s="148"/>
      <c r="M851" s="148"/>
      <c r="N851" s="148"/>
      <c r="O851" s="148"/>
      <c r="P851" s="148"/>
      <c r="Q851" s="148"/>
      <c r="R851" s="148"/>
      <c r="S851" s="148"/>
      <c r="T851" s="148"/>
      <c r="U851" s="148"/>
      <c r="V851" s="148"/>
      <c r="W851" s="148"/>
      <c r="X851" s="148"/>
      <c r="Y851" s="148"/>
      <c r="Z851" s="148"/>
      <c r="AA851" s="148"/>
      <c r="AB851" s="148"/>
      <c r="AC851" s="148"/>
      <c r="AD851" s="148"/>
      <c r="AE851" s="148"/>
    </row>
    <row r="852" spans="2:31">
      <c r="B852" s="148"/>
      <c r="C852" s="148"/>
      <c r="D852" s="148"/>
      <c r="E852" s="148"/>
      <c r="F852" s="148"/>
      <c r="G852" s="148"/>
      <c r="H852" s="148"/>
      <c r="I852" s="148"/>
      <c r="J852" s="148"/>
      <c r="K852" s="148"/>
      <c r="L852" s="148"/>
      <c r="M852" s="148"/>
      <c r="N852" s="148"/>
      <c r="O852" s="148"/>
      <c r="P852" s="148"/>
      <c r="Q852" s="148"/>
      <c r="R852" s="148"/>
      <c r="S852" s="148"/>
      <c r="T852" s="148"/>
      <c r="U852" s="148"/>
      <c r="V852" s="148"/>
      <c r="W852" s="148"/>
      <c r="X852" s="148"/>
      <c r="Y852" s="148"/>
      <c r="Z852" s="148"/>
      <c r="AA852" s="148"/>
      <c r="AB852" s="148"/>
      <c r="AC852" s="148"/>
      <c r="AD852" s="148"/>
      <c r="AE852" s="148"/>
    </row>
    <row r="853" spans="2:31">
      <c r="B853" s="148"/>
      <c r="C853" s="148"/>
      <c r="D853" s="148"/>
      <c r="E853" s="148"/>
      <c r="F853" s="148"/>
      <c r="G853" s="148"/>
      <c r="H853" s="148"/>
      <c r="I853" s="148"/>
      <c r="J853" s="148"/>
      <c r="K853" s="148"/>
      <c r="L853" s="148"/>
      <c r="M853" s="148"/>
      <c r="N853" s="148"/>
      <c r="O853" s="148"/>
      <c r="P853" s="148"/>
      <c r="Q853" s="148"/>
      <c r="R853" s="148"/>
      <c r="S853" s="148"/>
      <c r="T853" s="148"/>
      <c r="U853" s="148"/>
      <c r="V853" s="148"/>
      <c r="W853" s="148"/>
      <c r="X853" s="148"/>
      <c r="Y853" s="148"/>
      <c r="Z853" s="148"/>
      <c r="AA853" s="148"/>
      <c r="AB853" s="148"/>
      <c r="AC853" s="148"/>
      <c r="AD853" s="148"/>
      <c r="AE853" s="148"/>
    </row>
    <row r="854" spans="2:31">
      <c r="B854" s="148"/>
      <c r="C854" s="148"/>
      <c r="D854" s="148"/>
      <c r="E854" s="148"/>
      <c r="F854" s="148"/>
      <c r="G854" s="148"/>
      <c r="H854" s="148"/>
      <c r="I854" s="148"/>
      <c r="J854" s="148"/>
      <c r="K854" s="148"/>
      <c r="L854" s="148"/>
      <c r="M854" s="148"/>
      <c r="N854" s="148"/>
      <c r="O854" s="148"/>
      <c r="P854" s="148"/>
      <c r="Q854" s="148"/>
      <c r="R854" s="148"/>
      <c r="S854" s="148"/>
      <c r="T854" s="148"/>
      <c r="U854" s="148"/>
      <c r="V854" s="148"/>
      <c r="W854" s="148"/>
      <c r="X854" s="148"/>
      <c r="Y854" s="148"/>
      <c r="Z854" s="148"/>
      <c r="AA854" s="148"/>
      <c r="AB854" s="148"/>
      <c r="AC854" s="148"/>
      <c r="AD854" s="148"/>
      <c r="AE854" s="148"/>
    </row>
    <row r="855" spans="2:31">
      <c r="B855" s="148"/>
      <c r="C855" s="148"/>
      <c r="D855" s="148"/>
      <c r="E855" s="148"/>
      <c r="F855" s="148"/>
      <c r="G855" s="148"/>
      <c r="H855" s="148"/>
      <c r="I855" s="148"/>
      <c r="J855" s="148"/>
      <c r="K855" s="148"/>
      <c r="L855" s="148"/>
      <c r="M855" s="148"/>
      <c r="N855" s="148"/>
      <c r="O855" s="148"/>
      <c r="P855" s="148"/>
      <c r="Q855" s="148"/>
      <c r="R855" s="148"/>
      <c r="S855" s="148"/>
      <c r="T855" s="148"/>
      <c r="U855" s="148"/>
      <c r="V855" s="148"/>
      <c r="W855" s="148"/>
      <c r="X855" s="148"/>
      <c r="Y855" s="148"/>
      <c r="Z855" s="148"/>
      <c r="AA855" s="148"/>
      <c r="AB855" s="148"/>
      <c r="AC855" s="148"/>
      <c r="AD855" s="148"/>
      <c r="AE855" s="148"/>
    </row>
    <row r="856" spans="2:31">
      <c r="B856" s="148"/>
      <c r="C856" s="148"/>
      <c r="D856" s="148"/>
      <c r="E856" s="148"/>
      <c r="F856" s="148"/>
      <c r="G856" s="148"/>
      <c r="H856" s="148"/>
      <c r="I856" s="148"/>
      <c r="J856" s="148"/>
      <c r="K856" s="148"/>
      <c r="L856" s="148"/>
      <c r="M856" s="148"/>
      <c r="N856" s="148"/>
      <c r="O856" s="148"/>
      <c r="P856" s="148"/>
      <c r="Q856" s="148"/>
      <c r="R856" s="148"/>
      <c r="S856" s="148"/>
      <c r="T856" s="148"/>
      <c r="U856" s="148"/>
      <c r="V856" s="148"/>
      <c r="W856" s="148"/>
      <c r="X856" s="148"/>
      <c r="Y856" s="148"/>
      <c r="Z856" s="148"/>
      <c r="AA856" s="148"/>
      <c r="AB856" s="148"/>
      <c r="AC856" s="148"/>
      <c r="AD856" s="148"/>
      <c r="AE856" s="148"/>
    </row>
    <row r="857" spans="2:31">
      <c r="B857" s="148"/>
      <c r="C857" s="148"/>
      <c r="D857" s="148"/>
      <c r="E857" s="148"/>
      <c r="F857" s="148"/>
      <c r="G857" s="148"/>
      <c r="H857" s="148"/>
      <c r="I857" s="148"/>
      <c r="J857" s="148"/>
      <c r="K857" s="148"/>
      <c r="L857" s="148"/>
      <c r="M857" s="148"/>
      <c r="N857" s="148"/>
      <c r="O857" s="148"/>
      <c r="P857" s="148"/>
      <c r="Q857" s="148"/>
      <c r="R857" s="148"/>
      <c r="S857" s="148"/>
      <c r="T857" s="148"/>
      <c r="U857" s="148"/>
      <c r="V857" s="148"/>
      <c r="W857" s="148"/>
      <c r="X857" s="148"/>
      <c r="Y857" s="148"/>
      <c r="Z857" s="148"/>
      <c r="AA857" s="148"/>
      <c r="AB857" s="148"/>
      <c r="AC857" s="148"/>
      <c r="AD857" s="148"/>
      <c r="AE857" s="148"/>
    </row>
    <row r="858" spans="2:31">
      <c r="B858" s="148"/>
      <c r="C858" s="148"/>
      <c r="D858" s="148"/>
      <c r="E858" s="148"/>
      <c r="F858" s="148"/>
      <c r="G858" s="148"/>
      <c r="H858" s="148"/>
      <c r="I858" s="148"/>
      <c r="J858" s="148"/>
      <c r="K858" s="148"/>
      <c r="L858" s="148"/>
      <c r="M858" s="148"/>
      <c r="N858" s="148"/>
      <c r="O858" s="148"/>
      <c r="P858" s="148"/>
      <c r="Q858" s="148"/>
      <c r="R858" s="148"/>
      <c r="S858" s="148"/>
      <c r="T858" s="148"/>
      <c r="U858" s="148"/>
      <c r="V858" s="148"/>
      <c r="W858" s="148"/>
      <c r="X858" s="148"/>
      <c r="Y858" s="148"/>
      <c r="Z858" s="148"/>
      <c r="AA858" s="148"/>
      <c r="AB858" s="148"/>
      <c r="AC858" s="148"/>
      <c r="AD858" s="148"/>
      <c r="AE858" s="148"/>
    </row>
    <row r="859" spans="2:31">
      <c r="B859" s="148"/>
      <c r="C859" s="148"/>
      <c r="D859" s="148"/>
      <c r="E859" s="148"/>
      <c r="F859" s="148"/>
      <c r="G859" s="148"/>
      <c r="H859" s="148"/>
      <c r="I859" s="148"/>
      <c r="J859" s="148"/>
      <c r="K859" s="148"/>
      <c r="L859" s="148"/>
      <c r="M859" s="148"/>
      <c r="N859" s="148"/>
      <c r="O859" s="148"/>
      <c r="P859" s="148"/>
      <c r="Q859" s="148"/>
      <c r="R859" s="148"/>
      <c r="S859" s="148"/>
      <c r="T859" s="148"/>
      <c r="U859" s="148"/>
      <c r="V859" s="148"/>
      <c r="W859" s="148"/>
      <c r="X859" s="148"/>
      <c r="Y859" s="148"/>
      <c r="Z859" s="148"/>
      <c r="AA859" s="148"/>
      <c r="AB859" s="148"/>
      <c r="AC859" s="148"/>
      <c r="AD859" s="148"/>
      <c r="AE859" s="148"/>
    </row>
    <row r="860" spans="2:31">
      <c r="B860" s="148"/>
      <c r="C860" s="148"/>
      <c r="D860" s="148"/>
      <c r="E860" s="148"/>
      <c r="F860" s="148"/>
      <c r="G860" s="148"/>
      <c r="H860" s="148"/>
      <c r="I860" s="148"/>
      <c r="J860" s="148"/>
      <c r="K860" s="148"/>
      <c r="L860" s="148"/>
      <c r="M860" s="148"/>
      <c r="N860" s="148"/>
      <c r="O860" s="148"/>
      <c r="P860" s="148"/>
      <c r="Q860" s="148"/>
      <c r="R860" s="148"/>
      <c r="S860" s="148"/>
      <c r="T860" s="148"/>
      <c r="U860" s="148"/>
      <c r="V860" s="148"/>
      <c r="W860" s="148"/>
      <c r="X860" s="148"/>
      <c r="Y860" s="148"/>
      <c r="Z860" s="148"/>
      <c r="AA860" s="148"/>
      <c r="AB860" s="148"/>
      <c r="AC860" s="148"/>
      <c r="AD860" s="148"/>
      <c r="AE860" s="148"/>
    </row>
    <row r="861" spans="2:31">
      <c r="B861" s="148"/>
      <c r="C861" s="148"/>
      <c r="D861" s="148"/>
      <c r="E861" s="148"/>
      <c r="F861" s="148"/>
      <c r="G861" s="148"/>
      <c r="H861" s="148"/>
      <c r="I861" s="148"/>
      <c r="J861" s="148"/>
      <c r="K861" s="148"/>
      <c r="L861" s="148"/>
      <c r="M861" s="148"/>
      <c r="N861" s="148"/>
      <c r="O861" s="148"/>
      <c r="P861" s="148"/>
      <c r="Q861" s="148"/>
      <c r="R861" s="148"/>
      <c r="S861" s="148"/>
      <c r="T861" s="148"/>
      <c r="U861" s="148"/>
      <c r="V861" s="148"/>
      <c r="W861" s="148"/>
      <c r="X861" s="148"/>
      <c r="Y861" s="148"/>
      <c r="Z861" s="148"/>
      <c r="AA861" s="148"/>
      <c r="AB861" s="148"/>
      <c r="AC861" s="148"/>
      <c r="AD861" s="148"/>
      <c r="AE861" s="148"/>
    </row>
    <row r="862" spans="2:31">
      <c r="B862" s="148"/>
      <c r="C862" s="148"/>
      <c r="D862" s="148"/>
      <c r="E862" s="148"/>
      <c r="F862" s="148"/>
      <c r="G862" s="148"/>
      <c r="H862" s="148"/>
      <c r="I862" s="148"/>
      <c r="J862" s="148"/>
      <c r="K862" s="148"/>
      <c r="L862" s="148"/>
      <c r="M862" s="148"/>
      <c r="N862" s="148"/>
      <c r="O862" s="148"/>
      <c r="P862" s="148"/>
      <c r="Q862" s="148"/>
      <c r="R862" s="148"/>
      <c r="S862" s="148"/>
      <c r="T862" s="148"/>
      <c r="U862" s="148"/>
      <c r="V862" s="148"/>
      <c r="W862" s="148"/>
      <c r="X862" s="148"/>
      <c r="Y862" s="148"/>
      <c r="Z862" s="148"/>
      <c r="AA862" s="148"/>
      <c r="AB862" s="148"/>
      <c r="AC862" s="148"/>
      <c r="AD862" s="148"/>
      <c r="AE862" s="148"/>
    </row>
    <row r="863" spans="2:31">
      <c r="B863" s="148"/>
      <c r="C863" s="148"/>
      <c r="D863" s="148"/>
      <c r="E863" s="148"/>
      <c r="F863" s="148"/>
      <c r="G863" s="148"/>
      <c r="H863" s="148"/>
      <c r="I863" s="148"/>
      <c r="J863" s="148"/>
      <c r="K863" s="148"/>
      <c r="L863" s="148"/>
      <c r="M863" s="148"/>
      <c r="N863" s="148"/>
      <c r="O863" s="148"/>
      <c r="P863" s="148"/>
      <c r="Q863" s="148"/>
      <c r="R863" s="148"/>
      <c r="S863" s="148"/>
      <c r="T863" s="148"/>
      <c r="U863" s="148"/>
      <c r="V863" s="148"/>
      <c r="W863" s="148"/>
      <c r="X863" s="148"/>
      <c r="Y863" s="148"/>
      <c r="Z863" s="148"/>
      <c r="AA863" s="148"/>
      <c r="AB863" s="148"/>
      <c r="AC863" s="148"/>
      <c r="AD863" s="148"/>
      <c r="AE863" s="148"/>
    </row>
    <row r="864" spans="2:31">
      <c r="B864" s="148"/>
      <c r="C864" s="148"/>
      <c r="D864" s="148"/>
      <c r="E864" s="148"/>
      <c r="F864" s="148"/>
      <c r="G864" s="148"/>
      <c r="H864" s="148"/>
      <c r="I864" s="148"/>
      <c r="J864" s="148"/>
      <c r="K864" s="148"/>
      <c r="L864" s="148"/>
      <c r="M864" s="148"/>
      <c r="N864" s="148"/>
      <c r="O864" s="148"/>
      <c r="P864" s="148"/>
      <c r="Q864" s="148"/>
      <c r="R864" s="148"/>
      <c r="S864" s="148"/>
      <c r="T864" s="148"/>
      <c r="U864" s="148"/>
      <c r="V864" s="148"/>
      <c r="W864" s="148"/>
      <c r="X864" s="148"/>
      <c r="Y864" s="148"/>
      <c r="Z864" s="148"/>
      <c r="AA864" s="148"/>
      <c r="AB864" s="148"/>
      <c r="AC864" s="148"/>
      <c r="AD864" s="148"/>
      <c r="AE864" s="148"/>
    </row>
    <row r="865" spans="2:31">
      <c r="B865" s="148"/>
      <c r="C865" s="148"/>
      <c r="D865" s="148"/>
      <c r="E865" s="148"/>
      <c r="F865" s="148"/>
      <c r="G865" s="148"/>
      <c r="H865" s="148"/>
      <c r="I865" s="148"/>
      <c r="J865" s="148"/>
      <c r="K865" s="148"/>
      <c r="L865" s="148"/>
      <c r="M865" s="148"/>
      <c r="N865" s="148"/>
      <c r="O865" s="148"/>
      <c r="P865" s="148"/>
      <c r="Q865" s="148"/>
      <c r="R865" s="148"/>
      <c r="S865" s="148"/>
      <c r="T865" s="148"/>
      <c r="U865" s="148"/>
      <c r="V865" s="148"/>
      <c r="W865" s="148"/>
      <c r="X865" s="148"/>
      <c r="Y865" s="148"/>
      <c r="Z865" s="148"/>
      <c r="AA865" s="148"/>
      <c r="AB865" s="148"/>
      <c r="AC865" s="148"/>
      <c r="AD865" s="148"/>
      <c r="AE865" s="148"/>
    </row>
    <row r="866" spans="2:31">
      <c r="B866" s="148"/>
      <c r="C866" s="148"/>
      <c r="D866" s="148"/>
      <c r="E866" s="148"/>
      <c r="F866" s="148"/>
      <c r="G866" s="148"/>
      <c r="H866" s="148"/>
      <c r="I866" s="148"/>
      <c r="J866" s="148"/>
      <c r="K866" s="148"/>
      <c r="L866" s="148"/>
      <c r="M866" s="148"/>
      <c r="N866" s="148"/>
      <c r="O866" s="148"/>
      <c r="P866" s="148"/>
      <c r="Q866" s="148"/>
      <c r="R866" s="148"/>
      <c r="S866" s="148"/>
      <c r="T866" s="148"/>
      <c r="U866" s="148"/>
      <c r="V866" s="148"/>
      <c r="W866" s="148"/>
      <c r="X866" s="148"/>
      <c r="Y866" s="148"/>
      <c r="Z866" s="148"/>
      <c r="AA866" s="148"/>
      <c r="AB866" s="148"/>
      <c r="AC866" s="148"/>
      <c r="AD866" s="148"/>
      <c r="AE866" s="148"/>
    </row>
    <row r="867" spans="2:31">
      <c r="B867" s="148"/>
      <c r="C867" s="148"/>
      <c r="D867" s="148"/>
      <c r="E867" s="148"/>
      <c r="F867" s="148"/>
      <c r="G867" s="148"/>
      <c r="H867" s="148"/>
      <c r="I867" s="148"/>
      <c r="J867" s="148"/>
      <c r="K867" s="148"/>
      <c r="L867" s="148"/>
      <c r="M867" s="148"/>
      <c r="N867" s="148"/>
      <c r="O867" s="148"/>
      <c r="P867" s="148"/>
      <c r="Q867" s="148"/>
      <c r="R867" s="148"/>
      <c r="S867" s="148"/>
      <c r="T867" s="148"/>
      <c r="U867" s="148"/>
      <c r="V867" s="148"/>
      <c r="W867" s="148"/>
      <c r="X867" s="148"/>
      <c r="Y867" s="148"/>
      <c r="Z867" s="148"/>
      <c r="AA867" s="148"/>
      <c r="AB867" s="148"/>
      <c r="AC867" s="148"/>
      <c r="AD867" s="148"/>
      <c r="AE867" s="148"/>
    </row>
    <row r="868" spans="2:31">
      <c r="B868" s="148"/>
      <c r="C868" s="148"/>
      <c r="D868" s="148"/>
      <c r="E868" s="148"/>
      <c r="F868" s="148"/>
      <c r="G868" s="148"/>
      <c r="H868" s="148"/>
      <c r="I868" s="148"/>
      <c r="J868" s="148"/>
      <c r="K868" s="148"/>
      <c r="L868" s="148"/>
      <c r="M868" s="148"/>
      <c r="N868" s="148"/>
      <c r="O868" s="148"/>
      <c r="P868" s="148"/>
      <c r="Q868" s="148"/>
      <c r="R868" s="148"/>
      <c r="S868" s="148"/>
      <c r="T868" s="148"/>
      <c r="U868" s="148"/>
      <c r="V868" s="148"/>
      <c r="W868" s="148"/>
      <c r="X868" s="148"/>
      <c r="Y868" s="148"/>
      <c r="Z868" s="148"/>
      <c r="AA868" s="148"/>
      <c r="AB868" s="148"/>
      <c r="AC868" s="148"/>
      <c r="AD868" s="148"/>
      <c r="AE868" s="148"/>
    </row>
    <row r="869" spans="2:31">
      <c r="B869" s="148"/>
      <c r="C869" s="148"/>
      <c r="D869" s="148"/>
      <c r="E869" s="148"/>
      <c r="F869" s="148"/>
      <c r="G869" s="148"/>
      <c r="H869" s="148"/>
      <c r="I869" s="148"/>
      <c r="J869" s="148"/>
      <c r="K869" s="148"/>
      <c r="L869" s="148"/>
      <c r="M869" s="148"/>
      <c r="N869" s="148"/>
      <c r="O869" s="148"/>
      <c r="P869" s="148"/>
      <c r="Q869" s="148"/>
      <c r="R869" s="148"/>
      <c r="S869" s="148"/>
      <c r="T869" s="148"/>
      <c r="U869" s="148"/>
      <c r="V869" s="148"/>
      <c r="W869" s="148"/>
      <c r="X869" s="148"/>
      <c r="Y869" s="148"/>
      <c r="Z869" s="148"/>
      <c r="AA869" s="148"/>
      <c r="AB869" s="148"/>
      <c r="AC869" s="148"/>
      <c r="AD869" s="148"/>
      <c r="AE869" s="148"/>
    </row>
    <row r="870" spans="2:31">
      <c r="B870" s="148"/>
      <c r="C870" s="148"/>
      <c r="D870" s="148"/>
      <c r="E870" s="148"/>
      <c r="F870" s="148"/>
      <c r="G870" s="148"/>
      <c r="H870" s="148"/>
      <c r="I870" s="148"/>
      <c r="J870" s="148"/>
      <c r="K870" s="148"/>
      <c r="L870" s="148"/>
      <c r="M870" s="148"/>
      <c r="N870" s="148"/>
      <c r="O870" s="148"/>
      <c r="P870" s="148"/>
      <c r="Q870" s="148"/>
      <c r="R870" s="148"/>
      <c r="S870" s="148"/>
      <c r="T870" s="148"/>
      <c r="U870" s="148"/>
      <c r="V870" s="148"/>
      <c r="W870" s="148"/>
      <c r="X870" s="148"/>
      <c r="Y870" s="148"/>
      <c r="Z870" s="148"/>
      <c r="AA870" s="148"/>
      <c r="AB870" s="148"/>
      <c r="AC870" s="148"/>
      <c r="AD870" s="148"/>
      <c r="AE870" s="148"/>
    </row>
    <row r="871" spans="2:31">
      <c r="B871" s="148"/>
      <c r="C871" s="148"/>
      <c r="D871" s="148"/>
      <c r="E871" s="148"/>
      <c r="F871" s="148"/>
      <c r="G871" s="148"/>
      <c r="H871" s="148"/>
      <c r="I871" s="148"/>
      <c r="J871" s="148"/>
      <c r="K871" s="148"/>
      <c r="L871" s="148"/>
      <c r="M871" s="148"/>
      <c r="N871" s="148"/>
      <c r="O871" s="148"/>
      <c r="P871" s="148"/>
      <c r="Q871" s="148"/>
      <c r="R871" s="148"/>
      <c r="S871" s="148"/>
      <c r="T871" s="148"/>
      <c r="U871" s="148"/>
      <c r="V871" s="148"/>
      <c r="W871" s="148"/>
      <c r="X871" s="148"/>
      <c r="Y871" s="148"/>
      <c r="Z871" s="148"/>
      <c r="AA871" s="148"/>
      <c r="AB871" s="148"/>
      <c r="AC871" s="148"/>
      <c r="AD871" s="148"/>
      <c r="AE871" s="148"/>
    </row>
    <row r="872" spans="2:31">
      <c r="B872" s="148"/>
      <c r="C872" s="148"/>
      <c r="D872" s="148"/>
      <c r="E872" s="148"/>
      <c r="F872" s="148"/>
      <c r="G872" s="148"/>
      <c r="H872" s="148"/>
      <c r="I872" s="148"/>
      <c r="J872" s="148"/>
      <c r="K872" s="148"/>
      <c r="L872" s="148"/>
      <c r="M872" s="148"/>
      <c r="N872" s="148"/>
      <c r="O872" s="148"/>
      <c r="P872" s="148"/>
      <c r="Q872" s="148"/>
      <c r="R872" s="148"/>
      <c r="S872" s="148"/>
      <c r="T872" s="148"/>
      <c r="U872" s="148"/>
      <c r="V872" s="148"/>
      <c r="W872" s="148"/>
      <c r="X872" s="148"/>
      <c r="Y872" s="148"/>
      <c r="Z872" s="148"/>
      <c r="AA872" s="148"/>
      <c r="AB872" s="148"/>
      <c r="AC872" s="148"/>
      <c r="AD872" s="148"/>
      <c r="AE872" s="148"/>
    </row>
    <row r="873" spans="2:31">
      <c r="B873" s="148"/>
      <c r="C873" s="148"/>
      <c r="D873" s="148"/>
      <c r="E873" s="148"/>
      <c r="F873" s="148"/>
      <c r="G873" s="148"/>
      <c r="H873" s="148"/>
      <c r="I873" s="148"/>
      <c r="J873" s="148"/>
      <c r="K873" s="148"/>
      <c r="L873" s="148"/>
      <c r="M873" s="148"/>
      <c r="N873" s="148"/>
      <c r="O873" s="148"/>
      <c r="P873" s="148"/>
      <c r="Q873" s="148"/>
      <c r="R873" s="148"/>
      <c r="S873" s="148"/>
      <c r="T873" s="148"/>
      <c r="U873" s="148"/>
      <c r="V873" s="148"/>
      <c r="W873" s="148"/>
      <c r="X873" s="148"/>
      <c r="Y873" s="148"/>
      <c r="Z873" s="148"/>
      <c r="AA873" s="148"/>
      <c r="AB873" s="148"/>
      <c r="AC873" s="148"/>
      <c r="AD873" s="148"/>
      <c r="AE873" s="148"/>
    </row>
    <row r="874" spans="2:31">
      <c r="B874" s="148"/>
      <c r="C874" s="148"/>
      <c r="D874" s="148"/>
      <c r="E874" s="148"/>
      <c r="F874" s="148"/>
      <c r="G874" s="148"/>
      <c r="H874" s="148"/>
      <c r="I874" s="148"/>
      <c r="J874" s="148"/>
      <c r="K874" s="148"/>
      <c r="L874" s="148"/>
      <c r="M874" s="148"/>
      <c r="N874" s="148"/>
      <c r="O874" s="148"/>
      <c r="P874" s="148"/>
      <c r="Q874" s="148"/>
      <c r="R874" s="148"/>
      <c r="S874" s="148"/>
      <c r="T874" s="148"/>
      <c r="U874" s="148"/>
      <c r="V874" s="148"/>
      <c r="W874" s="148"/>
      <c r="X874" s="148"/>
      <c r="Y874" s="148"/>
      <c r="Z874" s="148"/>
      <c r="AA874" s="148"/>
      <c r="AB874" s="148"/>
      <c r="AC874" s="148"/>
      <c r="AD874" s="148"/>
      <c r="AE874" s="148"/>
    </row>
    <row r="875" spans="2:31">
      <c r="B875" s="148"/>
      <c r="C875" s="148"/>
      <c r="D875" s="148"/>
      <c r="E875" s="148"/>
      <c r="F875" s="148"/>
      <c r="G875" s="148"/>
      <c r="H875" s="148"/>
      <c r="I875" s="148"/>
      <c r="J875" s="148"/>
      <c r="K875" s="148"/>
      <c r="L875" s="148"/>
      <c r="M875" s="148"/>
      <c r="N875" s="148"/>
      <c r="O875" s="148"/>
      <c r="P875" s="148"/>
      <c r="Q875" s="148"/>
      <c r="R875" s="148"/>
      <c r="S875" s="148"/>
      <c r="T875" s="148"/>
      <c r="U875" s="148"/>
      <c r="V875" s="148"/>
      <c r="W875" s="148"/>
      <c r="X875" s="148"/>
      <c r="Y875" s="148"/>
      <c r="Z875" s="148"/>
      <c r="AA875" s="148"/>
      <c r="AB875" s="148"/>
      <c r="AC875" s="148"/>
      <c r="AD875" s="148"/>
      <c r="AE875" s="148"/>
    </row>
    <row r="876" spans="2:31">
      <c r="B876" s="148"/>
      <c r="C876" s="148"/>
      <c r="D876" s="148"/>
      <c r="E876" s="148"/>
      <c r="F876" s="148"/>
      <c r="G876" s="148"/>
      <c r="H876" s="148"/>
      <c r="I876" s="148"/>
      <c r="J876" s="148"/>
      <c r="K876" s="148"/>
      <c r="L876" s="148"/>
      <c r="M876" s="148"/>
      <c r="N876" s="148"/>
      <c r="O876" s="148"/>
      <c r="P876" s="148"/>
      <c r="Q876" s="148"/>
      <c r="R876" s="148"/>
      <c r="S876" s="148"/>
      <c r="T876" s="148"/>
      <c r="U876" s="148"/>
      <c r="V876" s="148"/>
      <c r="W876" s="148"/>
      <c r="X876" s="148"/>
      <c r="Y876" s="148"/>
      <c r="Z876" s="148"/>
      <c r="AA876" s="148"/>
      <c r="AB876" s="148"/>
      <c r="AC876" s="148"/>
      <c r="AD876" s="148"/>
      <c r="AE876" s="148"/>
    </row>
    <row r="877" spans="2:31">
      <c r="B877" s="148"/>
      <c r="C877" s="148"/>
      <c r="D877" s="148"/>
      <c r="E877" s="148"/>
      <c r="F877" s="148"/>
      <c r="G877" s="148"/>
      <c r="H877" s="148"/>
      <c r="I877" s="148"/>
      <c r="J877" s="148"/>
      <c r="K877" s="148"/>
      <c r="L877" s="148"/>
      <c r="M877" s="148"/>
      <c r="N877" s="148"/>
      <c r="O877" s="148"/>
      <c r="P877" s="148"/>
      <c r="Q877" s="148"/>
      <c r="R877" s="148"/>
      <c r="S877" s="148"/>
      <c r="T877" s="148"/>
      <c r="U877" s="148"/>
      <c r="V877" s="148"/>
      <c r="W877" s="148"/>
      <c r="X877" s="148"/>
      <c r="Y877" s="148"/>
      <c r="Z877" s="148"/>
      <c r="AA877" s="148"/>
      <c r="AB877" s="148"/>
      <c r="AC877" s="148"/>
      <c r="AD877" s="148"/>
      <c r="AE877" s="148"/>
    </row>
    <row r="878" spans="2:31">
      <c r="B878" s="148"/>
      <c r="C878" s="148"/>
      <c r="D878" s="148"/>
      <c r="E878" s="148"/>
      <c r="F878" s="148"/>
      <c r="G878" s="148"/>
      <c r="H878" s="148"/>
      <c r="I878" s="148"/>
      <c r="J878" s="148"/>
      <c r="K878" s="148"/>
      <c r="L878" s="148"/>
      <c r="M878" s="148"/>
      <c r="N878" s="148"/>
      <c r="O878" s="148"/>
      <c r="P878" s="148"/>
      <c r="Q878" s="148"/>
      <c r="R878" s="148"/>
      <c r="S878" s="148"/>
      <c r="T878" s="148"/>
      <c r="U878" s="148"/>
      <c r="V878" s="148"/>
      <c r="W878" s="148"/>
      <c r="X878" s="148"/>
      <c r="Y878" s="148"/>
      <c r="Z878" s="148"/>
      <c r="AA878" s="148"/>
      <c r="AB878" s="148"/>
      <c r="AC878" s="148"/>
      <c r="AD878" s="148"/>
      <c r="AE878" s="148"/>
    </row>
    <row r="879" spans="2:31">
      <c r="B879" s="148"/>
      <c r="C879" s="148"/>
      <c r="D879" s="148"/>
      <c r="E879" s="148"/>
      <c r="F879" s="148"/>
      <c r="G879" s="148"/>
      <c r="H879" s="148"/>
      <c r="I879" s="148"/>
      <c r="J879" s="148"/>
      <c r="K879" s="148"/>
      <c r="L879" s="148"/>
      <c r="M879" s="148"/>
      <c r="N879" s="148"/>
      <c r="O879" s="148"/>
      <c r="P879" s="148"/>
      <c r="Q879" s="148"/>
      <c r="R879" s="148"/>
      <c r="S879" s="148"/>
      <c r="T879" s="148"/>
      <c r="U879" s="148"/>
      <c r="V879" s="148"/>
      <c r="W879" s="148"/>
      <c r="X879" s="148"/>
      <c r="Y879" s="148"/>
      <c r="Z879" s="148"/>
      <c r="AA879" s="148"/>
      <c r="AB879" s="148"/>
      <c r="AC879" s="148"/>
      <c r="AD879" s="148"/>
      <c r="AE879" s="148"/>
    </row>
    <row r="880" spans="2:31">
      <c r="B880" s="148"/>
      <c r="C880" s="148"/>
      <c r="D880" s="148"/>
      <c r="E880" s="148"/>
      <c r="F880" s="148"/>
      <c r="G880" s="148"/>
      <c r="H880" s="148"/>
      <c r="I880" s="148"/>
      <c r="J880" s="148"/>
      <c r="K880" s="148"/>
      <c r="L880" s="148"/>
      <c r="M880" s="148"/>
      <c r="N880" s="148"/>
      <c r="O880" s="148"/>
      <c r="P880" s="148"/>
      <c r="Q880" s="148"/>
      <c r="R880" s="148"/>
      <c r="S880" s="148"/>
      <c r="T880" s="148"/>
      <c r="U880" s="148"/>
      <c r="V880" s="148"/>
      <c r="W880" s="148"/>
      <c r="X880" s="148"/>
      <c r="Y880" s="148"/>
      <c r="Z880" s="148"/>
      <c r="AA880" s="148"/>
      <c r="AB880" s="148"/>
      <c r="AC880" s="148"/>
      <c r="AD880" s="148"/>
      <c r="AE880" s="148"/>
    </row>
    <row r="881" spans="2:31">
      <c r="B881" s="148"/>
      <c r="C881" s="148"/>
      <c r="D881" s="148"/>
      <c r="E881" s="148"/>
      <c r="F881" s="148"/>
      <c r="G881" s="148"/>
      <c r="H881" s="148"/>
      <c r="I881" s="148"/>
      <c r="J881" s="148"/>
      <c r="K881" s="148"/>
      <c r="L881" s="148"/>
      <c r="M881" s="148"/>
      <c r="N881" s="148"/>
      <c r="O881" s="148"/>
      <c r="P881" s="148"/>
      <c r="Q881" s="148"/>
      <c r="R881" s="148"/>
      <c r="S881" s="148"/>
      <c r="T881" s="148"/>
      <c r="U881" s="148"/>
      <c r="V881" s="148"/>
      <c r="W881" s="148"/>
      <c r="X881" s="148"/>
      <c r="Y881" s="148"/>
      <c r="Z881" s="148"/>
      <c r="AA881" s="148"/>
      <c r="AB881" s="148"/>
      <c r="AC881" s="148"/>
      <c r="AD881" s="148"/>
      <c r="AE881" s="148"/>
    </row>
    <row r="882" spans="2:31">
      <c r="B882" s="148"/>
      <c r="C882" s="148"/>
      <c r="D882" s="148"/>
      <c r="E882" s="148"/>
      <c r="F882" s="148"/>
      <c r="G882" s="148"/>
      <c r="H882" s="148"/>
      <c r="I882" s="148"/>
      <c r="J882" s="148"/>
      <c r="K882" s="148"/>
      <c r="L882" s="148"/>
      <c r="M882" s="148"/>
      <c r="N882" s="148"/>
      <c r="O882" s="148"/>
      <c r="P882" s="148"/>
      <c r="Q882" s="148"/>
      <c r="R882" s="148"/>
      <c r="S882" s="148"/>
      <c r="T882" s="148"/>
      <c r="U882" s="148"/>
      <c r="V882" s="148"/>
      <c r="W882" s="148"/>
      <c r="X882" s="148"/>
      <c r="Y882" s="148"/>
      <c r="Z882" s="148"/>
      <c r="AA882" s="148"/>
      <c r="AB882" s="148"/>
      <c r="AC882" s="148"/>
      <c r="AD882" s="148"/>
      <c r="AE882" s="148"/>
    </row>
    <row r="883" spans="2:31">
      <c r="B883" s="148"/>
      <c r="C883" s="148"/>
      <c r="D883" s="148"/>
      <c r="E883" s="148"/>
      <c r="F883" s="148"/>
      <c r="G883" s="148"/>
      <c r="H883" s="148"/>
      <c r="I883" s="148"/>
      <c r="J883" s="148"/>
      <c r="K883" s="148"/>
      <c r="L883" s="148"/>
      <c r="M883" s="148"/>
      <c r="N883" s="148"/>
      <c r="O883" s="148"/>
      <c r="P883" s="148"/>
      <c r="Q883" s="148"/>
      <c r="R883" s="148"/>
      <c r="S883" s="148"/>
      <c r="T883" s="148"/>
      <c r="U883" s="148"/>
      <c r="V883" s="148"/>
      <c r="W883" s="148"/>
      <c r="X883" s="148"/>
      <c r="Y883" s="148"/>
      <c r="Z883" s="148"/>
      <c r="AA883" s="148"/>
      <c r="AB883" s="148"/>
      <c r="AC883" s="148"/>
      <c r="AD883" s="148"/>
      <c r="AE883" s="148"/>
    </row>
    <row r="884" spans="2:31">
      <c r="B884" s="148"/>
      <c r="C884" s="148"/>
      <c r="D884" s="148"/>
      <c r="E884" s="148"/>
      <c r="F884" s="148"/>
      <c r="G884" s="148"/>
      <c r="H884" s="148"/>
      <c r="I884" s="148"/>
      <c r="J884" s="148"/>
      <c r="K884" s="148"/>
      <c r="L884" s="148"/>
      <c r="M884" s="148"/>
      <c r="N884" s="148"/>
      <c r="O884" s="148"/>
      <c r="P884" s="148"/>
      <c r="Q884" s="148"/>
      <c r="R884" s="148"/>
      <c r="S884" s="148"/>
      <c r="T884" s="148"/>
      <c r="U884" s="148"/>
      <c r="V884" s="148"/>
      <c r="W884" s="148"/>
      <c r="X884" s="148"/>
      <c r="Y884" s="148"/>
      <c r="Z884" s="148"/>
      <c r="AA884" s="148"/>
      <c r="AB884" s="148"/>
      <c r="AC884" s="148"/>
      <c r="AD884" s="148"/>
      <c r="AE884" s="148"/>
    </row>
    <row r="885" spans="2:31">
      <c r="B885" s="148"/>
      <c r="C885" s="148"/>
      <c r="D885" s="148"/>
      <c r="E885" s="148"/>
      <c r="F885" s="148"/>
      <c r="G885" s="148"/>
      <c r="H885" s="148"/>
      <c r="I885" s="148"/>
      <c r="J885" s="148"/>
      <c r="K885" s="148"/>
      <c r="L885" s="148"/>
      <c r="M885" s="148"/>
      <c r="N885" s="148"/>
      <c r="O885" s="148"/>
      <c r="P885" s="148"/>
      <c r="Q885" s="148"/>
      <c r="R885" s="148"/>
      <c r="S885" s="148"/>
      <c r="T885" s="148"/>
      <c r="U885" s="148"/>
      <c r="V885" s="148"/>
      <c r="W885" s="148"/>
      <c r="X885" s="148"/>
      <c r="Y885" s="148"/>
      <c r="Z885" s="148"/>
      <c r="AA885" s="148"/>
      <c r="AB885" s="148"/>
      <c r="AC885" s="148"/>
      <c r="AD885" s="148"/>
      <c r="AE885" s="148"/>
    </row>
    <row r="886" spans="2:31">
      <c r="B886" s="148"/>
      <c r="C886" s="148"/>
      <c r="D886" s="148"/>
      <c r="E886" s="148"/>
      <c r="F886" s="148"/>
      <c r="G886" s="148"/>
      <c r="H886" s="148"/>
      <c r="I886" s="148"/>
      <c r="J886" s="148"/>
      <c r="K886" s="148"/>
      <c r="L886" s="148"/>
      <c r="M886" s="148"/>
      <c r="N886" s="148"/>
      <c r="O886" s="148"/>
      <c r="P886" s="148"/>
      <c r="Q886" s="148"/>
      <c r="R886" s="148"/>
      <c r="S886" s="148"/>
      <c r="T886" s="148"/>
      <c r="U886" s="148"/>
      <c r="V886" s="148"/>
      <c r="W886" s="148"/>
      <c r="X886" s="148"/>
      <c r="Y886" s="148"/>
      <c r="Z886" s="148"/>
      <c r="AA886" s="148"/>
      <c r="AB886" s="148"/>
      <c r="AC886" s="148"/>
      <c r="AD886" s="148"/>
      <c r="AE886" s="148"/>
    </row>
    <row r="887" spans="2:31">
      <c r="B887" s="148"/>
      <c r="C887" s="148"/>
      <c r="D887" s="148"/>
      <c r="E887" s="148"/>
      <c r="F887" s="148"/>
      <c r="G887" s="148"/>
      <c r="H887" s="148"/>
      <c r="I887" s="148"/>
      <c r="J887" s="148"/>
      <c r="K887" s="148"/>
      <c r="L887" s="148"/>
      <c r="M887" s="148"/>
      <c r="N887" s="148"/>
      <c r="O887" s="148"/>
      <c r="P887" s="148"/>
      <c r="Q887" s="148"/>
      <c r="R887" s="148"/>
      <c r="S887" s="148"/>
      <c r="T887" s="148"/>
      <c r="U887" s="148"/>
      <c r="V887" s="148"/>
      <c r="W887" s="148"/>
      <c r="X887" s="148"/>
      <c r="Y887" s="148"/>
      <c r="Z887" s="148"/>
      <c r="AA887" s="148"/>
      <c r="AB887" s="148"/>
      <c r="AC887" s="148"/>
      <c r="AD887" s="148"/>
      <c r="AE887" s="148"/>
    </row>
    <row r="888" spans="2:31">
      <c r="B888" s="148"/>
      <c r="C888" s="148"/>
      <c r="D888" s="148"/>
      <c r="E888" s="148"/>
      <c r="F888" s="148"/>
      <c r="G888" s="148"/>
      <c r="H888" s="148"/>
      <c r="I888" s="148"/>
      <c r="J888" s="148"/>
      <c r="K888" s="148"/>
      <c r="L888" s="148"/>
      <c r="M888" s="148"/>
      <c r="N888" s="148"/>
      <c r="O888" s="148"/>
      <c r="P888" s="148"/>
      <c r="Q888" s="148"/>
      <c r="R888" s="148"/>
      <c r="S888" s="148"/>
      <c r="T888" s="148"/>
      <c r="U888" s="148"/>
      <c r="V888" s="148"/>
      <c r="W888" s="148"/>
      <c r="X888" s="148"/>
      <c r="Y888" s="148"/>
      <c r="Z888" s="148"/>
      <c r="AA888" s="148"/>
      <c r="AB888" s="148"/>
      <c r="AC888" s="148"/>
      <c r="AD888" s="148"/>
      <c r="AE888" s="148"/>
    </row>
    <row r="889" spans="2:31">
      <c r="B889" s="148"/>
      <c r="C889" s="148"/>
      <c r="D889" s="148"/>
      <c r="E889" s="148"/>
      <c r="F889" s="148"/>
      <c r="G889" s="148"/>
      <c r="H889" s="148"/>
      <c r="I889" s="148"/>
      <c r="J889" s="148"/>
      <c r="K889" s="148"/>
      <c r="L889" s="148"/>
      <c r="M889" s="148"/>
      <c r="N889" s="148"/>
      <c r="O889" s="148"/>
      <c r="P889" s="148"/>
      <c r="Q889" s="148"/>
      <c r="R889" s="148"/>
      <c r="S889" s="148"/>
      <c r="T889" s="148"/>
      <c r="U889" s="148"/>
      <c r="V889" s="148"/>
      <c r="W889" s="148"/>
      <c r="X889" s="148"/>
      <c r="Y889" s="148"/>
      <c r="Z889" s="148"/>
      <c r="AA889" s="148"/>
      <c r="AB889" s="148"/>
      <c r="AC889" s="148"/>
      <c r="AD889" s="148"/>
      <c r="AE889" s="148"/>
    </row>
    <row r="890" spans="2:31">
      <c r="B890" s="148"/>
      <c r="C890" s="148"/>
      <c r="D890" s="148"/>
      <c r="E890" s="148"/>
      <c r="F890" s="148"/>
      <c r="G890" s="148"/>
      <c r="H890" s="148"/>
      <c r="I890" s="148"/>
      <c r="J890" s="148"/>
      <c r="K890" s="148"/>
      <c r="L890" s="148"/>
      <c r="M890" s="148"/>
      <c r="N890" s="148"/>
      <c r="O890" s="148"/>
      <c r="P890" s="148"/>
      <c r="Q890" s="148"/>
      <c r="R890" s="148"/>
      <c r="S890" s="148"/>
      <c r="T890" s="148"/>
      <c r="U890" s="148"/>
      <c r="V890" s="148"/>
      <c r="W890" s="148"/>
      <c r="X890" s="148"/>
      <c r="Y890" s="148"/>
      <c r="Z890" s="148"/>
      <c r="AA890" s="148"/>
      <c r="AB890" s="148"/>
      <c r="AC890" s="148"/>
      <c r="AD890" s="148"/>
      <c r="AE890" s="148"/>
    </row>
    <row r="891" spans="2:31">
      <c r="B891" s="148"/>
      <c r="C891" s="148"/>
      <c r="D891" s="148"/>
      <c r="E891" s="148"/>
      <c r="F891" s="148"/>
      <c r="G891" s="148"/>
      <c r="H891" s="148"/>
      <c r="I891" s="148"/>
      <c r="J891" s="148"/>
      <c r="K891" s="148"/>
      <c r="L891" s="148"/>
      <c r="M891" s="148"/>
      <c r="N891" s="148"/>
      <c r="O891" s="148"/>
      <c r="P891" s="148"/>
      <c r="Q891" s="148"/>
      <c r="R891" s="148"/>
      <c r="S891" s="148"/>
      <c r="T891" s="148"/>
      <c r="U891" s="148"/>
      <c r="V891" s="148"/>
      <c r="W891" s="148"/>
      <c r="X891" s="148"/>
      <c r="Y891" s="148"/>
      <c r="Z891" s="148"/>
      <c r="AA891" s="148"/>
      <c r="AB891" s="148"/>
      <c r="AC891" s="148"/>
      <c r="AD891" s="148"/>
      <c r="AE891" s="148"/>
    </row>
    <row r="892" spans="2:31">
      <c r="B892" s="148"/>
      <c r="C892" s="148"/>
      <c r="D892" s="148"/>
      <c r="E892" s="148"/>
      <c r="F892" s="148"/>
      <c r="G892" s="148"/>
      <c r="H892" s="148"/>
      <c r="I892" s="148"/>
      <c r="J892" s="148"/>
      <c r="K892" s="148"/>
      <c r="L892" s="148"/>
      <c r="M892" s="148"/>
      <c r="N892" s="148"/>
      <c r="O892" s="148"/>
      <c r="P892" s="148"/>
      <c r="Q892" s="148"/>
      <c r="R892" s="148"/>
      <c r="S892" s="148"/>
      <c r="T892" s="148"/>
      <c r="U892" s="148"/>
      <c r="V892" s="148"/>
      <c r="W892" s="148"/>
      <c r="X892" s="148"/>
      <c r="Y892" s="148"/>
      <c r="Z892" s="148"/>
      <c r="AA892" s="148"/>
      <c r="AB892" s="148"/>
      <c r="AC892" s="148"/>
      <c r="AD892" s="148"/>
      <c r="AE892" s="148"/>
    </row>
    <row r="893" spans="2:31">
      <c r="B893" s="148"/>
      <c r="C893" s="148"/>
      <c r="D893" s="148"/>
      <c r="E893" s="148"/>
      <c r="F893" s="148"/>
      <c r="G893" s="148"/>
      <c r="H893" s="148"/>
      <c r="I893" s="148"/>
      <c r="J893" s="148"/>
      <c r="K893" s="148"/>
      <c r="L893" s="148"/>
      <c r="M893" s="148"/>
      <c r="N893" s="148"/>
      <c r="O893" s="148"/>
      <c r="P893" s="148"/>
      <c r="Q893" s="148"/>
      <c r="R893" s="148"/>
      <c r="S893" s="148"/>
      <c r="T893" s="148"/>
      <c r="U893" s="148"/>
      <c r="V893" s="148"/>
      <c r="W893" s="148"/>
      <c r="X893" s="148"/>
      <c r="Y893" s="148"/>
      <c r="Z893" s="148"/>
      <c r="AA893" s="148"/>
      <c r="AB893" s="148"/>
      <c r="AC893" s="148"/>
      <c r="AD893" s="148"/>
      <c r="AE893" s="148"/>
    </row>
    <row r="894" spans="2:31">
      <c r="B894" s="148"/>
      <c r="C894" s="148"/>
      <c r="D894" s="148"/>
      <c r="E894" s="148"/>
      <c r="F894" s="148"/>
      <c r="G894" s="148"/>
      <c r="H894" s="148"/>
      <c r="I894" s="148"/>
      <c r="J894" s="148"/>
      <c r="K894" s="148"/>
      <c r="L894" s="148"/>
      <c r="M894" s="148"/>
      <c r="N894" s="148"/>
      <c r="O894" s="148"/>
      <c r="P894" s="148"/>
      <c r="Q894" s="148"/>
      <c r="R894" s="148"/>
      <c r="S894" s="148"/>
      <c r="T894" s="148"/>
      <c r="U894" s="148"/>
      <c r="V894" s="148"/>
      <c r="W894" s="148"/>
      <c r="X894" s="148"/>
      <c r="Y894" s="148"/>
      <c r="Z894" s="148"/>
      <c r="AA894" s="148"/>
      <c r="AB894" s="148"/>
      <c r="AC894" s="148"/>
      <c r="AD894" s="148"/>
      <c r="AE894" s="148"/>
    </row>
    <row r="895" spans="2:31">
      <c r="B895" s="148"/>
      <c r="C895" s="148"/>
      <c r="D895" s="148"/>
      <c r="E895" s="148"/>
      <c r="F895" s="148"/>
      <c r="G895" s="148"/>
      <c r="H895" s="148"/>
      <c r="I895" s="148"/>
      <c r="J895" s="148"/>
      <c r="K895" s="148"/>
      <c r="L895" s="148"/>
      <c r="M895" s="148"/>
      <c r="N895" s="148"/>
      <c r="O895" s="148"/>
      <c r="P895" s="148"/>
      <c r="Q895" s="148"/>
      <c r="R895" s="148"/>
      <c r="S895" s="148"/>
      <c r="T895" s="148"/>
      <c r="U895" s="148"/>
      <c r="V895" s="148"/>
      <c r="W895" s="148"/>
      <c r="X895" s="148"/>
      <c r="Y895" s="148"/>
      <c r="Z895" s="148"/>
      <c r="AA895" s="148"/>
      <c r="AB895" s="148"/>
      <c r="AC895" s="148"/>
      <c r="AD895" s="148"/>
      <c r="AE895" s="148"/>
    </row>
    <row r="896" spans="2:31">
      <c r="B896" s="148"/>
      <c r="C896" s="148"/>
      <c r="D896" s="148"/>
      <c r="E896" s="148"/>
      <c r="F896" s="148"/>
      <c r="G896" s="148"/>
      <c r="H896" s="148"/>
      <c r="I896" s="148"/>
      <c r="J896" s="148"/>
      <c r="K896" s="148"/>
      <c r="L896" s="148"/>
      <c r="M896" s="148"/>
      <c r="N896" s="148"/>
      <c r="O896" s="148"/>
      <c r="P896" s="148"/>
      <c r="Q896" s="148"/>
      <c r="R896" s="148"/>
      <c r="S896" s="148"/>
      <c r="T896" s="148"/>
      <c r="U896" s="148"/>
      <c r="V896" s="148"/>
      <c r="W896" s="148"/>
      <c r="X896" s="148"/>
      <c r="Y896" s="148"/>
      <c r="Z896" s="148"/>
      <c r="AA896" s="148"/>
      <c r="AB896" s="148"/>
      <c r="AC896" s="148"/>
      <c r="AD896" s="148"/>
      <c r="AE896" s="148"/>
    </row>
    <row r="897" spans="2:31">
      <c r="B897" s="148"/>
      <c r="C897" s="148"/>
      <c r="D897" s="148"/>
      <c r="E897" s="148"/>
      <c r="F897" s="148"/>
      <c r="G897" s="148"/>
      <c r="H897" s="148"/>
      <c r="I897" s="148"/>
      <c r="J897" s="148"/>
      <c r="K897" s="148"/>
      <c r="L897" s="148"/>
      <c r="M897" s="148"/>
      <c r="N897" s="148"/>
      <c r="O897" s="148"/>
      <c r="P897" s="148"/>
      <c r="Q897" s="148"/>
      <c r="R897" s="148"/>
      <c r="S897" s="148"/>
      <c r="T897" s="148"/>
      <c r="U897" s="148"/>
      <c r="V897" s="148"/>
      <c r="W897" s="148"/>
      <c r="X897" s="148"/>
      <c r="Y897" s="148"/>
      <c r="Z897" s="148"/>
      <c r="AA897" s="148"/>
      <c r="AB897" s="148"/>
      <c r="AC897" s="148"/>
      <c r="AD897" s="148"/>
      <c r="AE897" s="148"/>
    </row>
    <row r="898" spans="2:31">
      <c r="B898" s="148"/>
      <c r="C898" s="148"/>
      <c r="D898" s="148"/>
      <c r="E898" s="148"/>
      <c r="F898" s="148"/>
      <c r="G898" s="148"/>
      <c r="H898" s="148"/>
      <c r="I898" s="148"/>
      <c r="J898" s="148"/>
      <c r="K898" s="148"/>
      <c r="L898" s="148"/>
      <c r="M898" s="148"/>
      <c r="N898" s="148"/>
      <c r="O898" s="148"/>
      <c r="P898" s="148"/>
      <c r="Q898" s="148"/>
      <c r="R898" s="148"/>
      <c r="S898" s="148"/>
      <c r="T898" s="148"/>
      <c r="U898" s="148"/>
      <c r="V898" s="148"/>
      <c r="W898" s="148"/>
      <c r="X898" s="148"/>
      <c r="Y898" s="148"/>
      <c r="Z898" s="148"/>
      <c r="AA898" s="148"/>
      <c r="AB898" s="148"/>
      <c r="AC898" s="148"/>
      <c r="AD898" s="148"/>
      <c r="AE898" s="148"/>
    </row>
    <row r="899" spans="2:31">
      <c r="B899" s="148"/>
      <c r="C899" s="148"/>
      <c r="D899" s="148"/>
      <c r="E899" s="148"/>
      <c r="F899" s="148"/>
      <c r="G899" s="148"/>
      <c r="H899" s="148"/>
      <c r="I899" s="148"/>
      <c r="J899" s="148"/>
      <c r="K899" s="148"/>
      <c r="L899" s="148"/>
      <c r="M899" s="148"/>
      <c r="N899" s="148"/>
      <c r="O899" s="148"/>
      <c r="P899" s="148"/>
      <c r="Q899" s="148"/>
      <c r="R899" s="148"/>
      <c r="S899" s="148"/>
      <c r="T899" s="148"/>
      <c r="U899" s="148"/>
      <c r="V899" s="148"/>
      <c r="W899" s="148"/>
      <c r="X899" s="148"/>
      <c r="Y899" s="148"/>
      <c r="Z899" s="148"/>
      <c r="AA899" s="148"/>
      <c r="AB899" s="148"/>
      <c r="AC899" s="148"/>
      <c r="AD899" s="148"/>
      <c r="AE899" s="148"/>
    </row>
    <row r="900" spans="2:31">
      <c r="B900" s="148"/>
      <c r="C900" s="148"/>
      <c r="D900" s="148"/>
      <c r="E900" s="148"/>
      <c r="F900" s="148"/>
      <c r="G900" s="148"/>
      <c r="H900" s="148"/>
      <c r="I900" s="148"/>
      <c r="J900" s="148"/>
      <c r="K900" s="148"/>
      <c r="L900" s="148"/>
      <c r="M900" s="148"/>
      <c r="N900" s="148"/>
      <c r="O900" s="148"/>
      <c r="P900" s="148"/>
      <c r="Q900" s="148"/>
      <c r="R900" s="148"/>
      <c r="S900" s="148"/>
      <c r="T900" s="148"/>
      <c r="U900" s="148"/>
      <c r="V900" s="148"/>
      <c r="W900" s="148"/>
      <c r="X900" s="148"/>
      <c r="Y900" s="148"/>
      <c r="Z900" s="148"/>
      <c r="AA900" s="148"/>
      <c r="AB900" s="148"/>
      <c r="AC900" s="148"/>
      <c r="AD900" s="148"/>
      <c r="AE900" s="148"/>
    </row>
    <row r="901" spans="2:31">
      <c r="B901" s="148"/>
      <c r="C901" s="148"/>
      <c r="D901" s="148"/>
      <c r="E901" s="148"/>
      <c r="F901" s="148"/>
      <c r="G901" s="148"/>
      <c r="H901" s="148"/>
      <c r="I901" s="148"/>
      <c r="J901" s="148"/>
      <c r="K901" s="148"/>
      <c r="L901" s="148"/>
      <c r="M901" s="148"/>
      <c r="N901" s="148"/>
      <c r="O901" s="148"/>
      <c r="P901" s="148"/>
      <c r="Q901" s="148"/>
      <c r="R901" s="148"/>
      <c r="S901" s="148"/>
      <c r="T901" s="148"/>
      <c r="U901" s="148"/>
      <c r="V901" s="148"/>
      <c r="W901" s="148"/>
      <c r="X901" s="148"/>
      <c r="Y901" s="148"/>
      <c r="Z901" s="148"/>
      <c r="AA901" s="148"/>
      <c r="AB901" s="148"/>
      <c r="AC901" s="148"/>
      <c r="AD901" s="148"/>
      <c r="AE901" s="148"/>
    </row>
    <row r="902" spans="2:31">
      <c r="B902" s="148"/>
      <c r="C902" s="148"/>
      <c r="D902" s="148"/>
      <c r="E902" s="148"/>
      <c r="F902" s="148"/>
      <c r="G902" s="148"/>
      <c r="H902" s="148"/>
      <c r="I902" s="148"/>
      <c r="J902" s="148"/>
      <c r="K902" s="148"/>
      <c r="L902" s="148"/>
      <c r="M902" s="148"/>
      <c r="N902" s="148"/>
      <c r="O902" s="148"/>
      <c r="P902" s="148"/>
      <c r="Q902" s="148"/>
      <c r="R902" s="148"/>
      <c r="S902" s="148"/>
      <c r="T902" s="148"/>
      <c r="U902" s="148"/>
      <c r="V902" s="148"/>
      <c r="W902" s="148"/>
      <c r="X902" s="148"/>
      <c r="Y902" s="148"/>
      <c r="Z902" s="148"/>
      <c r="AA902" s="148"/>
      <c r="AB902" s="148"/>
      <c r="AC902" s="148"/>
      <c r="AD902" s="148"/>
      <c r="AE902" s="148"/>
    </row>
    <row r="903" spans="2:31">
      <c r="B903" s="148"/>
      <c r="C903" s="148"/>
      <c r="D903" s="148"/>
      <c r="E903" s="148"/>
      <c r="F903" s="148"/>
      <c r="G903" s="148"/>
      <c r="H903" s="148"/>
      <c r="I903" s="148"/>
      <c r="J903" s="148"/>
      <c r="K903" s="148"/>
      <c r="L903" s="148"/>
      <c r="M903" s="148"/>
      <c r="N903" s="148"/>
      <c r="O903" s="148"/>
      <c r="P903" s="148"/>
      <c r="Q903" s="148"/>
      <c r="R903" s="148"/>
      <c r="S903" s="148"/>
      <c r="T903" s="148"/>
      <c r="U903" s="148"/>
      <c r="V903" s="148"/>
      <c r="W903" s="148"/>
      <c r="X903" s="148"/>
      <c r="Y903" s="148"/>
      <c r="Z903" s="148"/>
      <c r="AA903" s="148"/>
      <c r="AB903" s="148"/>
      <c r="AC903" s="148"/>
      <c r="AD903" s="148"/>
      <c r="AE903" s="148"/>
    </row>
    <row r="904" spans="2:31">
      <c r="B904" s="148"/>
      <c r="C904" s="148"/>
      <c r="D904" s="148"/>
      <c r="E904" s="148"/>
      <c r="F904" s="148"/>
      <c r="G904" s="148"/>
      <c r="H904" s="148"/>
      <c r="I904" s="148"/>
      <c r="J904" s="148"/>
      <c r="K904" s="148"/>
      <c r="L904" s="148"/>
      <c r="M904" s="148"/>
      <c r="N904" s="148"/>
      <c r="O904" s="148"/>
      <c r="P904" s="148"/>
      <c r="Q904" s="148"/>
      <c r="R904" s="148"/>
      <c r="S904" s="148"/>
      <c r="T904" s="148"/>
      <c r="U904" s="148"/>
      <c r="V904" s="148"/>
      <c r="W904" s="148"/>
      <c r="X904" s="148"/>
      <c r="Y904" s="148"/>
      <c r="Z904" s="148"/>
      <c r="AA904" s="148"/>
      <c r="AB904" s="148"/>
      <c r="AC904" s="148"/>
      <c r="AD904" s="148"/>
      <c r="AE904" s="148"/>
    </row>
    <row r="905" spans="2:31">
      <c r="B905" s="148"/>
      <c r="C905" s="148"/>
      <c r="D905" s="148"/>
      <c r="E905" s="148"/>
      <c r="F905" s="148"/>
      <c r="G905" s="148"/>
      <c r="H905" s="148"/>
      <c r="I905" s="148"/>
      <c r="J905" s="148"/>
      <c r="K905" s="148"/>
      <c r="L905" s="148"/>
      <c r="M905" s="148"/>
      <c r="N905" s="148"/>
      <c r="O905" s="148"/>
      <c r="P905" s="148"/>
      <c r="Q905" s="148"/>
      <c r="R905" s="148"/>
      <c r="S905" s="148"/>
      <c r="T905" s="148"/>
      <c r="U905" s="148"/>
      <c r="V905" s="148"/>
      <c r="W905" s="148"/>
      <c r="X905" s="148"/>
      <c r="Y905" s="148"/>
      <c r="Z905" s="148"/>
      <c r="AA905" s="148"/>
      <c r="AB905" s="148"/>
      <c r="AC905" s="148"/>
      <c r="AD905" s="148"/>
      <c r="AE905" s="148"/>
    </row>
    <row r="906" spans="2:31">
      <c r="B906" s="148"/>
      <c r="C906" s="148"/>
      <c r="D906" s="148"/>
      <c r="E906" s="148"/>
      <c r="F906" s="148"/>
      <c r="G906" s="148"/>
      <c r="H906" s="148"/>
      <c r="I906" s="148"/>
      <c r="J906" s="148"/>
      <c r="K906" s="148"/>
      <c r="L906" s="148"/>
      <c r="M906" s="148"/>
      <c r="N906" s="148"/>
      <c r="O906" s="148"/>
      <c r="P906" s="148"/>
      <c r="Q906" s="148"/>
      <c r="R906" s="148"/>
      <c r="S906" s="148"/>
      <c r="T906" s="148"/>
      <c r="U906" s="148"/>
      <c r="V906" s="148"/>
      <c r="W906" s="148"/>
      <c r="X906" s="148"/>
      <c r="Y906" s="148"/>
      <c r="Z906" s="148"/>
      <c r="AA906" s="148"/>
      <c r="AB906" s="148"/>
      <c r="AC906" s="148"/>
      <c r="AD906" s="148"/>
      <c r="AE906" s="148"/>
    </row>
    <row r="907" spans="2:31">
      <c r="B907" s="148"/>
      <c r="C907" s="148"/>
      <c r="D907" s="148"/>
      <c r="E907" s="148"/>
      <c r="F907" s="148"/>
      <c r="G907" s="148"/>
      <c r="H907" s="148"/>
      <c r="I907" s="148"/>
      <c r="J907" s="148"/>
      <c r="K907" s="148"/>
      <c r="L907" s="148"/>
      <c r="M907" s="148"/>
      <c r="N907" s="148"/>
      <c r="O907" s="148"/>
      <c r="P907" s="148"/>
      <c r="Q907" s="148"/>
      <c r="R907" s="148"/>
      <c r="S907" s="148"/>
      <c r="T907" s="148"/>
      <c r="U907" s="148"/>
      <c r="V907" s="148"/>
      <c r="W907" s="148"/>
      <c r="X907" s="148"/>
      <c r="Y907" s="148"/>
      <c r="Z907" s="148"/>
      <c r="AA907" s="148"/>
      <c r="AB907" s="148"/>
      <c r="AC907" s="148"/>
      <c r="AD907" s="148"/>
      <c r="AE907" s="148"/>
    </row>
    <row r="908" spans="2:31">
      <c r="B908" s="148"/>
      <c r="C908" s="148"/>
      <c r="D908" s="148"/>
      <c r="E908" s="148"/>
      <c r="F908" s="148"/>
      <c r="G908" s="148"/>
      <c r="H908" s="148"/>
      <c r="I908" s="148"/>
      <c r="J908" s="148"/>
      <c r="K908" s="148"/>
      <c r="L908" s="148"/>
      <c r="M908" s="148"/>
      <c r="N908" s="148"/>
      <c r="O908" s="148"/>
      <c r="P908" s="148"/>
      <c r="Q908" s="148"/>
      <c r="R908" s="148"/>
      <c r="S908" s="148"/>
      <c r="T908" s="148"/>
      <c r="U908" s="148"/>
      <c r="V908" s="148"/>
      <c r="W908" s="148"/>
      <c r="X908" s="148"/>
      <c r="Y908" s="148"/>
      <c r="Z908" s="148"/>
      <c r="AA908" s="148"/>
      <c r="AB908" s="148"/>
      <c r="AC908" s="148"/>
      <c r="AD908" s="148"/>
      <c r="AE908" s="148"/>
    </row>
    <row r="909" spans="2:31">
      <c r="B909" s="148"/>
      <c r="C909" s="148"/>
      <c r="D909" s="148"/>
      <c r="E909" s="148"/>
      <c r="F909" s="148"/>
      <c r="G909" s="148"/>
      <c r="H909" s="148"/>
      <c r="I909" s="148"/>
      <c r="J909" s="148"/>
      <c r="K909" s="148"/>
      <c r="L909" s="148"/>
      <c r="M909" s="148"/>
      <c r="N909" s="148"/>
      <c r="O909" s="148"/>
      <c r="P909" s="148"/>
      <c r="Q909" s="148"/>
      <c r="R909" s="148"/>
      <c r="S909" s="148"/>
      <c r="T909" s="148"/>
      <c r="U909" s="148"/>
      <c r="V909" s="148"/>
      <c r="W909" s="148"/>
      <c r="X909" s="148"/>
      <c r="Y909" s="148"/>
      <c r="Z909" s="148"/>
      <c r="AA909" s="148"/>
      <c r="AB909" s="148"/>
      <c r="AC909" s="148"/>
      <c r="AD909" s="148"/>
      <c r="AE909" s="148"/>
    </row>
    <row r="910" spans="2:31">
      <c r="B910" s="148"/>
      <c r="C910" s="148"/>
      <c r="D910" s="148"/>
      <c r="E910" s="148"/>
      <c r="F910" s="148"/>
      <c r="G910" s="148"/>
      <c r="H910" s="148"/>
      <c r="I910" s="148"/>
      <c r="J910" s="148"/>
      <c r="K910" s="148"/>
      <c r="L910" s="148"/>
      <c r="M910" s="148"/>
      <c r="N910" s="148"/>
      <c r="O910" s="148"/>
      <c r="P910" s="148"/>
      <c r="Q910" s="148"/>
      <c r="R910" s="148"/>
      <c r="S910" s="148"/>
      <c r="T910" s="148"/>
      <c r="U910" s="148"/>
      <c r="V910" s="148"/>
      <c r="W910" s="148"/>
      <c r="X910" s="148"/>
      <c r="Y910" s="148"/>
      <c r="Z910" s="148"/>
      <c r="AA910" s="148"/>
      <c r="AB910" s="148"/>
      <c r="AC910" s="148"/>
      <c r="AD910" s="148"/>
      <c r="AE910" s="148"/>
    </row>
    <row r="911" spans="2:31">
      <c r="B911" s="148"/>
      <c r="C911" s="148"/>
      <c r="D911" s="148"/>
      <c r="E911" s="148"/>
      <c r="F911" s="148"/>
      <c r="G911" s="148"/>
      <c r="H911" s="148"/>
      <c r="I911" s="148"/>
      <c r="J911" s="148"/>
      <c r="K911" s="148"/>
      <c r="L911" s="148"/>
      <c r="M911" s="148"/>
      <c r="N911" s="148"/>
      <c r="O911" s="148"/>
      <c r="P911" s="148"/>
      <c r="Q911" s="148"/>
      <c r="R911" s="148"/>
      <c r="S911" s="148"/>
      <c r="T911" s="148"/>
      <c r="U911" s="148"/>
      <c r="V911" s="148"/>
      <c r="W911" s="148"/>
      <c r="X911" s="148"/>
      <c r="Y911" s="148"/>
      <c r="Z911" s="148"/>
      <c r="AA911" s="148"/>
      <c r="AB911" s="148"/>
      <c r="AC911" s="148"/>
      <c r="AD911" s="148"/>
      <c r="AE911" s="148"/>
    </row>
    <row r="912" spans="2:31">
      <c r="B912" s="148"/>
      <c r="C912" s="148"/>
      <c r="D912" s="148"/>
      <c r="E912" s="148"/>
      <c r="F912" s="148"/>
      <c r="G912" s="148"/>
      <c r="H912" s="148"/>
      <c r="I912" s="148"/>
      <c r="J912" s="148"/>
      <c r="K912" s="148"/>
      <c r="L912" s="148"/>
      <c r="M912" s="148"/>
      <c r="N912" s="148"/>
      <c r="O912" s="148"/>
      <c r="P912" s="148"/>
      <c r="Q912" s="148"/>
      <c r="R912" s="148"/>
      <c r="S912" s="148"/>
      <c r="T912" s="148"/>
      <c r="U912" s="148"/>
      <c r="V912" s="148"/>
      <c r="W912" s="148"/>
      <c r="X912" s="148"/>
      <c r="Y912" s="148"/>
      <c r="Z912" s="148"/>
      <c r="AA912" s="148"/>
      <c r="AB912" s="148"/>
      <c r="AC912" s="148"/>
      <c r="AD912" s="148"/>
      <c r="AE912" s="148"/>
    </row>
    <row r="913" spans="2:31">
      <c r="B913" s="148"/>
      <c r="C913" s="148"/>
      <c r="D913" s="148"/>
      <c r="E913" s="148"/>
      <c r="F913" s="148"/>
      <c r="G913" s="148"/>
      <c r="H913" s="148"/>
      <c r="I913" s="148"/>
      <c r="J913" s="148"/>
      <c r="K913" s="148"/>
      <c r="L913" s="148"/>
      <c r="M913" s="148"/>
      <c r="N913" s="148"/>
      <c r="O913" s="148"/>
      <c r="P913" s="148"/>
      <c r="Q913" s="148"/>
      <c r="R913" s="148"/>
      <c r="S913" s="148"/>
      <c r="T913" s="148"/>
      <c r="U913" s="148"/>
      <c r="V913" s="148"/>
      <c r="W913" s="148"/>
      <c r="X913" s="148"/>
      <c r="Y913" s="148"/>
      <c r="Z913" s="148"/>
      <c r="AA913" s="148"/>
      <c r="AB913" s="148"/>
      <c r="AC913" s="148"/>
      <c r="AD913" s="148"/>
      <c r="AE913" s="148"/>
    </row>
    <row r="914" spans="2:31">
      <c r="B914" s="148"/>
      <c r="C914" s="148"/>
      <c r="D914" s="148"/>
      <c r="E914" s="148"/>
      <c r="F914" s="148"/>
      <c r="G914" s="148"/>
      <c r="H914" s="148"/>
      <c r="I914" s="148"/>
      <c r="J914" s="148"/>
      <c r="K914" s="148"/>
      <c r="L914" s="148"/>
      <c r="M914" s="148"/>
      <c r="N914" s="148"/>
      <c r="O914" s="148"/>
      <c r="P914" s="148"/>
      <c r="Q914" s="148"/>
      <c r="R914" s="148"/>
      <c r="S914" s="148"/>
      <c r="T914" s="148"/>
      <c r="U914" s="148"/>
      <c r="V914" s="148"/>
      <c r="W914" s="148"/>
      <c r="X914" s="148"/>
      <c r="Y914" s="148"/>
      <c r="Z914" s="148"/>
      <c r="AA914" s="148"/>
      <c r="AB914" s="148"/>
      <c r="AC914" s="148"/>
      <c r="AD914" s="148"/>
      <c r="AE914" s="148"/>
    </row>
    <row r="915" spans="2:31">
      <c r="B915" s="148"/>
      <c r="C915" s="148"/>
      <c r="D915" s="148"/>
      <c r="E915" s="148"/>
      <c r="F915" s="148"/>
      <c r="G915" s="148"/>
      <c r="H915" s="148"/>
      <c r="I915" s="148"/>
      <c r="J915" s="148"/>
      <c r="K915" s="148"/>
      <c r="L915" s="148"/>
      <c r="M915" s="148"/>
      <c r="N915" s="148"/>
      <c r="O915" s="148"/>
      <c r="P915" s="148"/>
      <c r="Q915" s="148"/>
      <c r="R915" s="148"/>
      <c r="S915" s="148"/>
      <c r="T915" s="148"/>
      <c r="U915" s="148"/>
      <c r="V915" s="148"/>
      <c r="W915" s="148"/>
      <c r="X915" s="148"/>
      <c r="Y915" s="148"/>
      <c r="Z915" s="148"/>
      <c r="AA915" s="148"/>
      <c r="AB915" s="148"/>
      <c r="AC915" s="148"/>
      <c r="AD915" s="148"/>
      <c r="AE915" s="148"/>
    </row>
    <row r="916" spans="2:31">
      <c r="B916" s="148"/>
      <c r="C916" s="148"/>
      <c r="D916" s="148"/>
      <c r="E916" s="148"/>
      <c r="F916" s="148"/>
      <c r="G916" s="148"/>
      <c r="H916" s="148"/>
      <c r="I916" s="148"/>
      <c r="J916" s="148"/>
      <c r="K916" s="148"/>
      <c r="L916" s="148"/>
      <c r="M916" s="148"/>
      <c r="N916" s="148"/>
      <c r="O916" s="148"/>
      <c r="P916" s="148"/>
      <c r="Q916" s="148"/>
      <c r="R916" s="148"/>
      <c r="S916" s="148"/>
      <c r="T916" s="148"/>
      <c r="U916" s="148"/>
      <c r="V916" s="148"/>
      <c r="W916" s="148"/>
      <c r="X916" s="148"/>
      <c r="Y916" s="148"/>
      <c r="Z916" s="148"/>
      <c r="AA916" s="148"/>
      <c r="AB916" s="148"/>
      <c r="AC916" s="148"/>
      <c r="AD916" s="148"/>
      <c r="AE916" s="148"/>
    </row>
    <row r="917" spans="2:31">
      <c r="B917" s="148"/>
      <c r="C917" s="148"/>
      <c r="D917" s="148"/>
      <c r="E917" s="148"/>
      <c r="F917" s="148"/>
      <c r="G917" s="148"/>
      <c r="H917" s="148"/>
      <c r="I917" s="148"/>
      <c r="J917" s="148"/>
      <c r="K917" s="148"/>
      <c r="L917" s="148"/>
      <c r="M917" s="148"/>
      <c r="N917" s="148"/>
      <c r="O917" s="148"/>
      <c r="P917" s="148"/>
      <c r="Q917" s="148"/>
      <c r="R917" s="148"/>
      <c r="S917" s="148"/>
      <c r="T917" s="148"/>
      <c r="U917" s="148"/>
      <c r="V917" s="148"/>
      <c r="W917" s="148"/>
      <c r="X917" s="148"/>
      <c r="Y917" s="148"/>
      <c r="Z917" s="148"/>
      <c r="AA917" s="148"/>
      <c r="AB917" s="148"/>
      <c r="AC917" s="148"/>
      <c r="AD917" s="148"/>
      <c r="AE917" s="148"/>
    </row>
    <row r="918" spans="2:31">
      <c r="B918" s="148"/>
      <c r="C918" s="148"/>
      <c r="D918" s="148"/>
      <c r="E918" s="148"/>
      <c r="F918" s="148"/>
      <c r="G918" s="148"/>
      <c r="H918" s="148"/>
      <c r="I918" s="148"/>
      <c r="J918" s="148"/>
      <c r="K918" s="148"/>
      <c r="L918" s="148"/>
      <c r="M918" s="148"/>
      <c r="N918" s="148"/>
      <c r="O918" s="148"/>
      <c r="P918" s="148"/>
      <c r="Q918" s="148"/>
      <c r="R918" s="148"/>
      <c r="S918" s="148"/>
      <c r="T918" s="148"/>
      <c r="U918" s="148"/>
      <c r="V918" s="148"/>
      <c r="W918" s="148"/>
      <c r="X918" s="148"/>
      <c r="Y918" s="148"/>
      <c r="Z918" s="148"/>
      <c r="AA918" s="148"/>
      <c r="AB918" s="148"/>
      <c r="AC918" s="148"/>
      <c r="AD918" s="148"/>
      <c r="AE918" s="148"/>
    </row>
    <row r="919" spans="2:31">
      <c r="B919" s="148"/>
      <c r="C919" s="148"/>
      <c r="D919" s="148"/>
      <c r="E919" s="148"/>
      <c r="F919" s="148"/>
      <c r="G919" s="148"/>
      <c r="H919" s="148"/>
      <c r="I919" s="148"/>
      <c r="J919" s="148"/>
      <c r="K919" s="148"/>
      <c r="L919" s="148"/>
      <c r="M919" s="148"/>
      <c r="N919" s="148"/>
      <c r="O919" s="148"/>
      <c r="P919" s="148"/>
      <c r="Q919" s="148"/>
      <c r="R919" s="148"/>
      <c r="S919" s="148"/>
      <c r="T919" s="148"/>
      <c r="U919" s="148"/>
      <c r="V919" s="148"/>
      <c r="W919" s="148"/>
      <c r="X919" s="148"/>
      <c r="Y919" s="148"/>
      <c r="Z919" s="148"/>
      <c r="AA919" s="148"/>
      <c r="AB919" s="148"/>
      <c r="AC919" s="148"/>
      <c r="AD919" s="148"/>
      <c r="AE919" s="148"/>
    </row>
    <row r="920" spans="2:31">
      <c r="B920" s="148"/>
      <c r="C920" s="148"/>
      <c r="D920" s="148"/>
      <c r="E920" s="148"/>
      <c r="F920" s="148"/>
      <c r="G920" s="148"/>
      <c r="H920" s="148"/>
      <c r="I920" s="148"/>
      <c r="J920" s="148"/>
      <c r="K920" s="148"/>
      <c r="L920" s="148"/>
      <c r="M920" s="148"/>
      <c r="N920" s="148"/>
      <c r="O920" s="148"/>
      <c r="P920" s="148"/>
      <c r="Q920" s="148"/>
      <c r="R920" s="148"/>
      <c r="S920" s="148"/>
      <c r="T920" s="148"/>
      <c r="U920" s="148"/>
      <c r="V920" s="148"/>
      <c r="W920" s="148"/>
      <c r="X920" s="148"/>
      <c r="Y920" s="148"/>
      <c r="Z920" s="148"/>
      <c r="AA920" s="148"/>
      <c r="AB920" s="148"/>
      <c r="AC920" s="148"/>
      <c r="AD920" s="148"/>
      <c r="AE920" s="148"/>
    </row>
    <row r="921" spans="2:31">
      <c r="B921" s="148"/>
      <c r="C921" s="148"/>
      <c r="D921" s="148"/>
      <c r="E921" s="148"/>
      <c r="F921" s="148"/>
      <c r="G921" s="148"/>
      <c r="H921" s="148"/>
      <c r="I921" s="148"/>
      <c r="J921" s="148"/>
      <c r="K921" s="148"/>
      <c r="L921" s="148"/>
      <c r="M921" s="148"/>
      <c r="N921" s="148"/>
      <c r="O921" s="148"/>
      <c r="P921" s="148"/>
      <c r="Q921" s="148"/>
      <c r="R921" s="148"/>
      <c r="S921" s="148"/>
      <c r="T921" s="148"/>
      <c r="U921" s="148"/>
      <c r="V921" s="148"/>
      <c r="W921" s="148"/>
      <c r="X921" s="148"/>
      <c r="Y921" s="148"/>
      <c r="Z921" s="148"/>
      <c r="AA921" s="148"/>
      <c r="AB921" s="148"/>
      <c r="AC921" s="148"/>
      <c r="AD921" s="148"/>
      <c r="AE921" s="148"/>
    </row>
    <row r="922" spans="2:31">
      <c r="B922" s="148"/>
      <c r="C922" s="148"/>
      <c r="D922" s="148"/>
      <c r="E922" s="148"/>
      <c r="F922" s="148"/>
      <c r="G922" s="148"/>
      <c r="H922" s="148"/>
      <c r="I922" s="148"/>
      <c r="J922" s="148"/>
      <c r="K922" s="148"/>
      <c r="L922" s="148"/>
      <c r="M922" s="148"/>
      <c r="N922" s="148"/>
      <c r="O922" s="148"/>
      <c r="P922" s="148"/>
      <c r="Q922" s="148"/>
      <c r="R922" s="148"/>
      <c r="S922" s="148"/>
      <c r="T922" s="148"/>
      <c r="U922" s="148"/>
      <c r="V922" s="148"/>
      <c r="W922" s="148"/>
      <c r="X922" s="148"/>
      <c r="Y922" s="148"/>
      <c r="Z922" s="148"/>
      <c r="AA922" s="148"/>
      <c r="AB922" s="148"/>
      <c r="AC922" s="148"/>
      <c r="AD922" s="148"/>
      <c r="AE922" s="148"/>
    </row>
    <row r="923" spans="2:31">
      <c r="B923" s="148"/>
      <c r="C923" s="148"/>
      <c r="D923" s="148"/>
      <c r="E923" s="148"/>
      <c r="F923" s="148"/>
      <c r="G923" s="148"/>
      <c r="H923" s="148"/>
      <c r="I923" s="148"/>
      <c r="J923" s="148"/>
      <c r="K923" s="148"/>
      <c r="L923" s="148"/>
      <c r="M923" s="148"/>
      <c r="N923" s="148"/>
      <c r="O923" s="148"/>
      <c r="P923" s="148"/>
      <c r="Q923" s="148"/>
      <c r="R923" s="148"/>
      <c r="S923" s="148"/>
      <c r="T923" s="148"/>
      <c r="U923" s="148"/>
      <c r="V923" s="148"/>
      <c r="W923" s="148"/>
      <c r="X923" s="148"/>
      <c r="Y923" s="148"/>
      <c r="Z923" s="148"/>
      <c r="AA923" s="148"/>
      <c r="AB923" s="148"/>
      <c r="AC923" s="148"/>
      <c r="AD923" s="148"/>
      <c r="AE923" s="148"/>
    </row>
    <row r="924" spans="2:31">
      <c r="B924" s="148"/>
      <c r="C924" s="148"/>
      <c r="D924" s="148"/>
      <c r="E924" s="148"/>
      <c r="F924" s="148"/>
      <c r="G924" s="148"/>
      <c r="H924" s="148"/>
      <c r="I924" s="148"/>
      <c r="J924" s="148"/>
      <c r="K924" s="148"/>
      <c r="L924" s="148"/>
      <c r="M924" s="148"/>
      <c r="N924" s="148"/>
      <c r="O924" s="148"/>
      <c r="P924" s="148"/>
      <c r="Q924" s="148"/>
      <c r="R924" s="148"/>
      <c r="S924" s="148"/>
      <c r="T924" s="148"/>
      <c r="U924" s="148"/>
      <c r="V924" s="148"/>
      <c r="W924" s="148"/>
      <c r="X924" s="148"/>
      <c r="Y924" s="148"/>
      <c r="Z924" s="148"/>
      <c r="AA924" s="148"/>
      <c r="AB924" s="148"/>
      <c r="AC924" s="148"/>
      <c r="AD924" s="148"/>
      <c r="AE924" s="148"/>
    </row>
    <row r="925" spans="2:31">
      <c r="B925" s="148"/>
      <c r="C925" s="148"/>
      <c r="D925" s="148"/>
      <c r="E925" s="148"/>
      <c r="F925" s="148"/>
      <c r="G925" s="148"/>
      <c r="H925" s="148"/>
      <c r="I925" s="148"/>
      <c r="J925" s="148"/>
      <c r="K925" s="148"/>
      <c r="L925" s="148"/>
      <c r="M925" s="148"/>
      <c r="N925" s="148"/>
      <c r="O925" s="148"/>
      <c r="P925" s="148"/>
      <c r="Q925" s="148"/>
      <c r="R925" s="148"/>
      <c r="S925" s="148"/>
      <c r="T925" s="148"/>
      <c r="U925" s="148"/>
      <c r="V925" s="148"/>
      <c r="W925" s="148"/>
      <c r="X925" s="148"/>
      <c r="Y925" s="148"/>
      <c r="Z925" s="148"/>
      <c r="AA925" s="148"/>
      <c r="AB925" s="148"/>
      <c r="AC925" s="148"/>
      <c r="AD925" s="148"/>
      <c r="AE925" s="148"/>
    </row>
    <row r="926" spans="2:31">
      <c r="B926" s="148"/>
      <c r="C926" s="148"/>
      <c r="D926" s="148"/>
      <c r="E926" s="148"/>
      <c r="F926" s="148"/>
      <c r="G926" s="148"/>
      <c r="H926" s="148"/>
      <c r="I926" s="148"/>
      <c r="J926" s="148"/>
      <c r="K926" s="148"/>
      <c r="L926" s="148"/>
      <c r="M926" s="148"/>
      <c r="N926" s="148"/>
      <c r="O926" s="148"/>
      <c r="P926" s="148"/>
      <c r="Q926" s="148"/>
      <c r="R926" s="148"/>
      <c r="S926" s="148"/>
      <c r="T926" s="148"/>
      <c r="U926" s="148"/>
      <c r="V926" s="148"/>
      <c r="W926" s="148"/>
      <c r="X926" s="148"/>
      <c r="Y926" s="148"/>
      <c r="Z926" s="148"/>
      <c r="AA926" s="148"/>
      <c r="AB926" s="148"/>
      <c r="AC926" s="148"/>
      <c r="AD926" s="148"/>
      <c r="AE926" s="148"/>
    </row>
    <row r="927" spans="2:31">
      <c r="B927" s="148"/>
      <c r="C927" s="148"/>
      <c r="D927" s="148"/>
      <c r="E927" s="148"/>
      <c r="F927" s="148"/>
      <c r="G927" s="148"/>
      <c r="H927" s="148"/>
      <c r="I927" s="148"/>
      <c r="J927" s="148"/>
      <c r="K927" s="148"/>
      <c r="L927" s="148"/>
      <c r="M927" s="148"/>
      <c r="N927" s="148"/>
      <c r="O927" s="148"/>
      <c r="P927" s="148"/>
      <c r="Q927" s="148"/>
      <c r="R927" s="148"/>
      <c r="S927" s="148"/>
      <c r="T927" s="148"/>
      <c r="U927" s="148"/>
      <c r="V927" s="148"/>
      <c r="W927" s="148"/>
      <c r="X927" s="148"/>
      <c r="Y927" s="148"/>
      <c r="Z927" s="148"/>
      <c r="AA927" s="148"/>
      <c r="AB927" s="148"/>
      <c r="AC927" s="148"/>
      <c r="AD927" s="148"/>
      <c r="AE927" s="148"/>
    </row>
    <row r="928" spans="2:31">
      <c r="B928" s="148"/>
      <c r="C928" s="148"/>
      <c r="D928" s="148"/>
      <c r="E928" s="148"/>
      <c r="F928" s="148"/>
      <c r="G928" s="148"/>
      <c r="H928" s="148"/>
      <c r="I928" s="148"/>
      <c r="J928" s="148"/>
      <c r="K928" s="148"/>
      <c r="L928" s="148"/>
      <c r="M928" s="148"/>
      <c r="N928" s="148"/>
      <c r="O928" s="148"/>
      <c r="P928" s="148"/>
      <c r="Q928" s="148"/>
      <c r="R928" s="148"/>
      <c r="S928" s="148"/>
      <c r="T928" s="148"/>
      <c r="U928" s="148"/>
      <c r="V928" s="148"/>
      <c r="W928" s="148"/>
      <c r="X928" s="148"/>
      <c r="Y928" s="148"/>
      <c r="Z928" s="148"/>
      <c r="AA928" s="148"/>
      <c r="AB928" s="148"/>
      <c r="AC928" s="148"/>
      <c r="AD928" s="148"/>
      <c r="AE928" s="148"/>
    </row>
    <row r="929" spans="2:31">
      <c r="B929" s="148"/>
      <c r="C929" s="148"/>
      <c r="D929" s="148"/>
      <c r="E929" s="148"/>
      <c r="F929" s="148"/>
      <c r="G929" s="148"/>
      <c r="H929" s="148"/>
      <c r="I929" s="148"/>
      <c r="J929" s="148"/>
      <c r="K929" s="148"/>
      <c r="L929" s="148"/>
      <c r="M929" s="148"/>
      <c r="N929" s="148"/>
      <c r="O929" s="148"/>
      <c r="P929" s="148"/>
      <c r="Q929" s="148"/>
      <c r="R929" s="148"/>
      <c r="S929" s="148"/>
      <c r="T929" s="148"/>
      <c r="U929" s="148"/>
      <c r="V929" s="148"/>
      <c r="W929" s="148"/>
      <c r="X929" s="148"/>
      <c r="Y929" s="148"/>
      <c r="Z929" s="148"/>
      <c r="AA929" s="148"/>
      <c r="AB929" s="148"/>
      <c r="AC929" s="148"/>
      <c r="AD929" s="148"/>
      <c r="AE929" s="148"/>
    </row>
    <row r="930" spans="2:31">
      <c r="B930" s="148"/>
      <c r="C930" s="148"/>
      <c r="D930" s="148"/>
      <c r="E930" s="148"/>
      <c r="F930" s="148"/>
      <c r="G930" s="148"/>
      <c r="H930" s="148"/>
      <c r="I930" s="148"/>
      <c r="J930" s="148"/>
      <c r="K930" s="148"/>
      <c r="L930" s="148"/>
      <c r="M930" s="148"/>
      <c r="N930" s="148"/>
      <c r="O930" s="148"/>
      <c r="P930" s="148"/>
      <c r="Q930" s="148"/>
      <c r="R930" s="148"/>
      <c r="S930" s="148"/>
      <c r="T930" s="148"/>
      <c r="U930" s="148"/>
      <c r="V930" s="148"/>
      <c r="W930" s="148"/>
      <c r="X930" s="148"/>
      <c r="Y930" s="148"/>
      <c r="Z930" s="148"/>
      <c r="AA930" s="148"/>
      <c r="AB930" s="148"/>
      <c r="AC930" s="148"/>
      <c r="AD930" s="148"/>
      <c r="AE930" s="148"/>
    </row>
    <row r="931" spans="2:31">
      <c r="B931" s="148"/>
      <c r="C931" s="148"/>
      <c r="D931" s="148"/>
      <c r="E931" s="148"/>
      <c r="F931" s="148"/>
      <c r="G931" s="148"/>
      <c r="H931" s="148"/>
      <c r="I931" s="148"/>
      <c r="J931" s="148"/>
      <c r="K931" s="148"/>
      <c r="L931" s="148"/>
      <c r="M931" s="148"/>
      <c r="N931" s="148"/>
      <c r="O931" s="148"/>
      <c r="P931" s="148"/>
      <c r="Q931" s="148"/>
      <c r="R931" s="148"/>
      <c r="S931" s="148"/>
      <c r="T931" s="148"/>
      <c r="U931" s="148"/>
      <c r="V931" s="148"/>
      <c r="W931" s="148"/>
      <c r="X931" s="148"/>
      <c r="Y931" s="148"/>
      <c r="Z931" s="148"/>
      <c r="AA931" s="148"/>
      <c r="AB931" s="148"/>
      <c r="AC931" s="148"/>
      <c r="AD931" s="148"/>
      <c r="AE931" s="148"/>
    </row>
    <row r="932" spans="2:31">
      <c r="B932" s="148"/>
      <c r="C932" s="148"/>
      <c r="D932" s="148"/>
      <c r="E932" s="148"/>
      <c r="F932" s="148"/>
      <c r="G932" s="148"/>
      <c r="H932" s="148"/>
      <c r="I932" s="148"/>
      <c r="J932" s="148"/>
      <c r="K932" s="148"/>
      <c r="L932" s="148"/>
      <c r="M932" s="148"/>
      <c r="N932" s="148"/>
      <c r="O932" s="148"/>
      <c r="P932" s="148"/>
      <c r="Q932" s="148"/>
      <c r="R932" s="148"/>
      <c r="S932" s="148"/>
      <c r="T932" s="148"/>
      <c r="U932" s="148"/>
      <c r="V932" s="148"/>
      <c r="W932" s="148"/>
      <c r="X932" s="148"/>
      <c r="Y932" s="148"/>
      <c r="Z932" s="148"/>
      <c r="AA932" s="148"/>
      <c r="AB932" s="148"/>
      <c r="AC932" s="148"/>
      <c r="AD932" s="148"/>
      <c r="AE932" s="148"/>
    </row>
    <row r="933" spans="2:31">
      <c r="B933" s="148"/>
      <c r="C933" s="148"/>
      <c r="D933" s="148"/>
      <c r="E933" s="148"/>
      <c r="F933" s="148"/>
      <c r="G933" s="148"/>
      <c r="H933" s="148"/>
      <c r="I933" s="148"/>
      <c r="J933" s="148"/>
      <c r="K933" s="148"/>
      <c r="L933" s="148"/>
      <c r="M933" s="148"/>
      <c r="N933" s="148"/>
      <c r="O933" s="148"/>
      <c r="P933" s="148"/>
      <c r="Q933" s="148"/>
      <c r="R933" s="148"/>
      <c r="S933" s="148"/>
      <c r="T933" s="148"/>
      <c r="U933" s="148"/>
      <c r="V933" s="148"/>
      <c r="W933" s="148"/>
      <c r="X933" s="148"/>
      <c r="Y933" s="148"/>
      <c r="Z933" s="148"/>
      <c r="AA933" s="148"/>
      <c r="AB933" s="148"/>
      <c r="AC933" s="148"/>
      <c r="AD933" s="148"/>
      <c r="AE933" s="148"/>
    </row>
    <row r="934" spans="2:31">
      <c r="B934" s="148"/>
      <c r="C934" s="148"/>
      <c r="D934" s="148"/>
      <c r="E934" s="148"/>
      <c r="F934" s="148"/>
      <c r="G934" s="148"/>
      <c r="H934" s="148"/>
      <c r="I934" s="148"/>
      <c r="J934" s="148"/>
      <c r="K934" s="148"/>
      <c r="L934" s="148"/>
      <c r="M934" s="148"/>
      <c r="N934" s="148"/>
      <c r="O934" s="148"/>
      <c r="P934" s="148"/>
      <c r="Q934" s="148"/>
      <c r="R934" s="148"/>
      <c r="S934" s="148"/>
      <c r="T934" s="148"/>
      <c r="U934" s="148"/>
      <c r="V934" s="148"/>
      <c r="W934" s="148"/>
      <c r="X934" s="148"/>
      <c r="Y934" s="148"/>
      <c r="Z934" s="148"/>
      <c r="AA934" s="148"/>
      <c r="AB934" s="148"/>
      <c r="AC934" s="148"/>
      <c r="AD934" s="148"/>
      <c r="AE934" s="148"/>
    </row>
    <row r="935" spans="2:31">
      <c r="B935" s="148"/>
      <c r="C935" s="148"/>
      <c r="D935" s="148"/>
      <c r="E935" s="148"/>
      <c r="F935" s="148"/>
      <c r="G935" s="148"/>
      <c r="H935" s="148"/>
      <c r="I935" s="148"/>
      <c r="J935" s="148"/>
      <c r="K935" s="148"/>
      <c r="L935" s="148"/>
      <c r="M935" s="148"/>
      <c r="N935" s="148"/>
      <c r="O935" s="148"/>
      <c r="P935" s="148"/>
      <c r="Q935" s="148"/>
      <c r="R935" s="148"/>
      <c r="S935" s="148"/>
      <c r="T935" s="148"/>
      <c r="U935" s="148"/>
      <c r="V935" s="148"/>
      <c r="W935" s="148"/>
      <c r="X935" s="148"/>
      <c r="Y935" s="148"/>
      <c r="Z935" s="148"/>
      <c r="AA935" s="148"/>
      <c r="AB935" s="148"/>
      <c r="AC935" s="148"/>
      <c r="AD935" s="148"/>
      <c r="AE935" s="148"/>
    </row>
    <row r="936" spans="2:31">
      <c r="B936" s="148"/>
      <c r="C936" s="148"/>
      <c r="D936" s="148"/>
      <c r="E936" s="148"/>
      <c r="F936" s="148"/>
      <c r="G936" s="148"/>
      <c r="H936" s="148"/>
      <c r="I936" s="148"/>
      <c r="J936" s="148"/>
      <c r="K936" s="148"/>
      <c r="L936" s="148"/>
      <c r="M936" s="148"/>
      <c r="N936" s="148"/>
      <c r="O936" s="148"/>
      <c r="P936" s="148"/>
      <c r="Q936" s="148"/>
      <c r="R936" s="148"/>
      <c r="S936" s="148"/>
      <c r="T936" s="148"/>
      <c r="U936" s="148"/>
      <c r="V936" s="148"/>
      <c r="W936" s="148"/>
      <c r="X936" s="148"/>
      <c r="Y936" s="148"/>
      <c r="Z936" s="148"/>
      <c r="AA936" s="148"/>
      <c r="AB936" s="148"/>
      <c r="AC936" s="148"/>
      <c r="AD936" s="148"/>
      <c r="AE936" s="148"/>
    </row>
    <row r="937" spans="2:31">
      <c r="B937" s="148"/>
      <c r="C937" s="148"/>
      <c r="D937" s="148"/>
      <c r="E937" s="148"/>
      <c r="F937" s="148"/>
      <c r="G937" s="148"/>
      <c r="H937" s="148"/>
      <c r="I937" s="148"/>
      <c r="J937" s="148"/>
      <c r="K937" s="148"/>
      <c r="L937" s="148"/>
      <c r="M937" s="148"/>
      <c r="N937" s="148"/>
      <c r="O937" s="148"/>
      <c r="P937" s="148"/>
      <c r="Q937" s="148"/>
      <c r="R937" s="148"/>
      <c r="S937" s="148"/>
      <c r="T937" s="148"/>
      <c r="U937" s="148"/>
      <c r="V937" s="148"/>
      <c r="W937" s="148"/>
      <c r="X937" s="148"/>
      <c r="Y937" s="148"/>
      <c r="Z937" s="148"/>
      <c r="AA937" s="148"/>
      <c r="AB937" s="148"/>
      <c r="AC937" s="148"/>
      <c r="AD937" s="148"/>
      <c r="AE937" s="148"/>
    </row>
    <row r="938" spans="2:31">
      <c r="B938" s="148"/>
      <c r="C938" s="148"/>
      <c r="D938" s="148"/>
      <c r="E938" s="148"/>
      <c r="F938" s="148"/>
      <c r="G938" s="148"/>
      <c r="H938" s="148"/>
      <c r="I938" s="148"/>
      <c r="J938" s="148"/>
      <c r="K938" s="148"/>
      <c r="L938" s="148"/>
      <c r="M938" s="148"/>
      <c r="N938" s="148"/>
      <c r="O938" s="148"/>
      <c r="P938" s="148"/>
      <c r="Q938" s="148"/>
      <c r="R938" s="148"/>
      <c r="S938" s="148"/>
      <c r="T938" s="148"/>
      <c r="U938" s="148"/>
      <c r="V938" s="148"/>
      <c r="W938" s="148"/>
      <c r="X938" s="148"/>
      <c r="Y938" s="148"/>
      <c r="Z938" s="148"/>
      <c r="AA938" s="148"/>
      <c r="AB938" s="148"/>
      <c r="AC938" s="148"/>
      <c r="AD938" s="148"/>
      <c r="AE938" s="148"/>
    </row>
    <row r="939" spans="2:31">
      <c r="B939" s="148"/>
      <c r="C939" s="148"/>
      <c r="D939" s="148"/>
      <c r="E939" s="148"/>
      <c r="F939" s="148"/>
      <c r="G939" s="148"/>
      <c r="H939" s="148"/>
      <c r="I939" s="148"/>
      <c r="J939" s="148"/>
      <c r="K939" s="148"/>
      <c r="L939" s="148"/>
      <c r="M939" s="148"/>
      <c r="N939" s="148"/>
      <c r="O939" s="148"/>
      <c r="P939" s="148"/>
      <c r="Q939" s="148"/>
      <c r="R939" s="148"/>
      <c r="S939" s="148"/>
      <c r="T939" s="148"/>
      <c r="U939" s="148"/>
      <c r="V939" s="148"/>
      <c r="W939" s="148"/>
      <c r="X939" s="148"/>
      <c r="Y939" s="148"/>
      <c r="Z939" s="148"/>
      <c r="AA939" s="148"/>
      <c r="AB939" s="148"/>
      <c r="AC939" s="148"/>
      <c r="AD939" s="148"/>
      <c r="AE939" s="148"/>
    </row>
    <row r="940" spans="2:31">
      <c r="B940" s="148"/>
      <c r="C940" s="148"/>
      <c r="D940" s="148"/>
      <c r="E940" s="148"/>
      <c r="F940" s="148"/>
      <c r="G940" s="148"/>
      <c r="H940" s="148"/>
      <c r="I940" s="148"/>
      <c r="J940" s="148"/>
      <c r="K940" s="148"/>
      <c r="L940" s="148"/>
      <c r="M940" s="148"/>
      <c r="N940" s="148"/>
      <c r="O940" s="148"/>
      <c r="P940" s="148"/>
      <c r="Q940" s="148"/>
      <c r="R940" s="148"/>
      <c r="S940" s="148"/>
      <c r="T940" s="148"/>
      <c r="U940" s="148"/>
      <c r="V940" s="148"/>
      <c r="W940" s="148"/>
      <c r="X940" s="148"/>
      <c r="Y940" s="148"/>
      <c r="Z940" s="148"/>
      <c r="AA940" s="148"/>
      <c r="AB940" s="148"/>
      <c r="AC940" s="148"/>
      <c r="AD940" s="148"/>
      <c r="AE940" s="148"/>
    </row>
    <row r="941" spans="2:31">
      <c r="B941" s="148"/>
      <c r="C941" s="148"/>
      <c r="D941" s="148"/>
      <c r="E941" s="148"/>
      <c r="F941" s="148"/>
      <c r="G941" s="148"/>
      <c r="H941" s="148"/>
      <c r="I941" s="148"/>
      <c r="J941" s="148"/>
      <c r="K941" s="148"/>
      <c r="L941" s="148"/>
      <c r="M941" s="148"/>
      <c r="N941" s="148"/>
      <c r="O941" s="148"/>
      <c r="P941" s="148"/>
      <c r="Q941" s="148"/>
      <c r="R941" s="148"/>
      <c r="S941" s="148"/>
      <c r="T941" s="148"/>
      <c r="U941" s="148"/>
      <c r="V941" s="148"/>
      <c r="W941" s="148"/>
      <c r="X941" s="148"/>
      <c r="Y941" s="148"/>
      <c r="Z941" s="148"/>
      <c r="AA941" s="148"/>
      <c r="AB941" s="148"/>
      <c r="AC941" s="148"/>
      <c r="AD941" s="148"/>
      <c r="AE941" s="148"/>
    </row>
    <row r="942" spans="2:31">
      <c r="B942" s="148"/>
      <c r="C942" s="148"/>
      <c r="D942" s="148"/>
      <c r="E942" s="148"/>
      <c r="F942" s="148"/>
      <c r="G942" s="148"/>
      <c r="H942" s="148"/>
      <c r="I942" s="148"/>
      <c r="J942" s="148"/>
      <c r="K942" s="148"/>
      <c r="L942" s="148"/>
      <c r="M942" s="148"/>
      <c r="N942" s="148"/>
      <c r="O942" s="148"/>
      <c r="P942" s="148"/>
      <c r="Q942" s="148"/>
      <c r="R942" s="148"/>
      <c r="S942" s="148"/>
      <c r="T942" s="148"/>
      <c r="U942" s="148"/>
      <c r="V942" s="148"/>
      <c r="W942" s="148"/>
      <c r="X942" s="148"/>
      <c r="Y942" s="148"/>
      <c r="Z942" s="148"/>
      <c r="AA942" s="148"/>
      <c r="AB942" s="148"/>
      <c r="AC942" s="148"/>
      <c r="AD942" s="148"/>
      <c r="AE942" s="148"/>
    </row>
    <row r="943" spans="2:31">
      <c r="B943" s="148"/>
      <c r="C943" s="148"/>
      <c r="D943" s="148"/>
      <c r="E943" s="148"/>
      <c r="F943" s="148"/>
      <c r="G943" s="148"/>
      <c r="H943" s="148"/>
      <c r="I943" s="148"/>
      <c r="J943" s="148"/>
      <c r="K943" s="148"/>
      <c r="L943" s="148"/>
      <c r="M943" s="148"/>
      <c r="N943" s="148"/>
      <c r="O943" s="148"/>
      <c r="P943" s="148"/>
      <c r="Q943" s="148"/>
      <c r="R943" s="148"/>
      <c r="S943" s="148"/>
      <c r="T943" s="148"/>
      <c r="U943" s="148"/>
      <c r="V943" s="148"/>
      <c r="W943" s="148"/>
      <c r="X943" s="148"/>
      <c r="Y943" s="148"/>
      <c r="Z943" s="148"/>
      <c r="AA943" s="148"/>
      <c r="AB943" s="148"/>
      <c r="AC943" s="148"/>
      <c r="AD943" s="148"/>
      <c r="AE943" s="148"/>
    </row>
    <row r="944" spans="2:31">
      <c r="B944" s="148"/>
      <c r="C944" s="148"/>
      <c r="D944" s="148"/>
      <c r="E944" s="148"/>
      <c r="F944" s="148"/>
      <c r="G944" s="148"/>
      <c r="H944" s="148"/>
      <c r="I944" s="148"/>
      <c r="J944" s="148"/>
      <c r="K944" s="148"/>
      <c r="L944" s="148"/>
      <c r="M944" s="148"/>
      <c r="N944" s="148"/>
      <c r="O944" s="148"/>
      <c r="P944" s="148"/>
      <c r="Q944" s="148"/>
      <c r="R944" s="148"/>
      <c r="S944" s="148"/>
      <c r="T944" s="148"/>
      <c r="U944" s="148"/>
      <c r="V944" s="148"/>
      <c r="W944" s="148"/>
      <c r="X944" s="148"/>
      <c r="Y944" s="148"/>
      <c r="Z944" s="148"/>
      <c r="AA944" s="148"/>
      <c r="AB944" s="148"/>
      <c r="AC944" s="148"/>
      <c r="AD944" s="148"/>
      <c r="AE944" s="148"/>
    </row>
    <row r="945" spans="2:31">
      <c r="B945" s="148"/>
      <c r="C945" s="148"/>
      <c r="D945" s="148"/>
      <c r="E945" s="148"/>
      <c r="F945" s="148"/>
      <c r="G945" s="148"/>
      <c r="H945" s="148"/>
      <c r="I945" s="148"/>
      <c r="J945" s="148"/>
      <c r="K945" s="148"/>
      <c r="L945" s="148"/>
      <c r="M945" s="148"/>
      <c r="N945" s="148"/>
      <c r="O945" s="148"/>
      <c r="P945" s="148"/>
      <c r="Q945" s="148"/>
      <c r="R945" s="148"/>
      <c r="S945" s="148"/>
      <c r="T945" s="148"/>
      <c r="U945" s="148"/>
      <c r="V945" s="148"/>
      <c r="W945" s="148"/>
      <c r="X945" s="148"/>
      <c r="Y945" s="148"/>
      <c r="Z945" s="148"/>
      <c r="AA945" s="148"/>
      <c r="AB945" s="148"/>
      <c r="AC945" s="148"/>
      <c r="AD945" s="148"/>
      <c r="AE945" s="148"/>
    </row>
    <row r="946" spans="2:31">
      <c r="B946" s="148"/>
      <c r="C946" s="148"/>
      <c r="D946" s="148"/>
      <c r="E946" s="148"/>
      <c r="F946" s="148"/>
      <c r="G946" s="148"/>
      <c r="H946" s="148"/>
      <c r="I946" s="148"/>
      <c r="J946" s="148"/>
      <c r="K946" s="148"/>
      <c r="L946" s="148"/>
      <c r="M946" s="148"/>
      <c r="N946" s="148"/>
      <c r="O946" s="148"/>
      <c r="P946" s="148"/>
      <c r="Q946" s="148"/>
      <c r="R946" s="148"/>
      <c r="S946" s="148"/>
      <c r="T946" s="148"/>
      <c r="U946" s="148"/>
      <c r="V946" s="148"/>
      <c r="W946" s="148"/>
      <c r="X946" s="148"/>
      <c r="Y946" s="148"/>
      <c r="Z946" s="148"/>
      <c r="AA946" s="148"/>
      <c r="AB946" s="148"/>
      <c r="AC946" s="148"/>
      <c r="AD946" s="148"/>
      <c r="AE946" s="148"/>
    </row>
    <row r="947" spans="2:31">
      <c r="B947" s="148"/>
      <c r="C947" s="148"/>
      <c r="D947" s="148"/>
      <c r="E947" s="148"/>
      <c r="F947" s="148"/>
      <c r="G947" s="148"/>
      <c r="H947" s="148"/>
      <c r="I947" s="148"/>
      <c r="J947" s="148"/>
      <c r="K947" s="148"/>
      <c r="L947" s="148"/>
      <c r="M947" s="148"/>
      <c r="N947" s="148"/>
      <c r="O947" s="148"/>
      <c r="P947" s="148"/>
      <c r="Q947" s="148"/>
      <c r="R947" s="148"/>
      <c r="S947" s="148"/>
      <c r="T947" s="148"/>
      <c r="U947" s="148"/>
      <c r="V947" s="148"/>
      <c r="W947" s="148"/>
      <c r="X947" s="148"/>
      <c r="Y947" s="148"/>
      <c r="Z947" s="148"/>
      <c r="AA947" s="148"/>
      <c r="AB947" s="148"/>
      <c r="AC947" s="148"/>
      <c r="AD947" s="148"/>
      <c r="AE947" s="148"/>
    </row>
    <row r="948" spans="2:31">
      <c r="B948" s="148"/>
      <c r="C948" s="148"/>
      <c r="D948" s="148"/>
      <c r="E948" s="148"/>
      <c r="F948" s="148"/>
      <c r="G948" s="148"/>
      <c r="H948" s="148"/>
      <c r="I948" s="148"/>
      <c r="J948" s="148"/>
      <c r="K948" s="148"/>
      <c r="L948" s="148"/>
      <c r="M948" s="148"/>
      <c r="N948" s="148"/>
      <c r="O948" s="148"/>
      <c r="P948" s="148"/>
      <c r="Q948" s="148"/>
      <c r="R948" s="148"/>
      <c r="S948" s="148"/>
      <c r="T948" s="148"/>
      <c r="U948" s="148"/>
      <c r="V948" s="148"/>
      <c r="W948" s="148"/>
      <c r="X948" s="148"/>
      <c r="Y948" s="148"/>
      <c r="Z948" s="148"/>
      <c r="AA948" s="148"/>
      <c r="AB948" s="148"/>
      <c r="AC948" s="148"/>
      <c r="AD948" s="148"/>
      <c r="AE948" s="148"/>
    </row>
    <row r="949" spans="2:31">
      <c r="B949" s="148"/>
      <c r="C949" s="148"/>
      <c r="D949" s="148"/>
      <c r="E949" s="148"/>
      <c r="F949" s="148"/>
      <c r="G949" s="148"/>
      <c r="H949" s="148"/>
      <c r="I949" s="148"/>
      <c r="J949" s="148"/>
      <c r="K949" s="148"/>
      <c r="L949" s="148"/>
      <c r="M949" s="148"/>
      <c r="N949" s="148"/>
      <c r="O949" s="148"/>
      <c r="P949" s="148"/>
      <c r="Q949" s="148"/>
      <c r="R949" s="148"/>
      <c r="S949" s="148"/>
      <c r="T949" s="148"/>
      <c r="U949" s="148"/>
      <c r="V949" s="148"/>
      <c r="W949" s="148"/>
      <c r="X949" s="148"/>
      <c r="Y949" s="148"/>
      <c r="Z949" s="148"/>
      <c r="AA949" s="148"/>
      <c r="AB949" s="148"/>
      <c r="AC949" s="148"/>
      <c r="AD949" s="148"/>
      <c r="AE949" s="148"/>
    </row>
    <row r="950" spans="2:31">
      <c r="B950" s="148"/>
      <c r="C950" s="148"/>
      <c r="D950" s="148"/>
      <c r="E950" s="148"/>
      <c r="F950" s="148"/>
      <c r="G950" s="148"/>
      <c r="H950" s="148"/>
      <c r="I950" s="148"/>
      <c r="J950" s="148"/>
      <c r="K950" s="148"/>
      <c r="L950" s="148"/>
      <c r="M950" s="148"/>
      <c r="N950" s="148"/>
      <c r="O950" s="148"/>
      <c r="P950" s="148"/>
      <c r="Q950" s="148"/>
      <c r="R950" s="148"/>
      <c r="S950" s="148"/>
      <c r="T950" s="148"/>
      <c r="U950" s="148"/>
      <c r="V950" s="148"/>
      <c r="W950" s="148"/>
      <c r="X950" s="148"/>
      <c r="Y950" s="148"/>
      <c r="Z950" s="148"/>
      <c r="AA950" s="148"/>
      <c r="AB950" s="148"/>
      <c r="AC950" s="148"/>
      <c r="AD950" s="148"/>
      <c r="AE950" s="148"/>
    </row>
    <row r="951" spans="2:31">
      <c r="B951" s="148"/>
      <c r="C951" s="148"/>
      <c r="D951" s="148"/>
      <c r="E951" s="148"/>
      <c r="F951" s="148"/>
      <c r="G951" s="148"/>
      <c r="H951" s="148"/>
      <c r="I951" s="148"/>
      <c r="J951" s="148"/>
      <c r="K951" s="148"/>
      <c r="L951" s="148"/>
      <c r="M951" s="148"/>
      <c r="N951" s="148"/>
      <c r="O951" s="148"/>
      <c r="P951" s="148"/>
      <c r="Q951" s="148"/>
      <c r="R951" s="148"/>
      <c r="S951" s="148"/>
      <c r="T951" s="148"/>
      <c r="U951" s="148"/>
      <c r="V951" s="148"/>
      <c r="W951" s="148"/>
      <c r="X951" s="148"/>
      <c r="Y951" s="148"/>
      <c r="Z951" s="148"/>
      <c r="AA951" s="148"/>
      <c r="AB951" s="148"/>
      <c r="AC951" s="148"/>
      <c r="AD951" s="148"/>
      <c r="AE951" s="148"/>
    </row>
    <row r="952" spans="2:31">
      <c r="B952" s="148"/>
      <c r="C952" s="148"/>
      <c r="D952" s="148"/>
      <c r="E952" s="148"/>
      <c r="F952" s="148"/>
      <c r="G952" s="148"/>
      <c r="H952" s="148"/>
      <c r="I952" s="148"/>
      <c r="J952" s="148"/>
      <c r="K952" s="148"/>
      <c r="L952" s="148"/>
      <c r="M952" s="148"/>
      <c r="N952" s="148"/>
      <c r="O952" s="148"/>
      <c r="P952" s="148"/>
      <c r="Q952" s="148"/>
      <c r="R952" s="148"/>
      <c r="S952" s="148"/>
      <c r="T952" s="148"/>
      <c r="U952" s="148"/>
      <c r="V952" s="148"/>
      <c r="W952" s="148"/>
      <c r="X952" s="148"/>
      <c r="Y952" s="148"/>
      <c r="Z952" s="148"/>
      <c r="AA952" s="148"/>
      <c r="AB952" s="148"/>
      <c r="AC952" s="148"/>
      <c r="AD952" s="148"/>
      <c r="AE952" s="148"/>
    </row>
    <row r="953" spans="2:31">
      <c r="B953" s="148"/>
      <c r="C953" s="148"/>
      <c r="D953" s="148"/>
      <c r="E953" s="148"/>
      <c r="F953" s="148"/>
      <c r="G953" s="148"/>
      <c r="H953" s="148"/>
      <c r="I953" s="148"/>
      <c r="J953" s="148"/>
      <c r="K953" s="148"/>
      <c r="L953" s="148"/>
      <c r="M953" s="148"/>
      <c r="N953" s="148"/>
      <c r="O953" s="148"/>
      <c r="P953" s="148"/>
      <c r="Q953" s="148"/>
      <c r="R953" s="148"/>
      <c r="S953" s="148"/>
      <c r="T953" s="148"/>
      <c r="U953" s="148"/>
      <c r="V953" s="148"/>
      <c r="W953" s="148"/>
      <c r="X953" s="148"/>
      <c r="Y953" s="148"/>
      <c r="Z953" s="148"/>
      <c r="AA953" s="148"/>
      <c r="AB953" s="148"/>
      <c r="AC953" s="148"/>
      <c r="AD953" s="148"/>
      <c r="AE953" s="148"/>
    </row>
    <row r="954" spans="2:31">
      <c r="B954" s="148"/>
      <c r="C954" s="148"/>
      <c r="D954" s="148"/>
      <c r="E954" s="148"/>
      <c r="F954" s="148"/>
      <c r="G954" s="148"/>
      <c r="H954" s="148"/>
      <c r="I954" s="148"/>
      <c r="J954" s="148"/>
      <c r="K954" s="148"/>
      <c r="L954" s="148"/>
      <c r="M954" s="148"/>
      <c r="N954" s="148"/>
      <c r="O954" s="148"/>
      <c r="P954" s="148"/>
      <c r="Q954" s="148"/>
      <c r="R954" s="148"/>
      <c r="S954" s="148"/>
      <c r="T954" s="148"/>
      <c r="U954" s="148"/>
      <c r="V954" s="148"/>
      <c r="W954" s="148"/>
      <c r="X954" s="148"/>
      <c r="Y954" s="148"/>
      <c r="Z954" s="148"/>
      <c r="AA954" s="148"/>
      <c r="AB954" s="148"/>
      <c r="AC954" s="148"/>
      <c r="AD954" s="148"/>
      <c r="AE954" s="148"/>
    </row>
    <row r="955" spans="2:31">
      <c r="B955" s="148"/>
      <c r="C955" s="148"/>
      <c r="D955" s="148"/>
      <c r="E955" s="148"/>
      <c r="F955" s="148"/>
      <c r="G955" s="148"/>
      <c r="H955" s="148"/>
      <c r="I955" s="148"/>
      <c r="J955" s="148"/>
      <c r="K955" s="148"/>
      <c r="L955" s="148"/>
      <c r="M955" s="148"/>
      <c r="N955" s="148"/>
      <c r="O955" s="148"/>
      <c r="P955" s="148"/>
      <c r="Q955" s="148"/>
      <c r="R955" s="148"/>
      <c r="S955" s="148"/>
      <c r="T955" s="148"/>
      <c r="U955" s="148"/>
      <c r="V955" s="148"/>
      <c r="W955" s="148"/>
      <c r="X955" s="148"/>
      <c r="Y955" s="148"/>
      <c r="Z955" s="148"/>
      <c r="AA955" s="148"/>
      <c r="AB955" s="148"/>
      <c r="AC955" s="148"/>
      <c r="AD955" s="148"/>
      <c r="AE955" s="148"/>
    </row>
    <row r="956" spans="2:31">
      <c r="B956" s="148"/>
      <c r="C956" s="148"/>
      <c r="D956" s="148"/>
      <c r="E956" s="148"/>
      <c r="F956" s="148"/>
      <c r="G956" s="148"/>
      <c r="H956" s="148"/>
      <c r="I956" s="148"/>
      <c r="J956" s="148"/>
      <c r="K956" s="148"/>
      <c r="L956" s="148"/>
      <c r="M956" s="148"/>
      <c r="N956" s="148"/>
      <c r="O956" s="148"/>
      <c r="P956" s="148"/>
      <c r="Q956" s="148"/>
      <c r="R956" s="148"/>
      <c r="S956" s="148"/>
      <c r="T956" s="148"/>
      <c r="U956" s="148"/>
      <c r="V956" s="148"/>
      <c r="W956" s="148"/>
      <c r="X956" s="148"/>
      <c r="Y956" s="148"/>
      <c r="Z956" s="148"/>
      <c r="AA956" s="148"/>
      <c r="AB956" s="148"/>
      <c r="AC956" s="148"/>
      <c r="AD956" s="148"/>
      <c r="AE956" s="148"/>
    </row>
    <row r="957" spans="2:31">
      <c r="B957" s="148"/>
      <c r="C957" s="148"/>
      <c r="D957" s="148"/>
      <c r="E957" s="148"/>
      <c r="F957" s="148"/>
      <c r="G957" s="148"/>
      <c r="H957" s="148"/>
      <c r="I957" s="148"/>
      <c r="J957" s="148"/>
      <c r="K957" s="148"/>
      <c r="L957" s="148"/>
      <c r="M957" s="148"/>
      <c r="N957" s="148"/>
      <c r="O957" s="148"/>
      <c r="P957" s="148"/>
      <c r="Q957" s="148"/>
      <c r="R957" s="148"/>
      <c r="S957" s="148"/>
      <c r="T957" s="148"/>
      <c r="U957" s="148"/>
      <c r="V957" s="148"/>
      <c r="W957" s="148"/>
      <c r="X957" s="148"/>
      <c r="Y957" s="148"/>
      <c r="Z957" s="148"/>
      <c r="AA957" s="148"/>
      <c r="AB957" s="148"/>
      <c r="AC957" s="148"/>
      <c r="AD957" s="148"/>
      <c r="AE957" s="148"/>
    </row>
    <row r="958" spans="2:31">
      <c r="B958" s="148"/>
      <c r="C958" s="148"/>
      <c r="D958" s="148"/>
      <c r="E958" s="148"/>
      <c r="F958" s="148"/>
      <c r="G958" s="148"/>
      <c r="H958" s="148"/>
      <c r="I958" s="148"/>
      <c r="J958" s="148"/>
      <c r="K958" s="148"/>
      <c r="L958" s="148"/>
      <c r="M958" s="148"/>
      <c r="N958" s="148"/>
      <c r="O958" s="148"/>
      <c r="P958" s="148"/>
      <c r="Q958" s="148"/>
      <c r="R958" s="148"/>
      <c r="S958" s="148"/>
      <c r="T958" s="148"/>
      <c r="U958" s="148"/>
      <c r="V958" s="148"/>
      <c r="W958" s="148"/>
      <c r="X958" s="148"/>
      <c r="Y958" s="148"/>
      <c r="Z958" s="148"/>
      <c r="AA958" s="148"/>
      <c r="AB958" s="148"/>
      <c r="AC958" s="148"/>
      <c r="AD958" s="148"/>
      <c r="AE958" s="148"/>
    </row>
    <row r="959" spans="2:31">
      <c r="B959" s="148"/>
      <c r="C959" s="148"/>
      <c r="D959" s="148"/>
      <c r="E959" s="148"/>
      <c r="F959" s="148"/>
      <c r="G959" s="148"/>
      <c r="H959" s="148"/>
      <c r="I959" s="148"/>
      <c r="J959" s="148"/>
      <c r="K959" s="148"/>
      <c r="L959" s="148"/>
      <c r="M959" s="148"/>
      <c r="N959" s="148"/>
      <c r="O959" s="148"/>
      <c r="P959" s="148"/>
      <c r="Q959" s="148"/>
      <c r="R959" s="148"/>
      <c r="S959" s="148"/>
      <c r="T959" s="148"/>
      <c r="U959" s="148"/>
      <c r="V959" s="148"/>
      <c r="W959" s="148"/>
      <c r="X959" s="148"/>
      <c r="Y959" s="148"/>
      <c r="Z959" s="148"/>
      <c r="AA959" s="148"/>
      <c r="AB959" s="148"/>
      <c r="AC959" s="148"/>
      <c r="AD959" s="148"/>
      <c r="AE959" s="148"/>
    </row>
    <row r="960" spans="2:31">
      <c r="B960" s="148"/>
      <c r="C960" s="148"/>
      <c r="D960" s="148"/>
      <c r="E960" s="148"/>
      <c r="F960" s="148"/>
      <c r="G960" s="148"/>
      <c r="H960" s="148"/>
      <c r="I960" s="148"/>
      <c r="J960" s="148"/>
      <c r="K960" s="148"/>
      <c r="L960" s="148"/>
      <c r="M960" s="148"/>
      <c r="N960" s="148"/>
      <c r="O960" s="148"/>
      <c r="P960" s="148"/>
      <c r="Q960" s="148"/>
      <c r="R960" s="148"/>
      <c r="S960" s="148"/>
      <c r="T960" s="148"/>
      <c r="U960" s="148"/>
      <c r="V960" s="148"/>
      <c r="W960" s="148"/>
      <c r="X960" s="148"/>
      <c r="Y960" s="148"/>
      <c r="Z960" s="148"/>
      <c r="AA960" s="148"/>
      <c r="AB960" s="148"/>
      <c r="AC960" s="148"/>
      <c r="AD960" s="148"/>
      <c r="AE960" s="148"/>
    </row>
    <row r="961" spans="2:31">
      <c r="B961" s="148"/>
      <c r="C961" s="148"/>
      <c r="D961" s="148"/>
      <c r="E961" s="148"/>
      <c r="F961" s="148"/>
      <c r="G961" s="148"/>
      <c r="H961" s="148"/>
      <c r="I961" s="148"/>
      <c r="J961" s="148"/>
      <c r="K961" s="148"/>
      <c r="L961" s="148"/>
      <c r="M961" s="148"/>
      <c r="N961" s="148"/>
      <c r="O961" s="148"/>
      <c r="P961" s="148"/>
      <c r="Q961" s="148"/>
      <c r="R961" s="148"/>
      <c r="S961" s="148"/>
      <c r="T961" s="148"/>
      <c r="U961" s="148"/>
      <c r="V961" s="148"/>
      <c r="W961" s="148"/>
      <c r="X961" s="148"/>
      <c r="Y961" s="148"/>
      <c r="Z961" s="148"/>
      <c r="AA961" s="148"/>
      <c r="AB961" s="148"/>
      <c r="AC961" s="148"/>
      <c r="AD961" s="148"/>
      <c r="AE961" s="148"/>
    </row>
    <row r="962" spans="2:31">
      <c r="B962" s="148"/>
      <c r="C962" s="148"/>
      <c r="D962" s="148"/>
      <c r="E962" s="148"/>
      <c r="F962" s="148"/>
      <c r="G962" s="148"/>
      <c r="H962" s="148"/>
      <c r="I962" s="148"/>
      <c r="J962" s="148"/>
      <c r="K962" s="148"/>
      <c r="L962" s="148"/>
      <c r="M962" s="148"/>
      <c r="N962" s="148"/>
      <c r="O962" s="148"/>
      <c r="P962" s="148"/>
      <c r="Q962" s="148"/>
      <c r="R962" s="148"/>
      <c r="S962" s="148"/>
      <c r="T962" s="148"/>
      <c r="U962" s="148"/>
      <c r="V962" s="148"/>
      <c r="W962" s="148"/>
      <c r="X962" s="148"/>
      <c r="Y962" s="148"/>
      <c r="Z962" s="148"/>
      <c r="AA962" s="148"/>
      <c r="AB962" s="148"/>
      <c r="AC962" s="148"/>
      <c r="AD962" s="148"/>
      <c r="AE962" s="148"/>
    </row>
    <row r="963" spans="2:31">
      <c r="B963" s="148"/>
      <c r="C963" s="148"/>
      <c r="D963" s="148"/>
      <c r="E963" s="148"/>
      <c r="F963" s="148"/>
      <c r="G963" s="148"/>
      <c r="H963" s="148"/>
      <c r="I963" s="148"/>
      <c r="J963" s="148"/>
      <c r="K963" s="148"/>
      <c r="L963" s="148"/>
      <c r="M963" s="148"/>
      <c r="N963" s="148"/>
      <c r="O963" s="148"/>
      <c r="P963" s="148"/>
      <c r="Q963" s="148"/>
      <c r="R963" s="148"/>
      <c r="S963" s="148"/>
      <c r="T963" s="148"/>
      <c r="U963" s="148"/>
      <c r="V963" s="148"/>
      <c r="W963" s="148"/>
      <c r="X963" s="148"/>
      <c r="Y963" s="148"/>
      <c r="Z963" s="148"/>
      <c r="AA963" s="148"/>
      <c r="AB963" s="148"/>
      <c r="AC963" s="148"/>
      <c r="AD963" s="148"/>
      <c r="AE963" s="148"/>
    </row>
    <row r="964" spans="2:31">
      <c r="B964" s="148"/>
      <c r="C964" s="148"/>
      <c r="D964" s="148"/>
      <c r="E964" s="148"/>
      <c r="F964" s="148"/>
      <c r="G964" s="148"/>
      <c r="H964" s="148"/>
      <c r="I964" s="148"/>
      <c r="J964" s="148"/>
      <c r="K964" s="148"/>
      <c r="L964" s="148"/>
      <c r="M964" s="148"/>
      <c r="N964" s="148"/>
      <c r="O964" s="148"/>
      <c r="P964" s="148"/>
      <c r="Q964" s="148"/>
      <c r="R964" s="148"/>
      <c r="S964" s="148"/>
      <c r="T964" s="148"/>
      <c r="U964" s="148"/>
      <c r="V964" s="148"/>
      <c r="W964" s="148"/>
      <c r="X964" s="148"/>
      <c r="Y964" s="148"/>
      <c r="Z964" s="148"/>
      <c r="AA964" s="148"/>
      <c r="AB964" s="148"/>
      <c r="AC964" s="148"/>
      <c r="AD964" s="148"/>
      <c r="AE964" s="148"/>
    </row>
    <row r="965" spans="2:31">
      <c r="B965" s="148"/>
      <c r="C965" s="148"/>
      <c r="D965" s="148"/>
      <c r="E965" s="148"/>
      <c r="F965" s="148"/>
      <c r="G965" s="148"/>
      <c r="H965" s="148"/>
      <c r="I965" s="148"/>
      <c r="J965" s="148"/>
      <c r="K965" s="148"/>
      <c r="L965" s="148"/>
      <c r="M965" s="148"/>
      <c r="N965" s="148"/>
      <c r="O965" s="148"/>
      <c r="P965" s="148"/>
      <c r="Q965" s="148"/>
      <c r="R965" s="148"/>
      <c r="S965" s="148"/>
      <c r="T965" s="148"/>
      <c r="U965" s="148"/>
      <c r="V965" s="148"/>
      <c r="W965" s="148"/>
      <c r="X965" s="148"/>
      <c r="Y965" s="148"/>
      <c r="Z965" s="148"/>
      <c r="AA965" s="148"/>
      <c r="AB965" s="148"/>
      <c r="AC965" s="148"/>
      <c r="AD965" s="148"/>
      <c r="AE965" s="148"/>
    </row>
    <row r="966" spans="2:31">
      <c r="B966" s="148"/>
      <c r="C966" s="148"/>
      <c r="D966" s="148"/>
      <c r="E966" s="148"/>
      <c r="F966" s="148"/>
      <c r="G966" s="148"/>
      <c r="H966" s="148"/>
      <c r="I966" s="148"/>
      <c r="J966" s="148"/>
      <c r="K966" s="148"/>
      <c r="L966" s="148"/>
      <c r="M966" s="148"/>
      <c r="N966" s="148"/>
      <c r="O966" s="148"/>
      <c r="P966" s="148"/>
      <c r="Q966" s="148"/>
      <c r="R966" s="148"/>
      <c r="S966" s="148"/>
      <c r="T966" s="148"/>
      <c r="U966" s="148"/>
      <c r="V966" s="148"/>
      <c r="W966" s="148"/>
      <c r="X966" s="148"/>
      <c r="Y966" s="148"/>
      <c r="Z966" s="148"/>
      <c r="AA966" s="148"/>
      <c r="AB966" s="148"/>
      <c r="AC966" s="148"/>
      <c r="AD966" s="148"/>
      <c r="AE966" s="148"/>
    </row>
    <row r="967" spans="2:31">
      <c r="B967" s="148"/>
      <c r="C967" s="148"/>
      <c r="D967" s="148"/>
      <c r="E967" s="148"/>
      <c r="F967" s="148"/>
      <c r="G967" s="148"/>
      <c r="H967" s="148"/>
      <c r="I967" s="148"/>
      <c r="J967" s="148"/>
      <c r="K967" s="148"/>
      <c r="L967" s="148"/>
      <c r="M967" s="148"/>
      <c r="N967" s="148"/>
      <c r="O967" s="148"/>
      <c r="P967" s="148"/>
      <c r="Q967" s="148"/>
      <c r="R967" s="148"/>
      <c r="S967" s="148"/>
      <c r="T967" s="148"/>
      <c r="U967" s="148"/>
      <c r="V967" s="148"/>
      <c r="W967" s="148"/>
      <c r="X967" s="148"/>
      <c r="Y967" s="148"/>
      <c r="Z967" s="148"/>
      <c r="AA967" s="148"/>
      <c r="AB967" s="148"/>
      <c r="AC967" s="148"/>
      <c r="AD967" s="148"/>
      <c r="AE967" s="148"/>
    </row>
    <row r="968" spans="2:31">
      <c r="B968" s="148"/>
      <c r="C968" s="148"/>
      <c r="D968" s="148"/>
      <c r="E968" s="148"/>
      <c r="F968" s="148"/>
      <c r="G968" s="148"/>
      <c r="H968" s="148"/>
      <c r="I968" s="148"/>
      <c r="J968" s="148"/>
      <c r="K968" s="148"/>
      <c r="L968" s="148"/>
      <c r="M968" s="148"/>
      <c r="N968" s="148"/>
      <c r="O968" s="148"/>
      <c r="P968" s="148"/>
      <c r="Q968" s="148"/>
      <c r="R968" s="148"/>
      <c r="S968" s="148"/>
      <c r="T968" s="148"/>
      <c r="U968" s="148"/>
      <c r="V968" s="148"/>
      <c r="W968" s="148"/>
      <c r="X968" s="148"/>
      <c r="Y968" s="148"/>
      <c r="Z968" s="148"/>
      <c r="AA968" s="148"/>
      <c r="AB968" s="148"/>
      <c r="AC968" s="148"/>
      <c r="AD968" s="148"/>
      <c r="AE968" s="148"/>
    </row>
    <row r="969" spans="2:31">
      <c r="B969" s="148"/>
      <c r="C969" s="148"/>
      <c r="D969" s="148"/>
      <c r="E969" s="148"/>
      <c r="F969" s="148"/>
      <c r="G969" s="148"/>
      <c r="H969" s="148"/>
      <c r="I969" s="148"/>
      <c r="J969" s="148"/>
      <c r="K969" s="148"/>
      <c r="L969" s="148"/>
      <c r="M969" s="148"/>
      <c r="N969" s="148"/>
      <c r="O969" s="148"/>
      <c r="P969" s="148"/>
      <c r="Q969" s="148"/>
      <c r="R969" s="148"/>
      <c r="S969" s="148"/>
      <c r="T969" s="148"/>
      <c r="U969" s="148"/>
      <c r="V969" s="148"/>
      <c r="W969" s="148"/>
      <c r="X969" s="148"/>
      <c r="Y969" s="148"/>
      <c r="Z969" s="148"/>
      <c r="AA969" s="148"/>
      <c r="AB969" s="148"/>
      <c r="AC969" s="148"/>
      <c r="AD969" s="148"/>
      <c r="AE969" s="148"/>
    </row>
    <row r="970" spans="2:31">
      <c r="B970" s="148"/>
      <c r="C970" s="148"/>
      <c r="D970" s="148"/>
      <c r="E970" s="148"/>
      <c r="F970" s="148"/>
      <c r="G970" s="148"/>
      <c r="H970" s="148"/>
      <c r="I970" s="148"/>
      <c r="J970" s="148"/>
      <c r="K970" s="148"/>
      <c r="L970" s="148"/>
      <c r="M970" s="148"/>
      <c r="N970" s="148"/>
      <c r="O970" s="148"/>
      <c r="P970" s="148"/>
      <c r="Q970" s="148"/>
      <c r="R970" s="148"/>
      <c r="S970" s="148"/>
      <c r="T970" s="148"/>
      <c r="U970" s="148"/>
      <c r="V970" s="148"/>
      <c r="W970" s="148"/>
      <c r="X970" s="148"/>
      <c r="Y970" s="148"/>
      <c r="Z970" s="148"/>
      <c r="AA970" s="148"/>
      <c r="AB970" s="148"/>
      <c r="AC970" s="148"/>
      <c r="AD970" s="148"/>
      <c r="AE970" s="148"/>
    </row>
    <row r="971" spans="2:31">
      <c r="B971" s="148"/>
      <c r="C971" s="148"/>
      <c r="D971" s="148"/>
      <c r="E971" s="148"/>
      <c r="F971" s="148"/>
      <c r="G971" s="148"/>
      <c r="H971" s="148"/>
      <c r="I971" s="148"/>
      <c r="J971" s="148"/>
      <c r="K971" s="148"/>
      <c r="L971" s="148"/>
      <c r="M971" s="148"/>
      <c r="N971" s="148"/>
      <c r="O971" s="148"/>
      <c r="P971" s="148"/>
      <c r="Q971" s="148"/>
      <c r="R971" s="148"/>
      <c r="S971" s="148"/>
      <c r="T971" s="148"/>
      <c r="U971" s="148"/>
      <c r="V971" s="148"/>
      <c r="W971" s="148"/>
      <c r="X971" s="148"/>
      <c r="Y971" s="148"/>
      <c r="Z971" s="148"/>
      <c r="AA971" s="148"/>
      <c r="AB971" s="148"/>
      <c r="AC971" s="148"/>
      <c r="AD971" s="148"/>
      <c r="AE971" s="148"/>
    </row>
    <row r="972" spans="2:31">
      <c r="B972" s="148"/>
      <c r="C972" s="148"/>
      <c r="D972" s="148"/>
      <c r="E972" s="148"/>
      <c r="F972" s="148"/>
      <c r="G972" s="148"/>
      <c r="H972" s="148"/>
      <c r="I972" s="148"/>
      <c r="J972" s="148"/>
      <c r="K972" s="148"/>
      <c r="L972" s="148"/>
      <c r="M972" s="148"/>
      <c r="N972" s="148"/>
      <c r="O972" s="148"/>
      <c r="P972" s="148"/>
      <c r="Q972" s="148"/>
      <c r="R972" s="148"/>
      <c r="S972" s="148"/>
      <c r="T972" s="148"/>
      <c r="U972" s="148"/>
      <c r="V972" s="148"/>
      <c r="W972" s="148"/>
      <c r="X972" s="148"/>
      <c r="Y972" s="148"/>
      <c r="Z972" s="148"/>
      <c r="AA972" s="148"/>
      <c r="AB972" s="148"/>
      <c r="AC972" s="148"/>
      <c r="AD972" s="148"/>
      <c r="AE972" s="148"/>
    </row>
    <row r="973" spans="2:31">
      <c r="B973" s="148"/>
      <c r="C973" s="148"/>
      <c r="D973" s="148"/>
      <c r="E973" s="148"/>
      <c r="F973" s="148"/>
      <c r="G973" s="148"/>
      <c r="H973" s="148"/>
      <c r="I973" s="148"/>
      <c r="J973" s="148"/>
      <c r="K973" s="148"/>
      <c r="L973" s="148"/>
      <c r="M973" s="148"/>
      <c r="N973" s="148"/>
      <c r="O973" s="148"/>
      <c r="P973" s="148"/>
      <c r="Q973" s="148"/>
      <c r="R973" s="148"/>
      <c r="S973" s="148"/>
      <c r="T973" s="148"/>
      <c r="U973" s="148"/>
      <c r="V973" s="148"/>
      <c r="W973" s="148"/>
      <c r="X973" s="148"/>
      <c r="Y973" s="148"/>
      <c r="Z973" s="148"/>
      <c r="AA973" s="148"/>
      <c r="AB973" s="148"/>
      <c r="AC973" s="148"/>
      <c r="AD973" s="148"/>
      <c r="AE973" s="148"/>
    </row>
    <row r="974" spans="2:31">
      <c r="B974" s="148"/>
      <c r="C974" s="148"/>
      <c r="D974" s="148"/>
      <c r="E974" s="148"/>
      <c r="F974" s="148"/>
      <c r="G974" s="148"/>
      <c r="H974" s="148"/>
      <c r="I974" s="148"/>
      <c r="J974" s="148"/>
      <c r="K974" s="148"/>
      <c r="L974" s="148"/>
      <c r="M974" s="148"/>
      <c r="N974" s="148"/>
      <c r="O974" s="148"/>
      <c r="P974" s="148"/>
      <c r="Q974" s="148"/>
      <c r="R974" s="148"/>
      <c r="S974" s="148"/>
      <c r="T974" s="148"/>
      <c r="U974" s="148"/>
      <c r="V974" s="148"/>
      <c r="W974" s="148"/>
      <c r="X974" s="148"/>
      <c r="Y974" s="148"/>
      <c r="Z974" s="148"/>
      <c r="AA974" s="148"/>
      <c r="AB974" s="148"/>
      <c r="AC974" s="148"/>
      <c r="AD974" s="148"/>
      <c r="AE974" s="148"/>
    </row>
    <row r="975" spans="2:31">
      <c r="B975" s="148"/>
      <c r="C975" s="148"/>
      <c r="D975" s="148"/>
      <c r="E975" s="148"/>
      <c r="F975" s="148"/>
      <c r="G975" s="148"/>
      <c r="H975" s="148"/>
      <c r="I975" s="148"/>
      <c r="J975" s="148"/>
      <c r="K975" s="148"/>
      <c r="L975" s="148"/>
      <c r="M975" s="148"/>
      <c r="N975" s="148"/>
      <c r="O975" s="148"/>
      <c r="P975" s="148"/>
      <c r="Q975" s="148"/>
      <c r="R975" s="148"/>
      <c r="S975" s="148"/>
      <c r="T975" s="148"/>
      <c r="U975" s="148"/>
      <c r="V975" s="148"/>
      <c r="W975" s="148"/>
      <c r="X975" s="148"/>
      <c r="Y975" s="148"/>
      <c r="Z975" s="148"/>
      <c r="AA975" s="148"/>
      <c r="AB975" s="148"/>
      <c r="AC975" s="148"/>
      <c r="AD975" s="148"/>
      <c r="AE975" s="148"/>
    </row>
    <row r="976" spans="2:31">
      <c r="B976" s="148"/>
      <c r="C976" s="148"/>
      <c r="D976" s="148"/>
      <c r="E976" s="148"/>
      <c r="F976" s="148"/>
      <c r="G976" s="148"/>
      <c r="H976" s="148"/>
      <c r="I976" s="148"/>
      <c r="J976" s="148"/>
      <c r="K976" s="148"/>
      <c r="L976" s="148"/>
      <c r="M976" s="148"/>
      <c r="N976" s="148"/>
      <c r="O976" s="148"/>
      <c r="P976" s="148"/>
      <c r="Q976" s="148"/>
      <c r="R976" s="148"/>
      <c r="S976" s="148"/>
      <c r="T976" s="148"/>
      <c r="U976" s="148"/>
      <c r="V976" s="148"/>
      <c r="W976" s="148"/>
      <c r="X976" s="148"/>
      <c r="Y976" s="148"/>
      <c r="Z976" s="148"/>
      <c r="AA976" s="148"/>
      <c r="AB976" s="148"/>
      <c r="AC976" s="148"/>
      <c r="AD976" s="148"/>
      <c r="AE976" s="148"/>
    </row>
    <row r="977" spans="2:31">
      <c r="B977" s="148"/>
      <c r="C977" s="148"/>
      <c r="D977" s="148"/>
      <c r="E977" s="148"/>
      <c r="F977" s="148"/>
      <c r="G977" s="148"/>
      <c r="H977" s="148"/>
      <c r="I977" s="148"/>
      <c r="J977" s="148"/>
      <c r="K977" s="148"/>
      <c r="L977" s="148"/>
      <c r="M977" s="148"/>
      <c r="N977" s="148"/>
      <c r="O977" s="148"/>
      <c r="P977" s="148"/>
      <c r="Q977" s="148"/>
      <c r="R977" s="148"/>
      <c r="S977" s="148"/>
      <c r="T977" s="148"/>
      <c r="U977" s="148"/>
      <c r="V977" s="148"/>
      <c r="W977" s="148"/>
      <c r="X977" s="148"/>
      <c r="Y977" s="148"/>
      <c r="Z977" s="148"/>
      <c r="AA977" s="148"/>
      <c r="AB977" s="148"/>
      <c r="AC977" s="148"/>
      <c r="AD977" s="148"/>
      <c r="AE977" s="148"/>
    </row>
    <row r="978" spans="2:31">
      <c r="B978" s="148"/>
      <c r="C978" s="148"/>
      <c r="D978" s="148"/>
      <c r="E978" s="148"/>
      <c r="F978" s="148"/>
      <c r="G978" s="148"/>
      <c r="H978" s="148"/>
      <c r="I978" s="148"/>
      <c r="J978" s="148"/>
      <c r="K978" s="148"/>
      <c r="L978" s="148"/>
      <c r="M978" s="148"/>
      <c r="N978" s="148"/>
      <c r="O978" s="148"/>
      <c r="P978" s="148"/>
      <c r="Q978" s="148"/>
      <c r="R978" s="148"/>
      <c r="S978" s="148"/>
      <c r="T978" s="148"/>
      <c r="U978" s="148"/>
      <c r="V978" s="148"/>
      <c r="W978" s="148"/>
      <c r="X978" s="148"/>
      <c r="Y978" s="148"/>
      <c r="Z978" s="148"/>
      <c r="AA978" s="148"/>
      <c r="AB978" s="148"/>
      <c r="AC978" s="148"/>
      <c r="AD978" s="148"/>
      <c r="AE978" s="148"/>
    </row>
    <row r="979" spans="2:31">
      <c r="B979" s="148"/>
      <c r="C979" s="148"/>
      <c r="D979" s="148"/>
      <c r="E979" s="148"/>
      <c r="F979" s="148"/>
      <c r="G979" s="148"/>
      <c r="H979" s="148"/>
      <c r="I979" s="148"/>
      <c r="J979" s="148"/>
      <c r="K979" s="148"/>
      <c r="L979" s="148"/>
      <c r="M979" s="148"/>
      <c r="N979" s="148"/>
      <c r="O979" s="148"/>
      <c r="P979" s="148"/>
      <c r="Q979" s="148"/>
      <c r="R979" s="148"/>
      <c r="S979" s="148"/>
      <c r="T979" s="148"/>
      <c r="U979" s="148"/>
      <c r="V979" s="148"/>
      <c r="W979" s="148"/>
      <c r="X979" s="148"/>
      <c r="Y979" s="148"/>
      <c r="Z979" s="148"/>
      <c r="AA979" s="148"/>
      <c r="AB979" s="148"/>
      <c r="AC979" s="148"/>
      <c r="AD979" s="148"/>
      <c r="AE979" s="148"/>
    </row>
    <row r="980" spans="2:31">
      <c r="B980" s="148"/>
      <c r="C980" s="148"/>
      <c r="D980" s="148"/>
      <c r="E980" s="148"/>
      <c r="F980" s="148"/>
      <c r="G980" s="148"/>
      <c r="H980" s="148"/>
      <c r="I980" s="148"/>
      <c r="J980" s="148"/>
      <c r="K980" s="148"/>
      <c r="L980" s="148"/>
      <c r="M980" s="148"/>
      <c r="N980" s="148"/>
      <c r="O980" s="148"/>
      <c r="P980" s="148"/>
      <c r="Q980" s="148"/>
      <c r="R980" s="148"/>
      <c r="S980" s="148"/>
      <c r="T980" s="148"/>
      <c r="U980" s="148"/>
      <c r="V980" s="148"/>
      <c r="W980" s="148"/>
      <c r="X980" s="148"/>
      <c r="Y980" s="148"/>
      <c r="Z980" s="148"/>
      <c r="AA980" s="148"/>
      <c r="AB980" s="148"/>
      <c r="AC980" s="148"/>
      <c r="AD980" s="148"/>
      <c r="AE980" s="148"/>
    </row>
    <row r="981" spans="2:31">
      <c r="B981" s="148"/>
      <c r="C981" s="148"/>
      <c r="D981" s="148"/>
      <c r="E981" s="148"/>
      <c r="F981" s="148"/>
      <c r="G981" s="148"/>
      <c r="H981" s="148"/>
      <c r="I981" s="148"/>
      <c r="J981" s="148"/>
      <c r="K981" s="148"/>
      <c r="L981" s="148"/>
      <c r="M981" s="148"/>
      <c r="N981" s="148"/>
      <c r="O981" s="148"/>
      <c r="P981" s="148"/>
      <c r="Q981" s="148"/>
      <c r="R981" s="148"/>
      <c r="S981" s="148"/>
      <c r="T981" s="148"/>
      <c r="U981" s="148"/>
      <c r="V981" s="148"/>
      <c r="W981" s="148"/>
      <c r="X981" s="148"/>
      <c r="Y981" s="148"/>
      <c r="Z981" s="148"/>
      <c r="AA981" s="148"/>
      <c r="AB981" s="148"/>
      <c r="AC981" s="148"/>
      <c r="AD981" s="148"/>
      <c r="AE981" s="148"/>
    </row>
    <row r="982" spans="2:31">
      <c r="B982" s="148"/>
      <c r="C982" s="148"/>
      <c r="D982" s="148"/>
      <c r="E982" s="148"/>
      <c r="F982" s="148"/>
      <c r="G982" s="148"/>
      <c r="H982" s="148"/>
      <c r="I982" s="148"/>
      <c r="J982" s="148"/>
      <c r="K982" s="148"/>
      <c r="L982" s="148"/>
      <c r="M982" s="148"/>
      <c r="N982" s="148"/>
      <c r="O982" s="148"/>
      <c r="P982" s="148"/>
      <c r="Q982" s="148"/>
      <c r="R982" s="148"/>
      <c r="S982" s="148"/>
      <c r="T982" s="148"/>
      <c r="U982" s="148"/>
      <c r="V982" s="148"/>
      <c r="W982" s="148"/>
      <c r="X982" s="148"/>
      <c r="Y982" s="148"/>
      <c r="Z982" s="148"/>
      <c r="AA982" s="148"/>
      <c r="AB982" s="148"/>
      <c r="AC982" s="148"/>
      <c r="AD982" s="148"/>
      <c r="AE982" s="148"/>
    </row>
    <row r="983" spans="2:31">
      <c r="B983" s="148"/>
      <c r="C983" s="148"/>
      <c r="D983" s="148"/>
      <c r="E983" s="148"/>
      <c r="F983" s="148"/>
      <c r="G983" s="148"/>
      <c r="H983" s="148"/>
      <c r="I983" s="148"/>
      <c r="J983" s="148"/>
      <c r="K983" s="148"/>
      <c r="L983" s="148"/>
      <c r="M983" s="148"/>
      <c r="N983" s="148"/>
      <c r="O983" s="148"/>
      <c r="P983" s="148"/>
      <c r="Q983" s="148"/>
      <c r="R983" s="148"/>
      <c r="S983" s="148"/>
      <c r="T983" s="148"/>
      <c r="U983" s="148"/>
      <c r="V983" s="148"/>
      <c r="W983" s="148"/>
      <c r="X983" s="148"/>
      <c r="Y983" s="148"/>
      <c r="Z983" s="148"/>
      <c r="AA983" s="148"/>
      <c r="AB983" s="148"/>
      <c r="AC983" s="148"/>
      <c r="AD983" s="148"/>
      <c r="AE983" s="148"/>
    </row>
    <row r="984" spans="2:31">
      <c r="B984" s="148"/>
      <c r="C984" s="148"/>
      <c r="D984" s="148"/>
      <c r="E984" s="148"/>
      <c r="F984" s="148"/>
      <c r="G984" s="148"/>
      <c r="H984" s="148"/>
      <c r="I984" s="148"/>
      <c r="J984" s="148"/>
      <c r="K984" s="148"/>
      <c r="L984" s="148"/>
      <c r="M984" s="148"/>
      <c r="N984" s="148"/>
      <c r="O984" s="148"/>
      <c r="P984" s="148"/>
      <c r="Q984" s="148"/>
      <c r="R984" s="148"/>
      <c r="S984" s="148"/>
      <c r="T984" s="148"/>
      <c r="U984" s="148"/>
      <c r="V984" s="148"/>
      <c r="W984" s="148"/>
      <c r="X984" s="148"/>
      <c r="Y984" s="148"/>
      <c r="Z984" s="148"/>
      <c r="AA984" s="148"/>
      <c r="AB984" s="148"/>
      <c r="AC984" s="148"/>
      <c r="AD984" s="148"/>
      <c r="AE984" s="148"/>
    </row>
    <row r="985" spans="2:31">
      <c r="B985" s="148"/>
      <c r="C985" s="148"/>
      <c r="D985" s="148"/>
      <c r="E985" s="148"/>
      <c r="F985" s="148"/>
      <c r="G985" s="148"/>
      <c r="H985" s="148"/>
      <c r="I985" s="148"/>
      <c r="J985" s="148"/>
      <c r="K985" s="148"/>
      <c r="L985" s="148"/>
      <c r="M985" s="148"/>
      <c r="N985" s="148"/>
      <c r="O985" s="148"/>
      <c r="P985" s="148"/>
      <c r="Q985" s="148"/>
      <c r="R985" s="148"/>
      <c r="S985" s="148"/>
      <c r="T985" s="148"/>
      <c r="U985" s="148"/>
      <c r="V985" s="148"/>
      <c r="W985" s="148"/>
      <c r="X985" s="148"/>
      <c r="Y985" s="148"/>
      <c r="Z985" s="148"/>
      <c r="AA985" s="148"/>
      <c r="AB985" s="148"/>
      <c r="AC985" s="148"/>
      <c r="AD985" s="148"/>
      <c r="AE985" s="148"/>
    </row>
    <row r="986" spans="2:31">
      <c r="B986" s="148"/>
      <c r="C986" s="148"/>
      <c r="D986" s="148"/>
      <c r="E986" s="148"/>
      <c r="F986" s="148"/>
      <c r="G986" s="148"/>
      <c r="H986" s="148"/>
      <c r="I986" s="148"/>
      <c r="J986" s="148"/>
      <c r="K986" s="148"/>
      <c r="L986" s="148"/>
      <c r="M986" s="148"/>
      <c r="N986" s="148"/>
      <c r="O986" s="148"/>
      <c r="P986" s="148"/>
      <c r="Q986" s="148"/>
      <c r="R986" s="148"/>
      <c r="S986" s="148"/>
      <c r="T986" s="148"/>
      <c r="U986" s="148"/>
      <c r="V986" s="148"/>
      <c r="W986" s="148"/>
      <c r="X986" s="148"/>
      <c r="Y986" s="148"/>
      <c r="Z986" s="148"/>
      <c r="AA986" s="148"/>
      <c r="AB986" s="148"/>
      <c r="AC986" s="148"/>
      <c r="AD986" s="148"/>
      <c r="AE986" s="148"/>
    </row>
    <row r="987" spans="2:31">
      <c r="B987" s="148"/>
      <c r="C987" s="148"/>
      <c r="D987" s="148"/>
      <c r="E987" s="148"/>
      <c r="F987" s="148"/>
      <c r="G987" s="148"/>
      <c r="H987" s="148"/>
      <c r="I987" s="148"/>
      <c r="J987" s="148"/>
      <c r="K987" s="148"/>
      <c r="L987" s="148"/>
      <c r="M987" s="148"/>
      <c r="N987" s="148"/>
      <c r="O987" s="148"/>
      <c r="P987" s="148"/>
      <c r="Q987" s="148"/>
      <c r="R987" s="148"/>
      <c r="S987" s="148"/>
      <c r="T987" s="148"/>
      <c r="U987" s="148"/>
      <c r="V987" s="148"/>
      <c r="W987" s="148"/>
      <c r="X987" s="148"/>
      <c r="Y987" s="148"/>
      <c r="Z987" s="148"/>
      <c r="AA987" s="148"/>
      <c r="AB987" s="148"/>
      <c r="AC987" s="148"/>
      <c r="AD987" s="148"/>
      <c r="AE987" s="148"/>
    </row>
    <row r="988" spans="2:31">
      <c r="B988" s="148"/>
      <c r="C988" s="148"/>
      <c r="D988" s="148"/>
      <c r="E988" s="148"/>
      <c r="F988" s="148"/>
      <c r="G988" s="148"/>
      <c r="H988" s="148"/>
      <c r="I988" s="148"/>
      <c r="J988" s="148"/>
      <c r="K988" s="148"/>
      <c r="L988" s="148"/>
      <c r="M988" s="148"/>
      <c r="N988" s="148"/>
      <c r="O988" s="148"/>
      <c r="P988" s="148"/>
      <c r="Q988" s="148"/>
      <c r="R988" s="148"/>
      <c r="S988" s="148"/>
      <c r="T988" s="148"/>
      <c r="U988" s="148"/>
      <c r="V988" s="148"/>
      <c r="W988" s="148"/>
      <c r="X988" s="148"/>
      <c r="Y988" s="148"/>
      <c r="Z988" s="148"/>
      <c r="AA988" s="148"/>
      <c r="AB988" s="148"/>
      <c r="AC988" s="148"/>
      <c r="AD988" s="148"/>
      <c r="AE988" s="148"/>
    </row>
    <row r="989" spans="2:31">
      <c r="B989" s="148"/>
      <c r="C989" s="148"/>
      <c r="D989" s="148"/>
      <c r="E989" s="148"/>
      <c r="F989" s="148"/>
      <c r="G989" s="148"/>
      <c r="H989" s="148"/>
      <c r="I989" s="148"/>
      <c r="J989" s="148"/>
      <c r="K989" s="148"/>
      <c r="L989" s="148"/>
      <c r="M989" s="148"/>
      <c r="N989" s="148"/>
      <c r="O989" s="148"/>
      <c r="P989" s="148"/>
      <c r="Q989" s="148"/>
      <c r="R989" s="148"/>
      <c r="S989" s="148"/>
      <c r="T989" s="148"/>
      <c r="U989" s="148"/>
      <c r="V989" s="148"/>
      <c r="W989" s="148"/>
      <c r="X989" s="148"/>
      <c r="Y989" s="148"/>
      <c r="Z989" s="148"/>
      <c r="AA989" s="148"/>
      <c r="AB989" s="148"/>
      <c r="AC989" s="148"/>
      <c r="AD989" s="148"/>
      <c r="AE989" s="148"/>
    </row>
    <row r="990" spans="2:31">
      <c r="B990" s="148"/>
      <c r="C990" s="148"/>
      <c r="D990" s="148"/>
      <c r="E990" s="148"/>
      <c r="F990" s="148"/>
      <c r="G990" s="148"/>
      <c r="H990" s="148"/>
      <c r="I990" s="148"/>
      <c r="J990" s="148"/>
      <c r="K990" s="148"/>
      <c r="L990" s="148"/>
      <c r="M990" s="148"/>
      <c r="N990" s="148"/>
      <c r="O990" s="148"/>
      <c r="P990" s="148"/>
      <c r="Q990" s="148"/>
      <c r="R990" s="148"/>
      <c r="S990" s="148"/>
      <c r="T990" s="148"/>
      <c r="U990" s="148"/>
      <c r="V990" s="148"/>
      <c r="W990" s="148"/>
      <c r="X990" s="148"/>
      <c r="Y990" s="148"/>
      <c r="Z990" s="148"/>
      <c r="AA990" s="148"/>
      <c r="AB990" s="148"/>
      <c r="AC990" s="148"/>
      <c r="AD990" s="148"/>
      <c r="AE990" s="148"/>
    </row>
    <row r="991" spans="2:31">
      <c r="B991" s="148"/>
      <c r="C991" s="148"/>
      <c r="D991" s="148"/>
      <c r="E991" s="148"/>
      <c r="F991" s="148"/>
      <c r="G991" s="148"/>
      <c r="H991" s="148"/>
      <c r="I991" s="148"/>
      <c r="J991" s="148"/>
      <c r="K991" s="148"/>
      <c r="L991" s="148"/>
      <c r="M991" s="148"/>
      <c r="N991" s="148"/>
      <c r="O991" s="148"/>
      <c r="P991" s="148"/>
      <c r="Q991" s="148"/>
      <c r="R991" s="148"/>
      <c r="S991" s="148"/>
      <c r="T991" s="148"/>
      <c r="U991" s="148"/>
      <c r="V991" s="148"/>
      <c r="W991" s="148"/>
      <c r="X991" s="148"/>
      <c r="Y991" s="148"/>
      <c r="Z991" s="148"/>
      <c r="AA991" s="148"/>
      <c r="AB991" s="148"/>
      <c r="AC991" s="148"/>
      <c r="AD991" s="148"/>
      <c r="AE991" s="148"/>
    </row>
    <row r="992" spans="2:31">
      <c r="B992" s="148"/>
      <c r="C992" s="148"/>
      <c r="D992" s="148"/>
      <c r="E992" s="148"/>
      <c r="F992" s="148"/>
      <c r="G992" s="148"/>
      <c r="H992" s="148"/>
      <c r="I992" s="148"/>
      <c r="J992" s="148"/>
      <c r="K992" s="148"/>
      <c r="L992" s="148"/>
      <c r="M992" s="148"/>
      <c r="N992" s="148"/>
      <c r="O992" s="148"/>
      <c r="P992" s="148"/>
      <c r="Q992" s="148"/>
      <c r="R992" s="148"/>
      <c r="S992" s="148"/>
      <c r="T992" s="148"/>
      <c r="U992" s="148"/>
      <c r="V992" s="148"/>
      <c r="W992" s="148"/>
      <c r="X992" s="148"/>
      <c r="Y992" s="148"/>
      <c r="Z992" s="148"/>
      <c r="AA992" s="148"/>
      <c r="AB992" s="148"/>
      <c r="AC992" s="148"/>
      <c r="AD992" s="148"/>
      <c r="AE992" s="148"/>
    </row>
    <row r="993" spans="2:31">
      <c r="B993" s="148"/>
      <c r="C993" s="148"/>
      <c r="D993" s="148"/>
      <c r="E993" s="148"/>
      <c r="F993" s="148"/>
      <c r="G993" s="148"/>
      <c r="H993" s="148"/>
      <c r="I993" s="148"/>
      <c r="J993" s="148"/>
      <c r="K993" s="148"/>
      <c r="L993" s="148"/>
      <c r="M993" s="148"/>
      <c r="N993" s="148"/>
      <c r="O993" s="148"/>
      <c r="P993" s="148"/>
      <c r="Q993" s="148"/>
      <c r="R993" s="148"/>
      <c r="S993" s="148"/>
      <c r="T993" s="148"/>
      <c r="U993" s="148"/>
      <c r="V993" s="148"/>
      <c r="W993" s="148"/>
      <c r="X993" s="148"/>
      <c r="Y993" s="148"/>
      <c r="Z993" s="148"/>
      <c r="AA993" s="148"/>
      <c r="AB993" s="148"/>
      <c r="AC993" s="148"/>
      <c r="AD993" s="148"/>
      <c r="AE993" s="148"/>
    </row>
    <row r="994" spans="2:31">
      <c r="B994" s="148"/>
      <c r="C994" s="148"/>
      <c r="D994" s="148"/>
      <c r="E994" s="148"/>
      <c r="F994" s="148"/>
      <c r="G994" s="148"/>
      <c r="H994" s="148"/>
      <c r="I994" s="148"/>
      <c r="J994" s="148"/>
      <c r="K994" s="148"/>
      <c r="L994" s="148"/>
      <c r="M994" s="148"/>
      <c r="N994" s="148"/>
      <c r="O994" s="148"/>
      <c r="P994" s="148"/>
      <c r="Q994" s="148"/>
      <c r="R994" s="148"/>
      <c r="S994" s="148"/>
      <c r="T994" s="148"/>
      <c r="U994" s="148"/>
      <c r="V994" s="148"/>
      <c r="W994" s="148"/>
      <c r="X994" s="148"/>
      <c r="Y994" s="148"/>
      <c r="Z994" s="148"/>
      <c r="AA994" s="148"/>
      <c r="AB994" s="148"/>
      <c r="AC994" s="148"/>
      <c r="AD994" s="148"/>
      <c r="AE994" s="148"/>
    </row>
    <row r="995" spans="2:31">
      <c r="B995" s="148"/>
      <c r="C995" s="148"/>
      <c r="D995" s="148"/>
      <c r="E995" s="148"/>
      <c r="F995" s="148"/>
      <c r="G995" s="148"/>
      <c r="H995" s="148"/>
      <c r="I995" s="148"/>
      <c r="J995" s="148"/>
      <c r="K995" s="148"/>
      <c r="L995" s="148"/>
      <c r="M995" s="148"/>
      <c r="N995" s="148"/>
      <c r="O995" s="148"/>
      <c r="P995" s="148"/>
      <c r="Q995" s="148"/>
      <c r="R995" s="148"/>
      <c r="S995" s="148"/>
      <c r="T995" s="148"/>
      <c r="U995" s="148"/>
      <c r="V995" s="148"/>
      <c r="W995" s="148"/>
      <c r="X995" s="148"/>
      <c r="Y995" s="148"/>
      <c r="Z995" s="148"/>
      <c r="AA995" s="148"/>
      <c r="AB995" s="148"/>
      <c r="AC995" s="148"/>
      <c r="AD995" s="148"/>
      <c r="AE995" s="148"/>
    </row>
    <row r="996" spans="2:31">
      <c r="B996" s="148"/>
      <c r="C996" s="148"/>
      <c r="D996" s="148"/>
      <c r="E996" s="148"/>
      <c r="F996" s="148"/>
      <c r="G996" s="148"/>
      <c r="H996" s="148"/>
      <c r="I996" s="148"/>
      <c r="J996" s="148"/>
      <c r="K996" s="148"/>
      <c r="L996" s="148"/>
      <c r="M996" s="148"/>
      <c r="N996" s="148"/>
      <c r="O996" s="148"/>
      <c r="P996" s="148"/>
      <c r="Q996" s="148"/>
      <c r="R996" s="148"/>
      <c r="S996" s="148"/>
      <c r="T996" s="148"/>
      <c r="U996" s="148"/>
      <c r="V996" s="148"/>
      <c r="W996" s="148"/>
      <c r="X996" s="148"/>
      <c r="Y996" s="148"/>
      <c r="Z996" s="148"/>
      <c r="AA996" s="148"/>
      <c r="AB996" s="148"/>
      <c r="AC996" s="148"/>
      <c r="AD996" s="148"/>
      <c r="AE996" s="148"/>
    </row>
    <row r="997" spans="2:31">
      <c r="B997" s="148"/>
      <c r="C997" s="148"/>
      <c r="D997" s="148"/>
      <c r="E997" s="148"/>
      <c r="F997" s="148"/>
      <c r="G997" s="148"/>
      <c r="H997" s="148"/>
      <c r="I997" s="148"/>
      <c r="J997" s="148"/>
      <c r="K997" s="148"/>
      <c r="L997" s="148"/>
      <c r="M997" s="148"/>
      <c r="N997" s="148"/>
      <c r="O997" s="148"/>
      <c r="P997" s="148"/>
      <c r="Q997" s="148"/>
      <c r="R997" s="148"/>
      <c r="S997" s="148"/>
      <c r="T997" s="148"/>
      <c r="U997" s="148"/>
      <c r="V997" s="148"/>
      <c r="W997" s="148"/>
      <c r="X997" s="148"/>
      <c r="Y997" s="148"/>
      <c r="Z997" s="148"/>
      <c r="AA997" s="148"/>
      <c r="AB997" s="148"/>
      <c r="AC997" s="148"/>
      <c r="AD997" s="148"/>
      <c r="AE997" s="148"/>
    </row>
    <row r="998" spans="2:31">
      <c r="B998" s="148"/>
      <c r="C998" s="148"/>
      <c r="D998" s="148"/>
      <c r="E998" s="148"/>
      <c r="F998" s="148"/>
      <c r="G998" s="148"/>
      <c r="H998" s="148"/>
      <c r="I998" s="148"/>
      <c r="J998" s="148"/>
      <c r="K998" s="148"/>
      <c r="L998" s="148"/>
      <c r="M998" s="148"/>
      <c r="N998" s="148"/>
      <c r="O998" s="148"/>
      <c r="P998" s="148"/>
      <c r="Q998" s="148"/>
      <c r="R998" s="148"/>
      <c r="S998" s="148"/>
      <c r="T998" s="148"/>
      <c r="U998" s="148"/>
      <c r="V998" s="148"/>
      <c r="W998" s="148"/>
      <c r="X998" s="148"/>
      <c r="Y998" s="148"/>
      <c r="Z998" s="148"/>
      <c r="AA998" s="148"/>
      <c r="AB998" s="148"/>
      <c r="AC998" s="148"/>
      <c r="AD998" s="148"/>
      <c r="AE998" s="148"/>
    </row>
    <row r="999" spans="2:31">
      <c r="B999" s="148"/>
      <c r="C999" s="148"/>
      <c r="D999" s="148"/>
      <c r="E999" s="148"/>
      <c r="F999" s="148"/>
      <c r="G999" s="148"/>
      <c r="H999" s="148"/>
      <c r="I999" s="148"/>
      <c r="J999" s="148"/>
      <c r="K999" s="148"/>
      <c r="L999" s="148"/>
      <c r="M999" s="148"/>
      <c r="N999" s="148"/>
      <c r="O999" s="148"/>
      <c r="P999" s="148"/>
      <c r="Q999" s="148"/>
      <c r="R999" s="148"/>
      <c r="S999" s="148"/>
      <c r="T999" s="148"/>
      <c r="U999" s="148"/>
      <c r="V999" s="148"/>
      <c r="W999" s="148"/>
      <c r="X999" s="148"/>
      <c r="Y999" s="148"/>
      <c r="Z999" s="148"/>
      <c r="AA999" s="148"/>
      <c r="AB999" s="148"/>
      <c r="AC999" s="148"/>
      <c r="AD999" s="148"/>
      <c r="AE999" s="148"/>
    </row>
    <row r="1000" spans="2:31">
      <c r="B1000" s="148"/>
      <c r="C1000" s="148"/>
      <c r="D1000" s="148"/>
      <c r="E1000" s="148"/>
      <c r="F1000" s="148"/>
      <c r="G1000" s="148"/>
      <c r="H1000" s="148"/>
      <c r="I1000" s="148"/>
      <c r="J1000" s="148"/>
      <c r="K1000" s="148"/>
      <c r="L1000" s="148"/>
      <c r="M1000" s="148"/>
      <c r="N1000" s="148"/>
      <c r="O1000" s="148"/>
      <c r="P1000" s="148"/>
      <c r="Q1000" s="148"/>
      <c r="R1000" s="148"/>
      <c r="S1000" s="148"/>
      <c r="T1000" s="148"/>
      <c r="U1000" s="148"/>
      <c r="V1000" s="148"/>
      <c r="W1000" s="148"/>
      <c r="X1000" s="148"/>
      <c r="Y1000" s="148"/>
      <c r="Z1000" s="148"/>
      <c r="AA1000" s="148"/>
      <c r="AB1000" s="148"/>
      <c r="AC1000" s="148"/>
      <c r="AD1000" s="148"/>
      <c r="AE1000" s="148"/>
    </row>
    <row r="1001" spans="2:31">
      <c r="B1001" s="148"/>
      <c r="C1001" s="148"/>
      <c r="D1001" s="148"/>
      <c r="E1001" s="148"/>
      <c r="F1001" s="148"/>
      <c r="G1001" s="148"/>
      <c r="H1001" s="148"/>
      <c r="I1001" s="148"/>
      <c r="J1001" s="148"/>
      <c r="K1001" s="148"/>
      <c r="L1001" s="148"/>
      <c r="M1001" s="148"/>
      <c r="N1001" s="148"/>
      <c r="O1001" s="148"/>
      <c r="P1001" s="148"/>
      <c r="Q1001" s="148"/>
      <c r="R1001" s="148"/>
      <c r="S1001" s="148"/>
      <c r="T1001" s="148"/>
      <c r="U1001" s="148"/>
      <c r="V1001" s="148"/>
      <c r="W1001" s="148"/>
      <c r="X1001" s="148"/>
      <c r="Y1001" s="148"/>
      <c r="Z1001" s="148"/>
      <c r="AA1001" s="148"/>
      <c r="AB1001" s="148"/>
      <c r="AC1001" s="148"/>
      <c r="AD1001" s="148"/>
      <c r="AE1001" s="148"/>
    </row>
    <row r="1002" spans="2:31">
      <c r="B1002" s="148"/>
      <c r="C1002" s="148"/>
      <c r="D1002" s="148"/>
      <c r="E1002" s="148"/>
      <c r="F1002" s="148"/>
      <c r="G1002" s="148"/>
      <c r="H1002" s="148"/>
      <c r="I1002" s="148"/>
      <c r="J1002" s="148"/>
      <c r="K1002" s="148"/>
      <c r="L1002" s="148"/>
      <c r="M1002" s="148"/>
      <c r="N1002" s="148"/>
      <c r="O1002" s="148"/>
      <c r="P1002" s="148"/>
      <c r="Q1002" s="148"/>
      <c r="R1002" s="148"/>
      <c r="S1002" s="148"/>
      <c r="T1002" s="148"/>
      <c r="U1002" s="148"/>
      <c r="V1002" s="148"/>
      <c r="W1002" s="148"/>
      <c r="X1002" s="148"/>
      <c r="Y1002" s="148"/>
      <c r="Z1002" s="148"/>
      <c r="AA1002" s="148"/>
      <c r="AB1002" s="148"/>
      <c r="AC1002" s="148"/>
      <c r="AD1002" s="148"/>
      <c r="AE1002" s="148"/>
    </row>
    <row r="1004" spans="2:31"/>
    <row r="1005" spans="2:31"/>
    <row r="1006" spans="2:31"/>
    <row r="1007" spans="2:31"/>
    <row r="1008" spans="2:31"/>
  </sheetData>
  <mergeCells count="5">
    <mergeCell ref="B18:C18"/>
    <mergeCell ref="C11:E11"/>
    <mergeCell ref="C12:E12"/>
    <mergeCell ref="C13:E13"/>
    <mergeCell ref="F11:F12"/>
  </mergeCells>
  <conditionalFormatting sqref="X60:LFS63 AG56:XFD56 B21:F21 AG21:LFS21 B102:LFS1008 B21:C56 B57:W63 B63:XFD64 B22:O56 AF22:LFS55 F21:R56 X57:XFD59">
    <cfRule type="cellIs" dxfId="171" priority="108" operator="lessThan">
      <formula>0</formula>
    </cfRule>
  </conditionalFormatting>
  <conditionalFormatting sqref="B56:R56">
    <cfRule type="cellIs" dxfId="170" priority="104" operator="lessThan">
      <formula>0</formula>
    </cfRule>
  </conditionalFormatting>
  <conditionalFormatting sqref="G21:G56">
    <cfRule type="cellIs" dxfId="169" priority="105" operator="lessThan">
      <formula>0</formula>
    </cfRule>
  </conditionalFormatting>
  <conditionalFormatting sqref="AF21:AF55">
    <cfRule type="cellIs" dxfId="168" priority="102" operator="lessThan">
      <formula>0</formula>
    </cfRule>
  </conditionalFormatting>
  <conditionalFormatting sqref="P21:Q56">
    <cfRule type="cellIs" dxfId="167" priority="101" operator="lessThan">
      <formula>0</formula>
    </cfRule>
  </conditionalFormatting>
  <conditionalFormatting sqref="AE22:AE53">
    <cfRule type="cellIs" dxfId="166" priority="99" operator="lessThan">
      <formula>0</formula>
    </cfRule>
  </conditionalFormatting>
  <conditionalFormatting sqref="AE22:AE53">
    <cfRule type="cellIs" dxfId="165" priority="97" operator="lessThan">
      <formula>0</formula>
    </cfRule>
  </conditionalFormatting>
  <conditionalFormatting sqref="AF56">
    <cfRule type="cellIs" dxfId="164" priority="93" operator="lessThan">
      <formula>0</formula>
    </cfRule>
  </conditionalFormatting>
  <conditionalFormatting sqref="AC22:AE53 S22:W53">
    <cfRule type="cellIs" dxfId="163" priority="92" operator="lessThan">
      <formula>0</formula>
    </cfRule>
  </conditionalFormatting>
  <conditionalFormatting sqref="AC22:AD53">
    <cfRule type="cellIs" dxfId="162" priority="90" operator="lessThan">
      <formula>0</formula>
    </cfRule>
  </conditionalFormatting>
  <conditionalFormatting sqref="AC21:AC53">
    <cfRule type="cellIs" dxfId="161" priority="89" operator="lessThan">
      <formula>0</formula>
    </cfRule>
  </conditionalFormatting>
  <conditionalFormatting sqref="AD21:AD53">
    <cfRule type="cellIs" dxfId="160" priority="88" operator="lessThan">
      <formula>0</formula>
    </cfRule>
  </conditionalFormatting>
  <conditionalFormatting sqref="AE21:AE53">
    <cfRule type="cellIs" dxfId="159" priority="87" operator="lessThan">
      <formula>0</formula>
    </cfRule>
  </conditionalFormatting>
  <conditionalFormatting sqref="S21:V53">
    <cfRule type="cellIs" dxfId="158" priority="86" operator="lessThan">
      <formula>0</formula>
    </cfRule>
  </conditionalFormatting>
  <conditionalFormatting sqref="T21:T53">
    <cfRule type="cellIs" dxfId="157" priority="83" operator="lessThan">
      <formula>0</formula>
    </cfRule>
  </conditionalFormatting>
  <conditionalFormatting sqref="T22:T53">
    <cfRule type="cellIs" dxfId="156" priority="84" operator="lessThan">
      <formula>0</formula>
    </cfRule>
  </conditionalFormatting>
  <conditionalFormatting sqref="U21:U53">
    <cfRule type="cellIs" dxfId="155" priority="80" operator="lessThan">
      <formula>0</formula>
    </cfRule>
  </conditionalFormatting>
  <conditionalFormatting sqref="U22:U53">
    <cfRule type="cellIs" dxfId="154" priority="81" operator="lessThan">
      <formula>0</formula>
    </cfRule>
  </conditionalFormatting>
  <conditionalFormatting sqref="V21:V53">
    <cfRule type="cellIs" dxfId="153" priority="77" operator="lessThan">
      <formula>0</formula>
    </cfRule>
  </conditionalFormatting>
  <conditionalFormatting sqref="V22:V53">
    <cfRule type="cellIs" dxfId="152" priority="78" operator="lessThan">
      <formula>0</formula>
    </cfRule>
  </conditionalFormatting>
  <conditionalFormatting sqref="W21:W53">
    <cfRule type="cellIs" dxfId="151" priority="76" operator="lessThan">
      <formula>0</formula>
    </cfRule>
  </conditionalFormatting>
  <conditionalFormatting sqref="X22:AB53">
    <cfRule type="cellIs" dxfId="150" priority="56" operator="lessThan">
      <formula>0</formula>
    </cfRule>
  </conditionalFormatting>
  <conditionalFormatting sqref="X21:AB53">
    <cfRule type="cellIs" dxfId="149" priority="55" operator="lessThan">
      <formula>0</formula>
    </cfRule>
  </conditionalFormatting>
  <conditionalFormatting sqref="Z56:AE56">
    <cfRule type="cellIs" dxfId="148" priority="54" operator="lessThan">
      <formula>0</formula>
    </cfRule>
  </conditionalFormatting>
  <conditionalFormatting sqref="Z56:AE56">
    <cfRule type="cellIs" dxfId="147" priority="53" operator="lessThan">
      <formula>0</formula>
    </cfRule>
  </conditionalFormatting>
  <conditionalFormatting sqref="S56:Y56">
    <cfRule type="cellIs" dxfId="146" priority="52" operator="lessThan">
      <formula>0</formula>
    </cfRule>
  </conditionalFormatting>
  <conditionalFormatting sqref="S56:Y56">
    <cfRule type="cellIs" dxfId="145" priority="51" operator="lessThan">
      <formula>0</formula>
    </cfRule>
  </conditionalFormatting>
  <conditionalFormatting sqref="S54:S55">
    <cfRule type="cellIs" dxfId="144" priority="50" operator="lessThan">
      <formula>0</formula>
    </cfRule>
  </conditionalFormatting>
  <conditionalFormatting sqref="T54:T55">
    <cfRule type="cellIs" dxfId="143" priority="49" operator="lessThan">
      <formula>0</formula>
    </cfRule>
  </conditionalFormatting>
  <conditionalFormatting sqref="U54:U55">
    <cfRule type="cellIs" dxfId="142" priority="48" operator="lessThan">
      <formula>0</formula>
    </cfRule>
  </conditionalFormatting>
  <conditionalFormatting sqref="V54:V55">
    <cfRule type="cellIs" dxfId="141" priority="47" operator="lessThan">
      <formula>0</formula>
    </cfRule>
  </conditionalFormatting>
  <conditionalFormatting sqref="W54:W55">
    <cfRule type="cellIs" dxfId="140" priority="46" operator="lessThan">
      <formula>0</formula>
    </cfRule>
  </conditionalFormatting>
  <conditionalFormatting sqref="X54:X55">
    <cfRule type="cellIs" dxfId="139" priority="45" operator="lessThan">
      <formula>0</formula>
    </cfRule>
  </conditionalFormatting>
  <conditionalFormatting sqref="Y54:Y55">
    <cfRule type="cellIs" dxfId="138" priority="44" operator="lessThan">
      <formula>0</formula>
    </cfRule>
  </conditionalFormatting>
  <conditionalFormatting sqref="Z54:Z55">
    <cfRule type="cellIs" dxfId="137" priority="43" operator="lessThan">
      <formula>0</formula>
    </cfRule>
  </conditionalFormatting>
  <conditionalFormatting sqref="AA54:AA55">
    <cfRule type="cellIs" dxfId="136" priority="42" operator="lessThan">
      <formula>0</formula>
    </cfRule>
  </conditionalFormatting>
  <conditionalFormatting sqref="AB54:AB55">
    <cfRule type="cellIs" dxfId="135" priority="41" operator="lessThan">
      <formula>0</formula>
    </cfRule>
  </conditionalFormatting>
  <conditionalFormatting sqref="AC54:AC55">
    <cfRule type="cellIs" dxfId="134" priority="40" operator="lessThan">
      <formula>0</formula>
    </cfRule>
  </conditionalFormatting>
  <conditionalFormatting sqref="AD54:AD55">
    <cfRule type="cellIs" dxfId="133" priority="39" operator="lessThan">
      <formula>0</formula>
    </cfRule>
  </conditionalFormatting>
  <conditionalFormatting sqref="AE54:AE55">
    <cfRule type="cellIs" dxfId="132" priority="38" operator="lessThan">
      <formula>0</formula>
    </cfRule>
  </conditionalFormatting>
  <conditionalFormatting sqref="B99:B100">
    <cfRule type="cellIs" dxfId="131" priority="37" operator="lessThan">
      <formula>0</formula>
    </cfRule>
  </conditionalFormatting>
  <conditionalFormatting sqref="C99:C100">
    <cfRule type="cellIs" dxfId="130" priority="36" operator="lessThan">
      <formula>0</formula>
    </cfRule>
  </conditionalFormatting>
  <conditionalFormatting sqref="D99:D100">
    <cfRule type="cellIs" dxfId="129" priority="35" operator="lessThan">
      <formula>0</formula>
    </cfRule>
  </conditionalFormatting>
  <conditionalFormatting sqref="E99:E100">
    <cfRule type="cellIs" dxfId="128" priority="34" operator="lessThan">
      <formula>0</formula>
    </cfRule>
  </conditionalFormatting>
  <conditionalFormatting sqref="F99:F100">
    <cfRule type="cellIs" dxfId="127" priority="33" operator="lessThan">
      <formula>0</formula>
    </cfRule>
  </conditionalFormatting>
  <conditionalFormatting sqref="G99:G100">
    <cfRule type="cellIs" dxfId="126" priority="32" operator="lessThan">
      <formula>0</formula>
    </cfRule>
  </conditionalFormatting>
  <conditionalFormatting sqref="H99:H100">
    <cfRule type="cellIs" dxfId="125" priority="31" operator="lessThan">
      <formula>0</formula>
    </cfRule>
  </conditionalFormatting>
  <conditionalFormatting sqref="I99:I100">
    <cfRule type="cellIs" dxfId="124" priority="30" operator="lessThan">
      <formula>0</formula>
    </cfRule>
  </conditionalFormatting>
  <conditionalFormatting sqref="J99:J100">
    <cfRule type="cellIs" dxfId="123" priority="29" operator="lessThan">
      <formula>0</formula>
    </cfRule>
  </conditionalFormatting>
  <conditionalFormatting sqref="K99:K100">
    <cfRule type="cellIs" dxfId="122" priority="28" operator="lessThan">
      <formula>0</formula>
    </cfRule>
  </conditionalFormatting>
  <conditionalFormatting sqref="L99:L100">
    <cfRule type="cellIs" dxfId="121" priority="27" operator="lessThan">
      <formula>0</formula>
    </cfRule>
  </conditionalFormatting>
  <conditionalFormatting sqref="M99:M100">
    <cfRule type="cellIs" dxfId="120" priority="26" operator="lessThan">
      <formula>0</formula>
    </cfRule>
  </conditionalFormatting>
  <conditionalFormatting sqref="N99:N100">
    <cfRule type="cellIs" dxfId="119" priority="25" operator="lessThan">
      <formula>0</formula>
    </cfRule>
  </conditionalFormatting>
  <conditionalFormatting sqref="O99:O100">
    <cfRule type="cellIs" dxfId="118" priority="24" operator="lessThan">
      <formula>0</formula>
    </cfRule>
  </conditionalFormatting>
  <conditionalFormatting sqref="P99:P100">
    <cfRule type="cellIs" dxfId="117" priority="23" operator="lessThan">
      <formula>0</formula>
    </cfRule>
  </conditionalFormatting>
  <conditionalFormatting sqref="Q99:Q100">
    <cfRule type="cellIs" dxfId="116" priority="22" operator="lessThan">
      <formula>0</formula>
    </cfRule>
  </conditionalFormatting>
  <conditionalFormatting sqref="S99:S100">
    <cfRule type="cellIs" dxfId="115" priority="20" operator="lessThan">
      <formula>0</formula>
    </cfRule>
  </conditionalFormatting>
  <conditionalFormatting sqref="T99:T100">
    <cfRule type="cellIs" dxfId="114" priority="19" operator="lessThan">
      <formula>0</formula>
    </cfRule>
  </conditionalFormatting>
  <conditionalFormatting sqref="U99:U100">
    <cfRule type="cellIs" dxfId="113" priority="18" operator="lessThan">
      <formula>0</formula>
    </cfRule>
  </conditionalFormatting>
  <conditionalFormatting sqref="V99:V100">
    <cfRule type="cellIs" dxfId="112" priority="17" operator="lessThan">
      <formula>0</formula>
    </cfRule>
  </conditionalFormatting>
  <conditionalFormatting sqref="W99:W100">
    <cfRule type="cellIs" dxfId="111" priority="16" operator="lessThan">
      <formula>0</formula>
    </cfRule>
  </conditionalFormatting>
  <conditionalFormatting sqref="X99:X100">
    <cfRule type="cellIs" dxfId="110" priority="15" operator="lessThan">
      <formula>0</formula>
    </cfRule>
  </conditionalFormatting>
  <conditionalFormatting sqref="Y99:Y100">
    <cfRule type="cellIs" dxfId="109" priority="14" operator="lessThan">
      <formula>0</formula>
    </cfRule>
  </conditionalFormatting>
  <conditionalFormatting sqref="Z99:Z100">
    <cfRule type="cellIs" dxfId="108" priority="13" operator="lessThan">
      <formula>0</formula>
    </cfRule>
  </conditionalFormatting>
  <conditionalFormatting sqref="AA99:AA100">
    <cfRule type="cellIs" dxfId="107" priority="12" operator="lessThan">
      <formula>0</formula>
    </cfRule>
  </conditionalFormatting>
  <conditionalFormatting sqref="AB99:AB100">
    <cfRule type="cellIs" dxfId="106" priority="11" operator="lessThan">
      <formula>0</formula>
    </cfRule>
  </conditionalFormatting>
  <conditionalFormatting sqref="AC99:AC100">
    <cfRule type="cellIs" dxfId="105" priority="10" operator="lessThan">
      <formula>0</formula>
    </cfRule>
  </conditionalFormatting>
  <conditionalFormatting sqref="AD99:AD100">
    <cfRule type="cellIs" dxfId="104" priority="9" operator="lessThan">
      <formula>0</formula>
    </cfRule>
  </conditionalFormatting>
  <conditionalFormatting sqref="AE99:AE100">
    <cfRule type="cellIs" dxfId="103" priority="8" operator="lessThan">
      <formula>0</formula>
    </cfRule>
  </conditionalFormatting>
  <conditionalFormatting sqref="AF99:AF100">
    <cfRule type="cellIs" dxfId="102" priority="7" operator="lessThan">
      <formula>0</formula>
    </cfRule>
  </conditionalFormatting>
  <conditionalFormatting sqref="AG99:AG100">
    <cfRule type="cellIs" dxfId="101" priority="6" operator="lessThan">
      <formula>0</formula>
    </cfRule>
  </conditionalFormatting>
  <conditionalFormatting sqref="AH99:AH100">
    <cfRule type="cellIs" dxfId="100" priority="5" operator="lessThan">
      <formula>0</formula>
    </cfRule>
  </conditionalFormatting>
  <conditionalFormatting sqref="AI99:AI100">
    <cfRule type="cellIs" dxfId="99" priority="4" operator="lessThan">
      <formula>0</formula>
    </cfRule>
  </conditionalFormatting>
  <conditionalFormatting sqref="AJ99:AJ100">
    <cfRule type="cellIs" dxfId="98" priority="3" operator="lessThan">
      <formula>0</formula>
    </cfRule>
  </conditionalFormatting>
  <conditionalFormatting sqref="AK99:AK100">
    <cfRule type="cellIs" dxfId="97" priority="2" operator="lessThan">
      <formula>0</formula>
    </cfRule>
  </conditionalFormatting>
  <conditionalFormatting sqref="R99:R100">
    <cfRule type="cellIs" dxfId="96" priority="1" operator="lessThan">
      <formula>0</formula>
    </cfRule>
  </conditionalFormatting>
  <pageMargins left="0.7" right="0.7" top="0.75" bottom="0.75" header="0.3" footer="0.3"/>
  <pageSetup paperSize="9"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8">
    <tabColor theme="4"/>
  </sheetPr>
  <dimension ref="A1:AO113"/>
  <sheetViews>
    <sheetView zoomScaleNormal="100" workbookViewId="0">
      <pane xSplit="4" ySplit="8" topLeftCell="V30" activePane="bottomRight" state="frozen"/>
      <selection pane="topRight" activeCell="O35" sqref="O35"/>
      <selection pane="bottomLeft" activeCell="O35" sqref="O35"/>
      <selection pane="bottomRight" activeCell="O35" sqref="O35"/>
    </sheetView>
  </sheetViews>
  <sheetFormatPr defaultRowHeight="15"/>
  <cols>
    <col min="1" max="1" width="13.42578125" bestFit="1" customWidth="1"/>
    <col min="2" max="2" width="37" bestFit="1" customWidth="1"/>
    <col min="3" max="3" width="17.5703125" bestFit="1" customWidth="1"/>
    <col min="4" max="4" width="11.140625" bestFit="1" customWidth="1"/>
    <col min="5" max="6" width="20.42578125" bestFit="1" customWidth="1"/>
    <col min="7" max="12" width="18.140625" bestFit="1" customWidth="1"/>
    <col min="13" max="13" width="21.140625" bestFit="1" customWidth="1"/>
    <col min="14" max="19" width="18.140625" bestFit="1" customWidth="1"/>
    <col min="20" max="20" width="26.85546875" customWidth="1"/>
    <col min="21" max="25" width="18.140625" bestFit="1" customWidth="1"/>
    <col min="26" max="27" width="18" bestFit="1" customWidth="1"/>
    <col min="28" max="30" width="21.140625" bestFit="1" customWidth="1"/>
    <col min="31" max="31" width="22.42578125" bestFit="1" customWidth="1"/>
    <col min="32" max="32" width="21" bestFit="1" customWidth="1"/>
    <col min="33" max="33" width="22" bestFit="1" customWidth="1"/>
    <col min="34" max="34" width="21.85546875" bestFit="1" customWidth="1"/>
    <col min="35" max="35" width="22" bestFit="1" customWidth="1"/>
    <col min="36" max="36" width="22.42578125" bestFit="1" customWidth="1"/>
    <col min="37" max="37" width="21.5703125" bestFit="1" customWidth="1"/>
    <col min="38" max="39" width="22" bestFit="1" customWidth="1"/>
    <col min="40" max="40" width="26.85546875" customWidth="1"/>
    <col min="41" max="41" width="20.42578125" bestFit="1" customWidth="1"/>
  </cols>
  <sheetData>
    <row r="1" spans="1:40">
      <c r="A1" t="s">
        <v>125</v>
      </c>
      <c r="B1" s="204" t="str">
        <f>Dashboard!$D$6</f>
        <v>High Electrification</v>
      </c>
      <c r="D1" s="53"/>
      <c r="E1" s="742" t="s">
        <v>1247</v>
      </c>
      <c r="F1" s="742"/>
      <c r="G1" s="742"/>
      <c r="H1" s="742"/>
      <c r="I1" s="742"/>
    </row>
    <row r="2" spans="1:40">
      <c r="D2" s="53"/>
      <c r="E2" s="742"/>
      <c r="F2" s="742"/>
      <c r="G2" s="742"/>
      <c r="H2" s="742"/>
      <c r="I2" s="742"/>
    </row>
    <row r="3" spans="1:40">
      <c r="D3" s="53"/>
      <c r="E3" s="742"/>
      <c r="F3" s="742"/>
      <c r="G3" s="742"/>
      <c r="H3" s="742"/>
      <c r="I3" s="742"/>
    </row>
    <row r="4" spans="1:40">
      <c r="D4" s="53"/>
      <c r="E4" s="742"/>
      <c r="F4" s="742"/>
      <c r="G4" s="742"/>
      <c r="H4" s="742"/>
      <c r="I4" s="742"/>
    </row>
    <row r="5" spans="1:40">
      <c r="D5" s="53"/>
    </row>
    <row r="6" spans="1:40" s="67" customFormat="1">
      <c r="A6" s="67" t="s">
        <v>157</v>
      </c>
    </row>
    <row r="7" spans="1:40" s="423" customFormat="1">
      <c r="A7" s="423" t="s">
        <v>1248</v>
      </c>
    </row>
    <row r="8" spans="1:40">
      <c r="B8" t="s">
        <v>1249</v>
      </c>
      <c r="C8" t="s">
        <v>180</v>
      </c>
      <c r="D8" t="s">
        <v>179</v>
      </c>
      <c r="E8">
        <v>2015</v>
      </c>
      <c r="F8">
        <v>2016</v>
      </c>
      <c r="G8">
        <v>2017</v>
      </c>
      <c r="H8">
        <v>2018</v>
      </c>
      <c r="I8">
        <v>2019</v>
      </c>
      <c r="J8">
        <v>2020</v>
      </c>
      <c r="K8">
        <v>2021</v>
      </c>
      <c r="L8">
        <v>2022</v>
      </c>
      <c r="M8">
        <v>2023</v>
      </c>
      <c r="N8">
        <v>2024</v>
      </c>
      <c r="O8">
        <v>2025</v>
      </c>
      <c r="P8">
        <v>2026</v>
      </c>
      <c r="Q8">
        <v>2027</v>
      </c>
      <c r="R8">
        <v>2028</v>
      </c>
      <c r="S8">
        <v>2029</v>
      </c>
      <c r="T8">
        <v>2030</v>
      </c>
      <c r="U8">
        <v>2031</v>
      </c>
      <c r="V8">
        <v>2032</v>
      </c>
      <c r="W8">
        <v>2033</v>
      </c>
      <c r="X8">
        <v>2034</v>
      </c>
      <c r="Y8">
        <v>2035</v>
      </c>
      <c r="Z8">
        <v>2036</v>
      </c>
      <c r="AA8">
        <v>2037</v>
      </c>
      <c r="AB8">
        <v>2038</v>
      </c>
      <c r="AC8">
        <v>2039</v>
      </c>
      <c r="AD8">
        <v>2040</v>
      </c>
      <c r="AE8">
        <v>2041</v>
      </c>
      <c r="AF8">
        <v>2042</v>
      </c>
      <c r="AG8">
        <v>2043</v>
      </c>
      <c r="AH8">
        <v>2044</v>
      </c>
      <c r="AI8">
        <v>2045</v>
      </c>
      <c r="AJ8">
        <v>2046</v>
      </c>
      <c r="AK8">
        <v>2047</v>
      </c>
      <c r="AL8">
        <v>2048</v>
      </c>
      <c r="AM8">
        <v>2049</v>
      </c>
      <c r="AN8">
        <v>2050</v>
      </c>
    </row>
    <row r="9" spans="1:40">
      <c r="B9" s="38" t="s">
        <v>1250</v>
      </c>
      <c r="D9" t="s">
        <v>446</v>
      </c>
      <c r="E9" s="10">
        <f>'2.1 Building inputs'!E8*'3.1 Building Energy'!B20</f>
        <v>9889365193.3902206</v>
      </c>
      <c r="F9" s="10">
        <f>'2.1 Building inputs'!F8*'3.1 Building Energy'!C20</f>
        <v>9889365193.3902206</v>
      </c>
      <c r="G9" s="10">
        <f>'2.1 Building inputs'!G8*'3.1 Building Energy'!D20</f>
        <v>9889365193.3902206</v>
      </c>
      <c r="H9" s="10">
        <f>'2.1 Building inputs'!H8*'3.1 Building Energy'!E20</f>
        <v>9889365193.3902206</v>
      </c>
      <c r="I9" s="10">
        <f>'2.1 Building inputs'!I8*'3.1 Building Energy'!F20</f>
        <v>9889345815.0996284</v>
      </c>
      <c r="J9" s="10">
        <f>'2.1 Building inputs'!J8*'3.1 Building Energy'!G20</f>
        <v>9860584096.1818123</v>
      </c>
      <c r="K9" s="10">
        <f>'2.1 Building inputs'!K8*'3.1 Building Energy'!H20</f>
        <v>9771481384.0964489</v>
      </c>
      <c r="L9" s="10">
        <f>'2.1 Building inputs'!L8*'3.1 Building Energy'!I20</f>
        <v>9438478426.3227043</v>
      </c>
      <c r="M9" s="10">
        <f>'2.1 Building inputs'!M8*'3.1 Building Energy'!J20</f>
        <v>8864726289.7156906</v>
      </c>
      <c r="N9" s="10">
        <f>'2.1 Building inputs'!N8*'3.1 Building Energy'!K20</f>
        <v>8233486840.3692064</v>
      </c>
      <c r="O9" s="10">
        <f>'2.1 Building inputs'!O8*'3.1 Building Energy'!L20</f>
        <v>7665184242.5796099</v>
      </c>
      <c r="P9" s="10">
        <f>'2.1 Building inputs'!P8*'3.1 Building Energy'!M20</f>
        <v>7181601361.9192591</v>
      </c>
      <c r="Q9" s="10">
        <f>'2.1 Building inputs'!Q8*'3.1 Building Energy'!N20</f>
        <v>6783955891.7206354</v>
      </c>
      <c r="R9" s="10">
        <f>'2.1 Building inputs'!R8*'3.1 Building Energy'!O20</f>
        <v>6483518296.1099987</v>
      </c>
      <c r="S9" s="10">
        <f>'2.1 Building inputs'!S8*'3.1 Building Energy'!P20</f>
        <v>6321404432.735692</v>
      </c>
      <c r="T9" s="10">
        <f>'2.1 Building inputs'!T8*'3.1 Building Energy'!Q20</f>
        <v>6271243751.250906</v>
      </c>
      <c r="U9" s="10">
        <f>'2.1 Building inputs'!U8*'3.1 Building Energy'!R20</f>
        <v>6270594768.6438179</v>
      </c>
      <c r="V9" s="10">
        <f>'2.1 Building inputs'!V8*'3.1 Building Energy'!S20</f>
        <v>6269999199.5792675</v>
      </c>
      <c r="W9" s="10">
        <f>'2.1 Building inputs'!W8*'3.1 Building Energy'!T20</f>
        <v>6269457044.0572615</v>
      </c>
      <c r="X9" s="10">
        <f>'2.1 Building inputs'!X8*'3.1 Building Energy'!U20</f>
        <v>6268968302.0777979</v>
      </c>
      <c r="Y9" s="10">
        <f>'2.1 Building inputs'!Y8*'3.1 Building Energy'!V20</f>
        <v>6268691772.0648499</v>
      </c>
      <c r="Z9" s="10">
        <f>'2.1 Building inputs'!Z8*'3.1 Building Energy'!W20</f>
        <v>6268507612.0169411</v>
      </c>
      <c r="AA9" s="10">
        <f>'2.1 Building inputs'!AA8*'3.1 Building Energy'!X20</f>
        <v>6268325063.3239193</v>
      </c>
      <c r="AB9" s="10">
        <f>'2.1 Building inputs'!AB8*'3.1 Building Energy'!Y20</f>
        <v>6268305727.0653019</v>
      </c>
      <c r="AC9" s="10">
        <f>'2.1 Building inputs'!AC8*'3.1 Building Energy'!Z20</f>
        <v>6268288002.1615686</v>
      </c>
      <c r="AD9" s="10">
        <f>'2.1 Building inputs'!AD8*'3.1 Building Energy'!AA20</f>
        <v>6268271888.6127195</v>
      </c>
      <c r="AE9" s="10">
        <f>'2.1 Building inputs'!AE8*'3.1 Building Energy'!AB20</f>
        <v>6268257386.4187574</v>
      </c>
      <c r="AF9" s="10">
        <f>'2.1 Building inputs'!AF8*'3.1 Building Energy'!AC20</f>
        <v>6268244495.5796795</v>
      </c>
      <c r="AG9" s="10">
        <f>'2.1 Building inputs'!AG8*'3.1 Building Energy'!AD20</f>
        <v>6268233216.0954847</v>
      </c>
      <c r="AH9" s="10">
        <f>'2.1 Building inputs'!AH8*'3.1 Building Energy'!AE20</f>
        <v>6268223547.966177</v>
      </c>
      <c r="AI9" s="10">
        <f>'2.1 Building inputs'!AI8*'3.1 Building Energy'!AF20</f>
        <v>6268215491.1917515</v>
      </c>
      <c r="AJ9" s="10">
        <f>'2.1 Building inputs'!AJ8*'3.1 Building Energy'!AG20</f>
        <v>6268209045.772212</v>
      </c>
      <c r="AK9" s="10">
        <f>'2.1 Building inputs'!AK8*'3.1 Building Energy'!AH20</f>
        <v>6268204211.7075586</v>
      </c>
      <c r="AL9" s="10">
        <f>'2.1 Building inputs'!AL8*'3.1 Building Energy'!AI20</f>
        <v>6268200988.9977884</v>
      </c>
      <c r="AM9" s="10">
        <f>'2.1 Building inputs'!AM8*'3.1 Building Energy'!AJ20</f>
        <v>6268199377.6429043</v>
      </c>
      <c r="AN9" s="10">
        <f>'2.1 Building inputs'!AN8*'3.1 Building Energy'!AK20</f>
        <v>6268199377.6429043</v>
      </c>
    </row>
    <row r="10" spans="1:40">
      <c r="B10" s="38" t="s">
        <v>1251</v>
      </c>
      <c r="D10" t="s">
        <v>446</v>
      </c>
      <c r="E10" s="10">
        <f>E9*'2.1 Building inputs'!E18</f>
        <v>0</v>
      </c>
      <c r="F10" s="10">
        <f>F9*'2.1 Building inputs'!F18</f>
        <v>0</v>
      </c>
      <c r="G10" s="10">
        <f>G9*'2.1 Building inputs'!G18</f>
        <v>0</v>
      </c>
      <c r="H10" s="10">
        <f>H9*'2.1 Building inputs'!H18</f>
        <v>0</v>
      </c>
      <c r="I10" s="10">
        <f>I9*'2.1 Building inputs'!I18</f>
        <v>0</v>
      </c>
      <c r="J10" s="10">
        <f>J9*'2.1 Building inputs'!J18</f>
        <v>0</v>
      </c>
      <c r="K10" s="10">
        <f>K9*'2.1 Building inputs'!K18</f>
        <v>560418.98125442117</v>
      </c>
      <c r="L10" s="10">
        <f>L9*'2.1 Building inputs'!L18</f>
        <v>1089731.7047119869</v>
      </c>
      <c r="M10" s="10">
        <f>M9*'2.1 Building inputs'!M18</f>
        <v>1565749.8019751951</v>
      </c>
      <c r="N10" s="10">
        <f>N9*'2.1 Building inputs'!N18</f>
        <v>1983019.4399106551</v>
      </c>
      <c r="O10" s="10">
        <f>O9*'2.1 Building inputs'!O18</f>
        <v>2376003.0968566779</v>
      </c>
      <c r="P10" s="10">
        <f>P9*'2.1 Building inputs'!P18</f>
        <v>2760793.2219297481</v>
      </c>
      <c r="Q10" s="10">
        <f>Q9*'2.1 Building inputs'!Q18</f>
        <v>2706414.0996029843</v>
      </c>
      <c r="R10" s="10">
        <f>R9*'2.1 Building inputs'!R18</f>
        <v>2659774.2681294596</v>
      </c>
      <c r="S10" s="10">
        <f>S9*'2.1 Building inputs'!S18</f>
        <v>2677314.4498259677</v>
      </c>
      <c r="T10" s="10">
        <f>T9*'2.1 Building inputs'!T18</f>
        <v>2746206.7952258806</v>
      </c>
      <c r="U10" s="10">
        <f>U9*'2.1 Building inputs'!U18</f>
        <v>3072949.4968186156</v>
      </c>
      <c r="V10" s="10">
        <f>V9*'2.1 Building inputs'!V18</f>
        <v>3668759.5186619069</v>
      </c>
      <c r="W10" s="10">
        <f>W9*'2.1 Building inputs'!W18</f>
        <v>4549265.7138537765</v>
      </c>
      <c r="X10" s="10">
        <f>X9*'2.1 Building inputs'!X18</f>
        <v>5727018.6312520066</v>
      </c>
      <c r="Y10" s="10">
        <f>Y9*'2.1 Building inputs'!Y18</f>
        <v>7147631.5121022016</v>
      </c>
      <c r="Z10" s="10">
        <f>Z9*'2.1 Building inputs'!Z18</f>
        <v>8830360.3125763182</v>
      </c>
      <c r="AA10" s="10">
        <f>AA9*'2.1 Building inputs'!AA18</f>
        <v>10804823.056719882</v>
      </c>
      <c r="AB10" s="10">
        <f>AB9*'2.1 Building inputs'!AB18</f>
        <v>13014965.217540069</v>
      </c>
      <c r="AC10" s="10">
        <f>AC9*'2.1 Building inputs'!AC18</f>
        <v>15501368.81161291</v>
      </c>
      <c r="AD10" s="10">
        <f>AD9*'2.1 Building inputs'!AD18</f>
        <v>18264033.412821211</v>
      </c>
      <c r="AE10" s="10">
        <f>AE9*'2.1 Building inputs'!AE18</f>
        <v>20805299.363594063</v>
      </c>
      <c r="AF10" s="10">
        <f>AF9*'2.1 Building inputs'!AF18</f>
        <v>23064192.559107509</v>
      </c>
      <c r="AG10" s="10">
        <f>AG9*'2.1 Building inputs'!AG18</f>
        <v>25040716.483540431</v>
      </c>
      <c r="AH10" s="10">
        <f>AH9*'2.1 Building inputs'!AH18</f>
        <v>26734874.185549386</v>
      </c>
      <c r="AI10" s="10">
        <f>AI9*'2.1 Building inputs'!AI18</f>
        <v>28146668.27826852</v>
      </c>
      <c r="AJ10" s="10">
        <f>AJ9*'2.1 Building inputs'!AJ18</f>
        <v>29276100.939309653</v>
      </c>
      <c r="AK10" s="10">
        <f>AK9*'2.1 Building inputs'!AK18</f>
        <v>30123173.910762258</v>
      </c>
      <c r="AL10" s="10">
        <f>AL9*'2.1 Building inputs'!AL18</f>
        <v>30687888.499193382</v>
      </c>
      <c r="AM10" s="10">
        <f>AM9*'2.1 Building inputs'!AM18</f>
        <v>30970245.575647764</v>
      </c>
      <c r="AN10" s="10">
        <f>AN9*'2.1 Building inputs'!AN18</f>
        <v>30970245.575647764</v>
      </c>
    </row>
    <row r="11" spans="1:40">
      <c r="B11" t="s">
        <v>1252</v>
      </c>
      <c r="D11" t="s">
        <v>452</v>
      </c>
      <c r="E11" s="9">
        <f>'2.1 Building inputs'!E14</f>
        <v>0.22874092048119773</v>
      </c>
      <c r="F11" s="9">
        <f>'2.1 Building inputs'!F14</f>
        <v>0.22874092048119773</v>
      </c>
      <c r="G11" s="9">
        <f>'2.1 Building inputs'!G14</f>
        <v>0.22874092048119773</v>
      </c>
      <c r="H11" s="9">
        <f>'2.1 Building inputs'!H14</f>
        <v>0.22874092048119773</v>
      </c>
      <c r="I11" s="9">
        <f>'2.1 Building inputs'!I14</f>
        <v>0.2287450477935952</v>
      </c>
      <c r="J11" s="9">
        <f>'2.1 Building inputs'!J14</f>
        <v>0.23487090283217618</v>
      </c>
      <c r="K11" s="9">
        <f>'2.1 Building inputs'!K14</f>
        <v>0.25384856892157187</v>
      </c>
      <c r="L11" s="9">
        <f>'2.1 Building inputs'!L14</f>
        <v>0.32477367087982445</v>
      </c>
      <c r="M11" s="9">
        <f>'2.1 Building inputs'!M14</f>
        <v>0.44697507431380329</v>
      </c>
      <c r="N11" s="9">
        <f>'2.1 Building inputs'!N14</f>
        <v>0.58142049367067739</v>
      </c>
      <c r="O11" s="9">
        <f>'2.1 Building inputs'!O14</f>
        <v>0.70246121943730255</v>
      </c>
      <c r="P11" s="9">
        <f>'2.1 Building inputs'!P14</f>
        <v>0.80545779744188695</v>
      </c>
      <c r="Q11" s="9">
        <f>'2.1 Building inputs'!Q14</f>
        <v>0.89015087556234274</v>
      </c>
      <c r="R11" s="9">
        <f>'2.1 Building inputs'!R14</f>
        <v>0.95413999819126116</v>
      </c>
      <c r="S11" s="9">
        <f>'2.1 Building inputs'!S14</f>
        <v>0.98866804672733777</v>
      </c>
      <c r="T11" s="612">
        <f>'2.1 Building inputs'!T14</f>
        <v>1</v>
      </c>
      <c r="U11" s="9">
        <f>'2.1 Building inputs'!U14</f>
        <v>1</v>
      </c>
      <c r="V11" s="9">
        <f>'2.1 Building inputs'!V14</f>
        <v>1</v>
      </c>
      <c r="W11" s="9">
        <f>'2.1 Building inputs'!W14</f>
        <v>1</v>
      </c>
      <c r="X11" s="9">
        <f>'2.1 Building inputs'!X14</f>
        <v>1</v>
      </c>
      <c r="Y11" s="9">
        <f>'2.1 Building inputs'!Y14</f>
        <v>1</v>
      </c>
      <c r="Z11" s="9">
        <f>'2.1 Building inputs'!Z14</f>
        <v>1</v>
      </c>
      <c r="AA11" s="9">
        <f>'2.1 Building inputs'!AA14</f>
        <v>1</v>
      </c>
      <c r="AB11" s="9">
        <f>'2.1 Building inputs'!AB14</f>
        <v>1</v>
      </c>
      <c r="AC11" s="9">
        <f>'2.1 Building inputs'!AC14</f>
        <v>1</v>
      </c>
      <c r="AD11" s="9">
        <f>'2.1 Building inputs'!AD14</f>
        <v>1</v>
      </c>
      <c r="AE11" s="9">
        <f>'2.1 Building inputs'!AE14</f>
        <v>1</v>
      </c>
      <c r="AF11" s="9">
        <f>'2.1 Building inputs'!AF14</f>
        <v>1</v>
      </c>
      <c r="AG11" s="9">
        <f>'2.1 Building inputs'!AG14</f>
        <v>1</v>
      </c>
      <c r="AH11" s="9">
        <f>'2.1 Building inputs'!AH14</f>
        <v>1</v>
      </c>
      <c r="AI11" s="9">
        <f>'2.1 Building inputs'!AI14</f>
        <v>1</v>
      </c>
      <c r="AJ11" s="9">
        <f>'2.1 Building inputs'!AJ14</f>
        <v>1</v>
      </c>
      <c r="AK11" s="9">
        <f>'2.1 Building inputs'!AK14</f>
        <v>1</v>
      </c>
      <c r="AL11" s="9">
        <f>'2.1 Building inputs'!AL14</f>
        <v>1</v>
      </c>
      <c r="AM11" s="9">
        <f>'2.1 Building inputs'!AM14</f>
        <v>1</v>
      </c>
      <c r="AN11" s="9">
        <f>'2.1 Building inputs'!AN14</f>
        <v>1</v>
      </c>
    </row>
    <row r="12" spans="1:40">
      <c r="B12" t="s">
        <v>1253</v>
      </c>
      <c r="D12" t="s">
        <v>446</v>
      </c>
      <c r="E12" s="4">
        <f>E11*(E9)</f>
        <v>2262102497.3107972</v>
      </c>
      <c r="F12" s="4">
        <f t="shared" ref="F12:AN12" si="0">F11*(F9)</f>
        <v>2262102497.3107972</v>
      </c>
      <c r="G12" s="4">
        <f t="shared" si="0"/>
        <v>2262102497.3107972</v>
      </c>
      <c r="H12" s="4">
        <f t="shared" si="0"/>
        <v>2262102497.3107972</v>
      </c>
      <c r="I12" s="4">
        <f t="shared" si="0"/>
        <v>2262138881.122355</v>
      </c>
      <c r="J12" s="4">
        <f t="shared" si="0"/>
        <v>2315964289.1228204</v>
      </c>
      <c r="K12" s="4">
        <f t="shared" si="0"/>
        <v>2480476565.596664</v>
      </c>
      <c r="L12" s="4">
        <f t="shared" si="0"/>
        <v>3065369286.0368533</v>
      </c>
      <c r="M12" s="4">
        <f t="shared" si="0"/>
        <v>3962311692.1171966</v>
      </c>
      <c r="N12" s="4">
        <f t="shared" si="0"/>
        <v>4787117983.35849</v>
      </c>
      <c r="O12" s="4">
        <f t="shared" si="0"/>
        <v>5384494670.2540693</v>
      </c>
      <c r="P12" s="4">
        <f t="shared" si="0"/>
        <v>5784476815.0771418</v>
      </c>
      <c r="Q12" s="4">
        <f t="shared" si="0"/>
        <v>6038744276.7914371</v>
      </c>
      <c r="R12" s="4">
        <f t="shared" si="0"/>
        <v>6186184135.3234024</v>
      </c>
      <c r="S12" s="4">
        <f t="shared" si="0"/>
        <v>6249770573.0863314</v>
      </c>
      <c r="T12" s="4">
        <f t="shared" si="0"/>
        <v>6271243751.250906</v>
      </c>
      <c r="U12" s="4">
        <f t="shared" si="0"/>
        <v>6270594768.6438179</v>
      </c>
      <c r="V12" s="4">
        <f t="shared" si="0"/>
        <v>6269999199.5792675</v>
      </c>
      <c r="W12" s="4">
        <f t="shared" si="0"/>
        <v>6269457044.0572615</v>
      </c>
      <c r="X12" s="4">
        <f t="shared" si="0"/>
        <v>6268968302.0777979</v>
      </c>
      <c r="Y12" s="4">
        <f t="shared" si="0"/>
        <v>6268691772.0648499</v>
      </c>
      <c r="Z12" s="4">
        <f t="shared" si="0"/>
        <v>6268507612.0169411</v>
      </c>
      <c r="AA12" s="4">
        <f t="shared" si="0"/>
        <v>6268325063.3239193</v>
      </c>
      <c r="AB12" s="4">
        <f t="shared" si="0"/>
        <v>6268305727.0653019</v>
      </c>
      <c r="AC12" s="4">
        <f t="shared" si="0"/>
        <v>6268288002.1615686</v>
      </c>
      <c r="AD12" s="4">
        <f t="shared" si="0"/>
        <v>6268271888.6127195</v>
      </c>
      <c r="AE12" s="4">
        <f t="shared" si="0"/>
        <v>6268257386.4187574</v>
      </c>
      <c r="AF12" s="4">
        <f t="shared" si="0"/>
        <v>6268244495.5796795</v>
      </c>
      <c r="AG12" s="4">
        <f t="shared" si="0"/>
        <v>6268233216.0954847</v>
      </c>
      <c r="AH12" s="4">
        <f t="shared" si="0"/>
        <v>6268223547.966177</v>
      </c>
      <c r="AI12" s="4">
        <f t="shared" si="0"/>
        <v>6268215491.1917515</v>
      </c>
      <c r="AJ12" s="4">
        <f t="shared" si="0"/>
        <v>6268209045.772212</v>
      </c>
      <c r="AK12" s="4">
        <f t="shared" si="0"/>
        <v>6268204211.7075586</v>
      </c>
      <c r="AL12" s="4">
        <f t="shared" si="0"/>
        <v>6268200988.9977884</v>
      </c>
      <c r="AM12" s="4">
        <f t="shared" si="0"/>
        <v>6268199377.6429043</v>
      </c>
      <c r="AN12" s="4">
        <f t="shared" si="0"/>
        <v>6268199377.6429043</v>
      </c>
    </row>
    <row r="13" spans="1:40">
      <c r="B13" t="s">
        <v>1254</v>
      </c>
      <c r="D13" t="s">
        <v>446</v>
      </c>
      <c r="E13" s="7">
        <f>E9-E12</f>
        <v>7627262696.0794239</v>
      </c>
      <c r="F13" s="7">
        <f t="shared" ref="F13:AN13" si="1">F9-F12</f>
        <v>7627262696.0794239</v>
      </c>
      <c r="G13" s="7">
        <f t="shared" si="1"/>
        <v>7627262696.0794239</v>
      </c>
      <c r="H13" s="7">
        <f t="shared" si="1"/>
        <v>7627262696.0794239</v>
      </c>
      <c r="I13" s="7">
        <f t="shared" si="1"/>
        <v>7627206933.9772739</v>
      </c>
      <c r="J13" s="7">
        <f t="shared" si="1"/>
        <v>7544619807.0589924</v>
      </c>
      <c r="K13" s="7">
        <f t="shared" si="1"/>
        <v>7291004818.4997845</v>
      </c>
      <c r="L13" s="7">
        <f t="shared" si="1"/>
        <v>6373109140.2858505</v>
      </c>
      <c r="M13" s="7">
        <f t="shared" si="1"/>
        <v>4902414597.5984936</v>
      </c>
      <c r="N13" s="7">
        <f t="shared" si="1"/>
        <v>3446368857.0107164</v>
      </c>
      <c r="O13" s="7">
        <f t="shared" si="1"/>
        <v>2280689572.3255405</v>
      </c>
      <c r="P13" s="7">
        <f t="shared" si="1"/>
        <v>1397124546.8421173</v>
      </c>
      <c r="Q13" s="7">
        <f t="shared" si="1"/>
        <v>745211614.92919827</v>
      </c>
      <c r="R13" s="7">
        <f t="shared" si="1"/>
        <v>297334160.7865963</v>
      </c>
      <c r="S13" s="7">
        <f t="shared" si="1"/>
        <v>71633859.649360657</v>
      </c>
      <c r="T13" s="7">
        <f t="shared" si="1"/>
        <v>0</v>
      </c>
      <c r="U13" s="7">
        <f t="shared" si="1"/>
        <v>0</v>
      </c>
      <c r="V13" s="7">
        <f t="shared" si="1"/>
        <v>0</v>
      </c>
      <c r="W13" s="7">
        <f t="shared" si="1"/>
        <v>0</v>
      </c>
      <c r="X13" s="7">
        <f t="shared" si="1"/>
        <v>0</v>
      </c>
      <c r="Y13" s="7">
        <f t="shared" si="1"/>
        <v>0</v>
      </c>
      <c r="Z13" s="7">
        <f t="shared" si="1"/>
        <v>0</v>
      </c>
      <c r="AA13" s="7">
        <f t="shared" si="1"/>
        <v>0</v>
      </c>
      <c r="AB13" s="7">
        <f t="shared" si="1"/>
        <v>0</v>
      </c>
      <c r="AC13" s="7">
        <f t="shared" si="1"/>
        <v>0</v>
      </c>
      <c r="AD13" s="7">
        <f t="shared" si="1"/>
        <v>0</v>
      </c>
      <c r="AE13" s="7">
        <f t="shared" si="1"/>
        <v>0</v>
      </c>
      <c r="AF13" s="7">
        <f t="shared" si="1"/>
        <v>0</v>
      </c>
      <c r="AG13" s="7">
        <f t="shared" si="1"/>
        <v>0</v>
      </c>
      <c r="AH13" s="7">
        <f t="shared" si="1"/>
        <v>0</v>
      </c>
      <c r="AI13" s="7">
        <f t="shared" si="1"/>
        <v>0</v>
      </c>
      <c r="AJ13" s="7">
        <f t="shared" si="1"/>
        <v>0</v>
      </c>
      <c r="AK13" s="7">
        <f t="shared" si="1"/>
        <v>0</v>
      </c>
      <c r="AL13" s="7">
        <f t="shared" si="1"/>
        <v>0</v>
      </c>
      <c r="AM13" s="7">
        <f t="shared" si="1"/>
        <v>0</v>
      </c>
      <c r="AN13" s="7">
        <f t="shared" si="1"/>
        <v>0</v>
      </c>
    </row>
    <row r="15" spans="1:40" ht="15.75" thickBot="1">
      <c r="B15" t="s">
        <v>1255</v>
      </c>
      <c r="D15" t="s">
        <v>446</v>
      </c>
      <c r="E15" s="317">
        <f>'2.2 Energy Systems inputs'!F28*10^9*'DH calcs - old'!B63</f>
        <v>155182380.82264066</v>
      </c>
      <c r="F15" s="317">
        <f>'2.2 Energy Systems inputs'!G28*10^9*'DH calcs - old'!C63</f>
        <v>160750248.79412994</v>
      </c>
      <c r="G15" s="317">
        <f>'2.2 Energy Systems inputs'!H28*10^9*'DH calcs - old'!D63</f>
        <v>166112331.28054965</v>
      </c>
      <c r="H15" s="317">
        <f>'2.2 Energy Systems inputs'!I28*10^9*'DH calcs - old'!E63</f>
        <v>171268628.28189969</v>
      </c>
      <c r="I15" s="317">
        <f>'2.2 Energy Systems inputs'!J28*10^9*'DH calcs - old'!F63</f>
        <v>176219139.79818025</v>
      </c>
      <c r="J15" s="317">
        <f>'2.2 Energy Systems inputs'!K28*10^9*'DH calcs - old'!G63</f>
        <v>217066674.76481944</v>
      </c>
      <c r="K15" s="317">
        <f>'2.2 Energy Systems inputs'!L28*10^9*'DH calcs - old'!H63</f>
        <v>251259697.77227968</v>
      </c>
      <c r="L15" s="317">
        <f>'2.2 Energy Systems inputs'!M28*10^9*'DH calcs - old'!I63</f>
        <v>282563548.15239108</v>
      </c>
      <c r="M15" s="317">
        <f>'2.2 Energy Systems inputs'!N28*10^9*'DH calcs - old'!J63</f>
        <v>311077174.01347613</v>
      </c>
      <c r="N15" s="317">
        <f>'2.2 Energy Systems inputs'!O28*10^9*'DH calcs - old'!K63</f>
        <v>336905136.470052</v>
      </c>
      <c r="O15" s="317">
        <f>'2.2 Energy Systems inputs'!P28*10^9*'DH calcs - old'!L63</f>
        <v>360167406.19834155</v>
      </c>
      <c r="P15" s="317">
        <f>'2.2 Energy Systems inputs'!Q28*10^9*'DH calcs - old'!M63</f>
        <v>390004001.03387702</v>
      </c>
      <c r="Q15" s="317">
        <f>'2.2 Energy Systems inputs'!R28*10^9*'DH calcs - old'!N63</f>
        <v>416199330.79170525</v>
      </c>
      <c r="R15" s="317">
        <f>'2.2 Energy Systems inputs'!S28*10^9*'DH calcs - old'!O63</f>
        <v>439002966.4718951</v>
      </c>
      <c r="S15" s="317">
        <f>'2.2 Energy Systems inputs'!T28*10^9*'DH calcs - old'!P63</f>
        <v>458759951.21048266</v>
      </c>
      <c r="T15" s="317">
        <f>'2.2 Energy Systems inputs'!U28*10^9*'DH calcs - old'!Q63</f>
        <v>475723086.18459642</v>
      </c>
      <c r="U15" s="317">
        <f>'2.2 Energy Systems inputs'!V28*10^9*'DH calcs - old'!R63</f>
        <v>497350277.98687965</v>
      </c>
      <c r="V15" s="317">
        <f>'2.2 Energy Systems inputs'!W28*10^9*'DH calcs - old'!S63</f>
        <v>515810544.84247917</v>
      </c>
      <c r="W15" s="317">
        <f>'2.2 Energy Systems inputs'!X28*10^9*'DH calcs - old'!T63</f>
        <v>531985700.21445829</v>
      </c>
      <c r="X15" s="317">
        <f>'2.2 Energy Systems inputs'!Y28*10^9*'DH calcs - old'!U63</f>
        <v>542647116.9477489</v>
      </c>
      <c r="Y15" s="317">
        <f>'2.2 Energy Systems inputs'!Z28*10^9*'DH calcs - old'!V63</f>
        <v>551082334.25833082</v>
      </c>
      <c r="Z15" s="317">
        <f>'2.2 Energy Systems inputs'!AA28*10^9*'DH calcs - old'!W63</f>
        <v>558271604.71189332</v>
      </c>
      <c r="AA15" s="317">
        <f>'2.2 Energy Systems inputs'!AB28*10^9*'DH calcs - old'!X63</f>
        <v>563362314.36091471</v>
      </c>
      <c r="AB15" s="317">
        <f>'2.2 Energy Systems inputs'!AC28*10^9*'DH calcs - old'!Y63</f>
        <v>566359976.38178241</v>
      </c>
      <c r="AC15" s="317">
        <f>'2.2 Energy Systems inputs'!AD28*10^9*'DH calcs - old'!Z63</f>
        <v>568372991.89639306</v>
      </c>
      <c r="AD15" s="317">
        <f>'2.2 Energy Systems inputs'!AE28*10^9*'DH calcs - old'!AA63</f>
        <v>568526690.70186818</v>
      </c>
      <c r="AE15" s="317">
        <f>'2.2 Energy Systems inputs'!AF28*10^9*'DH calcs - old'!AB63</f>
        <v>574434682.92135751</v>
      </c>
      <c r="AF15" s="317">
        <f>'2.2 Energy Systems inputs'!AG28*10^9*'DH calcs - old'!AC63</f>
        <v>578768252.83133626</v>
      </c>
      <c r="AG15" s="317">
        <f>'2.2 Energy Systems inputs'!AH28*10^9*'DH calcs - old'!AD63</f>
        <v>581529982.48883307</v>
      </c>
      <c r="AH15" s="317">
        <f>'2.2 Energy Systems inputs'!AI28*10^9*'DH calcs - old'!AE63</f>
        <v>582722391.46438169</v>
      </c>
      <c r="AI15" s="317">
        <f>'2.2 Energy Systems inputs'!AJ28*10^9*'DH calcs - old'!AF63</f>
        <v>582347434.28524756</v>
      </c>
      <c r="AJ15" s="317">
        <f>'2.2 Energy Systems inputs'!AK28*10^9*'DH calcs - old'!AG63</f>
        <v>560076281.48932672</v>
      </c>
      <c r="AK15" s="317">
        <f>'2.2 Energy Systems inputs'!AL28*10^9*'DH calcs - old'!AH63</f>
        <v>537852835.65483582</v>
      </c>
      <c r="AL15" s="317">
        <f>'2.2 Energy Systems inputs'!AM28*10^9*'DH calcs - old'!AI63</f>
        <v>515672886.40766263</v>
      </c>
      <c r="AM15" s="317">
        <f>'2.2 Energy Systems inputs'!AN28*10^9*'DH calcs - old'!AJ63</f>
        <v>493532240.69995308</v>
      </c>
      <c r="AN15" s="317">
        <f>'2.2 Energy Systems inputs'!AO28*10^9*'DH calcs - old'!AK63</f>
        <v>471426720.55142564</v>
      </c>
    </row>
    <row r="16" spans="1:40" ht="15.75" thickTop="1">
      <c r="B16" t="s">
        <v>1256</v>
      </c>
      <c r="D16" t="s">
        <v>446</v>
      </c>
      <c r="E16" s="316">
        <f>MIN(E15,E12-E10)</f>
        <v>155182380.82264066</v>
      </c>
      <c r="F16" s="316">
        <f t="shared" ref="F16:AM16" si="2">MIN(F15,F12-F10)</f>
        <v>160750248.79412994</v>
      </c>
      <c r="G16" s="316">
        <f t="shared" si="2"/>
        <v>166112331.28054965</v>
      </c>
      <c r="H16" s="316">
        <f t="shared" si="2"/>
        <v>171268628.28189969</v>
      </c>
      <c r="I16" s="316">
        <f t="shared" si="2"/>
        <v>176219139.79818025</v>
      </c>
      <c r="J16" s="316">
        <f t="shared" si="2"/>
        <v>217066674.76481944</v>
      </c>
      <c r="K16" s="316">
        <f t="shared" si="2"/>
        <v>251259697.77227968</v>
      </c>
      <c r="L16" s="316">
        <f t="shared" si="2"/>
        <v>282563548.15239108</v>
      </c>
      <c r="M16" s="316">
        <f t="shared" si="2"/>
        <v>311077174.01347613</v>
      </c>
      <c r="N16" s="316">
        <f t="shared" si="2"/>
        <v>336905136.470052</v>
      </c>
      <c r="O16" s="316">
        <f t="shared" si="2"/>
        <v>360167406.19834155</v>
      </c>
      <c r="P16" s="316">
        <f t="shared" si="2"/>
        <v>390004001.03387702</v>
      </c>
      <c r="Q16" s="316">
        <f t="shared" si="2"/>
        <v>416199330.79170525</v>
      </c>
      <c r="R16" s="316">
        <f t="shared" si="2"/>
        <v>439002966.4718951</v>
      </c>
      <c r="S16" s="316">
        <f t="shared" si="2"/>
        <v>458759951.21048266</v>
      </c>
      <c r="T16" s="316">
        <f t="shared" si="2"/>
        <v>475723086.18459642</v>
      </c>
      <c r="U16" s="316">
        <f t="shared" si="2"/>
        <v>497350277.98687965</v>
      </c>
      <c r="V16" s="316">
        <f t="shared" si="2"/>
        <v>515810544.84247917</v>
      </c>
      <c r="W16" s="316">
        <f t="shared" si="2"/>
        <v>531985700.21445829</v>
      </c>
      <c r="X16" s="316">
        <f t="shared" si="2"/>
        <v>542647116.9477489</v>
      </c>
      <c r="Y16" s="316">
        <f t="shared" si="2"/>
        <v>551082334.25833082</v>
      </c>
      <c r="Z16" s="316">
        <f t="shared" si="2"/>
        <v>558271604.71189332</v>
      </c>
      <c r="AA16" s="316">
        <f t="shared" si="2"/>
        <v>563362314.36091471</v>
      </c>
      <c r="AB16" s="316">
        <f t="shared" si="2"/>
        <v>566359976.38178241</v>
      </c>
      <c r="AC16" s="316">
        <f t="shared" si="2"/>
        <v>568372991.89639306</v>
      </c>
      <c r="AD16" s="316">
        <f t="shared" si="2"/>
        <v>568526690.70186818</v>
      </c>
      <c r="AE16" s="316">
        <f t="shared" si="2"/>
        <v>574434682.92135751</v>
      </c>
      <c r="AF16" s="316">
        <f t="shared" si="2"/>
        <v>578768252.83133626</v>
      </c>
      <c r="AG16" s="316">
        <f t="shared" si="2"/>
        <v>581529982.48883307</v>
      </c>
      <c r="AH16" s="316">
        <f t="shared" si="2"/>
        <v>582722391.46438169</v>
      </c>
      <c r="AI16" s="316">
        <f t="shared" si="2"/>
        <v>582347434.28524756</v>
      </c>
      <c r="AJ16" s="316">
        <f t="shared" si="2"/>
        <v>560076281.48932672</v>
      </c>
      <c r="AK16" s="316">
        <f t="shared" si="2"/>
        <v>537852835.65483582</v>
      </c>
      <c r="AL16" s="316">
        <f t="shared" si="2"/>
        <v>515672886.40766263</v>
      </c>
      <c r="AM16" s="316">
        <f t="shared" si="2"/>
        <v>493532240.69995308</v>
      </c>
      <c r="AN16" s="316">
        <f>MIN(AN15,AN12-AN10)</f>
        <v>471426720.55142564</v>
      </c>
    </row>
    <row r="17" spans="1:41" ht="15.75" thickBot="1">
      <c r="B17" t="s">
        <v>1257</v>
      </c>
      <c r="D17" t="s">
        <v>446</v>
      </c>
      <c r="E17" s="413">
        <f>E9*'2.2 Energy Systems inputs'!F$13</f>
        <v>0</v>
      </c>
      <c r="F17" s="413">
        <f>F9*'2.2 Energy Systems inputs'!G$13</f>
        <v>0</v>
      </c>
      <c r="G17" s="413">
        <f>G9*'2.2 Energy Systems inputs'!H$13</f>
        <v>0</v>
      </c>
      <c r="H17" s="413">
        <f>H9*'2.2 Energy Systems inputs'!I$13</f>
        <v>0</v>
      </c>
      <c r="I17" s="413">
        <f>I9*'2.2 Energy Systems inputs'!J$13</f>
        <v>0</v>
      </c>
      <c r="J17" s="413">
        <f>J9*'2.2 Energy Systems inputs'!K$13</f>
        <v>0</v>
      </c>
      <c r="K17" s="413">
        <f>K9*'2.2 Energy Systems inputs'!L$13</f>
        <v>21195396.549248151</v>
      </c>
      <c r="L17" s="413">
        <f>L9*'2.2 Energy Systems inputs'!M$13</f>
        <v>85949181.021823555</v>
      </c>
      <c r="M17" s="413">
        <f>M9*'2.2 Energy Systems inputs'!N$13</f>
        <v>196401127.99960607</v>
      </c>
      <c r="N17" s="413">
        <f>N9*'2.2 Energy Systems inputs'!O$13</f>
        <v>373073884.33236277</v>
      </c>
      <c r="O17" s="413">
        <f>O9*'2.2 Energy Systems inputs'!P$13</f>
        <v>589583883.3832649</v>
      </c>
      <c r="P17" s="413">
        <f>P9*'2.2 Energy Systems inputs'!Q$13</f>
        <v>863179070.98401809</v>
      </c>
      <c r="Q17" s="413">
        <f>Q9*'2.2 Energy Systems inputs'!R$13</f>
        <v>1190285798.6737711</v>
      </c>
      <c r="R17" s="413">
        <f>R9*'2.2 Energy Systems inputs'!S$13</f>
        <v>1507849122.5260067</v>
      </c>
      <c r="S17" s="413">
        <f>S9*'2.2 Energy Systems inputs'!T$13</f>
        <v>1825946486.2168312</v>
      </c>
      <c r="T17" s="413">
        <f>T9*'2.2 Energy Systems inputs'!U$13</f>
        <v>2152010915.4849329</v>
      </c>
      <c r="U17" s="413">
        <f>U9*'2.2 Energy Systems inputs'!V$13</f>
        <v>2482832554.1814198</v>
      </c>
      <c r="V17" s="413">
        <f>V9*'2.2 Energy Systems inputs'!W$13</f>
        <v>2813609638.108305</v>
      </c>
      <c r="W17" s="413">
        <f>W9*'2.2 Energy Systems inputs'!X$13</f>
        <v>3144350626.8702798</v>
      </c>
      <c r="X17" s="413">
        <f>X9*'2.2 Energy Systems inputs'!Y$13</f>
        <v>3475063980.072032</v>
      </c>
      <c r="Y17" s="413">
        <f>Y9*'2.2 Energy Systems inputs'!Z$13</f>
        <v>3805854567.180006</v>
      </c>
      <c r="Z17" s="413">
        <f>Z9*'2.2 Energy Systems inputs'!AA$13</f>
        <v>4136676912.7643027</v>
      </c>
      <c r="AA17" s="413">
        <f>AA9*'2.2 Energy Systems inputs'!AB$13</f>
        <v>4384749833.0753946</v>
      </c>
      <c r="AB17" s="413">
        <f>AB9*'2.2 Energy Systems inputs'!AC$13</f>
        <v>4550198054.6294231</v>
      </c>
      <c r="AC17" s="413">
        <f>AC9*'2.2 Energy Systems inputs'!AD$13</f>
        <v>4550185188.0230389</v>
      </c>
      <c r="AD17" s="413">
        <f>AD9*'2.2 Energy Systems inputs'!AE$13</f>
        <v>4550173491.1081438</v>
      </c>
      <c r="AE17" s="413">
        <f>AE9*'2.2 Energy Systems inputs'!AF$13</f>
        <v>4550162963.8847399</v>
      </c>
      <c r="AF17" s="413">
        <f>AF9*'2.2 Energy Systems inputs'!AG$13</f>
        <v>4550153606.3528242</v>
      </c>
      <c r="AG17" s="413">
        <f>AG9*'2.2 Energy Systems inputs'!AH$13</f>
        <v>4550145418.5123978</v>
      </c>
      <c r="AH17" s="413">
        <f>AH9*'2.2 Energy Systems inputs'!AI$13</f>
        <v>4550138400.3634615</v>
      </c>
      <c r="AI17" s="413">
        <f>AI9*'2.2 Energy Systems inputs'!AJ$13</f>
        <v>4550132551.9060135</v>
      </c>
      <c r="AJ17" s="413">
        <f>AJ9*'2.2 Energy Systems inputs'!AK$13</f>
        <v>4550127873.1400557</v>
      </c>
      <c r="AK17" s="413">
        <f>AK9*'2.2 Energy Systems inputs'!AL$13</f>
        <v>4550124364.065588</v>
      </c>
      <c r="AL17" s="413">
        <f>AL9*'2.2 Energy Systems inputs'!AM$13</f>
        <v>4550122024.6826086</v>
      </c>
      <c r="AM17" s="413">
        <f>AM9*'2.2 Energy Systems inputs'!AN$13</f>
        <v>4550120854.9911194</v>
      </c>
      <c r="AN17" s="413">
        <f>AN9*'2.2 Energy Systems inputs'!AO$13</f>
        <v>4550120854.9911194</v>
      </c>
    </row>
    <row r="18" spans="1:41" ht="15.75" thickTop="1">
      <c r="B18" t="s">
        <v>1258</v>
      </c>
      <c r="D18" t="s">
        <v>446</v>
      </c>
      <c r="E18" s="316">
        <f>IF(E17+E15&gt;E12,E12-E10-E15,E17)</f>
        <v>0</v>
      </c>
      <c r="F18" s="316">
        <f t="shared" ref="F18:AN18" si="3">IF(F17+F15&gt;F12,F12-F10-F15,F17)</f>
        <v>0</v>
      </c>
      <c r="G18" s="316">
        <f t="shared" si="3"/>
        <v>0</v>
      </c>
      <c r="H18" s="316">
        <f t="shared" si="3"/>
        <v>0</v>
      </c>
      <c r="I18" s="316">
        <f t="shared" si="3"/>
        <v>0</v>
      </c>
      <c r="J18" s="316">
        <f t="shared" si="3"/>
        <v>0</v>
      </c>
      <c r="K18" s="316">
        <f t="shared" si="3"/>
        <v>21195396.549248151</v>
      </c>
      <c r="L18" s="316">
        <f t="shared" si="3"/>
        <v>85949181.021823555</v>
      </c>
      <c r="M18" s="316">
        <f t="shared" si="3"/>
        <v>196401127.99960607</v>
      </c>
      <c r="N18" s="316">
        <f t="shared" si="3"/>
        <v>373073884.33236277</v>
      </c>
      <c r="O18" s="316">
        <f t="shared" si="3"/>
        <v>589583883.3832649</v>
      </c>
      <c r="P18" s="316">
        <f t="shared" si="3"/>
        <v>863179070.98401809</v>
      </c>
      <c r="Q18" s="316">
        <f t="shared" si="3"/>
        <v>1190285798.6737711</v>
      </c>
      <c r="R18" s="316">
        <f t="shared" si="3"/>
        <v>1507849122.5260067</v>
      </c>
      <c r="S18" s="316">
        <f t="shared" si="3"/>
        <v>1825946486.2168312</v>
      </c>
      <c r="T18" s="316">
        <f t="shared" si="3"/>
        <v>2152010915.4849329</v>
      </c>
      <c r="U18" s="316">
        <f t="shared" si="3"/>
        <v>2482832554.1814198</v>
      </c>
      <c r="V18" s="316">
        <f t="shared" si="3"/>
        <v>2813609638.108305</v>
      </c>
      <c r="W18" s="316">
        <f t="shared" si="3"/>
        <v>3144350626.8702798</v>
      </c>
      <c r="X18" s="316">
        <f t="shared" si="3"/>
        <v>3475063980.072032</v>
      </c>
      <c r="Y18" s="316">
        <f t="shared" si="3"/>
        <v>3805854567.180006</v>
      </c>
      <c r="Z18" s="316">
        <f t="shared" si="3"/>
        <v>4136676912.7643027</v>
      </c>
      <c r="AA18" s="316">
        <f t="shared" si="3"/>
        <v>4384749833.0753946</v>
      </c>
      <c r="AB18" s="316">
        <f t="shared" si="3"/>
        <v>4550198054.6294231</v>
      </c>
      <c r="AC18" s="316">
        <f t="shared" si="3"/>
        <v>4550185188.0230389</v>
      </c>
      <c r="AD18" s="316">
        <f t="shared" si="3"/>
        <v>4550173491.1081438</v>
      </c>
      <c r="AE18" s="316">
        <f t="shared" si="3"/>
        <v>4550162963.8847399</v>
      </c>
      <c r="AF18" s="316">
        <f t="shared" si="3"/>
        <v>4550153606.3528242</v>
      </c>
      <c r="AG18" s="316">
        <f t="shared" si="3"/>
        <v>4550145418.5123978</v>
      </c>
      <c r="AH18" s="316">
        <f t="shared" si="3"/>
        <v>4550138400.3634615</v>
      </c>
      <c r="AI18" s="316">
        <f t="shared" si="3"/>
        <v>4550132551.9060135</v>
      </c>
      <c r="AJ18" s="316">
        <f t="shared" si="3"/>
        <v>4550127873.1400557</v>
      </c>
      <c r="AK18" s="316">
        <f t="shared" si="3"/>
        <v>4550124364.065588</v>
      </c>
      <c r="AL18" s="316">
        <f t="shared" si="3"/>
        <v>4550122024.6826086</v>
      </c>
      <c r="AM18" s="316">
        <f t="shared" si="3"/>
        <v>4550120854.9911194</v>
      </c>
      <c r="AN18" s="316">
        <f t="shared" si="3"/>
        <v>4550120854.9911194</v>
      </c>
    </row>
    <row r="19" spans="1:41">
      <c r="B19" t="s">
        <v>1259</v>
      </c>
      <c r="D19" t="s">
        <v>452</v>
      </c>
      <c r="E19" s="315">
        <f>IF(E18=E17,'2.2 Energy Systems inputs'!F13,E18/E9)</f>
        <v>0</v>
      </c>
      <c r="F19" s="315">
        <f>IF(F18=F17,'2.2 Energy Systems inputs'!G13,F18/F9)</f>
        <v>0</v>
      </c>
      <c r="G19" s="315">
        <f>IF(G18=G17,'2.2 Energy Systems inputs'!H13,G18/G9)</f>
        <v>0</v>
      </c>
      <c r="H19" s="315">
        <f>IF(H18=H17,'2.2 Energy Systems inputs'!I13,H18/H9)</f>
        <v>0</v>
      </c>
      <c r="I19" s="315">
        <f>IF(I18=I17,'2.2 Energy Systems inputs'!J13,I18/I9)</f>
        <v>0</v>
      </c>
      <c r="J19" s="315">
        <f>IF(J18=J17,'2.2 Energy Systems inputs'!K13,J18/J9)</f>
        <v>0</v>
      </c>
      <c r="K19" s="315">
        <f>IF(K18=K17,'2.2 Energy Systems inputs'!L13,K18/K9)</f>
        <v>2.1691078062886829E-3</v>
      </c>
      <c r="L19" s="315">
        <f>IF(L18=L17,'2.2 Energy Systems inputs'!M13,L18/L9)</f>
        <v>9.1062539044558626E-3</v>
      </c>
      <c r="M19" s="315">
        <f>IF(M18=M17,'2.2 Energy Systems inputs'!N13,M18/M9)</f>
        <v>2.2155351624049417E-2</v>
      </c>
      <c r="N19" s="315">
        <f>IF(N18=N17,'2.2 Energy Systems inputs'!O13,N18/N9)</f>
        <v>4.5311772711308949E-2</v>
      </c>
      <c r="O19" s="315">
        <f>IF(O18=O17,'2.2 Energy Systems inputs'!P13,O18/O9)</f>
        <v>7.6917118326806033E-2</v>
      </c>
      <c r="P19" s="315">
        <f>IF(P18=P17,'2.2 Energy Systems inputs'!Q13,P18/P9)</f>
        <v>0.12019311954031049</v>
      </c>
      <c r="Q19" s="315">
        <f>IF(Q18=Q17,'2.2 Energy Systems inputs'!R13,Q18/Q9)</f>
        <v>0.17545600497291489</v>
      </c>
      <c r="R19" s="315">
        <f>IF(R18=R17,'2.2 Energy Systems inputs'!S13,R18/R9)</f>
        <v>0.23256649455754458</v>
      </c>
      <c r="S19" s="315">
        <f>IF(S18=S17,'2.2 Energy Systems inputs'!T13,S18/S9)</f>
        <v>0.2888513945984979</v>
      </c>
      <c r="T19" s="315">
        <f>IF(T18=T17,'2.2 Energy Systems inputs'!U13,T18/T9)</f>
        <v>0.34315536133572833</v>
      </c>
      <c r="U19" s="315">
        <f>IF(U18=U17,'2.2 Energy Systems inputs'!V13,U18/U9)</f>
        <v>0.39594849384891728</v>
      </c>
      <c r="V19" s="315">
        <f>IF(V18=V17,'2.2 Energy Systems inputs'!W13,V18/V9)</f>
        <v>0.44874162636210629</v>
      </c>
      <c r="W19" s="315">
        <f>IF(W18=W17,'2.2 Energy Systems inputs'!X13,W18/W9)</f>
        <v>0.50153475887529519</v>
      </c>
      <c r="X19" s="315">
        <f>IF(X18=X17,'2.2 Energy Systems inputs'!Y13,X18/X9)</f>
        <v>0.55432789138848426</v>
      </c>
      <c r="Y19" s="315">
        <f>IF(Y18=Y17,'2.2 Energy Systems inputs'!Z13,Y18/Y9)</f>
        <v>0.60712102390167322</v>
      </c>
      <c r="Z19" s="315">
        <f>IF(Z18=Z17,'2.2 Energy Systems inputs'!AA13,Z18/Z9)</f>
        <v>0.65991415641486229</v>
      </c>
      <c r="AA19" s="315">
        <f>IF(AA18=AA17,'2.2 Energy Systems inputs'!AB13,AA18/AA9)</f>
        <v>0.69950900579975395</v>
      </c>
      <c r="AB19" s="315">
        <f>IF(AB18=AB17,'2.2 Energy Systems inputs'!AC13,AB18/AB9)</f>
        <v>0.72590557205634842</v>
      </c>
      <c r="AC19" s="315">
        <f>IF(AC18=AC17,'2.2 Energy Systems inputs'!AD13,AC18/AC9)</f>
        <v>0.72590557205634842</v>
      </c>
      <c r="AD19" s="315">
        <f>IF(AD18=AD17,'2.2 Energy Systems inputs'!AE13,AD18/AD9)</f>
        <v>0.72590557205634842</v>
      </c>
      <c r="AE19" s="315">
        <f>IF(AE18=AE17,'2.2 Energy Systems inputs'!AF13,AE18/AE9)</f>
        <v>0.72590557205634842</v>
      </c>
      <c r="AF19" s="315">
        <f>IF(AF18=AF17,'2.2 Energy Systems inputs'!AG13,AF18/AF9)</f>
        <v>0.72590557205634842</v>
      </c>
      <c r="AG19" s="315">
        <f>IF(AG18=AG17,'2.2 Energy Systems inputs'!AH13,AG18/AG9)</f>
        <v>0.72590557205634842</v>
      </c>
      <c r="AH19" s="315">
        <f>IF(AH18=AH17,'2.2 Energy Systems inputs'!AI13,AH18/AH9)</f>
        <v>0.72590557205634842</v>
      </c>
      <c r="AI19" s="315">
        <f>IF(AI18=AI17,'2.2 Energy Systems inputs'!AJ13,AI18/AI9)</f>
        <v>0.72590557205634842</v>
      </c>
      <c r="AJ19" s="315">
        <f>IF(AJ18=AJ17,'2.2 Energy Systems inputs'!AK13,AJ18/AJ9)</f>
        <v>0.72590557205634842</v>
      </c>
      <c r="AK19" s="315">
        <f>IF(AK18=AK17,'2.2 Energy Systems inputs'!AL13,AK18/AK9)</f>
        <v>0.72590557205634842</v>
      </c>
      <c r="AL19" s="315">
        <f>IF(AL18=AL17,'2.2 Energy Systems inputs'!AM13,AL18/AL9)</f>
        <v>0.72590557205634842</v>
      </c>
      <c r="AM19" s="315">
        <f>IF(AM18=AM17,'2.2 Energy Systems inputs'!AN13,AM18/AM9)</f>
        <v>0.72590557205634842</v>
      </c>
      <c r="AN19" s="315">
        <f>IF(AN18=AN17,'2.2 Energy Systems inputs'!AO13,AN18/AN9)</f>
        <v>0.72590557205634842</v>
      </c>
      <c r="AO19" s="319"/>
    </row>
    <row r="20" spans="1:41">
      <c r="B20" t="s">
        <v>220</v>
      </c>
      <c r="D20" t="s">
        <v>452</v>
      </c>
      <c r="E20" s="643">
        <f>MIN('2.2 Energy Systems inputs'!F13-E19,1-SUM(E19,E21,E22))</f>
        <v>0</v>
      </c>
      <c r="F20" s="643">
        <f>MIN('2.2 Energy Systems inputs'!G13-F19,1-SUM(F19,F21,F22))</f>
        <v>0</v>
      </c>
      <c r="G20" s="643">
        <f>MIN('2.2 Energy Systems inputs'!H13-G19,1-SUM(G19,G21,G22))</f>
        <v>0</v>
      </c>
      <c r="H20" s="643">
        <f>MIN('2.2 Energy Systems inputs'!I13-H19,1-SUM(H19,H21,H22))</f>
        <v>0</v>
      </c>
      <c r="I20" s="643">
        <f>MIN('2.2 Energy Systems inputs'!J13-I19,1-SUM(I19,I21,I22))</f>
        <v>0</v>
      </c>
      <c r="J20" s="643">
        <f>MIN('2.2 Energy Systems inputs'!K13-J19,1-SUM(J19,J21,J22))</f>
        <v>0</v>
      </c>
      <c r="K20" s="643">
        <f>MIN('2.2 Energy Systems inputs'!L13-K19,1-SUM(K19,K21,K22))</f>
        <v>0</v>
      </c>
      <c r="L20" s="643">
        <f>MIN('2.2 Energy Systems inputs'!M13-L19,1-SUM(L19,L21,L22))</f>
        <v>0</v>
      </c>
      <c r="M20" s="643">
        <f>MIN('2.2 Energy Systems inputs'!N13-M19,1-SUM(M19,M21,M22))</f>
        <v>0</v>
      </c>
      <c r="N20" s="643">
        <f>MIN('2.2 Energy Systems inputs'!O13-N19,1-SUM(N19,N21,N22))</f>
        <v>0</v>
      </c>
      <c r="O20" s="643">
        <f>MIN('2.2 Energy Systems inputs'!P13-O19,1-SUM(O19,O21,O22))</f>
        <v>0</v>
      </c>
      <c r="P20" s="643">
        <f>MIN('2.2 Energy Systems inputs'!Q13-P19,1-SUM(P19,P21,P22))</f>
        <v>0</v>
      </c>
      <c r="Q20" s="643">
        <f>MIN('2.2 Energy Systems inputs'!R13-Q19,1-SUM(Q19,Q21,Q22))</f>
        <v>0</v>
      </c>
      <c r="R20" s="643">
        <f>MIN('2.2 Energy Systems inputs'!S13-R19,1-SUM(R19,R21,R22))</f>
        <v>0</v>
      </c>
      <c r="S20" s="643">
        <f>MIN('2.2 Energy Systems inputs'!T13-S19,1-SUM(S19,S21,S22))</f>
        <v>0</v>
      </c>
      <c r="T20" s="643">
        <f>MIN('2.2 Energy Systems inputs'!U13-T19,1-SUM(T19,T21,T22))</f>
        <v>0</v>
      </c>
      <c r="U20" s="643">
        <f>MIN('2.2 Energy Systems inputs'!V13-U19,1-SUM(U19,U21,U22))</f>
        <v>0</v>
      </c>
      <c r="V20" s="643">
        <f>MIN('2.2 Energy Systems inputs'!W13-V19,1-SUM(V19,V21,V22))</f>
        <v>0</v>
      </c>
      <c r="W20" s="643">
        <f>MIN('2.2 Energy Systems inputs'!X13-W19,1-SUM(W19,W21,W22))</f>
        <v>0</v>
      </c>
      <c r="X20" s="643">
        <f>MIN('2.2 Energy Systems inputs'!Y13-X19,1-SUM(X19,X21,X22))</f>
        <v>0</v>
      </c>
      <c r="Y20" s="643">
        <f>MIN('2.2 Energy Systems inputs'!Z13-Y19,1-SUM(Y19,Y21,Y22))</f>
        <v>0</v>
      </c>
      <c r="Z20" s="643">
        <f>MIN('2.2 Energy Systems inputs'!AA13-Z19,1-SUM(Z19,Z21,Z22))</f>
        <v>0</v>
      </c>
      <c r="AA20" s="643">
        <f>MIN('2.2 Energy Systems inputs'!AB13-AA19,1-SUM(AA19,AA21,AA22))</f>
        <v>0</v>
      </c>
      <c r="AB20" s="643">
        <f>MIN('2.2 Energy Systems inputs'!AC13-AB19,1-SUM(AB19,AB21,AB22))</f>
        <v>0</v>
      </c>
      <c r="AC20" s="643">
        <f>MIN('2.2 Energy Systems inputs'!AD13-AC19,1-SUM(AC19,AC21,AC22))</f>
        <v>0</v>
      </c>
      <c r="AD20" s="643">
        <f>MIN('2.2 Energy Systems inputs'!AE13-AD19,1-SUM(AD19,AD21,AD22))</f>
        <v>0</v>
      </c>
      <c r="AE20" s="643">
        <f>MIN('2.2 Energy Systems inputs'!AF13-AE19,1-SUM(AE19,AE21,AE22))</f>
        <v>0</v>
      </c>
      <c r="AF20" s="643">
        <f>MIN('2.2 Energy Systems inputs'!AG13-AF19,1-SUM(AF19,AF21,AF22))</f>
        <v>0</v>
      </c>
      <c r="AG20" s="643">
        <f>MIN('2.2 Energy Systems inputs'!AH13-AG19,1-SUM(AG19,AG21,AG22))</f>
        <v>0</v>
      </c>
      <c r="AH20" s="643">
        <f>MIN('2.2 Energy Systems inputs'!AI13-AH19,1-SUM(AH19,AH21,AH22))</f>
        <v>0</v>
      </c>
      <c r="AI20" s="643">
        <f>MIN('2.2 Energy Systems inputs'!AJ13-AI19,1-SUM(AI19,AI21,AI22))</f>
        <v>0</v>
      </c>
      <c r="AJ20" s="643">
        <f>MIN('2.2 Energy Systems inputs'!AK13-AJ19,1-SUM(AJ19,AJ21,AJ22))</f>
        <v>0</v>
      </c>
      <c r="AK20" s="643">
        <f>MIN('2.2 Energy Systems inputs'!AL13-AK19,1-SUM(AK19,AK21,AK22))</f>
        <v>0</v>
      </c>
      <c r="AL20" s="643">
        <f>MIN('2.2 Energy Systems inputs'!AM13-AL19,1-SUM(AL19,AL21,AL22))</f>
        <v>0</v>
      </c>
      <c r="AM20" s="643">
        <f>MIN('2.2 Energy Systems inputs'!AN13-AM19,1-SUM(AM19,AM21,AM22))</f>
        <v>0</v>
      </c>
      <c r="AN20" s="643">
        <f>MIN('2.2 Energy Systems inputs'!AO13-AN19,1-SUM(AN19,AN21,AN22))</f>
        <v>0</v>
      </c>
    </row>
    <row r="21" spans="1:41">
      <c r="B21" t="s">
        <v>96</v>
      </c>
      <c r="D21" t="s">
        <v>452</v>
      </c>
      <c r="E21" s="315">
        <f>E16/E9</f>
        <v>1.5691844500429642E-2</v>
      </c>
      <c r="F21" s="315">
        <f t="shared" ref="F21:AM21" si="4">F16/F9</f>
        <v>1.6254860211004338E-2</v>
      </c>
      <c r="G21" s="315">
        <f t="shared" si="4"/>
        <v>1.6797067155693124E-2</v>
      </c>
      <c r="H21" s="315">
        <f t="shared" si="4"/>
        <v>1.7318465334495981E-2</v>
      </c>
      <c r="I21" s="315">
        <f t="shared" si="4"/>
        <v>1.7819089664062371E-2</v>
      </c>
      <c r="J21" s="315">
        <f t="shared" si="4"/>
        <v>2.2013571675624306E-2</v>
      </c>
      <c r="K21" s="315">
        <f t="shared" si="4"/>
        <v>2.5713572783469332E-2</v>
      </c>
      <c r="L21" s="315">
        <f t="shared" si="4"/>
        <v>2.9937404673655622E-2</v>
      </c>
      <c r="M21" s="315">
        <f t="shared" si="4"/>
        <v>3.5091571228134673E-2</v>
      </c>
      <c r="N21" s="315">
        <f t="shared" si="4"/>
        <v>4.0918889287365943E-2</v>
      </c>
      <c r="O21" s="315">
        <f t="shared" si="4"/>
        <v>4.6987442806349596E-2</v>
      </c>
      <c r="P21" s="315">
        <f t="shared" si="4"/>
        <v>5.4305994078408401E-2</v>
      </c>
      <c r="Q21" s="315">
        <f t="shared" si="4"/>
        <v>6.1350536093497998E-2</v>
      </c>
      <c r="R21" s="315">
        <f t="shared" si="4"/>
        <v>6.7710608102284436E-2</v>
      </c>
      <c r="S21" s="315">
        <f t="shared" si="4"/>
        <v>7.2572472793351508E-2</v>
      </c>
      <c r="T21" s="315">
        <f t="shared" si="4"/>
        <v>7.5857852932236194E-2</v>
      </c>
      <c r="U21" s="315">
        <f t="shared" si="4"/>
        <v>7.9314689648561809E-2</v>
      </c>
      <c r="V21" s="315">
        <f t="shared" si="4"/>
        <v>8.2266445086163861E-2</v>
      </c>
      <c r="W21" s="315">
        <f t="shared" si="4"/>
        <v>8.4853552145910421E-2</v>
      </c>
      <c r="X21" s="315">
        <f t="shared" si="4"/>
        <v>8.6560832787732064E-2</v>
      </c>
      <c r="Y21" s="315">
        <f t="shared" si="4"/>
        <v>8.791026170948732E-2</v>
      </c>
      <c r="Z21" s="315">
        <f t="shared" si="4"/>
        <v>8.9059731480850043E-2</v>
      </c>
      <c r="AA21" s="315">
        <f t="shared" si="4"/>
        <v>8.9874457477828892E-2</v>
      </c>
      <c r="AB21" s="315">
        <f t="shared" si="4"/>
        <v>9.0352959961150628E-2</v>
      </c>
      <c r="AC21" s="315">
        <f t="shared" si="4"/>
        <v>9.0674358245886946E-2</v>
      </c>
      <c r="AD21" s="315">
        <f t="shared" si="4"/>
        <v>9.0699111462392748E-2</v>
      </c>
      <c r="AE21" s="315">
        <f t="shared" si="4"/>
        <v>9.1641846770039739E-2</v>
      </c>
      <c r="AF21" s="315">
        <f t="shared" si="4"/>
        <v>9.2333388277926851E-2</v>
      </c>
      <c r="AG21" s="315">
        <f t="shared" si="4"/>
        <v>9.2774145830373411E-2</v>
      </c>
      <c r="AH21" s="315">
        <f t="shared" si="4"/>
        <v>9.2964519692896888E-2</v>
      </c>
      <c r="AI21" s="315">
        <f t="shared" si="4"/>
        <v>9.2904820375683692E-2</v>
      </c>
      <c r="AJ21" s="315">
        <f t="shared" si="4"/>
        <v>8.9351883033812904E-2</v>
      </c>
      <c r="AK21" s="315">
        <f t="shared" si="4"/>
        <v>8.580652727463009E-2</v>
      </c>
      <c r="AL21" s="315">
        <f t="shared" si="4"/>
        <v>8.2268084146119996E-2</v>
      </c>
      <c r="AM21" s="315">
        <f t="shared" si="4"/>
        <v>7.8735887448037931E-2</v>
      </c>
      <c r="AN21" s="315">
        <f>AN16/AN9</f>
        <v>7.5209273373289073E-2</v>
      </c>
    </row>
    <row r="22" spans="1:41">
      <c r="A22" t="s">
        <v>1260</v>
      </c>
      <c r="B22" t="s">
        <v>219</v>
      </c>
      <c r="D22" t="s">
        <v>452</v>
      </c>
      <c r="E22" s="5">
        <f>'2.1 Building inputs'!E18</f>
        <v>0</v>
      </c>
      <c r="F22" s="508">
        <f>'2.1 Building inputs'!F18</f>
        <v>0</v>
      </c>
      <c r="G22" s="508">
        <f>'2.1 Building inputs'!G18</f>
        <v>0</v>
      </c>
      <c r="H22" s="508">
        <f>'2.1 Building inputs'!H18</f>
        <v>0</v>
      </c>
      <c r="I22" s="508">
        <f>'2.1 Building inputs'!I18</f>
        <v>0</v>
      </c>
      <c r="J22" s="508">
        <f>'2.1 Building inputs'!J18</f>
        <v>0</v>
      </c>
      <c r="K22" s="5">
        <f>'2.1 Building inputs'!K18</f>
        <v>5.7352509739877284E-5</v>
      </c>
      <c r="L22" s="5">
        <f>'2.1 Building inputs'!L18</f>
        <v>1.1545629025043539E-4</v>
      </c>
      <c r="M22" s="5">
        <f>'2.1 Building inputs'!M18</f>
        <v>1.7662697649127435E-4</v>
      </c>
      <c r="N22" s="5">
        <f>'2.1 Building inputs'!N18</f>
        <v>2.40848073040915E-4</v>
      </c>
      <c r="O22" s="5">
        <f>'2.1 Building inputs'!O18</f>
        <v>3.0997338376527629E-4</v>
      </c>
      <c r="P22" s="5">
        <f>'2.1 Building inputs'!P18</f>
        <v>3.8442585195120536E-4</v>
      </c>
      <c r="Q22" s="5">
        <f>'2.1 Building inputs'!Q18</f>
        <v>3.9894335146046302E-4</v>
      </c>
      <c r="R22" s="5">
        <f>'2.1 Building inputs'!R18</f>
        <v>4.1023625547957182E-4</v>
      </c>
      <c r="S22" s="5">
        <f>'2.1 Building inputs'!S18</f>
        <v>4.235315867406566E-4</v>
      </c>
      <c r="T22" s="613">
        <f>'2.1 Building inputs'!T18</f>
        <v>4.3790464924571028E-4</v>
      </c>
      <c r="U22" s="5">
        <f>'2.1 Building inputs'!U18</f>
        <v>4.900571014706508E-4</v>
      </c>
      <c r="V22" s="5">
        <f>'2.1 Building inputs'!V18</f>
        <v>5.8512918453132977E-4</v>
      </c>
      <c r="W22" s="5">
        <f>'2.1 Building inputs'!W18</f>
        <v>7.2562355589723157E-4</v>
      </c>
      <c r="X22" s="5">
        <f>'2.1 Building inputs'!X18</f>
        <v>9.1355042094467664E-4</v>
      </c>
      <c r="Y22" s="5">
        <f>'2.1 Building inputs'!Y18</f>
        <v>1.1402110315830438E-3</v>
      </c>
      <c r="Z22" s="5">
        <f>'2.1 Building inputs'!Z18</f>
        <v>1.4086862231208301E-3</v>
      </c>
      <c r="AA22" s="5">
        <f>'2.1 Building inputs'!AA18</f>
        <v>1.7237177312228258E-3</v>
      </c>
      <c r="AB22" s="5">
        <f>'2.1 Building inputs'!AB18</f>
        <v>2.0763130874973165E-3</v>
      </c>
      <c r="AC22" s="5">
        <f>'2.1 Building inputs'!AC18</f>
        <v>2.4729828633061192E-3</v>
      </c>
      <c r="AD22" s="5">
        <f>'2.1 Building inputs'!AD18</f>
        <v>2.9137270586492327E-3</v>
      </c>
      <c r="AE22" s="5">
        <f>'2.1 Building inputs'!AE18</f>
        <v>3.3191520515210926E-3</v>
      </c>
      <c r="AF22" s="5">
        <f>'2.1 Building inputs'!AF18</f>
        <v>3.6795298229627465E-3</v>
      </c>
      <c r="AG22" s="5">
        <f>'2.1 Building inputs'!AG18</f>
        <v>3.9948603729741926E-3</v>
      </c>
      <c r="AH22" s="5">
        <f>'2.1 Building inputs'!AH18</f>
        <v>4.2651437015554326E-3</v>
      </c>
      <c r="AI22" s="5">
        <f>'2.1 Building inputs'!AI18</f>
        <v>4.4903798087064656E-3</v>
      </c>
      <c r="AJ22" s="5">
        <f>'2.1 Building inputs'!AJ18</f>
        <v>4.6705686944272908E-3</v>
      </c>
      <c r="AK22" s="5">
        <f>'2.1 Building inputs'!AK18</f>
        <v>4.8057103587179116E-3</v>
      </c>
      <c r="AL22" s="5">
        <f>'2.1 Building inputs'!AL18</f>
        <v>4.8958048015783255E-3</v>
      </c>
      <c r="AM22" s="5">
        <f>'2.1 Building inputs'!AM18</f>
        <v>4.9408520230085316E-3</v>
      </c>
      <c r="AN22" s="5">
        <f>'2.1 Building inputs'!AN18</f>
        <v>4.9408520230085316E-3</v>
      </c>
    </row>
    <row r="23" spans="1:41">
      <c r="B23" t="s">
        <v>774</v>
      </c>
      <c r="D23" t="s">
        <v>452</v>
      </c>
      <c r="E23" s="610">
        <f>(1-SUM(E19,E20,E21,E22))*'2.2 Energy Systems inputs'!F$55</f>
        <v>0.91540658461460056</v>
      </c>
      <c r="F23" s="610">
        <f>(1-SUM(F19,F20,F21,F22))*'2.2 Energy Systems inputs'!G$55</f>
        <v>0.914882980003766</v>
      </c>
      <c r="G23" s="610">
        <f>(1-SUM(G19,G20,G21,G22))*'2.2 Energy Systems inputs'!H$55</f>
        <v>0.91437872754520544</v>
      </c>
      <c r="H23" s="610">
        <f>(1-SUM(H19,H20,H21,H22))*'2.2 Energy Systems inputs'!I$55</f>
        <v>0.91389382723891877</v>
      </c>
      <c r="I23" s="610">
        <f>(1-SUM(I19,I20,I21,I22))*'2.2 Energy Systems inputs'!J$55</f>
        <v>0.91342824661242195</v>
      </c>
      <c r="J23" s="610">
        <f>(1-SUM(J19,J20,J21,J22))*'2.2 Energy Systems inputs'!K$55</f>
        <v>0.90952737834166941</v>
      </c>
      <c r="K23" s="610">
        <f>(1-SUM(K19,K20,K21,K22))*'2.2 Energy Systems inputs'!L$55</f>
        <v>0.90401576921746707</v>
      </c>
      <c r="L23" s="610">
        <f>(1-SUM(L19,L20,L21,L22))*'2.2 Energy Systems inputs'!M$55</f>
        <v>0.89358202317242352</v>
      </c>
      <c r="M23" s="610">
        <f>(1-SUM(M19,M20,M21,M22))*'2.2 Energy Systems inputs'!N$55</f>
        <v>0.87659609865933197</v>
      </c>
      <c r="N23" s="610">
        <f>(1-SUM(N19,N20,N21,N22))*'2.2 Energy Systems inputs'!O$55</f>
        <v>0.84958149563330432</v>
      </c>
      <c r="O23" s="610">
        <f>(1-SUM(O19,O20,O21,O22))*'2.2 Energy Systems inputs'!P$55</f>
        <v>0.81448048289926367</v>
      </c>
      <c r="P23" s="610">
        <f>(1-SUM(P19,P20,P21,P22))*'2.2 Energy Systems inputs'!Q$55</f>
        <v>0.76735830829227691</v>
      </c>
      <c r="Q23" s="610">
        <f>(1-SUM(Q19,Q20,Q21,Q22))*'2.2 Energy Systems inputs'!R$55</f>
        <v>0.70517797603940413</v>
      </c>
      <c r="R23" s="610">
        <f>(1-SUM(R19,R20,R21,R22))*'2.2 Energy Systems inputs'!S$55</f>
        <v>0.64262148158853871</v>
      </c>
      <c r="S23" s="610">
        <f>(1-SUM(S19,S20,S21,S22))*'2.2 Energy Systems inputs'!T$55</f>
        <v>0.58288826669665539</v>
      </c>
      <c r="T23" s="610">
        <f>(1-SUM(T19,T20,T21,T22))*'2.2 Energy Systems inputs'!U$55</f>
        <v>0.52706059047310805</v>
      </c>
      <c r="U23" s="610">
        <f>(1-SUM(U19,U20,U21,U22))*'2.2 Energy Systems inputs'!V$55</f>
        <v>0.47031461190428758</v>
      </c>
      <c r="V23" s="610">
        <f>(1-SUM(V19,V20,V21,V22))*'2.2 Energy Systems inputs'!W$55</f>
        <v>0.41518782404349558</v>
      </c>
      <c r="W23" s="610">
        <f>(1-SUM(W19,W20,W21,W22))*'2.2 Energy Systems inputs'!X$55</f>
        <v>0.36154017365600388</v>
      </c>
      <c r="X23" s="610">
        <f>(1-SUM(X19,X20,X21,X22))*'2.2 Energy Systems inputs'!Y$55</f>
        <v>0.30980521270091543</v>
      </c>
      <c r="Y23" s="610">
        <f>(1-SUM(Y19,Y20,Y21,Y22))*'2.2 Energy Systems inputs'!Z$55</f>
        <v>0.2627812725536911</v>
      </c>
      <c r="Z23" s="610">
        <f>(1-SUM(Z19,Z20,Z21,Z22))*'2.2 Energy Systems inputs'!AA$55</f>
        <v>0.20150117086831312</v>
      </c>
      <c r="AA23" s="610">
        <f>(1-SUM(AA19,AA20,AA21,AA22))*'2.2 Energy Systems inputs'!AB$55</f>
        <v>0.15658187925941949</v>
      </c>
      <c r="AB23" s="610">
        <f>(1-SUM(AB19,AB20,AB21,AB22))*'2.2 Energy Systems inputs'!AC$55</f>
        <v>0.12569775397495087</v>
      </c>
      <c r="AC23" s="610">
        <f>(1-SUM(AC19,AC20,AC21,AC22))*'2.2 Energy Systems inputs'!AD$55</f>
        <v>0.11476749929562365</v>
      </c>
      <c r="AD23" s="610">
        <f>(1-SUM(AD19,AD20,AD21,AD22))*'2.2 Energy Systems inputs'!AE$55</f>
        <v>0.10406568446107672</v>
      </c>
      <c r="AE23" s="610">
        <f>(1-SUM(AE19,AE20,AE21,AE22))*'2.2 Energy Systems inputs'!AF$55</f>
        <v>9.2959501708617776E-2</v>
      </c>
      <c r="AF23" s="610">
        <f>(1-SUM(AF19,AF20,AF21,AF22))*'2.2 Energy Systems inputs'!AG$55</f>
        <v>8.2145438860269274E-2</v>
      </c>
      <c r="AG23" s="610">
        <f>(1-SUM(AG19,AG20,AG21,AG22))*'2.2 Energy Systems inputs'!AH$55</f>
        <v>7.1572086722821532E-2</v>
      </c>
      <c r="AH23" s="610">
        <f>(1-SUM(AH19,AH20,AH21,AH22))*'2.2 Energy Systems inputs'!AI$55</f>
        <v>6.1188133943440991E-2</v>
      </c>
      <c r="AI23" s="610">
        <f>(1-SUM(AI19,AI20,AI21,AI22))*'2.2 Energy Systems inputs'!AJ$55</f>
        <v>5.094238736299507E-2</v>
      </c>
      <c r="AJ23" s="610">
        <f>(1-SUM(AJ19,AJ20,AJ21,AJ22))*'2.2 Energy Systems inputs'!AK$55</f>
        <v>4.1531800594322474E-2</v>
      </c>
      <c r="AK23" s="610">
        <f>(1-SUM(AK19,AK20,AK21,AK22))*'2.2 Energy Systems inputs'!AL$55</f>
        <v>3.173874927987632E-2</v>
      </c>
      <c r="AL23" s="610">
        <f>(1-SUM(AL19,AL20,AL21,AL22))*'2.2 Energy Systems inputs'!AM$55</f>
        <v>2.1556829757013344E-2</v>
      </c>
      <c r="AM23" s="610">
        <f>(1-SUM(AM19,AM20,AM21,AM22))*'2.2 Energy Systems inputs'!AN$55</f>
        <v>1.0979483917330399E-2</v>
      </c>
      <c r="AN23" s="610">
        <f>(1-SUM(AN19,AN20,AN21,AN22))*'2.2 Energy Systems inputs'!AO$55</f>
        <v>0</v>
      </c>
    </row>
    <row r="24" spans="1:41">
      <c r="B24" t="s">
        <v>1200</v>
      </c>
      <c r="D24" t="s">
        <v>452</v>
      </c>
      <c r="E24" s="507">
        <f>(1-SUM(E19,E20,E21,E22))*'2.2 Energy Systems inputs'!F$56</f>
        <v>6.890157088496994E-2</v>
      </c>
      <c r="F24" s="507">
        <f>(1-SUM(F19,F20,F21,F22))*'2.2 Energy Systems inputs'!G$56</f>
        <v>6.8862159785229707E-2</v>
      </c>
      <c r="G24" s="507">
        <f>(1-SUM(G19,G20,G21,G22))*'2.2 Energy Systems inputs'!H$56</f>
        <v>6.8824205299101479E-2</v>
      </c>
      <c r="H24" s="507">
        <f>(1-SUM(H19,H20,H21,H22))*'2.2 Energy Systems inputs'!I$56</f>
        <v>6.8787707426585284E-2</v>
      </c>
      <c r="I24" s="507">
        <f>(1-SUM(I19,I20,I21,I22))*'2.2 Energy Systems inputs'!J$56</f>
        <v>6.8752663723515642E-2</v>
      </c>
      <c r="J24" s="507">
        <f>(1-SUM(J19,J20,J21,J22))*'2.2 Energy Systems inputs'!K$56</f>
        <v>6.8459049982706299E-2</v>
      </c>
      <c r="K24" s="507">
        <f>(1-SUM(K19,K20,K21,K22))*'2.2 Energy Systems inputs'!L$56</f>
        <v>6.8044197683035157E-2</v>
      </c>
      <c r="L24" s="507">
        <f>(1-SUM(L19,L20,L21,L22))*'2.2 Energy Systems inputs'!M$56</f>
        <v>6.7258861959214669E-2</v>
      </c>
      <c r="M24" s="507">
        <f>(1-SUM(M19,M20,M21,M22))*'2.2 Energy Systems inputs'!N$56</f>
        <v>6.5980351511992733E-2</v>
      </c>
      <c r="N24" s="507">
        <f>(1-SUM(N19,N20,N21,N22))*'2.2 Energy Systems inputs'!O$56</f>
        <v>6.3946994294979895E-2</v>
      </c>
      <c r="O24" s="507">
        <f>(1-SUM(O19,O20,O21,O22))*'2.2 Energy Systems inputs'!P$56</f>
        <v>6.1304982583815545E-2</v>
      </c>
      <c r="P24" s="507">
        <f>(1-SUM(P19,P20,P21,P22))*'2.2 Energy Systems inputs'!Q$56</f>
        <v>5.7758152237053106E-2</v>
      </c>
      <c r="Q24" s="507">
        <f>(1-SUM(Q19,Q20,Q21,Q22))*'2.2 Energy Systems inputs'!R$56</f>
        <v>5.3395616090748867E-2</v>
      </c>
      <c r="R24" s="507">
        <f>(1-SUM(R19,R20,R21,R22))*'2.2 Energy Systems inputs'!S$56</f>
        <v>4.8951886275928398E-2</v>
      </c>
      <c r="S24" s="507">
        <f>(1-SUM(S19,S20,S21,S22))*'2.2 Energy Systems inputs'!T$56</f>
        <v>4.4670682071498706E-2</v>
      </c>
      <c r="T24" s="507">
        <f>(1-SUM(T19,T20,T21,T22))*'2.2 Energy Systems inputs'!U$56</f>
        <v>4.0638421675795289E-2</v>
      </c>
      <c r="U24" s="507">
        <f>(1-SUM(U19,U20,U21,U22))*'2.2 Energy Systems inputs'!V$56</f>
        <v>3.6697273158073522E-2</v>
      </c>
      <c r="V24" s="507">
        <f>(1-SUM(V19,V20,V21,V22))*'2.2 Energy Systems inputs'!W$56</f>
        <v>3.2788475955703902E-2</v>
      </c>
      <c r="W24" s="507">
        <f>(1-SUM(W19,W20,W21,W22))*'2.2 Energy Systems inputs'!X$56</f>
        <v>2.8902024579602805E-2</v>
      </c>
      <c r="X24" s="507">
        <f>(1-SUM(X19,X20,X21,X22))*'2.2 Energy Systems inputs'!Y$56</f>
        <v>2.5073840778198731E-2</v>
      </c>
      <c r="Y24" s="507">
        <f>(1-SUM(Y19,Y20,Y21,Y22))*'2.2 Energy Systems inputs'!Z$56</f>
        <v>2.1267995235007952E-2</v>
      </c>
      <c r="Z24" s="507">
        <f>(1-SUM(Z19,Z20,Z21,Z22))*'2.2 Energy Systems inputs'!AA$56</f>
        <v>3.2949500216314029E-2</v>
      </c>
      <c r="AA24" s="507">
        <f>(1-SUM(AA19,AA20,AA21,AA22))*'2.2 Energy Systems inputs'!AB$56</f>
        <v>4.052520688429171E-2</v>
      </c>
      <c r="AB24" s="507">
        <f>(1-SUM(AB19,AB20,AB21,AB22))*'2.2 Energy Systems inputs'!AC$56</f>
        <v>4.6506279653120916E-2</v>
      </c>
      <c r="AC24" s="507">
        <f>(1-SUM(AC19,AC20,AC21,AC22))*'2.2 Energy Systems inputs'!AD$56</f>
        <v>5.7541173613357789E-2</v>
      </c>
      <c r="AD24" s="507">
        <f>(1-SUM(AD19,AD20,AD21,AD22))*'2.2 Energy Systems inputs'!AE$56</f>
        <v>6.8583003980591639E-2</v>
      </c>
      <c r="AE24" s="507">
        <f>(1-SUM(AE19,AE20,AE21,AE22))*'2.2 Energy Systems inputs'!AF$56</f>
        <v>7.9176975671964106E-2</v>
      </c>
      <c r="AF24" s="507">
        <f>(1-SUM(AF19,AF20,AF21,AF22))*'2.2 Energy Systems inputs'!AG$56</f>
        <v>8.9753080960752074E-2</v>
      </c>
      <c r="AG24" s="507">
        <f>(1-SUM(AG19,AG20,AG21,AG22))*'2.2 Energy Systems inputs'!AH$56</f>
        <v>0.1003661887050121</v>
      </c>
      <c r="AH24" s="507">
        <f>(1-SUM(AH19,AH20,AH21,AH22))*'2.2 Energy Systems inputs'!AI$56</f>
        <v>0.11107107213689714</v>
      </c>
      <c r="AI24" s="507">
        <f>(1-SUM(AI19,AI20,AI21,AI22))*'2.2 Energy Systems inputs'!AJ$56</f>
        <v>0.12192246715389035</v>
      </c>
      <c r="AJ24" s="507">
        <f>(1-SUM(AJ19,AJ20,AJ21,AJ22))*'2.2 Energy Systems inputs'!AK$56</f>
        <v>0.13541412611398937</v>
      </c>
      <c r="AK24" s="507">
        <f>(1-SUM(AK19,AK20,AK21,AK22))*'2.2 Energy Systems inputs'!AL$56</f>
        <v>0.14935450291258709</v>
      </c>
      <c r="AL24" s="507">
        <f>(1-SUM(AL19,AL20,AL21,AL22))*'2.2 Energy Systems inputs'!AM$56</f>
        <v>0.16375115216045502</v>
      </c>
      <c r="AM24" s="507">
        <f>(1-SUM(AM19,AM20,AM21,AM22))*'2.2 Energy Systems inputs'!AN$56</f>
        <v>0.17861179178730358</v>
      </c>
      <c r="AN24" s="507">
        <f>(1-SUM(AN19,AN20,AN21,AN22))*'2.2 Energy Systems inputs'!AO$56</f>
        <v>0.19394430254735395</v>
      </c>
    </row>
    <row r="25" spans="1:41">
      <c r="B25" t="s">
        <v>211</v>
      </c>
      <c r="D25" t="s">
        <v>452</v>
      </c>
      <c r="E25" s="315">
        <f>(1-SUM(E19,E20,E21,E22))*'2.2 Energy Systems inputs'!F$57</f>
        <v>0</v>
      </c>
      <c r="F25" s="315">
        <f>(1-SUM(F19,F20,F21,F22))*'2.2 Energy Systems inputs'!G$57</f>
        <v>0</v>
      </c>
      <c r="G25" s="315">
        <f>(1-SUM(G19,G20,G21,G22))*'2.2 Energy Systems inputs'!H$57</f>
        <v>0</v>
      </c>
      <c r="H25" s="315">
        <f>(1-SUM(H19,H20,H21,H22))*'2.2 Energy Systems inputs'!I$57</f>
        <v>0</v>
      </c>
      <c r="I25" s="315">
        <f>(1-SUM(I19,I20,I21,I22))*'2.2 Energy Systems inputs'!J$57</f>
        <v>0</v>
      </c>
      <c r="J25" s="315">
        <f>(1-SUM(J19,J20,J21,J22))*'2.2 Energy Systems inputs'!K$57</f>
        <v>0</v>
      </c>
      <c r="K25" s="315">
        <f>(1-SUM(K19,K20,K21,K22))*'2.2 Energy Systems inputs'!L$57</f>
        <v>0</v>
      </c>
      <c r="L25" s="315">
        <f>(1-SUM(L19,L20,L21,L22))*'2.2 Energy Systems inputs'!M$57</f>
        <v>0</v>
      </c>
      <c r="M25" s="315">
        <f>(1-SUM(M19,M20,M21,M22))*'2.2 Energy Systems inputs'!N$57</f>
        <v>0</v>
      </c>
      <c r="N25" s="315">
        <f>(1-SUM(N19,N20,N21,N22))*'2.2 Energy Systems inputs'!O$57</f>
        <v>0</v>
      </c>
      <c r="O25" s="315">
        <f>(1-SUM(O19,O20,O21,O22))*'2.2 Energy Systems inputs'!P$57</f>
        <v>0</v>
      </c>
      <c r="P25" s="315">
        <f>(1-SUM(P19,P20,P21,P22))*'2.2 Energy Systems inputs'!Q$57</f>
        <v>0</v>
      </c>
      <c r="Q25" s="315">
        <f>(1-SUM(Q19,Q20,Q21,Q22))*'2.2 Energy Systems inputs'!R$57</f>
        <v>4.2209234519736986E-3</v>
      </c>
      <c r="R25" s="315">
        <f>(1-SUM(R19,R20,R21,R22))*'2.2 Energy Systems inputs'!S$57</f>
        <v>7.739293220224281E-3</v>
      </c>
      <c r="S25" s="315">
        <f>(1-SUM(S19,S20,S21,S22))*'2.2 Energy Systems inputs'!T$57</f>
        <v>1.0593652253255918E-2</v>
      </c>
      <c r="T25" s="315">
        <f>(1-SUM(T19,T20,T21,T22))*'2.2 Energy Systems inputs'!U$57</f>
        <v>1.2849868933886472E-2</v>
      </c>
      <c r="U25" s="315">
        <f>(1-SUM(U19,U20,U21,U22))*'2.2 Energy Systems inputs'!V$57</f>
        <v>1.7234874338689234E-2</v>
      </c>
      <c r="V25" s="315">
        <f>(1-SUM(V19,V20,V21,V22))*'2.2 Energy Systems inputs'!W$57</f>
        <v>2.0430499367999105E-2</v>
      </c>
      <c r="W25" s="315">
        <f>(1-SUM(W19,W20,W21,W22))*'2.2 Energy Systems inputs'!X$57</f>
        <v>2.2443867187290564E-2</v>
      </c>
      <c r="X25" s="315">
        <f>(1-SUM(X19,X20,X21,X22))*'2.2 Energy Systems inputs'!Y$57</f>
        <v>2.3318671923724821E-2</v>
      </c>
      <c r="Y25" s="315">
        <f>(1-SUM(Y19,Y20,Y21,Y22))*'2.2 Energy Systems inputs'!Z$57</f>
        <v>1.9779235568557395E-2</v>
      </c>
      <c r="Z25" s="315">
        <f>(1-SUM(Z19,Z20,Z21,Z22))*'2.2 Energy Systems inputs'!AA$57</f>
        <v>1.5166754796539702E-2</v>
      </c>
      <c r="AA25" s="315">
        <f>(1-SUM(AA19,AA20,AA21,AA22))*'2.2 Energy Systems inputs'!AB$57</f>
        <v>1.178573284748319E-2</v>
      </c>
      <c r="AB25" s="315">
        <f>(1-SUM(AB19,AB20,AB21,AB22))*'2.2 Energy Systems inputs'!AC$57</f>
        <v>9.4611212669317851E-3</v>
      </c>
      <c r="AC25" s="315">
        <f>(1-SUM(AC19,AC20,AC21,AC22))*'2.2 Energy Systems inputs'!AD$57</f>
        <v>8.6384139254770485E-3</v>
      </c>
      <c r="AD25" s="315">
        <f>(1-SUM(AD19,AD20,AD21,AD22))*'2.2 Energy Systems inputs'!AE$57</f>
        <v>7.8329009809412591E-3</v>
      </c>
      <c r="AE25" s="315">
        <f>(1-SUM(AE19,AE20,AE21,AE22))*'2.2 Energy Systems inputs'!AF$57</f>
        <v>6.9969517415088651E-3</v>
      </c>
      <c r="AF25" s="315">
        <f>(1-SUM(AF19,AF20,AF21,AF22))*'2.2 Energy Systems inputs'!AG$57</f>
        <v>6.1829900217406988E-3</v>
      </c>
      <c r="AG25" s="315">
        <f>(1-SUM(AG19,AG20,AG21,AG22))*'2.2 Energy Systems inputs'!AH$57</f>
        <v>5.3871463124704391E-3</v>
      </c>
      <c r="AH25" s="315">
        <f>(1-SUM(AH19,AH20,AH21,AH22))*'2.2 Energy Systems inputs'!AI$57</f>
        <v>4.6055584688611496E-3</v>
      </c>
      <c r="AI25" s="315">
        <f>(1-SUM(AI19,AI20,AI21,AI22))*'2.2 Energy Systems inputs'!AJ$57</f>
        <v>3.8343732423759733E-3</v>
      </c>
      <c r="AJ25" s="315">
        <f>(1-SUM(AJ19,AJ20,AJ21,AJ22))*'2.2 Energy Systems inputs'!AK$57</f>
        <v>3.1260495070995417E-3</v>
      </c>
      <c r="AK25" s="315">
        <f>(1-SUM(AK19,AK20,AK21,AK22))*'2.2 Energy Systems inputs'!AL$57</f>
        <v>2.3889381178401532E-3</v>
      </c>
      <c r="AL25" s="315">
        <f>(1-SUM(AL19,AL20,AL21,AL22))*'2.2 Energy Systems inputs'!AM$57</f>
        <v>1.6225570784848759E-3</v>
      </c>
      <c r="AM25" s="315">
        <f>(1-SUM(AM19,AM20,AM21,AM22))*'2.2 Energy Systems inputs'!AN$57</f>
        <v>8.2641276797110544E-4</v>
      </c>
      <c r="AN25" s="315">
        <f>(1-SUM(AN19,AN20,AN21,AN22))*'2.2 Energy Systems inputs'!AO$57</f>
        <v>0</v>
      </c>
    </row>
    <row r="26" spans="1:41">
      <c r="E26" s="315"/>
      <c r="F26" s="315"/>
      <c r="G26" s="315"/>
      <c r="H26" s="315"/>
      <c r="I26" s="315"/>
      <c r="J26" s="315"/>
      <c r="K26" s="315"/>
      <c r="L26" s="315"/>
      <c r="M26" s="315"/>
      <c r="N26" s="315"/>
      <c r="O26" s="315"/>
      <c r="P26" s="315"/>
      <c r="Q26" s="315"/>
      <c r="R26" s="315"/>
      <c r="S26" s="315"/>
      <c r="T26" s="315"/>
      <c r="U26" s="315"/>
      <c r="V26" s="315"/>
      <c r="W26" s="315"/>
      <c r="X26" s="315"/>
      <c r="Y26" s="315"/>
      <c r="Z26" s="315"/>
      <c r="AA26" s="315"/>
      <c r="AB26" s="315"/>
      <c r="AC26" s="315"/>
      <c r="AD26" s="315"/>
      <c r="AE26" s="315"/>
      <c r="AF26" s="315"/>
      <c r="AG26" s="315"/>
      <c r="AH26" s="315"/>
      <c r="AI26" s="315"/>
      <c r="AJ26" s="315"/>
      <c r="AK26" s="315"/>
      <c r="AL26" s="315"/>
      <c r="AM26" s="315"/>
      <c r="AN26" s="315"/>
    </row>
    <row r="27" spans="1:41" s="423" customFormat="1">
      <c r="A27" s="423" t="s">
        <v>1261</v>
      </c>
    </row>
    <row r="28" spans="1:41">
      <c r="C28" t="s">
        <v>180</v>
      </c>
      <c r="D28" t="s">
        <v>179</v>
      </c>
      <c r="E28">
        <v>2015</v>
      </c>
      <c r="F28">
        <v>2016</v>
      </c>
      <c r="G28">
        <v>2017</v>
      </c>
      <c r="H28">
        <v>2018</v>
      </c>
      <c r="I28">
        <v>2019</v>
      </c>
      <c r="J28">
        <v>2020</v>
      </c>
      <c r="K28">
        <v>2021</v>
      </c>
      <c r="L28">
        <v>2022</v>
      </c>
      <c r="M28">
        <v>2023</v>
      </c>
      <c r="N28">
        <v>2024</v>
      </c>
      <c r="O28">
        <v>2025</v>
      </c>
      <c r="P28">
        <v>2026</v>
      </c>
      <c r="Q28">
        <v>2027</v>
      </c>
      <c r="R28">
        <v>2028</v>
      </c>
      <c r="S28">
        <v>2029</v>
      </c>
      <c r="T28">
        <v>2030</v>
      </c>
      <c r="U28">
        <v>2031</v>
      </c>
      <c r="V28">
        <v>2032</v>
      </c>
      <c r="W28">
        <v>2033</v>
      </c>
      <c r="X28">
        <v>2034</v>
      </c>
      <c r="Y28">
        <v>2035</v>
      </c>
      <c r="Z28">
        <v>2036</v>
      </c>
      <c r="AA28">
        <v>2037</v>
      </c>
      <c r="AB28">
        <v>2038</v>
      </c>
      <c r="AC28">
        <v>2039</v>
      </c>
      <c r="AD28">
        <v>2040</v>
      </c>
      <c r="AE28">
        <v>2041</v>
      </c>
      <c r="AF28">
        <v>2042</v>
      </c>
      <c r="AG28">
        <v>2043</v>
      </c>
      <c r="AH28">
        <v>2044</v>
      </c>
      <c r="AI28">
        <v>2045</v>
      </c>
      <c r="AJ28">
        <v>2046</v>
      </c>
      <c r="AK28">
        <v>2047</v>
      </c>
      <c r="AL28">
        <v>2048</v>
      </c>
      <c r="AM28">
        <v>2049</v>
      </c>
      <c r="AN28">
        <v>2050</v>
      </c>
    </row>
    <row r="29" spans="1:41">
      <c r="B29" t="s">
        <v>1262</v>
      </c>
      <c r="D29" t="s">
        <v>1263</v>
      </c>
      <c r="E29" s="309">
        <v>1</v>
      </c>
      <c r="F29" s="174"/>
      <c r="G29" s="174"/>
      <c r="H29" s="174"/>
      <c r="I29" s="174"/>
      <c r="J29" s="174"/>
      <c r="K29" s="174"/>
      <c r="L29" s="174"/>
      <c r="M29" s="174"/>
      <c r="N29" s="174"/>
      <c r="O29" s="174"/>
      <c r="P29" s="174"/>
      <c r="Q29" s="174"/>
      <c r="R29" s="174"/>
      <c r="S29" s="174"/>
      <c r="T29" s="174"/>
      <c r="U29" s="174"/>
      <c r="V29" s="174"/>
      <c r="W29" s="174"/>
      <c r="X29" s="174"/>
      <c r="Y29" s="174"/>
      <c r="Z29" s="174"/>
      <c r="AA29" s="174"/>
      <c r="AB29" s="174"/>
      <c r="AC29" s="174"/>
      <c r="AD29" s="174"/>
      <c r="AE29" s="174"/>
      <c r="AF29" s="174"/>
      <c r="AG29" s="174"/>
      <c r="AH29" s="174"/>
      <c r="AI29" s="174"/>
      <c r="AJ29" s="174"/>
      <c r="AK29" s="174"/>
      <c r="AL29" s="174"/>
      <c r="AM29" s="174"/>
      <c r="AN29" s="174"/>
    </row>
    <row r="30" spans="1:41">
      <c r="B30" s="38" t="s">
        <v>1264</v>
      </c>
      <c r="D30" t="s">
        <v>446</v>
      </c>
      <c r="E30" s="10">
        <f>('2.1 Building inputs'!E4-'2.1 Building inputs'!E8)*'3.1 Building Energy'!B7</f>
        <v>0</v>
      </c>
      <c r="F30" s="10">
        <f>('2.1 Building inputs'!F4-'2.1 Building inputs'!F8)*'3.1 Building Energy'!C7</f>
        <v>85954960.082238063</v>
      </c>
      <c r="G30" s="10">
        <f>('2.1 Building inputs'!G4-'2.1 Building inputs'!G8)*'3.1 Building Energy'!D7</f>
        <v>171909920.16447762</v>
      </c>
      <c r="H30" s="10">
        <f>('2.1 Building inputs'!H4-'2.1 Building inputs'!H8)*'3.1 Building Energy'!E7</f>
        <v>257864880.2467142</v>
      </c>
      <c r="I30" s="10">
        <f>('2.1 Building inputs'!I4-'2.1 Building inputs'!I8)*'3.1 Building Energy'!F7</f>
        <v>343817252.45069587</v>
      </c>
      <c r="J30" s="10">
        <f>('2.1 Building inputs'!J4-'2.1 Building inputs'!J8)*'3.1 Building Energy'!G7</f>
        <v>426083675.47196925</v>
      </c>
      <c r="K30" s="10">
        <f>('2.1 Building inputs'!K4-'2.1 Building inputs'!K8)*'3.1 Building Energy'!H7</f>
        <v>487059078.10974926</v>
      </c>
      <c r="L30" s="10">
        <f>('2.1 Building inputs'!L4-'2.1 Building inputs'!L8)*'3.1 Building Energy'!I7</f>
        <v>515462766.57104391</v>
      </c>
      <c r="M30" s="10">
        <f>('2.1 Building inputs'!M4-'2.1 Building inputs'!M8)*'3.1 Building Energy'!J7</f>
        <v>511715550.80077821</v>
      </c>
      <c r="N30" s="10">
        <f>('2.1 Building inputs'!N4-'2.1 Building inputs'!N8)*'3.1 Building Energy'!K7</f>
        <v>500291178.6830948</v>
      </c>
      <c r="O30" s="10">
        <f>('2.1 Building inputs'!O4-'2.1 Building inputs'!O8)*'3.1 Building Energy'!L7</f>
        <v>497271722.82243508</v>
      </c>
      <c r="P30" s="10">
        <f>('2.1 Building inputs'!P4-'2.1 Building inputs'!P8)*'3.1 Building Energy'!M7</f>
        <v>491687436.44741493</v>
      </c>
      <c r="Q30" s="10">
        <f>('2.1 Building inputs'!Q4-'2.1 Building inputs'!Q8)*'3.1 Building Energy'!N7</f>
        <v>497579681.23671073</v>
      </c>
      <c r="R30" s="10">
        <f>('2.1 Building inputs'!R4-'2.1 Building inputs'!R8)*'3.1 Building Energy'!O7</f>
        <v>516453573.90359312</v>
      </c>
      <c r="S30" s="10">
        <f>('2.1 Building inputs'!S4-'2.1 Building inputs'!S8)*'3.1 Building Energy'!P7</f>
        <v>553799941.07540894</v>
      </c>
      <c r="T30" s="10">
        <f>('2.1 Building inputs'!T4-'2.1 Building inputs'!T8)*'3.1 Building Energy'!Q7</f>
        <v>606097121.56585109</v>
      </c>
      <c r="U30" s="10">
        <f>('2.1 Building inputs'!U4-'2.1 Building inputs'!U8)*'3.1 Building Energy'!R7</f>
        <v>633206847.04990935</v>
      </c>
      <c r="V30" s="10">
        <f>('2.1 Building inputs'!V4-'2.1 Building inputs'!V8)*'3.1 Building Energy'!S7</f>
        <v>660323705.65774477</v>
      </c>
      <c r="W30" s="10">
        <f>('2.1 Building inputs'!W4-'2.1 Building inputs'!W8)*'3.1 Building Energy'!T7</f>
        <v>687447697.38935006</v>
      </c>
      <c r="X30" s="10">
        <f>('2.1 Building inputs'!X4-'2.1 Building inputs'!X8)*'3.1 Building Energy'!U7</f>
        <v>714578822.24473095</v>
      </c>
      <c r="Y30" s="10">
        <f>('2.1 Building inputs'!Y4-'2.1 Building inputs'!Y8)*'3.1 Building Energy'!V7</f>
        <v>741738286.9957875</v>
      </c>
      <c r="Z30" s="10">
        <f>('2.1 Building inputs'!Z4-'2.1 Building inputs'!Z8)*'3.1 Building Energy'!W7</f>
        <v>768910087.31498337</v>
      </c>
      <c r="AA30" s="10">
        <f>('2.1 Building inputs'!AA4-'2.1 Building inputs'!AA8)*'3.1 Building Energy'!X7</f>
        <v>796082102.82293344</v>
      </c>
      <c r="AB30" s="10">
        <f>('2.1 Building inputs'!AB4-'2.1 Building inputs'!AB8)*'3.1 Building Energy'!Y7</f>
        <v>823275914.5728246</v>
      </c>
      <c r="AC30" s="10">
        <f>('2.1 Building inputs'!AC4-'2.1 Building inputs'!AC8)*'3.1 Building Energy'!Z7</f>
        <v>850469941.51147151</v>
      </c>
      <c r="AD30" s="10">
        <f>('2.1 Building inputs'!AD4-'2.1 Building inputs'!AD8)*'3.1 Building Energy'!AA7</f>
        <v>877664183.63887703</v>
      </c>
      <c r="AE30" s="10">
        <f>('2.1 Building inputs'!AE4-'2.1 Building inputs'!AE8)*'3.1 Building Energy'!AB7</f>
        <v>904858640.95503819</v>
      </c>
      <c r="AF30" s="10">
        <f>('2.1 Building inputs'!AF4-'2.1 Building inputs'!AF8)*'3.1 Building Energy'!AC7</f>
        <v>932053313.45995665</v>
      </c>
      <c r="AG30" s="10">
        <f>('2.1 Building inputs'!AG4-'2.1 Building inputs'!AG8)*'3.1 Building Energy'!AD7</f>
        <v>959248201.15363216</v>
      </c>
      <c r="AH30" s="10">
        <f>('2.1 Building inputs'!AH4-'2.1 Building inputs'!AH8)*'3.1 Building Energy'!AE7</f>
        <v>986443304.03606498</v>
      </c>
      <c r="AI30" s="10">
        <f>('2.1 Building inputs'!AI4-'2.1 Building inputs'!AI8)*'3.1 Building Energy'!AF7</f>
        <v>1013638622.1072549</v>
      </c>
      <c r="AJ30" s="10">
        <f>('2.1 Building inputs'!AJ4-'2.1 Building inputs'!AJ8)*'3.1 Building Energy'!AG7</f>
        <v>1040834155.367202</v>
      </c>
      <c r="AK30" s="10">
        <f>('2.1 Building inputs'!AK4-'2.1 Building inputs'!AK8)*'3.1 Building Energy'!AH7</f>
        <v>1068029903.8159064</v>
      </c>
      <c r="AL30" s="10">
        <f>('2.1 Building inputs'!AL4-'2.1 Building inputs'!AL8)*'3.1 Building Energy'!AI7</f>
        <v>1095225867.4533694</v>
      </c>
      <c r="AM30" s="10">
        <f>('2.1 Building inputs'!AM4-'2.1 Building inputs'!AM8)*'3.1 Building Energy'!AJ7</f>
        <v>1122422046.279588</v>
      </c>
      <c r="AN30" s="10">
        <f>('2.1 Building inputs'!AN4-'2.1 Building inputs'!AN8)*'3.1 Building Energy'!AK7</f>
        <v>1149618440.2945609</v>
      </c>
    </row>
    <row r="31" spans="1:41">
      <c r="B31" s="38" t="s">
        <v>1251</v>
      </c>
      <c r="D31" t="s">
        <v>446</v>
      </c>
      <c r="E31" s="10">
        <f>E30*'2.1 Building inputs'!E16</f>
        <v>0</v>
      </c>
      <c r="F31" s="10">
        <f>F30*'2.1 Building inputs'!F16</f>
        <v>0</v>
      </c>
      <c r="G31" s="10">
        <f>G30*'2.1 Building inputs'!G16</f>
        <v>0</v>
      </c>
      <c r="H31" s="10">
        <f>H30*'2.1 Building inputs'!H16</f>
        <v>0</v>
      </c>
      <c r="I31" s="10">
        <f>I30*'2.1 Building inputs'!I16</f>
        <v>0</v>
      </c>
      <c r="J31" s="10">
        <f>J30*'2.1 Building inputs'!J16</f>
        <v>1640191.5738725576</v>
      </c>
      <c r="K31" s="10">
        <f>K30*'2.1 Building inputs'!K16</f>
        <v>2960575.4105071104</v>
      </c>
      <c r="L31" s="10">
        <f>L30*'2.1 Building inputs'!L16</f>
        <v>3991611.8537457711</v>
      </c>
      <c r="M31" s="10">
        <f>M30*'2.1 Building inputs'!M16</f>
        <v>4623416.4245750299</v>
      </c>
      <c r="N31" s="10">
        <f>N30*'2.1 Building inputs'!N16</f>
        <v>5035849.8169704396</v>
      </c>
      <c r="O31" s="10">
        <f>O30*'2.1 Building inputs'!O16</f>
        <v>5424022.2031857856</v>
      </c>
      <c r="P31" s="10">
        <f>P30*'2.1 Building inputs'!P16</f>
        <v>5646415.3674917202</v>
      </c>
      <c r="Q31" s="10">
        <f>Q30*'2.1 Building inputs'!Q16</f>
        <v>5963723.9671516307</v>
      </c>
      <c r="R31" s="10">
        <f>R30*'2.1 Building inputs'!R16</f>
        <v>6417592.01192501</v>
      </c>
      <c r="S31" s="10">
        <f>S30*'2.1 Building inputs'!S16</f>
        <v>7097845.4960205574</v>
      </c>
      <c r="T31" s="10">
        <f>T30*'2.1 Building inputs'!T16</f>
        <v>7979097.0513953427</v>
      </c>
      <c r="U31" s="10">
        <f>U30*'2.1 Building inputs'!U16</f>
        <v>8429757.6110642776</v>
      </c>
      <c r="V31" s="10">
        <f>V30*'2.1 Building inputs'!V16</f>
        <v>8883895.1800559293</v>
      </c>
      <c r="W31" s="10">
        <f>W30*'2.1 Building inputs'!W16</f>
        <v>9341277.1594912522</v>
      </c>
      <c r="X31" s="10">
        <f>X30*'2.1 Building inputs'!X16</f>
        <v>9801692.0599624831</v>
      </c>
      <c r="Y31" s="10">
        <f>Y30*'2.1 Building inputs'!Y16</f>
        <v>10265240.649721747</v>
      </c>
      <c r="Z31" s="10">
        <f>Z30*'2.1 Building inputs'!Z16</f>
        <v>10731531.036278063</v>
      </c>
      <c r="AA31" s="10">
        <f>AA30*'2.1 Building inputs'!AA16</f>
        <v>11200233.096202414</v>
      </c>
      <c r="AB31" s="10">
        <f>AB30*'2.1 Building inputs'!AB16</f>
        <v>11671502.545352204</v>
      </c>
      <c r="AC31" s="10">
        <f>AC30*'2.1 Building inputs'!AC16</f>
        <v>12144899.899621146</v>
      </c>
      <c r="AD31" s="10">
        <f>AD30*'2.1 Building inputs'!AD16</f>
        <v>12620297.923530215</v>
      </c>
      <c r="AE31" s="10">
        <f>AE30*'2.1 Building inputs'!AE16</f>
        <v>13097579.346240597</v>
      </c>
      <c r="AF31" s="10">
        <f>AF30*'2.1 Building inputs'!AF16</f>
        <v>13576635.9047915</v>
      </c>
      <c r="AG31" s="10">
        <f>AG30*'2.1 Building inputs'!AG16</f>
        <v>14057367.495497681</v>
      </c>
      <c r="AH31" s="10">
        <f>AH30*'2.1 Building inputs'!AH16</f>
        <v>14539681.419505974</v>
      </c>
      <c r="AI31" s="10">
        <f>AI30*'2.1 Building inputs'!AI16</f>
        <v>15023491.710542811</v>
      </c>
      <c r="AJ31" s="10">
        <f>AJ30*'2.1 Building inputs'!AJ16</f>
        <v>15508718.534592859</v>
      </c>
      <c r="AK31" s="10">
        <f>AK30*'2.1 Building inputs'!AK16</f>
        <v>15995287.652686501</v>
      </c>
      <c r="AL31" s="10">
        <f>AL30*'2.1 Building inputs'!AL16</f>
        <v>16483129.939189453</v>
      </c>
      <c r="AM31" s="10">
        <f>AM30*'2.1 Building inputs'!AM16</f>
        <v>16972180.949017834</v>
      </c>
      <c r="AN31" s="10">
        <f>AN30*'2.1 Building inputs'!AN16</f>
        <v>17462380.528077956</v>
      </c>
    </row>
    <row r="32" spans="1:41">
      <c r="B32" t="s">
        <v>1252</v>
      </c>
      <c r="D32" t="s">
        <v>452</v>
      </c>
      <c r="E32" s="8"/>
      <c r="F32" s="8">
        <f>$E$29</f>
        <v>1</v>
      </c>
      <c r="G32" s="8">
        <f t="shared" ref="G32:AN32" si="5">$E$29</f>
        <v>1</v>
      </c>
      <c r="H32" s="8">
        <f t="shared" si="5"/>
        <v>1</v>
      </c>
      <c r="I32" s="8">
        <f t="shared" si="5"/>
        <v>1</v>
      </c>
      <c r="J32" s="8">
        <f t="shared" si="5"/>
        <v>1</v>
      </c>
      <c r="K32" s="8">
        <f t="shared" si="5"/>
        <v>1</v>
      </c>
      <c r="L32" s="8">
        <f t="shared" si="5"/>
        <v>1</v>
      </c>
      <c r="M32" s="8">
        <f t="shared" si="5"/>
        <v>1</v>
      </c>
      <c r="N32" s="8">
        <f t="shared" si="5"/>
        <v>1</v>
      </c>
      <c r="O32" s="8">
        <f t="shared" si="5"/>
        <v>1</v>
      </c>
      <c r="P32" s="8">
        <f t="shared" si="5"/>
        <v>1</v>
      </c>
      <c r="Q32" s="8">
        <f t="shared" si="5"/>
        <v>1</v>
      </c>
      <c r="R32" s="8">
        <f t="shared" si="5"/>
        <v>1</v>
      </c>
      <c r="S32" s="8">
        <f t="shared" si="5"/>
        <v>1</v>
      </c>
      <c r="T32" s="8">
        <f t="shared" si="5"/>
        <v>1</v>
      </c>
      <c r="U32" s="8">
        <f t="shared" si="5"/>
        <v>1</v>
      </c>
      <c r="V32" s="8">
        <f t="shared" si="5"/>
        <v>1</v>
      </c>
      <c r="W32" s="8">
        <f t="shared" si="5"/>
        <v>1</v>
      </c>
      <c r="X32" s="8">
        <f t="shared" si="5"/>
        <v>1</v>
      </c>
      <c r="Y32" s="8">
        <f t="shared" si="5"/>
        <v>1</v>
      </c>
      <c r="Z32" s="8">
        <f t="shared" si="5"/>
        <v>1</v>
      </c>
      <c r="AA32" s="8">
        <f t="shared" si="5"/>
        <v>1</v>
      </c>
      <c r="AB32" s="8">
        <f t="shared" si="5"/>
        <v>1</v>
      </c>
      <c r="AC32" s="8">
        <f t="shared" si="5"/>
        <v>1</v>
      </c>
      <c r="AD32" s="8">
        <f t="shared" si="5"/>
        <v>1</v>
      </c>
      <c r="AE32" s="8">
        <f t="shared" si="5"/>
        <v>1</v>
      </c>
      <c r="AF32" s="8">
        <f t="shared" si="5"/>
        <v>1</v>
      </c>
      <c r="AG32" s="8">
        <f t="shared" si="5"/>
        <v>1</v>
      </c>
      <c r="AH32" s="8">
        <f t="shared" si="5"/>
        <v>1</v>
      </c>
      <c r="AI32" s="8">
        <f t="shared" si="5"/>
        <v>1</v>
      </c>
      <c r="AJ32" s="8">
        <f t="shared" si="5"/>
        <v>1</v>
      </c>
      <c r="AK32" s="8">
        <f t="shared" si="5"/>
        <v>1</v>
      </c>
      <c r="AL32" s="8">
        <f t="shared" si="5"/>
        <v>1</v>
      </c>
      <c r="AM32" s="8">
        <f t="shared" si="5"/>
        <v>1</v>
      </c>
      <c r="AN32" s="8">
        <f t="shared" si="5"/>
        <v>1</v>
      </c>
    </row>
    <row r="33" spans="1:41">
      <c r="B33" t="s">
        <v>1253</v>
      </c>
      <c r="D33" t="s">
        <v>446</v>
      </c>
      <c r="E33" s="6">
        <f>(E30)*E$32</f>
        <v>0</v>
      </c>
      <c r="F33" s="6">
        <f t="shared" ref="F33:AN33" si="6">(F30)*F$32</f>
        <v>85954960.082238063</v>
      </c>
      <c r="G33" s="6">
        <f t="shared" si="6"/>
        <v>171909920.16447762</v>
      </c>
      <c r="H33" s="6">
        <f t="shared" si="6"/>
        <v>257864880.2467142</v>
      </c>
      <c r="I33" s="6">
        <f t="shared" si="6"/>
        <v>343817252.45069587</v>
      </c>
      <c r="J33" s="6">
        <f t="shared" si="6"/>
        <v>426083675.47196925</v>
      </c>
      <c r="K33" s="6">
        <f t="shared" si="6"/>
        <v>487059078.10974926</v>
      </c>
      <c r="L33" s="6">
        <f t="shared" si="6"/>
        <v>515462766.57104391</v>
      </c>
      <c r="M33" s="6">
        <f t="shared" si="6"/>
        <v>511715550.80077821</v>
      </c>
      <c r="N33" s="6">
        <f t="shared" si="6"/>
        <v>500291178.6830948</v>
      </c>
      <c r="O33" s="6">
        <f t="shared" si="6"/>
        <v>497271722.82243508</v>
      </c>
      <c r="P33" s="6">
        <f t="shared" si="6"/>
        <v>491687436.44741493</v>
      </c>
      <c r="Q33" s="6">
        <f t="shared" si="6"/>
        <v>497579681.23671073</v>
      </c>
      <c r="R33" s="6">
        <f t="shared" si="6"/>
        <v>516453573.90359312</v>
      </c>
      <c r="S33" s="6">
        <f t="shared" si="6"/>
        <v>553799941.07540894</v>
      </c>
      <c r="T33" s="6">
        <f t="shared" si="6"/>
        <v>606097121.56585109</v>
      </c>
      <c r="U33" s="6">
        <f t="shared" si="6"/>
        <v>633206847.04990935</v>
      </c>
      <c r="V33" s="6">
        <f t="shared" si="6"/>
        <v>660323705.65774477</v>
      </c>
      <c r="W33" s="6">
        <f t="shared" si="6"/>
        <v>687447697.38935006</v>
      </c>
      <c r="X33" s="6">
        <f t="shared" si="6"/>
        <v>714578822.24473095</v>
      </c>
      <c r="Y33" s="6">
        <f t="shared" si="6"/>
        <v>741738286.9957875</v>
      </c>
      <c r="Z33" s="6">
        <f t="shared" si="6"/>
        <v>768910087.31498337</v>
      </c>
      <c r="AA33" s="6">
        <f t="shared" si="6"/>
        <v>796082102.82293344</v>
      </c>
      <c r="AB33" s="6">
        <f t="shared" si="6"/>
        <v>823275914.5728246</v>
      </c>
      <c r="AC33" s="6">
        <f t="shared" si="6"/>
        <v>850469941.51147151</v>
      </c>
      <c r="AD33" s="6">
        <f t="shared" si="6"/>
        <v>877664183.63887703</v>
      </c>
      <c r="AE33" s="6">
        <f t="shared" si="6"/>
        <v>904858640.95503819</v>
      </c>
      <c r="AF33" s="6">
        <f t="shared" si="6"/>
        <v>932053313.45995665</v>
      </c>
      <c r="AG33" s="6">
        <f t="shared" si="6"/>
        <v>959248201.15363216</v>
      </c>
      <c r="AH33" s="6">
        <f t="shared" si="6"/>
        <v>986443304.03606498</v>
      </c>
      <c r="AI33" s="6">
        <f t="shared" si="6"/>
        <v>1013638622.1072549</v>
      </c>
      <c r="AJ33" s="6">
        <f t="shared" si="6"/>
        <v>1040834155.367202</v>
      </c>
      <c r="AK33" s="6">
        <f t="shared" si="6"/>
        <v>1068029903.8159064</v>
      </c>
      <c r="AL33" s="6">
        <f t="shared" si="6"/>
        <v>1095225867.4533694</v>
      </c>
      <c r="AM33" s="6">
        <f>(AM30)*AM$32</f>
        <v>1122422046.279588</v>
      </c>
      <c r="AN33" s="6">
        <f t="shared" si="6"/>
        <v>1149618440.2945609</v>
      </c>
    </row>
    <row r="34" spans="1:41">
      <c r="B34" t="s">
        <v>1254</v>
      </c>
      <c r="D34" t="s">
        <v>446</v>
      </c>
      <c r="E34" s="7">
        <f>E30-E33</f>
        <v>0</v>
      </c>
      <c r="F34" s="7">
        <f t="shared" ref="F34:AN34" si="7">F30-F33</f>
        <v>0</v>
      </c>
      <c r="G34" s="7">
        <f t="shared" si="7"/>
        <v>0</v>
      </c>
      <c r="H34" s="7">
        <f t="shared" si="7"/>
        <v>0</v>
      </c>
      <c r="I34" s="7">
        <f t="shared" si="7"/>
        <v>0</v>
      </c>
      <c r="J34" s="7">
        <f t="shared" si="7"/>
        <v>0</v>
      </c>
      <c r="K34" s="7">
        <f t="shared" si="7"/>
        <v>0</v>
      </c>
      <c r="L34" s="7">
        <f t="shared" si="7"/>
        <v>0</v>
      </c>
      <c r="M34" s="7">
        <f t="shared" si="7"/>
        <v>0</v>
      </c>
      <c r="N34" s="7">
        <f t="shared" si="7"/>
        <v>0</v>
      </c>
      <c r="O34" s="7">
        <f t="shared" si="7"/>
        <v>0</v>
      </c>
      <c r="P34" s="7">
        <f t="shared" si="7"/>
        <v>0</v>
      </c>
      <c r="Q34" s="7">
        <f t="shared" si="7"/>
        <v>0</v>
      </c>
      <c r="R34" s="7">
        <f t="shared" si="7"/>
        <v>0</v>
      </c>
      <c r="S34" s="7">
        <f t="shared" si="7"/>
        <v>0</v>
      </c>
      <c r="T34" s="7">
        <f t="shared" si="7"/>
        <v>0</v>
      </c>
      <c r="U34" s="7">
        <f t="shared" si="7"/>
        <v>0</v>
      </c>
      <c r="V34" s="7">
        <f t="shared" si="7"/>
        <v>0</v>
      </c>
      <c r="W34" s="7">
        <f t="shared" si="7"/>
        <v>0</v>
      </c>
      <c r="X34" s="7">
        <f t="shared" si="7"/>
        <v>0</v>
      </c>
      <c r="Y34" s="7">
        <f t="shared" si="7"/>
        <v>0</v>
      </c>
      <c r="Z34" s="7">
        <f t="shared" si="7"/>
        <v>0</v>
      </c>
      <c r="AA34" s="7">
        <f t="shared" si="7"/>
        <v>0</v>
      </c>
      <c r="AB34" s="7">
        <f t="shared" si="7"/>
        <v>0</v>
      </c>
      <c r="AC34" s="7">
        <f t="shared" si="7"/>
        <v>0</v>
      </c>
      <c r="AD34" s="7">
        <f t="shared" si="7"/>
        <v>0</v>
      </c>
      <c r="AE34" s="7">
        <f t="shared" si="7"/>
        <v>0</v>
      </c>
      <c r="AF34" s="7">
        <f t="shared" si="7"/>
        <v>0</v>
      </c>
      <c r="AG34" s="7">
        <f t="shared" si="7"/>
        <v>0</v>
      </c>
      <c r="AH34" s="7">
        <f t="shared" si="7"/>
        <v>0</v>
      </c>
      <c r="AI34" s="7">
        <f t="shared" si="7"/>
        <v>0</v>
      </c>
      <c r="AJ34" s="7">
        <f t="shared" si="7"/>
        <v>0</v>
      </c>
      <c r="AK34" s="7">
        <f t="shared" si="7"/>
        <v>0</v>
      </c>
      <c r="AL34" s="7">
        <f t="shared" si="7"/>
        <v>0</v>
      </c>
      <c r="AM34" s="7">
        <f t="shared" si="7"/>
        <v>0</v>
      </c>
      <c r="AN34" s="7">
        <f t="shared" si="7"/>
        <v>0</v>
      </c>
    </row>
    <row r="36" spans="1:41" ht="15.75" thickBot="1">
      <c r="B36" t="s">
        <v>1265</v>
      </c>
      <c r="D36" t="s">
        <v>446</v>
      </c>
      <c r="E36" s="317">
        <f>'2.2 Energy Systems inputs'!F29*10^9*'DH calcs - old'!B63</f>
        <v>0</v>
      </c>
      <c r="F36" s="317">
        <f>'2.2 Energy Systems inputs'!G29*10^9*'DH calcs - old'!C63</f>
        <v>1257423.8526671431</v>
      </c>
      <c r="G36" s="317">
        <f>'2.2 Energy Systems inputs'!H29*10^9*'DH calcs - old'!D63</f>
        <v>3721415.6074388069</v>
      </c>
      <c r="H36" s="317">
        <f>'2.2 Energy Systems inputs'!I29*10^9*'DH calcs - old'!E63</f>
        <v>7341119.3137523904</v>
      </c>
      <c r="I36" s="317">
        <f>'2.2 Energy Systems inputs'!J29*10^9*'DH calcs - old'!F63</f>
        <v>12065679.021045243</v>
      </c>
      <c r="J36" s="317">
        <f>'2.2 Energy Systems inputs'!K29*10^9*'DH calcs - old'!G63</f>
        <v>23794586.913182665</v>
      </c>
      <c r="K36" s="317">
        <f>'2.2 Energy Systems inputs'!L29*10^9*'DH calcs - old'!H63</f>
        <v>33399389.556211818</v>
      </c>
      <c r="L36" s="317">
        <f>'2.2 Energy Systems inputs'!M29*10^9*'DH calcs - old'!I63</f>
        <v>52519731.540271491</v>
      </c>
      <c r="M36" s="317">
        <f>'2.2 Energy Systems inputs'!N29*10^9*'DH calcs - old'!J63</f>
        <v>73634098.123278722</v>
      </c>
      <c r="N36" s="317">
        <f>'2.2 Energy Systems inputs'!O29*10^9*'DH calcs - old'!K63</f>
        <v>96628396.386499971</v>
      </c>
      <c r="O36" s="317">
        <f>'2.2 Energy Systems inputs'!P29*10^9*'DH calcs - old'!L63</f>
        <v>121388262.83298694</v>
      </c>
      <c r="P36" s="317">
        <f>'2.2 Energy Systems inputs'!Q29*10^9*'DH calcs - old'!M63</f>
        <v>141320733.6549671</v>
      </c>
      <c r="Q36" s="317">
        <f>'2.2 Energy Systems inputs'!R29*10^9*'DH calcs - old'!N63</f>
        <v>161997817.0938347</v>
      </c>
      <c r="R36" s="317">
        <f>'2.2 Energy Systems inputs'!S29*10^9*'DH calcs - old'!O63</f>
        <v>183301930.79633933</v>
      </c>
      <c r="S36" s="317">
        <f>'2.2 Energy Systems inputs'!T29*10^9*'DH calcs - old'!P63</f>
        <v>205115481.39877799</v>
      </c>
      <c r="T36" s="317">
        <f>'2.2 Energy Systems inputs'!U29*10^9*'DH calcs - old'!Q63</f>
        <v>227320867.51158926</v>
      </c>
      <c r="U36" s="317">
        <f>'2.2 Energy Systems inputs'!V29*10^9*'DH calcs - old'!R63</f>
        <v>233989552.79141617</v>
      </c>
      <c r="V36" s="317">
        <f>'2.2 Energy Systems inputs'!W29*10^9*'DH calcs - old'!S63</f>
        <v>240054975.1291998</v>
      </c>
      <c r="W36" s="317">
        <f>'2.2 Energy Systems inputs'!X29*10^9*'DH calcs - old'!T63</f>
        <v>245517186.81801194</v>
      </c>
      <c r="X36" s="317">
        <f>'2.2 Energy Systems inputs'!Y29*10^9*'DH calcs - old'!U63</f>
        <v>250376235.39920762</v>
      </c>
      <c r="Y36" s="317">
        <f>'2.2 Energy Systems inputs'!Z29*10^9*'DH calcs - old'!V63</f>
        <v>254632164.1901527</v>
      </c>
      <c r="Z36" s="317">
        <f>'2.2 Energy Systems inputs'!AA29*10^9*'DH calcs - old'!W63</f>
        <v>258285012.74315268</v>
      </c>
      <c r="AA36" s="317">
        <f>'2.2 Energy Systems inputs'!AB29*10^9*'DH calcs - old'!X63</f>
        <v>261334817.24581549</v>
      </c>
      <c r="AB36" s="317">
        <f>'2.2 Energy Systems inputs'!AC29*10^9*'DH calcs - old'!Y63</f>
        <v>263781610.87139323</v>
      </c>
      <c r="AC36" s="317">
        <f>'2.2 Energy Systems inputs'!AD29*10^9*'DH calcs - old'!Z63</f>
        <v>265625424.08624181</v>
      </c>
      <c r="AD36" s="317">
        <f>'2.2 Energy Systems inputs'!AE29*10^9*'DH calcs - old'!AA63</f>
        <v>266866284.92040086</v>
      </c>
      <c r="AE36" s="317">
        <f>'2.2 Energy Systems inputs'!AF29*10^9*'DH calcs - old'!AB63</f>
        <v>267504219.20635113</v>
      </c>
      <c r="AF36" s="317">
        <f>'2.2 Energy Systems inputs'!AG29*10^9*'DH calcs - old'!AC63</f>
        <v>267539250.79023814</v>
      </c>
      <c r="AG36" s="317">
        <f>'2.2 Energy Systems inputs'!AH29*10^9*'DH calcs - old'!AD63</f>
        <v>266971401.71918818</v>
      </c>
      <c r="AH36" s="317">
        <f>'2.2 Energy Systems inputs'!AI29*10^9*'DH calcs - old'!AE63</f>
        <v>265800692.40782306</v>
      </c>
      <c r="AI36" s="317">
        <f>'2.2 Energy Systems inputs'!AJ29*10^9*'DH calcs - old'!AF63</f>
        <v>264027141.7866137</v>
      </c>
      <c r="AJ36" s="317">
        <f>'2.2 Energy Systems inputs'!AK29*10^9*'DH calcs - old'!AG63</f>
        <v>261650767.43434575</v>
      </c>
      <c r="AK36" s="317">
        <f>'2.2 Energy Systems inputs'!AL29*10^9*'DH calcs - old'!AH63</f>
        <v>258671585.69664592</v>
      </c>
      <c r="AL36" s="317">
        <f>'2.2 Energy Systems inputs'!AM29*10^9*'DH calcs - old'!AI63</f>
        <v>255089611.79225209</v>
      </c>
      <c r="AM36" s="317">
        <f>'2.2 Energy Systems inputs'!AN29*10^9*'DH calcs - old'!AJ63</f>
        <v>250904859.90847918</v>
      </c>
      <c r="AN36" s="317">
        <f>'2.2 Energy Systems inputs'!AO29*10^9*'DH calcs - old'!AK63</f>
        <v>246117343.28714105</v>
      </c>
    </row>
    <row r="37" spans="1:41" ht="15.75" thickTop="1">
      <c r="B37" t="s">
        <v>1256</v>
      </c>
      <c r="D37" t="s">
        <v>446</v>
      </c>
      <c r="E37" s="316">
        <f>MIN(E36,E33-E31)</f>
        <v>0</v>
      </c>
      <c r="F37" s="316">
        <f t="shared" ref="F37:AN37" si="8">MIN(F36,F33-F31)</f>
        <v>1257423.8526671431</v>
      </c>
      <c r="G37" s="316">
        <f t="shared" si="8"/>
        <v>3721415.6074388069</v>
      </c>
      <c r="H37" s="316">
        <f t="shared" si="8"/>
        <v>7341119.3137523904</v>
      </c>
      <c r="I37" s="316">
        <f t="shared" si="8"/>
        <v>12065679.021045243</v>
      </c>
      <c r="J37" s="316">
        <f t="shared" si="8"/>
        <v>23794586.913182665</v>
      </c>
      <c r="K37" s="316">
        <f t="shared" si="8"/>
        <v>33399389.556211818</v>
      </c>
      <c r="L37" s="316">
        <f t="shared" si="8"/>
        <v>52519731.540271491</v>
      </c>
      <c r="M37" s="316">
        <f t="shared" si="8"/>
        <v>73634098.123278722</v>
      </c>
      <c r="N37" s="316">
        <f t="shared" si="8"/>
        <v>96628396.386499971</v>
      </c>
      <c r="O37" s="316">
        <f t="shared" si="8"/>
        <v>121388262.83298694</v>
      </c>
      <c r="P37" s="316">
        <f t="shared" si="8"/>
        <v>141320733.6549671</v>
      </c>
      <c r="Q37" s="316">
        <f t="shared" si="8"/>
        <v>161997817.0938347</v>
      </c>
      <c r="R37" s="316">
        <f t="shared" si="8"/>
        <v>183301930.79633933</v>
      </c>
      <c r="S37" s="316">
        <f t="shared" si="8"/>
        <v>205115481.39877799</v>
      </c>
      <c r="T37" s="316">
        <f t="shared" si="8"/>
        <v>227320867.51158926</v>
      </c>
      <c r="U37" s="316">
        <f t="shared" si="8"/>
        <v>233989552.79141617</v>
      </c>
      <c r="V37" s="316">
        <f t="shared" si="8"/>
        <v>240054975.1291998</v>
      </c>
      <c r="W37" s="316">
        <f t="shared" si="8"/>
        <v>245517186.81801194</v>
      </c>
      <c r="X37" s="316">
        <f t="shared" si="8"/>
        <v>250376235.39920762</v>
      </c>
      <c r="Y37" s="316">
        <f t="shared" si="8"/>
        <v>254632164.1901527</v>
      </c>
      <c r="Z37" s="316">
        <f t="shared" si="8"/>
        <v>258285012.74315268</v>
      </c>
      <c r="AA37" s="316">
        <f t="shared" si="8"/>
        <v>261334817.24581549</v>
      </c>
      <c r="AB37" s="316">
        <f t="shared" si="8"/>
        <v>263781610.87139323</v>
      </c>
      <c r="AC37" s="316">
        <f t="shared" si="8"/>
        <v>265625424.08624181</v>
      </c>
      <c r="AD37" s="316">
        <f t="shared" si="8"/>
        <v>266866284.92040086</v>
      </c>
      <c r="AE37" s="316">
        <f t="shared" si="8"/>
        <v>267504219.20635113</v>
      </c>
      <c r="AF37" s="316">
        <f t="shared" si="8"/>
        <v>267539250.79023814</v>
      </c>
      <c r="AG37" s="316">
        <f t="shared" si="8"/>
        <v>266971401.71918818</v>
      </c>
      <c r="AH37" s="316">
        <f t="shared" si="8"/>
        <v>265800692.40782306</v>
      </c>
      <c r="AI37" s="316">
        <f t="shared" si="8"/>
        <v>264027141.7866137</v>
      </c>
      <c r="AJ37" s="316">
        <f t="shared" si="8"/>
        <v>261650767.43434575</v>
      </c>
      <c r="AK37" s="316">
        <f t="shared" si="8"/>
        <v>258671585.69664592</v>
      </c>
      <c r="AL37" s="316">
        <f t="shared" si="8"/>
        <v>255089611.79225209</v>
      </c>
      <c r="AM37" s="316">
        <f t="shared" si="8"/>
        <v>250904859.90847918</v>
      </c>
      <c r="AN37" s="316">
        <f t="shared" si="8"/>
        <v>246117343.28714105</v>
      </c>
    </row>
    <row r="38" spans="1:41" ht="15.75" thickBot="1">
      <c r="B38" t="s">
        <v>1266</v>
      </c>
      <c r="D38" t="s">
        <v>446</v>
      </c>
      <c r="E38" s="413">
        <f>E30*'2.2 Energy Systems inputs'!F14</f>
        <v>0</v>
      </c>
      <c r="F38" s="413">
        <f>F30*'2.2 Energy Systems inputs'!G14</f>
        <v>0</v>
      </c>
      <c r="G38" s="413">
        <f>G30*'2.2 Energy Systems inputs'!H14</f>
        <v>0</v>
      </c>
      <c r="H38" s="413">
        <f>H30*'2.2 Energy Systems inputs'!I14</f>
        <v>0</v>
      </c>
      <c r="I38" s="413">
        <f>I30*'2.2 Energy Systems inputs'!J14</f>
        <v>0</v>
      </c>
      <c r="J38" s="413">
        <f>J30*'2.2 Energy Systems inputs'!K14</f>
        <v>34086694.037757441</v>
      </c>
      <c r="K38" s="413">
        <f>K30*'2.2 Energy Systems inputs'!L14</f>
        <v>68577839.563746065</v>
      </c>
      <c r="L38" s="413">
        <f>L30*'2.2 Energy Systems inputs'!M14</f>
        <v>115545824.16038956</v>
      </c>
      <c r="M38" s="413">
        <f>M30*'2.2 Energy Systems inputs'!N14</f>
        <v>147785045.10886532</v>
      </c>
      <c r="N38" s="413">
        <f>N30*'2.2 Energy Systems inputs'!O14</f>
        <v>170298078.76123327</v>
      </c>
      <c r="O38" s="413">
        <f>O30*'2.2 Energy Systems inputs'!P14</f>
        <v>190222676.7376036</v>
      </c>
      <c r="P38" s="413">
        <f>P30*'2.2 Energy Systems inputs'!Q14</f>
        <v>209062123.02708745</v>
      </c>
      <c r="Q38" s="413">
        <f>Q30*'2.2 Energy Systems inputs'!R14</f>
        <v>230050880.02142385</v>
      </c>
      <c r="R38" s="413">
        <f>R30*'2.2 Energy Systems inputs'!S14</f>
        <v>255632480.97406784</v>
      </c>
      <c r="S38" s="413">
        <f>S30*'2.2 Energy Systems inputs'!T14</f>
        <v>290123670.8876043</v>
      </c>
      <c r="T38" s="413">
        <f>T30*'2.2 Energy Systems inputs'!U14</f>
        <v>333141687.68606198</v>
      </c>
      <c r="U38" s="413">
        <f>U30*'2.2 Energy Systems inputs'!V14</f>
        <v>354985128.43536508</v>
      </c>
      <c r="V38" s="413">
        <f>V30*'2.2 Energy Systems inputs'!W14</f>
        <v>377082972.30546582</v>
      </c>
      <c r="W38" s="413">
        <f>W30*'2.2 Energy Systems inputs'!X14</f>
        <v>399417997.85469675</v>
      </c>
      <c r="X38" s="413">
        <f>X30*'2.2 Energy Systems inputs'!Y14</f>
        <v>421974546.57036316</v>
      </c>
      <c r="Y38" s="413">
        <f>Y30*'2.2 Energy Systems inputs'!Z14</f>
        <v>444751065.21543521</v>
      </c>
      <c r="Z38" s="413">
        <f>Z30*'2.2 Energy Systems inputs'!AA14</f>
        <v>467725341.08867431</v>
      </c>
      <c r="AA38" s="413">
        <f>AA30*'2.2 Energy Systems inputs'!AB14</f>
        <v>490878083.93166333</v>
      </c>
      <c r="AB38" s="413">
        <f>AB30*'2.2 Energy Systems inputs'!AC14</f>
        <v>514211649.69563603</v>
      </c>
      <c r="AC38" s="413">
        <f>AC30*'2.2 Energy Systems inputs'!AD14</f>
        <v>537702672.44699609</v>
      </c>
      <c r="AD38" s="413">
        <f>AD30*'2.2 Energy Systems inputs'!AE14</f>
        <v>561341731.76897395</v>
      </c>
      <c r="AE38" s="413">
        <f>AE30*'2.2 Energy Systems inputs'!AF14</f>
        <v>585120145.01908135</v>
      </c>
      <c r="AF38" s="413">
        <f>AF30*'2.2 Energy Systems inputs'!AG14</f>
        <v>609029896.49117041</v>
      </c>
      <c r="AG38" s="413">
        <f>AG30*'2.2 Energy Systems inputs'!AH14</f>
        <v>633063574.585567</v>
      </c>
      <c r="AH38" s="413">
        <f>AH30*'2.2 Energy Systems inputs'!AI14</f>
        <v>657214315.95065212</v>
      </c>
      <c r="AI38" s="413">
        <f>AI30*'2.2 Energy Systems inputs'!AJ14</f>
        <v>681475755.70981193</v>
      </c>
      <c r="AJ38" s="413">
        <f>AJ30*'2.2 Energy Systems inputs'!AK14</f>
        <v>705841983.01410329</v>
      </c>
      <c r="AK38" s="413">
        <f>AK30*'2.2 Energy Systems inputs'!AL14</f>
        <v>730307501.26745284</v>
      </c>
      <c r="AL38" s="413">
        <f>AL30*'2.2 Energy Systems inputs'!AM14</f>
        <v>754867192.46119452</v>
      </c>
      <c r="AM38" s="413">
        <f>AM30*'2.2 Energy Systems inputs'!AN14</f>
        <v>779516285.13100624</v>
      </c>
      <c r="AN38" s="413">
        <f>AN30*'2.2 Energy Systems inputs'!AO14</f>
        <v>804250325.51417005</v>
      </c>
    </row>
    <row r="39" spans="1:41" ht="15.75" thickTop="1">
      <c r="B39" t="s">
        <v>1258</v>
      </c>
      <c r="D39" t="s">
        <v>446</v>
      </c>
      <c r="E39" s="316">
        <f>IF(E38+E37&gt;E33-E31,E33-E31-E37,E38)</f>
        <v>0</v>
      </c>
      <c r="F39" s="316">
        <f t="shared" ref="F39:AN39" si="9">IF(F38+F37&gt;F33-F31,F33-F31-F37,F38)</f>
        <v>0</v>
      </c>
      <c r="G39" s="316">
        <f t="shared" si="9"/>
        <v>0</v>
      </c>
      <c r="H39" s="316">
        <f t="shared" si="9"/>
        <v>0</v>
      </c>
      <c r="I39" s="316">
        <f t="shared" si="9"/>
        <v>0</v>
      </c>
      <c r="J39" s="316">
        <f t="shared" si="9"/>
        <v>34086694.037757441</v>
      </c>
      <c r="K39" s="316">
        <f t="shared" si="9"/>
        <v>68577839.563746065</v>
      </c>
      <c r="L39" s="316">
        <f t="shared" si="9"/>
        <v>115545824.16038956</v>
      </c>
      <c r="M39" s="316">
        <f t="shared" si="9"/>
        <v>147785045.10886532</v>
      </c>
      <c r="N39" s="316">
        <f t="shared" si="9"/>
        <v>170298078.76123327</v>
      </c>
      <c r="O39" s="316">
        <f t="shared" si="9"/>
        <v>190222676.7376036</v>
      </c>
      <c r="P39" s="316">
        <f t="shared" si="9"/>
        <v>209062123.02708745</v>
      </c>
      <c r="Q39" s="316">
        <f t="shared" si="9"/>
        <v>230050880.02142385</v>
      </c>
      <c r="R39" s="316">
        <f t="shared" si="9"/>
        <v>255632480.97406784</v>
      </c>
      <c r="S39" s="316">
        <f t="shared" si="9"/>
        <v>290123670.8876043</v>
      </c>
      <c r="T39" s="316">
        <f t="shared" si="9"/>
        <v>333141687.68606198</v>
      </c>
      <c r="U39" s="316">
        <f t="shared" si="9"/>
        <v>354985128.43536508</v>
      </c>
      <c r="V39" s="316">
        <f t="shared" si="9"/>
        <v>377082972.30546582</v>
      </c>
      <c r="W39" s="316">
        <f t="shared" si="9"/>
        <v>399417997.85469675</v>
      </c>
      <c r="X39" s="316">
        <f t="shared" si="9"/>
        <v>421974546.57036316</v>
      </c>
      <c r="Y39" s="316">
        <f t="shared" si="9"/>
        <v>444751065.21543521</v>
      </c>
      <c r="Z39" s="316">
        <f t="shared" si="9"/>
        <v>467725341.08867431</v>
      </c>
      <c r="AA39" s="316">
        <f t="shared" si="9"/>
        <v>490878083.93166333</v>
      </c>
      <c r="AB39" s="316">
        <f t="shared" si="9"/>
        <v>514211649.69563603</v>
      </c>
      <c r="AC39" s="316">
        <f t="shared" si="9"/>
        <v>537702672.44699609</v>
      </c>
      <c r="AD39" s="316">
        <f t="shared" si="9"/>
        <v>561341731.76897395</v>
      </c>
      <c r="AE39" s="316">
        <f t="shared" si="9"/>
        <v>585120145.01908135</v>
      </c>
      <c r="AF39" s="316">
        <f t="shared" si="9"/>
        <v>609029896.49117041</v>
      </c>
      <c r="AG39" s="316">
        <f t="shared" si="9"/>
        <v>633063574.585567</v>
      </c>
      <c r="AH39" s="316">
        <f t="shared" si="9"/>
        <v>657214315.95065212</v>
      </c>
      <c r="AI39" s="316">
        <f t="shared" si="9"/>
        <v>681475755.70981193</v>
      </c>
      <c r="AJ39" s="316">
        <f t="shared" si="9"/>
        <v>705841983.01410329</v>
      </c>
      <c r="AK39" s="316">
        <f t="shared" si="9"/>
        <v>730307501.26745284</v>
      </c>
      <c r="AL39" s="316">
        <f t="shared" si="9"/>
        <v>754867192.46119452</v>
      </c>
      <c r="AM39" s="316">
        <f t="shared" si="9"/>
        <v>779516285.13100624</v>
      </c>
      <c r="AN39" s="316">
        <f t="shared" si="9"/>
        <v>804250325.51417005</v>
      </c>
    </row>
    <row r="40" spans="1:41">
      <c r="B40" t="s">
        <v>1259</v>
      </c>
      <c r="D40" t="s">
        <v>452</v>
      </c>
      <c r="E40" s="315">
        <f>IF(E39=E38,'2.2 Energy Systems inputs'!F14,E39/E30)</f>
        <v>0</v>
      </c>
      <c r="F40" s="315">
        <f>IF(F39=F38,'2.2 Energy Systems inputs'!G14,F39/F30)</f>
        <v>0</v>
      </c>
      <c r="G40" s="315">
        <f>IF(G39=G38,'2.2 Energy Systems inputs'!H14,G39/G30)</f>
        <v>0</v>
      </c>
      <c r="H40" s="315">
        <f>IF(H39=H38,'2.2 Energy Systems inputs'!I14,H39/H30)</f>
        <v>0</v>
      </c>
      <c r="I40" s="315">
        <f>IF(I39=I38,'2.2 Energy Systems inputs'!J14,I39/I30)</f>
        <v>0</v>
      </c>
      <c r="J40" s="315">
        <f>IF(J39=J38,'2.2 Energy Systems inputs'!K14,J39/J30)</f>
        <v>7.9999999999999766E-2</v>
      </c>
      <c r="K40" s="315">
        <f>IF(K39=K38,'2.2 Energy Systems inputs'!L14,K39/K30)</f>
        <v>0.1407998385532471</v>
      </c>
      <c r="L40" s="315">
        <f>IF(L39=L38,'2.2 Energy Systems inputs'!M14,L39/L30)</f>
        <v>0.22415939938595816</v>
      </c>
      <c r="M40" s="315">
        <f>IF(M39=M38,'2.2 Energy Systems inputs'!N14,M39/M30)</f>
        <v>0.28880311508532053</v>
      </c>
      <c r="N40" s="315">
        <f>IF(N39=N38,'2.2 Energy Systems inputs'!O14,N39/N30)</f>
        <v>0.3403979242838242</v>
      </c>
      <c r="O40" s="315">
        <f>IF(O39=O38,'2.2 Energy Systems inputs'!P14,O39/O30)</f>
        <v>0.38253266374755834</v>
      </c>
      <c r="P40" s="315">
        <f>IF(P39=P38,'2.2 Energy Systems inputs'!Q14,P39/P30)</f>
        <v>0.42519313598415742</v>
      </c>
      <c r="Q40" s="315">
        <f>IF(Q39=Q38,'2.2 Energy Systems inputs'!R14,Q39/Q30)</f>
        <v>0.46233977932869624</v>
      </c>
      <c r="R40" s="315">
        <f>IF(R39=R38,'2.2 Energy Systems inputs'!S14,R39/R30)</f>
        <v>0.49497669082213958</v>
      </c>
      <c r="S40" s="315">
        <f>IF(S39=S38,'2.2 Energy Systems inputs'!T14,S39/S30)</f>
        <v>0.52387811801536321</v>
      </c>
      <c r="T40" s="315">
        <f>IF(T39=T38,'2.2 Energy Systems inputs'!U14,T39/T30)</f>
        <v>0.54965066790845485</v>
      </c>
      <c r="U40" s="315">
        <f>IF(U39=U38,'2.2 Energy Systems inputs'!V14,U39/U30)</f>
        <v>0.56061479765929501</v>
      </c>
      <c r="V40" s="315">
        <f>IF(V39=V38,'2.2 Energy Systems inputs'!W14,V39/V30)</f>
        <v>0.57105775405996606</v>
      </c>
      <c r="W40" s="315">
        <f>IF(W39=W38,'2.2 Energy Systems inputs'!X14,W39/W30)</f>
        <v>0.58101583490864206</v>
      </c>
      <c r="X40" s="315">
        <f>IF(X39=X38,'2.2 Energy Systems inputs'!Y14,X39/X30)</f>
        <v>0.59052204380308959</v>
      </c>
      <c r="Y40" s="315">
        <f>IF(Y39=Y38,'2.2 Energy Systems inputs'!Z14,Y39/Y30)</f>
        <v>0.59960645555561165</v>
      </c>
      <c r="Z40" s="315">
        <f>IF(Z39=Z38,'2.2 Energy Systems inputs'!AA14,Z39/Z30)</f>
        <v>0.60829653402254169</v>
      </c>
      <c r="AA40" s="315">
        <f>IF(AA39=AA38,'2.2 Energy Systems inputs'!AB14,AA39/AA30)</f>
        <v>0.61661740942422072</v>
      </c>
      <c r="AB40" s="315">
        <f>IF(AB39=AB38,'2.2 Energy Systems inputs'!AC14,AB39/AB30)</f>
        <v>0.62459212105390749</v>
      </c>
      <c r="AC40" s="315">
        <f>IF(AC39=AC38,'2.2 Energy Systems inputs'!AD14,AC39/AC30)</f>
        <v>0.63224183031252179</v>
      </c>
      <c r="AD40" s="315">
        <f>IF(AD39=AD38,'2.2 Energy Systems inputs'!AE14,AD39/AD30)</f>
        <v>0.63958600821740164</v>
      </c>
      <c r="AE40" s="315">
        <f>IF(AE39=AE38,'2.2 Energy Systems inputs'!AF14,AE39/AE30)</f>
        <v>0.646642600883507</v>
      </c>
      <c r="AF40" s="315">
        <f>IF(AF39=AF38,'2.2 Energy Systems inputs'!AG14,AF39/AF30)</f>
        <v>0.65342817593806657</v>
      </c>
      <c r="AG40" s="315">
        <f>IF(AG39=AG38,'2.2 Energy Systems inputs'!AH14,AG39/AG30)</f>
        <v>0.65995805238333327</v>
      </c>
      <c r="AH40" s="315">
        <f>IF(AH39=AH38,'2.2 Energy Systems inputs'!AI14,AH39/AH30)</f>
        <v>0.66624641605010471</v>
      </c>
      <c r="AI40" s="315">
        <f>IF(AI39=AI38,'2.2 Energy Systems inputs'!AJ14,AI39/AI30)</f>
        <v>0.67230642247341654</v>
      </c>
      <c r="AJ40" s="315">
        <f>IF(AJ39=AJ38,'2.2 Energy Systems inputs'!AK14,AJ39/AJ30)</f>
        <v>0.6781502887605424</v>
      </c>
      <c r="AK40" s="315">
        <f>IF(AK39=AK38,'2.2 Energy Systems inputs'!AL14,AK39/AK30)</f>
        <v>0.68378937580134846</v>
      </c>
      <c r="AL40" s="315">
        <f>IF(AL39=AL38,'2.2 Energy Systems inputs'!AM14,AL39/AL30)</f>
        <v>0.6892342619850822</v>
      </c>
      <c r="AM40" s="315">
        <f>IF(AM39=AM38,'2.2 Energy Systems inputs'!AN14,AM39/AM30)</f>
        <v>0.6944948094300295</v>
      </c>
      <c r="AN40" s="315">
        <f>IF(AN39=AN38,'2.2 Energy Systems inputs'!AO14,AN39/AN30)</f>
        <v>0.69958022359844985</v>
      </c>
      <c r="AO40" s="319"/>
    </row>
    <row r="41" spans="1:41">
      <c r="B41" t="s">
        <v>220</v>
      </c>
      <c r="D41" t="s">
        <v>452</v>
      </c>
      <c r="E41" s="315">
        <f>0</f>
        <v>0</v>
      </c>
      <c r="F41" s="315">
        <f>0</f>
        <v>0</v>
      </c>
      <c r="G41" s="315">
        <f>0</f>
        <v>0</v>
      </c>
      <c r="H41" s="315">
        <f>0</f>
        <v>0</v>
      </c>
      <c r="I41" s="315">
        <f>0</f>
        <v>0</v>
      </c>
      <c r="J41" s="315">
        <f>0</f>
        <v>0</v>
      </c>
      <c r="K41" s="315">
        <f>0</f>
        <v>0</v>
      </c>
      <c r="L41" s="315">
        <f>0</f>
        <v>0</v>
      </c>
      <c r="M41" s="315">
        <f>0</f>
        <v>0</v>
      </c>
      <c r="N41" s="315">
        <f>0</f>
        <v>0</v>
      </c>
      <c r="O41" s="315">
        <f>0</f>
        <v>0</v>
      </c>
      <c r="P41" s="315">
        <f>0</f>
        <v>0</v>
      </c>
      <c r="Q41" s="315">
        <f>0</f>
        <v>0</v>
      </c>
      <c r="R41" s="315">
        <f>0</f>
        <v>0</v>
      </c>
      <c r="S41" s="315">
        <f>0</f>
        <v>0</v>
      </c>
      <c r="T41" s="315">
        <f>0</f>
        <v>0</v>
      </c>
      <c r="U41" s="315">
        <f>0</f>
        <v>0</v>
      </c>
      <c r="V41" s="315">
        <f>0</f>
        <v>0</v>
      </c>
      <c r="W41" s="315">
        <f>0</f>
        <v>0</v>
      </c>
      <c r="X41" s="315">
        <f>0</f>
        <v>0</v>
      </c>
      <c r="Y41" s="315">
        <f>0</f>
        <v>0</v>
      </c>
      <c r="Z41" s="315">
        <f>0</f>
        <v>0</v>
      </c>
      <c r="AA41" s="315">
        <f>0</f>
        <v>0</v>
      </c>
      <c r="AB41" s="315">
        <f>0</f>
        <v>0</v>
      </c>
      <c r="AC41" s="315">
        <f>0</f>
        <v>0</v>
      </c>
      <c r="AD41" s="315">
        <f>0</f>
        <v>0</v>
      </c>
      <c r="AE41" s="315">
        <f>0</f>
        <v>0</v>
      </c>
      <c r="AF41" s="315">
        <f>0</f>
        <v>0</v>
      </c>
      <c r="AG41" s="315">
        <f>0</f>
        <v>0</v>
      </c>
      <c r="AH41" s="315">
        <f>0</f>
        <v>0</v>
      </c>
      <c r="AI41" s="315">
        <f>0</f>
        <v>0</v>
      </c>
      <c r="AJ41" s="315">
        <f>0</f>
        <v>0</v>
      </c>
      <c r="AK41" s="315">
        <f>0</f>
        <v>0</v>
      </c>
      <c r="AL41" s="315">
        <f>0</f>
        <v>0</v>
      </c>
      <c r="AM41" s="315">
        <f>0</f>
        <v>0</v>
      </c>
      <c r="AN41" s="315">
        <f>0</f>
        <v>0</v>
      </c>
    </row>
    <row r="42" spans="1:41">
      <c r="B42" t="s">
        <v>96</v>
      </c>
      <c r="D42" t="s">
        <v>452</v>
      </c>
      <c r="E42" s="315">
        <f>IFERROR(E37/E30,0)</f>
        <v>0</v>
      </c>
      <c r="F42" s="315">
        <f t="shared" ref="F42:AN42" si="10">IFERROR(F37/F30,0)</f>
        <v>1.4628869020055309E-2</v>
      </c>
      <c r="G42" s="315">
        <f t="shared" si="10"/>
        <v>2.1647474467315686E-2</v>
      </c>
      <c r="H42" s="315">
        <f t="shared" si="10"/>
        <v>2.8468860539398455E-2</v>
      </c>
      <c r="I42" s="315">
        <f t="shared" si="10"/>
        <v>3.5093291378027885E-2</v>
      </c>
      <c r="J42" s="315">
        <f t="shared" si="10"/>
        <v>5.5844868702903491E-2</v>
      </c>
      <c r="K42" s="315">
        <f t="shared" si="10"/>
        <v>6.8573590057766906E-2</v>
      </c>
      <c r="L42" s="315">
        <f t="shared" si="10"/>
        <v>0.10188850669010044</v>
      </c>
      <c r="M42" s="315">
        <f t="shared" si="10"/>
        <v>0.14389654175654717</v>
      </c>
      <c r="N42" s="315">
        <f t="shared" si="10"/>
        <v>0.19314431375914468</v>
      </c>
      <c r="O42" s="315">
        <f t="shared" si="10"/>
        <v>0.24410851705785017</v>
      </c>
      <c r="P42" s="315">
        <f t="shared" si="10"/>
        <v>0.28741985899833156</v>
      </c>
      <c r="Q42" s="315">
        <f t="shared" si="10"/>
        <v>0.3255716083325525</v>
      </c>
      <c r="R42" s="315">
        <f t="shared" si="10"/>
        <v>0.35492431470821129</v>
      </c>
      <c r="S42" s="315">
        <f t="shared" si="10"/>
        <v>0.37037830123360044</v>
      </c>
      <c r="T42" s="315">
        <f t="shared" si="10"/>
        <v>0.37505683400097017</v>
      </c>
      <c r="U42" s="315">
        <f t="shared" si="10"/>
        <v>0.36953098956773145</v>
      </c>
      <c r="V42" s="315">
        <f>IFERROR(V37/V30,0)</f>
        <v>0.36354135565992196</v>
      </c>
      <c r="W42" s="315">
        <f t="shared" si="10"/>
        <v>0.35714307830310216</v>
      </c>
      <c r="X42" s="315">
        <f t="shared" si="10"/>
        <v>0.35038294951520138</v>
      </c>
      <c r="Y42" s="315">
        <f t="shared" si="10"/>
        <v>0.34329111582128541</v>
      </c>
      <c r="Z42" s="315">
        <f t="shared" si="10"/>
        <v>0.33591055313772522</v>
      </c>
      <c r="AA42" s="315">
        <f t="shared" si="10"/>
        <v>0.3282762121131898</v>
      </c>
      <c r="AB42" s="315">
        <f t="shared" si="10"/>
        <v>0.32040486816411035</v>
      </c>
      <c r="AC42" s="315">
        <f t="shared" si="10"/>
        <v>0.31232782150321176</v>
      </c>
      <c r="AD42" s="315">
        <f t="shared" si="10"/>
        <v>0.3040642308245376</v>
      </c>
      <c r="AE42" s="315">
        <f t="shared" si="10"/>
        <v>0.29563094951937718</v>
      </c>
      <c r="AF42" s="315">
        <f t="shared" si="10"/>
        <v>0.2870428621696352</v>
      </c>
      <c r="AG42" s="315">
        <f t="shared" si="10"/>
        <v>0.27831316378609539</v>
      </c>
      <c r="AH42" s="315">
        <f t="shared" si="10"/>
        <v>0.26945359284237708</v>
      </c>
      <c r="AI42" s="315">
        <f t="shared" si="10"/>
        <v>0.26047462678338684</v>
      </c>
      <c r="AJ42" s="315">
        <f t="shared" si="10"/>
        <v>0.25138564687285503</v>
      </c>
      <c r="AK42" s="315">
        <f t="shared" si="10"/>
        <v>0.24219507784609043</v>
      </c>
      <c r="AL42" s="315">
        <f t="shared" si="10"/>
        <v>0.23291050674815517</v>
      </c>
      <c r="AM42" s="315">
        <f t="shared" si="10"/>
        <v>0.22353878448854025</v>
      </c>
      <c r="AN42" s="315">
        <f t="shared" si="10"/>
        <v>0.21408611297508384</v>
      </c>
    </row>
    <row r="43" spans="1:41">
      <c r="A43" t="s">
        <v>1260</v>
      </c>
      <c r="B43" t="s">
        <v>219</v>
      </c>
      <c r="D43" t="s">
        <v>452</v>
      </c>
      <c r="E43" s="5">
        <f>'2.1 Building inputs'!E16</f>
        <v>0</v>
      </c>
      <c r="F43" s="5">
        <f>'2.1 Building inputs'!F16</f>
        <v>0</v>
      </c>
      <c r="G43" s="5">
        <f>'2.1 Building inputs'!G16</f>
        <v>0</v>
      </c>
      <c r="H43" s="5">
        <f>'2.1 Building inputs'!H16</f>
        <v>0</v>
      </c>
      <c r="I43" s="5">
        <f>'2.1 Building inputs'!I16</f>
        <v>0</v>
      </c>
      <c r="J43" s="5">
        <f>'2.1 Building inputs'!J16</f>
        <v>3.8494588464477813E-3</v>
      </c>
      <c r="K43" s="5">
        <f>'2.1 Building inputs'!K16</f>
        <v>6.078472907222977E-3</v>
      </c>
      <c r="L43" s="5">
        <f>'2.1 Building inputs'!L16</f>
        <v>7.7437442869030685E-3</v>
      </c>
      <c r="M43" s="5">
        <f>'2.1 Building inputs'!M16</f>
        <v>9.0351298047125876E-3</v>
      </c>
      <c r="N43" s="5">
        <f>'2.1 Building inputs'!N16</f>
        <v>1.0065837719198235E-2</v>
      </c>
      <c r="O43" s="5">
        <f>'2.1 Building inputs'!O16</f>
        <v>1.0907562111917202E-2</v>
      </c>
      <c r="P43" s="5">
        <f>'2.1 Building inputs'!P16</f>
        <v>1.1483749530573156E-2</v>
      </c>
      <c r="Q43" s="5">
        <f>'2.1 Building inputs'!Q16</f>
        <v>1.1985465227054844E-2</v>
      </c>
      <c r="R43" s="5">
        <f>'2.1 Building inputs'!R16</f>
        <v>1.2426270890949411E-2</v>
      </c>
      <c r="S43" s="5">
        <f>'2.1 Building inputs'!S16</f>
        <v>1.2816623783378245E-2</v>
      </c>
      <c r="T43" s="5">
        <f>'2.1 Building inputs'!T16</f>
        <v>1.3164716952922258E-2</v>
      </c>
      <c r="U43" s="5">
        <f>'2.1 Building inputs'!U16</f>
        <v>1.3312802365195909E-2</v>
      </c>
      <c r="V43" s="5">
        <f>'2.1 Building inputs'!V16</f>
        <v>1.3453848625965549E-2</v>
      </c>
      <c r="W43" s="5">
        <f>'2.1 Building inputs'!W16</f>
        <v>1.3588345986124713E-2</v>
      </c>
      <c r="X43" s="5">
        <f>'2.1 Building inputs'!X16</f>
        <v>1.3716740203931726E-2</v>
      </c>
      <c r="Y43" s="5">
        <f>'2.1 Building inputs'!Y16</f>
        <v>1.3839437480433103E-2</v>
      </c>
      <c r="Z43" s="5">
        <f>'2.1 Building inputs'!Z16</f>
        <v>1.3956808752181062E-2</v>
      </c>
      <c r="AA43" s="5">
        <f>'2.1 Building inputs'!AA16</f>
        <v>1.4069193436815145E-2</v>
      </c>
      <c r="AB43" s="5">
        <f>'2.1 Building inputs'!AB16</f>
        <v>1.4176902711174574E-2</v>
      </c>
      <c r="AC43" s="5">
        <f>'2.1 Building inputs'!AC16</f>
        <v>1.428022238862081E-2</v>
      </c>
      <c r="AD43" s="5">
        <f>'2.1 Building inputs'!AD16</f>
        <v>1.4379415451597091E-2</v>
      </c>
      <c r="AE43" s="5">
        <f>'2.1 Building inputs'!AE16</f>
        <v>1.4474724286676075E-2</v>
      </c>
      <c r="AF43" s="5">
        <f>'2.1 Building inputs'!AF16</f>
        <v>1.456637266208784E-2</v>
      </c>
      <c r="AG43" s="5">
        <f>'2.1 Building inputs'!AG16</f>
        <v>1.4654567481692122E-2</v>
      </c>
      <c r="AH43" s="5">
        <f>'2.1 Building inputs'!AH16</f>
        <v>1.4739500344334432E-2</v>
      </c>
      <c r="AI43" s="5">
        <f>'2.1 Building inputs'!AI16</f>
        <v>1.4821348933321474E-2</v>
      </c>
      <c r="AJ43" s="5">
        <f>'2.1 Building inputs'!AJ16</f>
        <v>1.4900278257222878E-2</v>
      </c>
      <c r="AK43" s="5">
        <f>'2.1 Building inputs'!AK16</f>
        <v>1.4976441760233305E-2</v>
      </c>
      <c r="AL43" s="5">
        <f>'2.1 Building inputs'!AL16</f>
        <v>1.5049982317817418E-2</v>
      </c>
      <c r="AM43" s="5">
        <f>'2.1 Building inputs'!AM16</f>
        <v>1.5121033131231079E-2</v>
      </c>
      <c r="AN43" s="5">
        <f>'2.1 Building inputs'!AN16</f>
        <v>1.5189718532701735E-2</v>
      </c>
    </row>
    <row r="44" spans="1:41">
      <c r="B44" t="s">
        <v>774</v>
      </c>
      <c r="D44" t="s">
        <v>452</v>
      </c>
      <c r="E44" s="610">
        <f>(1-SUM(E40,E41,E42,E43))*'2.2 Energy Systems inputs'!F55</f>
        <v>0.93</v>
      </c>
      <c r="F44" s="610">
        <f>(1-SUM(F40,F41,F42,F43))*'2.2 Energy Systems inputs'!G55</f>
        <v>0.91639515181134856</v>
      </c>
      <c r="G44" s="610">
        <f>(1-SUM(G40,G41,G42,G43))*'2.2 Energy Systems inputs'!H55</f>
        <v>0.9098678487453965</v>
      </c>
      <c r="H44" s="610">
        <f>(1-SUM(H40,H41,H42,H43))*'2.2 Energy Systems inputs'!I55</f>
        <v>0.90352395969835952</v>
      </c>
      <c r="I44" s="610">
        <f>(1-SUM(I40,I41,I42,I43))*'2.2 Energy Systems inputs'!J55</f>
        <v>0.89736323901843418</v>
      </c>
      <c r="J44" s="610">
        <f>(1-SUM(J40,J41,J42,J43))*'2.2 Energy Systems inputs'!K55</f>
        <v>0.80008427537910365</v>
      </c>
      <c r="K44" s="610">
        <f>(1-SUM(K40,K41,K42,K43))*'2.2 Energy Systems inputs'!L55</f>
        <v>0.72962973158803957</v>
      </c>
      <c r="L44" s="610">
        <f>(1-SUM(L40,L41,L42,L43))*'2.2 Energy Systems inputs'!M55</f>
        <v>0.61957376516244567</v>
      </c>
      <c r="M44" s="610">
        <f>(1-SUM(M40,M41,M42,M43))*'2.2 Energy Systems inputs'!N55</f>
        <v>0.51918664841868023</v>
      </c>
      <c r="N44" s="610">
        <f>(1-SUM(N40,N41,N42,N43))*'2.2 Energy Systems inputs'!O55</f>
        <v>0.42444448954118463</v>
      </c>
      <c r="O44" s="610">
        <f>(1-SUM(O40,O41,O42,O43))*'2.2 Energy Systems inputs'!P55</f>
        <v>0.33707966908688702</v>
      </c>
      <c r="P44" s="610">
        <f>(1-SUM(P40,P41,P42,P43))*'2.2 Energy Systems inputs'!Q55</f>
        <v>0.25659002760285221</v>
      </c>
      <c r="Q44" s="610">
        <f>(1-SUM(Q40,Q41,Q42,Q43))*'2.2 Energy Systems inputs'!R55</f>
        <v>0.1849886560493352</v>
      </c>
      <c r="R44" s="610">
        <f>(1-SUM(R40,R41,R42,R43))*'2.2 Energy Systems inputs'!S55</f>
        <v>0.12651200889634531</v>
      </c>
      <c r="S44" s="610">
        <f>(1-SUM(S40,S41,S42,S43))*'2.2 Energy Systems inputs'!T55</f>
        <v>8.4879436030780395E-2</v>
      </c>
      <c r="T44" s="610">
        <f>(1-SUM(T40,T41,T42,T43))*'2.2 Energy Systems inputs'!U55</f>
        <v>5.6403700150316226E-2</v>
      </c>
      <c r="U44" s="610">
        <f>(1-SUM(U40,U41,U42,U43))*'2.2 Energy Systems inputs'!V55</f>
        <v>5.0724684541372286E-2</v>
      </c>
      <c r="V44" s="610">
        <f>(1-SUM(V40,V41,V42,V43))*'2.2 Energy Systems inputs'!W55</f>
        <v>4.6044974622527275E-2</v>
      </c>
      <c r="W44" s="610">
        <f>(1-SUM(W40,W41,W42,W43))*'2.2 Energy Systems inputs'!X55</f>
        <v>4.2252102335089234E-2</v>
      </c>
      <c r="X44" s="610">
        <f>(1-SUM(X40,X41,X42,X43))*'2.2 Energy Systems inputs'!Y55</f>
        <v>3.9247662676629602E-2</v>
      </c>
      <c r="Y44" s="610">
        <f>(1-SUM(Y40,Y41,Y42,Y43))*'2.2 Energy Systems inputs'!Z55</f>
        <v>3.7418161039295149E-2</v>
      </c>
      <c r="Z44" s="610">
        <f>(1-SUM(Z40,Z41,Z42,Z43))*'2.2 Energy Systems inputs'!AA55</f>
        <v>3.3771776663635476E-2</v>
      </c>
      <c r="AA44" s="610">
        <f>(1-SUM(AA40,AA41,AA42,AA43))*'2.2 Energy Systems inputs'!AB55</f>
        <v>3.0760653151619945E-2</v>
      </c>
      <c r="AB44" s="610">
        <f>(1-SUM(AB40,AB41,AB42,AB43))*'2.2 Energy Systems inputs'!AC55</f>
        <v>2.8248400696353163E-2</v>
      </c>
      <c r="AC44" s="610">
        <f>(1-SUM(AC40,AC41,AC42,AC43))*'2.2 Energy Systems inputs'!AD55</f>
        <v>2.6099878787146171E-2</v>
      </c>
      <c r="AD44" s="610">
        <f>(1-SUM(AD40,AD41,AD42,AD43))*'2.2 Energy Systems inputs'!AE55</f>
        <v>2.4200101219026989E-2</v>
      </c>
      <c r="AE44" s="610">
        <f>(1-SUM(AE40,AE41,AE42,AE43))*'2.2 Energy Systems inputs'!AF55</f>
        <v>2.2445050332599605E-2</v>
      </c>
      <c r="AF44" s="610">
        <f>(1-SUM(AF40,AF41,AF42,AF43))*'2.2 Energy Systems inputs'!AG55</f>
        <v>2.0740343160111478E-2</v>
      </c>
      <c r="AG44" s="610">
        <f>(1-SUM(AG40,AG41,AG42,AG43))*'2.2 Energy Systems inputs'!AH55</f>
        <v>1.9000095202734622E-2</v>
      </c>
      <c r="AH44" s="610">
        <f>(1-SUM(AH40,AH41,AH42,AH43))*'2.2 Energy Systems inputs'!AI55</f>
        <v>1.714594738443103E-2</v>
      </c>
      <c r="AI44" s="610">
        <f>(1-SUM(AI40,AI41,AI42,AI43))*'2.2 Energy Systems inputs'!AJ55</f>
        <v>1.5106228601787019E-2</v>
      </c>
      <c r="AJ44" s="610">
        <f>(1-SUM(AJ40,AJ41,AJ42,AJ43))*'2.2 Energy Systems inputs'!AK55</f>
        <v>1.2815231628267341E-2</v>
      </c>
      <c r="AK44" s="610">
        <f>(1-SUM(AK40,AK41,AK42,AK43))*'2.2 Energy Systems inputs'!AL55</f>
        <v>1.0212584312380877E-2</v>
      </c>
      <c r="AL44" s="610">
        <f>(1-SUM(AL40,AL41,AL42,AL43))*'2.2 Energy Systems inputs'!AM55</f>
        <v>7.24270130879237E-3</v>
      </c>
      <c r="AM44" s="610">
        <f>(1-SUM(AM40,AM41,AM42,AM43))*'2.2 Energy Systems inputs'!AN55</f>
        <v>3.8543042043084831E-3</v>
      </c>
      <c r="AN44" s="610">
        <f>(1-SUM(AN40,AN41,AN42,AN43))*'2.2 Energy Systems inputs'!AO55</f>
        <v>0</v>
      </c>
    </row>
    <row r="45" spans="1:41">
      <c r="B45" t="s">
        <v>1200</v>
      </c>
      <c r="D45" t="s">
        <v>452</v>
      </c>
      <c r="E45" s="507">
        <f>(1-SUM(E40,E41,E42,E43))*'2.2 Energy Systems inputs'!F56</f>
        <v>7.0000000000000007E-2</v>
      </c>
      <c r="F45" s="507">
        <f>(1-SUM(F40,F41,F42,F43))*'2.2 Energy Systems inputs'!G56</f>
        <v>6.897597916859613E-2</v>
      </c>
      <c r="G45" s="507">
        <f>(1-SUM(G40,G41,G42,G43))*'2.2 Energy Systems inputs'!H56</f>
        <v>6.848467678728791E-2</v>
      </c>
      <c r="H45" s="507">
        <f>(1-SUM(H40,H41,H42,H43))*'2.2 Energy Systems inputs'!I56</f>
        <v>6.8007179762242118E-2</v>
      </c>
      <c r="I45" s="507">
        <f>(1-SUM(I40,I41,I42,I43))*'2.2 Energy Systems inputs'!J56</f>
        <v>6.7543469603538062E-2</v>
      </c>
      <c r="J45" s="507">
        <f>(1-SUM(J40,J41,J42,J43))*'2.2 Energy Systems inputs'!K56</f>
        <v>6.0221397071545439E-2</v>
      </c>
      <c r="K45" s="507">
        <f>(1-SUM(K40,K41,K42,K43))*'2.2 Energy Systems inputs'!L56</f>
        <v>5.4918366893723418E-2</v>
      </c>
      <c r="L45" s="507">
        <f>(1-SUM(L40,L41,L42,L43))*'2.2 Energy Systems inputs'!M56</f>
        <v>4.6634584474592691E-2</v>
      </c>
      <c r="M45" s="507">
        <f>(1-SUM(M40,M41,M42,M43))*'2.2 Energy Systems inputs'!N56</f>
        <v>3.9078564934739379E-2</v>
      </c>
      <c r="N45" s="507">
        <f>(1-SUM(N40,N41,N42,N43))*'2.2 Energy Systems inputs'!O56</f>
        <v>3.1947434696648305E-2</v>
      </c>
      <c r="O45" s="507">
        <f>(1-SUM(O40,O41,O42,O43))*'2.2 Energy Systems inputs'!P56</f>
        <v>2.5371587995787197E-2</v>
      </c>
      <c r="P45" s="507">
        <f>(1-SUM(P40,P41,P42,P43))*'2.2 Energy Systems inputs'!Q56</f>
        <v>1.9313227884085651E-2</v>
      </c>
      <c r="Q45" s="507">
        <f>(1-SUM(Q40,Q41,Q42,Q43))*'2.2 Energy Systems inputs'!R56</f>
        <v>1.4007220297818758E-2</v>
      </c>
      <c r="R45" s="507">
        <f>(1-SUM(R40,R41,R42,R43))*'2.2 Energy Systems inputs'!S56</f>
        <v>9.6370906505089827E-3</v>
      </c>
      <c r="S45" s="507">
        <f>(1-SUM(S40,S41,S42,S43))*'2.2 Energy Systems inputs'!T56</f>
        <v>6.5048869877360653E-3</v>
      </c>
      <c r="T45" s="507">
        <f>(1-SUM(T40,T41,T42,T43))*'2.2 Energy Systems inputs'!U56</f>
        <v>4.3489446796356902E-3</v>
      </c>
      <c r="U45" s="507">
        <f>(1-SUM(U40,U41,U42,U43))*'2.2 Energy Systems inputs'!V56</f>
        <v>3.9578987285444327E-3</v>
      </c>
      <c r="V45" s="507">
        <f>(1-SUM(V40,V41,V42,V43))*'2.2 Energy Systems inputs'!W56</f>
        <v>3.6362929157902507E-3</v>
      </c>
      <c r="W45" s="507">
        <f>(1-SUM(W40,W41,W42,W43))*'2.2 Energy Systems inputs'!X56</f>
        <v>3.3776918561491736E-3</v>
      </c>
      <c r="X45" s="507">
        <f>(1-SUM(X40,X41,X42,X43))*'2.2 Energy Systems inputs'!Y56</f>
        <v>3.1764786534444127E-3</v>
      </c>
      <c r="Y45" s="507">
        <f>(1-SUM(Y40,Y41,Y42,Y43))*'2.2 Energy Systems inputs'!Z56</f>
        <v>3.0284093799868897E-3</v>
      </c>
      <c r="Z45" s="507">
        <f>(1-SUM(Z40,Z41,Z42,Z43))*'2.2 Energy Systems inputs'!AA56</f>
        <v>5.522365739556865E-3</v>
      </c>
      <c r="AA45" s="507">
        <f>(1-SUM(AA40,AA41,AA42,AA43))*'2.2 Energy Systems inputs'!AB56</f>
        <v>7.9612138950002267E-3</v>
      </c>
      <c r="AB45" s="507">
        <f>(1-SUM(AB40,AB41,AB42,AB43))*'2.2 Energy Systems inputs'!AC56</f>
        <v>1.0451483666126735E-2</v>
      </c>
      <c r="AC45" s="507">
        <f>(1-SUM(AC40,AC41,AC42,AC43))*'2.2 Energy Systems inputs'!AD56</f>
        <v>1.3085740003015295E-2</v>
      </c>
      <c r="AD45" s="507">
        <f>(1-SUM(AD40,AD41,AD42,AD43))*'2.2 Energy Systems inputs'!AE56</f>
        <v>1.5948731292456213E-2</v>
      </c>
      <c r="AE45" s="507">
        <f>(1-SUM(AE40,AE41,AE42,AE43))*'2.2 Energy Systems inputs'!AF56</f>
        <v>1.911726258721437E-2</v>
      </c>
      <c r="AF45" s="507">
        <f>(1-SUM(AF40,AF41,AF42,AF43))*'2.2 Energy Systems inputs'!AG56</f>
        <v>2.2661144972026072E-2</v>
      </c>
      <c r="AG45" s="507">
        <f>(1-SUM(AG40,AG41,AG42,AG43))*'2.2 Energy Systems inputs'!AH56</f>
        <v>2.6644006453465627E-2</v>
      </c>
      <c r="AH45" s="507">
        <f>(1-SUM(AH40,AH41,AH42,AH43))*'2.2 Energy Systems inputs'!AI56</f>
        <v>3.1123988199279355E-2</v>
      </c>
      <c r="AI45" s="507">
        <f>(1-SUM(AI40,AI41,AI42,AI43))*'2.2 Energy Systems inputs'!AJ56</f>
        <v>3.6154345248813877E-2</v>
      </c>
      <c r="AJ45" s="507">
        <f>(1-SUM(AJ40,AJ41,AJ42,AJ43))*'2.2 Energy Systems inputs'!AK56</f>
        <v>4.178396715425356E-2</v>
      </c>
      <c r="AK45" s="507">
        <f>(1-SUM(AK40,AK41,AK42,AK43))*'2.2 Energy Systems inputs'!AL56</f>
        <v>4.8057831138154886E-2</v>
      </c>
      <c r="AL45" s="507">
        <f>(1-SUM(AL40,AL41,AL42,AL43))*'2.2 Energy Systems inputs'!AM56</f>
        <v>5.5017398079276018E-2</v>
      </c>
      <c r="AM45" s="507">
        <f>(1-SUM(AM40,AM41,AM42,AM43))*'2.2 Energy Systems inputs'!AN56</f>
        <v>6.2700959827286851E-2</v>
      </c>
      <c r="AN45" s="507">
        <f>(1-SUM(AN40,AN41,AN42,AN43))*'2.2 Energy Systems inputs'!AO56</f>
        <v>7.1143944893764521E-2</v>
      </c>
    </row>
    <row r="46" spans="1:41">
      <c r="B46" t="s">
        <v>211</v>
      </c>
      <c r="D46" t="s">
        <v>452</v>
      </c>
      <c r="E46" s="315">
        <f>(1-SUM(E40,E41,E42,E43))*'2.2 Energy Systems inputs'!F57</f>
        <v>0</v>
      </c>
      <c r="F46" s="315">
        <f>(1-SUM(F40,F41,F42,F43))*'2.2 Energy Systems inputs'!G57</f>
        <v>0</v>
      </c>
      <c r="G46" s="315">
        <f>(1-SUM(G40,G41,G42,G43))*'2.2 Energy Systems inputs'!H57</f>
        <v>0</v>
      </c>
      <c r="H46" s="315">
        <f>(1-SUM(H40,H41,H42,H43))*'2.2 Energy Systems inputs'!I57</f>
        <v>0</v>
      </c>
      <c r="I46" s="315">
        <f>(1-SUM(I40,I41,I42,I43))*'2.2 Energy Systems inputs'!J57</f>
        <v>0</v>
      </c>
      <c r="J46" s="315">
        <f>(1-SUM(J40,J41,J42,J43))*'2.2 Energy Systems inputs'!K57</f>
        <v>0</v>
      </c>
      <c r="K46" s="315">
        <f>(1-SUM(K40,K41,K42,K43))*'2.2 Energy Systems inputs'!L57</f>
        <v>0</v>
      </c>
      <c r="L46" s="315">
        <f>(1-SUM(L40,L41,L42,L43))*'2.2 Energy Systems inputs'!M57</f>
        <v>0</v>
      </c>
      <c r="M46" s="315">
        <f>(1-SUM(M40,M41,M42,M43))*'2.2 Energy Systems inputs'!N57</f>
        <v>0</v>
      </c>
      <c r="N46" s="315">
        <f>(1-SUM(N40,N41,N42,N43))*'2.2 Energy Systems inputs'!O57</f>
        <v>0</v>
      </c>
      <c r="O46" s="315">
        <f>(1-SUM(O40,O41,O42,O43))*'2.2 Energy Systems inputs'!P57</f>
        <v>0</v>
      </c>
      <c r="P46" s="315">
        <f>(1-SUM(P40,P41,P42,P43))*'2.2 Energy Systems inputs'!Q57</f>
        <v>0</v>
      </c>
      <c r="Q46" s="315">
        <f>(1-SUM(Q40,Q41,Q42,Q43))*'2.2 Energy Systems inputs'!R57</f>
        <v>1.107270764542573E-3</v>
      </c>
      <c r="R46" s="315">
        <f>(1-SUM(R40,R41,R42,R43))*'2.2 Energy Systems inputs'!S57</f>
        <v>1.5236240318454704E-3</v>
      </c>
      <c r="S46" s="315">
        <f>(1-SUM(S40,S41,S42,S43))*'2.2 Energy Systems inputs'!T57</f>
        <v>1.5426339491416078E-3</v>
      </c>
      <c r="T46" s="315">
        <f>(1-SUM(T40,T41,T42,T43))*'2.2 Energy Systems inputs'!U57</f>
        <v>1.3751363077008055E-3</v>
      </c>
      <c r="U46" s="315">
        <f>(1-SUM(U40,U41,U42,U43))*'2.2 Energy Systems inputs'!V57</f>
        <v>1.858827137860893E-3</v>
      </c>
      <c r="V46" s="315">
        <f>(1-SUM(V40,V41,V42,V43))*'2.2 Energy Systems inputs'!W57</f>
        <v>2.2657741158289054E-3</v>
      </c>
      <c r="W46" s="315">
        <f>(1-SUM(W40,W41,W42,W43))*'2.2 Energy Systems inputs'!X57</f>
        <v>2.6229466108926413E-3</v>
      </c>
      <c r="X46" s="315">
        <f>(1-SUM(X40,X41,X42,X43))*'2.2 Energy Systems inputs'!Y57</f>
        <v>2.9541251477033037E-3</v>
      </c>
      <c r="Y46" s="315">
        <f>(1-SUM(Y40,Y41,Y42,Y43))*'2.2 Energy Systems inputs'!Z57</f>
        <v>2.8164207233878076E-3</v>
      </c>
      <c r="Z46" s="315">
        <f>(1-SUM(Z40,Z41,Z42,Z43))*'2.2 Energy Systems inputs'!AA57</f>
        <v>2.5419616843596602E-3</v>
      </c>
      <c r="AA46" s="315">
        <f>(1-SUM(AA40,AA41,AA42,AA43))*'2.2 Energy Systems inputs'!AB57</f>
        <v>2.3153179791541899E-3</v>
      </c>
      <c r="AB46" s="315">
        <f>(1-SUM(AB40,AB41,AB42,AB43))*'2.2 Energy Systems inputs'!AC57</f>
        <v>2.1262237083276574E-3</v>
      </c>
      <c r="AC46" s="315">
        <f>(1-SUM(AC40,AC41,AC42,AC43))*'2.2 Energy Systems inputs'!AD57</f>
        <v>1.9645070054841204E-3</v>
      </c>
      <c r="AD46" s="315">
        <f>(1-SUM(AD40,AD41,AD42,AD43))*'2.2 Energy Systems inputs'!AE57</f>
        <v>1.8215129949805263E-3</v>
      </c>
      <c r="AE46" s="315">
        <f>(1-SUM(AE40,AE41,AE42,AE43))*'2.2 Energy Systems inputs'!AF57</f>
        <v>1.6894123906257767E-3</v>
      </c>
      <c r="AF46" s="315">
        <f>(1-SUM(AF40,AF41,AF42,AF43))*'2.2 Energy Systems inputs'!AG57</f>
        <v>1.5611010980729071E-3</v>
      </c>
      <c r="AG46" s="315">
        <f>(1-SUM(AG40,AG41,AG42,AG43))*'2.2 Energy Systems inputs'!AH57</f>
        <v>1.4301146926789506E-3</v>
      </c>
      <c r="AH46" s="315">
        <f>(1-SUM(AH40,AH41,AH42,AH43))*'2.2 Energy Systems inputs'!AI57</f>
        <v>1.2905551794733035E-3</v>
      </c>
      <c r="AI46" s="315">
        <f>(1-SUM(AI40,AI41,AI42,AI43))*'2.2 Energy Systems inputs'!AJ57</f>
        <v>1.1370279592742918E-3</v>
      </c>
      <c r="AJ46" s="315">
        <f>(1-SUM(AJ40,AJ41,AJ42,AJ43))*'2.2 Energy Systems inputs'!AK57</f>
        <v>9.6458732685883214E-4</v>
      </c>
      <c r="AK46" s="315">
        <f>(1-SUM(AK40,AK41,AK42,AK43))*'2.2 Energy Systems inputs'!AL57</f>
        <v>7.6868914179210911E-4</v>
      </c>
      <c r="AL46" s="315">
        <f>(1-SUM(AL40,AL41,AL42,AL43))*'2.2 Energy Systems inputs'!AM57</f>
        <v>5.4514956087684517E-4</v>
      </c>
      <c r="AM46" s="315">
        <f>(1-SUM(AM40,AM41,AM42,AM43))*'2.2 Energy Systems inputs'!AN57</f>
        <v>2.9010891860386433E-4</v>
      </c>
      <c r="AN46" s="315">
        <f>(1-SUM(AN40,AN41,AN42,AN43))*'2.2 Energy Systems inputs'!AO57</f>
        <v>0</v>
      </c>
    </row>
    <row r="47" spans="1:41">
      <c r="E47" s="315"/>
      <c r="F47" s="315"/>
      <c r="G47" s="315"/>
      <c r="H47" s="315"/>
      <c r="I47" s="315"/>
      <c r="J47" s="315"/>
      <c r="K47" s="315"/>
      <c r="L47" s="315"/>
      <c r="M47" s="315"/>
      <c r="N47" s="315"/>
      <c r="O47" s="315"/>
      <c r="P47" s="315"/>
      <c r="Q47" s="315"/>
      <c r="R47" s="315"/>
      <c r="S47" s="315"/>
      <c r="T47" s="315"/>
      <c r="U47" s="315"/>
      <c r="V47" s="315"/>
      <c r="W47" s="315"/>
      <c r="X47" s="315"/>
      <c r="Y47" s="315"/>
      <c r="Z47" s="315"/>
      <c r="AA47" s="315"/>
      <c r="AB47" s="315"/>
      <c r="AC47" s="315"/>
      <c r="AD47" s="315"/>
      <c r="AE47" s="315"/>
      <c r="AF47" s="315"/>
      <c r="AG47" s="315"/>
      <c r="AH47" s="315"/>
      <c r="AI47" s="315"/>
      <c r="AJ47" s="315"/>
      <c r="AK47" s="315"/>
      <c r="AL47" s="315"/>
      <c r="AM47" s="315"/>
      <c r="AN47" s="315"/>
    </row>
    <row r="48" spans="1:41">
      <c r="E48" s="39"/>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row>
    <row r="49" spans="1:40" s="423" customFormat="1">
      <c r="A49" s="423" t="s">
        <v>174</v>
      </c>
    </row>
    <row r="50" spans="1:40">
      <c r="B50" t="s">
        <v>96</v>
      </c>
      <c r="E50" s="316">
        <f>E37+E15</f>
        <v>155182380.82264066</v>
      </c>
      <c r="F50" s="316">
        <f t="shared" ref="F50:AN50" si="11">F37+F15</f>
        <v>162007672.64679709</v>
      </c>
      <c r="G50" s="316">
        <f t="shared" si="11"/>
        <v>169833746.88798845</v>
      </c>
      <c r="H50" s="316">
        <f t="shared" si="11"/>
        <v>178609747.59565207</v>
      </c>
      <c r="I50" s="316">
        <f t="shared" si="11"/>
        <v>188284818.81922549</v>
      </c>
      <c r="J50" s="316">
        <f t="shared" si="11"/>
        <v>240861261.67800212</v>
      </c>
      <c r="K50" s="316">
        <f t="shared" si="11"/>
        <v>284659087.32849151</v>
      </c>
      <c r="L50" s="316">
        <f t="shared" si="11"/>
        <v>335083279.6926626</v>
      </c>
      <c r="M50" s="316">
        <f t="shared" si="11"/>
        <v>384711272.13675487</v>
      </c>
      <c r="N50" s="316">
        <f t="shared" si="11"/>
        <v>433533532.856552</v>
      </c>
      <c r="O50" s="316">
        <f t="shared" si="11"/>
        <v>481555669.0313285</v>
      </c>
      <c r="P50" s="316">
        <f t="shared" si="11"/>
        <v>531324734.68884408</v>
      </c>
      <c r="Q50" s="316">
        <f t="shared" si="11"/>
        <v>578197147.88554001</v>
      </c>
      <c r="R50" s="316">
        <f t="shared" si="11"/>
        <v>622304897.26823449</v>
      </c>
      <c r="S50" s="316">
        <f t="shared" si="11"/>
        <v>663875432.60926068</v>
      </c>
      <c r="T50" s="316">
        <f>T37+T15</f>
        <v>703043953.69618571</v>
      </c>
      <c r="U50" s="316">
        <f t="shared" si="11"/>
        <v>731339830.77829576</v>
      </c>
      <c r="V50" s="316">
        <f t="shared" si="11"/>
        <v>755865519.97167897</v>
      </c>
      <c r="W50" s="316">
        <f t="shared" si="11"/>
        <v>777502887.03247023</v>
      </c>
      <c r="X50" s="316">
        <f t="shared" si="11"/>
        <v>793023352.34695649</v>
      </c>
      <c r="Y50" s="316">
        <f t="shared" si="11"/>
        <v>805714498.44848347</v>
      </c>
      <c r="Z50" s="316">
        <f t="shared" si="11"/>
        <v>816556617.45504594</v>
      </c>
      <c r="AA50" s="316">
        <f t="shared" si="11"/>
        <v>824697131.60673022</v>
      </c>
      <c r="AB50" s="316">
        <f t="shared" si="11"/>
        <v>830141587.25317562</v>
      </c>
      <c r="AC50" s="316">
        <f t="shared" si="11"/>
        <v>833998415.9826349</v>
      </c>
      <c r="AD50" s="316">
        <f t="shared" si="11"/>
        <v>835392975.62226903</v>
      </c>
      <c r="AE50" s="316">
        <f t="shared" si="11"/>
        <v>841938902.12770867</v>
      </c>
      <c r="AF50" s="316">
        <f t="shared" si="11"/>
        <v>846307503.6215744</v>
      </c>
      <c r="AG50" s="316">
        <f t="shared" si="11"/>
        <v>848501384.20802128</v>
      </c>
      <c r="AH50" s="316">
        <f t="shared" si="11"/>
        <v>848523083.87220478</v>
      </c>
      <c r="AI50" s="316">
        <f t="shared" si="11"/>
        <v>846374576.07186127</v>
      </c>
      <c r="AJ50" s="316">
        <f t="shared" si="11"/>
        <v>821727048.92367244</v>
      </c>
      <c r="AK50" s="316">
        <f t="shared" si="11"/>
        <v>796524421.35148168</v>
      </c>
      <c r="AL50" s="316">
        <f t="shared" si="11"/>
        <v>770762498.19991469</v>
      </c>
      <c r="AM50" s="316">
        <f t="shared" si="11"/>
        <v>744437100.60843229</v>
      </c>
      <c r="AN50" s="316">
        <f t="shared" si="11"/>
        <v>717544063.83856666</v>
      </c>
    </row>
    <row r="51" spans="1:40">
      <c r="B51" t="s">
        <v>96</v>
      </c>
      <c r="E51" s="608">
        <f>E50/(E9+E30)</f>
        <v>1.5691844500429642E-2</v>
      </c>
      <c r="F51" s="608">
        <f t="shared" ref="F51:AN51" si="12">F50/(F9+F30)</f>
        <v>1.6240849431825147E-2</v>
      </c>
      <c r="G51" s="608">
        <f t="shared" si="12"/>
        <v>1.6879942648540234E-2</v>
      </c>
      <c r="H51" s="608">
        <f t="shared" si="12"/>
        <v>1.7601822990068006E-2</v>
      </c>
      <c r="I51" s="608">
        <f t="shared" si="12"/>
        <v>1.8399474099683066E-2</v>
      </c>
      <c r="J51" s="608">
        <f t="shared" si="12"/>
        <v>2.3414896546161031E-2</v>
      </c>
      <c r="K51" s="608">
        <f t="shared" si="12"/>
        <v>2.77484977884732E-2</v>
      </c>
      <c r="L51" s="608">
        <f t="shared" si="12"/>
        <v>3.3663377470210802E-2</v>
      </c>
      <c r="M51" s="608">
        <f t="shared" si="12"/>
        <v>4.1029558832688759E-2</v>
      </c>
      <c r="N51" s="608">
        <f t="shared" si="12"/>
        <v>4.9638716705510517E-2</v>
      </c>
      <c r="O51" s="608">
        <f t="shared" si="12"/>
        <v>5.8996418611320406E-2</v>
      </c>
      <c r="P51" s="608">
        <f t="shared" si="12"/>
        <v>6.9243416825643403E-2</v>
      </c>
      <c r="Q51" s="608">
        <f t="shared" si="12"/>
        <v>7.9405936027132418E-2</v>
      </c>
      <c r="R51" s="608">
        <f t="shared" si="12"/>
        <v>8.8901056864822248E-2</v>
      </c>
      <c r="S51" s="608">
        <f t="shared" si="12"/>
        <v>9.6560828815225111E-2</v>
      </c>
      <c r="T51" s="608">
        <f t="shared" si="12"/>
        <v>0.10222613168339865</v>
      </c>
      <c r="U51" s="608">
        <f t="shared" si="12"/>
        <v>0.10593291515153237</v>
      </c>
      <c r="V51" s="608">
        <f t="shared" si="12"/>
        <v>0.10906642162380296</v>
      </c>
      <c r="W51" s="608">
        <f t="shared" si="12"/>
        <v>0.11175988689343432</v>
      </c>
      <c r="X51" s="608">
        <f t="shared" si="12"/>
        <v>0.11355595347599053</v>
      </c>
      <c r="Y51" s="608">
        <f t="shared" si="12"/>
        <v>0.11493082331049533</v>
      </c>
      <c r="Z51" s="608">
        <f t="shared" si="12"/>
        <v>0.11603071642778334</v>
      </c>
      <c r="AA51" s="608">
        <f t="shared" si="12"/>
        <v>0.11673975072653488</v>
      </c>
      <c r="AB51" s="608">
        <f t="shared" si="12"/>
        <v>0.11706014669266591</v>
      </c>
      <c r="AC51" s="608">
        <f t="shared" si="12"/>
        <v>0.11715504622879756</v>
      </c>
      <c r="AD51" s="608">
        <f t="shared" si="12"/>
        <v>0.11690462483511233</v>
      </c>
      <c r="AE51" s="608">
        <f t="shared" si="12"/>
        <v>0.11737422048029486</v>
      </c>
      <c r="AF51" s="608">
        <f t="shared" si="12"/>
        <v>0.11753784719280291</v>
      </c>
      <c r="AG51" s="608">
        <f t="shared" si="12"/>
        <v>0.11739931730339517</v>
      </c>
      <c r="AH51" s="608">
        <f t="shared" si="12"/>
        <v>0.11696237762289771</v>
      </c>
      <c r="AI51" s="608">
        <f t="shared" si="12"/>
        <v>0.11623064166118204</v>
      </c>
      <c r="AJ51" s="608">
        <f t="shared" si="12"/>
        <v>0.11242607634273835</v>
      </c>
      <c r="AK51" s="608">
        <f t="shared" si="12"/>
        <v>0.10857401887789223</v>
      </c>
      <c r="AL51" s="608">
        <f t="shared" si="12"/>
        <v>0.1046744285270714</v>
      </c>
      <c r="AM51" s="608">
        <f t="shared" si="12"/>
        <v>0.10072726742554895</v>
      </c>
      <c r="AN51" s="608">
        <f t="shared" si="12"/>
        <v>9.6732500237931257E-2</v>
      </c>
    </row>
    <row r="52" spans="1:40">
      <c r="B52" t="s">
        <v>95</v>
      </c>
      <c r="E52" s="309">
        <f>((E30*E40)+(E19*E9))/(E30+E9)</f>
        <v>0</v>
      </c>
      <c r="F52" s="309">
        <f t="shared" ref="F52:AM52" si="13">((F30*F40)+(F19*F9))/(F30+F9)</f>
        <v>0</v>
      </c>
      <c r="G52" s="309">
        <f t="shared" si="13"/>
        <v>0</v>
      </c>
      <c r="H52" s="309">
        <f t="shared" si="13"/>
        <v>0</v>
      </c>
      <c r="I52" s="309">
        <f t="shared" si="13"/>
        <v>0</v>
      </c>
      <c r="J52" s="309">
        <f t="shared" si="13"/>
        <v>3.3136769646325754E-3</v>
      </c>
      <c r="K52" s="309">
        <f t="shared" si="13"/>
        <v>8.751072966347459E-3</v>
      </c>
      <c r="L52" s="309">
        <f t="shared" si="13"/>
        <v>2.0242736146167221E-2</v>
      </c>
      <c r="M52" s="309">
        <f t="shared" si="13"/>
        <v>3.6707546312633357E-2</v>
      </c>
      <c r="N52" s="309">
        <f t="shared" si="13"/>
        <v>6.2214995836653637E-2</v>
      </c>
      <c r="O52" s="309">
        <f t="shared" si="13"/>
        <v>9.5535775436487599E-2</v>
      </c>
      <c r="P52" s="309">
        <f t="shared" si="13"/>
        <v>0.13973684846051165</v>
      </c>
      <c r="Q52" s="309">
        <f t="shared" si="13"/>
        <v>0.19506004804400548</v>
      </c>
      <c r="R52" s="309">
        <f t="shared" si="13"/>
        <v>0.25192695574313079</v>
      </c>
      <c r="S52" s="309">
        <f t="shared" si="13"/>
        <v>0.30778287335936222</v>
      </c>
      <c r="T52" s="309">
        <f t="shared" si="13"/>
        <v>0.36135370474273859</v>
      </c>
      <c r="U52" s="309">
        <f t="shared" si="13"/>
        <v>0.41105145260342585</v>
      </c>
      <c r="V52" s="309">
        <f t="shared" si="13"/>
        <v>0.46039595182537191</v>
      </c>
      <c r="W52" s="309">
        <f t="shared" si="13"/>
        <v>0.50938869460329694</v>
      </c>
      <c r="X52" s="309">
        <f t="shared" si="13"/>
        <v>0.55803139253827905</v>
      </c>
      <c r="Y52" s="309">
        <f t="shared" si="13"/>
        <v>0.6063259452823071</v>
      </c>
      <c r="Z52" s="309">
        <f t="shared" si="13"/>
        <v>0.65427440157347505</v>
      </c>
      <c r="AA52" s="309">
        <f t="shared" si="13"/>
        <v>0.69016802151090861</v>
      </c>
      <c r="AB52" s="309">
        <f t="shared" si="13"/>
        <v>0.71414389063639139</v>
      </c>
      <c r="AC52" s="309">
        <f t="shared" si="13"/>
        <v>0.71471567100999855</v>
      </c>
      <c r="AD52" s="309">
        <f t="shared" si="13"/>
        <v>0.71530379941763778</v>
      </c>
      <c r="AE52" s="309">
        <f t="shared" si="13"/>
        <v>0.71590687914523232</v>
      </c>
      <c r="AF52" s="309">
        <f t="shared" si="13"/>
        <v>0.71652362717093188</v>
      </c>
      <c r="AG52" s="309">
        <f t="shared" si="13"/>
        <v>0.7171528633373877</v>
      </c>
      <c r="AH52" s="309">
        <f t="shared" si="13"/>
        <v>0.71779350072800618</v>
      </c>
      <c r="AI52" s="309">
        <f t="shared" si="13"/>
        <v>0.7184445370940935</v>
      </c>
      <c r="AJ52" s="309">
        <f t="shared" si="13"/>
        <v>0.71910504720163648</v>
      </c>
      <c r="AK52" s="309">
        <f t="shared" si="13"/>
        <v>0.71977417598487647</v>
      </c>
      <c r="AL52" s="309">
        <f t="shared" si="13"/>
        <v>0.72045113240936987</v>
      </c>
      <c r="AM52" s="309">
        <f t="shared" si="13"/>
        <v>0.72113518396041432</v>
      </c>
      <c r="AN52" s="309">
        <f>((AN30*AN40)+(AN19*AN9))/(AN30+AN9)</f>
        <v>0.72182565168391788</v>
      </c>
    </row>
    <row r="53" spans="1:40">
      <c r="B53" t="s">
        <v>220</v>
      </c>
      <c r="E53" s="309">
        <f>((E30*E41)+(E20*E9))/(E30+E9)</f>
        <v>0</v>
      </c>
      <c r="F53" s="309">
        <f t="shared" ref="F53:AN53" si="14">((F30*F41)+(F20*F9))/(F30+F9)</f>
        <v>0</v>
      </c>
      <c r="G53" s="309">
        <f t="shared" si="14"/>
        <v>0</v>
      </c>
      <c r="H53" s="309">
        <f t="shared" si="14"/>
        <v>0</v>
      </c>
      <c r="I53" s="309">
        <f t="shared" si="14"/>
        <v>0</v>
      </c>
      <c r="J53" s="309">
        <f t="shared" si="14"/>
        <v>0</v>
      </c>
      <c r="K53" s="309">
        <f t="shared" si="14"/>
        <v>0</v>
      </c>
      <c r="L53" s="309">
        <f t="shared" si="14"/>
        <v>0</v>
      </c>
      <c r="M53" s="309">
        <f t="shared" si="14"/>
        <v>0</v>
      </c>
      <c r="N53" s="309">
        <f t="shared" si="14"/>
        <v>0</v>
      </c>
      <c r="O53" s="309">
        <f t="shared" si="14"/>
        <v>0</v>
      </c>
      <c r="P53" s="309">
        <f t="shared" si="14"/>
        <v>0</v>
      </c>
      <c r="Q53" s="309">
        <f t="shared" si="14"/>
        <v>0</v>
      </c>
      <c r="R53" s="309">
        <f t="shared" si="14"/>
        <v>0</v>
      </c>
      <c r="S53" s="309">
        <f t="shared" si="14"/>
        <v>0</v>
      </c>
      <c r="T53" s="309">
        <f t="shared" si="14"/>
        <v>0</v>
      </c>
      <c r="U53" s="309">
        <f t="shared" si="14"/>
        <v>0</v>
      </c>
      <c r="V53" s="309">
        <f t="shared" si="14"/>
        <v>0</v>
      </c>
      <c r="W53" s="309">
        <f t="shared" si="14"/>
        <v>0</v>
      </c>
      <c r="X53" s="309">
        <f t="shared" si="14"/>
        <v>0</v>
      </c>
      <c r="Y53" s="309">
        <f t="shared" si="14"/>
        <v>0</v>
      </c>
      <c r="Z53" s="309">
        <f t="shared" si="14"/>
        <v>0</v>
      </c>
      <c r="AA53" s="309">
        <f t="shared" si="14"/>
        <v>0</v>
      </c>
      <c r="AB53" s="309">
        <f t="shared" si="14"/>
        <v>0</v>
      </c>
      <c r="AC53" s="309">
        <f t="shared" si="14"/>
        <v>0</v>
      </c>
      <c r="AD53" s="309">
        <f t="shared" si="14"/>
        <v>0</v>
      </c>
      <c r="AE53" s="309">
        <f t="shared" si="14"/>
        <v>0</v>
      </c>
      <c r="AF53" s="309">
        <f t="shared" si="14"/>
        <v>0</v>
      </c>
      <c r="AG53" s="309">
        <f t="shared" si="14"/>
        <v>0</v>
      </c>
      <c r="AH53" s="309">
        <f t="shared" si="14"/>
        <v>0</v>
      </c>
      <c r="AI53" s="309">
        <f t="shared" si="14"/>
        <v>0</v>
      </c>
      <c r="AJ53" s="309">
        <f t="shared" si="14"/>
        <v>0</v>
      </c>
      <c r="AK53" s="309">
        <f t="shared" si="14"/>
        <v>0</v>
      </c>
      <c r="AL53" s="309">
        <f t="shared" si="14"/>
        <v>0</v>
      </c>
      <c r="AM53" s="309">
        <f t="shared" si="14"/>
        <v>0</v>
      </c>
      <c r="AN53" s="309">
        <f t="shared" si="14"/>
        <v>0</v>
      </c>
    </row>
    <row r="54" spans="1:40">
      <c r="B54" t="s">
        <v>774</v>
      </c>
      <c r="E54" s="309">
        <f>((E$30*E44)+(E23*E$9))/(E$30+E$9)</f>
        <v>0.91540658461460056</v>
      </c>
      <c r="F54" s="309">
        <f t="shared" ref="F54:AN54" si="15">((F$30*F44)+(F23*F$9))/(F$30+F$9)</f>
        <v>0.91489601002840271</v>
      </c>
      <c r="G54" s="309">
        <f t="shared" si="15"/>
        <v>0.91430165333685776</v>
      </c>
      <c r="H54" s="309">
        <f t="shared" si="15"/>
        <v>0.91363030461923689</v>
      </c>
      <c r="I54" s="309">
        <f t="shared" si="15"/>
        <v>0.91288848908729481</v>
      </c>
      <c r="J54" s="309">
        <f t="shared" si="15"/>
        <v>0.90499413972635723</v>
      </c>
      <c r="K54" s="309">
        <f t="shared" si="15"/>
        <v>0.89573619932778181</v>
      </c>
      <c r="L54" s="309">
        <f t="shared" si="15"/>
        <v>0.8793925627365945</v>
      </c>
      <c r="M54" s="309">
        <f>((M$30*M44)+(M23*M$9))/(M$30+M$9)</f>
        <v>0.85709062133625991</v>
      </c>
      <c r="N54" s="309">
        <f t="shared" si="15"/>
        <v>0.8252286561844826</v>
      </c>
      <c r="O54" s="309">
        <f t="shared" si="15"/>
        <v>0.78539635354315263</v>
      </c>
      <c r="P54" s="309">
        <f t="shared" si="15"/>
        <v>0.73462940245410568</v>
      </c>
      <c r="Q54" s="309">
        <f t="shared" si="15"/>
        <v>0.66963112834086636</v>
      </c>
      <c r="R54" s="309">
        <f t="shared" si="15"/>
        <v>0.60454324546887483</v>
      </c>
      <c r="S54" s="309">
        <f t="shared" si="15"/>
        <v>0.54277349394482899</v>
      </c>
      <c r="T54" s="309">
        <f t="shared" si="15"/>
        <v>0.48558179921567501</v>
      </c>
      <c r="U54" s="309">
        <f t="shared" si="15"/>
        <v>0.43183042163505803</v>
      </c>
      <c r="V54" s="309">
        <f t="shared" si="15"/>
        <v>0.38001575809798005</v>
      </c>
      <c r="W54" s="309">
        <f t="shared" si="15"/>
        <v>0.32998966986287481</v>
      </c>
      <c r="X54" s="309">
        <f t="shared" si="15"/>
        <v>0.28212090098883125</v>
      </c>
      <c r="Y54" s="309">
        <f t="shared" si="15"/>
        <v>0.23893673707177981</v>
      </c>
      <c r="Z54" s="309">
        <f t="shared" si="15"/>
        <v>0.18317501365365027</v>
      </c>
      <c r="AA54" s="309">
        <f t="shared" si="15"/>
        <v>0.14240319109721247</v>
      </c>
      <c r="AB54" s="309">
        <f t="shared" si="15"/>
        <v>0.11438466339810241</v>
      </c>
      <c r="AC54" s="309">
        <f t="shared" si="15"/>
        <v>0.10417447918952104</v>
      </c>
      <c r="AD54" s="309">
        <f t="shared" si="15"/>
        <v>9.4256590003995999E-2</v>
      </c>
      <c r="AE54" s="309">
        <f t="shared" si="15"/>
        <v>8.4064398047070804E-2</v>
      </c>
      <c r="AF54" s="309">
        <f t="shared" si="15"/>
        <v>7.4196764454218356E-2</v>
      </c>
      <c r="AG54" s="309">
        <f t="shared" si="15"/>
        <v>6.4594609316051307E-2</v>
      </c>
      <c r="AH54" s="309">
        <f t="shared" si="15"/>
        <v>5.5199558463334422E-2</v>
      </c>
      <c r="AI54" s="309">
        <f t="shared" si="15"/>
        <v>4.5953971772247817E-2</v>
      </c>
      <c r="AJ54" s="309">
        <f t="shared" si="15"/>
        <v>3.7442457436497309E-2</v>
      </c>
      <c r="AK54" s="309">
        <f t="shared" si="15"/>
        <v>2.860490873747713E-2</v>
      </c>
      <c r="AL54" s="309">
        <f t="shared" si="15"/>
        <v>1.9427766203838119E-2</v>
      </c>
      <c r="AM54" s="309">
        <f t="shared" si="15"/>
        <v>9.8973748043249456E-3</v>
      </c>
      <c r="AN54" s="309">
        <f t="shared" si="15"/>
        <v>0</v>
      </c>
    </row>
    <row r="55" spans="1:40">
      <c r="B55" t="s">
        <v>1200</v>
      </c>
      <c r="E55" s="507">
        <f>((E$30*E45)+(E24*E$9))/(E$30+E$9)</f>
        <v>6.890157088496994E-2</v>
      </c>
      <c r="F55" s="507">
        <f t="shared" ref="F55:AM55" si="16">((F$30*F45)+(F24*F$9))/(F$30+F$9)</f>
        <v>6.8863140539772258E-2</v>
      </c>
      <c r="G55" s="507">
        <f t="shared" si="16"/>
        <v>6.881840401460218E-2</v>
      </c>
      <c r="H55" s="507">
        <f t="shared" si="16"/>
        <v>6.8767872390695248E-2</v>
      </c>
      <c r="I55" s="507">
        <f t="shared" si="16"/>
        <v>6.8712036813022209E-2</v>
      </c>
      <c r="J55" s="507">
        <f t="shared" si="16"/>
        <v>6.8117838474026887E-2</v>
      </c>
      <c r="K55" s="507">
        <f t="shared" si="16"/>
        <v>6.74210042504782E-2</v>
      </c>
      <c r="L55" s="507">
        <f t="shared" si="16"/>
        <v>6.6190838055442597E-2</v>
      </c>
      <c r="M55" s="309">
        <f t="shared" si="16"/>
        <v>6.4512197304879781E-2</v>
      </c>
      <c r="N55" s="309">
        <f t="shared" si="16"/>
        <v>6.2113984874100844E-2</v>
      </c>
      <c r="O55" s="309">
        <f t="shared" si="16"/>
        <v>5.9115854567764171E-2</v>
      </c>
      <c r="P55" s="309">
        <f t="shared" si="16"/>
        <v>5.5294686206223014E-2</v>
      </c>
      <c r="Q55" s="309">
        <f t="shared" si="16"/>
        <v>5.0704031983701568E-2</v>
      </c>
      <c r="R55" s="309">
        <f t="shared" si="16"/>
        <v>4.6051265089861002E-2</v>
      </c>
      <c r="S55" s="309">
        <f t="shared" si="16"/>
        <v>4.1596414905129726E-2</v>
      </c>
      <c r="T55" s="309">
        <f t="shared" si="16"/>
        <v>3.7440245526429286E-2</v>
      </c>
      <c r="U55" s="309">
        <f t="shared" si="16"/>
        <v>3.3694464385326736E-2</v>
      </c>
      <c r="V55" s="309">
        <f t="shared" si="16"/>
        <v>3.0010845274400125E-2</v>
      </c>
      <c r="W55" s="309">
        <f t="shared" si="16"/>
        <v>2.6379833402598245E-2</v>
      </c>
      <c r="X55" s="309">
        <f t="shared" si="16"/>
        <v>2.2833232823700068E-2</v>
      </c>
      <c r="Y55" s="309">
        <f t="shared" si="16"/>
        <v>1.9338156544137574E-2</v>
      </c>
      <c r="Z55" s="309">
        <f t="shared" si="16"/>
        <v>2.9952804373274165E-2</v>
      </c>
      <c r="AA55" s="309">
        <f t="shared" si="16"/>
        <v>3.6855597898635531E-2</v>
      </c>
      <c r="AB55" s="309">
        <f t="shared" si="16"/>
        <v>4.2320606182671729E-2</v>
      </c>
      <c r="AC55" s="309">
        <f t="shared" si="16"/>
        <v>5.223013335582833E-2</v>
      </c>
      <c r="AD55" s="309">
        <f t="shared" si="16"/>
        <v>6.2118460287059425E-2</v>
      </c>
      <c r="AE55" s="309">
        <f t="shared" si="16"/>
        <v>7.1600693600041038E-2</v>
      </c>
      <c r="AF55" s="309">
        <f t="shared" si="16"/>
        <v>8.1068265012413404E-2</v>
      </c>
      <c r="AG55" s="309">
        <f t="shared" si="16"/>
        <v>9.0581608624163909E-2</v>
      </c>
      <c r="AH55" s="309">
        <f t="shared" si="16"/>
        <v>0.1002003778326223</v>
      </c>
      <c r="AI55" s="309">
        <f t="shared" si="16"/>
        <v>0.10998349123430796</v>
      </c>
      <c r="AJ55" s="309">
        <f t="shared" si="16"/>
        <v>0.12208085324421603</v>
      </c>
      <c r="AK55" s="309">
        <f t="shared" si="16"/>
        <v>0.13460744428434718</v>
      </c>
      <c r="AL55" s="309">
        <f t="shared" si="16"/>
        <v>0.14757824483664742</v>
      </c>
      <c r="AM55" s="309">
        <f t="shared" si="16"/>
        <v>0.16100828245676047</v>
      </c>
      <c r="AN55" s="309">
        <f>((AN$30*AN45)+(AN24*AN$9))/(AN$30+AN$9)</f>
        <v>0.17491261976701475</v>
      </c>
    </row>
    <row r="56" spans="1:40">
      <c r="B56" t="s">
        <v>211</v>
      </c>
      <c r="E56" s="309">
        <f>((E$30*E46)+(E25*E$9))/(E$30+E$9)</f>
        <v>0</v>
      </c>
      <c r="F56" s="309">
        <f t="shared" ref="F56:AN56" si="17">((F$30*F46)+(F25*F$9))/(F$30+F$9)</f>
        <v>0</v>
      </c>
      <c r="G56" s="309">
        <f t="shared" si="17"/>
        <v>0</v>
      </c>
      <c r="H56" s="309">
        <f t="shared" si="17"/>
        <v>0</v>
      </c>
      <c r="I56" s="309">
        <f t="shared" si="17"/>
        <v>0</v>
      </c>
      <c r="J56" s="309">
        <f t="shared" si="17"/>
        <v>0</v>
      </c>
      <c r="K56" s="309">
        <f t="shared" si="17"/>
        <v>0</v>
      </c>
      <c r="L56" s="309">
        <f t="shared" si="17"/>
        <v>0</v>
      </c>
      <c r="M56" s="309">
        <f t="shared" si="17"/>
        <v>0</v>
      </c>
      <c r="N56" s="309">
        <f t="shared" si="17"/>
        <v>0</v>
      </c>
      <c r="O56" s="309">
        <f t="shared" si="17"/>
        <v>0</v>
      </c>
      <c r="P56" s="309">
        <f t="shared" si="17"/>
        <v>0</v>
      </c>
      <c r="Q56" s="309">
        <f t="shared" si="17"/>
        <v>4.0081537283116093E-3</v>
      </c>
      <c r="R56" s="309">
        <f t="shared" si="17"/>
        <v>7.2807050107070266E-3</v>
      </c>
      <c r="S56" s="309">
        <f t="shared" si="17"/>
        <v>9.8645897947515146E-3</v>
      </c>
      <c r="T56" s="309">
        <f t="shared" si="17"/>
        <v>1.1838605635456943E-2</v>
      </c>
      <c r="U56" s="309">
        <f t="shared" si="17"/>
        <v>1.5824605198568705E-2</v>
      </c>
      <c r="V56" s="309">
        <f t="shared" si="17"/>
        <v>1.8699757690478724E-2</v>
      </c>
      <c r="W56" s="309">
        <f t="shared" si="17"/>
        <v>2.0485259628787677E-2</v>
      </c>
      <c r="X56" s="309">
        <f t="shared" si="17"/>
        <v>2.1234906526041066E-2</v>
      </c>
      <c r="Y56" s="309">
        <f t="shared" si="17"/>
        <v>1.7984485586047944E-2</v>
      </c>
      <c r="Z56" s="309">
        <f t="shared" si="17"/>
        <v>1.3787366619091959E-2</v>
      </c>
      <c r="AA56" s="309">
        <f t="shared" si="17"/>
        <v>1.0718519760005242E-2</v>
      </c>
      <c r="AB56" s="309">
        <f t="shared" si="17"/>
        <v>8.6095983202872772E-3</v>
      </c>
      <c r="AC56" s="309">
        <f t="shared" si="17"/>
        <v>7.8410898314693247E-3</v>
      </c>
      <c r="AD56" s="309">
        <f t="shared" si="17"/>
        <v>7.0945820433115274E-3</v>
      </c>
      <c r="AE56" s="309">
        <f t="shared" si="17"/>
        <v>6.3274278099945775E-3</v>
      </c>
      <c r="AF56" s="309">
        <f t="shared" si="17"/>
        <v>5.5847027008551452E-3</v>
      </c>
      <c r="AG56" s="309">
        <f t="shared" si="17"/>
        <v>4.861959840993111E-3</v>
      </c>
      <c r="AH56" s="309">
        <f t="shared" si="17"/>
        <v>4.1548054757348483E-3</v>
      </c>
      <c r="AI56" s="309">
        <f t="shared" si="17"/>
        <v>3.4589011011369329E-3</v>
      </c>
      <c r="AJ56" s="309">
        <f t="shared" si="17"/>
        <v>2.8182494844675404E-3</v>
      </c>
      <c r="AK56" s="309">
        <f t="shared" si="17"/>
        <v>2.1530576469068808E-3</v>
      </c>
      <c r="AL56" s="309">
        <f t="shared" si="17"/>
        <v>1.4623049830845901E-3</v>
      </c>
      <c r="AM56" s="309">
        <f t="shared" si="17"/>
        <v>7.4496369494918963E-4</v>
      </c>
      <c r="AN56" s="309">
        <f t="shared" si="17"/>
        <v>0</v>
      </c>
    </row>
    <row r="57" spans="1:40">
      <c r="B57" t="s">
        <v>842</v>
      </c>
      <c r="E57" s="309">
        <f>((E30*E43)+(E22*E9))/(E30+E9)</f>
        <v>0</v>
      </c>
      <c r="F57" s="309">
        <f t="shared" ref="F57:AN57" si="18">((F30*F43)+(F22*F9))/(F30+F9)</f>
        <v>0</v>
      </c>
      <c r="G57" s="309">
        <f t="shared" si="18"/>
        <v>0</v>
      </c>
      <c r="H57" s="309">
        <f t="shared" si="18"/>
        <v>0</v>
      </c>
      <c r="I57" s="309">
        <f t="shared" si="18"/>
        <v>0</v>
      </c>
      <c r="J57" s="309">
        <f t="shared" si="18"/>
        <v>1.594482888221892E-4</v>
      </c>
      <c r="K57" s="309">
        <f t="shared" si="18"/>
        <v>3.43225666919513E-4</v>
      </c>
      <c r="L57" s="309">
        <f t="shared" si="18"/>
        <v>5.1048559158510976E-4</v>
      </c>
      <c r="M57" s="309">
        <f t="shared" si="18"/>
        <v>6.6007621353830282E-4</v>
      </c>
      <c r="N57" s="309">
        <f t="shared" si="18"/>
        <v>8.0364639925239469E-4</v>
      </c>
      <c r="O57" s="309">
        <f t="shared" si="18"/>
        <v>9.5559784127524779E-4</v>
      </c>
      <c r="P57" s="309">
        <f t="shared" si="18"/>
        <v>1.0956460535163247E-3</v>
      </c>
      <c r="Q57" s="309">
        <f t="shared" si="18"/>
        <v>1.1907018759826366E-3</v>
      </c>
      <c r="R57" s="309">
        <f t="shared" si="18"/>
        <v>1.2967718226040304E-3</v>
      </c>
      <c r="S57" s="309">
        <f t="shared" si="18"/>
        <v>1.42179918070245E-3</v>
      </c>
      <c r="T57" s="309">
        <f t="shared" si="18"/>
        <v>1.5595131963014729E-3</v>
      </c>
      <c r="U57" s="309">
        <f>((U30*U43)+(U22*U9))/(U30+U9)</f>
        <v>1.6661410260884277E-3</v>
      </c>
      <c r="V57" s="309">
        <f t="shared" si="18"/>
        <v>1.8112654879662558E-3</v>
      </c>
      <c r="W57" s="309">
        <f t="shared" si="18"/>
        <v>1.9966556090081872E-3</v>
      </c>
      <c r="X57" s="309">
        <f t="shared" si="18"/>
        <v>2.2236136471579871E-3</v>
      </c>
      <c r="Y57" s="309">
        <f t="shared" si="18"/>
        <v>2.4838522052322118E-3</v>
      </c>
      <c r="Z57" s="309">
        <f t="shared" si="18"/>
        <v>2.7796973527251948E-3</v>
      </c>
      <c r="AA57" s="309">
        <f t="shared" si="18"/>
        <v>3.114919006703366E-3</v>
      </c>
      <c r="AB57" s="309">
        <f t="shared" si="18"/>
        <v>3.4810947698812361E-3</v>
      </c>
      <c r="AC57" s="309">
        <f t="shared" si="18"/>
        <v>3.8835803843850756E-3</v>
      </c>
      <c r="AD57" s="309">
        <f t="shared" si="18"/>
        <v>4.3219434128830871E-3</v>
      </c>
      <c r="AE57" s="309">
        <f t="shared" si="18"/>
        <v>4.7263809173664099E-3</v>
      </c>
      <c r="AF57" s="309">
        <f t="shared" si="18"/>
        <v>5.0887934687782171E-3</v>
      </c>
      <c r="AG57" s="309">
        <f t="shared" si="18"/>
        <v>5.4096415780089824E-3</v>
      </c>
      <c r="AH57" s="309">
        <f t="shared" si="18"/>
        <v>5.6893798774045488E-3</v>
      </c>
      <c r="AI57" s="309">
        <f t="shared" si="18"/>
        <v>5.9284571370317261E-3</v>
      </c>
      <c r="AJ57" s="309">
        <f t="shared" si="18"/>
        <v>6.1273162904442761E-3</v>
      </c>
      <c r="AK57" s="309">
        <f t="shared" si="18"/>
        <v>6.2863944685001439E-3</v>
      </c>
      <c r="AL57" s="309">
        <f t="shared" si="18"/>
        <v>6.4061230399886327E-3</v>
      </c>
      <c r="AM57" s="309">
        <f t="shared" si="18"/>
        <v>6.4869276580020886E-3</v>
      </c>
      <c r="AN57" s="436">
        <f t="shared" si="18"/>
        <v>6.5292283111359119E-3</v>
      </c>
    </row>
    <row r="58" spans="1:40">
      <c r="E58" s="39"/>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row>
    <row r="59" spans="1:40" s="67" customFormat="1">
      <c r="A59" s="67" t="s">
        <v>1267</v>
      </c>
    </row>
    <row r="60" spans="1:40" s="423" customFormat="1">
      <c r="A60" s="423" t="s">
        <v>1248</v>
      </c>
    </row>
    <row r="61" spans="1:40">
      <c r="B61" t="s">
        <v>1249</v>
      </c>
      <c r="C61" t="s">
        <v>180</v>
      </c>
      <c r="D61" t="s">
        <v>179</v>
      </c>
      <c r="E61">
        <v>2015</v>
      </c>
      <c r="F61">
        <v>2016</v>
      </c>
      <c r="G61">
        <v>2017</v>
      </c>
      <c r="H61">
        <v>2018</v>
      </c>
      <c r="I61">
        <v>2019</v>
      </c>
      <c r="J61">
        <v>2020</v>
      </c>
      <c r="K61">
        <v>2021</v>
      </c>
      <c r="L61">
        <v>2022</v>
      </c>
      <c r="M61">
        <v>2023</v>
      </c>
      <c r="N61">
        <v>2024</v>
      </c>
      <c r="O61">
        <v>2025</v>
      </c>
      <c r="P61">
        <v>2026</v>
      </c>
      <c r="Q61">
        <v>2027</v>
      </c>
      <c r="R61">
        <v>2028</v>
      </c>
      <c r="S61">
        <v>2029</v>
      </c>
      <c r="T61">
        <v>2030</v>
      </c>
      <c r="U61">
        <v>2031</v>
      </c>
      <c r="V61">
        <v>2032</v>
      </c>
      <c r="W61">
        <v>2033</v>
      </c>
      <c r="X61">
        <v>2034</v>
      </c>
      <c r="Y61">
        <v>2035</v>
      </c>
      <c r="Z61">
        <v>2036</v>
      </c>
      <c r="AA61">
        <v>2037</v>
      </c>
      <c r="AB61">
        <v>2038</v>
      </c>
      <c r="AC61">
        <v>2039</v>
      </c>
      <c r="AD61">
        <v>2040</v>
      </c>
      <c r="AE61">
        <v>2041</v>
      </c>
      <c r="AF61">
        <v>2042</v>
      </c>
      <c r="AG61">
        <v>2043</v>
      </c>
      <c r="AH61">
        <v>2044</v>
      </c>
      <c r="AI61">
        <v>2045</v>
      </c>
      <c r="AJ61">
        <v>2046</v>
      </c>
      <c r="AK61">
        <v>2047</v>
      </c>
      <c r="AL61">
        <v>2048</v>
      </c>
      <c r="AM61">
        <v>2049</v>
      </c>
      <c r="AN61">
        <v>2050</v>
      </c>
    </row>
    <row r="62" spans="1:40">
      <c r="B62" s="38" t="s">
        <v>1268</v>
      </c>
      <c r="D62" t="s">
        <v>446</v>
      </c>
      <c r="E62" s="10">
        <f>'2.1 Building inputs'!E9*'3.1 Building Energy'!B21</f>
        <v>10745780962.493595</v>
      </c>
      <c r="F62" s="10">
        <f>'2.1 Building inputs'!F9*'3.1 Building Energy'!C21</f>
        <v>10745780962.493593</v>
      </c>
      <c r="G62" s="10">
        <f>'2.1 Building inputs'!G9*'3.1 Building Energy'!D21</f>
        <v>10745780962.493593</v>
      </c>
      <c r="H62" s="10">
        <f>'2.1 Building inputs'!H9*'3.1 Building Energy'!E21</f>
        <v>10745780962.493595</v>
      </c>
      <c r="I62" s="10">
        <f>'2.1 Building inputs'!I9*'3.1 Building Energy'!F21</f>
        <v>10722665136.277641</v>
      </c>
      <c r="J62" s="10">
        <f>'2.1 Building inputs'!J9*'3.1 Building Energy'!G21</f>
        <v>10676531773.252445</v>
      </c>
      <c r="K62" s="10">
        <f>'2.1 Building inputs'!K9*'3.1 Building Energy'!H21</f>
        <v>10581651283.289579</v>
      </c>
      <c r="L62" s="10">
        <f>'2.1 Building inputs'!L9*'3.1 Building Energy'!I21</f>
        <v>10438454485.205708</v>
      </c>
      <c r="M62" s="10">
        <f>'2.1 Building inputs'!M9*'3.1 Building Energy'!J21</f>
        <v>10150892685.531363</v>
      </c>
      <c r="N62" s="10">
        <f>'2.1 Building inputs'!N9*'3.1 Building Energy'!K21</f>
        <v>9696853880.2715721</v>
      </c>
      <c r="O62" s="10">
        <f>'2.1 Building inputs'!O9*'3.1 Building Energy'!L21</f>
        <v>9200092838.6780033</v>
      </c>
      <c r="P62" s="10">
        <f>'2.1 Building inputs'!P9*'3.1 Building Energy'!M21</f>
        <v>8649873181.882391</v>
      </c>
      <c r="Q62" s="10">
        <f>'2.1 Building inputs'!Q9*'3.1 Building Energy'!N21</f>
        <v>8048335336.8975105</v>
      </c>
      <c r="R62" s="10">
        <f>'2.1 Building inputs'!R9*'3.1 Building Energy'!O21</f>
        <v>7598568600.7511711</v>
      </c>
      <c r="S62" s="10">
        <f>'2.1 Building inputs'!S9*'3.1 Building Energy'!P21</f>
        <v>7096157441.0430756</v>
      </c>
      <c r="T62" s="10">
        <f>'2.1 Building inputs'!T9*'3.1 Building Energy'!Q21</f>
        <v>6599905342.7219715</v>
      </c>
      <c r="U62" s="10">
        <f>'2.1 Building inputs'!U9*'3.1 Building Energy'!R21</f>
        <v>6181041665.9435902</v>
      </c>
      <c r="V62" s="10">
        <f>'2.1 Building inputs'!V9*'3.1 Building Energy'!S21</f>
        <v>5837159851.7565556</v>
      </c>
      <c r="W62" s="10">
        <f>'2.1 Building inputs'!W9*'3.1 Building Energy'!T21</f>
        <v>5566449354.888236</v>
      </c>
      <c r="X62" s="10">
        <f>'2.1 Building inputs'!X9*'3.1 Building Energy'!U21</f>
        <v>5367698783.2446337</v>
      </c>
      <c r="Y62" s="10">
        <f>'2.1 Building inputs'!Y9*'3.1 Building Energy'!V21</f>
        <v>5367959221.5496845</v>
      </c>
      <c r="Z62" s="10">
        <f>'2.1 Building inputs'!Z9*'3.1 Building Energy'!W21</f>
        <v>5368235289.6135273</v>
      </c>
      <c r="AA62" s="10">
        <f>'2.1 Building inputs'!AA9*'3.1 Building Energy'!X21</f>
        <v>5368170726.0571909</v>
      </c>
      <c r="AB62" s="10">
        <f>'2.1 Building inputs'!AB9*'3.1 Building Energy'!Y21</f>
        <v>5368121918.057786</v>
      </c>
      <c r="AC62" s="10">
        <f>'2.1 Building inputs'!AC9*'3.1 Building Energy'!Z21</f>
        <v>5368088928.903389</v>
      </c>
      <c r="AD62" s="10">
        <f>'2.1 Building inputs'!AD9*'3.1 Building Energy'!AA21</f>
        <v>5368071822.1430378</v>
      </c>
      <c r="AE62" s="10">
        <f>'2.1 Building inputs'!AE9*'3.1 Building Energy'!AB21</f>
        <v>5368039153.2021551</v>
      </c>
      <c r="AF62" s="10">
        <f>'2.1 Building inputs'!AF9*'3.1 Building Energy'!AC21</f>
        <v>5367990859.6819372</v>
      </c>
      <c r="AG62" s="10">
        <f>'2.1 Building inputs'!AG9*'3.1 Building Energy'!AD21</f>
        <v>5367926878.9261303</v>
      </c>
      <c r="AH62" s="10">
        <f>'2.1 Building inputs'!AH9*'3.1 Building Energy'!AE21</f>
        <v>5367847148.0198164</v>
      </c>
      <c r="AI62" s="10">
        <f>'2.1 Building inputs'!AI9*'3.1 Building Energy'!AF21</f>
        <v>5367751603.7882109</v>
      </c>
      <c r="AJ62" s="10">
        <f>'2.1 Building inputs'!AJ9*'3.1 Building Energy'!AG21</f>
        <v>5367640182.7954273</v>
      </c>
      <c r="AK62" s="10">
        <f>'2.1 Building inputs'!AK9*'3.1 Building Energy'!AH21</f>
        <v>5367512821.3432541</v>
      </c>
      <c r="AL62" s="10">
        <f>'2.1 Building inputs'!AL9*'3.1 Building Energy'!AI21</f>
        <v>5367369455.4699202</v>
      </c>
      <c r="AM62" s="10">
        <f>'2.1 Building inputs'!AM9*'3.1 Building Energy'!AJ21</f>
        <v>5367210020.9488487</v>
      </c>
      <c r="AN62" s="10">
        <f>'2.1 Building inputs'!AN9*'3.1 Building Energy'!AK21</f>
        <v>5367034453.2874146</v>
      </c>
    </row>
    <row r="63" spans="1:40">
      <c r="B63" s="38" t="s">
        <v>1251</v>
      </c>
      <c r="E63" s="10">
        <f>E62*'2.1 Building inputs'!E19</f>
        <v>0</v>
      </c>
      <c r="F63" s="10">
        <f>F62*'2.1 Building inputs'!F19</f>
        <v>0</v>
      </c>
      <c r="G63" s="10">
        <f>G62*'2.1 Building inputs'!G19</f>
        <v>0</v>
      </c>
      <c r="H63" s="10">
        <f>H62*'2.1 Building inputs'!H19</f>
        <v>0</v>
      </c>
      <c r="I63" s="10">
        <f>I62*'2.1 Building inputs'!I19</f>
        <v>0</v>
      </c>
      <c r="J63" s="10">
        <f>J62*'2.1 Building inputs'!J19</f>
        <v>0</v>
      </c>
      <c r="K63" s="10">
        <f>K62*'2.1 Building inputs'!K19</f>
        <v>1346243.0803923304</v>
      </c>
      <c r="L63" s="10">
        <f>L62*'2.1 Building inputs'!L19</f>
        <v>2668038.8298857347</v>
      </c>
      <c r="M63" s="10">
        <f>M62*'2.1 Building inputs'!M19</f>
        <v>3924401.1732307663</v>
      </c>
      <c r="N63" s="10">
        <f>N62*'2.1 Building inputs'!N19</f>
        <v>5066719.8210705779</v>
      </c>
      <c r="O63" s="10">
        <f>O62*'2.1 Building inputs'!O19</f>
        <v>6113565.6205263771</v>
      </c>
      <c r="P63" s="10">
        <f>P62*'2.1 Building inputs'!P19</f>
        <v>7031939.8485500002</v>
      </c>
      <c r="Q63" s="10">
        <f>Q62*'2.1 Building inputs'!Q19</f>
        <v>6698800.6092447443</v>
      </c>
      <c r="R63" s="10">
        <f>R62*'2.1 Building inputs'!R19</f>
        <v>6450219.0380035052</v>
      </c>
      <c r="S63" s="10">
        <f>S62*'2.1 Building inputs'!S19</f>
        <v>6172246.8005337752</v>
      </c>
      <c r="T63" s="10">
        <f>T62*'2.1 Building inputs'!T19</f>
        <v>5897469.5746309245</v>
      </c>
      <c r="U63" s="10">
        <f>U62*'2.1 Building inputs'!U19</f>
        <v>6989032.9229628015</v>
      </c>
      <c r="V63" s="10">
        <f>V62*'2.1 Building inputs'!V19</f>
        <v>9300851.9652139135</v>
      </c>
      <c r="W63" s="10">
        <f>W62*'2.1 Building inputs'!W19</f>
        <v>12772348.500863306</v>
      </c>
      <c r="X63" s="10">
        <f>X62*'2.1 Building inputs'!X19</f>
        <v>17426756.048352435</v>
      </c>
      <c r="Y63" s="10">
        <f>Y62*'2.1 Building inputs'!Y19</f>
        <v>23521514.092959564</v>
      </c>
      <c r="Z63" s="10">
        <f>Z62*'2.1 Building inputs'!Z19</f>
        <v>29823611.407695722</v>
      </c>
      <c r="AA63" s="10">
        <f>AA62*'2.1 Building inputs'!AA19</f>
        <v>31266029.902101547</v>
      </c>
      <c r="AB63" s="10">
        <f>AB62*'2.1 Building inputs'!AB19</f>
        <v>32915990.083929479</v>
      </c>
      <c r="AC63" s="10">
        <f>AC62*'2.1 Building inputs'!AC19</f>
        <v>34773914.436941236</v>
      </c>
      <c r="AD63" s="10">
        <f>AD62*'2.1 Building inputs'!AD19</f>
        <v>36840230.322595701</v>
      </c>
      <c r="AE63" s="10">
        <f>AE62*'2.1 Building inputs'!AE19</f>
        <v>38703193.79231859</v>
      </c>
      <c r="AF63" s="10">
        <f>AF62*'2.1 Building inputs'!AF19</f>
        <v>40362386.568602838</v>
      </c>
      <c r="AG63" s="10">
        <f>AG62*'2.1 Building inputs'!AG19</f>
        <v>41817392.748259634</v>
      </c>
      <c r="AH63" s="10">
        <f>AH62*'2.1 Building inputs'!AH19</f>
        <v>43067798.833806448</v>
      </c>
      <c r="AI63" s="10">
        <f>AI62*'2.1 Building inputs'!AI19</f>
        <v>44113193.765128374</v>
      </c>
      <c r="AJ63" s="10">
        <f>AJ62*'2.1 Building inputs'!AJ19</f>
        <v>44953168.951414108</v>
      </c>
      <c r="AK63" s="10">
        <f>AK62*'2.1 Building inputs'!AK19</f>
        <v>45587318.303369485</v>
      </c>
      <c r="AL63" s="10">
        <f>AL62*'2.1 Building inputs'!AL19</f>
        <v>46015238.265710734</v>
      </c>
      <c r="AM63" s="10">
        <f>AM62*'2.1 Building inputs'!AM19</f>
        <v>46236527.849939525</v>
      </c>
      <c r="AN63" s="10">
        <f>AN62*'2.1 Building inputs'!AN19</f>
        <v>46250788.667402595</v>
      </c>
    </row>
    <row r="64" spans="1:40">
      <c r="B64" t="s">
        <v>1252</v>
      </c>
      <c r="D64" t="s">
        <v>452</v>
      </c>
      <c r="E64" s="9">
        <f>'2.1 Building inputs'!E15</f>
        <v>0.17816230029334498</v>
      </c>
      <c r="F64" s="9">
        <f>'2.1 Building inputs'!F15</f>
        <v>0.17816230029334498</v>
      </c>
      <c r="G64" s="9">
        <f>'2.1 Building inputs'!G15</f>
        <v>0.17816230029334498</v>
      </c>
      <c r="H64" s="9">
        <f>'2.1 Building inputs'!H15</f>
        <v>0.17816230029334498</v>
      </c>
      <c r="I64" s="9">
        <f>'2.1 Building inputs'!I15</f>
        <v>0.17816669827194487</v>
      </c>
      <c r="J64" s="9">
        <f>'2.1 Building inputs'!J15</f>
        <v>0.18469428251352668</v>
      </c>
      <c r="K64" s="9">
        <f>'2.1 Building inputs'!K15</f>
        <v>0.20491649040564097</v>
      </c>
      <c r="L64" s="9">
        <f>'2.1 Building inputs'!L15</f>
        <v>0.28049280994951908</v>
      </c>
      <c r="M64" s="9">
        <f>'2.1 Building inputs'!M15</f>
        <v>0.41070809423734284</v>
      </c>
      <c r="N64" s="9">
        <f>'2.1 Building inputs'!N15</f>
        <v>0.55397034827691594</v>
      </c>
      <c r="O64" s="9">
        <f>'2.1 Building inputs'!O15</f>
        <v>0.68294883848403476</v>
      </c>
      <c r="P64" s="9">
        <f>'2.1 Building inputs'!P15</f>
        <v>0.79269985859229275</v>
      </c>
      <c r="Q64" s="9">
        <f>'2.1 Building inputs'!Q15</f>
        <v>0.88294704835246818</v>
      </c>
      <c r="R64" s="9">
        <f>'2.1 Building inputs'!R15</f>
        <v>0.95113253199099845</v>
      </c>
      <c r="S64" s="9">
        <f>'2.1 Building inputs'!S15</f>
        <v>0.98792490531638399</v>
      </c>
      <c r="T64" s="9">
        <f>'2.1 Building inputs'!T15</f>
        <v>1</v>
      </c>
      <c r="U64" s="9">
        <f>'2.1 Building inputs'!U15</f>
        <v>1</v>
      </c>
      <c r="V64" s="9">
        <f>'2.1 Building inputs'!V15</f>
        <v>1</v>
      </c>
      <c r="W64" s="9">
        <f>'2.1 Building inputs'!W15</f>
        <v>1</v>
      </c>
      <c r="X64" s="9">
        <f>'2.1 Building inputs'!X15</f>
        <v>1</v>
      </c>
      <c r="Y64" s="9">
        <f>'2.1 Building inputs'!Y15</f>
        <v>1</v>
      </c>
      <c r="Z64" s="9">
        <f>'2.1 Building inputs'!Z15</f>
        <v>1</v>
      </c>
      <c r="AA64" s="9">
        <f>'2.1 Building inputs'!AA15</f>
        <v>1</v>
      </c>
      <c r="AB64" s="9">
        <f>'2.1 Building inputs'!AB15</f>
        <v>1</v>
      </c>
      <c r="AC64" s="9">
        <f>'2.1 Building inputs'!AC15</f>
        <v>1</v>
      </c>
      <c r="AD64" s="9">
        <f>'2.1 Building inputs'!AD15</f>
        <v>1</v>
      </c>
      <c r="AE64" s="9">
        <f>'2.1 Building inputs'!AE15</f>
        <v>1</v>
      </c>
      <c r="AF64" s="9">
        <f>'2.1 Building inputs'!AF15</f>
        <v>1</v>
      </c>
      <c r="AG64" s="9">
        <f>'2.1 Building inputs'!AG15</f>
        <v>1</v>
      </c>
      <c r="AH64" s="9">
        <f>'2.1 Building inputs'!AH15</f>
        <v>1</v>
      </c>
      <c r="AI64" s="9">
        <f>'2.1 Building inputs'!AI15</f>
        <v>1</v>
      </c>
      <c r="AJ64" s="9">
        <f>'2.1 Building inputs'!AJ15</f>
        <v>1</v>
      </c>
      <c r="AK64" s="9">
        <f>'2.1 Building inputs'!AK15</f>
        <v>1</v>
      </c>
      <c r="AL64" s="9">
        <f>'2.1 Building inputs'!AL15</f>
        <v>1</v>
      </c>
      <c r="AM64" s="9">
        <f>'2.1 Building inputs'!AM15</f>
        <v>1</v>
      </c>
      <c r="AN64" s="9">
        <f>'2.1 Building inputs'!AN15</f>
        <v>1</v>
      </c>
    </row>
    <row r="65" spans="2:40">
      <c r="B65" t="s">
        <v>1253</v>
      </c>
      <c r="D65" t="s">
        <v>446</v>
      </c>
      <c r="E65" s="4">
        <f>(E62)*E64</f>
        <v>1914493054.7262936</v>
      </c>
      <c r="F65" s="4">
        <f t="shared" ref="F65:AN65" si="19">(F62)*F64</f>
        <v>1914493054.7262933</v>
      </c>
      <c r="G65" s="4">
        <f t="shared" si="19"/>
        <v>1914493054.7262933</v>
      </c>
      <c r="H65" s="4">
        <f t="shared" si="19"/>
        <v>1914493054.7262936</v>
      </c>
      <c r="I65" s="4">
        <f t="shared" si="19"/>
        <v>1910421844.0062811</v>
      </c>
      <c r="J65" s="4">
        <f>(J62)*J64</f>
        <v>1971894375.5937312</v>
      </c>
      <c r="K65" s="4">
        <f t="shared" si="19"/>
        <v>2168354843.6680474</v>
      </c>
      <c r="L65" s="4">
        <f t="shared" si="19"/>
        <v>2927911430.0855098</v>
      </c>
      <c r="M65" s="4">
        <f t="shared" si="19"/>
        <v>4169053789.6823688</v>
      </c>
      <c r="N65" s="4">
        <f t="shared" si="19"/>
        <v>5371769521.2444067</v>
      </c>
      <c r="O65" s="4">
        <f t="shared" si="19"/>
        <v>6283192718.1204281</v>
      </c>
      <c r="P65" s="4">
        <f t="shared" si="19"/>
        <v>6856753248.1194363</v>
      </c>
      <c r="Q65" s="4">
        <f t="shared" si="19"/>
        <v>7106253929.8645248</v>
      </c>
      <c r="R65" s="4">
        <f t="shared" si="19"/>
        <v>7227245792.7397594</v>
      </c>
      <c r="S65" s="4">
        <f t="shared" si="19"/>
        <v>7010470668.0526342</v>
      </c>
      <c r="T65" s="4">
        <f t="shared" si="19"/>
        <v>6599905342.7219715</v>
      </c>
      <c r="U65" s="4">
        <f t="shared" si="19"/>
        <v>6181041665.9435902</v>
      </c>
      <c r="V65" s="4">
        <f t="shared" si="19"/>
        <v>5837159851.7565556</v>
      </c>
      <c r="W65" s="4">
        <f t="shared" si="19"/>
        <v>5566449354.888236</v>
      </c>
      <c r="X65" s="4">
        <f t="shared" si="19"/>
        <v>5367698783.2446337</v>
      </c>
      <c r="Y65" s="4">
        <f t="shared" si="19"/>
        <v>5367959221.5496845</v>
      </c>
      <c r="Z65" s="4">
        <f t="shared" si="19"/>
        <v>5368235289.6135273</v>
      </c>
      <c r="AA65" s="4">
        <f t="shared" si="19"/>
        <v>5368170726.0571909</v>
      </c>
      <c r="AB65" s="4">
        <f t="shared" si="19"/>
        <v>5368121918.057786</v>
      </c>
      <c r="AC65" s="4">
        <f t="shared" si="19"/>
        <v>5368088928.903389</v>
      </c>
      <c r="AD65" s="4">
        <f t="shared" si="19"/>
        <v>5368071822.1430378</v>
      </c>
      <c r="AE65" s="4">
        <f t="shared" si="19"/>
        <v>5368039153.2021551</v>
      </c>
      <c r="AF65" s="4">
        <f t="shared" si="19"/>
        <v>5367990859.6819372</v>
      </c>
      <c r="AG65" s="4">
        <f t="shared" si="19"/>
        <v>5367926878.9261303</v>
      </c>
      <c r="AH65" s="4">
        <f t="shared" si="19"/>
        <v>5367847148.0198164</v>
      </c>
      <c r="AI65" s="4">
        <f t="shared" si="19"/>
        <v>5367751603.7882109</v>
      </c>
      <c r="AJ65" s="4">
        <f t="shared" si="19"/>
        <v>5367640182.7954273</v>
      </c>
      <c r="AK65" s="4">
        <f t="shared" si="19"/>
        <v>5367512821.3432541</v>
      </c>
      <c r="AL65" s="4">
        <f t="shared" si="19"/>
        <v>5367369455.4699202</v>
      </c>
      <c r="AM65" s="4">
        <f t="shared" si="19"/>
        <v>5367210020.9488487</v>
      </c>
      <c r="AN65" s="4">
        <f t="shared" si="19"/>
        <v>5367034453.2874146</v>
      </c>
    </row>
    <row r="66" spans="2:40">
      <c r="B66" t="s">
        <v>1254</v>
      </c>
      <c r="D66" t="s">
        <v>446</v>
      </c>
      <c r="E66" s="7">
        <f>E62-E65</f>
        <v>8831287907.7673016</v>
      </c>
      <c r="F66" s="7">
        <f t="shared" ref="F66:AN66" si="20">F62-F65</f>
        <v>8831287907.7672997</v>
      </c>
      <c r="G66" s="7">
        <f t="shared" si="20"/>
        <v>8831287907.7672997</v>
      </c>
      <c r="H66" s="7">
        <f t="shared" si="20"/>
        <v>8831287907.7673016</v>
      </c>
      <c r="I66" s="7">
        <f t="shared" si="20"/>
        <v>8812243292.2713604</v>
      </c>
      <c r="J66" s="7">
        <f t="shared" si="20"/>
        <v>8704637397.6587143</v>
      </c>
      <c r="K66" s="7">
        <f t="shared" si="20"/>
        <v>8413296439.6215324</v>
      </c>
      <c r="L66" s="7">
        <f t="shared" si="20"/>
        <v>7510543055.1201973</v>
      </c>
      <c r="M66" s="7">
        <f t="shared" si="20"/>
        <v>5981838895.8489933</v>
      </c>
      <c r="N66" s="7">
        <f t="shared" si="20"/>
        <v>4325084359.0271654</v>
      </c>
      <c r="O66" s="7">
        <f t="shared" si="20"/>
        <v>2916900120.5575752</v>
      </c>
      <c r="P66" s="7">
        <f t="shared" si="20"/>
        <v>1793119933.7629547</v>
      </c>
      <c r="Q66" s="7">
        <f t="shared" si="20"/>
        <v>942081407.03298569</v>
      </c>
      <c r="R66" s="7">
        <f t="shared" si="20"/>
        <v>371322808.01141167</v>
      </c>
      <c r="S66" s="7">
        <f t="shared" si="20"/>
        <v>85686772.990441322</v>
      </c>
      <c r="T66" s="7">
        <f t="shared" si="20"/>
        <v>0</v>
      </c>
      <c r="U66" s="7">
        <f t="shared" si="20"/>
        <v>0</v>
      </c>
      <c r="V66" s="7">
        <f t="shared" si="20"/>
        <v>0</v>
      </c>
      <c r="W66" s="7">
        <f t="shared" si="20"/>
        <v>0</v>
      </c>
      <c r="X66" s="7">
        <f t="shared" si="20"/>
        <v>0</v>
      </c>
      <c r="Y66" s="7">
        <f t="shared" si="20"/>
        <v>0</v>
      </c>
      <c r="Z66" s="7">
        <f t="shared" si="20"/>
        <v>0</v>
      </c>
      <c r="AA66" s="7">
        <f t="shared" si="20"/>
        <v>0</v>
      </c>
      <c r="AB66" s="7">
        <f t="shared" si="20"/>
        <v>0</v>
      </c>
      <c r="AC66" s="7">
        <f t="shared" si="20"/>
        <v>0</v>
      </c>
      <c r="AD66" s="7">
        <f t="shared" si="20"/>
        <v>0</v>
      </c>
      <c r="AE66" s="7">
        <f t="shared" si="20"/>
        <v>0</v>
      </c>
      <c r="AF66" s="7">
        <f t="shared" si="20"/>
        <v>0</v>
      </c>
      <c r="AG66" s="7">
        <f t="shared" si="20"/>
        <v>0</v>
      </c>
      <c r="AH66" s="7">
        <f t="shared" si="20"/>
        <v>0</v>
      </c>
      <c r="AI66" s="7">
        <f t="shared" si="20"/>
        <v>0</v>
      </c>
      <c r="AJ66" s="7">
        <f t="shared" si="20"/>
        <v>0</v>
      </c>
      <c r="AK66" s="7">
        <f t="shared" si="20"/>
        <v>0</v>
      </c>
      <c r="AL66" s="7">
        <f t="shared" si="20"/>
        <v>0</v>
      </c>
      <c r="AM66" s="7">
        <f t="shared" si="20"/>
        <v>0</v>
      </c>
      <c r="AN66" s="7">
        <f t="shared" si="20"/>
        <v>0</v>
      </c>
    </row>
    <row r="68" spans="2:40" ht="15.75" thickBot="1">
      <c r="B68" t="s">
        <v>1269</v>
      </c>
      <c r="D68" t="s">
        <v>446</v>
      </c>
      <c r="E68" s="317">
        <f>'2.2 Energy Systems inputs'!F30*10^9*'DH calcs - old'!B63</f>
        <v>229090352.97365612</v>
      </c>
      <c r="F68" s="317">
        <f>'2.2 Energy Systems inputs'!G30*10^9*'DH calcs - old'!C63</f>
        <v>234018125.0404529</v>
      </c>
      <c r="G68" s="317">
        <f>'2.2 Energy Systems inputs'!H30*10^9*'DH calcs - old'!D63</f>
        <v>238725191.3544817</v>
      </c>
      <c r="H68" s="317">
        <f>'2.2 Energy Systems inputs'!I30*10^9*'DH calcs - old'!E63</f>
        <v>243211784.40396205</v>
      </c>
      <c r="I68" s="317">
        <f>'2.2 Energy Systems inputs'!J30*10^9*'DH calcs - old'!F63</f>
        <v>247478136.67711377</v>
      </c>
      <c r="J68" s="317">
        <f>'2.2 Energy Systems inputs'!K30*10^9*'DH calcs - old'!G63</f>
        <v>289687799.54982316</v>
      </c>
      <c r="K68" s="317">
        <f>'2.2 Energy Systems inputs'!L30*10^9*'DH calcs - old'!H63</f>
        <v>317531104.48770672</v>
      </c>
      <c r="L68" s="317">
        <f>'2.2 Energy Systems inputs'!M30*10^9*'DH calcs - old'!I63</f>
        <v>340955126.43122071</v>
      </c>
      <c r="M68" s="317">
        <f>'2.2 Energy Systems inputs'!N30*10^9*'DH calcs - old'!J63</f>
        <v>360109573.35235232</v>
      </c>
      <c r="N68" s="317">
        <f>'2.2 Energy Systems inputs'!O30*10^9*'DH calcs - old'!K63</f>
        <v>375157628.64629674</v>
      </c>
      <c r="O68" s="317">
        <f>'2.2 Energy Systems inputs'!P30*10^9*'DH calcs - old'!L63</f>
        <v>385925090.31333321</v>
      </c>
      <c r="P68" s="317">
        <f>'2.2 Energy Systems inputs'!Q30*10^9*'DH calcs - old'!M63</f>
        <v>401465192.6805951</v>
      </c>
      <c r="Q68" s="317">
        <f>'2.2 Energy Systems inputs'!R30*10^9*'DH calcs - old'!N63</f>
        <v>411829784.58919972</v>
      </c>
      <c r="R68" s="317">
        <f>'2.2 Energy Systems inputs'!S30*10^9*'DH calcs - old'!O63</f>
        <v>417388501.15948188</v>
      </c>
      <c r="S68" s="317">
        <f>'2.2 Energy Systems inputs'!T30*10^9*'DH calcs - old'!P63</f>
        <v>418522531.13713014</v>
      </c>
      <c r="T68" s="317">
        <f>'2.2 Energy Systems inputs'!U30*10^9*'DH calcs - old'!Q63</f>
        <v>415558489.67398793</v>
      </c>
      <c r="U68" s="317">
        <f>'2.2 Energy Systems inputs'!V30*10^9*'DH calcs - old'!R63</f>
        <v>424450666.35344446</v>
      </c>
      <c r="V68" s="317">
        <f>'2.2 Energy Systems inputs'!W30*10^9*'DH calcs - old'!S63</f>
        <v>430940336.02314091</v>
      </c>
      <c r="W68" s="317">
        <f>'2.2 Energy Systems inputs'!X30*10^9*'DH calcs - old'!T63</f>
        <v>435089382.15358812</v>
      </c>
      <c r="X68" s="317">
        <f>'2.2 Energy Systems inputs'!Y30*10^9*'DH calcs - old'!U63</f>
        <v>436959441.39806193</v>
      </c>
      <c r="Y68" s="317">
        <f>'2.2 Energy Systems inputs'!Z30*10^9*'DH calcs - old'!V63</f>
        <v>436217619.27133638</v>
      </c>
      <c r="Z68" s="317">
        <f>'2.2 Energy Systems inputs'!AA30*10^9*'DH calcs - old'!W63</f>
        <v>433496297.40493011</v>
      </c>
      <c r="AA68" s="317">
        <f>'2.2 Energy Systems inputs'!AB30*10^9*'DH calcs - old'!X63</f>
        <v>428911135.11339676</v>
      </c>
      <c r="AB68" s="317">
        <f>'2.2 Energy Systems inputs'!AC30*10^9*'DH calcs - old'!Y63</f>
        <v>422588279.14511913</v>
      </c>
      <c r="AC68" s="317">
        <f>'2.2 Energy Systems inputs'!AD30*10^9*'DH calcs - old'!Z63</f>
        <v>414648267.04660124</v>
      </c>
      <c r="AD68" s="317">
        <f>'2.2 Energy Systems inputs'!AE30*10^9*'DH calcs - old'!AA63</f>
        <v>405211136.31167245</v>
      </c>
      <c r="AE68" s="317">
        <f>'2.2 Energy Systems inputs'!AF30*10^9*'DH calcs - old'!AB63</f>
        <v>409157263.80290043</v>
      </c>
      <c r="AF68" s="317">
        <f>'2.2 Energy Systems inputs'!AG30*10^9*'DH calcs - old'!AC63</f>
        <v>412007543.5408687</v>
      </c>
      <c r="AG68" s="317">
        <f>'2.2 Energy Systems inputs'!AH30*10^9*'DH calcs - old'!AD63</f>
        <v>413760792.95171553</v>
      </c>
      <c r="AH68" s="317">
        <f>'2.2 Energy Systems inputs'!AI30*10^9*'DH calcs - old'!AE63</f>
        <v>414415770.51096237</v>
      </c>
      <c r="AI68" s="317">
        <f>'2.2 Energy Systems inputs'!AJ30*10^9*'DH calcs - old'!AF63</f>
        <v>413971178.51910561</v>
      </c>
      <c r="AJ68" s="317">
        <f>'2.2 Energy Systems inputs'!AK30*10^9*'DH calcs - old'!AG63</f>
        <v>398430591.31115806</v>
      </c>
      <c r="AK68" s="317">
        <f>'2.2 Energy Systems inputs'!AL30*10^9*'DH calcs - old'!AH63</f>
        <v>382880553.38930833</v>
      </c>
      <c r="AL68" s="317">
        <f>'2.2 Energy Systems inputs'!AM30*10^9*'DH calcs - old'!AI63</f>
        <v>367320583.40597469</v>
      </c>
      <c r="AM68" s="317">
        <f>'2.2 Energy Systems inputs'!AN30*10^9*'DH calcs - old'!AJ63</f>
        <v>351750217.12942427</v>
      </c>
      <c r="AN68" s="317">
        <f>'2.2 Energy Systems inputs'!AO30*10^9*'DH calcs - old'!AK63</f>
        <v>336169004.78934437</v>
      </c>
    </row>
    <row r="69" spans="2:40" ht="15.75" thickTop="1">
      <c r="B69" t="s">
        <v>1256</v>
      </c>
      <c r="D69" t="s">
        <v>446</v>
      </c>
      <c r="E69" s="316">
        <f t="shared" ref="E69:AM69" si="21">MIN(E68,E65)</f>
        <v>229090352.97365612</v>
      </c>
      <c r="F69" s="316">
        <f t="shared" si="21"/>
        <v>234018125.0404529</v>
      </c>
      <c r="G69" s="316">
        <f t="shared" si="21"/>
        <v>238725191.3544817</v>
      </c>
      <c r="H69" s="316">
        <f t="shared" si="21"/>
        <v>243211784.40396205</v>
      </c>
      <c r="I69" s="316">
        <f t="shared" si="21"/>
        <v>247478136.67711377</v>
      </c>
      <c r="J69" s="316">
        <f t="shared" si="21"/>
        <v>289687799.54982316</v>
      </c>
      <c r="K69" s="316">
        <f t="shared" si="21"/>
        <v>317531104.48770672</v>
      </c>
      <c r="L69" s="316">
        <f t="shared" si="21"/>
        <v>340955126.43122071</v>
      </c>
      <c r="M69" s="316">
        <f t="shared" si="21"/>
        <v>360109573.35235232</v>
      </c>
      <c r="N69" s="316">
        <f t="shared" si="21"/>
        <v>375157628.64629674</v>
      </c>
      <c r="O69" s="316">
        <f t="shared" si="21"/>
        <v>385925090.31333321</v>
      </c>
      <c r="P69" s="316">
        <f t="shared" si="21"/>
        <v>401465192.6805951</v>
      </c>
      <c r="Q69" s="316">
        <f t="shared" si="21"/>
        <v>411829784.58919972</v>
      </c>
      <c r="R69" s="316">
        <f t="shared" si="21"/>
        <v>417388501.15948188</v>
      </c>
      <c r="S69" s="316">
        <f t="shared" si="21"/>
        <v>418522531.13713014</v>
      </c>
      <c r="T69" s="316">
        <f>MIN(T68,T65)</f>
        <v>415558489.67398793</v>
      </c>
      <c r="U69" s="316">
        <f t="shared" si="21"/>
        <v>424450666.35344446</v>
      </c>
      <c r="V69" s="316">
        <f t="shared" si="21"/>
        <v>430940336.02314091</v>
      </c>
      <c r="W69" s="316">
        <f t="shared" si="21"/>
        <v>435089382.15358812</v>
      </c>
      <c r="X69" s="316">
        <f t="shared" si="21"/>
        <v>436959441.39806193</v>
      </c>
      <c r="Y69" s="316">
        <f>MIN(Y68,Y65)</f>
        <v>436217619.27133638</v>
      </c>
      <c r="Z69" s="316">
        <f t="shared" si="21"/>
        <v>433496297.40493011</v>
      </c>
      <c r="AA69" s="316">
        <f t="shared" si="21"/>
        <v>428911135.11339676</v>
      </c>
      <c r="AB69" s="316">
        <f t="shared" si="21"/>
        <v>422588279.14511913</v>
      </c>
      <c r="AC69" s="316">
        <f t="shared" si="21"/>
        <v>414648267.04660124</v>
      </c>
      <c r="AD69" s="316">
        <f t="shared" si="21"/>
        <v>405211136.31167245</v>
      </c>
      <c r="AE69" s="316">
        <f t="shared" si="21"/>
        <v>409157263.80290043</v>
      </c>
      <c r="AF69" s="316">
        <f t="shared" si="21"/>
        <v>412007543.5408687</v>
      </c>
      <c r="AG69" s="316">
        <f t="shared" si="21"/>
        <v>413760792.95171553</v>
      </c>
      <c r="AH69" s="316">
        <f t="shared" si="21"/>
        <v>414415770.51096237</v>
      </c>
      <c r="AI69" s="316">
        <f t="shared" si="21"/>
        <v>413971178.51910561</v>
      </c>
      <c r="AJ69" s="316">
        <f t="shared" si="21"/>
        <v>398430591.31115806</v>
      </c>
      <c r="AK69" s="316">
        <f t="shared" si="21"/>
        <v>382880553.38930833</v>
      </c>
      <c r="AL69" s="316">
        <f t="shared" si="21"/>
        <v>367320583.40597469</v>
      </c>
      <c r="AM69" s="316">
        <f t="shared" si="21"/>
        <v>351750217.12942427</v>
      </c>
      <c r="AN69" s="316">
        <f>MIN(AN68,AN65)</f>
        <v>336169004.78934437</v>
      </c>
    </row>
    <row r="70" spans="2:40" ht="15.75" thickBot="1">
      <c r="B70" t="s">
        <v>1270</v>
      </c>
      <c r="D70" t="s">
        <v>1271</v>
      </c>
      <c r="E70" s="317">
        <f>'2.2 Energy Systems inputs'!F15*'Allocation of heat'!E62</f>
        <v>0</v>
      </c>
      <c r="F70" s="317">
        <f>'2.2 Energy Systems inputs'!G15*'Allocation of heat'!F62</f>
        <v>0</v>
      </c>
      <c r="G70" s="317">
        <f>'2.2 Energy Systems inputs'!H15*'Allocation of heat'!G62</f>
        <v>0</v>
      </c>
      <c r="H70" s="317">
        <f>'2.2 Energy Systems inputs'!I15*'Allocation of heat'!H62</f>
        <v>0</v>
      </c>
      <c r="I70" s="317">
        <f>'2.2 Energy Systems inputs'!J15*'Allocation of heat'!I62</f>
        <v>0</v>
      </c>
      <c r="J70" s="317">
        <f>'2.2 Energy Systems inputs'!K15*'Allocation of heat'!J62</f>
        <v>0</v>
      </c>
      <c r="K70" s="317">
        <f>'2.2 Energy Systems inputs'!L15*'Allocation of heat'!K62</f>
        <v>22952742.402008086</v>
      </c>
      <c r="L70" s="317">
        <f>'2.2 Energy Systems inputs'!M15*'Allocation of heat'!L62</f>
        <v>95055216.912389278</v>
      </c>
      <c r="M70" s="317">
        <f>'2.2 Energy Systems inputs'!N15*'Allocation of heat'!M62</f>
        <v>224896596.74593863</v>
      </c>
      <c r="N70" s="317">
        <f>'2.2 Energy Systems inputs'!O15*'Allocation of heat'!N62</f>
        <v>439381639.03763974</v>
      </c>
      <c r="O70" s="317">
        <f>'2.2 Energy Systems inputs'!P15*'Allocation of heat'!O62</f>
        <v>707644629.49019682</v>
      </c>
      <c r="P70" s="317">
        <f>'2.2 Energy Systems inputs'!Q15*'Allocation of heat'!P62</f>
        <v>1039655241.358516</v>
      </c>
      <c r="Q70" s="317">
        <f>'2.2 Energy Systems inputs'!R15*'Allocation of heat'!Q62</f>
        <v>1412128764.8943763</v>
      </c>
      <c r="R70" s="317">
        <f>'2.2 Energy Systems inputs'!S15*'Allocation of heat'!R62</f>
        <v>1767172463.1317263</v>
      </c>
      <c r="S70" s="317">
        <f>'2.2 Energy Systems inputs'!T15*'Allocation of heat'!S62</f>
        <v>2049734973.1358006</v>
      </c>
      <c r="T70" s="317">
        <f>'2.2 Energy Systems inputs'!U15*'Allocation of heat'!T62</f>
        <v>2264792902.663362</v>
      </c>
      <c r="U70" s="317">
        <f>'2.2 Energy Systems inputs'!V15*'Allocation of heat'!U62</f>
        <v>2447374138.0477672</v>
      </c>
      <c r="V70" s="317">
        <f>'2.2 Energy Systems inputs'!W15*'Allocation of heat'!V62</f>
        <v>2619376605.2128282</v>
      </c>
      <c r="W70" s="317">
        <f>'2.2 Energy Systems inputs'!X15*'Allocation of heat'!W62</f>
        <v>2791767834.9954138</v>
      </c>
      <c r="X70" s="317">
        <f>'2.2 Energy Systems inputs'!Y15*'Allocation of heat'!X62</f>
        <v>2975465148.1245303</v>
      </c>
      <c r="Y70" s="317">
        <f>'2.2 Energy Systems inputs'!Z15*'Allocation of heat'!Y62</f>
        <v>3259000898.8496733</v>
      </c>
      <c r="Z70" s="317">
        <f>'2.2 Energy Systems inputs'!AA15*'Allocation of heat'!Z62</f>
        <v>3542574462.5818048</v>
      </c>
      <c r="AA70" s="317">
        <f>'2.2 Energy Systems inputs'!AB15*'Allocation of heat'!AA62</f>
        <v>3755083767.5476089</v>
      </c>
      <c r="AB70" s="317">
        <f>'2.2 Energy Systems inputs'!AC15*'Allocation of heat'!AB62</f>
        <v>3896749611.7959595</v>
      </c>
      <c r="AC70" s="317">
        <f>'2.2 Energy Systems inputs'!AD15*'Allocation of heat'!AC62</f>
        <v>3896725664.784965</v>
      </c>
      <c r="AD70" s="317">
        <f>'2.2 Energy Systems inputs'!AE15*'Allocation of heat'!AD62</f>
        <v>3896713246.8923063</v>
      </c>
      <c r="AE70" s="317">
        <f>'2.2 Energy Systems inputs'!AF15*'Allocation of heat'!AE62</f>
        <v>3896689532.3260865</v>
      </c>
      <c r="AF70" s="317">
        <f>'2.2 Energy Systems inputs'!AG15*'Allocation of heat'!AF62</f>
        <v>3896654475.7906661</v>
      </c>
      <c r="AG70" s="317">
        <f>'2.2 Energy Systems inputs'!AH15*'Allocation of heat'!AG62</f>
        <v>3896608031.8035216</v>
      </c>
      <c r="AH70" s="317">
        <f>'2.2 Energy Systems inputs'!AI15*'Allocation of heat'!AH62</f>
        <v>3896550154.6943631</v>
      </c>
      <c r="AI70" s="317">
        <f>'2.2 Energy Systems inputs'!AJ15*'Allocation of heat'!AI62</f>
        <v>3896480798.6042628</v>
      </c>
      <c r="AJ70" s="317">
        <f>'2.2 Energy Systems inputs'!AK15*'Allocation of heat'!AJ62</f>
        <v>3896399917.4847574</v>
      </c>
      <c r="AK70" s="317">
        <f>'2.2 Energy Systems inputs'!AL15*'Allocation of heat'!AK62</f>
        <v>3896307465.0969596</v>
      </c>
      <c r="AL70" s="317">
        <f>'2.2 Energy Systems inputs'!AM15*'Allocation of heat'!AL62</f>
        <v>3896203395.0106635</v>
      </c>
      <c r="AM70" s="317">
        <f>'2.2 Energy Systems inputs'!AN15*'Allocation of heat'!AM62</f>
        <v>3896087660.6034398</v>
      </c>
      <c r="AN70" s="317">
        <f>'2.2 Energy Systems inputs'!AO15*'Allocation of heat'!AN62</f>
        <v>3895960215.059732</v>
      </c>
    </row>
    <row r="71" spans="2:40" ht="15.75" thickTop="1">
      <c r="B71" t="s">
        <v>1258</v>
      </c>
      <c r="D71" t="s">
        <v>446</v>
      </c>
      <c r="E71" s="316">
        <f t="shared" ref="E71:AM71" si="22">IF(E70+E69&gt;E65,E65-E63-E69,E70)</f>
        <v>0</v>
      </c>
      <c r="F71" s="316">
        <f t="shared" si="22"/>
        <v>0</v>
      </c>
      <c r="G71" s="316">
        <f t="shared" si="22"/>
        <v>0</v>
      </c>
      <c r="H71" s="316">
        <f t="shared" si="22"/>
        <v>0</v>
      </c>
      <c r="I71" s="316">
        <f t="shared" si="22"/>
        <v>0</v>
      </c>
      <c r="J71" s="316">
        <f t="shared" si="22"/>
        <v>0</v>
      </c>
      <c r="K71" s="316">
        <f t="shared" si="22"/>
        <v>22952742.402008086</v>
      </c>
      <c r="L71" s="316">
        <f t="shared" si="22"/>
        <v>95055216.912389278</v>
      </c>
      <c r="M71" s="316">
        <f t="shared" si="22"/>
        <v>224896596.74593863</v>
      </c>
      <c r="N71" s="316">
        <f t="shared" si="22"/>
        <v>439381639.03763974</v>
      </c>
      <c r="O71" s="316">
        <f t="shared" si="22"/>
        <v>707644629.49019682</v>
      </c>
      <c r="P71" s="316">
        <f t="shared" si="22"/>
        <v>1039655241.358516</v>
      </c>
      <c r="Q71" s="316">
        <f t="shared" si="22"/>
        <v>1412128764.8943763</v>
      </c>
      <c r="R71" s="316">
        <f t="shared" si="22"/>
        <v>1767172463.1317263</v>
      </c>
      <c r="S71" s="316">
        <f t="shared" si="22"/>
        <v>2049734973.1358006</v>
      </c>
      <c r="T71" s="316">
        <f t="shared" si="22"/>
        <v>2264792902.663362</v>
      </c>
      <c r="U71" s="316">
        <f t="shared" si="22"/>
        <v>2447374138.0477672</v>
      </c>
      <c r="V71" s="316">
        <f t="shared" si="22"/>
        <v>2619376605.2128282</v>
      </c>
      <c r="W71" s="316">
        <f t="shared" si="22"/>
        <v>2791767834.9954138</v>
      </c>
      <c r="X71" s="316">
        <f t="shared" si="22"/>
        <v>2975465148.1245303</v>
      </c>
      <c r="Y71" s="316">
        <f t="shared" si="22"/>
        <v>3259000898.8496733</v>
      </c>
      <c r="Z71" s="316">
        <f t="shared" si="22"/>
        <v>3542574462.5818048</v>
      </c>
      <c r="AA71" s="316">
        <f t="shared" si="22"/>
        <v>3755083767.5476089</v>
      </c>
      <c r="AB71" s="316">
        <f t="shared" si="22"/>
        <v>3896749611.7959595</v>
      </c>
      <c r="AC71" s="316">
        <f t="shared" si="22"/>
        <v>3896725664.784965</v>
      </c>
      <c r="AD71" s="316">
        <f t="shared" si="22"/>
        <v>3896713246.8923063</v>
      </c>
      <c r="AE71" s="316">
        <f t="shared" si="22"/>
        <v>3896689532.3260865</v>
      </c>
      <c r="AF71" s="316">
        <f t="shared" si="22"/>
        <v>3896654475.7906661</v>
      </c>
      <c r="AG71" s="316">
        <f t="shared" si="22"/>
        <v>3896608031.8035216</v>
      </c>
      <c r="AH71" s="316">
        <f t="shared" si="22"/>
        <v>3896550154.6943631</v>
      </c>
      <c r="AI71" s="316">
        <f t="shared" si="22"/>
        <v>3896480798.6042628</v>
      </c>
      <c r="AJ71" s="316">
        <f t="shared" si="22"/>
        <v>3896399917.4847574</v>
      </c>
      <c r="AK71" s="316">
        <f t="shared" si="22"/>
        <v>3896307465.0969596</v>
      </c>
      <c r="AL71" s="316">
        <f t="shared" si="22"/>
        <v>3896203395.0106635</v>
      </c>
      <c r="AM71" s="316">
        <f t="shared" si="22"/>
        <v>3896087660.6034398</v>
      </c>
      <c r="AN71" s="316">
        <f>IF(AN70+AN69&gt;AN65,AN65-AN63-AN69,AN70)</f>
        <v>3895960215.059732</v>
      </c>
    </row>
    <row r="72" spans="2:40">
      <c r="B72" t="s">
        <v>1259</v>
      </c>
      <c r="D72" t="s">
        <v>452</v>
      </c>
      <c r="E72" s="315">
        <f>IF(E71=E70,'2.2 Energy Systems inputs'!F15,E71/E62)</f>
        <v>0</v>
      </c>
      <c r="F72" s="315">
        <f>IF(F71=F70,'2.2 Energy Systems inputs'!G15,F71/F62)</f>
        <v>0</v>
      </c>
      <c r="G72" s="315">
        <f>IF(G71=G70,'2.2 Energy Systems inputs'!H15,G71/G62)</f>
        <v>0</v>
      </c>
      <c r="H72" s="315">
        <f>IF(H71=H70,'2.2 Energy Systems inputs'!I15,H71/H62)</f>
        <v>0</v>
      </c>
      <c r="I72" s="315">
        <f>IF(I71=I70,'2.2 Energy Systems inputs'!J15,I71/I62)</f>
        <v>0</v>
      </c>
      <c r="J72" s="315">
        <f>IF(J71=J70,'2.2 Energy Systems inputs'!K15,J71/J62)</f>
        <v>0</v>
      </c>
      <c r="K72" s="315">
        <f>IF(K71=K70,'2.2 Energy Systems inputs'!L15,K71/K62)</f>
        <v>2.1691078062886829E-3</v>
      </c>
      <c r="L72" s="315">
        <f>IF(L71=L70,'2.2 Energy Systems inputs'!M15,L71/L62)</f>
        <v>9.1062539044558626E-3</v>
      </c>
      <c r="M72" s="315">
        <f>IF(M71=M70,'2.2 Energy Systems inputs'!N15,M71/M62)</f>
        <v>2.2155351624049417E-2</v>
      </c>
      <c r="N72" s="315">
        <f>IF(N71=N70,'2.2 Energy Systems inputs'!O15,N71/N62)</f>
        <v>4.5311772711308949E-2</v>
      </c>
      <c r="O72" s="315">
        <f>IF(O71=O70,'2.2 Energy Systems inputs'!P15,O71/O62)</f>
        <v>7.6917118326806033E-2</v>
      </c>
      <c r="P72" s="315">
        <f>IF(P71=P70,'2.2 Energy Systems inputs'!Q15,P71/P62)</f>
        <v>0.12019311954031048</v>
      </c>
      <c r="Q72" s="315">
        <f>IF(Q71=Q70,'2.2 Energy Systems inputs'!R15,Q71/Q62)</f>
        <v>0.17545600497291489</v>
      </c>
      <c r="R72" s="315">
        <f>IF(R71=R70,'2.2 Energy Systems inputs'!S15,R71/R62)</f>
        <v>0.23256649455754455</v>
      </c>
      <c r="S72" s="315">
        <f>IF(S71=S70,'2.2 Energy Systems inputs'!T15,S71/S62)</f>
        <v>0.2888513945984979</v>
      </c>
      <c r="T72" s="315">
        <f>IF(T71=T70,'2.2 Energy Systems inputs'!U15,T71/T62)</f>
        <v>0.34315536133572833</v>
      </c>
      <c r="U72" s="315">
        <f>IF(U71=U70,'2.2 Energy Systems inputs'!V15,U71/U62)</f>
        <v>0.39594849384891728</v>
      </c>
      <c r="V72" s="315">
        <f>IF(V71=V70,'2.2 Energy Systems inputs'!W15,V71/V62)</f>
        <v>0.44874162636210629</v>
      </c>
      <c r="W72" s="315">
        <f>IF(W71=W70,'2.2 Energy Systems inputs'!X15,W71/W62)</f>
        <v>0.50153475887529519</v>
      </c>
      <c r="X72" s="315">
        <f>IF(X71=X70,'2.2 Energy Systems inputs'!Y15,X71/X62)</f>
        <v>0.55432789138848426</v>
      </c>
      <c r="Y72" s="315">
        <f>IF(Y71=Y70,'2.2 Energy Systems inputs'!Z15,Y71/Y62)</f>
        <v>0.60712102390167322</v>
      </c>
      <c r="Z72" s="315">
        <f>IF(Z71=Z70,'2.2 Energy Systems inputs'!AA15,Z71/Z62)</f>
        <v>0.65991415641486229</v>
      </c>
      <c r="AA72" s="315">
        <f>IF(AA71=AA70,'2.2 Energy Systems inputs'!AB15,AA71/AA62)</f>
        <v>0.69950900579975395</v>
      </c>
      <c r="AB72" s="315">
        <f>IF(AB71=AB70,'2.2 Energy Systems inputs'!AC15,AB71/AB62)</f>
        <v>0.72590557205634842</v>
      </c>
      <c r="AC72" s="315">
        <f>IF(AC71=AC70,'2.2 Energy Systems inputs'!AD15,AC71/AC62)</f>
        <v>0.72590557205634842</v>
      </c>
      <c r="AD72" s="315">
        <f>IF(AD71=AD70,'2.2 Energy Systems inputs'!AE15,AD71/AD62)</f>
        <v>0.72590557205634842</v>
      </c>
      <c r="AE72" s="315">
        <f>IF(AE71=AE70,'2.2 Energy Systems inputs'!AF15,AE71/AE62)</f>
        <v>0.72590557205634842</v>
      </c>
      <c r="AF72" s="315">
        <f>IF(AF71=AF70,'2.2 Energy Systems inputs'!AG15,AF71/AF62)</f>
        <v>0.72590557205634842</v>
      </c>
      <c r="AG72" s="315">
        <f>IF(AG71=AG70,'2.2 Energy Systems inputs'!AH15,AG71/AG62)</f>
        <v>0.72590557205634842</v>
      </c>
      <c r="AH72" s="315">
        <f>IF(AH71=AH70,'2.2 Energy Systems inputs'!AI15,AH71/AH62)</f>
        <v>0.72590557205634842</v>
      </c>
      <c r="AI72" s="315">
        <f>IF(AI71=AI70,'2.2 Energy Systems inputs'!AJ15,AI71/AI62)</f>
        <v>0.72590557205634842</v>
      </c>
      <c r="AJ72" s="315">
        <f>IF(AJ71=AJ70,'2.2 Energy Systems inputs'!AK15,AJ71/AJ62)</f>
        <v>0.72590557205634842</v>
      </c>
      <c r="AK72" s="315">
        <f>IF(AK71=AK70,'2.2 Energy Systems inputs'!AL15,AK71/AK62)</f>
        <v>0.72590557205634842</v>
      </c>
      <c r="AL72" s="315">
        <f>IF(AL71=AL70,'2.2 Energy Systems inputs'!AM15,AL71/AL62)</f>
        <v>0.72590557205634842</v>
      </c>
      <c r="AM72" s="315">
        <f>IF(AM71=AM70,'2.2 Energy Systems inputs'!AN15,AM71/AM62)</f>
        <v>0.72590557205634842</v>
      </c>
      <c r="AN72" s="315">
        <f>IF(AN71=AN70,'2.2 Energy Systems inputs'!AO15,AN71/AN62)</f>
        <v>0.72590557205634842</v>
      </c>
    </row>
    <row r="73" spans="2:40">
      <c r="B73" t="s">
        <v>220</v>
      </c>
      <c r="D73" t="s">
        <v>452</v>
      </c>
      <c r="E73" s="315">
        <f>MIN('2.2 Energy Systems inputs'!F15-E72,1-SUM(E72,E74,E75))</f>
        <v>0</v>
      </c>
      <c r="F73" s="315">
        <f>MIN('2.2 Energy Systems inputs'!G15-F72,1-SUM(F72,F74,F75))</f>
        <v>0</v>
      </c>
      <c r="G73" s="315">
        <f>MIN('2.2 Energy Systems inputs'!H15-G72,1-SUM(G72,G74,G75))</f>
        <v>0</v>
      </c>
      <c r="H73" s="315">
        <f>MIN('2.2 Energy Systems inputs'!I15-H72,1-SUM(H72,H74,H75))</f>
        <v>0</v>
      </c>
      <c r="I73" s="315">
        <f>MIN('2.2 Energy Systems inputs'!J15-I72,1-SUM(I72,I74,I75))</f>
        <v>0</v>
      </c>
      <c r="J73" s="315">
        <f>MIN('2.2 Energy Systems inputs'!K15-J72,1-SUM(J72,J74,J75))</f>
        <v>0</v>
      </c>
      <c r="K73" s="315">
        <f>MIN('2.2 Energy Systems inputs'!L15-K72,1-SUM(K72,K74,K75))</f>
        <v>0</v>
      </c>
      <c r="L73" s="315">
        <f>MIN('2.2 Energy Systems inputs'!M15-L72,1-SUM(L72,L74,L75))</f>
        <v>0</v>
      </c>
      <c r="M73" s="315">
        <f>MIN('2.2 Energy Systems inputs'!N15-M72,1-SUM(M72,M74,M75))</f>
        <v>0</v>
      </c>
      <c r="N73" s="315">
        <f>MIN('2.2 Energy Systems inputs'!O15-N72,1-SUM(N72,N74,N75))</f>
        <v>0</v>
      </c>
      <c r="O73" s="315">
        <f>MIN('2.2 Energy Systems inputs'!P15-O72,1-SUM(O72,O74,O75))</f>
        <v>0</v>
      </c>
      <c r="P73" s="315">
        <f>MIN('2.2 Energy Systems inputs'!Q15-P72,1-SUM(P72,P74,P75))</f>
        <v>0</v>
      </c>
      <c r="Q73" s="315">
        <f>MIN('2.2 Energy Systems inputs'!R15-Q72,1-SUM(Q72,Q74,Q75))</f>
        <v>0</v>
      </c>
      <c r="R73" s="315">
        <f>MIN('2.2 Energy Systems inputs'!S15-R72,1-SUM(R72,R74,R75))</f>
        <v>0</v>
      </c>
      <c r="S73" s="315">
        <f>MIN('2.2 Energy Systems inputs'!T15-S72,1-SUM(S72,S74,S75))</f>
        <v>0</v>
      </c>
      <c r="T73" s="315">
        <f>MIN('2.2 Energy Systems inputs'!U15-T72,1-SUM(T72,T74,T75))</f>
        <v>0</v>
      </c>
      <c r="U73" s="315">
        <f>MIN('2.2 Energy Systems inputs'!V15-U72,1-SUM(U72,U74,U75))</f>
        <v>0</v>
      </c>
      <c r="V73" s="315">
        <f>MIN('2.2 Energy Systems inputs'!W15-V72,1-SUM(V72,V74,V75))</f>
        <v>0</v>
      </c>
      <c r="W73" s="315">
        <f>MIN('2.2 Energy Systems inputs'!X15-W72,1-SUM(W72,W74,W75))</f>
        <v>0</v>
      </c>
      <c r="X73" s="315">
        <f>MIN('2.2 Energy Systems inputs'!Y15-X72,1-SUM(X72,X74,X75))</f>
        <v>0</v>
      </c>
      <c r="Y73" s="315">
        <f>MIN('2.2 Energy Systems inputs'!Z15-Y72,1-SUM(Y72,Y74,Y75))</f>
        <v>0</v>
      </c>
      <c r="Z73" s="315">
        <f>MIN('2.2 Energy Systems inputs'!AA15-Z72,1-SUM(Z72,Z74,Z75))</f>
        <v>0</v>
      </c>
      <c r="AA73" s="315">
        <f>MIN('2.2 Energy Systems inputs'!AB15-AA72,1-SUM(AA72,AA74,AA75))</f>
        <v>0</v>
      </c>
      <c r="AB73" s="315">
        <f>MIN('2.2 Energy Systems inputs'!AC15-AB72,1-SUM(AB72,AB74,AB75))</f>
        <v>0</v>
      </c>
      <c r="AC73" s="315">
        <f>MIN('2.2 Energy Systems inputs'!AD15-AC72,1-SUM(AC72,AC74,AC75))</f>
        <v>0</v>
      </c>
      <c r="AD73" s="315">
        <f>MIN('2.2 Energy Systems inputs'!AE15-AD72,1-SUM(AD72,AD74,AD75))</f>
        <v>0</v>
      </c>
      <c r="AE73" s="315">
        <f>MIN('2.2 Energy Systems inputs'!AF15-AE72,1-SUM(AE72,AE74,AE75))</f>
        <v>0</v>
      </c>
      <c r="AF73" s="315">
        <f>MIN('2.2 Energy Systems inputs'!AG15-AF72,1-SUM(AF72,AF74,AF75))</f>
        <v>0</v>
      </c>
      <c r="AG73" s="315">
        <f>MIN('2.2 Energy Systems inputs'!AH15-AG72,1-SUM(AG72,AG74,AG75))</f>
        <v>0</v>
      </c>
      <c r="AH73" s="315">
        <f>MIN('2.2 Energy Systems inputs'!AI15-AH72,1-SUM(AH72,AH74,AH75))</f>
        <v>0</v>
      </c>
      <c r="AI73" s="315">
        <f>MIN('2.2 Energy Systems inputs'!AJ15-AI72,1-SUM(AI72,AI74,AI75))</f>
        <v>0</v>
      </c>
      <c r="AJ73" s="315">
        <f>MIN('2.2 Energy Systems inputs'!AK15-AJ72,1-SUM(AJ72,AJ74,AJ75))</f>
        <v>0</v>
      </c>
      <c r="AK73" s="315">
        <f>MIN('2.2 Energy Systems inputs'!AL15-AK72,1-SUM(AK72,AK74,AK75))</f>
        <v>0</v>
      </c>
      <c r="AL73" s="315">
        <f>MIN('2.2 Energy Systems inputs'!AM15-AL72,1-SUM(AL72,AL74,AL75))</f>
        <v>0</v>
      </c>
      <c r="AM73" s="315">
        <f>MIN('2.2 Energy Systems inputs'!AN15-AM72,1-SUM(AM72,AM74,AM75))</f>
        <v>0</v>
      </c>
      <c r="AN73" s="315">
        <f>MIN('2.2 Energy Systems inputs'!AO15-AN72,1-SUM(AN72,AN74,AN75))</f>
        <v>0</v>
      </c>
    </row>
    <row r="74" spans="2:40">
      <c r="B74" t="s">
        <v>96</v>
      </c>
      <c r="D74" t="s">
        <v>452</v>
      </c>
      <c r="E74" s="315">
        <f>E69/E62</f>
        <v>2.1319097585671885E-2</v>
      </c>
      <c r="F74" s="315">
        <f t="shared" ref="F74:AN74" si="23">F69/F62</f>
        <v>2.1777674964458631E-2</v>
      </c>
      <c r="G74" s="315">
        <f t="shared" si="23"/>
        <v>2.2215713514700634E-2</v>
      </c>
      <c r="H74" s="315">
        <f t="shared" si="23"/>
        <v>2.2633234871700186E-2</v>
      </c>
      <c r="I74" s="315">
        <f t="shared" si="23"/>
        <v>2.3079909102059815E-2</v>
      </c>
      <c r="J74" s="315">
        <f t="shared" si="23"/>
        <v>2.713313702447533E-2</v>
      </c>
      <c r="K74" s="315">
        <f t="shared" si="23"/>
        <v>3.0007708247686081E-2</v>
      </c>
      <c r="L74" s="315">
        <f t="shared" si="23"/>
        <v>3.2663372428787439E-2</v>
      </c>
      <c r="M74" s="315">
        <f t="shared" si="23"/>
        <v>3.5475655640181944E-2</v>
      </c>
      <c r="N74" s="315">
        <f t="shared" si="23"/>
        <v>3.8688592535106862E-2</v>
      </c>
      <c r="O74" s="315">
        <f t="shared" si="23"/>
        <v>4.1947956078320213E-2</v>
      </c>
      <c r="P74" s="315">
        <f t="shared" si="23"/>
        <v>4.6412841464714742E-2</v>
      </c>
      <c r="Q74" s="315">
        <f t="shared" si="23"/>
        <v>5.1169560828457319E-2</v>
      </c>
      <c r="R74" s="315">
        <f t="shared" si="23"/>
        <v>5.4929885231044716E-2</v>
      </c>
      <c r="S74" s="315">
        <f t="shared" si="23"/>
        <v>5.8978754997241277E-2</v>
      </c>
      <c r="T74" s="315">
        <f t="shared" si="23"/>
        <v>6.2964310561248266E-2</v>
      </c>
      <c r="U74" s="315">
        <f t="shared" si="23"/>
        <v>6.866976300970272E-2</v>
      </c>
      <c r="V74" s="315">
        <f t="shared" si="23"/>
        <v>7.3827057501853338E-2</v>
      </c>
      <c r="W74" s="315">
        <f t="shared" si="23"/>
        <v>7.8162820572778555E-2</v>
      </c>
      <c r="X74" s="315">
        <f t="shared" si="23"/>
        <v>8.1405358058100896E-2</v>
      </c>
      <c r="Y74" s="315">
        <f>Y69/Y62</f>
        <v>8.126321405724167E-2</v>
      </c>
      <c r="Z74" s="315">
        <f t="shared" si="23"/>
        <v>8.0752104559138768E-2</v>
      </c>
      <c r="AA74" s="315">
        <f t="shared" si="23"/>
        <v>7.9898937086977304E-2</v>
      </c>
      <c r="AB74" s="315">
        <f t="shared" si="23"/>
        <v>7.8721811016172621E-2</v>
      </c>
      <c r="AC74" s="315">
        <f t="shared" si="23"/>
        <v>7.7243181426077265E-2</v>
      </c>
      <c r="AD74" s="315">
        <f t="shared" si="23"/>
        <v>7.5485416316561943E-2</v>
      </c>
      <c r="AE74" s="315">
        <f t="shared" si="23"/>
        <v>7.622099096628776E-2</v>
      </c>
      <c r="AF74" s="315">
        <f t="shared" si="23"/>
        <v>7.6752653704272672E-2</v>
      </c>
      <c r="AG74" s="315">
        <f t="shared" si="23"/>
        <v>7.7080184265566898E-2</v>
      </c>
      <c r="AH74" s="315">
        <f t="shared" si="23"/>
        <v>7.7203347838218375E-2</v>
      </c>
      <c r="AI74" s="315">
        <f t="shared" si="23"/>
        <v>7.7121895548771593E-2</v>
      </c>
      <c r="AJ74" s="315">
        <f t="shared" si="23"/>
        <v>7.4228260043999142E-2</v>
      </c>
      <c r="AK74" s="315">
        <f t="shared" si="23"/>
        <v>7.1332955529576178E-2</v>
      </c>
      <c r="AL74" s="315">
        <f t="shared" si="23"/>
        <v>6.8435867225729349E-2</v>
      </c>
      <c r="AM74" s="315">
        <f t="shared" si="23"/>
        <v>6.5536883363330675E-2</v>
      </c>
      <c r="AN74" s="315">
        <f t="shared" si="23"/>
        <v>6.2635894685459714E-2</v>
      </c>
    </row>
    <row r="75" spans="2:40">
      <c r="B75" t="s">
        <v>219</v>
      </c>
      <c r="D75" t="s">
        <v>452</v>
      </c>
      <c r="E75" s="5">
        <f>'2.1 Building inputs'!E19</f>
        <v>0</v>
      </c>
      <c r="F75" s="5">
        <f>'2.1 Building inputs'!F19</f>
        <v>0</v>
      </c>
      <c r="G75" s="5">
        <f>'2.1 Building inputs'!G19</f>
        <v>0</v>
      </c>
      <c r="H75" s="5">
        <f>'2.1 Building inputs'!H19</f>
        <v>0</v>
      </c>
      <c r="I75" s="5">
        <f>'2.1 Building inputs'!I19</f>
        <v>0</v>
      </c>
      <c r="J75" s="5">
        <f>'2.1 Building inputs'!J19</f>
        <v>0</v>
      </c>
      <c r="K75" s="5">
        <f>'2.1 Building inputs'!K19</f>
        <v>1.2722429083618565E-4</v>
      </c>
      <c r="L75" s="5">
        <f>'2.1 Building inputs'!L19</f>
        <v>2.5559711293152767E-4</v>
      </c>
      <c r="M75" s="5">
        <f>'2.1 Building inputs'!M19</f>
        <v>3.8660650790096874E-4</v>
      </c>
      <c r="N75" s="5">
        <f>'2.1 Building inputs'!N19</f>
        <v>5.2251172221733826E-4</v>
      </c>
      <c r="O75" s="5">
        <f>'2.1 Building inputs'!O19</f>
        <v>6.645112965408791E-4</v>
      </c>
      <c r="P75" s="5">
        <f>'2.1 Building inputs'!P19</f>
        <v>8.1295294170078281E-4</v>
      </c>
      <c r="Q75" s="5">
        <f>'2.1 Building inputs'!Q19</f>
        <v>8.3232126009140817E-4</v>
      </c>
      <c r="R75" s="5">
        <f>'2.1 Building inputs'!R19</f>
        <v>8.4887290974327147E-4</v>
      </c>
      <c r="S75" s="5">
        <f>'2.1 Building inputs'!S19</f>
        <v>8.6980127650979891E-4</v>
      </c>
      <c r="T75" s="5">
        <f>'2.1 Building inputs'!T19</f>
        <v>8.9356881173066269E-4</v>
      </c>
      <c r="U75" s="5">
        <f>'2.1 Building inputs'!U19</f>
        <v>1.1307208882721331E-3</v>
      </c>
      <c r="V75" s="5">
        <f>'2.1 Building inputs'!V19</f>
        <v>1.593386544385116E-3</v>
      </c>
      <c r="W75" s="5">
        <f>'2.1 Building inputs'!W19</f>
        <v>2.2945234361374605E-3</v>
      </c>
      <c r="X75" s="5">
        <f>'2.1 Building inputs'!X19</f>
        <v>3.2465972387926019E-3</v>
      </c>
      <c r="Y75" s="5">
        <f>'2.1 Building inputs'!Y19</f>
        <v>4.381835465242059E-3</v>
      </c>
      <c r="Z75" s="5">
        <f>'2.1 Building inputs'!Z19</f>
        <v>5.5555708344972336E-3</v>
      </c>
      <c r="AA75" s="5">
        <f>'2.1 Building inputs'!AA19</f>
        <v>5.8243359791699083E-3</v>
      </c>
      <c r="AB75" s="5">
        <f>'2.1 Building inputs'!AB19</f>
        <v>6.1317515858206615E-3</v>
      </c>
      <c r="AC75" s="5">
        <f>'2.1 Building inputs'!AC19</f>
        <v>6.477894628330043E-3</v>
      </c>
      <c r="AD75" s="5">
        <f>'2.1 Building inputs'!AD19</f>
        <v>6.8628422910870018E-3</v>
      </c>
      <c r="AE75" s="5">
        <f>'2.1 Building inputs'!AE19</f>
        <v>7.2099313525370379E-3</v>
      </c>
      <c r="AF75" s="5">
        <f>'2.1 Building inputs'!AF19</f>
        <v>7.51908630690075E-3</v>
      </c>
      <c r="AG75" s="5">
        <f>'2.1 Building inputs'!AG19</f>
        <v>7.7902314415701076E-3</v>
      </c>
      <c r="AH75" s="5">
        <f>'2.1 Building inputs'!AH19</f>
        <v>8.0232908363819626E-3</v>
      </c>
      <c r="AI75" s="5">
        <f>'2.1 Building inputs'!AI19</f>
        <v>8.2181883628885035E-3</v>
      </c>
      <c r="AJ75" s="5">
        <f>'2.1 Building inputs'!AJ19</f>
        <v>8.3748476836245072E-3</v>
      </c>
      <c r="AK75" s="5">
        <f>'2.1 Building inputs'!AK19</f>
        <v>8.4931922513714585E-3</v>
      </c>
      <c r="AL75" s="5">
        <f>'2.1 Building inputs'!AL19</f>
        <v>8.573145308418505E-3</v>
      </c>
      <c r="AM75" s="5">
        <f>'2.1 Building inputs'!AM19</f>
        <v>8.6146298858201832E-3</v>
      </c>
      <c r="AN75" s="5">
        <f>'2.1 Building inputs'!AN19</f>
        <v>8.6175688026509829E-3</v>
      </c>
    </row>
    <row r="76" spans="2:40">
      <c r="B76" t="s">
        <v>774</v>
      </c>
      <c r="D76" t="s">
        <v>452</v>
      </c>
      <c r="E76" s="610">
        <f>(1-SUM(E72,E73,E74,E75))*'2.2 Energy Systems inputs'!F$61</f>
        <v>0.82209195802803559</v>
      </c>
      <c r="F76" s="610">
        <f>(1-SUM(F72,F73,F74,F75))*'2.2 Energy Systems inputs'!G$61</f>
        <v>0.82170675302985474</v>
      </c>
      <c r="G76" s="610">
        <f>(1-SUM(G72,G73,G74,G75))*'2.2 Energy Systems inputs'!H$61</f>
        <v>0.82133880064765141</v>
      </c>
      <c r="H76" s="610">
        <f>(1-SUM(H72,H73,H74,H75))*'2.2 Energy Systems inputs'!I$61</f>
        <v>0.82098808270777179</v>
      </c>
      <c r="I76" s="610">
        <f>(1-SUM(I72,I73,I74,I75))*'2.2 Energy Systems inputs'!J$61</f>
        <v>0.82061287635426972</v>
      </c>
      <c r="J76" s="610">
        <f>(1-SUM(J72,J73,J74,J75))*'2.2 Energy Systems inputs'!K$61</f>
        <v>0.8172081648994407</v>
      </c>
      <c r="K76" s="610">
        <f>(1-SUM(K72,K73,K74,K75))*'2.2 Energy Systems inputs'!L$61</f>
        <v>0.81286460611035882</v>
      </c>
      <c r="L76" s="610">
        <f>(1-SUM(L72,L73,L74,L75))*'2.2 Energy Systems inputs'!M$61</f>
        <v>0.80469881230521312</v>
      </c>
      <c r="M76" s="610">
        <f>(1-SUM(M72,M73,M74,M75))*'2.2 Energy Systems inputs'!N$61</f>
        <v>0.7912652044314088</v>
      </c>
      <c r="N76" s="610">
        <f>(1-SUM(N72,N73,N74,N75))*'2.2 Energy Systems inputs'!O$61</f>
        <v>0.76900078334634814</v>
      </c>
      <c r="O76" s="610">
        <f>(1-SUM(O72,O73,O74,O75))*'2.2 Energy Systems inputs'!P$61</f>
        <v>0.73959514801059956</v>
      </c>
      <c r="P76" s="610">
        <f>(1-SUM(P72,P73,P74,P75))*'2.2 Energy Systems inputs'!Q$61</f>
        <v>0.69936811228475015</v>
      </c>
      <c r="Q76" s="610">
        <f>(1-SUM(Q72,Q73,Q74,Q75))*'2.2 Energy Systems inputs'!R$61</f>
        <v>0.64507420938790372</v>
      </c>
      <c r="R76" s="610">
        <f>(1-SUM(R72,R73,R74,R75))*'2.2 Energy Systems inputs'!S$61</f>
        <v>0.59067628687937312</v>
      </c>
      <c r="S76" s="610">
        <f>(1-SUM(S72,S73,S74,S75))*'2.2 Energy Systems inputs'!T$61</f>
        <v>0.53732644833068921</v>
      </c>
      <c r="T76" s="610">
        <f>(1-SUM(T72,T73,T74,T75))*'2.2 Energy Systems inputs'!U$61</f>
        <v>0.48625388651293433</v>
      </c>
      <c r="U76" s="610">
        <f>(1-SUM(U72,U73,U74,U75))*'2.2 Energy Systems inputs'!V$61</f>
        <v>0.43290680883782678</v>
      </c>
      <c r="V76" s="610">
        <f>(1-SUM(V72,V73,V74,V75))*'2.2 Energy Systems inputs'!W$61</f>
        <v>0.38095774978279751</v>
      </c>
      <c r="W76" s="610">
        <f>(1-SUM(W72,W73,W74,W75))*'2.2 Energy Systems inputs'!X$61</f>
        <v>0.33060328184467158</v>
      </c>
      <c r="X76" s="610">
        <f>(1-SUM(X72,X73,X74,X75))*'2.2 Energy Systems inputs'!Y$61</f>
        <v>0.28202894376938287</v>
      </c>
      <c r="Y76" s="610">
        <f>(1-SUM(Y72,Y73,Y74,Y75))*'2.2 Energy Systems inputs'!Z$61</f>
        <v>0.24001114344104854</v>
      </c>
      <c r="Z76" s="610">
        <f>(1-SUM(Z72,Z73,Z74,Z75))*'2.2 Energy Systems inputs'!AA$61</f>
        <v>0.18503473799178774</v>
      </c>
      <c r="AA76" s="610">
        <f>(1-SUM(AA72,AA73,AA74,AA75))*'2.2 Energy Systems inputs'!AB$61</f>
        <v>0.14540633791663032</v>
      </c>
      <c r="AB76" s="610">
        <f>(1-SUM(AB72,AB73,AB74,AB75))*'2.2 Energy Systems inputs'!AC$61</f>
        <v>0.11826797120392274</v>
      </c>
      <c r="AC76" s="610">
        <f>(1-SUM(AC72,AC73,AC74,AC75))*'2.2 Energy Systems inputs'!AD$61</f>
        <v>0.10906108583031027</v>
      </c>
      <c r="AD76" s="610">
        <f>(1-SUM(AD72,AD73,AD74,AD75))*'2.2 Energy Systems inputs'!AE$61</f>
        <v>9.9861404990190153E-2</v>
      </c>
      <c r="AE76" s="610">
        <f>(1-SUM(AE72,AE73,AE74,AE75))*'2.2 Energy Systems inputs'!AF$61</f>
        <v>8.9367798356468811E-2</v>
      </c>
      <c r="AF76" s="610">
        <f>(1-SUM(AF72,AF73,AF74,AF75))*'2.2 Energy Systems inputs'!AG$61</f>
        <v>7.9087724700187684E-2</v>
      </c>
      <c r="AG76" s="610">
        <f>(1-SUM(AG72,AG73,AG74,AG75))*'2.2 Energy Systems inputs'!AH$61</f>
        <v>6.8983505900943723E-2</v>
      </c>
      <c r="AH76" s="610">
        <f>(1-SUM(AH72,AH73,AH74,AH75))*'2.2 Energy Systems inputs'!AI$61</f>
        <v>5.9017406790793113E-2</v>
      </c>
      <c r="AI76" s="610">
        <f>(1-SUM(AI72,AI73,AI74,AI75))*'2.2 Energy Systems inputs'!AJ$61</f>
        <v>4.9151631185930578E-2</v>
      </c>
      <c r="AJ76" s="610">
        <f>(1-SUM(AJ72,AJ73,AJ74,AJ75))*'2.2 Energy Systems inputs'!AK$61</f>
        <v>3.9891471827402922E-2</v>
      </c>
      <c r="AK76" s="610">
        <f>(1-SUM(AK72,AK73,AK74,AK75))*'2.2 Energy Systems inputs'!AL$61</f>
        <v>3.0352476092620848E-2</v>
      </c>
      <c r="AL76" s="610">
        <f>(1-SUM(AL72,AL73,AL74,AL75))*'2.2 Energy Systems inputs'!AM$61</f>
        <v>2.0528416869053909E-2</v>
      </c>
      <c r="AM76" s="610">
        <f>(1-SUM(AM72,AM73,AM74,AM75))*'2.2 Energy Systems inputs'!AN$61</f>
        <v>1.0413026997289588E-2</v>
      </c>
      <c r="AN76" s="610">
        <f>(1-SUM(AN72,AN73,AN74,AN75))*'2.2 Energy Systems inputs'!AO$61</f>
        <v>0</v>
      </c>
    </row>
    <row r="77" spans="2:40">
      <c r="B77" t="s">
        <v>1200</v>
      </c>
      <c r="D77" t="s">
        <v>452</v>
      </c>
      <c r="E77" s="507">
        <f>(1-SUM(E72,E73,E74,E75))*'2.2 Energy Systems inputs'!F$62</f>
        <v>0.15658894438629251</v>
      </c>
      <c r="F77" s="507">
        <f>(1-SUM(F72,F73,F74,F75))*'2.2 Energy Systems inputs'!G$62</f>
        <v>0.15651557200568664</v>
      </c>
      <c r="G77" s="507">
        <f>(1-SUM(G72,G73,G74,G75))*'2.2 Energy Systems inputs'!H$62</f>
        <v>0.15644548583764789</v>
      </c>
      <c r="H77" s="507">
        <f>(1-SUM(H72,H73,H74,H75))*'2.2 Energy Systems inputs'!I$62</f>
        <v>0.15637868242052796</v>
      </c>
      <c r="I77" s="507">
        <f>(1-SUM(I72,I73,I74,I75))*'2.2 Energy Systems inputs'!J$62</f>
        <v>0.15630721454367044</v>
      </c>
      <c r="J77" s="507">
        <f>(1-SUM(J72,J73,J74,J75))*'2.2 Energy Systems inputs'!K$62</f>
        <v>0.15565869807608396</v>
      </c>
      <c r="K77" s="507">
        <f>(1-SUM(K72,K73,K74,K75))*'2.2 Energy Systems inputs'!L$62</f>
        <v>0.15483135354483024</v>
      </c>
      <c r="L77" s="507">
        <f>(1-SUM(L72,L73,L74,L75))*'2.2 Energy Systems inputs'!M$62</f>
        <v>0.15327596424861203</v>
      </c>
      <c r="M77" s="507">
        <f>(1-SUM(M72,M73,M74,M75))*'2.2 Energy Systems inputs'!N$62</f>
        <v>0.15071718179645882</v>
      </c>
      <c r="N77" s="507">
        <f>(1-SUM(N72,N73,N74,N75))*'2.2 Energy Systems inputs'!O$62</f>
        <v>0.14647633968501869</v>
      </c>
      <c r="O77" s="507">
        <f>(1-SUM(O72,O73,O74,O75))*'2.2 Energy Systems inputs'!P$62</f>
        <v>0.14087526628773325</v>
      </c>
      <c r="P77" s="507">
        <f>(1-SUM(P72,P73,P74,P75))*'2.2 Energy Systems inputs'!Q$62</f>
        <v>0.13321297376852384</v>
      </c>
      <c r="Q77" s="507">
        <f>(1-SUM(Q72,Q73,Q74,Q75))*'2.2 Energy Systems inputs'!R$62</f>
        <v>0.12360673807016583</v>
      </c>
      <c r="R77" s="507">
        <f>(1-SUM(R72,R73,R74,R75))*'2.2 Energy Systems inputs'!S$62</f>
        <v>0.11386475956826679</v>
      </c>
      <c r="S77" s="507">
        <f>(1-SUM(S72,S73,S74,S75))*'2.2 Energy Systems inputs'!T$62</f>
        <v>0.10420800786044015</v>
      </c>
      <c r="T77" s="507">
        <f>(1-SUM(T72,T73,T74,T75))*'2.2 Energy Systems inputs'!U$62</f>
        <v>9.4877881486606835E-2</v>
      </c>
      <c r="U77" s="507">
        <f>(1-SUM(U72,U73,U74,U75))*'2.2 Energy Systems inputs'!V$62</f>
        <v>8.5480163560497258E-2</v>
      </c>
      <c r="V77" s="507">
        <f>(1-SUM(V72,V73,V74,V75))*'2.2 Energy Systems inputs'!W$62</f>
        <v>7.6134068734664842E-2</v>
      </c>
      <c r="W77" s="507">
        <f>(1-SUM(W72,W73,W74,W75))*'2.2 Energy Systems inputs'!X$62</f>
        <v>6.6881263538526206E-2</v>
      </c>
      <c r="X77" s="507">
        <f>(1-SUM(X72,X73,X74,X75))*'2.2 Energy Systems inputs'!Y$62</f>
        <v>5.7763224530339559E-2</v>
      </c>
      <c r="Y77" s="507">
        <f>(1-SUM(Y72,Y73,Y74,Y75))*'2.2 Energy Systems inputs'!Z$62</f>
        <v>4.9157428252134885E-2</v>
      </c>
      <c r="Z77" s="507">
        <f>(1-SUM(Z72,Z73,Z74,Z75))*'2.2 Energy Systems inputs'!AA$62</f>
        <v>5.4816084329364384E-2</v>
      </c>
      <c r="AA77" s="507">
        <f>(1-SUM(AA72,AA73,AA74,AA75))*'2.2 Energy Systems inputs'!AB$62</f>
        <v>5.8416820148474914E-2</v>
      </c>
      <c r="AB77" s="507">
        <f>(1-SUM(AB72,AB73,AB74,AB75))*'2.2 Energy Systems inputs'!AC$62</f>
        <v>6.2071003832063924E-2</v>
      </c>
      <c r="AC77" s="507">
        <f>(1-SUM(AC72,AC73,AC74,AC75))*'2.2 Energy Systems inputs'!AD$62</f>
        <v>7.3103367125469818E-2</v>
      </c>
      <c r="AD77" s="507">
        <f>(1-SUM(AD72,AD73,AD74,AD75))*'2.2 Energy Systems inputs'!AE$62</f>
        <v>8.4368314507841172E-2</v>
      </c>
      <c r="AE77" s="507">
        <f>(1-SUM(AE72,AE73,AE74,AE75))*'2.2 Energy Systems inputs'!AF$62</f>
        <v>9.4569098789914097E-2</v>
      </c>
      <c r="AF77" s="507">
        <f>(1-SUM(AF72,AF73,AF74,AF75))*'2.2 Energy Systems inputs'!AG$62</f>
        <v>0.10478212373872794</v>
      </c>
      <c r="AG77" s="507">
        <f>(1-SUM(AG72,AG73,AG74,AG75))*'2.2 Energy Systems inputs'!AH$62</f>
        <v>0.11504819943980082</v>
      </c>
      <c r="AH77" s="507">
        <f>(1-SUM(AH72,AH73,AH74,AH75))*'2.2 Energy Systems inputs'!AI$62</f>
        <v>0.12540821207465003</v>
      </c>
      <c r="AI77" s="507">
        <f>(1-SUM(AI72,AI73,AI74,AI75))*'2.2 Energy Systems inputs'!AJ$62</f>
        <v>0.13590312770303392</v>
      </c>
      <c r="AJ77" s="507">
        <f>(1-SUM(AJ72,AJ73,AJ74,AJ75))*'2.2 Energy Systems inputs'!AK$62</f>
        <v>0.14859726448763763</v>
      </c>
      <c r="AK77" s="507">
        <f>(1-SUM(AK72,AK73,AK74,AK75))*'2.2 Energy Systems inputs'!AL$62</f>
        <v>0.16163120909536968</v>
      </c>
      <c r="AL77" s="507">
        <f>(1-SUM(AL72,AL73,AL74,AL75))*'2.2 Energy Systems inputs'!AM$62</f>
        <v>0.17501184888363933</v>
      </c>
      <c r="AM77" s="507">
        <f>(1-SUM(AM72,AM73,AM74,AM75))*'2.2 Energy Systems inputs'!AN$62</f>
        <v>0.18874611147160872</v>
      </c>
      <c r="AN77" s="507">
        <f>(1-SUM(AN72,AN73,AN74,AN75))*'2.2 Energy Systems inputs'!AO$62</f>
        <v>0.2028409644555409</v>
      </c>
    </row>
    <row r="78" spans="2:40">
      <c r="B78" t="s">
        <v>211</v>
      </c>
      <c r="D78" t="s">
        <v>452</v>
      </c>
      <c r="E78" s="315">
        <f>(1-SUM(E72,E73,E74,E75))*'2.2 Energy Systems inputs'!F$63</f>
        <v>0</v>
      </c>
      <c r="F78" s="315">
        <f>(1-SUM(F72,F73,F74,F75))*'2.2 Energy Systems inputs'!G$63</f>
        <v>0</v>
      </c>
      <c r="G78" s="315">
        <f>(1-SUM(G72,G73,G74,G75))*'2.2 Energy Systems inputs'!H$63</f>
        <v>0</v>
      </c>
      <c r="H78" s="315">
        <f>(1-SUM(H72,H73,H74,H75))*'2.2 Energy Systems inputs'!I$63</f>
        <v>0</v>
      </c>
      <c r="I78" s="315">
        <f>(1-SUM(I72,I73,I74,I75))*'2.2 Energy Systems inputs'!J$63</f>
        <v>0</v>
      </c>
      <c r="J78" s="315">
        <f>(1-SUM(J72,J73,J74,J75))*'2.2 Energy Systems inputs'!K$63</f>
        <v>0</v>
      </c>
      <c r="K78" s="315">
        <f>(1-SUM(K72,K73,K74,K75))*'2.2 Energy Systems inputs'!L$63</f>
        <v>0</v>
      </c>
      <c r="L78" s="315">
        <f>(1-SUM(L72,L73,L74,L75))*'2.2 Energy Systems inputs'!M$63</f>
        <v>0</v>
      </c>
      <c r="M78" s="315">
        <f>(1-SUM(M72,M73,M74,M75))*'2.2 Energy Systems inputs'!N$63</f>
        <v>0</v>
      </c>
      <c r="N78" s="315">
        <f>(1-SUM(N72,N73,N74,N75))*'2.2 Energy Systems inputs'!O$63</f>
        <v>0</v>
      </c>
      <c r="O78" s="315">
        <f>(1-SUM(O72,O73,O74,O75))*'2.2 Energy Systems inputs'!P$63</f>
        <v>0</v>
      </c>
      <c r="P78" s="315">
        <f>(1-SUM(P72,P73,P74,P75))*'2.2 Energy Systems inputs'!Q$63</f>
        <v>0</v>
      </c>
      <c r="Q78" s="315">
        <f>(1-SUM(Q72,Q73,Q74,Q75))*'2.2 Energy Systems inputs'!R$63</f>
        <v>3.8611654804668054E-3</v>
      </c>
      <c r="R78" s="315">
        <f>(1-SUM(R72,R73,R74,R75))*'2.2 Energy Systems inputs'!S$63</f>
        <v>7.1137008540274691E-3</v>
      </c>
      <c r="S78" s="315">
        <f>(1-SUM(S72,S73,S74,S75))*'2.2 Energy Systems inputs'!T$63</f>
        <v>9.7655929366214991E-3</v>
      </c>
      <c r="T78" s="315">
        <f>(1-SUM(T72,T73,T74,T75))*'2.2 Energy Systems inputs'!U$63</f>
        <v>1.1854991291751526E-2</v>
      </c>
      <c r="U78" s="315">
        <f>(1-SUM(U72,U73,U74,U75))*'2.2 Energy Systems inputs'!V$63</f>
        <v>1.5864049854783787E-2</v>
      </c>
      <c r="V78" s="315">
        <f>(1-SUM(V72,V73,V74,V75))*'2.2 Energy Systems inputs'!W$63</f>
        <v>1.8746111074192856E-2</v>
      </c>
      <c r="W78" s="315">
        <f>(1-SUM(W72,W73,W74,W75))*'2.2 Energy Systems inputs'!X$63</f>
        <v>2.0523351732591E-2</v>
      </c>
      <c r="X78" s="315">
        <f>(1-SUM(X72,X73,X74,X75))*'2.2 Energy Systems inputs'!Y$63</f>
        <v>2.1227985014899788E-2</v>
      </c>
      <c r="Y78" s="315">
        <f>(1-SUM(Y72,Y73,Y74,Y75))*'2.2 Energy Systems inputs'!Z$63</f>
        <v>1.8065354882659573E-2</v>
      </c>
      <c r="Z78" s="315">
        <f>(1-SUM(Z72,Z73,Z74,Z75))*'2.2 Energy Systems inputs'!AA$63</f>
        <v>1.3927345870349618E-2</v>
      </c>
      <c r="AA78" s="315">
        <f>(1-SUM(AA72,AA73,AA74,AA75))*'2.2 Energy Systems inputs'!AB$63</f>
        <v>1.0944563068993681E-2</v>
      </c>
      <c r="AB78" s="315">
        <f>(1-SUM(AB72,AB73,AB74,AB75))*'2.2 Energy Systems inputs'!AC$63</f>
        <v>8.9018903056716052E-3</v>
      </c>
      <c r="AC78" s="315">
        <f>(1-SUM(AC72,AC73,AC74,AC75))*'2.2 Energy Systems inputs'!AD$63</f>
        <v>8.2088989334642166E-3</v>
      </c>
      <c r="AD78" s="315">
        <f>(1-SUM(AD72,AD73,AD74,AD75))*'2.2 Energy Systems inputs'!AE$63</f>
        <v>7.5164498379713032E-3</v>
      </c>
      <c r="AE78" s="315">
        <f>(1-SUM(AE72,AE73,AE74,AE75))*'2.2 Energy Systems inputs'!AF$63</f>
        <v>6.7266084784438906E-3</v>
      </c>
      <c r="AF78" s="315">
        <f>(1-SUM(AF72,AF73,AF74,AF75))*'2.2 Energy Systems inputs'!AG$63</f>
        <v>5.9528394935625143E-3</v>
      </c>
      <c r="AG78" s="315">
        <f>(1-SUM(AG72,AG73,AG74,AG75))*'2.2 Energy Systems inputs'!AH$63</f>
        <v>5.192306895769958E-3</v>
      </c>
      <c r="AH78" s="315">
        <f>(1-SUM(AH72,AH73,AH74,AH75))*'2.2 Energy Systems inputs'!AI$63</f>
        <v>4.4421704036080849E-3</v>
      </c>
      <c r="AI78" s="315">
        <f>(1-SUM(AI72,AI73,AI74,AI75))*'2.2 Energy Systems inputs'!AJ$63</f>
        <v>3.6995851430270334E-3</v>
      </c>
      <c r="AJ78" s="315">
        <f>(1-SUM(AJ72,AJ73,AJ74,AJ75))*'2.2 Energy Systems inputs'!AK$63</f>
        <v>3.0025839009873169E-3</v>
      </c>
      <c r="AK78" s="315">
        <f>(1-SUM(AK72,AK73,AK74,AK75))*'2.2 Energy Systems inputs'!AL$63</f>
        <v>2.2845949747133973E-3</v>
      </c>
      <c r="AL78" s="315">
        <f>(1-SUM(AL72,AL73,AL74,AL75))*'2.2 Energy Systems inputs'!AM$63</f>
        <v>1.5451496568105094E-3</v>
      </c>
      <c r="AM78" s="315">
        <f>(1-SUM(AM72,AM73,AM74,AM75))*'2.2 Energy Systems inputs'!AN$63</f>
        <v>7.8377622560244224E-4</v>
      </c>
      <c r="AN78" s="315">
        <f>(1-SUM(AN72,AN73,AN74,AN75))*'2.2 Energy Systems inputs'!AO$63</f>
        <v>0</v>
      </c>
    </row>
    <row r="79" spans="2:40">
      <c r="E79" s="315"/>
      <c r="F79" s="315"/>
      <c r="G79" s="315"/>
      <c r="H79" s="315"/>
      <c r="I79" s="315"/>
      <c r="J79" s="315"/>
      <c r="K79" s="315"/>
      <c r="L79" s="315"/>
      <c r="M79" s="315"/>
      <c r="N79" s="315"/>
      <c r="O79" s="315"/>
      <c r="P79" s="315"/>
      <c r="Q79" s="315"/>
      <c r="R79" s="315"/>
      <c r="S79" s="315"/>
      <c r="T79" s="315"/>
      <c r="U79" s="315"/>
      <c r="V79" s="315"/>
      <c r="W79" s="315"/>
      <c r="X79" s="315"/>
      <c r="Y79" s="315"/>
      <c r="Z79" s="315"/>
      <c r="AA79" s="315"/>
      <c r="AB79" s="315"/>
      <c r="AC79" s="315"/>
      <c r="AD79" s="315"/>
      <c r="AE79" s="315"/>
      <c r="AF79" s="315"/>
      <c r="AG79" s="315"/>
      <c r="AH79" s="315"/>
      <c r="AI79" s="315"/>
      <c r="AJ79" s="315"/>
      <c r="AK79" s="315"/>
      <c r="AL79" s="315"/>
      <c r="AM79" s="315"/>
      <c r="AN79" s="315"/>
    </row>
    <row r="80" spans="2:40">
      <c r="E80" s="39"/>
    </row>
    <row r="81" spans="1:41" s="423" customFormat="1">
      <c r="A81" s="423" t="s">
        <v>1261</v>
      </c>
    </row>
    <row r="82" spans="1:41">
      <c r="C82" t="s">
        <v>180</v>
      </c>
      <c r="D82" t="s">
        <v>179</v>
      </c>
      <c r="E82">
        <v>2015</v>
      </c>
      <c r="F82">
        <v>2016</v>
      </c>
      <c r="G82">
        <v>2017</v>
      </c>
      <c r="H82">
        <v>2018</v>
      </c>
      <c r="I82">
        <v>2019</v>
      </c>
      <c r="J82">
        <v>2020</v>
      </c>
      <c r="K82">
        <v>2021</v>
      </c>
      <c r="L82">
        <v>2022</v>
      </c>
      <c r="M82">
        <v>2023</v>
      </c>
      <c r="N82">
        <v>2024</v>
      </c>
      <c r="O82">
        <v>2025</v>
      </c>
      <c r="P82">
        <v>2026</v>
      </c>
      <c r="Q82">
        <v>2027</v>
      </c>
      <c r="R82">
        <v>2028</v>
      </c>
      <c r="S82">
        <v>2029</v>
      </c>
      <c r="T82">
        <v>2030</v>
      </c>
      <c r="U82">
        <v>2031</v>
      </c>
      <c r="V82">
        <v>2032</v>
      </c>
      <c r="W82">
        <v>2033</v>
      </c>
      <c r="X82">
        <v>2034</v>
      </c>
      <c r="Y82">
        <v>2035</v>
      </c>
      <c r="Z82">
        <v>2036</v>
      </c>
      <c r="AA82">
        <v>2037</v>
      </c>
      <c r="AB82">
        <v>2038</v>
      </c>
      <c r="AC82">
        <v>2039</v>
      </c>
      <c r="AD82">
        <v>2040</v>
      </c>
      <c r="AE82">
        <v>2041</v>
      </c>
      <c r="AF82">
        <v>2042</v>
      </c>
      <c r="AG82">
        <v>2043</v>
      </c>
      <c r="AH82">
        <v>2044</v>
      </c>
      <c r="AI82">
        <v>2045</v>
      </c>
      <c r="AJ82">
        <v>2046</v>
      </c>
      <c r="AK82">
        <v>2047</v>
      </c>
      <c r="AL82">
        <v>2048</v>
      </c>
      <c r="AM82">
        <v>2049</v>
      </c>
      <c r="AN82">
        <v>2050</v>
      </c>
    </row>
    <row r="83" spans="1:41">
      <c r="B83" t="s">
        <v>1262</v>
      </c>
      <c r="D83" t="s">
        <v>1263</v>
      </c>
      <c r="E83" s="309">
        <v>1</v>
      </c>
      <c r="F83" s="174"/>
      <c r="G83" s="174"/>
      <c r="H83" s="174"/>
      <c r="I83" s="174"/>
      <c r="J83" s="174"/>
      <c r="K83" s="174"/>
      <c r="L83" s="174"/>
      <c r="M83" s="174"/>
      <c r="N83" s="174"/>
      <c r="O83" s="174"/>
      <c r="P83" s="174"/>
      <c r="Q83" s="174"/>
      <c r="R83" s="174"/>
      <c r="S83" s="174"/>
      <c r="T83" s="174"/>
      <c r="U83" s="174"/>
      <c r="V83" s="174"/>
      <c r="W83" s="174"/>
      <c r="X83" s="174"/>
      <c r="Y83" s="174"/>
      <c r="Z83" s="174"/>
      <c r="AA83" s="174"/>
      <c r="AB83" s="174"/>
      <c r="AC83" s="174"/>
      <c r="AD83" s="174"/>
      <c r="AE83" s="174"/>
      <c r="AF83" s="174"/>
      <c r="AG83" s="174"/>
      <c r="AH83" s="174"/>
      <c r="AI83" s="174"/>
      <c r="AJ83" s="174"/>
      <c r="AK83" s="174"/>
      <c r="AL83" s="174"/>
      <c r="AM83" s="174"/>
      <c r="AN83" s="174"/>
    </row>
    <row r="84" spans="1:41">
      <c r="B84" s="38" t="s">
        <v>1264</v>
      </c>
      <c r="D84" t="s">
        <v>446</v>
      </c>
      <c r="E84" s="10">
        <f>'2.1 Building inputs'!E5*'3.1 Building Energy'!B21-E62</f>
        <v>0</v>
      </c>
      <c r="F84" s="10">
        <f>'2.1 Building inputs'!F5*'3.1 Building Energy'!C21-F62</f>
        <v>26062272.972066879</v>
      </c>
      <c r="G84" s="10">
        <f>'2.1 Building inputs'!G5*'3.1 Building Energy'!D21-G62</f>
        <v>52124545.944133759</v>
      </c>
      <c r="H84" s="10">
        <f>'2.1 Building inputs'!H5*'3.1 Building Energy'!E21-H62</f>
        <v>78186818.916202545</v>
      </c>
      <c r="I84" s="10">
        <f>'2.1 Building inputs'!I5*'3.1 Building Energy'!F21-I62</f>
        <v>104249091.88826752</v>
      </c>
      <c r="J84" s="10">
        <f>'2.1 Building inputs'!J5*'3.1 Building Energy'!G21-J62</f>
        <v>130385921.24724197</v>
      </c>
      <c r="K84" s="10">
        <f>'2.1 Building inputs'!K5*'3.1 Building Energy'!H21-K62</f>
        <v>156522750.60621262</v>
      </c>
      <c r="L84" s="10">
        <f>'2.1 Building inputs'!L5*'3.1 Building Energy'!I21-L62</f>
        <v>182659579.96518707</v>
      </c>
      <c r="M84" s="10">
        <f>'2.1 Building inputs'!M5*'3.1 Building Energy'!J21-M62</f>
        <v>208796409.32415962</v>
      </c>
      <c r="N84" s="10">
        <f>'2.1 Building inputs'!N5*'3.1 Building Energy'!K21-N62</f>
        <v>234933238.68313026</v>
      </c>
      <c r="O84" s="10">
        <f>'2.1 Building inputs'!O5*'3.1 Building Energy'!L21-O62</f>
        <v>261070068.04210281</v>
      </c>
      <c r="P84" s="10">
        <f>'2.1 Building inputs'!P5*'3.1 Building Energy'!M21-P62</f>
        <v>280636271.45367813</v>
      </c>
      <c r="Q84" s="10">
        <f>'2.1 Building inputs'!Q5*'3.1 Building Energy'!N21-Q62</f>
        <v>300202474.86525249</v>
      </c>
      <c r="R84" s="10">
        <f>'2.1 Building inputs'!R5*'3.1 Building Energy'!O21-R62</f>
        <v>319768678.27682781</v>
      </c>
      <c r="S84" s="10">
        <f>'2.1 Building inputs'!S5*'3.1 Building Energy'!P21-S62</f>
        <v>339334881.68840218</v>
      </c>
      <c r="T84" s="10">
        <f>'2.1 Building inputs'!T5*'3.1 Building Energy'!Q21-T62</f>
        <v>358901085.09997654</v>
      </c>
      <c r="U84" s="10">
        <f>'2.1 Building inputs'!U5*'3.1 Building Energy'!R21-U62</f>
        <v>378467288.51155186</v>
      </c>
      <c r="V84" s="10">
        <f>'2.1 Building inputs'!V5*'3.1 Building Energy'!S21-V62</f>
        <v>398033491.92312622</v>
      </c>
      <c r="W84" s="10">
        <f>'2.1 Building inputs'!W5*'3.1 Building Energy'!T21-W62</f>
        <v>417599695.33470058</v>
      </c>
      <c r="X84" s="10">
        <f>'2.1 Building inputs'!X5*'3.1 Building Energy'!U21-X62</f>
        <v>437165898.7462759</v>
      </c>
      <c r="Y84" s="10">
        <f>'2.1 Building inputs'!Y5*'3.1 Building Energy'!V21-Y62</f>
        <v>456732102.15785027</v>
      </c>
      <c r="Z84" s="10">
        <f>'2.1 Building inputs'!Z5*'3.1 Building Energy'!W21-Z62</f>
        <v>476298305.56942558</v>
      </c>
      <c r="AA84" s="10">
        <f>'2.1 Building inputs'!AA5*'3.1 Building Energy'!X21-AA62</f>
        <v>495864508.98099899</v>
      </c>
      <c r="AB84" s="10">
        <f>'2.1 Building inputs'!AB5*'3.1 Building Energy'!Y21-AB62</f>
        <v>515430712.39257526</v>
      </c>
      <c r="AC84" s="10">
        <f>'2.1 Building inputs'!AC5*'3.1 Building Energy'!Z21-AC62</f>
        <v>534996915.80414867</v>
      </c>
      <c r="AD84" s="10">
        <f>'2.1 Building inputs'!AD5*'3.1 Building Energy'!AA21-AD62</f>
        <v>554563119.21572399</v>
      </c>
      <c r="AE84" s="10">
        <f>'2.1 Building inputs'!AE5*'3.1 Building Energy'!AB21-AE62</f>
        <v>574129322.62729931</v>
      </c>
      <c r="AF84" s="10">
        <f>'2.1 Building inputs'!AF5*'3.1 Building Energy'!AC21-AF62</f>
        <v>593695526.03887367</v>
      </c>
      <c r="AG84" s="10">
        <f>'2.1 Building inputs'!AG5*'3.1 Building Energy'!AD21-AG62</f>
        <v>613261729.45044899</v>
      </c>
      <c r="AH84" s="10">
        <f>'2.1 Building inputs'!AH5*'3.1 Building Energy'!AE21-AH62</f>
        <v>632827932.8620224</v>
      </c>
      <c r="AI84" s="10">
        <f>'2.1 Building inputs'!AI5*'3.1 Building Energy'!AF21-AI62</f>
        <v>652394136.27359772</v>
      </c>
      <c r="AJ84" s="10">
        <f>'2.1 Building inputs'!AJ5*'3.1 Building Energy'!AG21-AJ62</f>
        <v>671960339.68517208</v>
      </c>
      <c r="AK84" s="10">
        <f>'2.1 Building inputs'!AK5*'3.1 Building Energy'!AH21-AK62</f>
        <v>691526543.09674644</v>
      </c>
      <c r="AL84" s="10">
        <f>'2.1 Building inputs'!AL5*'3.1 Building Energy'!AI21-AL62</f>
        <v>711092746.50832081</v>
      </c>
      <c r="AM84" s="10">
        <f>'2.1 Building inputs'!AM5*'3.1 Building Energy'!AJ21-AM62</f>
        <v>730658949.91989613</v>
      </c>
      <c r="AN84" s="10">
        <f>'2.1 Building inputs'!AN5*'3.1 Building Energy'!AK21-AN62</f>
        <v>750225153.33147144</v>
      </c>
    </row>
    <row r="85" spans="1:41">
      <c r="B85" s="38" t="s">
        <v>1251</v>
      </c>
      <c r="D85" t="s">
        <v>446</v>
      </c>
      <c r="E85" s="10">
        <f>E97*E84</f>
        <v>0</v>
      </c>
      <c r="F85" s="10">
        <f t="shared" ref="F85:AN85" si="24">F97*F84</f>
        <v>0</v>
      </c>
      <c r="G85" s="10">
        <f t="shared" si="24"/>
        <v>0</v>
      </c>
      <c r="H85" s="10">
        <f t="shared" si="24"/>
        <v>0</v>
      </c>
      <c r="I85" s="10">
        <f t="shared" si="24"/>
        <v>0</v>
      </c>
      <c r="J85" s="10">
        <f t="shared" si="24"/>
        <v>809537.7696631694</v>
      </c>
      <c r="K85" s="10">
        <f t="shared" si="24"/>
        <v>1619692.7451370086</v>
      </c>
      <c r="L85" s="10">
        <f t="shared" si="24"/>
        <v>2430200.4096455658</v>
      </c>
      <c r="M85" s="10">
        <f t="shared" si="24"/>
        <v>3240928.5048007783</v>
      </c>
      <c r="N85" s="10">
        <f t="shared" si="24"/>
        <v>4051803.5537204072</v>
      </c>
      <c r="O85" s="10">
        <f t="shared" si="24"/>
        <v>4862781.4702751832</v>
      </c>
      <c r="P85" s="10">
        <f t="shared" si="24"/>
        <v>5470638.4439893262</v>
      </c>
      <c r="Q85" s="10">
        <f t="shared" si="24"/>
        <v>6078529.1998830996</v>
      </c>
      <c r="R85" s="10">
        <f t="shared" si="24"/>
        <v>6686447.5424967399</v>
      </c>
      <c r="S85" s="10">
        <f t="shared" si="24"/>
        <v>7294388.7040441595</v>
      </c>
      <c r="T85" s="10">
        <f t="shared" si="24"/>
        <v>7902348.955574804</v>
      </c>
      <c r="U85" s="10">
        <f t="shared" si="24"/>
        <v>8510325.3386543058</v>
      </c>
      <c r="V85" s="10">
        <f t="shared" si="24"/>
        <v>9118315.4761245847</v>
      </c>
      <c r="W85" s="10">
        <f t="shared" si="24"/>
        <v>9726317.4360259399</v>
      </c>
      <c r="X85" s="10">
        <f t="shared" si="24"/>
        <v>10334329.632036541</v>
      </c>
      <c r="Y85" s="10">
        <f t="shared" si="24"/>
        <v>10942350.749485925</v>
      </c>
      <c r="Z85" s="10">
        <f t="shared" si="24"/>
        <v>11550379.689593364</v>
      </c>
      <c r="AA85" s="10">
        <f t="shared" si="24"/>
        <v>12158415.526899615</v>
      </c>
      <c r="AB85" s="10">
        <f t="shared" si="24"/>
        <v>12766457.476389101</v>
      </c>
      <c r="AC85" s="10">
        <f t="shared" si="24"/>
        <v>13374504.867821945</v>
      </c>
      <c r="AD85" s="10">
        <f t="shared" si="24"/>
        <v>13982557.125497641</v>
      </c>
      <c r="AE85" s="10">
        <f t="shared" si="24"/>
        <v>14590613.752153678</v>
      </c>
      <c r="AF85" s="10">
        <f t="shared" si="24"/>
        <v>15198674.316046936</v>
      </c>
      <c r="AG85" s="10">
        <f t="shared" si="24"/>
        <v>15806738.440506818</v>
      </c>
      <c r="AH85" s="10">
        <f t="shared" si="24"/>
        <v>16414805.795425221</v>
      </c>
      <c r="AI85" s="10">
        <f t="shared" si="24"/>
        <v>17022876.090277657</v>
      </c>
      <c r="AJ85" s="10">
        <f t="shared" si="24"/>
        <v>17630949.068362508</v>
      </c>
      <c r="AK85" s="10">
        <f t="shared" si="24"/>
        <v>18239024.502018351</v>
      </c>
      <c r="AL85" s="10">
        <f t="shared" si="24"/>
        <v>18847102.188630275</v>
      </c>
      <c r="AM85" s="10">
        <f t="shared" si="24"/>
        <v>19455181.947277669</v>
      </c>
      <c r="AN85" s="10">
        <f t="shared" si="24"/>
        <v>20063263.615906306</v>
      </c>
    </row>
    <row r="86" spans="1:41">
      <c r="B86" t="s">
        <v>1252</v>
      </c>
      <c r="D86" t="s">
        <v>452</v>
      </c>
      <c r="E86" s="8">
        <v>1</v>
      </c>
      <c r="F86" s="8">
        <f>$E$29</f>
        <v>1</v>
      </c>
      <c r="G86" s="8">
        <f t="shared" ref="G86:AN86" si="25">$E$29</f>
        <v>1</v>
      </c>
      <c r="H86" s="8">
        <f t="shared" si="25"/>
        <v>1</v>
      </c>
      <c r="I86" s="8">
        <f t="shared" si="25"/>
        <v>1</v>
      </c>
      <c r="J86" s="8">
        <f t="shared" si="25"/>
        <v>1</v>
      </c>
      <c r="K86" s="8">
        <f t="shared" si="25"/>
        <v>1</v>
      </c>
      <c r="L86" s="8">
        <f t="shared" si="25"/>
        <v>1</v>
      </c>
      <c r="M86" s="8">
        <f t="shared" si="25"/>
        <v>1</v>
      </c>
      <c r="N86" s="8">
        <f t="shared" si="25"/>
        <v>1</v>
      </c>
      <c r="O86" s="8">
        <f t="shared" si="25"/>
        <v>1</v>
      </c>
      <c r="P86" s="8">
        <f t="shared" si="25"/>
        <v>1</v>
      </c>
      <c r="Q86" s="8">
        <f t="shared" si="25"/>
        <v>1</v>
      </c>
      <c r="R86" s="8">
        <f t="shared" si="25"/>
        <v>1</v>
      </c>
      <c r="S86" s="8">
        <f t="shared" si="25"/>
        <v>1</v>
      </c>
      <c r="T86" s="8">
        <f t="shared" si="25"/>
        <v>1</v>
      </c>
      <c r="U86" s="8">
        <f t="shared" si="25"/>
        <v>1</v>
      </c>
      <c r="V86" s="8">
        <f t="shared" si="25"/>
        <v>1</v>
      </c>
      <c r="W86" s="8">
        <f t="shared" si="25"/>
        <v>1</v>
      </c>
      <c r="X86" s="8">
        <f t="shared" si="25"/>
        <v>1</v>
      </c>
      <c r="Y86" s="8">
        <f t="shared" si="25"/>
        <v>1</v>
      </c>
      <c r="Z86" s="8">
        <f t="shared" si="25"/>
        <v>1</v>
      </c>
      <c r="AA86" s="8">
        <f t="shared" si="25"/>
        <v>1</v>
      </c>
      <c r="AB86" s="8">
        <f t="shared" si="25"/>
        <v>1</v>
      </c>
      <c r="AC86" s="8">
        <f t="shared" si="25"/>
        <v>1</v>
      </c>
      <c r="AD86" s="8">
        <f t="shared" si="25"/>
        <v>1</v>
      </c>
      <c r="AE86" s="8">
        <f t="shared" si="25"/>
        <v>1</v>
      </c>
      <c r="AF86" s="8">
        <f t="shared" si="25"/>
        <v>1</v>
      </c>
      <c r="AG86" s="8">
        <f t="shared" si="25"/>
        <v>1</v>
      </c>
      <c r="AH86" s="8">
        <f t="shared" si="25"/>
        <v>1</v>
      </c>
      <c r="AI86" s="8">
        <f t="shared" si="25"/>
        <v>1</v>
      </c>
      <c r="AJ86" s="8">
        <f t="shared" si="25"/>
        <v>1</v>
      </c>
      <c r="AK86" s="8">
        <f t="shared" si="25"/>
        <v>1</v>
      </c>
      <c r="AL86" s="8">
        <f t="shared" si="25"/>
        <v>1</v>
      </c>
      <c r="AM86" s="8">
        <f t="shared" si="25"/>
        <v>1</v>
      </c>
      <c r="AN86" s="8">
        <f t="shared" si="25"/>
        <v>1</v>
      </c>
    </row>
    <row r="87" spans="1:41">
      <c r="B87" t="s">
        <v>1253</v>
      </c>
      <c r="D87" t="s">
        <v>446</v>
      </c>
      <c r="E87" s="6">
        <f>E84*E86</f>
        <v>0</v>
      </c>
      <c r="F87" s="6">
        <f t="shared" ref="F87:AN87" si="26">F84*F86</f>
        <v>26062272.972066879</v>
      </c>
      <c r="G87" s="6">
        <f t="shared" si="26"/>
        <v>52124545.944133759</v>
      </c>
      <c r="H87" s="6">
        <f t="shared" si="26"/>
        <v>78186818.916202545</v>
      </c>
      <c r="I87" s="6">
        <f t="shared" si="26"/>
        <v>104249091.88826752</v>
      </c>
      <c r="J87" s="6">
        <f t="shared" si="26"/>
        <v>130385921.24724197</v>
      </c>
      <c r="K87" s="6">
        <f t="shared" si="26"/>
        <v>156522750.60621262</v>
      </c>
      <c r="L87" s="6">
        <f t="shared" si="26"/>
        <v>182659579.96518707</v>
      </c>
      <c r="M87" s="6">
        <f t="shared" si="26"/>
        <v>208796409.32415962</v>
      </c>
      <c r="N87" s="6">
        <f t="shared" si="26"/>
        <v>234933238.68313026</v>
      </c>
      <c r="O87" s="6">
        <f t="shared" si="26"/>
        <v>261070068.04210281</v>
      </c>
      <c r="P87" s="6">
        <f t="shared" si="26"/>
        <v>280636271.45367813</v>
      </c>
      <c r="Q87" s="6">
        <f t="shared" si="26"/>
        <v>300202474.86525249</v>
      </c>
      <c r="R87" s="6">
        <f t="shared" si="26"/>
        <v>319768678.27682781</v>
      </c>
      <c r="S87" s="6">
        <f t="shared" si="26"/>
        <v>339334881.68840218</v>
      </c>
      <c r="T87" s="6">
        <f t="shared" si="26"/>
        <v>358901085.09997654</v>
      </c>
      <c r="U87" s="6">
        <f t="shared" si="26"/>
        <v>378467288.51155186</v>
      </c>
      <c r="V87" s="6">
        <f t="shared" si="26"/>
        <v>398033491.92312622</v>
      </c>
      <c r="W87" s="6">
        <f t="shared" si="26"/>
        <v>417599695.33470058</v>
      </c>
      <c r="X87" s="6">
        <f t="shared" si="26"/>
        <v>437165898.7462759</v>
      </c>
      <c r="Y87" s="6">
        <f t="shared" si="26"/>
        <v>456732102.15785027</v>
      </c>
      <c r="Z87" s="6">
        <f t="shared" si="26"/>
        <v>476298305.56942558</v>
      </c>
      <c r="AA87" s="6">
        <f t="shared" si="26"/>
        <v>495864508.98099899</v>
      </c>
      <c r="AB87" s="6">
        <f t="shared" si="26"/>
        <v>515430712.39257526</v>
      </c>
      <c r="AC87" s="6">
        <f t="shared" si="26"/>
        <v>534996915.80414867</v>
      </c>
      <c r="AD87" s="6">
        <f t="shared" si="26"/>
        <v>554563119.21572399</v>
      </c>
      <c r="AE87" s="6">
        <f t="shared" si="26"/>
        <v>574129322.62729931</v>
      </c>
      <c r="AF87" s="6">
        <f t="shared" si="26"/>
        <v>593695526.03887367</v>
      </c>
      <c r="AG87" s="6">
        <f t="shared" si="26"/>
        <v>613261729.45044899</v>
      </c>
      <c r="AH87" s="6">
        <f t="shared" si="26"/>
        <v>632827932.8620224</v>
      </c>
      <c r="AI87" s="6">
        <f t="shared" si="26"/>
        <v>652394136.27359772</v>
      </c>
      <c r="AJ87" s="6">
        <f t="shared" si="26"/>
        <v>671960339.68517208</v>
      </c>
      <c r="AK87" s="6">
        <f t="shared" si="26"/>
        <v>691526543.09674644</v>
      </c>
      <c r="AL87" s="6">
        <f t="shared" si="26"/>
        <v>711092746.50832081</v>
      </c>
      <c r="AM87" s="6">
        <f t="shared" si="26"/>
        <v>730658949.91989613</v>
      </c>
      <c r="AN87" s="6">
        <f t="shared" si="26"/>
        <v>750225153.33147144</v>
      </c>
    </row>
    <row r="88" spans="1:41">
      <c r="B88" t="s">
        <v>1254</v>
      </c>
      <c r="D88" t="s">
        <v>446</v>
      </c>
      <c r="E88" s="7">
        <f>(E84)*(1-E86)</f>
        <v>0</v>
      </c>
      <c r="F88" s="7">
        <f t="shared" ref="F88:AN88" si="27">(F84)*(1-F86)</f>
        <v>0</v>
      </c>
      <c r="G88" s="7">
        <f t="shared" si="27"/>
        <v>0</v>
      </c>
      <c r="H88" s="7">
        <f t="shared" si="27"/>
        <v>0</v>
      </c>
      <c r="I88" s="7">
        <f t="shared" si="27"/>
        <v>0</v>
      </c>
      <c r="J88" s="7">
        <f t="shared" si="27"/>
        <v>0</v>
      </c>
      <c r="K88" s="7">
        <f t="shared" si="27"/>
        <v>0</v>
      </c>
      <c r="L88" s="7">
        <f t="shared" si="27"/>
        <v>0</v>
      </c>
      <c r="M88" s="7">
        <f t="shared" si="27"/>
        <v>0</v>
      </c>
      <c r="N88" s="7">
        <f t="shared" si="27"/>
        <v>0</v>
      </c>
      <c r="O88" s="7">
        <f t="shared" si="27"/>
        <v>0</v>
      </c>
      <c r="P88" s="7">
        <f t="shared" si="27"/>
        <v>0</v>
      </c>
      <c r="Q88" s="7">
        <f t="shared" si="27"/>
        <v>0</v>
      </c>
      <c r="R88" s="7">
        <f t="shared" si="27"/>
        <v>0</v>
      </c>
      <c r="S88" s="7">
        <f t="shared" si="27"/>
        <v>0</v>
      </c>
      <c r="T88" s="7">
        <f t="shared" si="27"/>
        <v>0</v>
      </c>
      <c r="U88" s="7">
        <f t="shared" si="27"/>
        <v>0</v>
      </c>
      <c r="V88" s="7">
        <f t="shared" si="27"/>
        <v>0</v>
      </c>
      <c r="W88" s="7">
        <f t="shared" si="27"/>
        <v>0</v>
      </c>
      <c r="X88" s="7">
        <f t="shared" si="27"/>
        <v>0</v>
      </c>
      <c r="Y88" s="7">
        <f t="shared" si="27"/>
        <v>0</v>
      </c>
      <c r="Z88" s="7">
        <f t="shared" si="27"/>
        <v>0</v>
      </c>
      <c r="AA88" s="7">
        <f t="shared" si="27"/>
        <v>0</v>
      </c>
      <c r="AB88" s="7">
        <f t="shared" si="27"/>
        <v>0</v>
      </c>
      <c r="AC88" s="7">
        <f t="shared" si="27"/>
        <v>0</v>
      </c>
      <c r="AD88" s="7">
        <f t="shared" si="27"/>
        <v>0</v>
      </c>
      <c r="AE88" s="7">
        <f t="shared" si="27"/>
        <v>0</v>
      </c>
      <c r="AF88" s="7">
        <f t="shared" si="27"/>
        <v>0</v>
      </c>
      <c r="AG88" s="7">
        <f t="shared" si="27"/>
        <v>0</v>
      </c>
      <c r="AH88" s="7">
        <f t="shared" si="27"/>
        <v>0</v>
      </c>
      <c r="AI88" s="7">
        <f t="shared" si="27"/>
        <v>0</v>
      </c>
      <c r="AJ88" s="7">
        <f t="shared" si="27"/>
        <v>0</v>
      </c>
      <c r="AK88" s="7">
        <f t="shared" si="27"/>
        <v>0</v>
      </c>
      <c r="AL88" s="7">
        <f t="shared" si="27"/>
        <v>0</v>
      </c>
      <c r="AM88" s="7">
        <f t="shared" si="27"/>
        <v>0</v>
      </c>
      <c r="AN88" s="7">
        <f t="shared" si="27"/>
        <v>0</v>
      </c>
    </row>
    <row r="90" spans="1:41" ht="15.75" thickBot="1">
      <c r="B90" t="s">
        <v>1265</v>
      </c>
      <c r="D90" t="s">
        <v>446</v>
      </c>
      <c r="E90" s="317">
        <f>'2.2 Energy Systems inputs'!F31*10^9*'DH calcs - old'!B63</f>
        <v>0</v>
      </c>
      <c r="F90" s="317">
        <f>'2.2 Energy Systems inputs'!G31*10^9*'DH calcs - old'!C63</f>
        <v>355027.23542649113</v>
      </c>
      <c r="G90" s="317">
        <f>'2.2 Energy Systems inputs'!H31*10^9*'DH calcs - old'!D63</f>
        <v>1050722.7870535222</v>
      </c>
      <c r="H90" s="317">
        <f>'2.2 Energy Systems inputs'!I31*10^9*'DH calcs - old'!E63</f>
        <v>2072727.7356551401</v>
      </c>
      <c r="I90" s="317">
        <f>'2.2 Energy Systems inputs'!J31*10^9*'DH calcs - old'!F63</f>
        <v>3406683.1620053952</v>
      </c>
      <c r="J90" s="317">
        <f>'2.2 Energy Systems inputs'!K31*10^9*'DH calcs - old'!G63</f>
        <v>6734516.2182180788</v>
      </c>
      <c r="K90" s="317">
        <f>'2.2 Energy Systems inputs'!L31*10^9*'DH calcs - old'!H63</f>
        <v>9974459.9534803052</v>
      </c>
      <c r="L90" s="317">
        <f>'2.2 Energy Systems inputs'!M31*10^9*'DH calcs - old'!I63</f>
        <v>16403300.522734856</v>
      </c>
      <c r="M90" s="317">
        <f>'2.2 Energy Systems inputs'!N31*10^9*'DH calcs - old'!J63</f>
        <v>23510748.659589604</v>
      </c>
      <c r="N90" s="317">
        <f>'2.2 Energy Systems inputs'!O31*10^9*'DH calcs - old'!K63</f>
        <v>31256813.372072693</v>
      </c>
      <c r="O90" s="317">
        <f>'2.2 Energy Systems inputs'!P31*10^9*'DH calcs - old'!L63</f>
        <v>39601991.498663589</v>
      </c>
      <c r="P90" s="317">
        <f>'2.2 Energy Systems inputs'!Q31*10^9*'DH calcs - old'!M63</f>
        <v>45762369.672403507</v>
      </c>
      <c r="Q90" s="317">
        <f>'2.2 Energy Systems inputs'!R31*10^9*'DH calcs - old'!N63</f>
        <v>52156574.946352907</v>
      </c>
      <c r="R90" s="317">
        <f>'2.2 Energy Systems inputs'!S31*10^9*'DH calcs - old'!O63</f>
        <v>58747855.502260767</v>
      </c>
      <c r="S90" s="317">
        <f>'2.2 Energy Systems inputs'!T31*10^9*'DH calcs - old'!P63</f>
        <v>65499465.536121577</v>
      </c>
      <c r="T90" s="317">
        <f>'2.2 Energy Systems inputs'!U31*10^9*'DH calcs - old'!Q63</f>
        <v>72374663.338969782</v>
      </c>
      <c r="U90" s="317">
        <f>'2.2 Energy Systems inputs'!V31*10^9*'DH calcs - old'!R63</f>
        <v>78844330.814734131</v>
      </c>
      <c r="V90" s="317">
        <f>'2.2 Energy Systems inputs'!W31*10^9*'DH calcs - old'!S63</f>
        <v>84908088.233348429</v>
      </c>
      <c r="W90" s="317">
        <f>'2.2 Energy Systems inputs'!X31*10^9*'DH calcs - old'!T63</f>
        <v>90565627.12304692</v>
      </c>
      <c r="X90" s="317">
        <f>'2.2 Energy Systems inputs'!Y31*10^9*'DH calcs - old'!U63</f>
        <v>95816694.250261545</v>
      </c>
      <c r="Y90" s="317">
        <f>'2.2 Energy Systems inputs'!Z31*10^9*'DH calcs - old'!V63</f>
        <v>100661079.74884035</v>
      </c>
      <c r="Z90" s="317">
        <f>'2.2 Energy Systems inputs'!AA31*10^9*'DH calcs - old'!W63</f>
        <v>105098608.1929602</v>
      </c>
      <c r="AA90" s="317">
        <f>'2.2 Energy Systems inputs'!AB31*10^9*'DH calcs - old'!X63</f>
        <v>109129131.79361835</v>
      </c>
      <c r="AB90" s="317">
        <f>'2.2 Energy Systems inputs'!AC31*10^9*'DH calcs - old'!Y63</f>
        <v>112752525.15038557</v>
      </c>
      <c r="AC90" s="317">
        <f>'2.2 Energy Systems inputs'!AD31*10^9*'DH calcs - old'!Z63</f>
        <v>115968681.15792994</v>
      </c>
      <c r="AD90" s="317">
        <f>'2.2 Energy Systems inputs'!AE31*10^9*'DH calcs - old'!AA63</f>
        <v>118777507.78075559</v>
      </c>
      <c r="AE90" s="317">
        <f>'2.2 Energy Systems inputs'!AF31*10^9*'DH calcs - old'!AB63</f>
        <v>121178925.48824497</v>
      </c>
      <c r="AF90" s="317">
        <f>'2.2 Energy Systems inputs'!AG31*10^9*'DH calcs - old'!AC63</f>
        <v>123172865.19721816</v>
      </c>
      <c r="AG90" s="317">
        <f>'2.2 Energy Systems inputs'!AH31*10^9*'DH calcs - old'!AD63</f>
        <v>124759266.60840066</v>
      </c>
      <c r="AH90" s="317">
        <f>'2.2 Energy Systems inputs'!AI31*10^9*'DH calcs - old'!AE63</f>
        <v>125938076.8514023</v>
      </c>
      <c r="AI90" s="317">
        <f>'2.2 Energy Systems inputs'!AJ31*10^9*'DH calcs - old'!AF63</f>
        <v>126709249.37336223</v>
      </c>
      <c r="AJ90" s="317">
        <f>'2.2 Energy Systems inputs'!AK31*10^9*'DH calcs - old'!AG63</f>
        <v>127072743.02156118</v>
      </c>
      <c r="AK90" s="317">
        <f>'2.2 Energy Systems inputs'!AL31*10^9*'DH calcs - old'!AH63</f>
        <v>127028521.28157155</v>
      </c>
      <c r="AL90" s="317">
        <f>'2.2 Energy Systems inputs'!AM31*10^9*'DH calcs - old'!AI63</f>
        <v>126576551.64099039</v>
      </c>
      <c r="AM90" s="317">
        <f>'2.2 Energy Systems inputs'!AN31*10^9*'DH calcs - old'!AJ63</f>
        <v>125716805.05522272</v>
      </c>
      <c r="AN90" s="317">
        <f>'2.2 Energy Systems inputs'!AO31*10^9*'DH calcs - old'!AK63</f>
        <v>124449255.49669768</v>
      </c>
    </row>
    <row r="91" spans="1:41" ht="15.75" thickTop="1">
      <c r="B91" t="s">
        <v>1256</v>
      </c>
      <c r="D91" t="s">
        <v>446</v>
      </c>
      <c r="E91" s="316">
        <f>MIN(E90,E87-E85)</f>
        <v>0</v>
      </c>
      <c r="F91" s="316">
        <f t="shared" ref="F91:AN91" si="28">MIN(F90,F87-F85)</f>
        <v>355027.23542649113</v>
      </c>
      <c r="G91" s="316">
        <f t="shared" si="28"/>
        <v>1050722.7870535222</v>
      </c>
      <c r="H91" s="316">
        <f t="shared" si="28"/>
        <v>2072727.7356551401</v>
      </c>
      <c r="I91" s="316">
        <f t="shared" si="28"/>
        <v>3406683.1620053952</v>
      </c>
      <c r="J91" s="316">
        <f t="shared" si="28"/>
        <v>6734516.2182180788</v>
      </c>
      <c r="K91" s="316">
        <f t="shared" si="28"/>
        <v>9974459.9534803052</v>
      </c>
      <c r="L91" s="316">
        <f t="shared" si="28"/>
        <v>16403300.522734856</v>
      </c>
      <c r="M91" s="316">
        <f t="shared" si="28"/>
        <v>23510748.659589604</v>
      </c>
      <c r="N91" s="316">
        <f t="shared" si="28"/>
        <v>31256813.372072693</v>
      </c>
      <c r="O91" s="316">
        <f t="shared" si="28"/>
        <v>39601991.498663589</v>
      </c>
      <c r="P91" s="316">
        <f t="shared" si="28"/>
        <v>45762369.672403507</v>
      </c>
      <c r="Q91" s="316">
        <f t="shared" si="28"/>
        <v>52156574.946352907</v>
      </c>
      <c r="R91" s="316">
        <f t="shared" si="28"/>
        <v>58747855.502260767</v>
      </c>
      <c r="S91" s="316">
        <f t="shared" si="28"/>
        <v>65499465.536121577</v>
      </c>
      <c r="T91" s="316">
        <f t="shared" si="28"/>
        <v>72374663.338969782</v>
      </c>
      <c r="U91" s="316">
        <f t="shared" si="28"/>
        <v>78844330.814734131</v>
      </c>
      <c r="V91" s="316">
        <f t="shared" si="28"/>
        <v>84908088.233348429</v>
      </c>
      <c r="W91" s="316">
        <f t="shared" si="28"/>
        <v>90565627.12304692</v>
      </c>
      <c r="X91" s="316">
        <f t="shared" si="28"/>
        <v>95816694.250261545</v>
      </c>
      <c r="Y91" s="316">
        <f t="shared" si="28"/>
        <v>100661079.74884035</v>
      </c>
      <c r="Z91" s="316">
        <f t="shared" si="28"/>
        <v>105098608.1929602</v>
      </c>
      <c r="AA91" s="316">
        <f t="shared" si="28"/>
        <v>109129131.79361835</v>
      </c>
      <c r="AB91" s="316">
        <f t="shared" si="28"/>
        <v>112752525.15038557</v>
      </c>
      <c r="AC91" s="316">
        <f t="shared" si="28"/>
        <v>115968681.15792994</v>
      </c>
      <c r="AD91" s="316">
        <f t="shared" si="28"/>
        <v>118777507.78075559</v>
      </c>
      <c r="AE91" s="316">
        <f t="shared" si="28"/>
        <v>121178925.48824497</v>
      </c>
      <c r="AF91" s="316">
        <f t="shared" si="28"/>
        <v>123172865.19721816</v>
      </c>
      <c r="AG91" s="316">
        <f t="shared" si="28"/>
        <v>124759266.60840066</v>
      </c>
      <c r="AH91" s="316">
        <f t="shared" si="28"/>
        <v>125938076.8514023</v>
      </c>
      <c r="AI91" s="316">
        <f t="shared" si="28"/>
        <v>126709249.37336223</v>
      </c>
      <c r="AJ91" s="316">
        <f t="shared" si="28"/>
        <v>127072743.02156118</v>
      </c>
      <c r="AK91" s="316">
        <f t="shared" si="28"/>
        <v>127028521.28157155</v>
      </c>
      <c r="AL91" s="316">
        <f t="shared" si="28"/>
        <v>126576551.64099039</v>
      </c>
      <c r="AM91" s="316">
        <f t="shared" si="28"/>
        <v>125716805.05522272</v>
      </c>
      <c r="AN91" s="316">
        <f t="shared" si="28"/>
        <v>124449255.49669768</v>
      </c>
    </row>
    <row r="92" spans="1:41" ht="15.75" thickBot="1">
      <c r="B92" t="s">
        <v>1266</v>
      </c>
      <c r="D92" t="s">
        <v>446</v>
      </c>
      <c r="E92" s="413">
        <f>E84*'2.2 Energy Systems inputs'!F16</f>
        <v>0</v>
      </c>
      <c r="F92" s="413">
        <f>F84*'2.2 Energy Systems inputs'!G16</f>
        <v>0</v>
      </c>
      <c r="G92" s="413">
        <f>G84*'2.2 Energy Systems inputs'!H16</f>
        <v>0</v>
      </c>
      <c r="H92" s="413">
        <f>H84*'2.2 Energy Systems inputs'!I16</f>
        <v>0</v>
      </c>
      <c r="I92" s="413">
        <f>I84*'2.2 Energy Systems inputs'!J16</f>
        <v>0</v>
      </c>
      <c r="J92" s="413">
        <f>J84*'2.2 Energy Systems inputs'!K16</f>
        <v>10430873.699779328</v>
      </c>
      <c r="K92" s="413">
        <f>K84*'2.2 Energy Systems inputs'!L16</f>
        <v>22038378.015264895</v>
      </c>
      <c r="L92" s="413">
        <f>L84*'2.2 Energy Systems inputs'!M16</f>
        <v>40944861.737087727</v>
      </c>
      <c r="M92" s="413">
        <f>M84*'2.2 Energy Systems inputs'!N16</f>
        <v>60301053.431446962</v>
      </c>
      <c r="N92" s="413">
        <f>N84*'2.2 Energy Systems inputs'!O16</f>
        <v>79970786.793013766</v>
      </c>
      <c r="O92" s="413">
        <f>O84*'2.2 Energy Systems inputs'!P16</f>
        <v>99867828.552901894</v>
      </c>
      <c r="P92" s="413">
        <f>P84*'2.2 Energy Systems inputs'!Q16</f>
        <v>119324616.33029068</v>
      </c>
      <c r="Q92" s="413">
        <f>Q84*'2.2 Energy Systems inputs'!R16</f>
        <v>138795545.98312929</v>
      </c>
      <c r="R92" s="413">
        <f>R84*'2.2 Energy Systems inputs'!S16</f>
        <v>158278042.20203361</v>
      </c>
      <c r="S92" s="413">
        <f>S84*'2.2 Energy Systems inputs'!T16</f>
        <v>177770119.19588608</v>
      </c>
      <c r="T92" s="413">
        <f>T84*'2.2 Energy Systems inputs'!U16</f>
        <v>197270221.1382713</v>
      </c>
      <c r="U92" s="413">
        <f>U84*'2.2 Energy Systems inputs'!V16</f>
        <v>212174362.36956567</v>
      </c>
      <c r="V92" s="413">
        <f>V84*'2.2 Energy Systems inputs'!W16</f>
        <v>227300111.9382661</v>
      </c>
      <c r="W92" s="413">
        <f>W84*'2.2 Energy Systems inputs'!X16</f>
        <v>242632035.64248562</v>
      </c>
      <c r="X92" s="413">
        <f>X84*'2.2 Energy Systems inputs'!Y16</f>
        <v>258156100.00866535</v>
      </c>
      <c r="Y92" s="413">
        <f>Y84*'2.2 Energy Systems inputs'!Z16</f>
        <v>273859516.9133321</v>
      </c>
      <c r="Z92" s="413">
        <f>Z84*'2.2 Energy Systems inputs'!AA16</f>
        <v>289730608.43869102</v>
      </c>
      <c r="AA92" s="413">
        <f>AA84*'2.2 Energy Systems inputs'!AB16</f>
        <v>305758688.95327681</v>
      </c>
      <c r="AB92" s="413">
        <f>AB84*'2.2 Energy Systems inputs'!AC16</f>
        <v>321933961.90960515</v>
      </c>
      <c r="AC92" s="413">
        <f>AC84*'2.2 Energy Systems inputs'!AD16</f>
        <v>338247429.25956905</v>
      </c>
      <c r="AD92" s="413">
        <f>AD84*'2.2 Energy Systems inputs'!AE16</f>
        <v>354690811.72377592</v>
      </c>
      <c r="AE92" s="413">
        <f>AE84*'2.2 Energy Systems inputs'!AF16</f>
        <v>371256478.42720294</v>
      </c>
      <c r="AF92" s="413">
        <f>AF84*'2.2 Energy Systems inputs'!AG16</f>
        <v>387937384.6421721</v>
      </c>
      <c r="AG92" s="413">
        <f>AG84*'2.2 Energy Systems inputs'!AH16</f>
        <v>404727016.56935298</v>
      </c>
      <c r="AH92" s="413">
        <f>AH84*'2.2 Energy Systems inputs'!AI16</f>
        <v>421619342.24571872</v>
      </c>
      <c r="AI92" s="413">
        <f>AI84*'2.2 Energy Systems inputs'!AJ16</f>
        <v>438608767.80073708</v>
      </c>
      <c r="AJ92" s="413">
        <f>AJ84*'2.2 Energy Systems inputs'!AK16</f>
        <v>455690098.39313161</v>
      </c>
      <c r="AK92" s="413">
        <f>AK84*'2.2 Energy Systems inputs'!AL16</f>
        <v>472858503.25418854</v>
      </c>
      <c r="AL92" s="413">
        <f>AL84*'2.2 Energy Systems inputs'!AM16</f>
        <v>490109484.34260762</v>
      </c>
      <c r="AM92" s="413">
        <f>AM84*'2.2 Energy Systems inputs'!AN16</f>
        <v>507438848.18296373</v>
      </c>
      <c r="AN92" s="413">
        <f>AN84*'2.2 Energy Systems inputs'!AO16</f>
        <v>524842680.51681209</v>
      </c>
    </row>
    <row r="93" spans="1:41" ht="15.75" thickTop="1">
      <c r="B93" t="s">
        <v>1258</v>
      </c>
      <c r="D93" t="s">
        <v>446</v>
      </c>
      <c r="E93" s="316">
        <f>IF(E92+E91+E85&gt;E87,E87-E91-E85,E92)</f>
        <v>0</v>
      </c>
      <c r="F93" s="316">
        <f t="shared" ref="F93:AM93" si="29">IF(F92+F91+F85&gt;F87,F87-F91-F85,F92)</f>
        <v>0</v>
      </c>
      <c r="G93" s="316">
        <f t="shared" si="29"/>
        <v>0</v>
      </c>
      <c r="H93" s="316">
        <f t="shared" si="29"/>
        <v>0</v>
      </c>
      <c r="I93" s="316">
        <f t="shared" si="29"/>
        <v>0</v>
      </c>
      <c r="J93" s="316">
        <f t="shared" si="29"/>
        <v>10430873.699779328</v>
      </c>
      <c r="K93" s="316">
        <f t="shared" si="29"/>
        <v>22038378.015264895</v>
      </c>
      <c r="L93" s="316">
        <f t="shared" si="29"/>
        <v>40944861.737087727</v>
      </c>
      <c r="M93" s="316">
        <f t="shared" si="29"/>
        <v>60301053.431446962</v>
      </c>
      <c r="N93" s="316">
        <f t="shared" si="29"/>
        <v>79970786.793013766</v>
      </c>
      <c r="O93" s="316">
        <f t="shared" si="29"/>
        <v>99867828.552901894</v>
      </c>
      <c r="P93" s="316">
        <f t="shared" si="29"/>
        <v>119324616.33029068</v>
      </c>
      <c r="Q93" s="316">
        <f t="shared" si="29"/>
        <v>138795545.98312929</v>
      </c>
      <c r="R93" s="316">
        <f t="shared" si="29"/>
        <v>158278042.20203361</v>
      </c>
      <c r="S93" s="316">
        <f t="shared" si="29"/>
        <v>177770119.19588608</v>
      </c>
      <c r="T93" s="316">
        <f t="shared" si="29"/>
        <v>197270221.1382713</v>
      </c>
      <c r="U93" s="316">
        <f t="shared" si="29"/>
        <v>212174362.36956567</v>
      </c>
      <c r="V93" s="316">
        <f t="shared" si="29"/>
        <v>227300111.9382661</v>
      </c>
      <c r="W93" s="316">
        <f t="shared" si="29"/>
        <v>242632035.64248562</v>
      </c>
      <c r="X93" s="316">
        <f t="shared" si="29"/>
        <v>258156100.00866535</v>
      </c>
      <c r="Y93" s="316">
        <f t="shared" si="29"/>
        <v>273859516.9133321</v>
      </c>
      <c r="Z93" s="316">
        <f t="shared" si="29"/>
        <v>289730608.43869102</v>
      </c>
      <c r="AA93" s="316">
        <f t="shared" si="29"/>
        <v>305758688.95327681</v>
      </c>
      <c r="AB93" s="316">
        <f t="shared" si="29"/>
        <v>321933961.90960515</v>
      </c>
      <c r="AC93" s="316">
        <f t="shared" si="29"/>
        <v>338247429.25956905</v>
      </c>
      <c r="AD93" s="316">
        <f t="shared" si="29"/>
        <v>354690811.72377592</v>
      </c>
      <c r="AE93" s="316">
        <f t="shared" si="29"/>
        <v>371256478.42720294</v>
      </c>
      <c r="AF93" s="316">
        <f t="shared" si="29"/>
        <v>387937384.6421721</v>
      </c>
      <c r="AG93" s="316">
        <f t="shared" si="29"/>
        <v>404727016.56935298</v>
      </c>
      <c r="AH93" s="316">
        <f t="shared" si="29"/>
        <v>421619342.24571872</v>
      </c>
      <c r="AI93" s="316">
        <f t="shared" si="29"/>
        <v>438608767.80073708</v>
      </c>
      <c r="AJ93" s="316">
        <f t="shared" si="29"/>
        <v>455690098.39313161</v>
      </c>
      <c r="AK93" s="316">
        <f t="shared" si="29"/>
        <v>472858503.25418854</v>
      </c>
      <c r="AL93" s="316">
        <f t="shared" si="29"/>
        <v>490109484.34260762</v>
      </c>
      <c r="AM93" s="316">
        <f t="shared" si="29"/>
        <v>507438848.18296373</v>
      </c>
      <c r="AN93" s="316">
        <f>IF(AN92+AN91+AN85&gt;AN87,AN87-AN91-AN85,AN92)</f>
        <v>524842680.51681209</v>
      </c>
    </row>
    <row r="94" spans="1:41">
      <c r="B94" t="s">
        <v>1259</v>
      </c>
      <c r="D94" t="s">
        <v>452</v>
      </c>
      <c r="E94" s="315">
        <f>IF(E93=E92,'2.2 Energy Systems inputs'!F16,E93/E84)</f>
        <v>0</v>
      </c>
      <c r="F94" s="315">
        <f>IF(F93=F92,'2.2 Energy Systems inputs'!G16,F93/F84)</f>
        <v>0</v>
      </c>
      <c r="G94" s="315">
        <f>IF(G93=G92,'2.2 Energy Systems inputs'!H16,G93/G84)</f>
        <v>0</v>
      </c>
      <c r="H94" s="315">
        <f>IF(H93=H92,'2.2 Energy Systems inputs'!I16,H93/H84)</f>
        <v>0</v>
      </c>
      <c r="I94" s="315">
        <f>IF(I93=I92,'2.2 Energy Systems inputs'!J16,I93/I84)</f>
        <v>0</v>
      </c>
      <c r="J94" s="315">
        <f>IF(J93=J92,'2.2 Energy Systems inputs'!K16,J93/J84)</f>
        <v>7.9999999999999766E-2</v>
      </c>
      <c r="K94" s="315">
        <f>IF(K93=K92,'2.2 Energy Systems inputs'!L16,K93/K84)</f>
        <v>0.1407998385532471</v>
      </c>
      <c r="L94" s="315">
        <f>IF(L93=L92,'2.2 Energy Systems inputs'!M16,L93/L84)</f>
        <v>0.22415939938595814</v>
      </c>
      <c r="M94" s="315">
        <f>IF(M93=M92,'2.2 Energy Systems inputs'!N16,M93/M84)</f>
        <v>0.28880311508532053</v>
      </c>
      <c r="N94" s="315">
        <f>IF(N93=N92,'2.2 Energy Systems inputs'!O16,N93/N84)</f>
        <v>0.34039792428382415</v>
      </c>
      <c r="O94" s="315">
        <f>IF(O93=O92,'2.2 Energy Systems inputs'!P16,O93/O84)</f>
        <v>0.38253266374755834</v>
      </c>
      <c r="P94" s="315">
        <f>IF(P93=P92,'2.2 Energy Systems inputs'!Q16,P93/P84)</f>
        <v>0.42519313598415742</v>
      </c>
      <c r="Q94" s="315">
        <f>IF(Q93=Q92,'2.2 Energy Systems inputs'!R16,Q93/Q84)</f>
        <v>0.46233977932869619</v>
      </c>
      <c r="R94" s="315">
        <f>IF(R93=R92,'2.2 Energy Systems inputs'!S16,R93/R84)</f>
        <v>0.49497669082213958</v>
      </c>
      <c r="S94" s="315">
        <f>IF(S93=S92,'2.2 Energy Systems inputs'!T16,S93/S84)</f>
        <v>0.52387811801536321</v>
      </c>
      <c r="T94" s="315">
        <f>IF(T93=T92,'2.2 Energy Systems inputs'!U16,T93/T84)</f>
        <v>0.54965066790845485</v>
      </c>
      <c r="U94" s="315">
        <f>IF(U93=U92,'2.2 Energy Systems inputs'!V16,U93/U84)</f>
        <v>0.56061479765929501</v>
      </c>
      <c r="V94" s="315">
        <f>IF(V93=V92,'2.2 Energy Systems inputs'!W16,V93/V84)</f>
        <v>0.57105775405996606</v>
      </c>
      <c r="W94" s="315">
        <f>IF(W93=W92,'2.2 Energy Systems inputs'!X16,W93/W84)</f>
        <v>0.58101583490864206</v>
      </c>
      <c r="X94" s="315">
        <f>IF(X93=X92,'2.2 Energy Systems inputs'!Y16,X93/X84)</f>
        <v>0.59052204380308959</v>
      </c>
      <c r="Y94" s="315">
        <f>IF(Y93=Y92,'2.2 Energy Systems inputs'!Z16,Y93/Y84)</f>
        <v>0.59960645555561165</v>
      </c>
      <c r="Z94" s="315">
        <f>IF(Z93=Z92,'2.2 Energy Systems inputs'!AA16,Z93/Z84)</f>
        <v>0.60829653402254169</v>
      </c>
      <c r="AA94" s="315">
        <f>IF(AA93=AA92,'2.2 Energy Systems inputs'!AB16,AA93/AA84)</f>
        <v>0.61661740942422072</v>
      </c>
      <c r="AB94" s="315">
        <f>IF(AB93=AB92,'2.2 Energy Systems inputs'!AC16,AB93/AB84)</f>
        <v>0.62459212105390749</v>
      </c>
      <c r="AC94" s="315">
        <f>IF(AC93=AC92,'2.2 Energy Systems inputs'!AD16,AC93/AC84)</f>
        <v>0.63224183031252179</v>
      </c>
      <c r="AD94" s="315">
        <f>IF(AD93=AD92,'2.2 Energy Systems inputs'!AE16,AD93/AD84)</f>
        <v>0.63958600821740164</v>
      </c>
      <c r="AE94" s="315">
        <f>IF(AE93=AE92,'2.2 Energy Systems inputs'!AF16,AE93/AE84)</f>
        <v>0.646642600883507</v>
      </c>
      <c r="AF94" s="315">
        <f>IF(AF93=AF92,'2.2 Energy Systems inputs'!AG16,AF93/AF84)</f>
        <v>0.65342817593806657</v>
      </c>
      <c r="AG94" s="315">
        <f>IF(AG93=AG92,'2.2 Energy Systems inputs'!AH16,AG93/AG84)</f>
        <v>0.65995805238333327</v>
      </c>
      <c r="AH94" s="315">
        <f>IF(AH93=AH92,'2.2 Energy Systems inputs'!AI16,AH93/AH84)</f>
        <v>0.66624641605010471</v>
      </c>
      <c r="AI94" s="315">
        <f>IF(AI93=AI92,'2.2 Energy Systems inputs'!AJ16,AI93/AI84)</f>
        <v>0.67230642247341654</v>
      </c>
      <c r="AJ94" s="315">
        <f>IF(AJ93=AJ92,'2.2 Energy Systems inputs'!AK16,AJ93/AJ84)</f>
        <v>0.6781502887605424</v>
      </c>
      <c r="AK94" s="315">
        <f>IF(AK93=AK92,'2.2 Energy Systems inputs'!AL16,AK93/AK84)</f>
        <v>0.68378937580134846</v>
      </c>
      <c r="AL94" s="315">
        <f>IF(AL93=AL92,'2.2 Energy Systems inputs'!AM16,AL93/AL84)</f>
        <v>0.6892342619850822</v>
      </c>
      <c r="AM94" s="315">
        <f>IF(AM93=AM92,'2.2 Energy Systems inputs'!AN16,AM93/AM84)</f>
        <v>0.6944948094300295</v>
      </c>
      <c r="AN94" s="315">
        <f>IF(AN93=AN92,'2.2 Energy Systems inputs'!AO16,AN93/AN84)</f>
        <v>0.69958022359844985</v>
      </c>
      <c r="AO94" s="319"/>
    </row>
    <row r="95" spans="1:41">
      <c r="B95" t="s">
        <v>220</v>
      </c>
      <c r="D95" t="s">
        <v>452</v>
      </c>
      <c r="E95" s="315">
        <f>0</f>
        <v>0</v>
      </c>
      <c r="F95" s="315">
        <f>0</f>
        <v>0</v>
      </c>
      <c r="G95" s="315">
        <f>0</f>
        <v>0</v>
      </c>
      <c r="H95" s="315">
        <f>0</f>
        <v>0</v>
      </c>
      <c r="I95" s="315">
        <f>0</f>
        <v>0</v>
      </c>
      <c r="J95" s="315">
        <f>0</f>
        <v>0</v>
      </c>
      <c r="K95" s="315">
        <f>0</f>
        <v>0</v>
      </c>
      <c r="L95" s="315">
        <f>0</f>
        <v>0</v>
      </c>
      <c r="M95" s="315">
        <f>0</f>
        <v>0</v>
      </c>
      <c r="N95" s="315">
        <f>0</f>
        <v>0</v>
      </c>
      <c r="O95" s="315">
        <f>0</f>
        <v>0</v>
      </c>
      <c r="P95" s="315">
        <f>0</f>
        <v>0</v>
      </c>
      <c r="Q95" s="315">
        <f>0</f>
        <v>0</v>
      </c>
      <c r="R95" s="315">
        <f>0</f>
        <v>0</v>
      </c>
      <c r="S95" s="315">
        <f>0</f>
        <v>0</v>
      </c>
      <c r="T95" s="315">
        <f>0</f>
        <v>0</v>
      </c>
      <c r="U95" s="315">
        <f>0</f>
        <v>0</v>
      </c>
      <c r="V95" s="315">
        <f>0</f>
        <v>0</v>
      </c>
      <c r="W95" s="315">
        <f>0</f>
        <v>0</v>
      </c>
      <c r="X95" s="315">
        <f>0</f>
        <v>0</v>
      </c>
      <c r="Y95" s="315">
        <f>0</f>
        <v>0</v>
      </c>
      <c r="Z95" s="315">
        <f>0</f>
        <v>0</v>
      </c>
      <c r="AA95" s="315">
        <f>0</f>
        <v>0</v>
      </c>
      <c r="AB95" s="315">
        <f>0</f>
        <v>0</v>
      </c>
      <c r="AC95" s="315">
        <f>0</f>
        <v>0</v>
      </c>
      <c r="AD95" s="315">
        <f>0</f>
        <v>0</v>
      </c>
      <c r="AE95" s="315">
        <f>0</f>
        <v>0</v>
      </c>
      <c r="AF95" s="315">
        <f>0</f>
        <v>0</v>
      </c>
      <c r="AG95" s="315">
        <f>0</f>
        <v>0</v>
      </c>
      <c r="AH95" s="315">
        <f>0</f>
        <v>0</v>
      </c>
      <c r="AI95" s="315">
        <f>0</f>
        <v>0</v>
      </c>
      <c r="AJ95" s="315">
        <f>0</f>
        <v>0</v>
      </c>
      <c r="AK95" s="315">
        <f>0</f>
        <v>0</v>
      </c>
      <c r="AL95" s="315">
        <f>0</f>
        <v>0</v>
      </c>
      <c r="AM95" s="315">
        <f>0</f>
        <v>0</v>
      </c>
      <c r="AN95" s="315">
        <f>0</f>
        <v>0</v>
      </c>
    </row>
    <row r="96" spans="1:41">
      <c r="B96" t="s">
        <v>96</v>
      </c>
      <c r="D96" t="s">
        <v>452</v>
      </c>
      <c r="E96" s="315">
        <f>IFERROR(E91/E84,0)</f>
        <v>0</v>
      </c>
      <c r="F96" s="315">
        <f t="shared" ref="F96:AN96" si="30">IFERROR(F91/F84,0)</f>
        <v>1.362226678413673E-2</v>
      </c>
      <c r="G96" s="315">
        <f t="shared" si="30"/>
        <v>2.0157926904143583E-2</v>
      </c>
      <c r="H96" s="315">
        <f t="shared" si="30"/>
        <v>2.6509938176108756E-2</v>
      </c>
      <c r="I96" s="315">
        <f t="shared" si="30"/>
        <v>3.2678300600034224E-2</v>
      </c>
      <c r="J96" s="315">
        <f t="shared" si="30"/>
        <v>5.1650639530688845E-2</v>
      </c>
      <c r="K96" s="315">
        <f t="shared" si="30"/>
        <v>6.3725304563389165E-2</v>
      </c>
      <c r="L96" s="315">
        <f t="shared" si="30"/>
        <v>8.9802574416634195E-2</v>
      </c>
      <c r="M96" s="315">
        <f t="shared" si="30"/>
        <v>0.11260130734857995</v>
      </c>
      <c r="N96" s="315">
        <f t="shared" si="30"/>
        <v>0.13304551347130061</v>
      </c>
      <c r="O96" s="315">
        <f t="shared" si="30"/>
        <v>0.15169104522651355</v>
      </c>
      <c r="P96" s="315">
        <f t="shared" si="30"/>
        <v>0.16306648258743364</v>
      </c>
      <c r="Q96" s="315">
        <f t="shared" si="30"/>
        <v>0.1737379912332957</v>
      </c>
      <c r="R96" s="315">
        <f t="shared" si="30"/>
        <v>0.18371985592473195</v>
      </c>
      <c r="S96" s="315">
        <f t="shared" si="30"/>
        <v>0.19302308448285949</v>
      </c>
      <c r="T96" s="315">
        <f t="shared" si="30"/>
        <v>0.20165629568606314</v>
      </c>
      <c r="U96" s="315">
        <f t="shared" si="30"/>
        <v>0.2083253512471728</v>
      </c>
      <c r="V96" s="315">
        <f t="shared" si="30"/>
        <v>0.2133189541993292</v>
      </c>
      <c r="W96" s="315">
        <f t="shared" si="30"/>
        <v>0.2168718706809874</v>
      </c>
      <c r="X96" s="315">
        <f t="shared" si="30"/>
        <v>0.21917696353958299</v>
      </c>
      <c r="Y96" s="315">
        <f t="shared" si="30"/>
        <v>0.22039414193410709</v>
      </c>
      <c r="Z96" s="315">
        <f t="shared" si="30"/>
        <v>0.22065711123475948</v>
      </c>
      <c r="AA96" s="315">
        <f t="shared" si="30"/>
        <v>0.22007852914877613</v>
      </c>
      <c r="AB96" s="315">
        <f t="shared" si="30"/>
        <v>0.21875399047720728</v>
      </c>
      <c r="AC96" s="315">
        <f t="shared" si="30"/>
        <v>0.21676513963378377</v>
      </c>
      <c r="AD96" s="315">
        <f t="shared" si="30"/>
        <v>0.2141821258303897</v>
      </c>
      <c r="AE96" s="315">
        <f t="shared" si="30"/>
        <v>0.2110655573794987</v>
      </c>
      <c r="AF96" s="315">
        <f t="shared" si="30"/>
        <v>0.20746807040811879</v>
      </c>
      <c r="AG96" s="315">
        <f t="shared" si="30"/>
        <v>0.20343559791379595</v>
      </c>
      <c r="AH96" s="315">
        <f t="shared" si="30"/>
        <v>0.19900840388292562</v>
      </c>
      <c r="AI96" s="315">
        <f t="shared" si="30"/>
        <v>0.19422193169471338</v>
      </c>
      <c r="AJ96" s="315">
        <f t="shared" si="30"/>
        <v>0.18910750459037134</v>
      </c>
      <c r="AK96" s="315">
        <f t="shared" si="30"/>
        <v>0.18369290745185454</v>
      </c>
      <c r="AL96" s="315">
        <f t="shared" si="30"/>
        <v>0.17800287270896703</v>
      </c>
      <c r="AM96" s="315">
        <f t="shared" si="30"/>
        <v>0.17205948831394641</v>
      </c>
      <c r="AN96" s="315">
        <f t="shared" si="30"/>
        <v>0.16588254198631536</v>
      </c>
    </row>
    <row r="97" spans="1:40">
      <c r="A97" t="s">
        <v>1260</v>
      </c>
      <c r="B97" t="s">
        <v>219</v>
      </c>
      <c r="D97" t="s">
        <v>452</v>
      </c>
      <c r="E97" s="5">
        <f>'2.1 Building inputs'!E17</f>
        <v>0</v>
      </c>
      <c r="F97" s="5">
        <f>'2.1 Building inputs'!F17</f>
        <v>0</v>
      </c>
      <c r="G97" s="5">
        <f>'2.1 Building inputs'!G17</f>
        <v>0</v>
      </c>
      <c r="H97" s="5">
        <f>'2.1 Building inputs'!H17</f>
        <v>0</v>
      </c>
      <c r="I97" s="5">
        <f>'2.1 Building inputs'!I17</f>
        <v>0</v>
      </c>
      <c r="J97" s="5">
        <f>'2.1 Building inputs'!J17</f>
        <v>6.2087820672609116E-3</v>
      </c>
      <c r="K97" s="5">
        <f>'2.1 Building inputs'!K17</f>
        <v>1.0347970112101522E-2</v>
      </c>
      <c r="L97" s="5">
        <f>'2.1 Building inputs'!L17</f>
        <v>1.3304533001273383E-2</v>
      </c>
      <c r="M97" s="5">
        <f>'2.1 Building inputs'!M17</f>
        <v>1.5521955168152279E-2</v>
      </c>
      <c r="N97" s="5">
        <f>'2.1 Building inputs'!N17</f>
        <v>1.7246616853502532E-2</v>
      </c>
      <c r="O97" s="5">
        <f>'2.1 Building inputs'!O17</f>
        <v>1.8626346201782738E-2</v>
      </c>
      <c r="P97" s="5">
        <f>'2.1 Building inputs'!P17</f>
        <v>1.9493697003782746E-2</v>
      </c>
      <c r="Q97" s="5">
        <f>'2.1 Building inputs'!Q17</f>
        <v>2.0248098229741378E-2</v>
      </c>
      <c r="R97" s="5">
        <f>'2.1 Building inputs'!R17</f>
        <v>2.0910264190128706E-2</v>
      </c>
      <c r="S97" s="5">
        <f>'2.1 Building inputs'!S17</f>
        <v>2.1496135816483224E-2</v>
      </c>
      <c r="T97" s="5">
        <f>'2.1 Building inputs'!T17</f>
        <v>2.2018180729025946E-2</v>
      </c>
      <c r="U97" s="5">
        <f>'2.1 Building inputs'!U17</f>
        <v>2.2486290353187412E-2</v>
      </c>
      <c r="V97" s="5">
        <f>'2.1 Building inputs'!V17</f>
        <v>2.290841263650658E-2</v>
      </c>
      <c r="W97" s="5">
        <f>'2.1 Building inputs'!W17</f>
        <v>2.3291007021043024E-2</v>
      </c>
      <c r="X97" s="5">
        <f>'2.1 Building inputs'!X17</f>
        <v>2.363937732031203E-2</v>
      </c>
      <c r="Y97" s="5">
        <f>'2.1 Building inputs'!Y17</f>
        <v>2.3957919090399651E-2</v>
      </c>
      <c r="Z97" s="5">
        <f>'2.1 Building inputs'!Z17</f>
        <v>2.4250306067716575E-2</v>
      </c>
      <c r="AA97" s="5">
        <f>'2.1 Building inputs'!AA17</f>
        <v>2.4519632493733311E-2</v>
      </c>
      <c r="AB97" s="5">
        <f>'2.1 Building inputs'!AB17</f>
        <v>2.4768523041881894E-2</v>
      </c>
      <c r="AC97" s="5">
        <f>'2.1 Building inputs'!AC17</f>
        <v>2.4999218636090371E-2</v>
      </c>
      <c r="AD97" s="5">
        <f>'2.1 Building inputs'!AD17</f>
        <v>2.521364411191299E-2</v>
      </c>
      <c r="AE97" s="5">
        <f>'2.1 Building inputs'!AE17</f>
        <v>2.5413462049603923E-2</v>
      </c>
      <c r="AF97" s="5">
        <f>'2.1 Building inputs'!AF17</f>
        <v>2.5600115967610922E-2</v>
      </c>
      <c r="AG97" s="5">
        <f>'2.1 Building inputs'!AG17</f>
        <v>2.5774865251532036E-2</v>
      </c>
      <c r="AH97" s="5">
        <f>'2.1 Building inputs'!AH17</f>
        <v>2.5938813606390217E-2</v>
      </c>
      <c r="AI97" s="5">
        <f>'2.1 Building inputs'!AI17</f>
        <v>2.6092932391315504E-2</v>
      </c>
      <c r="AJ97" s="5">
        <f>'2.1 Building inputs'!AJ17</f>
        <v>2.6238079879272319E-2</v>
      </c>
      <c r="AK97" s="5">
        <f>'2.1 Building inputs'!AK17</f>
        <v>2.6375017248566644E-2</v>
      </c>
      <c r="AL97" s="5">
        <f>'2.1 Building inputs'!AL17</f>
        <v>2.6504421935359648E-2</v>
      </c>
      <c r="AM97" s="5">
        <f>'2.1 Building inputs'!AM17</f>
        <v>2.6626898841669681E-2</v>
      </c>
      <c r="AN97" s="5">
        <f>'2.1 Building inputs'!AN17</f>
        <v>2.6742989790215374E-2</v>
      </c>
    </row>
    <row r="98" spans="1:40">
      <c r="B98" t="s">
        <v>774</v>
      </c>
      <c r="D98" t="s">
        <v>452</v>
      </c>
      <c r="E98" s="610">
        <f>(1-SUM(E94,E95,E96,E97))*'2.2 Energy Systems inputs'!F$61</f>
        <v>0.84</v>
      </c>
      <c r="F98" s="610">
        <f>(1-SUM(F94,F95,F96,F97))*'2.2 Energy Systems inputs'!G$61</f>
        <v>0.8285572959013251</v>
      </c>
      <c r="G98" s="610">
        <f>(1-SUM(G94,G95,G96,G97))*'2.2 Energy Systems inputs'!H$61</f>
        <v>0.8230673414005194</v>
      </c>
      <c r="H98" s="610">
        <f>(1-SUM(H94,H95,H96,H97))*'2.2 Energy Systems inputs'!I$61</f>
        <v>0.81773165193206854</v>
      </c>
      <c r="I98" s="610">
        <f>(1-SUM(I94,I95,I96,I97))*'2.2 Energy Systems inputs'!J$61</f>
        <v>0.81255022749597128</v>
      </c>
      <c r="J98" s="610">
        <f>(1-SUM(J94,J95,J96,J97))*'2.2 Energy Systems inputs'!K$61</f>
        <v>0.72419808585772238</v>
      </c>
      <c r="K98" s="610">
        <f>(1-SUM(K94,K95,K96,K97))*'2.2 Energy Systems inputs'!L$61</f>
        <v>0.65950658488786018</v>
      </c>
      <c r="L98" s="610">
        <f>(1-SUM(L94,L95,L96,L97))*'2.2 Energy Systems inputs'!M$61</f>
        <v>0.5650961342847528</v>
      </c>
      <c r="M98" s="610">
        <f>(1-SUM(M94,M95,M96,M97))*'2.2 Energy Systems inputs'!N$61</f>
        <v>0.48978184281427556</v>
      </c>
      <c r="N98" s="610">
        <f>(1-SUM(N94,N95,N96,N97))*'2.2 Energy Systems inputs'!O$61</f>
        <v>0.42782035412875308</v>
      </c>
      <c r="O98" s="610">
        <f>(1-SUM(O94,O95,O96,O97))*'2.2 Energy Systems inputs'!P$61</f>
        <v>0.37560595365228211</v>
      </c>
      <c r="P98" s="610">
        <f>(1-SUM(P94,P95,P96,P97))*'2.2 Energy Systems inputs'!Q$61</f>
        <v>0.32948721491668598</v>
      </c>
      <c r="Q98" s="610">
        <f>(1-SUM(Q94,Q95,Q96,Q97))*'2.2 Energy Systems inputs'!R$61</f>
        <v>0.28696858690716509</v>
      </c>
      <c r="R98" s="610">
        <f>(1-SUM(R94,R95,R96,R97))*'2.2 Energy Systems inputs'!S$61</f>
        <v>0.24932754849504601</v>
      </c>
      <c r="S98" s="610">
        <f>(1-SUM(S94,S95,S96,S97))*'2.2 Energy Systems inputs'!T$61</f>
        <v>0.21582376550633772</v>
      </c>
      <c r="T98" s="610">
        <f>(1-SUM(T94,T95,T96,T97))*'2.2 Energy Systems inputs'!U$61</f>
        <v>0.18587519505353939</v>
      </c>
      <c r="U98" s="610">
        <f>(1-SUM(U94,U95,U96,U97))*'2.2 Energy Systems inputs'!V$61</f>
        <v>0.16900840770926584</v>
      </c>
      <c r="V98" s="610">
        <f>(1-SUM(V94,V95,V96,V97))*'2.2 Energy Systems inputs'!W$61</f>
        <v>0.15428830307033745</v>
      </c>
      <c r="W98" s="610">
        <f>(1-SUM(W94,W95,W96,W97))*'2.2 Energy Systems inputs'!X$61</f>
        <v>0.14143011383879395</v>
      </c>
      <c r="X98" s="610">
        <f>(1-SUM(X94,X95,X96,X97))*'2.2 Energy Systems inputs'!Y$61</f>
        <v>0.13019605390127634</v>
      </c>
      <c r="Y98" s="610">
        <f>(1-SUM(Y94,Y95,Y96,Y97))*'2.2 Energy Systems inputs'!Z$61</f>
        <v>0.12189960684761146</v>
      </c>
      <c r="Z98" s="610">
        <f>(1-SUM(Z94,Z95,Z96,Z97))*'2.2 Energy Systems inputs'!AA$61</f>
        <v>0.107031935009903</v>
      </c>
      <c r="AA98" s="610">
        <f>(1-SUM(AA94,AA95,AA96,AA97))*'2.2 Energy Systems inputs'!AB$61</f>
        <v>9.3962609764980984E-2</v>
      </c>
      <c r="AB98" s="610">
        <f>(1-SUM(AB94,AB95,AB96,AB97))*'2.2 Energy Systems inputs'!AC$61</f>
        <v>8.2423077977259993E-2</v>
      </c>
      <c r="AC98" s="610">
        <f>(1-SUM(AC94,AC95,AC96,AC97))*'2.2 Energy Systems inputs'!AD$61</f>
        <v>7.2179334684917051E-2</v>
      </c>
      <c r="AD98" s="610">
        <f>(1-SUM(AD94,AD95,AD96,AD97))*'2.2 Energy Systems inputs'!AE$61</f>
        <v>6.3026289934425966E-2</v>
      </c>
      <c r="AE98" s="610">
        <f>(1-SUM(AE94,AE95,AE96,AE97))*'2.2 Energy Systems inputs'!AF$61</f>
        <v>5.4783234127073602E-2</v>
      </c>
      <c r="AF98" s="610">
        <f>(1-SUM(AF94,AF95,AF96,AF97))*'2.2 Energy Systems inputs'!AG$61</f>
        <v>4.7290155605579927E-2</v>
      </c>
      <c r="AG98" s="610">
        <f>(1-SUM(AG94,AG95,AG96,AG97))*'2.2 Energy Systems inputs'!AH$61</f>
        <v>4.0404725971580041E-2</v>
      </c>
      <c r="AH98" s="610">
        <f>(1-SUM(AH94,AH95,AH96,AH97))*'2.2 Energy Systems inputs'!AI$61</f>
        <v>3.3999813391601873E-2</v>
      </c>
      <c r="AI98" s="610">
        <f>(1-SUM(AI94,AI95,AI96,AI97))*'2.2 Energy Systems inputs'!AJ$61</f>
        <v>2.7961416979920412E-2</v>
      </c>
      <c r="AJ98" s="610">
        <f>(1-SUM(AJ94,AJ95,AJ96,AJ97))*'2.2 Energy Systems inputs'!AK$61</f>
        <v>2.2186939688687631E-2</v>
      </c>
      <c r="AK98" s="610">
        <f>(1-SUM(AK94,AK95,AK96,AK97))*'2.2 Energy Systems inputs'!AL$61</f>
        <v>1.6583735369603513E-2</v>
      </c>
      <c r="AL98" s="610">
        <f>(1-SUM(AL94,AL95,AL96,AL97))*'2.2 Energy Systems inputs'!AM$61</f>
        <v>1.1067879461480768E-2</v>
      </c>
      <c r="AM98" s="610">
        <f>(1-SUM(AM94,AM95,AM96,AM97))*'2.2 Energy Systems inputs'!AN$61</f>
        <v>5.5631232818195682E-3</v>
      </c>
      <c r="AN98" s="610">
        <f>(1-SUM(AN94,AN95,AN96,AN97))*'2.2 Energy Systems inputs'!AO$61</f>
        <v>0</v>
      </c>
    </row>
    <row r="99" spans="1:40">
      <c r="B99" t="s">
        <v>1200</v>
      </c>
      <c r="D99" t="s">
        <v>452</v>
      </c>
      <c r="E99" s="507">
        <f>(1-SUM(E94,E95,E96,E97))*'2.2 Energy Systems inputs'!F$62</f>
        <v>0.16</v>
      </c>
      <c r="F99" s="507">
        <f>(1-SUM(F94,F95,F96,F97))*'2.2 Energy Systems inputs'!G$62</f>
        <v>0.15782043731453813</v>
      </c>
      <c r="G99" s="507">
        <f>(1-SUM(G94,G95,G96,G97))*'2.2 Energy Systems inputs'!H$62</f>
        <v>0.15677473169533704</v>
      </c>
      <c r="H99" s="507">
        <f>(1-SUM(H94,H95,H96,H97))*'2.2 Energy Systems inputs'!I$62</f>
        <v>0.1557584098918226</v>
      </c>
      <c r="I99" s="507">
        <f>(1-SUM(I94,I95,I96,I97))*'2.2 Energy Systems inputs'!J$62</f>
        <v>0.15477147190399454</v>
      </c>
      <c r="J99" s="507">
        <f>(1-SUM(J94,J95,J96,J97))*'2.2 Energy Systems inputs'!K$62</f>
        <v>0.13794249254432808</v>
      </c>
      <c r="K99" s="507">
        <f>(1-SUM(K94,K95,K96,K97))*'2.2 Energy Systems inputs'!L$62</f>
        <v>0.12562030188340195</v>
      </c>
      <c r="L99" s="507">
        <f>(1-SUM(L94,L95,L96,L97))*'2.2 Energy Systems inputs'!M$62</f>
        <v>0.10763735891138149</v>
      </c>
      <c r="M99" s="507">
        <f>(1-SUM(M94,M95,M96,M97))*'2.2 Energy Systems inputs'!N$62</f>
        <v>9.3291779583671547E-2</v>
      </c>
      <c r="N99" s="507">
        <f>(1-SUM(N94,N95,N96,N97))*'2.2 Energy Systems inputs'!O$62</f>
        <v>8.1489591262619648E-2</v>
      </c>
      <c r="O99" s="507">
        <f>(1-SUM(O94,O95,O96,O97))*'2.2 Energy Systems inputs'!P$62</f>
        <v>7.1543991171863261E-2</v>
      </c>
      <c r="P99" s="507">
        <f>(1-SUM(P94,P95,P96,P97))*'2.2 Energy Systems inputs'!Q$62</f>
        <v>6.2759469507940188E-2</v>
      </c>
      <c r="Q99" s="507">
        <f>(1-SUM(Q94,Q95,Q96,Q97))*'2.2 Energy Systems inputs'!R$62</f>
        <v>5.4987860993322681E-2</v>
      </c>
      <c r="R99" s="507">
        <f>(1-SUM(R94,R95,R96,R97))*'2.2 Energy Systems inputs'!S$62</f>
        <v>4.8062910250079957E-2</v>
      </c>
      <c r="S99" s="507">
        <f>(1-SUM(S94,S95,S96,S97))*'2.2 Energy Systems inputs'!T$62</f>
        <v>4.1856425869647058E-2</v>
      </c>
      <c r="T99" s="507">
        <f>(1-SUM(T94,T95,T96,T97))*'2.2 Energy Systems inputs'!U$62</f>
        <v>3.6267976908232968E-2</v>
      </c>
      <c r="U99" s="507">
        <f>(1-SUM(U94,U95,U96,U97))*'2.2 Energy Systems inputs'!V$62</f>
        <v>3.3371769718455173E-2</v>
      </c>
      <c r="V99" s="507">
        <f>(1-SUM(V94,V95,V96,V97))*'2.2 Energy Systems inputs'!W$62</f>
        <v>3.0834380656671705E-2</v>
      </c>
      <c r="W99" s="507">
        <f>(1-SUM(W94,W95,W96,W97))*'2.2 Energy Systems inputs'!X$62</f>
        <v>2.861140598229241E-2</v>
      </c>
      <c r="X99" s="507">
        <f>(1-SUM(X94,X95,X96,X97))*'2.2 Energy Systems inputs'!Y$62</f>
        <v>2.6665858453922445E-2</v>
      </c>
      <c r="Y99" s="507">
        <f>(1-SUM(Y94,Y95,Y96,Y97))*'2.2 Energy Systems inputs'!Z$62</f>
        <v>2.4966637347181048E-2</v>
      </c>
      <c r="Z99" s="507">
        <f>(1-SUM(Z94,Z95,Z96,Z97))*'2.2 Energy Systems inputs'!AA$62</f>
        <v>3.1707946513796152E-2</v>
      </c>
      <c r="AA99" s="507">
        <f>(1-SUM(AA94,AA95,AA96,AA97))*'2.2 Energy Systems inputs'!AB$62</f>
        <v>3.7749364669849392E-2</v>
      </c>
      <c r="AB99" s="507">
        <f>(1-SUM(AB94,AB95,AB96,AB97))*'2.2 Energy Systems inputs'!AC$62</f>
        <v>4.3258399860057105E-2</v>
      </c>
      <c r="AC99" s="507">
        <f>(1-SUM(AC94,AC95,AC96,AC97))*'2.2 Energy Systems inputs'!AD$62</f>
        <v>4.838162358435999E-2</v>
      </c>
      <c r="AD99" s="507">
        <f>(1-SUM(AD94,AD95,AD96,AD97))*'2.2 Energy Systems inputs'!AE$62</f>
        <v>5.3248017609730094E-2</v>
      </c>
      <c r="AE99" s="507">
        <f>(1-SUM(AE94,AE95,AE96,AE97))*'2.2 Energy Systems inputs'!AF$62</f>
        <v>5.7971676324945612E-2</v>
      </c>
      <c r="AF99" s="507">
        <f>(1-SUM(AF94,AF95,AF96,AF97))*'2.2 Energy Systems inputs'!AG$62</f>
        <v>6.2654008002784478E-2</v>
      </c>
      <c r="AG99" s="507">
        <f>(1-SUM(AG94,AG95,AG96,AG97))*'2.2 Energy Systems inputs'!AH$62</f>
        <v>6.7385542546413948E-2</v>
      </c>
      <c r="AH99" s="507">
        <f>(1-SUM(AH94,AH95,AH96,AH97))*'2.2 Energy Systems inputs'!AI$62</f>
        <v>7.2247427329824795E-2</v>
      </c>
      <c r="AI99" s="507">
        <f>(1-SUM(AI94,AI95,AI96,AI97))*'2.2 Energy Systems inputs'!AJ$62</f>
        <v>7.7312673677199323E-2</v>
      </c>
      <c r="AJ99" s="507">
        <f>(1-SUM(AJ94,AJ95,AJ96,AJ97))*'2.2 Energy Systems inputs'!AK$62</f>
        <v>8.2647202373375597E-2</v>
      </c>
      <c r="AK99" s="507">
        <f>(1-SUM(AK94,AK95,AK96,AK97))*'2.2 Energy Systems inputs'!AL$62</f>
        <v>8.8310725982527705E-2</v>
      </c>
      <c r="AL99" s="507">
        <f>(1-SUM(AL94,AL95,AL96,AL97))*'2.2 Energy Systems inputs'!AM$62</f>
        <v>9.4357497713084895E-2</v>
      </c>
      <c r="AM99" s="507">
        <f>(1-SUM(AM94,AM95,AM96,AM97))*'2.2 Energy Systems inputs'!AN$62</f>
        <v>0.10083695042315051</v>
      </c>
      <c r="AN99" s="507">
        <f>(1-SUM(AN94,AN95,AN96,AN97))*'2.2 Energy Systems inputs'!AO$62</f>
        <v>0.10779424462501941</v>
      </c>
    </row>
    <row r="100" spans="1:40">
      <c r="B100" t="s">
        <v>211</v>
      </c>
      <c r="D100" t="s">
        <v>452</v>
      </c>
      <c r="E100" s="315">
        <f>(1-SUM(E94,E95,E96,E97))*'2.2 Energy Systems inputs'!F$63</f>
        <v>0</v>
      </c>
      <c r="F100" s="315">
        <f>(1-SUM(F94,F95,F96,F97))*'2.2 Energy Systems inputs'!G$63</f>
        <v>0</v>
      </c>
      <c r="G100" s="315">
        <f>(1-SUM(G94,G95,G96,G97))*'2.2 Energy Systems inputs'!H$63</f>
        <v>0</v>
      </c>
      <c r="H100" s="315">
        <f>(1-SUM(H94,H95,H96,H97))*'2.2 Energy Systems inputs'!I$63</f>
        <v>0</v>
      </c>
      <c r="I100" s="315">
        <f>(1-SUM(I94,I95,I96,I97))*'2.2 Energy Systems inputs'!J$63</f>
        <v>0</v>
      </c>
      <c r="J100" s="315">
        <f>(1-SUM(J94,J95,J96,J97))*'2.2 Energy Systems inputs'!K$63</f>
        <v>0</v>
      </c>
      <c r="K100" s="315">
        <f>(1-SUM(K94,K95,K96,K97))*'2.2 Energy Systems inputs'!L$63</f>
        <v>0</v>
      </c>
      <c r="L100" s="315">
        <f>(1-SUM(L94,L95,L96,L97))*'2.2 Energy Systems inputs'!M$63</f>
        <v>0</v>
      </c>
      <c r="M100" s="315">
        <f>(1-SUM(M94,M95,M96,M97))*'2.2 Energy Systems inputs'!N$63</f>
        <v>0</v>
      </c>
      <c r="N100" s="315">
        <f>(1-SUM(N94,N95,N96,N97))*'2.2 Energy Systems inputs'!O$63</f>
        <v>0</v>
      </c>
      <c r="O100" s="315">
        <f>(1-SUM(O94,O95,O96,O97))*'2.2 Energy Systems inputs'!P$63</f>
        <v>0</v>
      </c>
      <c r="P100" s="315">
        <f>(1-SUM(P94,P95,P96,P97))*'2.2 Energy Systems inputs'!Q$63</f>
        <v>0</v>
      </c>
      <c r="Q100" s="315">
        <f>(1-SUM(Q94,Q95,Q96,Q97))*'2.2 Energy Systems inputs'!R$63</f>
        <v>1.7176833077789174E-3</v>
      </c>
      <c r="R100" s="315">
        <f>(1-SUM(R94,R95,R96,R97))*'2.2 Energy Systems inputs'!S$63</f>
        <v>3.0027303178737455E-3</v>
      </c>
      <c r="S100" s="315">
        <f>(1-SUM(S94,S95,S96,S97))*'2.2 Energy Systems inputs'!T$63</f>
        <v>3.9224703093093003E-3</v>
      </c>
      <c r="T100" s="315">
        <f>(1-SUM(T94,T95,T96,T97))*'2.2 Energy Systems inputs'!U$63</f>
        <v>4.5316837146837105E-3</v>
      </c>
      <c r="U100" s="315">
        <f>(1-SUM(U94,U95,U96,U97))*'2.2 Energy Systems inputs'!V$63</f>
        <v>6.1933833126238003E-3</v>
      </c>
      <c r="V100" s="315">
        <f>(1-SUM(V94,V95,V96,V97))*'2.2 Energy Systems inputs'!W$63</f>
        <v>7.5921953771889922E-3</v>
      </c>
      <c r="W100" s="315">
        <f>(1-SUM(W94,W95,W96,W97))*'2.2 Energy Systems inputs'!X$63</f>
        <v>8.7797675682412066E-3</v>
      </c>
      <c r="X100" s="315">
        <f>(1-SUM(X94,X95,X96,X97))*'2.2 Energy Systems inputs'!Y$63</f>
        <v>9.7997029818165E-3</v>
      </c>
      <c r="Y100" s="315">
        <f>(1-SUM(Y94,Y95,Y96,Y97))*'2.2 Energy Systems inputs'!Z$63</f>
        <v>9.1752392250890359E-3</v>
      </c>
      <c r="Z100" s="315">
        <f>(1-SUM(Z94,Z95,Z96,Z97))*'2.2 Energy Systems inputs'!AA$63</f>
        <v>8.0561671512830221E-3</v>
      </c>
      <c r="AA100" s="315">
        <f>(1-SUM(AA94,AA95,AA96,AA97))*'2.2 Energy Systems inputs'!AB$63</f>
        <v>7.0724544984394301E-3</v>
      </c>
      <c r="AB100" s="315">
        <f>(1-SUM(AB94,AB95,AB96,AB97))*'2.2 Energy Systems inputs'!AC$63</f>
        <v>6.2038875896862373E-3</v>
      </c>
      <c r="AC100" s="315">
        <f>(1-SUM(AC94,AC95,AC96,AC97))*'2.2 Energy Systems inputs'!AD$63</f>
        <v>5.4328531483270907E-3</v>
      </c>
      <c r="AD100" s="315">
        <f>(1-SUM(AD94,AD95,AD96,AD97))*'2.2 Energy Systems inputs'!AE$63</f>
        <v>4.7439142961395895E-3</v>
      </c>
      <c r="AE100" s="315">
        <f>(1-SUM(AE94,AE95,AE96,AE97))*'2.2 Energy Systems inputs'!AF$63</f>
        <v>4.1234692353711317E-3</v>
      </c>
      <c r="AF100" s="315">
        <f>(1-SUM(AF94,AF95,AF96,AF97))*'2.2 Energy Systems inputs'!AG$63</f>
        <v>3.5594740778393495E-3</v>
      </c>
      <c r="AG100" s="315">
        <f>(1-SUM(AG94,AG95,AG96,AG97))*'2.2 Energy Systems inputs'!AH$63</f>
        <v>3.0412159333447343E-3</v>
      </c>
      <c r="AH100" s="315">
        <f>(1-SUM(AH94,AH95,AH96,AH97))*'2.2 Energy Systems inputs'!AI$63</f>
        <v>2.5591257391528299E-3</v>
      </c>
      <c r="AI100" s="315">
        <f>(1-SUM(AI94,AI95,AI96,AI97))*'2.2 Energy Systems inputs'!AJ$63</f>
        <v>2.1046227834348699E-3</v>
      </c>
      <c r="AJ100" s="315">
        <f>(1-SUM(AJ94,AJ95,AJ96,AJ97))*'2.2 Energy Systems inputs'!AK$63</f>
        <v>1.6699847077506821E-3</v>
      </c>
      <c r="AK100" s="315">
        <f>(1-SUM(AK94,AK95,AK96,AK97))*'2.2 Energy Systems inputs'!AL$63</f>
        <v>1.2482381460991892E-3</v>
      </c>
      <c r="AL100" s="315">
        <f>(1-SUM(AL94,AL95,AL96,AL97))*'2.2 Energy Systems inputs'!AM$63</f>
        <v>8.3306619602543409E-4</v>
      </c>
      <c r="AM100" s="315">
        <f>(1-SUM(AM94,AM95,AM96,AM97))*'2.2 Energy Systems inputs'!AN$63</f>
        <v>4.1872970938426867E-4</v>
      </c>
      <c r="AN100" s="315">
        <f>(1-SUM(AN94,AN95,AN96,AN97))*'2.2 Energy Systems inputs'!AO$63</f>
        <v>0</v>
      </c>
    </row>
    <row r="101" spans="1:40">
      <c r="E101" s="315"/>
      <c r="F101" s="315"/>
      <c r="G101" s="315"/>
      <c r="H101" s="315"/>
      <c r="I101" s="315"/>
      <c r="J101" s="315"/>
      <c r="K101" s="315"/>
      <c r="L101" s="315"/>
      <c r="M101" s="315"/>
      <c r="N101" s="315"/>
      <c r="O101" s="315"/>
      <c r="P101" s="315"/>
      <c r="Q101" s="315"/>
      <c r="R101" s="315"/>
      <c r="S101" s="315"/>
      <c r="T101" s="315"/>
      <c r="U101" s="315"/>
      <c r="V101" s="315"/>
      <c r="W101" s="315"/>
      <c r="X101" s="315"/>
      <c r="Y101" s="315"/>
      <c r="Z101" s="315"/>
      <c r="AA101" s="315"/>
      <c r="AB101" s="315"/>
      <c r="AC101" s="315"/>
      <c r="AD101" s="315"/>
      <c r="AE101" s="315"/>
      <c r="AF101" s="315"/>
      <c r="AG101" s="315"/>
      <c r="AH101" s="315"/>
      <c r="AI101" s="315"/>
      <c r="AJ101" s="315"/>
      <c r="AK101" s="315"/>
      <c r="AL101" s="315"/>
      <c r="AM101" s="315"/>
      <c r="AN101" s="315"/>
    </row>
    <row r="102" spans="1:40">
      <c r="E102" s="39"/>
      <c r="F102" s="39"/>
      <c r="G102" s="39"/>
      <c r="H102" s="39"/>
      <c r="I102" s="39"/>
      <c r="J102" s="39"/>
      <c r="K102" s="39"/>
      <c r="L102" s="39"/>
      <c r="M102" s="39"/>
      <c r="N102" s="39"/>
      <c r="O102" s="39"/>
      <c r="P102" s="39"/>
      <c r="Q102" s="39"/>
      <c r="R102" s="39"/>
      <c r="S102" s="39"/>
      <c r="T102" s="39"/>
      <c r="U102" s="39"/>
      <c r="V102" s="39"/>
      <c r="W102" s="39"/>
      <c r="X102" s="39"/>
      <c r="Y102" s="39"/>
      <c r="Z102" s="39"/>
      <c r="AA102" s="39"/>
      <c r="AB102" s="39"/>
      <c r="AC102" s="39"/>
      <c r="AD102" s="39"/>
      <c r="AE102" s="39"/>
      <c r="AF102" s="39"/>
      <c r="AG102" s="39"/>
      <c r="AH102" s="39"/>
      <c r="AI102" s="39"/>
      <c r="AJ102" s="39"/>
      <c r="AK102" s="39"/>
      <c r="AL102" s="39"/>
      <c r="AM102" s="39"/>
      <c r="AN102" s="39"/>
    </row>
    <row r="103" spans="1:40" s="423" customFormat="1">
      <c r="A103" s="423" t="s">
        <v>174</v>
      </c>
    </row>
    <row r="104" spans="1:40">
      <c r="B104" t="s">
        <v>96</v>
      </c>
      <c r="E104" s="316">
        <f t="shared" ref="E104:AN104" si="31">E91+E69</f>
        <v>229090352.97365612</v>
      </c>
      <c r="F104" s="316">
        <f t="shared" si="31"/>
        <v>234373152.27587938</v>
      </c>
      <c r="G104" s="316">
        <f t="shared" si="31"/>
        <v>239775914.14153522</v>
      </c>
      <c r="H104" s="316">
        <f t="shared" si="31"/>
        <v>245284512.13961717</v>
      </c>
      <c r="I104" s="316">
        <f t="shared" si="31"/>
        <v>250884819.83911917</v>
      </c>
      <c r="J104" s="316">
        <f t="shared" si="31"/>
        <v>296422315.76804125</v>
      </c>
      <c r="K104" s="316">
        <f t="shared" si="31"/>
        <v>327505564.44118702</v>
      </c>
      <c r="L104" s="316">
        <f t="shared" si="31"/>
        <v>357358426.95395559</v>
      </c>
      <c r="M104" s="316">
        <f t="shared" si="31"/>
        <v>383620322.01194191</v>
      </c>
      <c r="N104" s="316">
        <f t="shared" si="31"/>
        <v>406414442.01836944</v>
      </c>
      <c r="O104" s="316">
        <f t="shared" si="31"/>
        <v>425527081.81199682</v>
      </c>
      <c r="P104" s="316">
        <f t="shared" si="31"/>
        <v>447227562.35299861</v>
      </c>
      <c r="Q104" s="316">
        <f t="shared" si="31"/>
        <v>463986359.53555262</v>
      </c>
      <c r="R104" s="316">
        <f t="shared" si="31"/>
        <v>476136356.66174263</v>
      </c>
      <c r="S104" s="316">
        <f t="shared" si="31"/>
        <v>484021996.67325175</v>
      </c>
      <c r="T104" s="316">
        <f t="shared" si="31"/>
        <v>487933153.01295769</v>
      </c>
      <c r="U104" s="316">
        <f>U91+U69</f>
        <v>503294997.16817856</v>
      </c>
      <c r="V104" s="316">
        <f t="shared" si="31"/>
        <v>515848424.25648934</v>
      </c>
      <c r="W104" s="316">
        <f t="shared" si="31"/>
        <v>525655009.27663505</v>
      </c>
      <c r="X104" s="316">
        <f t="shared" si="31"/>
        <v>532776135.64832348</v>
      </c>
      <c r="Y104" s="316">
        <f t="shared" si="31"/>
        <v>536878699.02017677</v>
      </c>
      <c r="Z104" s="316">
        <f t="shared" si="31"/>
        <v>538594905.59789038</v>
      </c>
      <c r="AA104" s="316">
        <f t="shared" si="31"/>
        <v>538040266.90701509</v>
      </c>
      <c r="AB104" s="316">
        <f t="shared" si="31"/>
        <v>535340804.29550469</v>
      </c>
      <c r="AC104" s="316">
        <f t="shared" si="31"/>
        <v>530616948.20453119</v>
      </c>
      <c r="AD104" s="316">
        <f t="shared" si="31"/>
        <v>523988644.09242803</v>
      </c>
      <c r="AE104" s="316">
        <f t="shared" si="31"/>
        <v>530336189.29114538</v>
      </c>
      <c r="AF104" s="316">
        <f t="shared" si="31"/>
        <v>535180408.73808688</v>
      </c>
      <c r="AG104" s="316">
        <f t="shared" si="31"/>
        <v>538520059.56011617</v>
      </c>
      <c r="AH104" s="316">
        <f t="shared" si="31"/>
        <v>540353847.36236465</v>
      </c>
      <c r="AI104" s="316">
        <f t="shared" si="31"/>
        <v>540680427.89246786</v>
      </c>
      <c r="AJ104" s="316">
        <f t="shared" si="31"/>
        <v>525503334.33271921</v>
      </c>
      <c r="AK104" s="316">
        <f t="shared" si="31"/>
        <v>509909074.6708799</v>
      </c>
      <c r="AL104" s="316">
        <f t="shared" si="31"/>
        <v>493897135.04696506</v>
      </c>
      <c r="AM104" s="316">
        <f t="shared" si="31"/>
        <v>477467022.18464696</v>
      </c>
      <c r="AN104" s="316">
        <f t="shared" si="31"/>
        <v>460618260.28604203</v>
      </c>
    </row>
    <row r="105" spans="1:40">
      <c r="B105" t="s">
        <v>96</v>
      </c>
      <c r="E105" s="608">
        <f>E104/(E84+E62)</f>
        <v>2.1319097585671885E-2</v>
      </c>
      <c r="F105" s="608">
        <f t="shared" ref="F105:AN105" si="32">F104/(F84+F62)</f>
        <v>2.1757943107101631E-2</v>
      </c>
      <c r="G105" s="608">
        <f t="shared" si="32"/>
        <v>2.2205779996330669E-2</v>
      </c>
      <c r="H105" s="608">
        <f t="shared" si="32"/>
        <v>2.2661238197779394E-2</v>
      </c>
      <c r="I105" s="608">
        <f t="shared" si="32"/>
        <v>2.3172329119080806E-2</v>
      </c>
      <c r="J105" s="608">
        <f t="shared" si="32"/>
        <v>2.7428941734136552E-2</v>
      </c>
      <c r="K105" s="608">
        <f t="shared" si="32"/>
        <v>3.0499185746793913E-2</v>
      </c>
      <c r="L105" s="608">
        <f t="shared" si="32"/>
        <v>3.3646039837366692E-2</v>
      </c>
      <c r="M105" s="608">
        <f t="shared" si="32"/>
        <v>3.703009989000948E-2</v>
      </c>
      <c r="N105" s="608">
        <f t="shared" si="32"/>
        <v>4.0920575234917399E-2</v>
      </c>
      <c r="O105" s="608">
        <f t="shared" si="32"/>
        <v>4.4976192251139871E-2</v>
      </c>
      <c r="P105" s="608">
        <f t="shared" si="32"/>
        <v>5.0078616980348517E-2</v>
      </c>
      <c r="Q105" s="608">
        <f t="shared" si="32"/>
        <v>5.5576960899885244E-2</v>
      </c>
      <c r="R105" s="608">
        <f t="shared" si="32"/>
        <v>6.0130850692961375E-2</v>
      </c>
      <c r="S105" s="608">
        <f t="shared" si="32"/>
        <v>6.5096159832418871E-2</v>
      </c>
      <c r="T105" s="608">
        <f t="shared" si="32"/>
        <v>7.0117362520985799E-2</v>
      </c>
      <c r="U105" s="608">
        <f t="shared" si="32"/>
        <v>7.6727541750872444E-2</v>
      </c>
      <c r="V105" s="608">
        <f t="shared" si="32"/>
        <v>8.2731744762875759E-2</v>
      </c>
      <c r="W105" s="608">
        <f t="shared" si="32"/>
        <v>8.7842697288226884E-2</v>
      </c>
      <c r="X105" s="608">
        <f t="shared" si="32"/>
        <v>9.1780974206205929E-2</v>
      </c>
      <c r="Y105" s="608">
        <f t="shared" si="32"/>
        <v>9.217290139221361E-2</v>
      </c>
      <c r="Z105" s="608">
        <f t="shared" si="32"/>
        <v>9.2153616165676369E-2</v>
      </c>
      <c r="AA105" s="608">
        <f t="shared" si="32"/>
        <v>9.1752563779318952E-2</v>
      </c>
      <c r="AB105" s="608">
        <f t="shared" si="32"/>
        <v>9.0989379703148271E-2</v>
      </c>
      <c r="AC105" s="608">
        <f t="shared" si="32"/>
        <v>8.9888062305626196E-2</v>
      </c>
      <c r="AD105" s="608">
        <f t="shared" si="32"/>
        <v>8.8472217058884833E-2</v>
      </c>
      <c r="AE105" s="608">
        <f t="shared" si="32"/>
        <v>8.9249604996619838E-2</v>
      </c>
      <c r="AF105" s="608">
        <f t="shared" si="32"/>
        <v>8.9769970124548862E-2</v>
      </c>
      <c r="AG105" s="608">
        <f t="shared" si="32"/>
        <v>9.0035625829609459E-2</v>
      </c>
      <c r="AH105" s="608">
        <f t="shared" si="32"/>
        <v>9.0048842851687294E-2</v>
      </c>
      <c r="AI105" s="608">
        <f t="shared" si="32"/>
        <v>8.9811850283697064E-2</v>
      </c>
      <c r="AJ105" s="608">
        <f t="shared" si="32"/>
        <v>8.700961799984798E-2</v>
      </c>
      <c r="AK105" s="608">
        <f t="shared" si="32"/>
        <v>8.4156752250776581E-2</v>
      </c>
      <c r="AL105" s="608">
        <f t="shared" si="32"/>
        <v>8.1253632684632926E-2</v>
      </c>
      <c r="AM105" s="608">
        <f t="shared" si="32"/>
        <v>7.8300636577408073E-2</v>
      </c>
      <c r="AN105" s="608">
        <f t="shared" si="32"/>
        <v>7.5298138366998876E-2</v>
      </c>
    </row>
    <row r="106" spans="1:40">
      <c r="B106" t="s">
        <v>95</v>
      </c>
      <c r="E106" s="309">
        <f>((E84*E94)+(E72*E62))/(E84+E62)</f>
        <v>0</v>
      </c>
      <c r="F106" s="309">
        <f t="shared" ref="F106:AN106" si="33">((F84*F94)+(F72*F62))/(F84+F62)</f>
        <v>0</v>
      </c>
      <c r="G106" s="309">
        <f t="shared" si="33"/>
        <v>0</v>
      </c>
      <c r="H106" s="309">
        <f t="shared" si="33"/>
        <v>0</v>
      </c>
      <c r="I106" s="309">
        <f t="shared" si="33"/>
        <v>0</v>
      </c>
      <c r="J106" s="309">
        <f t="shared" si="33"/>
        <v>9.6520339977126393E-4</v>
      </c>
      <c r="K106" s="309">
        <f t="shared" si="33"/>
        <v>4.1898296931354795E-3</v>
      </c>
      <c r="L106" s="309">
        <f t="shared" si="33"/>
        <v>1.2804690526340633E-2</v>
      </c>
      <c r="M106" s="309">
        <f t="shared" si="33"/>
        <v>2.7529556878208898E-2</v>
      </c>
      <c r="N106" s="309">
        <f t="shared" si="33"/>
        <v>5.2291940978021499E-2</v>
      </c>
      <c r="O106" s="309">
        <f t="shared" si="33"/>
        <v>8.5350232947530802E-2</v>
      </c>
      <c r="P106" s="309">
        <f t="shared" si="33"/>
        <v>0.12977757469993603</v>
      </c>
      <c r="Q106" s="309">
        <f t="shared" si="33"/>
        <v>0.18577196939712173</v>
      </c>
      <c r="R106" s="309">
        <f t="shared" si="33"/>
        <v>0.24316348716710826</v>
      </c>
      <c r="S106" s="309">
        <f t="shared" si="33"/>
        <v>0.29957735085299608</v>
      </c>
      <c r="T106" s="309">
        <f t="shared" si="33"/>
        <v>0.35380537586993061</v>
      </c>
      <c r="U106" s="309">
        <f t="shared" si="33"/>
        <v>0.40544932843044573</v>
      </c>
      <c r="V106" s="309">
        <f t="shared" si="33"/>
        <v>0.45654987106961725</v>
      </c>
      <c r="W106" s="309">
        <f t="shared" si="33"/>
        <v>0.50708138338619602</v>
      </c>
      <c r="X106" s="309">
        <f t="shared" si="33"/>
        <v>0.55705368260611243</v>
      </c>
      <c r="Y106" s="309">
        <f t="shared" si="33"/>
        <v>0.60653178330388635</v>
      </c>
      <c r="Z106" s="309">
        <f t="shared" si="33"/>
        <v>0.65570759558625347</v>
      </c>
      <c r="AA106" s="309">
        <f t="shared" si="33"/>
        <v>0.69249966852807276</v>
      </c>
      <c r="AB106" s="309">
        <f t="shared" si="33"/>
        <v>0.71702997129179114</v>
      </c>
      <c r="AC106" s="309">
        <f t="shared" si="33"/>
        <v>0.7174168232436321</v>
      </c>
      <c r="AD106" s="309">
        <f t="shared" si="33"/>
        <v>0.71782308055622479</v>
      </c>
      <c r="AE106" s="309">
        <f t="shared" si="33"/>
        <v>0.71824722373889538</v>
      </c>
      <c r="AF106" s="309">
        <f t="shared" si="33"/>
        <v>0.71868789856090365</v>
      </c>
      <c r="AG106" s="309">
        <f t="shared" si="33"/>
        <v>0.71914385751837162</v>
      </c>
      <c r="AH106" s="309">
        <f t="shared" si="33"/>
        <v>0.71961394988670146</v>
      </c>
      <c r="AI106" s="309">
        <f t="shared" si="33"/>
        <v>0.72009711285834943</v>
      </c>
      <c r="AJ106" s="309">
        <f t="shared" si="33"/>
        <v>0.72059236363043222</v>
      </c>
      <c r="AK106" s="309">
        <f t="shared" si="33"/>
        <v>0.7210987923256319</v>
      </c>
      <c r="AL106" s="309">
        <f t="shared" si="33"/>
        <v>0.72161555564592339</v>
      </c>
      <c r="AM106" s="309">
        <f t="shared" si="33"/>
        <v>0.72214187117225748</v>
      </c>
      <c r="AN106" s="309">
        <f t="shared" si="33"/>
        <v>0.72267701223489467</v>
      </c>
    </row>
    <row r="107" spans="1:40">
      <c r="B107" t="s">
        <v>220</v>
      </c>
      <c r="E107" s="309">
        <f>((E84*E95)+(E73*E62))/(E84+E62)</f>
        <v>0</v>
      </c>
      <c r="F107" s="309">
        <f t="shared" ref="F107:AN107" si="34">((F84*F95)+(F73*F62))/(F84+F62)</f>
        <v>0</v>
      </c>
      <c r="G107" s="309">
        <f t="shared" si="34"/>
        <v>0</v>
      </c>
      <c r="H107" s="309">
        <f t="shared" si="34"/>
        <v>0</v>
      </c>
      <c r="I107" s="309">
        <f t="shared" si="34"/>
        <v>0</v>
      </c>
      <c r="J107" s="309">
        <f t="shared" si="34"/>
        <v>0</v>
      </c>
      <c r="K107" s="309">
        <f t="shared" si="34"/>
        <v>0</v>
      </c>
      <c r="L107" s="309">
        <f t="shared" si="34"/>
        <v>0</v>
      </c>
      <c r="M107" s="309">
        <f t="shared" si="34"/>
        <v>0</v>
      </c>
      <c r="N107" s="309">
        <f t="shared" si="34"/>
        <v>0</v>
      </c>
      <c r="O107" s="309">
        <f t="shared" si="34"/>
        <v>0</v>
      </c>
      <c r="P107" s="309">
        <f t="shared" si="34"/>
        <v>0</v>
      </c>
      <c r="Q107" s="309">
        <f t="shared" si="34"/>
        <v>0</v>
      </c>
      <c r="R107" s="309">
        <f t="shared" si="34"/>
        <v>0</v>
      </c>
      <c r="S107" s="309">
        <f t="shared" si="34"/>
        <v>0</v>
      </c>
      <c r="T107" s="309">
        <f t="shared" si="34"/>
        <v>0</v>
      </c>
      <c r="U107" s="309">
        <f t="shared" si="34"/>
        <v>0</v>
      </c>
      <c r="V107" s="309">
        <f t="shared" si="34"/>
        <v>0</v>
      </c>
      <c r="W107" s="309">
        <f t="shared" si="34"/>
        <v>0</v>
      </c>
      <c r="X107" s="309">
        <f t="shared" si="34"/>
        <v>0</v>
      </c>
      <c r="Y107" s="309">
        <f t="shared" si="34"/>
        <v>0</v>
      </c>
      <c r="Z107" s="309">
        <f t="shared" si="34"/>
        <v>0</v>
      </c>
      <c r="AA107" s="309">
        <f t="shared" si="34"/>
        <v>0</v>
      </c>
      <c r="AB107" s="309">
        <f t="shared" si="34"/>
        <v>0</v>
      </c>
      <c r="AC107" s="309">
        <f t="shared" si="34"/>
        <v>0</v>
      </c>
      <c r="AD107" s="309">
        <f t="shared" si="34"/>
        <v>0</v>
      </c>
      <c r="AE107" s="309">
        <f t="shared" si="34"/>
        <v>0</v>
      </c>
      <c r="AF107" s="309">
        <f t="shared" si="34"/>
        <v>0</v>
      </c>
      <c r="AG107" s="309">
        <f t="shared" si="34"/>
        <v>0</v>
      </c>
      <c r="AH107" s="309">
        <f t="shared" si="34"/>
        <v>0</v>
      </c>
      <c r="AI107" s="309">
        <f t="shared" si="34"/>
        <v>0</v>
      </c>
      <c r="AJ107" s="309">
        <f t="shared" si="34"/>
        <v>0</v>
      </c>
      <c r="AK107" s="309">
        <f t="shared" si="34"/>
        <v>0</v>
      </c>
      <c r="AL107" s="309">
        <f t="shared" si="34"/>
        <v>0</v>
      </c>
      <c r="AM107" s="309">
        <f t="shared" si="34"/>
        <v>0</v>
      </c>
      <c r="AN107" s="309">
        <f t="shared" si="34"/>
        <v>0</v>
      </c>
    </row>
    <row r="108" spans="1:40">
      <c r="B108" t="s">
        <v>774</v>
      </c>
      <c r="E108" s="309">
        <f>((E84*E98)+(E76*E62))/(E84+E62)</f>
        <v>0.82209195802803559</v>
      </c>
      <c r="F108" s="309">
        <f t="shared" ref="F108:AN108" si="35">((F84*F98)+(F76*F62))/(F84+F62)</f>
        <v>0.82172332779003465</v>
      </c>
      <c r="G108" s="309">
        <f t="shared" si="35"/>
        <v>0.82134714480308224</v>
      </c>
      <c r="H108" s="309">
        <f t="shared" si="35"/>
        <v>0.82096455991386519</v>
      </c>
      <c r="I108" s="309">
        <f t="shared" si="35"/>
        <v>0.82053524353997209</v>
      </c>
      <c r="J108" s="309">
        <f t="shared" si="35"/>
        <v>0.81608599434313989</v>
      </c>
      <c r="K108" s="309">
        <f t="shared" si="35"/>
        <v>0.81062921495041862</v>
      </c>
      <c r="L108" s="309">
        <f t="shared" si="35"/>
        <v>0.80057817823074551</v>
      </c>
      <c r="M108" s="309">
        <f t="shared" si="35"/>
        <v>0.78518889820249949</v>
      </c>
      <c r="N108" s="309">
        <f t="shared" si="35"/>
        <v>0.76093026972665767</v>
      </c>
      <c r="O108" s="309">
        <f t="shared" si="35"/>
        <v>0.72955127870250203</v>
      </c>
      <c r="P108" s="309">
        <f t="shared" si="35"/>
        <v>0.68774481168116164</v>
      </c>
      <c r="Q108" s="309">
        <f t="shared" si="35"/>
        <v>0.63219720067622132</v>
      </c>
      <c r="R108" s="309">
        <f t="shared" si="35"/>
        <v>0.57689149456019351</v>
      </c>
      <c r="S108" s="309">
        <f t="shared" si="35"/>
        <v>0.5226539733816965</v>
      </c>
      <c r="T108" s="309">
        <f t="shared" si="35"/>
        <v>0.47076182772039932</v>
      </c>
      <c r="U108" s="309">
        <f t="shared" si="35"/>
        <v>0.41768053000946642</v>
      </c>
      <c r="V108" s="309">
        <f t="shared" si="35"/>
        <v>0.366487944852258</v>
      </c>
      <c r="W108" s="309">
        <f t="shared" si="35"/>
        <v>0.317401742776102</v>
      </c>
      <c r="X108" s="309">
        <f t="shared" si="35"/>
        <v>0.27059436856483737</v>
      </c>
      <c r="Y108" s="309">
        <f t="shared" si="35"/>
        <v>0.2307496517328361</v>
      </c>
      <c r="Z108" s="309">
        <f t="shared" si="35"/>
        <v>0.17867792571842542</v>
      </c>
      <c r="AA108" s="309">
        <f t="shared" si="35"/>
        <v>0.14105624144250783</v>
      </c>
      <c r="AB108" s="309">
        <f t="shared" si="35"/>
        <v>0.11512776663503113</v>
      </c>
      <c r="AC108" s="309">
        <f t="shared" si="35"/>
        <v>0.10571849118891062</v>
      </c>
      <c r="AD108" s="309">
        <f t="shared" si="35"/>
        <v>9.6412366428088911E-2</v>
      </c>
      <c r="AE108" s="309">
        <f t="shared" si="35"/>
        <v>8.6026255195053927E-2</v>
      </c>
      <c r="AF108" s="309">
        <f t="shared" si="35"/>
        <v>7.5921158515895176E-2</v>
      </c>
      <c r="AG108" s="309">
        <f t="shared" si="35"/>
        <v>6.6053273608900634E-2</v>
      </c>
      <c r="AH108" s="309">
        <f t="shared" si="35"/>
        <v>5.6379064987146219E-2</v>
      </c>
      <c r="AI108" s="309">
        <f t="shared" si="35"/>
        <v>4.6855279554044574E-2</v>
      </c>
      <c r="AJ108" s="309">
        <f t="shared" si="35"/>
        <v>3.7921682039880368E-2</v>
      </c>
      <c r="AK108" s="309">
        <f t="shared" si="35"/>
        <v>2.8781030669957946E-2</v>
      </c>
      <c r="AL108" s="309">
        <f t="shared" si="35"/>
        <v>1.9421669914798524E-2</v>
      </c>
      <c r="AM108" s="309">
        <f t="shared" si="35"/>
        <v>9.8319017594586614E-3</v>
      </c>
      <c r="AN108" s="309">
        <f t="shared" si="35"/>
        <v>0</v>
      </c>
    </row>
    <row r="109" spans="1:40">
      <c r="B109" t="s">
        <v>1200</v>
      </c>
      <c r="E109" s="309">
        <f>((E84*E99)+(E77*E62))/(E84+E62)</f>
        <v>0.15658894438629251</v>
      </c>
      <c r="F109" s="309">
        <f t="shared" ref="F109:AN109" si="36">((F84*F99)+(F77*F62))/(F84+F62)</f>
        <v>0.15651872910286377</v>
      </c>
      <c r="G109" s="309">
        <f t="shared" si="36"/>
        <v>0.15644707520058707</v>
      </c>
      <c r="H109" s="309">
        <f t="shared" si="36"/>
        <v>0.1563742018883553</v>
      </c>
      <c r="I109" s="309">
        <f t="shared" si="36"/>
        <v>0.15629242734094706</v>
      </c>
      <c r="J109" s="309">
        <f t="shared" si="36"/>
        <v>0.15544495130345523</v>
      </c>
      <c r="K109" s="309">
        <f t="shared" si="36"/>
        <v>0.15440556475246064</v>
      </c>
      <c r="L109" s="309">
        <f t="shared" si="36"/>
        <v>0.15249108156776103</v>
      </c>
      <c r="M109" s="309">
        <f t="shared" si="36"/>
        <v>0.14955979013380943</v>
      </c>
      <c r="N109" s="309">
        <f t="shared" si="36"/>
        <v>0.14493909899555385</v>
      </c>
      <c r="O109" s="309">
        <f t="shared" si="36"/>
        <v>0.13896214832428613</v>
      </c>
      <c r="P109" s="309">
        <f t="shared" si="36"/>
        <v>0.13099901174879267</v>
      </c>
      <c r="Q109" s="309">
        <f t="shared" si="36"/>
        <v>0.12113929320911257</v>
      </c>
      <c r="R109" s="309">
        <f t="shared" si="36"/>
        <v>0.11120746301178183</v>
      </c>
      <c r="S109" s="309">
        <f t="shared" si="36"/>
        <v>0.10136245765615214</v>
      </c>
      <c r="T109" s="309">
        <f t="shared" si="36"/>
        <v>9.1855070237441452E-2</v>
      </c>
      <c r="U109" s="309">
        <f t="shared" si="36"/>
        <v>8.2473639343056362E-2</v>
      </c>
      <c r="V109" s="309">
        <f t="shared" si="36"/>
        <v>7.3242291040715862E-2</v>
      </c>
      <c r="W109" s="309">
        <f t="shared" si="36"/>
        <v>6.4210583415108727E-2</v>
      </c>
      <c r="X109" s="309">
        <f t="shared" si="36"/>
        <v>5.5421273643591888E-2</v>
      </c>
      <c r="Y109" s="309">
        <f t="shared" si="36"/>
        <v>4.7260553350299252E-2</v>
      </c>
      <c r="Z109" s="309">
        <f t="shared" si="36"/>
        <v>5.2932894386630319E-2</v>
      </c>
      <c r="AA109" s="309">
        <f t="shared" si="36"/>
        <v>5.6669174158634858E-2</v>
      </c>
      <c r="AB109" s="309">
        <f t="shared" si="36"/>
        <v>6.042291899688014E-2</v>
      </c>
      <c r="AC109" s="309">
        <f t="shared" si="36"/>
        <v>7.0862834479370349E-2</v>
      </c>
      <c r="AD109" s="309">
        <f t="shared" si="36"/>
        <v>8.1454380238784804E-2</v>
      </c>
      <c r="AE109" s="309">
        <f t="shared" si="36"/>
        <v>9.1033074280480353E-2</v>
      </c>
      <c r="AF109" s="309">
        <f t="shared" si="36"/>
        <v>0.10058678835631275</v>
      </c>
      <c r="AG109" s="309">
        <f t="shared" si="36"/>
        <v>0.11016126386386764</v>
      </c>
      <c r="AH109" s="309">
        <f t="shared" si="36"/>
        <v>0.11980190460658315</v>
      </c>
      <c r="AI109" s="309">
        <f t="shared" si="36"/>
        <v>0.12955376835219701</v>
      </c>
      <c r="AJ109" s="309">
        <f t="shared" si="36"/>
        <v>0.14125972188434702</v>
      </c>
      <c r="AK109" s="309">
        <f t="shared" si="36"/>
        <v>0.1532630409460127</v>
      </c>
      <c r="AL109" s="309">
        <f t="shared" si="36"/>
        <v>0.16557644858238377</v>
      </c>
      <c r="AM109" s="309">
        <f t="shared" si="36"/>
        <v>0.17821265861998825</v>
      </c>
      <c r="AN109" s="309">
        <f t="shared" si="36"/>
        <v>0.19118436582412873</v>
      </c>
    </row>
    <row r="110" spans="1:40">
      <c r="B110" t="s">
        <v>211</v>
      </c>
      <c r="E110" s="309">
        <f>((E84*E100)+(E78*E62))/(E84+E62)</f>
        <v>0</v>
      </c>
      <c r="F110" s="309">
        <f t="shared" ref="F110:AN110" si="37">((F84*F100)+(F78*F62))/(F84+F62)</f>
        <v>0</v>
      </c>
      <c r="G110" s="309">
        <f t="shared" si="37"/>
        <v>0</v>
      </c>
      <c r="H110" s="309">
        <f t="shared" si="37"/>
        <v>0</v>
      </c>
      <c r="I110" s="309">
        <f t="shared" si="37"/>
        <v>0</v>
      </c>
      <c r="J110" s="309">
        <f t="shared" si="37"/>
        <v>0</v>
      </c>
      <c r="K110" s="309">
        <f t="shared" si="37"/>
        <v>0</v>
      </c>
      <c r="L110" s="309">
        <f t="shared" si="37"/>
        <v>0</v>
      </c>
      <c r="M110" s="309">
        <f t="shared" si="37"/>
        <v>0</v>
      </c>
      <c r="N110" s="309">
        <f t="shared" si="37"/>
        <v>0</v>
      </c>
      <c r="O110" s="309">
        <f t="shared" si="37"/>
        <v>0</v>
      </c>
      <c r="P110" s="309">
        <f t="shared" si="37"/>
        <v>0</v>
      </c>
      <c r="Q110" s="309">
        <f t="shared" si="37"/>
        <v>3.7840886716196545E-3</v>
      </c>
      <c r="R110" s="309">
        <f t="shared" si="37"/>
        <v>6.947686251661072E-3</v>
      </c>
      <c r="S110" s="309">
        <f t="shared" si="37"/>
        <v>9.4989293131021602E-3</v>
      </c>
      <c r="T110" s="309">
        <f t="shared" si="37"/>
        <v>1.1477291026168313E-2</v>
      </c>
      <c r="U110" s="309">
        <f t="shared" si="37"/>
        <v>1.5306076541579478E-2</v>
      </c>
      <c r="V110" s="309">
        <f t="shared" si="37"/>
        <v>1.803408311150027E-2</v>
      </c>
      <c r="W110" s="309">
        <f t="shared" si="37"/>
        <v>1.9703820153218803E-2</v>
      </c>
      <c r="X110" s="309">
        <f t="shared" si="37"/>
        <v>2.0367318064020017E-2</v>
      </c>
      <c r="Y110" s="309">
        <f t="shared" si="37"/>
        <v>1.7368253356234979E-2</v>
      </c>
      <c r="Z110" s="309">
        <f t="shared" si="37"/>
        <v>1.3448876129343852E-2</v>
      </c>
      <c r="AA110" s="309">
        <f t="shared" si="37"/>
        <v>1.0617136452661881E-2</v>
      </c>
      <c r="AB110" s="309">
        <f t="shared" si="37"/>
        <v>8.6655308219915905E-3</v>
      </c>
      <c r="AC110" s="309">
        <f t="shared" si="37"/>
        <v>7.9573057884126316E-3</v>
      </c>
      <c r="AD110" s="309">
        <f t="shared" si="37"/>
        <v>7.2568447849099185E-3</v>
      </c>
      <c r="AE110" s="309">
        <f t="shared" si="37"/>
        <v>6.4750944770470718E-3</v>
      </c>
      <c r="AF110" s="309">
        <f t="shared" si="37"/>
        <v>5.7144958022716796E-3</v>
      </c>
      <c r="AG110" s="309">
        <f t="shared" si="37"/>
        <v>4.971751777014026E-3</v>
      </c>
      <c r="AH110" s="309">
        <f t="shared" si="37"/>
        <v>4.2435855366669203E-3</v>
      </c>
      <c r="AI110" s="309">
        <f t="shared" si="37"/>
        <v>3.5267414718098073E-3</v>
      </c>
      <c r="AJ110" s="309">
        <f t="shared" si="37"/>
        <v>2.8543201535393826E-3</v>
      </c>
      <c r="AK110" s="309">
        <f t="shared" si="37"/>
        <v>2.1663141364484479E-3</v>
      </c>
      <c r="AL110" s="309">
        <f t="shared" si="37"/>
        <v>1.4618461226192441E-3</v>
      </c>
      <c r="AM110" s="309">
        <f t="shared" si="37"/>
        <v>7.4003561630334017E-4</v>
      </c>
      <c r="AN110" s="309">
        <f t="shared" si="37"/>
        <v>0</v>
      </c>
    </row>
    <row r="111" spans="1:40">
      <c r="B111" t="s">
        <v>842</v>
      </c>
      <c r="E111" s="309">
        <f>((E84*E97)+(E75*E62))/(E84+E62)</f>
        <v>0</v>
      </c>
      <c r="F111" s="309">
        <f t="shared" ref="F111:AN111" si="38">((F84*F97)+(F75*F62))/(F84+F62)</f>
        <v>0</v>
      </c>
      <c r="G111" s="309">
        <f t="shared" si="38"/>
        <v>0</v>
      </c>
      <c r="H111" s="309">
        <f t="shared" si="38"/>
        <v>0</v>
      </c>
      <c r="I111" s="309">
        <f t="shared" si="38"/>
        <v>0</v>
      </c>
      <c r="J111" s="309">
        <f t="shared" si="38"/>
        <v>7.4909219496988819E-5</v>
      </c>
      <c r="K111" s="309">
        <f t="shared" si="38"/>
        <v>2.7620485719147004E-4</v>
      </c>
      <c r="L111" s="309">
        <f t="shared" si="38"/>
        <v>4.8000983778618986E-4</v>
      </c>
      <c r="M111" s="309">
        <f t="shared" si="38"/>
        <v>6.9165489547265934E-4</v>
      </c>
      <c r="N111" s="309">
        <f t="shared" si="38"/>
        <v>9.1811506484954625E-4</v>
      </c>
      <c r="O111" s="309">
        <f t="shared" si="38"/>
        <v>1.160147774541039E-3</v>
      </c>
      <c r="P111" s="309">
        <f t="shared" si="38"/>
        <v>1.3999848897611189E-3</v>
      </c>
      <c r="Q111" s="309">
        <f t="shared" si="38"/>
        <v>1.5304871460395241E-3</v>
      </c>
      <c r="R111" s="309">
        <f t="shared" si="38"/>
        <v>1.659018316293899E-3</v>
      </c>
      <c r="S111" s="309">
        <f t="shared" si="38"/>
        <v>1.8111289636340954E-3</v>
      </c>
      <c r="T111" s="309">
        <f t="shared" si="38"/>
        <v>1.983072625074436E-3</v>
      </c>
      <c r="U111" s="309">
        <f t="shared" si="38"/>
        <v>2.3628839245794647E-3</v>
      </c>
      <c r="V111" s="309">
        <f t="shared" si="38"/>
        <v>2.954065163032856E-3</v>
      </c>
      <c r="W111" s="309">
        <f t="shared" si="38"/>
        <v>3.7597729811474482E-3</v>
      </c>
      <c r="X111" s="309">
        <f t="shared" si="38"/>
        <v>4.7823829152323465E-3</v>
      </c>
      <c r="Y111" s="309">
        <f t="shared" si="38"/>
        <v>5.9168568645296968E-3</v>
      </c>
      <c r="Z111" s="309">
        <f t="shared" si="38"/>
        <v>7.0790920136705867E-3</v>
      </c>
      <c r="AA111" s="309">
        <f t="shared" si="38"/>
        <v>7.4052156388037726E-3</v>
      </c>
      <c r="AB111" s="309">
        <f t="shared" si="38"/>
        <v>7.7644325511577487E-3</v>
      </c>
      <c r="AC111" s="309">
        <f t="shared" si="38"/>
        <v>8.1564829940481143E-3</v>
      </c>
      <c r="AD111" s="309">
        <f t="shared" si="38"/>
        <v>8.5811109331066851E-3</v>
      </c>
      <c r="AE111" s="309">
        <f t="shared" si="38"/>
        <v>8.9687473119033547E-3</v>
      </c>
      <c r="AF111" s="309">
        <f t="shared" si="38"/>
        <v>9.3196886400679132E-3</v>
      </c>
      <c r="AG111" s="309">
        <f t="shared" si="38"/>
        <v>9.6342274022365015E-3</v>
      </c>
      <c r="AH111" s="309">
        <f t="shared" si="38"/>
        <v>9.912652131214927E-3</v>
      </c>
      <c r="AI111" s="309">
        <f t="shared" si="38"/>
        <v>1.0155247479902098E-2</v>
      </c>
      <c r="AJ111" s="309">
        <f t="shared" si="38"/>
        <v>1.0362294291952925E-2</v>
      </c>
      <c r="AK111" s="309">
        <f t="shared" si="38"/>
        <v>1.0534069671172522E-2</v>
      </c>
      <c r="AL111" s="309">
        <f t="shared" si="38"/>
        <v>1.0670847049642178E-2</v>
      </c>
      <c r="AM111" s="309">
        <f t="shared" si="38"/>
        <v>1.0772896254584214E-2</v>
      </c>
      <c r="AN111" s="309">
        <f t="shared" si="38"/>
        <v>1.0840483573977631E-2</v>
      </c>
    </row>
    <row r="113" spans="5:40">
      <c r="E113" s="184"/>
      <c r="F113" s="184"/>
      <c r="G113" s="184"/>
      <c r="H113" s="184"/>
      <c r="I113" s="184"/>
      <c r="J113" s="184"/>
      <c r="K113" s="184"/>
      <c r="L113" s="184"/>
      <c r="M113" s="184"/>
      <c r="N113" s="184"/>
      <c r="O113" s="184"/>
      <c r="P113" s="184"/>
      <c r="Q113" s="184"/>
      <c r="R113" s="184"/>
      <c r="S113" s="184"/>
      <c r="T113" s="184"/>
      <c r="U113" s="184"/>
      <c r="V113" s="184"/>
      <c r="W113" s="184"/>
      <c r="X113" s="184"/>
      <c r="Y113" s="184"/>
      <c r="Z113" s="184"/>
      <c r="AA113" s="184"/>
      <c r="AB113" s="184"/>
      <c r="AC113" s="184"/>
      <c r="AD113" s="184"/>
      <c r="AE113" s="184"/>
      <c r="AF113" s="184"/>
      <c r="AG113" s="184"/>
      <c r="AH113" s="184"/>
      <c r="AI113" s="184"/>
      <c r="AJ113" s="184"/>
      <c r="AK113" s="184"/>
      <c r="AL113" s="184"/>
      <c r="AM113" s="184"/>
      <c r="AN113" s="184"/>
    </row>
  </sheetData>
  <mergeCells count="1">
    <mergeCell ref="E1:I4"/>
  </mergeCells>
  <pageMargins left="0.7" right="0.7" top="0.75" bottom="0.75" header="0.3" footer="0.3"/>
  <pageSetup paperSize="9" orientation="portrait" r:id="rId1"/>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8">
    <tabColor theme="4"/>
  </sheetPr>
  <dimension ref="A2:AW154"/>
  <sheetViews>
    <sheetView topLeftCell="A49" zoomScale="80" zoomScaleNormal="80" workbookViewId="0">
      <selection activeCell="K56" sqref="K56:K58"/>
    </sheetView>
  </sheetViews>
  <sheetFormatPr defaultColWidth="9.140625" defaultRowHeight="15"/>
  <cols>
    <col min="1" max="1" width="9" customWidth="1"/>
    <col min="2" max="2" width="39.85546875" bestFit="1" customWidth="1"/>
    <col min="3" max="9" width="9"/>
    <col min="10" max="10" width="10.140625" bestFit="1" customWidth="1"/>
    <col min="11" max="11" width="20.140625" bestFit="1" customWidth="1"/>
    <col min="12" max="12" width="17.42578125" customWidth="1"/>
    <col min="13" max="15" width="19" bestFit="1" customWidth="1"/>
    <col min="16" max="16" width="18.5703125" customWidth="1"/>
    <col min="17" max="17" width="19" bestFit="1" customWidth="1"/>
    <col min="18" max="18" width="18.5703125" customWidth="1"/>
    <col min="19" max="19" width="19" bestFit="1" customWidth="1"/>
    <col min="20" max="20" width="18.5703125" customWidth="1"/>
    <col min="21" max="21" width="18.5703125" bestFit="1" customWidth="1"/>
    <col min="22" max="23" width="18.5703125" customWidth="1"/>
    <col min="24" max="24" width="18.140625" customWidth="1"/>
    <col min="25" max="27" width="18.5703125" customWidth="1"/>
    <col min="28" max="28" width="18.140625" customWidth="1"/>
    <col min="29" max="34" width="18.5703125" customWidth="1"/>
    <col min="35" max="35" width="18.140625" customWidth="1"/>
    <col min="36" max="41" width="18.5703125" customWidth="1"/>
    <col min="42" max="42" width="18.140625" customWidth="1"/>
    <col min="43" max="44" width="18.5703125" customWidth="1"/>
    <col min="45" max="45" width="19.5703125" customWidth="1"/>
    <col min="46" max="46" width="21" customWidth="1"/>
    <col min="47" max="47" width="14.42578125" bestFit="1" customWidth="1"/>
    <col min="48" max="48" width="15.5703125" customWidth="1"/>
    <col min="49" max="49" width="16.42578125" customWidth="1"/>
  </cols>
  <sheetData>
    <row r="2" spans="1:46" s="35" customFormat="1"/>
    <row r="3" spans="1:46" s="35" customFormat="1">
      <c r="B3" s="35" t="s">
        <v>178</v>
      </c>
      <c r="C3" s="35" t="s">
        <v>179</v>
      </c>
      <c r="E3" s="35" t="s">
        <v>180</v>
      </c>
      <c r="G3" s="35" t="s">
        <v>718</v>
      </c>
      <c r="I3" s="35" t="s">
        <v>719</v>
      </c>
      <c r="K3" s="150">
        <v>2015</v>
      </c>
      <c r="L3" s="35">
        <v>2016</v>
      </c>
      <c r="M3" s="35">
        <v>2017</v>
      </c>
      <c r="N3" s="35">
        <v>2018</v>
      </c>
      <c r="O3" s="35">
        <v>2019</v>
      </c>
      <c r="P3" s="35">
        <v>2020</v>
      </c>
      <c r="Q3" s="35">
        <v>2021</v>
      </c>
      <c r="R3" s="35">
        <v>2022</v>
      </c>
      <c r="S3" s="35">
        <v>2023</v>
      </c>
      <c r="T3" s="35">
        <v>2024</v>
      </c>
      <c r="U3" s="150">
        <v>2025</v>
      </c>
      <c r="V3" s="35">
        <v>2026</v>
      </c>
      <c r="W3" s="35">
        <v>2027</v>
      </c>
      <c r="X3" s="35">
        <v>2028</v>
      </c>
      <c r="Y3" s="35">
        <v>2029</v>
      </c>
      <c r="Z3" s="35">
        <v>2030</v>
      </c>
      <c r="AA3" s="35">
        <v>2031</v>
      </c>
      <c r="AB3" s="35">
        <v>2032</v>
      </c>
      <c r="AC3" s="35">
        <v>2033</v>
      </c>
      <c r="AD3" s="35">
        <v>2034</v>
      </c>
      <c r="AE3" s="35">
        <v>2035</v>
      </c>
      <c r="AF3" s="35">
        <v>2036</v>
      </c>
      <c r="AG3" s="35">
        <v>2037</v>
      </c>
      <c r="AH3" s="35">
        <v>2038</v>
      </c>
      <c r="AI3" s="35">
        <v>2039</v>
      </c>
      <c r="AJ3" s="35">
        <v>2040</v>
      </c>
      <c r="AK3" s="35">
        <v>2041</v>
      </c>
      <c r="AL3" s="35">
        <v>2042</v>
      </c>
      <c r="AM3" s="35">
        <v>2043</v>
      </c>
      <c r="AN3" s="35">
        <v>2044</v>
      </c>
      <c r="AO3" s="35">
        <v>2045</v>
      </c>
      <c r="AP3" s="35">
        <v>2046</v>
      </c>
      <c r="AQ3" s="35">
        <v>2047</v>
      </c>
      <c r="AR3" s="35">
        <v>2048</v>
      </c>
      <c r="AS3" s="35">
        <v>2049</v>
      </c>
      <c r="AT3" s="150">
        <v>2050</v>
      </c>
    </row>
    <row r="5" spans="1:46" s="168" customFormat="1">
      <c r="A5" s="42" t="s">
        <v>1272</v>
      </c>
      <c r="B5" s="42"/>
      <c r="C5" s="42"/>
      <c r="D5" s="42"/>
      <c r="E5" s="42"/>
      <c r="F5" s="42"/>
      <c r="G5" s="42"/>
      <c r="H5" s="42"/>
      <c r="I5" s="42"/>
      <c r="J5" s="42"/>
      <c r="K5" s="42"/>
      <c r="L5" s="42"/>
      <c r="M5" s="42"/>
      <c r="N5" s="42"/>
      <c r="O5" s="42"/>
      <c r="P5" s="42"/>
      <c r="Q5" s="42"/>
      <c r="R5" s="42"/>
      <c r="S5" s="42"/>
      <c r="T5" s="42"/>
      <c r="U5" s="42"/>
      <c r="V5" s="42"/>
      <c r="W5" s="42"/>
      <c r="X5" s="42"/>
      <c r="Y5" s="42"/>
      <c r="Z5" s="42"/>
      <c r="AA5" s="42"/>
      <c r="AB5" s="42"/>
      <c r="AC5" s="42"/>
      <c r="AD5" s="42"/>
      <c r="AE5" s="42"/>
      <c r="AF5" s="42"/>
      <c r="AG5" s="42"/>
      <c r="AH5" s="42"/>
      <c r="AI5" s="42"/>
      <c r="AJ5" s="42"/>
      <c r="AK5" s="42"/>
      <c r="AL5" s="42"/>
      <c r="AM5" s="42"/>
      <c r="AN5" s="42"/>
      <c r="AO5" s="42"/>
      <c r="AP5" s="42"/>
      <c r="AQ5" s="42"/>
      <c r="AR5" s="42"/>
      <c r="AS5" s="42"/>
      <c r="AT5" s="42"/>
    </row>
    <row r="7" spans="1:46">
      <c r="B7" t="s">
        <v>1273</v>
      </c>
      <c r="C7" s="44" t="s">
        <v>452</v>
      </c>
      <c r="E7" s="44" t="s">
        <v>1274</v>
      </c>
      <c r="G7" s="44" t="s">
        <v>1275</v>
      </c>
      <c r="H7" t="s">
        <v>693</v>
      </c>
      <c r="I7" s="44" t="s">
        <v>56</v>
      </c>
      <c r="K7" s="151">
        <v>0.08</v>
      </c>
      <c r="L7" s="151">
        <v>0.08</v>
      </c>
      <c r="M7" s="151">
        <v>0.08</v>
      </c>
      <c r="N7" s="151">
        <v>0.08</v>
      </c>
      <c r="O7" s="151">
        <v>0.08</v>
      </c>
      <c r="P7" s="151">
        <v>0.08</v>
      </c>
      <c r="Q7" s="151">
        <v>0.08</v>
      </c>
      <c r="R7" s="151">
        <v>0.08</v>
      </c>
      <c r="S7" s="151">
        <v>0.08</v>
      </c>
      <c r="T7" s="151">
        <v>0.08</v>
      </c>
      <c r="U7" s="151">
        <v>0.08</v>
      </c>
      <c r="V7" s="151">
        <v>0.08</v>
      </c>
      <c r="W7" s="151">
        <v>0.08</v>
      </c>
      <c r="X7" s="151">
        <v>0.08</v>
      </c>
      <c r="Y7" s="151">
        <v>0.08</v>
      </c>
      <c r="Z7" s="151">
        <v>0.08</v>
      </c>
      <c r="AA7" s="151">
        <v>0.08</v>
      </c>
      <c r="AB7" s="151">
        <v>0.08</v>
      </c>
      <c r="AC7" s="151">
        <v>0.08</v>
      </c>
      <c r="AD7" s="151">
        <v>0.08</v>
      </c>
      <c r="AE7" s="151">
        <v>0.08</v>
      </c>
      <c r="AF7" s="151">
        <v>0.08</v>
      </c>
      <c r="AG7" s="151">
        <v>0.08</v>
      </c>
      <c r="AH7" s="151">
        <v>0.08</v>
      </c>
      <c r="AI7" s="151">
        <v>0.08</v>
      </c>
      <c r="AJ7" s="151">
        <v>0.08</v>
      </c>
      <c r="AK7" s="151">
        <v>0.08</v>
      </c>
      <c r="AL7" s="151">
        <v>0.08</v>
      </c>
      <c r="AM7" s="151">
        <v>0.08</v>
      </c>
      <c r="AN7" s="151">
        <v>0.08</v>
      </c>
      <c r="AO7" s="151">
        <v>0.08</v>
      </c>
      <c r="AP7" s="151">
        <v>0.08</v>
      </c>
      <c r="AQ7" s="151">
        <v>0.08</v>
      </c>
      <c r="AR7" s="151">
        <v>0.08</v>
      </c>
      <c r="AS7" s="151">
        <v>0.08</v>
      </c>
      <c r="AT7" s="151">
        <v>0.08</v>
      </c>
    </row>
    <row r="8" spans="1:46">
      <c r="B8" t="s">
        <v>1276</v>
      </c>
      <c r="C8" s="44" t="s">
        <v>452</v>
      </c>
      <c r="E8" s="44" t="s">
        <v>1274</v>
      </c>
      <c r="G8" s="44" t="s">
        <v>1277</v>
      </c>
      <c r="H8" t="s">
        <v>693</v>
      </c>
      <c r="I8" s="44" t="s">
        <v>56</v>
      </c>
      <c r="K8" s="151">
        <v>0.02</v>
      </c>
      <c r="L8" s="151">
        <v>0.02</v>
      </c>
      <c r="M8" s="151">
        <v>0.02</v>
      </c>
      <c r="N8" s="151">
        <v>0.02</v>
      </c>
      <c r="O8" s="151">
        <v>0.02</v>
      </c>
      <c r="P8" s="151">
        <v>0.02</v>
      </c>
      <c r="Q8" s="151">
        <v>0.02</v>
      </c>
      <c r="R8" s="151">
        <v>0.02</v>
      </c>
      <c r="S8" s="151">
        <v>0.02</v>
      </c>
      <c r="T8" s="151">
        <v>0.02</v>
      </c>
      <c r="U8" s="151">
        <v>0.02</v>
      </c>
      <c r="V8" s="151">
        <v>0.02</v>
      </c>
      <c r="W8" s="151">
        <v>0.02</v>
      </c>
      <c r="X8" s="151">
        <v>0.02</v>
      </c>
      <c r="Y8" s="151">
        <v>0.02</v>
      </c>
      <c r="Z8" s="151">
        <v>0.02</v>
      </c>
      <c r="AA8" s="151">
        <v>0.02</v>
      </c>
      <c r="AB8" s="151">
        <v>0.02</v>
      </c>
      <c r="AC8" s="151">
        <v>0.02</v>
      </c>
      <c r="AD8" s="151">
        <v>0.02</v>
      </c>
      <c r="AE8" s="151">
        <v>0.02</v>
      </c>
      <c r="AF8" s="151">
        <v>0.02</v>
      </c>
      <c r="AG8" s="151">
        <v>0.02</v>
      </c>
      <c r="AH8" s="151">
        <v>0.02</v>
      </c>
      <c r="AI8" s="151">
        <v>0.02</v>
      </c>
      <c r="AJ8" s="151">
        <v>0.02</v>
      </c>
      <c r="AK8" s="151">
        <v>0.02</v>
      </c>
      <c r="AL8" s="151">
        <v>0.02</v>
      </c>
      <c r="AM8" s="151">
        <v>0.02</v>
      </c>
      <c r="AN8" s="151">
        <v>0.02</v>
      </c>
      <c r="AO8" s="151">
        <v>0.02</v>
      </c>
      <c r="AP8" s="151">
        <v>0.02</v>
      </c>
      <c r="AQ8" s="151">
        <v>0.02</v>
      </c>
      <c r="AR8" s="151">
        <v>0.02</v>
      </c>
      <c r="AS8" s="151">
        <v>0.02</v>
      </c>
      <c r="AT8" s="151">
        <v>0.02</v>
      </c>
    </row>
    <row r="10" spans="1:46" s="168" customFormat="1">
      <c r="A10" s="42" t="s">
        <v>1278</v>
      </c>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row>
    <row r="12" spans="1:46" s="72" customFormat="1">
      <c r="A12" s="43" t="s">
        <v>1279</v>
      </c>
      <c r="B12" s="43"/>
      <c r="C12" s="43"/>
      <c r="D12" s="43"/>
      <c r="E12" s="43"/>
      <c r="F12" s="43"/>
      <c r="G12" s="43"/>
      <c r="H12" s="43"/>
      <c r="I12" s="43"/>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row r="14" spans="1:46">
      <c r="B14" t="s">
        <v>1280</v>
      </c>
      <c r="C14" s="44" t="s">
        <v>1281</v>
      </c>
      <c r="E14" s="44"/>
      <c r="G14" s="44"/>
      <c r="I14" s="44" t="s">
        <v>56</v>
      </c>
      <c r="K14" s="152">
        <v>9</v>
      </c>
      <c r="L14" s="152">
        <v>9</v>
      </c>
      <c r="M14" s="152">
        <v>9</v>
      </c>
      <c r="N14" s="152">
        <v>9</v>
      </c>
      <c r="O14" s="152">
        <v>9</v>
      </c>
      <c r="P14" s="152">
        <v>9</v>
      </c>
      <c r="Q14" s="152">
        <v>9</v>
      </c>
      <c r="R14" s="152">
        <v>9</v>
      </c>
      <c r="S14" s="152">
        <v>9</v>
      </c>
      <c r="T14" s="152">
        <v>9</v>
      </c>
      <c r="U14" s="152">
        <v>9</v>
      </c>
      <c r="V14" s="152">
        <v>9</v>
      </c>
      <c r="W14" s="152">
        <v>9</v>
      </c>
      <c r="X14" s="152">
        <v>9</v>
      </c>
      <c r="Y14" s="152">
        <v>9</v>
      </c>
      <c r="Z14" s="152">
        <v>9</v>
      </c>
      <c r="AA14" s="152">
        <v>9</v>
      </c>
      <c r="AB14" s="152">
        <v>9</v>
      </c>
      <c r="AC14" s="152">
        <v>9</v>
      </c>
      <c r="AD14" s="152">
        <v>9</v>
      </c>
      <c r="AE14" s="152">
        <v>9</v>
      </c>
      <c r="AF14" s="152">
        <v>9</v>
      </c>
      <c r="AG14" s="152">
        <v>9</v>
      </c>
      <c r="AH14" s="152">
        <v>9</v>
      </c>
      <c r="AI14" s="152">
        <v>9</v>
      </c>
      <c r="AJ14" s="152">
        <v>9</v>
      </c>
      <c r="AK14" s="152">
        <v>9</v>
      </c>
      <c r="AL14" s="152">
        <v>9</v>
      </c>
      <c r="AM14" s="152">
        <v>9</v>
      </c>
      <c r="AN14" s="152">
        <v>9</v>
      </c>
      <c r="AO14" s="152">
        <v>9</v>
      </c>
      <c r="AP14" s="152">
        <v>9</v>
      </c>
      <c r="AQ14" s="152">
        <v>9</v>
      </c>
      <c r="AR14" s="152">
        <v>9</v>
      </c>
      <c r="AS14" s="152">
        <v>9</v>
      </c>
      <c r="AT14" s="152">
        <v>9</v>
      </c>
    </row>
    <row r="15" spans="1:46">
      <c r="B15" t="s">
        <v>1282</v>
      </c>
      <c r="C15" s="44" t="s">
        <v>452</v>
      </c>
      <c r="E15" s="44"/>
      <c r="G15" s="44"/>
      <c r="I15" s="44" t="s">
        <v>56</v>
      </c>
      <c r="K15" s="153">
        <v>0.46</v>
      </c>
      <c r="L15" s="153">
        <v>0.46</v>
      </c>
      <c r="M15" s="153">
        <v>0.46</v>
      </c>
      <c r="N15" s="153">
        <v>0.46</v>
      </c>
      <c r="O15" s="153">
        <v>0.46</v>
      </c>
      <c r="P15" s="153">
        <v>0.46</v>
      </c>
      <c r="Q15" s="153">
        <v>0.46</v>
      </c>
      <c r="R15" s="153">
        <v>0.46</v>
      </c>
      <c r="S15" s="153">
        <v>0.46</v>
      </c>
      <c r="T15" s="153">
        <v>0.46</v>
      </c>
      <c r="U15" s="153">
        <v>0.46</v>
      </c>
      <c r="V15" s="153">
        <v>0.46</v>
      </c>
      <c r="W15" s="153">
        <v>0.46</v>
      </c>
      <c r="X15" s="153">
        <v>0.46</v>
      </c>
      <c r="Y15" s="153">
        <v>0.46</v>
      </c>
      <c r="Z15" s="153">
        <v>0.46</v>
      </c>
      <c r="AA15" s="153">
        <v>0.46</v>
      </c>
      <c r="AB15" s="153">
        <v>0.46</v>
      </c>
      <c r="AC15" s="153">
        <v>0.46</v>
      </c>
      <c r="AD15" s="153">
        <v>0.46</v>
      </c>
      <c r="AE15" s="153">
        <v>0.46</v>
      </c>
      <c r="AF15" s="153">
        <v>0.46</v>
      </c>
      <c r="AG15" s="153">
        <v>0.46</v>
      </c>
      <c r="AH15" s="153">
        <v>0.46</v>
      </c>
      <c r="AI15" s="153">
        <v>0.46</v>
      </c>
      <c r="AJ15" s="153">
        <v>0.46</v>
      </c>
      <c r="AK15" s="153">
        <v>0.46</v>
      </c>
      <c r="AL15" s="153">
        <v>0.46</v>
      </c>
      <c r="AM15" s="153">
        <v>0.46</v>
      </c>
      <c r="AN15" s="153">
        <v>0.46</v>
      </c>
      <c r="AO15" s="153">
        <v>0.46</v>
      </c>
      <c r="AP15" s="153">
        <v>0.46</v>
      </c>
      <c r="AQ15" s="153">
        <v>0.46</v>
      </c>
      <c r="AR15" s="153">
        <v>0.46</v>
      </c>
      <c r="AS15" s="153">
        <v>0.46</v>
      </c>
      <c r="AT15" s="153">
        <v>0.46</v>
      </c>
    </row>
    <row r="16" spans="1:46">
      <c r="B16" t="s">
        <v>1283</v>
      </c>
      <c r="C16" s="44" t="s">
        <v>452</v>
      </c>
      <c r="E16" s="44"/>
      <c r="G16" s="44"/>
      <c r="I16" s="44" t="s">
        <v>56</v>
      </c>
      <c r="K16" s="153">
        <v>0.38</v>
      </c>
      <c r="L16" s="153">
        <v>0.38</v>
      </c>
      <c r="M16" s="153">
        <v>0.38</v>
      </c>
      <c r="N16" s="153">
        <v>0.38</v>
      </c>
      <c r="O16" s="153">
        <v>0.38</v>
      </c>
      <c r="P16" s="153">
        <v>0.38</v>
      </c>
      <c r="Q16" s="153">
        <v>0.38</v>
      </c>
      <c r="R16" s="153">
        <v>0.38</v>
      </c>
      <c r="S16" s="153">
        <v>0.38</v>
      </c>
      <c r="T16" s="153">
        <v>0.38</v>
      </c>
      <c r="U16" s="153">
        <v>0.38</v>
      </c>
      <c r="V16" s="153">
        <v>0.38</v>
      </c>
      <c r="W16" s="153">
        <v>0.38</v>
      </c>
      <c r="X16" s="153">
        <v>0.38</v>
      </c>
      <c r="Y16" s="153">
        <v>0.38</v>
      </c>
      <c r="Z16" s="153">
        <v>0.38</v>
      </c>
      <c r="AA16" s="153">
        <v>0.38</v>
      </c>
      <c r="AB16" s="153">
        <v>0.38</v>
      </c>
      <c r="AC16" s="153">
        <v>0.38</v>
      </c>
      <c r="AD16" s="153">
        <v>0.38</v>
      </c>
      <c r="AE16" s="153">
        <v>0.38</v>
      </c>
      <c r="AF16" s="153">
        <v>0.38</v>
      </c>
      <c r="AG16" s="153">
        <v>0.38</v>
      </c>
      <c r="AH16" s="153">
        <v>0.38</v>
      </c>
      <c r="AI16" s="153">
        <v>0.38</v>
      </c>
      <c r="AJ16" s="153">
        <v>0.38</v>
      </c>
      <c r="AK16" s="153">
        <v>0.38</v>
      </c>
      <c r="AL16" s="153">
        <v>0.38</v>
      </c>
      <c r="AM16" s="153">
        <v>0.38</v>
      </c>
      <c r="AN16" s="153">
        <v>0.38</v>
      </c>
      <c r="AO16" s="153">
        <v>0.38</v>
      </c>
      <c r="AP16" s="153">
        <v>0.38</v>
      </c>
      <c r="AQ16" s="153">
        <v>0.38</v>
      </c>
      <c r="AR16" s="153">
        <v>0.38</v>
      </c>
      <c r="AS16" s="153">
        <v>0.38</v>
      </c>
      <c r="AT16" s="153">
        <v>0.38</v>
      </c>
    </row>
    <row r="17" spans="1:46">
      <c r="B17" t="s">
        <v>1284</v>
      </c>
      <c r="C17" s="44" t="s">
        <v>452</v>
      </c>
      <c r="E17" s="44"/>
      <c r="G17" s="44"/>
      <c r="I17" s="44" t="s">
        <v>56</v>
      </c>
      <c r="K17" s="151">
        <v>6</v>
      </c>
      <c r="L17" s="151">
        <v>6</v>
      </c>
      <c r="M17" s="151">
        <v>6</v>
      </c>
      <c r="N17" s="151">
        <v>6</v>
      </c>
      <c r="O17" s="151">
        <v>6</v>
      </c>
      <c r="P17" s="151">
        <v>6</v>
      </c>
      <c r="Q17" s="151">
        <v>6</v>
      </c>
      <c r="R17" s="151">
        <v>6</v>
      </c>
      <c r="S17" s="151">
        <v>6</v>
      </c>
      <c r="T17" s="151">
        <v>6</v>
      </c>
      <c r="U17" s="151">
        <v>6</v>
      </c>
      <c r="V17" s="151">
        <v>6</v>
      </c>
      <c r="W17" s="151">
        <v>6</v>
      </c>
      <c r="X17" s="151">
        <v>6</v>
      </c>
      <c r="Y17" s="151">
        <v>6</v>
      </c>
      <c r="Z17" s="151">
        <v>6</v>
      </c>
      <c r="AA17" s="151">
        <v>6</v>
      </c>
      <c r="AB17" s="151">
        <v>6</v>
      </c>
      <c r="AC17" s="151">
        <v>6</v>
      </c>
      <c r="AD17" s="151">
        <v>6</v>
      </c>
      <c r="AE17" s="151">
        <v>6</v>
      </c>
      <c r="AF17" s="151">
        <v>6</v>
      </c>
      <c r="AG17" s="151">
        <v>6</v>
      </c>
      <c r="AH17" s="151">
        <v>6</v>
      </c>
      <c r="AI17" s="151">
        <v>6</v>
      </c>
      <c r="AJ17" s="151">
        <v>6</v>
      </c>
      <c r="AK17" s="151">
        <v>6</v>
      </c>
      <c r="AL17" s="151">
        <v>6</v>
      </c>
      <c r="AM17" s="151">
        <v>6</v>
      </c>
      <c r="AN17" s="151">
        <v>6</v>
      </c>
      <c r="AO17" s="151">
        <v>6</v>
      </c>
      <c r="AP17" s="151">
        <v>6</v>
      </c>
      <c r="AQ17" s="151">
        <v>6</v>
      </c>
      <c r="AR17" s="151">
        <v>6</v>
      </c>
      <c r="AS17" s="151">
        <v>6</v>
      </c>
      <c r="AT17" s="151">
        <v>6</v>
      </c>
    </row>
    <row r="18" spans="1:46">
      <c r="B18" t="s">
        <v>1285</v>
      </c>
      <c r="C18" s="44" t="s">
        <v>452</v>
      </c>
      <c r="E18" s="44"/>
      <c r="G18" s="44"/>
      <c r="I18" s="44" t="s">
        <v>56</v>
      </c>
      <c r="K18" s="151">
        <v>0.48</v>
      </c>
      <c r="L18" s="151">
        <v>0.48</v>
      </c>
      <c r="M18" s="151">
        <v>0.48</v>
      </c>
      <c r="N18" s="151">
        <v>0.48</v>
      </c>
      <c r="O18" s="151">
        <v>0.48</v>
      </c>
      <c r="P18" s="151">
        <v>0.48</v>
      </c>
      <c r="Q18" s="151">
        <v>0.48</v>
      </c>
      <c r="R18" s="151">
        <v>0.48</v>
      </c>
      <c r="S18" s="151">
        <v>0.48</v>
      </c>
      <c r="T18" s="151">
        <v>0.48</v>
      </c>
      <c r="U18" s="151">
        <v>0.48</v>
      </c>
      <c r="V18" s="151">
        <v>0.48</v>
      </c>
      <c r="W18" s="151">
        <v>0.48</v>
      </c>
      <c r="X18" s="151">
        <v>0.48</v>
      </c>
      <c r="Y18" s="151">
        <v>0.48</v>
      </c>
      <c r="Z18" s="151">
        <v>0.48</v>
      </c>
      <c r="AA18" s="151">
        <v>0.48</v>
      </c>
      <c r="AB18" s="151">
        <v>0.48</v>
      </c>
      <c r="AC18" s="151">
        <v>0.48</v>
      </c>
      <c r="AD18" s="151">
        <v>0.48</v>
      </c>
      <c r="AE18" s="151">
        <v>0.48</v>
      </c>
      <c r="AF18" s="151">
        <v>0.48</v>
      </c>
      <c r="AG18" s="151">
        <v>0.48</v>
      </c>
      <c r="AH18" s="151">
        <v>0.48</v>
      </c>
      <c r="AI18" s="151">
        <v>0.48</v>
      </c>
      <c r="AJ18" s="151">
        <v>0.48</v>
      </c>
      <c r="AK18" s="151">
        <v>0.48</v>
      </c>
      <c r="AL18" s="151">
        <v>0.48</v>
      </c>
      <c r="AM18" s="151">
        <v>0.48</v>
      </c>
      <c r="AN18" s="151">
        <v>0.48</v>
      </c>
      <c r="AO18" s="151">
        <v>0.48</v>
      </c>
      <c r="AP18" s="151">
        <v>0.48</v>
      </c>
      <c r="AQ18" s="151">
        <v>0.48</v>
      </c>
      <c r="AR18" s="151">
        <v>0.48</v>
      </c>
      <c r="AS18" s="151">
        <v>0.48</v>
      </c>
      <c r="AT18" s="151">
        <v>0.48</v>
      </c>
    </row>
    <row r="19" spans="1:46">
      <c r="B19" t="s">
        <v>1286</v>
      </c>
      <c r="C19" s="44" t="s">
        <v>452</v>
      </c>
      <c r="E19" s="44"/>
      <c r="G19" s="44"/>
      <c r="I19" s="44" t="s">
        <v>56</v>
      </c>
      <c r="K19" s="151">
        <v>0.41</v>
      </c>
      <c r="L19" s="151">
        <v>0.41</v>
      </c>
      <c r="M19" s="151">
        <v>0.41</v>
      </c>
      <c r="N19" s="151">
        <v>0.41</v>
      </c>
      <c r="O19" s="151">
        <v>0.41</v>
      </c>
      <c r="P19" s="151">
        <v>0.41</v>
      </c>
      <c r="Q19" s="151">
        <v>0.41</v>
      </c>
      <c r="R19" s="151">
        <v>0.41</v>
      </c>
      <c r="S19" s="151">
        <v>0.41</v>
      </c>
      <c r="T19" s="151">
        <v>0.41</v>
      </c>
      <c r="U19" s="151">
        <v>0.41</v>
      </c>
      <c r="V19" s="151">
        <v>0.41</v>
      </c>
      <c r="W19" s="151">
        <v>0.41</v>
      </c>
      <c r="X19" s="151">
        <v>0.41</v>
      </c>
      <c r="Y19" s="151">
        <v>0.41</v>
      </c>
      <c r="Z19" s="151">
        <v>0.41</v>
      </c>
      <c r="AA19" s="151">
        <v>0.41</v>
      </c>
      <c r="AB19" s="151">
        <v>0.41</v>
      </c>
      <c r="AC19" s="151">
        <v>0.41</v>
      </c>
      <c r="AD19" s="151">
        <v>0.41</v>
      </c>
      <c r="AE19" s="151">
        <v>0.41</v>
      </c>
      <c r="AF19" s="151">
        <v>0.41</v>
      </c>
      <c r="AG19" s="151">
        <v>0.41</v>
      </c>
      <c r="AH19" s="151">
        <v>0.41</v>
      </c>
      <c r="AI19" s="151">
        <v>0.41</v>
      </c>
      <c r="AJ19" s="151">
        <v>0.41</v>
      </c>
      <c r="AK19" s="151">
        <v>0.41</v>
      </c>
      <c r="AL19" s="151">
        <v>0.41</v>
      </c>
      <c r="AM19" s="151">
        <v>0.41</v>
      </c>
      <c r="AN19" s="151">
        <v>0.41</v>
      </c>
      <c r="AO19" s="151">
        <v>0.41</v>
      </c>
      <c r="AP19" s="151">
        <v>0.41</v>
      </c>
      <c r="AQ19" s="151">
        <v>0.41</v>
      </c>
      <c r="AR19" s="151">
        <v>0.41</v>
      </c>
      <c r="AS19" s="151">
        <v>0.41</v>
      </c>
      <c r="AT19" s="151">
        <v>0.41</v>
      </c>
    </row>
    <row r="20" spans="1:46">
      <c r="B20" t="s">
        <v>1287</v>
      </c>
      <c r="C20" s="44" t="s">
        <v>452</v>
      </c>
      <c r="E20" s="44"/>
      <c r="G20" s="44"/>
      <c r="I20" s="44" t="s">
        <v>56</v>
      </c>
      <c r="K20" s="151">
        <v>4.5</v>
      </c>
      <c r="L20" s="151">
        <v>4.5</v>
      </c>
      <c r="M20" s="151">
        <v>4.5</v>
      </c>
      <c r="N20" s="151">
        <v>4.5</v>
      </c>
      <c r="O20" s="151">
        <v>4.5</v>
      </c>
      <c r="P20" s="151">
        <v>4.5</v>
      </c>
      <c r="Q20" s="151">
        <v>4.5</v>
      </c>
      <c r="R20" s="151">
        <v>4.5</v>
      </c>
      <c r="S20" s="151">
        <v>4.5</v>
      </c>
      <c r="T20" s="151">
        <v>4.5</v>
      </c>
      <c r="U20" s="151">
        <v>4.5</v>
      </c>
      <c r="V20" s="151">
        <v>4.5</v>
      </c>
      <c r="W20" s="151">
        <v>4.5</v>
      </c>
      <c r="X20" s="151">
        <v>4.5</v>
      </c>
      <c r="Y20" s="151">
        <v>4.5</v>
      </c>
      <c r="Z20" s="151">
        <v>4.5</v>
      </c>
      <c r="AA20" s="151">
        <v>4.5</v>
      </c>
      <c r="AB20" s="151">
        <v>4.5</v>
      </c>
      <c r="AC20" s="151">
        <v>4.5</v>
      </c>
      <c r="AD20" s="151">
        <v>4.5</v>
      </c>
      <c r="AE20" s="151">
        <v>4.5</v>
      </c>
      <c r="AF20" s="151">
        <v>4.5</v>
      </c>
      <c r="AG20" s="151">
        <v>4.5</v>
      </c>
      <c r="AH20" s="151">
        <v>4.5</v>
      </c>
      <c r="AI20" s="151">
        <v>4.5</v>
      </c>
      <c r="AJ20" s="151">
        <v>4.5</v>
      </c>
      <c r="AK20" s="151">
        <v>4.5</v>
      </c>
      <c r="AL20" s="151">
        <v>4.5</v>
      </c>
      <c r="AM20" s="151">
        <v>4.5</v>
      </c>
      <c r="AN20" s="151">
        <v>4.5</v>
      </c>
      <c r="AO20" s="151">
        <v>4.5</v>
      </c>
      <c r="AP20" s="151">
        <v>4.5</v>
      </c>
      <c r="AQ20" s="151">
        <v>4.5</v>
      </c>
      <c r="AR20" s="151">
        <v>4.5</v>
      </c>
      <c r="AS20" s="151">
        <v>4.5</v>
      </c>
      <c r="AT20" s="151">
        <v>4.5</v>
      </c>
    </row>
    <row r="21" spans="1:46">
      <c r="B21" t="s">
        <v>272</v>
      </c>
      <c r="C21" s="44" t="s">
        <v>452</v>
      </c>
      <c r="E21" s="44"/>
      <c r="G21" s="44"/>
      <c r="I21" s="44" t="s">
        <v>56</v>
      </c>
      <c r="K21" s="151">
        <v>0.87</v>
      </c>
      <c r="L21" s="151">
        <v>0.87</v>
      </c>
      <c r="M21" s="151">
        <v>0.87</v>
      </c>
      <c r="N21" s="151">
        <v>0.87</v>
      </c>
      <c r="O21" s="151">
        <v>0.87</v>
      </c>
      <c r="P21" s="151">
        <v>0.87</v>
      </c>
      <c r="Q21" s="151">
        <v>0.87</v>
      </c>
      <c r="R21" s="151">
        <v>0.87</v>
      </c>
      <c r="S21" s="151">
        <v>0.87</v>
      </c>
      <c r="T21" s="151">
        <v>0.87</v>
      </c>
      <c r="U21" s="151">
        <v>0.87</v>
      </c>
      <c r="V21" s="151">
        <v>0.87</v>
      </c>
      <c r="W21" s="151">
        <v>0.87</v>
      </c>
      <c r="X21" s="151">
        <v>0.87</v>
      </c>
      <c r="Y21" s="151">
        <v>0.87</v>
      </c>
      <c r="Z21" s="151">
        <v>0.87</v>
      </c>
      <c r="AA21" s="151">
        <v>0.87</v>
      </c>
      <c r="AB21" s="151">
        <v>0.87</v>
      </c>
      <c r="AC21" s="151">
        <v>0.87</v>
      </c>
      <c r="AD21" s="151">
        <v>0.87</v>
      </c>
      <c r="AE21" s="151">
        <v>0.87</v>
      </c>
      <c r="AF21" s="151">
        <v>0.87</v>
      </c>
      <c r="AG21" s="151">
        <v>0.87</v>
      </c>
      <c r="AH21" s="151">
        <v>0.87</v>
      </c>
      <c r="AI21" s="151">
        <v>0.87</v>
      </c>
      <c r="AJ21" s="151">
        <v>0.87</v>
      </c>
      <c r="AK21" s="151">
        <v>0.87</v>
      </c>
      <c r="AL21" s="151">
        <v>0.87</v>
      </c>
      <c r="AM21" s="151">
        <v>0.87</v>
      </c>
      <c r="AN21" s="151">
        <v>0.87</v>
      </c>
      <c r="AO21" s="151">
        <v>0.87</v>
      </c>
      <c r="AP21" s="151">
        <v>0.87</v>
      </c>
      <c r="AQ21" s="151">
        <v>0.87</v>
      </c>
      <c r="AR21" s="151">
        <v>0.87</v>
      </c>
      <c r="AS21" s="151">
        <v>0.87</v>
      </c>
      <c r="AT21" s="151">
        <v>0.87</v>
      </c>
    </row>
    <row r="22" spans="1:46">
      <c r="B22" t="s">
        <v>1288</v>
      </c>
      <c r="C22" s="44" t="s">
        <v>452</v>
      </c>
      <c r="E22" s="44"/>
      <c r="G22" s="44"/>
      <c r="I22" s="44" t="s">
        <v>56</v>
      </c>
      <c r="K22" s="151">
        <v>4.4000000000000004</v>
      </c>
      <c r="L22" s="151">
        <v>4.4000000000000004</v>
      </c>
      <c r="M22" s="151">
        <v>4.4000000000000004</v>
      </c>
      <c r="N22" s="151">
        <v>4.4000000000000004</v>
      </c>
      <c r="O22" s="151">
        <v>4.4000000000000004</v>
      </c>
      <c r="P22" s="151">
        <v>4.4000000000000004</v>
      </c>
      <c r="Q22" s="151">
        <v>4.4000000000000004</v>
      </c>
      <c r="R22" s="151">
        <v>4.4000000000000004</v>
      </c>
      <c r="S22" s="151">
        <v>4.4000000000000004</v>
      </c>
      <c r="T22" s="151">
        <v>4.4000000000000004</v>
      </c>
      <c r="U22" s="151">
        <v>4.4000000000000004</v>
      </c>
      <c r="V22" s="151">
        <v>4.4000000000000004</v>
      </c>
      <c r="W22" s="151">
        <v>4.4000000000000004</v>
      </c>
      <c r="X22" s="151">
        <v>4.4000000000000004</v>
      </c>
      <c r="Y22" s="151">
        <v>4.4000000000000004</v>
      </c>
      <c r="Z22" s="151">
        <v>4.4000000000000004</v>
      </c>
      <c r="AA22" s="151">
        <v>4.4000000000000004</v>
      </c>
      <c r="AB22" s="151">
        <v>4.4000000000000004</v>
      </c>
      <c r="AC22" s="151">
        <v>4.4000000000000004</v>
      </c>
      <c r="AD22" s="151">
        <v>4.4000000000000004</v>
      </c>
      <c r="AE22" s="151">
        <v>4.4000000000000004</v>
      </c>
      <c r="AF22" s="151">
        <v>4.4000000000000004</v>
      </c>
      <c r="AG22" s="151">
        <v>4.4000000000000004</v>
      </c>
      <c r="AH22" s="151">
        <v>4.4000000000000004</v>
      </c>
      <c r="AI22" s="151">
        <v>4.4000000000000004</v>
      </c>
      <c r="AJ22" s="151">
        <v>4.4000000000000004</v>
      </c>
      <c r="AK22" s="151">
        <v>4.4000000000000004</v>
      </c>
      <c r="AL22" s="151">
        <v>4.4000000000000004</v>
      </c>
      <c r="AM22" s="151">
        <v>4.4000000000000004</v>
      </c>
      <c r="AN22" s="151">
        <v>4.4000000000000004</v>
      </c>
      <c r="AO22" s="151">
        <v>4.4000000000000004</v>
      </c>
      <c r="AP22" s="151">
        <v>4.4000000000000004</v>
      </c>
      <c r="AQ22" s="151">
        <v>4.4000000000000004</v>
      </c>
      <c r="AR22" s="151">
        <v>4.4000000000000004</v>
      </c>
      <c r="AS22" s="151">
        <v>4.4000000000000004</v>
      </c>
      <c r="AT22" s="151">
        <v>4.4000000000000004</v>
      </c>
    </row>
    <row r="23" spans="1:46">
      <c r="B23" t="s">
        <v>1289</v>
      </c>
      <c r="C23" s="44" t="s">
        <v>452</v>
      </c>
      <c r="E23" s="44"/>
      <c r="G23" s="44"/>
      <c r="I23" s="44" t="s">
        <v>56</v>
      </c>
      <c r="K23" s="151">
        <v>6.5</v>
      </c>
      <c r="L23" s="151">
        <v>6.5</v>
      </c>
      <c r="M23" s="151">
        <v>6.5</v>
      </c>
      <c r="N23" s="151">
        <v>6.5</v>
      </c>
      <c r="O23" s="151">
        <v>6.5</v>
      </c>
      <c r="P23" s="151">
        <v>6.5</v>
      </c>
      <c r="Q23" s="151">
        <v>6.5</v>
      </c>
      <c r="R23" s="151">
        <v>6.5</v>
      </c>
      <c r="S23" s="151">
        <v>6.5</v>
      </c>
      <c r="T23" s="151">
        <v>6.5</v>
      </c>
      <c r="U23" s="151">
        <v>6.5</v>
      </c>
      <c r="V23" s="151">
        <v>6.5</v>
      </c>
      <c r="W23" s="151">
        <v>6.5</v>
      </c>
      <c r="X23" s="151">
        <v>6.5</v>
      </c>
      <c r="Y23" s="151">
        <v>6.5</v>
      </c>
      <c r="Z23" s="151">
        <v>6.5</v>
      </c>
      <c r="AA23" s="151">
        <v>6.5</v>
      </c>
      <c r="AB23" s="151">
        <v>6.5</v>
      </c>
      <c r="AC23" s="151">
        <v>6.5</v>
      </c>
      <c r="AD23" s="151">
        <v>6.5</v>
      </c>
      <c r="AE23" s="151">
        <v>6.5</v>
      </c>
      <c r="AF23" s="151">
        <v>6.5</v>
      </c>
      <c r="AG23" s="151">
        <v>6.5</v>
      </c>
      <c r="AH23" s="151">
        <v>6.5</v>
      </c>
      <c r="AI23" s="151">
        <v>6.5</v>
      </c>
      <c r="AJ23" s="151">
        <v>6.5</v>
      </c>
      <c r="AK23" s="151">
        <v>6.5</v>
      </c>
      <c r="AL23" s="151">
        <v>6.5</v>
      </c>
      <c r="AM23" s="151">
        <v>6.5</v>
      </c>
      <c r="AN23" s="151">
        <v>6.5</v>
      </c>
      <c r="AO23" s="151">
        <v>6.5</v>
      </c>
      <c r="AP23" s="151">
        <v>6.5</v>
      </c>
      <c r="AQ23" s="151">
        <v>6.5</v>
      </c>
      <c r="AR23" s="151">
        <v>6.5</v>
      </c>
      <c r="AS23" s="151">
        <v>6.5</v>
      </c>
      <c r="AT23" s="151">
        <v>6.5</v>
      </c>
    </row>
    <row r="24" spans="1:46">
      <c r="B24" t="s">
        <v>1290</v>
      </c>
      <c r="C24" s="44" t="s">
        <v>452</v>
      </c>
      <c r="E24" s="44"/>
      <c r="G24" s="44"/>
      <c r="I24" s="44" t="s">
        <v>56</v>
      </c>
      <c r="K24" s="151">
        <v>2.54</v>
      </c>
      <c r="L24" s="151">
        <v>2.54</v>
      </c>
      <c r="M24" s="151">
        <v>2.54</v>
      </c>
      <c r="N24" s="151">
        <v>2.54</v>
      </c>
      <c r="O24" s="151">
        <v>2.54</v>
      </c>
      <c r="P24" s="151">
        <v>2.54</v>
      </c>
      <c r="Q24" s="151">
        <v>2.59</v>
      </c>
      <c r="R24" s="151">
        <v>2.64</v>
      </c>
      <c r="S24" s="151">
        <v>2.69</v>
      </c>
      <c r="T24" s="151">
        <v>2.74</v>
      </c>
      <c r="U24" s="151">
        <v>2.79</v>
      </c>
      <c r="V24" s="151">
        <v>2.84</v>
      </c>
      <c r="W24" s="151">
        <v>2.89</v>
      </c>
      <c r="X24" s="151">
        <v>2.94</v>
      </c>
      <c r="Y24" s="151">
        <v>2.99</v>
      </c>
      <c r="Z24" s="151">
        <v>3.04</v>
      </c>
      <c r="AA24" s="151">
        <v>3.04</v>
      </c>
      <c r="AB24" s="151">
        <v>3.04</v>
      </c>
      <c r="AC24" s="151">
        <v>3.04</v>
      </c>
      <c r="AD24" s="151">
        <v>3.04</v>
      </c>
      <c r="AE24" s="151">
        <v>3.04</v>
      </c>
      <c r="AF24" s="151">
        <v>3.04</v>
      </c>
      <c r="AG24" s="151">
        <v>3.04</v>
      </c>
      <c r="AH24" s="151">
        <v>3.04</v>
      </c>
      <c r="AI24" s="151">
        <v>3.04</v>
      </c>
      <c r="AJ24" s="151">
        <v>3.04</v>
      </c>
      <c r="AK24" s="151">
        <v>3.04</v>
      </c>
      <c r="AL24" s="151">
        <v>3.04</v>
      </c>
      <c r="AM24" s="151">
        <v>3.04</v>
      </c>
      <c r="AN24" s="151">
        <v>3.04</v>
      </c>
      <c r="AO24" s="151">
        <v>3.04</v>
      </c>
      <c r="AP24" s="151">
        <v>3.04</v>
      </c>
      <c r="AQ24" s="151">
        <v>3.04</v>
      </c>
      <c r="AR24" s="151">
        <v>3.04</v>
      </c>
      <c r="AS24" s="151">
        <v>3.04</v>
      </c>
      <c r="AT24" s="151">
        <v>3.04</v>
      </c>
    </row>
    <row r="25" spans="1:46">
      <c r="B25" t="s">
        <v>1291</v>
      </c>
      <c r="C25" s="44" t="s">
        <v>452</v>
      </c>
      <c r="E25" s="44"/>
      <c r="G25" s="44"/>
      <c r="I25" s="44" t="s">
        <v>56</v>
      </c>
      <c r="K25" s="151">
        <v>2.84</v>
      </c>
      <c r="L25" s="151">
        <v>2.84</v>
      </c>
      <c r="M25" s="151">
        <v>2.84</v>
      </c>
      <c r="N25" s="151">
        <v>2.84</v>
      </c>
      <c r="O25" s="151">
        <v>2.84</v>
      </c>
      <c r="P25" s="151">
        <v>2.84</v>
      </c>
      <c r="Q25" s="151">
        <v>2.8899999999999997</v>
      </c>
      <c r="R25" s="151">
        <v>2.94</v>
      </c>
      <c r="S25" s="151">
        <v>2.9899999999999998</v>
      </c>
      <c r="T25" s="151">
        <v>3.04</v>
      </c>
      <c r="U25" s="151">
        <v>3.09</v>
      </c>
      <c r="V25" s="151">
        <v>3.1399999999999997</v>
      </c>
      <c r="W25" s="151">
        <v>3.19</v>
      </c>
      <c r="X25" s="151">
        <v>3.2399999999999998</v>
      </c>
      <c r="Y25" s="151">
        <v>3.29</v>
      </c>
      <c r="Z25" s="151">
        <v>3.34</v>
      </c>
      <c r="AA25" s="151">
        <v>3.34</v>
      </c>
      <c r="AB25" s="151">
        <v>3.34</v>
      </c>
      <c r="AC25" s="151">
        <v>3.34</v>
      </c>
      <c r="AD25" s="151">
        <v>3.34</v>
      </c>
      <c r="AE25" s="151">
        <v>3.34</v>
      </c>
      <c r="AF25" s="151">
        <v>3.34</v>
      </c>
      <c r="AG25" s="151">
        <v>3.34</v>
      </c>
      <c r="AH25" s="151">
        <v>3.34</v>
      </c>
      <c r="AI25" s="151">
        <v>3.34</v>
      </c>
      <c r="AJ25" s="151">
        <v>3.34</v>
      </c>
      <c r="AK25" s="151">
        <v>3.34</v>
      </c>
      <c r="AL25" s="151">
        <v>3.34</v>
      </c>
      <c r="AM25" s="151">
        <v>3.34</v>
      </c>
      <c r="AN25" s="151">
        <v>3.34</v>
      </c>
      <c r="AO25" s="151">
        <v>3.34</v>
      </c>
      <c r="AP25" s="151">
        <v>3.34</v>
      </c>
      <c r="AQ25" s="151">
        <v>3.34</v>
      </c>
      <c r="AR25" s="151">
        <v>3.34</v>
      </c>
      <c r="AS25" s="151">
        <v>3.34</v>
      </c>
      <c r="AT25" s="151">
        <v>3.34</v>
      </c>
    </row>
    <row r="26" spans="1:46">
      <c r="B26" t="s">
        <v>272</v>
      </c>
      <c r="C26" s="44" t="s">
        <v>452</v>
      </c>
      <c r="E26" s="44"/>
      <c r="G26" s="44"/>
      <c r="I26" s="44" t="s">
        <v>56</v>
      </c>
      <c r="K26" s="151">
        <v>0.87</v>
      </c>
      <c r="L26" s="151">
        <v>0.87</v>
      </c>
      <c r="M26" s="151">
        <v>0.87</v>
      </c>
      <c r="N26" s="151">
        <v>0.87</v>
      </c>
      <c r="O26" s="151">
        <v>0.87</v>
      </c>
      <c r="P26" s="151">
        <v>0.87</v>
      </c>
      <c r="Q26" s="151">
        <v>0.87</v>
      </c>
      <c r="R26" s="151">
        <v>0.87</v>
      </c>
      <c r="S26" s="151">
        <v>0.87</v>
      </c>
      <c r="T26" s="151">
        <v>0.87</v>
      </c>
      <c r="U26" s="151">
        <v>0.87</v>
      </c>
      <c r="V26" s="151">
        <v>0.87</v>
      </c>
      <c r="W26" s="151">
        <v>0.87</v>
      </c>
      <c r="X26" s="151">
        <v>0.87</v>
      </c>
      <c r="Y26" s="151">
        <v>0.87</v>
      </c>
      <c r="Z26" s="151">
        <v>0.87</v>
      </c>
      <c r="AA26" s="151">
        <v>0.87</v>
      </c>
      <c r="AB26" s="151">
        <v>0.87</v>
      </c>
      <c r="AC26" s="151">
        <v>0.87</v>
      </c>
      <c r="AD26" s="151">
        <v>0.87</v>
      </c>
      <c r="AE26" s="151">
        <v>0.87</v>
      </c>
      <c r="AF26" s="151">
        <v>0.87</v>
      </c>
      <c r="AG26" s="151">
        <v>0.87</v>
      </c>
      <c r="AH26" s="151">
        <v>0.87</v>
      </c>
      <c r="AI26" s="151">
        <v>0.87</v>
      </c>
      <c r="AJ26" s="151">
        <v>0.87</v>
      </c>
      <c r="AK26" s="151">
        <v>0.87</v>
      </c>
      <c r="AL26" s="151">
        <v>0.87</v>
      </c>
      <c r="AM26" s="151">
        <v>0.87</v>
      </c>
      <c r="AN26" s="151">
        <v>0.87</v>
      </c>
      <c r="AO26" s="151">
        <v>0.87</v>
      </c>
      <c r="AP26" s="151">
        <v>0.87</v>
      </c>
      <c r="AQ26" s="151">
        <v>0.87</v>
      </c>
      <c r="AR26" s="151">
        <v>0.87</v>
      </c>
      <c r="AS26" s="151">
        <v>0.87</v>
      </c>
      <c r="AT26" s="151">
        <v>0.87</v>
      </c>
    </row>
    <row r="27" spans="1:46">
      <c r="B27" t="s">
        <v>211</v>
      </c>
      <c r="C27" s="44" t="s">
        <v>452</v>
      </c>
      <c r="E27" s="44"/>
      <c r="G27" s="44"/>
      <c r="I27" s="44" t="s">
        <v>56</v>
      </c>
      <c r="K27" s="151">
        <v>0.8</v>
      </c>
      <c r="L27" s="151">
        <v>0.8</v>
      </c>
      <c r="M27" s="151">
        <v>0.8</v>
      </c>
      <c r="N27" s="151">
        <v>0.8</v>
      </c>
      <c r="O27" s="151">
        <v>0.8</v>
      </c>
      <c r="P27" s="151">
        <v>0.8</v>
      </c>
      <c r="Q27" s="151">
        <v>0.8</v>
      </c>
      <c r="R27" s="151">
        <v>0.8</v>
      </c>
      <c r="S27" s="151">
        <v>0.8</v>
      </c>
      <c r="T27" s="151">
        <v>0.8</v>
      </c>
      <c r="U27" s="151">
        <v>0.8</v>
      </c>
      <c r="V27" s="151">
        <v>0.8</v>
      </c>
      <c r="W27" s="151">
        <v>0.8</v>
      </c>
      <c r="X27" s="151">
        <v>0.8</v>
      </c>
      <c r="Y27" s="151">
        <v>0.8</v>
      </c>
      <c r="Z27" s="151">
        <v>0.8</v>
      </c>
      <c r="AA27" s="151">
        <v>0.8</v>
      </c>
      <c r="AB27" s="151">
        <v>0.8</v>
      </c>
      <c r="AC27" s="151">
        <v>0.8</v>
      </c>
      <c r="AD27" s="151">
        <v>0.8</v>
      </c>
      <c r="AE27" s="151">
        <v>0.8</v>
      </c>
      <c r="AF27" s="151">
        <v>0.8</v>
      </c>
      <c r="AG27" s="151">
        <v>0.8</v>
      </c>
      <c r="AH27" s="151">
        <v>0.8</v>
      </c>
      <c r="AI27" s="151">
        <v>0.8</v>
      </c>
      <c r="AJ27" s="151">
        <v>0.8</v>
      </c>
      <c r="AK27" s="151">
        <v>0.8</v>
      </c>
      <c r="AL27" s="151">
        <v>0.8</v>
      </c>
      <c r="AM27" s="151">
        <v>0.8</v>
      </c>
      <c r="AN27" s="151">
        <v>0.8</v>
      </c>
      <c r="AO27" s="151">
        <v>0.8</v>
      </c>
      <c r="AP27" s="151">
        <v>0.8</v>
      </c>
      <c r="AQ27" s="151">
        <v>0.8</v>
      </c>
      <c r="AR27" s="151">
        <v>0.8</v>
      </c>
      <c r="AS27" s="151">
        <v>0.8</v>
      </c>
      <c r="AT27" s="151">
        <v>0.8</v>
      </c>
    </row>
    <row r="29" spans="1:46" s="72" customFormat="1">
      <c r="A29" s="43" t="s">
        <v>1292</v>
      </c>
      <c r="B29" s="43"/>
      <c r="C29" s="43"/>
      <c r="D29" s="43"/>
      <c r="E29" s="43"/>
      <c r="F29" s="43"/>
      <c r="G29" s="43"/>
      <c r="H29" s="43"/>
      <c r="I29" s="43"/>
      <c r="J29" s="43"/>
      <c r="K29" s="43"/>
      <c r="L29" s="43"/>
      <c r="M29" s="43"/>
      <c r="N29" s="43"/>
      <c r="O29" s="43"/>
      <c r="P29" s="43"/>
      <c r="Q29" s="43"/>
      <c r="R29" s="43"/>
      <c r="S29" s="43"/>
      <c r="T29" s="43"/>
      <c r="U29" s="43"/>
      <c r="V29" s="43"/>
      <c r="W29" s="43"/>
      <c r="X29" s="43"/>
      <c r="Y29" s="43"/>
      <c r="Z29" s="43"/>
      <c r="AA29" s="43"/>
      <c r="AB29" s="43"/>
      <c r="AC29" s="43"/>
      <c r="AD29" s="43"/>
      <c r="AE29" s="43"/>
      <c r="AF29" s="43"/>
      <c r="AG29" s="43"/>
      <c r="AH29" s="43"/>
      <c r="AI29" s="43"/>
      <c r="AJ29" s="43"/>
      <c r="AK29" s="43"/>
      <c r="AL29" s="43"/>
      <c r="AM29" s="43"/>
      <c r="AN29" s="43"/>
      <c r="AO29" s="43"/>
      <c r="AP29" s="43"/>
      <c r="AQ29" s="43"/>
      <c r="AR29" s="43"/>
      <c r="AS29" s="43"/>
      <c r="AT29" s="43"/>
    </row>
    <row r="31" spans="1:46" ht="18">
      <c r="B31" t="s">
        <v>1280</v>
      </c>
      <c r="C31" s="44" t="s">
        <v>1293</v>
      </c>
      <c r="E31" s="44"/>
      <c r="G31" s="44"/>
      <c r="I31" s="44" t="s">
        <v>56</v>
      </c>
      <c r="K31" s="154">
        <f>'2.5 Emission factors'!O29/K$14 + K$8*'2.5 Emission factors'!O29</f>
        <v>4.8143444598903531E-2</v>
      </c>
      <c r="L31" s="154">
        <f>'2.5 Emission factors'!P29/L$14 + L$8*'2.5 Emission factors'!P29</f>
        <v>3.8410488938175065E-2</v>
      </c>
      <c r="M31" s="154">
        <f>'2.5 Emission factors'!Q29/M$14 + M$8*'2.5 Emission factors'!Q29</f>
        <v>3.431881012388234E-2</v>
      </c>
      <c r="N31" s="154">
        <f>'2.5 Emission factors'!R29/N$14 + N$8*'2.5 Emission factors'!R29</f>
        <v>3.1888142750324248E-2</v>
      </c>
      <c r="O31" s="154">
        <f>'2.5 Emission factors'!S29/O$14 + O$8*'2.5 Emission factors'!S29</f>
        <v>2.8431482864136836E-2</v>
      </c>
      <c r="P31" s="154">
        <f>'2.5 Emission factors'!T29/P$14 + P$8*'2.5 Emission factors'!T29</f>
        <v>2.1289368817839289E-2</v>
      </c>
      <c r="Q31" s="154">
        <f>'2.5 Emission factors'!U29/Q$14 + Q$8*'2.5 Emission factors'!U29</f>
        <v>1.9860907592932835E-2</v>
      </c>
      <c r="R31" s="154">
        <f>'2.5 Emission factors'!V29/R$14 + R$8*'2.5 Emission factors'!V29</f>
        <v>1.855637983956273E-2</v>
      </c>
      <c r="S31" s="154">
        <f>'2.5 Emission factors'!W29/S$14 + S$8*'2.5 Emission factors'!W29</f>
        <v>1.7799979522880136E-2</v>
      </c>
      <c r="T31" s="154">
        <f>'2.5 Emission factors'!X29/T$14 + T$8*'2.5 Emission factors'!X29</f>
        <v>1.9421449959367634E-2</v>
      </c>
      <c r="U31" s="154">
        <f>'2.5 Emission factors'!Y29/U$14 + U$8*'2.5 Emission factors'!Y29</f>
        <v>1.6426295035635835E-2</v>
      </c>
      <c r="V31" s="154">
        <f>'2.5 Emission factors'!Z29/V$14 + V$8*'2.5 Emission factors'!Z29</f>
        <v>1.2108900086352018E-2</v>
      </c>
      <c r="W31" s="154">
        <f>'2.5 Emission factors'!AA29/W$14 + W$8*'2.5 Emission factors'!AA29</f>
        <v>1.0021207572384861E-2</v>
      </c>
      <c r="X31" s="154">
        <f>'2.5 Emission factors'!AB29/X$14 + X$8*'2.5 Emission factors'!AB29</f>
        <v>9.2665224172068482E-3</v>
      </c>
      <c r="Y31" s="154">
        <f>'2.5 Emission factors'!AC29/Y$14 + Y$8*'2.5 Emission factors'!AC29</f>
        <v>8.6762656872930027E-3</v>
      </c>
      <c r="Z31" s="154">
        <f>'2.5 Emission factors'!AD29/Z$14 + Z$8*'2.5 Emission factors'!AD29</f>
        <v>6.8860436115179488E-3</v>
      </c>
      <c r="AA31" s="154">
        <f>'2.5 Emission factors'!AE29/AA$14 + AA$8*'2.5 Emission factors'!AE29</f>
        <v>5.4532697642297049E-3</v>
      </c>
      <c r="AB31" s="154">
        <f>'2.5 Emission factors'!AF29/AB$14 + AB$8*'2.5 Emission factors'!AF29</f>
        <v>4.7133717618568962E-3</v>
      </c>
      <c r="AC31" s="154">
        <f>'2.5 Emission factors'!AG29/AC$14 + AC$8*'2.5 Emission factors'!AG29</f>
        <v>4.0932332353811537E-3</v>
      </c>
      <c r="AD31" s="154">
        <f>'2.5 Emission factors'!AH29/AD$14 + AD$8*'2.5 Emission factors'!AH29</f>
        <v>3.7158970883472476E-3</v>
      </c>
      <c r="AE31" s="154">
        <f>'2.5 Emission factors'!AI29/AE$14 + AE$8*'2.5 Emission factors'!AI29</f>
        <v>3.3149327743688143E-3</v>
      </c>
      <c r="AF31" s="154">
        <f>'2.5 Emission factors'!AJ29/AF$14 + AF$8*'2.5 Emission factors'!AJ29</f>
        <v>2.7421928321339929E-3</v>
      </c>
      <c r="AG31" s="154">
        <f>'2.5 Emission factors'!AK29/AG$14 + AG$8*'2.5 Emission factors'!AK29</f>
        <v>2.4390774965489955E-3</v>
      </c>
      <c r="AH31" s="154">
        <f>'2.5 Emission factors'!AL29/AH$14 + AH$8*'2.5 Emission factors'!AL29</f>
        <v>2.3825189585638066E-3</v>
      </c>
      <c r="AI31" s="154">
        <f>'2.5 Emission factors'!AM29/AI$14 + AI$8*'2.5 Emission factors'!AM29</f>
        <v>2.2558551721654683E-3</v>
      </c>
      <c r="AJ31" s="154">
        <f>'2.5 Emission factors'!AN29/AJ$14 + AJ$8*'2.5 Emission factors'!AN29</f>
        <v>2.0441651886949374E-3</v>
      </c>
      <c r="AK31" s="154">
        <f>'2.5 Emission factors'!AO29/AK$14 + AK$8*'2.5 Emission factors'!AO29</f>
        <v>1.6969400232873513E-3</v>
      </c>
      <c r="AL31" s="154">
        <f>'2.5 Emission factors'!AP29/AL$14 + AL$8*'2.5 Emission factors'!AP29</f>
        <v>1.6104218542801339E-3</v>
      </c>
      <c r="AM31" s="154">
        <f>'2.5 Emission factors'!AQ29/AM$14 + AM$8*'2.5 Emission factors'!AQ29</f>
        <v>1.5775425083943363E-3</v>
      </c>
      <c r="AN31" s="154">
        <f>'2.5 Emission factors'!AR29/AN$14 + AN$8*'2.5 Emission factors'!AR29</f>
        <v>1.482730434778738E-3</v>
      </c>
      <c r="AO31" s="154">
        <f>'2.5 Emission factors'!AS29/AO$14 + AO$8*'2.5 Emission factors'!AS29</f>
        <v>1.2591820279314696E-3</v>
      </c>
      <c r="AP31" s="154">
        <f>'2.5 Emission factors'!AT29/AP$14 + AP$8*'2.5 Emission factors'!AT29</f>
        <v>1.14323153321128E-3</v>
      </c>
      <c r="AQ31" s="154">
        <f>'2.5 Emission factors'!AU29/AQ$14 + AQ$8*'2.5 Emission factors'!AU29</f>
        <v>1.0541075022002626E-3</v>
      </c>
      <c r="AR31" s="154">
        <f>'2.5 Emission factors'!AV29/AR$14 + AR$8*'2.5 Emission factors'!AV29</f>
        <v>1.0004575557416337E-3</v>
      </c>
      <c r="AS31" s="154">
        <f>'2.5 Emission factors'!AW29/AS$14 + AS$8*'2.5 Emission factors'!AW29</f>
        <v>9.3096674855814709E-4</v>
      </c>
      <c r="AT31" s="154">
        <f>'2.5 Emission factors'!AX29/AT$14 + AT$8*'2.5 Emission factors'!AX29</f>
        <v>9.1498374617858199E-4</v>
      </c>
    </row>
    <row r="32" spans="1:46" ht="18">
      <c r="B32" t="s">
        <v>1294</v>
      </c>
      <c r="C32" s="44" t="s">
        <v>1293</v>
      </c>
      <c r="E32" s="44"/>
      <c r="G32" s="44"/>
      <c r="I32" s="44" t="s">
        <v>56</v>
      </c>
      <c r="K32" s="154">
        <f>('2.5 Emission factors'!O$14/K$15) + (K$8*'2.5 Emission factors'!O$36) - (K$16/K$15*'2.5 Emission factors'!O$36)</f>
        <v>0.14244648528427661</v>
      </c>
      <c r="L32" s="154">
        <f>('2.5 Emission factors'!P$14/L$15) + (L$8*'2.5 Emission factors'!P$36) - (L$16/L$15*'2.5 Emission factors'!P$36)</f>
        <v>0.14863864307136632</v>
      </c>
      <c r="M32" s="154">
        <f>('2.5 Emission factors'!Q$14/M$15) + (M$8*'2.5 Emission factors'!Q$36) - (M$16/M$15*'2.5 Emission factors'!Q$36)</f>
        <v>0.156083459012819</v>
      </c>
      <c r="N32" s="154">
        <f>('2.5 Emission factors'!R$14/N$15) + (N$8*'2.5 Emission factors'!R$36) - (N$16/N$15*'2.5 Emission factors'!R$36)</f>
        <v>0.16385365735763852</v>
      </c>
      <c r="O32" s="154">
        <f>('2.5 Emission factors'!S$14/O$15) + (O$8*'2.5 Emission factors'!S$36) - (O$16/O$15*'2.5 Emission factors'!S$36)</f>
        <v>0.17197392396043915</v>
      </c>
      <c r="P32" s="154">
        <f>('2.5 Emission factors'!T$14/P$15) + (P$8*'2.5 Emission factors'!T$36) - (P$16/P$15*'2.5 Emission factors'!T$36)</f>
        <v>0.18057123807358977</v>
      </c>
      <c r="Q32" s="154">
        <f>('2.5 Emission factors'!U$14/Q$15) + (Q$8*'2.5 Emission factors'!U$36) - (Q$16/Q$15*'2.5 Emission factors'!U$36)</f>
        <v>0.18975515802058154</v>
      </c>
      <c r="R32" s="154">
        <f>('2.5 Emission factors'!V$14/R$15) + (R$8*'2.5 Emission factors'!V$36) - (R$16/R$15*'2.5 Emission factors'!V$36)</f>
        <v>0.19930752445667899</v>
      </c>
      <c r="S32" s="154">
        <f>('2.5 Emission factors'!W$14/S$15) + (S$8*'2.5 Emission factors'!W$36) - (S$16/S$15*'2.5 Emission factors'!W$36)</f>
        <v>0.20920044712117811</v>
      </c>
      <c r="T32" s="154">
        <f>('2.5 Emission factors'!X$14/T$15) + (T$8*'2.5 Emission factors'!X$36) - (T$16/T$15*'2.5 Emission factors'!X$36)</f>
        <v>0.21966669708756109</v>
      </c>
      <c r="U32" s="154">
        <f>('2.5 Emission factors'!Y$14/U$15) + (U$8*'2.5 Emission factors'!Y$36) - (U$16/U$15*'2.5 Emission factors'!Y$36)</f>
        <v>0.23051110602976665</v>
      </c>
      <c r="V32" s="154">
        <f>('2.5 Emission factors'!Z$14/V$15) + (V$8*'2.5 Emission factors'!Z$36) - (V$16/V$15*'2.5 Emission factors'!Z$36)</f>
        <v>0.24175330349110441</v>
      </c>
      <c r="W32" s="154">
        <f>('2.5 Emission factors'!AA$14/W$15) + (W$8*'2.5 Emission factors'!AA$36) - (W$16/W$15*'2.5 Emission factors'!AA$36)</f>
        <v>0.25117574962004996</v>
      </c>
      <c r="X32" s="154">
        <f>('2.5 Emission factors'!AB$14/X$15) + (X$8*'2.5 Emission factors'!AB$36) - (X$16/X$15*'2.5 Emission factors'!AB$36)</f>
        <v>0.26128158157125203</v>
      </c>
      <c r="Y32" s="154">
        <f>('2.5 Emission factors'!AC$14/Y$15) + (Y$8*'2.5 Emission factors'!AC$36) - (Y$16/Y$15*'2.5 Emission factors'!AC$36)</f>
        <v>0.27193830560006699</v>
      </c>
      <c r="Z32" s="154">
        <f>('2.5 Emission factors'!AD$14/Z$15) + (Z$8*'2.5 Emission factors'!AD$36) - (Z$16/Z$15*'2.5 Emission factors'!AD$36)</f>
        <v>0.28293372209265366</v>
      </c>
      <c r="AA32" s="154">
        <f>('2.5 Emission factors'!AE$14/AA$15) + (AA$8*'2.5 Emission factors'!AE$36) - (AA$16/AA$15*'2.5 Emission factors'!AE$36)</f>
        <v>0.29634378113617588</v>
      </c>
      <c r="AB32" s="154">
        <f>('2.5 Emission factors'!AF$14/AB$15) + (AB$8*'2.5 Emission factors'!AF$36) - (AB$16/AB$15*'2.5 Emission factors'!AF$36)</f>
        <v>0.30643625819314357</v>
      </c>
      <c r="AC32" s="154">
        <f>('2.5 Emission factors'!AG$14/AC$15) + (AC$8*'2.5 Emission factors'!AG$36) - (AC$16/AC$15*'2.5 Emission factors'!AG$36)</f>
        <v>0.31350856362509377</v>
      </c>
      <c r="AD32" s="154">
        <f>('2.5 Emission factors'!AH$14/AD$15) + (AD$8*'2.5 Emission factors'!AH$36) - (AD$16/AD$15*'2.5 Emission factors'!AH$36)</f>
        <v>0.31788133610792346</v>
      </c>
      <c r="AE32" s="154">
        <f>('2.5 Emission factors'!AI$14/AE$15) + (AE$8*'2.5 Emission factors'!AI$36) - (AE$16/AE$15*'2.5 Emission factors'!AI$36)</f>
        <v>0.32284483227953076</v>
      </c>
      <c r="AF32" s="154">
        <f>('2.5 Emission factors'!AJ$14/AF$15) + (AF$8*'2.5 Emission factors'!AJ$36) - (AF$16/AF$15*'2.5 Emission factors'!AJ$36)</f>
        <v>0.32253053066253673</v>
      </c>
      <c r="AG32" s="154">
        <f>('2.5 Emission factors'!AK$14/AG$15) + (AG$8*'2.5 Emission factors'!AK$36) - (AG$16/AG$15*'2.5 Emission factors'!AK$36)</f>
        <v>0.31979093550722099</v>
      </c>
      <c r="AH32" s="154">
        <f>('2.5 Emission factors'!AL$14/AH$15) + (AH$8*'2.5 Emission factors'!AL$36) - (AH$16/AH$15*'2.5 Emission factors'!AL$36)</f>
        <v>0.31527720142602567</v>
      </c>
      <c r="AI32" s="154">
        <f>('2.5 Emission factors'!AM$14/AI$15) + (AI$8*'2.5 Emission factors'!AM$36) - (AI$16/AI$15*'2.5 Emission factors'!AM$36)</f>
        <v>0.31282514530424027</v>
      </c>
      <c r="AJ32" s="154">
        <f>('2.5 Emission factors'!AN$14/AJ$15) + (AJ$8*'2.5 Emission factors'!AN$36) - (AJ$16/AJ$15*'2.5 Emission factors'!AN$36)</f>
        <v>0.30817742162682715</v>
      </c>
      <c r="AK32" s="154">
        <f>('2.5 Emission factors'!AO$14/AK$15) + (AK$8*'2.5 Emission factors'!AO$36) - (AK$16/AK$15*'2.5 Emission factors'!AO$36)</f>
        <v>0.30109642552766008</v>
      </c>
      <c r="AL32" s="154">
        <f>('2.5 Emission factors'!AP$14/AL$15) + (AL$8*'2.5 Emission factors'!AP$36) - (AL$16/AL$15*'2.5 Emission factors'!AP$36)</f>
        <v>0.28998797541808524</v>
      </c>
      <c r="AM32" s="154">
        <f>('2.5 Emission factors'!AQ$14/AM$15) + (AM$8*'2.5 Emission factors'!AQ$36) - (AM$16/AM$15*'2.5 Emission factors'!AQ$36)</f>
        <v>0.27432696619567631</v>
      </c>
      <c r="AN32" s="154">
        <f>('2.5 Emission factors'!AR$14/AN$15) + (AN$8*'2.5 Emission factors'!AR$36) - (AN$16/AN$15*'2.5 Emission factors'!AR$36)</f>
        <v>0.25187132256536077</v>
      </c>
      <c r="AO32" s="154">
        <f>('2.5 Emission factors'!AS$14/AO$15) + (AO$8*'2.5 Emission factors'!AS$36) - (AO$16/AO$15*'2.5 Emission factors'!AS$36)</f>
        <v>0.21689111543954276</v>
      </c>
      <c r="AP32" s="154">
        <f>('2.5 Emission factors'!AT$14/AP$15) + (AP$8*'2.5 Emission factors'!AT$36) - (AP$16/AP$15*'2.5 Emission factors'!AT$36)</f>
        <v>0.15814689761070028</v>
      </c>
      <c r="AQ32" s="154">
        <f>('2.5 Emission factors'!AU$14/AQ$15) + (AQ$8*'2.5 Emission factors'!AU$36) - (AQ$16/AQ$15*'2.5 Emission factors'!AU$36)</f>
        <v>0.13062448282103442</v>
      </c>
      <c r="AR32" s="154">
        <f>('2.5 Emission factors'!AV$14/AR$15) + (AR$8*'2.5 Emission factors'!AV$36) - (AR$16/AR$15*'2.5 Emission factors'!AV$36)</f>
        <v>0.13071730418665212</v>
      </c>
      <c r="AS32" s="154">
        <f>('2.5 Emission factors'!AW$14/AS$15) + (AS$8*'2.5 Emission factors'!AW$36) - (AS$16/AS$15*'2.5 Emission factors'!AW$36)</f>
        <v>0.13079413513581509</v>
      </c>
      <c r="AT32" s="154">
        <f>('2.5 Emission factors'!AX$14/AT$15) + (AT$8*'2.5 Emission factors'!AX$36) - (AT$16/AT$15*'2.5 Emission factors'!AX$36)</f>
        <v>-1.1227937178709428E-3</v>
      </c>
    </row>
    <row r="33" spans="1:49" ht="18">
      <c r="B33" t="s">
        <v>1284</v>
      </c>
      <c r="C33" s="44" t="s">
        <v>1293</v>
      </c>
      <c r="E33" s="44"/>
      <c r="G33" s="44"/>
      <c r="I33" s="44" t="s">
        <v>56</v>
      </c>
      <c r="K33" s="154">
        <f>('2.5 Emission factors'!O$29/K$17) + K$8*'2.5 Emission factors'!O$29</f>
        <v>6.8543209259455867E-2</v>
      </c>
      <c r="L33" s="154">
        <f>('2.5 Emission factors'!P$29/L$17) + L$8*'2.5 Emission factors'!P$29</f>
        <v>5.4686119844181452E-2</v>
      </c>
      <c r="M33" s="154">
        <f>('2.5 Emission factors'!Q$29/M$17) + M$8*'2.5 Emission factors'!Q$29</f>
        <v>4.8860678820442656E-2</v>
      </c>
      <c r="N33" s="154">
        <f>('2.5 Emission factors'!R$29/N$17) + N$8*'2.5 Emission factors'!R$29</f>
        <v>4.5400067644529432E-2</v>
      </c>
      <c r="O33" s="154">
        <f>('2.5 Emission factors'!S$29/O$17) + O$8*'2.5 Emission factors'!S$29</f>
        <v>4.047872136588973E-2</v>
      </c>
      <c r="P33" s="154">
        <f>('2.5 Emission factors'!T$29/P$17) + P$8*'2.5 Emission factors'!T$29</f>
        <v>3.0310287808449153E-2</v>
      </c>
      <c r="Q33" s="154">
        <f>('2.5 Emission factors'!U$29/Q$17) + Q$8*'2.5 Emission factors'!U$29</f>
        <v>2.8276546403497596E-2</v>
      </c>
      <c r="R33" s="154">
        <f>('2.5 Emission factors'!V$29/R$17) + R$8*'2.5 Emission factors'!V$29</f>
        <v>2.6419252652936768E-2</v>
      </c>
      <c r="S33" s="154">
        <f>('2.5 Emission factors'!W$29/S$17) + S$8*'2.5 Emission factors'!W$29</f>
        <v>2.5342343727490363E-2</v>
      </c>
      <c r="T33" s="154">
        <f>('2.5 Emission factors'!X$29/T$17) + T$8*'2.5 Emission factors'!X$29</f>
        <v>2.7650877908252221E-2</v>
      </c>
      <c r="U33" s="154">
        <f>('2.5 Emission factors'!Y$29/U$17) + U$8*'2.5 Emission factors'!Y$29</f>
        <v>2.338658954226119E-2</v>
      </c>
      <c r="V33" s="154">
        <f>('2.5 Emission factors'!Z$29/V$17) + V$8*'2.5 Emission factors'!Z$29</f>
        <v>1.7239789953450331E-2</v>
      </c>
      <c r="W33" s="154">
        <f>('2.5 Emission factors'!AA$29/W$17) + W$8*'2.5 Emission factors'!AA$29</f>
        <v>1.4267481967463191E-2</v>
      </c>
      <c r="X33" s="154">
        <f>('2.5 Emission factors'!AB$29/X$17) + X$8*'2.5 Emission factors'!AB$29</f>
        <v>1.3193014966870765E-2</v>
      </c>
      <c r="Y33" s="154">
        <f>('2.5 Emission factors'!AC$29/Y$17) + Y$8*'2.5 Emission factors'!AC$29</f>
        <v>1.2352649453095122E-2</v>
      </c>
      <c r="Z33" s="154">
        <f>('2.5 Emission factors'!AD$29/Z$17) + Z$8*'2.5 Emission factors'!AD$29</f>
        <v>9.8038587011441969E-3</v>
      </c>
      <c r="AA33" s="154">
        <f>('2.5 Emission factors'!AE$29/AA$17) + AA$8*'2.5 Emission factors'!AE$29</f>
        <v>7.7639772914456819E-3</v>
      </c>
      <c r="AB33" s="154">
        <f>('2.5 Emission factors'!AF$29/AB$17) + AB$8*'2.5 Emission factors'!AF$29</f>
        <v>6.7105631863725312E-3</v>
      </c>
      <c r="AC33" s="154">
        <f>('2.5 Emission factors'!AG$29/AC$17) + AC$8*'2.5 Emission factors'!AG$29</f>
        <v>5.8276540978307954E-3</v>
      </c>
      <c r="AD33" s="154">
        <f>('2.5 Emission factors'!AH$29/AD$17) + AD$8*'2.5 Emission factors'!AH$29</f>
        <v>5.290429752901166E-3</v>
      </c>
      <c r="AE33" s="154">
        <f>('2.5 Emission factors'!AI$29/AE$17) + AE$8*'2.5 Emission factors'!AI$29</f>
        <v>4.7195653058810239E-3</v>
      </c>
      <c r="AF33" s="154">
        <f>('2.5 Emission factors'!AJ$29/AF$17) + AF$8*'2.5 Emission factors'!AJ$29</f>
        <v>3.9041389474450058E-3</v>
      </c>
      <c r="AG33" s="154">
        <f>('2.5 Emission factors'!AK$29/AG$17) + AG$8*'2.5 Emission factors'!AK$29</f>
        <v>3.4725849103409432E-3</v>
      </c>
      <c r="AH33" s="154">
        <f>('2.5 Emission factors'!AL$29/AH$17) + AH$8*'2.5 Emission factors'!AL$29</f>
        <v>3.3920608901586401E-3</v>
      </c>
      <c r="AI33" s="154">
        <f>('2.5 Emission factors'!AM$29/AI$17) + AI$8*'2.5 Emission factors'!AM$29</f>
        <v>3.2117260078288021E-3</v>
      </c>
      <c r="AJ33" s="154">
        <f>('2.5 Emission factors'!AN$29/AJ$17) + AJ$8*'2.5 Emission factors'!AN$29</f>
        <v>2.9103368788199109E-3</v>
      </c>
      <c r="AK33" s="154">
        <f>('2.5 Emission factors'!AO$29/AK$17) + AK$8*'2.5 Emission factors'!AO$29</f>
        <v>2.4159824060362286E-3</v>
      </c>
      <c r="AL33" s="154">
        <f>('2.5 Emission factors'!AP$29/AL$17) + AL$8*'2.5 Emission factors'!AP$29</f>
        <v>2.2928039959242584E-3</v>
      </c>
      <c r="AM33" s="154">
        <f>('2.5 Emission factors'!AQ$29/AM$17) + AM$8*'2.5 Emission factors'!AQ$29</f>
        <v>2.245992723815665E-3</v>
      </c>
      <c r="AN33" s="154">
        <f>('2.5 Emission factors'!AR$29/AN$17) + AN$8*'2.5 Emission factors'!AR$29</f>
        <v>2.1110060427358304E-3</v>
      </c>
      <c r="AO33" s="154">
        <f>('2.5 Emission factors'!AS$29/AO$17) + AO$8*'2.5 Emission factors'!AS$29</f>
        <v>1.7927337346820922E-3</v>
      </c>
      <c r="AP33" s="154">
        <f>('2.5 Emission factors'!AT$29/AP$17) + AP$8*'2.5 Emission factors'!AT$29</f>
        <v>1.6276516744025003E-3</v>
      </c>
      <c r="AQ33" s="154">
        <f>('2.5 Emission factors'!AU$29/AQ$17) + AQ$8*'2.5 Emission factors'!AU$29</f>
        <v>1.5007632234715603E-3</v>
      </c>
      <c r="AR33" s="154">
        <f>('2.5 Emission factors'!AV$29/AR$17) + AR$8*'2.5 Emission factors'!AV$29</f>
        <v>1.4243802488524955E-3</v>
      </c>
      <c r="AS33" s="154">
        <f>('2.5 Emission factors'!AW$29/AS$17) + AS$8*'2.5 Emission factors'!AW$29</f>
        <v>1.3254441843878705E-3</v>
      </c>
      <c r="AT33" s="154">
        <f>('2.5 Emission factors'!AX$29/AT$17) + AT$8*'2.5 Emission factors'!AX$29</f>
        <v>1.3026887233728965E-3</v>
      </c>
    </row>
    <row r="34" spans="1:49" ht="18">
      <c r="B34" t="s">
        <v>1295</v>
      </c>
      <c r="C34" s="44" t="s">
        <v>1293</v>
      </c>
      <c r="E34" s="44"/>
      <c r="G34" s="44"/>
      <c r="I34" s="44" t="s">
        <v>56</v>
      </c>
      <c r="K34" s="154">
        <f>('2.5 Emission factors'!O$14/K$18) + (K$8*'2.5 Emission factors'!O$29) - (K$19/K$18*'2.5 Emission factors'!O$29)</f>
        <v>7.7030866955139887E-2</v>
      </c>
      <c r="L34" s="154">
        <f>('2.5 Emission factors'!P$14/L$18) + (L$8*'2.5 Emission factors'!P$29) - (L$19/L$18*'2.5 Emission factors'!P$29)</f>
        <v>0.13804752505922657</v>
      </c>
      <c r="M34" s="154">
        <f>('2.5 Emission factors'!Q$14/M$18) + (M$8*'2.5 Emission factors'!Q$29) - (M$19/M$18*'2.5 Emission factors'!Q$29)</f>
        <v>0.16398490331958399</v>
      </c>
      <c r="N34" s="154">
        <f>('2.5 Emission factors'!R$14/N$18) + (N$8*'2.5 Emission factors'!R$29) - (N$19/N$18*'2.5 Emission factors'!R$29)</f>
        <v>0.17925591710294458</v>
      </c>
      <c r="O34" s="154">
        <f>('2.5 Emission factors'!S$14/O$18) + (O$8*'2.5 Emission factors'!S$29) - (O$19/O$18*'2.5 Emission factors'!S$29)</f>
        <v>0.20095642528963772</v>
      </c>
      <c r="P34" s="154">
        <f>('2.5 Emission factors'!T$14/P$18) + (P$8*'2.5 Emission factors'!T$29) - (P$19/P$18*'2.5 Emission factors'!T$29)</f>
        <v>0.24610376380779866</v>
      </c>
      <c r="Q34" s="154">
        <f>('2.5 Emission factors'!U$14/Q$18) + (Q$8*'2.5 Emission factors'!U$29) - (Q$19/Q$18*'2.5 Emission factors'!U$29)</f>
        <v>0.25497708833037735</v>
      </c>
      <c r="R34" s="154">
        <f>('2.5 Emission factors'!V$14/R$18) + (R$8*'2.5 Emission factors'!V$29) - (R$19/R$18*'2.5 Emission factors'!V$29)</f>
        <v>0.26290324732342057</v>
      </c>
      <c r="S34" s="154">
        <f>('2.5 Emission factors'!W$14/S$18) + (S$8*'2.5 Emission factors'!W$29) - (S$19/S$18*'2.5 Emission factors'!W$29)</f>
        <v>0.26712762095099513</v>
      </c>
      <c r="T34" s="154">
        <f>('2.5 Emission factors'!X$14/T$18) + (T$8*'2.5 Emission factors'!X$29) - (T$19/T$18*'2.5 Emission factors'!X$29)</f>
        <v>0.25620123113008841</v>
      </c>
      <c r="U34" s="154">
        <f>('2.5 Emission factors'!Y$14/U$18) + (U$8*'2.5 Emission factors'!Y$29) - (U$19/U$18*'2.5 Emission factors'!Y$29)</f>
        <v>0.27440560270458048</v>
      </c>
      <c r="V34" s="154">
        <f>('2.5 Emission factors'!Z$14/V$18) + (V$8*'2.5 Emission factors'!Z$29) - (V$19/V$18*'2.5 Emission factors'!Z$29)</f>
        <v>0.30076543890530727</v>
      </c>
      <c r="W34" s="154">
        <f>('2.5 Emission factors'!AA$14/W$18) + (W$8*'2.5 Emission factors'!AA$29) - (W$19/W$18*'2.5 Emission factors'!AA$29)</f>
        <v>0.31052089059906307</v>
      </c>
      <c r="X34" s="154">
        <f>('2.5 Emission factors'!AB$14/X$18) + (X$8*'2.5 Emission factors'!AB$29) - (X$19/X$18*'2.5 Emission factors'!AB$29)</f>
        <v>0.31173754845640866</v>
      </c>
      <c r="Y34" s="154">
        <f>('2.5 Emission factors'!AC$14/Y$18) + (Y$8*'2.5 Emission factors'!AC$29) - (Y$19/Y$18*'2.5 Emission factors'!AC$29)</f>
        <v>0.31168282078253612</v>
      </c>
      <c r="Z34" s="154">
        <f>('2.5 Emission factors'!AD$14/Z$18) + (Z$8*'2.5 Emission factors'!AD$29) - (Z$19/Z$18*'2.5 Emission factors'!AD$29)</f>
        <v>0.31879126532026547</v>
      </c>
      <c r="AA34" s="154">
        <f>('2.5 Emission factors'!AE$14/AA$18) + (AA$8*'2.5 Emission factors'!AE$29) - (AA$19/AA$18*'2.5 Emission factors'!AE$29)</f>
        <v>0.32329973240870824</v>
      </c>
      <c r="AB34" s="154">
        <f>('2.5 Emission factors'!AF$14/AB$18) + (AB$8*'2.5 Emission factors'!AF$29) - (AB$19/AB$18*'2.5 Emission factors'!AF$29)</f>
        <v>0.32355328618705442</v>
      </c>
      <c r="AC34" s="154">
        <f>('2.5 Emission factors'!AG$14/AC$18) + (AC$8*'2.5 Emission factors'!AG$29) - (AC$19/AC$18*'2.5 Emission factors'!AG$29)</f>
        <v>0.32284708597217471</v>
      </c>
      <c r="AD34" s="154">
        <f>('2.5 Emission factors'!AH$14/AD$18) + (AD$8*'2.5 Emission factors'!AH$29) - (AD$19/AD$18*'2.5 Emission factors'!AH$29)</f>
        <v>0.32019082978639957</v>
      </c>
      <c r="AE34" s="154">
        <f>('2.5 Emission factors'!AI$14/AE$18) + (AE$8*'2.5 Emission factors'!AI$29) - (AE$19/AE$18*'2.5 Emission factors'!AI$29)</f>
        <v>0.3200163031621962</v>
      </c>
      <c r="AF34" s="154">
        <f>('2.5 Emission factors'!AJ$14/AF$18) + (AF$8*'2.5 Emission factors'!AJ$29) - (AF$19/AF$18*'2.5 Emission factors'!AJ$29)</f>
        <v>0.3173050821526352</v>
      </c>
      <c r="AG34" s="154">
        <f>('2.5 Emission factors'!AK$14/AG$18) + (AG$8*'2.5 Emission factors'!AK$29) - (AG$19/AG$18*'2.5 Emission factors'!AK$29)</f>
        <v>0.31170984737835111</v>
      </c>
      <c r="AH34" s="154">
        <f>('2.5 Emission factors'!AL$14/AH$18) + (AH$8*'2.5 Emission factors'!AL$29) - (AH$19/AH$18*'2.5 Emission factors'!AL$29)</f>
        <v>0.30378077987532748</v>
      </c>
      <c r="AI34" s="154">
        <f>('2.5 Emission factors'!AM$14/AI$18) + (AI$8*'2.5 Emission factors'!AM$29) - (AI$19/AI$18*'2.5 Emission factors'!AM$29)</f>
        <v>0.29903007193495901</v>
      </c>
      <c r="AJ34" s="154">
        <f>('2.5 Emission factors'!AN$14/AJ$18) + (AJ$8*'2.5 Emission factors'!AN$29) - (AJ$19/AJ$18*'2.5 Emission factors'!AN$29)</f>
        <v>0.29332827796229743</v>
      </c>
      <c r="AK34" s="154">
        <f>('2.5 Emission factors'!AO$14/AK$18) + (AK$8*'2.5 Emission factors'!AO$29) - (AK$19/AK$18*'2.5 Emission factors'!AO$29)</f>
        <v>0.28688347641788914</v>
      </c>
      <c r="AL34" s="154">
        <f>('2.5 Emission factors'!AP$14/AL$18) + (AL$8*'2.5 Emission factors'!AP$29) - (AL$19/AL$18*'2.5 Emission factors'!AP$29)</f>
        <v>0.27632288357507689</v>
      </c>
      <c r="AM34" s="154">
        <f>('2.5 Emission factors'!AQ$14/AM$18) + (AM$8*'2.5 Emission factors'!AQ$29) - (AM$19/AM$18*'2.5 Emission factors'!AQ$29)</f>
        <v>0.26134672077053434</v>
      </c>
      <c r="AN34" s="154">
        <f>('2.5 Emission factors'!AR$14/AN$18) + (AN$8*'2.5 Emission factors'!AR$29) - (AN$19/AN$18*'2.5 Emission factors'!AR$29)</f>
        <v>0.23991988300161263</v>
      </c>
      <c r="AO34" s="154">
        <f>('2.5 Emission factors'!AS$14/AO$18) + (AO$8*'2.5 Emission factors'!AS$29) - (AO$19/AO$18*'2.5 Emission factors'!AS$29)</f>
        <v>0.20661682360065492</v>
      </c>
      <c r="AP34" s="154">
        <f>('2.5 Emission factors'!AT$14/AP$18) + (AP$8*'2.5 Emission factors'!AT$29) - (AP$19/AP$18*'2.5 Emission factors'!AT$29)</f>
        <v>0.15043420432021559</v>
      </c>
      <c r="AQ34" s="154">
        <f>('2.5 Emission factors'!AU$14/AQ$18) + (AQ$8*'2.5 Emission factors'!AU$29) - (AQ$19/AQ$18*'2.5 Emission factors'!AU$29)</f>
        <v>0.12414612228419786</v>
      </c>
      <c r="AR34" s="154">
        <f>('2.5 Emission factors'!AV$14/AR$18) + (AR$8*'2.5 Emission factors'!AV$29) - (AR$19/AR$18*'2.5 Emission factors'!AV$29)</f>
        <v>0.12428778783366334</v>
      </c>
      <c r="AS34" s="154">
        <f>('2.5 Emission factors'!AW$14/AS$18) + (AS$8*'2.5 Emission factors'!AW$29) - (AS$19/AS$18*'2.5 Emission factors'!AW$29)</f>
        <v>0.1244296930770286</v>
      </c>
      <c r="AT34" s="154">
        <f>('2.5 Emission factors'!AX$14/AT$18) + (AT$8*'2.5 Emission factors'!AX$29) - (AT$19/AT$18*'2.5 Emission factors'!AX$29)</f>
        <v>-1.9749935754717392E-3</v>
      </c>
    </row>
    <row r="35" spans="1:49" ht="18">
      <c r="B35" t="s">
        <v>1287</v>
      </c>
      <c r="C35" s="44" t="s">
        <v>1293</v>
      </c>
      <c r="E35" s="44"/>
      <c r="G35" s="44"/>
      <c r="I35" s="44" t="s">
        <v>56</v>
      </c>
      <c r="K35" s="154">
        <f>'2.5 Emission factors'!O$29/K$20 + '2.5 Emission factors'!O$29*K$8</f>
        <v>8.8942973920008217E-2</v>
      </c>
      <c r="L35" s="154">
        <f>'2.5 Emission factors'!P$29/L$20 + '2.5 Emission factors'!P$29*L$8</f>
        <v>7.0961750750187833E-2</v>
      </c>
      <c r="M35" s="154">
        <f>'2.5 Emission factors'!Q$29/M$20 + '2.5 Emission factors'!Q$29*M$8</f>
        <v>6.3402547517002972E-2</v>
      </c>
      <c r="N35" s="154">
        <f>'2.5 Emission factors'!R$29/N$20 + '2.5 Emission factors'!R$29*N$8</f>
        <v>5.8911992538734623E-2</v>
      </c>
      <c r="O35" s="154">
        <f>'2.5 Emission factors'!S$29/O$20 + '2.5 Emission factors'!S$29*O$8</f>
        <v>5.2525959867642628E-2</v>
      </c>
      <c r="P35" s="154">
        <f>'2.5 Emission factors'!T$29/P$20 + '2.5 Emission factors'!T$29*P$8</f>
        <v>3.9331206799059021E-2</v>
      </c>
      <c r="Q35" s="154">
        <f>'2.5 Emission factors'!U$29/Q$20 + '2.5 Emission factors'!U$29*Q$8</f>
        <v>3.6692185214062353E-2</v>
      </c>
      <c r="R35" s="154">
        <f>'2.5 Emission factors'!V$29/R$20 + '2.5 Emission factors'!V$29*R$8</f>
        <v>3.4282125466310806E-2</v>
      </c>
      <c r="S35" s="154">
        <f>'2.5 Emission factors'!W$29/S$20 + '2.5 Emission factors'!W$29*S$8</f>
        <v>3.288470793210059E-2</v>
      </c>
      <c r="T35" s="154">
        <f>'2.5 Emission factors'!X$29/T$20 + '2.5 Emission factors'!X$29*T$8</f>
        <v>3.5880305857136814E-2</v>
      </c>
      <c r="U35" s="154">
        <f>'2.5 Emission factors'!Y$29/U$20 + '2.5 Emission factors'!Y$29*U$8</f>
        <v>3.0346884048886545E-2</v>
      </c>
      <c r="V35" s="154">
        <f>'2.5 Emission factors'!Z$29/V$20 + '2.5 Emission factors'!Z$29*V$8</f>
        <v>2.2370679820548644E-2</v>
      </c>
      <c r="W35" s="154">
        <f>'2.5 Emission factors'!AA$29/W$20 + '2.5 Emission factors'!AA$29*W$8</f>
        <v>1.851375636254152E-2</v>
      </c>
      <c r="X35" s="154">
        <f>'2.5 Emission factors'!AB$29/X$20 + '2.5 Emission factors'!AB$29*X$8</f>
        <v>1.7119507516534686E-2</v>
      </c>
      <c r="Y35" s="154">
        <f>'2.5 Emission factors'!AC$29/Y$20 + '2.5 Emission factors'!AC$29*Y$8</f>
        <v>1.6029033218897242E-2</v>
      </c>
      <c r="Z35" s="154">
        <f>'2.5 Emission factors'!AD$29/Z$20 + '2.5 Emission factors'!AD$29*Z$8</f>
        <v>1.2721673790770447E-2</v>
      </c>
      <c r="AA35" s="154">
        <f>'2.5 Emission factors'!AE$29/AA$20 + '2.5 Emission factors'!AE$29*AA$8</f>
        <v>1.0074684818661658E-2</v>
      </c>
      <c r="AB35" s="154">
        <f>'2.5 Emission factors'!AF$29/AB$20 + '2.5 Emission factors'!AF$29*AB$8</f>
        <v>8.7077546108881645E-3</v>
      </c>
      <c r="AC35" s="154">
        <f>'2.5 Emission factors'!AG$29/AC$20 + '2.5 Emission factors'!AG$29*AC$8</f>
        <v>7.562074960280437E-3</v>
      </c>
      <c r="AD35" s="154">
        <f>'2.5 Emission factors'!AH$29/AD$20 + '2.5 Emission factors'!AH$29*AD$8</f>
        <v>6.864962417455084E-3</v>
      </c>
      <c r="AE35" s="154">
        <f>'2.5 Emission factors'!AI$29/AE$20 + '2.5 Emission factors'!AI$29*AE$8</f>
        <v>6.1241978373932334E-3</v>
      </c>
      <c r="AF35" s="154">
        <f>'2.5 Emission factors'!AJ$29/AF$20 + '2.5 Emission factors'!AJ$29*AF$8</f>
        <v>5.0660850627560206E-3</v>
      </c>
      <c r="AG35" s="154">
        <f>'2.5 Emission factors'!AK$29/AG$20 + '2.5 Emission factors'!AK$29*AG$8</f>
        <v>4.5060923241328904E-3</v>
      </c>
      <c r="AH35" s="154">
        <f>'2.5 Emission factors'!AL$29/AH$20 + '2.5 Emission factors'!AL$29*AH$8</f>
        <v>4.4016028217534727E-3</v>
      </c>
      <c r="AI35" s="154">
        <f>'2.5 Emission factors'!AM$29/AI$20 + '2.5 Emission factors'!AM$29*AI$8</f>
        <v>4.1675968434921364E-3</v>
      </c>
      <c r="AJ35" s="154">
        <f>'2.5 Emission factors'!AN$29/AJ$20 + '2.5 Emission factors'!AN$29*AJ$8</f>
        <v>3.7765085689448843E-3</v>
      </c>
      <c r="AK35" s="154">
        <f>'2.5 Emission factors'!AO$29/AK$20 + '2.5 Emission factors'!AO$29*AK$8</f>
        <v>3.1350247887851064E-3</v>
      </c>
      <c r="AL35" s="154">
        <f>'2.5 Emission factors'!AP$29/AL$20 + '2.5 Emission factors'!AP$29*AL$8</f>
        <v>2.9751861375683828E-3</v>
      </c>
      <c r="AM35" s="154">
        <f>'2.5 Emission factors'!AQ$29/AM$20 + '2.5 Emission factors'!AQ$29*AM$8</f>
        <v>2.9144429392369939E-3</v>
      </c>
      <c r="AN35" s="154">
        <f>'2.5 Emission factors'!AR$29/AN$20 + '2.5 Emission factors'!AR$29*AN$8</f>
        <v>2.7392816506929228E-3</v>
      </c>
      <c r="AO35" s="154">
        <f>'2.5 Emission factors'!AS$29/AO$20 + '2.5 Emission factors'!AS$29*AO$8</f>
        <v>2.326285441432715E-3</v>
      </c>
      <c r="AP35" s="154">
        <f>'2.5 Emission factors'!AT$29/AP$20 + '2.5 Emission factors'!AT$29*AP$8</f>
        <v>2.1120718155937207E-3</v>
      </c>
      <c r="AQ35" s="154">
        <f>'2.5 Emission factors'!AU$29/AQ$20 + '2.5 Emission factors'!AU$29*AQ$8</f>
        <v>1.947418944742858E-3</v>
      </c>
      <c r="AR35" s="154">
        <f>'2.5 Emission factors'!AV$29/AR$20 + '2.5 Emission factors'!AV$29*AR$8</f>
        <v>1.8483029419633572E-3</v>
      </c>
      <c r="AS35" s="154">
        <f>'2.5 Emission factors'!AW$29/AS$20 + '2.5 Emission factors'!AW$29*AS$8</f>
        <v>1.7199216202175938E-3</v>
      </c>
      <c r="AT35" s="154">
        <f>'2.5 Emission factors'!AX$29/AT$20 + '2.5 Emission factors'!AX$29*AT$8</f>
        <v>1.6903937005672107E-3</v>
      </c>
    </row>
    <row r="36" spans="1:49" ht="18">
      <c r="B36" t="s">
        <v>1288</v>
      </c>
      <c r="C36" s="44" t="s">
        <v>1293</v>
      </c>
      <c r="E36" s="44"/>
      <c r="G36" s="44"/>
      <c r="I36" s="44" t="s">
        <v>56</v>
      </c>
      <c r="K36" s="154">
        <f>'2.5 Emission factors'!O$29/K$22 + '2.5 Emission factors'!O$29*K$8</f>
        <v>9.0797497980058428E-2</v>
      </c>
      <c r="L36" s="154">
        <f>'2.5 Emission factors'!P$29/L$22 + '2.5 Emission factors'!P$29*L$8</f>
        <v>7.244135355982477E-2</v>
      </c>
      <c r="M36" s="154">
        <f>'2.5 Emission factors'!Q$29/M$22 + '2.5 Emission factors'!Q$29*M$8</f>
        <v>6.472453558032662E-2</v>
      </c>
      <c r="N36" s="154">
        <f>'2.5 Emission factors'!R$29/N$22 + '2.5 Emission factors'!R$29*N$8</f>
        <v>6.0140349347298727E-2</v>
      </c>
      <c r="O36" s="154">
        <f>'2.5 Emission factors'!S$29/O$22 + '2.5 Emission factors'!S$29*O$8</f>
        <v>5.3621163367801976E-2</v>
      </c>
      <c r="P36" s="154">
        <f>'2.5 Emission factors'!T$29/P$22 + '2.5 Emission factors'!T$29*P$8</f>
        <v>4.0151290343659912E-2</v>
      </c>
      <c r="Q36" s="154">
        <f>'2.5 Emission factors'!U$29/Q$22 + '2.5 Emission factors'!U$29*Q$8</f>
        <v>3.7457243287750061E-2</v>
      </c>
      <c r="R36" s="154">
        <f>'2.5 Emission factors'!V$29/R$22 + '2.5 Emission factors'!V$29*R$8</f>
        <v>3.4996932085708442E-2</v>
      </c>
      <c r="S36" s="154">
        <f>'2.5 Emission factors'!W$29/S$22 + '2.5 Emission factors'!W$29*S$8</f>
        <v>3.3570377405246973E-2</v>
      </c>
      <c r="T36" s="154">
        <f>'2.5 Emission factors'!X$29/T$22 + '2.5 Emission factors'!X$29*T$8</f>
        <v>3.6628435670671776E-2</v>
      </c>
      <c r="U36" s="154">
        <f>'2.5 Emission factors'!Y$29/U$22 + '2.5 Emission factors'!Y$29*U$8</f>
        <v>3.0979638094943394E-2</v>
      </c>
      <c r="V36" s="154">
        <f>'2.5 Emission factors'!Z$29/V$22 + '2.5 Emission factors'!Z$29*V$8</f>
        <v>2.2837124353921216E-2</v>
      </c>
      <c r="W36" s="154">
        <f>'2.5 Emission factors'!AA$29/W$22 + '2.5 Emission factors'!AA$29*W$8</f>
        <v>1.889978130754864E-2</v>
      </c>
      <c r="X36" s="154">
        <f>'2.5 Emission factors'!AB$29/X$22 + '2.5 Emission factors'!AB$29*X$8</f>
        <v>1.7476461384685948E-2</v>
      </c>
      <c r="Y36" s="154">
        <f>'2.5 Emission factors'!AC$29/Y$22 + '2.5 Emission factors'!AC$29*Y$8</f>
        <v>1.6363249924879253E-2</v>
      </c>
      <c r="Z36" s="154">
        <f>'2.5 Emission factors'!AD$29/Z$22 + '2.5 Emission factors'!AD$29*Z$8</f>
        <v>1.2986929708009196E-2</v>
      </c>
      <c r="AA36" s="154">
        <f>'2.5 Emission factors'!AE$29/AA$22 + '2.5 Emission factors'!AE$29*AA$8</f>
        <v>1.0284749139317656E-2</v>
      </c>
      <c r="AB36" s="154">
        <f>'2.5 Emission factors'!AF$29/AB$22 + '2.5 Emission factors'!AF$29*AB$8</f>
        <v>8.8893174676623124E-3</v>
      </c>
      <c r="AC36" s="154">
        <f>'2.5 Emission factors'!AG$29/AC$22 + '2.5 Emission factors'!AG$29*AC$8</f>
        <v>7.7197495841394952E-3</v>
      </c>
      <c r="AD36" s="154">
        <f>'2.5 Emission factors'!AH$29/AD$22 + '2.5 Emission factors'!AH$29*AD$8</f>
        <v>7.0081017505963491E-3</v>
      </c>
      <c r="AE36" s="154">
        <f>'2.5 Emission factors'!AI$29/AE$22 + '2.5 Emission factors'!AI$29*AE$8</f>
        <v>6.2518917038943429E-3</v>
      </c>
      <c r="AF36" s="154">
        <f>'2.5 Emission factors'!AJ$29/AF$22 + '2.5 Emission factors'!AJ$29*AF$8</f>
        <v>5.1717165277842935E-3</v>
      </c>
      <c r="AG36" s="154">
        <f>'2.5 Emission factors'!AK$29/AG$22 + '2.5 Emission factors'!AK$29*AG$8</f>
        <v>4.6000475435685213E-3</v>
      </c>
      <c r="AH36" s="154">
        <f>'2.5 Emission factors'!AL$29/AH$22 + '2.5 Emission factors'!AL$29*AH$8</f>
        <v>4.4933793609893665E-3</v>
      </c>
      <c r="AI36" s="154">
        <f>'2.5 Emission factors'!AM$29/AI$22 + '2.5 Emission factors'!AM$29*AI$8</f>
        <v>4.2544941921888024E-3</v>
      </c>
      <c r="AJ36" s="154">
        <f>'2.5 Emission factors'!AN$29/AJ$22 + '2.5 Emission factors'!AN$29*AJ$8</f>
        <v>3.855251449865336E-3</v>
      </c>
      <c r="AK36" s="154">
        <f>'2.5 Emission factors'!AO$29/AK$22 + '2.5 Emission factors'!AO$29*AK$8</f>
        <v>3.2003922781259132E-3</v>
      </c>
      <c r="AL36" s="154">
        <f>'2.5 Emission factors'!AP$29/AL$22 + '2.5 Emission factors'!AP$29*AL$8</f>
        <v>3.0372208777178487E-3</v>
      </c>
      <c r="AM36" s="154">
        <f>'2.5 Emission factors'!AQ$29/AM$22 + '2.5 Emission factors'!AQ$29*AM$8</f>
        <v>2.975211140638933E-3</v>
      </c>
      <c r="AN36" s="154">
        <f>'2.5 Emission factors'!AR$29/AN$22 + '2.5 Emission factors'!AR$29*AN$8</f>
        <v>2.7963976150526581E-3</v>
      </c>
      <c r="AO36" s="154">
        <f>'2.5 Emission factors'!AS$29/AO$22 + '2.5 Emission factors'!AS$29*AO$8</f>
        <v>2.3747901420464079E-3</v>
      </c>
      <c r="AP36" s="154">
        <f>'2.5 Emission factors'!AT$29/AP$22 + '2.5 Emission factors'!AT$29*AP$8</f>
        <v>2.1561100102474679E-3</v>
      </c>
      <c r="AQ36" s="154">
        <f>'2.5 Emission factors'!AU$29/AQ$22 + '2.5 Emission factors'!AU$29*AQ$8</f>
        <v>1.9880240103129759E-3</v>
      </c>
      <c r="AR36" s="154">
        <f>'2.5 Emission factors'!AV$29/AR$22 + '2.5 Emission factors'!AV$29*AR$8</f>
        <v>1.8868413686097991E-3</v>
      </c>
      <c r="AS36" s="154">
        <f>'2.5 Emission factors'!AW$29/AS$22 + '2.5 Emission factors'!AW$29*AS$8</f>
        <v>1.7557832052930229E-3</v>
      </c>
      <c r="AT36" s="154">
        <f>'2.5 Emission factors'!AX$29/AT$22 + '2.5 Emission factors'!AX$29*AT$8</f>
        <v>1.7256396075848758E-3</v>
      </c>
    </row>
    <row r="37" spans="1:49" ht="18">
      <c r="B37" t="s">
        <v>1289</v>
      </c>
      <c r="C37" s="44" t="s">
        <v>1293</v>
      </c>
      <c r="E37" s="44"/>
      <c r="G37" s="44"/>
      <c r="I37" s="44" t="s">
        <v>56</v>
      </c>
      <c r="K37" s="154">
        <f>'2.5 Emission factors'!O$29/K$23 + '2.5 Emission factors'!O$29*K$8</f>
        <v>6.3835571260866877E-2</v>
      </c>
      <c r="L37" s="154">
        <f>'2.5 Emission factors'!P$29/L$23 + '2.5 Emission factors'!P$29*L$8</f>
        <v>5.0930205019718441E-2</v>
      </c>
      <c r="M37" s="154">
        <f>'2.5 Emission factors'!Q$29/M$23 + '2.5 Emission factors'!Q$29*M$8</f>
        <v>4.5504862967390279E-2</v>
      </c>
      <c r="N37" s="154">
        <f>'2.5 Emission factors'!R$29/N$23 + '2.5 Emission factors'!R$29*N$8</f>
        <v>4.2281931130482085E-2</v>
      </c>
      <c r="O37" s="154">
        <f>'2.5 Emission factors'!S$29/O$23 + '2.5 Emission factors'!S$29*O$8</f>
        <v>3.7698589403946756E-2</v>
      </c>
      <c r="P37" s="154">
        <f>'2.5 Emission factors'!T$29/P$23 + '2.5 Emission factors'!T$29*P$8</f>
        <v>2.8228537272154571E-2</v>
      </c>
      <c r="Q37" s="154">
        <f>'2.5 Emission factors'!U$29/Q$23 + '2.5 Emission factors'!U$29*Q$8</f>
        <v>2.6334475908751882E-2</v>
      </c>
      <c r="R37" s="154">
        <f>'2.5 Emission factors'!V$29/R$23 + '2.5 Emission factors'!V$29*R$8</f>
        <v>2.4604743542158143E-2</v>
      </c>
      <c r="S37" s="154">
        <f>'2.5 Emission factors'!W$29/S$23 + '2.5 Emission factors'!W$29*S$8</f>
        <v>2.360179814181108E-2</v>
      </c>
      <c r="T37" s="154">
        <f>'2.5 Emission factors'!X$29/T$23 + '2.5 Emission factors'!X$29*T$8</f>
        <v>2.5751779150817319E-2</v>
      </c>
      <c r="U37" s="154">
        <f>'2.5 Emission factors'!Y$29/U$23 + '2.5 Emission factors'!Y$29*U$8</f>
        <v>2.1780367733039954E-2</v>
      </c>
      <c r="V37" s="154">
        <f>'2.5 Emission factors'!Z$29/V$23 + '2.5 Emission factors'!Z$29*V$8</f>
        <v>1.6055738445658413E-2</v>
      </c>
      <c r="W37" s="154">
        <f>'2.5 Emission factors'!AA$29/W$23 + '2.5 Emission factors'!AA$29*W$8</f>
        <v>1.3287572491675885E-2</v>
      </c>
      <c r="X37" s="154">
        <f>'2.5 Emission factors'!AB$29/X$23 + '2.5 Emission factors'!AB$29*X$8</f>
        <v>1.2286901301563707E-2</v>
      </c>
      <c r="Y37" s="154">
        <f>'2.5 Emission factors'!AC$29/Y$23 + '2.5 Emission factors'!AC$29*Y$8</f>
        <v>1.1504253199448479E-2</v>
      </c>
      <c r="Z37" s="154">
        <f>'2.5 Emission factors'!AD$29/Z$23 + '2.5 Emission factors'!AD$29*Z$8</f>
        <v>9.1305167573842924E-3</v>
      </c>
      <c r="AA37" s="154">
        <f>'2.5 Emission factors'!AE$29/AA$23 + '2.5 Emission factors'!AE$29*AA$8</f>
        <v>7.2307370928573799E-3</v>
      </c>
      <c r="AB37" s="154">
        <f>'2.5 Emission factors'!AF$29/AB$23 + '2.5 Emission factors'!AF$29*AB$8</f>
        <v>6.2496728576381527E-3</v>
      </c>
      <c r="AC37" s="154">
        <f>'2.5 Emission factors'!AG$29/AC$23 + '2.5 Emission factors'!AG$29*AC$8</f>
        <v>5.4274031295731863E-3</v>
      </c>
      <c r="AD37" s="154">
        <f>'2.5 Emission factors'!AH$29/AD$23 + '2.5 Emission factors'!AH$29*AD$8</f>
        <v>4.9270760610810307E-3</v>
      </c>
      <c r="AE37" s="154">
        <f>'2.5 Emission factors'!AI$29/AE$23 + '2.5 Emission factors'!AI$29*AE$8</f>
        <v>4.3954193370705141E-3</v>
      </c>
      <c r="AF37" s="154">
        <f>'2.5 Emission factors'!AJ$29/AF$23 + '2.5 Emission factors'!AJ$29*AF$8</f>
        <v>3.6359975362193877E-3</v>
      </c>
      <c r="AG37" s="154">
        <f>'2.5 Emission factors'!AK$29/AG$23 + '2.5 Emission factors'!AK$29*AG$8</f>
        <v>3.2340831994658783E-3</v>
      </c>
      <c r="AH37" s="154">
        <f>'2.5 Emission factors'!AL$29/AH$23 + '2.5 Emission factors'!AL$29*AH$8</f>
        <v>3.1590896751752169E-3</v>
      </c>
      <c r="AI37" s="154">
        <f>'2.5 Emission factors'!AM$29/AI$23 + '2.5 Emission factors'!AM$29*AI$8</f>
        <v>2.9911404303680326E-3</v>
      </c>
      <c r="AJ37" s="154">
        <f>'2.5 Emission factors'!AN$29/AJ$23 + '2.5 Emission factors'!AN$29*AJ$8</f>
        <v>2.7104511041756863E-3</v>
      </c>
      <c r="AK37" s="154">
        <f>'2.5 Emission factors'!AO$29/AK$23 + '2.5 Emission factors'!AO$29*AK$8</f>
        <v>2.2500495484787954E-3</v>
      </c>
      <c r="AL37" s="154">
        <f>'2.5 Emission factors'!AP$29/AL$23 + '2.5 Emission factors'!AP$29*AL$8</f>
        <v>2.1353311940063837E-3</v>
      </c>
      <c r="AM37" s="154">
        <f>'2.5 Emission factors'!AQ$29/AM$23 + '2.5 Emission factors'!AQ$29*AM$8</f>
        <v>2.0917349817953586E-3</v>
      </c>
      <c r="AN37" s="154">
        <f>'2.5 Emission factors'!AR$29/AN$23 + '2.5 Emission factors'!AR$29*AN$8</f>
        <v>1.9660193639765016E-3</v>
      </c>
      <c r="AO37" s="154">
        <f>'2.5 Emission factors'!AS$29/AO$23 + '2.5 Emission factors'!AS$29*AO$8</f>
        <v>1.669606417739641E-3</v>
      </c>
      <c r="AP37" s="154">
        <f>'2.5 Emission factors'!AT$29/AP$23 + '2.5 Emission factors'!AT$29*AP$8</f>
        <v>1.5158624110506802E-3</v>
      </c>
      <c r="AQ37" s="154">
        <f>'2.5 Emission factors'!AU$29/AQ$23 + '2.5 Emission factors'!AU$29*AQ$8</f>
        <v>1.3976888262551069E-3</v>
      </c>
      <c r="AR37" s="154">
        <f>'2.5 Emission factors'!AV$29/AR$23 + '2.5 Emission factors'!AV$29*AR$8</f>
        <v>1.3265519350576813E-3</v>
      </c>
      <c r="AS37" s="154">
        <f>'2.5 Emission factors'!AW$29/AS$23 + '2.5 Emission factors'!AW$29*AS$8</f>
        <v>1.2344109299656267E-3</v>
      </c>
      <c r="AT37" s="154">
        <f>'2.5 Emission factors'!AX$29/AT$23 + '2.5 Emission factors'!AX$29*AT$8</f>
        <v>1.2132183440203624E-3</v>
      </c>
    </row>
    <row r="38" spans="1:49" ht="18">
      <c r="B38" t="s">
        <v>1290</v>
      </c>
      <c r="C38" s="44" t="s">
        <v>1293</v>
      </c>
      <c r="E38" s="44"/>
      <c r="G38" s="44"/>
      <c r="I38" s="44" t="s">
        <v>56</v>
      </c>
      <c r="K38" s="154">
        <f>'2.5 Emission factors'!O$29/K$24 + '2.5 Emission factors'!O$29*K$8</f>
        <v>0.15190917665179182</v>
      </c>
      <c r="L38" s="154">
        <f>'2.5 Emission factors'!P$29/L$24 + '2.5 Emission factors'!P$29*L$8</f>
        <v>0.12119834378290045</v>
      </c>
      <c r="M38" s="154">
        <f>'2.5 Emission factors'!Q$29/M$24 + '2.5 Emission factors'!Q$29*M$8</f>
        <v>0.10828768554103164</v>
      </c>
      <c r="N38" s="154">
        <f>'2.5 Emission factors'!R$29/N$24 + '2.5 Emission factors'!R$29*N$8</f>
        <v>0.1006180914247853</v>
      </c>
      <c r="O38" s="154">
        <f>'2.5 Emission factors'!S$29/O$24 + '2.5 Emission factors'!S$29*O$8</f>
        <v>8.9711136975415343E-2</v>
      </c>
      <c r="P38" s="154">
        <f>'2.5 Emission factors'!T$29/P$24 + '2.5 Emission factors'!T$29*P$8</f>
        <v>6.7175303211020179E-2</v>
      </c>
      <c r="Q38" s="154">
        <f>'2.5 Emission factors'!U$29/Q$24 + '2.5 Emission factors'!U$29*Q$8</f>
        <v>6.1516695064531376E-2</v>
      </c>
      <c r="R38" s="154">
        <f>'2.5 Emission factors'!V$29/R$24 + '2.5 Emission factors'!V$29*R$8</f>
        <v>5.6441130667637639E-2</v>
      </c>
      <c r="S38" s="154">
        <f>'2.5 Emission factors'!W$29/S$24 + '2.5 Emission factors'!W$29*S$8</f>
        <v>5.3184602668672358E-2</v>
      </c>
      <c r="T38" s="154">
        <f>'2.5 Emission factors'!X$29/T$24 + '2.5 Emission factors'!X$29*T$8</f>
        <v>5.7024529492227145E-2</v>
      </c>
      <c r="U38" s="154">
        <f>'2.5 Emission factors'!Y$29/U$24 + '2.5 Emission factors'!Y$29*U$8</f>
        <v>4.7410831871580954E-2</v>
      </c>
      <c r="V38" s="154">
        <f>'2.5 Emission factors'!Z$29/V$24 + '2.5 Emission factors'!Z$29*V$8</f>
        <v>3.4366844861933435E-2</v>
      </c>
      <c r="W38" s="154">
        <f>'2.5 Emission factors'!AA$29/W$24 + '2.5 Emission factors'!AA$29*W$8</f>
        <v>2.7976042557802575E-2</v>
      </c>
      <c r="X38" s="154">
        <f>'2.5 Emission factors'!AB$29/X$24 + '2.5 Emission factors'!AB$29*X$8</f>
        <v>2.5453287621943817E-2</v>
      </c>
      <c r="Y38" s="154">
        <f>'2.5 Emission factors'!AC$29/Y$24 + '2.5 Emission factors'!AC$29*Y$8</f>
        <v>2.3455574337775103E-2</v>
      </c>
      <c r="Z38" s="154">
        <f>'2.5 Emission factors'!AD$29/Z$24 + '2.5 Emission factors'!AD$29*Z$8</f>
        <v>1.8326950147157715E-2</v>
      </c>
      <c r="AA38" s="154">
        <f>'2.5 Emission factors'!AE$29/AA$24 + '2.5 Emission factors'!AE$29*AA$8</f>
        <v>1.4513675594629193E-2</v>
      </c>
      <c r="AB38" s="154">
        <f>'2.5 Emission factors'!AF$29/AB$24 + '2.5 Emission factors'!AF$29*AB$8</f>
        <v>1.254446445272083E-2</v>
      </c>
      <c r="AC38" s="154">
        <f>'2.5 Emission factors'!AG$29/AC$24 + '2.5 Emission factors'!AG$29*AC$8</f>
        <v>1.0893988722354747E-2</v>
      </c>
      <c r="AD38" s="154">
        <f>'2.5 Emission factors'!AH$29/AD$24 + '2.5 Emission factors'!AH$29*AD$8</f>
        <v>9.8897225362034012E-3</v>
      </c>
      <c r="AE38" s="154">
        <f>'2.5 Emission factors'!AI$29/AE$24 + '2.5 Emission factors'!AI$29*AE$8</f>
        <v>8.8225708584561621E-3</v>
      </c>
      <c r="AF38" s="154">
        <f>'2.5 Emission factors'!AJ$29/AF$24 + '2.5 Emission factors'!AJ$29*AF$8</f>
        <v>7.2982447053271783E-3</v>
      </c>
      <c r="AG38" s="154">
        <f>'2.5 Emission factors'!AK$29/AG$24 + '2.5 Emission factors'!AK$29*AG$8</f>
        <v>6.4915144611542627E-3</v>
      </c>
      <c r="AH38" s="154">
        <f>'2.5 Emission factors'!AL$29/AH$24 + '2.5 Emission factors'!AL$29*AH$8</f>
        <v>6.340986006133021E-3</v>
      </c>
      <c r="AI38" s="154">
        <f>'2.5 Emission factors'!AM$29/AI$24 + '2.5 Emission factors'!AM$29*AI$8</f>
        <v>6.0038750277927513E-3</v>
      </c>
      <c r="AJ38" s="154">
        <f>'2.5 Emission factors'!AN$29/AJ$24 + '2.5 Emission factors'!AN$29*AJ$8</f>
        <v>5.4404699736586484E-3</v>
      </c>
      <c r="AK38" s="154">
        <f>'2.5 Emission factors'!AO$29/AK$24 + '2.5 Emission factors'!AO$29*AK$8</f>
        <v>4.5163430503816345E-3</v>
      </c>
      <c r="AL38" s="154">
        <f>'2.5 Emission factors'!AP$29/AL$24 + '2.5 Emission factors'!AP$29*AL$8</f>
        <v>4.2860781465163065E-3</v>
      </c>
      <c r="AM38" s="154">
        <f>'2.5 Emission factors'!AQ$29/AM$24 + '2.5 Emission factors'!AQ$29*AM$8</f>
        <v>4.1985709846516523E-3</v>
      </c>
      <c r="AN38" s="154">
        <f>'2.5 Emission factors'!AR$29/AN$24 + '2.5 Emission factors'!AR$29*AN$8</f>
        <v>3.9462321607157584E-3</v>
      </c>
      <c r="AO38" s="154">
        <f>'2.5 Emission factors'!AS$29/AO$24 + '2.5 Emission factors'!AS$29*AO$8</f>
        <v>3.3512663517694377E-3</v>
      </c>
      <c r="AP38" s="154">
        <f>'2.5 Emission factors'!AT$29/AP$24 + '2.5 Emission factors'!AT$29*AP$8</f>
        <v>3.0426684026189595E-3</v>
      </c>
      <c r="AQ38" s="154">
        <f>'2.5 Emission factors'!AU$29/AQ$24 + '2.5 Emission factors'!AU$29*AQ$8</f>
        <v>2.8054680935008774E-3</v>
      </c>
      <c r="AR38" s="154">
        <f>'2.5 Emission factors'!AV$29/AR$24 + '2.5 Emission factors'!AV$29*AR$8</f>
        <v>2.6626807471500126E-3</v>
      </c>
      <c r="AS38" s="154">
        <f>'2.5 Emission factors'!AW$29/AS$24 + '2.5 Emission factors'!AW$29*AS$8</f>
        <v>2.4777335364167992E-3</v>
      </c>
      <c r="AT38" s="154">
        <f>'2.5 Emission factors'!AX$29/AT$24 + '2.5 Emission factors'!AX$29*AT$8</f>
        <v>2.4351953672826043E-3</v>
      </c>
    </row>
    <row r="39" spans="1:49" ht="18">
      <c r="B39" t="s">
        <v>1291</v>
      </c>
      <c r="C39" s="44" t="s">
        <v>1293</v>
      </c>
      <c r="E39" s="44"/>
      <c r="G39" s="44"/>
      <c r="I39" s="44" t="s">
        <v>56</v>
      </c>
      <c r="K39" s="154">
        <f>'2.5 Emission factors'!O$29/K$25 + '2.5 Emission factors'!O$29*K$8</f>
        <v>0.13663819833763766</v>
      </c>
      <c r="L39" s="154">
        <f>'2.5 Emission factors'!P$29/L$25 + '2.5 Emission factors'!P$29*L$8</f>
        <v>0.109014634276907</v>
      </c>
      <c r="M39" s="154">
        <f>'2.5 Emission factors'!Q$29/M$25 + '2.5 Emission factors'!Q$29*M$8</f>
        <v>9.7401846159665115E-2</v>
      </c>
      <c r="N39" s="154">
        <f>'2.5 Emission factors'!R$29/N$25 + '2.5 Emission factors'!R$29*N$8</f>
        <v>9.0503253558989014E-2</v>
      </c>
      <c r="O39" s="154">
        <f>'2.5 Emission factors'!S$29/O$25 + '2.5 Emission factors'!S$29*O$8</f>
        <v>8.0692742843571932E-2</v>
      </c>
      <c r="P39" s="154">
        <f>'2.5 Emission factors'!T$29/P$25 + '2.5 Emission factors'!T$29*P$8</f>
        <v>6.0422369509498988E-2</v>
      </c>
      <c r="Q39" s="154">
        <f>'2.5 Emission factors'!U$29/Q$25 + '2.5 Emission factors'!U$29*Q$8</f>
        <v>5.5445373428608058E-2</v>
      </c>
      <c r="R39" s="154">
        <f>'2.5 Emission factors'!V$29/R$25 + '2.5 Emission factors'!V$29*R$8</f>
        <v>5.0970671845716929E-2</v>
      </c>
      <c r="S39" s="154">
        <f>'2.5 Emission factors'!W$29/S$25 + '2.5 Emission factors'!W$29*S$8</f>
        <v>4.812078813138012E-2</v>
      </c>
      <c r="T39" s="154">
        <f>'2.5 Emission factors'!X$29/T$25 + '2.5 Emission factors'!X$29*T$8</f>
        <v>5.1689470074730896E-2</v>
      </c>
      <c r="U39" s="154">
        <f>'2.5 Emission factors'!Y$29/U$25 + '2.5 Emission factors'!Y$29*U$8</f>
        <v>4.3051110915348356E-2</v>
      </c>
      <c r="V39" s="154">
        <f>'2.5 Emission factors'!Z$29/V$25 + '2.5 Emission factors'!Z$29*V$8</f>
        <v>3.1259864813228525E-2</v>
      </c>
      <c r="W39" s="154">
        <f>'2.5 Emission factors'!AA$29/W$25 + '2.5 Emission factors'!AA$29*W$8</f>
        <v>2.5488827782670191E-2</v>
      </c>
      <c r="X39" s="154">
        <f>'2.5 Emission factors'!AB$29/X$25 + '2.5 Emission factors'!AB$29*X$8</f>
        <v>2.322738481601189E-2</v>
      </c>
      <c r="Y39" s="154">
        <f>'2.5 Emission factors'!AC$29/Y$25 + '2.5 Emission factors'!AC$29*Y$8</f>
        <v>2.1437451889560543E-2</v>
      </c>
      <c r="Z39" s="154">
        <f>'2.5 Emission factors'!AD$29/Z$25 + '2.5 Emission factors'!AD$29*Z$8</f>
        <v>1.6775165412287154E-2</v>
      </c>
      <c r="AA39" s="154">
        <f>'2.5 Emission factors'!AE$29/AA$25 + '2.5 Emission factors'!AE$29*AA$8</f>
        <v>1.3284769527129363E-2</v>
      </c>
      <c r="AB39" s="154">
        <f>'2.5 Emission factors'!AF$29/AB$25 + '2.5 Emission factors'!AF$29*AB$8</f>
        <v>1.1482295991053597E-2</v>
      </c>
      <c r="AC39" s="154">
        <f>'2.5 Emission factors'!AG$29/AC$25 + '2.5 Emission factors'!AG$29*AC$8</f>
        <v>9.9715698111086815E-3</v>
      </c>
      <c r="AD39" s="154">
        <f>'2.5 Emission factors'!AH$29/AD$25 + '2.5 Emission factors'!AH$29*AD$8</f>
        <v>9.0523371370749006E-3</v>
      </c>
      <c r="AE39" s="154">
        <f>'2.5 Emission factors'!AI$29/AE$25 + '2.5 Emission factors'!AI$29*AE$8</f>
        <v>8.0755436296736684E-3</v>
      </c>
      <c r="AF39" s="154">
        <f>'2.5 Emission factors'!AJ$29/AF$25 + '2.5 Emission factors'!AJ$29*AF$8</f>
        <v>6.6802856540862914E-3</v>
      </c>
      <c r="AG39" s="154">
        <f>'2.5 Emission factors'!AK$29/AG$25 + '2.5 Emission factors'!AK$29*AG$8</f>
        <v>5.941863102574399E-3</v>
      </c>
      <c r="AH39" s="154">
        <f>'2.5 Emission factors'!AL$29/AH$25 + '2.5 Emission factors'!AL$29*AH$8</f>
        <v>5.8040802357055771E-3</v>
      </c>
      <c r="AI39" s="154">
        <f>'2.5 Emission factors'!AM$29/AI$25 + '2.5 Emission factors'!AM$29*AI$8</f>
        <v>5.4955132139944919E-3</v>
      </c>
      <c r="AJ39" s="154">
        <f>'2.5 Emission factors'!AN$29/AJ$25 + '2.5 Emission factors'!AN$29*AJ$8</f>
        <v>4.9798129528310746E-3</v>
      </c>
      <c r="AK39" s="154">
        <f>'2.5 Emission factors'!AO$29/AK$25 + '2.5 Emission factors'!AO$29*AK$8</f>
        <v>4.1339339672146853E-3</v>
      </c>
      <c r="AL39" s="154">
        <f>'2.5 Emission factors'!AP$29/AL$25 + '2.5 Emission factors'!AP$29*AL$8</f>
        <v>3.9231661187745922E-3</v>
      </c>
      <c r="AM39" s="154">
        <f>'2.5 Emission factors'!AQ$29/AM$25 + '2.5 Emission factors'!AQ$29*AM$8</f>
        <v>3.843068388205547E-3</v>
      </c>
      <c r="AN39" s="154">
        <f>'2.5 Emission factors'!AR$29/AN$25 + '2.5 Emission factors'!AR$29*AN$8</f>
        <v>3.6120956689327157E-3</v>
      </c>
      <c r="AO39" s="154">
        <f>'2.5 Emission factors'!AS$29/AO$25 + '2.5 Emission factors'!AS$29*AO$8</f>
        <v>3.067506974164119E-3</v>
      </c>
      <c r="AP39" s="154">
        <f>'2.5 Emission factors'!AT$29/AP$25 + '2.5 Emission factors'!AT$29*AP$8</f>
        <v>2.785038718326434E-3</v>
      </c>
      <c r="AQ39" s="154">
        <f>'2.5 Emission factors'!AU$29/AQ$25 + '2.5 Emission factors'!AU$29*AQ$8</f>
        <v>2.5679227012395112E-3</v>
      </c>
      <c r="AR39" s="154">
        <f>'2.5 Emission factors'!AV$29/AR$25 + '2.5 Emission factors'!AV$29*AR$8</f>
        <v>2.4372254856862311E-3</v>
      </c>
      <c r="AS39" s="154">
        <f>'2.5 Emission factors'!AW$29/AS$25 + '2.5 Emission factors'!AW$29*AS$8</f>
        <v>2.2679381777774492E-3</v>
      </c>
      <c r="AT39" s="154">
        <f>'2.5 Emission factors'!AX$29/AT$25 + '2.5 Emission factors'!AX$29*AT$8</f>
        <v>2.2290018125976359E-3</v>
      </c>
    </row>
    <row r="40" spans="1:49" ht="18">
      <c r="B40" t="s">
        <v>272</v>
      </c>
      <c r="C40" s="44" t="s">
        <v>1293</v>
      </c>
      <c r="E40" s="44"/>
      <c r="G40" s="44"/>
      <c r="I40" s="44" t="s">
        <v>56</v>
      </c>
      <c r="K40" s="154">
        <f>'2.5 Emission factors'!O$14/K$26 + '2.5 Emission factors'!O$29*K$8</f>
        <v>0.21883816815136206</v>
      </c>
      <c r="L40" s="154">
        <f>'2.5 Emission factors'!P$14/L$26 + '2.5 Emission factors'!P$29*L$8</f>
        <v>0.21685295022294154</v>
      </c>
      <c r="M40" s="154">
        <f>'2.5 Emission factors'!Q$14/M$26 + '2.5 Emission factors'!Q$29*M$8</f>
        <v>0.21617634820576148</v>
      </c>
      <c r="N40" s="154">
        <f>'2.5 Emission factors'!R$14/N$26 + '2.5 Emission factors'!R$29*N$8</f>
        <v>0.21569875883194722</v>
      </c>
      <c r="O40" s="154">
        <f>'2.5 Emission factors'!S$14/O$26 + '2.5 Emission factors'!S$29*O$8</f>
        <v>0.21501050180184894</v>
      </c>
      <c r="P40" s="154">
        <f>'2.5 Emission factors'!T$14/P$26 + '2.5 Emission factors'!T$29*P$8</f>
        <v>0.21375945494796067</v>
      </c>
      <c r="Q40" s="154">
        <f>'2.5 Emission factors'!U$14/Q$26 + '2.5 Emission factors'!U$29*Q$8</f>
        <v>0.21342295690753141</v>
      </c>
      <c r="R40" s="154">
        <f>'2.5 Emission factors'!V$14/R$26 + '2.5 Emission factors'!V$29*R$8</f>
        <v>0.2130178246217701</v>
      </c>
      <c r="S40" s="154">
        <f>'2.5 Emission factors'!W$14/S$26 + '2.5 Emission factors'!W$29*S$8</f>
        <v>0.21257799289750393</v>
      </c>
      <c r="T40" s="154">
        <f>'2.5 Emission factors'!X$14/T$26 + '2.5 Emission factors'!X$29*T$8</f>
        <v>0.21248871366578637</v>
      </c>
      <c r="U40" s="154">
        <f>'2.5 Emission factors'!Y$14/U$26 + '2.5 Emission factors'!Y$29*U$8</f>
        <v>0.21156194035152173</v>
      </c>
      <c r="V40" s="154">
        <f>'2.5 Emission factors'!Z$14/V$26 + '2.5 Emission factors'!Z$29*V$8</f>
        <v>0.21029167221962486</v>
      </c>
      <c r="W40" s="154">
        <f>'2.5 Emission factors'!AA$14/W$26 + '2.5 Emission factors'!AA$29*W$8</f>
        <v>0.20802725223942223</v>
      </c>
      <c r="X40" s="154">
        <f>'2.5 Emission factors'!AB$14/X$26 + '2.5 Emission factors'!AB$29*X$8</f>
        <v>0.20593427336732034</v>
      </c>
      <c r="Y40" s="154">
        <f>'2.5 Emission factors'!AC$14/Y$26 + '2.5 Emission factors'!AC$29*Y$8</f>
        <v>0.20374210396316733</v>
      </c>
      <c r="Z40" s="154">
        <f>'2.5 Emission factors'!AD$14/Z$26 + '2.5 Emission factors'!AD$29*Z$8</f>
        <v>0.20110683213075017</v>
      </c>
      <c r="AA40" s="154">
        <f>'2.5 Emission factors'!AE$14/AA$26 + '2.5 Emission factors'!AE$29*AA$8</f>
        <v>0.19834634074006319</v>
      </c>
      <c r="AB40" s="154">
        <f>'2.5 Emission factors'!AF$14/AB$26 + '2.5 Emission factors'!AF$29*AB$8</f>
        <v>0.19577615604449827</v>
      </c>
      <c r="AC40" s="154">
        <f>'2.5 Emission factors'!AG$14/AC$26 + '2.5 Emission factors'!AG$29*AC$8</f>
        <v>0.19311510335702314</v>
      </c>
      <c r="AD40" s="154">
        <f>'2.5 Emission factors'!AH$14/AD$26 + '2.5 Emission factors'!AH$29*AD$8</f>
        <v>0.19026748706664723</v>
      </c>
      <c r="AE40" s="154">
        <f>'2.5 Emission factors'!AI$14/AE$26 + '2.5 Emission factors'!AI$29*AE$8</f>
        <v>0.18870255633084893</v>
      </c>
      <c r="AF40" s="154">
        <f>'2.5 Emission factors'!AJ$14/AF$26 + '2.5 Emission factors'!AJ$29*AF$8</f>
        <v>0.18510889540097678</v>
      </c>
      <c r="AG40" s="154">
        <f>'2.5 Emission factors'!AK$14/AG$26 + '2.5 Emission factors'!AK$29*AG$8</f>
        <v>0.18091162746699943</v>
      </c>
      <c r="AH40" s="154">
        <f>'2.5 Emission factors'!AL$14/AH$26 + '2.5 Emission factors'!AL$29*AH$8</f>
        <v>0.17632980860060113</v>
      </c>
      <c r="AI40" s="154">
        <f>'2.5 Emission factors'!AM$14/AI$26 + '2.5 Emission factors'!AM$29*AI$8</f>
        <v>0.17324478800149751</v>
      </c>
      <c r="AJ40" s="154">
        <f>'2.5 Emission factors'!AN$14/AJ$26 + '2.5 Emission factors'!AN$29*AJ$8</f>
        <v>0.16932359885094098</v>
      </c>
      <c r="AK40" s="154">
        <f>'2.5 Emission factors'!AO$14/AK$26 + '2.5 Emission factors'!AO$29*AK$8</f>
        <v>0.16449604024805911</v>
      </c>
      <c r="AL40" s="154">
        <f>'2.5 Emission factors'!AP$14/AL$26 + '2.5 Emission factors'!AP$29*AL$8</f>
        <v>0.15835261008512344</v>
      </c>
      <c r="AM40" s="154">
        <f>'2.5 Emission factors'!AQ$14/AM$26 + '2.5 Emission factors'!AQ$29*AM$8</f>
        <v>0.14996947008035749</v>
      </c>
      <c r="AN40" s="154">
        <f>'2.5 Emission factors'!AR$14/AN$26 + '2.5 Emission factors'!AR$29*AN$8</f>
        <v>0.13780049163546504</v>
      </c>
      <c r="AO40" s="154">
        <f>'2.5 Emission factors'!AS$14/AO$26 + '2.5 Emission factors'!AS$29*AO$8</f>
        <v>0.11860758342961122</v>
      </c>
      <c r="AP40" s="154">
        <f>'2.5 Emission factors'!AT$14/AP$26 + '2.5 Emission factors'!AT$29*AP$8</f>
        <v>8.7185576210940169E-2</v>
      </c>
      <c r="AQ40" s="154">
        <f>'2.5 Emission factors'!AU$14/AQ$26 + '2.5 Emission factors'!AU$29*AQ$8</f>
        <v>7.2355365957084652E-2</v>
      </c>
      <c r="AR40" s="154">
        <f>'2.5 Emission factors'!AV$14/AR$26 + '2.5 Emission factors'!AV$29*AR$8</f>
        <v>7.2237018829229116E-2</v>
      </c>
      <c r="AS40" s="154">
        <f>'2.5 Emission factors'!AW$14/AS$26 + '2.5 Emission factors'!AW$29*AS$8</f>
        <v>7.2060782511939744E-2</v>
      </c>
      <c r="AT40" s="154">
        <f>'2.5 Emission factors'!AX$14/AT$26 + '2.5 Emission factors'!AX$29*AT$8</f>
        <v>2.2617236715697553E-3</v>
      </c>
    </row>
    <row r="41" spans="1:49" ht="18">
      <c r="B41" t="s">
        <v>211</v>
      </c>
      <c r="C41" s="44" t="s">
        <v>1293</v>
      </c>
      <c r="E41" s="44"/>
      <c r="G41" s="44"/>
      <c r="I41" s="44" t="s">
        <v>56</v>
      </c>
      <c r="K41" s="154">
        <f>'2.5 Emission factors'!O$62/K$26 + '2.5 Emission factors'!O$29*K$8</f>
        <v>0.30766575435825855</v>
      </c>
      <c r="L41" s="154">
        <f>'2.5 Emission factors'!P$62/L$26 + '2.5 Emission factors'!P$29*L$8</f>
        <v>0.30618106620662205</v>
      </c>
      <c r="M41" s="154">
        <f>'2.5 Emission factors'!Q$62/M$26 + '2.5 Emission factors'!Q$29*M$8</f>
        <v>0.30555691181122147</v>
      </c>
      <c r="N41" s="154">
        <f>'2.5 Emission factors'!R$62/N$26 + '2.5 Emission factors'!R$29*N$8</f>
        <v>0.3051861320423736</v>
      </c>
      <c r="O41" s="154">
        <f>'2.5 Emission factors'!S$62/O$26 + '2.5 Emission factors'!S$29*O$8</f>
        <v>0.30465884494109075</v>
      </c>
      <c r="P41" s="154">
        <f>'2.5 Emission factors'!T$62/P$26 + '2.5 Emission factors'!T$29*P$8</f>
        <v>0.30356936991707928</v>
      </c>
      <c r="Q41" s="154">
        <f>'2.5 Emission factors'!U$62/Q$26 + '2.5 Emission factors'!U$29*Q$8</f>
        <v>0.30335146905226307</v>
      </c>
      <c r="R41" s="154">
        <f>'2.5 Emission factors'!V$62/R$26 + '2.5 Emission factors'!V$29*R$8</f>
        <v>0.30315247329327438</v>
      </c>
      <c r="S41" s="154">
        <f>'2.5 Emission factors'!W$62/S$26 + '2.5 Emission factors'!W$29*S$8</f>
        <v>0.3030370901941194</v>
      </c>
      <c r="T41" s="154">
        <f>'2.5 Emission factors'!X$62/T$26 + '2.5 Emission factors'!X$29*T$8</f>
        <v>0.30328443314205816</v>
      </c>
      <c r="U41" s="154">
        <f>'2.5 Emission factors'!Y$62/U$26 + '2.5 Emission factors'!Y$29*U$8</f>
        <v>0.30282754510284488</v>
      </c>
      <c r="V41" s="154">
        <f>'2.5 Emission factors'!Z$62/V$26 + '2.5 Emission factors'!Z$29*V$8</f>
        <v>1.6000315754454257E-2</v>
      </c>
      <c r="W41" s="154">
        <f>'2.5 Emission factors'!AA$62/W$26 + '2.5 Emission factors'!AA$29*W$8</f>
        <v>1.547458981671097E-2</v>
      </c>
      <c r="X41" s="154">
        <f>'2.5 Emission factors'!AB$62/X$26 + '2.5 Emission factors'!AB$29*X$8</f>
        <v>1.5152203984545689E-2</v>
      </c>
      <c r="Y41" s="154">
        <f>'2.5 Emission factors'!AC$62/Y$26 + '2.5 Emission factors'!AC$29*Y$8</f>
        <v>1.485490045453935E-2</v>
      </c>
      <c r="Z41" s="154">
        <f>'2.5 Emission factors'!AD$62/Z$26 + '2.5 Emission factors'!AD$29*Z$8</f>
        <v>1.4374551363299943E-2</v>
      </c>
      <c r="AA41" s="154">
        <f>'2.5 Emission factors'!AE$62/AA$26 + '2.5 Emission factors'!AE$29*AA$8</f>
        <v>1.7053455818254872E-2</v>
      </c>
      <c r="AB41" s="154">
        <f>'2.5 Emission factors'!AF$62/AB$26 + '2.5 Emission factors'!AF$29*AB$8</f>
        <v>1.9030287282862188E-2</v>
      </c>
      <c r="AC41" s="154">
        <f>'2.5 Emission factors'!AG$62/AC$26 + '2.5 Emission factors'!AG$29*AC$8</f>
        <v>2.0391219115394748E-2</v>
      </c>
      <c r="AD41" s="154">
        <f>'2.5 Emission factors'!AH$62/AD$26 + '2.5 Emission factors'!AH$29*AD$8</f>
        <v>2.1390451788262412E-2</v>
      </c>
      <c r="AE41" s="154">
        <f>'2.5 Emission factors'!AI$62/AE$26 + '2.5 Emission factors'!AI$29*AE$8</f>
        <v>2.1746663628448241E-2</v>
      </c>
      <c r="AF41" s="154">
        <f>'2.5 Emission factors'!AJ$62/AF$26 + '2.5 Emission factors'!AJ$29*AF$8</f>
        <v>2.0058385020136276E-2</v>
      </c>
      <c r="AG41" s="154">
        <f>'2.5 Emission factors'!AK$62/AG$26 + '2.5 Emission factors'!AK$29*AG$8</f>
        <v>1.9175648576926978E-2</v>
      </c>
      <c r="AH41" s="154">
        <f>'2.5 Emission factors'!AL$62/AH$26 + '2.5 Emission factors'!AL$29*AH$8</f>
        <v>1.9192218335573965E-2</v>
      </c>
      <c r="AI41" s="154">
        <f>'2.5 Emission factors'!AM$62/AI$26 + '2.5 Emission factors'!AM$29*AI$8</f>
        <v>1.8852008870206334E-2</v>
      </c>
      <c r="AJ41" s="154">
        <f>'2.5 Emission factors'!AN$62/AJ$26 + '2.5 Emission factors'!AN$29*AJ$8</f>
        <v>1.8042403857384839E-2</v>
      </c>
      <c r="AK41" s="154">
        <f>'2.5 Emission factors'!AO$62/AK$26 + '2.5 Emission factors'!AO$29*AK$8</f>
        <v>1.6578504770115843E-2</v>
      </c>
      <c r="AL41" s="154">
        <f>'2.5 Emission factors'!AP$62/AL$26 + '2.5 Emission factors'!AP$29*AL$8</f>
        <v>1.6293388868136343E-2</v>
      </c>
      <c r="AM41" s="154">
        <f>'2.5 Emission factors'!AQ$62/AM$26 + '2.5 Emission factors'!AQ$29*AM$8</f>
        <v>1.6257050036745525E-2</v>
      </c>
      <c r="AN41" s="154">
        <f>'2.5 Emission factors'!AR$62/AN$26 + '2.5 Emission factors'!AR$29*AN$8</f>
        <v>1.5846302884588812E-2</v>
      </c>
      <c r="AO41" s="154">
        <f>'2.5 Emission factors'!AS$62/AO$26 + '2.5 Emission factors'!AS$29*AO$8</f>
        <v>1.4608938434615842E-2</v>
      </c>
      <c r="AP41" s="154">
        <f>'2.5 Emission factors'!AT$62/AP$26 + '2.5 Emission factors'!AT$29*AP$8</f>
        <v>1.3929915436813911E-2</v>
      </c>
      <c r="AQ41" s="154">
        <f>'2.5 Emission factors'!AU$62/AQ$26 + '2.5 Emission factors'!AU$29*AQ$8</f>
        <v>1.3365185046856127E-2</v>
      </c>
      <c r="AR41" s="154">
        <f>'2.5 Emission factors'!AV$62/AR$26 + '2.5 Emission factors'!AV$29*AR$8</f>
        <v>1.299520912950604E-2</v>
      </c>
      <c r="AS41" s="154">
        <f>'2.5 Emission factors'!AW$62/AS$26 + '2.5 Emission factors'!AW$29*AS$8</f>
        <v>1.2484304967964745E-2</v>
      </c>
      <c r="AT41" s="154">
        <f>'2.5 Emission factors'!AX$62/AT$26 + '2.5 Emission factors'!AX$29*AT$8</f>
        <v>1.2330214529113216E-2</v>
      </c>
    </row>
    <row r="42" spans="1:49">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54"/>
      <c r="AO42" s="154"/>
      <c r="AP42" s="154"/>
      <c r="AQ42" s="154"/>
      <c r="AR42" s="154"/>
      <c r="AS42" s="154"/>
      <c r="AT42" s="154"/>
    </row>
    <row r="43" spans="1:49">
      <c r="A43" s="42" t="s">
        <v>1296</v>
      </c>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42"/>
      <c r="AK43" s="42"/>
      <c r="AL43" s="42"/>
      <c r="AM43" s="42"/>
      <c r="AN43" s="42"/>
      <c r="AO43" s="42"/>
      <c r="AP43" s="42"/>
      <c r="AQ43" s="42"/>
      <c r="AR43" s="42"/>
      <c r="AS43" s="42"/>
      <c r="AT43" s="42"/>
    </row>
    <row r="45" spans="1:49" ht="18.75" thickBot="1">
      <c r="B45" s="35" t="s">
        <v>263</v>
      </c>
      <c r="C45" s="44" t="s">
        <v>1297</v>
      </c>
      <c r="D45" t="s">
        <v>693</v>
      </c>
      <c r="E45" s="44" t="s">
        <v>1298</v>
      </c>
      <c r="F45" t="s">
        <v>693</v>
      </c>
      <c r="G45" s="44" t="s">
        <v>1299</v>
      </c>
      <c r="H45" t="s">
        <v>693</v>
      </c>
      <c r="I45" s="44" t="s">
        <v>56</v>
      </c>
      <c r="K45" s="155">
        <f>(SUM('2.2 Energy Systems inputs'!F$26:F$27)*1000000000)*INDEX(K$108:K$154,MATCH($B45&amp;Dashboard!$D$6,$F$108:$F$154,0))
*INDEX('DH calcs - old'!$B$66:$AK$101,MATCH(Dashboard!$D$5,'DH calcs - old'!$A$66:$A$101,0),MATCH(K$3,'DH calcs - old'!$B$65:$AK$65,0))</f>
        <v>0</v>
      </c>
      <c r="L45" s="155">
        <f>(SUM('2.2 Energy Systems inputs'!G$26:G$27)*1000000000)*INDEX(L$108:L$154,MATCH($B45&amp;Dashboard!$D$6,$F$108:$F$154,0))
*INDEX('DH calcs - old'!$B$66:$AK$101,MATCH(Dashboard!$D$5,'DH calcs - old'!$A$66:$A$101,0),MATCH(L$3,'DH calcs - old'!$B$65:$AK$65,0))</f>
        <v>0</v>
      </c>
      <c r="M45" s="155">
        <f>(SUM('2.2 Energy Systems inputs'!H$26:H$27)*1000000000)*INDEX(M$108:M$154,MATCH($B45&amp;Dashboard!$D$6,$F$108:$F$154,0))
*INDEX('DH calcs - old'!$B$66:$AK$101,MATCH(Dashboard!$D$5,'DH calcs - old'!$A$66:$A$101,0),MATCH(M$3,'DH calcs - old'!$B$65:$AK$65,0))</f>
        <v>0</v>
      </c>
      <c r="N45" s="155">
        <f>(SUM('2.2 Energy Systems inputs'!I$26:I$27)*1000000000)*INDEX(N$108:N$154,MATCH($B45&amp;Dashboard!$D$6,$F$108:$F$154,0))
*INDEX('DH calcs - old'!$B$66:$AK$101,MATCH(Dashboard!$D$5,'DH calcs - old'!$A$66:$A$101,0),MATCH(N$3,'DH calcs - old'!$B$65:$AK$65,0))</f>
        <v>0</v>
      </c>
      <c r="O45" s="155">
        <f>(SUM('2.2 Energy Systems inputs'!J$26:J$27)*1000000000)*INDEX(O$108:O$154,MATCH($B45&amp;Dashboard!$D$6,$F$108:$F$154,0))
*INDEX('DH calcs - old'!$B$66:$AK$101,MATCH(Dashboard!$D$5,'DH calcs - old'!$A$66:$A$101,0),MATCH(O$3,'DH calcs - old'!$B$65:$AK$65,0))</f>
        <v>0</v>
      </c>
      <c r="P45" s="155">
        <f>(SUM('2.2 Energy Systems inputs'!K$26:K$27)*1000000000)*INDEX(P$108:P$154,MATCH($B45&amp;Dashboard!$D$6,$F$108:$F$154,0))
*INDEX('DH calcs - old'!$B$66:$AK$101,MATCH(Dashboard!$D$5,'DH calcs - old'!$A$66:$A$101,0),MATCH(P$3,'DH calcs - old'!$B$65:$AK$65,0))</f>
        <v>0</v>
      </c>
      <c r="Q45" s="155">
        <f>(SUM('2.2 Energy Systems inputs'!L$26:L$27)*1000000000)*INDEX(Q$108:Q$154,MATCH($B45&amp;Dashboard!$D$6,$F$108:$F$154,0))
*INDEX('DH calcs - old'!$B$66:$AK$101,MATCH(Dashboard!$D$5,'DH calcs - old'!$A$66:$A$101,0),MATCH(Q$3,'DH calcs - old'!$B$65:$AK$65,0))</f>
        <v>23349049.505859796</v>
      </c>
      <c r="R45" s="155">
        <f>(SUM('2.2 Energy Systems inputs'!M$26:M$27)*1000000000)*INDEX(R$108:R$154,MATCH($B45&amp;Dashboard!$D$6,$F$108:$F$154,0))
*INDEX('DH calcs - old'!$B$66:$AK$101,MATCH(Dashboard!$D$5,'DH calcs - old'!$A$66:$A$101,0),MATCH(R$3,'DH calcs - old'!$B$65:$AK$65,0))</f>
        <v>46023033.137147121</v>
      </c>
      <c r="S45" s="155">
        <f>(SUM('2.2 Energy Systems inputs'!N$26:N$27)*1000000000)*INDEX(S$108:S$154,MATCH($B45&amp;Dashboard!$D$6,$F$108:$F$154,0))
*INDEX('DH calcs - old'!$B$66:$AK$101,MATCH(Dashboard!$D$5,'DH calcs - old'!$A$66:$A$101,0),MATCH(S$3,'DH calcs - old'!$B$65:$AK$65,0))</f>
        <v>68021950.893861964</v>
      </c>
      <c r="T45" s="155">
        <f>(SUM('2.2 Energy Systems inputs'!O$26:O$27)*1000000000)*INDEX(T$108:T$154,MATCH($B45&amp;Dashboard!$D$6,$F$108:$F$154,0))
*INDEX('DH calcs - old'!$B$66:$AK$101,MATCH(Dashboard!$D$5,'DH calcs - old'!$A$66:$A$101,0),MATCH(T$3,'DH calcs - old'!$B$65:$AK$65,0))</f>
        <v>89345802.776004329</v>
      </c>
      <c r="U45" s="155">
        <f>(SUM('2.2 Energy Systems inputs'!P$26:P$27)*1000000000)*INDEX(U$108:U$154,MATCH($B45&amp;Dashboard!$D$6,$F$108:$F$154,0))
*INDEX('DH calcs - old'!$B$66:$AK$101,MATCH(Dashboard!$D$5,'DH calcs - old'!$A$66:$A$101,0),MATCH(U$3,'DH calcs - old'!$B$65:$AK$65,0))</f>
        <v>109994588.78357409</v>
      </c>
      <c r="V45" s="155">
        <f>(SUM('2.2 Energy Systems inputs'!Q$26:Q$27)*1000000000)*INDEX(V$108:V$154,MATCH($B45&amp;Dashboard!$D$6,$F$108:$F$154,0))
*INDEX('DH calcs - old'!$B$66:$AK$101,MATCH(Dashboard!$D$5,'DH calcs - old'!$A$66:$A$101,0),MATCH(V$3,'DH calcs - old'!$B$65:$AK$65,0))</f>
        <v>129725534.27859624</v>
      </c>
      <c r="W45" s="155">
        <f>(SUM('2.2 Energy Systems inputs'!R$26:R$27)*1000000000)*INDEX(W$108:W$154,MATCH($B45&amp;Dashboard!$D$6,$F$108:$F$154,0))
*INDEX('DH calcs - old'!$B$66:$AK$101,MATCH(Dashboard!$D$5,'DH calcs - old'!$A$66:$A$101,0),MATCH(W$3,'DH calcs - old'!$B$65:$AK$65,0))</f>
        <v>148481803.45620847</v>
      </c>
      <c r="X45" s="155">
        <f>(SUM('2.2 Energy Systems inputs'!S$26:S$27)*1000000000)*INDEX(X$108:X$154,MATCH($B45&amp;Dashboard!$D$6,$F$108:$F$154,0))
*INDEX('DH calcs - old'!$B$66:$AK$101,MATCH(Dashboard!$D$5,'DH calcs - old'!$A$66:$A$101,0),MATCH(X$3,'DH calcs - old'!$B$65:$AK$65,0))</f>
        <v>166263396.31641096</v>
      </c>
      <c r="Y45" s="155">
        <f>(SUM('2.2 Energy Systems inputs'!T$26:T$27)*1000000000)*INDEX(Y$108:Y$154,MATCH($B45&amp;Dashboard!$D$6,$F$108:$F$154,0))
*INDEX('DH calcs - old'!$B$66:$AK$101,MATCH(Dashboard!$D$5,'DH calcs - old'!$A$66:$A$101,0),MATCH(Y$3,'DH calcs - old'!$B$65:$AK$65,0))</f>
        <v>183070312.8592037</v>
      </c>
      <c r="Z45" s="155">
        <f>(SUM('2.2 Energy Systems inputs'!U$26:U$27)*1000000000)*INDEX(Z$108:Z$154,MATCH($B45&amp;Dashboard!$D$6,$F$108:$F$154,0))
*INDEX('DH calcs - old'!$B$66:$AK$101,MATCH(Dashboard!$D$5,'DH calcs - old'!$A$66:$A$101,0),MATCH(Z$3,'DH calcs - old'!$B$65:$AK$65,0))</f>
        <v>198902553.08458665</v>
      </c>
      <c r="AA45" s="155">
        <f>(SUM('2.2 Energy Systems inputs'!V$26:V$27)*1000000000)*INDEX(AA$108:AA$154,MATCH($B45&amp;Dashboard!$D$6,$F$108:$F$154,0))
*INDEX('DH calcs - old'!$B$66:$AK$101,MATCH(Dashboard!$D$5,'DH calcs - old'!$A$66:$A$101,0),MATCH(AA$3,'DH calcs - old'!$B$65:$AK$65,0))</f>
        <v>213760116.99255994</v>
      </c>
      <c r="AB45" s="155">
        <f>(SUM('2.2 Energy Systems inputs'!W$26:W$27)*1000000000)*INDEX(AB$108:AB$154,MATCH($B45&amp;Dashboard!$D$6,$F$108:$F$154,0))
*INDEX('DH calcs - old'!$B$66:$AK$101,MATCH(Dashboard!$D$5,'DH calcs - old'!$A$66:$A$101,0),MATCH(AB$3,'DH calcs - old'!$B$65:$AK$65,0))</f>
        <v>227643004.58312342</v>
      </c>
      <c r="AC45" s="155">
        <f>(SUM('2.2 Energy Systems inputs'!X$26:X$27)*1000000000)*INDEX(AC$108:AC$154,MATCH($B45&amp;Dashboard!$D$6,$F$108:$F$154,0))
*INDEX('DH calcs - old'!$B$66:$AK$101,MATCH(Dashboard!$D$5,'DH calcs - old'!$A$66:$A$101,0),MATCH(AC$3,'DH calcs - old'!$B$65:$AK$65,0))</f>
        <v>240551215.85627711</v>
      </c>
      <c r="AD45" s="155">
        <f>(SUM('2.2 Energy Systems inputs'!Y$26:Y$27)*1000000000)*INDEX(AD$108:AD$154,MATCH($B45&amp;Dashboard!$D$6,$F$108:$F$154,0))
*INDEX('DH calcs - old'!$B$66:$AK$101,MATCH(Dashboard!$D$5,'DH calcs - old'!$A$66:$A$101,0),MATCH(AD$3,'DH calcs - old'!$B$65:$AK$65,0))</f>
        <v>252484750.81202102</v>
      </c>
      <c r="AE45" s="155">
        <f>(SUM('2.2 Energy Systems inputs'!Z$26:Z$27)*1000000000)*INDEX(AE$108:AE$154,MATCH($B45&amp;Dashboard!$D$6,$F$108:$F$154,0))
*INDEX('DH calcs - old'!$B$66:$AK$101,MATCH(Dashboard!$D$5,'DH calcs - old'!$A$66:$A$101,0),MATCH(AE$3,'DH calcs - old'!$B$65:$AK$65,0))</f>
        <v>263443609.45035526</v>
      </c>
      <c r="AF45" s="155">
        <f>(SUM('2.2 Energy Systems inputs'!AA$26:AA$27)*1000000000)*INDEX(AF$108:AF$154,MATCH($B45&amp;Dashboard!$D$6,$F$108:$F$154,0))
*INDEX('DH calcs - old'!$B$66:$AK$101,MATCH(Dashboard!$D$5,'DH calcs - old'!$A$66:$A$101,0),MATCH(AF$3,'DH calcs - old'!$B$65:$AK$65,0))</f>
        <v>273427791.77127969</v>
      </c>
      <c r="AG45" s="155">
        <f>(SUM('2.2 Energy Systems inputs'!AB$26:AB$27)*1000000000)*INDEX(AG$108:AG$154,MATCH($B45&amp;Dashboard!$D$6,$F$108:$F$154,0))
*INDEX('DH calcs - old'!$B$66:$AK$101,MATCH(Dashboard!$D$5,'DH calcs - old'!$A$66:$A$101,0),MATCH(AG$3,'DH calcs - old'!$B$65:$AK$65,0))</f>
        <v>282437297.77479428</v>
      </c>
      <c r="AH45" s="155">
        <f>(SUM('2.2 Energy Systems inputs'!AC$26:AC$27)*1000000000)*INDEX(AH$108:AH$154,MATCH($B45&amp;Dashboard!$D$6,$F$108:$F$154,0))
*INDEX('DH calcs - old'!$B$66:$AK$101,MATCH(Dashboard!$D$5,'DH calcs - old'!$A$66:$A$101,0),MATCH(AH$3,'DH calcs - old'!$B$65:$AK$65,0))</f>
        <v>290472127.46089941</v>
      </c>
      <c r="AI45" s="155">
        <f>(SUM('2.2 Energy Systems inputs'!AD$26:AD$27)*1000000000)*INDEX(AI$108:AI$154,MATCH($B45&amp;Dashboard!$D$6,$F$108:$F$154,0))
*INDEX('DH calcs - old'!$B$66:$AK$101,MATCH(Dashboard!$D$5,'DH calcs - old'!$A$66:$A$101,0),MATCH(AI$3,'DH calcs - old'!$B$65:$AK$65,0))</f>
        <v>297532280.82959461</v>
      </c>
      <c r="AJ45" s="155">
        <f>(SUM('2.2 Energy Systems inputs'!AE$26:AE$27)*1000000000)*INDEX(AJ$108:AJ$154,MATCH($B45&amp;Dashboard!$D$6,$F$108:$F$154,0))
*INDEX('DH calcs - old'!$B$66:$AK$101,MATCH(Dashboard!$D$5,'DH calcs - old'!$A$66:$A$101,0),MATCH(AJ$3,'DH calcs - old'!$B$65:$AK$65,0))</f>
        <v>303617757.88088</v>
      </c>
      <c r="AK45" s="155">
        <f>(SUM('2.2 Energy Systems inputs'!AF$26:AF$27)*1000000000)*INDEX(AK$108:AK$154,MATCH($B45&amp;Dashboard!$D$6,$F$108:$F$154,0))
*INDEX('DH calcs - old'!$B$66:$AK$101,MATCH(Dashboard!$D$5,'DH calcs - old'!$A$66:$A$101,0),MATCH(AK$3,'DH calcs - old'!$B$65:$AK$65,0))</f>
        <v>308728558.61475569</v>
      </c>
      <c r="AL45" s="155">
        <f>(SUM('2.2 Energy Systems inputs'!AG$26:AG$27)*1000000000)*INDEX(AL$108:AL$154,MATCH($B45&amp;Dashboard!$D$6,$F$108:$F$154,0))
*INDEX('DH calcs - old'!$B$66:$AK$101,MATCH(Dashboard!$D$5,'DH calcs - old'!$A$66:$A$101,0),MATCH(AL$3,'DH calcs - old'!$B$65:$AK$65,0))</f>
        <v>312864683.03122163</v>
      </c>
      <c r="AM45" s="155">
        <f>(SUM('2.2 Energy Systems inputs'!AH$26:AH$27)*1000000000)*INDEX(AM$108:AM$154,MATCH($B45&amp;Dashboard!$D$6,$F$108:$F$154,0))
*INDEX('DH calcs - old'!$B$66:$AK$101,MATCH(Dashboard!$D$5,'DH calcs - old'!$A$66:$A$101,0),MATCH(AM$3,'DH calcs - old'!$B$65:$AK$65,0))</f>
        <v>316026131.13027787</v>
      </c>
      <c r="AN45" s="155">
        <f>(SUM('2.2 Energy Systems inputs'!AI$26:AI$27)*1000000000)*INDEX(AN$108:AN$154,MATCH($B45&amp;Dashboard!$D$6,$F$108:$F$154,0))
*INDEX('DH calcs - old'!$B$66:$AK$101,MATCH(Dashboard!$D$5,'DH calcs - old'!$A$66:$A$101,0),MATCH(AN$3,'DH calcs - old'!$B$65:$AK$65,0))</f>
        <v>318212902.91192436</v>
      </c>
      <c r="AO45" s="155">
        <f>(SUM('2.2 Energy Systems inputs'!AJ$26:AJ$27)*1000000000)*INDEX(AO$108:AO$154,MATCH($B45&amp;Dashboard!$D$6,$F$108:$F$154,0))
*INDEX('DH calcs - old'!$B$66:$AK$101,MATCH(Dashboard!$D$5,'DH calcs - old'!$A$66:$A$101,0),MATCH(AO$3,'DH calcs - old'!$B$65:$AK$65,0))</f>
        <v>319424998.37616098</v>
      </c>
      <c r="AP45" s="155">
        <f>(SUM('2.2 Energy Systems inputs'!AK$26:AK$27)*1000000000)*INDEX(AP$108:AP$154,MATCH($B45&amp;Dashboard!$D$6,$F$108:$F$154,0))
*INDEX('DH calcs - old'!$B$66:$AK$101,MATCH(Dashboard!$D$5,'DH calcs - old'!$A$66:$A$101,0),MATCH(AP$3,'DH calcs - old'!$B$65:$AK$65,0))</f>
        <v>319662417.5229879</v>
      </c>
      <c r="AQ45" s="155">
        <f>(SUM('2.2 Energy Systems inputs'!AL$26:AL$27)*1000000000)*INDEX(AQ$108:AQ$154,MATCH($B45&amp;Dashboard!$D$6,$F$108:$F$154,0))
*INDEX('DH calcs - old'!$B$66:$AK$101,MATCH(Dashboard!$D$5,'DH calcs - old'!$A$66:$A$101,0),MATCH(AQ$3,'DH calcs - old'!$B$65:$AK$65,0))</f>
        <v>309931363.46168345</v>
      </c>
      <c r="AR45" s="155">
        <f>(SUM('2.2 Energy Systems inputs'!AM$26:AM$27)*1000000000)*INDEX(AR$108:AR$154,MATCH($B45&amp;Dashboard!$D$6,$F$108:$F$154,0))
*INDEX('DH calcs - old'!$B$66:$AK$101,MATCH(Dashboard!$D$5,'DH calcs - old'!$A$66:$A$101,0),MATCH(AR$3,'DH calcs - old'!$B$65:$AK$65,0))</f>
        <v>299964157.99432904</v>
      </c>
      <c r="AS45" s="155">
        <f>(SUM('2.2 Energy Systems inputs'!AN$26:AN$27)*1000000000)*INDEX(AS$108:AS$154,MATCH($B45&amp;Dashboard!$D$6,$F$108:$F$154,0))
*INDEX('DH calcs - old'!$B$66:$AK$101,MATCH(Dashboard!$D$5,'DH calcs - old'!$A$66:$A$101,0),MATCH(AS$3,'DH calcs - old'!$B$65:$AK$65,0))</f>
        <v>289760801.12092447</v>
      </c>
      <c r="AT45" s="155">
        <f>(SUM('2.2 Energy Systems inputs'!AO$26:AO$27)*1000000000)*INDEX(AT$108:AT$154,MATCH($B45&amp;Dashboard!$D$6,$F$108:$F$154,0))
*INDEX('DH calcs - old'!$B$66:$AK$101,MATCH(Dashboard!$D$5,'DH calcs - old'!$A$66:$A$101,0),MATCH(AT$3,'DH calcs - old'!$B$65:$AK$65,0))</f>
        <v>279321292.84147012</v>
      </c>
      <c r="AW45" s="159"/>
    </row>
    <row r="46" spans="1:49" ht="19.5" thickTop="1" thickBot="1">
      <c r="B46" s="35" t="s">
        <v>272</v>
      </c>
      <c r="C46" s="44" t="s">
        <v>1297</v>
      </c>
      <c r="D46" t="s">
        <v>693</v>
      </c>
      <c r="E46" s="44" t="s">
        <v>1300</v>
      </c>
      <c r="F46" t="s">
        <v>693</v>
      </c>
      <c r="G46" s="44" t="s">
        <v>1301</v>
      </c>
      <c r="H46" t="s">
        <v>693</v>
      </c>
      <c r="I46" s="44" t="s">
        <v>56</v>
      </c>
      <c r="K46" s="155">
        <f>(SUM('2.2 Energy Systems inputs'!F$26:F$27)*1000000000)*INDEX(K$108:K$154,MATCH($B46&amp;Dashboard!$D$6,$F$108:$F$154,0))
*INDEX('DH calcs - old'!$B$66:$AK$101,MATCH(Dashboard!$D$5,'DH calcs - old'!$A$66:$A$101,0),MATCH(K$3,'DH calcs - old'!$B$65:$AK$65,0))</f>
        <v>115281820.13888904</v>
      </c>
      <c r="L46" s="155">
        <f>(SUM('2.2 Energy Systems inputs'!G$26:G$27)*1000000000)*INDEX(L$108:L$154,MATCH($B46&amp;Dashboard!$D$6,$F$108:$F$154,0))
*INDEX('DH calcs - old'!$B$66:$AK$101,MATCH(Dashboard!$D$5,'DH calcs - old'!$A$66:$A$101,0),MATCH(L$3,'DH calcs - old'!$B$65:$AK$65,0))</f>
        <v>118914247.47680293</v>
      </c>
      <c r="M46" s="155">
        <f>(SUM('2.2 Energy Systems inputs'!H$26:H$27)*1000000000)*INDEX(M$108:M$154,MATCH($B46&amp;Dashboard!$D$6,$F$108:$F$154,0))
*INDEX('DH calcs - old'!$B$66:$AK$101,MATCH(Dashboard!$D$5,'DH calcs - old'!$A$66:$A$101,0),MATCH(M$3,'DH calcs - old'!$B$65:$AK$65,0))</f>
        <v>122882898.30885708</v>
      </c>
      <c r="N46" s="155">
        <f>(SUM('2.2 Energy Systems inputs'!I$26:I$27)*1000000000)*INDEX(N$108:N$154,MATCH($B46&amp;Dashboard!$D$6,$F$108:$F$154,0))
*INDEX('DH calcs - old'!$B$66:$AK$101,MATCH(Dashboard!$D$5,'DH calcs - old'!$A$66:$A$101,0),MATCH(N$3,'DH calcs - old'!$B$65:$AK$65,0))</f>
        <v>127168277.92058079</v>
      </c>
      <c r="O46" s="155">
        <f>(SUM('2.2 Energy Systems inputs'!J$26:J$27)*1000000000)*INDEX(O$108:O$154,MATCH($B46&amp;Dashboard!$D$6,$F$108:$F$154,0))
*INDEX('DH calcs - old'!$B$66:$AK$101,MATCH(Dashboard!$D$5,'DH calcs - old'!$A$66:$A$101,0),MATCH(O$3,'DH calcs - old'!$B$65:$AK$65,0))</f>
        <v>131750891.59750341</v>
      </c>
      <c r="P46" s="155">
        <f>(SUM('2.2 Energy Systems inputs'!K$26:K$27)*1000000000)*INDEX(P$108:P$154,MATCH($B46&amp;Dashboard!$D$6,$F$108:$F$154,0))
*INDEX('DH calcs - old'!$B$66:$AK$101,MATCH(Dashboard!$D$5,'DH calcs - old'!$A$66:$A$101,0),MATCH(P$3,'DH calcs - old'!$B$65:$AK$65,0))</f>
        <v>161185073.23381299</v>
      </c>
      <c r="Q46" s="155">
        <f>(SUM('2.2 Energy Systems inputs'!L$26:L$27)*1000000000)*INDEX(Q$108:Q$154,MATCH($B46&amp;Dashboard!$D$6,$F$108:$F$154,0))
*INDEX('DH calcs - old'!$B$66:$AK$101,MATCH(Dashboard!$D$5,'DH calcs - old'!$A$66:$A$101,0),MATCH(Q$3,'DH calcs - old'!$B$65:$AK$65,0))</f>
        <v>183649395.53090352</v>
      </c>
      <c r="R46" s="155">
        <f>(SUM('2.2 Energy Systems inputs'!M$26:M$27)*1000000000)*INDEX(R$108:R$154,MATCH($B46&amp;Dashboard!$D$6,$F$108:$F$154,0))
*INDEX('DH calcs - old'!$B$66:$AK$101,MATCH(Dashboard!$D$5,'DH calcs - old'!$A$66:$A$101,0),MATCH(R$3,'DH calcs - old'!$B$65:$AK$65,0))</f>
        <v>207732511.99398547</v>
      </c>
      <c r="S46" s="155">
        <f>(SUM('2.2 Energy Systems inputs'!N$26:N$27)*1000000000)*INDEX(S$108:S$154,MATCH($B46&amp;Dashboard!$D$6,$F$108:$F$154,0))
*INDEX('DH calcs - old'!$B$66:$AK$101,MATCH(Dashboard!$D$5,'DH calcs - old'!$A$66:$A$101,0),MATCH(S$3,'DH calcs - old'!$B$65:$AK$65,0))</f>
        <v>230499478.24460903</v>
      </c>
      <c r="T46" s="155">
        <f>(SUM('2.2 Energy Systems inputs'!O$26:O$27)*1000000000)*INDEX(T$108:T$154,MATCH($B46&amp;Dashboard!$D$6,$F$108:$F$154,0))
*INDEX('DH calcs - old'!$B$66:$AK$101,MATCH(Dashboard!$D$5,'DH calcs - old'!$A$66:$A$101,0),MATCH(T$3,'DH calcs - old'!$B$65:$AK$65,0))</f>
        <v>251984392.4624764</v>
      </c>
      <c r="U46" s="155">
        <f>(SUM('2.2 Energy Systems inputs'!P$26:P$27)*1000000000)*INDEX(U$108:U$154,MATCH($B46&amp;Dashboard!$D$6,$F$108:$F$154,0))
*INDEX('DH calcs - old'!$B$66:$AK$101,MATCH(Dashboard!$D$5,'DH calcs - old'!$A$66:$A$101,0),MATCH(U$3,'DH calcs - old'!$B$65:$AK$65,0))</f>
        <v>272124825.25299805</v>
      </c>
      <c r="V46" s="155">
        <f>(SUM('2.2 Energy Systems inputs'!Q$26:Q$27)*1000000000)*INDEX(V$108:V$154,MATCH($B46&amp;Dashboard!$D$6,$F$108:$F$154,0))
*INDEX('DH calcs - old'!$B$66:$AK$101,MATCH(Dashboard!$D$5,'DH calcs - old'!$A$66:$A$101,0),MATCH(V$3,'DH calcs - old'!$B$65:$AK$65,0))</f>
        <v>266254513.29580715</v>
      </c>
      <c r="W46" s="155">
        <f>(SUM('2.2 Energy Systems inputs'!R$26:R$27)*1000000000)*INDEX(W$108:W$154,MATCH($B46&amp;Dashboard!$D$6,$F$108:$F$154,0))
*INDEX('DH calcs - old'!$B$66:$AK$101,MATCH(Dashboard!$D$5,'DH calcs - old'!$A$66:$A$101,0),MATCH(W$3,'DH calcs - old'!$B$65:$AK$65,0))</f>
        <v>260384201.33861598</v>
      </c>
      <c r="X46" s="155">
        <f>(SUM('2.2 Energy Systems inputs'!S$26:S$27)*1000000000)*INDEX(X$108:X$154,MATCH($B46&amp;Dashboard!$D$6,$F$108:$F$154,0))
*INDEX('DH calcs - old'!$B$66:$AK$101,MATCH(Dashboard!$D$5,'DH calcs - old'!$A$66:$A$101,0),MATCH(X$3,'DH calcs - old'!$B$65:$AK$65,0))</f>
        <v>254513889.3814247</v>
      </c>
      <c r="Y46" s="155">
        <f>(SUM('2.2 Energy Systems inputs'!T$26:T$27)*1000000000)*INDEX(Y$108:Y$154,MATCH($B46&amp;Dashboard!$D$6,$F$108:$F$154,0))
*INDEX('DH calcs - old'!$B$66:$AK$101,MATCH(Dashboard!$D$5,'DH calcs - old'!$A$66:$A$101,0),MATCH(Y$3,'DH calcs - old'!$B$65:$AK$65,0))</f>
        <v>248643577.4242335</v>
      </c>
      <c r="Z46" s="155">
        <f>(SUM('2.2 Energy Systems inputs'!U$26:U$27)*1000000000)*INDEX(Z$108:Z$154,MATCH($B46&amp;Dashboard!$D$6,$F$108:$F$154,0))
*INDEX('DH calcs - old'!$B$66:$AK$101,MATCH(Dashboard!$D$5,'DH calcs - old'!$A$66:$A$101,0),MATCH(Z$3,'DH calcs - old'!$B$65:$AK$65,0))</f>
        <v>242773265.46704215</v>
      </c>
      <c r="AA46" s="155">
        <f>(SUM('2.2 Energy Systems inputs'!V$26:V$27)*1000000000)*INDEX(AA$108:AA$154,MATCH($B46&amp;Dashboard!$D$6,$F$108:$F$154,0))
*INDEX('DH calcs - old'!$B$66:$AK$101,MATCH(Dashboard!$D$5,'DH calcs - old'!$A$66:$A$101,0),MATCH(AA$3,'DH calcs - old'!$B$65:$AK$65,0))</f>
        <v>236902953.50985095</v>
      </c>
      <c r="AB46" s="155">
        <f>(SUM('2.2 Energy Systems inputs'!W$26:W$27)*1000000000)*INDEX(AB$108:AB$154,MATCH($B46&amp;Dashboard!$D$6,$F$108:$F$154,0))
*INDEX('DH calcs - old'!$B$66:$AK$101,MATCH(Dashboard!$D$5,'DH calcs - old'!$A$66:$A$101,0),MATCH(AB$3,'DH calcs - old'!$B$65:$AK$65,0))</f>
        <v>231032641.55265969</v>
      </c>
      <c r="AC46" s="155">
        <f>(SUM('2.2 Energy Systems inputs'!X$26:X$27)*1000000000)*INDEX(AC$108:AC$154,MATCH($B46&amp;Dashboard!$D$6,$F$108:$F$154,0))
*INDEX('DH calcs - old'!$B$66:$AK$101,MATCH(Dashboard!$D$5,'DH calcs - old'!$A$66:$A$101,0),MATCH(AC$3,'DH calcs - old'!$B$65:$AK$65,0))</f>
        <v>225162329.5954684</v>
      </c>
      <c r="AD46" s="155">
        <f>(SUM('2.2 Energy Systems inputs'!Y$26:Y$27)*1000000000)*INDEX(AD$108:AD$154,MATCH($B46&amp;Dashboard!$D$6,$F$108:$F$154,0))
*INDEX('DH calcs - old'!$B$66:$AK$101,MATCH(Dashboard!$D$5,'DH calcs - old'!$A$66:$A$101,0),MATCH(AD$3,'DH calcs - old'!$B$65:$AK$65,0))</f>
        <v>219292017.63827714</v>
      </c>
      <c r="AE46" s="155">
        <f>(SUM('2.2 Energy Systems inputs'!Z$26:Z$27)*1000000000)*INDEX(AE$108:AE$154,MATCH($B46&amp;Dashboard!$D$6,$F$108:$F$154,0))
*INDEX('DH calcs - old'!$B$66:$AK$101,MATCH(Dashboard!$D$5,'DH calcs - old'!$A$66:$A$101,0),MATCH(AE$3,'DH calcs - old'!$B$65:$AK$65,0))</f>
        <v>213421705.68108585</v>
      </c>
      <c r="AF46" s="155">
        <f>(SUM('2.2 Energy Systems inputs'!AA$26:AA$27)*1000000000)*INDEX(AF$108:AF$154,MATCH($B46&amp;Dashboard!$D$6,$F$108:$F$154,0))
*INDEX('DH calcs - old'!$B$66:$AK$101,MATCH(Dashboard!$D$5,'DH calcs - old'!$A$66:$A$101,0),MATCH(AF$3,'DH calcs - old'!$B$65:$AK$65,0))</f>
        <v>207551393.72389463</v>
      </c>
      <c r="AG46" s="155">
        <f>(SUM('2.2 Energy Systems inputs'!AB$26:AB$27)*1000000000)*INDEX(AG$108:AG$154,MATCH($B46&amp;Dashboard!$D$6,$F$108:$F$154,0))
*INDEX('DH calcs - old'!$B$66:$AK$101,MATCH(Dashboard!$D$5,'DH calcs - old'!$A$66:$A$101,0),MATCH(AG$3,'DH calcs - old'!$B$65:$AK$65,0))</f>
        <v>201681081.76670334</v>
      </c>
      <c r="AH46" s="155">
        <f>(SUM('2.2 Energy Systems inputs'!AC$26:AC$27)*1000000000)*INDEX(AH$108:AH$154,MATCH($B46&amp;Dashboard!$D$6,$F$108:$F$154,0))
*INDEX('DH calcs - old'!$B$66:$AK$101,MATCH(Dashboard!$D$5,'DH calcs - old'!$A$66:$A$101,0),MATCH(AH$3,'DH calcs - old'!$B$65:$AK$65,0))</f>
        <v>195810769.80951217</v>
      </c>
      <c r="AI46" s="155">
        <f>(SUM('2.2 Energy Systems inputs'!AD$26:AD$27)*1000000000)*INDEX(AI$108:AI$154,MATCH($B46&amp;Dashboard!$D$6,$F$108:$F$154,0))
*INDEX('DH calcs - old'!$B$66:$AK$101,MATCH(Dashboard!$D$5,'DH calcs - old'!$A$66:$A$101,0),MATCH(AI$3,'DH calcs - old'!$B$65:$AK$65,0))</f>
        <v>180129228.07270592</v>
      </c>
      <c r="AJ46" s="155">
        <f>(SUM('2.2 Energy Systems inputs'!AE$26:AE$27)*1000000000)*INDEX(AJ$108:AJ$154,MATCH($B46&amp;Dashboard!$D$6,$F$108:$F$154,0))
*INDEX('DH calcs - old'!$B$66:$AK$101,MATCH(Dashboard!$D$5,'DH calcs - old'!$A$66:$A$101,0),MATCH(AJ$3,'DH calcs - old'!$B$65:$AK$65,0))</f>
        <v>163125794.3657636</v>
      </c>
      <c r="AK46" s="155">
        <f>(SUM('2.2 Energy Systems inputs'!AF$26:AF$27)*1000000000)*INDEX(AK$108:AK$154,MATCH($B46&amp;Dashboard!$D$6,$F$108:$F$154,0))
*INDEX('DH calcs - old'!$B$66:$AK$101,MATCH(Dashboard!$D$5,'DH calcs - old'!$A$66:$A$101,0),MATCH(AK$3,'DH calcs - old'!$B$65:$AK$65,0))</f>
        <v>148205709.87323627</v>
      </c>
      <c r="AL46" s="155">
        <f>(SUM('2.2 Energy Systems inputs'!AG$26:AG$27)*1000000000)*INDEX(AL$108:AL$154,MATCH($B46&amp;Dashboard!$D$6,$F$108:$F$154,0))
*INDEX('DH calcs - old'!$B$66:$AK$101,MATCH(Dashboard!$D$5,'DH calcs - old'!$A$66:$A$101,0),MATCH(AL$3,'DH calcs - old'!$B$65:$AK$65,0))</f>
        <v>132622839.58652745</v>
      </c>
      <c r="AM46" s="155">
        <f>(SUM('2.2 Energy Systems inputs'!AH$26:AH$27)*1000000000)*INDEX(AM$108:AM$154,MATCH($B46&amp;Dashboard!$D$6,$F$108:$F$154,0))
*INDEX('DH calcs - old'!$B$66:$AK$101,MATCH(Dashboard!$D$5,'DH calcs - old'!$A$66:$A$101,0),MATCH(AM$3,'DH calcs - old'!$B$65:$AK$65,0))</f>
        <v>116509801.27652355</v>
      </c>
      <c r="AN46" s="155">
        <f>(SUM('2.2 Energy Systems inputs'!AI$26:AI$27)*1000000000)*INDEX(AN$108:AN$154,MATCH($B46&amp;Dashboard!$D$6,$F$108:$F$154,0))
*INDEX('DH calcs - old'!$B$66:$AK$101,MATCH(Dashboard!$D$5,'DH calcs - old'!$A$66:$A$101,0),MATCH(AN$3,'DH calcs - old'!$B$65:$AK$65,0))</f>
        <v>99999139.048888981</v>
      </c>
      <c r="AO46" s="155">
        <f>(SUM('2.2 Energy Systems inputs'!AJ$26:AJ$27)*1000000000)*INDEX(AO$108:AO$154,MATCH($B46&amp;Dashboard!$D$6,$F$108:$F$154,0))
*INDEX('DH calcs - old'!$B$66:$AK$101,MATCH(Dashboard!$D$5,'DH calcs - old'!$A$66:$A$101,0),MATCH(AO$3,'DH calcs - old'!$B$65:$AK$65,0))</f>
        <v>83223300.237859726</v>
      </c>
      <c r="AP46" s="155">
        <f>(SUM('2.2 Energy Systems inputs'!AK$26:AK$27)*1000000000)*INDEX(AP$108:AP$154,MATCH($B46&amp;Dashboard!$D$6,$F$108:$F$154,0))
*INDEX('DH calcs - old'!$B$66:$AK$101,MATCH(Dashboard!$D$5,'DH calcs - old'!$A$66:$A$101,0),MATCH(AP$3,'DH calcs - old'!$B$65:$AK$65,0))</f>
        <v>64667058.39630682</v>
      </c>
      <c r="AQ46" s="155">
        <f>(SUM('2.2 Energy Systems inputs'!AL$26:AL$27)*1000000000)*INDEX(AQ$108:AQ$154,MATCH($B46&amp;Dashboard!$D$6,$F$108:$F$154,0))
*INDEX('DH calcs - old'!$B$66:$AK$101,MATCH(Dashboard!$D$5,'DH calcs - old'!$A$66:$A$101,0),MATCH(AQ$3,'DH calcs - old'!$B$65:$AK$65,0))</f>
        <v>47031605.856805004</v>
      </c>
      <c r="AR46" s="155">
        <f>(SUM('2.2 Energy Systems inputs'!AM$26:AM$27)*1000000000)*INDEX(AR$108:AR$154,MATCH($B46&amp;Dashboard!$D$6,$F$108:$F$154,0))
*INDEX('DH calcs - old'!$B$66:$AK$101,MATCH(Dashboard!$D$5,'DH calcs - old'!$A$66:$A$101,0),MATCH(AR$3,'DH calcs - old'!$B$65:$AK$65,0))</f>
        <v>30351831.197925102</v>
      </c>
      <c r="AS46" s="155">
        <f>(SUM('2.2 Energy Systems inputs'!AN$26:AN$27)*1000000000)*INDEX(AS$108:AS$154,MATCH($B46&amp;Dashboard!$D$6,$F$108:$F$154,0))
*INDEX('DH calcs - old'!$B$66:$AK$101,MATCH(Dashboard!$D$5,'DH calcs - old'!$A$66:$A$101,0),MATCH(AS$3,'DH calcs - old'!$B$65:$AK$65,0))</f>
        <v>14662849.473516963</v>
      </c>
      <c r="AT46" s="155">
        <f>(SUM('2.2 Energy Systems inputs'!AO$26:AO$27)*1000000000)*INDEX(AT$108:AT$154,MATCH($B46&amp;Dashboard!$D$6,$F$108:$F$154,0))
*INDEX('DH calcs - old'!$B$66:$AK$101,MATCH(Dashboard!$D$5,'DH calcs - old'!$A$66:$A$101,0),MATCH(AT$3,'DH calcs - old'!$B$65:$AK$65,0))</f>
        <v>0</v>
      </c>
      <c r="AW46" s="159"/>
    </row>
    <row r="47" spans="1:49" ht="19.5" thickTop="1" thickBot="1">
      <c r="B47" s="35" t="s">
        <v>1302</v>
      </c>
      <c r="C47" s="44" t="s">
        <v>1297</v>
      </c>
      <c r="D47" t="s">
        <v>693</v>
      </c>
      <c r="E47" s="44" t="s">
        <v>1300</v>
      </c>
      <c r="F47" t="s">
        <v>693</v>
      </c>
      <c r="G47" s="44" t="s">
        <v>1301</v>
      </c>
      <c r="H47" t="s">
        <v>693</v>
      </c>
      <c r="I47" s="44" t="s">
        <v>56</v>
      </c>
      <c r="K47" s="155">
        <f>(SUM('2.2 Energy Systems inputs'!F$26:F$27)*1000000000)*INDEX(K$108:K$154,MATCH($B47&amp;Dashboard!$D$6,$F$108:$F$154,0))
*INDEX('DH calcs - old'!$B$66:$AK$101,MATCH(Dashboard!$D$5,'DH calcs - old'!$A$66:$A$101,0),MATCH(K$3,'DH calcs - old'!$B$65:$AK$65,0))</f>
        <v>268990913.65740776</v>
      </c>
      <c r="L47" s="155">
        <f>(SUM('2.2 Energy Systems inputs'!G$26:G$27)*1000000000)*INDEX(L$108:L$154,MATCH($B47&amp;Dashboard!$D$6,$F$108:$F$154,0))
*INDEX('DH calcs - old'!$B$66:$AK$101,MATCH(Dashboard!$D$5,'DH calcs - old'!$A$66:$A$101,0),MATCH(L$3,'DH calcs - old'!$B$65:$AK$65,0))</f>
        <v>277466577.4458735</v>
      </c>
      <c r="M47" s="155">
        <f>(SUM('2.2 Energy Systems inputs'!H$26:H$27)*1000000000)*INDEX(M$108:M$154,MATCH($B47&amp;Dashboard!$D$6,$F$108:$F$154,0))
*INDEX('DH calcs - old'!$B$66:$AK$101,MATCH(Dashboard!$D$5,'DH calcs - old'!$A$66:$A$101,0),MATCH(M$3,'DH calcs - old'!$B$65:$AK$65,0))</f>
        <v>286726762.72066653</v>
      </c>
      <c r="N47" s="155">
        <f>(SUM('2.2 Energy Systems inputs'!I$26:I$27)*1000000000)*INDEX(N$108:N$154,MATCH($B47&amp;Dashboard!$D$6,$F$108:$F$154,0))
*INDEX('DH calcs - old'!$B$66:$AK$101,MATCH(Dashboard!$D$5,'DH calcs - old'!$A$66:$A$101,0),MATCH(N$3,'DH calcs - old'!$B$65:$AK$65,0))</f>
        <v>296725981.81468844</v>
      </c>
      <c r="O47" s="155">
        <f>(SUM('2.2 Energy Systems inputs'!J$26:J$27)*1000000000)*INDEX(O$108:O$154,MATCH($B47&amp;Dashboard!$D$6,$F$108:$F$154,0))
*INDEX('DH calcs - old'!$B$66:$AK$101,MATCH(Dashboard!$D$5,'DH calcs - old'!$A$66:$A$101,0),MATCH(O$3,'DH calcs - old'!$B$65:$AK$65,0))</f>
        <v>307418747.06084126</v>
      </c>
      <c r="P47" s="155">
        <f>(SUM('2.2 Energy Systems inputs'!K$26:K$27)*1000000000)*INDEX(P$108:P$154,MATCH($B47&amp;Dashboard!$D$6,$F$108:$F$154,0))
*INDEX('DH calcs - old'!$B$66:$AK$101,MATCH(Dashboard!$D$5,'DH calcs - old'!$A$66:$A$101,0),MATCH(P$3,'DH calcs - old'!$B$65:$AK$65,0))</f>
        <v>376098504.21223027</v>
      </c>
      <c r="Q47" s="155">
        <f>(SUM('2.2 Energy Systems inputs'!L$26:L$27)*1000000000)*INDEX(Q$108:Q$154,MATCH($B47&amp;Dashboard!$D$6,$F$108:$F$154,0))
*INDEX('DH calcs - old'!$B$66:$AK$101,MATCH(Dashboard!$D$5,'DH calcs - old'!$A$66:$A$101,0),MATCH(Q$3,'DH calcs - old'!$B$65:$AK$65,0))</f>
        <v>405166206.73291504</v>
      </c>
      <c r="R47" s="155">
        <f>(SUM('2.2 Energy Systems inputs'!M$26:M$27)*1000000000)*INDEX(R$108:R$154,MATCH($B47&amp;Dashboard!$D$6,$F$108:$F$154,0))
*INDEX('DH calcs - old'!$B$66:$AK$101,MATCH(Dashboard!$D$5,'DH calcs - old'!$A$66:$A$101,0),MATCH(R$3,'DH calcs - old'!$B$65:$AK$65,0))</f>
        <v>438686161.51548558</v>
      </c>
      <c r="S47" s="155">
        <f>(SUM('2.2 Energy Systems inputs'!N$26:N$27)*1000000000)*INDEX(S$108:S$154,MATCH($B47&amp;Dashboard!$D$6,$F$108:$F$154,0))
*INDEX('DH calcs - old'!$B$66:$AK$101,MATCH(Dashboard!$D$5,'DH calcs - old'!$A$66:$A$101,0),MATCH(S$3,'DH calcs - old'!$B$65:$AK$65,0))</f>
        <v>469810165.01022583</v>
      </c>
      <c r="T47" s="155">
        <f>(SUM('2.2 Energy Systems inputs'!O$26:O$27)*1000000000)*INDEX(T$108:T$154,MATCH($B47&amp;Dashboard!$D$6,$F$108:$F$154,0))
*INDEX('DH calcs - old'!$B$66:$AK$101,MATCH(Dashboard!$D$5,'DH calcs - old'!$A$66:$A$101,0),MATCH(T$3,'DH calcs - old'!$B$65:$AK$65,0))</f>
        <v>498617779.63644069</v>
      </c>
      <c r="U47" s="155">
        <f>(SUM('2.2 Energy Systems inputs'!P$26:P$27)*1000000000)*INDEX(U$108:U$154,MATCH($B47&amp;Dashboard!$D$6,$F$108:$F$154,0))
*INDEX('DH calcs - old'!$B$66:$AK$101,MATCH(Dashboard!$D$5,'DH calcs - old'!$A$66:$A$101,0),MATCH(U$3,'DH calcs - old'!$B$65:$AK$65,0))</f>
        <v>524963336.80675316</v>
      </c>
      <c r="V47" s="155">
        <f>(SUM('2.2 Energy Systems inputs'!Q$26:Q$27)*1000000000)*INDEX(V$108:V$154,MATCH($B47&amp;Dashboard!$D$6,$F$108:$F$154,0))
*INDEX('DH calcs - old'!$B$66:$AK$101,MATCH(Dashboard!$D$5,'DH calcs - old'!$A$66:$A$101,0),MATCH(V$3,'DH calcs - old'!$B$65:$AK$65,0))</f>
        <v>513638759.74812412</v>
      </c>
      <c r="W47" s="155">
        <f>(SUM('2.2 Energy Systems inputs'!R$26:R$27)*1000000000)*INDEX(W$108:W$154,MATCH($B47&amp;Dashboard!$D$6,$F$108:$F$154,0))
*INDEX('DH calcs - old'!$B$66:$AK$101,MATCH(Dashboard!$D$5,'DH calcs - old'!$A$66:$A$101,0),MATCH(W$3,'DH calcs - old'!$B$65:$AK$65,0))</f>
        <v>502314182.68949461</v>
      </c>
      <c r="X47" s="155">
        <f>(SUM('2.2 Energy Systems inputs'!S$26:S$27)*1000000000)*INDEX(X$108:X$154,MATCH($B47&amp;Dashboard!$D$6,$F$108:$F$154,0))
*INDEX('DH calcs - old'!$B$66:$AK$101,MATCH(Dashboard!$D$5,'DH calcs - old'!$A$66:$A$101,0),MATCH(X$3,'DH calcs - old'!$B$65:$AK$65,0))</f>
        <v>490989605.63086486</v>
      </c>
      <c r="Y47" s="155">
        <f>(SUM('2.2 Energy Systems inputs'!T$26:T$27)*1000000000)*INDEX(Y$108:Y$154,MATCH($B47&amp;Dashboard!$D$6,$F$108:$F$154,0))
*INDEX('DH calcs - old'!$B$66:$AK$101,MATCH(Dashboard!$D$5,'DH calcs - old'!$A$66:$A$101,0),MATCH(Y$3,'DH calcs - old'!$B$65:$AK$65,0))</f>
        <v>479665028.57223535</v>
      </c>
      <c r="Z47" s="155">
        <f>(SUM('2.2 Energy Systems inputs'!U$26:U$27)*1000000000)*INDEX(Z$108:Z$154,MATCH($B47&amp;Dashboard!$D$6,$F$108:$F$154,0))
*INDEX('DH calcs - old'!$B$66:$AK$101,MATCH(Dashboard!$D$5,'DH calcs - old'!$A$66:$A$101,0),MATCH(Z$3,'DH calcs - old'!$B$65:$AK$65,0))</f>
        <v>468340451.51360565</v>
      </c>
      <c r="AA47" s="155">
        <f>(SUM('2.2 Energy Systems inputs'!V$26:V$27)*1000000000)*INDEX(AA$108:AA$154,MATCH($B47&amp;Dashboard!$D$6,$F$108:$F$154,0))
*INDEX('DH calcs - old'!$B$66:$AK$101,MATCH(Dashboard!$D$5,'DH calcs - old'!$A$66:$A$101,0),MATCH(AA$3,'DH calcs - old'!$B$65:$AK$65,0))</f>
        <v>457015874.45497602</v>
      </c>
      <c r="AB47" s="155">
        <f>(SUM('2.2 Energy Systems inputs'!W$26:W$27)*1000000000)*INDEX(AB$108:AB$154,MATCH($B47&amp;Dashboard!$D$6,$F$108:$F$154,0))
*INDEX('DH calcs - old'!$B$66:$AK$101,MATCH(Dashboard!$D$5,'DH calcs - old'!$A$66:$A$101,0),MATCH(AB$3,'DH calcs - old'!$B$65:$AK$65,0))</f>
        <v>443922819.3008973</v>
      </c>
      <c r="AC47" s="155">
        <f>(SUM('2.2 Energy Systems inputs'!X$26:X$27)*1000000000)*INDEX(AC$108:AC$154,MATCH($B47&amp;Dashboard!$D$6,$F$108:$F$154,0))
*INDEX('DH calcs - old'!$B$66:$AK$101,MATCH(Dashboard!$D$5,'DH calcs - old'!$A$66:$A$101,0),MATCH(AC$3,'DH calcs - old'!$B$65:$AK$65,0))</f>
        <v>405255873.13857621</v>
      </c>
      <c r="AD47" s="155">
        <f>(SUM('2.2 Energy Systems inputs'!Y$26:Y$27)*1000000000)*INDEX(AD$108:AD$154,MATCH($B47&amp;Dashboard!$D$6,$F$108:$F$154,0))
*INDEX('DH calcs - old'!$B$66:$AK$101,MATCH(Dashboard!$D$5,'DH calcs - old'!$A$66:$A$101,0),MATCH(AD$3,'DH calcs - old'!$B$65:$AK$65,0))</f>
        <v>364614303.72005755</v>
      </c>
      <c r="AE47" s="155">
        <f>(SUM('2.2 Energy Systems inputs'!Z$26:Z$27)*1000000000)*INDEX(AE$108:AE$154,MATCH($B47&amp;Dashboard!$D$6,$F$108:$F$154,0))
*INDEX('DH calcs - old'!$B$66:$AK$101,MATCH(Dashboard!$D$5,'DH calcs - old'!$A$66:$A$101,0),MATCH(AE$3,'DH calcs - old'!$B$65:$AK$65,0))</f>
        <v>324181231.53658259</v>
      </c>
      <c r="AF47" s="155">
        <f>(SUM('2.2 Energy Systems inputs'!AA$26:AA$27)*1000000000)*INDEX(AF$108:AF$154,MATCH($B47&amp;Dashboard!$D$6,$F$108:$F$154,0))
*INDEX('DH calcs - old'!$B$66:$AK$101,MATCH(Dashboard!$D$5,'DH calcs - old'!$A$66:$A$101,0),MATCH(AF$3,'DH calcs - old'!$B$65:$AK$65,0))</f>
        <v>285035627.20955145</v>
      </c>
      <c r="AG47" s="155">
        <f>(SUM('2.2 Energy Systems inputs'!AB$26:AB$27)*1000000000)*INDEX(AG$108:AG$154,MATCH($B47&amp;Dashboard!$D$6,$F$108:$F$154,0))
*INDEX('DH calcs - old'!$B$66:$AK$101,MATCH(Dashboard!$D$5,'DH calcs - old'!$A$66:$A$101,0),MATCH(AG$3,'DH calcs - old'!$B$65:$AK$65,0))</f>
        <v>247049133.10898575</v>
      </c>
      <c r="AH47" s="155">
        <f>(SUM('2.2 Energy Systems inputs'!AC$26:AC$27)*1000000000)*INDEX(AH$108:AH$154,MATCH($B47&amp;Dashboard!$D$6,$F$108:$F$154,0))
*INDEX('DH calcs - old'!$B$66:$AK$101,MATCH(Dashboard!$D$5,'DH calcs - old'!$A$66:$A$101,0),MATCH(AH$3,'DH calcs - old'!$B$65:$AK$65,0))</f>
        <v>210526400.07210413</v>
      </c>
      <c r="AI47" s="155">
        <f>(SUM('2.2 Energy Systems inputs'!AD$26:AD$27)*1000000000)*INDEX(AI$108:AI$154,MATCH($B47&amp;Dashboard!$D$6,$F$108:$F$154,0))
*INDEX('DH calcs - old'!$B$66:$AK$101,MATCH(Dashboard!$D$5,'DH calcs - old'!$A$66:$A$101,0),MATCH(AI$3,'DH calcs - old'!$B$65:$AK$65,0))</f>
        <v>176085100.9781709</v>
      </c>
      <c r="AJ47" s="155">
        <f>(SUM('2.2 Energy Systems inputs'!AE$26:AE$27)*1000000000)*INDEX(AJ$108:AJ$154,MATCH($B47&amp;Dashboard!$D$6,$F$108:$F$154,0))
*INDEX('DH calcs - old'!$B$66:$AK$101,MATCH(Dashboard!$D$5,'DH calcs - old'!$A$66:$A$101,0),MATCH(AJ$3,'DH calcs - old'!$B$65:$AK$65,0))</f>
        <v>143607173.6810188</v>
      </c>
      <c r="AK47" s="155">
        <f>(SUM('2.2 Energy Systems inputs'!AF$26:AF$27)*1000000000)*INDEX(AK$108:AK$154,MATCH($B47&amp;Dashboard!$D$6,$F$108:$F$154,0))
*INDEX('DH calcs - old'!$B$66:$AK$101,MATCH(Dashboard!$D$5,'DH calcs - old'!$A$66:$A$101,0),MATCH(AK$3,'DH calcs - old'!$B$65:$AK$65,0))</f>
        <v>118192265.77247582</v>
      </c>
      <c r="AL47" s="155">
        <f>(SUM('2.2 Energy Systems inputs'!AG$26:AG$27)*1000000000)*INDEX(AL$108:AL$154,MATCH($B47&amp;Dashboard!$D$6,$F$108:$F$154,0))
*INDEX('DH calcs - old'!$B$66:$AK$101,MATCH(Dashboard!$D$5,'DH calcs - old'!$A$66:$A$101,0),MATCH(AL$3,'DH calcs - old'!$B$65:$AK$65,0))</f>
        <v>93250771.479220256</v>
      </c>
      <c r="AM47" s="155">
        <f>(SUM('2.2 Energy Systems inputs'!AH$26:AH$27)*1000000000)*INDEX(AM$108:AM$154,MATCH($B47&amp;Dashboard!$D$6,$F$108:$F$154,0))
*INDEX('DH calcs - old'!$B$66:$AK$101,MATCH(Dashboard!$D$5,'DH calcs - old'!$A$66:$A$101,0),MATCH(AM$3,'DH calcs - old'!$B$65:$AK$65,0))</f>
        <v>68871922.939869881</v>
      </c>
      <c r="AN47" s="155">
        <f>(SUM('2.2 Energy Systems inputs'!AI$26:AI$27)*1000000000)*INDEX(AN$108:AN$154,MATCH($B47&amp;Dashboard!$D$6,$F$108:$F$154,0))
*INDEX('DH calcs - old'!$B$66:$AK$101,MATCH(Dashboard!$D$5,'DH calcs - old'!$A$66:$A$101,0),MATCH(AN$3,'DH calcs - old'!$B$65:$AK$65,0))</f>
        <v>45144703.959049746</v>
      </c>
      <c r="AO47" s="155">
        <f>(SUM('2.2 Energy Systems inputs'!AJ$26:AJ$27)*1000000000)*INDEX(AO$108:AO$154,MATCH($B47&amp;Dashboard!$D$6,$F$108:$F$154,0))
*INDEX('DH calcs - old'!$B$66:$AK$101,MATCH(Dashboard!$D$5,'DH calcs - old'!$A$66:$A$101,0),MATCH(AO$3,'DH calcs - old'!$B$65:$AK$65,0))</f>
        <v>22157853.396244857</v>
      </c>
      <c r="AP47" s="155">
        <f>(SUM('2.2 Energy Systems inputs'!AK$26:AK$27)*1000000000)*INDEX(AP$108:AP$154,MATCH($B47&amp;Dashboard!$D$6,$F$108:$F$154,0))
*INDEX('DH calcs - old'!$B$66:$AK$101,MATCH(Dashboard!$D$5,'DH calcs - old'!$A$66:$A$101,0),MATCH(AP$3,'DH calcs - old'!$B$65:$AK$65,0))</f>
        <v>0</v>
      </c>
      <c r="AQ47" s="155">
        <f>(SUM('2.2 Energy Systems inputs'!AL$26:AL$27)*1000000000)*INDEX(AQ$108:AQ$154,MATCH($B47&amp;Dashboard!$D$6,$F$108:$F$154,0))
*INDEX('DH calcs - old'!$B$66:$AK$101,MATCH(Dashboard!$D$5,'DH calcs - old'!$A$66:$A$101,0),MATCH(AQ$3,'DH calcs - old'!$B$65:$AK$65,0))</f>
        <v>0</v>
      </c>
      <c r="AR47" s="155">
        <f>(SUM('2.2 Energy Systems inputs'!AM$26:AM$27)*1000000000)*INDEX(AR$108:AR$154,MATCH($B47&amp;Dashboard!$D$6,$F$108:$F$154,0))
*INDEX('DH calcs - old'!$B$66:$AK$101,MATCH(Dashboard!$D$5,'DH calcs - old'!$A$66:$A$101,0),MATCH(AR$3,'DH calcs - old'!$B$65:$AK$65,0))</f>
        <v>0</v>
      </c>
      <c r="AS47" s="155">
        <f>(SUM('2.2 Energy Systems inputs'!AN$26:AN$27)*1000000000)*INDEX(AS$108:AS$154,MATCH($B47&amp;Dashboard!$D$6,$F$108:$F$154,0))
*INDEX('DH calcs - old'!$B$66:$AK$101,MATCH(Dashboard!$D$5,'DH calcs - old'!$A$66:$A$101,0),MATCH(AS$3,'DH calcs - old'!$B$65:$AK$65,0))</f>
        <v>0</v>
      </c>
      <c r="AT47" s="155">
        <f>(SUM('2.2 Energy Systems inputs'!AO$26:AO$27)*1000000000)*INDEX(AT$108:AT$154,MATCH($B47&amp;Dashboard!$D$6,$F$108:$F$154,0))
*INDEX('DH calcs - old'!$B$66:$AK$101,MATCH(Dashboard!$D$5,'DH calcs - old'!$A$66:$A$101,0),MATCH(AT$3,'DH calcs - old'!$B$65:$AK$65,0))</f>
        <v>0</v>
      </c>
      <c r="AW47" s="159"/>
    </row>
    <row r="48" spans="1:49" ht="19.5" thickTop="1" thickBot="1">
      <c r="B48" s="35" t="s">
        <v>265</v>
      </c>
      <c r="C48" s="44" t="s">
        <v>1297</v>
      </c>
      <c r="D48" t="s">
        <v>693</v>
      </c>
      <c r="E48" s="44" t="s">
        <v>1300</v>
      </c>
      <c r="F48" t="s">
        <v>693</v>
      </c>
      <c r="G48" s="44" t="s">
        <v>1301</v>
      </c>
      <c r="H48" t="s">
        <v>693</v>
      </c>
      <c r="I48" s="44" t="s">
        <v>56</v>
      </c>
      <c r="K48" s="155">
        <f>(SUM('2.2 Energy Systems inputs'!F$26:F$27)*1000000000)*INDEX(K$108:K$154,MATCH($B48&amp;Dashboard!$D$6,$F$108:$F$154,0))
*INDEX('DH calcs - old'!$B$66:$AK$101,MATCH(Dashboard!$D$5,'DH calcs - old'!$A$66:$A$101,0),MATCH(K$3,'DH calcs - old'!$B$65:$AK$65,0))</f>
        <v>0</v>
      </c>
      <c r="L48" s="155">
        <f>(SUM('2.2 Energy Systems inputs'!G$26:G$27)*1000000000)*INDEX(L$108:L$154,MATCH($B48&amp;Dashboard!$D$6,$F$108:$F$154,0))
*INDEX('DH calcs - old'!$B$66:$AK$101,MATCH(Dashboard!$D$5,'DH calcs - old'!$A$66:$A$101,0),MATCH(L$3,'DH calcs - old'!$B$65:$AK$65,0))</f>
        <v>0</v>
      </c>
      <c r="M48" s="155">
        <f>(SUM('2.2 Energy Systems inputs'!H$26:H$27)*1000000000)*INDEX(M$108:M$154,MATCH($B48&amp;Dashboard!$D$6,$F$108:$F$154,0))
*INDEX('DH calcs - old'!$B$66:$AK$101,MATCH(Dashboard!$D$5,'DH calcs - old'!$A$66:$A$101,0),MATCH(M$3,'DH calcs - old'!$B$65:$AK$65,0))</f>
        <v>0</v>
      </c>
      <c r="N48" s="155">
        <f>(SUM('2.2 Energy Systems inputs'!I$26:I$27)*1000000000)*INDEX(N$108:N$154,MATCH($B48&amp;Dashboard!$D$6,$F$108:$F$154,0))
*INDEX('DH calcs - old'!$B$66:$AK$101,MATCH(Dashboard!$D$5,'DH calcs - old'!$A$66:$A$101,0),MATCH(N$3,'DH calcs - old'!$B$65:$AK$65,0))</f>
        <v>0</v>
      </c>
      <c r="O48" s="155">
        <f>(SUM('2.2 Energy Systems inputs'!J$26:J$27)*1000000000)*INDEX(O$108:O$154,MATCH($B48&amp;Dashboard!$D$6,$F$108:$F$154,0))
*INDEX('DH calcs - old'!$B$66:$AK$101,MATCH(Dashboard!$D$5,'DH calcs - old'!$A$66:$A$101,0),MATCH(O$3,'DH calcs - old'!$B$65:$AK$65,0))</f>
        <v>0</v>
      </c>
      <c r="P48" s="155">
        <f>(SUM('2.2 Energy Systems inputs'!K$26:K$27)*1000000000)*INDEX(P$108:P$154,MATCH($B48&amp;Dashboard!$D$6,$F$108:$F$154,0))
*INDEX('DH calcs - old'!$B$66:$AK$101,MATCH(Dashboard!$D$5,'DH calcs - old'!$A$66:$A$101,0),MATCH(P$3,'DH calcs - old'!$B$65:$AK$65,0))</f>
        <v>0</v>
      </c>
      <c r="Q48" s="155">
        <f>(SUM('2.2 Energy Systems inputs'!L$26:L$27)*1000000000)*INDEX(Q$108:Q$154,MATCH($B48&amp;Dashboard!$D$6,$F$108:$F$154,0))
*INDEX('DH calcs - old'!$B$66:$AK$101,MATCH(Dashboard!$D$5,'DH calcs - old'!$A$66:$A$101,0),MATCH(Q$3,'DH calcs - old'!$B$65:$AK$65,0))</f>
        <v>0</v>
      </c>
      <c r="R48" s="155">
        <f>(SUM('2.2 Energy Systems inputs'!M$26:M$27)*1000000000)*INDEX(R$108:R$154,MATCH($B48&amp;Dashboard!$D$6,$F$108:$F$154,0))
*INDEX('DH calcs - old'!$B$66:$AK$101,MATCH(Dashboard!$D$5,'DH calcs - old'!$A$66:$A$101,0),MATCH(R$3,'DH calcs - old'!$B$65:$AK$65,0))</f>
        <v>0</v>
      </c>
      <c r="S48" s="155">
        <f>(SUM('2.2 Energy Systems inputs'!N$26:N$27)*1000000000)*INDEX(S$108:S$154,MATCH($B48&amp;Dashboard!$D$6,$F$108:$F$154,0))
*INDEX('DH calcs - old'!$B$66:$AK$101,MATCH(Dashboard!$D$5,'DH calcs - old'!$A$66:$A$101,0),MATCH(S$3,'DH calcs - old'!$B$65:$AK$65,0))</f>
        <v>0</v>
      </c>
      <c r="T48" s="155">
        <f>(SUM('2.2 Energy Systems inputs'!O$26:O$27)*1000000000)*INDEX(T$108:T$154,MATCH($B48&amp;Dashboard!$D$6,$F$108:$F$154,0))
*INDEX('DH calcs - old'!$B$66:$AK$101,MATCH(Dashboard!$D$5,'DH calcs - old'!$A$66:$A$101,0),MATCH(T$3,'DH calcs - old'!$B$65:$AK$65,0))</f>
        <v>0</v>
      </c>
      <c r="U48" s="155">
        <f>(SUM('2.2 Energy Systems inputs'!P$26:P$27)*1000000000)*INDEX(U$108:U$154,MATCH($B48&amp;Dashboard!$D$6,$F$108:$F$154,0))
*INDEX('DH calcs - old'!$B$66:$AK$101,MATCH(Dashboard!$D$5,'DH calcs - old'!$A$66:$A$101,0),MATCH(U$3,'DH calcs - old'!$B$65:$AK$65,0))</f>
        <v>0</v>
      </c>
      <c r="V48" s="155">
        <f>(SUM('2.2 Energy Systems inputs'!Q$26:Q$27)*1000000000)*INDEX(V$108:V$154,MATCH($B48&amp;Dashboard!$D$6,$F$108:$F$154,0))
*INDEX('DH calcs - old'!$B$66:$AK$101,MATCH(Dashboard!$D$5,'DH calcs - old'!$A$66:$A$101,0),MATCH(V$3,'DH calcs - old'!$B$65:$AK$65,0))</f>
        <v>0</v>
      </c>
      <c r="W48" s="155">
        <f>(SUM('2.2 Energy Systems inputs'!R$26:R$27)*1000000000)*INDEX(W$108:W$154,MATCH($B48&amp;Dashboard!$D$6,$F$108:$F$154,0))
*INDEX('DH calcs - old'!$B$66:$AK$101,MATCH(Dashboard!$D$5,'DH calcs - old'!$A$66:$A$101,0),MATCH(W$3,'DH calcs - old'!$B$65:$AK$65,0))</f>
        <v>0</v>
      </c>
      <c r="X48" s="155">
        <f>(SUM('2.2 Energy Systems inputs'!S$26:S$27)*1000000000)*INDEX(X$108:X$154,MATCH($B48&amp;Dashboard!$D$6,$F$108:$F$154,0))
*INDEX('DH calcs - old'!$B$66:$AK$101,MATCH(Dashboard!$D$5,'DH calcs - old'!$A$66:$A$101,0),MATCH(X$3,'DH calcs - old'!$B$65:$AK$65,0))</f>
        <v>0</v>
      </c>
      <c r="Y48" s="155">
        <f>(SUM('2.2 Energy Systems inputs'!T$26:T$27)*1000000000)*INDEX(Y$108:Y$154,MATCH($B48&amp;Dashboard!$D$6,$F$108:$F$154,0))
*INDEX('DH calcs - old'!$B$66:$AK$101,MATCH(Dashboard!$D$5,'DH calcs - old'!$A$66:$A$101,0),MATCH(Y$3,'DH calcs - old'!$B$65:$AK$65,0))</f>
        <v>0</v>
      </c>
      <c r="Z48" s="155">
        <f>(SUM('2.2 Energy Systems inputs'!U$26:U$27)*1000000000)*INDEX(Z$108:Z$154,MATCH($B48&amp;Dashboard!$D$6,$F$108:$F$154,0))
*INDEX('DH calcs - old'!$B$66:$AK$101,MATCH(Dashboard!$D$5,'DH calcs - old'!$A$66:$A$101,0),MATCH(Z$3,'DH calcs - old'!$B$65:$AK$65,0))</f>
        <v>0</v>
      </c>
      <c r="AA48" s="155">
        <f>(SUM('2.2 Energy Systems inputs'!V$26:V$27)*1000000000)*INDEX(AA$108:AA$154,MATCH($B48&amp;Dashboard!$D$6,$F$108:$F$154,0))
*INDEX('DH calcs - old'!$B$66:$AK$101,MATCH(Dashboard!$D$5,'DH calcs - old'!$A$66:$A$101,0),MATCH(AA$3,'DH calcs - old'!$B$65:$AK$65,0))</f>
        <v>0</v>
      </c>
      <c r="AB48" s="155">
        <f>(SUM('2.2 Energy Systems inputs'!W$26:W$27)*1000000000)*INDEX(AB$108:AB$154,MATCH($B48&amp;Dashboard!$D$6,$F$108:$F$154,0))
*INDEX('DH calcs - old'!$B$66:$AK$101,MATCH(Dashboard!$D$5,'DH calcs - old'!$A$66:$A$101,0),MATCH(AB$3,'DH calcs - old'!$B$65:$AK$65,0))</f>
        <v>0</v>
      </c>
      <c r="AC48" s="155">
        <f>(SUM('2.2 Energy Systems inputs'!X$26:X$27)*1000000000)*INDEX(AC$108:AC$154,MATCH($B48&amp;Dashboard!$D$6,$F$108:$F$154,0))
*INDEX('DH calcs - old'!$B$66:$AK$101,MATCH(Dashboard!$D$5,'DH calcs - old'!$A$66:$A$101,0),MATCH(AC$3,'DH calcs - old'!$B$65:$AK$65,0))</f>
        <v>0</v>
      </c>
      <c r="AD48" s="155">
        <f>(SUM('2.2 Energy Systems inputs'!Y$26:Y$27)*1000000000)*INDEX(AD$108:AD$154,MATCH($B48&amp;Dashboard!$D$6,$F$108:$F$154,0))
*INDEX('DH calcs - old'!$B$66:$AK$101,MATCH(Dashboard!$D$5,'DH calcs - old'!$A$66:$A$101,0),MATCH(AD$3,'DH calcs - old'!$B$65:$AK$65,0))</f>
        <v>0</v>
      </c>
      <c r="AE48" s="155">
        <f>(SUM('2.2 Energy Systems inputs'!Z$26:Z$27)*1000000000)*INDEX(AE$108:AE$154,MATCH($B48&amp;Dashboard!$D$6,$F$108:$F$154,0))
*INDEX('DH calcs - old'!$B$66:$AK$101,MATCH(Dashboard!$D$5,'DH calcs - old'!$A$66:$A$101,0),MATCH(AE$3,'DH calcs - old'!$B$65:$AK$65,0))</f>
        <v>0</v>
      </c>
      <c r="AF48" s="155">
        <f>(SUM('2.2 Energy Systems inputs'!AA$26:AA$27)*1000000000)*INDEX(AF$108:AF$154,MATCH($B48&amp;Dashboard!$D$6,$F$108:$F$154,0))
*INDEX('DH calcs - old'!$B$66:$AK$101,MATCH(Dashboard!$D$5,'DH calcs - old'!$A$66:$A$101,0),MATCH(AF$3,'DH calcs - old'!$B$65:$AK$65,0))</f>
        <v>0</v>
      </c>
      <c r="AG48" s="155">
        <f>(SUM('2.2 Energy Systems inputs'!AB$26:AB$27)*1000000000)*INDEX(AG$108:AG$154,MATCH($B48&amp;Dashboard!$D$6,$F$108:$F$154,0))
*INDEX('DH calcs - old'!$B$66:$AK$101,MATCH(Dashboard!$D$5,'DH calcs - old'!$A$66:$A$101,0),MATCH(AG$3,'DH calcs - old'!$B$65:$AK$65,0))</f>
        <v>0</v>
      </c>
      <c r="AH48" s="155">
        <f>(SUM('2.2 Energy Systems inputs'!AC$26:AC$27)*1000000000)*INDEX(AH$108:AH$154,MATCH($B48&amp;Dashboard!$D$6,$F$108:$F$154,0))
*INDEX('DH calcs - old'!$B$66:$AK$101,MATCH(Dashboard!$D$5,'DH calcs - old'!$A$66:$A$101,0),MATCH(AH$3,'DH calcs - old'!$B$65:$AK$65,0))</f>
        <v>0</v>
      </c>
      <c r="AI48" s="155">
        <f>(SUM('2.2 Energy Systems inputs'!AD$26:AD$27)*1000000000)*INDEX(AI$108:AI$154,MATCH($B48&amp;Dashboard!$D$6,$F$108:$F$154,0))
*INDEX('DH calcs - old'!$B$66:$AK$101,MATCH(Dashboard!$D$5,'DH calcs - old'!$A$66:$A$101,0),MATCH(AI$3,'DH calcs - old'!$B$65:$AK$65,0))</f>
        <v>0</v>
      </c>
      <c r="AJ48" s="155">
        <f>(SUM('2.2 Energy Systems inputs'!AE$26:AE$27)*1000000000)*INDEX(AJ$108:AJ$154,MATCH($B48&amp;Dashboard!$D$6,$F$108:$F$154,0))
*INDEX('DH calcs - old'!$B$66:$AK$101,MATCH(Dashboard!$D$5,'DH calcs - old'!$A$66:$A$101,0),MATCH(AJ$3,'DH calcs - old'!$B$65:$AK$65,0))</f>
        <v>0</v>
      </c>
      <c r="AK48" s="155">
        <f>(SUM('2.2 Energy Systems inputs'!AF$26:AF$27)*1000000000)*INDEX(AK$108:AK$154,MATCH($B48&amp;Dashboard!$D$6,$F$108:$F$154,0))
*INDEX('DH calcs - old'!$B$66:$AK$101,MATCH(Dashboard!$D$5,'DH calcs - old'!$A$66:$A$101,0),MATCH(AK$3,'DH calcs - old'!$B$65:$AK$65,0))</f>
        <v>0</v>
      </c>
      <c r="AL48" s="155">
        <f>(SUM('2.2 Energy Systems inputs'!AG$26:AG$27)*1000000000)*INDEX(AL$108:AL$154,MATCH($B48&amp;Dashboard!$D$6,$F$108:$F$154,0))
*INDEX('DH calcs - old'!$B$66:$AK$101,MATCH(Dashboard!$D$5,'DH calcs - old'!$A$66:$A$101,0),MATCH(AL$3,'DH calcs - old'!$B$65:$AK$65,0))</f>
        <v>0</v>
      </c>
      <c r="AM48" s="155">
        <f>(SUM('2.2 Energy Systems inputs'!AH$26:AH$27)*1000000000)*INDEX(AM$108:AM$154,MATCH($B48&amp;Dashboard!$D$6,$F$108:$F$154,0))
*INDEX('DH calcs - old'!$B$66:$AK$101,MATCH(Dashboard!$D$5,'DH calcs - old'!$A$66:$A$101,0),MATCH(AM$3,'DH calcs - old'!$B$65:$AK$65,0))</f>
        <v>0</v>
      </c>
      <c r="AN48" s="155">
        <f>(SUM('2.2 Energy Systems inputs'!AI$26:AI$27)*1000000000)*INDEX(AN$108:AN$154,MATCH($B48&amp;Dashboard!$D$6,$F$108:$F$154,0))
*INDEX('DH calcs - old'!$B$66:$AK$101,MATCH(Dashboard!$D$5,'DH calcs - old'!$A$66:$A$101,0),MATCH(AN$3,'DH calcs - old'!$B$65:$AK$65,0))</f>
        <v>0</v>
      </c>
      <c r="AO48" s="155">
        <f>(SUM('2.2 Energy Systems inputs'!AJ$26:AJ$27)*1000000000)*INDEX(AO$108:AO$154,MATCH($B48&amp;Dashboard!$D$6,$F$108:$F$154,0))
*INDEX('DH calcs - old'!$B$66:$AK$101,MATCH(Dashboard!$D$5,'DH calcs - old'!$A$66:$A$101,0),MATCH(AO$3,'DH calcs - old'!$B$65:$AK$65,0))</f>
        <v>0</v>
      </c>
      <c r="AP48" s="155">
        <f>(SUM('2.2 Energy Systems inputs'!AK$26:AK$27)*1000000000)*INDEX(AP$108:AP$154,MATCH($B48&amp;Dashboard!$D$6,$F$108:$F$154,0))
*INDEX('DH calcs - old'!$B$66:$AK$101,MATCH(Dashboard!$D$5,'DH calcs - old'!$A$66:$A$101,0),MATCH(AP$3,'DH calcs - old'!$B$65:$AK$65,0))</f>
        <v>0</v>
      </c>
      <c r="AQ48" s="155">
        <f>(SUM('2.2 Energy Systems inputs'!AL$26:AL$27)*1000000000)*INDEX(AQ$108:AQ$154,MATCH($B48&amp;Dashboard!$D$6,$F$108:$F$154,0))
*INDEX('DH calcs - old'!$B$66:$AK$101,MATCH(Dashboard!$D$5,'DH calcs - old'!$A$66:$A$101,0),MATCH(AQ$3,'DH calcs - old'!$B$65:$AK$65,0))</f>
        <v>0</v>
      </c>
      <c r="AR48" s="155">
        <f>(SUM('2.2 Energy Systems inputs'!AM$26:AM$27)*1000000000)*INDEX(AR$108:AR$154,MATCH($B48&amp;Dashboard!$D$6,$F$108:$F$154,0))
*INDEX('DH calcs - old'!$B$66:$AK$101,MATCH(Dashboard!$D$5,'DH calcs - old'!$A$66:$A$101,0),MATCH(AR$3,'DH calcs - old'!$B$65:$AK$65,0))</f>
        <v>0</v>
      </c>
      <c r="AS48" s="155">
        <f>(SUM('2.2 Energy Systems inputs'!AN$26:AN$27)*1000000000)*INDEX(AS$108:AS$154,MATCH($B48&amp;Dashboard!$D$6,$F$108:$F$154,0))
*INDEX('DH calcs - old'!$B$66:$AK$101,MATCH(Dashboard!$D$5,'DH calcs - old'!$A$66:$A$101,0),MATCH(AS$3,'DH calcs - old'!$B$65:$AK$65,0))</f>
        <v>0</v>
      </c>
      <c r="AT48" s="155">
        <f>(SUM('2.2 Energy Systems inputs'!AO$26:AO$27)*1000000000)*INDEX(AT$108:AT$154,MATCH($B48&amp;Dashboard!$D$6,$F$108:$F$154,0))
*INDEX('DH calcs - old'!$B$66:$AK$101,MATCH(Dashboard!$D$5,'DH calcs - old'!$A$66:$A$101,0),MATCH(AT$3,'DH calcs - old'!$B$65:$AK$65,0))</f>
        <v>0</v>
      </c>
      <c r="AW48" s="159"/>
    </row>
    <row r="49" spans="1:49" ht="19.5" thickTop="1" thickBot="1">
      <c r="B49" s="35" t="s">
        <v>211</v>
      </c>
      <c r="C49" s="44" t="s">
        <v>1297</v>
      </c>
      <c r="D49" t="s">
        <v>693</v>
      </c>
      <c r="E49" s="44" t="s">
        <v>1300</v>
      </c>
      <c r="F49" t="s">
        <v>693</v>
      </c>
      <c r="G49" s="44" t="s">
        <v>1301</v>
      </c>
      <c r="H49" t="s">
        <v>693</v>
      </c>
      <c r="I49" s="44" t="s">
        <v>56</v>
      </c>
      <c r="K49" s="155">
        <f>(SUM('2.2 Energy Systems inputs'!F$26:F$27)*1000000000)*INDEX(K$108:K$154,MATCH($B49&amp;Dashboard!$D$6,$F$108:$F$154,0))
*INDEX('DH calcs - old'!$B$66:$AK$101,MATCH(Dashboard!$D$5,'DH calcs - old'!$A$66:$A$101,0),MATCH(K$3,'DH calcs - old'!$B$65:$AK$65,0))</f>
        <v>0</v>
      </c>
      <c r="L49" s="155">
        <f>(SUM('2.2 Energy Systems inputs'!G$26:G$27)*1000000000)*INDEX(L$108:L$154,MATCH($B49&amp;Dashboard!$D$6,$F$108:$F$154,0))
*INDEX('DH calcs - old'!$B$66:$AK$101,MATCH(Dashboard!$D$5,'DH calcs - old'!$A$66:$A$101,0),MATCH(L$3,'DH calcs - old'!$B$65:$AK$65,0))</f>
        <v>0</v>
      </c>
      <c r="M49" s="155">
        <f>(SUM('2.2 Energy Systems inputs'!H$26:H$27)*1000000000)*INDEX(M$108:M$154,MATCH($B49&amp;Dashboard!$D$6,$F$108:$F$154,0))
*INDEX('DH calcs - old'!$B$66:$AK$101,MATCH(Dashboard!$D$5,'DH calcs - old'!$A$66:$A$101,0),MATCH(M$3,'DH calcs - old'!$B$65:$AK$65,0))</f>
        <v>0</v>
      </c>
      <c r="N49" s="155">
        <f>(SUM('2.2 Energy Systems inputs'!I$26:I$27)*1000000000)*INDEX(N$108:N$154,MATCH($B49&amp;Dashboard!$D$6,$F$108:$F$154,0))
*INDEX('DH calcs - old'!$B$66:$AK$101,MATCH(Dashboard!$D$5,'DH calcs - old'!$A$66:$A$101,0),MATCH(N$3,'DH calcs - old'!$B$65:$AK$65,0))</f>
        <v>0</v>
      </c>
      <c r="O49" s="155">
        <f>(SUM('2.2 Energy Systems inputs'!J$26:J$27)*1000000000)*INDEX(O$108:O$154,MATCH($B49&amp;Dashboard!$D$6,$F$108:$F$154,0))
*INDEX('DH calcs - old'!$B$66:$AK$101,MATCH(Dashboard!$D$5,'DH calcs - old'!$A$66:$A$101,0),MATCH(O$3,'DH calcs - old'!$B$65:$AK$65,0))</f>
        <v>0</v>
      </c>
      <c r="P49" s="155">
        <f>(SUM('2.2 Energy Systems inputs'!K$26:K$27)*1000000000)*INDEX(P$108:P$154,MATCH($B49&amp;Dashboard!$D$6,$F$108:$F$154,0))
*INDEX('DH calcs - old'!$B$66:$AK$101,MATCH(Dashboard!$D$5,'DH calcs - old'!$A$66:$A$101,0),MATCH(P$3,'DH calcs - old'!$B$65:$AK$65,0))</f>
        <v>0</v>
      </c>
      <c r="Q49" s="155">
        <f>(SUM('2.2 Energy Systems inputs'!L$26:L$27)*1000000000)*INDEX(Q$108:Q$154,MATCH($B49&amp;Dashboard!$D$6,$F$108:$F$154,0))
*INDEX('DH calcs - old'!$B$66:$AK$101,MATCH(Dashboard!$D$5,'DH calcs - old'!$A$66:$A$101,0),MATCH(Q$3,'DH calcs - old'!$B$65:$AK$65,0))</f>
        <v>0</v>
      </c>
      <c r="R49" s="155">
        <f>(SUM('2.2 Energy Systems inputs'!M$26:M$27)*1000000000)*INDEX(R$108:R$154,MATCH($B49&amp;Dashboard!$D$6,$F$108:$F$154,0))
*INDEX('DH calcs - old'!$B$66:$AK$101,MATCH(Dashboard!$D$5,'DH calcs - old'!$A$66:$A$101,0),MATCH(R$3,'DH calcs - old'!$B$65:$AK$65,0))</f>
        <v>0</v>
      </c>
      <c r="S49" s="155">
        <f>(SUM('2.2 Energy Systems inputs'!N$26:N$27)*1000000000)*INDEX(S$108:S$154,MATCH($B49&amp;Dashboard!$D$6,$F$108:$F$154,0))
*INDEX('DH calcs - old'!$B$66:$AK$101,MATCH(Dashboard!$D$5,'DH calcs - old'!$A$66:$A$101,0),MATCH(S$3,'DH calcs - old'!$B$65:$AK$65,0))</f>
        <v>0</v>
      </c>
      <c r="T49" s="155">
        <f>(SUM('2.2 Energy Systems inputs'!O$26:O$27)*1000000000)*INDEX(T$108:T$154,MATCH($B49&amp;Dashboard!$D$6,$F$108:$F$154,0))
*INDEX('DH calcs - old'!$B$66:$AK$101,MATCH(Dashboard!$D$5,'DH calcs - old'!$A$66:$A$101,0),MATCH(T$3,'DH calcs - old'!$B$65:$AK$65,0))</f>
        <v>0</v>
      </c>
      <c r="U49" s="155">
        <f>(SUM('2.2 Energy Systems inputs'!P$26:P$27)*1000000000)*INDEX(U$108:U$154,MATCH($B49&amp;Dashboard!$D$6,$F$108:$F$154,0))
*INDEX('DH calcs - old'!$B$66:$AK$101,MATCH(Dashboard!$D$5,'DH calcs - old'!$A$66:$A$101,0),MATCH(U$3,'DH calcs - old'!$B$65:$AK$65,0))</f>
        <v>0</v>
      </c>
      <c r="V49" s="155">
        <f>(SUM('2.2 Energy Systems inputs'!Q$26:Q$27)*1000000000)*INDEX(V$108:V$154,MATCH($B49&amp;Dashboard!$D$6,$F$108:$F$154,0))
*INDEX('DH calcs - old'!$B$66:$AK$101,MATCH(Dashboard!$D$5,'DH calcs - old'!$A$66:$A$101,0),MATCH(V$3,'DH calcs - old'!$B$65:$AK$65,0))</f>
        <v>0</v>
      </c>
      <c r="W49" s="155">
        <f>(SUM('2.2 Energy Systems inputs'!R$26:R$27)*1000000000)*INDEX(W$108:W$154,MATCH($B49&amp;Dashboard!$D$6,$F$108:$F$154,0))
*INDEX('DH calcs - old'!$B$66:$AK$101,MATCH(Dashboard!$D$5,'DH calcs - old'!$A$66:$A$101,0),MATCH(W$3,'DH calcs - old'!$B$65:$AK$65,0))</f>
        <v>0</v>
      </c>
      <c r="X49" s="155">
        <f>(SUM('2.2 Energy Systems inputs'!S$26:S$27)*1000000000)*INDEX(X$108:X$154,MATCH($B49&amp;Dashboard!$D$6,$F$108:$F$154,0))
*INDEX('DH calcs - old'!$B$66:$AK$101,MATCH(Dashboard!$D$5,'DH calcs - old'!$A$66:$A$101,0),MATCH(X$3,'DH calcs - old'!$B$65:$AK$65,0))</f>
        <v>0</v>
      </c>
      <c r="Y49" s="155">
        <f>(SUM('2.2 Energy Systems inputs'!T$26:T$27)*1000000000)*INDEX(Y$108:Y$154,MATCH($B49&amp;Dashboard!$D$6,$F$108:$F$154,0))
*INDEX('DH calcs - old'!$B$66:$AK$101,MATCH(Dashboard!$D$5,'DH calcs - old'!$A$66:$A$101,0),MATCH(Y$3,'DH calcs - old'!$B$65:$AK$65,0))</f>
        <v>0</v>
      </c>
      <c r="Z49" s="155">
        <f>(SUM('2.2 Energy Systems inputs'!U$26:U$27)*1000000000)*INDEX(Z$108:Z$154,MATCH($B49&amp;Dashboard!$D$6,$F$108:$F$154,0))
*INDEX('DH calcs - old'!$B$66:$AK$101,MATCH(Dashboard!$D$5,'DH calcs - old'!$A$66:$A$101,0),MATCH(Z$3,'DH calcs - old'!$B$65:$AK$65,0))</f>
        <v>0</v>
      </c>
      <c r="AA49" s="155">
        <f>(SUM('2.2 Energy Systems inputs'!V$26:V$27)*1000000000)*INDEX(AA$108:AA$154,MATCH($B49&amp;Dashboard!$D$6,$F$108:$F$154,0))
*INDEX('DH calcs - old'!$B$66:$AK$101,MATCH(Dashboard!$D$5,'DH calcs - old'!$A$66:$A$101,0),MATCH(AA$3,'DH calcs - old'!$B$65:$AK$65,0))</f>
        <v>0</v>
      </c>
      <c r="AB49" s="155">
        <f>(SUM('2.2 Energy Systems inputs'!W$26:W$27)*1000000000)*INDEX(AB$108:AB$154,MATCH($B49&amp;Dashboard!$D$6,$F$108:$F$154,0))
*INDEX('DH calcs - old'!$B$66:$AK$101,MATCH(Dashboard!$D$5,'DH calcs - old'!$A$66:$A$101,0),MATCH(AB$3,'DH calcs - old'!$B$65:$AK$65,0))</f>
        <v>0</v>
      </c>
      <c r="AC49" s="155">
        <f>(SUM('2.2 Energy Systems inputs'!X$26:X$27)*1000000000)*INDEX(AC$108:AC$154,MATCH($B49&amp;Dashboard!$D$6,$F$108:$F$154,0))
*INDEX('DH calcs - old'!$B$66:$AK$101,MATCH(Dashboard!$D$5,'DH calcs - old'!$A$66:$A$101,0),MATCH(AC$3,'DH calcs - old'!$B$65:$AK$65,0))</f>
        <v>0</v>
      </c>
      <c r="AD49" s="155">
        <f>(SUM('2.2 Energy Systems inputs'!Y$26:Y$27)*1000000000)*INDEX(AD$108:AD$154,MATCH($B49&amp;Dashboard!$D$6,$F$108:$F$154,0))
*INDEX('DH calcs - old'!$B$66:$AK$101,MATCH(Dashboard!$D$5,'DH calcs - old'!$A$66:$A$101,0),MATCH(AD$3,'DH calcs - old'!$B$65:$AK$65,0))</f>
        <v>0</v>
      </c>
      <c r="AE49" s="155">
        <f>(SUM('2.2 Energy Systems inputs'!Z$26:Z$27)*1000000000)*INDEX(AE$108:AE$154,MATCH($B49&amp;Dashboard!$D$6,$F$108:$F$154,0))
*INDEX('DH calcs - old'!$B$66:$AK$101,MATCH(Dashboard!$D$5,'DH calcs - old'!$A$66:$A$101,0),MATCH(AE$3,'DH calcs - old'!$B$65:$AK$65,0))</f>
        <v>0</v>
      </c>
      <c r="AF49" s="155">
        <f>(SUM('2.2 Energy Systems inputs'!AA$26:AA$27)*1000000000)*INDEX(AF$108:AF$154,MATCH($B49&amp;Dashboard!$D$6,$F$108:$F$154,0))
*INDEX('DH calcs - old'!$B$66:$AK$101,MATCH(Dashboard!$D$5,'DH calcs - old'!$A$66:$A$101,0),MATCH(AF$3,'DH calcs - old'!$B$65:$AK$65,0))</f>
        <v>0</v>
      </c>
      <c r="AG49" s="155">
        <f>(SUM('2.2 Energy Systems inputs'!AB$26:AB$27)*1000000000)*INDEX(AG$108:AG$154,MATCH($B49&amp;Dashboard!$D$6,$F$108:$F$154,0))
*INDEX('DH calcs - old'!$B$66:$AK$101,MATCH(Dashboard!$D$5,'DH calcs - old'!$A$66:$A$101,0),MATCH(AG$3,'DH calcs - old'!$B$65:$AK$65,0))</f>
        <v>0</v>
      </c>
      <c r="AH49" s="155">
        <f>(SUM('2.2 Energy Systems inputs'!AC$26:AC$27)*1000000000)*INDEX(AH$108:AH$154,MATCH($B49&amp;Dashboard!$D$6,$F$108:$F$154,0))
*INDEX('DH calcs - old'!$B$66:$AK$101,MATCH(Dashboard!$D$5,'DH calcs - old'!$A$66:$A$101,0),MATCH(AH$3,'DH calcs - old'!$B$65:$AK$65,0))</f>
        <v>0</v>
      </c>
      <c r="AI49" s="155">
        <f>(SUM('2.2 Energy Systems inputs'!AD$26:AD$27)*1000000000)*INDEX(AI$108:AI$154,MATCH($B49&amp;Dashboard!$D$6,$F$108:$F$154,0))
*INDEX('DH calcs - old'!$B$66:$AK$101,MATCH(Dashboard!$D$5,'DH calcs - old'!$A$66:$A$101,0),MATCH(AI$3,'DH calcs - old'!$B$65:$AK$65,0))</f>
        <v>0</v>
      </c>
      <c r="AJ49" s="155">
        <f>(SUM('2.2 Energy Systems inputs'!AE$26:AE$27)*1000000000)*INDEX(AJ$108:AJ$154,MATCH($B49&amp;Dashboard!$D$6,$F$108:$F$154,0))
*INDEX('DH calcs - old'!$B$66:$AK$101,MATCH(Dashboard!$D$5,'DH calcs - old'!$A$66:$A$101,0),MATCH(AJ$3,'DH calcs - old'!$B$65:$AK$65,0))</f>
        <v>0</v>
      </c>
      <c r="AK49" s="155">
        <f>(SUM('2.2 Energy Systems inputs'!AF$26:AF$27)*1000000000)*INDEX(AK$108:AK$154,MATCH($B49&amp;Dashboard!$D$6,$F$108:$F$154,0))
*INDEX('DH calcs - old'!$B$66:$AK$101,MATCH(Dashboard!$D$5,'DH calcs - old'!$A$66:$A$101,0),MATCH(AK$3,'DH calcs - old'!$B$65:$AK$65,0))</f>
        <v>0</v>
      </c>
      <c r="AL49" s="155">
        <f>(SUM('2.2 Energy Systems inputs'!AG$26:AG$27)*1000000000)*INDEX(AL$108:AL$154,MATCH($B49&amp;Dashboard!$D$6,$F$108:$F$154,0))
*INDEX('DH calcs - old'!$B$66:$AK$101,MATCH(Dashboard!$D$5,'DH calcs - old'!$A$66:$A$101,0),MATCH(AL$3,'DH calcs - old'!$B$65:$AK$65,0))</f>
        <v>0</v>
      </c>
      <c r="AM49" s="155">
        <f>(SUM('2.2 Energy Systems inputs'!AH$26:AH$27)*1000000000)*INDEX(AM$108:AM$154,MATCH($B49&amp;Dashboard!$D$6,$F$108:$F$154,0))
*INDEX('DH calcs - old'!$B$66:$AK$101,MATCH(Dashboard!$D$5,'DH calcs - old'!$A$66:$A$101,0),MATCH(AM$3,'DH calcs - old'!$B$65:$AK$65,0))</f>
        <v>0</v>
      </c>
      <c r="AN49" s="155">
        <f>(SUM('2.2 Energy Systems inputs'!AI$26:AI$27)*1000000000)*INDEX(AN$108:AN$154,MATCH($B49&amp;Dashboard!$D$6,$F$108:$F$154,0))
*INDEX('DH calcs - old'!$B$66:$AK$101,MATCH(Dashboard!$D$5,'DH calcs - old'!$A$66:$A$101,0),MATCH(AN$3,'DH calcs - old'!$B$65:$AK$65,0))</f>
        <v>0</v>
      </c>
      <c r="AO49" s="155">
        <f>(SUM('2.2 Energy Systems inputs'!AJ$26:AJ$27)*1000000000)*INDEX(AO$108:AO$154,MATCH($B49&amp;Dashboard!$D$6,$F$108:$F$154,0))
*INDEX('DH calcs - old'!$B$66:$AK$101,MATCH(Dashboard!$D$5,'DH calcs - old'!$A$66:$A$101,0),MATCH(AO$3,'DH calcs - old'!$B$65:$AK$65,0))</f>
        <v>0</v>
      </c>
      <c r="AP49" s="155">
        <f>(SUM('2.2 Energy Systems inputs'!AK$26:AK$27)*1000000000)*INDEX(AP$108:AP$154,MATCH($B49&amp;Dashboard!$D$6,$F$108:$F$154,0))
*INDEX('DH calcs - old'!$B$66:$AK$101,MATCH(Dashboard!$D$5,'DH calcs - old'!$A$66:$A$101,0),MATCH(AP$3,'DH calcs - old'!$B$65:$AK$65,0))</f>
        <v>0</v>
      </c>
      <c r="AQ49" s="155">
        <f>(SUM('2.2 Energy Systems inputs'!AL$26:AL$27)*1000000000)*INDEX(AQ$108:AQ$154,MATCH($B49&amp;Dashboard!$D$6,$F$108:$F$154,0))
*INDEX('DH calcs - old'!$B$66:$AK$101,MATCH(Dashboard!$D$5,'DH calcs - old'!$A$66:$A$101,0),MATCH(AQ$3,'DH calcs - old'!$B$65:$AK$65,0))</f>
        <v>0</v>
      </c>
      <c r="AR49" s="155">
        <f>(SUM('2.2 Energy Systems inputs'!AM$26:AM$27)*1000000000)*INDEX(AR$108:AR$154,MATCH($B49&amp;Dashboard!$D$6,$F$108:$F$154,0))
*INDEX('DH calcs - old'!$B$66:$AK$101,MATCH(Dashboard!$D$5,'DH calcs - old'!$A$66:$A$101,0),MATCH(AR$3,'DH calcs - old'!$B$65:$AK$65,0))</f>
        <v>0</v>
      </c>
      <c r="AS49" s="155">
        <f>(SUM('2.2 Energy Systems inputs'!AN$26:AN$27)*1000000000)*INDEX(AS$108:AS$154,MATCH($B49&amp;Dashboard!$D$6,$F$108:$F$154,0))
*INDEX('DH calcs - old'!$B$66:$AK$101,MATCH(Dashboard!$D$5,'DH calcs - old'!$A$66:$A$101,0),MATCH(AS$3,'DH calcs - old'!$B$65:$AK$65,0))</f>
        <v>0</v>
      </c>
      <c r="AT49" s="155">
        <f>(SUM('2.2 Energy Systems inputs'!AO$26:AO$27)*1000000000)*INDEX(AT$108:AT$154,MATCH($B49&amp;Dashboard!$D$6,$F$108:$F$154,0))
*INDEX('DH calcs - old'!$B$66:$AK$101,MATCH(Dashboard!$D$5,'DH calcs - old'!$A$66:$A$101,0),MATCH(AT$3,'DH calcs - old'!$B$65:$AK$65,0))</f>
        <v>0</v>
      </c>
      <c r="AW49" s="159"/>
    </row>
    <row r="50" spans="1:49" ht="19.5" thickTop="1" thickBot="1">
      <c r="B50" s="35" t="s">
        <v>1303</v>
      </c>
      <c r="C50" s="44" t="s">
        <v>1297</v>
      </c>
      <c r="D50" t="s">
        <v>693</v>
      </c>
      <c r="E50" s="44" t="s">
        <v>1300</v>
      </c>
      <c r="F50" t="s">
        <v>693</v>
      </c>
      <c r="G50" s="44" t="s">
        <v>1301</v>
      </c>
      <c r="H50" t="s">
        <v>693</v>
      </c>
      <c r="I50" s="44" t="s">
        <v>56</v>
      </c>
      <c r="K50" s="155">
        <f>(SUM('2.2 Energy Systems inputs'!F$26:F$27)*1000000000)*INDEX(K$108:K$154,MATCH($B50&amp;Dashboard!$D$6,$F$108:$F$154,0))
*INDEX('DH calcs - old'!$B$66:$AK$101,MATCH(Dashboard!$D$5,'DH calcs - old'!$A$66:$A$101,0),MATCH(K$3,'DH calcs - old'!$B$65:$AK$65,0))</f>
        <v>0</v>
      </c>
      <c r="L50" s="155">
        <f>(SUM('2.2 Energy Systems inputs'!G$26:G$27)*1000000000)*INDEX(L$108:L$154,MATCH($B50&amp;Dashboard!$D$6,$F$108:$F$154,0))
*INDEX('DH calcs - old'!$B$66:$AK$101,MATCH(Dashboard!$D$5,'DH calcs - old'!$A$66:$A$101,0),MATCH(L$3,'DH calcs - old'!$B$65:$AK$65,0))</f>
        <v>0</v>
      </c>
      <c r="M50" s="155">
        <f>(SUM('2.2 Energy Systems inputs'!H$26:H$27)*1000000000)*INDEX(M$108:M$154,MATCH($B50&amp;Dashboard!$D$6,$F$108:$F$154,0))
*INDEX('DH calcs - old'!$B$66:$AK$101,MATCH(Dashboard!$D$5,'DH calcs - old'!$A$66:$A$101,0),MATCH(M$3,'DH calcs - old'!$B$65:$AK$65,0))</f>
        <v>0</v>
      </c>
      <c r="N50" s="155">
        <f>(SUM('2.2 Energy Systems inputs'!I$26:I$27)*1000000000)*INDEX(N$108:N$154,MATCH($B50&amp;Dashboard!$D$6,$F$108:$F$154,0))
*INDEX('DH calcs - old'!$B$66:$AK$101,MATCH(Dashboard!$D$5,'DH calcs - old'!$A$66:$A$101,0),MATCH(N$3,'DH calcs - old'!$B$65:$AK$65,0))</f>
        <v>0</v>
      </c>
      <c r="O50" s="155">
        <f>(SUM('2.2 Energy Systems inputs'!J$26:J$27)*1000000000)*INDEX(O$108:O$154,MATCH($B50&amp;Dashboard!$D$6,$F$108:$F$154,0))
*INDEX('DH calcs - old'!$B$66:$AK$101,MATCH(Dashboard!$D$5,'DH calcs - old'!$A$66:$A$101,0),MATCH(O$3,'DH calcs - old'!$B$65:$AK$65,0))</f>
        <v>0</v>
      </c>
      <c r="P50" s="155">
        <f>(SUM('2.2 Energy Systems inputs'!K$26:K$27)*1000000000)*INDEX(P$108:P$154,MATCH($B50&amp;Dashboard!$D$6,$F$108:$F$154,0))
*INDEX('DH calcs - old'!$B$66:$AK$101,MATCH(Dashboard!$D$5,'DH calcs - old'!$A$66:$A$101,0),MATCH(P$3,'DH calcs - old'!$B$65:$AK$65,0))</f>
        <v>0</v>
      </c>
      <c r="Q50" s="155">
        <f>(SUM('2.2 Energy Systems inputs'!L$26:L$27)*1000000000)*INDEX(Q$108:Q$154,MATCH($B50&amp;Dashboard!$D$6,$F$108:$F$154,0))
*INDEX('DH calcs - old'!$B$66:$AK$101,MATCH(Dashboard!$D$5,'DH calcs - old'!$A$66:$A$101,0),MATCH(Q$3,'DH calcs - old'!$B$65:$AK$65,0))</f>
        <v>0</v>
      </c>
      <c r="R50" s="155">
        <f>(SUM('2.2 Energy Systems inputs'!M$26:M$27)*1000000000)*INDEX(R$108:R$154,MATCH($B50&amp;Dashboard!$D$6,$F$108:$F$154,0))
*INDEX('DH calcs - old'!$B$66:$AK$101,MATCH(Dashboard!$D$5,'DH calcs - old'!$A$66:$A$101,0),MATCH(R$3,'DH calcs - old'!$B$65:$AK$65,0))</f>
        <v>0</v>
      </c>
      <c r="S50" s="155">
        <f>(SUM('2.2 Energy Systems inputs'!N$26:N$27)*1000000000)*INDEX(S$108:S$154,MATCH($B50&amp;Dashboard!$D$6,$F$108:$F$154,0))
*INDEX('DH calcs - old'!$B$66:$AK$101,MATCH(Dashboard!$D$5,'DH calcs - old'!$A$66:$A$101,0),MATCH(S$3,'DH calcs - old'!$B$65:$AK$65,0))</f>
        <v>0</v>
      </c>
      <c r="T50" s="155">
        <f>(SUM('2.2 Energy Systems inputs'!O$26:O$27)*1000000000)*INDEX(T$108:T$154,MATCH($B50&amp;Dashboard!$D$6,$F$108:$F$154,0))
*INDEX('DH calcs - old'!$B$66:$AK$101,MATCH(Dashboard!$D$5,'DH calcs - old'!$A$66:$A$101,0),MATCH(T$3,'DH calcs - old'!$B$65:$AK$65,0))</f>
        <v>0</v>
      </c>
      <c r="U50" s="155">
        <f>(SUM('2.2 Energy Systems inputs'!P$26:P$27)*1000000000)*INDEX(U$108:U$154,MATCH($B50&amp;Dashboard!$D$6,$F$108:$F$154,0))
*INDEX('DH calcs - old'!$B$66:$AK$101,MATCH(Dashboard!$D$5,'DH calcs - old'!$A$66:$A$101,0),MATCH(U$3,'DH calcs - old'!$B$65:$AK$65,0))</f>
        <v>0</v>
      </c>
      <c r="V50" s="155">
        <f>(SUM('2.2 Energy Systems inputs'!Q$26:Q$27)*1000000000)*INDEX(V$108:V$154,MATCH($B50&amp;Dashboard!$D$6,$F$108:$F$154,0))
*INDEX('DH calcs - old'!$B$66:$AK$101,MATCH(Dashboard!$D$5,'DH calcs - old'!$A$66:$A$101,0),MATCH(V$3,'DH calcs - old'!$B$65:$AK$65,0))</f>
        <v>0</v>
      </c>
      <c r="W50" s="155">
        <f>(SUM('2.2 Energy Systems inputs'!R$26:R$27)*1000000000)*INDEX(W$108:W$154,MATCH($B50&amp;Dashboard!$D$6,$F$108:$F$154,0))
*INDEX('DH calcs - old'!$B$66:$AK$101,MATCH(Dashboard!$D$5,'DH calcs - old'!$A$66:$A$101,0),MATCH(W$3,'DH calcs - old'!$B$65:$AK$65,0))</f>
        <v>0</v>
      </c>
      <c r="X50" s="155">
        <f>(SUM('2.2 Energy Systems inputs'!S$26:S$27)*1000000000)*INDEX(X$108:X$154,MATCH($B50&amp;Dashboard!$D$6,$F$108:$F$154,0))
*INDEX('DH calcs - old'!$B$66:$AK$101,MATCH(Dashboard!$D$5,'DH calcs - old'!$A$66:$A$101,0),MATCH(X$3,'DH calcs - old'!$B$65:$AK$65,0))</f>
        <v>0</v>
      </c>
      <c r="Y50" s="155">
        <f>(SUM('2.2 Energy Systems inputs'!T$26:T$27)*1000000000)*INDEX(Y$108:Y$154,MATCH($B50&amp;Dashboard!$D$6,$F$108:$F$154,0))
*INDEX('DH calcs - old'!$B$66:$AK$101,MATCH(Dashboard!$D$5,'DH calcs - old'!$A$66:$A$101,0),MATCH(Y$3,'DH calcs - old'!$B$65:$AK$65,0))</f>
        <v>0</v>
      </c>
      <c r="Z50" s="155">
        <f>(SUM('2.2 Energy Systems inputs'!U$26:U$27)*1000000000)*INDEX(Z$108:Z$154,MATCH($B50&amp;Dashboard!$D$6,$F$108:$F$154,0))
*INDEX('DH calcs - old'!$B$66:$AK$101,MATCH(Dashboard!$D$5,'DH calcs - old'!$A$66:$A$101,0),MATCH(Z$3,'DH calcs - old'!$B$65:$AK$65,0))</f>
        <v>0</v>
      </c>
      <c r="AA50" s="155">
        <f>(SUM('2.2 Energy Systems inputs'!V$26:V$27)*1000000000)*INDEX(AA$108:AA$154,MATCH($B50&amp;Dashboard!$D$6,$F$108:$F$154,0))
*INDEX('DH calcs - old'!$B$66:$AK$101,MATCH(Dashboard!$D$5,'DH calcs - old'!$A$66:$A$101,0),MATCH(AA$3,'DH calcs - old'!$B$65:$AK$65,0))</f>
        <v>0</v>
      </c>
      <c r="AB50" s="155">
        <f>(SUM('2.2 Energy Systems inputs'!W$26:W$27)*1000000000)*INDEX(AB$108:AB$154,MATCH($B50&amp;Dashboard!$D$6,$F$108:$F$154,0))
*INDEX('DH calcs - old'!$B$66:$AK$101,MATCH(Dashboard!$D$5,'DH calcs - old'!$A$66:$A$101,0),MATCH(AB$3,'DH calcs - old'!$B$65:$AK$65,0))</f>
        <v>0</v>
      </c>
      <c r="AC50" s="155">
        <f>(SUM('2.2 Energy Systems inputs'!X$26:X$27)*1000000000)*INDEX(AC$108:AC$154,MATCH($B50&amp;Dashboard!$D$6,$F$108:$F$154,0))
*INDEX('DH calcs - old'!$B$66:$AK$101,MATCH(Dashboard!$D$5,'DH calcs - old'!$A$66:$A$101,0),MATCH(AC$3,'DH calcs - old'!$B$65:$AK$65,0))</f>
        <v>0</v>
      </c>
      <c r="AD50" s="155">
        <f>(SUM('2.2 Energy Systems inputs'!Y$26:Y$27)*1000000000)*INDEX(AD$108:AD$154,MATCH($B50&amp;Dashboard!$D$6,$F$108:$F$154,0))
*INDEX('DH calcs - old'!$B$66:$AK$101,MATCH(Dashboard!$D$5,'DH calcs - old'!$A$66:$A$101,0),MATCH(AD$3,'DH calcs - old'!$B$65:$AK$65,0))</f>
        <v>0</v>
      </c>
      <c r="AE50" s="155">
        <f>(SUM('2.2 Energy Systems inputs'!Z$26:Z$27)*1000000000)*INDEX(AE$108:AE$154,MATCH($B50&amp;Dashboard!$D$6,$F$108:$F$154,0))
*INDEX('DH calcs - old'!$B$66:$AK$101,MATCH(Dashboard!$D$5,'DH calcs - old'!$A$66:$A$101,0),MATCH(AE$3,'DH calcs - old'!$B$65:$AK$65,0))</f>
        <v>0</v>
      </c>
      <c r="AF50" s="155">
        <f>(SUM('2.2 Energy Systems inputs'!AA$26:AA$27)*1000000000)*INDEX(AF$108:AF$154,MATCH($B50&amp;Dashboard!$D$6,$F$108:$F$154,0))
*INDEX('DH calcs - old'!$B$66:$AK$101,MATCH(Dashboard!$D$5,'DH calcs - old'!$A$66:$A$101,0),MATCH(AF$3,'DH calcs - old'!$B$65:$AK$65,0))</f>
        <v>0</v>
      </c>
      <c r="AG50" s="155">
        <f>(SUM('2.2 Energy Systems inputs'!AB$26:AB$27)*1000000000)*INDEX(AG$108:AG$154,MATCH($B50&amp;Dashboard!$D$6,$F$108:$F$154,0))
*INDEX('DH calcs - old'!$B$66:$AK$101,MATCH(Dashboard!$D$5,'DH calcs - old'!$A$66:$A$101,0),MATCH(AG$3,'DH calcs - old'!$B$65:$AK$65,0))</f>
        <v>0</v>
      </c>
      <c r="AH50" s="155">
        <f>(SUM('2.2 Energy Systems inputs'!AC$26:AC$27)*1000000000)*INDEX(AH$108:AH$154,MATCH($B50&amp;Dashboard!$D$6,$F$108:$F$154,0))
*INDEX('DH calcs - old'!$B$66:$AK$101,MATCH(Dashboard!$D$5,'DH calcs - old'!$A$66:$A$101,0),MATCH(AH$3,'DH calcs - old'!$B$65:$AK$65,0))</f>
        <v>0</v>
      </c>
      <c r="AI50" s="155">
        <f>(SUM('2.2 Energy Systems inputs'!AD$26:AD$27)*1000000000)*INDEX(AI$108:AI$154,MATCH($B50&amp;Dashboard!$D$6,$F$108:$F$154,0))
*INDEX('DH calcs - old'!$B$66:$AK$101,MATCH(Dashboard!$D$5,'DH calcs - old'!$A$66:$A$101,0),MATCH(AI$3,'DH calcs - old'!$B$65:$AK$65,0))</f>
        <v>0</v>
      </c>
      <c r="AJ50" s="155">
        <f>(SUM('2.2 Energy Systems inputs'!AE$26:AE$27)*1000000000)*INDEX(AJ$108:AJ$154,MATCH($B50&amp;Dashboard!$D$6,$F$108:$F$154,0))
*INDEX('DH calcs - old'!$B$66:$AK$101,MATCH(Dashboard!$D$5,'DH calcs - old'!$A$66:$A$101,0),MATCH(AJ$3,'DH calcs - old'!$B$65:$AK$65,0))</f>
        <v>0</v>
      </c>
      <c r="AK50" s="155">
        <f>(SUM('2.2 Energy Systems inputs'!AF$26:AF$27)*1000000000)*INDEX(AK$108:AK$154,MATCH($B50&amp;Dashboard!$D$6,$F$108:$F$154,0))
*INDEX('DH calcs - old'!$B$66:$AK$101,MATCH(Dashboard!$D$5,'DH calcs - old'!$A$66:$A$101,0),MATCH(AK$3,'DH calcs - old'!$B$65:$AK$65,0))</f>
        <v>0</v>
      </c>
      <c r="AL50" s="155">
        <f>(SUM('2.2 Energy Systems inputs'!AG$26:AG$27)*1000000000)*INDEX(AL$108:AL$154,MATCH($B50&amp;Dashboard!$D$6,$F$108:$F$154,0))
*INDEX('DH calcs - old'!$B$66:$AK$101,MATCH(Dashboard!$D$5,'DH calcs - old'!$A$66:$A$101,0),MATCH(AL$3,'DH calcs - old'!$B$65:$AK$65,0))</f>
        <v>0</v>
      </c>
      <c r="AM50" s="155">
        <f>(SUM('2.2 Energy Systems inputs'!AH$26:AH$27)*1000000000)*INDEX(AM$108:AM$154,MATCH($B50&amp;Dashboard!$D$6,$F$108:$F$154,0))
*INDEX('DH calcs - old'!$B$66:$AK$101,MATCH(Dashboard!$D$5,'DH calcs - old'!$A$66:$A$101,0),MATCH(AM$3,'DH calcs - old'!$B$65:$AK$65,0))</f>
        <v>0</v>
      </c>
      <c r="AN50" s="155">
        <f>(SUM('2.2 Energy Systems inputs'!AI$26:AI$27)*1000000000)*INDEX(AN$108:AN$154,MATCH($B50&amp;Dashboard!$D$6,$F$108:$F$154,0))
*INDEX('DH calcs - old'!$B$66:$AK$101,MATCH(Dashboard!$D$5,'DH calcs - old'!$A$66:$A$101,0),MATCH(AN$3,'DH calcs - old'!$B$65:$AK$65,0))</f>
        <v>0</v>
      </c>
      <c r="AO50" s="155">
        <f>(SUM('2.2 Energy Systems inputs'!AJ$26:AJ$27)*1000000000)*INDEX(AO$108:AO$154,MATCH($B50&amp;Dashboard!$D$6,$F$108:$F$154,0))
*INDEX('DH calcs - old'!$B$66:$AK$101,MATCH(Dashboard!$D$5,'DH calcs - old'!$A$66:$A$101,0),MATCH(AO$3,'DH calcs - old'!$B$65:$AK$65,0))</f>
        <v>0</v>
      </c>
      <c r="AP50" s="155">
        <f>(SUM('2.2 Energy Systems inputs'!AK$26:AK$27)*1000000000)*INDEX(AP$108:AP$154,MATCH($B50&amp;Dashboard!$D$6,$F$108:$F$154,0))
*INDEX('DH calcs - old'!$B$66:$AK$101,MATCH(Dashboard!$D$5,'DH calcs - old'!$A$66:$A$101,0),MATCH(AP$3,'DH calcs - old'!$B$65:$AK$65,0))</f>
        <v>0</v>
      </c>
      <c r="AQ50" s="155">
        <f>(SUM('2.2 Energy Systems inputs'!AL$26:AL$27)*1000000000)*INDEX(AQ$108:AQ$154,MATCH($B50&amp;Dashboard!$D$6,$F$108:$F$154,0))
*INDEX('DH calcs - old'!$B$66:$AK$101,MATCH(Dashboard!$D$5,'DH calcs - old'!$A$66:$A$101,0),MATCH(AQ$3,'DH calcs - old'!$B$65:$AK$65,0))</f>
        <v>0</v>
      </c>
      <c r="AR50" s="155">
        <f>(SUM('2.2 Energy Systems inputs'!AM$26:AM$27)*1000000000)*INDEX(AR$108:AR$154,MATCH($B50&amp;Dashboard!$D$6,$F$108:$F$154,0))
*INDEX('DH calcs - old'!$B$66:$AK$101,MATCH(Dashboard!$D$5,'DH calcs - old'!$A$66:$A$101,0),MATCH(AR$3,'DH calcs - old'!$B$65:$AK$65,0))</f>
        <v>0</v>
      </c>
      <c r="AS50" s="155">
        <f>(SUM('2.2 Energy Systems inputs'!AN$26:AN$27)*1000000000)*INDEX(AS$108:AS$154,MATCH($B50&amp;Dashboard!$D$6,$F$108:$F$154,0))
*INDEX('DH calcs - old'!$B$66:$AK$101,MATCH(Dashboard!$D$5,'DH calcs - old'!$A$66:$A$101,0),MATCH(AS$3,'DH calcs - old'!$B$65:$AK$65,0))</f>
        <v>0</v>
      </c>
      <c r="AT50" s="155">
        <f>(SUM('2.2 Energy Systems inputs'!AO$26:AO$27)*1000000000)*INDEX(AT$108:AT$154,MATCH($B50&amp;Dashboard!$D$6,$F$108:$F$154,0))
*INDEX('DH calcs - old'!$B$66:$AK$101,MATCH(Dashboard!$D$5,'DH calcs - old'!$A$66:$A$101,0),MATCH(AT$3,'DH calcs - old'!$B$65:$AK$65,0))</f>
        <v>0</v>
      </c>
      <c r="AW50" s="159"/>
    </row>
    <row r="51" spans="1:49" ht="19.5" thickTop="1" thickBot="1">
      <c r="B51" s="35" t="s">
        <v>270</v>
      </c>
      <c r="C51" s="44" t="s">
        <v>1297</v>
      </c>
      <c r="D51" t="s">
        <v>693</v>
      </c>
      <c r="E51" s="44" t="s">
        <v>1300</v>
      </c>
      <c r="F51" t="s">
        <v>693</v>
      </c>
      <c r="G51" s="44" t="s">
        <v>1301</v>
      </c>
      <c r="H51" t="s">
        <v>693</v>
      </c>
      <c r="I51" s="44" t="s">
        <v>56</v>
      </c>
      <c r="K51" s="155">
        <f>(SUM('2.2 Energy Systems inputs'!F$26:F$27)*1000000000)*INDEX(K$108:K$154,MATCH($B51&amp;Dashboard!$D$6,$F$108:$F$154,0))
*INDEX('DH calcs - old'!$B$66:$AK$101,MATCH(Dashboard!$D$5,'DH calcs - old'!$A$66:$A$101,0),MATCH(K$3,'DH calcs - old'!$B$65:$AK$65,0))</f>
        <v>0</v>
      </c>
      <c r="L51" s="155">
        <f>(SUM('2.2 Energy Systems inputs'!G$26:G$27)*1000000000)*INDEX(L$108:L$154,MATCH($B51&amp;Dashboard!$D$6,$F$108:$F$154,0))
*INDEX('DH calcs - old'!$B$66:$AK$101,MATCH(Dashboard!$D$5,'DH calcs - old'!$A$66:$A$101,0),MATCH(L$3,'DH calcs - old'!$B$65:$AK$65,0))</f>
        <v>0</v>
      </c>
      <c r="M51" s="155">
        <f>(SUM('2.2 Energy Systems inputs'!H$26:H$27)*1000000000)*INDEX(M$108:M$154,MATCH($B51&amp;Dashboard!$D$6,$F$108:$F$154,0))
*INDEX('DH calcs - old'!$B$66:$AK$101,MATCH(Dashboard!$D$5,'DH calcs - old'!$A$66:$A$101,0),MATCH(M$3,'DH calcs - old'!$B$65:$AK$65,0))</f>
        <v>0</v>
      </c>
      <c r="N51" s="155">
        <f>(SUM('2.2 Energy Systems inputs'!I$26:I$27)*1000000000)*INDEX(N$108:N$154,MATCH($B51&amp;Dashboard!$D$6,$F$108:$F$154,0))
*INDEX('DH calcs - old'!$B$66:$AK$101,MATCH(Dashboard!$D$5,'DH calcs - old'!$A$66:$A$101,0),MATCH(N$3,'DH calcs - old'!$B$65:$AK$65,0))</f>
        <v>0</v>
      </c>
      <c r="O51" s="155">
        <f>(SUM('2.2 Energy Systems inputs'!J$26:J$27)*1000000000)*INDEX(O$108:O$154,MATCH($B51&amp;Dashboard!$D$6,$F$108:$F$154,0))
*INDEX('DH calcs - old'!$B$66:$AK$101,MATCH(Dashboard!$D$5,'DH calcs - old'!$A$66:$A$101,0),MATCH(O$3,'DH calcs - old'!$B$65:$AK$65,0))</f>
        <v>0</v>
      </c>
      <c r="P51" s="155">
        <f>(SUM('2.2 Energy Systems inputs'!K$26:K$27)*1000000000)*INDEX(P$108:P$154,MATCH($B51&amp;Dashboard!$D$6,$F$108:$F$154,0))
*INDEX('DH calcs - old'!$B$66:$AK$101,MATCH(Dashboard!$D$5,'DH calcs - old'!$A$66:$A$101,0),MATCH(P$3,'DH calcs - old'!$B$65:$AK$65,0))</f>
        <v>0</v>
      </c>
      <c r="Q51" s="155">
        <f>(SUM('2.2 Energy Systems inputs'!L$26:L$27)*1000000000)*INDEX(Q$108:Q$154,MATCH($B51&amp;Dashboard!$D$6,$F$108:$F$154,0))
*INDEX('DH calcs - old'!$B$66:$AK$101,MATCH(Dashboard!$D$5,'DH calcs - old'!$A$66:$A$101,0),MATCH(Q$3,'DH calcs - old'!$B$65:$AK$65,0))</f>
        <v>0</v>
      </c>
      <c r="R51" s="155">
        <f>(SUM('2.2 Energy Systems inputs'!M$26:M$27)*1000000000)*INDEX(R$108:R$154,MATCH($B51&amp;Dashboard!$D$6,$F$108:$F$154,0))
*INDEX('DH calcs - old'!$B$66:$AK$101,MATCH(Dashboard!$D$5,'DH calcs - old'!$A$66:$A$101,0),MATCH(R$3,'DH calcs - old'!$B$65:$AK$65,0))</f>
        <v>0</v>
      </c>
      <c r="S51" s="155">
        <f>(SUM('2.2 Energy Systems inputs'!N$26:N$27)*1000000000)*INDEX(S$108:S$154,MATCH($B51&amp;Dashboard!$D$6,$F$108:$F$154,0))
*INDEX('DH calcs - old'!$B$66:$AK$101,MATCH(Dashboard!$D$5,'DH calcs - old'!$A$66:$A$101,0),MATCH(S$3,'DH calcs - old'!$B$65:$AK$65,0))</f>
        <v>0</v>
      </c>
      <c r="T51" s="155">
        <f>(SUM('2.2 Energy Systems inputs'!O$26:O$27)*1000000000)*INDEX(T$108:T$154,MATCH($B51&amp;Dashboard!$D$6,$F$108:$F$154,0))
*INDEX('DH calcs - old'!$B$66:$AK$101,MATCH(Dashboard!$D$5,'DH calcs - old'!$A$66:$A$101,0),MATCH(T$3,'DH calcs - old'!$B$65:$AK$65,0))</f>
        <v>0</v>
      </c>
      <c r="U51" s="155">
        <f>(SUM('2.2 Energy Systems inputs'!P$26:P$27)*1000000000)*INDEX(U$108:U$154,MATCH($B51&amp;Dashboard!$D$6,$F$108:$F$154,0))
*INDEX('DH calcs - old'!$B$66:$AK$101,MATCH(Dashboard!$D$5,'DH calcs - old'!$A$66:$A$101,0),MATCH(U$3,'DH calcs - old'!$B$65:$AK$65,0))</f>
        <v>0</v>
      </c>
      <c r="V51" s="155">
        <f>(SUM('2.2 Energy Systems inputs'!Q$26:Q$27)*1000000000)*INDEX(V$108:V$154,MATCH($B51&amp;Dashboard!$D$6,$F$108:$F$154,0))
*INDEX('DH calcs - old'!$B$66:$AK$101,MATCH(Dashboard!$D$5,'DH calcs - old'!$A$66:$A$101,0),MATCH(V$3,'DH calcs - old'!$B$65:$AK$65,0))</f>
        <v>32534428.119371753</v>
      </c>
      <c r="W51" s="155">
        <f>(SUM('2.2 Energy Systems inputs'!R$26:R$27)*1000000000)*INDEX(W$108:W$154,MATCH($B51&amp;Dashboard!$D$6,$F$108:$F$154,0))
*INDEX('DH calcs - old'!$B$66:$AK$101,MATCH(Dashboard!$D$5,'DH calcs - old'!$A$66:$A$101,0),MATCH(W$3,'DH calcs - old'!$B$65:$AK$65,0))</f>
        <v>60766232.11686679</v>
      </c>
      <c r="X51" s="155">
        <f>(SUM('2.2 Energy Systems inputs'!S$26:S$27)*1000000000)*INDEX(X$108:X$154,MATCH($B51&amp;Dashboard!$D$6,$F$108:$F$154,0))
*INDEX('DH calcs - old'!$B$66:$AK$101,MATCH(Dashboard!$D$5,'DH calcs - old'!$A$66:$A$101,0),MATCH(X$3,'DH calcs - old'!$B$65:$AK$65,0))</f>
        <v>85044065.954161957</v>
      </c>
      <c r="Y51" s="155">
        <f>(SUM('2.2 Energy Systems inputs'!T$26:T$27)*1000000000)*INDEX(Y$108:Y$154,MATCH($B51&amp;Dashboard!$D$6,$F$108:$F$154,0))
*INDEX('DH calcs - old'!$B$66:$AK$101,MATCH(Dashboard!$D$5,'DH calcs - old'!$A$66:$A$101,0),MATCH(Y$3,'DH calcs - old'!$B$65:$AK$65,0))</f>
        <v>105796849.16676833</v>
      </c>
      <c r="Z51" s="155">
        <f>(SUM('2.2 Energy Systems inputs'!U$26:U$27)*1000000000)*INDEX(Z$108:Z$154,MATCH($B51&amp;Dashboard!$D$6,$F$108:$F$154,0))
*INDEX('DH calcs - old'!$B$66:$AK$101,MATCH(Dashboard!$D$5,'DH calcs - old'!$A$66:$A$101,0),MATCH(Z$3,'DH calcs - old'!$B$65:$AK$65,0))</f>
        <v>123343386.67752054</v>
      </c>
      <c r="AA51" s="155">
        <f>(SUM('2.2 Energy Systems inputs'!V$26:V$27)*1000000000)*INDEX(AA$108:AA$154,MATCH($B51&amp;Dashboard!$D$6,$F$108:$F$154,0))
*INDEX('DH calcs - old'!$B$66:$AK$101,MATCH(Dashboard!$D$5,'DH calcs - old'!$A$66:$A$101,0),MATCH(AA$3,'DH calcs - old'!$B$65:$AK$65,0))</f>
        <v>142899584.78887087</v>
      </c>
      <c r="AB51" s="155">
        <f>(SUM('2.2 Energy Systems inputs'!W$26:W$27)*1000000000)*INDEX(AB$108:AB$154,MATCH($B51&amp;Dashboard!$D$6,$F$108:$F$154,0))
*INDEX('DH calcs - old'!$B$66:$AK$101,MATCH(Dashboard!$D$5,'DH calcs - old'!$A$66:$A$101,0),MATCH(AB$3,'DH calcs - old'!$B$65:$AK$65,0))</f>
        <v>160424315.4976536</v>
      </c>
      <c r="AC51" s="155">
        <f>(SUM('2.2 Energy Systems inputs'!X$26:X$27)*1000000000)*INDEX(AC$108:AC$154,MATCH($B51&amp;Dashboard!$D$6,$F$108:$F$154,0))
*INDEX('DH calcs - old'!$B$66:$AK$101,MATCH(Dashboard!$D$5,'DH calcs - old'!$A$66:$A$101,0),MATCH(AC$3,'DH calcs - old'!$B$65:$AK$65,0))</f>
        <v>194479219.05462417</v>
      </c>
      <c r="AD51" s="155">
        <f>(SUM('2.2 Energy Systems inputs'!Y$26:Y$27)*1000000000)*INDEX(AD$108:AD$154,MATCH($B51&amp;Dashboard!$D$6,$F$108:$F$154,0))
*INDEX('DH calcs - old'!$B$66:$AK$101,MATCH(Dashboard!$D$5,'DH calcs - old'!$A$66:$A$101,0),MATCH(AD$3,'DH calcs - old'!$B$65:$AK$65,0))</f>
        <v>224989447.50024462</v>
      </c>
      <c r="AE51" s="155">
        <f>(SUM('2.2 Energy Systems inputs'!Z$26:Z$27)*1000000000)*INDEX(AE$108:AE$154,MATCH($B51&amp;Dashboard!$D$6,$F$108:$F$154,0))
*INDEX('DH calcs - old'!$B$66:$AK$101,MATCH(Dashboard!$D$5,'DH calcs - old'!$A$66:$A$101,0),MATCH(AE$3,'DH calcs - old'!$B$65:$AK$65,0))</f>
        <v>252533519.10256001</v>
      </c>
      <c r="AF51" s="155">
        <f>(SUM('2.2 Energy Systems inputs'!AA$26:AA$27)*1000000000)*INDEX(AF$108:AF$154,MATCH($B51&amp;Dashboard!$D$6,$F$108:$F$154,0))
*INDEX('DH calcs - old'!$B$66:$AK$101,MATCH(Dashboard!$D$5,'DH calcs - old'!$A$66:$A$101,0),MATCH(AF$3,'DH calcs - old'!$B$65:$AK$65,0))</f>
        <v>277511579.63828796</v>
      </c>
      <c r="AG51" s="155">
        <f>(SUM('2.2 Energy Systems inputs'!AB$26:AB$27)*1000000000)*INDEX(AG$108:AG$154,MATCH($B51&amp;Dashboard!$D$6,$F$108:$F$154,0))
*INDEX('DH calcs - old'!$B$66:$AK$101,MATCH(Dashboard!$D$5,'DH calcs - old'!$A$66:$A$101,0),MATCH(AG$3,'DH calcs - old'!$B$65:$AK$65,0))</f>
        <v>299467097.65414017</v>
      </c>
      <c r="AH51" s="155">
        <f>(SUM('2.2 Energy Systems inputs'!AC$26:AC$27)*1000000000)*INDEX(AH$108:AH$154,MATCH($B51&amp;Dashboard!$D$6,$F$108:$F$154,0))
*INDEX('DH calcs - old'!$B$66:$AK$101,MATCH(Dashboard!$D$5,'DH calcs - old'!$A$66:$A$101,0),MATCH(AH$3,'DH calcs - old'!$B$65:$AK$65,0))</f>
        <v>318270260.79539704</v>
      </c>
      <c r="AI51" s="155">
        <f>(SUM('2.2 Energy Systems inputs'!AD$26:AD$27)*1000000000)*INDEX(AI$108:AI$154,MATCH($B51&amp;Dashboard!$D$6,$F$108:$F$154,0))
*INDEX('DH calcs - old'!$B$66:$AK$101,MATCH(Dashboard!$D$5,'DH calcs - old'!$A$66:$A$101,0),MATCH(AI$3,'DH calcs - old'!$B$65:$AK$65,0))</f>
        <v>341737883.25939065</v>
      </c>
      <c r="AJ51" s="155">
        <f>(SUM('2.2 Energy Systems inputs'!AE$26:AE$27)*1000000000)*INDEX(AJ$108:AJ$154,MATCH($B51&amp;Dashboard!$D$6,$F$108:$F$154,0))
*INDEX('DH calcs - old'!$B$66:$AK$101,MATCH(Dashboard!$D$5,'DH calcs - old'!$A$66:$A$101,0),MATCH(AJ$3,'DH calcs - old'!$B$65:$AK$65,0))</f>
        <v>363025485.7627576</v>
      </c>
      <c r="AK51" s="155">
        <f>(SUM('2.2 Energy Systems inputs'!AF$26:AF$27)*1000000000)*INDEX(AK$108:AK$154,MATCH($B51&amp;Dashboard!$D$6,$F$108:$F$154,0))
*INDEX('DH calcs - old'!$B$66:$AK$101,MATCH(Dashboard!$D$5,'DH calcs - old'!$A$66:$A$101,0),MATCH(AK$3,'DH calcs - old'!$B$65:$AK$65,0))</f>
        <v>392624851.68889999</v>
      </c>
      <c r="AL51" s="155">
        <f>(SUM('2.2 Energy Systems inputs'!AG$26:AG$27)*1000000000)*INDEX(AL$108:AL$154,MATCH($B51&amp;Dashboard!$D$6,$F$108:$F$154,0))
*INDEX('DH calcs - old'!$B$66:$AK$101,MATCH(Dashboard!$D$5,'DH calcs - old'!$A$66:$A$101,0),MATCH(AL$3,'DH calcs - old'!$B$65:$AK$65,0))</f>
        <v>421181886.41927379</v>
      </c>
      <c r="AM51" s="155">
        <f>(SUM('2.2 Energy Systems inputs'!AH$26:AH$27)*1000000000)*INDEX(AM$108:AM$154,MATCH($B51&amp;Dashboard!$D$6,$F$108:$F$154,0))
*INDEX('DH calcs - old'!$B$66:$AK$101,MATCH(Dashboard!$D$5,'DH calcs - old'!$A$66:$A$101,0),MATCH(AM$3,'DH calcs - old'!$B$65:$AK$65,0))</f>
        <v>448531223.44501525</v>
      </c>
      <c r="AN51" s="155">
        <f>(SUM('2.2 Energy Systems inputs'!AI$26:AI$27)*1000000000)*INDEX(AN$108:AN$154,MATCH($B51&amp;Dashboard!$D$6,$F$108:$F$154,0))
*INDEX('DH calcs - old'!$B$66:$AK$101,MATCH(Dashboard!$D$5,'DH calcs - old'!$A$66:$A$101,0),MATCH(AN$3,'DH calcs - old'!$B$65:$AK$65,0))</f>
        <v>474507651.02612263</v>
      </c>
      <c r="AO51" s="155">
        <f>(SUM('2.2 Energy Systems inputs'!AJ$26:AJ$27)*1000000000)*INDEX(AO$108:AO$154,MATCH($B51&amp;Dashboard!$D$6,$F$108:$F$154,0))
*INDEX('DH calcs - old'!$B$66:$AK$101,MATCH(Dashboard!$D$5,'DH calcs - old'!$A$66:$A$101,0),MATCH(AO$3,'DH calcs - old'!$B$65:$AK$65,0))</f>
        <v>498945751.42133403</v>
      </c>
      <c r="AP51" s="155">
        <f>(SUM('2.2 Energy Systems inputs'!AK$26:AK$27)*1000000000)*INDEX(AP$108:AP$154,MATCH($B51&amp;Dashboard!$D$6,$F$108:$F$154,0))
*INDEX('DH calcs - old'!$B$66:$AK$101,MATCH(Dashboard!$D$5,'DH calcs - old'!$A$66:$A$101,0),MATCH(AP$3,'DH calcs - old'!$B$65:$AK$65,0))</f>
        <v>497171513.87881863</v>
      </c>
      <c r="AQ51" s="155">
        <f>(SUM('2.2 Energy Systems inputs'!AL$26:AL$27)*1000000000)*INDEX(AQ$108:AQ$154,MATCH($B51&amp;Dashboard!$D$6,$F$108:$F$154,0))
*INDEX('DH calcs - old'!$B$66:$AK$101,MATCH(Dashboard!$D$5,'DH calcs - old'!$A$66:$A$101,0),MATCH(AQ$3,'DH calcs - old'!$B$65:$AK$65,0))</f>
        <v>495972493.70132065</v>
      </c>
      <c r="AR51" s="155">
        <f>(SUM('2.2 Energy Systems inputs'!AM$26:AM$27)*1000000000)*INDEX(AR$108:AR$154,MATCH($B51&amp;Dashboard!$D$6,$F$108:$F$154,0))
*INDEX('DH calcs - old'!$B$66:$AK$101,MATCH(Dashboard!$D$5,'DH calcs - old'!$A$66:$A$101,0),MATCH(AR$3,'DH calcs - old'!$B$65:$AK$65,0))</f>
        <v>493501097.01180547</v>
      </c>
      <c r="AS51" s="155">
        <f>(SUM('2.2 Energy Systems inputs'!AN$26:AN$27)*1000000000)*INDEX(AS$108:AS$154,MATCH($B51&amp;Dashboard!$D$6,$F$108:$F$154,0))
*INDEX('DH calcs - old'!$B$66:$AK$101,MATCH(Dashboard!$D$5,'DH calcs - old'!$A$66:$A$101,0),MATCH(AS$3,'DH calcs - old'!$B$65:$AK$65,0))</f>
        <v>489727483.41723472</v>
      </c>
      <c r="AT51" s="155">
        <f>(SUM('2.2 Energy Systems inputs'!AO$26:AO$27)*1000000000)*INDEX(AT$108:AT$154,MATCH($B51&amp;Dashboard!$D$6,$F$108:$F$154,0))
*INDEX('DH calcs - old'!$B$66:$AK$101,MATCH(Dashboard!$D$5,'DH calcs - old'!$A$66:$A$101,0),MATCH(AT$3,'DH calcs - old'!$B$65:$AK$65,0))</f>
        <v>484621668.02803034</v>
      </c>
      <c r="AW51" s="159"/>
    </row>
    <row r="52" spans="1:49" ht="19.5" thickTop="1" thickBot="1">
      <c r="B52" s="35" t="s">
        <v>271</v>
      </c>
      <c r="C52" s="44" t="s">
        <v>1297</v>
      </c>
      <c r="D52" t="s">
        <v>693</v>
      </c>
      <c r="E52" s="44" t="s">
        <v>1300</v>
      </c>
      <c r="F52" t="s">
        <v>693</v>
      </c>
      <c r="G52" s="44" t="s">
        <v>1301</v>
      </c>
      <c r="H52" t="s">
        <v>693</v>
      </c>
      <c r="I52" s="44" t="s">
        <v>56</v>
      </c>
      <c r="K52" s="155">
        <f>(SUM('2.2 Energy Systems inputs'!F$26:F$27)*1000000000)*INDEX(K$108:K$154,MATCH($B52&amp;Dashboard!$D$6,$F$108:$F$154,0))
*INDEX('DH calcs - old'!$B$66:$AK$101,MATCH(Dashboard!$D$5,'DH calcs - old'!$A$66:$A$101,0),MATCH(K$3,'DH calcs - old'!$B$65:$AK$65,0))</f>
        <v>0</v>
      </c>
      <c r="L52" s="155">
        <f>(SUM('2.2 Energy Systems inputs'!G$26:G$27)*1000000000)*INDEX(L$108:L$154,MATCH($B52&amp;Dashboard!$D$6,$F$108:$F$154,0))
*INDEX('DH calcs - old'!$B$66:$AK$101,MATCH(Dashboard!$D$5,'DH calcs - old'!$A$66:$A$101,0),MATCH(L$3,'DH calcs - old'!$B$65:$AK$65,0))</f>
        <v>0</v>
      </c>
      <c r="M52" s="155">
        <f>(SUM('2.2 Energy Systems inputs'!H$26:H$27)*1000000000)*INDEX(M$108:M$154,MATCH($B52&amp;Dashboard!$D$6,$F$108:$F$154,0))
*INDEX('DH calcs - old'!$B$66:$AK$101,MATCH(Dashboard!$D$5,'DH calcs - old'!$A$66:$A$101,0),MATCH(M$3,'DH calcs - old'!$B$65:$AK$65,0))</f>
        <v>0</v>
      </c>
      <c r="N52" s="155">
        <f>(SUM('2.2 Energy Systems inputs'!I$26:I$27)*1000000000)*INDEX(N$108:N$154,MATCH($B52&amp;Dashboard!$D$6,$F$108:$F$154,0))
*INDEX('DH calcs - old'!$B$66:$AK$101,MATCH(Dashboard!$D$5,'DH calcs - old'!$A$66:$A$101,0),MATCH(N$3,'DH calcs - old'!$B$65:$AK$65,0))</f>
        <v>0</v>
      </c>
      <c r="O52" s="155">
        <f>(SUM('2.2 Energy Systems inputs'!J$26:J$27)*1000000000)*INDEX(O$108:O$154,MATCH($B52&amp;Dashboard!$D$6,$F$108:$F$154,0))
*INDEX('DH calcs - old'!$B$66:$AK$101,MATCH(Dashboard!$D$5,'DH calcs - old'!$A$66:$A$101,0),MATCH(O$3,'DH calcs - old'!$B$65:$AK$65,0))</f>
        <v>0</v>
      </c>
      <c r="P52" s="155">
        <f>(SUM('2.2 Energy Systems inputs'!K$26:K$27)*1000000000)*INDEX(P$108:P$154,MATCH($B52&amp;Dashboard!$D$6,$F$108:$F$154,0))
*INDEX('DH calcs - old'!$B$66:$AK$101,MATCH(Dashboard!$D$5,'DH calcs - old'!$A$66:$A$101,0),MATCH(P$3,'DH calcs - old'!$B$65:$AK$65,0))</f>
        <v>0</v>
      </c>
      <c r="Q52" s="155">
        <f>(SUM('2.2 Energy Systems inputs'!L$26:L$27)*1000000000)*INDEX(Q$108:Q$154,MATCH($B52&amp;Dashboard!$D$6,$F$108:$F$154,0))
*INDEX('DH calcs - old'!$B$66:$AK$101,MATCH(Dashboard!$D$5,'DH calcs - old'!$A$66:$A$101,0),MATCH(Q$3,'DH calcs - old'!$B$65:$AK$65,0))</f>
        <v>0</v>
      </c>
      <c r="R52" s="155">
        <f>(SUM('2.2 Energy Systems inputs'!M$26:M$27)*1000000000)*INDEX(R$108:R$154,MATCH($B52&amp;Dashboard!$D$6,$F$108:$F$154,0))
*INDEX('DH calcs - old'!$B$66:$AK$101,MATCH(Dashboard!$D$5,'DH calcs - old'!$A$66:$A$101,0),MATCH(R$3,'DH calcs - old'!$B$65:$AK$65,0))</f>
        <v>0</v>
      </c>
      <c r="S52" s="155">
        <f>(SUM('2.2 Energy Systems inputs'!N$26:N$27)*1000000000)*INDEX(S$108:S$154,MATCH($B52&amp;Dashboard!$D$6,$F$108:$F$154,0))
*INDEX('DH calcs - old'!$B$66:$AK$101,MATCH(Dashboard!$D$5,'DH calcs - old'!$A$66:$A$101,0),MATCH(S$3,'DH calcs - old'!$B$65:$AK$65,0))</f>
        <v>0</v>
      </c>
      <c r="T52" s="155">
        <f>(SUM('2.2 Energy Systems inputs'!O$26:O$27)*1000000000)*INDEX(T$108:T$154,MATCH($B52&amp;Dashboard!$D$6,$F$108:$F$154,0))
*INDEX('DH calcs - old'!$B$66:$AK$101,MATCH(Dashboard!$D$5,'DH calcs - old'!$A$66:$A$101,0),MATCH(T$3,'DH calcs - old'!$B$65:$AK$65,0))</f>
        <v>0</v>
      </c>
      <c r="U52" s="155">
        <f>(SUM('2.2 Energy Systems inputs'!P$26:P$27)*1000000000)*INDEX(U$108:U$154,MATCH($B52&amp;Dashboard!$D$6,$F$108:$F$154,0))
*INDEX('DH calcs - old'!$B$66:$AK$101,MATCH(Dashboard!$D$5,'DH calcs - old'!$A$66:$A$101,0),MATCH(U$3,'DH calcs - old'!$B$65:$AK$65,0))</f>
        <v>0</v>
      </c>
      <c r="V52" s="155">
        <f>(SUM('2.2 Energy Systems inputs'!Q$26:Q$27)*1000000000)*INDEX(V$108:V$154,MATCH($B52&amp;Dashboard!$D$6,$F$108:$F$154,0))
*INDEX('DH calcs - old'!$B$66:$AK$101,MATCH(Dashboard!$D$5,'DH calcs - old'!$A$66:$A$101,0),MATCH(V$3,'DH calcs - old'!$B$65:$AK$65,0))</f>
        <v>10844809.373123916</v>
      </c>
      <c r="W52" s="155">
        <f>(SUM('2.2 Energy Systems inputs'!R$26:R$27)*1000000000)*INDEX(W$108:W$154,MATCH($B52&amp;Dashboard!$D$6,$F$108:$F$154,0))
*INDEX('DH calcs - old'!$B$66:$AK$101,MATCH(Dashboard!$D$5,'DH calcs - old'!$A$66:$A$101,0),MATCH(W$3,'DH calcs - old'!$B$65:$AK$65,0))</f>
        <v>20255410.705622267</v>
      </c>
      <c r="X52" s="155">
        <f>(SUM('2.2 Energy Systems inputs'!S$26:S$27)*1000000000)*INDEX(X$108:X$154,MATCH($B52&amp;Dashboard!$D$6,$F$108:$F$154,0))
*INDEX('DH calcs - old'!$B$66:$AK$101,MATCH(Dashboard!$D$5,'DH calcs - old'!$A$66:$A$101,0),MATCH(X$3,'DH calcs - old'!$B$65:$AK$65,0))</f>
        <v>28348021.984720655</v>
      </c>
      <c r="Y52" s="155">
        <f>(SUM('2.2 Energy Systems inputs'!T$26:T$27)*1000000000)*INDEX(Y$108:Y$154,MATCH($B52&amp;Dashboard!$D$6,$F$108:$F$154,0))
*INDEX('DH calcs - old'!$B$66:$AK$101,MATCH(Dashboard!$D$5,'DH calcs - old'!$A$66:$A$101,0),MATCH(Y$3,'DH calcs - old'!$B$65:$AK$65,0))</f>
        <v>35265616.388922773</v>
      </c>
      <c r="Z52" s="155">
        <f>(SUM('2.2 Energy Systems inputs'!U$26:U$27)*1000000000)*INDEX(Z$108:Z$154,MATCH($B52&amp;Dashboard!$D$6,$F$108:$F$154,0))
*INDEX('DH calcs - old'!$B$66:$AK$101,MATCH(Dashboard!$D$5,'DH calcs - old'!$A$66:$A$101,0),MATCH(Z$3,'DH calcs - old'!$B$65:$AK$65,0))</f>
        <v>41114462.225840174</v>
      </c>
      <c r="AA52" s="155">
        <f>(SUM('2.2 Energy Systems inputs'!V$26:V$27)*1000000000)*INDEX(AA$108:AA$154,MATCH($B52&amp;Dashboard!$D$6,$F$108:$F$154,0))
*INDEX('DH calcs - old'!$B$66:$AK$101,MATCH(Dashboard!$D$5,'DH calcs - old'!$A$66:$A$101,0),MATCH(AA$3,'DH calcs - old'!$B$65:$AK$65,0))</f>
        <v>47633194.929623634</v>
      </c>
      <c r="AB52" s="155">
        <f>(SUM('2.2 Energy Systems inputs'!W$26:W$27)*1000000000)*INDEX(AB$108:AB$154,MATCH($B52&amp;Dashboard!$D$6,$F$108:$F$154,0))
*INDEX('DH calcs - old'!$B$66:$AK$101,MATCH(Dashboard!$D$5,'DH calcs - old'!$A$66:$A$101,0),MATCH(AB$3,'DH calcs - old'!$B$65:$AK$65,0))</f>
        <v>53474771.832551196</v>
      </c>
      <c r="AC52" s="155">
        <f>(SUM('2.2 Energy Systems inputs'!X$26:X$27)*1000000000)*INDEX(AC$108:AC$154,MATCH($B52&amp;Dashboard!$D$6,$F$108:$F$154,0))
*INDEX('DH calcs - old'!$B$66:$AK$101,MATCH(Dashboard!$D$5,'DH calcs - old'!$A$66:$A$101,0),MATCH(AC$3,'DH calcs - old'!$B$65:$AK$65,0))</f>
        <v>64826406.35154137</v>
      </c>
      <c r="AD52" s="155">
        <f>(SUM('2.2 Energy Systems inputs'!Y$26:Y$27)*1000000000)*INDEX(AD$108:AD$154,MATCH($B52&amp;Dashboard!$D$6,$F$108:$F$154,0))
*INDEX('DH calcs - old'!$B$66:$AK$101,MATCH(Dashboard!$D$5,'DH calcs - old'!$A$66:$A$101,0),MATCH(AD$3,'DH calcs - old'!$B$65:$AK$65,0))</f>
        <v>74996482.500081554</v>
      </c>
      <c r="AE52" s="155">
        <f>(SUM('2.2 Energy Systems inputs'!Z$26:Z$27)*1000000000)*INDEX(AE$108:AE$154,MATCH($B52&amp;Dashboard!$D$6,$F$108:$F$154,0))
*INDEX('DH calcs - old'!$B$66:$AK$101,MATCH(Dashboard!$D$5,'DH calcs - old'!$A$66:$A$101,0),MATCH(AE$3,'DH calcs - old'!$B$65:$AK$65,0))</f>
        <v>84177839.700853333</v>
      </c>
      <c r="AF52" s="155">
        <f>(SUM('2.2 Energy Systems inputs'!AA$26:AA$27)*1000000000)*INDEX(AF$108:AF$154,MATCH($B52&amp;Dashboard!$D$6,$F$108:$F$154,0))
*INDEX('DH calcs - old'!$B$66:$AK$101,MATCH(Dashboard!$D$5,'DH calcs - old'!$A$66:$A$101,0),MATCH(AF$3,'DH calcs - old'!$B$65:$AK$65,0))</f>
        <v>92503859.879429296</v>
      </c>
      <c r="AG52" s="155">
        <f>(SUM('2.2 Energy Systems inputs'!AB$26:AB$27)*1000000000)*INDEX(AG$108:AG$154,MATCH($B52&amp;Dashboard!$D$6,$F$108:$F$154,0))
*INDEX('DH calcs - old'!$B$66:$AK$101,MATCH(Dashboard!$D$5,'DH calcs - old'!$A$66:$A$101,0),MATCH(AG$3,'DH calcs - old'!$B$65:$AK$65,0))</f>
        <v>99822365.884713382</v>
      </c>
      <c r="AH52" s="155">
        <f>(SUM('2.2 Energy Systems inputs'!AC$26:AC$27)*1000000000)*INDEX(AH$108:AH$154,MATCH($B52&amp;Dashboard!$D$6,$F$108:$F$154,0))
*INDEX('DH calcs - old'!$B$66:$AK$101,MATCH(Dashboard!$D$5,'DH calcs - old'!$A$66:$A$101,0),MATCH(AH$3,'DH calcs - old'!$B$65:$AK$65,0))</f>
        <v>106090086.93179901</v>
      </c>
      <c r="AI52" s="155">
        <f>(SUM('2.2 Energy Systems inputs'!AD$26:AD$27)*1000000000)*INDEX(AI$108:AI$154,MATCH($B52&amp;Dashboard!$D$6,$F$108:$F$154,0))
*INDEX('DH calcs - old'!$B$66:$AK$101,MATCH(Dashboard!$D$5,'DH calcs - old'!$A$66:$A$101,0),MATCH(AI$3,'DH calcs - old'!$B$65:$AK$65,0))</f>
        <v>113912627.75313018</v>
      </c>
      <c r="AJ52" s="155">
        <f>(SUM('2.2 Energy Systems inputs'!AE$26:AE$27)*1000000000)*INDEX(AJ$108:AJ$154,MATCH($B52&amp;Dashboard!$D$6,$F$108:$F$154,0))
*INDEX('DH calcs - old'!$B$66:$AK$101,MATCH(Dashboard!$D$5,'DH calcs - old'!$A$66:$A$101,0),MATCH(AJ$3,'DH calcs - old'!$B$65:$AK$65,0))</f>
        <v>121008495.25425251</v>
      </c>
      <c r="AK52" s="155">
        <f>(SUM('2.2 Energy Systems inputs'!AF$26:AF$27)*1000000000)*INDEX(AK$108:AK$154,MATCH($B52&amp;Dashboard!$D$6,$F$108:$F$154,0))
*INDEX('DH calcs - old'!$B$66:$AK$101,MATCH(Dashboard!$D$5,'DH calcs - old'!$A$66:$A$101,0),MATCH(AK$3,'DH calcs - old'!$B$65:$AK$65,0))</f>
        <v>130874950.56296667</v>
      </c>
      <c r="AL52" s="155">
        <f>(SUM('2.2 Energy Systems inputs'!AG$26:AG$27)*1000000000)*INDEX(AL$108:AL$154,MATCH($B52&amp;Dashboard!$D$6,$F$108:$F$154,0))
*INDEX('DH calcs - old'!$B$66:$AK$101,MATCH(Dashboard!$D$5,'DH calcs - old'!$A$66:$A$101,0),MATCH(AL$3,'DH calcs - old'!$B$65:$AK$65,0))</f>
        <v>140393962.1397579</v>
      </c>
      <c r="AM52" s="155">
        <f>(SUM('2.2 Energy Systems inputs'!AH$26:AH$27)*1000000000)*INDEX(AM$108:AM$154,MATCH($B52&amp;Dashboard!$D$6,$F$108:$F$154,0))
*INDEX('DH calcs - old'!$B$66:$AK$101,MATCH(Dashboard!$D$5,'DH calcs - old'!$A$66:$A$101,0),MATCH(AM$3,'DH calcs - old'!$B$65:$AK$65,0))</f>
        <v>149510407.81500506</v>
      </c>
      <c r="AN52" s="155">
        <f>(SUM('2.2 Energy Systems inputs'!AI$26:AI$27)*1000000000)*INDEX(AN$108:AN$154,MATCH($B52&amp;Dashboard!$D$6,$F$108:$F$154,0))
*INDEX('DH calcs - old'!$B$66:$AK$101,MATCH(Dashboard!$D$5,'DH calcs - old'!$A$66:$A$101,0),MATCH(AN$3,'DH calcs - old'!$B$65:$AK$65,0))</f>
        <v>158169217.00870755</v>
      </c>
      <c r="AO52" s="155">
        <f>(SUM('2.2 Energy Systems inputs'!AJ$26:AJ$27)*1000000000)*INDEX(AO$108:AO$154,MATCH($B52&amp;Dashboard!$D$6,$F$108:$F$154,0))
*INDEX('DH calcs - old'!$B$66:$AK$101,MATCH(Dashboard!$D$5,'DH calcs - old'!$A$66:$A$101,0),MATCH(AO$3,'DH calcs - old'!$B$65:$AK$65,0))</f>
        <v>166315250.47377801</v>
      </c>
      <c r="AP52" s="155">
        <f>(SUM('2.2 Energy Systems inputs'!AK$26:AK$27)*1000000000)*INDEX(AP$108:AP$154,MATCH($B52&amp;Dashboard!$D$6,$F$108:$F$154,0))
*INDEX('DH calcs - old'!$B$66:$AK$101,MATCH(Dashboard!$D$5,'DH calcs - old'!$A$66:$A$101,0),MATCH(AP$3,'DH calcs - old'!$B$65:$AK$65,0))</f>
        <v>165723837.9596062</v>
      </c>
      <c r="AQ52" s="155">
        <f>(SUM('2.2 Energy Systems inputs'!AL$26:AL$27)*1000000000)*INDEX(AQ$108:AQ$154,MATCH($B52&amp;Dashboard!$D$6,$F$108:$F$154,0))
*INDEX('DH calcs - old'!$B$66:$AK$101,MATCH(Dashboard!$D$5,'DH calcs - old'!$A$66:$A$101,0),MATCH(AQ$3,'DH calcs - old'!$B$65:$AK$65,0))</f>
        <v>165324164.56710684</v>
      </c>
      <c r="AR52" s="155">
        <f>(SUM('2.2 Energy Systems inputs'!AM$26:AM$27)*1000000000)*INDEX(AR$108:AR$154,MATCH($B52&amp;Dashboard!$D$6,$F$108:$F$154,0))
*INDEX('DH calcs - old'!$B$66:$AK$101,MATCH(Dashboard!$D$5,'DH calcs - old'!$A$66:$A$101,0),MATCH(AR$3,'DH calcs - old'!$B$65:$AK$65,0))</f>
        <v>164500365.67060181</v>
      </c>
      <c r="AS52" s="155">
        <f>(SUM('2.2 Energy Systems inputs'!AN$26:AN$27)*1000000000)*INDEX(AS$108:AS$154,MATCH($B52&amp;Dashboard!$D$6,$F$108:$F$154,0))
*INDEX('DH calcs - old'!$B$66:$AK$101,MATCH(Dashboard!$D$5,'DH calcs - old'!$A$66:$A$101,0),MATCH(AS$3,'DH calcs - old'!$B$65:$AK$65,0))</f>
        <v>163242494.47241154</v>
      </c>
      <c r="AT52" s="155">
        <f>(SUM('2.2 Energy Systems inputs'!AO$26:AO$27)*1000000000)*INDEX(AT$108:AT$154,MATCH($B52&amp;Dashboard!$D$6,$F$108:$F$154,0))
*INDEX('DH calcs - old'!$B$66:$AK$101,MATCH(Dashboard!$D$5,'DH calcs - old'!$A$66:$A$101,0),MATCH(AT$3,'DH calcs - old'!$B$65:$AK$65,0))</f>
        <v>161540556.0093435</v>
      </c>
      <c r="AV52" s="381"/>
      <c r="AW52" s="159"/>
    </row>
    <row r="53" spans="1:49" ht="19.5" thickTop="1" thickBot="1">
      <c r="B53" s="35" t="s">
        <v>268</v>
      </c>
      <c r="C53" s="44" t="s">
        <v>1297</v>
      </c>
      <c r="D53" t="s">
        <v>693</v>
      </c>
      <c r="E53" s="44" t="s">
        <v>1300</v>
      </c>
      <c r="F53" t="s">
        <v>693</v>
      </c>
      <c r="G53" s="44" t="s">
        <v>1301</v>
      </c>
      <c r="H53" t="s">
        <v>693</v>
      </c>
      <c r="I53" s="44" t="s">
        <v>56</v>
      </c>
      <c r="K53" s="155">
        <f>(SUM('2.2 Energy Systems inputs'!F$26:F$27)*1000000000)*INDEX(K$108:K$154,MATCH($B53&amp;Dashboard!$D$6,$F$108:$F$154,0))
*INDEX('DH calcs - old'!$B$66:$AK$101,MATCH(Dashboard!$D$5,'DH calcs - old'!$A$66:$A$101,0),MATCH(K$3,'DH calcs - old'!$B$65:$AK$65,0))</f>
        <v>0</v>
      </c>
      <c r="L53" s="155">
        <f>(SUM('2.2 Energy Systems inputs'!G$26:G$27)*1000000000)*INDEX(L$108:L$154,MATCH($B53&amp;Dashboard!$D$6,$F$108:$F$154,0))
*INDEX('DH calcs - old'!$B$66:$AK$101,MATCH(Dashboard!$D$5,'DH calcs - old'!$A$66:$A$101,0),MATCH(L$3,'DH calcs - old'!$B$65:$AK$65,0))</f>
        <v>0</v>
      </c>
      <c r="M53" s="155">
        <f>(SUM('2.2 Energy Systems inputs'!H$26:H$27)*1000000000)*INDEX(M$108:M$154,MATCH($B53&amp;Dashboard!$D$6,$F$108:$F$154,0))
*INDEX('DH calcs - old'!$B$66:$AK$101,MATCH(Dashboard!$D$5,'DH calcs - old'!$A$66:$A$101,0),MATCH(M$3,'DH calcs - old'!$B$65:$AK$65,0))</f>
        <v>0</v>
      </c>
      <c r="N53" s="155">
        <f>(SUM('2.2 Energy Systems inputs'!I$26:I$27)*1000000000)*INDEX(N$108:N$154,MATCH($B53&amp;Dashboard!$D$6,$F$108:$F$154,0))
*INDEX('DH calcs - old'!$B$66:$AK$101,MATCH(Dashboard!$D$5,'DH calcs - old'!$A$66:$A$101,0),MATCH(N$3,'DH calcs - old'!$B$65:$AK$65,0))</f>
        <v>0</v>
      </c>
      <c r="O53" s="155">
        <f>(SUM('2.2 Energy Systems inputs'!J$26:J$27)*1000000000)*INDEX(O$108:O$154,MATCH($B53&amp;Dashboard!$D$6,$F$108:$F$154,0))
*INDEX('DH calcs - old'!$B$66:$AK$101,MATCH(Dashboard!$D$5,'DH calcs - old'!$A$66:$A$101,0),MATCH(O$3,'DH calcs - old'!$B$65:$AK$65,0))</f>
        <v>0</v>
      </c>
      <c r="P53" s="155">
        <f>(SUM('2.2 Energy Systems inputs'!K$26:K$27)*1000000000)*INDEX(P$108:P$154,MATCH($B53&amp;Dashboard!$D$6,$F$108:$F$154,0))
*INDEX('DH calcs - old'!$B$66:$AK$101,MATCH(Dashboard!$D$5,'DH calcs - old'!$A$66:$A$101,0),MATCH(P$3,'DH calcs - old'!$B$65:$AK$65,0))</f>
        <v>0</v>
      </c>
      <c r="Q53" s="155">
        <f>(SUM('2.2 Energy Systems inputs'!L$26:L$27)*1000000000)*INDEX(Q$108:Q$154,MATCH($B53&amp;Dashboard!$D$6,$F$108:$F$154,0))
*INDEX('DH calcs - old'!$B$66:$AK$101,MATCH(Dashboard!$D$5,'DH calcs - old'!$A$66:$A$101,0),MATCH(Q$3,'DH calcs - old'!$B$65:$AK$65,0))</f>
        <v>0</v>
      </c>
      <c r="R53" s="155">
        <f>(SUM('2.2 Energy Systems inputs'!M$26:M$27)*1000000000)*INDEX(R$108:R$154,MATCH($B53&amp;Dashboard!$D$6,$F$108:$F$154,0))
*INDEX('DH calcs - old'!$B$66:$AK$101,MATCH(Dashboard!$D$5,'DH calcs - old'!$A$66:$A$101,0),MATCH(R$3,'DH calcs - old'!$B$65:$AK$65,0))</f>
        <v>0</v>
      </c>
      <c r="S53" s="155">
        <f>(SUM('2.2 Energy Systems inputs'!N$26:N$27)*1000000000)*INDEX(S$108:S$154,MATCH($B53&amp;Dashboard!$D$6,$F$108:$F$154,0))
*INDEX('DH calcs - old'!$B$66:$AK$101,MATCH(Dashboard!$D$5,'DH calcs - old'!$A$66:$A$101,0),MATCH(S$3,'DH calcs - old'!$B$65:$AK$65,0))</f>
        <v>0</v>
      </c>
      <c r="T53" s="155">
        <f>(SUM('2.2 Energy Systems inputs'!O$26:O$27)*1000000000)*INDEX(T$108:T$154,MATCH($B53&amp;Dashboard!$D$6,$F$108:$F$154,0))
*INDEX('DH calcs - old'!$B$66:$AK$101,MATCH(Dashboard!$D$5,'DH calcs - old'!$A$66:$A$101,0),MATCH(T$3,'DH calcs - old'!$B$65:$AK$65,0))</f>
        <v>0</v>
      </c>
      <c r="U53" s="155">
        <f>(SUM('2.2 Energy Systems inputs'!P$26:P$27)*1000000000)*INDEX(U$108:U$154,MATCH($B53&amp;Dashboard!$D$6,$F$108:$F$154,0))
*INDEX('DH calcs - old'!$B$66:$AK$101,MATCH(Dashboard!$D$5,'DH calcs - old'!$A$66:$A$101,0),MATCH(U$3,'DH calcs - old'!$B$65:$AK$65,0))</f>
        <v>0</v>
      </c>
      <c r="V53" s="155">
        <f>(SUM('2.2 Energy Systems inputs'!Q$26:Q$27)*1000000000)*INDEX(V$108:V$154,MATCH($B53&amp;Dashboard!$D$6,$F$108:$F$154,0))
*INDEX('DH calcs - old'!$B$66:$AK$101,MATCH(Dashboard!$D$5,'DH calcs - old'!$A$66:$A$101,0),MATCH(V$3,'DH calcs - old'!$B$65:$AK$65,0))</f>
        <v>8799246.9718480837</v>
      </c>
      <c r="W53" s="155">
        <f>(SUM('2.2 Energy Systems inputs'!R$26:R$27)*1000000000)*INDEX(W$108:W$154,MATCH($B53&amp;Dashboard!$D$6,$F$108:$F$154,0))
*INDEX('DH calcs - old'!$B$66:$AK$101,MATCH(Dashboard!$D$5,'DH calcs - old'!$A$66:$A$101,0),MATCH(W$3,'DH calcs - old'!$B$65:$AK$65,0))</f>
        <v>17210486.81417397</v>
      </c>
      <c r="X53" s="155">
        <f>(SUM('2.2 Energy Systems inputs'!S$26:S$27)*1000000000)*INDEX(X$108:X$154,MATCH($B53&amp;Dashboard!$D$6,$F$108:$F$154,0))
*INDEX('DH calcs - old'!$B$66:$AK$101,MATCH(Dashboard!$D$5,'DH calcs - old'!$A$66:$A$101,0),MATCH(X$3,'DH calcs - old'!$B$65:$AK$65,0))</f>
        <v>25233719.526977647</v>
      </c>
      <c r="Y53" s="155">
        <f>(SUM('2.2 Energy Systems inputs'!T$26:T$27)*1000000000)*INDEX(Y$108:Y$154,MATCH($B53&amp;Dashboard!$D$6,$F$108:$F$154,0))
*INDEX('DH calcs - old'!$B$66:$AK$101,MATCH(Dashboard!$D$5,'DH calcs - old'!$A$66:$A$101,0),MATCH(Y$3,'DH calcs - old'!$B$65:$AK$65,0))</f>
        <v>32868945.110259127</v>
      </c>
      <c r="Z53" s="155">
        <f>(SUM('2.2 Energy Systems inputs'!U$26:U$27)*1000000000)*INDEX(Z$108:Z$154,MATCH($B53&amp;Dashboard!$D$6,$F$108:$F$154,0))
*INDEX('DH calcs - old'!$B$66:$AK$101,MATCH(Dashboard!$D$5,'DH calcs - old'!$A$66:$A$101,0),MATCH(Z$3,'DH calcs - old'!$B$65:$AK$65,0))</f>
        <v>40116163.564018399</v>
      </c>
      <c r="AA53" s="155">
        <f>(SUM('2.2 Energy Systems inputs'!V$26:V$27)*1000000000)*INDEX(AA$108:AA$154,MATCH($B53&amp;Dashboard!$D$6,$F$108:$F$154,0))
*INDEX('DH calcs - old'!$B$66:$AK$101,MATCH(Dashboard!$D$5,'DH calcs - old'!$A$66:$A$101,0),MATCH(AA$3,'DH calcs - old'!$B$65:$AK$65,0))</f>
        <v>46975374.888255462</v>
      </c>
      <c r="AB53" s="155">
        <f>(SUM('2.2 Energy Systems inputs'!W$26:W$27)*1000000000)*INDEX(AB$108:AB$154,MATCH($B53&amp;Dashboard!$D$6,$F$108:$F$154,0))
*INDEX('DH calcs - old'!$B$66:$AK$101,MATCH(Dashboard!$D$5,'DH calcs - old'!$A$66:$A$101,0),MATCH(AB$3,'DH calcs - old'!$B$65:$AK$65,0))</f>
        <v>53446579.082970336</v>
      </c>
      <c r="AC53" s="155">
        <f>(SUM('2.2 Energy Systems inputs'!X$26:X$27)*1000000000)*INDEX(AC$108:AC$154,MATCH($B53&amp;Dashboard!$D$6,$F$108:$F$154,0))
*INDEX('DH calcs - old'!$B$66:$AK$101,MATCH(Dashboard!$D$5,'DH calcs - old'!$A$66:$A$101,0),MATCH(AC$3,'DH calcs - old'!$B$65:$AK$65,0))</f>
        <v>59529776.148162998</v>
      </c>
      <c r="AD53" s="155">
        <f>(SUM('2.2 Energy Systems inputs'!Y$26:Y$27)*1000000000)*INDEX(AD$108:AD$154,MATCH($B53&amp;Dashboard!$D$6,$F$108:$F$154,0))
*INDEX('DH calcs - old'!$B$66:$AK$101,MATCH(Dashboard!$D$5,'DH calcs - old'!$A$66:$A$101,0),MATCH(AD$3,'DH calcs - old'!$B$65:$AK$65,0))</f>
        <v>65224966.083833441</v>
      </c>
      <c r="AE53" s="155">
        <f>(SUM('2.2 Energy Systems inputs'!Z$26:Z$27)*1000000000)*INDEX(AE$108:AE$154,MATCH($B53&amp;Dashboard!$D$6,$F$108:$F$154,0))
*INDEX('DH calcs - old'!$B$66:$AK$101,MATCH(Dashboard!$D$5,'DH calcs - old'!$A$66:$A$101,0),MATCH(AE$3,'DH calcs - old'!$B$65:$AK$65,0))</f>
        <v>70532148.889981702</v>
      </c>
      <c r="AF53" s="155">
        <f>(SUM('2.2 Energy Systems inputs'!AA$26:AA$27)*1000000000)*INDEX(AF$108:AF$154,MATCH($B53&amp;Dashboard!$D$6,$F$108:$F$154,0))
*INDEX('DH calcs - old'!$B$66:$AK$101,MATCH(Dashboard!$D$5,'DH calcs - old'!$A$66:$A$101,0),MATCH(AF$3,'DH calcs - old'!$B$65:$AK$65,0))</f>
        <v>75451324.566607758</v>
      </c>
      <c r="AG53" s="155">
        <f>(SUM('2.2 Energy Systems inputs'!AB$26:AB$27)*1000000000)*INDEX(AG$108:AG$154,MATCH($B53&amp;Dashboard!$D$6,$F$108:$F$154,0))
*INDEX('DH calcs - old'!$B$66:$AK$101,MATCH(Dashboard!$D$5,'DH calcs - old'!$A$66:$A$101,0),MATCH(AG$3,'DH calcs - old'!$B$65:$AK$65,0))</f>
        <v>79982493.113711566</v>
      </c>
      <c r="AH53" s="155">
        <f>(SUM('2.2 Energy Systems inputs'!AC$26:AC$27)*1000000000)*INDEX(AH$108:AH$154,MATCH($B53&amp;Dashboard!$D$6,$F$108:$F$154,0))
*INDEX('DH calcs - old'!$B$66:$AK$101,MATCH(Dashboard!$D$5,'DH calcs - old'!$A$66:$A$101,0),MATCH(AH$3,'DH calcs - old'!$B$65:$AK$65,0))</f>
        <v>84125654.531293243</v>
      </c>
      <c r="AI53" s="155">
        <f>(SUM('2.2 Energy Systems inputs'!AD$26:AD$27)*1000000000)*INDEX(AI$108:AI$154,MATCH($B53&amp;Dashboard!$D$6,$F$108:$F$154,0))
*INDEX('DH calcs - old'!$B$66:$AK$101,MATCH(Dashboard!$D$5,'DH calcs - old'!$A$66:$A$101,0),MATCH(AI$3,'DH calcs - old'!$B$65:$AK$65,0))</f>
        <v>87880808.819352686</v>
      </c>
      <c r="AJ53" s="155">
        <f>(SUM('2.2 Energy Systems inputs'!AE$26:AE$27)*1000000000)*INDEX(AJ$108:AJ$154,MATCH($B53&amp;Dashboard!$D$6,$F$108:$F$154,0))
*INDEX('DH calcs - old'!$B$66:$AK$101,MATCH(Dashboard!$D$5,'DH calcs - old'!$A$66:$A$101,0),MATCH(AJ$3,'DH calcs - old'!$B$65:$AK$65,0))</f>
        <v>91247955.977889925</v>
      </c>
      <c r="AK53" s="155">
        <f>(SUM('2.2 Energy Systems inputs'!AF$26:AF$27)*1000000000)*INDEX(AK$108:AK$154,MATCH($B53&amp;Dashboard!$D$6,$F$108:$F$154,0))
*INDEX('DH calcs - old'!$B$66:$AK$101,MATCH(Dashboard!$D$5,'DH calcs - old'!$A$66:$A$101,0),MATCH(AK$3,'DH calcs - old'!$B$65:$AK$65,0))</f>
        <v>94227096.00690493</v>
      </c>
      <c r="AL53" s="155">
        <f>(SUM('2.2 Energy Systems inputs'!AG$26:AG$27)*1000000000)*INDEX(AL$108:AL$154,MATCH($B53&amp;Dashboard!$D$6,$F$108:$F$154,0))
*INDEX('DH calcs - old'!$B$66:$AK$101,MATCH(Dashboard!$D$5,'DH calcs - old'!$A$66:$A$101,0),MATCH(AL$3,'DH calcs - old'!$B$65:$AK$65,0))</f>
        <v>96818228.90639779</v>
      </c>
      <c r="AM53" s="155">
        <f>(SUM('2.2 Energy Systems inputs'!AH$26:AH$27)*1000000000)*INDEX(AM$108:AM$154,MATCH($B53&amp;Dashboard!$D$6,$F$108:$F$154,0))
*INDEX('DH calcs - old'!$B$66:$AK$101,MATCH(Dashboard!$D$5,'DH calcs - old'!$A$66:$A$101,0),MATCH(AM$3,'DH calcs - old'!$B$65:$AK$65,0))</f>
        <v>99021354.6763684</v>
      </c>
      <c r="AN53" s="155">
        <f>(SUM('2.2 Energy Systems inputs'!AI$26:AI$27)*1000000000)*INDEX(AN$108:AN$154,MATCH($B53&amp;Dashboard!$D$6,$F$108:$F$154,0))
*INDEX('DH calcs - old'!$B$66:$AK$101,MATCH(Dashboard!$D$5,'DH calcs - old'!$A$66:$A$101,0),MATCH(AN$3,'DH calcs - old'!$B$65:$AK$65,0))</f>
        <v>100836473.31681684</v>
      </c>
      <c r="AO53" s="155">
        <f>(SUM('2.2 Energy Systems inputs'!AJ$26:AJ$27)*1000000000)*INDEX(AO$108:AO$154,MATCH($B53&amp;Dashboard!$D$6,$F$108:$F$154,0))
*INDEX('DH calcs - old'!$B$66:$AK$101,MATCH(Dashboard!$D$5,'DH calcs - old'!$A$66:$A$101,0),MATCH(AO$3,'DH calcs - old'!$B$65:$AK$65,0))</f>
        <v>102263584.82774305</v>
      </c>
      <c r="AP53" s="155">
        <f>(SUM('2.2 Energy Systems inputs'!AK$26:AK$27)*1000000000)*INDEX(AP$108:AP$154,MATCH($B53&amp;Dashboard!$D$6,$F$108:$F$154,0))
*INDEX('DH calcs - old'!$B$66:$AK$101,MATCH(Dashboard!$D$5,'DH calcs - old'!$A$66:$A$101,0),MATCH(AP$3,'DH calcs - old'!$B$65:$AK$65,0))</f>
        <v>103302689.20914705</v>
      </c>
      <c r="AQ53" s="155">
        <f>(SUM('2.2 Energy Systems inputs'!AL$26:AL$27)*1000000000)*INDEX(AQ$108:AQ$154,MATCH($B53&amp;Dashboard!$D$6,$F$108:$F$154,0))
*INDEX('DH calcs - old'!$B$66:$AK$101,MATCH(Dashboard!$D$5,'DH calcs - old'!$A$66:$A$101,0),MATCH(AQ$3,'DH calcs - old'!$B$65:$AK$65,0))</f>
        <v>99228614.349163905</v>
      </c>
      <c r="AR53" s="155">
        <f>(SUM('2.2 Energy Systems inputs'!AM$26:AM$27)*1000000000)*INDEX(AR$108:AR$154,MATCH($B53&amp;Dashboard!$D$6,$F$108:$F$154,0))
*INDEX('DH calcs - old'!$B$66:$AK$101,MATCH(Dashboard!$D$5,'DH calcs - old'!$A$66:$A$101,0),MATCH(AR$3,'DH calcs - old'!$B$65:$AK$65,0))</f>
        <v>95154539.489180788</v>
      </c>
      <c r="AS53" s="155">
        <f>(SUM('2.2 Energy Systems inputs'!AN$26:AN$27)*1000000000)*INDEX(AS$108:AS$154,MATCH($B53&amp;Dashboard!$D$6,$F$108:$F$154,0))
*INDEX('DH calcs - old'!$B$66:$AK$101,MATCH(Dashboard!$D$5,'DH calcs - old'!$A$66:$A$101,0),MATCH(AS$3,'DH calcs - old'!$B$65:$AK$65,0))</f>
        <v>91080464.629197612</v>
      </c>
      <c r="AT53" s="155">
        <f>(SUM('2.2 Energy Systems inputs'!AO$26:AO$27)*1000000000)*INDEX(AT$108:AT$154,MATCH($B53&amp;Dashboard!$D$6,$F$108:$F$154,0))
*INDEX('DH calcs - old'!$B$66:$AK$101,MATCH(Dashboard!$D$5,'DH calcs - old'!$A$66:$A$101,0),MATCH(AT$3,'DH calcs - old'!$B$65:$AK$65,0))</f>
        <v>87006389.769214511</v>
      </c>
      <c r="AW53" s="159"/>
    </row>
    <row r="54" spans="1:49" ht="19.5" thickTop="1" thickBot="1">
      <c r="B54" s="35" t="s">
        <v>269</v>
      </c>
      <c r="C54" s="44" t="s">
        <v>1297</v>
      </c>
      <c r="D54" t="s">
        <v>693</v>
      </c>
      <c r="E54" s="44" t="s">
        <v>1300</v>
      </c>
      <c r="F54" t="s">
        <v>693</v>
      </c>
      <c r="G54" s="44" t="s">
        <v>1301</v>
      </c>
      <c r="H54" t="s">
        <v>693</v>
      </c>
      <c r="I54" s="44" t="s">
        <v>56</v>
      </c>
      <c r="K54" s="155">
        <f>(SUM('2.2 Energy Systems inputs'!F$26:F$27)*1000000000)*INDEX(K$108:K$154,MATCH($B54&amp;Dashboard!$D$6,$F$108:$F$154,0))
*INDEX('DH calcs - old'!$B$66:$AK$101,MATCH(Dashboard!$D$5,'DH calcs - old'!$A$66:$A$101,0),MATCH(K$3,'DH calcs - old'!$B$65:$AK$65,0))</f>
        <v>0</v>
      </c>
      <c r="L54" s="155">
        <f>(SUM('2.2 Energy Systems inputs'!G$26:G$27)*1000000000)*INDEX(L$108:L$154,MATCH($B54&amp;Dashboard!$D$6,$F$108:$F$154,0))
*INDEX('DH calcs - old'!$B$66:$AK$101,MATCH(Dashboard!$D$5,'DH calcs - old'!$A$66:$A$101,0),MATCH(L$3,'DH calcs - old'!$B$65:$AK$65,0))</f>
        <v>0</v>
      </c>
      <c r="M54" s="155">
        <f>(SUM('2.2 Energy Systems inputs'!H$26:H$27)*1000000000)*INDEX(M$108:M$154,MATCH($B54&amp;Dashboard!$D$6,$F$108:$F$154,0))
*INDEX('DH calcs - old'!$B$66:$AK$101,MATCH(Dashboard!$D$5,'DH calcs - old'!$A$66:$A$101,0),MATCH(M$3,'DH calcs - old'!$B$65:$AK$65,0))</f>
        <v>0</v>
      </c>
      <c r="N54" s="155">
        <f>(SUM('2.2 Energy Systems inputs'!I$26:I$27)*1000000000)*INDEX(N$108:N$154,MATCH($B54&amp;Dashboard!$D$6,$F$108:$F$154,0))
*INDEX('DH calcs - old'!$B$66:$AK$101,MATCH(Dashboard!$D$5,'DH calcs - old'!$A$66:$A$101,0),MATCH(N$3,'DH calcs - old'!$B$65:$AK$65,0))</f>
        <v>0</v>
      </c>
      <c r="O54" s="155">
        <f>(SUM('2.2 Energy Systems inputs'!J$26:J$27)*1000000000)*INDEX(O$108:O$154,MATCH($B54&amp;Dashboard!$D$6,$F$108:$F$154,0))
*INDEX('DH calcs - old'!$B$66:$AK$101,MATCH(Dashboard!$D$5,'DH calcs - old'!$A$66:$A$101,0),MATCH(O$3,'DH calcs - old'!$B$65:$AK$65,0))</f>
        <v>0</v>
      </c>
      <c r="P54" s="155">
        <f>(SUM('2.2 Energy Systems inputs'!K$26:K$27)*1000000000)*INDEX(P$108:P$154,MATCH($B54&amp;Dashboard!$D$6,$F$108:$F$154,0))
*INDEX('DH calcs - old'!$B$66:$AK$101,MATCH(Dashboard!$D$5,'DH calcs - old'!$A$66:$A$101,0),MATCH(P$3,'DH calcs - old'!$B$65:$AK$65,0))</f>
        <v>0</v>
      </c>
      <c r="Q54" s="155">
        <f>(SUM('2.2 Energy Systems inputs'!L$26:L$27)*1000000000)*INDEX(Q$108:Q$154,MATCH($B54&amp;Dashboard!$D$6,$F$108:$F$154,0))
*INDEX('DH calcs - old'!$B$66:$AK$101,MATCH(Dashboard!$D$5,'DH calcs - old'!$A$66:$A$101,0),MATCH(Q$3,'DH calcs - old'!$B$65:$AK$65,0))</f>
        <v>0</v>
      </c>
      <c r="R54" s="155">
        <f>(SUM('2.2 Energy Systems inputs'!M$26:M$27)*1000000000)*INDEX(R$108:R$154,MATCH($B54&amp;Dashboard!$D$6,$F$108:$F$154,0))
*INDEX('DH calcs - old'!$B$66:$AK$101,MATCH(Dashboard!$D$5,'DH calcs - old'!$A$66:$A$101,0),MATCH(R$3,'DH calcs - old'!$B$65:$AK$65,0))</f>
        <v>0</v>
      </c>
      <c r="S54" s="155">
        <f>(SUM('2.2 Energy Systems inputs'!N$26:N$27)*1000000000)*INDEX(S$108:S$154,MATCH($B54&amp;Dashboard!$D$6,$F$108:$F$154,0))
*INDEX('DH calcs - old'!$B$66:$AK$101,MATCH(Dashboard!$D$5,'DH calcs - old'!$A$66:$A$101,0),MATCH(S$3,'DH calcs - old'!$B$65:$AK$65,0))</f>
        <v>0</v>
      </c>
      <c r="T54" s="155">
        <f>(SUM('2.2 Energy Systems inputs'!O$26:O$27)*1000000000)*INDEX(T$108:T$154,MATCH($B54&amp;Dashboard!$D$6,$F$108:$F$154,0))
*INDEX('DH calcs - old'!$B$66:$AK$101,MATCH(Dashboard!$D$5,'DH calcs - old'!$A$66:$A$101,0),MATCH(T$3,'DH calcs - old'!$B$65:$AK$65,0))</f>
        <v>0</v>
      </c>
      <c r="U54" s="155">
        <f>(SUM('2.2 Energy Systems inputs'!P$26:P$27)*1000000000)*INDEX(U$108:U$154,MATCH($B54&amp;Dashboard!$D$6,$F$108:$F$154,0))
*INDEX('DH calcs - old'!$B$66:$AK$101,MATCH(Dashboard!$D$5,'DH calcs - old'!$A$66:$A$101,0),MATCH(U$3,'DH calcs - old'!$B$65:$AK$65,0))</f>
        <v>0</v>
      </c>
      <c r="V54" s="155">
        <f>(SUM('2.2 Energy Systems inputs'!Q$26:Q$27)*1000000000)*INDEX(V$108:V$154,MATCH($B54&amp;Dashboard!$D$6,$F$108:$F$154,0))
*INDEX('DH calcs - old'!$B$66:$AK$101,MATCH(Dashboard!$D$5,'DH calcs - old'!$A$66:$A$101,0),MATCH(V$3,'DH calcs - old'!$B$65:$AK$65,0))</f>
        <v>16755005.254971484</v>
      </c>
      <c r="W54" s="155">
        <f>(SUM('2.2 Energy Systems inputs'!R$26:R$27)*1000000000)*INDEX(W$108:W$154,MATCH($B54&amp;Dashboard!$D$6,$F$108:$F$154,0))
*INDEX('DH calcs - old'!$B$66:$AK$101,MATCH(Dashboard!$D$5,'DH calcs - old'!$A$66:$A$101,0),MATCH(W$3,'DH calcs - old'!$B$65:$AK$65,0))</f>
        <v>32771190.300110228</v>
      </c>
      <c r="X54" s="155">
        <f>(SUM('2.2 Energy Systems inputs'!S$26:S$27)*1000000000)*INDEX(X$108:X$154,MATCH($B54&amp;Dashboard!$D$6,$F$108:$F$154,0))
*INDEX('DH calcs - old'!$B$66:$AK$101,MATCH(Dashboard!$D$5,'DH calcs - old'!$A$66:$A$101,0),MATCH(X$3,'DH calcs - old'!$B$65:$AK$65,0))</f>
        <v>48048555.135416217</v>
      </c>
      <c r="Y54" s="155">
        <f>(SUM('2.2 Energy Systems inputs'!T$26:T$27)*1000000000)*INDEX(Y$108:Y$154,MATCH($B54&amp;Dashboard!$D$6,$F$108:$F$154,0))
*INDEX('DH calcs - old'!$B$66:$AK$101,MATCH(Dashboard!$D$5,'DH calcs - old'!$A$66:$A$101,0),MATCH(Y$3,'DH calcs - old'!$B$65:$AK$65,0))</f>
        <v>62587099.7608895</v>
      </c>
      <c r="Z54" s="155">
        <f>(SUM('2.2 Energy Systems inputs'!U$26:U$27)*1000000000)*INDEX(Z$108:Z$154,MATCH($B54&amp;Dashboard!$D$6,$F$108:$F$154,0))
*INDEX('DH calcs - old'!$B$66:$AK$101,MATCH(Dashboard!$D$5,'DH calcs - old'!$A$66:$A$101,0),MATCH(Z$3,'DH calcs - old'!$B$65:$AK$65,0))</f>
        <v>76386824.176530004</v>
      </c>
      <c r="AA54" s="155">
        <f>(SUM('2.2 Energy Systems inputs'!V$26:V$27)*1000000000)*INDEX(AA$108:AA$154,MATCH($B54&amp;Dashboard!$D$6,$F$108:$F$154,0))
*INDEX('DH calcs - old'!$B$66:$AK$101,MATCH(Dashboard!$D$5,'DH calcs - old'!$A$66:$A$101,0),MATCH(AA$3,'DH calcs - old'!$B$65:$AK$65,0))</f>
        <v>89447728.382337764</v>
      </c>
      <c r="AB54" s="155">
        <f>(SUM('2.2 Energy Systems inputs'!W$26:W$27)*1000000000)*INDEX(AB$108:AB$154,MATCH($B54&amp;Dashboard!$D$6,$F$108:$F$154,0))
*INDEX('DH calcs - old'!$B$66:$AK$101,MATCH(Dashboard!$D$5,'DH calcs - old'!$A$66:$A$101,0),MATCH(AB$3,'DH calcs - old'!$B$65:$AK$65,0))</f>
        <v>101769812.37831284</v>
      </c>
      <c r="AC54" s="155">
        <f>(SUM('2.2 Energy Systems inputs'!X$26:X$27)*1000000000)*INDEX(AC$108:AC$154,MATCH($B54&amp;Dashboard!$D$6,$F$108:$F$154,0))
*INDEX('DH calcs - old'!$B$66:$AK$101,MATCH(Dashboard!$D$5,'DH calcs - old'!$A$66:$A$101,0),MATCH(AC$3,'DH calcs - old'!$B$65:$AK$65,0))</f>
        <v>113353076.1644551</v>
      </c>
      <c r="AD54" s="155">
        <f>(SUM('2.2 Energy Systems inputs'!Y$26:Y$27)*1000000000)*INDEX(AD$108:AD$154,MATCH($B54&amp;Dashboard!$D$6,$F$108:$F$154,0))
*INDEX('DH calcs - old'!$B$66:$AK$101,MATCH(Dashboard!$D$5,'DH calcs - old'!$A$66:$A$101,0),MATCH(AD$3,'DH calcs - old'!$B$65:$AK$65,0))</f>
        <v>124197519.74076462</v>
      </c>
      <c r="AE54" s="155">
        <f>(SUM('2.2 Energy Systems inputs'!Z$26:Z$27)*1000000000)*INDEX(AE$108:AE$154,MATCH($B54&amp;Dashboard!$D$6,$F$108:$F$154,0))
*INDEX('DH calcs - old'!$B$66:$AK$101,MATCH(Dashboard!$D$5,'DH calcs - old'!$A$66:$A$101,0),MATCH(AE$3,'DH calcs - old'!$B$65:$AK$65,0))</f>
        <v>134303143.10724145</v>
      </c>
      <c r="AF54" s="155">
        <f>(SUM('2.2 Energy Systems inputs'!AA$26:AA$27)*1000000000)*INDEX(AF$108:AF$154,MATCH($B54&amp;Dashboard!$D$6,$F$108:$F$154,0))
*INDEX('DH calcs - old'!$B$66:$AK$101,MATCH(Dashboard!$D$5,'DH calcs - old'!$A$66:$A$101,0),MATCH(AF$3,'DH calcs - old'!$B$65:$AK$65,0))</f>
        <v>143669946.2638855</v>
      </c>
      <c r="AG54" s="155">
        <f>(SUM('2.2 Energy Systems inputs'!AB$26:AB$27)*1000000000)*INDEX(AG$108:AG$154,MATCH($B54&amp;Dashboard!$D$6,$F$108:$F$154,0))
*INDEX('DH calcs - old'!$B$66:$AK$101,MATCH(Dashboard!$D$5,'DH calcs - old'!$A$66:$A$101,0),MATCH(AG$3,'DH calcs - old'!$B$65:$AK$65,0))</f>
        <v>152297929.21069679</v>
      </c>
      <c r="AH54" s="155">
        <f>(SUM('2.2 Energy Systems inputs'!AC$26:AC$27)*1000000000)*INDEX(AH$108:AH$154,MATCH($B54&amp;Dashboard!$D$6,$F$108:$F$154,0))
*INDEX('DH calcs - old'!$B$66:$AK$101,MATCH(Dashboard!$D$5,'DH calcs - old'!$A$66:$A$101,0),MATCH(AH$3,'DH calcs - old'!$B$65:$AK$65,0))</f>
        <v>160187091.94767541</v>
      </c>
      <c r="AI54" s="155">
        <f>(SUM('2.2 Energy Systems inputs'!AD$26:AD$27)*1000000000)*INDEX(AI$108:AI$154,MATCH($B54&amp;Dashboard!$D$6,$F$108:$F$154,0))
*INDEX('DH calcs - old'!$B$66:$AK$101,MATCH(Dashboard!$D$5,'DH calcs - old'!$A$66:$A$101,0),MATCH(AI$3,'DH calcs - old'!$B$65:$AK$65,0))</f>
        <v>167337434.47482127</v>
      </c>
      <c r="AJ54" s="155">
        <f>(SUM('2.2 Energy Systems inputs'!AE$26:AE$27)*1000000000)*INDEX(AJ$108:AJ$154,MATCH($B54&amp;Dashboard!$D$6,$F$108:$F$154,0))
*INDEX('DH calcs - old'!$B$66:$AK$101,MATCH(Dashboard!$D$5,'DH calcs - old'!$A$66:$A$101,0),MATCH(AJ$3,'DH calcs - old'!$B$65:$AK$65,0))</f>
        <v>173748956.79213434</v>
      </c>
      <c r="AK54" s="155">
        <f>(SUM('2.2 Energy Systems inputs'!AF$26:AF$27)*1000000000)*INDEX(AK$108:AK$154,MATCH($B54&amp;Dashboard!$D$6,$F$108:$F$154,0))
*INDEX('DH calcs - old'!$B$66:$AK$101,MATCH(Dashboard!$D$5,'DH calcs - old'!$A$66:$A$101,0),MATCH(AK$3,'DH calcs - old'!$B$65:$AK$65,0))</f>
        <v>179421658.89961469</v>
      </c>
      <c r="AL54" s="155">
        <f>(SUM('2.2 Energy Systems inputs'!AG$26:AG$27)*1000000000)*INDEX(AL$108:AL$154,MATCH($B54&amp;Dashboard!$D$6,$F$108:$F$154,0))
*INDEX('DH calcs - old'!$B$66:$AK$101,MATCH(Dashboard!$D$5,'DH calcs - old'!$A$66:$A$101,0),MATCH(AL$3,'DH calcs - old'!$B$65:$AK$65,0))</f>
        <v>184355540.79726231</v>
      </c>
      <c r="AM54" s="155">
        <f>(SUM('2.2 Energy Systems inputs'!AH$26:AH$27)*1000000000)*INDEX(AM$108:AM$154,MATCH($B54&amp;Dashboard!$D$6,$F$108:$F$154,0))
*INDEX('DH calcs - old'!$B$66:$AK$101,MATCH(Dashboard!$D$5,'DH calcs - old'!$A$66:$A$101,0),MATCH(AM$3,'DH calcs - old'!$B$65:$AK$65,0))</f>
        <v>188550602.48507717</v>
      </c>
      <c r="AN54" s="155">
        <f>(SUM('2.2 Energy Systems inputs'!AI$26:AI$27)*1000000000)*INDEX(AN$108:AN$154,MATCH($B54&amp;Dashboard!$D$6,$F$108:$F$154,0))
*INDEX('DH calcs - old'!$B$66:$AK$101,MATCH(Dashboard!$D$5,'DH calcs - old'!$A$66:$A$101,0),MATCH(AN$3,'DH calcs - old'!$B$65:$AK$65,0))</f>
        <v>192006843.96305931</v>
      </c>
      <c r="AO54" s="155">
        <f>(SUM('2.2 Energy Systems inputs'!AJ$26:AJ$27)*1000000000)*INDEX(AO$108:AO$154,MATCH($B54&amp;Dashboard!$D$6,$F$108:$F$154,0))
*INDEX('DH calcs - old'!$B$66:$AK$101,MATCH(Dashboard!$D$5,'DH calcs - old'!$A$66:$A$101,0),MATCH(AO$3,'DH calcs - old'!$B$65:$AK$65,0))</f>
        <v>194724265.23120871</v>
      </c>
      <c r="AP54" s="155">
        <f>(SUM('2.2 Energy Systems inputs'!AK$26:AK$27)*1000000000)*INDEX(AP$108:AP$154,MATCH($B54&amp;Dashboard!$D$6,$F$108:$F$154,0))
*INDEX('DH calcs - old'!$B$66:$AK$101,MATCH(Dashboard!$D$5,'DH calcs - old'!$A$66:$A$101,0),MATCH(AP$3,'DH calcs - old'!$B$65:$AK$65,0))</f>
        <v>196702866.2895253</v>
      </c>
      <c r="AQ54" s="155">
        <f>(SUM('2.2 Energy Systems inputs'!AL$26:AL$27)*1000000000)*INDEX(AQ$108:AQ$154,MATCH($B54&amp;Dashboard!$D$6,$F$108:$F$154,0))
*INDEX('DH calcs - old'!$B$66:$AK$101,MATCH(Dashboard!$D$5,'DH calcs - old'!$A$66:$A$101,0),MATCH(AQ$3,'DH calcs - old'!$B$65:$AK$65,0))</f>
        <v>188945254.08628148</v>
      </c>
      <c r="AR54" s="155">
        <f>(SUM('2.2 Energy Systems inputs'!AM$26:AM$27)*1000000000)*INDEX(AR$108:AR$154,MATCH($B54&amp;Dashboard!$D$6,$F$108:$F$154,0))
*INDEX('DH calcs - old'!$B$66:$AK$101,MATCH(Dashboard!$D$5,'DH calcs - old'!$A$66:$A$101,0),MATCH(AR$3,'DH calcs - old'!$B$65:$AK$65,0))</f>
        <v>181187641.88303775</v>
      </c>
      <c r="AS54" s="155">
        <f>(SUM('2.2 Energy Systems inputs'!AN$26:AN$27)*1000000000)*INDEX(AS$108:AS$154,MATCH($B54&amp;Dashboard!$D$6,$F$108:$F$154,0))
*INDEX('DH calcs - old'!$B$66:$AK$101,MATCH(Dashboard!$D$5,'DH calcs - old'!$A$66:$A$101,0),MATCH(AS$3,'DH calcs - old'!$B$65:$AK$65,0))</f>
        <v>173430029.67979389</v>
      </c>
      <c r="AT54" s="155">
        <f>(SUM('2.2 Energy Systems inputs'!AO$26:AO$27)*1000000000)*INDEX(AT$108:AT$154,MATCH($B54&amp;Dashboard!$D$6,$F$108:$F$154,0))
*INDEX('DH calcs - old'!$B$66:$AK$101,MATCH(Dashboard!$D$5,'DH calcs - old'!$A$66:$A$101,0),MATCH(AT$3,'DH calcs - old'!$B$65:$AK$65,0))</f>
        <v>165672417.47655016</v>
      </c>
      <c r="AW54" s="159"/>
    </row>
    <row r="55" spans="1:49" ht="19.5" thickTop="1" thickBot="1">
      <c r="B55" s="35" t="s">
        <v>1304</v>
      </c>
      <c r="C55" s="44" t="s">
        <v>1297</v>
      </c>
      <c r="E55" s="44" t="s">
        <v>1300</v>
      </c>
      <c r="G55" s="44" t="s">
        <v>1301</v>
      </c>
      <c r="I55" s="44" t="s">
        <v>56</v>
      </c>
      <c r="K55" s="155">
        <f>(SUM('2.2 Energy Systems inputs'!F$26:F$27)*1000000000)*INDEX(K$108:K$154,MATCH($B55&amp;Dashboard!$D$6,$F$108:$F$154,0))
*INDEX('DH calcs - old'!$B$66:$AK$101,MATCH(Dashboard!$D$5,'DH calcs - old'!$A$66:$A$101,0),MATCH(K$3,'DH calcs - old'!$B$65:$AK$65,0))</f>
        <v>0</v>
      </c>
      <c r="L55" s="155">
        <f>(SUM('2.2 Energy Systems inputs'!G$26:G$27)*1000000000)*INDEX(L$108:L$154,MATCH($B55&amp;Dashboard!$D$6,$F$108:$F$154,0))
*INDEX('DH calcs - old'!$B$66:$AK$101,MATCH(Dashboard!$D$5,'DH calcs - old'!$A$66:$A$101,0),MATCH(L$3,'DH calcs - old'!$B$65:$AK$65,0))</f>
        <v>0</v>
      </c>
      <c r="M55" s="155">
        <f>(SUM('2.2 Energy Systems inputs'!H$26:H$27)*1000000000)*INDEX(M$108:M$154,MATCH($B55&amp;Dashboard!$D$6,$F$108:$F$154,0))
*INDEX('DH calcs - old'!$B$66:$AK$101,MATCH(Dashboard!$D$5,'DH calcs - old'!$A$66:$A$101,0),MATCH(M$3,'DH calcs - old'!$B$65:$AK$65,0))</f>
        <v>0</v>
      </c>
      <c r="N55" s="155">
        <f>(SUM('2.2 Energy Systems inputs'!I$26:I$27)*1000000000)*INDEX(N$108:N$154,MATCH($B55&amp;Dashboard!$D$6,$F$108:$F$154,0))
*INDEX('DH calcs - old'!$B$66:$AK$101,MATCH(Dashboard!$D$5,'DH calcs - old'!$A$66:$A$101,0),MATCH(N$3,'DH calcs - old'!$B$65:$AK$65,0))</f>
        <v>0</v>
      </c>
      <c r="O55" s="155">
        <f>(SUM('2.2 Energy Systems inputs'!J$26:J$27)*1000000000)*INDEX(O$108:O$154,MATCH($B55&amp;Dashboard!$D$6,$F$108:$F$154,0))
*INDEX('DH calcs - old'!$B$66:$AK$101,MATCH(Dashboard!$D$5,'DH calcs - old'!$A$66:$A$101,0),MATCH(O$3,'DH calcs - old'!$B$65:$AK$65,0))</f>
        <v>0</v>
      </c>
      <c r="P55" s="155">
        <f>(SUM('2.2 Energy Systems inputs'!K$26:K$27)*1000000000)*INDEX(P$108:P$154,MATCH($B55&amp;Dashboard!$D$6,$F$108:$F$154,0))
*INDEX('DH calcs - old'!$B$66:$AK$101,MATCH(Dashboard!$D$5,'DH calcs - old'!$A$66:$A$101,0),MATCH(P$3,'DH calcs - old'!$B$65:$AK$65,0))</f>
        <v>0</v>
      </c>
      <c r="Q55" s="155">
        <f>(SUM('2.2 Energy Systems inputs'!L$26:L$27)*1000000000)*INDEX(Q$108:Q$154,MATCH($B55&amp;Dashboard!$D$6,$F$108:$F$154,0))
*INDEX('DH calcs - old'!$B$66:$AK$101,MATCH(Dashboard!$D$5,'DH calcs - old'!$A$66:$A$101,0),MATCH(Q$3,'DH calcs - old'!$B$65:$AK$65,0))</f>
        <v>0</v>
      </c>
      <c r="R55" s="155">
        <f>(SUM('2.2 Energy Systems inputs'!M$26:M$27)*1000000000)*INDEX(R$108:R$154,MATCH($B55&amp;Dashboard!$D$6,$F$108:$F$154,0))
*INDEX('DH calcs - old'!$B$66:$AK$101,MATCH(Dashboard!$D$5,'DH calcs - old'!$A$66:$A$101,0),MATCH(R$3,'DH calcs - old'!$B$65:$AK$65,0))</f>
        <v>0</v>
      </c>
      <c r="S55" s="155">
        <f>(SUM('2.2 Energy Systems inputs'!N$26:N$27)*1000000000)*INDEX(S$108:S$154,MATCH($B55&amp;Dashboard!$D$6,$F$108:$F$154,0))
*INDEX('DH calcs - old'!$B$66:$AK$101,MATCH(Dashboard!$D$5,'DH calcs - old'!$A$66:$A$101,0),MATCH(S$3,'DH calcs - old'!$B$65:$AK$65,0))</f>
        <v>0</v>
      </c>
      <c r="T55" s="155">
        <f>(SUM('2.2 Energy Systems inputs'!O$26:O$27)*1000000000)*INDEX(T$108:T$154,MATCH($B55&amp;Dashboard!$D$6,$F$108:$F$154,0))
*INDEX('DH calcs - old'!$B$66:$AK$101,MATCH(Dashboard!$D$5,'DH calcs - old'!$A$66:$A$101,0),MATCH(T$3,'DH calcs - old'!$B$65:$AK$65,0))</f>
        <v>0</v>
      </c>
      <c r="U55" s="155">
        <f>(SUM('2.2 Energy Systems inputs'!P$26:P$27)*1000000000)*INDEX(U$108:U$154,MATCH($B55&amp;Dashboard!$D$6,$F$108:$F$154,0))
*INDEX('DH calcs - old'!$B$66:$AK$101,MATCH(Dashboard!$D$5,'DH calcs - old'!$A$66:$A$101,0),MATCH(U$3,'DH calcs - old'!$B$65:$AK$65,0))</f>
        <v>0</v>
      </c>
      <c r="V55" s="155">
        <f>(SUM('2.2 Energy Systems inputs'!Q$26:Q$27)*1000000000)*INDEX(V$108:V$154,MATCH($B55&amp;Dashboard!$D$6,$F$108:$F$154,0))
*INDEX('DH calcs - old'!$B$66:$AK$101,MATCH(Dashboard!$D$5,'DH calcs - old'!$A$66:$A$101,0),MATCH(V$3,'DH calcs - old'!$B$65:$AK$65,0))</f>
        <v>0</v>
      </c>
      <c r="W55" s="155">
        <f>(SUM('2.2 Energy Systems inputs'!R$26:R$27)*1000000000)*INDEX(W$108:W$154,MATCH($B55&amp;Dashboard!$D$6,$F$108:$F$154,0))
*INDEX('DH calcs - old'!$B$66:$AK$101,MATCH(Dashboard!$D$5,'DH calcs - old'!$A$66:$A$101,0),MATCH(W$3,'DH calcs - old'!$B$65:$AK$65,0))</f>
        <v>0</v>
      </c>
      <c r="X55" s="155">
        <f>(SUM('2.2 Energy Systems inputs'!S$26:S$27)*1000000000)*INDEX(X$108:X$154,MATCH($B55&amp;Dashboard!$D$6,$F$108:$F$154,0))
*INDEX('DH calcs - old'!$B$66:$AK$101,MATCH(Dashboard!$D$5,'DH calcs - old'!$A$66:$A$101,0),MATCH(X$3,'DH calcs - old'!$B$65:$AK$65,0))</f>
        <v>0</v>
      </c>
      <c r="Y55" s="155">
        <f>(SUM('2.2 Energy Systems inputs'!T$26:T$27)*1000000000)*INDEX(Y$108:Y$154,MATCH($B55&amp;Dashboard!$D$6,$F$108:$F$154,0))
*INDEX('DH calcs - old'!$B$66:$AK$101,MATCH(Dashboard!$D$5,'DH calcs - old'!$A$66:$A$101,0),MATCH(Y$3,'DH calcs - old'!$B$65:$AK$65,0))</f>
        <v>0</v>
      </c>
      <c r="Z55" s="155">
        <f>(SUM('2.2 Energy Systems inputs'!U$26:U$27)*1000000000)*INDEX(Z$108:Z$154,MATCH($B55&amp;Dashboard!$D$6,$F$108:$F$154,0))
*INDEX('DH calcs - old'!$B$66:$AK$101,MATCH(Dashboard!$D$5,'DH calcs - old'!$A$66:$A$101,0),MATCH(Z$3,'DH calcs - old'!$B$65:$AK$65,0))</f>
        <v>0</v>
      </c>
      <c r="AA55" s="155">
        <f>(SUM('2.2 Energy Systems inputs'!V$26:V$27)*1000000000)*INDEX(AA$108:AA$154,MATCH($B55&amp;Dashboard!$D$6,$F$108:$F$154,0))
*INDEX('DH calcs - old'!$B$66:$AK$101,MATCH(Dashboard!$D$5,'DH calcs - old'!$A$66:$A$101,0),MATCH(AA$3,'DH calcs - old'!$B$65:$AK$65,0))</f>
        <v>0</v>
      </c>
      <c r="AB55" s="155">
        <f>(SUM('2.2 Energy Systems inputs'!W$26:W$27)*1000000000)*INDEX(AB$108:AB$154,MATCH($B55&amp;Dashboard!$D$6,$F$108:$F$154,0))
*INDEX('DH calcs - old'!$B$66:$AK$101,MATCH(Dashboard!$D$5,'DH calcs - old'!$A$66:$A$101,0),MATCH(AB$3,'DH calcs - old'!$B$65:$AK$65,0))</f>
        <v>0</v>
      </c>
      <c r="AC55" s="155">
        <f>(SUM('2.2 Energy Systems inputs'!X$26:X$27)*1000000000)*INDEX(AC$108:AC$154,MATCH($B55&amp;Dashboard!$D$6,$F$108:$F$154,0))
*INDEX('DH calcs - old'!$B$66:$AK$101,MATCH(Dashboard!$D$5,'DH calcs - old'!$A$66:$A$101,0),MATCH(AC$3,'DH calcs - old'!$B$65:$AK$65,0))</f>
        <v>0</v>
      </c>
      <c r="AD55" s="155">
        <f>(SUM('2.2 Energy Systems inputs'!Y$26:Y$27)*1000000000)*INDEX(AD$108:AD$154,MATCH($B55&amp;Dashboard!$D$6,$F$108:$F$154,0))
*INDEX('DH calcs - old'!$B$66:$AK$101,MATCH(Dashboard!$D$5,'DH calcs - old'!$A$66:$A$101,0),MATCH(AD$3,'DH calcs - old'!$B$65:$AK$65,0))</f>
        <v>0</v>
      </c>
      <c r="AE55" s="155">
        <f>(SUM('2.2 Energy Systems inputs'!Z$26:Z$27)*1000000000)*INDEX(AE$108:AE$154,MATCH($B55&amp;Dashboard!$D$6,$F$108:$F$154,0))
*INDEX('DH calcs - old'!$B$66:$AK$101,MATCH(Dashboard!$D$5,'DH calcs - old'!$A$66:$A$101,0),MATCH(AE$3,'DH calcs - old'!$B$65:$AK$65,0))</f>
        <v>0</v>
      </c>
      <c r="AF55" s="155">
        <f>(SUM('2.2 Energy Systems inputs'!AA$26:AA$27)*1000000000)*INDEX(AF$108:AF$154,MATCH($B55&amp;Dashboard!$D$6,$F$108:$F$154,0))
*INDEX('DH calcs - old'!$B$66:$AK$101,MATCH(Dashboard!$D$5,'DH calcs - old'!$A$66:$A$101,0),MATCH(AF$3,'DH calcs - old'!$B$65:$AK$65,0))</f>
        <v>0</v>
      </c>
      <c r="AG55" s="155">
        <f>(SUM('2.2 Energy Systems inputs'!AB$26:AB$27)*1000000000)*INDEX(AG$108:AG$154,MATCH($B55&amp;Dashboard!$D$6,$F$108:$F$154,0))
*INDEX('DH calcs - old'!$B$66:$AK$101,MATCH(Dashboard!$D$5,'DH calcs - old'!$A$66:$A$101,0),MATCH(AG$3,'DH calcs - old'!$B$65:$AK$65,0))</f>
        <v>0</v>
      </c>
      <c r="AH55" s="155">
        <f>(SUM('2.2 Energy Systems inputs'!AC$26:AC$27)*1000000000)*INDEX(AH$108:AH$154,MATCH($B55&amp;Dashboard!$D$6,$F$108:$F$154,0))
*INDEX('DH calcs - old'!$B$66:$AK$101,MATCH(Dashboard!$D$5,'DH calcs - old'!$A$66:$A$101,0),MATCH(AH$3,'DH calcs - old'!$B$65:$AK$65,0))</f>
        <v>0</v>
      </c>
      <c r="AI55" s="155">
        <f>(SUM('2.2 Energy Systems inputs'!AD$26:AD$27)*1000000000)*INDEX(AI$108:AI$154,MATCH($B55&amp;Dashboard!$D$6,$F$108:$F$154,0))
*INDEX('DH calcs - old'!$B$66:$AK$101,MATCH(Dashboard!$D$5,'DH calcs - old'!$A$66:$A$101,0),MATCH(AI$3,'DH calcs - old'!$B$65:$AK$65,0))</f>
        <v>0</v>
      </c>
      <c r="AJ55" s="155">
        <f>(SUM('2.2 Energy Systems inputs'!AE$26:AE$27)*1000000000)*INDEX(AJ$108:AJ$154,MATCH($B55&amp;Dashboard!$D$6,$F$108:$F$154,0))
*INDEX('DH calcs - old'!$B$66:$AK$101,MATCH(Dashboard!$D$5,'DH calcs - old'!$A$66:$A$101,0),MATCH(AJ$3,'DH calcs - old'!$B$65:$AK$65,0))</f>
        <v>0</v>
      </c>
      <c r="AK55" s="155">
        <f>(SUM('2.2 Energy Systems inputs'!AF$26:AF$27)*1000000000)*INDEX(AK$108:AK$154,MATCH($B55&amp;Dashboard!$D$6,$F$108:$F$154,0))
*INDEX('DH calcs - old'!$B$66:$AK$101,MATCH(Dashboard!$D$5,'DH calcs - old'!$A$66:$A$101,0),MATCH(AK$3,'DH calcs - old'!$B$65:$AK$65,0))</f>
        <v>0</v>
      </c>
      <c r="AL55" s="155">
        <f>(SUM('2.2 Energy Systems inputs'!AG$26:AG$27)*1000000000)*INDEX(AL$108:AL$154,MATCH($B55&amp;Dashboard!$D$6,$F$108:$F$154,0))
*INDEX('DH calcs - old'!$B$66:$AK$101,MATCH(Dashboard!$D$5,'DH calcs - old'!$A$66:$A$101,0),MATCH(AL$3,'DH calcs - old'!$B$65:$AK$65,0))</f>
        <v>0</v>
      </c>
      <c r="AM55" s="155">
        <f>(SUM('2.2 Energy Systems inputs'!AH$26:AH$27)*1000000000)*INDEX(AM$108:AM$154,MATCH($B55&amp;Dashboard!$D$6,$F$108:$F$154,0))
*INDEX('DH calcs - old'!$B$66:$AK$101,MATCH(Dashboard!$D$5,'DH calcs - old'!$A$66:$A$101,0),MATCH(AM$3,'DH calcs - old'!$B$65:$AK$65,0))</f>
        <v>0</v>
      </c>
      <c r="AN55" s="155">
        <f>(SUM('2.2 Energy Systems inputs'!AI$26:AI$27)*1000000000)*INDEX(AN$108:AN$154,MATCH($B55&amp;Dashboard!$D$6,$F$108:$F$154,0))
*INDEX('DH calcs - old'!$B$66:$AK$101,MATCH(Dashboard!$D$5,'DH calcs - old'!$A$66:$A$101,0),MATCH(AN$3,'DH calcs - old'!$B$65:$AK$65,0))</f>
        <v>0</v>
      </c>
      <c r="AO55" s="155">
        <f>(SUM('2.2 Energy Systems inputs'!AJ$26:AJ$27)*1000000000)*INDEX(AO$108:AO$154,MATCH($B55&amp;Dashboard!$D$6,$F$108:$F$154,0))
*INDEX('DH calcs - old'!$B$66:$AK$101,MATCH(Dashboard!$D$5,'DH calcs - old'!$A$66:$A$101,0),MATCH(AO$3,'DH calcs - old'!$B$65:$AK$65,0))</f>
        <v>0</v>
      </c>
      <c r="AP55" s="155">
        <f>(SUM('2.2 Energy Systems inputs'!AK$26:AK$27)*1000000000)*INDEX(AP$108:AP$154,MATCH($B55&amp;Dashboard!$D$6,$F$108:$F$154,0))
*INDEX('DH calcs - old'!$B$66:$AK$101,MATCH(Dashboard!$D$5,'DH calcs - old'!$A$66:$A$101,0),MATCH(AP$3,'DH calcs - old'!$B$65:$AK$65,0))</f>
        <v>0</v>
      </c>
      <c r="AQ55" s="155">
        <f>(SUM('2.2 Energy Systems inputs'!AL$26:AL$27)*1000000000)*INDEX(AQ$108:AQ$154,MATCH($B55&amp;Dashboard!$D$6,$F$108:$F$154,0))
*INDEX('DH calcs - old'!$B$66:$AK$101,MATCH(Dashboard!$D$5,'DH calcs - old'!$A$66:$A$101,0),MATCH(AQ$3,'DH calcs - old'!$B$65:$AK$65,0))</f>
        <v>0</v>
      </c>
      <c r="AR55" s="155">
        <f>(SUM('2.2 Energy Systems inputs'!AM$26:AM$27)*1000000000)*INDEX(AR$108:AR$154,MATCH($B55&amp;Dashboard!$D$6,$F$108:$F$154,0))
*INDEX('DH calcs - old'!$B$66:$AK$101,MATCH(Dashboard!$D$5,'DH calcs - old'!$A$66:$A$101,0),MATCH(AR$3,'DH calcs - old'!$B$65:$AK$65,0))</f>
        <v>0</v>
      </c>
      <c r="AS55" s="155">
        <f>(SUM('2.2 Energy Systems inputs'!AN$26:AN$27)*1000000000)*INDEX(AS$108:AS$154,MATCH($B55&amp;Dashboard!$D$6,$F$108:$F$154,0))
*INDEX('DH calcs - old'!$B$66:$AK$101,MATCH(Dashboard!$D$5,'DH calcs - old'!$A$66:$A$101,0),MATCH(AS$3,'DH calcs - old'!$B$65:$AK$65,0))</f>
        <v>0</v>
      </c>
      <c r="AT55" s="155">
        <f>(SUM('2.2 Energy Systems inputs'!AO$26:AO$27)*1000000000)*INDEX(AT$108:AT$154,MATCH($B55&amp;Dashboard!$D$6,$F$108:$F$154,0))
*INDEX('DH calcs - old'!$B$66:$AK$101,MATCH(Dashboard!$D$5,'DH calcs - old'!$A$66:$A$101,0),MATCH(AT$3,'DH calcs - old'!$B$65:$AK$65,0))</f>
        <v>0</v>
      </c>
      <c r="AW55" s="159"/>
    </row>
    <row r="56" spans="1:49" ht="15" customHeight="1" thickTop="1">
      <c r="B56" s="35" t="s">
        <v>174</v>
      </c>
      <c r="C56" s="44"/>
      <c r="E56" s="44"/>
      <c r="G56" s="44"/>
      <c r="I56" s="44"/>
      <c r="K56" s="316">
        <f>SUM(K45:K55)</f>
        <v>384272733.79629683</v>
      </c>
      <c r="L56" s="316">
        <f t="shared" ref="L56:AS56" si="0">SUM(L45:L55)</f>
        <v>396380824.92267644</v>
      </c>
      <c r="M56" s="316">
        <f t="shared" si="0"/>
        <v>409609661.02952361</v>
      </c>
      <c r="N56" s="316">
        <f t="shared" si="0"/>
        <v>423894259.73526925</v>
      </c>
      <c r="O56" s="316">
        <f t="shared" si="0"/>
        <v>439169638.65834469</v>
      </c>
      <c r="P56" s="316">
        <f t="shared" si="0"/>
        <v>537283577.44604325</v>
      </c>
      <c r="Q56" s="316">
        <f t="shared" si="0"/>
        <v>612164651.76967835</v>
      </c>
      <c r="R56" s="316">
        <f t="shared" si="0"/>
        <v>692441706.64661813</v>
      </c>
      <c r="S56" s="316">
        <f t="shared" si="0"/>
        <v>768331594.1486969</v>
      </c>
      <c r="T56" s="316">
        <f t="shared" si="0"/>
        <v>839947974.87492144</v>
      </c>
      <c r="U56" s="316">
        <f t="shared" si="0"/>
        <v>907082750.84332538</v>
      </c>
      <c r="V56" s="316">
        <f t="shared" si="0"/>
        <v>978552297.04184282</v>
      </c>
      <c r="W56" s="316">
        <f t="shared" si="0"/>
        <v>1042183507.4210924</v>
      </c>
      <c r="X56" s="316">
        <f t="shared" si="0"/>
        <v>1098441253.9299772</v>
      </c>
      <c r="Y56" s="316">
        <f t="shared" si="0"/>
        <v>1147897429.2825124</v>
      </c>
      <c r="Z56" s="316">
        <f>SUM(Z45:Z55)</f>
        <v>1190977106.7091436</v>
      </c>
      <c r="AA56" s="316">
        <f t="shared" si="0"/>
        <v>1234634827.9464746</v>
      </c>
      <c r="AB56" s="316">
        <f t="shared" si="0"/>
        <v>1271713944.2281682</v>
      </c>
      <c r="AC56" s="316">
        <f t="shared" si="0"/>
        <v>1303157896.3091056</v>
      </c>
      <c r="AD56" s="316">
        <f t="shared" si="0"/>
        <v>1325799487.99528</v>
      </c>
      <c r="AE56" s="316">
        <f t="shared" si="0"/>
        <v>1342593197.4686601</v>
      </c>
      <c r="AF56" s="316">
        <f t="shared" si="0"/>
        <v>1355151523.0529363</v>
      </c>
      <c r="AG56" s="316">
        <f t="shared" si="0"/>
        <v>1362737398.5137453</v>
      </c>
      <c r="AH56" s="316">
        <f t="shared" si="0"/>
        <v>1365482391.5486803</v>
      </c>
      <c r="AI56" s="316">
        <f t="shared" si="0"/>
        <v>1364615364.1871662</v>
      </c>
      <c r="AJ56" s="316">
        <f t="shared" si="0"/>
        <v>1359381619.7146966</v>
      </c>
      <c r="AK56" s="316">
        <f t="shared" si="0"/>
        <v>1372275091.4188538</v>
      </c>
      <c r="AL56" s="316">
        <f t="shared" si="0"/>
        <v>1381487912.3596611</v>
      </c>
      <c r="AM56" s="316">
        <f t="shared" si="0"/>
        <v>1387021443.7681372</v>
      </c>
      <c r="AN56" s="316">
        <f t="shared" si="0"/>
        <v>1388876931.2345695</v>
      </c>
      <c r="AO56" s="316">
        <f t="shared" si="0"/>
        <v>1387055003.9643295</v>
      </c>
      <c r="AP56" s="316">
        <f t="shared" si="0"/>
        <v>1347230383.2563918</v>
      </c>
      <c r="AQ56" s="316">
        <f t="shared" si="0"/>
        <v>1306433496.0223615</v>
      </c>
      <c r="AR56" s="316">
        <f t="shared" si="0"/>
        <v>1264659633.2468801</v>
      </c>
      <c r="AS56" s="316">
        <f t="shared" si="0"/>
        <v>1221904122.7930791</v>
      </c>
      <c r="AT56" s="316">
        <f>SUM(AT45:AT55)</f>
        <v>1178162324.1246085</v>
      </c>
    </row>
    <row r="57" spans="1:49">
      <c r="B57" s="35" t="s">
        <v>1305</v>
      </c>
      <c r="C57" s="44"/>
      <c r="E57" s="44"/>
      <c r="G57" s="44" t="s">
        <v>1306</v>
      </c>
      <c r="I57" s="44"/>
      <c r="K57" s="555">
        <f>('2.2 Energy Systems inputs'!F26*10^9*K56)/(SUM('2.2 Energy Systems inputs'!F26:F27)*10^9)</f>
        <v>155182380.82264066</v>
      </c>
      <c r="L57" s="474">
        <f>('2.2 Energy Systems inputs'!G26*10^9*L56)/(SUM('2.2 Energy Systems inputs'!G26:G27)*10^9)</f>
        <v>162007672.64679706</v>
      </c>
      <c r="M57" s="474">
        <f>('2.2 Energy Systems inputs'!H26*10^9*M56)/(SUM('2.2 Energy Systems inputs'!H26:H27)*10^9)</f>
        <v>169833746.88798845</v>
      </c>
      <c r="N57" s="474">
        <f>('2.2 Energy Systems inputs'!I26*10^9*N56)/(SUM('2.2 Energy Systems inputs'!I26:I27)*10^9)</f>
        <v>178609747.59565207</v>
      </c>
      <c r="O57" s="474">
        <f>('2.2 Energy Systems inputs'!J26*10^9*O56)/(SUM('2.2 Energy Systems inputs'!J26:J27)*10^9)</f>
        <v>188284818.81922549</v>
      </c>
      <c r="P57" s="474">
        <f>('2.2 Energy Systems inputs'!K26*10^9*P56)/(SUM('2.2 Energy Systems inputs'!K26:K27)*10^9)</f>
        <v>240861261.67800209</v>
      </c>
      <c r="Q57" s="474">
        <f>('2.2 Energy Systems inputs'!L26*10^9*Q56)/(SUM('2.2 Energy Systems inputs'!L26:L27)*10^9)</f>
        <v>284659087.32849151</v>
      </c>
      <c r="R57" s="474">
        <f>('2.2 Energy Systems inputs'!M26*10^9*R56)/(SUM('2.2 Energy Systems inputs'!M26:M27)*10^9)</f>
        <v>335083279.69266254</v>
      </c>
      <c r="S57" s="474">
        <f>('2.2 Energy Systems inputs'!N26*10^9*S56)/(SUM('2.2 Energy Systems inputs'!N26:N27)*10^9)</f>
        <v>384711272.13675493</v>
      </c>
      <c r="T57" s="474">
        <f>('2.2 Energy Systems inputs'!O26*10^9*T56)/(SUM('2.2 Energy Systems inputs'!O26:O27)*10^9)</f>
        <v>433533532.856552</v>
      </c>
      <c r="U57" s="474">
        <f>('2.2 Energy Systems inputs'!P26*10^9*U56)/(SUM('2.2 Energy Systems inputs'!P26:P27)*10^9)</f>
        <v>481555669.0313285</v>
      </c>
      <c r="V57" s="474">
        <f>('2.2 Energy Systems inputs'!Q26*10^9*V56)/(SUM('2.2 Energy Systems inputs'!Q26:Q27)*10^9)</f>
        <v>531324734.6888442</v>
      </c>
      <c r="W57" s="474">
        <f>('2.2 Energy Systems inputs'!R26*10^9*W56)/(SUM('2.2 Energy Systems inputs'!R26:R27)*10^9)</f>
        <v>578197147.88553989</v>
      </c>
      <c r="X57" s="474">
        <f>('2.2 Energy Systems inputs'!S26*10^9*X56)/(SUM('2.2 Energy Systems inputs'!S26:S27)*10^9)</f>
        <v>622304897.26823449</v>
      </c>
      <c r="Y57" s="474">
        <f>('2.2 Energy Systems inputs'!T26*10^9*Y56)/(SUM('2.2 Energy Systems inputs'!T26:T27)*10^9)</f>
        <v>663875432.60926068</v>
      </c>
      <c r="Z57" s="474">
        <f>('2.2 Energy Systems inputs'!U26*10^9*Z56)/(SUM('2.2 Energy Systems inputs'!U26:U27)*10^9)</f>
        <v>703043953.69618583</v>
      </c>
      <c r="AA57" s="474">
        <f>('2.2 Energy Systems inputs'!V26*10^9*AA56)/(SUM('2.2 Energy Systems inputs'!V26:V27)*10^9)</f>
        <v>731339830.77829587</v>
      </c>
      <c r="AB57" s="474">
        <f>('2.2 Energy Systems inputs'!W26*10^9*AB56)/(SUM('2.2 Energy Systems inputs'!W26:W27)*10^9)</f>
        <v>755865519.97167897</v>
      </c>
      <c r="AC57" s="474">
        <f>('2.2 Energy Systems inputs'!X26*10^9*AC56)/(SUM('2.2 Energy Systems inputs'!X26:X27)*10^9)</f>
        <v>777502887.03247035</v>
      </c>
      <c r="AD57" s="474">
        <f>('2.2 Energy Systems inputs'!Y26*10^9*AD56)/(SUM('2.2 Energy Systems inputs'!Y26:Y27)*10^9)</f>
        <v>793023352.34695649</v>
      </c>
      <c r="AE57" s="474">
        <f>('2.2 Energy Systems inputs'!Z26*10^9*AE56)/(SUM('2.2 Energy Systems inputs'!Z26:Z27)*10^9)</f>
        <v>805714498.44848359</v>
      </c>
      <c r="AF57" s="474">
        <f>('2.2 Energy Systems inputs'!AA26*10^9*AF56)/(SUM('2.2 Energy Systems inputs'!AA26:AA27)*10^9)</f>
        <v>816556617.45504594</v>
      </c>
      <c r="AG57" s="474">
        <f>('2.2 Energy Systems inputs'!AB26*10^9*AG56)/(SUM('2.2 Energy Systems inputs'!AB26:AB27)*10^9)</f>
        <v>824697131.60673046</v>
      </c>
      <c r="AH57" s="474">
        <f>('2.2 Energy Systems inputs'!AC26*10^9*AH56)/(SUM('2.2 Energy Systems inputs'!AC26:AC27)*10^9)</f>
        <v>830141587.25317538</v>
      </c>
      <c r="AI57" s="474">
        <f>('2.2 Energy Systems inputs'!AD26*10^9*AI56)/(SUM('2.2 Energy Systems inputs'!AD26:AD27)*10^9)</f>
        <v>833998415.9826349</v>
      </c>
      <c r="AJ57" s="474">
        <f>('2.2 Energy Systems inputs'!AE26*10^9*AJ56)/(SUM('2.2 Energy Systems inputs'!AE26:AE27)*10^9)</f>
        <v>835392975.62226868</v>
      </c>
      <c r="AK57" s="474">
        <f>('2.2 Energy Systems inputs'!AF26*10^9*AK56)/(SUM('2.2 Energy Systems inputs'!AF26:AF27)*10^9)</f>
        <v>841938902.12770844</v>
      </c>
      <c r="AL57" s="474">
        <f>('2.2 Energy Systems inputs'!AG26*10^9*AL56)/(SUM('2.2 Energy Systems inputs'!AG26:AG27)*10^9)</f>
        <v>846307503.62157416</v>
      </c>
      <c r="AM57" s="474">
        <f>('2.2 Energy Systems inputs'!AH26*10^9*AM56)/(SUM('2.2 Energy Systems inputs'!AH26:AH27)*10^9)</f>
        <v>848501384.20802128</v>
      </c>
      <c r="AN57" s="474">
        <f>('2.2 Energy Systems inputs'!AI26*10^9*AN56)/(SUM('2.2 Energy Systems inputs'!AI26:AI27)*10^9)</f>
        <v>848523083.87220478</v>
      </c>
      <c r="AO57" s="474">
        <f>('2.2 Energy Systems inputs'!AJ26*10^9*AO56)/(SUM('2.2 Energy Systems inputs'!AJ26:AJ27)*10^9)</f>
        <v>846374576.07186162</v>
      </c>
      <c r="AP57" s="474">
        <f>('2.2 Energy Systems inputs'!AK26*10^9*AP56)/(SUM('2.2 Energy Systems inputs'!AK26:AK27)*10^9)</f>
        <v>821727048.92367244</v>
      </c>
      <c r="AQ57" s="474">
        <f>('2.2 Energy Systems inputs'!AL26*10^9*AQ56)/(SUM('2.2 Energy Systems inputs'!AL26:AL27)*10^9)</f>
        <v>796524421.3514818</v>
      </c>
      <c r="AR57" s="474">
        <f>('2.2 Energy Systems inputs'!AM26*10^9*AR56)/(SUM('2.2 Energy Systems inputs'!AM26:AM27)*10^9)</f>
        <v>770762498.19991505</v>
      </c>
      <c r="AS57" s="474">
        <f>('2.2 Energy Systems inputs'!AN26*10^9*AS56)/(SUM('2.2 Energy Systems inputs'!AN26:AN27)*10^9)</f>
        <v>744437100.60843217</v>
      </c>
      <c r="AT57" s="474">
        <f>('2.2 Energy Systems inputs'!AO26*10^9*AT56)/(SUM('2.2 Energy Systems inputs'!AO26:AO27)*10^9)</f>
        <v>717544063.83856654</v>
      </c>
    </row>
    <row r="58" spans="1:49">
      <c r="B58" s="35" t="s">
        <v>1307</v>
      </c>
      <c r="C58" s="44"/>
      <c r="E58" s="44"/>
      <c r="G58" s="44"/>
      <c r="I58" s="44"/>
      <c r="K58" s="555">
        <f>('2.2 Energy Systems inputs'!F27*10^9*K56)/(SUM('2.2 Energy Systems inputs'!F26:F27)*10^9)</f>
        <v>229090352.97365615</v>
      </c>
      <c r="L58" s="474">
        <f>('2.2 Energy Systems inputs'!G27*10^9*L56)/(SUM('2.2 Energy Systems inputs'!G26:G27)*10^9)</f>
        <v>234373152.27587941</v>
      </c>
      <c r="M58" s="474">
        <f>('2.2 Energy Systems inputs'!H27*10^9*M56)/(SUM('2.2 Energy Systems inputs'!H26:H27)*10^9)</f>
        <v>239775914.14153516</v>
      </c>
      <c r="N58" s="474">
        <f>('2.2 Energy Systems inputs'!I27*10^9*N56)/(SUM('2.2 Energy Systems inputs'!I26:I27)*10^9)</f>
        <v>245284512.1396172</v>
      </c>
      <c r="O58" s="474">
        <f>('2.2 Energy Systems inputs'!J27*10^9*O56)/(SUM('2.2 Energy Systems inputs'!J26:J27)*10^9)</f>
        <v>250884819.83911917</v>
      </c>
      <c r="P58" s="474">
        <f>('2.2 Energy Systems inputs'!K27*10^9*P56)/(SUM('2.2 Energy Systems inputs'!K26:K27)*10^9)</f>
        <v>296422315.76804119</v>
      </c>
      <c r="Q58" s="474">
        <f>('2.2 Energy Systems inputs'!L27*10^9*Q56)/(SUM('2.2 Energy Systems inputs'!L26:L27)*10^9)</f>
        <v>327505564.44118696</v>
      </c>
      <c r="R58" s="474">
        <f>('2.2 Energy Systems inputs'!M27*10^9*R56)/(SUM('2.2 Energy Systems inputs'!M26:M27)*10^9)</f>
        <v>357358426.95395553</v>
      </c>
      <c r="S58" s="474">
        <f>('2.2 Energy Systems inputs'!N27*10^9*S56)/(SUM('2.2 Energy Systems inputs'!N26:N27)*10^9)</f>
        <v>383620322.01194203</v>
      </c>
      <c r="T58" s="474">
        <f>('2.2 Energy Systems inputs'!O27*10^9*T56)/(SUM('2.2 Energy Systems inputs'!O26:O27)*10^9)</f>
        <v>406414442.0183695</v>
      </c>
      <c r="U58" s="474">
        <f>('2.2 Energy Systems inputs'!P27*10^9*U56)/(SUM('2.2 Energy Systems inputs'!P26:P27)*10^9)</f>
        <v>425527081.81199682</v>
      </c>
      <c r="V58" s="474">
        <f>('2.2 Energy Systems inputs'!Q27*10^9*V56)/(SUM('2.2 Energy Systems inputs'!Q26:Q27)*10^9)</f>
        <v>447227562.35299867</v>
      </c>
      <c r="W58" s="474">
        <f>('2.2 Energy Systems inputs'!R27*10^9*W56)/(SUM('2.2 Energy Systems inputs'!R26:R27)*10^9)</f>
        <v>463986359.53555244</v>
      </c>
      <c r="X58" s="474">
        <f>('2.2 Energy Systems inputs'!S27*10^9*X56)/(SUM('2.2 Energy Systems inputs'!S26:S27)*10^9)</f>
        <v>476136356.66174281</v>
      </c>
      <c r="Y58" s="474">
        <f>('2.2 Energy Systems inputs'!T27*10^9*Y56)/(SUM('2.2 Energy Systems inputs'!T26:T27)*10^9)</f>
        <v>484021996.67325175</v>
      </c>
      <c r="Z58" s="474">
        <f>('2.2 Energy Systems inputs'!U27*10^9*Z56)/(SUM('2.2 Energy Systems inputs'!U26:U27)*10^9)</f>
        <v>487933153.01295787</v>
      </c>
      <c r="AA58" s="474">
        <f>('2.2 Energy Systems inputs'!V27*10^9*AA56)/(SUM('2.2 Energy Systems inputs'!V26:V27)*10^9)</f>
        <v>503294997.16817862</v>
      </c>
      <c r="AB58" s="474">
        <f>('2.2 Energy Systems inputs'!W27*10^9*AB56)/(SUM('2.2 Energy Systems inputs'!W26:W27)*10^9)</f>
        <v>515848424.25648922</v>
      </c>
      <c r="AC58" s="474">
        <f>('2.2 Energy Systems inputs'!X27*10^9*AC56)/(SUM('2.2 Energy Systems inputs'!X26:X27)*10^9)</f>
        <v>525655009.27663523</v>
      </c>
      <c r="AD58" s="474">
        <f>('2.2 Energy Systems inputs'!Y27*10^9*AD56)/(SUM('2.2 Energy Systems inputs'!Y26:Y27)*10^9)</f>
        <v>532776135.64832348</v>
      </c>
      <c r="AE58" s="474">
        <f>('2.2 Energy Systems inputs'!Z27*10^9*AE56)/(SUM('2.2 Energy Systems inputs'!Z26:Z27)*10^9)</f>
        <v>536878699.02017665</v>
      </c>
      <c r="AF58" s="474">
        <f>('2.2 Energy Systems inputs'!AA27*10^9*AF56)/(SUM('2.2 Energy Systems inputs'!AA26:AA27)*10^9)</f>
        <v>538594905.59789026</v>
      </c>
      <c r="AG58" s="474">
        <f>('2.2 Energy Systems inputs'!AB27*10^9*AG56)/(SUM('2.2 Energy Systems inputs'!AB26:AB27)*10^9)</f>
        <v>538040266.90701509</v>
      </c>
      <c r="AH58" s="474">
        <f>('2.2 Energy Systems inputs'!AC27*10^9*AH56)/(SUM('2.2 Energy Systems inputs'!AC26:AC27)*10^9)</f>
        <v>535340804.29550475</v>
      </c>
      <c r="AI58" s="474">
        <f>('2.2 Energy Systems inputs'!AD27*10^9*AI56)/(SUM('2.2 Energy Systems inputs'!AD26:AD27)*10^9)</f>
        <v>530616948.20453119</v>
      </c>
      <c r="AJ58" s="474">
        <f>('2.2 Energy Systems inputs'!AE27*10^9*AJ56)/(SUM('2.2 Energy Systems inputs'!AE26:AE27)*10^9)</f>
        <v>523988644.09242785</v>
      </c>
      <c r="AK58" s="474">
        <f>('2.2 Energy Systems inputs'!AF27*10^9*AK56)/(SUM('2.2 Energy Systems inputs'!AF26:AF27)*10^9)</f>
        <v>530336189.29114515</v>
      </c>
      <c r="AL58" s="474">
        <f>('2.2 Energy Systems inputs'!AG27*10^9*AL56)/(SUM('2.2 Energy Systems inputs'!AG26:AG27)*10^9)</f>
        <v>535180408.73808676</v>
      </c>
      <c r="AM58" s="474">
        <f>('2.2 Energy Systems inputs'!AH27*10^9*AM56)/(SUM('2.2 Energy Systems inputs'!AH26:AH27)*10^9)</f>
        <v>538520059.56011617</v>
      </c>
      <c r="AN58" s="474">
        <f>('2.2 Energy Systems inputs'!AI27*10^9*AN56)/(SUM('2.2 Energy Systems inputs'!AI26:AI27)*10^9)</f>
        <v>540353847.36236465</v>
      </c>
      <c r="AO58" s="474">
        <f>('2.2 Energy Systems inputs'!AJ27*10^9*AO56)/(SUM('2.2 Energy Systems inputs'!AJ26:AJ27)*10^9)</f>
        <v>540680427.89246786</v>
      </c>
      <c r="AP58" s="474">
        <f>('2.2 Energy Systems inputs'!AK27*10^9*AP56)/(SUM('2.2 Energy Systems inputs'!AK26:AK27)*10^9)</f>
        <v>525503334.33271933</v>
      </c>
      <c r="AQ58" s="474">
        <f>('2.2 Energy Systems inputs'!AL27*10^9*AQ56)/(SUM('2.2 Energy Systems inputs'!AL26:AL27)*10^9)</f>
        <v>509909074.6708799</v>
      </c>
      <c r="AR58" s="474">
        <f>('2.2 Energy Systems inputs'!AM27*10^9*AR56)/(SUM('2.2 Energy Systems inputs'!AM26:AM27)*10^9)</f>
        <v>493897135.04696506</v>
      </c>
      <c r="AS58" s="474">
        <f>('2.2 Energy Systems inputs'!AN27*10^9*AS56)/(SUM('2.2 Energy Systems inputs'!AN26:AN27)*10^9)</f>
        <v>477467022.1846469</v>
      </c>
      <c r="AT58" s="474">
        <f>('2.2 Energy Systems inputs'!AO27*10^9*AT56)/(SUM('2.2 Energy Systems inputs'!AO26:AO27)*10^9)</f>
        <v>460618260.28604203</v>
      </c>
    </row>
    <row r="59" spans="1:49" s="60" customFormat="1">
      <c r="A59" s="168"/>
      <c r="K59" s="380"/>
      <c r="L59" s="174"/>
      <c r="M59" s="174"/>
      <c r="N59" s="174"/>
      <c r="O59" s="174"/>
      <c r="P59" s="174"/>
      <c r="Q59" s="174"/>
      <c r="R59" s="174"/>
      <c r="S59" s="174"/>
      <c r="T59" s="174"/>
      <c r="U59" s="470"/>
    </row>
    <row r="60" spans="1:49" s="60" customFormat="1">
      <c r="A60" s="42" t="s">
        <v>1308</v>
      </c>
      <c r="B60" s="177"/>
      <c r="C60" s="177"/>
      <c r="D60" s="177"/>
      <c r="E60" s="177"/>
      <c r="F60" s="177"/>
      <c r="G60" s="177"/>
      <c r="H60" s="177"/>
      <c r="I60" s="177"/>
      <c r="J60" s="177"/>
      <c r="K60" s="177"/>
      <c r="L60" s="177"/>
      <c r="M60" s="177"/>
      <c r="N60" s="177"/>
      <c r="O60" s="177"/>
      <c r="P60" s="177"/>
      <c r="Q60" s="177"/>
      <c r="R60" s="177"/>
      <c r="S60" s="177"/>
      <c r="T60" s="177"/>
      <c r="U60" s="177"/>
      <c r="V60" s="177"/>
      <c r="W60" s="177"/>
      <c r="X60" s="177"/>
      <c r="Y60" s="177"/>
      <c r="Z60" s="177"/>
      <c r="AA60" s="177"/>
      <c r="AB60" s="177"/>
      <c r="AC60" s="177"/>
      <c r="AD60" s="177"/>
      <c r="AE60" s="177"/>
      <c r="AF60" s="177"/>
      <c r="AG60" s="177"/>
      <c r="AH60" s="177"/>
      <c r="AI60" s="177"/>
      <c r="AJ60" s="177"/>
      <c r="AK60" s="177"/>
      <c r="AL60" s="177"/>
      <c r="AM60" s="177"/>
      <c r="AN60" s="177"/>
      <c r="AO60" s="177"/>
      <c r="AP60" s="177"/>
      <c r="AQ60" s="177"/>
      <c r="AR60" s="177"/>
      <c r="AS60" s="177"/>
      <c r="AT60" s="177"/>
    </row>
    <row r="61" spans="1:49" s="60" customFormat="1">
      <c r="A61" s="168"/>
    </row>
    <row r="62" spans="1:49" s="38" customFormat="1" ht="17.25" customHeight="1">
      <c r="B62" s="60" t="s">
        <v>1309</v>
      </c>
      <c r="C62" s="44" t="s">
        <v>1297</v>
      </c>
      <c r="D62" s="38" t="s">
        <v>693</v>
      </c>
      <c r="E62" s="98" t="s">
        <v>1310</v>
      </c>
      <c r="F62" s="38" t="s">
        <v>693</v>
      </c>
      <c r="G62" s="98" t="s">
        <v>1311</v>
      </c>
      <c r="H62" s="38" t="s">
        <v>693</v>
      </c>
      <c r="I62" s="98" t="s">
        <v>56</v>
      </c>
      <c r="K62" s="115">
        <f>(K45/K14)*(1+K7)</f>
        <v>0</v>
      </c>
      <c r="L62" s="115">
        <f t="shared" ref="L62:AT62" si="1">(L45/L14)*(1+L7)</f>
        <v>0</v>
      </c>
      <c r="M62" s="115">
        <f t="shared" si="1"/>
        <v>0</v>
      </c>
      <c r="N62" s="115">
        <f t="shared" si="1"/>
        <v>0</v>
      </c>
      <c r="O62" s="115">
        <f t="shared" si="1"/>
        <v>0</v>
      </c>
      <c r="P62" s="115">
        <f t="shared" si="1"/>
        <v>0</v>
      </c>
      <c r="Q62" s="115">
        <f t="shared" si="1"/>
        <v>2801885.9407031755</v>
      </c>
      <c r="R62" s="115">
        <f t="shared" si="1"/>
        <v>5522763.9764576545</v>
      </c>
      <c r="S62" s="115">
        <f t="shared" si="1"/>
        <v>8162634.1072634365</v>
      </c>
      <c r="T62" s="115">
        <f t="shared" si="1"/>
        <v>10721496.333120519</v>
      </c>
      <c r="U62" s="115">
        <f t="shared" si="1"/>
        <v>13199350.654028893</v>
      </c>
      <c r="V62" s="115">
        <f t="shared" si="1"/>
        <v>15567064.113431549</v>
      </c>
      <c r="W62" s="115">
        <f t="shared" si="1"/>
        <v>17817816.414745018</v>
      </c>
      <c r="X62" s="115">
        <f t="shared" si="1"/>
        <v>19951607.557969317</v>
      </c>
      <c r="Y62" s="115">
        <f t="shared" si="1"/>
        <v>21968437.543104444</v>
      </c>
      <c r="Z62" s="115">
        <f t="shared" si="1"/>
        <v>23868306.370150402</v>
      </c>
      <c r="AA62" s="115">
        <f t="shared" si="1"/>
        <v>25651214.039107192</v>
      </c>
      <c r="AB62" s="115">
        <f t="shared" si="1"/>
        <v>27317160.54997481</v>
      </c>
      <c r="AC62" s="115">
        <f t="shared" si="1"/>
        <v>28866145.902753256</v>
      </c>
      <c r="AD62" s="115">
        <f t="shared" si="1"/>
        <v>30298170.097442523</v>
      </c>
      <c r="AE62" s="115">
        <f t="shared" si="1"/>
        <v>31613233.134042636</v>
      </c>
      <c r="AF62" s="115">
        <f t="shared" si="1"/>
        <v>32811335.012553565</v>
      </c>
      <c r="AG62" s="115">
        <f t="shared" si="1"/>
        <v>33892475.732975319</v>
      </c>
      <c r="AH62" s="115">
        <f t="shared" si="1"/>
        <v>34856655.295307934</v>
      </c>
      <c r="AI62" s="115">
        <f t="shared" si="1"/>
        <v>35703873.699551359</v>
      </c>
      <c r="AJ62" s="115">
        <f t="shared" si="1"/>
        <v>36434130.9457056</v>
      </c>
      <c r="AK62" s="115">
        <f t="shared" si="1"/>
        <v>37047427.03377068</v>
      </c>
      <c r="AL62" s="115">
        <f t="shared" si="1"/>
        <v>37543761.9637466</v>
      </c>
      <c r="AM62" s="115">
        <f t="shared" si="1"/>
        <v>37923135.735633351</v>
      </c>
      <c r="AN62" s="115">
        <f t="shared" si="1"/>
        <v>38185548.349430926</v>
      </c>
      <c r="AO62" s="115">
        <f t="shared" si="1"/>
        <v>38330999.805139326</v>
      </c>
      <c r="AP62" s="115">
        <f t="shared" si="1"/>
        <v>38359490.102758557</v>
      </c>
      <c r="AQ62" s="115">
        <f t="shared" si="1"/>
        <v>37191763.615402021</v>
      </c>
      <c r="AR62" s="115">
        <f t="shared" si="1"/>
        <v>35995698.959319487</v>
      </c>
      <c r="AS62" s="115">
        <f t="shared" si="1"/>
        <v>34771296.134510942</v>
      </c>
      <c r="AT62" s="115">
        <f t="shared" si="1"/>
        <v>33518555.140976418</v>
      </c>
    </row>
    <row r="63" spans="1:49" s="38" customFormat="1" ht="18">
      <c r="B63" s="60" t="s">
        <v>1312</v>
      </c>
      <c r="C63" s="44" t="s">
        <v>1297</v>
      </c>
      <c r="D63" s="38" t="s">
        <v>693</v>
      </c>
      <c r="E63" s="98" t="s">
        <v>1300</v>
      </c>
      <c r="F63" s="38" t="s">
        <v>693</v>
      </c>
      <c r="G63" s="98" t="s">
        <v>1301</v>
      </c>
      <c r="H63" s="38" t="s">
        <v>693</v>
      </c>
      <c r="I63" s="98" t="s">
        <v>56</v>
      </c>
      <c r="K63" s="115">
        <f>(K47/K15)*(1+K8)</f>
        <v>596458112.8925128</v>
      </c>
      <c r="L63" s="115">
        <f t="shared" ref="L63:AT63" si="2">(L47/L15)*(1+L8)</f>
        <v>615251976.07563245</v>
      </c>
      <c r="M63" s="115">
        <f t="shared" si="2"/>
        <v>635785430.38060832</v>
      </c>
      <c r="N63" s="115">
        <f t="shared" si="2"/>
        <v>657957611.84996128</v>
      </c>
      <c r="O63" s="115">
        <f t="shared" si="2"/>
        <v>681667656.52621317</v>
      </c>
      <c r="P63" s="115">
        <f t="shared" si="2"/>
        <v>833957552.81842363</v>
      </c>
      <c r="Q63" s="115">
        <f t="shared" si="2"/>
        <v>898412023.62515938</v>
      </c>
      <c r="R63" s="115">
        <f t="shared" si="2"/>
        <v>972738879.88216364</v>
      </c>
      <c r="S63" s="115">
        <f t="shared" si="2"/>
        <v>1041752974.5878921</v>
      </c>
      <c r="T63" s="115">
        <f t="shared" si="2"/>
        <v>1105630728.7590642</v>
      </c>
      <c r="U63" s="115">
        <f t="shared" si="2"/>
        <v>1164049138.1367135</v>
      </c>
      <c r="V63" s="115">
        <f t="shared" si="2"/>
        <v>1138938119.4414926</v>
      </c>
      <c r="W63" s="115">
        <f t="shared" si="2"/>
        <v>1113827100.7462707</v>
      </c>
      <c r="X63" s="115">
        <f t="shared" si="2"/>
        <v>1088716082.051048</v>
      </c>
      <c r="Y63" s="115">
        <f t="shared" si="2"/>
        <v>1063605063.3558261</v>
      </c>
      <c r="Z63" s="115">
        <f t="shared" si="2"/>
        <v>1038494044.6606038</v>
      </c>
      <c r="AA63" s="115">
        <f t="shared" si="2"/>
        <v>1013383025.9653816</v>
      </c>
      <c r="AB63" s="115">
        <f t="shared" si="2"/>
        <v>984350599.31938088</v>
      </c>
      <c r="AC63" s="115">
        <f t="shared" si="2"/>
        <v>898610849.13336456</v>
      </c>
      <c r="AD63" s="115">
        <f t="shared" si="2"/>
        <v>808492586.50969291</v>
      </c>
      <c r="AE63" s="115">
        <f t="shared" si="2"/>
        <v>718836643.84198749</v>
      </c>
      <c r="AF63" s="115">
        <f t="shared" si="2"/>
        <v>632035521.20378804</v>
      </c>
      <c r="AG63" s="115">
        <f t="shared" si="2"/>
        <v>547804599.50253367</v>
      </c>
      <c r="AH63" s="115">
        <f t="shared" si="2"/>
        <v>466819408.85553521</v>
      </c>
      <c r="AI63" s="115">
        <f t="shared" si="2"/>
        <v>390449571.73420507</v>
      </c>
      <c r="AJ63" s="115">
        <f t="shared" si="2"/>
        <v>318433298.1622591</v>
      </c>
      <c r="AK63" s="115">
        <f t="shared" si="2"/>
        <v>262078502.36505508</v>
      </c>
      <c r="AL63" s="115">
        <f t="shared" si="2"/>
        <v>206773449.80174926</v>
      </c>
      <c r="AM63" s="115">
        <f t="shared" si="2"/>
        <v>152716003.04058102</v>
      </c>
      <c r="AN63" s="115">
        <f t="shared" si="2"/>
        <v>100103473.99615379</v>
      </c>
      <c r="AO63" s="115">
        <f t="shared" si="2"/>
        <v>49132631.443847291</v>
      </c>
      <c r="AP63" s="115">
        <f t="shared" si="2"/>
        <v>0</v>
      </c>
      <c r="AQ63" s="115">
        <f t="shared" si="2"/>
        <v>0</v>
      </c>
      <c r="AR63" s="115">
        <f t="shared" si="2"/>
        <v>0</v>
      </c>
      <c r="AS63" s="115">
        <f t="shared" si="2"/>
        <v>0</v>
      </c>
      <c r="AT63" s="115">
        <f t="shared" si="2"/>
        <v>0</v>
      </c>
    </row>
    <row r="64" spans="1:49" s="38" customFormat="1" ht="18">
      <c r="B64" s="60" t="s">
        <v>1313</v>
      </c>
      <c r="C64" s="44" t="s">
        <v>1297</v>
      </c>
      <c r="D64" s="38" t="s">
        <v>693</v>
      </c>
      <c r="E64" s="98" t="s">
        <v>1310</v>
      </c>
      <c r="F64" s="38" t="s">
        <v>693</v>
      </c>
      <c r="G64" s="98"/>
      <c r="H64" s="38" t="s">
        <v>693</v>
      </c>
      <c r="I64" s="98" t="s">
        <v>56</v>
      </c>
      <c r="K64" s="115">
        <f>(K48/K17)*(1+K7+K8)</f>
        <v>0</v>
      </c>
      <c r="L64" s="115">
        <f t="shared" ref="L64:AT64" si="3">(L48/L17)*(1+L7+L8)</f>
        <v>0</v>
      </c>
      <c r="M64" s="115">
        <f t="shared" si="3"/>
        <v>0</v>
      </c>
      <c r="N64" s="115">
        <f t="shared" si="3"/>
        <v>0</v>
      </c>
      <c r="O64" s="115">
        <f t="shared" si="3"/>
        <v>0</v>
      </c>
      <c r="P64" s="115">
        <f t="shared" si="3"/>
        <v>0</v>
      </c>
      <c r="Q64" s="115">
        <f t="shared" si="3"/>
        <v>0</v>
      </c>
      <c r="R64" s="115">
        <f t="shared" si="3"/>
        <v>0</v>
      </c>
      <c r="S64" s="115">
        <f t="shared" si="3"/>
        <v>0</v>
      </c>
      <c r="T64" s="115">
        <f t="shared" si="3"/>
        <v>0</v>
      </c>
      <c r="U64" s="115">
        <f t="shared" si="3"/>
        <v>0</v>
      </c>
      <c r="V64" s="115">
        <f t="shared" si="3"/>
        <v>0</v>
      </c>
      <c r="W64" s="115">
        <f t="shared" si="3"/>
        <v>0</v>
      </c>
      <c r="X64" s="115">
        <f t="shared" si="3"/>
        <v>0</v>
      </c>
      <c r="Y64" s="115">
        <f t="shared" si="3"/>
        <v>0</v>
      </c>
      <c r="Z64" s="115">
        <f t="shared" si="3"/>
        <v>0</v>
      </c>
      <c r="AA64" s="115">
        <f t="shared" si="3"/>
        <v>0</v>
      </c>
      <c r="AB64" s="115">
        <f t="shared" si="3"/>
        <v>0</v>
      </c>
      <c r="AC64" s="115">
        <f t="shared" si="3"/>
        <v>0</v>
      </c>
      <c r="AD64" s="115">
        <f t="shared" si="3"/>
        <v>0</v>
      </c>
      <c r="AE64" s="115">
        <f t="shared" si="3"/>
        <v>0</v>
      </c>
      <c r="AF64" s="115">
        <f t="shared" si="3"/>
        <v>0</v>
      </c>
      <c r="AG64" s="115">
        <f t="shared" si="3"/>
        <v>0</v>
      </c>
      <c r="AH64" s="115">
        <f t="shared" si="3"/>
        <v>0</v>
      </c>
      <c r="AI64" s="115">
        <f t="shared" si="3"/>
        <v>0</v>
      </c>
      <c r="AJ64" s="115">
        <f t="shared" si="3"/>
        <v>0</v>
      </c>
      <c r="AK64" s="115">
        <f t="shared" si="3"/>
        <v>0</v>
      </c>
      <c r="AL64" s="115">
        <f t="shared" si="3"/>
        <v>0</v>
      </c>
      <c r="AM64" s="115">
        <f t="shared" si="3"/>
        <v>0</v>
      </c>
      <c r="AN64" s="115">
        <f t="shared" si="3"/>
        <v>0</v>
      </c>
      <c r="AO64" s="115">
        <f t="shared" si="3"/>
        <v>0</v>
      </c>
      <c r="AP64" s="115">
        <f t="shared" si="3"/>
        <v>0</v>
      </c>
      <c r="AQ64" s="115">
        <f t="shared" si="3"/>
        <v>0</v>
      </c>
      <c r="AR64" s="115">
        <f t="shared" si="3"/>
        <v>0</v>
      </c>
      <c r="AS64" s="115">
        <f t="shared" si="3"/>
        <v>0</v>
      </c>
      <c r="AT64" s="115">
        <f t="shared" si="3"/>
        <v>0</v>
      </c>
    </row>
    <row r="65" spans="1:46" s="38" customFormat="1" ht="18">
      <c r="B65" s="60" t="s">
        <v>1314</v>
      </c>
      <c r="C65" s="44" t="s">
        <v>1297</v>
      </c>
      <c r="D65" s="38" t="s">
        <v>693</v>
      </c>
      <c r="E65" s="98" t="s">
        <v>1300</v>
      </c>
      <c r="F65" s="38" t="s">
        <v>693</v>
      </c>
      <c r="G65" s="98" t="s">
        <v>1301</v>
      </c>
      <c r="H65" s="38" t="s">
        <v>693</v>
      </c>
      <c r="I65" s="98" t="s">
        <v>56</v>
      </c>
      <c r="K65" s="115">
        <f>(K50/K18)*(1+K7)</f>
        <v>0</v>
      </c>
      <c r="L65" s="115">
        <f t="shared" ref="L65:AT65" si="4">(L50/L18)*(1+L7)</f>
        <v>0</v>
      </c>
      <c r="M65" s="115">
        <f t="shared" si="4"/>
        <v>0</v>
      </c>
      <c r="N65" s="115">
        <f t="shared" si="4"/>
        <v>0</v>
      </c>
      <c r="O65" s="115">
        <f t="shared" si="4"/>
        <v>0</v>
      </c>
      <c r="P65" s="115">
        <f t="shared" si="4"/>
        <v>0</v>
      </c>
      <c r="Q65" s="115">
        <f t="shared" si="4"/>
        <v>0</v>
      </c>
      <c r="R65" s="115">
        <f t="shared" si="4"/>
        <v>0</v>
      </c>
      <c r="S65" s="115">
        <f t="shared" si="4"/>
        <v>0</v>
      </c>
      <c r="T65" s="115">
        <f t="shared" si="4"/>
        <v>0</v>
      </c>
      <c r="U65" s="115">
        <f t="shared" si="4"/>
        <v>0</v>
      </c>
      <c r="V65" s="115">
        <f t="shared" si="4"/>
        <v>0</v>
      </c>
      <c r="W65" s="115">
        <f t="shared" si="4"/>
        <v>0</v>
      </c>
      <c r="X65" s="115">
        <f t="shared" si="4"/>
        <v>0</v>
      </c>
      <c r="Y65" s="115">
        <f t="shared" si="4"/>
        <v>0</v>
      </c>
      <c r="Z65" s="115">
        <f t="shared" si="4"/>
        <v>0</v>
      </c>
      <c r="AA65" s="115">
        <f t="shared" si="4"/>
        <v>0</v>
      </c>
      <c r="AB65" s="115">
        <f t="shared" si="4"/>
        <v>0</v>
      </c>
      <c r="AC65" s="115">
        <f t="shared" si="4"/>
        <v>0</v>
      </c>
      <c r="AD65" s="115">
        <f t="shared" si="4"/>
        <v>0</v>
      </c>
      <c r="AE65" s="115">
        <f t="shared" si="4"/>
        <v>0</v>
      </c>
      <c r="AF65" s="115">
        <f t="shared" si="4"/>
        <v>0</v>
      </c>
      <c r="AG65" s="115">
        <f t="shared" si="4"/>
        <v>0</v>
      </c>
      <c r="AH65" s="115">
        <f t="shared" si="4"/>
        <v>0</v>
      </c>
      <c r="AI65" s="115">
        <f t="shared" si="4"/>
        <v>0</v>
      </c>
      <c r="AJ65" s="115">
        <f t="shared" si="4"/>
        <v>0</v>
      </c>
      <c r="AK65" s="115">
        <f t="shared" si="4"/>
        <v>0</v>
      </c>
      <c r="AL65" s="115">
        <f t="shared" si="4"/>
        <v>0</v>
      </c>
      <c r="AM65" s="115">
        <f t="shared" si="4"/>
        <v>0</v>
      </c>
      <c r="AN65" s="115">
        <f t="shared" si="4"/>
        <v>0</v>
      </c>
      <c r="AO65" s="115">
        <f t="shared" si="4"/>
        <v>0</v>
      </c>
      <c r="AP65" s="115">
        <f t="shared" si="4"/>
        <v>0</v>
      </c>
      <c r="AQ65" s="115">
        <f t="shared" si="4"/>
        <v>0</v>
      </c>
      <c r="AR65" s="115">
        <f t="shared" si="4"/>
        <v>0</v>
      </c>
      <c r="AS65" s="115">
        <f t="shared" si="4"/>
        <v>0</v>
      </c>
      <c r="AT65" s="115">
        <f t="shared" si="4"/>
        <v>0</v>
      </c>
    </row>
    <row r="66" spans="1:46" s="38" customFormat="1" ht="18">
      <c r="B66" s="60" t="s">
        <v>1315</v>
      </c>
      <c r="C66" s="44" t="s">
        <v>1297</v>
      </c>
      <c r="D66" s="38" t="s">
        <v>693</v>
      </c>
      <c r="E66" s="98" t="s">
        <v>1300</v>
      </c>
      <c r="F66" s="38" t="s">
        <v>693</v>
      </c>
      <c r="G66" s="98" t="s">
        <v>1301</v>
      </c>
      <c r="H66" s="38" t="s">
        <v>693</v>
      </c>
      <c r="I66" s="98" t="s">
        <v>56</v>
      </c>
      <c r="K66" s="115">
        <f>(K55/K20)*(1+K7)</f>
        <v>0</v>
      </c>
      <c r="L66" s="115">
        <f t="shared" ref="L66:AT66" si="5">(L55/L20)*(1+L7)</f>
        <v>0</v>
      </c>
      <c r="M66" s="115">
        <f t="shared" si="5"/>
        <v>0</v>
      </c>
      <c r="N66" s="115">
        <f t="shared" si="5"/>
        <v>0</v>
      </c>
      <c r="O66" s="115">
        <f t="shared" si="5"/>
        <v>0</v>
      </c>
      <c r="P66" s="115">
        <f t="shared" si="5"/>
        <v>0</v>
      </c>
      <c r="Q66" s="115">
        <f t="shared" si="5"/>
        <v>0</v>
      </c>
      <c r="R66" s="115">
        <f t="shared" si="5"/>
        <v>0</v>
      </c>
      <c r="S66" s="115">
        <f t="shared" si="5"/>
        <v>0</v>
      </c>
      <c r="T66" s="115">
        <f t="shared" si="5"/>
        <v>0</v>
      </c>
      <c r="U66" s="115">
        <f t="shared" si="5"/>
        <v>0</v>
      </c>
      <c r="V66" s="115">
        <f t="shared" si="5"/>
        <v>0</v>
      </c>
      <c r="W66" s="115">
        <f t="shared" si="5"/>
        <v>0</v>
      </c>
      <c r="X66" s="115">
        <f t="shared" si="5"/>
        <v>0</v>
      </c>
      <c r="Y66" s="115">
        <f t="shared" si="5"/>
        <v>0</v>
      </c>
      <c r="Z66" s="115">
        <f t="shared" si="5"/>
        <v>0</v>
      </c>
      <c r="AA66" s="115">
        <f t="shared" si="5"/>
        <v>0</v>
      </c>
      <c r="AB66" s="115">
        <f t="shared" si="5"/>
        <v>0</v>
      </c>
      <c r="AC66" s="115">
        <f t="shared" si="5"/>
        <v>0</v>
      </c>
      <c r="AD66" s="115">
        <f t="shared" si="5"/>
        <v>0</v>
      </c>
      <c r="AE66" s="115">
        <f t="shared" si="5"/>
        <v>0</v>
      </c>
      <c r="AF66" s="115">
        <f t="shared" si="5"/>
        <v>0</v>
      </c>
      <c r="AG66" s="115">
        <f t="shared" si="5"/>
        <v>0</v>
      </c>
      <c r="AH66" s="115">
        <f t="shared" si="5"/>
        <v>0</v>
      </c>
      <c r="AI66" s="115">
        <f t="shared" si="5"/>
        <v>0</v>
      </c>
      <c r="AJ66" s="115">
        <f t="shared" si="5"/>
        <v>0</v>
      </c>
      <c r="AK66" s="115">
        <f t="shared" si="5"/>
        <v>0</v>
      </c>
      <c r="AL66" s="115">
        <f t="shared" si="5"/>
        <v>0</v>
      </c>
      <c r="AM66" s="115">
        <f t="shared" si="5"/>
        <v>0</v>
      </c>
      <c r="AN66" s="115">
        <f t="shared" si="5"/>
        <v>0</v>
      </c>
      <c r="AO66" s="115">
        <f t="shared" si="5"/>
        <v>0</v>
      </c>
      <c r="AP66" s="115">
        <f t="shared" si="5"/>
        <v>0</v>
      </c>
      <c r="AQ66" s="115">
        <f t="shared" si="5"/>
        <v>0</v>
      </c>
      <c r="AR66" s="115">
        <f t="shared" si="5"/>
        <v>0</v>
      </c>
      <c r="AS66" s="115">
        <f t="shared" si="5"/>
        <v>0</v>
      </c>
      <c r="AT66" s="115">
        <f t="shared" si="5"/>
        <v>0</v>
      </c>
    </row>
    <row r="67" spans="1:46" s="38" customFormat="1" ht="18">
      <c r="B67" s="60" t="s">
        <v>268</v>
      </c>
      <c r="C67" s="44" t="s">
        <v>1297</v>
      </c>
      <c r="D67" s="38" t="s">
        <v>693</v>
      </c>
      <c r="E67" s="98" t="s">
        <v>1300</v>
      </c>
      <c r="F67" s="38" t="s">
        <v>693</v>
      </c>
      <c r="G67" s="98" t="s">
        <v>1301</v>
      </c>
      <c r="H67" s="38" t="s">
        <v>693</v>
      </c>
      <c r="I67" s="98" t="s">
        <v>56</v>
      </c>
      <c r="K67" s="115">
        <f>(K53/K26)*(1+K11)</f>
        <v>0</v>
      </c>
      <c r="L67" s="115">
        <f t="shared" ref="L67:AT67" si="6">(L53/L26)*(1+L11)</f>
        <v>0</v>
      </c>
      <c r="M67" s="115">
        <f t="shared" si="6"/>
        <v>0</v>
      </c>
      <c r="N67" s="115">
        <f t="shared" si="6"/>
        <v>0</v>
      </c>
      <c r="O67" s="115">
        <f t="shared" si="6"/>
        <v>0</v>
      </c>
      <c r="P67" s="115">
        <f t="shared" si="6"/>
        <v>0</v>
      </c>
      <c r="Q67" s="115">
        <f t="shared" si="6"/>
        <v>0</v>
      </c>
      <c r="R67" s="115">
        <f t="shared" si="6"/>
        <v>0</v>
      </c>
      <c r="S67" s="115">
        <f t="shared" si="6"/>
        <v>0</v>
      </c>
      <c r="T67" s="115">
        <f t="shared" si="6"/>
        <v>0</v>
      </c>
      <c r="U67" s="115">
        <f t="shared" si="6"/>
        <v>0</v>
      </c>
      <c r="V67" s="115">
        <f t="shared" si="6"/>
        <v>10114076.979135728</v>
      </c>
      <c r="W67" s="115">
        <f t="shared" si="6"/>
        <v>19782168.751924105</v>
      </c>
      <c r="X67" s="115">
        <f t="shared" si="6"/>
        <v>29004275.318365112</v>
      </c>
      <c r="Y67" s="115">
        <f t="shared" si="6"/>
        <v>37780396.678458765</v>
      </c>
      <c r="Z67" s="115">
        <f t="shared" si="6"/>
        <v>46110532.832205057</v>
      </c>
      <c r="AA67" s="115">
        <f t="shared" si="6"/>
        <v>53994683.77960398</v>
      </c>
      <c r="AB67" s="115">
        <f t="shared" si="6"/>
        <v>61432849.520655558</v>
      </c>
      <c r="AC67" s="115">
        <f t="shared" si="6"/>
        <v>68425030.055359766</v>
      </c>
      <c r="AD67" s="115">
        <f t="shared" si="6"/>
        <v>74971225.383716598</v>
      </c>
      <c r="AE67" s="115">
        <f t="shared" si="6"/>
        <v>81071435.505726099</v>
      </c>
      <c r="AF67" s="115">
        <f t="shared" si="6"/>
        <v>86725660.421388224</v>
      </c>
      <c r="AG67" s="115">
        <f t="shared" si="6"/>
        <v>91933900.130702943</v>
      </c>
      <c r="AH67" s="115">
        <f t="shared" si="6"/>
        <v>96696154.63367039</v>
      </c>
      <c r="AI67" s="115">
        <f t="shared" si="6"/>
        <v>101012423.93029045</v>
      </c>
      <c r="AJ67" s="115">
        <f t="shared" si="6"/>
        <v>104882708.02056313</v>
      </c>
      <c r="AK67" s="115">
        <f t="shared" si="6"/>
        <v>108307006.90448843</v>
      </c>
      <c r="AL67" s="115">
        <f t="shared" si="6"/>
        <v>111285320.58206643</v>
      </c>
      <c r="AM67" s="115">
        <f t="shared" si="6"/>
        <v>113817649.05329701</v>
      </c>
      <c r="AN67" s="115">
        <f t="shared" si="6"/>
        <v>115903992.31818028</v>
      </c>
      <c r="AO67" s="115">
        <f t="shared" si="6"/>
        <v>117544350.37671615</v>
      </c>
      <c r="AP67" s="115">
        <f t="shared" si="6"/>
        <v>118738723.22890465</v>
      </c>
      <c r="AQ67" s="115">
        <f t="shared" si="6"/>
        <v>114055878.56225736</v>
      </c>
      <c r="AR67" s="115">
        <f t="shared" si="6"/>
        <v>109373033.89561011</v>
      </c>
      <c r="AS67" s="115">
        <f t="shared" si="6"/>
        <v>104690189.22896278</v>
      </c>
      <c r="AT67" s="115">
        <f t="shared" si="6"/>
        <v>100007344.56231552</v>
      </c>
    </row>
    <row r="68" spans="1:46" s="38" customFormat="1" ht="18">
      <c r="B68" s="60" t="s">
        <v>1316</v>
      </c>
      <c r="C68" s="44" t="s">
        <v>1297</v>
      </c>
      <c r="D68" s="38" t="s">
        <v>693</v>
      </c>
      <c r="E68" s="98" t="s">
        <v>1300</v>
      </c>
      <c r="F68" s="38" t="s">
        <v>693</v>
      </c>
      <c r="G68" s="98" t="s">
        <v>1301</v>
      </c>
      <c r="H68" s="38" t="s">
        <v>693</v>
      </c>
      <c r="I68" s="98" t="s">
        <v>56</v>
      </c>
      <c r="K68" s="115">
        <f>(K54/K23)*(1+K7)</f>
        <v>0</v>
      </c>
      <c r="L68" s="115">
        <f t="shared" ref="L68:AT68" si="7">(L54/L23)*(1+L7)</f>
        <v>0</v>
      </c>
      <c r="M68" s="115">
        <f t="shared" si="7"/>
        <v>0</v>
      </c>
      <c r="N68" s="115">
        <f t="shared" si="7"/>
        <v>0</v>
      </c>
      <c r="O68" s="115">
        <f t="shared" si="7"/>
        <v>0</v>
      </c>
      <c r="P68" s="115">
        <f t="shared" si="7"/>
        <v>0</v>
      </c>
      <c r="Q68" s="115">
        <f t="shared" si="7"/>
        <v>0</v>
      </c>
      <c r="R68" s="115">
        <f t="shared" si="7"/>
        <v>0</v>
      </c>
      <c r="S68" s="115">
        <f t="shared" si="7"/>
        <v>0</v>
      </c>
      <c r="T68" s="115">
        <f t="shared" si="7"/>
        <v>0</v>
      </c>
      <c r="U68" s="115">
        <f t="shared" si="7"/>
        <v>0</v>
      </c>
      <c r="V68" s="115">
        <f t="shared" si="7"/>
        <v>2783908.5654414161</v>
      </c>
      <c r="W68" s="115">
        <f t="shared" si="7"/>
        <v>5445059.3114029309</v>
      </c>
      <c r="X68" s="115">
        <f t="shared" si="7"/>
        <v>7983452.237884542</v>
      </c>
      <c r="Y68" s="115">
        <f t="shared" si="7"/>
        <v>10399087.344886255</v>
      </c>
      <c r="Z68" s="115">
        <f t="shared" si="7"/>
        <v>12691964.632408064</v>
      </c>
      <c r="AA68" s="115">
        <f t="shared" si="7"/>
        <v>14862084.100449968</v>
      </c>
      <c r="AB68" s="115">
        <f t="shared" si="7"/>
        <v>16909445.749011982</v>
      </c>
      <c r="AC68" s="115">
        <f t="shared" si="7"/>
        <v>18834049.57809408</v>
      </c>
      <c r="AD68" s="115">
        <f t="shared" si="7"/>
        <v>20635895.587696277</v>
      </c>
      <c r="AE68" s="115">
        <f t="shared" si="7"/>
        <v>22314983.777818583</v>
      </c>
      <c r="AF68" s="115">
        <f t="shared" si="7"/>
        <v>23871314.148460973</v>
      </c>
      <c r="AG68" s="115">
        <f t="shared" si="7"/>
        <v>25304886.699623469</v>
      </c>
      <c r="AH68" s="115">
        <f t="shared" si="7"/>
        <v>26615701.431306068</v>
      </c>
      <c r="AI68" s="115">
        <f t="shared" si="7"/>
        <v>27803758.343508769</v>
      </c>
      <c r="AJ68" s="115">
        <f t="shared" si="7"/>
        <v>28869057.436231554</v>
      </c>
      <c r="AK68" s="115">
        <f t="shared" si="7"/>
        <v>29811598.709474444</v>
      </c>
      <c r="AL68" s="115">
        <f t="shared" si="7"/>
        <v>30631382.163237434</v>
      </c>
      <c r="AM68" s="115">
        <f t="shared" si="7"/>
        <v>31328407.797520518</v>
      </c>
      <c r="AN68" s="115">
        <f t="shared" si="7"/>
        <v>31902675.612323701</v>
      </c>
      <c r="AO68" s="115">
        <f t="shared" si="7"/>
        <v>32354185.607646987</v>
      </c>
      <c r="AP68" s="115">
        <f t="shared" si="7"/>
        <v>32682937.78349036</v>
      </c>
      <c r="AQ68" s="115">
        <f t="shared" si="7"/>
        <v>31393980.678951386</v>
      </c>
      <c r="AR68" s="115">
        <f t="shared" si="7"/>
        <v>30105023.574412428</v>
      </c>
      <c r="AS68" s="115">
        <f t="shared" si="7"/>
        <v>28816066.469873451</v>
      </c>
      <c r="AT68" s="115">
        <f t="shared" si="7"/>
        <v>27527109.365334492</v>
      </c>
    </row>
    <row r="69" spans="1:46" s="38" customFormat="1" ht="18">
      <c r="B69" s="60" t="s">
        <v>1317</v>
      </c>
      <c r="C69" s="44" t="s">
        <v>1297</v>
      </c>
      <c r="D69" s="38" t="s">
        <v>693</v>
      </c>
      <c r="E69" s="98" t="s">
        <v>1300</v>
      </c>
      <c r="F69" s="38" t="s">
        <v>693</v>
      </c>
      <c r="G69" s="98" t="s">
        <v>1301</v>
      </c>
      <c r="H69" s="38" t="s">
        <v>693</v>
      </c>
      <c r="I69" s="98" t="s">
        <v>56</v>
      </c>
      <c r="K69" s="115">
        <f>(K51/K24)*(1+K7)</f>
        <v>0</v>
      </c>
      <c r="L69" s="115">
        <f t="shared" ref="L69:AT69" si="8">(L51/L24)*(1+L7)</f>
        <v>0</v>
      </c>
      <c r="M69" s="115">
        <f t="shared" si="8"/>
        <v>0</v>
      </c>
      <c r="N69" s="115">
        <f t="shared" si="8"/>
        <v>0</v>
      </c>
      <c r="O69" s="115">
        <f t="shared" si="8"/>
        <v>0</v>
      </c>
      <c r="P69" s="115">
        <f t="shared" si="8"/>
        <v>0</v>
      </c>
      <c r="Q69" s="115">
        <f t="shared" si="8"/>
        <v>0</v>
      </c>
      <c r="R69" s="115">
        <f t="shared" si="8"/>
        <v>0</v>
      </c>
      <c r="S69" s="115">
        <f t="shared" si="8"/>
        <v>0</v>
      </c>
      <c r="T69" s="115">
        <f t="shared" si="8"/>
        <v>0</v>
      </c>
      <c r="U69" s="115">
        <f t="shared" si="8"/>
        <v>0</v>
      </c>
      <c r="V69" s="115">
        <f t="shared" si="8"/>
        <v>12372247.313000528</v>
      </c>
      <c r="W69" s="115">
        <f t="shared" si="8"/>
        <v>22708488.126718387</v>
      </c>
      <c r="X69" s="115">
        <f t="shared" si="8"/>
        <v>31240677.289283987</v>
      </c>
      <c r="Y69" s="115">
        <f t="shared" si="8"/>
        <v>38214246.521775849</v>
      </c>
      <c r="Z69" s="115">
        <f t="shared" si="8"/>
        <v>43819361.05648756</v>
      </c>
      <c r="AA69" s="115">
        <f t="shared" si="8"/>
        <v>50766957.75394097</v>
      </c>
      <c r="AB69" s="115">
        <f t="shared" si="8"/>
        <v>56992848.926797993</v>
      </c>
      <c r="AC69" s="115">
        <f t="shared" si="8"/>
        <v>69091301.506248057</v>
      </c>
      <c r="AD69" s="115">
        <f t="shared" si="8"/>
        <v>79930461.611928999</v>
      </c>
      <c r="AE69" s="115">
        <f t="shared" si="8"/>
        <v>89715855.470646337</v>
      </c>
      <c r="AF69" s="115">
        <f t="shared" si="8"/>
        <v>98589640.134654939</v>
      </c>
      <c r="AG69" s="115">
        <f t="shared" si="8"/>
        <v>106389626.79818138</v>
      </c>
      <c r="AH69" s="115">
        <f t="shared" si="8"/>
        <v>113069697.91415422</v>
      </c>
      <c r="AI69" s="115">
        <f t="shared" si="8"/>
        <v>121406879.57899405</v>
      </c>
      <c r="AJ69" s="115">
        <f t="shared" si="8"/>
        <v>128969580.4683481</v>
      </c>
      <c r="AK69" s="115">
        <f t="shared" si="8"/>
        <v>139485144.67895132</v>
      </c>
      <c r="AL69" s="115">
        <f t="shared" si="8"/>
        <v>149630407.01737359</v>
      </c>
      <c r="AM69" s="115">
        <f t="shared" si="8"/>
        <v>159346618.85546595</v>
      </c>
      <c r="AN69" s="115">
        <f t="shared" si="8"/>
        <v>168575086.5487541</v>
      </c>
      <c r="AO69" s="115">
        <f t="shared" si="8"/>
        <v>177257043.26810554</v>
      </c>
      <c r="AP69" s="115">
        <f t="shared" si="8"/>
        <v>176626722.03589609</v>
      </c>
      <c r="AQ69" s="115">
        <f t="shared" si="8"/>
        <v>176200754.34125865</v>
      </c>
      <c r="AR69" s="115">
        <f t="shared" si="8"/>
        <v>175322758.14893088</v>
      </c>
      <c r="AS69" s="115">
        <f t="shared" si="8"/>
        <v>173982132.26664919</v>
      </c>
      <c r="AT69" s="115">
        <f t="shared" si="8"/>
        <v>172168224.16785291</v>
      </c>
    </row>
    <row r="70" spans="1:46" s="38" customFormat="1" ht="18">
      <c r="B70" s="60" t="s">
        <v>1318</v>
      </c>
      <c r="C70" s="44" t="s">
        <v>1297</v>
      </c>
      <c r="D70" s="38" t="s">
        <v>693</v>
      </c>
      <c r="E70" s="98" t="s">
        <v>1300</v>
      </c>
      <c r="F70" s="38" t="s">
        <v>693</v>
      </c>
      <c r="G70" s="98" t="s">
        <v>1301</v>
      </c>
      <c r="H70" s="38" t="s">
        <v>693</v>
      </c>
      <c r="I70" s="98" t="s">
        <v>56</v>
      </c>
      <c r="K70" s="115">
        <f>(K52/K25)*(1+K8)</f>
        <v>0</v>
      </c>
      <c r="L70" s="115">
        <f t="shared" ref="L70:AT70" si="9">(L52/L25)*(1+L8)</f>
        <v>0</v>
      </c>
      <c r="M70" s="115">
        <f t="shared" si="9"/>
        <v>0</v>
      </c>
      <c r="N70" s="115">
        <f t="shared" si="9"/>
        <v>0</v>
      </c>
      <c r="O70" s="115">
        <f t="shared" si="9"/>
        <v>0</v>
      </c>
      <c r="P70" s="115">
        <f t="shared" si="9"/>
        <v>0</v>
      </c>
      <c r="Q70" s="115">
        <f t="shared" si="9"/>
        <v>0</v>
      </c>
      <c r="R70" s="115">
        <f t="shared" si="9"/>
        <v>0</v>
      </c>
      <c r="S70" s="115">
        <f t="shared" si="9"/>
        <v>0</v>
      </c>
      <c r="T70" s="115">
        <f t="shared" si="9"/>
        <v>0</v>
      </c>
      <c r="U70" s="115">
        <f t="shared" si="9"/>
        <v>0</v>
      </c>
      <c r="V70" s="115">
        <f t="shared" si="9"/>
        <v>3522836.1657918459</v>
      </c>
      <c r="W70" s="115">
        <f t="shared" si="9"/>
        <v>6476651.6989763984</v>
      </c>
      <c r="X70" s="115">
        <f t="shared" si="9"/>
        <v>8924377.2914861329</v>
      </c>
      <c r="Y70" s="115">
        <f t="shared" si="9"/>
        <v>10933412.983799767</v>
      </c>
      <c r="Z70" s="115">
        <f t="shared" si="9"/>
        <v>12555913.613879336</v>
      </c>
      <c r="AA70" s="115">
        <f t="shared" si="9"/>
        <v>14546664.319825182</v>
      </c>
      <c r="AB70" s="115">
        <f t="shared" si="9"/>
        <v>16330618.942874918</v>
      </c>
      <c r="AC70" s="115">
        <f t="shared" si="9"/>
        <v>19797285.772027604</v>
      </c>
      <c r="AD70" s="115">
        <f t="shared" si="9"/>
        <v>22903117.410204548</v>
      </c>
      <c r="AE70" s="115">
        <f t="shared" si="9"/>
        <v>25707004.938583951</v>
      </c>
      <c r="AF70" s="115">
        <f t="shared" si="9"/>
        <v>28249681.759586196</v>
      </c>
      <c r="AG70" s="115">
        <f t="shared" si="9"/>
        <v>30484674.611499295</v>
      </c>
      <c r="AH70" s="115">
        <f t="shared" si="9"/>
        <v>32398769.06300449</v>
      </c>
      <c r="AI70" s="115">
        <f t="shared" si="9"/>
        <v>34787688.715027779</v>
      </c>
      <c r="AJ70" s="115">
        <f t="shared" si="9"/>
        <v>36954690.167466342</v>
      </c>
      <c r="AK70" s="115">
        <f t="shared" si="9"/>
        <v>39967799.273720361</v>
      </c>
      <c r="AL70" s="115">
        <f t="shared" si="9"/>
        <v>42874802.809147626</v>
      </c>
      <c r="AM70" s="115">
        <f t="shared" si="9"/>
        <v>45658867.057276994</v>
      </c>
      <c r="AN70" s="115">
        <f t="shared" si="9"/>
        <v>48303174.056551412</v>
      </c>
      <c r="AO70" s="115">
        <f t="shared" si="9"/>
        <v>50790884.875225626</v>
      </c>
      <c r="AP70" s="115">
        <f t="shared" si="9"/>
        <v>50610273.867903695</v>
      </c>
      <c r="AQ70" s="115">
        <f t="shared" si="9"/>
        <v>50488217.921691313</v>
      </c>
      <c r="AR70" s="115">
        <f t="shared" si="9"/>
        <v>50236638.617968217</v>
      </c>
      <c r="AS70" s="115">
        <f t="shared" si="9"/>
        <v>49852498.311934069</v>
      </c>
      <c r="AT70" s="115">
        <f t="shared" si="9"/>
        <v>49332744.649559997</v>
      </c>
    </row>
    <row r="71" spans="1:46" s="38" customFormat="1" ht="18">
      <c r="B71" s="60" t="s">
        <v>1319</v>
      </c>
      <c r="C71" s="44" t="s">
        <v>1297</v>
      </c>
      <c r="D71" s="38" t="s">
        <v>693</v>
      </c>
      <c r="E71" s="98" t="s">
        <v>1300</v>
      </c>
      <c r="F71" s="38" t="s">
        <v>693</v>
      </c>
      <c r="G71" s="98" t="s">
        <v>1301</v>
      </c>
      <c r="H71" s="38" t="s">
        <v>693</v>
      </c>
      <c r="I71" s="98" t="s">
        <v>56</v>
      </c>
      <c r="K71" s="115">
        <f>(K46/K26)*(1+K7)</f>
        <v>143108466.37931055</v>
      </c>
      <c r="L71" s="115">
        <f t="shared" ref="L71:AT71" si="10">(L46/L26)*(1+L7)</f>
        <v>147617686.52292776</v>
      </c>
      <c r="M71" s="115">
        <f t="shared" si="10"/>
        <v>152544287.55582258</v>
      </c>
      <c r="N71" s="115">
        <f t="shared" si="10"/>
        <v>157864069.14278993</v>
      </c>
      <c r="O71" s="115">
        <f t="shared" si="10"/>
        <v>163552830.94862494</v>
      </c>
      <c r="P71" s="115">
        <f t="shared" si="10"/>
        <v>200091815.04887131</v>
      </c>
      <c r="Q71" s="115">
        <f t="shared" si="10"/>
        <v>227978559.96939749</v>
      </c>
      <c r="R71" s="115">
        <f t="shared" si="10"/>
        <v>257874842.47529233</v>
      </c>
      <c r="S71" s="115">
        <f t="shared" si="10"/>
        <v>286137283.33813536</v>
      </c>
      <c r="T71" s="115">
        <f t="shared" si="10"/>
        <v>312808211.33272934</v>
      </c>
      <c r="U71" s="115">
        <f t="shared" si="10"/>
        <v>337810127.90027344</v>
      </c>
      <c r="V71" s="115">
        <f t="shared" si="10"/>
        <v>330522844.09134686</v>
      </c>
      <c r="W71" s="115">
        <f t="shared" si="10"/>
        <v>323235560.28241986</v>
      </c>
      <c r="X71" s="115">
        <f t="shared" si="10"/>
        <v>315948276.47349274</v>
      </c>
      <c r="Y71" s="115">
        <f t="shared" si="10"/>
        <v>308660992.66456574</v>
      </c>
      <c r="Z71" s="115">
        <f t="shared" si="10"/>
        <v>301373708.85563856</v>
      </c>
      <c r="AA71" s="115">
        <f t="shared" si="10"/>
        <v>294086425.04671156</v>
      </c>
      <c r="AB71" s="115">
        <f t="shared" si="10"/>
        <v>286799141.23778445</v>
      </c>
      <c r="AC71" s="115">
        <f t="shared" si="10"/>
        <v>279511857.42885733</v>
      </c>
      <c r="AD71" s="115">
        <f t="shared" si="10"/>
        <v>272224573.61993027</v>
      </c>
      <c r="AE71" s="115">
        <f t="shared" si="10"/>
        <v>264937289.81100315</v>
      </c>
      <c r="AF71" s="115">
        <f t="shared" si="10"/>
        <v>257650006.00207609</v>
      </c>
      <c r="AG71" s="115">
        <f t="shared" si="10"/>
        <v>250362722.19314897</v>
      </c>
      <c r="AH71" s="115">
        <f t="shared" si="10"/>
        <v>243075438.384222</v>
      </c>
      <c r="AI71" s="115">
        <f t="shared" si="10"/>
        <v>223608696.91784185</v>
      </c>
      <c r="AJ71" s="115">
        <f t="shared" si="10"/>
        <v>202500986.10922378</v>
      </c>
      <c r="AK71" s="115">
        <f t="shared" si="10"/>
        <v>183979501.91160366</v>
      </c>
      <c r="AL71" s="115">
        <f t="shared" si="10"/>
        <v>164635249.14189616</v>
      </c>
      <c r="AM71" s="115">
        <f t="shared" si="10"/>
        <v>144632856.75706372</v>
      </c>
      <c r="AN71" s="115">
        <f t="shared" si="10"/>
        <v>124136862.26758634</v>
      </c>
      <c r="AO71" s="115">
        <f t="shared" si="10"/>
        <v>103311683.05389483</v>
      </c>
      <c r="AP71" s="115">
        <f t="shared" si="10"/>
        <v>80276348.354036063</v>
      </c>
      <c r="AQ71" s="115">
        <f t="shared" si="10"/>
        <v>58384062.442930356</v>
      </c>
      <c r="AR71" s="115">
        <f t="shared" si="10"/>
        <v>37678135.280182891</v>
      </c>
      <c r="AS71" s="115">
        <f t="shared" si="10"/>
        <v>18202157.967124507</v>
      </c>
      <c r="AT71" s="115">
        <f t="shared" si="10"/>
        <v>0</v>
      </c>
    </row>
    <row r="72" spans="1:46" s="38" customFormat="1" ht="18">
      <c r="B72" s="60" t="s">
        <v>211</v>
      </c>
      <c r="C72" s="44" t="s">
        <v>1297</v>
      </c>
      <c r="E72" s="98" t="s">
        <v>1310</v>
      </c>
      <c r="G72" s="98"/>
      <c r="I72" s="98" t="s">
        <v>56</v>
      </c>
      <c r="K72" s="115">
        <f>(K49/K27)*(1+K7)</f>
        <v>0</v>
      </c>
      <c r="L72" s="115">
        <f t="shared" ref="L72:AT72" si="11">(L49/L27)*(1+L7)</f>
        <v>0</v>
      </c>
      <c r="M72" s="115">
        <f t="shared" si="11"/>
        <v>0</v>
      </c>
      <c r="N72" s="115">
        <f t="shared" si="11"/>
        <v>0</v>
      </c>
      <c r="O72" s="115">
        <f t="shared" si="11"/>
        <v>0</v>
      </c>
      <c r="P72" s="115">
        <f t="shared" si="11"/>
        <v>0</v>
      </c>
      <c r="Q72" s="115">
        <f t="shared" si="11"/>
        <v>0</v>
      </c>
      <c r="R72" s="115">
        <f t="shared" si="11"/>
        <v>0</v>
      </c>
      <c r="S72" s="115">
        <f t="shared" si="11"/>
        <v>0</v>
      </c>
      <c r="T72" s="115">
        <f t="shared" si="11"/>
        <v>0</v>
      </c>
      <c r="U72" s="115">
        <f t="shared" si="11"/>
        <v>0</v>
      </c>
      <c r="V72" s="115">
        <f t="shared" si="11"/>
        <v>0</v>
      </c>
      <c r="W72" s="115">
        <f t="shared" si="11"/>
        <v>0</v>
      </c>
      <c r="X72" s="115">
        <f t="shared" si="11"/>
        <v>0</v>
      </c>
      <c r="Y72" s="115">
        <f t="shared" si="11"/>
        <v>0</v>
      </c>
      <c r="Z72" s="115">
        <f t="shared" si="11"/>
        <v>0</v>
      </c>
      <c r="AA72" s="115">
        <f t="shared" si="11"/>
        <v>0</v>
      </c>
      <c r="AB72" s="115">
        <f t="shared" si="11"/>
        <v>0</v>
      </c>
      <c r="AC72" s="115">
        <f t="shared" si="11"/>
        <v>0</v>
      </c>
      <c r="AD72" s="115">
        <f t="shared" si="11"/>
        <v>0</v>
      </c>
      <c r="AE72" s="115">
        <f t="shared" si="11"/>
        <v>0</v>
      </c>
      <c r="AF72" s="115">
        <f t="shared" si="11"/>
        <v>0</v>
      </c>
      <c r="AG72" s="115">
        <f t="shared" si="11"/>
        <v>0</v>
      </c>
      <c r="AH72" s="115">
        <f t="shared" si="11"/>
        <v>0</v>
      </c>
      <c r="AI72" s="115">
        <f t="shared" si="11"/>
        <v>0</v>
      </c>
      <c r="AJ72" s="115">
        <f t="shared" si="11"/>
        <v>0</v>
      </c>
      <c r="AK72" s="115">
        <f t="shared" si="11"/>
        <v>0</v>
      </c>
      <c r="AL72" s="115">
        <f t="shared" si="11"/>
        <v>0</v>
      </c>
      <c r="AM72" s="115">
        <f t="shared" si="11"/>
        <v>0</v>
      </c>
      <c r="AN72" s="115">
        <f t="shared" si="11"/>
        <v>0</v>
      </c>
      <c r="AO72" s="115">
        <f t="shared" si="11"/>
        <v>0</v>
      </c>
      <c r="AP72" s="115">
        <f t="shared" si="11"/>
        <v>0</v>
      </c>
      <c r="AQ72" s="115">
        <f t="shared" si="11"/>
        <v>0</v>
      </c>
      <c r="AR72" s="115">
        <f t="shared" si="11"/>
        <v>0</v>
      </c>
      <c r="AS72" s="115">
        <f t="shared" si="11"/>
        <v>0</v>
      </c>
      <c r="AT72" s="115">
        <f t="shared" si="11"/>
        <v>0</v>
      </c>
    </row>
    <row r="73" spans="1:46" s="38" customFormat="1" ht="15.75" customHeight="1">
      <c r="B73" s="60"/>
      <c r="C73" s="329"/>
      <c r="E73" s="329"/>
      <c r="G73" s="329"/>
      <c r="I73" s="329"/>
      <c r="K73" s="115"/>
      <c r="L73" s="115"/>
      <c r="M73" s="115"/>
      <c r="N73" s="115"/>
      <c r="O73" s="115"/>
      <c r="P73" s="115"/>
      <c r="Q73" s="115"/>
      <c r="R73" s="115"/>
      <c r="S73" s="115"/>
      <c r="T73" s="115"/>
      <c r="U73" s="115"/>
      <c r="V73" s="115"/>
      <c r="W73" s="115"/>
      <c r="X73" s="115"/>
      <c r="Y73" s="115"/>
      <c r="Z73" s="115"/>
      <c r="AA73" s="115"/>
      <c r="AB73" s="115"/>
      <c r="AC73" s="115"/>
      <c r="AD73" s="115"/>
      <c r="AE73" s="115"/>
      <c r="AF73" s="115"/>
      <c r="AG73" s="115"/>
      <c r="AH73" s="115"/>
      <c r="AI73" s="115"/>
      <c r="AJ73" s="115"/>
      <c r="AK73" s="115"/>
      <c r="AL73" s="115"/>
      <c r="AM73" s="115"/>
      <c r="AN73" s="115"/>
      <c r="AO73" s="115"/>
      <c r="AP73" s="115"/>
      <c r="AQ73" s="115"/>
      <c r="AR73" s="115"/>
      <c r="AS73" s="115"/>
      <c r="AT73" s="115"/>
    </row>
    <row r="74" spans="1:46" s="168" customFormat="1">
      <c r="A74" s="42" t="s">
        <v>1320</v>
      </c>
      <c r="B74" s="42"/>
      <c r="C74" s="42"/>
      <c r="D74" s="42"/>
      <c r="E74" s="42"/>
      <c r="F74" s="42"/>
      <c r="G74" s="42"/>
      <c r="H74" s="42"/>
      <c r="I74" s="42"/>
      <c r="J74" s="42"/>
      <c r="K74" s="42"/>
      <c r="L74" s="42"/>
      <c r="M74" s="42"/>
      <c r="N74" s="42"/>
      <c r="O74" s="42"/>
      <c r="P74" s="42"/>
      <c r="Q74" s="42"/>
      <c r="R74" s="42"/>
      <c r="S74" s="42"/>
      <c r="T74" s="42"/>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row>
    <row r="75" spans="1:46" ht="18">
      <c r="B75" s="60" t="s">
        <v>1321</v>
      </c>
      <c r="C75" s="44" t="s">
        <v>1297</v>
      </c>
      <c r="D75" t="s">
        <v>693</v>
      </c>
      <c r="E75" s="44" t="s">
        <v>1310</v>
      </c>
      <c r="F75" t="s">
        <v>693</v>
      </c>
      <c r="G75" s="44"/>
      <c r="H75" t="s">
        <v>693</v>
      </c>
      <c r="I75" s="44" t="s">
        <v>56</v>
      </c>
      <c r="K75" s="36">
        <f>K63+K71</f>
        <v>739566579.27182341</v>
      </c>
      <c r="L75" s="36">
        <f t="shared" ref="L75:AT75" si="12">L63+L71</f>
        <v>762869662.59856021</v>
      </c>
      <c r="M75" s="36">
        <f t="shared" si="12"/>
        <v>788329717.93643093</v>
      </c>
      <c r="N75" s="36">
        <f t="shared" si="12"/>
        <v>815821680.99275124</v>
      </c>
      <c r="O75" s="36">
        <f t="shared" si="12"/>
        <v>845220487.47483814</v>
      </c>
      <c r="P75" s="36">
        <f t="shared" si="12"/>
        <v>1034049367.8672949</v>
      </c>
      <c r="Q75" s="36">
        <f t="shared" si="12"/>
        <v>1126390583.5945568</v>
      </c>
      <c r="R75" s="36">
        <f t="shared" si="12"/>
        <v>1230613722.357456</v>
      </c>
      <c r="S75" s="36">
        <f t="shared" si="12"/>
        <v>1327890257.9260273</v>
      </c>
      <c r="T75" s="36">
        <f t="shared" si="12"/>
        <v>1418438940.0917935</v>
      </c>
      <c r="U75" s="36">
        <f t="shared" si="12"/>
        <v>1501859266.0369868</v>
      </c>
      <c r="V75" s="36">
        <f t="shared" si="12"/>
        <v>1469460963.5328393</v>
      </c>
      <c r="W75" s="36">
        <f t="shared" si="12"/>
        <v>1437062661.0286906</v>
      </c>
      <c r="X75" s="36">
        <f t="shared" si="12"/>
        <v>1404664358.5245409</v>
      </c>
      <c r="Y75" s="36">
        <f t="shared" si="12"/>
        <v>1372266056.0203919</v>
      </c>
      <c r="Z75" s="36">
        <f t="shared" si="12"/>
        <v>1339867753.5162423</v>
      </c>
      <c r="AA75" s="36">
        <f t="shared" si="12"/>
        <v>1307469451.0120931</v>
      </c>
      <c r="AB75" s="36">
        <f t="shared" si="12"/>
        <v>1271149740.5571654</v>
      </c>
      <c r="AC75" s="36">
        <f t="shared" si="12"/>
        <v>1178122706.562222</v>
      </c>
      <c r="AD75" s="36">
        <f t="shared" si="12"/>
        <v>1080717160.1296232</v>
      </c>
      <c r="AE75" s="36">
        <f t="shared" si="12"/>
        <v>983773933.65299058</v>
      </c>
      <c r="AF75" s="36">
        <f t="shared" si="12"/>
        <v>889685527.20586419</v>
      </c>
      <c r="AG75" s="36">
        <f t="shared" si="12"/>
        <v>798167321.69568264</v>
      </c>
      <c r="AH75" s="36">
        <f t="shared" si="12"/>
        <v>709894847.23975718</v>
      </c>
      <c r="AI75" s="36">
        <f t="shared" si="12"/>
        <v>614058268.65204692</v>
      </c>
      <c r="AJ75" s="36">
        <f t="shared" si="12"/>
        <v>520934284.27148288</v>
      </c>
      <c r="AK75" s="36">
        <f t="shared" si="12"/>
        <v>446058004.27665877</v>
      </c>
      <c r="AL75" s="36">
        <f t="shared" si="12"/>
        <v>371408698.94364542</v>
      </c>
      <c r="AM75" s="36">
        <f t="shared" si="12"/>
        <v>297348859.79764473</v>
      </c>
      <c r="AN75" s="36">
        <f t="shared" si="12"/>
        <v>224240336.26374012</v>
      </c>
      <c r="AO75" s="36">
        <f t="shared" si="12"/>
        <v>152444314.49774212</v>
      </c>
      <c r="AP75" s="36">
        <f t="shared" si="12"/>
        <v>80276348.354036063</v>
      </c>
      <c r="AQ75" s="36">
        <f t="shared" si="12"/>
        <v>58384062.442930356</v>
      </c>
      <c r="AR75" s="36">
        <f t="shared" si="12"/>
        <v>37678135.280182891</v>
      </c>
      <c r="AS75" s="36">
        <f t="shared" si="12"/>
        <v>18202157.967124507</v>
      </c>
      <c r="AT75" s="36">
        <f t="shared" si="12"/>
        <v>0</v>
      </c>
    </row>
    <row r="76" spans="1:46" ht="18">
      <c r="B76" s="60" t="s">
        <v>1322</v>
      </c>
      <c r="C76" s="44" t="s">
        <v>1297</v>
      </c>
      <c r="D76" t="s">
        <v>693</v>
      </c>
      <c r="E76" s="44" t="s">
        <v>1310</v>
      </c>
      <c r="F76" t="s">
        <v>693</v>
      </c>
      <c r="G76" s="44"/>
      <c r="H76" t="s">
        <v>693</v>
      </c>
      <c r="I76" s="44" t="s">
        <v>56</v>
      </c>
      <c r="K76" s="36">
        <f>SUM(K62,K64,K66,K68,K67,K69,K70)+(SUM(K62:K71)*K8)</f>
        <v>14791331.585436469</v>
      </c>
      <c r="L76" s="36">
        <f t="shared" ref="L76:AT76" si="13">SUM(L62,L64,L66,L68,L67,L69,L70)+(SUM(L62:L71)*L8)</f>
        <v>15257393.251971204</v>
      </c>
      <c r="M76" s="36">
        <f t="shared" si="13"/>
        <v>15766594.358728619</v>
      </c>
      <c r="N76" s="36">
        <f t="shared" si="13"/>
        <v>16316433.619855026</v>
      </c>
      <c r="O76" s="36">
        <f t="shared" si="13"/>
        <v>16904409.749496762</v>
      </c>
      <c r="P76" s="36">
        <f t="shared" si="13"/>
        <v>20680987.357345898</v>
      </c>
      <c r="Q76" s="36">
        <f t="shared" si="13"/>
        <v>25385735.331408374</v>
      </c>
      <c r="R76" s="36">
        <f t="shared" si="13"/>
        <v>30245493.703135926</v>
      </c>
      <c r="S76" s="36">
        <f t="shared" si="13"/>
        <v>34883691.947929256</v>
      </c>
      <c r="T76" s="36">
        <f t="shared" si="13"/>
        <v>39304705.061618805</v>
      </c>
      <c r="U76" s="36">
        <f t="shared" si="13"/>
        <v>43500522.987849206</v>
      </c>
      <c r="V76" s="36">
        <f t="shared" si="13"/>
        <v>74636555.070193872</v>
      </c>
      <c r="W76" s="36">
        <f t="shared" si="13"/>
        <v>102416041.21041599</v>
      </c>
      <c r="X76" s="36">
        <f t="shared" si="13"/>
        <v>127139764.65937968</v>
      </c>
      <c r="Y76" s="36">
        <f t="shared" si="13"/>
        <v>149126813.81387341</v>
      </c>
      <c r="Z76" s="36">
        <f t="shared" si="13"/>
        <v>168624355.14555788</v>
      </c>
      <c r="AA76" s="36">
        <f t="shared" si="13"/>
        <v>189167425.09302771</v>
      </c>
      <c r="AB76" s="36">
        <f t="shared" si="13"/>
        <v>207985576.97424486</v>
      </c>
      <c r="AC76" s="36">
        <f t="shared" si="13"/>
        <v>232676543.20201686</v>
      </c>
      <c r="AD76" s="36">
        <f t="shared" si="13"/>
        <v>254927990.69540119</v>
      </c>
      <c r="AE76" s="36">
        <f t="shared" si="13"/>
        <v>275106441.75641376</v>
      </c>
      <c r="AF76" s="36">
        <f t="shared" si="13"/>
        <v>293446294.65029407</v>
      </c>
      <c r="AG76" s="36">
        <f t="shared" si="13"/>
        <v>309729021.68635571</v>
      </c>
      <c r="AH76" s="36">
        <f t="shared" si="13"/>
        <v>323907614.8489871</v>
      </c>
      <c r="AI76" s="36">
        <f t="shared" si="13"/>
        <v>339410082.12576073</v>
      </c>
      <c r="AJ76" s="36">
        <f t="shared" si="13"/>
        <v>353251056.06451064</v>
      </c>
      <c r="AK76" s="36">
        <f t="shared" si="13"/>
        <v>370632516.21794653</v>
      </c>
      <c r="AL76" s="36">
        <f t="shared" si="13"/>
        <v>386833162.00515604</v>
      </c>
      <c r="AM76" s="36">
        <f t="shared" si="13"/>
        <v>401783149.26513058</v>
      </c>
      <c r="AN76" s="36">
        <f t="shared" si="13"/>
        <v>415412693.14822</v>
      </c>
      <c r="AO76" s="36">
        <f t="shared" si="13"/>
        <v>427651899.50144511</v>
      </c>
      <c r="AP76" s="36">
        <f t="shared" si="13"/>
        <v>426964036.92641312</v>
      </c>
      <c r="AQ76" s="36">
        <f t="shared" si="13"/>
        <v>418684888.27081054</v>
      </c>
      <c r="AR76" s="36">
        <f t="shared" si="13"/>
        <v>409807378.96576965</v>
      </c>
      <c r="AS76" s="36">
        <f t="shared" si="13"/>
        <v>400318469.21951151</v>
      </c>
      <c r="AT76" s="36">
        <f t="shared" si="13"/>
        <v>390205057.4437601</v>
      </c>
    </row>
    <row r="77" spans="1:46" s="38" customFormat="1" ht="18">
      <c r="B77" s="38" t="s">
        <v>1323</v>
      </c>
      <c r="C77" s="44" t="s">
        <v>1297</v>
      </c>
      <c r="D77" s="38" t="s">
        <v>693</v>
      </c>
      <c r="E77" s="98" t="s">
        <v>1310</v>
      </c>
      <c r="F77" s="38" t="s">
        <v>693</v>
      </c>
      <c r="G77" s="98" t="s">
        <v>1324</v>
      </c>
      <c r="H77" s="38" t="s">
        <v>693</v>
      </c>
      <c r="I77" s="98" t="s">
        <v>56</v>
      </c>
      <c r="K77" s="206">
        <f>((K65*K$19)+(K63*K$16))</f>
        <v>226654082.89915487</v>
      </c>
      <c r="L77" s="206">
        <f t="shared" ref="L77:AS77" si="14">((L65*L$19)+(L63*L$16))</f>
        <v>233795750.90874034</v>
      </c>
      <c r="M77" s="206">
        <f t="shared" si="14"/>
        <v>241598463.54463115</v>
      </c>
      <c r="N77" s="206">
        <f t="shared" si="14"/>
        <v>250023892.5029853</v>
      </c>
      <c r="O77" s="206">
        <f t="shared" si="14"/>
        <v>259033709.47996101</v>
      </c>
      <c r="P77" s="206">
        <f t="shared" si="14"/>
        <v>316903870.07100099</v>
      </c>
      <c r="Q77" s="206">
        <f t="shared" si="14"/>
        <v>341396568.97756058</v>
      </c>
      <c r="R77" s="206">
        <f t="shared" si="14"/>
        <v>369640774.35522217</v>
      </c>
      <c r="S77" s="206">
        <f t="shared" si="14"/>
        <v>395866130.34339899</v>
      </c>
      <c r="T77" s="206">
        <f t="shared" si="14"/>
        <v>420139676.92844439</v>
      </c>
      <c r="U77" s="206">
        <f t="shared" si="14"/>
        <v>442338672.49195111</v>
      </c>
      <c r="V77" s="206">
        <f t="shared" si="14"/>
        <v>432796485.3877672</v>
      </c>
      <c r="W77" s="206">
        <f t="shared" si="14"/>
        <v>423254298.28358287</v>
      </c>
      <c r="X77" s="206">
        <f t="shared" si="14"/>
        <v>413712111.17939824</v>
      </c>
      <c r="Y77" s="206">
        <f t="shared" si="14"/>
        <v>404169924.07521391</v>
      </c>
      <c r="Z77" s="206">
        <f t="shared" si="14"/>
        <v>394627736.97102946</v>
      </c>
      <c r="AA77" s="206">
        <f t="shared" si="14"/>
        <v>385085549.86684501</v>
      </c>
      <c r="AB77" s="206">
        <f t="shared" si="14"/>
        <v>374053227.74136472</v>
      </c>
      <c r="AC77" s="206">
        <f t="shared" si="14"/>
        <v>341472122.67067856</v>
      </c>
      <c r="AD77" s="206">
        <f t="shared" si="14"/>
        <v>307227182.87368333</v>
      </c>
      <c r="AE77" s="206">
        <f t="shared" si="14"/>
        <v>273157924.65995526</v>
      </c>
      <c r="AF77" s="206">
        <f t="shared" si="14"/>
        <v>240173498.05743945</v>
      </c>
      <c r="AG77" s="206">
        <f t="shared" si="14"/>
        <v>208165747.8109628</v>
      </c>
      <c r="AH77" s="206">
        <f t="shared" si="14"/>
        <v>177391375.36510339</v>
      </c>
      <c r="AI77" s="206">
        <f t="shared" si="14"/>
        <v>148370837.25899792</v>
      </c>
      <c r="AJ77" s="206">
        <f t="shared" si="14"/>
        <v>121004653.30165847</v>
      </c>
      <c r="AK77" s="206">
        <f t="shared" si="14"/>
        <v>99589830.898720935</v>
      </c>
      <c r="AL77" s="206">
        <f t="shared" si="14"/>
        <v>78573910.924664721</v>
      </c>
      <c r="AM77" s="206">
        <f t="shared" si="14"/>
        <v>58032081.155420788</v>
      </c>
      <c r="AN77" s="206">
        <f t="shared" si="14"/>
        <v>38039320.118538439</v>
      </c>
      <c r="AO77" s="206">
        <f>((AO65*AO$19)+(AO63*AO$16))</f>
        <v>18670399.948661972</v>
      </c>
      <c r="AP77" s="206">
        <f t="shared" si="14"/>
        <v>0</v>
      </c>
      <c r="AQ77" s="206">
        <f t="shared" si="14"/>
        <v>0</v>
      </c>
      <c r="AR77" s="206">
        <f t="shared" si="14"/>
        <v>0</v>
      </c>
      <c r="AS77" s="206">
        <f t="shared" si="14"/>
        <v>0</v>
      </c>
      <c r="AT77" s="206">
        <f>((AT65*AT$19)+(AT63*AT$16))</f>
        <v>0</v>
      </c>
    </row>
    <row r="78" spans="1:46" s="38" customFormat="1" ht="18">
      <c r="B78" s="464" t="s">
        <v>1325</v>
      </c>
      <c r="C78" s="44" t="s">
        <v>1297</v>
      </c>
      <c r="E78" s="98" t="s">
        <v>1310</v>
      </c>
      <c r="G78" s="98"/>
      <c r="I78" s="98" t="s">
        <v>56</v>
      </c>
      <c r="K78" s="174">
        <f>K$77*K57/SUM(K$57:K$58)</f>
        <v>91530616.445214897</v>
      </c>
      <c r="L78" s="174">
        <f t="shared" ref="L78:AS78" si="15">L$77*L57/SUM(L$57:L$58)</f>
        <v>95556351.614193425</v>
      </c>
      <c r="M78" s="174">
        <f t="shared" si="15"/>
        <v>100172374.36010656</v>
      </c>
      <c r="N78" s="174">
        <f t="shared" si="15"/>
        <v>105348688.51663545</v>
      </c>
      <c r="O78" s="174">
        <f t="shared" si="15"/>
        <v>111055297.91746144</v>
      </c>
      <c r="P78" s="174">
        <f t="shared" si="15"/>
        <v>142066255.4749468</v>
      </c>
      <c r="Q78" s="174">
        <f t="shared" si="15"/>
        <v>158750812.32033393</v>
      </c>
      <c r="R78" s="174">
        <f t="shared" si="15"/>
        <v>178874902.81155813</v>
      </c>
      <c r="S78" s="174">
        <f t="shared" si="15"/>
        <v>198214109.32476848</v>
      </c>
      <c r="T78" s="174">
        <f t="shared" si="15"/>
        <v>216852285.95154649</v>
      </c>
      <c r="U78" s="174">
        <f t="shared" si="15"/>
        <v>234830499.39187214</v>
      </c>
      <c r="V78" s="174">
        <f t="shared" si="15"/>
        <v>234995593.45788011</v>
      </c>
      <c r="W78" s="174">
        <f t="shared" si="15"/>
        <v>234818941.53500813</v>
      </c>
      <c r="X78" s="174">
        <f t="shared" si="15"/>
        <v>234382195.61128381</v>
      </c>
      <c r="Y78" s="174">
        <f t="shared" si="15"/>
        <v>233747786.47321808</v>
      </c>
      <c r="Z78" s="174">
        <f t="shared" si="15"/>
        <v>232952122.14859697</v>
      </c>
      <c r="AA78" s="174">
        <f t="shared" si="15"/>
        <v>228106638.90245849</v>
      </c>
      <c r="AB78" s="174">
        <f t="shared" si="15"/>
        <v>222325106.02485299</v>
      </c>
      <c r="AC78" s="174">
        <f t="shared" si="15"/>
        <v>203732457.87752458</v>
      </c>
      <c r="AD78" s="174">
        <f t="shared" si="15"/>
        <v>183767102.56767514</v>
      </c>
      <c r="AE78" s="174">
        <f t="shared" si="15"/>
        <v>163927018.75711828</v>
      </c>
      <c r="AF78" s="174">
        <f t="shared" si="15"/>
        <v>144718325.47131926</v>
      </c>
      <c r="AG78" s="174">
        <f t="shared" si="15"/>
        <v>125977092.36255279</v>
      </c>
      <c r="AH78" s="174">
        <f t="shared" si="15"/>
        <v>107844640.70869043</v>
      </c>
      <c r="AI78" s="174">
        <f t="shared" si="15"/>
        <v>90678330.685312182</v>
      </c>
      <c r="AJ78" s="174">
        <f t="shared" si="15"/>
        <v>74362074.578461051</v>
      </c>
      <c r="AK78" s="174">
        <f t="shared" si="15"/>
        <v>61101854.441778615</v>
      </c>
      <c r="AL78" s="174">
        <f t="shared" si="15"/>
        <v>48134833.326811418</v>
      </c>
      <c r="AM78" s="174">
        <f t="shared" si="15"/>
        <v>35500749.761355571</v>
      </c>
      <c r="AN78" s="174">
        <f t="shared" si="15"/>
        <v>23239813.758511398</v>
      </c>
      <c r="AO78" s="174">
        <f t="shared" si="15"/>
        <v>11392592.072035281</v>
      </c>
      <c r="AP78" s="174">
        <f t="shared" si="15"/>
        <v>0</v>
      </c>
      <c r="AQ78" s="174">
        <f t="shared" si="15"/>
        <v>0</v>
      </c>
      <c r="AR78" s="174">
        <f t="shared" si="15"/>
        <v>0</v>
      </c>
      <c r="AS78" s="174">
        <f t="shared" si="15"/>
        <v>0</v>
      </c>
      <c r="AT78" s="170">
        <f>AT$77*AT57/IF(SUM(AT$57:AT$58)=0,1,SUM(AT$57:AT$58))</f>
        <v>0</v>
      </c>
    </row>
    <row r="79" spans="1:46" s="38" customFormat="1" ht="18">
      <c r="B79" s="464" t="s">
        <v>1326</v>
      </c>
      <c r="C79" s="44" t="s">
        <v>1297</v>
      </c>
      <c r="E79" s="98" t="s">
        <v>1310</v>
      </c>
      <c r="G79" s="98"/>
      <c r="I79" s="98" t="s">
        <v>56</v>
      </c>
      <c r="K79" s="174">
        <f>K$77*K58/SUM(K$57:K$58)</f>
        <v>135123466.45393994</v>
      </c>
      <c r="L79" s="174">
        <f t="shared" ref="L79:AS79" si="16">L$77*L58/SUM(L$57:L$58)</f>
        <v>138239399.29454696</v>
      </c>
      <c r="M79" s="174">
        <f t="shared" si="16"/>
        <v>141426089.1845246</v>
      </c>
      <c r="N79" s="174">
        <f t="shared" si="16"/>
        <v>144675203.98634985</v>
      </c>
      <c r="O79" s="174">
        <f t="shared" si="16"/>
        <v>147978411.56249958</v>
      </c>
      <c r="P79" s="174">
        <f t="shared" si="16"/>
        <v>174837614.59605423</v>
      </c>
      <c r="Q79" s="174">
        <f t="shared" si="16"/>
        <v>182645756.65722665</v>
      </c>
      <c r="R79" s="174">
        <f t="shared" si="16"/>
        <v>190765871.54366401</v>
      </c>
      <c r="S79" s="174">
        <f t="shared" si="16"/>
        <v>197652021.0186305</v>
      </c>
      <c r="T79" s="174">
        <f t="shared" si="16"/>
        <v>203287390.97689784</v>
      </c>
      <c r="U79" s="174">
        <f t="shared" si="16"/>
        <v>207508173.10007894</v>
      </c>
      <c r="V79" s="174">
        <f t="shared" si="16"/>
        <v>197800891.92988706</v>
      </c>
      <c r="W79" s="174">
        <f t="shared" si="16"/>
        <v>188435356.74857476</v>
      </c>
      <c r="X79" s="174">
        <f t="shared" si="16"/>
        <v>179329915.5681144</v>
      </c>
      <c r="Y79" s="174">
        <f t="shared" si="16"/>
        <v>170422137.60199583</v>
      </c>
      <c r="Z79" s="174">
        <f t="shared" si="16"/>
        <v>161675614.82243252</v>
      </c>
      <c r="AA79" s="174">
        <f t="shared" si="16"/>
        <v>156978910.96438649</v>
      </c>
      <c r="AB79" s="174">
        <f t="shared" si="16"/>
        <v>151728121.71651173</v>
      </c>
      <c r="AC79" s="174">
        <f t="shared" si="16"/>
        <v>137739664.79315394</v>
      </c>
      <c r="AD79" s="174">
        <f t="shared" si="16"/>
        <v>123460080.30600818</v>
      </c>
      <c r="AE79" s="174">
        <f t="shared" si="16"/>
        <v>109230905.90283695</v>
      </c>
      <c r="AF79" s="174">
        <f t="shared" si="16"/>
        <v>95455172.586120218</v>
      </c>
      <c r="AG79" s="174">
        <f t="shared" si="16"/>
        <v>82188655.448409989</v>
      </c>
      <c r="AH79" s="174">
        <f t="shared" si="16"/>
        <v>69546734.656412959</v>
      </c>
      <c r="AI79" s="174">
        <f t="shared" si="16"/>
        <v>57692506.573685721</v>
      </c>
      <c r="AJ79" s="174">
        <f t="shared" si="16"/>
        <v>46642578.723197415</v>
      </c>
      <c r="AK79" s="174">
        <f t="shared" si="16"/>
        <v>38487976.45694232</v>
      </c>
      <c r="AL79" s="174">
        <f t="shared" si="16"/>
        <v>30439077.59785331</v>
      </c>
      <c r="AM79" s="174">
        <f t="shared" si="16"/>
        <v>22531331.394065216</v>
      </c>
      <c r="AN79" s="174">
        <f t="shared" si="16"/>
        <v>14799506.360027039</v>
      </c>
      <c r="AO79" s="174">
        <f t="shared" si="16"/>
        <v>7277807.8766266918</v>
      </c>
      <c r="AP79" s="174">
        <f t="shared" si="16"/>
        <v>0</v>
      </c>
      <c r="AQ79" s="174">
        <f t="shared" si="16"/>
        <v>0</v>
      </c>
      <c r="AR79" s="174">
        <f t="shared" si="16"/>
        <v>0</v>
      </c>
      <c r="AS79" s="174">
        <f t="shared" si="16"/>
        <v>0</v>
      </c>
      <c r="AT79" s="170">
        <f>AT$77*AT58/IF(SUM(AT$57:AT$58)=0,1,SUM(AT$57:AT$58))</f>
        <v>0</v>
      </c>
    </row>
    <row r="80" spans="1:46" s="38" customFormat="1" ht="18">
      <c r="B80" s="38" t="s">
        <v>211</v>
      </c>
      <c r="C80" s="44" t="s">
        <v>1297</v>
      </c>
      <c r="E80" s="98" t="s">
        <v>1310</v>
      </c>
      <c r="G80" s="98"/>
      <c r="I80" s="98" t="s">
        <v>56</v>
      </c>
      <c r="K80" s="206">
        <f>K72</f>
        <v>0</v>
      </c>
      <c r="L80" s="206">
        <f t="shared" ref="L80:AT80" si="17">L72</f>
        <v>0</v>
      </c>
      <c r="M80" s="206">
        <f t="shared" si="17"/>
        <v>0</v>
      </c>
      <c r="N80" s="206">
        <f t="shared" si="17"/>
        <v>0</v>
      </c>
      <c r="O80" s="206">
        <f t="shared" si="17"/>
        <v>0</v>
      </c>
      <c r="P80" s="206">
        <f t="shared" si="17"/>
        <v>0</v>
      </c>
      <c r="Q80" s="206">
        <f t="shared" si="17"/>
        <v>0</v>
      </c>
      <c r="R80" s="206">
        <f t="shared" si="17"/>
        <v>0</v>
      </c>
      <c r="S80" s="206">
        <f t="shared" si="17"/>
        <v>0</v>
      </c>
      <c r="T80" s="206">
        <f t="shared" si="17"/>
        <v>0</v>
      </c>
      <c r="U80" s="206">
        <f t="shared" si="17"/>
        <v>0</v>
      </c>
      <c r="V80" s="206">
        <f t="shared" si="17"/>
        <v>0</v>
      </c>
      <c r="W80" s="206">
        <f t="shared" si="17"/>
        <v>0</v>
      </c>
      <c r="X80" s="206">
        <f t="shared" si="17"/>
        <v>0</v>
      </c>
      <c r="Y80" s="206">
        <f t="shared" si="17"/>
        <v>0</v>
      </c>
      <c r="Z80" s="206">
        <f t="shared" si="17"/>
        <v>0</v>
      </c>
      <c r="AA80" s="206">
        <f t="shared" si="17"/>
        <v>0</v>
      </c>
      <c r="AB80" s="206">
        <f t="shared" si="17"/>
        <v>0</v>
      </c>
      <c r="AC80" s="206">
        <f t="shared" si="17"/>
        <v>0</v>
      </c>
      <c r="AD80" s="206">
        <f t="shared" si="17"/>
        <v>0</v>
      </c>
      <c r="AE80" s="206">
        <f t="shared" si="17"/>
        <v>0</v>
      </c>
      <c r="AF80" s="206">
        <f t="shared" si="17"/>
        <v>0</v>
      </c>
      <c r="AG80" s="206">
        <f t="shared" si="17"/>
        <v>0</v>
      </c>
      <c r="AH80" s="206">
        <f t="shared" si="17"/>
        <v>0</v>
      </c>
      <c r="AI80" s="206">
        <f t="shared" si="17"/>
        <v>0</v>
      </c>
      <c r="AJ80" s="206">
        <f t="shared" si="17"/>
        <v>0</v>
      </c>
      <c r="AK80" s="206">
        <f t="shared" si="17"/>
        <v>0</v>
      </c>
      <c r="AL80" s="206">
        <f t="shared" si="17"/>
        <v>0</v>
      </c>
      <c r="AM80" s="206">
        <f t="shared" si="17"/>
        <v>0</v>
      </c>
      <c r="AN80" s="206">
        <f t="shared" si="17"/>
        <v>0</v>
      </c>
      <c r="AO80" s="206">
        <f t="shared" si="17"/>
        <v>0</v>
      </c>
      <c r="AP80" s="206">
        <f t="shared" si="17"/>
        <v>0</v>
      </c>
      <c r="AQ80" s="206">
        <f t="shared" si="17"/>
        <v>0</v>
      </c>
      <c r="AR80" s="206">
        <f t="shared" si="17"/>
        <v>0</v>
      </c>
      <c r="AS80" s="206">
        <f t="shared" si="17"/>
        <v>0</v>
      </c>
      <c r="AT80" s="206">
        <f t="shared" si="17"/>
        <v>0</v>
      </c>
    </row>
    <row r="81" spans="1:46" ht="18">
      <c r="B81" t="s">
        <v>174</v>
      </c>
      <c r="C81" s="334" t="s">
        <v>1327</v>
      </c>
      <c r="D81" t="s">
        <v>693</v>
      </c>
      <c r="E81" s="44" t="s">
        <v>1310</v>
      </c>
      <c r="F81" t="s">
        <v>693</v>
      </c>
      <c r="G81" s="44"/>
      <c r="H81" t="s">
        <v>693</v>
      </c>
      <c r="I81" s="44" t="s">
        <v>56</v>
      </c>
      <c r="K81" s="36">
        <f>((K75*'2.5 Emission factors'!O14)+(('Heat Networks'!K76-'Heat Networks'!K77)*'2.5 Emission factors'!O29)+K80*'2.5 Emission factors'!O62)</f>
        <v>58285145.777549803</v>
      </c>
      <c r="L81" s="36">
        <f>((L75*'2.5 Emission factors'!P14)+(('Heat Networks'!L76-'Heat Networks'!L77)*'2.5 Emission factors'!P29)+L80*'2.5 Emission factors'!P62)</f>
        <v>76012524.339376003</v>
      </c>
      <c r="M81" s="36">
        <f>((M75*'2.5 Emission factors'!Q14)+(('Heat Networks'!M76-'Heat Networks'!M77)*'2.5 Emission factors'!Q29)+M80*'2.5 Emission factors'!Q62)</f>
        <v>85561097.28522782</v>
      </c>
      <c r="N81" s="36">
        <f>((N75*'2.5 Emission factors'!R14)+(('Heat Networks'!N76-'Heat Networks'!N77)*'2.5 Emission factors'!R29)+N80*'2.5 Emission factors'!R62)</f>
        <v>92801818.301251248</v>
      </c>
      <c r="O81" s="36">
        <f>((O75*'2.5 Emission factors'!S14)+(('Heat Networks'!O76-'Heat Networks'!O77)*'2.5 Emission factors'!S29)+O80*'2.5 Emission factors'!S62)</f>
        <v>102411223.19751844</v>
      </c>
      <c r="P81" s="36">
        <f>((P75*'2.5 Emission factors'!T14)+(('Heat Networks'!P76-'Heat Networks'!P77)*'2.5 Emission factors'!T29)+P80*'2.5 Emission factors'!T62)</f>
        <v>141281710.88235182</v>
      </c>
      <c r="Q81" s="36">
        <f>((Q75*'2.5 Emission factors'!U14)+(('Heat Networks'!Q76-'Heat Networks'!Q77)*'2.5 Emission factors'!U29)+Q80*'2.5 Emission factors'!U62)</f>
        <v>158307209.55958891</v>
      </c>
      <c r="R81" s="36">
        <f>((R75*'2.5 Emission factors'!V14)+(('Heat Networks'!R76-'Heat Networks'!R77)*'2.5 Emission factors'!V29)+R80*'2.5 Emission factors'!V62)</f>
        <v>176998344.8254061</v>
      </c>
      <c r="S81" s="36">
        <f>((S75*'2.5 Emission factors'!W14)+(('Heat Networks'!S76-'Heat Networks'!S77)*'2.5 Emission factors'!W29)+S80*'2.5 Emission factors'!W62)</f>
        <v>193439082.18203428</v>
      </c>
      <c r="T81" s="36">
        <f>((T75*'2.5 Emission factors'!X14)+(('Heat Networks'!T76-'Heat Networks'!T77)*'2.5 Emission factors'!X29)+T80*'2.5 Emission factors'!X62)</f>
        <v>202151034.79614872</v>
      </c>
      <c r="U81" s="36">
        <f>((U75*'2.5 Emission factors'!Y14)+(('Heat Networks'!U76-'Heat Networks'!U77)*'2.5 Emission factors'!Y29)+U80*'2.5 Emission factors'!Y62)</f>
        <v>223187989.44704327</v>
      </c>
      <c r="V81" s="36">
        <f>((V75*'2.5 Emission factors'!Z14)+(('Heat Networks'!V76-'Heat Networks'!V77)*'2.5 Emission factors'!Z29)+V80*'2.5 Emission factors'!Z62)</f>
        <v>233403760.03559071</v>
      </c>
      <c r="W81" s="36">
        <f>((W75*'2.5 Emission factors'!AA14)+(('Heat Networks'!W76-'Heat Networks'!W77)*'2.5 Emission factors'!AA29)+W80*'2.5 Emission factors'!AA62)</f>
        <v>233651122.87719673</v>
      </c>
      <c r="X81" s="36">
        <f>((X75*'2.5 Emission factors'!AB14)+(('Heat Networks'!X76-'Heat Networks'!X77)*'2.5 Emission factors'!AB29)+X80*'2.5 Emission factors'!AB62)</f>
        <v>229682164.69792414</v>
      </c>
      <c r="Y81" s="36">
        <f>((Y75*'2.5 Emission factors'!AC14)+(('Heat Networks'!Y76-'Heat Networks'!Y77)*'2.5 Emission factors'!AC29)+Y80*'2.5 Emission factors'!AC62)</f>
        <v>224784343.91261977</v>
      </c>
      <c r="Z81" s="36">
        <f>((Z75*'2.5 Emission factors'!AD14)+(('Heat Networks'!Z76-'Heat Networks'!Z77)*'2.5 Emission factors'!AD29)+Z80*'2.5 Emission factors'!AD62)</f>
        <v>221332906.13895318</v>
      </c>
      <c r="AA81" s="36">
        <f>((AA75*'2.5 Emission factors'!AE14)+(('Heat Networks'!AA76-'Heat Networks'!AA77)*'2.5 Emission factors'!AE29)+AA80*'2.5 Emission factors'!AE62)</f>
        <v>216523645.51533422</v>
      </c>
      <c r="AB81" s="36">
        <f>((AB75*'2.5 Emission factors'!AF14)+(('Heat Networks'!AB76-'Heat Networks'!AB77)*'2.5 Emission factors'!AF29)+AB80*'2.5 Emission factors'!AF62)</f>
        <v>209743734.64809209</v>
      </c>
      <c r="AC81" s="36">
        <f>((AC75*'2.5 Emission factors'!AG14)+(('Heat Networks'!AC76-'Heat Networks'!AC77)*'2.5 Emission factors'!AG29)+AC80*'2.5 Emission factors'!AG62)</f>
        <v>193900028.4230909</v>
      </c>
      <c r="AD81" s="36">
        <f>((AD75*'2.5 Emission factors'!AH14)+(('Heat Networks'!AD76-'Heat Networks'!AD77)*'2.5 Emission factors'!AH29)+AD80*'2.5 Emission factors'!AH62)</f>
        <v>176878853.37087798</v>
      </c>
      <c r="AE81" s="36">
        <f>((AE75*'2.5 Emission factors'!AI14)+(('Heat Networks'!AE76-'Heat Networks'!AE77)*'2.5 Emission factors'!AI29)+AE80*'2.5 Emission factors'!AI62)</f>
        <v>161123843.38309753</v>
      </c>
      <c r="AF81" s="36">
        <f>((AF75*'2.5 Emission factors'!AJ14)+(('Heat Networks'!AF76-'Heat Networks'!AF77)*'2.5 Emission factors'!AJ29)+AF80*'2.5 Emission factors'!AJ62)</f>
        <v>144069599.95054084</v>
      </c>
      <c r="AG81" s="36">
        <f>((AG75*'2.5 Emission factors'!AK14)+(('Heat Networks'!AG76-'Heat Networks'!AG77)*'2.5 Emission factors'!AK29)+AG80*'2.5 Emission factors'!AK62)</f>
        <v>127257074.51595317</v>
      </c>
      <c r="AH81" s="36">
        <f>((AH75*'2.5 Emission factors'!AL14)+(('Heat Networks'!AH76-'Heat Networks'!AH77)*'2.5 Emission factors'!AL29)+AH80*'2.5 Emission factors'!AL62)</f>
        <v>111340788.1733139</v>
      </c>
      <c r="AI81" s="36">
        <f>((AI75*'2.5 Emission factors'!AM14)+(('Heat Networks'!AI76-'Heat Networks'!AI77)*'2.5 Emission factors'!AM29)+AI80*'2.5 Emission factors'!AM62)</f>
        <v>95655806.451836795</v>
      </c>
      <c r="AJ81" s="36">
        <f>((AJ75*'2.5 Emission factors'!AN14)+(('Heat Networks'!AJ76-'Heat Networks'!AJ77)*'2.5 Emission factors'!AN29)+AJ80*'2.5 Emission factors'!AN62)</f>
        <v>80219279.988880962</v>
      </c>
      <c r="AK81" s="36">
        <f>((AK75*'2.5 Emission factors'!AO14)+(('Heat Networks'!AK76-'Heat Networks'!AK77)*'2.5 Emission factors'!AO29)+AK80*'2.5 Emission factors'!AO62)</f>
        <v>67243641.748369783</v>
      </c>
      <c r="AL81" s="36">
        <f>((AL75*'2.5 Emission factors'!AP14)+(('Heat Networks'!AL76-'Heat Networks'!AL77)*'2.5 Emission factors'!AP29)+AL80*'2.5 Emission factors'!AP62)</f>
        <v>54874709.791490495</v>
      </c>
      <c r="AM81" s="36">
        <f>((AM75*'2.5 Emission factors'!AQ14)+(('Heat Networks'!AM76-'Heat Networks'!AM77)*'2.5 Emission factors'!AQ29)+AM80*'2.5 Emission factors'!AQ62)</f>
        <v>42869924.327887066</v>
      </c>
      <c r="AN81" s="36">
        <f>((AN75*'2.5 Emission factors'!AR14)+(('Heat Networks'!AN76-'Heat Networks'!AN77)*'2.5 Emission factors'!AR29)+AN80*'2.5 Emission factors'!AR62)</f>
        <v>31106948.504076406</v>
      </c>
      <c r="AO81" s="36">
        <f>((AO75*'2.5 Emission factors'!AS14)+(('Heat Networks'!AO76-'Heat Networks'!AO77)*'2.5 Emission factors'!AS29)+AO80*'2.5 Emission factors'!AS62)</f>
        <v>19632870.286069978</v>
      </c>
      <c r="AP81" s="36">
        <f>((AP75*'2.5 Emission factors'!AT14)+(('Heat Networks'!AP76-'Heat Networks'!AP77)*'2.5 Emission factors'!AT29)+AP80*'2.5 Emission factors'!AT62)</f>
        <v>9799837.5921895616</v>
      </c>
      <c r="AQ81" s="36">
        <f>((AQ75*'2.5 Emission factors'!AU14)+(('Heat Networks'!AQ76-'Heat Networks'!AQ77)*'2.5 Emission factors'!AU29)+AQ80*'2.5 Emission factors'!AU62)</f>
        <v>7033204.6945385812</v>
      </c>
      <c r="AR81" s="36">
        <f>((AR75*'2.5 Emission factors'!AV14)+(('Heat Networks'!AR76-'Heat Networks'!AR77)*'2.5 Emission factors'!AV29)+AR80*'2.5 Emission factors'!AV62)</f>
        <v>5490004.9018348353</v>
      </c>
      <c r="AS81" s="36">
        <f>((AS75*'2.5 Emission factors'!AW14)+(('Heat Networks'!AS76-'Heat Networks'!AS77)*'2.5 Emission factors'!AW29)+AS80*'2.5 Emission factors'!AW62)</f>
        <v>3981395.6953472318</v>
      </c>
      <c r="AT81" s="36">
        <f>((AT75*'2.5 Emission factors'!AX14)+(('Heat Networks'!AT76-'Heat Networks'!AT77)*'2.5 Emission factors'!AX29)+AT80*'2.5 Emission factors'!AX62)</f>
        <v>2723119.9721521051</v>
      </c>
    </row>
    <row r="82" spans="1:46">
      <c r="B82" t="s">
        <v>157</v>
      </c>
      <c r="C82" s="334"/>
      <c r="E82" s="44"/>
      <c r="G82" s="44"/>
      <c r="I82" s="44"/>
      <c r="K82" s="174">
        <f>K$81*K57/SUM(K$57:K$58)</f>
        <v>23537521.382273059</v>
      </c>
      <c r="L82" s="174">
        <f t="shared" ref="L82:AS82" si="18">L$81*L57/SUM(L$57:L$58)</f>
        <v>31067628.366313081</v>
      </c>
      <c r="M82" s="174">
        <f t="shared" si="18"/>
        <v>35475632.345377147</v>
      </c>
      <c r="N82" s="174">
        <f t="shared" si="18"/>
        <v>39102462.377187349</v>
      </c>
      <c r="O82" s="174">
        <f t="shared" si="18"/>
        <v>43906675.023591444</v>
      </c>
      <c r="P82" s="174">
        <f t="shared" si="18"/>
        <v>63335811.038384788</v>
      </c>
      <c r="Q82" s="174">
        <f t="shared" si="18"/>
        <v>73613505.2236038</v>
      </c>
      <c r="R82" s="174">
        <f t="shared" si="18"/>
        <v>85652243.813410029</v>
      </c>
      <c r="S82" s="174">
        <f t="shared" si="18"/>
        <v>96856872.675750434</v>
      </c>
      <c r="T82" s="174">
        <f t="shared" si="18"/>
        <v>104338905.39331639</v>
      </c>
      <c r="U82" s="174">
        <f t="shared" si="18"/>
        <v>118486920.27051002</v>
      </c>
      <c r="V82" s="174">
        <f t="shared" si="18"/>
        <v>126731285.85072044</v>
      </c>
      <c r="W82" s="174">
        <f t="shared" si="18"/>
        <v>129628239.06333755</v>
      </c>
      <c r="X82" s="174">
        <f t="shared" si="18"/>
        <v>130122876.75404344</v>
      </c>
      <c r="Y82" s="174">
        <f t="shared" si="18"/>
        <v>130001862.31974927</v>
      </c>
      <c r="Z82" s="174">
        <f t="shared" si="18"/>
        <v>130654704.05637126</v>
      </c>
      <c r="AA82" s="174">
        <f t="shared" si="18"/>
        <v>128258463.70628169</v>
      </c>
      <c r="AB82" s="174">
        <f t="shared" si="18"/>
        <v>124664872.76492222</v>
      </c>
      <c r="AC82" s="174">
        <f t="shared" si="18"/>
        <v>115686542.91365463</v>
      </c>
      <c r="AD82" s="174">
        <f t="shared" si="18"/>
        <v>105799604.3365185</v>
      </c>
      <c r="AE82" s="174">
        <f t="shared" si="18"/>
        <v>96693337.121227875</v>
      </c>
      <c r="AF82" s="174">
        <f t="shared" si="18"/>
        <v>86810207.723996252</v>
      </c>
      <c r="AG82" s="174">
        <f t="shared" si="18"/>
        <v>77013035.999768913</v>
      </c>
      <c r="AH82" s="174">
        <f t="shared" si="18"/>
        <v>67689352.270141855</v>
      </c>
      <c r="AI82" s="174">
        <f t="shared" si="18"/>
        <v>58461008.980279565</v>
      </c>
      <c r="AJ82" s="174">
        <f t="shared" si="18"/>
        <v>49297873.4155991</v>
      </c>
      <c r="AK82" s="174">
        <f t="shared" si="18"/>
        <v>41256332.832037851</v>
      </c>
      <c r="AL82" s="174">
        <f t="shared" si="18"/>
        <v>33616565.327937596</v>
      </c>
      <c r="AM82" s="174">
        <f t="shared" si="18"/>
        <v>26225398.530454148</v>
      </c>
      <c r="AN82" s="174">
        <f t="shared" si="18"/>
        <v>19004537.609441288</v>
      </c>
      <c r="AO82" s="174">
        <f t="shared" si="18"/>
        <v>11979887.039774274</v>
      </c>
      <c r="AP82" s="174">
        <f t="shared" si="18"/>
        <v>5977293.6571522281</v>
      </c>
      <c r="AQ82" s="174">
        <f t="shared" si="18"/>
        <v>4288101.3971399115</v>
      </c>
      <c r="AR82" s="174">
        <f t="shared" si="18"/>
        <v>3345951.5762388124</v>
      </c>
      <c r="AS82" s="174">
        <f t="shared" si="18"/>
        <v>2425639.3055162001</v>
      </c>
      <c r="AT82" s="170">
        <f>AT$81*AT57/IF(SUM(AT$57:AT$58)=0,1,SUM(AT$57:AT$58))</f>
        <v>1658479.9319480911</v>
      </c>
    </row>
    <row r="83" spans="1:46">
      <c r="B83" t="s">
        <v>1267</v>
      </c>
      <c r="C83" s="334"/>
      <c r="E83" s="44"/>
      <c r="G83" s="44"/>
      <c r="I83" s="44"/>
      <c r="K83" s="174">
        <f>K$81*K58/SUM(K$57:K$58)</f>
        <v>34747624.39527674</v>
      </c>
      <c r="L83" s="174">
        <f t="shared" ref="L83:AS83" si="19">L$81*L58/SUM(L$57:L$58)</f>
        <v>44944895.973062925</v>
      </c>
      <c r="M83" s="174">
        <f t="shared" si="19"/>
        <v>50085464.939850673</v>
      </c>
      <c r="N83" s="174">
        <f t="shared" si="19"/>
        <v>53699355.924063891</v>
      </c>
      <c r="O83" s="174">
        <f t="shared" si="19"/>
        <v>58504548.173927002</v>
      </c>
      <c r="P83" s="174">
        <f t="shared" si="19"/>
        <v>77945899.843967035</v>
      </c>
      <c r="Q83" s="174">
        <f t="shared" si="19"/>
        <v>84693704.335985109</v>
      </c>
      <c r="R83" s="174">
        <f t="shared" si="19"/>
        <v>91346101.011996061</v>
      </c>
      <c r="S83" s="174">
        <f t="shared" si="19"/>
        <v>96582209.506283864</v>
      </c>
      <c r="T83" s="174">
        <f t="shared" si="19"/>
        <v>97812129.402832329</v>
      </c>
      <c r="U83" s="174">
        <f t="shared" si="19"/>
        <v>104701069.17653322</v>
      </c>
      <c r="V83" s="174">
        <f t="shared" si="19"/>
        <v>106672474.18487026</v>
      </c>
      <c r="W83" s="174">
        <f t="shared" si="19"/>
        <v>104022883.81385919</v>
      </c>
      <c r="X83" s="174">
        <f t="shared" si="19"/>
        <v>99559287.943880662</v>
      </c>
      <c r="Y83" s="174">
        <f t="shared" si="19"/>
        <v>94782481.592870519</v>
      </c>
      <c r="Z83" s="174">
        <f t="shared" si="19"/>
        <v>90678202.082581937</v>
      </c>
      <c r="AA83" s="174">
        <f t="shared" si="19"/>
        <v>88265181.809052512</v>
      </c>
      <c r="AB83" s="174">
        <f t="shared" si="19"/>
        <v>85078861.88316986</v>
      </c>
      <c r="AC83" s="174">
        <f t="shared" si="19"/>
        <v>78213485.509436265</v>
      </c>
      <c r="AD83" s="174">
        <f t="shared" si="19"/>
        <v>71079249.034359485</v>
      </c>
      <c r="AE83" s="174">
        <f t="shared" si="19"/>
        <v>64430506.261869632</v>
      </c>
      <c r="AF83" s="174">
        <f t="shared" si="19"/>
        <v>57259392.226544596</v>
      </c>
      <c r="AG83" s="174">
        <f t="shared" si="19"/>
        <v>50244038.516184248</v>
      </c>
      <c r="AH83" s="174">
        <f t="shared" si="19"/>
        <v>43651435.903172053</v>
      </c>
      <c r="AI83" s="174">
        <f t="shared" si="19"/>
        <v>37194797.471557222</v>
      </c>
      <c r="AJ83" s="174">
        <f t="shared" si="19"/>
        <v>30921406.573281869</v>
      </c>
      <c r="AK83" s="174">
        <f t="shared" si="19"/>
        <v>25987308.916331932</v>
      </c>
      <c r="AL83" s="174">
        <f t="shared" si="19"/>
        <v>21258144.4635529</v>
      </c>
      <c r="AM83" s="174">
        <f t="shared" si="19"/>
        <v>16644525.797432918</v>
      </c>
      <c r="AN83" s="174">
        <f t="shared" si="19"/>
        <v>12102410.894635115</v>
      </c>
      <c r="AO83" s="174">
        <f t="shared" si="19"/>
        <v>7652983.2462957036</v>
      </c>
      <c r="AP83" s="174">
        <f t="shared" si="19"/>
        <v>3822543.9350373331</v>
      </c>
      <c r="AQ83" s="174">
        <f t="shared" si="19"/>
        <v>2745103.2973986692</v>
      </c>
      <c r="AR83" s="174">
        <f t="shared" si="19"/>
        <v>2144053.3255960229</v>
      </c>
      <c r="AS83" s="174">
        <f t="shared" si="19"/>
        <v>1555756.3898310317</v>
      </c>
      <c r="AT83" s="170">
        <f>AT$81*AT58/IF(SUM(AT$57:AT$58)=0,1,SUM(AT$57:AT$58))</f>
        <v>1064640.0402040139</v>
      </c>
    </row>
    <row r="84" spans="1:46" s="168" customFormat="1">
      <c r="A84" s="42" t="s">
        <v>1328</v>
      </c>
      <c r="B84" s="42"/>
      <c r="C84" s="42"/>
      <c r="D84" s="42"/>
      <c r="E84" s="42"/>
      <c r="F84" s="42"/>
      <c r="G84" s="42"/>
      <c r="H84" s="42"/>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row>
    <row r="85" spans="1:46">
      <c r="K85" s="174">
        <f>(K75*'2.5 Emission factors'!O14)+('Heat Networks'!K76*'2.5 Emission factors'!O29)</f>
        <v>141511564.88647926</v>
      </c>
      <c r="L85" s="174">
        <f>(L75*'2.5 Emission factors'!P14)+('Heat Networks'!L76*'2.5 Emission factors'!P29)</f>
        <v>144505644.62467477</v>
      </c>
      <c r="M85" s="174">
        <f>(M75*'2.5 Emission factors'!Q14)+('Heat Networks'!M76*'2.5 Emission factors'!Q29)</f>
        <v>148800373.70004913</v>
      </c>
      <c r="N85" s="174">
        <f>(N75*'2.5 Emission factors'!R14)+('Heat Networks'!N76*'2.5 Emission factors'!R29)</f>
        <v>153611291.3318803</v>
      </c>
      <c r="O85" s="174">
        <f>(O75*'2.5 Emission factors'!S14)+('Heat Networks'!O76*'2.5 Emission factors'!S29)</f>
        <v>158582759.00329792</v>
      </c>
      <c r="P85" s="174">
        <f>(P75*'2.5 Emission factors'!T14)+('Heat Networks'!P76*'2.5 Emission factors'!T29)</f>
        <v>192739465.39733443</v>
      </c>
      <c r="Q85" s="174">
        <f>(Q75*'2.5 Emission factors'!U14)+('Heat Networks'!Q76*'2.5 Emission factors'!U29)</f>
        <v>210022473.44185066</v>
      </c>
      <c r="R85" s="174">
        <f>(R75*'2.5 Emission factors'!V14)+('Heat Networks'!R76*'2.5 Emission factors'!V29)</f>
        <v>229314235.94246578</v>
      </c>
      <c r="S85" s="174">
        <f>(S75*'2.5 Emission factors'!W14)+('Heat Networks'!S76*'2.5 Emission factors'!W29)</f>
        <v>247182879.74578741</v>
      </c>
      <c r="T85" s="174">
        <f>(T75*'2.5 Emission factors'!X14)+('Heat Networks'!T76*'2.5 Emission factors'!X29)</f>
        <v>264386200.39165378</v>
      </c>
      <c r="U85" s="174">
        <f>(U75*'2.5 Emission factors'!Y14)+('Heat Networks'!U76*'2.5 Emission factors'!Y29)</f>
        <v>278606523.22688949</v>
      </c>
      <c r="V85" s="174">
        <f>(V75*'2.5 Emission factors'!Z14)+('Heat Networks'!V76*'2.5 Emission factors'!Z29)</f>
        <v>273375119.86064416</v>
      </c>
      <c r="W85" s="174">
        <f>(W75*'2.5 Emission factors'!AA14)+('Heat Networks'!W76*'2.5 Emission factors'!AA29)</f>
        <v>266001692.88654837</v>
      </c>
      <c r="X85" s="174">
        <f>(X75*'2.5 Emission factors'!AB14)+('Heat Networks'!X76*'2.5 Emission factors'!AB29)</f>
        <v>258922040.09845361</v>
      </c>
      <c r="Y85" s="174">
        <f>(Y75*'2.5 Emission factors'!AC14)+('Heat Networks'!Y76*'2.5 Emission factors'!AC29)</f>
        <v>251530251.36754042</v>
      </c>
      <c r="Z85" s="174">
        <f>(Z75*'2.5 Emission factors'!AD14)+('Heat Networks'!Z76*'2.5 Emission factors'!AD29)</f>
        <v>242059019.9218975</v>
      </c>
      <c r="AA85" s="174">
        <f>(AA75*'2.5 Emission factors'!AE14)+('Heat Networks'!AA76*'2.5 Emission factors'!AE29)</f>
        <v>232540406.93192381</v>
      </c>
      <c r="AB85" s="174">
        <f>(AB75*'2.5 Emission factors'!AF14)+('Heat Networks'!AB76*'2.5 Emission factors'!AF29)</f>
        <v>223190740.82572615</v>
      </c>
      <c r="AC85" s="174">
        <f>(AC75*'2.5 Emission factors'!AG14)+('Heat Networks'!AC76*'2.5 Emission factors'!AG29)</f>
        <v>204560643.14618069</v>
      </c>
      <c r="AD85" s="174">
        <f>(AD75*'2.5 Emission factors'!AH14)+('Heat Networks'!AD76*'2.5 Emission factors'!AH29)</f>
        <v>185586159.59860086</v>
      </c>
      <c r="AE85" s="174">
        <f>(AE75*'2.5 Emission factors'!AI14)+('Heat Networks'!AE76*'2.5 Emission factors'!AI29)</f>
        <v>168030200.51301673</v>
      </c>
      <c r="AF85" s="174">
        <f>(AF75*'2.5 Emission factors'!AJ14)+('Heat Networks'!AF76*'2.5 Emission factors'!AJ29)</f>
        <v>149092835.88577384</v>
      </c>
      <c r="AG85" s="174">
        <f>(AG75*'2.5 Emission factors'!AK14)+('Heat Networks'!AG76*'2.5 Emission factors'!AK29)</f>
        <v>131129609.70183632</v>
      </c>
      <c r="AH85" s="174">
        <f>(AH75*'2.5 Emission factors'!AL14)+('Heat Networks'!AH76*'2.5 Emission factors'!AL29)</f>
        <v>114564300.74453221</v>
      </c>
      <c r="AI85" s="174">
        <f>(AI75*'2.5 Emission factors'!AM14)+('Heat Networks'!AI76*'2.5 Emission factors'!AM29)</f>
        <v>98208626.863415688</v>
      </c>
      <c r="AJ85" s="174">
        <f>(AJ75*'2.5 Emission factors'!AN14)+('Heat Networks'!AJ76*'2.5 Emission factors'!AN29)</f>
        <v>82105874.480020076</v>
      </c>
      <c r="AK85" s="174">
        <f>(AK75*'2.5 Emission factors'!AO14)+('Heat Networks'!AK76*'2.5 Emission factors'!AO29)</f>
        <v>68532609.315895319</v>
      </c>
      <c r="AL85" s="174">
        <f>(AL75*'2.5 Emission factors'!AP14)+('Heat Networks'!AL76*'2.5 Emission factors'!AP29)</f>
        <v>55839823.596544787</v>
      </c>
      <c r="AM85" s="174">
        <f>(AM75*'2.5 Emission factors'!AQ14)+('Heat Networks'!AM76*'2.5 Emission factors'!AQ29)</f>
        <v>43568172.356581472</v>
      </c>
      <c r="AN85" s="174">
        <f>(AN75*'2.5 Emission factors'!AR14)+('Heat Networks'!AN76*'2.5 Emission factors'!AR29)</f>
        <v>31537133.689603895</v>
      </c>
      <c r="AO85" s="174">
        <f>(AO75*'2.5 Emission factors'!AS14)+('Heat Networks'!AO76*'2.5 Emission factors'!AS29)</f>
        <v>19812179.513719834</v>
      </c>
      <c r="AP85" s="174">
        <f>(AP75*'2.5 Emission factors'!AT14)+('Heat Networks'!AP76*'2.5 Emission factors'!AT29)</f>
        <v>9799837.5921895616</v>
      </c>
      <c r="AQ85" s="174">
        <f>(AQ75*'2.5 Emission factors'!AU14)+('Heat Networks'!AQ76*'2.5 Emission factors'!AU29)</f>
        <v>7033204.6945385812</v>
      </c>
      <c r="AR85" s="174">
        <f>(AR75*'2.5 Emission factors'!AV14)+('Heat Networks'!AR76*'2.5 Emission factors'!AV29)</f>
        <v>5490004.9018348353</v>
      </c>
      <c r="AS85" s="174">
        <f>(AS75*'2.5 Emission factors'!AW14)+('Heat Networks'!AS76*'2.5 Emission factors'!AW29)</f>
        <v>3981395.6953472318</v>
      </c>
      <c r="AT85" s="174">
        <f>(AT75*'2.5 Emission factors'!AX14)+('Heat Networks'!AT76*'2.5 Emission factors'!AX29)</f>
        <v>2723119.9721521051</v>
      </c>
    </row>
    <row r="86" spans="1:46">
      <c r="B86" t="s">
        <v>679</v>
      </c>
    </row>
    <row r="87" spans="1:46">
      <c r="C87" s="44" t="s">
        <v>726</v>
      </c>
      <c r="K87">
        <f>K81/K56</f>
        <v>0.15167650642745523</v>
      </c>
      <c r="L87">
        <f t="shared" ref="L87:AT87" si="20">L81/L56</f>
        <v>0.191766401299064</v>
      </c>
      <c r="M87">
        <f t="shared" si="20"/>
        <v>0.20888447081588926</v>
      </c>
      <c r="N87">
        <f t="shared" si="20"/>
        <v>0.21892681056640848</v>
      </c>
      <c r="O87">
        <f t="shared" si="20"/>
        <v>0.23319285802721443</v>
      </c>
      <c r="P87">
        <f t="shared" si="20"/>
        <v>0.26295557283535254</v>
      </c>
      <c r="Q87">
        <f t="shared" si="20"/>
        <v>0.25860233697248924</v>
      </c>
      <c r="R87">
        <f t="shared" si="20"/>
        <v>0.25561479490104677</v>
      </c>
      <c r="S87">
        <f t="shared" si="20"/>
        <v>0.2517651020147918</v>
      </c>
      <c r="T87">
        <f t="shared" si="20"/>
        <v>0.24067089967834196</v>
      </c>
      <c r="U87">
        <f t="shared" si="20"/>
        <v>0.24605030714071324</v>
      </c>
      <c r="V87">
        <f t="shared" si="20"/>
        <v>0.23851945444425274</v>
      </c>
      <c r="W87">
        <f t="shared" si="20"/>
        <v>0.22419384034906858</v>
      </c>
      <c r="X87">
        <f t="shared" si="20"/>
        <v>0.20909826891167163</v>
      </c>
      <c r="Y87">
        <f t="shared" si="20"/>
        <v>0.19582267385433566</v>
      </c>
      <c r="Z87">
        <f t="shared" si="20"/>
        <v>0.18584144471973157</v>
      </c>
      <c r="AA87">
        <f t="shared" si="20"/>
        <v>0.17537464569622624</v>
      </c>
      <c r="AB87">
        <f t="shared" si="20"/>
        <v>0.1649299636919451</v>
      </c>
      <c r="AC87">
        <f t="shared" si="20"/>
        <v>0.14879242873965468</v>
      </c>
      <c r="AD87">
        <f t="shared" si="20"/>
        <v>0.13341297456550813</v>
      </c>
      <c r="AE87">
        <f t="shared" si="20"/>
        <v>0.12000942927975665</v>
      </c>
      <c r="AF87">
        <f t="shared" si="20"/>
        <v>0.10631253959407833</v>
      </c>
      <c r="AG87">
        <f t="shared" si="20"/>
        <v>9.3383416830524146E-2</v>
      </c>
      <c r="AH87">
        <f t="shared" si="20"/>
        <v>8.1539526882536545E-2</v>
      </c>
      <c r="AI87">
        <f t="shared" si="20"/>
        <v>7.00972662057152E-2</v>
      </c>
      <c r="AJ87">
        <f t="shared" si="20"/>
        <v>5.9011596762443476E-2</v>
      </c>
      <c r="AK87">
        <f t="shared" si="20"/>
        <v>4.9001575681770708E-2</v>
      </c>
      <c r="AL87">
        <f t="shared" si="20"/>
        <v>3.9721454889722001E-2</v>
      </c>
      <c r="AM87">
        <f t="shared" si="20"/>
        <v>3.0907903061269077E-2</v>
      </c>
      <c r="AN87">
        <f t="shared" si="20"/>
        <v>2.2397195751840668E-2</v>
      </c>
      <c r="AO87">
        <f t="shared" si="20"/>
        <v>1.4154355977201659E-2</v>
      </c>
      <c r="AP87">
        <f t="shared" si="20"/>
        <v>7.2740621900928074E-3</v>
      </c>
      <c r="AQ87">
        <f t="shared" si="20"/>
        <v>5.3835152848975927E-3</v>
      </c>
      <c r="AR87">
        <f t="shared" si="20"/>
        <v>4.3410928581153708E-3</v>
      </c>
      <c r="AS87">
        <f t="shared" si="20"/>
        <v>3.2583535983546665E-3</v>
      </c>
      <c r="AT87">
        <f t="shared" si="20"/>
        <v>2.3113283427862305E-3</v>
      </c>
    </row>
    <row r="90" spans="1:46">
      <c r="G90" t="s">
        <v>22</v>
      </c>
      <c r="I90" t="s">
        <v>34</v>
      </c>
      <c r="K90">
        <v>0.17284032847586897</v>
      </c>
      <c r="L90">
        <v>0.20733952762339861</v>
      </c>
      <c r="M90">
        <v>0.22468942059756869</v>
      </c>
      <c r="N90">
        <v>0.22817509680513551</v>
      </c>
      <c r="O90">
        <v>0.23243057500468114</v>
      </c>
      <c r="P90">
        <v>0.23807430132534099</v>
      </c>
      <c r="Q90">
        <v>0.22502830062578325</v>
      </c>
      <c r="R90">
        <v>0.22002118982804378</v>
      </c>
      <c r="S90">
        <v>0.21072944140942973</v>
      </c>
      <c r="T90">
        <v>0.20070981611934249</v>
      </c>
      <c r="U90">
        <v>0.19658101833162836</v>
      </c>
      <c r="V90">
        <v>0.19883468738803536</v>
      </c>
      <c r="W90">
        <v>0.19430313525291298</v>
      </c>
      <c r="X90">
        <v>0.19047807652446627</v>
      </c>
      <c r="Y90">
        <v>0.18486461548332672</v>
      </c>
      <c r="Z90">
        <v>0.18208548533756952</v>
      </c>
      <c r="AA90">
        <v>0.17352314456834902</v>
      </c>
      <c r="AB90">
        <v>0.16104672659847655</v>
      </c>
      <c r="AC90">
        <v>0.15217656242231697</v>
      </c>
      <c r="AD90">
        <v>0.14153294971281694</v>
      </c>
      <c r="AE90">
        <v>0.12750675336755002</v>
      </c>
      <c r="AF90">
        <v>0.12011589281097165</v>
      </c>
      <c r="AG90">
        <v>0.10983022527450428</v>
      </c>
      <c r="AH90">
        <v>0.10013572513188697</v>
      </c>
      <c r="AI90">
        <v>9.4830476332407723E-2</v>
      </c>
      <c r="AJ90">
        <v>8.9293134873272215E-2</v>
      </c>
      <c r="AK90">
        <v>8.0783174976677516E-2</v>
      </c>
      <c r="AL90">
        <v>7.2315850991195793E-2</v>
      </c>
      <c r="AM90">
        <v>6.4826245653624728E-2</v>
      </c>
      <c r="AN90">
        <v>5.6463197943538206E-2</v>
      </c>
      <c r="AO90">
        <v>4.912561623260666E-2</v>
      </c>
      <c r="AP90">
        <v>4.4768088722201289E-2</v>
      </c>
      <c r="AQ90">
        <v>4.041801591901039E-2</v>
      </c>
      <c r="AR90">
        <v>3.7106360213094956E-2</v>
      </c>
      <c r="AS90">
        <v>3.2780737856195306E-2</v>
      </c>
      <c r="AT90">
        <v>2.9514118810392224E-2</v>
      </c>
    </row>
    <row r="91" spans="1:46">
      <c r="G91" t="str">
        <f>INDEX('Scenario names'!$C$3:$C$6,2)</f>
        <v>High Hydrogen</v>
      </c>
      <c r="K91">
        <v>0.17284032847586897</v>
      </c>
      <c r="L91">
        <v>0.20733952762339861</v>
      </c>
      <c r="M91">
        <v>0.22468942059756869</v>
      </c>
      <c r="N91">
        <v>0.22817509680513551</v>
      </c>
      <c r="O91">
        <v>0.23243057500468114</v>
      </c>
      <c r="P91">
        <v>0.23807430132534099</v>
      </c>
      <c r="Q91">
        <v>0.22502830062578325</v>
      </c>
      <c r="R91">
        <v>0.22002118982804378</v>
      </c>
      <c r="S91">
        <v>0.21072944140942973</v>
      </c>
      <c r="T91">
        <v>0.20070981611934249</v>
      </c>
      <c r="U91">
        <v>0.19658101833162836</v>
      </c>
      <c r="V91">
        <v>0.200197770796263</v>
      </c>
      <c r="W91">
        <v>0.19599025523627034</v>
      </c>
      <c r="X91">
        <v>0.19500290236608239</v>
      </c>
      <c r="Y91">
        <v>0.1936122078623482</v>
      </c>
      <c r="Z91">
        <v>0.18974374463913832</v>
      </c>
      <c r="AA91">
        <v>0.18391050752584751</v>
      </c>
      <c r="AB91">
        <v>0.17700246872044409</v>
      </c>
      <c r="AC91">
        <v>0.16854002225678222</v>
      </c>
      <c r="AD91">
        <v>0.15928238809710746</v>
      </c>
      <c r="AE91">
        <v>0.14743349572794023</v>
      </c>
      <c r="AF91">
        <v>0.14091317572865897</v>
      </c>
      <c r="AG91">
        <v>0.13293415667325714</v>
      </c>
      <c r="AH91">
        <v>0.12528296942685288</v>
      </c>
      <c r="AI91">
        <v>0.11960505816036905</v>
      </c>
      <c r="AJ91">
        <v>0.11403093582198338</v>
      </c>
      <c r="AK91">
        <v>9.0648286021787358E-2</v>
      </c>
      <c r="AL91">
        <v>7.0387459488985504E-2</v>
      </c>
      <c r="AM91">
        <v>5.4216958546654245E-2</v>
      </c>
      <c r="AN91">
        <v>4.04167441788814E-2</v>
      </c>
      <c r="AO91">
        <v>3.0832784934296757E-2</v>
      </c>
      <c r="AP91">
        <v>2.8911465309335249E-2</v>
      </c>
      <c r="AQ91">
        <v>2.687842819454319E-2</v>
      </c>
      <c r="AR91">
        <v>2.5683523096422151E-2</v>
      </c>
      <c r="AS91">
        <v>2.3463072243404128E-2</v>
      </c>
      <c r="AT91">
        <v>2.2121018853999128E-2</v>
      </c>
    </row>
    <row r="92" spans="1:46">
      <c r="G92" t="s">
        <v>1329</v>
      </c>
    </row>
    <row r="94" spans="1:46">
      <c r="K94">
        <v>2015</v>
      </c>
      <c r="L94">
        <v>2016</v>
      </c>
      <c r="M94">
        <f>L94+1</f>
        <v>2017</v>
      </c>
      <c r="N94">
        <f t="shared" ref="N94:AT94" si="21">M94+1</f>
        <v>2018</v>
      </c>
      <c r="O94">
        <f t="shared" si="21"/>
        <v>2019</v>
      </c>
      <c r="P94">
        <f t="shared" si="21"/>
        <v>2020</v>
      </c>
      <c r="Q94">
        <f t="shared" si="21"/>
        <v>2021</v>
      </c>
      <c r="R94">
        <f t="shared" si="21"/>
        <v>2022</v>
      </c>
      <c r="S94">
        <f t="shared" si="21"/>
        <v>2023</v>
      </c>
      <c r="T94">
        <f t="shared" si="21"/>
        <v>2024</v>
      </c>
      <c r="U94">
        <f t="shared" si="21"/>
        <v>2025</v>
      </c>
      <c r="V94">
        <f t="shared" si="21"/>
        <v>2026</v>
      </c>
      <c r="W94">
        <f t="shared" si="21"/>
        <v>2027</v>
      </c>
      <c r="X94">
        <f t="shared" si="21"/>
        <v>2028</v>
      </c>
      <c r="Y94">
        <f t="shared" si="21"/>
        <v>2029</v>
      </c>
      <c r="Z94">
        <f t="shared" si="21"/>
        <v>2030</v>
      </c>
      <c r="AA94">
        <f t="shared" si="21"/>
        <v>2031</v>
      </c>
      <c r="AB94">
        <f t="shared" si="21"/>
        <v>2032</v>
      </c>
      <c r="AC94">
        <f t="shared" si="21"/>
        <v>2033</v>
      </c>
      <c r="AD94">
        <f t="shared" si="21"/>
        <v>2034</v>
      </c>
      <c r="AE94">
        <f t="shared" si="21"/>
        <v>2035</v>
      </c>
      <c r="AF94">
        <f t="shared" si="21"/>
        <v>2036</v>
      </c>
      <c r="AG94">
        <f t="shared" si="21"/>
        <v>2037</v>
      </c>
      <c r="AH94">
        <f t="shared" si="21"/>
        <v>2038</v>
      </c>
      <c r="AI94">
        <f t="shared" si="21"/>
        <v>2039</v>
      </c>
      <c r="AJ94">
        <f t="shared" si="21"/>
        <v>2040</v>
      </c>
      <c r="AK94">
        <f t="shared" si="21"/>
        <v>2041</v>
      </c>
      <c r="AL94">
        <f t="shared" si="21"/>
        <v>2042</v>
      </c>
      <c r="AM94">
        <f t="shared" si="21"/>
        <v>2043</v>
      </c>
      <c r="AN94">
        <f t="shared" si="21"/>
        <v>2044</v>
      </c>
      <c r="AO94">
        <f t="shared" si="21"/>
        <v>2045</v>
      </c>
      <c r="AP94">
        <f t="shared" si="21"/>
        <v>2046</v>
      </c>
      <c r="AQ94">
        <f t="shared" si="21"/>
        <v>2047</v>
      </c>
      <c r="AR94">
        <f t="shared" si="21"/>
        <v>2048</v>
      </c>
      <c r="AS94">
        <f t="shared" si="21"/>
        <v>2049</v>
      </c>
      <c r="AT94">
        <f t="shared" si="21"/>
        <v>2050</v>
      </c>
    </row>
    <row r="95" spans="1:46">
      <c r="J95" t="s">
        <v>1330</v>
      </c>
      <c r="K95" s="202">
        <f>K56/1000</f>
        <v>384272.73379629682</v>
      </c>
      <c r="L95" s="202">
        <f t="shared" ref="L95:AS95" si="22">L56/1000</f>
        <v>396380.82492267643</v>
      </c>
      <c r="M95" s="202">
        <f t="shared" si="22"/>
        <v>409609.66102952359</v>
      </c>
      <c r="N95" s="202">
        <f t="shared" si="22"/>
        <v>423894.25973526924</v>
      </c>
      <c r="O95" s="202">
        <f t="shared" si="22"/>
        <v>439169.63865834469</v>
      </c>
      <c r="P95" s="202">
        <f t="shared" si="22"/>
        <v>537283.57744604326</v>
      </c>
      <c r="Q95" s="202">
        <f t="shared" si="22"/>
        <v>612164.65176967834</v>
      </c>
      <c r="R95" s="202">
        <f t="shared" si="22"/>
        <v>692441.70664661808</v>
      </c>
      <c r="S95" s="202">
        <f t="shared" si="22"/>
        <v>768331.59414869687</v>
      </c>
      <c r="T95" s="202">
        <f t="shared" si="22"/>
        <v>839947.97487492149</v>
      </c>
      <c r="U95" s="202">
        <f t="shared" si="22"/>
        <v>907082.7508433254</v>
      </c>
      <c r="V95" s="202">
        <f t="shared" si="22"/>
        <v>978552.29704184283</v>
      </c>
      <c r="W95" s="202">
        <f t="shared" si="22"/>
        <v>1042183.5074210924</v>
      </c>
      <c r="X95" s="202">
        <f t="shared" si="22"/>
        <v>1098441.2539299771</v>
      </c>
      <c r="Y95" s="202">
        <f t="shared" si="22"/>
        <v>1147897.4292825125</v>
      </c>
      <c r="Z95" s="202">
        <f t="shared" si="22"/>
        <v>1190977.1067091436</v>
      </c>
      <c r="AA95" s="202">
        <f t="shared" si="22"/>
        <v>1234634.8279464745</v>
      </c>
      <c r="AB95" s="202">
        <f t="shared" si="22"/>
        <v>1271713.9442281683</v>
      </c>
      <c r="AC95" s="202">
        <f t="shared" si="22"/>
        <v>1303157.8963091057</v>
      </c>
      <c r="AD95" s="202">
        <f t="shared" si="22"/>
        <v>1325799.48799528</v>
      </c>
      <c r="AE95" s="202">
        <f t="shared" si="22"/>
        <v>1342593.1974686601</v>
      </c>
      <c r="AF95" s="202">
        <f t="shared" si="22"/>
        <v>1355151.5230529364</v>
      </c>
      <c r="AG95" s="202">
        <f t="shared" si="22"/>
        <v>1362737.3985137453</v>
      </c>
      <c r="AH95" s="202">
        <f t="shared" si="22"/>
        <v>1365482.3915486804</v>
      </c>
      <c r="AI95" s="202">
        <f t="shared" si="22"/>
        <v>1364615.3641871663</v>
      </c>
      <c r="AJ95" s="202">
        <f t="shared" si="22"/>
        <v>1359381.6197146967</v>
      </c>
      <c r="AK95" s="202">
        <f t="shared" si="22"/>
        <v>1372275.0914188537</v>
      </c>
      <c r="AL95" s="202">
        <f t="shared" si="22"/>
        <v>1381487.9123596612</v>
      </c>
      <c r="AM95" s="202">
        <f t="shared" si="22"/>
        <v>1387021.4437681371</v>
      </c>
      <c r="AN95" s="202">
        <f t="shared" si="22"/>
        <v>1388876.9312345695</v>
      </c>
      <c r="AO95" s="202">
        <f t="shared" si="22"/>
        <v>1387055.0039643294</v>
      </c>
      <c r="AP95" s="202">
        <f t="shared" si="22"/>
        <v>1347230.3832563919</v>
      </c>
      <c r="AQ95" s="202">
        <f t="shared" si="22"/>
        <v>1306433.4960223616</v>
      </c>
      <c r="AR95" s="202">
        <f t="shared" si="22"/>
        <v>1264659.63324688</v>
      </c>
      <c r="AS95" s="202">
        <f t="shared" si="22"/>
        <v>1221904.1227930791</v>
      </c>
      <c r="AT95" s="202">
        <f>AT56/1000</f>
        <v>1178162.3241246084</v>
      </c>
    </row>
    <row r="96" spans="1:46">
      <c r="J96" t="s">
        <v>1331</v>
      </c>
      <c r="K96" s="202">
        <f>AVERAGE(L96:AT96)</f>
        <v>22682.559723666047</v>
      </c>
      <c r="L96" s="202">
        <f t="shared" ref="L96:S96" si="23">L95-K95</f>
        <v>12108.091126379615</v>
      </c>
      <c r="M96" s="202">
        <f t="shared" si="23"/>
        <v>13228.836106847157</v>
      </c>
      <c r="N96" s="202">
        <f t="shared" si="23"/>
        <v>14284.598705745651</v>
      </c>
      <c r="O96" s="202">
        <f t="shared" si="23"/>
        <v>15275.378923075448</v>
      </c>
      <c r="P96" s="202">
        <f t="shared" si="23"/>
        <v>98113.938787698571</v>
      </c>
      <c r="Q96" s="202">
        <f t="shared" si="23"/>
        <v>74881.074323635083</v>
      </c>
      <c r="R96" s="202">
        <f t="shared" si="23"/>
        <v>80277.054876939743</v>
      </c>
      <c r="S96" s="202">
        <f t="shared" si="23"/>
        <v>75889.887502078782</v>
      </c>
      <c r="T96" s="202">
        <f t="shared" ref="T96:AT96" si="24">T95-S95</f>
        <v>71616.380726224626</v>
      </c>
      <c r="U96" s="202">
        <f t="shared" si="24"/>
        <v>67134.775968403905</v>
      </c>
      <c r="V96" s="202">
        <f t="shared" si="24"/>
        <v>71469.546198517433</v>
      </c>
      <c r="W96" s="202">
        <f t="shared" si="24"/>
        <v>63631.210379249533</v>
      </c>
      <c r="X96" s="202">
        <f t="shared" si="24"/>
        <v>56257.746508884709</v>
      </c>
      <c r="Y96" s="202">
        <f t="shared" si="24"/>
        <v>49456.175352535443</v>
      </c>
      <c r="Z96" s="202">
        <f t="shared" si="24"/>
        <v>43079.677426631097</v>
      </c>
      <c r="AA96" s="202">
        <f t="shared" si="24"/>
        <v>43657.72123733093</v>
      </c>
      <c r="AB96" s="202">
        <f t="shared" si="24"/>
        <v>37079.116281693801</v>
      </c>
      <c r="AC96" s="202">
        <f t="shared" si="24"/>
        <v>31443.952080937335</v>
      </c>
      <c r="AD96" s="202">
        <f t="shared" si="24"/>
        <v>22641.591686174273</v>
      </c>
      <c r="AE96" s="202">
        <f t="shared" si="24"/>
        <v>16793.70947338012</v>
      </c>
      <c r="AF96" s="202">
        <f t="shared" si="24"/>
        <v>12558.325584276346</v>
      </c>
      <c r="AG96" s="202">
        <f t="shared" si="24"/>
        <v>7585.8754608088639</v>
      </c>
      <c r="AH96" s="202">
        <f t="shared" si="24"/>
        <v>2744.9930349350907</v>
      </c>
      <c r="AI96" s="202">
        <f t="shared" si="24"/>
        <v>-867.02736151404679</v>
      </c>
      <c r="AJ96" s="202">
        <f t="shared" si="24"/>
        <v>-5233.7444724696688</v>
      </c>
      <c r="AK96" s="202">
        <f t="shared" si="24"/>
        <v>12893.471704157069</v>
      </c>
      <c r="AL96" s="202">
        <f t="shared" si="24"/>
        <v>9212.8209408074617</v>
      </c>
      <c r="AM96" s="202">
        <f t="shared" si="24"/>
        <v>5533.5314084759448</v>
      </c>
      <c r="AN96" s="202">
        <f t="shared" si="24"/>
        <v>1855.487466432387</v>
      </c>
      <c r="AO96" s="202">
        <f t="shared" si="24"/>
        <v>-1821.9272702401504</v>
      </c>
      <c r="AP96" s="202">
        <f t="shared" si="24"/>
        <v>-39824.620707937516</v>
      </c>
      <c r="AQ96" s="202">
        <f t="shared" si="24"/>
        <v>-40796.887234030291</v>
      </c>
      <c r="AR96" s="202">
        <f t="shared" si="24"/>
        <v>-41773.862775481539</v>
      </c>
      <c r="AS96" s="202">
        <f t="shared" si="24"/>
        <v>-42755.510453800904</v>
      </c>
      <c r="AT96" s="202">
        <f t="shared" si="24"/>
        <v>-43741.798668470699</v>
      </c>
    </row>
    <row r="97" spans="1:47">
      <c r="J97" t="s">
        <v>1332</v>
      </c>
      <c r="P97" s="202">
        <f>K96</f>
        <v>22682.559723666047</v>
      </c>
      <c r="Q97" s="202">
        <f>P97+$K$96</f>
        <v>45365.119447332094</v>
      </c>
      <c r="R97" s="202">
        <f>Q97+$K$96</f>
        <v>68047.679170998133</v>
      </c>
      <c r="S97" s="202">
        <f>R97</f>
        <v>68047.679170998133</v>
      </c>
      <c r="T97" s="202">
        <f t="shared" ref="T97:AT97" si="25">S97</f>
        <v>68047.679170998133</v>
      </c>
      <c r="U97" s="202">
        <f t="shared" si="25"/>
        <v>68047.679170998133</v>
      </c>
      <c r="V97" s="202">
        <f t="shared" si="25"/>
        <v>68047.679170998133</v>
      </c>
      <c r="W97" s="202">
        <f t="shared" si="25"/>
        <v>68047.679170998133</v>
      </c>
      <c r="X97" s="202">
        <f t="shared" si="25"/>
        <v>68047.679170998133</v>
      </c>
      <c r="Y97" s="202">
        <f t="shared" si="25"/>
        <v>68047.679170998133</v>
      </c>
      <c r="Z97" s="202">
        <f t="shared" si="25"/>
        <v>68047.679170998133</v>
      </c>
      <c r="AA97" s="202">
        <f t="shared" si="25"/>
        <v>68047.679170998133</v>
      </c>
      <c r="AB97" s="202">
        <f t="shared" si="25"/>
        <v>68047.679170998133</v>
      </c>
      <c r="AC97" s="202">
        <f t="shared" si="25"/>
        <v>68047.679170998133</v>
      </c>
      <c r="AD97" s="202">
        <f t="shared" si="25"/>
        <v>68047.679170998133</v>
      </c>
      <c r="AE97" s="202">
        <f t="shared" si="25"/>
        <v>68047.679170998133</v>
      </c>
      <c r="AF97" s="202">
        <f t="shared" si="25"/>
        <v>68047.679170998133</v>
      </c>
      <c r="AG97" s="202">
        <f t="shared" si="25"/>
        <v>68047.679170998133</v>
      </c>
      <c r="AH97" s="202">
        <f t="shared" si="25"/>
        <v>68047.679170998133</v>
      </c>
      <c r="AI97" s="202">
        <f t="shared" si="25"/>
        <v>68047.679170998133</v>
      </c>
      <c r="AJ97" s="202">
        <f t="shared" si="25"/>
        <v>68047.679170998133</v>
      </c>
      <c r="AK97" s="202">
        <f t="shared" si="25"/>
        <v>68047.679170998133</v>
      </c>
      <c r="AL97" s="202">
        <f t="shared" si="25"/>
        <v>68047.679170998133</v>
      </c>
      <c r="AM97" s="202">
        <f t="shared" si="25"/>
        <v>68047.679170998133</v>
      </c>
      <c r="AN97" s="202">
        <f t="shared" si="25"/>
        <v>68047.679170998133</v>
      </c>
      <c r="AO97" s="202">
        <f t="shared" si="25"/>
        <v>68047.679170998133</v>
      </c>
      <c r="AP97" s="202">
        <f t="shared" si="25"/>
        <v>68047.679170998133</v>
      </c>
      <c r="AQ97" s="202">
        <f t="shared" si="25"/>
        <v>68047.679170998133</v>
      </c>
      <c r="AR97" s="202">
        <f t="shared" si="25"/>
        <v>68047.679170998133</v>
      </c>
      <c r="AS97" s="202">
        <f t="shared" si="25"/>
        <v>68047.679170998133</v>
      </c>
      <c r="AT97" s="202">
        <f t="shared" si="25"/>
        <v>68047.679170998133</v>
      </c>
    </row>
    <row r="98" spans="1:47">
      <c r="J98" t="s">
        <v>1333</v>
      </c>
      <c r="P98" s="202">
        <f>P97*'2.5 Emission factors'!O14/0.9</f>
        <v>4637.3233212828363</v>
      </c>
      <c r="Q98" s="202">
        <f>Q97*'2.5 Emission factors'!P14/0.9</f>
        <v>9252.6969358919469</v>
      </c>
      <c r="R98" s="202">
        <f>R97*'2.5 Emission factors'!Q14/0.9</f>
        <v>13875.595429529123</v>
      </c>
      <c r="S98" s="202">
        <f>S97*'2.5 Emission factors'!R14/0.9</f>
        <v>13868.56955532236</v>
      </c>
      <c r="T98" s="202">
        <f>T97*'2.5 Emission factors'!S14/0.9</f>
        <v>13857.981046252553</v>
      </c>
      <c r="U98" s="202">
        <f>U97*'2.5 Emission factors'!T14/0.9</f>
        <v>13847.352944478112</v>
      </c>
      <c r="V98" s="202">
        <f>V97*'2.5 Emission factors'!U14/0.9</f>
        <v>13839.551690673299</v>
      </c>
      <c r="W98" s="202">
        <f>W97*'2.5 Emission factors'!V14/0.9</f>
        <v>13825.992148842026</v>
      </c>
      <c r="X98" s="202">
        <f>X97*'2.5 Emission factors'!W14/0.9</f>
        <v>13804.650105424622</v>
      </c>
      <c r="Y98" s="202">
        <f>Y97*'2.5 Emission factors'!X14/0.9</f>
        <v>13782.507292610961</v>
      </c>
      <c r="Z98" s="202">
        <f>Z97*'2.5 Emission factors'!Y14/0.9</f>
        <v>13751.598510248557</v>
      </c>
      <c r="AA98" s="202">
        <f>AA97*'2.5 Emission factors'!Z14/0.9</f>
        <v>13711.362390739374</v>
      </c>
      <c r="AB98" s="202">
        <f>AB97*'2.5 Emission factors'!AA14/0.9</f>
        <v>13583.358368942929</v>
      </c>
      <c r="AC98" s="202">
        <f>AC97*'2.5 Emission factors'!AB14/0.9</f>
        <v>13453.256049491814</v>
      </c>
      <c r="AD98" s="202">
        <f>AD97*'2.5 Emission factors'!AC14/0.9</f>
        <v>13314.979134687106</v>
      </c>
      <c r="AE98" s="202">
        <f>AE97*'2.5 Emission factors'!AD14/0.9</f>
        <v>13159.595829170248</v>
      </c>
      <c r="AF98" s="202">
        <f>AF97*'2.5 Emission factors'!AE14/0.9</f>
        <v>12992.388964445025</v>
      </c>
      <c r="AG98" s="202">
        <f>AG97*'2.5 Emission factors'!AF14/0.9</f>
        <v>12830.747944680495</v>
      </c>
      <c r="AH98" s="202">
        <f>AH97*'2.5 Emission factors'!AG14/0.9</f>
        <v>12661.927996359473</v>
      </c>
      <c r="AI98" s="202">
        <f>AI97*'2.5 Emission factors'!AH14/0.9</f>
        <v>12478.399686523704</v>
      </c>
      <c r="AJ98" s="202">
        <f>AJ97*'2.5 Emission factors'!AI14/0.9</f>
        <v>12379.48278116811</v>
      </c>
      <c r="AK98" s="202">
        <f>AK97*'2.5 Emission factors'!AJ14/0.9</f>
        <v>12148.84079612097</v>
      </c>
      <c r="AL98" s="202">
        <f>AL97*'2.5 Emission factors'!AK14/0.9</f>
        <v>11875.788436946659</v>
      </c>
      <c r="AM98" s="202">
        <f>AM97*'2.5 Emission factors'!AL14/0.9</f>
        <v>11574.966551528787</v>
      </c>
      <c r="AN98" s="202">
        <f>AN97*'2.5 Emission factors'!AM14/0.9</f>
        <v>11373.306639307668</v>
      </c>
      <c r="AO98" s="202">
        <f>AO97*'2.5 Emission factors'!AN14/0.9</f>
        <v>11117.497207631099</v>
      </c>
      <c r="AP98" s="202">
        <f>AP97*'2.5 Emission factors'!AO14/0.9</f>
        <v>10803.427296426873</v>
      </c>
      <c r="AQ98" s="202">
        <f>AQ97*'2.5 Emission factors'!AP14/0.9</f>
        <v>10400.184140072999</v>
      </c>
      <c r="AR98" s="202">
        <f>AR97*'2.5 Emission factors'!AQ14/0.9</f>
        <v>9849.0759422316733</v>
      </c>
      <c r="AS98" s="202">
        <f>AS97*'2.5 Emission factors'!AR14/0.9</f>
        <v>9049.5589177123111</v>
      </c>
      <c r="AT98" s="202">
        <f>AT97*'2.5 Emission factors'!AS14/0.9</f>
        <v>7789.3036045173803</v>
      </c>
      <c r="AU98" s="159">
        <f>SUM(P98:AT98)</f>
        <v>374891.26765926112</v>
      </c>
    </row>
    <row r="99" spans="1:47">
      <c r="J99" t="s">
        <v>1334</v>
      </c>
      <c r="P99" s="202">
        <f>P97*P87</f>
        <v>5964.505485508701</v>
      </c>
      <c r="Q99" s="202">
        <f t="shared" ref="Q99:AT99" si="26">Q97*Q87</f>
        <v>11731.5259061162</v>
      </c>
      <c r="R99" s="202">
        <f t="shared" si="26"/>
        <v>17393.993554786921</v>
      </c>
      <c r="S99" s="202">
        <f t="shared" si="26"/>
        <v>17132.030888356167</v>
      </c>
      <c r="T99" s="202">
        <f t="shared" si="26"/>
        <v>16377.096167107291</v>
      </c>
      <c r="U99" s="202">
        <f t="shared" si="26"/>
        <v>16743.152360236807</v>
      </c>
      <c r="V99" s="202">
        <f t="shared" si="26"/>
        <v>16230.695312064016</v>
      </c>
      <c r="W99" s="202">
        <f t="shared" si="26"/>
        <v>15255.870520187395</v>
      </c>
      <c r="X99" s="202">
        <f t="shared" si="26"/>
        <v>14228.651918112524</v>
      </c>
      <c r="Y99" s="202">
        <f t="shared" si="26"/>
        <v>13325.278484846838</v>
      </c>
      <c r="Z99" s="202">
        <f t="shared" si="26"/>
        <v>12646.079006963078</v>
      </c>
      <c r="AA99" s="202">
        <f t="shared" si="26"/>
        <v>11933.837625064272</v>
      </c>
      <c r="AB99" s="202">
        <f t="shared" si="26"/>
        <v>11223.101254993851</v>
      </c>
      <c r="AC99" s="202">
        <f t="shared" si="26"/>
        <v>10124.979453949623</v>
      </c>
      <c r="AD99" s="202">
        <f t="shared" si="26"/>
        <v>9078.4432904822315</v>
      </c>
      <c r="AE99" s="202">
        <f t="shared" si="26"/>
        <v>8166.3631411234701</v>
      </c>
      <c r="AF99" s="202">
        <f t="shared" si="26"/>
        <v>7234.3215861518784</v>
      </c>
      <c r="AG99" s="202">
        <f t="shared" si="26"/>
        <v>6354.5247883750944</v>
      </c>
      <c r="AH99" s="202">
        <f t="shared" si="26"/>
        <v>5548.5755650578249</v>
      </c>
      <c r="AI99" s="202">
        <f t="shared" si="26"/>
        <v>4769.956281530558</v>
      </c>
      <c r="AJ99" s="202">
        <f t="shared" si="26"/>
        <v>4015.6022038590659</v>
      </c>
      <c r="AK99" s="202">
        <f t="shared" si="26"/>
        <v>3334.4435008665173</v>
      </c>
      <c r="AL99" s="202">
        <f t="shared" si="26"/>
        <v>2702.9528185410777</v>
      </c>
      <c r="AM99" s="202">
        <f t="shared" si="26"/>
        <v>2103.2110713615493</v>
      </c>
      <c r="AN99" s="202">
        <f t="shared" si="26"/>
        <v>1524.0771908512961</v>
      </c>
      <c r="AO99" s="202">
        <f t="shared" si="26"/>
        <v>963.17107440871825</v>
      </c>
      <c r="AP99" s="202">
        <f t="shared" si="26"/>
        <v>494.98305018132339</v>
      </c>
      <c r="AQ99" s="202">
        <f t="shared" si="26"/>
        <v>366.33572091887601</v>
      </c>
      <c r="AR99" s="202">
        <f t="shared" si="26"/>
        <v>295.40129406054609</v>
      </c>
      <c r="AS99" s="202">
        <f t="shared" si="26"/>
        <v>221.72340028650567</v>
      </c>
      <c r="AT99" s="202">
        <f t="shared" si="26"/>
        <v>157.2805295287522</v>
      </c>
      <c r="AU99" s="159">
        <f>SUM(P99:AT99)</f>
        <v>247642.16444587903</v>
      </c>
    </row>
    <row r="100" spans="1:47">
      <c r="AU100" s="159">
        <f>AU98-AU99</f>
        <v>127249.1032133821</v>
      </c>
    </row>
    <row r="101" spans="1:47">
      <c r="J101" t="s">
        <v>1333</v>
      </c>
      <c r="K101" s="202">
        <f>K95*'2.5 Emission factors'!O14</f>
        <v>70706.183018518612</v>
      </c>
      <c r="L101" s="202">
        <f>L95*'2.5 Emission factors'!P14/0.9</f>
        <v>80846.070480787865</v>
      </c>
      <c r="M101" s="202">
        <f>M95*'2.5 Emission factors'!Q14/0.9</f>
        <v>83523.464866301671</v>
      </c>
      <c r="N101" s="202">
        <f>N95*'2.5 Emission factors'!R14/0.9</f>
        <v>86392.469175436723</v>
      </c>
      <c r="O101" s="202">
        <f>O95*'2.5 Emission factors'!S14/0.9</f>
        <v>89437.356317815065</v>
      </c>
      <c r="P101" s="202">
        <f>P95*'2.5 Emission factors'!T14/0.9</f>
        <v>109334.44635887162</v>
      </c>
      <c r="Q101" s="202">
        <f>Q95*'2.5 Emission factors'!U14/0.9</f>
        <v>124502.17912766495</v>
      </c>
      <c r="R101" s="202">
        <f>R95*'2.5 Emission factors'!V14/0.9</f>
        <v>140690.96428063363</v>
      </c>
      <c r="S101" s="202">
        <f>S95*'2.5 Emission factors'!W14/0.9</f>
        <v>155869.36911562411</v>
      </c>
      <c r="T101" s="202">
        <f>T95*'2.5 Emission factors'!X14/0.9</f>
        <v>170124.67185010694</v>
      </c>
      <c r="U101" s="202">
        <f>U95*'2.5 Emission factors'!Y14/0.9</f>
        <v>183310.2606456794</v>
      </c>
      <c r="V101" s="202">
        <f>V95*'2.5 Emission factors'!Z14/0.9</f>
        <v>197174.76520124415</v>
      </c>
      <c r="W101" s="202">
        <f>W95*'2.5 Emission factors'!AA14/0.9</f>
        <v>208035.78079318267</v>
      </c>
      <c r="X101" s="202">
        <f>X95*'2.5 Emission factors'!AB14/0.9</f>
        <v>217165.54663546916</v>
      </c>
      <c r="Y101" s="202">
        <f>Y95*'2.5 Emission factors'!AC14/0.9</f>
        <v>224610.60400384307</v>
      </c>
      <c r="Z101" s="202">
        <f>Z95*'2.5 Emission factors'!AD14/0.9</f>
        <v>230320.52756277722</v>
      </c>
      <c r="AA101" s="202">
        <f>AA95*'2.5 Emission factors'!AE14/0.9</f>
        <v>235729.65469434933</v>
      </c>
      <c r="AB101" s="202">
        <f>AB95*'2.5 Emission factors'!AF14/0.9</f>
        <v>239788.35538422604</v>
      </c>
      <c r="AC101" s="202">
        <f>AC95*'2.5 Emission factors'!AG14/0.9</f>
        <v>242484.26473868161</v>
      </c>
      <c r="AD101" s="202">
        <f>AD95*'2.5 Emission factors'!AH14/0.9</f>
        <v>243121.53062296601</v>
      </c>
      <c r="AE101" s="202">
        <f>AE95*'2.5 Emission factors'!AI14/0.9</f>
        <v>244249.46703047006</v>
      </c>
      <c r="AF101" s="202">
        <f>AF95*'2.5 Emission factors'!AJ14/0.9</f>
        <v>241940.9494748459</v>
      </c>
      <c r="AG101" s="202">
        <f>AG95*'2.5 Emission factors'!AK14/0.9</f>
        <v>237827.08296628782</v>
      </c>
      <c r="AH101" s="202">
        <f>AH95*'2.5 Emission factors'!AL14/0.9</f>
        <v>232269.68504186347</v>
      </c>
      <c r="AI101" s="202">
        <f>AI95*'2.5 Emission factors'!AM14/0.9</f>
        <v>228078.15300519232</v>
      </c>
      <c r="AJ101" s="202">
        <f>AJ95*'2.5 Emission factors'!AN14/0.9</f>
        <v>222093.11978599112</v>
      </c>
      <c r="AK101" s="202">
        <f>AK95*'2.5 Emission factors'!AO14/0.9</f>
        <v>217865.97811200074</v>
      </c>
      <c r="AL101" s="202">
        <f>AL95*'2.5 Emission factors'!AP14/0.9</f>
        <v>211142.08229968583</v>
      </c>
      <c r="AM101" s="202">
        <f>AM95*'2.5 Emission factors'!AQ14/0.9</f>
        <v>200754.5253504907</v>
      </c>
      <c r="AN101" s="202">
        <f>AN95*'2.5 Emission factors'!AR14/0.9</f>
        <v>184704.66255101151</v>
      </c>
      <c r="AO101" s="202">
        <f>AO95*'2.5 Emission factors'!AS14/0.9</f>
        <v>158773.85788416365</v>
      </c>
      <c r="AP101" s="202">
        <f>AP95*'2.5 Emission factors'!AT14/0.9</f>
        <v>113316.6416593568</v>
      </c>
      <c r="AQ101" s="202">
        <f>AQ95*'2.5 Emission factors'!AU14/0.9</f>
        <v>91173.490866762062</v>
      </c>
      <c r="AR101" s="202">
        <f>AR95*'2.5 Emission factors'!AV14/0.9</f>
        <v>88123.497979450578</v>
      </c>
      <c r="AS101" s="202">
        <f>AS95*'2.5 Emission factors'!AW14/0.9</f>
        <v>84948.580933660924</v>
      </c>
      <c r="AT101" s="202">
        <f>AT95*'2.5 Emission factors'!AX14/0.9</f>
        <v>2416.8958000187254</v>
      </c>
      <c r="AU101" s="159">
        <f>SUM(P101:AT101)</f>
        <v>5681941.5917565739</v>
      </c>
    </row>
    <row r="102" spans="1:47">
      <c r="J102" t="s">
        <v>1334</v>
      </c>
      <c r="K102" s="202">
        <f>K95*K87</f>
        <v>58285.145777549806</v>
      </c>
      <c r="L102" s="202">
        <f t="shared" ref="L102:AT102" si="27">L95*L87</f>
        <v>76012.524339376003</v>
      </c>
      <c r="M102" s="202">
        <f t="shared" si="27"/>
        <v>85561.097285227806</v>
      </c>
      <c r="N102" s="202">
        <f t="shared" si="27"/>
        <v>92801.818301251245</v>
      </c>
      <c r="O102" s="202">
        <f t="shared" si="27"/>
        <v>102411.22319751844</v>
      </c>
      <c r="P102" s="202">
        <f t="shared" si="27"/>
        <v>141281.71088235179</v>
      </c>
      <c r="Q102" s="202">
        <f t="shared" si="27"/>
        <v>158307.2095595889</v>
      </c>
      <c r="R102" s="202">
        <f t="shared" si="27"/>
        <v>176998.34482540606</v>
      </c>
      <c r="S102" s="202">
        <f t="shared" si="27"/>
        <v>193439.08218203427</v>
      </c>
      <c r="T102" s="202">
        <f t="shared" si="27"/>
        <v>202151.03479614871</v>
      </c>
      <c r="U102" s="202">
        <f t="shared" si="27"/>
        <v>223187.98944704328</v>
      </c>
      <c r="V102" s="202">
        <f t="shared" si="27"/>
        <v>233403.76003559071</v>
      </c>
      <c r="W102" s="202">
        <f t="shared" si="27"/>
        <v>233651.12287719673</v>
      </c>
      <c r="X102" s="202">
        <f t="shared" si="27"/>
        <v>229682.16469792413</v>
      </c>
      <c r="Y102" s="202">
        <f t="shared" si="27"/>
        <v>224784.34391261978</v>
      </c>
      <c r="Z102" s="202">
        <f t="shared" si="27"/>
        <v>221332.90613895317</v>
      </c>
      <c r="AA102" s="202">
        <f t="shared" si="27"/>
        <v>216523.64551533421</v>
      </c>
      <c r="AB102" s="202">
        <f t="shared" si="27"/>
        <v>209743.7346480921</v>
      </c>
      <c r="AC102" s="202">
        <f t="shared" si="27"/>
        <v>193900.0284230909</v>
      </c>
      <c r="AD102" s="202">
        <f t="shared" si="27"/>
        <v>176878.85337087797</v>
      </c>
      <c r="AE102" s="202">
        <f t="shared" si="27"/>
        <v>161123.84338309753</v>
      </c>
      <c r="AF102" s="202">
        <f t="shared" si="27"/>
        <v>144069.59995054084</v>
      </c>
      <c r="AG102" s="202">
        <f t="shared" si="27"/>
        <v>127257.07451595317</v>
      </c>
      <c r="AH102" s="202">
        <f t="shared" si="27"/>
        <v>111340.78817331392</v>
      </c>
      <c r="AI102" s="202">
        <f t="shared" si="27"/>
        <v>95655.80645183679</v>
      </c>
      <c r="AJ102" s="202">
        <f t="shared" si="27"/>
        <v>80219.279988880968</v>
      </c>
      <c r="AK102" s="202">
        <f t="shared" si="27"/>
        <v>67243.641748369773</v>
      </c>
      <c r="AL102" s="202">
        <f t="shared" si="27"/>
        <v>54874.709791490503</v>
      </c>
      <c r="AM102" s="202">
        <f t="shared" si="27"/>
        <v>42869.924327887064</v>
      </c>
      <c r="AN102" s="202">
        <f t="shared" si="27"/>
        <v>31106.948504076405</v>
      </c>
      <c r="AO102" s="202">
        <f t="shared" si="27"/>
        <v>19632.870286069974</v>
      </c>
      <c r="AP102" s="202">
        <f t="shared" si="27"/>
        <v>9799.8375921895622</v>
      </c>
      <c r="AQ102" s="202">
        <f t="shared" si="27"/>
        <v>7033.2046945385819</v>
      </c>
      <c r="AR102" s="202">
        <f t="shared" si="27"/>
        <v>5490.0049018348354</v>
      </c>
      <c r="AS102" s="202">
        <f t="shared" si="27"/>
        <v>3981.3956953472316</v>
      </c>
      <c r="AT102" s="202">
        <f t="shared" si="27"/>
        <v>2723.1199721521048</v>
      </c>
      <c r="AU102" s="159">
        <f>SUM(P102:AT102)</f>
        <v>3999687.981289831</v>
      </c>
    </row>
    <row r="103" spans="1:47">
      <c r="AU103" s="159">
        <f>AU101-AU102</f>
        <v>1682253.6104667429</v>
      </c>
    </row>
    <row r="105" spans="1:47" s="168" customFormat="1">
      <c r="A105" s="42" t="s">
        <v>1335</v>
      </c>
      <c r="B105" s="42"/>
      <c r="C105" s="42"/>
      <c r="D105" s="42"/>
      <c r="E105" s="42"/>
      <c r="F105" s="42"/>
      <c r="G105" s="42"/>
      <c r="H105" s="42"/>
      <c r="I105" s="42"/>
      <c r="J105" s="42"/>
      <c r="K105" s="42"/>
      <c r="L105" s="42"/>
      <c r="M105" s="42"/>
      <c r="N105" s="42"/>
      <c r="O105" s="42"/>
      <c r="P105" s="42"/>
      <c r="Q105" s="42"/>
      <c r="R105" s="42"/>
      <c r="S105" s="42"/>
      <c r="T105" s="42"/>
      <c r="U105" s="42"/>
      <c r="V105" s="42"/>
      <c r="W105" s="42"/>
      <c r="X105" s="42"/>
      <c r="Y105" s="42"/>
      <c r="Z105" s="42"/>
      <c r="AA105" s="42"/>
      <c r="AB105" s="42"/>
      <c r="AC105" s="42"/>
      <c r="AD105" s="42"/>
      <c r="AE105" s="42"/>
      <c r="AF105" s="42"/>
      <c r="AG105" s="42"/>
      <c r="AH105" s="42"/>
      <c r="AI105" s="42"/>
      <c r="AJ105" s="42"/>
      <c r="AK105" s="42"/>
      <c r="AL105" s="42"/>
      <c r="AM105" s="42"/>
      <c r="AN105" s="42"/>
      <c r="AO105" s="42"/>
      <c r="AP105" s="42"/>
      <c r="AQ105" s="42"/>
      <c r="AR105" s="42"/>
      <c r="AS105" s="42"/>
      <c r="AT105" s="42"/>
    </row>
    <row r="107" spans="1:47">
      <c r="B107" t="s">
        <v>1336</v>
      </c>
      <c r="C107" t="s">
        <v>109</v>
      </c>
      <c r="E107" t="s">
        <v>473</v>
      </c>
      <c r="F107" t="s">
        <v>367</v>
      </c>
      <c r="I107" t="s">
        <v>11</v>
      </c>
      <c r="K107" t="s">
        <v>1337</v>
      </c>
    </row>
    <row r="108" spans="1:47">
      <c r="B108" s="60" t="s">
        <v>263</v>
      </c>
      <c r="C108" t="str">
        <f>INDEX('Scenario names'!$C$3:$C$6,1)</f>
        <v>High Electrification</v>
      </c>
      <c r="E108" s="44" t="s">
        <v>452</v>
      </c>
      <c r="F108" s="38" t="str">
        <f>B108&amp;C108</f>
        <v>Large Power &amp; IndustrialHigh Electrification</v>
      </c>
      <c r="H108" s="38"/>
      <c r="I108" s="98"/>
      <c r="J108" s="38"/>
      <c r="K108" s="609">
        <v>0</v>
      </c>
      <c r="L108" s="609">
        <v>0</v>
      </c>
      <c r="M108" s="609">
        <v>0</v>
      </c>
      <c r="N108" s="609">
        <v>0</v>
      </c>
      <c r="O108" s="609">
        <v>0</v>
      </c>
      <c r="P108" s="609">
        <v>0</v>
      </c>
      <c r="Q108" s="609">
        <v>3.8141780056004729E-2</v>
      </c>
      <c r="R108" s="609">
        <v>6.6464848514150202E-2</v>
      </c>
      <c r="S108" s="609">
        <v>8.8532023688586647E-2</v>
      </c>
      <c r="T108" s="609">
        <v>0.10637063895452456</v>
      </c>
      <c r="U108" s="609">
        <v>0.12126191208168258</v>
      </c>
      <c r="V108" s="609">
        <v>0.13256883119150165</v>
      </c>
      <c r="W108" s="609">
        <v>0.14247184147408951</v>
      </c>
      <c r="X108" s="609">
        <v>0.15136302985849973</v>
      </c>
      <c r="Y108" s="609">
        <v>0.15948316303280763</v>
      </c>
      <c r="Z108" s="609">
        <v>0.16700787274928028</v>
      </c>
      <c r="AA108" s="609">
        <v>0.17313630893443993</v>
      </c>
      <c r="AB108" s="609">
        <v>0.17900488204624118</v>
      </c>
      <c r="AC108" s="609">
        <v>0.18459099740528992</v>
      </c>
      <c r="AD108" s="609">
        <v>0.19043962009202395</v>
      </c>
      <c r="AE108" s="609">
        <v>0.19621997932587079</v>
      </c>
      <c r="AF108" s="609">
        <v>0.20176916538107215</v>
      </c>
      <c r="AG108" s="609">
        <v>0.20725731757478108</v>
      </c>
      <c r="AH108" s="609">
        <v>0.21272491630701768</v>
      </c>
      <c r="AI108" s="609">
        <v>0.2180338054502412</v>
      </c>
      <c r="AJ108" s="609">
        <v>0.22334990666167934</v>
      </c>
      <c r="AK108" s="609">
        <v>0.22497570679909959</v>
      </c>
      <c r="AL108" s="609">
        <v>0.22646935976213547</v>
      </c>
      <c r="AM108" s="609">
        <v>0.22784516602117269</v>
      </c>
      <c r="AN108" s="609">
        <v>0.22911526266698495</v>
      </c>
      <c r="AO108" s="609">
        <v>0.23029007318615002</v>
      </c>
      <c r="AP108" s="609">
        <v>0.23727375918462557</v>
      </c>
      <c r="AQ108" s="609">
        <v>0.23723470379879066</v>
      </c>
      <c r="AR108" s="609">
        <v>0.23718963593722273</v>
      </c>
      <c r="AS108" s="609">
        <v>0.23713873757834386</v>
      </c>
      <c r="AT108" s="609">
        <v>0.23708218054673394</v>
      </c>
    </row>
    <row r="109" spans="1:47">
      <c r="B109" s="60" t="s">
        <v>272</v>
      </c>
      <c r="C109" t="str">
        <f>INDEX('Scenario names'!$C$3:$C$6,1)</f>
        <v>High Electrification</v>
      </c>
      <c r="E109" s="44" t="s">
        <v>452</v>
      </c>
      <c r="F109" s="38" t="str">
        <f t="shared" ref="F109:F154" si="28">B109&amp;C109</f>
        <v>Gas boilerHigh Electrification</v>
      </c>
      <c r="H109" s="38"/>
      <c r="I109" s="98"/>
      <c r="J109" s="38"/>
      <c r="K109" s="609">
        <v>0.30000000000000004</v>
      </c>
      <c r="L109" s="609">
        <v>0.3</v>
      </c>
      <c r="M109" s="609">
        <v>0.3</v>
      </c>
      <c r="N109" s="609">
        <v>0.3</v>
      </c>
      <c r="O109" s="609">
        <v>0.3</v>
      </c>
      <c r="P109" s="609">
        <v>0.3</v>
      </c>
      <c r="Q109" s="609">
        <v>0.30000000000000004</v>
      </c>
      <c r="R109" s="609">
        <v>0.3</v>
      </c>
      <c r="S109" s="609">
        <v>0.3</v>
      </c>
      <c r="T109" s="609">
        <v>0.3</v>
      </c>
      <c r="U109" s="609">
        <v>0.30000000000000054</v>
      </c>
      <c r="V109" s="609">
        <v>0.27209022358916618</v>
      </c>
      <c r="W109" s="609">
        <v>0.24984486847517171</v>
      </c>
      <c r="X109" s="609">
        <v>0.2317045981938779</v>
      </c>
      <c r="Y109" s="609">
        <v>0.2166078354053349</v>
      </c>
      <c r="Z109" s="609">
        <v>0.20384377172275189</v>
      </c>
      <c r="AA109" s="609">
        <v>0.1918809903523323</v>
      </c>
      <c r="AB109" s="609">
        <v>0.18167029039921284</v>
      </c>
      <c r="AC109" s="609">
        <v>0.17278207823717209</v>
      </c>
      <c r="AD109" s="609">
        <v>0.16540360712453211</v>
      </c>
      <c r="AE109" s="609">
        <v>0.15896230226957317</v>
      </c>
      <c r="AF109" s="609">
        <v>0.15315733347390928</v>
      </c>
      <c r="AG109" s="609">
        <v>0.14799702568276515</v>
      </c>
      <c r="AH109" s="609">
        <v>0.14340043564196436</v>
      </c>
      <c r="AI109" s="609">
        <v>0.13200000000000001</v>
      </c>
      <c r="AJ109" s="609">
        <v>0.11999999999999998</v>
      </c>
      <c r="AK109" s="609">
        <v>0.10800000000000003</v>
      </c>
      <c r="AL109" s="609">
        <v>9.599999999999996E-2</v>
      </c>
      <c r="AM109" s="609">
        <v>8.4000000000000005E-2</v>
      </c>
      <c r="AN109" s="609">
        <v>7.1999999999999995E-2</v>
      </c>
      <c r="AO109" s="609">
        <v>5.9999999999999984E-2</v>
      </c>
      <c r="AP109" s="609">
        <v>4.8000000000000008E-2</v>
      </c>
      <c r="AQ109" s="609">
        <v>3.5999999999999997E-2</v>
      </c>
      <c r="AR109" s="609">
        <v>2.3999999999999994E-2</v>
      </c>
      <c r="AS109" s="609">
        <v>1.2000000000000009E-2</v>
      </c>
      <c r="AT109" s="609">
        <v>0</v>
      </c>
    </row>
    <row r="110" spans="1:47">
      <c r="B110" s="60" t="s">
        <v>1302</v>
      </c>
      <c r="C110" t="str">
        <f>INDEX('Scenario names'!$C$3:$C$6,1)</f>
        <v>High Electrification</v>
      </c>
      <c r="E110" s="44" t="s">
        <v>452</v>
      </c>
      <c r="F110" s="38" t="str">
        <f t="shared" si="28"/>
        <v>Gas Engine CHPHigh Electrification</v>
      </c>
      <c r="H110" s="38"/>
      <c r="I110" s="98"/>
      <c r="J110" s="38"/>
      <c r="K110" s="609">
        <v>0.7</v>
      </c>
      <c r="L110" s="609">
        <v>0.7</v>
      </c>
      <c r="M110" s="609">
        <v>0.7</v>
      </c>
      <c r="N110" s="609">
        <v>0.7</v>
      </c>
      <c r="O110" s="609">
        <v>0.7</v>
      </c>
      <c r="P110" s="609">
        <v>0.7</v>
      </c>
      <c r="Q110" s="609">
        <v>0.6618582199439953</v>
      </c>
      <c r="R110" s="609">
        <v>0.63353515148584971</v>
      </c>
      <c r="S110" s="609">
        <v>0.61146797631141336</v>
      </c>
      <c r="T110" s="609">
        <v>0.59362936104547548</v>
      </c>
      <c r="U110" s="609">
        <v>0.57873808791831693</v>
      </c>
      <c r="V110" s="609">
        <v>0.52489658580420362</v>
      </c>
      <c r="W110" s="609">
        <v>0.48198247152507989</v>
      </c>
      <c r="X110" s="609">
        <v>0.44698758706868846</v>
      </c>
      <c r="Y110" s="609">
        <v>0.41786401496869596</v>
      </c>
      <c r="Z110" s="609">
        <v>0.39324051560294365</v>
      </c>
      <c r="AA110" s="609">
        <v>0.37016279154793869</v>
      </c>
      <c r="AB110" s="609">
        <v>0.34907442928946103</v>
      </c>
      <c r="AC110" s="609">
        <v>0.31097986996538962</v>
      </c>
      <c r="AD110" s="609">
        <v>0.27501466626102333</v>
      </c>
      <c r="AE110" s="609">
        <v>0.2414590153948325</v>
      </c>
      <c r="AF110" s="609">
        <v>0.21033487573951326</v>
      </c>
      <c r="AG110" s="609">
        <v>0.18128887735702212</v>
      </c>
      <c r="AH110" s="609">
        <v>0.15417730860178483</v>
      </c>
      <c r="AI110" s="609">
        <v>0.12903643444103832</v>
      </c>
      <c r="AJ110" s="609">
        <v>0.10564154435982345</v>
      </c>
      <c r="AK110" s="609">
        <v>8.612869716251409E-2</v>
      </c>
      <c r="AL110" s="609">
        <v>6.7500244225765643E-2</v>
      </c>
      <c r="AM110" s="609">
        <v>4.9654548060024742E-2</v>
      </c>
      <c r="AN110" s="609">
        <v>3.2504466698082983E-2</v>
      </c>
      <c r="AO110" s="609">
        <v>1.5974747456240522E-2</v>
      </c>
      <c r="AP110" s="609">
        <v>0</v>
      </c>
      <c r="AQ110" s="609">
        <v>0</v>
      </c>
      <c r="AR110" s="609">
        <v>0</v>
      </c>
      <c r="AS110" s="609">
        <v>0</v>
      </c>
      <c r="AT110" s="609">
        <v>0</v>
      </c>
    </row>
    <row r="111" spans="1:47">
      <c r="B111" s="60" t="s">
        <v>265</v>
      </c>
      <c r="C111" t="str">
        <f>INDEX('Scenario names'!$C$3:$C$6,1)</f>
        <v>High Electrification</v>
      </c>
      <c r="E111" s="44" t="s">
        <v>452</v>
      </c>
      <c r="F111" s="38" t="str">
        <f t="shared" si="28"/>
        <v>TransformersHigh Electrification</v>
      </c>
      <c r="H111" s="38"/>
      <c r="I111" s="98"/>
      <c r="J111" s="38"/>
      <c r="K111" s="609">
        <v>0</v>
      </c>
      <c r="L111" s="609">
        <v>0</v>
      </c>
      <c r="M111" s="609">
        <v>0</v>
      </c>
      <c r="N111" s="609">
        <v>0</v>
      </c>
      <c r="O111" s="609">
        <v>0</v>
      </c>
      <c r="P111" s="609">
        <v>0</v>
      </c>
      <c r="Q111" s="609">
        <v>0</v>
      </c>
      <c r="R111" s="609">
        <v>0</v>
      </c>
      <c r="S111" s="609">
        <v>0</v>
      </c>
      <c r="T111" s="609">
        <v>0</v>
      </c>
      <c r="U111" s="609">
        <v>0</v>
      </c>
      <c r="V111" s="609">
        <v>0</v>
      </c>
      <c r="W111" s="609">
        <v>0</v>
      </c>
      <c r="X111" s="609">
        <v>0</v>
      </c>
      <c r="Y111" s="609">
        <v>0</v>
      </c>
      <c r="Z111" s="609">
        <v>0</v>
      </c>
      <c r="AA111" s="609">
        <v>0</v>
      </c>
      <c r="AB111" s="609">
        <v>0</v>
      </c>
      <c r="AC111" s="609">
        <v>0</v>
      </c>
      <c r="AD111" s="609">
        <v>0</v>
      </c>
      <c r="AE111" s="609">
        <v>0</v>
      </c>
      <c r="AF111" s="609">
        <v>0</v>
      </c>
      <c r="AG111" s="609">
        <v>0</v>
      </c>
      <c r="AH111" s="609">
        <v>0</v>
      </c>
      <c r="AI111" s="609">
        <v>0</v>
      </c>
      <c r="AJ111" s="609">
        <v>0</v>
      </c>
      <c r="AK111" s="609">
        <v>0</v>
      </c>
      <c r="AL111" s="609">
        <v>0</v>
      </c>
      <c r="AM111" s="609">
        <v>0</v>
      </c>
      <c r="AN111" s="609">
        <v>0</v>
      </c>
      <c r="AO111" s="609">
        <v>0</v>
      </c>
      <c r="AP111" s="609">
        <v>0</v>
      </c>
      <c r="AQ111" s="609">
        <v>0</v>
      </c>
      <c r="AR111" s="609">
        <v>0</v>
      </c>
      <c r="AS111" s="609">
        <v>0</v>
      </c>
      <c r="AT111" s="609">
        <v>0</v>
      </c>
    </row>
    <row r="112" spans="1:47">
      <c r="B112" s="60" t="s">
        <v>211</v>
      </c>
      <c r="C112" t="str">
        <f>INDEX('Scenario names'!$C$3:$C$6,1)</f>
        <v>High Electrification</v>
      </c>
      <c r="E112" s="44" t="s">
        <v>452</v>
      </c>
      <c r="F112" s="38" t="str">
        <f t="shared" si="28"/>
        <v>HydrogenHigh Electrification</v>
      </c>
      <c r="H112" s="38"/>
      <c r="I112" s="98"/>
      <c r="J112" s="38"/>
      <c r="K112" s="609">
        <v>0</v>
      </c>
      <c r="L112" s="609">
        <v>0</v>
      </c>
      <c r="M112" s="609">
        <v>0</v>
      </c>
      <c r="N112" s="609">
        <v>0</v>
      </c>
      <c r="O112" s="609">
        <v>0</v>
      </c>
      <c r="P112" s="609">
        <v>0</v>
      </c>
      <c r="Q112" s="609">
        <v>0</v>
      </c>
      <c r="R112" s="609">
        <v>0</v>
      </c>
      <c r="S112" s="609">
        <v>0</v>
      </c>
      <c r="T112" s="609">
        <v>0</v>
      </c>
      <c r="U112" s="609">
        <v>0</v>
      </c>
      <c r="V112" s="609">
        <v>0</v>
      </c>
      <c r="W112" s="609">
        <v>0</v>
      </c>
      <c r="X112" s="609">
        <v>0</v>
      </c>
      <c r="Y112" s="609">
        <v>0</v>
      </c>
      <c r="Z112" s="609">
        <v>0</v>
      </c>
      <c r="AA112" s="609">
        <v>0</v>
      </c>
      <c r="AB112" s="609">
        <v>0</v>
      </c>
      <c r="AC112" s="609">
        <v>0</v>
      </c>
      <c r="AD112" s="609">
        <v>0</v>
      </c>
      <c r="AE112" s="609">
        <v>0</v>
      </c>
      <c r="AF112" s="609">
        <v>0</v>
      </c>
      <c r="AG112" s="609">
        <v>0</v>
      </c>
      <c r="AH112" s="609">
        <v>0</v>
      </c>
      <c r="AI112" s="609">
        <v>0</v>
      </c>
      <c r="AJ112" s="609">
        <v>0</v>
      </c>
      <c r="AK112" s="609">
        <v>0</v>
      </c>
      <c r="AL112" s="609">
        <v>0</v>
      </c>
      <c r="AM112" s="609">
        <v>0</v>
      </c>
      <c r="AN112" s="609">
        <v>0</v>
      </c>
      <c r="AO112" s="609">
        <v>0</v>
      </c>
      <c r="AP112" s="609">
        <v>0</v>
      </c>
      <c r="AQ112" s="609">
        <v>0</v>
      </c>
      <c r="AR112" s="609">
        <v>0</v>
      </c>
      <c r="AS112" s="609">
        <v>0</v>
      </c>
      <c r="AT112" s="609">
        <v>0</v>
      </c>
    </row>
    <row r="113" spans="2:46">
      <c r="B113" s="60" t="s">
        <v>1303</v>
      </c>
      <c r="C113" t="str">
        <f>INDEX('Scenario names'!$C$3:$C$6,1)</f>
        <v>High Electrification</v>
      </c>
      <c r="E113" s="44" t="s">
        <v>452</v>
      </c>
      <c r="F113" s="38" t="str">
        <f t="shared" si="28"/>
        <v>Fuel cell CHPHigh Electrification</v>
      </c>
      <c r="H113" s="38"/>
      <c r="I113" s="98"/>
      <c r="J113" s="38"/>
      <c r="K113" s="609">
        <v>0</v>
      </c>
      <c r="L113" s="609">
        <v>0</v>
      </c>
      <c r="M113" s="609">
        <v>0</v>
      </c>
      <c r="N113" s="609">
        <v>0</v>
      </c>
      <c r="O113" s="609">
        <v>0</v>
      </c>
      <c r="P113" s="609">
        <v>0</v>
      </c>
      <c r="Q113" s="609">
        <v>0</v>
      </c>
      <c r="R113" s="609">
        <v>0</v>
      </c>
      <c r="S113" s="609">
        <v>0</v>
      </c>
      <c r="T113" s="609">
        <v>0</v>
      </c>
      <c r="U113" s="609">
        <v>0</v>
      </c>
      <c r="V113" s="609">
        <v>0</v>
      </c>
      <c r="W113" s="609">
        <v>0</v>
      </c>
      <c r="X113" s="609">
        <v>0</v>
      </c>
      <c r="Y113" s="609">
        <v>0</v>
      </c>
      <c r="Z113" s="609">
        <v>0</v>
      </c>
      <c r="AA113" s="609">
        <v>0</v>
      </c>
      <c r="AB113" s="609">
        <v>0</v>
      </c>
      <c r="AC113" s="609">
        <v>0</v>
      </c>
      <c r="AD113" s="609">
        <v>0</v>
      </c>
      <c r="AE113" s="609">
        <v>0</v>
      </c>
      <c r="AF113" s="609">
        <v>0</v>
      </c>
      <c r="AG113" s="609">
        <v>0</v>
      </c>
      <c r="AH113" s="609">
        <v>0</v>
      </c>
      <c r="AI113" s="609">
        <v>0</v>
      </c>
      <c r="AJ113" s="609">
        <v>0</v>
      </c>
      <c r="AK113" s="609">
        <v>0</v>
      </c>
      <c r="AL113" s="609">
        <v>0</v>
      </c>
      <c r="AM113" s="609">
        <v>0</v>
      </c>
      <c r="AN113" s="609">
        <v>0</v>
      </c>
      <c r="AO113" s="609">
        <v>0</v>
      </c>
      <c r="AP113" s="609">
        <v>0</v>
      </c>
      <c r="AQ113" s="609">
        <v>0</v>
      </c>
      <c r="AR113" s="609">
        <v>0</v>
      </c>
      <c r="AS113" s="609">
        <v>0</v>
      </c>
      <c r="AT113" s="609">
        <v>0</v>
      </c>
    </row>
    <row r="114" spans="2:46">
      <c r="B114" s="60" t="s">
        <v>270</v>
      </c>
      <c r="C114" t="str">
        <f>INDEX('Scenario names'!$C$3:$C$6,1)</f>
        <v>High Electrification</v>
      </c>
      <c r="E114" s="44" t="s">
        <v>452</v>
      </c>
      <c r="F114" s="38" t="str">
        <f t="shared" si="28"/>
        <v>ASHPHigh Electrification</v>
      </c>
      <c r="H114" s="38"/>
      <c r="I114" s="98"/>
      <c r="J114" s="38"/>
      <c r="K114" s="609">
        <v>0</v>
      </c>
      <c r="L114" s="609">
        <v>0</v>
      </c>
      <c r="M114" s="609">
        <v>0</v>
      </c>
      <c r="N114" s="609">
        <v>0</v>
      </c>
      <c r="O114" s="609">
        <v>0</v>
      </c>
      <c r="P114" s="609">
        <v>0</v>
      </c>
      <c r="Q114" s="609">
        <v>0</v>
      </c>
      <c r="R114" s="609">
        <v>0</v>
      </c>
      <c r="S114" s="609">
        <v>0</v>
      </c>
      <c r="T114" s="609">
        <v>0</v>
      </c>
      <c r="U114" s="609">
        <v>0</v>
      </c>
      <c r="V114" s="609">
        <v>3.324751085631613E-2</v>
      </c>
      <c r="W114" s="609">
        <v>5.8306652987854563E-2</v>
      </c>
      <c r="X114" s="609">
        <v>7.7422498153536509E-2</v>
      </c>
      <c r="Y114" s="609">
        <v>9.2165768881367849E-2</v>
      </c>
      <c r="Z114" s="609">
        <v>0.10356486785739959</v>
      </c>
      <c r="AA114" s="609">
        <v>0.11574238921037956</v>
      </c>
      <c r="AB114" s="609">
        <v>0.12614811391017552</v>
      </c>
      <c r="AC114" s="609">
        <v>0.14923688035459232</v>
      </c>
      <c r="AD114" s="609">
        <v>0.16970096122185679</v>
      </c>
      <c r="AE114" s="609">
        <v>0.18809384672787666</v>
      </c>
      <c r="AF114" s="609">
        <v>0.20478269397734905</v>
      </c>
      <c r="AG114" s="609">
        <v>0.21975407586285567</v>
      </c>
      <c r="AH114" s="609">
        <v>0.23308265471986531</v>
      </c>
      <c r="AI114" s="609">
        <v>0.25042799035385843</v>
      </c>
      <c r="AJ114" s="609">
        <v>0.26705193044977932</v>
      </c>
      <c r="AK114" s="609">
        <v>0.28611235031814819</v>
      </c>
      <c r="AL114" s="609">
        <v>0.30487554950797269</v>
      </c>
      <c r="AM114" s="609">
        <v>0.32337728119508036</v>
      </c>
      <c r="AN114" s="609">
        <v>0.34164845016493572</v>
      </c>
      <c r="AO114" s="609">
        <v>0.35971590888270599</v>
      </c>
      <c r="AP114" s="609">
        <v>0.36903229028809825</v>
      </c>
      <c r="AQ114" s="609">
        <v>0.37963853132316766</v>
      </c>
      <c r="AR114" s="609">
        <v>0.39022443987145666</v>
      </c>
      <c r="AS114" s="609">
        <v>0.40079043378444068</v>
      </c>
      <c r="AT114" s="609">
        <v>0.41133692540042061</v>
      </c>
    </row>
    <row r="115" spans="2:46">
      <c r="B115" s="60" t="s">
        <v>271</v>
      </c>
      <c r="C115" t="str">
        <f>INDEX('Scenario names'!$C$3:$C$6,1)</f>
        <v>High Electrification</v>
      </c>
      <c r="E115" s="44" t="s">
        <v>452</v>
      </c>
      <c r="F115" s="38" t="str">
        <f t="shared" si="28"/>
        <v>GSHPHigh Electrification</v>
      </c>
      <c r="H115" s="38"/>
      <c r="I115" s="98"/>
      <c r="J115" s="38"/>
      <c r="K115" s="609">
        <v>0</v>
      </c>
      <c r="L115" s="609">
        <v>0</v>
      </c>
      <c r="M115" s="609">
        <v>0</v>
      </c>
      <c r="N115" s="609">
        <v>0</v>
      </c>
      <c r="O115" s="609">
        <v>0</v>
      </c>
      <c r="P115" s="609">
        <v>0</v>
      </c>
      <c r="Q115" s="609">
        <v>0</v>
      </c>
      <c r="R115" s="609">
        <v>0</v>
      </c>
      <c r="S115" s="609">
        <v>0</v>
      </c>
      <c r="T115" s="609">
        <v>0</v>
      </c>
      <c r="U115" s="609">
        <v>0</v>
      </c>
      <c r="V115" s="609">
        <v>1.1082503618772041E-2</v>
      </c>
      <c r="W115" s="609">
        <v>1.9435550995951522E-2</v>
      </c>
      <c r="X115" s="609">
        <v>2.580749938451217E-2</v>
      </c>
      <c r="Y115" s="609">
        <v>3.0721922960455946E-2</v>
      </c>
      <c r="Z115" s="609">
        <v>3.4521622619133191E-2</v>
      </c>
      <c r="AA115" s="609">
        <v>3.8580796403459863E-2</v>
      </c>
      <c r="AB115" s="609">
        <v>4.2049371303391841E-2</v>
      </c>
      <c r="AC115" s="609">
        <v>4.9745626784864098E-2</v>
      </c>
      <c r="AD115" s="609">
        <v>5.6566987073952267E-2</v>
      </c>
      <c r="AE115" s="609">
        <v>6.2697948909292214E-2</v>
      </c>
      <c r="AF115" s="609">
        <v>6.8260897992449679E-2</v>
      </c>
      <c r="AG115" s="609">
        <v>7.325135862095189E-2</v>
      </c>
      <c r="AH115" s="609">
        <v>7.7694218239955093E-2</v>
      </c>
      <c r="AI115" s="609">
        <v>8.3475996784619463E-2</v>
      </c>
      <c r="AJ115" s="609">
        <v>8.9017310149926421E-2</v>
      </c>
      <c r="AK115" s="609">
        <v>9.5370783439382725E-2</v>
      </c>
      <c r="AL115" s="609">
        <v>0.1016251831693242</v>
      </c>
      <c r="AM115" s="609">
        <v>0.10779242706502679</v>
      </c>
      <c r="AN115" s="609">
        <v>0.11388281672164524</v>
      </c>
      <c r="AO115" s="609">
        <v>0.11990530296090199</v>
      </c>
      <c r="AP115" s="609">
        <v>0.12301076342936607</v>
      </c>
      <c r="AQ115" s="609">
        <v>0.12654617710772254</v>
      </c>
      <c r="AR115" s="609">
        <v>0.13007481329048554</v>
      </c>
      <c r="AS115" s="609">
        <v>0.13359681126148021</v>
      </c>
      <c r="AT115" s="609">
        <v>0.13711230846680691</v>
      </c>
    </row>
    <row r="116" spans="2:46">
      <c r="B116" s="60" t="s">
        <v>268</v>
      </c>
      <c r="C116" t="str">
        <f>INDEX('Scenario names'!$C$3:$C$6,1)</f>
        <v>High Electrification</v>
      </c>
      <c r="E116" s="44" t="s">
        <v>452</v>
      </c>
      <c r="F116" s="38" t="str">
        <f t="shared" si="28"/>
        <v>RiversHigh Electrification</v>
      </c>
      <c r="H116" s="38"/>
      <c r="I116" s="98"/>
      <c r="J116" s="38"/>
      <c r="K116" s="609">
        <v>0</v>
      </c>
      <c r="L116" s="609">
        <v>0</v>
      </c>
      <c r="M116" s="609">
        <v>0</v>
      </c>
      <c r="N116" s="609">
        <v>0</v>
      </c>
      <c r="O116" s="609">
        <v>0</v>
      </c>
      <c r="P116" s="609">
        <v>0</v>
      </c>
      <c r="Q116" s="609">
        <v>0</v>
      </c>
      <c r="R116" s="609">
        <v>0</v>
      </c>
      <c r="S116" s="609">
        <v>0</v>
      </c>
      <c r="T116" s="609">
        <v>0</v>
      </c>
      <c r="U116" s="609">
        <v>0</v>
      </c>
      <c r="V116" s="609">
        <v>8.9921070120096303E-3</v>
      </c>
      <c r="W116" s="609">
        <v>1.6513873700382885E-2</v>
      </c>
      <c r="X116" s="609">
        <v>2.2972297732534216E-2</v>
      </c>
      <c r="Y116" s="609">
        <v>2.8634043662597714E-2</v>
      </c>
      <c r="Z116" s="609">
        <v>3.3683404439960769E-2</v>
      </c>
      <c r="AA116" s="609">
        <v>3.8047991053668864E-2</v>
      </c>
      <c r="AB116" s="609">
        <v>4.2027202206553031E-2</v>
      </c>
      <c r="AC116" s="609">
        <v>4.5681169040810314E-2</v>
      </c>
      <c r="AD116" s="609">
        <v>4.9196704836912443E-2</v>
      </c>
      <c r="AE116" s="609">
        <v>5.2534266539532436E-2</v>
      </c>
      <c r="AF116" s="609">
        <v>5.5677408233013065E-2</v>
      </c>
      <c r="AG116" s="609">
        <v>5.8692520804773982E-2</v>
      </c>
      <c r="AH116" s="609">
        <v>6.1608743585394005E-2</v>
      </c>
      <c r="AI116" s="609">
        <v>6.4399691756144739E-2</v>
      </c>
      <c r="AJ116" s="609">
        <v>6.7124606258131381E-2</v>
      </c>
      <c r="AK116" s="609">
        <v>6.8664873826048606E-2</v>
      </c>
      <c r="AL116" s="609">
        <v>7.0082574042234391E-2</v>
      </c>
      <c r="AM116" s="609">
        <v>7.1391365375978566E-2</v>
      </c>
      <c r="AN116" s="609">
        <v>7.2602885863460587E-2</v>
      </c>
      <c r="AO116" s="609">
        <v>7.3727130168208491E-2</v>
      </c>
      <c r="AP116" s="609">
        <v>7.6677820284496573E-2</v>
      </c>
      <c r="AQ116" s="609">
        <v>7.5953819808877193E-2</v>
      </c>
      <c r="AR116" s="609">
        <v>7.5241224585370511E-2</v>
      </c>
      <c r="AS116" s="609">
        <v>7.4539780110572093E-2</v>
      </c>
      <c r="AT116" s="609">
        <v>7.3849237908589119E-2</v>
      </c>
    </row>
    <row r="117" spans="2:46">
      <c r="B117" s="60" t="s">
        <v>269</v>
      </c>
      <c r="C117" t="str">
        <f>INDEX('Scenario names'!$C$3:$C$6,1)</f>
        <v>High Electrification</v>
      </c>
      <c r="E117" s="44" t="s">
        <v>452</v>
      </c>
      <c r="F117" s="38" t="str">
        <f t="shared" si="28"/>
        <v>Sewer Heat MiningHigh Electrification</v>
      </c>
      <c r="H117" s="38"/>
      <c r="I117" s="98"/>
      <c r="J117" s="38"/>
      <c r="K117" s="609">
        <v>0</v>
      </c>
      <c r="L117" s="609">
        <v>0</v>
      </c>
      <c r="M117" s="609">
        <v>0</v>
      </c>
      <c r="N117" s="609">
        <v>0</v>
      </c>
      <c r="O117" s="609">
        <v>0</v>
      </c>
      <c r="P117" s="609">
        <v>0</v>
      </c>
      <c r="Q117" s="609">
        <v>0</v>
      </c>
      <c r="R117" s="609">
        <v>0</v>
      </c>
      <c r="S117" s="609">
        <v>0</v>
      </c>
      <c r="T117" s="609">
        <v>0</v>
      </c>
      <c r="U117" s="609">
        <v>0</v>
      </c>
      <c r="V117" s="609">
        <v>1.7122237928030779E-2</v>
      </c>
      <c r="W117" s="609">
        <v>3.1444740841469761E-2</v>
      </c>
      <c r="X117" s="609">
        <v>4.374248960835115E-2</v>
      </c>
      <c r="Y117" s="609">
        <v>5.452325108873992E-2</v>
      </c>
      <c r="Z117" s="609">
        <v>6.4137945008530664E-2</v>
      </c>
      <c r="AA117" s="609">
        <v>7.2448732497780804E-2</v>
      </c>
      <c r="AB117" s="609">
        <v>8.0025710844964598E-2</v>
      </c>
      <c r="AC117" s="609">
        <v>8.6983378211881762E-2</v>
      </c>
      <c r="AD117" s="609">
        <v>9.3677453389698961E-2</v>
      </c>
      <c r="AE117" s="609">
        <v>0.10003264083302228</v>
      </c>
      <c r="AF117" s="609">
        <v>0.10601762520269352</v>
      </c>
      <c r="AG117" s="609">
        <v>0.1117588240968501</v>
      </c>
      <c r="AH117" s="609">
        <v>0.11731172290401858</v>
      </c>
      <c r="AI117" s="609">
        <v>0.12262608121409795</v>
      </c>
      <c r="AJ117" s="609">
        <v>0.12781470212066001</v>
      </c>
      <c r="AK117" s="609">
        <v>0.13074758845480677</v>
      </c>
      <c r="AL117" s="609">
        <v>0.13344708929256743</v>
      </c>
      <c r="AM117" s="609">
        <v>0.1359392122827168</v>
      </c>
      <c r="AN117" s="609">
        <v>0.13824611788489055</v>
      </c>
      <c r="AO117" s="609">
        <v>0.1403868373457931</v>
      </c>
      <c r="AP117" s="609">
        <v>0.14600536681341361</v>
      </c>
      <c r="AQ117" s="609">
        <v>0.144626767961442</v>
      </c>
      <c r="AR117" s="609">
        <v>0.1432698863154647</v>
      </c>
      <c r="AS117" s="609">
        <v>0.1419342372651631</v>
      </c>
      <c r="AT117" s="609">
        <v>0.14061934767744938</v>
      </c>
    </row>
    <row r="118" spans="2:46">
      <c r="B118" s="60" t="s">
        <v>1304</v>
      </c>
      <c r="C118" t="str">
        <f>INDEX('Scenario names'!$C$3:$C$6,1)</f>
        <v>High Electrification</v>
      </c>
      <c r="E118" s="44" t="s">
        <v>452</v>
      </c>
      <c r="F118" s="38" t="str">
        <f t="shared" si="28"/>
        <v>Commercial and building heat rejectionHigh Electrification</v>
      </c>
      <c r="H118" s="38"/>
      <c r="I118" s="98"/>
      <c r="J118" s="38"/>
      <c r="K118" s="609">
        <v>0</v>
      </c>
      <c r="L118" s="609">
        <v>0</v>
      </c>
      <c r="M118" s="609">
        <v>0</v>
      </c>
      <c r="N118" s="609">
        <v>0</v>
      </c>
      <c r="O118" s="609">
        <v>0</v>
      </c>
      <c r="P118" s="609">
        <v>0</v>
      </c>
      <c r="Q118" s="609">
        <v>0</v>
      </c>
      <c r="R118" s="609">
        <v>0</v>
      </c>
      <c r="S118" s="609">
        <v>0</v>
      </c>
      <c r="T118" s="609">
        <v>0</v>
      </c>
      <c r="U118" s="609">
        <v>0</v>
      </c>
      <c r="V118" s="609">
        <v>0</v>
      </c>
      <c r="W118" s="609">
        <v>0</v>
      </c>
      <c r="X118" s="609">
        <v>0</v>
      </c>
      <c r="Y118" s="609">
        <v>0</v>
      </c>
      <c r="Z118" s="609">
        <v>0</v>
      </c>
      <c r="AA118" s="609">
        <v>0</v>
      </c>
      <c r="AB118" s="609">
        <v>0</v>
      </c>
      <c r="AC118" s="609">
        <v>0</v>
      </c>
      <c r="AD118" s="609">
        <v>0</v>
      </c>
      <c r="AE118" s="609">
        <v>0</v>
      </c>
      <c r="AF118" s="609">
        <v>0</v>
      </c>
      <c r="AG118" s="609">
        <v>0</v>
      </c>
      <c r="AH118" s="609">
        <v>0</v>
      </c>
      <c r="AI118" s="609">
        <v>0</v>
      </c>
      <c r="AJ118" s="609">
        <v>0</v>
      </c>
      <c r="AK118" s="609">
        <v>0</v>
      </c>
      <c r="AL118" s="609">
        <v>0</v>
      </c>
      <c r="AM118" s="609">
        <v>0</v>
      </c>
      <c r="AN118" s="609">
        <v>0</v>
      </c>
      <c r="AO118" s="609">
        <v>0</v>
      </c>
      <c r="AP118" s="609">
        <v>0</v>
      </c>
      <c r="AQ118" s="609">
        <v>0</v>
      </c>
      <c r="AR118" s="609">
        <v>0</v>
      </c>
      <c r="AS118" s="609">
        <v>0</v>
      </c>
      <c r="AT118" s="609">
        <v>0</v>
      </c>
    </row>
    <row r="119" spans="2:46">
      <c r="F119" s="38" t="str">
        <f t="shared" si="28"/>
        <v/>
      </c>
    </row>
    <row r="120" spans="2:46">
      <c r="B120" s="60" t="s">
        <v>263</v>
      </c>
      <c r="C120" t="str">
        <f>INDEX('Scenario names'!$C$3:$C$6,2)</f>
        <v>High Hydrogen</v>
      </c>
      <c r="E120" s="44" t="s">
        <v>452</v>
      </c>
      <c r="F120" s="38" t="str">
        <f t="shared" si="28"/>
        <v>Large Power &amp; IndustrialHigh Hydrogen</v>
      </c>
      <c r="H120" s="38"/>
      <c r="I120" s="98"/>
      <c r="J120" s="38"/>
      <c r="K120" s="39">
        <v>0</v>
      </c>
      <c r="L120" s="39">
        <v>0</v>
      </c>
      <c r="M120" s="39">
        <v>0</v>
      </c>
      <c r="N120" s="39">
        <v>0</v>
      </c>
      <c r="O120" s="39">
        <v>0</v>
      </c>
      <c r="P120" s="39">
        <v>0</v>
      </c>
      <c r="Q120" s="563">
        <v>3.8141780056004729E-2</v>
      </c>
      <c r="R120" s="563">
        <v>6.6464848514150202E-2</v>
      </c>
      <c r="S120" s="563">
        <v>8.8532023688586647E-2</v>
      </c>
      <c r="T120" s="563">
        <v>0.10637063895452456</v>
      </c>
      <c r="U120" s="563">
        <v>0.12126191208168258</v>
      </c>
      <c r="V120" s="563">
        <v>0.13256883119150159</v>
      </c>
      <c r="W120" s="563">
        <v>0.14247184147408951</v>
      </c>
      <c r="X120" s="563">
        <v>0.15136302985849967</v>
      </c>
      <c r="Y120" s="563">
        <v>0.15948316303280763</v>
      </c>
      <c r="Z120" s="563">
        <v>0.16700787274928025</v>
      </c>
      <c r="AA120" s="563">
        <v>0.17313630893443985</v>
      </c>
      <c r="AB120" s="563">
        <v>0.1790048820462411</v>
      </c>
      <c r="AC120" s="563">
        <v>0.18459099740528984</v>
      </c>
      <c r="AD120" s="563">
        <v>0.19043962009202389</v>
      </c>
      <c r="AE120" s="563">
        <v>0.19621997932587071</v>
      </c>
      <c r="AF120" s="563">
        <v>0.20176916538107206</v>
      </c>
      <c r="AG120" s="563">
        <v>0.20725731757478102</v>
      </c>
      <c r="AH120" s="563">
        <v>0.21272491630701759</v>
      </c>
      <c r="AI120" s="563">
        <v>0.21803380545024104</v>
      </c>
      <c r="AJ120" s="563">
        <v>0.22334990666167925</v>
      </c>
      <c r="AK120" s="563">
        <v>0.22497570679909945</v>
      </c>
      <c r="AL120" s="563">
        <v>0.22646935976213542</v>
      </c>
      <c r="AM120" s="563">
        <v>0.22784516602117258</v>
      </c>
      <c r="AN120" s="563">
        <v>0.22911526266698484</v>
      </c>
      <c r="AO120" s="563">
        <v>0.23029007318614991</v>
      </c>
      <c r="AP120" s="563">
        <v>0.23727375918462534</v>
      </c>
      <c r="AQ120" s="563">
        <v>0.23723470379879052</v>
      </c>
      <c r="AR120" s="563">
        <v>0.23718963593722264</v>
      </c>
      <c r="AS120" s="563">
        <v>0.23713873757834378</v>
      </c>
      <c r="AT120" s="563">
        <v>0.23708218054673388</v>
      </c>
    </row>
    <row r="121" spans="2:46">
      <c r="B121" s="60" t="s">
        <v>272</v>
      </c>
      <c r="C121" t="str">
        <f>INDEX('Scenario names'!$C$3:$C$6,2)</f>
        <v>High Hydrogen</v>
      </c>
      <c r="E121" s="44" t="s">
        <v>452</v>
      </c>
      <c r="F121" s="38" t="str">
        <f t="shared" si="28"/>
        <v>Gas boilerHigh Hydrogen</v>
      </c>
      <c r="H121" s="38"/>
      <c r="I121" s="98"/>
      <c r="J121" s="38"/>
      <c r="K121" s="39">
        <v>0.30000000000000004</v>
      </c>
      <c r="L121" s="39">
        <v>0.3</v>
      </c>
      <c r="M121" s="39">
        <v>0.3</v>
      </c>
      <c r="N121" s="39">
        <v>0.3</v>
      </c>
      <c r="O121" s="39">
        <v>0.3</v>
      </c>
      <c r="P121" s="39">
        <v>0.3</v>
      </c>
      <c r="Q121" s="563">
        <v>0.30000000000000004</v>
      </c>
      <c r="R121" s="563">
        <v>0.3</v>
      </c>
      <c r="S121" s="563">
        <v>0.3</v>
      </c>
      <c r="T121" s="563">
        <v>0.3</v>
      </c>
      <c r="U121" s="563">
        <v>0.30000000000000054</v>
      </c>
      <c r="V121" s="563">
        <v>0.3</v>
      </c>
      <c r="W121" s="563">
        <v>0.3</v>
      </c>
      <c r="X121" s="563">
        <v>0.3</v>
      </c>
      <c r="Y121" s="563">
        <v>0.3</v>
      </c>
      <c r="Z121" s="563">
        <v>0.28999999999999998</v>
      </c>
      <c r="AA121" s="563">
        <v>0.27</v>
      </c>
      <c r="AB121" s="563">
        <v>0.25</v>
      </c>
      <c r="AC121" s="563">
        <v>0.23014965420186273</v>
      </c>
      <c r="AD121" s="563">
        <v>0.18</v>
      </c>
      <c r="AE121" s="563">
        <v>0.13</v>
      </c>
      <c r="AF121" s="563">
        <v>7.0000000000000007E-2</v>
      </c>
      <c r="AG121" s="563">
        <v>0.05</v>
      </c>
      <c r="AH121" s="563">
        <v>0.02</v>
      </c>
      <c r="AI121" s="563">
        <v>0</v>
      </c>
      <c r="AJ121" s="563">
        <v>0</v>
      </c>
      <c r="AK121" s="563">
        <v>0</v>
      </c>
      <c r="AL121" s="563">
        <v>0</v>
      </c>
      <c r="AM121" s="563">
        <v>0</v>
      </c>
      <c r="AN121" s="563">
        <v>0</v>
      </c>
      <c r="AO121" s="563">
        <v>0</v>
      </c>
      <c r="AP121" s="563">
        <v>0</v>
      </c>
      <c r="AQ121" s="563">
        <v>0</v>
      </c>
      <c r="AR121" s="563">
        <v>0</v>
      </c>
      <c r="AS121" s="563">
        <v>0</v>
      </c>
      <c r="AT121" s="563">
        <v>0</v>
      </c>
    </row>
    <row r="122" spans="2:46">
      <c r="B122" s="60" t="s">
        <v>1302</v>
      </c>
      <c r="C122" t="str">
        <f>INDEX('Scenario names'!$C$3:$C$6,2)</f>
        <v>High Hydrogen</v>
      </c>
      <c r="E122" s="44" t="s">
        <v>452</v>
      </c>
      <c r="F122" s="38" t="str">
        <f t="shared" si="28"/>
        <v>Gas Engine CHPHigh Hydrogen</v>
      </c>
      <c r="H122" s="38"/>
      <c r="I122" s="98"/>
      <c r="J122" s="38"/>
      <c r="K122" s="39">
        <v>0.7</v>
      </c>
      <c r="L122" s="39">
        <v>0.7</v>
      </c>
      <c r="M122" s="39">
        <v>0.7</v>
      </c>
      <c r="N122" s="39">
        <v>0.7</v>
      </c>
      <c r="O122" s="39">
        <v>0.7</v>
      </c>
      <c r="P122" s="39">
        <v>0.7</v>
      </c>
      <c r="Q122" s="563">
        <v>0.6618582199439953</v>
      </c>
      <c r="R122" s="563">
        <v>0.63353515148584971</v>
      </c>
      <c r="S122" s="563">
        <v>0.61146797631141336</v>
      </c>
      <c r="T122" s="563">
        <v>0.59362936104547548</v>
      </c>
      <c r="U122" s="563">
        <v>0.57873808791831693</v>
      </c>
      <c r="V122" s="563">
        <v>0.52489658580420351</v>
      </c>
      <c r="W122" s="563">
        <v>0.48198247152508</v>
      </c>
      <c r="X122" s="563">
        <v>0.44698758706868846</v>
      </c>
      <c r="Y122" s="563">
        <v>0.41786401496869602</v>
      </c>
      <c r="Z122" s="563">
        <v>0.39324051560294365</v>
      </c>
      <c r="AA122" s="563">
        <v>0.37016279154793863</v>
      </c>
      <c r="AB122" s="563">
        <v>0.3490744292894612</v>
      </c>
      <c r="AC122" s="563">
        <v>0.31097986996538973</v>
      </c>
      <c r="AD122" s="563">
        <v>0.27501466626102355</v>
      </c>
      <c r="AE122" s="563">
        <v>0.24145901539483261</v>
      </c>
      <c r="AF122" s="563">
        <v>0.21033487573951345</v>
      </c>
      <c r="AG122" s="563">
        <v>0.1812888773570222</v>
      </c>
      <c r="AH122" s="563">
        <v>0.15417730860178494</v>
      </c>
      <c r="AI122" s="563">
        <v>0.12903643444103841</v>
      </c>
      <c r="AJ122" s="563">
        <v>0.10564154435982355</v>
      </c>
      <c r="AK122" s="563">
        <v>8.6128697162514131E-2</v>
      </c>
      <c r="AL122" s="563">
        <v>6.7500244225765713E-2</v>
      </c>
      <c r="AM122" s="563">
        <v>4.9654548060024804E-2</v>
      </c>
      <c r="AN122" s="563">
        <v>3.2504466698083025E-2</v>
      </c>
      <c r="AO122" s="563">
        <v>1.5974747456240543E-2</v>
      </c>
      <c r="AP122" s="563">
        <v>0</v>
      </c>
      <c r="AQ122" s="563">
        <v>0</v>
      </c>
      <c r="AR122" s="563">
        <v>0</v>
      </c>
      <c r="AS122" s="563">
        <v>0</v>
      </c>
      <c r="AT122" s="563">
        <v>0</v>
      </c>
    </row>
    <row r="123" spans="2:46">
      <c r="B123" s="60" t="s">
        <v>265</v>
      </c>
      <c r="C123" t="str">
        <f>INDEX('Scenario names'!$C$3:$C$6,2)</f>
        <v>High Hydrogen</v>
      </c>
      <c r="E123" s="44" t="s">
        <v>452</v>
      </c>
      <c r="F123" s="38" t="str">
        <f t="shared" si="28"/>
        <v>TransformersHigh Hydrogen</v>
      </c>
      <c r="H123" s="38"/>
      <c r="I123" s="98"/>
      <c r="J123" s="38"/>
      <c r="K123" s="39">
        <v>0</v>
      </c>
      <c r="L123" s="39">
        <v>0</v>
      </c>
      <c r="M123" s="39">
        <v>0</v>
      </c>
      <c r="N123" s="39">
        <v>0</v>
      </c>
      <c r="O123" s="39">
        <v>0</v>
      </c>
      <c r="P123" s="39">
        <v>0</v>
      </c>
      <c r="Q123" s="563">
        <v>0</v>
      </c>
      <c r="R123" s="563">
        <v>0</v>
      </c>
      <c r="S123" s="563">
        <v>0</v>
      </c>
      <c r="T123" s="563">
        <v>0</v>
      </c>
      <c r="U123" s="563">
        <v>0</v>
      </c>
      <c r="V123" s="563">
        <v>0</v>
      </c>
      <c r="W123" s="563">
        <v>0</v>
      </c>
      <c r="X123" s="563">
        <v>0</v>
      </c>
      <c r="Y123" s="563">
        <v>0</v>
      </c>
      <c r="Z123" s="563">
        <v>0</v>
      </c>
      <c r="AA123" s="563">
        <v>0</v>
      </c>
      <c r="AB123" s="563">
        <v>0</v>
      </c>
      <c r="AC123" s="563">
        <v>0</v>
      </c>
      <c r="AD123" s="563">
        <v>0</v>
      </c>
      <c r="AE123" s="563">
        <v>0</v>
      </c>
      <c r="AF123" s="563">
        <v>0</v>
      </c>
      <c r="AG123" s="563">
        <v>0</v>
      </c>
      <c r="AH123" s="563">
        <v>0</v>
      </c>
      <c r="AI123" s="563">
        <v>0</v>
      </c>
      <c r="AJ123" s="563">
        <v>0</v>
      </c>
      <c r="AK123" s="563">
        <v>0</v>
      </c>
      <c r="AL123" s="563">
        <v>0</v>
      </c>
      <c r="AM123" s="563">
        <v>0</v>
      </c>
      <c r="AN123" s="563">
        <v>0</v>
      </c>
      <c r="AO123" s="563">
        <v>0</v>
      </c>
      <c r="AP123" s="563">
        <v>0</v>
      </c>
      <c r="AQ123" s="563">
        <v>0</v>
      </c>
      <c r="AR123" s="563">
        <v>0</v>
      </c>
      <c r="AS123" s="563">
        <v>0</v>
      </c>
      <c r="AT123" s="563">
        <v>0</v>
      </c>
    </row>
    <row r="124" spans="2:46">
      <c r="B124" s="60" t="s">
        <v>211</v>
      </c>
      <c r="C124" t="str">
        <f>INDEX('Scenario names'!$C$3:$C$6,2)</f>
        <v>High Hydrogen</v>
      </c>
      <c r="E124" s="44" t="s">
        <v>452</v>
      </c>
      <c r="F124" s="38" t="str">
        <f t="shared" si="28"/>
        <v>HydrogenHigh Hydrogen</v>
      </c>
      <c r="H124" s="38"/>
      <c r="I124" s="98"/>
      <c r="J124" s="38"/>
      <c r="K124" s="39">
        <v>0</v>
      </c>
      <c r="L124" s="39">
        <v>0</v>
      </c>
      <c r="M124" s="39">
        <v>0</v>
      </c>
      <c r="N124" s="39">
        <v>0</v>
      </c>
      <c r="O124" s="39">
        <v>0</v>
      </c>
      <c r="P124" s="39">
        <v>0</v>
      </c>
      <c r="Q124" s="563">
        <v>0</v>
      </c>
      <c r="R124" s="563">
        <v>0</v>
      </c>
      <c r="S124" s="563">
        <v>0</v>
      </c>
      <c r="T124" s="563">
        <v>0</v>
      </c>
      <c r="U124" s="563">
        <v>0</v>
      </c>
      <c r="V124" s="563">
        <v>0</v>
      </c>
      <c r="W124" s="563">
        <v>0</v>
      </c>
      <c r="X124" s="563">
        <v>0</v>
      </c>
      <c r="Y124" s="563">
        <v>0</v>
      </c>
      <c r="Z124" s="563">
        <v>0.01</v>
      </c>
      <c r="AA124" s="563">
        <v>0.03</v>
      </c>
      <c r="AB124" s="563">
        <v>0.05</v>
      </c>
      <c r="AC124" s="563">
        <v>7.0000000000000007E-2</v>
      </c>
      <c r="AD124" s="563">
        <v>0.12</v>
      </c>
      <c r="AE124" s="563">
        <v>0.17</v>
      </c>
      <c r="AF124" s="563">
        <v>0.23</v>
      </c>
      <c r="AG124" s="563">
        <v>0.25</v>
      </c>
      <c r="AH124" s="563">
        <v>0.28000000000000003</v>
      </c>
      <c r="AI124" s="563">
        <v>0.3</v>
      </c>
      <c r="AJ124" s="563">
        <v>0.3</v>
      </c>
      <c r="AK124" s="563">
        <v>0.3</v>
      </c>
      <c r="AL124" s="563">
        <v>0.3</v>
      </c>
      <c r="AM124" s="563">
        <v>0.3</v>
      </c>
      <c r="AN124" s="563">
        <v>0.3</v>
      </c>
      <c r="AO124" s="563">
        <v>0.3</v>
      </c>
      <c r="AP124" s="563">
        <v>0.29999999999999993</v>
      </c>
      <c r="AQ124" s="563">
        <v>0.3</v>
      </c>
      <c r="AR124" s="563">
        <v>0.30000000000000004</v>
      </c>
      <c r="AS124" s="563">
        <v>0.3</v>
      </c>
      <c r="AT124" s="563">
        <v>0.3</v>
      </c>
    </row>
    <row r="125" spans="2:46">
      <c r="B125" s="60" t="s">
        <v>1303</v>
      </c>
      <c r="C125" t="str">
        <f>INDEX('Scenario names'!$C$3:$C$6,2)</f>
        <v>High Hydrogen</v>
      </c>
      <c r="E125" s="44" t="s">
        <v>452</v>
      </c>
      <c r="F125" s="38" t="str">
        <f t="shared" si="28"/>
        <v>Fuel cell CHPHigh Hydrogen</v>
      </c>
      <c r="H125" s="38"/>
      <c r="I125" s="98"/>
      <c r="J125" s="38"/>
      <c r="K125" s="39">
        <v>0</v>
      </c>
      <c r="L125" s="39">
        <v>0</v>
      </c>
      <c r="M125" s="39">
        <v>0</v>
      </c>
      <c r="N125" s="39">
        <v>0</v>
      </c>
      <c r="O125" s="39">
        <v>0</v>
      </c>
      <c r="P125" s="39">
        <v>0</v>
      </c>
      <c r="Q125" s="563">
        <v>0</v>
      </c>
      <c r="R125" s="563">
        <v>0</v>
      </c>
      <c r="S125" s="563">
        <v>0</v>
      </c>
      <c r="T125" s="563">
        <v>0</v>
      </c>
      <c r="U125" s="563">
        <v>0</v>
      </c>
      <c r="V125" s="563">
        <v>1.6420238064254421E-2</v>
      </c>
      <c r="W125" s="563">
        <v>2.7587072458977967E-2</v>
      </c>
      <c r="X125" s="563">
        <v>3.4934595731926678E-2</v>
      </c>
      <c r="Y125" s="563">
        <v>3.9495527247158796E-2</v>
      </c>
      <c r="Z125" s="563">
        <v>4.1930262199284772E-2</v>
      </c>
      <c r="AA125" s="563">
        <v>4.6204175966171927E-2</v>
      </c>
      <c r="AB125" s="563">
        <v>4.9867775612780205E-2</v>
      </c>
      <c r="AC125" s="563">
        <v>7.1764585376628498E-2</v>
      </c>
      <c r="AD125" s="563">
        <v>9.1671555420341277E-2</v>
      </c>
      <c r="AE125" s="563">
        <v>0.10975409790674202</v>
      </c>
      <c r="AF125" s="563">
        <v>0.12620092544370803</v>
      </c>
      <c r="AG125" s="563">
        <v>0.14100246016657292</v>
      </c>
      <c r="AH125" s="563">
        <v>0.15417730860178505</v>
      </c>
      <c r="AI125" s="563">
        <v>0.16590398713847798</v>
      </c>
      <c r="AJ125" s="563">
        <v>0.17606924059970591</v>
      </c>
      <c r="AK125" s="563">
        <v>0.18948313375753117</v>
      </c>
      <c r="AL125" s="563">
        <v>0.2025007326772971</v>
      </c>
      <c r="AM125" s="563">
        <v>0.21516970826010742</v>
      </c>
      <c r="AN125" s="563">
        <v>0.22753126688658118</v>
      </c>
      <c r="AO125" s="563">
        <v>0.2396212118436081</v>
      </c>
      <c r="AP125" s="563">
        <v>0.24004305371746459</v>
      </c>
      <c r="AQ125" s="563">
        <v>0.24218470843089052</v>
      </c>
      <c r="AR125" s="563">
        <v>0.24429925316194237</v>
      </c>
      <c r="AS125" s="563">
        <v>0.24638724504592119</v>
      </c>
      <c r="AT125" s="563">
        <v>0.24844923386722781</v>
      </c>
    </row>
    <row r="126" spans="2:46">
      <c r="B126" s="60" t="s">
        <v>270</v>
      </c>
      <c r="C126" t="str">
        <f>INDEX('Scenario names'!$C$3:$C$6,2)</f>
        <v>High Hydrogen</v>
      </c>
      <c r="E126" s="44" t="s">
        <v>452</v>
      </c>
      <c r="F126" s="38" t="str">
        <f t="shared" si="28"/>
        <v>ASHPHigh Hydrogen</v>
      </c>
      <c r="H126" s="38"/>
      <c r="I126" s="98"/>
      <c r="J126" s="38"/>
      <c r="K126" s="39">
        <v>0</v>
      </c>
      <c r="L126" s="39">
        <v>0</v>
      </c>
      <c r="M126" s="39">
        <v>0</v>
      </c>
      <c r="N126" s="39">
        <v>0</v>
      </c>
      <c r="O126" s="39">
        <v>0</v>
      </c>
      <c r="P126" s="39">
        <v>0</v>
      </c>
      <c r="Q126" s="563">
        <v>0</v>
      </c>
      <c r="R126" s="563">
        <v>0</v>
      </c>
      <c r="S126" s="563">
        <v>0</v>
      </c>
      <c r="T126" s="563">
        <v>0</v>
      </c>
      <c r="U126" s="563">
        <v>0</v>
      </c>
      <c r="V126" s="563">
        <v>0</v>
      </c>
      <c r="W126" s="563">
        <v>0</v>
      </c>
      <c r="X126" s="563">
        <v>0</v>
      </c>
      <c r="Y126" s="563">
        <v>0</v>
      </c>
      <c r="Z126" s="563">
        <v>0</v>
      </c>
      <c r="AA126" s="563">
        <v>0</v>
      </c>
      <c r="AB126" s="563">
        <v>0</v>
      </c>
      <c r="AC126" s="563">
        <v>0</v>
      </c>
      <c r="AD126" s="563">
        <v>0</v>
      </c>
      <c r="AE126" s="563">
        <v>0</v>
      </c>
      <c r="AF126" s="563">
        <v>0</v>
      </c>
      <c r="AG126" s="563">
        <v>0</v>
      </c>
      <c r="AH126" s="563">
        <v>0</v>
      </c>
      <c r="AI126" s="563">
        <v>0</v>
      </c>
      <c r="AJ126" s="563">
        <v>0</v>
      </c>
      <c r="AK126" s="563">
        <v>0</v>
      </c>
      <c r="AL126" s="563">
        <v>0</v>
      </c>
      <c r="AM126" s="563">
        <v>0</v>
      </c>
      <c r="AN126" s="563">
        <v>0</v>
      </c>
      <c r="AO126" s="563">
        <v>0</v>
      </c>
      <c r="AP126" s="563">
        <v>0</v>
      </c>
      <c r="AQ126" s="563">
        <v>0</v>
      </c>
      <c r="AR126" s="563">
        <v>0</v>
      </c>
      <c r="AS126" s="563">
        <v>0</v>
      </c>
      <c r="AT126" s="563">
        <v>0</v>
      </c>
    </row>
    <row r="127" spans="2:46">
      <c r="B127" s="60" t="s">
        <v>271</v>
      </c>
      <c r="C127" t="str">
        <f>INDEX('Scenario names'!$C$3:$C$6,2)</f>
        <v>High Hydrogen</v>
      </c>
      <c r="E127" s="44" t="s">
        <v>452</v>
      </c>
      <c r="F127" s="38" t="str">
        <f t="shared" si="28"/>
        <v>GSHPHigh Hydrogen</v>
      </c>
      <c r="H127" s="38"/>
      <c r="I127" s="98"/>
      <c r="J127" s="38"/>
      <c r="K127" s="39">
        <v>0</v>
      </c>
      <c r="L127" s="39">
        <v>0</v>
      </c>
      <c r="M127" s="39">
        <v>0</v>
      </c>
      <c r="N127" s="39">
        <v>0</v>
      </c>
      <c r="O127" s="39">
        <v>0</v>
      </c>
      <c r="P127" s="39">
        <v>0</v>
      </c>
      <c r="Q127" s="563">
        <v>0</v>
      </c>
      <c r="R127" s="563">
        <v>0</v>
      </c>
      <c r="S127" s="563">
        <v>0</v>
      </c>
      <c r="T127" s="563">
        <v>0</v>
      </c>
      <c r="U127" s="563">
        <v>0</v>
      </c>
      <c r="V127" s="563">
        <v>0</v>
      </c>
      <c r="W127" s="563">
        <v>0</v>
      </c>
      <c r="X127" s="563">
        <v>0</v>
      </c>
      <c r="Y127" s="563">
        <v>0</v>
      </c>
      <c r="Z127" s="563">
        <v>0</v>
      </c>
      <c r="AA127" s="563">
        <v>0</v>
      </c>
      <c r="AB127" s="563">
        <v>0</v>
      </c>
      <c r="AC127" s="563">
        <v>0</v>
      </c>
      <c r="AD127" s="563">
        <v>0</v>
      </c>
      <c r="AE127" s="563">
        <v>0</v>
      </c>
      <c r="AF127" s="563">
        <v>0</v>
      </c>
      <c r="AG127" s="563">
        <v>0</v>
      </c>
      <c r="AH127" s="563">
        <v>0</v>
      </c>
      <c r="AI127" s="563">
        <v>0</v>
      </c>
      <c r="AJ127" s="563">
        <v>0</v>
      </c>
      <c r="AK127" s="563">
        <v>0</v>
      </c>
      <c r="AL127" s="563">
        <v>0</v>
      </c>
      <c r="AM127" s="563">
        <v>0</v>
      </c>
      <c r="AN127" s="563">
        <v>0</v>
      </c>
      <c r="AO127" s="563">
        <v>0</v>
      </c>
      <c r="AP127" s="563">
        <v>0</v>
      </c>
      <c r="AQ127" s="563">
        <v>0</v>
      </c>
      <c r="AR127" s="563">
        <v>0</v>
      </c>
      <c r="AS127" s="563">
        <v>0</v>
      </c>
      <c r="AT127" s="563">
        <v>0</v>
      </c>
    </row>
    <row r="128" spans="2:46">
      <c r="B128" s="60" t="s">
        <v>268</v>
      </c>
      <c r="C128" t="str">
        <f>INDEX('Scenario names'!$C$3:$C$6,2)</f>
        <v>High Hydrogen</v>
      </c>
      <c r="E128" s="44" t="s">
        <v>452</v>
      </c>
      <c r="F128" s="38" t="str">
        <f t="shared" si="28"/>
        <v>RiversHigh Hydrogen</v>
      </c>
      <c r="H128" s="38"/>
      <c r="I128" s="98"/>
      <c r="J128" s="38"/>
      <c r="K128" s="39">
        <v>0</v>
      </c>
      <c r="L128" s="39">
        <v>0</v>
      </c>
      <c r="M128" s="39">
        <v>0</v>
      </c>
      <c r="N128" s="39">
        <v>0</v>
      </c>
      <c r="O128" s="39">
        <v>0</v>
      </c>
      <c r="P128" s="39">
        <v>0</v>
      </c>
      <c r="Q128" s="563">
        <v>0</v>
      </c>
      <c r="R128" s="563">
        <v>0</v>
      </c>
      <c r="S128" s="563">
        <v>0</v>
      </c>
      <c r="T128" s="563">
        <v>0</v>
      </c>
      <c r="U128" s="563">
        <v>0</v>
      </c>
      <c r="V128" s="563">
        <v>8.9921070120096303E-3</v>
      </c>
      <c r="W128" s="563">
        <v>1.6513873700382892E-2</v>
      </c>
      <c r="X128" s="563">
        <v>2.2972297732534216E-2</v>
      </c>
      <c r="Y128" s="563">
        <v>2.8634043662597718E-2</v>
      </c>
      <c r="Z128" s="563">
        <v>3.3683404439960776E-2</v>
      </c>
      <c r="AA128" s="563">
        <v>3.8047991053668871E-2</v>
      </c>
      <c r="AB128" s="563">
        <v>4.2027202206553038E-2</v>
      </c>
      <c r="AC128" s="563">
        <v>4.5681169040810321E-2</v>
      </c>
      <c r="AD128" s="563">
        <v>4.919670483691245E-2</v>
      </c>
      <c r="AE128" s="563">
        <v>5.2534266539532443E-2</v>
      </c>
      <c r="AF128" s="563">
        <v>5.5677408233013065E-2</v>
      </c>
      <c r="AG128" s="563">
        <v>5.8692520804773995E-2</v>
      </c>
      <c r="AH128" s="563">
        <v>6.1608743585394012E-2</v>
      </c>
      <c r="AI128" s="563">
        <v>6.4399691756144739E-2</v>
      </c>
      <c r="AJ128" s="563">
        <v>6.7124606258131395E-2</v>
      </c>
      <c r="AK128" s="563">
        <v>6.8664873826048606E-2</v>
      </c>
      <c r="AL128" s="563">
        <v>7.0082574042234405E-2</v>
      </c>
      <c r="AM128" s="563">
        <v>7.1391365375978594E-2</v>
      </c>
      <c r="AN128" s="563">
        <v>7.2602885863460601E-2</v>
      </c>
      <c r="AO128" s="563">
        <v>7.3727130168208505E-2</v>
      </c>
      <c r="AP128" s="563">
        <v>7.6677820284496573E-2</v>
      </c>
      <c r="AQ128" s="563">
        <v>7.5953819808877207E-2</v>
      </c>
      <c r="AR128" s="563">
        <v>7.5241224585370525E-2</v>
      </c>
      <c r="AS128" s="563">
        <v>7.4539780110572107E-2</v>
      </c>
      <c r="AT128" s="563">
        <v>7.3849237908589146E-2</v>
      </c>
    </row>
    <row r="129" spans="2:46">
      <c r="B129" s="60" t="s">
        <v>269</v>
      </c>
      <c r="C129" t="str">
        <f>INDEX('Scenario names'!$C$3:$C$6,2)</f>
        <v>High Hydrogen</v>
      </c>
      <c r="E129" s="44" t="s">
        <v>452</v>
      </c>
      <c r="F129" s="38" t="str">
        <f t="shared" si="28"/>
        <v>Sewer Heat MiningHigh Hydrogen</v>
      </c>
      <c r="H129" s="38"/>
      <c r="I129" s="98"/>
      <c r="J129" s="38"/>
      <c r="K129" s="39">
        <v>0</v>
      </c>
      <c r="L129" s="39">
        <v>0</v>
      </c>
      <c r="M129" s="39">
        <v>0</v>
      </c>
      <c r="N129" s="39">
        <v>0</v>
      </c>
      <c r="O129" s="39">
        <v>0</v>
      </c>
      <c r="P129" s="39">
        <v>0</v>
      </c>
      <c r="Q129" s="563">
        <v>0</v>
      </c>
      <c r="R129" s="563">
        <v>0</v>
      </c>
      <c r="S129" s="563">
        <v>0</v>
      </c>
      <c r="T129" s="563">
        <v>0</v>
      </c>
      <c r="U129" s="563">
        <v>0</v>
      </c>
      <c r="V129" s="563">
        <v>1.7122237928030751E-2</v>
      </c>
      <c r="W129" s="563">
        <v>3.1444740841469719E-2</v>
      </c>
      <c r="X129" s="563">
        <v>4.374248960835108E-2</v>
      </c>
      <c r="Y129" s="563">
        <v>5.4523251088739857E-2</v>
      </c>
      <c r="Z129" s="563">
        <v>6.4137945008530581E-2</v>
      </c>
      <c r="AA129" s="563">
        <v>7.2448732497780707E-2</v>
      </c>
      <c r="AB129" s="563">
        <v>8.0025710844964473E-2</v>
      </c>
      <c r="AC129" s="563">
        <v>8.6983378211881651E-2</v>
      </c>
      <c r="AD129" s="563">
        <v>9.367745338969885E-2</v>
      </c>
      <c r="AE129" s="563">
        <v>0.10003264083302214</v>
      </c>
      <c r="AF129" s="563">
        <v>0.10601762520269338</v>
      </c>
      <c r="AG129" s="563">
        <v>0.11175882409684995</v>
      </c>
      <c r="AH129" s="563">
        <v>0.11731172290401841</v>
      </c>
      <c r="AI129" s="563">
        <v>0.12262608121409777</v>
      </c>
      <c r="AJ129" s="563">
        <v>0.12781470212065987</v>
      </c>
      <c r="AK129" s="563">
        <v>0.13074758845480658</v>
      </c>
      <c r="AL129" s="563">
        <v>0.13344708929256727</v>
      </c>
      <c r="AM129" s="563">
        <v>0.13593921228271663</v>
      </c>
      <c r="AN129" s="563">
        <v>0.13824611788489038</v>
      </c>
      <c r="AO129" s="563">
        <v>0.14038683734579291</v>
      </c>
      <c r="AP129" s="563">
        <v>0.14600536681341342</v>
      </c>
      <c r="AQ129" s="563">
        <v>0.1446267679614418</v>
      </c>
      <c r="AR129" s="563">
        <v>0.14326988631546453</v>
      </c>
      <c r="AS129" s="563">
        <v>0.14193423726516291</v>
      </c>
      <c r="AT129" s="563">
        <v>0.14061934767744924</v>
      </c>
    </row>
    <row r="130" spans="2:46">
      <c r="B130" s="60" t="s">
        <v>1304</v>
      </c>
      <c r="C130" t="str">
        <f>INDEX('Scenario names'!$C$3:$C$6,2)</f>
        <v>High Hydrogen</v>
      </c>
      <c r="E130" s="44" t="s">
        <v>452</v>
      </c>
      <c r="F130" s="38" t="str">
        <f t="shared" si="28"/>
        <v>Commercial and building heat rejectionHigh Hydrogen</v>
      </c>
      <c r="H130" s="38"/>
      <c r="I130" s="98"/>
      <c r="J130" s="38"/>
      <c r="K130" s="609">
        <v>0</v>
      </c>
      <c r="L130" s="609">
        <v>0</v>
      </c>
      <c r="M130" s="609">
        <v>0</v>
      </c>
      <c r="N130" s="609">
        <v>0</v>
      </c>
      <c r="O130" s="609">
        <v>0</v>
      </c>
      <c r="P130" s="609">
        <v>0</v>
      </c>
      <c r="Q130" s="609">
        <v>0</v>
      </c>
      <c r="R130" s="609">
        <v>0</v>
      </c>
      <c r="S130" s="609">
        <v>0</v>
      </c>
      <c r="T130" s="609">
        <v>0</v>
      </c>
      <c r="U130" s="609">
        <v>0</v>
      </c>
      <c r="V130" s="609">
        <v>0</v>
      </c>
      <c r="W130" s="609">
        <v>0</v>
      </c>
      <c r="X130" s="609">
        <v>0</v>
      </c>
      <c r="Y130" s="609">
        <v>0</v>
      </c>
      <c r="Z130" s="609">
        <v>0</v>
      </c>
      <c r="AA130" s="609">
        <v>0</v>
      </c>
      <c r="AB130" s="609">
        <v>0</v>
      </c>
      <c r="AC130" s="609">
        <v>0</v>
      </c>
      <c r="AD130" s="609">
        <v>0</v>
      </c>
      <c r="AE130" s="609">
        <v>0</v>
      </c>
      <c r="AF130" s="609">
        <v>0</v>
      </c>
      <c r="AG130" s="609">
        <v>0</v>
      </c>
      <c r="AH130" s="609">
        <v>0</v>
      </c>
      <c r="AI130" s="609">
        <v>0</v>
      </c>
      <c r="AJ130" s="609">
        <v>0</v>
      </c>
      <c r="AK130" s="609">
        <v>0</v>
      </c>
      <c r="AL130" s="609">
        <v>0</v>
      </c>
      <c r="AM130" s="609">
        <v>0</v>
      </c>
      <c r="AN130" s="609">
        <v>0</v>
      </c>
      <c r="AO130" s="609">
        <v>0</v>
      </c>
      <c r="AP130" s="609">
        <v>0</v>
      </c>
      <c r="AQ130" s="609">
        <v>0</v>
      </c>
      <c r="AR130" s="609">
        <v>0</v>
      </c>
      <c r="AS130" s="609">
        <v>0</v>
      </c>
      <c r="AT130" s="609">
        <v>0</v>
      </c>
    </row>
    <row r="131" spans="2:46">
      <c r="F131" s="38" t="str">
        <f t="shared" si="28"/>
        <v/>
      </c>
    </row>
    <row r="132" spans="2:46">
      <c r="B132" s="60" t="s">
        <v>263</v>
      </c>
      <c r="C132" t="str">
        <f>INDEX('Scenario names'!$C$3:$C$6,3)</f>
        <v>Accelerated Green</v>
      </c>
      <c r="E132" s="44" t="s">
        <v>452</v>
      </c>
      <c r="F132" s="38" t="str">
        <f t="shared" si="28"/>
        <v>Large Power &amp; IndustrialAccelerated Green</v>
      </c>
      <c r="H132" s="38"/>
      <c r="I132" s="98"/>
      <c r="J132" s="38"/>
      <c r="K132" s="39">
        <v>0</v>
      </c>
      <c r="L132" s="39">
        <v>0</v>
      </c>
      <c r="M132" s="39">
        <v>0</v>
      </c>
      <c r="N132" s="39">
        <v>0</v>
      </c>
      <c r="O132" s="39">
        <v>0</v>
      </c>
      <c r="P132" s="39">
        <v>0</v>
      </c>
      <c r="Q132" s="39">
        <v>3.8141780056004729E-2</v>
      </c>
      <c r="R132" s="39">
        <v>6.6464848514150202E-2</v>
      </c>
      <c r="S132" s="39">
        <v>8.8532023688586647E-2</v>
      </c>
      <c r="T132" s="39">
        <v>0.10637063895452456</v>
      </c>
      <c r="U132" s="39">
        <v>0.12126191208168258</v>
      </c>
      <c r="V132" s="39">
        <v>0.13256883119150165</v>
      </c>
      <c r="W132" s="39">
        <v>0.14247184147408951</v>
      </c>
      <c r="X132" s="39">
        <v>0.1513630298584997</v>
      </c>
      <c r="Y132" s="39">
        <v>0.15948316303280763</v>
      </c>
      <c r="Z132" s="39">
        <v>0.16700787274928028</v>
      </c>
      <c r="AA132" s="39">
        <v>0.17313630893443993</v>
      </c>
      <c r="AB132" s="39">
        <v>0.17900488204624118</v>
      </c>
      <c r="AC132" s="39">
        <v>0.18459099740528992</v>
      </c>
      <c r="AD132" s="39">
        <v>0.19043962009202395</v>
      </c>
      <c r="AE132" s="39">
        <v>0.19621997932587079</v>
      </c>
      <c r="AF132" s="39">
        <v>0.20176916538107215</v>
      </c>
      <c r="AG132" s="39">
        <v>0.20725731757478108</v>
      </c>
      <c r="AH132" s="39">
        <v>0.21272491630701776</v>
      </c>
      <c r="AI132" s="39">
        <v>0.21803380545024112</v>
      </c>
      <c r="AJ132" s="39">
        <v>0.22334990666167934</v>
      </c>
      <c r="AK132" s="39">
        <v>0.22497570679909951</v>
      </c>
      <c r="AL132" s="39">
        <v>0.22646935976213553</v>
      </c>
      <c r="AM132" s="39">
        <v>0.22784516602117272</v>
      </c>
      <c r="AN132" s="39">
        <v>0.22911526266698495</v>
      </c>
      <c r="AO132" s="39">
        <v>0.23029007318615002</v>
      </c>
      <c r="AP132" s="39">
        <v>0.23727375918462557</v>
      </c>
      <c r="AQ132" s="39">
        <v>0.23723470379879066</v>
      </c>
      <c r="AR132" s="39">
        <v>0.23718963593722273</v>
      </c>
      <c r="AS132" s="39">
        <v>0.23713873757834386</v>
      </c>
      <c r="AT132" s="39">
        <v>0.23708218054673391</v>
      </c>
    </row>
    <row r="133" spans="2:46">
      <c r="B133" s="60" t="s">
        <v>272</v>
      </c>
      <c r="C133" t="str">
        <f>INDEX('Scenario names'!$C$3:$C$6,3)</f>
        <v>Accelerated Green</v>
      </c>
      <c r="E133" s="44" t="s">
        <v>452</v>
      </c>
      <c r="F133" s="38" t="str">
        <f t="shared" si="28"/>
        <v>Gas boilerAccelerated Green</v>
      </c>
      <c r="H133" s="38"/>
      <c r="I133" s="98"/>
      <c r="J133" s="38"/>
      <c r="K133" s="39">
        <v>0.30000000000000004</v>
      </c>
      <c r="L133" s="39">
        <v>0.3</v>
      </c>
      <c r="M133" s="39">
        <v>0.3</v>
      </c>
      <c r="N133" s="39">
        <v>0.3</v>
      </c>
      <c r="O133" s="39">
        <v>0.3</v>
      </c>
      <c r="P133" s="39">
        <v>0.3</v>
      </c>
      <c r="Q133" s="39">
        <v>0.30000000000000004</v>
      </c>
      <c r="R133" s="39">
        <v>0.3</v>
      </c>
      <c r="S133" s="39">
        <v>0.3</v>
      </c>
      <c r="T133" s="39">
        <v>0.3</v>
      </c>
      <c r="U133" s="39">
        <v>0.30000000000000054</v>
      </c>
      <c r="V133" s="39">
        <v>0.27209022358916618</v>
      </c>
      <c r="W133" s="39">
        <v>0.25</v>
      </c>
      <c r="X133" s="39">
        <v>0.25</v>
      </c>
      <c r="Y133" s="39">
        <v>0.25</v>
      </c>
      <c r="Z133" s="39">
        <v>0.22</v>
      </c>
      <c r="AA133" s="39">
        <v>0.2</v>
      </c>
      <c r="AB133" s="39">
        <v>0.18</v>
      </c>
      <c r="AC133" s="39">
        <v>0.16</v>
      </c>
      <c r="AD133" s="39">
        <v>0.14000000000000001</v>
      </c>
      <c r="AE133" s="39">
        <v>0.12</v>
      </c>
      <c r="AF133" s="39">
        <v>0.1</v>
      </c>
      <c r="AG133" s="39">
        <v>7.0000000000000007E-2</v>
      </c>
      <c r="AH133" s="39">
        <v>7.0000000000000007E-2</v>
      </c>
      <c r="AI133" s="39">
        <v>0.06</v>
      </c>
      <c r="AJ133" s="39">
        <v>0.04</v>
      </c>
      <c r="AK133" s="39">
        <v>0.04</v>
      </c>
      <c r="AL133" s="39">
        <v>2.0999999999999984E-2</v>
      </c>
      <c r="AM133" s="39">
        <v>9.0000000000000115E-3</v>
      </c>
      <c r="AN133" s="39">
        <v>0</v>
      </c>
      <c r="AO133" s="39">
        <v>0</v>
      </c>
      <c r="AP133" s="39">
        <v>0</v>
      </c>
      <c r="AQ133" s="39">
        <v>0</v>
      </c>
      <c r="AR133" s="39">
        <v>0</v>
      </c>
      <c r="AS133" s="39">
        <v>0</v>
      </c>
      <c r="AT133" s="39">
        <v>0</v>
      </c>
    </row>
    <row r="134" spans="2:46">
      <c r="B134" s="60" t="s">
        <v>1302</v>
      </c>
      <c r="C134" t="str">
        <f>INDEX('Scenario names'!$C$3:$C$6,3)</f>
        <v>Accelerated Green</v>
      </c>
      <c r="E134" s="44" t="s">
        <v>452</v>
      </c>
      <c r="F134" s="38" t="str">
        <f t="shared" si="28"/>
        <v>Gas Engine CHPAccelerated Green</v>
      </c>
      <c r="H134" s="38"/>
      <c r="I134" s="98"/>
      <c r="J134" s="38"/>
      <c r="K134" s="39">
        <v>0.7</v>
      </c>
      <c r="L134" s="39">
        <v>0.7</v>
      </c>
      <c r="M134" s="39">
        <v>0.7</v>
      </c>
      <c r="N134" s="39">
        <v>0.7</v>
      </c>
      <c r="O134" s="39">
        <v>0.7</v>
      </c>
      <c r="P134" s="39">
        <v>0.7</v>
      </c>
      <c r="Q134" s="39">
        <v>0.6618582199439953</v>
      </c>
      <c r="R134" s="39">
        <v>0.63353515148584971</v>
      </c>
      <c r="S134" s="39">
        <v>0.61146797631141336</v>
      </c>
      <c r="T134" s="39">
        <v>0.59362936104547548</v>
      </c>
      <c r="U134" s="39">
        <v>0.57873808791831693</v>
      </c>
      <c r="V134" s="39">
        <v>0.52489658580420362</v>
      </c>
      <c r="W134" s="39">
        <v>0.48198247152507989</v>
      </c>
      <c r="X134" s="39">
        <v>0.44698758706868846</v>
      </c>
      <c r="Y134" s="39">
        <v>0.41786401496869596</v>
      </c>
      <c r="Z134" s="39">
        <v>0.39324051560294365</v>
      </c>
      <c r="AA134" s="39">
        <v>0.37016279154793869</v>
      </c>
      <c r="AB134" s="39">
        <v>0.34907442928946109</v>
      </c>
      <c r="AC134" s="39">
        <v>0.31097986996538962</v>
      </c>
      <c r="AD134" s="39">
        <v>0.27501466626102333</v>
      </c>
      <c r="AE134" s="39">
        <v>0.2414590153948325</v>
      </c>
      <c r="AF134" s="39">
        <v>0.21033487573951326</v>
      </c>
      <c r="AG134" s="39">
        <v>0.18128887735702212</v>
      </c>
      <c r="AH134" s="39">
        <v>0.15417730860178486</v>
      </c>
      <c r="AI134" s="39">
        <v>0.12903643444103827</v>
      </c>
      <c r="AJ134" s="39">
        <v>0.10564154435982345</v>
      </c>
      <c r="AK134" s="39">
        <v>8.6128697162514062E-2</v>
      </c>
      <c r="AL134" s="39">
        <v>6.7500244225765657E-2</v>
      </c>
      <c r="AM134" s="39">
        <v>4.9654548060024742E-2</v>
      </c>
      <c r="AN134" s="39">
        <v>3.2504466698082983E-2</v>
      </c>
      <c r="AO134" s="39">
        <v>1.5974747456240522E-2</v>
      </c>
      <c r="AP134" s="39">
        <v>0</v>
      </c>
      <c r="AQ134" s="39">
        <v>0</v>
      </c>
      <c r="AR134" s="39">
        <v>0</v>
      </c>
      <c r="AS134" s="39">
        <v>0</v>
      </c>
      <c r="AT134" s="39">
        <v>0</v>
      </c>
    </row>
    <row r="135" spans="2:46">
      <c r="B135" s="60" t="s">
        <v>265</v>
      </c>
      <c r="C135" t="str">
        <f>INDEX('Scenario names'!$C$3:$C$6,3)</f>
        <v>Accelerated Green</v>
      </c>
      <c r="E135" s="44" t="s">
        <v>452</v>
      </c>
      <c r="F135" s="38" t="str">
        <f t="shared" si="28"/>
        <v>TransformersAccelerated Green</v>
      </c>
      <c r="H135" s="38"/>
      <c r="I135" s="98"/>
      <c r="J135" s="38"/>
      <c r="K135" s="39">
        <v>0</v>
      </c>
      <c r="L135" s="39">
        <v>0</v>
      </c>
      <c r="M135" s="39">
        <v>0</v>
      </c>
      <c r="N135" s="39">
        <v>0</v>
      </c>
      <c r="O135" s="39">
        <v>0</v>
      </c>
      <c r="P135" s="39">
        <v>0</v>
      </c>
      <c r="Q135" s="39">
        <v>0</v>
      </c>
      <c r="R135" s="39">
        <v>0</v>
      </c>
      <c r="S135" s="39">
        <v>0</v>
      </c>
      <c r="T135" s="39">
        <v>0</v>
      </c>
      <c r="U135" s="39">
        <v>0</v>
      </c>
      <c r="V135" s="39">
        <v>0</v>
      </c>
      <c r="W135" s="39">
        <v>0</v>
      </c>
      <c r="X135" s="39">
        <v>0</v>
      </c>
      <c r="Y135" s="39">
        <v>0</v>
      </c>
      <c r="Z135" s="39">
        <v>0</v>
      </c>
      <c r="AA135" s="39">
        <v>0</v>
      </c>
      <c r="AB135" s="39">
        <v>0</v>
      </c>
      <c r="AC135" s="39">
        <v>0</v>
      </c>
      <c r="AD135" s="39">
        <v>0</v>
      </c>
      <c r="AE135" s="39">
        <v>0</v>
      </c>
      <c r="AF135" s="39">
        <v>0</v>
      </c>
      <c r="AG135" s="39">
        <v>0</v>
      </c>
      <c r="AH135" s="39">
        <v>0</v>
      </c>
      <c r="AI135" s="39">
        <v>0</v>
      </c>
      <c r="AJ135" s="39">
        <v>0</v>
      </c>
      <c r="AK135" s="39">
        <v>0</v>
      </c>
      <c r="AL135" s="39">
        <v>0</v>
      </c>
      <c r="AM135" s="39">
        <v>0</v>
      </c>
      <c r="AN135" s="39">
        <v>0</v>
      </c>
      <c r="AO135" s="39">
        <v>0</v>
      </c>
      <c r="AP135" s="39">
        <v>0</v>
      </c>
      <c r="AQ135" s="39">
        <v>0</v>
      </c>
      <c r="AR135" s="39">
        <v>0</v>
      </c>
      <c r="AS135" s="39">
        <v>0</v>
      </c>
      <c r="AT135" s="39">
        <v>0</v>
      </c>
    </row>
    <row r="136" spans="2:46">
      <c r="B136" s="60" t="s">
        <v>211</v>
      </c>
      <c r="C136" t="str">
        <f>INDEX('Scenario names'!$C$3:$C$6,3)</f>
        <v>Accelerated Green</v>
      </c>
      <c r="E136" s="44" t="s">
        <v>452</v>
      </c>
      <c r="F136" s="38" t="str">
        <f t="shared" si="28"/>
        <v>HydrogenAccelerated Green</v>
      </c>
      <c r="H136" s="38"/>
      <c r="I136" s="98"/>
      <c r="J136" s="38"/>
      <c r="K136" s="39">
        <v>0</v>
      </c>
      <c r="L136" s="39">
        <v>0</v>
      </c>
      <c r="M136" s="39">
        <v>0</v>
      </c>
      <c r="N136" s="39">
        <v>0</v>
      </c>
      <c r="O136" s="39">
        <v>0</v>
      </c>
      <c r="P136" s="39">
        <v>0</v>
      </c>
      <c r="Q136" s="39">
        <v>0</v>
      </c>
      <c r="R136" s="39">
        <v>0</v>
      </c>
      <c r="S136" s="39">
        <v>0</v>
      </c>
      <c r="T136" s="39">
        <v>0</v>
      </c>
      <c r="U136" s="39">
        <v>0</v>
      </c>
      <c r="V136" s="39">
        <v>0</v>
      </c>
      <c r="W136" s="39">
        <v>0</v>
      </c>
      <c r="X136" s="39">
        <v>0</v>
      </c>
      <c r="Y136" s="39">
        <v>0</v>
      </c>
      <c r="Z136" s="39">
        <v>0.01</v>
      </c>
      <c r="AA136" s="39">
        <v>0.03</v>
      </c>
      <c r="AB136" s="39">
        <v>0.05</v>
      </c>
      <c r="AC136" s="39">
        <v>7.0000000000000007E-2</v>
      </c>
      <c r="AD136" s="39">
        <v>0.09</v>
      </c>
      <c r="AE136" s="39">
        <v>0.11</v>
      </c>
      <c r="AF136" s="39">
        <v>0.13</v>
      </c>
      <c r="AG136" s="39">
        <v>0.15</v>
      </c>
      <c r="AH136" s="39">
        <v>0.15</v>
      </c>
      <c r="AI136" s="39">
        <v>0.15</v>
      </c>
      <c r="AJ136" s="39">
        <v>0.15</v>
      </c>
      <c r="AK136" s="39">
        <v>0.15</v>
      </c>
      <c r="AL136" s="39">
        <v>0.15</v>
      </c>
      <c r="AM136" s="39">
        <v>0.15</v>
      </c>
      <c r="AN136" s="39">
        <v>0.15</v>
      </c>
      <c r="AO136" s="39">
        <v>0.15</v>
      </c>
      <c r="AP136" s="39">
        <v>0.15</v>
      </c>
      <c r="AQ136" s="39">
        <v>0.15</v>
      </c>
      <c r="AR136" s="39">
        <v>0.15</v>
      </c>
      <c r="AS136" s="39">
        <v>0.15</v>
      </c>
      <c r="AT136" s="39">
        <v>0.15</v>
      </c>
    </row>
    <row r="137" spans="2:46">
      <c r="B137" s="60" t="s">
        <v>1303</v>
      </c>
      <c r="C137" t="str">
        <f>INDEX('Scenario names'!$C$3:$C$6,3)</f>
        <v>Accelerated Green</v>
      </c>
      <c r="E137" s="44" t="s">
        <v>452</v>
      </c>
      <c r="F137" s="38" t="str">
        <f t="shared" si="28"/>
        <v>Fuel cell CHPAccelerated Green</v>
      </c>
      <c r="H137" s="38"/>
      <c r="I137" s="98"/>
      <c r="J137" s="38"/>
      <c r="K137" s="39">
        <v>0</v>
      </c>
      <c r="L137" s="39">
        <v>0</v>
      </c>
      <c r="M137" s="39">
        <v>0</v>
      </c>
      <c r="N137" s="39">
        <v>0</v>
      </c>
      <c r="O137" s="39">
        <v>0</v>
      </c>
      <c r="P137" s="39">
        <v>0</v>
      </c>
      <c r="Q137" s="39">
        <v>0</v>
      </c>
      <c r="R137" s="39">
        <v>0</v>
      </c>
      <c r="S137" s="39">
        <v>0</v>
      </c>
      <c r="T137" s="39">
        <v>0</v>
      </c>
      <c r="U137" s="39">
        <v>0</v>
      </c>
      <c r="V137" s="39">
        <v>4.1050595160635837E-3</v>
      </c>
      <c r="W137" s="39">
        <v>6.8967681147444502E-3</v>
      </c>
      <c r="X137" s="39">
        <v>8.7336489329816313E-3</v>
      </c>
      <c r="Y137" s="39">
        <v>9.8738818117896608E-3</v>
      </c>
      <c r="Z137" s="39">
        <v>1.0482565549821158E-2</v>
      </c>
      <c r="AA137" s="39">
        <v>1.1551043991542921E-2</v>
      </c>
      <c r="AB137" s="39">
        <v>1.2466943903195053E-2</v>
      </c>
      <c r="AC137" s="39">
        <v>1.7941146344157121E-2</v>
      </c>
      <c r="AD137" s="39">
        <v>2.2917888855085288E-2</v>
      </c>
      <c r="AE137" s="39">
        <v>2.7438524476685506E-2</v>
      </c>
      <c r="AF137" s="39">
        <v>3.1550231360927009E-2</v>
      </c>
      <c r="AG137" s="39">
        <v>3.5250615041643181E-2</v>
      </c>
      <c r="AH137" s="39">
        <v>3.85443271504462E-2</v>
      </c>
      <c r="AI137" s="39">
        <v>4.1475996784619447E-2</v>
      </c>
      <c r="AJ137" s="39">
        <v>4.4017310149926422E-2</v>
      </c>
      <c r="AK137" s="39">
        <v>4.7370783439382717E-2</v>
      </c>
      <c r="AL137" s="39">
        <v>5.0625183169324239E-2</v>
      </c>
      <c r="AM137" s="39">
        <v>5.3792427065026793E-2</v>
      </c>
      <c r="AN137" s="39">
        <v>5.6882816721645239E-2</v>
      </c>
      <c r="AO137" s="39">
        <v>5.9905302960901977E-2</v>
      </c>
      <c r="AP137" s="39">
        <v>6.0010763429366072E-2</v>
      </c>
      <c r="AQ137" s="39">
        <v>6.054617710772256E-2</v>
      </c>
      <c r="AR137" s="39">
        <v>6.1074813290485516E-2</v>
      </c>
      <c r="AS137" s="39">
        <v>6.1596811261480221E-2</v>
      </c>
      <c r="AT137" s="39">
        <v>6.2112308466806952E-2</v>
      </c>
    </row>
    <row r="138" spans="2:46">
      <c r="B138" s="60" t="s">
        <v>270</v>
      </c>
      <c r="C138" t="str">
        <f>INDEX('Scenario names'!$C$3:$C$6,3)</f>
        <v>Accelerated Green</v>
      </c>
      <c r="E138" s="44" t="s">
        <v>452</v>
      </c>
      <c r="F138" s="38" t="str">
        <f t="shared" si="28"/>
        <v>ASHPAccelerated Green</v>
      </c>
      <c r="H138" s="38"/>
      <c r="I138" s="98"/>
      <c r="J138" s="38"/>
      <c r="K138" s="39">
        <v>0</v>
      </c>
      <c r="L138" s="39">
        <v>0</v>
      </c>
      <c r="M138" s="39">
        <v>0</v>
      </c>
      <c r="N138" s="39">
        <v>0</v>
      </c>
      <c r="O138" s="39">
        <v>0</v>
      </c>
      <c r="P138" s="39">
        <v>0</v>
      </c>
      <c r="Q138" s="39">
        <v>0</v>
      </c>
      <c r="R138" s="39">
        <v>0</v>
      </c>
      <c r="S138" s="39">
        <v>0</v>
      </c>
      <c r="T138" s="39">
        <v>0</v>
      </c>
      <c r="U138" s="39">
        <v>0</v>
      </c>
      <c r="V138" s="39">
        <v>4.0224954959024589E-2</v>
      </c>
      <c r="W138" s="39">
        <v>7.0845435869061626E-2</v>
      </c>
      <c r="X138" s="39">
        <v>7.6200946798944888E-2</v>
      </c>
      <c r="Y138" s="39">
        <v>7.9621645435368982E-2</v>
      </c>
      <c r="Z138" s="39">
        <v>0.10144769664946349</v>
      </c>
      <c r="AA138" s="39">
        <v>0.10465313197462876</v>
      </c>
      <c r="AB138" s="39">
        <v>0.10740083170958516</v>
      </c>
      <c r="AC138" s="39">
        <v>0.12382343903247137</v>
      </c>
      <c r="AD138" s="39">
        <v>0.13875366656525587</v>
      </c>
      <c r="AE138" s="39">
        <v>0.15231557343005653</v>
      </c>
      <c r="AF138" s="39">
        <v>0.16465069408278105</v>
      </c>
      <c r="AG138" s="39">
        <v>0.18575184512492954</v>
      </c>
      <c r="AH138" s="39">
        <v>0.19563298145133859</v>
      </c>
      <c r="AI138" s="39">
        <v>0.21442799035385832</v>
      </c>
      <c r="AJ138" s="39">
        <v>0.24205193044977932</v>
      </c>
      <c r="AK138" s="39">
        <v>0.25211235031814816</v>
      </c>
      <c r="AL138" s="39">
        <v>0.28187554950797272</v>
      </c>
      <c r="AM138" s="39">
        <v>0.30137728119508034</v>
      </c>
      <c r="AN138" s="39">
        <v>0.32064845016493571</v>
      </c>
      <c r="AO138" s="39">
        <v>0.32971590888270591</v>
      </c>
      <c r="AP138" s="39">
        <v>0.33003229028809827</v>
      </c>
      <c r="AQ138" s="39">
        <v>0.33163853132316767</v>
      </c>
      <c r="AR138" s="39">
        <v>0.33322443987145656</v>
      </c>
      <c r="AS138" s="39">
        <v>0.33479043378444062</v>
      </c>
      <c r="AT138" s="39">
        <v>0.33633692540042076</v>
      </c>
    </row>
    <row r="139" spans="2:46">
      <c r="B139" s="60" t="s">
        <v>271</v>
      </c>
      <c r="C139" t="str">
        <f>INDEX('Scenario names'!$C$3:$C$6,3)</f>
        <v>Accelerated Green</v>
      </c>
      <c r="E139" s="44" t="s">
        <v>452</v>
      </c>
      <c r="F139" s="38" t="str">
        <f t="shared" si="28"/>
        <v>GSHPAccelerated Green</v>
      </c>
      <c r="H139" s="38"/>
      <c r="I139" s="98"/>
      <c r="J139" s="38"/>
      <c r="K139" s="39">
        <v>0</v>
      </c>
      <c r="L139" s="39">
        <v>0</v>
      </c>
      <c r="M139" s="39">
        <v>0</v>
      </c>
      <c r="N139" s="39">
        <v>0</v>
      </c>
      <c r="O139" s="39">
        <v>0</v>
      </c>
      <c r="P139" s="39">
        <v>0</v>
      </c>
      <c r="Q139" s="39">
        <v>0</v>
      </c>
      <c r="R139" s="39">
        <v>0</v>
      </c>
      <c r="S139" s="39">
        <v>0</v>
      </c>
      <c r="T139" s="39">
        <v>0</v>
      </c>
      <c r="U139" s="39">
        <v>0</v>
      </c>
      <c r="V139" s="39">
        <v>0</v>
      </c>
      <c r="W139" s="39">
        <v>0</v>
      </c>
      <c r="X139" s="39">
        <v>0</v>
      </c>
      <c r="Y139" s="39">
        <v>0</v>
      </c>
      <c r="Z139" s="39">
        <v>0</v>
      </c>
      <c r="AA139" s="39">
        <v>0</v>
      </c>
      <c r="AB139" s="39">
        <v>0</v>
      </c>
      <c r="AC139" s="39">
        <v>0</v>
      </c>
      <c r="AD139" s="39">
        <v>0</v>
      </c>
      <c r="AE139" s="39">
        <v>0</v>
      </c>
      <c r="AF139" s="39">
        <v>0</v>
      </c>
      <c r="AG139" s="39">
        <v>0</v>
      </c>
      <c r="AH139" s="39">
        <v>0</v>
      </c>
      <c r="AI139" s="39">
        <v>0</v>
      </c>
      <c r="AJ139" s="39">
        <v>0</v>
      </c>
      <c r="AK139" s="39">
        <v>0</v>
      </c>
      <c r="AL139" s="39">
        <v>0</v>
      </c>
      <c r="AM139" s="39">
        <v>0</v>
      </c>
      <c r="AN139" s="39">
        <v>0</v>
      </c>
      <c r="AO139" s="39">
        <v>0</v>
      </c>
      <c r="AP139" s="39">
        <v>0</v>
      </c>
      <c r="AQ139" s="39">
        <v>0</v>
      </c>
      <c r="AR139" s="39">
        <v>0</v>
      </c>
      <c r="AS139" s="39">
        <v>0</v>
      </c>
      <c r="AT139" s="39">
        <v>0</v>
      </c>
    </row>
    <row r="140" spans="2:46">
      <c r="B140" s="60" t="s">
        <v>268</v>
      </c>
      <c r="C140" t="str">
        <f>INDEX('Scenario names'!$C$3:$C$6,3)</f>
        <v>Accelerated Green</v>
      </c>
      <c r="E140" s="44" t="s">
        <v>452</v>
      </c>
      <c r="F140" s="38" t="str">
        <f t="shared" si="28"/>
        <v>RiversAccelerated Green</v>
      </c>
      <c r="H140" s="38"/>
      <c r="I140" s="98"/>
      <c r="J140" s="38"/>
      <c r="K140" s="39">
        <v>0</v>
      </c>
      <c r="L140" s="39">
        <v>0</v>
      </c>
      <c r="M140" s="39">
        <v>0</v>
      </c>
      <c r="N140" s="39">
        <v>0</v>
      </c>
      <c r="O140" s="39">
        <v>0</v>
      </c>
      <c r="P140" s="39">
        <v>0</v>
      </c>
      <c r="Q140" s="39">
        <v>0</v>
      </c>
      <c r="R140" s="39">
        <v>0</v>
      </c>
      <c r="S140" s="39">
        <v>0</v>
      </c>
      <c r="T140" s="39">
        <v>0</v>
      </c>
      <c r="U140" s="39">
        <v>0</v>
      </c>
      <c r="V140" s="39">
        <v>8.9921070120096303E-3</v>
      </c>
      <c r="W140" s="39">
        <v>1.6513873700382885E-2</v>
      </c>
      <c r="X140" s="39">
        <v>2.297229773253421E-2</v>
      </c>
      <c r="Y140" s="39">
        <v>2.8634043662597714E-2</v>
      </c>
      <c r="Z140" s="39">
        <v>3.3683404439960769E-2</v>
      </c>
      <c r="AA140" s="39">
        <v>3.8047991053668864E-2</v>
      </c>
      <c r="AB140" s="39">
        <v>4.2027202206553031E-2</v>
      </c>
      <c r="AC140" s="39">
        <v>4.5681169040810314E-2</v>
      </c>
      <c r="AD140" s="39">
        <v>4.9196704836912443E-2</v>
      </c>
      <c r="AE140" s="39">
        <v>5.2534266539532436E-2</v>
      </c>
      <c r="AF140" s="39">
        <v>5.5677408233013065E-2</v>
      </c>
      <c r="AG140" s="39">
        <v>5.8692520804773982E-2</v>
      </c>
      <c r="AH140" s="39">
        <v>6.1608743585394012E-2</v>
      </c>
      <c r="AI140" s="39">
        <v>6.4399691756144711E-2</v>
      </c>
      <c r="AJ140" s="39">
        <v>6.7124606258131381E-2</v>
      </c>
      <c r="AK140" s="39">
        <v>6.8664873826048606E-2</v>
      </c>
      <c r="AL140" s="39">
        <v>7.0082574042234391E-2</v>
      </c>
      <c r="AM140" s="39">
        <v>7.139136537597858E-2</v>
      </c>
      <c r="AN140" s="39">
        <v>7.2602885863460587E-2</v>
      </c>
      <c r="AO140" s="39">
        <v>7.3727130168208491E-2</v>
      </c>
      <c r="AP140" s="39">
        <v>7.6677820284496559E-2</v>
      </c>
      <c r="AQ140" s="39">
        <v>7.5953819808877193E-2</v>
      </c>
      <c r="AR140" s="39">
        <v>7.5241224585370498E-2</v>
      </c>
      <c r="AS140" s="39">
        <v>7.4539780110572093E-2</v>
      </c>
      <c r="AT140" s="39">
        <v>7.3849237908589119E-2</v>
      </c>
    </row>
    <row r="141" spans="2:46">
      <c r="B141" s="60" t="s">
        <v>269</v>
      </c>
      <c r="C141" t="str">
        <f>INDEX('Scenario names'!$C$3:$C$6,3)</f>
        <v>Accelerated Green</v>
      </c>
      <c r="E141" s="44" t="s">
        <v>452</v>
      </c>
      <c r="F141" s="38" t="str">
        <f t="shared" si="28"/>
        <v>Sewer Heat MiningAccelerated Green</v>
      </c>
      <c r="H141" s="38"/>
      <c r="I141" s="98"/>
      <c r="J141" s="38"/>
      <c r="K141" s="39">
        <v>0</v>
      </c>
      <c r="L141" s="39">
        <v>0</v>
      </c>
      <c r="M141" s="39">
        <v>0</v>
      </c>
      <c r="N141" s="39">
        <v>0</v>
      </c>
      <c r="O141" s="39">
        <v>0</v>
      </c>
      <c r="P141" s="39">
        <v>0</v>
      </c>
      <c r="Q141" s="39">
        <v>0</v>
      </c>
      <c r="R141" s="39">
        <v>0</v>
      </c>
      <c r="S141" s="39">
        <v>0</v>
      </c>
      <c r="T141" s="39">
        <v>0</v>
      </c>
      <c r="U141" s="39">
        <v>0</v>
      </c>
      <c r="V141" s="39">
        <v>1.7122237928030779E-2</v>
      </c>
      <c r="W141" s="39">
        <v>3.1444740841469761E-2</v>
      </c>
      <c r="X141" s="39">
        <v>4.3742489608351143E-2</v>
      </c>
      <c r="Y141" s="39">
        <v>5.452325108873992E-2</v>
      </c>
      <c r="Z141" s="39">
        <v>6.4137945008530664E-2</v>
      </c>
      <c r="AA141" s="39">
        <v>7.2448732497780804E-2</v>
      </c>
      <c r="AB141" s="39">
        <v>8.0025710844964598E-2</v>
      </c>
      <c r="AC141" s="39">
        <v>8.6983378211881762E-2</v>
      </c>
      <c r="AD141" s="39">
        <v>9.3677453389698961E-2</v>
      </c>
      <c r="AE141" s="39">
        <v>0.10003264083302228</v>
      </c>
      <c r="AF141" s="39">
        <v>0.10601762520269352</v>
      </c>
      <c r="AG141" s="39">
        <v>0.1117588240968501</v>
      </c>
      <c r="AH141" s="39">
        <v>0.1173117229040186</v>
      </c>
      <c r="AI141" s="39">
        <v>0.1226260812140979</v>
      </c>
      <c r="AJ141" s="39">
        <v>0.12781470212066001</v>
      </c>
      <c r="AK141" s="39">
        <v>0.13074758845480675</v>
      </c>
      <c r="AL141" s="39">
        <v>0.13344708929256746</v>
      </c>
      <c r="AM141" s="39">
        <v>0.13593921228271683</v>
      </c>
      <c r="AN141" s="39">
        <v>0.13824611788489055</v>
      </c>
      <c r="AO141" s="39">
        <v>0.1403868373457931</v>
      </c>
      <c r="AP141" s="39">
        <v>0.14600536681341361</v>
      </c>
      <c r="AQ141" s="39">
        <v>0.144626767961442</v>
      </c>
      <c r="AR141" s="39">
        <v>0.14326988631546467</v>
      </c>
      <c r="AS141" s="39">
        <v>0.14193423726516308</v>
      </c>
      <c r="AT141" s="39">
        <v>0.14061934767744938</v>
      </c>
    </row>
    <row r="142" spans="2:46">
      <c r="B142" s="60" t="s">
        <v>1304</v>
      </c>
      <c r="C142" t="str">
        <f>INDEX('Scenario names'!$C$3:$C$6,3)</f>
        <v>Accelerated Green</v>
      </c>
      <c r="E142" s="44" t="s">
        <v>452</v>
      </c>
      <c r="F142" s="38" t="str">
        <f t="shared" si="28"/>
        <v>Commercial and building heat rejectionAccelerated Green</v>
      </c>
      <c r="H142" s="38"/>
      <c r="I142" s="98"/>
      <c r="J142" s="38"/>
      <c r="K142" s="39">
        <v>0</v>
      </c>
      <c r="L142" s="39">
        <v>0</v>
      </c>
      <c r="M142" s="39">
        <v>0</v>
      </c>
      <c r="N142" s="39">
        <v>0</v>
      </c>
      <c r="O142" s="39">
        <v>0</v>
      </c>
      <c r="P142" s="39">
        <v>0</v>
      </c>
      <c r="Q142" s="39">
        <v>0</v>
      </c>
      <c r="R142" s="39">
        <v>0</v>
      </c>
      <c r="S142" s="39">
        <v>0</v>
      </c>
      <c r="T142" s="39">
        <v>0</v>
      </c>
      <c r="U142" s="39">
        <v>0</v>
      </c>
      <c r="V142" s="39">
        <v>0</v>
      </c>
      <c r="W142" s="39">
        <v>0</v>
      </c>
      <c r="X142" s="39">
        <v>0</v>
      </c>
      <c r="Y142" s="39">
        <v>0</v>
      </c>
      <c r="Z142" s="39">
        <v>0</v>
      </c>
      <c r="AA142" s="39">
        <v>0</v>
      </c>
      <c r="AB142" s="39">
        <v>0</v>
      </c>
      <c r="AC142" s="39">
        <v>0</v>
      </c>
      <c r="AD142" s="39">
        <v>0</v>
      </c>
      <c r="AE142" s="39">
        <v>0</v>
      </c>
      <c r="AF142" s="39">
        <v>0</v>
      </c>
      <c r="AG142" s="39">
        <v>0</v>
      </c>
      <c r="AH142" s="39">
        <v>0</v>
      </c>
      <c r="AI142" s="39">
        <v>0</v>
      </c>
      <c r="AJ142" s="39">
        <v>0</v>
      </c>
      <c r="AK142" s="39">
        <v>0</v>
      </c>
      <c r="AL142" s="39">
        <v>0</v>
      </c>
      <c r="AM142" s="39">
        <v>0</v>
      </c>
      <c r="AN142" s="39">
        <v>0</v>
      </c>
      <c r="AO142" s="39">
        <v>0</v>
      </c>
      <c r="AP142" s="39">
        <v>0</v>
      </c>
      <c r="AQ142" s="39">
        <v>0</v>
      </c>
      <c r="AR142" s="39">
        <v>0</v>
      </c>
      <c r="AS142" s="39">
        <v>0</v>
      </c>
      <c r="AT142" s="39">
        <v>0</v>
      </c>
    </row>
    <row r="143" spans="2:46">
      <c r="F143" s="38" t="str">
        <f t="shared" si="28"/>
        <v/>
      </c>
    </row>
    <row r="144" spans="2:46">
      <c r="B144" s="60" t="s">
        <v>263</v>
      </c>
      <c r="C144" t="str">
        <f>INDEX('Scenario names'!$C$3:$C$6,4)</f>
        <v>No Constraints</v>
      </c>
      <c r="E144" s="44" t="s">
        <v>452</v>
      </c>
      <c r="F144" s="38" t="str">
        <f t="shared" si="28"/>
        <v>Large Power &amp; IndustrialNo Constraints</v>
      </c>
      <c r="H144" s="38"/>
      <c r="I144" s="98"/>
      <c r="K144" s="39">
        <v>0</v>
      </c>
      <c r="L144" s="39">
        <v>0</v>
      </c>
      <c r="M144" s="39">
        <v>0</v>
      </c>
      <c r="N144" s="39">
        <v>0</v>
      </c>
      <c r="O144" s="39">
        <v>0</v>
      </c>
      <c r="P144" s="39">
        <v>0</v>
      </c>
      <c r="Q144" s="39">
        <v>6.6019156283915817E-2</v>
      </c>
      <c r="R144" s="39">
        <v>0.18438009099052921</v>
      </c>
      <c r="S144" s="39">
        <v>0.18272145964996286</v>
      </c>
      <c r="T144" s="39">
        <v>0.16733420348216707</v>
      </c>
      <c r="U144" s="39">
        <v>0.17608080678891236</v>
      </c>
      <c r="V144" s="39">
        <v>0.16555088782407157</v>
      </c>
      <c r="W144" s="39">
        <v>0.16831329713273319</v>
      </c>
      <c r="X144" s="39">
        <v>0.17189185760252484</v>
      </c>
      <c r="Y144" s="39">
        <v>0.1725571249901989</v>
      </c>
      <c r="Z144" s="39">
        <v>0.177560488335443</v>
      </c>
      <c r="AA144" s="39">
        <v>0.17736818992516259</v>
      </c>
      <c r="AB144" s="39">
        <v>0.17719946468230677</v>
      </c>
      <c r="AC144" s="39">
        <v>0.17719118733723599</v>
      </c>
      <c r="AD144" s="39">
        <v>0.17717893147450198</v>
      </c>
      <c r="AE144" s="39">
        <v>0.17716263475738123</v>
      </c>
      <c r="AF144" s="39">
        <v>0.18368435800125965</v>
      </c>
      <c r="AG144" s="39">
        <v>0.18430738773791208</v>
      </c>
      <c r="AH144" s="39">
        <v>0.18491884511455942</v>
      </c>
      <c r="AI144" s="39">
        <v>0.18551888095914304</v>
      </c>
      <c r="AJ144" s="39">
        <v>0.18610764097825377</v>
      </c>
      <c r="AK144" s="39">
        <v>0.18610764097825377</v>
      </c>
      <c r="AL144" s="39">
        <v>0.18610764097825377</v>
      </c>
      <c r="AM144" s="39">
        <v>0.18610764097825377</v>
      </c>
      <c r="AN144" s="39">
        <v>0.18610764097825377</v>
      </c>
      <c r="AO144" s="39">
        <v>0.18610764097825377</v>
      </c>
      <c r="AP144" s="39">
        <v>0.18610764097825377</v>
      </c>
      <c r="AQ144" s="39">
        <v>0.18610764097825377</v>
      </c>
      <c r="AR144" s="39">
        <v>0.18610764097825377</v>
      </c>
      <c r="AS144" s="39">
        <v>0.18610764097825377</v>
      </c>
      <c r="AT144" s="39">
        <v>0.18610764097825377</v>
      </c>
    </row>
    <row r="145" spans="2:46">
      <c r="B145" s="60" t="s">
        <v>272</v>
      </c>
      <c r="C145" t="str">
        <f>INDEX('Scenario names'!$C$3:$C$6,4)</f>
        <v>No Constraints</v>
      </c>
      <c r="E145" s="44" t="s">
        <v>452</v>
      </c>
      <c r="F145" s="38" t="str">
        <f t="shared" si="28"/>
        <v>Gas boilerNo Constraints</v>
      </c>
      <c r="H145" s="38"/>
      <c r="I145" s="98"/>
      <c r="K145" s="39">
        <v>0.30000000000000004</v>
      </c>
      <c r="L145" s="39">
        <v>0.30000000000000004</v>
      </c>
      <c r="M145" s="39">
        <v>0.30000000000000004</v>
      </c>
      <c r="N145" s="39">
        <v>0.30000000000000004</v>
      </c>
      <c r="O145" s="39">
        <v>0.3</v>
      </c>
      <c r="P145" s="39">
        <v>0.3</v>
      </c>
      <c r="Q145" s="39">
        <v>0.30000000000000004</v>
      </c>
      <c r="R145" s="39">
        <v>0.23331600144746703</v>
      </c>
      <c r="S145" s="39">
        <v>0.1964438793867973</v>
      </c>
      <c r="T145" s="39">
        <v>0.15090006661665761</v>
      </c>
      <c r="U145" s="39">
        <v>0.11684235283652493</v>
      </c>
      <c r="V145" s="39">
        <v>9.8624479541343804E-2</v>
      </c>
      <c r="W145" s="39">
        <v>2.9793096956557661E-2</v>
      </c>
      <c r="X145" s="39">
        <v>0</v>
      </c>
      <c r="Y145" s="39">
        <v>0</v>
      </c>
      <c r="Z145" s="39">
        <v>0</v>
      </c>
      <c r="AA145" s="39">
        <v>0</v>
      </c>
      <c r="AB145" s="39">
        <v>0</v>
      </c>
      <c r="AC145" s="39">
        <v>0</v>
      </c>
      <c r="AD145" s="39">
        <v>0</v>
      </c>
      <c r="AE145" s="39">
        <v>0</v>
      </c>
      <c r="AF145" s="39">
        <v>0</v>
      </c>
      <c r="AG145" s="39">
        <v>0</v>
      </c>
      <c r="AH145" s="39">
        <v>0</v>
      </c>
      <c r="AI145" s="39">
        <v>0</v>
      </c>
      <c r="AJ145" s="39">
        <v>0</v>
      </c>
      <c r="AK145" s="39">
        <v>0</v>
      </c>
      <c r="AL145" s="39">
        <v>0</v>
      </c>
      <c r="AM145" s="39">
        <v>0</v>
      </c>
      <c r="AN145" s="39">
        <v>0</v>
      </c>
      <c r="AO145" s="39">
        <v>0</v>
      </c>
      <c r="AP145" s="39">
        <v>0</v>
      </c>
      <c r="AQ145" s="39">
        <v>0</v>
      </c>
      <c r="AR145" s="39">
        <v>0</v>
      </c>
      <c r="AS145" s="39">
        <v>0</v>
      </c>
      <c r="AT145" s="39">
        <v>0</v>
      </c>
    </row>
    <row r="146" spans="2:46">
      <c r="B146" s="60" t="s">
        <v>1302</v>
      </c>
      <c r="C146" t="str">
        <f>INDEX('Scenario names'!$C$3:$C$6,4)</f>
        <v>No Constraints</v>
      </c>
      <c r="E146" s="44" t="s">
        <v>452</v>
      </c>
      <c r="F146" s="38" t="str">
        <f t="shared" si="28"/>
        <v>Gas Engine CHPNo Constraints</v>
      </c>
      <c r="H146" s="38"/>
      <c r="I146" s="98"/>
      <c r="K146" s="39">
        <v>0.7</v>
      </c>
      <c r="L146" s="39">
        <v>0.70000000000000007</v>
      </c>
      <c r="M146" s="39">
        <v>0.7</v>
      </c>
      <c r="N146" s="39">
        <v>0.70000000000000007</v>
      </c>
      <c r="O146" s="39">
        <v>0.7</v>
      </c>
      <c r="P146" s="39">
        <v>0.7</v>
      </c>
      <c r="Q146" s="39">
        <v>0.63398084371608421</v>
      </c>
      <c r="R146" s="39">
        <v>0.49305958483376078</v>
      </c>
      <c r="S146" s="39">
        <v>0.41513885465500805</v>
      </c>
      <c r="T146" s="39">
        <v>0.31889250516813961</v>
      </c>
      <c r="U146" s="39">
        <v>0.24691937811024153</v>
      </c>
      <c r="V146" s="39">
        <v>0.20842010250226939</v>
      </c>
      <c r="W146" s="39">
        <v>0.17761784168430411</v>
      </c>
      <c r="X146" s="39">
        <v>0.15232718878579998</v>
      </c>
      <c r="Y146" s="39">
        <v>0.13410908196796195</v>
      </c>
      <c r="Z146" s="39">
        <v>0.10078246962933883</v>
      </c>
      <c r="AA146" s="39">
        <v>8.3435140993177892E-2</v>
      </c>
      <c r="AB146" s="39">
        <v>6.6356250992055429E-2</v>
      </c>
      <c r="AC146" s="39">
        <v>4.9543932463093368E-2</v>
      </c>
      <c r="AD146" s="39">
        <v>3.2894582132074093E-2</v>
      </c>
      <c r="AE146" s="39">
        <v>1.6386157999733655E-2</v>
      </c>
      <c r="AF146" s="39">
        <v>0</v>
      </c>
      <c r="AG146" s="39">
        <v>0</v>
      </c>
      <c r="AH146" s="39">
        <v>0</v>
      </c>
      <c r="AI146" s="39">
        <v>0</v>
      </c>
      <c r="AJ146" s="39">
        <v>0</v>
      </c>
      <c r="AK146" s="39">
        <v>0</v>
      </c>
      <c r="AL146" s="39">
        <v>0</v>
      </c>
      <c r="AM146" s="39">
        <v>0</v>
      </c>
      <c r="AN146" s="39">
        <v>0</v>
      </c>
      <c r="AO146" s="39">
        <v>0</v>
      </c>
      <c r="AP146" s="39">
        <v>0</v>
      </c>
      <c r="AQ146" s="39">
        <v>0</v>
      </c>
      <c r="AR146" s="39">
        <v>0</v>
      </c>
      <c r="AS146" s="39">
        <v>0</v>
      </c>
      <c r="AT146" s="39">
        <v>0</v>
      </c>
    </row>
    <row r="147" spans="2:46">
      <c r="B147" s="60" t="s">
        <v>265</v>
      </c>
      <c r="C147" t="str">
        <f>INDEX('Scenario names'!$C$3:$C$6,4)</f>
        <v>No Constraints</v>
      </c>
      <c r="E147" s="44" t="s">
        <v>452</v>
      </c>
      <c r="F147" s="38" t="str">
        <f t="shared" si="28"/>
        <v>TransformersNo Constraints</v>
      </c>
      <c r="H147" s="38"/>
      <c r="I147" s="98"/>
      <c r="K147" s="39">
        <v>0</v>
      </c>
      <c r="L147" s="39">
        <v>0</v>
      </c>
      <c r="M147" s="39">
        <v>0</v>
      </c>
      <c r="N147" s="39">
        <v>0</v>
      </c>
      <c r="O147" s="39">
        <v>0</v>
      </c>
      <c r="P147" s="39">
        <v>0</v>
      </c>
      <c r="Q147" s="39">
        <v>0</v>
      </c>
      <c r="R147" s="39">
        <v>0</v>
      </c>
      <c r="S147" s="39">
        <v>0</v>
      </c>
      <c r="T147" s="39">
        <v>0</v>
      </c>
      <c r="U147" s="39">
        <v>0</v>
      </c>
      <c r="V147" s="39">
        <v>0</v>
      </c>
      <c r="W147" s="39">
        <v>0</v>
      </c>
      <c r="X147" s="39">
        <v>0</v>
      </c>
      <c r="Y147" s="39">
        <v>0</v>
      </c>
      <c r="Z147" s="39">
        <v>0</v>
      </c>
      <c r="AA147" s="39">
        <v>0</v>
      </c>
      <c r="AB147" s="39">
        <v>0</v>
      </c>
      <c r="AC147" s="39">
        <v>0</v>
      </c>
      <c r="AD147" s="39">
        <v>0</v>
      </c>
      <c r="AE147" s="39">
        <v>0</v>
      </c>
      <c r="AF147" s="39">
        <v>0</v>
      </c>
      <c r="AG147" s="39">
        <v>0</v>
      </c>
      <c r="AH147" s="39">
        <v>0</v>
      </c>
      <c r="AI147" s="39">
        <v>0</v>
      </c>
      <c r="AJ147" s="39">
        <v>0</v>
      </c>
      <c r="AK147" s="39">
        <v>0</v>
      </c>
      <c r="AL147" s="39">
        <v>0</v>
      </c>
      <c r="AM147" s="39">
        <v>0</v>
      </c>
      <c r="AN147" s="39">
        <v>0</v>
      </c>
      <c r="AO147" s="39">
        <v>0</v>
      </c>
      <c r="AP147" s="39">
        <v>0</v>
      </c>
      <c r="AQ147" s="39">
        <v>0</v>
      </c>
      <c r="AR147" s="39">
        <v>0</v>
      </c>
      <c r="AS147" s="39">
        <v>0</v>
      </c>
      <c r="AT147" s="39">
        <v>0</v>
      </c>
    </row>
    <row r="148" spans="2:46">
      <c r="B148" s="60" t="s">
        <v>211</v>
      </c>
      <c r="C148" t="str">
        <f>INDEX('Scenario names'!$C$3:$C$6,4)</f>
        <v>No Constraints</v>
      </c>
      <c r="E148" s="44" t="s">
        <v>452</v>
      </c>
      <c r="F148" s="38" t="str">
        <f t="shared" si="28"/>
        <v>HydrogenNo Constraints</v>
      </c>
      <c r="H148" s="38"/>
      <c r="I148" s="98"/>
      <c r="K148" s="39">
        <v>0</v>
      </c>
      <c r="L148" s="39">
        <v>0</v>
      </c>
      <c r="M148" s="39">
        <v>0</v>
      </c>
      <c r="N148" s="39">
        <v>0</v>
      </c>
      <c r="O148" s="39">
        <v>0</v>
      </c>
      <c r="P148" s="39">
        <v>0</v>
      </c>
      <c r="Q148" s="39">
        <v>0</v>
      </c>
      <c r="R148" s="39">
        <v>0</v>
      </c>
      <c r="S148" s="39">
        <v>0</v>
      </c>
      <c r="T148" s="39">
        <v>0</v>
      </c>
      <c r="U148" s="39">
        <v>1.158463348374182E-2</v>
      </c>
      <c r="V148" s="39">
        <v>3.184657200157457E-2</v>
      </c>
      <c r="W148" s="39">
        <v>7.3121534975440911E-2</v>
      </c>
      <c r="X148" s="39">
        <v>8.2444143971844339E-2</v>
      </c>
      <c r="Y148" s="39">
        <v>7.9839645637931375E-2</v>
      </c>
      <c r="Z148" s="39">
        <v>7.9161394756014289E-2</v>
      </c>
      <c r="AA148" s="39">
        <v>7.9075916480676578E-2</v>
      </c>
      <c r="AB148" s="39">
        <v>7.9002644487744397E-2</v>
      </c>
      <c r="AC148" s="39">
        <v>7.9002644487744383E-2</v>
      </c>
      <c r="AD148" s="39">
        <v>7.9002644487744383E-2</v>
      </c>
      <c r="AE148" s="39">
        <v>7.9002644487744397E-2</v>
      </c>
      <c r="AF148" s="39">
        <v>7.9002644487744397E-2</v>
      </c>
      <c r="AG148" s="39">
        <v>7.9002644487744397E-2</v>
      </c>
      <c r="AH148" s="39">
        <v>7.9002644487744397E-2</v>
      </c>
      <c r="AI148" s="39">
        <v>7.900264448774437E-2</v>
      </c>
      <c r="AJ148" s="39">
        <v>7.900264448774437E-2</v>
      </c>
      <c r="AK148" s="39">
        <v>7.900264448774437E-2</v>
      </c>
      <c r="AL148" s="39">
        <v>7.900264448774437E-2</v>
      </c>
      <c r="AM148" s="39">
        <v>7.900264448774437E-2</v>
      </c>
      <c r="AN148" s="39">
        <v>7.900264448774437E-2</v>
      </c>
      <c r="AO148" s="39">
        <v>7.900264448774437E-2</v>
      </c>
      <c r="AP148" s="39">
        <v>7.900264448774437E-2</v>
      </c>
      <c r="AQ148" s="39">
        <v>7.900264448774437E-2</v>
      </c>
      <c r="AR148" s="39">
        <v>7.900264448774437E-2</v>
      </c>
      <c r="AS148" s="39">
        <v>7.900264448774437E-2</v>
      </c>
      <c r="AT148" s="39">
        <v>7.900264448774437E-2</v>
      </c>
    </row>
    <row r="149" spans="2:46">
      <c r="B149" s="60" t="s">
        <v>1303</v>
      </c>
      <c r="C149" t="str">
        <f>INDEX('Scenario names'!$C$3:$C$6,4)</f>
        <v>No Constraints</v>
      </c>
      <c r="E149" s="44" t="s">
        <v>452</v>
      </c>
      <c r="F149" s="38" t="str">
        <f t="shared" si="28"/>
        <v>Fuel cell CHPNo Constraints</v>
      </c>
      <c r="H149" s="38"/>
      <c r="I149" s="98"/>
      <c r="K149" s="39">
        <v>0</v>
      </c>
      <c r="L149" s="39">
        <v>0</v>
      </c>
      <c r="M149" s="39">
        <v>0</v>
      </c>
      <c r="N149" s="39">
        <v>0</v>
      </c>
      <c r="O149" s="39">
        <v>0</v>
      </c>
      <c r="P149" s="39">
        <v>0</v>
      </c>
      <c r="Q149" s="39">
        <v>0</v>
      </c>
      <c r="R149" s="39">
        <v>0</v>
      </c>
      <c r="S149" s="39">
        <v>0</v>
      </c>
      <c r="T149" s="39">
        <v>0</v>
      </c>
      <c r="U149" s="39">
        <v>0</v>
      </c>
      <c r="V149" s="39">
        <v>4.1050595160635837E-3</v>
      </c>
      <c r="W149" s="39">
        <v>6.8967681147444485E-3</v>
      </c>
      <c r="X149" s="39">
        <v>8.7336489329816296E-3</v>
      </c>
      <c r="Y149" s="39">
        <v>9.8738818117896591E-3</v>
      </c>
      <c r="Z149" s="39">
        <v>1.0482565549821157E-2</v>
      </c>
      <c r="AA149" s="39">
        <v>1.1551043991542923E-2</v>
      </c>
      <c r="AB149" s="39">
        <v>1.2466943903195053E-2</v>
      </c>
      <c r="AC149" s="39">
        <v>1.2466943903195051E-2</v>
      </c>
      <c r="AD149" s="39">
        <v>1.2466943903195051E-2</v>
      </c>
      <c r="AE149" s="39">
        <v>1.2466943903195053E-2</v>
      </c>
      <c r="AF149" s="39">
        <v>1.2466943903195053E-2</v>
      </c>
      <c r="AG149" s="39">
        <v>1.2466943903195053E-2</v>
      </c>
      <c r="AH149" s="39">
        <v>1.2466943903195053E-2</v>
      </c>
      <c r="AI149" s="39">
        <v>1.2466943903195049E-2</v>
      </c>
      <c r="AJ149" s="39">
        <v>1.2466943903195049E-2</v>
      </c>
      <c r="AK149" s="39">
        <v>1.2466943903195049E-2</v>
      </c>
      <c r="AL149" s="39">
        <v>1.2466943903195049E-2</v>
      </c>
      <c r="AM149" s="39">
        <v>1.2466943903195049E-2</v>
      </c>
      <c r="AN149" s="39">
        <v>1.2466943903195049E-2</v>
      </c>
      <c r="AO149" s="39">
        <v>1.2466943903195049E-2</v>
      </c>
      <c r="AP149" s="39">
        <v>1.2466943903195049E-2</v>
      </c>
      <c r="AQ149" s="39">
        <v>1.2466943903195049E-2</v>
      </c>
      <c r="AR149" s="39">
        <v>1.2466943903195049E-2</v>
      </c>
      <c r="AS149" s="39">
        <v>1.2466943903195049E-2</v>
      </c>
      <c r="AT149" s="39">
        <v>1.2466943903195049E-2</v>
      </c>
    </row>
    <row r="150" spans="2:46">
      <c r="B150" s="60" t="s">
        <v>270</v>
      </c>
      <c r="C150" t="str">
        <f>INDEX('Scenario names'!$C$3:$C$6,4)</f>
        <v>No Constraints</v>
      </c>
      <c r="E150" s="44" t="s">
        <v>452</v>
      </c>
      <c r="F150" s="38" t="str">
        <f t="shared" si="28"/>
        <v>ASHPNo Constraints</v>
      </c>
      <c r="H150" s="38"/>
      <c r="I150" s="98"/>
      <c r="K150" s="39">
        <v>0</v>
      </c>
      <c r="L150" s="39">
        <v>0</v>
      </c>
      <c r="M150" s="39">
        <v>0</v>
      </c>
      <c r="N150" s="39">
        <v>0</v>
      </c>
      <c r="O150" s="39">
        <v>0</v>
      </c>
      <c r="P150" s="39">
        <v>0</v>
      </c>
      <c r="Q150" s="39">
        <v>0</v>
      </c>
      <c r="R150" s="39">
        <v>5.1980041086665735E-2</v>
      </c>
      <c r="S150" s="39">
        <v>0.11980679707565337</v>
      </c>
      <c r="T150" s="39">
        <v>0.20669488775600636</v>
      </c>
      <c r="U150" s="39">
        <v>0.24812614019037921</v>
      </c>
      <c r="V150" s="39">
        <v>0.26719627723339995</v>
      </c>
      <c r="W150" s="39">
        <v>0.27429774297751219</v>
      </c>
      <c r="X150" s="39">
        <v>0.28174664178540643</v>
      </c>
      <c r="Y150" s="39">
        <v>0.29279580707883007</v>
      </c>
      <c r="Z150" s="39">
        <v>0.30770922268903178</v>
      </c>
      <c r="AA150" s="39">
        <v>0.31885821310464174</v>
      </c>
      <c r="AB150" s="39">
        <v>0.33001451676879323</v>
      </c>
      <c r="AC150" s="39">
        <v>0.34145166281553674</v>
      </c>
      <c r="AD150" s="39">
        <v>0.35287786442264441</v>
      </c>
      <c r="AE150" s="39">
        <v>0.36429633672762118</v>
      </c>
      <c r="AF150" s="39">
        <v>0.36606164574998429</v>
      </c>
      <c r="AG150" s="39">
        <v>0.36633161889646543</v>
      </c>
      <c r="AH150" s="39">
        <v>0.3666055047825576</v>
      </c>
      <c r="AI150" s="39">
        <v>0.366883208866011</v>
      </c>
      <c r="AJ150" s="39">
        <v>0.36716464338467952</v>
      </c>
      <c r="AK150" s="39">
        <v>0.36716464338467952</v>
      </c>
      <c r="AL150" s="39">
        <v>0.36716464338467952</v>
      </c>
      <c r="AM150" s="39">
        <v>0.36716464338467952</v>
      </c>
      <c r="AN150" s="39">
        <v>0.36716464338467952</v>
      </c>
      <c r="AO150" s="39">
        <v>0.36716464338467952</v>
      </c>
      <c r="AP150" s="39">
        <v>0.36716464338467952</v>
      </c>
      <c r="AQ150" s="39">
        <v>0.36716464338467952</v>
      </c>
      <c r="AR150" s="39">
        <v>0.36716464338467952</v>
      </c>
      <c r="AS150" s="39">
        <v>0.36716464338467952</v>
      </c>
      <c r="AT150" s="39">
        <v>0.36716464338467952</v>
      </c>
    </row>
    <row r="151" spans="2:46">
      <c r="B151" s="60" t="s">
        <v>271</v>
      </c>
      <c r="C151" t="str">
        <f>INDEX('Scenario names'!$C$3:$C$6,4)</f>
        <v>No Constraints</v>
      </c>
      <c r="E151" s="44" t="s">
        <v>452</v>
      </c>
      <c r="F151" s="38" t="str">
        <f t="shared" si="28"/>
        <v>GSHPNo Constraints</v>
      </c>
      <c r="H151" s="38"/>
      <c r="I151" s="98"/>
      <c r="K151" s="39">
        <v>0</v>
      </c>
      <c r="L151" s="39">
        <v>0</v>
      </c>
      <c r="M151" s="39">
        <v>0</v>
      </c>
      <c r="N151" s="39">
        <v>0</v>
      </c>
      <c r="O151" s="39">
        <v>0</v>
      </c>
      <c r="P151" s="39">
        <v>0</v>
      </c>
      <c r="Q151" s="39">
        <v>0</v>
      </c>
      <c r="R151" s="39">
        <v>1.7326680362221913E-2</v>
      </c>
      <c r="S151" s="39">
        <v>3.9935599025217788E-2</v>
      </c>
      <c r="T151" s="39">
        <v>6.8898295918668778E-2</v>
      </c>
      <c r="U151" s="39">
        <v>8.3481022295709181E-2</v>
      </c>
      <c r="V151" s="39">
        <v>9.968094974499149E-2</v>
      </c>
      <c r="W151" s="39">
        <v>0.13321631526418456</v>
      </c>
      <c r="X151" s="39">
        <v>0.15574865524068543</v>
      </c>
      <c r="Y151" s="39">
        <v>0.15747833658805854</v>
      </c>
      <c r="Z151" s="39">
        <v>0.16194078696335465</v>
      </c>
      <c r="AA151" s="39">
        <v>0.16559300839538804</v>
      </c>
      <c r="AB151" s="39">
        <v>0.16925682228873939</v>
      </c>
      <c r="AC151" s="39">
        <v>0.17306920430432052</v>
      </c>
      <c r="AD151" s="39">
        <v>0.17687793817335645</v>
      </c>
      <c r="AE151" s="39">
        <v>0.18068409560834869</v>
      </c>
      <c r="AF151" s="39">
        <v>0.18127253194913637</v>
      </c>
      <c r="AG151" s="39">
        <v>0.18136252299796343</v>
      </c>
      <c r="AH151" s="39">
        <v>0.18145381829332749</v>
      </c>
      <c r="AI151" s="39">
        <v>0.18154638632114534</v>
      </c>
      <c r="AJ151" s="39">
        <v>0.18164019782736812</v>
      </c>
      <c r="AK151" s="39">
        <v>0.18164019782736812</v>
      </c>
      <c r="AL151" s="39">
        <v>0.18164019782736812</v>
      </c>
      <c r="AM151" s="39">
        <v>0.18164019782736812</v>
      </c>
      <c r="AN151" s="39">
        <v>0.18164019782736812</v>
      </c>
      <c r="AO151" s="39">
        <v>0.18164019782736812</v>
      </c>
      <c r="AP151" s="39">
        <v>0.18164019782736812</v>
      </c>
      <c r="AQ151" s="39">
        <v>0.18164019782736812</v>
      </c>
      <c r="AR151" s="39">
        <v>0.18164019782736812</v>
      </c>
      <c r="AS151" s="39">
        <v>0.18164019782736812</v>
      </c>
      <c r="AT151" s="39">
        <v>0.18164019782736812</v>
      </c>
    </row>
    <row r="152" spans="2:46">
      <c r="B152" s="60" t="s">
        <v>268</v>
      </c>
      <c r="C152" t="str">
        <f>INDEX('Scenario names'!$C$3:$C$6,4)</f>
        <v>No Constraints</v>
      </c>
      <c r="E152" s="44" t="s">
        <v>452</v>
      </c>
      <c r="F152" s="38" t="str">
        <f t="shared" si="28"/>
        <v>RiversNo Constraints</v>
      </c>
      <c r="H152" s="38"/>
      <c r="I152" s="98"/>
      <c r="K152" s="39">
        <v>0</v>
      </c>
      <c r="L152" s="39">
        <v>0</v>
      </c>
      <c r="M152" s="39">
        <v>0</v>
      </c>
      <c r="N152" s="39">
        <v>0</v>
      </c>
      <c r="O152" s="39">
        <v>0</v>
      </c>
      <c r="P152" s="39">
        <v>0</v>
      </c>
      <c r="Q152" s="39">
        <v>0</v>
      </c>
      <c r="R152" s="39">
        <v>8.9598146781936869E-3</v>
      </c>
      <c r="S152" s="39">
        <v>2.0651132175830068E-2</v>
      </c>
      <c r="T152" s="39">
        <v>3.9223022972066014E-2</v>
      </c>
      <c r="U152" s="39">
        <v>5.2563529535282802E-2</v>
      </c>
      <c r="V152" s="39">
        <v>5.5983411225521321E-2</v>
      </c>
      <c r="W152" s="39">
        <v>6.1451502175898447E-2</v>
      </c>
      <c r="X152" s="39">
        <v>6.6109216340351273E-2</v>
      </c>
      <c r="Y152" s="39">
        <v>6.891264474690996E-2</v>
      </c>
      <c r="Z152" s="39">
        <v>7.2964797319847396E-2</v>
      </c>
      <c r="AA152" s="39">
        <v>7.3753668215266063E-2</v>
      </c>
      <c r="AB152" s="39">
        <v>7.4465897294842695E-2</v>
      </c>
      <c r="AC152" s="39">
        <v>7.5171923874597618E-2</v>
      </c>
      <c r="AD152" s="39">
        <v>7.581305943837395E-2</v>
      </c>
      <c r="AE152" s="39">
        <v>7.6397311036277032E-2</v>
      </c>
      <c r="AF152" s="39">
        <v>7.9772560853003424E-2</v>
      </c>
      <c r="AG152" s="39">
        <v>7.9330810446986574E-2</v>
      </c>
      <c r="AH152" s="39">
        <v>7.8891916100290671E-2</v>
      </c>
      <c r="AI152" s="39">
        <v>7.8455866680732969E-2</v>
      </c>
      <c r="AJ152" s="39">
        <v>7.8022649295055688E-2</v>
      </c>
      <c r="AK152" s="39">
        <v>7.8022649295055688E-2</v>
      </c>
      <c r="AL152" s="39">
        <v>7.8022649295055688E-2</v>
      </c>
      <c r="AM152" s="39">
        <v>7.8022649295055688E-2</v>
      </c>
      <c r="AN152" s="39">
        <v>7.8022649295055688E-2</v>
      </c>
      <c r="AO152" s="39">
        <v>7.8022649295055688E-2</v>
      </c>
      <c r="AP152" s="39">
        <v>7.8022649295055688E-2</v>
      </c>
      <c r="AQ152" s="39">
        <v>7.8022649295055688E-2</v>
      </c>
      <c r="AR152" s="39">
        <v>7.8022649295055688E-2</v>
      </c>
      <c r="AS152" s="39">
        <v>7.8022649295055688E-2</v>
      </c>
      <c r="AT152" s="39">
        <v>7.8022649295055688E-2</v>
      </c>
    </row>
    <row r="153" spans="2:46">
      <c r="B153" s="60" t="s">
        <v>269</v>
      </c>
      <c r="C153" t="str">
        <f>INDEX('Scenario names'!$C$3:$C$6,4)</f>
        <v>No Constraints</v>
      </c>
      <c r="E153" s="44" t="s">
        <v>452</v>
      </c>
      <c r="F153" s="38" t="str">
        <f t="shared" si="28"/>
        <v>Sewer Heat MiningNo Constraints</v>
      </c>
      <c r="H153" s="38"/>
      <c r="I153" s="98"/>
      <c r="K153" s="39">
        <v>0</v>
      </c>
      <c r="L153" s="39">
        <v>0</v>
      </c>
      <c r="M153" s="39">
        <v>0</v>
      </c>
      <c r="N153" s="39">
        <v>0</v>
      </c>
      <c r="O153" s="39">
        <v>0</v>
      </c>
      <c r="P153" s="39">
        <v>0</v>
      </c>
      <c r="Q153" s="39">
        <v>0</v>
      </c>
      <c r="R153" s="39">
        <v>1.097778660116162E-2</v>
      </c>
      <c r="S153" s="39">
        <v>2.5302278031530533E-2</v>
      </c>
      <c r="T153" s="39">
        <v>4.8057018086294472E-2</v>
      </c>
      <c r="U153" s="39">
        <v>6.4402136759208167E-2</v>
      </c>
      <c r="V153" s="39">
        <v>6.8592260410764216E-2</v>
      </c>
      <c r="W153" s="39">
        <v>7.5291900718624322E-2</v>
      </c>
      <c r="X153" s="39">
        <v>8.0998647340405919E-2</v>
      </c>
      <c r="Y153" s="39">
        <v>8.4433477178319533E-2</v>
      </c>
      <c r="Z153" s="39">
        <v>8.9398274757148774E-2</v>
      </c>
      <c r="AA153" s="39">
        <v>9.0364818894144203E-2</v>
      </c>
      <c r="AB153" s="39">
        <v>9.1237459582323058E-2</v>
      </c>
      <c r="AC153" s="39">
        <v>9.2102500814276317E-2</v>
      </c>
      <c r="AD153" s="39">
        <v>9.2888035968109531E-2</v>
      </c>
      <c r="AE153" s="39">
        <v>9.3603875479698714E-2</v>
      </c>
      <c r="AF153" s="39">
        <v>9.7739315055676887E-2</v>
      </c>
      <c r="AG153" s="39">
        <v>9.7198071529732977E-2</v>
      </c>
      <c r="AH153" s="39">
        <v>9.6660327318325343E-2</v>
      </c>
      <c r="AI153" s="39">
        <v>9.6126068782028257E-2</v>
      </c>
      <c r="AJ153" s="39">
        <v>9.5595280123703386E-2</v>
      </c>
      <c r="AK153" s="39">
        <v>9.5595280123703386E-2</v>
      </c>
      <c r="AL153" s="39">
        <v>9.5595280123703386E-2</v>
      </c>
      <c r="AM153" s="39">
        <v>9.5595280123703386E-2</v>
      </c>
      <c r="AN153" s="39">
        <v>9.5595280123703386E-2</v>
      </c>
      <c r="AO153" s="39">
        <v>9.5595280123703386E-2</v>
      </c>
      <c r="AP153" s="39">
        <v>9.5595280123703386E-2</v>
      </c>
      <c r="AQ153" s="39">
        <v>9.5595280123703386E-2</v>
      </c>
      <c r="AR153" s="39">
        <v>9.5595280123703386E-2</v>
      </c>
      <c r="AS153" s="39">
        <v>9.5595280123703386E-2</v>
      </c>
      <c r="AT153" s="39">
        <v>9.5595280123703386E-2</v>
      </c>
    </row>
    <row r="154" spans="2:46">
      <c r="B154" s="60" t="s">
        <v>1304</v>
      </c>
      <c r="C154" t="str">
        <f>INDEX('Scenario names'!$C$3:$C$6,4)</f>
        <v>No Constraints</v>
      </c>
      <c r="E154" s="44" t="s">
        <v>452</v>
      </c>
      <c r="F154" s="38" t="str">
        <f t="shared" si="28"/>
        <v>Commercial and building heat rejectionNo Constraints</v>
      </c>
      <c r="H154" s="38"/>
      <c r="I154" s="98"/>
      <c r="K154" s="39">
        <v>0</v>
      </c>
      <c r="L154" s="39">
        <v>0</v>
      </c>
      <c r="M154" s="39">
        <v>0</v>
      </c>
      <c r="N154" s="39">
        <v>0</v>
      </c>
      <c r="O154" s="39">
        <v>0</v>
      </c>
      <c r="P154" s="39">
        <v>0</v>
      </c>
      <c r="Q154" s="39">
        <v>0</v>
      </c>
      <c r="R154" s="39">
        <v>0</v>
      </c>
      <c r="S154" s="39">
        <v>0</v>
      </c>
      <c r="T154" s="39">
        <v>0</v>
      </c>
      <c r="U154" s="39">
        <v>0</v>
      </c>
      <c r="V154" s="39">
        <v>0</v>
      </c>
      <c r="W154" s="39">
        <v>0</v>
      </c>
      <c r="X154" s="39">
        <v>0</v>
      </c>
      <c r="Y154" s="39">
        <v>0</v>
      </c>
      <c r="Z154" s="39">
        <v>0</v>
      </c>
      <c r="AA154" s="39">
        <v>0</v>
      </c>
      <c r="AB154" s="39">
        <v>0</v>
      </c>
      <c r="AC154" s="39">
        <v>0</v>
      </c>
      <c r="AD154" s="39">
        <v>0</v>
      </c>
      <c r="AE154" s="39">
        <v>0</v>
      </c>
      <c r="AF154" s="39">
        <v>0</v>
      </c>
      <c r="AG154" s="39">
        <v>0</v>
      </c>
      <c r="AH154" s="39">
        <v>0</v>
      </c>
      <c r="AI154" s="39">
        <v>0</v>
      </c>
      <c r="AJ154" s="39">
        <v>0</v>
      </c>
      <c r="AK154" s="39">
        <v>0</v>
      </c>
      <c r="AL154" s="39">
        <v>0</v>
      </c>
      <c r="AM154" s="39">
        <v>0</v>
      </c>
      <c r="AN154" s="39">
        <v>0</v>
      </c>
      <c r="AO154" s="39">
        <v>0</v>
      </c>
      <c r="AP154" s="39">
        <v>0</v>
      </c>
      <c r="AQ154" s="39">
        <v>0</v>
      </c>
      <c r="AR154" s="39">
        <v>0</v>
      </c>
      <c r="AS154" s="39">
        <v>0</v>
      </c>
      <c r="AT154" s="39">
        <v>0</v>
      </c>
    </row>
  </sheetData>
  <conditionalFormatting sqref="L42:AT42 K43:AT44 B74:J74 B84:J84 K28:AT41 M60:AT60 U59:AT59 V61:AT61 K7:AT26 K74:AT84">
    <cfRule type="cellIs" dxfId="95" priority="223" operator="lessThan">
      <formula>0</formula>
    </cfRule>
  </conditionalFormatting>
  <conditionalFormatting sqref="K56:AT58">
    <cfRule type="cellIs" dxfId="94" priority="218" operator="lessThan">
      <formula>0</formula>
    </cfRule>
  </conditionalFormatting>
  <conditionalFormatting sqref="K62:AT73">
    <cfRule type="cellIs" dxfId="93" priority="217" operator="lessThan">
      <formula>0</formula>
    </cfRule>
  </conditionalFormatting>
  <conditionalFormatting sqref="K85">
    <cfRule type="cellIs" dxfId="92" priority="215" operator="lessThan">
      <formula>0</formula>
    </cfRule>
  </conditionalFormatting>
  <conditionalFormatting sqref="L85">
    <cfRule type="cellIs" dxfId="91" priority="214" operator="lessThan">
      <formula>0</formula>
    </cfRule>
  </conditionalFormatting>
  <conditionalFormatting sqref="M85">
    <cfRule type="cellIs" dxfId="90" priority="213" operator="lessThan">
      <formula>0</formula>
    </cfRule>
  </conditionalFormatting>
  <conditionalFormatting sqref="N85">
    <cfRule type="cellIs" dxfId="89" priority="212" operator="lessThan">
      <formula>0</formula>
    </cfRule>
  </conditionalFormatting>
  <conditionalFormatting sqref="O85">
    <cfRule type="cellIs" dxfId="88" priority="211" operator="lessThan">
      <formula>0</formula>
    </cfRule>
  </conditionalFormatting>
  <conditionalFormatting sqref="P85">
    <cfRule type="cellIs" dxfId="87" priority="210" operator="lessThan">
      <formula>0</formula>
    </cfRule>
  </conditionalFormatting>
  <conditionalFormatting sqref="Q85:AT85">
    <cfRule type="cellIs" dxfId="86" priority="208" operator="lessThan">
      <formula>0</formula>
    </cfRule>
  </conditionalFormatting>
  <conditionalFormatting sqref="K27:AT27">
    <cfRule type="cellIs" dxfId="85" priority="207" operator="lessThan">
      <formula>0</formula>
    </cfRule>
  </conditionalFormatting>
  <conditionalFormatting sqref="K45:AT55">
    <cfRule type="cellIs" dxfId="84" priority="204" operator="lessThan">
      <formula>0</formula>
    </cfRule>
  </conditionalFormatting>
  <conditionalFormatting sqref="K54:AT55">
    <cfRule type="cellIs" dxfId="83" priority="203" operator="lessThan">
      <formula>0</formula>
    </cfRule>
  </conditionalFormatting>
  <conditionalFormatting sqref="T59">
    <cfRule type="cellIs" dxfId="82" priority="92" operator="lessThan">
      <formula>0</formula>
    </cfRule>
  </conditionalFormatting>
  <conditionalFormatting sqref="L59">
    <cfRule type="cellIs" dxfId="81" priority="127" operator="lessThan">
      <formula>0</formula>
    </cfRule>
  </conditionalFormatting>
  <conditionalFormatting sqref="L59">
    <cfRule type="cellIs" dxfId="80" priority="126" operator="lessThan">
      <formula>0</formula>
    </cfRule>
  </conditionalFormatting>
  <conditionalFormatting sqref="L59">
    <cfRule type="cellIs" dxfId="79" priority="125" operator="lessThan">
      <formula>0</formula>
    </cfRule>
  </conditionalFormatting>
  <conditionalFormatting sqref="L59">
    <cfRule type="cellIs" dxfId="78" priority="124" operator="lessThan">
      <formula>0</formula>
    </cfRule>
  </conditionalFormatting>
  <conditionalFormatting sqref="M59">
    <cfRule type="cellIs" dxfId="77" priority="123" operator="lessThan">
      <formula>0</formula>
    </cfRule>
  </conditionalFormatting>
  <conditionalFormatting sqref="M59">
    <cfRule type="cellIs" dxfId="76" priority="122" operator="lessThan">
      <formula>0</formula>
    </cfRule>
  </conditionalFormatting>
  <conditionalFormatting sqref="M59">
    <cfRule type="cellIs" dxfId="75" priority="121" operator="lessThan">
      <formula>0</formula>
    </cfRule>
  </conditionalFormatting>
  <conditionalFormatting sqref="M59">
    <cfRule type="cellIs" dxfId="74" priority="120" operator="lessThan">
      <formula>0</formula>
    </cfRule>
  </conditionalFormatting>
  <conditionalFormatting sqref="N59">
    <cfRule type="cellIs" dxfId="73" priority="119" operator="lessThan">
      <formula>0</formula>
    </cfRule>
  </conditionalFormatting>
  <conditionalFormatting sqref="N59">
    <cfRule type="cellIs" dxfId="72" priority="118" operator="lessThan">
      <formula>0</formula>
    </cfRule>
  </conditionalFormatting>
  <conditionalFormatting sqref="N59">
    <cfRule type="cellIs" dxfId="71" priority="117" operator="lessThan">
      <formula>0</formula>
    </cfRule>
  </conditionalFormatting>
  <conditionalFormatting sqref="N59">
    <cfRule type="cellIs" dxfId="70" priority="116" operator="lessThan">
      <formula>0</formula>
    </cfRule>
  </conditionalFormatting>
  <conditionalFormatting sqref="O59">
    <cfRule type="cellIs" dxfId="69" priority="115" operator="lessThan">
      <formula>0</formula>
    </cfRule>
  </conditionalFormatting>
  <conditionalFormatting sqref="O59">
    <cfRule type="cellIs" dxfId="68" priority="114" operator="lessThan">
      <formula>0</formula>
    </cfRule>
  </conditionalFormatting>
  <conditionalFormatting sqref="O59">
    <cfRule type="cellIs" dxfId="67" priority="113" operator="lessThan">
      <formula>0</formula>
    </cfRule>
  </conditionalFormatting>
  <conditionalFormatting sqref="O59">
    <cfRule type="cellIs" dxfId="66" priority="112" operator="lessThan">
      <formula>0</formula>
    </cfRule>
  </conditionalFormatting>
  <conditionalFormatting sqref="P59">
    <cfRule type="cellIs" dxfId="65" priority="111" operator="lessThan">
      <formula>0</formula>
    </cfRule>
  </conditionalFormatting>
  <conditionalFormatting sqref="P59">
    <cfRule type="cellIs" dxfId="64" priority="110" operator="lessThan">
      <formula>0</formula>
    </cfRule>
  </conditionalFormatting>
  <conditionalFormatting sqref="P59">
    <cfRule type="cellIs" dxfId="63" priority="109" operator="lessThan">
      <formula>0</formula>
    </cfRule>
  </conditionalFormatting>
  <conditionalFormatting sqref="P59">
    <cfRule type="cellIs" dxfId="62" priority="108" operator="lessThan">
      <formula>0</formula>
    </cfRule>
  </conditionalFormatting>
  <conditionalFormatting sqref="Q59">
    <cfRule type="cellIs" dxfId="61" priority="107" operator="lessThan">
      <formula>0</formula>
    </cfRule>
  </conditionalFormatting>
  <conditionalFormatting sqref="Q59">
    <cfRule type="cellIs" dxfId="60" priority="106" operator="lessThan">
      <formula>0</formula>
    </cfRule>
  </conditionalFormatting>
  <conditionalFormatting sqref="Q59">
    <cfRule type="cellIs" dxfId="59" priority="105" operator="lessThan">
      <formula>0</formula>
    </cfRule>
  </conditionalFormatting>
  <conditionalFormatting sqref="Q59">
    <cfRule type="cellIs" dxfId="58" priority="104" operator="lessThan">
      <formula>0</formula>
    </cfRule>
  </conditionalFormatting>
  <conditionalFormatting sqref="R59">
    <cfRule type="cellIs" dxfId="57" priority="103" operator="lessThan">
      <formula>0</formula>
    </cfRule>
  </conditionalFormatting>
  <conditionalFormatting sqref="R59">
    <cfRule type="cellIs" dxfId="56" priority="102" operator="lessThan">
      <formula>0</formula>
    </cfRule>
  </conditionalFormatting>
  <conditionalFormatting sqref="R59">
    <cfRule type="cellIs" dxfId="55" priority="101" operator="lessThan">
      <formula>0</formula>
    </cfRule>
  </conditionalFormatting>
  <conditionalFormatting sqref="R59">
    <cfRule type="cellIs" dxfId="54" priority="100" operator="lessThan">
      <formula>0</formula>
    </cfRule>
  </conditionalFormatting>
  <conditionalFormatting sqref="S59">
    <cfRule type="cellIs" dxfId="53" priority="99" operator="lessThan">
      <formula>0</formula>
    </cfRule>
  </conditionalFormatting>
  <conditionalFormatting sqref="S59">
    <cfRule type="cellIs" dxfId="52" priority="98" operator="lessThan">
      <formula>0</formula>
    </cfRule>
  </conditionalFormatting>
  <conditionalFormatting sqref="S59">
    <cfRule type="cellIs" dxfId="51" priority="97" operator="lessThan">
      <formula>0</formula>
    </cfRule>
  </conditionalFormatting>
  <conditionalFormatting sqref="S59">
    <cfRule type="cellIs" dxfId="50" priority="96" operator="lessThan">
      <formula>0</formula>
    </cfRule>
  </conditionalFormatting>
  <conditionalFormatting sqref="T59">
    <cfRule type="cellIs" dxfId="49" priority="95" operator="lessThan">
      <formula>0</formula>
    </cfRule>
  </conditionalFormatting>
  <conditionalFormatting sqref="T59">
    <cfRule type="cellIs" dxfId="48" priority="94" operator="lessThan">
      <formula>0</formula>
    </cfRule>
  </conditionalFormatting>
  <conditionalFormatting sqref="T59">
    <cfRule type="cellIs" dxfId="47" priority="93" operator="lessThan">
      <formula>0</formula>
    </cfRule>
  </conditionalFormatting>
  <conditionalFormatting sqref="B105:AT106">
    <cfRule type="cellIs" dxfId="46" priority="3" operator="lessThan">
      <formula>0</formula>
    </cfRule>
  </conditionalFormatting>
  <conditionalFormatting sqref="K108:AT118">
    <cfRule type="cellIs" dxfId="45" priority="2" operator="lessThan">
      <formula>0</formula>
    </cfRule>
  </conditionalFormatting>
  <conditionalFormatting sqref="K130:AT130">
    <cfRule type="cellIs" dxfId="44" priority="1" operator="lessThan">
      <formula>0</formula>
    </cfRule>
  </conditionalFormatting>
  <pageMargins left="0.7" right="0.7" top="0.75" bottom="0.75" header="0.3" footer="0.3"/>
  <pageSetup paperSize="9" orientation="portrait"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9">
    <tabColor theme="4"/>
  </sheetPr>
  <dimension ref="A1:AY159"/>
  <sheetViews>
    <sheetView zoomScale="85" zoomScaleNormal="85" workbookViewId="0">
      <pane xSplit="8" ySplit="2" topLeftCell="AK3" activePane="bottomRight" state="frozen"/>
      <selection pane="topRight" activeCell="O35" sqref="O35"/>
      <selection pane="bottomLeft" activeCell="O35" sqref="O35"/>
      <selection pane="bottomRight" activeCell="O35" sqref="O35"/>
    </sheetView>
  </sheetViews>
  <sheetFormatPr defaultColWidth="0" defaultRowHeight="15" zeroHeight="1"/>
  <cols>
    <col min="1" max="3" width="2.5703125" style="38" customWidth="1"/>
    <col min="4" max="4" width="2.42578125" style="38" customWidth="1"/>
    <col min="5" max="5" width="28.42578125" style="38" customWidth="1"/>
    <col min="6" max="6" width="1.85546875" style="38" customWidth="1"/>
    <col min="7" max="7" width="10.85546875" style="38" bestFit="1" customWidth="1"/>
    <col min="8" max="8" width="1.42578125" style="38" customWidth="1"/>
    <col min="9" max="9" width="9.140625" style="38" customWidth="1"/>
    <col min="10" max="10" width="1.42578125" style="38" customWidth="1"/>
    <col min="11" max="11" width="11.85546875" style="38" customWidth="1"/>
    <col min="12" max="12" width="2" style="38" customWidth="1"/>
    <col min="13" max="13" width="17" style="38" customWidth="1"/>
    <col min="14" max="14" width="9.140625" style="38" customWidth="1"/>
    <col min="15" max="50" width="12.85546875" style="38" customWidth="1"/>
    <col min="51" max="51" width="9.140625" style="38" customWidth="1"/>
    <col min="52" max="16384" width="9.140625" style="38" hidden="1"/>
  </cols>
  <sheetData>
    <row r="1" spans="2:50"/>
    <row r="2" spans="2:50">
      <c r="E2" s="60" t="s">
        <v>178</v>
      </c>
      <c r="F2" s="60"/>
      <c r="G2" s="60" t="s">
        <v>179</v>
      </c>
      <c r="H2" s="60"/>
      <c r="I2" s="60" t="s">
        <v>180</v>
      </c>
      <c r="J2" s="60"/>
      <c r="K2" s="60" t="s">
        <v>718</v>
      </c>
      <c r="L2" s="60"/>
      <c r="M2" s="60" t="s">
        <v>719</v>
      </c>
      <c r="O2" s="82">
        <v>2015</v>
      </c>
      <c r="P2" s="82">
        <v>2016</v>
      </c>
      <c r="Q2" s="82">
        <v>2017</v>
      </c>
      <c r="R2" s="82">
        <v>2018</v>
      </c>
      <c r="S2" s="82">
        <v>2019</v>
      </c>
      <c r="T2" s="82">
        <v>2020</v>
      </c>
      <c r="U2" s="82">
        <v>2021</v>
      </c>
      <c r="V2" s="82">
        <v>2022</v>
      </c>
      <c r="W2" s="82">
        <v>2023</v>
      </c>
      <c r="X2" s="82">
        <v>2024</v>
      </c>
      <c r="Y2" s="82">
        <v>2025</v>
      </c>
      <c r="Z2" s="82">
        <v>2026</v>
      </c>
      <c r="AA2" s="82">
        <v>2027</v>
      </c>
      <c r="AB2" s="82">
        <v>2028</v>
      </c>
      <c r="AC2" s="82">
        <v>2029</v>
      </c>
      <c r="AD2" s="82">
        <v>2030</v>
      </c>
      <c r="AE2" s="82">
        <v>2031</v>
      </c>
      <c r="AF2" s="82">
        <v>2032</v>
      </c>
      <c r="AG2" s="82">
        <v>2033</v>
      </c>
      <c r="AH2" s="82">
        <v>2034</v>
      </c>
      <c r="AI2" s="82">
        <v>2035</v>
      </c>
      <c r="AJ2" s="82">
        <v>2036</v>
      </c>
      <c r="AK2" s="82">
        <v>2037</v>
      </c>
      <c r="AL2" s="82">
        <v>2038</v>
      </c>
      <c r="AM2" s="82">
        <v>2039</v>
      </c>
      <c r="AN2" s="82">
        <v>2040</v>
      </c>
      <c r="AO2" s="82">
        <v>2041</v>
      </c>
      <c r="AP2" s="82">
        <v>2042</v>
      </c>
      <c r="AQ2" s="82">
        <v>2043</v>
      </c>
      <c r="AR2" s="82">
        <v>2044</v>
      </c>
      <c r="AS2" s="82">
        <v>2045</v>
      </c>
      <c r="AT2" s="82">
        <v>2046</v>
      </c>
      <c r="AU2" s="82">
        <v>2047</v>
      </c>
      <c r="AV2" s="82">
        <v>2048</v>
      </c>
      <c r="AW2" s="82">
        <v>2049</v>
      </c>
      <c r="AX2" s="82">
        <v>2050</v>
      </c>
    </row>
    <row r="3" spans="2:50">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row>
    <row r="4" spans="2:50" s="67" customFormat="1">
      <c r="B4" s="67" t="s">
        <v>1338</v>
      </c>
      <c r="O4" s="68"/>
      <c r="P4" s="68"/>
      <c r="Q4" s="68"/>
      <c r="R4" s="68"/>
      <c r="S4" s="68"/>
      <c r="T4" s="68"/>
      <c r="U4" s="68"/>
      <c r="V4" s="68"/>
      <c r="W4" s="68"/>
      <c r="X4" s="68"/>
      <c r="Y4" s="68"/>
      <c r="Z4" s="68"/>
      <c r="AA4" s="68"/>
      <c r="AB4" s="68"/>
      <c r="AC4" s="68"/>
      <c r="AD4" s="68"/>
      <c r="AE4" s="68"/>
      <c r="AF4" s="68"/>
      <c r="AG4" s="68"/>
      <c r="AH4" s="68"/>
      <c r="AI4" s="68"/>
      <c r="AJ4" s="68"/>
      <c r="AK4" s="68"/>
      <c r="AL4" s="68"/>
      <c r="AM4" s="68"/>
      <c r="AN4" s="68"/>
      <c r="AO4" s="68"/>
      <c r="AP4" s="68"/>
      <c r="AQ4" s="68"/>
      <c r="AR4" s="68"/>
      <c r="AS4" s="68"/>
      <c r="AT4" s="68"/>
      <c r="AU4" s="68"/>
      <c r="AV4" s="68"/>
      <c r="AW4" s="68"/>
      <c r="AX4" s="68"/>
    </row>
    <row r="5" spans="2:50">
      <c r="O5" s="65"/>
      <c r="P5" s="65"/>
      <c r="Q5" s="65"/>
      <c r="R5" s="65"/>
      <c r="S5" s="65"/>
      <c r="T5" s="65"/>
      <c r="U5" s="65"/>
      <c r="V5" s="65"/>
      <c r="W5" s="65"/>
      <c r="X5" s="65"/>
      <c r="Y5" s="65"/>
      <c r="Z5" s="65"/>
      <c r="AA5" s="65"/>
      <c r="AB5" s="65"/>
      <c r="AC5" s="65"/>
      <c r="AD5" s="65"/>
      <c r="AE5" s="65"/>
      <c r="AF5" s="65"/>
      <c r="AG5" s="65"/>
      <c r="AH5" s="65"/>
      <c r="AI5" s="65"/>
      <c r="AJ5" s="65"/>
      <c r="AK5" s="65"/>
      <c r="AL5" s="65"/>
      <c r="AM5" s="65"/>
      <c r="AN5" s="65"/>
      <c r="AO5" s="65"/>
      <c r="AP5" s="65"/>
      <c r="AQ5" s="65"/>
      <c r="AR5" s="65"/>
      <c r="AS5" s="65"/>
      <c r="AT5" s="65"/>
      <c r="AU5" s="65"/>
      <c r="AV5" s="65"/>
      <c r="AW5" s="65"/>
      <c r="AX5" s="65"/>
    </row>
    <row r="6" spans="2:50" s="43" customFormat="1">
      <c r="C6" s="43" t="s">
        <v>1339</v>
      </c>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row>
    <row r="7" spans="2:50"/>
    <row r="8" spans="2:50">
      <c r="D8" s="38" t="s">
        <v>157</v>
      </c>
    </row>
    <row r="9" spans="2:50" ht="15.75" customHeight="1">
      <c r="E9" s="38" t="str">
        <f>"% Domestic heat demand in selected region ("&amp;Dashboard!$D$5&amp;")"</f>
        <v>% Domestic heat demand in selected region (Inner London)</v>
      </c>
      <c r="G9" s="44"/>
      <c r="H9"/>
      <c r="I9" s="44"/>
      <c r="J9"/>
      <c r="K9" s="44"/>
      <c r="L9"/>
      <c r="M9" s="44"/>
      <c r="O9" s="254"/>
      <c r="P9" s="254"/>
      <c r="Q9" s="254"/>
      <c r="R9" s="254"/>
      <c r="S9" s="254"/>
      <c r="T9" s="254"/>
      <c r="U9" s="254"/>
      <c r="V9" s="254"/>
      <c r="W9" s="254"/>
      <c r="X9" s="254"/>
      <c r="Y9" s="254"/>
      <c r="Z9" s="254"/>
      <c r="AA9" s="254"/>
      <c r="AB9" s="254"/>
      <c r="AC9" s="254"/>
      <c r="AD9" s="254"/>
      <c r="AE9" s="254"/>
      <c r="AF9" s="254"/>
      <c r="AG9" s="254"/>
      <c r="AH9" s="254"/>
      <c r="AI9" s="254"/>
      <c r="AJ9" s="254"/>
      <c r="AK9" s="254"/>
      <c r="AL9" s="254"/>
      <c r="AM9" s="254"/>
      <c r="AN9" s="254"/>
      <c r="AO9" s="254"/>
      <c r="AP9" s="254"/>
      <c r="AQ9" s="254"/>
      <c r="AR9" s="254"/>
      <c r="AS9" s="254"/>
      <c r="AT9" s="254"/>
      <c r="AU9" s="254"/>
      <c r="AV9" s="254"/>
      <c r="AW9" s="254"/>
      <c r="AX9" s="58"/>
    </row>
    <row r="10" spans="2:50" ht="15.75" customHeight="1">
      <c r="E10" s="38" t="s">
        <v>142</v>
      </c>
      <c r="G10" s="44" t="s">
        <v>1202</v>
      </c>
      <c r="H10"/>
      <c r="I10" s="44"/>
      <c r="J10"/>
      <c r="K10" s="44"/>
      <c r="L10"/>
      <c r="M10" s="44"/>
      <c r="O10" s="54">
        <f>O12+O13</f>
        <v>9889.365193390222</v>
      </c>
      <c r="P10" s="54">
        <f t="shared" ref="P10:AX10" si="0">P12+P13</f>
        <v>9975.3201534724594</v>
      </c>
      <c r="Q10" s="54">
        <f t="shared" si="0"/>
        <v>10061.275113554701</v>
      </c>
      <c r="R10" s="54">
        <f t="shared" si="0"/>
        <v>10147.230073636936</v>
      </c>
      <c r="S10" s="54">
        <f t="shared" si="0"/>
        <v>10233.163067550324</v>
      </c>
      <c r="T10" s="54">
        <f t="shared" si="0"/>
        <v>10286.667771653783</v>
      </c>
      <c r="U10" s="54">
        <f t="shared" si="0"/>
        <v>10258.540462206198</v>
      </c>
      <c r="V10" s="54">
        <f t="shared" si="0"/>
        <v>9953.9411928937461</v>
      </c>
      <c r="W10" s="54">
        <f t="shared" si="0"/>
        <v>9376.4418405164688</v>
      </c>
      <c r="X10" s="54">
        <f t="shared" si="0"/>
        <v>8733.7780190523026</v>
      </c>
      <c r="Y10" s="54">
        <f t="shared" si="0"/>
        <v>8162.455965402045</v>
      </c>
      <c r="Z10" s="54">
        <f t="shared" si="0"/>
        <v>7673.2887983666751</v>
      </c>
      <c r="AA10" s="54">
        <f t="shared" si="0"/>
        <v>7281.5355729573457</v>
      </c>
      <c r="AB10" s="54">
        <f t="shared" si="0"/>
        <v>6999.9718700135918</v>
      </c>
      <c r="AC10" s="54">
        <f t="shared" si="0"/>
        <v>6875.2043738111006</v>
      </c>
      <c r="AD10" s="54">
        <f t="shared" si="0"/>
        <v>6877.340872816756</v>
      </c>
      <c r="AE10" s="54">
        <f t="shared" si="0"/>
        <v>6903.8016156937265</v>
      </c>
      <c r="AF10" s="54">
        <f t="shared" si="0"/>
        <v>6930.3229052370125</v>
      </c>
      <c r="AG10" s="54">
        <f t="shared" si="0"/>
        <v>6956.9047414466122</v>
      </c>
      <c r="AH10" s="54">
        <f t="shared" si="0"/>
        <v>6983.5471243225293</v>
      </c>
      <c r="AI10" s="54">
        <f t="shared" si="0"/>
        <v>7010.4300590606372</v>
      </c>
      <c r="AJ10" s="54">
        <f t="shared" si="0"/>
        <v>7037.4176993319252</v>
      </c>
      <c r="AK10" s="54">
        <f t="shared" si="0"/>
        <v>7064.4071661468533</v>
      </c>
      <c r="AL10" s="54">
        <f t="shared" si="0"/>
        <v>7091.5816416381258</v>
      </c>
      <c r="AM10" s="54">
        <f t="shared" si="0"/>
        <v>7118.7579436730412</v>
      </c>
      <c r="AN10" s="54">
        <f t="shared" si="0"/>
        <v>7145.9360722515976</v>
      </c>
      <c r="AO10" s="54">
        <f t="shared" si="0"/>
        <v>7173.1160273737951</v>
      </c>
      <c r="AP10" s="54">
        <f t="shared" si="0"/>
        <v>7200.2978090396355</v>
      </c>
      <c r="AQ10" s="54">
        <f t="shared" si="0"/>
        <v>7227.4814172491178</v>
      </c>
      <c r="AR10" s="54">
        <f t="shared" si="0"/>
        <v>7254.6668520022413</v>
      </c>
      <c r="AS10" s="54">
        <f t="shared" si="0"/>
        <v>7281.8541132990067</v>
      </c>
      <c r="AT10" s="54">
        <f t="shared" si="0"/>
        <v>7309.043201139415</v>
      </c>
      <c r="AU10" s="54">
        <f t="shared" si="0"/>
        <v>7336.2341155234653</v>
      </c>
      <c r="AV10" s="54">
        <f t="shared" si="0"/>
        <v>7363.4268564511585</v>
      </c>
      <c r="AW10" s="54">
        <f t="shared" si="0"/>
        <v>7390.6214239224919</v>
      </c>
      <c r="AX10" s="54">
        <f t="shared" si="0"/>
        <v>7417.8178179374654</v>
      </c>
    </row>
    <row r="11" spans="2:50"/>
    <row r="12" spans="2:50">
      <c r="E12" s="38" t="s">
        <v>1248</v>
      </c>
      <c r="G12" s="44" t="s">
        <v>1202</v>
      </c>
      <c r="H12"/>
      <c r="I12" s="44"/>
      <c r="J12"/>
      <c r="K12" s="44"/>
      <c r="L12"/>
      <c r="M12" s="44"/>
      <c r="O12" s="54">
        <f>('2.1 Building inputs'!E8)/1000000*'3.1 Building Energy'!$B20</f>
        <v>9889.365193390222</v>
      </c>
      <c r="P12" s="54">
        <f>('2.1 Building inputs'!F8)/1000000*'3.1 Building Energy'!$B20</f>
        <v>9889.365193390222</v>
      </c>
      <c r="Q12" s="54">
        <f>('2.1 Building inputs'!G8)/1000000*'3.1 Building Energy'!$B20</f>
        <v>9889.365193390222</v>
      </c>
      <c r="R12" s="54">
        <f>('2.1 Building inputs'!H8)/1000000*'3.1 Building Energy'!$B20</f>
        <v>9889.365193390222</v>
      </c>
      <c r="S12" s="54">
        <f>('2.1 Building inputs'!I8)/1000000*'3.1 Building Energy'!$B20</f>
        <v>9889.3458150996285</v>
      </c>
      <c r="T12" s="54">
        <f>('2.1 Building inputs'!J8)/1000000*'3.1 Building Energy'!$B20</f>
        <v>9860.5840961818139</v>
      </c>
      <c r="U12" s="54">
        <f>('2.1 Building inputs'!K8)/1000000*'3.1 Building Energy'!$B20</f>
        <v>9771.4813840964489</v>
      </c>
      <c r="V12" s="54">
        <f>('2.1 Building inputs'!L8)/1000000*'3.1 Building Energy'!$B20</f>
        <v>9438.4784263227029</v>
      </c>
      <c r="W12" s="54">
        <f>('2.1 Building inputs'!M8)/1000000*'3.1 Building Energy'!$B20</f>
        <v>8864.7262897156907</v>
      </c>
      <c r="X12" s="54">
        <f>('2.1 Building inputs'!N8)/1000000*'3.1 Building Energy'!$B20</f>
        <v>8233.4868403692071</v>
      </c>
      <c r="Y12" s="54">
        <f>('2.1 Building inputs'!O8)/1000000*'3.1 Building Energy'!$B20</f>
        <v>7665.1842425796103</v>
      </c>
      <c r="Z12" s="54">
        <f>('2.1 Building inputs'!P8)/1000000*'3.1 Building Energy'!$B20</f>
        <v>7181.6013619192599</v>
      </c>
      <c r="AA12" s="54">
        <f>('2.1 Building inputs'!Q8)/1000000*'3.1 Building Energy'!$B20</f>
        <v>6783.955891720635</v>
      </c>
      <c r="AB12" s="54">
        <f>('2.1 Building inputs'!R8)/1000000*'3.1 Building Energy'!$B20</f>
        <v>6483.518296109999</v>
      </c>
      <c r="AC12" s="54">
        <f>('2.1 Building inputs'!S8)/1000000*'3.1 Building Energy'!$B20</f>
        <v>6321.4044327356914</v>
      </c>
      <c r="AD12" s="54">
        <f>('2.1 Building inputs'!T8)/1000000*'3.1 Building Energy'!$B20</f>
        <v>6271.243751250905</v>
      </c>
      <c r="AE12" s="54">
        <f>('2.1 Building inputs'!U8)/1000000*'3.1 Building Energy'!$B20</f>
        <v>6270.5947686438176</v>
      </c>
      <c r="AF12" s="54">
        <f>('2.1 Building inputs'!V8)/1000000*'3.1 Building Energy'!$B20</f>
        <v>6269.999199579268</v>
      </c>
      <c r="AG12" s="54">
        <f>('2.1 Building inputs'!W8)/1000000*'3.1 Building Energy'!$B20</f>
        <v>6269.4570440572625</v>
      </c>
      <c r="AH12" s="54">
        <f>('2.1 Building inputs'!X8)/1000000*'3.1 Building Energy'!$B20</f>
        <v>6268.9683020777984</v>
      </c>
      <c r="AI12" s="54">
        <f>('2.1 Building inputs'!Y8)/1000000*'3.1 Building Energy'!$B20</f>
        <v>6268.6917720648498</v>
      </c>
      <c r="AJ12" s="54">
        <f>('2.1 Building inputs'!Z8)/1000000*'3.1 Building Energy'!$B20</f>
        <v>6268.5076120169415</v>
      </c>
      <c r="AK12" s="54">
        <f>('2.1 Building inputs'!AA8)/1000000*'3.1 Building Energy'!$B20</f>
        <v>6268.3250633239195</v>
      </c>
      <c r="AL12" s="54">
        <f>('2.1 Building inputs'!AB8)/1000000*'3.1 Building Energy'!$B20</f>
        <v>6268.3057270653017</v>
      </c>
      <c r="AM12" s="54">
        <f>('2.1 Building inputs'!AC8)/1000000*'3.1 Building Energy'!$B20</f>
        <v>6268.2880021615692</v>
      </c>
      <c r="AN12" s="54">
        <f>('2.1 Building inputs'!AD8)/1000000*'3.1 Building Energy'!$B20</f>
        <v>6268.2718886127204</v>
      </c>
      <c r="AO12" s="54">
        <f>('2.1 Building inputs'!AE8)/1000000*'3.1 Building Energy'!$B20</f>
        <v>6268.2573864187571</v>
      </c>
      <c r="AP12" s="54">
        <f>('2.1 Building inputs'!AF8)/1000000*'3.1 Building Energy'!$B20</f>
        <v>6268.2444955796791</v>
      </c>
      <c r="AQ12" s="54">
        <f>('2.1 Building inputs'!AG8)/1000000*'3.1 Building Energy'!$B20</f>
        <v>6268.2332160954857</v>
      </c>
      <c r="AR12" s="54">
        <f>('2.1 Building inputs'!AH8)/1000000*'3.1 Building Energy'!$B20</f>
        <v>6268.2235479661767</v>
      </c>
      <c r="AS12" s="54">
        <f>('2.1 Building inputs'!AI8)/1000000*'3.1 Building Energy'!$B20</f>
        <v>6268.2154911917514</v>
      </c>
      <c r="AT12" s="54">
        <f>('2.1 Building inputs'!AJ8)/1000000*'3.1 Building Energy'!$B20</f>
        <v>6268.2090457722124</v>
      </c>
      <c r="AU12" s="54">
        <f>('2.1 Building inputs'!AK8)/1000000*'3.1 Building Energy'!$B20</f>
        <v>6268.2042117075589</v>
      </c>
      <c r="AV12" s="54">
        <f>('2.1 Building inputs'!AL8)/1000000*'3.1 Building Energy'!$B20</f>
        <v>6268.200988997789</v>
      </c>
      <c r="AW12" s="54">
        <f>('2.1 Building inputs'!AM8)/1000000*'3.1 Building Energy'!$B20</f>
        <v>6268.1993776429044</v>
      </c>
      <c r="AX12" s="54">
        <f>('2.1 Building inputs'!AN8)/1000000*'3.1 Building Energy'!$B20</f>
        <v>6268.1993776429044</v>
      </c>
    </row>
    <row r="13" spans="2:50">
      <c r="E13" s="38" t="s">
        <v>1340</v>
      </c>
      <c r="G13" s="44" t="s">
        <v>1202</v>
      </c>
      <c r="H13"/>
      <c r="I13" s="44"/>
      <c r="J13"/>
      <c r="K13" s="44"/>
      <c r="L13"/>
      <c r="M13" s="44"/>
      <c r="O13" s="54">
        <f>('2.1 Building inputs'!E4-'2.1 Building inputs'!E8)*'3.1 Building Energy'!B7/1000000</f>
        <v>0</v>
      </c>
      <c r="P13" s="54">
        <f>('2.1 Building inputs'!F4-'2.1 Building inputs'!F8)*'3.1 Building Energy'!C7/1000000</f>
        <v>85.95496008223806</v>
      </c>
      <c r="Q13" s="54">
        <f>('2.1 Building inputs'!G4-'2.1 Building inputs'!G8)*'3.1 Building Energy'!D7/1000000</f>
        <v>171.90992016447763</v>
      </c>
      <c r="R13" s="54">
        <f>('2.1 Building inputs'!H4-'2.1 Building inputs'!H8)*'3.1 Building Energy'!E7/1000000</f>
        <v>257.86488024671422</v>
      </c>
      <c r="S13" s="54">
        <f>('2.1 Building inputs'!I4-'2.1 Building inputs'!I8)*'3.1 Building Energy'!F7/1000000</f>
        <v>343.81725245069589</v>
      </c>
      <c r="T13" s="54">
        <f>('2.1 Building inputs'!J4-'2.1 Building inputs'!J8)*'3.1 Building Energy'!G7/1000000</f>
        <v>426.08367547196923</v>
      </c>
      <c r="U13" s="54">
        <f>('2.1 Building inputs'!K4-'2.1 Building inputs'!K8)*'3.1 Building Energy'!H7/1000000</f>
        <v>487.05907810974924</v>
      </c>
      <c r="V13" s="54">
        <f>('2.1 Building inputs'!L4-'2.1 Building inputs'!L8)*'3.1 Building Energy'!I7/1000000</f>
        <v>515.46276657104386</v>
      </c>
      <c r="W13" s="54">
        <f>('2.1 Building inputs'!M4-'2.1 Building inputs'!M8)*'3.1 Building Energy'!J7/1000000</f>
        <v>511.7155508007782</v>
      </c>
      <c r="X13" s="54">
        <f>('2.1 Building inputs'!N4-'2.1 Building inputs'!N8)*'3.1 Building Energy'!K7/1000000</f>
        <v>500.29117868309481</v>
      </c>
      <c r="Y13" s="54">
        <f>('2.1 Building inputs'!O4-'2.1 Building inputs'!O8)*'3.1 Building Energy'!L7/1000000</f>
        <v>497.27172282243509</v>
      </c>
      <c r="Z13" s="54">
        <f>('2.1 Building inputs'!P4-'2.1 Building inputs'!P8)*'3.1 Building Energy'!M7/1000000</f>
        <v>491.68743644741494</v>
      </c>
      <c r="AA13" s="54">
        <f>('2.1 Building inputs'!Q4-'2.1 Building inputs'!Q8)*'3.1 Building Energy'!N7/1000000</f>
        <v>497.57968123671071</v>
      </c>
      <c r="AB13" s="54">
        <f>('2.1 Building inputs'!R4-'2.1 Building inputs'!R8)*'3.1 Building Energy'!O7/1000000</f>
        <v>516.45357390359311</v>
      </c>
      <c r="AC13" s="54">
        <f>('2.1 Building inputs'!S4-'2.1 Building inputs'!S8)*'3.1 Building Energy'!P7/1000000</f>
        <v>553.79994107540892</v>
      </c>
      <c r="AD13" s="54">
        <f>('2.1 Building inputs'!T4-'2.1 Building inputs'!T8)*'3.1 Building Energy'!Q7/1000000</f>
        <v>606.09712156585113</v>
      </c>
      <c r="AE13" s="54">
        <f>('2.1 Building inputs'!U4-'2.1 Building inputs'!U8)*'3.1 Building Energy'!R7/1000000</f>
        <v>633.20684704990936</v>
      </c>
      <c r="AF13" s="54">
        <f>('2.1 Building inputs'!V4-'2.1 Building inputs'!V8)*'3.1 Building Energy'!S7/1000000</f>
        <v>660.32370565774477</v>
      </c>
      <c r="AG13" s="54">
        <f>('2.1 Building inputs'!W4-'2.1 Building inputs'!W8)*'3.1 Building Energy'!T7/1000000</f>
        <v>687.44769738935008</v>
      </c>
      <c r="AH13" s="54">
        <f>('2.1 Building inputs'!X4-'2.1 Building inputs'!X8)*'3.1 Building Energy'!U7/1000000</f>
        <v>714.57882224473099</v>
      </c>
      <c r="AI13" s="54">
        <f>('2.1 Building inputs'!Y4-'2.1 Building inputs'!Y8)*'3.1 Building Energy'!V7/1000000</f>
        <v>741.73828699578746</v>
      </c>
      <c r="AJ13" s="54">
        <f>('2.1 Building inputs'!Z4-'2.1 Building inputs'!Z8)*'3.1 Building Energy'!W7/1000000</f>
        <v>768.91008731498334</v>
      </c>
      <c r="AK13" s="54">
        <f>('2.1 Building inputs'!AA4-'2.1 Building inputs'!AA8)*'3.1 Building Energy'!X7/1000000</f>
        <v>796.08210282293339</v>
      </c>
      <c r="AL13" s="54">
        <f>('2.1 Building inputs'!AB4-'2.1 Building inputs'!AB8)*'3.1 Building Energy'!Y7/1000000</f>
        <v>823.2759145728246</v>
      </c>
      <c r="AM13" s="54">
        <f>('2.1 Building inputs'!AC4-'2.1 Building inputs'!AC8)*'3.1 Building Energy'!Z7/1000000</f>
        <v>850.46994151147146</v>
      </c>
      <c r="AN13" s="54">
        <f>('2.1 Building inputs'!AD4-'2.1 Building inputs'!AD8)*'3.1 Building Energy'!AA7/1000000</f>
        <v>877.66418363887703</v>
      </c>
      <c r="AO13" s="54">
        <f>('2.1 Building inputs'!AE4-'2.1 Building inputs'!AE8)*'3.1 Building Energy'!AB7/1000000</f>
        <v>904.85864095503814</v>
      </c>
      <c r="AP13" s="54">
        <f>('2.1 Building inputs'!AF4-'2.1 Building inputs'!AF8)*'3.1 Building Energy'!AC7/1000000</f>
        <v>932.0533134599566</v>
      </c>
      <c r="AQ13" s="54">
        <f>('2.1 Building inputs'!AG4-'2.1 Building inputs'!AG8)*'3.1 Building Energy'!AD7/1000000</f>
        <v>959.24820115363218</v>
      </c>
      <c r="AR13" s="54">
        <f>('2.1 Building inputs'!AH4-'2.1 Building inputs'!AH8)*'3.1 Building Energy'!AE7/1000000</f>
        <v>986.443304036065</v>
      </c>
      <c r="AS13" s="54">
        <f>('2.1 Building inputs'!AI4-'2.1 Building inputs'!AI8)*'3.1 Building Energy'!AF7/1000000</f>
        <v>1013.6386221072548</v>
      </c>
      <c r="AT13" s="54">
        <f>('2.1 Building inputs'!AJ4-'2.1 Building inputs'!AJ8)*'3.1 Building Energy'!AG7/1000000</f>
        <v>1040.8341553672021</v>
      </c>
      <c r="AU13" s="54">
        <f>('2.1 Building inputs'!AK4-'2.1 Building inputs'!AK8)*'3.1 Building Energy'!AH7/1000000</f>
        <v>1068.0299038159064</v>
      </c>
      <c r="AV13" s="54">
        <f>('2.1 Building inputs'!AL4-'2.1 Building inputs'!AL8)*'3.1 Building Energy'!AI7/1000000</f>
        <v>1095.2258674533693</v>
      </c>
      <c r="AW13" s="54">
        <f>('2.1 Building inputs'!AM4-'2.1 Building inputs'!AM8)*'3.1 Building Energy'!AJ7/1000000</f>
        <v>1122.4220462795879</v>
      </c>
      <c r="AX13" s="54">
        <f>('2.1 Building inputs'!AN4-'2.1 Building inputs'!AN8)*'3.1 Building Energy'!AK7/1000000</f>
        <v>1149.618440294561</v>
      </c>
    </row>
    <row r="14" spans="2:50" customFormat="1">
      <c r="C14" s="38"/>
      <c r="E14" s="38"/>
    </row>
    <row r="15" spans="2:50" customFormat="1">
      <c r="C15" s="38"/>
      <c r="D15" t="s">
        <v>722</v>
      </c>
    </row>
    <row r="16" spans="2:50" customFormat="1">
      <c r="C16" s="38"/>
      <c r="E16" t="str">
        <f>"% Non-domestic heat demand in selected region ("&amp;Dashboard!$D$5&amp;")"</f>
        <v>% Non-domestic heat demand in selected region (Inner London)</v>
      </c>
      <c r="G16" s="44"/>
      <c r="I16" s="44"/>
      <c r="K16" s="44"/>
      <c r="M16" s="44"/>
      <c r="O16" s="254">
        <f>'3.1 Building Energy'!B21</f>
        <v>0.57393452752298657</v>
      </c>
      <c r="P16" s="254">
        <f>'3.1 Building Energy'!C21</f>
        <v>0.57393452752298657</v>
      </c>
      <c r="Q16" s="254">
        <f>'3.1 Building Energy'!D21</f>
        <v>0.57393452752298657</v>
      </c>
      <c r="R16" s="254">
        <f>'3.1 Building Energy'!E21</f>
        <v>0.57393452752298657</v>
      </c>
      <c r="S16" s="254">
        <f>'3.1 Building Energy'!F21</f>
        <v>0.57393452752298657</v>
      </c>
      <c r="T16" s="254">
        <f>'3.1 Building Energy'!G21</f>
        <v>0.57393452752298657</v>
      </c>
      <c r="U16" s="254">
        <f>'3.1 Building Energy'!H21</f>
        <v>0.57393452752298657</v>
      </c>
      <c r="V16" s="254">
        <f>'3.1 Building Energy'!I21</f>
        <v>0.57393452752298657</v>
      </c>
      <c r="W16" s="254">
        <f>'3.1 Building Energy'!J21</f>
        <v>0.57393452752298657</v>
      </c>
      <c r="X16" s="254">
        <f>'3.1 Building Energy'!K21</f>
        <v>0.57393452752298657</v>
      </c>
      <c r="Y16" s="254">
        <f>'3.1 Building Energy'!L21</f>
        <v>0.57393452752298657</v>
      </c>
      <c r="Z16" s="254">
        <f>'3.1 Building Energy'!M21</f>
        <v>0.57393452752298657</v>
      </c>
      <c r="AA16" s="254">
        <f>'3.1 Building Energy'!N21</f>
        <v>0.57393452752298657</v>
      </c>
      <c r="AB16" s="254">
        <f>'3.1 Building Energy'!O21</f>
        <v>0.57393452752298657</v>
      </c>
      <c r="AC16" s="254">
        <f>'3.1 Building Energy'!P21</f>
        <v>0.57393452752298657</v>
      </c>
      <c r="AD16" s="254">
        <f>'3.1 Building Energy'!Q21</f>
        <v>0.57393452752298657</v>
      </c>
      <c r="AE16" s="254">
        <f>'3.1 Building Energy'!R21</f>
        <v>0.57393452752298657</v>
      </c>
      <c r="AF16" s="254">
        <f>'3.1 Building Energy'!S21</f>
        <v>0.57393452752298657</v>
      </c>
      <c r="AG16" s="254">
        <f>'3.1 Building Energy'!T21</f>
        <v>0.57393452752298657</v>
      </c>
      <c r="AH16" s="254">
        <f>'3.1 Building Energy'!U21</f>
        <v>0.57393452752298657</v>
      </c>
      <c r="AI16" s="254">
        <f>'3.1 Building Energy'!V21</f>
        <v>0.57393452752298657</v>
      </c>
      <c r="AJ16" s="254">
        <f>'3.1 Building Energy'!W21</f>
        <v>0.57393452752298657</v>
      </c>
      <c r="AK16" s="254">
        <f>'3.1 Building Energy'!X21</f>
        <v>0.57393452752298657</v>
      </c>
      <c r="AL16" s="254">
        <f>'3.1 Building Energy'!Y21</f>
        <v>0.57393452752298657</v>
      </c>
      <c r="AM16" s="254">
        <f>'3.1 Building Energy'!Z21</f>
        <v>0.57393452752298657</v>
      </c>
      <c r="AN16" s="254">
        <f>'3.1 Building Energy'!AA21</f>
        <v>0.57393452752298657</v>
      </c>
      <c r="AO16" s="254">
        <f>'3.1 Building Energy'!AB21</f>
        <v>0.57393452752298657</v>
      </c>
      <c r="AP16" s="254">
        <f>'3.1 Building Energy'!AC21</f>
        <v>0.57393452752298657</v>
      </c>
      <c r="AQ16" s="254">
        <f>'3.1 Building Energy'!AD21</f>
        <v>0.57393452752298657</v>
      </c>
      <c r="AR16" s="254">
        <f>'3.1 Building Energy'!AE21</f>
        <v>0.57393452752298657</v>
      </c>
      <c r="AS16" s="254">
        <f>'3.1 Building Energy'!AF21</f>
        <v>0.57393452752298657</v>
      </c>
      <c r="AT16" s="254">
        <f>'3.1 Building Energy'!AG21</f>
        <v>0.57393452752298657</v>
      </c>
      <c r="AU16" s="254">
        <f>'3.1 Building Energy'!AH21</f>
        <v>0.57393452752298657</v>
      </c>
      <c r="AV16" s="254">
        <f>'3.1 Building Energy'!AI21</f>
        <v>0.57393452752298657</v>
      </c>
      <c r="AW16" s="254">
        <f>'3.1 Building Energy'!AJ21</f>
        <v>0.57393452752298657</v>
      </c>
      <c r="AX16" s="58">
        <f>'3.1 Building Energy'!AK21</f>
        <v>0.57393452752298657</v>
      </c>
    </row>
    <row r="17" spans="3:50" customFormat="1">
      <c r="C17" s="38"/>
      <c r="E17" t="s">
        <v>142</v>
      </c>
      <c r="G17" s="44"/>
      <c r="I17" s="44"/>
      <c r="K17" s="44"/>
      <c r="M17" s="44"/>
      <c r="O17" s="54">
        <f>('2.1 Building inputs'!E5)/1000000*O16</f>
        <v>10745.780962493596</v>
      </c>
      <c r="P17" s="54">
        <f>('2.1 Building inputs'!F5)/1000000*P16</f>
        <v>10771.843235465662</v>
      </c>
      <c r="Q17" s="54">
        <f>('2.1 Building inputs'!G5)/1000000*Q16</f>
        <v>10797.905508437725</v>
      </c>
      <c r="R17" s="54">
        <f>('2.1 Building inputs'!H5)/1000000*R16</f>
        <v>10823.967781409798</v>
      </c>
      <c r="S17" s="54">
        <f>('2.1 Building inputs'!I5)/1000000*S16</f>
        <v>10826.91422816591</v>
      </c>
      <c r="T17" s="54">
        <f>('2.1 Building inputs'!J5)/1000000*T16</f>
        <v>10806.917694499685</v>
      </c>
      <c r="U17" s="54">
        <f>('2.1 Building inputs'!K5)/1000000*U16</f>
        <v>10738.174033895792</v>
      </c>
      <c r="V17" s="54">
        <f>('2.1 Building inputs'!L5)/1000000*V16</f>
        <v>10621.114065170894</v>
      </c>
      <c r="W17" s="54">
        <f>('2.1 Building inputs'!M5)/1000000*W16</f>
        <v>10359.689094855523</v>
      </c>
      <c r="X17" s="54">
        <f>('2.1 Building inputs'!N5)/1000000*X16</f>
        <v>9931.7871189547022</v>
      </c>
      <c r="Y17" s="54">
        <f>('2.1 Building inputs'!O5)/1000000*Y16</f>
        <v>9461.1629067201047</v>
      </c>
      <c r="Z17" s="54">
        <f>('2.1 Building inputs'!P5)/1000000*Z16</f>
        <v>8930.509453336068</v>
      </c>
      <c r="AA17" s="54">
        <f>('2.1 Building inputs'!Q5)/1000000*AA16</f>
        <v>8348.5378117627624</v>
      </c>
      <c r="AB17" s="54">
        <f>('2.1 Building inputs'!R5)/1000000*AB16</f>
        <v>7918.3372790279982</v>
      </c>
      <c r="AC17" s="54">
        <f>('2.1 Building inputs'!S5)/1000000*AC16</f>
        <v>7435.4923227314766</v>
      </c>
      <c r="AD17" s="54">
        <f>('2.1 Building inputs'!T5)/1000000*AD16</f>
        <v>6958.8064278219481</v>
      </c>
      <c r="AE17" s="54">
        <f>('2.1 Building inputs'!U5)/1000000*AE16</f>
        <v>6559.508954455142</v>
      </c>
      <c r="AF17" s="54">
        <f>('2.1 Building inputs'!V5)/1000000*AF16</f>
        <v>6235.1933436796817</v>
      </c>
      <c r="AG17" s="54">
        <f>('2.1 Building inputs'!W5)/1000000*AG16</f>
        <v>5984.0490502229359</v>
      </c>
      <c r="AH17" s="54">
        <f>('2.1 Building inputs'!X5)/1000000*AH16</f>
        <v>5804.86468199091</v>
      </c>
      <c r="AI17" s="54">
        <f>('2.1 Building inputs'!Y5)/1000000*AI16</f>
        <v>5824.691323707535</v>
      </c>
      <c r="AJ17" s="54">
        <f>('2.1 Building inputs'!Z5)/1000000*AJ16</f>
        <v>5844.5335951829529</v>
      </c>
      <c r="AK17" s="54">
        <f>('2.1 Building inputs'!AA5)/1000000*AK16</f>
        <v>5864.03523503819</v>
      </c>
      <c r="AL17" s="54">
        <f>('2.1 Building inputs'!AB5)/1000000*AL16</f>
        <v>5883.552630450361</v>
      </c>
      <c r="AM17" s="54">
        <f>('2.1 Building inputs'!AC5)/1000000*AM16</f>
        <v>5903.0858447075379</v>
      </c>
      <c r="AN17" s="54">
        <f>('2.1 Building inputs'!AD5)/1000000*AN16</f>
        <v>5922.6349413587614</v>
      </c>
      <c r="AO17" s="54">
        <f>('2.1 Building inputs'!AE5)/1000000*AO16</f>
        <v>5942.1684758294541</v>
      </c>
      <c r="AP17" s="54">
        <f>('2.1 Building inputs'!AF5)/1000000*AP16</f>
        <v>5961.6863857208109</v>
      </c>
      <c r="AQ17" s="54">
        <f>('2.1 Building inputs'!AG5)/1000000*AQ16</f>
        <v>5981.1886083765794</v>
      </c>
      <c r="AR17" s="54">
        <f>('2.1 Building inputs'!AH5)/1000000*AR16</f>
        <v>6000.6750808818397</v>
      </c>
      <c r="AS17" s="54">
        <f>('2.1 Building inputs'!AI5)/1000000*AS16</f>
        <v>6020.1457400618083</v>
      </c>
      <c r="AT17" s="54">
        <f>('2.1 Building inputs'!AJ5)/1000000*AT16</f>
        <v>6039.6005224805986</v>
      </c>
      <c r="AU17" s="54">
        <f>('2.1 Building inputs'!AK5)/1000000*AU16</f>
        <v>6059.039364440001</v>
      </c>
      <c r="AV17" s="54">
        <f>('2.1 Building inputs'!AL5)/1000000*AV16</f>
        <v>6078.4622019782419</v>
      </c>
      <c r="AW17" s="54">
        <f>('2.1 Building inputs'!AM5)/1000000*AW16</f>
        <v>6097.8689708687452</v>
      </c>
      <c r="AX17" s="54">
        <f>('2.1 Building inputs'!AN5)/1000000*AX16</f>
        <v>6117.2596066188853</v>
      </c>
    </row>
    <row r="18" spans="3:50" customFormat="1">
      <c r="C18" s="38"/>
      <c r="G18" s="38"/>
      <c r="H18" s="38"/>
      <c r="I18" s="38"/>
      <c r="J18" s="38"/>
      <c r="K18" s="38"/>
      <c r="L18" s="38"/>
      <c r="M18" s="38"/>
    </row>
    <row r="19" spans="3:50">
      <c r="E19" s="38" t="s">
        <v>1248</v>
      </c>
      <c r="G19" s="44" t="s">
        <v>1202</v>
      </c>
      <c r="H19"/>
      <c r="I19" s="44"/>
      <c r="J19"/>
      <c r="K19" s="44"/>
      <c r="L19"/>
      <c r="M19" s="44"/>
      <c r="O19" s="54">
        <f>('2.1 Building inputs'!E9)/1000000*'3.1 Building Energy'!$B21</f>
        <v>10745.780962493596</v>
      </c>
      <c r="P19" s="54">
        <f>('2.1 Building inputs'!F9)/1000000*'3.1 Building Energy'!$B21</f>
        <v>10745.780962493594</v>
      </c>
      <c r="Q19" s="54">
        <f>('2.1 Building inputs'!G9)/1000000*'3.1 Building Energy'!$B21</f>
        <v>10745.780962493594</v>
      </c>
      <c r="R19" s="54">
        <f>('2.1 Building inputs'!H9)/1000000*'3.1 Building Energy'!$B21</f>
        <v>10745.780962493596</v>
      </c>
      <c r="S19" s="54">
        <f>('2.1 Building inputs'!I9)/1000000*'3.1 Building Energy'!$B21</f>
        <v>10722.665136277641</v>
      </c>
      <c r="T19" s="54">
        <f>('2.1 Building inputs'!J9)/1000000*'3.1 Building Energy'!$B21</f>
        <v>10676.531773252445</v>
      </c>
      <c r="U19" s="54">
        <f>('2.1 Building inputs'!K9)/1000000*'3.1 Building Energy'!$B21</f>
        <v>10581.651283289579</v>
      </c>
      <c r="V19" s="54">
        <f>('2.1 Building inputs'!L9)/1000000*'3.1 Building Energy'!$B21</f>
        <v>10438.454485205706</v>
      </c>
      <c r="W19" s="54">
        <f>('2.1 Building inputs'!M9)/1000000*'3.1 Building Energy'!$B21</f>
        <v>10150.892685531362</v>
      </c>
      <c r="X19" s="54">
        <f>('2.1 Building inputs'!N9)/1000000*'3.1 Building Energy'!$B21</f>
        <v>9696.8538802715721</v>
      </c>
      <c r="Y19" s="54">
        <f>('2.1 Building inputs'!O9)/1000000*'3.1 Building Energy'!$B21</f>
        <v>9200.0928386780033</v>
      </c>
      <c r="Z19" s="54">
        <f>('2.1 Building inputs'!P9)/1000000*'3.1 Building Energy'!$B21</f>
        <v>8649.8731818823908</v>
      </c>
      <c r="AA19" s="54">
        <f>('2.1 Building inputs'!Q9)/1000000*'3.1 Building Energy'!$B21</f>
        <v>8048.3353368975113</v>
      </c>
      <c r="AB19" s="54">
        <f>('2.1 Building inputs'!R9)/1000000*'3.1 Building Energy'!$B21</f>
        <v>7598.5686007511713</v>
      </c>
      <c r="AC19" s="54">
        <f>('2.1 Building inputs'!S9)/1000000*'3.1 Building Energy'!$B21</f>
        <v>7096.1574410430749</v>
      </c>
      <c r="AD19" s="54">
        <f>('2.1 Building inputs'!T9)/1000000*'3.1 Building Energy'!$B21</f>
        <v>6599.9053427219715</v>
      </c>
      <c r="AE19" s="54">
        <f>('2.1 Building inputs'!U9)/1000000*'3.1 Building Energy'!$B21</f>
        <v>6181.0416659435905</v>
      </c>
      <c r="AF19" s="54">
        <f>('2.1 Building inputs'!V9)/1000000*'3.1 Building Energy'!$B21</f>
        <v>5837.1598517565553</v>
      </c>
      <c r="AG19" s="54">
        <f>('2.1 Building inputs'!W9)/1000000*'3.1 Building Energy'!$B21</f>
        <v>5566.4493548882365</v>
      </c>
      <c r="AH19" s="54">
        <f>('2.1 Building inputs'!X9)/1000000*'3.1 Building Energy'!$B21</f>
        <v>5367.6987832446339</v>
      </c>
      <c r="AI19" s="54">
        <f>('2.1 Building inputs'!Y9)/1000000*'3.1 Building Energy'!$B21</f>
        <v>5367.9592215496841</v>
      </c>
      <c r="AJ19" s="54">
        <f>('2.1 Building inputs'!Z9)/1000000*'3.1 Building Energy'!$B21</f>
        <v>5368.235289613528</v>
      </c>
      <c r="AK19" s="54">
        <f>('2.1 Building inputs'!AA9)/1000000*'3.1 Building Energy'!$B21</f>
        <v>5368.1707260571902</v>
      </c>
      <c r="AL19" s="54">
        <f>('2.1 Building inputs'!AB9)/1000000*'3.1 Building Energy'!$B21</f>
        <v>5368.1219180577864</v>
      </c>
      <c r="AM19" s="54">
        <f>('2.1 Building inputs'!AC9)/1000000*'3.1 Building Energy'!$B21</f>
        <v>5368.0889289033894</v>
      </c>
      <c r="AN19" s="54">
        <f>('2.1 Building inputs'!AD9)/1000000*'3.1 Building Energy'!$B21</f>
        <v>5368.071822143037</v>
      </c>
      <c r="AO19" s="54">
        <f>('2.1 Building inputs'!AE9)/1000000*'3.1 Building Energy'!$B21</f>
        <v>5368.0391532021558</v>
      </c>
      <c r="AP19" s="54">
        <f>('2.1 Building inputs'!AF9)/1000000*'3.1 Building Energy'!$B21</f>
        <v>5367.9908596819369</v>
      </c>
      <c r="AQ19" s="54">
        <f>('2.1 Building inputs'!AG9)/1000000*'3.1 Building Energy'!$B21</f>
        <v>5367.9268789261305</v>
      </c>
      <c r="AR19" s="54">
        <f>('2.1 Building inputs'!AH9)/1000000*'3.1 Building Energy'!$B21</f>
        <v>5367.8471480198159</v>
      </c>
      <c r="AS19" s="54">
        <f>('2.1 Building inputs'!AI9)/1000000*'3.1 Building Energy'!$B21</f>
        <v>5367.7516037882115</v>
      </c>
      <c r="AT19" s="54">
        <f>('2.1 Building inputs'!AJ9)/1000000*'3.1 Building Energy'!$B21</f>
        <v>5367.6401827954269</v>
      </c>
      <c r="AU19" s="54">
        <f>('2.1 Building inputs'!AK9)/1000000*'3.1 Building Energy'!$B21</f>
        <v>5367.5128213432536</v>
      </c>
      <c r="AV19" s="54">
        <f>('2.1 Building inputs'!AL9)/1000000*'3.1 Building Energy'!$B21</f>
        <v>5367.3694554699205</v>
      </c>
      <c r="AW19" s="54">
        <f>('2.1 Building inputs'!AM9)/1000000*'3.1 Building Energy'!$B21</f>
        <v>5367.2100209488481</v>
      </c>
      <c r="AX19" s="54">
        <f>('2.1 Building inputs'!AN9)/1000000*'3.1 Building Energy'!$B21</f>
        <v>5367.0344532874142</v>
      </c>
    </row>
    <row r="20" spans="3:50" customFormat="1">
      <c r="C20" s="38"/>
      <c r="E20" t="s">
        <v>1340</v>
      </c>
      <c r="G20" s="44" t="s">
        <v>1202</v>
      </c>
      <c r="I20" s="44"/>
      <c r="K20" s="44"/>
      <c r="M20" s="44"/>
      <c r="O20" s="54">
        <f>('2.1 Building inputs'!E5-'2.1 Building inputs'!E9)*'3.1 Building Energy'!B8/1000000</f>
        <v>0</v>
      </c>
      <c r="P20" s="54">
        <f>('2.1 Building inputs'!F5-'2.1 Building inputs'!F9)*'3.1 Building Energy'!C8/1000000</f>
        <v>27.366553513897742</v>
      </c>
      <c r="Q20" s="54">
        <f>('2.1 Building inputs'!G5-'2.1 Building inputs'!G9)*'3.1 Building Energy'!D8/1000000</f>
        <v>54.733107027793189</v>
      </c>
      <c r="R20" s="54">
        <f>('2.1 Building inputs'!H5-'2.1 Building inputs'!H9)*'3.1 Building Energy'!E8/1000000</f>
        <v>82.099660541690938</v>
      </c>
      <c r="S20" s="54">
        <f>('2.1 Building inputs'!I5-'2.1 Building inputs'!I9)*'3.1 Building Energy'!F8/1000000</f>
        <v>109.46621405558638</v>
      </c>
      <c r="T20" s="54">
        <f>('2.1 Building inputs'!J5-'2.1 Building inputs'!J9)*'3.1 Building Energy'!G8/1000000</f>
        <v>136.91105511386766</v>
      </c>
      <c r="U20" s="54">
        <f>('2.1 Building inputs'!K5-'2.1 Building inputs'!K9)*'3.1 Building Energy'!H8/1000000</f>
        <v>164.35589617214893</v>
      </c>
      <c r="V20" s="54">
        <f>('2.1 Building inputs'!L5-'2.1 Building inputs'!L9)*'3.1 Building Energy'!I8/1000000</f>
        <v>191.80073723043026</v>
      </c>
      <c r="W20" s="54">
        <f>('2.1 Building inputs'!M5-'2.1 Building inputs'!M9)*'3.1 Building Energy'!J8/1000000</f>
        <v>219.24557828871153</v>
      </c>
      <c r="X20" s="54">
        <f>('2.1 Building inputs'!N5-'2.1 Building inputs'!N9)*'3.1 Building Energy'!K8/1000000</f>
        <v>246.69041934699166</v>
      </c>
      <c r="Y20" s="54">
        <f>('2.1 Building inputs'!O5-'2.1 Building inputs'!O9)*'3.1 Building Energy'!L8/1000000</f>
        <v>274.13526040527182</v>
      </c>
      <c r="Z20" s="54">
        <f>('2.1 Building inputs'!P5-'2.1 Building inputs'!P9)*'3.1 Building Energy'!M8/1000000</f>
        <v>294.68065003036492</v>
      </c>
      <c r="AA20" s="54">
        <f>('2.1 Building inputs'!Q5-'2.1 Building inputs'!Q9)*'3.1 Building Energy'!N8/1000000</f>
        <v>315.22603965545807</v>
      </c>
      <c r="AB20" s="54">
        <f>('2.1 Building inputs'!R5-'2.1 Building inputs'!R9)*'3.1 Building Energy'!O8/1000000</f>
        <v>335.77142928055127</v>
      </c>
      <c r="AC20" s="54">
        <f>('2.1 Building inputs'!S5-'2.1 Building inputs'!S9)*'3.1 Building Energy'!P8/1000000</f>
        <v>356.31681890564437</v>
      </c>
      <c r="AD20" s="54">
        <f>('2.1 Building inputs'!T5-'2.1 Building inputs'!T9)*'3.1 Building Energy'!Q8/1000000</f>
        <v>376.86220853073752</v>
      </c>
      <c r="AE20" s="54">
        <f>('2.1 Building inputs'!U5-'2.1 Building inputs'!U9)*'3.1 Building Energy'!R8/1000000</f>
        <v>397.40759815583067</v>
      </c>
      <c r="AF20" s="54">
        <f>('2.1 Building inputs'!V5-'2.1 Building inputs'!V9)*'3.1 Building Energy'!S8/1000000</f>
        <v>417.95298778092263</v>
      </c>
      <c r="AG20" s="54">
        <f>('2.1 Building inputs'!W5-'2.1 Building inputs'!W9)*'3.1 Building Energy'!T8/1000000</f>
        <v>438.49837740601583</v>
      </c>
      <c r="AH20" s="54">
        <f>('2.1 Building inputs'!X5-'2.1 Building inputs'!X9)*'3.1 Building Energy'!U8/1000000</f>
        <v>459.04376703110893</v>
      </c>
      <c r="AI20" s="54">
        <f>('2.1 Building inputs'!Y5-'2.1 Building inputs'!Y9)*'3.1 Building Energy'!V8/1000000</f>
        <v>479.58915665620208</v>
      </c>
      <c r="AJ20" s="54">
        <f>('2.1 Building inputs'!Z5-'2.1 Building inputs'!Z9)*'3.1 Building Energy'!W8/1000000</f>
        <v>500.13454628129523</v>
      </c>
      <c r="AK20" s="54">
        <f>('2.1 Building inputs'!AA5-'2.1 Building inputs'!AA9)*'3.1 Building Energy'!X8/1000000</f>
        <v>520.67993590638832</v>
      </c>
      <c r="AL20" s="54">
        <f>('2.1 Building inputs'!AB5-'2.1 Building inputs'!AB9)*'3.1 Building Energy'!Y8/1000000</f>
        <v>541.22532553148153</v>
      </c>
      <c r="AM20" s="54">
        <f>('2.1 Building inputs'!AC5-'2.1 Building inputs'!AC9)*'3.1 Building Energy'!Z8/1000000</f>
        <v>561.77071515657462</v>
      </c>
      <c r="AN20" s="54">
        <f>('2.1 Building inputs'!AD5-'2.1 Building inputs'!AD9)*'3.1 Building Energy'!AA8/1000000</f>
        <v>582.31610478166783</v>
      </c>
      <c r="AO20" s="54">
        <f>('2.1 Building inputs'!AE5-'2.1 Building inputs'!AE9)*'3.1 Building Energy'!AB8/1000000</f>
        <v>602.86149440676093</v>
      </c>
      <c r="AP20" s="54">
        <f>('2.1 Building inputs'!AF5-'2.1 Building inputs'!AF9)*'3.1 Building Energy'!AC8/1000000</f>
        <v>623.40688403185402</v>
      </c>
      <c r="AQ20" s="54">
        <f>('2.1 Building inputs'!AG5-'2.1 Building inputs'!AG9)*'3.1 Building Energy'!AD8/1000000</f>
        <v>643.95227365694723</v>
      </c>
      <c r="AR20" s="54">
        <f>('2.1 Building inputs'!AH5-'2.1 Building inputs'!AH9)*'3.1 Building Energy'!AE8/1000000</f>
        <v>664.49766328203918</v>
      </c>
      <c r="AS20" s="54">
        <f>('2.1 Building inputs'!AI5-'2.1 Building inputs'!AI9)*'3.1 Building Energy'!AF8/1000000</f>
        <v>685.04305290713239</v>
      </c>
      <c r="AT20" s="54">
        <f>('2.1 Building inputs'!AJ5-'2.1 Building inputs'!AJ9)*'3.1 Building Energy'!AG8/1000000</f>
        <v>705.58844253222549</v>
      </c>
      <c r="AU20" s="54">
        <f>('2.1 Building inputs'!AK5-'2.1 Building inputs'!AK9)*'3.1 Building Energy'!AH8/1000000</f>
        <v>726.13383215731858</v>
      </c>
      <c r="AV20" s="54">
        <f>('2.1 Building inputs'!AL5-'2.1 Building inputs'!AL9)*'3.1 Building Energy'!AI8/1000000</f>
        <v>746.67922178241179</v>
      </c>
      <c r="AW20" s="54">
        <f>('2.1 Building inputs'!AM5-'2.1 Building inputs'!AM9)*'3.1 Building Energy'!AJ8/1000000</f>
        <v>767.22461140750488</v>
      </c>
      <c r="AX20" s="54">
        <f>('2.1 Building inputs'!AN5-'2.1 Building inputs'!AN9)*'3.1 Building Energy'!AK8/1000000</f>
        <v>787.77000103259797</v>
      </c>
    </row>
    <row r="21" spans="3:50"/>
    <row r="22" spans="3:50">
      <c r="D22" s="38" t="s">
        <v>1341</v>
      </c>
    </row>
    <row r="23" spans="3:50"/>
    <row r="24" spans="3:50">
      <c r="E24" s="38" t="s">
        <v>1342</v>
      </c>
      <c r="G24" s="44"/>
      <c r="H24"/>
      <c r="I24" s="44"/>
      <c r="J24"/>
      <c r="K24" s="44"/>
      <c r="L24"/>
      <c r="M24" s="44"/>
      <c r="O24" s="58">
        <f xml:space="preserve"> O10/(O10+O17)</f>
        <v>0.47924861392708912</v>
      </c>
      <c r="P24" s="58">
        <f t="shared" ref="P24:AX24" si="1" xml:space="preserve"> P10/(P10+P17)</f>
        <v>0.48080404855687675</v>
      </c>
      <c r="Q24" s="58">
        <f t="shared" si="1"/>
        <v>0.48234277730673719</v>
      </c>
      <c r="R24" s="58">
        <f t="shared" si="1"/>
        <v>0.4838650678790386</v>
      </c>
      <c r="S24" s="58">
        <f t="shared" si="1"/>
        <v>0.48590339550329287</v>
      </c>
      <c r="T24" s="58">
        <f t="shared" si="1"/>
        <v>0.48766805378628758</v>
      </c>
      <c r="U24" s="58">
        <f t="shared" si="1"/>
        <v>0.48857836611107336</v>
      </c>
      <c r="V24" s="58">
        <f t="shared" si="1"/>
        <v>0.4837868510215631</v>
      </c>
      <c r="W24" s="58">
        <f t="shared" si="1"/>
        <v>0.47509017199068049</v>
      </c>
      <c r="X24" s="58">
        <f t="shared" si="1"/>
        <v>0.46790857680855852</v>
      </c>
      <c r="Y24" s="58">
        <f t="shared" si="1"/>
        <v>0.46315436259880732</v>
      </c>
      <c r="Z24" s="58">
        <f t="shared" si="1"/>
        <v>0.46214057061189412</v>
      </c>
      <c r="AA24" s="58">
        <f t="shared" si="1"/>
        <v>0.46586701122438384</v>
      </c>
      <c r="AB24" s="58">
        <f t="shared" si="1"/>
        <v>0.46922019111417174</v>
      </c>
      <c r="AC24" s="58">
        <f t="shared" si="1"/>
        <v>0.48042415541321126</v>
      </c>
      <c r="AD24" s="58">
        <f t="shared" si="1"/>
        <v>0.49705606072141806</v>
      </c>
      <c r="AE24" s="58">
        <f t="shared" si="1"/>
        <v>0.51278632990915174</v>
      </c>
      <c r="AF24" s="58">
        <f t="shared" si="1"/>
        <v>0.52639963175065496</v>
      </c>
      <c r="AG24" s="58">
        <f t="shared" si="1"/>
        <v>0.53758825303317015</v>
      </c>
      <c r="AH24" s="58">
        <f t="shared" si="1"/>
        <v>0.5460840040258057</v>
      </c>
      <c r="AI24" s="58">
        <f t="shared" si="1"/>
        <v>0.54619117731699129</v>
      </c>
      <c r="AJ24" s="58">
        <f t="shared" si="1"/>
        <v>0.54630059828967448</v>
      </c>
      <c r="AK24" s="58">
        <f t="shared" si="1"/>
        <v>0.54642368716430356</v>
      </c>
      <c r="AL24" s="58">
        <f t="shared" si="1"/>
        <v>0.54655169595379149</v>
      </c>
      <c r="AM24" s="58">
        <f t="shared" si="1"/>
        <v>0.54667818623543352</v>
      </c>
      <c r="AN24" s="58">
        <f t="shared" si="1"/>
        <v>0.54680317112019439</v>
      </c>
      <c r="AO24" s="58">
        <f t="shared" si="1"/>
        <v>0.54692797747710686</v>
      </c>
      <c r="AP24" s="58">
        <f t="shared" si="1"/>
        <v>0.54705261019124662</v>
      </c>
      <c r="AQ24" s="58">
        <f t="shared" si="1"/>
        <v>0.54717707409052718</v>
      </c>
      <c r="AR24" s="58">
        <f t="shared" si="1"/>
        <v>0.54730137394681144</v>
      </c>
      <c r="AS24" s="58">
        <f t="shared" si="1"/>
        <v>0.54742551447699872</v>
      </c>
      <c r="AT24" s="58">
        <f t="shared" si="1"/>
        <v>0.54754950034409022</v>
      </c>
      <c r="AU24" s="58">
        <f t="shared" si="1"/>
        <v>0.54767333615823077</v>
      </c>
      <c r="AV24" s="58">
        <f t="shared" si="1"/>
        <v>0.54779702647772999</v>
      </c>
      <c r="AW24" s="58">
        <f t="shared" si="1"/>
        <v>0.54792057581006104</v>
      </c>
      <c r="AX24" s="58">
        <f t="shared" si="1"/>
        <v>0.54804398861283976</v>
      </c>
    </row>
    <row r="25" spans="3:50"/>
    <row r="26" spans="3:50">
      <c r="D26" s="38" t="s">
        <v>1343</v>
      </c>
    </row>
    <row r="27" spans="3:50"/>
    <row r="28" spans="3:50">
      <c r="E28" s="38" t="s">
        <v>142</v>
      </c>
      <c r="G28" s="44" t="s">
        <v>1202</v>
      </c>
      <c r="H28"/>
      <c r="I28" s="44"/>
      <c r="J28"/>
      <c r="K28" s="44"/>
      <c r="L28"/>
      <c r="M28" s="44"/>
      <c r="O28" s="54">
        <f>O10+O17</f>
        <v>20635.14615588382</v>
      </c>
      <c r="P28" s="54">
        <f t="shared" ref="P28:AX28" si="2">P10+P17</f>
        <v>20747.163388938119</v>
      </c>
      <c r="Q28" s="54">
        <f t="shared" si="2"/>
        <v>20859.180621992426</v>
      </c>
      <c r="R28" s="54">
        <f t="shared" si="2"/>
        <v>20971.197855046732</v>
      </c>
      <c r="S28" s="54">
        <f t="shared" si="2"/>
        <v>21060.077295716233</v>
      </c>
      <c r="T28" s="54">
        <f t="shared" si="2"/>
        <v>21093.585466153469</v>
      </c>
      <c r="U28" s="54">
        <f t="shared" si="2"/>
        <v>20996.714496101988</v>
      </c>
      <c r="V28" s="54">
        <f t="shared" si="2"/>
        <v>20575.05525806464</v>
      </c>
      <c r="W28" s="54">
        <f t="shared" si="2"/>
        <v>19736.130935371992</v>
      </c>
      <c r="X28" s="54">
        <f t="shared" si="2"/>
        <v>18665.565138007005</v>
      </c>
      <c r="Y28" s="54">
        <f t="shared" si="2"/>
        <v>17623.618872122148</v>
      </c>
      <c r="Z28" s="54">
        <f t="shared" si="2"/>
        <v>16603.798251702741</v>
      </c>
      <c r="AA28" s="54">
        <f t="shared" si="2"/>
        <v>15630.073384720108</v>
      </c>
      <c r="AB28" s="54">
        <f t="shared" si="2"/>
        <v>14918.30914904159</v>
      </c>
      <c r="AC28" s="54">
        <f t="shared" si="2"/>
        <v>14310.696696542578</v>
      </c>
      <c r="AD28" s="54">
        <f t="shared" si="2"/>
        <v>13836.147300638704</v>
      </c>
      <c r="AE28" s="54">
        <f t="shared" si="2"/>
        <v>13463.310570148868</v>
      </c>
      <c r="AF28" s="54">
        <f t="shared" si="2"/>
        <v>13165.516248916694</v>
      </c>
      <c r="AG28" s="54">
        <f t="shared" si="2"/>
        <v>12940.953791669548</v>
      </c>
      <c r="AH28" s="54">
        <f t="shared" si="2"/>
        <v>12788.411806313439</v>
      </c>
      <c r="AI28" s="54">
        <f t="shared" si="2"/>
        <v>12835.121382768171</v>
      </c>
      <c r="AJ28" s="54">
        <f t="shared" si="2"/>
        <v>12881.951294514878</v>
      </c>
      <c r="AK28" s="54">
        <f t="shared" si="2"/>
        <v>12928.442401185042</v>
      </c>
      <c r="AL28" s="54">
        <f t="shared" si="2"/>
        <v>12975.134272088486</v>
      </c>
      <c r="AM28" s="54">
        <f t="shared" si="2"/>
        <v>13021.843788380578</v>
      </c>
      <c r="AN28" s="54">
        <f t="shared" si="2"/>
        <v>13068.571013610359</v>
      </c>
      <c r="AO28" s="54">
        <f t="shared" si="2"/>
        <v>13115.284503203249</v>
      </c>
      <c r="AP28" s="54">
        <f t="shared" si="2"/>
        <v>13161.984194760447</v>
      </c>
      <c r="AQ28" s="54">
        <f t="shared" si="2"/>
        <v>13208.670025625697</v>
      </c>
      <c r="AR28" s="54">
        <f t="shared" si="2"/>
        <v>13255.341932884081</v>
      </c>
      <c r="AS28" s="54">
        <f t="shared" si="2"/>
        <v>13301.999853360816</v>
      </c>
      <c r="AT28" s="54">
        <f t="shared" si="2"/>
        <v>13348.643723620014</v>
      </c>
      <c r="AU28" s="54">
        <f t="shared" si="2"/>
        <v>13395.273479963467</v>
      </c>
      <c r="AV28" s="54">
        <f t="shared" si="2"/>
        <v>13441.8890584294</v>
      </c>
      <c r="AW28" s="54">
        <f t="shared" si="2"/>
        <v>13488.490394791237</v>
      </c>
      <c r="AX28" s="54">
        <f t="shared" si="2"/>
        <v>13535.077424556352</v>
      </c>
    </row>
    <row r="29" spans="3:50"/>
    <row r="30" spans="3:50">
      <c r="E30" s="38" t="s">
        <v>1248</v>
      </c>
      <c r="G30" s="44" t="s">
        <v>1202</v>
      </c>
      <c r="H30"/>
      <c r="I30" s="44"/>
      <c r="J30"/>
      <c r="K30" s="44"/>
      <c r="L30"/>
      <c r="M30" s="44"/>
      <c r="O30" s="54">
        <f>SUM(O19+O12)</f>
        <v>20635.14615588382</v>
      </c>
      <c r="P30" s="54">
        <f>SUM(P19+P12)</f>
        <v>20635.146155883816</v>
      </c>
      <c r="Q30" s="54">
        <f t="shared" ref="Q30:AX30" si="3">SUM(Q19+Q12)</f>
        <v>20635.146155883816</v>
      </c>
      <c r="R30" s="54">
        <f t="shared" si="3"/>
        <v>20635.14615588382</v>
      </c>
      <c r="S30" s="54">
        <f t="shared" si="3"/>
        <v>20612.01095137727</v>
      </c>
      <c r="T30" s="54">
        <f t="shared" si="3"/>
        <v>20537.115869434259</v>
      </c>
      <c r="U30" s="54">
        <f t="shared" si="3"/>
        <v>20353.132667386028</v>
      </c>
      <c r="V30" s="54">
        <f t="shared" si="3"/>
        <v>19876.932911528409</v>
      </c>
      <c r="W30" s="54">
        <f t="shared" si="3"/>
        <v>19015.618975247053</v>
      </c>
      <c r="X30" s="54">
        <f t="shared" si="3"/>
        <v>17930.340720640779</v>
      </c>
      <c r="Y30" s="54">
        <f t="shared" si="3"/>
        <v>16865.277081257613</v>
      </c>
      <c r="Z30" s="54">
        <f t="shared" si="3"/>
        <v>15831.474543801651</v>
      </c>
      <c r="AA30" s="54">
        <f t="shared" si="3"/>
        <v>14832.291228618145</v>
      </c>
      <c r="AB30" s="54">
        <f t="shared" si="3"/>
        <v>14082.08689686117</v>
      </c>
      <c r="AC30" s="54">
        <f t="shared" si="3"/>
        <v>13417.561873778766</v>
      </c>
      <c r="AD30" s="54">
        <f t="shared" si="3"/>
        <v>12871.149093972876</v>
      </c>
      <c r="AE30" s="54">
        <f t="shared" si="3"/>
        <v>12451.636434587408</v>
      </c>
      <c r="AF30" s="54">
        <f t="shared" si="3"/>
        <v>12107.159051335824</v>
      </c>
      <c r="AG30" s="54">
        <f t="shared" si="3"/>
        <v>11835.906398945499</v>
      </c>
      <c r="AH30" s="54">
        <f t="shared" si="3"/>
        <v>11636.667085322431</v>
      </c>
      <c r="AI30" s="54">
        <f t="shared" si="3"/>
        <v>11636.650993614534</v>
      </c>
      <c r="AJ30" s="54">
        <f t="shared" si="3"/>
        <v>11636.74290163047</v>
      </c>
      <c r="AK30" s="54">
        <f t="shared" si="3"/>
        <v>11636.49578938111</v>
      </c>
      <c r="AL30" s="54">
        <f t="shared" si="3"/>
        <v>11636.427645123087</v>
      </c>
      <c r="AM30" s="54">
        <f t="shared" si="3"/>
        <v>11636.376931064959</v>
      </c>
      <c r="AN30" s="54">
        <f t="shared" si="3"/>
        <v>11636.343710755758</v>
      </c>
      <c r="AO30" s="54">
        <f t="shared" si="3"/>
        <v>11636.296539620913</v>
      </c>
      <c r="AP30" s="54">
        <f t="shared" si="3"/>
        <v>11636.235355261615</v>
      </c>
      <c r="AQ30" s="54">
        <f t="shared" si="3"/>
        <v>11636.160095021616</v>
      </c>
      <c r="AR30" s="54">
        <f t="shared" si="3"/>
        <v>11636.070695985993</v>
      </c>
      <c r="AS30" s="54">
        <f t="shared" si="3"/>
        <v>11635.967094979962</v>
      </c>
      <c r="AT30" s="54">
        <f t="shared" si="3"/>
        <v>11635.84922856764</v>
      </c>
      <c r="AU30" s="54">
        <f t="shared" si="3"/>
        <v>11635.717033050812</v>
      </c>
      <c r="AV30" s="54">
        <f t="shared" si="3"/>
        <v>11635.57044446771</v>
      </c>
      <c r="AW30" s="54">
        <f t="shared" si="3"/>
        <v>11635.409398591753</v>
      </c>
      <c r="AX30" s="54">
        <f t="shared" si="3"/>
        <v>11635.23383093032</v>
      </c>
    </row>
    <row r="31" spans="3:50">
      <c r="E31" s="38" t="s">
        <v>1340</v>
      </c>
      <c r="G31" s="44" t="s">
        <v>1202</v>
      </c>
      <c r="H31"/>
      <c r="I31" s="44"/>
      <c r="J31"/>
      <c r="K31" s="44"/>
      <c r="L31"/>
      <c r="M31" s="44"/>
      <c r="O31" s="54">
        <f>SUM(O20+O13)</f>
        <v>0</v>
      </c>
      <c r="P31" s="54">
        <f t="shared" ref="P31:AX31" si="4">SUM(P20+P13)</f>
        <v>113.3215135961358</v>
      </c>
      <c r="Q31" s="54">
        <f t="shared" si="4"/>
        <v>226.64302719227081</v>
      </c>
      <c r="R31" s="54">
        <f t="shared" si="4"/>
        <v>339.96454078840515</v>
      </c>
      <c r="S31" s="54">
        <f t="shared" si="4"/>
        <v>453.28346650628225</v>
      </c>
      <c r="T31" s="54">
        <f t="shared" si="4"/>
        <v>562.99473058583692</v>
      </c>
      <c r="U31" s="54">
        <f t="shared" si="4"/>
        <v>651.41497428189814</v>
      </c>
      <c r="V31" s="54">
        <f t="shared" si="4"/>
        <v>707.26350380147414</v>
      </c>
      <c r="W31" s="54">
        <f t="shared" si="4"/>
        <v>730.96112908948976</v>
      </c>
      <c r="X31" s="54">
        <f t="shared" si="4"/>
        <v>746.9815980300865</v>
      </c>
      <c r="Y31" s="54">
        <f t="shared" si="4"/>
        <v>771.40698322770686</v>
      </c>
      <c r="Z31" s="54">
        <f t="shared" si="4"/>
        <v>786.3680864777798</v>
      </c>
      <c r="AA31" s="54">
        <f t="shared" si="4"/>
        <v>812.80572089216878</v>
      </c>
      <c r="AB31" s="54">
        <f t="shared" si="4"/>
        <v>852.22500318414438</v>
      </c>
      <c r="AC31" s="54">
        <f t="shared" si="4"/>
        <v>910.11675998105329</v>
      </c>
      <c r="AD31" s="54">
        <f t="shared" si="4"/>
        <v>982.9593300965887</v>
      </c>
      <c r="AE31" s="54">
        <f t="shared" si="4"/>
        <v>1030.6144452057401</v>
      </c>
      <c r="AF31" s="54">
        <f t="shared" si="4"/>
        <v>1078.2766934386673</v>
      </c>
      <c r="AG31" s="54">
        <f t="shared" si="4"/>
        <v>1125.9460747953658</v>
      </c>
      <c r="AH31" s="54">
        <f t="shared" si="4"/>
        <v>1173.6225892758398</v>
      </c>
      <c r="AI31" s="54">
        <f t="shared" si="4"/>
        <v>1221.3274436519896</v>
      </c>
      <c r="AJ31" s="54">
        <f t="shared" si="4"/>
        <v>1269.0446335962786</v>
      </c>
      <c r="AK31" s="54">
        <f t="shared" si="4"/>
        <v>1316.7620387293218</v>
      </c>
      <c r="AL31" s="54">
        <f t="shared" si="4"/>
        <v>1364.5012401043061</v>
      </c>
      <c r="AM31" s="54">
        <f t="shared" si="4"/>
        <v>1412.2406566680461</v>
      </c>
      <c r="AN31" s="54">
        <f t="shared" si="4"/>
        <v>1459.9802884205449</v>
      </c>
      <c r="AO31" s="54">
        <f t="shared" si="4"/>
        <v>1507.7201353617991</v>
      </c>
      <c r="AP31" s="54">
        <f t="shared" si="4"/>
        <v>1555.4601974918105</v>
      </c>
      <c r="AQ31" s="54">
        <f t="shared" si="4"/>
        <v>1603.2004748105794</v>
      </c>
      <c r="AR31" s="54">
        <f t="shared" si="4"/>
        <v>1650.9409673181042</v>
      </c>
      <c r="AS31" s="54">
        <f t="shared" si="4"/>
        <v>1698.6816750143871</v>
      </c>
      <c r="AT31" s="54">
        <f t="shared" si="4"/>
        <v>1746.4225978994277</v>
      </c>
      <c r="AU31" s="54">
        <f t="shared" si="4"/>
        <v>1794.1637359732249</v>
      </c>
      <c r="AV31" s="54">
        <f t="shared" si="4"/>
        <v>1841.9050892357811</v>
      </c>
      <c r="AW31" s="54">
        <f t="shared" si="4"/>
        <v>1889.6466576870928</v>
      </c>
      <c r="AX31" s="54">
        <f t="shared" si="4"/>
        <v>1937.3884413271589</v>
      </c>
    </row>
    <row r="32" spans="3:50">
      <c r="O32" s="59"/>
      <c r="P32" s="59"/>
      <c r="Q32" s="59"/>
      <c r="R32" s="59"/>
      <c r="S32" s="59"/>
      <c r="T32" s="59"/>
      <c r="U32" s="59"/>
      <c r="V32" s="59"/>
      <c r="W32" s="59"/>
      <c r="X32" s="59"/>
      <c r="Y32" s="59"/>
      <c r="Z32" s="59"/>
      <c r="AA32" s="59"/>
      <c r="AB32" s="59"/>
      <c r="AC32" s="59"/>
      <c r="AD32" s="59"/>
      <c r="AE32" s="59"/>
      <c r="AF32" s="59"/>
      <c r="AG32" s="59"/>
      <c r="AH32" s="59"/>
      <c r="AI32" s="59"/>
      <c r="AJ32" s="59"/>
      <c r="AK32" s="59"/>
      <c r="AL32" s="59"/>
      <c r="AM32" s="59"/>
      <c r="AN32" s="59"/>
      <c r="AO32" s="59"/>
      <c r="AP32" s="59"/>
      <c r="AQ32" s="59"/>
      <c r="AR32" s="59"/>
      <c r="AS32" s="59"/>
      <c r="AT32" s="59"/>
      <c r="AU32" s="59"/>
      <c r="AV32" s="59"/>
      <c r="AW32" s="59"/>
      <c r="AX32" s="59"/>
    </row>
    <row r="33" spans="3:50" s="43" customFormat="1">
      <c r="C33" s="43" t="s">
        <v>1344</v>
      </c>
      <c r="O33" s="71"/>
      <c r="P33" s="71"/>
      <c r="Q33" s="71"/>
      <c r="R33" s="71"/>
      <c r="S33" s="71"/>
      <c r="T33" s="71"/>
      <c r="U33" s="71"/>
      <c r="V33" s="71"/>
      <c r="W33" s="71"/>
      <c r="X33" s="71"/>
      <c r="Y33" s="71"/>
      <c r="Z33" s="71"/>
      <c r="AA33" s="71"/>
      <c r="AB33" s="71"/>
      <c r="AC33" s="71"/>
      <c r="AD33" s="71"/>
      <c r="AE33" s="71"/>
      <c r="AF33" s="71"/>
      <c r="AG33" s="71"/>
      <c r="AH33" s="71"/>
      <c r="AI33" s="71"/>
      <c r="AJ33" s="71"/>
      <c r="AK33" s="71"/>
      <c r="AL33" s="71"/>
      <c r="AM33" s="71"/>
      <c r="AN33" s="71"/>
      <c r="AO33" s="71"/>
      <c r="AP33" s="71"/>
      <c r="AQ33" s="71"/>
      <c r="AR33" s="71"/>
      <c r="AS33" s="71"/>
      <c r="AT33" s="71"/>
      <c r="AU33" s="71"/>
      <c r="AV33" s="71"/>
      <c r="AW33" s="71"/>
      <c r="AX33" s="71"/>
    </row>
    <row r="34" spans="3:50">
      <c r="O34" s="59"/>
      <c r="P34" s="59"/>
      <c r="Q34" s="59"/>
      <c r="R34" s="59"/>
      <c r="S34" s="59"/>
      <c r="T34" s="59"/>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row>
    <row r="35" spans="3:50">
      <c r="D35" s="38" t="s">
        <v>157</v>
      </c>
      <c r="O35" s="59"/>
      <c r="P35" s="59"/>
      <c r="Q35" s="59"/>
      <c r="R35" s="59"/>
      <c r="S35" s="59"/>
      <c r="T35" s="59"/>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row>
    <row r="36" spans="3:50">
      <c r="C36" s="38" t="s">
        <v>1345</v>
      </c>
      <c r="O36" s="59"/>
      <c r="P36" s="59"/>
      <c r="Q36" s="59"/>
      <c r="R36" s="59"/>
      <c r="S36" s="59"/>
      <c r="T36" s="59"/>
      <c r="U36" s="59"/>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59"/>
      <c r="AU36" s="59"/>
      <c r="AV36" s="59"/>
      <c r="AW36" s="59"/>
      <c r="AX36" s="59"/>
    </row>
    <row r="37" spans="3:50">
      <c r="E37" s="38" t="s">
        <v>774</v>
      </c>
      <c r="G37" s="44"/>
      <c r="H37"/>
      <c r="I37" s="44"/>
      <c r="J37"/>
      <c r="K37" s="44"/>
      <c r="L37"/>
      <c r="M37" s="44"/>
      <c r="O37" s="57">
        <f>'3.1 Building Energy'!B26</f>
        <v>1</v>
      </c>
      <c r="P37" s="57">
        <f>'3.1 Building Energy'!C26</f>
        <v>1</v>
      </c>
      <c r="Q37" s="57">
        <f>'3.1 Building Energy'!D26</f>
        <v>1</v>
      </c>
      <c r="R37" s="57">
        <f>'3.1 Building Energy'!E26</f>
        <v>1</v>
      </c>
      <c r="S37" s="57">
        <f>'3.1 Building Energy'!F26</f>
        <v>1</v>
      </c>
      <c r="T37" s="57">
        <f>'3.1 Building Energy'!G26</f>
        <v>1</v>
      </c>
      <c r="U37" s="57">
        <f>'3.1 Building Energy'!H26</f>
        <v>1</v>
      </c>
      <c r="V37" s="57">
        <f>'3.1 Building Energy'!I26</f>
        <v>1</v>
      </c>
      <c r="W37" s="57">
        <f>'3.1 Building Energy'!J26</f>
        <v>1</v>
      </c>
      <c r="X37" s="57">
        <f>'3.1 Building Energy'!K26</f>
        <v>1</v>
      </c>
      <c r="Y37" s="57">
        <f>'3.1 Building Energy'!L26</f>
        <v>1</v>
      </c>
      <c r="Z37" s="57">
        <f>'3.1 Building Energy'!M26</f>
        <v>1</v>
      </c>
      <c r="AA37" s="57">
        <f>'3.1 Building Energy'!N26</f>
        <v>1</v>
      </c>
      <c r="AB37" s="57">
        <f>'3.1 Building Energy'!O26</f>
        <v>1</v>
      </c>
      <c r="AC37" s="57">
        <f>'3.1 Building Energy'!P26</f>
        <v>1</v>
      </c>
      <c r="AD37" s="57">
        <f>'3.1 Building Energy'!Q26</f>
        <v>1</v>
      </c>
      <c r="AE37" s="57">
        <f>'3.1 Building Energy'!R26</f>
        <v>1</v>
      </c>
      <c r="AF37" s="57">
        <f>'3.1 Building Energy'!S26</f>
        <v>1</v>
      </c>
      <c r="AG37" s="57">
        <f>'3.1 Building Energy'!T26</f>
        <v>1</v>
      </c>
      <c r="AH37" s="57">
        <f>'3.1 Building Energy'!U26</f>
        <v>1</v>
      </c>
      <c r="AI37" s="57">
        <f>'3.1 Building Energy'!V26</f>
        <v>1</v>
      </c>
      <c r="AJ37" s="57">
        <f>'3.1 Building Energy'!W26</f>
        <v>1</v>
      </c>
      <c r="AK37" s="57">
        <f>'3.1 Building Energy'!X26</f>
        <v>1</v>
      </c>
      <c r="AL37" s="57">
        <f>'3.1 Building Energy'!Y26</f>
        <v>1</v>
      </c>
      <c r="AM37" s="57">
        <f>'3.1 Building Energy'!Z26</f>
        <v>1</v>
      </c>
      <c r="AN37" s="57">
        <f>'3.1 Building Energy'!AA26</f>
        <v>1</v>
      </c>
      <c r="AO37" s="57">
        <f>'3.1 Building Energy'!AB26</f>
        <v>1</v>
      </c>
      <c r="AP37" s="57">
        <f>'3.1 Building Energy'!AC26</f>
        <v>1</v>
      </c>
      <c r="AQ37" s="57">
        <f>'3.1 Building Energy'!AD26</f>
        <v>1</v>
      </c>
      <c r="AR37" s="57">
        <f>'3.1 Building Energy'!AE26</f>
        <v>1</v>
      </c>
      <c r="AS37" s="57">
        <f>'3.1 Building Energy'!AF26</f>
        <v>1</v>
      </c>
      <c r="AT37" s="57">
        <f>'3.1 Building Energy'!AG26</f>
        <v>1</v>
      </c>
      <c r="AU37" s="57">
        <f>'3.1 Building Energy'!AH26</f>
        <v>1</v>
      </c>
      <c r="AV37" s="57">
        <f>'3.1 Building Energy'!AI26</f>
        <v>1</v>
      </c>
      <c r="AW37" s="57">
        <f>'3.1 Building Energy'!AJ26</f>
        <v>1</v>
      </c>
      <c r="AX37" s="57">
        <f>'3.1 Building Energy'!AK26</f>
        <v>1</v>
      </c>
    </row>
    <row r="38" spans="3:50">
      <c r="E38" s="38" t="s">
        <v>776</v>
      </c>
      <c r="G38" s="44"/>
      <c r="H38"/>
      <c r="I38" s="44"/>
      <c r="J38"/>
      <c r="K38" s="44"/>
      <c r="L38"/>
      <c r="M38" s="44"/>
      <c r="O38" s="57">
        <f>'3.1 Building Energy'!B27</f>
        <v>1</v>
      </c>
      <c r="P38" s="57">
        <f>'3.1 Building Energy'!C27</f>
        <v>1</v>
      </c>
      <c r="Q38" s="57">
        <f>'3.1 Building Energy'!D27</f>
        <v>1</v>
      </c>
      <c r="R38" s="57">
        <f>'3.1 Building Energy'!E27</f>
        <v>1</v>
      </c>
      <c r="S38" s="57">
        <f>'3.1 Building Energy'!F27</f>
        <v>1</v>
      </c>
      <c r="T38" s="57">
        <f>'3.1 Building Energy'!G27</f>
        <v>1</v>
      </c>
      <c r="U38" s="57">
        <f>'3.1 Building Energy'!H27</f>
        <v>1</v>
      </c>
      <c r="V38" s="57">
        <f>'3.1 Building Energy'!I27</f>
        <v>1</v>
      </c>
      <c r="W38" s="57">
        <f>'3.1 Building Energy'!J27</f>
        <v>1</v>
      </c>
      <c r="X38" s="57">
        <f>'3.1 Building Energy'!K27</f>
        <v>1</v>
      </c>
      <c r="Y38" s="57">
        <f>'3.1 Building Energy'!L27</f>
        <v>1</v>
      </c>
      <c r="Z38" s="57">
        <f>'3.1 Building Energy'!M27</f>
        <v>1</v>
      </c>
      <c r="AA38" s="57">
        <f>'3.1 Building Energy'!N27</f>
        <v>1</v>
      </c>
      <c r="AB38" s="57">
        <f>'3.1 Building Energy'!O27</f>
        <v>1</v>
      </c>
      <c r="AC38" s="57">
        <f>'3.1 Building Energy'!P27</f>
        <v>1</v>
      </c>
      <c r="AD38" s="57">
        <f>'3.1 Building Energy'!Q27</f>
        <v>1</v>
      </c>
      <c r="AE38" s="57">
        <f>'3.1 Building Energy'!R27</f>
        <v>1</v>
      </c>
      <c r="AF38" s="57">
        <f>'3.1 Building Energy'!S27</f>
        <v>1</v>
      </c>
      <c r="AG38" s="57">
        <f>'3.1 Building Energy'!T27</f>
        <v>1</v>
      </c>
      <c r="AH38" s="57">
        <f>'3.1 Building Energy'!U27</f>
        <v>1</v>
      </c>
      <c r="AI38" s="57">
        <f>'3.1 Building Energy'!V27</f>
        <v>1</v>
      </c>
      <c r="AJ38" s="57">
        <f>'3.1 Building Energy'!W27</f>
        <v>1</v>
      </c>
      <c r="AK38" s="57">
        <f>'3.1 Building Energy'!X27</f>
        <v>1</v>
      </c>
      <c r="AL38" s="57">
        <f>'3.1 Building Energy'!Y27</f>
        <v>1</v>
      </c>
      <c r="AM38" s="57">
        <f>'3.1 Building Energy'!Z27</f>
        <v>1</v>
      </c>
      <c r="AN38" s="57">
        <f>'3.1 Building Energy'!AA27</f>
        <v>1</v>
      </c>
      <c r="AO38" s="57">
        <f>'3.1 Building Energy'!AB27</f>
        <v>1</v>
      </c>
      <c r="AP38" s="57">
        <f>'3.1 Building Energy'!AC27</f>
        <v>1</v>
      </c>
      <c r="AQ38" s="57">
        <f>'3.1 Building Energy'!AD27</f>
        <v>1</v>
      </c>
      <c r="AR38" s="57">
        <f>'3.1 Building Energy'!AE27</f>
        <v>1</v>
      </c>
      <c r="AS38" s="57">
        <f>'3.1 Building Energy'!AF27</f>
        <v>1</v>
      </c>
      <c r="AT38" s="57">
        <f>'3.1 Building Energy'!AG27</f>
        <v>1</v>
      </c>
      <c r="AU38" s="57">
        <f>'3.1 Building Energy'!AH27</f>
        <v>1</v>
      </c>
      <c r="AV38" s="57">
        <f>'3.1 Building Energy'!AI27</f>
        <v>1</v>
      </c>
      <c r="AW38" s="57">
        <f>'3.1 Building Energy'!AJ27</f>
        <v>1</v>
      </c>
      <c r="AX38" s="57">
        <f>'3.1 Building Energy'!AK27</f>
        <v>1</v>
      </c>
    </row>
    <row r="39" spans="3:50">
      <c r="E39" s="38" t="s">
        <v>346</v>
      </c>
      <c r="G39" s="44"/>
      <c r="H39"/>
      <c r="I39" s="44"/>
      <c r="J39"/>
      <c r="K39" s="44"/>
      <c r="L39"/>
      <c r="M39" s="44"/>
      <c r="O39" s="57">
        <f>'3.1 Building Energy'!B28</f>
        <v>1</v>
      </c>
      <c r="P39" s="57">
        <f>'3.1 Building Energy'!C28</f>
        <v>1</v>
      </c>
      <c r="Q39" s="57">
        <f>'3.1 Building Energy'!D28</f>
        <v>1</v>
      </c>
      <c r="R39" s="57">
        <f>'3.1 Building Energy'!E28</f>
        <v>1</v>
      </c>
      <c r="S39" s="57">
        <f>'3.1 Building Energy'!F28</f>
        <v>1</v>
      </c>
      <c r="T39" s="57">
        <f>'3.1 Building Energy'!G28</f>
        <v>1</v>
      </c>
      <c r="U39" s="57">
        <f>'3.1 Building Energy'!H28</f>
        <v>1</v>
      </c>
      <c r="V39" s="57">
        <f>'3.1 Building Energy'!I28</f>
        <v>1</v>
      </c>
      <c r="W39" s="57">
        <f>'3.1 Building Energy'!J28</f>
        <v>1</v>
      </c>
      <c r="X39" s="57">
        <f>'3.1 Building Energy'!K28</f>
        <v>1</v>
      </c>
      <c r="Y39" s="57">
        <f>'3.1 Building Energy'!L28</f>
        <v>1</v>
      </c>
      <c r="Z39" s="57">
        <f>'3.1 Building Energy'!M28</f>
        <v>1</v>
      </c>
      <c r="AA39" s="57">
        <f>'3.1 Building Energy'!N28</f>
        <v>1</v>
      </c>
      <c r="AB39" s="57">
        <f>'3.1 Building Energy'!O28</f>
        <v>1</v>
      </c>
      <c r="AC39" s="57">
        <f>'3.1 Building Energy'!P28</f>
        <v>1</v>
      </c>
      <c r="AD39" s="57">
        <f>'3.1 Building Energy'!Q28</f>
        <v>1</v>
      </c>
      <c r="AE39" s="57">
        <f>'3.1 Building Energy'!R28</f>
        <v>1</v>
      </c>
      <c r="AF39" s="57">
        <f>'3.1 Building Energy'!S28</f>
        <v>1</v>
      </c>
      <c r="AG39" s="57">
        <f>'3.1 Building Energy'!T28</f>
        <v>1</v>
      </c>
      <c r="AH39" s="57">
        <f>'3.1 Building Energy'!U28</f>
        <v>1</v>
      </c>
      <c r="AI39" s="57">
        <f>'3.1 Building Energy'!V28</f>
        <v>1</v>
      </c>
      <c r="AJ39" s="57">
        <f>'3.1 Building Energy'!W28</f>
        <v>1</v>
      </c>
      <c r="AK39" s="57">
        <f>'3.1 Building Energy'!X28</f>
        <v>1</v>
      </c>
      <c r="AL39" s="57">
        <f>'3.1 Building Energy'!Y28</f>
        <v>1</v>
      </c>
      <c r="AM39" s="57">
        <f>'3.1 Building Energy'!Z28</f>
        <v>1</v>
      </c>
      <c r="AN39" s="57">
        <f>'3.1 Building Energy'!AA28</f>
        <v>1</v>
      </c>
      <c r="AO39" s="57">
        <f>'3.1 Building Energy'!AB28</f>
        <v>1</v>
      </c>
      <c r="AP39" s="57">
        <f>'3.1 Building Energy'!AC28</f>
        <v>1</v>
      </c>
      <c r="AQ39" s="57">
        <f>'3.1 Building Energy'!AD28</f>
        <v>1</v>
      </c>
      <c r="AR39" s="57">
        <f>'3.1 Building Energy'!AE28</f>
        <v>1</v>
      </c>
      <c r="AS39" s="57">
        <f>'3.1 Building Energy'!AF28</f>
        <v>1</v>
      </c>
      <c r="AT39" s="57">
        <f>'3.1 Building Energy'!AG28</f>
        <v>1</v>
      </c>
      <c r="AU39" s="57">
        <f>'3.1 Building Energy'!AH28</f>
        <v>1</v>
      </c>
      <c r="AV39" s="57">
        <f>'3.1 Building Energy'!AI28</f>
        <v>1</v>
      </c>
      <c r="AW39" s="57">
        <f>'3.1 Building Energy'!AJ28</f>
        <v>1</v>
      </c>
      <c r="AX39" s="57">
        <f>'3.1 Building Energy'!AK28</f>
        <v>1</v>
      </c>
    </row>
    <row r="40" spans="3:50">
      <c r="E40" s="38" t="s">
        <v>219</v>
      </c>
      <c r="G40" s="44"/>
      <c r="H40"/>
      <c r="I40" s="44"/>
      <c r="J40"/>
      <c r="K40" s="44"/>
      <c r="L40"/>
      <c r="M40" s="44"/>
      <c r="O40" s="57">
        <f>'3.1 Building Energy'!B29</f>
        <v>1</v>
      </c>
      <c r="P40" s="57">
        <f>'3.1 Building Energy'!C29</f>
        <v>1</v>
      </c>
      <c r="Q40" s="57">
        <f>'3.1 Building Energy'!D29</f>
        <v>1</v>
      </c>
      <c r="R40" s="57">
        <f>'3.1 Building Energy'!E29</f>
        <v>1</v>
      </c>
      <c r="S40" s="57">
        <f>'3.1 Building Energy'!F29</f>
        <v>1</v>
      </c>
      <c r="T40" s="57">
        <f>'3.1 Building Energy'!G29</f>
        <v>1</v>
      </c>
      <c r="U40" s="57">
        <f>'3.1 Building Energy'!H29</f>
        <v>1</v>
      </c>
      <c r="V40" s="57">
        <f>'3.1 Building Energy'!I29</f>
        <v>1</v>
      </c>
      <c r="W40" s="57">
        <f>'3.1 Building Energy'!J29</f>
        <v>1</v>
      </c>
      <c r="X40" s="57">
        <f>'3.1 Building Energy'!K29</f>
        <v>1</v>
      </c>
      <c r="Y40" s="57">
        <f>'3.1 Building Energy'!L29</f>
        <v>1</v>
      </c>
      <c r="Z40" s="57">
        <f>'3.1 Building Energy'!M29</f>
        <v>1</v>
      </c>
      <c r="AA40" s="57">
        <f>'3.1 Building Energy'!N29</f>
        <v>1</v>
      </c>
      <c r="AB40" s="57">
        <f>'3.1 Building Energy'!O29</f>
        <v>1</v>
      </c>
      <c r="AC40" s="57">
        <f>'3.1 Building Energy'!P29</f>
        <v>1</v>
      </c>
      <c r="AD40" s="57">
        <f>'3.1 Building Energy'!Q29</f>
        <v>1</v>
      </c>
      <c r="AE40" s="57">
        <f>'3.1 Building Energy'!R29</f>
        <v>1</v>
      </c>
      <c r="AF40" s="57">
        <f>'3.1 Building Energy'!S29</f>
        <v>1</v>
      </c>
      <c r="AG40" s="57">
        <f>'3.1 Building Energy'!T29</f>
        <v>1</v>
      </c>
      <c r="AH40" s="57">
        <f>'3.1 Building Energy'!U29</f>
        <v>1</v>
      </c>
      <c r="AI40" s="57">
        <f>'3.1 Building Energy'!V29</f>
        <v>1</v>
      </c>
      <c r="AJ40" s="57">
        <f>'3.1 Building Energy'!W29</f>
        <v>1</v>
      </c>
      <c r="AK40" s="57">
        <f>'3.1 Building Energy'!X29</f>
        <v>1</v>
      </c>
      <c r="AL40" s="57">
        <f>'3.1 Building Energy'!Y29</f>
        <v>1</v>
      </c>
      <c r="AM40" s="57">
        <f>'3.1 Building Energy'!Z29</f>
        <v>1</v>
      </c>
      <c r="AN40" s="57">
        <f>'3.1 Building Energy'!AA29</f>
        <v>1</v>
      </c>
      <c r="AO40" s="57">
        <f>'3.1 Building Energy'!AB29</f>
        <v>1</v>
      </c>
      <c r="AP40" s="57">
        <f>'3.1 Building Energy'!AC29</f>
        <v>1</v>
      </c>
      <c r="AQ40" s="57">
        <f>'3.1 Building Energy'!AD29</f>
        <v>1</v>
      </c>
      <c r="AR40" s="57">
        <f>'3.1 Building Energy'!AE29</f>
        <v>1</v>
      </c>
      <c r="AS40" s="57">
        <f>'3.1 Building Energy'!AF29</f>
        <v>1</v>
      </c>
      <c r="AT40" s="57">
        <f>'3.1 Building Energy'!AG29</f>
        <v>1</v>
      </c>
      <c r="AU40" s="57">
        <f>'3.1 Building Energy'!AH29</f>
        <v>1</v>
      </c>
      <c r="AV40" s="57">
        <f>'3.1 Building Energy'!AI29</f>
        <v>1</v>
      </c>
      <c r="AW40" s="57">
        <f>'3.1 Building Energy'!AJ29</f>
        <v>1</v>
      </c>
      <c r="AX40" s="57">
        <f>'3.1 Building Energy'!AK29</f>
        <v>1</v>
      </c>
    </row>
    <row r="41" spans="3:50">
      <c r="E41" s="38" t="s">
        <v>476</v>
      </c>
      <c r="G41" s="44"/>
      <c r="H41"/>
      <c r="I41" s="44"/>
      <c r="J41"/>
      <c r="K41" s="44"/>
      <c r="L41"/>
      <c r="M41" s="44"/>
      <c r="O41" s="57">
        <f>'3.1 Building Energy'!B30</f>
        <v>1</v>
      </c>
      <c r="P41" s="57">
        <f>'3.1 Building Energy'!C30</f>
        <v>1</v>
      </c>
      <c r="Q41" s="57">
        <f>'3.1 Building Energy'!D30</f>
        <v>1</v>
      </c>
      <c r="R41" s="57">
        <f>'3.1 Building Energy'!E30</f>
        <v>1</v>
      </c>
      <c r="S41" s="57">
        <f>'3.1 Building Energy'!F30</f>
        <v>1</v>
      </c>
      <c r="T41" s="57">
        <f>'3.1 Building Energy'!G30</f>
        <v>1</v>
      </c>
      <c r="U41" s="57">
        <f>'3.1 Building Energy'!H30</f>
        <v>1</v>
      </c>
      <c r="V41" s="57">
        <f>'3.1 Building Energy'!I30</f>
        <v>1</v>
      </c>
      <c r="W41" s="57">
        <f>'3.1 Building Energy'!J30</f>
        <v>1</v>
      </c>
      <c r="X41" s="57">
        <f>'3.1 Building Energy'!K30</f>
        <v>1</v>
      </c>
      <c r="Y41" s="57">
        <f>'3.1 Building Energy'!L30</f>
        <v>1</v>
      </c>
      <c r="Z41" s="57">
        <f>'3.1 Building Energy'!M30</f>
        <v>1</v>
      </c>
      <c r="AA41" s="57">
        <f>'3.1 Building Energy'!N30</f>
        <v>1</v>
      </c>
      <c r="AB41" s="57">
        <f>'3.1 Building Energy'!O30</f>
        <v>1</v>
      </c>
      <c r="AC41" s="57">
        <f>'3.1 Building Energy'!P30</f>
        <v>1</v>
      </c>
      <c r="AD41" s="57">
        <f>'3.1 Building Energy'!Q30</f>
        <v>1</v>
      </c>
      <c r="AE41" s="57">
        <f>'3.1 Building Energy'!R30</f>
        <v>1</v>
      </c>
      <c r="AF41" s="57">
        <f>'3.1 Building Energy'!S30</f>
        <v>1</v>
      </c>
      <c r="AG41" s="57">
        <f>'3.1 Building Energy'!T30</f>
        <v>1</v>
      </c>
      <c r="AH41" s="57">
        <f>'3.1 Building Energy'!U30</f>
        <v>1</v>
      </c>
      <c r="AI41" s="57">
        <f>'3.1 Building Energy'!V30</f>
        <v>1</v>
      </c>
      <c r="AJ41" s="57">
        <f>'3.1 Building Energy'!W30</f>
        <v>1</v>
      </c>
      <c r="AK41" s="57">
        <f>'3.1 Building Energy'!X30</f>
        <v>1</v>
      </c>
      <c r="AL41" s="57">
        <f>'3.1 Building Energy'!Y30</f>
        <v>1</v>
      </c>
      <c r="AM41" s="57">
        <f>'3.1 Building Energy'!Z30</f>
        <v>1</v>
      </c>
      <c r="AN41" s="57">
        <f>'3.1 Building Energy'!AA30</f>
        <v>1</v>
      </c>
      <c r="AO41" s="57">
        <f>'3.1 Building Energy'!AB30</f>
        <v>1</v>
      </c>
      <c r="AP41" s="57">
        <f>'3.1 Building Energy'!AC30</f>
        <v>1</v>
      </c>
      <c r="AQ41" s="57">
        <f>'3.1 Building Energy'!AD30</f>
        <v>1</v>
      </c>
      <c r="AR41" s="57">
        <f>'3.1 Building Energy'!AE30</f>
        <v>1</v>
      </c>
      <c r="AS41" s="57">
        <f>'3.1 Building Energy'!AF30</f>
        <v>1</v>
      </c>
      <c r="AT41" s="57">
        <f>'3.1 Building Energy'!AG30</f>
        <v>1</v>
      </c>
      <c r="AU41" s="57">
        <f>'3.1 Building Energy'!AH30</f>
        <v>1</v>
      </c>
      <c r="AV41" s="57">
        <f>'3.1 Building Energy'!AI30</f>
        <v>1</v>
      </c>
      <c r="AW41" s="57">
        <f>'3.1 Building Energy'!AJ30</f>
        <v>1</v>
      </c>
      <c r="AX41" s="57">
        <f>'3.1 Building Energy'!AK30</f>
        <v>1</v>
      </c>
    </row>
    <row r="42" spans="3:50">
      <c r="E42" s="38" t="s">
        <v>211</v>
      </c>
      <c r="G42" s="44"/>
      <c r="H42"/>
      <c r="I42" s="44"/>
      <c r="J42"/>
      <c r="K42" s="44"/>
      <c r="L42"/>
      <c r="M42" s="44"/>
      <c r="O42" s="57">
        <f>'3.1 Building Energy'!B31</f>
        <v>1</v>
      </c>
      <c r="P42" s="57">
        <f>'3.1 Building Energy'!C31</f>
        <v>1</v>
      </c>
      <c r="Q42" s="57">
        <f>'3.1 Building Energy'!D31</f>
        <v>1</v>
      </c>
      <c r="R42" s="57">
        <f>'3.1 Building Energy'!E31</f>
        <v>1</v>
      </c>
      <c r="S42" s="57">
        <f>'3.1 Building Energy'!F31</f>
        <v>1</v>
      </c>
      <c r="T42" s="57">
        <f>'3.1 Building Energy'!G31</f>
        <v>1</v>
      </c>
      <c r="U42" s="57">
        <f>'3.1 Building Energy'!H31</f>
        <v>1</v>
      </c>
      <c r="V42" s="57">
        <f>'3.1 Building Energy'!I31</f>
        <v>1</v>
      </c>
      <c r="W42" s="57">
        <f>'3.1 Building Energy'!J31</f>
        <v>1</v>
      </c>
      <c r="X42" s="57">
        <f>'3.1 Building Energy'!K31</f>
        <v>1</v>
      </c>
      <c r="Y42" s="57">
        <f>'3.1 Building Energy'!L31</f>
        <v>1</v>
      </c>
      <c r="Z42" s="57">
        <f>'3.1 Building Energy'!M31</f>
        <v>1</v>
      </c>
      <c r="AA42" s="57">
        <f>'3.1 Building Energy'!N31</f>
        <v>1</v>
      </c>
      <c r="AB42" s="57">
        <f>'3.1 Building Energy'!O31</f>
        <v>1</v>
      </c>
      <c r="AC42" s="57">
        <f>'3.1 Building Energy'!P31</f>
        <v>1</v>
      </c>
      <c r="AD42" s="57">
        <f>'3.1 Building Energy'!Q31</f>
        <v>1</v>
      </c>
      <c r="AE42" s="57">
        <f>'3.1 Building Energy'!R31</f>
        <v>1</v>
      </c>
      <c r="AF42" s="57">
        <f>'3.1 Building Energy'!S31</f>
        <v>1</v>
      </c>
      <c r="AG42" s="57">
        <f>'3.1 Building Energy'!T31</f>
        <v>1</v>
      </c>
      <c r="AH42" s="57">
        <f>'3.1 Building Energy'!U31</f>
        <v>1</v>
      </c>
      <c r="AI42" s="57">
        <f>'3.1 Building Energy'!V31</f>
        <v>1</v>
      </c>
      <c r="AJ42" s="57">
        <f>'3.1 Building Energy'!W31</f>
        <v>1</v>
      </c>
      <c r="AK42" s="57">
        <f>'3.1 Building Energy'!X31</f>
        <v>1</v>
      </c>
      <c r="AL42" s="57">
        <f>'3.1 Building Energy'!Y31</f>
        <v>1</v>
      </c>
      <c r="AM42" s="57">
        <f>'3.1 Building Energy'!Z31</f>
        <v>1</v>
      </c>
      <c r="AN42" s="57">
        <f>'3.1 Building Energy'!AA31</f>
        <v>1</v>
      </c>
      <c r="AO42" s="57">
        <f>'3.1 Building Energy'!AB31</f>
        <v>1</v>
      </c>
      <c r="AP42" s="57">
        <f>'3.1 Building Energy'!AC31</f>
        <v>1</v>
      </c>
      <c r="AQ42" s="57">
        <f>'3.1 Building Energy'!AD31</f>
        <v>1</v>
      </c>
      <c r="AR42" s="57">
        <f>'3.1 Building Energy'!AE31</f>
        <v>1</v>
      </c>
      <c r="AS42" s="57">
        <f>'3.1 Building Energy'!AF31</f>
        <v>1</v>
      </c>
      <c r="AT42" s="57">
        <f>'3.1 Building Energy'!AG31</f>
        <v>1</v>
      </c>
      <c r="AU42" s="57">
        <f>'3.1 Building Energy'!AH31</f>
        <v>1</v>
      </c>
      <c r="AV42" s="57">
        <f>'3.1 Building Energy'!AI31</f>
        <v>1</v>
      </c>
      <c r="AW42" s="57">
        <f>'3.1 Building Energy'!AJ31</f>
        <v>1</v>
      </c>
      <c r="AX42" s="57">
        <f>'3.1 Building Energy'!AK31</f>
        <v>1</v>
      </c>
    </row>
    <row r="43" spans="3:50">
      <c r="H43"/>
      <c r="I43" s="2"/>
      <c r="J43" s="2"/>
      <c r="O43" s="70"/>
      <c r="P43" s="70"/>
      <c r="Q43" s="70"/>
      <c r="R43" s="70"/>
      <c r="S43" s="70"/>
      <c r="T43" s="70"/>
      <c r="U43" s="70"/>
      <c r="V43" s="70"/>
      <c r="W43" s="70"/>
      <c r="X43" s="70"/>
      <c r="Y43" s="70"/>
      <c r="Z43" s="70"/>
      <c r="AA43" s="70"/>
      <c r="AB43" s="70"/>
      <c r="AC43" s="70"/>
      <c r="AD43" s="70"/>
      <c r="AE43" s="70"/>
      <c r="AF43" s="70"/>
      <c r="AG43" s="70"/>
      <c r="AH43" s="70"/>
      <c r="AI43" s="70"/>
      <c r="AJ43" s="70"/>
      <c r="AK43" s="70"/>
      <c r="AL43" s="70"/>
      <c r="AM43" s="70"/>
      <c r="AN43" s="70"/>
      <c r="AO43" s="70"/>
      <c r="AP43" s="70"/>
      <c r="AQ43" s="70"/>
      <c r="AR43" s="70"/>
      <c r="AS43" s="70"/>
      <c r="AT43" s="70"/>
      <c r="AU43" s="70"/>
      <c r="AV43" s="70"/>
      <c r="AW43" s="70"/>
      <c r="AX43" s="70"/>
    </row>
    <row r="44" spans="3:50">
      <c r="C44" s="38" t="s">
        <v>1344</v>
      </c>
      <c r="O44" s="59"/>
      <c r="P44" s="59"/>
      <c r="Q44" s="59"/>
      <c r="R44" s="59"/>
      <c r="S44" s="59"/>
      <c r="T44" s="59"/>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row>
    <row r="45" spans="3:50">
      <c r="E45" t="s">
        <v>774</v>
      </c>
      <c r="G45" s="44"/>
      <c r="H45"/>
      <c r="I45" s="44"/>
      <c r="J45"/>
      <c r="K45" s="44"/>
      <c r="L45"/>
      <c r="M45" s="44"/>
      <c r="O45" s="621">
        <f>'Allocation of heat'!E54</f>
        <v>0.91540658461460056</v>
      </c>
      <c r="P45" s="621">
        <f>'Allocation of heat'!F54</f>
        <v>0.91489601002840271</v>
      </c>
      <c r="Q45" s="621">
        <f>'Allocation of heat'!G54</f>
        <v>0.91430165333685776</v>
      </c>
      <c r="R45" s="621">
        <f>'Allocation of heat'!H54</f>
        <v>0.91363030461923689</v>
      </c>
      <c r="S45" s="621">
        <f>'Allocation of heat'!I54</f>
        <v>0.91288848908729481</v>
      </c>
      <c r="T45" s="621">
        <f>'Allocation of heat'!J54</f>
        <v>0.90499413972635723</v>
      </c>
      <c r="U45" s="621">
        <f>'Allocation of heat'!K54</f>
        <v>0.89573619932778181</v>
      </c>
      <c r="V45" s="621">
        <f>'Allocation of heat'!L54</f>
        <v>0.8793925627365945</v>
      </c>
      <c r="W45" s="621">
        <f>'Allocation of heat'!M54</f>
        <v>0.85709062133625991</v>
      </c>
      <c r="X45" s="621">
        <f>'Allocation of heat'!N54</f>
        <v>0.8252286561844826</v>
      </c>
      <c r="Y45" s="621">
        <f>'Allocation of heat'!O54</f>
        <v>0.78539635354315263</v>
      </c>
      <c r="Z45" s="621">
        <f>'Allocation of heat'!P54</f>
        <v>0.73462940245410568</v>
      </c>
      <c r="AA45" s="621">
        <f>'Allocation of heat'!Q54</f>
        <v>0.66963112834086636</v>
      </c>
      <c r="AB45" s="621">
        <f>'Allocation of heat'!R54</f>
        <v>0.60454324546887483</v>
      </c>
      <c r="AC45" s="621">
        <f>'Allocation of heat'!S54</f>
        <v>0.54277349394482899</v>
      </c>
      <c r="AD45" s="621">
        <f>'Allocation of heat'!T54</f>
        <v>0.48558179921567501</v>
      </c>
      <c r="AE45" s="621">
        <f>'Allocation of heat'!U54</f>
        <v>0.43183042163505803</v>
      </c>
      <c r="AF45" s="621">
        <f>'Allocation of heat'!V54</f>
        <v>0.38001575809798005</v>
      </c>
      <c r="AG45" s="621">
        <f>'Allocation of heat'!W54</f>
        <v>0.32998966986287481</v>
      </c>
      <c r="AH45" s="621">
        <f>'Allocation of heat'!X54</f>
        <v>0.28212090098883125</v>
      </c>
      <c r="AI45" s="621">
        <f>'Allocation of heat'!Y54</f>
        <v>0.23893673707177981</v>
      </c>
      <c r="AJ45" s="621">
        <f>'Allocation of heat'!Z54</f>
        <v>0.18317501365365027</v>
      </c>
      <c r="AK45" s="621">
        <f>'Allocation of heat'!AA54</f>
        <v>0.14240319109721247</v>
      </c>
      <c r="AL45" s="621">
        <f>'Allocation of heat'!AB54</f>
        <v>0.11438466339810241</v>
      </c>
      <c r="AM45" s="621">
        <f>'Allocation of heat'!AC54</f>
        <v>0.10417447918952104</v>
      </c>
      <c r="AN45" s="621">
        <f>'Allocation of heat'!AD54</f>
        <v>9.4256590003995999E-2</v>
      </c>
      <c r="AO45" s="621">
        <f>'Allocation of heat'!AE54</f>
        <v>8.4064398047070804E-2</v>
      </c>
      <c r="AP45" s="621">
        <f>'Allocation of heat'!AF54</f>
        <v>7.4196764454218356E-2</v>
      </c>
      <c r="AQ45" s="621">
        <f>'Allocation of heat'!AG54</f>
        <v>6.4594609316051307E-2</v>
      </c>
      <c r="AR45" s="621">
        <f>'Allocation of heat'!AH54</f>
        <v>5.5199558463334422E-2</v>
      </c>
      <c r="AS45" s="621">
        <f>'Allocation of heat'!AI54</f>
        <v>4.5953971772247817E-2</v>
      </c>
      <c r="AT45" s="621">
        <f>'Allocation of heat'!AJ54</f>
        <v>3.7442457436497309E-2</v>
      </c>
      <c r="AU45" s="621">
        <f>'Allocation of heat'!AK54</f>
        <v>2.860490873747713E-2</v>
      </c>
      <c r="AV45" s="621">
        <f>'Allocation of heat'!AL54</f>
        <v>1.9427766203838119E-2</v>
      </c>
      <c r="AW45" s="621">
        <f>'Allocation of heat'!AM54</f>
        <v>9.8973748043249456E-3</v>
      </c>
      <c r="AX45" s="621">
        <f>'Allocation of heat'!AN54</f>
        <v>0</v>
      </c>
    </row>
    <row r="46" spans="3:50">
      <c r="E46" s="38" t="s">
        <v>776</v>
      </c>
      <c r="G46" s="44"/>
      <c r="H46"/>
      <c r="I46" s="44"/>
      <c r="J46"/>
      <c r="K46" s="44"/>
      <c r="L46"/>
      <c r="M46" s="44"/>
      <c r="O46" s="621">
        <f>'Allocation of heat'!E55</f>
        <v>6.890157088496994E-2</v>
      </c>
      <c r="P46" s="621">
        <f>'Allocation of heat'!F55</f>
        <v>6.8863140539772258E-2</v>
      </c>
      <c r="Q46" s="621">
        <f>'Allocation of heat'!G55</f>
        <v>6.881840401460218E-2</v>
      </c>
      <c r="R46" s="621">
        <f>'Allocation of heat'!H55</f>
        <v>6.8767872390695248E-2</v>
      </c>
      <c r="S46" s="621">
        <f>'Allocation of heat'!I55</f>
        <v>6.8712036813022209E-2</v>
      </c>
      <c r="T46" s="621">
        <f>'Allocation of heat'!J55</f>
        <v>6.8117838474026887E-2</v>
      </c>
      <c r="U46" s="621">
        <f>'Allocation of heat'!K55</f>
        <v>6.74210042504782E-2</v>
      </c>
      <c r="V46" s="621">
        <f>'Allocation of heat'!L55</f>
        <v>6.6190838055442597E-2</v>
      </c>
      <c r="W46" s="621">
        <f>'Allocation of heat'!M55</f>
        <v>6.4512197304879781E-2</v>
      </c>
      <c r="X46" s="621">
        <f>'Allocation of heat'!N55</f>
        <v>6.2113984874100844E-2</v>
      </c>
      <c r="Y46" s="621">
        <f>'Allocation of heat'!O55</f>
        <v>5.9115854567764171E-2</v>
      </c>
      <c r="Z46" s="621">
        <f>'Allocation of heat'!P55</f>
        <v>5.5294686206223014E-2</v>
      </c>
      <c r="AA46" s="621">
        <f>'Allocation of heat'!Q55</f>
        <v>5.0704031983701568E-2</v>
      </c>
      <c r="AB46" s="621">
        <f>'Allocation of heat'!R55</f>
        <v>4.6051265089861002E-2</v>
      </c>
      <c r="AC46" s="621">
        <f>'Allocation of heat'!S55</f>
        <v>4.1596414905129726E-2</v>
      </c>
      <c r="AD46" s="621">
        <f>'Allocation of heat'!T55</f>
        <v>3.7440245526429286E-2</v>
      </c>
      <c r="AE46" s="621">
        <f>'Allocation of heat'!U55</f>
        <v>3.3694464385326736E-2</v>
      </c>
      <c r="AF46" s="621">
        <f>'Allocation of heat'!V55</f>
        <v>3.0010845274400125E-2</v>
      </c>
      <c r="AG46" s="621">
        <f>'Allocation of heat'!W55</f>
        <v>2.6379833402598245E-2</v>
      </c>
      <c r="AH46" s="621">
        <f>'Allocation of heat'!X55</f>
        <v>2.2833232823700068E-2</v>
      </c>
      <c r="AI46" s="621">
        <f>'Allocation of heat'!Y55</f>
        <v>1.9338156544137574E-2</v>
      </c>
      <c r="AJ46" s="621">
        <f>'Allocation of heat'!Z55</f>
        <v>2.9952804373274165E-2</v>
      </c>
      <c r="AK46" s="621">
        <f>'Allocation of heat'!AA55</f>
        <v>3.6855597898635531E-2</v>
      </c>
      <c r="AL46" s="621">
        <f>'Allocation of heat'!AB55</f>
        <v>4.2320606182671729E-2</v>
      </c>
      <c r="AM46" s="621">
        <f>'Allocation of heat'!AC55</f>
        <v>5.223013335582833E-2</v>
      </c>
      <c r="AN46" s="621">
        <f>'Allocation of heat'!AD55</f>
        <v>6.2118460287059425E-2</v>
      </c>
      <c r="AO46" s="621">
        <f>'Allocation of heat'!AE55</f>
        <v>7.1600693600041038E-2</v>
      </c>
      <c r="AP46" s="621">
        <f>'Allocation of heat'!AF55</f>
        <v>8.1068265012413404E-2</v>
      </c>
      <c r="AQ46" s="621">
        <f>'Allocation of heat'!AG55</f>
        <v>9.0581608624163909E-2</v>
      </c>
      <c r="AR46" s="621">
        <f>'Allocation of heat'!AH55</f>
        <v>0.1002003778326223</v>
      </c>
      <c r="AS46" s="621">
        <f>'Allocation of heat'!AI55</f>
        <v>0.10998349123430796</v>
      </c>
      <c r="AT46" s="621">
        <f>'Allocation of heat'!AJ55</f>
        <v>0.12208085324421603</v>
      </c>
      <c r="AU46" s="621">
        <f>'Allocation of heat'!AK55</f>
        <v>0.13460744428434718</v>
      </c>
      <c r="AV46" s="621">
        <f>'Allocation of heat'!AL55</f>
        <v>0.14757824483664742</v>
      </c>
      <c r="AW46" s="621">
        <f>'Allocation of heat'!AM55</f>
        <v>0.16100828245676047</v>
      </c>
      <c r="AX46" s="621">
        <f>'Allocation of heat'!AN55</f>
        <v>0.17491261976701475</v>
      </c>
    </row>
    <row r="47" spans="3:50">
      <c r="E47" s="38" t="s">
        <v>346</v>
      </c>
      <c r="G47" s="44"/>
      <c r="H47"/>
      <c r="I47" s="44"/>
      <c r="J47"/>
      <c r="K47" s="44"/>
      <c r="L47"/>
      <c r="M47" s="44"/>
      <c r="O47" s="621">
        <f>'Allocation of heat'!E52</f>
        <v>0</v>
      </c>
      <c r="P47" s="621">
        <f>'Allocation of heat'!F52</f>
        <v>0</v>
      </c>
      <c r="Q47" s="621">
        <f>'Allocation of heat'!G52</f>
        <v>0</v>
      </c>
      <c r="R47" s="621">
        <f>'Allocation of heat'!H52</f>
        <v>0</v>
      </c>
      <c r="S47" s="621">
        <f>'Allocation of heat'!I52</f>
        <v>0</v>
      </c>
      <c r="T47" s="621">
        <f>'Allocation of heat'!J52</f>
        <v>3.3136769646325754E-3</v>
      </c>
      <c r="U47" s="621">
        <f>'Allocation of heat'!K52</f>
        <v>8.751072966347459E-3</v>
      </c>
      <c r="V47" s="621">
        <f>'Allocation of heat'!L52</f>
        <v>2.0242736146167221E-2</v>
      </c>
      <c r="W47" s="621">
        <f>'Allocation of heat'!M52</f>
        <v>3.6707546312633357E-2</v>
      </c>
      <c r="X47" s="621">
        <f>'Allocation of heat'!N52</f>
        <v>6.2214995836653637E-2</v>
      </c>
      <c r="Y47" s="621">
        <f>'Allocation of heat'!O52</f>
        <v>9.5535775436487599E-2</v>
      </c>
      <c r="Z47" s="621">
        <f>'Allocation of heat'!P52</f>
        <v>0.13973684846051165</v>
      </c>
      <c r="AA47" s="621">
        <f>'Allocation of heat'!Q52</f>
        <v>0.19506004804400548</v>
      </c>
      <c r="AB47" s="621">
        <f>'Allocation of heat'!R52</f>
        <v>0.25192695574313079</v>
      </c>
      <c r="AC47" s="621">
        <f>'Allocation of heat'!S52</f>
        <v>0.30778287335936222</v>
      </c>
      <c r="AD47" s="621">
        <f>'Allocation of heat'!T52</f>
        <v>0.36135370474273859</v>
      </c>
      <c r="AE47" s="621">
        <f>'Allocation of heat'!U52</f>
        <v>0.41105145260342585</v>
      </c>
      <c r="AF47" s="621">
        <f>'Allocation of heat'!V52</f>
        <v>0.46039595182537191</v>
      </c>
      <c r="AG47" s="621">
        <f>'Allocation of heat'!W52</f>
        <v>0.50938869460329694</v>
      </c>
      <c r="AH47" s="621">
        <f>'Allocation of heat'!X52</f>
        <v>0.55803139253827905</v>
      </c>
      <c r="AI47" s="621">
        <f>'Allocation of heat'!Y52</f>
        <v>0.6063259452823071</v>
      </c>
      <c r="AJ47" s="621">
        <f>'Allocation of heat'!Z52</f>
        <v>0.65427440157347505</v>
      </c>
      <c r="AK47" s="621">
        <f>'Allocation of heat'!AA52</f>
        <v>0.69016802151090861</v>
      </c>
      <c r="AL47" s="621">
        <f>'Allocation of heat'!AB52</f>
        <v>0.71414389063639139</v>
      </c>
      <c r="AM47" s="621">
        <f>'Allocation of heat'!AC52</f>
        <v>0.71471567100999855</v>
      </c>
      <c r="AN47" s="621">
        <f>'Allocation of heat'!AD52</f>
        <v>0.71530379941763778</v>
      </c>
      <c r="AO47" s="621">
        <f>'Allocation of heat'!AE52</f>
        <v>0.71590687914523232</v>
      </c>
      <c r="AP47" s="621">
        <f>'Allocation of heat'!AF52</f>
        <v>0.71652362717093188</v>
      </c>
      <c r="AQ47" s="621">
        <f>'Allocation of heat'!AG52</f>
        <v>0.7171528633373877</v>
      </c>
      <c r="AR47" s="621">
        <f>'Allocation of heat'!AH52</f>
        <v>0.71779350072800618</v>
      </c>
      <c r="AS47" s="621">
        <f>'Allocation of heat'!AI52</f>
        <v>0.7184445370940935</v>
      </c>
      <c r="AT47" s="621">
        <f>'Allocation of heat'!AJ52</f>
        <v>0.71910504720163648</v>
      </c>
      <c r="AU47" s="621">
        <f>'Allocation of heat'!AK52</f>
        <v>0.71977417598487647</v>
      </c>
      <c r="AV47" s="621">
        <f>'Allocation of heat'!AL52</f>
        <v>0.72045113240936987</v>
      </c>
      <c r="AW47" s="621">
        <f>'Allocation of heat'!AM52</f>
        <v>0.72113518396041432</v>
      </c>
      <c r="AX47" s="621">
        <f>'Allocation of heat'!AN52</f>
        <v>0.72182565168391788</v>
      </c>
    </row>
    <row r="48" spans="3:50">
      <c r="E48" s="38" t="s">
        <v>219</v>
      </c>
      <c r="G48" s="44"/>
      <c r="H48"/>
      <c r="I48" s="44"/>
      <c r="J48"/>
      <c r="K48" s="44"/>
      <c r="L48"/>
      <c r="M48" s="44"/>
      <c r="O48" s="621">
        <f>'Allocation of heat'!E57</f>
        <v>0</v>
      </c>
      <c r="P48" s="621">
        <f>'Allocation of heat'!F57</f>
        <v>0</v>
      </c>
      <c r="Q48" s="621">
        <f>'Allocation of heat'!G57</f>
        <v>0</v>
      </c>
      <c r="R48" s="621">
        <f>'Allocation of heat'!H57</f>
        <v>0</v>
      </c>
      <c r="S48" s="621">
        <f>'Allocation of heat'!I57</f>
        <v>0</v>
      </c>
      <c r="T48" s="621">
        <f>'Allocation of heat'!J57</f>
        <v>1.594482888221892E-4</v>
      </c>
      <c r="U48" s="621">
        <f>'Allocation of heat'!K57</f>
        <v>3.43225666919513E-4</v>
      </c>
      <c r="V48" s="621">
        <f>'Allocation of heat'!L57</f>
        <v>5.1048559158510976E-4</v>
      </c>
      <c r="W48" s="621">
        <f>'Allocation of heat'!M57</f>
        <v>6.6007621353830282E-4</v>
      </c>
      <c r="X48" s="621">
        <f>'Allocation of heat'!N57</f>
        <v>8.0364639925239469E-4</v>
      </c>
      <c r="Y48" s="621">
        <f>'Allocation of heat'!O57</f>
        <v>9.5559784127524779E-4</v>
      </c>
      <c r="Z48" s="621">
        <f>'Allocation of heat'!P57</f>
        <v>1.0956460535163247E-3</v>
      </c>
      <c r="AA48" s="621">
        <f>'Allocation of heat'!Q57</f>
        <v>1.1907018759826366E-3</v>
      </c>
      <c r="AB48" s="621">
        <f>'Allocation of heat'!R57</f>
        <v>1.2967718226040304E-3</v>
      </c>
      <c r="AC48" s="621">
        <f>'Allocation of heat'!S57</f>
        <v>1.42179918070245E-3</v>
      </c>
      <c r="AD48" s="621">
        <f>'Allocation of heat'!T57</f>
        <v>1.5595131963014729E-3</v>
      </c>
      <c r="AE48" s="621">
        <f>'Allocation of heat'!U57</f>
        <v>1.6661410260884277E-3</v>
      </c>
      <c r="AF48" s="621">
        <f>'Allocation of heat'!V57</f>
        <v>1.8112654879662558E-3</v>
      </c>
      <c r="AG48" s="621">
        <f>'Allocation of heat'!W57</f>
        <v>1.9966556090081872E-3</v>
      </c>
      <c r="AH48" s="621">
        <f>'Allocation of heat'!X57</f>
        <v>2.2236136471579871E-3</v>
      </c>
      <c r="AI48" s="621">
        <f>'Allocation of heat'!Y57</f>
        <v>2.4838522052322118E-3</v>
      </c>
      <c r="AJ48" s="621">
        <f>'Allocation of heat'!Z57</f>
        <v>2.7796973527251948E-3</v>
      </c>
      <c r="AK48" s="621">
        <f>'Allocation of heat'!AA57</f>
        <v>3.114919006703366E-3</v>
      </c>
      <c r="AL48" s="621">
        <f>'Allocation of heat'!AB57</f>
        <v>3.4810947698812361E-3</v>
      </c>
      <c r="AM48" s="621">
        <f>'Allocation of heat'!AC57</f>
        <v>3.8835803843850756E-3</v>
      </c>
      <c r="AN48" s="621">
        <f>'Allocation of heat'!AD57</f>
        <v>4.3219434128830871E-3</v>
      </c>
      <c r="AO48" s="621">
        <f>'Allocation of heat'!AE57</f>
        <v>4.7263809173664099E-3</v>
      </c>
      <c r="AP48" s="621">
        <f>'Allocation of heat'!AF57</f>
        <v>5.0887934687782171E-3</v>
      </c>
      <c r="AQ48" s="621">
        <f>'Allocation of heat'!AG57</f>
        <v>5.4096415780089824E-3</v>
      </c>
      <c r="AR48" s="621">
        <f>'Allocation of heat'!AH57</f>
        <v>5.6893798774045488E-3</v>
      </c>
      <c r="AS48" s="621">
        <f>'Allocation of heat'!AI57</f>
        <v>5.9284571370317261E-3</v>
      </c>
      <c r="AT48" s="621">
        <f>'Allocation of heat'!AJ57</f>
        <v>6.1273162904442761E-3</v>
      </c>
      <c r="AU48" s="621">
        <f>'Allocation of heat'!AK57</f>
        <v>6.2863944685001439E-3</v>
      </c>
      <c r="AV48" s="621">
        <f>'Allocation of heat'!AL57</f>
        <v>6.4061230399886327E-3</v>
      </c>
      <c r="AW48" s="621">
        <f>'Allocation of heat'!AM57</f>
        <v>6.4869276580020886E-3</v>
      </c>
      <c r="AX48" s="621">
        <f>'Allocation of heat'!AN57</f>
        <v>6.5292283111359119E-3</v>
      </c>
    </row>
    <row r="49" spans="1:50">
      <c r="E49" s="38" t="s">
        <v>476</v>
      </c>
      <c r="G49" s="44"/>
      <c r="H49"/>
      <c r="I49" s="44"/>
      <c r="J49"/>
      <c r="K49" s="44"/>
      <c r="L49"/>
      <c r="M49" s="44"/>
      <c r="O49" s="621">
        <f>'Allocation of heat'!E53</f>
        <v>0</v>
      </c>
      <c r="P49" s="621">
        <f>'Allocation of heat'!F53</f>
        <v>0</v>
      </c>
      <c r="Q49" s="621">
        <f>'Allocation of heat'!G53</f>
        <v>0</v>
      </c>
      <c r="R49" s="621">
        <f>'Allocation of heat'!H53</f>
        <v>0</v>
      </c>
      <c r="S49" s="621">
        <f>'Allocation of heat'!I53</f>
        <v>0</v>
      </c>
      <c r="T49" s="621">
        <f>'Allocation of heat'!J53</f>
        <v>0</v>
      </c>
      <c r="U49" s="621">
        <f>'Allocation of heat'!K53</f>
        <v>0</v>
      </c>
      <c r="V49" s="621">
        <f>'Allocation of heat'!L53</f>
        <v>0</v>
      </c>
      <c r="W49" s="621">
        <f>'Allocation of heat'!M53</f>
        <v>0</v>
      </c>
      <c r="X49" s="621">
        <f>'Allocation of heat'!N53</f>
        <v>0</v>
      </c>
      <c r="Y49" s="621">
        <f>'Allocation of heat'!O53</f>
        <v>0</v>
      </c>
      <c r="Z49" s="621">
        <f>'Allocation of heat'!P53</f>
        <v>0</v>
      </c>
      <c r="AA49" s="621">
        <f>'Allocation of heat'!Q53</f>
        <v>0</v>
      </c>
      <c r="AB49" s="621">
        <f>'Allocation of heat'!R53</f>
        <v>0</v>
      </c>
      <c r="AC49" s="621">
        <f>'Allocation of heat'!S53</f>
        <v>0</v>
      </c>
      <c r="AD49" s="621">
        <f>'Allocation of heat'!T53</f>
        <v>0</v>
      </c>
      <c r="AE49" s="621">
        <f>'Allocation of heat'!U53</f>
        <v>0</v>
      </c>
      <c r="AF49" s="621">
        <f>'Allocation of heat'!V53</f>
        <v>0</v>
      </c>
      <c r="AG49" s="621">
        <f>'Allocation of heat'!W53</f>
        <v>0</v>
      </c>
      <c r="AH49" s="621">
        <f>'Allocation of heat'!X53</f>
        <v>0</v>
      </c>
      <c r="AI49" s="621">
        <f>'Allocation of heat'!Y53</f>
        <v>0</v>
      </c>
      <c r="AJ49" s="621">
        <f>'Allocation of heat'!Z53</f>
        <v>0</v>
      </c>
      <c r="AK49" s="621">
        <f>'Allocation of heat'!AA53</f>
        <v>0</v>
      </c>
      <c r="AL49" s="621">
        <f>'Allocation of heat'!AB53</f>
        <v>0</v>
      </c>
      <c r="AM49" s="621">
        <f>'Allocation of heat'!AC53</f>
        <v>0</v>
      </c>
      <c r="AN49" s="621">
        <f>'Allocation of heat'!AD53</f>
        <v>0</v>
      </c>
      <c r="AO49" s="621">
        <f>'Allocation of heat'!AE53</f>
        <v>0</v>
      </c>
      <c r="AP49" s="621">
        <f>'Allocation of heat'!AF53</f>
        <v>0</v>
      </c>
      <c r="AQ49" s="621">
        <f>'Allocation of heat'!AG53</f>
        <v>0</v>
      </c>
      <c r="AR49" s="621">
        <f>'Allocation of heat'!AH53</f>
        <v>0</v>
      </c>
      <c r="AS49" s="621">
        <f>'Allocation of heat'!AI53</f>
        <v>0</v>
      </c>
      <c r="AT49" s="621">
        <f>'Allocation of heat'!AJ53</f>
        <v>0</v>
      </c>
      <c r="AU49" s="621">
        <f>'Allocation of heat'!AK53</f>
        <v>0</v>
      </c>
      <c r="AV49" s="621">
        <f>'Allocation of heat'!AL53</f>
        <v>0</v>
      </c>
      <c r="AW49" s="621">
        <f>'Allocation of heat'!AM53</f>
        <v>0</v>
      </c>
      <c r="AX49" s="621">
        <f>'Allocation of heat'!AN53</f>
        <v>0</v>
      </c>
    </row>
    <row r="50" spans="1:50">
      <c r="E50" s="38" t="s">
        <v>211</v>
      </c>
      <c r="G50" s="44"/>
      <c r="H50"/>
      <c r="I50" s="44"/>
      <c r="J50"/>
      <c r="K50" s="44"/>
      <c r="L50"/>
      <c r="M50" s="44"/>
      <c r="O50" s="621">
        <f>'Allocation of heat'!E56</f>
        <v>0</v>
      </c>
      <c r="P50" s="621">
        <f>'Allocation of heat'!F56</f>
        <v>0</v>
      </c>
      <c r="Q50" s="621">
        <f>'Allocation of heat'!G56</f>
        <v>0</v>
      </c>
      <c r="R50" s="621">
        <f>'Allocation of heat'!H56</f>
        <v>0</v>
      </c>
      <c r="S50" s="621">
        <f>'Allocation of heat'!I56</f>
        <v>0</v>
      </c>
      <c r="T50" s="621">
        <f>'Allocation of heat'!J56</f>
        <v>0</v>
      </c>
      <c r="U50" s="621">
        <f>'Allocation of heat'!K56</f>
        <v>0</v>
      </c>
      <c r="V50" s="621">
        <f>'Allocation of heat'!L56</f>
        <v>0</v>
      </c>
      <c r="W50" s="621">
        <f>'Allocation of heat'!M56</f>
        <v>0</v>
      </c>
      <c r="X50" s="621">
        <f>'Allocation of heat'!N56</f>
        <v>0</v>
      </c>
      <c r="Y50" s="621">
        <f>'Allocation of heat'!O56</f>
        <v>0</v>
      </c>
      <c r="Z50" s="621">
        <f>'Allocation of heat'!P56</f>
        <v>0</v>
      </c>
      <c r="AA50" s="621">
        <f>'Allocation of heat'!Q56</f>
        <v>4.0081537283116093E-3</v>
      </c>
      <c r="AB50" s="621">
        <f>'Allocation of heat'!R56</f>
        <v>7.2807050107070266E-3</v>
      </c>
      <c r="AC50" s="621">
        <f>'Allocation of heat'!S56</f>
        <v>9.8645897947515146E-3</v>
      </c>
      <c r="AD50" s="621">
        <f>'Allocation of heat'!T56</f>
        <v>1.1838605635456943E-2</v>
      </c>
      <c r="AE50" s="621">
        <f>'Allocation of heat'!U56</f>
        <v>1.5824605198568705E-2</v>
      </c>
      <c r="AF50" s="621">
        <f>'Allocation of heat'!V56</f>
        <v>1.8699757690478724E-2</v>
      </c>
      <c r="AG50" s="621">
        <f>'Allocation of heat'!W56</f>
        <v>2.0485259628787677E-2</v>
      </c>
      <c r="AH50" s="621">
        <f>'Allocation of heat'!X56</f>
        <v>2.1234906526041066E-2</v>
      </c>
      <c r="AI50" s="621">
        <f>'Allocation of heat'!Y56</f>
        <v>1.7984485586047944E-2</v>
      </c>
      <c r="AJ50" s="621">
        <f>'Allocation of heat'!Z56</f>
        <v>1.3787366619091959E-2</v>
      </c>
      <c r="AK50" s="621">
        <f>'Allocation of heat'!AA56</f>
        <v>1.0718519760005242E-2</v>
      </c>
      <c r="AL50" s="621">
        <f>'Allocation of heat'!AB56</f>
        <v>8.6095983202872772E-3</v>
      </c>
      <c r="AM50" s="621">
        <f>'Allocation of heat'!AC56</f>
        <v>7.8410898314693247E-3</v>
      </c>
      <c r="AN50" s="621">
        <f>'Allocation of heat'!AD56</f>
        <v>7.0945820433115274E-3</v>
      </c>
      <c r="AO50" s="621">
        <f>'Allocation of heat'!AE56</f>
        <v>6.3274278099945775E-3</v>
      </c>
      <c r="AP50" s="621">
        <f>'Allocation of heat'!AF56</f>
        <v>5.5847027008551452E-3</v>
      </c>
      <c r="AQ50" s="621">
        <f>'Allocation of heat'!AG56</f>
        <v>4.861959840993111E-3</v>
      </c>
      <c r="AR50" s="621">
        <f>'Allocation of heat'!AH56</f>
        <v>4.1548054757348483E-3</v>
      </c>
      <c r="AS50" s="621">
        <f>'Allocation of heat'!AI56</f>
        <v>3.4589011011369329E-3</v>
      </c>
      <c r="AT50" s="621">
        <f>'Allocation of heat'!AJ56</f>
        <v>2.8182494844675404E-3</v>
      </c>
      <c r="AU50" s="621">
        <f>'Allocation of heat'!AK56</f>
        <v>2.1530576469068808E-3</v>
      </c>
      <c r="AV50" s="621">
        <f>'Allocation of heat'!AL56</f>
        <v>1.4623049830845901E-3</v>
      </c>
      <c r="AW50" s="621">
        <f>'Allocation of heat'!AM56</f>
        <v>7.4496369494918963E-4</v>
      </c>
      <c r="AX50" s="621">
        <f>'Allocation of heat'!AN56</f>
        <v>0</v>
      </c>
    </row>
    <row r="51" spans="1:50">
      <c r="E51" s="38" t="s">
        <v>1346</v>
      </c>
      <c r="G51" s="44"/>
      <c r="H51"/>
      <c r="I51" s="44"/>
      <c r="J51"/>
      <c r="K51" s="44"/>
      <c r="L51"/>
      <c r="M51" s="44"/>
      <c r="O51" s="621">
        <f>'Allocation of heat'!E51</f>
        <v>1.5691844500429642E-2</v>
      </c>
      <c r="P51" s="621">
        <f>'Allocation of heat'!F51</f>
        <v>1.6240849431825147E-2</v>
      </c>
      <c r="Q51" s="621">
        <f>'Allocation of heat'!G51</f>
        <v>1.6879942648540234E-2</v>
      </c>
      <c r="R51" s="621">
        <f>'Allocation of heat'!H51</f>
        <v>1.7601822990068006E-2</v>
      </c>
      <c r="S51" s="621">
        <f>'Allocation of heat'!I51</f>
        <v>1.8399474099683066E-2</v>
      </c>
      <c r="T51" s="621">
        <f>'Allocation of heat'!J51</f>
        <v>2.3414896546161031E-2</v>
      </c>
      <c r="U51" s="621">
        <f>'Allocation of heat'!K51</f>
        <v>2.77484977884732E-2</v>
      </c>
      <c r="V51" s="621">
        <f>'Allocation of heat'!L51</f>
        <v>3.3663377470210802E-2</v>
      </c>
      <c r="W51" s="621">
        <f>'Allocation of heat'!M51</f>
        <v>4.1029558832688759E-2</v>
      </c>
      <c r="X51" s="621">
        <f>'Allocation of heat'!N51</f>
        <v>4.9638716705510517E-2</v>
      </c>
      <c r="Y51" s="621">
        <f>'Allocation of heat'!O51</f>
        <v>5.8996418611320406E-2</v>
      </c>
      <c r="Z51" s="621">
        <f>'Allocation of heat'!P51</f>
        <v>6.9243416825643403E-2</v>
      </c>
      <c r="AA51" s="621">
        <f>'Allocation of heat'!Q51</f>
        <v>7.9405936027132418E-2</v>
      </c>
      <c r="AB51" s="621">
        <f>'Allocation of heat'!R51</f>
        <v>8.8901056864822248E-2</v>
      </c>
      <c r="AC51" s="621">
        <f>'Allocation of heat'!S51</f>
        <v>9.6560828815225111E-2</v>
      </c>
      <c r="AD51" s="621">
        <f>'Allocation of heat'!T51</f>
        <v>0.10222613168339865</v>
      </c>
      <c r="AE51" s="621">
        <f>'Allocation of heat'!U51</f>
        <v>0.10593291515153237</v>
      </c>
      <c r="AF51" s="621">
        <f>'Allocation of heat'!V51</f>
        <v>0.10906642162380296</v>
      </c>
      <c r="AG51" s="621">
        <f>'Allocation of heat'!W51</f>
        <v>0.11175988689343432</v>
      </c>
      <c r="AH51" s="621">
        <f>'Allocation of heat'!X51</f>
        <v>0.11355595347599053</v>
      </c>
      <c r="AI51" s="621">
        <f>'Allocation of heat'!Y51</f>
        <v>0.11493082331049533</v>
      </c>
      <c r="AJ51" s="621">
        <f>'Allocation of heat'!Z51</f>
        <v>0.11603071642778334</v>
      </c>
      <c r="AK51" s="621">
        <f>'Allocation of heat'!AA51</f>
        <v>0.11673975072653488</v>
      </c>
      <c r="AL51" s="621">
        <f>'Allocation of heat'!AB51</f>
        <v>0.11706014669266591</v>
      </c>
      <c r="AM51" s="621">
        <f>'Allocation of heat'!AC51</f>
        <v>0.11715504622879756</v>
      </c>
      <c r="AN51" s="621">
        <f>'Allocation of heat'!AD51</f>
        <v>0.11690462483511233</v>
      </c>
      <c r="AO51" s="621">
        <f>'Allocation of heat'!AE51</f>
        <v>0.11737422048029486</v>
      </c>
      <c r="AP51" s="621">
        <f>'Allocation of heat'!AF51</f>
        <v>0.11753784719280291</v>
      </c>
      <c r="AQ51" s="621">
        <f>'Allocation of heat'!AG51</f>
        <v>0.11739931730339517</v>
      </c>
      <c r="AR51" s="621">
        <f>'Allocation of heat'!AH51</f>
        <v>0.11696237762289771</v>
      </c>
      <c r="AS51" s="621">
        <f>'Allocation of heat'!AI51</f>
        <v>0.11623064166118204</v>
      </c>
      <c r="AT51" s="621">
        <f>'Allocation of heat'!AJ51</f>
        <v>0.11242607634273835</v>
      </c>
      <c r="AU51" s="621">
        <f>'Allocation of heat'!AK51</f>
        <v>0.10857401887789223</v>
      </c>
      <c r="AV51" s="621">
        <f>'Allocation of heat'!AL51</f>
        <v>0.1046744285270714</v>
      </c>
      <c r="AW51" s="621">
        <f>'Allocation of heat'!AM51</f>
        <v>0.10072726742554895</v>
      </c>
      <c r="AX51" s="621">
        <f>'Allocation of heat'!AN51</f>
        <v>9.6732500237931257E-2</v>
      </c>
    </row>
    <row r="52" spans="1:50">
      <c r="O52" s="622"/>
      <c r="P52" s="622"/>
      <c r="Q52" s="622"/>
      <c r="R52" s="622"/>
      <c r="S52" s="622"/>
      <c r="T52" s="622"/>
      <c r="U52" s="622"/>
      <c r="V52" s="622"/>
      <c r="W52" s="622"/>
      <c r="X52" s="622"/>
      <c r="Y52" s="622"/>
      <c r="Z52" s="622"/>
      <c r="AA52" s="622"/>
      <c r="AB52" s="622"/>
      <c r="AC52" s="622"/>
      <c r="AD52" s="622"/>
      <c r="AE52" s="622"/>
      <c r="AF52" s="622"/>
      <c r="AG52" s="622"/>
      <c r="AH52" s="622"/>
      <c r="AI52" s="622"/>
      <c r="AJ52" s="622"/>
      <c r="AK52" s="623"/>
      <c r="AL52" s="622"/>
      <c r="AM52" s="622"/>
      <c r="AN52" s="622"/>
      <c r="AO52" s="622"/>
      <c r="AP52" s="622"/>
      <c r="AQ52" s="622"/>
      <c r="AR52" s="622"/>
      <c r="AS52" s="622"/>
      <c r="AT52" s="622"/>
      <c r="AU52" s="622"/>
      <c r="AV52" s="622"/>
      <c r="AW52" s="622"/>
      <c r="AX52" s="622"/>
    </row>
    <row r="53" spans="1:50">
      <c r="D53" s="38" t="s">
        <v>722</v>
      </c>
      <c r="O53" s="69"/>
      <c r="P53" s="66"/>
      <c r="Q53" s="66"/>
      <c r="R53" s="66"/>
      <c r="S53" s="66"/>
      <c r="T53" s="66"/>
      <c r="U53" s="66"/>
      <c r="V53" s="66"/>
      <c r="W53" s="66"/>
      <c r="X53" s="66"/>
      <c r="Y53" s="70"/>
      <c r="Z53" s="66"/>
      <c r="AA53" s="66"/>
      <c r="AB53" s="66"/>
      <c r="AC53" s="66"/>
      <c r="AD53" s="66"/>
      <c r="AE53" s="66"/>
      <c r="AF53" s="66"/>
      <c r="AG53" s="66"/>
      <c r="AH53" s="66"/>
      <c r="AI53" s="66"/>
      <c r="AJ53" s="66"/>
      <c r="AK53" s="66"/>
      <c r="AL53" s="66"/>
      <c r="AM53" s="66"/>
      <c r="AN53" s="66"/>
      <c r="AO53" s="66"/>
      <c r="AP53" s="66"/>
      <c r="AQ53" s="66"/>
      <c r="AR53" s="66"/>
      <c r="AS53" s="66"/>
      <c r="AT53" s="66"/>
      <c r="AU53" s="66"/>
      <c r="AV53" s="66"/>
      <c r="AW53" s="66"/>
      <c r="AX53" s="66"/>
    </row>
    <row r="54" spans="1:50">
      <c r="C54" s="38" t="s">
        <v>1345</v>
      </c>
      <c r="O54" s="59"/>
      <c r="P54" s="59"/>
      <c r="Q54" s="59"/>
      <c r="R54" s="59"/>
      <c r="S54" s="59"/>
      <c r="T54" s="59"/>
      <c r="U54" s="59"/>
      <c r="V54" s="59"/>
      <c r="W54" s="59"/>
      <c r="X54" s="59"/>
      <c r="Y54" s="59"/>
      <c r="Z54" s="59"/>
      <c r="AA54" s="59"/>
      <c r="AB54" s="59"/>
      <c r="AC54" s="59"/>
      <c r="AD54" s="59"/>
      <c r="AE54" s="59"/>
      <c r="AF54" s="59"/>
      <c r="AG54" s="59"/>
      <c r="AH54" s="59"/>
      <c r="AI54" s="59"/>
      <c r="AJ54" s="59"/>
      <c r="AK54" s="59"/>
      <c r="AL54" s="59"/>
      <c r="AM54" s="59"/>
      <c r="AN54" s="59"/>
      <c r="AO54" s="59"/>
      <c r="AP54" s="59"/>
      <c r="AQ54" s="59"/>
      <c r="AR54" s="59"/>
      <c r="AS54" s="59"/>
      <c r="AT54" s="59"/>
      <c r="AU54" s="59"/>
      <c r="AV54" s="59"/>
      <c r="AW54" s="59"/>
      <c r="AX54" s="59"/>
    </row>
    <row r="55" spans="1:50">
      <c r="E55" s="38" t="s">
        <v>774</v>
      </c>
      <c r="G55" s="44"/>
      <c r="H55"/>
      <c r="I55" s="44"/>
      <c r="J55"/>
      <c r="K55" s="44"/>
      <c r="L55"/>
      <c r="M55" s="44"/>
      <c r="O55" s="57">
        <f>'3.1 Building Energy'!B31</f>
        <v>1</v>
      </c>
      <c r="P55" s="57">
        <f>'3.1 Building Energy'!C31</f>
        <v>1</v>
      </c>
      <c r="Q55" s="57">
        <f>'3.1 Building Energy'!D31</f>
        <v>1</v>
      </c>
      <c r="R55" s="57">
        <f>'3.1 Building Energy'!E31</f>
        <v>1</v>
      </c>
      <c r="S55" s="57">
        <f>'3.1 Building Energy'!F31</f>
        <v>1</v>
      </c>
      <c r="T55" s="57">
        <f>'3.1 Building Energy'!G31</f>
        <v>1</v>
      </c>
      <c r="U55" s="57">
        <f>'3.1 Building Energy'!H31</f>
        <v>1</v>
      </c>
      <c r="V55" s="57">
        <f>'3.1 Building Energy'!I31</f>
        <v>1</v>
      </c>
      <c r="W55" s="57">
        <f>'3.1 Building Energy'!J31</f>
        <v>1</v>
      </c>
      <c r="X55" s="57">
        <f>'3.1 Building Energy'!K31</f>
        <v>1</v>
      </c>
      <c r="Y55" s="57">
        <f>'3.1 Building Energy'!L31</f>
        <v>1</v>
      </c>
      <c r="Z55" s="57">
        <f>'3.1 Building Energy'!M31</f>
        <v>1</v>
      </c>
      <c r="AA55" s="57">
        <f>'3.1 Building Energy'!N31</f>
        <v>1</v>
      </c>
      <c r="AB55" s="57">
        <f>'3.1 Building Energy'!O31</f>
        <v>1</v>
      </c>
      <c r="AC55" s="57">
        <f>'3.1 Building Energy'!P31</f>
        <v>1</v>
      </c>
      <c r="AD55" s="57">
        <f>'3.1 Building Energy'!Q31</f>
        <v>1</v>
      </c>
      <c r="AE55" s="57">
        <f>'3.1 Building Energy'!R31</f>
        <v>1</v>
      </c>
      <c r="AF55" s="57">
        <f>'3.1 Building Energy'!S31</f>
        <v>1</v>
      </c>
      <c r="AG55" s="57">
        <f>'3.1 Building Energy'!T31</f>
        <v>1</v>
      </c>
      <c r="AH55" s="57">
        <f>'3.1 Building Energy'!U31</f>
        <v>1</v>
      </c>
      <c r="AI55" s="57">
        <f>'3.1 Building Energy'!V31</f>
        <v>1</v>
      </c>
      <c r="AJ55" s="57">
        <f>'3.1 Building Energy'!W31</f>
        <v>1</v>
      </c>
      <c r="AK55" s="57">
        <f>'3.1 Building Energy'!X31</f>
        <v>1</v>
      </c>
      <c r="AL55" s="57">
        <f>'3.1 Building Energy'!Y31</f>
        <v>1</v>
      </c>
      <c r="AM55" s="57">
        <f>'3.1 Building Energy'!Z31</f>
        <v>1</v>
      </c>
      <c r="AN55" s="57">
        <f>'3.1 Building Energy'!AA31</f>
        <v>1</v>
      </c>
      <c r="AO55" s="57">
        <f>'3.1 Building Energy'!AB31</f>
        <v>1</v>
      </c>
      <c r="AP55" s="57">
        <f>'3.1 Building Energy'!AC31</f>
        <v>1</v>
      </c>
      <c r="AQ55" s="57">
        <f>'3.1 Building Energy'!AD31</f>
        <v>1</v>
      </c>
      <c r="AR55" s="57">
        <f>'3.1 Building Energy'!AE31</f>
        <v>1</v>
      </c>
      <c r="AS55" s="57">
        <f>'3.1 Building Energy'!AF31</f>
        <v>1</v>
      </c>
      <c r="AT55" s="57">
        <f>'3.1 Building Energy'!AG31</f>
        <v>1</v>
      </c>
      <c r="AU55" s="57">
        <f>'3.1 Building Energy'!AH31</f>
        <v>1</v>
      </c>
      <c r="AV55" s="57">
        <f>'3.1 Building Energy'!AI31</f>
        <v>1</v>
      </c>
      <c r="AW55" s="57">
        <f>'3.1 Building Energy'!AJ31</f>
        <v>1</v>
      </c>
      <c r="AX55" s="57">
        <f>'3.1 Building Energy'!AK31</f>
        <v>1</v>
      </c>
    </row>
    <row r="56" spans="1:50">
      <c r="E56" s="38" t="s">
        <v>776</v>
      </c>
      <c r="G56" s="44"/>
      <c r="H56"/>
      <c r="I56" s="44"/>
      <c r="J56"/>
      <c r="K56" s="44"/>
      <c r="L56"/>
      <c r="M56" s="44"/>
      <c r="O56" s="57">
        <f>'3.1 Building Energy'!B32</f>
        <v>1</v>
      </c>
      <c r="P56" s="57">
        <f>'3.1 Building Energy'!C32</f>
        <v>1</v>
      </c>
      <c r="Q56" s="57">
        <f>'3.1 Building Energy'!D32</f>
        <v>1</v>
      </c>
      <c r="R56" s="57">
        <f>'3.1 Building Energy'!E32</f>
        <v>1</v>
      </c>
      <c r="S56" s="57">
        <f>'3.1 Building Energy'!F32</f>
        <v>1</v>
      </c>
      <c r="T56" s="57">
        <f>'3.1 Building Energy'!G32</f>
        <v>1</v>
      </c>
      <c r="U56" s="57">
        <f>'3.1 Building Energy'!H32</f>
        <v>1</v>
      </c>
      <c r="V56" s="57">
        <f>'3.1 Building Energy'!I32</f>
        <v>1</v>
      </c>
      <c r="W56" s="57">
        <f>'3.1 Building Energy'!J32</f>
        <v>1</v>
      </c>
      <c r="X56" s="57">
        <f>'3.1 Building Energy'!K32</f>
        <v>1</v>
      </c>
      <c r="Y56" s="57">
        <f>'3.1 Building Energy'!L32</f>
        <v>1</v>
      </c>
      <c r="Z56" s="57">
        <f>'3.1 Building Energy'!M32</f>
        <v>1</v>
      </c>
      <c r="AA56" s="57">
        <f>'3.1 Building Energy'!N32</f>
        <v>1</v>
      </c>
      <c r="AB56" s="57">
        <f>'3.1 Building Energy'!O32</f>
        <v>1</v>
      </c>
      <c r="AC56" s="57">
        <f>'3.1 Building Energy'!P32</f>
        <v>1</v>
      </c>
      <c r="AD56" s="57">
        <f>'3.1 Building Energy'!Q32</f>
        <v>1</v>
      </c>
      <c r="AE56" s="57">
        <f>'3.1 Building Energy'!R32</f>
        <v>1</v>
      </c>
      <c r="AF56" s="57">
        <f>'3.1 Building Energy'!S32</f>
        <v>1</v>
      </c>
      <c r="AG56" s="57">
        <f>'3.1 Building Energy'!T32</f>
        <v>1</v>
      </c>
      <c r="AH56" s="57">
        <f>'3.1 Building Energy'!U32</f>
        <v>1</v>
      </c>
      <c r="AI56" s="57">
        <f>'3.1 Building Energy'!V32</f>
        <v>1</v>
      </c>
      <c r="AJ56" s="57">
        <f>'3.1 Building Energy'!W32</f>
        <v>1</v>
      </c>
      <c r="AK56" s="57">
        <f>'3.1 Building Energy'!X32</f>
        <v>1</v>
      </c>
      <c r="AL56" s="57">
        <f>'3.1 Building Energy'!Y32</f>
        <v>1</v>
      </c>
      <c r="AM56" s="57">
        <f>'3.1 Building Energy'!Z32</f>
        <v>1</v>
      </c>
      <c r="AN56" s="57">
        <f>'3.1 Building Energy'!AA32</f>
        <v>1</v>
      </c>
      <c r="AO56" s="57">
        <f>'3.1 Building Energy'!AB32</f>
        <v>1</v>
      </c>
      <c r="AP56" s="57">
        <f>'3.1 Building Energy'!AC32</f>
        <v>1</v>
      </c>
      <c r="AQ56" s="57">
        <f>'3.1 Building Energy'!AD32</f>
        <v>1</v>
      </c>
      <c r="AR56" s="57">
        <f>'3.1 Building Energy'!AE32</f>
        <v>1</v>
      </c>
      <c r="AS56" s="57">
        <f>'3.1 Building Energy'!AF32</f>
        <v>1</v>
      </c>
      <c r="AT56" s="57">
        <f>'3.1 Building Energy'!AG32</f>
        <v>1</v>
      </c>
      <c r="AU56" s="57">
        <f>'3.1 Building Energy'!AH32</f>
        <v>1</v>
      </c>
      <c r="AV56" s="57">
        <f>'3.1 Building Energy'!AI32</f>
        <v>1</v>
      </c>
      <c r="AW56" s="57">
        <f>'3.1 Building Energy'!AJ32</f>
        <v>1</v>
      </c>
      <c r="AX56" s="57">
        <f>'3.1 Building Energy'!AK32</f>
        <v>1</v>
      </c>
    </row>
    <row r="57" spans="1:50">
      <c r="E57" s="38" t="s">
        <v>346</v>
      </c>
      <c r="G57" s="44"/>
      <c r="H57"/>
      <c r="I57" s="44"/>
      <c r="J57"/>
      <c r="K57" s="44"/>
      <c r="L57"/>
      <c r="M57" s="44"/>
      <c r="O57" s="57">
        <f>'3.1 Building Energy'!B33</f>
        <v>1</v>
      </c>
      <c r="P57" s="57">
        <f>'3.1 Building Energy'!C33</f>
        <v>1</v>
      </c>
      <c r="Q57" s="57">
        <f>'3.1 Building Energy'!D33</f>
        <v>1</v>
      </c>
      <c r="R57" s="57">
        <f>'3.1 Building Energy'!E33</f>
        <v>1</v>
      </c>
      <c r="S57" s="57">
        <f>'3.1 Building Energy'!F33</f>
        <v>1</v>
      </c>
      <c r="T57" s="57">
        <f>'3.1 Building Energy'!G33</f>
        <v>1</v>
      </c>
      <c r="U57" s="57">
        <f>'3.1 Building Energy'!H33</f>
        <v>1</v>
      </c>
      <c r="V57" s="57">
        <f>'3.1 Building Energy'!I33</f>
        <v>1</v>
      </c>
      <c r="W57" s="57">
        <f>'3.1 Building Energy'!J33</f>
        <v>1</v>
      </c>
      <c r="X57" s="57">
        <f>'3.1 Building Energy'!K33</f>
        <v>1</v>
      </c>
      <c r="Y57" s="57">
        <f>'3.1 Building Energy'!L33</f>
        <v>1</v>
      </c>
      <c r="Z57" s="57">
        <f>'3.1 Building Energy'!M33</f>
        <v>1</v>
      </c>
      <c r="AA57" s="57">
        <f>'3.1 Building Energy'!N33</f>
        <v>1</v>
      </c>
      <c r="AB57" s="57">
        <f>'3.1 Building Energy'!O33</f>
        <v>1</v>
      </c>
      <c r="AC57" s="57">
        <f>'3.1 Building Energy'!P33</f>
        <v>1</v>
      </c>
      <c r="AD57" s="57">
        <f>'3.1 Building Energy'!Q33</f>
        <v>1</v>
      </c>
      <c r="AE57" s="57">
        <f>'3.1 Building Energy'!R33</f>
        <v>1</v>
      </c>
      <c r="AF57" s="57">
        <f>'3.1 Building Energy'!S33</f>
        <v>1</v>
      </c>
      <c r="AG57" s="57">
        <f>'3.1 Building Energy'!T33</f>
        <v>1</v>
      </c>
      <c r="AH57" s="57">
        <f>'3.1 Building Energy'!U33</f>
        <v>1</v>
      </c>
      <c r="AI57" s="57">
        <f>'3.1 Building Energy'!V33</f>
        <v>1</v>
      </c>
      <c r="AJ57" s="57">
        <f>'3.1 Building Energy'!W33</f>
        <v>1</v>
      </c>
      <c r="AK57" s="57">
        <f>'3.1 Building Energy'!X33</f>
        <v>1</v>
      </c>
      <c r="AL57" s="57">
        <f>'3.1 Building Energy'!Y33</f>
        <v>1</v>
      </c>
      <c r="AM57" s="57">
        <f>'3.1 Building Energy'!Z33</f>
        <v>1</v>
      </c>
      <c r="AN57" s="57">
        <f>'3.1 Building Energy'!AA33</f>
        <v>1</v>
      </c>
      <c r="AO57" s="57">
        <f>'3.1 Building Energy'!AB33</f>
        <v>1</v>
      </c>
      <c r="AP57" s="57">
        <f>'3.1 Building Energy'!AC33</f>
        <v>1</v>
      </c>
      <c r="AQ57" s="57">
        <f>'3.1 Building Energy'!AD33</f>
        <v>1</v>
      </c>
      <c r="AR57" s="57">
        <f>'3.1 Building Energy'!AE33</f>
        <v>1</v>
      </c>
      <c r="AS57" s="57">
        <f>'3.1 Building Energy'!AF33</f>
        <v>1</v>
      </c>
      <c r="AT57" s="57">
        <f>'3.1 Building Energy'!AG33</f>
        <v>1</v>
      </c>
      <c r="AU57" s="57">
        <f>'3.1 Building Energy'!AH33</f>
        <v>1</v>
      </c>
      <c r="AV57" s="57">
        <f>'3.1 Building Energy'!AI33</f>
        <v>1</v>
      </c>
      <c r="AW57" s="57">
        <f>'3.1 Building Energy'!AJ33</f>
        <v>1</v>
      </c>
      <c r="AX57" s="57">
        <f>'3.1 Building Energy'!AK33</f>
        <v>1</v>
      </c>
    </row>
    <row r="58" spans="1:50">
      <c r="E58" s="38" t="s">
        <v>219</v>
      </c>
      <c r="G58" s="44"/>
      <c r="H58"/>
      <c r="I58" s="44"/>
      <c r="J58"/>
      <c r="K58" s="44"/>
      <c r="L58"/>
      <c r="M58" s="44"/>
      <c r="O58" s="57">
        <f>'3.1 Building Energy'!B34</f>
        <v>1</v>
      </c>
      <c r="P58" s="57">
        <f>'3.1 Building Energy'!C34</f>
        <v>1</v>
      </c>
      <c r="Q58" s="57">
        <f>'3.1 Building Energy'!D34</f>
        <v>1</v>
      </c>
      <c r="R58" s="57">
        <f>'3.1 Building Energy'!E34</f>
        <v>1</v>
      </c>
      <c r="S58" s="57">
        <f>'3.1 Building Energy'!F34</f>
        <v>1</v>
      </c>
      <c r="T58" s="57">
        <f>'3.1 Building Energy'!G34</f>
        <v>1</v>
      </c>
      <c r="U58" s="57">
        <f>'3.1 Building Energy'!H34</f>
        <v>1</v>
      </c>
      <c r="V58" s="57">
        <f>'3.1 Building Energy'!I34</f>
        <v>1</v>
      </c>
      <c r="W58" s="57">
        <f>'3.1 Building Energy'!J34</f>
        <v>1</v>
      </c>
      <c r="X58" s="57">
        <f>'3.1 Building Energy'!K34</f>
        <v>1</v>
      </c>
      <c r="Y58" s="57">
        <f>'3.1 Building Energy'!L34</f>
        <v>1</v>
      </c>
      <c r="Z58" s="57">
        <f>'3.1 Building Energy'!M34</f>
        <v>1</v>
      </c>
      <c r="AA58" s="57">
        <f>'3.1 Building Energy'!N34</f>
        <v>1</v>
      </c>
      <c r="AB58" s="57">
        <f>'3.1 Building Energy'!O34</f>
        <v>1</v>
      </c>
      <c r="AC58" s="57">
        <f>'3.1 Building Energy'!P34</f>
        <v>1</v>
      </c>
      <c r="AD58" s="57">
        <f>'3.1 Building Energy'!Q34</f>
        <v>1</v>
      </c>
      <c r="AE58" s="57">
        <f>'3.1 Building Energy'!R34</f>
        <v>1</v>
      </c>
      <c r="AF58" s="57">
        <f>'3.1 Building Energy'!S34</f>
        <v>1</v>
      </c>
      <c r="AG58" s="57">
        <f>'3.1 Building Energy'!T34</f>
        <v>1</v>
      </c>
      <c r="AH58" s="57">
        <f>'3.1 Building Energy'!U34</f>
        <v>1</v>
      </c>
      <c r="AI58" s="57">
        <f>'3.1 Building Energy'!V34</f>
        <v>1</v>
      </c>
      <c r="AJ58" s="57">
        <f>'3.1 Building Energy'!W34</f>
        <v>1</v>
      </c>
      <c r="AK58" s="57">
        <f>'3.1 Building Energy'!X34</f>
        <v>1</v>
      </c>
      <c r="AL58" s="57">
        <f>'3.1 Building Energy'!Y34</f>
        <v>1</v>
      </c>
      <c r="AM58" s="57">
        <f>'3.1 Building Energy'!Z34</f>
        <v>1</v>
      </c>
      <c r="AN58" s="57">
        <f>'3.1 Building Energy'!AA34</f>
        <v>1</v>
      </c>
      <c r="AO58" s="57">
        <f>'3.1 Building Energy'!AB34</f>
        <v>1</v>
      </c>
      <c r="AP58" s="57">
        <f>'3.1 Building Energy'!AC34</f>
        <v>1</v>
      </c>
      <c r="AQ58" s="57">
        <f>'3.1 Building Energy'!AD34</f>
        <v>1</v>
      </c>
      <c r="AR58" s="57">
        <f>'3.1 Building Energy'!AE34</f>
        <v>1</v>
      </c>
      <c r="AS58" s="57">
        <f>'3.1 Building Energy'!AF34</f>
        <v>1</v>
      </c>
      <c r="AT58" s="57">
        <f>'3.1 Building Energy'!AG34</f>
        <v>1</v>
      </c>
      <c r="AU58" s="57">
        <f>'3.1 Building Energy'!AH34</f>
        <v>1</v>
      </c>
      <c r="AV58" s="57">
        <f>'3.1 Building Energy'!AI34</f>
        <v>1</v>
      </c>
      <c r="AW58" s="57">
        <f>'3.1 Building Energy'!AJ34</f>
        <v>1</v>
      </c>
      <c r="AX58" s="57">
        <f>'3.1 Building Energy'!AK34</f>
        <v>1</v>
      </c>
    </row>
    <row r="59" spans="1:50">
      <c r="E59" s="38" t="s">
        <v>476</v>
      </c>
      <c r="G59" s="44"/>
      <c r="H59"/>
      <c r="I59" s="44"/>
      <c r="J59"/>
      <c r="K59" s="44"/>
      <c r="L59"/>
      <c r="M59" s="44"/>
      <c r="O59" s="57">
        <f>'3.1 Building Energy'!B35</f>
        <v>1</v>
      </c>
      <c r="P59" s="57">
        <f>'3.1 Building Energy'!C35</f>
        <v>1</v>
      </c>
      <c r="Q59" s="57">
        <f>'3.1 Building Energy'!D35</f>
        <v>1</v>
      </c>
      <c r="R59" s="57">
        <f>'3.1 Building Energy'!E35</f>
        <v>1</v>
      </c>
      <c r="S59" s="57">
        <f>'3.1 Building Energy'!F35</f>
        <v>1</v>
      </c>
      <c r="T59" s="57">
        <f>'3.1 Building Energy'!G35</f>
        <v>1</v>
      </c>
      <c r="U59" s="57">
        <f>'3.1 Building Energy'!H35</f>
        <v>1</v>
      </c>
      <c r="V59" s="57">
        <f>'3.1 Building Energy'!I35</f>
        <v>1</v>
      </c>
      <c r="W59" s="57">
        <f>'3.1 Building Energy'!J35</f>
        <v>1</v>
      </c>
      <c r="X59" s="57">
        <f>'3.1 Building Energy'!K35</f>
        <v>1</v>
      </c>
      <c r="Y59" s="57">
        <f>'3.1 Building Energy'!L35</f>
        <v>1</v>
      </c>
      <c r="Z59" s="57">
        <f>'3.1 Building Energy'!M35</f>
        <v>1</v>
      </c>
      <c r="AA59" s="57">
        <f>'3.1 Building Energy'!N35</f>
        <v>1</v>
      </c>
      <c r="AB59" s="57">
        <f>'3.1 Building Energy'!O35</f>
        <v>1</v>
      </c>
      <c r="AC59" s="57">
        <f>'3.1 Building Energy'!P35</f>
        <v>1</v>
      </c>
      <c r="AD59" s="57">
        <f>'3.1 Building Energy'!Q35</f>
        <v>1</v>
      </c>
      <c r="AE59" s="57">
        <f>'3.1 Building Energy'!R35</f>
        <v>1</v>
      </c>
      <c r="AF59" s="57">
        <f>'3.1 Building Energy'!S35</f>
        <v>1</v>
      </c>
      <c r="AG59" s="57">
        <f>'3.1 Building Energy'!T35</f>
        <v>1</v>
      </c>
      <c r="AH59" s="57">
        <f>'3.1 Building Energy'!U35</f>
        <v>1</v>
      </c>
      <c r="AI59" s="57">
        <f>'3.1 Building Energy'!V35</f>
        <v>1</v>
      </c>
      <c r="AJ59" s="57">
        <f>'3.1 Building Energy'!W35</f>
        <v>1</v>
      </c>
      <c r="AK59" s="57">
        <f>'3.1 Building Energy'!X35</f>
        <v>1</v>
      </c>
      <c r="AL59" s="57">
        <f>'3.1 Building Energy'!Y35</f>
        <v>1</v>
      </c>
      <c r="AM59" s="57">
        <f>'3.1 Building Energy'!Z35</f>
        <v>1</v>
      </c>
      <c r="AN59" s="57">
        <f>'3.1 Building Energy'!AA35</f>
        <v>1</v>
      </c>
      <c r="AO59" s="57">
        <f>'3.1 Building Energy'!AB35</f>
        <v>1</v>
      </c>
      <c r="AP59" s="57">
        <f>'3.1 Building Energy'!AC35</f>
        <v>1</v>
      </c>
      <c r="AQ59" s="57">
        <f>'3.1 Building Energy'!AD35</f>
        <v>1</v>
      </c>
      <c r="AR59" s="57">
        <f>'3.1 Building Energy'!AE35</f>
        <v>1</v>
      </c>
      <c r="AS59" s="57">
        <f>'3.1 Building Energy'!AF35</f>
        <v>1</v>
      </c>
      <c r="AT59" s="57">
        <f>'3.1 Building Energy'!AG35</f>
        <v>1</v>
      </c>
      <c r="AU59" s="57">
        <f>'3.1 Building Energy'!AH35</f>
        <v>1</v>
      </c>
      <c r="AV59" s="57">
        <f>'3.1 Building Energy'!AI35</f>
        <v>1</v>
      </c>
      <c r="AW59" s="57">
        <f>'3.1 Building Energy'!AJ35</f>
        <v>1</v>
      </c>
      <c r="AX59" s="57">
        <f>'3.1 Building Energy'!AK35</f>
        <v>1</v>
      </c>
    </row>
    <row r="60" spans="1:50">
      <c r="E60" s="38" t="s">
        <v>1347</v>
      </c>
      <c r="G60" s="44"/>
      <c r="H60"/>
      <c r="I60" s="44"/>
      <c r="J60"/>
      <c r="K60" s="44"/>
      <c r="L60"/>
      <c r="M60" s="44"/>
      <c r="O60" s="57">
        <f>'3.1 Building Energy'!B36</f>
        <v>1</v>
      </c>
      <c r="P60" s="57">
        <f>'3.1 Building Energy'!C36</f>
        <v>1</v>
      </c>
      <c r="Q60" s="57">
        <f>'3.1 Building Energy'!D36</f>
        <v>1</v>
      </c>
      <c r="R60" s="57">
        <f>'3.1 Building Energy'!E36</f>
        <v>1</v>
      </c>
      <c r="S60" s="57">
        <f>'3.1 Building Energy'!F36</f>
        <v>1</v>
      </c>
      <c r="T60" s="57">
        <f>'3.1 Building Energy'!G36</f>
        <v>1</v>
      </c>
      <c r="U60" s="57">
        <f>'3.1 Building Energy'!H36</f>
        <v>1</v>
      </c>
      <c r="V60" s="57">
        <f>'3.1 Building Energy'!I36</f>
        <v>1</v>
      </c>
      <c r="W60" s="57">
        <f>'3.1 Building Energy'!J36</f>
        <v>1</v>
      </c>
      <c r="X60" s="57">
        <f>'3.1 Building Energy'!K36</f>
        <v>1</v>
      </c>
      <c r="Y60" s="57">
        <f>'3.1 Building Energy'!L36</f>
        <v>1</v>
      </c>
      <c r="Z60" s="57">
        <f>'3.1 Building Energy'!M36</f>
        <v>1</v>
      </c>
      <c r="AA60" s="57">
        <f>'3.1 Building Energy'!N36</f>
        <v>1</v>
      </c>
      <c r="AB60" s="57">
        <f>'3.1 Building Energy'!O36</f>
        <v>1</v>
      </c>
      <c r="AC60" s="57">
        <f>'3.1 Building Energy'!P36</f>
        <v>1</v>
      </c>
      <c r="AD60" s="57">
        <f>'3.1 Building Energy'!Q36</f>
        <v>1</v>
      </c>
      <c r="AE60" s="57">
        <f>'3.1 Building Energy'!R36</f>
        <v>1</v>
      </c>
      <c r="AF60" s="57">
        <f>'3.1 Building Energy'!S36</f>
        <v>1</v>
      </c>
      <c r="AG60" s="57">
        <f>'3.1 Building Energy'!T36</f>
        <v>1</v>
      </c>
      <c r="AH60" s="57">
        <f>'3.1 Building Energy'!U36</f>
        <v>1</v>
      </c>
      <c r="AI60" s="57">
        <f>'3.1 Building Energy'!V36</f>
        <v>1</v>
      </c>
      <c r="AJ60" s="57">
        <f>'3.1 Building Energy'!W36</f>
        <v>1</v>
      </c>
      <c r="AK60" s="57">
        <f>'3.1 Building Energy'!X36</f>
        <v>1</v>
      </c>
      <c r="AL60" s="57">
        <f>'3.1 Building Energy'!Y36</f>
        <v>1</v>
      </c>
      <c r="AM60" s="57">
        <f>'3.1 Building Energy'!Z36</f>
        <v>1</v>
      </c>
      <c r="AN60" s="57">
        <f>'3.1 Building Energy'!AA36</f>
        <v>1</v>
      </c>
      <c r="AO60" s="57">
        <f>'3.1 Building Energy'!AB36</f>
        <v>1</v>
      </c>
      <c r="AP60" s="57">
        <f>'3.1 Building Energy'!AC36</f>
        <v>1</v>
      </c>
      <c r="AQ60" s="57">
        <f>'3.1 Building Energy'!AD36</f>
        <v>1</v>
      </c>
      <c r="AR60" s="57">
        <f>'3.1 Building Energy'!AE36</f>
        <v>1</v>
      </c>
      <c r="AS60" s="57">
        <f>'3.1 Building Energy'!AF36</f>
        <v>1</v>
      </c>
      <c r="AT60" s="57">
        <f>'3.1 Building Energy'!AG36</f>
        <v>1</v>
      </c>
      <c r="AU60" s="57">
        <f>'3.1 Building Energy'!AH36</f>
        <v>1</v>
      </c>
      <c r="AV60" s="57">
        <f>'3.1 Building Energy'!AI36</f>
        <v>1</v>
      </c>
      <c r="AW60" s="57">
        <f>'3.1 Building Energy'!AJ36</f>
        <v>1</v>
      </c>
      <c r="AX60" s="57">
        <f>'3.1 Building Energy'!AK36</f>
        <v>1</v>
      </c>
    </row>
    <row r="61" spans="1:50">
      <c r="A61" s="70"/>
      <c r="B61" s="70"/>
      <c r="C61" s="70"/>
      <c r="D61" s="70"/>
      <c r="E61" s="70"/>
      <c r="F61" s="70"/>
      <c r="G61" s="70"/>
      <c r="H61" s="70"/>
      <c r="I61" s="70"/>
      <c r="J61" s="70"/>
      <c r="K61" s="70"/>
      <c r="L61" s="70"/>
      <c r="M61" s="70"/>
      <c r="O61" s="70"/>
      <c r="P61" s="70"/>
      <c r="Q61" s="70"/>
      <c r="R61" s="70"/>
      <c r="S61" s="70"/>
      <c r="T61" s="70"/>
      <c r="U61" s="70"/>
      <c r="V61" s="70"/>
      <c r="W61" s="70"/>
      <c r="X61" s="70"/>
      <c r="Y61" s="70"/>
      <c r="Z61" s="70"/>
      <c r="AA61" s="70"/>
      <c r="AB61" s="70"/>
      <c r="AC61" s="70"/>
      <c r="AD61" s="70"/>
      <c r="AE61" s="70"/>
      <c r="AF61" s="70"/>
      <c r="AG61" s="70"/>
      <c r="AH61" s="70"/>
      <c r="AI61" s="70"/>
      <c r="AJ61" s="70"/>
      <c r="AK61" s="70"/>
      <c r="AL61" s="70"/>
      <c r="AM61" s="70"/>
      <c r="AN61" s="70"/>
      <c r="AO61" s="70"/>
      <c r="AP61" s="70"/>
      <c r="AQ61" s="70"/>
      <c r="AR61" s="70"/>
      <c r="AS61" s="70"/>
      <c r="AT61" s="70"/>
      <c r="AU61" s="70"/>
      <c r="AV61" s="70"/>
      <c r="AW61" s="70"/>
      <c r="AX61" s="70"/>
    </row>
    <row r="62" spans="1:50">
      <c r="C62" s="38" t="s">
        <v>1344</v>
      </c>
      <c r="O62" s="69"/>
      <c r="P62" s="69"/>
      <c r="Q62" s="69"/>
      <c r="R62" s="69"/>
      <c r="S62" s="69"/>
      <c r="T62" s="69"/>
      <c r="U62" s="69"/>
      <c r="V62" s="69"/>
      <c r="W62" s="69"/>
      <c r="X62" s="69"/>
      <c r="Y62" s="69"/>
      <c r="Z62" s="69"/>
      <c r="AA62" s="69"/>
      <c r="AB62" s="69"/>
      <c r="AC62" s="69"/>
      <c r="AD62" s="69"/>
      <c r="AE62" s="69"/>
      <c r="AF62" s="69"/>
      <c r="AG62" s="69"/>
      <c r="AH62" s="69"/>
      <c r="AI62" s="69"/>
      <c r="AJ62" s="69"/>
      <c r="AK62" s="69"/>
      <c r="AL62" s="69"/>
      <c r="AM62" s="69"/>
      <c r="AN62" s="69"/>
      <c r="AO62" s="69"/>
      <c r="AP62" s="69"/>
      <c r="AQ62" s="69"/>
      <c r="AR62" s="69"/>
      <c r="AS62" s="69"/>
      <c r="AT62" s="69"/>
      <c r="AU62" s="69"/>
      <c r="AV62" s="69"/>
      <c r="AW62" s="69"/>
      <c r="AX62" s="69"/>
    </row>
    <row r="63" spans="1:50">
      <c r="E63" t="s">
        <v>774</v>
      </c>
      <c r="G63" s="44"/>
      <c r="H63"/>
      <c r="I63" s="44"/>
      <c r="J63"/>
      <c r="K63" s="44"/>
      <c r="L63"/>
      <c r="M63" s="44"/>
      <c r="O63" s="620">
        <f>'Allocation of heat'!E108</f>
        <v>0.82209195802803559</v>
      </c>
      <c r="P63" s="620">
        <f>'Allocation of heat'!F108</f>
        <v>0.82172332779003465</v>
      </c>
      <c r="Q63" s="620">
        <f>'Allocation of heat'!G108</f>
        <v>0.82134714480308224</v>
      </c>
      <c r="R63" s="620">
        <f>'Allocation of heat'!H108</f>
        <v>0.82096455991386519</v>
      </c>
      <c r="S63" s="620">
        <f>'Allocation of heat'!I108</f>
        <v>0.82053524353997209</v>
      </c>
      <c r="T63" s="620">
        <f>'Allocation of heat'!J108</f>
        <v>0.81608599434313989</v>
      </c>
      <c r="U63" s="620">
        <f>'Allocation of heat'!K108</f>
        <v>0.81062921495041862</v>
      </c>
      <c r="V63" s="620">
        <f>'Allocation of heat'!L108</f>
        <v>0.80057817823074551</v>
      </c>
      <c r="W63" s="620">
        <f>'Allocation of heat'!M108</f>
        <v>0.78518889820249949</v>
      </c>
      <c r="X63" s="620">
        <f>'Allocation of heat'!N108</f>
        <v>0.76093026972665767</v>
      </c>
      <c r="Y63" s="620">
        <f>'Allocation of heat'!O108</f>
        <v>0.72955127870250203</v>
      </c>
      <c r="Z63" s="620">
        <f>'Allocation of heat'!P108</f>
        <v>0.68774481168116164</v>
      </c>
      <c r="AA63" s="620">
        <f>'Allocation of heat'!Q108</f>
        <v>0.63219720067622132</v>
      </c>
      <c r="AB63" s="620">
        <f>'Allocation of heat'!R108</f>
        <v>0.57689149456019351</v>
      </c>
      <c r="AC63" s="620">
        <f>'Allocation of heat'!S108</f>
        <v>0.5226539733816965</v>
      </c>
      <c r="AD63" s="620">
        <f>'Allocation of heat'!T108</f>
        <v>0.47076182772039932</v>
      </c>
      <c r="AE63" s="620">
        <f>'Allocation of heat'!U108</f>
        <v>0.41768053000946642</v>
      </c>
      <c r="AF63" s="620">
        <f>'Allocation of heat'!V108</f>
        <v>0.366487944852258</v>
      </c>
      <c r="AG63" s="620">
        <f>'Allocation of heat'!W108</f>
        <v>0.317401742776102</v>
      </c>
      <c r="AH63" s="620">
        <f>'Allocation of heat'!X108</f>
        <v>0.27059436856483737</v>
      </c>
      <c r="AI63" s="620">
        <f>'Allocation of heat'!Y108</f>
        <v>0.2307496517328361</v>
      </c>
      <c r="AJ63" s="620">
        <f>'Allocation of heat'!Z108</f>
        <v>0.17867792571842542</v>
      </c>
      <c r="AK63" s="620">
        <f>'Allocation of heat'!AA108</f>
        <v>0.14105624144250783</v>
      </c>
      <c r="AL63" s="620">
        <f>'Allocation of heat'!AB108</f>
        <v>0.11512776663503113</v>
      </c>
      <c r="AM63" s="620">
        <f>'Allocation of heat'!AC108</f>
        <v>0.10571849118891062</v>
      </c>
      <c r="AN63" s="620">
        <f>'Allocation of heat'!AD108</f>
        <v>9.6412366428088911E-2</v>
      </c>
      <c r="AO63" s="620">
        <f>'Allocation of heat'!AE108</f>
        <v>8.6026255195053927E-2</v>
      </c>
      <c r="AP63" s="620">
        <f>'Allocation of heat'!AF108</f>
        <v>7.5921158515895176E-2</v>
      </c>
      <c r="AQ63" s="620">
        <f>'Allocation of heat'!AG108</f>
        <v>6.6053273608900634E-2</v>
      </c>
      <c r="AR63" s="620">
        <f>'Allocation of heat'!AH108</f>
        <v>5.6379064987146219E-2</v>
      </c>
      <c r="AS63" s="620">
        <f>'Allocation of heat'!AI108</f>
        <v>4.6855279554044574E-2</v>
      </c>
      <c r="AT63" s="620">
        <f>'Allocation of heat'!AJ108</f>
        <v>3.7921682039880368E-2</v>
      </c>
      <c r="AU63" s="620">
        <f>'Allocation of heat'!AK108</f>
        <v>2.8781030669957946E-2</v>
      </c>
      <c r="AV63" s="620">
        <f>'Allocation of heat'!AL108</f>
        <v>1.9421669914798524E-2</v>
      </c>
      <c r="AW63" s="620">
        <f>'Allocation of heat'!AM108</f>
        <v>9.8319017594586614E-3</v>
      </c>
      <c r="AX63" s="620">
        <f>'Allocation of heat'!AN108</f>
        <v>0</v>
      </c>
    </row>
    <row r="64" spans="1:50">
      <c r="E64" s="38" t="s">
        <v>776</v>
      </c>
      <c r="G64" s="44"/>
      <c r="H64"/>
      <c r="I64" s="44"/>
      <c r="J64"/>
      <c r="K64" s="44"/>
      <c r="L64"/>
      <c r="M64" s="44"/>
      <c r="O64" s="620">
        <f>'Allocation of heat'!E109</f>
        <v>0.15658894438629251</v>
      </c>
      <c r="P64" s="620">
        <f>'Allocation of heat'!F109</f>
        <v>0.15651872910286377</v>
      </c>
      <c r="Q64" s="620">
        <f>'Allocation of heat'!G109</f>
        <v>0.15644707520058707</v>
      </c>
      <c r="R64" s="620">
        <f>'Allocation of heat'!H109</f>
        <v>0.1563742018883553</v>
      </c>
      <c r="S64" s="620">
        <f>'Allocation of heat'!I109</f>
        <v>0.15629242734094706</v>
      </c>
      <c r="T64" s="620">
        <f>'Allocation of heat'!J109</f>
        <v>0.15544495130345523</v>
      </c>
      <c r="U64" s="620">
        <f>'Allocation of heat'!K109</f>
        <v>0.15440556475246064</v>
      </c>
      <c r="V64" s="620">
        <f>'Allocation of heat'!L109</f>
        <v>0.15249108156776103</v>
      </c>
      <c r="W64" s="620">
        <f>'Allocation of heat'!M109</f>
        <v>0.14955979013380943</v>
      </c>
      <c r="X64" s="620">
        <f>'Allocation of heat'!N109</f>
        <v>0.14493909899555385</v>
      </c>
      <c r="Y64" s="620">
        <f>'Allocation of heat'!O109</f>
        <v>0.13896214832428613</v>
      </c>
      <c r="Z64" s="620">
        <f>'Allocation of heat'!P109</f>
        <v>0.13099901174879267</v>
      </c>
      <c r="AA64" s="620">
        <f>'Allocation of heat'!Q109</f>
        <v>0.12113929320911257</v>
      </c>
      <c r="AB64" s="620">
        <f>'Allocation of heat'!R109</f>
        <v>0.11120746301178183</v>
      </c>
      <c r="AC64" s="620">
        <f>'Allocation of heat'!S109</f>
        <v>0.10136245765615214</v>
      </c>
      <c r="AD64" s="620">
        <f>'Allocation of heat'!T109</f>
        <v>9.1855070237441452E-2</v>
      </c>
      <c r="AE64" s="620">
        <f>'Allocation of heat'!U109</f>
        <v>8.2473639343056362E-2</v>
      </c>
      <c r="AF64" s="620">
        <f>'Allocation of heat'!V109</f>
        <v>7.3242291040715862E-2</v>
      </c>
      <c r="AG64" s="620">
        <f>'Allocation of heat'!W109</f>
        <v>6.4210583415108727E-2</v>
      </c>
      <c r="AH64" s="620">
        <f>'Allocation of heat'!X109</f>
        <v>5.5421273643591888E-2</v>
      </c>
      <c r="AI64" s="620">
        <f>'Allocation of heat'!Y109</f>
        <v>4.7260553350299252E-2</v>
      </c>
      <c r="AJ64" s="620">
        <f>'Allocation of heat'!Z109</f>
        <v>5.2932894386630319E-2</v>
      </c>
      <c r="AK64" s="620">
        <f>'Allocation of heat'!AA109</f>
        <v>5.6669174158634858E-2</v>
      </c>
      <c r="AL64" s="620">
        <f>'Allocation of heat'!AB109</f>
        <v>6.042291899688014E-2</v>
      </c>
      <c r="AM64" s="620">
        <f>'Allocation of heat'!AC109</f>
        <v>7.0862834479370349E-2</v>
      </c>
      <c r="AN64" s="620">
        <f>'Allocation of heat'!AD109</f>
        <v>8.1454380238784804E-2</v>
      </c>
      <c r="AO64" s="620">
        <f>'Allocation of heat'!AE109</f>
        <v>9.1033074280480353E-2</v>
      </c>
      <c r="AP64" s="620">
        <f>'Allocation of heat'!AF109</f>
        <v>0.10058678835631275</v>
      </c>
      <c r="AQ64" s="620">
        <f>'Allocation of heat'!AG109</f>
        <v>0.11016126386386764</v>
      </c>
      <c r="AR64" s="620">
        <f>'Allocation of heat'!AH109</f>
        <v>0.11980190460658315</v>
      </c>
      <c r="AS64" s="620">
        <f>'Allocation of heat'!AI109</f>
        <v>0.12955376835219701</v>
      </c>
      <c r="AT64" s="620">
        <f>'Allocation of heat'!AJ109</f>
        <v>0.14125972188434702</v>
      </c>
      <c r="AU64" s="620">
        <f>'Allocation of heat'!AK109</f>
        <v>0.1532630409460127</v>
      </c>
      <c r="AV64" s="620">
        <f>'Allocation of heat'!AL109</f>
        <v>0.16557644858238377</v>
      </c>
      <c r="AW64" s="620">
        <f>'Allocation of heat'!AM109</f>
        <v>0.17821265861998825</v>
      </c>
      <c r="AX64" s="620">
        <f>'Allocation of heat'!AN109</f>
        <v>0.19118436582412873</v>
      </c>
    </row>
    <row r="65" spans="2:50">
      <c r="E65" s="38" t="s">
        <v>346</v>
      </c>
      <c r="G65" s="44"/>
      <c r="H65"/>
      <c r="I65" s="44"/>
      <c r="J65"/>
      <c r="K65" s="44"/>
      <c r="L65"/>
      <c r="M65" s="44"/>
      <c r="O65" s="620">
        <f>'Allocation of heat'!E106</f>
        <v>0</v>
      </c>
      <c r="P65" s="620">
        <f>'Allocation of heat'!F106</f>
        <v>0</v>
      </c>
      <c r="Q65" s="620">
        <f>'Allocation of heat'!G106</f>
        <v>0</v>
      </c>
      <c r="R65" s="620">
        <f>'Allocation of heat'!H106</f>
        <v>0</v>
      </c>
      <c r="S65" s="620">
        <f>'Allocation of heat'!I106</f>
        <v>0</v>
      </c>
      <c r="T65" s="620">
        <f>'Allocation of heat'!J106</f>
        <v>9.6520339977126393E-4</v>
      </c>
      <c r="U65" s="620">
        <f>'Allocation of heat'!K106</f>
        <v>4.1898296931354795E-3</v>
      </c>
      <c r="V65" s="620">
        <f>'Allocation of heat'!L106</f>
        <v>1.2804690526340633E-2</v>
      </c>
      <c r="W65" s="620">
        <f>'Allocation of heat'!M106</f>
        <v>2.7529556878208898E-2</v>
      </c>
      <c r="X65" s="620">
        <f>'Allocation of heat'!N106</f>
        <v>5.2291940978021499E-2</v>
      </c>
      <c r="Y65" s="620">
        <f>'Allocation of heat'!O106</f>
        <v>8.5350232947530802E-2</v>
      </c>
      <c r="Z65" s="620">
        <f>'Allocation of heat'!P106</f>
        <v>0.12977757469993603</v>
      </c>
      <c r="AA65" s="620">
        <f>'Allocation of heat'!Q106</f>
        <v>0.18577196939712173</v>
      </c>
      <c r="AB65" s="620">
        <f>'Allocation of heat'!R106</f>
        <v>0.24316348716710826</v>
      </c>
      <c r="AC65" s="620">
        <f>'Allocation of heat'!S106</f>
        <v>0.29957735085299608</v>
      </c>
      <c r="AD65" s="620">
        <f>'Allocation of heat'!T106</f>
        <v>0.35380537586993061</v>
      </c>
      <c r="AE65" s="620">
        <f>'Allocation of heat'!U106</f>
        <v>0.40544932843044573</v>
      </c>
      <c r="AF65" s="620">
        <f>'Allocation of heat'!V106</f>
        <v>0.45654987106961725</v>
      </c>
      <c r="AG65" s="620">
        <f>'Allocation of heat'!W106</f>
        <v>0.50708138338619602</v>
      </c>
      <c r="AH65" s="620">
        <f>'Allocation of heat'!X106</f>
        <v>0.55705368260611243</v>
      </c>
      <c r="AI65" s="620">
        <f>'Allocation of heat'!Y106</f>
        <v>0.60653178330388635</v>
      </c>
      <c r="AJ65" s="620">
        <f>'Allocation of heat'!Z106</f>
        <v>0.65570759558625347</v>
      </c>
      <c r="AK65" s="620">
        <f>'Allocation of heat'!AA106</f>
        <v>0.69249966852807276</v>
      </c>
      <c r="AL65" s="620">
        <f>'Allocation of heat'!AB106</f>
        <v>0.71702997129179114</v>
      </c>
      <c r="AM65" s="620">
        <f>'Allocation of heat'!AC106</f>
        <v>0.7174168232436321</v>
      </c>
      <c r="AN65" s="620">
        <f>'Allocation of heat'!AD106</f>
        <v>0.71782308055622479</v>
      </c>
      <c r="AO65" s="620">
        <f>'Allocation of heat'!AE106</f>
        <v>0.71824722373889538</v>
      </c>
      <c r="AP65" s="620">
        <f>'Allocation of heat'!AF106</f>
        <v>0.71868789856090365</v>
      </c>
      <c r="AQ65" s="620">
        <f>'Allocation of heat'!AG106</f>
        <v>0.71914385751837162</v>
      </c>
      <c r="AR65" s="620">
        <f>'Allocation of heat'!AH106</f>
        <v>0.71961394988670146</v>
      </c>
      <c r="AS65" s="620">
        <f>'Allocation of heat'!AI106</f>
        <v>0.72009711285834943</v>
      </c>
      <c r="AT65" s="620">
        <f>'Allocation of heat'!AJ106</f>
        <v>0.72059236363043222</v>
      </c>
      <c r="AU65" s="620">
        <f>'Allocation of heat'!AK106</f>
        <v>0.7210987923256319</v>
      </c>
      <c r="AV65" s="620">
        <f>'Allocation of heat'!AL106</f>
        <v>0.72161555564592339</v>
      </c>
      <c r="AW65" s="620">
        <f>'Allocation of heat'!AM106</f>
        <v>0.72214187117225748</v>
      </c>
      <c r="AX65" s="620">
        <f>'Allocation of heat'!AN106</f>
        <v>0.72267701223489467</v>
      </c>
    </row>
    <row r="66" spans="2:50">
      <c r="E66" s="38" t="s">
        <v>219</v>
      </c>
      <c r="G66" s="44"/>
      <c r="H66"/>
      <c r="I66" s="44"/>
      <c r="J66"/>
      <c r="K66" s="44"/>
      <c r="L66"/>
      <c r="M66" s="44"/>
      <c r="O66" s="620">
        <f>'Allocation of heat'!E111</f>
        <v>0</v>
      </c>
      <c r="P66" s="620">
        <f>'Allocation of heat'!F111</f>
        <v>0</v>
      </c>
      <c r="Q66" s="620">
        <f>'Allocation of heat'!G111</f>
        <v>0</v>
      </c>
      <c r="R66" s="620">
        <f>'Allocation of heat'!H111</f>
        <v>0</v>
      </c>
      <c r="S66" s="620">
        <f>'Allocation of heat'!I111</f>
        <v>0</v>
      </c>
      <c r="T66" s="620">
        <f>'Allocation of heat'!J111</f>
        <v>7.4909219496988819E-5</v>
      </c>
      <c r="U66" s="620">
        <f>'Allocation of heat'!K111</f>
        <v>2.7620485719147004E-4</v>
      </c>
      <c r="V66" s="620">
        <f>'Allocation of heat'!L111</f>
        <v>4.8000983778618986E-4</v>
      </c>
      <c r="W66" s="620">
        <f>'Allocation of heat'!M111</f>
        <v>6.9165489547265934E-4</v>
      </c>
      <c r="X66" s="620">
        <f>'Allocation of heat'!N111</f>
        <v>9.1811506484954625E-4</v>
      </c>
      <c r="Y66" s="620">
        <f>'Allocation of heat'!O111</f>
        <v>1.160147774541039E-3</v>
      </c>
      <c r="Z66" s="620">
        <f>'Allocation of heat'!P111</f>
        <v>1.3999848897611189E-3</v>
      </c>
      <c r="AA66" s="620">
        <f>'Allocation of heat'!Q111</f>
        <v>1.5304871460395241E-3</v>
      </c>
      <c r="AB66" s="620">
        <f>'Allocation of heat'!R111</f>
        <v>1.659018316293899E-3</v>
      </c>
      <c r="AC66" s="620">
        <f>'Allocation of heat'!S111</f>
        <v>1.8111289636340954E-3</v>
      </c>
      <c r="AD66" s="620">
        <f>'Allocation of heat'!T111</f>
        <v>1.983072625074436E-3</v>
      </c>
      <c r="AE66" s="620">
        <f>'Allocation of heat'!U111</f>
        <v>2.3628839245794647E-3</v>
      </c>
      <c r="AF66" s="620">
        <f>'Allocation of heat'!V111</f>
        <v>2.954065163032856E-3</v>
      </c>
      <c r="AG66" s="620">
        <f>'Allocation of heat'!W111</f>
        <v>3.7597729811474482E-3</v>
      </c>
      <c r="AH66" s="620">
        <f>'Allocation of heat'!X111</f>
        <v>4.7823829152323465E-3</v>
      </c>
      <c r="AI66" s="620">
        <f>'Allocation of heat'!Y111</f>
        <v>5.9168568645296968E-3</v>
      </c>
      <c r="AJ66" s="620">
        <f>'Allocation of heat'!Z111</f>
        <v>7.0790920136705867E-3</v>
      </c>
      <c r="AK66" s="620">
        <f>'Allocation of heat'!AA111</f>
        <v>7.4052156388037726E-3</v>
      </c>
      <c r="AL66" s="620">
        <f>'Allocation of heat'!AB111</f>
        <v>7.7644325511577487E-3</v>
      </c>
      <c r="AM66" s="620">
        <f>'Allocation of heat'!AC111</f>
        <v>8.1564829940481143E-3</v>
      </c>
      <c r="AN66" s="620">
        <f>'Allocation of heat'!AD111</f>
        <v>8.5811109331066851E-3</v>
      </c>
      <c r="AO66" s="620">
        <f>'Allocation of heat'!AE111</f>
        <v>8.9687473119033547E-3</v>
      </c>
      <c r="AP66" s="620">
        <f>'Allocation of heat'!AF111</f>
        <v>9.3196886400679132E-3</v>
      </c>
      <c r="AQ66" s="620">
        <f>'Allocation of heat'!AG111</f>
        <v>9.6342274022365015E-3</v>
      </c>
      <c r="AR66" s="620">
        <f>'Allocation of heat'!AH111</f>
        <v>9.912652131214927E-3</v>
      </c>
      <c r="AS66" s="620">
        <f>'Allocation of heat'!AI111</f>
        <v>1.0155247479902098E-2</v>
      </c>
      <c r="AT66" s="620">
        <f>'Allocation of heat'!AJ111</f>
        <v>1.0362294291952925E-2</v>
      </c>
      <c r="AU66" s="620">
        <f>'Allocation of heat'!AK111</f>
        <v>1.0534069671172522E-2</v>
      </c>
      <c r="AV66" s="620">
        <f>'Allocation of heat'!AL111</f>
        <v>1.0670847049642178E-2</v>
      </c>
      <c r="AW66" s="620">
        <f>'Allocation of heat'!AM111</f>
        <v>1.0772896254584214E-2</v>
      </c>
      <c r="AX66" s="620">
        <f>'Allocation of heat'!AN111</f>
        <v>1.0840483573977631E-2</v>
      </c>
    </row>
    <row r="67" spans="2:50">
      <c r="E67" s="38" t="s">
        <v>476</v>
      </c>
      <c r="G67" s="44"/>
      <c r="H67"/>
      <c r="I67" s="44"/>
      <c r="J67"/>
      <c r="K67" s="44"/>
      <c r="L67"/>
      <c r="M67" s="44"/>
      <c r="O67" s="620">
        <f>'Allocation of heat'!E107</f>
        <v>0</v>
      </c>
      <c r="P67" s="620">
        <f>'Allocation of heat'!F107</f>
        <v>0</v>
      </c>
      <c r="Q67" s="620">
        <f>'Allocation of heat'!G107</f>
        <v>0</v>
      </c>
      <c r="R67" s="620">
        <f>'Allocation of heat'!H107</f>
        <v>0</v>
      </c>
      <c r="S67" s="620">
        <f>'Allocation of heat'!I107</f>
        <v>0</v>
      </c>
      <c r="T67" s="620">
        <f>'Allocation of heat'!J107</f>
        <v>0</v>
      </c>
      <c r="U67" s="620">
        <f>'Allocation of heat'!K107</f>
        <v>0</v>
      </c>
      <c r="V67" s="620">
        <f>'Allocation of heat'!L107</f>
        <v>0</v>
      </c>
      <c r="W67" s="620">
        <f>'Allocation of heat'!M107</f>
        <v>0</v>
      </c>
      <c r="X67" s="620">
        <f>'Allocation of heat'!N107</f>
        <v>0</v>
      </c>
      <c r="Y67" s="620">
        <f>'Allocation of heat'!O107</f>
        <v>0</v>
      </c>
      <c r="Z67" s="620">
        <f>'Allocation of heat'!P107</f>
        <v>0</v>
      </c>
      <c r="AA67" s="620">
        <f>'Allocation of heat'!Q107</f>
        <v>0</v>
      </c>
      <c r="AB67" s="620">
        <f>'Allocation of heat'!R107</f>
        <v>0</v>
      </c>
      <c r="AC67" s="620">
        <f>'Allocation of heat'!S107</f>
        <v>0</v>
      </c>
      <c r="AD67" s="620">
        <f>'Allocation of heat'!T107</f>
        <v>0</v>
      </c>
      <c r="AE67" s="620">
        <f>'Allocation of heat'!U107</f>
        <v>0</v>
      </c>
      <c r="AF67" s="620">
        <f>'Allocation of heat'!V107</f>
        <v>0</v>
      </c>
      <c r="AG67" s="620">
        <f>'Allocation of heat'!W107</f>
        <v>0</v>
      </c>
      <c r="AH67" s="620">
        <f>'Allocation of heat'!X107</f>
        <v>0</v>
      </c>
      <c r="AI67" s="620">
        <f>'Allocation of heat'!Y107</f>
        <v>0</v>
      </c>
      <c r="AJ67" s="620">
        <f>'Allocation of heat'!Z107</f>
        <v>0</v>
      </c>
      <c r="AK67" s="620">
        <f>'Allocation of heat'!AA107</f>
        <v>0</v>
      </c>
      <c r="AL67" s="620">
        <f>'Allocation of heat'!AB107</f>
        <v>0</v>
      </c>
      <c r="AM67" s="620">
        <f>'Allocation of heat'!AC107</f>
        <v>0</v>
      </c>
      <c r="AN67" s="620">
        <f>'Allocation of heat'!AD107</f>
        <v>0</v>
      </c>
      <c r="AO67" s="620">
        <f>'Allocation of heat'!AE107</f>
        <v>0</v>
      </c>
      <c r="AP67" s="620">
        <f>'Allocation of heat'!AF107</f>
        <v>0</v>
      </c>
      <c r="AQ67" s="620">
        <f>'Allocation of heat'!AG107</f>
        <v>0</v>
      </c>
      <c r="AR67" s="620">
        <f>'Allocation of heat'!AH107</f>
        <v>0</v>
      </c>
      <c r="AS67" s="620">
        <f>'Allocation of heat'!AI107</f>
        <v>0</v>
      </c>
      <c r="AT67" s="620">
        <f>'Allocation of heat'!AJ107</f>
        <v>0</v>
      </c>
      <c r="AU67" s="620">
        <f>'Allocation of heat'!AK107</f>
        <v>0</v>
      </c>
      <c r="AV67" s="620">
        <f>'Allocation of heat'!AL107</f>
        <v>0</v>
      </c>
      <c r="AW67" s="620">
        <f>'Allocation of heat'!AM107</f>
        <v>0</v>
      </c>
      <c r="AX67" s="620">
        <f>'Allocation of heat'!AN107</f>
        <v>0</v>
      </c>
    </row>
    <row r="68" spans="2:50">
      <c r="E68" s="38" t="s">
        <v>211</v>
      </c>
      <c r="G68" s="44"/>
      <c r="H68"/>
      <c r="I68" s="44"/>
      <c r="J68"/>
      <c r="K68" s="44"/>
      <c r="L68"/>
      <c r="M68" s="44"/>
      <c r="O68" s="620">
        <f>'Allocation of heat'!E110</f>
        <v>0</v>
      </c>
      <c r="P68" s="620">
        <f>'Allocation of heat'!F110</f>
        <v>0</v>
      </c>
      <c r="Q68" s="620">
        <f>'Allocation of heat'!G110</f>
        <v>0</v>
      </c>
      <c r="R68" s="620">
        <f>'Allocation of heat'!H110</f>
        <v>0</v>
      </c>
      <c r="S68" s="620">
        <f>'Allocation of heat'!I110</f>
        <v>0</v>
      </c>
      <c r="T68" s="620">
        <f>'Allocation of heat'!J110</f>
        <v>0</v>
      </c>
      <c r="U68" s="620">
        <f>'Allocation of heat'!K110</f>
        <v>0</v>
      </c>
      <c r="V68" s="620">
        <f>'Allocation of heat'!L110</f>
        <v>0</v>
      </c>
      <c r="W68" s="620">
        <f>'Allocation of heat'!M110</f>
        <v>0</v>
      </c>
      <c r="X68" s="620">
        <f>'Allocation of heat'!N110</f>
        <v>0</v>
      </c>
      <c r="Y68" s="620">
        <f>'Allocation of heat'!O110</f>
        <v>0</v>
      </c>
      <c r="Z68" s="620">
        <f>'Allocation of heat'!P110</f>
        <v>0</v>
      </c>
      <c r="AA68" s="620">
        <f>'Allocation of heat'!Q110</f>
        <v>3.7840886716196545E-3</v>
      </c>
      <c r="AB68" s="620">
        <f>'Allocation of heat'!R110</f>
        <v>6.947686251661072E-3</v>
      </c>
      <c r="AC68" s="620">
        <f>'Allocation of heat'!S110</f>
        <v>9.4989293131021602E-3</v>
      </c>
      <c r="AD68" s="620">
        <f>'Allocation of heat'!T110</f>
        <v>1.1477291026168313E-2</v>
      </c>
      <c r="AE68" s="620">
        <f>'Allocation of heat'!U110</f>
        <v>1.5306076541579478E-2</v>
      </c>
      <c r="AF68" s="620">
        <f>'Allocation of heat'!V110</f>
        <v>1.803408311150027E-2</v>
      </c>
      <c r="AG68" s="620">
        <f>'Allocation of heat'!W110</f>
        <v>1.9703820153218803E-2</v>
      </c>
      <c r="AH68" s="620">
        <f>'Allocation of heat'!X110</f>
        <v>2.0367318064020017E-2</v>
      </c>
      <c r="AI68" s="620">
        <f>'Allocation of heat'!Y110</f>
        <v>1.7368253356234979E-2</v>
      </c>
      <c r="AJ68" s="620">
        <f>'Allocation of heat'!Z110</f>
        <v>1.3448876129343852E-2</v>
      </c>
      <c r="AK68" s="620">
        <f>'Allocation of heat'!AA110</f>
        <v>1.0617136452661881E-2</v>
      </c>
      <c r="AL68" s="620">
        <f>'Allocation of heat'!AB110</f>
        <v>8.6655308219915905E-3</v>
      </c>
      <c r="AM68" s="620">
        <f>'Allocation of heat'!AC110</f>
        <v>7.9573057884126316E-3</v>
      </c>
      <c r="AN68" s="620">
        <f>'Allocation of heat'!AD110</f>
        <v>7.2568447849099185E-3</v>
      </c>
      <c r="AO68" s="620">
        <f>'Allocation of heat'!AE110</f>
        <v>6.4750944770470718E-3</v>
      </c>
      <c r="AP68" s="620">
        <f>'Allocation of heat'!AF110</f>
        <v>5.7144958022716796E-3</v>
      </c>
      <c r="AQ68" s="620">
        <f>'Allocation of heat'!AG110</f>
        <v>4.971751777014026E-3</v>
      </c>
      <c r="AR68" s="620">
        <f>'Allocation of heat'!AH110</f>
        <v>4.2435855366669203E-3</v>
      </c>
      <c r="AS68" s="620">
        <f>'Allocation of heat'!AI110</f>
        <v>3.5267414718098073E-3</v>
      </c>
      <c r="AT68" s="620">
        <f>'Allocation of heat'!AJ110</f>
        <v>2.8543201535393826E-3</v>
      </c>
      <c r="AU68" s="620">
        <f>'Allocation of heat'!AK110</f>
        <v>2.1663141364484479E-3</v>
      </c>
      <c r="AV68" s="620">
        <f>'Allocation of heat'!AL110</f>
        <v>1.4618461226192441E-3</v>
      </c>
      <c r="AW68" s="620">
        <f>'Allocation of heat'!AM110</f>
        <v>7.4003561630334017E-4</v>
      </c>
      <c r="AX68" s="620">
        <f>'Allocation of heat'!AN110</f>
        <v>0</v>
      </c>
    </row>
    <row r="69" spans="2:50">
      <c r="E69" s="38" t="s">
        <v>96</v>
      </c>
      <c r="G69" s="44"/>
      <c r="H69"/>
      <c r="I69" s="44"/>
      <c r="J69"/>
      <c r="K69" s="44"/>
      <c r="L69"/>
      <c r="M69" s="44"/>
      <c r="O69" s="620">
        <f>'Allocation of heat'!E105</f>
        <v>2.1319097585671885E-2</v>
      </c>
      <c r="P69" s="620">
        <f>'Allocation of heat'!F105</f>
        <v>2.1757943107101631E-2</v>
      </c>
      <c r="Q69" s="620">
        <f>'Allocation of heat'!G105</f>
        <v>2.2205779996330669E-2</v>
      </c>
      <c r="R69" s="620">
        <f>'Allocation of heat'!H105</f>
        <v>2.2661238197779394E-2</v>
      </c>
      <c r="S69" s="620">
        <f>'Allocation of heat'!I105</f>
        <v>2.3172329119080806E-2</v>
      </c>
      <c r="T69" s="620">
        <f>'Allocation of heat'!J105</f>
        <v>2.7428941734136552E-2</v>
      </c>
      <c r="U69" s="620">
        <f>'Allocation of heat'!K105</f>
        <v>3.0499185746793913E-2</v>
      </c>
      <c r="V69" s="620">
        <f>'Allocation of heat'!L105</f>
        <v>3.3646039837366692E-2</v>
      </c>
      <c r="W69" s="620">
        <f>'Allocation of heat'!M105</f>
        <v>3.703009989000948E-2</v>
      </c>
      <c r="X69" s="620">
        <f>'Allocation of heat'!N105</f>
        <v>4.0920575234917399E-2</v>
      </c>
      <c r="Y69" s="620">
        <f>'Allocation of heat'!O105</f>
        <v>4.4976192251139871E-2</v>
      </c>
      <c r="Z69" s="620">
        <f>'Allocation of heat'!P105</f>
        <v>5.0078616980348517E-2</v>
      </c>
      <c r="AA69" s="620">
        <f>'Allocation of heat'!Q105</f>
        <v>5.5576960899885244E-2</v>
      </c>
      <c r="AB69" s="620">
        <f>'Allocation of heat'!R105</f>
        <v>6.0130850692961375E-2</v>
      </c>
      <c r="AC69" s="620">
        <f>'Allocation of heat'!S105</f>
        <v>6.5096159832418871E-2</v>
      </c>
      <c r="AD69" s="620">
        <f>'Allocation of heat'!T105</f>
        <v>7.0117362520985799E-2</v>
      </c>
      <c r="AE69" s="620">
        <f>'Allocation of heat'!U105</f>
        <v>7.6727541750872444E-2</v>
      </c>
      <c r="AF69" s="620">
        <f>'Allocation of heat'!V105</f>
        <v>8.2731744762875759E-2</v>
      </c>
      <c r="AG69" s="620">
        <f>'Allocation of heat'!W105</f>
        <v>8.7842697288226884E-2</v>
      </c>
      <c r="AH69" s="620">
        <f>'Allocation of heat'!X105</f>
        <v>9.1780974206205929E-2</v>
      </c>
      <c r="AI69" s="620">
        <f>'Allocation of heat'!Y105</f>
        <v>9.217290139221361E-2</v>
      </c>
      <c r="AJ69" s="620">
        <f>'Allocation of heat'!Z105</f>
        <v>9.2153616165676369E-2</v>
      </c>
      <c r="AK69" s="620">
        <f>'Allocation of heat'!AA105</f>
        <v>9.1752563779318952E-2</v>
      </c>
      <c r="AL69" s="620">
        <f>'Allocation of heat'!AB105</f>
        <v>9.0989379703148271E-2</v>
      </c>
      <c r="AM69" s="620">
        <f>'Allocation of heat'!AC105</f>
        <v>8.9888062305626196E-2</v>
      </c>
      <c r="AN69" s="620">
        <f>'Allocation of heat'!AD105</f>
        <v>8.8472217058884833E-2</v>
      </c>
      <c r="AO69" s="620">
        <f>'Allocation of heat'!AE105</f>
        <v>8.9249604996619838E-2</v>
      </c>
      <c r="AP69" s="620">
        <f>'Allocation of heat'!AF105</f>
        <v>8.9769970124548862E-2</v>
      </c>
      <c r="AQ69" s="620">
        <f>'Allocation of heat'!AG105</f>
        <v>9.0035625829609459E-2</v>
      </c>
      <c r="AR69" s="620">
        <f>'Allocation of heat'!AH105</f>
        <v>9.0048842851687294E-2</v>
      </c>
      <c r="AS69" s="620">
        <f>'Allocation of heat'!AI105</f>
        <v>8.9811850283697064E-2</v>
      </c>
      <c r="AT69" s="620">
        <f>'Allocation of heat'!AJ105</f>
        <v>8.700961799984798E-2</v>
      </c>
      <c r="AU69" s="620">
        <f>'Allocation of heat'!AK105</f>
        <v>8.4156752250776581E-2</v>
      </c>
      <c r="AV69" s="620">
        <f>'Allocation of heat'!AL105</f>
        <v>8.1253632684632926E-2</v>
      </c>
      <c r="AW69" s="620">
        <f>'Allocation of heat'!AM105</f>
        <v>7.8300636577408073E-2</v>
      </c>
      <c r="AX69" s="620">
        <f>'Allocation of heat'!AN105</f>
        <v>7.5298138366998876E-2</v>
      </c>
    </row>
    <row r="70" spans="2:50">
      <c r="O70" s="69"/>
      <c r="P70" s="66"/>
      <c r="Q70" s="66"/>
      <c r="R70" s="66"/>
      <c r="S70" s="66"/>
      <c r="T70" s="66"/>
      <c r="U70" s="66"/>
      <c r="V70" s="66"/>
      <c r="W70" s="66"/>
      <c r="X70" s="66"/>
      <c r="Y70" s="70"/>
      <c r="Z70" s="66"/>
      <c r="AA70" s="66"/>
      <c r="AB70" s="66"/>
      <c r="AC70" s="66"/>
      <c r="AD70" s="66"/>
      <c r="AE70" s="66"/>
      <c r="AF70" s="66"/>
      <c r="AG70" s="66"/>
      <c r="AH70" s="66"/>
      <c r="AI70" s="66"/>
      <c r="AJ70" s="66"/>
      <c r="AK70" s="66"/>
      <c r="AL70" s="66"/>
      <c r="AM70" s="66"/>
      <c r="AN70" s="66"/>
      <c r="AO70" s="66"/>
      <c r="AP70" s="66"/>
      <c r="AQ70" s="66"/>
      <c r="AR70" s="66"/>
      <c r="AS70" s="66"/>
      <c r="AT70" s="66"/>
      <c r="AU70" s="66"/>
      <c r="AV70" s="66"/>
      <c r="AW70" s="66"/>
      <c r="AX70" s="66"/>
    </row>
    <row r="71" spans="2:50" s="67" customFormat="1">
      <c r="B71" s="67" t="s">
        <v>798</v>
      </c>
      <c r="O71" s="68"/>
      <c r="P71" s="68"/>
      <c r="Q71" s="68"/>
      <c r="R71" s="68"/>
      <c r="S71" s="68"/>
      <c r="T71" s="68"/>
      <c r="U71" s="68"/>
      <c r="V71" s="68"/>
      <c r="W71" s="68"/>
      <c r="X71" s="68"/>
      <c r="Y71" s="68"/>
      <c r="Z71" s="68"/>
      <c r="AA71" s="68"/>
      <c r="AB71" s="68"/>
      <c r="AC71" s="68"/>
      <c r="AD71" s="68"/>
      <c r="AE71" s="68"/>
      <c r="AF71" s="68"/>
      <c r="AG71" s="68"/>
      <c r="AH71" s="68"/>
      <c r="AI71" s="68"/>
      <c r="AJ71" s="68"/>
      <c r="AK71" s="68"/>
      <c r="AL71" s="68"/>
      <c r="AM71" s="68"/>
      <c r="AN71" s="68"/>
      <c r="AO71" s="68"/>
      <c r="AP71" s="68"/>
      <c r="AQ71" s="68"/>
      <c r="AR71" s="68"/>
      <c r="AS71" s="68"/>
      <c r="AT71" s="68"/>
      <c r="AU71" s="68"/>
      <c r="AV71" s="68"/>
      <c r="AW71" s="68"/>
      <c r="AX71" s="68"/>
    </row>
    <row r="72" spans="2:50"/>
    <row r="73" spans="2:50" s="43" customFormat="1">
      <c r="C73" s="43" t="s">
        <v>1348</v>
      </c>
      <c r="O73" s="71"/>
      <c r="P73" s="71"/>
      <c r="Q73" s="71"/>
      <c r="R73" s="71"/>
      <c r="S73" s="71"/>
      <c r="T73" s="71"/>
      <c r="U73" s="71"/>
      <c r="V73" s="71"/>
      <c r="W73" s="71"/>
      <c r="X73" s="71"/>
      <c r="Y73" s="71"/>
      <c r="Z73" s="71"/>
      <c r="AA73" s="71"/>
      <c r="AB73" s="71"/>
      <c r="AC73" s="71"/>
      <c r="AD73" s="71"/>
      <c r="AE73" s="71"/>
      <c r="AF73" s="71"/>
      <c r="AG73" s="71"/>
      <c r="AH73" s="71"/>
      <c r="AI73" s="71"/>
      <c r="AJ73" s="71"/>
      <c r="AK73" s="71"/>
      <c r="AL73" s="71"/>
      <c r="AM73" s="71"/>
      <c r="AN73" s="71"/>
      <c r="AO73" s="71"/>
      <c r="AP73" s="71"/>
      <c r="AQ73" s="71"/>
      <c r="AR73" s="71"/>
      <c r="AS73" s="71"/>
      <c r="AT73" s="71"/>
      <c r="AU73" s="71"/>
      <c r="AV73" s="71"/>
      <c r="AW73" s="71"/>
      <c r="AX73" s="71"/>
    </row>
    <row r="74" spans="2:50"/>
    <row r="75" spans="2:50">
      <c r="D75" s="38" t="s">
        <v>157</v>
      </c>
    </row>
    <row r="76" spans="2:50">
      <c r="E76" s="38" t="str">
        <f>"% Domestic electricty demand in selected region ("&amp;Dashboard!$D$5&amp;")"</f>
        <v>% Domestic electricty demand in selected region (Inner London)</v>
      </c>
      <c r="G76" s="44"/>
      <c r="H76"/>
      <c r="I76" s="44"/>
      <c r="J76"/>
      <c r="K76" s="44"/>
      <c r="L76"/>
      <c r="M76" s="44"/>
      <c r="O76" s="254">
        <f>'3.1 Building Energy'!B22</f>
        <v>0.28909053125417328</v>
      </c>
      <c r="P76" s="254">
        <f>'3.1 Building Energy'!C22</f>
        <v>0.28909053125417328</v>
      </c>
      <c r="Q76" s="254">
        <f>'3.1 Building Energy'!D22</f>
        <v>0.28909053125417328</v>
      </c>
      <c r="R76" s="254">
        <f>'3.1 Building Energy'!E22</f>
        <v>0.28909053125417328</v>
      </c>
      <c r="S76" s="254">
        <f>'3.1 Building Energy'!F22</f>
        <v>0.28909053125417328</v>
      </c>
      <c r="T76" s="254">
        <f>'3.1 Building Energy'!G22</f>
        <v>0.28909053125417328</v>
      </c>
      <c r="U76" s="254">
        <f>'3.1 Building Energy'!H22</f>
        <v>0.28909053125417328</v>
      </c>
      <c r="V76" s="254">
        <f>'3.1 Building Energy'!I22</f>
        <v>0.28909053125417328</v>
      </c>
      <c r="W76" s="254">
        <f>'3.1 Building Energy'!J22</f>
        <v>0.28909053125417328</v>
      </c>
      <c r="X76" s="254">
        <f>'3.1 Building Energy'!K22</f>
        <v>0.28909053125417328</v>
      </c>
      <c r="Y76" s="254">
        <f>'3.1 Building Energy'!L22</f>
        <v>0.28909053125417328</v>
      </c>
      <c r="Z76" s="254">
        <f>'3.1 Building Energy'!M22</f>
        <v>0.28909053125417328</v>
      </c>
      <c r="AA76" s="254">
        <f>'3.1 Building Energy'!N22</f>
        <v>0.28909053125417328</v>
      </c>
      <c r="AB76" s="254">
        <f>'3.1 Building Energy'!O22</f>
        <v>0.28909053125417328</v>
      </c>
      <c r="AC76" s="254">
        <f>'3.1 Building Energy'!P22</f>
        <v>0.28909053125417328</v>
      </c>
      <c r="AD76" s="254">
        <f>'3.1 Building Energy'!Q22</f>
        <v>0.28909053125417328</v>
      </c>
      <c r="AE76" s="254">
        <f>'3.1 Building Energy'!R22</f>
        <v>0.28909053125417328</v>
      </c>
      <c r="AF76" s="254">
        <f>'3.1 Building Energy'!S22</f>
        <v>0.28909053125417328</v>
      </c>
      <c r="AG76" s="254">
        <f>'3.1 Building Energy'!T22</f>
        <v>0.28909053125417328</v>
      </c>
      <c r="AH76" s="254">
        <f>'3.1 Building Energy'!U22</f>
        <v>0.28909053125417328</v>
      </c>
      <c r="AI76" s="254">
        <f>'3.1 Building Energy'!V22</f>
        <v>0.28909053125417328</v>
      </c>
      <c r="AJ76" s="254">
        <f>'3.1 Building Energy'!W22</f>
        <v>0.28909053125417328</v>
      </c>
      <c r="AK76" s="254">
        <f>'3.1 Building Energy'!X22</f>
        <v>0.28909053125417328</v>
      </c>
      <c r="AL76" s="254">
        <f>'3.1 Building Energy'!Y22</f>
        <v>0.28909053125417328</v>
      </c>
      <c r="AM76" s="254">
        <f>'3.1 Building Energy'!Z22</f>
        <v>0.28909053125417328</v>
      </c>
      <c r="AN76" s="254">
        <f>'3.1 Building Energy'!AA22</f>
        <v>0.28909053125417328</v>
      </c>
      <c r="AO76" s="254">
        <f>'3.1 Building Energy'!AB22</f>
        <v>0.28909053125417328</v>
      </c>
      <c r="AP76" s="254">
        <f>'3.1 Building Energy'!AC22</f>
        <v>0.28909053125417328</v>
      </c>
      <c r="AQ76" s="254">
        <f>'3.1 Building Energy'!AD22</f>
        <v>0.28909053125417328</v>
      </c>
      <c r="AR76" s="254">
        <f>'3.1 Building Energy'!AE22</f>
        <v>0.28909053125417328</v>
      </c>
      <c r="AS76" s="254">
        <f>'3.1 Building Energy'!AF22</f>
        <v>0.28909053125417328</v>
      </c>
      <c r="AT76" s="254">
        <f>'3.1 Building Energy'!AG22</f>
        <v>0.28909053125417328</v>
      </c>
      <c r="AU76" s="254">
        <f>'3.1 Building Energy'!AH22</f>
        <v>0.28909053125417328</v>
      </c>
      <c r="AV76" s="254">
        <f>'3.1 Building Energy'!AI22</f>
        <v>0.28909053125417328</v>
      </c>
      <c r="AW76" s="254">
        <f>'3.1 Building Energy'!AJ22</f>
        <v>0.28909053125417328</v>
      </c>
      <c r="AX76" s="254">
        <f>'3.1 Building Energy'!AK22</f>
        <v>0.28909053125417328</v>
      </c>
    </row>
    <row r="77" spans="2:50">
      <c r="E77" s="38" t="s">
        <v>142</v>
      </c>
      <c r="G77" s="44" t="s">
        <v>1202</v>
      </c>
      <c r="H77"/>
      <c r="I77" s="44"/>
      <c r="J77"/>
      <c r="K77" s="44"/>
      <c r="L77"/>
      <c r="M77" s="44"/>
      <c r="O77" s="54">
        <f>('2.1 Building inputs'!E6+'2.1a Cooking'!E4+'2.1a Cooking'!E6)/1000000*O76</f>
        <v>3428.0605239193087</v>
      </c>
      <c r="P77" s="54">
        <f>('2.1 Building inputs'!F6+'2.1a Cooking'!F4+'2.1a Cooking'!F6)/1000000*P76</f>
        <v>3466.1288047474382</v>
      </c>
      <c r="Q77" s="54">
        <f>('2.1 Building inputs'!G6+'2.1a Cooking'!G4+'2.1a Cooking'!G6)/1000000*Q76</f>
        <v>3504.1955553222033</v>
      </c>
      <c r="R77" s="54">
        <f>('2.1 Building inputs'!H6+'2.1a Cooking'!H4+'2.1a Cooking'!H6)/1000000*R76</f>
        <v>3542.2607756436064</v>
      </c>
      <c r="S77" s="54">
        <f>('2.1 Building inputs'!I6+'2.1a Cooking'!I4+'2.1a Cooking'!I6)/1000000*S76</f>
        <v>3557.8070821502874</v>
      </c>
      <c r="T77" s="54">
        <f>('2.1 Building inputs'!J6+'2.1a Cooking'!J4+'2.1a Cooking'!J6)/1000000*T76</f>
        <v>3550.9703666011219</v>
      </c>
      <c r="U77" s="54">
        <f>('2.1 Building inputs'!K6+'2.1a Cooking'!K4+'2.1a Cooking'!K6)/1000000*U76</f>
        <v>3515.165988425239</v>
      </c>
      <c r="V77" s="54">
        <f>('2.1 Building inputs'!L6+'2.1a Cooking'!L4+'2.1a Cooking'!L6)/1000000*V76</f>
        <v>3456.590517055693</v>
      </c>
      <c r="W77" s="54">
        <f>('2.1 Building inputs'!M6+'2.1a Cooking'!M4+'2.1a Cooking'!M6)/1000000*W76</f>
        <v>3373.7786301730116</v>
      </c>
      <c r="X77" s="54">
        <f>('2.1 Building inputs'!N6+'2.1a Cooking'!N4+'2.1a Cooking'!N6)/1000000*X76</f>
        <v>3269.0501371310861</v>
      </c>
      <c r="Y77" s="54">
        <f>('2.1 Building inputs'!O6+'2.1a Cooking'!O4+'2.1a Cooking'!O6)/1000000*Y76</f>
        <v>3141.9517015554525</v>
      </c>
      <c r="Z77" s="54">
        <f>('2.1 Building inputs'!P6+'2.1a Cooking'!P4+'2.1a Cooking'!P6)/1000000*Z76</f>
        <v>2996.8361718981241</v>
      </c>
      <c r="AA77" s="54">
        <f>('2.1 Building inputs'!Q6+'2.1a Cooking'!Q4+'2.1a Cooking'!Q6)/1000000*AA76</f>
        <v>2905.5215427637809</v>
      </c>
      <c r="AB77" s="54">
        <f>('2.1 Building inputs'!R6+'2.1a Cooking'!R4+'2.1a Cooking'!R6)/1000000*AB76</f>
        <v>2802.9505838271762</v>
      </c>
      <c r="AC77" s="54">
        <f>('2.1 Building inputs'!S6+'2.1a Cooking'!S4+'2.1a Cooking'!S6)/1000000*AC76</f>
        <v>2687.5209426295382</v>
      </c>
      <c r="AD77" s="54">
        <f>('2.1 Building inputs'!T6+'2.1a Cooking'!T4+'2.1a Cooking'!T6)/1000000*AD76</f>
        <v>2560.0261012580877</v>
      </c>
      <c r="AE77" s="54">
        <f>('2.1 Building inputs'!U6+'2.1a Cooking'!U4+'2.1a Cooking'!U6)/1000000*AE76</f>
        <v>2574.6048725699416</v>
      </c>
      <c r="AF77" s="54">
        <f>('2.1 Building inputs'!V6+'2.1a Cooking'!V4+'2.1a Cooking'!V6)/1000000*AF76</f>
        <v>2589.1828855784438</v>
      </c>
      <c r="AG77" s="54">
        <f>('2.1 Building inputs'!W6+'2.1a Cooking'!W4+'2.1a Cooking'!W6)/1000000*AG76</f>
        <v>2603.7712148622977</v>
      </c>
      <c r="AH77" s="54">
        <f>('2.1 Building inputs'!X6+'2.1a Cooking'!X4+'2.1a Cooking'!X6)/1000000*AH76</f>
        <v>2618.3355777053471</v>
      </c>
      <c r="AI77" s="54">
        <f>('2.1 Building inputs'!Y6+'2.1a Cooking'!Y4+'2.1a Cooking'!Y6)/1000000*AI76</f>
        <v>2633.128589421784</v>
      </c>
      <c r="AJ77" s="54">
        <f>('2.1 Building inputs'!Z6+'2.1a Cooking'!Z4+'2.1a Cooking'!Z6)/1000000*AJ76</f>
        <v>2649.3987324164586</v>
      </c>
      <c r="AK77" s="54">
        <f>('2.1 Building inputs'!AA6+'2.1a Cooking'!AA4+'2.1a Cooking'!AA6)/1000000*AK76</f>
        <v>2664.3751596380644</v>
      </c>
      <c r="AL77" s="54">
        <f>('2.1 Building inputs'!AB6+'2.1a Cooking'!AB4+'2.1a Cooking'!AB6)/1000000*AL76</f>
        <v>2678.8278028602003</v>
      </c>
      <c r="AM77" s="54">
        <f>('2.1 Building inputs'!AC6+'2.1a Cooking'!AC4+'2.1a Cooking'!AC6)/1000000*AM76</f>
        <v>2691.7026124044824</v>
      </c>
      <c r="AN77" s="54">
        <f>('2.1 Building inputs'!AD6+'2.1a Cooking'!AD4+'2.1a Cooking'!AD6)/1000000*AN76</f>
        <v>2704.5593582814413</v>
      </c>
      <c r="AO77" s="54">
        <f>('2.1 Building inputs'!AE6+'2.1a Cooking'!AE4+'2.1a Cooking'!AE6)/1000000*AO76</f>
        <v>2717.448079173761</v>
      </c>
      <c r="AP77" s="54">
        <f>('2.1 Building inputs'!AF6+'2.1a Cooking'!AF4+'2.1a Cooking'!AF6)/1000000*AP76</f>
        <v>2730.3137009575507</v>
      </c>
      <c r="AQ77" s="54">
        <f>('2.1 Building inputs'!AG6+'2.1a Cooking'!AG4+'2.1a Cooking'!AG6)/1000000*AQ76</f>
        <v>2743.1602887667418</v>
      </c>
      <c r="AR77" s="54">
        <f>('2.1 Building inputs'!AH6+'2.1a Cooking'!AH4+'2.1a Cooking'!AH6)/1000000*AR76</f>
        <v>2755.9918999986235</v>
      </c>
      <c r="AS77" s="54">
        <f>('2.1 Building inputs'!AI6+'2.1a Cooking'!AI4+'2.1a Cooking'!AI6)/1000000*AS76</f>
        <v>2768.8125827044314</v>
      </c>
      <c r="AT77" s="54">
        <f>('2.1 Building inputs'!AJ6+'2.1a Cooking'!AJ4+'2.1a Cooking'!AJ6)/1000000*AT76</f>
        <v>2781.5672259283033</v>
      </c>
      <c r="AU77" s="54">
        <f>('2.1 Building inputs'!AK6+'2.1a Cooking'!AK4+'2.1a Cooking'!AK6)/1000000*AU76</f>
        <v>2794.3521121788458</v>
      </c>
      <c r="AV77" s="54">
        <f>('2.1 Building inputs'!AL6+'2.1a Cooking'!AL4+'2.1a Cooking'!AL6)/1000000*AV76</f>
        <v>2807.1677478197016</v>
      </c>
      <c r="AW77" s="54">
        <f>('2.1 Building inputs'!AM6+'2.1a Cooking'!AM4+'2.1a Cooking'!AM6)/1000000*AW76</f>
        <v>2820.0146514271655</v>
      </c>
      <c r="AX77" s="54">
        <f>('2.1 Building inputs'!AN6+'2.1a Cooking'!AN4+'2.1a Cooking'!AN6)/1000000*AX76</f>
        <v>2832.8933537274529</v>
      </c>
    </row>
    <row r="78" spans="2:50"/>
    <row r="79" spans="2:50">
      <c r="E79" s="38" t="s">
        <v>1248</v>
      </c>
      <c r="G79" s="44" t="s">
        <v>1202</v>
      </c>
      <c r="H79"/>
      <c r="I79" s="44"/>
      <c r="J79"/>
      <c r="K79" s="44"/>
      <c r="L79"/>
      <c r="M79" s="44"/>
      <c r="O79" s="54">
        <f>('2.1 Building inputs'!E10+'2.1a Cooking'!E4)/1000000*O76</f>
        <v>3428.0605239193087</v>
      </c>
      <c r="P79" s="54">
        <f>('2.1 Building inputs'!F10+'2.1a Cooking'!F4)/1000000*P76</f>
        <v>3428.1019274647765</v>
      </c>
      <c r="Q79" s="54">
        <f>('2.1 Building inputs'!G10+'2.1a Cooking'!G4)/1000000*Q76</f>
        <v>3428.1418007568809</v>
      </c>
      <c r="R79" s="54">
        <f>('2.1 Building inputs'!H10+'2.1a Cooking'!H4)/1000000*R76</f>
        <v>3428.1801437956233</v>
      </c>
      <c r="S79" s="54">
        <f>('2.1 Building inputs'!I10+'2.1a Cooking'!I4)/1000000*S76</f>
        <v>3405.6995730196427</v>
      </c>
      <c r="T79" s="54">
        <f>('2.1 Building inputs'!J10+'2.1a Cooking'!J4)/1000000*T76</f>
        <v>3360.8359801878155</v>
      </c>
      <c r="U79" s="54">
        <f>('2.1 Building inputs'!K10+'2.1a Cooking'!K4)/1000000*U76</f>
        <v>3292.8485986669766</v>
      </c>
      <c r="V79" s="54">
        <f>('2.1 Building inputs'!L10+'2.1a Cooking'!L4)/1000000*V76</f>
        <v>3202.0901239524737</v>
      </c>
      <c r="W79" s="54">
        <f>('2.1 Building inputs'!M10+'2.1a Cooking'!M4)/1000000*W76</f>
        <v>3087.0952337248368</v>
      </c>
      <c r="X79" s="54">
        <f>('2.1 Building inputs'!N10+'2.1a Cooking'!N4)/1000000*X76</f>
        <v>2950.183737337954</v>
      </c>
      <c r="Y79" s="54">
        <f>('2.1 Building inputs'!O10+'2.1a Cooking'!O4)/1000000*Y76</f>
        <v>2790.9022984173635</v>
      </c>
      <c r="Z79" s="54">
        <f>('2.1 Building inputs'!P10+'2.1a Cooking'!P4)/1000000*Z76</f>
        <v>2619.7329161466228</v>
      </c>
      <c r="AA79" s="54">
        <f>('2.1 Building inputs'!Q10+'2.1a Cooking'!Q4)/1000000*AA76</f>
        <v>2502.3644343988649</v>
      </c>
      <c r="AB79" s="54">
        <f>('2.1 Building inputs'!R10+'2.1a Cooking'!R4)/1000000*AB76</f>
        <v>2373.7396228488469</v>
      </c>
      <c r="AC79" s="54">
        <f>('2.1 Building inputs'!S10+'2.1a Cooking'!S4)/1000000*AC76</f>
        <v>2232.2561290377962</v>
      </c>
      <c r="AD79" s="54">
        <f>('2.1 Building inputs'!T10+'2.1a Cooking'!T4)/1000000*AD76</f>
        <v>2078.7074350529319</v>
      </c>
      <c r="AE79" s="54">
        <f>('2.1 Building inputs'!U10+'2.1a Cooking'!U4)/1000000*AE76</f>
        <v>2081.2756964985879</v>
      </c>
      <c r="AF79" s="54">
        <f>('2.1 Building inputs'!V10+'2.1a Cooking'!V4)/1000000*AF76</f>
        <v>2083.8431996408917</v>
      </c>
      <c r="AG79" s="54">
        <f>('2.1 Building inputs'!W10+'2.1a Cooking'!W4)/1000000*AG76</f>
        <v>2086.4210190585472</v>
      </c>
      <c r="AH79" s="54">
        <f>('2.1 Building inputs'!X10+'2.1a Cooking'!X4)/1000000*AH76</f>
        <v>2088.9748720353982</v>
      </c>
      <c r="AI79" s="54">
        <f>('2.1 Building inputs'!Y10+'2.1a Cooking'!Y4)/1000000*AI76</f>
        <v>2091.7573738856358</v>
      </c>
      <c r="AJ79" s="54">
        <f>('2.1 Building inputs'!Z10+'2.1a Cooking'!Z4)/1000000*AJ76</f>
        <v>2096.0170070141116</v>
      </c>
      <c r="AK79" s="54">
        <f>('2.1 Building inputs'!AA10+'2.1a Cooking'!AA4)/1000000*AK76</f>
        <v>2098.9829243695203</v>
      </c>
      <c r="AL79" s="54">
        <f>('2.1 Building inputs'!AB10+'2.1a Cooking'!AB4)/1000000*AL76</f>
        <v>2101.425057725457</v>
      </c>
      <c r="AM79" s="54">
        <f>('2.1 Building inputs'!AC10+'2.1a Cooking'!AC4)/1000000*AM76</f>
        <v>2102.2893574035411</v>
      </c>
      <c r="AN79" s="54">
        <f>('2.1 Building inputs'!AD10+'2.1a Cooking'!AD4)/1000000*AN76</f>
        <v>2103.1355934143003</v>
      </c>
      <c r="AO79" s="54">
        <f>('2.1 Building inputs'!AE10+'2.1a Cooking'!AE4)/1000000*AO76</f>
        <v>2104.0138044404207</v>
      </c>
      <c r="AP79" s="54">
        <f>('2.1 Building inputs'!AF10+'2.1a Cooking'!AF4)/1000000*AP76</f>
        <v>2104.8689163580125</v>
      </c>
      <c r="AQ79" s="54">
        <f>('2.1 Building inputs'!AG10+'2.1a Cooking'!AG4)/1000000*AQ76</f>
        <v>2105.7049943010043</v>
      </c>
      <c r="AR79" s="54">
        <f>('2.1 Building inputs'!AH10+'2.1a Cooking'!AH4)/1000000*AR76</f>
        <v>2106.5260956666871</v>
      </c>
      <c r="AS79" s="54">
        <f>('2.1 Building inputs'!AI10+'2.1a Cooking'!AI4)/1000000*AS76</f>
        <v>2107.3362685062966</v>
      </c>
      <c r="AT79" s="54">
        <f>('2.1 Building inputs'!AJ10+'2.1a Cooking'!AJ4)/1000000*AT76</f>
        <v>2108.0804018639692</v>
      </c>
      <c r="AU79" s="54">
        <f>('2.1 Building inputs'!AK10+'2.1a Cooking'!AK4)/1000000*AU76</f>
        <v>2108.8547782483133</v>
      </c>
      <c r="AV79" s="54">
        <f>('2.1 Building inputs'!AL10+'2.1a Cooking'!AL4)/1000000*AV76</f>
        <v>2109.6599040229698</v>
      </c>
      <c r="AW79" s="54">
        <f>('2.1 Building inputs'!AM10+'2.1a Cooking'!AM4)/1000000*AW76</f>
        <v>2110.4962977642344</v>
      </c>
      <c r="AX79" s="54">
        <f>('2.1 Building inputs'!AN10+'2.1a Cooking'!AN4)/1000000*AX76</f>
        <v>2111.3644901983257</v>
      </c>
    </row>
    <row r="80" spans="2:50">
      <c r="E80" s="38" t="s">
        <v>1340</v>
      </c>
      <c r="G80" s="44" t="s">
        <v>1202</v>
      </c>
      <c r="H80"/>
      <c r="I80" s="44"/>
      <c r="J80"/>
      <c r="K80" s="44"/>
      <c r="L80"/>
      <c r="M80" s="44"/>
      <c r="O80" s="54">
        <f>O77-O79</f>
        <v>0</v>
      </c>
      <c r="P80" s="54">
        <f t="shared" ref="P80:AX80" si="5">P77-P79</f>
        <v>38.026877282661644</v>
      </c>
      <c r="Q80" s="54">
        <f t="shared" si="5"/>
        <v>76.053754565322379</v>
      </c>
      <c r="R80" s="54">
        <f t="shared" si="5"/>
        <v>114.08063184798311</v>
      </c>
      <c r="S80" s="54">
        <f t="shared" si="5"/>
        <v>152.10750913064476</v>
      </c>
      <c r="T80" s="54">
        <f t="shared" si="5"/>
        <v>190.1343864133064</v>
      </c>
      <c r="U80" s="54">
        <f t="shared" si="5"/>
        <v>222.31738975826238</v>
      </c>
      <c r="V80" s="54">
        <f t="shared" si="5"/>
        <v>254.50039310321927</v>
      </c>
      <c r="W80" s="54">
        <f t="shared" si="5"/>
        <v>286.68339644817479</v>
      </c>
      <c r="X80" s="54">
        <f t="shared" si="5"/>
        <v>318.86639979313213</v>
      </c>
      <c r="Y80" s="54">
        <f>Y77-Y79</f>
        <v>351.04940313808902</v>
      </c>
      <c r="Z80" s="54">
        <f t="shared" si="5"/>
        <v>377.10325575150137</v>
      </c>
      <c r="AA80" s="54">
        <f t="shared" si="5"/>
        <v>403.15710836491598</v>
      </c>
      <c r="AB80" s="54">
        <f t="shared" si="5"/>
        <v>429.21096097832924</v>
      </c>
      <c r="AC80" s="54">
        <f t="shared" si="5"/>
        <v>455.26481359174204</v>
      </c>
      <c r="AD80" s="54">
        <f t="shared" si="5"/>
        <v>481.31866620515575</v>
      </c>
      <c r="AE80" s="54">
        <f t="shared" si="5"/>
        <v>493.32917607135369</v>
      </c>
      <c r="AF80" s="54">
        <f t="shared" si="5"/>
        <v>505.33968593755208</v>
      </c>
      <c r="AG80" s="54">
        <f t="shared" si="5"/>
        <v>517.35019580375047</v>
      </c>
      <c r="AH80" s="54">
        <f t="shared" si="5"/>
        <v>529.36070566994886</v>
      </c>
      <c r="AI80" s="54">
        <f t="shared" si="5"/>
        <v>541.37121553614816</v>
      </c>
      <c r="AJ80" s="54">
        <f t="shared" si="5"/>
        <v>553.381725402347</v>
      </c>
      <c r="AK80" s="54">
        <f t="shared" si="5"/>
        <v>565.39223526854403</v>
      </c>
      <c r="AL80" s="54">
        <f t="shared" si="5"/>
        <v>577.40274513474333</v>
      </c>
      <c r="AM80" s="54">
        <f t="shared" si="5"/>
        <v>589.41325500094126</v>
      </c>
      <c r="AN80" s="54">
        <f t="shared" si="5"/>
        <v>601.42376486714102</v>
      </c>
      <c r="AO80" s="54">
        <f t="shared" si="5"/>
        <v>613.43427473334032</v>
      </c>
      <c r="AP80" s="54">
        <f t="shared" si="5"/>
        <v>625.44478459953825</v>
      </c>
      <c r="AQ80" s="54">
        <f t="shared" si="5"/>
        <v>637.45529446573755</v>
      </c>
      <c r="AR80" s="54">
        <f t="shared" si="5"/>
        <v>649.4658043319364</v>
      </c>
      <c r="AS80" s="54">
        <f t="shared" si="5"/>
        <v>661.47631419813479</v>
      </c>
      <c r="AT80" s="54">
        <f t="shared" si="5"/>
        <v>673.48682406433409</v>
      </c>
      <c r="AU80" s="54">
        <f t="shared" si="5"/>
        <v>685.49733393053248</v>
      </c>
      <c r="AV80" s="54">
        <f t="shared" si="5"/>
        <v>697.50784379673178</v>
      </c>
      <c r="AW80" s="54">
        <f t="shared" si="5"/>
        <v>709.51835366293108</v>
      </c>
      <c r="AX80" s="54">
        <f t="shared" si="5"/>
        <v>721.52886352912719</v>
      </c>
    </row>
    <row r="81" spans="3:50"/>
    <row r="82" spans="3:50">
      <c r="D82" s="38" t="s">
        <v>722</v>
      </c>
    </row>
    <row r="83" spans="3:50">
      <c r="E83" s="38" t="str">
        <f>"% Non-domestic electricty demand in selected region ("&amp;Dashboard!$D$5&amp;")"</f>
        <v>% Non-domestic electricty demand in selected region (Inner London)</v>
      </c>
      <c r="G83" s="44"/>
      <c r="H83"/>
      <c r="I83" s="44"/>
      <c r="J83"/>
      <c r="K83" s="44"/>
      <c r="L83"/>
      <c r="M83" s="44"/>
      <c r="O83" s="254">
        <f>'3.1 Building Energy'!B23</f>
        <v>0.57393452752298657</v>
      </c>
      <c r="P83" s="254">
        <f>'3.1 Building Energy'!C23</f>
        <v>0.57393452752298657</v>
      </c>
      <c r="Q83" s="254">
        <f>'3.1 Building Energy'!D23</f>
        <v>0.57393452752298657</v>
      </c>
      <c r="R83" s="254">
        <f>'3.1 Building Energy'!E23</f>
        <v>0.57393452752298657</v>
      </c>
      <c r="S83" s="254">
        <f>'3.1 Building Energy'!F23</f>
        <v>0.57393452752298657</v>
      </c>
      <c r="T83" s="254">
        <f>'3.1 Building Energy'!G23</f>
        <v>0.57393452752298657</v>
      </c>
      <c r="U83" s="254">
        <f>'3.1 Building Energy'!H23</f>
        <v>0.57393452752298657</v>
      </c>
      <c r="V83" s="254">
        <f>'3.1 Building Energy'!I23</f>
        <v>0.57393452752298657</v>
      </c>
      <c r="W83" s="254">
        <f>'3.1 Building Energy'!J23</f>
        <v>0.57393452752298657</v>
      </c>
      <c r="X83" s="254">
        <f>'3.1 Building Energy'!K23</f>
        <v>0.57393452752298657</v>
      </c>
      <c r="Y83" s="254">
        <f>'3.1 Building Energy'!L23</f>
        <v>0.57393452752298657</v>
      </c>
      <c r="Z83" s="254">
        <f>'3.1 Building Energy'!M23</f>
        <v>0.57393452752298657</v>
      </c>
      <c r="AA83" s="254">
        <f>'3.1 Building Energy'!N23</f>
        <v>0.57393452752298657</v>
      </c>
      <c r="AB83" s="254">
        <f>'3.1 Building Energy'!O23</f>
        <v>0.57393452752298657</v>
      </c>
      <c r="AC83" s="254">
        <f>'3.1 Building Energy'!P23</f>
        <v>0.57393452752298657</v>
      </c>
      <c r="AD83" s="254">
        <f>'3.1 Building Energy'!Q23</f>
        <v>0.57393452752298657</v>
      </c>
      <c r="AE83" s="254">
        <f>'3.1 Building Energy'!R23</f>
        <v>0.57393452752298657</v>
      </c>
      <c r="AF83" s="254">
        <f>'3.1 Building Energy'!S23</f>
        <v>0.57393452752298657</v>
      </c>
      <c r="AG83" s="254">
        <f>'3.1 Building Energy'!T23</f>
        <v>0.57393452752298657</v>
      </c>
      <c r="AH83" s="254">
        <f>'3.1 Building Energy'!U23</f>
        <v>0.57393452752298657</v>
      </c>
      <c r="AI83" s="254">
        <f>'3.1 Building Energy'!V23</f>
        <v>0.57393452752298657</v>
      </c>
      <c r="AJ83" s="254">
        <f>'3.1 Building Energy'!W23</f>
        <v>0.57393452752298657</v>
      </c>
      <c r="AK83" s="254">
        <f>'3.1 Building Energy'!X23</f>
        <v>0.57393452752298657</v>
      </c>
      <c r="AL83" s="254">
        <f>'3.1 Building Energy'!Y23</f>
        <v>0.57393452752298657</v>
      </c>
      <c r="AM83" s="254">
        <f>'3.1 Building Energy'!Z23</f>
        <v>0.57393452752298657</v>
      </c>
      <c r="AN83" s="254">
        <f>'3.1 Building Energy'!AA23</f>
        <v>0.57393452752298657</v>
      </c>
      <c r="AO83" s="254">
        <f>'3.1 Building Energy'!AB23</f>
        <v>0.57393452752298657</v>
      </c>
      <c r="AP83" s="254">
        <f>'3.1 Building Energy'!AC23</f>
        <v>0.57393452752298657</v>
      </c>
      <c r="AQ83" s="254">
        <f>'3.1 Building Energy'!AD23</f>
        <v>0.57393452752298657</v>
      </c>
      <c r="AR83" s="254">
        <f>'3.1 Building Energy'!AE23</f>
        <v>0.57393452752298657</v>
      </c>
      <c r="AS83" s="254">
        <f>'3.1 Building Energy'!AF23</f>
        <v>0.57393452752298657</v>
      </c>
      <c r="AT83" s="254">
        <f>'3.1 Building Energy'!AG23</f>
        <v>0.57393452752298657</v>
      </c>
      <c r="AU83" s="254">
        <f>'3.1 Building Energy'!AH23</f>
        <v>0.57393452752298657</v>
      </c>
      <c r="AV83" s="254">
        <f>'3.1 Building Energy'!AI23</f>
        <v>0.57393452752298657</v>
      </c>
      <c r="AW83" s="254">
        <f>'3.1 Building Energy'!AJ23</f>
        <v>0.57393452752298657</v>
      </c>
      <c r="AX83" s="254">
        <f>'3.1 Building Energy'!AK23</f>
        <v>0.57393452752298657</v>
      </c>
    </row>
    <row r="84" spans="3:50">
      <c r="E84" s="38" t="s">
        <v>142</v>
      </c>
      <c r="G84" s="44" t="s">
        <v>1202</v>
      </c>
      <c r="H84"/>
      <c r="I84" s="44"/>
      <c r="J84"/>
      <c r="K84" s="44"/>
      <c r="L84"/>
      <c r="M84" s="44"/>
      <c r="O84" s="54">
        <f>'2.1 Building inputs'!E7/1000000*O83</f>
        <v>11259.794976610974</v>
      </c>
      <c r="P84" s="54">
        <f>'2.1 Building inputs'!F7/1000000*P83</f>
        <v>11306.959786431042</v>
      </c>
      <c r="Q84" s="54">
        <f>'2.1 Building inputs'!G7/1000000*Q83</f>
        <v>11354.124596251113</v>
      </c>
      <c r="R84" s="54">
        <f>'2.1 Building inputs'!H7/1000000*R83</f>
        <v>11401.289406071182</v>
      </c>
      <c r="S84" s="54">
        <f>'2.1 Building inputs'!I7/1000000*S83</f>
        <v>11419.138379719072</v>
      </c>
      <c r="T84" s="54">
        <f>'2.1 Building inputs'!J7/1000000*T83</f>
        <v>11407.677064967778</v>
      </c>
      <c r="U84" s="54">
        <f>'2.1 Building inputs'!K7/1000000*U83</f>
        <v>11366.614147048591</v>
      </c>
      <c r="V84" s="54">
        <f>'2.1 Building inputs'!L7/1000000*V83</f>
        <v>11295.981558728441</v>
      </c>
      <c r="W84" s="54">
        <f>'2.1 Building inputs'!M7/1000000*W83</f>
        <v>11193.789446377878</v>
      </c>
      <c r="X84" s="54">
        <f>'2.1 Building inputs'!N7/1000000*X83</f>
        <v>11059.344295108265</v>
      </c>
      <c r="Y84" s="54">
        <f>'2.1 Building inputs'!O7/1000000*Y83</f>
        <v>10895.610809804417</v>
      </c>
      <c r="Z84" s="54">
        <f>'2.1 Building inputs'!P7/1000000*Z83</f>
        <v>10690.402713052466</v>
      </c>
      <c r="AA84" s="54">
        <f>'2.1 Building inputs'!Q7/1000000*AA83</f>
        <v>10456.128388040855</v>
      </c>
      <c r="AB84" s="54">
        <f>'2.1 Building inputs'!R7/1000000*AB83</f>
        <v>10197.41717902193</v>
      </c>
      <c r="AC84" s="54">
        <f>'2.1 Building inputs'!S7/1000000*AC83</f>
        <v>9909.7185874536044</v>
      </c>
      <c r="AD84" s="54">
        <f>'2.1 Building inputs'!T7/1000000*AD83</f>
        <v>9593.9164041314762</v>
      </c>
      <c r="AE84" s="54">
        <f>'2.1 Building inputs'!U7/1000000*AE83</f>
        <v>9622.7797333204489</v>
      </c>
      <c r="AF84" s="54">
        <f>'2.1 Building inputs'!V7/1000000*AF83</f>
        <v>9652.6222394371362</v>
      </c>
      <c r="AG84" s="54">
        <f>'2.1 Building inputs'!W7/1000000*AG83</f>
        <v>9683.4448110297726</v>
      </c>
      <c r="AH84" s="54">
        <f>'2.1 Building inputs'!X7/1000000*AH83</f>
        <v>9715.248338455649</v>
      </c>
      <c r="AI84" s="54">
        <f>'2.1 Building inputs'!Y7/1000000*AI83</f>
        <v>9750.0689634646697</v>
      </c>
      <c r="AJ84" s="54">
        <f>'2.1 Building inputs'!Z7/1000000*AJ83</f>
        <v>9784.8895354721717</v>
      </c>
      <c r="AK84" s="54">
        <f>'2.1 Building inputs'!AA7/1000000*AK83</f>
        <v>9819.7100543722627</v>
      </c>
      <c r="AL84" s="54">
        <f>'2.1 Building inputs'!AB7/1000000*AL83</f>
        <v>9854.5305200587572</v>
      </c>
      <c r="AM84" s="54">
        <f>'2.1 Building inputs'!AC7/1000000*AM83</f>
        <v>9889.35093242519</v>
      </c>
      <c r="AN84" s="54">
        <f>'2.1 Building inputs'!AD7/1000000*AN83</f>
        <v>9924.1712913647843</v>
      </c>
      <c r="AO84" s="54">
        <f>'2.1 Building inputs'!AE7/1000000*AO83</f>
        <v>9958.9915967704874</v>
      </c>
      <c r="AP84" s="54">
        <f>'2.1 Building inputs'!AF7/1000000*AP83</f>
        <v>9993.8118485349423</v>
      </c>
      <c r="AQ84" s="54">
        <f>'2.1 Building inputs'!AG7/1000000*AQ83</f>
        <v>10028.632046550498</v>
      </c>
      <c r="AR84" s="54">
        <f>'2.1 Building inputs'!AH7/1000000*AR83</f>
        <v>10063.452190709206</v>
      </c>
      <c r="AS84" s="54">
        <f>'2.1 Building inputs'!AI7/1000000*AS83</f>
        <v>10098.27228090282</v>
      </c>
      <c r="AT84" s="54">
        <f>'2.1 Building inputs'!AJ7/1000000*AT83</f>
        <v>10133.092317022796</v>
      </c>
      <c r="AU84" s="54">
        <f>'2.1 Building inputs'!AK7/1000000*AU83</f>
        <v>10167.912298960291</v>
      </c>
      <c r="AV84" s="54">
        <f>'2.1 Building inputs'!AL7/1000000*AV83</f>
        <v>10202.732226606155</v>
      </c>
      <c r="AW84" s="54">
        <f>'2.1 Building inputs'!AM7/1000000*AW83</f>
        <v>10237.55209985094</v>
      </c>
      <c r="AX84" s="54">
        <f>'2.1 Building inputs'!AN7/1000000*AX83</f>
        <v>10272.3719185849</v>
      </c>
    </row>
    <row r="85" spans="3:50"/>
    <row r="86" spans="3:50">
      <c r="E86" s="38" t="s">
        <v>1248</v>
      </c>
      <c r="G86" s="44" t="s">
        <v>1202</v>
      </c>
      <c r="H86"/>
      <c r="I86" s="44"/>
      <c r="J86"/>
      <c r="K86" s="44"/>
      <c r="L86"/>
      <c r="M86" s="44"/>
      <c r="O86" s="54">
        <f>'2.1 Building inputs'!E11/1000000*O83</f>
        <v>11259.794976610974</v>
      </c>
      <c r="P86" s="54">
        <f>'2.1 Building inputs'!F11/1000000*P83</f>
        <v>11259.794976610974</v>
      </c>
      <c r="Q86" s="54">
        <f>'2.1 Building inputs'!G11/1000000*Q83</f>
        <v>11259.794976610974</v>
      </c>
      <c r="R86" s="54">
        <f>'2.1 Building inputs'!H11/1000000*R83</f>
        <v>11259.794976610974</v>
      </c>
      <c r="S86" s="54">
        <f>'2.1 Building inputs'!I11/1000000*S83</f>
        <v>11230.479140438794</v>
      </c>
      <c r="T86" s="54">
        <f>'2.1 Building inputs'!J11/1000000*T83</f>
        <v>11171.853015867429</v>
      </c>
      <c r="U86" s="54">
        <f>'2.1 Building inputs'!K11/1000000*U83</f>
        <v>11083.625288128176</v>
      </c>
      <c r="V86" s="54">
        <f>'2.1 Building inputs'!L11/1000000*V83</f>
        <v>10965.827889987955</v>
      </c>
      <c r="W86" s="54">
        <f>'2.1 Building inputs'!M11/1000000*W83</f>
        <v>10816.47096781732</v>
      </c>
      <c r="X86" s="54">
        <f>'2.1 Building inputs'!N11/1000000*X83</f>
        <v>10634.861006727637</v>
      </c>
      <c r="Y86" s="54">
        <f>'2.1 Building inputs'!O11/1000000*Y83</f>
        <v>10423.962711603719</v>
      </c>
      <c r="Z86" s="54">
        <f>'2.1 Building inputs'!P11/1000000*Z83</f>
        <v>10183.89284445834</v>
      </c>
      <c r="AA86" s="54">
        <f>'2.1 Building inputs'!Q11/1000000*AA83</f>
        <v>9914.7567490532965</v>
      </c>
      <c r="AB86" s="54">
        <f>'2.1 Building inputs'!R11/1000000*AB83</f>
        <v>9621.1837696409366</v>
      </c>
      <c r="AC86" s="54">
        <f>'2.1 Building inputs'!S11/1000000*AC83</f>
        <v>9298.6234076791825</v>
      </c>
      <c r="AD86" s="54">
        <f>'2.1 Building inputs'!T11/1000000*AD83</f>
        <v>8947.95945396362</v>
      </c>
      <c r="AE86" s="54">
        <f>'2.1 Building inputs'!U11/1000000*AE83</f>
        <v>8941.9610127591623</v>
      </c>
      <c r="AF86" s="54">
        <f>'2.1 Building inputs'!V11/1000000*AF83</f>
        <v>8936.9417484824171</v>
      </c>
      <c r="AG86" s="54">
        <f>'2.1 Building inputs'!W11/1000000*AG83</f>
        <v>8932.902549681623</v>
      </c>
      <c r="AH86" s="54">
        <f>'2.1 Building inputs'!X11/1000000*AH83</f>
        <v>8929.844306714067</v>
      </c>
      <c r="AI86" s="54">
        <f>'2.1 Building inputs'!Y11/1000000*AI83</f>
        <v>8929.8031613296571</v>
      </c>
      <c r="AJ86" s="54">
        <f>'2.1 Building inputs'!Z11/1000000*AJ83</f>
        <v>8929.7619629437268</v>
      </c>
      <c r="AK86" s="54">
        <f>'2.1 Building inputs'!AA11/1000000*AK83</f>
        <v>8929.7207114503854</v>
      </c>
      <c r="AL86" s="54">
        <f>'2.1 Building inputs'!AB11/1000000*AL83</f>
        <v>8929.6794067434512</v>
      </c>
      <c r="AM86" s="54">
        <f>'2.1 Building inputs'!AC11/1000000*AM83</f>
        <v>8929.6380487164497</v>
      </c>
      <c r="AN86" s="54">
        <f>'2.1 Building inputs'!AD11/1000000*AN83</f>
        <v>8929.5966372626135</v>
      </c>
      <c r="AO86" s="54">
        <f>'2.1 Building inputs'!AE11/1000000*AO83</f>
        <v>8929.555172274886</v>
      </c>
      <c r="AP86" s="54">
        <f>'2.1 Building inputs'!AF11/1000000*AP83</f>
        <v>8929.5136536459086</v>
      </c>
      <c r="AQ86" s="54">
        <f>'2.1 Building inputs'!AG11/1000000*AQ83</f>
        <v>8929.4720812680316</v>
      </c>
      <c r="AR86" s="54">
        <f>'2.1 Building inputs'!AH11/1000000*AR83</f>
        <v>8929.4304550333072</v>
      </c>
      <c r="AS86" s="54">
        <f>'2.1 Building inputs'!AI11/1000000*AS83</f>
        <v>8929.388774833491</v>
      </c>
      <c r="AT86" s="54">
        <f>'2.1 Building inputs'!AJ11/1000000*AT83</f>
        <v>8929.3470405600365</v>
      </c>
      <c r="AU86" s="54">
        <f>'2.1 Building inputs'!AK11/1000000*AU83</f>
        <v>8929.3052521040991</v>
      </c>
      <c r="AV86" s="54">
        <f>'2.1 Building inputs'!AL11/1000000*AV83</f>
        <v>8929.2634093565321</v>
      </c>
      <c r="AW86" s="54">
        <f>'2.1 Building inputs'!AM11/1000000*AW83</f>
        <v>8929.2215122078869</v>
      </c>
      <c r="AX86" s="54">
        <f>'2.1 Building inputs'!AN11/1000000*AX83</f>
        <v>8929.1795605484112</v>
      </c>
    </row>
    <row r="87" spans="3:50">
      <c r="E87" s="38" t="s">
        <v>1340</v>
      </c>
      <c r="G87" s="44" t="s">
        <v>1202</v>
      </c>
      <c r="H87"/>
      <c r="I87" s="44"/>
      <c r="J87"/>
      <c r="K87" s="44"/>
      <c r="L87"/>
      <c r="M87" s="44"/>
      <c r="O87" s="54">
        <f>O86-O84</f>
        <v>0</v>
      </c>
      <c r="P87" s="54">
        <f>P84-P86</f>
        <v>47.164809820067603</v>
      </c>
      <c r="Q87" s="54">
        <f t="shared" ref="Q87:AX87" si="6">Q84-Q86</f>
        <v>94.329619640138844</v>
      </c>
      <c r="R87" s="54">
        <f t="shared" si="6"/>
        <v>141.49442946020827</v>
      </c>
      <c r="S87" s="54">
        <f t="shared" si="6"/>
        <v>188.65923928027769</v>
      </c>
      <c r="T87" s="54">
        <f t="shared" si="6"/>
        <v>235.82404910034893</v>
      </c>
      <c r="U87" s="54">
        <f t="shared" si="6"/>
        <v>282.98885892041471</v>
      </c>
      <c r="V87" s="54">
        <f t="shared" si="6"/>
        <v>330.15366874048595</v>
      </c>
      <c r="W87" s="54">
        <f t="shared" si="6"/>
        <v>377.3184785605572</v>
      </c>
      <c r="X87" s="54">
        <f t="shared" si="6"/>
        <v>424.48328838062844</v>
      </c>
      <c r="Y87" s="54">
        <f t="shared" si="6"/>
        <v>471.64809820069786</v>
      </c>
      <c r="Z87" s="54">
        <f t="shared" si="6"/>
        <v>506.5098685941266</v>
      </c>
      <c r="AA87" s="54">
        <f t="shared" si="6"/>
        <v>541.37163898755898</v>
      </c>
      <c r="AB87" s="54">
        <f t="shared" si="6"/>
        <v>576.23340938099318</v>
      </c>
      <c r="AC87" s="54">
        <f t="shared" si="6"/>
        <v>611.09517977442192</v>
      </c>
      <c r="AD87" s="54">
        <f t="shared" si="6"/>
        <v>645.95695016785612</v>
      </c>
      <c r="AE87" s="54">
        <f t="shared" si="6"/>
        <v>680.81872056128668</v>
      </c>
      <c r="AF87" s="54">
        <f t="shared" si="6"/>
        <v>715.68049095471906</v>
      </c>
      <c r="AG87" s="54">
        <f t="shared" si="6"/>
        <v>750.54226134814962</v>
      </c>
      <c r="AH87" s="54">
        <f t="shared" si="6"/>
        <v>785.404031741582</v>
      </c>
      <c r="AI87" s="54">
        <f t="shared" si="6"/>
        <v>820.26580213501256</v>
      </c>
      <c r="AJ87" s="54">
        <f t="shared" si="6"/>
        <v>855.12757252844494</v>
      </c>
      <c r="AK87" s="54">
        <f t="shared" si="6"/>
        <v>889.98934292187732</v>
      </c>
      <c r="AL87" s="54">
        <f t="shared" si="6"/>
        <v>924.85111331530607</v>
      </c>
      <c r="AM87" s="54">
        <f t="shared" si="6"/>
        <v>959.71288370874026</v>
      </c>
      <c r="AN87" s="54">
        <f t="shared" si="6"/>
        <v>994.57465410217083</v>
      </c>
      <c r="AO87" s="54">
        <f t="shared" si="6"/>
        <v>1029.4364244956014</v>
      </c>
      <c r="AP87" s="54">
        <f t="shared" si="6"/>
        <v>1064.2981948890338</v>
      </c>
      <c r="AQ87" s="54">
        <f t="shared" si="6"/>
        <v>1099.1599652824661</v>
      </c>
      <c r="AR87" s="54">
        <f t="shared" si="6"/>
        <v>1134.0217356758985</v>
      </c>
      <c r="AS87" s="54">
        <f t="shared" si="6"/>
        <v>1168.8835060693291</v>
      </c>
      <c r="AT87" s="54">
        <f t="shared" si="6"/>
        <v>1203.7452764627596</v>
      </c>
      <c r="AU87" s="54">
        <f t="shared" si="6"/>
        <v>1238.607046856192</v>
      </c>
      <c r="AV87" s="54">
        <f t="shared" si="6"/>
        <v>1273.4688172496226</v>
      </c>
      <c r="AW87" s="54">
        <f t="shared" si="6"/>
        <v>1308.3305876430531</v>
      </c>
      <c r="AX87" s="54">
        <f t="shared" si="6"/>
        <v>1343.1923580364892</v>
      </c>
    </row>
    <row r="88" spans="3:50"/>
    <row r="89" spans="3:50">
      <c r="D89" s="38" t="s">
        <v>1343</v>
      </c>
    </row>
    <row r="90" spans="3:50"/>
    <row r="91" spans="3:50">
      <c r="E91" s="38" t="s">
        <v>142</v>
      </c>
      <c r="G91" s="44" t="s">
        <v>1202</v>
      </c>
      <c r="H91"/>
      <c r="I91" s="44"/>
      <c r="J91"/>
      <c r="K91" s="44"/>
      <c r="L91"/>
      <c r="M91" s="44"/>
      <c r="O91" s="54">
        <f>O77+O84</f>
        <v>14687.855500530282</v>
      </c>
      <c r="P91" s="54">
        <f t="shared" ref="P91:AX91" si="7">P77+P84</f>
        <v>14773.088591178479</v>
      </c>
      <c r="Q91" s="54">
        <f t="shared" si="7"/>
        <v>14858.320151573316</v>
      </c>
      <c r="R91" s="54">
        <f t="shared" si="7"/>
        <v>14943.550181714789</v>
      </c>
      <c r="S91" s="54">
        <f t="shared" si="7"/>
        <v>14976.94546186936</v>
      </c>
      <c r="T91" s="54">
        <f t="shared" si="7"/>
        <v>14958.647431568901</v>
      </c>
      <c r="U91" s="54">
        <f t="shared" si="7"/>
        <v>14881.780135473829</v>
      </c>
      <c r="V91" s="54">
        <f t="shared" si="7"/>
        <v>14752.572075784134</v>
      </c>
      <c r="W91" s="54">
        <f t="shared" si="7"/>
        <v>14567.56807655089</v>
      </c>
      <c r="X91" s="54">
        <f t="shared" si="7"/>
        <v>14328.394432239351</v>
      </c>
      <c r="Y91" s="54">
        <f t="shared" si="7"/>
        <v>14037.562511359869</v>
      </c>
      <c r="Z91" s="54">
        <f t="shared" si="7"/>
        <v>13687.238884950591</v>
      </c>
      <c r="AA91" s="54">
        <f t="shared" si="7"/>
        <v>13361.649930804637</v>
      </c>
      <c r="AB91" s="54">
        <f t="shared" si="7"/>
        <v>13000.367762849106</v>
      </c>
      <c r="AC91" s="54">
        <f t="shared" si="7"/>
        <v>12597.239530083143</v>
      </c>
      <c r="AD91" s="54">
        <f t="shared" si="7"/>
        <v>12153.942505389565</v>
      </c>
      <c r="AE91" s="54">
        <f t="shared" si="7"/>
        <v>12197.384605890391</v>
      </c>
      <c r="AF91" s="54">
        <f t="shared" si="7"/>
        <v>12241.80512501558</v>
      </c>
      <c r="AG91" s="54">
        <f t="shared" si="7"/>
        <v>12287.21602589207</v>
      </c>
      <c r="AH91" s="54">
        <f t="shared" si="7"/>
        <v>12333.583916160997</v>
      </c>
      <c r="AI91" s="54">
        <f t="shared" si="7"/>
        <v>12383.197552886453</v>
      </c>
      <c r="AJ91" s="54">
        <f t="shared" si="7"/>
        <v>12434.288267888631</v>
      </c>
      <c r="AK91" s="54">
        <f t="shared" si="7"/>
        <v>12484.085214010327</v>
      </c>
      <c r="AL91" s="54">
        <f t="shared" si="7"/>
        <v>12533.358322918957</v>
      </c>
      <c r="AM91" s="54">
        <f t="shared" si="7"/>
        <v>12581.053544829672</v>
      </c>
      <c r="AN91" s="54">
        <f t="shared" si="7"/>
        <v>12628.730649646226</v>
      </c>
      <c r="AO91" s="54">
        <f t="shared" si="7"/>
        <v>12676.439675944248</v>
      </c>
      <c r="AP91" s="54">
        <f t="shared" si="7"/>
        <v>12724.125549492494</v>
      </c>
      <c r="AQ91" s="54">
        <f t="shared" si="7"/>
        <v>12771.792335317239</v>
      </c>
      <c r="AR91" s="54">
        <f t="shared" si="7"/>
        <v>12819.44409070783</v>
      </c>
      <c r="AS91" s="54">
        <f t="shared" si="7"/>
        <v>12867.084863607251</v>
      </c>
      <c r="AT91" s="54">
        <f t="shared" si="7"/>
        <v>12914.6595429511</v>
      </c>
      <c r="AU91" s="54">
        <f t="shared" si="7"/>
        <v>12962.264411139136</v>
      </c>
      <c r="AV91" s="54">
        <f t="shared" si="7"/>
        <v>13009.899974425856</v>
      </c>
      <c r="AW91" s="54">
        <f t="shared" si="7"/>
        <v>13057.566751278106</v>
      </c>
      <c r="AX91" s="54">
        <f t="shared" si="7"/>
        <v>13105.265272312354</v>
      </c>
    </row>
    <row r="92" spans="3:50"/>
    <row r="93" spans="3:50">
      <c r="E93" s="38" t="s">
        <v>1248</v>
      </c>
      <c r="G93" s="44" t="s">
        <v>1202</v>
      </c>
      <c r="H93"/>
      <c r="I93" s="44"/>
      <c r="J93"/>
      <c r="K93" s="44"/>
      <c r="L93"/>
      <c r="M93" s="44"/>
      <c r="O93" s="54">
        <f>SUM(O79+O86)</f>
        <v>14687.855500530282</v>
      </c>
      <c r="P93" s="54">
        <f t="shared" ref="P93:AX93" si="8">SUM(P79+P86)</f>
        <v>14687.896904075751</v>
      </c>
      <c r="Q93" s="54">
        <f t="shared" si="8"/>
        <v>14687.936777367855</v>
      </c>
      <c r="R93" s="54">
        <f t="shared" si="8"/>
        <v>14687.975120406598</v>
      </c>
      <c r="S93" s="54">
        <f t="shared" si="8"/>
        <v>14636.178713458437</v>
      </c>
      <c r="T93" s="54">
        <f t="shared" si="8"/>
        <v>14532.688996055245</v>
      </c>
      <c r="U93" s="54">
        <f t="shared" si="8"/>
        <v>14376.473886795153</v>
      </c>
      <c r="V93" s="54">
        <f t="shared" si="8"/>
        <v>14167.918013940429</v>
      </c>
      <c r="W93" s="54">
        <f t="shared" si="8"/>
        <v>13903.566201542157</v>
      </c>
      <c r="X93" s="54">
        <f t="shared" si="8"/>
        <v>13585.044744065592</v>
      </c>
      <c r="Y93" s="54">
        <f t="shared" si="8"/>
        <v>13214.865010021083</v>
      </c>
      <c r="Z93" s="54">
        <f t="shared" si="8"/>
        <v>12803.625760604962</v>
      </c>
      <c r="AA93" s="54">
        <f t="shared" si="8"/>
        <v>12417.121183452162</v>
      </c>
      <c r="AB93" s="54">
        <f t="shared" si="8"/>
        <v>11994.923392489784</v>
      </c>
      <c r="AC93" s="54">
        <f t="shared" si="8"/>
        <v>11530.879536716979</v>
      </c>
      <c r="AD93" s="54">
        <f t="shared" si="8"/>
        <v>11026.666889016553</v>
      </c>
      <c r="AE93" s="54">
        <f t="shared" si="8"/>
        <v>11023.23670925775</v>
      </c>
      <c r="AF93" s="54">
        <f t="shared" si="8"/>
        <v>11020.78494812331</v>
      </c>
      <c r="AG93" s="54">
        <f t="shared" si="8"/>
        <v>11019.32356874017</v>
      </c>
      <c r="AH93" s="54">
        <f t="shared" si="8"/>
        <v>11018.819178749465</v>
      </c>
      <c r="AI93" s="54">
        <f t="shared" si="8"/>
        <v>11021.560535215292</v>
      </c>
      <c r="AJ93" s="54">
        <f t="shared" si="8"/>
        <v>11025.778969957839</v>
      </c>
      <c r="AK93" s="54">
        <f t="shared" si="8"/>
        <v>11028.703635819906</v>
      </c>
      <c r="AL93" s="54">
        <f t="shared" si="8"/>
        <v>11031.104464468908</v>
      </c>
      <c r="AM93" s="54">
        <f t="shared" si="8"/>
        <v>11031.92740611999</v>
      </c>
      <c r="AN93" s="54">
        <f t="shared" si="8"/>
        <v>11032.732230676913</v>
      </c>
      <c r="AO93" s="54">
        <f t="shared" si="8"/>
        <v>11033.568976715307</v>
      </c>
      <c r="AP93" s="54">
        <f t="shared" si="8"/>
        <v>11034.382570003922</v>
      </c>
      <c r="AQ93" s="54">
        <f t="shared" si="8"/>
        <v>11035.177075569036</v>
      </c>
      <c r="AR93" s="54">
        <f t="shared" si="8"/>
        <v>11035.956550699993</v>
      </c>
      <c r="AS93" s="54">
        <f t="shared" si="8"/>
        <v>11036.725043339788</v>
      </c>
      <c r="AT93" s="54">
        <f t="shared" si="8"/>
        <v>11037.427442424007</v>
      </c>
      <c r="AU93" s="54">
        <f t="shared" si="8"/>
        <v>11038.160030352412</v>
      </c>
      <c r="AV93" s="54">
        <f t="shared" si="8"/>
        <v>11038.923313379502</v>
      </c>
      <c r="AW93" s="54">
        <f t="shared" si="8"/>
        <v>11039.71780997212</v>
      </c>
      <c r="AX93" s="54">
        <f t="shared" si="8"/>
        <v>11040.544050746737</v>
      </c>
    </row>
    <row r="94" spans="3:50">
      <c r="E94" s="38" t="s">
        <v>1340</v>
      </c>
      <c r="G94" s="44" t="s">
        <v>1202</v>
      </c>
      <c r="H94"/>
      <c r="I94" s="44"/>
      <c r="J94"/>
      <c r="K94" s="44"/>
      <c r="L94"/>
      <c r="M94" s="44"/>
      <c r="O94" s="54">
        <f t="shared" ref="O94:AX94" si="9">SUM(O80+O87)</f>
        <v>0</v>
      </c>
      <c r="P94" s="54">
        <f t="shared" si="9"/>
        <v>85.191687102729247</v>
      </c>
      <c r="Q94" s="54">
        <f t="shared" si="9"/>
        <v>170.38337420546122</v>
      </c>
      <c r="R94" s="54">
        <f t="shared" si="9"/>
        <v>255.57506130819138</v>
      </c>
      <c r="S94" s="54">
        <f t="shared" si="9"/>
        <v>340.76674841092245</v>
      </c>
      <c r="T94" s="54">
        <f t="shared" si="9"/>
        <v>425.95843551365533</v>
      </c>
      <c r="U94" s="54">
        <f t="shared" si="9"/>
        <v>505.30624867867709</v>
      </c>
      <c r="V94" s="54">
        <f t="shared" si="9"/>
        <v>584.65406184370522</v>
      </c>
      <c r="W94" s="54">
        <f t="shared" si="9"/>
        <v>664.00187500873199</v>
      </c>
      <c r="X94" s="54">
        <f t="shared" si="9"/>
        <v>743.34968817376057</v>
      </c>
      <c r="Y94" s="54">
        <f t="shared" si="9"/>
        <v>822.69750133878688</v>
      </c>
      <c r="Z94" s="54">
        <f t="shared" si="9"/>
        <v>883.61312434562797</v>
      </c>
      <c r="AA94" s="54">
        <f t="shared" si="9"/>
        <v>944.52874735247497</v>
      </c>
      <c r="AB94" s="54">
        <f t="shared" si="9"/>
        <v>1005.4443703593224</v>
      </c>
      <c r="AC94" s="54">
        <f t="shared" si="9"/>
        <v>1066.359993366164</v>
      </c>
      <c r="AD94" s="54">
        <f t="shared" si="9"/>
        <v>1127.2756163730119</v>
      </c>
      <c r="AE94" s="54">
        <f t="shared" si="9"/>
        <v>1174.1478966326404</v>
      </c>
      <c r="AF94" s="54">
        <f t="shared" si="9"/>
        <v>1221.0201768922711</v>
      </c>
      <c r="AG94" s="54">
        <f t="shared" si="9"/>
        <v>1267.8924571519001</v>
      </c>
      <c r="AH94" s="54">
        <f t="shared" si="9"/>
        <v>1314.7647374115309</v>
      </c>
      <c r="AI94" s="54">
        <f t="shared" si="9"/>
        <v>1361.6370176711607</v>
      </c>
      <c r="AJ94" s="54">
        <f t="shared" si="9"/>
        <v>1408.5092979307919</v>
      </c>
      <c r="AK94" s="54">
        <f t="shared" si="9"/>
        <v>1455.3815781904214</v>
      </c>
      <c r="AL94" s="54">
        <f t="shared" si="9"/>
        <v>1502.2538584500494</v>
      </c>
      <c r="AM94" s="54">
        <f t="shared" si="9"/>
        <v>1549.1261387096815</v>
      </c>
      <c r="AN94" s="54">
        <f t="shared" si="9"/>
        <v>1595.9984189693118</v>
      </c>
      <c r="AO94" s="54">
        <f t="shared" si="9"/>
        <v>1642.8706992289417</v>
      </c>
      <c r="AP94" s="54">
        <f t="shared" si="9"/>
        <v>1689.742979488572</v>
      </c>
      <c r="AQ94" s="54">
        <f t="shared" si="9"/>
        <v>1736.6152597482037</v>
      </c>
      <c r="AR94" s="54">
        <f t="shared" si="9"/>
        <v>1783.4875400078349</v>
      </c>
      <c r="AS94" s="54">
        <f t="shared" si="9"/>
        <v>1830.3598202674639</v>
      </c>
      <c r="AT94" s="54">
        <f t="shared" si="9"/>
        <v>1877.2321005270937</v>
      </c>
      <c r="AU94" s="54">
        <f t="shared" si="9"/>
        <v>1924.1043807867245</v>
      </c>
      <c r="AV94" s="54">
        <f t="shared" si="9"/>
        <v>1970.9766610463544</v>
      </c>
      <c r="AW94" s="54">
        <f t="shared" si="9"/>
        <v>2017.8489413059842</v>
      </c>
      <c r="AX94" s="54">
        <f t="shared" si="9"/>
        <v>2064.7212215656164</v>
      </c>
    </row>
    <row r="95" spans="3:50"/>
    <row r="96" spans="3:50" s="43" customFormat="1">
      <c r="C96" s="43" t="s">
        <v>1349</v>
      </c>
      <c r="O96" s="71"/>
      <c r="P96" s="71"/>
      <c r="Q96" s="71"/>
      <c r="R96" s="71"/>
      <c r="S96" s="71"/>
      <c r="T96" s="71"/>
      <c r="U96" s="71"/>
      <c r="V96" s="71"/>
      <c r="W96" s="71"/>
      <c r="X96" s="71"/>
      <c r="Y96" s="71"/>
      <c r="Z96" s="71"/>
      <c r="AA96" s="71"/>
      <c r="AB96" s="71"/>
      <c r="AC96" s="71"/>
      <c r="AD96" s="71"/>
      <c r="AE96" s="71"/>
      <c r="AF96" s="71"/>
      <c r="AG96" s="71"/>
      <c r="AH96" s="71"/>
      <c r="AI96" s="71"/>
      <c r="AJ96" s="71"/>
      <c r="AK96" s="71"/>
      <c r="AL96" s="71"/>
      <c r="AM96" s="71"/>
      <c r="AN96" s="71"/>
      <c r="AO96" s="71"/>
      <c r="AP96" s="71"/>
      <c r="AQ96" s="71"/>
      <c r="AR96" s="71"/>
      <c r="AS96" s="71"/>
      <c r="AT96" s="71"/>
      <c r="AU96" s="71"/>
      <c r="AV96" s="71"/>
      <c r="AW96" s="71"/>
      <c r="AX96" s="71"/>
    </row>
    <row r="97" spans="1:51"/>
    <row r="98" spans="1:51">
      <c r="D98" s="38" t="s">
        <v>157</v>
      </c>
    </row>
    <row r="99" spans="1:51"/>
    <row r="100" spans="1:51">
      <c r="E100" s="38" t="s">
        <v>799</v>
      </c>
      <c r="G100" s="44"/>
      <c r="H100"/>
      <c r="I100" s="44"/>
      <c r="J100"/>
      <c r="K100" s="44"/>
      <c r="L100"/>
      <c r="M100" s="44"/>
      <c r="O100" s="64"/>
      <c r="P100" s="63"/>
      <c r="Q100" s="63"/>
      <c r="R100" s="63"/>
      <c r="S100" s="63"/>
      <c r="T100" s="63"/>
      <c r="U100" s="63"/>
      <c r="V100" s="63"/>
      <c r="W100" s="63"/>
      <c r="X100" s="63"/>
      <c r="Y100" s="64"/>
      <c r="Z100" s="63"/>
      <c r="AA100" s="63"/>
      <c r="AB100" s="63"/>
      <c r="AC100" s="63"/>
      <c r="AD100" s="63"/>
      <c r="AE100" s="63"/>
      <c r="AF100" s="63"/>
      <c r="AG100" s="63"/>
      <c r="AH100" s="63"/>
      <c r="AI100" s="63"/>
      <c r="AJ100" s="63"/>
      <c r="AK100" s="63"/>
      <c r="AL100" s="63"/>
      <c r="AM100" s="63"/>
      <c r="AN100" s="63"/>
      <c r="AO100" s="63"/>
      <c r="AP100" s="63"/>
      <c r="AQ100" s="63"/>
      <c r="AR100" s="63"/>
      <c r="AS100" s="63"/>
      <c r="AT100" s="63"/>
      <c r="AU100" s="63"/>
      <c r="AV100" s="63"/>
      <c r="AW100" s="63"/>
      <c r="AX100" s="64"/>
    </row>
    <row r="101" spans="1:51">
      <c r="E101" s="38" t="s">
        <v>191</v>
      </c>
      <c r="G101" s="44"/>
      <c r="H101"/>
      <c r="I101" s="44"/>
      <c r="J101"/>
      <c r="K101" s="44"/>
      <c r="L101"/>
      <c r="M101" s="44"/>
      <c r="O101" s="64"/>
      <c r="P101" s="63"/>
      <c r="Q101" s="63"/>
      <c r="R101" s="63"/>
      <c r="S101" s="63"/>
      <c r="T101" s="63"/>
      <c r="U101" s="63"/>
      <c r="V101" s="63"/>
      <c r="W101" s="63"/>
      <c r="X101" s="63"/>
      <c r="Y101" s="64"/>
      <c r="Z101" s="63"/>
      <c r="AA101" s="63"/>
      <c r="AB101" s="63"/>
      <c r="AC101" s="63"/>
      <c r="AD101" s="63"/>
      <c r="AE101" s="63"/>
      <c r="AF101" s="63"/>
      <c r="AG101" s="63"/>
      <c r="AH101" s="63"/>
      <c r="AI101" s="63"/>
      <c r="AJ101" s="63"/>
      <c r="AK101" s="63"/>
      <c r="AL101" s="63"/>
      <c r="AM101" s="63"/>
      <c r="AN101" s="63"/>
      <c r="AO101" s="63"/>
      <c r="AP101" s="63"/>
      <c r="AQ101" s="63"/>
      <c r="AR101" s="63"/>
      <c r="AS101" s="63"/>
      <c r="AT101" s="63"/>
      <c r="AU101" s="63"/>
      <c r="AV101" s="63"/>
      <c r="AW101" s="63"/>
      <c r="AX101" s="64"/>
    </row>
    <row r="102" spans="1:51">
      <c r="E102" s="38" t="s">
        <v>800</v>
      </c>
      <c r="G102" s="44"/>
      <c r="H102"/>
      <c r="I102" s="44"/>
      <c r="J102"/>
      <c r="K102" s="44"/>
      <c r="L102"/>
      <c r="M102" s="44"/>
      <c r="O102" s="64">
        <f>'2.4 PV (by Borough)'!O209/('Energy demand'!O77*10^6)</f>
        <v>2.2766027230945556E-3</v>
      </c>
      <c r="P102" s="64">
        <f>'2.4 PV (by Borough)'!P209/('Energy demand'!P77*10^6)</f>
        <v>3.9949301119807431E-3</v>
      </c>
      <c r="Q102" s="64">
        <f>'2.4 PV (by Borough)'!Q209/('Energy demand'!Q77*10^6)</f>
        <v>5.6759254529281777E-3</v>
      </c>
      <c r="R102" s="64">
        <f>'2.4 PV (by Borough)'!R209/('Energy demand'!R77*10^6)</f>
        <v>7.3207944861657156E-3</v>
      </c>
      <c r="S102" s="64">
        <f>'2.4 PV (by Borough)'!S209/('Energy demand'!S77*10^6)</f>
        <v>8.9872139851859042E-3</v>
      </c>
      <c r="T102" s="64">
        <f>'2.4 PV (by Borough)'!T209/('Energy demand'!T77*10^6)</f>
        <v>1.0706195786163457E-2</v>
      </c>
      <c r="U102" s="64">
        <f>'2.4 PV (by Borough)'!U209/('Energy demand'!U77*10^6)</f>
        <v>1.2534257139258568E-2</v>
      </c>
      <c r="V102" s="64">
        <f>'2.4 PV (by Borough)'!V209/('Energy demand'!V77*10^6)</f>
        <v>1.4494804793706613E-2</v>
      </c>
      <c r="W102" s="64">
        <f>'2.4 PV (by Borough)'!W209/('Energy demand'!W77*10^6)</f>
        <v>1.6641641720287433E-2</v>
      </c>
      <c r="X102" s="64">
        <f>'2.4 PV (by Borough)'!X209/('Energy demand'!X77*10^6)</f>
        <v>1.9023209497753088E-2</v>
      </c>
      <c r="Y102" s="64">
        <f>'2.4 PV (by Borough)'!Y209/('Energy demand'!Y77*10^6)</f>
        <v>2.1715940443618756E-2</v>
      </c>
      <c r="Z102" s="64">
        <f>'2.4 PV (by Borough)'!Z209/('Energy demand'!Z77*10^6)</f>
        <v>2.7120824484073713E-2</v>
      </c>
      <c r="AA102" s="64">
        <f>'2.4 PV (by Borough)'!AA209/('Energy demand'!AA77*10^6)</f>
        <v>3.2463328264886439E-2</v>
      </c>
      <c r="AB102" s="64">
        <f>'2.4 PV (by Borough)'!AB209/('Energy demand'!AB77*10^6)</f>
        <v>3.8305752531214647E-2</v>
      </c>
      <c r="AC102" s="64">
        <f>'2.4 PV (by Borough)'!AC209/('Energy demand'!AC77*10^6)</f>
        <v>4.4805367396079723E-2</v>
      </c>
      <c r="AD102" s="64">
        <f>'2.4 PV (by Borough)'!AD209/('Energy demand'!AD77*10^6)</f>
        <v>5.2132904016664032E-2</v>
      </c>
      <c r="AE102" s="64">
        <f>'2.4 PV (by Borough)'!AE209/('Energy demand'!AE77*10^6)</f>
        <v>5.6904975352069294E-2</v>
      </c>
      <c r="AF102" s="64">
        <f>'2.4 PV (by Borough)'!AF209/('Energy demand'!AF77*10^6)</f>
        <v>6.1623325065788832E-2</v>
      </c>
      <c r="AG102" s="64">
        <f>'2.4 PV (by Borough)'!AG209/('Energy demand'!AG77*10^6)</f>
        <v>6.6288577669744761E-2</v>
      </c>
      <c r="AH102" s="64">
        <f>'2.4 PV (by Borough)'!AH209/('Energy demand'!AH77*10^6)</f>
        <v>7.0902493854973811E-2</v>
      </c>
      <c r="AI102" s="64">
        <f>'2.4 PV (by Borough)'!AI209/('Energy demand'!AI77*10^6)</f>
        <v>7.5458811546310262E-2</v>
      </c>
      <c r="AJ102" s="64">
        <f>'2.4 PV (by Borough)'!AJ209/('Energy demand'!AJ77*10^6)</f>
        <v>7.9919637317530226E-2</v>
      </c>
      <c r="AK102" s="64">
        <f>'2.4 PV (by Borough)'!AK209/('Energy demand'!AK77*10^6)</f>
        <v>8.4366954401665653E-2</v>
      </c>
      <c r="AL102" s="64">
        <f>'2.4 PV (by Borough)'!AL209/('Energy demand'!AL77*10^6)</f>
        <v>8.8781910187003682E-2</v>
      </c>
      <c r="AM102" s="64">
        <f>'2.4 PV (by Borough)'!AM209/('Energy demand'!AM77*10^6)</f>
        <v>9.3204085786335322E-2</v>
      </c>
      <c r="AN102" s="64">
        <f>'2.4 PV (by Borough)'!AN209/('Energy demand'!AN77*10^6)</f>
        <v>9.7584810696638977E-2</v>
      </c>
      <c r="AO102" s="64">
        <f>'2.4 PV (by Borough)'!AO209/('Energy demand'!AO77*10^6)</f>
        <v>0.10192288379537245</v>
      </c>
      <c r="AP102" s="64">
        <f>'2.4 PV (by Borough)'!AP209/('Energy demand'!AP77*10^6)</f>
        <v>0.10622089926507017</v>
      </c>
      <c r="AQ102" s="64">
        <f>'2.4 PV (by Borough)'!AQ209/('Energy demand'!AQ77*10^6)</f>
        <v>0.11047936558077327</v>
      </c>
      <c r="AR102" s="64">
        <f>'2.4 PV (by Borough)'!AR209/('Energy demand'!AR77*10^6)</f>
        <v>0.1146987551695438</v>
      </c>
      <c r="AS102" s="64">
        <f>'2.4 PV (by Borough)'!AS209/('Energy demand'!AS77*10^6)</f>
        <v>0.11887950598070239</v>
      </c>
      <c r="AT102" s="64">
        <f>'2.4 PV (by Borough)'!AT209/('Energy demand'!AT77*10^6)</f>
        <v>0.12302463898521053</v>
      </c>
      <c r="AU102" s="64">
        <f>'2.4 PV (by Borough)'!AU209/('Energy demand'!AU77*10^6)</f>
        <v>0.12713055524838376</v>
      </c>
      <c r="AV102" s="64">
        <f>'2.4 PV (by Borough)'!AV209/('Energy demand'!AV77*10^6)</f>
        <v>0.13119763422214725</v>
      </c>
      <c r="AW102" s="64">
        <f>'2.4 PV (by Borough)'!AW209/('Energy demand'!AW77*10^6)</f>
        <v>0.13522624748901052</v>
      </c>
      <c r="AX102" s="64">
        <f>'2.4 PV (by Borough)'!AX209/('Energy demand'!AX77*10^6)</f>
        <v>0.13921675888556456</v>
      </c>
      <c r="AY102" s="64"/>
    </row>
    <row r="103" spans="1:51">
      <c r="E103" s="38" t="s">
        <v>801</v>
      </c>
      <c r="G103" s="44"/>
      <c r="H103"/>
      <c r="I103" s="44"/>
      <c r="J103"/>
      <c r="K103" s="44"/>
      <c r="L103"/>
      <c r="M103" s="44"/>
      <c r="O103" s="64"/>
      <c r="P103" s="63"/>
      <c r="Q103" s="63"/>
      <c r="R103" s="63"/>
      <c r="S103" s="63"/>
      <c r="T103" s="63"/>
      <c r="U103" s="63"/>
      <c r="V103" s="63"/>
      <c r="W103" s="63"/>
      <c r="X103" s="63"/>
      <c r="Y103" s="64"/>
      <c r="Z103" s="63"/>
      <c r="AA103" s="63"/>
      <c r="AB103" s="63"/>
      <c r="AC103" s="63"/>
      <c r="AD103" s="63"/>
      <c r="AE103" s="63"/>
      <c r="AF103" s="63"/>
      <c r="AG103" s="63"/>
      <c r="AH103" s="63"/>
      <c r="AI103" s="63"/>
      <c r="AJ103" s="63"/>
      <c r="AK103" s="63"/>
      <c r="AL103" s="63"/>
      <c r="AM103" s="63"/>
      <c r="AN103" s="63"/>
      <c r="AO103" s="63"/>
      <c r="AP103" s="63"/>
      <c r="AQ103" s="63"/>
      <c r="AR103" s="63"/>
      <c r="AS103" s="63"/>
      <c r="AT103" s="63"/>
      <c r="AU103" s="63"/>
      <c r="AV103" s="63"/>
      <c r="AW103" s="63"/>
      <c r="AX103" s="64"/>
    </row>
    <row r="104" spans="1:51" s="594" customFormat="1">
      <c r="A104" s="38"/>
      <c r="B104" s="38"/>
      <c r="C104" s="38"/>
      <c r="D104" s="38"/>
      <c r="E104" s="38" t="s">
        <v>803</v>
      </c>
      <c r="F104" s="38"/>
      <c r="G104" s="44"/>
      <c r="H104"/>
      <c r="I104" s="44"/>
      <c r="J104"/>
      <c r="K104" s="44"/>
      <c r="L104"/>
      <c r="M104" s="44"/>
      <c r="N104" s="38"/>
      <c r="O104" s="63">
        <f>('Heat Networks'!K78/10^6)/O77</f>
        <v>2.6700408527375638E-2</v>
      </c>
      <c r="P104" s="63">
        <f>('Heat Networks'!L78/10^6)/P77</f>
        <v>2.7568609534450412E-2</v>
      </c>
      <c r="Q104" s="63">
        <f>('Heat Networks'!M78/10^6)/Q77</f>
        <v>2.8586410997515212E-2</v>
      </c>
      <c r="R104" s="63">
        <f>('Heat Networks'!N78/10^6)/R77</f>
        <v>2.9740523126080196E-2</v>
      </c>
      <c r="S104" s="63">
        <f>('Heat Networks'!O78/10^6)/S77</f>
        <v>3.1214536188494294E-2</v>
      </c>
      <c r="T104" s="63">
        <f>('Heat Networks'!P78/10^6)/T77</f>
        <v>4.0007727693579201E-2</v>
      </c>
      <c r="U104" s="63">
        <f>('Heat Networks'!Q78/10^6)/U77</f>
        <v>4.5161683073593001E-2</v>
      </c>
      <c r="V104" s="63">
        <f>('Heat Networks'!R78/10^6)/V77</f>
        <v>5.1748942181303818E-2</v>
      </c>
      <c r="W104" s="63">
        <f>('Heat Networks'!S78/10^6)/W77</f>
        <v>5.8751367843776943E-2</v>
      </c>
      <c r="X104" s="63">
        <f>('Heat Networks'!T78/10^6)/X77</f>
        <v>6.6334952617721474E-2</v>
      </c>
      <c r="Y104" s="63">
        <f>('Heat Networks'!U78/10^6)/Y77</f>
        <v>7.474032757270492E-2</v>
      </c>
      <c r="Z104" s="63">
        <f>('Heat Networks'!V78/10^6)/Z77</f>
        <v>7.8414561216751319E-2</v>
      </c>
      <c r="AA104" s="63">
        <f>('Heat Networks'!W78/10^6)/AA77</f>
        <v>8.0818172599623678E-2</v>
      </c>
      <c r="AB104" s="63">
        <f>('Heat Networks'!X78/10^6)/AB77</f>
        <v>8.3619810125676944E-2</v>
      </c>
      <c r="AC104" s="63">
        <f>('Heat Networks'!Y78/10^6)/AC77</f>
        <v>8.6975242784345833E-2</v>
      </c>
      <c r="AD104" s="63">
        <f>('Heat Networks'!Z78/10^6)/AD77</f>
        <v>9.0995994936971941E-2</v>
      </c>
      <c r="AE104" s="63">
        <f>('Heat Networks'!AA78/10^6)/AE77</f>
        <v>8.8598697739107835E-2</v>
      </c>
      <c r="AF104" s="63">
        <f>('Heat Networks'!AB78/10^6)/AF77</f>
        <v>8.586689926894979E-2</v>
      </c>
      <c r="AG104" s="63">
        <f>('Heat Networks'!AC78/10^6)/AG77</f>
        <v>7.8245145623633106E-2</v>
      </c>
      <c r="AH104" s="63">
        <f>('Heat Networks'!AD78/10^6)/AH77</f>
        <v>7.0184702118559109E-2</v>
      </c>
      <c r="AI104" s="63">
        <f>('Heat Networks'!AE78/10^6)/AI77</f>
        <v>6.22556070431469E-2</v>
      </c>
      <c r="AJ104" s="63">
        <f>('Heat Networks'!AF78/10^6)/AJ77</f>
        <v>5.4623082475518822E-2</v>
      </c>
      <c r="AK104" s="63">
        <f>('Heat Networks'!AG78/10^6)/AK77</f>
        <v>4.7282039808412661E-2</v>
      </c>
      <c r="AL104" s="63">
        <f>('Heat Networks'!AH78/10^6)/AL77</f>
        <v>4.0258145967256305E-2</v>
      </c>
      <c r="AM104" s="63">
        <f>('Heat Networks'!AI78/10^6)/AM77</f>
        <v>3.3688094021764814E-2</v>
      </c>
      <c r="AN104" s="63">
        <f>('Heat Networks'!AJ78/10^6)/AN77</f>
        <v>2.7495079503713667E-2</v>
      </c>
      <c r="AO104" s="63">
        <f>('Heat Networks'!AK78/10^6)/AO77</f>
        <v>2.2485012652148483E-2</v>
      </c>
      <c r="AP104" s="63">
        <f>('Heat Networks'!AL78/10^6)/AP77</f>
        <v>1.7629781262838044E-2</v>
      </c>
      <c r="AQ104" s="63">
        <f>('Heat Networks'!AM78/10^6)/AQ77</f>
        <v>1.2941551358384474E-2</v>
      </c>
      <c r="AR104" s="63">
        <f>('Heat Networks'!AN78/10^6)/AR77</f>
        <v>8.4324680919864118E-3</v>
      </c>
      <c r="AS104" s="63">
        <f>('Heat Networks'!AO78/10^6)/AS77</f>
        <v>4.1146129366790123E-3</v>
      </c>
      <c r="AT104" s="63">
        <f>('Heat Networks'!AP78/10^6)/AT77</f>
        <v>0</v>
      </c>
      <c r="AU104" s="63">
        <f>('Heat Networks'!AQ78/10^6)/AU77</f>
        <v>0</v>
      </c>
      <c r="AV104" s="63">
        <f>('Heat Networks'!AR78/10^6)/AV77</f>
        <v>0</v>
      </c>
      <c r="AW104" s="63">
        <f>('Heat Networks'!AS78/10^6)/AW77</f>
        <v>0</v>
      </c>
      <c r="AX104" s="63">
        <f>('Heat Networks'!AT78/10^6)/AX77</f>
        <v>0</v>
      </c>
      <c r="AY104" s="38"/>
    </row>
    <row r="105" spans="1:51">
      <c r="E105" s="38" t="s">
        <v>805</v>
      </c>
      <c r="G105" s="44"/>
      <c r="H105"/>
      <c r="I105" s="44"/>
      <c r="J105"/>
      <c r="K105" s="44"/>
      <c r="L105"/>
      <c r="M105" s="44"/>
      <c r="O105" s="63">
        <f>1-SUM(O100:O104)</f>
        <v>0.97102298874952986</v>
      </c>
      <c r="P105" s="63">
        <f t="shared" ref="P105:AX105" si="10">1-SUM(P100:P104)</f>
        <v>0.9684364603535689</v>
      </c>
      <c r="Q105" s="63">
        <f t="shared" si="10"/>
        <v>0.96573766354955659</v>
      </c>
      <c r="R105" s="63">
        <f t="shared" si="10"/>
        <v>0.96293868238775404</v>
      </c>
      <c r="S105" s="63">
        <f t="shared" si="10"/>
        <v>0.95979824982631978</v>
      </c>
      <c r="T105" s="63">
        <f t="shared" si="10"/>
        <v>0.94928607652025732</v>
      </c>
      <c r="U105" s="63">
        <f t="shared" si="10"/>
        <v>0.94230405978714837</v>
      </c>
      <c r="V105" s="63">
        <f t="shared" si="10"/>
        <v>0.93375625302498955</v>
      </c>
      <c r="W105" s="63">
        <f t="shared" si="10"/>
        <v>0.92460699043593564</v>
      </c>
      <c r="X105" s="63">
        <f t="shared" si="10"/>
        <v>0.91464183788452547</v>
      </c>
      <c r="Y105" s="63">
        <f t="shared" si="10"/>
        <v>0.90354373198367632</v>
      </c>
      <c r="Z105" s="63">
        <f t="shared" si="10"/>
        <v>0.89446461429917501</v>
      </c>
      <c r="AA105" s="63">
        <f t="shared" si="10"/>
        <v>0.88671849913548995</v>
      </c>
      <c r="AB105" s="63">
        <f t="shared" si="10"/>
        <v>0.87807443734310842</v>
      </c>
      <c r="AC105" s="63">
        <f t="shared" si="10"/>
        <v>0.86821938981957447</v>
      </c>
      <c r="AD105" s="63">
        <f t="shared" si="10"/>
        <v>0.85687110104636399</v>
      </c>
      <c r="AE105" s="63">
        <f t="shared" si="10"/>
        <v>0.85449632690882282</v>
      </c>
      <c r="AF105" s="63">
        <f t="shared" si="10"/>
        <v>0.85250977566526132</v>
      </c>
      <c r="AG105" s="63">
        <f t="shared" si="10"/>
        <v>0.85546627670662212</v>
      </c>
      <c r="AH105" s="63">
        <f t="shared" si="10"/>
        <v>0.85891280402646708</v>
      </c>
      <c r="AI105" s="63">
        <f t="shared" si="10"/>
        <v>0.86228558141054279</v>
      </c>
      <c r="AJ105" s="63">
        <f t="shared" si="10"/>
        <v>0.8654572802069509</v>
      </c>
      <c r="AK105" s="63">
        <f t="shared" si="10"/>
        <v>0.86835100578992175</v>
      </c>
      <c r="AL105" s="63">
        <f t="shared" si="10"/>
        <v>0.87095994384574005</v>
      </c>
      <c r="AM105" s="63">
        <f t="shared" si="10"/>
        <v>0.87310782019189981</v>
      </c>
      <c r="AN105" s="63">
        <f t="shared" si="10"/>
        <v>0.87492010979964729</v>
      </c>
      <c r="AO105" s="63">
        <f t="shared" si="10"/>
        <v>0.87559210355247907</v>
      </c>
      <c r="AP105" s="63">
        <f t="shared" si="10"/>
        <v>0.87614931947209174</v>
      </c>
      <c r="AQ105" s="63">
        <f t="shared" si="10"/>
        <v>0.8765790830608422</v>
      </c>
      <c r="AR105" s="63">
        <f t="shared" si="10"/>
        <v>0.87686877673846975</v>
      </c>
      <c r="AS105" s="63">
        <f t="shared" si="10"/>
        <v>0.87700588108261857</v>
      </c>
      <c r="AT105" s="63">
        <f t="shared" si="10"/>
        <v>0.87697536101478946</v>
      </c>
      <c r="AU105" s="63">
        <f t="shared" si="10"/>
        <v>0.87286944475161621</v>
      </c>
      <c r="AV105" s="63">
        <f t="shared" si="10"/>
        <v>0.86880236577785275</v>
      </c>
      <c r="AW105" s="63">
        <f t="shared" si="10"/>
        <v>0.86477375251098954</v>
      </c>
      <c r="AX105" s="63">
        <f t="shared" si="10"/>
        <v>0.86078324111443538</v>
      </c>
    </row>
    <row r="106" spans="1:51"/>
    <row r="107" spans="1:51">
      <c r="D107" s="38" t="s">
        <v>722</v>
      </c>
    </row>
    <row r="108" spans="1:51"/>
    <row r="109" spans="1:51">
      <c r="E109" s="38" t="s">
        <v>799</v>
      </c>
      <c r="G109" s="44"/>
      <c r="H109"/>
      <c r="I109" s="44"/>
      <c r="J109"/>
      <c r="K109" s="44"/>
      <c r="L109"/>
      <c r="M109" s="44"/>
      <c r="O109" s="64"/>
      <c r="P109" s="64"/>
      <c r="Q109" s="64"/>
      <c r="R109" s="64"/>
      <c r="S109" s="64"/>
      <c r="T109" s="64"/>
      <c r="U109" s="64"/>
      <c r="V109" s="64"/>
      <c r="W109" s="64"/>
      <c r="X109" s="64"/>
      <c r="Y109" s="64"/>
      <c r="Z109" s="63"/>
      <c r="AA109" s="63"/>
      <c r="AB109" s="63"/>
      <c r="AC109" s="63"/>
      <c r="AD109" s="63"/>
      <c r="AE109" s="63"/>
      <c r="AF109" s="63"/>
      <c r="AG109" s="63"/>
      <c r="AH109" s="63"/>
      <c r="AI109" s="63"/>
      <c r="AJ109" s="63"/>
      <c r="AK109" s="63"/>
      <c r="AL109" s="63"/>
      <c r="AM109" s="63"/>
      <c r="AN109" s="63"/>
      <c r="AO109" s="63"/>
      <c r="AP109" s="63"/>
      <c r="AQ109" s="63"/>
      <c r="AR109" s="63"/>
      <c r="AS109" s="63"/>
      <c r="AT109" s="63"/>
      <c r="AU109" s="63"/>
      <c r="AV109" s="63"/>
      <c r="AW109" s="63"/>
      <c r="AX109" s="64"/>
    </row>
    <row r="110" spans="1:51">
      <c r="E110" s="38" t="s">
        <v>191</v>
      </c>
      <c r="G110" s="44"/>
      <c r="H110"/>
      <c r="I110" s="44"/>
      <c r="J110"/>
      <c r="K110" s="44"/>
      <c r="L110"/>
      <c r="M110" s="44"/>
      <c r="O110" s="64"/>
      <c r="P110" s="64"/>
      <c r="Q110" s="64"/>
      <c r="R110" s="64"/>
      <c r="S110" s="64"/>
      <c r="T110" s="64"/>
      <c r="U110" s="64"/>
      <c r="V110" s="64"/>
      <c r="W110" s="64"/>
      <c r="X110" s="64"/>
      <c r="Y110" s="64"/>
      <c r="Z110" s="63"/>
      <c r="AA110" s="63"/>
      <c r="AB110" s="63"/>
      <c r="AC110" s="63"/>
      <c r="AD110" s="63"/>
      <c r="AE110" s="63"/>
      <c r="AF110" s="63"/>
      <c r="AG110" s="63"/>
      <c r="AH110" s="63"/>
      <c r="AI110" s="63"/>
      <c r="AJ110" s="63"/>
      <c r="AK110" s="63"/>
      <c r="AL110" s="63"/>
      <c r="AM110" s="63"/>
      <c r="AN110" s="63"/>
      <c r="AO110" s="63"/>
      <c r="AP110" s="63"/>
      <c r="AQ110" s="63"/>
      <c r="AR110" s="63"/>
      <c r="AS110" s="63"/>
      <c r="AT110" s="63"/>
      <c r="AU110" s="63"/>
      <c r="AV110" s="63"/>
      <c r="AW110" s="63"/>
      <c r="AX110" s="64"/>
    </row>
    <row r="111" spans="1:51">
      <c r="E111" s="38" t="s">
        <v>800</v>
      </c>
      <c r="G111" s="44"/>
      <c r="H111"/>
      <c r="I111" s="44"/>
      <c r="J111"/>
      <c r="K111" s="44"/>
      <c r="L111"/>
      <c r="M111" s="44"/>
      <c r="O111" s="64">
        <f>'2.4 PV (by Borough)'!O416/('Energy demand'!O84*10^6)</f>
        <v>1.6217313362501307E-4</v>
      </c>
      <c r="P111" s="64">
        <f>'2.4 PV (by Borough)'!P416/('Energy demand'!P84*10^6)</f>
        <v>2.7827486111713762E-4</v>
      </c>
      <c r="Q111" s="64">
        <f>'2.4 PV (by Borough)'!Q416/('Energy demand'!Q84*10^6)</f>
        <v>3.9341202003323006E-4</v>
      </c>
      <c r="R111" s="64">
        <f>'2.4 PV (by Borough)'!R416/('Energy demand'!R84*10^6)</f>
        <v>5.0759658104393012E-4</v>
      </c>
      <c r="S111" s="64">
        <f>'2.4 PV (by Borough)'!S416/('Energy demand'!S84*10^6)</f>
        <v>6.2243417275086455E-4</v>
      </c>
      <c r="T111" s="64">
        <f>'2.4 PV (by Borough)'!T416/('Energy demand'!T84*10^6)</f>
        <v>7.3880671163843736E-4</v>
      </c>
      <c r="U111" s="64">
        <f>'2.4 PV (by Borough)'!U416/('Energy demand'!U84*10^6)</f>
        <v>8.5764104266944678E-4</v>
      </c>
      <c r="V111" s="64">
        <f>'2.4 PV (by Borough)'!V416/('Energy demand'!V84*10^6)</f>
        <v>9.7989547699261744E-4</v>
      </c>
      <c r="W111" s="64">
        <f>'2.4 PV (by Borough)'!W416/('Energy demand'!W84*10^6)</f>
        <v>1.1068001346490356E-3</v>
      </c>
      <c r="X111" s="64">
        <f>'2.4 PV (by Borough)'!X416/('Energy demand'!X84*10^6)</f>
        <v>1.2396480053019057E-3</v>
      </c>
      <c r="Y111" s="64">
        <f>'2.4 PV (by Borough)'!Y416/('Energy demand'!Y84*10^6)</f>
        <v>1.3794637846964129E-3</v>
      </c>
      <c r="Z111" s="64">
        <f>'2.4 PV (by Borough)'!Z416/('Energy demand'!Z84*10^6)</f>
        <v>1.6213207538882239E-3</v>
      </c>
      <c r="AA111" s="64">
        <f>'2.4 PV (by Borough)'!AA416/('Energy demand'!AA84*10^6)</f>
        <v>1.8778502251727718E-3</v>
      </c>
      <c r="AB111" s="64">
        <f>'2.4 PV (by Borough)'!AB416/('Energy demand'!AB84*10^6)</f>
        <v>2.1512814396640219E-3</v>
      </c>
      <c r="AC111" s="64">
        <f>'2.4 PV (by Borough)'!AC416/('Energy demand'!AC84*10^6)</f>
        <v>2.4460821321660368E-3</v>
      </c>
      <c r="AD111" s="64">
        <f>'2.4 PV (by Borough)'!AD416/('Energy demand'!AD84*10^6)</f>
        <v>2.7665924649871668E-3</v>
      </c>
      <c r="AE111" s="64">
        <f>'2.4 PV (by Borough)'!AE416/('Energy demand'!AE84*10^6)</f>
        <v>2.9975671162179489E-3</v>
      </c>
      <c r="AF111" s="64">
        <f>'2.4 PV (by Borough)'!AF416/('Energy demand'!AF84*10^6)</f>
        <v>3.2268329355908958E-3</v>
      </c>
      <c r="AG111" s="64">
        <f>'2.4 PV (by Borough)'!AG416/('Energy demand'!AG84*10^6)</f>
        <v>3.4543358558470185E-3</v>
      </c>
      <c r="AH111" s="64">
        <f>'2.4 PV (by Borough)'!AH416/('Energy demand'!AH84*10^6)</f>
        <v>3.6800234677647099E-3</v>
      </c>
      <c r="AI111" s="64">
        <f>'2.4 PV (by Borough)'!AI416/('Energy demand'!AI84*10^6)</f>
        <v>3.9030301513866598E-3</v>
      </c>
      <c r="AJ111" s="64">
        <f>'2.4 PV (by Borough)'!AJ416/('Energy demand'!AJ84*10^6)</f>
        <v>4.1244496688513134E-3</v>
      </c>
      <c r="AK111" s="64">
        <f>'2.4 PV (by Borough)'!AK416/('Energy demand'!AK84*10^6)</f>
        <v>4.3442989080062968E-3</v>
      </c>
      <c r="AL111" s="64">
        <f>'2.4 PV (by Borough)'!AL416/('Energy demand'!AL84*10^6)</f>
        <v>4.5625945179682478E-3</v>
      </c>
      <c r="AM111" s="64">
        <f>'2.4 PV (by Borough)'!AM416/('Energy demand'!AM84*10^6)</f>
        <v>4.7793529133264394E-3</v>
      </c>
      <c r="AN111" s="64">
        <f>'2.4 PV (by Borough)'!AN416/('Energy demand'!AN84*10^6)</f>
        <v>4.9945902782579151E-3</v>
      </c>
      <c r="AO111" s="64">
        <f>'2.4 PV (by Borough)'!AO416/('Energy demand'!AO84*10^6)</f>
        <v>5.2083225705562598E-3</v>
      </c>
      <c r="AP111" s="64">
        <f>'2.4 PV (by Borough)'!AP416/('Energy demand'!AP84*10^6)</f>
        <v>5.4205655255761369E-3</v>
      </c>
      <c r="AQ111" s="64">
        <f>'2.4 PV (by Borough)'!AQ416/('Energy demand'!AQ84*10^6)</f>
        <v>5.6313346600956552E-3</v>
      </c>
      <c r="AR111" s="64">
        <f>'2.4 PV (by Borough)'!AR416/('Energy demand'!AR84*10^6)</f>
        <v>5.840645276098501E-3</v>
      </c>
      <c r="AS111" s="64">
        <f>'2.4 PV (by Borough)'!AS416/('Energy demand'!AS84*10^6)</f>
        <v>6.0485124644778449E-3</v>
      </c>
      <c r="AT111" s="64">
        <f>'2.4 PV (by Borough)'!AT416/('Energy demand'!AT84*10^6)</f>
        <v>6.2549511086638452E-3</v>
      </c>
      <c r="AU111" s="64">
        <f>'2.4 PV (by Borough)'!AU416/('Energy demand'!AU84*10^6)</f>
        <v>6.4599758881766032E-3</v>
      </c>
      <c r="AV111" s="64">
        <f>'2.4 PV (by Borough)'!AV416/('Energy demand'!AV84*10^6)</f>
        <v>6.6636012821063738E-3</v>
      </c>
      <c r="AW111" s="64">
        <f>'2.4 PV (by Borough)'!AW416/('Energy demand'!AW84*10^6)</f>
        <v>6.8658415725227143E-3</v>
      </c>
      <c r="AX111" s="64">
        <f>'2.4 PV (by Borough)'!AX416/('Energy demand'!AX84*10^6)</f>
        <v>7.0667108478142887E-3</v>
      </c>
      <c r="AY111" s="64"/>
    </row>
    <row r="112" spans="1:51">
      <c r="E112" s="38" t="s">
        <v>801</v>
      </c>
      <c r="G112" s="44"/>
      <c r="H112"/>
      <c r="I112" s="44"/>
      <c r="J112"/>
      <c r="K112" s="44"/>
      <c r="L112"/>
      <c r="M112" s="44"/>
      <c r="O112" s="64"/>
      <c r="P112" s="64"/>
      <c r="Q112" s="64"/>
      <c r="R112" s="64"/>
      <c r="S112" s="64"/>
      <c r="T112" s="64"/>
      <c r="U112" s="64"/>
      <c r="V112" s="64"/>
      <c r="W112" s="64"/>
      <c r="X112" s="64"/>
      <c r="Y112" s="64"/>
      <c r="Z112" s="63"/>
      <c r="AA112" s="63"/>
      <c r="AB112" s="63"/>
      <c r="AC112" s="63"/>
      <c r="AD112" s="63"/>
      <c r="AE112" s="63"/>
      <c r="AF112" s="63"/>
      <c r="AG112" s="63"/>
      <c r="AH112" s="63"/>
      <c r="AI112" s="63"/>
      <c r="AJ112" s="63"/>
      <c r="AK112" s="63"/>
      <c r="AL112" s="63"/>
      <c r="AM112" s="63"/>
      <c r="AN112" s="63"/>
      <c r="AO112" s="63"/>
      <c r="AP112" s="63"/>
      <c r="AQ112" s="63"/>
      <c r="AR112" s="63"/>
      <c r="AS112" s="63"/>
      <c r="AT112" s="63"/>
      <c r="AU112" s="63"/>
      <c r="AV112" s="63"/>
      <c r="AW112" s="63"/>
      <c r="AX112" s="64"/>
    </row>
    <row r="113" spans="2:50">
      <c r="E113" s="38" t="s">
        <v>803</v>
      </c>
      <c r="G113" s="44"/>
      <c r="H113"/>
      <c r="I113" s="44"/>
      <c r="J113"/>
      <c r="K113" s="44"/>
      <c r="L113"/>
      <c r="M113" s="44"/>
      <c r="O113" s="63">
        <f>('Heat Networks'!K79/10^6)/O84</f>
        <v>1.200052636256882E-2</v>
      </c>
      <c r="P113" s="63">
        <f>('Heat Networks'!L79/10^6)/P84</f>
        <v>1.2226045011714082E-2</v>
      </c>
      <c r="Q113" s="63">
        <f>('Heat Networks'!M79/10^6)/Q84</f>
        <v>1.2455921897423993E-2</v>
      </c>
      <c r="R113" s="63">
        <f>('Heat Networks'!N79/10^6)/R84</f>
        <v>1.2689372125692237E-2</v>
      </c>
      <c r="S113" s="63">
        <f>('Heat Networks'!O79/10^6)/S84</f>
        <v>1.2958807104511161E-2</v>
      </c>
      <c r="T113" s="63">
        <f>('Heat Networks'!P79/10^6)/T84</f>
        <v>1.532631171099408E-2</v>
      </c>
      <c r="U113" s="63">
        <f>('Heat Networks'!Q79/10^6)/U84</f>
        <v>1.6068615886345689E-2</v>
      </c>
      <c r="V113" s="63">
        <f>('Heat Networks'!R79/10^6)/V84</f>
        <v>1.6887941127724189E-2</v>
      </c>
      <c r="W113" s="63">
        <f>('Heat Networks'!S79/10^6)/W84</f>
        <v>1.7657293087872703E-2</v>
      </c>
      <c r="X113" s="63">
        <f>('Heat Networks'!T79/10^6)/X84</f>
        <v>1.8381504866144305E-2</v>
      </c>
      <c r="Y113" s="63">
        <f>('Heat Networks'!U79/10^6)/Y84</f>
        <v>1.9045116122664064E-2</v>
      </c>
      <c r="Z113" s="63">
        <f>('Heat Networks'!V79/10^6)/Z84</f>
        <v>1.8502660492703583E-2</v>
      </c>
      <c r="AA113" s="63">
        <f>('Heat Networks'!W79/10^6)/AA84</f>
        <v>1.8021522857743097E-2</v>
      </c>
      <c r="AB113" s="63">
        <f>('Heat Networks'!X79/10^6)/AB84</f>
        <v>1.7585817312351495E-2</v>
      </c>
      <c r="AC113" s="63">
        <f>('Heat Networks'!Y79/10^6)/AC84</f>
        <v>1.7197474993665526E-2</v>
      </c>
      <c r="AD113" s="63">
        <f>('Heat Networks'!Z79/10^6)/AD84</f>
        <v>1.6851889052609353E-2</v>
      </c>
      <c r="AE113" s="63">
        <f>('Heat Networks'!AA79/10^6)/AE84</f>
        <v>1.631326033794802E-2</v>
      </c>
      <c r="AF113" s="63">
        <f>('Heat Networks'!AB79/10^6)/AF84</f>
        <v>1.571885006507406E-2</v>
      </c>
      <c r="AG113" s="63">
        <f>('Heat Networks'!AC79/10^6)/AG84</f>
        <v>1.4224242248612165E-2</v>
      </c>
      <c r="AH113" s="63">
        <f>('Heat Networks'!AD79/10^6)/AH84</f>
        <v>1.2707866644779313E-2</v>
      </c>
      <c r="AI113" s="63">
        <f>('Heat Networks'!AE79/10^6)/AI84</f>
        <v>1.1203090594758413E-2</v>
      </c>
      <c r="AJ113" s="63">
        <f>('Heat Networks'!AF79/10^6)/AJ84</f>
        <v>9.755365376387359E-3</v>
      </c>
      <c r="AK113" s="63">
        <f>('Heat Networks'!AG79/10^6)/AK84</f>
        <v>8.3697639740203111E-3</v>
      </c>
      <c r="AL113" s="63">
        <f>('Heat Networks'!AH79/10^6)/AL84</f>
        <v>7.0573361678520933E-3</v>
      </c>
      <c r="AM113" s="63">
        <f>('Heat Networks'!AI79/10^6)/AM84</f>
        <v>5.8338011228344228E-3</v>
      </c>
      <c r="AN113" s="63">
        <f>('Heat Networks'!AJ79/10^6)/AN84</f>
        <v>4.6998965811666351E-3</v>
      </c>
      <c r="AO113" s="63">
        <f>('Heat Networks'!AK79/10^6)/AO84</f>
        <v>3.8646459416054979E-3</v>
      </c>
      <c r="AP113" s="63">
        <f>('Heat Networks'!AL79/10^6)/AP84</f>
        <v>3.0457925423436473E-3</v>
      </c>
      <c r="AQ113" s="63">
        <f>('Heat Networks'!AM79/10^6)/AQ84</f>
        <v>2.2467003764302246E-3</v>
      </c>
      <c r="AR113" s="63">
        <f>('Heat Networks'!AN79/10^6)/AR84</f>
        <v>1.4706192347880643E-3</v>
      </c>
      <c r="AS113" s="63">
        <f>('Heat Networks'!AO79/10^6)/AS84</f>
        <v>7.206983208791069E-4</v>
      </c>
      <c r="AT113" s="63">
        <f>('Heat Networks'!AP79/10^6)/AT84</f>
        <v>0</v>
      </c>
      <c r="AU113" s="63">
        <f>('Heat Networks'!AQ79/10^6)/AU84</f>
        <v>0</v>
      </c>
      <c r="AV113" s="63">
        <f>('Heat Networks'!AR79/10^6)/AV84</f>
        <v>0</v>
      </c>
      <c r="AW113" s="63">
        <f>('Heat Networks'!AS79/10^6)/AW84</f>
        <v>0</v>
      </c>
      <c r="AX113" s="63">
        <f>('Heat Networks'!AT79/10^6)/AX84</f>
        <v>0</v>
      </c>
    </row>
    <row r="114" spans="2:50">
      <c r="E114" s="38" t="s">
        <v>805</v>
      </c>
      <c r="G114" s="44"/>
      <c r="H114"/>
      <c r="I114" s="44"/>
      <c r="J114"/>
      <c r="K114" s="44"/>
      <c r="L114"/>
      <c r="M114" s="44"/>
      <c r="O114" s="63">
        <f t="shared" ref="O114:AX114" si="11">1-SUM(O109:O113)</f>
        <v>0.98783730050380614</v>
      </c>
      <c r="P114" s="63">
        <f t="shared" si="11"/>
        <v>0.98749568012716882</v>
      </c>
      <c r="Q114" s="63">
        <f>1-SUM(Q109:Q113)</f>
        <v>0.98715066608254276</v>
      </c>
      <c r="R114" s="63">
        <f t="shared" si="11"/>
        <v>0.98680303129326385</v>
      </c>
      <c r="S114" s="63">
        <f t="shared" si="11"/>
        <v>0.98641875872273799</v>
      </c>
      <c r="T114" s="63">
        <f t="shared" si="11"/>
        <v>0.98393488157736753</v>
      </c>
      <c r="U114" s="63">
        <f t="shared" si="11"/>
        <v>0.98307374307098483</v>
      </c>
      <c r="V114" s="63">
        <f t="shared" si="11"/>
        <v>0.9821321633952832</v>
      </c>
      <c r="W114" s="63">
        <f t="shared" si="11"/>
        <v>0.9812359067774783</v>
      </c>
      <c r="X114" s="63">
        <f t="shared" si="11"/>
        <v>0.98037884712855383</v>
      </c>
      <c r="Y114" s="63">
        <f t="shared" si="11"/>
        <v>0.97957542009263954</v>
      </c>
      <c r="Z114" s="63">
        <f t="shared" si="11"/>
        <v>0.97987601875340824</v>
      </c>
      <c r="AA114" s="63">
        <f t="shared" si="11"/>
        <v>0.98010062691708411</v>
      </c>
      <c r="AB114" s="63">
        <f t="shared" si="11"/>
        <v>0.98026290124798443</v>
      </c>
      <c r="AC114" s="63">
        <f t="shared" si="11"/>
        <v>0.98035644287416845</v>
      </c>
      <c r="AD114" s="63">
        <f t="shared" si="11"/>
        <v>0.98038151848240351</v>
      </c>
      <c r="AE114" s="63">
        <f t="shared" si="11"/>
        <v>0.98068917254583399</v>
      </c>
      <c r="AF114" s="63">
        <f t="shared" si="11"/>
        <v>0.9810543169993351</v>
      </c>
      <c r="AG114" s="63">
        <f t="shared" si="11"/>
        <v>0.98232142189554084</v>
      </c>
      <c r="AH114" s="63">
        <f t="shared" si="11"/>
        <v>0.98361210988745595</v>
      </c>
      <c r="AI114" s="63">
        <f t="shared" si="11"/>
        <v>0.98489387925385496</v>
      </c>
      <c r="AJ114" s="63">
        <f t="shared" si="11"/>
        <v>0.98612018495476128</v>
      </c>
      <c r="AK114" s="63">
        <f t="shared" si="11"/>
        <v>0.98728593711797341</v>
      </c>
      <c r="AL114" s="63">
        <f t="shared" si="11"/>
        <v>0.98838006931417965</v>
      </c>
      <c r="AM114" s="63">
        <f t="shared" si="11"/>
        <v>0.98938684596383919</v>
      </c>
      <c r="AN114" s="63">
        <f t="shared" si="11"/>
        <v>0.99030551314057547</v>
      </c>
      <c r="AO114" s="63">
        <f t="shared" si="11"/>
        <v>0.99092703148783823</v>
      </c>
      <c r="AP114" s="63">
        <f t="shared" si="11"/>
        <v>0.99153364193208027</v>
      </c>
      <c r="AQ114" s="63">
        <f t="shared" si="11"/>
        <v>0.99212196496347416</v>
      </c>
      <c r="AR114" s="63">
        <f t="shared" si="11"/>
        <v>0.99268873548911341</v>
      </c>
      <c r="AS114" s="63">
        <f t="shared" si="11"/>
        <v>0.99323078921464303</v>
      </c>
      <c r="AT114" s="63">
        <f t="shared" si="11"/>
        <v>0.99374504889133619</v>
      </c>
      <c r="AU114" s="63">
        <f t="shared" si="11"/>
        <v>0.99354002411182341</v>
      </c>
      <c r="AV114" s="63">
        <f t="shared" si="11"/>
        <v>0.99333639871789359</v>
      </c>
      <c r="AW114" s="63">
        <f t="shared" si="11"/>
        <v>0.99313415842747732</v>
      </c>
      <c r="AX114" s="63">
        <f t="shared" si="11"/>
        <v>0.99293328915218571</v>
      </c>
    </row>
    <row r="115" spans="2:50"/>
    <row r="116" spans="2:50" s="67" customFormat="1">
      <c r="B116" s="67" t="s">
        <v>222</v>
      </c>
      <c r="O116" s="68"/>
      <c r="P116" s="68"/>
      <c r="Q116" s="68"/>
      <c r="R116" s="68"/>
      <c r="S116" s="68"/>
      <c r="T116" s="68"/>
      <c r="U116" s="68"/>
      <c r="V116" s="68"/>
      <c r="W116" s="68"/>
      <c r="X116" s="68"/>
      <c r="Y116" s="68"/>
      <c r="Z116" s="68"/>
      <c r="AA116" s="68"/>
      <c r="AB116" s="68"/>
      <c r="AC116" s="68"/>
      <c r="AD116" s="68"/>
      <c r="AE116" s="68"/>
      <c r="AF116" s="68"/>
      <c r="AG116" s="68"/>
      <c r="AH116" s="68"/>
      <c r="AI116" s="68"/>
      <c r="AJ116" s="68"/>
      <c r="AK116" s="68"/>
      <c r="AL116" s="68"/>
      <c r="AM116" s="68"/>
      <c r="AN116" s="68"/>
      <c r="AO116" s="68"/>
      <c r="AP116" s="68"/>
      <c r="AQ116" s="68"/>
      <c r="AR116" s="68"/>
      <c r="AS116" s="68"/>
      <c r="AT116" s="68"/>
      <c r="AU116" s="68"/>
      <c r="AV116" s="68"/>
      <c r="AW116" s="68"/>
      <c r="AX116" s="68"/>
    </row>
    <row r="117" spans="2:50"/>
    <row r="118" spans="2:50" s="43" customFormat="1">
      <c r="C118" s="43" t="s">
        <v>1350</v>
      </c>
      <c r="O118" s="71"/>
      <c r="P118" s="71"/>
      <c r="Q118" s="71"/>
      <c r="R118" s="71"/>
      <c r="S118" s="71"/>
      <c r="T118" s="71"/>
      <c r="U118" s="71"/>
      <c r="V118" s="71"/>
      <c r="W118" s="71"/>
      <c r="X118" s="71"/>
      <c r="Y118" s="71"/>
      <c r="Z118" s="71"/>
      <c r="AA118" s="71"/>
      <c r="AB118" s="71"/>
      <c r="AC118" s="71"/>
      <c r="AD118" s="71"/>
      <c r="AE118" s="71"/>
      <c r="AF118" s="71"/>
      <c r="AG118" s="71"/>
      <c r="AH118" s="71"/>
      <c r="AI118" s="71"/>
      <c r="AJ118" s="71"/>
      <c r="AK118" s="71"/>
      <c r="AL118" s="71"/>
      <c r="AM118" s="71"/>
      <c r="AN118" s="71"/>
      <c r="AO118" s="71"/>
      <c r="AP118" s="71"/>
      <c r="AQ118" s="71"/>
      <c r="AR118" s="71"/>
      <c r="AS118" s="71"/>
      <c r="AT118" s="71"/>
      <c r="AU118" s="71"/>
      <c r="AV118" s="71"/>
      <c r="AW118" s="71"/>
      <c r="AX118" s="71"/>
    </row>
    <row r="119" spans="2:50"/>
    <row r="120" spans="2:50">
      <c r="E120" s="38" t="str">
        <f>"% Domestic cooling demand in selected region ("&amp;Dashboard!$D$5&amp;")"</f>
        <v>% Domestic cooling demand in selected region (Inner London)</v>
      </c>
      <c r="G120" s="44"/>
      <c r="H120"/>
      <c r="I120" s="44"/>
      <c r="J120"/>
      <c r="K120" s="44"/>
      <c r="L120"/>
      <c r="M120" s="44"/>
      <c r="O120" s="254">
        <f>'3.1 Building Energy'!B24</f>
        <v>0</v>
      </c>
      <c r="P120" s="254">
        <f>'3.1 Building Energy'!C24</f>
        <v>3.5105363903469203E-2</v>
      </c>
      <c r="Q120" s="254">
        <f>'3.1 Building Energy'!D24</f>
        <v>7.0210727806938406E-2</v>
      </c>
      <c r="R120" s="254">
        <f>'3.1 Building Energy'!E24</f>
        <v>0.10531609171040761</v>
      </c>
      <c r="S120" s="254">
        <f>'3.1 Building Energy'!F24</f>
        <v>0.14042145561387681</v>
      </c>
      <c r="T120" s="254">
        <f>'3.1 Building Energy'!G24</f>
        <v>0.175526819517346</v>
      </c>
      <c r="U120" s="254">
        <f>'3.1 Building Energy'!H24</f>
        <v>0.21063218342081519</v>
      </c>
      <c r="V120" s="254">
        <f>'3.1 Building Energy'!I24</f>
        <v>0.24573754732428438</v>
      </c>
      <c r="W120" s="254">
        <f>'3.1 Building Energy'!J24</f>
        <v>0.28084291122775357</v>
      </c>
      <c r="X120" s="254">
        <f>'3.1 Building Energy'!K24</f>
        <v>0.31594827513122276</v>
      </c>
      <c r="Y120" s="254">
        <f>'3.1 Building Energy'!L24</f>
        <v>0.351053639034692</v>
      </c>
      <c r="Z120" s="254">
        <f>'3.1 Building Energy'!M24</f>
        <v>0.35108505879593926</v>
      </c>
      <c r="AA120" s="254">
        <f>'3.1 Building Energy'!N24</f>
        <v>0.35111647855718653</v>
      </c>
      <c r="AB120" s="254">
        <f>'3.1 Building Energy'!O24</f>
        <v>0.35114789831843379</v>
      </c>
      <c r="AC120" s="254">
        <f>'3.1 Building Energy'!P24</f>
        <v>0.35117931807968106</v>
      </c>
      <c r="AD120" s="254">
        <f>'3.1 Building Energy'!Q24</f>
        <v>0.35121073784092832</v>
      </c>
      <c r="AE120" s="254">
        <f>'3.1 Building Energy'!R24</f>
        <v>0.35124215760217559</v>
      </c>
      <c r="AF120" s="254">
        <f>'3.1 Building Energy'!S24</f>
        <v>0.35127357736342285</v>
      </c>
      <c r="AG120" s="254">
        <f>'3.1 Building Energy'!T24</f>
        <v>0.35130499712467012</v>
      </c>
      <c r="AH120" s="254">
        <f>'3.1 Building Energy'!U24</f>
        <v>0.35133641688591738</v>
      </c>
      <c r="AI120" s="254">
        <f>'3.1 Building Energy'!V24</f>
        <v>0.35136783664716464</v>
      </c>
      <c r="AJ120" s="254">
        <f>'3.1 Building Energy'!W24</f>
        <v>0.35139925640841191</v>
      </c>
      <c r="AK120" s="254">
        <f>'3.1 Building Energy'!X24</f>
        <v>0.35143067616965917</v>
      </c>
      <c r="AL120" s="254">
        <f>'3.1 Building Energy'!Y24</f>
        <v>0.35146209593090644</v>
      </c>
      <c r="AM120" s="254">
        <f>'3.1 Building Energy'!Z24</f>
        <v>0.3514935156921537</v>
      </c>
      <c r="AN120" s="254">
        <f>'3.1 Building Energy'!AA24</f>
        <v>0.35152493545340097</v>
      </c>
      <c r="AO120" s="254">
        <f>'3.1 Building Energy'!AB24</f>
        <v>0.35155635521464823</v>
      </c>
      <c r="AP120" s="254">
        <f>'3.1 Building Energy'!AC24</f>
        <v>0.3515877749758955</v>
      </c>
      <c r="AQ120" s="254">
        <f>'3.1 Building Energy'!AD24</f>
        <v>0.35161919473714276</v>
      </c>
      <c r="AR120" s="254">
        <f>'3.1 Building Energy'!AE24</f>
        <v>0.35165061449839002</v>
      </c>
      <c r="AS120" s="254">
        <f>'3.1 Building Energy'!AF24</f>
        <v>0.35168203425963729</v>
      </c>
      <c r="AT120" s="254">
        <f>'3.1 Building Energy'!AG24</f>
        <v>0.35171345402088455</v>
      </c>
      <c r="AU120" s="254">
        <f>'3.1 Building Energy'!AH24</f>
        <v>0.35174487378213182</v>
      </c>
      <c r="AV120" s="254">
        <f>'3.1 Building Energy'!AI24</f>
        <v>0.35177629354337908</v>
      </c>
      <c r="AW120" s="254">
        <f>'3.1 Building Energy'!AJ24</f>
        <v>0.35180771330462635</v>
      </c>
      <c r="AX120" s="254">
        <f>'3.1 Building Energy'!AK24</f>
        <v>0.35183913306587422</v>
      </c>
    </row>
    <row r="121" spans="2:50">
      <c r="E121" s="38" t="s">
        <v>157</v>
      </c>
      <c r="G121" s="44" t="s">
        <v>1202</v>
      </c>
      <c r="H121"/>
      <c r="I121" s="44"/>
      <c r="J121"/>
      <c r="K121" s="44"/>
      <c r="L121"/>
      <c r="M121" s="44"/>
      <c r="O121" s="616">
        <f>'2.1 Building inputs'!E12/1000000*'2.6 Fuel Efficiencies'!P52*O120</f>
        <v>0</v>
      </c>
      <c r="P121" s="616">
        <f>'2.1 Building inputs'!F12/1000000*'2.6 Fuel Efficiencies'!Q52*P120</f>
        <v>2.3324787543619094E-2</v>
      </c>
      <c r="Q121" s="616">
        <f>'2.1 Building inputs'!G12/1000000*'2.6 Fuel Efficiencies'!R52*Q120</f>
        <v>9.3464876388352144E-2</v>
      </c>
      <c r="R121" s="616">
        <f>'2.1 Building inputs'!H12/1000000*'2.6 Fuel Efficiencies'!S52*R120</f>
        <v>0.21072325319846272</v>
      </c>
      <c r="S121" s="616">
        <f>'2.1 Building inputs'!I12/1000000*'2.6 Fuel Efficiencies'!T52*S120</f>
        <v>0.37547543442948061</v>
      </c>
      <c r="T121" s="616">
        <f>'2.1 Building inputs'!J12/1000000*'2.6 Fuel Efficiencies'!U52*T120</f>
        <v>0.58816946632820266</v>
      </c>
      <c r="U121" s="616">
        <f>'2.1 Building inputs'!K12/1000000*'2.6 Fuel Efficiencies'!V52*U120</f>
        <v>0.84932592493269354</v>
      </c>
      <c r="V121" s="616">
        <f>'2.1 Building inputs'!L12/1000000*'2.6 Fuel Efficiencies'!W52*V120</f>
        <v>1.1595379160722805</v>
      </c>
      <c r="W121" s="616">
        <f>'2.1 Building inputs'!M12/1000000*'2.6 Fuel Efficiencies'!X52*W120</f>
        <v>1.519471075367562</v>
      </c>
      <c r="X121" s="616">
        <f>'2.1 Building inputs'!N12/1000000*'2.6 Fuel Efficiencies'!Y52*X120</f>
        <v>1.929863568230398</v>
      </c>
      <c r="Y121" s="616">
        <f>'2.1 Building inputs'!O12/1000000*'2.6 Fuel Efficiencies'!Z52*Y120</f>
        <v>2.3915260898639223</v>
      </c>
      <c r="Z121" s="616">
        <f>'2.1 Building inputs'!P12/1000000*'2.6 Fuel Efficiencies'!AA52*Z120</f>
        <v>3.5776637682040531</v>
      </c>
      <c r="AA121" s="616">
        <f>'2.1 Building inputs'!Q12/1000000*'2.6 Fuel Efficiencies'!AB52*AA120</f>
        <v>4.8037803796747296</v>
      </c>
      <c r="AB121" s="616">
        <f>'2.1 Building inputs'!R12/1000000*'2.6 Fuel Efficiencies'!AC52*AB120</f>
        <v>6.0694536031067372</v>
      </c>
      <c r="AC121" s="616">
        <f>'2.1 Building inputs'!S12/1000000*'2.6 Fuel Efficiencies'!AD52*AC120</f>
        <v>7.3742609623573481</v>
      </c>
      <c r="AD121" s="616">
        <f>'2.1 Building inputs'!T12/1000000*'2.6 Fuel Efficiencies'!AE52*AD120</f>
        <v>8.7177798263103519</v>
      </c>
      <c r="AE121" s="616">
        <f>'2.1 Building inputs'!U12/1000000*'2.6 Fuel Efficiencies'!AF52*AE120</f>
        <v>10.099587408876005</v>
      </c>
      <c r="AF121" s="616">
        <f>'2.1 Building inputs'!V12/1000000*'2.6 Fuel Efficiencies'!AG52*AF120</f>
        <v>11.51926076899109</v>
      </c>
      <c r="AG121" s="616">
        <f>'2.1 Building inputs'!W12/1000000*'2.6 Fuel Efficiencies'!AH52*AG120</f>
        <v>12.976376810618845</v>
      </c>
      <c r="AH121" s="616">
        <f>'2.1 Building inputs'!X12/1000000*'2.6 Fuel Efficiencies'!AI52*AH120</f>
        <v>14.470512282749104</v>
      </c>
      <c r="AI121" s="616">
        <f>'2.1 Building inputs'!Y12/1000000*'2.6 Fuel Efficiencies'!AJ52*AI120</f>
        <v>16.001243779398042</v>
      </c>
      <c r="AJ121" s="616">
        <f>'2.1 Building inputs'!Z12/1000000*'2.6 Fuel Efficiencies'!AK52*AJ120</f>
        <v>17.568147739608492</v>
      </c>
      <c r="AK121" s="616">
        <f>'2.1 Building inputs'!AA12/1000000*'2.6 Fuel Efficiencies'!AL52*AK120</f>
        <v>19.170800447449622</v>
      </c>
      <c r="AL121" s="616">
        <f>'2.1 Building inputs'!AB12/1000000*'2.6 Fuel Efficiencies'!AM52*AL120</f>
        <v>20.808778032017262</v>
      </c>
      <c r="AM121" s="616">
        <f>'2.1 Building inputs'!AC12/1000000*'2.6 Fuel Efficiencies'!AN52*AM120</f>
        <v>22.481656467433616</v>
      </c>
      <c r="AN121" s="616">
        <f>'2.1 Building inputs'!AD12/1000000*'2.6 Fuel Efficiencies'!AO52*AN120</f>
        <v>24.189011572847434</v>
      </c>
      <c r="AO121" s="616">
        <f>'2.1 Building inputs'!AE12/1000000*'2.6 Fuel Efficiencies'!AP52*AO120</f>
        <v>25.930419012433955</v>
      </c>
      <c r="AP121" s="616">
        <f>'2.1 Building inputs'!AF12/1000000*'2.6 Fuel Efficiencies'!AQ52*AP120</f>
        <v>27.705454295394944</v>
      </c>
      <c r="AQ121" s="616">
        <f>'2.1 Building inputs'!AG12/1000000*'2.6 Fuel Efficiencies'!AR52*AQ120</f>
        <v>29.513692775958564</v>
      </c>
      <c r="AR121" s="616">
        <f>'2.1 Building inputs'!AH12/1000000*'2.6 Fuel Efficiencies'!AS52*AR120</f>
        <v>31.354709653379683</v>
      </c>
      <c r="AS121" s="616">
        <f>'2.1 Building inputs'!AI12/1000000*'2.6 Fuel Efficiencies'!AT52*AS120</f>
        <v>33.228079971939373</v>
      </c>
      <c r="AT121" s="616">
        <f>'2.1 Building inputs'!AJ12/1000000*'2.6 Fuel Efficiencies'!AU52*AT120</f>
        <v>35.13337862094545</v>
      </c>
      <c r="AU121" s="616">
        <f>'2.1 Building inputs'!AK12/1000000*'2.6 Fuel Efficiencies'!AV52*AU120</f>
        <v>37.070180334732107</v>
      </c>
      <c r="AV121" s="616">
        <f>'2.1 Building inputs'!AL12/1000000*'2.6 Fuel Efficiencies'!AW52*AV120</f>
        <v>39.038059692660092</v>
      </c>
      <c r="AW121" s="616">
        <f>'2.1 Building inputs'!AM12/1000000*'2.6 Fuel Efficiencies'!AX52*AW120</f>
        <v>41.036591119116586</v>
      </c>
      <c r="AX121" s="616">
        <f>'2.1 Building inputs'!AN12/1000000*'2.6 Fuel Efficiencies'!AY52*AX120</f>
        <v>43.065348883515419</v>
      </c>
    </row>
    <row r="122" spans="2:50"/>
    <row r="123" spans="2:50">
      <c r="E123" s="38" t="str">
        <f>"% Domestic cooling demand in selected region ("&amp;Dashboard!$D$5&amp;")"</f>
        <v>% Domestic cooling demand in selected region (Inner London)</v>
      </c>
      <c r="G123" s="44"/>
      <c r="H123"/>
      <c r="I123" s="44"/>
      <c r="J123"/>
      <c r="K123" s="44"/>
      <c r="L123"/>
      <c r="M123" s="44"/>
      <c r="O123" s="254">
        <f>'3.1 Building Energy'!B25</f>
        <v>0.66777218141867412</v>
      </c>
      <c r="P123" s="254">
        <f>'3.1 Building Energy'!C25</f>
        <v>0.66957618729550894</v>
      </c>
      <c r="Q123" s="254">
        <f>'3.1 Building Energy'!D25</f>
        <v>0.67138019317234376</v>
      </c>
      <c r="R123" s="254">
        <f>'3.1 Building Energy'!E25</f>
        <v>0.67318419904917859</v>
      </c>
      <c r="S123" s="254">
        <f>'3.1 Building Energy'!F25</f>
        <v>0.67498820492601341</v>
      </c>
      <c r="T123" s="254">
        <f>'3.1 Building Energy'!G25</f>
        <v>0.67679221080284824</v>
      </c>
      <c r="U123" s="254">
        <f>'3.1 Building Energy'!H25</f>
        <v>0.67859621667968306</v>
      </c>
      <c r="V123" s="254">
        <f>'3.1 Building Energy'!I25</f>
        <v>0.68040022255651789</v>
      </c>
      <c r="W123" s="254">
        <f>'3.1 Building Energy'!J25</f>
        <v>0.68220422843335271</v>
      </c>
      <c r="X123" s="254">
        <f>'3.1 Building Energy'!K25</f>
        <v>0.68400823431018754</v>
      </c>
      <c r="Y123" s="254">
        <f>'3.1 Building Energy'!L25</f>
        <v>0.6858122401870228</v>
      </c>
      <c r="Z123" s="254">
        <f>'3.1 Building Energy'!M25</f>
        <v>0.68679719493168168</v>
      </c>
      <c r="AA123" s="254">
        <f>'3.1 Building Energy'!N25</f>
        <v>0.68778214967634055</v>
      </c>
      <c r="AB123" s="254">
        <f>'3.1 Building Energy'!O25</f>
        <v>0.68876710442099942</v>
      </c>
      <c r="AC123" s="254">
        <f>'3.1 Building Energy'!P25</f>
        <v>0.68975205916565829</v>
      </c>
      <c r="AD123" s="254">
        <f>'3.1 Building Energy'!Q25</f>
        <v>0.69073701391031717</v>
      </c>
      <c r="AE123" s="254">
        <f>'3.1 Building Energy'!R25</f>
        <v>0.69172196865497604</v>
      </c>
      <c r="AF123" s="254">
        <f>'3.1 Building Energy'!S25</f>
        <v>0.69270692339963491</v>
      </c>
      <c r="AG123" s="254">
        <f>'3.1 Building Energy'!T25</f>
        <v>0.69369187814429378</v>
      </c>
      <c r="AH123" s="254">
        <f>'3.1 Building Energy'!U25</f>
        <v>0.69467683288895266</v>
      </c>
      <c r="AI123" s="254">
        <f>'3.1 Building Energy'!V25</f>
        <v>0.69566178763361153</v>
      </c>
      <c r="AJ123" s="254">
        <f>'3.1 Building Energy'!W25</f>
        <v>0.6966467423782704</v>
      </c>
      <c r="AK123" s="254">
        <f>'3.1 Building Energy'!X25</f>
        <v>0.69763169712292927</v>
      </c>
      <c r="AL123" s="254">
        <f>'3.1 Building Energy'!Y25</f>
        <v>0.69861665186758815</v>
      </c>
      <c r="AM123" s="254">
        <f>'3.1 Building Energy'!Z25</f>
        <v>0.69960160661224702</v>
      </c>
      <c r="AN123" s="254">
        <f>'3.1 Building Energy'!AA25</f>
        <v>0.70058656135690589</v>
      </c>
      <c r="AO123" s="254">
        <f>'3.1 Building Energy'!AB25</f>
        <v>0.70157151610156476</v>
      </c>
      <c r="AP123" s="254">
        <f>'3.1 Building Energy'!AC25</f>
        <v>0.70255647084622364</v>
      </c>
      <c r="AQ123" s="254">
        <f>'3.1 Building Energy'!AD25</f>
        <v>0.70354142559088251</v>
      </c>
      <c r="AR123" s="254">
        <f>'3.1 Building Energy'!AE25</f>
        <v>0.70452638033554138</v>
      </c>
      <c r="AS123" s="254">
        <f>'3.1 Building Energy'!AF25</f>
        <v>0.70551133508020025</v>
      </c>
      <c r="AT123" s="254">
        <f>'3.1 Building Energy'!AG25</f>
        <v>0.70649628982485912</v>
      </c>
      <c r="AU123" s="254">
        <f>'3.1 Building Energy'!AH25</f>
        <v>0.707481244569518</v>
      </c>
      <c r="AV123" s="254">
        <f>'3.1 Building Energy'!AI25</f>
        <v>0.70846619931417687</v>
      </c>
      <c r="AW123" s="254">
        <f>'3.1 Building Energy'!AJ25</f>
        <v>0.70945115405883574</v>
      </c>
      <c r="AX123" s="254">
        <f>'3.1 Building Energy'!AK25</f>
        <v>0.71043610880349584</v>
      </c>
    </row>
    <row r="124" spans="2:50">
      <c r="E124" s="38" t="s">
        <v>722</v>
      </c>
      <c r="G124" s="44" t="s">
        <v>1202</v>
      </c>
      <c r="H124"/>
      <c r="I124" s="44"/>
      <c r="J124"/>
      <c r="K124" s="44"/>
      <c r="L124"/>
      <c r="M124" s="44"/>
      <c r="O124" s="54">
        <f>'2.1 Building inputs'!E13/1000000*O123*'2.6 Fuel Efficiencies'!P53</f>
        <v>1649.8613566893455</v>
      </c>
      <c r="P124" s="54">
        <f>'2.1 Building inputs'!F13/1000000*P123*'2.6 Fuel Efficiencies'!Q53</f>
        <v>1788.1530317636502</v>
      </c>
      <c r="Q124" s="54">
        <f>'2.1 Building inputs'!G13/1000000*Q123*'2.6 Fuel Efficiencies'!R53</f>
        <v>1929.0724901951066</v>
      </c>
      <c r="R124" s="54">
        <f>'2.1 Building inputs'!H13/1000000*R123*'2.6 Fuel Efficiencies'!S53</f>
        <v>2072.6299834797601</v>
      </c>
      <c r="S124" s="54">
        <f>'2.1 Building inputs'!I13/1000000*S123*'2.6 Fuel Efficiencies'!T53</f>
        <v>2218.8357082547568</v>
      </c>
      <c r="T124" s="54">
        <f>'2.1 Building inputs'!J13/1000000*T123*'2.6 Fuel Efficiencies'!U53</f>
        <v>2367.6998062983462</v>
      </c>
      <c r="U124" s="54">
        <f>'2.1 Building inputs'!K13/1000000*U123*'2.6 Fuel Efficiencies'!V53</f>
        <v>2519.2323645298784</v>
      </c>
      <c r="V124" s="54">
        <f>'2.1 Building inputs'!L13/1000000*V123*'2.6 Fuel Efficiencies'!W53</f>
        <v>2673.4434150098045</v>
      </c>
      <c r="W124" s="54">
        <f>'2.1 Building inputs'!M13/1000000*W123*'2.6 Fuel Efficiencies'!X53</f>
        <v>2830.3429349396774</v>
      </c>
      <c r="X124" s="54">
        <f>'2.1 Building inputs'!N13/1000000*X123*'2.6 Fuel Efficiencies'!Y53</f>
        <v>2989.9408466621526</v>
      </c>
      <c r="Y124" s="54">
        <f>'2.1 Building inputs'!O13/1000000*Y123*'2.6 Fuel Efficiencies'!Z53</f>
        <v>3152.2470176609877</v>
      </c>
      <c r="Z124" s="54">
        <f>'2.1 Building inputs'!P13/1000000*Z123*'2.6 Fuel Efficiencies'!AA53</f>
        <v>3230.5037940928692</v>
      </c>
      <c r="AA124" s="54">
        <f>'2.1 Building inputs'!Q13/1000000*AA123*'2.6 Fuel Efficiencies'!AB53</f>
        <v>3309.2881169176148</v>
      </c>
      <c r="AB124" s="54">
        <f>'2.1 Building inputs'!R13/1000000*AB123*'2.6 Fuel Efficiencies'!AC53</f>
        <v>3388.6013440470683</v>
      </c>
      <c r="AC124" s="54">
        <f>'2.1 Building inputs'!S13/1000000*AC123*'2.6 Fuel Efficiencies'!AD53</f>
        <v>3468.4448333930745</v>
      </c>
      <c r="AD124" s="54">
        <f>'2.1 Building inputs'!T13/1000000*AD123*'2.6 Fuel Efficiencies'!AE53</f>
        <v>3548.8199428674757</v>
      </c>
      <c r="AE124" s="54">
        <f>'2.1 Building inputs'!U13/1000000*AE123*'2.6 Fuel Efficiencies'!AF53</f>
        <v>3629.7280303821171</v>
      </c>
      <c r="AF124" s="54">
        <f>'2.1 Building inputs'!V13/1000000*AF123*'2.6 Fuel Efficiencies'!AG53</f>
        <v>3711.1704538488425</v>
      </c>
      <c r="AG124" s="54">
        <f>'2.1 Building inputs'!W13/1000000*AG123*'2.6 Fuel Efficiencies'!AH53</f>
        <v>3793.1485711794971</v>
      </c>
      <c r="AH124" s="54">
        <f>'2.1 Building inputs'!X13/1000000*AH123*'2.6 Fuel Efficiencies'!AI53</f>
        <v>3875.6637402859242</v>
      </c>
      <c r="AI124" s="54">
        <f>'2.1 Building inputs'!Y13/1000000*AI123*'2.6 Fuel Efficiencies'!AJ53</f>
        <v>3958.7173190799676</v>
      </c>
      <c r="AJ124" s="54">
        <f>'2.1 Building inputs'!Z13/1000000*AJ123*'2.6 Fuel Efficiencies'!AK53</f>
        <v>4042.3106654734715</v>
      </c>
      <c r="AK124" s="54">
        <f>'2.1 Building inputs'!AA13/1000000*AK123*'2.6 Fuel Efficiencies'!AL53</f>
        <v>4126.4451373782804</v>
      </c>
      <c r="AL124" s="54">
        <f>'2.1 Building inputs'!AB13/1000000*AL123*'2.6 Fuel Efficiencies'!AM53</f>
        <v>4211.1220927062377</v>
      </c>
      <c r="AM124" s="54">
        <f>'2.1 Building inputs'!AC13/1000000*AM123*'2.6 Fuel Efficiencies'!AN53</f>
        <v>4296.3428893691898</v>
      </c>
      <c r="AN124" s="54">
        <f>'2.1 Building inputs'!AD13/1000000*AN123*'2.6 Fuel Efficiencies'!AO53</f>
        <v>4382.1088852789762</v>
      </c>
      <c r="AO124" s="54">
        <f>'2.1 Building inputs'!AE13/1000000*AO123*'2.6 Fuel Efficiencies'!AP53</f>
        <v>4468.4214383474446</v>
      </c>
      <c r="AP124" s="54">
        <f>'2.1 Building inputs'!AF13/1000000*AP123*'2.6 Fuel Efficiencies'!AQ53</f>
        <v>4555.2819064864398</v>
      </c>
      <c r="AQ124" s="54">
        <f>'2.1 Building inputs'!AG13/1000000*AQ123*'2.6 Fuel Efficiencies'!AR53</f>
        <v>4642.691647607804</v>
      </c>
      <c r="AR124" s="54">
        <f>'2.1 Building inputs'!AH13/1000000*AR123*'2.6 Fuel Efficiencies'!AS53</f>
        <v>4730.6520196233823</v>
      </c>
      <c r="AS124" s="54">
        <f>'2.1 Building inputs'!AI13/1000000*AS123*'2.6 Fuel Efficiencies'!AT53</f>
        <v>4819.1643804450177</v>
      </c>
      <c r="AT124" s="54">
        <f>'2.1 Building inputs'!AJ13/1000000*AT123*'2.6 Fuel Efficiencies'!AU53</f>
        <v>4908.2300879845561</v>
      </c>
      <c r="AU124" s="54">
        <f>'2.1 Building inputs'!AK13/1000000*AU123*'2.6 Fuel Efficiencies'!AV53</f>
        <v>4997.8505001538397</v>
      </c>
      <c r="AV124" s="54">
        <f>'2.1 Building inputs'!AL13/1000000*AV123*'2.6 Fuel Efficiencies'!AW53</f>
        <v>5088.0269748647133</v>
      </c>
      <c r="AW124" s="54">
        <f>'2.1 Building inputs'!AM13/1000000*AW123*'2.6 Fuel Efficiencies'!AX53</f>
        <v>5178.7608700290202</v>
      </c>
      <c r="AX124" s="54">
        <f>'2.1 Building inputs'!AN13/1000000*AX123*'2.6 Fuel Efficiencies'!AY53</f>
        <v>5270.0535435586162</v>
      </c>
    </row>
    <row r="125" spans="2:50"/>
    <row r="126" spans="2:50">
      <c r="E126" s="38" t="s">
        <v>142</v>
      </c>
      <c r="G126" s="44" t="s">
        <v>1202</v>
      </c>
      <c r="H126"/>
      <c r="I126" s="44"/>
      <c r="J126"/>
      <c r="K126" s="44"/>
      <c r="L126"/>
      <c r="M126" s="44"/>
      <c r="O126" s="54">
        <f>O121+O124</f>
        <v>1649.8613566893455</v>
      </c>
      <c r="P126" s="54">
        <f t="shared" ref="P126:AX126" si="12">P121+P124</f>
        <v>1788.1763565511937</v>
      </c>
      <c r="Q126" s="54">
        <f t="shared" si="12"/>
        <v>1929.1659550714951</v>
      </c>
      <c r="R126" s="54">
        <f t="shared" si="12"/>
        <v>2072.8407067329586</v>
      </c>
      <c r="S126" s="54">
        <f t="shared" si="12"/>
        <v>2219.2111836891863</v>
      </c>
      <c r="T126" s="54">
        <f t="shared" si="12"/>
        <v>2368.2879757646742</v>
      </c>
      <c r="U126" s="54">
        <f t="shared" si="12"/>
        <v>2520.081690454811</v>
      </c>
      <c r="V126" s="54">
        <f t="shared" si="12"/>
        <v>2674.6029529258767</v>
      </c>
      <c r="W126" s="54">
        <f t="shared" si="12"/>
        <v>2831.8624060150451</v>
      </c>
      <c r="X126" s="54">
        <f t="shared" si="12"/>
        <v>2991.8707102303829</v>
      </c>
      <c r="Y126" s="54">
        <f t="shared" si="12"/>
        <v>3154.6385437508516</v>
      </c>
      <c r="Z126" s="54">
        <f t="shared" si="12"/>
        <v>3234.0814578610734</v>
      </c>
      <c r="AA126" s="54">
        <f t="shared" si="12"/>
        <v>3314.0918972972895</v>
      </c>
      <c r="AB126" s="54">
        <f t="shared" si="12"/>
        <v>3394.6707976501752</v>
      </c>
      <c r="AC126" s="54">
        <f t="shared" si="12"/>
        <v>3475.8190943554318</v>
      </c>
      <c r="AD126" s="54">
        <f t="shared" si="12"/>
        <v>3557.5377226937862</v>
      </c>
      <c r="AE126" s="54">
        <f t="shared" si="12"/>
        <v>3639.8276177909929</v>
      </c>
      <c r="AF126" s="54">
        <f t="shared" si="12"/>
        <v>3722.6897146178335</v>
      </c>
      <c r="AG126" s="54">
        <f t="shared" si="12"/>
        <v>3806.1249479901162</v>
      </c>
      <c r="AH126" s="54">
        <f t="shared" si="12"/>
        <v>3890.1342525686732</v>
      </c>
      <c r="AI126" s="54">
        <f t="shared" si="12"/>
        <v>3974.7185628593656</v>
      </c>
      <c r="AJ126" s="54">
        <f t="shared" si="12"/>
        <v>4059.8788132130799</v>
      </c>
      <c r="AK126" s="54">
        <f t="shared" si="12"/>
        <v>4145.6159378257298</v>
      </c>
      <c r="AL126" s="54">
        <f t="shared" si="12"/>
        <v>4231.9308707382552</v>
      </c>
      <c r="AM126" s="54">
        <f t="shared" si="12"/>
        <v>4318.8245458366237</v>
      </c>
      <c r="AN126" s="54">
        <f t="shared" si="12"/>
        <v>4406.2978968518237</v>
      </c>
      <c r="AO126" s="54">
        <f t="shared" si="12"/>
        <v>4494.3518573598785</v>
      </c>
      <c r="AP126" s="54">
        <f t="shared" si="12"/>
        <v>4582.9873607818345</v>
      </c>
      <c r="AQ126" s="54">
        <f t="shared" si="12"/>
        <v>4672.2053403837626</v>
      </c>
      <c r="AR126" s="54">
        <f t="shared" si="12"/>
        <v>4762.0067292767617</v>
      </c>
      <c r="AS126" s="54">
        <f t="shared" si="12"/>
        <v>4852.392460416957</v>
      </c>
      <c r="AT126" s="54">
        <f t="shared" si="12"/>
        <v>4943.3634666055013</v>
      </c>
      <c r="AU126" s="54">
        <f t="shared" si="12"/>
        <v>5034.9206804885716</v>
      </c>
      <c r="AV126" s="54">
        <f t="shared" si="12"/>
        <v>5127.0650345573731</v>
      </c>
      <c r="AW126" s="54">
        <f t="shared" si="12"/>
        <v>5219.7974611481368</v>
      </c>
      <c r="AX126" s="54">
        <f t="shared" si="12"/>
        <v>5313.1188924421313</v>
      </c>
    </row>
    <row r="127" spans="2:50"/>
    <row r="128" spans="2:50" s="67" customFormat="1">
      <c r="B128" s="67" t="s">
        <v>1351</v>
      </c>
      <c r="O128" s="68"/>
      <c r="P128" s="68"/>
      <c r="Q128" s="68"/>
      <c r="R128" s="68"/>
      <c r="S128" s="68"/>
      <c r="T128" s="68"/>
      <c r="U128" s="68"/>
      <c r="V128" s="68"/>
      <c r="W128" s="68"/>
      <c r="X128" s="68"/>
      <c r="Y128" s="68"/>
      <c r="Z128" s="68"/>
      <c r="AA128" s="68"/>
      <c r="AB128" s="68"/>
      <c r="AC128" s="68"/>
      <c r="AD128" s="68"/>
      <c r="AE128" s="68"/>
      <c r="AF128" s="68"/>
      <c r="AG128" s="68"/>
      <c r="AH128" s="68"/>
      <c r="AI128" s="68"/>
      <c r="AJ128" s="68"/>
      <c r="AK128" s="68"/>
      <c r="AL128" s="68"/>
      <c r="AM128" s="68"/>
      <c r="AN128" s="68"/>
      <c r="AO128" s="68"/>
      <c r="AP128" s="68"/>
      <c r="AQ128" s="68"/>
      <c r="AR128" s="68"/>
      <c r="AS128" s="68"/>
      <c r="AT128" s="68"/>
      <c r="AU128" s="68"/>
      <c r="AV128" s="68"/>
      <c r="AW128" s="68"/>
      <c r="AX128" s="68"/>
    </row>
    <row r="129" spans="3:50"/>
    <row r="130" spans="3:50" s="43" customFormat="1">
      <c r="C130" s="43" t="s">
        <v>494</v>
      </c>
      <c r="O130" s="71"/>
      <c r="P130" s="71"/>
      <c r="Q130" s="71"/>
      <c r="R130" s="71"/>
      <c r="S130" s="71"/>
      <c r="T130" s="71"/>
      <c r="U130" s="71"/>
      <c r="V130" s="71"/>
      <c r="W130" s="71"/>
      <c r="X130" s="71"/>
      <c r="Y130" s="71"/>
      <c r="Z130" s="71"/>
      <c r="AA130" s="71"/>
      <c r="AB130" s="71"/>
      <c r="AC130" s="71"/>
      <c r="AD130" s="71"/>
      <c r="AE130" s="71"/>
      <c r="AF130" s="71"/>
      <c r="AG130" s="71"/>
      <c r="AH130" s="71"/>
      <c r="AI130" s="71"/>
      <c r="AJ130" s="71"/>
      <c r="AK130" s="71"/>
      <c r="AL130" s="71"/>
      <c r="AM130" s="71"/>
      <c r="AN130" s="71"/>
      <c r="AO130" s="71"/>
      <c r="AP130" s="71"/>
      <c r="AQ130" s="71"/>
      <c r="AR130" s="71"/>
      <c r="AS130" s="71"/>
      <c r="AT130" s="71"/>
      <c r="AU130" s="71"/>
      <c r="AV130" s="71"/>
      <c r="AW130" s="71"/>
      <c r="AX130" s="71"/>
    </row>
    <row r="131" spans="3:50"/>
    <row r="132" spans="3:50">
      <c r="E132" s="38" t="str">
        <f>"% Domestic cooking demand in selected region ("&amp;Dashboard!$D$5&amp;")"</f>
        <v>% Domestic cooking demand in selected region (Inner London)</v>
      </c>
      <c r="G132" s="44"/>
      <c r="H132"/>
      <c r="I132" s="44"/>
      <c r="J132"/>
      <c r="K132" s="44"/>
      <c r="L132"/>
      <c r="M132" s="44"/>
      <c r="O132" s="254">
        <f>'3.1 Building Energy'!B36</f>
        <v>1</v>
      </c>
      <c r="P132" s="254">
        <f>'3.1 Building Energy'!C36</f>
        <v>1</v>
      </c>
      <c r="Q132" s="254">
        <f>'3.1 Building Energy'!D36</f>
        <v>1</v>
      </c>
      <c r="R132" s="254">
        <f>'3.1 Building Energy'!E36</f>
        <v>1</v>
      </c>
      <c r="S132" s="254">
        <f>'3.1 Building Energy'!F36</f>
        <v>1</v>
      </c>
      <c r="T132" s="254">
        <f>'3.1 Building Energy'!G36</f>
        <v>1</v>
      </c>
      <c r="U132" s="254">
        <f>'3.1 Building Energy'!H36</f>
        <v>1</v>
      </c>
      <c r="V132" s="254">
        <f>'3.1 Building Energy'!I36</f>
        <v>1</v>
      </c>
      <c r="W132" s="254">
        <f>'3.1 Building Energy'!J36</f>
        <v>1</v>
      </c>
      <c r="X132" s="254">
        <f>'3.1 Building Energy'!K36</f>
        <v>1</v>
      </c>
      <c r="Y132" s="254">
        <f>'3.1 Building Energy'!L36</f>
        <v>1</v>
      </c>
      <c r="Z132" s="254">
        <f>'3.1 Building Energy'!M36</f>
        <v>1</v>
      </c>
      <c r="AA132" s="254">
        <f>'3.1 Building Energy'!N36</f>
        <v>1</v>
      </c>
      <c r="AB132" s="254">
        <f>'3.1 Building Energy'!O36</f>
        <v>1</v>
      </c>
      <c r="AC132" s="254">
        <f>'3.1 Building Energy'!P36</f>
        <v>1</v>
      </c>
      <c r="AD132" s="254">
        <f>'3.1 Building Energy'!Q36</f>
        <v>1</v>
      </c>
      <c r="AE132" s="254">
        <f>'3.1 Building Energy'!R36</f>
        <v>1</v>
      </c>
      <c r="AF132" s="254">
        <f>'3.1 Building Energy'!S36</f>
        <v>1</v>
      </c>
      <c r="AG132" s="254">
        <f>'3.1 Building Energy'!T36</f>
        <v>1</v>
      </c>
      <c r="AH132" s="254">
        <f>'3.1 Building Energy'!U36</f>
        <v>1</v>
      </c>
      <c r="AI132" s="254">
        <f>'3.1 Building Energy'!V36</f>
        <v>1</v>
      </c>
      <c r="AJ132" s="254">
        <f>'3.1 Building Energy'!W36</f>
        <v>1</v>
      </c>
      <c r="AK132" s="254">
        <f>'3.1 Building Energy'!X36</f>
        <v>1</v>
      </c>
      <c r="AL132" s="254">
        <f>'3.1 Building Energy'!Y36</f>
        <v>1</v>
      </c>
      <c r="AM132" s="254">
        <f>'3.1 Building Energy'!Z36</f>
        <v>1</v>
      </c>
      <c r="AN132" s="254">
        <f>'3.1 Building Energy'!AA36</f>
        <v>1</v>
      </c>
      <c r="AO132" s="254">
        <f>'3.1 Building Energy'!AB36</f>
        <v>1</v>
      </c>
      <c r="AP132" s="254">
        <f>'3.1 Building Energy'!AC36</f>
        <v>1</v>
      </c>
      <c r="AQ132" s="254">
        <f>'3.1 Building Energy'!AD36</f>
        <v>1</v>
      </c>
      <c r="AR132" s="254">
        <f>'3.1 Building Energy'!AE36</f>
        <v>1</v>
      </c>
      <c r="AS132" s="254">
        <f>'3.1 Building Energy'!AF36</f>
        <v>1</v>
      </c>
      <c r="AT132" s="254">
        <f>'3.1 Building Energy'!AG36</f>
        <v>1</v>
      </c>
      <c r="AU132" s="254">
        <f>'3.1 Building Energy'!AH36</f>
        <v>1</v>
      </c>
      <c r="AV132" s="254">
        <f>'3.1 Building Energy'!AI36</f>
        <v>1</v>
      </c>
      <c r="AW132" s="254">
        <f>'3.1 Building Energy'!AJ36</f>
        <v>1</v>
      </c>
      <c r="AX132" s="254">
        <f>'3.1 Building Energy'!AK36</f>
        <v>1</v>
      </c>
    </row>
    <row r="133" spans="3:50">
      <c r="E133" s="38" t="s">
        <v>209</v>
      </c>
      <c r="G133" s="44" t="s">
        <v>1202</v>
      </c>
      <c r="H133"/>
      <c r="I133" s="44"/>
      <c r="J133"/>
      <c r="K133" s="44"/>
      <c r="L133"/>
      <c r="M133" s="44" t="s">
        <v>209</v>
      </c>
      <c r="O133" s="54">
        <f>'2.1a Cooking'!E5/10^6*O$132</f>
        <v>308.55119830478941</v>
      </c>
      <c r="P133" s="54">
        <f>'2.1a Cooking'!F5/10^6*P$132</f>
        <v>308.37470970089885</v>
      </c>
      <c r="Q133" s="54">
        <f>'2.1a Cooking'!G5/10^6*Q$132</f>
        <v>308.20474402340426</v>
      </c>
      <c r="R133" s="54">
        <f>'2.1a Cooking'!H5/10^6*R$132</f>
        <v>308.0413012723057</v>
      </c>
      <c r="S133" s="54">
        <f>'2.1a Cooking'!I5/10^6*S$132</f>
        <v>307.88437050227685</v>
      </c>
      <c r="T133" s="54">
        <f>'2.1a Cooking'!J5/10^6*T$132</f>
        <v>306.56952571133996</v>
      </c>
      <c r="U133" s="54">
        <f>'2.1a Cooking'!K5/10^6*U$132</f>
        <v>304.71175712146663</v>
      </c>
      <c r="V133" s="54">
        <f>'2.1a Cooking'!L5/10^6*V$132</f>
        <v>301.19491018250619</v>
      </c>
      <c r="W133" s="54">
        <f>'2.1a Cooking'!M5/10^6*W$132</f>
        <v>295.46955551397315</v>
      </c>
      <c r="X133" s="54">
        <f>'2.1a Cooking'!N5/10^6*X$132</f>
        <v>286.36388785164326</v>
      </c>
      <c r="Y133" s="54">
        <f>'2.1a Cooking'!O5/10^6*Y$132</f>
        <v>274.53257734674924</v>
      </c>
      <c r="Z133" s="54">
        <f>'2.1a Cooking'!P5/10^6*Z$132</f>
        <v>258.64935814548613</v>
      </c>
      <c r="AA133" s="54">
        <f>'2.1a Cooking'!Q5/10^6*AA$132</f>
        <v>237.69056633638928</v>
      </c>
      <c r="AB133" s="54">
        <f>'2.1a Cooking'!R5/10^6*AB$132</f>
        <v>216.60498354840024</v>
      </c>
      <c r="AC133" s="54">
        <f>'2.1a Cooking'!S5/10^6*AC$132</f>
        <v>196.47102849142658</v>
      </c>
      <c r="AD133" s="54">
        <f>'2.1a Cooking'!T5/10^6*AD$132</f>
        <v>177.65349245130778</v>
      </c>
      <c r="AE133" s="54">
        <f>'2.1a Cooking'!U5/10^6*AE$132</f>
        <v>158.52642915433685</v>
      </c>
      <c r="AF133" s="54">
        <f>'2.1a Cooking'!V5/10^6*AF$132</f>
        <v>139.94513780356235</v>
      </c>
      <c r="AG133" s="54">
        <f>'2.1a Cooking'!W5/10^6*AG$132</f>
        <v>121.86241140470645</v>
      </c>
      <c r="AH133" s="54">
        <f>'2.1a Cooking'!X5/10^6*AH$132</f>
        <v>104.42438499629401</v>
      </c>
      <c r="AI133" s="54">
        <f>'2.1a Cooking'!Y5/10^6*AI$132</f>
        <v>88.574277158641308</v>
      </c>
      <c r="AJ133" s="54">
        <f>'2.1a Cooking'!Z5/10^6*AJ$132</f>
        <v>67.918921248979274</v>
      </c>
      <c r="AK133" s="54">
        <f>'2.1a Cooking'!AA5/10^6*AK$132</f>
        <v>52.778216030257667</v>
      </c>
      <c r="AL133" s="54">
        <f>'2.1a Cooking'!AB5/10^6*AL$132</f>
        <v>42.368269209599802</v>
      </c>
      <c r="AM133" s="54">
        <f>'2.1a Cooking'!AC5/10^6*AM$132</f>
        <v>38.684066762549655</v>
      </c>
      <c r="AN133" s="54">
        <f>'2.1a Cooking'!AD5/10^6*AN$132</f>
        <v>35.076863311390696</v>
      </c>
      <c r="AO133" s="54">
        <f>'2.1a Cooking'!AE5/10^6*AO$132</f>
        <v>31.333361730280753</v>
      </c>
      <c r="AP133" s="54">
        <f>'2.1a Cooking'!AF5/10^6*AP$132</f>
        <v>27.688323441850663</v>
      </c>
      <c r="AQ133" s="54">
        <f>'2.1a Cooking'!AG5/10^6*AQ$132</f>
        <v>24.124420224482481</v>
      </c>
      <c r="AR133" s="54">
        <f>'2.1a Cooking'!AH5/10^6*AR$132</f>
        <v>20.624356835090175</v>
      </c>
      <c r="AS133" s="54">
        <f>'2.1a Cooking'!AI5/10^6*AS$132</f>
        <v>17.170877869505969</v>
      </c>
      <c r="AT133" s="54">
        <f>'2.1a Cooking'!AJ5/10^6*AT$132</f>
        <v>13.998901751978263</v>
      </c>
      <c r="AU133" s="54">
        <f>'2.1a Cooking'!AK5/10^6*AU$132</f>
        <v>10.698010356921468</v>
      </c>
      <c r="AV133" s="54">
        <f>'2.1a Cooking'!AL5/10^6*AV$132</f>
        <v>7.2660452360402665</v>
      </c>
      <c r="AW133" s="54">
        <f>'2.1a Cooking'!AM5/10^6*AW$132</f>
        <v>3.7007958828335723</v>
      </c>
      <c r="AX133" s="54">
        <f>'2.1a Cooking'!AN5/10^6*AX$132</f>
        <v>0</v>
      </c>
    </row>
    <row r="134" spans="3:50">
      <c r="E134" s="38" t="s">
        <v>1352</v>
      </c>
      <c r="G134" s="44" t="s">
        <v>1202</v>
      </c>
      <c r="H134"/>
      <c r="I134" s="44"/>
      <c r="J134"/>
      <c r="K134" s="44"/>
      <c r="L134"/>
      <c r="M134" s="44" t="s">
        <v>210</v>
      </c>
      <c r="O134" s="54">
        <f>'2.1a Cooking'!E4/10^6*O$132</f>
        <v>0</v>
      </c>
      <c r="P134" s="54">
        <f>'2.1a Cooking'!F4/10^6*P$132</f>
        <v>0.14321999855179235</v>
      </c>
      <c r="Q134" s="54">
        <f>'2.1a Cooking'!G4/10^6*Q$132</f>
        <v>0.28114666094249036</v>
      </c>
      <c r="R134" s="54">
        <f>'2.1a Cooking'!H4/10^6*R$132</f>
        <v>0.41377998717212838</v>
      </c>
      <c r="S134" s="54">
        <f>'2.1a Cooking'!I4/10^6*S$132</f>
        <v>0.54112885934175314</v>
      </c>
      <c r="T134" s="54">
        <f>'2.1a Cooking'!J4/10^6*T$132</f>
        <v>1.6081216560581884</v>
      </c>
      <c r="U134" s="54">
        <f>'2.1a Cooking'!K4/10^6*U$132</f>
        <v>3.1156955667008512</v>
      </c>
      <c r="V134" s="54">
        <f>'2.1a Cooking'!L4/10^6*V$132</f>
        <v>5.9696068244326552</v>
      </c>
      <c r="W134" s="54">
        <f>'2.1a Cooking'!M4/10^6*W$132</f>
        <v>10.615715804047284</v>
      </c>
      <c r="X134" s="54">
        <f>'2.1a Cooking'!N4/10^6*X$132</f>
        <v>18.00493913441203</v>
      </c>
      <c r="Y134" s="54">
        <f>'2.1a Cooking'!O4/10^6*Y$132</f>
        <v>27.606013855514153</v>
      </c>
      <c r="Z134" s="54">
        <f>'2.1a Cooking'!P4/10^6*Z$132</f>
        <v>40.495200924004259</v>
      </c>
      <c r="AA134" s="54">
        <f>'2.1a Cooking'!Q4/10^6*AA$132</f>
        <v>57.503200683618786</v>
      </c>
      <c r="AB134" s="54">
        <f>'2.1a Cooking'!R4/10^6*AB$132</f>
        <v>74.614090960881512</v>
      </c>
      <c r="AC134" s="54">
        <f>'2.1a Cooking'!S4/10^6*AC$132</f>
        <v>90.952738049329909</v>
      </c>
      <c r="AD134" s="54">
        <f>'2.1a Cooking'!T4/10^6*AD$132</f>
        <v>106.22311486122064</v>
      </c>
      <c r="AE134" s="54">
        <f>'2.1a Cooking'!U4/10^6*AE$132</f>
        <v>121.74467215899465</v>
      </c>
      <c r="AF134" s="54">
        <f>'2.1a Cooking'!V4/10^6*AF$132</f>
        <v>136.82333707946634</v>
      </c>
      <c r="AG134" s="54">
        <f>'2.1a Cooking'!W4/10^6*AG$132</f>
        <v>151.49741796381525</v>
      </c>
      <c r="AH134" s="54">
        <f>'2.1a Cooking'!X4/10^6*AH$132</f>
        <v>165.64832664518789</v>
      </c>
      <c r="AI134" s="54">
        <f>'2.1a Cooking'!Y4/10^6*AI$132</f>
        <v>178.51064393657171</v>
      </c>
      <c r="AJ134" s="54">
        <f>'2.1a Cooking'!Z4/10^6*AJ$132</f>
        <v>195.27240632946902</v>
      </c>
      <c r="AK134" s="54">
        <f>'2.1a Cooking'!AA4/10^6*AK$132</f>
        <v>207.55904541944943</v>
      </c>
      <c r="AL134" s="54">
        <f>'2.1a Cooking'!AB4/10^6*AL$132</f>
        <v>216.00668756581129</v>
      </c>
      <c r="AM134" s="54">
        <f>'2.1a Cooking'!AC4/10^6*AM$132</f>
        <v>218.99640734090832</v>
      </c>
      <c r="AN134" s="54">
        <f>'2.1a Cooking'!AD4/10^6*AN$132</f>
        <v>221.92364265051063</v>
      </c>
      <c r="AO134" s="54">
        <f>'2.1a Cooking'!AE4/10^6*AO$132</f>
        <v>224.96148350372241</v>
      </c>
      <c r="AP134" s="54">
        <f>'2.1a Cooking'!AF4/10^6*AP$132</f>
        <v>227.91942167583102</v>
      </c>
      <c r="AQ134" s="54">
        <f>'2.1a Cooking'!AG4/10^6*AQ$132</f>
        <v>230.81151896924365</v>
      </c>
      <c r="AR134" s="54">
        <f>'2.1a Cooking'!AH4/10^6*AR$132</f>
        <v>233.65181042438283</v>
      </c>
      <c r="AS134" s="54">
        <f>'2.1a Cooking'!AI4/10^6*AS$132</f>
        <v>236.45429875250281</v>
      </c>
      <c r="AT134" s="54">
        <f>'2.1a Cooking'!AJ4/10^6*AT$132</f>
        <v>239.02834832252609</v>
      </c>
      <c r="AU134" s="54">
        <f>'2.1a Cooking'!AK4/10^6*AU$132</f>
        <v>241.70701227248111</v>
      </c>
      <c r="AV134" s="54">
        <f>'2.1a Cooking'!AL4/10^6*AV$132</f>
        <v>244.49204217700151</v>
      </c>
      <c r="AW134" s="54">
        <f>'2.1a Cooking'!AM4/10^6*AW$132</f>
        <v>247.38523185580672</v>
      </c>
      <c r="AX134" s="54">
        <f>'2.1a Cooking'!AN4/10^6*AX$132</f>
        <v>250.38841715670256</v>
      </c>
    </row>
    <row r="135" spans="3:50"/>
    <row r="136" spans="3:50">
      <c r="E136" s="38" t="str">
        <f>"% Non-domestic cooking demand in selected region ("&amp;Dashboard!$D$5&amp;")"</f>
        <v>% Non-domestic cooking demand in selected region (Inner London)</v>
      </c>
      <c r="G136" s="44"/>
      <c r="H136"/>
      <c r="I136" s="44"/>
      <c r="J136"/>
      <c r="K136" s="44"/>
      <c r="L136"/>
      <c r="M136" s="44"/>
      <c r="O136" s="254">
        <f>'3.1 Building Energy'!B37</f>
        <v>1</v>
      </c>
      <c r="P136" s="254">
        <f>'3.1 Building Energy'!C37</f>
        <v>1</v>
      </c>
      <c r="Q136" s="254">
        <f>'3.1 Building Energy'!D37</f>
        <v>1</v>
      </c>
      <c r="R136" s="254">
        <f>'3.1 Building Energy'!E37</f>
        <v>1</v>
      </c>
      <c r="S136" s="254">
        <f>'3.1 Building Energy'!F37</f>
        <v>1</v>
      </c>
      <c r="T136" s="254">
        <f>'3.1 Building Energy'!G37</f>
        <v>1</v>
      </c>
      <c r="U136" s="254">
        <f>'3.1 Building Energy'!H37</f>
        <v>1</v>
      </c>
      <c r="V136" s="254">
        <f>'3.1 Building Energy'!I37</f>
        <v>1</v>
      </c>
      <c r="W136" s="254">
        <f>'3.1 Building Energy'!J37</f>
        <v>1</v>
      </c>
      <c r="X136" s="254">
        <f>'3.1 Building Energy'!K37</f>
        <v>1</v>
      </c>
      <c r="Y136" s="254">
        <f>'3.1 Building Energy'!L37</f>
        <v>1</v>
      </c>
      <c r="Z136" s="254">
        <f>'3.1 Building Energy'!M37</f>
        <v>1</v>
      </c>
      <c r="AA136" s="254">
        <f>'3.1 Building Energy'!N37</f>
        <v>1</v>
      </c>
      <c r="AB136" s="254">
        <f>'3.1 Building Energy'!O37</f>
        <v>1</v>
      </c>
      <c r="AC136" s="254">
        <f>'3.1 Building Energy'!P37</f>
        <v>1</v>
      </c>
      <c r="AD136" s="254">
        <f>'3.1 Building Energy'!Q37</f>
        <v>1</v>
      </c>
      <c r="AE136" s="254">
        <f>'3.1 Building Energy'!R37</f>
        <v>1</v>
      </c>
      <c r="AF136" s="254">
        <f>'3.1 Building Energy'!S37</f>
        <v>1</v>
      </c>
      <c r="AG136" s="254">
        <f>'3.1 Building Energy'!T37</f>
        <v>1</v>
      </c>
      <c r="AH136" s="254">
        <f>'3.1 Building Energy'!U37</f>
        <v>1</v>
      </c>
      <c r="AI136" s="254">
        <f>'3.1 Building Energy'!V37</f>
        <v>1</v>
      </c>
      <c r="AJ136" s="254">
        <f>'3.1 Building Energy'!W37</f>
        <v>1</v>
      </c>
      <c r="AK136" s="254">
        <f>'3.1 Building Energy'!X37</f>
        <v>1</v>
      </c>
      <c r="AL136" s="254">
        <f>'3.1 Building Energy'!Y37</f>
        <v>1</v>
      </c>
      <c r="AM136" s="254">
        <f>'3.1 Building Energy'!Z37</f>
        <v>1</v>
      </c>
      <c r="AN136" s="254">
        <f>'3.1 Building Energy'!AA37</f>
        <v>1</v>
      </c>
      <c r="AO136" s="254">
        <f>'3.1 Building Energy'!AB37</f>
        <v>1</v>
      </c>
      <c r="AP136" s="254">
        <f>'3.1 Building Energy'!AC37</f>
        <v>1</v>
      </c>
      <c r="AQ136" s="254">
        <f>'3.1 Building Energy'!AD37</f>
        <v>1</v>
      </c>
      <c r="AR136" s="254">
        <f>'3.1 Building Energy'!AE37</f>
        <v>1</v>
      </c>
      <c r="AS136" s="254">
        <f>'3.1 Building Energy'!AF37</f>
        <v>1</v>
      </c>
      <c r="AT136" s="254">
        <f>'3.1 Building Energy'!AG37</f>
        <v>1</v>
      </c>
      <c r="AU136" s="254">
        <f>'3.1 Building Energy'!AH37</f>
        <v>1</v>
      </c>
      <c r="AV136" s="254">
        <f>'3.1 Building Energy'!AI37</f>
        <v>1</v>
      </c>
      <c r="AW136" s="254">
        <f>'3.1 Building Energy'!AJ37</f>
        <v>1</v>
      </c>
      <c r="AX136" s="254">
        <f>'3.1 Building Energy'!AK37</f>
        <v>1</v>
      </c>
    </row>
    <row r="137" spans="3:50">
      <c r="E137" s="38" t="s">
        <v>1353</v>
      </c>
      <c r="G137" s="44" t="s">
        <v>1202</v>
      </c>
      <c r="H137"/>
      <c r="I137" s="44"/>
      <c r="J137"/>
      <c r="K137" s="44"/>
      <c r="L137"/>
      <c r="M137" s="44" t="s">
        <v>209</v>
      </c>
      <c r="O137" s="54">
        <f>'2.1a Cooking'!E8/10^6*O$132</f>
        <v>879.50852654965911</v>
      </c>
      <c r="P137" s="54">
        <f>'2.1a Cooking'!F8/10^6*P$132</f>
        <v>864.34489103342787</v>
      </c>
      <c r="Q137" s="54">
        <f>'2.1a Cooking'!G8/10^6*Q$132</f>
        <v>855.45616360833731</v>
      </c>
      <c r="R137" s="54">
        <f>'2.1a Cooking'!H8/10^6*R$132</f>
        <v>846.7693562827078</v>
      </c>
      <c r="S137" s="54">
        <f>'2.1a Cooking'!I8/10^6*S$132</f>
        <v>838.28269132252024</v>
      </c>
      <c r="T137" s="54">
        <f>'2.1a Cooking'!J8/10^6*T$132</f>
        <v>744.35068542422766</v>
      </c>
      <c r="U137" s="54">
        <f>'2.1a Cooking'!K8/10^6*U$132</f>
        <v>675.32562221545402</v>
      </c>
      <c r="V137" s="54">
        <f>'2.1a Cooking'!L8/10^6*V$132</f>
        <v>576.47992363873072</v>
      </c>
      <c r="W137" s="54">
        <f>'2.1a Cooking'!M8/10^6*W$132</f>
        <v>497.76703724058933</v>
      </c>
      <c r="X137" s="54">
        <f>'2.1a Cooking'!N8/10^6*X$132</f>
        <v>433.15196925356662</v>
      </c>
      <c r="Y137" s="54">
        <f>'2.1a Cooking'!O8/10^6*Y$132</f>
        <v>378.8440440227921</v>
      </c>
      <c r="Z137" s="54">
        <f>'2.1a Cooking'!P8/10^6*Z$132</f>
        <v>334.28619812246035</v>
      </c>
      <c r="AA137" s="54">
        <f>'2.1a Cooking'!Q8/10^6*AA$132</f>
        <v>292.85403553826143</v>
      </c>
      <c r="AB137" s="54">
        <f>'2.1a Cooking'!R8/10^6*AB$132</f>
        <v>255.92302585408393</v>
      </c>
      <c r="AC137" s="54">
        <f>'2.1a Cooking'!S8/10^6*AC$132</f>
        <v>222.81582781816084</v>
      </c>
      <c r="AD137" s="54">
        <f>'2.1a Cooking'!T8/10^6*AD$132</f>
        <v>193.00185826042849</v>
      </c>
      <c r="AE137" s="54">
        <f>'2.1a Cooking'!U8/10^6*AE$132</f>
        <v>176.49297020456993</v>
      </c>
      <c r="AF137" s="54">
        <f>'2.1a Cooking'!V8/10^6*AF$132</f>
        <v>162.03807762765524</v>
      </c>
      <c r="AG137" s="54">
        <f>'2.1a Cooking'!W8/10^6*AG$132</f>
        <v>149.37469676984719</v>
      </c>
      <c r="AH137" s="54">
        <f>'2.1a Cooking'!X8/10^6*AH$132</f>
        <v>138.28347273731754</v>
      </c>
      <c r="AI137" s="54">
        <f>'2.1a Cooking'!Y8/10^6*AI$132</f>
        <v>130.19624808529829</v>
      </c>
      <c r="AJ137" s="54">
        <f>'2.1a Cooking'!Z8/10^6*AJ$132</f>
        <v>114.95286460364792</v>
      </c>
      <c r="AK137" s="54">
        <f>'2.1a Cooking'!AA8/10^6*AK$132</f>
        <v>101.47485656945753</v>
      </c>
      <c r="AL137" s="54">
        <f>'2.1a Cooking'!AB8/10^6*AL$132</f>
        <v>89.502672189692007</v>
      </c>
      <c r="AM137" s="54">
        <f>'2.1a Cooking'!AC8/10^6*AM$132</f>
        <v>78.808095508679401</v>
      </c>
      <c r="AN137" s="54">
        <f>'2.1a Cooking'!AD8/10^6*AN$132</f>
        <v>69.189089200470377</v>
      </c>
      <c r="AO137" s="54">
        <f>'2.1a Cooking'!AE8/10^6*AO$132</f>
        <v>60.465648914632411</v>
      </c>
      <c r="AP137" s="54">
        <f>'2.1a Cooking'!AF8/10^6*AP$132</f>
        <v>52.476441602201369</v>
      </c>
      <c r="AQ137" s="54">
        <f>'2.1a Cooking'!AG8/10^6*AQ$132</f>
        <v>45.076057440970914</v>
      </c>
      <c r="AR137" s="54">
        <f>'2.1a Cooking'!AH8/10^6*AR$132</f>
        <v>38.132746414093354</v>
      </c>
      <c r="AS137" s="54">
        <f>'2.1a Cooking'!AI8/10^6*AS$132</f>
        <v>31.526540967630471</v>
      </c>
      <c r="AT137" s="54">
        <f>'2.1a Cooking'!AJ8/10^6*AT$132</f>
        <v>25.147688679153401</v>
      </c>
      <c r="AU137" s="54">
        <f>'2.1a Cooking'!AK8/10^6*AU$132</f>
        <v>18.895335718604386</v>
      </c>
      <c r="AV137" s="54">
        <f>'2.1a Cooking'!AL8/10^6*AV$132</f>
        <v>12.676414617574858</v>
      </c>
      <c r="AW137" s="54">
        <f>'2.1a Cooking'!AM8/10^6*AW$132</f>
        <v>6.4046995753687117</v>
      </c>
      <c r="AX137" s="54">
        <f>'2.1a Cooking'!AN8/10^6*AX$132</f>
        <v>0</v>
      </c>
    </row>
    <row r="138" spans="3:50">
      <c r="E138" s="38" t="s">
        <v>1354</v>
      </c>
      <c r="G138" s="44" t="s">
        <v>1202</v>
      </c>
      <c r="H138"/>
      <c r="I138" s="44"/>
      <c r="J138"/>
      <c r="K138" s="44"/>
      <c r="L138"/>
      <c r="M138" s="44" t="s">
        <v>210</v>
      </c>
      <c r="O138" s="54">
        <f>'2.1a Cooking'!E9/10^6*O$132</f>
        <v>167.52543362850653</v>
      </c>
      <c r="P138" s="54">
        <f>'2.1a Cooking'!F9/10^6*P$132</f>
        <v>178.84777084902183</v>
      </c>
      <c r="Q138" s="54">
        <f>'2.1a Cooking'!G9/10^6*Q$132</f>
        <v>183.89519997839614</v>
      </c>
      <c r="R138" s="54">
        <f>'2.1a Cooking'!H9/10^6*R$132</f>
        <v>188.74070900830961</v>
      </c>
      <c r="S138" s="54">
        <f>'2.1a Cooking'!I9/10^6*S$132</f>
        <v>193.38607567278103</v>
      </c>
      <c r="T138" s="54">
        <f>'2.1a Cooking'!J9/10^6*T$132</f>
        <v>283.47678327535755</v>
      </c>
      <c r="U138" s="54">
        <f>'2.1a Cooking'!K9/10^6*U$132</f>
        <v>348.66054818841485</v>
      </c>
      <c r="V138" s="54">
        <f>'2.1a Cooking'!L9/10^6*V$132</f>
        <v>443.66494846942214</v>
      </c>
      <c r="W138" s="54">
        <f>'2.1a Cooking'!M9/10^6*W$132</f>
        <v>518.53653657184736</v>
      </c>
      <c r="X138" s="54">
        <f>'2.1a Cooking'!N9/10^6*X$132</f>
        <v>579.31030626315408</v>
      </c>
      <c r="Y138" s="54">
        <f>'2.1a Cooking'!O9/10^6*Y$132</f>
        <v>629.77693319821242</v>
      </c>
      <c r="Z138" s="54">
        <f>'2.1a Cooking'!P9/10^6*Z$132</f>
        <v>680.27880770633294</v>
      </c>
      <c r="AA138" s="54">
        <f>'2.1a Cooking'!Q9/10^6*AA$132</f>
        <v>727.65499889832063</v>
      </c>
      <c r="AB138" s="54">
        <f>'2.1a Cooking'!R9/10^6*AB$132</f>
        <v>770.53003719028709</v>
      </c>
      <c r="AC138" s="54">
        <f>'2.1a Cooking'!S9/10^6*AC$132</f>
        <v>809.58126383399906</v>
      </c>
      <c r="AD138" s="54">
        <f>'2.1a Cooking'!T9/10^6*AD$132</f>
        <v>845.33926199952009</v>
      </c>
      <c r="AE138" s="54">
        <f>'2.1a Cooking'!U9/10^6*AE$132</f>
        <v>867.79217866316753</v>
      </c>
      <c r="AF138" s="54">
        <f>'2.1a Cooking'!V9/10^6*AF$132</f>
        <v>888.1910998478711</v>
      </c>
      <c r="AG138" s="54">
        <f>'2.1a Cooking'!W9/10^6*AG$132</f>
        <v>906.79850931346812</v>
      </c>
      <c r="AH138" s="54">
        <f>'2.1a Cooking'!X9/10^6*AH$132</f>
        <v>923.83376195378651</v>
      </c>
      <c r="AI138" s="54">
        <f>'2.1a Cooking'!Y9/10^6*AI$132</f>
        <v>937.86501521359457</v>
      </c>
      <c r="AJ138" s="54">
        <f>'2.1a Cooking'!Z9/10^6*AJ$132</f>
        <v>959.05242730303382</v>
      </c>
      <c r="AK138" s="54">
        <f>'2.1a Cooking'!AA9/10^6*AK$132</f>
        <v>978.4744639450131</v>
      </c>
      <c r="AL138" s="54">
        <f>'2.1a Cooking'!AB9/10^6*AL$132</f>
        <v>996.39067693256732</v>
      </c>
      <c r="AM138" s="54">
        <f>'2.1a Cooking'!AC9/10^6*AM$132</f>
        <v>1013.0292822213688</v>
      </c>
      <c r="AN138" s="54">
        <f>'2.1a Cooking'!AD9/10^6*AN$132</f>
        <v>1028.5923171373668</v>
      </c>
      <c r="AO138" s="54">
        <f>'2.1a Cooking'!AE9/10^6*AO$132</f>
        <v>1043.2597860309934</v>
      </c>
      <c r="AP138" s="54">
        <f>'2.1a Cooking'!AF9/10^6*AP$132</f>
        <v>1057.1930219512133</v>
      </c>
      <c r="AQ138" s="54">
        <f>'2.1a Cooking'!AG9/10^6*AQ$132</f>
        <v>1070.5374347202326</v>
      </c>
      <c r="AR138" s="54">
        <f>'2.1a Cooking'!AH9/10^6*AR$132</f>
        <v>1083.424774354899</v>
      </c>
      <c r="AS138" s="54">
        <f>'2.1a Cooking'!AI9/10^6*AS$132</f>
        <v>1095.9750084091509</v>
      </c>
      <c r="AT138" s="54">
        <f>'2.1a Cooking'!AJ9/10^6*AT$132</f>
        <v>1108.2978893054167</v>
      </c>
      <c r="AU138" s="54">
        <f>'2.1a Cooking'!AK9/10^6*AU$132</f>
        <v>1120.4942708737544</v>
      </c>
      <c r="AV138" s="54">
        <f>'2.1a Cooking'!AL9/10^6*AV$132</f>
        <v>1132.6572205825728</v>
      </c>
      <c r="AW138" s="54">
        <f>'2.1a Cooking'!AM9/10^6*AW$132</f>
        <v>1144.8729642325677</v>
      </c>
      <c r="AX138" s="54">
        <f>'2.1a Cooking'!AN9/10^6*AX$132</f>
        <v>1157.2216924157253</v>
      </c>
    </row>
    <row r="139" spans="3:50"/>
    <row r="140" spans="3:50">
      <c r="E140" s="38" t="s">
        <v>142</v>
      </c>
      <c r="G140" s="44" t="s">
        <v>1202</v>
      </c>
      <c r="H140"/>
      <c r="I140" s="44"/>
      <c r="J140"/>
      <c r="K140" s="44"/>
      <c r="L140"/>
      <c r="M140" s="44"/>
      <c r="O140" s="54">
        <f>O133+O137+O134+O138</f>
        <v>1355.5851584829552</v>
      </c>
      <c r="P140" s="54">
        <f t="shared" ref="P140:AX140" si="13">P133+P137+P134+P138</f>
        <v>1351.7105915819004</v>
      </c>
      <c r="Q140" s="54">
        <f t="shared" si="13"/>
        <v>1347.8372542710804</v>
      </c>
      <c r="R140" s="54">
        <f t="shared" si="13"/>
        <v>1343.9651465504951</v>
      </c>
      <c r="S140" s="54">
        <f t="shared" si="13"/>
        <v>1340.0942663569201</v>
      </c>
      <c r="T140" s="54">
        <f t="shared" si="13"/>
        <v>1336.0051160669834</v>
      </c>
      <c r="U140" s="54">
        <f t="shared" si="13"/>
        <v>1331.8136230920363</v>
      </c>
      <c r="V140" s="54">
        <f t="shared" si="13"/>
        <v>1327.3093891150916</v>
      </c>
      <c r="W140" s="54">
        <f t="shared" si="13"/>
        <v>1322.3888451304572</v>
      </c>
      <c r="X140" s="54">
        <f t="shared" si="13"/>
        <v>1316.831102502776</v>
      </c>
      <c r="Y140" s="54">
        <f t="shared" si="13"/>
        <v>1310.7595684232679</v>
      </c>
      <c r="Z140" s="54">
        <f t="shared" si="13"/>
        <v>1313.7095648982836</v>
      </c>
      <c r="AA140" s="54">
        <f t="shared" si="13"/>
        <v>1315.7028014565901</v>
      </c>
      <c r="AB140" s="54">
        <f t="shared" si="13"/>
        <v>1317.6721375536526</v>
      </c>
      <c r="AC140" s="54">
        <f t="shared" si="13"/>
        <v>1319.8208581929164</v>
      </c>
      <c r="AD140" s="54">
        <f t="shared" si="13"/>
        <v>1322.2177275724771</v>
      </c>
      <c r="AE140" s="54">
        <f t="shared" si="13"/>
        <v>1324.5562501810689</v>
      </c>
      <c r="AF140" s="54">
        <f t="shared" si="13"/>
        <v>1326.9976523585551</v>
      </c>
      <c r="AG140" s="54">
        <f t="shared" si="13"/>
        <v>1329.5330354518369</v>
      </c>
      <c r="AH140" s="54">
        <f t="shared" si="13"/>
        <v>1332.1899463325858</v>
      </c>
      <c r="AI140" s="54">
        <f t="shared" si="13"/>
        <v>1335.1461843941058</v>
      </c>
      <c r="AJ140" s="54">
        <f t="shared" si="13"/>
        <v>1337.19661948513</v>
      </c>
      <c r="AK140" s="54">
        <f t="shared" si="13"/>
        <v>1340.2865819641777</v>
      </c>
      <c r="AL140" s="54">
        <f t="shared" si="13"/>
        <v>1344.2683058976704</v>
      </c>
      <c r="AM140" s="54">
        <f t="shared" si="13"/>
        <v>1349.5178518335063</v>
      </c>
      <c r="AN140" s="54">
        <f t="shared" si="13"/>
        <v>1354.7819122997385</v>
      </c>
      <c r="AO140" s="54">
        <f t="shared" si="13"/>
        <v>1360.020280179629</v>
      </c>
      <c r="AP140" s="54">
        <f t="shared" si="13"/>
        <v>1365.2772086710963</v>
      </c>
      <c r="AQ140" s="54">
        <f t="shared" si="13"/>
        <v>1370.5494313549295</v>
      </c>
      <c r="AR140" s="54">
        <f t="shared" si="13"/>
        <v>1375.8336880284653</v>
      </c>
      <c r="AS140" s="54">
        <f t="shared" si="13"/>
        <v>1381.1267259987901</v>
      </c>
      <c r="AT140" s="54">
        <f t="shared" si="13"/>
        <v>1386.4728280590743</v>
      </c>
      <c r="AU140" s="54">
        <f t="shared" si="13"/>
        <v>1391.7946292217614</v>
      </c>
      <c r="AV140" s="54">
        <f t="shared" si="13"/>
        <v>1397.0917226131894</v>
      </c>
      <c r="AW140" s="54">
        <f t="shared" si="13"/>
        <v>1402.3636915465768</v>
      </c>
      <c r="AX140" s="54">
        <f t="shared" si="13"/>
        <v>1407.610109572428</v>
      </c>
    </row>
    <row r="141" spans="3:50"/>
    <row r="142" spans="3:50" s="67" customFormat="1">
      <c r="C142" s="67" t="s">
        <v>1355</v>
      </c>
      <c r="O142" s="68"/>
      <c r="P142" s="68"/>
      <c r="Q142" s="68"/>
      <c r="R142" s="68"/>
      <c r="S142" s="68"/>
      <c r="T142" s="68"/>
      <c r="U142" s="68"/>
      <c r="V142" s="68"/>
      <c r="W142" s="68"/>
      <c r="X142" s="68"/>
      <c r="Y142" s="68"/>
      <c r="Z142" s="68"/>
      <c r="AA142" s="68"/>
      <c r="AB142" s="68"/>
      <c r="AC142" s="68"/>
      <c r="AD142" s="68"/>
      <c r="AE142" s="68"/>
      <c r="AF142" s="68"/>
      <c r="AG142" s="68"/>
      <c r="AH142" s="68"/>
      <c r="AI142" s="68"/>
      <c r="AJ142" s="68"/>
      <c r="AK142" s="68"/>
      <c r="AL142" s="68"/>
      <c r="AM142" s="68"/>
      <c r="AN142" s="68"/>
      <c r="AO142" s="68"/>
      <c r="AP142" s="68"/>
      <c r="AQ142" s="68"/>
      <c r="AR142" s="68"/>
      <c r="AS142" s="68"/>
      <c r="AT142" s="68"/>
      <c r="AU142" s="68"/>
      <c r="AV142" s="68"/>
      <c r="AW142" s="68"/>
      <c r="AX142" s="68"/>
    </row>
    <row r="145" spans="13:24"/>
    <row r="146" spans="13:24"/>
    <row r="147" spans="13:24"/>
    <row r="153" spans="13:24" hidden="1">
      <c r="M153" s="38" t="s">
        <v>1356</v>
      </c>
      <c r="N153" s="70">
        <v>0.7</v>
      </c>
    </row>
    <row r="154" spans="13:24" hidden="1">
      <c r="M154" s="38" t="s">
        <v>1357</v>
      </c>
      <c r="N154" s="38" t="s">
        <v>1358</v>
      </c>
      <c r="O154" s="38">
        <f>SUM('Carbon Emissions'!Q11:Q15)/(SUM('Energy demand'!O10)-'Heat Networks'!K57/1000000)</f>
        <v>0.23916917914995053</v>
      </c>
      <c r="P154" s="38">
        <f>SUM('Carbon Emissions'!R11:R15)/(SUM('Energy demand'!P10)-'Heat Networks'!L57/1000000)</f>
        <v>0.23097577748266743</v>
      </c>
      <c r="Q154" s="38">
        <f>SUM('Carbon Emissions'!S11:S15)/(SUM('Energy demand'!Q10)-'Heat Networks'!M57/1000000)</f>
        <v>0.2263077060066295</v>
      </c>
      <c r="R154" s="38">
        <f>SUM('Carbon Emissions'!T11:T15)/(SUM('Energy demand'!R10)-'Heat Networks'!N57/1000000)</f>
        <v>0.22253248732260245</v>
      </c>
      <c r="S154" s="38">
        <f>SUM('Carbon Emissions'!U11:U15)/(SUM('Energy demand'!S10)-'Heat Networks'!O57/1000000)</f>
        <v>0.21821545816492841</v>
      </c>
      <c r="T154" s="38">
        <f>SUM('Carbon Emissions'!V11:V15)/(SUM('Energy demand'!T10)-'Heat Networks'!P57/1000000)</f>
        <v>0.21148517877222087</v>
      </c>
      <c r="U154" s="38">
        <f>SUM('Carbon Emissions'!W11:W15)/(SUM('Energy demand'!U10)-'Heat Networks'!Q57/1000000)</f>
        <v>0.20973165798353377</v>
      </c>
      <c r="V154" s="38">
        <f>SUM('Carbon Emissions'!X11:X15)/(SUM('Energy demand'!V10)-'Heat Networks'!R57/1000000)</f>
        <v>0.20707512862288105</v>
      </c>
      <c r="W154" s="38">
        <f>SUM('Carbon Emissions'!Y11:Y15)/(SUM('Energy demand'!W10)-'Heat Networks'!S57/1000000)</f>
        <v>0.20385179602637366</v>
      </c>
      <c r="X154" s="38">
        <f>SUM('Carbon Emissions'!Z11:Z15)/(SUM('Energy demand'!X10)-'Heat Networks'!T57/1000000)</f>
        <v>0.2006302488955177</v>
      </c>
    </row>
    <row r="155" spans="13:24" hidden="1">
      <c r="N155" s="38" t="s">
        <v>722</v>
      </c>
      <c r="O155" s="38">
        <f>SUM('Carbon Emissions'!Q31:Q36)/('Energy demand'!O17-'Heat Networks'!K58/1000000)</f>
        <v>0.26262700670000155</v>
      </c>
      <c r="P155" s="38">
        <f>SUM('Carbon Emissions'!R31:R36)/('Energy demand'!P17-'Heat Networks'!L58/1000000)</f>
        <v>0.24770701354511981</v>
      </c>
      <c r="Q155" s="38">
        <f>SUM('Carbon Emissions'!S31:S36)/('Energy demand'!Q17-'Heat Networks'!M58/1000000)</f>
        <v>0.24026882807203551</v>
      </c>
      <c r="R155" s="38">
        <f>SUM('Carbon Emissions'!T31:T36)/('Energy demand'!R17-'Heat Networks'!N58/1000000)</f>
        <v>0.23486468588913842</v>
      </c>
      <c r="S155" s="38">
        <f>SUM('Carbon Emissions'!U31:U36)/('Energy demand'!S17-'Heat Networks'!O58/1000000)</f>
        <v>0.22824722931332364</v>
      </c>
      <c r="T155" s="38">
        <f>SUM('Carbon Emissions'!V31:V36)/('Energy demand'!T17-'Heat Networks'!P58/1000000)</f>
        <v>0.21562712185860924</v>
      </c>
      <c r="U155" s="38">
        <f>SUM('Carbon Emissions'!W31:W36)/('Energy demand'!U17-'Heat Networks'!Q58/1000000)</f>
        <v>0.21216812494436779</v>
      </c>
      <c r="V155" s="38">
        <f>SUM('Carbon Emissions'!X31:X36)/('Energy demand'!V17-'Heat Networks'!R58/1000000)</f>
        <v>0.20744497728750844</v>
      </c>
      <c r="W155" s="38">
        <f>SUM('Carbon Emissions'!Y31:Y36)/('Energy demand'!W17-'Heat Networks'!S58/1000000)</f>
        <v>0.20275672989780005</v>
      </c>
      <c r="X155" s="38">
        <f>SUM('Carbon Emissions'!Z31:Z36)/('Energy demand'!X17-'Heat Networks'!T58/1000000)</f>
        <v>0.1998600004273888</v>
      </c>
    </row>
    <row r="156" spans="13:24" hidden="1">
      <c r="N156" s="38" t="s">
        <v>142</v>
      </c>
      <c r="O156" s="38">
        <f>O154*N153+O155*(1-N153)</f>
        <v>0.24620652741496585</v>
      </c>
      <c r="P156" s="38">
        <f t="shared" ref="P156:X156" si="14">P154*O153+P155*(1-O153)</f>
        <v>0.24770701354511981</v>
      </c>
      <c r="Q156" s="38">
        <f t="shared" si="14"/>
        <v>0.24026882807203551</v>
      </c>
      <c r="R156" s="38">
        <f t="shared" si="14"/>
        <v>0.23486468588913842</v>
      </c>
      <c r="S156" s="38">
        <f t="shared" si="14"/>
        <v>0.22824722931332364</v>
      </c>
      <c r="T156" s="38">
        <f t="shared" si="14"/>
        <v>0.21562712185860924</v>
      </c>
      <c r="U156" s="38">
        <f t="shared" si="14"/>
        <v>0.21216812494436779</v>
      </c>
      <c r="V156" s="38">
        <f t="shared" si="14"/>
        <v>0.20744497728750844</v>
      </c>
      <c r="W156" s="38">
        <f t="shared" si="14"/>
        <v>0.20275672989780005</v>
      </c>
      <c r="X156" s="38">
        <f t="shared" si="14"/>
        <v>0.1998600004273888</v>
      </c>
    </row>
    <row r="158" spans="13:24" hidden="1">
      <c r="M158" s="38" t="s">
        <v>1359</v>
      </c>
      <c r="N158" s="38" t="s">
        <v>1360</v>
      </c>
      <c r="O158" s="246">
        <f>(('Heat Networks'!K85)*$N$153)/('Energy supply'!O16*1000000)</f>
        <v>0.63833339130007205</v>
      </c>
      <c r="P158" s="246">
        <f>(('Heat Networks'!L85)*$N$153)/('Energy supply'!P16*1000000)</f>
        <v>0.62926155322358757</v>
      </c>
      <c r="Q158" s="246">
        <f>(('Heat Networks'!M85)*$N$153)/('Energy supply'!Q16*1000000)</f>
        <v>0.62704713603782092</v>
      </c>
      <c r="R158" s="246">
        <f>(('Heat Networks'!N85)*$N$153)/('Energy supply'!R16*1000000)</f>
        <v>0.62783187447108291</v>
      </c>
      <c r="S158" s="246">
        <f>(('Heat Networks'!O85)*$N$153)/('Energy supply'!S16*1000000)</f>
        <v>0.62994253308376935</v>
      </c>
      <c r="T158" s="246">
        <f>(('Heat Networks'!P85)*$N$153)/('Energy supply'!T16*1000000)</f>
        <v>0.62154923561762931</v>
      </c>
      <c r="U158" s="246">
        <f>(('Heat Networks'!Q85)*$N$153)/('Energy supply'!U16*1000000)</f>
        <v>0.58511465512681604</v>
      </c>
      <c r="V158" s="246">
        <f>(('Heat Networks'!R85)*$N$153)/('Energy supply'!V16*1000000)</f>
        <v>0.5680844758969229</v>
      </c>
      <c r="W158" s="246">
        <f>(('Heat Networks'!S85)*$N$153)/('Energy supply'!W16*1000000)</f>
        <v>0.55622215410300546</v>
      </c>
      <c r="X158" s="246">
        <f>(('Heat Networks'!T85)*$N$153)/('Energy supply'!X16*1000000)</f>
        <v>0.54932478089602776</v>
      </c>
    </row>
    <row r="159" spans="13:24" hidden="1">
      <c r="O159" s="246">
        <f>(('Heat Networks'!K85)*(1-$N$153)/('Energy supply'!O27*1000000))</f>
        <v>0.18531321338889226</v>
      </c>
      <c r="P159" s="246">
        <f>(('Heat Networks'!L85)*(1-$N$153)/('Energy supply'!P27*1000000))</f>
        <v>0.18524929801872639</v>
      </c>
      <c r="Q159" s="246">
        <f>(('Heat Networks'!M85)*(1-$N$153)/('Energy supply'!Q27*1000000))</f>
        <v>0.18699372218212568</v>
      </c>
      <c r="R159" s="246">
        <f>(('Heat Networks'!N85)*(1-$N$153)/('Energy supply'!R27*1000000))</f>
        <v>0.18947843137001125</v>
      </c>
      <c r="S159" s="246">
        <f>(('Heat Networks'!O85)*(1-$N$153)/('Energy supply'!S27*1000000))</f>
        <v>0.19223850777194332</v>
      </c>
      <c r="T159" s="246">
        <f>(('Heat Networks'!P85)*(1-$N$153)/('Energy supply'!T27*1000000))</f>
        <v>0.19960053446867929</v>
      </c>
      <c r="U159" s="246">
        <f>(('Heat Networks'!Q85)*(1-$N$153)/('Energy supply'!U27*1000000))</f>
        <v>0.19842699232318681</v>
      </c>
      <c r="V159" s="246">
        <f>(('Heat Networks'!R85)*(1-$N$153)/('Energy supply'!V27*1000000))</f>
        <v>0.20176928120368734</v>
      </c>
      <c r="W159" s="246">
        <f>(('Heat Networks'!S85)*(1-$N$153)/('Energy supply'!W27*1000000))</f>
        <v>0.20592305623371684</v>
      </c>
      <c r="X159" s="246">
        <f>(('Heat Networks'!T85)*(1-$N$153)/('Energy supply'!X27*1000000))</f>
        <v>0.21142009134585965</v>
      </c>
    </row>
  </sheetData>
  <conditionalFormatting sqref="O6:AY8 O105:AY110 O103:AY103 O112:AY119 O10:AY15 O17:AY20 O26:AY36 O84:AY101 O121:AY122 O124:AY127 O104:XFD104 O77:AY82 O38:AY53 O62:AY75">
    <cfRule type="cellIs" dxfId="43" priority="24" operator="lessThan">
      <formula>0</formula>
    </cfRule>
  </conditionalFormatting>
  <conditionalFormatting sqref="O21:AY21">
    <cfRule type="cellIs" dxfId="42" priority="23" operator="lessThan">
      <formula>0</formula>
    </cfRule>
  </conditionalFormatting>
  <conditionalFormatting sqref="O22:AY24">
    <cfRule type="cellIs" dxfId="41" priority="22" operator="lessThan">
      <formula>0</formula>
    </cfRule>
  </conditionalFormatting>
  <conditionalFormatting sqref="O25:AY25">
    <cfRule type="cellIs" dxfId="40" priority="21" operator="lessThan">
      <formula>0</formula>
    </cfRule>
  </conditionalFormatting>
  <conditionalFormatting sqref="O76:AY76">
    <cfRule type="cellIs" dxfId="39" priority="19" operator="lessThan">
      <formula>0</formula>
    </cfRule>
  </conditionalFormatting>
  <conditionalFormatting sqref="O83:AY83">
    <cfRule type="cellIs" dxfId="38" priority="18" operator="lessThan">
      <formula>0</formula>
    </cfRule>
  </conditionalFormatting>
  <conditionalFormatting sqref="O16:AY16">
    <cfRule type="cellIs" dxfId="37" priority="17" operator="lessThan">
      <formula>0</formula>
    </cfRule>
  </conditionalFormatting>
  <conditionalFormatting sqref="O9:AY9">
    <cfRule type="cellIs" dxfId="36" priority="16" operator="lessThan">
      <formula>0</formula>
    </cfRule>
  </conditionalFormatting>
  <conditionalFormatting sqref="O120:AY120">
    <cfRule type="cellIs" dxfId="35" priority="15" operator="lessThan">
      <formula>0</formula>
    </cfRule>
  </conditionalFormatting>
  <conditionalFormatting sqref="O123:AY123">
    <cfRule type="cellIs" dxfId="34" priority="14" operator="lessThan">
      <formula>0</formula>
    </cfRule>
  </conditionalFormatting>
  <conditionalFormatting sqref="O37:AY43">
    <cfRule type="cellIs" dxfId="33" priority="13" operator="lessThan">
      <formula>0</formula>
    </cfRule>
  </conditionalFormatting>
  <conditionalFormatting sqref="O54:AY54 O56:AY61">
    <cfRule type="cellIs" dxfId="32" priority="12" operator="lessThan">
      <formula>0</formula>
    </cfRule>
  </conditionalFormatting>
  <conditionalFormatting sqref="O55:AY61">
    <cfRule type="cellIs" dxfId="31" priority="11" operator="lessThan">
      <formula>0</formula>
    </cfRule>
  </conditionalFormatting>
  <conditionalFormatting sqref="A61:M61">
    <cfRule type="cellIs" dxfId="30" priority="9" operator="lessThan">
      <formula>0</formula>
    </cfRule>
  </conditionalFormatting>
  <conditionalFormatting sqref="A61:M61">
    <cfRule type="cellIs" dxfId="29" priority="10" operator="lessThan">
      <formula>0</formula>
    </cfRule>
  </conditionalFormatting>
  <conditionalFormatting sqref="O102:AY102">
    <cfRule type="cellIs" dxfId="28" priority="6" operator="lessThan">
      <formula>0</formula>
    </cfRule>
  </conditionalFormatting>
  <conditionalFormatting sqref="O111:AY111">
    <cfRule type="cellIs" dxfId="27" priority="5" operator="lessThan">
      <formula>0</formula>
    </cfRule>
  </conditionalFormatting>
  <conditionalFormatting sqref="O128:AY131 O133:AY135 O143:AY150 O137:AY141">
    <cfRule type="cellIs" dxfId="26" priority="4" operator="lessThan">
      <formula>0</formula>
    </cfRule>
  </conditionalFormatting>
  <conditionalFormatting sqref="O132:AY132">
    <cfRule type="cellIs" dxfId="25" priority="3" operator="lessThan">
      <formula>0</formula>
    </cfRule>
  </conditionalFormatting>
  <conditionalFormatting sqref="O136:AY136">
    <cfRule type="cellIs" dxfId="24" priority="2" operator="lessThan">
      <formula>0</formula>
    </cfRule>
  </conditionalFormatting>
  <conditionalFormatting sqref="O142:AY142">
    <cfRule type="cellIs" dxfId="23" priority="1" operator="lessThan">
      <formula>0</formula>
    </cfRule>
  </conditionalFormatting>
  <pageMargins left="0.7" right="0.7" top="0.75" bottom="0.75" header="0.3" footer="0.3"/>
  <pageSetup paperSize="9" orientation="portrait" r:id="rId1"/>
  <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0">
    <tabColor theme="4"/>
  </sheetPr>
  <dimension ref="A1:AY80"/>
  <sheetViews>
    <sheetView topLeftCell="Y1" zoomScale="85" zoomScaleNormal="85" workbookViewId="0">
      <selection activeCell="O35" sqref="O35"/>
    </sheetView>
  </sheetViews>
  <sheetFormatPr defaultColWidth="0" defaultRowHeight="15" zeroHeight="1"/>
  <cols>
    <col min="1" max="1" width="1.85546875" style="38" customWidth="1"/>
    <col min="2" max="4" width="2.140625" style="38" customWidth="1"/>
    <col min="5" max="5" width="42.140625" style="38" bestFit="1" customWidth="1"/>
    <col min="6" max="6" width="1.42578125" style="38" customWidth="1"/>
    <col min="7" max="7" width="16" style="38" bestFit="1" customWidth="1"/>
    <col min="8" max="8" width="2" style="38" customWidth="1"/>
    <col min="9" max="9" width="9.140625" style="38" bestFit="1" customWidth="1"/>
    <col min="10" max="10" width="1.85546875" style="38" customWidth="1"/>
    <col min="11" max="11" width="9.140625" style="38" bestFit="1" customWidth="1"/>
    <col min="12" max="12" width="1.5703125" style="38" customWidth="1"/>
    <col min="13" max="14" width="9.140625" style="38" bestFit="1" customWidth="1"/>
    <col min="15" max="15" width="13.140625" style="38" customWidth="1"/>
    <col min="16" max="50" width="12.85546875" style="38" customWidth="1"/>
    <col min="51" max="51" width="9.140625" style="38" customWidth="1"/>
    <col min="52" max="16384" width="9.140625" style="38" hidden="1"/>
  </cols>
  <sheetData>
    <row r="1" spans="2:50"/>
    <row r="2" spans="2:50">
      <c r="E2" s="60" t="s">
        <v>178</v>
      </c>
      <c r="F2" s="60"/>
      <c r="G2" s="60" t="s">
        <v>179</v>
      </c>
      <c r="H2" s="60"/>
      <c r="I2" s="60" t="s">
        <v>180</v>
      </c>
      <c r="J2" s="60"/>
      <c r="K2" s="60" t="s">
        <v>718</v>
      </c>
      <c r="L2" s="60"/>
      <c r="M2" s="60" t="s">
        <v>719</v>
      </c>
      <c r="O2" s="82">
        <v>2015</v>
      </c>
      <c r="P2" s="82">
        <v>2016</v>
      </c>
      <c r="Q2" s="82">
        <v>2017</v>
      </c>
      <c r="R2" s="82">
        <v>2018</v>
      </c>
      <c r="S2" s="82">
        <v>2019</v>
      </c>
      <c r="T2" s="82">
        <v>2020</v>
      </c>
      <c r="U2" s="82">
        <v>2021</v>
      </c>
      <c r="V2" s="82">
        <v>2022</v>
      </c>
      <c r="W2" s="82">
        <v>2023</v>
      </c>
      <c r="X2" s="82">
        <v>2024</v>
      </c>
      <c r="Y2" s="82">
        <v>2025</v>
      </c>
      <c r="Z2" s="82">
        <v>2026</v>
      </c>
      <c r="AA2" s="82">
        <v>2027</v>
      </c>
      <c r="AB2" s="82">
        <v>2028</v>
      </c>
      <c r="AC2" s="82">
        <v>2029</v>
      </c>
      <c r="AD2" s="82">
        <v>2030</v>
      </c>
      <c r="AE2" s="82">
        <v>2031</v>
      </c>
      <c r="AF2" s="82">
        <v>2032</v>
      </c>
      <c r="AG2" s="82">
        <v>2033</v>
      </c>
      <c r="AH2" s="82">
        <v>2034</v>
      </c>
      <c r="AI2" s="82">
        <v>2035</v>
      </c>
      <c r="AJ2" s="82">
        <v>2036</v>
      </c>
      <c r="AK2" s="82">
        <v>2037</v>
      </c>
      <c r="AL2" s="82">
        <v>2038</v>
      </c>
      <c r="AM2" s="82">
        <v>2039</v>
      </c>
      <c r="AN2" s="82">
        <v>2040</v>
      </c>
      <c r="AO2" s="82">
        <v>2041</v>
      </c>
      <c r="AP2" s="82">
        <v>2042</v>
      </c>
      <c r="AQ2" s="82">
        <v>2043</v>
      </c>
      <c r="AR2" s="82">
        <v>2044</v>
      </c>
      <c r="AS2" s="82">
        <v>2045</v>
      </c>
      <c r="AT2" s="82">
        <v>2046</v>
      </c>
      <c r="AU2" s="82">
        <v>2047</v>
      </c>
      <c r="AV2" s="82">
        <v>2048</v>
      </c>
      <c r="AW2" s="82">
        <v>2049</v>
      </c>
      <c r="AX2" s="82">
        <v>2050</v>
      </c>
    </row>
    <row r="3" spans="2:50">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row>
    <row r="4" spans="2:50" s="67" customFormat="1">
      <c r="B4" s="67" t="s">
        <v>1338</v>
      </c>
      <c r="O4" s="68"/>
      <c r="P4" s="68"/>
      <c r="Q4" s="68"/>
      <c r="R4" s="68"/>
      <c r="S4" s="68"/>
      <c r="T4" s="68"/>
      <c r="U4" s="68"/>
      <c r="V4" s="68"/>
      <c r="W4" s="68"/>
      <c r="X4" s="68"/>
      <c r="Y4" s="68"/>
      <c r="Z4" s="68"/>
      <c r="AA4" s="68"/>
      <c r="AB4" s="68"/>
      <c r="AC4" s="68"/>
      <c r="AD4" s="68"/>
      <c r="AE4" s="68"/>
      <c r="AF4" s="68"/>
      <c r="AG4" s="68"/>
      <c r="AH4" s="68"/>
      <c r="AI4" s="68"/>
      <c r="AJ4" s="68"/>
      <c r="AK4" s="68"/>
      <c r="AL4" s="68"/>
      <c r="AM4" s="68"/>
      <c r="AN4" s="68"/>
      <c r="AO4" s="68"/>
      <c r="AP4" s="68"/>
      <c r="AQ4" s="68"/>
      <c r="AR4" s="68"/>
      <c r="AS4" s="68"/>
      <c r="AT4" s="68"/>
      <c r="AU4" s="68"/>
      <c r="AV4" s="68"/>
      <c r="AW4" s="68"/>
      <c r="AX4" s="68"/>
    </row>
    <row r="5" spans="2:50"/>
    <row r="6" spans="2:50" s="43" customFormat="1">
      <c r="C6" s="43" t="s">
        <v>1361</v>
      </c>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row>
    <row r="7" spans="2:50"/>
    <row r="8" spans="2:50">
      <c r="D8" s="38" t="s">
        <v>157</v>
      </c>
      <c r="O8" s="301"/>
      <c r="P8" s="301"/>
      <c r="Q8" s="301"/>
      <c r="R8" s="301"/>
      <c r="S8" s="301"/>
      <c r="T8" s="301"/>
      <c r="U8" s="301"/>
      <c r="V8" s="301"/>
    </row>
    <row r="9" spans="2:50">
      <c r="S9" s="107"/>
    </row>
    <row r="10" spans="2:50">
      <c r="E10" s="38" t="s">
        <v>774</v>
      </c>
      <c r="G10" s="44" t="s">
        <v>1202</v>
      </c>
      <c r="H10"/>
      <c r="I10" s="44"/>
      <c r="J10"/>
      <c r="K10" s="44"/>
      <c r="L10"/>
      <c r="M10" s="44"/>
      <c r="O10" s="83">
        <f>('Energy demand'!O$10*'Energy demand'!O45)</f>
        <v>9052.7900156878513</v>
      </c>
      <c r="P10" s="83">
        <f>('Energy demand'!P$10*'Energy demand'!P45)</f>
        <v>9126.3806071678664</v>
      </c>
      <c r="Q10" s="83">
        <f>('Energy demand'!Q$10*'Energy demand'!Q45)</f>
        <v>9199.0404710000439</v>
      </c>
      <c r="R10" s="83">
        <f>('Energy demand'!R$10*'Energy demand'!R45)</f>
        <v>9270.816903218396</v>
      </c>
      <c r="S10" s="83">
        <f>('Energy demand'!S$10*'Energy demand'!S45)</f>
        <v>9341.7367713199219</v>
      </c>
      <c r="T10" s="83">
        <f>('Energy demand'!T$10*'Energy demand'!T45)</f>
        <v>9309.3740506586601</v>
      </c>
      <c r="U10" s="83">
        <f>('Energy demand'!U$10*'Energy demand'!U45)</f>
        <v>9188.946044266846</v>
      </c>
      <c r="V10" s="83">
        <f>('Energy demand'!V$10*'Energy demand'!V45)</f>
        <v>8753.4218549481866</v>
      </c>
      <c r="W10" s="83">
        <f>('Energy demand'!W$10*'Energy demand'!W45)</f>
        <v>8036.4603630115644</v>
      </c>
      <c r="X10" s="83">
        <f>('Energy demand'!X$10*'Energy demand'!X45)</f>
        <v>7207.3638980761043</v>
      </c>
      <c r="Y10" s="83">
        <f>('Energy demand'!Y$10*'Energy demand'!Y45)</f>
        <v>6410.7631511833197</v>
      </c>
      <c r="Z10" s="83">
        <f>('Energy demand'!Z$10*'Energy demand'!Z45)</f>
        <v>5637.0235648018934</v>
      </c>
      <c r="AA10" s="83">
        <f>('Energy demand'!AA$10*'Energy demand'!AA45)</f>
        <v>4875.9428817735843</v>
      </c>
      <c r="AB10" s="83">
        <f>('Energy demand'!AB$10*'Energy demand'!AB45)</f>
        <v>4231.785712488846</v>
      </c>
      <c r="AC10" s="83">
        <f>('Energy demand'!AC$10*'Energy demand'!AC45)</f>
        <v>3731.6786995582211</v>
      </c>
      <c r="AD10" s="83">
        <f>('Energy demand'!AD$10*'Energy demand'!AD45)</f>
        <v>3339.5115548418612</v>
      </c>
      <c r="AE10" s="83">
        <f>('Energy demand'!AE$10*'Energy demand'!AE45)</f>
        <v>2981.2715625898168</v>
      </c>
      <c r="AF10" s="83">
        <f>('Energy demand'!AF$10*'Energy demand'!AF45)</f>
        <v>2633.631912697439</v>
      </c>
      <c r="AG10" s="83">
        <f>('Energy demand'!AG$10*'Energy demand'!AG45)</f>
        <v>2295.7066988974361</v>
      </c>
      <c r="AH10" s="83">
        <f>('Energy demand'!AH$10*'Energy demand'!AH45)</f>
        <v>1970.2046068118334</v>
      </c>
      <c r="AI10" s="83">
        <f>('Energy demand'!AI$10*'Energy demand'!AI45)</f>
        <v>1675.0492837818733</v>
      </c>
      <c r="AJ10" s="83">
        <f>('Energy demand'!AJ$10*'Energy demand'!AJ45)</f>
        <v>1289.0790831615654</v>
      </c>
      <c r="AK10" s="83">
        <f>('Energy demand'!AK$10*'Energy demand'!AK45)</f>
        <v>1005.9941236693276</v>
      </c>
      <c r="AL10" s="83">
        <f>('Energy demand'!AL$10*'Energy demand'!AL45)</f>
        <v>811.16817903893957</v>
      </c>
      <c r="AM10" s="83">
        <f>('Energy demand'!AM$10*'Energy demand'!AM45)</f>
        <v>741.59290125840482</v>
      </c>
      <c r="AN10" s="83">
        <f>('Energy demand'!AN$10*'Energy demand'!AN45)</f>
        <v>673.55156655698431</v>
      </c>
      <c r="AO10" s="83">
        <f>('Energy demand'!AO$10*'Energy demand'!AO45)</f>
        <v>603.00368096297393</v>
      </c>
      <c r="AP10" s="83">
        <f>('Energy demand'!AP$10*'Energy demand'!AP45)</f>
        <v>534.23880053753828</v>
      </c>
      <c r="AQ10" s="83">
        <f>('Energy demand'!AQ$10*'Energy demand'!AQ45)</f>
        <v>466.85633848622757</v>
      </c>
      <c r="AR10" s="83">
        <f>('Energy demand'!AR$10*'Energy demand'!AR45)</f>
        <v>400.45440702911202</v>
      </c>
      <c r="AS10" s="83">
        <f>('Energy demand'!AS$10*'Energy demand'!AS45)</f>
        <v>334.63011837216919</v>
      </c>
      <c r="AT10" s="83">
        <f>('Energy demand'!AT$10*'Energy demand'!AT45)</f>
        <v>273.66853896018256</v>
      </c>
      <c r="AU10" s="83">
        <f>('Energy demand'!AU$10*'Energy demand'!AU45)</f>
        <v>209.85230735131498</v>
      </c>
      <c r="AV10" s="83">
        <f>('Energy demand'!AV$10*'Energy demand'!AV45)</f>
        <v>143.05493542619578</v>
      </c>
      <c r="AW10" s="83">
        <f>('Energy demand'!AW$10*'Energy demand'!AW45)</f>
        <v>73.147750269434624</v>
      </c>
      <c r="AX10" s="83">
        <f>('Energy demand'!AX$10*'Energy demand'!AX45)</f>
        <v>0</v>
      </c>
    </row>
    <row r="11" spans="2:50">
      <c r="E11" s="38" t="s">
        <v>1362</v>
      </c>
      <c r="G11" s="44" t="s">
        <v>1202</v>
      </c>
      <c r="H11"/>
      <c r="I11" s="44"/>
      <c r="J11"/>
      <c r="K11" s="44"/>
      <c r="L11"/>
      <c r="M11" s="44"/>
      <c r="O11" s="83">
        <f>'Energy demand'!O133</f>
        <v>308.55119830478941</v>
      </c>
      <c r="P11" s="83">
        <f>'Energy demand'!P133</f>
        <v>308.37470970089885</v>
      </c>
      <c r="Q11" s="83">
        <f>'Energy demand'!Q133</f>
        <v>308.20474402340426</v>
      </c>
      <c r="R11" s="83">
        <f>'Energy demand'!R133</f>
        <v>308.0413012723057</v>
      </c>
      <c r="S11" s="83">
        <f>'Energy demand'!S133</f>
        <v>307.88437050227685</v>
      </c>
      <c r="T11" s="83">
        <f>'Energy demand'!T133</f>
        <v>306.56952571133996</v>
      </c>
      <c r="U11" s="83">
        <f>'Energy demand'!U133</f>
        <v>304.71175712146663</v>
      </c>
      <c r="V11" s="83">
        <f>'Energy demand'!V133</f>
        <v>301.19491018250619</v>
      </c>
      <c r="W11" s="83">
        <f>'Energy demand'!W133</f>
        <v>295.46955551397315</v>
      </c>
      <c r="X11" s="83">
        <f>'Energy demand'!X133</f>
        <v>286.36388785164326</v>
      </c>
      <c r="Y11" s="83">
        <f>'Energy demand'!Y133</f>
        <v>274.53257734674924</v>
      </c>
      <c r="Z11" s="83">
        <f>'Energy demand'!Z133</f>
        <v>258.64935814548613</v>
      </c>
      <c r="AA11" s="83">
        <f>'Energy demand'!AA133</f>
        <v>237.69056633638928</v>
      </c>
      <c r="AB11" s="83">
        <f>'Energy demand'!AB133</f>
        <v>216.60498354840024</v>
      </c>
      <c r="AC11" s="83">
        <f>'Energy demand'!AC133</f>
        <v>196.47102849142658</v>
      </c>
      <c r="AD11" s="83">
        <f>'Energy demand'!AD133</f>
        <v>177.65349245130778</v>
      </c>
      <c r="AE11" s="83">
        <f>'Energy demand'!AE133</f>
        <v>158.52642915433685</v>
      </c>
      <c r="AF11" s="83">
        <f>'Energy demand'!AF133</f>
        <v>139.94513780356235</v>
      </c>
      <c r="AG11" s="83">
        <f>'Energy demand'!AG133</f>
        <v>121.86241140470645</v>
      </c>
      <c r="AH11" s="83">
        <f>'Energy demand'!AH133</f>
        <v>104.42438499629401</v>
      </c>
      <c r="AI11" s="83">
        <f>'Energy demand'!AI133</f>
        <v>88.574277158641308</v>
      </c>
      <c r="AJ11" s="83">
        <f>'Energy demand'!AJ133</f>
        <v>67.918921248979274</v>
      </c>
      <c r="AK11" s="83">
        <f>'Energy demand'!AK133</f>
        <v>52.778216030257667</v>
      </c>
      <c r="AL11" s="83">
        <f>'Energy demand'!AL133</f>
        <v>42.368269209599802</v>
      </c>
      <c r="AM11" s="83">
        <f>'Energy demand'!AM133</f>
        <v>38.684066762549655</v>
      </c>
      <c r="AN11" s="83">
        <f>'Energy demand'!AN133</f>
        <v>35.076863311390696</v>
      </c>
      <c r="AO11" s="83">
        <f>'Energy demand'!AO133</f>
        <v>31.333361730280753</v>
      </c>
      <c r="AP11" s="83">
        <f>'Energy demand'!AP133</f>
        <v>27.688323441850663</v>
      </c>
      <c r="AQ11" s="83">
        <f>'Energy demand'!AQ133</f>
        <v>24.124420224482481</v>
      </c>
      <c r="AR11" s="83">
        <f>'Energy demand'!AR133</f>
        <v>20.624356835090175</v>
      </c>
      <c r="AS11" s="83">
        <f>'Energy demand'!AS133</f>
        <v>17.170877869505969</v>
      </c>
      <c r="AT11" s="83">
        <f>'Energy demand'!AT133</f>
        <v>13.998901751978263</v>
      </c>
      <c r="AU11" s="83">
        <f>'Energy demand'!AU133</f>
        <v>10.698010356921468</v>
      </c>
      <c r="AV11" s="83">
        <f>'Energy demand'!AV133</f>
        <v>7.2660452360402665</v>
      </c>
      <c r="AW11" s="83">
        <f>'Energy demand'!AW133</f>
        <v>3.7007958828335723</v>
      </c>
      <c r="AX11" s="83">
        <f>'Energy demand'!AX133</f>
        <v>0</v>
      </c>
    </row>
    <row r="12" spans="2:50">
      <c r="E12" s="38" t="s">
        <v>776</v>
      </c>
      <c r="G12" s="44" t="s">
        <v>1202</v>
      </c>
      <c r="H12"/>
      <c r="I12" s="44"/>
      <c r="J12"/>
      <c r="K12" s="44" t="s">
        <v>1363</v>
      </c>
      <c r="L12"/>
      <c r="M12" s="44"/>
      <c r="O12" s="83">
        <f>('Energy demand'!O$10*'Energy demand'!O46)</f>
        <v>681.39279687973078</v>
      </c>
      <c r="P12" s="83">
        <f>('Energy demand'!P$10*'Energy demand'!P46)</f>
        <v>686.93187365779659</v>
      </c>
      <c r="Q12" s="83">
        <f>('Energy demand'!Q$10*'Energy demand'!Q46)</f>
        <v>692.40089566666984</v>
      </c>
      <c r="R12" s="83">
        <f>('Energy demand'!R$10*'Energy demand'!R46)</f>
        <v>697.80342282288996</v>
      </c>
      <c r="S12" s="83">
        <f>('Energy demand'!S$10*'Energy demand'!S46)</f>
        <v>703.14147741117711</v>
      </c>
      <c r="T12" s="83">
        <f>('Energy demand'!T$10*'Energy demand'!T46)</f>
        <v>700.70557370549056</v>
      </c>
      <c r="U12" s="83">
        <f>('Energy demand'!U$10*'Energy demand'!U46)</f>
        <v>691.64110010610671</v>
      </c>
      <c r="V12" s="83">
        <f>('Energy demand'!V$10*'Energy demand'!V46)</f>
        <v>658.85970951222907</v>
      </c>
      <c r="W12" s="83">
        <f>('Energy demand'!W$10*'Energy demand'!W46)</f>
        <v>604.89486603312855</v>
      </c>
      <c r="X12" s="83">
        <f>('Energy demand'!X$10*'Energy demand'!X46)</f>
        <v>542.48975576916916</v>
      </c>
      <c r="Y12" s="83">
        <f>('Energy demand'!Y$10*'Energy demand'!Y46)</f>
        <v>482.53055976648636</v>
      </c>
      <c r="Z12" s="83">
        <f>('Energy demand'!Z$10*'Energy demand'!Z46)</f>
        <v>424.29209627541132</v>
      </c>
      <c r="AA12" s="83">
        <f>('Energy demand'!AA$10*'Energy demand'!AA46)</f>
        <v>369.20321258168997</v>
      </c>
      <c r="AB12" s="83">
        <f>('Energy demand'!AB$10*'Energy demand'!AB46)</f>
        <v>322.35756020756594</v>
      </c>
      <c r="AC12" s="83">
        <f>('Energy demand'!AC$10*'Energy demand'!AC46)</f>
        <v>285.98385369060912</v>
      </c>
      <c r="AD12" s="83">
        <f>('Energy demand'!AD$10*'Energy demand'!AD46)</f>
        <v>257.48933084720682</v>
      </c>
      <c r="AE12" s="83">
        <f>('Energy demand'!AE$10*'Energy demand'!AE46)</f>
        <v>232.61989766335344</v>
      </c>
      <c r="AF12" s="83">
        <f>('Energy demand'!AF$10*'Energy demand'!AF46)</f>
        <v>207.98484841069916</v>
      </c>
      <c r="AG12" s="83">
        <f>('Energy demand'!AG$10*'Energy demand'!AG46)</f>
        <v>183.52198807710744</v>
      </c>
      <c r="AH12" s="83">
        <f>('Energy demand'!AH$10*'Energy demand'!AH46)</f>
        <v>159.4569574249374</v>
      </c>
      <c r="AI12" s="83">
        <f>('Energy demand'!AI$10*'Energy demand'!AI46)</f>
        <v>135.56879392384221</v>
      </c>
      <c r="AJ12" s="83">
        <f>('Energy demand'!AJ$10*'Energy demand'!AJ46)</f>
        <v>210.7903956411063</v>
      </c>
      <c r="AK12" s="83">
        <f>('Energy demand'!AK$10*'Energy demand'!AK46)</f>
        <v>260.36294990774775</v>
      </c>
      <c r="AL12" s="83">
        <f>('Energy demand'!AL$10*'Energy demand'!AL46)</f>
        <v>300.12003386803178</v>
      </c>
      <c r="AM12" s="83">
        <f>('Energy demand'!AM$10*'Energy demand'!AM46)</f>
        <v>371.81367672590522</v>
      </c>
      <c r="AN12" s="83">
        <f>('Energy demand'!AN$10*'Energy demand'!AN46)</f>
        <v>443.89454611802626</v>
      </c>
      <c r="AO12" s="83">
        <f>('Energy demand'!AO$10*'Energy demand'!AO46)</f>
        <v>513.60008283353466</v>
      </c>
      <c r="AP12" s="83">
        <f>('Energy demand'!AP$10*'Energy demand'!AP46)</f>
        <v>583.71565095152482</v>
      </c>
      <c r="AQ12" s="83">
        <f>('Energy demand'!AQ$10*'Energy demand'!AQ46)</f>
        <v>654.67689307567707</v>
      </c>
      <c r="AR12" s="83">
        <f>('Energy demand'!AR$10*'Energy demand'!AR46)</f>
        <v>726.92035962042519</v>
      </c>
      <c r="AS12" s="83">
        <f>('Energy demand'!AS$10*'Energy demand'!AS46)</f>
        <v>800.88373803953073</v>
      </c>
      <c r="AT12" s="83">
        <f>('Energy demand'!AT$10*'Energy demand'!AT46)</f>
        <v>892.29423039393589</v>
      </c>
      <c r="AU12" s="83">
        <f>('Energy demand'!AU$10*'Energy demand'!AU46)</f>
        <v>987.51172496225183</v>
      </c>
      <c r="AV12" s="83">
        <f>('Energy demand'!AV$10*'Energy demand'!AV46)</f>
        <v>1086.681611458094</v>
      </c>
      <c r="AW12" s="83">
        <f>('Energy demand'!AW$10*'Energy demand'!AW46)</f>
        <v>1189.9512617538978</v>
      </c>
      <c r="AX12" s="83">
        <f>('Energy demand'!AX$10*'Energy demand'!AX46)</f>
        <v>1297.469947489883</v>
      </c>
    </row>
    <row r="13" spans="2:50">
      <c r="E13" s="38" t="s">
        <v>346</v>
      </c>
      <c r="G13" s="44" t="s">
        <v>1202</v>
      </c>
      <c r="H13"/>
      <c r="I13" s="44"/>
      <c r="J13"/>
      <c r="K13" s="44"/>
      <c r="L13"/>
      <c r="M13" s="44"/>
      <c r="O13" s="83">
        <f>('Energy demand'!O$10*'Energy demand'!O47)</f>
        <v>0</v>
      </c>
      <c r="P13" s="83">
        <f>('Energy demand'!P$10*'Energy demand'!P47)</f>
        <v>0</v>
      </c>
      <c r="Q13" s="83">
        <f>('Energy demand'!Q$10*'Energy demand'!Q47)</f>
        <v>0</v>
      </c>
      <c r="R13" s="83">
        <f>('Energy demand'!R$10*'Energy demand'!R47)</f>
        <v>0</v>
      </c>
      <c r="S13" s="83">
        <f>('Energy demand'!S$10*'Energy demand'!S47)</f>
        <v>0</v>
      </c>
      <c r="T13" s="83">
        <f>('Energy demand'!T$10*'Energy demand'!T47)</f>
        <v>34.086694037757447</v>
      </c>
      <c r="U13" s="83">
        <f>('Energy demand'!U$10*'Energy demand'!U47)</f>
        <v>89.773236112994226</v>
      </c>
      <c r="V13" s="83">
        <f>('Energy demand'!V$10*'Energy demand'!V47)</f>
        <v>201.49500518221311</v>
      </c>
      <c r="W13" s="83">
        <f>('Energy demand'!W$10*'Energy demand'!W47)</f>
        <v>344.18617310847145</v>
      </c>
      <c r="X13" s="83">
        <f>('Energy demand'!X$10*'Energy demand'!X47)</f>
        <v>543.37196309359604</v>
      </c>
      <c r="Y13" s="83">
        <f>('Energy demand'!Y$10*'Energy demand'!Y47)</f>
        <v>779.80656012086831</v>
      </c>
      <c r="Z13" s="83">
        <f>('Energy demand'!Z$10*'Energy demand'!Z47)</f>
        <v>1072.2411940111056</v>
      </c>
      <c r="AA13" s="83">
        <f>('Energy demand'!AA$10*'Energy demand'!AA47)</f>
        <v>1420.3366786951949</v>
      </c>
      <c r="AB13" s="83">
        <f>('Energy demand'!AB$10*'Energy demand'!AB47)</f>
        <v>1763.4816035000747</v>
      </c>
      <c r="AC13" s="83">
        <f>('Energy demand'!AC$10*'Energy demand'!AC47)</f>
        <v>2116.0701571044351</v>
      </c>
      <c r="AD13" s="83">
        <f>('Energy demand'!AD$10*'Energy demand'!AD47)</f>
        <v>2485.1526031709941</v>
      </c>
      <c r="AE13" s="83">
        <f>('Energy demand'!AE$10*'Energy demand'!AE47)</f>
        <v>2837.8176826167846</v>
      </c>
      <c r="AF13" s="83">
        <f>('Energy demand'!AF$10*'Energy demand'!AF47)</f>
        <v>3190.692610413771</v>
      </c>
      <c r="AG13" s="83">
        <f>('Energy demand'!AG$10*'Energy demand'!AG47)</f>
        <v>3543.7686247249767</v>
      </c>
      <c r="AH13" s="83">
        <f>('Energy demand'!AH$10*'Energy demand'!AH47)</f>
        <v>3897.038526642395</v>
      </c>
      <c r="AI13" s="83">
        <f>('Energy demand'!AI$10*'Energy demand'!AI47)</f>
        <v>4250.6056323954408</v>
      </c>
      <c r="AJ13" s="83">
        <f>('Energy demand'!AJ$10*'Energy demand'!AJ47)</f>
        <v>4604.4022538529771</v>
      </c>
      <c r="AK13" s="83">
        <f>('Energy demand'!AK$10*'Energy demand'!AK47)</f>
        <v>4875.6279170070584</v>
      </c>
      <c r="AL13" s="83">
        <f>('Energy demand'!AL$10*'Energy demand'!AL47)</f>
        <v>5064.4097043250586</v>
      </c>
      <c r="AM13" s="83">
        <f>('Energy demand'!AM$10*'Energy demand'!AM47)</f>
        <v>5087.8878604700349</v>
      </c>
      <c r="AN13" s="83">
        <f>('Energy demand'!AN$10*'Energy demand'!AN47)</f>
        <v>5111.5152228771194</v>
      </c>
      <c r="AO13" s="83">
        <f>('Energy demand'!AO$10*'Energy demand'!AO47)</f>
        <v>5135.2831089038209</v>
      </c>
      <c r="AP13" s="83">
        <f>('Energy demand'!AP$10*'Energy demand'!AP47)</f>
        <v>5159.1835028439937</v>
      </c>
      <c r="AQ13" s="83">
        <f>('Energy demand'!AQ$10*'Energy demand'!AQ47)</f>
        <v>5183.2089930979655</v>
      </c>
      <c r="AR13" s="83">
        <f>('Energy demand'!AR$10*'Energy demand'!AR47)</f>
        <v>5207.3527163141134</v>
      </c>
      <c r="AS13" s="83">
        <f>('Energy demand'!AS$10*'Energy demand'!AS47)</f>
        <v>5231.6083076158257</v>
      </c>
      <c r="AT13" s="83">
        <f>('Energy demand'!AT$10*'Energy demand'!AT47)</f>
        <v>5255.9698561541591</v>
      </c>
      <c r="AU13" s="83">
        <f>('Energy demand'!AU$10*'Energy demand'!AU47)</f>
        <v>5280.4318653330411</v>
      </c>
      <c r="AV13" s="83">
        <f>('Energy demand'!AV$10*'Energy demand'!AV47)</f>
        <v>5304.9892171438041</v>
      </c>
      <c r="AW13" s="83">
        <f>('Energy demand'!AW$10*'Energy demand'!AW47)</f>
        <v>5329.6371401221249</v>
      </c>
      <c r="AX13" s="83">
        <f>('Energy demand'!AX$10*'Energy demand'!AX47)</f>
        <v>5354.371180505289</v>
      </c>
    </row>
    <row r="14" spans="2:50">
      <c r="E14" s="38" t="s">
        <v>219</v>
      </c>
      <c r="G14" s="44" t="s">
        <v>1202</v>
      </c>
      <c r="H14"/>
      <c r="I14" s="44"/>
      <c r="J14"/>
      <c r="K14" s="44"/>
      <c r="L14"/>
      <c r="M14" s="44"/>
      <c r="O14" s="83">
        <f>('Energy demand'!O$10*'Energy demand'!O48)</f>
        <v>0</v>
      </c>
      <c r="P14" s="83">
        <f>('Energy demand'!P$10*'Energy demand'!P48)</f>
        <v>0</v>
      </c>
      <c r="Q14" s="83">
        <f>('Energy demand'!Q$10*'Energy demand'!Q48)</f>
        <v>0</v>
      </c>
      <c r="R14" s="83">
        <f>('Energy demand'!R$10*'Energy demand'!R48)</f>
        <v>0</v>
      </c>
      <c r="S14" s="83">
        <f>('Energy demand'!S$10*'Energy demand'!S48)</f>
        <v>0</v>
      </c>
      <c r="T14" s="83">
        <f>('Energy demand'!T$10*'Energy demand'!T48)</f>
        <v>1.6401915738725579</v>
      </c>
      <c r="U14" s="83">
        <f>('Energy demand'!U$10*'Energy demand'!U48)</f>
        <v>3.5209943917615316</v>
      </c>
      <c r="V14" s="83">
        <f>('Energy demand'!V$10*'Energy demand'!V48)</f>
        <v>5.0813435584577569</v>
      </c>
      <c r="W14" s="83">
        <f>('Energy demand'!W$10*'Energy demand'!W48)</f>
        <v>6.1891662265502259</v>
      </c>
      <c r="X14" s="83">
        <f>('Energy demand'!X$10*'Energy demand'!X48)</f>
        <v>7.0188692568810955</v>
      </c>
      <c r="Y14" s="83">
        <f>('Energy demand'!Y$10*'Energy demand'!Y48)</f>
        <v>7.8000253000424626</v>
      </c>
      <c r="Z14" s="83">
        <f>('Energy demand'!Z$10*'Energy demand'!Z48)</f>
        <v>8.4072085894214688</v>
      </c>
      <c r="AA14" s="83">
        <f>('Energy demand'!AA$10*'Energy demand'!AA48)</f>
        <v>8.670138066754614</v>
      </c>
      <c r="AB14" s="83">
        <f>('Energy demand'!AB$10*'Energy demand'!AB48)</f>
        <v>9.0773662800544681</v>
      </c>
      <c r="AC14" s="83">
        <f>('Energy demand'!AC$10*'Energy demand'!AC48)</f>
        <v>9.7751599458465233</v>
      </c>
      <c r="AD14" s="83">
        <f>('Energy demand'!AD$10*'Energy demand'!AD48)</f>
        <v>10.725303846621221</v>
      </c>
      <c r="AE14" s="83">
        <f>('Energy demand'!AE$10*'Energy demand'!AE48)</f>
        <v>11.502707107882891</v>
      </c>
      <c r="AF14" s="83">
        <f>('Energy demand'!AF$10*'Energy demand'!AF48)</f>
        <v>12.552654698717836</v>
      </c>
      <c r="AG14" s="83">
        <f>('Energy demand'!AG$10*'Energy demand'!AG48)</f>
        <v>13.89054287334503</v>
      </c>
      <c r="AH14" s="83">
        <f>('Energy demand'!AH$10*'Energy demand'!AH48)</f>
        <v>15.528710691214492</v>
      </c>
      <c r="AI14" s="83">
        <f>('Energy demand'!AI$10*'Energy demand'!AI48)</f>
        <v>17.412872161823948</v>
      </c>
      <c r="AJ14" s="83">
        <f>('Energy demand'!AJ$10*'Energy demand'!AJ48)</f>
        <v>19.561891348854385</v>
      </c>
      <c r="AK14" s="83">
        <f>('Energy demand'!AK$10*'Energy demand'!AK48)</f>
        <v>22.005056152922297</v>
      </c>
      <c r="AL14" s="83">
        <f>('Energy demand'!AL$10*'Energy demand'!AL48)</f>
        <v>24.686467762892271</v>
      </c>
      <c r="AM14" s="83">
        <f>('Energy demand'!AM$10*'Energy demand'!AM48)</f>
        <v>27.646268711234061</v>
      </c>
      <c r="AN14" s="83">
        <f>('Energy demand'!AN$10*'Energy demand'!AN48)</f>
        <v>30.884331336351433</v>
      </c>
      <c r="AO14" s="83">
        <f>('Energy demand'!AO$10*'Energy demand'!AO48)</f>
        <v>33.902878709834653</v>
      </c>
      <c r="AP14" s="83">
        <f>('Energy demand'!AP$10*'Energy demand'!AP48)</f>
        <v>36.640828463899005</v>
      </c>
      <c r="AQ14" s="83">
        <f>('Energy demand'!AQ$10*'Energy demand'!AQ48)</f>
        <v>39.098083979038115</v>
      </c>
      <c r="AR14" s="83">
        <f>('Energy demand'!AR$10*'Energy demand'!AR48)</f>
        <v>41.274555605055355</v>
      </c>
      <c r="AS14" s="83">
        <f>('Energy demand'!AS$10*'Energy demand'!AS48)</f>
        <v>43.170159988811328</v>
      </c>
      <c r="AT14" s="83">
        <f>('Energy demand'!AT$10*'Energy demand'!AT48)</f>
        <v>44.784819473902516</v>
      </c>
      <c r="AU14" s="83">
        <f>('Energy demand'!AU$10*'Energy demand'!AU48)</f>
        <v>46.118461563448761</v>
      </c>
      <c r="AV14" s="83">
        <f>('Energy demand'!AV$10*'Energy demand'!AV48)</f>
        <v>47.171018438382838</v>
      </c>
      <c r="AW14" s="83">
        <f>('Energy demand'!AW$10*'Energy demand'!AW48)</f>
        <v>47.942426524665592</v>
      </c>
      <c r="AX14" s="83">
        <f>('Energy demand'!AX$10*'Energy demand'!AX48)</f>
        <v>48.43262610372571</v>
      </c>
    </row>
    <row r="15" spans="2:50">
      <c r="E15" s="38" t="s">
        <v>1364</v>
      </c>
      <c r="G15" s="44" t="s">
        <v>1202</v>
      </c>
      <c r="H15"/>
      <c r="I15" s="44"/>
      <c r="J15"/>
      <c r="K15" s="44"/>
      <c r="L15"/>
      <c r="M15" s="44"/>
      <c r="O15" s="83">
        <f>('Energy demand'!O$10*'Energy demand'!O49)</f>
        <v>0</v>
      </c>
      <c r="P15" s="83">
        <f>('Energy demand'!P$10*'Energy demand'!P49)</f>
        <v>0</v>
      </c>
      <c r="Q15" s="83">
        <f>('Energy demand'!Q$10*'Energy demand'!Q49)</f>
        <v>0</v>
      </c>
      <c r="R15" s="83">
        <f>('Energy demand'!R$10*'Energy demand'!R49)</f>
        <v>0</v>
      </c>
      <c r="S15" s="83">
        <f>('Energy demand'!S$10*'Energy demand'!S49)</f>
        <v>0</v>
      </c>
      <c r="T15" s="83">
        <f>('Energy demand'!T$10*'Energy demand'!T49)</f>
        <v>0</v>
      </c>
      <c r="U15" s="83">
        <f>('Energy demand'!U$10*'Energy demand'!U49)</f>
        <v>0</v>
      </c>
      <c r="V15" s="83">
        <f>('Energy demand'!V$10*'Energy demand'!V49)</f>
        <v>0</v>
      </c>
      <c r="W15" s="83">
        <f>('Energy demand'!W$10*'Energy demand'!W49)</f>
        <v>0</v>
      </c>
      <c r="X15" s="83">
        <f>('Energy demand'!X$10*'Energy demand'!X49)</f>
        <v>0</v>
      </c>
      <c r="Y15" s="83">
        <f>('Energy demand'!Y$10*'Energy demand'!Y49)</f>
        <v>0</v>
      </c>
      <c r="Z15" s="83">
        <f>('Energy demand'!Z$10*'Energy demand'!Z49)</f>
        <v>0</v>
      </c>
      <c r="AA15" s="83">
        <f>('Energy demand'!AA$10*'Energy demand'!AA49)</f>
        <v>0</v>
      </c>
      <c r="AB15" s="83">
        <f>('Energy demand'!AB$10*'Energy demand'!AB49)</f>
        <v>0</v>
      </c>
      <c r="AC15" s="83">
        <f>('Energy demand'!AC$10*'Energy demand'!AC49)</f>
        <v>0</v>
      </c>
      <c r="AD15" s="83">
        <f>('Energy demand'!AD$10*'Energy demand'!AD49)</f>
        <v>0</v>
      </c>
      <c r="AE15" s="83">
        <f>('Energy demand'!AE$10*'Energy demand'!AE49)</f>
        <v>0</v>
      </c>
      <c r="AF15" s="83">
        <f>('Energy demand'!AF$10*'Energy demand'!AF49)</f>
        <v>0</v>
      </c>
      <c r="AG15" s="83">
        <f>('Energy demand'!AG$10*'Energy demand'!AG49)</f>
        <v>0</v>
      </c>
      <c r="AH15" s="83">
        <f>('Energy demand'!AH$10*'Energy demand'!AH49)</f>
        <v>0</v>
      </c>
      <c r="AI15" s="83">
        <f>('Energy demand'!AI$10*'Energy demand'!AI49)</f>
        <v>0</v>
      </c>
      <c r="AJ15" s="83">
        <f>('Energy demand'!AJ$10*'Energy demand'!AJ49)</f>
        <v>0</v>
      </c>
      <c r="AK15" s="83">
        <f>('Energy demand'!AK$10*'Energy demand'!AK49)</f>
        <v>0</v>
      </c>
      <c r="AL15" s="83">
        <f>('Energy demand'!AL$10*'Energy demand'!AL49)</f>
        <v>0</v>
      </c>
      <c r="AM15" s="83">
        <f>('Energy demand'!AM$10*'Energy demand'!AM49)</f>
        <v>0</v>
      </c>
      <c r="AN15" s="83">
        <f>('Energy demand'!AN$10*'Energy demand'!AN49)</f>
        <v>0</v>
      </c>
      <c r="AO15" s="83">
        <f>('Energy demand'!AO$10*'Energy demand'!AO49)</f>
        <v>0</v>
      </c>
      <c r="AP15" s="83">
        <f>('Energy demand'!AP$10*'Energy demand'!AP49)</f>
        <v>0</v>
      </c>
      <c r="AQ15" s="83">
        <f>('Energy demand'!AQ$10*'Energy demand'!AQ49)</f>
        <v>0</v>
      </c>
      <c r="AR15" s="83">
        <f>('Energy demand'!AR$10*'Energy demand'!AR49)</f>
        <v>0</v>
      </c>
      <c r="AS15" s="83">
        <f>('Energy demand'!AS$10*'Energy demand'!AS49)</f>
        <v>0</v>
      </c>
      <c r="AT15" s="83">
        <f>('Energy demand'!AT$10*'Energy demand'!AT49)</f>
        <v>0</v>
      </c>
      <c r="AU15" s="83">
        <f>('Energy demand'!AU$10*'Energy demand'!AU49)</f>
        <v>0</v>
      </c>
      <c r="AV15" s="83">
        <f>('Energy demand'!AV$10*'Energy demand'!AV49)</f>
        <v>0</v>
      </c>
      <c r="AW15" s="83">
        <f>('Energy demand'!AW$10*'Energy demand'!AW49)</f>
        <v>0</v>
      </c>
      <c r="AX15" s="83">
        <f>('Energy demand'!AX$10*'Energy demand'!AX49)</f>
        <v>0</v>
      </c>
    </row>
    <row r="16" spans="2:50" s="92" customFormat="1">
      <c r="E16" s="38" t="s">
        <v>779</v>
      </c>
      <c r="F16" s="38"/>
      <c r="G16" s="98" t="s">
        <v>1202</v>
      </c>
      <c r="I16" s="163"/>
      <c r="K16" s="163"/>
      <c r="M16" s="163"/>
      <c r="O16" s="48">
        <f>'Allocation of heat'!E16/10^6</f>
        <v>155.18238082264065</v>
      </c>
      <c r="P16" s="48">
        <f>'Allocation of heat'!F16/10^6</f>
        <v>160.75024879412993</v>
      </c>
      <c r="Q16" s="48">
        <f>'Allocation of heat'!G16/10^6</f>
        <v>166.11233128054965</v>
      </c>
      <c r="R16" s="48">
        <f>'Allocation of heat'!H16/10^6</f>
        <v>171.26862828189968</v>
      </c>
      <c r="S16" s="48">
        <f>'Allocation of heat'!I16/10^6</f>
        <v>176.21913979818027</v>
      </c>
      <c r="T16" s="48">
        <f>'Allocation of heat'!J16/10^6</f>
        <v>217.06667476481945</v>
      </c>
      <c r="U16" s="48">
        <f>'Allocation of heat'!K16/10^6</f>
        <v>251.25969777227968</v>
      </c>
      <c r="V16" s="48">
        <f>'Allocation of heat'!L16/10^6</f>
        <v>282.56354815239109</v>
      </c>
      <c r="W16" s="48">
        <f>'Allocation of heat'!M16/10^6</f>
        <v>311.07717401347611</v>
      </c>
      <c r="X16" s="48">
        <f>'Allocation of heat'!N16/10^6</f>
        <v>336.90513647005201</v>
      </c>
      <c r="Y16" s="48">
        <f>'Allocation of heat'!O16/10^6</f>
        <v>360.16740619834155</v>
      </c>
      <c r="Z16" s="48">
        <f>'Allocation of heat'!P16/10^6</f>
        <v>390.00400103387699</v>
      </c>
      <c r="AA16" s="48">
        <f>'Allocation of heat'!Q16/10^6</f>
        <v>416.19933079170528</v>
      </c>
      <c r="AB16" s="48">
        <f>'Allocation of heat'!R16/10^6</f>
        <v>439.00296647189509</v>
      </c>
      <c r="AC16" s="48">
        <f>'Allocation of heat'!S16/10^6</f>
        <v>458.75995121048265</v>
      </c>
      <c r="AD16" s="48">
        <f>'Allocation of heat'!T16/10^6</f>
        <v>475.72308618459641</v>
      </c>
      <c r="AE16" s="48">
        <f>'Allocation of heat'!U16/10^6</f>
        <v>497.35027798687963</v>
      </c>
      <c r="AF16" s="48">
        <f>'Allocation of heat'!V16/10^6</f>
        <v>515.8105448424792</v>
      </c>
      <c r="AG16" s="48">
        <f>'Allocation of heat'!W16/10^6</f>
        <v>531.98570021445823</v>
      </c>
      <c r="AH16" s="48">
        <f>'Allocation of heat'!X16/10^6</f>
        <v>542.64711694774894</v>
      </c>
      <c r="AI16" s="48">
        <f>'Allocation of heat'!Y16/10^6</f>
        <v>551.08233425833077</v>
      </c>
      <c r="AJ16" s="48">
        <f>'Allocation of heat'!Z16/10^6</f>
        <v>558.27160471189336</v>
      </c>
      <c r="AK16" s="48">
        <f>'Allocation of heat'!AA16/10^6</f>
        <v>563.36231436091475</v>
      </c>
      <c r="AL16" s="48">
        <f>'Allocation of heat'!AB16/10^6</f>
        <v>566.35997638178242</v>
      </c>
      <c r="AM16" s="48">
        <f>'Allocation of heat'!AC16/10^6</f>
        <v>568.37299189639305</v>
      </c>
      <c r="AN16" s="48">
        <f>'Allocation of heat'!AD16/10^6</f>
        <v>568.52669070186823</v>
      </c>
      <c r="AO16" s="48">
        <f>'Allocation of heat'!AE16/10^6</f>
        <v>574.43468292135753</v>
      </c>
      <c r="AP16" s="48">
        <f>'Allocation of heat'!AF16/10^6</f>
        <v>578.76825283133621</v>
      </c>
      <c r="AQ16" s="48">
        <f>'Allocation of heat'!AG16/10^6</f>
        <v>581.52998248883307</v>
      </c>
      <c r="AR16" s="48">
        <f>'Allocation of heat'!AH16/10^6</f>
        <v>582.72239146438164</v>
      </c>
      <c r="AS16" s="48">
        <f>'Allocation of heat'!AI16/10^6</f>
        <v>582.34743428524757</v>
      </c>
      <c r="AT16" s="48">
        <f>'Allocation of heat'!AJ16/10^6</f>
        <v>560.07628148932668</v>
      </c>
      <c r="AU16" s="48">
        <f>'Allocation of heat'!AK16/10^6</f>
        <v>537.85283565483587</v>
      </c>
      <c r="AV16" s="48">
        <f>'Allocation of heat'!AL16/10^6</f>
        <v>515.67288640766265</v>
      </c>
      <c r="AW16" s="48">
        <f>'Allocation of heat'!AM16/10^6</f>
        <v>493.53224069995309</v>
      </c>
      <c r="AX16" s="48">
        <f>'Allocation of heat'!AN16/10^6</f>
        <v>471.42672055142566</v>
      </c>
    </row>
    <row r="17" spans="4:51" s="92" customFormat="1">
      <c r="E17" s="38" t="s">
        <v>211</v>
      </c>
      <c r="F17" s="38"/>
      <c r="G17" s="98" t="s">
        <v>1202</v>
      </c>
      <c r="I17" s="163"/>
      <c r="K17" s="163"/>
      <c r="M17" s="163"/>
      <c r="O17" s="83">
        <f>('Energy demand'!O$10*'Energy demand'!O50)</f>
        <v>0</v>
      </c>
      <c r="P17" s="83">
        <f>('Energy demand'!P$10*'Energy demand'!P50)</f>
        <v>0</v>
      </c>
      <c r="Q17" s="83">
        <f>('Energy demand'!Q$10*'Energy demand'!Q50)</f>
        <v>0</v>
      </c>
      <c r="R17" s="83">
        <f>('Energy demand'!R$10*'Energy demand'!R50)</f>
        <v>0</v>
      </c>
      <c r="S17" s="83">
        <f>('Energy demand'!S$10*'Energy demand'!S50)</f>
        <v>0</v>
      </c>
      <c r="T17" s="83">
        <f>('Energy demand'!T$10*'Energy demand'!T50)</f>
        <v>0</v>
      </c>
      <c r="U17" s="83">
        <f>('Energy demand'!U$10*'Energy demand'!U50)</f>
        <v>0</v>
      </c>
      <c r="V17" s="83">
        <f>('Energy demand'!V$10*'Energy demand'!V50)</f>
        <v>0</v>
      </c>
      <c r="W17" s="83">
        <f>('Energy demand'!W$10*'Energy demand'!W50)</f>
        <v>0</v>
      </c>
      <c r="X17" s="83">
        <f>('Energy demand'!X$10*'Energy demand'!X50)</f>
        <v>0</v>
      </c>
      <c r="Y17" s="83">
        <f>('Energy demand'!Y$10*'Energy demand'!Y50)</f>
        <v>0</v>
      </c>
      <c r="Z17" s="83">
        <f>('Energy demand'!Z$10*'Energy demand'!Z50)</f>
        <v>0</v>
      </c>
      <c r="AA17" s="83">
        <f>('Energy demand'!AA$10*'Energy demand'!AA50)</f>
        <v>29.185513954582596</v>
      </c>
      <c r="AB17" s="83">
        <f>('Energy demand'!AB$10*'Energy demand'!AB50)</f>
        <v>50.96473026881619</v>
      </c>
      <c r="AC17" s="83">
        <f>('Energy demand'!AC$10*'Energy demand'!AC50)</f>
        <v>67.821070902727953</v>
      </c>
      <c r="AD17" s="83">
        <f>('Energy demand'!AD$10*'Energy demand'!AD50)</f>
        <v>81.41812641388681</v>
      </c>
      <c r="AE17" s="83">
        <f>('Energy demand'!AE$10*'Energy demand'!AE50)</f>
        <v>109.24993493759396</v>
      </c>
      <c r="AF17" s="83">
        <f>('Energy demand'!AF$10*'Energy demand'!AF50)</f>
        <v>129.59535904470667</v>
      </c>
      <c r="AG17" s="83">
        <f>('Energy demand'!AG$10*'Energy demand'!AG50)</f>
        <v>142.51399984127787</v>
      </c>
      <c r="AH17" s="83">
        <f>('Energy demand'!AH$10*'Energy demand'!AH50)</f>
        <v>148.2949704051918</v>
      </c>
      <c r="AI17" s="83">
        <f>('Energy demand'!AI$10*'Energy demand'!AI50)</f>
        <v>126.07897834917327</v>
      </c>
      <c r="AJ17" s="83">
        <f>('Energy demand'!AJ$10*'Energy demand'!AJ50)</f>
        <v>97.027457872375919</v>
      </c>
      <c r="AK17" s="83">
        <f>('Energy demand'!AK$10*'Energy demand'!AK50)</f>
        <v>75.719987803067681</v>
      </c>
      <c r="AL17" s="83">
        <f>('Energy demand'!AL$10*'Energy demand'!AL50)</f>
        <v>61.055669390027703</v>
      </c>
      <c r="AM17" s="83">
        <f>('Energy demand'!AM$10*'Energy demand'!AM50)</f>
        <v>55.818820524826165</v>
      </c>
      <c r="AN17" s="83">
        <f>('Energy demand'!AN$10*'Energy demand'!AN50)</f>
        <v>50.697429740848293</v>
      </c>
      <c r="AO17" s="83">
        <f>('Energy demand'!AO$10*'Energy demand'!AO50)</f>
        <v>45.387373835922773</v>
      </c>
      <c r="AP17" s="83">
        <f>('Energy demand'!AP$10*'Energy demand'!AP50)</f>
        <v>40.21152262110504</v>
      </c>
      <c r="AQ17" s="83">
        <f>('Energy demand'!AQ$10*'Energy demand'!AQ50)</f>
        <v>35.139724402189188</v>
      </c>
      <c r="AR17" s="83">
        <f>('Energy demand'!AR$10*'Energy demand'!AR50)</f>
        <v>30.141729561331008</v>
      </c>
      <c r="AS17" s="83">
        <f>('Energy demand'!AS$10*'Energy demand'!AS50)</f>
        <v>25.187213210808437</v>
      </c>
      <c r="AT17" s="83">
        <f>('Energy demand'!AT$10*'Energy demand'!AT50)</f>
        <v>20.598707233562138</v>
      </c>
      <c r="AU17" s="83">
        <f>('Energy demand'!AU$10*'Energy demand'!AU50)</f>
        <v>15.795334961926935</v>
      </c>
      <c r="AV17" s="83">
        <f>('Energy demand'!AV$10*'Energy demand'!AV50)</f>
        <v>10.767575784767427</v>
      </c>
      <c r="AW17" s="83">
        <f>('Energy demand'!AW$10*'Energy demand'!AW50)</f>
        <v>5.505744643935941</v>
      </c>
      <c r="AX17" s="83">
        <f>('Energy demand'!AX$10*'Energy demand'!AX50)</f>
        <v>0</v>
      </c>
    </row>
    <row r="18" spans="4:51">
      <c r="O18" s="74"/>
      <c r="P18" s="75"/>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92"/>
    </row>
    <row r="19" spans="4:51">
      <c r="D19" s="38" t="s">
        <v>722</v>
      </c>
      <c r="O19" s="74"/>
      <c r="P19" s="75"/>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92"/>
    </row>
    <row r="20" spans="4:51">
      <c r="O20" s="74"/>
      <c r="P20" s="75"/>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92"/>
    </row>
    <row r="21" spans="4:51">
      <c r="E21" s="38" t="s">
        <v>774</v>
      </c>
      <c r="G21" s="44" t="s">
        <v>1202</v>
      </c>
      <c r="H21"/>
      <c r="I21" s="44"/>
      <c r="J21"/>
      <c r="K21" s="44"/>
      <c r="L21"/>
      <c r="M21" s="44"/>
      <c r="O21" s="321">
        <f>'Energy demand'!O$17*'Energy demand'!O63</f>
        <v>8834.0201119967496</v>
      </c>
      <c r="P21" s="321">
        <f>'Energy demand'!P$17*'Energy demand'!P63</f>
        <v>8851.4748698794174</v>
      </c>
      <c r="Q21" s="321">
        <f>'Energy demand'!Q$17*'Energy demand'!Q63</f>
        <v>8868.8288592087993</v>
      </c>
      <c r="R21" s="321">
        <f>'Energy demand'!R$17*'Energy demand'!R63</f>
        <v>8886.0939461869511</v>
      </c>
      <c r="S21" s="321">
        <f>'Energy demand'!S$17*'Energy demand'!S63</f>
        <v>8883.8647029945041</v>
      </c>
      <c r="T21" s="321">
        <f>'Energy demand'!T$17*'Energy demand'!T63</f>
        <v>8819.3741725002492</v>
      </c>
      <c r="U21" s="321">
        <f>'Energy demand'!U$17*'Energy demand'!U63</f>
        <v>8704.6775870979163</v>
      </c>
      <c r="V21" s="321">
        <f>'Energy demand'!V$17*'Energy demand'!V63</f>
        <v>8503.0321490754613</v>
      </c>
      <c r="W21" s="321">
        <f>'Energy demand'!W$17*'Energy demand'!W63</f>
        <v>8134.3128661100573</v>
      </c>
      <c r="X21" s="321">
        <f>'Energy demand'!X$17*'Energy demand'!X63</f>
        <v>7557.3974512939458</v>
      </c>
      <c r="Y21" s="321">
        <f>'Energy demand'!Y$17*'Energy demand'!Y63</f>
        <v>6902.4034966103336</v>
      </c>
      <c r="Z21" s="321">
        <f>'Energy demand'!Z$17*'Energy demand'!Z63</f>
        <v>6141.9115422014474</v>
      </c>
      <c r="AA21" s="321">
        <f>'Energy demand'!AA$17*'Energy demand'!AA63</f>
        <v>5277.9222343360043</v>
      </c>
      <c r="AB21" s="321">
        <f>'Energy demand'!AB$17*'Energy demand'!AB63</f>
        <v>4568.0214273301581</v>
      </c>
      <c r="AC21" s="321">
        <f>'Energy demand'!AC$17*'Energy demand'!AC63</f>
        <v>3886.1896065247061</v>
      </c>
      <c r="AD21" s="321">
        <f>'Energy demand'!AD$17*'Energy demand'!AD63</f>
        <v>3275.9404327139232</v>
      </c>
      <c r="AE21" s="321">
        <f>'Energy demand'!AE$17*'Energy demand'!AE63</f>
        <v>2739.7791766986647</v>
      </c>
      <c r="AF21" s="321">
        <f>'Energy demand'!AF$17*'Energy demand'!AF63</f>
        <v>2285.1231942816453</v>
      </c>
      <c r="AG21" s="321">
        <f>'Energy demand'!AG$17*'Energy demand'!AG63</f>
        <v>1899.3475973984378</v>
      </c>
      <c r="AH21" s="321">
        <f>'Energy demand'!AH$17*'Energy demand'!AH63</f>
        <v>1570.7636932276557</v>
      </c>
      <c r="AI21" s="321">
        <f>'Energy demand'!AI$17*'Energy demand'!AI63</f>
        <v>1344.0454943967859</v>
      </c>
      <c r="AJ21" s="321">
        <f>'Energy demand'!AJ$17*'Energy demand'!AJ63</f>
        <v>1044.2891395789416</v>
      </c>
      <c r="AK21" s="321">
        <f>'Energy demand'!AK$17*'Energy demand'!AK63</f>
        <v>827.15876994092014</v>
      </c>
      <c r="AL21" s="321">
        <f>'Energy demand'!AL$17*'Energy demand'!AL63</f>
        <v>677.36027422341272</v>
      </c>
      <c r="AM21" s="321">
        <f>'Energy demand'!AM$17*'Energy demand'!AM63</f>
        <v>624.06532886109687</v>
      </c>
      <c r="AN21" s="321">
        <f>'Energy demand'!AN$17*'Energy demand'!AN63</f>
        <v>571.01525018608379</v>
      </c>
      <c r="AO21" s="321">
        <f>'Energy demand'!AO$17*'Energy demand'!AO63</f>
        <v>511.18250171370926</v>
      </c>
      <c r="AP21" s="321">
        <f>'Energy demand'!AP$17*'Energy demand'!AP63</f>
        <v>452.61813711236385</v>
      </c>
      <c r="AQ21" s="321">
        <f>'Energy demand'!AQ$17*'Energy demand'!AQ63</f>
        <v>395.07708765553781</v>
      </c>
      <c r="AR21" s="321">
        <f>'Energy demand'!AR$17*'Energy demand'!AR63</f>
        <v>338.31245035178614</v>
      </c>
      <c r="AS21" s="321">
        <f>'Energy demand'!AS$17*'Energy demand'!AS63</f>
        <v>282.07561160668661</v>
      </c>
      <c r="AT21" s="321">
        <f>'Energy demand'!AT$17*'Energy demand'!AT63</f>
        <v>229.03181066140459</v>
      </c>
      <c r="AU21" s="321">
        <f>'Energy demand'!AU$17*'Energy demand'!AU63</f>
        <v>174.38539777843016</v>
      </c>
      <c r="AV21" s="321">
        <f>'Energy demand'!AV$17*'Energy demand'!AV63</f>
        <v>118.05388647640081</v>
      </c>
      <c r="AW21" s="321">
        <f>'Energy demand'!AW$17*'Energy demand'!AW63</f>
        <v>59.953648663632791</v>
      </c>
      <c r="AX21" s="321">
        <f>'Energy demand'!AX$17*'Energy demand'!AX63</f>
        <v>0</v>
      </c>
      <c r="AY21" s="92"/>
    </row>
    <row r="22" spans="4:51">
      <c r="E22" s="38" t="s">
        <v>1362</v>
      </c>
      <c r="G22" s="44" t="s">
        <v>1202</v>
      </c>
      <c r="H22"/>
      <c r="I22" s="44"/>
      <c r="J22"/>
      <c r="K22" s="44"/>
      <c r="L22"/>
      <c r="M22" s="44"/>
      <c r="O22" s="321">
        <f>'Energy demand'!O137</f>
        <v>879.50852654965911</v>
      </c>
      <c r="P22" s="321">
        <f>'Energy demand'!P137</f>
        <v>864.34489103342787</v>
      </c>
      <c r="Q22" s="321">
        <f>'Energy demand'!Q137</f>
        <v>855.45616360833731</v>
      </c>
      <c r="R22" s="321">
        <f>'Energy demand'!R137</f>
        <v>846.7693562827078</v>
      </c>
      <c r="S22" s="321">
        <f>'Energy demand'!S137</f>
        <v>838.28269132252024</v>
      </c>
      <c r="T22" s="321">
        <f>'Energy demand'!T137</f>
        <v>744.35068542422766</v>
      </c>
      <c r="U22" s="321">
        <f>'Energy demand'!U137</f>
        <v>675.32562221545402</v>
      </c>
      <c r="V22" s="321">
        <f>'Energy demand'!V137</f>
        <v>576.47992363873072</v>
      </c>
      <c r="W22" s="321">
        <f>'Energy demand'!W137</f>
        <v>497.76703724058933</v>
      </c>
      <c r="X22" s="321">
        <f>'Energy demand'!X137</f>
        <v>433.15196925356662</v>
      </c>
      <c r="Y22" s="321">
        <f>'Energy demand'!Y137</f>
        <v>378.8440440227921</v>
      </c>
      <c r="Z22" s="321">
        <f>'Energy demand'!Z137</f>
        <v>334.28619812246035</v>
      </c>
      <c r="AA22" s="321">
        <f>'Energy demand'!AA137</f>
        <v>292.85403553826143</v>
      </c>
      <c r="AB22" s="321">
        <f>'Energy demand'!AB137</f>
        <v>255.92302585408393</v>
      </c>
      <c r="AC22" s="321">
        <f>'Energy demand'!AC137</f>
        <v>222.81582781816084</v>
      </c>
      <c r="AD22" s="321">
        <f>'Energy demand'!AD137</f>
        <v>193.00185826042849</v>
      </c>
      <c r="AE22" s="321">
        <f>'Energy demand'!AE137</f>
        <v>176.49297020456993</v>
      </c>
      <c r="AF22" s="321">
        <f>'Energy demand'!AF137</f>
        <v>162.03807762765524</v>
      </c>
      <c r="AG22" s="321">
        <f>'Energy demand'!AG137</f>
        <v>149.37469676984719</v>
      </c>
      <c r="AH22" s="321">
        <f>'Energy demand'!AH137</f>
        <v>138.28347273731754</v>
      </c>
      <c r="AI22" s="321">
        <f>'Energy demand'!AI137</f>
        <v>130.19624808529829</v>
      </c>
      <c r="AJ22" s="321">
        <f>'Energy demand'!AJ137</f>
        <v>114.95286460364792</v>
      </c>
      <c r="AK22" s="321">
        <f>'Energy demand'!AK137</f>
        <v>101.47485656945753</v>
      </c>
      <c r="AL22" s="321">
        <f>'Energy demand'!AL137</f>
        <v>89.502672189692007</v>
      </c>
      <c r="AM22" s="321">
        <f>'Energy demand'!AM137</f>
        <v>78.808095508679401</v>
      </c>
      <c r="AN22" s="321">
        <f>'Energy demand'!AN137</f>
        <v>69.189089200470377</v>
      </c>
      <c r="AO22" s="321">
        <f>'Energy demand'!AO137</f>
        <v>60.465648914632411</v>
      </c>
      <c r="AP22" s="321">
        <f>'Energy demand'!AP137</f>
        <v>52.476441602201369</v>
      </c>
      <c r="AQ22" s="321">
        <f>'Energy demand'!AQ137</f>
        <v>45.076057440970914</v>
      </c>
      <c r="AR22" s="321">
        <f>'Energy demand'!AR137</f>
        <v>38.132746414093354</v>
      </c>
      <c r="AS22" s="321">
        <f>'Energy demand'!AS137</f>
        <v>31.526540967630471</v>
      </c>
      <c r="AT22" s="321">
        <f>'Energy demand'!AT137</f>
        <v>25.147688679153401</v>
      </c>
      <c r="AU22" s="321">
        <f>'Energy demand'!AU137</f>
        <v>18.895335718604386</v>
      </c>
      <c r="AV22" s="321">
        <f>'Energy demand'!AV137</f>
        <v>12.676414617574858</v>
      </c>
      <c r="AW22" s="321">
        <f>'Energy demand'!AW137</f>
        <v>6.4046995753687117</v>
      </c>
      <c r="AX22" s="321">
        <f>'Energy demand'!AX137</f>
        <v>0</v>
      </c>
      <c r="AY22" s="92"/>
    </row>
    <row r="23" spans="4:51">
      <c r="E23" s="38" t="s">
        <v>776</v>
      </c>
      <c r="G23" s="44" t="s">
        <v>1202</v>
      </c>
      <c r="H23"/>
      <c r="I23" s="44"/>
      <c r="J23"/>
      <c r="K23" s="44" t="s">
        <v>1363</v>
      </c>
      <c r="L23"/>
      <c r="M23" s="44"/>
      <c r="O23" s="321">
        <f>'Energy demand'!O$17*'Energy demand'!O64</f>
        <v>1682.6704975231905</v>
      </c>
      <c r="P23" s="321">
        <f>'Energy demand'!P$17*'Energy demand'!P64</f>
        <v>1685.9952133103654</v>
      </c>
      <c r="Q23" s="321">
        <f>'Energy demand'!Q$17*'Energy demand'!Q64</f>
        <v>1689.3007350873902</v>
      </c>
      <c r="R23" s="321">
        <f>'Energy demand'!R$17*'Energy demand'!R64</f>
        <v>1692.5893230832289</v>
      </c>
      <c r="S23" s="321">
        <f>'Energy demand'!S$17*'Energy demand'!S64</f>
        <v>1692.1647053322863</v>
      </c>
      <c r="T23" s="321">
        <f>'Energy demand'!T$17*'Energy demand'!T64</f>
        <v>1679.8807947619523</v>
      </c>
      <c r="U23" s="321">
        <f>'Energy demand'!U$17*'Energy demand'!U64</f>
        <v>1658.0338261138882</v>
      </c>
      <c r="V23" s="321">
        <f>'Energy demand'!V$17*'Energy demand'!V64</f>
        <v>1619.6251712524688</v>
      </c>
      <c r="W23" s="321">
        <f>'Energy demand'!W$17*'Energy demand'!W64</f>
        <v>1549.3929268781062</v>
      </c>
      <c r="X23" s="321">
        <f>'Energy demand'!X$17*'Energy demand'!X64</f>
        <v>1439.5042764369421</v>
      </c>
      <c r="Y23" s="321">
        <f>'Energy demand'!Y$17*'Energy demand'!Y64</f>
        <v>1314.7435231638733</v>
      </c>
      <c r="Z23" s="321">
        <f>'Energy demand'!Z$17*'Energy demand'!Z64</f>
        <v>1169.8879128002754</v>
      </c>
      <c r="AA23" s="321">
        <f>'Energy demand'!AA$17*'Energy demand'!AA64</f>
        <v>1011.3359698464923</v>
      </c>
      <c r="AB23" s="321">
        <f>'Energy demand'!AB$17*'Energy demand'!AB64</f>
        <v>880.57820007231931</v>
      </c>
      <c r="AC23" s="321">
        <f>'Energy demand'!AC$17*'Energy demand'!AC64</f>
        <v>753.67977571551364</v>
      </c>
      <c r="AD23" s="321">
        <f>'Energy demand'!AD$17*'Energy demand'!AD64</f>
        <v>639.20165319634407</v>
      </c>
      <c r="AE23" s="321">
        <f>'Energy demand'!AE$17*'Energy demand'!AE64</f>
        <v>540.98657577728216</v>
      </c>
      <c r="AF23" s="321">
        <f>'Energy demand'!AF$17*'Energy demand'!AF64</f>
        <v>456.67984557292152</v>
      </c>
      <c r="AG23" s="321">
        <f>'Energy demand'!AG$17*'Energy demand'!AG64</f>
        <v>384.23928069944196</v>
      </c>
      <c r="AH23" s="321">
        <f>'Energy demand'!AH$17*'Energy demand'!AH64</f>
        <v>321.71299400464022</v>
      </c>
      <c r="AI23" s="321">
        <f>'Energy demand'!AI$17*'Energy demand'!AI64</f>
        <v>275.27813505310513</v>
      </c>
      <c r="AJ23" s="321">
        <f>'Energy demand'!AJ$17*'Energy demand'!AJ64</f>
        <v>309.36807953293203</v>
      </c>
      <c r="AK23" s="321">
        <f>'Energy demand'!AK$17*'Energy demand'!AK64</f>
        <v>332.31003400675047</v>
      </c>
      <c r="AL23" s="321">
        <f>'Energy demand'!AL$17*'Energy demand'!AL64</f>
        <v>355.50142400358322</v>
      </c>
      <c r="AM23" s="321">
        <f>'Energy demand'!AM$17*'Energy demand'!AM64</f>
        <v>418.30939513102436</v>
      </c>
      <c r="AN23" s="321">
        <f>'Energy demand'!AN$17*'Energy demand'!AN64</f>
        <v>482.42455852894949</v>
      </c>
      <c r="AO23" s="321">
        <f>'Energy demand'!AO$17*'Energy demand'!AO64</f>
        <v>540.93386424731136</v>
      </c>
      <c r="AP23" s="321">
        <f>'Energy demand'!AP$17*'Energy demand'!AP64</f>
        <v>599.66688672721034</v>
      </c>
      <c r="AQ23" s="321">
        <f>'Energy demand'!AQ$17*'Energy demand'!AQ64</f>
        <v>658.89529650693169</v>
      </c>
      <c r="AR23" s="321">
        <f>'Energy demand'!AR$17*'Energy demand'!AR64</f>
        <v>718.89230361490672</v>
      </c>
      <c r="AS23" s="321">
        <f>'Energy demand'!AS$17*'Energy demand'!AS64</f>
        <v>779.93256665443312</v>
      </c>
      <c r="AT23" s="321">
        <f>'Energy demand'!AT$17*'Energy demand'!AT64</f>
        <v>853.1522900981663</v>
      </c>
      <c r="AU23" s="321">
        <f>'Energy demand'!AU$17*'Energy demand'!AU64</f>
        <v>928.62679820567064</v>
      </c>
      <c r="AV23" s="321">
        <f>'Energy demand'!AV$17*'Energy demand'!AV64</f>
        <v>1006.4501842458136</v>
      </c>
      <c r="AW23" s="321">
        <f>'Energy demand'!AW$17*'Energy demand'!AW64</f>
        <v>1086.7174412148509</v>
      </c>
      <c r="AX23" s="321">
        <f>'Energy demand'!AX$17*'Energy demand'!AX64</f>
        <v>1169.5243984729907</v>
      </c>
      <c r="AY23" s="92"/>
    </row>
    <row r="24" spans="4:51">
      <c r="E24" s="38" t="s">
        <v>346</v>
      </c>
      <c r="G24" s="44" t="s">
        <v>1202</v>
      </c>
      <c r="H24"/>
      <c r="I24" s="44"/>
      <c r="J24"/>
      <c r="K24" s="44"/>
      <c r="L24"/>
      <c r="M24" s="44"/>
      <c r="O24" s="83">
        <f>('Energy demand'!O$17*'Energy demand'!O65)</f>
        <v>0</v>
      </c>
      <c r="P24" s="83">
        <f>('Energy demand'!P$17*'Energy demand'!P65)</f>
        <v>0</v>
      </c>
      <c r="Q24" s="83">
        <f>('Energy demand'!Q$17*'Energy demand'!Q65)</f>
        <v>0</v>
      </c>
      <c r="R24" s="83">
        <f>('Energy demand'!R$17*'Energy demand'!R65)</f>
        <v>0</v>
      </c>
      <c r="S24" s="83">
        <f>('Energy demand'!S$17*'Energy demand'!S65)</f>
        <v>0</v>
      </c>
      <c r="T24" s="83">
        <f>('Energy demand'!T$17*'Energy demand'!T65)</f>
        <v>10.430873699779326</v>
      </c>
      <c r="U24" s="83">
        <f>('Energy demand'!U$17*'Energy demand'!U65)</f>
        <v>44.991120417272981</v>
      </c>
      <c r="V24" s="83">
        <f>('Energy demand'!V$17*'Energy demand'!V65)</f>
        <v>136.00007864947699</v>
      </c>
      <c r="W24" s="83">
        <f>('Energy demand'!W$17*'Energy demand'!W65)</f>
        <v>285.19765017738558</v>
      </c>
      <c r="X24" s="83">
        <f>('Energy demand'!X$17*'Energy demand'!X65)</f>
        <v>519.35242583065349</v>
      </c>
      <c r="Y24" s="83">
        <f>('Energy demand'!Y$17*'Energy demand'!Y65)</f>
        <v>807.5124580430986</v>
      </c>
      <c r="Z24" s="83">
        <f>('Energy demand'!Z$17*'Energy demand'!Z65)</f>
        <v>1158.9798576888065</v>
      </c>
      <c r="AA24" s="83">
        <f>('Energy demand'!AA$17*'Energy demand'!AA65)</f>
        <v>1550.9243108775056</v>
      </c>
      <c r="AB24" s="83">
        <f>('Energy demand'!AB$17*'Energy demand'!AB65)</f>
        <v>1925.4505053337596</v>
      </c>
      <c r="AC24" s="83">
        <f>('Energy demand'!AC$17*'Energy demand'!AC65)</f>
        <v>2227.5050923316862</v>
      </c>
      <c r="AD24" s="83">
        <f>('Energy demand'!AD$17*'Energy demand'!AD65)</f>
        <v>2462.0631238016335</v>
      </c>
      <c r="AE24" s="83">
        <f>('Energy demand'!AE$17*'Energy demand'!AE65)</f>
        <v>2659.5485004173324</v>
      </c>
      <c r="AF24" s="83">
        <f>('Energy demand'!AF$17*'Energy demand'!AF65)</f>
        <v>2846.6767171510942</v>
      </c>
      <c r="AG24" s="83">
        <f>('Energy demand'!AG$17*'Energy demand'!AG65)</f>
        <v>3034.3998706378989</v>
      </c>
      <c r="AH24" s="83">
        <f>('Energy demand'!AH$17*'Energy demand'!AH65)</f>
        <v>3233.6212481331963</v>
      </c>
      <c r="AI24" s="83">
        <f>('Energy demand'!AI$17*'Energy demand'!AI65)</f>
        <v>3532.8604157630057</v>
      </c>
      <c r="AJ24" s="83">
        <f>('Energy demand'!AJ$17*'Energy demand'!AJ65)</f>
        <v>3832.3050710204957</v>
      </c>
      <c r="AK24" s="83">
        <f>('Energy demand'!AK$17*'Energy demand'!AK65)</f>
        <v>4060.8424565008859</v>
      </c>
      <c r="AL24" s="83">
        <f>('Energy demand'!AL$17*'Energy demand'!AL65)</f>
        <v>4218.6835737055644</v>
      </c>
      <c r="AM24" s="83">
        <f>('Energy demand'!AM$17*'Energy demand'!AM65)</f>
        <v>4234.9730940445343</v>
      </c>
      <c r="AN24" s="83">
        <f>('Energy demand'!AN$17*'Energy demand'!AN65)</f>
        <v>4251.4040586160818</v>
      </c>
      <c r="AO24" s="83">
        <f>('Energy demand'!AO$17*'Energy demand'!AO65)</f>
        <v>4267.9460107532886</v>
      </c>
      <c r="AP24" s="83">
        <f>('Energy demand'!AP$17*'Energy demand'!AP65)</f>
        <v>4284.5918604328381</v>
      </c>
      <c r="AQ24" s="83">
        <f>('Energy demand'!AQ$17*'Energy demand'!AQ65)</f>
        <v>4301.3350483728746</v>
      </c>
      <c r="AR24" s="83">
        <f>('Energy demand'!AR$17*'Energy demand'!AR65)</f>
        <v>4318.1694969400824</v>
      </c>
      <c r="AS24" s="83">
        <f>('Energy demand'!AS$17*'Energy demand'!AS65)</f>
        <v>4335.0895664049995</v>
      </c>
      <c r="AT24" s="83">
        <f>('Energy demand'!AT$17*'Energy demand'!AT65)</f>
        <v>4352.0900158778877</v>
      </c>
      <c r="AU24" s="83">
        <f>('Energy demand'!AU$17*'Energy demand'!AU65)</f>
        <v>4369.1659683511489</v>
      </c>
      <c r="AV24" s="83">
        <f>('Energy demand'!AV$17*'Energy demand'!AV65)</f>
        <v>4386.3128793532724</v>
      </c>
      <c r="AW24" s="83">
        <f>('Energy demand'!AW$17*'Energy demand'!AW65)</f>
        <v>4403.5265087864036</v>
      </c>
      <c r="AX24" s="83">
        <f>('Energy demand'!AX$17*'Energy demand'!AX65)</f>
        <v>4420.8028955765431</v>
      </c>
      <c r="AY24" s="92"/>
    </row>
    <row r="25" spans="4:51">
      <c r="E25" s="38" t="s">
        <v>219</v>
      </c>
      <c r="G25" s="44" t="s">
        <v>1202</v>
      </c>
      <c r="H25"/>
      <c r="I25" s="44"/>
      <c r="J25"/>
      <c r="K25" s="44"/>
      <c r="L25"/>
      <c r="M25" s="44"/>
      <c r="O25" s="83">
        <f>('Energy demand'!O$17*'Energy demand'!O66)</f>
        <v>0</v>
      </c>
      <c r="P25" s="83">
        <f>('Energy demand'!P$17*'Energy demand'!P66)</f>
        <v>0</v>
      </c>
      <c r="Q25" s="83">
        <f>('Energy demand'!Q$17*'Energy demand'!Q66)</f>
        <v>0</v>
      </c>
      <c r="R25" s="83">
        <f>('Energy demand'!R$17*'Energy demand'!R66)</f>
        <v>0</v>
      </c>
      <c r="S25" s="83">
        <f>('Energy demand'!S$17*'Energy demand'!S66)</f>
        <v>0</v>
      </c>
      <c r="T25" s="83">
        <f>('Energy demand'!T$17*'Energy demand'!T66)</f>
        <v>0.80953776966316926</v>
      </c>
      <c r="U25" s="83">
        <f>('Energy demand'!U$17*'Energy demand'!U66)</f>
        <v>2.9659358255293391</v>
      </c>
      <c r="V25" s="83">
        <f>('Energy demand'!V$17*'Energy demand'!V66)</f>
        <v>5.0982392395313001</v>
      </c>
      <c r="W25" s="83">
        <f>('Energy demand'!W$17*'Energy demand'!W66)</f>
        <v>7.1653296780315454</v>
      </c>
      <c r="X25" s="83">
        <f>('Energy demand'!X$17*'Energy demand'!X66)</f>
        <v>9.1185233747909837</v>
      </c>
      <c r="Y25" s="83">
        <f>('Energy demand'!Y$17*'Energy demand'!Y66)</f>
        <v>10.976347090801557</v>
      </c>
      <c r="Z25" s="83">
        <f>('Energy demand'!Z$17*'Energy demand'!Z66)</f>
        <v>12.502578292539326</v>
      </c>
      <c r="AA25" s="83">
        <f>('Energy demand'!AA$17*'Energy demand'!AA66)</f>
        <v>12.777329809127844</v>
      </c>
      <c r="AB25" s="83">
        <f>('Energy demand'!AB$17*'Energy demand'!AB66)</f>
        <v>13.136666580500243</v>
      </c>
      <c r="AC25" s="83">
        <f>('Energy demand'!AC$17*'Energy demand'!AC66)</f>
        <v>13.466635504577932</v>
      </c>
      <c r="AD25" s="83">
        <f>('Energy demand'!AD$17*'Energy demand'!AD66)</f>
        <v>13.79981853020573</v>
      </c>
      <c r="AE25" s="83">
        <f>('Energy demand'!AE$17*'Energy demand'!AE66)</f>
        <v>15.499358261617108</v>
      </c>
      <c r="AF25" s="83">
        <f>('Energy demand'!AF$17*'Energy demand'!AF66)</f>
        <v>18.419167441338498</v>
      </c>
      <c r="AG25" s="83">
        <f>('Energy demand'!AG$17*'Energy demand'!AG66)</f>
        <v>22.498665936889243</v>
      </c>
      <c r="AH25" s="83">
        <f>('Energy demand'!AH$17*'Energy demand'!AH66)</f>
        <v>27.761085680388977</v>
      </c>
      <c r="AI25" s="83">
        <f>('Energy demand'!AI$17*'Energy demand'!AI66)</f>
        <v>34.463864842445496</v>
      </c>
      <c r="AJ25" s="83">
        <f>('Energy demand'!AJ$17*'Energy demand'!AJ66)</f>
        <v>41.373991097289085</v>
      </c>
      <c r="AK25" s="83">
        <f>('Energy demand'!AK$17*'Energy demand'!AK66)</f>
        <v>43.42444542900116</v>
      </c>
      <c r="AL25" s="83">
        <f>('Energy demand'!AL$17*'Energy demand'!AL66)</f>
        <v>45.682447560318579</v>
      </c>
      <c r="AM25" s="83">
        <f>('Energy demand'!AM$17*'Energy demand'!AM66)</f>
        <v>48.148419304763181</v>
      </c>
      <c r="AN25" s="83">
        <f>('Energy demand'!AN$17*'Energy demand'!AN66)</f>
        <v>50.822787448093337</v>
      </c>
      <c r="AO25" s="83">
        <f>('Energy demand'!AO$17*'Energy demand'!AO66)</f>
        <v>53.293807544472273</v>
      </c>
      <c r="AP25" s="83">
        <f>('Energy demand'!AP$17*'Energy demand'!AP66)</f>
        <v>55.561060884649777</v>
      </c>
      <c r="AQ25" s="83">
        <f>('Energy demand'!AQ$17*'Energy demand'!AQ66)</f>
        <v>57.624131188766448</v>
      </c>
      <c r="AR25" s="83">
        <f>('Energy demand'!AR$17*'Energy demand'!AR66)</f>
        <v>59.482604629231673</v>
      </c>
      <c r="AS25" s="83">
        <f>('Energy demand'!AS$17*'Energy demand'!AS66)</f>
        <v>61.136069855406028</v>
      </c>
      <c r="AT25" s="83">
        <f>('Energy demand'!AT$17*'Energy demand'!AT66)</f>
        <v>62.584118019776611</v>
      </c>
      <c r="AU25" s="83">
        <f>('Energy demand'!AU$17*'Energy demand'!AU66)</f>
        <v>63.826342805387846</v>
      </c>
      <c r="AV25" s="83">
        <f>('Energy demand'!AV$17*'Energy demand'!AV66)</f>
        <v>64.862340454341023</v>
      </c>
      <c r="AW25" s="83">
        <f>('Energy demand'!AW$17*'Energy demand'!AW66)</f>
        <v>65.6917097972172</v>
      </c>
      <c r="AX25" s="83">
        <f>('Energy demand'!AX$17*'Energy demand'!AX66)</f>
        <v>66.314052283308882</v>
      </c>
      <c r="AY25" s="92"/>
    </row>
    <row r="26" spans="4:51">
      <c r="E26" s="38" t="s">
        <v>1364</v>
      </c>
      <c r="G26" s="44" t="s">
        <v>1202</v>
      </c>
      <c r="H26"/>
      <c r="I26" s="44"/>
      <c r="J26"/>
      <c r="K26" s="44"/>
      <c r="L26"/>
      <c r="M26" s="44"/>
      <c r="O26" s="321">
        <f>'Energy demand'!O$17*'Energy demand'!O67</f>
        <v>0</v>
      </c>
      <c r="P26" s="321">
        <f>'Energy demand'!P$17*'Energy demand'!P67</f>
        <v>0</v>
      </c>
      <c r="Q26" s="321">
        <f>'Energy demand'!Q$17*'Energy demand'!Q67</f>
        <v>0</v>
      </c>
      <c r="R26" s="321">
        <f>'Energy demand'!R$17*'Energy demand'!R67</f>
        <v>0</v>
      </c>
      <c r="S26" s="321">
        <f>'Energy demand'!S$17*'Energy demand'!S67</f>
        <v>0</v>
      </c>
      <c r="T26" s="321">
        <f>'Energy demand'!T$17*'Energy demand'!T67</f>
        <v>0</v>
      </c>
      <c r="U26" s="321">
        <f>'Energy demand'!U$17*'Energy demand'!U67</f>
        <v>0</v>
      </c>
      <c r="V26" s="321">
        <f>'Energy demand'!V$17*'Energy demand'!V67</f>
        <v>0</v>
      </c>
      <c r="W26" s="321">
        <f>'Energy demand'!W$17*'Energy demand'!W67</f>
        <v>0</v>
      </c>
      <c r="X26" s="321">
        <f>'Energy demand'!X$17*'Energy demand'!X67</f>
        <v>0</v>
      </c>
      <c r="Y26" s="321">
        <f>'Energy demand'!Y$17*'Energy demand'!Y67</f>
        <v>0</v>
      </c>
      <c r="Z26" s="321">
        <f>'Energy demand'!Z$17*'Energy demand'!Z67</f>
        <v>0</v>
      </c>
      <c r="AA26" s="321">
        <f>'Energy demand'!AA$17*'Energy demand'!AA67</f>
        <v>0</v>
      </c>
      <c r="AB26" s="321">
        <f>'Energy demand'!AB$17*'Energy demand'!AB67</f>
        <v>0</v>
      </c>
      <c r="AC26" s="321">
        <f>'Energy demand'!AC$17*'Energy demand'!AC67</f>
        <v>0</v>
      </c>
      <c r="AD26" s="321">
        <f>'Energy demand'!AD$17*'Energy demand'!AD67</f>
        <v>0</v>
      </c>
      <c r="AE26" s="321">
        <f>'Energy demand'!AE$17*'Energy demand'!AE67</f>
        <v>0</v>
      </c>
      <c r="AF26" s="321">
        <f>'Energy demand'!AF$17*'Energy demand'!AF67</f>
        <v>0</v>
      </c>
      <c r="AG26" s="321">
        <f>'Energy demand'!AG$17*'Energy demand'!AG67</f>
        <v>0</v>
      </c>
      <c r="AH26" s="321">
        <f>'Energy demand'!AH$17*'Energy demand'!AH67</f>
        <v>0</v>
      </c>
      <c r="AI26" s="321">
        <f>'Energy demand'!AI$17*'Energy demand'!AI67</f>
        <v>0</v>
      </c>
      <c r="AJ26" s="321">
        <f>'Energy demand'!AJ$17*'Energy demand'!AJ67</f>
        <v>0</v>
      </c>
      <c r="AK26" s="321">
        <f>'Energy demand'!AK$17*'Energy demand'!AK67</f>
        <v>0</v>
      </c>
      <c r="AL26" s="321">
        <f>'Energy demand'!AL$17*'Energy demand'!AL67</f>
        <v>0</v>
      </c>
      <c r="AM26" s="321">
        <f>'Energy demand'!AM$17*'Energy demand'!AM67</f>
        <v>0</v>
      </c>
      <c r="AN26" s="321">
        <f>'Energy demand'!AN$17*'Energy demand'!AN67</f>
        <v>0</v>
      </c>
      <c r="AO26" s="321">
        <f>'Energy demand'!AO$17*'Energy demand'!AO67</f>
        <v>0</v>
      </c>
      <c r="AP26" s="321">
        <f>'Energy demand'!AP$17*'Energy demand'!AP67</f>
        <v>0</v>
      </c>
      <c r="AQ26" s="321">
        <f>'Energy demand'!AQ$17*'Energy demand'!AQ67</f>
        <v>0</v>
      </c>
      <c r="AR26" s="321">
        <f>'Energy demand'!AR$17*'Energy demand'!AR67</f>
        <v>0</v>
      </c>
      <c r="AS26" s="321">
        <f>'Energy demand'!AS$17*'Energy demand'!AS67</f>
        <v>0</v>
      </c>
      <c r="AT26" s="321">
        <f>'Energy demand'!AT$17*'Energy demand'!AT67</f>
        <v>0</v>
      </c>
      <c r="AU26" s="321">
        <f>'Energy demand'!AU$17*'Energy demand'!AU67</f>
        <v>0</v>
      </c>
      <c r="AV26" s="321">
        <f>'Energy demand'!AV$17*'Energy demand'!AV67</f>
        <v>0</v>
      </c>
      <c r="AW26" s="321">
        <f>'Energy demand'!AW$17*'Energy demand'!AW67</f>
        <v>0</v>
      </c>
      <c r="AX26" s="321">
        <f>'Energy demand'!AX$17*'Energy demand'!AX67</f>
        <v>0</v>
      </c>
      <c r="AY26" s="92"/>
    </row>
    <row r="27" spans="4:51" s="92" customFormat="1">
      <c r="E27" s="38" t="s">
        <v>779</v>
      </c>
      <c r="F27" s="38"/>
      <c r="G27" s="98" t="s">
        <v>1202</v>
      </c>
      <c r="I27" s="163"/>
      <c r="K27" s="163"/>
      <c r="M27" s="163"/>
      <c r="O27" s="48">
        <f>'Allocation of heat'!E69/10^6</f>
        <v>229.09035297365611</v>
      </c>
      <c r="P27" s="48">
        <f>'Allocation of heat'!F69/10^6</f>
        <v>234.0181250404529</v>
      </c>
      <c r="Q27" s="48">
        <f>'Allocation of heat'!G69/10^6</f>
        <v>238.72519135448169</v>
      </c>
      <c r="R27" s="48">
        <f>'Allocation of heat'!H69/10^6</f>
        <v>243.21178440396204</v>
      </c>
      <c r="S27" s="48">
        <f>'Allocation of heat'!I69/10^6</f>
        <v>247.47813667711378</v>
      </c>
      <c r="T27" s="48">
        <f>'Allocation of heat'!J69/10^6</f>
        <v>289.68779954982318</v>
      </c>
      <c r="U27" s="48">
        <f>'Allocation of heat'!K69/10^6</f>
        <v>317.53110448770673</v>
      </c>
      <c r="V27" s="48">
        <f>'Allocation of heat'!L69/10^6</f>
        <v>340.95512643122072</v>
      </c>
      <c r="W27" s="48">
        <f>'Allocation of heat'!M69/10^6</f>
        <v>360.1095733523523</v>
      </c>
      <c r="X27" s="48">
        <f>'Allocation of heat'!N69/10^6</f>
        <v>375.15762864629676</v>
      </c>
      <c r="Y27" s="48">
        <f>'Allocation of heat'!O69/10^6</f>
        <v>385.92509031333321</v>
      </c>
      <c r="Z27" s="48">
        <f>'Allocation of heat'!P69/10^6</f>
        <v>401.46519268059512</v>
      </c>
      <c r="AA27" s="48">
        <f>'Allocation of heat'!Q69/10^6</f>
        <v>411.82978458919973</v>
      </c>
      <c r="AB27" s="48">
        <f>'Allocation of heat'!R69/10^6</f>
        <v>417.3885011594819</v>
      </c>
      <c r="AC27" s="48">
        <f>'Allocation of heat'!S69/10^6</f>
        <v>418.52253113713016</v>
      </c>
      <c r="AD27" s="48">
        <f>'Allocation of heat'!T69/10^6</f>
        <v>415.55848967398794</v>
      </c>
      <c r="AE27" s="48">
        <f>'Allocation of heat'!U69/10^6</f>
        <v>424.45066635344443</v>
      </c>
      <c r="AF27" s="48">
        <f>'Allocation of heat'!V69/10^6</f>
        <v>430.9403360231409</v>
      </c>
      <c r="AG27" s="48">
        <f>'Allocation of heat'!W69/10^6</f>
        <v>435.08938215358813</v>
      </c>
      <c r="AH27" s="48">
        <f>'Allocation of heat'!X69/10^6</f>
        <v>436.95944139806193</v>
      </c>
      <c r="AI27" s="48">
        <f>'Allocation of heat'!Y69/10^6</f>
        <v>436.21761927133639</v>
      </c>
      <c r="AJ27" s="48">
        <f>'Allocation of heat'!Z69/10^6</f>
        <v>433.49629740493009</v>
      </c>
      <c r="AK27" s="48">
        <f>'Allocation of heat'!AA69/10^6</f>
        <v>428.91113511339677</v>
      </c>
      <c r="AL27" s="48">
        <f>'Allocation of heat'!AB69/10^6</f>
        <v>422.58827914511915</v>
      </c>
      <c r="AM27" s="48">
        <f>'Allocation of heat'!AC69/10^6</f>
        <v>414.64826704660123</v>
      </c>
      <c r="AN27" s="48">
        <f>'Allocation of heat'!AD69/10^6</f>
        <v>405.21113631167248</v>
      </c>
      <c r="AO27" s="48">
        <f>'Allocation of heat'!AE69/10^6</f>
        <v>409.15726380290045</v>
      </c>
      <c r="AP27" s="48">
        <f>'Allocation of heat'!AF69/10^6</f>
        <v>412.00754354086871</v>
      </c>
      <c r="AQ27" s="48">
        <f>'Allocation of heat'!AG69/10^6</f>
        <v>413.76079295171553</v>
      </c>
      <c r="AR27" s="48">
        <f>'Allocation of heat'!AH69/10^6</f>
        <v>414.41577051096237</v>
      </c>
      <c r="AS27" s="48">
        <f>'Allocation of heat'!AI69/10^6</f>
        <v>413.97117851910559</v>
      </c>
      <c r="AT27" s="48">
        <f>'Allocation of heat'!AJ69/10^6</f>
        <v>398.43059131115808</v>
      </c>
      <c r="AU27" s="48">
        <f>'Allocation of heat'!AK69/10^6</f>
        <v>382.88055338930832</v>
      </c>
      <c r="AV27" s="48">
        <f>'Allocation of heat'!AL69/10^6</f>
        <v>367.32058340597467</v>
      </c>
      <c r="AW27" s="48">
        <f>'Allocation of heat'!AM69/10^6</f>
        <v>351.7502171294243</v>
      </c>
      <c r="AX27" s="48">
        <f>'Allocation of heat'!AN69/10^6</f>
        <v>336.16900478934434</v>
      </c>
    </row>
    <row r="28" spans="4:51" s="92" customFormat="1">
      <c r="E28" s="38" t="s">
        <v>211</v>
      </c>
      <c r="F28" s="38"/>
      <c r="G28" s="98" t="s">
        <v>1202</v>
      </c>
      <c r="I28" s="163"/>
      <c r="K28" s="163"/>
      <c r="M28" s="163"/>
      <c r="O28" s="321">
        <f>'Energy demand'!O$17*'Energy demand'!O68</f>
        <v>0</v>
      </c>
      <c r="P28" s="321">
        <f>'Energy demand'!P$17*'Energy demand'!P68</f>
        <v>0</v>
      </c>
      <c r="Q28" s="321">
        <f>'Energy demand'!Q$17*'Energy demand'!Q68</f>
        <v>0</v>
      </c>
      <c r="R28" s="321">
        <f>'Energy demand'!R$17*'Energy demand'!R68</f>
        <v>0</v>
      </c>
      <c r="S28" s="321">
        <f>'Energy demand'!S$17*'Energy demand'!S68</f>
        <v>0</v>
      </c>
      <c r="T28" s="321">
        <f>'Energy demand'!T$17*'Energy demand'!T68</f>
        <v>0</v>
      </c>
      <c r="U28" s="321">
        <f>'Energy demand'!U$17*'Energy demand'!U68</f>
        <v>0</v>
      </c>
      <c r="V28" s="321">
        <f>'Energy demand'!V$17*'Energy demand'!V68</f>
        <v>0</v>
      </c>
      <c r="W28" s="321">
        <f>'Energy demand'!W$17*'Energy demand'!W68</f>
        <v>0</v>
      </c>
      <c r="X28" s="321">
        <f>'Energy demand'!X$17*'Energy demand'!X68</f>
        <v>0</v>
      </c>
      <c r="Y28" s="321">
        <f>'Energy demand'!Y$17*'Energy demand'!Y68</f>
        <v>0</v>
      </c>
      <c r="Z28" s="321">
        <f>'Energy demand'!Z$17*'Energy demand'!Z68</f>
        <v>0</v>
      </c>
      <c r="AA28" s="321">
        <f>'Energy demand'!AA$17*'Energy demand'!AA68</f>
        <v>31.591607358079809</v>
      </c>
      <c r="AB28" s="321">
        <f>'Energy demand'!AB$17*'Energy demand'!AB68</f>
        <v>55.014123049518162</v>
      </c>
      <c r="AC28" s="321">
        <f>'Energy demand'!AC$17*'Energy demand'!AC68</f>
        <v>70.629215981740089</v>
      </c>
      <c r="AD28" s="321">
        <f>'Energy demand'!AD$17*'Energy demand'!AD68</f>
        <v>79.868246566883215</v>
      </c>
      <c r="AE28" s="321">
        <f>'Energy demand'!AE$17*'Energy demand'!AE68</f>
        <v>100.40034613206637</v>
      </c>
      <c r="AF28" s="321">
        <f>'Energy demand'!AF$17*'Energy demand'!AF68</f>
        <v>112.44599497619265</v>
      </c>
      <c r="AG28" s="321">
        <f>'Energy demand'!AG$17*'Energy demand'!AG68</f>
        <v>117.90862627363252</v>
      </c>
      <c r="AH28" s="321">
        <f>'Energy demand'!AH$17*'Energy demand'!AH68</f>
        <v>118.22952529670528</v>
      </c>
      <c r="AI28" s="321">
        <f>'Energy demand'!AI$17*'Energy demand'!AI68</f>
        <v>101.16471463201616</v>
      </c>
      <c r="AJ28" s="321">
        <f>'Energy demand'!AJ$17*'Energy demand'!AJ68</f>
        <v>78.602408355404222</v>
      </c>
      <c r="AK28" s="321">
        <f>'Energy demand'!AK$17*'Energy demand'!AK68</f>
        <v>62.259262253617649</v>
      </c>
      <c r="AL28" s="321">
        <f>'Energy demand'!AL$17*'Energy demand'!AL68</f>
        <v>50.9841066619773</v>
      </c>
      <c r="AM28" s="321">
        <f>'Energy demand'!AM$17*'Energy demand'!AM68</f>
        <v>46.972659161587963</v>
      </c>
      <c r="AN28" s="321">
        <f>'Energy demand'!AN$17*'Energy demand'!AN68</f>
        <v>42.979642487124586</v>
      </c>
      <c r="AO28" s="321">
        <f>'Energy demand'!AO$17*'Energy demand'!AO68</f>
        <v>38.476102279526515</v>
      </c>
      <c r="AP28" s="321">
        <f>'Energy demand'!AP$17*'Energy demand'!AP68</f>
        <v>34.068031825661798</v>
      </c>
      <c r="AQ28" s="321">
        <f>'Energy demand'!AQ$17*'Energy demand'!AQ68</f>
        <v>29.736985092352306</v>
      </c>
      <c r="AR28" s="321">
        <f>'Energy demand'!AR$17*'Energy demand'!AR68</f>
        <v>25.464377983467777</v>
      </c>
      <c r="AS28" s="321">
        <f>'Energy demand'!AS$17*'Energy demand'!AS68</f>
        <v>21.231497647815122</v>
      </c>
      <c r="AT28" s="321">
        <f>'Energy demand'!AT$17*'Energy demand'!AT68</f>
        <v>17.238953490643357</v>
      </c>
      <c r="AU28" s="321">
        <f>'Energy demand'!AU$17*'Energy demand'!AU68</f>
        <v>13.125782628483993</v>
      </c>
      <c r="AV28" s="321">
        <f>'Energy demand'!AV$17*'Energy demand'!AV68</f>
        <v>8.885776401449526</v>
      </c>
      <c r="AW28" s="321">
        <f>'Energy demand'!AW$17*'Energy demand'!AW68</f>
        <v>4.5126402219938662</v>
      </c>
      <c r="AX28" s="321">
        <f>'Energy demand'!AX$17*'Energy demand'!AX68</f>
        <v>0</v>
      </c>
    </row>
    <row r="29" spans="4:51">
      <c r="O29" s="74"/>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row>
    <row r="30" spans="4:51">
      <c r="D30" s="38" t="s">
        <v>1343</v>
      </c>
      <c r="O30" s="74"/>
      <c r="P30" s="74"/>
      <c r="Q30" s="74"/>
      <c r="R30" s="74"/>
      <c r="S30" s="74"/>
      <c r="T30" s="74"/>
      <c r="U30" s="74"/>
      <c r="V30" s="74"/>
      <c r="W30" s="74"/>
      <c r="X30" s="74"/>
      <c r="Y30" s="74"/>
      <c r="Z30" s="74"/>
      <c r="AA30" s="74"/>
      <c r="AB30" s="74"/>
      <c r="AC30" s="74"/>
      <c r="AD30" s="74"/>
      <c r="AE30" s="74"/>
      <c r="AF30" s="74"/>
      <c r="AG30" s="74"/>
      <c r="AH30" s="74"/>
      <c r="AI30" s="74"/>
      <c r="AJ30" s="74"/>
      <c r="AK30" s="74"/>
      <c r="AL30" s="74"/>
      <c r="AM30" s="74"/>
      <c r="AN30" s="74"/>
      <c r="AO30" s="74"/>
      <c r="AP30" s="74"/>
      <c r="AQ30" s="74"/>
      <c r="AR30" s="74"/>
      <c r="AS30" s="74"/>
      <c r="AT30" s="74"/>
      <c r="AU30" s="74"/>
      <c r="AV30" s="74"/>
      <c r="AW30" s="74"/>
      <c r="AX30" s="74"/>
      <c r="AY30" s="74"/>
    </row>
    <row r="31" spans="4:51">
      <c r="O31" s="74"/>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row>
    <row r="32" spans="4:51">
      <c r="E32" s="38" t="s">
        <v>774</v>
      </c>
      <c r="G32" s="44" t="s">
        <v>1202</v>
      </c>
      <c r="H32"/>
      <c r="I32" s="44"/>
      <c r="J32"/>
      <c r="K32" s="44"/>
      <c r="L32"/>
      <c r="M32" s="44"/>
      <c r="O32" s="83">
        <f>O10+O21</f>
        <v>17886.810127684599</v>
      </c>
      <c r="P32" s="83">
        <f t="shared" ref="P32:AX32" si="0">P10+P21</f>
        <v>17977.855477047284</v>
      </c>
      <c r="Q32" s="83">
        <f t="shared" si="0"/>
        <v>18067.869330208843</v>
      </c>
      <c r="R32" s="83">
        <f t="shared" si="0"/>
        <v>18156.910849405347</v>
      </c>
      <c r="S32" s="83">
        <f t="shared" si="0"/>
        <v>18225.601474314426</v>
      </c>
      <c r="T32" s="83">
        <f t="shared" si="0"/>
        <v>18128.748223158909</v>
      </c>
      <c r="U32" s="83">
        <f t="shared" si="0"/>
        <v>17893.623631364761</v>
      </c>
      <c r="V32" s="83">
        <f t="shared" si="0"/>
        <v>17256.454004023646</v>
      </c>
      <c r="W32" s="83">
        <f t="shared" si="0"/>
        <v>16170.773229121622</v>
      </c>
      <c r="X32" s="83">
        <f t="shared" si="0"/>
        <v>14764.76134937005</v>
      </c>
      <c r="Y32" s="83">
        <f t="shared" si="0"/>
        <v>13313.166647793652</v>
      </c>
      <c r="Z32" s="83">
        <f t="shared" si="0"/>
        <v>11778.935107003341</v>
      </c>
      <c r="AA32" s="83">
        <f t="shared" si="0"/>
        <v>10153.865116109588</v>
      </c>
      <c r="AB32" s="83">
        <f t="shared" si="0"/>
        <v>8799.8071398190041</v>
      </c>
      <c r="AC32" s="83">
        <f t="shared" si="0"/>
        <v>7617.8683060829271</v>
      </c>
      <c r="AD32" s="83">
        <f t="shared" si="0"/>
        <v>6615.4519875557844</v>
      </c>
      <c r="AE32" s="83">
        <f t="shared" si="0"/>
        <v>5721.0507392884811</v>
      </c>
      <c r="AF32" s="83">
        <f t="shared" si="0"/>
        <v>4918.7551069790843</v>
      </c>
      <c r="AG32" s="83">
        <f t="shared" si="0"/>
        <v>4195.0542962958734</v>
      </c>
      <c r="AH32" s="83">
        <f t="shared" si="0"/>
        <v>3540.9683000394889</v>
      </c>
      <c r="AI32" s="83">
        <f t="shared" si="0"/>
        <v>3019.094778178659</v>
      </c>
      <c r="AJ32" s="83">
        <f t="shared" si="0"/>
        <v>2333.368222740507</v>
      </c>
      <c r="AK32" s="83">
        <f t="shared" si="0"/>
        <v>1833.1528936102477</v>
      </c>
      <c r="AL32" s="83">
        <f t="shared" si="0"/>
        <v>1488.5284532623523</v>
      </c>
      <c r="AM32" s="83">
        <f t="shared" si="0"/>
        <v>1365.6582301195017</v>
      </c>
      <c r="AN32" s="83">
        <f t="shared" si="0"/>
        <v>1244.5668167430681</v>
      </c>
      <c r="AO32" s="83">
        <f t="shared" si="0"/>
        <v>1114.1861826766831</v>
      </c>
      <c r="AP32" s="83">
        <f t="shared" si="0"/>
        <v>986.85693764990219</v>
      </c>
      <c r="AQ32" s="83">
        <f t="shared" si="0"/>
        <v>861.93342614176538</v>
      </c>
      <c r="AR32" s="83">
        <f t="shared" si="0"/>
        <v>738.76685738089816</v>
      </c>
      <c r="AS32" s="83">
        <f t="shared" si="0"/>
        <v>616.70572997885574</v>
      </c>
      <c r="AT32" s="83">
        <f t="shared" si="0"/>
        <v>502.70034962158718</v>
      </c>
      <c r="AU32" s="83">
        <f t="shared" si="0"/>
        <v>384.23770512974511</v>
      </c>
      <c r="AV32" s="83">
        <f t="shared" si="0"/>
        <v>261.10882190259656</v>
      </c>
      <c r="AW32" s="83">
        <f t="shared" si="0"/>
        <v>133.1013989330674</v>
      </c>
      <c r="AX32" s="83">
        <f t="shared" si="0"/>
        <v>0</v>
      </c>
    </row>
    <row r="33" spans="2:50">
      <c r="E33" s="38" t="s">
        <v>776</v>
      </c>
      <c r="G33" s="44" t="s">
        <v>1202</v>
      </c>
      <c r="H33"/>
      <c r="I33" s="44"/>
      <c r="J33"/>
      <c r="K33" s="44"/>
      <c r="L33"/>
      <c r="M33" s="44"/>
      <c r="O33" s="83">
        <f t="shared" ref="O33:AX33" si="1">O12+O23</f>
        <v>2364.0632944029212</v>
      </c>
      <c r="P33" s="83">
        <f t="shared" si="1"/>
        <v>2372.9270869681623</v>
      </c>
      <c r="Q33" s="83">
        <f t="shared" si="1"/>
        <v>2381.7016307540598</v>
      </c>
      <c r="R33" s="83">
        <f t="shared" si="1"/>
        <v>2390.3927459061188</v>
      </c>
      <c r="S33" s="83">
        <f t="shared" si="1"/>
        <v>2395.3061827434635</v>
      </c>
      <c r="T33" s="83">
        <f t="shared" si="1"/>
        <v>2380.5863684674428</v>
      </c>
      <c r="U33" s="83">
        <f t="shared" si="1"/>
        <v>2349.6749262199946</v>
      </c>
      <c r="V33" s="83">
        <f t="shared" si="1"/>
        <v>2278.4848807646977</v>
      </c>
      <c r="W33" s="83">
        <f t="shared" si="1"/>
        <v>2154.2877929112346</v>
      </c>
      <c r="X33" s="83">
        <f t="shared" si="1"/>
        <v>1981.9940322061111</v>
      </c>
      <c r="Y33" s="83">
        <f t="shared" si="1"/>
        <v>1797.2740829303598</v>
      </c>
      <c r="Z33" s="83">
        <f t="shared" si="1"/>
        <v>1594.1800090756867</v>
      </c>
      <c r="AA33" s="83">
        <f t="shared" si="1"/>
        <v>1380.5391824281824</v>
      </c>
      <c r="AB33" s="83">
        <f t="shared" si="1"/>
        <v>1202.9357602798852</v>
      </c>
      <c r="AC33" s="83">
        <f t="shared" si="1"/>
        <v>1039.6636294061227</v>
      </c>
      <c r="AD33" s="83">
        <f t="shared" si="1"/>
        <v>896.69098404355088</v>
      </c>
      <c r="AE33" s="83">
        <f t="shared" si="1"/>
        <v>773.60647344063557</v>
      </c>
      <c r="AF33" s="83">
        <f t="shared" si="1"/>
        <v>664.66469398362074</v>
      </c>
      <c r="AG33" s="83">
        <f t="shared" si="1"/>
        <v>567.7612687765494</v>
      </c>
      <c r="AH33" s="83">
        <f t="shared" si="1"/>
        <v>481.16995142957762</v>
      </c>
      <c r="AI33" s="83">
        <f t="shared" si="1"/>
        <v>410.84692897694731</v>
      </c>
      <c r="AJ33" s="83">
        <f t="shared" si="1"/>
        <v>520.15847517403836</v>
      </c>
      <c r="AK33" s="83">
        <f t="shared" si="1"/>
        <v>592.67298391449822</v>
      </c>
      <c r="AL33" s="83">
        <f t="shared" si="1"/>
        <v>655.62145787161501</v>
      </c>
      <c r="AM33" s="83">
        <f t="shared" si="1"/>
        <v>790.12307185692953</v>
      </c>
      <c r="AN33" s="83">
        <f t="shared" si="1"/>
        <v>926.3191046469758</v>
      </c>
      <c r="AO33" s="83">
        <f t="shared" si="1"/>
        <v>1054.533947080846</v>
      </c>
      <c r="AP33" s="83">
        <f t="shared" si="1"/>
        <v>1183.3825376787352</v>
      </c>
      <c r="AQ33" s="83">
        <f t="shared" si="1"/>
        <v>1313.5721895826086</v>
      </c>
      <c r="AR33" s="83">
        <f t="shared" si="1"/>
        <v>1445.8126632353319</v>
      </c>
      <c r="AS33" s="83">
        <f t="shared" si="1"/>
        <v>1580.816304693964</v>
      </c>
      <c r="AT33" s="83">
        <f t="shared" si="1"/>
        <v>1745.4465204921021</v>
      </c>
      <c r="AU33" s="83">
        <f t="shared" si="1"/>
        <v>1916.1385231679224</v>
      </c>
      <c r="AV33" s="83">
        <f t="shared" si="1"/>
        <v>2093.1317957039078</v>
      </c>
      <c r="AW33" s="83">
        <f t="shared" si="1"/>
        <v>2276.6687029687487</v>
      </c>
      <c r="AX33" s="83">
        <f t="shared" si="1"/>
        <v>2466.9943459628739</v>
      </c>
    </row>
    <row r="34" spans="2:50">
      <c r="E34" s="38" t="s">
        <v>346</v>
      </c>
      <c r="G34" s="44" t="s">
        <v>1202</v>
      </c>
      <c r="H34"/>
      <c r="I34" s="44"/>
      <c r="J34"/>
      <c r="K34" s="44"/>
      <c r="L34"/>
      <c r="M34" s="44"/>
      <c r="O34" s="83">
        <f t="shared" ref="O34:AX34" si="2">O13+O24</f>
        <v>0</v>
      </c>
      <c r="P34" s="83">
        <f t="shared" si="2"/>
        <v>0</v>
      </c>
      <c r="Q34" s="83">
        <f t="shared" si="2"/>
        <v>0</v>
      </c>
      <c r="R34" s="83">
        <f t="shared" si="2"/>
        <v>0</v>
      </c>
      <c r="S34" s="83">
        <f t="shared" si="2"/>
        <v>0</v>
      </c>
      <c r="T34" s="83">
        <f t="shared" si="2"/>
        <v>44.517567737536773</v>
      </c>
      <c r="U34" s="83">
        <f t="shared" si="2"/>
        <v>134.76435653026721</v>
      </c>
      <c r="V34" s="83">
        <f t="shared" si="2"/>
        <v>337.49508383169007</v>
      </c>
      <c r="W34" s="83">
        <f t="shared" si="2"/>
        <v>629.38382328585703</v>
      </c>
      <c r="X34" s="83">
        <f t="shared" si="2"/>
        <v>1062.7243889242495</v>
      </c>
      <c r="Y34" s="83">
        <f t="shared" si="2"/>
        <v>1587.319018163967</v>
      </c>
      <c r="Z34" s="83">
        <f t="shared" si="2"/>
        <v>2231.2210516999121</v>
      </c>
      <c r="AA34" s="83">
        <f t="shared" si="2"/>
        <v>2971.2609895727005</v>
      </c>
      <c r="AB34" s="83">
        <f t="shared" si="2"/>
        <v>3688.9321088338343</v>
      </c>
      <c r="AC34" s="83">
        <f t="shared" si="2"/>
        <v>4343.5752494361213</v>
      </c>
      <c r="AD34" s="83">
        <f t="shared" si="2"/>
        <v>4947.2157269726276</v>
      </c>
      <c r="AE34" s="83">
        <f t="shared" si="2"/>
        <v>5497.3661830341171</v>
      </c>
      <c r="AF34" s="83">
        <f t="shared" si="2"/>
        <v>6037.3693275648657</v>
      </c>
      <c r="AG34" s="83">
        <f t="shared" si="2"/>
        <v>6578.1684953628755</v>
      </c>
      <c r="AH34" s="83">
        <f t="shared" si="2"/>
        <v>7130.6597747755914</v>
      </c>
      <c r="AI34" s="83">
        <f t="shared" si="2"/>
        <v>7783.4660481584469</v>
      </c>
      <c r="AJ34" s="83">
        <f t="shared" si="2"/>
        <v>8436.7073248734723</v>
      </c>
      <c r="AK34" s="83">
        <f t="shared" si="2"/>
        <v>8936.4703735079438</v>
      </c>
      <c r="AL34" s="83">
        <f t="shared" si="2"/>
        <v>9283.093278030623</v>
      </c>
      <c r="AM34" s="83">
        <f t="shared" si="2"/>
        <v>9322.86095451457</v>
      </c>
      <c r="AN34" s="83">
        <f t="shared" si="2"/>
        <v>9362.9192814932012</v>
      </c>
      <c r="AO34" s="83">
        <f t="shared" si="2"/>
        <v>9403.2291196571095</v>
      </c>
      <c r="AP34" s="83">
        <f t="shared" si="2"/>
        <v>9443.7753632768326</v>
      </c>
      <c r="AQ34" s="83">
        <f t="shared" si="2"/>
        <v>9484.5440414708391</v>
      </c>
      <c r="AR34" s="83">
        <f t="shared" si="2"/>
        <v>9525.5222132541967</v>
      </c>
      <c r="AS34" s="83">
        <f t="shared" si="2"/>
        <v>9566.6978740208251</v>
      </c>
      <c r="AT34" s="83">
        <f t="shared" si="2"/>
        <v>9608.0598720320468</v>
      </c>
      <c r="AU34" s="83">
        <f t="shared" si="2"/>
        <v>9649.5978336841908</v>
      </c>
      <c r="AV34" s="83">
        <f t="shared" si="2"/>
        <v>9691.3020964970765</v>
      </c>
      <c r="AW34" s="83">
        <f t="shared" si="2"/>
        <v>9733.1636489085286</v>
      </c>
      <c r="AX34" s="83">
        <f t="shared" si="2"/>
        <v>9775.174076081832</v>
      </c>
    </row>
    <row r="35" spans="2:50">
      <c r="E35" s="38" t="s">
        <v>219</v>
      </c>
      <c r="G35" s="44" t="s">
        <v>1202</v>
      </c>
      <c r="H35"/>
      <c r="I35" s="44"/>
      <c r="J35"/>
      <c r="K35" s="44"/>
      <c r="L35"/>
      <c r="M35" s="44"/>
      <c r="O35" s="83">
        <f t="shared" ref="O35:AX35" si="3">O14+O25</f>
        <v>0</v>
      </c>
      <c r="P35" s="83">
        <f t="shared" si="3"/>
        <v>0</v>
      </c>
      <c r="Q35" s="83">
        <f t="shared" si="3"/>
        <v>0</v>
      </c>
      <c r="R35" s="83">
        <f t="shared" si="3"/>
        <v>0</v>
      </c>
      <c r="S35" s="83">
        <f t="shared" si="3"/>
        <v>0</v>
      </c>
      <c r="T35" s="83">
        <f t="shared" si="3"/>
        <v>2.449729343535727</v>
      </c>
      <c r="U35" s="83">
        <f t="shared" si="3"/>
        <v>6.4869302172908707</v>
      </c>
      <c r="V35" s="83">
        <f t="shared" si="3"/>
        <v>10.179582797989056</v>
      </c>
      <c r="W35" s="83">
        <f t="shared" si="3"/>
        <v>13.354495904581771</v>
      </c>
      <c r="X35" s="83">
        <f t="shared" si="3"/>
        <v>16.137392631672078</v>
      </c>
      <c r="Y35" s="83">
        <f t="shared" si="3"/>
        <v>18.776372390844021</v>
      </c>
      <c r="Z35" s="83">
        <f t="shared" si="3"/>
        <v>20.909786881960795</v>
      </c>
      <c r="AA35" s="83">
        <f t="shared" si="3"/>
        <v>21.44746787588246</v>
      </c>
      <c r="AB35" s="83">
        <f t="shared" si="3"/>
        <v>22.21403286055471</v>
      </c>
      <c r="AC35" s="83">
        <f t="shared" si="3"/>
        <v>23.241795450424455</v>
      </c>
      <c r="AD35" s="83">
        <f t="shared" si="3"/>
        <v>24.52512237682695</v>
      </c>
      <c r="AE35" s="83">
        <f t="shared" si="3"/>
        <v>27.002065369499999</v>
      </c>
      <c r="AF35" s="83">
        <f t="shared" si="3"/>
        <v>30.971822140056332</v>
      </c>
      <c r="AG35" s="83">
        <f t="shared" si="3"/>
        <v>36.389208810234273</v>
      </c>
      <c r="AH35" s="83">
        <f t="shared" si="3"/>
        <v>43.289796371603472</v>
      </c>
      <c r="AI35" s="83">
        <f t="shared" si="3"/>
        <v>51.876737004269444</v>
      </c>
      <c r="AJ35" s="83">
        <f t="shared" si="3"/>
        <v>60.935882446143466</v>
      </c>
      <c r="AK35" s="83">
        <f t="shared" si="3"/>
        <v>65.429501581923461</v>
      </c>
      <c r="AL35" s="83">
        <f t="shared" si="3"/>
        <v>70.368915323210842</v>
      </c>
      <c r="AM35" s="83">
        <f t="shared" si="3"/>
        <v>75.794688015997238</v>
      </c>
      <c r="AN35" s="83">
        <f t="shared" si="3"/>
        <v>81.707118784444773</v>
      </c>
      <c r="AO35" s="83">
        <f t="shared" si="3"/>
        <v>87.196686254306925</v>
      </c>
      <c r="AP35" s="83">
        <f t="shared" si="3"/>
        <v>92.201889348548775</v>
      </c>
      <c r="AQ35" s="83">
        <f t="shared" si="3"/>
        <v>96.722215167804563</v>
      </c>
      <c r="AR35" s="83">
        <f t="shared" si="3"/>
        <v>100.75716023428703</v>
      </c>
      <c r="AS35" s="83">
        <f t="shared" si="3"/>
        <v>104.30622984421736</v>
      </c>
      <c r="AT35" s="83">
        <f t="shared" si="3"/>
        <v>107.36893749367913</v>
      </c>
      <c r="AU35" s="83">
        <f t="shared" si="3"/>
        <v>109.9448043688366</v>
      </c>
      <c r="AV35" s="83">
        <f t="shared" si="3"/>
        <v>112.03335889272387</v>
      </c>
      <c r="AW35" s="83">
        <f t="shared" si="3"/>
        <v>113.63413632188279</v>
      </c>
      <c r="AX35" s="83">
        <f t="shared" si="3"/>
        <v>114.74667838703459</v>
      </c>
    </row>
    <row r="36" spans="2:50">
      <c r="E36" s="38" t="s">
        <v>1364</v>
      </c>
      <c r="G36" s="44" t="s">
        <v>1202</v>
      </c>
      <c r="H36"/>
      <c r="I36" s="44"/>
      <c r="J36"/>
      <c r="K36" s="44"/>
      <c r="L36"/>
      <c r="M36" s="44"/>
      <c r="O36" s="83">
        <f t="shared" ref="O36:AX36" si="4">O15+O26</f>
        <v>0</v>
      </c>
      <c r="P36" s="83">
        <f t="shared" si="4"/>
        <v>0</v>
      </c>
      <c r="Q36" s="83">
        <f t="shared" si="4"/>
        <v>0</v>
      </c>
      <c r="R36" s="83">
        <f t="shared" si="4"/>
        <v>0</v>
      </c>
      <c r="S36" s="83">
        <f t="shared" si="4"/>
        <v>0</v>
      </c>
      <c r="T36" s="83">
        <f t="shared" si="4"/>
        <v>0</v>
      </c>
      <c r="U36" s="83">
        <f t="shared" si="4"/>
        <v>0</v>
      </c>
      <c r="V36" s="83">
        <f t="shared" si="4"/>
        <v>0</v>
      </c>
      <c r="W36" s="83">
        <f t="shared" si="4"/>
        <v>0</v>
      </c>
      <c r="X36" s="83">
        <f t="shared" si="4"/>
        <v>0</v>
      </c>
      <c r="Y36" s="83">
        <f t="shared" si="4"/>
        <v>0</v>
      </c>
      <c r="Z36" s="83">
        <f t="shared" si="4"/>
        <v>0</v>
      </c>
      <c r="AA36" s="83">
        <f t="shared" si="4"/>
        <v>0</v>
      </c>
      <c r="AB36" s="83">
        <f t="shared" si="4"/>
        <v>0</v>
      </c>
      <c r="AC36" s="83">
        <f t="shared" si="4"/>
        <v>0</v>
      </c>
      <c r="AD36" s="83">
        <f t="shared" si="4"/>
        <v>0</v>
      </c>
      <c r="AE36" s="83">
        <f t="shared" si="4"/>
        <v>0</v>
      </c>
      <c r="AF36" s="83">
        <f t="shared" si="4"/>
        <v>0</v>
      </c>
      <c r="AG36" s="83">
        <f t="shared" si="4"/>
        <v>0</v>
      </c>
      <c r="AH36" s="83">
        <f t="shared" si="4"/>
        <v>0</v>
      </c>
      <c r="AI36" s="83">
        <f t="shared" si="4"/>
        <v>0</v>
      </c>
      <c r="AJ36" s="83">
        <f t="shared" si="4"/>
        <v>0</v>
      </c>
      <c r="AK36" s="83">
        <f t="shared" si="4"/>
        <v>0</v>
      </c>
      <c r="AL36" s="83">
        <f t="shared" si="4"/>
        <v>0</v>
      </c>
      <c r="AM36" s="83">
        <f t="shared" si="4"/>
        <v>0</v>
      </c>
      <c r="AN36" s="83">
        <f t="shared" si="4"/>
        <v>0</v>
      </c>
      <c r="AO36" s="83">
        <f t="shared" si="4"/>
        <v>0</v>
      </c>
      <c r="AP36" s="83">
        <f t="shared" si="4"/>
        <v>0</v>
      </c>
      <c r="AQ36" s="83">
        <f t="shared" si="4"/>
        <v>0</v>
      </c>
      <c r="AR36" s="83">
        <f t="shared" si="4"/>
        <v>0</v>
      </c>
      <c r="AS36" s="83">
        <f t="shared" si="4"/>
        <v>0</v>
      </c>
      <c r="AT36" s="83">
        <f t="shared" si="4"/>
        <v>0</v>
      </c>
      <c r="AU36" s="83">
        <f t="shared" si="4"/>
        <v>0</v>
      </c>
      <c r="AV36" s="83">
        <f t="shared" si="4"/>
        <v>0</v>
      </c>
      <c r="AW36" s="83">
        <f t="shared" si="4"/>
        <v>0</v>
      </c>
      <c r="AX36" s="83">
        <f t="shared" si="4"/>
        <v>0</v>
      </c>
    </row>
    <row r="37" spans="2:50">
      <c r="E37" s="38" t="s">
        <v>779</v>
      </c>
      <c r="G37" s="44" t="s">
        <v>1202</v>
      </c>
      <c r="H37"/>
      <c r="I37" s="44"/>
      <c r="J37"/>
      <c r="K37" s="44"/>
      <c r="L37"/>
      <c r="M37" s="44"/>
      <c r="O37" s="83">
        <f t="shared" ref="O37:AW37" si="5">O16+O27</f>
        <v>384.27273379629673</v>
      </c>
      <c r="P37" s="83">
        <f t="shared" si="5"/>
        <v>394.7683738345828</v>
      </c>
      <c r="Q37" s="83">
        <f t="shared" si="5"/>
        <v>404.83752263503135</v>
      </c>
      <c r="R37" s="83">
        <f t="shared" si="5"/>
        <v>414.48041268586172</v>
      </c>
      <c r="S37" s="83">
        <f t="shared" si="5"/>
        <v>423.69727647529407</v>
      </c>
      <c r="T37" s="83">
        <f t="shared" si="5"/>
        <v>506.75447431464261</v>
      </c>
      <c r="U37" s="83">
        <f t="shared" si="5"/>
        <v>568.79080225998644</v>
      </c>
      <c r="V37" s="83">
        <f t="shared" si="5"/>
        <v>623.51867458361176</v>
      </c>
      <c r="W37" s="83">
        <f t="shared" si="5"/>
        <v>671.18674736582841</v>
      </c>
      <c r="X37" s="83">
        <f t="shared" si="5"/>
        <v>712.06276511634883</v>
      </c>
      <c r="Y37" s="83">
        <f t="shared" si="5"/>
        <v>746.09249651167477</v>
      </c>
      <c r="Z37" s="83">
        <f t="shared" si="5"/>
        <v>791.46919371447211</v>
      </c>
      <c r="AA37" s="83">
        <f t="shared" si="5"/>
        <v>828.02911538090507</v>
      </c>
      <c r="AB37" s="83">
        <f t="shared" si="5"/>
        <v>856.39146763137705</v>
      </c>
      <c r="AC37" s="83">
        <f t="shared" si="5"/>
        <v>877.28248234761281</v>
      </c>
      <c r="AD37" s="83">
        <f t="shared" si="5"/>
        <v>891.28157585858435</v>
      </c>
      <c r="AE37" s="83">
        <f t="shared" si="5"/>
        <v>921.80094434032412</v>
      </c>
      <c r="AF37" s="83">
        <f t="shared" si="5"/>
        <v>946.75088086562005</v>
      </c>
      <c r="AG37" s="83">
        <f t="shared" si="5"/>
        <v>967.07508236804642</v>
      </c>
      <c r="AH37" s="83">
        <f t="shared" si="5"/>
        <v>979.60655834581087</v>
      </c>
      <c r="AI37" s="83">
        <f t="shared" si="5"/>
        <v>987.29995352966716</v>
      </c>
      <c r="AJ37" s="83">
        <f t="shared" si="5"/>
        <v>991.76790211682351</v>
      </c>
      <c r="AK37" s="83">
        <f t="shared" si="5"/>
        <v>992.27344947431152</v>
      </c>
      <c r="AL37" s="83">
        <f t="shared" si="5"/>
        <v>988.94825552690156</v>
      </c>
      <c r="AM37" s="83">
        <f t="shared" si="5"/>
        <v>983.02125894299434</v>
      </c>
      <c r="AN37" s="83">
        <f t="shared" si="5"/>
        <v>973.73782701354071</v>
      </c>
      <c r="AO37" s="83">
        <f t="shared" si="5"/>
        <v>983.59194672425792</v>
      </c>
      <c r="AP37" s="83">
        <f t="shared" si="5"/>
        <v>990.77579637220492</v>
      </c>
      <c r="AQ37" s="83">
        <f t="shared" si="5"/>
        <v>995.2907754405486</v>
      </c>
      <c r="AR37" s="83">
        <f t="shared" si="5"/>
        <v>997.13816197534402</v>
      </c>
      <c r="AS37" s="83">
        <f t="shared" si="5"/>
        <v>996.31861280435317</v>
      </c>
      <c r="AT37" s="83">
        <f t="shared" si="5"/>
        <v>958.50687280048476</v>
      </c>
      <c r="AU37" s="83">
        <f t="shared" si="5"/>
        <v>920.73338904414413</v>
      </c>
      <c r="AV37" s="83">
        <f t="shared" si="5"/>
        <v>882.99346981363738</v>
      </c>
      <c r="AW37" s="83">
        <f t="shared" si="5"/>
        <v>845.28245782937734</v>
      </c>
      <c r="AX37" s="83">
        <f>AX16+AX27</f>
        <v>807.59572534077006</v>
      </c>
    </row>
    <row r="38" spans="2:50">
      <c r="E38" s="38" t="s">
        <v>211</v>
      </c>
      <c r="G38" s="44" t="s">
        <v>1202</v>
      </c>
      <c r="H38"/>
      <c r="I38" s="44"/>
      <c r="J38"/>
      <c r="K38" s="44"/>
      <c r="L38"/>
      <c r="M38" s="44"/>
      <c r="O38" s="83">
        <f>O28+O17</f>
        <v>0</v>
      </c>
      <c r="P38" s="83">
        <f t="shared" ref="P38:AX38" si="6">P28+P17</f>
        <v>0</v>
      </c>
      <c r="Q38" s="83">
        <f t="shared" si="6"/>
        <v>0</v>
      </c>
      <c r="R38" s="83">
        <f t="shared" si="6"/>
        <v>0</v>
      </c>
      <c r="S38" s="83">
        <f t="shared" si="6"/>
        <v>0</v>
      </c>
      <c r="T38" s="83">
        <f t="shared" si="6"/>
        <v>0</v>
      </c>
      <c r="U38" s="83">
        <f t="shared" si="6"/>
        <v>0</v>
      </c>
      <c r="V38" s="83">
        <f t="shared" si="6"/>
        <v>0</v>
      </c>
      <c r="W38" s="83">
        <f t="shared" si="6"/>
        <v>0</v>
      </c>
      <c r="X38" s="83">
        <f t="shared" si="6"/>
        <v>0</v>
      </c>
      <c r="Y38" s="83">
        <f t="shared" si="6"/>
        <v>0</v>
      </c>
      <c r="Z38" s="83">
        <f t="shared" si="6"/>
        <v>0</v>
      </c>
      <c r="AA38" s="83">
        <f t="shared" si="6"/>
        <v>60.777121312662402</v>
      </c>
      <c r="AB38" s="83">
        <f t="shared" si="6"/>
        <v>105.97885331833436</v>
      </c>
      <c r="AC38" s="83">
        <f t="shared" si="6"/>
        <v>138.45028688446803</v>
      </c>
      <c r="AD38" s="83">
        <f t="shared" si="6"/>
        <v>161.28637298077001</v>
      </c>
      <c r="AE38" s="83">
        <f t="shared" si="6"/>
        <v>209.65028106966034</v>
      </c>
      <c r="AF38" s="83">
        <f t="shared" si="6"/>
        <v>242.04135402089932</v>
      </c>
      <c r="AG38" s="83">
        <f t="shared" si="6"/>
        <v>260.42262611491037</v>
      </c>
      <c r="AH38" s="83">
        <f t="shared" si="6"/>
        <v>266.52449570189708</v>
      </c>
      <c r="AI38" s="83">
        <f t="shared" si="6"/>
        <v>227.24369298118944</v>
      </c>
      <c r="AJ38" s="83">
        <f t="shared" si="6"/>
        <v>175.62986622778016</v>
      </c>
      <c r="AK38" s="83">
        <f t="shared" si="6"/>
        <v>137.97925005668532</v>
      </c>
      <c r="AL38" s="83">
        <f t="shared" si="6"/>
        <v>112.03977605200501</v>
      </c>
      <c r="AM38" s="83">
        <f t="shared" si="6"/>
        <v>102.79147968641414</v>
      </c>
      <c r="AN38" s="83">
        <f t="shared" si="6"/>
        <v>93.677072227972872</v>
      </c>
      <c r="AO38" s="83">
        <f t="shared" si="6"/>
        <v>83.863476115449288</v>
      </c>
      <c r="AP38" s="83">
        <f t="shared" si="6"/>
        <v>74.279554446766838</v>
      </c>
      <c r="AQ38" s="83">
        <f t="shared" si="6"/>
        <v>64.876709494541501</v>
      </c>
      <c r="AR38" s="83">
        <f t="shared" si="6"/>
        <v>55.606107544798789</v>
      </c>
      <c r="AS38" s="83">
        <f t="shared" si="6"/>
        <v>46.418710858623555</v>
      </c>
      <c r="AT38" s="83">
        <f t="shared" si="6"/>
        <v>37.837660724205492</v>
      </c>
      <c r="AU38" s="83">
        <f t="shared" si="6"/>
        <v>28.92111759041093</v>
      </c>
      <c r="AV38" s="83">
        <f t="shared" si="6"/>
        <v>19.653352186216953</v>
      </c>
      <c r="AW38" s="83">
        <f t="shared" si="6"/>
        <v>10.018384865929807</v>
      </c>
      <c r="AX38" s="83">
        <f t="shared" si="6"/>
        <v>0</v>
      </c>
    </row>
    <row r="39" spans="2:50">
      <c r="O39" s="74"/>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row>
    <row r="40" spans="2:50" s="67" customFormat="1">
      <c r="B40" s="67" t="s">
        <v>798</v>
      </c>
      <c r="O40" s="68"/>
      <c r="P40" s="68"/>
      <c r="Q40" s="68"/>
      <c r="R40" s="68"/>
      <c r="S40" s="68"/>
      <c r="T40" s="68"/>
      <c r="U40" s="68"/>
      <c r="V40" s="68"/>
      <c r="W40" s="68"/>
      <c r="X40" s="68"/>
      <c r="Y40" s="68"/>
      <c r="Z40" s="68"/>
      <c r="AA40" s="68"/>
      <c r="AB40" s="68"/>
      <c r="AC40" s="68"/>
      <c r="AD40" s="68"/>
      <c r="AE40" s="68"/>
      <c r="AF40" s="68"/>
      <c r="AG40" s="68"/>
      <c r="AH40" s="68"/>
      <c r="AI40" s="68"/>
      <c r="AJ40" s="68"/>
      <c r="AK40" s="68"/>
      <c r="AL40" s="68"/>
      <c r="AM40" s="68"/>
      <c r="AN40" s="68"/>
      <c r="AO40" s="68"/>
      <c r="AP40" s="68"/>
      <c r="AQ40" s="68"/>
      <c r="AR40" s="68"/>
      <c r="AS40" s="68"/>
      <c r="AT40" s="68"/>
      <c r="AU40" s="68"/>
      <c r="AV40" s="68"/>
      <c r="AW40" s="68"/>
      <c r="AX40" s="68"/>
    </row>
    <row r="41" spans="2:50">
      <c r="O41" s="74"/>
      <c r="P41" s="75"/>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row>
    <row r="42" spans="2:50" s="43" customFormat="1">
      <c r="C42" s="43" t="s">
        <v>1365</v>
      </c>
      <c r="O42" s="71"/>
      <c r="P42" s="71"/>
      <c r="Q42" s="71"/>
      <c r="R42" s="71"/>
      <c r="S42" s="71"/>
      <c r="T42" s="71"/>
      <c r="U42" s="71"/>
      <c r="V42" s="71"/>
      <c r="W42" s="71"/>
      <c r="X42" s="71"/>
      <c r="Y42" s="71"/>
      <c r="Z42" s="71"/>
      <c r="AA42" s="71"/>
      <c r="AB42" s="71"/>
      <c r="AC42" s="71"/>
      <c r="AD42" s="71"/>
      <c r="AE42" s="71"/>
      <c r="AF42" s="71"/>
      <c r="AG42" s="71"/>
      <c r="AH42" s="71"/>
      <c r="AI42" s="71"/>
      <c r="AJ42" s="71"/>
      <c r="AK42" s="71"/>
      <c r="AL42" s="71"/>
      <c r="AM42" s="71"/>
      <c r="AN42" s="71"/>
      <c r="AO42" s="71"/>
      <c r="AP42" s="71"/>
      <c r="AQ42" s="71"/>
      <c r="AR42" s="71"/>
      <c r="AS42" s="71"/>
      <c r="AT42" s="71"/>
      <c r="AU42" s="71"/>
      <c r="AV42" s="71"/>
      <c r="AW42" s="71"/>
      <c r="AX42" s="71"/>
    </row>
    <row r="43" spans="2:50">
      <c r="O43" s="74"/>
      <c r="P43" s="75"/>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row>
    <row r="44" spans="2:50">
      <c r="D44" s="38" t="s">
        <v>157</v>
      </c>
      <c r="O44" s="74"/>
      <c r="P44" s="75"/>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75"/>
      <c r="AU44" s="75"/>
      <c r="AV44" s="75"/>
      <c r="AW44" s="75"/>
      <c r="AX44" s="75"/>
    </row>
    <row r="45" spans="2:50">
      <c r="O45" s="74"/>
      <c r="P45" s="75"/>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row>
    <row r="46" spans="2:50">
      <c r="E46" s="38" t="s">
        <v>799</v>
      </c>
      <c r="G46" s="44" t="s">
        <v>1202</v>
      </c>
      <c r="H46"/>
      <c r="I46" s="44"/>
      <c r="J46"/>
      <c r="K46" s="44"/>
      <c r="L46"/>
      <c r="M46" s="44"/>
      <c r="O46" s="83">
        <f>'Energy demand'!O$77*'Energy demand'!O100</f>
        <v>0</v>
      </c>
      <c r="P46" s="83">
        <f>'Energy demand'!P$77*'Energy demand'!P100</f>
        <v>0</v>
      </c>
      <c r="Q46" s="83">
        <f>'Energy demand'!Q$77*'Energy demand'!Q100</f>
        <v>0</v>
      </c>
      <c r="R46" s="83">
        <f>'Energy demand'!R$77*'Energy demand'!R100</f>
        <v>0</v>
      </c>
      <c r="S46" s="83">
        <f>'Energy demand'!S$77*'Energy demand'!S100</f>
        <v>0</v>
      </c>
      <c r="T46" s="83">
        <f>'Energy demand'!T$77*'Energy demand'!T100</f>
        <v>0</v>
      </c>
      <c r="U46" s="83">
        <f>'Energy demand'!U$77*'Energy demand'!U100</f>
        <v>0</v>
      </c>
      <c r="V46" s="83">
        <f>'Energy demand'!V$77*'Energy demand'!V100</f>
        <v>0</v>
      </c>
      <c r="W46" s="83">
        <f>'Energy demand'!W$77*'Energy demand'!W100</f>
        <v>0</v>
      </c>
      <c r="X46" s="83">
        <f>'Energy demand'!X$77*'Energy demand'!X100</f>
        <v>0</v>
      </c>
      <c r="Y46" s="83">
        <f>'Energy demand'!Y$77*'Energy demand'!Y100</f>
        <v>0</v>
      </c>
      <c r="Z46" s="83">
        <f>'Energy demand'!Z$77*'Energy demand'!Z100</f>
        <v>0</v>
      </c>
      <c r="AA46" s="83">
        <f>'Energy demand'!AA$77*'Energy demand'!AA100</f>
        <v>0</v>
      </c>
      <c r="AB46" s="83">
        <f>'Energy demand'!AB$77*'Energy demand'!AB100</f>
        <v>0</v>
      </c>
      <c r="AC46" s="83">
        <f>'Energy demand'!AC$77*'Energy demand'!AC100</f>
        <v>0</v>
      </c>
      <c r="AD46" s="83">
        <f>'Energy demand'!AD$77*'Energy demand'!AD100</f>
        <v>0</v>
      </c>
      <c r="AE46" s="83">
        <f>'Energy demand'!AE$77*'Energy demand'!AE100</f>
        <v>0</v>
      </c>
      <c r="AF46" s="83">
        <f>'Energy demand'!AF$77*'Energy demand'!AF100</f>
        <v>0</v>
      </c>
      <c r="AG46" s="83">
        <f>'Energy demand'!AG$77*'Energy demand'!AG100</f>
        <v>0</v>
      </c>
      <c r="AH46" s="83">
        <f>'Energy demand'!AH$77*'Energy demand'!AH100</f>
        <v>0</v>
      </c>
      <c r="AI46" s="83">
        <f>'Energy demand'!AI$77*'Energy demand'!AI100</f>
        <v>0</v>
      </c>
      <c r="AJ46" s="83">
        <f>'Energy demand'!AJ$77*'Energy demand'!AJ100</f>
        <v>0</v>
      </c>
      <c r="AK46" s="83">
        <f>'Energy demand'!AK$77*'Energy demand'!AK100</f>
        <v>0</v>
      </c>
      <c r="AL46" s="83">
        <f>'Energy demand'!AL$77*'Energy demand'!AL100</f>
        <v>0</v>
      </c>
      <c r="AM46" s="83">
        <f>'Energy demand'!AM$77*'Energy demand'!AM100</f>
        <v>0</v>
      </c>
      <c r="AN46" s="83">
        <f>'Energy demand'!AN$77*'Energy demand'!AN100</f>
        <v>0</v>
      </c>
      <c r="AO46" s="83">
        <f>'Energy demand'!AO$77*'Energy demand'!AO100</f>
        <v>0</v>
      </c>
      <c r="AP46" s="83">
        <f>'Energy demand'!AP$77*'Energy demand'!AP100</f>
        <v>0</v>
      </c>
      <c r="AQ46" s="83">
        <f>'Energy demand'!AQ$77*'Energy demand'!AQ100</f>
        <v>0</v>
      </c>
      <c r="AR46" s="83">
        <f>'Energy demand'!AR$77*'Energy demand'!AR100</f>
        <v>0</v>
      </c>
      <c r="AS46" s="83">
        <f>'Energy demand'!AS$77*'Energy demand'!AS100</f>
        <v>0</v>
      </c>
      <c r="AT46" s="83">
        <f>'Energy demand'!AT$77*'Energy demand'!AT100</f>
        <v>0</v>
      </c>
      <c r="AU46" s="83">
        <f>'Energy demand'!AU$77*'Energy demand'!AU100</f>
        <v>0</v>
      </c>
      <c r="AV46" s="83">
        <f>'Energy demand'!AV$77*'Energy demand'!AV100</f>
        <v>0</v>
      </c>
      <c r="AW46" s="83">
        <f>'Energy demand'!AW$77*'Energy demand'!AW100</f>
        <v>0</v>
      </c>
      <c r="AX46" s="83">
        <f>'Energy demand'!AX$77*'Energy demand'!AX100</f>
        <v>0</v>
      </c>
    </row>
    <row r="47" spans="2:50">
      <c r="E47" s="38" t="s">
        <v>191</v>
      </c>
      <c r="G47" s="44" t="s">
        <v>1202</v>
      </c>
      <c r="H47"/>
      <c r="I47" s="44"/>
      <c r="J47"/>
      <c r="K47" s="44"/>
      <c r="L47"/>
      <c r="M47" s="44"/>
      <c r="O47" s="83">
        <f>'Energy demand'!O$77*'Energy demand'!O101</f>
        <v>0</v>
      </c>
      <c r="P47" s="83">
        <f>'Energy demand'!P$77*'Energy demand'!P101</f>
        <v>0</v>
      </c>
      <c r="Q47" s="83">
        <f>'Energy demand'!Q$77*'Energy demand'!Q101</f>
        <v>0</v>
      </c>
      <c r="R47" s="83">
        <f>'Energy demand'!R$77*'Energy demand'!R101</f>
        <v>0</v>
      </c>
      <c r="S47" s="83">
        <f>'Energy demand'!S$77*'Energy demand'!S101</f>
        <v>0</v>
      </c>
      <c r="T47" s="83">
        <f>'Energy demand'!T$77*'Energy demand'!T101</f>
        <v>0</v>
      </c>
      <c r="U47" s="83">
        <f>'Energy demand'!U$77*'Energy demand'!U101</f>
        <v>0</v>
      </c>
      <c r="V47" s="83">
        <f>'Energy demand'!V$77*'Energy demand'!V101</f>
        <v>0</v>
      </c>
      <c r="W47" s="83">
        <f>'Energy demand'!W$77*'Energy demand'!W101</f>
        <v>0</v>
      </c>
      <c r="X47" s="83">
        <f>'Energy demand'!X$77*'Energy demand'!X101</f>
        <v>0</v>
      </c>
      <c r="Y47" s="83">
        <f>'Energy demand'!Y$77*'Energy demand'!Y101</f>
        <v>0</v>
      </c>
      <c r="Z47" s="83">
        <f>'Energy demand'!Z$77*'Energy demand'!Z101</f>
        <v>0</v>
      </c>
      <c r="AA47" s="83">
        <f>'Energy demand'!AA$77*'Energy demand'!AA101</f>
        <v>0</v>
      </c>
      <c r="AB47" s="83">
        <f>'Energy demand'!AB$77*'Energy demand'!AB101</f>
        <v>0</v>
      </c>
      <c r="AC47" s="83">
        <f>'Energy demand'!AC$77*'Energy demand'!AC101</f>
        <v>0</v>
      </c>
      <c r="AD47" s="83">
        <f>'Energy demand'!AD$77*'Energy demand'!AD101</f>
        <v>0</v>
      </c>
      <c r="AE47" s="83">
        <f>'Energy demand'!AE$77*'Energy demand'!AE101</f>
        <v>0</v>
      </c>
      <c r="AF47" s="83">
        <f>'Energy demand'!AF$77*'Energy demand'!AF101</f>
        <v>0</v>
      </c>
      <c r="AG47" s="83">
        <f>'Energy demand'!AG$77*'Energy demand'!AG101</f>
        <v>0</v>
      </c>
      <c r="AH47" s="83">
        <f>'Energy demand'!AH$77*'Energy demand'!AH101</f>
        <v>0</v>
      </c>
      <c r="AI47" s="83">
        <f>'Energy demand'!AI$77*'Energy demand'!AI101</f>
        <v>0</v>
      </c>
      <c r="AJ47" s="83">
        <f>'Energy demand'!AJ$77*'Energy demand'!AJ101</f>
        <v>0</v>
      </c>
      <c r="AK47" s="83">
        <f>'Energy demand'!AK$77*'Energy demand'!AK101</f>
        <v>0</v>
      </c>
      <c r="AL47" s="83">
        <f>'Energy demand'!AL$77*'Energy demand'!AL101</f>
        <v>0</v>
      </c>
      <c r="AM47" s="83">
        <f>'Energy demand'!AM$77*'Energy demand'!AM101</f>
        <v>0</v>
      </c>
      <c r="AN47" s="83">
        <f>'Energy demand'!AN$77*'Energy demand'!AN101</f>
        <v>0</v>
      </c>
      <c r="AO47" s="83">
        <f>'Energy demand'!AO$77*'Energy demand'!AO101</f>
        <v>0</v>
      </c>
      <c r="AP47" s="83">
        <f>'Energy demand'!AP$77*'Energy demand'!AP101</f>
        <v>0</v>
      </c>
      <c r="AQ47" s="83">
        <f>'Energy demand'!AQ$77*'Energy demand'!AQ101</f>
        <v>0</v>
      </c>
      <c r="AR47" s="83">
        <f>'Energy demand'!AR$77*'Energy demand'!AR101</f>
        <v>0</v>
      </c>
      <c r="AS47" s="83">
        <f>'Energy demand'!AS$77*'Energy demand'!AS101</f>
        <v>0</v>
      </c>
      <c r="AT47" s="83">
        <f>'Energy demand'!AT$77*'Energy demand'!AT101</f>
        <v>0</v>
      </c>
      <c r="AU47" s="83">
        <f>'Energy demand'!AU$77*'Energy demand'!AU101</f>
        <v>0</v>
      </c>
      <c r="AV47" s="83">
        <f>'Energy demand'!AV$77*'Energy demand'!AV101</f>
        <v>0</v>
      </c>
      <c r="AW47" s="83">
        <f>'Energy demand'!AW$77*'Energy demand'!AW101</f>
        <v>0</v>
      </c>
      <c r="AX47" s="83">
        <f>'Energy demand'!AX$77*'Energy demand'!AX101</f>
        <v>0</v>
      </c>
    </row>
    <row r="48" spans="2:50">
      <c r="E48" s="38" t="s">
        <v>800</v>
      </c>
      <c r="G48" s="44" t="s">
        <v>1202</v>
      </c>
      <c r="H48"/>
      <c r="I48" s="44"/>
      <c r="J48"/>
      <c r="K48" s="44"/>
      <c r="L48"/>
      <c r="M48" s="44"/>
      <c r="O48" s="83">
        <f>'Energy demand'!O$77*'Energy demand'!O102</f>
        <v>7.8043319236876467</v>
      </c>
      <c r="P48" s="83">
        <f>'Energy demand'!P$77*'Energy demand'!P102</f>
        <v>13.846942334089363</v>
      </c>
      <c r="Q48" s="83">
        <f>'Energy demand'!Q$77*'Energy demand'!Q102</f>
        <v>19.889552744491084</v>
      </c>
      <c r="R48" s="83">
        <f>'Energy demand'!R$77*'Energy demand'!R102</f>
        <v>25.932163154892805</v>
      </c>
      <c r="S48" s="83">
        <f>'Energy demand'!S$77*'Energy demand'!S102</f>
        <v>31.97477356529452</v>
      </c>
      <c r="T48" s="83">
        <f>'Energy demand'!T$77*'Energy demand'!T102</f>
        <v>38.017383975696241</v>
      </c>
      <c r="U48" s="83">
        <f>'Energy demand'!U$77*'Energy demand'!U102</f>
        <v>44.059994386097955</v>
      </c>
      <c r="V48" s="83">
        <f>'Energy demand'!V$77*'Energy demand'!V102</f>
        <v>50.102604796499676</v>
      </c>
      <c r="W48" s="83">
        <f>'Energy demand'!W$77*'Energy demand'!W102</f>
        <v>56.145215206901376</v>
      </c>
      <c r="X48" s="83">
        <f>'Energy demand'!X$77*'Energy demand'!X102</f>
        <v>62.187825617303112</v>
      </c>
      <c r="Y48" s="83">
        <f>'Energy demand'!Y$77*'Energy demand'!Y102</f>
        <v>68.230436027704812</v>
      </c>
      <c r="Z48" s="83">
        <f>'Energy demand'!Z$77*'Energy demand'!Z102</f>
        <v>81.276667825572389</v>
      </c>
      <c r="AA48" s="83">
        <f>'Energy demand'!AA$77*'Energy demand'!AA102</f>
        <v>94.322899623439895</v>
      </c>
      <c r="AB48" s="83">
        <f>'Energy demand'!AB$77*'Energy demand'!AB102</f>
        <v>107.36913142130743</v>
      </c>
      <c r="AC48" s="83">
        <f>'Energy demand'!AC$77*'Energy demand'!AC102</f>
        <v>120.41536321917496</v>
      </c>
      <c r="AD48" s="83">
        <f>'Energy demand'!AD$77*'Energy demand'!AD102</f>
        <v>133.46159501704253</v>
      </c>
      <c r="AE48" s="83">
        <f>'Energy demand'!AE$77*'Energy demand'!AE102</f>
        <v>146.50782681491003</v>
      </c>
      <c r="AF48" s="83">
        <f>'Energy demand'!AF$77*'Energy demand'!AF102</f>
        <v>159.55405861277757</v>
      </c>
      <c r="AG48" s="83">
        <f>'Energy demand'!AG$77*'Energy demand'!AG102</f>
        <v>172.6002904106451</v>
      </c>
      <c r="AH48" s="83">
        <f>'Energy demand'!AH$77*'Energy demand'!AH102</f>
        <v>185.64652220851266</v>
      </c>
      <c r="AI48" s="83">
        <f>'Energy demand'!AI$77*'Energy demand'!AI102</f>
        <v>198.69275400638017</v>
      </c>
      <c r="AJ48" s="83">
        <f>'Energy demand'!AJ$77*'Energy demand'!AJ102</f>
        <v>211.73898580424768</v>
      </c>
      <c r="AK48" s="83">
        <f>'Energy demand'!AK$77*'Energy demand'!AK102</f>
        <v>224.78521760211521</v>
      </c>
      <c r="AL48" s="83">
        <f>'Energy demand'!AL$77*'Energy demand'!AL102</f>
        <v>237.83144939998272</v>
      </c>
      <c r="AM48" s="83">
        <f>'Energy demand'!AM$77*'Energy demand'!AM102</f>
        <v>250.87768119785028</v>
      </c>
      <c r="AN48" s="83">
        <f>'Energy demand'!AN$77*'Energy demand'!AN102</f>
        <v>263.92391299571784</v>
      </c>
      <c r="AO48" s="83">
        <f>'Energy demand'!AO$77*'Energy demand'!AO102</f>
        <v>276.97014479358535</v>
      </c>
      <c r="AP48" s="83">
        <f>'Energy demand'!AP$77*'Energy demand'!AP102</f>
        <v>290.01637659145291</v>
      </c>
      <c r="AQ48" s="83">
        <f>'Energy demand'!AQ$77*'Energy demand'!AQ102</f>
        <v>303.06260838932047</v>
      </c>
      <c r="AR48" s="83">
        <f>'Energy demand'!AR$77*'Energy demand'!AR102</f>
        <v>316.10884018718792</v>
      </c>
      <c r="AS48" s="83">
        <f>'Energy demand'!AS$77*'Energy demand'!AS102</f>
        <v>329.15507198505549</v>
      </c>
      <c r="AT48" s="83">
        <f>'Energy demand'!AT$77*'Energy demand'!AT102</f>
        <v>342.20130378292305</v>
      </c>
      <c r="AU48" s="83">
        <f>'Energy demand'!AU$77*'Energy demand'!AU102</f>
        <v>355.24753558079061</v>
      </c>
      <c r="AV48" s="83">
        <f>'Energy demand'!AV$77*'Energy demand'!AV102</f>
        <v>368.29376737865812</v>
      </c>
      <c r="AW48" s="83">
        <f>'Energy demand'!AW$77*'Energy demand'!AW102</f>
        <v>381.33999917652562</v>
      </c>
      <c r="AX48" s="83">
        <f>'Energy demand'!AX$77*'Energy demand'!AX102</f>
        <v>394.38623097439319</v>
      </c>
    </row>
    <row r="49" spans="3:50" customFormat="1">
      <c r="D49" s="38"/>
      <c r="E49" t="s">
        <v>801</v>
      </c>
      <c r="G49" s="44" t="s">
        <v>1202</v>
      </c>
      <c r="I49" s="44"/>
      <c r="K49" s="44"/>
      <c r="M49" s="44"/>
      <c r="O49" s="83">
        <f>'Energy demand'!O$77*'Energy demand'!O103</f>
        <v>0</v>
      </c>
      <c r="P49" s="83">
        <f>'Energy demand'!P$77*'Energy demand'!P103</f>
        <v>0</v>
      </c>
      <c r="Q49" s="83">
        <f>'Energy demand'!Q$77*'Energy demand'!Q103</f>
        <v>0</v>
      </c>
      <c r="R49" s="83">
        <f>'Energy demand'!R$77*'Energy demand'!R103</f>
        <v>0</v>
      </c>
      <c r="S49" s="83">
        <f>'Energy demand'!S$77*'Energy demand'!S103</f>
        <v>0</v>
      </c>
      <c r="T49" s="83">
        <f>'Energy demand'!T$77*'Energy demand'!T103</f>
        <v>0</v>
      </c>
      <c r="U49" s="83">
        <f>'Energy demand'!U$77*'Energy demand'!U103</f>
        <v>0</v>
      </c>
      <c r="V49" s="83">
        <f>'Energy demand'!V$77*'Energy demand'!V103</f>
        <v>0</v>
      </c>
      <c r="W49" s="83">
        <f>'Energy demand'!W$77*'Energy demand'!W103</f>
        <v>0</v>
      </c>
      <c r="X49" s="83">
        <f>'Energy demand'!X$77*'Energy demand'!X103</f>
        <v>0</v>
      </c>
      <c r="Y49" s="83">
        <f>'Energy demand'!Y$77*'Energy demand'!Y103</f>
        <v>0</v>
      </c>
      <c r="Z49" s="83">
        <f>'Energy demand'!Z$77*'Energy demand'!Z103</f>
        <v>0</v>
      </c>
      <c r="AA49" s="83">
        <f>'Energy demand'!AA$77*'Energy demand'!AA103</f>
        <v>0</v>
      </c>
      <c r="AB49" s="83">
        <f>'Energy demand'!AB$77*'Energy demand'!AB103</f>
        <v>0</v>
      </c>
      <c r="AC49" s="83">
        <f>'Energy demand'!AC$77*'Energy demand'!AC103</f>
        <v>0</v>
      </c>
      <c r="AD49" s="83">
        <f>'Energy demand'!AD$77*'Energy demand'!AD103</f>
        <v>0</v>
      </c>
      <c r="AE49" s="83">
        <f>'Energy demand'!AE$77*'Energy demand'!AE103</f>
        <v>0</v>
      </c>
      <c r="AF49" s="83">
        <f>'Energy demand'!AF$77*'Energy demand'!AF103</f>
        <v>0</v>
      </c>
      <c r="AG49" s="83">
        <f>'Energy demand'!AG$77*'Energy demand'!AG103</f>
        <v>0</v>
      </c>
      <c r="AH49" s="83">
        <f>'Energy demand'!AH$77*'Energy demand'!AH103</f>
        <v>0</v>
      </c>
      <c r="AI49" s="83">
        <f>'Energy demand'!AI$77*'Energy demand'!AI103</f>
        <v>0</v>
      </c>
      <c r="AJ49" s="83">
        <f>'Energy demand'!AJ$77*'Energy demand'!AJ103</f>
        <v>0</v>
      </c>
      <c r="AK49" s="83">
        <f>'Energy demand'!AK$77*'Energy demand'!AK103</f>
        <v>0</v>
      </c>
      <c r="AL49" s="83">
        <f>'Energy demand'!AL$77*'Energy demand'!AL103</f>
        <v>0</v>
      </c>
      <c r="AM49" s="83">
        <f>'Energy demand'!AM$77*'Energy demand'!AM103</f>
        <v>0</v>
      </c>
      <c r="AN49" s="83">
        <f>'Energy demand'!AN$77*'Energy demand'!AN103</f>
        <v>0</v>
      </c>
      <c r="AO49" s="83">
        <f>'Energy demand'!AO$77*'Energy demand'!AO103</f>
        <v>0</v>
      </c>
      <c r="AP49" s="83">
        <f>'Energy demand'!AP$77*'Energy demand'!AP103</f>
        <v>0</v>
      </c>
      <c r="AQ49" s="83">
        <f>'Energy demand'!AQ$77*'Energy demand'!AQ103</f>
        <v>0</v>
      </c>
      <c r="AR49" s="83">
        <f>'Energy demand'!AR$77*'Energy demand'!AR103</f>
        <v>0</v>
      </c>
      <c r="AS49" s="83">
        <f>'Energy demand'!AS$77*'Energy demand'!AS103</f>
        <v>0</v>
      </c>
      <c r="AT49" s="83">
        <f>'Energy demand'!AT$77*'Energy demand'!AT103</f>
        <v>0</v>
      </c>
      <c r="AU49" s="83">
        <f>'Energy demand'!AU$77*'Energy demand'!AU103</f>
        <v>0</v>
      </c>
      <c r="AV49" s="83">
        <f>'Energy demand'!AV$77*'Energy demand'!AV103</f>
        <v>0</v>
      </c>
      <c r="AW49" s="83">
        <f>'Energy demand'!AW$77*'Energy demand'!AW103</f>
        <v>0</v>
      </c>
      <c r="AX49" s="83">
        <f>'Energy demand'!AX$77*'Energy demand'!AX103</f>
        <v>0</v>
      </c>
    </row>
    <row r="50" spans="3:50" customFormat="1">
      <c r="D50" s="38"/>
      <c r="E50" t="s">
        <v>803</v>
      </c>
      <c r="G50" s="44" t="s">
        <v>1202</v>
      </c>
      <c r="I50" s="44"/>
      <c r="K50" s="44"/>
      <c r="M50" s="44"/>
      <c r="O50" s="83">
        <f>'Energy demand'!O$77*'Energy demand'!O104</f>
        <v>91.530616445214903</v>
      </c>
      <c r="P50" s="83">
        <f>'Energy demand'!P$77*'Energy demand'!P104</f>
        <v>95.556351614193431</v>
      </c>
      <c r="Q50" s="83">
        <f>'Energy demand'!Q$77*'Energy demand'!Q104</f>
        <v>100.17237436010656</v>
      </c>
      <c r="R50" s="83">
        <f>'Energy demand'!R$77*'Energy demand'!R104</f>
        <v>105.34868851663545</v>
      </c>
      <c r="S50" s="83">
        <f>'Energy demand'!S$77*'Energy demand'!S104</f>
        <v>111.05529791746144</v>
      </c>
      <c r="T50" s="83">
        <f>'Energy demand'!T$77*'Energy demand'!T104</f>
        <v>142.06625547494679</v>
      </c>
      <c r="U50" s="83">
        <f>'Energy demand'!U$77*'Energy demand'!U104</f>
        <v>158.75081232033392</v>
      </c>
      <c r="V50" s="83">
        <f>'Energy demand'!V$77*'Energy demand'!V104</f>
        <v>178.87490281155812</v>
      </c>
      <c r="W50" s="83">
        <f>'Energy demand'!W$77*'Energy demand'!W104</f>
        <v>198.21410932476849</v>
      </c>
      <c r="X50" s="83">
        <f>'Energy demand'!X$77*'Energy demand'!X104</f>
        <v>216.85228595154649</v>
      </c>
      <c r="Y50" s="83">
        <f>'Energy demand'!Y$77*'Energy demand'!Y104</f>
        <v>234.83049939187214</v>
      </c>
      <c r="Z50" s="83">
        <f>'Energy demand'!Z$77*'Energy demand'!Z104</f>
        <v>234.99559345788012</v>
      </c>
      <c r="AA50" s="83">
        <f>'Energy demand'!AA$77*'Energy demand'!AA104</f>
        <v>234.81894153500812</v>
      </c>
      <c r="AB50" s="83">
        <f>'Energy demand'!AB$77*'Energy demand'!AB104</f>
        <v>234.38219561128381</v>
      </c>
      <c r="AC50" s="83">
        <f>'Energy demand'!AC$77*'Energy demand'!AC104</f>
        <v>233.74778647321804</v>
      </c>
      <c r="AD50" s="83">
        <f>'Energy demand'!AD$77*'Energy demand'!AD104</f>
        <v>232.95212214859697</v>
      </c>
      <c r="AE50" s="83">
        <f>'Energy demand'!AE$77*'Energy demand'!AE104</f>
        <v>228.10663890245849</v>
      </c>
      <c r="AF50" s="83">
        <f>'Energy demand'!AF$77*'Energy demand'!AF104</f>
        <v>222.32510602485297</v>
      </c>
      <c r="AG50" s="83">
        <f>'Energy demand'!AG$77*'Energy demand'!AG104</f>
        <v>203.73245787752458</v>
      </c>
      <c r="AH50" s="83">
        <f>'Energy demand'!AH$77*'Energy demand'!AH104</f>
        <v>183.76710256767515</v>
      </c>
      <c r="AI50" s="83">
        <f>'Energy demand'!AI$77*'Energy demand'!AI104</f>
        <v>163.92701875711828</v>
      </c>
      <c r="AJ50" s="83">
        <f>'Energy demand'!AJ$77*'Energy demand'!AJ104</f>
        <v>144.71832547131925</v>
      </c>
      <c r="AK50" s="83">
        <f>'Energy demand'!AK$77*'Energy demand'!AK104</f>
        <v>125.9770923625528</v>
      </c>
      <c r="AL50" s="83">
        <f>'Energy demand'!AL$77*'Energy demand'!AL104</f>
        <v>107.84464070869045</v>
      </c>
      <c r="AM50" s="83">
        <f>'Energy demand'!AM$77*'Energy demand'!AM104</f>
        <v>90.678330685312176</v>
      </c>
      <c r="AN50" s="83">
        <f>'Energy demand'!AN$77*'Energy demand'!AN104</f>
        <v>74.362074578461048</v>
      </c>
      <c r="AO50" s="83">
        <f>'Energy demand'!AO$77*'Energy demand'!AO104</f>
        <v>61.101854441778606</v>
      </c>
      <c r="AP50" s="83">
        <f>'Energy demand'!AP$77*'Energy demand'!AP104</f>
        <v>48.134833326811425</v>
      </c>
      <c r="AQ50" s="83">
        <f>'Energy demand'!AQ$77*'Energy demand'!AQ104</f>
        <v>35.500749761355571</v>
      </c>
      <c r="AR50" s="83">
        <f>'Energy demand'!AR$77*'Energy demand'!AR104</f>
        <v>23.239813758511399</v>
      </c>
      <c r="AS50" s="83">
        <f>'Energy demand'!AS$77*'Energy demand'!AS104</f>
        <v>11.392592072035281</v>
      </c>
      <c r="AT50" s="83">
        <f>'Energy demand'!AT$77*'Energy demand'!AT104</f>
        <v>0</v>
      </c>
      <c r="AU50" s="83">
        <f>'Energy demand'!AU$77*'Energy demand'!AU104</f>
        <v>0</v>
      </c>
      <c r="AV50" s="83">
        <f>'Energy demand'!AV$77*'Energy demand'!AV104</f>
        <v>0</v>
      </c>
      <c r="AW50" s="83">
        <f>'Energy demand'!AW$77*'Energy demand'!AW104</f>
        <v>0</v>
      </c>
      <c r="AX50" s="83">
        <f>'Energy demand'!AX$77*'Energy demand'!AX104</f>
        <v>0</v>
      </c>
    </row>
    <row r="51" spans="3:50" customFormat="1">
      <c r="D51" s="38"/>
      <c r="E51" t="s">
        <v>805</v>
      </c>
      <c r="G51" s="44" t="s">
        <v>1202</v>
      </c>
      <c r="I51" s="44"/>
      <c r="K51" s="44" t="s">
        <v>1366</v>
      </c>
      <c r="M51" s="44"/>
      <c r="O51" s="83">
        <f>'Energy demand'!O$77</f>
        <v>3428.0605239193087</v>
      </c>
      <c r="P51" s="83">
        <f>'Energy demand'!P$77</f>
        <v>3466.1288047474382</v>
      </c>
      <c r="Q51" s="83">
        <f>'Energy demand'!Q$77</f>
        <v>3504.1955553222033</v>
      </c>
      <c r="R51" s="83">
        <f>'Energy demand'!R$77</f>
        <v>3542.2607756436064</v>
      </c>
      <c r="S51" s="83">
        <f>'Energy demand'!S$77</f>
        <v>3557.8070821502874</v>
      </c>
      <c r="T51" s="83">
        <f>'Energy demand'!T$77</f>
        <v>3550.9703666011219</v>
      </c>
      <c r="U51" s="83">
        <f>'Energy demand'!U$77</f>
        <v>3515.165988425239</v>
      </c>
      <c r="V51" s="83">
        <f>'Energy demand'!V$77</f>
        <v>3456.590517055693</v>
      </c>
      <c r="W51" s="83">
        <f>'Energy demand'!W$77</f>
        <v>3373.7786301730116</v>
      </c>
      <c r="X51" s="83">
        <f>'Energy demand'!X$77</f>
        <v>3269.0501371310861</v>
      </c>
      <c r="Y51" s="83">
        <f>'Energy demand'!Y$77</f>
        <v>3141.9517015554525</v>
      </c>
      <c r="Z51" s="83">
        <f>'Energy demand'!Z$77</f>
        <v>2996.8361718981241</v>
      </c>
      <c r="AA51" s="83">
        <f>'Energy demand'!AA$77</f>
        <v>2905.5215427637809</v>
      </c>
      <c r="AB51" s="83">
        <f>'Energy demand'!AB$77</f>
        <v>2802.9505838271762</v>
      </c>
      <c r="AC51" s="83">
        <f>'Energy demand'!AC$77</f>
        <v>2687.5209426295382</v>
      </c>
      <c r="AD51" s="83">
        <f>'Energy demand'!AD$77</f>
        <v>2560.0261012580877</v>
      </c>
      <c r="AE51" s="83">
        <f>'Energy demand'!AE$77</f>
        <v>2574.6048725699416</v>
      </c>
      <c r="AF51" s="83">
        <f>'Energy demand'!AF$77</f>
        <v>2589.1828855784438</v>
      </c>
      <c r="AG51" s="83">
        <f>'Energy demand'!AG$77</f>
        <v>2603.7712148622977</v>
      </c>
      <c r="AH51" s="83">
        <f>'Energy demand'!AH$77</f>
        <v>2618.3355777053471</v>
      </c>
      <c r="AI51" s="83">
        <f>'Energy demand'!AI$77</f>
        <v>2633.128589421784</v>
      </c>
      <c r="AJ51" s="83">
        <f>'Energy demand'!AJ$77</f>
        <v>2649.3987324164586</v>
      </c>
      <c r="AK51" s="83">
        <f>'Energy demand'!AK$77</f>
        <v>2664.3751596380644</v>
      </c>
      <c r="AL51" s="83">
        <f>'Energy demand'!AL$77</f>
        <v>2678.8278028602003</v>
      </c>
      <c r="AM51" s="83">
        <f>'Energy demand'!AM$77</f>
        <v>2691.7026124044824</v>
      </c>
      <c r="AN51" s="83">
        <f>'Energy demand'!AN$77</f>
        <v>2704.5593582814413</v>
      </c>
      <c r="AO51" s="83">
        <f>'Energy demand'!AO$77</f>
        <v>2717.448079173761</v>
      </c>
      <c r="AP51" s="83">
        <f>'Energy demand'!AP$77</f>
        <v>2730.3137009575507</v>
      </c>
      <c r="AQ51" s="83">
        <f>'Energy demand'!AQ$77</f>
        <v>2743.1602887667418</v>
      </c>
      <c r="AR51" s="83">
        <f>'Energy demand'!AR$77</f>
        <v>2755.9918999986235</v>
      </c>
      <c r="AS51" s="83">
        <f>'Energy demand'!AS$77</f>
        <v>2768.8125827044314</v>
      </c>
      <c r="AT51" s="83">
        <f>'Energy demand'!AT$77</f>
        <v>2781.5672259283033</v>
      </c>
      <c r="AU51" s="83">
        <f>'Energy demand'!AU$77</f>
        <v>2794.3521121788458</v>
      </c>
      <c r="AV51" s="83">
        <f>'Energy demand'!AV$77</f>
        <v>2807.1677478197016</v>
      </c>
      <c r="AW51" s="83">
        <f>'Energy demand'!AW$77</f>
        <v>2820.0146514271655</v>
      </c>
      <c r="AX51" s="83">
        <f>'Energy demand'!AX$77</f>
        <v>2832.8933537274529</v>
      </c>
    </row>
    <row r="52" spans="3:50" customFormat="1">
      <c r="E52" s="38"/>
    </row>
    <row r="53" spans="3:50" customFormat="1">
      <c r="C53" s="38"/>
      <c r="D53" t="s">
        <v>722</v>
      </c>
    </row>
    <row r="54" spans="3:50">
      <c r="J54" s="61"/>
      <c r="K54" s="62"/>
      <c r="L54" s="62"/>
      <c r="M54" s="62"/>
      <c r="N54" s="62"/>
      <c r="O54" s="62"/>
      <c r="P54" s="62"/>
      <c r="Q54" s="62"/>
      <c r="R54" s="62"/>
      <c r="S54" s="62"/>
      <c r="T54" s="62"/>
      <c r="U54" s="62"/>
      <c r="V54" s="62"/>
      <c r="W54" s="62"/>
      <c r="X54" s="62"/>
      <c r="Y54" s="62"/>
      <c r="Z54" s="62"/>
      <c r="AA54" s="62"/>
      <c r="AB54" s="62"/>
      <c r="AC54" s="62"/>
      <c r="AD54" s="62"/>
      <c r="AE54" s="62"/>
      <c r="AF54" s="62"/>
      <c r="AG54" s="62"/>
      <c r="AH54" s="62"/>
      <c r="AI54" s="62"/>
      <c r="AJ54" s="62"/>
      <c r="AK54" s="62"/>
      <c r="AL54" s="62"/>
      <c r="AM54" s="62"/>
      <c r="AN54" s="62"/>
      <c r="AO54" s="62"/>
      <c r="AP54" s="62"/>
      <c r="AQ54" s="62"/>
      <c r="AR54" s="62"/>
      <c r="AS54" s="62"/>
      <c r="AT54" s="62"/>
    </row>
    <row r="55" spans="3:50">
      <c r="E55" s="38" t="s">
        <v>799</v>
      </c>
      <c r="G55" s="44" t="s">
        <v>1202</v>
      </c>
      <c r="H55"/>
      <c r="I55" s="44"/>
      <c r="J55"/>
      <c r="K55" s="44"/>
      <c r="L55"/>
      <c r="M55" s="44"/>
      <c r="N55" s="69"/>
      <c r="O55" s="83">
        <f>'Energy demand'!O$84*'Energy demand'!O109</f>
        <v>0</v>
      </c>
      <c r="P55" s="83">
        <f>'Energy demand'!P$84*'Energy demand'!P109</f>
        <v>0</v>
      </c>
      <c r="Q55" s="83">
        <f>'Energy demand'!Q$84*'Energy demand'!Q109</f>
        <v>0</v>
      </c>
      <c r="R55" s="83">
        <f>'Energy demand'!R$84*'Energy demand'!R109</f>
        <v>0</v>
      </c>
      <c r="S55" s="83">
        <f>'Energy demand'!S$84*'Energy demand'!S109</f>
        <v>0</v>
      </c>
      <c r="T55" s="83">
        <f>'Energy demand'!T$84*'Energy demand'!T109</f>
        <v>0</v>
      </c>
      <c r="U55" s="83">
        <f>'Energy demand'!U$84*'Energy demand'!U109</f>
        <v>0</v>
      </c>
      <c r="V55" s="83">
        <f>'Energy demand'!V$84*'Energy demand'!V109</f>
        <v>0</v>
      </c>
      <c r="W55" s="83">
        <f>'Energy demand'!W$84*'Energy demand'!W109</f>
        <v>0</v>
      </c>
      <c r="X55" s="83">
        <f>'Energy demand'!X$84*'Energy demand'!X109</f>
        <v>0</v>
      </c>
      <c r="Y55" s="83">
        <f>'Energy demand'!Y$84*'Energy demand'!Y109</f>
        <v>0</v>
      </c>
      <c r="Z55" s="83">
        <f>'Energy demand'!Z$84*'Energy demand'!Z109</f>
        <v>0</v>
      </c>
      <c r="AA55" s="83">
        <f>'Energy demand'!AA$84*'Energy demand'!AA109</f>
        <v>0</v>
      </c>
      <c r="AB55" s="83">
        <f>'Energy demand'!AB$84*'Energy demand'!AB109</f>
        <v>0</v>
      </c>
      <c r="AC55" s="83">
        <f>'Energy demand'!AC$84*'Energy demand'!AC109</f>
        <v>0</v>
      </c>
      <c r="AD55" s="83">
        <f>'Energy demand'!AD$84*'Energy demand'!AD109</f>
        <v>0</v>
      </c>
      <c r="AE55" s="83">
        <f>'Energy demand'!AE$84*'Energy demand'!AE109</f>
        <v>0</v>
      </c>
      <c r="AF55" s="83">
        <f>'Energy demand'!AF$84*'Energy demand'!AF109</f>
        <v>0</v>
      </c>
      <c r="AG55" s="83">
        <f>'Energy demand'!AG$84*'Energy demand'!AG109</f>
        <v>0</v>
      </c>
      <c r="AH55" s="83">
        <f>'Energy demand'!AH$84*'Energy demand'!AH109</f>
        <v>0</v>
      </c>
      <c r="AI55" s="83">
        <f>'Energy demand'!AI$84*'Energy demand'!AI109</f>
        <v>0</v>
      </c>
      <c r="AJ55" s="83">
        <f>'Energy demand'!AJ$84*'Energy demand'!AJ109</f>
        <v>0</v>
      </c>
      <c r="AK55" s="83">
        <f>'Energy demand'!AK$84*'Energy demand'!AK109</f>
        <v>0</v>
      </c>
      <c r="AL55" s="83">
        <f>'Energy demand'!AL$84*'Energy demand'!AL109</f>
        <v>0</v>
      </c>
      <c r="AM55" s="83">
        <f>'Energy demand'!AM$84*'Energy demand'!AM109</f>
        <v>0</v>
      </c>
      <c r="AN55" s="83">
        <f>'Energy demand'!AN$84*'Energy demand'!AN109</f>
        <v>0</v>
      </c>
      <c r="AO55" s="83">
        <f>'Energy demand'!AO$84*'Energy demand'!AO109</f>
        <v>0</v>
      </c>
      <c r="AP55" s="83">
        <f>'Energy demand'!AP$84*'Energy demand'!AP109</f>
        <v>0</v>
      </c>
      <c r="AQ55" s="83">
        <f>'Energy demand'!AQ$84*'Energy demand'!AQ109</f>
        <v>0</v>
      </c>
      <c r="AR55" s="83">
        <f>'Energy demand'!AR$84*'Energy demand'!AR109</f>
        <v>0</v>
      </c>
      <c r="AS55" s="83">
        <f>'Energy demand'!AS$84*'Energy demand'!AS109</f>
        <v>0</v>
      </c>
      <c r="AT55" s="83">
        <f>'Energy demand'!AT$84*'Energy demand'!AT109</f>
        <v>0</v>
      </c>
      <c r="AU55" s="83">
        <f>'Energy demand'!AU$84*'Energy demand'!AU109</f>
        <v>0</v>
      </c>
      <c r="AV55" s="83">
        <f>'Energy demand'!AV$84*'Energy demand'!AV109</f>
        <v>0</v>
      </c>
      <c r="AW55" s="83">
        <f>'Energy demand'!AW$84*'Energy demand'!AW109</f>
        <v>0</v>
      </c>
      <c r="AX55" s="83">
        <f>'Energy demand'!AX$84*'Energy demand'!AX109</f>
        <v>0</v>
      </c>
    </row>
    <row r="56" spans="3:50">
      <c r="E56" s="38" t="s">
        <v>191</v>
      </c>
      <c r="G56" s="44" t="s">
        <v>1202</v>
      </c>
      <c r="H56"/>
      <c r="I56" s="44"/>
      <c r="J56"/>
      <c r="K56" s="44"/>
      <c r="L56"/>
      <c r="M56" s="44"/>
      <c r="N56" s="69"/>
      <c r="O56" s="83">
        <f>'Energy demand'!O$84*'Energy demand'!O110</f>
        <v>0</v>
      </c>
      <c r="P56" s="83">
        <f>'Energy demand'!P$84*'Energy demand'!P110</f>
        <v>0</v>
      </c>
      <c r="Q56" s="83">
        <f>'Energy demand'!Q$84*'Energy demand'!Q110</f>
        <v>0</v>
      </c>
      <c r="R56" s="83">
        <f>'Energy demand'!R$84*'Energy demand'!R110</f>
        <v>0</v>
      </c>
      <c r="S56" s="83">
        <f>'Energy demand'!S$84*'Energy demand'!S110</f>
        <v>0</v>
      </c>
      <c r="T56" s="83">
        <f>'Energy demand'!T$84*'Energy demand'!T110</f>
        <v>0</v>
      </c>
      <c r="U56" s="83">
        <f>'Energy demand'!U$84*'Energy demand'!U110</f>
        <v>0</v>
      </c>
      <c r="V56" s="83">
        <f>'Energy demand'!V$84*'Energy demand'!V110</f>
        <v>0</v>
      </c>
      <c r="W56" s="83">
        <f>'Energy demand'!W$84*'Energy demand'!W110</f>
        <v>0</v>
      </c>
      <c r="X56" s="83">
        <f>'Energy demand'!X$84*'Energy demand'!X110</f>
        <v>0</v>
      </c>
      <c r="Y56" s="83">
        <f>'Energy demand'!Y$84*'Energy demand'!Y110</f>
        <v>0</v>
      </c>
      <c r="Z56" s="83">
        <f>'Energy demand'!Z$84*'Energy demand'!Z110</f>
        <v>0</v>
      </c>
      <c r="AA56" s="83">
        <f>'Energy demand'!AA$84*'Energy demand'!AA110</f>
        <v>0</v>
      </c>
      <c r="AB56" s="83">
        <f>'Energy demand'!AB$84*'Energy demand'!AB110</f>
        <v>0</v>
      </c>
      <c r="AC56" s="83">
        <f>'Energy demand'!AC$84*'Energy demand'!AC110</f>
        <v>0</v>
      </c>
      <c r="AD56" s="83">
        <f>'Energy demand'!AD$84*'Energy demand'!AD110</f>
        <v>0</v>
      </c>
      <c r="AE56" s="83">
        <f>'Energy demand'!AE$84*'Energy demand'!AE110</f>
        <v>0</v>
      </c>
      <c r="AF56" s="83">
        <f>'Energy demand'!AF$84*'Energy demand'!AF110</f>
        <v>0</v>
      </c>
      <c r="AG56" s="83">
        <f>'Energy demand'!AG$84*'Energy demand'!AG110</f>
        <v>0</v>
      </c>
      <c r="AH56" s="83">
        <f>'Energy demand'!AH$84*'Energy demand'!AH110</f>
        <v>0</v>
      </c>
      <c r="AI56" s="83">
        <f>'Energy demand'!AI$84*'Energy demand'!AI110</f>
        <v>0</v>
      </c>
      <c r="AJ56" s="83">
        <f>'Energy demand'!AJ$84*'Energy demand'!AJ110</f>
        <v>0</v>
      </c>
      <c r="AK56" s="83">
        <f>'Energy demand'!AK$84*'Energy demand'!AK110</f>
        <v>0</v>
      </c>
      <c r="AL56" s="83">
        <f>'Energy demand'!AL$84*'Energy demand'!AL110</f>
        <v>0</v>
      </c>
      <c r="AM56" s="83">
        <f>'Energy demand'!AM$84*'Energy demand'!AM110</f>
        <v>0</v>
      </c>
      <c r="AN56" s="83">
        <f>'Energy demand'!AN$84*'Energy demand'!AN110</f>
        <v>0</v>
      </c>
      <c r="AO56" s="83">
        <f>'Energy demand'!AO$84*'Energy demand'!AO110</f>
        <v>0</v>
      </c>
      <c r="AP56" s="83">
        <f>'Energy demand'!AP$84*'Energy demand'!AP110</f>
        <v>0</v>
      </c>
      <c r="AQ56" s="83">
        <f>'Energy demand'!AQ$84*'Energy demand'!AQ110</f>
        <v>0</v>
      </c>
      <c r="AR56" s="83">
        <f>'Energy demand'!AR$84*'Energy demand'!AR110</f>
        <v>0</v>
      </c>
      <c r="AS56" s="83">
        <f>'Energy demand'!AS$84*'Energy demand'!AS110</f>
        <v>0</v>
      </c>
      <c r="AT56" s="83">
        <f>'Energy demand'!AT$84*'Energy demand'!AT110</f>
        <v>0</v>
      </c>
      <c r="AU56" s="83">
        <f>'Energy demand'!AU$84*'Energy demand'!AU110</f>
        <v>0</v>
      </c>
      <c r="AV56" s="83">
        <f>'Energy demand'!AV$84*'Energy demand'!AV110</f>
        <v>0</v>
      </c>
      <c r="AW56" s="83">
        <f>'Energy demand'!AW$84*'Energy demand'!AW110</f>
        <v>0</v>
      </c>
      <c r="AX56" s="83">
        <f>'Energy demand'!AX$84*'Energy demand'!AX110</f>
        <v>0</v>
      </c>
    </row>
    <row r="57" spans="3:50" customFormat="1">
      <c r="E57" t="s">
        <v>800</v>
      </c>
      <c r="G57" s="44" t="s">
        <v>1202</v>
      </c>
      <c r="I57" s="44"/>
      <c r="K57" s="44"/>
      <c r="M57" s="44"/>
      <c r="O57" s="83">
        <f>'Energy demand'!O$84*'Energy demand'!O111</f>
        <v>1.8260362353321824</v>
      </c>
      <c r="P57" s="83">
        <f>'Energy demand'!P$84*'Energy demand'!P111</f>
        <v>3.146442664226158</v>
      </c>
      <c r="Q57" s="83">
        <f>'Energy demand'!Q$84*'Energy demand'!Q111</f>
        <v>4.4668490931201328</v>
      </c>
      <c r="R57" s="83">
        <f>'Energy demand'!R$84*'Energy demand'!R111</f>
        <v>5.7872555220141129</v>
      </c>
      <c r="S57" s="83">
        <f>'Energy demand'!S$84*'Energy demand'!S111</f>
        <v>7.1076619509080885</v>
      </c>
      <c r="T57" s="83">
        <f>'Energy demand'!T$84*'Energy demand'!T111</f>
        <v>8.428068379802065</v>
      </c>
      <c r="U57" s="83">
        <f>'Energy demand'!U$84*'Energy demand'!U111</f>
        <v>9.748474808696038</v>
      </c>
      <c r="V57" s="83">
        <f>'Energy demand'!V$84*'Energy demand'!V111</f>
        <v>11.068881237590016</v>
      </c>
      <c r="W57" s="83">
        <f>'Energy demand'!W$84*'Energy demand'!W111</f>
        <v>12.389287666483989</v>
      </c>
      <c r="X57" s="83">
        <f>'Energy demand'!X$84*'Energy demand'!X111</f>
        <v>13.709694095377971</v>
      </c>
      <c r="Y57" s="83">
        <f>'Energy demand'!Y$84*'Energy demand'!Y111</f>
        <v>15.030100524271949</v>
      </c>
      <c r="Z57" s="83">
        <f>'Energy demand'!Z$84*'Energy demand'!Z111</f>
        <v>17.332571786094938</v>
      </c>
      <c r="AA57" s="83">
        <f>'Energy demand'!AA$84*'Energy demand'!AA111</f>
        <v>19.635043047917932</v>
      </c>
      <c r="AB57" s="83">
        <f>'Energy demand'!AB$84*'Energy demand'!AB111</f>
        <v>21.937514309740926</v>
      </c>
      <c r="AC57" s="83">
        <f>'Energy demand'!AC$84*'Energy demand'!AC111</f>
        <v>24.239985571563921</v>
      </c>
      <c r="AD57" s="83">
        <f>'Energy demand'!AD$84*'Energy demand'!AD111</f>
        <v>26.542456833386918</v>
      </c>
      <c r="AE57" s="83">
        <f>'Energy demand'!AE$84*'Energy demand'!AE111</f>
        <v>28.844928095209902</v>
      </c>
      <c r="AF57" s="83">
        <f>'Energy demand'!AF$84*'Energy demand'!AF111</f>
        <v>31.147399357032899</v>
      </c>
      <c r="AG57" s="83">
        <f>'Energy demand'!AG$84*'Energy demand'!AG111</f>
        <v>33.449870618855897</v>
      </c>
      <c r="AH57" s="83">
        <f>'Energy demand'!AH$84*'Energy demand'!AH111</f>
        <v>35.752341880678891</v>
      </c>
      <c r="AI57" s="83">
        <f>'Energy demand'!AI$84*'Energy demand'!AI111</f>
        <v>38.054813142501885</v>
      </c>
      <c r="AJ57" s="83">
        <f>'Energy demand'!AJ$84*'Energy demand'!AJ111</f>
        <v>40.357284404324879</v>
      </c>
      <c r="AK57" s="83">
        <f>'Energy demand'!AK$84*'Energy demand'!AK111</f>
        <v>42.659755666147873</v>
      </c>
      <c r="AL57" s="83">
        <f>'Energy demand'!AL$84*'Energy demand'!AL111</f>
        <v>44.962226927970875</v>
      </c>
      <c r="AM57" s="83">
        <f>'Energy demand'!AM$84*'Energy demand'!AM111</f>
        <v>47.264698189793869</v>
      </c>
      <c r="AN57" s="83">
        <f>'Energy demand'!AN$84*'Energy demand'!AN111</f>
        <v>49.567169451616849</v>
      </c>
      <c r="AO57" s="83">
        <f>'Energy demand'!AO$84*'Energy demand'!AO111</f>
        <v>51.869640713439857</v>
      </c>
      <c r="AP57" s="83">
        <f>'Energy demand'!AP$84*'Energy demand'!AP111</f>
        <v>54.172111975262837</v>
      </c>
      <c r="AQ57" s="83">
        <f>'Energy demand'!AQ$84*'Energy demand'!AQ111</f>
        <v>56.474583237085845</v>
      </c>
      <c r="AR57" s="83">
        <f>'Energy demand'!AR$84*'Energy demand'!AR111</f>
        <v>58.777054498908832</v>
      </c>
      <c r="AS57" s="83">
        <f>'Energy demand'!AS$84*'Energy demand'!AS111</f>
        <v>61.079525760731826</v>
      </c>
      <c r="AT57" s="83">
        <f>'Energy demand'!AT$84*'Energy demand'!AT111</f>
        <v>63.381997022554827</v>
      </c>
      <c r="AU57" s="83">
        <f>'Energy demand'!AU$84*'Energy demand'!AU111</f>
        <v>65.684468284377814</v>
      </c>
      <c r="AV57" s="83">
        <f>'Energy demand'!AV$84*'Energy demand'!AV111</f>
        <v>67.986939546200787</v>
      </c>
      <c r="AW57" s="83">
        <f>'Energy demand'!AW$84*'Energy demand'!AW111</f>
        <v>70.289410808023788</v>
      </c>
      <c r="AX57" s="83">
        <f>'Energy demand'!AX$84*'Energy demand'!AX111</f>
        <v>72.59188206984679</v>
      </c>
    </row>
    <row r="58" spans="3:50" customFormat="1">
      <c r="E58" t="s">
        <v>801</v>
      </c>
      <c r="G58" s="44" t="s">
        <v>1202</v>
      </c>
      <c r="I58" s="44"/>
      <c r="K58" s="44"/>
      <c r="M58" s="44"/>
      <c r="O58" s="83">
        <f>'Energy demand'!O$84*'Energy demand'!O112</f>
        <v>0</v>
      </c>
      <c r="P58" s="83">
        <f>'Energy demand'!P$84*'Energy demand'!P112</f>
        <v>0</v>
      </c>
      <c r="Q58" s="83">
        <f>'Energy demand'!Q$84*'Energy demand'!Q112</f>
        <v>0</v>
      </c>
      <c r="R58" s="83">
        <f>'Energy demand'!R$84*'Energy demand'!R112</f>
        <v>0</v>
      </c>
      <c r="S58" s="83">
        <f>'Energy demand'!S$84*'Energy demand'!S112</f>
        <v>0</v>
      </c>
      <c r="T58" s="83">
        <f>'Energy demand'!T$84*'Energy demand'!T112</f>
        <v>0</v>
      </c>
      <c r="U58" s="83">
        <f>'Energy demand'!U$84*'Energy demand'!U112</f>
        <v>0</v>
      </c>
      <c r="V58" s="83">
        <f>'Energy demand'!V$84*'Energy demand'!V112</f>
        <v>0</v>
      </c>
      <c r="W58" s="83">
        <f>'Energy demand'!W$84*'Energy demand'!W112</f>
        <v>0</v>
      </c>
      <c r="X58" s="83">
        <f>'Energy demand'!X$84*'Energy demand'!X112</f>
        <v>0</v>
      </c>
      <c r="Y58" s="83">
        <f>'Energy demand'!Y$84*'Energy demand'!Y112</f>
        <v>0</v>
      </c>
      <c r="Z58" s="83">
        <f>'Energy demand'!Z$84*'Energy demand'!Z112</f>
        <v>0</v>
      </c>
      <c r="AA58" s="83">
        <f>'Energy demand'!AA$84*'Energy demand'!AA112</f>
        <v>0</v>
      </c>
      <c r="AB58" s="83">
        <f>'Energy demand'!AB$84*'Energy demand'!AB112</f>
        <v>0</v>
      </c>
      <c r="AC58" s="83">
        <f>'Energy demand'!AC$84*'Energy demand'!AC112</f>
        <v>0</v>
      </c>
      <c r="AD58" s="83">
        <f>'Energy demand'!AD$84*'Energy demand'!AD112</f>
        <v>0</v>
      </c>
      <c r="AE58" s="83">
        <f>'Energy demand'!AE$84*'Energy demand'!AE112</f>
        <v>0</v>
      </c>
      <c r="AF58" s="83">
        <f>'Energy demand'!AF$84*'Energy demand'!AF112</f>
        <v>0</v>
      </c>
      <c r="AG58" s="83">
        <f>'Energy demand'!AG$84*'Energy demand'!AG112</f>
        <v>0</v>
      </c>
      <c r="AH58" s="83">
        <f>'Energy demand'!AH$84*'Energy demand'!AH112</f>
        <v>0</v>
      </c>
      <c r="AI58" s="83">
        <f>'Energy demand'!AI$84*'Energy demand'!AI112</f>
        <v>0</v>
      </c>
      <c r="AJ58" s="83">
        <f>'Energy demand'!AJ$84*'Energy demand'!AJ112</f>
        <v>0</v>
      </c>
      <c r="AK58" s="83">
        <f>'Energy demand'!AK$84*'Energy demand'!AK112</f>
        <v>0</v>
      </c>
      <c r="AL58" s="83">
        <f>'Energy demand'!AL$84*'Energy demand'!AL112</f>
        <v>0</v>
      </c>
      <c r="AM58" s="83">
        <f>'Energy demand'!AM$84*'Energy demand'!AM112</f>
        <v>0</v>
      </c>
      <c r="AN58" s="83">
        <f>'Energy demand'!AN$84*'Energy demand'!AN112</f>
        <v>0</v>
      </c>
      <c r="AO58" s="83">
        <f>'Energy demand'!AO$84*'Energy demand'!AO112</f>
        <v>0</v>
      </c>
      <c r="AP58" s="83">
        <f>'Energy demand'!AP$84*'Energy demand'!AP112</f>
        <v>0</v>
      </c>
      <c r="AQ58" s="83">
        <f>'Energy demand'!AQ$84*'Energy demand'!AQ112</f>
        <v>0</v>
      </c>
      <c r="AR58" s="83">
        <f>'Energy demand'!AR$84*'Energy demand'!AR112</f>
        <v>0</v>
      </c>
      <c r="AS58" s="83">
        <f>'Energy demand'!AS$84*'Energy demand'!AS112</f>
        <v>0</v>
      </c>
      <c r="AT58" s="83">
        <f>'Energy demand'!AT$84*'Energy demand'!AT112</f>
        <v>0</v>
      </c>
      <c r="AU58" s="83">
        <f>'Energy demand'!AU$84*'Energy demand'!AU112</f>
        <v>0</v>
      </c>
      <c r="AV58" s="83">
        <f>'Energy demand'!AV$84*'Energy demand'!AV112</f>
        <v>0</v>
      </c>
      <c r="AW58" s="83">
        <f>'Energy demand'!AW$84*'Energy demand'!AW112</f>
        <v>0</v>
      </c>
      <c r="AX58" s="83">
        <f>'Energy demand'!AX$84*'Energy demand'!AX112</f>
        <v>0</v>
      </c>
    </row>
    <row r="59" spans="3:50" customFormat="1">
      <c r="E59" t="s">
        <v>803</v>
      </c>
      <c r="G59" s="44" t="s">
        <v>1202</v>
      </c>
      <c r="I59" s="44"/>
      <c r="K59" s="44"/>
      <c r="M59" s="44"/>
      <c r="O59" s="83">
        <f>'Energy demand'!O$84*'Energy demand'!O113</f>
        <v>135.12346645393995</v>
      </c>
      <c r="P59" s="83">
        <f>'Energy demand'!P$84*'Energy demand'!P113</f>
        <v>138.23939929454696</v>
      </c>
      <c r="Q59" s="83">
        <f>'Energy demand'!Q$84*'Energy demand'!Q113</f>
        <v>141.42608918452459</v>
      </c>
      <c r="R59" s="83">
        <f>'Energy demand'!R$84*'Energy demand'!R113</f>
        <v>144.67520398634986</v>
      </c>
      <c r="S59" s="83">
        <f>'Energy demand'!S$84*'Energy demand'!S113</f>
        <v>147.97841156249959</v>
      </c>
      <c r="T59" s="83">
        <f>'Energy demand'!T$84*'Energy demand'!T113</f>
        <v>174.83761459605424</v>
      </c>
      <c r="U59" s="83">
        <f>'Energy demand'!U$84*'Energy demand'!U113</f>
        <v>182.64575665722666</v>
      </c>
      <c r="V59" s="83">
        <f>'Energy demand'!V$84*'Energy demand'!V113</f>
        <v>190.76587154366402</v>
      </c>
      <c r="W59" s="83">
        <f>'Energy demand'!W$84*'Energy demand'!W113</f>
        <v>197.65202101863051</v>
      </c>
      <c r="X59" s="83">
        <f>'Energy demand'!X$84*'Energy demand'!X113</f>
        <v>203.28739097689785</v>
      </c>
      <c r="Y59" s="83">
        <f>'Energy demand'!Y$84*'Energy demand'!Y113</f>
        <v>207.50817310007895</v>
      </c>
      <c r="Z59" s="83">
        <f>'Energy demand'!Z$84*'Energy demand'!Z113</f>
        <v>197.80089192988709</v>
      </c>
      <c r="AA59" s="83">
        <f>'Energy demand'!AA$84*'Energy demand'!AA113</f>
        <v>188.43535674857475</v>
      </c>
      <c r="AB59" s="83">
        <f>'Energy demand'!AB$84*'Energy demand'!AB113</f>
        <v>179.32991556811442</v>
      </c>
      <c r="AC59" s="83">
        <f>'Energy demand'!AC$84*'Energy demand'!AC113</f>
        <v>170.42213760199581</v>
      </c>
      <c r="AD59" s="83">
        <f>'Energy demand'!AD$84*'Energy demand'!AD113</f>
        <v>161.67561482243252</v>
      </c>
      <c r="AE59" s="83">
        <f>'Energy demand'!AE$84*'Energy demand'!AE113</f>
        <v>156.9789109643865</v>
      </c>
      <c r="AF59" s="83">
        <f>'Energy demand'!AF$84*'Energy demand'!AF113</f>
        <v>151.72812171651174</v>
      </c>
      <c r="AG59" s="83">
        <f>'Energy demand'!AG$84*'Energy demand'!AG113</f>
        <v>137.73966479315393</v>
      </c>
      <c r="AH59" s="83">
        <f>'Energy demand'!AH$84*'Energy demand'!AH113</f>
        <v>123.46008030600818</v>
      </c>
      <c r="AI59" s="83">
        <f>'Energy demand'!AI$84*'Energy demand'!AI113</f>
        <v>109.23090590283695</v>
      </c>
      <c r="AJ59" s="83">
        <f>'Energy demand'!AJ$84*'Energy demand'!AJ113</f>
        <v>95.455172586120213</v>
      </c>
      <c r="AK59" s="83">
        <f>'Energy demand'!AK$84*'Energy demand'!AK113</f>
        <v>82.188655448409989</v>
      </c>
      <c r="AL59" s="83">
        <f>'Energy demand'!AL$84*'Energy demand'!AL113</f>
        <v>69.546734656412966</v>
      </c>
      <c r="AM59" s="83">
        <f>'Energy demand'!AM$84*'Energy demand'!AM113</f>
        <v>57.692506573685719</v>
      </c>
      <c r="AN59" s="83">
        <f>'Energy demand'!AN$84*'Energy demand'!AN113</f>
        <v>46.642578723197417</v>
      </c>
      <c r="AO59" s="83">
        <f>'Energy demand'!AO$84*'Energy demand'!AO113</f>
        <v>38.48797645694232</v>
      </c>
      <c r="AP59" s="83">
        <f>'Energy demand'!AP$84*'Energy demand'!AP113</f>
        <v>30.439077597853306</v>
      </c>
      <c r="AQ59" s="83">
        <f>'Energy demand'!AQ$84*'Energy demand'!AQ113</f>
        <v>22.531331394065216</v>
      </c>
      <c r="AR59" s="83">
        <f>'Energy demand'!AR$84*'Energy demand'!AR113</f>
        <v>14.79950636002704</v>
      </c>
      <c r="AS59" s="83">
        <f>'Energy demand'!AS$84*'Energy demand'!AS113</f>
        <v>7.2778078766266914</v>
      </c>
      <c r="AT59" s="83">
        <f>'Energy demand'!AT$84*'Energy demand'!AT113</f>
        <v>0</v>
      </c>
      <c r="AU59" s="83">
        <f>'Energy demand'!AU$84*'Energy demand'!AU113</f>
        <v>0</v>
      </c>
      <c r="AV59" s="83">
        <f>'Energy demand'!AV$84*'Energy demand'!AV113</f>
        <v>0</v>
      </c>
      <c r="AW59" s="83">
        <f>'Energy demand'!AW$84*'Energy demand'!AW113</f>
        <v>0</v>
      </c>
      <c r="AX59" s="83">
        <f>'Energy demand'!AX$84*'Energy demand'!AX113</f>
        <v>0</v>
      </c>
    </row>
    <row r="60" spans="3:50" customFormat="1">
      <c r="E60" t="s">
        <v>805</v>
      </c>
      <c r="G60" s="44" t="s">
        <v>1202</v>
      </c>
      <c r="I60" s="44"/>
      <c r="K60" s="44" t="s">
        <v>1366</v>
      </c>
      <c r="M60" s="44"/>
      <c r="O60" s="83">
        <f>'Energy demand'!O$84+'Energy demand'!O138</f>
        <v>11427.320410239481</v>
      </c>
      <c r="P60" s="83">
        <f>'Energy demand'!P$84+'Energy demand'!P138</f>
        <v>11485.807557280064</v>
      </c>
      <c r="Q60" s="83">
        <f>'Energy demand'!Q$84+'Energy demand'!Q138</f>
        <v>11538.01979622951</v>
      </c>
      <c r="R60" s="83">
        <f>'Energy demand'!R$84+'Energy demand'!R138</f>
        <v>11590.030115079491</v>
      </c>
      <c r="S60" s="83">
        <f>'Energy demand'!S$84+'Energy demand'!S138</f>
        <v>11612.524455391853</v>
      </c>
      <c r="T60" s="83">
        <f>'Energy demand'!T$84+'Energy demand'!T138</f>
        <v>11691.153848243135</v>
      </c>
      <c r="U60" s="83">
        <f>'Energy demand'!U$84+'Energy demand'!U138</f>
        <v>11715.274695237005</v>
      </c>
      <c r="V60" s="83">
        <f>'Energy demand'!V$84+'Energy demand'!V138</f>
        <v>11739.646507197864</v>
      </c>
      <c r="W60" s="83">
        <f>'Energy demand'!W$84+'Energy demand'!W138</f>
        <v>11712.325982949726</v>
      </c>
      <c r="X60" s="83">
        <f>'Energy demand'!X$84+'Energy demand'!X138</f>
        <v>11638.65460137142</v>
      </c>
      <c r="Y60" s="83">
        <f>'Energy demand'!Y$84+'Energy demand'!Y138</f>
        <v>11525.38774300263</v>
      </c>
      <c r="Z60" s="83">
        <f>'Energy demand'!Z$84+'Energy demand'!Z138</f>
        <v>11370.681520758799</v>
      </c>
      <c r="AA60" s="83">
        <f>'Energy demand'!AA$84+'Energy demand'!AA138</f>
        <v>11183.783386939176</v>
      </c>
      <c r="AB60" s="83">
        <f>'Energy demand'!AB$84+'Energy demand'!AB138</f>
        <v>10967.947216212217</v>
      </c>
      <c r="AC60" s="83">
        <f>'Energy demand'!AC$84+'Energy demand'!AC138</f>
        <v>10719.299851287604</v>
      </c>
      <c r="AD60" s="83">
        <f>'Energy demand'!AD$84+'Energy demand'!AD138</f>
        <v>10439.255666130995</v>
      </c>
      <c r="AE60" s="83">
        <f>'Energy demand'!AE$84+'Energy demand'!AE138</f>
        <v>10490.571911983616</v>
      </c>
      <c r="AF60" s="83">
        <f>'Energy demand'!AF$84+'Energy demand'!AF138</f>
        <v>10540.813339285007</v>
      </c>
      <c r="AG60" s="83">
        <f>'Energy demand'!AG$84+'Energy demand'!AG138</f>
        <v>10590.243320343241</v>
      </c>
      <c r="AH60" s="83">
        <f>'Energy demand'!AH$84+'Energy demand'!AH138</f>
        <v>10639.082100409436</v>
      </c>
      <c r="AI60" s="83">
        <f>'Energy demand'!AI$84+'Energy demand'!AI138</f>
        <v>10687.933978678264</v>
      </c>
      <c r="AJ60" s="83">
        <f>'Energy demand'!AJ$84+'Energy demand'!AJ138</f>
        <v>10743.941962775205</v>
      </c>
      <c r="AK60" s="83">
        <f>'Energy demand'!AK$84+'Energy demand'!AK138</f>
        <v>10798.184518317275</v>
      </c>
      <c r="AL60" s="83">
        <f>'Energy demand'!AL$84+'Energy demand'!AL138</f>
        <v>10850.921196991325</v>
      </c>
      <c r="AM60" s="83">
        <f>'Energy demand'!AM$84+'Energy demand'!AM138</f>
        <v>10902.380214646559</v>
      </c>
      <c r="AN60" s="83">
        <f>'Energy demand'!AN$84+'Energy demand'!AN138</f>
        <v>10952.763608502151</v>
      </c>
      <c r="AO60" s="83">
        <f>'Energy demand'!AO$84+'Energy demand'!AO138</f>
        <v>11002.251382801482</v>
      </c>
      <c r="AP60" s="83">
        <f>'Energy demand'!AP$84+'Energy demand'!AP138</f>
        <v>11051.004870486155</v>
      </c>
      <c r="AQ60" s="83">
        <f>'Energy demand'!AQ$84+'Energy demand'!AQ138</f>
        <v>11099.16948127073</v>
      </c>
      <c r="AR60" s="83">
        <f>'Energy demand'!AR$84+'Energy demand'!AR138</f>
        <v>11146.876965064104</v>
      </c>
      <c r="AS60" s="83">
        <f>'Energy demand'!AS$84+'Energy demand'!AS138</f>
        <v>11194.24728931197</v>
      </c>
      <c r="AT60" s="83">
        <f>'Energy demand'!AT$84+'Energy demand'!AT138</f>
        <v>11241.390206328213</v>
      </c>
      <c r="AU60" s="83">
        <f>'Energy demand'!AU$84+'Energy demand'!AU138</f>
        <v>11288.406569834046</v>
      </c>
      <c r="AV60" s="83">
        <f>'Energy demand'!AV$84+'Energy demand'!AV138</f>
        <v>11335.389447188727</v>
      </c>
      <c r="AW60" s="83">
        <f>'Energy demand'!AW$84+'Energy demand'!AW138</f>
        <v>11382.425064083507</v>
      </c>
      <c r="AX60" s="83">
        <f>'Energy demand'!AX$84+'Energy demand'!AX138</f>
        <v>11429.593611000626</v>
      </c>
    </row>
    <row r="61" spans="3:50" customFormat="1"/>
    <row r="62" spans="3:50" customFormat="1">
      <c r="D62" t="s">
        <v>1343</v>
      </c>
    </row>
    <row r="63" spans="3:50" customFormat="1"/>
    <row r="64" spans="3:50" customFormat="1">
      <c r="E64" t="s">
        <v>799</v>
      </c>
      <c r="G64" s="44" t="s">
        <v>1202</v>
      </c>
      <c r="I64" s="44"/>
      <c r="K64" s="44"/>
      <c r="M64" s="44"/>
      <c r="O64" s="83">
        <f>O46+O55</f>
        <v>0</v>
      </c>
      <c r="P64" s="83">
        <f t="shared" ref="P64:AX64" si="7">P46+P55</f>
        <v>0</v>
      </c>
      <c r="Q64" s="83">
        <f t="shared" si="7"/>
        <v>0</v>
      </c>
      <c r="R64" s="83">
        <f t="shared" si="7"/>
        <v>0</v>
      </c>
      <c r="S64" s="83">
        <f t="shared" si="7"/>
        <v>0</v>
      </c>
      <c r="T64" s="83">
        <f t="shared" si="7"/>
        <v>0</v>
      </c>
      <c r="U64" s="83">
        <f t="shared" si="7"/>
        <v>0</v>
      </c>
      <c r="V64" s="83">
        <f t="shared" si="7"/>
        <v>0</v>
      </c>
      <c r="W64" s="83">
        <f t="shared" si="7"/>
        <v>0</v>
      </c>
      <c r="X64" s="83">
        <f t="shared" si="7"/>
        <v>0</v>
      </c>
      <c r="Y64" s="83">
        <f t="shared" si="7"/>
        <v>0</v>
      </c>
      <c r="Z64" s="83">
        <f t="shared" si="7"/>
        <v>0</v>
      </c>
      <c r="AA64" s="83">
        <f t="shared" si="7"/>
        <v>0</v>
      </c>
      <c r="AB64" s="83">
        <f t="shared" si="7"/>
        <v>0</v>
      </c>
      <c r="AC64" s="83">
        <f t="shared" si="7"/>
        <v>0</v>
      </c>
      <c r="AD64" s="83">
        <f t="shared" si="7"/>
        <v>0</v>
      </c>
      <c r="AE64" s="83">
        <f t="shared" si="7"/>
        <v>0</v>
      </c>
      <c r="AF64" s="83">
        <f t="shared" si="7"/>
        <v>0</v>
      </c>
      <c r="AG64" s="83">
        <f t="shared" si="7"/>
        <v>0</v>
      </c>
      <c r="AH64" s="83">
        <f t="shared" si="7"/>
        <v>0</v>
      </c>
      <c r="AI64" s="83">
        <f t="shared" si="7"/>
        <v>0</v>
      </c>
      <c r="AJ64" s="83">
        <f t="shared" si="7"/>
        <v>0</v>
      </c>
      <c r="AK64" s="83">
        <f t="shared" si="7"/>
        <v>0</v>
      </c>
      <c r="AL64" s="83">
        <f t="shared" si="7"/>
        <v>0</v>
      </c>
      <c r="AM64" s="83">
        <f t="shared" si="7"/>
        <v>0</v>
      </c>
      <c r="AN64" s="83">
        <f t="shared" si="7"/>
        <v>0</v>
      </c>
      <c r="AO64" s="83">
        <f t="shared" si="7"/>
        <v>0</v>
      </c>
      <c r="AP64" s="83">
        <f t="shared" si="7"/>
        <v>0</v>
      </c>
      <c r="AQ64" s="83">
        <f t="shared" si="7"/>
        <v>0</v>
      </c>
      <c r="AR64" s="83">
        <f t="shared" si="7"/>
        <v>0</v>
      </c>
      <c r="AS64" s="83">
        <f t="shared" si="7"/>
        <v>0</v>
      </c>
      <c r="AT64" s="83">
        <f t="shared" si="7"/>
        <v>0</v>
      </c>
      <c r="AU64" s="83">
        <f t="shared" si="7"/>
        <v>0</v>
      </c>
      <c r="AV64" s="83">
        <f t="shared" si="7"/>
        <v>0</v>
      </c>
      <c r="AW64" s="83">
        <f t="shared" si="7"/>
        <v>0</v>
      </c>
      <c r="AX64" s="83">
        <f t="shared" si="7"/>
        <v>0</v>
      </c>
    </row>
    <row r="65" spans="2:50" customFormat="1">
      <c r="E65" t="s">
        <v>191</v>
      </c>
      <c r="G65" s="44" t="s">
        <v>1202</v>
      </c>
      <c r="I65" s="44"/>
      <c r="K65" s="44"/>
      <c r="M65" s="44"/>
      <c r="O65" s="83">
        <f t="shared" ref="O65:AX65" si="8">O47+O56</f>
        <v>0</v>
      </c>
      <c r="P65" s="83">
        <f t="shared" si="8"/>
        <v>0</v>
      </c>
      <c r="Q65" s="83">
        <f t="shared" si="8"/>
        <v>0</v>
      </c>
      <c r="R65" s="83">
        <f t="shared" si="8"/>
        <v>0</v>
      </c>
      <c r="S65" s="83">
        <f t="shared" si="8"/>
        <v>0</v>
      </c>
      <c r="T65" s="83">
        <f t="shared" si="8"/>
        <v>0</v>
      </c>
      <c r="U65" s="83">
        <f t="shared" si="8"/>
        <v>0</v>
      </c>
      <c r="V65" s="83">
        <f t="shared" si="8"/>
        <v>0</v>
      </c>
      <c r="W65" s="83">
        <f t="shared" si="8"/>
        <v>0</v>
      </c>
      <c r="X65" s="83">
        <f t="shared" si="8"/>
        <v>0</v>
      </c>
      <c r="Y65" s="83">
        <f t="shared" si="8"/>
        <v>0</v>
      </c>
      <c r="Z65" s="83">
        <f t="shared" si="8"/>
        <v>0</v>
      </c>
      <c r="AA65" s="83">
        <f t="shared" si="8"/>
        <v>0</v>
      </c>
      <c r="AB65" s="83">
        <f t="shared" si="8"/>
        <v>0</v>
      </c>
      <c r="AC65" s="83">
        <f t="shared" si="8"/>
        <v>0</v>
      </c>
      <c r="AD65" s="83">
        <f t="shared" si="8"/>
        <v>0</v>
      </c>
      <c r="AE65" s="83">
        <f t="shared" si="8"/>
        <v>0</v>
      </c>
      <c r="AF65" s="83">
        <f t="shared" si="8"/>
        <v>0</v>
      </c>
      <c r="AG65" s="83">
        <f t="shared" si="8"/>
        <v>0</v>
      </c>
      <c r="AH65" s="83">
        <f t="shared" si="8"/>
        <v>0</v>
      </c>
      <c r="AI65" s="83">
        <f t="shared" si="8"/>
        <v>0</v>
      </c>
      <c r="AJ65" s="83">
        <f t="shared" si="8"/>
        <v>0</v>
      </c>
      <c r="AK65" s="83">
        <f t="shared" si="8"/>
        <v>0</v>
      </c>
      <c r="AL65" s="83">
        <f t="shared" si="8"/>
        <v>0</v>
      </c>
      <c r="AM65" s="83">
        <f t="shared" si="8"/>
        <v>0</v>
      </c>
      <c r="AN65" s="83">
        <f t="shared" si="8"/>
        <v>0</v>
      </c>
      <c r="AO65" s="83">
        <f t="shared" si="8"/>
        <v>0</v>
      </c>
      <c r="AP65" s="83">
        <f t="shared" si="8"/>
        <v>0</v>
      </c>
      <c r="AQ65" s="83">
        <f t="shared" si="8"/>
        <v>0</v>
      </c>
      <c r="AR65" s="83">
        <f t="shared" si="8"/>
        <v>0</v>
      </c>
      <c r="AS65" s="83">
        <f t="shared" si="8"/>
        <v>0</v>
      </c>
      <c r="AT65" s="83">
        <f t="shared" si="8"/>
        <v>0</v>
      </c>
      <c r="AU65" s="83">
        <f t="shared" si="8"/>
        <v>0</v>
      </c>
      <c r="AV65" s="83">
        <f t="shared" si="8"/>
        <v>0</v>
      </c>
      <c r="AW65" s="83">
        <f t="shared" si="8"/>
        <v>0</v>
      </c>
      <c r="AX65" s="83">
        <f t="shared" si="8"/>
        <v>0</v>
      </c>
    </row>
    <row r="66" spans="2:50" customFormat="1">
      <c r="E66" t="s">
        <v>800</v>
      </c>
      <c r="G66" s="44" t="s">
        <v>1202</v>
      </c>
      <c r="I66" s="44"/>
      <c r="K66" s="44"/>
      <c r="M66" s="44"/>
      <c r="O66" s="83">
        <f t="shared" ref="O66:AX66" si="9">O48+O57</f>
        <v>9.6303681590198291</v>
      </c>
      <c r="P66" s="83">
        <f t="shared" si="9"/>
        <v>16.99338499831552</v>
      </c>
      <c r="Q66" s="83">
        <f t="shared" si="9"/>
        <v>24.356401837611216</v>
      </c>
      <c r="R66" s="83">
        <f t="shared" si="9"/>
        <v>31.719418676906919</v>
      </c>
      <c r="S66" s="83">
        <f t="shared" si="9"/>
        <v>39.082435516202608</v>
      </c>
      <c r="T66" s="83">
        <f t="shared" si="9"/>
        <v>46.445452355498304</v>
      </c>
      <c r="U66" s="83">
        <f t="shared" si="9"/>
        <v>53.808469194793993</v>
      </c>
      <c r="V66" s="83">
        <f t="shared" si="9"/>
        <v>61.171486034089696</v>
      </c>
      <c r="W66" s="83">
        <f t="shared" si="9"/>
        <v>68.534502873385364</v>
      </c>
      <c r="X66" s="83">
        <f t="shared" si="9"/>
        <v>75.897519712681088</v>
      </c>
      <c r="Y66" s="83">
        <f t="shared" si="9"/>
        <v>83.260536551976756</v>
      </c>
      <c r="Z66" s="83">
        <f t="shared" si="9"/>
        <v>98.609239611667334</v>
      </c>
      <c r="AA66" s="83">
        <f t="shared" si="9"/>
        <v>113.95794267135783</v>
      </c>
      <c r="AB66" s="83">
        <f t="shared" si="9"/>
        <v>129.30664573104835</v>
      </c>
      <c r="AC66" s="83">
        <f t="shared" si="9"/>
        <v>144.65534879073888</v>
      </c>
      <c r="AD66" s="83">
        <f t="shared" si="9"/>
        <v>160.00405185042945</v>
      </c>
      <c r="AE66" s="83">
        <f t="shared" si="9"/>
        <v>175.35275491011993</v>
      </c>
      <c r="AF66" s="83">
        <f t="shared" si="9"/>
        <v>190.70145796981046</v>
      </c>
      <c r="AG66" s="83">
        <f t="shared" si="9"/>
        <v>206.050161029501</v>
      </c>
      <c r="AH66" s="83">
        <f t="shared" si="9"/>
        <v>221.39886408919156</v>
      </c>
      <c r="AI66" s="83">
        <f t="shared" si="9"/>
        <v>236.74756714888207</v>
      </c>
      <c r="AJ66" s="83">
        <f t="shared" si="9"/>
        <v>252.09627020857255</v>
      </c>
      <c r="AK66" s="83">
        <f t="shared" si="9"/>
        <v>267.44497326826308</v>
      </c>
      <c r="AL66" s="83">
        <f t="shared" si="9"/>
        <v>282.79367632795356</v>
      </c>
      <c r="AM66" s="83">
        <f t="shared" si="9"/>
        <v>298.14237938764416</v>
      </c>
      <c r="AN66" s="83">
        <f t="shared" si="9"/>
        <v>313.49108244733469</v>
      </c>
      <c r="AO66" s="83">
        <f t="shared" si="9"/>
        <v>328.83978550702523</v>
      </c>
      <c r="AP66" s="83">
        <f t="shared" si="9"/>
        <v>344.18848856671576</v>
      </c>
      <c r="AQ66" s="83">
        <f t="shared" si="9"/>
        <v>359.5371916264063</v>
      </c>
      <c r="AR66" s="83">
        <f t="shared" si="9"/>
        <v>374.88589468609678</v>
      </c>
      <c r="AS66" s="83">
        <f t="shared" si="9"/>
        <v>390.23459774578731</v>
      </c>
      <c r="AT66" s="83">
        <f t="shared" si="9"/>
        <v>405.58330080547785</v>
      </c>
      <c r="AU66" s="83">
        <f t="shared" si="9"/>
        <v>420.93200386516844</v>
      </c>
      <c r="AV66" s="83">
        <f t="shared" si="9"/>
        <v>436.28070692485892</v>
      </c>
      <c r="AW66" s="83">
        <f t="shared" si="9"/>
        <v>451.6294099845494</v>
      </c>
      <c r="AX66" s="83">
        <f t="shared" si="9"/>
        <v>466.97811304423999</v>
      </c>
    </row>
    <row r="67" spans="2:50" customFormat="1">
      <c r="E67" t="s">
        <v>801</v>
      </c>
      <c r="G67" s="44" t="s">
        <v>1202</v>
      </c>
      <c r="I67" s="44"/>
      <c r="K67" s="44"/>
      <c r="M67" s="44"/>
      <c r="O67" s="83">
        <f t="shared" ref="O67:AX67" si="10">O49+O58</f>
        <v>0</v>
      </c>
      <c r="P67" s="83">
        <f t="shared" si="10"/>
        <v>0</v>
      </c>
      <c r="Q67" s="83">
        <f t="shared" si="10"/>
        <v>0</v>
      </c>
      <c r="R67" s="83">
        <f t="shared" si="10"/>
        <v>0</v>
      </c>
      <c r="S67" s="83">
        <f t="shared" si="10"/>
        <v>0</v>
      </c>
      <c r="T67" s="83">
        <f t="shared" si="10"/>
        <v>0</v>
      </c>
      <c r="U67" s="83">
        <f t="shared" si="10"/>
        <v>0</v>
      </c>
      <c r="V67" s="83">
        <f t="shared" si="10"/>
        <v>0</v>
      </c>
      <c r="W67" s="83">
        <f t="shared" si="10"/>
        <v>0</v>
      </c>
      <c r="X67" s="83">
        <f t="shared" si="10"/>
        <v>0</v>
      </c>
      <c r="Y67" s="83">
        <f t="shared" si="10"/>
        <v>0</v>
      </c>
      <c r="Z67" s="83">
        <f t="shared" si="10"/>
        <v>0</v>
      </c>
      <c r="AA67" s="83">
        <f t="shared" si="10"/>
        <v>0</v>
      </c>
      <c r="AB67" s="83">
        <f t="shared" si="10"/>
        <v>0</v>
      </c>
      <c r="AC67" s="83">
        <f t="shared" si="10"/>
        <v>0</v>
      </c>
      <c r="AD67" s="83">
        <f t="shared" si="10"/>
        <v>0</v>
      </c>
      <c r="AE67" s="83">
        <f t="shared" si="10"/>
        <v>0</v>
      </c>
      <c r="AF67" s="83">
        <f t="shared" si="10"/>
        <v>0</v>
      </c>
      <c r="AG67" s="83">
        <f t="shared" si="10"/>
        <v>0</v>
      </c>
      <c r="AH67" s="83">
        <f t="shared" si="10"/>
        <v>0</v>
      </c>
      <c r="AI67" s="83">
        <f t="shared" si="10"/>
        <v>0</v>
      </c>
      <c r="AJ67" s="83">
        <f t="shared" si="10"/>
        <v>0</v>
      </c>
      <c r="AK67" s="83">
        <f t="shared" si="10"/>
        <v>0</v>
      </c>
      <c r="AL67" s="83">
        <f t="shared" si="10"/>
        <v>0</v>
      </c>
      <c r="AM67" s="83">
        <f t="shared" si="10"/>
        <v>0</v>
      </c>
      <c r="AN67" s="83">
        <f t="shared" si="10"/>
        <v>0</v>
      </c>
      <c r="AO67" s="83">
        <f t="shared" si="10"/>
        <v>0</v>
      </c>
      <c r="AP67" s="83">
        <f t="shared" si="10"/>
        <v>0</v>
      </c>
      <c r="AQ67" s="83">
        <f t="shared" si="10"/>
        <v>0</v>
      </c>
      <c r="AR67" s="83">
        <f t="shared" si="10"/>
        <v>0</v>
      </c>
      <c r="AS67" s="83">
        <f t="shared" si="10"/>
        <v>0</v>
      </c>
      <c r="AT67" s="83">
        <f t="shared" si="10"/>
        <v>0</v>
      </c>
      <c r="AU67" s="83">
        <f t="shared" si="10"/>
        <v>0</v>
      </c>
      <c r="AV67" s="83">
        <f t="shared" si="10"/>
        <v>0</v>
      </c>
      <c r="AW67" s="83">
        <f t="shared" si="10"/>
        <v>0</v>
      </c>
      <c r="AX67" s="83">
        <f t="shared" si="10"/>
        <v>0</v>
      </c>
    </row>
    <row r="68" spans="2:50" customFormat="1">
      <c r="E68" t="s">
        <v>803</v>
      </c>
      <c r="G68" s="44" t="s">
        <v>1202</v>
      </c>
      <c r="I68" s="44"/>
      <c r="K68" s="44"/>
      <c r="M68" s="44"/>
      <c r="O68" s="83">
        <f t="shared" ref="O68:AX68" si="11">O50+O59</f>
        <v>226.65408289915484</v>
      </c>
      <c r="P68" s="83">
        <f t="shared" si="11"/>
        <v>233.79575090874039</v>
      </c>
      <c r="Q68" s="83">
        <f t="shared" si="11"/>
        <v>241.59846354463116</v>
      </c>
      <c r="R68" s="83">
        <f t="shared" si="11"/>
        <v>250.02389250298529</v>
      </c>
      <c r="S68" s="83">
        <f t="shared" si="11"/>
        <v>259.03370947996103</v>
      </c>
      <c r="T68" s="83">
        <f t="shared" si="11"/>
        <v>316.90387007100105</v>
      </c>
      <c r="U68" s="83">
        <f t="shared" si="11"/>
        <v>341.39656897756061</v>
      </c>
      <c r="V68" s="83">
        <f t="shared" si="11"/>
        <v>369.64077435522211</v>
      </c>
      <c r="W68" s="83">
        <f t="shared" si="11"/>
        <v>395.86613034339899</v>
      </c>
      <c r="X68" s="83">
        <f t="shared" si="11"/>
        <v>420.13967692844437</v>
      </c>
      <c r="Y68" s="83">
        <f t="shared" si="11"/>
        <v>442.33867249195112</v>
      </c>
      <c r="Z68" s="83">
        <f t="shared" si="11"/>
        <v>432.79648538776723</v>
      </c>
      <c r="AA68" s="83">
        <f t="shared" si="11"/>
        <v>423.2542982835829</v>
      </c>
      <c r="AB68" s="83">
        <f t="shared" si="11"/>
        <v>413.71211117939822</v>
      </c>
      <c r="AC68" s="83">
        <f t="shared" si="11"/>
        <v>404.16992407521388</v>
      </c>
      <c r="AD68" s="83">
        <f t="shared" si="11"/>
        <v>394.62773697102949</v>
      </c>
      <c r="AE68" s="83">
        <f t="shared" si="11"/>
        <v>385.08554986684499</v>
      </c>
      <c r="AF68" s="83">
        <f t="shared" si="11"/>
        <v>374.05322774136471</v>
      </c>
      <c r="AG68" s="83">
        <f t="shared" si="11"/>
        <v>341.47212267067852</v>
      </c>
      <c r="AH68" s="83">
        <f t="shared" si="11"/>
        <v>307.22718287368332</v>
      </c>
      <c r="AI68" s="83">
        <f t="shared" si="11"/>
        <v>273.15792465995526</v>
      </c>
      <c r="AJ68" s="83">
        <f t="shared" si="11"/>
        <v>240.17349805743947</v>
      </c>
      <c r="AK68" s="83">
        <f t="shared" si="11"/>
        <v>208.16574781096278</v>
      </c>
      <c r="AL68" s="83">
        <f t="shared" si="11"/>
        <v>177.39137536510341</v>
      </c>
      <c r="AM68" s="83">
        <f t="shared" si="11"/>
        <v>148.37083725899788</v>
      </c>
      <c r="AN68" s="83">
        <f t="shared" si="11"/>
        <v>121.00465330165846</v>
      </c>
      <c r="AO68" s="83">
        <f t="shared" si="11"/>
        <v>99.589830898720919</v>
      </c>
      <c r="AP68" s="83">
        <f t="shared" si="11"/>
        <v>78.57391092466473</v>
      </c>
      <c r="AQ68" s="83">
        <f t="shared" si="11"/>
        <v>58.032081155420784</v>
      </c>
      <c r="AR68" s="83">
        <f t="shared" si="11"/>
        <v>38.039320118538441</v>
      </c>
      <c r="AS68" s="83">
        <f t="shared" si="11"/>
        <v>18.670399948661974</v>
      </c>
      <c r="AT68" s="83">
        <f t="shared" si="11"/>
        <v>0</v>
      </c>
      <c r="AU68" s="83">
        <f t="shared" si="11"/>
        <v>0</v>
      </c>
      <c r="AV68" s="83">
        <f t="shared" si="11"/>
        <v>0</v>
      </c>
      <c r="AW68" s="83">
        <f t="shared" si="11"/>
        <v>0</v>
      </c>
      <c r="AX68" s="83">
        <f t="shared" si="11"/>
        <v>0</v>
      </c>
    </row>
    <row r="69" spans="2:50" customFormat="1">
      <c r="E69" t="s">
        <v>805</v>
      </c>
      <c r="G69" s="44" t="s">
        <v>1202</v>
      </c>
      <c r="I69" s="44"/>
      <c r="K69" s="44"/>
      <c r="M69" s="44"/>
      <c r="O69" s="83">
        <f>O51+O60</f>
        <v>14855.380934158789</v>
      </c>
      <c r="P69" s="83">
        <f t="shared" ref="P69:AX69" si="12">P51+P60</f>
        <v>14951.936362027503</v>
      </c>
      <c r="Q69" s="83">
        <f t="shared" si="12"/>
        <v>15042.215351551713</v>
      </c>
      <c r="R69" s="83">
        <f t="shared" si="12"/>
        <v>15132.290890723098</v>
      </c>
      <c r="S69" s="83">
        <f t="shared" si="12"/>
        <v>15170.331537542141</v>
      </c>
      <c r="T69" s="83">
        <f t="shared" si="12"/>
        <v>15242.124214844258</v>
      </c>
      <c r="U69" s="83">
        <f t="shared" si="12"/>
        <v>15230.440683662244</v>
      </c>
      <c r="V69" s="83">
        <f t="shared" si="12"/>
        <v>15196.237024253556</v>
      </c>
      <c r="W69" s="83">
        <f t="shared" si="12"/>
        <v>15086.104613122738</v>
      </c>
      <c r="X69" s="83">
        <f t="shared" si="12"/>
        <v>14907.704738502505</v>
      </c>
      <c r="Y69" s="83">
        <f t="shared" si="12"/>
        <v>14667.339444558082</v>
      </c>
      <c r="Z69" s="83">
        <f t="shared" si="12"/>
        <v>14367.517692656922</v>
      </c>
      <c r="AA69" s="83">
        <f t="shared" si="12"/>
        <v>14089.304929702957</v>
      </c>
      <c r="AB69" s="83">
        <f t="shared" si="12"/>
        <v>13770.897800039393</v>
      </c>
      <c r="AC69" s="83">
        <f t="shared" si="12"/>
        <v>13406.820793917143</v>
      </c>
      <c r="AD69" s="83">
        <f t="shared" si="12"/>
        <v>12999.281767389082</v>
      </c>
      <c r="AE69" s="83">
        <f t="shared" si="12"/>
        <v>13065.176784553558</v>
      </c>
      <c r="AF69" s="83">
        <f t="shared" si="12"/>
        <v>13129.996224863451</v>
      </c>
      <c r="AG69" s="83">
        <f t="shared" si="12"/>
        <v>13194.014535205539</v>
      </c>
      <c r="AH69" s="83">
        <f t="shared" si="12"/>
        <v>13257.417678114783</v>
      </c>
      <c r="AI69" s="83">
        <f t="shared" si="12"/>
        <v>13321.062568100047</v>
      </c>
      <c r="AJ69" s="83">
        <f t="shared" si="12"/>
        <v>13393.340695191664</v>
      </c>
      <c r="AK69" s="83">
        <f t="shared" si="12"/>
        <v>13462.55967795534</v>
      </c>
      <c r="AL69" s="83">
        <f t="shared" si="12"/>
        <v>13529.748999851525</v>
      </c>
      <c r="AM69" s="83">
        <f t="shared" si="12"/>
        <v>13594.082827051041</v>
      </c>
      <c r="AN69" s="83">
        <f t="shared" si="12"/>
        <v>13657.322966783593</v>
      </c>
      <c r="AO69" s="83">
        <f t="shared" si="12"/>
        <v>13719.699461975242</v>
      </c>
      <c r="AP69" s="83">
        <f t="shared" si="12"/>
        <v>13781.318571443706</v>
      </c>
      <c r="AQ69" s="83">
        <f t="shared" si="12"/>
        <v>13842.329770037471</v>
      </c>
      <c r="AR69" s="83">
        <f t="shared" si="12"/>
        <v>13902.868865062728</v>
      </c>
      <c r="AS69" s="83">
        <f t="shared" si="12"/>
        <v>13963.059872016402</v>
      </c>
      <c r="AT69" s="83">
        <f t="shared" si="12"/>
        <v>14022.957432256517</v>
      </c>
      <c r="AU69" s="83">
        <f t="shared" si="12"/>
        <v>14082.758682012891</v>
      </c>
      <c r="AV69" s="83">
        <f t="shared" si="12"/>
        <v>14142.557195008429</v>
      </c>
      <c r="AW69" s="83">
        <f t="shared" si="12"/>
        <v>14202.439715510673</v>
      </c>
      <c r="AX69" s="83">
        <f t="shared" si="12"/>
        <v>14262.486964728079</v>
      </c>
    </row>
    <row r="70" spans="2:50" customFormat="1"/>
    <row r="71" spans="2:50" s="67" customFormat="1">
      <c r="B71" s="67" t="s">
        <v>222</v>
      </c>
      <c r="O71" s="68"/>
      <c r="P71" s="68"/>
      <c r="Q71" s="68"/>
      <c r="R71" s="68"/>
      <c r="S71" s="68"/>
      <c r="T71" s="68"/>
      <c r="U71" s="68"/>
      <c r="V71" s="68"/>
      <c r="W71" s="68"/>
      <c r="X71" s="68"/>
      <c r="Y71" s="68"/>
      <c r="Z71" s="68"/>
      <c r="AA71" s="68"/>
      <c r="AB71" s="68"/>
      <c r="AC71" s="68"/>
      <c r="AD71" s="68"/>
      <c r="AE71" s="68"/>
      <c r="AF71" s="68"/>
      <c r="AG71" s="68"/>
      <c r="AH71" s="68"/>
      <c r="AI71" s="68"/>
      <c r="AJ71" s="68"/>
      <c r="AK71" s="68"/>
      <c r="AL71" s="68"/>
      <c r="AM71" s="68"/>
      <c r="AN71" s="68"/>
      <c r="AO71" s="68"/>
      <c r="AP71" s="68"/>
      <c r="AQ71" s="68"/>
      <c r="AR71" s="68"/>
      <c r="AS71" s="68"/>
      <c r="AT71" s="68"/>
      <c r="AU71" s="68"/>
      <c r="AV71" s="68"/>
      <c r="AW71" s="68"/>
      <c r="AX71" s="68"/>
    </row>
    <row r="72" spans="2:50" customFormat="1"/>
    <row r="73" spans="2:50" s="43" customFormat="1">
      <c r="C73" s="43" t="s">
        <v>1367</v>
      </c>
      <c r="O73" s="71"/>
      <c r="P73" s="71"/>
      <c r="Q73" s="71"/>
      <c r="R73" s="71"/>
      <c r="S73" s="71"/>
      <c r="T73" s="71"/>
      <c r="U73" s="71"/>
      <c r="V73" s="71"/>
      <c r="W73" s="71"/>
      <c r="X73" s="71"/>
      <c r="Y73" s="71"/>
      <c r="Z73" s="71"/>
      <c r="AA73" s="71"/>
      <c r="AB73" s="71"/>
      <c r="AC73" s="71"/>
      <c r="AD73" s="71"/>
      <c r="AE73" s="71"/>
      <c r="AF73" s="71"/>
      <c r="AG73" s="71"/>
      <c r="AH73" s="71"/>
      <c r="AI73" s="71"/>
      <c r="AJ73" s="71"/>
      <c r="AK73" s="71"/>
      <c r="AL73" s="71"/>
      <c r="AM73" s="71"/>
      <c r="AN73" s="71"/>
      <c r="AO73" s="71"/>
      <c r="AP73" s="71"/>
      <c r="AQ73" s="71"/>
      <c r="AR73" s="71"/>
      <c r="AS73" s="71"/>
      <c r="AT73" s="71"/>
      <c r="AU73" s="71"/>
      <c r="AV73" s="71"/>
      <c r="AW73" s="71"/>
      <c r="AX73" s="71"/>
    </row>
    <row r="74" spans="2:50" customFormat="1"/>
    <row r="75" spans="2:50" customFormat="1">
      <c r="D75" s="38"/>
      <c r="E75" t="s">
        <v>157</v>
      </c>
      <c r="G75" s="44" t="s">
        <v>1202</v>
      </c>
      <c r="I75" s="44"/>
      <c r="K75" s="44"/>
      <c r="M75" s="44"/>
      <c r="O75" s="83">
        <f>'Energy demand'!O121</f>
        <v>0</v>
      </c>
      <c r="P75" s="83">
        <f>'Energy demand'!P121</f>
        <v>2.3324787543619094E-2</v>
      </c>
      <c r="Q75" s="83">
        <f>'Energy demand'!Q121</f>
        <v>9.3464876388352144E-2</v>
      </c>
      <c r="R75" s="83">
        <f>'Energy demand'!R121</f>
        <v>0.21072325319846272</v>
      </c>
      <c r="S75" s="83">
        <f>'Energy demand'!S121</f>
        <v>0.37547543442948061</v>
      </c>
      <c r="T75" s="83">
        <f>'Energy demand'!T121</f>
        <v>0.58816946632820266</v>
      </c>
      <c r="U75" s="83">
        <f>'Energy demand'!U121</f>
        <v>0.84932592493269354</v>
      </c>
      <c r="V75" s="83">
        <f>'Energy demand'!V121</f>
        <v>1.1595379160722805</v>
      </c>
      <c r="W75" s="83">
        <f>'Energy demand'!W121</f>
        <v>1.519471075367562</v>
      </c>
      <c r="X75" s="83">
        <f>'Energy demand'!X121</f>
        <v>1.929863568230398</v>
      </c>
      <c r="Y75" s="83">
        <f>'Energy demand'!Y121</f>
        <v>2.3915260898639223</v>
      </c>
      <c r="Z75" s="83">
        <f>'Energy demand'!Z121</f>
        <v>3.5776637682040531</v>
      </c>
      <c r="AA75" s="83">
        <f>'Energy demand'!AA121</f>
        <v>4.8037803796747296</v>
      </c>
      <c r="AB75" s="83">
        <f>'Energy demand'!AB121</f>
        <v>6.0694536031067372</v>
      </c>
      <c r="AC75" s="83">
        <f>'Energy demand'!AC121</f>
        <v>7.3742609623573481</v>
      </c>
      <c r="AD75" s="83">
        <f>'Energy demand'!AD121</f>
        <v>8.7177798263103519</v>
      </c>
      <c r="AE75" s="83">
        <f>'Energy demand'!AE121</f>
        <v>10.099587408876005</v>
      </c>
      <c r="AF75" s="83">
        <f>'Energy demand'!AF121</f>
        <v>11.51926076899109</v>
      </c>
      <c r="AG75" s="83">
        <f>'Energy demand'!AG121</f>
        <v>12.976376810618845</v>
      </c>
      <c r="AH75" s="83">
        <f>'Energy demand'!AH121</f>
        <v>14.470512282749104</v>
      </c>
      <c r="AI75" s="83">
        <f>'Energy demand'!AI121</f>
        <v>16.001243779398042</v>
      </c>
      <c r="AJ75" s="83">
        <f>'Energy demand'!AJ121</f>
        <v>17.568147739608492</v>
      </c>
      <c r="AK75" s="83">
        <f>'Energy demand'!AK121</f>
        <v>19.170800447449622</v>
      </c>
      <c r="AL75" s="83">
        <f>'Energy demand'!AL121</f>
        <v>20.808778032017262</v>
      </c>
      <c r="AM75" s="83">
        <f>'Energy demand'!AM121</f>
        <v>22.481656467433616</v>
      </c>
      <c r="AN75" s="83">
        <f>'Energy demand'!AN121</f>
        <v>24.189011572847434</v>
      </c>
      <c r="AO75" s="83">
        <f>'Energy demand'!AO121</f>
        <v>25.930419012433955</v>
      </c>
      <c r="AP75" s="83">
        <f>'Energy demand'!AP121</f>
        <v>27.705454295394944</v>
      </c>
      <c r="AQ75" s="83">
        <f>'Energy demand'!AQ121</f>
        <v>29.513692775958564</v>
      </c>
      <c r="AR75" s="83">
        <f>'Energy demand'!AR121</f>
        <v>31.354709653379683</v>
      </c>
      <c r="AS75" s="83">
        <f>'Energy demand'!AS121</f>
        <v>33.228079971939373</v>
      </c>
      <c r="AT75" s="83">
        <f>'Energy demand'!AT121</f>
        <v>35.13337862094545</v>
      </c>
      <c r="AU75" s="83">
        <f>'Energy demand'!AU121</f>
        <v>37.070180334732107</v>
      </c>
      <c r="AV75" s="83">
        <f>'Energy demand'!AV121</f>
        <v>39.038059692660092</v>
      </c>
      <c r="AW75" s="83">
        <f>'Energy demand'!AW121</f>
        <v>41.036591119116586</v>
      </c>
      <c r="AX75" s="83">
        <f>'Energy demand'!AX121</f>
        <v>43.065348883515419</v>
      </c>
    </row>
    <row r="76" spans="2:50" customFormat="1">
      <c r="E76" t="s">
        <v>722</v>
      </c>
      <c r="G76" s="44" t="s">
        <v>1202</v>
      </c>
      <c r="I76" s="44"/>
      <c r="K76" s="44"/>
      <c r="M76" s="44"/>
      <c r="O76" s="83">
        <f>'Energy demand'!O124</f>
        <v>1649.8613566893455</v>
      </c>
      <c r="P76" s="83">
        <f>'Energy demand'!P124</f>
        <v>1788.1530317636502</v>
      </c>
      <c r="Q76" s="83">
        <f>'Energy demand'!Q124</f>
        <v>1929.0724901951066</v>
      </c>
      <c r="R76" s="83">
        <f>'Energy demand'!R124</f>
        <v>2072.6299834797601</v>
      </c>
      <c r="S76" s="83">
        <f>'Energy demand'!S124</f>
        <v>2218.8357082547568</v>
      </c>
      <c r="T76" s="83">
        <f>'Energy demand'!T124</f>
        <v>2367.6998062983462</v>
      </c>
      <c r="U76" s="83">
        <f>'Energy demand'!U124</f>
        <v>2519.2323645298784</v>
      </c>
      <c r="V76" s="83">
        <f>'Energy demand'!V124</f>
        <v>2673.4434150098045</v>
      </c>
      <c r="W76" s="83">
        <f>'Energy demand'!W124</f>
        <v>2830.3429349396774</v>
      </c>
      <c r="X76" s="83">
        <f>'Energy demand'!X124</f>
        <v>2989.9408466621526</v>
      </c>
      <c r="Y76" s="83">
        <f>'Energy demand'!Y124</f>
        <v>3152.2470176609877</v>
      </c>
      <c r="Z76" s="83">
        <f>'Energy demand'!Z124</f>
        <v>3230.5037940928692</v>
      </c>
      <c r="AA76" s="83">
        <f>'Energy demand'!AA124</f>
        <v>3309.2881169176148</v>
      </c>
      <c r="AB76" s="83">
        <f>'Energy demand'!AB124</f>
        <v>3388.6013440470683</v>
      </c>
      <c r="AC76" s="83">
        <f>'Energy demand'!AC124</f>
        <v>3468.4448333930745</v>
      </c>
      <c r="AD76" s="83">
        <f>'Energy demand'!AD124</f>
        <v>3548.8199428674757</v>
      </c>
      <c r="AE76" s="83">
        <f>'Energy demand'!AE124</f>
        <v>3629.7280303821171</v>
      </c>
      <c r="AF76" s="83">
        <f>'Energy demand'!AF124</f>
        <v>3711.1704538488425</v>
      </c>
      <c r="AG76" s="83">
        <f>'Energy demand'!AG124</f>
        <v>3793.1485711794971</v>
      </c>
      <c r="AH76" s="83">
        <f>'Energy demand'!AH124</f>
        <v>3875.6637402859242</v>
      </c>
      <c r="AI76" s="83">
        <f>'Energy demand'!AI124</f>
        <v>3958.7173190799676</v>
      </c>
      <c r="AJ76" s="83">
        <f>'Energy demand'!AJ124</f>
        <v>4042.3106654734715</v>
      </c>
      <c r="AK76" s="83">
        <f>'Energy demand'!AK124</f>
        <v>4126.4451373782804</v>
      </c>
      <c r="AL76" s="83">
        <f>'Energy demand'!AL124</f>
        <v>4211.1220927062377</v>
      </c>
      <c r="AM76" s="83">
        <f>'Energy demand'!AM124</f>
        <v>4296.3428893691898</v>
      </c>
      <c r="AN76" s="83">
        <f>'Energy demand'!AN124</f>
        <v>4382.1088852789762</v>
      </c>
      <c r="AO76" s="83">
        <f>'Energy demand'!AO124</f>
        <v>4468.4214383474446</v>
      </c>
      <c r="AP76" s="83">
        <f>'Energy demand'!AP124</f>
        <v>4555.2819064864398</v>
      </c>
      <c r="AQ76" s="83">
        <f>'Energy demand'!AQ124</f>
        <v>4642.691647607804</v>
      </c>
      <c r="AR76" s="83">
        <f>'Energy demand'!AR124</f>
        <v>4730.6520196233823</v>
      </c>
      <c r="AS76" s="83">
        <f>'Energy demand'!AS124</f>
        <v>4819.1643804450177</v>
      </c>
      <c r="AT76" s="83">
        <f>'Energy demand'!AT124</f>
        <v>4908.2300879845561</v>
      </c>
      <c r="AU76" s="83">
        <f>'Energy demand'!AU124</f>
        <v>4997.8505001538397</v>
      </c>
      <c r="AV76" s="83">
        <f>'Energy demand'!AV124</f>
        <v>5088.0269748647133</v>
      </c>
      <c r="AW76" s="83">
        <f>'Energy demand'!AW124</f>
        <v>5178.7608700290202</v>
      </c>
      <c r="AX76" s="83">
        <f>'Energy demand'!AX124</f>
        <v>5270.0535435586162</v>
      </c>
    </row>
    <row r="77" spans="2:50">
      <c r="I77" s="73"/>
      <c r="J77" s="73"/>
      <c r="K77" s="73"/>
      <c r="L77" s="73"/>
      <c r="M77" s="73"/>
      <c r="N77" s="73"/>
      <c r="O77" s="73"/>
      <c r="P77" s="73"/>
      <c r="Q77" s="73"/>
      <c r="R77" s="73"/>
      <c r="S77" s="73"/>
      <c r="T77" s="73"/>
      <c r="U77" s="73"/>
      <c r="V77" s="73"/>
      <c r="W77" s="73"/>
      <c r="X77" s="73"/>
      <c r="Y77" s="73"/>
      <c r="Z77" s="73"/>
      <c r="AA77" s="73"/>
      <c r="AB77" s="73"/>
      <c r="AC77" s="73"/>
      <c r="AD77" s="73"/>
      <c r="AE77" s="73"/>
      <c r="AF77" s="73"/>
      <c r="AG77" s="73"/>
      <c r="AH77" s="73"/>
      <c r="AI77" s="73"/>
      <c r="AJ77" s="73"/>
      <c r="AK77" s="73"/>
      <c r="AL77" s="73"/>
      <c r="AM77" s="73"/>
      <c r="AN77" s="73"/>
      <c r="AO77" s="73"/>
      <c r="AP77" s="73"/>
      <c r="AQ77" s="73"/>
      <c r="AR77" s="73"/>
      <c r="AS77" s="73"/>
      <c r="AT77" s="73"/>
    </row>
    <row r="78" spans="2:50"/>
    <row r="79" spans="2:50" s="67" customFormat="1">
      <c r="B79" s="67" t="s">
        <v>1355</v>
      </c>
      <c r="O79" s="68"/>
      <c r="P79" s="68"/>
      <c r="Q79" s="68"/>
      <c r="R79" s="68"/>
      <c r="S79" s="68"/>
      <c r="T79" s="68"/>
      <c r="U79" s="68"/>
      <c r="V79" s="68"/>
      <c r="W79" s="68"/>
      <c r="X79" s="68"/>
      <c r="Y79" s="68"/>
      <c r="Z79" s="68"/>
      <c r="AA79" s="68"/>
      <c r="AB79" s="68"/>
      <c r="AC79" s="68"/>
      <c r="AD79" s="68"/>
      <c r="AE79" s="68"/>
      <c r="AF79" s="68"/>
      <c r="AG79" s="68"/>
      <c r="AH79" s="68"/>
      <c r="AI79" s="68"/>
      <c r="AJ79" s="68"/>
      <c r="AK79" s="68"/>
      <c r="AL79" s="68"/>
      <c r="AM79" s="68"/>
      <c r="AN79" s="68"/>
      <c r="AO79" s="68"/>
      <c r="AP79" s="68"/>
      <c r="AQ79" s="68"/>
      <c r="AR79" s="68"/>
      <c r="AS79" s="68"/>
      <c r="AT79" s="68"/>
      <c r="AU79" s="68"/>
      <c r="AV79" s="68"/>
      <c r="AW79" s="68"/>
      <c r="AX79" s="68"/>
    </row>
    <row r="80" spans="2:50" ht="13.5" hidden="1" customHeight="1"/>
  </sheetData>
  <conditionalFormatting sqref="K54:AT54">
    <cfRule type="cellIs" dxfId="22" priority="10" operator="equal">
      <formula>"err"</formula>
    </cfRule>
    <cfRule type="cellIs" dxfId="21" priority="11" operator="equal">
      <formula>"ok"</formula>
    </cfRule>
  </conditionalFormatting>
  <conditionalFormatting sqref="O18:AY20 O29:AY77 O10:AX15 AY10:AY28 O21:AX26">
    <cfRule type="cellIs" dxfId="20" priority="9" operator="lessThan">
      <formula>0</formula>
    </cfRule>
  </conditionalFormatting>
  <conditionalFormatting sqref="O17:AX17">
    <cfRule type="cellIs" dxfId="19" priority="8" operator="lessThan">
      <formula>0</formula>
    </cfRule>
  </conditionalFormatting>
  <conditionalFormatting sqref="O28:AX28">
    <cfRule type="cellIs" dxfId="18" priority="7" operator="lessThan">
      <formula>0</formula>
    </cfRule>
  </conditionalFormatting>
  <conditionalFormatting sqref="O17:AX17">
    <cfRule type="cellIs" dxfId="17" priority="6" operator="lessThan">
      <formula>0</formula>
    </cfRule>
  </conditionalFormatting>
  <conditionalFormatting sqref="O28:AX28">
    <cfRule type="cellIs" dxfId="16" priority="4" operator="lessThan">
      <formula>0</formula>
    </cfRule>
  </conditionalFormatting>
  <conditionalFormatting sqref="O17:AY17">
    <cfRule type="cellIs" dxfId="15" priority="3" operator="lessThan">
      <formula>0</formula>
    </cfRule>
  </conditionalFormatting>
  <conditionalFormatting sqref="O28:AY28">
    <cfRule type="cellIs" dxfId="14" priority="2" operator="lessThan">
      <formula>0</formula>
    </cfRule>
  </conditionalFormatting>
  <conditionalFormatting sqref="O79:AY79">
    <cfRule type="cellIs" dxfId="13" priority="1" operator="lessThan">
      <formula>0</formula>
    </cfRule>
  </conditionalFormatting>
  <pageMargins left="0.7" right="0.7" top="0.75" bottom="0.75" header="0.3" footer="0.3"/>
  <pageSetup paperSize="9" orientation="portrait"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1">
    <tabColor theme="4"/>
  </sheetPr>
  <dimension ref="A1:BA96"/>
  <sheetViews>
    <sheetView topLeftCell="AE22" zoomScale="85" zoomScaleNormal="85" workbookViewId="0">
      <selection activeCell="O35" sqref="O35"/>
    </sheetView>
  </sheetViews>
  <sheetFormatPr defaultColWidth="9.140625" defaultRowHeight="15" zeroHeight="1"/>
  <cols>
    <col min="1" max="2" width="2.140625" customWidth="1"/>
    <col min="3" max="3" width="1.85546875" customWidth="1"/>
    <col min="4" max="4" width="2.42578125" customWidth="1"/>
    <col min="5" max="5" width="19.5703125" customWidth="1"/>
    <col min="6" max="6" width="1.85546875" customWidth="1"/>
    <col min="7" max="7" width="16" customWidth="1"/>
    <col min="8" max="8" width="1.5703125" customWidth="1"/>
    <col min="9" max="9" width="5" customWidth="1"/>
    <col min="10" max="10" width="1.5703125" customWidth="1"/>
    <col min="11" max="11" width="3.140625" customWidth="1"/>
    <col min="12" max="12" width="1.85546875" customWidth="1"/>
    <col min="13" max="13" width="7" customWidth="1"/>
    <col min="14" max="14" width="1.42578125" customWidth="1"/>
    <col min="15" max="15" width="8.5703125" customWidth="1"/>
    <col min="16" max="16" width="1.85546875" customWidth="1"/>
    <col min="17" max="38" width="12.85546875" customWidth="1"/>
    <col min="39" max="50" width="12.85546875" hidden="1" customWidth="1"/>
    <col min="51" max="52" width="12.85546875" customWidth="1"/>
  </cols>
  <sheetData>
    <row r="1" spans="1:52" s="38" customFormat="1">
      <c r="A1" s="38" t="s">
        <v>693</v>
      </c>
    </row>
    <row r="2" spans="1:52" s="38" customFormat="1">
      <c r="E2" s="60" t="s">
        <v>769</v>
      </c>
      <c r="F2" s="60"/>
      <c r="G2" s="60" t="s">
        <v>770</v>
      </c>
      <c r="H2" s="60"/>
      <c r="I2" s="60" t="s">
        <v>179</v>
      </c>
      <c r="J2" s="60"/>
      <c r="K2" s="60" t="s">
        <v>180</v>
      </c>
      <c r="L2" s="60"/>
      <c r="M2" s="60" t="s">
        <v>718</v>
      </c>
      <c r="N2" s="60"/>
      <c r="O2" s="60" t="s">
        <v>719</v>
      </c>
      <c r="Q2" s="82">
        <v>2015</v>
      </c>
      <c r="R2" s="82">
        <v>2016</v>
      </c>
      <c r="S2" s="82">
        <v>2017</v>
      </c>
      <c r="T2" s="82">
        <v>2018</v>
      </c>
      <c r="U2" s="82">
        <v>2019</v>
      </c>
      <c r="V2" s="82">
        <v>2020</v>
      </c>
      <c r="W2" s="82">
        <v>2021</v>
      </c>
      <c r="X2" s="82">
        <v>2022</v>
      </c>
      <c r="Y2" s="82">
        <v>2023</v>
      </c>
      <c r="Z2" s="82">
        <v>2024</v>
      </c>
      <c r="AA2" s="82">
        <v>2025</v>
      </c>
      <c r="AB2" s="82">
        <v>2026</v>
      </c>
      <c r="AC2" s="82">
        <v>2027</v>
      </c>
      <c r="AD2" s="82">
        <v>2028</v>
      </c>
      <c r="AE2" s="82">
        <v>2029</v>
      </c>
      <c r="AF2" s="82">
        <v>2030</v>
      </c>
      <c r="AG2" s="82">
        <v>2031</v>
      </c>
      <c r="AH2" s="82">
        <v>2032</v>
      </c>
      <c r="AI2" s="82">
        <v>2033</v>
      </c>
      <c r="AJ2" s="82">
        <v>2034</v>
      </c>
      <c r="AK2" s="82">
        <v>2035</v>
      </c>
      <c r="AL2" s="82">
        <v>2036</v>
      </c>
      <c r="AM2" s="82">
        <v>2037</v>
      </c>
      <c r="AN2" s="82">
        <v>2038</v>
      </c>
      <c r="AO2" s="82">
        <v>2039</v>
      </c>
      <c r="AP2" s="82">
        <v>2040</v>
      </c>
      <c r="AQ2" s="82">
        <v>2041</v>
      </c>
      <c r="AR2" s="82">
        <v>2042</v>
      </c>
      <c r="AS2" s="82">
        <v>2043</v>
      </c>
      <c r="AT2" s="82">
        <v>2044</v>
      </c>
      <c r="AU2" s="82">
        <v>2045</v>
      </c>
      <c r="AV2" s="82">
        <v>2046</v>
      </c>
      <c r="AW2" s="82">
        <v>2047</v>
      </c>
      <c r="AX2" s="82">
        <v>2048</v>
      </c>
      <c r="AY2" s="82">
        <v>2049</v>
      </c>
      <c r="AZ2" s="82">
        <v>2050</v>
      </c>
    </row>
    <row r="3" spans="1:52" s="38" customFormat="1">
      <c r="E3" s="60"/>
      <c r="F3" s="60"/>
      <c r="G3" s="60"/>
      <c r="H3" s="60"/>
      <c r="I3" s="60"/>
      <c r="J3" s="60"/>
      <c r="K3" s="60"/>
      <c r="L3" s="60"/>
      <c r="M3" s="60"/>
      <c r="N3" s="60"/>
      <c r="O3" s="60"/>
      <c r="Q3" s="85"/>
      <c r="R3" s="85"/>
      <c r="S3" s="85"/>
      <c r="T3" s="85"/>
      <c r="U3" s="85"/>
      <c r="V3" s="85"/>
      <c r="W3" s="85"/>
      <c r="X3" s="85"/>
      <c r="Y3" s="85"/>
      <c r="Z3" s="85"/>
      <c r="AA3" s="85"/>
      <c r="AB3" s="85"/>
      <c r="AC3" s="85"/>
      <c r="AD3" s="85"/>
      <c r="AE3" s="85"/>
      <c r="AF3" s="85"/>
      <c r="AG3" s="85"/>
      <c r="AH3" s="85"/>
      <c r="AI3" s="85"/>
      <c r="AJ3" s="85"/>
      <c r="AK3" s="85"/>
      <c r="AL3" s="85"/>
      <c r="AM3" s="85"/>
      <c r="AN3" s="85"/>
      <c r="AO3" s="85"/>
      <c r="AP3" s="85"/>
      <c r="AQ3" s="85"/>
      <c r="AR3" s="85"/>
      <c r="AS3" s="85"/>
      <c r="AT3" s="86"/>
      <c r="AU3" s="65"/>
      <c r="AV3" s="65"/>
      <c r="AW3" s="65"/>
      <c r="AX3" s="65"/>
      <c r="AY3" s="65"/>
      <c r="AZ3" s="65"/>
    </row>
    <row r="4" spans="1:52" s="67" customFormat="1">
      <c r="B4" s="67" t="s">
        <v>1338</v>
      </c>
      <c r="Q4" s="68"/>
      <c r="R4" s="68"/>
      <c r="S4" s="68"/>
      <c r="T4" s="68"/>
      <c r="U4" s="68"/>
      <c r="V4" s="68"/>
      <c r="W4" s="68"/>
      <c r="X4" s="68"/>
      <c r="Y4" s="68"/>
      <c r="Z4" s="68"/>
      <c r="AA4" s="68"/>
      <c r="AB4" s="68"/>
      <c r="AC4" s="68"/>
      <c r="AD4" s="68"/>
      <c r="AE4" s="68"/>
      <c r="AF4" s="68"/>
      <c r="AG4" s="68"/>
      <c r="AH4" s="68"/>
      <c r="AI4" s="68"/>
      <c r="AJ4" s="68"/>
      <c r="AK4" s="68"/>
      <c r="AL4" s="68"/>
      <c r="AM4" s="68"/>
      <c r="AN4" s="68"/>
      <c r="AO4" s="68"/>
      <c r="AP4" s="68"/>
      <c r="AQ4" s="68"/>
      <c r="AR4" s="68"/>
      <c r="AS4" s="68"/>
      <c r="AT4" s="68"/>
      <c r="AU4" s="68"/>
      <c r="AV4" s="68"/>
      <c r="AW4" s="68"/>
      <c r="AX4" s="68"/>
      <c r="AY4" s="68"/>
      <c r="AZ4" s="68"/>
    </row>
    <row r="5" spans="1:52"/>
    <row r="6" spans="1:52" s="43" customFormat="1">
      <c r="B6" s="43" t="s">
        <v>1368</v>
      </c>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row>
    <row r="7" spans="1:52"/>
    <row r="8" spans="1:52">
      <c r="C8" t="s">
        <v>157</v>
      </c>
    </row>
    <row r="9" spans="1:52"/>
    <row r="10" spans="1:52">
      <c r="E10" s="53" t="s">
        <v>773</v>
      </c>
      <c r="F10" s="53"/>
      <c r="G10" s="53" t="s">
        <v>749</v>
      </c>
      <c r="H10" s="53"/>
    </row>
    <row r="11" spans="1:52">
      <c r="E11" s="78" t="s">
        <v>774</v>
      </c>
      <c r="F11" s="78"/>
      <c r="G11" s="78" t="s">
        <v>775</v>
      </c>
      <c r="H11" s="78"/>
      <c r="I11" s="44"/>
      <c r="K11" s="44"/>
      <c r="M11" s="44"/>
      <c r="O11" s="44"/>
      <c r="Q11" s="84">
        <f>IFERROR('Energy supply'!O10/'2.6 Fuel Efficiencies'!P9,0)</f>
        <v>11039.987824009575</v>
      </c>
      <c r="R11" s="84">
        <f>IFERROR('Energy supply'!P10/'2.6 Fuel Efficiencies'!Q9,0)</f>
        <v>10995.639285744417</v>
      </c>
      <c r="S11" s="84">
        <f>IFERROR('Energy supply'!Q10/'2.6 Fuel Efficiencies'!R9,0)</f>
        <v>10951.238655952433</v>
      </c>
      <c r="T11" s="84">
        <f>IFERROR('Energy supply'!R10/'2.6 Fuel Efficiencies'!S9,0)</f>
        <v>10906.843415551055</v>
      </c>
      <c r="U11" s="84">
        <f>IFERROR('Energy supply'!S10/'2.6 Fuel Efficiencies'!T9,0)</f>
        <v>10862.484617813863</v>
      </c>
      <c r="V11" s="84">
        <f>IFERROR('Energy supply'!T10/'2.6 Fuel Efficiencies'!U9,0)</f>
        <v>10700.429943285817</v>
      </c>
      <c r="W11" s="84">
        <f>IFERROR('Energy supply'!U10/'2.6 Fuel Efficiencies'!V9,0)</f>
        <v>10562.006947433156</v>
      </c>
      <c r="X11" s="84">
        <f>IFERROR('Energy supply'!V10/'2.6 Fuel Efficiencies'!W9,0)</f>
        <v>10061.404430974928</v>
      </c>
      <c r="Y11" s="84">
        <f>IFERROR('Energy supply'!W10/'2.6 Fuel Efficiencies'!X9,0)</f>
        <v>9237.3107620822575</v>
      </c>
      <c r="Z11" s="84">
        <f>IFERROR('Energy supply'!X10/'2.6 Fuel Efficiencies'!Y9,0)</f>
        <v>8284.3263196277057</v>
      </c>
      <c r="AA11" s="84">
        <f>IFERROR('Energy supply'!Y10/'2.6 Fuel Efficiencies'!Z9,0)</f>
        <v>7368.6932772222062</v>
      </c>
      <c r="AB11" s="84">
        <f>IFERROR('Energy supply'!Z10/'2.6 Fuel Efficiencies'!AA9,0)</f>
        <v>6479.3374308067741</v>
      </c>
      <c r="AC11" s="84">
        <f>IFERROR('Energy supply'!AA10/'2.6 Fuel Efficiencies'!AB9,0)</f>
        <v>5604.5320480156142</v>
      </c>
      <c r="AD11" s="84">
        <f>IFERROR('Energy supply'!AB10/'2.6 Fuel Efficiencies'!AC9,0)</f>
        <v>4864.1215086078691</v>
      </c>
      <c r="AE11" s="84">
        <f>IFERROR('Energy supply'!AC10/'2.6 Fuel Efficiencies'!AD9,0)</f>
        <v>4289.285861561174</v>
      </c>
      <c r="AF11" s="84">
        <f>IFERROR('Energy supply'!AD10/'2.6 Fuel Efficiencies'!AE9,0)</f>
        <v>3838.5190285538633</v>
      </c>
      <c r="AG11" s="84">
        <f>IFERROR('Energy supply'!AE10/'2.6 Fuel Efficiencies'!AF9,0)</f>
        <v>3426.7489225170307</v>
      </c>
      <c r="AH11" s="84">
        <f>IFERROR('Energy supply'!AF10/'2.6 Fuel Efficiencies'!AG9,0)</f>
        <v>3027.1631180430336</v>
      </c>
      <c r="AI11" s="84">
        <f>IFERROR('Energy supply'!AG10/'2.6 Fuel Efficiencies'!AH9,0)</f>
        <v>2638.7433320660184</v>
      </c>
      <c r="AJ11" s="84">
        <f>IFERROR('Energy supply'!AH10/'2.6 Fuel Efficiencies'!AI9,0)</f>
        <v>2264.6029963354408</v>
      </c>
      <c r="AK11" s="84">
        <f>IFERROR('Energy supply'!AI10/'2.6 Fuel Efficiencies'!AJ9,0)</f>
        <v>1925.3440043469809</v>
      </c>
      <c r="AL11" s="84">
        <f>IFERROR('Energy supply'!AJ10/'2.6 Fuel Efficiencies'!AK9,0)</f>
        <v>1481.7000955880062</v>
      </c>
      <c r="AM11" s="84">
        <f>IFERROR('Energy supply'!AK10/'2.6 Fuel Efficiencies'!AL9,0)</f>
        <v>1156.3150846773881</v>
      </c>
      <c r="AN11" s="84">
        <f>IFERROR('Energy supply'!AL10/'2.6 Fuel Efficiencies'!AM9,0)</f>
        <v>932.37721728613747</v>
      </c>
      <c r="AO11" s="84">
        <f>IFERROR('Energy supply'!AM10/'2.6 Fuel Efficiencies'!AN9,0)</f>
        <v>852.40563363035039</v>
      </c>
      <c r="AP11" s="84">
        <f>IFERROR('Energy supply'!AN10/'2.6 Fuel Efficiencies'!AO9,0)</f>
        <v>774.19720293906244</v>
      </c>
      <c r="AQ11" s="84">
        <f>IFERROR('Energy supply'!AO10/'2.6 Fuel Efficiencies'!AP9,0)</f>
        <v>693.10767926778612</v>
      </c>
      <c r="AR11" s="84">
        <f>IFERROR('Energy supply'!AP10/'2.6 Fuel Efficiencies'!AQ9,0)</f>
        <v>614.06758682475663</v>
      </c>
      <c r="AS11" s="84">
        <f>IFERROR('Energy supply'!AQ10/'2.6 Fuel Efficiencies'!AR9,0)</f>
        <v>536.61648101865239</v>
      </c>
      <c r="AT11" s="84">
        <f>IFERROR('Energy supply'!AR10/'2.6 Fuel Efficiencies'!AS9,0)</f>
        <v>460.29242187254255</v>
      </c>
      <c r="AU11" s="84">
        <f>IFERROR('Energy supply'!AS10/'2.6 Fuel Efficiencies'!AT9,0)</f>
        <v>384.63231996801056</v>
      </c>
      <c r="AV11" s="84">
        <f>IFERROR('Energy supply'!AT10/'2.6 Fuel Efficiencies'!AU9,0)</f>
        <v>314.5615390346926</v>
      </c>
      <c r="AW11" s="84">
        <f>IFERROR('Energy supply'!AU10/'2.6 Fuel Efficiencies'!AV9,0)</f>
        <v>241.20954867967239</v>
      </c>
      <c r="AX11" s="84">
        <f>IFERROR('Energy supply'!AV10/'2.6 Fuel Efficiencies'!AW9,0)</f>
        <v>164.43096025999515</v>
      </c>
      <c r="AY11" s="84">
        <f>IFERROR('Energy supply'!AW10/'2.6 Fuel Efficiencies'!AX9,0)</f>
        <v>84.077873872913358</v>
      </c>
      <c r="AZ11" s="84">
        <f>IFERROR('Energy supply'!AX10/'2.6 Fuel Efficiencies'!AY9,0)</f>
        <v>0</v>
      </c>
    </row>
    <row r="12" spans="1:52">
      <c r="E12" s="78" t="s">
        <v>1369</v>
      </c>
      <c r="F12" s="78"/>
      <c r="G12" s="78" t="s">
        <v>775</v>
      </c>
      <c r="H12" s="78"/>
      <c r="I12" s="44"/>
      <c r="K12" s="44"/>
      <c r="M12" s="44"/>
      <c r="O12" s="44"/>
      <c r="Q12" s="84">
        <f>'Energy supply'!O11*'2.6 Fuel Efficiencies'!P9</f>
        <v>253.01198260992729</v>
      </c>
      <c r="R12" s="84">
        <f>'Energy supply'!P11*'2.6 Fuel Efficiencies'!Q9</f>
        <v>255.95100905174604</v>
      </c>
      <c r="S12" s="84">
        <f>'Energy supply'!Q11*'2.6 Fuel Efficiencies'!R9</f>
        <v>258.89198497965958</v>
      </c>
      <c r="T12" s="84">
        <f>'Energy supply'!R11*'2.6 Fuel Efficiencies'!S9</f>
        <v>261.83510608145986</v>
      </c>
      <c r="U12" s="84">
        <f>'Energy supply'!S11*'2.6 Fuel Efficiencies'!T9</f>
        <v>264.78055863195812</v>
      </c>
      <c r="V12" s="84">
        <f>'Energy supply'!T11*'2.6 Fuel Efficiencies'!U9</f>
        <v>266.71548736886575</v>
      </c>
      <c r="W12" s="84">
        <f>'Energy supply'!U11*'2.6 Fuel Efficiencies'!V9</f>
        <v>265.09922869567595</v>
      </c>
      <c r="X12" s="84">
        <f>'Energy supply'!V11*'2.6 Fuel Efficiencies'!W9</f>
        <v>262.03957185878039</v>
      </c>
      <c r="Y12" s="84">
        <f>'Energy supply'!W11*'2.6 Fuel Efficiencies'!X9</f>
        <v>257.05851329715665</v>
      </c>
      <c r="Z12" s="84">
        <f>'Energy supply'!X11*'2.6 Fuel Efficiencies'!Y9</f>
        <v>249.13658243092962</v>
      </c>
      <c r="AA12" s="84">
        <f>'Energy supply'!Y11*'2.6 Fuel Efficiencies'!Z9</f>
        <v>238.84334229167183</v>
      </c>
      <c r="AB12" s="84">
        <f>'Energy supply'!Z11*'2.6 Fuel Efficiencies'!AA9</f>
        <v>225.02494158657294</v>
      </c>
      <c r="AC12" s="84">
        <f>'Energy supply'!AA11*'2.6 Fuel Efficiencies'!AB9</f>
        <v>206.79079271265869</v>
      </c>
      <c r="AD12" s="84">
        <f>'Energy supply'!AB11*'2.6 Fuel Efficiencies'!AC9</f>
        <v>188.44633568710822</v>
      </c>
      <c r="AE12" s="84">
        <f>'Energy supply'!AC11*'2.6 Fuel Efficiencies'!AD9</f>
        <v>170.92979478754111</v>
      </c>
      <c r="AF12" s="84">
        <f>'Energy supply'!AD11*'2.6 Fuel Efficiencies'!AE9</f>
        <v>154.55853843263776</v>
      </c>
      <c r="AG12" s="84">
        <f>'Energy supply'!AE11*'2.6 Fuel Efficiencies'!AF9</f>
        <v>137.91799336427306</v>
      </c>
      <c r="AH12" s="84">
        <f>'Energy supply'!AF11*'2.6 Fuel Efficiencies'!AG9</f>
        <v>121.75226988909924</v>
      </c>
      <c r="AI12" s="84">
        <f>'Energy supply'!AG11*'2.6 Fuel Efficiencies'!AH9</f>
        <v>106.02029792209461</v>
      </c>
      <c r="AJ12" s="84">
        <f>'Energy supply'!AH11*'2.6 Fuel Efficiencies'!AI9</f>
        <v>90.849214946775788</v>
      </c>
      <c r="AK12" s="84">
        <f>'Energy supply'!AI11*'2.6 Fuel Efficiencies'!AJ9</f>
        <v>77.059621128017938</v>
      </c>
      <c r="AL12" s="84">
        <f>'Energy supply'!AJ11*'2.6 Fuel Efficiencies'!AK9</f>
        <v>59.089461486611967</v>
      </c>
      <c r="AM12" s="84">
        <f>'Energy supply'!AK11*'2.6 Fuel Efficiencies'!AL9</f>
        <v>45.917047946324168</v>
      </c>
      <c r="AN12" s="84">
        <f>'Energy supply'!AL11*'2.6 Fuel Efficiencies'!AM9</f>
        <v>36.860394212351828</v>
      </c>
      <c r="AO12" s="84">
        <f>'Energy supply'!AM11*'2.6 Fuel Efficiencies'!AN9</f>
        <v>33.655138083418201</v>
      </c>
      <c r="AP12" s="84">
        <f>'Energy supply'!AN11*'2.6 Fuel Efficiencies'!AO9</f>
        <v>30.516871080909905</v>
      </c>
      <c r="AQ12" s="84">
        <f>'Energy supply'!AO11*'2.6 Fuel Efficiencies'!AP9</f>
        <v>27.260024705344254</v>
      </c>
      <c r="AR12" s="84">
        <f>'Energy supply'!AP11*'2.6 Fuel Efficiencies'!AQ9</f>
        <v>24.088841394410078</v>
      </c>
      <c r="AS12" s="84">
        <f>'Energy supply'!AQ11*'2.6 Fuel Efficiencies'!AR9</f>
        <v>20.988245595299759</v>
      </c>
      <c r="AT12" s="84">
        <f>'Energy supply'!AR11*'2.6 Fuel Efficiencies'!AS9</f>
        <v>17.943190446528451</v>
      </c>
      <c r="AU12" s="84">
        <f>'Energy supply'!AS11*'2.6 Fuel Efficiencies'!AT9</f>
        <v>14.938663746470192</v>
      </c>
      <c r="AV12" s="84">
        <f>'Energy supply'!AT11*'2.6 Fuel Efficiencies'!AU9</f>
        <v>12.179044524221089</v>
      </c>
      <c r="AW12" s="84">
        <f>'Energy supply'!AU11*'2.6 Fuel Efficiencies'!AV9</f>
        <v>9.3072690105216775</v>
      </c>
      <c r="AX12" s="84">
        <f>'Energy supply'!AV11*'2.6 Fuel Efficiencies'!AW9</f>
        <v>6.3214593553550316</v>
      </c>
      <c r="AY12" s="84">
        <f>'Energy supply'!AW11*'2.6 Fuel Efficiencies'!AX9</f>
        <v>3.219692418065208</v>
      </c>
      <c r="AZ12" s="84">
        <f>'Energy supply'!AX11*'2.6 Fuel Efficiencies'!AY9</f>
        <v>0</v>
      </c>
    </row>
    <row r="13" spans="1:52">
      <c r="E13" s="78" t="s">
        <v>776</v>
      </c>
      <c r="F13" s="78"/>
      <c r="G13" s="78" t="s">
        <v>210</v>
      </c>
      <c r="H13" s="78"/>
      <c r="I13" s="44"/>
      <c r="K13" s="44"/>
      <c r="M13" s="44"/>
      <c r="O13" s="44"/>
      <c r="Q13" s="84">
        <f>IFERROR('Energy supply'!O12/'2.6 Fuel Efficiencies'!P10,0)</f>
        <v>681.39279687973078</v>
      </c>
      <c r="R13" s="84">
        <f>IFERROR('Energy supply'!P12/'2.6 Fuel Efficiencies'!Q10,0)</f>
        <v>686.93187365779659</v>
      </c>
      <c r="S13" s="84">
        <f>IFERROR('Energy supply'!Q12/'2.6 Fuel Efficiencies'!R10,0)</f>
        <v>692.40089566666984</v>
      </c>
      <c r="T13" s="84">
        <f>IFERROR('Energy supply'!R12/'2.6 Fuel Efficiencies'!S10,0)</f>
        <v>697.80342282288996</v>
      </c>
      <c r="U13" s="84">
        <f>IFERROR('Energy supply'!S12/'2.6 Fuel Efficiencies'!T10,0)</f>
        <v>703.14147741117711</v>
      </c>
      <c r="V13" s="84">
        <f>IFERROR('Energy supply'!T12/'2.6 Fuel Efficiencies'!U10,0)</f>
        <v>700.70557370549056</v>
      </c>
      <c r="W13" s="84">
        <f>IFERROR('Energy supply'!U12/'2.6 Fuel Efficiencies'!V10,0)</f>
        <v>691.64110010610671</v>
      </c>
      <c r="X13" s="84">
        <f>IFERROR('Energy supply'!V12/'2.6 Fuel Efficiencies'!W10,0)</f>
        <v>658.85970951222907</v>
      </c>
      <c r="Y13" s="84">
        <f>IFERROR('Energy supply'!W12/'2.6 Fuel Efficiencies'!X10,0)</f>
        <v>604.89486603312855</v>
      </c>
      <c r="Z13" s="84">
        <f>IFERROR('Energy supply'!X12/'2.6 Fuel Efficiencies'!Y10,0)</f>
        <v>542.48975576916916</v>
      </c>
      <c r="AA13" s="84">
        <f>IFERROR('Energy supply'!Y12/'2.6 Fuel Efficiencies'!Z10,0)</f>
        <v>482.53055976648636</v>
      </c>
      <c r="AB13" s="84">
        <f>IFERROR('Energy supply'!Z12/'2.6 Fuel Efficiencies'!AA10,0)</f>
        <v>424.29209627541132</v>
      </c>
      <c r="AC13" s="84">
        <f>IFERROR('Energy supply'!AA12/'2.6 Fuel Efficiencies'!AB10,0)</f>
        <v>369.20321258168997</v>
      </c>
      <c r="AD13" s="84">
        <f>IFERROR('Energy supply'!AB12/'2.6 Fuel Efficiencies'!AC10,0)</f>
        <v>322.35756020756594</v>
      </c>
      <c r="AE13" s="84">
        <f>IFERROR('Energy supply'!AC12/'2.6 Fuel Efficiencies'!AD10,0)</f>
        <v>285.98385369060912</v>
      </c>
      <c r="AF13" s="84">
        <f>IFERROR('Energy supply'!AD12/'2.6 Fuel Efficiencies'!AE10,0)</f>
        <v>257.48933084720682</v>
      </c>
      <c r="AG13" s="84">
        <f>IFERROR('Energy supply'!AE12/'2.6 Fuel Efficiencies'!AF10,0)</f>
        <v>232.61989766335344</v>
      </c>
      <c r="AH13" s="84">
        <f>IFERROR('Energy supply'!AF12/'2.6 Fuel Efficiencies'!AG10,0)</f>
        <v>207.98484841069916</v>
      </c>
      <c r="AI13" s="84">
        <f>IFERROR('Energy supply'!AG12/'2.6 Fuel Efficiencies'!AH10,0)</f>
        <v>183.52198807710744</v>
      </c>
      <c r="AJ13" s="84">
        <f>IFERROR('Energy supply'!AH12/'2.6 Fuel Efficiencies'!AI10,0)</f>
        <v>159.4569574249374</v>
      </c>
      <c r="AK13" s="84">
        <f>IFERROR('Energy supply'!AI12/'2.6 Fuel Efficiencies'!AJ10,0)</f>
        <v>135.56879392384221</v>
      </c>
      <c r="AL13" s="84">
        <f>IFERROR('Energy supply'!AJ12/'2.6 Fuel Efficiencies'!AK10,0)</f>
        <v>210.7903956411063</v>
      </c>
      <c r="AM13" s="84">
        <f>IFERROR('Energy supply'!AK12/'2.6 Fuel Efficiencies'!AL10,0)</f>
        <v>260.36294990774775</v>
      </c>
      <c r="AN13" s="84">
        <f>IFERROR('Energy supply'!AL12/'2.6 Fuel Efficiencies'!AM10,0)</f>
        <v>300.12003386803178</v>
      </c>
      <c r="AO13" s="84">
        <f>IFERROR('Energy supply'!AM12/'2.6 Fuel Efficiencies'!AN10,0)</f>
        <v>371.81367672590522</v>
      </c>
      <c r="AP13" s="84">
        <f>IFERROR('Energy supply'!AN12/'2.6 Fuel Efficiencies'!AO10,0)</f>
        <v>443.89454611802626</v>
      </c>
      <c r="AQ13" s="84">
        <f>IFERROR('Energy supply'!AO12/'2.6 Fuel Efficiencies'!AP10,0)</f>
        <v>513.60008283353466</v>
      </c>
      <c r="AR13" s="84">
        <f>IFERROR('Energy supply'!AP12/'2.6 Fuel Efficiencies'!AQ10,0)</f>
        <v>583.71565095152482</v>
      </c>
      <c r="AS13" s="84">
        <f>IFERROR('Energy supply'!AQ12/'2.6 Fuel Efficiencies'!AR10,0)</f>
        <v>654.67689307567707</v>
      </c>
      <c r="AT13" s="84">
        <f>IFERROR('Energy supply'!AR12/'2.6 Fuel Efficiencies'!AS10,0)</f>
        <v>726.92035962042519</v>
      </c>
      <c r="AU13" s="84">
        <f>IFERROR('Energy supply'!AS12/'2.6 Fuel Efficiencies'!AT10,0)</f>
        <v>800.88373803953073</v>
      </c>
      <c r="AV13" s="84">
        <f>IFERROR('Energy supply'!AT12/'2.6 Fuel Efficiencies'!AU10,0)</f>
        <v>892.29423039393589</v>
      </c>
      <c r="AW13" s="84">
        <f>IFERROR('Energy supply'!AU12/'2.6 Fuel Efficiencies'!AV10,0)</f>
        <v>987.51172496225183</v>
      </c>
      <c r="AX13" s="84">
        <f>IFERROR('Energy supply'!AV12/'2.6 Fuel Efficiencies'!AW10,0)</f>
        <v>1086.681611458094</v>
      </c>
      <c r="AY13" s="84">
        <f>IFERROR('Energy supply'!AW12/'2.6 Fuel Efficiencies'!AX10,0)</f>
        <v>1189.9512617538978</v>
      </c>
      <c r="AZ13" s="84">
        <f>IFERROR('Energy supply'!AX12/'2.6 Fuel Efficiencies'!AY10,0)</f>
        <v>1297.469947489883</v>
      </c>
    </row>
    <row r="14" spans="1:52">
      <c r="E14" s="78" t="s">
        <v>346</v>
      </c>
      <c r="F14" s="78"/>
      <c r="G14" s="78" t="s">
        <v>210</v>
      </c>
      <c r="H14" s="78"/>
      <c r="I14" s="44"/>
      <c r="K14" s="44"/>
      <c r="M14" s="44"/>
      <c r="O14" s="44"/>
      <c r="Q14" s="84">
        <f>IFERROR('Energy supply'!O13/'2.6 Fuel Efficiencies'!P11,0)</f>
        <v>0</v>
      </c>
      <c r="R14" s="84">
        <f>IFERROR('Energy supply'!P13/'2.6 Fuel Efficiencies'!Q11,0)</f>
        <v>0</v>
      </c>
      <c r="S14" s="84">
        <f>IFERROR('Energy supply'!Q13/'2.6 Fuel Efficiencies'!R11,0)</f>
        <v>0</v>
      </c>
      <c r="T14" s="84">
        <f>IFERROR('Energy supply'!R13/'2.6 Fuel Efficiencies'!S11,0)</f>
        <v>0</v>
      </c>
      <c r="U14" s="84">
        <f>IFERROR('Energy supply'!S13/'2.6 Fuel Efficiencies'!T11,0)</f>
        <v>0</v>
      </c>
      <c r="V14" s="84">
        <f>IFERROR('Energy supply'!T13/'2.6 Fuel Efficiencies'!U11,0)</f>
        <v>13.419958282581671</v>
      </c>
      <c r="W14" s="84">
        <f>IFERROR('Energy supply'!U13/'2.6 Fuel Efficiencies'!V11,0)</f>
        <v>34.661481124708196</v>
      </c>
      <c r="X14" s="84">
        <f>IFERROR('Energy supply'!V13/'2.6 Fuel Efficiencies'!W11,0)</f>
        <v>76.323865599323142</v>
      </c>
      <c r="Y14" s="84">
        <f>IFERROR('Energy supply'!W13/'2.6 Fuel Efficiencies'!X11,0)</f>
        <v>127.95025022619757</v>
      </c>
      <c r="Z14" s="84">
        <f>IFERROR('Energy supply'!X13/'2.6 Fuel Efficiencies'!Y11,0)</f>
        <v>198.31093543561897</v>
      </c>
      <c r="AA14" s="84">
        <f>IFERROR('Energy supply'!Y13/'2.6 Fuel Efficiencies'!Z11,0)</f>
        <v>279.50055918310693</v>
      </c>
      <c r="AB14" s="84">
        <f>IFERROR('Energy supply'!Z13/'2.6 Fuel Efficiencies'!AA11,0)</f>
        <v>377.54971620109353</v>
      </c>
      <c r="AC14" s="84">
        <f>IFERROR('Energy supply'!AA13/'2.6 Fuel Efficiencies'!AB11,0)</f>
        <v>491.46597878726465</v>
      </c>
      <c r="AD14" s="84">
        <f>IFERROR('Energy supply'!AB13/'2.6 Fuel Efficiencies'!AC11,0)</f>
        <v>599.82367465988932</v>
      </c>
      <c r="AE14" s="84">
        <f>IFERROR('Energy supply'!AC13/'2.6 Fuel Efficiencies'!AD11,0)</f>
        <v>707.71577160683444</v>
      </c>
      <c r="AF14" s="84">
        <f>IFERROR('Energy supply'!AD13/'2.6 Fuel Efficiencies'!AE11,0)</f>
        <v>817.48440893782697</v>
      </c>
      <c r="AG14" s="84">
        <f>IFERROR('Energy supply'!AE13/'2.6 Fuel Efficiencies'!AF11,0)</f>
        <v>933.49265875552123</v>
      </c>
      <c r="AH14" s="84">
        <f>IFERROR('Energy supply'!AF13/'2.6 Fuel Efficiencies'!AG11,0)</f>
        <v>1049.569937636109</v>
      </c>
      <c r="AI14" s="84">
        <f>IFERROR('Energy supply'!AG13/'2.6 Fuel Efficiencies'!AH11,0)</f>
        <v>1165.713363396374</v>
      </c>
      <c r="AJ14" s="84">
        <f>IFERROR('Energy supply'!AH13/'2.6 Fuel Efficiencies'!AI11,0)</f>
        <v>1281.9205679744721</v>
      </c>
      <c r="AK14" s="84">
        <f>IFERROR('Energy supply'!AI13/'2.6 Fuel Efficiencies'!AJ11,0)</f>
        <v>1398.2255369721845</v>
      </c>
      <c r="AL14" s="84">
        <f>IFERROR('Energy supply'!AJ13/'2.6 Fuel Efficiencies'!AK11,0)</f>
        <v>1514.6060045569004</v>
      </c>
      <c r="AM14" s="84">
        <f>IFERROR('Energy supply'!AK13/'2.6 Fuel Efficiencies'!AL11,0)</f>
        <v>1603.8249726996903</v>
      </c>
      <c r="AN14" s="84">
        <f>IFERROR('Energy supply'!AL13/'2.6 Fuel Efficiencies'!AM11,0)</f>
        <v>1665.9242448437692</v>
      </c>
      <c r="AO14" s="84">
        <f>IFERROR('Energy supply'!AM13/'2.6 Fuel Efficiencies'!AN11,0)</f>
        <v>1673.6473225230377</v>
      </c>
      <c r="AP14" s="84">
        <f>IFERROR('Energy supply'!AN13/'2.6 Fuel Efficiencies'!AO11,0)</f>
        <v>1681.4194812095786</v>
      </c>
      <c r="AQ14" s="84">
        <f>IFERROR('Energy supply'!AO13/'2.6 Fuel Efficiencies'!AP11,0)</f>
        <v>1689.2378647709936</v>
      </c>
      <c r="AR14" s="84">
        <f>IFERROR('Energy supply'!AP13/'2.6 Fuel Efficiencies'!AQ11,0)</f>
        <v>1697.0998364618399</v>
      </c>
      <c r="AS14" s="84">
        <f>IFERROR('Energy supply'!AQ13/'2.6 Fuel Efficiencies'!AR11,0)</f>
        <v>1705.0029582559098</v>
      </c>
      <c r="AT14" s="84">
        <f>IFERROR('Energy supply'!AR13/'2.6 Fuel Efficiencies'!AS11,0)</f>
        <v>1712.9449724717479</v>
      </c>
      <c r="AU14" s="84">
        <f>IFERROR('Energy supply'!AS13/'2.6 Fuel Efficiencies'!AT11,0)</f>
        <v>1720.9237853999425</v>
      </c>
      <c r="AV14" s="84">
        <f>IFERROR('Energy supply'!AT13/'2.6 Fuel Efficiencies'!AU11,0)</f>
        <v>1728.9374526822892</v>
      </c>
      <c r="AW14" s="84">
        <f>IFERROR('Energy supply'!AU13/'2.6 Fuel Efficiencies'!AV11,0)</f>
        <v>1736.9841662279739</v>
      </c>
      <c r="AX14" s="84">
        <f>IFERROR('Energy supply'!AV13/'2.6 Fuel Efficiencies'!AW11,0)</f>
        <v>1745.0622424815144</v>
      </c>
      <c r="AY14" s="84">
        <f>IFERROR('Energy supply'!AW13/'2.6 Fuel Efficiencies'!AX11,0)</f>
        <v>1753.170111882278</v>
      </c>
      <c r="AZ14" s="84">
        <f>IFERROR('Energy supply'!AX13/'2.6 Fuel Efficiencies'!AY11,0)</f>
        <v>1761.3063093767398</v>
      </c>
    </row>
    <row r="15" spans="1:52">
      <c r="E15" s="78" t="s">
        <v>219</v>
      </c>
      <c r="F15" s="78"/>
      <c r="G15" s="78" t="s">
        <v>210</v>
      </c>
      <c r="H15" s="78"/>
      <c r="I15" s="44"/>
      <c r="K15" s="44"/>
      <c r="M15" s="44"/>
      <c r="O15" s="44"/>
      <c r="Q15" s="84">
        <f>IFERROR('Energy supply'!O14/'2.6 Fuel Efficiencies'!P12,0)</f>
        <v>0</v>
      </c>
      <c r="R15" s="84">
        <f>IFERROR('Energy supply'!P14/'2.6 Fuel Efficiencies'!Q12,0)</f>
        <v>0</v>
      </c>
      <c r="S15" s="84">
        <f>IFERROR('Energy supply'!Q14/'2.6 Fuel Efficiencies'!R12,0)</f>
        <v>0</v>
      </c>
      <c r="T15" s="84">
        <f>IFERROR('Energy supply'!R14/'2.6 Fuel Efficiencies'!S12,0)</f>
        <v>0</v>
      </c>
      <c r="U15" s="84">
        <f>IFERROR('Energy supply'!S14/'2.6 Fuel Efficiencies'!T12,0)</f>
        <v>0</v>
      </c>
      <c r="V15" s="84">
        <f>IFERROR('Energy supply'!T14/'2.6 Fuel Efficiencies'!U12,0)</f>
        <v>1.6401915738725579</v>
      </c>
      <c r="W15" s="84">
        <f>IFERROR('Energy supply'!U14/'2.6 Fuel Efficiencies'!V12,0)</f>
        <v>3.5209943917615316</v>
      </c>
      <c r="X15" s="84">
        <f>IFERROR('Energy supply'!V14/'2.6 Fuel Efficiencies'!W12,0)</f>
        <v>5.0813435584577569</v>
      </c>
      <c r="Y15" s="84">
        <f>IFERROR('Energy supply'!W14/'2.6 Fuel Efficiencies'!X12,0)</f>
        <v>6.1891662265502259</v>
      </c>
      <c r="Z15" s="84">
        <f>IFERROR('Energy supply'!X14/'2.6 Fuel Efficiencies'!Y12,0)</f>
        <v>7.0188692568810955</v>
      </c>
      <c r="AA15" s="84">
        <f>IFERROR('Energy supply'!Y14/'2.6 Fuel Efficiencies'!Z12,0)</f>
        <v>7.8000253000424626</v>
      </c>
      <c r="AB15" s="84">
        <f>IFERROR('Energy supply'!Z14/'2.6 Fuel Efficiencies'!AA12,0)</f>
        <v>8.4072085894214688</v>
      </c>
      <c r="AC15" s="84">
        <f>IFERROR('Energy supply'!AA14/'2.6 Fuel Efficiencies'!AB12,0)</f>
        <v>8.670138066754614</v>
      </c>
      <c r="AD15" s="84">
        <f>IFERROR('Energy supply'!AB14/'2.6 Fuel Efficiencies'!AC12,0)</f>
        <v>9.0773662800544681</v>
      </c>
      <c r="AE15" s="84">
        <f>IFERROR('Energy supply'!AC14/'2.6 Fuel Efficiencies'!AD12,0)</f>
        <v>9.7751599458465233</v>
      </c>
      <c r="AF15" s="84">
        <f>IFERROR('Energy supply'!AD14/'2.6 Fuel Efficiencies'!AE12,0)</f>
        <v>10.725303846621221</v>
      </c>
      <c r="AG15" s="84">
        <f>IFERROR('Energy supply'!AE14/'2.6 Fuel Efficiencies'!AF12,0)</f>
        <v>11.502707107882891</v>
      </c>
      <c r="AH15" s="84">
        <f>IFERROR('Energy supply'!AF14/'2.6 Fuel Efficiencies'!AG12,0)</f>
        <v>12.552654698717836</v>
      </c>
      <c r="AI15" s="84">
        <f>IFERROR('Energy supply'!AG14/'2.6 Fuel Efficiencies'!AH12,0)</f>
        <v>13.89054287334503</v>
      </c>
      <c r="AJ15" s="84">
        <f>IFERROR('Energy supply'!AH14/'2.6 Fuel Efficiencies'!AI12,0)</f>
        <v>15.528710691214492</v>
      </c>
      <c r="AK15" s="84">
        <f>IFERROR('Energy supply'!AI14/'2.6 Fuel Efficiencies'!AJ12,0)</f>
        <v>17.412872161823948</v>
      </c>
      <c r="AL15" s="84">
        <f>IFERROR('Energy supply'!AJ14/'2.6 Fuel Efficiencies'!AK12,0)</f>
        <v>19.561891348854385</v>
      </c>
      <c r="AM15" s="84">
        <f>IFERROR('Energy supply'!AK14/'2.6 Fuel Efficiencies'!AL12,0)</f>
        <v>22.005056152922297</v>
      </c>
      <c r="AN15" s="84">
        <f>IFERROR('Energy supply'!AL14/'2.6 Fuel Efficiencies'!AM12,0)</f>
        <v>24.686467762892271</v>
      </c>
      <c r="AO15" s="84">
        <f>IFERROR('Energy supply'!AM14/'2.6 Fuel Efficiencies'!AN12,0)</f>
        <v>27.646268711234061</v>
      </c>
      <c r="AP15" s="84">
        <f>IFERROR('Energy supply'!AN14/'2.6 Fuel Efficiencies'!AO12,0)</f>
        <v>30.884331336351433</v>
      </c>
      <c r="AQ15" s="84">
        <f>IFERROR('Energy supply'!AO14/'2.6 Fuel Efficiencies'!AP12,0)</f>
        <v>33.902878709834653</v>
      </c>
      <c r="AR15" s="84">
        <f>IFERROR('Energy supply'!AP14/'2.6 Fuel Efficiencies'!AQ12,0)</f>
        <v>36.640828463899005</v>
      </c>
      <c r="AS15" s="84">
        <f>IFERROR('Energy supply'!AQ14/'2.6 Fuel Efficiencies'!AR12,0)</f>
        <v>39.098083979038115</v>
      </c>
      <c r="AT15" s="84">
        <f>IFERROR('Energy supply'!AR14/'2.6 Fuel Efficiencies'!AS12,0)</f>
        <v>41.274555605055355</v>
      </c>
      <c r="AU15" s="84">
        <f>IFERROR('Energy supply'!AS14/'2.6 Fuel Efficiencies'!AT12,0)</f>
        <v>43.170159988811328</v>
      </c>
      <c r="AV15" s="84">
        <f>IFERROR('Energy supply'!AT14/'2.6 Fuel Efficiencies'!AU12,0)</f>
        <v>44.784819473902516</v>
      </c>
      <c r="AW15" s="84">
        <f>IFERROR('Energy supply'!AU14/'2.6 Fuel Efficiencies'!AV12,0)</f>
        <v>46.118461563448761</v>
      </c>
      <c r="AX15" s="84">
        <f>IFERROR('Energy supply'!AV14/'2.6 Fuel Efficiencies'!AW12,0)</f>
        <v>47.171018438382838</v>
      </c>
      <c r="AY15" s="84">
        <f>IFERROR('Energy supply'!AW14/'2.6 Fuel Efficiencies'!AX12,0)</f>
        <v>47.942426524665592</v>
      </c>
      <c r="AZ15" s="84">
        <f>IFERROR('Energy supply'!AX14/'2.6 Fuel Efficiencies'!AY12,0)</f>
        <v>48.43262610372571</v>
      </c>
    </row>
    <row r="16" spans="1:52">
      <c r="E16" s="38" t="s">
        <v>1364</v>
      </c>
      <c r="F16" s="78"/>
      <c r="G16" s="78" t="s">
        <v>210</v>
      </c>
      <c r="H16" s="78"/>
      <c r="I16" s="44"/>
      <c r="K16" s="44"/>
      <c r="M16" s="44"/>
      <c r="O16" s="44"/>
      <c r="Q16" s="84">
        <f>'Energy supply'!O15*'2.6 Fuel Efficiencies'!P13/'2.6 Fuel Efficiencies'!P14</f>
        <v>0</v>
      </c>
      <c r="R16" s="84">
        <f>'Energy supply'!P15*'2.6 Fuel Efficiencies'!Q13/'2.6 Fuel Efficiencies'!Q14</f>
        <v>0</v>
      </c>
      <c r="S16" s="84">
        <f>IFERROR('Energy supply'!Q15*'2.6 Fuel Efficiencies'!R13/'2.6 Fuel Efficiencies'!R11,0)</f>
        <v>0</v>
      </c>
      <c r="T16" s="84">
        <f>IFERROR('Energy supply'!R15*'2.6 Fuel Efficiencies'!S13/'2.6 Fuel Efficiencies'!S11,0)</f>
        <v>0</v>
      </c>
      <c r="U16" s="84">
        <f>IFERROR('Energy supply'!S15*'2.6 Fuel Efficiencies'!T13/'2.6 Fuel Efficiencies'!T11,0)</f>
        <v>0</v>
      </c>
      <c r="V16" s="84">
        <f>IFERROR('Energy supply'!T15*'2.6 Fuel Efficiencies'!U13/'2.6 Fuel Efficiencies'!U11,0)</f>
        <v>0</v>
      </c>
      <c r="W16" s="84">
        <f>IFERROR('Energy supply'!U15*'2.6 Fuel Efficiencies'!V13/'2.6 Fuel Efficiencies'!V11,0)</f>
        <v>0</v>
      </c>
      <c r="X16" s="84">
        <f>IFERROR('Energy supply'!V15*'2.6 Fuel Efficiencies'!W13/'2.6 Fuel Efficiencies'!W11,0)</f>
        <v>0</v>
      </c>
      <c r="Y16" s="84">
        <f>IFERROR('Energy supply'!W15*'2.6 Fuel Efficiencies'!X13/'2.6 Fuel Efficiencies'!X11,0)</f>
        <v>0</v>
      </c>
      <c r="Z16" s="84">
        <f>IFERROR('Energy supply'!X15*'2.6 Fuel Efficiencies'!Y13/'2.6 Fuel Efficiencies'!Y11,0)</f>
        <v>0</v>
      </c>
      <c r="AA16" s="84">
        <f>IFERROR('Energy supply'!Y15*'2.6 Fuel Efficiencies'!Z13/'2.6 Fuel Efficiencies'!Z11,0)</f>
        <v>0</v>
      </c>
      <c r="AB16" s="84">
        <f>IFERROR('Energy supply'!Z15*'2.6 Fuel Efficiencies'!AA13/'2.6 Fuel Efficiencies'!AA11,0)</f>
        <v>0</v>
      </c>
      <c r="AC16" s="84">
        <f>IFERROR('Energy supply'!AA15*'2.6 Fuel Efficiencies'!AB13/'2.6 Fuel Efficiencies'!AB11,0)</f>
        <v>0</v>
      </c>
      <c r="AD16" s="84">
        <f>IFERROR('Energy supply'!AB15*'2.6 Fuel Efficiencies'!AC13/'2.6 Fuel Efficiencies'!AC11,0)</f>
        <v>0</v>
      </c>
      <c r="AE16" s="84">
        <f>IFERROR('Energy supply'!AC15*'2.6 Fuel Efficiencies'!AD13/'2.6 Fuel Efficiencies'!AD11,0)</f>
        <v>0</v>
      </c>
      <c r="AF16" s="84">
        <f>IFERROR('Energy supply'!AD15*'2.6 Fuel Efficiencies'!AE13/'2.6 Fuel Efficiencies'!AE11,0)</f>
        <v>0</v>
      </c>
      <c r="AG16" s="84">
        <f>IFERROR('Energy supply'!AE15*'2.6 Fuel Efficiencies'!AF13/'2.6 Fuel Efficiencies'!AF11,0)</f>
        <v>0</v>
      </c>
      <c r="AH16" s="84">
        <f>IFERROR('Energy supply'!AF15*'2.6 Fuel Efficiencies'!AG13/'2.6 Fuel Efficiencies'!AG11,0)</f>
        <v>0</v>
      </c>
      <c r="AI16" s="84">
        <f>IFERROR('Energy supply'!AG15*'2.6 Fuel Efficiencies'!AH13/'2.6 Fuel Efficiencies'!AH11,0)</f>
        <v>0</v>
      </c>
      <c r="AJ16" s="84">
        <f>IFERROR('Energy supply'!AH15*'2.6 Fuel Efficiencies'!AI13/'2.6 Fuel Efficiencies'!AI11,0)</f>
        <v>0</v>
      </c>
      <c r="AK16" s="84">
        <f>IFERROR('Energy supply'!AI15*'2.6 Fuel Efficiencies'!AJ13/'2.6 Fuel Efficiencies'!AJ11,0)</f>
        <v>0</v>
      </c>
      <c r="AL16" s="84">
        <f>IFERROR('Energy supply'!AJ15*'2.6 Fuel Efficiencies'!AK13/'2.6 Fuel Efficiencies'!AK11,0)</f>
        <v>0</v>
      </c>
      <c r="AM16" s="84">
        <f>IFERROR('Energy supply'!AK15*'2.6 Fuel Efficiencies'!AL13/'2.6 Fuel Efficiencies'!AL11,0)</f>
        <v>0</v>
      </c>
      <c r="AN16" s="84">
        <f>IFERROR('Energy supply'!AL15*'2.6 Fuel Efficiencies'!AM13/'2.6 Fuel Efficiencies'!AM11,0)</f>
        <v>0</v>
      </c>
      <c r="AO16" s="84">
        <f>IFERROR('Energy supply'!AM15*'2.6 Fuel Efficiencies'!AN13/'2.6 Fuel Efficiencies'!AN11,0)</f>
        <v>0</v>
      </c>
      <c r="AP16" s="84">
        <f>IFERROR('Energy supply'!AN15*'2.6 Fuel Efficiencies'!AO13/'2.6 Fuel Efficiencies'!AO11,0)</f>
        <v>0</v>
      </c>
      <c r="AQ16" s="84">
        <f>IFERROR('Energy supply'!AO15*'2.6 Fuel Efficiencies'!AP13/'2.6 Fuel Efficiencies'!AP11,0)</f>
        <v>0</v>
      </c>
      <c r="AR16" s="84">
        <f>IFERROR('Energy supply'!AP15*'2.6 Fuel Efficiencies'!AQ13/'2.6 Fuel Efficiencies'!AQ11,0)</f>
        <v>0</v>
      </c>
      <c r="AS16" s="84">
        <f>IFERROR('Energy supply'!AQ15*'2.6 Fuel Efficiencies'!AR13/'2.6 Fuel Efficiencies'!AR11,0)</f>
        <v>0</v>
      </c>
      <c r="AT16" s="84">
        <f>IFERROR('Energy supply'!AR15*'2.6 Fuel Efficiencies'!AS13/'2.6 Fuel Efficiencies'!AS11,0)</f>
        <v>0</v>
      </c>
      <c r="AU16" s="84">
        <f>IFERROR('Energy supply'!AS15*'2.6 Fuel Efficiencies'!AT13/'2.6 Fuel Efficiencies'!AT11,0)</f>
        <v>0</v>
      </c>
      <c r="AV16" s="84">
        <f>IFERROR('Energy supply'!AT15*'2.6 Fuel Efficiencies'!AU13/'2.6 Fuel Efficiencies'!AU11,0)</f>
        <v>0</v>
      </c>
      <c r="AW16" s="84">
        <f>IFERROR('Energy supply'!AU15*'2.6 Fuel Efficiencies'!AV13/'2.6 Fuel Efficiencies'!AV11,0)</f>
        <v>0</v>
      </c>
      <c r="AX16" s="84">
        <f>IFERROR('Energy supply'!AV15*'2.6 Fuel Efficiencies'!AW13/'2.6 Fuel Efficiencies'!AW11,0)</f>
        <v>0</v>
      </c>
      <c r="AY16" s="84">
        <f>IFERROR('Energy supply'!AW15*'2.6 Fuel Efficiencies'!AX13/'2.6 Fuel Efficiencies'!AX11,0)</f>
        <v>0</v>
      </c>
      <c r="AZ16" s="84">
        <f>IFERROR('Energy supply'!AX15*'2.6 Fuel Efficiencies'!AY13/'2.6 Fuel Efficiencies'!AY11,0)</f>
        <v>0</v>
      </c>
    </row>
    <row r="17" spans="3:52">
      <c r="E17" s="38" t="s">
        <v>1364</v>
      </c>
      <c r="F17" s="78"/>
      <c r="G17" s="78" t="s">
        <v>775</v>
      </c>
      <c r="H17" s="78"/>
      <c r="I17" s="44"/>
      <c r="K17" s="44"/>
      <c r="M17" s="44"/>
      <c r="O17" s="44"/>
      <c r="Q17" s="84">
        <f>IFERROR('Energy supply'!O15*(1-'2.6 Fuel Efficiencies'!P13)/'2.6 Fuel Efficiencies'!P15*('Allocation of heat'!E54/('Allocation of heat'!E54+'Allocation of heat'!E56)),0)</f>
        <v>0</v>
      </c>
      <c r="R17" s="84">
        <f>IFERROR('Energy supply'!P15*(1-'2.6 Fuel Efficiencies'!Q13)/'2.6 Fuel Efficiencies'!Q15*('Allocation of heat'!F54/('Allocation of heat'!F54+'Allocation of heat'!F56)),0)</f>
        <v>0</v>
      </c>
      <c r="S17" s="84">
        <f>IFERROR('Energy supply'!Q15*(1-'2.6 Fuel Efficiencies'!R13)/'2.6 Fuel Efficiencies'!R15*('Allocation of heat'!G54/('Allocation of heat'!G54+'Allocation of heat'!G56)),0)</f>
        <v>0</v>
      </c>
      <c r="T17" s="84">
        <f>IFERROR('Energy supply'!R15*(1-'2.6 Fuel Efficiencies'!S13)/'2.6 Fuel Efficiencies'!S15*('Allocation of heat'!H54/('Allocation of heat'!H54+'Allocation of heat'!H56)),0)</f>
        <v>0</v>
      </c>
      <c r="U17" s="84">
        <f>IFERROR('Energy supply'!S15*(1-'2.6 Fuel Efficiencies'!T13)/'2.6 Fuel Efficiencies'!T15*('Allocation of heat'!I54/('Allocation of heat'!I54+'Allocation of heat'!I56)),0)</f>
        <v>0</v>
      </c>
      <c r="V17" s="84">
        <f>IFERROR('Energy supply'!T15*(1-'2.6 Fuel Efficiencies'!U13)/'2.6 Fuel Efficiencies'!U15*('Allocation of heat'!J54/('Allocation of heat'!J54+'Allocation of heat'!J56)),0)</f>
        <v>0</v>
      </c>
      <c r="W17" s="84">
        <f>IFERROR('Energy supply'!U15*(1-'2.6 Fuel Efficiencies'!V13)/'2.6 Fuel Efficiencies'!V15*('Allocation of heat'!K54/('Allocation of heat'!K54+'Allocation of heat'!K56)),0)</f>
        <v>0</v>
      </c>
      <c r="X17" s="84">
        <f>IFERROR('Energy supply'!V15*(1-'2.6 Fuel Efficiencies'!W13)/'2.6 Fuel Efficiencies'!W15*('Allocation of heat'!L54/('Allocation of heat'!L54+'Allocation of heat'!L56)),0)</f>
        <v>0</v>
      </c>
      <c r="Y17" s="84">
        <f>IFERROR('Energy supply'!W15*(1-'2.6 Fuel Efficiencies'!X13)/'2.6 Fuel Efficiencies'!X15*('Allocation of heat'!M54/('Allocation of heat'!M54+'Allocation of heat'!M56)),0)</f>
        <v>0</v>
      </c>
      <c r="Z17" s="84">
        <f>IFERROR('Energy supply'!X15*(1-'2.6 Fuel Efficiencies'!Y13)/'2.6 Fuel Efficiencies'!Y15*('Allocation of heat'!N54/('Allocation of heat'!N54+'Allocation of heat'!N56)),0)</f>
        <v>0</v>
      </c>
      <c r="AA17" s="84">
        <f>IFERROR('Energy supply'!Y15*(1-'2.6 Fuel Efficiencies'!Z13)/'2.6 Fuel Efficiencies'!Z15*('Allocation of heat'!O54/('Allocation of heat'!O54+'Allocation of heat'!O56)),0)</f>
        <v>0</v>
      </c>
      <c r="AB17" s="84">
        <f>IFERROR('Energy supply'!Z15*(1-'2.6 Fuel Efficiencies'!AA13)/'2.6 Fuel Efficiencies'!AA15*('Allocation of heat'!P54/('Allocation of heat'!P54+'Allocation of heat'!P56)),0)</f>
        <v>0</v>
      </c>
      <c r="AC17" s="84">
        <f>IFERROR('Energy supply'!AA15*(1-'2.6 Fuel Efficiencies'!AB13)/'2.6 Fuel Efficiencies'!AB15*('Allocation of heat'!Q54/('Allocation of heat'!Q54+'Allocation of heat'!Q56)),0)</f>
        <v>0</v>
      </c>
      <c r="AD17" s="84">
        <f>IFERROR('Energy supply'!AB15*(1-'2.6 Fuel Efficiencies'!AC13)/'2.6 Fuel Efficiencies'!AC15*('Allocation of heat'!R54/('Allocation of heat'!R54+'Allocation of heat'!R56)),0)</f>
        <v>0</v>
      </c>
      <c r="AE17" s="84">
        <f>IFERROR('Energy supply'!AC15*(1-'2.6 Fuel Efficiencies'!AD13)/'2.6 Fuel Efficiencies'!AD15*('Allocation of heat'!S54/('Allocation of heat'!S54+'Allocation of heat'!S56)),0)</f>
        <v>0</v>
      </c>
      <c r="AF17" s="84">
        <f>IFERROR('Energy supply'!AD15*(1-'2.6 Fuel Efficiencies'!AE13)/'2.6 Fuel Efficiencies'!AE15*('Allocation of heat'!T54/('Allocation of heat'!T54+'Allocation of heat'!T56)),0)</f>
        <v>0</v>
      </c>
      <c r="AG17" s="84">
        <f>IFERROR('Energy supply'!AE15*(1-'2.6 Fuel Efficiencies'!AF13)/'2.6 Fuel Efficiencies'!AF15*('Allocation of heat'!U54/('Allocation of heat'!U54+'Allocation of heat'!U56)),0)</f>
        <v>0</v>
      </c>
      <c r="AH17" s="84">
        <f>IFERROR('Energy supply'!AF15*(1-'2.6 Fuel Efficiencies'!AG13)/'2.6 Fuel Efficiencies'!AG15*('Allocation of heat'!V54/('Allocation of heat'!V54+'Allocation of heat'!V56)),0)</f>
        <v>0</v>
      </c>
      <c r="AI17" s="84">
        <f>IFERROR('Energy supply'!AG15*(1-'2.6 Fuel Efficiencies'!AH13)/'2.6 Fuel Efficiencies'!AH15*('Allocation of heat'!W54/('Allocation of heat'!W54+'Allocation of heat'!W56)),0)</f>
        <v>0</v>
      </c>
      <c r="AJ17" s="84">
        <f>IFERROR('Energy supply'!AH15*(1-'2.6 Fuel Efficiencies'!AI13)/'2.6 Fuel Efficiencies'!AI15*('Allocation of heat'!X54/('Allocation of heat'!X54+'Allocation of heat'!X56)),0)</f>
        <v>0</v>
      </c>
      <c r="AK17" s="84">
        <f>IFERROR('Energy supply'!AI15*(1-'2.6 Fuel Efficiencies'!AJ13)/'2.6 Fuel Efficiencies'!AJ15*('Allocation of heat'!Y54/('Allocation of heat'!Y54+'Allocation of heat'!Y56)),0)</f>
        <v>0</v>
      </c>
      <c r="AL17" s="84">
        <f>IFERROR('Energy supply'!AJ15*(1-'2.6 Fuel Efficiencies'!AK13)/'2.6 Fuel Efficiencies'!AK15*('Allocation of heat'!Z54/('Allocation of heat'!Z54+'Allocation of heat'!Z56)),0)</f>
        <v>0</v>
      </c>
      <c r="AM17" s="84">
        <f>IFERROR('Energy supply'!AK15*(1-'2.6 Fuel Efficiencies'!AL13)/'2.6 Fuel Efficiencies'!AL15*('Allocation of heat'!AA54/('Allocation of heat'!AA54+'Allocation of heat'!AA56)),0)</f>
        <v>0</v>
      </c>
      <c r="AN17" s="84">
        <f>IFERROR('Energy supply'!AL15*(1-'2.6 Fuel Efficiencies'!AM13)/'2.6 Fuel Efficiencies'!AM15*('Allocation of heat'!AB54/('Allocation of heat'!AB54+'Allocation of heat'!AB56)),0)</f>
        <v>0</v>
      </c>
      <c r="AO17" s="84">
        <f>IFERROR('Energy supply'!AM15*(1-'2.6 Fuel Efficiencies'!AN13)/'2.6 Fuel Efficiencies'!AN15*('Allocation of heat'!AC54/('Allocation of heat'!AC54+'Allocation of heat'!AC56)),0)</f>
        <v>0</v>
      </c>
      <c r="AP17" s="84">
        <f>IFERROR('Energy supply'!AN15*(1-'2.6 Fuel Efficiencies'!AO13)/'2.6 Fuel Efficiencies'!AO15*('Allocation of heat'!AD54/('Allocation of heat'!AD54+'Allocation of heat'!AD56)),0)</f>
        <v>0</v>
      </c>
      <c r="AQ17" s="84">
        <f>IFERROR('Energy supply'!AO15*(1-'2.6 Fuel Efficiencies'!AP13)/'2.6 Fuel Efficiencies'!AP15*('Allocation of heat'!AE54/('Allocation of heat'!AE54+'Allocation of heat'!AE56)),0)</f>
        <v>0</v>
      </c>
      <c r="AR17" s="84">
        <f>IFERROR('Energy supply'!AP15*(1-'2.6 Fuel Efficiencies'!AQ13)/'2.6 Fuel Efficiencies'!AQ15*('Allocation of heat'!AF54/('Allocation of heat'!AF54+'Allocation of heat'!AF56)),0)</f>
        <v>0</v>
      </c>
      <c r="AS17" s="84">
        <f>IFERROR('Energy supply'!AQ15*(1-'2.6 Fuel Efficiencies'!AR13)/'2.6 Fuel Efficiencies'!AR15*('Allocation of heat'!AG54/('Allocation of heat'!AG54+'Allocation of heat'!AG56)),0)</f>
        <v>0</v>
      </c>
      <c r="AT17" s="84">
        <f>IFERROR('Energy supply'!AR15*(1-'2.6 Fuel Efficiencies'!AS13)/'2.6 Fuel Efficiencies'!AS15*('Allocation of heat'!AH54/('Allocation of heat'!AH54+'Allocation of heat'!AH56)),0)</f>
        <v>0</v>
      </c>
      <c r="AU17" s="84">
        <f>IFERROR('Energy supply'!AS15*(1-'2.6 Fuel Efficiencies'!AT13)/'2.6 Fuel Efficiencies'!AT15*('Allocation of heat'!AI54/('Allocation of heat'!AI54+'Allocation of heat'!AI56)),0)</f>
        <v>0</v>
      </c>
      <c r="AV17" s="84">
        <f>IFERROR('Energy supply'!AT15*(1-'2.6 Fuel Efficiencies'!AU13)/'2.6 Fuel Efficiencies'!AU15*('Allocation of heat'!AJ54/('Allocation of heat'!AJ54+'Allocation of heat'!AJ56)),0)</f>
        <v>0</v>
      </c>
      <c r="AW17" s="84">
        <f>IFERROR('Energy supply'!AU15*(1-'2.6 Fuel Efficiencies'!AV13)/'2.6 Fuel Efficiencies'!AV15*('Allocation of heat'!AK54/('Allocation of heat'!AK54+'Allocation of heat'!AK56)),0)</f>
        <v>0</v>
      </c>
      <c r="AX17" s="84">
        <f>IFERROR('Energy supply'!AV15*(1-'2.6 Fuel Efficiencies'!AW13)/'2.6 Fuel Efficiencies'!AW15*('Allocation of heat'!AL54/('Allocation of heat'!AL54+'Allocation of heat'!AL56)),0)</f>
        <v>0</v>
      </c>
      <c r="AY17" s="84">
        <f>IFERROR('Energy supply'!AW15*(1-'2.6 Fuel Efficiencies'!AX13)/'2.6 Fuel Efficiencies'!AX15*('Allocation of heat'!AM54/('Allocation of heat'!AM54+'Allocation of heat'!AM56)),0)</f>
        <v>0</v>
      </c>
      <c r="AZ17" s="84">
        <f>IFERROR('Energy supply'!AX15*(1-'2.6 Fuel Efficiencies'!AY13)/'2.6 Fuel Efficiencies'!AY15*('Allocation of heat'!AN54/('Allocation of heat'!AN54+'Allocation of heat'!AN56)),0)</f>
        <v>0</v>
      </c>
    </row>
    <row r="18" spans="3:52">
      <c r="E18" s="38" t="s">
        <v>1364</v>
      </c>
      <c r="F18" s="78"/>
      <c r="G18" s="78" t="s">
        <v>211</v>
      </c>
      <c r="H18" s="78"/>
      <c r="I18" s="44"/>
      <c r="K18" s="44"/>
      <c r="M18" s="44"/>
      <c r="O18" s="44"/>
      <c r="Q18" s="84">
        <f>IFERROR('Energy supply'!O15*(1-'2.6 Fuel Efficiencies'!P13)/'2.6 Fuel Efficiencies'!P17*('Allocation of heat'!E56/('Allocation of heat'!E54+'Allocation of heat'!E56)),0)</f>
        <v>0</v>
      </c>
      <c r="R18" s="84">
        <f>IFERROR('Energy supply'!P15*(1-'2.6 Fuel Efficiencies'!Q13)/'2.6 Fuel Efficiencies'!Q17*('Allocation of heat'!F56/('Allocation of heat'!F54+'Allocation of heat'!F56)),0)</f>
        <v>0</v>
      </c>
      <c r="S18" s="84">
        <f>IFERROR('Energy supply'!Q15*(1-'2.6 Fuel Efficiencies'!R13)/'2.6 Fuel Efficiencies'!R17*('Allocation of heat'!G56/('Allocation of heat'!G54+'Allocation of heat'!G56)),0)</f>
        <v>0</v>
      </c>
      <c r="T18" s="84">
        <f>IFERROR('Energy supply'!R15*(1-'2.6 Fuel Efficiencies'!S13)/'2.6 Fuel Efficiencies'!S17*('Allocation of heat'!H56/('Allocation of heat'!H54+'Allocation of heat'!H56)),0)</f>
        <v>0</v>
      </c>
      <c r="U18" s="84">
        <f>IFERROR('Energy supply'!S15*(1-'2.6 Fuel Efficiencies'!T13)/'2.6 Fuel Efficiencies'!T17*('Allocation of heat'!I56/('Allocation of heat'!I54+'Allocation of heat'!I56)),0)</f>
        <v>0</v>
      </c>
      <c r="V18" s="84">
        <f>IFERROR('Energy supply'!T15*(1-'2.6 Fuel Efficiencies'!U13)/'2.6 Fuel Efficiencies'!U17*('Allocation of heat'!J56/('Allocation of heat'!J54+'Allocation of heat'!J56)),0)</f>
        <v>0</v>
      </c>
      <c r="W18" s="84">
        <f>IFERROR('Energy supply'!U15*(1-'2.6 Fuel Efficiencies'!V13)/'2.6 Fuel Efficiencies'!V17*('Allocation of heat'!K56/('Allocation of heat'!K54+'Allocation of heat'!K56)),0)</f>
        <v>0</v>
      </c>
      <c r="X18" s="84">
        <f>IFERROR('Energy supply'!V15*(1-'2.6 Fuel Efficiencies'!W13)/'2.6 Fuel Efficiencies'!W17*('Allocation of heat'!L56/('Allocation of heat'!L54+'Allocation of heat'!L56)),0)</f>
        <v>0</v>
      </c>
      <c r="Y18" s="84">
        <f>IFERROR('Energy supply'!W15*(1-'2.6 Fuel Efficiencies'!X13)/'2.6 Fuel Efficiencies'!X17*('Allocation of heat'!M56/('Allocation of heat'!M54+'Allocation of heat'!M56)),0)</f>
        <v>0</v>
      </c>
      <c r="Z18" s="84">
        <f>IFERROR('Energy supply'!X15*(1-'2.6 Fuel Efficiencies'!Y13)/'2.6 Fuel Efficiencies'!Y17*('Allocation of heat'!N56/('Allocation of heat'!N54+'Allocation of heat'!N56)),0)</f>
        <v>0</v>
      </c>
      <c r="AA18" s="84">
        <f>IFERROR('Energy supply'!Y15*(1-'2.6 Fuel Efficiencies'!Z13)/'2.6 Fuel Efficiencies'!Z17*('Allocation of heat'!O56/('Allocation of heat'!O54+'Allocation of heat'!O56)),0)</f>
        <v>0</v>
      </c>
      <c r="AB18" s="84">
        <f>IFERROR('Energy supply'!Z15*(1-'2.6 Fuel Efficiencies'!AA13)/'2.6 Fuel Efficiencies'!AA17*('Allocation of heat'!P56/('Allocation of heat'!P54+'Allocation of heat'!P56)),0)</f>
        <v>0</v>
      </c>
      <c r="AC18" s="84">
        <f>IFERROR('Energy supply'!AA15*(1-'2.6 Fuel Efficiencies'!AB13)/'2.6 Fuel Efficiencies'!AB17*('Allocation of heat'!Q56/('Allocation of heat'!Q54+'Allocation of heat'!Q56)),0)</f>
        <v>0</v>
      </c>
      <c r="AD18" s="84">
        <f>IFERROR('Energy supply'!AB15*(1-'2.6 Fuel Efficiencies'!AC13)/'2.6 Fuel Efficiencies'!AC17*('Allocation of heat'!R56/('Allocation of heat'!R54+'Allocation of heat'!R56)),0)</f>
        <v>0</v>
      </c>
      <c r="AE18" s="84">
        <f>IFERROR('Energy supply'!AC15*(1-'2.6 Fuel Efficiencies'!AD13)/'2.6 Fuel Efficiencies'!AD17*('Allocation of heat'!S56/('Allocation of heat'!S54+'Allocation of heat'!S56)),0)</f>
        <v>0</v>
      </c>
      <c r="AF18" s="84">
        <f>IFERROR('Energy supply'!AD15*(1-'2.6 Fuel Efficiencies'!AE13)/'2.6 Fuel Efficiencies'!AE17*('Allocation of heat'!T56/('Allocation of heat'!T54+'Allocation of heat'!T56)),0)</f>
        <v>0</v>
      </c>
      <c r="AG18" s="84">
        <f>IFERROR('Energy supply'!AE15*(1-'2.6 Fuel Efficiencies'!AF13)/'2.6 Fuel Efficiencies'!AF17*('Allocation of heat'!U56/('Allocation of heat'!U54+'Allocation of heat'!U56)),0)</f>
        <v>0</v>
      </c>
      <c r="AH18" s="84">
        <f>IFERROR('Energy supply'!AF15*(1-'2.6 Fuel Efficiencies'!AG13)/'2.6 Fuel Efficiencies'!AG17*('Allocation of heat'!V56/('Allocation of heat'!V54+'Allocation of heat'!V56)),0)</f>
        <v>0</v>
      </c>
      <c r="AI18" s="84">
        <f>IFERROR('Energy supply'!AG15*(1-'2.6 Fuel Efficiencies'!AH13)/'2.6 Fuel Efficiencies'!AH17*('Allocation of heat'!W56/('Allocation of heat'!W54+'Allocation of heat'!W56)),0)</f>
        <v>0</v>
      </c>
      <c r="AJ18" s="84">
        <f>IFERROR('Energy supply'!AH15*(1-'2.6 Fuel Efficiencies'!AI13)/'2.6 Fuel Efficiencies'!AI17*('Allocation of heat'!X56/('Allocation of heat'!X54+'Allocation of heat'!X56)),0)</f>
        <v>0</v>
      </c>
      <c r="AK18" s="84">
        <f>IFERROR('Energy supply'!AI15*(1-'2.6 Fuel Efficiencies'!AJ13)/'2.6 Fuel Efficiencies'!AJ17*('Allocation of heat'!Y56/('Allocation of heat'!Y54+'Allocation of heat'!Y56)),0)</f>
        <v>0</v>
      </c>
      <c r="AL18" s="84">
        <f>IFERROR('Energy supply'!AJ15*(1-'2.6 Fuel Efficiencies'!AK13)/'2.6 Fuel Efficiencies'!AK17*('Allocation of heat'!Z56/('Allocation of heat'!Z54+'Allocation of heat'!Z56)),0)</f>
        <v>0</v>
      </c>
      <c r="AM18" s="84">
        <f>IFERROR('Energy supply'!AK15*(1-'2.6 Fuel Efficiencies'!AL13)/'2.6 Fuel Efficiencies'!AL17*('Allocation of heat'!AA56/('Allocation of heat'!AA54+'Allocation of heat'!AA56)),0)</f>
        <v>0</v>
      </c>
      <c r="AN18" s="84">
        <f>IFERROR('Energy supply'!AL15*(1-'2.6 Fuel Efficiencies'!AM13)/'2.6 Fuel Efficiencies'!AM17*('Allocation of heat'!AB56/('Allocation of heat'!AB54+'Allocation of heat'!AB56)),0)</f>
        <v>0</v>
      </c>
      <c r="AO18" s="84">
        <f>IFERROR('Energy supply'!AM15*(1-'2.6 Fuel Efficiencies'!AN13)/'2.6 Fuel Efficiencies'!AN17*('Allocation of heat'!AC56/('Allocation of heat'!AC54+'Allocation of heat'!AC56)),0)</f>
        <v>0</v>
      </c>
      <c r="AP18" s="84">
        <f>IFERROR('Energy supply'!AN15*(1-'2.6 Fuel Efficiencies'!AO13)/'2.6 Fuel Efficiencies'!AO17*('Allocation of heat'!AD56/('Allocation of heat'!AD54+'Allocation of heat'!AD56)),0)</f>
        <v>0</v>
      </c>
      <c r="AQ18" s="84">
        <f>IFERROR('Energy supply'!AO15*(1-'2.6 Fuel Efficiencies'!AP13)/'2.6 Fuel Efficiencies'!AP17*('Allocation of heat'!AE56/('Allocation of heat'!AE54+'Allocation of heat'!AE56)),0)</f>
        <v>0</v>
      </c>
      <c r="AR18" s="84">
        <f>IFERROR('Energy supply'!AP15*(1-'2.6 Fuel Efficiencies'!AQ13)/'2.6 Fuel Efficiencies'!AQ17*('Allocation of heat'!AF56/('Allocation of heat'!AF54+'Allocation of heat'!AF56)),0)</f>
        <v>0</v>
      </c>
      <c r="AS18" s="84">
        <f>IFERROR('Energy supply'!AQ15*(1-'2.6 Fuel Efficiencies'!AR13)/'2.6 Fuel Efficiencies'!AR17*('Allocation of heat'!AG56/('Allocation of heat'!AG54+'Allocation of heat'!AG56)),0)</f>
        <v>0</v>
      </c>
      <c r="AT18" s="84">
        <f>IFERROR('Energy supply'!AR15*(1-'2.6 Fuel Efficiencies'!AS13)/'2.6 Fuel Efficiencies'!AS17*('Allocation of heat'!AH56/('Allocation of heat'!AH54+'Allocation of heat'!AH56)),0)</f>
        <v>0</v>
      </c>
      <c r="AU18" s="84">
        <f>IFERROR('Energy supply'!AS15*(1-'2.6 Fuel Efficiencies'!AT13)/'2.6 Fuel Efficiencies'!AT17*('Allocation of heat'!AI56/('Allocation of heat'!AI54+'Allocation of heat'!AI56)),0)</f>
        <v>0</v>
      </c>
      <c r="AV18" s="84">
        <f>IFERROR('Energy supply'!AT15*(1-'2.6 Fuel Efficiencies'!AU13)/'2.6 Fuel Efficiencies'!AU17*('Allocation of heat'!AJ56/('Allocation of heat'!AJ54+'Allocation of heat'!AJ56)),0)</f>
        <v>0</v>
      </c>
      <c r="AW18" s="84">
        <f>IFERROR('Energy supply'!AU15*(1-'2.6 Fuel Efficiencies'!AV13)/'2.6 Fuel Efficiencies'!AV17*('Allocation of heat'!AK56/('Allocation of heat'!AK54+'Allocation of heat'!AK56)),0)</f>
        <v>0</v>
      </c>
      <c r="AX18" s="84">
        <f>IFERROR('Energy supply'!AV15*(1-'2.6 Fuel Efficiencies'!AW13)/'2.6 Fuel Efficiencies'!AW17*('Allocation of heat'!AL56/('Allocation of heat'!AL54+'Allocation of heat'!AL56)),0)</f>
        <v>0</v>
      </c>
      <c r="AY18" s="84">
        <f>IFERROR('Energy supply'!AW15*(1-'2.6 Fuel Efficiencies'!AX13)/'2.6 Fuel Efficiencies'!AX17*('Allocation of heat'!AM56/('Allocation of heat'!AM54+'Allocation of heat'!AM56)),0)</f>
        <v>0</v>
      </c>
      <c r="AZ18" s="84">
        <f>IFERROR('Energy supply'!AX15*(1-'2.6 Fuel Efficiencies'!AY13)/'2.6 Fuel Efficiencies'!AY17*('Allocation of heat'!AN56/('Allocation of heat'!AN54+'Allocation of heat'!AN56)),0)</f>
        <v>0</v>
      </c>
    </row>
    <row r="19" spans="3:52">
      <c r="E19" s="78" t="s">
        <v>779</v>
      </c>
      <c r="F19" s="78"/>
      <c r="G19" s="78" t="s">
        <v>188</v>
      </c>
      <c r="H19" s="78"/>
      <c r="I19" s="44"/>
      <c r="K19" s="44"/>
      <c r="M19" s="44"/>
      <c r="O19" s="44"/>
      <c r="Q19" s="84">
        <f>SUM('Heat Networks'!K62:K72)*'Heat Networks'!K57/SUM('Heat Networks'!K57:K58)/1000000</f>
        <v>298.66210234186474</v>
      </c>
      <c r="R19" s="84">
        <f>SUM('Heat Networks'!L62:L72)*'Heat Networks'!L57/SUM('Heat Networks'!L57:L58)/1000000</f>
        <v>311.79797507750129</v>
      </c>
      <c r="S19" s="84">
        <f>SUM('Heat Networks'!M62:M72)*'Heat Networks'!M57/SUM('Heat Networks'!M57:M58)/1000000</f>
        <v>326.85994134949141</v>
      </c>
      <c r="T19" s="84">
        <f>SUM('Heat Networks'!N62:N72)*'Heat Networks'!N57/SUM('Heat Networks'!N57:N58)/1000000</f>
        <v>343.75012442059744</v>
      </c>
      <c r="U19" s="84">
        <f>SUM('Heat Networks'!O62:O72)*'Heat Networks'!O57/SUM('Heat Networks'!O57:O58)/1000000</f>
        <v>362.37064755358284</v>
      </c>
      <c r="V19" s="84">
        <f>SUM('Heat Networks'!P62:P72)*'Heat Networks'!P57/SUM('Heat Networks'!P57:P58)/1000000</f>
        <v>463.55862311252065</v>
      </c>
      <c r="W19" s="84">
        <f>SUM('Heat Networks'!Q62:Q72)*'Heat Networks'!Q57/SUM('Heat Networks'!Q57:Q58)/1000000</f>
        <v>525.07915454917452</v>
      </c>
      <c r="X19" s="84">
        <f>SUM('Heat Networks'!R62:R72)*'Heat Networks'!R57/SUM('Heat Networks'!R57:R58)/1000000</f>
        <v>598.18561477828462</v>
      </c>
      <c r="Y19" s="84">
        <f>SUM('Heat Networks'!S62:S72)*'Heat Networks'!S57/SUM('Heat Networks'!S57:S58)/1000000</f>
        <v>668.97497337151458</v>
      </c>
      <c r="Z19" s="84">
        <f>SUM('Heat Networks'!T62:T72)*'Heat Networks'!T57/SUM('Heat Networks'!T57:T58)/1000000</f>
        <v>737.65160647523317</v>
      </c>
      <c r="AA19" s="84">
        <f>SUM('Heat Networks'!U62:U72)*'Heat Networks'!U57/SUM('Heat Networks'!U57:U58)/1000000</f>
        <v>804.32029503815102</v>
      </c>
      <c r="AB19" s="84">
        <f>SUM('Heat Networks'!V62:V72)*'Heat Networks'!V57/SUM('Heat Networks'!V57:V58)/1000000</f>
        <v>821.95974092121367</v>
      </c>
      <c r="AC19" s="84">
        <f>SUM('Heat Networks'!W62:W72)*'Heat Networks'!W57/SUM('Heat Networks'!W57:W58)/1000000</f>
        <v>837.34660190000307</v>
      </c>
      <c r="AD19" s="84">
        <f>SUM('Heat Networks'!X62:X72)*'Heat Networks'!X57/SUM('Heat Networks'!X57:X58)/1000000</f>
        <v>850.80384885196145</v>
      </c>
      <c r="AE19" s="84">
        <f>SUM('Heat Networks'!Y62:Y72)*'Heat Networks'!Y57/SUM('Heat Networks'!Y57:Y58)/1000000</f>
        <v>862.63032029528279</v>
      </c>
      <c r="AF19" s="84">
        <f>SUM('Heat Networks'!Z62:Z72)*'Heat Networks'!Z57/SUM('Heat Networks'!Z57:Z58)/1000000</f>
        <v>873.01546082044456</v>
      </c>
      <c r="AG19" s="84">
        <f>SUM('Heat Networks'!AA62:AA72)*'Heat Networks'!AA57/SUM('Heat Networks'!AA57:AA58)/1000000</f>
        <v>869.15447999689911</v>
      </c>
      <c r="AH19" s="84">
        <f>SUM('Heat Networks'!AB62:AB72)*'Heat Networks'!AB57/SUM('Heat Networks'!AB57:AB58)/1000000</f>
        <v>861.91182007824341</v>
      </c>
      <c r="AI19" s="84">
        <f>SUM('Heat Networks'!AC62:AC72)*'Heat Networks'!AC57/SUM('Heat Networks'!AC57:AC58)/1000000</f>
        <v>825.22052010829361</v>
      </c>
      <c r="AJ19" s="84">
        <f>SUM('Heat Networks'!AD62:AD72)*'Heat Networks'!AD57/SUM('Heat Networks'!AD57:AD58)/1000000</f>
        <v>783.24755759762684</v>
      </c>
      <c r="AK19" s="84">
        <f>SUM('Heat Networks'!AE62:AE72)*'Heat Networks'!AE57/SUM('Heat Networks'!AE57:AE58)/1000000</f>
        <v>740.66364460750344</v>
      </c>
      <c r="AL19" s="84">
        <f>SUM('Heat Networks'!AF62:AF72)*'Heat Networks'!AF57/SUM('Heat Networks'!AF57:AF58)/1000000</f>
        <v>698.92634175251362</v>
      </c>
      <c r="AM19" s="84">
        <f>SUM('Heat Networks'!AG62:AG72)*'Heat Networks'!AG57/SUM('Heat Networks'!AG57:AG58)/1000000</f>
        <v>657.32668980605376</v>
      </c>
      <c r="AN19" s="84">
        <f>SUM('Heat Networks'!AH62:AH72)*'Heat Networks'!AH57/SUM('Heat Networks'!AH57:AH58)/1000000</f>
        <v>616.17412544002786</v>
      </c>
      <c r="AO19" s="84">
        <f>SUM('Heat Networks'!AI62:AI72)*'Heat Networks'!AI57/SUM('Heat Networks'!AI57:AI58)/1000000</f>
        <v>571.29586289149654</v>
      </c>
      <c r="AP19" s="84">
        <f>SUM('Heat Networks'!AJ62:AJ72)*'Heat Networks'!AJ57/SUM('Heat Networks'!AJ57:AJ58)/1000000</f>
        <v>526.68721132959877</v>
      </c>
      <c r="AQ19" s="84">
        <f>SUM('Heat Networks'!AK62:AK72)*'Heat Networks'!AK57/SUM('Heat Networks'!AK57:AK58)/1000000</f>
        <v>491.24341209280504</v>
      </c>
      <c r="AR19" s="84">
        <f>SUM('Heat Networks'!AL62:AL72)*'Heat Networks'!AL57/SUM('Heat Networks'!AL57:AL58)/1000000</f>
        <v>455.39545054785827</v>
      </c>
      <c r="AS19" s="84">
        <f>SUM('Heat Networks'!AM62:AM72)*'Heat Networks'!AM57/SUM('Heat Networks'!AM57:AM58)/1000000</f>
        <v>419.30340992683887</v>
      </c>
      <c r="AT19" s="84">
        <f>SUM('Heat Networks'!AN62:AN72)*'Heat Networks'!AN57/SUM('Heat Networks'!AN57:AN58)/1000000</f>
        <v>383.12825934100618</v>
      </c>
      <c r="AU19" s="84">
        <f>SUM('Heat Networks'!AO62:AO72)*'Heat Networks'!AO57/SUM('Heat Networks'!AO57:AO58)/1000000</f>
        <v>347.03141025140815</v>
      </c>
      <c r="AV19" s="84">
        <f>SUM('Heat Networks'!AP62:AP72)*'Heat Networks'!AP57/SUM('Heat Networks'!AP57:AP58)/1000000</f>
        <v>303.3188259465382</v>
      </c>
      <c r="AW19" s="84">
        <f>SUM('Heat Networks'!AQ62:AQ72)*'Heat Networks'!AQ57/SUM('Heat Networks'!AQ57:AQ58)/1000000</f>
        <v>285.16273358486586</v>
      </c>
      <c r="AX19" s="84">
        <f>SUM('Heat Networks'!AR62:AR72)*'Heat Networks'!AR57/SUM('Heat Networks'!AR57:AR58)/1000000</f>
        <v>267.37803580118054</v>
      </c>
      <c r="AY19" s="84">
        <f>SUM('Heat Networks'!AS62:AS72)*'Heat Networks'!AS57/SUM('Heat Networks'!AS57:AS58)/1000000</f>
        <v>249.98133011584196</v>
      </c>
      <c r="AZ19" s="84">
        <f>SUM('Heat Networks'!AT62:AT72)*'Heat Networks'!AT57/SUM('Heat Networks'!AT57:AT58)/1000000</f>
        <v>232.98940248655015</v>
      </c>
    </row>
    <row r="20" spans="3:52">
      <c r="E20" s="78" t="s">
        <v>211</v>
      </c>
      <c r="F20" s="78"/>
      <c r="G20" s="78" t="s">
        <v>211</v>
      </c>
      <c r="H20" s="78"/>
      <c r="I20" s="44"/>
      <c r="K20" s="44"/>
      <c r="M20" s="44"/>
      <c r="O20" s="44"/>
      <c r="Q20" s="84">
        <f>IFERROR('Energy supply'!O17/'2.6 Fuel Efficiencies'!P17,0)</f>
        <v>0</v>
      </c>
      <c r="R20" s="84">
        <f>IFERROR('Energy supply'!P17/'2.6 Fuel Efficiencies'!Q17,0)</f>
        <v>0</v>
      </c>
      <c r="S20" s="84">
        <f>IFERROR('Energy supply'!Q17/'2.6 Fuel Efficiencies'!R17,0)</f>
        <v>0</v>
      </c>
      <c r="T20" s="84">
        <f>IFERROR('Energy supply'!R17/'2.6 Fuel Efficiencies'!S17,0)</f>
        <v>0</v>
      </c>
      <c r="U20" s="84">
        <f>IFERROR('Energy supply'!S17/'2.6 Fuel Efficiencies'!T17,0)</f>
        <v>0</v>
      </c>
      <c r="V20" s="84">
        <f>IFERROR('Energy supply'!T17/'2.6 Fuel Efficiencies'!U17,0)</f>
        <v>0</v>
      </c>
      <c r="W20" s="84">
        <f>IFERROR('Energy supply'!U17/'2.6 Fuel Efficiencies'!V17,0)</f>
        <v>0</v>
      </c>
      <c r="X20" s="84">
        <f>IFERROR('Energy supply'!V17/'2.6 Fuel Efficiencies'!W17,0)</f>
        <v>0</v>
      </c>
      <c r="Y20" s="84">
        <f>IFERROR('Energy supply'!W17/'2.6 Fuel Efficiencies'!X17,0)</f>
        <v>0</v>
      </c>
      <c r="Z20" s="84">
        <f>IFERROR('Energy supply'!X17/'2.6 Fuel Efficiencies'!Y17,0)</f>
        <v>0</v>
      </c>
      <c r="AA20" s="84">
        <f>IFERROR('Energy supply'!Y17/'2.6 Fuel Efficiencies'!Z17,0)</f>
        <v>0</v>
      </c>
      <c r="AB20" s="84">
        <f>IFERROR('Energy supply'!Z17/'2.6 Fuel Efficiencies'!AA17,0)</f>
        <v>0</v>
      </c>
      <c r="AC20" s="84">
        <f>IFERROR('Energy supply'!AA17/'2.6 Fuel Efficiencies'!AB17,0)</f>
        <v>36.48189244322824</v>
      </c>
      <c r="AD20" s="84">
        <f>IFERROR('Energy supply'!AB17/'2.6 Fuel Efficiencies'!AC17,0)</f>
        <v>63.705912836020232</v>
      </c>
      <c r="AE20" s="84">
        <f>IFERROR('Energy supply'!AC17/'2.6 Fuel Efficiencies'!AD17,0)</f>
        <v>84.776338628409931</v>
      </c>
      <c r="AF20" s="84">
        <f>IFERROR('Energy supply'!AD17/'2.6 Fuel Efficiencies'!AE17,0)</f>
        <v>101.77265801735851</v>
      </c>
      <c r="AG20" s="84">
        <f>IFERROR('Energy supply'!AE17/'2.6 Fuel Efficiencies'!AF17,0)</f>
        <v>136.56241867199245</v>
      </c>
      <c r="AH20" s="84">
        <f>IFERROR('Energy supply'!AF17/'2.6 Fuel Efficiencies'!AG17,0)</f>
        <v>161.99419880588331</v>
      </c>
      <c r="AI20" s="84">
        <f>IFERROR('Energy supply'!AG17/'2.6 Fuel Efficiencies'!AH17,0)</f>
        <v>178.14249980159732</v>
      </c>
      <c r="AJ20" s="84">
        <f>IFERROR('Energy supply'!AH17/'2.6 Fuel Efficiencies'!AI17,0)</f>
        <v>185.36871300648974</v>
      </c>
      <c r="AK20" s="84">
        <f>IFERROR('Energy supply'!AI17/'2.6 Fuel Efficiencies'!AJ17,0)</f>
        <v>157.59872293646657</v>
      </c>
      <c r="AL20" s="84">
        <f>IFERROR('Energy supply'!AJ17/'2.6 Fuel Efficiencies'!AK17,0)</f>
        <v>121.2843223404699</v>
      </c>
      <c r="AM20" s="84">
        <f>IFERROR('Energy supply'!AK17/'2.6 Fuel Efficiencies'!AL17,0)</f>
        <v>94.649984753834602</v>
      </c>
      <c r="AN20" s="84">
        <f>IFERROR('Energy supply'!AL17/'2.6 Fuel Efficiencies'!AM17,0)</f>
        <v>76.319586737534621</v>
      </c>
      <c r="AO20" s="84">
        <f>IFERROR('Energy supply'!AM17/'2.6 Fuel Efficiencies'!AN17,0)</f>
        <v>69.773525656032703</v>
      </c>
      <c r="AP20" s="84">
        <f>IFERROR('Energy supply'!AN17/'2.6 Fuel Efficiencies'!AO17,0)</f>
        <v>63.371787176060366</v>
      </c>
      <c r="AQ20" s="84">
        <f>IFERROR('Energy supply'!AO17/'2.6 Fuel Efficiencies'!AP17,0)</f>
        <v>56.734217294903466</v>
      </c>
      <c r="AR20" s="84">
        <f>IFERROR('Energy supply'!AP17/'2.6 Fuel Efficiencies'!AQ17,0)</f>
        <v>50.264403276381294</v>
      </c>
      <c r="AS20" s="84">
        <f>IFERROR('Energy supply'!AQ17/'2.6 Fuel Efficiencies'!AR17,0)</f>
        <v>43.924655502736485</v>
      </c>
      <c r="AT20" s="84">
        <f>IFERROR('Energy supply'!AR17/'2.6 Fuel Efficiencies'!AS17,0)</f>
        <v>37.677161951663756</v>
      </c>
      <c r="AU20" s="84">
        <f>IFERROR('Energy supply'!AS17/'2.6 Fuel Efficiencies'!AT17,0)</f>
        <v>31.484016513510547</v>
      </c>
      <c r="AV20" s="84">
        <f>IFERROR('Energy supply'!AT17/'2.6 Fuel Efficiencies'!AU17,0)</f>
        <v>25.748384041952672</v>
      </c>
      <c r="AW20" s="84">
        <f>IFERROR('Energy supply'!AU17/'2.6 Fuel Efficiencies'!AV17,0)</f>
        <v>19.744168702408668</v>
      </c>
      <c r="AX20" s="84">
        <f>IFERROR('Energy supply'!AV17/'2.6 Fuel Efficiencies'!AW17,0)</f>
        <v>13.459469730959283</v>
      </c>
      <c r="AY20" s="84">
        <f>IFERROR('Energy supply'!AW17/'2.6 Fuel Efficiencies'!AX17,0)</f>
        <v>6.8821808049199262</v>
      </c>
      <c r="AZ20" s="84">
        <f>IFERROR('Energy supply'!AX17/'2.6 Fuel Efficiencies'!AY17,0)</f>
        <v>0</v>
      </c>
    </row>
    <row r="21" spans="3:52"/>
    <row r="22" spans="3:52">
      <c r="D22" t="s">
        <v>1370</v>
      </c>
    </row>
    <row r="23" spans="3:52"/>
    <row r="24" spans="3:52">
      <c r="E24" s="78" t="s">
        <v>775</v>
      </c>
      <c r="F24" s="78"/>
      <c r="I24" s="44"/>
      <c r="K24" s="44"/>
      <c r="M24" s="44"/>
      <c r="O24" s="44"/>
      <c r="Q24" s="79">
        <f>SUMIFS(Q$11:Q$20,$G$11:$G$20,$E24)</f>
        <v>11292.999806619502</v>
      </c>
      <c r="R24" s="79">
        <f t="shared" ref="R24:AZ27" si="0">SUMIFS(R$11:R$20,$G$11:$G$20,$E24)</f>
        <v>11251.590294796162</v>
      </c>
      <c r="S24" s="79">
        <f t="shared" si="0"/>
        <v>11210.130640932093</v>
      </c>
      <c r="T24" s="79">
        <f t="shared" si="0"/>
        <v>11168.678521632515</v>
      </c>
      <c r="U24" s="79">
        <f t="shared" si="0"/>
        <v>11127.265176445821</v>
      </c>
      <c r="V24" s="79">
        <f t="shared" si="0"/>
        <v>10967.145430654682</v>
      </c>
      <c r="W24" s="79">
        <f t="shared" si="0"/>
        <v>10827.106176128831</v>
      </c>
      <c r="X24" s="79">
        <f t="shared" si="0"/>
        <v>10323.444002833709</v>
      </c>
      <c r="Y24" s="79">
        <f t="shared" si="0"/>
        <v>9494.3692753794148</v>
      </c>
      <c r="Z24" s="79">
        <f t="shared" si="0"/>
        <v>8533.4629020586362</v>
      </c>
      <c r="AA24" s="79">
        <f t="shared" si="0"/>
        <v>7607.5366195138777</v>
      </c>
      <c r="AB24" s="79">
        <f t="shared" si="0"/>
        <v>6704.362372393347</v>
      </c>
      <c r="AC24" s="79">
        <f t="shared" si="0"/>
        <v>5811.3228407282731</v>
      </c>
      <c r="AD24" s="79">
        <f t="shared" si="0"/>
        <v>5052.5678442949775</v>
      </c>
      <c r="AE24" s="79">
        <f t="shared" si="0"/>
        <v>4460.2156563487151</v>
      </c>
      <c r="AF24" s="79">
        <f t="shared" si="0"/>
        <v>3993.0775669865011</v>
      </c>
      <c r="AG24" s="79">
        <f t="shared" si="0"/>
        <v>3564.6669158813038</v>
      </c>
      <c r="AH24" s="79">
        <f t="shared" si="0"/>
        <v>3148.9153879321329</v>
      </c>
      <c r="AI24" s="79">
        <f t="shared" si="0"/>
        <v>2744.7636299881128</v>
      </c>
      <c r="AJ24" s="79">
        <f t="shared" si="0"/>
        <v>2355.4522112822165</v>
      </c>
      <c r="AK24" s="79">
        <f t="shared" si="0"/>
        <v>2002.4036254749988</v>
      </c>
      <c r="AL24" s="79">
        <f t="shared" si="0"/>
        <v>1540.7895570746182</v>
      </c>
      <c r="AM24" s="79">
        <f t="shared" si="0"/>
        <v>1202.2321326237122</v>
      </c>
      <c r="AN24" s="79">
        <f t="shared" si="0"/>
        <v>969.23761149848929</v>
      </c>
      <c r="AO24" s="79">
        <f t="shared" si="0"/>
        <v>886.06077171376864</v>
      </c>
      <c r="AP24" s="79">
        <f t="shared" si="0"/>
        <v>804.71407401997237</v>
      </c>
      <c r="AQ24" s="79">
        <f t="shared" si="0"/>
        <v>720.36770397313035</v>
      </c>
      <c r="AR24" s="79">
        <f t="shared" si="0"/>
        <v>638.15642821916674</v>
      </c>
      <c r="AS24" s="79">
        <f t="shared" si="0"/>
        <v>557.60472661395215</v>
      </c>
      <c r="AT24" s="79">
        <f t="shared" si="0"/>
        <v>478.23561231907098</v>
      </c>
      <c r="AU24" s="79">
        <f t="shared" si="0"/>
        <v>399.57098371448075</v>
      </c>
      <c r="AV24" s="79">
        <f t="shared" si="0"/>
        <v>326.74058355891367</v>
      </c>
      <c r="AW24" s="79">
        <f t="shared" si="0"/>
        <v>250.51681769019407</v>
      </c>
      <c r="AX24" s="79">
        <f t="shared" si="0"/>
        <v>170.75241961535016</v>
      </c>
      <c r="AY24" s="79">
        <f t="shared" si="0"/>
        <v>87.297566290978565</v>
      </c>
      <c r="AZ24" s="79">
        <f t="shared" si="0"/>
        <v>0</v>
      </c>
    </row>
    <row r="25" spans="3:52">
      <c r="E25" s="78" t="s">
        <v>210</v>
      </c>
      <c r="F25" s="78"/>
      <c r="I25" s="44"/>
      <c r="K25" s="44"/>
      <c r="M25" s="44"/>
      <c r="O25" s="44"/>
      <c r="Q25" s="79">
        <f t="shared" ref="Q25:AF26" si="1">SUMIFS(Q$11:Q$20,$G$11:$G$20,$E25)</f>
        <v>681.39279687973078</v>
      </c>
      <c r="R25" s="79">
        <f t="shared" si="1"/>
        <v>686.93187365779659</v>
      </c>
      <c r="S25" s="79">
        <f t="shared" si="1"/>
        <v>692.40089566666984</v>
      </c>
      <c r="T25" s="79">
        <f t="shared" si="1"/>
        <v>697.80342282288996</v>
      </c>
      <c r="U25" s="79">
        <f t="shared" si="1"/>
        <v>703.14147741117711</v>
      </c>
      <c r="V25" s="79">
        <f t="shared" si="1"/>
        <v>715.76572356194481</v>
      </c>
      <c r="W25" s="79">
        <f t="shared" si="1"/>
        <v>729.82357562257641</v>
      </c>
      <c r="X25" s="79">
        <f t="shared" si="1"/>
        <v>740.26491867001005</v>
      </c>
      <c r="Y25" s="79">
        <f t="shared" si="1"/>
        <v>739.03428248587636</v>
      </c>
      <c r="Z25" s="79">
        <f t="shared" si="1"/>
        <v>747.8195604616692</v>
      </c>
      <c r="AA25" s="79">
        <f t="shared" si="1"/>
        <v>769.83114424963571</v>
      </c>
      <c r="AB25" s="79">
        <f t="shared" si="1"/>
        <v>810.24902106592629</v>
      </c>
      <c r="AC25" s="79">
        <f t="shared" si="1"/>
        <v>869.33932943570926</v>
      </c>
      <c r="AD25" s="79">
        <f t="shared" si="1"/>
        <v>931.25860114750969</v>
      </c>
      <c r="AE25" s="79">
        <f t="shared" si="1"/>
        <v>1003.4747852432902</v>
      </c>
      <c r="AF25" s="79">
        <f t="shared" si="1"/>
        <v>1085.6990436316551</v>
      </c>
      <c r="AG25" s="79">
        <f t="shared" si="0"/>
        <v>1177.6152635267576</v>
      </c>
      <c r="AH25" s="79">
        <f t="shared" si="0"/>
        <v>1270.107440745526</v>
      </c>
      <c r="AI25" s="79">
        <f t="shared" si="0"/>
        <v>1363.1258943468265</v>
      </c>
      <c r="AJ25" s="79">
        <f t="shared" si="0"/>
        <v>1456.9062360906239</v>
      </c>
      <c r="AK25" s="79">
        <f t="shared" si="0"/>
        <v>1551.2072030578506</v>
      </c>
      <c r="AL25" s="79">
        <f t="shared" si="0"/>
        <v>1744.9582915468611</v>
      </c>
      <c r="AM25" s="79">
        <f t="shared" si="0"/>
        <v>1886.1929787603603</v>
      </c>
      <c r="AN25" s="79">
        <f t="shared" si="0"/>
        <v>1990.7307464746932</v>
      </c>
      <c r="AO25" s="79">
        <f t="shared" si="0"/>
        <v>2073.1072679601771</v>
      </c>
      <c r="AP25" s="79">
        <f t="shared" si="0"/>
        <v>2156.1983586639562</v>
      </c>
      <c r="AQ25" s="79">
        <f t="shared" si="0"/>
        <v>2236.7408263143629</v>
      </c>
      <c r="AR25" s="79">
        <f t="shared" si="0"/>
        <v>2317.4563158772639</v>
      </c>
      <c r="AS25" s="79">
        <f t="shared" si="0"/>
        <v>2398.7779353106253</v>
      </c>
      <c r="AT25" s="79">
        <f t="shared" si="0"/>
        <v>2481.1398876972285</v>
      </c>
      <c r="AU25" s="79">
        <f t="shared" si="0"/>
        <v>2564.9776834282848</v>
      </c>
      <c r="AV25" s="79">
        <f t="shared" si="0"/>
        <v>2666.0165025501278</v>
      </c>
      <c r="AW25" s="79">
        <f t="shared" si="0"/>
        <v>2770.6143527536747</v>
      </c>
      <c r="AX25" s="79">
        <f t="shared" si="0"/>
        <v>2878.9148723779913</v>
      </c>
      <c r="AY25" s="79">
        <f t="shared" si="0"/>
        <v>2991.0638001608418</v>
      </c>
      <c r="AZ25" s="79">
        <f t="shared" si="0"/>
        <v>3107.2088829703489</v>
      </c>
    </row>
    <row r="26" spans="3:52">
      <c r="E26" s="78" t="s">
        <v>188</v>
      </c>
      <c r="F26" s="78"/>
      <c r="I26" s="44"/>
      <c r="K26" s="44"/>
      <c r="M26" s="44"/>
      <c r="O26" s="44"/>
      <c r="Q26" s="79">
        <f t="shared" si="1"/>
        <v>298.66210234186474</v>
      </c>
      <c r="R26" s="79">
        <f t="shared" si="0"/>
        <v>311.79797507750129</v>
      </c>
      <c r="S26" s="79">
        <f t="shared" si="0"/>
        <v>326.85994134949141</v>
      </c>
      <c r="T26" s="79">
        <f t="shared" si="0"/>
        <v>343.75012442059744</v>
      </c>
      <c r="U26" s="79">
        <f t="shared" si="0"/>
        <v>362.37064755358284</v>
      </c>
      <c r="V26" s="79">
        <f t="shared" si="0"/>
        <v>463.55862311252065</v>
      </c>
      <c r="W26" s="79">
        <f t="shared" si="0"/>
        <v>525.07915454917452</v>
      </c>
      <c r="X26" s="79">
        <f t="shared" si="0"/>
        <v>598.18561477828462</v>
      </c>
      <c r="Y26" s="79">
        <f t="shared" si="0"/>
        <v>668.97497337151458</v>
      </c>
      <c r="Z26" s="79">
        <f t="shared" si="0"/>
        <v>737.65160647523317</v>
      </c>
      <c r="AA26" s="79">
        <f t="shared" si="0"/>
        <v>804.32029503815102</v>
      </c>
      <c r="AB26" s="79">
        <f t="shared" si="0"/>
        <v>821.95974092121367</v>
      </c>
      <c r="AC26" s="79">
        <f t="shared" si="0"/>
        <v>837.34660190000307</v>
      </c>
      <c r="AD26" s="79">
        <f t="shared" si="0"/>
        <v>850.80384885196145</v>
      </c>
      <c r="AE26" s="79">
        <f t="shared" si="0"/>
        <v>862.63032029528279</v>
      </c>
      <c r="AF26" s="79">
        <f t="shared" si="0"/>
        <v>873.01546082044456</v>
      </c>
      <c r="AG26" s="79">
        <f t="shared" si="0"/>
        <v>869.15447999689911</v>
      </c>
      <c r="AH26" s="79">
        <f t="shared" si="0"/>
        <v>861.91182007824341</v>
      </c>
      <c r="AI26" s="79">
        <f t="shared" si="0"/>
        <v>825.22052010829361</v>
      </c>
      <c r="AJ26" s="79">
        <f t="shared" si="0"/>
        <v>783.24755759762684</v>
      </c>
      <c r="AK26" s="79">
        <f t="shared" si="0"/>
        <v>740.66364460750344</v>
      </c>
      <c r="AL26" s="79">
        <f t="shared" si="0"/>
        <v>698.92634175251362</v>
      </c>
      <c r="AM26" s="79">
        <f t="shared" si="0"/>
        <v>657.32668980605376</v>
      </c>
      <c r="AN26" s="79">
        <f t="shared" si="0"/>
        <v>616.17412544002786</v>
      </c>
      <c r="AO26" s="79">
        <f t="shared" si="0"/>
        <v>571.29586289149654</v>
      </c>
      <c r="AP26" s="79">
        <f t="shared" si="0"/>
        <v>526.68721132959877</v>
      </c>
      <c r="AQ26" s="79">
        <f t="shared" si="0"/>
        <v>491.24341209280504</v>
      </c>
      <c r="AR26" s="79">
        <f t="shared" si="0"/>
        <v>455.39545054785827</v>
      </c>
      <c r="AS26" s="79">
        <f t="shared" si="0"/>
        <v>419.30340992683887</v>
      </c>
      <c r="AT26" s="79">
        <f t="shared" si="0"/>
        <v>383.12825934100618</v>
      </c>
      <c r="AU26" s="79">
        <f t="shared" si="0"/>
        <v>347.03141025140815</v>
      </c>
      <c r="AV26" s="79">
        <f t="shared" si="0"/>
        <v>303.3188259465382</v>
      </c>
      <c r="AW26" s="79">
        <f t="shared" si="0"/>
        <v>285.16273358486586</v>
      </c>
      <c r="AX26" s="79">
        <f t="shared" si="0"/>
        <v>267.37803580118054</v>
      </c>
      <c r="AY26" s="79">
        <f t="shared" si="0"/>
        <v>249.98133011584196</v>
      </c>
      <c r="AZ26" s="79">
        <f t="shared" si="0"/>
        <v>232.98940248655015</v>
      </c>
    </row>
    <row r="27" spans="3:52">
      <c r="E27" s="78" t="s">
        <v>211</v>
      </c>
      <c r="F27" s="78"/>
      <c r="I27" s="44"/>
      <c r="K27" s="44"/>
      <c r="M27" s="44"/>
      <c r="O27" s="44"/>
      <c r="Q27" s="79">
        <f>SUMIFS(Q$11:Q$20,$G$11:$G$20,$E27)</f>
        <v>0</v>
      </c>
      <c r="R27" s="79">
        <f t="shared" si="0"/>
        <v>0</v>
      </c>
      <c r="S27" s="79">
        <f t="shared" si="0"/>
        <v>0</v>
      </c>
      <c r="T27" s="79">
        <f t="shared" si="0"/>
        <v>0</v>
      </c>
      <c r="U27" s="79">
        <f t="shared" si="0"/>
        <v>0</v>
      </c>
      <c r="V27" s="79">
        <f t="shared" si="0"/>
        <v>0</v>
      </c>
      <c r="W27" s="79">
        <f t="shared" si="0"/>
        <v>0</v>
      </c>
      <c r="X27" s="79">
        <f t="shared" si="0"/>
        <v>0</v>
      </c>
      <c r="Y27" s="79">
        <f t="shared" si="0"/>
        <v>0</v>
      </c>
      <c r="Z27" s="79">
        <f t="shared" si="0"/>
        <v>0</v>
      </c>
      <c r="AA27" s="79">
        <f t="shared" si="0"/>
        <v>0</v>
      </c>
      <c r="AB27" s="79">
        <f t="shared" si="0"/>
        <v>0</v>
      </c>
      <c r="AC27" s="79">
        <f t="shared" si="0"/>
        <v>36.48189244322824</v>
      </c>
      <c r="AD27" s="79">
        <f t="shared" si="0"/>
        <v>63.705912836020232</v>
      </c>
      <c r="AE27" s="79">
        <f t="shared" si="0"/>
        <v>84.776338628409931</v>
      </c>
      <c r="AF27" s="79">
        <f t="shared" si="0"/>
        <v>101.77265801735851</v>
      </c>
      <c r="AG27" s="79">
        <f t="shared" si="0"/>
        <v>136.56241867199245</v>
      </c>
      <c r="AH27" s="79">
        <f t="shared" si="0"/>
        <v>161.99419880588331</v>
      </c>
      <c r="AI27" s="79">
        <f t="shared" si="0"/>
        <v>178.14249980159732</v>
      </c>
      <c r="AJ27" s="79">
        <f t="shared" si="0"/>
        <v>185.36871300648974</v>
      </c>
      <c r="AK27" s="79">
        <f t="shared" si="0"/>
        <v>157.59872293646657</v>
      </c>
      <c r="AL27" s="79">
        <f t="shared" si="0"/>
        <v>121.2843223404699</v>
      </c>
      <c r="AM27" s="79">
        <f t="shared" si="0"/>
        <v>94.649984753834602</v>
      </c>
      <c r="AN27" s="79">
        <f t="shared" si="0"/>
        <v>76.319586737534621</v>
      </c>
      <c r="AO27" s="79">
        <f t="shared" si="0"/>
        <v>69.773525656032703</v>
      </c>
      <c r="AP27" s="79">
        <f t="shared" si="0"/>
        <v>63.371787176060366</v>
      </c>
      <c r="AQ27" s="79">
        <f t="shared" si="0"/>
        <v>56.734217294903466</v>
      </c>
      <c r="AR27" s="79">
        <f t="shared" si="0"/>
        <v>50.264403276381294</v>
      </c>
      <c r="AS27" s="79">
        <f t="shared" si="0"/>
        <v>43.924655502736485</v>
      </c>
      <c r="AT27" s="79">
        <f t="shared" si="0"/>
        <v>37.677161951663756</v>
      </c>
      <c r="AU27" s="79">
        <f t="shared" si="0"/>
        <v>31.484016513510547</v>
      </c>
      <c r="AV27" s="79">
        <f t="shared" si="0"/>
        <v>25.748384041952672</v>
      </c>
      <c r="AW27" s="79">
        <f t="shared" si="0"/>
        <v>19.744168702408668</v>
      </c>
      <c r="AX27" s="79">
        <f t="shared" si="0"/>
        <v>13.459469730959283</v>
      </c>
      <c r="AY27" s="79">
        <f t="shared" si="0"/>
        <v>6.8821808049199262</v>
      </c>
      <c r="AZ27" s="79">
        <f t="shared" si="0"/>
        <v>0</v>
      </c>
    </row>
    <row r="28" spans="3:52"/>
    <row r="29" spans="3:52">
      <c r="C29" t="s">
        <v>722</v>
      </c>
    </row>
    <row r="30" spans="3:52"/>
    <row r="31" spans="3:52">
      <c r="E31" s="53" t="s">
        <v>773</v>
      </c>
      <c r="F31" s="53"/>
      <c r="G31" s="53" t="s">
        <v>749</v>
      </c>
    </row>
    <row r="32" spans="3:52">
      <c r="E32" s="78" t="s">
        <v>774</v>
      </c>
      <c r="F32" s="78"/>
      <c r="G32" s="78" t="s">
        <v>775</v>
      </c>
      <c r="I32" s="44"/>
      <c r="K32" s="44"/>
      <c r="M32" s="44"/>
      <c r="O32" s="44"/>
      <c r="Q32" s="34">
        <f>IFERROR('Energy supply'!O21/'2.6 Fuel Efficiencies'!P21,0)</f>
        <v>10773.195258532622</v>
      </c>
      <c r="R32" s="34">
        <f>IFERROR('Energy supply'!P21/'2.6 Fuel Efficiencies'!Q21,0)</f>
        <v>10664.427554071588</v>
      </c>
      <c r="S32" s="34">
        <f>IFERROR('Energy supply'!Q21/'2.6 Fuel Efficiencies'!R21,0)</f>
        <v>10558.12959429619</v>
      </c>
      <c r="T32" s="34">
        <f>IFERROR('Energy supply'!R21/'2.6 Fuel Efficiencies'!S21,0)</f>
        <v>10454.228171984649</v>
      </c>
      <c r="U32" s="34">
        <f>IFERROR('Energy supply'!S21/'2.6 Fuel Efficiencies'!T21,0)</f>
        <v>10330.075236040122</v>
      </c>
      <c r="V32" s="34">
        <f>IFERROR('Energy supply'!T21/'2.6 Fuel Efficiencies'!U21,0)</f>
        <v>10137.211692529023</v>
      </c>
      <c r="W32" s="34">
        <f>IFERROR('Energy supply'!U21/'2.6 Fuel Efficiencies'!V21,0)</f>
        <v>10005.376536894157</v>
      </c>
      <c r="X32" s="34">
        <f>IFERROR('Energy supply'!V21/'2.6 Fuel Efficiencies'!W21,0)</f>
        <v>9773.600171351105</v>
      </c>
      <c r="Y32" s="34">
        <f>IFERROR('Energy supply'!W21/'2.6 Fuel Efficiencies'!X21,0)</f>
        <v>9349.7849035747786</v>
      </c>
      <c r="Z32" s="34">
        <f>IFERROR('Energy supply'!X21/'2.6 Fuel Efficiencies'!Y21,0)</f>
        <v>8686.6637371194774</v>
      </c>
      <c r="AA32" s="34">
        <f>IFERROR('Energy supply'!Y21/'2.6 Fuel Efficiencies'!Z21,0)</f>
        <v>7933.7971225406136</v>
      </c>
      <c r="AB32" s="34">
        <f>IFERROR('Energy supply'!Z21/'2.6 Fuel Efficiencies'!AA21,0)</f>
        <v>7059.6684393120086</v>
      </c>
      <c r="AC32" s="34">
        <f>IFERROR('Energy supply'!AA21/'2.6 Fuel Efficiencies'!AB21,0)</f>
        <v>6066.5772808459824</v>
      </c>
      <c r="AD32" s="34">
        <f>IFERROR('Energy supply'!AB21/'2.6 Fuel Efficiencies'!AC21,0)</f>
        <v>5250.5993417588024</v>
      </c>
      <c r="AE32" s="34">
        <f>IFERROR('Energy supply'!AC21/'2.6 Fuel Efficiencies'!AD21,0)</f>
        <v>4466.8846052008112</v>
      </c>
      <c r="AF32" s="34">
        <f>IFERROR('Energy supply'!AD21/'2.6 Fuel Efficiencies'!AE21,0)</f>
        <v>3765.4487732343946</v>
      </c>
      <c r="AG32" s="34">
        <f>IFERROR('Energy supply'!AE21/'2.6 Fuel Efficiencies'!AF21,0)</f>
        <v>3149.1714674697296</v>
      </c>
      <c r="AH32" s="34">
        <f>IFERROR('Energy supply'!AF21/'2.6 Fuel Efficiencies'!AG21,0)</f>
        <v>2626.578384231776</v>
      </c>
      <c r="AI32" s="34">
        <f>IFERROR('Energy supply'!AG21/'2.6 Fuel Efficiencies'!AH21,0)</f>
        <v>2183.1581579292388</v>
      </c>
      <c r="AJ32" s="34">
        <f>IFERROR('Energy supply'!AH21/'2.6 Fuel Efficiencies'!AI21,0)</f>
        <v>1805.4755094570755</v>
      </c>
      <c r="AK32" s="34">
        <f>IFERROR('Energy supply'!AI21/'2.6 Fuel Efficiencies'!AJ21,0)</f>
        <v>1544.8798786169953</v>
      </c>
      <c r="AL32" s="34">
        <f>IFERROR('Energy supply'!AJ21/'2.6 Fuel Efficiencies'!AK21,0)</f>
        <v>1200.3323443436109</v>
      </c>
      <c r="AM32" s="34">
        <f>IFERROR('Energy supply'!AK21/'2.6 Fuel Efficiencies'!AL21,0)</f>
        <v>950.7572068286438</v>
      </c>
      <c r="AN32" s="34">
        <f>IFERROR('Energy supply'!AL21/'2.6 Fuel Efficiencies'!AM21,0)</f>
        <v>778.57502784300311</v>
      </c>
      <c r="AO32" s="34">
        <f>IFERROR('Energy supply'!AM21/'2.6 Fuel Efficiencies'!AN21,0)</f>
        <v>717.31646995528376</v>
      </c>
      <c r="AP32" s="34">
        <f>IFERROR('Energy supply'!AN21/'2.6 Fuel Efficiencies'!AO21,0)</f>
        <v>656.33936802998142</v>
      </c>
      <c r="AQ32" s="34">
        <f>IFERROR('Energy supply'!AO21/'2.6 Fuel Efficiencies'!AP21,0)</f>
        <v>587.56609392380369</v>
      </c>
      <c r="AR32" s="34">
        <f>IFERROR('Energy supply'!AP21/'2.6 Fuel Efficiencies'!AQ21,0)</f>
        <v>520.25073231306192</v>
      </c>
      <c r="AS32" s="34">
        <f>IFERROR('Energy supply'!AQ21/'2.6 Fuel Efficiencies'!AR21,0)</f>
        <v>454.11159500636529</v>
      </c>
      <c r="AT32" s="34">
        <f>IFERROR('Energy supply'!AR21/'2.6 Fuel Efficiencies'!AS21,0)</f>
        <v>388.86488546182318</v>
      </c>
      <c r="AU32" s="34">
        <f>IFERROR('Energy supply'!AS21/'2.6 Fuel Efficiencies'!AT21,0)</f>
        <v>324.22484092722601</v>
      </c>
      <c r="AV32" s="34">
        <f>IFERROR('Energy supply'!AT21/'2.6 Fuel Efficiencies'!AU21,0)</f>
        <v>263.2549547832237</v>
      </c>
      <c r="AW32" s="34">
        <f>IFERROR('Energy supply'!AU21/'2.6 Fuel Efficiencies'!AV21,0)</f>
        <v>200.44298595221858</v>
      </c>
      <c r="AX32" s="34">
        <f>IFERROR('Energy supply'!AV21/'2.6 Fuel Efficiencies'!AW21,0)</f>
        <v>135.6941223866676</v>
      </c>
      <c r="AY32" s="34">
        <f>IFERROR('Energy supply'!AW21/'2.6 Fuel Efficiencies'!AX21,0)</f>
        <v>68.912239843256089</v>
      </c>
      <c r="AZ32" s="34">
        <f>IFERROR('Energy supply'!AX21/'2.6 Fuel Efficiencies'!AY21,0)</f>
        <v>0</v>
      </c>
    </row>
    <row r="33" spans="4:52">
      <c r="E33" s="78" t="s">
        <v>1369</v>
      </c>
      <c r="F33" s="78"/>
      <c r="G33" s="78" t="s">
        <v>775</v>
      </c>
      <c r="I33" s="44"/>
      <c r="K33" s="44"/>
      <c r="M33" s="44"/>
      <c r="O33" s="44"/>
      <c r="Q33" s="34">
        <f>'Energy supply'!O22</f>
        <v>879.50852654965911</v>
      </c>
      <c r="R33" s="34">
        <f>'Energy supply'!P22</f>
        <v>864.34489103342787</v>
      </c>
      <c r="S33" s="34">
        <f>'Energy supply'!Q22</f>
        <v>855.45616360833731</v>
      </c>
      <c r="T33" s="34">
        <f>'Energy supply'!R22</f>
        <v>846.7693562827078</v>
      </c>
      <c r="U33" s="34">
        <f>'Energy supply'!S22</f>
        <v>838.28269132252024</v>
      </c>
      <c r="V33" s="34">
        <f>'Energy supply'!T22</f>
        <v>744.35068542422766</v>
      </c>
      <c r="W33" s="34">
        <f>'Energy supply'!U22</f>
        <v>675.32562221545402</v>
      </c>
      <c r="X33" s="34">
        <f>'Energy supply'!V22</f>
        <v>576.47992363873072</v>
      </c>
      <c r="Y33" s="34">
        <f>'Energy supply'!W22</f>
        <v>497.76703724058933</v>
      </c>
      <c r="Z33" s="34">
        <f>'Energy supply'!X22</f>
        <v>433.15196925356662</v>
      </c>
      <c r="AA33" s="34">
        <f>'Energy supply'!Y22</f>
        <v>378.8440440227921</v>
      </c>
      <c r="AB33" s="34">
        <f>'Energy supply'!Z22</f>
        <v>334.28619812246035</v>
      </c>
      <c r="AC33" s="34">
        <f>'Energy supply'!AA22</f>
        <v>292.85403553826143</v>
      </c>
      <c r="AD33" s="34">
        <f>'Energy supply'!AB22</f>
        <v>255.92302585408393</v>
      </c>
      <c r="AE33" s="34">
        <f>'Energy supply'!AC22</f>
        <v>222.81582781816084</v>
      </c>
      <c r="AF33" s="34">
        <f>'Energy supply'!AD22</f>
        <v>193.00185826042849</v>
      </c>
      <c r="AG33" s="34">
        <f>'Energy supply'!AE22</f>
        <v>176.49297020456993</v>
      </c>
      <c r="AH33" s="34">
        <f>'Energy supply'!AF22</f>
        <v>162.03807762765524</v>
      </c>
      <c r="AI33" s="34">
        <f>'Energy supply'!AG22</f>
        <v>149.37469676984719</v>
      </c>
      <c r="AJ33" s="34">
        <f>'Energy supply'!AH22</f>
        <v>138.28347273731754</v>
      </c>
      <c r="AK33" s="34">
        <f>'Energy supply'!AI22</f>
        <v>130.19624808529829</v>
      </c>
      <c r="AL33" s="34">
        <f>'Energy supply'!AJ22</f>
        <v>114.95286460364792</v>
      </c>
      <c r="AM33" s="34">
        <f>'Energy supply'!AK22</f>
        <v>101.47485656945753</v>
      </c>
      <c r="AN33" s="34">
        <f>'Energy supply'!AL22</f>
        <v>89.502672189692007</v>
      </c>
      <c r="AO33" s="34">
        <f>'Energy supply'!AM22</f>
        <v>78.808095508679401</v>
      </c>
      <c r="AP33" s="34">
        <f>'Energy supply'!AN22</f>
        <v>69.189089200470377</v>
      </c>
      <c r="AQ33" s="34">
        <f>'Energy supply'!AO22</f>
        <v>60.465648914632411</v>
      </c>
      <c r="AR33" s="34">
        <f>'Energy supply'!AP22</f>
        <v>52.476441602201369</v>
      </c>
      <c r="AS33" s="34">
        <f>'Energy supply'!AQ22</f>
        <v>45.076057440970914</v>
      </c>
      <c r="AT33" s="34">
        <f>'Energy supply'!AR22</f>
        <v>38.132746414093354</v>
      </c>
      <c r="AU33" s="34">
        <f>'Energy supply'!AS22</f>
        <v>31.526540967630471</v>
      </c>
      <c r="AV33" s="34">
        <f>'Energy supply'!AT22</f>
        <v>25.147688679153401</v>
      </c>
      <c r="AW33" s="34">
        <f>'Energy supply'!AU22</f>
        <v>18.895335718604386</v>
      </c>
      <c r="AX33" s="34">
        <f>'Energy supply'!AV22</f>
        <v>12.676414617574858</v>
      </c>
      <c r="AY33" s="34">
        <f>'Energy supply'!AW22</f>
        <v>6.4046995753687117</v>
      </c>
      <c r="AZ33" s="34">
        <f>'Energy supply'!AX22</f>
        <v>0</v>
      </c>
    </row>
    <row r="34" spans="4:52">
      <c r="E34" s="78" t="s">
        <v>776</v>
      </c>
      <c r="F34" s="78"/>
      <c r="G34" s="78" t="s">
        <v>210</v>
      </c>
      <c r="I34" s="44"/>
      <c r="K34" s="44"/>
      <c r="M34" s="44"/>
      <c r="O34" s="44"/>
      <c r="Q34" s="34">
        <f>IFERROR('Energy supply'!O23/'2.6 Fuel Efficiencies'!P22,0)</f>
        <v>1682.6704975231905</v>
      </c>
      <c r="R34" s="34">
        <f>IFERROR('Energy supply'!P23/'2.6 Fuel Efficiencies'!Q22,0)</f>
        <v>1685.9952133103654</v>
      </c>
      <c r="S34" s="34">
        <f>IFERROR('Energy supply'!Q23/'2.6 Fuel Efficiencies'!R22,0)</f>
        <v>1689.3007350873902</v>
      </c>
      <c r="T34" s="34">
        <f>IFERROR('Energy supply'!R23/'2.6 Fuel Efficiencies'!S22,0)</f>
        <v>1692.5893230832289</v>
      </c>
      <c r="U34" s="34">
        <f>IFERROR('Energy supply'!S23/'2.6 Fuel Efficiencies'!T22,0)</f>
        <v>1692.1647053322863</v>
      </c>
      <c r="V34" s="34">
        <f>IFERROR('Energy supply'!T23/'2.6 Fuel Efficiencies'!U22,0)</f>
        <v>1679.8807947619523</v>
      </c>
      <c r="W34" s="34">
        <f>IFERROR('Energy supply'!U23/'2.6 Fuel Efficiencies'!V22,0)</f>
        <v>1658.0338261138882</v>
      </c>
      <c r="X34" s="34">
        <f>IFERROR('Energy supply'!V23/'2.6 Fuel Efficiencies'!W22,0)</f>
        <v>1619.6251712524688</v>
      </c>
      <c r="Y34" s="34">
        <f>IFERROR('Energy supply'!W23/'2.6 Fuel Efficiencies'!X22,0)</f>
        <v>1549.3929268781062</v>
      </c>
      <c r="Z34" s="34">
        <f>IFERROR('Energy supply'!X23/'2.6 Fuel Efficiencies'!Y22,0)</f>
        <v>1439.5042764369421</v>
      </c>
      <c r="AA34" s="34">
        <f>IFERROR('Energy supply'!Y23/'2.6 Fuel Efficiencies'!Z22,0)</f>
        <v>1314.7435231638733</v>
      </c>
      <c r="AB34" s="34">
        <f>IFERROR('Energy supply'!Z23/'2.6 Fuel Efficiencies'!AA22,0)</f>
        <v>1169.8879128002754</v>
      </c>
      <c r="AC34" s="34">
        <f>IFERROR('Energy supply'!AA23/'2.6 Fuel Efficiencies'!AB22,0)</f>
        <v>1011.3359698464923</v>
      </c>
      <c r="AD34" s="34">
        <f>IFERROR('Energy supply'!AB23/'2.6 Fuel Efficiencies'!AC22,0)</f>
        <v>880.57820007231931</v>
      </c>
      <c r="AE34" s="34">
        <f>IFERROR('Energy supply'!AC23/'2.6 Fuel Efficiencies'!AD22,0)</f>
        <v>753.67977571551364</v>
      </c>
      <c r="AF34" s="34">
        <f>IFERROR('Energy supply'!AD23/'2.6 Fuel Efficiencies'!AE22,0)</f>
        <v>639.20165319634407</v>
      </c>
      <c r="AG34" s="34">
        <f>IFERROR('Energy supply'!AE23/'2.6 Fuel Efficiencies'!AF22,0)</f>
        <v>540.98657577728216</v>
      </c>
      <c r="AH34" s="34">
        <f>IFERROR('Energy supply'!AF23/'2.6 Fuel Efficiencies'!AG22,0)</f>
        <v>456.67984557292152</v>
      </c>
      <c r="AI34" s="34">
        <f>IFERROR('Energy supply'!AG23/'2.6 Fuel Efficiencies'!AH22,0)</f>
        <v>384.23928069944196</v>
      </c>
      <c r="AJ34" s="34">
        <f>IFERROR('Energy supply'!AH23/'2.6 Fuel Efficiencies'!AI22,0)</f>
        <v>321.71299400464022</v>
      </c>
      <c r="AK34" s="34">
        <f>IFERROR('Energy supply'!AI23/'2.6 Fuel Efficiencies'!AJ22,0)</f>
        <v>275.27813505310513</v>
      </c>
      <c r="AL34" s="34">
        <f>IFERROR('Energy supply'!AJ23/'2.6 Fuel Efficiencies'!AK22,0)</f>
        <v>309.36807953293203</v>
      </c>
      <c r="AM34" s="34">
        <f>IFERROR('Energy supply'!AK23/'2.6 Fuel Efficiencies'!AL22,0)</f>
        <v>332.31003400675047</v>
      </c>
      <c r="AN34" s="34">
        <f>IFERROR('Energy supply'!AL23/'2.6 Fuel Efficiencies'!AM22,0)</f>
        <v>355.50142400358322</v>
      </c>
      <c r="AO34" s="34">
        <f>IFERROR('Energy supply'!AM23/'2.6 Fuel Efficiencies'!AN22,0)</f>
        <v>418.30939513102436</v>
      </c>
      <c r="AP34" s="34">
        <f>IFERROR('Energy supply'!AN23/'2.6 Fuel Efficiencies'!AO22,0)</f>
        <v>482.42455852894949</v>
      </c>
      <c r="AQ34" s="34">
        <f>IFERROR('Energy supply'!AO23/'2.6 Fuel Efficiencies'!AP22,0)</f>
        <v>540.93386424731136</v>
      </c>
      <c r="AR34" s="34">
        <f>IFERROR('Energy supply'!AP23/'2.6 Fuel Efficiencies'!AQ22,0)</f>
        <v>599.66688672721034</v>
      </c>
      <c r="AS34" s="34">
        <f>IFERROR('Energy supply'!AQ23/'2.6 Fuel Efficiencies'!AR22,0)</f>
        <v>658.89529650693169</v>
      </c>
      <c r="AT34" s="34">
        <f>IFERROR('Energy supply'!AR23/'2.6 Fuel Efficiencies'!AS22,0)</f>
        <v>718.89230361490672</v>
      </c>
      <c r="AU34" s="34">
        <f>IFERROR('Energy supply'!AS23/'2.6 Fuel Efficiencies'!AT22,0)</f>
        <v>779.93256665443312</v>
      </c>
      <c r="AV34" s="34">
        <f>IFERROR('Energy supply'!AT23/'2.6 Fuel Efficiencies'!AU22,0)</f>
        <v>853.1522900981663</v>
      </c>
      <c r="AW34" s="34">
        <f>IFERROR('Energy supply'!AU23/'2.6 Fuel Efficiencies'!AV22,0)</f>
        <v>928.62679820567064</v>
      </c>
      <c r="AX34" s="34">
        <f>IFERROR('Energy supply'!AV23/'2.6 Fuel Efficiencies'!AW22,0)</f>
        <v>1006.4501842458136</v>
      </c>
      <c r="AY34" s="34">
        <f>IFERROR('Energy supply'!AW23/'2.6 Fuel Efficiencies'!AX22,0)</f>
        <v>1086.7174412148509</v>
      </c>
      <c r="AZ34" s="34">
        <f>IFERROR('Energy supply'!AX23/'2.6 Fuel Efficiencies'!AY22,0)</f>
        <v>1169.5243984729907</v>
      </c>
    </row>
    <row r="35" spans="4:52">
      <c r="E35" s="78" t="s">
        <v>346</v>
      </c>
      <c r="F35" s="78"/>
      <c r="G35" s="78" t="s">
        <v>210</v>
      </c>
      <c r="I35" s="44"/>
      <c r="K35" s="44"/>
      <c r="M35" s="44"/>
      <c r="O35" s="44"/>
      <c r="P35" s="76"/>
      <c r="Q35" s="34">
        <f>IFERROR('Energy supply'!O24/'2.6 Fuel Efficiencies'!P23,0)</f>
        <v>0</v>
      </c>
      <c r="R35" s="34">
        <f>IFERROR('Energy supply'!P24/'2.6 Fuel Efficiencies'!Q23,0)</f>
        <v>0</v>
      </c>
      <c r="S35" s="34">
        <f>IFERROR('Energy supply'!Q24/'2.6 Fuel Efficiencies'!R23,0)</f>
        <v>0</v>
      </c>
      <c r="T35" s="34">
        <f>IFERROR('Energy supply'!R24/'2.6 Fuel Efficiencies'!S23,0)</f>
        <v>0</v>
      </c>
      <c r="U35" s="34">
        <f>IFERROR('Energy supply'!S24/'2.6 Fuel Efficiencies'!T23,0)</f>
        <v>0</v>
      </c>
      <c r="V35" s="34">
        <f>IFERROR('Energy supply'!T24/'2.6 Fuel Efficiencies'!U23,0)</f>
        <v>4.1066431888894988</v>
      </c>
      <c r="W35" s="34">
        <f>IFERROR('Energy supply'!U24/'2.6 Fuel Efficiencies'!V23,0)</f>
        <v>17.371088964198062</v>
      </c>
      <c r="X35" s="34">
        <f>IFERROR('Energy supply'!V24/'2.6 Fuel Efficiencies'!W23,0)</f>
        <v>51.515181306620072</v>
      </c>
      <c r="Y35" s="34">
        <f>IFERROR('Energy supply'!W24/'2.6 Fuel Efficiencies'!X23,0)</f>
        <v>106.0214312927084</v>
      </c>
      <c r="Z35" s="34">
        <f>IFERROR('Energy supply'!X24/'2.6 Fuel Efficiencies'!Y23,0)</f>
        <v>189.54468096009251</v>
      </c>
      <c r="AA35" s="34">
        <f>IFERROR('Energy supply'!Y24/'2.6 Fuel Efficiencies'!Z23,0)</f>
        <v>289.43098854591346</v>
      </c>
      <c r="AB35" s="34">
        <f>IFERROR('Energy supply'!Z24/'2.6 Fuel Efficiencies'!AA23,0)</f>
        <v>408.09149918619948</v>
      </c>
      <c r="AC35" s="34">
        <f>IFERROR('Energy supply'!AA24/'2.6 Fuel Efficiencies'!AB23,0)</f>
        <v>536.65201068425802</v>
      </c>
      <c r="AD35" s="34">
        <f>IFERROR('Energy supply'!AB24/'2.6 Fuel Efficiencies'!AC23,0)</f>
        <v>654.91513786862572</v>
      </c>
      <c r="AE35" s="34">
        <f>IFERROR('Energy supply'!AC24/'2.6 Fuel Efficiencies'!AD23,0)</f>
        <v>744.98498071293852</v>
      </c>
      <c r="AF35" s="34">
        <f>IFERROR('Energy supply'!AD24/'2.6 Fuel Efficiencies'!AE23,0)</f>
        <v>809.88918546106368</v>
      </c>
      <c r="AG35" s="34">
        <f>IFERROR('Energy supply'!AE24/'2.6 Fuel Efficiencies'!AF23,0)</f>
        <v>874.85148040043828</v>
      </c>
      <c r="AH35" s="34">
        <f>IFERROR('Energy supply'!AF24/'2.6 Fuel Efficiencies'!AG23,0)</f>
        <v>936.40681485233358</v>
      </c>
      <c r="AI35" s="34">
        <f>IFERROR('Energy supply'!AG24/'2.6 Fuel Efficiencies'!AH23,0)</f>
        <v>998.15785218351937</v>
      </c>
      <c r="AJ35" s="34">
        <f>IFERROR('Energy supply'!AH24/'2.6 Fuel Efficiencies'!AI23,0)</f>
        <v>1063.6912000438147</v>
      </c>
      <c r="AK35" s="34">
        <f>IFERROR('Energy supply'!AI24/'2.6 Fuel Efficiencies'!AJ23,0)</f>
        <v>1162.1251367641466</v>
      </c>
      <c r="AL35" s="34">
        <f>IFERROR('Energy supply'!AJ24/'2.6 Fuel Efficiencies'!AK23,0)</f>
        <v>1260.6266680988472</v>
      </c>
      <c r="AM35" s="34">
        <f>IFERROR('Energy supply'!AK24/'2.6 Fuel Efficiencies'!AL23,0)</f>
        <v>1335.8034396384494</v>
      </c>
      <c r="AN35" s="34">
        <f>IFERROR('Energy supply'!AL24/'2.6 Fuel Efficiencies'!AM23,0)</f>
        <v>1387.7248597715673</v>
      </c>
      <c r="AO35" s="34">
        <f>IFERROR('Energy supply'!AM24/'2.6 Fuel Efficiencies'!AN23,0)</f>
        <v>1393.0832546199126</v>
      </c>
      <c r="AP35" s="34">
        <f>IFERROR('Energy supply'!AN24/'2.6 Fuel Efficiencies'!AO23,0)</f>
        <v>1398.4881771763428</v>
      </c>
      <c r="AQ35" s="34">
        <f>IFERROR('Energy supply'!AO24/'2.6 Fuel Efficiencies'!AP23,0)</f>
        <v>1403.9296088004239</v>
      </c>
      <c r="AR35" s="34">
        <f>IFERROR('Energy supply'!AP24/'2.6 Fuel Efficiencies'!AQ23,0)</f>
        <v>1409.405217247644</v>
      </c>
      <c r="AS35" s="34">
        <f>IFERROR('Energy supply'!AQ24/'2.6 Fuel Efficiencies'!AR23,0)</f>
        <v>1414.9128448594981</v>
      </c>
      <c r="AT35" s="34">
        <f>IFERROR('Energy supply'!AR24/'2.6 Fuel Efficiencies'!AS23,0)</f>
        <v>1420.4504924145008</v>
      </c>
      <c r="AU35" s="34">
        <f>IFERROR('Energy supply'!AS24/'2.6 Fuel Efficiencies'!AT23,0)</f>
        <v>1426.0163047384867</v>
      </c>
      <c r="AV35" s="34">
        <f>IFERROR('Energy supply'!AT24/'2.6 Fuel Efficiencies'!AU23,0)</f>
        <v>1431.6085578545683</v>
      </c>
      <c r="AW35" s="34">
        <f>IFERROR('Energy supply'!AU24/'2.6 Fuel Efficiencies'!AV23,0)</f>
        <v>1437.2256474839305</v>
      </c>
      <c r="AX35" s="34">
        <f>IFERROR('Energy supply'!AV24/'2.6 Fuel Efficiencies'!AW23,0)</f>
        <v>1442.8660787346291</v>
      </c>
      <c r="AY35" s="34">
        <f>IFERROR('Energy supply'!AW24/'2.6 Fuel Efficiencies'!AX23,0)</f>
        <v>1448.5284568376328</v>
      </c>
      <c r="AZ35" s="34">
        <f>IFERROR('Energy supply'!AX24/'2.6 Fuel Efficiencies'!AY23,0)</f>
        <v>1454.2114788080733</v>
      </c>
    </row>
    <row r="36" spans="4:52">
      <c r="E36" s="78" t="s">
        <v>219</v>
      </c>
      <c r="F36" s="78"/>
      <c r="G36" s="78" t="s">
        <v>210</v>
      </c>
      <c r="I36" s="44"/>
      <c r="K36" s="44"/>
      <c r="M36" s="44"/>
      <c r="O36" s="44"/>
      <c r="Q36" s="34">
        <f>IFERROR('Energy supply'!O25/'2.6 Fuel Efficiencies'!P24,0)</f>
        <v>0</v>
      </c>
      <c r="R36" s="34">
        <f>IFERROR('Energy supply'!P25/'2.6 Fuel Efficiencies'!Q24,0)</f>
        <v>0</v>
      </c>
      <c r="S36" s="34">
        <f>IFERROR('Energy supply'!Q25/'2.6 Fuel Efficiencies'!R24,0)</f>
        <v>0</v>
      </c>
      <c r="T36" s="34">
        <f>IFERROR('Energy supply'!R25/'2.6 Fuel Efficiencies'!S24,0)</f>
        <v>0</v>
      </c>
      <c r="U36" s="34">
        <f>IFERROR('Energy supply'!S25/'2.6 Fuel Efficiencies'!T24,0)</f>
        <v>0</v>
      </c>
      <c r="V36" s="34">
        <f>IFERROR('Energy supply'!T25/'2.6 Fuel Efficiencies'!U24,0)</f>
        <v>0.80953776966316926</v>
      </c>
      <c r="W36" s="34">
        <f>IFERROR('Energy supply'!U25/'2.6 Fuel Efficiencies'!V24,0)</f>
        <v>2.9659358255293391</v>
      </c>
      <c r="X36" s="34">
        <f>IFERROR('Energy supply'!V25/'2.6 Fuel Efficiencies'!W24,0)</f>
        <v>5.0982392395313001</v>
      </c>
      <c r="Y36" s="34">
        <f>IFERROR('Energy supply'!W25/'2.6 Fuel Efficiencies'!X24,0)</f>
        <v>7.1653296780315454</v>
      </c>
      <c r="Z36" s="34">
        <f>IFERROR('Energy supply'!X25/'2.6 Fuel Efficiencies'!Y24,0)</f>
        <v>9.1185233747909837</v>
      </c>
      <c r="AA36" s="34">
        <f>IFERROR('Energy supply'!Y25/'2.6 Fuel Efficiencies'!Z24,0)</f>
        <v>10.976347090801557</v>
      </c>
      <c r="AB36" s="34">
        <f>IFERROR('Energy supply'!Z25/'2.6 Fuel Efficiencies'!AA24,0)</f>
        <v>12.502578292539326</v>
      </c>
      <c r="AC36" s="34">
        <f>IFERROR('Energy supply'!AA25/'2.6 Fuel Efficiencies'!AB24,0)</f>
        <v>12.777329809127844</v>
      </c>
      <c r="AD36" s="34">
        <f>IFERROR('Energy supply'!AB25/'2.6 Fuel Efficiencies'!AC24,0)</f>
        <v>13.136666580500243</v>
      </c>
      <c r="AE36" s="34">
        <f>IFERROR('Energy supply'!AC25/'2.6 Fuel Efficiencies'!AD24,0)</f>
        <v>13.466635504577932</v>
      </c>
      <c r="AF36" s="34">
        <f>IFERROR('Energy supply'!AD25/'2.6 Fuel Efficiencies'!AE24,0)</f>
        <v>13.79981853020573</v>
      </c>
      <c r="AG36" s="34">
        <f>IFERROR('Energy supply'!AE25/'2.6 Fuel Efficiencies'!AF24,0)</f>
        <v>15.499358261617108</v>
      </c>
      <c r="AH36" s="34">
        <f>IFERROR('Energy supply'!AF25/'2.6 Fuel Efficiencies'!AG24,0)</f>
        <v>18.419167441338498</v>
      </c>
      <c r="AI36" s="34">
        <f>IFERROR('Energy supply'!AG25/'2.6 Fuel Efficiencies'!AH24,0)</f>
        <v>22.498665936889243</v>
      </c>
      <c r="AJ36" s="34">
        <f>IFERROR('Energy supply'!AH25/'2.6 Fuel Efficiencies'!AI24,0)</f>
        <v>27.761085680388977</v>
      </c>
      <c r="AK36" s="34">
        <f>IFERROR('Energy supply'!AI25/'2.6 Fuel Efficiencies'!AJ24,0)</f>
        <v>34.463864842445496</v>
      </c>
      <c r="AL36" s="34">
        <f>IFERROR('Energy supply'!AJ25/'2.6 Fuel Efficiencies'!AK24,0)</f>
        <v>41.373991097289085</v>
      </c>
      <c r="AM36" s="34">
        <f>IFERROR('Energy supply'!AK25/'2.6 Fuel Efficiencies'!AL24,0)</f>
        <v>43.42444542900116</v>
      </c>
      <c r="AN36" s="34">
        <f>IFERROR('Energy supply'!AL25/'2.6 Fuel Efficiencies'!AM24,0)</f>
        <v>45.682447560318579</v>
      </c>
      <c r="AO36" s="34">
        <f>IFERROR('Energy supply'!AM25/'2.6 Fuel Efficiencies'!AN24,0)</f>
        <v>48.148419304763181</v>
      </c>
      <c r="AP36" s="34">
        <f>IFERROR('Energy supply'!AN25/'2.6 Fuel Efficiencies'!AO24,0)</f>
        <v>50.822787448093337</v>
      </c>
      <c r="AQ36" s="34">
        <f>IFERROR('Energy supply'!AO25/'2.6 Fuel Efficiencies'!AP24,0)</f>
        <v>53.293807544472273</v>
      </c>
      <c r="AR36" s="34">
        <f>IFERROR('Energy supply'!AP25/'2.6 Fuel Efficiencies'!AQ24,0)</f>
        <v>55.561060884649777</v>
      </c>
      <c r="AS36" s="34">
        <f>IFERROR('Energy supply'!AQ25/'2.6 Fuel Efficiencies'!AR24,0)</f>
        <v>57.624131188766448</v>
      </c>
      <c r="AT36" s="34">
        <f>IFERROR('Energy supply'!AR25/'2.6 Fuel Efficiencies'!AS24,0)</f>
        <v>59.482604629231673</v>
      </c>
      <c r="AU36" s="34">
        <f>IFERROR('Energy supply'!AS25/'2.6 Fuel Efficiencies'!AT24,0)</f>
        <v>61.136069855406028</v>
      </c>
      <c r="AV36" s="34">
        <f>IFERROR('Energy supply'!AT25/'2.6 Fuel Efficiencies'!AU24,0)</f>
        <v>62.584118019776611</v>
      </c>
      <c r="AW36" s="34">
        <f>IFERROR('Energy supply'!AU25/'2.6 Fuel Efficiencies'!AV24,0)</f>
        <v>63.826342805387846</v>
      </c>
      <c r="AX36" s="34">
        <f>IFERROR('Energy supply'!AV25/'2.6 Fuel Efficiencies'!AW24,0)</f>
        <v>64.862340454341023</v>
      </c>
      <c r="AY36" s="34">
        <f>IFERROR('Energy supply'!AW25/'2.6 Fuel Efficiencies'!AX24,0)</f>
        <v>65.6917097972172</v>
      </c>
      <c r="AZ36" s="34">
        <f>IFERROR('Energy supply'!AX25/'2.6 Fuel Efficiencies'!AY24,0)</f>
        <v>66.314052283308882</v>
      </c>
    </row>
    <row r="37" spans="4:52">
      <c r="E37" s="38" t="s">
        <v>1364</v>
      </c>
      <c r="F37" s="78"/>
      <c r="G37" s="78" t="s">
        <v>210</v>
      </c>
      <c r="H37" s="78"/>
      <c r="I37" s="44"/>
      <c r="K37" s="44"/>
      <c r="M37" s="44"/>
      <c r="O37" s="44"/>
      <c r="Q37" s="84">
        <f>'Energy supply'!O26*'2.6 Fuel Efficiencies'!P25/'2.6 Fuel Efficiencies'!P26</f>
        <v>0</v>
      </c>
      <c r="R37" s="84">
        <f>'Energy supply'!P26*'2.6 Fuel Efficiencies'!Q25/'2.6 Fuel Efficiencies'!Q26</f>
        <v>0</v>
      </c>
      <c r="S37" s="84">
        <f>'Energy supply'!Q26*'2.6 Fuel Efficiencies'!R25/'2.6 Fuel Efficiencies'!R26</f>
        <v>0</v>
      </c>
      <c r="T37" s="84">
        <f>'Energy supply'!R26*'2.6 Fuel Efficiencies'!S25/'2.6 Fuel Efficiencies'!S26</f>
        <v>0</v>
      </c>
      <c r="U37" s="84">
        <f>'Energy supply'!S26*'2.6 Fuel Efficiencies'!T25/'2.6 Fuel Efficiencies'!T26</f>
        <v>0</v>
      </c>
      <c r="V37" s="84">
        <f>'Energy supply'!T26*'2.6 Fuel Efficiencies'!U25/'2.6 Fuel Efficiencies'!U26</f>
        <v>0</v>
      </c>
      <c r="W37" s="84">
        <f>'Energy supply'!U26*'2.6 Fuel Efficiencies'!V25/'2.6 Fuel Efficiencies'!V26</f>
        <v>0</v>
      </c>
      <c r="X37" s="84">
        <f>'Energy supply'!V26*'2.6 Fuel Efficiencies'!W25/'2.6 Fuel Efficiencies'!W26</f>
        <v>0</v>
      </c>
      <c r="Y37" s="84">
        <f>'Energy supply'!W26*'2.6 Fuel Efficiencies'!X25/'2.6 Fuel Efficiencies'!X26</f>
        <v>0</v>
      </c>
      <c r="Z37" s="84">
        <f>'Energy supply'!X26*'2.6 Fuel Efficiencies'!Y25/'2.6 Fuel Efficiencies'!Y26</f>
        <v>0</v>
      </c>
      <c r="AA37" s="84">
        <f>'Energy supply'!Y26*'2.6 Fuel Efficiencies'!Z25/'2.6 Fuel Efficiencies'!Z26</f>
        <v>0</v>
      </c>
      <c r="AB37" s="84">
        <f>'Energy supply'!Z26*'2.6 Fuel Efficiencies'!AA25/'2.6 Fuel Efficiencies'!AA26</f>
        <v>0</v>
      </c>
      <c r="AC37" s="84">
        <f>'Energy supply'!AA26*'2.6 Fuel Efficiencies'!AB25/'2.6 Fuel Efficiencies'!AB26</f>
        <v>0</v>
      </c>
      <c r="AD37" s="84">
        <f>'Energy supply'!AB26*'2.6 Fuel Efficiencies'!AC25/'2.6 Fuel Efficiencies'!AC26</f>
        <v>0</v>
      </c>
      <c r="AE37" s="84">
        <f>'Energy supply'!AC26*'2.6 Fuel Efficiencies'!AD25/'2.6 Fuel Efficiencies'!AD26</f>
        <v>0</v>
      </c>
      <c r="AF37" s="84">
        <f>'Energy supply'!AD26*'2.6 Fuel Efficiencies'!AE25/'2.6 Fuel Efficiencies'!AE26</f>
        <v>0</v>
      </c>
      <c r="AG37" s="84">
        <f>'Energy supply'!AE26*'2.6 Fuel Efficiencies'!AF25/'2.6 Fuel Efficiencies'!AF26</f>
        <v>0</v>
      </c>
      <c r="AH37" s="84">
        <f>'Energy supply'!AF26*'2.6 Fuel Efficiencies'!AG25/'2.6 Fuel Efficiencies'!AG26</f>
        <v>0</v>
      </c>
      <c r="AI37" s="84">
        <f>'Energy supply'!AG26*'2.6 Fuel Efficiencies'!AH25/'2.6 Fuel Efficiencies'!AH26</f>
        <v>0</v>
      </c>
      <c r="AJ37" s="84">
        <f>'Energy supply'!AH26*'2.6 Fuel Efficiencies'!AI25/'2.6 Fuel Efficiencies'!AI26</f>
        <v>0</v>
      </c>
      <c r="AK37" s="84">
        <f>'Energy supply'!AI26*'2.6 Fuel Efficiencies'!AJ25/'2.6 Fuel Efficiencies'!AJ26</f>
        <v>0</v>
      </c>
      <c r="AL37" s="84">
        <f>'Energy supply'!AJ26*'2.6 Fuel Efficiencies'!AK25/'2.6 Fuel Efficiencies'!AK26</f>
        <v>0</v>
      </c>
      <c r="AM37" s="84">
        <f>'Energy supply'!AK26*'2.6 Fuel Efficiencies'!AL25/'2.6 Fuel Efficiencies'!AL26</f>
        <v>0</v>
      </c>
      <c r="AN37" s="84">
        <f>'Energy supply'!AL26*'2.6 Fuel Efficiencies'!AM25/'2.6 Fuel Efficiencies'!AM26</f>
        <v>0</v>
      </c>
      <c r="AO37" s="84">
        <f>'Energy supply'!AM26*'2.6 Fuel Efficiencies'!AN25/'2.6 Fuel Efficiencies'!AN26</f>
        <v>0</v>
      </c>
      <c r="AP37" s="84">
        <f>'Energy supply'!AN26*'2.6 Fuel Efficiencies'!AO25/'2.6 Fuel Efficiencies'!AO26</f>
        <v>0</v>
      </c>
      <c r="AQ37" s="84">
        <f>'Energy supply'!AO26*'2.6 Fuel Efficiencies'!AP25/'2.6 Fuel Efficiencies'!AP26</f>
        <v>0</v>
      </c>
      <c r="AR37" s="84">
        <f>'Energy supply'!AP26*'2.6 Fuel Efficiencies'!AQ25/'2.6 Fuel Efficiencies'!AQ26</f>
        <v>0</v>
      </c>
      <c r="AS37" s="84">
        <f>'Energy supply'!AQ26*'2.6 Fuel Efficiencies'!AR25/'2.6 Fuel Efficiencies'!AR26</f>
        <v>0</v>
      </c>
      <c r="AT37" s="84">
        <f>'Energy supply'!AR26*'2.6 Fuel Efficiencies'!AS25/'2.6 Fuel Efficiencies'!AS26</f>
        <v>0</v>
      </c>
      <c r="AU37" s="84">
        <f>'Energy supply'!AS26*'2.6 Fuel Efficiencies'!AT25/'2.6 Fuel Efficiencies'!AT26</f>
        <v>0</v>
      </c>
      <c r="AV37" s="84">
        <f>'Energy supply'!AT26*'2.6 Fuel Efficiencies'!AU25/'2.6 Fuel Efficiencies'!AU26</f>
        <v>0</v>
      </c>
      <c r="AW37" s="84">
        <f>'Energy supply'!AU26*'2.6 Fuel Efficiencies'!AV25/'2.6 Fuel Efficiencies'!AV26</f>
        <v>0</v>
      </c>
      <c r="AX37" s="84">
        <f>'Energy supply'!AV26*'2.6 Fuel Efficiencies'!AW25/'2.6 Fuel Efficiencies'!AW26</f>
        <v>0</v>
      </c>
      <c r="AY37" s="84">
        <f>'Energy supply'!AW26*'2.6 Fuel Efficiencies'!AX25/'2.6 Fuel Efficiencies'!AX26</f>
        <v>0</v>
      </c>
      <c r="AZ37" s="84">
        <f>'Energy supply'!AX26*'2.6 Fuel Efficiencies'!AY25/'2.6 Fuel Efficiencies'!AY26</f>
        <v>0</v>
      </c>
    </row>
    <row r="38" spans="4:52">
      <c r="E38" s="38" t="s">
        <v>1364</v>
      </c>
      <c r="F38" s="78"/>
      <c r="G38" s="78" t="s">
        <v>775</v>
      </c>
      <c r="H38" s="78"/>
      <c r="I38" s="44"/>
      <c r="K38" s="44"/>
      <c r="M38" s="44"/>
      <c r="O38" s="44"/>
      <c r="Q38" s="84">
        <f>IFERROR('Energy supply'!O26*(1-'2.6 Fuel Efficiencies'!P25)/'2.6 Fuel Efficiencies'!P27*('Allocation of heat'!E76/('Allocation of heat'!E76+'Allocation of heat'!E78)),0)</f>
        <v>0</v>
      </c>
      <c r="R38" s="84">
        <f>IFERROR('Energy supply'!P26*(1-'2.6 Fuel Efficiencies'!Q25)/'2.6 Fuel Efficiencies'!Q27*('Allocation of heat'!F76/('Allocation of heat'!F76+'Allocation of heat'!F78)),0)</f>
        <v>0</v>
      </c>
      <c r="S38" s="84">
        <f>IFERROR('Energy supply'!Q26*(1-'2.6 Fuel Efficiencies'!R25)/'2.6 Fuel Efficiencies'!R27*('Allocation of heat'!G76/('Allocation of heat'!G76+'Allocation of heat'!G78)),0)</f>
        <v>0</v>
      </c>
      <c r="T38" s="84">
        <f>IFERROR('Energy supply'!R26*(1-'2.6 Fuel Efficiencies'!S25)/'2.6 Fuel Efficiencies'!S27*('Allocation of heat'!H76/('Allocation of heat'!H76+'Allocation of heat'!H78)),0)</f>
        <v>0</v>
      </c>
      <c r="U38" s="84">
        <f>IFERROR('Energy supply'!S26*(1-'2.6 Fuel Efficiencies'!T25)/'2.6 Fuel Efficiencies'!T27*('Allocation of heat'!I76/('Allocation of heat'!I76+'Allocation of heat'!I78)),0)</f>
        <v>0</v>
      </c>
      <c r="V38" s="84">
        <f>IFERROR('Energy supply'!T26*(1-'2.6 Fuel Efficiencies'!U25)/'2.6 Fuel Efficiencies'!U27*('Allocation of heat'!J76/('Allocation of heat'!J76+'Allocation of heat'!J78)),0)</f>
        <v>0</v>
      </c>
      <c r="W38" s="84">
        <f>IFERROR('Energy supply'!U26*(1-'2.6 Fuel Efficiencies'!V25)/'2.6 Fuel Efficiencies'!V27*('Allocation of heat'!K76/('Allocation of heat'!K76+'Allocation of heat'!K78)),0)</f>
        <v>0</v>
      </c>
      <c r="X38" s="84">
        <f>IFERROR('Energy supply'!V26*(1-'2.6 Fuel Efficiencies'!W25)/'2.6 Fuel Efficiencies'!W27*('Allocation of heat'!L76/('Allocation of heat'!L76+'Allocation of heat'!L78)),0)</f>
        <v>0</v>
      </c>
      <c r="Y38" s="84">
        <f>IFERROR('Energy supply'!W26*(1-'2.6 Fuel Efficiencies'!X25)/'2.6 Fuel Efficiencies'!X27*('Allocation of heat'!M76/('Allocation of heat'!M76+'Allocation of heat'!M78)),0)</f>
        <v>0</v>
      </c>
      <c r="Z38" s="84">
        <f>IFERROR('Energy supply'!X26*(1-'2.6 Fuel Efficiencies'!Y25)/'2.6 Fuel Efficiencies'!Y27*('Allocation of heat'!N76/('Allocation of heat'!N76+'Allocation of heat'!N78)),0)</f>
        <v>0</v>
      </c>
      <c r="AA38" s="84">
        <f>IFERROR('Energy supply'!Y26*(1-'2.6 Fuel Efficiencies'!Z25)/'2.6 Fuel Efficiencies'!Z27*('Allocation of heat'!O76/('Allocation of heat'!O76+'Allocation of heat'!O78)),0)</f>
        <v>0</v>
      </c>
      <c r="AB38" s="84">
        <f>IFERROR('Energy supply'!Z26*(1-'2.6 Fuel Efficiencies'!AA25)/'2.6 Fuel Efficiencies'!AA27*('Allocation of heat'!P76/('Allocation of heat'!P76+'Allocation of heat'!P78)),0)</f>
        <v>0</v>
      </c>
      <c r="AC38" s="84">
        <f>IFERROR('Energy supply'!AA26*(1-'2.6 Fuel Efficiencies'!AB25)/'2.6 Fuel Efficiencies'!AB27*('Allocation of heat'!Q76/('Allocation of heat'!Q76+'Allocation of heat'!Q78)),0)</f>
        <v>0</v>
      </c>
      <c r="AD38" s="84">
        <f>IFERROR('Energy supply'!AB26*(1-'2.6 Fuel Efficiencies'!AC25)/'2.6 Fuel Efficiencies'!AC27*('Allocation of heat'!R76/('Allocation of heat'!R76+'Allocation of heat'!R78)),0)</f>
        <v>0</v>
      </c>
      <c r="AE38" s="84">
        <f>IFERROR('Energy supply'!AC26*(1-'2.6 Fuel Efficiencies'!AD25)/'2.6 Fuel Efficiencies'!AD27*('Allocation of heat'!S76/('Allocation of heat'!S76+'Allocation of heat'!S78)),0)</f>
        <v>0</v>
      </c>
      <c r="AF38" s="84">
        <f>IFERROR('Energy supply'!AD26*(1-'2.6 Fuel Efficiencies'!AE25)/'2.6 Fuel Efficiencies'!AE27*('Allocation of heat'!T76/('Allocation of heat'!T76+'Allocation of heat'!T78)),0)</f>
        <v>0</v>
      </c>
      <c r="AG38" s="84">
        <f>IFERROR('Energy supply'!AE26*(1-'2.6 Fuel Efficiencies'!AF25)/'2.6 Fuel Efficiencies'!AF27*('Allocation of heat'!U76/('Allocation of heat'!U76+'Allocation of heat'!U78)),0)</f>
        <v>0</v>
      </c>
      <c r="AH38" s="84">
        <f>IFERROR('Energy supply'!AF26*(1-'2.6 Fuel Efficiencies'!AG25)/'2.6 Fuel Efficiencies'!AG27*('Allocation of heat'!V76/('Allocation of heat'!V76+'Allocation of heat'!V78)),0)</f>
        <v>0</v>
      </c>
      <c r="AI38" s="84">
        <f>IFERROR('Energy supply'!AG26*(1-'2.6 Fuel Efficiencies'!AH25)/'2.6 Fuel Efficiencies'!AH27*('Allocation of heat'!W76/('Allocation of heat'!W76+'Allocation of heat'!W78)),0)</f>
        <v>0</v>
      </c>
      <c r="AJ38" s="84">
        <f>IFERROR('Energy supply'!AH26*(1-'2.6 Fuel Efficiencies'!AI25)/'2.6 Fuel Efficiencies'!AI27*('Allocation of heat'!X76/('Allocation of heat'!X76+'Allocation of heat'!X78)),0)</f>
        <v>0</v>
      </c>
      <c r="AK38" s="84">
        <f>IFERROR('Energy supply'!AI26*(1-'2.6 Fuel Efficiencies'!AJ25)/'2.6 Fuel Efficiencies'!AJ27*('Allocation of heat'!Y76/('Allocation of heat'!Y76+'Allocation of heat'!Y78)),0)</f>
        <v>0</v>
      </c>
      <c r="AL38" s="84">
        <f>IFERROR('Energy supply'!AJ26*(1-'2.6 Fuel Efficiencies'!AK25)/'2.6 Fuel Efficiencies'!AK27*('Allocation of heat'!Z76/('Allocation of heat'!Z76+'Allocation of heat'!Z78)),0)</f>
        <v>0</v>
      </c>
      <c r="AM38" s="84">
        <f>IFERROR('Energy supply'!AK26*(1-'2.6 Fuel Efficiencies'!AL25)/'2.6 Fuel Efficiencies'!AL27*('Allocation of heat'!AA76/('Allocation of heat'!AA76+'Allocation of heat'!AA78)),0)</f>
        <v>0</v>
      </c>
      <c r="AN38" s="84">
        <f>IFERROR('Energy supply'!AL26*(1-'2.6 Fuel Efficiencies'!AM25)/'2.6 Fuel Efficiencies'!AM27*('Allocation of heat'!AB76/('Allocation of heat'!AB76+'Allocation of heat'!AB78)),0)</f>
        <v>0</v>
      </c>
      <c r="AO38" s="84">
        <f>IFERROR('Energy supply'!AM26*(1-'2.6 Fuel Efficiencies'!AN25)/'2.6 Fuel Efficiencies'!AN27*('Allocation of heat'!AC76/('Allocation of heat'!AC76+'Allocation of heat'!AC78)),0)</f>
        <v>0</v>
      </c>
      <c r="AP38" s="84">
        <f>IFERROR('Energy supply'!AN26*(1-'2.6 Fuel Efficiencies'!AO25)/'2.6 Fuel Efficiencies'!AO27*('Allocation of heat'!AD76/('Allocation of heat'!AD76+'Allocation of heat'!AD78)),0)</f>
        <v>0</v>
      </c>
      <c r="AQ38" s="84">
        <f>IFERROR('Energy supply'!AO26*(1-'2.6 Fuel Efficiencies'!AP25)/'2.6 Fuel Efficiencies'!AP27*('Allocation of heat'!AE76/('Allocation of heat'!AE76+'Allocation of heat'!AE78)),0)</f>
        <v>0</v>
      </c>
      <c r="AR38" s="84">
        <f>IFERROR('Energy supply'!AP26*(1-'2.6 Fuel Efficiencies'!AQ25)/'2.6 Fuel Efficiencies'!AQ27*('Allocation of heat'!AF76/('Allocation of heat'!AF76+'Allocation of heat'!AF78)),0)</f>
        <v>0</v>
      </c>
      <c r="AS38" s="84">
        <f>IFERROR('Energy supply'!AQ26*(1-'2.6 Fuel Efficiencies'!AR25)/'2.6 Fuel Efficiencies'!AR27*('Allocation of heat'!AG76/('Allocation of heat'!AG76+'Allocation of heat'!AG78)),0)</f>
        <v>0</v>
      </c>
      <c r="AT38" s="84">
        <f>IFERROR('Energy supply'!AR26*(1-'2.6 Fuel Efficiencies'!AS25)/'2.6 Fuel Efficiencies'!AS27*('Allocation of heat'!AH76/('Allocation of heat'!AH76+'Allocation of heat'!AH78)),0)</f>
        <v>0</v>
      </c>
      <c r="AU38" s="84">
        <f>IFERROR('Energy supply'!AS26*(1-'2.6 Fuel Efficiencies'!AT25)/'2.6 Fuel Efficiencies'!AT27*('Allocation of heat'!AI76/('Allocation of heat'!AI76+'Allocation of heat'!AI78)),0)</f>
        <v>0</v>
      </c>
      <c r="AV38" s="84">
        <f>IFERROR('Energy supply'!AT26*(1-'2.6 Fuel Efficiencies'!AU25)/'2.6 Fuel Efficiencies'!AU27*('Allocation of heat'!AJ76/('Allocation of heat'!AJ76+'Allocation of heat'!AJ78)),0)</f>
        <v>0</v>
      </c>
      <c r="AW38" s="84">
        <f>IFERROR('Energy supply'!AU26*(1-'2.6 Fuel Efficiencies'!AV25)/'2.6 Fuel Efficiencies'!AV27*('Allocation of heat'!AK76/('Allocation of heat'!AK76+'Allocation of heat'!AK78)),0)</f>
        <v>0</v>
      </c>
      <c r="AX38" s="84">
        <f>IFERROR('Energy supply'!AV26*(1-'2.6 Fuel Efficiencies'!AW25)/'2.6 Fuel Efficiencies'!AW27*('Allocation of heat'!AL76/('Allocation of heat'!AL76+'Allocation of heat'!AL78)),0)</f>
        <v>0</v>
      </c>
      <c r="AY38" s="84">
        <f>IFERROR('Energy supply'!AW26*(1-'2.6 Fuel Efficiencies'!AX25)/'2.6 Fuel Efficiencies'!AX27*('Allocation of heat'!AM76/('Allocation of heat'!AM76+'Allocation of heat'!AM78)),0)</f>
        <v>0</v>
      </c>
      <c r="AZ38" s="84">
        <f>IFERROR('Energy supply'!AX26*(1-'2.6 Fuel Efficiencies'!AY25)/'2.6 Fuel Efficiencies'!AY27*('Allocation of heat'!AN76/('Allocation of heat'!AN76+'Allocation of heat'!AN78)),0)</f>
        <v>0</v>
      </c>
    </row>
    <row r="39" spans="4:52">
      <c r="E39" s="38" t="s">
        <v>1364</v>
      </c>
      <c r="F39" s="78"/>
      <c r="G39" s="78" t="s">
        <v>211</v>
      </c>
      <c r="H39" s="78"/>
      <c r="I39" s="44"/>
      <c r="K39" s="44"/>
      <c r="M39" s="44"/>
      <c r="O39" s="44"/>
      <c r="Q39" s="618">
        <f>IFERROR('Energy supply'!O26*(1-'2.6 Fuel Efficiencies'!P25)/'2.6 Fuel Efficiencies'!P29*('Allocation of heat'!E78/('Allocation of heat'!E76+'Allocation of heat'!E78)),0)</f>
        <v>0</v>
      </c>
      <c r="R39" s="618">
        <f>IFERROR('Energy supply'!P26*(1-'2.6 Fuel Efficiencies'!Q25)/'2.6 Fuel Efficiencies'!Q29*('Allocation of heat'!F78/('Allocation of heat'!F76+'Allocation of heat'!F78)),0)</f>
        <v>0</v>
      </c>
      <c r="S39" s="618">
        <f>IFERROR('Energy supply'!Q26*(1-'2.6 Fuel Efficiencies'!R25)/'2.6 Fuel Efficiencies'!R29*('Allocation of heat'!G78/('Allocation of heat'!G76+'Allocation of heat'!G78)),0)</f>
        <v>0</v>
      </c>
      <c r="T39" s="618">
        <f>IFERROR('Energy supply'!R26*(1-'2.6 Fuel Efficiencies'!S25)/'2.6 Fuel Efficiencies'!S29*('Allocation of heat'!H78/('Allocation of heat'!H76+'Allocation of heat'!H78)),0)</f>
        <v>0</v>
      </c>
      <c r="U39" s="618">
        <f>IFERROR('Energy supply'!S26*(1-'2.6 Fuel Efficiencies'!T25)/'2.6 Fuel Efficiencies'!T29*('Allocation of heat'!I78/('Allocation of heat'!I76+'Allocation of heat'!I78)),0)</f>
        <v>0</v>
      </c>
      <c r="V39" s="618">
        <f>IFERROR('Energy supply'!T26*(1-'2.6 Fuel Efficiencies'!U25)/'2.6 Fuel Efficiencies'!U29*('Allocation of heat'!J78/('Allocation of heat'!J76+'Allocation of heat'!J78)),0)</f>
        <v>0</v>
      </c>
      <c r="W39" s="618">
        <f>IFERROR('Energy supply'!U26*(1-'2.6 Fuel Efficiencies'!V25)/'2.6 Fuel Efficiencies'!V29*('Allocation of heat'!K78/('Allocation of heat'!K76+'Allocation of heat'!K78)),0)</f>
        <v>0</v>
      </c>
      <c r="X39" s="618">
        <f>IFERROR('Energy supply'!V26*(1-'2.6 Fuel Efficiencies'!W25)/'2.6 Fuel Efficiencies'!W29*('Allocation of heat'!L78/('Allocation of heat'!L76+'Allocation of heat'!L78)),0)</f>
        <v>0</v>
      </c>
      <c r="Y39" s="618">
        <f>IFERROR('Energy supply'!W26*(1-'2.6 Fuel Efficiencies'!X25)/'2.6 Fuel Efficiencies'!X29*('Allocation of heat'!M78/('Allocation of heat'!M76+'Allocation of heat'!M78)),0)</f>
        <v>0</v>
      </c>
      <c r="Z39" s="618">
        <f>IFERROR('Energy supply'!X26*(1-'2.6 Fuel Efficiencies'!Y25)/'2.6 Fuel Efficiencies'!Y29*('Allocation of heat'!N78/('Allocation of heat'!N76+'Allocation of heat'!N78)),0)</f>
        <v>0</v>
      </c>
      <c r="AA39" s="618">
        <f>IFERROR('Energy supply'!Y26*(1-'2.6 Fuel Efficiencies'!Z25)/'2.6 Fuel Efficiencies'!Z29*('Allocation of heat'!O78/('Allocation of heat'!O76+'Allocation of heat'!O78)),0)</f>
        <v>0</v>
      </c>
      <c r="AB39" s="618">
        <f>IFERROR('Energy supply'!Z26*(1-'2.6 Fuel Efficiencies'!AA25)/'2.6 Fuel Efficiencies'!AA29*('Allocation of heat'!P78/('Allocation of heat'!P76+'Allocation of heat'!P78)),0)</f>
        <v>0</v>
      </c>
      <c r="AC39" s="618">
        <f>IFERROR('Energy supply'!AA26*(1-'2.6 Fuel Efficiencies'!AB25)/'2.6 Fuel Efficiencies'!AB29*('Allocation of heat'!Q78/('Allocation of heat'!Q76+'Allocation of heat'!Q78)),0)</f>
        <v>0</v>
      </c>
      <c r="AD39" s="618">
        <f>IFERROR('Energy supply'!AB26*(1-'2.6 Fuel Efficiencies'!AC25)/'2.6 Fuel Efficiencies'!AC29*('Allocation of heat'!R78/('Allocation of heat'!R76+'Allocation of heat'!R78)),0)</f>
        <v>0</v>
      </c>
      <c r="AE39" s="618">
        <f>IFERROR('Energy supply'!AC26*(1-'2.6 Fuel Efficiencies'!AD25)/'2.6 Fuel Efficiencies'!AD29*('Allocation of heat'!S78/('Allocation of heat'!S76+'Allocation of heat'!S78)),0)</f>
        <v>0</v>
      </c>
      <c r="AF39" s="618">
        <f>IFERROR('Energy supply'!AD26*(1-'2.6 Fuel Efficiencies'!AE25)/'2.6 Fuel Efficiencies'!AE29*('Allocation of heat'!T78/('Allocation of heat'!T76+'Allocation of heat'!T78)),0)</f>
        <v>0</v>
      </c>
      <c r="AG39" s="618">
        <f>IFERROR('Energy supply'!AE26*(1-'2.6 Fuel Efficiencies'!AF25)/'2.6 Fuel Efficiencies'!AF29*('Allocation of heat'!U78/('Allocation of heat'!U76+'Allocation of heat'!U78)),0)</f>
        <v>0</v>
      </c>
      <c r="AH39" s="618">
        <f>IFERROR('Energy supply'!AF26*(1-'2.6 Fuel Efficiencies'!AG25)/'2.6 Fuel Efficiencies'!AG29*('Allocation of heat'!V78/('Allocation of heat'!V76+'Allocation of heat'!V78)),0)</f>
        <v>0</v>
      </c>
      <c r="AI39" s="618">
        <f>IFERROR('Energy supply'!AG26*(1-'2.6 Fuel Efficiencies'!AH25)/'2.6 Fuel Efficiencies'!AH29*('Allocation of heat'!W78/('Allocation of heat'!W76+'Allocation of heat'!W78)),0)</f>
        <v>0</v>
      </c>
      <c r="AJ39" s="618">
        <f>IFERROR('Energy supply'!AH26*(1-'2.6 Fuel Efficiencies'!AI25)/'2.6 Fuel Efficiencies'!AI29*('Allocation of heat'!X78/('Allocation of heat'!X76+'Allocation of heat'!X78)),0)</f>
        <v>0</v>
      </c>
      <c r="AK39" s="618">
        <f>IFERROR('Energy supply'!AI26*(1-'2.6 Fuel Efficiencies'!AJ25)/'2.6 Fuel Efficiencies'!AJ29*('Allocation of heat'!Y78/('Allocation of heat'!Y76+'Allocation of heat'!Y78)),0)</f>
        <v>0</v>
      </c>
      <c r="AL39" s="618">
        <f>IFERROR('Energy supply'!AJ26*(1-'2.6 Fuel Efficiencies'!AK25)/'2.6 Fuel Efficiencies'!AK29*('Allocation of heat'!Z78/('Allocation of heat'!Z76+'Allocation of heat'!Z78)),0)</f>
        <v>0</v>
      </c>
      <c r="AM39" s="618">
        <f>IFERROR('Energy supply'!AK26*(1-'2.6 Fuel Efficiencies'!AL25)/'2.6 Fuel Efficiencies'!AL29*('Allocation of heat'!AA78/('Allocation of heat'!AA76+'Allocation of heat'!AA78)),0)</f>
        <v>0</v>
      </c>
      <c r="AN39" s="618">
        <f>IFERROR('Energy supply'!AL26*(1-'2.6 Fuel Efficiencies'!AM25)/'2.6 Fuel Efficiencies'!AM29*('Allocation of heat'!AB78/('Allocation of heat'!AB76+'Allocation of heat'!AB78)),0)</f>
        <v>0</v>
      </c>
      <c r="AO39" s="618">
        <f>IFERROR('Energy supply'!AM26*(1-'2.6 Fuel Efficiencies'!AN25)/'2.6 Fuel Efficiencies'!AN29*('Allocation of heat'!AC78/('Allocation of heat'!AC76+'Allocation of heat'!AC78)),0)</f>
        <v>0</v>
      </c>
      <c r="AP39" s="618">
        <f>IFERROR('Energy supply'!AN26*(1-'2.6 Fuel Efficiencies'!AO25)/'2.6 Fuel Efficiencies'!AO29*('Allocation of heat'!AD78/('Allocation of heat'!AD76+'Allocation of heat'!AD78)),0)</f>
        <v>0</v>
      </c>
      <c r="AQ39" s="618">
        <f>IFERROR('Energy supply'!AO26*(1-'2.6 Fuel Efficiencies'!AP25)/'2.6 Fuel Efficiencies'!AP29*('Allocation of heat'!AE78/('Allocation of heat'!AE76+'Allocation of heat'!AE78)),0)</f>
        <v>0</v>
      </c>
      <c r="AR39" s="618">
        <f>IFERROR('Energy supply'!AP26*(1-'2.6 Fuel Efficiencies'!AQ25)/'2.6 Fuel Efficiencies'!AQ29*('Allocation of heat'!AF78/('Allocation of heat'!AF76+'Allocation of heat'!AF78)),0)</f>
        <v>0</v>
      </c>
      <c r="AS39" s="618">
        <f>IFERROR('Energy supply'!AQ26*(1-'2.6 Fuel Efficiencies'!AR25)/'2.6 Fuel Efficiencies'!AR29*('Allocation of heat'!AG78/('Allocation of heat'!AG76+'Allocation of heat'!AG78)),0)</f>
        <v>0</v>
      </c>
      <c r="AT39" s="618">
        <f>IFERROR('Energy supply'!AR26*(1-'2.6 Fuel Efficiencies'!AS25)/'2.6 Fuel Efficiencies'!AS29*('Allocation of heat'!AH78/('Allocation of heat'!AH76+'Allocation of heat'!AH78)),0)</f>
        <v>0</v>
      </c>
      <c r="AU39" s="618">
        <f>IFERROR('Energy supply'!AS26*(1-'2.6 Fuel Efficiencies'!AT25)/'2.6 Fuel Efficiencies'!AT29*('Allocation of heat'!AI78/('Allocation of heat'!AI76+'Allocation of heat'!AI78)),0)</f>
        <v>0</v>
      </c>
      <c r="AV39" s="618">
        <f>IFERROR('Energy supply'!AT26*(1-'2.6 Fuel Efficiencies'!AU25)/'2.6 Fuel Efficiencies'!AU29*('Allocation of heat'!AJ78/('Allocation of heat'!AJ76+'Allocation of heat'!AJ78)),0)</f>
        <v>0</v>
      </c>
      <c r="AW39" s="618">
        <f>IFERROR('Energy supply'!AU26*(1-'2.6 Fuel Efficiencies'!AV25)/'2.6 Fuel Efficiencies'!AV29*('Allocation of heat'!AK78/('Allocation of heat'!AK76+'Allocation of heat'!AK78)),0)</f>
        <v>0</v>
      </c>
      <c r="AX39" s="618">
        <f>IFERROR('Energy supply'!AV26*(1-'2.6 Fuel Efficiencies'!AW25)/'2.6 Fuel Efficiencies'!AW29*('Allocation of heat'!AL78/('Allocation of heat'!AL76+'Allocation of heat'!AL78)),0)</f>
        <v>0</v>
      </c>
      <c r="AY39" s="618">
        <f>IFERROR('Energy supply'!AW26*(1-'2.6 Fuel Efficiencies'!AX25)/'2.6 Fuel Efficiencies'!AX29*('Allocation of heat'!AM78/('Allocation of heat'!AM76+'Allocation of heat'!AM78)),0)</f>
        <v>0</v>
      </c>
      <c r="AZ39" s="618">
        <f>IFERROR('Energy supply'!AX26*(1-'2.6 Fuel Efficiencies'!AY25)/'2.6 Fuel Efficiencies'!AY29*('Allocation of heat'!AN78/('Allocation of heat'!AN76+'Allocation of heat'!AN78)),0)</f>
        <v>0</v>
      </c>
    </row>
    <row r="40" spans="4:52">
      <c r="E40" s="78" t="s">
        <v>779</v>
      </c>
      <c r="F40" s="78"/>
      <c r="G40" s="78" t="s">
        <v>188</v>
      </c>
      <c r="I40" s="44"/>
      <c r="K40" s="44"/>
      <c r="M40" s="44"/>
      <c r="O40" s="44"/>
      <c r="Q40" s="41">
        <f>SUM('Heat Networks'!K62:K72)*'Heat Networks'!K58/SUM('Heat Networks'!K57:K58)/1000000</f>
        <v>440.90447692995861</v>
      </c>
      <c r="R40" s="41">
        <f>SUM('Heat Networks'!L62:L72)*'Heat Networks'!L58/SUM('Heat Networks'!L57:L58)/1000000</f>
        <v>451.071687521059</v>
      </c>
      <c r="S40" s="41">
        <f>SUM('Heat Networks'!M62:M72)*'Heat Networks'!M58/SUM('Heat Networks'!M57:M58)/1000000</f>
        <v>461.46977658693959</v>
      </c>
      <c r="T40" s="41">
        <f>SUM('Heat Networks'!N62:N72)*'Heat Networks'!N58/SUM('Heat Networks'!N57:N58)/1000000</f>
        <v>472.07155657215372</v>
      </c>
      <c r="U40" s="41">
        <f>SUM('Heat Networks'!O62:O72)*'Heat Networks'!O58/SUM('Heat Networks'!O57:O58)/1000000</f>
        <v>482.84983992125535</v>
      </c>
      <c r="V40" s="41">
        <f>SUM('Heat Networks'!P62:P72)*'Heat Networks'!P58/SUM('Heat Networks'!P57:P58)/1000000</f>
        <v>570.49074475477425</v>
      </c>
      <c r="W40" s="41">
        <f>SUM('Heat Networks'!Q62:Q72)*'Heat Networks'!Q58/SUM('Heat Networks'!Q57:Q58)/1000000</f>
        <v>604.11331498608558</v>
      </c>
      <c r="X40" s="41">
        <f>SUM('Heat Networks'!R62:R72)*'Heat Networks'!R58/SUM('Heat Networks'!R57:R58)/1000000</f>
        <v>637.95087155562885</v>
      </c>
      <c r="Y40" s="41">
        <f>SUM('Heat Networks'!S62:S72)*'Heat Networks'!S58/SUM('Heat Networks'!S57:S58)/1000000</f>
        <v>667.07791866177638</v>
      </c>
      <c r="Z40" s="41">
        <f>SUM('Heat Networks'!T62:T72)*'Heat Networks'!T58/SUM('Heat Networks'!T57:T58)/1000000</f>
        <v>691.50882994968094</v>
      </c>
      <c r="AA40" s="41">
        <f>SUM('Heat Networks'!U62:U72)*'Heat Networks'!U58/SUM('Heat Networks'!U57:U58)/1000000</f>
        <v>710.73832165286456</v>
      </c>
      <c r="AB40" s="41">
        <f>SUM('Heat Networks'!V62:V72)*'Heat Networks'!V58/SUM('Heat Networks'!V57:V58)/1000000</f>
        <v>691.86135574842626</v>
      </c>
      <c r="AC40" s="41">
        <f>SUM('Heat Networks'!W62:W72)*'Heat Networks'!W58/SUM('Heat Networks'!W57:W58)/1000000</f>
        <v>671.94624343245459</v>
      </c>
      <c r="AD40" s="41">
        <f>SUM('Heat Networks'!X62:X72)*'Heat Networks'!X58/SUM('Heat Networks'!X57:X58)/1000000</f>
        <v>650.96489936756802</v>
      </c>
      <c r="AE40" s="41">
        <f>SUM('Heat Networks'!Y62:Y72)*'Heat Networks'!Y58/SUM('Heat Networks'!Y57:Y58)/1000000</f>
        <v>628.93131679713429</v>
      </c>
      <c r="AF40" s="41">
        <f>SUM('Heat Networks'!Z62:Z72)*'Heat Networks'!Z58/SUM('Heat Networks'!Z57:Z58)/1000000</f>
        <v>605.89837120092841</v>
      </c>
      <c r="AG40" s="41">
        <f>SUM('Heat Networks'!AA62:AA72)*'Heat Networks'!AA58/SUM('Heat Networks'!AA57:AA58)/1000000</f>
        <v>598.13657500812144</v>
      </c>
      <c r="AH40" s="41">
        <f>SUM('Heat Networks'!AB62:AB72)*'Heat Networks'!AB58/SUM('Heat Networks'!AB57:AB58)/1000000</f>
        <v>588.22084416823714</v>
      </c>
      <c r="AI40" s="41">
        <f>SUM('Heat Networks'!AC62:AC72)*'Heat Networks'!AC58/SUM('Heat Networks'!AC57:AC58)/1000000</f>
        <v>557.9159992684107</v>
      </c>
      <c r="AJ40" s="41">
        <f>SUM('Heat Networks'!AD62:AD72)*'Heat Networks'!AD58/SUM('Heat Networks'!AD57:AD58)/1000000</f>
        <v>526.20847262298514</v>
      </c>
      <c r="AK40" s="41">
        <f>SUM('Heat Networks'!AE62:AE72)*'Heat Networks'!AE58/SUM('Heat Networks'!AE57:AE58)/1000000</f>
        <v>493.53280187230479</v>
      </c>
      <c r="AL40" s="41">
        <f>SUM('Heat Networks'!AF62:AF72)*'Heat Networks'!AF58/SUM('Heat Networks'!AF57:AF58)/1000000</f>
        <v>461.00681692999444</v>
      </c>
      <c r="AM40" s="41">
        <f>SUM('Heat Networks'!AG62:AG72)*'Heat Networks'!AG58/SUM('Heat Networks'!AG57:AG58)/1000000</f>
        <v>428.84619586261152</v>
      </c>
      <c r="AN40" s="41">
        <f>SUM('Heat Networks'!AH62:AH72)*'Heat Networks'!AH58/SUM('Heat Networks'!AH57:AH58)/1000000</f>
        <v>397.35770013717251</v>
      </c>
      <c r="AO40" s="41">
        <f>SUM('Heat Networks'!AI62:AI72)*'Heat Networks'!AI58/SUM('Heat Networks'!AI57:AI58)/1000000</f>
        <v>363.47703002792269</v>
      </c>
      <c r="AP40" s="41">
        <f>SUM('Heat Networks'!AJ62:AJ72)*'Heat Networks'!AJ58/SUM('Heat Networks'!AJ57:AJ58)/1000000</f>
        <v>330.3572399801991</v>
      </c>
      <c r="AQ40" s="41">
        <f>SUM('Heat Networks'!AK62:AK72)*'Heat Networks'!AK58/SUM('Heat Networks'!AK57:AK58)/1000000</f>
        <v>309.43356878425914</v>
      </c>
      <c r="AR40" s="41">
        <f>SUM('Heat Networks'!AL62:AL72)*'Heat Networks'!AL58/SUM('Heat Networks'!AL57:AL58)/1000000</f>
        <v>287.9789229313588</v>
      </c>
      <c r="AS40" s="41">
        <f>SUM('Heat Networks'!AM62:AM72)*'Heat Networks'!AM58/SUM('Heat Networks'!AM57:AM58)/1000000</f>
        <v>266.12012836999975</v>
      </c>
      <c r="AT40" s="41">
        <f>SUM('Heat Networks'!AN62:AN72)*'Heat Networks'!AN58/SUM('Heat Networks'!AN57:AN58)/1000000</f>
        <v>243.98255380797428</v>
      </c>
      <c r="AU40" s="41">
        <f>SUM('Heat Networks'!AO62:AO72)*'Heat Networks'!AO58/SUM('Heat Networks'!AO57:AO58)/1000000</f>
        <v>221.69036817916759</v>
      </c>
      <c r="AV40" s="41">
        <f>SUM('Heat Networks'!AP62:AP72)*'Heat Networks'!AP58/SUM('Heat Networks'!AP57:AP58)/1000000</f>
        <v>193.97566942645116</v>
      </c>
      <c r="AW40" s="41">
        <f>SUM('Heat Networks'!AQ62:AQ72)*'Heat Networks'!AQ58/SUM('Heat Networks'!AQ57:AQ58)/1000000</f>
        <v>182.55192397762519</v>
      </c>
      <c r="AX40" s="41">
        <f>SUM('Heat Networks'!AR62:AR72)*'Heat Networks'!AR58/SUM('Heat Networks'!AR57:AR58)/1000000</f>
        <v>171.33325267524347</v>
      </c>
      <c r="AY40" s="41">
        <f>SUM('Heat Networks'!AS62:AS72)*'Heat Networks'!AS58/SUM('Heat Networks'!AS57:AS58)/1000000</f>
        <v>160.33301026321294</v>
      </c>
      <c r="AZ40" s="41">
        <f>SUM('Heat Networks'!AT62:AT72)*'Heat Networks'!AT58/SUM('Heat Networks'!AT57:AT58)/1000000</f>
        <v>149.56457539948917</v>
      </c>
    </row>
    <row r="41" spans="4:52">
      <c r="E41" s="78" t="s">
        <v>211</v>
      </c>
      <c r="F41" s="78"/>
      <c r="G41" s="78" t="s">
        <v>211</v>
      </c>
      <c r="I41" s="44"/>
      <c r="K41" s="44"/>
      <c r="M41" s="44"/>
      <c r="O41" s="44"/>
      <c r="Q41" s="41">
        <f>IFERROR('Energy supply'!O28/'2.6 Fuel Efficiencies'!P29,0)</f>
        <v>0</v>
      </c>
      <c r="R41" s="41">
        <f>IFERROR('Energy supply'!P28/'2.6 Fuel Efficiencies'!Q29,0)</f>
        <v>0</v>
      </c>
      <c r="S41" s="41">
        <f>IFERROR('Energy supply'!Q28/'2.6 Fuel Efficiencies'!R29,0)</f>
        <v>0</v>
      </c>
      <c r="T41" s="41">
        <f>IFERROR('Energy supply'!R28/'2.6 Fuel Efficiencies'!S29,0)</f>
        <v>0</v>
      </c>
      <c r="U41" s="41">
        <f>IFERROR('Energy supply'!S28/'2.6 Fuel Efficiencies'!T29,0)</f>
        <v>0</v>
      </c>
      <c r="V41" s="41">
        <f>IFERROR('Energy supply'!T28/'2.6 Fuel Efficiencies'!U29,0)</f>
        <v>0</v>
      </c>
      <c r="W41" s="41">
        <f>IFERROR('Energy supply'!U28/'2.6 Fuel Efficiencies'!V29,0)</f>
        <v>0</v>
      </c>
      <c r="X41" s="41">
        <f>IFERROR('Energy supply'!V28/'2.6 Fuel Efficiencies'!W29,0)</f>
        <v>0</v>
      </c>
      <c r="Y41" s="41">
        <f>IFERROR('Energy supply'!W28/'2.6 Fuel Efficiencies'!X29,0)</f>
        <v>0</v>
      </c>
      <c r="Z41" s="41">
        <f>IFERROR('Energy supply'!X28/'2.6 Fuel Efficiencies'!Y29,0)</f>
        <v>0</v>
      </c>
      <c r="AA41" s="41">
        <f>IFERROR('Energy supply'!Y28/'2.6 Fuel Efficiencies'!Z29,0)</f>
        <v>0</v>
      </c>
      <c r="AB41" s="41">
        <f>IFERROR('Energy supply'!Z28/'2.6 Fuel Efficiencies'!AA29,0)</f>
        <v>0</v>
      </c>
      <c r="AC41" s="41">
        <f>IFERROR('Energy supply'!AA28/'2.6 Fuel Efficiencies'!AB29,0)</f>
        <v>39.489509197599759</v>
      </c>
      <c r="AD41" s="41">
        <f>IFERROR('Energy supply'!AB28/'2.6 Fuel Efficiencies'!AC29,0)</f>
        <v>68.767653811897702</v>
      </c>
      <c r="AE41" s="41">
        <f>IFERROR('Energy supply'!AC28/'2.6 Fuel Efficiencies'!AD29,0)</f>
        <v>88.286519977175104</v>
      </c>
      <c r="AF41" s="41">
        <f>IFERROR('Energy supply'!AD28/'2.6 Fuel Efficiencies'!AE29,0)</f>
        <v>99.835308208604019</v>
      </c>
      <c r="AG41" s="41">
        <f>IFERROR('Energy supply'!AE28/'2.6 Fuel Efficiencies'!AF29,0)</f>
        <v>125.50043266508297</v>
      </c>
      <c r="AH41" s="41">
        <f>IFERROR('Energy supply'!AF28/'2.6 Fuel Efficiencies'!AG29,0)</f>
        <v>140.55749372024081</v>
      </c>
      <c r="AI41" s="41">
        <f>IFERROR('Energy supply'!AG28/'2.6 Fuel Efficiencies'!AH29,0)</f>
        <v>147.38578284204064</v>
      </c>
      <c r="AJ41" s="41">
        <f>IFERROR('Energy supply'!AH28/'2.6 Fuel Efficiencies'!AI29,0)</f>
        <v>147.78690662088158</v>
      </c>
      <c r="AK41" s="41">
        <f>IFERROR('Energy supply'!AI28/'2.6 Fuel Efficiencies'!AJ29,0)</f>
        <v>126.45589329002019</v>
      </c>
      <c r="AL41" s="41">
        <f>IFERROR('Energy supply'!AJ28/'2.6 Fuel Efficiencies'!AK29,0)</f>
        <v>98.253010444255267</v>
      </c>
      <c r="AM41" s="41">
        <f>IFERROR('Energy supply'!AK28/'2.6 Fuel Efficiencies'!AL29,0)</f>
        <v>77.824077817022058</v>
      </c>
      <c r="AN41" s="41">
        <f>IFERROR('Energy supply'!AL28/'2.6 Fuel Efficiencies'!AM29,0)</f>
        <v>63.73013332747162</v>
      </c>
      <c r="AO41" s="41">
        <f>IFERROR('Energy supply'!AM28/'2.6 Fuel Efficiencies'!AN29,0)</f>
        <v>58.715823951984952</v>
      </c>
      <c r="AP41" s="41">
        <f>IFERROR('Energy supply'!AN28/'2.6 Fuel Efficiencies'!AO29,0)</f>
        <v>53.724553108905731</v>
      </c>
      <c r="AQ41" s="41">
        <f>IFERROR('Energy supply'!AO28/'2.6 Fuel Efficiencies'!AP29,0)</f>
        <v>48.095127849408144</v>
      </c>
      <c r="AR41" s="41">
        <f>IFERROR('Energy supply'!AP28/'2.6 Fuel Efficiencies'!AQ29,0)</f>
        <v>42.585039782077246</v>
      </c>
      <c r="AS41" s="41">
        <f>IFERROR('Energy supply'!AQ28/'2.6 Fuel Efficiencies'!AR29,0)</f>
        <v>37.171231365440377</v>
      </c>
      <c r="AT41" s="41">
        <f>IFERROR('Energy supply'!AR28/'2.6 Fuel Efficiencies'!AS29,0)</f>
        <v>31.83047247933472</v>
      </c>
      <c r="AU41" s="41">
        <f>IFERROR('Energy supply'!AS28/'2.6 Fuel Efficiencies'!AT29,0)</f>
        <v>26.539372059768901</v>
      </c>
      <c r="AV41" s="41">
        <f>IFERROR('Energy supply'!AT28/'2.6 Fuel Efficiencies'!AU29,0)</f>
        <v>21.548691863304196</v>
      </c>
      <c r="AW41" s="41">
        <f>IFERROR('Energy supply'!AU28/'2.6 Fuel Efficiencies'!AV29,0)</f>
        <v>16.40722828560499</v>
      </c>
      <c r="AX41" s="41">
        <f>IFERROR('Energy supply'!AV28/'2.6 Fuel Efficiencies'!AW29,0)</f>
        <v>11.107220501811907</v>
      </c>
      <c r="AY41" s="41">
        <f>IFERROR('Energy supply'!AW28/'2.6 Fuel Efficiencies'!AX29,0)</f>
        <v>5.6408002774923327</v>
      </c>
      <c r="AZ41" s="41">
        <f>IFERROR('Energy supply'!AX28/'2.6 Fuel Efficiencies'!AY29,0)</f>
        <v>0</v>
      </c>
    </row>
    <row r="42" spans="4:52">
      <c r="N42" s="81"/>
      <c r="O42" s="81"/>
    </row>
    <row r="43" spans="4:52">
      <c r="D43" t="s">
        <v>1370</v>
      </c>
      <c r="N43" s="81"/>
      <c r="O43" s="81"/>
      <c r="P43" s="76"/>
      <c r="Q43" s="77"/>
      <c r="R43" s="77"/>
      <c r="S43" s="77"/>
      <c r="T43" s="77"/>
      <c r="U43" s="77"/>
      <c r="V43" s="77"/>
      <c r="W43" s="77"/>
      <c r="X43" s="77"/>
      <c r="Y43" s="77"/>
      <c r="Z43" s="77"/>
      <c r="AA43" s="77"/>
      <c r="AB43" s="77"/>
      <c r="AC43" s="77"/>
      <c r="AD43" s="77"/>
      <c r="AE43" s="77"/>
      <c r="AF43" s="77"/>
      <c r="AG43" s="77"/>
      <c r="AH43" s="77"/>
      <c r="AI43" s="77"/>
      <c r="AJ43" s="77"/>
      <c r="AK43" s="77"/>
      <c r="AL43" s="77"/>
      <c r="AM43" s="77"/>
      <c r="AN43" s="77"/>
      <c r="AO43" s="77"/>
      <c r="AP43" s="77"/>
      <c r="AQ43" s="77"/>
      <c r="AR43" s="77"/>
      <c r="AS43" s="77"/>
      <c r="AT43" s="77"/>
      <c r="AU43" s="77"/>
      <c r="AV43" s="77"/>
      <c r="AW43" s="77"/>
      <c r="AX43" s="77"/>
      <c r="AY43" s="77"/>
      <c r="AZ43" s="77"/>
    </row>
    <row r="44" spans="4:52">
      <c r="N44" s="81"/>
      <c r="O44" s="81"/>
      <c r="P44" s="76"/>
      <c r="Q44" s="77"/>
      <c r="R44" s="77"/>
      <c r="S44" s="77"/>
      <c r="T44" s="77"/>
      <c r="U44" s="77"/>
      <c r="V44" s="77"/>
      <c r="W44" s="77"/>
      <c r="X44" s="77"/>
      <c r="Y44" s="77"/>
      <c r="Z44" s="77"/>
      <c r="AA44" s="77"/>
      <c r="AB44" s="77"/>
      <c r="AC44" s="77"/>
      <c r="AD44" s="77"/>
      <c r="AE44" s="77"/>
      <c r="AF44" s="77"/>
      <c r="AG44" s="77"/>
      <c r="AH44" s="77"/>
      <c r="AI44" s="77"/>
      <c r="AJ44" s="77"/>
      <c r="AK44" s="77"/>
      <c r="AL44" s="77"/>
      <c r="AM44" s="77"/>
      <c r="AN44" s="77"/>
      <c r="AO44" s="77"/>
      <c r="AP44" s="77"/>
      <c r="AQ44" s="77"/>
      <c r="AR44" s="77"/>
      <c r="AS44" s="77"/>
      <c r="AT44" s="77"/>
      <c r="AU44" s="77"/>
      <c r="AV44" s="77"/>
      <c r="AW44" s="77"/>
      <c r="AX44" s="77"/>
      <c r="AY44" s="77"/>
      <c r="AZ44" s="77"/>
    </row>
    <row r="45" spans="4:52">
      <c r="E45" s="78" t="s">
        <v>775</v>
      </c>
      <c r="I45" s="44"/>
      <c r="K45" s="44"/>
      <c r="M45" s="44"/>
      <c r="O45" s="44"/>
      <c r="P45" s="76"/>
      <c r="Q45" s="40">
        <f>SUMIFS(Q$32:Q$41,$G$32:$G$41,$E45)</f>
        <v>11652.703785082282</v>
      </c>
      <c r="R45" s="40">
        <f t="shared" ref="R45:AZ48" si="2">SUMIFS(R$32:R$41,$G$32:$G$41,$E45)</f>
        <v>11528.772445105016</v>
      </c>
      <c r="S45" s="40">
        <f t="shared" si="2"/>
        <v>11413.585757904528</v>
      </c>
      <c r="T45" s="40">
        <f t="shared" si="2"/>
        <v>11300.997528267357</v>
      </c>
      <c r="U45" s="40">
        <f t="shared" si="2"/>
        <v>11168.357927362642</v>
      </c>
      <c r="V45" s="40">
        <f t="shared" si="2"/>
        <v>10881.562377953251</v>
      </c>
      <c r="W45" s="40">
        <f t="shared" si="2"/>
        <v>10680.702159109611</v>
      </c>
      <c r="X45" s="40">
        <f t="shared" si="2"/>
        <v>10350.080094989837</v>
      </c>
      <c r="Y45" s="40">
        <f t="shared" si="2"/>
        <v>9847.5519408153687</v>
      </c>
      <c r="Z45" s="40">
        <f t="shared" si="2"/>
        <v>9119.8157063730432</v>
      </c>
      <c r="AA45" s="40">
        <f t="shared" si="2"/>
        <v>8312.6411665634059</v>
      </c>
      <c r="AB45" s="40">
        <f t="shared" si="2"/>
        <v>7393.9546374344691</v>
      </c>
      <c r="AC45" s="40">
        <f t="shared" si="2"/>
        <v>6359.4313163842435</v>
      </c>
      <c r="AD45" s="40">
        <f t="shared" si="2"/>
        <v>5506.5223676128862</v>
      </c>
      <c r="AE45" s="40">
        <f t="shared" si="2"/>
        <v>4689.700433018972</v>
      </c>
      <c r="AF45" s="40">
        <f t="shared" si="2"/>
        <v>3958.450631494823</v>
      </c>
      <c r="AG45" s="40">
        <f t="shared" si="2"/>
        <v>3325.6644376742997</v>
      </c>
      <c r="AH45" s="40">
        <f t="shared" si="2"/>
        <v>2788.6164618594312</v>
      </c>
      <c r="AI45" s="40">
        <f t="shared" si="2"/>
        <v>2332.5328546990859</v>
      </c>
      <c r="AJ45" s="40">
        <f t="shared" si="2"/>
        <v>1943.758982194393</v>
      </c>
      <c r="AK45" s="40">
        <f t="shared" si="2"/>
        <v>1675.0761267022935</v>
      </c>
      <c r="AL45" s="40">
        <f t="shared" si="2"/>
        <v>1315.2852089472588</v>
      </c>
      <c r="AM45" s="40">
        <f t="shared" si="2"/>
        <v>1052.2320633981012</v>
      </c>
      <c r="AN45" s="40">
        <f t="shared" si="2"/>
        <v>868.07770003269513</v>
      </c>
      <c r="AO45" s="40">
        <f t="shared" si="2"/>
        <v>796.12456546396311</v>
      </c>
      <c r="AP45" s="40">
        <f t="shared" si="2"/>
        <v>725.52845723045175</v>
      </c>
      <c r="AQ45" s="40">
        <f t="shared" si="2"/>
        <v>648.03174283843612</v>
      </c>
      <c r="AR45" s="40">
        <f t="shared" si="2"/>
        <v>572.72717391526328</v>
      </c>
      <c r="AS45" s="40">
        <f t="shared" si="2"/>
        <v>499.18765244733618</v>
      </c>
      <c r="AT45" s="40">
        <f t="shared" si="2"/>
        <v>426.99763187591651</v>
      </c>
      <c r="AU45" s="40">
        <f t="shared" si="2"/>
        <v>355.75138189485648</v>
      </c>
      <c r="AV45" s="40">
        <f t="shared" si="2"/>
        <v>288.40264346237711</v>
      </c>
      <c r="AW45" s="40">
        <f t="shared" si="2"/>
        <v>219.33832167082295</v>
      </c>
      <c r="AX45" s="40">
        <f t="shared" si="2"/>
        <v>148.37053700424246</v>
      </c>
      <c r="AY45" s="40">
        <f t="shared" si="2"/>
        <v>75.316939418624798</v>
      </c>
      <c r="AZ45" s="40">
        <f t="shared" si="2"/>
        <v>0</v>
      </c>
    </row>
    <row r="46" spans="4:52">
      <c r="E46" s="78" t="s">
        <v>210</v>
      </c>
      <c r="I46" s="44"/>
      <c r="K46" s="44"/>
      <c r="M46" s="44"/>
      <c r="O46" s="44"/>
      <c r="P46" s="76"/>
      <c r="Q46" s="40">
        <f t="shared" ref="Q46:AF48" si="3">SUMIFS(Q$32:Q$41,$G$32:$G$41,$E46)</f>
        <v>1682.6704975231905</v>
      </c>
      <c r="R46" s="40">
        <f t="shared" si="3"/>
        <v>1685.9952133103654</v>
      </c>
      <c r="S46" s="40">
        <f t="shared" si="3"/>
        <v>1689.3007350873902</v>
      </c>
      <c r="T46" s="40">
        <f t="shared" si="3"/>
        <v>1692.5893230832289</v>
      </c>
      <c r="U46" s="40">
        <f t="shared" si="3"/>
        <v>1692.1647053322863</v>
      </c>
      <c r="V46" s="40">
        <f t="shared" si="3"/>
        <v>1684.7969757205049</v>
      </c>
      <c r="W46" s="40">
        <f t="shared" si="3"/>
        <v>1678.3708509036155</v>
      </c>
      <c r="X46" s="40">
        <f t="shared" si="3"/>
        <v>1676.2385917986201</v>
      </c>
      <c r="Y46" s="40">
        <f t="shared" si="3"/>
        <v>1662.5796878488463</v>
      </c>
      <c r="Z46" s="40">
        <f t="shared" si="3"/>
        <v>1638.1674807718257</v>
      </c>
      <c r="AA46" s="40">
        <f t="shared" si="3"/>
        <v>1615.1508588005881</v>
      </c>
      <c r="AB46" s="40">
        <f t="shared" si="3"/>
        <v>1590.4819902790143</v>
      </c>
      <c r="AC46" s="40">
        <f t="shared" si="3"/>
        <v>1560.7653103398782</v>
      </c>
      <c r="AD46" s="40">
        <f t="shared" si="3"/>
        <v>1548.6300045214452</v>
      </c>
      <c r="AE46" s="40">
        <f t="shared" si="3"/>
        <v>1512.13139193303</v>
      </c>
      <c r="AF46" s="40">
        <f t="shared" si="3"/>
        <v>1462.8906571876137</v>
      </c>
      <c r="AG46" s="40">
        <f t="shared" si="2"/>
        <v>1431.3374144393374</v>
      </c>
      <c r="AH46" s="40">
        <f t="shared" si="2"/>
        <v>1411.5058278665936</v>
      </c>
      <c r="AI46" s="40">
        <f t="shared" si="2"/>
        <v>1404.8957988198506</v>
      </c>
      <c r="AJ46" s="40">
        <f t="shared" si="2"/>
        <v>1413.1652797288439</v>
      </c>
      <c r="AK46" s="40">
        <f t="shared" si="2"/>
        <v>1471.8671366596973</v>
      </c>
      <c r="AL46" s="40">
        <f t="shared" si="2"/>
        <v>1611.3687387290684</v>
      </c>
      <c r="AM46" s="40">
        <f t="shared" si="2"/>
        <v>1711.5379190742012</v>
      </c>
      <c r="AN46" s="40">
        <f t="shared" si="2"/>
        <v>1788.9087313354692</v>
      </c>
      <c r="AO46" s="40">
        <f t="shared" si="2"/>
        <v>1859.5410690557001</v>
      </c>
      <c r="AP46" s="40">
        <f t="shared" si="2"/>
        <v>1931.7355231533857</v>
      </c>
      <c r="AQ46" s="40">
        <f t="shared" si="2"/>
        <v>1998.1572805922074</v>
      </c>
      <c r="AR46" s="40">
        <f t="shared" si="2"/>
        <v>2064.6331648595042</v>
      </c>
      <c r="AS46" s="40">
        <f t="shared" si="2"/>
        <v>2131.4322725551965</v>
      </c>
      <c r="AT46" s="40">
        <f t="shared" si="2"/>
        <v>2198.8254006586394</v>
      </c>
      <c r="AU46" s="40">
        <f t="shared" si="2"/>
        <v>2267.0849412483258</v>
      </c>
      <c r="AV46" s="40">
        <f t="shared" si="2"/>
        <v>2347.3449659725111</v>
      </c>
      <c r="AW46" s="40">
        <f t="shared" si="2"/>
        <v>2429.678788494989</v>
      </c>
      <c r="AX46" s="40">
        <f t="shared" si="2"/>
        <v>2514.1786034347838</v>
      </c>
      <c r="AY46" s="40">
        <f t="shared" si="2"/>
        <v>2600.9376078497007</v>
      </c>
      <c r="AZ46" s="40">
        <f t="shared" si="2"/>
        <v>2690.0499295643726</v>
      </c>
    </row>
    <row r="47" spans="4:52">
      <c r="E47" s="78" t="s">
        <v>188</v>
      </c>
      <c r="I47" s="44"/>
      <c r="K47" s="44"/>
      <c r="M47" s="44"/>
      <c r="O47" s="44"/>
      <c r="P47" s="76"/>
      <c r="Q47" s="40">
        <f t="shared" si="3"/>
        <v>440.90447692995861</v>
      </c>
      <c r="R47" s="40">
        <f t="shared" si="2"/>
        <v>451.071687521059</v>
      </c>
      <c r="S47" s="40">
        <f t="shared" si="2"/>
        <v>461.46977658693959</v>
      </c>
      <c r="T47" s="40">
        <f t="shared" si="2"/>
        <v>472.07155657215372</v>
      </c>
      <c r="U47" s="40">
        <f t="shared" si="2"/>
        <v>482.84983992125535</v>
      </c>
      <c r="V47" s="40">
        <f t="shared" si="2"/>
        <v>570.49074475477425</v>
      </c>
      <c r="W47" s="40">
        <f t="shared" si="2"/>
        <v>604.11331498608558</v>
      </c>
      <c r="X47" s="40">
        <f t="shared" si="2"/>
        <v>637.95087155562885</v>
      </c>
      <c r="Y47" s="40">
        <f t="shared" si="2"/>
        <v>667.07791866177638</v>
      </c>
      <c r="Z47" s="40">
        <f t="shared" si="2"/>
        <v>691.50882994968094</v>
      </c>
      <c r="AA47" s="40">
        <f t="shared" si="2"/>
        <v>710.73832165286456</v>
      </c>
      <c r="AB47" s="40">
        <f t="shared" si="2"/>
        <v>691.86135574842626</v>
      </c>
      <c r="AC47" s="40">
        <f t="shared" si="2"/>
        <v>671.94624343245459</v>
      </c>
      <c r="AD47" s="40">
        <f t="shared" si="2"/>
        <v>650.96489936756802</v>
      </c>
      <c r="AE47" s="40">
        <f t="shared" si="2"/>
        <v>628.93131679713429</v>
      </c>
      <c r="AF47" s="40">
        <f t="shared" si="2"/>
        <v>605.89837120092841</v>
      </c>
      <c r="AG47" s="40">
        <f t="shared" si="2"/>
        <v>598.13657500812144</v>
      </c>
      <c r="AH47" s="40">
        <f t="shared" si="2"/>
        <v>588.22084416823714</v>
      </c>
      <c r="AI47" s="40">
        <f t="shared" si="2"/>
        <v>557.9159992684107</v>
      </c>
      <c r="AJ47" s="40">
        <f t="shared" si="2"/>
        <v>526.20847262298514</v>
      </c>
      <c r="AK47" s="40">
        <f t="shared" si="2"/>
        <v>493.53280187230479</v>
      </c>
      <c r="AL47" s="40">
        <f t="shared" si="2"/>
        <v>461.00681692999444</v>
      </c>
      <c r="AM47" s="40">
        <f t="shared" si="2"/>
        <v>428.84619586261152</v>
      </c>
      <c r="AN47" s="40">
        <f t="shared" si="2"/>
        <v>397.35770013717251</v>
      </c>
      <c r="AO47" s="40">
        <f t="shared" si="2"/>
        <v>363.47703002792269</v>
      </c>
      <c r="AP47" s="40">
        <f t="shared" si="2"/>
        <v>330.3572399801991</v>
      </c>
      <c r="AQ47" s="40">
        <f t="shared" si="2"/>
        <v>309.43356878425914</v>
      </c>
      <c r="AR47" s="40">
        <f t="shared" si="2"/>
        <v>287.9789229313588</v>
      </c>
      <c r="AS47" s="40">
        <f t="shared" si="2"/>
        <v>266.12012836999975</v>
      </c>
      <c r="AT47" s="40">
        <f t="shared" si="2"/>
        <v>243.98255380797428</v>
      </c>
      <c r="AU47" s="40">
        <f t="shared" si="2"/>
        <v>221.69036817916759</v>
      </c>
      <c r="AV47" s="40">
        <f t="shared" si="2"/>
        <v>193.97566942645116</v>
      </c>
      <c r="AW47" s="40">
        <f t="shared" si="2"/>
        <v>182.55192397762519</v>
      </c>
      <c r="AX47" s="40">
        <f t="shared" si="2"/>
        <v>171.33325267524347</v>
      </c>
      <c r="AY47" s="40">
        <f t="shared" si="2"/>
        <v>160.33301026321294</v>
      </c>
      <c r="AZ47" s="40">
        <f t="shared" si="2"/>
        <v>149.56457539948917</v>
      </c>
    </row>
    <row r="48" spans="4:52">
      <c r="E48" s="78" t="s">
        <v>211</v>
      </c>
      <c r="I48" s="44"/>
      <c r="K48" s="44"/>
      <c r="M48" s="44"/>
      <c r="O48" s="44"/>
      <c r="P48" s="76"/>
      <c r="Q48" s="40">
        <f t="shared" si="3"/>
        <v>0</v>
      </c>
      <c r="R48" s="40">
        <f t="shared" si="2"/>
        <v>0</v>
      </c>
      <c r="S48" s="40">
        <f t="shared" si="2"/>
        <v>0</v>
      </c>
      <c r="T48" s="40">
        <f t="shared" si="2"/>
        <v>0</v>
      </c>
      <c r="U48" s="40">
        <f t="shared" si="2"/>
        <v>0</v>
      </c>
      <c r="V48" s="40">
        <f t="shared" si="2"/>
        <v>0</v>
      </c>
      <c r="W48" s="40">
        <f t="shared" si="2"/>
        <v>0</v>
      </c>
      <c r="X48" s="40">
        <f t="shared" si="2"/>
        <v>0</v>
      </c>
      <c r="Y48" s="40">
        <f t="shared" si="2"/>
        <v>0</v>
      </c>
      <c r="Z48" s="40">
        <f t="shared" si="2"/>
        <v>0</v>
      </c>
      <c r="AA48" s="40">
        <f t="shared" si="2"/>
        <v>0</v>
      </c>
      <c r="AB48" s="40">
        <f t="shared" si="2"/>
        <v>0</v>
      </c>
      <c r="AC48" s="40">
        <f t="shared" si="2"/>
        <v>39.489509197599759</v>
      </c>
      <c r="AD48" s="40">
        <f t="shared" si="2"/>
        <v>68.767653811897702</v>
      </c>
      <c r="AE48" s="40">
        <f t="shared" si="2"/>
        <v>88.286519977175104</v>
      </c>
      <c r="AF48" s="40">
        <f t="shared" si="2"/>
        <v>99.835308208604019</v>
      </c>
      <c r="AG48" s="40">
        <f t="shared" si="2"/>
        <v>125.50043266508297</v>
      </c>
      <c r="AH48" s="40">
        <f t="shared" si="2"/>
        <v>140.55749372024081</v>
      </c>
      <c r="AI48" s="40">
        <f t="shared" si="2"/>
        <v>147.38578284204064</v>
      </c>
      <c r="AJ48" s="40">
        <f t="shared" si="2"/>
        <v>147.78690662088158</v>
      </c>
      <c r="AK48" s="40">
        <f t="shared" si="2"/>
        <v>126.45589329002019</v>
      </c>
      <c r="AL48" s="40">
        <f t="shared" si="2"/>
        <v>98.253010444255267</v>
      </c>
      <c r="AM48" s="40">
        <f t="shared" si="2"/>
        <v>77.824077817022058</v>
      </c>
      <c r="AN48" s="40">
        <f t="shared" si="2"/>
        <v>63.73013332747162</v>
      </c>
      <c r="AO48" s="40">
        <f t="shared" si="2"/>
        <v>58.715823951984952</v>
      </c>
      <c r="AP48" s="40">
        <f t="shared" si="2"/>
        <v>53.724553108905731</v>
      </c>
      <c r="AQ48" s="40">
        <f t="shared" si="2"/>
        <v>48.095127849408144</v>
      </c>
      <c r="AR48" s="40">
        <f t="shared" si="2"/>
        <v>42.585039782077246</v>
      </c>
      <c r="AS48" s="40">
        <f t="shared" si="2"/>
        <v>37.171231365440377</v>
      </c>
      <c r="AT48" s="40">
        <f t="shared" si="2"/>
        <v>31.83047247933472</v>
      </c>
      <c r="AU48" s="40">
        <f t="shared" si="2"/>
        <v>26.539372059768901</v>
      </c>
      <c r="AV48" s="40">
        <f t="shared" si="2"/>
        <v>21.548691863304196</v>
      </c>
      <c r="AW48" s="40">
        <f t="shared" si="2"/>
        <v>16.40722828560499</v>
      </c>
      <c r="AX48" s="40">
        <f t="shared" si="2"/>
        <v>11.107220501811907</v>
      </c>
      <c r="AY48" s="40">
        <f t="shared" si="2"/>
        <v>5.6408002774923327</v>
      </c>
      <c r="AZ48" s="40">
        <f t="shared" si="2"/>
        <v>0</v>
      </c>
    </row>
    <row r="49" spans="2:52">
      <c r="E49" s="78"/>
      <c r="N49" s="81"/>
      <c r="O49" s="81"/>
      <c r="P49" s="76"/>
      <c r="Q49" s="77"/>
      <c r="R49" s="77"/>
      <c r="S49" s="77"/>
      <c r="T49" s="77"/>
      <c r="U49" s="77"/>
      <c r="V49" s="77"/>
      <c r="W49" s="77"/>
      <c r="X49" s="77"/>
      <c r="Y49" s="77"/>
      <c r="Z49" s="77"/>
      <c r="AA49" s="77"/>
      <c r="AB49" s="77"/>
      <c r="AC49" s="77"/>
      <c r="AD49" s="77"/>
      <c r="AE49" s="77"/>
      <c r="AF49" s="77"/>
      <c r="AG49" s="77"/>
      <c r="AH49" s="77"/>
      <c r="AI49" s="77"/>
      <c r="AJ49" s="77"/>
      <c r="AK49" s="77"/>
      <c r="AL49" s="77"/>
      <c r="AM49" s="77"/>
      <c r="AN49" s="77"/>
      <c r="AO49" s="77"/>
      <c r="AP49" s="77"/>
      <c r="AQ49" s="77"/>
      <c r="AR49" s="77"/>
      <c r="AS49" s="77"/>
      <c r="AT49" s="77"/>
      <c r="AU49" s="77"/>
      <c r="AV49" s="77"/>
      <c r="AW49" s="77"/>
      <c r="AX49" s="77"/>
      <c r="AY49" s="77"/>
      <c r="AZ49" s="77"/>
    </row>
    <row r="50" spans="2:52" s="67" customFormat="1">
      <c r="B50" s="67" t="s">
        <v>798</v>
      </c>
      <c r="Q50" s="68"/>
      <c r="R50" s="68"/>
      <c r="S50" s="68"/>
      <c r="T50" s="68"/>
      <c r="U50" s="68"/>
      <c r="V50" s="68"/>
      <c r="W50" s="68"/>
      <c r="X50" s="68"/>
      <c r="Y50" s="68"/>
      <c r="Z50" s="68"/>
      <c r="AA50" s="68"/>
      <c r="AB50" s="68"/>
      <c r="AC50" s="68"/>
      <c r="AD50" s="68"/>
      <c r="AE50" s="68"/>
      <c r="AF50" s="68"/>
      <c r="AG50" s="68"/>
      <c r="AH50" s="68"/>
      <c r="AI50" s="68"/>
      <c r="AJ50" s="68"/>
      <c r="AK50" s="68"/>
      <c r="AL50" s="68"/>
      <c r="AM50" s="68"/>
      <c r="AN50" s="68"/>
      <c r="AO50" s="68"/>
      <c r="AP50" s="68"/>
      <c r="AQ50" s="68"/>
      <c r="AR50" s="68"/>
      <c r="AS50" s="68"/>
      <c r="AT50" s="68"/>
      <c r="AU50" s="68"/>
      <c r="AV50" s="68"/>
      <c r="AW50" s="68"/>
      <c r="AX50" s="68"/>
      <c r="AY50" s="68"/>
      <c r="AZ50" s="68"/>
    </row>
    <row r="51" spans="2:52"/>
    <row r="52" spans="2:52" s="43" customFormat="1">
      <c r="B52" s="43" t="s">
        <v>1371</v>
      </c>
      <c r="Q52" s="71"/>
      <c r="R52" s="71"/>
      <c r="S52" s="71"/>
      <c r="T52" s="71"/>
      <c r="U52" s="71"/>
      <c r="V52" s="71"/>
      <c r="W52" s="71"/>
      <c r="X52" s="71"/>
      <c r="Y52" s="71"/>
      <c r="Z52" s="71"/>
      <c r="AA52" s="71"/>
      <c r="AB52" s="71"/>
      <c r="AC52" s="71"/>
      <c r="AD52" s="71"/>
      <c r="AE52" s="71"/>
      <c r="AF52" s="71"/>
      <c r="AG52" s="71"/>
      <c r="AH52" s="71"/>
      <c r="AI52" s="71"/>
      <c r="AJ52" s="71"/>
      <c r="AK52" s="71"/>
      <c r="AL52" s="71"/>
      <c r="AM52" s="71"/>
      <c r="AN52" s="71"/>
      <c r="AO52" s="71"/>
      <c r="AP52" s="71"/>
      <c r="AQ52" s="71"/>
      <c r="AR52" s="71"/>
      <c r="AS52" s="71"/>
      <c r="AT52" s="71"/>
      <c r="AU52" s="71"/>
      <c r="AV52" s="71"/>
      <c r="AW52" s="71"/>
      <c r="AX52" s="71"/>
      <c r="AY52" s="71"/>
      <c r="AZ52" s="71"/>
    </row>
    <row r="53" spans="2:52">
      <c r="N53" s="81"/>
      <c r="O53" s="81"/>
      <c r="P53" s="76"/>
      <c r="Q53" s="77"/>
      <c r="R53" s="77"/>
      <c r="S53" s="77"/>
      <c r="T53" s="77"/>
      <c r="U53" s="77"/>
      <c r="V53" s="77"/>
      <c r="W53" s="77"/>
      <c r="X53" s="77"/>
      <c r="Y53" s="77"/>
      <c r="Z53" s="77"/>
      <c r="AA53" s="77"/>
      <c r="AB53" s="77"/>
      <c r="AC53" s="77"/>
      <c r="AD53" s="77"/>
      <c r="AE53" s="77"/>
      <c r="AF53" s="77"/>
      <c r="AG53" s="77"/>
      <c r="AH53" s="77"/>
      <c r="AI53" s="77"/>
      <c r="AJ53" s="77"/>
      <c r="AK53" s="77"/>
      <c r="AL53" s="77"/>
      <c r="AM53" s="77"/>
      <c r="AN53" s="77"/>
      <c r="AO53" s="77"/>
      <c r="AP53" s="77"/>
      <c r="AQ53" s="77"/>
      <c r="AR53" s="77"/>
      <c r="AS53" s="77"/>
      <c r="AT53" s="77"/>
      <c r="AU53" s="77"/>
      <c r="AV53" s="77"/>
      <c r="AW53" s="77"/>
      <c r="AX53" s="77"/>
      <c r="AY53" s="77"/>
      <c r="AZ53" s="77"/>
    </row>
    <row r="54" spans="2:52">
      <c r="C54" t="s">
        <v>157</v>
      </c>
      <c r="N54" s="81"/>
      <c r="O54" s="81"/>
      <c r="P54" s="81"/>
      <c r="Q54" s="81"/>
      <c r="R54" s="81"/>
      <c r="S54" s="81"/>
      <c r="T54" s="81"/>
      <c r="U54" s="81"/>
      <c r="V54" s="81"/>
      <c r="W54" s="81"/>
      <c r="X54" s="81"/>
      <c r="Y54" s="81"/>
      <c r="Z54" s="81"/>
      <c r="AA54" s="81"/>
      <c r="AB54" s="81"/>
      <c r="AC54" s="81"/>
      <c r="AD54" s="81"/>
      <c r="AE54" s="81"/>
      <c r="AF54" s="81"/>
      <c r="AG54" s="81"/>
      <c r="AH54" s="81"/>
      <c r="AI54" s="81"/>
      <c r="AJ54" s="81"/>
      <c r="AK54" s="81"/>
      <c r="AL54" s="81"/>
      <c r="AM54" s="81"/>
      <c r="AN54" s="81"/>
      <c r="AO54" s="81"/>
      <c r="AP54" s="81"/>
      <c r="AQ54" s="81"/>
      <c r="AR54" s="81"/>
      <c r="AS54" s="81"/>
      <c r="AT54" s="81"/>
      <c r="AU54" s="81"/>
      <c r="AV54" s="81"/>
      <c r="AW54" s="81"/>
      <c r="AX54" s="81"/>
      <c r="AY54" s="81"/>
      <c r="AZ54" s="81"/>
    </row>
    <row r="55" spans="2:52">
      <c r="N55" s="81"/>
      <c r="O55" s="81"/>
      <c r="P55" s="81"/>
      <c r="Q55" s="81"/>
      <c r="R55" s="81"/>
      <c r="S55" s="81"/>
      <c r="T55" s="81"/>
      <c r="U55" s="81"/>
      <c r="V55" s="81"/>
      <c r="W55" s="81"/>
      <c r="X55" s="81"/>
      <c r="Y55" s="81"/>
      <c r="Z55" s="81"/>
      <c r="AA55" s="81"/>
      <c r="AB55" s="81"/>
      <c r="AC55" s="81"/>
      <c r="AD55" s="81"/>
      <c r="AE55" s="81"/>
      <c r="AF55" s="81"/>
      <c r="AG55" s="81"/>
      <c r="AH55" s="81"/>
      <c r="AI55" s="81"/>
      <c r="AJ55" s="81"/>
      <c r="AK55" s="81"/>
      <c r="AL55" s="81"/>
      <c r="AM55" s="81"/>
      <c r="AN55" s="81"/>
      <c r="AO55" s="81"/>
      <c r="AP55" s="81"/>
      <c r="AQ55" s="81"/>
      <c r="AR55" s="81"/>
      <c r="AS55" s="81"/>
      <c r="AT55" s="81"/>
      <c r="AU55" s="81"/>
      <c r="AV55" s="81"/>
      <c r="AW55" s="81"/>
      <c r="AX55" s="81"/>
      <c r="AY55" s="81"/>
      <c r="AZ55" s="81"/>
    </row>
    <row r="56" spans="2:52">
      <c r="E56" s="53" t="s">
        <v>773</v>
      </c>
      <c r="F56" s="53"/>
      <c r="G56" s="53" t="s">
        <v>749</v>
      </c>
      <c r="N56" s="81"/>
      <c r="O56" s="81"/>
      <c r="P56" s="81"/>
      <c r="Q56" s="81"/>
      <c r="R56" s="81"/>
      <c r="S56" s="81"/>
      <c r="T56" s="81"/>
      <c r="U56" s="81"/>
      <c r="V56" s="81"/>
      <c r="W56" s="81"/>
      <c r="X56" s="81"/>
      <c r="Y56" s="81"/>
      <c r="Z56" s="81"/>
      <c r="AA56" s="81"/>
      <c r="AB56" s="81"/>
      <c r="AC56" s="81"/>
      <c r="AD56" s="81"/>
      <c r="AE56" s="81"/>
      <c r="AF56" s="81"/>
      <c r="AG56" s="81"/>
      <c r="AH56" s="81"/>
      <c r="AI56" s="81"/>
      <c r="AJ56" s="81"/>
      <c r="AK56" s="81"/>
      <c r="AL56" s="81"/>
      <c r="AM56" s="81"/>
      <c r="AN56" s="81"/>
      <c r="AO56" s="81"/>
      <c r="AP56" s="81"/>
      <c r="AQ56" s="81"/>
      <c r="AR56" s="81"/>
      <c r="AS56" s="81"/>
      <c r="AT56" s="81"/>
      <c r="AU56" s="81"/>
      <c r="AV56" s="81"/>
      <c r="AW56" s="81"/>
      <c r="AX56" s="81"/>
      <c r="AY56" s="81"/>
      <c r="AZ56" s="81"/>
    </row>
    <row r="57" spans="2:52">
      <c r="E57" s="78" t="s">
        <v>799</v>
      </c>
      <c r="F57" s="78"/>
      <c r="G57" s="78" t="s">
        <v>210</v>
      </c>
      <c r="I57" s="44"/>
      <c r="K57" s="44"/>
      <c r="M57" s="44"/>
      <c r="O57" s="44"/>
      <c r="Q57" s="34">
        <f>IFERROR('Energy supply'!O46/'2.6 Fuel Efficiencies'!P66,0)</f>
        <v>0</v>
      </c>
      <c r="R57" s="34">
        <f>IFERROR('Energy supply'!P46/'2.6 Fuel Efficiencies'!Q66,0)</f>
        <v>0</v>
      </c>
      <c r="S57" s="34">
        <f>IFERROR('Energy supply'!Q46/'2.6 Fuel Efficiencies'!R66,0)</f>
        <v>0</v>
      </c>
      <c r="T57" s="34">
        <f>IFERROR('Energy supply'!R46/'2.6 Fuel Efficiencies'!S66,0)</f>
        <v>0</v>
      </c>
      <c r="U57" s="34">
        <f>IFERROR('Energy supply'!S46/'2.6 Fuel Efficiencies'!T66,0)</f>
        <v>0</v>
      </c>
      <c r="V57" s="34">
        <f>IFERROR('Energy supply'!T46/'2.6 Fuel Efficiencies'!U66,0)</f>
        <v>0</v>
      </c>
      <c r="W57" s="34">
        <f>IFERROR('Energy supply'!U46/'2.6 Fuel Efficiencies'!V66,0)</f>
        <v>0</v>
      </c>
      <c r="X57" s="34">
        <f>IFERROR('Energy supply'!V46/'2.6 Fuel Efficiencies'!W66,0)</f>
        <v>0</v>
      </c>
      <c r="Y57" s="34">
        <f>IFERROR('Energy supply'!W46/'2.6 Fuel Efficiencies'!X66,0)</f>
        <v>0</v>
      </c>
      <c r="Z57" s="34">
        <f>IFERROR('Energy supply'!X46/'2.6 Fuel Efficiencies'!Y66,0)</f>
        <v>0</v>
      </c>
      <c r="AA57" s="32">
        <f>IFERROR('Energy supply'!Y46/'2.6 Fuel Efficiencies'!Z66,0)</f>
        <v>0</v>
      </c>
      <c r="AB57" s="32">
        <f>IFERROR('Energy supply'!Z46/'2.6 Fuel Efficiencies'!AA66,0)</f>
        <v>0</v>
      </c>
      <c r="AC57" s="32">
        <f>IFERROR('Energy supply'!AA46/'2.6 Fuel Efficiencies'!AB66,0)</f>
        <v>0</v>
      </c>
      <c r="AD57" s="32">
        <f>IFERROR('Energy supply'!AB46/'2.6 Fuel Efficiencies'!AC66,0)</f>
        <v>0</v>
      </c>
      <c r="AE57" s="32">
        <f>IFERROR('Energy supply'!AC46/'2.6 Fuel Efficiencies'!AD66,0)</f>
        <v>0</v>
      </c>
      <c r="AF57" s="32">
        <f>IFERROR('Energy supply'!AD46/'2.6 Fuel Efficiencies'!AE66,0)</f>
        <v>0</v>
      </c>
      <c r="AG57" s="32">
        <f>IFERROR('Energy supply'!AE46/'2.6 Fuel Efficiencies'!AF66,0)</f>
        <v>0</v>
      </c>
      <c r="AH57" s="32">
        <f>IFERROR('Energy supply'!AF46/'2.6 Fuel Efficiencies'!AG66,0)</f>
        <v>0</v>
      </c>
      <c r="AI57" s="32">
        <f>IFERROR('Energy supply'!AG46/'2.6 Fuel Efficiencies'!AH66,0)</f>
        <v>0</v>
      </c>
      <c r="AJ57" s="32">
        <f>IFERROR('Energy supply'!AH46/'2.6 Fuel Efficiencies'!AI66,0)</f>
        <v>0</v>
      </c>
      <c r="AK57" s="32">
        <f>IFERROR('Energy supply'!AI46/'2.6 Fuel Efficiencies'!AJ66,0)</f>
        <v>0</v>
      </c>
      <c r="AL57" s="32">
        <f>IFERROR('Energy supply'!AJ46/'2.6 Fuel Efficiencies'!AK66,0)</f>
        <v>0</v>
      </c>
      <c r="AM57" s="32">
        <f>IFERROR('Energy supply'!AK46/'2.6 Fuel Efficiencies'!AL66,0)</f>
        <v>0</v>
      </c>
      <c r="AN57" s="32">
        <f>IFERROR('Energy supply'!AL46/'2.6 Fuel Efficiencies'!AM66,0)</f>
        <v>0</v>
      </c>
      <c r="AO57" s="32">
        <f>IFERROR('Energy supply'!AM46/'2.6 Fuel Efficiencies'!AN66,0)</f>
        <v>0</v>
      </c>
      <c r="AP57" s="32">
        <f>IFERROR('Energy supply'!AN46/'2.6 Fuel Efficiencies'!AO66,0)</f>
        <v>0</v>
      </c>
      <c r="AQ57" s="32">
        <f>IFERROR('Energy supply'!AO46/'2.6 Fuel Efficiencies'!AP66,0)</f>
        <v>0</v>
      </c>
      <c r="AR57" s="32">
        <f>IFERROR('Energy supply'!AP46/'2.6 Fuel Efficiencies'!AQ66,0)</f>
        <v>0</v>
      </c>
      <c r="AS57" s="32">
        <f>IFERROR('Energy supply'!AQ46/'2.6 Fuel Efficiencies'!AR66,0)</f>
        <v>0</v>
      </c>
      <c r="AT57" s="32">
        <f>IFERROR('Energy supply'!AR46/'2.6 Fuel Efficiencies'!AS66,0)</f>
        <v>0</v>
      </c>
      <c r="AU57" s="32">
        <f>IFERROR('Energy supply'!AS46/'2.6 Fuel Efficiencies'!AT66,0)</f>
        <v>0</v>
      </c>
      <c r="AV57" s="32">
        <f>IFERROR('Energy supply'!AT46/'2.6 Fuel Efficiencies'!AU66,0)</f>
        <v>0</v>
      </c>
      <c r="AW57" s="32">
        <f>IFERROR('Energy supply'!AU46/'2.6 Fuel Efficiencies'!AV66,0)</f>
        <v>0</v>
      </c>
      <c r="AX57" s="32">
        <f>IFERROR('Energy supply'!AV46/'2.6 Fuel Efficiencies'!AW66,0)</f>
        <v>0</v>
      </c>
      <c r="AY57" s="32">
        <f>IFERROR('Energy supply'!AW46/'2.6 Fuel Efficiencies'!AX66,0)</f>
        <v>0</v>
      </c>
      <c r="AZ57" s="33">
        <f>IFERROR('Energy supply'!AX46/'2.6 Fuel Efficiencies'!AY66,0)</f>
        <v>0</v>
      </c>
    </row>
    <row r="58" spans="2:52">
      <c r="E58" s="78" t="s">
        <v>191</v>
      </c>
      <c r="F58" s="78"/>
      <c r="G58" s="78" t="s">
        <v>191</v>
      </c>
      <c r="I58" s="44"/>
      <c r="K58" s="44"/>
      <c r="M58" s="44"/>
      <c r="O58" s="44"/>
      <c r="Q58" s="34">
        <f>IFERROR('Energy supply'!O47/'2.6 Fuel Efficiencies'!P67,0)</f>
        <v>0</v>
      </c>
      <c r="R58" s="34">
        <f>IFERROR('Energy supply'!P47/'2.6 Fuel Efficiencies'!Q67,0)</f>
        <v>0</v>
      </c>
      <c r="S58" s="34">
        <f>IFERROR('Energy supply'!Q47/'2.6 Fuel Efficiencies'!R67,0)</f>
        <v>0</v>
      </c>
      <c r="T58" s="34">
        <f>IFERROR('Energy supply'!R47/'2.6 Fuel Efficiencies'!S67,0)</f>
        <v>0</v>
      </c>
      <c r="U58" s="34">
        <f>IFERROR('Energy supply'!S47/'2.6 Fuel Efficiencies'!T67,0)</f>
        <v>0</v>
      </c>
      <c r="V58" s="34">
        <f>IFERROR('Energy supply'!T47/'2.6 Fuel Efficiencies'!U67,0)</f>
        <v>0</v>
      </c>
      <c r="W58" s="34">
        <f>IFERROR('Energy supply'!U47/'2.6 Fuel Efficiencies'!V67,0)</f>
        <v>0</v>
      </c>
      <c r="X58" s="34">
        <f>IFERROR('Energy supply'!V47/'2.6 Fuel Efficiencies'!W67,0)</f>
        <v>0</v>
      </c>
      <c r="Y58" s="34">
        <f>IFERROR('Energy supply'!W47/'2.6 Fuel Efficiencies'!X67,0)</f>
        <v>0</v>
      </c>
      <c r="Z58" s="34">
        <f>IFERROR('Energy supply'!X47/'2.6 Fuel Efficiencies'!Y67,0)</f>
        <v>0</v>
      </c>
      <c r="AA58" s="32">
        <f>IFERROR('Energy supply'!Y47/'2.6 Fuel Efficiencies'!Z67,0)</f>
        <v>0</v>
      </c>
      <c r="AB58" s="32">
        <f>IFERROR('Energy supply'!Z47/'2.6 Fuel Efficiencies'!AA67,0)</f>
        <v>0</v>
      </c>
      <c r="AC58" s="32">
        <f>IFERROR('Energy supply'!AA47/'2.6 Fuel Efficiencies'!AB67,0)</f>
        <v>0</v>
      </c>
      <c r="AD58" s="32">
        <f>IFERROR('Energy supply'!AB47/'2.6 Fuel Efficiencies'!AC67,0)</f>
        <v>0</v>
      </c>
      <c r="AE58" s="32">
        <f>IFERROR('Energy supply'!AC47/'2.6 Fuel Efficiencies'!AD67,0)</f>
        <v>0</v>
      </c>
      <c r="AF58" s="32">
        <f>IFERROR('Energy supply'!AD47/'2.6 Fuel Efficiencies'!AE67,0)</f>
        <v>0</v>
      </c>
      <c r="AG58" s="32">
        <f>IFERROR('Energy supply'!AE47/'2.6 Fuel Efficiencies'!AF67,0)</f>
        <v>0</v>
      </c>
      <c r="AH58" s="32">
        <f>IFERROR('Energy supply'!AF47/'2.6 Fuel Efficiencies'!AG67,0)</f>
        <v>0</v>
      </c>
      <c r="AI58" s="32">
        <f>IFERROR('Energy supply'!AG47/'2.6 Fuel Efficiencies'!AH67,0)</f>
        <v>0</v>
      </c>
      <c r="AJ58" s="32">
        <f>IFERROR('Energy supply'!AH47/'2.6 Fuel Efficiencies'!AI67,0)</f>
        <v>0</v>
      </c>
      <c r="AK58" s="32">
        <f>IFERROR('Energy supply'!AI47/'2.6 Fuel Efficiencies'!AJ67,0)</f>
        <v>0</v>
      </c>
      <c r="AL58" s="32">
        <f>IFERROR('Energy supply'!AJ47/'2.6 Fuel Efficiencies'!AK67,0)</f>
        <v>0</v>
      </c>
      <c r="AM58" s="32">
        <f>IFERROR('Energy supply'!AK47/'2.6 Fuel Efficiencies'!AL67,0)</f>
        <v>0</v>
      </c>
      <c r="AN58" s="32">
        <f>IFERROR('Energy supply'!AL47/'2.6 Fuel Efficiencies'!AM67,0)</f>
        <v>0</v>
      </c>
      <c r="AO58" s="32">
        <f>IFERROR('Energy supply'!AM47/'2.6 Fuel Efficiencies'!AN67,0)</f>
        <v>0</v>
      </c>
      <c r="AP58" s="32">
        <f>IFERROR('Energy supply'!AN47/'2.6 Fuel Efficiencies'!AO67,0)</f>
        <v>0</v>
      </c>
      <c r="AQ58" s="32">
        <f>IFERROR('Energy supply'!AO47/'2.6 Fuel Efficiencies'!AP67,0)</f>
        <v>0</v>
      </c>
      <c r="AR58" s="32">
        <f>IFERROR('Energy supply'!AP47/'2.6 Fuel Efficiencies'!AQ67,0)</f>
        <v>0</v>
      </c>
      <c r="AS58" s="32">
        <f>IFERROR('Energy supply'!AQ47/'2.6 Fuel Efficiencies'!AR67,0)</f>
        <v>0</v>
      </c>
      <c r="AT58" s="32">
        <f>IFERROR('Energy supply'!AR47/'2.6 Fuel Efficiencies'!AS67,0)</f>
        <v>0</v>
      </c>
      <c r="AU58" s="32">
        <f>IFERROR('Energy supply'!AS47/'2.6 Fuel Efficiencies'!AT67,0)</f>
        <v>0</v>
      </c>
      <c r="AV58" s="32">
        <f>IFERROR('Energy supply'!AT47/'2.6 Fuel Efficiencies'!AU67,0)</f>
        <v>0</v>
      </c>
      <c r="AW58" s="32">
        <f>IFERROR('Energy supply'!AU47/'2.6 Fuel Efficiencies'!AV67,0)</f>
        <v>0</v>
      </c>
      <c r="AX58" s="32">
        <f>IFERROR('Energy supply'!AV47/'2.6 Fuel Efficiencies'!AW67,0)</f>
        <v>0</v>
      </c>
      <c r="AY58" s="32">
        <f>IFERROR('Energy supply'!AW47/'2.6 Fuel Efficiencies'!AX67,0)</f>
        <v>0</v>
      </c>
      <c r="AZ58" s="33">
        <f>IFERROR('Energy supply'!AX47/'2.6 Fuel Efficiencies'!AY67,0)</f>
        <v>0</v>
      </c>
    </row>
    <row r="59" spans="2:52">
      <c r="E59" s="78" t="s">
        <v>800</v>
      </c>
      <c r="F59" s="78"/>
      <c r="G59" s="78" t="s">
        <v>210</v>
      </c>
      <c r="I59" s="44"/>
      <c r="K59" s="44"/>
      <c r="M59" s="44"/>
      <c r="O59" s="44"/>
      <c r="Q59" s="34">
        <f>IFERROR('Energy supply'!O48/'2.6 Fuel Efficiencies'!P68,0)</f>
        <v>7.8043319236876467</v>
      </c>
      <c r="R59" s="34">
        <f>IFERROR('Energy supply'!P48/'2.6 Fuel Efficiencies'!Q68,0)</f>
        <v>13.846942334089363</v>
      </c>
      <c r="S59" s="34">
        <f>IFERROR('Energy supply'!Q48/'2.6 Fuel Efficiencies'!R68,0)</f>
        <v>19.889552744491084</v>
      </c>
      <c r="T59" s="34">
        <f>IFERROR('Energy supply'!R48/'2.6 Fuel Efficiencies'!S68,0)</f>
        <v>25.932163154892805</v>
      </c>
      <c r="U59" s="34">
        <f>IFERROR('Energy supply'!S48/'2.6 Fuel Efficiencies'!T68,0)</f>
        <v>31.97477356529452</v>
      </c>
      <c r="V59" s="34">
        <f>IFERROR('Energy supply'!T48/'2.6 Fuel Efficiencies'!U68,0)</f>
        <v>38.017383975696241</v>
      </c>
      <c r="W59" s="34">
        <f>IFERROR('Energy supply'!U48/'2.6 Fuel Efficiencies'!V68,0)</f>
        <v>44.059994386097955</v>
      </c>
      <c r="X59" s="34">
        <f>IFERROR('Energy supply'!V48/'2.6 Fuel Efficiencies'!W68,0)</f>
        <v>50.102604796499676</v>
      </c>
      <c r="Y59" s="34">
        <f>IFERROR('Energy supply'!W48/'2.6 Fuel Efficiencies'!X68,0)</f>
        <v>56.145215206901376</v>
      </c>
      <c r="Z59" s="34">
        <f>IFERROR('Energy supply'!X48/'2.6 Fuel Efficiencies'!Y68,0)</f>
        <v>62.187825617303112</v>
      </c>
      <c r="AA59" s="32">
        <f>IFERROR('Energy supply'!Y48/'2.6 Fuel Efficiencies'!Z68,0)</f>
        <v>68.230436027704812</v>
      </c>
      <c r="AB59" s="32">
        <f>IFERROR('Energy supply'!Z48/'2.6 Fuel Efficiencies'!AA68,0)</f>
        <v>81.276667825572389</v>
      </c>
      <c r="AC59" s="32">
        <f>IFERROR('Energy supply'!AA48/'2.6 Fuel Efficiencies'!AB68,0)</f>
        <v>94.322899623439895</v>
      </c>
      <c r="AD59" s="32">
        <f>IFERROR('Energy supply'!AB48/'2.6 Fuel Efficiencies'!AC68,0)</f>
        <v>107.36913142130743</v>
      </c>
      <c r="AE59" s="32">
        <f>IFERROR('Energy supply'!AC48/'2.6 Fuel Efficiencies'!AD68,0)</f>
        <v>120.41536321917496</v>
      </c>
      <c r="AF59" s="32">
        <f>IFERROR('Energy supply'!AD48/'2.6 Fuel Efficiencies'!AE68,0)</f>
        <v>133.46159501704253</v>
      </c>
      <c r="AG59" s="32">
        <f>IFERROR('Energy supply'!AE48/'2.6 Fuel Efficiencies'!AF68,0)</f>
        <v>146.50782681491003</v>
      </c>
      <c r="AH59" s="32">
        <f>IFERROR('Energy supply'!AF48/'2.6 Fuel Efficiencies'!AG68,0)</f>
        <v>159.55405861277757</v>
      </c>
      <c r="AI59" s="32">
        <f>IFERROR('Energy supply'!AG48/'2.6 Fuel Efficiencies'!AH68,0)</f>
        <v>172.6002904106451</v>
      </c>
      <c r="AJ59" s="32">
        <f>IFERROR('Energy supply'!AH48/'2.6 Fuel Efficiencies'!AI68,0)</f>
        <v>185.64652220851266</v>
      </c>
      <c r="AK59" s="32">
        <f>IFERROR('Energy supply'!AI48/'2.6 Fuel Efficiencies'!AJ68,0)</f>
        <v>198.69275400638017</v>
      </c>
      <c r="AL59" s="32">
        <f>IFERROR('Energy supply'!AJ48/'2.6 Fuel Efficiencies'!AK68,0)</f>
        <v>211.73898580424768</v>
      </c>
      <c r="AM59" s="32">
        <f>IFERROR('Energy supply'!AK48/'2.6 Fuel Efficiencies'!AL68,0)</f>
        <v>224.78521760211521</v>
      </c>
      <c r="AN59" s="32">
        <f>IFERROR('Energy supply'!AL48/'2.6 Fuel Efficiencies'!AM68,0)</f>
        <v>237.83144939998272</v>
      </c>
      <c r="AO59" s="32">
        <f>IFERROR('Energy supply'!AM48/'2.6 Fuel Efficiencies'!AN68,0)</f>
        <v>250.87768119785028</v>
      </c>
      <c r="AP59" s="32">
        <f>IFERROR('Energy supply'!AN48/'2.6 Fuel Efficiencies'!AO68,0)</f>
        <v>263.92391299571784</v>
      </c>
      <c r="AQ59" s="32">
        <f>IFERROR('Energy supply'!AO48/'2.6 Fuel Efficiencies'!AP68,0)</f>
        <v>276.97014479358535</v>
      </c>
      <c r="AR59" s="32">
        <f>IFERROR('Energy supply'!AP48/'2.6 Fuel Efficiencies'!AQ68,0)</f>
        <v>290.01637659145291</v>
      </c>
      <c r="AS59" s="32">
        <f>IFERROR('Energy supply'!AQ48/'2.6 Fuel Efficiencies'!AR68,0)</f>
        <v>303.06260838932047</v>
      </c>
      <c r="AT59" s="32">
        <f>IFERROR('Energy supply'!AR48/'2.6 Fuel Efficiencies'!AS68,0)</f>
        <v>316.10884018718792</v>
      </c>
      <c r="AU59" s="32">
        <f>IFERROR('Energy supply'!AS48/'2.6 Fuel Efficiencies'!AT68,0)</f>
        <v>329.15507198505549</v>
      </c>
      <c r="AV59" s="32">
        <f>IFERROR('Energy supply'!AT48/'2.6 Fuel Efficiencies'!AU68,0)</f>
        <v>342.20130378292305</v>
      </c>
      <c r="AW59" s="32">
        <f>IFERROR('Energy supply'!AU48/'2.6 Fuel Efficiencies'!AV68,0)</f>
        <v>355.24753558079061</v>
      </c>
      <c r="AX59" s="32">
        <f>IFERROR('Energy supply'!AV48/'2.6 Fuel Efficiencies'!AW68,0)</f>
        <v>368.29376737865812</v>
      </c>
      <c r="AY59" s="32">
        <f>IFERROR('Energy supply'!AW48/'2.6 Fuel Efficiencies'!AX68,0)</f>
        <v>381.33999917652562</v>
      </c>
      <c r="AZ59" s="33">
        <f>IFERROR('Energy supply'!AX48/'2.6 Fuel Efficiencies'!AY68,0)</f>
        <v>394.38623097439319</v>
      </c>
    </row>
    <row r="60" spans="2:52">
      <c r="E60" s="78" t="s">
        <v>801</v>
      </c>
      <c r="F60" s="78"/>
      <c r="G60" s="78" t="s">
        <v>210</v>
      </c>
      <c r="I60" s="44"/>
      <c r="K60" s="44"/>
      <c r="M60" s="44"/>
      <c r="O60" s="44"/>
      <c r="Q60" s="46">
        <f>IFERROR('Energy supply'!O49/'2.6 Fuel Efficiencies'!P69,0)</f>
        <v>0</v>
      </c>
      <c r="R60" s="46">
        <f>IFERROR('Energy supply'!P49/'2.6 Fuel Efficiencies'!Q69,0)</f>
        <v>0</v>
      </c>
      <c r="S60" s="46">
        <f>IFERROR('Energy supply'!Q49/'2.6 Fuel Efficiencies'!R69,0)</f>
        <v>0</v>
      </c>
      <c r="T60" s="46">
        <f>IFERROR('Energy supply'!R49/'2.6 Fuel Efficiencies'!S69,0)</f>
        <v>0</v>
      </c>
      <c r="U60" s="46">
        <f>IFERROR('Energy supply'!S49/'2.6 Fuel Efficiencies'!T69,0)</f>
        <v>0</v>
      </c>
      <c r="V60" s="46">
        <f>IFERROR('Energy supply'!T49/'2.6 Fuel Efficiencies'!U69,0)</f>
        <v>0</v>
      </c>
      <c r="W60" s="46">
        <f>IFERROR('Energy supply'!U49/'2.6 Fuel Efficiencies'!V69,0)</f>
        <v>0</v>
      </c>
      <c r="X60" s="46">
        <f>IFERROR('Energy supply'!V49/'2.6 Fuel Efficiencies'!W69,0)</f>
        <v>0</v>
      </c>
      <c r="Y60" s="46">
        <f>IFERROR('Energy supply'!W49/'2.6 Fuel Efficiencies'!X69,0)</f>
        <v>0</v>
      </c>
      <c r="Z60" s="46">
        <f>IFERROR('Energy supply'!X49/'2.6 Fuel Efficiencies'!Y69,0)</f>
        <v>0</v>
      </c>
      <c r="AA60" s="46">
        <f>IFERROR('Energy supply'!Y49/'2.6 Fuel Efficiencies'!Z69,0)</f>
        <v>0</v>
      </c>
      <c r="AB60" s="46">
        <f>IFERROR('Energy supply'!Z49/'2.6 Fuel Efficiencies'!AA69,0)</f>
        <v>0</v>
      </c>
      <c r="AC60" s="46">
        <f>IFERROR('Energy supply'!AA49/'2.6 Fuel Efficiencies'!AB69,0)</f>
        <v>0</v>
      </c>
      <c r="AD60" s="46">
        <f>IFERROR('Energy supply'!AB49/'2.6 Fuel Efficiencies'!AC69,0)</f>
        <v>0</v>
      </c>
      <c r="AE60" s="46">
        <f>IFERROR('Energy supply'!AC49/'2.6 Fuel Efficiencies'!AD69,0)</f>
        <v>0</v>
      </c>
      <c r="AF60" s="46">
        <f>IFERROR('Energy supply'!AD49/'2.6 Fuel Efficiencies'!AE69,0)</f>
        <v>0</v>
      </c>
      <c r="AG60" s="46">
        <f>IFERROR('Energy supply'!AE49/'2.6 Fuel Efficiencies'!AF69,0)</f>
        <v>0</v>
      </c>
      <c r="AH60" s="46">
        <f>IFERROR('Energy supply'!AF49/'2.6 Fuel Efficiencies'!AG69,0)</f>
        <v>0</v>
      </c>
      <c r="AI60" s="46">
        <f>IFERROR('Energy supply'!AG49/'2.6 Fuel Efficiencies'!AH69,0)</f>
        <v>0</v>
      </c>
      <c r="AJ60" s="46">
        <f>IFERROR('Energy supply'!AH49/'2.6 Fuel Efficiencies'!AI69,0)</f>
        <v>0</v>
      </c>
      <c r="AK60" s="46">
        <f>IFERROR('Energy supply'!AI49/'2.6 Fuel Efficiencies'!AJ69,0)</f>
        <v>0</v>
      </c>
      <c r="AL60" s="46">
        <f>IFERROR('Energy supply'!AJ49/'2.6 Fuel Efficiencies'!AK69,0)</f>
        <v>0</v>
      </c>
      <c r="AM60" s="46">
        <f>IFERROR('Energy supply'!AK49/'2.6 Fuel Efficiencies'!AL69,0)</f>
        <v>0</v>
      </c>
      <c r="AN60" s="46">
        <f>IFERROR('Energy supply'!AL49/'2.6 Fuel Efficiencies'!AM69,0)</f>
        <v>0</v>
      </c>
      <c r="AO60" s="46">
        <f>IFERROR('Energy supply'!AM49/'2.6 Fuel Efficiencies'!AN69,0)</f>
        <v>0</v>
      </c>
      <c r="AP60" s="46">
        <f>IFERROR('Energy supply'!AN49/'2.6 Fuel Efficiencies'!AO69,0)</f>
        <v>0</v>
      </c>
      <c r="AQ60" s="46">
        <f>IFERROR('Energy supply'!AO49/'2.6 Fuel Efficiencies'!AP69,0)</f>
        <v>0</v>
      </c>
      <c r="AR60" s="46">
        <f>IFERROR('Energy supply'!AP49/'2.6 Fuel Efficiencies'!AQ69,0)</f>
        <v>0</v>
      </c>
      <c r="AS60" s="46">
        <f>IFERROR('Energy supply'!AQ49/'2.6 Fuel Efficiencies'!AR69,0)</f>
        <v>0</v>
      </c>
      <c r="AT60" s="46">
        <f>IFERROR('Energy supply'!AR49/'2.6 Fuel Efficiencies'!AS69,0)</f>
        <v>0</v>
      </c>
      <c r="AU60" s="46">
        <f>IFERROR('Energy supply'!AS49/'2.6 Fuel Efficiencies'!AT69,0)</f>
        <v>0</v>
      </c>
      <c r="AV60" s="46">
        <f>IFERROR('Energy supply'!AT49/'2.6 Fuel Efficiencies'!AU69,0)</f>
        <v>0</v>
      </c>
      <c r="AW60" s="46">
        <f>IFERROR('Energy supply'!AU49/'2.6 Fuel Efficiencies'!AV69,0)</f>
        <v>0</v>
      </c>
      <c r="AX60" s="46">
        <f>IFERROR('Energy supply'!AV49/'2.6 Fuel Efficiencies'!AW69,0)</f>
        <v>0</v>
      </c>
      <c r="AY60" s="46">
        <f>IFERROR('Energy supply'!AW49/'2.6 Fuel Efficiencies'!AX69,0)</f>
        <v>0</v>
      </c>
      <c r="AZ60" s="46">
        <f>IFERROR('Energy supply'!AX49/'2.6 Fuel Efficiencies'!AY69,0)</f>
        <v>0</v>
      </c>
    </row>
    <row r="61" spans="2:52">
      <c r="E61" s="78" t="s">
        <v>803</v>
      </c>
      <c r="F61" s="78"/>
      <c r="G61" s="78" t="s">
        <v>1372</v>
      </c>
      <c r="I61" s="44"/>
      <c r="K61" s="44"/>
      <c r="M61" s="44"/>
      <c r="O61" s="44"/>
      <c r="Q61" s="47" t="s">
        <v>804</v>
      </c>
      <c r="R61" s="47" t="s">
        <v>804</v>
      </c>
      <c r="S61" s="47" t="s">
        <v>804</v>
      </c>
      <c r="T61" s="47" t="s">
        <v>804</v>
      </c>
      <c r="U61" s="47" t="s">
        <v>804</v>
      </c>
      <c r="V61" s="47" t="s">
        <v>804</v>
      </c>
      <c r="W61" s="47" t="s">
        <v>804</v>
      </c>
      <c r="X61" s="47" t="s">
        <v>804</v>
      </c>
      <c r="Y61" s="47" t="s">
        <v>804</v>
      </c>
      <c r="Z61" s="47" t="s">
        <v>804</v>
      </c>
      <c r="AA61" s="46"/>
      <c r="AB61" s="46"/>
      <c r="AC61" s="46"/>
      <c r="AD61" s="46"/>
      <c r="AE61" s="46"/>
      <c r="AF61" s="46"/>
      <c r="AG61" s="46"/>
      <c r="AH61" s="46"/>
      <c r="AI61" s="46"/>
      <c r="AJ61" s="46"/>
      <c r="AK61" s="46"/>
      <c r="AL61" s="46"/>
      <c r="AM61" s="46"/>
      <c r="AN61" s="46"/>
      <c r="AO61" s="46"/>
      <c r="AP61" s="46"/>
      <c r="AQ61" s="46"/>
      <c r="AR61" s="46"/>
      <c r="AS61" s="46"/>
      <c r="AT61" s="46"/>
      <c r="AU61" s="46"/>
      <c r="AV61" s="46"/>
      <c r="AW61" s="46"/>
      <c r="AX61" s="46"/>
      <c r="AY61" s="46"/>
      <c r="AZ61" s="46"/>
    </row>
    <row r="62" spans="2:52">
      <c r="E62" s="78" t="s">
        <v>805</v>
      </c>
      <c r="F62" s="78"/>
      <c r="G62" s="78" t="s">
        <v>210</v>
      </c>
      <c r="I62" s="44"/>
      <c r="K62" s="44"/>
      <c r="M62" s="44"/>
      <c r="O62" s="44"/>
      <c r="Q62" s="46">
        <f>IFERROR('Energy supply'!O51/'2.6 Fuel Efficiencies'!P72,0)</f>
        <v>3428.0605239193087</v>
      </c>
      <c r="R62" s="46">
        <f>IFERROR('Energy supply'!P51/'2.6 Fuel Efficiencies'!Q72,0)</f>
        <v>3466.1288047474382</v>
      </c>
      <c r="S62" s="46">
        <f>IFERROR('Energy supply'!Q51/'2.6 Fuel Efficiencies'!R72,0)</f>
        <v>3504.1955553222033</v>
      </c>
      <c r="T62" s="46">
        <f>IFERROR('Energy supply'!R51/'2.6 Fuel Efficiencies'!S72,0)</f>
        <v>3542.2607756436064</v>
      </c>
      <c r="U62" s="46">
        <f>IFERROR('Energy supply'!S51/'2.6 Fuel Efficiencies'!T72,0)</f>
        <v>3557.8070821502874</v>
      </c>
      <c r="V62" s="46">
        <f>IFERROR('Energy supply'!T51/'2.6 Fuel Efficiencies'!U72,0)</f>
        <v>3550.9703666011219</v>
      </c>
      <c r="W62" s="46">
        <f>IFERROR('Energy supply'!U51/'2.6 Fuel Efficiencies'!V72,0)</f>
        <v>3515.165988425239</v>
      </c>
      <c r="X62" s="46">
        <f>IFERROR('Energy supply'!V51/'2.6 Fuel Efficiencies'!W72,0)</f>
        <v>3456.590517055693</v>
      </c>
      <c r="Y62" s="46">
        <f>IFERROR('Energy supply'!W51/'2.6 Fuel Efficiencies'!X72,0)</f>
        <v>3373.7786301730116</v>
      </c>
      <c r="Z62" s="46">
        <f>IFERROR('Energy supply'!X51/'2.6 Fuel Efficiencies'!Y72,0)</f>
        <v>3269.0501371310861</v>
      </c>
      <c r="AA62" s="46">
        <f>IFERROR('Energy supply'!Y51/'2.6 Fuel Efficiencies'!Z72,0)</f>
        <v>3141.9517015554525</v>
      </c>
      <c r="AB62" s="46">
        <f>IFERROR('Energy supply'!Z51/'2.6 Fuel Efficiencies'!AA72,0)</f>
        <v>2996.8361718981241</v>
      </c>
      <c r="AC62" s="46">
        <f>IFERROR('Energy supply'!AA51/'2.6 Fuel Efficiencies'!AB72,0)</f>
        <v>2905.5215427637809</v>
      </c>
      <c r="AD62" s="46">
        <f>IFERROR('Energy supply'!AB51/'2.6 Fuel Efficiencies'!AC72,0)</f>
        <v>2802.9505838271762</v>
      </c>
      <c r="AE62" s="46">
        <f>IFERROR('Energy supply'!AC51/'2.6 Fuel Efficiencies'!AD72,0)</f>
        <v>2687.5209426295382</v>
      </c>
      <c r="AF62" s="46">
        <f>IFERROR('Energy supply'!AD51/'2.6 Fuel Efficiencies'!AE72,0)</f>
        <v>2560.0261012580877</v>
      </c>
      <c r="AG62" s="46">
        <f>IFERROR('Energy supply'!AE51/'2.6 Fuel Efficiencies'!AF72,0)</f>
        <v>2574.6048725699416</v>
      </c>
      <c r="AH62" s="46">
        <f>IFERROR('Energy supply'!AF51/'2.6 Fuel Efficiencies'!AG72,0)</f>
        <v>2589.1828855784438</v>
      </c>
      <c r="AI62" s="46">
        <f>IFERROR('Energy supply'!AG51/'2.6 Fuel Efficiencies'!AH72,0)</f>
        <v>2603.7712148622977</v>
      </c>
      <c r="AJ62" s="46">
        <f>IFERROR('Energy supply'!AH51/'2.6 Fuel Efficiencies'!AI72,0)</f>
        <v>2618.3355777053471</v>
      </c>
      <c r="AK62" s="46">
        <f>IFERROR('Energy supply'!AI51/'2.6 Fuel Efficiencies'!AJ72,0)</f>
        <v>2633.128589421784</v>
      </c>
      <c r="AL62" s="46">
        <f>IFERROR('Energy supply'!AJ51/'2.6 Fuel Efficiencies'!AK72,0)</f>
        <v>2649.3987324164586</v>
      </c>
      <c r="AM62" s="46">
        <f>IFERROR('Energy supply'!AK51/'2.6 Fuel Efficiencies'!AL72,0)</f>
        <v>2664.3751596380644</v>
      </c>
      <c r="AN62" s="46">
        <f>IFERROR('Energy supply'!AL51/'2.6 Fuel Efficiencies'!AM72,0)</f>
        <v>2678.8278028602003</v>
      </c>
      <c r="AO62" s="46">
        <f>IFERROR('Energy supply'!AM51/'2.6 Fuel Efficiencies'!AN72,0)</f>
        <v>2691.7026124044824</v>
      </c>
      <c r="AP62" s="46">
        <f>IFERROR('Energy supply'!AN51/'2.6 Fuel Efficiencies'!AO72,0)</f>
        <v>2704.5593582814413</v>
      </c>
      <c r="AQ62" s="46">
        <f>IFERROR('Energy supply'!AO51/'2.6 Fuel Efficiencies'!AP72,0)</f>
        <v>2717.448079173761</v>
      </c>
      <c r="AR62" s="46">
        <f>IFERROR('Energy supply'!AP51/'2.6 Fuel Efficiencies'!AQ72,0)</f>
        <v>2730.3137009575507</v>
      </c>
      <c r="AS62" s="46">
        <f>IFERROR('Energy supply'!AQ51/'2.6 Fuel Efficiencies'!AR72,0)</f>
        <v>2743.1602887667418</v>
      </c>
      <c r="AT62" s="46">
        <f>IFERROR('Energy supply'!AR51/'2.6 Fuel Efficiencies'!AS72,0)</f>
        <v>2755.9918999986235</v>
      </c>
      <c r="AU62" s="46">
        <f>IFERROR('Energy supply'!AS51/'2.6 Fuel Efficiencies'!AT72,0)</f>
        <v>2768.8125827044314</v>
      </c>
      <c r="AV62" s="46">
        <f>IFERROR('Energy supply'!AT51/'2.6 Fuel Efficiencies'!AU72,0)</f>
        <v>2781.5672259283033</v>
      </c>
      <c r="AW62" s="46">
        <f>IFERROR('Energy supply'!AU51/'2.6 Fuel Efficiencies'!AV72,0)</f>
        <v>2794.3521121788458</v>
      </c>
      <c r="AX62" s="46">
        <f>IFERROR('Energy supply'!AV51/'2.6 Fuel Efficiencies'!AW72,0)</f>
        <v>2807.1677478197016</v>
      </c>
      <c r="AY62" s="46">
        <f>IFERROR('Energy supply'!AW51/'2.6 Fuel Efficiencies'!AX72,0)</f>
        <v>2820.0146514271655</v>
      </c>
      <c r="AZ62" s="46">
        <f>IFERROR('Energy supply'!AX51/'2.6 Fuel Efficiencies'!AY72,0)</f>
        <v>2832.8933537274529</v>
      </c>
    </row>
    <row r="63" spans="2:52">
      <c r="N63" s="81"/>
      <c r="O63" s="81"/>
    </row>
    <row r="64" spans="2:52">
      <c r="D64" t="s">
        <v>1370</v>
      </c>
      <c r="N64" s="81"/>
      <c r="O64" s="81"/>
    </row>
    <row r="65" spans="2:52"/>
    <row r="66" spans="2:52">
      <c r="E66" t="s">
        <v>210</v>
      </c>
      <c r="I66" s="44"/>
      <c r="K66" s="44"/>
      <c r="M66" s="44"/>
      <c r="O66" s="44" t="s">
        <v>1373</v>
      </c>
      <c r="Q66" s="80">
        <f>SUMIFS(Q$57:Q$62,$G$57:$G$62,#REF!)</f>
        <v>0</v>
      </c>
      <c r="R66" s="80">
        <f>SUMIFS(R$57:R$62,$G$57:$G$62,#REF!)</f>
        <v>0</v>
      </c>
      <c r="S66" s="80">
        <f>SUMIFS(S$57:S$62,$G$57:$G$62,#REF!)</f>
        <v>0</v>
      </c>
      <c r="T66" s="80">
        <f>SUMIFS(T$57:T$62,$G$57:$G$62,#REF!)</f>
        <v>0</v>
      </c>
      <c r="U66" s="80">
        <f>SUMIFS(U$57:U$62,$G$57:$G$62,#REF!)</f>
        <v>0</v>
      </c>
      <c r="V66" s="80">
        <f>SUMIFS(V$57:V$62,$G$57:$G$62,#REF!)</f>
        <v>0</v>
      </c>
      <c r="W66" s="80">
        <f>SUMIFS(W$57:W$62,$G$57:$G$62,#REF!)</f>
        <v>0</v>
      </c>
      <c r="X66" s="80">
        <f>SUMIFS(X$57:X$62,$G$57:$G$62,#REF!)</f>
        <v>0</v>
      </c>
      <c r="Y66" s="80">
        <f>SUMIFS(Y$57:Y$62,$G$57:$G$62,#REF!)</f>
        <v>0</v>
      </c>
      <c r="Z66" s="80">
        <f>SUMIFS(Z$57:Z$62,$G$57:$G$62,#REF!)</f>
        <v>0</v>
      </c>
      <c r="AA66" s="80">
        <f>SUMIFS(AA$57:AA$62,$G$57:$G$62,#REF!)</f>
        <v>0</v>
      </c>
      <c r="AB66" s="80">
        <f>SUMIFS(AB$57:AB$62,$G$57:$G$62,#REF!)</f>
        <v>0</v>
      </c>
      <c r="AC66" s="80">
        <f>SUMIFS(AC$57:AC$62,$G$57:$G$62,#REF!)</f>
        <v>0</v>
      </c>
      <c r="AD66" s="80">
        <f>SUMIFS(AD$57:AD$62,$G$57:$G$62,#REF!)</f>
        <v>0</v>
      </c>
      <c r="AE66" s="80">
        <f>SUMIFS(AE$57:AE$62,$G$57:$G$62,#REF!)</f>
        <v>0</v>
      </c>
      <c r="AF66" s="80">
        <f>SUMIFS(AF$57:AF$62,$G$57:$G$62,#REF!)</f>
        <v>0</v>
      </c>
      <c r="AG66" s="80">
        <f>SUMIFS(AG$57:AG$62,$G$57:$G$62,#REF!)</f>
        <v>0</v>
      </c>
      <c r="AH66" s="80">
        <f>SUMIFS(AH$57:AH$62,$G$57:$G$62,#REF!)</f>
        <v>0</v>
      </c>
      <c r="AI66" s="80">
        <f>SUMIFS(AI$57:AI$62,$G$57:$G$62,#REF!)</f>
        <v>0</v>
      </c>
      <c r="AJ66" s="80">
        <f>SUMIFS(AJ$57:AJ$62,$G$57:$G$62,#REF!)</f>
        <v>0</v>
      </c>
      <c r="AK66" s="80">
        <f>SUMIFS(AK$57:AK$62,$G$57:$G$62,#REF!)</f>
        <v>0</v>
      </c>
      <c r="AL66" s="80">
        <f>SUMIFS(AL$57:AL$62,$G$57:$G$62,#REF!)</f>
        <v>0</v>
      </c>
      <c r="AM66" s="80">
        <f>SUMIFS(AM$57:AM$62,$G$57:$G$62,#REF!)</f>
        <v>0</v>
      </c>
      <c r="AN66" s="80">
        <f>SUMIFS(AN$57:AN$62,$G$57:$G$62,#REF!)</f>
        <v>0</v>
      </c>
      <c r="AO66" s="80">
        <f>SUMIFS(AO$57:AO$62,$G$57:$G$62,#REF!)</f>
        <v>0</v>
      </c>
      <c r="AP66" s="80">
        <f>SUMIFS(AP$57:AP$62,$G$57:$G$62,#REF!)</f>
        <v>0</v>
      </c>
      <c r="AQ66" s="80">
        <f>SUMIFS(AQ$57:AQ$62,$G$57:$G$62,#REF!)</f>
        <v>0</v>
      </c>
      <c r="AR66" s="80">
        <f>SUMIFS(AR$57:AR$62,$G$57:$G$62,#REF!)</f>
        <v>0</v>
      </c>
      <c r="AS66" s="80">
        <f>SUMIFS(AS$57:AS$62,$G$57:$G$62,#REF!)</f>
        <v>0</v>
      </c>
      <c r="AT66" s="80">
        <f>SUMIFS(AT$57:AT$62,$G$57:$G$62,#REF!)</f>
        <v>0</v>
      </c>
      <c r="AU66" s="80">
        <f>SUMIFS(AU$57:AU$62,$G$57:$G$62,#REF!)</f>
        <v>0</v>
      </c>
      <c r="AV66" s="80">
        <f>SUMIFS(AV$57:AV$62,$G$57:$G$62,#REF!)</f>
        <v>0</v>
      </c>
      <c r="AW66" s="80">
        <f>SUMIFS(AW$57:AW$62,$G$57:$G$62,#REF!)</f>
        <v>0</v>
      </c>
      <c r="AX66" s="80">
        <f>SUMIFS(AX$57:AX$62,$G$57:$G$62,#REF!)</f>
        <v>0</v>
      </c>
      <c r="AY66" s="80">
        <f>SUMIFS(AY$57:AY$62,$G$57:$G$62,#REF!)</f>
        <v>0</v>
      </c>
      <c r="AZ66" s="80">
        <f>SUMIFS(AZ$57:AZ$62,$G$57:$G$62,#REF!)</f>
        <v>0</v>
      </c>
    </row>
    <row r="67" spans="2:52">
      <c r="E67" t="s">
        <v>611</v>
      </c>
      <c r="I67" s="44"/>
      <c r="K67" s="44"/>
      <c r="M67" s="44"/>
      <c r="O67" s="44" t="s">
        <v>1373</v>
      </c>
      <c r="Q67" s="80">
        <f>SUMIFS(Q$57:Q$62,$G$57:$G$62,#REF!)</f>
        <v>0</v>
      </c>
      <c r="R67" s="80">
        <f>SUMIFS(R$57:R$62,$G$57:$G$62,#REF!)</f>
        <v>0</v>
      </c>
      <c r="S67" s="80">
        <f>SUMIFS(S$57:S$62,$G$57:$G$62,#REF!)</f>
        <v>0</v>
      </c>
      <c r="T67" s="80">
        <f>SUMIFS(T$57:T$62,$G$57:$G$62,#REF!)</f>
        <v>0</v>
      </c>
      <c r="U67" s="80">
        <f>SUMIFS(U$57:U$62,$G$57:$G$62,#REF!)</f>
        <v>0</v>
      </c>
      <c r="V67" s="80">
        <f>SUMIFS(V$57:V$62,$G$57:$G$62,#REF!)</f>
        <v>0</v>
      </c>
      <c r="W67" s="80">
        <f>SUMIFS(W$57:W$62,$G$57:$G$62,#REF!)</f>
        <v>0</v>
      </c>
      <c r="X67" s="80">
        <f>SUMIFS(X$57:X$62,$G$57:$G$62,#REF!)</f>
        <v>0</v>
      </c>
      <c r="Y67" s="80">
        <f>SUMIFS(Y$57:Y$62,$G$57:$G$62,#REF!)</f>
        <v>0</v>
      </c>
      <c r="Z67" s="80">
        <f>SUMIFS(Z$57:Z$62,$G$57:$G$62,#REF!)</f>
        <v>0</v>
      </c>
      <c r="AA67" s="80">
        <f>SUMIFS(AA$57:AA$62,$G$57:$G$62,#REF!)</f>
        <v>0</v>
      </c>
      <c r="AB67" s="80">
        <f>SUMIFS(AB$57:AB$62,$G$57:$G$62,#REF!)</f>
        <v>0</v>
      </c>
      <c r="AC67" s="80">
        <f>SUMIFS(AC$57:AC$62,$G$57:$G$62,#REF!)</f>
        <v>0</v>
      </c>
      <c r="AD67" s="80">
        <f>SUMIFS(AD$57:AD$62,$G$57:$G$62,#REF!)</f>
        <v>0</v>
      </c>
      <c r="AE67" s="80">
        <f>SUMIFS(AE$57:AE$62,$G$57:$G$62,#REF!)</f>
        <v>0</v>
      </c>
      <c r="AF67" s="80">
        <f>SUMIFS(AF$57:AF$62,$G$57:$G$62,#REF!)</f>
        <v>0</v>
      </c>
      <c r="AG67" s="80">
        <f>SUMIFS(AG$57:AG$62,$G$57:$G$62,#REF!)</f>
        <v>0</v>
      </c>
      <c r="AH67" s="80">
        <f>SUMIFS(AH$57:AH$62,$G$57:$G$62,#REF!)</f>
        <v>0</v>
      </c>
      <c r="AI67" s="80">
        <f>SUMIFS(AI$57:AI$62,$G$57:$G$62,#REF!)</f>
        <v>0</v>
      </c>
      <c r="AJ67" s="80">
        <f>SUMIFS(AJ$57:AJ$62,$G$57:$G$62,#REF!)</f>
        <v>0</v>
      </c>
      <c r="AK67" s="80">
        <f>SUMIFS(AK$57:AK$62,$G$57:$G$62,#REF!)</f>
        <v>0</v>
      </c>
      <c r="AL67" s="80">
        <f>SUMIFS(AL$57:AL$62,$G$57:$G$62,#REF!)</f>
        <v>0</v>
      </c>
      <c r="AM67" s="80">
        <f>SUMIFS(AM$57:AM$62,$G$57:$G$62,#REF!)</f>
        <v>0</v>
      </c>
      <c r="AN67" s="80">
        <f>SUMIFS(AN$57:AN$62,$G$57:$G$62,#REF!)</f>
        <v>0</v>
      </c>
      <c r="AO67" s="80">
        <f>SUMIFS(AO$57:AO$62,$G$57:$G$62,#REF!)</f>
        <v>0</v>
      </c>
      <c r="AP67" s="80">
        <f>SUMIFS(AP$57:AP$62,$G$57:$G$62,#REF!)</f>
        <v>0</v>
      </c>
      <c r="AQ67" s="80">
        <f>SUMIFS(AQ$57:AQ$62,$G$57:$G$62,#REF!)</f>
        <v>0</v>
      </c>
      <c r="AR67" s="80">
        <f>SUMIFS(AR$57:AR$62,$G$57:$G$62,#REF!)</f>
        <v>0</v>
      </c>
      <c r="AS67" s="80">
        <f>SUMIFS(AS$57:AS$62,$G$57:$G$62,#REF!)</f>
        <v>0</v>
      </c>
      <c r="AT67" s="80">
        <f>SUMIFS(AT$57:AT$62,$G$57:$G$62,#REF!)</f>
        <v>0</v>
      </c>
      <c r="AU67" s="80">
        <f>SUMIFS(AU$57:AU$62,$G$57:$G$62,#REF!)</f>
        <v>0</v>
      </c>
      <c r="AV67" s="80">
        <f>SUMIFS(AV$57:AV$62,$G$57:$G$62,#REF!)</f>
        <v>0</v>
      </c>
      <c r="AW67" s="80">
        <f>SUMIFS(AW$57:AW$62,$G$57:$G$62,#REF!)</f>
        <v>0</v>
      </c>
      <c r="AX67" s="80">
        <f>SUMIFS(AX$57:AX$62,$G$57:$G$62,#REF!)</f>
        <v>0</v>
      </c>
      <c r="AY67" s="80">
        <f>SUMIFS(AY$57:AY$62,$G$57:$G$62,#REF!)</f>
        <v>0</v>
      </c>
      <c r="AZ67" s="80">
        <f>SUMIFS(AZ$57:AZ$62,$G$57:$G$62,#REF!)</f>
        <v>0</v>
      </c>
    </row>
    <row r="68" spans="2:52">
      <c r="E68" t="s">
        <v>191</v>
      </c>
      <c r="I68" s="44"/>
      <c r="K68" s="44"/>
      <c r="M68" s="44"/>
      <c r="O68" s="44" t="s">
        <v>1373</v>
      </c>
      <c r="Q68" s="80">
        <f>SUMIFS(Q$57:Q$62,$G$57:$G$62,#REF!)</f>
        <v>0</v>
      </c>
      <c r="R68" s="80">
        <f>SUMIFS(R$57:R$62,$G$57:$G$62,#REF!)</f>
        <v>0</v>
      </c>
      <c r="S68" s="80">
        <f>SUMIFS(S$57:S$62,$G$57:$G$62,#REF!)</f>
        <v>0</v>
      </c>
      <c r="T68" s="80">
        <f>SUMIFS(T$57:T$62,$G$57:$G$62,#REF!)</f>
        <v>0</v>
      </c>
      <c r="U68" s="80">
        <f>SUMIFS(U$57:U$62,$G$57:$G$62,#REF!)</f>
        <v>0</v>
      </c>
      <c r="V68" s="80">
        <f>SUMIFS(V$57:V$62,$G$57:$G$62,#REF!)</f>
        <v>0</v>
      </c>
      <c r="W68" s="80">
        <f>SUMIFS(W$57:W$62,$G$57:$G$62,#REF!)</f>
        <v>0</v>
      </c>
      <c r="X68" s="80">
        <f>SUMIFS(X$57:X$62,$G$57:$G$62,#REF!)</f>
        <v>0</v>
      </c>
      <c r="Y68" s="80">
        <f>SUMIFS(Y$57:Y$62,$G$57:$G$62,#REF!)</f>
        <v>0</v>
      </c>
      <c r="Z68" s="80">
        <f>SUMIFS(Z$57:Z$62,$G$57:$G$62,#REF!)</f>
        <v>0</v>
      </c>
      <c r="AA68" s="80">
        <f>SUMIFS(AA$57:AA$62,$G$57:$G$62,#REF!)</f>
        <v>0</v>
      </c>
      <c r="AB68" s="80">
        <f>SUMIFS(AB$57:AB$62,$G$57:$G$62,#REF!)</f>
        <v>0</v>
      </c>
      <c r="AC68" s="80">
        <f>SUMIFS(AC$57:AC$62,$G$57:$G$62,#REF!)</f>
        <v>0</v>
      </c>
      <c r="AD68" s="80">
        <f>SUMIFS(AD$57:AD$62,$G$57:$G$62,#REF!)</f>
        <v>0</v>
      </c>
      <c r="AE68" s="80">
        <f>SUMIFS(AE$57:AE$62,$G$57:$G$62,#REF!)</f>
        <v>0</v>
      </c>
      <c r="AF68" s="80">
        <f>SUMIFS(AF$57:AF$62,$G$57:$G$62,#REF!)</f>
        <v>0</v>
      </c>
      <c r="AG68" s="80">
        <f>SUMIFS(AG$57:AG$62,$G$57:$G$62,#REF!)</f>
        <v>0</v>
      </c>
      <c r="AH68" s="80">
        <f>SUMIFS(AH$57:AH$62,$G$57:$G$62,#REF!)</f>
        <v>0</v>
      </c>
      <c r="AI68" s="80">
        <f>SUMIFS(AI$57:AI$62,$G$57:$G$62,#REF!)</f>
        <v>0</v>
      </c>
      <c r="AJ68" s="80">
        <f>SUMIFS(AJ$57:AJ$62,$G$57:$G$62,#REF!)</f>
        <v>0</v>
      </c>
      <c r="AK68" s="80">
        <f>SUMIFS(AK$57:AK$62,$G$57:$G$62,#REF!)</f>
        <v>0</v>
      </c>
      <c r="AL68" s="80">
        <f>SUMIFS(AL$57:AL$62,$G$57:$G$62,#REF!)</f>
        <v>0</v>
      </c>
      <c r="AM68" s="80">
        <f>SUMIFS(AM$57:AM$62,$G$57:$G$62,#REF!)</f>
        <v>0</v>
      </c>
      <c r="AN68" s="80">
        <f>SUMIFS(AN$57:AN$62,$G$57:$G$62,#REF!)</f>
        <v>0</v>
      </c>
      <c r="AO68" s="80">
        <f>SUMIFS(AO$57:AO$62,$G$57:$G$62,#REF!)</f>
        <v>0</v>
      </c>
      <c r="AP68" s="80">
        <f>SUMIFS(AP$57:AP$62,$G$57:$G$62,#REF!)</f>
        <v>0</v>
      </c>
      <c r="AQ68" s="80">
        <f>SUMIFS(AQ$57:AQ$62,$G$57:$G$62,#REF!)</f>
        <v>0</v>
      </c>
      <c r="AR68" s="80">
        <f>SUMIFS(AR$57:AR$62,$G$57:$G$62,#REF!)</f>
        <v>0</v>
      </c>
      <c r="AS68" s="80">
        <f>SUMIFS(AS$57:AS$62,$G$57:$G$62,#REF!)</f>
        <v>0</v>
      </c>
      <c r="AT68" s="80">
        <f>SUMIFS(AT$57:AT$62,$G$57:$G$62,#REF!)</f>
        <v>0</v>
      </c>
      <c r="AU68" s="80">
        <f>SUMIFS(AU$57:AU$62,$G$57:$G$62,#REF!)</f>
        <v>0</v>
      </c>
      <c r="AV68" s="80">
        <f>SUMIFS(AV$57:AV$62,$G$57:$G$62,#REF!)</f>
        <v>0</v>
      </c>
      <c r="AW68" s="80">
        <f>SUMIFS(AW$57:AW$62,$G$57:$G$62,#REF!)</f>
        <v>0</v>
      </c>
      <c r="AX68" s="80">
        <f>SUMIFS(AX$57:AX$62,$G$57:$G$62,#REF!)</f>
        <v>0</v>
      </c>
      <c r="AY68" s="80">
        <f>SUMIFS(AY$57:AY$62,$G$57:$G$62,#REF!)</f>
        <v>0</v>
      </c>
      <c r="AZ68" s="80">
        <f>SUMIFS(AZ$57:AZ$62,$G$57:$G$62,#REF!)</f>
        <v>0</v>
      </c>
    </row>
    <row r="69" spans="2:52"/>
    <row r="70" spans="2:52">
      <c r="C70" t="s">
        <v>722</v>
      </c>
    </row>
    <row r="71" spans="2:52"/>
    <row r="72" spans="2:52">
      <c r="E72" t="s">
        <v>799</v>
      </c>
      <c r="G72" t="s">
        <v>210</v>
      </c>
      <c r="I72" s="44"/>
      <c r="K72" s="44"/>
      <c r="M72" s="44"/>
      <c r="O72" s="44"/>
      <c r="Q72" s="46">
        <f>IFERROR('Energy supply'!O55/'2.6 Fuel Efficiencies'!P76,0)</f>
        <v>0</v>
      </c>
      <c r="R72" s="46">
        <f>IFERROR('Energy supply'!P55/'2.6 Fuel Efficiencies'!Q76,0)</f>
        <v>0</v>
      </c>
      <c r="S72" s="46">
        <f>IFERROR('Energy supply'!Q55/'2.6 Fuel Efficiencies'!R76,0)</f>
        <v>0</v>
      </c>
      <c r="T72" s="46">
        <f>IFERROR('Energy supply'!R55/'2.6 Fuel Efficiencies'!S76,0)</f>
        <v>0</v>
      </c>
      <c r="U72" s="46">
        <f>IFERROR('Energy supply'!S55/'2.6 Fuel Efficiencies'!T76,0)</f>
        <v>0</v>
      </c>
      <c r="V72" s="46">
        <f>IFERROR('Energy supply'!T55/'2.6 Fuel Efficiencies'!U76,0)</f>
        <v>0</v>
      </c>
      <c r="W72" s="46">
        <f>IFERROR('Energy supply'!U55/'2.6 Fuel Efficiencies'!V76,0)</f>
        <v>0</v>
      </c>
      <c r="X72" s="46">
        <f>IFERROR('Energy supply'!V55/'2.6 Fuel Efficiencies'!W76,0)</f>
        <v>0</v>
      </c>
      <c r="Y72" s="46">
        <f>IFERROR('Energy supply'!W55/'2.6 Fuel Efficiencies'!X76,0)</f>
        <v>0</v>
      </c>
      <c r="Z72" s="46">
        <f>IFERROR('Energy supply'!X55/'2.6 Fuel Efficiencies'!Y76,0)</f>
        <v>0</v>
      </c>
      <c r="AA72" s="46">
        <f>IFERROR('Energy supply'!Y55/'2.6 Fuel Efficiencies'!Z76,0)</f>
        <v>0</v>
      </c>
      <c r="AB72" s="46">
        <f>IFERROR('Energy supply'!Z55/'2.6 Fuel Efficiencies'!AA76,0)</f>
        <v>0</v>
      </c>
      <c r="AC72" s="46">
        <f>IFERROR('Energy supply'!AA55/'2.6 Fuel Efficiencies'!AB76,0)</f>
        <v>0</v>
      </c>
      <c r="AD72" s="46">
        <f>IFERROR('Energy supply'!AB55/'2.6 Fuel Efficiencies'!AC76,0)</f>
        <v>0</v>
      </c>
      <c r="AE72" s="46">
        <f>IFERROR('Energy supply'!AC55/'2.6 Fuel Efficiencies'!AD76,0)</f>
        <v>0</v>
      </c>
      <c r="AF72" s="46">
        <f>IFERROR('Energy supply'!AD55/'2.6 Fuel Efficiencies'!AE76,0)</f>
        <v>0</v>
      </c>
      <c r="AG72" s="46">
        <f>IFERROR('Energy supply'!AE55/'2.6 Fuel Efficiencies'!AF76,0)</f>
        <v>0</v>
      </c>
      <c r="AH72" s="46">
        <f>IFERROR('Energy supply'!AF55/'2.6 Fuel Efficiencies'!AG76,0)</f>
        <v>0</v>
      </c>
      <c r="AI72" s="46">
        <f>IFERROR('Energy supply'!AG55/'2.6 Fuel Efficiencies'!AH76,0)</f>
        <v>0</v>
      </c>
      <c r="AJ72" s="46">
        <f>IFERROR('Energy supply'!AH55/'2.6 Fuel Efficiencies'!AI76,0)</f>
        <v>0</v>
      </c>
      <c r="AK72" s="46">
        <f>IFERROR('Energy supply'!AI55/'2.6 Fuel Efficiencies'!AJ76,0)</f>
        <v>0</v>
      </c>
      <c r="AL72" s="46">
        <f>IFERROR('Energy supply'!AJ55/'2.6 Fuel Efficiencies'!AK76,0)</f>
        <v>0</v>
      </c>
      <c r="AM72" s="46">
        <f>IFERROR('Energy supply'!AK55/'2.6 Fuel Efficiencies'!AL76,0)</f>
        <v>0</v>
      </c>
      <c r="AN72" s="46">
        <f>IFERROR('Energy supply'!AL55/'2.6 Fuel Efficiencies'!AM76,0)</f>
        <v>0</v>
      </c>
      <c r="AO72" s="46">
        <f>IFERROR('Energy supply'!AM55/'2.6 Fuel Efficiencies'!AN76,0)</f>
        <v>0</v>
      </c>
      <c r="AP72" s="46">
        <f>IFERROR('Energy supply'!AN55/'2.6 Fuel Efficiencies'!AO76,0)</f>
        <v>0</v>
      </c>
      <c r="AQ72" s="46">
        <f>IFERROR('Energy supply'!AO55/'2.6 Fuel Efficiencies'!AP76,0)</f>
        <v>0</v>
      </c>
      <c r="AR72" s="46">
        <f>IFERROR('Energy supply'!AP55/'2.6 Fuel Efficiencies'!AQ76,0)</f>
        <v>0</v>
      </c>
      <c r="AS72" s="46">
        <f>IFERROR('Energy supply'!AQ55/'2.6 Fuel Efficiencies'!AR76,0)</f>
        <v>0</v>
      </c>
      <c r="AT72" s="46">
        <f>IFERROR('Energy supply'!AR55/'2.6 Fuel Efficiencies'!AS76,0)</f>
        <v>0</v>
      </c>
      <c r="AU72" s="46">
        <f>IFERROR('Energy supply'!AS55/'2.6 Fuel Efficiencies'!AT76,0)</f>
        <v>0</v>
      </c>
      <c r="AV72" s="46">
        <f>IFERROR('Energy supply'!AT55/'2.6 Fuel Efficiencies'!AU76,0)</f>
        <v>0</v>
      </c>
      <c r="AW72" s="46">
        <f>IFERROR('Energy supply'!AU55/'2.6 Fuel Efficiencies'!AV76,0)</f>
        <v>0</v>
      </c>
      <c r="AX72" s="46">
        <f>IFERROR('Energy supply'!AV55/'2.6 Fuel Efficiencies'!AW76,0)</f>
        <v>0</v>
      </c>
      <c r="AY72" s="46">
        <f>IFERROR('Energy supply'!AW55/'2.6 Fuel Efficiencies'!AX76,0)</f>
        <v>0</v>
      </c>
      <c r="AZ72" s="46">
        <f>IFERROR('Energy supply'!AX55/'2.6 Fuel Efficiencies'!AY76,0)</f>
        <v>0</v>
      </c>
    </row>
    <row r="73" spans="2:52">
      <c r="E73" t="s">
        <v>191</v>
      </c>
      <c r="G73" t="s">
        <v>191</v>
      </c>
      <c r="I73" s="44"/>
      <c r="K73" s="44"/>
      <c r="M73" s="44"/>
      <c r="O73" s="44"/>
      <c r="Q73" s="46">
        <f>IFERROR('Energy supply'!O56/'2.6 Fuel Efficiencies'!P77,0)</f>
        <v>0</v>
      </c>
      <c r="R73" s="46">
        <f>IFERROR('Energy supply'!P56/'2.6 Fuel Efficiencies'!Q77,0)</f>
        <v>0</v>
      </c>
      <c r="S73" s="46">
        <f>IFERROR('Energy supply'!Q56/'2.6 Fuel Efficiencies'!R77,0)</f>
        <v>0</v>
      </c>
      <c r="T73" s="46">
        <f>IFERROR('Energy supply'!R56/'2.6 Fuel Efficiencies'!S77,0)</f>
        <v>0</v>
      </c>
      <c r="U73" s="46">
        <f>IFERROR('Energy supply'!S56/'2.6 Fuel Efficiencies'!T77,0)</f>
        <v>0</v>
      </c>
      <c r="V73" s="46">
        <f>IFERROR('Energy supply'!T56/'2.6 Fuel Efficiencies'!U77,0)</f>
        <v>0</v>
      </c>
      <c r="W73" s="46">
        <f>IFERROR('Energy supply'!U56/'2.6 Fuel Efficiencies'!V77,0)</f>
        <v>0</v>
      </c>
      <c r="X73" s="46">
        <f>IFERROR('Energy supply'!V56/'2.6 Fuel Efficiencies'!W77,0)</f>
        <v>0</v>
      </c>
      <c r="Y73" s="46">
        <f>IFERROR('Energy supply'!W56/'2.6 Fuel Efficiencies'!X77,0)</f>
        <v>0</v>
      </c>
      <c r="Z73" s="46">
        <f>IFERROR('Energy supply'!X56/'2.6 Fuel Efficiencies'!Y77,0)</f>
        <v>0</v>
      </c>
      <c r="AA73" s="46">
        <f>IFERROR('Energy supply'!Y56/'2.6 Fuel Efficiencies'!Z77,0)</f>
        <v>0</v>
      </c>
      <c r="AB73" s="46">
        <f>IFERROR('Energy supply'!Z56/'2.6 Fuel Efficiencies'!AA77,0)</f>
        <v>0</v>
      </c>
      <c r="AC73" s="46">
        <f>IFERROR('Energy supply'!AA56/'2.6 Fuel Efficiencies'!AB77,0)</f>
        <v>0</v>
      </c>
      <c r="AD73" s="46">
        <f>IFERROR('Energy supply'!AB56/'2.6 Fuel Efficiencies'!AC77,0)</f>
        <v>0</v>
      </c>
      <c r="AE73" s="46">
        <f>IFERROR('Energy supply'!AC56/'2.6 Fuel Efficiencies'!AD77,0)</f>
        <v>0</v>
      </c>
      <c r="AF73" s="46">
        <f>IFERROR('Energy supply'!AD56/'2.6 Fuel Efficiencies'!AE77,0)</f>
        <v>0</v>
      </c>
      <c r="AG73" s="46">
        <f>IFERROR('Energy supply'!AE56/'2.6 Fuel Efficiencies'!AF77,0)</f>
        <v>0</v>
      </c>
      <c r="AH73" s="46">
        <f>IFERROR('Energy supply'!AF56/'2.6 Fuel Efficiencies'!AG77,0)</f>
        <v>0</v>
      </c>
      <c r="AI73" s="46">
        <f>IFERROR('Energy supply'!AG56/'2.6 Fuel Efficiencies'!AH77,0)</f>
        <v>0</v>
      </c>
      <c r="AJ73" s="46">
        <f>IFERROR('Energy supply'!AH56/'2.6 Fuel Efficiencies'!AI77,0)</f>
        <v>0</v>
      </c>
      <c r="AK73" s="46">
        <f>IFERROR('Energy supply'!AI56/'2.6 Fuel Efficiencies'!AJ77,0)</f>
        <v>0</v>
      </c>
      <c r="AL73" s="46">
        <f>IFERROR('Energy supply'!AJ56/'2.6 Fuel Efficiencies'!AK77,0)</f>
        <v>0</v>
      </c>
      <c r="AM73" s="46">
        <f>IFERROR('Energy supply'!AK56/'2.6 Fuel Efficiencies'!AL77,0)</f>
        <v>0</v>
      </c>
      <c r="AN73" s="46">
        <f>IFERROR('Energy supply'!AL56/'2.6 Fuel Efficiencies'!AM77,0)</f>
        <v>0</v>
      </c>
      <c r="AO73" s="46">
        <f>IFERROR('Energy supply'!AM56/'2.6 Fuel Efficiencies'!AN77,0)</f>
        <v>0</v>
      </c>
      <c r="AP73" s="46">
        <f>IFERROR('Energy supply'!AN56/'2.6 Fuel Efficiencies'!AO77,0)</f>
        <v>0</v>
      </c>
      <c r="AQ73" s="46">
        <f>IFERROR('Energy supply'!AO56/'2.6 Fuel Efficiencies'!AP77,0)</f>
        <v>0</v>
      </c>
      <c r="AR73" s="46">
        <f>IFERROR('Energy supply'!AP56/'2.6 Fuel Efficiencies'!AQ77,0)</f>
        <v>0</v>
      </c>
      <c r="AS73" s="46">
        <f>IFERROR('Energy supply'!AQ56/'2.6 Fuel Efficiencies'!AR77,0)</f>
        <v>0</v>
      </c>
      <c r="AT73" s="46">
        <f>IFERROR('Energy supply'!AR56/'2.6 Fuel Efficiencies'!AS77,0)</f>
        <v>0</v>
      </c>
      <c r="AU73" s="46">
        <f>IFERROR('Energy supply'!AS56/'2.6 Fuel Efficiencies'!AT77,0)</f>
        <v>0</v>
      </c>
      <c r="AV73" s="46">
        <f>IFERROR('Energy supply'!AT56/'2.6 Fuel Efficiencies'!AU77,0)</f>
        <v>0</v>
      </c>
      <c r="AW73" s="46">
        <f>IFERROR('Energy supply'!AU56/'2.6 Fuel Efficiencies'!AV77,0)</f>
        <v>0</v>
      </c>
      <c r="AX73" s="46">
        <f>IFERROR('Energy supply'!AV56/'2.6 Fuel Efficiencies'!AW77,0)</f>
        <v>0</v>
      </c>
      <c r="AY73" s="46">
        <f>IFERROR('Energy supply'!AW56/'2.6 Fuel Efficiencies'!AX77,0)</f>
        <v>0</v>
      </c>
      <c r="AZ73" s="46">
        <f>IFERROR('Energy supply'!AX56/'2.6 Fuel Efficiencies'!AY77,0)</f>
        <v>0</v>
      </c>
    </row>
    <row r="74" spans="2:52">
      <c r="E74" t="s">
        <v>800</v>
      </c>
      <c r="G74" t="s">
        <v>210</v>
      </c>
      <c r="I74" s="44"/>
      <c r="K74" s="44"/>
      <c r="M74" s="44"/>
      <c r="O74" s="44"/>
      <c r="Q74" s="46">
        <f>IFERROR('Energy supply'!O57/'2.6 Fuel Efficiencies'!P78,0)</f>
        <v>1.8260362353321824</v>
      </c>
      <c r="R74" s="46">
        <f>IFERROR('Energy supply'!P57/'2.6 Fuel Efficiencies'!Q78,0)</f>
        <v>3.146442664226158</v>
      </c>
      <c r="S74" s="46">
        <f>IFERROR('Energy supply'!Q57/'2.6 Fuel Efficiencies'!R78,0)</f>
        <v>4.4668490931201328</v>
      </c>
      <c r="T74" s="46">
        <f>IFERROR('Energy supply'!R57/'2.6 Fuel Efficiencies'!S78,0)</f>
        <v>5.7872555220141129</v>
      </c>
      <c r="U74" s="46">
        <f>IFERROR('Energy supply'!S57/'2.6 Fuel Efficiencies'!T78,0)</f>
        <v>7.1076619509080885</v>
      </c>
      <c r="V74" s="46">
        <f>IFERROR('Energy supply'!T57/'2.6 Fuel Efficiencies'!U78,0)</f>
        <v>8.428068379802065</v>
      </c>
      <c r="W74" s="46">
        <f>IFERROR('Energy supply'!U57/'2.6 Fuel Efficiencies'!V78,0)</f>
        <v>9.748474808696038</v>
      </c>
      <c r="X74" s="46">
        <f>IFERROR('Energy supply'!V57/'2.6 Fuel Efficiencies'!W78,0)</f>
        <v>11.068881237590016</v>
      </c>
      <c r="Y74" s="46">
        <f>IFERROR('Energy supply'!W57/'2.6 Fuel Efficiencies'!X78,0)</f>
        <v>12.389287666483989</v>
      </c>
      <c r="Z74" s="46">
        <f>IFERROR('Energy supply'!X57/'2.6 Fuel Efficiencies'!Y78,0)</f>
        <v>13.709694095377971</v>
      </c>
      <c r="AA74" s="46">
        <f>IFERROR('Energy supply'!Y57/'2.6 Fuel Efficiencies'!Z78,0)</f>
        <v>15.030100524271949</v>
      </c>
      <c r="AB74" s="46">
        <f>IFERROR('Energy supply'!Z57/'2.6 Fuel Efficiencies'!AA78,0)</f>
        <v>17.332571786094938</v>
      </c>
      <c r="AC74" s="46">
        <f>IFERROR('Energy supply'!AA57/'2.6 Fuel Efficiencies'!AB78,0)</f>
        <v>19.635043047917932</v>
      </c>
      <c r="AD74" s="46">
        <f>IFERROR('Energy supply'!AB57/'2.6 Fuel Efficiencies'!AC78,0)</f>
        <v>21.937514309740926</v>
      </c>
      <c r="AE74" s="46">
        <f>IFERROR('Energy supply'!AC57/'2.6 Fuel Efficiencies'!AD78,0)</f>
        <v>24.239985571563921</v>
      </c>
      <c r="AF74" s="46">
        <f>IFERROR('Energy supply'!AD57/'2.6 Fuel Efficiencies'!AE78,0)</f>
        <v>26.542456833386918</v>
      </c>
      <c r="AG74" s="46">
        <f>IFERROR('Energy supply'!AE57/'2.6 Fuel Efficiencies'!AF78,0)</f>
        <v>28.844928095209902</v>
      </c>
      <c r="AH74" s="46">
        <f>IFERROR('Energy supply'!AF57/'2.6 Fuel Efficiencies'!AG78,0)</f>
        <v>31.147399357032899</v>
      </c>
      <c r="AI74" s="46">
        <f>IFERROR('Energy supply'!AG57/'2.6 Fuel Efficiencies'!AH78,0)</f>
        <v>33.449870618855897</v>
      </c>
      <c r="AJ74" s="46">
        <f>IFERROR('Energy supply'!AH57/'2.6 Fuel Efficiencies'!AI78,0)</f>
        <v>35.752341880678891</v>
      </c>
      <c r="AK74" s="46">
        <f>IFERROR('Energy supply'!AI57/'2.6 Fuel Efficiencies'!AJ78,0)</f>
        <v>38.054813142501885</v>
      </c>
      <c r="AL74" s="46">
        <f>IFERROR('Energy supply'!AJ57/'2.6 Fuel Efficiencies'!AK78,0)</f>
        <v>40.357284404324879</v>
      </c>
      <c r="AM74" s="46">
        <f>IFERROR('Energy supply'!AK57/'2.6 Fuel Efficiencies'!AL78,0)</f>
        <v>42.659755666147873</v>
      </c>
      <c r="AN74" s="46">
        <f>IFERROR('Energy supply'!AL57/'2.6 Fuel Efficiencies'!AM78,0)</f>
        <v>44.962226927970875</v>
      </c>
      <c r="AO74" s="46">
        <f>IFERROR('Energy supply'!AM57/'2.6 Fuel Efficiencies'!AN78,0)</f>
        <v>47.264698189793869</v>
      </c>
      <c r="AP74" s="46">
        <f>IFERROR('Energy supply'!AN57/'2.6 Fuel Efficiencies'!AO78,0)</f>
        <v>49.567169451616849</v>
      </c>
      <c r="AQ74" s="46">
        <f>IFERROR('Energy supply'!AO57/'2.6 Fuel Efficiencies'!AP78,0)</f>
        <v>51.869640713439857</v>
      </c>
      <c r="AR74" s="46">
        <f>IFERROR('Energy supply'!AP57/'2.6 Fuel Efficiencies'!AQ78,0)</f>
        <v>54.172111975262837</v>
      </c>
      <c r="AS74" s="46">
        <f>IFERROR('Energy supply'!AQ57/'2.6 Fuel Efficiencies'!AR78,0)</f>
        <v>56.474583237085845</v>
      </c>
      <c r="AT74" s="46">
        <f>IFERROR('Energy supply'!AR57/'2.6 Fuel Efficiencies'!AS78,0)</f>
        <v>58.777054498908832</v>
      </c>
      <c r="AU74" s="46">
        <f>IFERROR('Energy supply'!AS57/'2.6 Fuel Efficiencies'!AT78,0)</f>
        <v>61.079525760731826</v>
      </c>
      <c r="AV74" s="46">
        <f>IFERROR('Energy supply'!AT57/'2.6 Fuel Efficiencies'!AU78,0)</f>
        <v>63.381997022554827</v>
      </c>
      <c r="AW74" s="46">
        <f>IFERROR('Energy supply'!AU57/'2.6 Fuel Efficiencies'!AV78,0)</f>
        <v>65.684468284377814</v>
      </c>
      <c r="AX74" s="46">
        <f>IFERROR('Energy supply'!AV57/'2.6 Fuel Efficiencies'!AW78,0)</f>
        <v>67.986939546200787</v>
      </c>
      <c r="AY74" s="46">
        <f>IFERROR('Energy supply'!AW57/'2.6 Fuel Efficiencies'!AX78,0)</f>
        <v>70.289410808023788</v>
      </c>
      <c r="AZ74" s="46">
        <f>IFERROR('Energy supply'!AX57/'2.6 Fuel Efficiencies'!AY78,0)</f>
        <v>72.59188206984679</v>
      </c>
    </row>
    <row r="75" spans="2:52">
      <c r="E75" t="s">
        <v>801</v>
      </c>
      <c r="G75" t="s">
        <v>210</v>
      </c>
      <c r="I75" s="44"/>
      <c r="K75" s="44"/>
      <c r="M75" s="44"/>
      <c r="O75" s="44"/>
      <c r="Q75" s="46">
        <f>IFERROR('Energy supply'!O58/'2.6 Fuel Efficiencies'!P79,0)</f>
        <v>0</v>
      </c>
      <c r="R75" s="46">
        <f>IFERROR('Energy supply'!P58/'2.6 Fuel Efficiencies'!Q79,0)</f>
        <v>0</v>
      </c>
      <c r="S75" s="46">
        <f>IFERROR('Energy supply'!Q58/'2.6 Fuel Efficiencies'!R79,0)</f>
        <v>0</v>
      </c>
      <c r="T75" s="46">
        <f>IFERROR('Energy supply'!R58/'2.6 Fuel Efficiencies'!S79,0)</f>
        <v>0</v>
      </c>
      <c r="U75" s="46">
        <f>IFERROR('Energy supply'!S58/'2.6 Fuel Efficiencies'!T79,0)</f>
        <v>0</v>
      </c>
      <c r="V75" s="46">
        <f>IFERROR('Energy supply'!T58/'2.6 Fuel Efficiencies'!U79,0)</f>
        <v>0</v>
      </c>
      <c r="W75" s="46">
        <f>IFERROR('Energy supply'!U58/'2.6 Fuel Efficiencies'!V79,0)</f>
        <v>0</v>
      </c>
      <c r="X75" s="46">
        <f>IFERROR('Energy supply'!V58/'2.6 Fuel Efficiencies'!W79,0)</f>
        <v>0</v>
      </c>
      <c r="Y75" s="46">
        <f>IFERROR('Energy supply'!W58/'2.6 Fuel Efficiencies'!X79,0)</f>
        <v>0</v>
      </c>
      <c r="Z75" s="46">
        <f>IFERROR('Energy supply'!X58/'2.6 Fuel Efficiencies'!Y79,0)</f>
        <v>0</v>
      </c>
      <c r="AA75" s="46">
        <f>IFERROR('Energy supply'!Y58/'2.6 Fuel Efficiencies'!Z79,0)</f>
        <v>0</v>
      </c>
      <c r="AB75" s="46">
        <f>IFERROR('Energy supply'!Z58/'2.6 Fuel Efficiencies'!AA79,0)</f>
        <v>0</v>
      </c>
      <c r="AC75" s="46">
        <f>IFERROR('Energy supply'!AA58/'2.6 Fuel Efficiencies'!AB79,0)</f>
        <v>0</v>
      </c>
      <c r="AD75" s="46">
        <f>IFERROR('Energy supply'!AB58/'2.6 Fuel Efficiencies'!AC79,0)</f>
        <v>0</v>
      </c>
      <c r="AE75" s="46">
        <f>IFERROR('Energy supply'!AC58/'2.6 Fuel Efficiencies'!AD79,0)</f>
        <v>0</v>
      </c>
      <c r="AF75" s="46">
        <f>IFERROR('Energy supply'!AD58/'2.6 Fuel Efficiencies'!AE79,0)</f>
        <v>0</v>
      </c>
      <c r="AG75" s="46">
        <f>IFERROR('Energy supply'!AE58/'2.6 Fuel Efficiencies'!AF79,0)</f>
        <v>0</v>
      </c>
      <c r="AH75" s="46">
        <f>IFERROR('Energy supply'!AF58/'2.6 Fuel Efficiencies'!AG79,0)</f>
        <v>0</v>
      </c>
      <c r="AI75" s="46">
        <f>IFERROR('Energy supply'!AG58/'2.6 Fuel Efficiencies'!AH79,0)</f>
        <v>0</v>
      </c>
      <c r="AJ75" s="46">
        <f>IFERROR('Energy supply'!AH58/'2.6 Fuel Efficiencies'!AI79,0)</f>
        <v>0</v>
      </c>
      <c r="AK75" s="46">
        <f>IFERROR('Energy supply'!AI58/'2.6 Fuel Efficiencies'!AJ79,0)</f>
        <v>0</v>
      </c>
      <c r="AL75" s="46">
        <f>IFERROR('Energy supply'!AJ58/'2.6 Fuel Efficiencies'!AK79,0)</f>
        <v>0</v>
      </c>
      <c r="AM75" s="46">
        <f>IFERROR('Energy supply'!AK58/'2.6 Fuel Efficiencies'!AL79,0)</f>
        <v>0</v>
      </c>
      <c r="AN75" s="46">
        <f>IFERROR('Energy supply'!AL58/'2.6 Fuel Efficiencies'!AM79,0)</f>
        <v>0</v>
      </c>
      <c r="AO75" s="46">
        <f>IFERROR('Energy supply'!AM58/'2.6 Fuel Efficiencies'!AN79,0)</f>
        <v>0</v>
      </c>
      <c r="AP75" s="46">
        <f>IFERROR('Energy supply'!AN58/'2.6 Fuel Efficiencies'!AO79,0)</f>
        <v>0</v>
      </c>
      <c r="AQ75" s="46">
        <f>IFERROR('Energy supply'!AO58/'2.6 Fuel Efficiencies'!AP79,0)</f>
        <v>0</v>
      </c>
      <c r="AR75" s="46">
        <f>IFERROR('Energy supply'!AP58/'2.6 Fuel Efficiencies'!AQ79,0)</f>
        <v>0</v>
      </c>
      <c r="AS75" s="46">
        <f>IFERROR('Energy supply'!AQ58/'2.6 Fuel Efficiencies'!AR79,0)</f>
        <v>0</v>
      </c>
      <c r="AT75" s="46">
        <f>IFERROR('Energy supply'!AR58/'2.6 Fuel Efficiencies'!AS79,0)</f>
        <v>0</v>
      </c>
      <c r="AU75" s="46">
        <f>IFERROR('Energy supply'!AS58/'2.6 Fuel Efficiencies'!AT79,0)</f>
        <v>0</v>
      </c>
      <c r="AV75" s="46">
        <f>IFERROR('Energy supply'!AT58/'2.6 Fuel Efficiencies'!AU79,0)</f>
        <v>0</v>
      </c>
      <c r="AW75" s="46">
        <f>IFERROR('Energy supply'!AU58/'2.6 Fuel Efficiencies'!AV79,0)</f>
        <v>0</v>
      </c>
      <c r="AX75" s="46">
        <f>IFERROR('Energy supply'!AV58/'2.6 Fuel Efficiencies'!AW79,0)</f>
        <v>0</v>
      </c>
      <c r="AY75" s="46">
        <f>IFERROR('Energy supply'!AW58/'2.6 Fuel Efficiencies'!AX79,0)</f>
        <v>0</v>
      </c>
      <c r="AZ75" s="46">
        <f>IFERROR('Energy supply'!AX58/'2.6 Fuel Efficiencies'!AY79,0)</f>
        <v>0</v>
      </c>
    </row>
    <row r="76" spans="2:52">
      <c r="E76" t="s">
        <v>803</v>
      </c>
      <c r="G76" t="s">
        <v>1372</v>
      </c>
      <c r="I76" s="44"/>
      <c r="K76" s="44"/>
      <c r="M76" s="44"/>
      <c r="O76" s="44"/>
      <c r="Q76" s="47" t="s">
        <v>804</v>
      </c>
      <c r="R76" s="47" t="s">
        <v>804</v>
      </c>
      <c r="S76" s="47" t="s">
        <v>804</v>
      </c>
      <c r="T76" s="47" t="s">
        <v>804</v>
      </c>
      <c r="U76" s="47" t="s">
        <v>804</v>
      </c>
      <c r="V76" s="47" t="s">
        <v>804</v>
      </c>
      <c r="W76" s="47" t="s">
        <v>804</v>
      </c>
      <c r="X76" s="47" t="s">
        <v>804</v>
      </c>
      <c r="Y76" s="47" t="s">
        <v>804</v>
      </c>
      <c r="Z76" s="47" t="s">
        <v>804</v>
      </c>
      <c r="AA76" s="47" t="s">
        <v>804</v>
      </c>
      <c r="AB76" s="47" t="s">
        <v>804</v>
      </c>
      <c r="AC76" s="47" t="s">
        <v>804</v>
      </c>
      <c r="AD76" s="47" t="s">
        <v>804</v>
      </c>
      <c r="AE76" s="47" t="s">
        <v>804</v>
      </c>
      <c r="AF76" s="47" t="s">
        <v>804</v>
      </c>
      <c r="AG76" s="47" t="s">
        <v>804</v>
      </c>
      <c r="AH76" s="47" t="s">
        <v>804</v>
      </c>
      <c r="AI76" s="47" t="s">
        <v>804</v>
      </c>
      <c r="AJ76" s="47" t="s">
        <v>804</v>
      </c>
      <c r="AK76" s="47" t="s">
        <v>804</v>
      </c>
      <c r="AL76" s="47" t="s">
        <v>804</v>
      </c>
      <c r="AM76" s="47" t="s">
        <v>804</v>
      </c>
      <c r="AN76" s="47" t="s">
        <v>804</v>
      </c>
      <c r="AO76" s="47" t="s">
        <v>804</v>
      </c>
      <c r="AP76" s="47" t="s">
        <v>804</v>
      </c>
      <c r="AQ76" s="47" t="s">
        <v>804</v>
      </c>
      <c r="AR76" s="47" t="s">
        <v>804</v>
      </c>
      <c r="AS76" s="47" t="s">
        <v>804</v>
      </c>
      <c r="AT76" s="47" t="s">
        <v>804</v>
      </c>
      <c r="AU76" s="47" t="s">
        <v>804</v>
      </c>
      <c r="AV76" s="47" t="s">
        <v>804</v>
      </c>
      <c r="AW76" s="47" t="s">
        <v>804</v>
      </c>
      <c r="AX76" s="47" t="s">
        <v>804</v>
      </c>
      <c r="AY76" s="47" t="s">
        <v>804</v>
      </c>
      <c r="AZ76" s="47" t="s">
        <v>804</v>
      </c>
    </row>
    <row r="77" spans="2:52">
      <c r="E77" t="s">
        <v>805</v>
      </c>
      <c r="G77" t="s">
        <v>210</v>
      </c>
      <c r="I77" s="44"/>
      <c r="K77" s="44"/>
      <c r="M77" s="44"/>
      <c r="O77" s="44"/>
      <c r="Q77" s="46">
        <f>IFERROR('Energy supply'!O60/'2.6 Fuel Efficiencies'!P82,0)</f>
        <v>11427.320410239481</v>
      </c>
      <c r="R77" s="46">
        <f>IFERROR('Energy supply'!P60/'2.6 Fuel Efficiencies'!Q82,0)</f>
        <v>11485.807557280064</v>
      </c>
      <c r="S77" s="46">
        <f>IFERROR('Energy supply'!Q60/'2.6 Fuel Efficiencies'!R82,0)</f>
        <v>11538.01979622951</v>
      </c>
      <c r="T77" s="46">
        <f>IFERROR('Energy supply'!R60/'2.6 Fuel Efficiencies'!S82,0)</f>
        <v>11590.030115079491</v>
      </c>
      <c r="U77" s="46">
        <f>IFERROR('Energy supply'!S60/'2.6 Fuel Efficiencies'!T82,0)</f>
        <v>11612.524455391853</v>
      </c>
      <c r="V77" s="46">
        <f>IFERROR('Energy supply'!T60/'2.6 Fuel Efficiencies'!U82,0)</f>
        <v>11691.153848243135</v>
      </c>
      <c r="W77" s="46">
        <f>IFERROR('Energy supply'!U60/'2.6 Fuel Efficiencies'!V82,0)</f>
        <v>11715.274695237005</v>
      </c>
      <c r="X77" s="46">
        <f>IFERROR('Energy supply'!V60/'2.6 Fuel Efficiencies'!W82,0)</f>
        <v>11739.646507197864</v>
      </c>
      <c r="Y77" s="46">
        <f>IFERROR('Energy supply'!W60/'2.6 Fuel Efficiencies'!X82,0)</f>
        <v>11712.325982949726</v>
      </c>
      <c r="Z77" s="46">
        <f>IFERROR('Energy supply'!X60/'2.6 Fuel Efficiencies'!Y82,0)</f>
        <v>11638.65460137142</v>
      </c>
      <c r="AA77" s="46">
        <f>IFERROR('Energy supply'!Y60/'2.6 Fuel Efficiencies'!Z82,0)</f>
        <v>11525.38774300263</v>
      </c>
      <c r="AB77" s="46">
        <f>IFERROR('Energy supply'!Z60/'2.6 Fuel Efficiencies'!AA82,0)</f>
        <v>11370.681520758799</v>
      </c>
      <c r="AC77" s="46">
        <f>IFERROR('Energy supply'!AA60/'2.6 Fuel Efficiencies'!AB82,0)</f>
        <v>11183.783386939176</v>
      </c>
      <c r="AD77" s="46">
        <f>IFERROR('Energy supply'!AB60/'2.6 Fuel Efficiencies'!AC82,0)</f>
        <v>10967.947216212217</v>
      </c>
      <c r="AE77" s="46">
        <f>IFERROR('Energy supply'!AC60/'2.6 Fuel Efficiencies'!AD82,0)</f>
        <v>10719.299851287604</v>
      </c>
      <c r="AF77" s="46">
        <f>IFERROR('Energy supply'!AD60/'2.6 Fuel Efficiencies'!AE82,0)</f>
        <v>10439.255666130995</v>
      </c>
      <c r="AG77" s="46">
        <f>IFERROR('Energy supply'!AE60/'2.6 Fuel Efficiencies'!AF82,0)</f>
        <v>10490.571911983616</v>
      </c>
      <c r="AH77" s="46">
        <f>IFERROR('Energy supply'!AF60/'2.6 Fuel Efficiencies'!AG82,0)</f>
        <v>10540.813339285007</v>
      </c>
      <c r="AI77" s="46">
        <f>IFERROR('Energy supply'!AG60/'2.6 Fuel Efficiencies'!AH82,0)</f>
        <v>10590.243320343241</v>
      </c>
      <c r="AJ77" s="46">
        <f>IFERROR('Energy supply'!AH60/'2.6 Fuel Efficiencies'!AI82,0)</f>
        <v>10639.082100409436</v>
      </c>
      <c r="AK77" s="46">
        <f>IFERROR('Energy supply'!AI60/'2.6 Fuel Efficiencies'!AJ82,0)</f>
        <v>10687.933978678264</v>
      </c>
      <c r="AL77" s="46">
        <f>IFERROR('Energy supply'!AJ60/'2.6 Fuel Efficiencies'!AK82,0)</f>
        <v>10743.941962775205</v>
      </c>
      <c r="AM77" s="46">
        <f>IFERROR('Energy supply'!AK60/'2.6 Fuel Efficiencies'!AL82,0)</f>
        <v>10798.184518317275</v>
      </c>
      <c r="AN77" s="46">
        <f>IFERROR('Energy supply'!AL60/'2.6 Fuel Efficiencies'!AM82,0)</f>
        <v>10850.921196991325</v>
      </c>
      <c r="AO77" s="46">
        <f>IFERROR('Energy supply'!AM60/'2.6 Fuel Efficiencies'!AN82,0)</f>
        <v>10902.380214646559</v>
      </c>
      <c r="AP77" s="46">
        <f>IFERROR('Energy supply'!AN60/'2.6 Fuel Efficiencies'!AO82,0)</f>
        <v>10952.763608502151</v>
      </c>
      <c r="AQ77" s="46">
        <f>IFERROR('Energy supply'!AO60/'2.6 Fuel Efficiencies'!AP82,0)</f>
        <v>11002.251382801482</v>
      </c>
      <c r="AR77" s="46">
        <f>IFERROR('Energy supply'!AP60/'2.6 Fuel Efficiencies'!AQ82,0)</f>
        <v>11051.004870486155</v>
      </c>
      <c r="AS77" s="46">
        <f>IFERROR('Energy supply'!AQ60/'2.6 Fuel Efficiencies'!AR82,0)</f>
        <v>11099.16948127073</v>
      </c>
      <c r="AT77" s="46">
        <f>IFERROR('Energy supply'!AR60/'2.6 Fuel Efficiencies'!AS82,0)</f>
        <v>11146.876965064104</v>
      </c>
      <c r="AU77" s="46">
        <f>IFERROR('Energy supply'!AS60/'2.6 Fuel Efficiencies'!AT82,0)</f>
        <v>11194.24728931197</v>
      </c>
      <c r="AV77" s="46">
        <f>IFERROR('Energy supply'!AT60/'2.6 Fuel Efficiencies'!AU82,0)</f>
        <v>11241.390206328213</v>
      </c>
      <c r="AW77" s="46">
        <f>IFERROR('Energy supply'!AU60/'2.6 Fuel Efficiencies'!AV82,0)</f>
        <v>11288.406569834046</v>
      </c>
      <c r="AX77" s="46">
        <f>IFERROR('Energy supply'!AV60/'2.6 Fuel Efficiencies'!AW82,0)</f>
        <v>11335.389447188727</v>
      </c>
      <c r="AY77" s="46">
        <f>IFERROR('Energy supply'!AW60/'2.6 Fuel Efficiencies'!AX82,0)</f>
        <v>11382.425064083507</v>
      </c>
      <c r="AZ77" s="46">
        <f>IFERROR('Energy supply'!AX60/'2.6 Fuel Efficiencies'!AY82,0)</f>
        <v>11429.593611000626</v>
      </c>
    </row>
    <row r="78" spans="2:52">
      <c r="N78" s="81"/>
      <c r="O78" s="81"/>
    </row>
    <row r="79" spans="2:52"/>
    <row r="80" spans="2:52" s="67" customFormat="1">
      <c r="B80" s="67" t="s">
        <v>222</v>
      </c>
      <c r="Q80" s="68"/>
      <c r="R80" s="68"/>
      <c r="S80" s="68"/>
      <c r="T80" s="68"/>
      <c r="U80" s="68"/>
      <c r="V80" s="68"/>
      <c r="W80" s="68"/>
      <c r="X80" s="68"/>
      <c r="Y80" s="68"/>
      <c r="Z80" s="68"/>
      <c r="AA80" s="68"/>
      <c r="AB80" s="68"/>
      <c r="AC80" s="68"/>
      <c r="AD80" s="68"/>
      <c r="AE80" s="68"/>
      <c r="AF80" s="68"/>
      <c r="AG80" s="68"/>
      <c r="AH80" s="68"/>
      <c r="AI80" s="68"/>
      <c r="AJ80" s="68"/>
      <c r="AK80" s="68"/>
      <c r="AL80" s="68"/>
      <c r="AM80" s="68"/>
      <c r="AN80" s="68"/>
      <c r="AO80" s="68"/>
      <c r="AP80" s="68"/>
      <c r="AQ80" s="68"/>
      <c r="AR80" s="68"/>
      <c r="AS80" s="68"/>
      <c r="AT80" s="68"/>
      <c r="AU80" s="68"/>
      <c r="AV80" s="68"/>
      <c r="AW80" s="68"/>
      <c r="AX80" s="68"/>
      <c r="AY80" s="68"/>
      <c r="AZ80" s="68"/>
    </row>
    <row r="81" spans="2:53"/>
    <row r="82" spans="2:53" s="43" customFormat="1">
      <c r="B82" s="43" t="s">
        <v>1374</v>
      </c>
      <c r="Q82" s="71"/>
      <c r="R82" s="71"/>
      <c r="S82" s="71"/>
      <c r="T82" s="71"/>
      <c r="U82" s="71"/>
      <c r="V82" s="71"/>
      <c r="W82" s="71"/>
      <c r="X82" s="71"/>
      <c r="Y82" s="71"/>
      <c r="Z82" s="71"/>
      <c r="AA82" s="71"/>
      <c r="AB82" s="71"/>
      <c r="AC82" s="71"/>
      <c r="AD82" s="71"/>
      <c r="AE82" s="71"/>
      <c r="AF82" s="71"/>
      <c r="AG82" s="71"/>
      <c r="AH82" s="71"/>
      <c r="AI82" s="71"/>
      <c r="AJ82" s="71"/>
      <c r="AK82" s="71"/>
      <c r="AL82" s="71"/>
      <c r="AM82" s="71"/>
      <c r="AN82" s="71"/>
      <c r="AO82" s="71"/>
      <c r="AP82" s="71"/>
      <c r="AQ82" s="71"/>
      <c r="AR82" s="71"/>
      <c r="AS82" s="71"/>
      <c r="AT82" s="71"/>
      <c r="AU82" s="71"/>
      <c r="AV82" s="71"/>
      <c r="AW82" s="71"/>
      <c r="AX82" s="71"/>
      <c r="AY82" s="71"/>
      <c r="AZ82" s="71"/>
    </row>
    <row r="83" spans="2:53"/>
    <row r="84" spans="2:53">
      <c r="E84" t="s">
        <v>157</v>
      </c>
      <c r="G84" t="s">
        <v>210</v>
      </c>
      <c r="I84" s="44"/>
      <c r="K84" s="44"/>
      <c r="M84" s="44"/>
      <c r="O84" s="44"/>
      <c r="Q84" s="34">
        <f>'Energy supply'!O75/'2.6 Fuel Efficiencies'!P52</f>
        <v>0</v>
      </c>
      <c r="R84" s="619">
        <f>'Energy supply'!P75/'2.6 Fuel Efficiencies'!Q52</f>
        <v>1.0229604746451997E-2</v>
      </c>
      <c r="S84" s="619">
        <f>'Energy supply'!Q75/'2.6 Fuel Efficiencies'!R52</f>
        <v>4.0918418985807989E-2</v>
      </c>
      <c r="T84" s="619">
        <f>'Energy supply'!R75/'2.6 Fuel Efficiencies'!S52</f>
        <v>9.2066442718067978E-2</v>
      </c>
      <c r="U84" s="619">
        <f>'Energy supply'!S75/'2.6 Fuel Efficiencies'!T52</f>
        <v>0.16367367594323196</v>
      </c>
      <c r="V84" s="619">
        <f>'Energy supply'!T75/'2.6 Fuel Efficiencies'!U52</f>
        <v>0.25574011866129986</v>
      </c>
      <c r="W84" s="619">
        <f>'Energy supply'!U75/'2.6 Fuel Efficiencies'!V52</f>
        <v>0.36826577087227186</v>
      </c>
      <c r="X84" s="619">
        <f>'Energy supply'!V75/'2.6 Fuel Efficiencies'!W52</f>
        <v>0.50125063257614777</v>
      </c>
      <c r="Y84" s="619">
        <f>'Energy supply'!W75/'2.6 Fuel Efficiencies'!X52</f>
        <v>0.6546947037729276</v>
      </c>
      <c r="Z84" s="619">
        <f>'Energy supply'!X75/'2.6 Fuel Efficiencies'!Y52</f>
        <v>0.82859798446261135</v>
      </c>
      <c r="AA84" s="619">
        <f>'Energy supply'!Y75/'2.6 Fuel Efficiencies'!Z52</f>
        <v>1.0229604746451995</v>
      </c>
      <c r="AB84" s="619">
        <f>'Energy supply'!Z75/'2.6 Fuel Efficiencies'!AA52</f>
        <v>1.5033042881647893</v>
      </c>
      <c r="AC84" s="619">
        <f>'Energy supply'!AA75/'2.6 Fuel Efficiencies'!AB52</f>
        <v>1.9837340604051057</v>
      </c>
      <c r="AD84" s="619">
        <f>'Energy supply'!AB75/'2.6 Fuel Efficiencies'!AC52</f>
        <v>2.4642497913661487</v>
      </c>
      <c r="AE84" s="619">
        <f>'Energy supply'!AC75/'2.6 Fuel Efficiencies'!AD52</f>
        <v>2.9448514810479178</v>
      </c>
      <c r="AF84" s="619">
        <f>'Energy supply'!AD75/'2.6 Fuel Efficiencies'!AE52</f>
        <v>3.4255391294504141</v>
      </c>
      <c r="AG84" s="619">
        <f>'Energy supply'!AE75/'2.6 Fuel Efficiencies'!AF52</f>
        <v>3.906312736573637</v>
      </c>
      <c r="AH84" s="619">
        <f>'Energy supply'!AF75/'2.6 Fuel Efficiencies'!AG52</f>
        <v>4.3871723024175875</v>
      </c>
      <c r="AI84" s="619">
        <f>'Energy supply'!AG75/'2.6 Fuel Efficiencies'!AH52</f>
        <v>4.8681178269822611</v>
      </c>
      <c r="AJ84" s="619">
        <f>'Energy supply'!AH75/'2.6 Fuel Efficiencies'!AI52</f>
        <v>5.3491493102676646</v>
      </c>
      <c r="AK84" s="619">
        <f>'Energy supply'!AI75/'2.6 Fuel Efficiencies'!AJ52</f>
        <v>5.8302667522737943</v>
      </c>
      <c r="AL84" s="619">
        <f>'Energy supply'!AJ75/'2.6 Fuel Efficiencies'!AK52</f>
        <v>6.3114701530006503</v>
      </c>
      <c r="AM84" s="619">
        <f>'Energy supply'!AK75/'2.6 Fuel Efficiencies'!AL52</f>
        <v>6.7927595124482307</v>
      </c>
      <c r="AN84" s="619">
        <f>'Energy supply'!AL75/'2.6 Fuel Efficiencies'!AM52</f>
        <v>7.2741348306165392</v>
      </c>
      <c r="AO84" s="619">
        <f>'Energy supply'!AM75/'2.6 Fuel Efficiencies'!AN52</f>
        <v>7.7555961075055766</v>
      </c>
      <c r="AP84" s="619">
        <f>'Energy supply'!AN75/'2.6 Fuel Efficiencies'!AO52</f>
        <v>8.2371433431153385</v>
      </c>
      <c r="AQ84" s="619">
        <f>'Energy supply'!AO75/'2.6 Fuel Efficiencies'!AP52</f>
        <v>8.7187765374458266</v>
      </c>
      <c r="AR84" s="619">
        <f>'Energy supply'!AP75/'2.6 Fuel Efficiencies'!AQ52</f>
        <v>9.2004956904970392</v>
      </c>
      <c r="AS84" s="619">
        <f>'Energy supply'!AQ75/'2.6 Fuel Efficiencies'!AR52</f>
        <v>9.6823008022689834</v>
      </c>
      <c r="AT84" s="619">
        <f>'Energy supply'!AR75/'2.6 Fuel Efficiencies'!AS52</f>
        <v>10.16419187276165</v>
      </c>
      <c r="AU84" s="619">
        <f>'Energy supply'!AS75/'2.6 Fuel Efficiencies'!AT52</f>
        <v>10.646168901975045</v>
      </c>
      <c r="AV84" s="619">
        <f>'Energy supply'!AT75/'2.6 Fuel Efficiencies'!AU52</f>
        <v>11.128231889909166</v>
      </c>
      <c r="AW84" s="619">
        <f>'Energy supply'!AU75/'2.6 Fuel Efficiencies'!AV52</f>
        <v>11.610380836564016</v>
      </c>
      <c r="AX84" s="619">
        <f>'Energy supply'!AV75/'2.6 Fuel Efficiencies'!AW52</f>
        <v>12.092615741939589</v>
      </c>
      <c r="AY84" s="619">
        <f>'Energy supply'!AW75/'2.6 Fuel Efficiencies'!AX52</f>
        <v>12.574936606035893</v>
      </c>
      <c r="AZ84" s="619">
        <f>'Energy supply'!AX75/'2.6 Fuel Efficiencies'!AY52</f>
        <v>13.057343428852944</v>
      </c>
    </row>
    <row r="85" spans="2:53">
      <c r="E85" t="s">
        <v>722</v>
      </c>
      <c r="G85" t="s">
        <v>210</v>
      </c>
      <c r="I85" s="44"/>
      <c r="K85" s="44"/>
      <c r="M85" s="44"/>
      <c r="O85" s="44"/>
      <c r="Q85" s="34">
        <f>IFERROR('Energy supply'!O76/'2.6 Fuel Efficiencies'!P53,0)</f>
        <v>635.66224491980176</v>
      </c>
      <c r="R85" s="34">
        <f>IFERROR('Energy supply'!P76/'2.6 Fuel Efficiencies'!Q53,0)</f>
        <v>643.03546884481102</v>
      </c>
      <c r="S85" s="34">
        <f>IFERROR('Energy supply'!Q76/'2.6 Fuel Efficiencies'!R53,0)</f>
        <v>650.43916993563528</v>
      </c>
      <c r="T85" s="34">
        <f>IFERROR('Energy supply'!R76/'2.6 Fuel Efficiencies'!S53,0)</f>
        <v>657.87334819227431</v>
      </c>
      <c r="U85" s="34">
        <f>IFERROR('Energy supply'!S76/'2.6 Fuel Efficiencies'!T53,0)</f>
        <v>665.33800361472822</v>
      </c>
      <c r="V85" s="34">
        <f>IFERROR('Energy supply'!T76/'2.6 Fuel Efficiencies'!U53,0)</f>
        <v>672.83313620299703</v>
      </c>
      <c r="W85" s="34">
        <f>IFERROR('Energy supply'!U76/'2.6 Fuel Efficiencies'!V53,0)</f>
        <v>680.35874595708071</v>
      </c>
      <c r="X85" s="34">
        <f>IFERROR('Energy supply'!V76/'2.6 Fuel Efficiencies'!W53,0)</f>
        <v>687.91483287697918</v>
      </c>
      <c r="Y85" s="34">
        <f>IFERROR('Energy supply'!W76/'2.6 Fuel Efficiencies'!X53,0)</f>
        <v>695.50139696269252</v>
      </c>
      <c r="Z85" s="34">
        <f>IFERROR('Energy supply'!X76/'2.6 Fuel Efficiencies'!Y53,0)</f>
        <v>703.11843821422076</v>
      </c>
      <c r="AA85" s="34">
        <f>IFERROR('Energy supply'!Y76/'2.6 Fuel Efficiencies'!Z53,0)</f>
        <v>710.76595663156422</v>
      </c>
      <c r="AB85" s="34">
        <f>IFERROR('Energy supply'!Z76/'2.6 Fuel Efficiencies'!AA53,0)</f>
        <v>726.67441832213183</v>
      </c>
      <c r="AC85" s="34">
        <f>IFERROR('Energy supply'!AA76/'2.6 Fuel Efficiencies'!AB53,0)</f>
        <v>742.62558164301754</v>
      </c>
      <c r="AD85" s="34">
        <f>IFERROR('Energy supply'!AB76/'2.6 Fuel Efficiencies'!AC53,0)</f>
        <v>758.61944659422147</v>
      </c>
      <c r="AE85" s="34">
        <f>IFERROR('Energy supply'!AC76/'2.6 Fuel Efficiencies'!AD53,0)</f>
        <v>774.65601317574362</v>
      </c>
      <c r="AF85" s="34">
        <f>IFERROR('Energy supply'!AD76/'2.6 Fuel Efficiencies'!AE53,0)</f>
        <v>790.73528138758365</v>
      </c>
      <c r="AG85" s="34">
        <f>IFERROR('Energy supply'!AE76/'2.6 Fuel Efficiencies'!AF53,0)</f>
        <v>806.85725122974202</v>
      </c>
      <c r="AH85" s="34">
        <f>IFERROR('Energy supply'!AF76/'2.6 Fuel Efficiencies'!AG53,0)</f>
        <v>823.02192270221826</v>
      </c>
      <c r="AI85" s="34">
        <f>IFERROR('Energy supply'!AG76/'2.6 Fuel Efficiencies'!AH53,0)</f>
        <v>839.22929580501284</v>
      </c>
      <c r="AJ85" s="34">
        <f>IFERROR('Energy supply'!AH76/'2.6 Fuel Efficiencies'!AI53,0)</f>
        <v>855.47937053812552</v>
      </c>
      <c r="AK85" s="34">
        <f>IFERROR('Energy supply'!AI76/'2.6 Fuel Efficiencies'!AJ53,0)</f>
        <v>871.77214690155631</v>
      </c>
      <c r="AL85" s="34">
        <f>IFERROR('Energy supply'!AJ76/'2.6 Fuel Efficiencies'!AK53,0)</f>
        <v>888.10762489530521</v>
      </c>
      <c r="AM85" s="34">
        <f>IFERROR('Energy supply'!AK76/'2.6 Fuel Efficiencies'!AL53,0)</f>
        <v>904.48580451937221</v>
      </c>
      <c r="AN85" s="34">
        <f>IFERROR('Energy supply'!AL76/'2.6 Fuel Efficiencies'!AM53,0)</f>
        <v>920.90668577375743</v>
      </c>
      <c r="AO85" s="34">
        <f>IFERROR('Energy supply'!AM76/'2.6 Fuel Efficiencies'!AN53,0)</f>
        <v>937.37026865846076</v>
      </c>
      <c r="AP85" s="34">
        <f>IFERROR('Energy supply'!AN76/'2.6 Fuel Efficiencies'!AO53,0)</f>
        <v>953.87655317348197</v>
      </c>
      <c r="AQ85" s="34">
        <f>IFERROR('Energy supply'!AO76/'2.6 Fuel Efficiencies'!AP53,0)</f>
        <v>970.42553931882139</v>
      </c>
      <c r="AR85" s="34">
        <f>IFERROR('Energy supply'!AP76/'2.6 Fuel Efficiencies'!AQ53,0)</f>
        <v>987.01722709447893</v>
      </c>
      <c r="AS85" s="34">
        <f>IFERROR('Energy supply'!AQ76/'2.6 Fuel Efficiencies'!AR53,0)</f>
        <v>1003.6516165004549</v>
      </c>
      <c r="AT85" s="34">
        <f>IFERROR('Energy supply'!AR76/'2.6 Fuel Efficiencies'!AS53,0)</f>
        <v>1020.3287075367487</v>
      </c>
      <c r="AU85" s="34">
        <f>IFERROR('Energy supply'!AS76/'2.6 Fuel Efficiencies'!AT53,0)</f>
        <v>1037.0485002033608</v>
      </c>
      <c r="AV85" s="34">
        <f>IFERROR('Energy supply'!AT76/'2.6 Fuel Efficiencies'!AU53,0)</f>
        <v>1053.8109945002911</v>
      </c>
      <c r="AW85" s="34">
        <f>IFERROR('Energy supply'!AU76/'2.6 Fuel Efficiencies'!AV53,0)</f>
        <v>1070.6161904275393</v>
      </c>
      <c r="AX85" s="34">
        <f>IFERROR('Energy supply'!AV76/'2.6 Fuel Efficiencies'!AW53,0)</f>
        <v>1087.4640879851056</v>
      </c>
      <c r="AY85" s="34">
        <f>IFERROR('Energy supply'!AW76/'2.6 Fuel Efficiencies'!AX53,0)</f>
        <v>1104.35468717299</v>
      </c>
      <c r="AZ85" s="34">
        <f>IFERROR('Energy supply'!AX76/'2.6 Fuel Efficiencies'!AY53,0)</f>
        <v>1121.2879879911948</v>
      </c>
    </row>
    <row r="86" spans="2:53"/>
    <row r="87" spans="2:53"/>
    <row r="88" spans="2:53" s="67" customFormat="1">
      <c r="B88" s="67" t="s">
        <v>1355</v>
      </c>
      <c r="Q88" s="68"/>
      <c r="R88" s="68"/>
      <c r="S88" s="68"/>
      <c r="T88" s="68"/>
      <c r="U88" s="68"/>
      <c r="V88" s="68"/>
      <c r="W88" s="68"/>
      <c r="X88" s="68"/>
      <c r="Y88" s="68"/>
      <c r="Z88" s="68"/>
      <c r="AA88" s="68"/>
      <c r="AB88" s="68"/>
      <c r="AC88" s="68"/>
      <c r="AD88" s="68"/>
      <c r="AE88" s="68"/>
      <c r="AF88" s="68"/>
      <c r="AG88" s="68"/>
      <c r="AH88" s="68"/>
      <c r="AI88" s="68"/>
      <c r="AJ88" s="68"/>
      <c r="AK88" s="68"/>
      <c r="AL88" s="68"/>
      <c r="AM88" s="68"/>
      <c r="AN88" s="68"/>
      <c r="AO88" s="68"/>
      <c r="AP88" s="68"/>
      <c r="AQ88" s="68"/>
      <c r="AR88" s="68"/>
      <c r="AS88" s="68"/>
      <c r="AT88" s="68"/>
      <c r="AU88" s="68"/>
      <c r="AV88" s="68"/>
      <c r="AW88" s="68"/>
      <c r="AX88" s="68"/>
      <c r="AY88" s="68"/>
      <c r="AZ88" s="68"/>
    </row>
    <row r="91" spans="2:53" hidden="1">
      <c r="Q91" s="159"/>
      <c r="R91" s="159"/>
      <c r="S91" s="159"/>
      <c r="T91" s="159"/>
      <c r="U91" s="159"/>
      <c r="V91" s="159"/>
      <c r="W91" s="159"/>
      <c r="X91" s="159"/>
      <c r="Y91" s="159"/>
      <c r="Z91" s="159"/>
      <c r="AA91" s="159"/>
      <c r="AB91" s="159"/>
      <c r="AC91" s="159"/>
      <c r="AD91" s="159"/>
      <c r="AE91" s="159"/>
      <c r="AF91" s="159"/>
      <c r="AG91" s="159"/>
      <c r="AH91" s="159"/>
      <c r="AI91" s="159"/>
      <c r="AJ91" s="159"/>
      <c r="AK91" s="159"/>
      <c r="AL91" s="159"/>
      <c r="AM91" s="159"/>
      <c r="AN91" s="159"/>
      <c r="AO91" s="159"/>
      <c r="AP91" s="159"/>
      <c r="AQ91" s="159"/>
      <c r="AR91" s="159"/>
      <c r="AS91" s="159"/>
      <c r="AT91" s="159"/>
      <c r="AU91" s="159"/>
      <c r="AV91" s="159"/>
      <c r="AW91" s="159"/>
      <c r="AX91" s="159"/>
      <c r="AY91" s="159"/>
      <c r="AZ91" s="159"/>
      <c r="BA91" s="159"/>
    </row>
    <row r="92" spans="2:53" hidden="1">
      <c r="Q92" s="159"/>
      <c r="R92" s="159"/>
      <c r="S92" s="159"/>
      <c r="T92" s="159"/>
      <c r="U92" s="159"/>
      <c r="V92" s="159"/>
      <c r="W92" s="159"/>
      <c r="X92" s="159"/>
      <c r="Y92" s="159"/>
      <c r="Z92" s="159"/>
      <c r="AA92" s="159"/>
      <c r="AB92" s="159"/>
      <c r="AC92" s="159"/>
      <c r="AD92" s="159"/>
      <c r="AE92" s="159"/>
      <c r="AF92" s="159"/>
      <c r="AG92" s="159"/>
      <c r="AH92" s="159"/>
      <c r="AI92" s="159"/>
      <c r="AJ92" s="159"/>
      <c r="AK92" s="159"/>
      <c r="AL92" s="159"/>
      <c r="AM92" s="159"/>
      <c r="AN92" s="159"/>
      <c r="AO92" s="159"/>
      <c r="AP92" s="159"/>
      <c r="AQ92" s="159"/>
      <c r="AR92" s="159"/>
      <c r="AS92" s="159"/>
      <c r="AT92" s="159"/>
      <c r="AU92" s="159"/>
      <c r="AV92" s="159"/>
      <c r="AW92" s="159"/>
      <c r="AX92" s="159"/>
      <c r="AY92" s="159"/>
      <c r="AZ92" s="159"/>
      <c r="BA92" s="159"/>
    </row>
    <row r="93" spans="2:53" hidden="1">
      <c r="Q93" s="159"/>
      <c r="R93" s="159"/>
      <c r="S93" s="159"/>
      <c r="T93" s="159"/>
      <c r="U93" s="159"/>
      <c r="V93" s="159"/>
      <c r="W93" s="159"/>
      <c r="X93" s="159"/>
      <c r="Y93" s="159"/>
      <c r="Z93" s="159"/>
      <c r="AA93" s="159"/>
      <c r="AB93" s="159"/>
      <c r="AC93" s="159"/>
      <c r="AD93" s="159"/>
      <c r="AE93" s="159"/>
      <c r="AF93" s="159"/>
      <c r="AG93" s="159"/>
      <c r="AH93" s="159"/>
      <c r="AI93" s="159"/>
      <c r="AJ93" s="159"/>
      <c r="AK93" s="159"/>
      <c r="AL93" s="159"/>
      <c r="AM93" s="159"/>
      <c r="AN93" s="159"/>
      <c r="AO93" s="159"/>
      <c r="AP93" s="159"/>
      <c r="AQ93" s="159"/>
      <c r="AR93" s="159"/>
      <c r="AS93" s="159"/>
      <c r="AT93" s="159"/>
      <c r="AU93" s="159"/>
      <c r="AV93" s="159"/>
      <c r="AW93" s="159"/>
      <c r="AX93" s="159"/>
      <c r="AY93" s="159"/>
      <c r="AZ93" s="159"/>
      <c r="BA93" s="159"/>
    </row>
    <row r="94" spans="2:53" hidden="1">
      <c r="Q94" s="159"/>
      <c r="R94" s="159"/>
      <c r="S94" s="159"/>
      <c r="T94" s="159"/>
      <c r="U94" s="159"/>
      <c r="V94" s="159"/>
      <c r="W94" s="159"/>
      <c r="X94" s="159"/>
      <c r="Y94" s="159"/>
      <c r="Z94" s="159"/>
      <c r="AA94" s="159"/>
      <c r="AB94" s="159"/>
      <c r="AC94" s="159"/>
      <c r="AD94" s="159"/>
      <c r="AE94" s="159"/>
      <c r="AF94" s="159"/>
      <c r="AG94" s="159"/>
      <c r="AH94" s="159"/>
      <c r="AI94" s="159"/>
      <c r="AJ94" s="159"/>
      <c r="AK94" s="159"/>
      <c r="AL94" s="159"/>
      <c r="AM94" s="159"/>
      <c r="AN94" s="159"/>
      <c r="AO94" s="159"/>
      <c r="AP94" s="159"/>
      <c r="AQ94" s="159"/>
      <c r="AR94" s="159"/>
      <c r="AS94" s="159"/>
      <c r="AT94" s="159"/>
      <c r="AU94" s="159"/>
      <c r="AV94" s="159"/>
      <c r="AW94" s="159"/>
      <c r="AX94" s="159"/>
      <c r="AY94" s="159"/>
      <c r="AZ94" s="159"/>
      <c r="BA94" s="159"/>
    </row>
    <row r="95" spans="2:53" hidden="1">
      <c r="Q95" s="159"/>
      <c r="R95" s="159"/>
      <c r="S95" s="159"/>
      <c r="T95" s="159"/>
      <c r="U95" s="159"/>
      <c r="V95" s="159"/>
      <c r="W95" s="159"/>
      <c r="X95" s="159"/>
      <c r="Y95" s="159"/>
      <c r="Z95" s="159"/>
      <c r="AA95" s="159"/>
      <c r="AB95" s="159"/>
      <c r="AC95" s="159"/>
      <c r="AD95" s="159"/>
      <c r="AE95" s="159"/>
      <c r="AF95" s="159"/>
      <c r="AG95" s="159"/>
      <c r="AH95" s="159"/>
      <c r="AI95" s="159"/>
      <c r="AJ95" s="159"/>
      <c r="AK95" s="159"/>
      <c r="AL95" s="159"/>
      <c r="AM95" s="159"/>
      <c r="AN95" s="159"/>
      <c r="AO95" s="159"/>
      <c r="AP95" s="159"/>
      <c r="AQ95" s="159"/>
      <c r="AR95" s="159"/>
      <c r="AS95" s="159"/>
      <c r="AT95" s="159"/>
      <c r="AU95" s="159"/>
      <c r="AV95" s="159"/>
      <c r="AW95" s="159"/>
      <c r="AX95" s="159"/>
      <c r="AY95" s="159"/>
      <c r="AZ95" s="159"/>
      <c r="BA95" s="159"/>
    </row>
    <row r="96" spans="2:53" hidden="1">
      <c r="Q96" s="159"/>
      <c r="R96" s="159"/>
      <c r="S96" s="159"/>
      <c r="T96" s="159"/>
      <c r="U96" s="159"/>
      <c r="V96" s="159"/>
      <c r="W96" s="159"/>
      <c r="X96" s="159"/>
      <c r="Y96" s="159"/>
      <c r="Z96" s="159"/>
      <c r="AA96" s="159"/>
      <c r="AB96" s="159"/>
      <c r="AC96" s="159"/>
      <c r="AD96" s="159"/>
      <c r="AE96" s="159"/>
      <c r="AF96" s="159"/>
      <c r="AG96" s="159"/>
      <c r="AH96" s="159"/>
      <c r="AI96" s="159"/>
      <c r="AJ96" s="159"/>
      <c r="AK96" s="159"/>
      <c r="AL96" s="159"/>
      <c r="AM96" s="159"/>
      <c r="AN96" s="159"/>
      <c r="AO96" s="159"/>
      <c r="AP96" s="159"/>
      <c r="AQ96" s="159"/>
      <c r="AR96" s="159"/>
      <c r="AS96" s="159"/>
      <c r="AT96" s="159"/>
      <c r="AU96" s="159"/>
      <c r="AV96" s="159"/>
      <c r="AW96" s="159"/>
      <c r="AX96" s="159"/>
      <c r="AY96" s="159"/>
      <c r="AZ96" s="159"/>
      <c r="BA96" s="159"/>
    </row>
  </sheetData>
  <conditionalFormatting sqref="Q11:AZ36 Q40:AZ85">
    <cfRule type="cellIs" dxfId="12" priority="6" operator="lessThan">
      <formula>0</formula>
    </cfRule>
  </conditionalFormatting>
  <conditionalFormatting sqref="Q37:AZ39">
    <cfRule type="cellIs" dxfId="11" priority="4" operator="lessThan">
      <formula>0</formula>
    </cfRule>
  </conditionalFormatting>
  <conditionalFormatting sqref="Q88:AZ88">
    <cfRule type="cellIs" dxfId="10" priority="1" operator="lessThan">
      <formula>0</formula>
    </cfRule>
  </conditionalFormatting>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tabColor theme="4"/>
  </sheetPr>
  <dimension ref="B2:CB198"/>
  <sheetViews>
    <sheetView topLeftCell="AC16" zoomScale="80" zoomScaleNormal="80" workbookViewId="0">
      <selection activeCell="O35" sqref="O35"/>
    </sheetView>
  </sheetViews>
  <sheetFormatPr defaultColWidth="5.42578125" defaultRowHeight="15"/>
  <cols>
    <col min="1" max="16" width="5.42578125" style="38"/>
    <col min="17" max="53" width="10.140625" style="38" customWidth="1"/>
    <col min="54" max="16384" width="5.42578125" style="38"/>
  </cols>
  <sheetData>
    <row r="2" spans="2:52">
      <c r="E2" s="60" t="s">
        <v>769</v>
      </c>
      <c r="F2" s="60"/>
      <c r="G2" s="60" t="s">
        <v>770</v>
      </c>
      <c r="H2" s="60"/>
      <c r="I2" s="60" t="s">
        <v>179</v>
      </c>
      <c r="J2" s="60"/>
      <c r="K2" s="60" t="s">
        <v>180</v>
      </c>
      <c r="L2" s="60"/>
      <c r="M2" s="60" t="s">
        <v>718</v>
      </c>
      <c r="N2" s="60"/>
      <c r="O2" s="60" t="s">
        <v>719</v>
      </c>
      <c r="Q2" s="82">
        <v>2015</v>
      </c>
      <c r="R2" s="82">
        <v>2016</v>
      </c>
      <c r="S2" s="82">
        <v>2017</v>
      </c>
      <c r="T2" s="82">
        <v>2018</v>
      </c>
      <c r="U2" s="82">
        <v>2019</v>
      </c>
      <c r="V2" s="82">
        <v>2020</v>
      </c>
      <c r="W2" s="82">
        <v>2021</v>
      </c>
      <c r="X2" s="82">
        <v>2022</v>
      </c>
      <c r="Y2" s="82">
        <v>2023</v>
      </c>
      <c r="Z2" s="82">
        <v>2024</v>
      </c>
      <c r="AA2" s="82">
        <v>2025</v>
      </c>
      <c r="AB2" s="82">
        <v>2026</v>
      </c>
      <c r="AC2" s="82">
        <v>2027</v>
      </c>
      <c r="AD2" s="82">
        <v>2028</v>
      </c>
      <c r="AE2" s="82">
        <v>2029</v>
      </c>
      <c r="AF2" s="82">
        <v>2030</v>
      </c>
      <c r="AG2" s="82">
        <v>2031</v>
      </c>
      <c r="AH2" s="82">
        <v>2032</v>
      </c>
      <c r="AI2" s="82">
        <v>2033</v>
      </c>
      <c r="AJ2" s="82">
        <v>2034</v>
      </c>
      <c r="AK2" s="82">
        <v>2035</v>
      </c>
      <c r="AL2" s="82">
        <v>2036</v>
      </c>
      <c r="AM2" s="82">
        <v>2037</v>
      </c>
      <c r="AN2" s="82">
        <v>2038</v>
      </c>
      <c r="AO2" s="82">
        <v>2039</v>
      </c>
      <c r="AP2" s="82">
        <v>2040</v>
      </c>
      <c r="AQ2" s="82">
        <v>2041</v>
      </c>
      <c r="AR2" s="82">
        <v>2042</v>
      </c>
      <c r="AS2" s="82">
        <v>2043</v>
      </c>
      <c r="AT2" s="82">
        <v>2044</v>
      </c>
      <c r="AU2" s="82">
        <v>2045</v>
      </c>
      <c r="AV2" s="82">
        <v>2046</v>
      </c>
      <c r="AW2" s="82">
        <v>2047</v>
      </c>
      <c r="AX2" s="82">
        <v>2048</v>
      </c>
      <c r="AY2" s="82">
        <v>2049</v>
      </c>
      <c r="AZ2" s="82">
        <v>2050</v>
      </c>
    </row>
    <row r="3" spans="2:52">
      <c r="E3" s="89"/>
    </row>
    <row r="4" spans="2:52" s="93" customFormat="1">
      <c r="B4" s="67" t="s">
        <v>1375</v>
      </c>
      <c r="Q4" s="94"/>
      <c r="R4" s="94"/>
      <c r="S4" s="94"/>
      <c r="T4" s="94"/>
      <c r="U4" s="94"/>
      <c r="V4" s="94"/>
      <c r="W4" s="94"/>
      <c r="X4" s="94"/>
      <c r="Y4" s="94"/>
      <c r="Z4" s="94"/>
      <c r="AA4" s="94"/>
      <c r="AB4" s="94"/>
      <c r="AC4" s="94"/>
      <c r="AD4" s="94"/>
      <c r="AE4" s="94"/>
      <c r="AF4" s="94"/>
      <c r="AG4" s="94"/>
      <c r="AH4" s="94"/>
      <c r="AI4" s="94"/>
      <c r="AJ4" s="94"/>
      <c r="AK4" s="94"/>
      <c r="AL4" s="94"/>
      <c r="AM4" s="94"/>
      <c r="AN4" s="94"/>
      <c r="AO4" s="94"/>
      <c r="AP4" s="94"/>
      <c r="AQ4" s="94"/>
      <c r="AR4" s="94"/>
      <c r="AS4" s="94"/>
      <c r="AT4" s="94"/>
      <c r="AU4" s="94"/>
      <c r="AV4" s="94"/>
      <c r="AW4" s="94"/>
      <c r="AX4" s="94"/>
      <c r="AY4" s="94"/>
      <c r="AZ4" s="94"/>
    </row>
    <row r="6" spans="2:52" s="95" customFormat="1">
      <c r="C6" s="43" t="s">
        <v>1376</v>
      </c>
      <c r="Q6" s="96"/>
      <c r="R6" s="96"/>
      <c r="S6" s="96"/>
      <c r="T6" s="96"/>
      <c r="U6" s="96"/>
      <c r="V6" s="96"/>
      <c r="W6" s="96"/>
      <c r="X6" s="96"/>
      <c r="Y6" s="96"/>
      <c r="Z6" s="96"/>
      <c r="AA6" s="96"/>
      <c r="AB6" s="96"/>
      <c r="AC6" s="96"/>
      <c r="AD6" s="96"/>
      <c r="AE6" s="96"/>
      <c r="AF6" s="96"/>
      <c r="AG6" s="96"/>
      <c r="AH6" s="96"/>
      <c r="AI6" s="96"/>
      <c r="AJ6" s="96"/>
      <c r="AK6" s="96"/>
      <c r="AL6" s="96"/>
      <c r="AM6" s="96"/>
      <c r="AN6" s="96"/>
      <c r="AO6" s="96"/>
      <c r="AP6" s="96"/>
      <c r="AQ6" s="96"/>
      <c r="AR6" s="96"/>
      <c r="AS6" s="96"/>
      <c r="AT6" s="96"/>
      <c r="AU6" s="96"/>
      <c r="AV6" s="96"/>
      <c r="AW6" s="96"/>
      <c r="AX6" s="96"/>
      <c r="AY6" s="96"/>
      <c r="AZ6" s="96"/>
    </row>
    <row r="7" spans="2:52">
      <c r="E7" s="56"/>
      <c r="G7" s="92"/>
    </row>
    <row r="8" spans="2:52">
      <c r="D8" s="38" t="s">
        <v>157</v>
      </c>
      <c r="E8" s="56"/>
    </row>
    <row r="9" spans="2:52">
      <c r="E9" s="56"/>
    </row>
    <row r="10" spans="2:52">
      <c r="E10" s="97" t="s">
        <v>773</v>
      </c>
      <c r="F10" s="97"/>
      <c r="G10" s="97" t="s">
        <v>749</v>
      </c>
    </row>
    <row r="11" spans="2:52" ht="18">
      <c r="E11" s="55" t="s">
        <v>774</v>
      </c>
      <c r="F11" s="55"/>
      <c r="G11" s="55" t="s">
        <v>775</v>
      </c>
      <c r="I11" s="234" t="s">
        <v>184</v>
      </c>
      <c r="K11" s="98"/>
      <c r="M11" s="98"/>
      <c r="O11" s="98"/>
      <c r="Q11" s="83">
        <f>('Fuel Consumption'!Q11 +'Fuel Consumption'!Q12)* '2.5 Emission factors'!O14</f>
        <v>2077.9119644179882</v>
      </c>
      <c r="R11" s="83">
        <f>('Fuel Consumption'!R11 +'Fuel Consumption'!R12)* '2.5 Emission factors'!P14</f>
        <v>2065.3929865410082</v>
      </c>
      <c r="S11" s="83">
        <f>('Fuel Consumption'!S11 +'Fuel Consumption'!S12)* '2.5 Emission factors'!Q14</f>
        <v>2057.2709524064453</v>
      </c>
      <c r="T11" s="83">
        <f>('Fuel Consumption'!T11 +'Fuel Consumption'!T12)* '2.5 Emission factors'!R14</f>
        <v>2048.6258624067796</v>
      </c>
      <c r="U11" s="83">
        <f>('Fuel Consumption'!U11 +'Fuel Consumption'!U12)* '2.5 Emission factors'!S14</f>
        <v>2039.4712738385281</v>
      </c>
      <c r="V11" s="83">
        <f>('Fuel Consumption'!V11 +'Fuel Consumption'!V12)* '2.5 Emission factors'!T14</f>
        <v>2008.5819513559375</v>
      </c>
      <c r="W11" s="83">
        <f>('Fuel Consumption'!W11 +'Fuel Consumption'!W12)* '2.5 Emission factors'!U14</f>
        <v>1981.8172738494393</v>
      </c>
      <c r="X11" s="83">
        <f>('Fuel Consumption'!X11 +'Fuel Consumption'!X12)* '2.5 Emission factors'!V14</f>
        <v>1887.7744505608243</v>
      </c>
      <c r="Y11" s="83">
        <f>('Fuel Consumption'!Y11 +'Fuel Consumption'!Y12)* '2.5 Emission factors'!W14</f>
        <v>1733.4874998462906</v>
      </c>
      <c r="Z11" s="83">
        <f>('Fuel Consumption'!Z11 +'Fuel Consumption'!Z12)* '2.5 Emission factors'!X14</f>
        <v>1555.5455307295351</v>
      </c>
      <c r="AA11" s="83">
        <f>('Fuel Consumption'!AA11 +'Fuel Consumption'!AA12)* '2.5 Emission factors'!Y14</f>
        <v>1383.6505736310255</v>
      </c>
      <c r="AB11" s="83">
        <f>('Fuel Consumption'!AB11 +'Fuel Consumption'!AB12)* '2.5 Emission factors'!Z14</f>
        <v>1215.8143949354705</v>
      </c>
      <c r="AC11" s="83">
        <f>('Fuel Consumption'!AC11 +'Fuel Consumption'!AC12)* '2.5 Emission factors'!AA14</f>
        <v>1044.0260936803666</v>
      </c>
      <c r="AD11" s="83">
        <f>('Fuel Consumption'!AD11 +'Fuel Consumption'!AD12)* '2.5 Emission factors'!AB14</f>
        <v>899.01875817580458</v>
      </c>
      <c r="AE11" s="83">
        <f>('Fuel Consumption'!AE11 +'Fuel Consumption'!AE12)* '2.5 Emission factors'!AC14</f>
        <v>785.46265224015156</v>
      </c>
      <c r="AF11" s="83">
        <f>('Fuel Consumption'!AF11 +'Fuel Consumption'!AF12)* '2.5 Emission factors'!AD14</f>
        <v>694.991493943823</v>
      </c>
      <c r="AG11" s="83">
        <f>('Fuel Consumption'!AG11 +'Fuel Consumption'!AG12)* '2.5 Emission factors'!AE14</f>
        <v>612.54381777066681</v>
      </c>
      <c r="AH11" s="83">
        <f>('Fuel Consumption'!AH11 +'Fuel Consumption'!AH12)* '2.5 Emission factors'!AF14</f>
        <v>534.37010814341534</v>
      </c>
      <c r="AI11" s="83">
        <f>('Fuel Consumption'!AI11 +'Fuel Consumption'!AI12)* '2.5 Emission factors'!AG14</f>
        <v>459.65710933861038</v>
      </c>
      <c r="AJ11" s="83">
        <f>('Fuel Consumption'!AJ11 +'Fuel Consumption'!AJ12)* '2.5 Emission factors'!AH14</f>
        <v>388.74282038220178</v>
      </c>
      <c r="AK11" s="83">
        <f>('Fuel Consumption'!AK11 +'Fuel Consumption'!AK12)* '2.5 Emission factors'!AI14</f>
        <v>327.85613490508507</v>
      </c>
      <c r="AL11" s="83">
        <f>('Fuel Consumption'!AL11 +'Fuel Consumption'!AL12)* '2.5 Emission factors'!AJ14</f>
        <v>247.57532558851619</v>
      </c>
      <c r="AM11" s="83">
        <f>('Fuel Consumption'!AM11 +'Fuel Consumption'!AM12)* '2.5 Emission factors'!AK14</f>
        <v>188.83390542878499</v>
      </c>
      <c r="AN11" s="83">
        <f>('Fuel Consumption'!AN11 +'Fuel Consumption'!AN12)* '2.5 Emission factors'!AL14</f>
        <v>148.3813079774238</v>
      </c>
      <c r="AO11" s="83">
        <f>('Fuel Consumption'!AO11 +'Fuel Consumption'!AO12)* '2.5 Emission factors'!AM14</f>
        <v>133.28443941775976</v>
      </c>
      <c r="AP11" s="83">
        <f>('Fuel Consumption'!AP11 +'Fuel Consumption'!AP12)* '2.5 Emission factors'!AN14</f>
        <v>118.32535542526328</v>
      </c>
      <c r="AQ11" s="83">
        <f>('Fuel Consumption'!AQ11 +'Fuel Consumption'!AQ12)* '2.5 Emission factors'!AO14</f>
        <v>102.93071255685213</v>
      </c>
      <c r="AR11" s="83">
        <f>('Fuel Consumption'!AR11 +'Fuel Consumption'!AR12)* '2.5 Emission factors'!AP14</f>
        <v>87.780362240940974</v>
      </c>
      <c r="AS11" s="83">
        <f>('Fuel Consumption'!AS11 +'Fuel Consumption'!AS12)* '2.5 Emission factors'!AQ14</f>
        <v>72.635866918116832</v>
      </c>
      <c r="AT11" s="83">
        <f>('Fuel Consumption'!AT11 +'Fuel Consumption'!AT12)* '2.5 Emission factors'!AR14</f>
        <v>57.239853917997443</v>
      </c>
      <c r="AU11" s="83">
        <f>('Fuel Consumption'!AU11 +'Fuel Consumption'!AU12)* '2.5 Emission factors'!AS14</f>
        <v>41.164397779062369</v>
      </c>
      <c r="AV11" s="83">
        <f>('Fuel Consumption'!AV11 +'Fuel Consumption'!AV12)* '2.5 Emission factors'!AT14</f>
        <v>24.734174254516834</v>
      </c>
      <c r="AW11" s="83">
        <f>('Fuel Consumption'!AW11 +'Fuel Consumption'!AW12)* '2.5 Emission factors'!AU14</f>
        <v>15.734779897537647</v>
      </c>
      <c r="AX11" s="83">
        <f>('Fuel Consumption'!AX11 +'Fuel Consumption'!AX12)* '2.5 Emission factors'!AV14</f>
        <v>10.708470562703519</v>
      </c>
      <c r="AY11" s="83">
        <f>('Fuel Consumption'!AY11 +'Fuel Consumption'!AY12)* '2.5 Emission factors'!AW14</f>
        <v>5.4621502729580147</v>
      </c>
      <c r="AZ11" s="83">
        <f>('Fuel Consumption'!AZ11 +'Fuel Consumption'!AZ12)* '2.5 Emission factors'!AX14</f>
        <v>0</v>
      </c>
    </row>
    <row r="12" spans="2:52" ht="18">
      <c r="E12" s="55" t="s">
        <v>776</v>
      </c>
      <c r="F12" s="55"/>
      <c r="G12" s="55" t="s">
        <v>210</v>
      </c>
      <c r="I12" s="234" t="s">
        <v>184</v>
      </c>
      <c r="K12" s="98"/>
      <c r="M12" s="98"/>
      <c r="O12" s="98"/>
      <c r="Q12" s="83">
        <f>'Fuel Consumption'!Q13 * '2.5 Emission factors'!O29</f>
        <v>250.20454855935697</v>
      </c>
      <c r="R12" s="83">
        <f>'Fuel Consumption'!R13 * '2.5 Emission factors'!P29</f>
        <v>201.24449339806273</v>
      </c>
      <c r="S12" s="83">
        <f>'Fuel Consumption'!S13 * '2.5 Emission factors'!Q29</f>
        <v>181.23845238297847</v>
      </c>
      <c r="T12" s="83">
        <f>'Fuel Consumption'!T13 * '2.5 Emission factors'!R29</f>
        <v>169.71601392183953</v>
      </c>
      <c r="U12" s="83">
        <f>'Fuel Consumption'!U13 * '2.5 Emission factors'!S29</f>
        <v>152.47643541925225</v>
      </c>
      <c r="V12" s="83">
        <f>'Fuel Consumption'!V13 * '2.5 Emission factors'!T29</f>
        <v>113.77814789998875</v>
      </c>
      <c r="W12" s="83">
        <f>'Fuel Consumption'!W13 * '2.5 Emission factors'!U29</f>
        <v>104.77083033062385</v>
      </c>
      <c r="X12" s="83">
        <f>'Fuel Consumption'!X13 * '2.5 Emission factors'!V29</f>
        <v>93.249541759522003</v>
      </c>
      <c r="Y12" s="83">
        <f>'Fuel Consumption'!Y13 * '2.5 Emission factors'!W29</f>
        <v>82.122072932173822</v>
      </c>
      <c r="Z12" s="83">
        <f>'Fuel Consumption'!Z13 * '2.5 Emission factors'!X29</f>
        <v>80.358846445986771</v>
      </c>
      <c r="AA12" s="83">
        <f>'Fuel Consumption'!AA13 * '2.5 Emission factors'!Y29</f>
        <v>60.453986479587577</v>
      </c>
      <c r="AB12" s="83">
        <f>'Fuel Consumption'!AB13 * '2.5 Emission factors'!Z29</f>
        <v>39.18592831444937</v>
      </c>
      <c r="AC12" s="83">
        <f>'Fuel Consumption'!AC13 * '2.5 Emission factors'!AA29</f>
        <v>28.219286666993256</v>
      </c>
      <c r="AD12" s="83">
        <f>'Fuel Consumption'!AD13 * '2.5 Emission factors'!AB29</f>
        <v>22.783222052691222</v>
      </c>
      <c r="AE12" s="83">
        <f>'Fuel Consumption'!AE13 * '2.5 Emission factors'!AC29</f>
        <v>18.924955145814312</v>
      </c>
      <c r="AF12" s="83">
        <f>'Fuel Consumption'!AF13 * '2.5 Emission factors'!AD29</f>
        <v>13.523512589347423</v>
      </c>
      <c r="AG12" s="83">
        <f>'Fuel Consumption'!AG13 * '2.5 Emission factors'!AE29</f>
        <v>9.6752978731965786</v>
      </c>
      <c r="AH12" s="83">
        <f>'Fuel Consumption'!AH13 * '2.5 Emission factors'!AF29</f>
        <v>7.4769400021505845</v>
      </c>
      <c r="AI12" s="83">
        <f>'Fuel Consumption'!AI13 * '2.5 Emission factors'!AG29</f>
        <v>5.7294785671050512</v>
      </c>
      <c r="AJ12" s="83">
        <f>'Fuel Consumption'!AJ13 * '2.5 Emission factors'!AH29</f>
        <v>4.5192633850070534</v>
      </c>
      <c r="AK12" s="83">
        <f>'Fuel Consumption'!AK13 * '2.5 Emission factors'!AI29</f>
        <v>3.4276380876594632</v>
      </c>
      <c r="AL12" s="83">
        <f>'Fuel Consumption'!AL13 * '2.5 Emission factors'!AJ29</f>
        <v>4.4086874644809919</v>
      </c>
      <c r="AM12" s="83">
        <f>'Fuel Consumption'!AM13 * '2.5 Emission factors'!AK29</f>
        <v>4.8435667021151767</v>
      </c>
      <c r="AN12" s="83">
        <f>'Fuel Consumption'!AN13 * '2.5 Emission factors'!AL29</f>
        <v>5.4537076566259124</v>
      </c>
      <c r="AO12" s="83">
        <f>'Fuel Consumption'!AO13 * '2.5 Emission factors'!AM29</f>
        <v>6.3973052978948592</v>
      </c>
      <c r="AP12" s="83">
        <f>'Fuel Consumption'!AP13 * '2.5 Emission factors'!AN29</f>
        <v>6.9208000064695581</v>
      </c>
      <c r="AQ12" s="83">
        <f>'Fuel Consumption'!AQ13 * '2.5 Emission factors'!AO29</f>
        <v>6.6474040921316222</v>
      </c>
      <c r="AR12" s="83">
        <f>'Fuel Consumption'!AR13 * '2.5 Emission factors'!AP29</f>
        <v>7.1697084481349238</v>
      </c>
      <c r="AS12" s="83">
        <f>'Fuel Consumption'!AS13 * '2.5 Emission factors'!AQ29</f>
        <v>7.8771403837404481</v>
      </c>
      <c r="AT12" s="83">
        <f>'Fuel Consumption'!AT13 * '2.5 Emission factors'!AR29</f>
        <v>8.2207139557843956</v>
      </c>
      <c r="AU12" s="83">
        <f>'Fuel Consumption'!AU13 * '2.5 Emission factors'!AS29</f>
        <v>7.6916319361165844</v>
      </c>
      <c r="AV12" s="83">
        <f>'Fuel Consumption'!AV13 * '2.5 Emission factors'!AT29</f>
        <v>7.7804153472877511</v>
      </c>
      <c r="AW12" s="83">
        <f>'Fuel Consumption'!AW13 * '2.5 Emission factors'!AU29</f>
        <v>7.9393997119838033</v>
      </c>
      <c r="AX12" s="83">
        <f>'Fuel Consumption'!AX13 * '2.5 Emission factors'!AV29</f>
        <v>8.2920419151005937</v>
      </c>
      <c r="AY12" s="83">
        <f>'Fuel Consumption'!AY13 * '2.5 Emission factors'!AW29</f>
        <v>8.4493606049823882</v>
      </c>
      <c r="AZ12" s="83">
        <f>'Fuel Consumption'!AZ13 * '2.5 Emission factors'!AX29</f>
        <v>9.054640015233721</v>
      </c>
    </row>
    <row r="13" spans="2:52" ht="18">
      <c r="E13" s="55" t="s">
        <v>346</v>
      </c>
      <c r="F13" s="55"/>
      <c r="G13" s="55" t="s">
        <v>210</v>
      </c>
      <c r="I13" s="234" t="s">
        <v>1377</v>
      </c>
      <c r="K13" s="98"/>
      <c r="M13" s="98"/>
      <c r="O13" s="98"/>
      <c r="Q13" s="83">
        <f>'Fuel Consumption'!Q14 * '2.5 Emission factors'!O29</f>
        <v>0</v>
      </c>
      <c r="R13" s="83">
        <f>'Fuel Consumption'!R14 * '2.5 Emission factors'!P29</f>
        <v>0</v>
      </c>
      <c r="S13" s="83">
        <f>'Fuel Consumption'!S14 * '2.5 Emission factors'!Q29</f>
        <v>0</v>
      </c>
      <c r="T13" s="83">
        <f>'Fuel Consumption'!T14 * '2.5 Emission factors'!R29</f>
        <v>0</v>
      </c>
      <c r="U13" s="83">
        <f>'Fuel Consumption'!U14 * '2.5 Emission factors'!S29</f>
        <v>0</v>
      </c>
      <c r="V13" s="83">
        <f>'Fuel Consumption'!V14 * '2.5 Emission factors'!T29</f>
        <v>2.1790864174415971</v>
      </c>
      <c r="W13" s="83">
        <f>'Fuel Consumption'!W14 * '2.5 Emission factors'!U29</f>
        <v>5.2505731041255395</v>
      </c>
      <c r="X13" s="83">
        <f>'Fuel Consumption'!X14 * '2.5 Emission factors'!V29</f>
        <v>10.802247260985576</v>
      </c>
      <c r="Y13" s="83">
        <f>'Fuel Consumption'!Y14 * '2.5 Emission factors'!W29</f>
        <v>17.370852970985894</v>
      </c>
      <c r="Z13" s="83">
        <f>'Fuel Consumption'!Z14 * '2.5 Emission factors'!X29</f>
        <v>29.375739983579944</v>
      </c>
      <c r="AA13" s="83">
        <f>'Fuel Consumption'!AA14 * '2.5 Emission factors'!Y29</f>
        <v>35.017311720256089</v>
      </c>
      <c r="AB13" s="83">
        <f>'Fuel Consumption'!AB14 * '2.5 Emission factors'!Z29</f>
        <v>34.868988237276618</v>
      </c>
      <c r="AC13" s="83">
        <f>'Fuel Consumption'!AC14 * '2.5 Emission factors'!AA29</f>
        <v>37.564189231976499</v>
      </c>
      <c r="AD13" s="83">
        <f>'Fuel Consumption'!AD14 * '2.5 Emission factors'!AB29</f>
        <v>42.393657413953612</v>
      </c>
      <c r="AE13" s="83">
        <f>'Fuel Consumption'!AE14 * '2.5 Emission factors'!AC29</f>
        <v>46.833025923674768</v>
      </c>
      <c r="AF13" s="83">
        <f>'Fuel Consumption'!AF14 * '2.5 Emission factors'!AD29</f>
        <v>42.934830190793768</v>
      </c>
      <c r="AG13" s="83">
        <f>'Fuel Consumption'!AG14 * '2.5 Emission factors'!AE29</f>
        <v>38.826513237370285</v>
      </c>
      <c r="AH13" s="83">
        <f>'Fuel Consumption'!AH14 * '2.5 Emission factors'!AF29</f>
        <v>37.731457419772426</v>
      </c>
      <c r="AI13" s="83">
        <f>'Fuel Consumption'!AI14 * '2.5 Emission factors'!AG29</f>
        <v>36.3930763879982</v>
      </c>
      <c r="AJ13" s="83">
        <f>'Fuel Consumption'!AJ14 * '2.5 Emission factors'!AH29</f>
        <v>36.331664537507727</v>
      </c>
      <c r="AK13" s="83">
        <f>'Fuel Consumption'!AK14 * '2.5 Emission factors'!AI29</f>
        <v>35.351875361200641</v>
      </c>
      <c r="AL13" s="83">
        <f>'Fuel Consumption'!AL14 * '2.5 Emission factors'!AJ29</f>
        <v>31.678030137989268</v>
      </c>
      <c r="AM13" s="83">
        <f>'Fuel Consumption'!AM14 * '2.5 Emission factors'!AK29</f>
        <v>29.836169994776355</v>
      </c>
      <c r="AN13" s="83">
        <f>'Fuel Consumption'!AN14 * '2.5 Emission factors'!AL29</f>
        <v>30.272766840544371</v>
      </c>
      <c r="AO13" s="83">
        <f>'Fuel Consumption'!AO14 * '2.5 Emission factors'!AM29</f>
        <v>28.796231966144354</v>
      </c>
      <c r="AP13" s="83">
        <f>'Fuel Consumption'!AP14 * '2.5 Emission factors'!AN29</f>
        <v>26.215163169270422</v>
      </c>
      <c r="AQ13" s="83">
        <f>'Fuel Consumption'!AQ14 * '2.5 Emission factors'!AO29</f>
        <v>21.863405147662107</v>
      </c>
      <c r="AR13" s="83">
        <f>'Fuel Consumption'!AR14 * '2.5 Emission factors'!AP29</f>
        <v>20.845271177797031</v>
      </c>
      <c r="AS13" s="83">
        <f>'Fuel Consumption'!AS14 * '2.5 Emission factors'!AQ29</f>
        <v>20.51477270532299</v>
      </c>
      <c r="AT13" s="83">
        <f>'Fuel Consumption'!AT14 * '2.5 Emission factors'!AR29</f>
        <v>19.371627791581179</v>
      </c>
      <c r="AU13" s="83">
        <f>'Fuel Consumption'!AU14 * '2.5 Emission factors'!AS29</f>
        <v>16.527632811981871</v>
      </c>
      <c r="AV13" s="83">
        <f>'Fuel Consumption'!AV14 * '2.5 Emission factors'!AT29</f>
        <v>15.075578248904581</v>
      </c>
      <c r="AW13" s="83">
        <f>'Fuel Consumption'!AW14 * '2.5 Emission factors'!AU29</f>
        <v>13.965010480860828</v>
      </c>
      <c r="AX13" s="83">
        <f>'Fuel Consumption'!AX14 * '2.5 Emission factors'!AV29</f>
        <v>13.315886738619179</v>
      </c>
      <c r="AY13" s="83">
        <f>'Fuel Consumption'!AY14 * '2.5 Emission factors'!AW29</f>
        <v>12.448548905555343</v>
      </c>
      <c r="AZ13" s="83">
        <f>'Fuel Consumption'!AZ14 * '2.5 Emission factors'!AX29</f>
        <v>12.291610005163998</v>
      </c>
    </row>
    <row r="14" spans="2:52" ht="18">
      <c r="E14" s="55" t="s">
        <v>219</v>
      </c>
      <c r="F14" s="55"/>
      <c r="G14" s="55" t="s">
        <v>210</v>
      </c>
      <c r="I14" s="234" t="s">
        <v>1377</v>
      </c>
      <c r="K14" s="98"/>
      <c r="M14" s="98"/>
      <c r="O14" s="98"/>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row>
    <row r="15" spans="2:52" ht="18">
      <c r="E15" s="55" t="s">
        <v>1364</v>
      </c>
      <c r="F15" s="55"/>
      <c r="G15" s="55" t="s">
        <v>210</v>
      </c>
      <c r="I15" s="234" t="s">
        <v>1377</v>
      </c>
      <c r="K15" s="98"/>
      <c r="M15" s="98"/>
      <c r="O15" s="98"/>
      <c r="P15" s="65"/>
      <c r="Q15" s="83">
        <f>'Fuel Consumption'!Q16 * '2.5 Emission factors'!O29</f>
        <v>0</v>
      </c>
      <c r="R15" s="83">
        <f>'Fuel Consumption'!R16 * '2.5 Emission factors'!P29</f>
        <v>0</v>
      </c>
      <c r="S15" s="83">
        <f>'Fuel Consumption'!S16 * '2.5 Emission factors'!Q29</f>
        <v>0</v>
      </c>
      <c r="T15" s="83">
        <f>'Fuel Consumption'!T16 * '2.5 Emission factors'!R29</f>
        <v>0</v>
      </c>
      <c r="U15" s="83">
        <f>'Fuel Consumption'!U16 * '2.5 Emission factors'!S29</f>
        <v>0</v>
      </c>
      <c r="V15" s="83">
        <f>'Fuel Consumption'!V16 * '2.5 Emission factors'!T29</f>
        <v>0</v>
      </c>
      <c r="W15" s="83">
        <f>'Fuel Consumption'!W16 * '2.5 Emission factors'!U29</f>
        <v>0</v>
      </c>
      <c r="X15" s="83">
        <f>'Fuel Consumption'!X16 * '2.5 Emission factors'!V29</f>
        <v>0</v>
      </c>
      <c r="Y15" s="83">
        <f>'Fuel Consumption'!Y16 * '2.5 Emission factors'!W29</f>
        <v>0</v>
      </c>
      <c r="Z15" s="83">
        <f>'Fuel Consumption'!Z16 * '2.5 Emission factors'!X29</f>
        <v>0</v>
      </c>
      <c r="AA15" s="83">
        <f>'Fuel Consumption'!AA16 * '2.5 Emission factors'!Y29</f>
        <v>0</v>
      </c>
      <c r="AB15" s="83">
        <f>'Fuel Consumption'!AB16 * '2.5 Emission factors'!Z29</f>
        <v>0</v>
      </c>
      <c r="AC15" s="83">
        <f>'Fuel Consumption'!AC16 * '2.5 Emission factors'!AA29</f>
        <v>0</v>
      </c>
      <c r="AD15" s="83">
        <f>'Fuel Consumption'!AD16 * '2.5 Emission factors'!AB29</f>
        <v>0</v>
      </c>
      <c r="AE15" s="83">
        <f>'Fuel Consumption'!AE16 * '2.5 Emission factors'!AC29</f>
        <v>0</v>
      </c>
      <c r="AF15" s="83">
        <f>'Fuel Consumption'!AF16 * '2.5 Emission factors'!AD29</f>
        <v>0</v>
      </c>
      <c r="AG15" s="83">
        <f>'Fuel Consumption'!AG16 * '2.5 Emission factors'!AE29</f>
        <v>0</v>
      </c>
      <c r="AH15" s="83">
        <f>'Fuel Consumption'!AH16 * '2.5 Emission factors'!AF29</f>
        <v>0</v>
      </c>
      <c r="AI15" s="83">
        <f>'Fuel Consumption'!AI16 * '2.5 Emission factors'!AG29</f>
        <v>0</v>
      </c>
      <c r="AJ15" s="83">
        <f>'Fuel Consumption'!AJ16 * '2.5 Emission factors'!AH29</f>
        <v>0</v>
      </c>
      <c r="AK15" s="83">
        <f>'Fuel Consumption'!AK16 * '2.5 Emission factors'!AI29</f>
        <v>0</v>
      </c>
      <c r="AL15" s="83">
        <f>'Fuel Consumption'!AL16 * '2.5 Emission factors'!AJ29</f>
        <v>0</v>
      </c>
      <c r="AM15" s="83">
        <f>'Fuel Consumption'!AM16 * '2.5 Emission factors'!AK29</f>
        <v>0</v>
      </c>
      <c r="AN15" s="83">
        <f>'Fuel Consumption'!AN16 * '2.5 Emission factors'!AL29</f>
        <v>0</v>
      </c>
      <c r="AO15" s="83">
        <f>'Fuel Consumption'!AO16 * '2.5 Emission factors'!AM29</f>
        <v>0</v>
      </c>
      <c r="AP15" s="83">
        <f>'Fuel Consumption'!AP16 * '2.5 Emission factors'!AN29</f>
        <v>0</v>
      </c>
      <c r="AQ15" s="83">
        <f>'Fuel Consumption'!AQ16 * '2.5 Emission factors'!AO29</f>
        <v>0</v>
      </c>
      <c r="AR15" s="83">
        <f>'Fuel Consumption'!AR16 * '2.5 Emission factors'!AP29</f>
        <v>0</v>
      </c>
      <c r="AS15" s="83">
        <f>'Fuel Consumption'!AS16 * '2.5 Emission factors'!AQ29</f>
        <v>0</v>
      </c>
      <c r="AT15" s="83">
        <f>'Fuel Consumption'!AT16 * '2.5 Emission factors'!AR29</f>
        <v>0</v>
      </c>
      <c r="AU15" s="83">
        <f>'Fuel Consumption'!AU16 * '2.5 Emission factors'!AS29</f>
        <v>0</v>
      </c>
      <c r="AV15" s="83">
        <f>'Fuel Consumption'!AV16 * '2.5 Emission factors'!AT29</f>
        <v>0</v>
      </c>
      <c r="AW15" s="83">
        <f>'Fuel Consumption'!AW16 * '2.5 Emission factors'!AU29</f>
        <v>0</v>
      </c>
      <c r="AX15" s="83">
        <f>'Fuel Consumption'!AX16 * '2.5 Emission factors'!AV29</f>
        <v>0</v>
      </c>
      <c r="AY15" s="83">
        <f>'Fuel Consumption'!AY16 * '2.5 Emission factors'!AW29</f>
        <v>0</v>
      </c>
      <c r="AZ15" s="83">
        <f>'Fuel Consumption'!AZ16 * '2.5 Emission factors'!AX29</f>
        <v>0</v>
      </c>
    </row>
    <row r="16" spans="2:52" ht="18">
      <c r="E16" s="55" t="s">
        <v>1364</v>
      </c>
      <c r="F16" s="55"/>
      <c r="G16" s="55" t="s">
        <v>775</v>
      </c>
      <c r="I16" s="234" t="s">
        <v>1377</v>
      </c>
      <c r="K16" s="98"/>
      <c r="M16" s="98"/>
      <c r="O16" s="98"/>
      <c r="P16" s="65"/>
      <c r="Q16" s="83">
        <f>'Fuel Consumption'!Q17 * '2.5 Emission factors'!O14</f>
        <v>0</v>
      </c>
      <c r="R16" s="83">
        <f>'Fuel Consumption'!R17 * '2.5 Emission factors'!P14</f>
        <v>0</v>
      </c>
      <c r="S16" s="83">
        <f>'Fuel Consumption'!S17 * '2.5 Emission factors'!Q14</f>
        <v>0</v>
      </c>
      <c r="T16" s="83">
        <f>'Fuel Consumption'!T17 * '2.5 Emission factors'!R14</f>
        <v>0</v>
      </c>
      <c r="U16" s="83">
        <f>'Fuel Consumption'!U17 * '2.5 Emission factors'!S14</f>
        <v>0</v>
      </c>
      <c r="V16" s="83">
        <f>'Fuel Consumption'!V17 * '2.5 Emission factors'!T14</f>
        <v>0</v>
      </c>
      <c r="W16" s="83">
        <f>'Fuel Consumption'!W17 * '2.5 Emission factors'!U14</f>
        <v>0</v>
      </c>
      <c r="X16" s="83">
        <f>'Fuel Consumption'!X17 * '2.5 Emission factors'!V14</f>
        <v>0</v>
      </c>
      <c r="Y16" s="83">
        <f>'Fuel Consumption'!Y17 * '2.5 Emission factors'!W14</f>
        <v>0</v>
      </c>
      <c r="Z16" s="83">
        <f>'Fuel Consumption'!Z17 * '2.5 Emission factors'!X14</f>
        <v>0</v>
      </c>
      <c r="AA16" s="83">
        <f>'Fuel Consumption'!AA17 * '2.5 Emission factors'!Y14</f>
        <v>0</v>
      </c>
      <c r="AB16" s="83">
        <f>'Fuel Consumption'!AB17 * '2.5 Emission factors'!Z14</f>
        <v>0</v>
      </c>
      <c r="AC16" s="83">
        <f>'Fuel Consumption'!AC17 * '2.5 Emission factors'!AA14</f>
        <v>0</v>
      </c>
      <c r="AD16" s="83">
        <f>'Fuel Consumption'!AD17 * '2.5 Emission factors'!AB14</f>
        <v>0</v>
      </c>
      <c r="AE16" s="83">
        <f>'Fuel Consumption'!AE17 * '2.5 Emission factors'!AC14</f>
        <v>0</v>
      </c>
      <c r="AF16" s="83">
        <f>'Fuel Consumption'!AF17 * '2.5 Emission factors'!AD14</f>
        <v>0</v>
      </c>
      <c r="AG16" s="83">
        <f>'Fuel Consumption'!AG17 * '2.5 Emission factors'!AE14</f>
        <v>0</v>
      </c>
      <c r="AH16" s="83">
        <f>'Fuel Consumption'!AH17 * '2.5 Emission factors'!AF14</f>
        <v>0</v>
      </c>
      <c r="AI16" s="83">
        <f>'Fuel Consumption'!AI17 * '2.5 Emission factors'!AG14</f>
        <v>0</v>
      </c>
      <c r="AJ16" s="83">
        <f>'Fuel Consumption'!AJ17 * '2.5 Emission factors'!AH14</f>
        <v>0</v>
      </c>
      <c r="AK16" s="83">
        <f>'Fuel Consumption'!AK17 * '2.5 Emission factors'!AI14</f>
        <v>0</v>
      </c>
      <c r="AL16" s="83">
        <f>'Fuel Consumption'!AL17 * '2.5 Emission factors'!AJ14</f>
        <v>0</v>
      </c>
      <c r="AM16" s="83">
        <f>'Fuel Consumption'!AM17 * '2.5 Emission factors'!AK14</f>
        <v>0</v>
      </c>
      <c r="AN16" s="83">
        <f>'Fuel Consumption'!AN17 * '2.5 Emission factors'!AL14</f>
        <v>0</v>
      </c>
      <c r="AO16" s="83">
        <f>'Fuel Consumption'!AO17 * '2.5 Emission factors'!AM14</f>
        <v>0</v>
      </c>
      <c r="AP16" s="83">
        <f>'Fuel Consumption'!AP17 * '2.5 Emission factors'!AN14</f>
        <v>0</v>
      </c>
      <c r="AQ16" s="83">
        <f>'Fuel Consumption'!AQ17 * '2.5 Emission factors'!AO14</f>
        <v>0</v>
      </c>
      <c r="AR16" s="83">
        <f>'Fuel Consumption'!AR17 * '2.5 Emission factors'!AP14</f>
        <v>0</v>
      </c>
      <c r="AS16" s="83">
        <f>'Fuel Consumption'!AS17 * '2.5 Emission factors'!AQ14</f>
        <v>0</v>
      </c>
      <c r="AT16" s="83">
        <f>'Fuel Consumption'!AT17 * '2.5 Emission factors'!AR14</f>
        <v>0</v>
      </c>
      <c r="AU16" s="83">
        <f>'Fuel Consumption'!AU17 * '2.5 Emission factors'!AS14</f>
        <v>0</v>
      </c>
      <c r="AV16" s="83">
        <f>'Fuel Consumption'!AV17 * '2.5 Emission factors'!AT14</f>
        <v>0</v>
      </c>
      <c r="AW16" s="83">
        <f>'Fuel Consumption'!AW17 * '2.5 Emission factors'!AU14</f>
        <v>0</v>
      </c>
      <c r="AX16" s="83">
        <f>'Fuel Consumption'!AX17 * '2.5 Emission factors'!AV14</f>
        <v>0</v>
      </c>
      <c r="AY16" s="83">
        <f>'Fuel Consumption'!AY17 * '2.5 Emission factors'!AW14</f>
        <v>0</v>
      </c>
      <c r="AZ16" s="83">
        <f>'Fuel Consumption'!AZ17 * '2.5 Emission factors'!AX14</f>
        <v>0</v>
      </c>
    </row>
    <row r="17" spans="3:80">
      <c r="E17" s="55" t="s">
        <v>1364</v>
      </c>
      <c r="F17" s="55"/>
      <c r="G17" s="55" t="s">
        <v>211</v>
      </c>
      <c r="I17" s="234"/>
      <c r="K17" s="98"/>
      <c r="M17" s="98"/>
      <c r="O17" s="98"/>
      <c r="P17" s="65"/>
      <c r="Q17" s="83">
        <f>'Fuel Consumption'!Q18 * '2.5 Emission factors'!O62</f>
        <v>0</v>
      </c>
      <c r="R17" s="83">
        <f>'Fuel Consumption'!R18 * '2.5 Emission factors'!P62</f>
        <v>0</v>
      </c>
      <c r="S17" s="83">
        <f>'Fuel Consumption'!S18 * '2.5 Emission factors'!Q62</f>
        <v>0</v>
      </c>
      <c r="T17" s="83">
        <f>'Fuel Consumption'!T18 * '2.5 Emission factors'!R62</f>
        <v>0</v>
      </c>
      <c r="U17" s="83">
        <f>'Fuel Consumption'!U18 * '2.5 Emission factors'!S62</f>
        <v>0</v>
      </c>
      <c r="V17" s="83">
        <f>'Fuel Consumption'!V18 * '2.5 Emission factors'!T62</f>
        <v>0</v>
      </c>
      <c r="W17" s="83">
        <f>'Fuel Consumption'!W18 * '2.5 Emission factors'!U62</f>
        <v>0</v>
      </c>
      <c r="X17" s="83">
        <f>'Fuel Consumption'!X18 * '2.5 Emission factors'!V62</f>
        <v>0</v>
      </c>
      <c r="Y17" s="83">
        <f>'Fuel Consumption'!Y18 * '2.5 Emission factors'!W62</f>
        <v>0</v>
      </c>
      <c r="Z17" s="83">
        <f>'Fuel Consumption'!Z18 * '2.5 Emission factors'!X62</f>
        <v>0</v>
      </c>
      <c r="AA17" s="83">
        <f>'Fuel Consumption'!AA18 * '2.5 Emission factors'!Y62</f>
        <v>0</v>
      </c>
      <c r="AB17" s="83">
        <f>'Fuel Consumption'!AB18 * '2.5 Emission factors'!Z62</f>
        <v>0</v>
      </c>
      <c r="AC17" s="83">
        <f>'Fuel Consumption'!AC18 * '2.5 Emission factors'!AA62</f>
        <v>0</v>
      </c>
      <c r="AD17" s="83">
        <f>'Fuel Consumption'!AD18 * '2.5 Emission factors'!AB62</f>
        <v>0</v>
      </c>
      <c r="AE17" s="83">
        <f>'Fuel Consumption'!AE18 * '2.5 Emission factors'!AC62</f>
        <v>0</v>
      </c>
      <c r="AF17" s="83">
        <f>'Fuel Consumption'!AF18 * '2.5 Emission factors'!AD62</f>
        <v>0</v>
      </c>
      <c r="AG17" s="83">
        <f>'Fuel Consumption'!AG18 * '2.5 Emission factors'!AE62</f>
        <v>0</v>
      </c>
      <c r="AH17" s="83">
        <f>'Fuel Consumption'!AH18 * '2.5 Emission factors'!AF62</f>
        <v>0</v>
      </c>
      <c r="AI17" s="83">
        <f>'Fuel Consumption'!AI18 * '2.5 Emission factors'!AG62</f>
        <v>0</v>
      </c>
      <c r="AJ17" s="83">
        <f>'Fuel Consumption'!AJ18 * '2.5 Emission factors'!AH62</f>
        <v>0</v>
      </c>
      <c r="AK17" s="83">
        <f>'Fuel Consumption'!AK18 * '2.5 Emission factors'!AI62</f>
        <v>0</v>
      </c>
      <c r="AL17" s="83">
        <f>'Fuel Consumption'!AL18 * '2.5 Emission factors'!AJ62</f>
        <v>0</v>
      </c>
      <c r="AM17" s="83">
        <f>'Fuel Consumption'!AM18 * '2.5 Emission factors'!AK62</f>
        <v>0</v>
      </c>
      <c r="AN17" s="83">
        <f>'Fuel Consumption'!AN18 * '2.5 Emission factors'!AL62</f>
        <v>0</v>
      </c>
      <c r="AO17" s="83">
        <f>'Fuel Consumption'!AO18 * '2.5 Emission factors'!AM62</f>
        <v>0</v>
      </c>
      <c r="AP17" s="83">
        <f>'Fuel Consumption'!AP18 * '2.5 Emission factors'!AN62</f>
        <v>0</v>
      </c>
      <c r="AQ17" s="83">
        <f>'Fuel Consumption'!AQ18 * '2.5 Emission factors'!AO62</f>
        <v>0</v>
      </c>
      <c r="AR17" s="83">
        <f>'Fuel Consumption'!AR18 * '2.5 Emission factors'!AP62</f>
        <v>0</v>
      </c>
      <c r="AS17" s="83">
        <f>'Fuel Consumption'!AS18 * '2.5 Emission factors'!AQ62</f>
        <v>0</v>
      </c>
      <c r="AT17" s="83">
        <f>'Fuel Consumption'!AT18 * '2.5 Emission factors'!AR62</f>
        <v>0</v>
      </c>
      <c r="AU17" s="83">
        <f>'Fuel Consumption'!AU18 * '2.5 Emission factors'!AS62</f>
        <v>0</v>
      </c>
      <c r="AV17" s="83">
        <f>'Fuel Consumption'!AV18 * '2.5 Emission factors'!AT62</f>
        <v>0</v>
      </c>
      <c r="AW17" s="83">
        <f>'Fuel Consumption'!AW18 * '2.5 Emission factors'!AU62</f>
        <v>0</v>
      </c>
      <c r="AX17" s="83">
        <f>'Fuel Consumption'!AX18 * '2.5 Emission factors'!AV62</f>
        <v>0</v>
      </c>
      <c r="AY17" s="83">
        <f>'Fuel Consumption'!AY18 * '2.5 Emission factors'!AW62</f>
        <v>0</v>
      </c>
      <c r="AZ17" s="83">
        <f>'Fuel Consumption'!AZ18 * '2.5 Emission factors'!AX62</f>
        <v>0</v>
      </c>
    </row>
    <row r="18" spans="3:80" ht="18">
      <c r="E18" s="55" t="s">
        <v>779</v>
      </c>
      <c r="F18" s="55"/>
      <c r="G18" s="55" t="s">
        <v>188</v>
      </c>
      <c r="I18" s="234" t="s">
        <v>1377</v>
      </c>
      <c r="K18" s="98"/>
      <c r="M18" s="98"/>
      <c r="O18" s="98"/>
      <c r="P18" s="90"/>
      <c r="Q18" s="83">
        <f>'Heat Networks'!K82/10^6</f>
        <v>23.537521382273059</v>
      </c>
      <c r="R18" s="83">
        <f>'Heat Networks'!L82/10^6</f>
        <v>31.06762836631308</v>
      </c>
      <c r="S18" s="83">
        <f>'Heat Networks'!M82/10^6</f>
        <v>35.47563234537715</v>
      </c>
      <c r="T18" s="83">
        <f>'Heat Networks'!N82/10^6</f>
        <v>39.102462377187351</v>
      </c>
      <c r="U18" s="83">
        <f>'Heat Networks'!O82/10^6</f>
        <v>43.906675023591447</v>
      </c>
      <c r="V18" s="83">
        <f>'Heat Networks'!P82/10^6</f>
        <v>63.33581103838479</v>
      </c>
      <c r="W18" s="83">
        <f>'Heat Networks'!Q82/10^6</f>
        <v>73.613505223603795</v>
      </c>
      <c r="X18" s="83">
        <f>'Heat Networks'!R82/10^6</f>
        <v>85.652243813410024</v>
      </c>
      <c r="Y18" s="83">
        <f>'Heat Networks'!S82/10^6</f>
        <v>96.856872675750438</v>
      </c>
      <c r="Z18" s="83">
        <f>'Heat Networks'!T82/10^6</f>
        <v>104.3389053933164</v>
      </c>
      <c r="AA18" s="83">
        <f>'Heat Networks'!U82/10^6</f>
        <v>118.48692027051001</v>
      </c>
      <c r="AB18" s="83">
        <f>'Heat Networks'!V82/10^6</f>
        <v>126.73128585072044</v>
      </c>
      <c r="AC18" s="83">
        <f>'Heat Networks'!W82/10^6</f>
        <v>129.62823906333756</v>
      </c>
      <c r="AD18" s="83">
        <f>'Heat Networks'!X82/10^6</f>
        <v>130.12287675404343</v>
      </c>
      <c r="AE18" s="83">
        <f>'Heat Networks'!Y82/10^6</f>
        <v>130.00186231974928</v>
      </c>
      <c r="AF18" s="83">
        <f>'Heat Networks'!Z82/10^6</f>
        <v>130.65470405637126</v>
      </c>
      <c r="AG18" s="83">
        <f>'Heat Networks'!AA82/10^6</f>
        <v>128.2584637062817</v>
      </c>
      <c r="AH18" s="83">
        <f>'Heat Networks'!AB82/10^6</f>
        <v>124.66487276492222</v>
      </c>
      <c r="AI18" s="83">
        <f>'Heat Networks'!AC82/10^6</f>
        <v>115.68654291365462</v>
      </c>
      <c r="AJ18" s="83">
        <f>'Heat Networks'!AD82/10^6</f>
        <v>105.7996043365185</v>
      </c>
      <c r="AK18" s="83">
        <f>'Heat Networks'!AE82/10^6</f>
        <v>96.69333712122787</v>
      </c>
      <c r="AL18" s="83">
        <f>'Heat Networks'!AF82/10^6</f>
        <v>86.810207723996257</v>
      </c>
      <c r="AM18" s="83">
        <f>'Heat Networks'!AG82/10^6</f>
        <v>77.013035999768917</v>
      </c>
      <c r="AN18" s="83">
        <f>'Heat Networks'!AH82/10^6</f>
        <v>67.689352270141853</v>
      </c>
      <c r="AO18" s="83">
        <f>'Heat Networks'!AI82/10^6</f>
        <v>58.461008980279566</v>
      </c>
      <c r="AP18" s="83">
        <f>'Heat Networks'!AJ82/10^6</f>
        <v>49.297873415599099</v>
      </c>
      <c r="AQ18" s="83">
        <f>'Heat Networks'!AK82/10^6</f>
        <v>41.256332832037849</v>
      </c>
      <c r="AR18" s="83">
        <f>'Heat Networks'!AL82/10^6</f>
        <v>33.616565327937593</v>
      </c>
      <c r="AS18" s="83">
        <f>'Heat Networks'!AM82/10^6</f>
        <v>26.225398530454147</v>
      </c>
      <c r="AT18" s="83">
        <f>'Heat Networks'!AN82/10^6</f>
        <v>19.004537609441289</v>
      </c>
      <c r="AU18" s="83">
        <f>'Heat Networks'!AO82/10^6</f>
        <v>11.979887039774274</v>
      </c>
      <c r="AV18" s="83">
        <f>'Heat Networks'!AP82/10^6</f>
        <v>5.9772936571522282</v>
      </c>
      <c r="AW18" s="83">
        <f>'Heat Networks'!AQ82/10^6</f>
        <v>4.2881013971399113</v>
      </c>
      <c r="AX18" s="83">
        <f>'Heat Networks'!AR82/10^6</f>
        <v>3.3459515762388126</v>
      </c>
      <c r="AY18" s="83">
        <f>'Heat Networks'!AS82/10^6</f>
        <v>2.4256393055162002</v>
      </c>
      <c r="AZ18" s="83">
        <f>'Heat Networks'!AT82/10^6</f>
        <v>1.6584799319480912</v>
      </c>
    </row>
    <row r="19" spans="3:80" ht="18">
      <c r="E19" s="55" t="s">
        <v>211</v>
      </c>
      <c r="F19" s="55"/>
      <c r="G19" s="55" t="s">
        <v>211</v>
      </c>
      <c r="I19" s="234" t="s">
        <v>1377</v>
      </c>
      <c r="K19" s="98"/>
      <c r="M19" s="98"/>
      <c r="O19" s="98"/>
      <c r="P19" s="90"/>
      <c r="Q19" s="83">
        <f>'Fuel Consumption'!Q20*'2.5 Emission factors'!O62</f>
        <v>0</v>
      </c>
      <c r="R19" s="83">
        <f>'Fuel Consumption'!R20*'2.5 Emission factors'!P62</f>
        <v>0</v>
      </c>
      <c r="S19" s="83">
        <f>'Fuel Consumption'!S20*'2.5 Emission factors'!Q62</f>
        <v>0</v>
      </c>
      <c r="T19" s="83">
        <f>'Fuel Consumption'!T20*'2.5 Emission factors'!R62</f>
        <v>0</v>
      </c>
      <c r="U19" s="83">
        <f>'Fuel Consumption'!U20*'2.5 Emission factors'!S62</f>
        <v>0</v>
      </c>
      <c r="V19" s="83">
        <f>'Fuel Consumption'!V20*'2.5 Emission factors'!T62</f>
        <v>0</v>
      </c>
      <c r="W19" s="83">
        <f>'Fuel Consumption'!W20*'2.5 Emission factors'!U62</f>
        <v>0</v>
      </c>
      <c r="X19" s="83">
        <f>'Fuel Consumption'!X20*'2.5 Emission factors'!V62</f>
        <v>0</v>
      </c>
      <c r="Y19" s="83">
        <f>'Fuel Consumption'!Y20*'2.5 Emission factors'!W62</f>
        <v>0</v>
      </c>
      <c r="Z19" s="83">
        <f>'Fuel Consumption'!Z20*'2.5 Emission factors'!X62</f>
        <v>0</v>
      </c>
      <c r="AA19" s="83">
        <f>'Fuel Consumption'!AA20*'2.5 Emission factors'!Y62</f>
        <v>0</v>
      </c>
      <c r="AB19" s="83">
        <f>'Fuel Consumption'!AB20*'2.5 Emission factors'!Z62</f>
        <v>0</v>
      </c>
      <c r="AC19" s="83">
        <f>'Fuel Consumption'!AC20*'2.5 Emission factors'!AA62</f>
        <v>0.4426333417379909</v>
      </c>
      <c r="AD19" s="83">
        <f>'Fuel Consumption'!AD20*'2.5 Emission factors'!AB62</f>
        <v>0.76145384200032962</v>
      </c>
      <c r="AE19" s="83">
        <f>'Fuel Consumption'!AE20*'2.5 Emission factors'!AC62</f>
        <v>0.9980141867620036</v>
      </c>
      <c r="AF19" s="83">
        <f>'Fuel Consumption'!AF20*'2.5 Emission factors'!AD62</f>
        <v>1.1797486517372209</v>
      </c>
      <c r="AG19" s="83">
        <f>'Fuel Consumption'!AG20*'2.5 Emission factors'!AE62</f>
        <v>1.9272771414297647</v>
      </c>
      <c r="AH19" s="83">
        <f>'Fuel Consumption'!AH20*'2.5 Emission factors'!AF62</f>
        <v>2.5807019744381083</v>
      </c>
      <c r="AI19" s="83">
        <f>'Fuel Consumption'!AI20*'2.5 Emission factors'!AG62</f>
        <v>3.0635415119371689</v>
      </c>
      <c r="AJ19" s="83">
        <f>'Fuel Consumption'!AJ20*'2.5 Emission factors'!AH62</f>
        <v>3.3582414510770562</v>
      </c>
      <c r="AK19" s="83">
        <f>'Fuel Consumption'!AK20*'2.5 Emission factors'!AI62</f>
        <v>2.9123718324778118</v>
      </c>
      <c r="AL19" s="83">
        <f>'Fuel Consumption'!AL20*'2.5 Emission factors'!AJ62</f>
        <v>2.0723698665975498</v>
      </c>
      <c r="AM19" s="83">
        <f>'Fuel Consumption'!AM20*'2.5 Emission factors'!AK62</f>
        <v>1.5483904339702295</v>
      </c>
      <c r="AN19" s="83">
        <f>'Fuel Consumption'!AN20*'2.5 Emission factors'!AL62</f>
        <v>1.2501943114265217</v>
      </c>
      <c r="AO19" s="83">
        <f>'Fuel Consumption'!AO20*'2.5 Emission factors'!AM62</f>
        <v>1.1234841677825489</v>
      </c>
      <c r="AP19" s="83">
        <f>'Fuel Consumption'!AP20*'2.5 Emission factors'!AN62</f>
        <v>0.97754824473839019</v>
      </c>
      <c r="AQ19" s="83">
        <f>'Fuel Consumption'!AQ20*'2.5 Emission factors'!AO62</f>
        <v>0.80551781119981491</v>
      </c>
      <c r="AR19" s="83">
        <f>'Fuel Consumption'!AR20*'2.5 Emission factors'!AP62</f>
        <v>0.7017677847038869</v>
      </c>
      <c r="AS19" s="83">
        <f>'Fuel Consumption'!AS20*'2.5 Emission factors'!AQ62</f>
        <v>0.61205822573902235</v>
      </c>
      <c r="AT19" s="83">
        <f>'Fuel Consumption'!AT20*'2.5 Emission factors'!AR62</f>
        <v>0.5120140782809024</v>
      </c>
      <c r="AU19" s="83">
        <f>'Fuel Consumption'!AU20*'2.5 Emission factors'!AS62</f>
        <v>0.39489356780697088</v>
      </c>
      <c r="AV19" s="83">
        <f>'Fuel Consumption'!AV20*'2.5 Emission factors'!AT62</f>
        <v>0.30813879191202748</v>
      </c>
      <c r="AW19" s="83">
        <f>'Fuel Consumption'!AW20*'2.5 Emission factors'!AU62</f>
        <v>0.22681742488466197</v>
      </c>
      <c r="AX19" s="83">
        <f>'Fuel Consumption'!AX20*'2.5 Emission factors'!AV62</f>
        <v>0.15038345419336344</v>
      </c>
      <c r="AY19" s="83">
        <f>'Fuel Consumption'!AY20*'2.5 Emission factors'!AW62</f>
        <v>7.3899446562026586E-2</v>
      </c>
      <c r="AZ19" s="83">
        <f>'Fuel Consumption'!AZ20*'2.5 Emission factors'!AX62</f>
        <v>0</v>
      </c>
    </row>
    <row r="20" spans="3:80">
      <c r="E20" s="56"/>
      <c r="G20" s="55"/>
    </row>
    <row r="21" spans="3:80" ht="15" customHeight="1">
      <c r="D21" s="38" t="s">
        <v>764</v>
      </c>
      <c r="G21" s="55"/>
    </row>
    <row r="22" spans="3:80">
      <c r="E22" s="55"/>
      <c r="G22" s="55"/>
    </row>
    <row r="23" spans="3:80">
      <c r="E23" s="55" t="s">
        <v>775</v>
      </c>
      <c r="G23" s="55"/>
      <c r="I23" s="98"/>
      <c r="K23" s="98"/>
      <c r="M23" s="98"/>
      <c r="O23" s="98"/>
      <c r="Q23" s="99">
        <f>SUMIFS(Q$11:Q$19,$G$11:$G$19,$E23)</f>
        <v>2077.9119644179882</v>
      </c>
      <c r="R23" s="99">
        <f t="shared" ref="R23:AZ23" si="0">SUMIFS(R$11:R$19,$G$11:$G$19,$E23)</f>
        <v>2065.3929865410082</v>
      </c>
      <c r="S23" s="99">
        <f t="shared" si="0"/>
        <v>2057.2709524064453</v>
      </c>
      <c r="T23" s="99">
        <f t="shared" si="0"/>
        <v>2048.6258624067796</v>
      </c>
      <c r="U23" s="99">
        <f t="shared" si="0"/>
        <v>2039.4712738385281</v>
      </c>
      <c r="V23" s="99">
        <f t="shared" si="0"/>
        <v>2008.5819513559375</v>
      </c>
      <c r="W23" s="99">
        <f t="shared" si="0"/>
        <v>1981.8172738494393</v>
      </c>
      <c r="X23" s="99">
        <f t="shared" si="0"/>
        <v>1887.7744505608243</v>
      </c>
      <c r="Y23" s="99">
        <f t="shared" si="0"/>
        <v>1733.4874998462906</v>
      </c>
      <c r="Z23" s="99">
        <f t="shared" si="0"/>
        <v>1555.5455307295351</v>
      </c>
      <c r="AA23" s="99">
        <f t="shared" si="0"/>
        <v>1383.6505736310255</v>
      </c>
      <c r="AB23" s="99">
        <f t="shared" si="0"/>
        <v>1215.8143949354705</v>
      </c>
      <c r="AC23" s="99">
        <f t="shared" si="0"/>
        <v>1044.0260936803666</v>
      </c>
      <c r="AD23" s="99">
        <f t="shared" si="0"/>
        <v>899.01875817580458</v>
      </c>
      <c r="AE23" s="99">
        <f t="shared" si="0"/>
        <v>785.46265224015156</v>
      </c>
      <c r="AF23" s="99">
        <f t="shared" si="0"/>
        <v>694.991493943823</v>
      </c>
      <c r="AG23" s="99">
        <f t="shared" si="0"/>
        <v>612.54381777066681</v>
      </c>
      <c r="AH23" s="99">
        <f t="shared" si="0"/>
        <v>534.37010814341534</v>
      </c>
      <c r="AI23" s="99">
        <f t="shared" si="0"/>
        <v>459.65710933861038</v>
      </c>
      <c r="AJ23" s="99">
        <f t="shared" si="0"/>
        <v>388.74282038220178</v>
      </c>
      <c r="AK23" s="99">
        <f t="shared" si="0"/>
        <v>327.85613490508507</v>
      </c>
      <c r="AL23" s="99">
        <f t="shared" si="0"/>
        <v>247.57532558851619</v>
      </c>
      <c r="AM23" s="99">
        <f t="shared" si="0"/>
        <v>188.83390542878499</v>
      </c>
      <c r="AN23" s="99">
        <f t="shared" si="0"/>
        <v>148.3813079774238</v>
      </c>
      <c r="AO23" s="99">
        <f t="shared" si="0"/>
        <v>133.28443941775976</v>
      </c>
      <c r="AP23" s="99">
        <f t="shared" si="0"/>
        <v>118.32535542526328</v>
      </c>
      <c r="AQ23" s="99">
        <f t="shared" si="0"/>
        <v>102.93071255685213</v>
      </c>
      <c r="AR23" s="99">
        <f t="shared" si="0"/>
        <v>87.780362240940974</v>
      </c>
      <c r="AS23" s="99">
        <f t="shared" si="0"/>
        <v>72.635866918116832</v>
      </c>
      <c r="AT23" s="99">
        <f t="shared" si="0"/>
        <v>57.239853917997443</v>
      </c>
      <c r="AU23" s="99">
        <f t="shared" si="0"/>
        <v>41.164397779062369</v>
      </c>
      <c r="AV23" s="99">
        <f t="shared" si="0"/>
        <v>24.734174254516834</v>
      </c>
      <c r="AW23" s="99">
        <f t="shared" si="0"/>
        <v>15.734779897537647</v>
      </c>
      <c r="AX23" s="99">
        <f t="shared" si="0"/>
        <v>10.708470562703519</v>
      </c>
      <c r="AY23" s="99">
        <f t="shared" si="0"/>
        <v>5.4621502729580147</v>
      </c>
      <c r="AZ23" s="99">
        <f t="shared" si="0"/>
        <v>0</v>
      </c>
    </row>
    <row r="24" spans="3:80">
      <c r="E24" s="55" t="s">
        <v>210</v>
      </c>
      <c r="G24" s="55"/>
      <c r="I24" s="98"/>
      <c r="K24" s="98"/>
      <c r="M24" s="98"/>
      <c r="O24" s="98"/>
      <c r="Q24" s="99">
        <f>SUMIFS(Q$11:Q$19,$G$11:$G$19,$E24)</f>
        <v>250.20454855935697</v>
      </c>
      <c r="R24" s="99">
        <f t="shared" ref="R24:AF24" si="1">SUMIFS(R$11:R$19,$G$11:$G$19,$E24)</f>
        <v>201.24449339806273</v>
      </c>
      <c r="S24" s="99">
        <f t="shared" si="1"/>
        <v>181.23845238297847</v>
      </c>
      <c r="T24" s="99">
        <f t="shared" si="1"/>
        <v>169.71601392183953</v>
      </c>
      <c r="U24" s="99">
        <f t="shared" si="1"/>
        <v>152.47643541925225</v>
      </c>
      <c r="V24" s="99">
        <f t="shared" si="1"/>
        <v>115.95723431743035</v>
      </c>
      <c r="W24" s="99">
        <f t="shared" si="1"/>
        <v>110.02140343474939</v>
      </c>
      <c r="X24" s="99">
        <f t="shared" si="1"/>
        <v>104.05178902050758</v>
      </c>
      <c r="Y24" s="99">
        <f t="shared" si="1"/>
        <v>99.492925903159716</v>
      </c>
      <c r="Z24" s="99">
        <f t="shared" si="1"/>
        <v>109.73458642956672</v>
      </c>
      <c r="AA24" s="99">
        <f t="shared" si="1"/>
        <v>95.471298199843659</v>
      </c>
      <c r="AB24" s="99">
        <f t="shared" si="1"/>
        <v>74.054916551725995</v>
      </c>
      <c r="AC24" s="99">
        <f t="shared" si="1"/>
        <v>65.783475898969755</v>
      </c>
      <c r="AD24" s="99">
        <f t="shared" si="1"/>
        <v>65.176879466644834</v>
      </c>
      <c r="AE24" s="99">
        <f t="shared" si="1"/>
        <v>65.757981069489077</v>
      </c>
      <c r="AF24" s="99">
        <f t="shared" si="1"/>
        <v>56.458342780141194</v>
      </c>
      <c r="AG24" s="99">
        <f t="shared" ref="AG24:AP26" si="2">SUMIFS(AG$11:AG$19,$G$11:$G$19,$E24)</f>
        <v>48.501811110566862</v>
      </c>
      <c r="AH24" s="99">
        <f t="shared" si="2"/>
        <v>45.20839742192301</v>
      </c>
      <c r="AI24" s="99">
        <f t="shared" si="2"/>
        <v>42.122554955103254</v>
      </c>
      <c r="AJ24" s="99">
        <f t="shared" si="2"/>
        <v>40.850927922514778</v>
      </c>
      <c r="AK24" s="99">
        <f t="shared" si="2"/>
        <v>38.779513448860101</v>
      </c>
      <c r="AL24" s="99">
        <f t="shared" si="2"/>
        <v>36.086717602470259</v>
      </c>
      <c r="AM24" s="99">
        <f t="shared" si="2"/>
        <v>34.679736696891531</v>
      </c>
      <c r="AN24" s="99">
        <f t="shared" si="2"/>
        <v>35.726474497170287</v>
      </c>
      <c r="AO24" s="99">
        <f t="shared" si="2"/>
        <v>35.193537264039215</v>
      </c>
      <c r="AP24" s="99">
        <f t="shared" si="2"/>
        <v>33.135963175739981</v>
      </c>
      <c r="AQ24" s="99">
        <f t="shared" ref="AQ24:AZ26" si="3">SUMIFS(AQ$11:AQ$19,$G$11:$G$19,$E24)</f>
        <v>28.51080923979373</v>
      </c>
      <c r="AR24" s="99">
        <f t="shared" si="3"/>
        <v>28.014979625931954</v>
      </c>
      <c r="AS24" s="99">
        <f t="shared" si="3"/>
        <v>28.391913089063436</v>
      </c>
      <c r="AT24" s="99">
        <f t="shared" si="3"/>
        <v>27.592341747365573</v>
      </c>
      <c r="AU24" s="99">
        <f t="shared" si="3"/>
        <v>24.219264748098453</v>
      </c>
      <c r="AV24" s="99">
        <f t="shared" si="3"/>
        <v>22.855993596192331</v>
      </c>
      <c r="AW24" s="99">
        <f t="shared" si="3"/>
        <v>21.90441019284463</v>
      </c>
      <c r="AX24" s="99">
        <f t="shared" si="3"/>
        <v>21.607928653719775</v>
      </c>
      <c r="AY24" s="99">
        <f t="shared" si="3"/>
        <v>20.89790951053773</v>
      </c>
      <c r="AZ24" s="99">
        <f t="shared" si="3"/>
        <v>21.346250020397719</v>
      </c>
      <c r="BA24" s="56"/>
      <c r="BB24" s="56"/>
      <c r="BC24" s="56"/>
      <c r="BD24" s="56"/>
      <c r="BE24" s="56"/>
      <c r="BF24" s="56"/>
      <c r="BG24" s="56"/>
      <c r="BH24" s="56"/>
      <c r="BI24" s="56"/>
      <c r="BJ24" s="56"/>
      <c r="BK24" s="56"/>
      <c r="BL24" s="56"/>
      <c r="BM24" s="56"/>
      <c r="BN24" s="56"/>
      <c r="BO24" s="56"/>
      <c r="BP24" s="56"/>
      <c r="BQ24" s="56"/>
      <c r="BR24" s="56"/>
      <c r="BS24" s="56"/>
      <c r="BT24" s="56"/>
      <c r="BU24" s="56"/>
      <c r="BV24" s="56"/>
      <c r="BW24" s="56"/>
      <c r="BX24" s="56"/>
      <c r="BY24" s="56"/>
      <c r="BZ24" s="56"/>
      <c r="CA24" s="56"/>
      <c r="CB24" s="56"/>
    </row>
    <row r="25" spans="3:80">
      <c r="E25" s="55" t="s">
        <v>188</v>
      </c>
      <c r="G25" s="55"/>
      <c r="I25" s="98"/>
      <c r="K25" s="98"/>
      <c r="M25" s="98"/>
      <c r="O25" s="98"/>
      <c r="Q25" s="99">
        <f>SUMIFS(Q$11:Q$19,$G$11:$G$19,$E25)</f>
        <v>23.537521382273059</v>
      </c>
      <c r="R25" s="99">
        <f t="shared" ref="R25:AF26" si="4">SUMIFS(R$11:R$19,$G$11:$G$19,$E25)</f>
        <v>31.06762836631308</v>
      </c>
      <c r="S25" s="99">
        <f t="shared" si="4"/>
        <v>35.47563234537715</v>
      </c>
      <c r="T25" s="99">
        <f t="shared" si="4"/>
        <v>39.102462377187351</v>
      </c>
      <c r="U25" s="99">
        <f t="shared" si="4"/>
        <v>43.906675023591447</v>
      </c>
      <c r="V25" s="99">
        <f t="shared" si="4"/>
        <v>63.33581103838479</v>
      </c>
      <c r="W25" s="99">
        <f t="shared" si="4"/>
        <v>73.613505223603795</v>
      </c>
      <c r="X25" s="99">
        <f t="shared" si="4"/>
        <v>85.652243813410024</v>
      </c>
      <c r="Y25" s="99">
        <f t="shared" si="4"/>
        <v>96.856872675750438</v>
      </c>
      <c r="Z25" s="99">
        <f t="shared" si="4"/>
        <v>104.3389053933164</v>
      </c>
      <c r="AA25" s="99">
        <f t="shared" si="4"/>
        <v>118.48692027051001</v>
      </c>
      <c r="AB25" s="99">
        <f t="shared" si="4"/>
        <v>126.73128585072044</v>
      </c>
      <c r="AC25" s="99">
        <f t="shared" si="4"/>
        <v>129.62823906333756</v>
      </c>
      <c r="AD25" s="99">
        <f t="shared" si="4"/>
        <v>130.12287675404343</v>
      </c>
      <c r="AE25" s="99">
        <f t="shared" si="4"/>
        <v>130.00186231974928</v>
      </c>
      <c r="AF25" s="99">
        <f t="shared" si="4"/>
        <v>130.65470405637126</v>
      </c>
      <c r="AG25" s="99">
        <f t="shared" si="2"/>
        <v>128.2584637062817</v>
      </c>
      <c r="AH25" s="99">
        <f t="shared" si="2"/>
        <v>124.66487276492222</v>
      </c>
      <c r="AI25" s="99">
        <f t="shared" si="2"/>
        <v>115.68654291365462</v>
      </c>
      <c r="AJ25" s="99">
        <f t="shared" si="2"/>
        <v>105.7996043365185</v>
      </c>
      <c r="AK25" s="99">
        <f t="shared" si="2"/>
        <v>96.69333712122787</v>
      </c>
      <c r="AL25" s="99">
        <f t="shared" si="2"/>
        <v>86.810207723996257</v>
      </c>
      <c r="AM25" s="99">
        <f t="shared" si="2"/>
        <v>77.013035999768917</v>
      </c>
      <c r="AN25" s="99">
        <f t="shared" si="2"/>
        <v>67.689352270141853</v>
      </c>
      <c r="AO25" s="99">
        <f t="shared" si="2"/>
        <v>58.461008980279566</v>
      </c>
      <c r="AP25" s="99">
        <f t="shared" si="2"/>
        <v>49.297873415599099</v>
      </c>
      <c r="AQ25" s="99">
        <f t="shared" si="3"/>
        <v>41.256332832037849</v>
      </c>
      <c r="AR25" s="99">
        <f t="shared" si="3"/>
        <v>33.616565327937593</v>
      </c>
      <c r="AS25" s="99">
        <f t="shared" si="3"/>
        <v>26.225398530454147</v>
      </c>
      <c r="AT25" s="99">
        <f t="shared" si="3"/>
        <v>19.004537609441289</v>
      </c>
      <c r="AU25" s="99">
        <f t="shared" si="3"/>
        <v>11.979887039774274</v>
      </c>
      <c r="AV25" s="99">
        <f t="shared" si="3"/>
        <v>5.9772936571522282</v>
      </c>
      <c r="AW25" s="99">
        <f t="shared" si="3"/>
        <v>4.2881013971399113</v>
      </c>
      <c r="AX25" s="99">
        <f t="shared" si="3"/>
        <v>3.3459515762388126</v>
      </c>
      <c r="AY25" s="99">
        <f t="shared" si="3"/>
        <v>2.4256393055162002</v>
      </c>
      <c r="AZ25" s="99">
        <f t="shared" si="3"/>
        <v>1.6584799319480912</v>
      </c>
      <c r="BA25" s="56"/>
      <c r="BB25" s="56"/>
      <c r="BC25" s="56"/>
      <c r="BD25" s="56"/>
      <c r="BE25" s="56"/>
      <c r="BF25" s="56"/>
      <c r="BG25" s="56"/>
      <c r="BH25" s="56"/>
      <c r="BI25" s="56"/>
      <c r="BJ25" s="56"/>
      <c r="BK25" s="56"/>
      <c r="BL25" s="56"/>
      <c r="BM25" s="56"/>
      <c r="BN25" s="56"/>
      <c r="BO25" s="56"/>
      <c r="BP25" s="56"/>
      <c r="BQ25" s="56"/>
      <c r="BR25" s="56"/>
      <c r="BS25" s="56"/>
      <c r="BT25" s="56"/>
      <c r="BU25" s="56"/>
      <c r="BV25" s="56"/>
      <c r="BW25" s="56"/>
      <c r="BX25" s="56"/>
      <c r="BY25" s="56"/>
      <c r="BZ25" s="56"/>
      <c r="CA25" s="56"/>
      <c r="CB25" s="56"/>
    </row>
    <row r="26" spans="3:80">
      <c r="E26" s="55" t="s">
        <v>211</v>
      </c>
      <c r="G26" s="55"/>
      <c r="I26" s="98"/>
      <c r="K26" s="98"/>
      <c r="M26" s="98"/>
      <c r="O26" s="98"/>
      <c r="Q26" s="624">
        <f>SUMIFS(Q$11:Q$19,$G$11:$G$19,$E26)</f>
        <v>0</v>
      </c>
      <c r="R26" s="624">
        <f t="shared" si="4"/>
        <v>0</v>
      </c>
      <c r="S26" s="624">
        <f t="shared" si="4"/>
        <v>0</v>
      </c>
      <c r="T26" s="624">
        <f t="shared" si="4"/>
        <v>0</v>
      </c>
      <c r="U26" s="624">
        <f t="shared" si="4"/>
        <v>0</v>
      </c>
      <c r="V26" s="624">
        <f t="shared" si="4"/>
        <v>0</v>
      </c>
      <c r="W26" s="624">
        <f t="shared" si="4"/>
        <v>0</v>
      </c>
      <c r="X26" s="624">
        <f t="shared" si="4"/>
        <v>0</v>
      </c>
      <c r="Y26" s="624">
        <f t="shared" si="4"/>
        <v>0</v>
      </c>
      <c r="Z26" s="624">
        <f t="shared" si="4"/>
        <v>0</v>
      </c>
      <c r="AA26" s="624">
        <f t="shared" si="4"/>
        <v>0</v>
      </c>
      <c r="AB26" s="624">
        <f t="shared" si="4"/>
        <v>0</v>
      </c>
      <c r="AC26" s="624">
        <f t="shared" si="4"/>
        <v>0.4426333417379909</v>
      </c>
      <c r="AD26" s="624">
        <f t="shared" si="4"/>
        <v>0.76145384200032962</v>
      </c>
      <c r="AE26" s="624">
        <f t="shared" si="4"/>
        <v>0.9980141867620036</v>
      </c>
      <c r="AF26" s="624">
        <f t="shared" si="4"/>
        <v>1.1797486517372209</v>
      </c>
      <c r="AG26" s="624">
        <f t="shared" si="2"/>
        <v>1.9272771414297647</v>
      </c>
      <c r="AH26" s="624">
        <f t="shared" si="2"/>
        <v>2.5807019744381083</v>
      </c>
      <c r="AI26" s="624">
        <f t="shared" si="2"/>
        <v>3.0635415119371689</v>
      </c>
      <c r="AJ26" s="624">
        <f t="shared" si="2"/>
        <v>3.3582414510770562</v>
      </c>
      <c r="AK26" s="624">
        <f t="shared" si="2"/>
        <v>2.9123718324778118</v>
      </c>
      <c r="AL26" s="624">
        <f t="shared" si="2"/>
        <v>2.0723698665975498</v>
      </c>
      <c r="AM26" s="624">
        <f t="shared" si="2"/>
        <v>1.5483904339702295</v>
      </c>
      <c r="AN26" s="624">
        <f t="shared" si="2"/>
        <v>1.2501943114265217</v>
      </c>
      <c r="AO26" s="624">
        <f t="shared" si="2"/>
        <v>1.1234841677825489</v>
      </c>
      <c r="AP26" s="624">
        <f t="shared" si="2"/>
        <v>0.97754824473839019</v>
      </c>
      <c r="AQ26" s="624">
        <f t="shared" si="3"/>
        <v>0.80551781119981491</v>
      </c>
      <c r="AR26" s="624">
        <f t="shared" si="3"/>
        <v>0.7017677847038869</v>
      </c>
      <c r="AS26" s="624">
        <f t="shared" si="3"/>
        <v>0.61205822573902235</v>
      </c>
      <c r="AT26" s="624">
        <f t="shared" si="3"/>
        <v>0.5120140782809024</v>
      </c>
      <c r="AU26" s="624">
        <f t="shared" si="3"/>
        <v>0.39489356780697088</v>
      </c>
      <c r="AV26" s="624">
        <f t="shared" si="3"/>
        <v>0.30813879191202748</v>
      </c>
      <c r="AW26" s="624">
        <f t="shared" si="3"/>
        <v>0.22681742488466197</v>
      </c>
      <c r="AX26" s="624">
        <f t="shared" si="3"/>
        <v>0.15038345419336344</v>
      </c>
      <c r="AY26" s="624">
        <f t="shared" si="3"/>
        <v>7.3899446562026586E-2</v>
      </c>
      <c r="AZ26" s="624">
        <f t="shared" si="3"/>
        <v>0</v>
      </c>
      <c r="BA26" s="56"/>
      <c r="BB26" s="56"/>
      <c r="BC26" s="56"/>
      <c r="BD26" s="56"/>
      <c r="BE26" s="56"/>
      <c r="BF26" s="56"/>
      <c r="BG26" s="56"/>
      <c r="BH26" s="56"/>
      <c r="BI26" s="56"/>
      <c r="BJ26" s="56"/>
      <c r="BK26" s="56"/>
      <c r="BL26" s="56"/>
      <c r="BM26" s="56"/>
      <c r="BN26" s="56"/>
      <c r="BO26" s="56"/>
      <c r="BP26" s="56"/>
      <c r="BQ26" s="56"/>
      <c r="BR26" s="56"/>
      <c r="BS26" s="56"/>
      <c r="BT26" s="56"/>
      <c r="BU26" s="56"/>
      <c r="BV26" s="56"/>
      <c r="BW26" s="56"/>
      <c r="BX26" s="56"/>
      <c r="BY26" s="56"/>
      <c r="BZ26" s="56"/>
      <c r="CA26" s="56"/>
      <c r="CB26" s="56"/>
    </row>
    <row r="27" spans="3:80">
      <c r="E27" s="55"/>
      <c r="G27" s="55"/>
      <c r="AW27" s="56"/>
      <c r="AX27" s="56"/>
      <c r="AY27" s="56"/>
      <c r="AZ27" s="56"/>
      <c r="BA27" s="56"/>
      <c r="BB27" s="56"/>
      <c r="BC27" s="56"/>
      <c r="BD27" s="56"/>
      <c r="BE27" s="56"/>
      <c r="BF27" s="56"/>
      <c r="BG27" s="56"/>
      <c r="BH27" s="56"/>
      <c r="BI27" s="56"/>
      <c r="BJ27" s="56"/>
      <c r="BK27" s="56"/>
      <c r="BL27" s="56"/>
      <c r="BM27" s="56"/>
      <c r="BN27" s="56"/>
      <c r="BO27" s="56"/>
      <c r="BP27" s="56"/>
      <c r="BQ27" s="56"/>
      <c r="BR27" s="56"/>
      <c r="BS27" s="56"/>
      <c r="BT27" s="56"/>
      <c r="BU27" s="56"/>
      <c r="BV27" s="56"/>
      <c r="BW27" s="56"/>
      <c r="BX27" s="56"/>
      <c r="BY27" s="56"/>
      <c r="BZ27" s="56"/>
      <c r="CA27" s="56"/>
      <c r="CB27" s="56"/>
    </row>
    <row r="28" spans="3:80">
      <c r="C28" s="38" t="s">
        <v>722</v>
      </c>
      <c r="E28" s="56"/>
      <c r="G28" s="55"/>
      <c r="AW28" s="56"/>
      <c r="AX28" s="56"/>
      <c r="AY28" s="56"/>
      <c r="AZ28" s="56"/>
      <c r="BA28" s="56"/>
      <c r="BB28" s="56"/>
      <c r="BC28" s="56"/>
      <c r="BD28" s="56"/>
      <c r="BE28" s="56"/>
      <c r="BF28" s="56"/>
      <c r="BG28" s="56"/>
      <c r="BH28" s="56"/>
      <c r="BI28" s="56"/>
      <c r="BJ28" s="56"/>
      <c r="BK28" s="56"/>
      <c r="BL28" s="56"/>
      <c r="BM28" s="56"/>
      <c r="BN28" s="56"/>
      <c r="BO28" s="56"/>
      <c r="BP28" s="56"/>
      <c r="BQ28" s="56"/>
      <c r="BR28" s="56"/>
      <c r="BS28" s="56"/>
      <c r="BT28" s="56"/>
      <c r="BU28" s="56"/>
      <c r="BV28" s="56"/>
      <c r="BW28" s="56"/>
      <c r="BX28" s="56"/>
      <c r="BY28" s="56"/>
      <c r="BZ28" s="56"/>
      <c r="CA28" s="56"/>
      <c r="CB28" s="56"/>
    </row>
    <row r="29" spans="3:80">
      <c r="E29" s="56"/>
      <c r="G29" s="55"/>
      <c r="V29" s="519"/>
      <c r="AW29" s="56"/>
      <c r="AX29" s="56"/>
      <c r="AY29" s="56"/>
      <c r="AZ29" s="56"/>
      <c r="BA29" s="56"/>
      <c r="BB29" s="56"/>
      <c r="BC29" s="56"/>
      <c r="BD29" s="56"/>
      <c r="BE29" s="56"/>
      <c r="BF29" s="56"/>
      <c r="BG29" s="56"/>
      <c r="BH29" s="56"/>
      <c r="BI29" s="56"/>
      <c r="BJ29" s="56"/>
      <c r="BK29" s="56"/>
      <c r="BL29" s="56"/>
      <c r="BM29" s="56"/>
      <c r="BN29" s="56"/>
      <c r="BO29" s="56"/>
      <c r="BP29" s="56"/>
      <c r="BQ29" s="56"/>
      <c r="BR29" s="56"/>
      <c r="BS29" s="56"/>
      <c r="BT29" s="56"/>
      <c r="BU29" s="56"/>
      <c r="BV29" s="56"/>
      <c r="BW29" s="56"/>
      <c r="BX29" s="56"/>
      <c r="BY29" s="56"/>
      <c r="BZ29" s="56"/>
      <c r="CA29" s="56"/>
      <c r="CB29" s="56"/>
    </row>
    <row r="30" spans="3:80">
      <c r="E30" s="97" t="s">
        <v>773</v>
      </c>
      <c r="F30" s="97"/>
      <c r="G30" s="97" t="s">
        <v>749</v>
      </c>
      <c r="J30" s="56"/>
      <c r="K30" s="100"/>
      <c r="AW30" s="56"/>
      <c r="AX30" s="56"/>
      <c r="AY30" s="56"/>
      <c r="AZ30" s="56"/>
      <c r="BA30" s="56"/>
      <c r="BB30" s="56"/>
      <c r="BC30" s="56"/>
      <c r="BD30" s="56"/>
      <c r="BE30" s="56"/>
      <c r="BF30" s="56"/>
      <c r="BG30" s="56"/>
      <c r="BH30" s="56"/>
      <c r="BI30" s="56"/>
      <c r="BJ30" s="56"/>
      <c r="BK30" s="56"/>
      <c r="BL30" s="56"/>
      <c r="BM30" s="56"/>
      <c r="BN30" s="56"/>
      <c r="BO30" s="56"/>
      <c r="BP30" s="56"/>
      <c r="BQ30" s="56"/>
      <c r="BR30" s="56"/>
      <c r="BS30" s="56"/>
      <c r="BT30" s="56"/>
      <c r="BU30" s="56"/>
      <c r="BV30" s="56"/>
      <c r="BW30" s="56"/>
      <c r="BX30" s="56"/>
      <c r="BY30" s="56"/>
      <c r="BZ30" s="56"/>
      <c r="CA30" s="56"/>
      <c r="CB30" s="56"/>
    </row>
    <row r="31" spans="3:80">
      <c r="E31" s="55" t="s">
        <v>774</v>
      </c>
      <c r="G31" s="55" t="s">
        <v>775</v>
      </c>
      <c r="I31" s="98"/>
      <c r="K31" s="98"/>
      <c r="M31" s="98"/>
      <c r="O31" s="98"/>
      <c r="Q31" s="83">
        <f>('Fuel Consumption'!Q32+'Fuel Consumption'!Q33) * '2.5 Emission factors'!O14</f>
        <v>2144.0974964551397</v>
      </c>
      <c r="R31" s="83">
        <f>('Fuel Consumption'!R32+'Fuel Consumption'!R33) * '2.5 Emission factors'!P14</f>
        <v>2116.2738002075921</v>
      </c>
      <c r="S31" s="83">
        <f>('Fuel Consumption'!S32+'Fuel Consumption'!S33) * '2.5 Emission factors'!Q14</f>
        <v>2094.6088136386356</v>
      </c>
      <c r="T31" s="83">
        <f>('Fuel Consumption'!T32+'Fuel Consumption'!T33) * '2.5 Emission factors'!R14</f>
        <v>2072.8966065736095</v>
      </c>
      <c r="U31" s="83">
        <f>('Fuel Consumption'!U32+'Fuel Consumption'!U33) * '2.5 Emission factors'!S14</f>
        <v>2047.002997377863</v>
      </c>
      <c r="V31" s="83">
        <f>('Fuel Consumption'!V32+'Fuel Consumption'!V33) * '2.5 Emission factors'!T14</f>
        <v>1992.9078111628519</v>
      </c>
      <c r="W31" s="83">
        <f>('Fuel Consumption'!W32+'Fuel Consumption'!W33) * '2.5 Emission factors'!U14</f>
        <v>1955.0191613002764</v>
      </c>
      <c r="X31" s="83">
        <f>('Fuel Consumption'!X32+'Fuel Consumption'!X33) * '2.5 Emission factors'!V14</f>
        <v>1892.6452024360046</v>
      </c>
      <c r="Y31" s="83">
        <f>('Fuel Consumption'!Y32+'Fuel Consumption'!Y33) * '2.5 Emission factors'!W14</f>
        <v>1797.9717976377469</v>
      </c>
      <c r="Z31" s="83">
        <f>('Fuel Consumption'!Z32+'Fuel Consumption'!Z33) * '2.5 Emission factors'!X14</f>
        <v>1662.4304489216527</v>
      </c>
      <c r="AA31" s="83">
        <f>('Fuel Consumption'!AA32+'Fuel Consumption'!AA33) * '2.5 Emission factors'!Y14</f>
        <v>1511.894229861663</v>
      </c>
      <c r="AB31" s="83">
        <f>('Fuel Consumption'!AB32+'Fuel Consumption'!AB33) * '2.5 Emission factors'!Z14</f>
        <v>1340.8697180077304</v>
      </c>
      <c r="AC31" s="83">
        <f>('Fuel Consumption'!AC32+'Fuel Consumption'!AC33) * '2.5 Emission factors'!AA14</f>
        <v>1142.4958511582511</v>
      </c>
      <c r="AD31" s="83">
        <f>('Fuel Consumption'!AD32+'Fuel Consumption'!AD33) * '2.5 Emission factors'!AB14</f>
        <v>979.79226669630282</v>
      </c>
      <c r="AE31" s="83">
        <f>('Fuel Consumption'!AE32+'Fuel Consumption'!AE33) * '2.5 Emission factors'!AC14</f>
        <v>825.87588227659307</v>
      </c>
      <c r="AF31" s="83">
        <f>('Fuel Consumption'!AF32+'Fuel Consumption'!AF33) * '2.5 Emission factors'!AD14</f>
        <v>688.96470753050028</v>
      </c>
      <c r="AG31" s="83">
        <f>('Fuel Consumption'!AG32+'Fuel Consumption'!AG33) * '2.5 Emission factors'!AE14</f>
        <v>571.47420484124279</v>
      </c>
      <c r="AH31" s="83">
        <f>('Fuel Consumption'!AH32+'Fuel Consumption'!AH33) * '2.5 Emission factors'!AF14</f>
        <v>473.22747572233243</v>
      </c>
      <c r="AI31" s="83">
        <f>('Fuel Consumption'!AI32+'Fuel Consumption'!AI33) * '2.5 Emission factors'!AG14</f>
        <v>390.62209135763072</v>
      </c>
      <c r="AJ31" s="83">
        <f>('Fuel Consumption'!AJ32+'Fuel Consumption'!AJ33) * '2.5 Emission factors'!AH14</f>
        <v>320.79714683328467</v>
      </c>
      <c r="AK31" s="83">
        <f>('Fuel Consumption'!AK32+'Fuel Consumption'!AK33) * '2.5 Emission factors'!AI14</f>
        <v>274.26238026417889</v>
      </c>
      <c r="AL31" s="83">
        <f>('Fuel Consumption'!AL32+'Fuel Consumption'!AL33) * '2.5 Emission factors'!AJ14</f>
        <v>211.3411025871246</v>
      </c>
      <c r="AM31" s="83">
        <f>('Fuel Consumption'!AM32+'Fuel Consumption'!AM33) * '2.5 Emission factors'!AK14</f>
        <v>165.27348134941485</v>
      </c>
      <c r="AN31" s="83">
        <f>('Fuel Consumption'!AN32+'Fuel Consumption'!AN33) * '2.5 Emission factors'!AL14</f>
        <v>132.89466177209511</v>
      </c>
      <c r="AO31" s="83">
        <f>('Fuel Consumption'!AO32+'Fuel Consumption'!AO33) * '2.5 Emission factors'!AM14</f>
        <v>119.75591268907885</v>
      </c>
      <c r="AP31" s="83">
        <f>('Fuel Consumption'!AP32+'Fuel Consumption'!AP33) * '2.5 Emission factors'!AN14</f>
        <v>106.6818828507347</v>
      </c>
      <c r="AQ31" s="83">
        <f>('Fuel Consumption'!AQ32+'Fuel Consumption'!AQ33) * '2.5 Emission factors'!AO14</f>
        <v>92.594891028467003</v>
      </c>
      <c r="AR31" s="83">
        <f>('Fuel Consumption'!AR32+'Fuel Consumption'!AR33) * '2.5 Emission factors'!AP14</f>
        <v>78.780368838102774</v>
      </c>
      <c r="AS31" s="83">
        <f>('Fuel Consumption'!AS32+'Fuel Consumption'!AS33) * '2.5 Emission factors'!AQ14</f>
        <v>65.026220474338089</v>
      </c>
      <c r="AT31" s="83">
        <f>('Fuel Consumption'!AT32+'Fuel Consumption'!AT33) * '2.5 Emission factors'!AR14</f>
        <v>51.107197879695931</v>
      </c>
      <c r="AU31" s="83">
        <f>('Fuel Consumption'!AU32+'Fuel Consumption'!AU33) * '2.5 Emission factors'!AS14</f>
        <v>36.650037143926575</v>
      </c>
      <c r="AV31" s="83">
        <f>('Fuel Consumption'!AV32+'Fuel Consumption'!AV33) * '2.5 Emission factors'!AT14</f>
        <v>21.832002505362247</v>
      </c>
      <c r="AW31" s="83">
        <f>('Fuel Consumption'!AW32+'Fuel Consumption'!AW33) * '2.5 Emission factors'!AU14</f>
        <v>13.776481141692239</v>
      </c>
      <c r="AX31" s="83">
        <f>('Fuel Consumption'!AX32+'Fuel Consumption'!AX33) * '2.5 Emission factors'!AV14</f>
        <v>9.3048258493879246</v>
      </c>
      <c r="AY31" s="83">
        <f>('Fuel Consumption'!AY32+'Fuel Consumption'!AY33) * '2.5 Emission factors'!AW14</f>
        <v>4.7125304711537819</v>
      </c>
      <c r="AZ31" s="83">
        <f>('Fuel Consumption'!AZ32+'Fuel Consumption'!AZ33) * '2.5 Emission factors'!AX14</f>
        <v>0</v>
      </c>
      <c r="BA31" s="56"/>
      <c r="BB31" s="56"/>
      <c r="BC31" s="56"/>
      <c r="BD31" s="56"/>
      <c r="BE31" s="56"/>
      <c r="BF31" s="56"/>
      <c r="BG31" s="56"/>
      <c r="BH31" s="56"/>
      <c r="BI31" s="56"/>
      <c r="BJ31" s="56"/>
      <c r="BK31" s="56"/>
      <c r="BL31" s="56"/>
      <c r="BM31" s="56"/>
      <c r="BN31" s="56"/>
      <c r="BO31" s="56"/>
      <c r="BP31" s="56"/>
      <c r="BQ31" s="56"/>
      <c r="BR31" s="56"/>
      <c r="BS31" s="56"/>
      <c r="BT31" s="56"/>
      <c r="BU31" s="56"/>
      <c r="BV31" s="56"/>
      <c r="BW31" s="56"/>
      <c r="BX31" s="56"/>
      <c r="BY31" s="56"/>
      <c r="BZ31" s="56"/>
      <c r="CA31" s="56"/>
      <c r="CB31" s="56"/>
    </row>
    <row r="32" spans="3:80">
      <c r="E32" s="55" t="s">
        <v>776</v>
      </c>
      <c r="G32" s="55" t="s">
        <v>210</v>
      </c>
      <c r="I32" s="98"/>
      <c r="K32" s="98"/>
      <c r="M32" s="98"/>
      <c r="O32" s="98"/>
      <c r="Q32" s="83">
        <f>'Fuel Consumption'!Q34 * '2.5 Emission factors'!O29</f>
        <v>617.86947871309701</v>
      </c>
      <c r="R32" s="83">
        <f>'Fuel Consumption'!R34 * '2.5 Emission factors'!P29</f>
        <v>493.9314444203942</v>
      </c>
      <c r="S32" s="83">
        <f>'Fuel Consumption'!S34 * '2.5 Emission factors'!Q29</f>
        <v>442.18061061558564</v>
      </c>
      <c r="T32" s="83">
        <f>'Fuel Consumption'!T34 * '2.5 Emission factors'!R29</f>
        <v>411.66251658421544</v>
      </c>
      <c r="U32" s="83">
        <f>'Fuel Consumption'!U34 * '2.5 Emission factors'!S29</f>
        <v>366.94641220895636</v>
      </c>
      <c r="V32" s="83">
        <f>'Fuel Consumption'!V34 * '2.5 Emission factors'!T29</f>
        <v>272.77323414172008</v>
      </c>
      <c r="W32" s="83">
        <f>'Fuel Consumption'!W34 * '2.5 Emission factors'!U29</f>
        <v>251.16144869291796</v>
      </c>
      <c r="X32" s="83">
        <f>'Fuel Consumption'!X34 * '2.5 Emission factors'!V29</f>
        <v>229.22832108415156</v>
      </c>
      <c r="Y32" s="83">
        <f>'Fuel Consumption'!Y34 * '2.5 Emission factors'!W29</f>
        <v>210.34954351011061</v>
      </c>
      <c r="Z32" s="83">
        <f>'Fuel Consumption'!Z34 * '2.5 Emission factors'!X29</f>
        <v>213.2333410508831</v>
      </c>
      <c r="AA32" s="83">
        <f>'Fuel Consumption'!AA34 * '2.5 Emission factors'!Y29</f>
        <v>164.71803819417789</v>
      </c>
      <c r="AB32" s="83">
        <f>'Fuel Consumption'!AB34 * '2.5 Emission factors'!Z29</f>
        <v>108.04618867369909</v>
      </c>
      <c r="AC32" s="83">
        <f>'Fuel Consumption'!AC34 * '2.5 Emission factors'!AA29</f>
        <v>77.299380604455678</v>
      </c>
      <c r="AD32" s="83">
        <f>'Fuel Consumption'!AD34 * '2.5 Emission factors'!AB29</f>
        <v>62.236507355647653</v>
      </c>
      <c r="AE32" s="83">
        <f>'Fuel Consumption'!AE34 * '2.5 Emission factors'!AC29</f>
        <v>49.874689656970148</v>
      </c>
      <c r="AF32" s="83">
        <f>'Fuel Consumption'!AF34 * '2.5 Emission factors'!AD29</f>
        <v>33.571300122186074</v>
      </c>
      <c r="AG32" s="83">
        <f>'Fuel Consumption'!AG34 * '2.5 Emission factors'!AE29</f>
        <v>22.50111154988452</v>
      </c>
      <c r="AH32" s="83">
        <f>'Fuel Consumption'!AH34 * '2.5 Emission factors'!AF29</f>
        <v>16.417387283892534</v>
      </c>
      <c r="AI32" s="83">
        <f>'Fuel Consumption'!AI34 * '2.5 Emission factors'!AG29</f>
        <v>11.995787243119608</v>
      </c>
      <c r="AJ32" s="83">
        <f>'Fuel Consumption'!AJ34 * '2.5 Emission factors'!AH29</f>
        <v>9.1178571180914094</v>
      </c>
      <c r="AK32" s="83">
        <f>'Fuel Consumption'!AK34 * '2.5 Emission factors'!AI29</f>
        <v>6.9599632267728531</v>
      </c>
      <c r="AL32" s="83">
        <f>'Fuel Consumption'!AL34 * '2.5 Emission factors'!AJ29</f>
        <v>6.4704426878613441</v>
      </c>
      <c r="AM32" s="83">
        <f>'Fuel Consumption'!AM34 * '2.5 Emission factors'!AK29</f>
        <v>6.1820079088217534</v>
      </c>
      <c r="AN32" s="83">
        <f>'Fuel Consumption'!AN34 * '2.5 Emission factors'!AL29</f>
        <v>6.4600846969192425</v>
      </c>
      <c r="AO32" s="83">
        <f>'Fuel Consumption'!AO34 * '2.5 Emission factors'!AM29</f>
        <v>7.1972955196148884</v>
      </c>
      <c r="AP32" s="83">
        <f>'Fuel Consumption'!AP34 * '2.5 Emission factors'!AN29</f>
        <v>7.5215249139386584</v>
      </c>
      <c r="AQ32" s="83">
        <f>'Fuel Consumption'!AQ34 * '2.5 Emission factors'!AO29</f>
        <v>7.0011787438430035</v>
      </c>
      <c r="AR32" s="83">
        <f>'Fuel Consumption'!AR34 * '2.5 Emission factors'!AP29</f>
        <v>7.3656355398836117</v>
      </c>
      <c r="AS32" s="83">
        <f>'Fuel Consumption'!AS34 * '2.5 Emission factors'!AQ29</f>
        <v>7.9278966520228602</v>
      </c>
      <c r="AT32" s="83">
        <f>'Fuel Consumption'!AT34 * '2.5 Emission factors'!AR29</f>
        <v>8.1299249839679426</v>
      </c>
      <c r="AU32" s="83">
        <f>'Fuel Consumption'!AU34 * '2.5 Emission factors'!AS29</f>
        <v>7.490418337599599</v>
      </c>
      <c r="AV32" s="83">
        <f>'Fuel Consumption'!AV34 * '2.5 Emission factors'!AT29</f>
        <v>7.4391147508854001</v>
      </c>
      <c r="AW32" s="83">
        <f>'Fuel Consumption'!AW34 * '2.5 Emission factors'!AU29</f>
        <v>7.4659765021993731</v>
      </c>
      <c r="AX32" s="83">
        <f>'Fuel Consumption'!AX34 * '2.5 Emission factors'!AV29</f>
        <v>7.6798273065733493</v>
      </c>
      <c r="AY32" s="83">
        <f>'Fuel Consumption'!AY34 * '2.5 Emission factors'!AW29</f>
        <v>7.7163391742737044</v>
      </c>
      <c r="AZ32" s="83">
        <f>'Fuel Consumption'!AZ34 * '2.5 Emission factors'!AX29</f>
        <v>8.1617477442869735</v>
      </c>
      <c r="BA32" s="56"/>
      <c r="BB32" s="56"/>
      <c r="BC32" s="56"/>
      <c r="BD32" s="56"/>
      <c r="BE32" s="56"/>
      <c r="BF32" s="56"/>
      <c r="BG32" s="56"/>
      <c r="BH32" s="56"/>
      <c r="BI32" s="56"/>
      <c r="BJ32" s="56"/>
      <c r="BK32" s="56"/>
      <c r="BL32" s="56"/>
      <c r="BM32" s="56"/>
      <c r="BN32" s="56"/>
      <c r="BO32" s="56"/>
      <c r="BP32" s="56"/>
      <c r="BQ32" s="56"/>
      <c r="BR32" s="56"/>
      <c r="BS32" s="56"/>
      <c r="BT32" s="56"/>
      <c r="BU32" s="56"/>
      <c r="BV32" s="56"/>
      <c r="BW32" s="56"/>
      <c r="BX32" s="56"/>
      <c r="BY32" s="56"/>
      <c r="BZ32" s="56"/>
      <c r="CA32" s="56"/>
      <c r="CB32" s="56"/>
    </row>
    <row r="33" spans="2:80">
      <c r="E33" s="55" t="s">
        <v>346</v>
      </c>
      <c r="G33" s="55" t="s">
        <v>210</v>
      </c>
      <c r="I33" s="98"/>
      <c r="K33" s="98"/>
      <c r="M33" s="98"/>
      <c r="O33" s="98"/>
      <c r="Q33" s="83">
        <f>'Fuel Consumption'!Q35 * '2.5 Emission factors'!O29</f>
        <v>0</v>
      </c>
      <c r="R33" s="83">
        <f>'Fuel Consumption'!R35 * '2.5 Emission factors'!P29</f>
        <v>0</v>
      </c>
      <c r="S33" s="83">
        <f>'Fuel Consumption'!S35 * '2.5 Emission factors'!Q29</f>
        <v>0</v>
      </c>
      <c r="T33" s="83">
        <f>'Fuel Consumption'!T35 * '2.5 Emission factors'!R29</f>
        <v>0</v>
      </c>
      <c r="U33" s="83">
        <f>'Fuel Consumption'!U35 * '2.5 Emission factors'!S29</f>
        <v>0</v>
      </c>
      <c r="V33" s="83">
        <f>'Fuel Consumption'!V35 * '2.5 Emission factors'!T29</f>
        <v>0.666822519545615</v>
      </c>
      <c r="W33" s="83">
        <f>'Fuel Consumption'!W35 * '2.5 Emission factors'!U29</f>
        <v>2.6313985884398114</v>
      </c>
      <c r="X33" s="83">
        <f>'Fuel Consumption'!X35 * '2.5 Emission factors'!V29</f>
        <v>7.2910317342934343</v>
      </c>
      <c r="Y33" s="83">
        <f>'Fuel Consumption'!Y35 * '2.5 Emission factors'!W29</f>
        <v>14.393740469465996</v>
      </c>
      <c r="Z33" s="83">
        <f>'Fuel Consumption'!Z35 * '2.5 Emission factors'!X29</f>
        <v>28.077197310997168</v>
      </c>
      <c r="AA33" s="83">
        <f>'Fuel Consumption'!AA35 * '2.5 Emission factors'!Y29</f>
        <v>36.261448553218813</v>
      </c>
      <c r="AB33" s="83">
        <f>'Fuel Consumption'!AB35 * '2.5 Emission factors'!Z29</f>
        <v>37.689705684421746</v>
      </c>
      <c r="AC33" s="83">
        <f>'Fuel Consumption'!AC35 * '2.5 Emission factors'!AA29</f>
        <v>41.017890456645617</v>
      </c>
      <c r="AD33" s="83">
        <f>'Fuel Consumption'!AD35 * '2.5 Emission factors'!AB29</f>
        <v>46.28734937105898</v>
      </c>
      <c r="AE33" s="83">
        <f>'Fuel Consumption'!AE35 * '2.5 Emission factors'!AC29</f>
        <v>49.299312399470146</v>
      </c>
      <c r="AF33" s="83">
        <f>'Fuel Consumption'!AF35 * '2.5 Emission factors'!AD29</f>
        <v>42.535923952741264</v>
      </c>
      <c r="AG33" s="83">
        <f>'Fuel Consumption'!AG35 * '2.5 Emission factors'!AE29</f>
        <v>36.387466217231996</v>
      </c>
      <c r="AH33" s="83">
        <f>'Fuel Consumption'!AH35 * '2.5 Emission factors'!AF29</f>
        <v>33.663305888659437</v>
      </c>
      <c r="AI33" s="83">
        <f>'Fuel Consumption'!AI35 * '2.5 Emission factors'!AG29</f>
        <v>31.162064451210384</v>
      </c>
      <c r="AJ33" s="83">
        <f>'Fuel Consumption'!AJ35 * '2.5 Emission factors'!AH29</f>
        <v>30.146697710415769</v>
      </c>
      <c r="AK33" s="83">
        <f>'Fuel Consumption'!AK35 * '2.5 Emission factors'!AI29</f>
        <v>29.382457910165925</v>
      </c>
      <c r="AL33" s="83">
        <f>'Fuel Consumption'!AL35 * '2.5 Emission factors'!AJ29</f>
        <v>26.366044677388597</v>
      </c>
      <c r="AM33" s="83">
        <f>'Fuel Consumption'!AM35 * '2.5 Emission factors'!AK29</f>
        <v>24.850129648232187</v>
      </c>
      <c r="AN33" s="83">
        <f>'Fuel Consumption'!AN35 * '2.5 Emission factors'!AL29</f>
        <v>25.217395838207228</v>
      </c>
      <c r="AO33" s="83">
        <f>'Fuel Consumption'!AO35 * '2.5 Emission factors'!AM29</f>
        <v>23.968937785358392</v>
      </c>
      <c r="AP33" s="83">
        <f>'Fuel Consumption'!AP35 * '2.5 Emission factors'!AN29</f>
        <v>21.803955624803269</v>
      </c>
      <c r="AQ33" s="83">
        <f>'Fuel Consumption'!AQ35 * '2.5 Emission factors'!AO29</f>
        <v>18.170728040224017</v>
      </c>
      <c r="AR33" s="83">
        <f>'Fuel Consumption'!AR35 * '2.5 Emission factors'!AP29</f>
        <v>17.3115531106173</v>
      </c>
      <c r="AS33" s="83">
        <f>'Fuel Consumption'!AS35 * '2.5 Emission factors'!AQ29</f>
        <v>17.024378327077265</v>
      </c>
      <c r="AT33" s="83">
        <f>'Fuel Consumption'!AT35 * '2.5 Emission factors'!AR29</f>
        <v>16.063819140504091</v>
      </c>
      <c r="AU33" s="83">
        <f>'Fuel Consumption'!AU35 * '2.5 Emission factors'!AS29</f>
        <v>13.695361798453842</v>
      </c>
      <c r="AV33" s="83">
        <f>'Fuel Consumption'!AV35 * '2.5 Emission factors'!AT29</f>
        <v>12.483000355076447</v>
      </c>
      <c r="AW33" s="83">
        <f>'Fuel Consumption'!AW35 * '2.5 Emission factors'!AU29</f>
        <v>11.555011047717771</v>
      </c>
      <c r="AX33" s="83">
        <f>'Fuel Consumption'!AX35 * '2.5 Emission factors'!AV29</f>
        <v>11.009946130118868</v>
      </c>
      <c r="AY33" s="83">
        <f>'Fuel Consumption'!AY35 * '2.5 Emission factors'!AW29</f>
        <v>10.285412244834518</v>
      </c>
      <c r="AZ33" s="83">
        <f>'Fuel Consumption'!AZ35 * '2.5 Emission factors'!AX29</f>
        <v>10.148490508085898</v>
      </c>
      <c r="BA33" s="56"/>
      <c r="BB33" s="56"/>
      <c r="BC33" s="56"/>
      <c r="BD33" s="56"/>
      <c r="BE33" s="56"/>
      <c r="BF33" s="56"/>
      <c r="BG33" s="56"/>
      <c r="BH33" s="56"/>
      <c r="BI33" s="56"/>
      <c r="BJ33" s="56"/>
      <c r="BK33" s="56"/>
      <c r="BL33" s="56"/>
      <c r="BM33" s="56"/>
      <c r="BN33" s="56"/>
      <c r="BO33" s="56"/>
      <c r="BP33" s="56"/>
      <c r="BQ33" s="56"/>
      <c r="BR33" s="56"/>
      <c r="BS33" s="56"/>
      <c r="BT33" s="56"/>
      <c r="BU33" s="56"/>
      <c r="BV33" s="56"/>
      <c r="BW33" s="56"/>
      <c r="BX33" s="56"/>
      <c r="BY33" s="56"/>
      <c r="BZ33" s="56"/>
      <c r="CA33" s="56"/>
      <c r="CB33" s="56"/>
    </row>
    <row r="34" spans="2:80">
      <c r="E34" s="55" t="s">
        <v>219</v>
      </c>
      <c r="G34" s="55" t="s">
        <v>210</v>
      </c>
      <c r="I34" s="98"/>
      <c r="K34" s="98"/>
      <c r="M34" s="98"/>
      <c r="O34" s="98"/>
      <c r="P34" s="56"/>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56"/>
      <c r="BB34" s="56"/>
      <c r="BC34" s="56"/>
      <c r="BD34" s="56"/>
      <c r="BE34" s="56"/>
      <c r="BF34" s="56"/>
      <c r="BG34" s="56"/>
      <c r="BH34" s="56"/>
      <c r="BI34" s="56"/>
      <c r="BJ34" s="56"/>
      <c r="BK34" s="56"/>
      <c r="BL34" s="56"/>
      <c r="BM34" s="56"/>
      <c r="BN34" s="56"/>
      <c r="BO34" s="56"/>
      <c r="BP34" s="56"/>
      <c r="BQ34" s="56"/>
      <c r="BR34" s="56"/>
      <c r="BS34" s="56"/>
      <c r="BT34" s="56"/>
      <c r="BU34" s="56"/>
      <c r="BV34" s="56"/>
      <c r="BW34" s="56"/>
      <c r="BX34" s="56"/>
      <c r="BY34" s="56"/>
      <c r="BZ34" s="56"/>
      <c r="CA34" s="56"/>
      <c r="CB34" s="56"/>
    </row>
    <row r="35" spans="2:80">
      <c r="E35" s="55" t="s">
        <v>1364</v>
      </c>
      <c r="F35" s="55"/>
      <c r="G35" s="55" t="s">
        <v>210</v>
      </c>
      <c r="I35" s="98"/>
      <c r="K35" s="98"/>
      <c r="M35" s="98"/>
      <c r="O35" s="98"/>
      <c r="P35" s="65"/>
      <c r="Q35" s="83">
        <f>'Fuel Consumption'!Q37 * '2.5 Emission factors'!O29</f>
        <v>0</v>
      </c>
      <c r="R35" s="83">
        <f>'Fuel Consumption'!R37 * '2.5 Emission factors'!P29</f>
        <v>0</v>
      </c>
      <c r="S35" s="83">
        <f>'Fuel Consumption'!S37 * '2.5 Emission factors'!Q29</f>
        <v>0</v>
      </c>
      <c r="T35" s="83">
        <f>'Fuel Consumption'!T37 * '2.5 Emission factors'!R29</f>
        <v>0</v>
      </c>
      <c r="U35" s="83">
        <f>'Fuel Consumption'!U37 * '2.5 Emission factors'!S29</f>
        <v>0</v>
      </c>
      <c r="V35" s="83">
        <f>'Fuel Consumption'!V37 * '2.5 Emission factors'!T29</f>
        <v>0</v>
      </c>
      <c r="W35" s="83">
        <f>'Fuel Consumption'!W37 * '2.5 Emission factors'!U29</f>
        <v>0</v>
      </c>
      <c r="X35" s="83">
        <f>'Fuel Consumption'!X37 * '2.5 Emission factors'!V29</f>
        <v>0</v>
      </c>
      <c r="Y35" s="83">
        <f>'Fuel Consumption'!Y37 * '2.5 Emission factors'!W29</f>
        <v>0</v>
      </c>
      <c r="Z35" s="83">
        <f>'Fuel Consumption'!Z37 * '2.5 Emission factors'!X29</f>
        <v>0</v>
      </c>
      <c r="AA35" s="83">
        <f>'Fuel Consumption'!AA37 * '2.5 Emission factors'!Y29</f>
        <v>0</v>
      </c>
      <c r="AB35" s="83">
        <f>'Fuel Consumption'!AB37 * '2.5 Emission factors'!Z29</f>
        <v>0</v>
      </c>
      <c r="AC35" s="83">
        <f>'Fuel Consumption'!AC37 * '2.5 Emission factors'!AA29</f>
        <v>0</v>
      </c>
      <c r="AD35" s="83">
        <f>'Fuel Consumption'!AD37 * '2.5 Emission factors'!AB29</f>
        <v>0</v>
      </c>
      <c r="AE35" s="83">
        <f>'Fuel Consumption'!AE37 * '2.5 Emission factors'!AC29</f>
        <v>0</v>
      </c>
      <c r="AF35" s="83">
        <f>'Fuel Consumption'!AF37 * '2.5 Emission factors'!AD29</f>
        <v>0</v>
      </c>
      <c r="AG35" s="83">
        <f>'Fuel Consumption'!AG37 * '2.5 Emission factors'!AE29</f>
        <v>0</v>
      </c>
      <c r="AH35" s="83">
        <f>'Fuel Consumption'!AH37 * '2.5 Emission factors'!AF29</f>
        <v>0</v>
      </c>
      <c r="AI35" s="83">
        <f>'Fuel Consumption'!AI37 * '2.5 Emission factors'!AG29</f>
        <v>0</v>
      </c>
      <c r="AJ35" s="83">
        <f>'Fuel Consumption'!AJ37 * '2.5 Emission factors'!AH29</f>
        <v>0</v>
      </c>
      <c r="AK35" s="83">
        <f>'Fuel Consumption'!AK37 * '2.5 Emission factors'!AI29</f>
        <v>0</v>
      </c>
      <c r="AL35" s="83">
        <f>'Fuel Consumption'!AL37 * '2.5 Emission factors'!AJ29</f>
        <v>0</v>
      </c>
      <c r="AM35" s="83">
        <f>'Fuel Consumption'!AM37 * '2.5 Emission factors'!AK29</f>
        <v>0</v>
      </c>
      <c r="AN35" s="83">
        <f>'Fuel Consumption'!AN37 * '2.5 Emission factors'!AL29</f>
        <v>0</v>
      </c>
      <c r="AO35" s="83">
        <f>'Fuel Consumption'!AO37 * '2.5 Emission factors'!AM29</f>
        <v>0</v>
      </c>
      <c r="AP35" s="83">
        <f>'Fuel Consumption'!AP37 * '2.5 Emission factors'!AN29</f>
        <v>0</v>
      </c>
      <c r="AQ35" s="83">
        <f>'Fuel Consumption'!AQ37 * '2.5 Emission factors'!AO29</f>
        <v>0</v>
      </c>
      <c r="AR35" s="83">
        <f>'Fuel Consumption'!AR37 * '2.5 Emission factors'!AP29</f>
        <v>0</v>
      </c>
      <c r="AS35" s="83">
        <f>'Fuel Consumption'!AS37 * '2.5 Emission factors'!AQ29</f>
        <v>0</v>
      </c>
      <c r="AT35" s="83">
        <f>'Fuel Consumption'!AT37 * '2.5 Emission factors'!AR29</f>
        <v>0</v>
      </c>
      <c r="AU35" s="83">
        <f>'Fuel Consumption'!AU37 * '2.5 Emission factors'!AS29</f>
        <v>0</v>
      </c>
      <c r="AV35" s="83">
        <f>'Fuel Consumption'!AV37 * '2.5 Emission factors'!AT29</f>
        <v>0</v>
      </c>
      <c r="AW35" s="83">
        <f>'Fuel Consumption'!AW37 * '2.5 Emission factors'!AU29</f>
        <v>0</v>
      </c>
      <c r="AX35" s="83">
        <f>'Fuel Consumption'!AX37 * '2.5 Emission factors'!AV29</f>
        <v>0</v>
      </c>
      <c r="AY35" s="83">
        <f>'Fuel Consumption'!AY37 * '2.5 Emission factors'!AW29</f>
        <v>0</v>
      </c>
      <c r="AZ35" s="83">
        <f>'Fuel Consumption'!AZ37 * '2.5 Emission factors'!AX29</f>
        <v>0</v>
      </c>
    </row>
    <row r="36" spans="2:80">
      <c r="E36" s="55" t="s">
        <v>1364</v>
      </c>
      <c r="F36" s="55"/>
      <c r="G36" s="55" t="s">
        <v>775</v>
      </c>
      <c r="I36" s="98"/>
      <c r="K36" s="98"/>
      <c r="M36" s="98"/>
      <c r="O36" s="98"/>
      <c r="P36" s="65"/>
      <c r="Q36" s="83">
        <f>'Fuel Consumption'!Q38 * '2.5 Emission factors'!O14</f>
        <v>0</v>
      </c>
      <c r="R36" s="83">
        <f>'Fuel Consumption'!R38 * '2.5 Emission factors'!P14</f>
        <v>0</v>
      </c>
      <c r="S36" s="83">
        <f>'Fuel Consumption'!S38 * '2.5 Emission factors'!Q14</f>
        <v>0</v>
      </c>
      <c r="T36" s="83">
        <f>'Fuel Consumption'!T38 * '2.5 Emission factors'!R14</f>
        <v>0</v>
      </c>
      <c r="U36" s="83">
        <f>'Fuel Consumption'!U38 * '2.5 Emission factors'!S14</f>
        <v>0</v>
      </c>
      <c r="V36" s="83">
        <f>'Fuel Consumption'!V38 * '2.5 Emission factors'!T14</f>
        <v>0</v>
      </c>
      <c r="W36" s="83">
        <f>'Fuel Consumption'!W38 * '2.5 Emission factors'!U14</f>
        <v>0</v>
      </c>
      <c r="X36" s="83">
        <f>'Fuel Consumption'!X38 * '2.5 Emission factors'!V14</f>
        <v>0</v>
      </c>
      <c r="Y36" s="83">
        <f>'Fuel Consumption'!Y38 * '2.5 Emission factors'!W14</f>
        <v>0</v>
      </c>
      <c r="Z36" s="83">
        <f>'Fuel Consumption'!Z38 * '2.5 Emission factors'!X14</f>
        <v>0</v>
      </c>
      <c r="AA36" s="83">
        <f>'Fuel Consumption'!AA38 * '2.5 Emission factors'!Y14</f>
        <v>0</v>
      </c>
      <c r="AB36" s="83">
        <f>'Fuel Consumption'!AB38 * '2.5 Emission factors'!Z14</f>
        <v>0</v>
      </c>
      <c r="AC36" s="83">
        <f>'Fuel Consumption'!AC38 * '2.5 Emission factors'!AA14</f>
        <v>0</v>
      </c>
      <c r="AD36" s="83">
        <f>'Fuel Consumption'!AD38 * '2.5 Emission factors'!AB14</f>
        <v>0</v>
      </c>
      <c r="AE36" s="83">
        <f>'Fuel Consumption'!AE38 * '2.5 Emission factors'!AC14</f>
        <v>0</v>
      </c>
      <c r="AF36" s="83">
        <f>'Fuel Consumption'!AF38 * '2.5 Emission factors'!AD14</f>
        <v>0</v>
      </c>
      <c r="AG36" s="83">
        <f>'Fuel Consumption'!AG38 * '2.5 Emission factors'!AE14</f>
        <v>0</v>
      </c>
      <c r="AH36" s="83">
        <f>'Fuel Consumption'!AH38 * '2.5 Emission factors'!AF14</f>
        <v>0</v>
      </c>
      <c r="AI36" s="83">
        <f>'Fuel Consumption'!AI38 * '2.5 Emission factors'!AG14</f>
        <v>0</v>
      </c>
      <c r="AJ36" s="83">
        <f>'Fuel Consumption'!AJ38 * '2.5 Emission factors'!AH14</f>
        <v>0</v>
      </c>
      <c r="AK36" s="83">
        <f>'Fuel Consumption'!AK38 * '2.5 Emission factors'!AI14</f>
        <v>0</v>
      </c>
      <c r="AL36" s="83">
        <f>'Fuel Consumption'!AL38 * '2.5 Emission factors'!AJ14</f>
        <v>0</v>
      </c>
      <c r="AM36" s="83">
        <f>'Fuel Consumption'!AM38 * '2.5 Emission factors'!AK14</f>
        <v>0</v>
      </c>
      <c r="AN36" s="83">
        <f>'Fuel Consumption'!AN38 * '2.5 Emission factors'!AL14</f>
        <v>0</v>
      </c>
      <c r="AO36" s="83">
        <f>'Fuel Consumption'!AO38 * '2.5 Emission factors'!AM14</f>
        <v>0</v>
      </c>
      <c r="AP36" s="83">
        <f>'Fuel Consumption'!AP38 * '2.5 Emission factors'!AN14</f>
        <v>0</v>
      </c>
      <c r="AQ36" s="83">
        <f>'Fuel Consumption'!AQ38 * '2.5 Emission factors'!AO14</f>
        <v>0</v>
      </c>
      <c r="AR36" s="83">
        <f>'Fuel Consumption'!AR38 * '2.5 Emission factors'!AP14</f>
        <v>0</v>
      </c>
      <c r="AS36" s="83">
        <f>'Fuel Consumption'!AS38 * '2.5 Emission factors'!AQ14</f>
        <v>0</v>
      </c>
      <c r="AT36" s="83">
        <f>'Fuel Consumption'!AT38 * '2.5 Emission factors'!AR14</f>
        <v>0</v>
      </c>
      <c r="AU36" s="83">
        <f>'Fuel Consumption'!AU38 * '2.5 Emission factors'!AS14</f>
        <v>0</v>
      </c>
      <c r="AV36" s="83">
        <f>'Fuel Consumption'!AV38 * '2.5 Emission factors'!AT14</f>
        <v>0</v>
      </c>
      <c r="AW36" s="83">
        <f>'Fuel Consumption'!AW38 * '2.5 Emission factors'!AU14</f>
        <v>0</v>
      </c>
      <c r="AX36" s="83">
        <f>'Fuel Consumption'!AX38 * '2.5 Emission factors'!AV14</f>
        <v>0</v>
      </c>
      <c r="AY36" s="83">
        <f>'Fuel Consumption'!AY38 * '2.5 Emission factors'!AW14</f>
        <v>0</v>
      </c>
      <c r="AZ36" s="83">
        <f>'Fuel Consumption'!AZ38 * '2.5 Emission factors'!AX14</f>
        <v>0</v>
      </c>
    </row>
    <row r="37" spans="2:80">
      <c r="E37" s="55" t="s">
        <v>1364</v>
      </c>
      <c r="F37" s="55"/>
      <c r="G37" s="55" t="s">
        <v>211</v>
      </c>
      <c r="I37" s="98"/>
      <c r="K37" s="98"/>
      <c r="M37" s="98"/>
      <c r="O37" s="98"/>
      <c r="P37" s="65"/>
      <c r="Q37" s="83">
        <f>'Fuel Consumption'!Q39 * '2.5 Emission factors'!O62</f>
        <v>0</v>
      </c>
      <c r="R37" s="83">
        <f>'Fuel Consumption'!R39 * '2.5 Emission factors'!P62</f>
        <v>0</v>
      </c>
      <c r="S37" s="83">
        <f>'Fuel Consumption'!S39 * '2.5 Emission factors'!Q62</f>
        <v>0</v>
      </c>
      <c r="T37" s="83">
        <f>'Fuel Consumption'!T39 * '2.5 Emission factors'!R62</f>
        <v>0</v>
      </c>
      <c r="U37" s="83">
        <f>'Fuel Consumption'!U39 * '2.5 Emission factors'!S62</f>
        <v>0</v>
      </c>
      <c r="V37" s="83">
        <f>'Fuel Consumption'!V39 * '2.5 Emission factors'!T62</f>
        <v>0</v>
      </c>
      <c r="W37" s="83">
        <f>'Fuel Consumption'!W39 * '2.5 Emission factors'!U62</f>
        <v>0</v>
      </c>
      <c r="X37" s="83">
        <f>'Fuel Consumption'!X39 * '2.5 Emission factors'!V62</f>
        <v>0</v>
      </c>
      <c r="Y37" s="83">
        <f>'Fuel Consumption'!Y39 * '2.5 Emission factors'!W62</f>
        <v>0</v>
      </c>
      <c r="Z37" s="83">
        <f>'Fuel Consumption'!Z39 * '2.5 Emission factors'!X62</f>
        <v>0</v>
      </c>
      <c r="AA37" s="83">
        <f>'Fuel Consumption'!AA39 * '2.5 Emission factors'!Y62</f>
        <v>0</v>
      </c>
      <c r="AB37" s="83">
        <f>'Fuel Consumption'!AB39 * '2.5 Emission factors'!Z62</f>
        <v>0</v>
      </c>
      <c r="AC37" s="83">
        <f>'Fuel Consumption'!AC39 * '2.5 Emission factors'!AA62</f>
        <v>0</v>
      </c>
      <c r="AD37" s="83">
        <f>'Fuel Consumption'!AD39 * '2.5 Emission factors'!AB62</f>
        <v>0</v>
      </c>
      <c r="AE37" s="83">
        <f>'Fuel Consumption'!AE39 * '2.5 Emission factors'!AC62</f>
        <v>0</v>
      </c>
      <c r="AF37" s="83">
        <f>'Fuel Consumption'!AF39 * '2.5 Emission factors'!AD62</f>
        <v>0</v>
      </c>
      <c r="AG37" s="83">
        <f>'Fuel Consumption'!AG39 * '2.5 Emission factors'!AE62</f>
        <v>0</v>
      </c>
      <c r="AH37" s="83">
        <f>'Fuel Consumption'!AH39 * '2.5 Emission factors'!AF62</f>
        <v>0</v>
      </c>
      <c r="AI37" s="83">
        <f>'Fuel Consumption'!AI39 * '2.5 Emission factors'!AG62</f>
        <v>0</v>
      </c>
      <c r="AJ37" s="83">
        <f>'Fuel Consumption'!AJ39 * '2.5 Emission factors'!AH62</f>
        <v>0</v>
      </c>
      <c r="AK37" s="83">
        <f>'Fuel Consumption'!AK39 * '2.5 Emission factors'!AI62</f>
        <v>0</v>
      </c>
      <c r="AL37" s="83">
        <f>'Fuel Consumption'!AL39 * '2.5 Emission factors'!AJ62</f>
        <v>0</v>
      </c>
      <c r="AM37" s="83">
        <f>'Fuel Consumption'!AM39 * '2.5 Emission factors'!AK62</f>
        <v>0</v>
      </c>
      <c r="AN37" s="83">
        <f>'Fuel Consumption'!AN39 * '2.5 Emission factors'!AL62</f>
        <v>0</v>
      </c>
      <c r="AO37" s="83">
        <f>'Fuel Consumption'!AO39 * '2.5 Emission factors'!AM62</f>
        <v>0</v>
      </c>
      <c r="AP37" s="83">
        <f>'Fuel Consumption'!AP39 * '2.5 Emission factors'!AN62</f>
        <v>0</v>
      </c>
      <c r="AQ37" s="83">
        <f>'Fuel Consumption'!AQ39 * '2.5 Emission factors'!AO62</f>
        <v>0</v>
      </c>
      <c r="AR37" s="83">
        <f>'Fuel Consumption'!AR39 * '2.5 Emission factors'!AP62</f>
        <v>0</v>
      </c>
      <c r="AS37" s="83">
        <f>'Fuel Consumption'!AS39 * '2.5 Emission factors'!AQ62</f>
        <v>0</v>
      </c>
      <c r="AT37" s="83">
        <f>'Fuel Consumption'!AT39 * '2.5 Emission factors'!AR62</f>
        <v>0</v>
      </c>
      <c r="AU37" s="83">
        <f>'Fuel Consumption'!AU39 * '2.5 Emission factors'!AS62</f>
        <v>0</v>
      </c>
      <c r="AV37" s="83">
        <f>'Fuel Consumption'!AV39 * '2.5 Emission factors'!AT62</f>
        <v>0</v>
      </c>
      <c r="AW37" s="83">
        <f>'Fuel Consumption'!AW39 * '2.5 Emission factors'!AU62</f>
        <v>0</v>
      </c>
      <c r="AX37" s="83">
        <f>'Fuel Consumption'!AX39 * '2.5 Emission factors'!AV62</f>
        <v>0</v>
      </c>
      <c r="AY37" s="83">
        <f>'Fuel Consumption'!AY39 * '2.5 Emission factors'!AW62</f>
        <v>0</v>
      </c>
      <c r="AZ37" s="83">
        <f>'Fuel Consumption'!AZ39 * '2.5 Emission factors'!AX62</f>
        <v>0</v>
      </c>
    </row>
    <row r="38" spans="2:80">
      <c r="E38" s="55" t="s">
        <v>779</v>
      </c>
      <c r="G38" s="55" t="s">
        <v>188</v>
      </c>
      <c r="I38" s="98"/>
      <c r="K38" s="98"/>
      <c r="M38" s="98"/>
      <c r="O38" s="98"/>
      <c r="P38" s="56"/>
      <c r="Q38" s="83">
        <f>'Heat Networks'!K83/10^6</f>
        <v>34.747624395276738</v>
      </c>
      <c r="R38" s="83">
        <f>'Heat Networks'!L83/10^6</f>
        <v>44.944895973062927</v>
      </c>
      <c r="S38" s="83">
        <f>'Heat Networks'!M83/10^6</f>
        <v>50.085464939850674</v>
      </c>
      <c r="T38" s="83">
        <f>'Heat Networks'!N83/10^6</f>
        <v>53.699355924063894</v>
      </c>
      <c r="U38" s="83">
        <f>'Heat Networks'!O83/10^6</f>
        <v>58.504548173926999</v>
      </c>
      <c r="V38" s="83">
        <f>'Heat Networks'!P83/10^6</f>
        <v>77.945899843967041</v>
      </c>
      <c r="W38" s="83">
        <f>'Heat Networks'!Q83/10^6</f>
        <v>84.693704335985103</v>
      </c>
      <c r="X38" s="83">
        <f>'Heat Networks'!R83/10^6</f>
        <v>91.346101011996055</v>
      </c>
      <c r="Y38" s="83">
        <f>'Heat Networks'!S83/10^6</f>
        <v>96.58220950628386</v>
      </c>
      <c r="Z38" s="83">
        <f>'Heat Networks'!T83/10^6</f>
        <v>97.812129402832326</v>
      </c>
      <c r="AA38" s="83">
        <f>'Heat Networks'!U83/10^6</f>
        <v>104.70106917653322</v>
      </c>
      <c r="AB38" s="83">
        <f>'Heat Networks'!V83/10^6</f>
        <v>106.67247418487025</v>
      </c>
      <c r="AC38" s="83">
        <f>'Heat Networks'!W83/10^6</f>
        <v>104.0228838138592</v>
      </c>
      <c r="AD38" s="83">
        <f>'Heat Networks'!X83/10^6</f>
        <v>99.559287943880662</v>
      </c>
      <c r="AE38" s="83">
        <f>'Heat Networks'!Y83/10^6</f>
        <v>94.782481592870525</v>
      </c>
      <c r="AF38" s="83">
        <f>'Heat Networks'!Z83/10^6</f>
        <v>90.678202082581933</v>
      </c>
      <c r="AG38" s="83">
        <f>'Heat Networks'!AA83/10^6</f>
        <v>88.265181809052507</v>
      </c>
      <c r="AH38" s="83">
        <f>'Heat Networks'!AB83/10^6</f>
        <v>85.078861883169864</v>
      </c>
      <c r="AI38" s="83">
        <f>'Heat Networks'!AC83/10^6</f>
        <v>78.213485509436268</v>
      </c>
      <c r="AJ38" s="83">
        <f>'Heat Networks'!AD83/10^6</f>
        <v>71.079249034359478</v>
      </c>
      <c r="AK38" s="83">
        <f>'Heat Networks'!AE83/10^6</f>
        <v>64.430506261869638</v>
      </c>
      <c r="AL38" s="83">
        <f>'Heat Networks'!AF83/10^6</f>
        <v>57.259392226544598</v>
      </c>
      <c r="AM38" s="83">
        <f>'Heat Networks'!AG83/10^6</f>
        <v>50.244038516184247</v>
      </c>
      <c r="AN38" s="83">
        <f>'Heat Networks'!AH83/10^6</f>
        <v>43.65143590317205</v>
      </c>
      <c r="AO38" s="83">
        <f>'Heat Networks'!AI83/10^6</f>
        <v>37.194797471557223</v>
      </c>
      <c r="AP38" s="83">
        <f>'Heat Networks'!AJ83/10^6</f>
        <v>30.921406573281871</v>
      </c>
      <c r="AQ38" s="83">
        <f>'Heat Networks'!AK83/10^6</f>
        <v>25.987308916331934</v>
      </c>
      <c r="AR38" s="83">
        <f>'Heat Networks'!AL83/10^6</f>
        <v>21.258144463552899</v>
      </c>
      <c r="AS38" s="83">
        <f>'Heat Networks'!AM83/10^6</f>
        <v>16.644525797432919</v>
      </c>
      <c r="AT38" s="83">
        <f>'Heat Networks'!AN83/10^6</f>
        <v>12.102410894635115</v>
      </c>
      <c r="AU38" s="83">
        <f>'Heat Networks'!AO83/10^6</f>
        <v>7.6529832462957037</v>
      </c>
      <c r="AV38" s="83">
        <f>'Heat Networks'!AP83/10^6</f>
        <v>3.8225439350373329</v>
      </c>
      <c r="AW38" s="83">
        <f>'Heat Networks'!AQ83/10^6</f>
        <v>2.7451032973986691</v>
      </c>
      <c r="AX38" s="83">
        <f>'Heat Networks'!AR83/10^6</f>
        <v>2.144053325596023</v>
      </c>
      <c r="AY38" s="83">
        <f>'Heat Networks'!AS83/10^6</f>
        <v>1.5557563898310316</v>
      </c>
      <c r="AZ38" s="83">
        <f>'Heat Networks'!AT83/10^6</f>
        <v>1.0646400402040139</v>
      </c>
      <c r="BA38" s="56"/>
      <c r="BB38" s="56"/>
      <c r="BC38" s="56"/>
      <c r="BD38" s="56"/>
      <c r="BE38" s="56"/>
      <c r="BF38" s="56"/>
      <c r="BG38" s="56"/>
      <c r="BH38" s="56"/>
      <c r="BI38" s="56"/>
      <c r="BJ38" s="56"/>
      <c r="BK38" s="56"/>
      <c r="BL38" s="56"/>
      <c r="BM38" s="56"/>
      <c r="BN38" s="56"/>
      <c r="BO38" s="56"/>
      <c r="BP38" s="56"/>
      <c r="BQ38" s="56"/>
      <c r="BR38" s="56"/>
      <c r="BS38" s="56"/>
      <c r="BT38" s="56"/>
      <c r="BU38" s="56"/>
      <c r="BV38" s="56"/>
      <c r="BW38" s="56"/>
      <c r="BX38" s="56"/>
      <c r="BY38" s="56"/>
      <c r="BZ38" s="56"/>
      <c r="CA38" s="56"/>
      <c r="CB38" s="56"/>
    </row>
    <row r="39" spans="2:80">
      <c r="E39" s="55" t="s">
        <v>211</v>
      </c>
      <c r="G39" s="55" t="s">
        <v>211</v>
      </c>
      <c r="I39" s="98"/>
      <c r="K39" s="98"/>
      <c r="M39" s="98"/>
      <c r="O39" s="98"/>
      <c r="P39" s="56"/>
      <c r="Q39" s="83">
        <f>'Fuel Consumption'!Q41*'2.5 Emission factors'!O62</f>
        <v>0</v>
      </c>
      <c r="R39" s="83">
        <f>'Fuel Consumption'!R41*'2.5 Emission factors'!P62</f>
        <v>0</v>
      </c>
      <c r="S39" s="83">
        <f>'Fuel Consumption'!S41*'2.5 Emission factors'!Q62</f>
        <v>0</v>
      </c>
      <c r="T39" s="83">
        <f>'Fuel Consumption'!T41*'2.5 Emission factors'!R62</f>
        <v>0</v>
      </c>
      <c r="U39" s="83">
        <f>'Fuel Consumption'!U41*'2.5 Emission factors'!S62</f>
        <v>0</v>
      </c>
      <c r="V39" s="83">
        <f>'Fuel Consumption'!V41*'2.5 Emission factors'!T62</f>
        <v>0</v>
      </c>
      <c r="W39" s="83">
        <f>'Fuel Consumption'!W41*'2.5 Emission factors'!U62</f>
        <v>0</v>
      </c>
      <c r="X39" s="83">
        <f>'Fuel Consumption'!X41*'2.5 Emission factors'!V62</f>
        <v>0</v>
      </c>
      <c r="Y39" s="83">
        <f>'Fuel Consumption'!Y41*'2.5 Emission factors'!W62</f>
        <v>0</v>
      </c>
      <c r="Z39" s="83">
        <f>'Fuel Consumption'!Z41*'2.5 Emission factors'!X62</f>
        <v>0</v>
      </c>
      <c r="AA39" s="83">
        <f>'Fuel Consumption'!AA41*'2.5 Emission factors'!Y62</f>
        <v>0</v>
      </c>
      <c r="AB39" s="83">
        <f>'Fuel Consumption'!AB41*'2.5 Emission factors'!Z62</f>
        <v>0</v>
      </c>
      <c r="AC39" s="83">
        <f>'Fuel Consumption'!AC41*'2.5 Emission factors'!AA62</f>
        <v>0.47912463551411039</v>
      </c>
      <c r="AD39" s="83">
        <f>'Fuel Consumption'!AD41*'2.5 Emission factors'!AB62</f>
        <v>0.82195500965824175</v>
      </c>
      <c r="AE39" s="83">
        <f>'Fuel Consumption'!AE41*'2.5 Emission factors'!AC62</f>
        <v>1.0393371648576988</v>
      </c>
      <c r="AF39" s="83">
        <f>'Fuel Consumption'!AF41*'2.5 Emission factors'!AD62</f>
        <v>1.1572908927541388</v>
      </c>
      <c r="AG39" s="83">
        <f>'Fuel Consumption'!AG41*'2.5 Emission factors'!AE62</f>
        <v>1.7711616231396294</v>
      </c>
      <c r="AH39" s="83">
        <f>'Fuel Consumption'!AH41*'2.5 Emission factors'!AF62</f>
        <v>2.2391974789206066</v>
      </c>
      <c r="AI39" s="83">
        <f>'Fuel Consumption'!AI41*'2.5 Emission factors'!AG62</f>
        <v>2.5346139439427571</v>
      </c>
      <c r="AJ39" s="83">
        <f>'Fuel Consumption'!AJ41*'2.5 Emission factors'!AH62</f>
        <v>2.6773887982020095</v>
      </c>
      <c r="AK39" s="83">
        <f>'Fuel Consumption'!AK41*'2.5 Emission factors'!AI62</f>
        <v>2.3368627283683234</v>
      </c>
      <c r="AL39" s="83">
        <f>'Fuel Consumption'!AL41*'2.5 Emission factors'!AJ62</f>
        <v>1.6788367549729599</v>
      </c>
      <c r="AM39" s="83">
        <f>'Fuel Consumption'!AM41*'2.5 Emission factors'!AK62</f>
        <v>1.2731334076580476</v>
      </c>
      <c r="AN39" s="83">
        <f>'Fuel Consumption'!AN41*'2.5 Emission factors'!AL62</f>
        <v>1.0439659536740382</v>
      </c>
      <c r="AO39" s="83">
        <f>'Fuel Consumption'!AO41*'2.5 Emission factors'!AM62</f>
        <v>0.94543450381970107</v>
      </c>
      <c r="AP39" s="83">
        <f>'Fuel Consumption'!AP41*'2.5 Emission factors'!AN62</f>
        <v>0.828733809337869</v>
      </c>
      <c r="AQ39" s="83">
        <f>'Fuel Consumption'!AQ41*'2.5 Emission factors'!AO62</f>
        <v>0.68285919788499005</v>
      </c>
      <c r="AR39" s="83">
        <f>'Fuel Consumption'!AR41*'2.5 Emission factors'!AP62</f>
        <v>0.59455214985985505</v>
      </c>
      <c r="AS39" s="83">
        <f>'Fuel Consumption'!AS41*'2.5 Emission factors'!AQ62</f>
        <v>0.51795415712819337</v>
      </c>
      <c r="AT39" s="83">
        <f>'Fuel Consumption'!AT41*'2.5 Emission factors'!AR62</f>
        <v>0.43256044732510757</v>
      </c>
      <c r="AU39" s="83">
        <f>'Fuel Consumption'!AU41*'2.5 Emission factors'!AS62</f>
        <v>0.33287453383025201</v>
      </c>
      <c r="AV39" s="83">
        <f>'Fuel Consumption'!AV41*'2.5 Emission factors'!AT62</f>
        <v>0.25787979032875791</v>
      </c>
      <c r="AW39" s="83">
        <f>'Fuel Consumption'!AW41*'2.5 Emission factors'!AU62</f>
        <v>0.18848325930185744</v>
      </c>
      <c r="AX39" s="83">
        <f>'Fuel Consumption'!AX41*'2.5 Emission factors'!AV62</f>
        <v>0.12410163393790474</v>
      </c>
      <c r="AY39" s="83">
        <f>'Fuel Consumption'!AY41*'2.5 Emission factors'!AW62</f>
        <v>6.0569756954890031E-2</v>
      </c>
      <c r="AZ39" s="83">
        <f>'Fuel Consumption'!AZ41*'2.5 Emission factors'!AX62</f>
        <v>0</v>
      </c>
      <c r="BA39" s="56"/>
      <c r="BB39" s="56"/>
      <c r="BC39" s="56"/>
      <c r="BD39" s="56"/>
      <c r="BE39" s="56"/>
      <c r="BF39" s="56"/>
      <c r="BG39" s="56"/>
      <c r="BH39" s="56"/>
      <c r="BI39" s="56"/>
      <c r="BJ39" s="56"/>
      <c r="BK39" s="56"/>
      <c r="BL39" s="56"/>
      <c r="BM39" s="56"/>
      <c r="BN39" s="56"/>
      <c r="BO39" s="56"/>
      <c r="BP39" s="56"/>
      <c r="BQ39" s="56"/>
      <c r="BR39" s="56"/>
      <c r="BS39" s="56"/>
      <c r="BT39" s="56"/>
      <c r="BU39" s="56"/>
      <c r="BV39" s="56"/>
      <c r="BW39" s="56"/>
      <c r="BX39" s="56"/>
      <c r="BY39" s="56"/>
      <c r="BZ39" s="56"/>
      <c r="CA39" s="56"/>
      <c r="CB39" s="56"/>
    </row>
    <row r="40" spans="2:80">
      <c r="E40" s="56"/>
      <c r="G40" s="55"/>
      <c r="AW40" s="56"/>
      <c r="AX40" s="56"/>
      <c r="AY40" s="56"/>
      <c r="AZ40" s="56"/>
      <c r="BA40" s="56"/>
      <c r="BB40" s="56"/>
      <c r="BC40" s="56"/>
      <c r="BD40" s="56"/>
      <c r="BE40" s="56"/>
      <c r="BF40" s="56"/>
      <c r="BG40" s="56"/>
      <c r="BH40" s="56"/>
      <c r="BI40" s="56"/>
      <c r="BJ40" s="56"/>
      <c r="BK40" s="56"/>
      <c r="BL40" s="56"/>
      <c r="BM40" s="56"/>
      <c r="BN40" s="56"/>
      <c r="BO40" s="56"/>
      <c r="BP40" s="56"/>
      <c r="BQ40" s="56"/>
      <c r="BR40" s="56"/>
      <c r="BS40" s="56"/>
      <c r="BT40" s="56"/>
      <c r="BU40" s="56"/>
      <c r="BV40" s="56"/>
      <c r="BW40" s="56"/>
      <c r="BX40" s="56"/>
      <c r="BY40" s="56"/>
      <c r="BZ40" s="56"/>
      <c r="CA40" s="56"/>
      <c r="CB40" s="56"/>
    </row>
    <row r="41" spans="2:80">
      <c r="D41" s="38" t="s">
        <v>764</v>
      </c>
      <c r="E41" s="56"/>
      <c r="G41" s="55"/>
      <c r="P41" s="65"/>
      <c r="Q41" s="65"/>
      <c r="R41" s="65"/>
      <c r="S41" s="65"/>
      <c r="T41" s="65"/>
      <c r="U41" s="65"/>
      <c r="V41" s="65"/>
      <c r="W41" s="65"/>
      <c r="X41" s="65"/>
      <c r="Y41" s="65"/>
      <c r="Z41" s="65"/>
      <c r="AA41" s="65"/>
      <c r="AB41" s="65"/>
      <c r="AC41" s="65"/>
      <c r="AD41" s="65"/>
      <c r="AE41" s="65"/>
      <c r="AF41" s="65"/>
      <c r="AG41" s="65"/>
      <c r="AH41" s="65"/>
      <c r="AI41" s="65"/>
      <c r="AJ41" s="65"/>
      <c r="AK41" s="65"/>
      <c r="AL41" s="65"/>
      <c r="AM41" s="65"/>
      <c r="AN41" s="65"/>
      <c r="AO41" s="65"/>
      <c r="AP41" s="65"/>
      <c r="AQ41" s="65"/>
      <c r="AR41" s="65"/>
      <c r="AS41" s="65"/>
      <c r="AT41" s="65"/>
      <c r="AU41" s="65"/>
      <c r="AV41" s="65"/>
      <c r="AW41" s="56"/>
      <c r="AX41" s="56"/>
      <c r="AY41" s="56"/>
      <c r="AZ41" s="56"/>
      <c r="BA41" s="56"/>
      <c r="BB41" s="56"/>
      <c r="BC41" s="56"/>
      <c r="BD41" s="56"/>
      <c r="BE41" s="56"/>
      <c r="BF41" s="56"/>
      <c r="BG41" s="56"/>
      <c r="BH41" s="56"/>
      <c r="BI41" s="56"/>
      <c r="BJ41" s="56"/>
      <c r="BK41" s="56"/>
      <c r="BL41" s="56"/>
      <c r="BM41" s="56"/>
      <c r="BN41" s="56"/>
      <c r="BO41" s="56"/>
      <c r="BP41" s="56"/>
      <c r="BQ41" s="56"/>
      <c r="BR41" s="56"/>
      <c r="BS41" s="56"/>
      <c r="BT41" s="56"/>
      <c r="BU41" s="56"/>
      <c r="BV41" s="56"/>
      <c r="BW41" s="56"/>
      <c r="BX41" s="56"/>
      <c r="BY41" s="56"/>
      <c r="BZ41" s="56"/>
      <c r="CA41" s="56"/>
      <c r="CB41" s="56"/>
    </row>
    <row r="42" spans="2:80">
      <c r="E42" s="55"/>
      <c r="G42" s="55"/>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56"/>
      <c r="AX42" s="56"/>
      <c r="AY42" s="56"/>
      <c r="AZ42" s="56"/>
      <c r="BA42" s="56"/>
      <c r="BB42" s="56"/>
      <c r="BC42" s="56"/>
      <c r="BD42" s="56"/>
      <c r="BE42" s="56"/>
      <c r="BF42" s="56"/>
      <c r="BG42" s="56"/>
      <c r="BH42" s="56"/>
      <c r="BI42" s="56"/>
      <c r="BJ42" s="56"/>
      <c r="BK42" s="56"/>
      <c r="BL42" s="56"/>
      <c r="BM42" s="56"/>
      <c r="BN42" s="56"/>
      <c r="BO42" s="56"/>
      <c r="BP42" s="56"/>
      <c r="BQ42" s="56"/>
      <c r="BR42" s="56"/>
      <c r="BS42" s="56"/>
      <c r="BT42" s="56"/>
      <c r="BU42" s="56"/>
      <c r="BV42" s="56"/>
      <c r="BW42" s="56"/>
      <c r="BX42" s="56"/>
      <c r="BY42" s="56"/>
      <c r="BZ42" s="56"/>
      <c r="CA42" s="56"/>
      <c r="CB42" s="56"/>
    </row>
    <row r="43" spans="2:80">
      <c r="E43" s="55" t="s">
        <v>775</v>
      </c>
      <c r="G43" s="55"/>
      <c r="I43" s="98"/>
      <c r="K43" s="98"/>
      <c r="M43" s="98"/>
      <c r="O43" s="98"/>
      <c r="Q43" s="99">
        <f t="shared" ref="Q43:Z46" si="5">SUMIFS(Q$31:Q$39,$G$31:$G$39,$E43)</f>
        <v>2144.0974964551397</v>
      </c>
      <c r="R43" s="99">
        <f t="shared" si="5"/>
        <v>2116.2738002075921</v>
      </c>
      <c r="S43" s="99">
        <f t="shared" si="5"/>
        <v>2094.6088136386356</v>
      </c>
      <c r="T43" s="99">
        <f t="shared" si="5"/>
        <v>2072.8966065736095</v>
      </c>
      <c r="U43" s="99">
        <f t="shared" si="5"/>
        <v>2047.002997377863</v>
      </c>
      <c r="V43" s="99">
        <f t="shared" si="5"/>
        <v>1992.9078111628519</v>
      </c>
      <c r="W43" s="99">
        <f t="shared" si="5"/>
        <v>1955.0191613002764</v>
      </c>
      <c r="X43" s="99">
        <f t="shared" si="5"/>
        <v>1892.6452024360046</v>
      </c>
      <c r="Y43" s="99">
        <f t="shared" si="5"/>
        <v>1797.9717976377469</v>
      </c>
      <c r="Z43" s="99">
        <f t="shared" si="5"/>
        <v>1662.4304489216527</v>
      </c>
      <c r="AA43" s="99">
        <f t="shared" ref="AA43:AJ46" si="6">SUMIFS(AA$31:AA$39,$G$31:$G$39,$E43)</f>
        <v>1511.894229861663</v>
      </c>
      <c r="AB43" s="99">
        <f t="shared" si="6"/>
        <v>1340.8697180077304</v>
      </c>
      <c r="AC43" s="99">
        <f t="shared" si="6"/>
        <v>1142.4958511582511</v>
      </c>
      <c r="AD43" s="99">
        <f t="shared" si="6"/>
        <v>979.79226669630282</v>
      </c>
      <c r="AE43" s="99">
        <f t="shared" si="6"/>
        <v>825.87588227659307</v>
      </c>
      <c r="AF43" s="99">
        <f t="shared" si="6"/>
        <v>688.96470753050028</v>
      </c>
      <c r="AG43" s="99">
        <f t="shared" si="6"/>
        <v>571.47420484124279</v>
      </c>
      <c r="AH43" s="99">
        <f t="shared" si="6"/>
        <v>473.22747572233243</v>
      </c>
      <c r="AI43" s="99">
        <f t="shared" si="6"/>
        <v>390.62209135763072</v>
      </c>
      <c r="AJ43" s="99">
        <f t="shared" si="6"/>
        <v>320.79714683328467</v>
      </c>
      <c r="AK43" s="99">
        <f t="shared" ref="AK43:AT46" si="7">SUMIFS(AK$31:AK$39,$G$31:$G$39,$E43)</f>
        <v>274.26238026417889</v>
      </c>
      <c r="AL43" s="99">
        <f t="shared" si="7"/>
        <v>211.3411025871246</v>
      </c>
      <c r="AM43" s="99">
        <f t="shared" si="7"/>
        <v>165.27348134941485</v>
      </c>
      <c r="AN43" s="99">
        <f t="shared" si="7"/>
        <v>132.89466177209511</v>
      </c>
      <c r="AO43" s="99">
        <f t="shared" si="7"/>
        <v>119.75591268907885</v>
      </c>
      <c r="AP43" s="99">
        <f t="shared" si="7"/>
        <v>106.6818828507347</v>
      </c>
      <c r="AQ43" s="99">
        <f t="shared" si="7"/>
        <v>92.594891028467003</v>
      </c>
      <c r="AR43" s="99">
        <f t="shared" si="7"/>
        <v>78.780368838102774</v>
      </c>
      <c r="AS43" s="99">
        <f t="shared" si="7"/>
        <v>65.026220474338089</v>
      </c>
      <c r="AT43" s="99">
        <f t="shared" si="7"/>
        <v>51.107197879695931</v>
      </c>
      <c r="AU43" s="99">
        <f t="shared" ref="AU43:AZ46" si="8">SUMIFS(AU$31:AU$39,$G$31:$G$39,$E43)</f>
        <v>36.650037143926575</v>
      </c>
      <c r="AV43" s="99">
        <f t="shared" si="8"/>
        <v>21.832002505362247</v>
      </c>
      <c r="AW43" s="99">
        <f t="shared" si="8"/>
        <v>13.776481141692239</v>
      </c>
      <c r="AX43" s="99">
        <f t="shared" si="8"/>
        <v>9.3048258493879246</v>
      </c>
      <c r="AY43" s="99">
        <f t="shared" si="8"/>
        <v>4.7125304711537819</v>
      </c>
      <c r="AZ43" s="99">
        <f>SUMIFS(AZ$31:AZ$39,$G$31:$G$39,$E43)</f>
        <v>0</v>
      </c>
      <c r="BA43" s="56"/>
      <c r="BB43" s="56"/>
      <c r="BC43" s="56"/>
      <c r="BD43" s="56"/>
      <c r="BE43" s="56"/>
      <c r="BF43" s="56"/>
      <c r="BG43" s="56"/>
      <c r="BH43" s="56"/>
      <c r="BI43" s="56"/>
      <c r="BJ43" s="56"/>
      <c r="BK43" s="56"/>
      <c r="BL43" s="56"/>
      <c r="BM43" s="56"/>
      <c r="BN43" s="56"/>
      <c r="BO43" s="56"/>
      <c r="BP43" s="56"/>
      <c r="BQ43" s="56"/>
      <c r="BR43" s="56"/>
      <c r="BS43" s="56"/>
      <c r="BT43" s="56"/>
      <c r="BU43" s="56"/>
      <c r="BV43" s="56"/>
      <c r="BW43" s="56"/>
      <c r="BX43" s="56"/>
      <c r="BY43" s="56"/>
      <c r="BZ43" s="56"/>
      <c r="CA43" s="56"/>
      <c r="CB43" s="56"/>
    </row>
    <row r="44" spans="2:80">
      <c r="E44" s="55" t="s">
        <v>210</v>
      </c>
      <c r="G44" s="55"/>
      <c r="I44" s="98"/>
      <c r="K44" s="98"/>
      <c r="M44" s="98"/>
      <c r="O44" s="98"/>
      <c r="Q44" s="99">
        <f t="shared" si="5"/>
        <v>617.86947871309701</v>
      </c>
      <c r="R44" s="99">
        <f t="shared" si="5"/>
        <v>493.9314444203942</v>
      </c>
      <c r="S44" s="99">
        <f t="shared" si="5"/>
        <v>442.18061061558564</v>
      </c>
      <c r="T44" s="99">
        <f t="shared" si="5"/>
        <v>411.66251658421544</v>
      </c>
      <c r="U44" s="99">
        <f t="shared" si="5"/>
        <v>366.94641220895636</v>
      </c>
      <c r="V44" s="99">
        <f t="shared" si="5"/>
        <v>273.44005666126571</v>
      </c>
      <c r="W44" s="99">
        <f t="shared" si="5"/>
        <v>253.79284728135778</v>
      </c>
      <c r="X44" s="99">
        <f t="shared" si="5"/>
        <v>236.51935281844499</v>
      </c>
      <c r="Y44" s="99">
        <f t="shared" si="5"/>
        <v>224.7432839795766</v>
      </c>
      <c r="Z44" s="99">
        <f t="shared" si="5"/>
        <v>241.31053836188028</v>
      </c>
      <c r="AA44" s="99">
        <f t="shared" si="6"/>
        <v>200.97948674739672</v>
      </c>
      <c r="AB44" s="99">
        <f t="shared" si="6"/>
        <v>145.73589435812085</v>
      </c>
      <c r="AC44" s="99">
        <f t="shared" si="6"/>
        <v>118.31727106110129</v>
      </c>
      <c r="AD44" s="99">
        <f t="shared" si="6"/>
        <v>108.52385672670664</v>
      </c>
      <c r="AE44" s="99">
        <f t="shared" si="6"/>
        <v>99.174002056440287</v>
      </c>
      <c r="AF44" s="99">
        <f t="shared" si="6"/>
        <v>76.107224074927331</v>
      </c>
      <c r="AG44" s="99">
        <f t="shared" si="6"/>
        <v>58.888577767116516</v>
      </c>
      <c r="AH44" s="99">
        <f t="shared" si="6"/>
        <v>50.080693172551975</v>
      </c>
      <c r="AI44" s="99">
        <f t="shared" si="6"/>
        <v>43.157851694329992</v>
      </c>
      <c r="AJ44" s="99">
        <f t="shared" si="6"/>
        <v>39.26455482850718</v>
      </c>
      <c r="AK44" s="99">
        <f t="shared" si="7"/>
        <v>36.342421136938782</v>
      </c>
      <c r="AL44" s="99">
        <f t="shared" si="7"/>
        <v>32.836487365249944</v>
      </c>
      <c r="AM44" s="99">
        <f t="shared" si="7"/>
        <v>31.03213755705394</v>
      </c>
      <c r="AN44" s="99">
        <f t="shared" si="7"/>
        <v>31.67748053512647</v>
      </c>
      <c r="AO44" s="99">
        <f t="shared" si="7"/>
        <v>31.166233304973282</v>
      </c>
      <c r="AP44" s="99">
        <f t="shared" si="7"/>
        <v>29.325480538741928</v>
      </c>
      <c r="AQ44" s="99">
        <f t="shared" si="7"/>
        <v>25.171906784067019</v>
      </c>
      <c r="AR44" s="99">
        <f t="shared" si="7"/>
        <v>24.677188650500913</v>
      </c>
      <c r="AS44" s="99">
        <f t="shared" si="7"/>
        <v>24.952274979100125</v>
      </c>
      <c r="AT44" s="99">
        <f t="shared" si="7"/>
        <v>24.193744124472033</v>
      </c>
      <c r="AU44" s="99">
        <f t="shared" si="8"/>
        <v>21.185780136053442</v>
      </c>
      <c r="AV44" s="99">
        <f t="shared" si="8"/>
        <v>19.922115105961847</v>
      </c>
      <c r="AW44" s="99">
        <f t="shared" si="8"/>
        <v>19.020987549917145</v>
      </c>
      <c r="AX44" s="99">
        <f t="shared" si="8"/>
        <v>18.689773436692217</v>
      </c>
      <c r="AY44" s="99">
        <f t="shared" si="8"/>
        <v>18.001751419108224</v>
      </c>
      <c r="AZ44" s="99">
        <f t="shared" si="8"/>
        <v>18.310238252372869</v>
      </c>
      <c r="BA44" s="56"/>
      <c r="BB44" s="56"/>
      <c r="BC44" s="56"/>
      <c r="BD44" s="56"/>
      <c r="BE44" s="56"/>
      <c r="BF44" s="56"/>
      <c r="BG44" s="56"/>
      <c r="BH44" s="56"/>
      <c r="BI44" s="56"/>
      <c r="BJ44" s="56"/>
      <c r="BK44" s="56"/>
      <c r="BL44" s="56"/>
      <c r="BM44" s="56"/>
      <c r="BN44" s="56"/>
      <c r="BO44" s="56"/>
      <c r="BP44" s="56"/>
      <c r="BQ44" s="56"/>
      <c r="BR44" s="56"/>
      <c r="BS44" s="56"/>
      <c r="BT44" s="56"/>
      <c r="BU44" s="56"/>
      <c r="BV44" s="56"/>
      <c r="BW44" s="56"/>
      <c r="BX44" s="56"/>
      <c r="BY44" s="56"/>
      <c r="BZ44" s="56"/>
      <c r="CA44" s="56"/>
      <c r="CB44" s="56"/>
    </row>
    <row r="45" spans="2:80">
      <c r="E45" s="55" t="s">
        <v>188</v>
      </c>
      <c r="G45" s="55"/>
      <c r="I45" s="98"/>
      <c r="K45" s="98"/>
      <c r="M45" s="98"/>
      <c r="O45" s="98"/>
      <c r="Q45" s="99">
        <f t="shared" si="5"/>
        <v>34.747624395276738</v>
      </c>
      <c r="R45" s="99">
        <f t="shared" si="5"/>
        <v>44.944895973062927</v>
      </c>
      <c r="S45" s="99">
        <f t="shared" si="5"/>
        <v>50.085464939850674</v>
      </c>
      <c r="T45" s="99">
        <f t="shared" si="5"/>
        <v>53.699355924063894</v>
      </c>
      <c r="U45" s="99">
        <f t="shared" si="5"/>
        <v>58.504548173926999</v>
      </c>
      <c r="V45" s="99">
        <f t="shared" si="5"/>
        <v>77.945899843967041</v>
      </c>
      <c r="W45" s="99">
        <f t="shared" si="5"/>
        <v>84.693704335985103</v>
      </c>
      <c r="X45" s="99">
        <f t="shared" si="5"/>
        <v>91.346101011996055</v>
      </c>
      <c r="Y45" s="99">
        <f t="shared" si="5"/>
        <v>96.58220950628386</v>
      </c>
      <c r="Z45" s="99">
        <f t="shared" si="5"/>
        <v>97.812129402832326</v>
      </c>
      <c r="AA45" s="99">
        <f t="shared" si="6"/>
        <v>104.70106917653322</v>
      </c>
      <c r="AB45" s="99">
        <f t="shared" si="6"/>
        <v>106.67247418487025</v>
      </c>
      <c r="AC45" s="99">
        <f t="shared" si="6"/>
        <v>104.0228838138592</v>
      </c>
      <c r="AD45" s="99">
        <f t="shared" si="6"/>
        <v>99.559287943880662</v>
      </c>
      <c r="AE45" s="99">
        <f t="shared" si="6"/>
        <v>94.782481592870525</v>
      </c>
      <c r="AF45" s="99">
        <f t="shared" si="6"/>
        <v>90.678202082581933</v>
      </c>
      <c r="AG45" s="99">
        <f t="shared" si="6"/>
        <v>88.265181809052507</v>
      </c>
      <c r="AH45" s="99">
        <f t="shared" si="6"/>
        <v>85.078861883169864</v>
      </c>
      <c r="AI45" s="99">
        <f t="shared" si="6"/>
        <v>78.213485509436268</v>
      </c>
      <c r="AJ45" s="99">
        <f t="shared" si="6"/>
        <v>71.079249034359478</v>
      </c>
      <c r="AK45" s="99">
        <f t="shared" si="7"/>
        <v>64.430506261869638</v>
      </c>
      <c r="AL45" s="99">
        <f t="shared" si="7"/>
        <v>57.259392226544598</v>
      </c>
      <c r="AM45" s="99">
        <f t="shared" si="7"/>
        <v>50.244038516184247</v>
      </c>
      <c r="AN45" s="99">
        <f t="shared" si="7"/>
        <v>43.65143590317205</v>
      </c>
      <c r="AO45" s="99">
        <f t="shared" si="7"/>
        <v>37.194797471557223</v>
      </c>
      <c r="AP45" s="99">
        <f t="shared" si="7"/>
        <v>30.921406573281871</v>
      </c>
      <c r="AQ45" s="99">
        <f t="shared" si="7"/>
        <v>25.987308916331934</v>
      </c>
      <c r="AR45" s="99">
        <f t="shared" si="7"/>
        <v>21.258144463552899</v>
      </c>
      <c r="AS45" s="99">
        <f t="shared" si="7"/>
        <v>16.644525797432919</v>
      </c>
      <c r="AT45" s="99">
        <f t="shared" si="7"/>
        <v>12.102410894635115</v>
      </c>
      <c r="AU45" s="99">
        <f t="shared" si="8"/>
        <v>7.6529832462957037</v>
      </c>
      <c r="AV45" s="99">
        <f t="shared" si="8"/>
        <v>3.8225439350373329</v>
      </c>
      <c r="AW45" s="99">
        <f t="shared" si="8"/>
        <v>2.7451032973986691</v>
      </c>
      <c r="AX45" s="99">
        <f t="shared" si="8"/>
        <v>2.144053325596023</v>
      </c>
      <c r="AY45" s="99">
        <f t="shared" si="8"/>
        <v>1.5557563898310316</v>
      </c>
      <c r="AZ45" s="99">
        <f t="shared" si="8"/>
        <v>1.0646400402040139</v>
      </c>
      <c r="BA45" s="56"/>
      <c r="BB45" s="56"/>
      <c r="BC45" s="56"/>
      <c r="BD45" s="56"/>
      <c r="BE45" s="56"/>
      <c r="BF45" s="56"/>
      <c r="BG45" s="56"/>
      <c r="BH45" s="56"/>
      <c r="BI45" s="56"/>
      <c r="BJ45" s="56"/>
      <c r="BK45" s="56"/>
      <c r="BL45" s="56"/>
      <c r="BM45" s="56"/>
      <c r="BN45" s="56"/>
      <c r="BO45" s="56"/>
      <c r="BP45" s="56"/>
      <c r="BQ45" s="56"/>
      <c r="BR45" s="56"/>
      <c r="BS45" s="56"/>
      <c r="BT45" s="56"/>
      <c r="BU45" s="56"/>
      <c r="BV45" s="56"/>
      <c r="BW45" s="56"/>
      <c r="BX45" s="56"/>
      <c r="BY45" s="56"/>
      <c r="BZ45" s="56"/>
      <c r="CA45" s="56"/>
      <c r="CB45" s="56"/>
    </row>
    <row r="46" spans="2:80">
      <c r="E46" s="55" t="s">
        <v>211</v>
      </c>
      <c r="G46" s="55"/>
      <c r="I46" s="98"/>
      <c r="K46" s="98"/>
      <c r="M46" s="98"/>
      <c r="O46" s="98"/>
      <c r="Q46" s="99">
        <f t="shared" si="5"/>
        <v>0</v>
      </c>
      <c r="R46" s="99">
        <f t="shared" si="5"/>
        <v>0</v>
      </c>
      <c r="S46" s="99">
        <f t="shared" si="5"/>
        <v>0</v>
      </c>
      <c r="T46" s="99">
        <f t="shared" si="5"/>
        <v>0</v>
      </c>
      <c r="U46" s="99">
        <f t="shared" si="5"/>
        <v>0</v>
      </c>
      <c r="V46" s="99">
        <f t="shared" si="5"/>
        <v>0</v>
      </c>
      <c r="W46" s="99">
        <f t="shared" si="5"/>
        <v>0</v>
      </c>
      <c r="X46" s="99">
        <f t="shared" si="5"/>
        <v>0</v>
      </c>
      <c r="Y46" s="99">
        <f t="shared" si="5"/>
        <v>0</v>
      </c>
      <c r="Z46" s="99">
        <f t="shared" si="5"/>
        <v>0</v>
      </c>
      <c r="AA46" s="99">
        <f t="shared" si="6"/>
        <v>0</v>
      </c>
      <c r="AB46" s="99">
        <f t="shared" si="6"/>
        <v>0</v>
      </c>
      <c r="AC46" s="99">
        <f t="shared" si="6"/>
        <v>0.47912463551411039</v>
      </c>
      <c r="AD46" s="99">
        <f t="shared" si="6"/>
        <v>0.82195500965824175</v>
      </c>
      <c r="AE46" s="99">
        <f t="shared" si="6"/>
        <v>1.0393371648576988</v>
      </c>
      <c r="AF46" s="99">
        <f t="shared" si="6"/>
        <v>1.1572908927541388</v>
      </c>
      <c r="AG46" s="99">
        <f t="shared" si="6"/>
        <v>1.7711616231396294</v>
      </c>
      <c r="AH46" s="99">
        <f t="shared" si="6"/>
        <v>2.2391974789206066</v>
      </c>
      <c r="AI46" s="99">
        <f t="shared" si="6"/>
        <v>2.5346139439427571</v>
      </c>
      <c r="AJ46" s="99">
        <f t="shared" si="6"/>
        <v>2.6773887982020095</v>
      </c>
      <c r="AK46" s="99">
        <f t="shared" si="7"/>
        <v>2.3368627283683234</v>
      </c>
      <c r="AL46" s="99">
        <f t="shared" si="7"/>
        <v>1.6788367549729599</v>
      </c>
      <c r="AM46" s="99">
        <f t="shared" si="7"/>
        <v>1.2731334076580476</v>
      </c>
      <c r="AN46" s="99">
        <f t="shared" si="7"/>
        <v>1.0439659536740382</v>
      </c>
      <c r="AO46" s="99">
        <f t="shared" si="7"/>
        <v>0.94543450381970107</v>
      </c>
      <c r="AP46" s="99">
        <f t="shared" si="7"/>
        <v>0.828733809337869</v>
      </c>
      <c r="AQ46" s="99">
        <f t="shared" si="7"/>
        <v>0.68285919788499005</v>
      </c>
      <c r="AR46" s="99">
        <f t="shared" si="7"/>
        <v>0.59455214985985505</v>
      </c>
      <c r="AS46" s="99">
        <f t="shared" si="7"/>
        <v>0.51795415712819337</v>
      </c>
      <c r="AT46" s="99">
        <f t="shared" si="7"/>
        <v>0.43256044732510757</v>
      </c>
      <c r="AU46" s="99">
        <f t="shared" si="8"/>
        <v>0.33287453383025201</v>
      </c>
      <c r="AV46" s="99">
        <f t="shared" si="8"/>
        <v>0.25787979032875791</v>
      </c>
      <c r="AW46" s="99">
        <f t="shared" si="8"/>
        <v>0.18848325930185744</v>
      </c>
      <c r="AX46" s="99">
        <f t="shared" si="8"/>
        <v>0.12410163393790474</v>
      </c>
      <c r="AY46" s="99">
        <f t="shared" si="8"/>
        <v>6.0569756954890031E-2</v>
      </c>
      <c r="AZ46" s="99">
        <f t="shared" si="8"/>
        <v>0</v>
      </c>
      <c r="BA46" s="56"/>
      <c r="BB46" s="56"/>
      <c r="BC46" s="56"/>
      <c r="BD46" s="56"/>
      <c r="BE46" s="56"/>
      <c r="BF46" s="56"/>
      <c r="BG46" s="56"/>
      <c r="BH46" s="56"/>
      <c r="BI46" s="56"/>
      <c r="BJ46" s="56"/>
      <c r="BK46" s="56"/>
      <c r="BL46" s="56"/>
      <c r="BM46" s="56"/>
      <c r="BN46" s="56"/>
      <c r="BO46" s="56"/>
      <c r="BP46" s="56"/>
      <c r="BQ46" s="56"/>
      <c r="BR46" s="56"/>
      <c r="BS46" s="56"/>
      <c r="BT46" s="56"/>
      <c r="BU46" s="56"/>
      <c r="BV46" s="56"/>
      <c r="BW46" s="56"/>
      <c r="BX46" s="56"/>
      <c r="BY46" s="56"/>
      <c r="BZ46" s="56"/>
      <c r="CA46" s="56"/>
      <c r="CB46" s="56"/>
    </row>
    <row r="47" spans="2:80">
      <c r="E47" s="56"/>
      <c r="G47" s="55"/>
      <c r="AW47" s="56"/>
      <c r="AX47" s="56"/>
      <c r="AY47" s="56"/>
      <c r="AZ47" s="56"/>
      <c r="BA47" s="56"/>
      <c r="BB47" s="56"/>
      <c r="BC47" s="56"/>
      <c r="BD47" s="56"/>
      <c r="BE47" s="56"/>
      <c r="BF47" s="56"/>
      <c r="BG47" s="56"/>
      <c r="BH47" s="56"/>
      <c r="BI47" s="56"/>
      <c r="BJ47" s="56"/>
      <c r="BK47" s="56"/>
      <c r="BL47" s="56"/>
      <c r="BM47" s="56"/>
      <c r="BN47" s="56"/>
      <c r="BO47" s="56"/>
      <c r="BP47" s="56"/>
      <c r="BQ47" s="56"/>
      <c r="BR47" s="56"/>
      <c r="BS47" s="56"/>
      <c r="BT47" s="56"/>
      <c r="BU47" s="56"/>
      <c r="BV47" s="56"/>
      <c r="BW47" s="56"/>
      <c r="BX47" s="56"/>
      <c r="BY47" s="56"/>
      <c r="BZ47" s="56"/>
      <c r="CA47" s="56"/>
      <c r="CB47" s="56"/>
    </row>
    <row r="48" spans="2:80" s="93" customFormat="1">
      <c r="B48" s="67" t="s">
        <v>798</v>
      </c>
      <c r="G48" s="101"/>
      <c r="Q48" s="94"/>
      <c r="R48" s="94"/>
      <c r="S48" s="94"/>
      <c r="T48" s="94"/>
      <c r="U48" s="94"/>
      <c r="V48" s="94"/>
      <c r="W48" s="94"/>
      <c r="X48" s="94"/>
      <c r="Y48" s="94"/>
      <c r="Z48" s="94"/>
      <c r="AA48" s="94"/>
      <c r="AB48" s="94"/>
      <c r="AC48" s="94"/>
      <c r="AD48" s="94"/>
      <c r="AE48" s="94"/>
      <c r="AF48" s="94"/>
      <c r="AG48" s="94"/>
      <c r="AH48" s="94"/>
      <c r="AI48" s="94"/>
      <c r="AJ48" s="94"/>
      <c r="AK48" s="94"/>
      <c r="AL48" s="94"/>
      <c r="AM48" s="94"/>
      <c r="AN48" s="94"/>
      <c r="AO48" s="94"/>
      <c r="AP48" s="94"/>
      <c r="AQ48" s="94"/>
      <c r="AR48" s="94"/>
      <c r="AS48" s="94"/>
      <c r="AT48" s="94"/>
      <c r="AU48" s="94"/>
      <c r="AV48" s="94"/>
      <c r="AW48" s="94"/>
      <c r="AX48" s="94"/>
      <c r="AY48" s="94"/>
      <c r="AZ48" s="94"/>
    </row>
    <row r="49" spans="3:52">
      <c r="G49" s="55"/>
    </row>
    <row r="50" spans="3:52" s="95" customFormat="1">
      <c r="C50" s="43" t="s">
        <v>1378</v>
      </c>
      <c r="G50" s="102"/>
      <c r="Q50" s="96"/>
      <c r="R50" s="96"/>
      <c r="S50" s="96"/>
      <c r="T50" s="96"/>
      <c r="U50" s="96"/>
      <c r="V50" s="96"/>
      <c r="W50" s="96"/>
      <c r="X50" s="96"/>
      <c r="Y50" s="96"/>
      <c r="Z50" s="96"/>
      <c r="AA50" s="96"/>
      <c r="AB50" s="96"/>
      <c r="AC50" s="96"/>
      <c r="AD50" s="96"/>
      <c r="AE50" s="96"/>
      <c r="AF50" s="96"/>
      <c r="AG50" s="96"/>
      <c r="AH50" s="96"/>
      <c r="AI50" s="96"/>
      <c r="AJ50" s="96"/>
      <c r="AK50" s="96"/>
      <c r="AL50" s="96"/>
      <c r="AM50" s="96"/>
      <c r="AN50" s="96"/>
      <c r="AO50" s="96"/>
      <c r="AP50" s="96"/>
      <c r="AQ50" s="96"/>
      <c r="AR50" s="96"/>
      <c r="AS50" s="96"/>
      <c r="AT50" s="96"/>
      <c r="AU50" s="96"/>
      <c r="AV50" s="96"/>
      <c r="AW50" s="96"/>
      <c r="AX50" s="96"/>
      <c r="AY50" s="96"/>
      <c r="AZ50" s="96"/>
    </row>
    <row r="51" spans="3:52">
      <c r="E51" s="56"/>
      <c r="G51" s="55"/>
      <c r="J51" s="56"/>
      <c r="K51" s="56"/>
      <c r="L51" s="56"/>
      <c r="M51" s="56"/>
      <c r="N51" s="56"/>
      <c r="O51" s="56"/>
      <c r="P51" s="56"/>
      <c r="Q51" s="56"/>
      <c r="R51" s="56"/>
      <c r="S51" s="56"/>
      <c r="T51" s="56"/>
      <c r="U51" s="56"/>
      <c r="V51" s="56"/>
      <c r="W51" s="56"/>
      <c r="X51" s="56"/>
      <c r="Y51" s="56"/>
      <c r="Z51" s="56"/>
      <c r="AA51" s="56"/>
      <c r="AB51" s="56"/>
      <c r="AC51" s="56"/>
      <c r="AD51" s="56"/>
      <c r="AE51" s="56"/>
      <c r="AF51" s="56"/>
      <c r="AG51" s="56"/>
      <c r="AH51" s="56"/>
      <c r="AI51" s="56"/>
      <c r="AJ51" s="56"/>
      <c r="AK51" s="56"/>
      <c r="AL51" s="56"/>
      <c r="AM51" s="56"/>
      <c r="AN51" s="56"/>
      <c r="AO51" s="56"/>
      <c r="AP51" s="56"/>
      <c r="AQ51" s="56"/>
      <c r="AR51" s="56"/>
      <c r="AS51" s="56"/>
      <c r="AT51" s="56"/>
      <c r="AU51" s="56"/>
      <c r="AV51" s="56"/>
    </row>
    <row r="52" spans="3:52">
      <c r="D52" s="38" t="s">
        <v>157</v>
      </c>
      <c r="E52" s="56"/>
      <c r="G52" s="55"/>
      <c r="J52" s="56"/>
      <c r="K52" s="56"/>
    </row>
    <row r="53" spans="3:52">
      <c r="E53" s="56"/>
      <c r="J53" s="56"/>
      <c r="K53" s="56"/>
    </row>
    <row r="54" spans="3:52">
      <c r="E54" s="55" t="s">
        <v>799</v>
      </c>
      <c r="G54" s="38" t="s">
        <v>611</v>
      </c>
      <c r="I54" s="98"/>
      <c r="K54" s="98"/>
      <c r="M54" s="98"/>
      <c r="O54" s="98"/>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row>
    <row r="55" spans="3:52">
      <c r="E55" s="55" t="s">
        <v>191</v>
      </c>
      <c r="G55" s="38" t="s">
        <v>191</v>
      </c>
      <c r="I55" s="98"/>
      <c r="K55" s="98"/>
      <c r="M55" s="98"/>
      <c r="O55" s="98"/>
      <c r="P55" s="56"/>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row>
    <row r="56" spans="3:52">
      <c r="E56" s="55" t="s">
        <v>800</v>
      </c>
      <c r="G56" s="38" t="s">
        <v>611</v>
      </c>
      <c r="I56" s="98"/>
      <c r="K56" s="98"/>
      <c r="M56" s="98"/>
      <c r="O56" s="98"/>
      <c r="P56" s="56"/>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row>
    <row r="57" spans="3:52">
      <c r="E57" s="55" t="s">
        <v>801</v>
      </c>
      <c r="G57" s="38" t="s">
        <v>611</v>
      </c>
      <c r="I57" s="98"/>
      <c r="K57" s="98"/>
      <c r="M57" s="98"/>
      <c r="O57" s="98"/>
      <c r="P57" s="56"/>
      <c r="Q57" s="103"/>
      <c r="R57" s="103"/>
      <c r="S57" s="103"/>
      <c r="T57" s="103"/>
      <c r="U57" s="103"/>
      <c r="V57" s="103"/>
      <c r="W57" s="103"/>
      <c r="X57" s="103"/>
      <c r="Y57" s="103"/>
      <c r="Z57" s="103"/>
      <c r="AA57" s="103"/>
      <c r="AB57" s="103"/>
      <c r="AC57" s="103"/>
      <c r="AD57" s="103"/>
      <c r="AE57" s="103"/>
      <c r="AF57" s="103"/>
      <c r="AG57" s="103"/>
      <c r="AH57" s="103"/>
      <c r="AI57" s="103"/>
      <c r="AJ57" s="103"/>
      <c r="AK57" s="103"/>
      <c r="AL57" s="103"/>
      <c r="AM57" s="103"/>
      <c r="AN57" s="103"/>
      <c r="AO57" s="103"/>
      <c r="AP57" s="103"/>
      <c r="AQ57" s="103"/>
      <c r="AR57" s="103"/>
      <c r="AS57" s="103"/>
      <c r="AT57" s="103"/>
      <c r="AU57" s="103"/>
      <c r="AV57" s="103"/>
      <c r="AW57" s="103"/>
      <c r="AX57" s="103"/>
      <c r="AY57" s="103"/>
      <c r="AZ57" s="103"/>
    </row>
    <row r="58" spans="3:52">
      <c r="E58" s="55" t="s">
        <v>803</v>
      </c>
      <c r="I58" s="98"/>
      <c r="K58" s="98"/>
      <c r="M58" s="98"/>
      <c r="O58" s="98"/>
      <c r="Q58" s="87" t="s">
        <v>804</v>
      </c>
      <c r="R58" s="87" t="s">
        <v>804</v>
      </c>
      <c r="S58" s="87" t="s">
        <v>804</v>
      </c>
      <c r="T58" s="87" t="s">
        <v>804</v>
      </c>
      <c r="U58" s="87" t="s">
        <v>804</v>
      </c>
      <c r="V58" s="87" t="s">
        <v>804</v>
      </c>
      <c r="W58" s="87" t="s">
        <v>804</v>
      </c>
      <c r="X58" s="87" t="s">
        <v>804</v>
      </c>
      <c r="Y58" s="87" t="s">
        <v>804</v>
      </c>
      <c r="Z58" s="87" t="s">
        <v>804</v>
      </c>
      <c r="AA58" s="87" t="s">
        <v>804</v>
      </c>
      <c r="AB58" s="87" t="s">
        <v>804</v>
      </c>
      <c r="AC58" s="87" t="s">
        <v>804</v>
      </c>
      <c r="AD58" s="87" t="s">
        <v>804</v>
      </c>
      <c r="AE58" s="87" t="s">
        <v>804</v>
      </c>
      <c r="AF58" s="87" t="s">
        <v>804</v>
      </c>
      <c r="AG58" s="87" t="s">
        <v>804</v>
      </c>
      <c r="AH58" s="87" t="s">
        <v>804</v>
      </c>
      <c r="AI58" s="87" t="s">
        <v>804</v>
      </c>
      <c r="AJ58" s="87" t="s">
        <v>804</v>
      </c>
      <c r="AK58" s="87" t="s">
        <v>804</v>
      </c>
      <c r="AL58" s="87" t="s">
        <v>804</v>
      </c>
      <c r="AM58" s="87" t="s">
        <v>804</v>
      </c>
      <c r="AN58" s="87" t="s">
        <v>804</v>
      </c>
      <c r="AO58" s="87" t="s">
        <v>804</v>
      </c>
      <c r="AP58" s="87" t="s">
        <v>804</v>
      </c>
      <c r="AQ58" s="87" t="s">
        <v>804</v>
      </c>
      <c r="AR58" s="87" t="s">
        <v>804</v>
      </c>
      <c r="AS58" s="87" t="s">
        <v>804</v>
      </c>
      <c r="AT58" s="87" t="s">
        <v>804</v>
      </c>
      <c r="AU58" s="87" t="s">
        <v>804</v>
      </c>
      <c r="AV58" s="87" t="s">
        <v>804</v>
      </c>
      <c r="AW58" s="87" t="s">
        <v>804</v>
      </c>
      <c r="AX58" s="87" t="s">
        <v>804</v>
      </c>
      <c r="AY58" s="87" t="s">
        <v>804</v>
      </c>
      <c r="AZ58" s="87" t="s">
        <v>804</v>
      </c>
    </row>
    <row r="59" spans="3:52">
      <c r="E59" s="55" t="s">
        <v>805</v>
      </c>
      <c r="G59" s="55" t="s">
        <v>210</v>
      </c>
      <c r="I59" s="98"/>
      <c r="K59" s="98"/>
      <c r="M59" s="98"/>
      <c r="O59" s="98"/>
      <c r="Q59" s="83">
        <f>('Fuel Consumption'!Q62 - 'Fuel Consumption'!Q59) * '2.5 Emission factors'!O29</f>
        <v>1255.9035851191368</v>
      </c>
      <c r="R59" s="83">
        <f>('Fuel Consumption'!R62 - 'Fuel Consumption'!R59) * '2.5 Emission factors'!P29</f>
        <v>1011.3851767705197</v>
      </c>
      <c r="S59" s="83">
        <f>('Fuel Consumption'!S62 - 'Fuel Consumption'!S59) * '2.5 Emission factors'!Q29</f>
        <v>912.02976698619659</v>
      </c>
      <c r="T59" s="83">
        <f>('Fuel Consumption'!T62 - 'Fuel Consumption'!T59) * '2.5 Emission factors'!R29</f>
        <v>855.22262607526034</v>
      </c>
      <c r="U59" s="83">
        <f>('Fuel Consumption'!U62 - 'Fuel Consumption'!U59) * '2.5 Emission factors'!S29</f>
        <v>764.57776929676959</v>
      </c>
      <c r="V59" s="83">
        <f>('Fuel Consumption'!V62 - 'Fuel Consumption'!V59) * '2.5 Emission factors'!T29</f>
        <v>570.42115693353492</v>
      </c>
      <c r="W59" s="83">
        <f>('Fuel Consumption'!W62 - 'Fuel Consumption'!W59) * '2.5 Emission factors'!U29</f>
        <v>525.80833774235577</v>
      </c>
      <c r="X59" s="83">
        <f>('Fuel Consumption'!X62 - 'Fuel Consumption'!X59) * '2.5 Emission factors'!V29</f>
        <v>482.12606149902177</v>
      </c>
      <c r="Y59" s="83">
        <f>('Fuel Consumption'!Y62 - 'Fuel Consumption'!Y59) * '2.5 Emission factors'!W29</f>
        <v>450.41039123506522</v>
      </c>
      <c r="Z59" s="83">
        <f>('Fuel Consumption'!Z62 - 'Fuel Consumption'!Z59) * '2.5 Emission factors'!X29</f>
        <v>475.03156202273101</v>
      </c>
      <c r="AA59" s="83">
        <f>('Fuel Consumption'!AA62 - 'Fuel Consumption'!AA59) * '2.5 Emission factors'!Y29</f>
        <v>385.0920943083056</v>
      </c>
      <c r="AB59" s="83">
        <f>('Fuel Consumption'!AB62 - 'Fuel Consumption'!AB59) * '2.5 Emission factors'!Z29</f>
        <v>269.26946489462466</v>
      </c>
      <c r="AC59" s="83">
        <f>('Fuel Consumption'!AC62 - 'Fuel Consumption'!AC59) * '2.5 Emission factors'!AA29</f>
        <v>214.86817472122397</v>
      </c>
      <c r="AD59" s="83">
        <f>('Fuel Consumption'!AD62 - 'Fuel Consumption'!AD59) * '2.5 Emission factors'!AB29</f>
        <v>190.51524881790999</v>
      </c>
      <c r="AE59" s="83">
        <f>('Fuel Consumption'!AE62 - 'Fuel Consumption'!AE59) * '2.5 Emission factors'!AC29</f>
        <v>169.87797499039746</v>
      </c>
      <c r="AF59" s="83">
        <f>('Fuel Consumption'!AF62 - 'Fuel Consumption'!AF59) * '2.5 Emission factors'!AD29</f>
        <v>127.44479758070864</v>
      </c>
      <c r="AG59" s="83">
        <f>('Fuel Consumption'!AG62 - 'Fuel Consumption'!AG59) * '2.5 Emission factors'!AE29</f>
        <v>100.99119816786649</v>
      </c>
      <c r="AH59" s="83">
        <f>('Fuel Consumption'!AH62 - 'Fuel Consumption'!AH59) * '2.5 Emission factors'!AF29</f>
        <v>87.343809443492546</v>
      </c>
      <c r="AI59" s="83">
        <f>('Fuel Consumption'!AI62 - 'Fuel Consumption'!AI59) * '2.5 Emission factors'!AG29</f>
        <v>75.900124287898706</v>
      </c>
      <c r="AJ59" s="83">
        <f>('Fuel Consumption'!AJ62 - 'Fuel Consumption'!AJ59) * '2.5 Emission factors'!AH29</f>
        <v>68.946270850486556</v>
      </c>
      <c r="AK59" s="83">
        <f>('Fuel Consumption'!AK62 - 'Fuel Consumption'!AK59) * '2.5 Emission factors'!AI29</f>
        <v>61.55077986546442</v>
      </c>
      <c r="AL59" s="83">
        <f>('Fuel Consumption'!AL62 - 'Fuel Consumption'!AL59) * '2.5 Emission factors'!AJ29</f>
        <v>50.983726914469599</v>
      </c>
      <c r="AM59" s="83">
        <f>('Fuel Consumption'!AM62 - 'Fuel Consumption'!AM59) * '2.5 Emission factors'!AK29</f>
        <v>45.384017250715573</v>
      </c>
      <c r="AN59" s="83">
        <f>('Fuel Consumption'!AN62 - 'Fuel Consumption'!AN59) * '2.5 Emission factors'!AL29</f>
        <v>44.357187126387103</v>
      </c>
      <c r="AO59" s="83">
        <f>('Fuel Consumption'!AO62 - 'Fuel Consumption'!AO59) * '2.5 Emission factors'!AM29</f>
        <v>41.996040600606889</v>
      </c>
      <c r="AP59" s="83">
        <f>('Fuel Consumption'!AP62 - 'Fuel Consumption'!AP59) * '2.5 Emission factors'!AN29</f>
        <v>38.052167915196939</v>
      </c>
      <c r="AQ59" s="83">
        <f>('Fuel Consumption'!AQ62 - 'Fuel Consumption'!AQ59) * '2.5 Emission factors'!AO29</f>
        <v>31.58652724169005</v>
      </c>
      <c r="AR59" s="83">
        <f>('Fuel Consumption'!AR62 - 'Fuel Consumption'!AR59) * '2.5 Emission factors'!AP29</f>
        <v>29.973875660088563</v>
      </c>
      <c r="AS59" s="83">
        <f>('Fuel Consumption'!AS62 - 'Fuel Consumption'!AS59) * '2.5 Emission factors'!AQ29</f>
        <v>29.359508761752704</v>
      </c>
      <c r="AT59" s="83">
        <f>('Fuel Consumption'!AT62 - 'Fuel Consumption'!AT59) * '2.5 Emission factors'!AR29</f>
        <v>27.592542229450327</v>
      </c>
      <c r="AU59" s="83">
        <f>('Fuel Consumption'!AU62 - 'Fuel Consumption'!AU59) * '2.5 Emission factors'!AS29</f>
        <v>23.430301717163374</v>
      </c>
      <c r="AV59" s="83">
        <f>('Fuel Consumption'!AV62 - 'Fuel Consumption'!AV59) * '2.5 Emission factors'!AT29</f>
        <v>21.270203719608897</v>
      </c>
      <c r="AW59" s="83">
        <f>('Fuel Consumption'!AW62 - 'Fuel Consumption'!AW59) * '2.5 Emission factors'!AU29</f>
        <v>19.609920250497495</v>
      </c>
      <c r="AX59" s="83">
        <f>('Fuel Consumption'!AX62 - 'Fuel Consumption'!AX59) * '2.5 Emission factors'!AV29</f>
        <v>18.610092467038339</v>
      </c>
      <c r="AY59" s="83">
        <f>('Fuel Consumption'!AY62 - 'Fuel Consumption'!AY59) * '2.5 Emission factors'!AW29</f>
        <v>17.316038225569944</v>
      </c>
      <c r="AZ59" s="83">
        <f>('Fuel Consumption'!AZ62 - 'Fuel Consumption'!AZ59) * '2.5 Emission factors'!AX29</f>
        <v>17.017584271472671</v>
      </c>
    </row>
    <row r="60" spans="3:52">
      <c r="E60" s="55"/>
      <c r="Q60" s="75"/>
      <c r="R60" s="75"/>
      <c r="S60" s="75"/>
      <c r="T60" s="75"/>
      <c r="U60" s="75"/>
      <c r="V60" s="75"/>
      <c r="W60" s="75"/>
      <c r="X60" s="75"/>
      <c r="Y60" s="75"/>
      <c r="Z60" s="75"/>
      <c r="AA60" s="75"/>
      <c r="AB60" s="75"/>
      <c r="AC60" s="75"/>
      <c r="AD60" s="75"/>
      <c r="AE60" s="75"/>
      <c r="AF60" s="75"/>
      <c r="AG60" s="75"/>
      <c r="AH60" s="75"/>
      <c r="AI60" s="75"/>
      <c r="AJ60" s="75"/>
      <c r="AK60" s="75"/>
      <c r="AL60" s="75"/>
      <c r="AM60" s="75"/>
      <c r="AN60" s="75"/>
      <c r="AO60" s="75"/>
      <c r="AP60" s="75"/>
      <c r="AQ60" s="75"/>
      <c r="AR60" s="75"/>
      <c r="AS60" s="75"/>
      <c r="AT60" s="75"/>
      <c r="AU60" s="75"/>
      <c r="AV60" s="75"/>
      <c r="AW60" s="75"/>
      <c r="AX60" s="75"/>
      <c r="AY60" s="75"/>
      <c r="AZ60" s="75"/>
    </row>
    <row r="61" spans="3:52">
      <c r="D61" s="38" t="s">
        <v>764</v>
      </c>
      <c r="E61" s="55"/>
      <c r="Q61" s="75"/>
      <c r="R61" s="75"/>
      <c r="S61" s="75"/>
      <c r="T61" s="75"/>
      <c r="U61" s="75"/>
      <c r="V61" s="75"/>
      <c r="W61" s="75"/>
      <c r="X61" s="75"/>
      <c r="Y61" s="75"/>
      <c r="Z61" s="75"/>
      <c r="AA61" s="75"/>
      <c r="AB61" s="75"/>
      <c r="AC61" s="75"/>
      <c r="AD61" s="75"/>
      <c r="AE61" s="75"/>
      <c r="AF61" s="75"/>
      <c r="AG61" s="75"/>
      <c r="AH61" s="75"/>
      <c r="AI61" s="75"/>
      <c r="AJ61" s="75"/>
      <c r="AK61" s="75"/>
      <c r="AL61" s="75"/>
      <c r="AM61" s="75"/>
      <c r="AN61" s="75"/>
      <c r="AO61" s="75"/>
      <c r="AP61" s="75"/>
      <c r="AQ61" s="75"/>
      <c r="AR61" s="75"/>
      <c r="AS61" s="75"/>
      <c r="AT61" s="75"/>
      <c r="AU61" s="75"/>
      <c r="AV61" s="75"/>
      <c r="AW61" s="75"/>
      <c r="AX61" s="75"/>
      <c r="AY61" s="75"/>
      <c r="AZ61" s="75"/>
    </row>
    <row r="62" spans="3:52">
      <c r="E62" s="55"/>
      <c r="Q62" s="75"/>
      <c r="R62" s="75"/>
      <c r="S62" s="75"/>
      <c r="T62" s="75"/>
      <c r="U62" s="75"/>
      <c r="V62" s="75"/>
      <c r="W62" s="75"/>
      <c r="X62" s="75"/>
      <c r="Y62" s="75"/>
      <c r="Z62" s="75"/>
      <c r="AA62" s="75"/>
      <c r="AB62" s="75"/>
      <c r="AC62" s="75"/>
      <c r="AD62" s="75"/>
      <c r="AE62" s="75"/>
      <c r="AF62" s="75"/>
      <c r="AG62" s="75"/>
      <c r="AH62" s="75"/>
      <c r="AI62" s="75"/>
      <c r="AJ62" s="75"/>
      <c r="AK62" s="75"/>
      <c r="AL62" s="75"/>
      <c r="AM62" s="75"/>
      <c r="AN62" s="75"/>
      <c r="AO62" s="75"/>
      <c r="AP62" s="75"/>
      <c r="AQ62" s="75"/>
      <c r="AR62" s="75"/>
      <c r="AS62" s="75"/>
      <c r="AT62" s="75"/>
      <c r="AU62" s="75"/>
      <c r="AV62" s="75"/>
      <c r="AW62" s="75"/>
      <c r="AX62" s="75"/>
      <c r="AY62" s="75"/>
      <c r="AZ62" s="75"/>
    </row>
    <row r="63" spans="3:52">
      <c r="E63" s="55" t="s">
        <v>775</v>
      </c>
      <c r="I63" s="98"/>
      <c r="K63" s="98"/>
      <c r="M63" s="98"/>
      <c r="O63" s="98"/>
      <c r="Q63" s="99">
        <f t="shared" ref="Q63:Z65" si="9">SUMIFS(Q$54:Q$59,$G$54:$G$59,$E$63:$E$65)</f>
        <v>0</v>
      </c>
      <c r="R63" s="99">
        <f t="shared" si="9"/>
        <v>0</v>
      </c>
      <c r="S63" s="99">
        <f t="shared" si="9"/>
        <v>0</v>
      </c>
      <c r="T63" s="99">
        <f t="shared" si="9"/>
        <v>0</v>
      </c>
      <c r="U63" s="99">
        <f t="shared" si="9"/>
        <v>0</v>
      </c>
      <c r="V63" s="99">
        <f t="shared" si="9"/>
        <v>0</v>
      </c>
      <c r="W63" s="99">
        <f t="shared" si="9"/>
        <v>0</v>
      </c>
      <c r="X63" s="99">
        <f t="shared" si="9"/>
        <v>0</v>
      </c>
      <c r="Y63" s="99">
        <f t="shared" si="9"/>
        <v>0</v>
      </c>
      <c r="Z63" s="99">
        <f t="shared" si="9"/>
        <v>0</v>
      </c>
      <c r="AA63" s="99">
        <f t="shared" ref="AA63:AJ65" si="10">SUMIFS(AA$54:AA$59,$G$54:$G$59,$E$63:$E$65)</f>
        <v>0</v>
      </c>
      <c r="AB63" s="99">
        <f t="shared" si="10"/>
        <v>0</v>
      </c>
      <c r="AC63" s="99">
        <f t="shared" si="10"/>
        <v>0</v>
      </c>
      <c r="AD63" s="99">
        <f t="shared" si="10"/>
        <v>0</v>
      </c>
      <c r="AE63" s="99">
        <f t="shared" si="10"/>
        <v>0</v>
      </c>
      <c r="AF63" s="99">
        <f t="shared" si="10"/>
        <v>0</v>
      </c>
      <c r="AG63" s="99">
        <f t="shared" si="10"/>
        <v>0</v>
      </c>
      <c r="AH63" s="99">
        <f t="shared" si="10"/>
        <v>0</v>
      </c>
      <c r="AI63" s="99">
        <f t="shared" si="10"/>
        <v>0</v>
      </c>
      <c r="AJ63" s="99">
        <f t="shared" si="10"/>
        <v>0</v>
      </c>
      <c r="AK63" s="99">
        <f t="shared" ref="AK63:AT65" si="11">SUMIFS(AK$54:AK$59,$G$54:$G$59,$E$63:$E$65)</f>
        <v>0</v>
      </c>
      <c r="AL63" s="99">
        <f t="shared" si="11"/>
        <v>0</v>
      </c>
      <c r="AM63" s="99">
        <f t="shared" si="11"/>
        <v>0</v>
      </c>
      <c r="AN63" s="99">
        <f t="shared" si="11"/>
        <v>0</v>
      </c>
      <c r="AO63" s="99">
        <f t="shared" si="11"/>
        <v>0</v>
      </c>
      <c r="AP63" s="99">
        <f t="shared" si="11"/>
        <v>0</v>
      </c>
      <c r="AQ63" s="99">
        <f t="shared" si="11"/>
        <v>0</v>
      </c>
      <c r="AR63" s="99">
        <f t="shared" si="11"/>
        <v>0</v>
      </c>
      <c r="AS63" s="99">
        <f t="shared" si="11"/>
        <v>0</v>
      </c>
      <c r="AT63" s="99">
        <f t="shared" si="11"/>
        <v>0</v>
      </c>
      <c r="AU63" s="99">
        <f t="shared" ref="AU63:AZ65" si="12">SUMIFS(AU$54:AU$59,$G$54:$G$59,$E$63:$E$65)</f>
        <v>0</v>
      </c>
      <c r="AV63" s="99">
        <f t="shared" si="12"/>
        <v>0</v>
      </c>
      <c r="AW63" s="99">
        <f t="shared" si="12"/>
        <v>0</v>
      </c>
      <c r="AX63" s="99">
        <f t="shared" si="12"/>
        <v>0</v>
      </c>
      <c r="AY63" s="99">
        <f t="shared" si="12"/>
        <v>0</v>
      </c>
      <c r="AZ63" s="99">
        <f t="shared" si="12"/>
        <v>0</v>
      </c>
    </row>
    <row r="64" spans="3:52">
      <c r="E64" s="55" t="s">
        <v>210</v>
      </c>
      <c r="I64" s="98"/>
      <c r="K64" s="98"/>
      <c r="M64" s="98"/>
      <c r="O64" s="98"/>
      <c r="Q64" s="99">
        <f>SUMIFS(Q$54:Q$59,$G$54:$G$59,$E$63:$E$65)</f>
        <v>1255.9035851191368</v>
      </c>
      <c r="R64" s="99">
        <f t="shared" si="9"/>
        <v>1011.3851767705197</v>
      </c>
      <c r="S64" s="99">
        <f t="shared" si="9"/>
        <v>912.02976698619659</v>
      </c>
      <c r="T64" s="99">
        <f t="shared" si="9"/>
        <v>855.22262607526034</v>
      </c>
      <c r="U64" s="99">
        <f t="shared" si="9"/>
        <v>764.57776929676959</v>
      </c>
      <c r="V64" s="99">
        <f t="shared" si="9"/>
        <v>570.42115693353492</v>
      </c>
      <c r="W64" s="99">
        <f t="shared" si="9"/>
        <v>525.80833774235577</v>
      </c>
      <c r="X64" s="99">
        <f t="shared" si="9"/>
        <v>482.12606149902177</v>
      </c>
      <c r="Y64" s="99">
        <f t="shared" si="9"/>
        <v>450.41039123506522</v>
      </c>
      <c r="Z64" s="99">
        <f t="shared" si="9"/>
        <v>475.03156202273101</v>
      </c>
      <c r="AA64" s="99">
        <f t="shared" si="10"/>
        <v>385.0920943083056</v>
      </c>
      <c r="AB64" s="99">
        <f t="shared" si="10"/>
        <v>269.26946489462466</v>
      </c>
      <c r="AC64" s="99">
        <f t="shared" si="10"/>
        <v>214.86817472122397</v>
      </c>
      <c r="AD64" s="99">
        <f t="shared" si="10"/>
        <v>190.51524881790999</v>
      </c>
      <c r="AE64" s="99">
        <f t="shared" si="10"/>
        <v>169.87797499039746</v>
      </c>
      <c r="AF64" s="99">
        <f t="shared" si="10"/>
        <v>127.44479758070864</v>
      </c>
      <c r="AG64" s="99">
        <f t="shared" si="10"/>
        <v>100.99119816786649</v>
      </c>
      <c r="AH64" s="99">
        <f t="shared" si="10"/>
        <v>87.343809443492546</v>
      </c>
      <c r="AI64" s="99">
        <f t="shared" si="10"/>
        <v>75.900124287898706</v>
      </c>
      <c r="AJ64" s="99">
        <f t="shared" si="10"/>
        <v>68.946270850486556</v>
      </c>
      <c r="AK64" s="99">
        <f t="shared" si="11"/>
        <v>61.55077986546442</v>
      </c>
      <c r="AL64" s="99">
        <f t="shared" si="11"/>
        <v>50.983726914469599</v>
      </c>
      <c r="AM64" s="99">
        <f t="shared" si="11"/>
        <v>45.384017250715573</v>
      </c>
      <c r="AN64" s="99">
        <f t="shared" si="11"/>
        <v>44.357187126387103</v>
      </c>
      <c r="AO64" s="99">
        <f t="shared" si="11"/>
        <v>41.996040600606889</v>
      </c>
      <c r="AP64" s="99">
        <f t="shared" si="11"/>
        <v>38.052167915196939</v>
      </c>
      <c r="AQ64" s="99">
        <f t="shared" si="11"/>
        <v>31.58652724169005</v>
      </c>
      <c r="AR64" s="99">
        <f t="shared" si="11"/>
        <v>29.973875660088563</v>
      </c>
      <c r="AS64" s="99">
        <f t="shared" si="11"/>
        <v>29.359508761752704</v>
      </c>
      <c r="AT64" s="99">
        <f t="shared" si="11"/>
        <v>27.592542229450327</v>
      </c>
      <c r="AU64" s="99">
        <f t="shared" si="12"/>
        <v>23.430301717163374</v>
      </c>
      <c r="AV64" s="99">
        <f t="shared" si="12"/>
        <v>21.270203719608897</v>
      </c>
      <c r="AW64" s="99">
        <f t="shared" si="12"/>
        <v>19.609920250497495</v>
      </c>
      <c r="AX64" s="99">
        <f t="shared" si="12"/>
        <v>18.610092467038339</v>
      </c>
      <c r="AY64" s="99">
        <f t="shared" si="12"/>
        <v>17.316038225569944</v>
      </c>
      <c r="AZ64" s="99">
        <f t="shared" si="12"/>
        <v>17.017584271472671</v>
      </c>
    </row>
    <row r="65" spans="4:80">
      <c r="E65" s="55" t="s">
        <v>188</v>
      </c>
      <c r="I65" s="98"/>
      <c r="K65" s="98"/>
      <c r="M65" s="98"/>
      <c r="O65" s="98"/>
      <c r="Q65" s="99">
        <f t="shared" si="9"/>
        <v>0</v>
      </c>
      <c r="R65" s="99">
        <f t="shared" si="9"/>
        <v>0</v>
      </c>
      <c r="S65" s="99">
        <f t="shared" si="9"/>
        <v>0</v>
      </c>
      <c r="T65" s="99">
        <f t="shared" si="9"/>
        <v>0</v>
      </c>
      <c r="U65" s="99">
        <f t="shared" si="9"/>
        <v>0</v>
      </c>
      <c r="V65" s="99">
        <f t="shared" si="9"/>
        <v>0</v>
      </c>
      <c r="W65" s="99">
        <f t="shared" si="9"/>
        <v>0</v>
      </c>
      <c r="X65" s="99">
        <f t="shared" si="9"/>
        <v>0</v>
      </c>
      <c r="Y65" s="99">
        <f t="shared" si="9"/>
        <v>0</v>
      </c>
      <c r="Z65" s="99">
        <f t="shared" si="9"/>
        <v>0</v>
      </c>
      <c r="AA65" s="99">
        <f t="shared" si="10"/>
        <v>0</v>
      </c>
      <c r="AB65" s="99">
        <f t="shared" si="10"/>
        <v>0</v>
      </c>
      <c r="AC65" s="99">
        <f t="shared" si="10"/>
        <v>0</v>
      </c>
      <c r="AD65" s="99">
        <f t="shared" si="10"/>
        <v>0</v>
      </c>
      <c r="AE65" s="99">
        <f t="shared" si="10"/>
        <v>0</v>
      </c>
      <c r="AF65" s="99">
        <f t="shared" si="10"/>
        <v>0</v>
      </c>
      <c r="AG65" s="99">
        <f t="shared" si="10"/>
        <v>0</v>
      </c>
      <c r="AH65" s="99">
        <f t="shared" si="10"/>
        <v>0</v>
      </c>
      <c r="AI65" s="99">
        <f t="shared" si="10"/>
        <v>0</v>
      </c>
      <c r="AJ65" s="99">
        <f t="shared" si="10"/>
        <v>0</v>
      </c>
      <c r="AK65" s="99">
        <f t="shared" si="11"/>
        <v>0</v>
      </c>
      <c r="AL65" s="99">
        <f t="shared" si="11"/>
        <v>0</v>
      </c>
      <c r="AM65" s="99">
        <f t="shared" si="11"/>
        <v>0</v>
      </c>
      <c r="AN65" s="99">
        <f t="shared" si="11"/>
        <v>0</v>
      </c>
      <c r="AO65" s="99">
        <f t="shared" si="11"/>
        <v>0</v>
      </c>
      <c r="AP65" s="99">
        <f t="shared" si="11"/>
        <v>0</v>
      </c>
      <c r="AQ65" s="99">
        <f t="shared" si="11"/>
        <v>0</v>
      </c>
      <c r="AR65" s="99">
        <f t="shared" si="11"/>
        <v>0</v>
      </c>
      <c r="AS65" s="99">
        <f t="shared" si="11"/>
        <v>0</v>
      </c>
      <c r="AT65" s="99">
        <f t="shared" si="11"/>
        <v>0</v>
      </c>
      <c r="AU65" s="99">
        <f t="shared" si="12"/>
        <v>0</v>
      </c>
      <c r="AV65" s="99">
        <f t="shared" si="12"/>
        <v>0</v>
      </c>
      <c r="AW65" s="99">
        <f t="shared" si="12"/>
        <v>0</v>
      </c>
      <c r="AX65" s="99">
        <f t="shared" si="12"/>
        <v>0</v>
      </c>
      <c r="AY65" s="99">
        <f t="shared" si="12"/>
        <v>0</v>
      </c>
      <c r="AZ65" s="99">
        <f t="shared" si="12"/>
        <v>0</v>
      </c>
    </row>
    <row r="66" spans="4:80">
      <c r="E66" s="56"/>
      <c r="J66" s="56"/>
      <c r="K66" s="56"/>
      <c r="L66" s="56"/>
      <c r="M66" s="65"/>
      <c r="N66" s="65"/>
      <c r="O66" s="65"/>
      <c r="P66" s="65"/>
      <c r="Q66" s="65"/>
      <c r="R66" s="65"/>
      <c r="S66" s="65"/>
      <c r="T66" s="65"/>
      <c r="U66" s="65"/>
      <c r="V66" s="65"/>
      <c r="W66" s="65"/>
      <c r="X66" s="65"/>
      <c r="Y66" s="65"/>
      <c r="Z66" s="65"/>
      <c r="AA66" s="65"/>
      <c r="AB66" s="65"/>
      <c r="AC66" s="65"/>
      <c r="AD66" s="65"/>
      <c r="AE66" s="65"/>
      <c r="AF66" s="65"/>
      <c r="AG66" s="65"/>
      <c r="AH66" s="65"/>
      <c r="AI66" s="65"/>
      <c r="AJ66" s="65"/>
      <c r="AK66" s="65"/>
      <c r="AL66" s="65"/>
      <c r="AM66" s="65"/>
      <c r="AN66" s="65"/>
      <c r="AO66" s="65"/>
      <c r="AP66" s="65"/>
      <c r="AQ66" s="65"/>
      <c r="AR66" s="65"/>
      <c r="AS66" s="65"/>
      <c r="AT66" s="65"/>
      <c r="AU66" s="65"/>
      <c r="AV66" s="65"/>
      <c r="AW66" s="88"/>
      <c r="AX66" s="88"/>
      <c r="AY66" s="88"/>
      <c r="AZ66" s="88"/>
      <c r="BA66" s="88"/>
      <c r="BB66" s="88"/>
      <c r="BC66" s="88"/>
      <c r="BD66" s="88"/>
      <c r="BE66" s="88"/>
      <c r="BF66" s="88"/>
      <c r="BG66" s="88"/>
      <c r="BH66" s="88"/>
      <c r="BI66" s="88"/>
      <c r="BJ66" s="88"/>
      <c r="BK66" s="88"/>
      <c r="BL66" s="88"/>
      <c r="BM66" s="88"/>
      <c r="BN66" s="88"/>
      <c r="BO66" s="88"/>
      <c r="BP66" s="88"/>
      <c r="BQ66" s="88"/>
      <c r="BR66" s="88"/>
      <c r="BS66" s="88"/>
      <c r="BT66" s="88"/>
      <c r="BU66" s="88"/>
      <c r="BV66" s="88"/>
      <c r="BW66" s="88"/>
      <c r="BX66" s="88"/>
      <c r="BY66" s="88"/>
      <c r="BZ66" s="88"/>
      <c r="CA66" s="88"/>
      <c r="CB66" s="88"/>
    </row>
    <row r="67" spans="4:80">
      <c r="D67" s="38" t="s">
        <v>722</v>
      </c>
      <c r="E67" s="56"/>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0"/>
      <c r="AK67" s="90"/>
      <c r="AL67" s="90"/>
      <c r="AM67" s="90"/>
      <c r="AN67" s="90"/>
      <c r="AO67" s="90"/>
      <c r="AP67" s="90"/>
      <c r="AQ67" s="90"/>
      <c r="AR67" s="90"/>
      <c r="AS67" s="90"/>
      <c r="AT67" s="90"/>
      <c r="AU67" s="90"/>
      <c r="AV67" s="90"/>
      <c r="AW67" s="88"/>
      <c r="AX67" s="88"/>
      <c r="AY67" s="88"/>
      <c r="AZ67" s="88"/>
      <c r="BA67" s="88"/>
      <c r="BB67" s="88"/>
      <c r="BC67" s="88"/>
      <c r="BD67" s="88"/>
      <c r="BE67" s="88"/>
      <c r="BF67" s="88"/>
      <c r="BG67" s="88"/>
      <c r="BH67" s="88"/>
      <c r="BI67" s="88"/>
      <c r="BJ67" s="88"/>
      <c r="BK67" s="88"/>
      <c r="BL67" s="88"/>
      <c r="BM67" s="88"/>
      <c r="BN67" s="88"/>
      <c r="BO67" s="88"/>
      <c r="BP67" s="88"/>
      <c r="BQ67" s="88"/>
      <c r="BR67" s="88"/>
      <c r="BS67" s="88"/>
      <c r="BT67" s="88"/>
      <c r="BU67" s="88"/>
      <c r="BV67" s="88"/>
      <c r="BW67" s="88"/>
      <c r="BX67" s="88"/>
      <c r="BY67" s="88"/>
      <c r="BZ67" s="88"/>
      <c r="CA67" s="88"/>
      <c r="CB67" s="88"/>
    </row>
    <row r="68" spans="4:80">
      <c r="E68" s="56"/>
      <c r="G68" s="55"/>
    </row>
    <row r="69" spans="4:80">
      <c r="E69" s="55" t="s">
        <v>799</v>
      </c>
      <c r="F69" s="55"/>
      <c r="G69" s="55" t="s">
        <v>611</v>
      </c>
      <c r="I69" s="98"/>
      <c r="K69" s="98"/>
      <c r="M69" s="98"/>
      <c r="O69" s="98"/>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row>
    <row r="70" spans="4:80">
      <c r="E70" s="55" t="s">
        <v>191</v>
      </c>
      <c r="F70" s="55"/>
      <c r="G70" s="55" t="s">
        <v>191</v>
      </c>
      <c r="I70" s="98"/>
      <c r="K70" s="98"/>
      <c r="M70" s="98"/>
      <c r="O70" s="98"/>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row>
    <row r="71" spans="4:80">
      <c r="E71" s="55" t="s">
        <v>800</v>
      </c>
      <c r="F71" s="55"/>
      <c r="G71" s="55" t="s">
        <v>611</v>
      </c>
      <c r="I71" s="98"/>
      <c r="K71" s="98"/>
      <c r="M71" s="98"/>
      <c r="O71" s="98"/>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row>
    <row r="72" spans="4:80">
      <c r="E72" s="55" t="s">
        <v>801</v>
      </c>
      <c r="F72" s="55"/>
      <c r="G72" s="55" t="s">
        <v>611</v>
      </c>
      <c r="I72" s="98"/>
      <c r="K72" s="98"/>
      <c r="M72" s="98"/>
      <c r="O72" s="98"/>
      <c r="Q72" s="103"/>
      <c r="R72" s="103"/>
      <c r="S72" s="103"/>
      <c r="T72" s="103"/>
      <c r="U72" s="103"/>
      <c r="V72" s="103"/>
      <c r="W72" s="103"/>
      <c r="X72" s="103"/>
      <c r="Y72" s="103"/>
      <c r="Z72" s="103"/>
      <c r="AA72" s="103"/>
      <c r="AB72" s="103"/>
      <c r="AC72" s="103"/>
      <c r="AD72" s="103"/>
      <c r="AE72" s="103"/>
      <c r="AF72" s="103"/>
      <c r="AG72" s="103"/>
      <c r="AH72" s="103"/>
      <c r="AI72" s="103"/>
      <c r="AJ72" s="103"/>
      <c r="AK72" s="103"/>
      <c r="AL72" s="103"/>
      <c r="AM72" s="103"/>
      <c r="AN72" s="103"/>
      <c r="AO72" s="103"/>
      <c r="AP72" s="103"/>
      <c r="AQ72" s="103"/>
      <c r="AR72" s="103"/>
      <c r="AS72" s="103"/>
      <c r="AT72" s="103"/>
      <c r="AU72" s="103"/>
      <c r="AV72" s="103"/>
      <c r="AW72" s="103"/>
      <c r="AX72" s="103"/>
      <c r="AY72" s="103"/>
      <c r="AZ72" s="103"/>
    </row>
    <row r="73" spans="4:80">
      <c r="E73" s="55" t="s">
        <v>803</v>
      </c>
      <c r="F73" s="55"/>
      <c r="G73" s="55"/>
      <c r="I73" s="98"/>
      <c r="K73" s="98"/>
      <c r="M73" s="98"/>
      <c r="O73" s="98"/>
      <c r="Q73" s="87" t="s">
        <v>804</v>
      </c>
      <c r="R73" s="87" t="s">
        <v>804</v>
      </c>
      <c r="S73" s="87" t="s">
        <v>804</v>
      </c>
      <c r="T73" s="87" t="s">
        <v>804</v>
      </c>
      <c r="U73" s="87" t="s">
        <v>804</v>
      </c>
      <c r="V73" s="87" t="s">
        <v>804</v>
      </c>
      <c r="W73" s="87" t="s">
        <v>804</v>
      </c>
      <c r="X73" s="87" t="s">
        <v>804</v>
      </c>
      <c r="Y73" s="87" t="s">
        <v>804</v>
      </c>
      <c r="Z73" s="87" t="s">
        <v>804</v>
      </c>
      <c r="AA73" s="87" t="s">
        <v>804</v>
      </c>
      <c r="AB73" s="87" t="s">
        <v>804</v>
      </c>
      <c r="AC73" s="87" t="s">
        <v>804</v>
      </c>
      <c r="AD73" s="87" t="s">
        <v>804</v>
      </c>
      <c r="AE73" s="87" t="s">
        <v>804</v>
      </c>
      <c r="AF73" s="87" t="s">
        <v>804</v>
      </c>
      <c r="AG73" s="87" t="s">
        <v>804</v>
      </c>
      <c r="AH73" s="87" t="s">
        <v>804</v>
      </c>
      <c r="AI73" s="87" t="s">
        <v>804</v>
      </c>
      <c r="AJ73" s="87" t="s">
        <v>804</v>
      </c>
      <c r="AK73" s="87" t="s">
        <v>804</v>
      </c>
      <c r="AL73" s="87" t="s">
        <v>804</v>
      </c>
      <c r="AM73" s="87" t="s">
        <v>804</v>
      </c>
      <c r="AN73" s="87" t="s">
        <v>804</v>
      </c>
      <c r="AO73" s="87" t="s">
        <v>804</v>
      </c>
      <c r="AP73" s="87" t="s">
        <v>804</v>
      </c>
      <c r="AQ73" s="87" t="s">
        <v>804</v>
      </c>
      <c r="AR73" s="87" t="s">
        <v>804</v>
      </c>
      <c r="AS73" s="87" t="s">
        <v>804</v>
      </c>
      <c r="AT73" s="87" t="s">
        <v>804</v>
      </c>
      <c r="AU73" s="87" t="s">
        <v>804</v>
      </c>
      <c r="AV73" s="87" t="s">
        <v>804</v>
      </c>
      <c r="AW73" s="87" t="s">
        <v>804</v>
      </c>
      <c r="AX73" s="87" t="s">
        <v>804</v>
      </c>
      <c r="AY73" s="87" t="s">
        <v>804</v>
      </c>
      <c r="AZ73" s="87" t="s">
        <v>804</v>
      </c>
    </row>
    <row r="74" spans="4:80">
      <c r="E74" s="55" t="s">
        <v>805</v>
      </c>
      <c r="F74" s="55"/>
      <c r="G74" s="55" t="s">
        <v>210</v>
      </c>
      <c r="I74" s="98"/>
      <c r="K74" s="98"/>
      <c r="M74" s="98"/>
      <c r="O74" s="98"/>
      <c r="P74" s="88"/>
      <c r="Q74" s="83">
        <f>('Fuel Consumption'!Q77 - 'Fuel Consumption'!Q74) * '2.5 Emission factors'!O29</f>
        <v>4195.3931344826906</v>
      </c>
      <c r="R74" s="83">
        <f>('Fuel Consumption'!R77 - 'Fuel Consumption'!R74) * '2.5 Emission factors'!P29</f>
        <v>3363.9759741643065</v>
      </c>
      <c r="S74" s="83">
        <f>('Fuel Consumption'!S77 - 'Fuel Consumption'!S74) * '2.5 Emission factors'!Q29</f>
        <v>3018.949426117505</v>
      </c>
      <c r="T74" s="83">
        <f>('Fuel Consumption'!T77 - 'Fuel Consumption'!T74) * '2.5 Emission factors'!R29</f>
        <v>2817.4575505423209</v>
      </c>
      <c r="U74" s="83">
        <f>('Fuel Consumption'!U77 - 'Fuel Consumption'!U74) * '2.5 Emission factors'!S29</f>
        <v>2516.638032410965</v>
      </c>
      <c r="V74" s="83">
        <f>('Fuel Consumption'!V77 - 'Fuel Consumption'!V74) * '2.5 Emission factors'!T29</f>
        <v>1897.000611293819</v>
      </c>
      <c r="W74" s="83">
        <f>('Fuel Consumption'!W77 - 'Fuel Consumption'!W74) * '2.5 Emission factors'!U29</f>
        <v>1773.1706536569584</v>
      </c>
      <c r="X74" s="83">
        <f>('Fuel Consumption'!X77 - 'Fuel Consumption'!X74) * '2.5 Emission factors'!V29</f>
        <v>1659.965654784781</v>
      </c>
      <c r="Y74" s="83">
        <f>('Fuel Consumption'!Y77 - 'Fuel Consumption'!Y74) * '2.5 Emission factors'!W29</f>
        <v>1588.41330708078</v>
      </c>
      <c r="Z74" s="83">
        <f>('Fuel Consumption'!Z77 - 'Fuel Consumption'!Z74) * '2.5 Emission factors'!X29</f>
        <v>1721.9996374352588</v>
      </c>
      <c r="AA74" s="83">
        <f>('Fuel Consumption'!AA77 - 'Fuel Consumption'!AA74) * '2.5 Emission factors'!Y29</f>
        <v>1442.0786232282348</v>
      </c>
      <c r="AB74" s="83">
        <f>('Fuel Consumption'!AB77 - 'Fuel Consumption'!AB74) * '2.5 Emission factors'!Z29</f>
        <v>1048.5500954384759</v>
      </c>
      <c r="AC74" s="83">
        <f>('Fuel Consumption'!AC77 - 'Fuel Consumption'!AC74) * '2.5 Emission factors'!AA29</f>
        <v>853.30867059938885</v>
      </c>
      <c r="AD74" s="83">
        <f>('Fuel Consumption'!AD77 - 'Fuel Consumption'!AD74) * '2.5 Emission factors'!AB29</f>
        <v>773.62965977524277</v>
      </c>
      <c r="AE74" s="83">
        <f>('Fuel Consumption'!AE77 - 'Fuel Consumption'!AE74) * '2.5 Emission factors'!AC29</f>
        <v>707.74460036280459</v>
      </c>
      <c r="AF74" s="83">
        <f>('Fuel Consumption'!AF77 - 'Fuel Consumption'!AF74) * '2.5 Emission factors'!AD29</f>
        <v>546.88269106870428</v>
      </c>
      <c r="AG74" s="83">
        <f>('Fuel Consumption'!AG77 - 'Fuel Consumption'!AG74) * '2.5 Emission factors'!AE29</f>
        <v>435.13184320828987</v>
      </c>
      <c r="AH74" s="83">
        <f>('Fuel Consumption'!AH77 - 'Fuel Consumption'!AH74) * '2.5 Emission factors'!AF29</f>
        <v>377.81666441546741</v>
      </c>
      <c r="AI74" s="83">
        <f>('Fuel Consumption'!AI77 - 'Fuel Consumption'!AI74) * '2.5 Emission factors'!AG29</f>
        <v>329.57861039592649</v>
      </c>
      <c r="AJ74" s="83">
        <f>('Fuel Consumption'!AJ77 - 'Fuel Consumption'!AJ74) * '2.5 Emission factors'!AH29</f>
        <v>300.5152030411225</v>
      </c>
      <c r="AK74" s="83">
        <f>('Fuel Consumption'!AK77 - 'Fuel Consumption'!AK74) * '2.5 Emission factors'!AI29</f>
        <v>269.26500118654138</v>
      </c>
      <c r="AL74" s="83">
        <f>('Fuel Consumption'!AL77 - 'Fuel Consumption'!AL74) * '2.5 Emission factors'!AJ29</f>
        <v>223.86579546483955</v>
      </c>
      <c r="AM74" s="83">
        <f>('Fuel Consumption'!AM77 - 'Fuel Consumption'!AM74) * '2.5 Emission factors'!AK29</f>
        <v>200.08646246561068</v>
      </c>
      <c r="AN74" s="83">
        <f>('Fuel Consumption'!AN77 - 'Fuel Consumption'!AN74) * '2.5 Emission factors'!AL29</f>
        <v>196.3632364447009</v>
      </c>
      <c r="AO74" s="83">
        <f>('Fuel Consumption'!AO77 - 'Fuel Consumption'!AO74) * '2.5 Emission factors'!AM29</f>
        <v>186.7695901188759</v>
      </c>
      <c r="AP74" s="83">
        <f>('Fuel Consumption'!AP77 - 'Fuel Consumption'!AP74) * '2.5 Emission factors'!AN29</f>
        <v>169.99272157278588</v>
      </c>
      <c r="AQ74" s="83">
        <f>('Fuel Consumption'!AQ77 - 'Fuel Consumption'!AQ74) * '2.5 Emission factors'!AO29</f>
        <v>141.72819443713425</v>
      </c>
      <c r="AR74" s="83">
        <f>('Fuel Consumption'!AR77 - 'Fuel Consumption'!AR74) * '2.5 Emission factors'!AP29</f>
        <v>135.07276120298872</v>
      </c>
      <c r="AS74" s="83">
        <f>('Fuel Consumption'!AS77 - 'Fuel Consumption'!AS74) * '2.5 Emission factors'!AQ29</f>
        <v>132.86685210160678</v>
      </c>
      <c r="AT74" s="83">
        <f>('Fuel Consumption'!AT77 - 'Fuel Consumption'!AT74) * '2.5 Emission factors'!AR29</f>
        <v>125.39488882318793</v>
      </c>
      <c r="AU74" s="83">
        <f>('Fuel Consumption'!AU77 - 'Fuel Consumption'!AU74) * '2.5 Emission factors'!AS29</f>
        <v>106.92217191210797</v>
      </c>
      <c r="AV74" s="83">
        <f>('Fuel Consumption'!AV77 - 'Fuel Consumption'!AV74) * '2.5 Emission factors'!AT29</f>
        <v>97.467341669792418</v>
      </c>
      <c r="AW74" s="83">
        <f>('Fuel Consumption'!AW77 - 'Fuel Consumption'!AW74) * '2.5 Emission factors'!AU29</f>
        <v>90.228474628110007</v>
      </c>
      <c r="AX74" s="83">
        <f>('Fuel Consumption'!AX77 - 'Fuel Consumption'!AX74) * '2.5 Emission factors'!AV29</f>
        <v>85.977137077270143</v>
      </c>
      <c r="AY74" s="83">
        <f>('Fuel Consumption'!AY77 - 'Fuel Consumption'!AY74) * '2.5 Emission factors'!AW29</f>
        <v>80.322880792717896</v>
      </c>
      <c r="AZ74" s="83">
        <f>('Fuel Consumption'!AZ77 - 'Fuel Consumption'!AZ74) * '2.5 Emission factors'!AX29</f>
        <v>79.256989733596157</v>
      </c>
    </row>
    <row r="75" spans="4:80">
      <c r="E75" s="5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row>
    <row r="76" spans="4:80">
      <c r="D76" s="38" t="s">
        <v>764</v>
      </c>
      <c r="E76" s="55"/>
      <c r="Q76" s="75"/>
      <c r="R76" s="75"/>
      <c r="S76" s="75"/>
      <c r="T76" s="75"/>
      <c r="U76" s="75"/>
      <c r="V76" s="75"/>
      <c r="W76" s="75"/>
      <c r="X76" s="75"/>
      <c r="Y76" s="75"/>
      <c r="Z76" s="75"/>
      <c r="AA76" s="75"/>
      <c r="AB76" s="75"/>
      <c r="AC76" s="75"/>
      <c r="AD76" s="75"/>
      <c r="AE76" s="75"/>
      <c r="AF76" s="75"/>
      <c r="AG76" s="75"/>
      <c r="AH76" s="75"/>
      <c r="AI76" s="75"/>
      <c r="AJ76" s="75"/>
      <c r="AK76" s="75"/>
      <c r="AL76" s="75"/>
      <c r="AM76" s="75"/>
      <c r="AN76" s="75"/>
      <c r="AO76" s="75"/>
      <c r="AP76" s="75"/>
      <c r="AQ76" s="75"/>
      <c r="AR76" s="75"/>
      <c r="AS76" s="75"/>
      <c r="AT76" s="75"/>
      <c r="AU76" s="75"/>
      <c r="AV76" s="75"/>
      <c r="AW76" s="75"/>
      <c r="AX76" s="75"/>
      <c r="AY76" s="75"/>
      <c r="AZ76" s="75"/>
    </row>
    <row r="77" spans="4:80">
      <c r="E77" s="55"/>
      <c r="Q77" s="75"/>
      <c r="R77" s="75"/>
      <c r="S77" s="75"/>
      <c r="T77" s="75"/>
      <c r="U77" s="75"/>
      <c r="V77" s="75"/>
      <c r="W77" s="75"/>
      <c r="X77" s="75"/>
      <c r="Y77" s="75"/>
      <c r="Z77" s="75"/>
      <c r="AA77" s="75"/>
      <c r="AB77" s="75"/>
      <c r="AC77" s="75"/>
      <c r="AD77" s="75"/>
      <c r="AE77" s="75"/>
      <c r="AF77" s="75"/>
      <c r="AG77" s="75"/>
      <c r="AH77" s="75"/>
      <c r="AI77" s="75"/>
      <c r="AJ77" s="75"/>
      <c r="AK77" s="75"/>
      <c r="AL77" s="75"/>
      <c r="AM77" s="75"/>
      <c r="AN77" s="75"/>
      <c r="AO77" s="75"/>
      <c r="AP77" s="75"/>
      <c r="AQ77" s="75"/>
      <c r="AR77" s="75"/>
      <c r="AS77" s="75"/>
      <c r="AT77" s="75"/>
      <c r="AU77" s="75"/>
      <c r="AV77" s="75"/>
      <c r="AW77" s="75"/>
      <c r="AX77" s="75"/>
      <c r="AY77" s="75"/>
      <c r="AZ77" s="75"/>
    </row>
    <row r="78" spans="4:80">
      <c r="E78" s="55" t="s">
        <v>775</v>
      </c>
      <c r="I78" s="98"/>
      <c r="K78" s="98"/>
      <c r="M78" s="98"/>
      <c r="O78" s="98"/>
      <c r="Q78" s="99">
        <f>SUMIFS(Q$69:Q$74,$G$69:$G$74,$E78:$E80)</f>
        <v>0</v>
      </c>
      <c r="R78" s="99">
        <f t="shared" ref="R78:AZ78" si="13">SUMIFS(R$69:R$74,$G$69:$G$74,$E78:$E80)</f>
        <v>0</v>
      </c>
      <c r="S78" s="99">
        <f t="shared" si="13"/>
        <v>0</v>
      </c>
      <c r="T78" s="99">
        <f t="shared" si="13"/>
        <v>0</v>
      </c>
      <c r="U78" s="99">
        <f t="shared" si="13"/>
        <v>0</v>
      </c>
      <c r="V78" s="99">
        <f t="shared" si="13"/>
        <v>0</v>
      </c>
      <c r="W78" s="99">
        <f t="shared" si="13"/>
        <v>0</v>
      </c>
      <c r="X78" s="99">
        <f t="shared" si="13"/>
        <v>0</v>
      </c>
      <c r="Y78" s="99">
        <f t="shared" si="13"/>
        <v>0</v>
      </c>
      <c r="Z78" s="99">
        <f t="shared" si="13"/>
        <v>0</v>
      </c>
      <c r="AA78" s="99">
        <f t="shared" si="13"/>
        <v>0</v>
      </c>
      <c r="AB78" s="99">
        <f t="shared" si="13"/>
        <v>0</v>
      </c>
      <c r="AC78" s="99">
        <f t="shared" si="13"/>
        <v>0</v>
      </c>
      <c r="AD78" s="99">
        <f t="shared" si="13"/>
        <v>0</v>
      </c>
      <c r="AE78" s="99">
        <f t="shared" si="13"/>
        <v>0</v>
      </c>
      <c r="AF78" s="99">
        <f t="shared" si="13"/>
        <v>0</v>
      </c>
      <c r="AG78" s="99">
        <f t="shared" si="13"/>
        <v>0</v>
      </c>
      <c r="AH78" s="99">
        <f t="shared" si="13"/>
        <v>0</v>
      </c>
      <c r="AI78" s="99">
        <f t="shared" si="13"/>
        <v>0</v>
      </c>
      <c r="AJ78" s="99">
        <f t="shared" si="13"/>
        <v>0</v>
      </c>
      <c r="AK78" s="99">
        <f t="shared" si="13"/>
        <v>0</v>
      </c>
      <c r="AL78" s="99">
        <f t="shared" si="13"/>
        <v>0</v>
      </c>
      <c r="AM78" s="99">
        <f t="shared" si="13"/>
        <v>0</v>
      </c>
      <c r="AN78" s="99">
        <f t="shared" si="13"/>
        <v>0</v>
      </c>
      <c r="AO78" s="99">
        <f t="shared" si="13"/>
        <v>0</v>
      </c>
      <c r="AP78" s="99">
        <f t="shared" si="13"/>
        <v>0</v>
      </c>
      <c r="AQ78" s="99">
        <f t="shared" si="13"/>
        <v>0</v>
      </c>
      <c r="AR78" s="99">
        <f t="shared" si="13"/>
        <v>0</v>
      </c>
      <c r="AS78" s="99">
        <f t="shared" si="13"/>
        <v>0</v>
      </c>
      <c r="AT78" s="99">
        <f t="shared" si="13"/>
        <v>0</v>
      </c>
      <c r="AU78" s="99">
        <f t="shared" si="13"/>
        <v>0</v>
      </c>
      <c r="AV78" s="99">
        <f t="shared" si="13"/>
        <v>0</v>
      </c>
      <c r="AW78" s="99">
        <f t="shared" si="13"/>
        <v>0</v>
      </c>
      <c r="AX78" s="99">
        <f t="shared" si="13"/>
        <v>0</v>
      </c>
      <c r="AY78" s="99">
        <f t="shared" si="13"/>
        <v>0</v>
      </c>
      <c r="AZ78" s="99">
        <f t="shared" si="13"/>
        <v>0</v>
      </c>
    </row>
    <row r="79" spans="4:80">
      <c r="E79" s="55" t="s">
        <v>210</v>
      </c>
      <c r="I79" s="98"/>
      <c r="K79" s="98"/>
      <c r="M79" s="98"/>
      <c r="O79" s="98"/>
      <c r="Q79" s="99">
        <f>SUMIFS(Q$69:Q$74,$G$69:$G$74,$E79)</f>
        <v>4195.3931344826906</v>
      </c>
      <c r="R79" s="99">
        <f t="shared" ref="R79:Z80" si="14">SUMIFS(R$69:R$74,$G$69:$G$74,$E79)</f>
        <v>3363.9759741643065</v>
      </c>
      <c r="S79" s="99">
        <f t="shared" si="14"/>
        <v>3018.949426117505</v>
      </c>
      <c r="T79" s="99">
        <f t="shared" si="14"/>
        <v>2817.4575505423209</v>
      </c>
      <c r="U79" s="99">
        <f t="shared" si="14"/>
        <v>2516.638032410965</v>
      </c>
      <c r="V79" s="99">
        <f t="shared" si="14"/>
        <v>1897.000611293819</v>
      </c>
      <c r="W79" s="99">
        <f t="shared" si="14"/>
        <v>1773.1706536569584</v>
      </c>
      <c r="X79" s="99">
        <f t="shared" si="14"/>
        <v>1659.965654784781</v>
      </c>
      <c r="Y79" s="99">
        <f t="shared" si="14"/>
        <v>1588.41330708078</v>
      </c>
      <c r="Z79" s="99">
        <f t="shared" si="14"/>
        <v>1721.9996374352588</v>
      </c>
      <c r="AA79" s="99">
        <f t="shared" ref="AA79:AJ80" si="15">SUMIFS(AA$69:AA$74,$G$69:$G$74,$E79)</f>
        <v>1442.0786232282348</v>
      </c>
      <c r="AB79" s="99">
        <f t="shared" si="15"/>
        <v>1048.5500954384759</v>
      </c>
      <c r="AC79" s="99">
        <f t="shared" si="15"/>
        <v>853.30867059938885</v>
      </c>
      <c r="AD79" s="99">
        <f t="shared" si="15"/>
        <v>773.62965977524277</v>
      </c>
      <c r="AE79" s="99">
        <f t="shared" si="15"/>
        <v>707.74460036280459</v>
      </c>
      <c r="AF79" s="99">
        <f t="shared" si="15"/>
        <v>546.88269106870428</v>
      </c>
      <c r="AG79" s="99">
        <f t="shared" si="15"/>
        <v>435.13184320828987</v>
      </c>
      <c r="AH79" s="99">
        <f t="shared" si="15"/>
        <v>377.81666441546741</v>
      </c>
      <c r="AI79" s="99">
        <f t="shared" si="15"/>
        <v>329.57861039592649</v>
      </c>
      <c r="AJ79" s="99">
        <f t="shared" si="15"/>
        <v>300.5152030411225</v>
      </c>
      <c r="AK79" s="99">
        <f t="shared" ref="AK79:AT80" si="16">SUMIFS(AK$69:AK$74,$G$69:$G$74,$E79)</f>
        <v>269.26500118654138</v>
      </c>
      <c r="AL79" s="99">
        <f t="shared" si="16"/>
        <v>223.86579546483955</v>
      </c>
      <c r="AM79" s="99">
        <f t="shared" si="16"/>
        <v>200.08646246561068</v>
      </c>
      <c r="AN79" s="99">
        <f t="shared" si="16"/>
        <v>196.3632364447009</v>
      </c>
      <c r="AO79" s="99">
        <f t="shared" si="16"/>
        <v>186.7695901188759</v>
      </c>
      <c r="AP79" s="99">
        <f t="shared" si="16"/>
        <v>169.99272157278588</v>
      </c>
      <c r="AQ79" s="99">
        <f t="shared" si="16"/>
        <v>141.72819443713425</v>
      </c>
      <c r="AR79" s="99">
        <f t="shared" si="16"/>
        <v>135.07276120298872</v>
      </c>
      <c r="AS79" s="99">
        <f t="shared" si="16"/>
        <v>132.86685210160678</v>
      </c>
      <c r="AT79" s="99">
        <f t="shared" si="16"/>
        <v>125.39488882318793</v>
      </c>
      <c r="AU79" s="99">
        <f t="shared" ref="AU79:AZ80" si="17">SUMIFS(AU$69:AU$74,$G$69:$G$74,$E79)</f>
        <v>106.92217191210797</v>
      </c>
      <c r="AV79" s="99">
        <f t="shared" si="17"/>
        <v>97.467341669792418</v>
      </c>
      <c r="AW79" s="99">
        <f t="shared" si="17"/>
        <v>90.228474628110007</v>
      </c>
      <c r="AX79" s="99">
        <f t="shared" si="17"/>
        <v>85.977137077270143</v>
      </c>
      <c r="AY79" s="99">
        <f t="shared" si="17"/>
        <v>80.322880792717896</v>
      </c>
      <c r="AZ79" s="99">
        <f t="shared" si="17"/>
        <v>79.256989733596157</v>
      </c>
    </row>
    <row r="80" spans="4:80">
      <c r="E80" s="55" t="s">
        <v>188</v>
      </c>
      <c r="I80" s="98"/>
      <c r="K80" s="98"/>
      <c r="M80" s="98"/>
      <c r="O80" s="98"/>
      <c r="Q80" s="99">
        <f>SUMIFS(Q$69:Q$74,$G$69:$G$74,$E80)</f>
        <v>0</v>
      </c>
      <c r="R80" s="99">
        <f t="shared" si="14"/>
        <v>0</v>
      </c>
      <c r="S80" s="99">
        <f t="shared" si="14"/>
        <v>0</v>
      </c>
      <c r="T80" s="99">
        <f t="shared" si="14"/>
        <v>0</v>
      </c>
      <c r="U80" s="99">
        <f t="shared" si="14"/>
        <v>0</v>
      </c>
      <c r="V80" s="99">
        <f t="shared" si="14"/>
        <v>0</v>
      </c>
      <c r="W80" s="99">
        <f t="shared" si="14"/>
        <v>0</v>
      </c>
      <c r="X80" s="99">
        <f t="shared" si="14"/>
        <v>0</v>
      </c>
      <c r="Y80" s="99">
        <f t="shared" si="14"/>
        <v>0</v>
      </c>
      <c r="Z80" s="99">
        <f t="shared" si="14"/>
        <v>0</v>
      </c>
      <c r="AA80" s="99">
        <f t="shared" si="15"/>
        <v>0</v>
      </c>
      <c r="AB80" s="99">
        <f t="shared" si="15"/>
        <v>0</v>
      </c>
      <c r="AC80" s="99">
        <f t="shared" si="15"/>
        <v>0</v>
      </c>
      <c r="AD80" s="99">
        <f t="shared" si="15"/>
        <v>0</v>
      </c>
      <c r="AE80" s="99">
        <f t="shared" si="15"/>
        <v>0</v>
      </c>
      <c r="AF80" s="99">
        <f t="shared" si="15"/>
        <v>0</v>
      </c>
      <c r="AG80" s="99">
        <f t="shared" si="15"/>
        <v>0</v>
      </c>
      <c r="AH80" s="99">
        <f t="shared" si="15"/>
        <v>0</v>
      </c>
      <c r="AI80" s="99">
        <f t="shared" si="15"/>
        <v>0</v>
      </c>
      <c r="AJ80" s="99">
        <f t="shared" si="15"/>
        <v>0</v>
      </c>
      <c r="AK80" s="99">
        <f t="shared" si="16"/>
        <v>0</v>
      </c>
      <c r="AL80" s="99">
        <f t="shared" si="16"/>
        <v>0</v>
      </c>
      <c r="AM80" s="99">
        <f t="shared" si="16"/>
        <v>0</v>
      </c>
      <c r="AN80" s="99">
        <f t="shared" si="16"/>
        <v>0</v>
      </c>
      <c r="AO80" s="99">
        <f t="shared" si="16"/>
        <v>0</v>
      </c>
      <c r="AP80" s="99">
        <f t="shared" si="16"/>
        <v>0</v>
      </c>
      <c r="AQ80" s="99">
        <f t="shared" si="16"/>
        <v>0</v>
      </c>
      <c r="AR80" s="99">
        <f t="shared" si="16"/>
        <v>0</v>
      </c>
      <c r="AS80" s="99">
        <f t="shared" si="16"/>
        <v>0</v>
      </c>
      <c r="AT80" s="99">
        <f t="shared" si="16"/>
        <v>0</v>
      </c>
      <c r="AU80" s="99">
        <f t="shared" si="17"/>
        <v>0</v>
      </c>
      <c r="AV80" s="99">
        <f t="shared" si="17"/>
        <v>0</v>
      </c>
      <c r="AW80" s="99">
        <f t="shared" si="17"/>
        <v>0</v>
      </c>
      <c r="AX80" s="99">
        <f t="shared" si="17"/>
        <v>0</v>
      </c>
      <c r="AY80" s="99">
        <f t="shared" si="17"/>
        <v>0</v>
      </c>
      <c r="AZ80" s="99">
        <f t="shared" si="17"/>
        <v>0</v>
      </c>
    </row>
    <row r="82" spans="2:52" s="93" customFormat="1">
      <c r="B82" s="93" t="s">
        <v>222</v>
      </c>
      <c r="G82" s="101"/>
      <c r="Q82" s="94"/>
      <c r="R82" s="94"/>
      <c r="S82" s="94"/>
      <c r="T82" s="94"/>
      <c r="U82" s="94"/>
      <c r="V82" s="94"/>
      <c r="W82" s="94"/>
      <c r="X82" s="94"/>
      <c r="Y82" s="94"/>
      <c r="Z82" s="94"/>
      <c r="AA82" s="94"/>
      <c r="AB82" s="94"/>
      <c r="AC82" s="94"/>
      <c r="AD82" s="94"/>
      <c r="AE82" s="94"/>
      <c r="AF82" s="94"/>
      <c r="AG82" s="94"/>
      <c r="AH82" s="94"/>
      <c r="AI82" s="94"/>
      <c r="AJ82" s="94"/>
      <c r="AK82" s="94"/>
      <c r="AL82" s="94"/>
      <c r="AM82" s="94"/>
      <c r="AN82" s="94"/>
      <c r="AO82" s="94"/>
      <c r="AP82" s="94"/>
      <c r="AQ82" s="94"/>
      <c r="AR82" s="94"/>
      <c r="AS82" s="94"/>
      <c r="AT82" s="94"/>
      <c r="AU82" s="94"/>
      <c r="AV82" s="94"/>
      <c r="AW82" s="94"/>
      <c r="AX82" s="94"/>
      <c r="AY82" s="94"/>
      <c r="AZ82" s="94"/>
    </row>
    <row r="83" spans="2:52">
      <c r="G83" s="55"/>
    </row>
    <row r="84" spans="2:52" s="95" customFormat="1">
      <c r="B84" s="95" t="s">
        <v>1379</v>
      </c>
      <c r="G84" s="102"/>
      <c r="Q84" s="96"/>
      <c r="R84" s="96"/>
      <c r="S84" s="96"/>
      <c r="T84" s="96"/>
      <c r="U84" s="96"/>
      <c r="V84" s="96"/>
      <c r="W84" s="96"/>
      <c r="X84" s="96"/>
      <c r="Y84" s="96"/>
      <c r="Z84" s="96"/>
      <c r="AA84" s="96"/>
      <c r="AB84" s="96"/>
      <c r="AC84" s="96"/>
      <c r="AD84" s="96"/>
      <c r="AE84" s="96"/>
      <c r="AF84" s="96"/>
      <c r="AG84" s="96"/>
      <c r="AH84" s="96"/>
      <c r="AI84" s="96"/>
      <c r="AJ84" s="96"/>
      <c r="AK84" s="96"/>
      <c r="AL84" s="96"/>
      <c r="AM84" s="96"/>
      <c r="AN84" s="96"/>
      <c r="AO84" s="96"/>
      <c r="AP84" s="96"/>
      <c r="AQ84" s="96"/>
      <c r="AR84" s="96"/>
      <c r="AS84" s="96"/>
      <c r="AT84" s="96"/>
      <c r="AU84" s="96"/>
      <c r="AV84" s="96"/>
      <c r="AW84" s="96"/>
      <c r="AX84" s="96"/>
      <c r="AY84" s="96"/>
      <c r="AZ84" s="96"/>
    </row>
    <row r="85" spans="2:52" ht="15.75" customHeight="1">
      <c r="E85" s="73"/>
      <c r="G85" s="55"/>
      <c r="M85" s="65"/>
      <c r="N85" s="65"/>
      <c r="O85" s="65"/>
      <c r="P85" s="65"/>
      <c r="Q85" s="65"/>
      <c r="R85" s="65"/>
      <c r="S85" s="65"/>
      <c r="T85" s="65"/>
      <c r="U85" s="65"/>
      <c r="V85" s="65"/>
      <c r="W85" s="65"/>
      <c r="X85" s="65"/>
      <c r="Y85" s="65"/>
      <c r="Z85" s="65"/>
      <c r="AA85" s="65"/>
      <c r="AB85" s="65"/>
      <c r="AC85" s="65"/>
      <c r="AD85" s="65"/>
      <c r="AE85" s="65"/>
      <c r="AF85" s="65"/>
      <c r="AG85" s="65"/>
      <c r="AH85" s="65"/>
      <c r="AI85" s="65"/>
      <c r="AJ85" s="65"/>
      <c r="AK85" s="65"/>
      <c r="AL85" s="65"/>
      <c r="AM85" s="65"/>
      <c r="AN85" s="65"/>
      <c r="AO85" s="65"/>
      <c r="AP85" s="65"/>
      <c r="AQ85" s="65"/>
      <c r="AR85" s="65"/>
      <c r="AS85" s="65"/>
      <c r="AT85" s="65"/>
      <c r="AU85" s="65"/>
      <c r="AV85" s="65"/>
    </row>
    <row r="86" spans="2:52" ht="15.75" customHeight="1">
      <c r="E86" s="38" t="s">
        <v>157</v>
      </c>
      <c r="G86" s="55" t="s">
        <v>210</v>
      </c>
      <c r="I86" s="98"/>
      <c r="K86" s="98"/>
      <c r="M86" s="98"/>
      <c r="O86" s="98"/>
      <c r="Q86" s="83">
        <f>'Fuel Consumption'!Q84 * '2.5 Emission factors'!O29</f>
        <v>0</v>
      </c>
      <c r="R86" s="83">
        <f>'Fuel Consumption'!R84 * '2.5 Emission factors'!P29</f>
        <v>2.9968788810165073E-3</v>
      </c>
      <c r="S86" s="83">
        <f>'Fuel Consumption'!S84 * '2.5 Emission factors'!Q29</f>
        <v>1.0710544970924288E-2</v>
      </c>
      <c r="T86" s="83">
        <f>'Fuel Consumption'!T84 * '2.5 Emission factors'!R29</f>
        <v>2.2391907467097218E-2</v>
      </c>
      <c r="U86" s="83">
        <f>'Fuel Consumption'!U84 * '2.5 Emission factors'!S29</f>
        <v>3.5492684589841152E-2</v>
      </c>
      <c r="V86" s="83">
        <f>'Fuel Consumption'!V84 * '2.5 Emission factors'!T29</f>
        <v>4.1526196075665732E-2</v>
      </c>
      <c r="W86" s="83">
        <f>'Fuel Consumption'!W84 * '2.5 Emission factors'!U29</f>
        <v>5.5785450851194331E-2</v>
      </c>
      <c r="X86" s="83">
        <f>'Fuel Consumption'!X84 * '2.5 Emission factors'!V29</f>
        <v>7.0942859488251561E-2</v>
      </c>
      <c r="Y86" s="83">
        <f>'Fuel Consumption'!Y84 * '2.5 Emission factors'!W29</f>
        <v>8.888302617632686E-2</v>
      </c>
      <c r="Z86" s="83">
        <f>'Fuel Consumption'!Z84 * '2.5 Emission factors'!X29</f>
        <v>0.12273997341106896</v>
      </c>
      <c r="AA86" s="83">
        <f>'Fuel Consumption'!AA84 * '2.5 Emission factors'!Y29</f>
        <v>0.12816191109902123</v>
      </c>
      <c r="AB86" s="83">
        <f>'Fuel Consumption'!AB84 * '2.5 Emission factors'!Z29</f>
        <v>0.13883919730758287</v>
      </c>
      <c r="AC86" s="83">
        <f>'Fuel Consumption'!AC84 * '2.5 Emission factors'!AA29</f>
        <v>0.15162262465217349</v>
      </c>
      <c r="AD86" s="83">
        <f>'Fuel Consumption'!AD84 * '2.5 Emission factors'!AB29</f>
        <v>0.17416545203358086</v>
      </c>
      <c r="AE86" s="83">
        <f>'Fuel Consumption'!AE84 * '2.5 Emission factors'!AC29</f>
        <v>0.19487527519721209</v>
      </c>
      <c r="AF86" s="83">
        <f>'Fuel Consumption'!AF84 * '2.5 Emission factors'!AD29</f>
        <v>0.1799116157162805</v>
      </c>
      <c r="AG86" s="83">
        <f>'Fuel Consumption'!AG84 * '2.5 Emission factors'!AE29</f>
        <v>0.1624742323930862</v>
      </c>
      <c r="AH86" s="83">
        <f>'Fuel Consumption'!AH84 * '2.5 Emission factors'!AF29</f>
        <v>0.15771641220469648</v>
      </c>
      <c r="AI86" s="83">
        <f>'Fuel Consumption'!AI84 * '2.5 Emission factors'!AG29</f>
        <v>0.15198057215965885</v>
      </c>
      <c r="AJ86" s="83">
        <f>'Fuel Consumption'!AJ84 * '2.5 Emission factors'!AH29</f>
        <v>0.15160338569866502</v>
      </c>
      <c r="AK86" s="83">
        <f>'Fuel Consumption'!AK84 * '2.5 Emission factors'!AI29</f>
        <v>0.14740888225748053</v>
      </c>
      <c r="AL86" s="83">
        <f>'Fuel Consumption'!AL84 * '2.5 Emission factors'!AJ29</f>
        <v>0.13200458807124926</v>
      </c>
      <c r="AM86" s="83">
        <f>'Fuel Consumption'!AM84 * '2.5 Emission factors'!AK29</f>
        <v>0.12636661169197835</v>
      </c>
      <c r="AN86" s="83">
        <f>'Fuel Consumption'!AN84 * '2.5 Emission factors'!AL29</f>
        <v>0.13218379429647378</v>
      </c>
      <c r="AO86" s="83">
        <f>'Fuel Consumption'!AO84 * '2.5 Emission factors'!AM29</f>
        <v>0.1334402663822758</v>
      </c>
      <c r="AP86" s="83">
        <f>'Fuel Consumption'!AP84 * '2.5 Emission factors'!AN29</f>
        <v>0.12842604668354196</v>
      </c>
      <c r="AQ86" s="83">
        <f>'Fuel Consumption'!AQ84 * '2.5 Emission factors'!AO29</f>
        <v>0.112845057410521</v>
      </c>
      <c r="AR86" s="83">
        <f>'Fuel Consumption'!AR84 * '2.5 Emission factors'!AP29</f>
        <v>0.11300857116244035</v>
      </c>
      <c r="AS86" s="83">
        <f>'Fuel Consumption'!AS84 * '2.5 Emission factors'!AQ29</f>
        <v>0.11649844902691454</v>
      </c>
      <c r="AT86" s="83">
        <f>'Fuel Consumption'!AT84 * '2.5 Emission factors'!AR29</f>
        <v>0.11494644890853353</v>
      </c>
      <c r="AU86" s="83">
        <f>'Fuel Consumption'!AU84 * '2.5 Emission factors'!AS29</f>
        <v>0.10224506858407538</v>
      </c>
      <c r="AV86" s="83">
        <f>'Fuel Consumption'!AV84 * '2.5 Emission factors'!AT29</f>
        <v>9.7033313939731899E-2</v>
      </c>
      <c r="AW86" s="83">
        <f>'Fuel Consumption'!AW84 * '2.5 Emission factors'!AU29</f>
        <v>9.3345174482219156E-2</v>
      </c>
      <c r="AX86" s="83">
        <f>'Fuel Consumption'!AX84 * '2.5 Emission factors'!AV29</f>
        <v>9.2274016177400983E-2</v>
      </c>
      <c r="AY86" s="83">
        <f>'Fuel Consumption'!AY84 * '2.5 Emission factors'!AW29</f>
        <v>8.9289517465266532E-2</v>
      </c>
      <c r="AZ86" s="83">
        <f>'Fuel Consumption'!AZ84 * '2.5 Emission factors'!AX29</f>
        <v>9.1123146653431714E-2</v>
      </c>
    </row>
    <row r="87" spans="2:52" ht="15" customHeight="1">
      <c r="E87" s="38" t="s">
        <v>722</v>
      </c>
      <c r="G87" s="38" t="s">
        <v>210</v>
      </c>
      <c r="I87" s="98"/>
      <c r="K87" s="98"/>
      <c r="M87" s="98"/>
      <c r="O87" s="98"/>
      <c r="Q87" s="83">
        <f>'Fuel Consumption'!Q85 * '2.5 Emission factors'!O29</f>
        <v>233.41248359932212</v>
      </c>
      <c r="R87" s="83">
        <f>'Fuel Consumption'!R85 * '2.5 Emission factors'!P29</f>
        <v>188.38454310700041</v>
      </c>
      <c r="S87" s="83">
        <f>'Fuel Consumption'!S85 * '2.5 Emission factors'!Q29</f>
        <v>170.25481807746641</v>
      </c>
      <c r="T87" s="83">
        <f>'Fuel Consumption'!T85 * '2.5 Emission factors'!R29</f>
        <v>160.00443487211956</v>
      </c>
      <c r="U87" s="83">
        <f>'Fuel Consumption'!U85 * '2.5 Emission factors'!S29</f>
        <v>144.2787410488817</v>
      </c>
      <c r="V87" s="83">
        <f>'Fuel Consumption'!V85 * '2.5 Emission factors'!T29</f>
        <v>109.25231788593381</v>
      </c>
      <c r="W87" s="83">
        <f>'Fuel Consumption'!W85 * '2.5 Emission factors'!U29</f>
        <v>103.06176241650442</v>
      </c>
      <c r="X87" s="83">
        <f>'Fuel Consumption'!X85 * '2.5 Emission factors'!V29</f>
        <v>97.361763072212611</v>
      </c>
      <c r="Y87" s="83">
        <f>'Fuel Consumption'!Y85 * '2.5 Emission factors'!W29</f>
        <v>94.423047132740763</v>
      </c>
      <c r="Z87" s="83">
        <f>'Fuel Consumption'!Z85 * '2.5 Emission factors'!X29</f>
        <v>104.15272548269144</v>
      </c>
      <c r="AA87" s="83">
        <f>'Fuel Consumption'!AA85 * '2.5 Emission factors'!Y29</f>
        <v>89.048526901901838</v>
      </c>
      <c r="AB87" s="83">
        <f>'Fuel Consumption'!AB85 * '2.5 Emission factors'!Z29</f>
        <v>67.11275537367456</v>
      </c>
      <c r="AC87" s="83">
        <f>'Fuel Consumption'!AC85 * '2.5 Emission factors'!AA29</f>
        <v>56.761055864296161</v>
      </c>
      <c r="AD87" s="83">
        <f>'Fuel Consumption'!AD85 * '2.5 Emission factors'!AB29</f>
        <v>53.616844891482756</v>
      </c>
      <c r="AE87" s="83">
        <f>'Fuel Consumption'!AE85 * '2.5 Emission factors'!AC29</f>
        <v>51.262790236565344</v>
      </c>
      <c r="AF87" s="83">
        <f>'Fuel Consumption'!AF85 * '2.5 Emission factors'!AD29</f>
        <v>41.529948046785897</v>
      </c>
      <c r="AG87" s="83">
        <f>'Fuel Consumption'!AG85 * '2.5 Emission factors'!AE29</f>
        <v>33.559400228496429</v>
      </c>
      <c r="AH87" s="83">
        <f>'Fuel Consumption'!AH85 * '2.5 Emission factors'!AF29</f>
        <v>29.587181871766308</v>
      </c>
      <c r="AI87" s="83">
        <f>'Fuel Consumption'!AI85 * '2.5 Emission factors'!AG29</f>
        <v>26.200382382416443</v>
      </c>
      <c r="AJ87" s="83">
        <f>'Fuel Consumption'!AJ85 * '2.5 Emission factors'!AH29</f>
        <v>24.245643829757466</v>
      </c>
      <c r="AK87" s="83">
        <f>'Fuel Consumption'!AK85 * '2.5 Emission factors'!AI29</f>
        <v>22.041351316875001</v>
      </c>
      <c r="AL87" s="83">
        <f>'Fuel Consumption'!AL85 * '2.5 Emission factors'!AJ29</f>
        <v>18.574797685053436</v>
      </c>
      <c r="AM87" s="83">
        <f>'Fuel Consumption'!AM85 * '2.5 Emission factors'!AK29</f>
        <v>16.826270123526214</v>
      </c>
      <c r="AN87" s="83">
        <f>'Fuel Consumption'!AN85 * '2.5 Emission factors'!AL29</f>
        <v>16.734490458743434</v>
      </c>
      <c r="AO87" s="83">
        <f>'Fuel Consumption'!AO85 * '2.5 Emission factors'!AM29</f>
        <v>16.128088236513481</v>
      </c>
      <c r="AP87" s="83">
        <f>'Fuel Consumption'!AP85 * '2.5 Emission factors'!AN29</f>
        <v>14.871975592191461</v>
      </c>
      <c r="AQ87" s="83">
        <f>'Fuel Consumption'!AQ85 * '2.5 Emission factors'!AO29</f>
        <v>12.559987657299059</v>
      </c>
      <c r="AR87" s="83">
        <f>'Fuel Consumption'!AR85 * '2.5 Emission factors'!AP29</f>
        <v>12.123412726758763</v>
      </c>
      <c r="AS87" s="83">
        <f>'Fuel Consumption'!AS85 * '2.5 Emission factors'!AQ29</f>
        <v>12.076040506638494</v>
      </c>
      <c r="AT87" s="83">
        <f>'Fuel Consumption'!AT85 * '2.5 Emission factors'!AR29</f>
        <v>11.538857502787051</v>
      </c>
      <c r="AU87" s="83">
        <f>'Fuel Consumption'!AU85 * '2.5 Emission factors'!AS29</f>
        <v>9.9597419508001792</v>
      </c>
      <c r="AV87" s="83">
        <f>'Fuel Consumption'!AV85 * '2.5 Emission factors'!AT29</f>
        <v>9.1887708734044438</v>
      </c>
      <c r="AW87" s="83">
        <f>'Fuel Consumption'!AW85 * '2.5 Emission factors'!AU29</f>
        <v>8.6075432413225492</v>
      </c>
      <c r="AX87" s="83">
        <f>'Fuel Consumption'!AX85 * '2.5 Emission factors'!AV29</f>
        <v>8.2980126871198756</v>
      </c>
      <c r="AY87" s="83">
        <f>'Fuel Consumption'!AY85 * '2.5 Emission factors'!AW29</f>
        <v>7.8415740943656722</v>
      </c>
      <c r="AZ87" s="83">
        <f>'Fuel Consumption'!AZ85 * '2.5 Emission factors'!AX29</f>
        <v>7.8251208086229278</v>
      </c>
    </row>
    <row r="88" spans="2:52">
      <c r="E88" s="73"/>
      <c r="G88" s="55"/>
    </row>
    <row r="89" spans="2:52" ht="35.1" customHeight="1">
      <c r="E89" s="73" t="s">
        <v>174</v>
      </c>
      <c r="G89" s="55"/>
      <c r="Q89" s="69">
        <f>SUM(Q86:Q87,Q78:Q80,Q63:Q65,Q43:Q46,Q23:Q26)</f>
        <v>10833.077837124281</v>
      </c>
    </row>
    <row r="90" spans="2:52">
      <c r="E90" s="73"/>
      <c r="G90" s="55"/>
      <c r="Q90" s="69"/>
      <c r="R90" s="69"/>
      <c r="S90" s="69"/>
      <c r="T90" s="69"/>
      <c r="U90" s="69"/>
      <c r="V90" s="69"/>
      <c r="W90" s="69"/>
      <c r="X90" s="69"/>
      <c r="Y90" s="69"/>
      <c r="Z90" s="69"/>
      <c r="AA90" s="69"/>
      <c r="AB90" s="69"/>
      <c r="AC90" s="69"/>
      <c r="AD90" s="69"/>
      <c r="AE90" s="69"/>
      <c r="AF90" s="69"/>
      <c r="AG90" s="69"/>
      <c r="AH90" s="69"/>
      <c r="AI90" s="69"/>
      <c r="AJ90" s="69"/>
      <c r="AK90" s="69"/>
      <c r="AL90" s="69"/>
      <c r="AM90" s="69"/>
      <c r="AN90" s="69"/>
      <c r="AO90" s="69"/>
      <c r="AP90" s="69"/>
      <c r="AQ90" s="69"/>
      <c r="AR90" s="69"/>
      <c r="AS90" s="69"/>
      <c r="AT90" s="69"/>
      <c r="AU90" s="69"/>
      <c r="AV90" s="69"/>
      <c r="AW90" s="69"/>
      <c r="AX90" s="69"/>
      <c r="AY90" s="69"/>
      <c r="AZ90" s="69"/>
    </row>
    <row r="91" spans="2:52">
      <c r="E91" s="73"/>
      <c r="G91" s="55"/>
      <c r="Q91" s="39"/>
      <c r="R91" s="39"/>
      <c r="S91" s="39"/>
      <c r="T91" s="39"/>
      <c r="U91" s="39"/>
      <c r="V91" s="39"/>
      <c r="W91" s="39"/>
      <c r="X91" s="39"/>
      <c r="Y91" s="39"/>
      <c r="Z91" s="39"/>
      <c r="AA91" s="39"/>
      <c r="AB91" s="39"/>
      <c r="AC91" s="39"/>
      <c r="AD91" s="39"/>
      <c r="AE91" s="39"/>
      <c r="AF91" s="39"/>
      <c r="AG91" s="39"/>
      <c r="AH91" s="39"/>
      <c r="AI91" s="39"/>
      <c r="AJ91" s="39"/>
      <c r="AK91" s="39"/>
      <c r="AL91" s="39"/>
      <c r="AM91" s="39"/>
      <c r="AN91" s="39"/>
      <c r="AO91" s="39"/>
      <c r="AP91" s="39"/>
      <c r="AQ91" s="39"/>
      <c r="AR91" s="39"/>
      <c r="AS91" s="39"/>
      <c r="AT91" s="39"/>
      <c r="AU91" s="39"/>
      <c r="AV91" s="39"/>
      <c r="AW91" s="39"/>
      <c r="AX91" s="39"/>
      <c r="AY91" s="39"/>
      <c r="AZ91" s="39"/>
    </row>
    <row r="92" spans="2:52">
      <c r="E92" s="73"/>
      <c r="G92" s="55"/>
      <c r="K92" s="56"/>
      <c r="L92" s="56"/>
      <c r="M92" s="56"/>
      <c r="N92" s="56"/>
      <c r="O92" s="56"/>
      <c r="P92" s="56"/>
      <c r="Q92" s="56"/>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56"/>
      <c r="AS92" s="56"/>
      <c r="AT92" s="56"/>
      <c r="AU92" s="56"/>
      <c r="AV92" s="56"/>
    </row>
    <row r="93" spans="2:52">
      <c r="E93" s="73"/>
      <c r="G93" s="55"/>
      <c r="Q93" s="69"/>
      <c r="R93" s="69"/>
      <c r="S93" s="69"/>
      <c r="T93" s="69"/>
      <c r="U93" s="69"/>
      <c r="V93" s="69"/>
      <c r="W93" s="69"/>
      <c r="X93" s="69"/>
      <c r="Y93" s="69"/>
      <c r="Z93" s="69"/>
      <c r="AA93" s="69"/>
      <c r="AB93" s="69"/>
      <c r="AC93" s="69"/>
      <c r="AD93" s="69"/>
      <c r="AE93" s="69"/>
      <c r="AF93" s="69"/>
      <c r="AG93" s="69"/>
      <c r="AH93" s="69"/>
      <c r="AI93" s="69"/>
      <c r="AJ93" s="69"/>
      <c r="AK93" s="69"/>
      <c r="AL93" s="69"/>
      <c r="AM93" s="69"/>
      <c r="AN93" s="69"/>
      <c r="AO93" s="69"/>
      <c r="AP93" s="69"/>
      <c r="AQ93" s="69"/>
      <c r="AR93" s="69"/>
      <c r="AS93" s="69"/>
      <c r="AT93" s="69"/>
      <c r="AU93" s="69"/>
      <c r="AV93" s="69"/>
      <c r="AW93" s="69"/>
      <c r="AX93" s="69"/>
      <c r="AY93" s="69"/>
      <c r="AZ93" s="69"/>
    </row>
    <row r="94" spans="2:52">
      <c r="G94" s="55"/>
    </row>
    <row r="95" spans="2:52">
      <c r="G95" s="55"/>
      <c r="J95" s="73"/>
      <c r="Q95" s="69"/>
    </row>
    <row r="96" spans="2:52">
      <c r="G96" s="55"/>
    </row>
    <row r="97" spans="7:48">
      <c r="G97" s="55"/>
    </row>
    <row r="98" spans="7:48" ht="15" customHeight="1">
      <c r="G98" s="55"/>
    </row>
    <row r="99" spans="7:48">
      <c r="G99" s="55"/>
    </row>
    <row r="100" spans="7:48" ht="15" customHeight="1">
      <c r="G100" s="55"/>
      <c r="J100" s="56"/>
      <c r="K100" s="56"/>
      <c r="L100" s="56"/>
    </row>
    <row r="101" spans="7:48">
      <c r="G101" s="55"/>
      <c r="J101" s="56"/>
      <c r="K101" s="56"/>
      <c r="L101" s="56"/>
      <c r="M101" s="65"/>
      <c r="N101" s="65"/>
      <c r="O101" s="65"/>
      <c r="P101" s="65"/>
      <c r="Q101" s="65"/>
      <c r="R101" s="65"/>
      <c r="S101" s="65"/>
      <c r="T101" s="65"/>
      <c r="U101" s="65"/>
      <c r="V101" s="65"/>
      <c r="W101" s="65"/>
      <c r="X101" s="65"/>
      <c r="Y101" s="65"/>
      <c r="Z101" s="65"/>
      <c r="AA101" s="65"/>
      <c r="AB101" s="65"/>
      <c r="AC101" s="65"/>
      <c r="AD101" s="65"/>
      <c r="AE101" s="65"/>
      <c r="AF101" s="65"/>
      <c r="AG101" s="65"/>
      <c r="AH101" s="65"/>
      <c r="AI101" s="65"/>
      <c r="AJ101" s="65"/>
      <c r="AK101" s="65"/>
      <c r="AL101" s="65"/>
      <c r="AM101" s="65"/>
      <c r="AN101" s="65"/>
      <c r="AO101" s="65"/>
      <c r="AP101" s="65"/>
      <c r="AQ101" s="65"/>
      <c r="AR101" s="65"/>
      <c r="AS101" s="65"/>
      <c r="AT101" s="65"/>
      <c r="AU101" s="65"/>
      <c r="AV101" s="65"/>
    </row>
    <row r="102" spans="7:48">
      <c r="G102" s="55"/>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0"/>
      <c r="AK102" s="90"/>
      <c r="AL102" s="90"/>
      <c r="AM102" s="90"/>
      <c r="AN102" s="90"/>
      <c r="AO102" s="90"/>
      <c r="AP102" s="90"/>
      <c r="AQ102" s="90"/>
      <c r="AR102" s="90"/>
      <c r="AS102" s="90"/>
      <c r="AT102" s="90"/>
      <c r="AU102" s="90"/>
      <c r="AV102" s="90"/>
    </row>
    <row r="106" spans="7:48" ht="15" customHeight="1"/>
    <row r="111" spans="7:48">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row>
    <row r="112" spans="7:48">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0"/>
      <c r="AK112" s="90"/>
      <c r="AL112" s="90"/>
      <c r="AM112" s="90"/>
      <c r="AN112" s="90"/>
      <c r="AO112" s="90"/>
      <c r="AP112" s="90"/>
      <c r="AQ112" s="90"/>
      <c r="AR112" s="90"/>
      <c r="AS112" s="90"/>
      <c r="AT112" s="90"/>
      <c r="AU112" s="90"/>
      <c r="AV112" s="90"/>
    </row>
    <row r="198" ht="15" customHeight="1"/>
  </sheetData>
  <conditionalFormatting sqref="BA91:CB91 Q92:CB198 BA39:CB39 Q38:CB38 Q40:CB90 Q11:CB34">
    <cfRule type="cellIs" dxfId="9" priority="5" operator="lessThan">
      <formula>0</formula>
    </cfRule>
  </conditionalFormatting>
  <conditionalFormatting sqref="Q35:CB37">
    <cfRule type="cellIs" dxfId="8" priority="4" operator="lessThan">
      <formula>0</formula>
    </cfRule>
  </conditionalFormatting>
  <conditionalFormatting sqref="R39:AZ39">
    <cfRule type="cellIs" dxfId="7" priority="3" operator="lessThan">
      <formula>0</formula>
    </cfRule>
  </conditionalFormatting>
  <conditionalFormatting sqref="R39:AZ39">
    <cfRule type="cellIs" dxfId="6" priority="2" operator="lessThan">
      <formula>0</formula>
    </cfRule>
  </conditionalFormatting>
  <conditionalFormatting sqref="Q39:AZ39">
    <cfRule type="cellIs" dxfId="5" priority="1" operator="lessThan">
      <formula>0</formula>
    </cfRule>
  </conditionalFormatting>
  <pageMargins left="0.7" right="0.7" top="0.75" bottom="0.75" header="0.3" footer="0.3"/>
  <pageSetup paperSize="9"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D652F-6A97-42D7-A874-C9B004F0E45D}">
  <sheetPr codeName="Sheet34">
    <tabColor theme="4"/>
  </sheetPr>
  <dimension ref="B2:AO33"/>
  <sheetViews>
    <sheetView topLeftCell="A2" zoomScale="80" zoomScaleNormal="80" workbookViewId="0">
      <selection activeCell="O35" sqref="O35"/>
    </sheetView>
  </sheetViews>
  <sheetFormatPr defaultRowHeight="15"/>
  <cols>
    <col min="2" max="2" width="45.140625" bestFit="1" customWidth="1"/>
    <col min="4" max="4" width="12.85546875" bestFit="1" customWidth="1"/>
    <col min="5" max="5" width="6.85546875" customWidth="1"/>
    <col min="6" max="41" width="9.5703125" bestFit="1" customWidth="1"/>
  </cols>
  <sheetData>
    <row r="2" spans="2:41">
      <c r="B2" t="s">
        <v>180</v>
      </c>
      <c r="D2" t="s">
        <v>179</v>
      </c>
      <c r="F2" s="82">
        <v>2015</v>
      </c>
      <c r="G2" s="82">
        <v>2016</v>
      </c>
      <c r="H2" s="82">
        <v>2017</v>
      </c>
      <c r="I2" s="82">
        <v>2018</v>
      </c>
      <c r="J2" s="82">
        <v>2019</v>
      </c>
      <c r="K2" s="82">
        <v>2020</v>
      </c>
      <c r="L2" s="82">
        <v>2021</v>
      </c>
      <c r="M2" s="82">
        <v>2022</v>
      </c>
      <c r="N2" s="82">
        <v>2023</v>
      </c>
      <c r="O2" s="82">
        <v>2024</v>
      </c>
      <c r="P2" s="82">
        <v>2025</v>
      </c>
      <c r="Q2" s="82">
        <v>2026</v>
      </c>
      <c r="R2" s="82">
        <v>2027</v>
      </c>
      <c r="S2" s="82">
        <v>2028</v>
      </c>
      <c r="T2" s="82">
        <v>2029</v>
      </c>
      <c r="U2" s="82">
        <v>2030</v>
      </c>
      <c r="V2" s="82">
        <v>2031</v>
      </c>
      <c r="W2" s="82">
        <v>2032</v>
      </c>
      <c r="X2" s="82">
        <v>2033</v>
      </c>
      <c r="Y2" s="82">
        <v>2034</v>
      </c>
      <c r="Z2" s="82">
        <v>2035</v>
      </c>
      <c r="AA2" s="82">
        <v>2036</v>
      </c>
      <c r="AB2" s="82">
        <v>2037</v>
      </c>
      <c r="AC2" s="82">
        <v>2038</v>
      </c>
      <c r="AD2" s="82">
        <v>2039</v>
      </c>
      <c r="AE2" s="82">
        <v>2040</v>
      </c>
      <c r="AF2" s="82">
        <v>2041</v>
      </c>
      <c r="AG2" s="82">
        <v>2042</v>
      </c>
      <c r="AH2" s="82">
        <v>2043</v>
      </c>
      <c r="AI2" s="82">
        <v>2044</v>
      </c>
      <c r="AJ2" s="82">
        <v>2045</v>
      </c>
      <c r="AK2" s="82">
        <v>2046</v>
      </c>
      <c r="AL2" s="82">
        <v>2047</v>
      </c>
      <c r="AM2" s="82">
        <v>2048</v>
      </c>
      <c r="AN2" s="82">
        <v>2049</v>
      </c>
      <c r="AO2" s="82">
        <v>2050</v>
      </c>
    </row>
    <row r="3" spans="2:41">
      <c r="F3" s="82"/>
      <c r="G3" s="82"/>
      <c r="H3" s="82"/>
      <c r="I3" s="82"/>
      <c r="J3" s="82"/>
      <c r="K3" s="82"/>
      <c r="L3" s="82"/>
      <c r="M3" s="82"/>
      <c r="N3" s="82"/>
      <c r="O3" s="82"/>
      <c r="P3" s="82"/>
      <c r="Q3" s="82"/>
      <c r="R3" s="82"/>
      <c r="S3" s="82"/>
      <c r="T3" s="82"/>
      <c r="U3" s="82"/>
      <c r="V3" s="82"/>
      <c r="W3" s="82"/>
      <c r="X3" s="82"/>
      <c r="Y3" s="82"/>
      <c r="Z3" s="82"/>
      <c r="AA3" s="82"/>
      <c r="AB3" s="82"/>
      <c r="AC3" s="82"/>
      <c r="AD3" s="82"/>
      <c r="AE3" s="82"/>
      <c r="AF3" s="82"/>
      <c r="AG3" s="82"/>
      <c r="AH3" s="82"/>
      <c r="AI3" s="82"/>
      <c r="AJ3" s="82"/>
      <c r="AK3" s="82"/>
      <c r="AL3" s="82"/>
      <c r="AM3" s="82"/>
      <c r="AN3" s="82"/>
      <c r="AO3" s="82"/>
    </row>
    <row r="4" spans="2:41">
      <c r="B4" s="35" t="s">
        <v>1380</v>
      </c>
      <c r="F4" s="82"/>
      <c r="G4" s="82"/>
      <c r="H4" s="82"/>
      <c r="I4" s="82"/>
      <c r="J4" s="82"/>
      <c r="K4" s="82"/>
      <c r="L4" s="82"/>
      <c r="M4" s="82"/>
      <c r="N4" s="82"/>
      <c r="O4" s="82"/>
      <c r="P4" s="82"/>
      <c r="Q4" s="82"/>
      <c r="R4" s="82"/>
      <c r="S4" s="82"/>
      <c r="T4" s="82"/>
      <c r="U4" s="82"/>
      <c r="V4" s="82"/>
      <c r="W4" s="82"/>
      <c r="X4" s="82"/>
      <c r="Y4" s="82"/>
      <c r="Z4" s="82"/>
      <c r="AA4" s="82"/>
      <c r="AB4" s="82"/>
      <c r="AC4" s="82"/>
      <c r="AD4" s="82"/>
      <c r="AE4" s="82"/>
      <c r="AF4" s="82"/>
      <c r="AG4" s="82"/>
      <c r="AH4" s="82"/>
      <c r="AI4" s="82"/>
      <c r="AJ4" s="82"/>
      <c r="AK4" s="82"/>
      <c r="AL4" s="82"/>
      <c r="AM4" s="82"/>
      <c r="AN4" s="82"/>
      <c r="AO4" s="82"/>
    </row>
    <row r="5" spans="2:41">
      <c r="B5" t="s">
        <v>131</v>
      </c>
      <c r="D5" s="234" t="s">
        <v>1381</v>
      </c>
      <c r="F5" s="103">
        <v>35.234737176481318</v>
      </c>
      <c r="G5" s="103">
        <v>35.763258234128536</v>
      </c>
      <c r="H5" s="103">
        <v>36.299707107640465</v>
      </c>
      <c r="I5" s="103">
        <v>36.844202714255069</v>
      </c>
      <c r="J5" s="103">
        <v>37.396865754968893</v>
      </c>
      <c r="K5" s="103">
        <v>120.47923863557756</v>
      </c>
      <c r="L5" s="103">
        <v>122.31394785337824</v>
      </c>
      <c r="M5" s="103">
        <v>124.17659680546014</v>
      </c>
      <c r="N5" s="103">
        <v>126.06761097001029</v>
      </c>
      <c r="O5" s="103">
        <v>127.98742230457898</v>
      </c>
      <c r="P5" s="103">
        <v>129.93646934475024</v>
      </c>
      <c r="Q5" s="103">
        <v>131.91519730431497</v>
      </c>
      <c r="R5" s="103">
        <v>133.92405817696951</v>
      </c>
      <c r="S5" s="103">
        <v>135.96351083956296</v>
      </c>
      <c r="T5" s="103">
        <v>138.03402115691671</v>
      </c>
      <c r="U5" s="103">
        <v>140.13606208824032</v>
      </c>
      <c r="V5" s="103">
        <v>142.27011379516784</v>
      </c>
      <c r="W5" s="103">
        <v>144.43666375143943</v>
      </c>
      <c r="X5" s="103">
        <v>146.63620685425323</v>
      </c>
      <c r="Y5" s="103">
        <v>148.86924553731293</v>
      </c>
      <c r="Z5" s="103">
        <v>151.13628988559688</v>
      </c>
      <c r="AA5" s="103">
        <v>153.43785775187501</v>
      </c>
      <c r="AB5" s="103">
        <v>155.77447487500001</v>
      </c>
      <c r="AC5" s="103">
        <v>158.14667500000002</v>
      </c>
      <c r="AD5" s="103">
        <v>160.55500000000001</v>
      </c>
      <c r="AE5" s="103">
        <v>163</v>
      </c>
      <c r="AF5" s="103">
        <v>165.44499999999999</v>
      </c>
      <c r="AG5" s="103">
        <v>167.92667499999999</v>
      </c>
      <c r="AH5" s="103">
        <v>170.44557512499998</v>
      </c>
      <c r="AI5" s="103">
        <v>173.00225875187496</v>
      </c>
      <c r="AJ5" s="103">
        <v>175.59729263315307</v>
      </c>
      <c r="AK5" s="103">
        <v>178.23125202265035</v>
      </c>
      <c r="AL5" s="103">
        <v>180.90472080299008</v>
      </c>
      <c r="AM5" s="103">
        <v>183.61829161503491</v>
      </c>
      <c r="AN5" s="103">
        <v>186.37256598926041</v>
      </c>
      <c r="AO5" s="103">
        <v>189.16815447909929</v>
      </c>
    </row>
    <row r="6" spans="2:41">
      <c r="B6" t="s">
        <v>1382</v>
      </c>
      <c r="D6" s="234" t="s">
        <v>1381</v>
      </c>
      <c r="F6" s="103">
        <v>70.469474352962635</v>
      </c>
      <c r="G6" s="103">
        <v>71.526516468257071</v>
      </c>
      <c r="H6" s="103">
        <v>72.59941421528093</v>
      </c>
      <c r="I6" s="103">
        <v>73.688405428510137</v>
      </c>
      <c r="J6" s="103">
        <v>74.793731509937786</v>
      </c>
      <c r="K6" s="103">
        <v>240.95847727115512</v>
      </c>
      <c r="L6" s="103">
        <v>244.62789570675648</v>
      </c>
      <c r="M6" s="103">
        <v>248.35319361092027</v>
      </c>
      <c r="N6" s="103">
        <v>252.13522194002059</v>
      </c>
      <c r="O6" s="103">
        <v>255.97484460915797</v>
      </c>
      <c r="P6" s="103">
        <v>259.87293868950047</v>
      </c>
      <c r="Q6" s="103">
        <v>263.83039460862994</v>
      </c>
      <c r="R6" s="103">
        <v>267.84811635393902</v>
      </c>
      <c r="S6" s="103">
        <v>271.92702167912591</v>
      </c>
      <c r="T6" s="103">
        <v>276.06804231383342</v>
      </c>
      <c r="U6" s="103">
        <v>280.27212417648065</v>
      </c>
      <c r="V6" s="103">
        <v>284.54022759033569</v>
      </c>
      <c r="W6" s="103">
        <v>288.87332750287885</v>
      </c>
      <c r="X6" s="103">
        <v>293.27241370850646</v>
      </c>
      <c r="Y6" s="103">
        <v>297.73849107462587</v>
      </c>
      <c r="Z6" s="103">
        <v>302.27257977119376</v>
      </c>
      <c r="AA6" s="103">
        <v>306.87571550375003</v>
      </c>
      <c r="AB6" s="103">
        <v>311.54894975000002</v>
      </c>
      <c r="AC6" s="103">
        <v>316.29335000000003</v>
      </c>
      <c r="AD6" s="103">
        <v>321.11</v>
      </c>
      <c r="AE6" s="103">
        <v>326</v>
      </c>
      <c r="AF6" s="103">
        <v>330.89</v>
      </c>
      <c r="AG6" s="103">
        <v>335.85334999999998</v>
      </c>
      <c r="AH6" s="103">
        <v>340.89115024999995</v>
      </c>
      <c r="AI6" s="103">
        <v>346.00451750374992</v>
      </c>
      <c r="AJ6" s="103">
        <v>351.19458526630615</v>
      </c>
      <c r="AK6" s="103">
        <v>356.4625040453007</v>
      </c>
      <c r="AL6" s="103">
        <v>361.80944160598017</v>
      </c>
      <c r="AM6" s="103">
        <v>367.23658323006981</v>
      </c>
      <c r="AN6" s="103">
        <v>372.74513197852082</v>
      </c>
      <c r="AO6" s="103">
        <v>378.33630895819857</v>
      </c>
    </row>
    <row r="7" spans="2:41">
      <c r="B7" t="s">
        <v>1383</v>
      </c>
      <c r="D7" s="234" t="s">
        <v>1381</v>
      </c>
      <c r="F7" s="103">
        <v>105.70421152944398</v>
      </c>
      <c r="G7" s="103">
        <v>107.28977470238563</v>
      </c>
      <c r="H7" s="103">
        <v>108.89912132292142</v>
      </c>
      <c r="I7" s="103">
        <v>110.53260814276523</v>
      </c>
      <c r="J7" s="103">
        <v>112.19059726490669</v>
      </c>
      <c r="K7" s="103">
        <v>361.43771590673271</v>
      </c>
      <c r="L7" s="103">
        <v>366.94184356013471</v>
      </c>
      <c r="M7" s="103">
        <v>372.52979041638042</v>
      </c>
      <c r="N7" s="103">
        <v>378.20283291003091</v>
      </c>
      <c r="O7" s="103">
        <v>383.96226691373693</v>
      </c>
      <c r="P7" s="103">
        <v>389.80940803425074</v>
      </c>
      <c r="Q7" s="103">
        <v>395.74559191294492</v>
      </c>
      <c r="R7" s="103">
        <v>401.7721745309085</v>
      </c>
      <c r="S7" s="103">
        <v>407.89053251868887</v>
      </c>
      <c r="T7" s="103">
        <v>414.10206347075012</v>
      </c>
      <c r="U7" s="103">
        <v>420.40818626472094</v>
      </c>
      <c r="V7" s="103">
        <v>426.81034138550353</v>
      </c>
      <c r="W7" s="103">
        <v>433.30999125431828</v>
      </c>
      <c r="X7" s="103">
        <v>439.90862056275967</v>
      </c>
      <c r="Y7" s="103">
        <v>446.60773661193878</v>
      </c>
      <c r="Z7" s="103">
        <v>453.40886965679067</v>
      </c>
      <c r="AA7" s="103">
        <v>460.31357325562504</v>
      </c>
      <c r="AB7" s="103">
        <v>467.32342462500003</v>
      </c>
      <c r="AC7" s="103">
        <v>474.44002500000005</v>
      </c>
      <c r="AD7" s="103">
        <v>481.66500000000002</v>
      </c>
      <c r="AE7" s="103">
        <v>489</v>
      </c>
      <c r="AF7" s="103">
        <v>496.33499999999998</v>
      </c>
      <c r="AG7" s="103">
        <v>503.78002499999997</v>
      </c>
      <c r="AH7" s="103">
        <v>511.3367253749999</v>
      </c>
      <c r="AI7" s="103">
        <v>519.00677625562491</v>
      </c>
      <c r="AJ7" s="103">
        <v>526.79187789945922</v>
      </c>
      <c r="AK7" s="103">
        <v>534.69375606795109</v>
      </c>
      <c r="AL7" s="103">
        <v>542.7141624089702</v>
      </c>
      <c r="AM7" s="103">
        <v>550.85487484510475</v>
      </c>
      <c r="AN7" s="103">
        <v>559.11769796778117</v>
      </c>
      <c r="AO7" s="103">
        <v>567.50446343729789</v>
      </c>
    </row>
    <row r="8" spans="2:41">
      <c r="B8" t="s">
        <v>1384</v>
      </c>
      <c r="D8" s="234" t="s">
        <v>1381</v>
      </c>
      <c r="F8" s="103">
        <v>35.234737176481318</v>
      </c>
      <c r="G8" s="103">
        <v>35.763258234128536</v>
      </c>
      <c r="H8" s="103">
        <v>36.299707107640465</v>
      </c>
      <c r="I8" s="103">
        <v>36.844202714255069</v>
      </c>
      <c r="J8" s="103">
        <v>37.396865754968893</v>
      </c>
      <c r="K8" s="103">
        <v>37.957818741293423</v>
      </c>
      <c r="L8" s="103">
        <v>38.590449053648314</v>
      </c>
      <c r="M8" s="103">
        <v>39.223079366003205</v>
      </c>
      <c r="N8" s="103">
        <v>39.855709678358096</v>
      </c>
      <c r="O8" s="103">
        <v>40.488339990712987</v>
      </c>
      <c r="P8" s="103">
        <v>41.120970303067878</v>
      </c>
      <c r="Q8" s="103">
        <v>41.753600615422769</v>
      </c>
      <c r="R8" s="103">
        <v>42.38623092777766</v>
      </c>
      <c r="S8" s="103">
        <v>43.018861240132551</v>
      </c>
      <c r="T8" s="103">
        <v>43.651491552487443</v>
      </c>
      <c r="U8" s="103">
        <v>44.284121864842326</v>
      </c>
      <c r="V8" s="103">
        <v>48.396218895149119</v>
      </c>
      <c r="W8" s="103">
        <v>52.508315925455904</v>
      </c>
      <c r="X8" s="103">
        <v>56.620412955762696</v>
      </c>
      <c r="Y8" s="103">
        <v>60.732509986069481</v>
      </c>
      <c r="Z8" s="103">
        <v>64.844607016376273</v>
      </c>
      <c r="AA8" s="103">
        <v>68.956704046683058</v>
      </c>
      <c r="AB8" s="103">
        <v>73.068801076989843</v>
      </c>
      <c r="AC8" s="103">
        <v>77.180898107296628</v>
      </c>
      <c r="AD8" s="103">
        <v>81.292995137603413</v>
      </c>
      <c r="AE8" s="103">
        <v>85.405092167910212</v>
      </c>
      <c r="AF8" s="103">
        <v>89.517189198216997</v>
      </c>
      <c r="AG8" s="103">
        <v>93.629286228523782</v>
      </c>
      <c r="AH8" s="103">
        <v>97.741383258830567</v>
      </c>
      <c r="AI8" s="103">
        <v>101.85348028913735</v>
      </c>
      <c r="AJ8" s="103">
        <v>105.96557731944415</v>
      </c>
      <c r="AK8" s="103">
        <v>110.07767434975094</v>
      </c>
      <c r="AL8" s="103">
        <v>114.18977138005772</v>
      </c>
      <c r="AM8" s="103">
        <v>118.30186841036451</v>
      </c>
      <c r="AN8" s="103">
        <v>122.41396544067129</v>
      </c>
      <c r="AO8" s="103">
        <v>126.52606247097809</v>
      </c>
    </row>
    <row r="9" spans="2:41">
      <c r="B9" t="s">
        <v>1385</v>
      </c>
      <c r="D9" s="234" t="s">
        <v>1381</v>
      </c>
      <c r="F9" s="103">
        <v>70.469474352962635</v>
      </c>
      <c r="G9" s="103">
        <v>71.526516468257071</v>
      </c>
      <c r="H9" s="103">
        <v>72.59941421528093</v>
      </c>
      <c r="I9" s="103">
        <v>73.688405428510137</v>
      </c>
      <c r="J9" s="103">
        <v>74.793731509937786</v>
      </c>
      <c r="K9" s="103">
        <v>75.915637482586845</v>
      </c>
      <c r="L9" s="103">
        <v>77.180898107296628</v>
      </c>
      <c r="M9" s="103">
        <v>78.44615873200641</v>
      </c>
      <c r="N9" s="103">
        <v>79.711419356716192</v>
      </c>
      <c r="O9" s="103">
        <v>80.976679981425974</v>
      </c>
      <c r="P9" s="103">
        <v>82.241940606135756</v>
      </c>
      <c r="Q9" s="103">
        <v>83.507201230845538</v>
      </c>
      <c r="R9" s="103">
        <v>84.772461855555321</v>
      </c>
      <c r="S9" s="103">
        <v>86.037722480265103</v>
      </c>
      <c r="T9" s="103">
        <v>87.302983104974885</v>
      </c>
      <c r="U9" s="103">
        <v>88.568243729684653</v>
      </c>
      <c r="V9" s="103">
        <v>96.792437790298237</v>
      </c>
      <c r="W9" s="103">
        <v>105.01663185091181</v>
      </c>
      <c r="X9" s="103">
        <v>113.24082591152539</v>
      </c>
      <c r="Y9" s="103">
        <v>121.46501997213896</v>
      </c>
      <c r="Z9" s="103">
        <v>129.68921403275255</v>
      </c>
      <c r="AA9" s="103">
        <v>137.91340809336612</v>
      </c>
      <c r="AB9" s="103">
        <v>146.13760215397969</v>
      </c>
      <c r="AC9" s="103">
        <v>154.36179621459326</v>
      </c>
      <c r="AD9" s="103">
        <v>162.58599027520683</v>
      </c>
      <c r="AE9" s="103">
        <v>170.81018433582042</v>
      </c>
      <c r="AF9" s="103">
        <v>179.03437839643399</v>
      </c>
      <c r="AG9" s="103">
        <v>187.25857245704756</v>
      </c>
      <c r="AH9" s="103">
        <v>195.48276651766113</v>
      </c>
      <c r="AI9" s="103">
        <v>203.7069605782747</v>
      </c>
      <c r="AJ9" s="103">
        <v>211.9311546388883</v>
      </c>
      <c r="AK9" s="103">
        <v>220.15534869950187</v>
      </c>
      <c r="AL9" s="103">
        <v>228.37954276011544</v>
      </c>
      <c r="AM9" s="103">
        <v>236.60373682072901</v>
      </c>
      <c r="AN9" s="103">
        <v>244.82793088134258</v>
      </c>
      <c r="AO9" s="103">
        <v>253.05212494195618</v>
      </c>
    </row>
    <row r="10" spans="2:41">
      <c r="B10" t="s">
        <v>1386</v>
      </c>
      <c r="D10" s="234" t="s">
        <v>1381</v>
      </c>
      <c r="F10" s="103">
        <v>105.70421152944398</v>
      </c>
      <c r="G10" s="103">
        <v>107.28977470238563</v>
      </c>
      <c r="H10" s="103">
        <v>108.89912132292142</v>
      </c>
      <c r="I10" s="103">
        <v>110.53260814276523</v>
      </c>
      <c r="J10" s="103">
        <v>112.19059726490669</v>
      </c>
      <c r="K10" s="103">
        <v>113.87345622388028</v>
      </c>
      <c r="L10" s="103">
        <v>115.77134716094494</v>
      </c>
      <c r="M10" s="103">
        <v>117.66923809800961</v>
      </c>
      <c r="N10" s="103">
        <v>119.56712903507429</v>
      </c>
      <c r="O10" s="103">
        <v>121.46501997213896</v>
      </c>
      <c r="P10" s="103">
        <v>123.36291090920363</v>
      </c>
      <c r="Q10" s="103">
        <v>125.26080184626831</v>
      </c>
      <c r="R10" s="103">
        <v>127.15869278333298</v>
      </c>
      <c r="S10" s="103">
        <v>129.05658372039764</v>
      </c>
      <c r="T10" s="103">
        <v>130.95447465746233</v>
      </c>
      <c r="U10" s="103">
        <v>132.85236559452699</v>
      </c>
      <c r="V10" s="103">
        <v>145.18865668544734</v>
      </c>
      <c r="W10" s="103">
        <v>157.52494777636772</v>
      </c>
      <c r="X10" s="103">
        <v>169.86123886728808</v>
      </c>
      <c r="Y10" s="103">
        <v>182.19752995820843</v>
      </c>
      <c r="Z10" s="103">
        <v>194.53382104912882</v>
      </c>
      <c r="AA10" s="103">
        <v>206.87011214004917</v>
      </c>
      <c r="AB10" s="103">
        <v>219.20640323096953</v>
      </c>
      <c r="AC10" s="103">
        <v>231.54269432188988</v>
      </c>
      <c r="AD10" s="103">
        <v>243.87898541281027</v>
      </c>
      <c r="AE10" s="103">
        <v>256.21527650373065</v>
      </c>
      <c r="AF10" s="103">
        <v>268.55156759465098</v>
      </c>
      <c r="AG10" s="103">
        <v>280.88785868557136</v>
      </c>
      <c r="AH10" s="103">
        <v>293.22414977649169</v>
      </c>
      <c r="AI10" s="103">
        <v>305.56044086741207</v>
      </c>
      <c r="AJ10" s="103">
        <v>317.89673195833245</v>
      </c>
      <c r="AK10" s="103">
        <v>330.23302304925278</v>
      </c>
      <c r="AL10" s="103">
        <v>342.56931414017316</v>
      </c>
      <c r="AM10" s="103">
        <v>354.90560523109355</v>
      </c>
      <c r="AN10" s="103">
        <v>367.24189632201387</v>
      </c>
      <c r="AO10" s="103">
        <v>379.57818741293426</v>
      </c>
    </row>
    <row r="11" spans="2:41">
      <c r="B11" t="s">
        <v>89</v>
      </c>
      <c r="D11" s="234" t="s">
        <v>1381</v>
      </c>
      <c r="F11" s="103">
        <v>21.292504164925287</v>
      </c>
      <c r="G11" s="103">
        <v>21.292504164925287</v>
      </c>
      <c r="H11" s="103">
        <v>21.268872084831031</v>
      </c>
      <c r="I11" s="103">
        <v>34.270631879307587</v>
      </c>
      <c r="J11" s="103">
        <v>34.668021089326857</v>
      </c>
      <c r="K11" s="103">
        <v>35.371094307053255</v>
      </c>
      <c r="L11" s="103">
        <v>36.104735925550365</v>
      </c>
      <c r="M11" s="103">
        <v>36.66515660634677</v>
      </c>
      <c r="N11" s="103">
        <v>37.245956220990308</v>
      </c>
      <c r="O11" s="103">
        <v>37.857324236404573</v>
      </c>
      <c r="P11" s="103">
        <v>39.304228539551644</v>
      </c>
      <c r="Q11" s="103">
        <v>45.672645366783499</v>
      </c>
      <c r="R11" s="103">
        <v>49.381611326963338</v>
      </c>
      <c r="S11" s="103">
        <v>52.611672341735336</v>
      </c>
      <c r="T11" s="103">
        <v>57.543374332743682</v>
      </c>
      <c r="U11" s="103">
        <v>64.73713798078478</v>
      </c>
      <c r="V11" s="103">
        <v>64.73713798078478</v>
      </c>
      <c r="W11" s="103">
        <v>64.73713798078478</v>
      </c>
      <c r="X11" s="103">
        <v>64.73713798078478</v>
      </c>
      <c r="Y11" s="103">
        <v>64.73713798078478</v>
      </c>
      <c r="Z11" s="103">
        <v>64.73713798078478</v>
      </c>
      <c r="AA11" s="103">
        <v>77.52619991211931</v>
      </c>
      <c r="AB11" s="103">
        <v>90.315261843453825</v>
      </c>
      <c r="AC11" s="103">
        <v>103.10432377478834</v>
      </c>
      <c r="AD11" s="103">
        <v>115.89338570612286</v>
      </c>
      <c r="AE11" s="103">
        <v>128.68244763745736</v>
      </c>
      <c r="AF11" s="103">
        <v>141.47150956879187</v>
      </c>
      <c r="AG11" s="103">
        <v>154.26057150012642</v>
      </c>
      <c r="AH11" s="103">
        <v>167.04963343146093</v>
      </c>
      <c r="AI11" s="103">
        <v>179.83869536279545</v>
      </c>
      <c r="AJ11" s="103">
        <v>192.62775729412996</v>
      </c>
      <c r="AK11" s="103">
        <v>205.41681922546448</v>
      </c>
      <c r="AL11" s="103">
        <v>218.20588115679899</v>
      </c>
      <c r="AM11" s="103">
        <v>230.99494308813351</v>
      </c>
      <c r="AN11" s="103">
        <v>243.78400501946803</v>
      </c>
      <c r="AO11" s="103">
        <v>256.57306695080263</v>
      </c>
    </row>
    <row r="13" spans="2:41">
      <c r="B13" s="35" t="s">
        <v>1387</v>
      </c>
    </row>
    <row r="14" spans="2:41">
      <c r="B14" t="str">
        <f>Dashboard!$D$12</f>
        <v>BEIS - Low - Green Book Oct 2021</v>
      </c>
      <c r="F14" s="103">
        <f>INDEX(F$5:F$11,MATCH($B$14,$B$5:$B$11,0))</f>
        <v>35.234737176481318</v>
      </c>
      <c r="G14" s="103">
        <f t="shared" ref="G14:AO14" si="0">INDEX(G$5:G$11,MATCH($B$14,$B$5:$B$11,0))</f>
        <v>35.763258234128536</v>
      </c>
      <c r="H14" s="103">
        <f t="shared" si="0"/>
        <v>36.299707107640465</v>
      </c>
      <c r="I14" s="103">
        <f t="shared" si="0"/>
        <v>36.844202714255069</v>
      </c>
      <c r="J14" s="103">
        <f t="shared" si="0"/>
        <v>37.396865754968893</v>
      </c>
      <c r="K14" s="103">
        <f t="shared" si="0"/>
        <v>120.47923863557756</v>
      </c>
      <c r="L14" s="103">
        <f t="shared" si="0"/>
        <v>122.31394785337824</v>
      </c>
      <c r="M14" s="103">
        <f t="shared" si="0"/>
        <v>124.17659680546014</v>
      </c>
      <c r="N14" s="103">
        <f t="shared" si="0"/>
        <v>126.06761097001029</v>
      </c>
      <c r="O14" s="103">
        <f t="shared" si="0"/>
        <v>127.98742230457898</v>
      </c>
      <c r="P14" s="103">
        <f t="shared" si="0"/>
        <v>129.93646934475024</v>
      </c>
      <c r="Q14" s="103">
        <f t="shared" si="0"/>
        <v>131.91519730431497</v>
      </c>
      <c r="R14" s="103">
        <f t="shared" si="0"/>
        <v>133.92405817696951</v>
      </c>
      <c r="S14" s="103">
        <f t="shared" si="0"/>
        <v>135.96351083956296</v>
      </c>
      <c r="T14" s="103">
        <f t="shared" si="0"/>
        <v>138.03402115691671</v>
      </c>
      <c r="U14" s="103">
        <f t="shared" si="0"/>
        <v>140.13606208824032</v>
      </c>
      <c r="V14" s="103">
        <f t="shared" si="0"/>
        <v>142.27011379516784</v>
      </c>
      <c r="W14" s="103">
        <f t="shared" si="0"/>
        <v>144.43666375143943</v>
      </c>
      <c r="X14" s="103">
        <f t="shared" si="0"/>
        <v>146.63620685425323</v>
      </c>
      <c r="Y14" s="103">
        <f t="shared" si="0"/>
        <v>148.86924553731293</v>
      </c>
      <c r="Z14" s="103">
        <f t="shared" si="0"/>
        <v>151.13628988559688</v>
      </c>
      <c r="AA14" s="103">
        <f t="shared" si="0"/>
        <v>153.43785775187501</v>
      </c>
      <c r="AB14" s="103">
        <f t="shared" si="0"/>
        <v>155.77447487500001</v>
      </c>
      <c r="AC14" s="103">
        <f t="shared" si="0"/>
        <v>158.14667500000002</v>
      </c>
      <c r="AD14" s="103">
        <f t="shared" si="0"/>
        <v>160.55500000000001</v>
      </c>
      <c r="AE14" s="103">
        <f t="shared" si="0"/>
        <v>163</v>
      </c>
      <c r="AF14" s="103">
        <f t="shared" si="0"/>
        <v>165.44499999999999</v>
      </c>
      <c r="AG14" s="103">
        <f t="shared" si="0"/>
        <v>167.92667499999999</v>
      </c>
      <c r="AH14" s="103">
        <f t="shared" si="0"/>
        <v>170.44557512499998</v>
      </c>
      <c r="AI14" s="103">
        <f t="shared" si="0"/>
        <v>173.00225875187496</v>
      </c>
      <c r="AJ14" s="103">
        <f t="shared" si="0"/>
        <v>175.59729263315307</v>
      </c>
      <c r="AK14" s="103">
        <f t="shared" si="0"/>
        <v>178.23125202265035</v>
      </c>
      <c r="AL14" s="103">
        <f t="shared" si="0"/>
        <v>180.90472080299008</v>
      </c>
      <c r="AM14" s="103">
        <f t="shared" si="0"/>
        <v>183.61829161503491</v>
      </c>
      <c r="AN14" s="103">
        <f t="shared" si="0"/>
        <v>186.37256598926041</v>
      </c>
      <c r="AO14" s="103">
        <f t="shared" si="0"/>
        <v>189.16815447909929</v>
      </c>
    </row>
    <row r="16" spans="2:41">
      <c r="B16" s="35" t="s">
        <v>1388</v>
      </c>
    </row>
    <row r="17" spans="2:41" ht="18">
      <c r="B17" t="s">
        <v>183</v>
      </c>
      <c r="D17" s="234" t="s">
        <v>184</v>
      </c>
      <c r="F17" s="103">
        <f>'Main graph Results'!J18</f>
        <v>2328.1165129773453</v>
      </c>
      <c r="G17" s="103">
        <f>'Main graph Results'!K18</f>
        <v>2266.637479939071</v>
      </c>
      <c r="H17" s="103">
        <f>'Main graph Results'!L18</f>
        <v>2238.5094047894236</v>
      </c>
      <c r="I17" s="103">
        <f>'Main graph Results'!M18</f>
        <v>2218.341876328619</v>
      </c>
      <c r="J17" s="103">
        <f>'Main graph Results'!N18</f>
        <v>2191.9477092577804</v>
      </c>
      <c r="K17" s="103">
        <f>'Main graph Results'!O18</f>
        <v>2124.5391856733677</v>
      </c>
      <c r="L17" s="103">
        <f>'Main graph Results'!P18</f>
        <v>2091.8386772841886</v>
      </c>
      <c r="M17" s="103">
        <f>'Main graph Results'!Q18</f>
        <v>1991.8262395813319</v>
      </c>
      <c r="N17" s="103">
        <f>'Main graph Results'!R18</f>
        <v>1832.9804257494502</v>
      </c>
      <c r="O17" s="103">
        <f>'Main graph Results'!S18</f>
        <v>1665.2801171591018</v>
      </c>
      <c r="P17" s="103">
        <f>'Main graph Results'!T18</f>
        <v>1479.1218718308692</v>
      </c>
      <c r="Q17" s="103">
        <f>'Main graph Results'!U18</f>
        <v>1289.8693114871965</v>
      </c>
      <c r="R17" s="103">
        <f>'Main graph Results'!V18</f>
        <v>1110.2522029210743</v>
      </c>
      <c r="S17" s="103">
        <f>'Main graph Results'!W18</f>
        <v>964.95709148444973</v>
      </c>
      <c r="T17" s="103">
        <f>'Main graph Results'!X18</f>
        <v>852.2186474964027</v>
      </c>
      <c r="U17" s="103">
        <f>'Main graph Results'!Y18</f>
        <v>752.62958537570137</v>
      </c>
      <c r="V17" s="103">
        <f>'Main graph Results'!Z18</f>
        <v>662.97290602266344</v>
      </c>
      <c r="W17" s="103">
        <f>'Main graph Results'!AA18</f>
        <v>582.15920753977639</v>
      </c>
      <c r="X17" s="103">
        <f>'Main graph Results'!AB18</f>
        <v>504.84320580565077</v>
      </c>
      <c r="Y17" s="103">
        <f>'Main graph Results'!AC18</f>
        <v>432.95198975579359</v>
      </c>
      <c r="Z17" s="103">
        <f>'Main graph Results'!AD18</f>
        <v>369.54802018642295</v>
      </c>
      <c r="AA17" s="103">
        <f>'Main graph Results'!AE18</f>
        <v>285.73441305758399</v>
      </c>
      <c r="AB17" s="103">
        <f>'Main graph Results'!AF18</f>
        <v>225.06203255964675</v>
      </c>
      <c r="AC17" s="103">
        <f>'Main graph Results'!AG18</f>
        <v>185.35797678602063</v>
      </c>
      <c r="AD17" s="103">
        <f>'Main graph Results'!AH18</f>
        <v>169.60146084958151</v>
      </c>
      <c r="AE17" s="103">
        <f>'Main graph Results'!AI18</f>
        <v>152.43886684574164</v>
      </c>
      <c r="AF17" s="103">
        <f>'Main graph Results'!AJ18</f>
        <v>132.24703960784569</v>
      </c>
      <c r="AG17" s="103">
        <f>'Main graph Results'!AK18</f>
        <v>116.49710965157682</v>
      </c>
      <c r="AH17" s="103">
        <f>'Main graph Results'!AL18</f>
        <v>101.63983823291929</v>
      </c>
      <c r="AI17" s="103">
        <f>'Main graph Results'!AM18</f>
        <v>85.344209743643916</v>
      </c>
      <c r="AJ17" s="103">
        <f>'Main graph Results'!AN18</f>
        <v>65.778556094967797</v>
      </c>
      <c r="AK17" s="103">
        <f>'Main graph Results'!AO18</f>
        <v>47.898306642621193</v>
      </c>
      <c r="AL17" s="103">
        <f>'Main graph Results'!AP18</f>
        <v>37.866007515266944</v>
      </c>
      <c r="AM17" s="103">
        <f>'Main graph Results'!AQ18</f>
        <v>32.466782670616652</v>
      </c>
      <c r="AN17" s="103">
        <f>'Main graph Results'!AR18</f>
        <v>26.43395923005777</v>
      </c>
      <c r="AO17" s="103">
        <f>'Main graph Results'!AS18</f>
        <v>21.346250020397719</v>
      </c>
    </row>
    <row r="18" spans="2:41" ht="18">
      <c r="B18" t="s">
        <v>185</v>
      </c>
      <c r="D18" s="234" t="s">
        <v>184</v>
      </c>
      <c r="F18" s="103">
        <f>'Main graph Results'!J19</f>
        <v>1255.9035851191368</v>
      </c>
      <c r="G18" s="103">
        <f>'Main graph Results'!K19</f>
        <v>1011.3881736494008</v>
      </c>
      <c r="H18" s="103">
        <f>'Main graph Results'!L19</f>
        <v>912.04047753116754</v>
      </c>
      <c r="I18" s="103">
        <f>'Main graph Results'!M19</f>
        <v>855.2450179827274</v>
      </c>
      <c r="J18" s="103">
        <f>'Main graph Results'!N19</f>
        <v>764.61326198135941</v>
      </c>
      <c r="K18" s="103">
        <f>'Main graph Results'!O19</f>
        <v>570.46268312961058</v>
      </c>
      <c r="L18" s="103">
        <f>'Main graph Results'!P19</f>
        <v>525.86412319320698</v>
      </c>
      <c r="M18" s="103">
        <f>'Main graph Results'!Q19</f>
        <v>482.19700435851001</v>
      </c>
      <c r="N18" s="103">
        <f>'Main graph Results'!R19</f>
        <v>450.49927426124157</v>
      </c>
      <c r="O18" s="103">
        <f>'Main graph Results'!S19</f>
        <v>475.15430199614207</v>
      </c>
      <c r="P18" s="103">
        <f>'Main graph Results'!T19</f>
        <v>385.22025621940463</v>
      </c>
      <c r="Q18" s="103">
        <f>'Main graph Results'!U19</f>
        <v>269.40830409193222</v>
      </c>
      <c r="R18" s="103">
        <f>'Main graph Results'!V19</f>
        <v>215.01979734587613</v>
      </c>
      <c r="S18" s="103">
        <f>'Main graph Results'!W19</f>
        <v>190.68941426994357</v>
      </c>
      <c r="T18" s="103">
        <f>'Main graph Results'!X19</f>
        <v>170.07285026559467</v>
      </c>
      <c r="U18" s="103">
        <f>'Main graph Results'!Y19</f>
        <v>127.62470919642492</v>
      </c>
      <c r="V18" s="103">
        <f>'Main graph Results'!Z19</f>
        <v>101.15367240025957</v>
      </c>
      <c r="W18" s="103">
        <f>'Main graph Results'!AA19</f>
        <v>87.501525855697238</v>
      </c>
      <c r="X18" s="103">
        <f>'Main graph Results'!AB19</f>
        <v>76.052104860058364</v>
      </c>
      <c r="Y18" s="103">
        <f>'Main graph Results'!AC19</f>
        <v>69.09787423618522</v>
      </c>
      <c r="Z18" s="103">
        <f>'Main graph Results'!AD19</f>
        <v>61.6981887477219</v>
      </c>
      <c r="AA18" s="103">
        <f>'Main graph Results'!AE19</f>
        <v>51.115731502540847</v>
      </c>
      <c r="AB18" s="103">
        <f>'Main graph Results'!AF19</f>
        <v>45.510383862407551</v>
      </c>
      <c r="AC18" s="103">
        <f>'Main graph Results'!AG19</f>
        <v>44.489370920683577</v>
      </c>
      <c r="AD18" s="103">
        <f>'Main graph Results'!AH19</f>
        <v>42.129480866989162</v>
      </c>
      <c r="AE18" s="103">
        <f>'Main graph Results'!AI19</f>
        <v>38.180593961880483</v>
      </c>
      <c r="AF18" s="103">
        <f>'Main graph Results'!AJ19</f>
        <v>31.69937229910057</v>
      </c>
      <c r="AG18" s="103">
        <f>'Main graph Results'!AK19</f>
        <v>30.086884231251002</v>
      </c>
      <c r="AH18" s="103">
        <f>'Main graph Results'!AL19</f>
        <v>29.476007210779617</v>
      </c>
      <c r="AI18" s="103">
        <f>'Main graph Results'!AM19</f>
        <v>27.70748867835886</v>
      </c>
      <c r="AJ18" s="103">
        <f>'Main graph Results'!AN19</f>
        <v>23.532546785747449</v>
      </c>
      <c r="AK18" s="103">
        <f>'Main graph Results'!AO19</f>
        <v>21.36723703354863</v>
      </c>
      <c r="AL18" s="103">
        <f>'Main graph Results'!AP19</f>
        <v>19.703265424979715</v>
      </c>
      <c r="AM18" s="103">
        <f>'Main graph Results'!AQ19</f>
        <v>18.702366483215741</v>
      </c>
      <c r="AN18" s="103">
        <f>'Main graph Results'!AR19</f>
        <v>17.405327743035212</v>
      </c>
      <c r="AO18" s="103">
        <f>'Main graph Results'!AS19</f>
        <v>17.108707418126102</v>
      </c>
    </row>
    <row r="19" spans="2:41" ht="18">
      <c r="B19" t="s">
        <v>186</v>
      </c>
      <c r="D19" s="234" t="s">
        <v>184</v>
      </c>
      <c r="F19" s="103">
        <f>'Main graph Results'!J20</f>
        <v>2761.9669751682368</v>
      </c>
      <c r="G19" s="103">
        <f>'Main graph Results'!K20</f>
        <v>2610.2052446279863</v>
      </c>
      <c r="H19" s="103">
        <f>'Main graph Results'!L20</f>
        <v>2536.7894242542211</v>
      </c>
      <c r="I19" s="103">
        <f>'Main graph Results'!M20</f>
        <v>2484.5591231578251</v>
      </c>
      <c r="J19" s="103">
        <f>'Main graph Results'!N20</f>
        <v>2413.9494095868195</v>
      </c>
      <c r="K19" s="103">
        <f>'Main graph Results'!O20</f>
        <v>2266.3478678241177</v>
      </c>
      <c r="L19" s="103">
        <f>'Main graph Results'!P20</f>
        <v>2208.812008581634</v>
      </c>
      <c r="M19" s="103">
        <f>'Main graph Results'!Q20</f>
        <v>2129.1645552544496</v>
      </c>
      <c r="N19" s="103">
        <f>'Main graph Results'!R20</f>
        <v>2022.7150816173234</v>
      </c>
      <c r="O19" s="103">
        <f>'Main graph Results'!S20</f>
        <v>1903.7409872835328</v>
      </c>
      <c r="P19" s="103">
        <f>'Main graph Results'!T20</f>
        <v>1712.8737166090598</v>
      </c>
      <c r="Q19" s="103">
        <f>'Main graph Results'!U20</f>
        <v>1486.6056123658514</v>
      </c>
      <c r="R19" s="103">
        <f>'Main graph Results'!V20</f>
        <v>1261.2922468548666</v>
      </c>
      <c r="S19" s="103">
        <f>'Main graph Results'!W20</f>
        <v>1089.1380784326677</v>
      </c>
      <c r="T19" s="103">
        <f>'Main graph Results'!X20</f>
        <v>926.089221497891</v>
      </c>
      <c r="U19" s="103">
        <f>'Main graph Results'!Y20</f>
        <v>766.2292224981818</v>
      </c>
      <c r="V19" s="103">
        <f>'Main graph Results'!Z20</f>
        <v>632.13394423149896</v>
      </c>
      <c r="W19" s="103">
        <f>'Main graph Results'!AA20</f>
        <v>525.54736637380495</v>
      </c>
      <c r="X19" s="103">
        <f>'Main graph Results'!AB20</f>
        <v>436.31455699590344</v>
      </c>
      <c r="Y19" s="103">
        <f>'Main graph Results'!AC20</f>
        <v>362.73909045999386</v>
      </c>
      <c r="Z19" s="103">
        <f>'Main graph Results'!AD20</f>
        <v>312.94166412948601</v>
      </c>
      <c r="AA19" s="103">
        <f>'Main graph Results'!AE20</f>
        <v>245.85642670734751</v>
      </c>
      <c r="AB19" s="103">
        <f>'Main graph Results'!AF20</f>
        <v>197.57875231412683</v>
      </c>
      <c r="AC19" s="103">
        <f>'Main graph Results'!AG20</f>
        <v>165.61610826089563</v>
      </c>
      <c r="AD19" s="103">
        <f>'Main graph Results'!AH20</f>
        <v>151.86758049787184</v>
      </c>
      <c r="AE19" s="103">
        <f>'Main graph Results'!AI20</f>
        <v>136.83609719881449</v>
      </c>
      <c r="AF19" s="103">
        <f>'Main graph Results'!AJ20</f>
        <v>118.44965701041902</v>
      </c>
      <c r="AG19" s="103">
        <f>'Main graph Results'!AK20</f>
        <v>104.05210963846353</v>
      </c>
      <c r="AH19" s="103">
        <f>'Main graph Results'!AL20</f>
        <v>90.496449610566401</v>
      </c>
      <c r="AI19" s="103">
        <f>'Main graph Results'!AM20</f>
        <v>75.733502451493067</v>
      </c>
      <c r="AJ19" s="103">
        <f>'Main graph Results'!AN20</f>
        <v>58.16869181381027</v>
      </c>
      <c r="AK19" s="103">
        <f>'Main graph Results'!AO20</f>
        <v>42.011997401652849</v>
      </c>
      <c r="AL19" s="103">
        <f>'Main graph Results'!AP20</f>
        <v>32.985951950911236</v>
      </c>
      <c r="AM19" s="103">
        <f>'Main graph Results'!AQ20</f>
        <v>28.118700920018046</v>
      </c>
      <c r="AN19" s="103">
        <f>'Main graph Results'!AR20</f>
        <v>22.774851647216899</v>
      </c>
      <c r="AO19" s="103">
        <f>'Main graph Results'!AS20</f>
        <v>18.310238252372869</v>
      </c>
    </row>
    <row r="20" spans="2:41" ht="18">
      <c r="B20" t="s">
        <v>187</v>
      </c>
      <c r="D20" s="234" t="s">
        <v>184</v>
      </c>
      <c r="F20" s="103">
        <f>'Main graph Results'!J21</f>
        <v>4428.8056180820131</v>
      </c>
      <c r="G20" s="103">
        <f>'Main graph Results'!K21</f>
        <v>3552.3605172713069</v>
      </c>
      <c r="H20" s="103">
        <f>'Main graph Results'!L21</f>
        <v>3189.2042441949716</v>
      </c>
      <c r="I20" s="103">
        <f>'Main graph Results'!M21</f>
        <v>2977.4619854144403</v>
      </c>
      <c r="J20" s="103">
        <f>'Main graph Results'!N21</f>
        <v>2660.9167734598468</v>
      </c>
      <c r="K20" s="103">
        <f>'Main graph Results'!O21</f>
        <v>2006.2529291797528</v>
      </c>
      <c r="L20" s="103">
        <f>'Main graph Results'!P21</f>
        <v>1876.2324160734629</v>
      </c>
      <c r="M20" s="103">
        <f>'Main graph Results'!Q21</f>
        <v>1757.3274178569936</v>
      </c>
      <c r="N20" s="103">
        <f>'Main graph Results'!R21</f>
        <v>1682.8363542135207</v>
      </c>
      <c r="O20" s="103">
        <f>'Main graph Results'!S21</f>
        <v>1826.1523629179503</v>
      </c>
      <c r="P20" s="103">
        <f>'Main graph Results'!T21</f>
        <v>1531.1271501301367</v>
      </c>
      <c r="Q20" s="103">
        <f>'Main graph Results'!U21</f>
        <v>1115.6628508121505</v>
      </c>
      <c r="R20" s="103">
        <f>'Main graph Results'!V21</f>
        <v>910.06972646368502</v>
      </c>
      <c r="S20" s="103">
        <f>'Main graph Results'!W21</f>
        <v>827.24650466672551</v>
      </c>
      <c r="T20" s="103">
        <f>'Main graph Results'!X21</f>
        <v>759.00739059936996</v>
      </c>
      <c r="U20" s="103">
        <f>'Main graph Results'!Y21</f>
        <v>588.41263911549015</v>
      </c>
      <c r="V20" s="103">
        <f>'Main graph Results'!Z21</f>
        <v>468.69124343678629</v>
      </c>
      <c r="W20" s="103">
        <f>'Main graph Results'!AA21</f>
        <v>407.4038462872337</v>
      </c>
      <c r="X20" s="103">
        <f>'Main graph Results'!AB21</f>
        <v>355.77899277834291</v>
      </c>
      <c r="Y20" s="103">
        <f>'Main graph Results'!AC21</f>
        <v>324.76084687087996</v>
      </c>
      <c r="Z20" s="103">
        <f>'Main graph Results'!AD21</f>
        <v>291.30635250341641</v>
      </c>
      <c r="AA20" s="103">
        <f>'Main graph Results'!AE21</f>
        <v>242.44059314989298</v>
      </c>
      <c r="AB20" s="103">
        <f>'Main graph Results'!AF21</f>
        <v>216.91273258913691</v>
      </c>
      <c r="AC20" s="103">
        <f>'Main graph Results'!AG21</f>
        <v>213.09772690344434</v>
      </c>
      <c r="AD20" s="103">
        <f>'Main graph Results'!AH21</f>
        <v>202.89767835538939</v>
      </c>
      <c r="AE20" s="103">
        <f>'Main graph Results'!AI21</f>
        <v>184.86469716497734</v>
      </c>
      <c r="AF20" s="103">
        <f>'Main graph Results'!AJ21</f>
        <v>154.2881820944333</v>
      </c>
      <c r="AG20" s="103">
        <f>'Main graph Results'!AK21</f>
        <v>147.19617392974749</v>
      </c>
      <c r="AH20" s="103">
        <f>'Main graph Results'!AL21</f>
        <v>144.94289260824527</v>
      </c>
      <c r="AI20" s="103">
        <f>'Main graph Results'!AM21</f>
        <v>136.93374632597497</v>
      </c>
      <c r="AJ20" s="103">
        <f>'Main graph Results'!AN21</f>
        <v>116.88191386290815</v>
      </c>
      <c r="AK20" s="103">
        <f>'Main graph Results'!AO21</f>
        <v>106.65611254319685</v>
      </c>
      <c r="AL20" s="103">
        <f>'Main graph Results'!AP21</f>
        <v>98.836017869432553</v>
      </c>
      <c r="AM20" s="103">
        <f>'Main graph Results'!AQ21</f>
        <v>94.275149764390022</v>
      </c>
      <c r="AN20" s="103">
        <f>'Main graph Results'!AR21</f>
        <v>88.164454887083565</v>
      </c>
      <c r="AO20" s="103">
        <f>'Main graph Results'!AS21</f>
        <v>87.082110542219084</v>
      </c>
    </row>
    <row r="21" spans="2:41" ht="18">
      <c r="B21" t="s">
        <v>188</v>
      </c>
      <c r="D21" s="234" t="s">
        <v>184</v>
      </c>
      <c r="F21" s="103">
        <f>'Main graph Results'!J22</f>
        <v>58.285145777549801</v>
      </c>
      <c r="G21" s="103">
        <f>'Main graph Results'!K22</f>
        <v>76.012524339376</v>
      </c>
      <c r="H21" s="103">
        <f>'Main graph Results'!L22</f>
        <v>85.561097285227817</v>
      </c>
      <c r="I21" s="103">
        <f>'Main graph Results'!M22</f>
        <v>92.801818301251245</v>
      </c>
      <c r="J21" s="103">
        <f>'Main graph Results'!N22</f>
        <v>102.41122319751844</v>
      </c>
      <c r="K21" s="103">
        <f>'Main graph Results'!O22</f>
        <v>141.28171088235183</v>
      </c>
      <c r="L21" s="103">
        <f>'Main graph Results'!P22</f>
        <v>158.3072095595889</v>
      </c>
      <c r="M21" s="103">
        <f>'Main graph Results'!Q22</f>
        <v>176.99834482540609</v>
      </c>
      <c r="N21" s="103">
        <f>'Main graph Results'!R22</f>
        <v>193.4390821820343</v>
      </c>
      <c r="O21" s="103">
        <f>'Main graph Results'!S22</f>
        <v>202.15103479614874</v>
      </c>
      <c r="P21" s="103">
        <f>'Main graph Results'!T22</f>
        <v>223.18798944704324</v>
      </c>
      <c r="Q21" s="103">
        <f>'Main graph Results'!U22</f>
        <v>233.40376003559069</v>
      </c>
      <c r="R21" s="103">
        <f>'Main graph Results'!V22</f>
        <v>233.65112287719677</v>
      </c>
      <c r="S21" s="103">
        <f>'Main graph Results'!W22</f>
        <v>229.68216469792409</v>
      </c>
      <c r="T21" s="103">
        <f>'Main graph Results'!X22</f>
        <v>224.78434391261982</v>
      </c>
      <c r="U21" s="103">
        <f>'Main graph Results'!Y22</f>
        <v>221.33290613895321</v>
      </c>
      <c r="V21" s="103">
        <f>'Main graph Results'!Z22</f>
        <v>216.52364551533421</v>
      </c>
      <c r="W21" s="103">
        <f>'Main graph Results'!AA22</f>
        <v>209.74373464809207</v>
      </c>
      <c r="X21" s="103">
        <f>'Main graph Results'!AB22</f>
        <v>193.90002842309087</v>
      </c>
      <c r="Y21" s="103">
        <f>'Main graph Results'!AC22</f>
        <v>176.87885337087798</v>
      </c>
      <c r="Z21" s="103">
        <f>'Main graph Results'!AD22</f>
        <v>161.12384338309749</v>
      </c>
      <c r="AA21" s="103">
        <f>'Main graph Results'!AE22</f>
        <v>144.06959995054086</v>
      </c>
      <c r="AB21" s="103">
        <f>'Main graph Results'!AF22</f>
        <v>127.25707451595316</v>
      </c>
      <c r="AC21" s="103">
        <f>'Main graph Results'!AG22</f>
        <v>111.34078817331391</v>
      </c>
      <c r="AD21" s="103">
        <f>'Main graph Results'!AH22</f>
        <v>95.655806451836781</v>
      </c>
      <c r="AE21" s="103">
        <f>'Main graph Results'!AI22</f>
        <v>80.21927998888097</v>
      </c>
      <c r="AF21" s="103">
        <f>'Main graph Results'!AJ22</f>
        <v>67.243641748369782</v>
      </c>
      <c r="AG21" s="103">
        <f>'Main graph Results'!AK22</f>
        <v>54.874709791490488</v>
      </c>
      <c r="AH21" s="103">
        <f>'Main graph Results'!AL22</f>
        <v>42.869924327887063</v>
      </c>
      <c r="AI21" s="103">
        <f>'Main graph Results'!AM22</f>
        <v>31.106948504076406</v>
      </c>
      <c r="AJ21" s="103">
        <f>'Main graph Results'!AN22</f>
        <v>19.632870286069977</v>
      </c>
      <c r="AK21" s="103">
        <f>'Main graph Results'!AO22</f>
        <v>9.7998375921895615</v>
      </c>
      <c r="AL21" s="103">
        <f>'Main graph Results'!AP22</f>
        <v>7.0332046945385809</v>
      </c>
      <c r="AM21" s="103">
        <f>'Main graph Results'!AQ22</f>
        <v>5.4900049018348351</v>
      </c>
      <c r="AN21" s="103">
        <f>'Main graph Results'!AR22</f>
        <v>3.9813956953472318</v>
      </c>
      <c r="AO21" s="103">
        <f>'Main graph Results'!AS22</f>
        <v>2.7231199721521051</v>
      </c>
    </row>
    <row r="22" spans="2:41" ht="18">
      <c r="B22" t="s">
        <v>189</v>
      </c>
      <c r="D22" s="234" t="s">
        <v>184</v>
      </c>
      <c r="F22" s="103">
        <f>'Main graph Results'!J23</f>
        <v>130.59794958060394</v>
      </c>
      <c r="G22" s="103">
        <f>'Main graph Results'!K23</f>
        <v>111.88649364534403</v>
      </c>
      <c r="H22" s="103">
        <f>'Main graph Results'!L23</f>
        <v>106.00556118514028</v>
      </c>
      <c r="I22" s="103">
        <f>'Main graph Results'!M23</f>
        <v>100.33653323393737</v>
      </c>
      <c r="J22" s="103">
        <f>'Main graph Results'!N23</f>
        <v>94.530752244339681</v>
      </c>
      <c r="K22" s="103">
        <f>'Main graph Results'!O23</f>
        <v>88.24669912500535</v>
      </c>
      <c r="L22" s="103">
        <f>'Main graph Results'!P23</f>
        <v>82.618411456213366</v>
      </c>
      <c r="M22" s="103">
        <f>'Main graph Results'!Q23</f>
        <v>76.988286206126503</v>
      </c>
      <c r="N22" s="103">
        <f>'Main graph Results'!R23</f>
        <v>71.417455087018965</v>
      </c>
      <c r="O22" s="103">
        <f>'Main graph Results'!S23</f>
        <v>66.193083047512431</v>
      </c>
      <c r="P22" s="103">
        <f>'Main graph Results'!T23</f>
        <v>60.267387980949159</v>
      </c>
      <c r="Q22" s="103">
        <f>'Main graph Results'!U23</f>
        <v>53.496533260006473</v>
      </c>
      <c r="R22" s="103">
        <f>'Main graph Results'!V23</f>
        <v>46.840944733440587</v>
      </c>
      <c r="S22" s="103">
        <f>'Main graph Results'!W23</f>
        <v>40.403982947332821</v>
      </c>
      <c r="T22" s="103">
        <f>'Main graph Results'!X23</f>
        <v>39.322729519145284</v>
      </c>
      <c r="U22" s="103">
        <f>'Main graph Results'!Y23</f>
        <v>37.786909775075756</v>
      </c>
      <c r="V22" s="103">
        <f>'Main graph Results'!Z23</f>
        <v>36.366575935096911</v>
      </c>
      <c r="W22" s="103">
        <f>'Main graph Results'!AA23</f>
        <v>35.203039570152526</v>
      </c>
      <c r="X22" s="103">
        <f>'Main graph Results'!AB23</f>
        <v>34.090295831828833</v>
      </c>
      <c r="Y22" s="103">
        <f>'Main graph Results'!AC23</f>
        <v>33.08314252057275</v>
      </c>
      <c r="Z22" s="103">
        <f>'Main graph Results'!AD23</f>
        <v>32.086707357978995</v>
      </c>
      <c r="AA22" s="103">
        <f>'Main graph Results'!AE23</f>
        <v>31.494439737952405</v>
      </c>
      <c r="AB22" s="103">
        <f>'Main graph Results'!AF23</f>
        <v>31.036316130215692</v>
      </c>
      <c r="AC22" s="103">
        <f>'Main graph Results'!AG23</f>
        <v>30.714509531559852</v>
      </c>
      <c r="AD22" s="103">
        <f>'Main graph Results'!AH23</f>
        <v>30.371055295945268</v>
      </c>
      <c r="AE22" s="103">
        <f>'Main graph Results'!AI23</f>
        <v>29.986921178018225</v>
      </c>
      <c r="AF22" s="103">
        <f>'Main graph Results'!AJ23</f>
        <v>29.790964354235069</v>
      </c>
      <c r="AG22" s="103">
        <f>'Main graph Results'!AK23</f>
        <v>29.740528966922252</v>
      </c>
      <c r="AH22" s="103">
        <f>'Main graph Results'!AL23</f>
        <v>29.720099287687308</v>
      </c>
      <c r="AI22" s="103">
        <f>'Main graph Results'!AM23</f>
        <v>29.66386087885256</v>
      </c>
      <c r="AJ22" s="103">
        <f>'Main graph Results'!AN23</f>
        <v>29.532628387778139</v>
      </c>
      <c r="AK22" s="103">
        <f>'Main graph Results'!AO23</f>
        <v>29.462415200784072</v>
      </c>
      <c r="AL22" s="103">
        <f>'Main graph Results'!AP23</f>
        <v>29.407118079020282</v>
      </c>
      <c r="AM22" s="103">
        <f>'Main graph Results'!AQ23</f>
        <v>29.372083455592364</v>
      </c>
      <c r="AN22" s="103">
        <f>'Main graph Results'!AR23</f>
        <v>29.327369003808439</v>
      </c>
      <c r="AO22" s="103">
        <f>'Main graph Results'!AS23</f>
        <v>29.313976215851632</v>
      </c>
    </row>
    <row r="23" spans="2:41" ht="18">
      <c r="B23" t="s">
        <v>190</v>
      </c>
      <c r="D23" s="234" t="s">
        <v>184</v>
      </c>
      <c r="F23" s="103">
        <f>'Main graph Results'!J24</f>
        <v>35.669665846182461</v>
      </c>
      <c r="G23" s="103">
        <f>'Main graph Results'!K24</f>
        <v>36.154921498175057</v>
      </c>
      <c r="H23" s="103">
        <f>'Main graph Results'!L24</f>
        <v>38.654439918140291</v>
      </c>
      <c r="I23" s="103">
        <f>'Main graph Results'!M24</f>
        <v>39.294453433870459</v>
      </c>
      <c r="J23" s="103">
        <f>'Main graph Results'!N24</f>
        <v>39.774450506864333</v>
      </c>
      <c r="K23" s="103">
        <f>'Main graph Results'!O24</f>
        <v>15.716954880528526</v>
      </c>
      <c r="L23" s="103">
        <f>'Main graph Results'!P24</f>
        <v>16.092170145668693</v>
      </c>
      <c r="M23" s="103">
        <f>'Main graph Results'!Q24</f>
        <v>19.237471717934746</v>
      </c>
      <c r="N23" s="103">
        <f>'Main graph Results'!R24</f>
        <v>22.524510418702924</v>
      </c>
      <c r="O23" s="103">
        <f>'Main graph Results'!S24</f>
        <v>25.960298930647074</v>
      </c>
      <c r="P23" s="103">
        <f>'Main graph Results'!T24</f>
        <v>29.552328189275698</v>
      </c>
      <c r="Q23" s="103">
        <f>'Main graph Results'!U24</f>
        <v>33.113079703456386</v>
      </c>
      <c r="R23" s="103">
        <f>'Main graph Results'!V24</f>
        <v>36.80014494050387</v>
      </c>
      <c r="S23" s="103">
        <f>'Main graph Results'!W24</f>
        <v>40.619382645427926</v>
      </c>
      <c r="T23" s="103">
        <f>'Main graph Results'!X24</f>
        <v>44.577080371744742</v>
      </c>
      <c r="U23" s="103">
        <f>'Main graph Results'!Y24</f>
        <v>48.679994443957185</v>
      </c>
      <c r="V23" s="103">
        <f>'Main graph Results'!Z24</f>
        <v>48.951680278562876</v>
      </c>
      <c r="W23" s="103">
        <f>'Main graph Results'!AA24</f>
        <v>48.745305969372374</v>
      </c>
      <c r="X23" s="103">
        <f>'Main graph Results'!AB24</f>
        <v>48.519158098205658</v>
      </c>
      <c r="Y23" s="103">
        <f>'Main graph Results'!AC24</f>
        <v>48.273236665062718</v>
      </c>
      <c r="Z23" s="103">
        <f>'Main graph Results'!AD24</f>
        <v>49.955259642678556</v>
      </c>
      <c r="AA23" s="103">
        <f>'Main graph Results'!AE24</f>
        <v>50.002756635907446</v>
      </c>
      <c r="AB23" s="103">
        <f>'Main graph Results'!AF24</f>
        <v>50.03769056067717</v>
      </c>
      <c r="AC23" s="103">
        <f>'Main graph Results'!AG24</f>
        <v>50.060061416987736</v>
      </c>
      <c r="AD23" s="103">
        <f>'Main graph Results'!AH24</f>
        <v>50.069869204839165</v>
      </c>
      <c r="AE23" s="103">
        <f>'Main graph Results'!AI24</f>
        <v>50.067113924231414</v>
      </c>
      <c r="AF23" s="103">
        <f>'Main graph Results'!AJ24</f>
        <v>49.649246550592892</v>
      </c>
      <c r="AG23" s="103">
        <f>'Main graph Results'!AK24</f>
        <v>49.209968877185958</v>
      </c>
      <c r="AH23" s="103">
        <f>'Main graph Results'!AL24</f>
        <v>48.749280904010583</v>
      </c>
      <c r="AI23" s="103">
        <f>'Main graph Results'!AM24</f>
        <v>48.267182631066788</v>
      </c>
      <c r="AJ23" s="103">
        <f>'Main graph Results'!AN24</f>
        <v>47.763674058354582</v>
      </c>
      <c r="AK23" s="103">
        <f>'Main graph Results'!AO24</f>
        <v>46.499834426924018</v>
      </c>
      <c r="AL23" s="103">
        <f>'Main graph Results'!AP24</f>
        <v>45.199190313246909</v>
      </c>
      <c r="AM23" s="103">
        <f>'Main graph Results'!AQ24</f>
        <v>43.861741717323255</v>
      </c>
      <c r="AN23" s="103">
        <f>'Main graph Results'!AR24</f>
        <v>42.48748863915305</v>
      </c>
      <c r="AO23" s="103">
        <f>'Main graph Results'!AS24</f>
        <v>41.076431078736327</v>
      </c>
    </row>
    <row r="24" spans="2:41" ht="18">
      <c r="B24" t="s">
        <v>230</v>
      </c>
      <c r="D24" s="234" t="s">
        <v>184</v>
      </c>
      <c r="F24" s="103">
        <f>'Main graph Results'!J25</f>
        <v>30.526977819431661</v>
      </c>
      <c r="G24" s="103">
        <f>'Main graph Results'!K25</f>
        <v>30.526977819431661</v>
      </c>
      <c r="H24" s="103">
        <f>'Main graph Results'!L25</f>
        <v>30.526977819431647</v>
      </c>
      <c r="I24" s="103">
        <f>'Main graph Results'!M25</f>
        <v>30.526977819431664</v>
      </c>
      <c r="J24" s="103">
        <f>'Main graph Results'!N25</f>
        <v>29.320863718239792</v>
      </c>
      <c r="K24" s="103">
        <f>'Main graph Results'!O25</f>
        <v>28.114749617047906</v>
      </c>
      <c r="L24" s="103">
        <f>'Main graph Results'!P25</f>
        <v>26.616718898913724</v>
      </c>
      <c r="M24" s="103">
        <f>'Main graph Results'!Q25</f>
        <v>25.118688180779536</v>
      </c>
      <c r="N24" s="103">
        <f>'Main graph Results'!R25</f>
        <v>23.620657462645337</v>
      </c>
      <c r="O24" s="103">
        <f>'Main graph Results'!S25</f>
        <v>22.122626744511159</v>
      </c>
      <c r="P24" s="103">
        <f>'Main graph Results'!T25</f>
        <v>20.62459602637697</v>
      </c>
      <c r="Q24" s="103">
        <f>'Main graph Results'!U25</f>
        <v>19.126565308242778</v>
      </c>
      <c r="R24" s="103">
        <f>'Main graph Results'!V25</f>
        <v>17.6285345901086</v>
      </c>
      <c r="S24" s="103">
        <f>'Main graph Results'!W25</f>
        <v>16.130503871974412</v>
      </c>
      <c r="T24" s="103">
        <f>'Main graph Results'!X25</f>
        <v>14.632473153840222</v>
      </c>
      <c r="U24" s="103">
        <f>'Main graph Results'!Y25</f>
        <v>13.13444243570604</v>
      </c>
      <c r="V24" s="103">
        <f>'Main graph Results'!Z25</f>
        <v>12.839880336114769</v>
      </c>
      <c r="W24" s="103">
        <f>'Main graph Results'!AA25</f>
        <v>12.545318236523499</v>
      </c>
      <c r="X24" s="103">
        <f>'Main graph Results'!AB25</f>
        <v>12.250756136932226</v>
      </c>
      <c r="Y24" s="103">
        <f>'Main graph Results'!AC25</f>
        <v>11.956194037340957</v>
      </c>
      <c r="Z24" s="103">
        <f>'Main graph Results'!AD25</f>
        <v>11.661631937749686</v>
      </c>
      <c r="AA24" s="103">
        <f>'Main graph Results'!AE25</f>
        <v>11.367069838158415</v>
      </c>
      <c r="AB24" s="103">
        <f>'Main graph Results'!AF25</f>
        <v>11.072507738567145</v>
      </c>
      <c r="AC24" s="103">
        <f>'Main graph Results'!AG25</f>
        <v>10.777945638975874</v>
      </c>
      <c r="AD24" s="103">
        <f>'Main graph Results'!AH25</f>
        <v>10.483383539384603</v>
      </c>
      <c r="AE24" s="103">
        <f>'Main graph Results'!AI25</f>
        <v>10.188821439793333</v>
      </c>
      <c r="AF24" s="103">
        <f>'Main graph Results'!AJ25</f>
        <v>9.8942593402020602</v>
      </c>
      <c r="AG24" s="103">
        <f>'Main graph Results'!AK25</f>
        <v>9.5996972406107925</v>
      </c>
      <c r="AH24" s="103">
        <f>'Main graph Results'!AL25</f>
        <v>9.3051351410195213</v>
      </c>
      <c r="AI24" s="103">
        <f>'Main graph Results'!AM25</f>
        <v>9.0105730414282501</v>
      </c>
      <c r="AJ24" s="103">
        <f>'Main graph Results'!AN25</f>
        <v>8.7160109418369807</v>
      </c>
      <c r="AK24" s="103">
        <f>'Main graph Results'!AO25</f>
        <v>8.4214488422457094</v>
      </c>
      <c r="AL24" s="103">
        <f>'Main graph Results'!AP25</f>
        <v>8.12688674265444</v>
      </c>
      <c r="AM24" s="103">
        <f>'Main graph Results'!AQ25</f>
        <v>7.8323246430631688</v>
      </c>
      <c r="AN24" s="103">
        <f>'Main graph Results'!AR25</f>
        <v>7.5377625434718984</v>
      </c>
      <c r="AO24" s="103">
        <f>'Main graph Results'!AS25</f>
        <v>7.2432004438806183</v>
      </c>
    </row>
    <row r="25" spans="2:41" ht="18">
      <c r="B25" t="s">
        <v>192</v>
      </c>
      <c r="D25" s="234" t="s">
        <v>184</v>
      </c>
      <c r="F25" s="103">
        <f ca="1">'Main graph Results'!J26</f>
        <v>1856.1418694547501</v>
      </c>
      <c r="G25" s="103">
        <f ca="1">'Main graph Results'!K26</f>
        <v>1839.6055140414985</v>
      </c>
      <c r="H25" s="103">
        <f ca="1">'Main graph Results'!L26</f>
        <v>1805.9958494396424</v>
      </c>
      <c r="I25" s="103">
        <f ca="1">'Main graph Results'!M26</f>
        <v>1771.2548778461767</v>
      </c>
      <c r="J25" s="103">
        <f ca="1">'Main graph Results'!N26</f>
        <v>1733.578436494111</v>
      </c>
      <c r="K25" s="103">
        <f ca="1">'Main graph Results'!O26</f>
        <v>1660.1505908326726</v>
      </c>
      <c r="L25" s="103">
        <f ca="1">'Main graph Results'!P26</f>
        <v>1624.0643810709705</v>
      </c>
      <c r="M25" s="103">
        <f ca="1">'Main graph Results'!Q26</f>
        <v>1565.3989381449067</v>
      </c>
      <c r="N25" s="103">
        <f ca="1">'Main graph Results'!R26</f>
        <v>1496.8536513456841</v>
      </c>
      <c r="O25" s="103">
        <f ca="1">'Main graph Results'!S26</f>
        <v>1431.8875894597013</v>
      </c>
      <c r="P25" s="103">
        <f ca="1">'Main graph Results'!T26</f>
        <v>1352.103050134994</v>
      </c>
      <c r="Q25" s="103">
        <f ca="1">'Main graph Results'!U26</f>
        <v>1262.4901908562131</v>
      </c>
      <c r="R25" s="103">
        <f ca="1">'Main graph Results'!V26</f>
        <v>1165.7787428132531</v>
      </c>
      <c r="S25" s="103">
        <f ca="1">'Main graph Results'!W26</f>
        <v>1072.4878782625358</v>
      </c>
      <c r="T25" s="103">
        <f ca="1">'Main graph Results'!X26</f>
        <v>979.35037748350442</v>
      </c>
      <c r="U25" s="103">
        <f ca="1">'Main graph Results'!Y26</f>
        <v>876.69806332160033</v>
      </c>
      <c r="V25" s="103">
        <f ca="1">'Main graph Results'!Z26</f>
        <v>778.41529104895199</v>
      </c>
      <c r="W25" s="103">
        <f ca="1">'Main graph Results'!AA26</f>
        <v>689.45547586361295</v>
      </c>
      <c r="X25" s="103">
        <f ca="1">'Main graph Results'!AB26</f>
        <v>605.5462121309306</v>
      </c>
      <c r="Y25" s="103">
        <f ca="1">'Main graph Results'!AC26</f>
        <v>530.94945695499143</v>
      </c>
      <c r="Z25" s="103">
        <f ca="1">'Main graph Results'!AD26</f>
        <v>460.52246966945455</v>
      </c>
      <c r="AA25" s="103">
        <f ca="1">'Main graph Results'!AE26</f>
        <v>390.39464911584105</v>
      </c>
      <c r="AB25" s="103">
        <f ca="1">'Main graph Results'!AF26</f>
        <v>328.18150925732215</v>
      </c>
      <c r="AC25" s="103">
        <f ca="1">'Main graph Results'!AG26</f>
        <v>274.46002841237561</v>
      </c>
      <c r="AD25" s="103">
        <f ca="1">'Main graph Results'!AH26</f>
        <v>224.66171583307289</v>
      </c>
      <c r="AE25" s="103">
        <f ca="1">'Main graph Results'!AI26</f>
        <v>178.52588375114681</v>
      </c>
      <c r="AF25" s="103">
        <f ca="1">'Main graph Results'!AJ26</f>
        <v>146.78256695119194</v>
      </c>
      <c r="AG25" s="103">
        <f ca="1">'Main graph Results'!AK26</f>
        <v>121.21809751993516</v>
      </c>
      <c r="AH25" s="103">
        <f ca="1">'Main graph Results'!AL26</f>
        <v>98.913861664428367</v>
      </c>
      <c r="AI25" s="103">
        <f ca="1">'Main graph Results'!AM26</f>
        <v>77.889641755947054</v>
      </c>
      <c r="AJ25" s="103">
        <f ca="1">'Main graph Results'!AN26</f>
        <v>56.62907539539529</v>
      </c>
      <c r="AK25" s="103">
        <f ca="1">'Main graph Results'!AO26</f>
        <v>47.079826317802976</v>
      </c>
      <c r="AL25" s="103">
        <f ca="1">'Main graph Results'!AP26</f>
        <v>38.850146805407654</v>
      </c>
      <c r="AM25" s="103">
        <f ca="1">'Main graph Results'!AQ26</f>
        <v>31.827771575550464</v>
      </c>
      <c r="AN25" s="103">
        <f ca="1">'Main graph Results'!AR26</f>
        <v>25.126049463854706</v>
      </c>
      <c r="AO25" s="103">
        <f ca="1">'Main graph Results'!AS26</f>
        <v>19.668183448271197</v>
      </c>
    </row>
    <row r="26" spans="2:41" ht="18">
      <c r="B26" t="s">
        <v>193</v>
      </c>
      <c r="D26" s="234" t="s">
        <v>184</v>
      </c>
      <c r="F26" s="103">
        <f>'Main graph Results'!J27</f>
        <v>229.98875369117781</v>
      </c>
      <c r="G26" s="103">
        <f>'Main graph Results'!K27</f>
        <v>194.51036466123628</v>
      </c>
      <c r="H26" s="103">
        <f>'Main graph Results'!L27</f>
        <v>179.11855828326276</v>
      </c>
      <c r="I26" s="103">
        <f>'Main graph Results'!M27</f>
        <v>171.07097791533417</v>
      </c>
      <c r="J26" s="103">
        <f>'Main graph Results'!N27</f>
        <v>159.26597277448263</v>
      </c>
      <c r="K26" s="103">
        <f>'Main graph Results'!O27</f>
        <v>131.94826753392471</v>
      </c>
      <c r="L26" s="103">
        <f>'Main graph Results'!P27</f>
        <v>126.4816162420849</v>
      </c>
      <c r="M26" s="103">
        <f>'Main graph Results'!Q27</f>
        <v>121.48140922121979</v>
      </c>
      <c r="N26" s="103">
        <f>'Main graph Results'!R27</f>
        <v>118.68353821676256</v>
      </c>
      <c r="O26" s="103">
        <f>'Main graph Results'!S27</f>
        <v>125.60246452757254</v>
      </c>
      <c r="P26" s="103">
        <f>'Main graph Results'!T27</f>
        <v>113.60273080339405</v>
      </c>
      <c r="Q26" s="103">
        <f>'Main graph Results'!U27</f>
        <v>95.913185445972545</v>
      </c>
      <c r="R26" s="103">
        <f>'Main graph Results'!V27</f>
        <v>86.299544373257874</v>
      </c>
      <c r="S26" s="103">
        <f>'Main graph Results'!W27</f>
        <v>82.171192659027753</v>
      </c>
      <c r="T26" s="103">
        <f>'Main graph Results'!X27</f>
        <v>78.727959847408641</v>
      </c>
      <c r="U26" s="103">
        <f>'Main graph Results'!Y27</f>
        <v>70.373782671754356</v>
      </c>
      <c r="V26" s="103">
        <f>'Main graph Results'!Z27</f>
        <v>61.991480343189195</v>
      </c>
      <c r="W26" s="103">
        <f>'Main graph Results'!AA27</f>
        <v>56.124699543604962</v>
      </c>
      <c r="X26" s="103">
        <f>'Main graph Results'!AB27</f>
        <v>50.61248809235483</v>
      </c>
      <c r="Y26" s="103">
        <f>'Main graph Results'!AC27</f>
        <v>46.063163870040363</v>
      </c>
      <c r="Z26" s="103">
        <f>'Main graph Results'!AD27</f>
        <v>41.31059415669214</v>
      </c>
      <c r="AA26" s="103">
        <f>'Main graph Results'!AE27</f>
        <v>35.630314746917165</v>
      </c>
      <c r="AB26" s="103">
        <f>'Main graph Results'!AF27</f>
        <v>31.146099281643519</v>
      </c>
      <c r="AC26" s="103">
        <f>'Main graph Results'!AG27</f>
        <v>27.839427021526493</v>
      </c>
      <c r="AD26" s="103">
        <f>'Main graph Results'!AH27</f>
        <v>24.154606172549933</v>
      </c>
      <c r="AE26" s="103">
        <f>'Main graph Results'!AI27</f>
        <v>19.98664147667618</v>
      </c>
      <c r="AF26" s="103">
        <f>'Main graph Results'!AJ27</f>
        <v>17.06531572102125</v>
      </c>
      <c r="AG26" s="103">
        <f>'Main graph Results'!AK27</f>
        <v>16.088077061658382</v>
      </c>
      <c r="AH26" s="103">
        <f>'Main graph Results'!AL27</f>
        <v>15.396156911574302</v>
      </c>
      <c r="AI26" s="103">
        <f>'Main graph Results'!AM27</f>
        <v>14.374800869292597</v>
      </c>
      <c r="AJ26" s="103">
        <f>'Main graph Results'!AN27</f>
        <v>12.668663607920163</v>
      </c>
      <c r="AK26" s="103">
        <f>'Main graph Results'!AO27</f>
        <v>11.534866940600565</v>
      </c>
      <c r="AL26" s="103">
        <f>'Main graph Results'!AP27</f>
        <v>10.543767040087284</v>
      </c>
      <c r="AM26" s="103">
        <f>'Main graph Results'!AQ27</f>
        <v>9.7413627956961708</v>
      </c>
      <c r="AN26" s="103">
        <f>'Main graph Results'!AR27</f>
        <v>8.8546969940095455</v>
      </c>
      <c r="AO26" s="103">
        <f>'Main graph Results'!AS27</f>
        <v>8.2526527819293261</v>
      </c>
    </row>
    <row r="27" spans="2:41" ht="18">
      <c r="B27" t="s">
        <v>194</v>
      </c>
      <c r="D27" s="234" t="s">
        <v>184</v>
      </c>
      <c r="F27" s="103">
        <f>'Main graph Results'!J28</f>
        <v>99.30668187487683</v>
      </c>
      <c r="G27" s="103">
        <f>'Main graph Results'!K28</f>
        <v>91.557132385413581</v>
      </c>
      <c r="H27" s="103">
        <f>'Main graph Results'!L28</f>
        <v>83.807582895950276</v>
      </c>
      <c r="I27" s="103">
        <f>'Main graph Results'!M28</f>
        <v>76.058033406486999</v>
      </c>
      <c r="J27" s="103">
        <f>'Main graph Results'!N28</f>
        <v>68.308483917023707</v>
      </c>
      <c r="K27" s="103">
        <f>'Main graph Results'!O28</f>
        <v>60.558934427560445</v>
      </c>
      <c r="L27" s="103">
        <f>'Main graph Results'!P28</f>
        <v>60.221147933978749</v>
      </c>
      <c r="M27" s="103">
        <f>'Main graph Results'!Q28</f>
        <v>59.883361440397053</v>
      </c>
      <c r="N27" s="103">
        <f>'Main graph Results'!R28</f>
        <v>59.545574946815378</v>
      </c>
      <c r="O27" s="103">
        <f>'Main graph Results'!S28</f>
        <v>59.207788453233668</v>
      </c>
      <c r="P27" s="103">
        <f>'Main graph Results'!T28</f>
        <v>58.870001959651994</v>
      </c>
      <c r="Q27" s="103">
        <f>'Main graph Results'!U28</f>
        <v>58.870001959651994</v>
      </c>
      <c r="R27" s="103">
        <f>'Main graph Results'!V28</f>
        <v>58.870001959651994</v>
      </c>
      <c r="S27" s="103">
        <f>'Main graph Results'!W28</f>
        <v>58.870001959651994</v>
      </c>
      <c r="T27" s="103">
        <f>'Main graph Results'!X28</f>
        <v>58.870001959651994</v>
      </c>
      <c r="U27" s="103">
        <f>'Main graph Results'!Y28</f>
        <v>58.870001959651994</v>
      </c>
      <c r="V27" s="103">
        <f>'Main graph Results'!Z28</f>
        <v>58.870001959651994</v>
      </c>
      <c r="W27" s="103">
        <f>'Main graph Results'!AA28</f>
        <v>58.870001959651994</v>
      </c>
      <c r="X27" s="103">
        <f>'Main graph Results'!AB28</f>
        <v>58.870001959651994</v>
      </c>
      <c r="Y27" s="103">
        <f>'Main graph Results'!AC28</f>
        <v>58.870001959651994</v>
      </c>
      <c r="Z27" s="103">
        <f>'Main graph Results'!AD28</f>
        <v>58.870001959651994</v>
      </c>
      <c r="AA27" s="103">
        <f>'Main graph Results'!AE28</f>
        <v>58.870001959651994</v>
      </c>
      <c r="AB27" s="103">
        <f>'Main graph Results'!AF28</f>
        <v>58.870001959651994</v>
      </c>
      <c r="AC27" s="103">
        <f>'Main graph Results'!AG28</f>
        <v>58.870001959651994</v>
      </c>
      <c r="AD27" s="103">
        <f>'Main graph Results'!AH28</f>
        <v>58.870001959651994</v>
      </c>
      <c r="AE27" s="103">
        <f>'Main graph Results'!AI28</f>
        <v>58.870001959651994</v>
      </c>
      <c r="AF27" s="103">
        <f>'Main graph Results'!AJ28</f>
        <v>58.870001959651994</v>
      </c>
      <c r="AG27" s="103">
        <f>'Main graph Results'!AK28</f>
        <v>58.870001959651994</v>
      </c>
      <c r="AH27" s="103">
        <f>'Main graph Results'!AL28</f>
        <v>58.870001959651994</v>
      </c>
      <c r="AI27" s="103">
        <f>'Main graph Results'!AM28</f>
        <v>58.870001959651994</v>
      </c>
      <c r="AJ27" s="103">
        <f>'Main graph Results'!AN28</f>
        <v>58.870001959651994</v>
      </c>
      <c r="AK27" s="103">
        <f>'Main graph Results'!AO28</f>
        <v>58.870001959651994</v>
      </c>
      <c r="AL27" s="103">
        <f>'Main graph Results'!AP28</f>
        <v>58.870001959651994</v>
      </c>
      <c r="AM27" s="103">
        <f>'Main graph Results'!AQ28</f>
        <v>58.870001959651994</v>
      </c>
      <c r="AN27" s="103">
        <f>'Main graph Results'!AR28</f>
        <v>58.870001959651994</v>
      </c>
      <c r="AO27" s="103">
        <f>'Main graph Results'!AS28</f>
        <v>58.870001959651994</v>
      </c>
    </row>
    <row r="29" spans="2:41" ht="18">
      <c r="B29" t="s">
        <v>1389</v>
      </c>
      <c r="D29" s="234" t="s">
        <v>184</v>
      </c>
      <c r="F29" s="103">
        <f ca="1">SUM(F17:F27)</f>
        <v>13215.309735391305</v>
      </c>
      <c r="G29" s="103">
        <f t="shared" ref="G29:AO29" ca="1" si="1">SUM(G17:G27)</f>
        <v>11820.845343878242</v>
      </c>
      <c r="H29" s="103">
        <f t="shared" ca="1" si="1"/>
        <v>11206.213617596581</v>
      </c>
      <c r="I29" s="103">
        <f t="shared" ca="1" si="1"/>
        <v>10816.951674840104</v>
      </c>
      <c r="J29" s="103">
        <f t="shared" ca="1" si="1"/>
        <v>10258.617337138387</v>
      </c>
      <c r="K29" s="103">
        <f t="shared" ca="1" si="1"/>
        <v>9093.6205731059417</v>
      </c>
      <c r="L29" s="103">
        <f t="shared" ca="1" si="1"/>
        <v>8797.1488804399105</v>
      </c>
      <c r="M29" s="103">
        <f t="shared" ca="1" si="1"/>
        <v>8405.6217167880568</v>
      </c>
      <c r="N29" s="103">
        <f t="shared" ca="1" si="1"/>
        <v>7975.1156055012007</v>
      </c>
      <c r="O29" s="103">
        <f t="shared" ca="1" si="1"/>
        <v>7803.4526553160531</v>
      </c>
      <c r="P29" s="103">
        <f t="shared" ca="1" si="1"/>
        <v>6966.551079331156</v>
      </c>
      <c r="Q29" s="103">
        <f t="shared" ca="1" si="1"/>
        <v>5917.9593953262647</v>
      </c>
      <c r="R29" s="103">
        <f t="shared" ca="1" si="1"/>
        <v>5142.5030098729148</v>
      </c>
      <c r="S29" s="103">
        <f t="shared" ca="1" si="1"/>
        <v>4612.3961958976615</v>
      </c>
      <c r="T29" s="103">
        <f t="shared" ca="1" si="1"/>
        <v>4147.6530761071735</v>
      </c>
      <c r="U29" s="103">
        <f t="shared" ca="1" si="1"/>
        <v>3561.7722569324974</v>
      </c>
      <c r="V29" s="103">
        <f t="shared" ca="1" si="1"/>
        <v>3078.9103215081104</v>
      </c>
      <c r="W29" s="103">
        <f t="shared" ca="1" si="1"/>
        <v>2713.299521847523</v>
      </c>
      <c r="X29" s="103">
        <f t="shared" ca="1" si="1"/>
        <v>2376.7778011129508</v>
      </c>
      <c r="Y29" s="103">
        <f t="shared" ca="1" si="1"/>
        <v>2095.6238507013909</v>
      </c>
      <c r="Z29" s="103">
        <f t="shared" ca="1" si="1"/>
        <v>1851.0247336743505</v>
      </c>
      <c r="AA29" s="103">
        <f t="shared" ca="1" si="1"/>
        <v>1546.9759964023344</v>
      </c>
      <c r="AB29" s="103">
        <f t="shared" ca="1" si="1"/>
        <v>1322.665100769349</v>
      </c>
      <c r="AC29" s="103">
        <f t="shared" ca="1" si="1"/>
        <v>1172.6239450254357</v>
      </c>
      <c r="AD29" s="103">
        <f t="shared" ca="1" si="1"/>
        <v>1060.7626390271125</v>
      </c>
      <c r="AE29" s="103">
        <f t="shared" ca="1" si="1"/>
        <v>940.16491888981272</v>
      </c>
      <c r="AF29" s="103">
        <f t="shared" ca="1" si="1"/>
        <v>815.98024763706348</v>
      </c>
      <c r="AG29" s="103">
        <f t="shared" ca="1" si="1"/>
        <v>737.43335886849377</v>
      </c>
      <c r="AH29" s="103">
        <f t="shared" ca="1" si="1"/>
        <v>670.37964785876966</v>
      </c>
      <c r="AI29" s="103">
        <f t="shared" ca="1" si="1"/>
        <v>594.90195683978641</v>
      </c>
      <c r="AJ29" s="103">
        <f t="shared" ca="1" si="1"/>
        <v>498.17463319444084</v>
      </c>
      <c r="AK29" s="103">
        <f t="shared" ca="1" si="1"/>
        <v>429.6018849012184</v>
      </c>
      <c r="AL29" s="103">
        <f t="shared" ca="1" si="1"/>
        <v>387.42155839519756</v>
      </c>
      <c r="AM29" s="103">
        <f t="shared" ca="1" si="1"/>
        <v>360.55829088695259</v>
      </c>
      <c r="AN29" s="103">
        <f t="shared" ca="1" si="1"/>
        <v>330.96335780669028</v>
      </c>
      <c r="AO29" s="103">
        <f t="shared" ca="1" si="1"/>
        <v>310.99487213358901</v>
      </c>
    </row>
    <row r="31" spans="2:41">
      <c r="B31" s="35" t="s">
        <v>1390</v>
      </c>
    </row>
    <row r="32" spans="2:41">
      <c r="B32" t="s">
        <v>1391</v>
      </c>
      <c r="D32" s="234" t="s">
        <v>1392</v>
      </c>
      <c r="F32" s="103">
        <f t="shared" ref="F32:AO32" ca="1" si="2">F29*1000*F14/1000000</f>
        <v>465.63796523230758</v>
      </c>
      <c r="G32" s="103">
        <f t="shared" ca="1" si="2"/>
        <v>422.75194457881349</v>
      </c>
      <c r="H32" s="103">
        <f t="shared" ca="1" si="2"/>
        <v>406.78227210440804</v>
      </c>
      <c r="I32" s="103">
        <f t="shared" ca="1" si="2"/>
        <v>398.54196025810967</v>
      </c>
      <c r="J32" s="103">
        <f t="shared" ca="1" si="2"/>
        <v>383.64013538856074</v>
      </c>
      <c r="K32" s="103">
        <f t="shared" ca="1" si="2"/>
        <v>1095.5924830886283</v>
      </c>
      <c r="L32" s="103">
        <f t="shared" ca="1" si="2"/>
        <v>1076.0140094205319</v>
      </c>
      <c r="M32" s="103">
        <f t="shared" ca="1" si="2"/>
        <v>1043.7814988248103</v>
      </c>
      <c r="N32" s="103">
        <f t="shared" ca="1" si="2"/>
        <v>1005.4037715951835</v>
      </c>
      <c r="O32" s="103">
        <f t="shared" ca="1" si="2"/>
        <v>998.74379042972384</v>
      </c>
      <c r="P32" s="103">
        <f t="shared" ca="1" si="2"/>
        <v>905.20905075814937</v>
      </c>
      <c r="Q32" s="103">
        <f t="shared" ca="1" si="2"/>
        <v>780.66878127338873</v>
      </c>
      <c r="R32" s="103">
        <f t="shared" ca="1" si="2"/>
        <v>688.70487226946113</v>
      </c>
      <c r="S32" s="103">
        <f t="shared" ca="1" si="2"/>
        <v>627.11758017729051</v>
      </c>
      <c r="T32" s="103">
        <f t="shared" ca="1" si="2"/>
        <v>572.51723245892822</v>
      </c>
      <c r="U32" s="103">
        <f t="shared" ca="1" si="2"/>
        <v>499.13273814166433</v>
      </c>
      <c r="V32" s="103">
        <f t="shared" ca="1" si="2"/>
        <v>438.03692180607567</v>
      </c>
      <c r="W32" s="103">
        <f t="shared" ca="1" si="2"/>
        <v>391.89993069403204</v>
      </c>
      <c r="X32" s="103">
        <f t="shared" ca="1" si="2"/>
        <v>348.52168129059578</v>
      </c>
      <c r="Y32" s="103">
        <f t="shared" ca="1" si="2"/>
        <v>311.97394158391455</v>
      </c>
      <c r="Z32" s="103">
        <f t="shared" ca="1" si="2"/>
        <v>279.75701073401638</v>
      </c>
      <c r="AA32" s="103">
        <f t="shared" ca="1" si="2"/>
        <v>237.36468288154649</v>
      </c>
      <c r="AB32" s="103">
        <f t="shared" ca="1" si="2"/>
        <v>206.03746150783428</v>
      </c>
      <c r="AC32" s="103">
        <f t="shared" ca="1" si="2"/>
        <v>185.44657793115545</v>
      </c>
      <c r="AD32" s="103">
        <f t="shared" ca="1" si="2"/>
        <v>170.31074550899805</v>
      </c>
      <c r="AE32" s="103">
        <f t="shared" ca="1" si="2"/>
        <v>153.24688177903948</v>
      </c>
      <c r="AF32" s="103">
        <f t="shared" ca="1" si="2"/>
        <v>134.99985207031395</v>
      </c>
      <c r="AG32" s="103">
        <f t="shared" ca="1" si="2"/>
        <v>123.83473198886793</v>
      </c>
      <c r="AH32" s="103">
        <f t="shared" ca="1" si="2"/>
        <v>114.26324463138295</v>
      </c>
      <c r="AI32" s="103">
        <f t="shared" ca="1" si="2"/>
        <v>102.91938226919348</v>
      </c>
      <c r="AJ32" s="103">
        <f t="shared" ca="1" si="2"/>
        <v>87.478116847457926</v>
      </c>
      <c r="AK32" s="103">
        <f t="shared" ca="1" si="2"/>
        <v>76.568481817234684</v>
      </c>
      <c r="AL32" s="103">
        <f t="shared" ca="1" si="2"/>
        <v>70.086388854542534</v>
      </c>
      <c r="AM32" s="103">
        <f t="shared" ca="1" si="2"/>
        <v>66.205097400299039</v>
      </c>
      <c r="AN32" s="103">
        <f t="shared" ca="1" si="2"/>
        <v>61.682490242854591</v>
      </c>
      <c r="AO32" s="103">
        <f t="shared" ca="1" si="2"/>
        <v>58.830326013974492</v>
      </c>
    </row>
    <row r="33" spans="2:41">
      <c r="B33" t="s">
        <v>1393</v>
      </c>
      <c r="D33" s="234" t="s">
        <v>1392</v>
      </c>
      <c r="F33" s="103">
        <f ca="1">F32</f>
        <v>465.63796523230758</v>
      </c>
      <c r="G33" s="103">
        <f ca="1">F33+G32</f>
        <v>888.38990981112102</v>
      </c>
      <c r="H33" s="103">
        <f ca="1">G33+H32</f>
        <v>1295.1721819155291</v>
      </c>
      <c r="I33" s="103">
        <f t="shared" ref="I33:AO33" ca="1" si="3">H33+I32</f>
        <v>1693.7141421736387</v>
      </c>
      <c r="J33" s="103">
        <f t="shared" ca="1" si="3"/>
        <v>2077.3542775621995</v>
      </c>
      <c r="K33" s="103">
        <f t="shared" ca="1" si="3"/>
        <v>3172.9467606508279</v>
      </c>
      <c r="L33" s="103">
        <f t="shared" ca="1" si="3"/>
        <v>4248.9607700713595</v>
      </c>
      <c r="M33" s="103">
        <f t="shared" ca="1" si="3"/>
        <v>5292.7422688961697</v>
      </c>
      <c r="N33" s="103">
        <f t="shared" ca="1" si="3"/>
        <v>6298.1460404913532</v>
      </c>
      <c r="O33" s="103">
        <f t="shared" ca="1" si="3"/>
        <v>7296.8898309210772</v>
      </c>
      <c r="P33" s="103">
        <f t="shared" ca="1" si="3"/>
        <v>8202.0988816792269</v>
      </c>
      <c r="Q33" s="103">
        <f t="shared" ca="1" si="3"/>
        <v>8982.7676629526159</v>
      </c>
      <c r="R33" s="103">
        <f t="shared" ca="1" si="3"/>
        <v>9671.4725352220776</v>
      </c>
      <c r="S33" s="103">
        <f t="shared" ca="1" si="3"/>
        <v>10298.590115399367</v>
      </c>
      <c r="T33" s="103">
        <f t="shared" ca="1" si="3"/>
        <v>10871.107347858295</v>
      </c>
      <c r="U33" s="103">
        <f t="shared" ca="1" si="3"/>
        <v>11370.24008599996</v>
      </c>
      <c r="V33" s="103">
        <f t="shared" ca="1" si="3"/>
        <v>11808.277007806035</v>
      </c>
      <c r="W33" s="103">
        <f t="shared" ca="1" si="3"/>
        <v>12200.176938500066</v>
      </c>
      <c r="X33" s="103">
        <f t="shared" ca="1" si="3"/>
        <v>12548.698619790663</v>
      </c>
      <c r="Y33" s="103">
        <f t="shared" ca="1" si="3"/>
        <v>12860.672561374577</v>
      </c>
      <c r="Z33" s="103">
        <f t="shared" ca="1" si="3"/>
        <v>13140.429572108593</v>
      </c>
      <c r="AA33" s="103">
        <f t="shared" ca="1" si="3"/>
        <v>13377.79425499014</v>
      </c>
      <c r="AB33" s="103">
        <f t="shared" ca="1" si="3"/>
        <v>13583.831716497974</v>
      </c>
      <c r="AC33" s="103">
        <f t="shared" ca="1" si="3"/>
        <v>13769.27829442913</v>
      </c>
      <c r="AD33" s="103">
        <f t="shared" ca="1" si="3"/>
        <v>13939.589039938128</v>
      </c>
      <c r="AE33" s="103">
        <f t="shared" ca="1" si="3"/>
        <v>14092.835921717167</v>
      </c>
      <c r="AF33" s="103">
        <f t="shared" ca="1" si="3"/>
        <v>14227.835773787481</v>
      </c>
      <c r="AG33" s="103">
        <f t="shared" ca="1" si="3"/>
        <v>14351.670505776348</v>
      </c>
      <c r="AH33" s="103">
        <f t="shared" ca="1" si="3"/>
        <v>14465.933750407732</v>
      </c>
      <c r="AI33" s="103">
        <f t="shared" ca="1" si="3"/>
        <v>14568.853132676926</v>
      </c>
      <c r="AJ33" s="103">
        <f t="shared" ca="1" si="3"/>
        <v>14656.331249524384</v>
      </c>
      <c r="AK33" s="103">
        <f t="shared" ca="1" si="3"/>
        <v>14732.899731341618</v>
      </c>
      <c r="AL33" s="103">
        <f t="shared" ca="1" si="3"/>
        <v>14802.986120196161</v>
      </c>
      <c r="AM33" s="103">
        <f t="shared" ca="1" si="3"/>
        <v>14869.191217596461</v>
      </c>
      <c r="AN33" s="103">
        <f t="shared" ca="1" si="3"/>
        <v>14930.873707839315</v>
      </c>
      <c r="AO33" s="103">
        <f t="shared" ca="1" si="3"/>
        <v>14989.70403385329</v>
      </c>
    </row>
  </sheetData>
  <conditionalFormatting sqref="F5:AO11">
    <cfRule type="cellIs" dxfId="4" priority="7" operator="lessThan">
      <formula>0</formula>
    </cfRule>
  </conditionalFormatting>
  <conditionalFormatting sqref="F17:AO27">
    <cfRule type="cellIs" dxfId="3" priority="6" operator="lessThan">
      <formula>0</formula>
    </cfRule>
  </conditionalFormatting>
  <conditionalFormatting sqref="F29:AO29">
    <cfRule type="cellIs" dxfId="2" priority="5" operator="lessThan">
      <formula>0</formula>
    </cfRule>
  </conditionalFormatting>
  <conditionalFormatting sqref="F32:AO33">
    <cfRule type="cellIs" dxfId="1" priority="3" operator="lessThan">
      <formula>0</formula>
    </cfRule>
  </conditionalFormatting>
  <conditionalFormatting sqref="F14:AO14">
    <cfRule type="cellIs" dxfId="0" priority="4" operator="lessThan">
      <formula>0</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bc29c1b-c0f5-4a69-9064-42075bd51526">
      <Terms xmlns="http://schemas.microsoft.com/office/infopath/2007/PartnerControls"/>
    </lcf76f155ced4ddcb4097134ff3c332f>
    <TaxCatchAll xmlns="30d58efb-e8bf-4261-b5e6-27ac039971e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7F689EFB92E304AB38A347F3B2D0507" ma:contentTypeVersion="16" ma:contentTypeDescription="Create a new document." ma:contentTypeScope="" ma:versionID="f664a33f421a6bc096dbb081cdbd7191">
  <xsd:schema xmlns:xsd="http://www.w3.org/2001/XMLSchema" xmlns:xs="http://www.w3.org/2001/XMLSchema" xmlns:p="http://schemas.microsoft.com/office/2006/metadata/properties" xmlns:ns2="bbc29c1b-c0f5-4a69-9064-42075bd51526" xmlns:ns3="30d58efb-e8bf-4261-b5e6-27ac039971e3" targetNamespace="http://schemas.microsoft.com/office/2006/metadata/properties" ma:root="true" ma:fieldsID="efc9913fe9c1211be785871a1451db49" ns2:_="" ns3:_="">
    <xsd:import namespace="bbc29c1b-c0f5-4a69-9064-42075bd51526"/>
    <xsd:import namespace="30d58efb-e8bf-4261-b5e6-27ac039971e3"/>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3:SharedWithUsers" minOccurs="0"/>
                <xsd:element ref="ns3:SharedWithDetails" minOccurs="0"/>
                <xsd:element ref="ns2:MediaServiceDateTaken" minOccurs="0"/>
                <xsd:element ref="ns2:MediaServiceOCR" minOccurs="0"/>
                <xsd:element ref="ns2:MediaServiceLocation"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bc29c1b-c0f5-4a69-9064-42075bd515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5651981c-07c9-48be-a366-aa18a08a6388"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30d58efb-e8bf-4261-b5e6-27ac039971e3"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d63b2a6a-a3c6-472c-b2d7-d30c37268afd}" ma:internalName="TaxCatchAll" ma:showField="CatchAllData" ma:web="30d58efb-e8bf-4261-b5e6-27ac039971e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589F0E1-CDA1-4C62-AFA9-EC48655A1370}">
  <ds:schemaRefs>
    <ds:schemaRef ds:uri="http://schemas.microsoft.com/office/2006/metadata/properties"/>
    <ds:schemaRef ds:uri="http://schemas.microsoft.com/office/infopath/2007/PartnerControls"/>
    <ds:schemaRef ds:uri="838ea6ed-be5a-4b6e-b4ab-b0fecd8e08d4"/>
    <ds:schemaRef ds:uri="158f46d5-d43c-483b-bd32-e88271033c5a"/>
    <ds:schemaRef ds:uri="bbc29c1b-c0f5-4a69-9064-42075bd51526"/>
    <ds:schemaRef ds:uri="30d58efb-e8bf-4261-b5e6-27ac039971e3"/>
  </ds:schemaRefs>
</ds:datastoreItem>
</file>

<file path=customXml/itemProps2.xml><?xml version="1.0" encoding="utf-8"?>
<ds:datastoreItem xmlns:ds="http://schemas.openxmlformats.org/officeDocument/2006/customXml" ds:itemID="{91BC66CB-8AF8-4F1F-A55A-5810D525A36B}">
  <ds:schemaRefs>
    <ds:schemaRef ds:uri="http://schemas.microsoft.com/sharepoint/v3/contenttype/forms"/>
  </ds:schemaRefs>
</ds:datastoreItem>
</file>

<file path=customXml/itemProps3.xml><?xml version="1.0" encoding="utf-8"?>
<ds:datastoreItem xmlns:ds="http://schemas.openxmlformats.org/officeDocument/2006/customXml" ds:itemID="{7F7887BC-E9D5-40B2-97BD-278E1D8138C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bc29c1b-c0f5-4a69-9064-42075bd51526"/>
    <ds:schemaRef ds:uri="30d58efb-e8bf-4261-b5e6-27ac039971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Index</vt:lpstr>
      <vt:lpstr>Dashboard</vt:lpstr>
      <vt:lpstr>Sheet2</vt:lpstr>
      <vt:lpstr>Sheet1</vt:lpstr>
      <vt:lpstr>Main graph Results</vt:lpstr>
      <vt:lpstr>Retrofit and HP Results</vt:lpstr>
      <vt:lpstr>Cost Results</vt:lpstr>
      <vt:lpstr>Jobs Results</vt:lpstr>
      <vt:lpstr>default_domestic_energy_efficiency_total_costs</vt:lpstr>
      <vt:lpstr>default_non_domestic_energy_efficiency_costs</vt:lpstr>
      <vt:lpstr>Dashboard!Print_Area</vt:lpstr>
    </vt:vector>
  </TitlesOfParts>
  <Manager/>
  <Company>Greater London Authority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Grainger</dc:creator>
  <cp:keywords/>
  <dc:description/>
  <cp:lastModifiedBy>Harvey Dudley</cp:lastModifiedBy>
  <cp:revision/>
  <dcterms:created xsi:type="dcterms:W3CDTF">2016-08-31T14:31:29Z</dcterms:created>
  <dcterms:modified xsi:type="dcterms:W3CDTF">2025-04-28T09:43:00Z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0x01010067F689EFB92E304AB38A347F3B2D0507</vt:lpwstr>
  </property>
  <property fmtid="{D5CDD505-2E9C-101B-9397-08002B2CF9AE}" pid="3" name="_ExtendedDescription">
    <vt:lpwstr/>
  </property>
  <property fmtid="{D5CDD505-2E9C-101B-9397-08002B2CF9AE}" pid="4" name="MediaServiceImageTags">
    <vt:lpwstr/>
  </property>
</Properties>
</file>